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DATA\Kan_Slettes\"/>
    </mc:Choice>
  </mc:AlternateContent>
  <xr:revisionPtr revIDLastSave="0" documentId="13_ncr:1_{D72A3A58-9771-468E-ACAE-EA35FE75619A}" xr6:coauthVersionLast="47" xr6:coauthVersionMax="47" xr10:uidLastSave="{00000000-0000-0000-0000-000000000000}"/>
  <bookViews>
    <workbookView xWindow="0" yWindow="1170" windowWidth="28800" windowHeight="12450" activeTab="3" xr2:uid="{00000000-000D-0000-FFFF-FFFF00000000}"/>
  </bookViews>
  <sheets>
    <sheet name="Oppgave" sheetId="7" r:id="rId1"/>
    <sheet name="Forklaring" sheetId="3" r:id="rId2"/>
    <sheet name="Egensk.typ som fjernes i v 2.44" sheetId="4" r:id="rId3"/>
    <sheet name="Gyldige vegobjekter" sheetId="1" r:id="rId4"/>
  </sheets>
  <definedNames>
    <definedName name="_xlnm._FilterDatabase" localSheetId="3" hidden="1">'Gyldige vegobjekter'!$A$1:$T$7061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061" i="1" l="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<sst xmlns="http://schemas.openxmlformats.org/spreadsheetml/2006/main" count="84846" uniqueCount="23520">
  <si>
    <t>Vegkartlink</t>
  </si>
  <si>
    <t>nvdbId</t>
  </si>
  <si>
    <t>VT_ID</t>
  </si>
  <si>
    <t>VT_Navn</t>
  </si>
  <si>
    <t>Versjon</t>
  </si>
  <si>
    <t>Startdato</t>
  </si>
  <si>
    <t>Sluttdato</t>
  </si>
  <si>
    <t>Sist_modifisert</t>
  </si>
  <si>
    <t>Fylker</t>
  </si>
  <si>
    <t>Vegkategorier</t>
  </si>
  <si>
    <t>Vegnumre</t>
  </si>
  <si>
    <t>Vegsystemreferanser</t>
  </si>
  <si>
    <t>Utgår_geometri</t>
  </si>
  <si>
    <t>Behandling</t>
  </si>
  <si>
    <t>Tilleggsinformasjon</t>
  </si>
  <si>
    <t>Avstand_første_siste_punkt</t>
  </si>
  <si>
    <t>Lengde_linje</t>
  </si>
  <si>
    <t>Ny_geometri</t>
  </si>
  <si>
    <t>Kollektivknutepunkt</t>
  </si>
  <si>
    <t>2022-03-05</t>
  </si>
  <si>
    <t>2025-11-22T09:07:50Z</t>
  </si>
  <si>
    <t>[46]</t>
  </si>
  <si>
    <t>['K']</t>
  </si>
  <si>
    <t>[1003]</t>
  </si>
  <si>
    <t>['KV1003 S6D1 m51']</t>
  </si>
  <si>
    <t>LINESTRING Z (-9474.399275300151 6648907.0847232025 6.65, -9469.492922625854 6648913.536314935 6.69, -9463.950124062714 6648920.785956792 6.7, -9458.57982852828 6648927.7995420275 6.72, -9452.077367355058 6648936.301186782 6.74)</t>
  </si>
  <si>
    <t>Konverteres til punkt</t>
  </si>
  <si>
    <t>Midtpunkt på linja.</t>
  </si>
  <si>
    <t>POINT Z (-9463.249250357601 6648921.701295145 6.702610186722943)</t>
  </si>
  <si>
    <t>Ferjekai</t>
  </si>
  <si>
    <t>2024-03-13</t>
  </si>
  <si>
    <t>2025-11-22T09:08:38Z</t>
  </si>
  <si>
    <t>[15]</t>
  </si>
  <si>
    <t>['F']</t>
  </si>
  <si>
    <t>[669]</t>
  </si>
  <si>
    <t>['FV669 S3D1 m0']</t>
  </si>
  <si>
    <t>LINESTRING Z (156280.449951172 7035918.22998047 2.06, 156281.099975586 7035917.98999024 2.03, 156297.829956055 7035911.7199707 4.19, 156297.869995117 7035911.61999512 4.19, 156295.359985352 7035904.93994141 4.14, 156295.300048828 7035904.88000488 4.14, 156278.510009766 7035911.13000488 2.07, 156277.91003418 7035911.32995605 2.06, 156277.890014648 7035911.33996582 2.05)</t>
  </si>
  <si>
    <t>Konverteres til flate</t>
  </si>
  <si>
    <t>Første og siste punkt i linja avstand &lt;10 m.</t>
  </si>
  <si>
    <t>POLYGON Z ((156280.449951172 7035918.22998047 2.06, 156281.099975586 7035917.98999024 2.03, 156297.829956055 7035911.7199707 4.19, 156297.869995117 7035911.61999512 4.19, 156295.359985352 7035904.93994141 4.14, 156295.300048828 7035904.88000488 4.14, 156278.510009766 7035911.13000488 2.07, 156277.91003418 7035911.32995605 2.06, 156277.890014648 7035911.33996582 2.05, 156280.449951172 7035918.22998047 2.06))</t>
  </si>
  <si>
    <t>[670]</t>
  </si>
  <si>
    <t>['FV670 S3D1 m3943']</t>
  </si>
  <si>
    <t>LINESTRING Z (171502.670043945 6989697.93005371 2.453, 171499.810058594 6989679.43994141 2.913, 171499.869995117 6989679.36999512 2.913, 171506.939941406 6989678.27001953 2.843, 171507.010009766 6989678.30004883 2.843, 171507.189941406 6989679.47998047 2.823, 171509.91003418 6989696.81994629 2.463)</t>
  </si>
  <si>
    <t>POLYGON Z ((171502.670043945 6989697.93005371 2.453, 171499.810058594 6989679.43994141 2.913, 171499.869995117 6989679.36999512 2.913, 171506.939941406 6989678.27001953 2.843, 171507.010009766 6989678.30004883 2.843, 171507.189941406 6989679.47998047 2.823, 171509.91003418 6989696.81994629 2.463, 171502.670043945 6989697.93005371 2.453))</t>
  </si>
  <si>
    <t>Ferjeoppstillingsplass</t>
  </si>
  <si>
    <t>2019-12-06</t>
  </si>
  <si>
    <t>2025-11-22T09:07:48Z</t>
  </si>
  <si>
    <t>[60]</t>
  </si>
  <si>
    <t>['FV60 S6D10 m1572']</t>
  </si>
  <si>
    <t>LINESTRING Z (83359.84 6934574.68 1.767, 83362.75 6934574.47 1.807)</t>
  </si>
  <si>
    <t>Vektet midtpunkt.</t>
  </si>
  <si>
    <t>POINT (83361.295 6934574.574999999)</t>
  </si>
  <si>
    <t>2024-06-24</t>
  </si>
  <si>
    <t>[18]</t>
  </si>
  <si>
    <t>[839]</t>
  </si>
  <si>
    <t>['FV839 S2D1 m70']</t>
  </si>
  <si>
    <t>LINESTRING Z (368118.3643914926 7287038.688922096 2.87, 368127.4092368133 7287040.351566933 2.8609999999999998, 368128.6862546794 7287033.228637175 2.857, 368130.02267644147 7287025.011382671 2.8689999999999998, 368131.5165558522 7287015.384716352 2.896, 368133.0842724547 7287006.525391494 2.8369999999999997, 368135.039660559 7286998.8358582435 2.794, 368138.08744851395 7286991.351893194 2.741, 368141.7974085717 7286984.909212436 2.706, 368145.90257086774 7286979.478729308 2.7359999999999998, 368151.3126198847 7286974.072106115 2.73, 368156.940248303 7286969.795170038 2.706, 368161.45829695556 7286966.9420346245 2.669, 368156.812554918 7286959.197241156 2.664, 368152.2371321008 7286962.006778767 2.725, 368147.22351539764 7286965.581256746 2.7439999999999998, 368141.2273809946 7286970.949464912 2.7640000000000002, 368136.1662563361 7286976.803381973 2.767, 368130.8767549407 7286984.940676513 2.779, 368126.8908166563 7286993.809581357 2.824, 368124.40560512367 7287003.075478615 2.857, 368122.72262442356 7287012.269985178 2.886, 368121.2972351164 7287021.000696625 2.895, 368120.02683492703 7287028.883506325 2.885, 368118.3643914926 7287038.688922096 2.8700000000000006)</t>
  </si>
  <si>
    <t>POLYGON Z ((368118.3643914926 7287038.688922096 2.87, 368127.4092368133 7287040.351566933 2.8609999999999998, 368128.6862546794 7287033.228637175 2.857, 368130.02267644147 7287025.011382671 2.8689999999999998, 368131.5165558522 7287015.384716352 2.896, 368133.0842724547 7287006.525391494 2.8369999999999997, 368135.039660559 7286998.8358582435 2.794, 368138.08744851395 7286991.351893194 2.741, 368141.7974085717 7286984.909212436 2.706, 368145.90257086774 7286979.478729308 2.7359999999999998, 368151.3126198847 7286974.072106115 2.73, 368156.940248303 7286969.795170038 2.706, 368161.45829695556 7286966.9420346245 2.669, 368156.812554918 7286959.197241156 2.664, 368152.2371321008 7286962.006778767 2.725, 368147.22351539764 7286965.581256746 2.7439999999999998, 368141.2273809946 7286970.949464912 2.7640000000000002, 368136.1662563361 7286976.803381973 2.767, 368130.8767549407 7286984.940676513 2.779, 368126.8908166563 7286993.809581357 2.824, 368124.40560512367 7287003.075478615 2.857, 368122.72262442356 7287012.269985178 2.886, 368121.2972351164 7287021.000696625 2.895, 368120.02683492703 7287028.883506325 2.885, 368118.3643914926 7287038.688922096 2.8700000000000006, 368118.3643914926 7287038.688922096 2.87))</t>
  </si>
  <si>
    <t>['FV839 S2D1 m68']</t>
  </si>
  <si>
    <t>LINESTRING Z (368117.153310474 7287038.470829864 2.8990000000000005, 368111.17797563504 7287037.597631131 2.877, 368112.6094378341 7287028.911497626 2.886, 368114.3404994153 7287017.6959329825 2.892, 368115.7908717316 7287008.026457606 2.859, 368117.78769438853 7286998.209164533 2.848, 368120.92379106104 7286988.381563251 2.825, 368124.92994878476 7286980.051263517 2.8040000000000003, 368129.6955942919 7286972.853443256 2.798, 368136.1156893397 7286965.61681241 2.813, 368143.520909787 7286959.223515349 2.777, 368150.07229506876 7286954.909417913 2.7439999999999998, 368153.7421390369 7286952.838247769 2.66, 368156.6312021952 7286958.114856054 2.678, 368149.87794812187 7286962.054648999 2.748, 368143.07652594417 7286967.351169505 2.793, 368138.1066069016 7286972.377778373 2.7880000000000003, 368132.63173207175 7286979.454688716 2.806, 368128.5641915691 7286985.896597955 2.6189999999999998, 368125.27167420357 7286993.840014284 2.817, 368123.00881075993 7287002.238160405 2.8449999999999998, 368121.3147083865 7287011.685533983 2.888, 368119.79135365423 7287021.101571226 2.9050000000000002, 368118.57475358644 7287028.965063048 2.901, 368117.153310474 7287038.470829863 2.899)</t>
  </si>
  <si>
    <t>POLYGON Z ((368117.153310474 7287038.470829864 2.8990000000000005, 368111.17797563504 7287037.597631131 2.877, 368112.6094378341 7287028.911497626 2.886, 368114.3404994153 7287017.6959329825 2.892, 368115.7908717316 7287008.026457606 2.859, 368117.78769438853 7286998.209164533 2.848, 368120.92379106104 7286988.381563251 2.825, 368124.92994878476 7286980.051263517 2.8040000000000003, 368129.6955942919 7286972.853443256 2.798, 368136.1156893397 7286965.61681241 2.813, 368143.520909787 7286959.223515349 2.777, 368150.07229506876 7286954.909417913 2.7439999999999998, 368153.7421390369 7286952.838247769 2.66, 368156.6312021952 7286958.114856054 2.678, 368149.87794812187 7286962.054648999 2.748, 368143.07652594417 7286967.351169505 2.793, 368138.1066069016 7286972.377778373 2.7880000000000003, 368132.63173207175 7286979.454688716 2.806, 368128.5641915691 7286985.896597955 2.6189999999999998, 368125.27167420357 7286993.840014284 2.817, 368123.00881075993 7287002.238160405 2.8449999999999998, 368121.3147083865 7287011.685533983 2.888, 368119.79135365423 7287021.101571226 2.9050000000000002, 368118.57475358644 7287028.965063048 2.901, 368117.153310474 7287038.470829863 2.899, 368117.153310474 7287038.470829864 2.8990000000000005))</t>
  </si>
  <si>
    <t>Siktsone</t>
  </si>
  <si>
    <t>2021-03-02</t>
  </si>
  <si>
    <t>2025-11-22T09:47:12Z</t>
  </si>
  <si>
    <t>[5613]</t>
  </si>
  <si>
    <t>['FV5613 S2D1 m528-804']</t>
  </si>
  <si>
    <t>LINESTRING (72307.16837365308 6821430.089117339, 72308.46912181727 6821437.440903092, 72309.7222180193 6821444.798542793, 72312.48998197471 6821461.768164242, 72318.83650603215 6821494.17409773, 72327.42007228016 6821528.76784021, 72337.58638930239 6821564.5591104105, 72346.26175302634 6821597.281016202, 72350.73689822567 6821614.6272712955, 72354.4302494807 6821631.256588189, 72358.62862544728 6821647.992682771, 72362.8100972622 6821664.722724624, 72366.42577586806 6821681.44186713, 72368.34669240587 6821689.835784016, 72370.7043399319 6821698.240290717)</t>
  </si>
  <si>
    <t>Genererer flate basert på linje med buffer</t>
  </si>
  <si>
    <t>Buffer = 0.5 m.</t>
  </si>
  <si>
    <t>POLYGON ((72307.97648897315 6821437.526433554, 72309.22902105226 6821444.880760969, 72311.9965026545 6821461.848651263, 72311.99930343934 6821461.864260937, 72318.34582749679 6821494.270194425, 72318.35122142188 6821494.294508888, 72326.93478766989 6821528.888251369, 72326.93909874672 6821528.904458146, 72337.10421393318 6821564.691497195, 72345.778022599 6821597.407537587, 72350.2506313788 6821614.743961182, 72353.94214319617 6821631.364996007, 72353.94527624668 6821631.378247394, 72358.1435995801 6821648.114132163, 72362.32308255407 6821664.836216676, 72365.93707318653 6821681.547553879, 72365.93837572965 6821681.553406832, 72367.85929226746 6821689.947323718, 72367.86527567841 6821689.970831913, 72370.22292320443 6821698.375338614, 72371.18575665935 6821698.10524282, 72368.83138605088 6821689.712417626, 72366.91384482372 6821681.333249989, 72363.29879994373 6821664.617037875, 72363.29517559733 6821664.6014851555, 72359.11370378241 6821647.871443302, 72354.91687946866 6821631.141533345, 72351.22500451021 6821614.518863478, 72351.22104571747 6821614.502366507, 72346.74590051813 6821597.156111414, 72346.74505561068 6821597.15288107, 72338.06969188673 6821564.430975279, 72338.06736283583 6821564.422492475, 72327.90333726766 6821528.639289509, 72319.32479048114 6821494.06577661, 72312.98218469533 6821461.679850176, 72310.21569733952 6821444.718055772, 72310.21512049003 6821444.714595462, 72308.96202428799 6821437.356955761, 72308.96147487476 6821437.353791285, 72307.66072671057 6821430.002005532, 72306.6760205956 6821430.176229145, 72307.97648897315 6821437.526433554))</t>
  </si>
  <si>
    <t>2016-08-18</t>
  </si>
  <si>
    <t>2025-11-22T09:47:15Z</t>
  </si>
  <si>
    <t>[663]</t>
  </si>
  <si>
    <t>['FV663 S1D1 m5090-5103', 'FV663 S1D1 m5090 KD1 m30-48']</t>
  </si>
  <si>
    <t>LINESTRING Z (101374.19 6993574.02 -999999, 101348.69 6993583.33 -999999, 101365.49 6993604.3 -999999)</t>
  </si>
  <si>
    <t>POLYGON ((101348.5185222738 6993582.860324166, 101348.47258028224 6993582.879745998, 101348.42880194231 6993582.903648532, 101348.38762291397 6993582.9317939, 101348.34945299018 6993582.963902016, 101348.31467201881 6993582.999653354, 101348.28362612257 6993583.038692136, 101348.25662425463 6993583.080629867, 101348.23393512394 6993583.125049204, 101348.21578452134 6993583.171508108, 101348.20235307245 6993583.219544244, 101348.19377444034 6993583.26867958, 101348.19013399522 6993583.318425146, 101348.19146796495 6993583.368285898, 101348.19776307454 6993583.417765649, 101348.20895667825 6993583.466372001, 101348.22493738294 6993583.513621246, 101348.24554615672 6993583.559043187, 101348.2705779114 6993583.602185803, 101348.29978354374 6993583.642619764, 101365.09978354374 6993604.612619764, 101365.88021645627 6993603.987380235, 101349.5156154217 6993583.5608514445, 101374.36147772621 6993574.489675834, 101374.0185222738 6993573.550324165, 101348.5185222738 6993582.860324166))</t>
  </si>
  <si>
    <t>['FV663 S1D1 m5076-5085', 'FV663 S1D1 m5090 KD1 m0-22', 'FV663 S1D1 m5090 KD1 m64-69']</t>
  </si>
  <si>
    <t>LINESTRING Z (101365.17 6993592.91 -999999, 101398.41 6993588.54 -999999, 101381.33 6993565.99 -999999)</t>
  </si>
  <si>
    <t>POLYGON ((101398.47517324546 6993589.035734251, 101398.5240676568 6993589.026814718, 101398.57183497857 6993589.0130850235, 101398.61800322734 6993588.99468083, 101398.6621162199 6993588.971783987, 101398.70373808082 6993588.944620736, 101398.74245754919 6993588.913459473, 101398.77789204237 6993588.8786081, 101398.8096914362 6993588.8404109785, 101398.83754152444 6993588.79924553, 101398.86116712356 6993588.755518506, 101398.88033479171 6993588.709661969, 101398.89485513534 6993588.662129021, 101398.90458468058 6993588.61338933, 101398.90942729091 6993588.563924488, 101398.90933511706 6993588.51422325, 101398.90430906978 6993588.464776709, 101398.89439881085 6993588.416073441, 101398.87970226243 6993588.368594677, 101398.86036463946 6993588.32280955, 101398.83657701475 6993588.279170457, 101398.80857443092 6993588.238108591, 101381.72857443092 6993565.688108591, 101380.93142556908 6993566.291891409, 101397.49218558827 6993588.156360872, 101365.10482675454 6993592.414265749, 101365.23517324546 6993593.405734251, 101398.47517324546 6993589.035734251))</t>
  </si>
  <si>
    <t>2018-05-31</t>
  </si>
  <si>
    <t>['E']</t>
  </si>
  <si>
    <t>[39]</t>
  </si>
  <si>
    <t>['EV39 S87D1 m9510-9702']</t>
  </si>
  <si>
    <t>LINESTRING Z (-35745.36586376012 6649512.1893722555 47.49, -35749.89432343491 6649526.852641202 47.53, -35752.84903972258 6649541.211667335 47.35, -35754.98553236341 6649556.594114855 47, -35756.58607067284 6649581.193829908 46.92, -35755.02379149909 6649599.372268784 46.76, -35750.60181208432 6649621.420093658 46.18, -35745.827603708254 6649637.151124835 46.2, -35734.18796386081 6649660.818870533 46.05, -35720.92369163316 6649685.960436075 44.47)</t>
  </si>
  <si>
    <t>POLYGON ((-35750.3720598876 6649526.705101777, -35750.384062420955 6649526.751865582, -35753.338778708625 6649541.110891715, -35753.344285676685 6649541.142881835, -35755.48077831751 6649556.525329355, -35755.484477403836 6649556.561651851, -35757.085015713266 6649581.161366904, -35757.08604373967 6649581.199019556, -35757.08423436078 6649581.2366427565, -35755.521955187025 6649599.415081632, -35755.51402868101 6649599.470592258, -35751.09204926625 6649621.518417132, -35751.08026321961 6649621.565298724, -35746.30605484354 6649637.296329901, -35746.292700201295 6649637.33466026, -35746.27628045619 6649637.371781074, -35734.63664060875 6649661.039526773, -35734.63019171853 6649661.052182603, -35721.365919490876 6649686.193748144, -35720.48146377544 6649685.727124006, -35733.74242166214 6649660.591840582, -35745.36096959755 6649636.9669826375, -35750.11633346169 6649621.298044185, -35754.52803226882 6649599.301478038, -35756.08467486628 6649581.188625492, -35754.48777335 6649556.64480668, -35752.35602776848 6649541.296537321, -35749.40945553011 6649526.977088801, -35744.88812730743 6649512.33691168, -35745.84360021281 6649512.041832831, -35750.3720598876 6649526.705101777))</t>
  </si>
  <si>
    <t>2024-11-27</t>
  </si>
  <si>
    <t>[42]</t>
  </si>
  <si>
    <t>['EV18 S10D1 m277 SD1 m129-135']</t>
  </si>
  <si>
    <t>LINESTRING Z (123909.26864155143 6484686.901823049 29.810000000000002, 123909.68901738 6484685.326491349 29.77, 123909.75430407602 6484683.673178034 29.72, 123909.53672589711 6484682.080612319 29.69, 123907.86923823087 6484682.386226932 29.53, 123907.01819946489 6484681.560306251 29.5, 123906.02732681361 6484679.952285336 29.5, 123905.46956438001 6484680.0954256 29.57, 123906.03785628371 6484681.351828624 29.59, 123906.55636685365 6484682.949139888 29.62, 123907.22595199046 6484685.629992785 29.76, 123907.4254260314 6484687.033819925 29.75, 123907.88472964615 6484687.706843409 29.79, 123908.26423578593 6484687.793687087 29.830000000000002, 123908.75884465862 6484687.667809647 29.86, 123909.26864155143 6484686.901823049 29.810000000000002)</t>
  </si>
  <si>
    <t>POLYGON Z ((123909.26864155143 6484686.901823049 29.810000000000002, 123909.68901738 6484685.326491349 29.77, 123909.75430407602 6484683.673178034 29.72, 123909.53672589711 6484682.080612319 29.69, 123907.86923823087 6484682.386226932 29.53, 123907.01819946489 6484681.560306251 29.5, 123906.02732681361 6484679.952285336 29.5, 123905.46956438001 6484680.0954256 29.57, 123906.03785628371 6484681.351828624 29.59, 123906.55636685365 6484682.949139888 29.62, 123907.22595199046 6484685.629992785 29.76, 123907.4254260314 6484687.033819925 29.75, 123907.88472964615 6484687.706843409 29.79, 123908.26423578593 6484687.793687087 29.830000000000002, 123908.75884465862 6484687.667809647 29.86, 123909.26864155143 6484686.901823049 29.810000000000002))</t>
  </si>
  <si>
    <t>['EV18 S10D1 m277 SD1 m66-279']</t>
  </si>
  <si>
    <t>LINESTRING Z (123861.06780724815 6484718.640640717 30.78, 123857.50957107189 6484719.687900902 30.71, 123854.43733657437 6484720.273971892 30.7, 123854.16717453417 6484720.22146067 30.68, 123854.02485220431 6484719.966208626 30.59, 123853.82588902448 6484716.9713010155 30.76, 123853.87834806315 6484716.719770121 30.82, 123854.11553105369 6484716.551356469 30.810000000000002, 123855.62001223344 6484716.08208479 30.76, 123855.9593693901 6484716.73299761 30.57, 123861.06780724815 6484718.640640717 30.78)</t>
  </si>
  <si>
    <t>POLYGON Z ((123861.06780724815 6484718.640640717 30.78, 123857.50957107189 6484719.687900902 30.71, 123854.43733657437 6484720.273971892 30.7, 123854.16717453417 6484720.22146067 30.68, 123854.02485220431 6484719.966208626 30.59, 123853.82588902448 6484716.9713010155 30.76, 123853.87834806315 6484716.719770121 30.82, 123854.11553105369 6484716.551356469 30.810000000000002, 123855.62001223344 6484716.08208479 30.76, 123855.9593693901 6484716.73299761 30.57, 123861.06780724815 6484718.640640717 30.78))</t>
  </si>
  <si>
    <t>['EV18 S10D1 m277 SD1 m114-325']</t>
  </si>
  <si>
    <t>LINESTRING Z (123894.44842482108 6484698.911698447 30, 123895.72858714062 6484697.332315067 29.990000000000002, 123897.04685452569 6484695.413143883 29.86, 123897.78566816478 6484693.84087556 29.95, 123897.73616351129 6484693.386242894 29.94, 123897.51798989018 6484693.261514732 29.94, 123897.18842214957 6484693.326743543 29.900000000000002, 123893.42563375598 6484695.435602206 29.86, 123894.44842482108 6484698.911698447 30)</t>
  </si>
  <si>
    <t>POLYGON Z ((123894.44842482108 6484698.911698447 30, 123895.72858714062 6484697.332315067 29.990000000000002, 123897.04685452569 6484695.413143883 29.86, 123897.78566816478 6484693.84087556 29.95, 123897.73616351129 6484693.386242894 29.94, 123897.51798989018 6484693.261514732 29.94, 123897.18842214957 6484693.326743543 29.900000000000002, 123893.42563375598 6484695.435602206 29.86, 123894.44842482108 6484698.911698447 30))</t>
  </si>
  <si>
    <t>2025-04-28</t>
  </si>
  <si>
    <t>[5244]</t>
  </si>
  <si>
    <t>['FV5244 S1D1 m127-197']</t>
  </si>
  <si>
    <t>LINESTRING Z (-49693.531637438806 6738397.631870536 14.678, -49659.798283493146 6738377.977403105 16.271, -49634.427417976665 6738361.171619942 16.721)</t>
  </si>
  <si>
    <t>POLYGON ((-49659.54657086852 6738378.409422496, -49659.522164511975 6738378.394246371, -49634.15129899549 6738361.588463209, -49634.70353695784 6738360.754776676, -49660.062417476845 6738377.552620919, -49693.78335006343 6738397.199851145, -49693.27992481418 6738398.063889927, -49659.54657086852 6738378.409422496))</t>
  </si>
  <si>
    <t>Vannhåndteringsanlegg</t>
  </si>
  <si>
    <t>2019-10-10</t>
  </si>
  <si>
    <t>2025-11-22T10:38:51Z</t>
  </si>
  <si>
    <t>[31]</t>
  </si>
  <si>
    <t>[6]</t>
  </si>
  <si>
    <t>['EV6 S5D1 m4250']</t>
  </si>
  <si>
    <t>LINESTRING Z (272158.31170696963 6582082.142283527 33.822, 272146.6376654864 6582079.349385315 33.922)</t>
  </si>
  <si>
    <t>POINT Z (272152.47468622803 6582080.745834421 33.872)</t>
  </si>
  <si>
    <t>['EV6 S5D1 m4266']</t>
  </si>
  <si>
    <t>LINESTRING Z (272142.36770839815 6582079.453822958 33.192, 272130.37380459893 6582086.353608081 33.322)</t>
  </si>
  <si>
    <t>POINT Z (272136.37075649854 6582082.903715519 33.257000000000005)</t>
  </si>
  <si>
    <t>2020-10-27</t>
  </si>
  <si>
    <t>['R']</t>
  </si>
  <si>
    <t>[13]</t>
  </si>
  <si>
    <t>['RV13 S41D1 m242']</t>
  </si>
  <si>
    <t>LINESTRING Z (47425.490275101794 6802203.655611502 7.16, 47426.046224066464 6802204.882703866 7.09, 47427.286574147 6802207.747803773 7.1000000000000005, 47427.38481323043 6802207.94006184 7.09, 47428.022583005135 6802209.2904665405 7.1000000000000005, 47429.211054670974 6802212.029495038 7.1000000000000005, 47432.32557561755 6802218.848759976 7.16, 47432.949821504764 6802220.270869205 7.17, 47433.65929601487 6802221.634797756 7.17, 47434.886122415366 6802224.571601949 7.08)</t>
  </si>
  <si>
    <t>POINT Z (47430.167779052594 6802214.124249622 7.118430912452246)</t>
  </si>
  <si>
    <t>['RV13 S41D1 m3209']</t>
  </si>
  <si>
    <t>LINESTRING Z (48337.15502607089 6804934.462121496 9.84, 48338.577647123195 6804940.83328213 9.81)</t>
  </si>
  <si>
    <t>POINT Z (48337.86633659704 6804937.647701813 9.825)</t>
  </si>
  <si>
    <t>['RV13 S41D1 m224']</t>
  </si>
  <si>
    <t>LINESTRING Z (47422.89686879155 6802200.744071435 6.93, 47419.80642267206 6802195.059988987 6.9)</t>
  </si>
  <si>
    <t>POINT Z (47421.351645731804 6802197.902030211 6.915)</t>
  </si>
  <si>
    <t>2022-08-22</t>
  </si>
  <si>
    <t>['EV39 S59D10 m677']</t>
  </si>
  <si>
    <t>LINESTRING Z (8169.714179025032 6837548.722977798 234.19, 8152.576621578366 6837531.103965601 234.076, 8124.465428248048 6837510.54731965 233.061, 8119.742187103955 6837506.985610774 232.008, 8119.998572086333 6837503.060264027 231.99)</t>
  </si>
  <si>
    <t>POINT Z (8144.465909348403 6837525.172910389 233.7831496461684)</t>
  </si>
  <si>
    <t>['EV39 S58D1 m12778 SD1 m62']</t>
  </si>
  <si>
    <t>LINESTRING Z (9792.654812209308 6840157.81264358 270.4, 9779.442129456671 6840137.942445083 268.71, 9767.730808736756 6840126.546151888 267.342)</t>
  </si>
  <si>
    <t>POINT Z (9781.524364262397 6840141.073862046 268.97633325627805)</t>
  </si>
  <si>
    <t>2022-10-18</t>
  </si>
  <si>
    <t>[32]</t>
  </si>
  <si>
    <t>['EV6 S25D1 m3982']</t>
  </si>
  <si>
    <t>LINESTRING (290091.87382107036 6695003.906388999, 290094.42816089606 6695007.018469331)</t>
  </si>
  <si>
    <t>POINT (290093.15099098324 6695005.462429165)</t>
  </si>
  <si>
    <t>[34]</t>
  </si>
  <si>
    <t>['EV6 S47D1 m2223']</t>
  </si>
  <si>
    <t>LINESTRING (234889.2888988615 6834056.9982192535, 230721.87359664822 6835688.4726882735)</t>
  </si>
  <si>
    <t>POINT (232805.58124775486 6834872.735453764)</t>
  </si>
  <si>
    <t>['EV6 S42D1 m6178']</t>
  </si>
  <si>
    <t>LINESTRING (248634.27601286088 6805751.824835379, 250687.35106051402 6802541.205066133)</t>
  </si>
  <si>
    <t>POINT (249660.81353668746 6804146.514950756)</t>
  </si>
  <si>
    <t>2023-03-06</t>
  </si>
  <si>
    <t>[1521]</t>
  </si>
  <si>
    <t>['FV1521 S1D1 m853']</t>
  </si>
  <si>
    <t>LINESTRING Z (273451.6872343132 6649635.601609382 184.52, 273450.7359909762 6649647.904114717 184.63, 273449.7756907734 6649660.217489713 184.73, 273449.0237237987 6649672.612389175 184.81)</t>
  </si>
  <si>
    <t>POINT Z (273450.2527905613 6649654.099914623 184.68031764166275)</t>
  </si>
  <si>
    <t>['FV1521 S1D1 m576']</t>
  </si>
  <si>
    <t>LINESTRING Z (273442.22149248957 6649965.1499366155 181.42000000000002, 273446.1980505485 6649953.9688333385 181.5, 273449.9871025015 6649943.487909026 181.54, 273453.4727000379 6649934.3104223395 181.58)</t>
  </si>
  <si>
    <t>POINT Z (273447.7440805014 6649949.692348582 181.51632102142773)</t>
  </si>
  <si>
    <t>2023-10-19</t>
  </si>
  <si>
    <t>[16]</t>
  </si>
  <si>
    <t>['EV16 S8D1 m8218']</t>
  </si>
  <si>
    <t>LINESTRING Z (13182.230174781871 6756507.429133086 -0.0674988105893135, 13199.428125747596 6756506.1062137745 -0.067536473274231, 13223.90213289106 6756504.121834805 -0.0675897374749184, 13272.850147181074 6756504.7832944505 -0.0677099749445915, 13305.923129808914 6756505.444754101 -0.0677916929125786)</t>
  </si>
  <si>
    <t>POINT Z (13244.014796230202 6756504.39362755 -0.067639142865175)</t>
  </si>
  <si>
    <t>['EV16 S8D1 m7809']</t>
  </si>
  <si>
    <t>LINESTRING Z (12548.551827765594 6756715.788924592 -0.0666221901774406, 12575.010213867296 6756718.434763206 -0.0666945651173592, 12610.729035104101 6756719.096222853 -0.0667826160788536, 12645.124937034154 6756716.450384227 -0.0668566450476646, 12668.937484522932 6756711.8201666325 -0.0668988302350044, 12700.687547838606 6756701.898271801 -0.066943071782589, 12730.453232196509 6756690.653457657 -0.0669784620404243, 12776.093948209134 6756668.82528903 -0.0670184642076492, 12823.719043179764 6756648.981499364 -0.0670700967311859, 12891.8493873736 6756615.908516593 -0.0671301782131195, 12941.4588613027 6756594.080347962 -0.0671817734837532, 13001.65168966935 6756566.960502087 -0.067243218421936, 13044.646567072778 6756545.7937931195 -0.0672821700572968, 13098.224798917188 6756523.965624486 -0.0673453062772751, 13137.250918412406 6756514.7051893035 -0.067411795258522, 13161.063465902582 6756511.397891023 -0.0674595013260841)</t>
  </si>
  <si>
    <t>POINT Z (12858.596994074509 6756632.050455162 -0.0671008542299386)</t>
  </si>
  <si>
    <t>Skredmagasin/Fanggrøft</t>
  </si>
  <si>
    <t>2024-07-19</t>
  </si>
  <si>
    <t>2025-11-22T09:56:23Z</t>
  </si>
  <si>
    <t>[660]</t>
  </si>
  <si>
    <t>['FV660 S5D1 m6282-6302']</t>
  </si>
  <si>
    <t>LINESTRING (149257.28875966236 6972514.543879638, 149261.21465527237 6972518.2232704535, 149265.58202303894 6972515.1341884965, 149270.68451351102 6972499.548115392, 149269.7156622202 6972491.7868522)</t>
  </si>
  <si>
    <t>Ingen tiltak</t>
  </si>
  <si>
    <t>Det finnes flate allerede.</t>
  </si>
  <si>
    <t>Ingen ny geometri</t>
  </si>
  <si>
    <t>['EV39 S27D1 m4511-4601']</t>
  </si>
  <si>
    <t>LINESTRING (90277.21572150127 6962243.228086633, 90268.35011633154 6962255.740503796, 90261.58770984667 6962270.764541699, 90256.23059929878 6962285.891663403, 90255.77551451244 6962300.1303492915, 90267.59534373094 6962307.835355482, 90282.98603501637 6962306.197356561, 90298.61686631659 6962304.251458636, 90310.822169339 6962299.395136286, 90308.05342319538 6962288.338619586, 90309.26324518467 6962273.449843521, 90317.97800320334 6962260.685662328, 90333.67875792697 6962257.062780461, 90352.74490772578 6962249.666275587, 90319.11972365517 6962245.249099516, 90282.37743990833 6962243.149000133)</t>
  </si>
  <si>
    <t>[11]</t>
  </si>
  <si>
    <t>[503]</t>
  </si>
  <si>
    <t>['FV503 S3D1 m2817-3033']</t>
  </si>
  <si>
    <t>LINESTRING Z (-4501.47687755289 6546439.32064961 -999999, -4497.06557154639 6546441.00114714 -999999, -4494.75488744775 6546442.89170685 -999999, -4490.97376801361 6546444.99232876 -999999, -4482.99140476376 6546449.40363477 -999999, -4476.89960123098 6546453.1847542 -999999, -4467.65686483641 6546459.69668212 -999999, -4460.5147503497 6546465.15829908 -999999, -4453.16257367221 6546470.19979166 -999999, -4448.54120547492 6546473.98091109 -999999, -4443.49971289607 6546478.3922171 -999999, -4437.61797155408 6546482.59346091 -999999, -4431.31610583051 6546486.37458035 -999999, -4426.06455106087 6546489.31545102 -999999, -4420.18280971887 6546492.46638388 -999999, -4413.46081961373 6546495.61731674 -999999, -4405.05833198231 6546499.39843618 -999999, -4398.12627968639 6546501.91918246 -999999, -4390.77410300889 6546504.86005314 -999999, -4384.47223728532 6546506.96067504 -999999, -4377.96030937097 6546509.48142133 -999999, -4365.56664011462 6546512.422292 -999999, -4355.90377933849 6546514.94303829 -999999, -4347.08116732549 6546517.25372239 -999999, -4338.67867969407 6546518.72415773 -999999, -4332.79693835208 6546520.40465525 -999999, -4326.49507262851 6546521.6650284 -999999, -4323.34413976672 6546522.50527716 -999999, -4319.98314471415 6546523.34552592 -999999, -4318.72277156944 6546523.76565031 -999999)</t>
  </si>
  <si>
    <t>[4242]</t>
  </si>
  <si>
    <t>['FV4242 S1D1 m2039-2153']</t>
  </si>
  <si>
    <t>LINESTRING Z (-6816.9028373417 6501378.2551968 -999999, -6807.83551603055 6501387.53586685 -999999, -6800.3683102449 6501394.68304953 -999999, -6793.00777882761 6501402.79030153 -999999, -6786.28729362052 6501409.93748421 -999999, -6781.06024957057 6501416.12459757 -999999, -6775.93987988898 6501423.48512899 -999999, -6770.17946399719 6501430.41896293 -999999, -6764.95241994723 6501437.67281998 -999999, -6759.72537589728 6501445.14002577 -999999, -6754.28498311059 6501452.28720845 -999999, -6750.23135711266 6501457.94094997 -999999, -6747.2444747984 6501463.27466839 -999999, -6745.6443592729 6501466.47489944 -999999, -6743.61754627394 6501468.50171244 -999999, -6742.76415132701 6501469.88847923 -999999, -6741.48405890661 6501471.27524602 -999999)</t>
  </si>
  <si>
    <t>['EV39 S110D1 m7217 SD1 m79-98']</t>
  </si>
  <si>
    <t>LINESTRING (11125.35748584068 6508386.473181017, 11133.525025965122 6508407.230030234)</t>
  </si>
  <si>
    <t>[55]</t>
  </si>
  <si>
    <t>[8]</t>
  </si>
  <si>
    <t>['EV8 S5D1 m8213-8395']</t>
  </si>
  <si>
    <t>LINESTRING Z (666057.893696237 7715406.21126569 -999999, 666057.893696237 7715350.61613648 -999999, 666079.514024265 7715291.93238898 -999999, 666085.691260844 7715245.60311463 -999999, 666098.045734003 7715223.9827866 -999999, 666125.84329861 7715251.78035121 -999999, 666141.286390058 7715295.02100727 -999999, 666132.020535189 7715344.4388999 -999999, 666132.020535189 7715403.1226474 -999999, 666141.286390058 7715430.92021201 -999999, 666060.982314527 7715403.1226474 -999999)</t>
  </si>
  <si>
    <t>[5722]</t>
  </si>
  <si>
    <t>['FV5722 S1D20 m934-943']</t>
  </si>
  <si>
    <t>LINESTRING Z (79285.2079702058 6894911.70916443 -999999, 79288.249519587 6894907.60307277 -999999)</t>
  </si>
  <si>
    <t>2025-11-22T09:56:26Z</t>
  </si>
  <si>
    <t>['EV16 S15D1 m3485-3543']</t>
  </si>
  <si>
    <t>LINESTRING Z (54050.96838961 6774797.46459877 -999999, 54043.3453776014 6774801.27610477 -999999, 54032.8637360896 6774798.41747527 -999999, 54023.3349710789 6774792.22377801 -999999, 53994.2722377962 6774792.70021626 -999999, 53963.3037515113 6774793.65309276 -999999, 53927.5708827211 6774792.22377801 -999999, 53891.8380139308 6774792.22377801 -999999, 53854.1993921385 6774786.03008076 -999999, 53819.8958380999 6774777.9306305 -999999, 53823.2309058536 6774758.87310047 -999999, 53843.7177506267 6774762.68460648 -999999, 53881.356372419 6774770.30761849 -999999, 53911.3719822028 6774771.73693324 -999999, 53949.0106039952 6774772.21337149 -999999, 53974.2618312736 6774774.59556274 -999999, 54009.9947000639 6774774.59556274 -999999, 54026.1936005821 6774776.02487749 -999999, 54033.8166125907 6774774.11912449 -999999, 54042.3925011003 6774773.16624799 -999999, 54054.7798956143 6774777.9306305 -999999, 54056.6856486164 6774785.07720426 -999999, 54055.2563338648 6774793.17665451 -999999)</t>
  </si>
  <si>
    <t>[501]</t>
  </si>
  <si>
    <t>['FV501 S2D1 m1008-1024']</t>
  </si>
  <si>
    <t>LINESTRING (-7152.714265967137 6511634.987103636, -7134.406496596232 6511634.495632127)</t>
  </si>
  <si>
    <t>[50]</t>
  </si>
  <si>
    <t>[6654]</t>
  </si>
  <si>
    <t>['FV6654 S1D1 m2811-3075']</t>
  </si>
  <si>
    <t>LINESTRING Z (260740.86775951428 7033879.084967625 149.259, 260747.83671570462 7033865.380921724 150.109, 260755.44915211736 7033849.806217961 150.549, 260760.80932923217 7033839.7670138115 151.299, 260764.47655447407 7033833.4100943 151.859, 260768.73887819075 7033826.751496711 152.229, 260773.95752827698 7033819.384041695 152.589, 260778.27810264335 7033813.70505134 152.959, 260783.8945976183 7033806.822194402 153.239, 260789.01755015593 7033800.524144667 153.609, 260796.57922185498 7033791.718009474 154.269, 260803.41680742239 7033783.771099044 154.729, 260811.45716139916 7033774.314238709 155.189, 260819.64820746344 7033764.857314744 155.569, 260828.1697434709 7033755.051446395 156.009, 260833.28536729066 7033748.9888373045 156.199, 260838.11636906659 7033742.9475220665 156.379, 260842.60947903406 7033736.953845039 156.569, 260846.98858737026 7033730.912794552 156.749, 260851.62743570295 7033724.248544954 157.029, 260854.7879908388 7033719.7074562125 157.029, 260858.55625172137 7033713.622651609 157.099, 260862.6258510076 7033707.135160967 156.979, 260865.89551817536 7033702.03804954 157.079, 260870.4977720477 7033696.092167742 157.439, 260873.856411728 7033692.25188913 157.429, 260875.7051084932 7033690.313497203 157.339, 260881.29524784468 7033685.355987339 157.339, 260885.55938359597 7033682.2754328 157.429, 260890.53844451663 7033679.488052828 157.429, 260895.06883116087 7033677.483363333 157.339, 260898.94913650284 7033676.119882308 157.249)</t>
  </si>
  <si>
    <t>2024-09-19</t>
  </si>
  <si>
    <t>[40]</t>
  </si>
  <si>
    <t>[41]</t>
  </si>
  <si>
    <t>['RV41 S12D1 m3872-3924']</t>
  </si>
  <si>
    <t>LINESTRING Z (126700.16208505852 6552386.699626179 167.138, 126683.63354554411 6552336.871803271 171.528)</t>
  </si>
  <si>
    <t>POLYGON ((126684.10811736941 6552336.714381599, 126683.15897371882 6552337.029224942, 126699.68751323322 6552386.857047851, 126700.63665688381 6552386.542204508, 126684.10811736941 6552336.714381599))</t>
  </si>
  <si>
    <t>2024-12-17</t>
  </si>
  <si>
    <t>[720]</t>
  </si>
  <si>
    <t>['FV720 S3D1 m11032-11047']</t>
  </si>
  <si>
    <t>LINESTRING (260985.2018712922 7068397.685529097, 260971.27141921883 7068389.691989206)</t>
  </si>
  <si>
    <t>POLYGON ((260971.52026934788 7068389.258314658, 260971.02256908978 7068390.125663754, 260984.95302116315 7068398.119203645, 260985.45072142125 7068397.251854549, 260971.52026934788 7068389.258314658))</t>
  </si>
  <si>
    <t>[6312]</t>
  </si>
  <si>
    <t>['FV6312 S2D1 m3765-3791']</t>
  </si>
  <si>
    <t>LINESTRING (271191.1152642027 7126505.796996659, 271196.48976731376 7126500.6971161775, 271201.2286558028 7126497.603163896, 271206.9259824708 7126495.091006009, 271211.6408698177 7126493.435267611, 271217.84396389575 7126492.452598094)</t>
  </si>
  <si>
    <t>POLYGON ((271196.8010580729 7126501.091009479, 271201.4677782499 7126498.044174853, 271207.1099570855 7126495.556333644, 271211.7638198879 7126493.922025383, 271217.92219634523 7126492.946439854, 271217.76573144627 7126491.958756334, 271211.5626373682 7126492.941425852, 271211.51842072554 7126492.95049321, 271211.4752019591 7126492.9635111485, 271206.7603146122 7126494.619249546, 271206.7242543647 7126494.633506532, 271201.02692769666 7126497.145664419, 271200.99032814463 7126497.163618759, 271200.9553128854 7126497.184494994, 271196.2164243964 7126500.278447275, 271196.17974742776 7126500.304830988, 271196.1456018339 7126500.334417787, 271190.7710987228 7126505.4342982685, 271191.4594296826 7126506.159695049, 271196.8010580729 7126501.091009479))</t>
  </si>
  <si>
    <t>2025-01-24</t>
  </si>
  <si>
    <t>[450]</t>
  </si>
  <si>
    <t>['FV450 S7D1 m6402-6783']</t>
  </si>
  <si>
    <t>LINESTRING Z (74412.41 6601532.96 812.13, 74413.04 6601533.27 812.1, 74416.92 6601535.21 812.09, 74417.51 6601535.51 812.09, 74418.37 6601535.95 812.09, 74419.22 6601536.39 812.09, 74420.33 6601536.96 812.09, 74421.48 6601537.42 812.09, 74422.36 6601537.78 812.09, 74423.25 6601538.15 812.09, 74424.13 6601538.51 812.09, 74425.01 6601538.88 812.09, 74425.89 6601539.26 812.09, 74426.77 6601539.64 812.08, 74427.64 6601540.03 812.08, 74428.51 6601540.41 812.08, 74429.38 6601540.82 812.08, 74430.25 6601541.21 812.08, 74431.12 6601541.62 812.08, 74431.98 6601542.04 812.08, 74432.85 6601542.45 812.08, 74433.7 6601542.87 812.08, 74434.55 6601543.3 812.08, 74435.41 6601543.73 812.08, 74436.26 6601544.16 812.08, 74437.1 6601544.61 812.07, 74437.95 6601545.05 812.07, 74438.8 6601545.5 812.07, 74439.63 6601545.96 812.07, 74440.47 6601546.42 812.07, 74441.31 6601546.89 812.07, 74442.14 6601547.36 812.07, 74442.97 6601547.83 812.07, 74443.8 6601548.31 812.07, 74444.62 6601548.79 812.07, 74445.45 6601549.28 812.07, 74446.27 6601549.78 812.07, 74447.08 6601550.27 812.07, 74447.89 6601550.77 812.0600000000001, 74448.71 6601551.28 812.0600000000001, 74449.51 6601551.8 812.0600000000001, 74450.31 6601552.31 812.0600000000001, 74451.12 6601552.84 812.0600000000001, 74451.92 6601553.36 812.0600000000001, 74452.71 6601553.88 812.0600000000001, 74453.5 6601554.42 812.0600000000001, 74454.3 6601554.97 812.0600000000001, 74455.07 6601555.5 812.0600000000001, 74455.86 6601556.06 812.0600000000001, 74456.64 6601556.61 812.0600000000001, 74457.42 6601557.16 812.0500000000001, 74458.19 6601557.73 812.0500000000001, 74458.96 6601558.29 812.0500000000001, 74459.73 6601558.87 812.0500000000001, 74460.49 6601559.44 812.0500000000001, 74461.25 6601560.02 812.0500000000001, 74462.01 6601560.6 812.0500000000001, 74462.76 6601561.19 812.0500000000001, 74463.52 6601561.78 812.0500000000001, 74464.26 6601562.38 812.0500000000001, 74465 6601562.98 812.0500000000001, 74465.75 6601563.58 812.0500000000001, 74466.48 6601564.19 812.0500000000001, 74466.78 6601564.44 812.04, 74471.08 6601568.04 812.04, 74478.63 6601574.35 812.03, 74478.76 6601574.45 812.03, 74479.5 6601575.08 812.03, 74480.24 6601575.7 812.03, 74480.97 6601576.33 812.03, 74481.71 6601576.96 812.03, 74482.44 6601577.6 812.03, 74483.16 6601578.23 812.03, 74483.88 6601578.88 812.03, 74484.61 6601579.52 812.03, 74485.33 6601580.17 812.02, 74486.04 6601580.82 812.02, 74486.76 6601581.48 812.02, 74487.47 6601582.13 812.02, 74488.17 6601582.79 812.02, 74488.88 6601583.45 812.02, 74489.58 6601584.12 812.02, 74490.27 6601584.79 812.02, 74490.97 6601585.46 812.02, 74491.66 6601586.13 812.02, 74492.35 6601586.81 812.02, 74492.48 6601586.94 812.02, 74493.03 6601587.49 812.02, 74493.72 6601588.18 812.01, 74494.4 6601588.87 812.01, 74495.07 6601589.56 812.01, 74495.75 6601590.25 812.01, 74496.42 6601590.95 812.01, 74497.09 6601591.64 812.01, 74497.76 6601592.34 812.01, 74498.42 6601593.05 812.01, 74499.08 6601593.75 812.01, 74499.73 6601594.46 812.01, 74500.39 6601595.18 812.01, 74501.03 6601595.9 812.01, 74501.68 6601596.61 812.01, 74502.33 6601597.34 812, 74502.96 6601598.06 812, 74503.61 6601598.78 812, 74504.24 6601599.52 812, 74504.87 6601600.24 812, 74505.5 6601600.98 812, 74506.12 6601601.73 812, 74506.75 6601602.46 812, 74507.36 6601603.21 812, 74507.98 6601603.96 812, 74508.58 6601604.7 812, 74509.19 6601605.45 812, 74509.8 6601606.21 811.99, 74510.4 6601606.97 811.99, 74511 6601607.73 811.99, 74511.59 6601608.49 811.99, 74512.19 6601609.26 811.99, 74512.78 6601610.02 811.99, 74513.37 6601610.79 811.99, 74513.95 6601611.56 811.99, 74514.52 6601612.34 811.99, 74515.1 6601613.11 811.99, 74515.67 6601613.89 811.99, 74516.24 6601614.68 811.99, 74516.8 6601615.46 811.98, 74517.36 6601616.24 811.98, 74517.93 6601617.03 811.98, 74518.48 6601617.83 811.98, 74519.03 6601618.62 811.98, 74519.58 6601619.42 811.98, 74520.12 6601620.21 811.98, 74520.67 6601621.02 811.98, 74521.2 6601621.83 811.98, 74521.74 6601622.63 811.98, 74522.26 6601623.44 811.98, 74522.79 6601624.25 811.98, 74523.31 6601625.07 811.98, 74523.84 6601625.87 811.97, 74524.35 6601626.69 811.97, 74524.86 6601627.51 811.97, 74525.37 6601628.34 811.97, 74525.87 6601629.16 811.97, 74526.38 6601629.99 811.97, 74526.88 6601630.81 811.97, 74527.37 6601631.64 811.97, 74527.86 6601632.48 811.97, 74528.35 6601633.32 811.97, 74528.84 6601634.15 811.97, 74529.32 6601634.99 811.97, 74529.79 6601635.84 811.96, 74530.26 6601636.68 811.96, 74530.73 6601637.52 811.96, 74531.2 6601638.37 811.96, 74531.66 6601639.22 811.96, 74532.12 6601640.07 811.96, 74532.57 6601640.93 811.96, 74533.02 6601641.78 811.96, 74533.47 6601642.64 811.96, 74533.91 6601643.5 811.96, 74534.35 6601644.35 811.96, 74534.79 6601645.22 811.96, 74535.22 6601646.09 811.95, 74535.65 6601646.95 811.95, 74536.07 6601647.82 811.95, 74536.49 6601648.69 811.95, 74536.92 6601649.57 811.95, 74537.33 6601650.44 811.95, 74537.73 6601651.32 811.95, 74538.14 6601652.19 811.95, 74538.54 6601653.07 811.95, 74538.93 6601653.96 811.95, 74539.33 6601654.84 811.95, 74539.72 6601655.72 811.95, 74540.11 6601656.61 811.95, 74540.5 6601657.5 811.94, 74540.87 6601658.39 811.94, 74541.24 6601659.28 811.94, 74541.61 6601660.17 811.94, 74541.98 6601661.06 811.94, 74542.34 6601661.96 811.94, 74542.71 6601662.86 811.94, 74543.06 6601663.76 811.94, 74543.41 6601664.66 811.94, 74543.76 6601665.56 811.94, 74544.1 6601666.47 811.94, 74544.44 6601667.37 811.94, 74544.77 6601668.28 811.9300000000001, 74545.11 6601669.19 811.9300000000001, 74545.43 6601670.1 811.9300000000001, 74545.76 6601671.01 811.9300000000001, 74545.98 6601671.62 811.9300000000001, 74546.08 6601671.92 811.9300000000001, 74548.05 6601677.59 811.9300000000001, 74551.34 6601687.06 811.9200000000001, 74554.64 6601696.52 811.91, 74557.93 6601705.98 811.9, 74561.22 6601715.44 811.89, 74564.51 6601724.9 811.89, 74567.81 6601734.37 811.88, 74571.1 6601743.83 811.87, 74574.39 6601753.29 811.86, 74577.69 6601762.75 811.85, 74578.77 6601765.87 811.85, 74579 6601766.52 811.85, 74579.97 6601769.34 811.85, 74580.93 6601772.16 811.84, 74581.88 6601774.98 811.84, 74582.82 6601777.8 811.84, 74583.75 6601780.64 811.84, 74584.06 6601781.57 811.84, 74584.66 6601783.46 811.83, 74585.54 6601786.17 811.83, 74585.57 6601786.29 811.83, 74586.47 6601789.13 811.83, 74587.06 6601791.03 811.83, 74587.26 6601791.68 811.83, 74588.64 6601796.13 811.82, 74590.02 6601800.58 811.82, 74590.77 6601802.98 811.82, 74591.51 6601805.37 811.82, 74592.25 6601807.76 811.8100000000001, 74592.99 6601810.16 811.8100000000001, 74593.73 6601812.54 811.8100000000001, 74594.47 6601814.94 811.8100000000001, 74595.21 6601817.33 811.8100000000001, 74595.96 6601819.72 811.8000000000001, 74596.69 6601822.12 811.8000000000001, 74597.44 6601824.51 811.8000000000001, 74598.18 6601826.9 811.8000000000001, 74598.93 6601829.29 811.79, 74600.65 6601834.86 811.79)</t>
  </si>
  <si>
    <t>POLYGON ((74412.81781737298 6601533.717925681, 74416.69488237712 6601535.656458183, 74417.28281908704 6601535.955409053, 74418.14120289846 6601536.394582165, 74418.99014643773 6601536.834035291, 74418.99159765741 6601536.834783508, 74420.10159765741 6601537.404783509, 74420.14430466184 6601537.424238346, 74421.29249131966 6601537.883513008, 74422.16937057993 6601538.242236343, 74423.05806071551 6601538.6116917925, 74423.06068357741 6601538.612773479, 74423.93844012091 6601538.971855701, 74424.81398934645 6601539.339984353, 74426.56861745473 6601540.097664672, 74427.4354720477 6601540.486254662, 74427.43986690331 6601540.488199458, 74428.30331678115 6601540.865338486, 74429.16685114954 6601541.272291464, 74429.1754720481 6601541.276254662, 74430.04114276267 6601541.664313948, 74430.90370631077 6601542.070809413, 74431.76058235078 6601542.489283758, 74431.76685114953 6601542.492291464, 74432.63265952391 6601542.9003161, 74433.47639566382 6601543.317221016, 74434.32429609544 6601543.746158881, 74434.32639320199 6601543.747213596, 74435.18534349209 6601544.176688741, 74436.02906090999 6601544.603510493, 74436.86388929367 6601545.050739985, 74436.87014643772 6601545.054035292, 74437.71809634869 6601545.492974069, 74438.56181918785 6601545.939650866, 74439.3876260295 6601546.397326947, 74439.38984268859 6601546.398548134, 74440.22784455818 6601546.857453919, 74441.0647396579 6601547.325716654, 74441.89362598755 6601547.795086022, 74442.7216515707 6601548.263967978, 74443.54854721067 6601548.7421726845, 74444.3666094049 6601549.22103836, 74445.1927401049 6601549.708754075, 74446.00969628787 6601550.206898089, 74446.01120039204 6601550.207811598, 74446.81927759312 6601550.696648423, 74447.6266481424 6601551.195025304, 74448.44169215129 6601551.701942921, 74449.23750582486 6601552.219221808, 74449.2412213307 6601552.221613599, 74450.03871919576 6601552.730018488, 74450.84623616334 6601553.258393788, 74450.84750582452 6601553.259221808, 74451.64629800097 6601553.778436723, 74452.43144878591 6601554.295244834, 74453.21729012641 6601554.832402206, 74454.01662144222 6601555.381942485, 74454.7836646895 6601555.909907319, 74455.57084808486 6601556.467910738, 74455.5718641192 6601556.468629066, 74456.3518641192 6601557.018629067, 74457.12714858753 6601557.565304013, 74457.89251105367 6601558.131871033, 74457.8959141513 6601558.134368042, 74458.66252150066 6601558.691900659, 74459.42917077188 6601559.269376734, 74459.42999999989 6601559.2700000005, 74460.18832640191 6601559.838744802, 74460.94666334061 6601560.417475623, 74461.7037440508 6601560.995247743, 74462.4508578711 6601561.582977283, 74462.45338959835 6601561.584955772, 74463.2092095168 6601562.171710709, 74463.9450990209 6601562.768377874, 74464.68509902061 6601563.368377875, 74464.68765247634 6601563.370434405, 74465.43348574072 6601563.967101016, 74466.15939111784 6601564.573679483, 74466.15990780016 6601564.57411064, 74466.45946936971 6601564.823745281, 74470.7590316718 6601568.423378836, 74478.30935832813 6601574.7336520795, 74478.3251446185 6601574.746311993, 74478.44531754707 6601574.838752708, 74479.175877207 6601575.460715662, 74479.17889006867 6601575.463260241, 74479.91609031137 6601576.080914498, 74480.64332508796 6601576.708528073, 74480.645877207 6601576.710715662, 74481.3831129968 6601577.338362347, 74482.11038323042 6601577.975969127, 74482.82782808485 6601578.603733688, 74483.54494845377 6601579.25113402, 74483.55038323042 6601579.255969128, 74484.27764825105 6601579.893571337, 74484.99365664342 6601580.539967803, 74485.70225548367 6601581.188685051, 74486.4221376857 6601581.84857707, 74487.12966493338 6601582.496313421, 74487.82699356561 6601583.153794703, 74487.82957666149 6601583.1562129855, 74488.53690584544 6601583.813730256, 74489.23297307956 6601584.479966036, 74489.92168358594 6601585.148713919, 74489.92427153538 6601585.151208844, 74490.62297307956 6601585.819966036, 74491.31035533495 6601586.487424168, 74491.99773695513 6601587.164843735, 74492.12644660828 6601587.29355339, 74492.67644660946 6601587.843553391, 74493.36515628723 6601588.5322630685, 74494.04257586524 6601589.219644699, 74494.71128608116 6601589.908316414, 74494.71387541454 6601589.910963359, 74495.39131420011 6601590.598364481, 74496.05879115629 6601591.295728465, 74496.06128608114 6601591.2983164145, 74496.7300339823 6601591.987026939, 74497.39626974677 6601592.683094156, 74498.05378701468 6601593.390423338, 74498.05620529686 6601593.393006434, 74498.71368657984 6601594.090335067, 74499.36120739407 6601594.797627034, 74500.01883740653 6601595.515041743, 74500.65629534051 6601596.23218192, 74500.66120739408 6601596.237627034, 74501.30887483586 6601596.945079163, 74501.95513767283 6601597.670882041, 74502.58371165271 6601598.389252303, 74502.58886597923 6601598.395051545, 74503.23399572722 6601599.109656805, 74503.8592843385 6601599.844122793, 74503.86371165249 6601599.849252303, 74504.49148060898 6601600.56670254, 74505.11693649317 6601601.301365007, 74505.73462884071 6601602.048573492, 74505.7414719274 6601602.056674913, 74506.36670499307 6601602.781151322, 74506.97210125063 6601603.525490982, 74506.97462884072 6601603.528573492, 74507.59311675632 6601604.276744357, 74508.1916221256 6601605.01490098, 74508.19210125064 6601605.015490983, 74508.80107983165 6601605.76423514, 74509.40880632776 6601606.521402577, 74510.00755861728 6601607.279822144, 74510.60629486799 6601608.038221396, 74511.19504422837 6601608.796610402, 74511.195599855 6601608.797324789, 74511.79532173181 6601609.566967864, 74512.38407507812 6601610.325362004, 74512.97186184127 6601611.092473543, 74513.54844275977 6601611.857934417, 74514.11630443882 6601612.635008294, 74514.12062326608 6601612.640829228, 74514.6984427485 6601613.407934403, 74515.26541107838 6601614.183785802, 74515.83418109755 6601614.972081091, 74516.95383813315 6601616.531603391, 74516.95452508688 6601616.532557849, 74517.52119923463 6601617.317948334, 74518.06797903792 6601618.113264412, 74518.06965329761 6601618.115684413, 74518.6188126137 6601618.904476886, 74519.16759793706 6601619.702710083, 74519.70678156838 6601620.491515766, 74520.25394614806 6601621.297339965, 74520.78160621197 6601622.103763836, 74520.78557566299 6601622.109736428, 74521.32235346369 6601622.904962799, 74521.83924206842 6601623.710116203, 74521.84160621211 6601623.713763837, 74522.36965460403 6601624.52078119, 74522.88774571073 6601625.337771012, 74522.89317500386 6601625.34614656, 74523.41921085765 6601626.140162943, 74523.92542009403 6601626.95406799, 74524.4347042954 6601627.772917098, 74524.94354702983 6601628.601033705, 74525.44310191205 6601629.420303713, 74525.44399471153 6601629.421762286, 74525.95354704514 6601630.251033731, 74526.45124591702 6601631.06725988, 74526.9387690538 6601631.893064377, 74527.42811054944 6601632.731935513, 74527.91811054958 6601633.571935513, 74527.91943349705 6601633.574189863, 74528.407634303 6601634.401142249, 74528.88413599794 6601635.235020215, 74529.35243659417 6601636.081946825, 74529.35365844143 6601636.084143491, 74530.2930447975 6601637.763046766, 74530.76134117132 6601638.609965741, 74531.22026377484 6601639.457974899, 74531.6786020901 6601640.304904394, 74532.12698344703 6601641.161810987, 74532.12810604177 6601641.16394386, 74532.57754218031 6601642.012878789, 74533.025920347 6601642.869779284, 74533.46487591848 6601643.727737902, 74533.46596470887 6601643.729853563, 74533.90488087584 6601644.577759794, 74534.3427793127 6601645.443604431, 74534.77176071788 6601646.311543553, 74534.77278640447 6601646.313606798, 74535.20123366259 6601647.170501314, 74535.61972418182 6601648.037374533, 74536.03972418181 6601648.907374533, 74536.04076306634 6601648.909513502, 74536.46921334347 6601649.786341976, 74536.87624114104 6601650.6500351075, 74537.27481676127 6601651.526901472, 74537.27770853692 6601651.53314885, 74537.68624114104 6601652.4000351075, 74538.08340694018 6601653.2737998655, 74538.47203950839 6601654.160679316, 74538.47481676127 6601654.166901472, 74538.87383831908 6601655.0447488995, 74539.26245789879 6601655.921634104, 74539.6520395083 6601656.8106793165, 74540.04013232674 6601657.69632703, 74540.40830820771 6601658.581939284, 74540.77830820765 6601659.471939284, 74541.51701387457 6601661.248825888, 74541.87576165453 6601662.145695338, 74541.87755460883 6601662.150116438, 74542.24573353976 6601663.045686811, 74542.59399766427 6601663.941223131, 74542.9439976642 6601664.841223131, 74543.29279020715 6601665.738118241, 74543.63162423101 6601666.64499754, 74543.63226395314 6601666.646700284, 74543.97108752921 6601667.5435862215, 74544.29995265798 6601668.450456728, 74544.30162423101 6601668.45499754, 74544.6399246623 6601669.360448695, 74544.95831375927 6601670.265867689, 74544.95995265797 6601670.270456728, 74545.28980326695 6601671.18004477, 74545.50758628375 6601671.783897681, 74545.605658351 6601672.078113883, 74545.60769544117 6601672.084098762, 74547.577693232 6601677.754092404, 74550.86769107818 6601687.224086204, 74550.86789990928 6601687.224686078, 74554.16782230452 6601696.684463611, 74557.4577448673 6601706.14424095, 74560.7477448673 6601715.60424095, 74564.0377448673 6601725.06424095, 74567.33779538164 6601734.534386198, 74570.6277448673 6601743.99424095, 74573.9177448673 6601753.45424095, 74577.21770275004 6601762.914120888, 74578.29750696328 6601766.033555282, 74578.29863886356 6601766.036789325, 74578.52790474298 6601766.684714636, 74579.4969307962 6601769.501883162, 74580.4564187312 6601772.320378971, 74581.4059104109 6601775.138870063, 74582.34524006414 6601777.956859022, 74583.27482842069 6601780.79560196, 74583.27565835095 6601780.798113883, 74583.58452361915 6601781.724709688, 74584.18343786644 6601783.611289566, 74584.18444429319 6601783.614423993, 74585.05911432616 6601786.308010117, 74585.08492874991 6601786.411267812, 74585.09336109996 6601786.441047539, 74585.99292277484 6601789.27966438, 74586.5823006747 6601791.177661006, 74586.78211049567 6601791.827042924, 74586.78243651525 6601791.828098339, 74589.54243651526 6601800.728098339, 74589.54276001098 6601800.729137497, 74590.29256445363 6601803.128511714, 74591.0323704968 6601805.517885285, 74591.7722834072 6601807.907604009, 74592.51219666823 6601810.307322694, 74592.5125463279 6601810.308451982, 74593.25237083284 6601812.687887552, 74593.99219666823 6601815.087322694, 74593.99237049681 6601815.087885286, 74594.73237049681 6601817.477885285, 74594.73293793613 6601817.479705669, 74595.48227918783 6601819.867606457, 74596.2116389276 6601822.265501493, 74596.21293793613 6601822.269705669, 74596.96265249114 6601824.658796051, 74597.70237049677 6601827.047885286, 74597.70293793612 6601827.049705669, 74598.45259603283 6601829.438616137, 74600.17225909841 6601835.007525018, 74601.12774090157 6601834.712474982, 74599.40774090157 6601829.142474982, 74599.40706206387 6601829.140294331, 74598.65734750885 6601826.75120395, 74597.91762950322 6601824.362114714, 74597.91706206388 6601824.360294331, 74597.16772081218 6601821.9723935425, 74596.4383610724 6601819.574498507, 74596.43706206388 6601819.570294331, 74595.68734750667 6601817.181203942, 74594.9477165928 6601814.792395991, 74594.20780333177 6601812.392677306, 74594.2074536721 6601812.391548018, 74593.46762916716 6601810.012112448, 74592.72780333177 6601807.612677306, 74592.72762950319 6601807.612114714, 74591.98762950319 6601805.222114715, 74591.2476295032 6601802.832114715, 74591.24723998902 6601802.8308625035, 74590.49740229674 6601800.431381888, 74587.73772706793 6601791.532429157, 74587.53788950432 6601790.882957076, 74587.53750752957 6601790.881721347, 74586.94750752958 6601788.981721346, 74586.94663890004 6601788.978952461, 74586.05131614505 6601786.153711768, 74586.02507125009 6601786.048732188, 74586.0155557068 6601786.015576007, 74585.13606408592 6601783.307141583, 74584.53656213357 6601781.418710434, 74584.53434164905 6601781.411886117, 74584.22475993345 6601780.48314097, 74583.29517157932 6601777.644398039, 74583.29434164902 6601777.641886117, 74582.35434164901 6601774.821886118, 74582.3538351585 6601774.820374681, 74581.40383515849 6601772.00037468, 74581.40332495302 6601771.998868101, 74580.44332495303 6601769.178868101, 74580.44281107555 6601769.177366403, 74579.47281107555 6601766.357366403, 74579.47136113644 6601766.353210675, 74579.24193263728 6601765.704825786, 74578.16249303673 6601762.586444718, 74578.16210009072 6601762.585313922, 74574.86217769548 6601753.125536389, 74571.5722551327 6601743.66575905, 74568.2822551327 6601734.20575905, 74564.98220461835 6601724.735613802, 74561.6922551327 6601715.275759051, 74558.40225513269 6601705.815759051, 74555.1122551327 6601696.35575905, 74551.81220468893 6601686.89561377, 74548.52230892182 6601677.425913796, 74546.55334202145 6601671.758887234, 74546.45434164899 6601671.461886117, 74546.45034533323 6601671.450367257, 74546.23034533323 6601670.840367257, 74546.23004734202 6601670.839543272, 74545.90087797621 6601669.931833808, 74545.58168624072 6601669.024132311, 74545.578375769 6601669.01500246, 74545.2392225343 6601668.107268803, 74544.91004734203 6601667.199543272, 74544.90773604687 6601667.193299715, 74544.5680574472 6601666.294150481, 74544.22837576899 6601665.385002459, 74544.22600233572 6601665.378776869, 74543.87600233573 6601664.478776869, 74543.5260023358 6601663.578776869, 74543.17600233573 6601662.67877687, 74543.17244539117 6601662.669883562, 74542.80335241983 6601661.772089847, 74542.44423834546 6601660.8743046615, 74542.44169179228 6601660.8680607155, 74541.70169179229 6601659.088060716, 74541.33169179235 6601658.198060716, 74540.96169179228 6601657.308060716, 74540.9579604916 6601657.299320684, 74540.56796049161 6601656.409320684, 74540.1779604917 6601655.519320684, 74540.17711972803 6601655.517412848, 74539.78711972803 6601654.637412848, 74539.78518323872 6601654.633098528, 74539.38659305981 6601653.756200135, 74538.9979604916 6601652.869320684, 74538.99518323872 6601652.863098528, 74538.59518323872 6601651.983098528, 74538.59229146308 6601651.97685115, 74538.18375885896 6601651.109964893, 74537.78518323872 6601650.233098528, 74537.78229146308 6601650.22685115, 74537.37229146308 6601649.35685115, 74537.36923693366 6601649.350486498, 74536.93975889178 6601648.471554692, 74536.5202758182 6601647.602625468, 74536.10027581819 6601646.732625468, 74536.09721359552 6601646.726393202, 74535.6677288122 6601645.867423635, 74535.23823928212 6601644.998456446, 74535.23618318199 6601644.994344138, 74534.796183182 6601644.1243441375, 74534.79403529114 6601644.120146437, 74534.35458216858 6601643.271202905, 74533.91512408153 6601642.412262098, 74533.913016553 6601642.408189013, 74533.463016553 6601641.548189013, 74533.46189395824 6601641.54605614, 74533.01245781845 6601640.6971212085, 74532.56301655297 6601639.838189013, 74532.55973622527 6601639.832025102, 74532.09973622528 6601638.982025102, 74531.63973622516 6601638.132025101, 74531.63756340594 6601638.128053176, 74531.16756340594 6601637.278053176, 74531.16634155856 6601637.275856508, 74530.22695523631 6601635.596953294, 74529.75756340583 6601634.748053175, 74529.75412157105 6601634.741930531, 74529.27412157104 6601633.9019305315, 74529.27056650295 6601633.8958101375, 74528.78123093514 6601633.066935604, 74528.29188945043 6601632.228064488, 74527.80188945055 6601631.388064487, 74527.80056650295 6601631.385810137, 74527.31056650296 6601630.555810137, 74527.30689808782 6601630.549696287, 74526.80689808782 6601629.729696288, 74526.80600528847 6601629.728237715, 74526.29645297205 6601628.8989662975, 74525.79689808794 6601628.079696287, 74525.79600528847 6601628.078237714, 74525.28600528848 6601627.248237714, 74525.28457990584 6601627.245932009, 74524.77457990585 6601626.42593201, 74524.26457990597 6601625.60593201, 74524.25682499613 6601625.59385344, 74523.72958143774 6601624.798014107, 74523.21225428926 6601623.982228988, 74523.20839378788 6601623.976236164, 74522.67958378803 6601623.168054843, 74522.16075793158 6601622.359883797, 74522.15442433702 6601622.350263572, 74521.61643047631 6601621.5532356305, 74521.08839378803 6601620.746236163, 74521.08365312614 6601620.73912442, 74520.53365312614 6601619.9291244205, 74520.53278175059 6601619.927845386, 74519.9927817506 6601619.137845386, 74519.99202096208 6601619.136735588, 74519.44202096207 6601618.3367355885, 74519.44034670238 6601618.334315587, 74518.8911873863 6601617.5455231145, 74518.34202096207 6601616.746735589, 74518.33547491311 6601616.737442152, 74517.76581890245 6601615.947918909, 74516.64616186685 6601614.388396609, 74516.64547491312 6601614.387442151, 74516.07547491312 6601613.597442151, 74516.073695561 6601613.594991704, 74515.50369556101 6601612.814991705, 74515.49937673393 6601612.809170772, 74514.92155723464 6601612.042065575, 74514.35369556118 6601611.264991705, 74514.34937673375 6601611.259170772, 74513.76937673375 6601610.489170772, 74513.76688612637 6601610.485892449, 74513.17688612637 6601609.715892448, 74513.17495577162 6601609.713389598, 74512.58495577163 6601608.953389598, 74512.584400145 6601608.952675211, 74511.98467826819 6601608.183032136, 74511.39495577163 6601607.423389599, 74511.39244138291 6601607.420177856, 74510.7924413829 6601606.660177856, 74510.19244138272 6601605.900177856, 74510.18993334704 6601605.897027181, 74509.57993334703 6601605.137027182, 74509.57789874937 6601605.134509018, 74508.96813868497 6601604.384804021, 74508.3683778744 6601603.645099021, 74508.36537115928 6601603.641426508, 74507.74664108298 6601602.892962706, 74507.13789874937 6601602.1445090175, 74507.1285280726 6601602.133325088, 74506.50199257598 6601601.407339513, 74505.88537115928 6601600.661426509, 74505.88071566171 6601600.655877207, 74505.2507156617 6601599.915877207, 74505.24628834751 6601599.910747697, 74504.61851938338 6601599.193297451, 74503.99071566151 6601598.455877207, 74503.98113402078 6601598.444948454, 74503.33373367978 6601597.727828076, 74502.7062883473 6601597.010747696, 74502.70342229682 6601597.007500694, 74502.05342229681 6601596.277500695, 74502.04879260591 6601596.272372967, 74501.40126859912 6601595.565077513, 74500.76370465949 6601594.84781808, 74500.75857707004 6601594.842137685, 74500.09868471188 6601594.122255113, 74499.44879260592 6601593.412372966, 74499.44379470314 6601593.406993566, 74498.78500841487 6601592.708280836, 74498.12621298531 6601591.999576662, 74498.1212088437 6601591.994271535, 74497.4512088437 6601591.294271535, 74497.44871391886 6601591.291683585, 74496.7799660177 6601590.602973061, 74496.11120884371 6601589.904271536, 74496.10612458547 6601589.89903664, 74495.42742413476 6601589.2103553, 74494.75871391884 6601588.521683586, 74494.75612458546 6601588.51903664, 74494.07612458547 6601587.82903664, 74494.07355339047 6601587.826446609, 74493.38355339046 6601587.136446609, 74492.83355339053 6601586.586446609, 74492.70355339172 6601586.45644661, 74492.70096335941 6601586.453875414, 74492.01096335941 6601585.773875414, 74492.00831641407 6601585.771286081, 74491.31831641406 6601585.101286081, 74491.31572846463 6601585.098791156, 74490.61702692044 6601584.430033964, 74489.92831641407 6601583.761286081, 74489.92572846463 6601583.758791156, 74489.22572846463 6601583.088791156, 74489.22042333851 6601583.083787015, 74488.51171914978 6601582.424991571, 74487.81300643439 6601581.766205297, 74487.80762703344 6601581.761207393, 74487.097743927 6601581.111314409, 74486.37786231429 6601580.451422931, 74485.6676270337 6601579.801207394, 74485.6650515465 6601579.79886598, 74484.9450515465 6601579.148865979, 74484.93961676958 6601579.144030872, 74484.21235173976 6601578.506428654, 74483.49505154624 6601577.85886598, 74483.48925230418 6601577.8537116535, 74482.7694345827 6601577.223871146, 74482.03961676959 6601576.584030872, 74482.034122793 6601576.579284338, 74481.29540251035 6601575.9503738275, 74480.56667491204 6601575.321471928, 74480.56110993134 6601575.316739759, 74479.82262136303 6601574.6980060935, 74479.08412279299 6601574.0692843385, 74479.0648553815 6601574.0536880065, 74478.94287664602 6601573.95985821, 74471.40080482102 6601567.656484274, 74467.1009683282 6601564.056621164, 74467.10009219983 6601564.055889361, 74466.8003508807 6601563.806104928, 74466.07060888216 6601563.196320518, 74466.06234752366 6601563.189565595, 74465.31362761515 6601562.590589669, 74464.57490097938 6601561.991622126, 74463.8349009791 6601561.391622126, 74463.82661040165 6601561.385044228, 74463.06787946017 6601560.796029419, 74462.3191421289 6601560.207022717, 74462.3133366597 6601560.202524377, 74461.55333665971 6601559.622524377, 74460.7933366594 6601559.042524377, 74460.79000000011 6601559.04, 74460.03041490518 6601558.470311179, 74459.26082922812 6601557.890623266, 74459.2540858487 6601557.885631958, 74458.48579272095 6601557.32687332, 74457.71748894633 6601556.758128967, 74457.70813588047 6601556.751370933, 74456.92813588047 6601556.201370933, 74456.14864457051 6601555.651729625, 74455.35915191515 6601555.092089262, 74455.3534913773 6601555.088135169, 74454.5834913773 6601554.558135169, 74453.78326441138 6601554.007979038, 74453.78215461434 6601554.007218249, 74452.99215461435 6601553.467218249, 74452.98490533952 6601553.462355349, 74452.19490533951 6601552.94235535, 74452.19249417547 6601552.940778192, 74451.39312960519 6601552.421191221, 74450.58376383665 6601551.891606212, 74450.5787786693 6601551.8883864, 74449.78064169506 6601551.37957408, 74448.98249417514 6601550.860778192, 74448.97406799054 6601550.855420095, 74448.15406799053 6601550.345420094, 74448.1526346019 6601550.344531944, 74447.3426346019 6601549.844531944, 74447.33879960797 6601549.842188402, 74446.52955254426 6601549.352643883, 74445.71030371213 6601548.853101912, 74445.70418986326 6601548.8494334975, 74444.87418986326 6601548.359433497, 74444.87258960096 6601548.358492766, 74444.05258960096 6601547.878492765, 74444.0503125424 6601547.8771678945, 74443.2203125424 6601547.397167895, 74443.21637401209 6601547.394913979, 74442.38637401209 6601546.924913979, 74441.55637401245 6601546.454913978, 74441.55414349101 6601546.453658441, 74440.71414349102 6601545.983658441, 74440.71015731142 6601545.981451866, 74439.87126728072 6601545.522059707, 74439.04237397051 6601545.062673053, 74439.03394386028 6601545.0581060415, 74438.18394386028 6601544.608106041, 74438.17985356228 6601544.605964708, 74437.33299374573 6601544.167590216, 74436.49611070633 6601543.7192600155, 74436.48570390456 6601543.713841119, 74435.63570390457 6601543.283841119, 74435.63360679802 6601543.282786405, 74434.77465650791 6601542.853311259, 74433.92570390456 6601542.423841119, 74433.92149483552 6601542.421736643, 74433.07149483553 6601542.001736643, 74433.06314885047 6601541.997708537, 74432.19629368962 6601541.589190587, 74431.33941764921 6601541.170716242, 74431.33314885048 6601541.167708537, 74430.46314885048 6601540.757708536, 74430.45452795191 6601540.753745338, 74429.58885723703 6601540.3656860525, 74428.72314885046 6601539.957708537, 74428.71013309668 6601539.951800542, 74427.84233519781 6601539.572762379, 74426.9745279523 6601539.183745338, 74426.9682180081 6601539.180968823, 74425.20821800809 6601538.420968823, 74425.20379431972 6601538.41908378, 74424.32379431973 6601538.04908378, 74424.3193164226 6601538.047226521, 74423.44062930561 6601537.68776361, 74422.55193928449 6601537.318308208, 74422.54931642301 6601537.317226523, 74421.66931642301 6601536.957226522, 74421.66569533816 6601536.955761654, 74420.53750584315 6601536.504485857, 74419.44912871486 6601535.945589493, 74418.59985356226 6601535.5059647085, 74418.59773790232 6601535.504875919, 74417.73773790232 6601535.064875918, 74417.73662333807 6601535.0643074345, 74417.14662333808 6601534.764307435, 74417.14360679779 6601534.762786404, 74413.26360679779 6601532.822786404, 74413.26075382537 6601532.821371257, 74412.63075382537 6601532.511371258, 74412.18924617463 6601533.408628742, 74412.81781737298 6601533.717925681))</t>
  </si>
  <si>
    <t>2025-08-19</t>
  </si>
  <si>
    <t>[355]</t>
  </si>
  <si>
    <t>['FV355 S3D1 m4926-4999']</t>
  </si>
  <si>
    <t>LINESTRING (113994.46322703996 6563814.273908503, 114002.35655795119 6563801.712855452, 114006.78919564123 6563794.581444651, 114010.9466743652 6563787.814272908, 114023.75813346647 6563765.437804402, 114032.52085190616 6563751.701220382)</t>
  </si>
  <si>
    <t>POLYGON ((114002.77990945024 6563801.97888836, 114002.78121133191 6563801.97680527, 114007.21384902195 6563794.845394469, 114007.21521954474 6563794.843176639, 114011.37269826871 6563788.076004895, 114011.38058773999 6563788.062706366, 114024.18610255007 6563765.696620148, 114032.94238695006 6563751.970122236, 114032.09931686225 6563751.432318528, 114023.33659842257 6563765.168902548, 114023.32422009169 6563765.189370943, 114010.51660289212 6563787.559129192, 114006.3638541441 6563794.3186019035, 114001.93255292908 6563801.447862527, 113994.03987554091 6563814.007875595, 113994.88657853901 6563814.539941411, 114002.77990945024 6563801.97888836))</t>
  </si>
  <si>
    <t>Gatevarme</t>
  </si>
  <si>
    <t>2017-01-12</t>
  </si>
  <si>
    <t>2025-05-02T13:04:51Z</t>
  </si>
  <si>
    <t>[7470]</t>
  </si>
  <si>
    <t>['KV7470 S1D1 m84-104', 'KV7470 S1D30 m39-138']</t>
  </si>
  <si>
    <t>LINESTRING (270479.0090493418 7042052.509255521, 270539.32731821167 7042048.233904605, 270599.1102570849 7042043.059239055)</t>
  </si>
  <si>
    <t>POLYGON ((270539.36266945524 7042048.732653329, 270539.37043577206 7042048.732042012, 270599.1533746453 7042043.557376462, 270599.0671395245 7042042.561101648, 270539.28808144055 7042047.7354312865, 270478.9736980982 7042052.010506797, 270479.04440058535 7042053.008004245, 270539.36266945524 7042048.732653329))</t>
  </si>
  <si>
    <t>2019-06-05</t>
  </si>
  <si>
    <t>2025-11-22T10:13:11Z</t>
  </si>
  <si>
    <t>[559]</t>
  </si>
  <si>
    <t>['FV559 S2D1 m1551-1553']</t>
  </si>
  <si>
    <t>LINESTRING Z (33093.93 6752493 115.569, 33093 6752496.04 114.169)</t>
  </si>
  <si>
    <t>POLYGON ((33092.52187307858 6752495.893730909, 33093.47812692142 6752496.186269091, 33094.40812692142 6752493.146269091, 33093.45187307858 6752492.853730909, 33092.52187307858 6752495.893730909))</t>
  </si>
  <si>
    <t>2019-11-04</t>
  </si>
  <si>
    <t>[6540]</t>
  </si>
  <si>
    <t>['KV6540 S1D1 m901-941']</t>
  </si>
  <si>
    <t>LINESTRING Z (268741.2033729762 7037840.642444665 -0.001, 268701.59914401197 7037847.050165174 -0.001)</t>
  </si>
  <si>
    <t>POLYGON ((268701.519285574 7037846.556583742, 268701.67900244996 7037847.5437466055, 268741.2832314142 7037841.1360260965, 268741.1235145382 7037840.148863233, 268701.519285574 7037846.556583742))</t>
  </si>
  <si>
    <t>['KV6540 S1D1 m845-885']</t>
  </si>
  <si>
    <t>LINESTRING Z (268649.0424252811 7037870.030071941 -0.001, 268688.57350480475 7037863.271434239 -0.001)</t>
  </si>
  <si>
    <t>POLYGON ((268688.6577672592 7037863.764282937, 268688.4892423503 7037862.778585541, 268648.9581628266 7037869.537223243, 268649.12668773555 7037870.522920639, 268688.6577672592 7037863.764282937))</t>
  </si>
  <si>
    <t>2019-11-06</t>
  </si>
  <si>
    <t>[8025]</t>
  </si>
  <si>
    <t>['KV8025 S1D1 m61-103']</t>
  </si>
  <si>
    <t>LINESTRING Z (272599.11213501374 7039277.275393451 0.001, 272627.8163144485 7039307.537841475 0.001)</t>
  </si>
  <si>
    <t>POLYGON ((272627.4535446048 7039307.881931638, 272628.17908429215 7039307.193751311, 272599.4749048574 7039276.931303287, 272598.7493651701 7039277.619483614, 272627.4535446048 7039307.881931638))</t>
  </si>
  <si>
    <t>['KV8025 S1D1 m72-116']</t>
  </si>
  <si>
    <t>LINESTRING Z (272645.1524923621 7039308.9642429445 0.001, 272614.81110658345 7039277.524020814 0.001)</t>
  </si>
  <si>
    <t>POLYGON ((272615.17089130805 7039277.176810573, 272614.45132185885 7039277.871231056, 272644.7927076375 7039309.311453186, 272645.5122770867 7039308.617032703, 272615.17089130805 7039277.176810573))</t>
  </si>
  <si>
    <t>2021-04-08</t>
  </si>
  <si>
    <t>[3700]</t>
  </si>
  <si>
    <t>['KV3700 S1D1 m434-439']</t>
  </si>
  <si>
    <t>LINESTRING Z (271256.5199459181 7042109.362058613 5.0600000000000005, 271258.8334030125 7042111.094340264 5.0600000000000005)</t>
  </si>
  <si>
    <t>POLYGON ((271258.53371436015 7042111.494573586, 271259.1330916648 7042110.694106942, 271256.81963457045 7042108.961825292, 271256.2202572658 7042109.762291935, 271258.53371436015 7042111.494573586))</t>
  </si>
  <si>
    <t>2023-06-06</t>
  </si>
  <si>
    <t>[3136]</t>
  </si>
  <si>
    <t>['KV3136 S1D1 m5-65']</t>
  </si>
  <si>
    <t>LINESTRING (286319.5983745208 6746010.297020832, 286346.3317695849 6746026.524823687, 286363.0865133526 6746037.500442749, 286379.3963954294 6746045.879165506)</t>
  </si>
  <si>
    <t>POLYGON ((286346.0649725307 6746026.947781326, 286362.8125286389 6746037.918691929, 286362.8580381234 6746037.945188822, 286379.1679202002 6746046.323911579, 286379.62487065856 6746045.434419433, 286363.3384419742 6746037.067745167, 286346.60575429857 6746026.1065745065, 286346.5912214208 6746026.097407327, 286319.85782635666 6746009.869604472, 286319.3389226849 6746010.724437192, 286346.0649725307 6746026.947781326))</t>
  </si>
  <si>
    <t>2024-05-21</t>
  </si>
  <si>
    <t>['EV6 S25D1 m6584 SD2 m9-66']</t>
  </si>
  <si>
    <t>LINESTRING (290818.2368703621 6696137.479879151, 290828.1623481122 6696081.813626349)</t>
  </si>
  <si>
    <t>POLYGON ((290828.65458472155 6696081.901393771, 290827.67011150287 6696081.725858927, 290817.74463375274 6696137.392111729, 290818.7291069714 6696137.567646573, 290828.65458472155 6696081.901393771))</t>
  </si>
  <si>
    <t>['EV6 S26D1 m10796 SD1 m8-34']</t>
  </si>
  <si>
    <t>LINESTRING (293298.3014090527 6711321.82288005, 293317.97630498104 6711300.3433352765)</t>
  </si>
  <si>
    <t>POLYGON ((293318.3450076014 6711300.681060576, 293317.60760236066 6711300.005609977, 293297.9327064323 6711321.485154751, 293298.67011167307 6711322.16060535, 293318.3450076014 6711300.681060576))</t>
  </si>
  <si>
    <t>2024-05-22</t>
  </si>
  <si>
    <t>['EV6 S26D1 m8174 SD1 m8-38']</t>
  </si>
  <si>
    <t>LINESTRING (293519.21485265 6708872.946905102, 293518.36846153747 6708840.009250582)</t>
  </si>
  <si>
    <t>POLYGON ((293518.86829653825 6708839.996406441, 293517.8686265367 6708840.022094724, 293518.7150176492 6708872.959749243, 293519.7146876508 6708872.93406096, 293518.86829653825 6708839.996406441))</t>
  </si>
  <si>
    <t>['EV6 S26D1 m8174 SD2 m5-25']</t>
  </si>
  <si>
    <t>LINESTRING (293508.44253872486 6708812.460350483, 293493.3873540076 6708796.052176232)</t>
  </si>
  <si>
    <t>POLYGON ((293493.755770449 6708795.7141387705, 293493.01893756614 6708796.390213694, 293508.07412228343 6708812.798387945, 293508.8109551663 6708812.122313021, 293493.755770449 6708795.7141387705))</t>
  </si>
  <si>
    <t>['EV6 S26D1 m10796 SD2 m5-24']</t>
  </si>
  <si>
    <t>LINESTRING (293292.99127873266 6711337.454750899, 293296.08963777527 6711356.745990631)</t>
  </si>
  <si>
    <t>POLYGON ((293295.5959644985 6711356.825279318, 293296.583311052 6711356.666701945, 293293.4849520094 6711337.375462213, 293292.4976054559 6711337.534039586, 293295.5959644985 6711356.825279318))</t>
  </si>
  <si>
    <t>2024-12-12</t>
  </si>
  <si>
    <t>['EV39 S57D200 m409-413']</t>
  </si>
  <si>
    <t>LINESTRING Z (17583.94433162635 6844224.520175271 41.394, 17589.04448647675 6844221.279031729 41.325)</t>
  </si>
  <si>
    <t>POLYGON ((17589.31266448203 6844221.70102765, 17588.776308471468 6844220.857035808, 17583.67615362107 6844224.09817935, 17584.21250963163 6844224.942171192, 17589.31266448203 6844221.70102765))</t>
  </si>
  <si>
    <t>2025-06-02</t>
  </si>
  <si>
    <t>[300]</t>
  </si>
  <si>
    <t>['FV300 S1D1 m2956-3144']</t>
  </si>
  <si>
    <t>LINESTRING (237658.98379394092 6580457.064966218, 237744.58219507686 6580423.279028013, 237766.3379349336 6580415.267379181, 237788.18851429678 6580407.517154457, 237810.14059413917 6580400.678432437, 237821.26732454577 6580397.497423049, 237832.56512877153 6580394.57247373)</t>
  </si>
  <si>
    <t>POLYGON ((237744.76039553402 6580423.746230234, 237766.50790475748 6580415.73761237, 237788.34650334847 6580407.991637129, 237810.28369074131 6580401.157554547, 237821.39872239708 6580397.979889704, 237832.6904448043 6580395.056514939, 237832.43981273877 6580394.088432521, 237821.142008513 6580397.01338184, 237821.12988634818 6580397.016683263, 237810.00315594158 6580400.19769265, 237809.99187874128 6580400.201060747, 237788.03979889888 6580407.039782767, 237788.0213707977 6580407.045918793, 237766.17079143453 6580414.796143518, 237766.16515106778 6580414.798182276, 237744.40941121103 6580422.809831108, 237744.39862546246 6580422.813945014, 237658.80022432652 6580456.599883218, 237659.16736355532 6580457.530049217, 237744.76039553402 6580423.746230234))</t>
  </si>
  <si>
    <t>2025-10-21</t>
  </si>
  <si>
    <t>2025-11-24T14:16:06Z</t>
  </si>
  <si>
    <t>[120]</t>
  </si>
  <si>
    <t>['FV120 S11D185 m10-11']</t>
  </si>
  <si>
    <t>LINESTRING (280007.6082425992 6651183.889357493, 280008.49038860586 6651187.416169075)</t>
  </si>
  <si>
    <t>POLYGON ((280008.0053316987 6651187.537494245, 280008.97544551303 6651187.294843906, 280008.09329950635 6651183.768032324, 280007.123185692 6651184.010682663, 280008.0053316987 6651187.537494245))</t>
  </si>
  <si>
    <t>[1436]</t>
  </si>
  <si>
    <t>['FV1436 S2D1 m3241-3242']</t>
  </si>
  <si>
    <t>LINESTRING (241477.09228184557 6640568.009089332, 241478.96394279064 6640572.527085948)</t>
  </si>
  <si>
    <t>POLYGON ((241478.50201189824 6640572.718449086, 241479.42587368304 6640572.33572281, 241477.55421273797 6640567.817726194, 241476.63035095317 6640568.20045247, 241478.50201189824 6640572.718449086))</t>
  </si>
  <si>
    <t>[1517]</t>
  </si>
  <si>
    <t>['FV1517 S1D1 m1584-1591']</t>
  </si>
  <si>
    <t>LINESTRING (273023.9077958198 6649863.563725993, 273022.1435038064 6649870.176522936)</t>
  </si>
  <si>
    <t>POLYGON ((273021.6604023367 6649870.047631625, 273022.6266052761 6649870.305414246, 273024.3908972895 6649863.692617304, 273023.4246943501 6649863.434834682, 273021.6604023367 6649870.047631625))</t>
  </si>
  <si>
    <t>[1574]</t>
  </si>
  <si>
    <t>['FV1574 S1D1 m48-49']</t>
  </si>
  <si>
    <t>LINESTRING (301045.9902618628 6673938.1884473935, 301043.3439046031 6673940.392699587)</t>
  </si>
  <si>
    <t>POLYGON ((301043.02390198933 6673940.00851431, 301043.66390721686 6673940.776884864, 301046.3102644766 6673938.57263267, 301045.67025924905 6673937.804262117, 301043.02390198933 6673940.00851431))</t>
  </si>
  <si>
    <t>Basseng/Magasin</t>
  </si>
  <si>
    <t>2020-03-06</t>
  </si>
  <si>
    <t>2025-11-22T09:24:23Z</t>
  </si>
  <si>
    <t>[33]</t>
  </si>
  <si>
    <t>[7]</t>
  </si>
  <si>
    <t>['RV7 S3D1 m61']</t>
  </si>
  <si>
    <t>LINESTRING Z (218742.53 6689293.51 136.571, 218746.2 6689289.28 136.571)</t>
  </si>
  <si>
    <t>Det finnes punkt allerede.</t>
  </si>
  <si>
    <t>['RV7 S3D1 m53']</t>
  </si>
  <si>
    <t>LINESTRING Z (218747.2 6689288.15 136.481, 218751.59 6689283.09 136.481)</t>
  </si>
  <si>
    <t>2018-07-02</t>
  </si>
  <si>
    <t>['EV16 S47D40 m8223']</t>
  </si>
  <si>
    <t>LINESTRING Z (237194.8 6660972.35 237194.953, 237189.43 6660977.1 237189.583)</t>
  </si>
  <si>
    <t>POINT Z (237192.115 6660974.725 237192.268)</t>
  </si>
  <si>
    <t>['EV16 S47D40 m8185']</t>
  </si>
  <si>
    <t>LINESTRING Z (237169.11000000002 6660996.34 170.773, 237160.63 6661004.2700000005 170.663)</t>
  </si>
  <si>
    <t>POINT Z (237164.87 6661000.305 170.71800000000002)</t>
  </si>
  <si>
    <t>['EV16 S47D40 m8197']</t>
  </si>
  <si>
    <t>LINESTRING Z (237178.05000000002 6660987.95 170.903, 237169.57 6660995.91 170.773)</t>
  </si>
  <si>
    <t>POINT Z (237173.81 6660991.93 170.838)</t>
  </si>
  <si>
    <t>['EV16 S47D40 m8210']</t>
  </si>
  <si>
    <t>LINESTRING Z (237186.74 6660979.37 170.953, 237178.5 6660987.53 170.913)</t>
  </si>
  <si>
    <t>POINT Z (237182.62 6660983.45 170.933)</t>
  </si>
  <si>
    <t>['EV16 S47D40 m8209']</t>
  </si>
  <si>
    <t>LINESTRING Z (237180.54 6660989.8 170.893, 237188.82 6660981.67 170.953)</t>
  </si>
  <si>
    <t>POINT Z (237184.68 6660985.734999999 170.923)</t>
  </si>
  <si>
    <t>LINESTRING Z (237171.57 6660998.17 170.803, 237180.08000000002 6660990.29 170.883)</t>
  </si>
  <si>
    <t>POINT Z (237175.825 6660994.23 170.84300000000002)</t>
  </si>
  <si>
    <t>LINESTRING Z (237162.63 6661006.5600000005 170.713, 237171.1 6660998.63 170.803)</t>
  </si>
  <si>
    <t>POINT Z (237166.865 6661002.595000001 170.75799999999998)</t>
  </si>
  <si>
    <t>2023-11-13</t>
  </si>
  <si>
    <t>[3]</t>
  </si>
  <si>
    <t>[150]</t>
  </si>
  <si>
    <t>['RV150 S2D1 m3763']</t>
  </si>
  <si>
    <t>LINESTRING Z (258673.8 6652180.26 54.177, 258676.52 6652181.94 54.177, 258678.7 6652178.38 54.177, 258675.98 6652176.7 54.177, 258673.8 6652180.26 54.177)</t>
  </si>
  <si>
    <t>POLYGON Z ((258673.8 6652180.26 54.177, 258676.52 6652181.94 54.177, 258678.7 6652178.38 54.177, 258675.98 6652176.7 54.177, 258673.8 6652180.26 54.177))</t>
  </si>
  <si>
    <t>LINESTRING Z (258682.28 6652178.61 58.617, 258693.8 6652185.43 58.617, 258695.35 6652182.85 58.617, 258683.82 6652176.02 58.617, 258682.28 6652178.61 58.617)</t>
  </si>
  <si>
    <t>POLYGON Z ((258682.28 6652178.61 58.617, 258693.8 6652185.43 58.617, 258695.35 6652182.85 58.617, 258683.82 6652176.02 58.617, 258682.28 6652178.61 58.617))</t>
  </si>
  <si>
    <t>LINESTRING Z (258680.57 6652181.45 58.617, 258692.1 6652188.26 58.617, 258693.65 6652185.67 58.617, 258682.13 6652178.86 58.617, 258680.57 6652181.45 58.617)</t>
  </si>
  <si>
    <t>POLYGON Z ((258680.57 6652181.45 58.617, 258692.1 6652188.26 58.617, 258693.65 6652185.67 58.617, 258682.13 6652178.86 58.617, 258680.57 6652181.45 58.617))</t>
  </si>
  <si>
    <t>2017-01-01</t>
  </si>
  <si>
    <t>['RV150 S2D100 m2457']</t>
  </si>
  <si>
    <t>LINESTRING Z (259876.619995117 6652927.82006836 90.558, 259878.400024414 6652928.02001953 90.558, 259878.789978027 6652924.44995117 90.538, 259877.020019531 6652924.23999023 90.558, 259876.619995117 6652927.82006836 90.558)</t>
  </si>
  <si>
    <t>POLYGON Z ((259876.619995117 6652927.82006836 90.558, 259878.400024414 6652928.02001953 90.558, 259878.789978027 6652924.44995117 90.538, 259877.020019531 6652924.23999023 90.558, 259876.619995117 6652927.82006836 90.558))</t>
  </si>
  <si>
    <t>['RV150 S2D100 m1881']</t>
  </si>
  <si>
    <t>LINESTRING Z (260360.130004883 6653222.25 100.799, 260355.270019531 6653218.72998047 100.799, 260357.030029297 6653216.33007813 100.799, 260361.979980469 6653219.80004883 100.799, 260360.130004883 6653222.25 100.799)</t>
  </si>
  <si>
    <t>POLYGON Z ((260360.130004883 6653222.25 100.799, 260355.270019531 6653218.72998047 100.799, 260357.030029297 6653216.33007813 100.799, 260361.979980469 6653219.80004883 100.799, 260360.130004883 6653222.25 100.799))</t>
  </si>
  <si>
    <t>['RV150 S2D100 m2125']</t>
  </si>
  <si>
    <t>LINESTRING Z (260150.959960938 6653090.32006836 97.169, 260158.189941406 6653097.35009766 97.169, 260159.300048828 6653096.34008789 97.169, 260152.069946289 6653089.34008789 97.169, 260150.959960938 6653090.32006836 97.169)</t>
  </si>
  <si>
    <t>POLYGON Z ((260150.959960938 6653090.32006836 97.169, 260158.189941406 6653097.35009766 97.169, 260159.300048828 6653096.34008789 97.169, 260152.069946289 6653089.34008789 97.169, 260150.959960938 6653090.32006836 97.169))</t>
  </si>
  <si>
    <t>['RV150 S1D1 m7216']</t>
  </si>
  <si>
    <t>LINESTRING Z (262474.69 6653701.85 112.562, 262474.97 6653698.91 112.562, 262474.34 6653698.85 112.562, 262473.4 6653698.77 112.562, 262472.64 6653698.7 112.562, 262469 6653698.35 111.372, 262468.93 6653699.04 111.372, 262451 6653697.36 111.372, 262450.8 6653699.6 111.372, 262472.36 6653701.64 111.372, 262474.69 6653701.85 112.562)</t>
  </si>
  <si>
    <t>POLYGON Z ((262474.69 6653701.85 112.562, 262474.97 6653698.91 112.562, 262474.34 6653698.85 112.562, 262473.4 6653698.77 112.562, 262472.64 6653698.7 112.562, 262469 6653698.35 111.372, 262468.93 6653699.04 111.372, 262451 6653697.36 111.372, 262450.8 6653699.6 111.372, 262472.36 6653701.64 111.372, 262474.69 6653701.85 112.562))</t>
  </si>
  <si>
    <t>['RV150 S1D1 m7217']</t>
  </si>
  <si>
    <t>LINESTRING Z (262450.51 6653702.53 111.372, 262472.09 6653704.57 111.372, 262472.42 6653704.6 112.562, 262472.36 6653705.3 112.562, 262474.35 6653705.48 112.562, 262474.66 6653702.15 112.562, 262472.34 6653701.94 112.562, 262450.77 6653699.9 111.372, 262450.51 6653702.53 111.372)</t>
  </si>
  <si>
    <t>POLYGON Z ((262450.51 6653702.53 111.372, 262472.09 6653704.57 111.372, 262472.42 6653704.6 112.562, 262472.36 6653705.3 112.562, 262474.35 6653705.48 112.562, 262474.66 6653702.15 112.562, 262472.34 6653701.94 112.562, 262450.77 6653699.9 111.372, 262450.51 6653702.53 111.372))</t>
  </si>
  <si>
    <t>2020-09-17</t>
  </si>
  <si>
    <t>2025-11-22T09:24:30Z</t>
  </si>
  <si>
    <t>['EV18 S55D1 m5045']</t>
  </si>
  <si>
    <t>LINESTRING Z (260651.704042142 6649135.41412755 -1, 260690.405009126 6649154.55576287 -1, 260689.135072224 6649157.10867044 -1, 260650.444084529 6649137.96635603 -1, 260651.704042142 6649135.41412755 -1)</t>
  </si>
  <si>
    <t>POLYGON Z ((260651.704042142 6649135.41412755 -1, 260690.405009126 6649154.55576287 -1, 260689.135072224 6649157.10867044 -1, 260650.444084529 6649137.96635603 -1, 260651.704042142 6649135.41412755 -1))</t>
  </si>
  <si>
    <t>LINESTRING Z (260687.601754376 6649160.21089862 -1, 260688.959258387 6649157.47155752 -1, 260650.268270607 6649138.32924318 -1, 260648.981091514 6649140.92342992 -1, 260687.601754376 6649160.21089862 -1)</t>
  </si>
  <si>
    <t>POLYGON Z ((260687.601754376 6649160.21089862 -1, 260688.959258387 6649157.47155752 -1, 260650.268270607 6649138.32924318 -1, 260648.981091514 6649140.92342992 -1, 260687.601754376 6649160.21089862 -1))</t>
  </si>
  <si>
    <t>2020-10-12</t>
  </si>
  <si>
    <t>LINESTRING (47425.490275101794 6802203.655611502, 47426.046224066464 6802204.882703866, 47427.286574147 6802207.747803773, 47427.38481323043 6802207.94006184, 47428.022583005135 6802209.2904665405, 47429.211054670974 6802212.029495038, 47432.32557561755 6802218.848759976, 47432.949821504764 6802220.270869205, 47433.65929601487 6802221.634797756, 47434.886122415366 6802224.571601949)</t>
  </si>
  <si>
    <t>POINT (47430.167779052594 6802214.124249622)</t>
  </si>
  <si>
    <t>['P']</t>
  </si>
  <si>
    <t>[99936]</t>
  </si>
  <si>
    <t>['PV99936 S1D1 m43']</t>
  </si>
  <si>
    <t>LINESTRING (48389.00802584941 6805085.5665813135, 48388.82299037441 6805087.81816212)</t>
  </si>
  <si>
    <t>POINT (48388.91550811191 6805086.692371717)</t>
  </si>
  <si>
    <t>2021-09-10</t>
  </si>
  <si>
    <t>[520]</t>
  </si>
  <si>
    <t>['FV520 S2D1 m9694']</t>
  </si>
  <si>
    <t>LINESTRING Z (9425.92476844485 6640735.287628599 -0.0565862208604813, 9425.800744758977 6640732.683131208 -0.0565909929573536, 9425.883427216206 6640735.370311056 -0.0565862767398357)</t>
  </si>
  <si>
    <t>POLYGON Z ((9425.92476844485 6640735.287628599 -0.0565862208604813, 9425.800744758977 6640732.683131208 -0.0565909929573536, 9425.883427216206 6640735.370311056 -0.0565862767398357, 9425.92476844485 6640735.287628599 -0.0565862208604813))</t>
  </si>
  <si>
    <t>2022-09-16</t>
  </si>
  <si>
    <t>[440]</t>
  </si>
  <si>
    <t>['FV440 S2D1 m201']</t>
  </si>
  <si>
    <t>LINESTRING Z (-33588.144192420295 6574111.019866861 25.45520262162006, -33586.14142727654 6574110.903877715 18.12852361631552, -33584.956849275506 6574132.517351134 17.10316798865795, -33586.96105153521 6574132.604617284 17.103166677355766)</t>
  </si>
  <si>
    <t>POINT Z (-33585.54913881905 6574121.710604517 17.615846272521825)</t>
  </si>
  <si>
    <t>2024-06-12</t>
  </si>
  <si>
    <t>[5476]</t>
  </si>
  <si>
    <t>['FV5476 S1D1 m2320']</t>
  </si>
  <si>
    <t>LINESTRING Z (-33879.547685888014 6756698.194104357 34.244, -33879.45938853896 6756698.26435345 34.248, -33875.714831884485 6756701.079803069 34.25, -33872.84253265988 6756697.2245741505 34.28, -33876.67846794322 6756694.352502731 34.254, -33879.547685888014 6756698.194104357 34.244)</t>
  </si>
  <si>
    <t>POLYGON Z ((-33879.547685888014 6756698.194104357 34.244, -33879.45938853896 6756698.26435345 34.248, -33875.714831884485 6756701.079803069 34.25, -33872.84253265988 6756697.2245741505 34.28, -33876.67846794322 6756694.352502731 34.254, -33879.547685888014 6756698.194104357 34.244))</t>
  </si>
  <si>
    <t>2024-10-15</t>
  </si>
  <si>
    <t>2025-11-22T09:24:34Z</t>
  </si>
  <si>
    <t>[4520]</t>
  </si>
  <si>
    <t>['FV4520 S1D1 m2056']</t>
  </si>
  <si>
    <t>LINESTRING Z (-42818.44646363519 6563520.168388479 10.990089, -42817.372658217675 6563519.944118545 11.539071, -42815.234539646306 6563519.672854186 11.542926, -42812.99553233548 6563519.227536991 11.555066, -42810.753124821465 6563518.812042666 11.56108, -42808.515807133284 6563518.516263734 11.575582, -42806.37924869766 6563518.067778167 11.584641, -42804.017151500215 6563517.708653864 11.603485, -42801.66245647543 6563517.393308736 11.614090000000001, -42799.62830656837 6563517.0529111875 11.626459, -42796.63857288752 6563516.485177692 11.635454, -42795.991662476095 6563516.385880394 11.635)</t>
  </si>
  <si>
    <t>POINT Z (-42807.226062132184 6563518.245533007 11.581050514116047)</t>
  </si>
  <si>
    <t>LINESTRING Z (-42818.275162843056 6563522.343673695 10.940314, -42817.03819724219 6563522.139500002 11.536165, -42814.85977982008 6563521.798421958 11.555901, -42812.60273195384 6563521.426145618 11.564527, -42810.37479978788 6563521.1185264755 11.565398, -42808.22076598229 6563520.711826742 11.579695, -42805.98837867798 6563520.330137674 11.591295, -42803.74617593794 6563519.897903923 11.603999, -42801.46488799737 6563519.52936647 11.625805, -42799.27133288595 6563519.094693142 11.627915, -42796.56067298923 6563518.4593162965 11.638515, -42795.787857268006 6563518.464982968 11.639)</t>
  </si>
  <si>
    <t>POINT Z (-42807.00592457154 6563520.504115613 11.586007596536248)</t>
  </si>
  <si>
    <t>[94437]</t>
  </si>
  <si>
    <t>['PV94437 S1D1 m126']</t>
  </si>
  <si>
    <t>LINESTRING Z (132891.2539157021 6498842.406744068 52.138, 132903.81258461473 6498841.037023652 52.131, 132914.50243550894 6498839.720117005 52.186, 132931.58040898305 6498836.373585665 51.966, 132945.48514830886 6498834.414610206 51.99, 132954.30488832243 6498832.9565409 51.961, 132962.00303510408 6498831.708591403 51.916000000000004, 132963.97731896763 6498831.093213322 51.965, 132965.15846743732 6498837.6418398395 52.023, 132949.90952068474 6498841.624984349 52.017, 132930.9576416809 6498845.034842356 52.046, 132915.06701665255 6498847.883777524 52.1, 132908.57168019412 6498848.24556528 52.031, 132904.79175936972 6498848.653663506 51.983000000000004, 132900.89574587828 6498848.933383033 52.204, 132891.94173338084 6498850.082679264 51.972, 132890.93847518612 6498842.365619019 52.091, 132891.2539157021 6498842.406744068 52.138)</t>
  </si>
  <si>
    <t>POLYGON Z ((132891.2539157021 6498842.406744068 52.138, 132903.81258461473 6498841.037023652 52.131, 132914.50243550894 6498839.720117005 52.186, 132931.58040898305 6498836.373585665 51.966, 132945.48514830886 6498834.414610206 51.99, 132954.30488832243 6498832.9565409 51.961, 132962.00303510408 6498831.708591403 51.916000000000004, 132963.97731896763 6498831.093213322 51.965, 132965.15846743732 6498837.6418398395 52.023, 132949.90952068474 6498841.624984349 52.017, 132930.9576416809 6498845.034842356 52.046, 132915.06701665255 6498847.883777524 52.1, 132908.57168019412 6498848.24556528 52.031, 132904.79175936972 6498848.653663506 51.983000000000004, 132900.89574587828 6498848.933383033 52.204, 132891.94173338084 6498850.082679264 51.972, 132890.93847518612 6498842.365619019 52.091, 132891.2539157021 6498842.406744068 52.138))</t>
  </si>
  <si>
    <t>2025-08-21</t>
  </si>
  <si>
    <t>['EV6 S32D1 m3862']</t>
  </si>
  <si>
    <t>LINESTRING Z (274341.5273253343 6758539.852536374 175.9, 274341.74125847005 6758541.395220926 175.9, 274342.8252226556 6758544.918705478 175.9, 274343.6151342081 6758545.490221527 175.9, 274347.8411358751 6758547.397092807 175.9, 274349.9308754802 6758548.162773695 175.9, 274350.9386300086 6758548.206917826 175.9, 274351.883867413 6758548.128197488 175.9, 274353.69859035045 6758547.419092304 175.9, 274355.1322589159 6758546.838399753 175.9, 274356.41622328764 6758545.349126277 175.9, 274358.39740747504 6758541.582488529 175.9, 274359.65471008525 6758537.657237386 175.9, 274359.84965985414 6758534.756838507 175.9, 274359.1070763073 6758531.00107956 175.9, 274357.7061480441 6758526.618526338 175.9, 274356.3062162353 6758522.235881575 175.9, 274354.90519680665 6758517.852331851 175.9, 274353.06482144934 6758513.739185922 175.9, 274351.1374013209 6758510.9873701455 175.9, 274347.5720495365 6758508.604916478 175.9, 274346.08393941564 6758507.826212687 175.9, 274345.23694251163 6758507.858741629 175.9, 274344.1832012639 6758508.4738873085 175.9, 274343.6779469099 6758509.31799935 175.9, 274343.0103041143 6758512.694813113 175.9, 274343.0254650902 6758517.11815351 175.9, 274343.07975578227 6758520.391531144 175.9, 274343.13404656027 6758523.664908783 175.9, 274343.2209777969 6758527.6004069345 175.9, 274343.17896686995 6758528.248280404 175.9, 274342.70765156794 6758531.563872149 175.9, 274342.2320044929 6758534.897946256 175.9, 274341.7573538177 6758538.231928943 175.9, 274341.5273253343 6758539.852536374 175.9)</t>
  </si>
  <si>
    <t>POLYGON Z ((274341.5273253343 6758539.852536374 175.9, 274341.74125847005 6758541.395220926 175.9, 274342.8252226556 6758544.918705478 175.9, 274343.6151342081 6758545.490221527 175.9, 274347.8411358751 6758547.397092807 175.9, 274349.9308754802 6758548.162773695 175.9, 274350.9386300086 6758548.206917826 175.9, 274351.883867413 6758548.128197488 175.9, 274353.69859035045 6758547.419092304 175.9, 274355.1322589159 6758546.838399753 175.9, 274356.41622328764 6758545.349126277 175.9, 274358.39740747504 6758541.582488529 175.9, 274359.65471008525 6758537.657237386 175.9, 274359.84965985414 6758534.756838507 175.9, 274359.1070763073 6758531.00107956 175.9, 274357.7061480441 6758526.618526338 175.9, 274356.3062162353 6758522.235881575 175.9, 274354.90519680665 6758517.852331851 175.9, 274353.06482144934 6758513.739185922 175.9, 274351.1374013209 6758510.9873701455 175.9, 274347.5720495365 6758508.604916478 175.9, 274346.08393941564 6758507.826212687 175.9, 274345.23694251163 6758507.858741629 175.9, 274344.1832012639 6758508.4738873085 175.9, 274343.6779469099 6758509.31799935 175.9, 274343.0103041143 6758512.694813113 175.9, 274343.0254650902 6758517.11815351 175.9, 274343.07975578227 6758520.391531144 175.9, 274343.13404656027 6758523.664908783 175.9, 274343.2209777969 6758527.6004069345 175.9, 274343.17896686995 6758528.248280404 175.9, 274342.70765156794 6758531.563872149 175.9, 274342.2320044929 6758534.897946256 175.9, 274341.7573538177 6758538.231928943 175.9, 274341.5273253343 6758539.852536374 175.9))</t>
  </si>
  <si>
    <t>['EV6 S32D1 m3892']</t>
  </si>
  <si>
    <t>LINESTRING Z (274342.1590554614 6758549.263922218 175.70000000000002, 274339.84862763976 6758549.191651088 175.70000000000002, 274337.96196780435 6758549.883246054 175.70000000000002, 274337.4852218426 6758550.698619314 175.70000000000002, 274336.32765052933 6758553.477388504 175.70000000000002, 274335.1700792654 6758556.256157748 175.70000000000002, 274334.0075366943 6758558.838460642 175.70000000000002, 274332.84499416425 6758561.420763585 175.70000000000002, 274331.4600657848 6758564.305800996 175.70000000000002, 274330.7298323136 6758566.847420079 175.70000000000002, 274330.5792790641 6758568.195490322 175.70000000000002, 274330.98540649645 6758569.194067725 175.70000000000002, 274331.5407373385 6758569.585168333 175.70000000000002, 274333.07363541203 6758569.8885528175 175.70000000000002, 274334.79308711237 6758569.411236751 175.70000000000002, 274335.31533030927 6758568.938311584 175.70000000000002, 274337.57679589116 6758566.868016161 175.70000000000002, 274339.5541859598 6758565.096070294 175.70000000000002, 274342.0703281029 6758562.877815918 175.70000000000002, 274343.790432501 6758561.378652471 175.70000000000002, 274345.1292075674 6758560.212887304 175.70000000000002, 274346.3287390919 6758559.128222662 175.70000000000002, 274347.529108953 6758557.757139452 175.70000000000002, 274348.0294133045 6758555.906764596 175.70000000000002, 274347.83117609436 6758554.184806249 175.70000000000002, 274346.6970072038 6758551.887654253 175.70000000000002, 274345.4629287727 6758550.844504989 175.70000000000002, 274343.93175557745 6758550.023537622 175.70000000000002, 274342.1590554614 6758549.263922218 175.70000000000002)</t>
  </si>
  <si>
    <t>POLYGON Z ((274342.1590554614 6758549.263922218 175.70000000000002, 274339.84862763976 6758549.191651088 175.70000000000002, 274337.96196780435 6758549.883246054 175.70000000000002, 274337.4852218426 6758550.698619314 175.70000000000002, 274336.32765052933 6758553.477388504 175.70000000000002, 274335.1700792654 6758556.256157748 175.70000000000002, 274334.0075366943 6758558.838460642 175.70000000000002, 274332.84499416425 6758561.420763585 175.70000000000002, 274331.4600657848 6758564.305800996 175.70000000000002, 274330.7298323136 6758566.847420079 175.70000000000002, 274330.5792790641 6758568.195490322 175.70000000000002, 274330.98540649645 6758569.194067725 175.70000000000002, 274331.5407373385 6758569.585168333 175.70000000000002, 274333.07363541203 6758569.8885528175 175.70000000000002, 274334.79308711237 6758569.411236751 175.70000000000002, 274335.31533030927 6758568.938311584 175.70000000000002, 274337.57679589116 6758566.868016161 175.70000000000002, 274339.5541859598 6758565.096070294 175.70000000000002, 274342.0703281029 6758562.877815918 175.70000000000002, 274343.790432501 6758561.378652471 175.70000000000002, 274345.1292075674 6758560.212887304 175.70000000000002, 274346.3287390919 6758559.128222662 175.70000000000002, 274347.529108953 6758557.757139452 175.70000000000002, 274348.0294133045 6758555.906764596 175.70000000000002, 274347.83117609436 6758554.184806249 175.70000000000002, 274346.6970072038 6758551.887654253 175.70000000000002, 274345.4629287727 6758550.844504989 175.70000000000002, 274343.93175557745 6758550.023537622 175.70000000000002, 274342.1590554614 6758549.263922218 175.70000000000002))</t>
  </si>
  <si>
    <t>['EV6 S32D1 m3822']</t>
  </si>
  <si>
    <t>LINESTRING Z (274367.20124869107 6758500.95587308 172, 274367.4614529915 6758504.360051863 172, 274367.9512904666 6758507.879794177 172, 274368.442124353 6758511.399445023 172, 274368.95599279564 6758513.801756528 172, 274370.3477115394 6758517.175423877 172, 274371.739521806 6758520.550087467 172, 274373.45101875975 6758522.492837445 172, 274374.03510365577 6758522.617060902 172, 274375.617215023 6758522.953102949 172, 274376.4624927514 6758523.131720207 172, 274378.94649424223 6758521.975378757 172, 274381.42326393374 6758520.1053542765 172, 274383.90102991636 6758518.235238424 172, 274386.3001151561 6758516.613474005 172, 274388.69820405525 6758514.991801092 172, 274391.15417057835 6758513.365820706 172, 274392.87932939327 6758511.637121368 172, 274394.84230621485 6758509.2265016185 172, 274396.65348644793 6758507.04482176 172, 274398.46376182325 6758504.864229727 172, 274399.9902168605 6758502.962874093 172, 274399.9779267701 6758500.803881956 172, 274399.64956769504 6758497.773682365 172, 274397.3219180813 6758495.39015546 172, 274393.7470834041 6758493.769136063 172, 274390.6862315675 6758491.968319876 172, 274386.9119739184 6758489.345826341 172, 274384.3297088809 6758486.13669106 172, 274381.6938161821 6758484.280794839 172, 274379.124487645 6758484.080574745 172, 274376.07253155217 6758484.598810595 172, 274373.0196705179 6758485.118134227 172, 274370.2639233727 6758486.794737503 172, 274369.0328464536 6758489.210519597 172, 274367.802674436 6758491.625213974 172, 274367.2860197873 6758496.034068982 172, 274367.1075079068 6758498.358266204 172, 274367.20124869107 6758500.95587308 172)</t>
  </si>
  <si>
    <t>POLYGON Z ((274367.20124869107 6758500.95587308 172, 274367.4614529915 6758504.360051863 172, 274367.9512904666 6758507.879794177 172, 274368.442124353 6758511.399445023 172, 274368.95599279564 6758513.801756528 172, 274370.3477115394 6758517.175423877 172, 274371.739521806 6758520.550087467 172, 274373.45101875975 6758522.492837445 172, 274374.03510365577 6758522.617060902 172, 274375.617215023 6758522.953102949 172, 274376.4624927514 6758523.131720207 172, 274378.94649424223 6758521.975378757 172, 274381.42326393374 6758520.1053542765 172, 274383.90102991636 6758518.235238424 172, 274386.3001151561 6758516.613474005 172, 274388.69820405525 6758514.991801092 172, 274391.15417057835 6758513.365820706 172, 274392.87932939327 6758511.637121368 172, 274394.84230621485 6758509.2265016185 172, 274396.65348644793 6758507.04482176 172, 274398.46376182325 6758504.864229727 172, 274399.9902168605 6758502.962874093 172, 274399.9779267701 6758500.803881956 172, 274399.64956769504 6758497.773682365 172, 274397.3219180813 6758495.39015546 172, 274393.7470834041 6758493.769136063 172, 274390.6862315675 6758491.968319876 172, 274386.9119739184 6758489.345826341 172, 274384.3297088809 6758486.13669106 172, 274381.6938161821 6758484.280794839 172, 274379.124487645 6758484.080574745 172, 274376.07253155217 6758484.598810595 172, 274373.0196705179 6758485.118134227 172, 274370.2639233727 6758486.794737503 172, 274369.0328464536 6758489.210519597 172, 274367.802674436 6758491.625213974 172, 274367.2860197873 6758496.034068982 172, 274367.1075079068 6758498.358266204 172, 274367.20124869107 6758500.95587308 172))</t>
  </si>
  <si>
    <t>2025-12-08</t>
  </si>
  <si>
    <t>2025-12-08T13:17:25Z</t>
  </si>
  <si>
    <t>[44]</t>
  </si>
  <si>
    <t>['FV44 S17D15 m754']</t>
  </si>
  <si>
    <t>LINESTRING Z (-33509.20312698616 6568021.049525174 8.03, -33508.671063101036 6568020.512786421 8.03, -33508.21827062953 6568020.042385329 8.026051, -33506.085833882564 6568017.883035055 8.019229, -33496.41523931443 6568008.34144888 7.97061, -33490.076002082205 6568002.03394974 7.921, -33486.87618666049 6567998.870844363 7.893, -33480.516010369174 6567992.50266131 7.838, -33475.67566942971 6567987.678216933 7.830101, -33474.68006965541 6567986.69012237 7.82, -33473.91185586655 6567985.935402093 7.814734)</t>
  </si>
  <si>
    <t>POINT Z (-33491.54982350239 6568003.50039231 7.932533924031693)</t>
  </si>
  <si>
    <t>['FV44 S17D15 m651']</t>
  </si>
  <si>
    <t>LINESTRING Z (-33437.33861116588 6567939.355562558 7.509137, -33422.40293636813 6567924.062961965 7.609515, -33410.27507193084 6567911.795166325 7.707, -33409.91602807958 6567911.431979996 7.709886)</t>
  </si>
  <si>
    <t>POINT Z (-33423.66577766464 6567925.355982054 7.601027838530763)</t>
  </si>
  <si>
    <t>['FV44 S17D15 m755']</t>
  </si>
  <si>
    <t>LINESTRING Z (-33471.98446682072 6567987.908131301 7.79646, -33473.702503331355 6567989.671613842 7.792975, -33480.05075791443 6567996.046503555 7.842, -33484.90820330044 6568000.823245784 7.878, -33491.24893199012 6568007.221069939 7.927, -33494.44079151831 6568010.411409214 7.9510000000000005, -33501.73390139197 6568017.604816485 7.987228, -33504.08530313743 6568019.968455559 7.999019, -33506.2096239588 6568022.075440094 8.013187, -33506.6743270451 6568022.548288667 8.015, -33507.28176282998 6568023.1297269035 8.020308)</t>
  </si>
  <si>
    <t>POINT Z (-33489.59738632936 6568005.554652838 7.914237155012001)</t>
  </si>
  <si>
    <t>['FV44 S17D125 m3079']</t>
  </si>
  <si>
    <t>LINESTRING Z (-33333.015439548995 6567805.138372611 8.071157, -33332.15437800728 6567803.769453612 8.062042, -33327.051754642394 6567795.692274086 8.017192, -33322.25246120617 6567788.117041298 7.974597, -33320.18525230617 6567784.816862496 7.948976, -33318.788517075474 6567782.610434815 7.927653)</t>
  </si>
  <si>
    <t>POINT Z (-33325.900587121556 6567793.875264549 8.006975083447266)</t>
  </si>
  <si>
    <t>['FV44 S17D125 m3033']</t>
  </si>
  <si>
    <t>LINESTRING Z (-33287.566860901425 6567748.767047914 6.313, -33288.613327545 6567749.803154343 8.170894, -33290.033754115924 6567751.24458231 8.159496, -33309.26704219682 6567770.370763894 8.034419, -33310.67906446138 6567771.831723173 8.007398)</t>
  </si>
  <si>
    <t>POINT Z (-33299.131171402754 6567760.291337823 8.100334110613273)</t>
  </si>
  <si>
    <t>['FV44 S17D10 m629']</t>
  </si>
  <si>
    <t>LINESTRING Z (-33512.403225650894 6568016.269634758 8.109845, -33512.25440307555 6568016.1233863775 8.109, -33500.42592041963 6568004.214967758 8.006266, -33485.98023352865 6567990.02724111 7.918086, -33478.68859254767 6567982.73597515 7.85, -33477.937984329765 6567981.985406091 7.852)</t>
  </si>
  <si>
    <t>POINT Z (-33495.207905160074 6567999.090131902 7.9744139607677855)</t>
  </si>
  <si>
    <t>['FV44 S17D10 m661']</t>
  </si>
  <si>
    <t>LINESTRING Z (-33522.64107063424 6568026.330351654 8.167979, -33522.11646642932 6568025.81482377 8.165, -33512.403225650894 6568016.269634758 8.109845)</t>
  </si>
  <si>
    <t>POINT Z (-33517.52214814714 6568021.299993202 8.138911938287722)</t>
  </si>
  <si>
    <t>['FV44 S17D215 m599']</t>
  </si>
  <si>
    <t>LINESTRING Z (-33364.39418551489 6567881.980815321 8.104223, -33364.909218912246 6567882.514853314 8.110829, -33365.52768366109 6567883.137143426 8.111138, -33368.64816077403 6567886.337719896 8.09737, -33371.799770523096 6567889.542101079 8.065025, -33375.004485021695 6567892.769175523 8.039872, -33378.17833110131 6567895.999879974 8.003869, -33381.36352247605 6567899.2340779705 7.983821, -33383.176236220635 6567901.073340559 7.97599, -33384.544224158046 6567902.461364429 7.97008, -33389.30084613478 6567907.248105034 7.945839, -33394.01020435488 6567912.103101863 7.913927, -33398.61801461154 6567916.729532215 7.881667, -33399.51517696679 6567917.6438249955 5.984704, -33400.348969544284 6567918.478737353 7.843797, -33403.33371225896 6567921.507957168 7.830694, -33407.38765515247 6567925.579269263 7.811564, -33416.21837262856 6567934.522925922 7.758785, -33420.9467933625 6567939.206813311 7.731345, -33431.80349705834 6567950.212156265 7.660243, -33433.42387839593 6567951.826248065 7.621373, -33436.58815996139 6567955.047252343 7.599706, -33437.29020923551 6567955.77778547 7.599329, -33438.307928795926 6567956.769635493 7.481608)</t>
  </si>
  <si>
    <t>POINT Z (-33401.29097565957 6567919.434780759 7.8396615996293555)</t>
  </si>
  <si>
    <t>['FV44 S17D216 m67']</t>
  </si>
  <si>
    <t>LINESTRING Z (-33284.29407925275 6567809.204686076 7.432, -33284.938111933414 6567809.961242823 7.438, -33290.25971892034 6567816.2126361225 7.487947, -33300.48559122626 6567828.240233738 7.569783, -33301.48842342291 6567829.399966816 7.577, -33301.93334094144 6567829.914495477 7.580202)</t>
  </si>
  <si>
    <t>POINT Z (-33293.10885434499 6567819.563768761 7.510748169390391)</t>
  </si>
  <si>
    <t>Bygning</t>
  </si>
  <si>
    <t>2025-01-07</t>
  </si>
  <si>
    <t>2025-11-22T09:08:49Z</t>
  </si>
  <si>
    <t>['FV40 S26D1 m6657']</t>
  </si>
  <si>
    <t>LINESTRING Z (139015.26 6714748.74 825.024, 139021.06 6714747.6 825.054, 139019.3 6714740.12 826.734, 139014.03 6714741.02 826.244, 139015.3 6714749.11 825.544)</t>
  </si>
  <si>
    <t>POLYGON Z ((139015.26 6714748.74 825.024, 139021.06 6714747.6 825.054, 139019.3 6714740.12 826.734, 139014.03 6714741.02 826.244, 139015.3 6714749.11 825.544, 139015.26 6714748.74 825.024))</t>
  </si>
  <si>
    <t>2023-10-30</t>
  </si>
  <si>
    <t>2025-11-22T09:08:55Z</t>
  </si>
  <si>
    <t>[56]</t>
  </si>
  <si>
    <t>['EV6 S203D1 m1972']</t>
  </si>
  <si>
    <t>LINESTRING Z (808665.26953125 7778744.58007813 55.131, 808670.76953125 7778744.37988281 55.161)</t>
  </si>
  <si>
    <t>POINT Z (808668.01953125 7778744.47998047 55.146)</t>
  </si>
  <si>
    <t>['EV6 S203D1 m1519']</t>
  </si>
  <si>
    <t>LINESTRING Z (808238.37890625 7778868.74023438 32.801, 808243.26953125 7778866.00976563 32.801)</t>
  </si>
  <si>
    <t>POINT Z (808240.82421875 7778867.375000005 32.801)</t>
  </si>
  <si>
    <t>2019-12-02</t>
  </si>
  <si>
    <t>['FV60 S1D10 m32']</t>
  </si>
  <si>
    <t>LINESTRING Z (62187.9799804688 6951185.80004883 2.459, 62190.1799316406 6951186.44995117 2.319, 62191.580078125 6951182.14001465 2.539, 62189.4499511719 6951181.42004395 2.259, 62187.9799804688 6951185.80004883 2.459)</t>
  </si>
  <si>
    <t>POLYGON Z ((62187.9799804688 6951185.80004883 2.459, 62190.1799316406 6951186.44995117 2.319, 62191.580078125 6951182.14001465 2.539, 62189.4499511719 6951181.42004395 2.259, 62187.9799804688 6951185.80004883 2.459))</t>
  </si>
  <si>
    <t>2024-02-05</t>
  </si>
  <si>
    <t>2025-11-22T09:09:01Z</t>
  </si>
  <si>
    <t>[85]</t>
  </si>
  <si>
    <t>['RV85 S3D1 m0']</t>
  </si>
  <si>
    <t>LINESTRING Z (540804.124030458 7590031.05417328 -999999, 540799.569592347 7590028.80406397 -999999, 540800.816640877 7590026.47262542 -999999, 540805.343969238 7590028.58718597 -999999, 540804.124030458 7590031.05417328 -999999)</t>
  </si>
  <si>
    <t>POLYGON Z ((540804.124030458 7590031.05417328 -999999, 540799.569592347 7590028.80406397 -999999, 540800.816640877 7590026.47262542 -999999, 540805.343969238 7590028.58718597 -999999, 540804.124030458 7590031.05417328 -999999))</t>
  </si>
  <si>
    <t>LINESTRING Z (540807.609702157 7590023.46523394 -999999, 540804.765833735 7590021.79813866 -999999, 540807.070347801 7590018.07169038 -999999, 540809.816151795 7590019.64072124 -999999, 540807.609702157 7590023.46523394 -999999)</t>
  </si>
  <si>
    <t>POLYGON Z ((540807.609702157 7590023.46523394 -999999, 540804.765833735 7590021.79813866 -999999, 540807.070347801 7590018.07169038 -999999, 540809.816151795 7590019.64072124 -999999, 540807.609702157 7590023.46523394 -999999))</t>
  </si>
  <si>
    <t>['RV85 S3D1 m3']</t>
  </si>
  <si>
    <t>LINESTRING Z (540805.746478019 7590031.65361371 -999999, 540806.776154516 7590029.5452285 -999999, 540810.306473937 7590031.261356 -999999, 540809.178733011 7590033.36974121 -999999, 540805.64841359 7590031.70264593 -999999)</t>
  </si>
  <si>
    <t>POLYGON Z ((540805.746478019 7590031.65361371 -999999, 540806.776154516 7590029.5452285 -999999, 540810.306473937 7590031.261356 -999999, 540809.178733011 7590033.36974121 -999999, 540805.64841359 7590031.70264593 -999999, 540805.746478019 7590031.65361371 -999999))</t>
  </si>
  <si>
    <t>2016-10-01</t>
  </si>
  <si>
    <t>[17]</t>
  </si>
  <si>
    <t>['FV17 S39D10 m28']</t>
  </si>
  <si>
    <t>LINESTRING Z (382587.453340571 7302472.32764982 -999999, 382590.203273623 7302470.23024326 -999999, 382592.440507293 7302473.07339438 -999999, 382589.690574241 7302475.21740998 -999999, 382587.453340571 7302472.37425885 -999999)</t>
  </si>
  <si>
    <t>POLYGON Z ((382587.453340571 7302472.32764982 -999999, 382590.203273623 7302470.23024326 -999999, 382592.440507293 7302473.07339438 -999999, 382589.690574241 7302475.21740998 -999999, 382587.453340571 7302472.37425885 -999999, 382587.453340571 7302472.32764982 -999999))</t>
  </si>
  <si>
    <t>2017-11-09</t>
  </si>
  <si>
    <t>['FV17 S42D1 m15479']</t>
  </si>
  <si>
    <t>LINESTRING Z (413343.257017047 7338312.60318031 -999999, 413346.191005676 7338314.38603464 -999999, 413348.114242242 7338311.19935799 -999999, 413345.152177166 7338309.38842721 -999999, 413343.214902378 7338312.60318031 -999999)</t>
  </si>
  <si>
    <t>POLYGON Z ((413343.257017047 7338312.60318031 -999999, 413346.191005676 7338314.38603464 -999999, 413348.114242242 7338311.19935799 -999999, 413345.152177166 7338309.38842721 -999999, 413343.214902378 7338312.60318031 -999999, 413343.257017047 7338312.60318031 -999999))</t>
  </si>
  <si>
    <t>['FV17 S35D20 m83']</t>
  </si>
  <si>
    <t>LINESTRING Z (375584.182805222 7276161.81695313 -999999, 375586.825403672 7276164.0776732 -999999, 375589.040298326 7276161.46562502 -999999, 375586.458800419 7276159.25073036 -999999, 375584.182805222 7276161.81695313 -999999)</t>
  </si>
  <si>
    <t>POLYGON Z ((375584.182805222 7276161.81695313 -999999, 375586.825403672 7276164.0776732 -999999, 375589.040298326 7276161.46562502 -999999, 375586.458800419 7276159.25073036 -999999, 375584.182805222 7276161.81695313 -999999))</t>
  </si>
  <si>
    <t>2018-07-27</t>
  </si>
  <si>
    <t>2025-11-22T09:09:08Z</t>
  </si>
  <si>
    <t>['EV16 S10D1 m6069 SD1 m82']</t>
  </si>
  <si>
    <t>LINESTRING Z (28769.6390591707 6751247.85360497 -999999, 28770.2586577296 6751241.76088581 -999999, 28775.9383111864 6751239.24806943 -999999, 28780.8950996579 6751242.63865043 -999999, 28780.3443453833 6751248.81742495 -999999, 28774.7335362107 6751251.45071883 -999999, 28769.6218480996 6751247.87081604 -999999)</t>
  </si>
  <si>
    <t>POLYGON Z ((28769.6390591707 6751247.85360497 -999999, 28770.2586577296 6751241.76088581 -999999, 28775.9383111864 6751239.24806943 -999999, 28780.8950996579 6751242.63865043 -999999, 28780.3443453833 6751248.81742495 -999999, 28774.7335362107 6751251.45071883 -999999, 28769.6218480996 6751247.87081604 -999999, 28769.6390591707 6751247.85360497 -999999))</t>
  </si>
  <si>
    <t>2019-02-07</t>
  </si>
  <si>
    <t>LINESTRING Z (28785.3212338129 6751227.68150015 -999999, 28787.8109561414 6751224.36872912 -999999, 28794.1278549419 6751228.60742994 -999999, 28791.8027423541 6751232.02308206 -999999, 28785.3006575953 6751227.7432288 -999999)</t>
  </si>
  <si>
    <t>POLYGON Z ((28785.3212338129 6751227.68150015 -999999, 28787.8109561414 6751224.36872912 -999999, 28794.1278549419 6751228.60742994 -999999, 28791.8027423541 6751232.02308206 -999999, 28785.3006575953 6751227.7432288 -999999, 28785.3212338129 6751227.68150015 -999999))</t>
  </si>
  <si>
    <t>2021-10-18</t>
  </si>
  <si>
    <t>2025-11-22T09:09:20Z</t>
  </si>
  <si>
    <t>['EV18 S27D1 m669']</t>
  </si>
  <si>
    <t>LINESTRING Z (195159.760075445 6563347.96102691 38.07, 195158.56972246 6563352.99977476 37.12, 195178.532746093 6563357.74692075 37.14, 195179.750547009 6563352.67578153 38.09, 195159.760075445 6563347.96102691 38.07)</t>
  </si>
  <si>
    <t>POLYGON Z ((195159.760075445 6563347.96102691 38.07, 195158.56972246 6563352.99977476 37.12, 195178.532746093 6563357.74692075 37.14, 195179.750547009 6563352.67578153 38.09, 195159.760075445 6563347.96102691 38.07))</t>
  </si>
  <si>
    <t>2022-07-08</t>
  </si>
  <si>
    <t>2025-11-22T09:09:26Z</t>
  </si>
  <si>
    <t>[38]</t>
  </si>
  <si>
    <t>['FV38 S1D1 m567']</t>
  </si>
  <si>
    <t>LINESTRING Z (178154.8982525525 6539539.401774785 0.0068662147969007, 178157.54409117496 6539530.802799267 0.0068726958706975)</t>
  </si>
  <si>
    <t>POINT Z (178156.22117186373 6539535.102287026 0.0068694553337991)</t>
  </si>
  <si>
    <t>['FV38 S1D1 m1962 KD2 m85']</t>
  </si>
  <si>
    <t>LINESTRING Z (177033.55877136817 6539720.47635552 0.0076580969616771, 177035.37778542133 6539720.972450262 0.0076597053557634)</t>
  </si>
  <si>
    <t>POINT Z (177034.46827839475 6539720.7244028915 0.0076589011587202)</t>
  </si>
  <si>
    <t>2023-08-11</t>
  </si>
  <si>
    <t>[5]</t>
  </si>
  <si>
    <t>['RV5 S8D1 m11716']</t>
  </si>
  <si>
    <t>LINESTRING Z (66187.88013504207 6828516.421618031 521.73, 66176.44392723998 6828519.218800625 521.78, 66177.29458541854 6828522.763331869 522.35, 66188.78529581695 6828520.011436505 522.0600000000001, 66187.88013504207 6828516.421618031 521.73)</t>
  </si>
  <si>
    <t>POLYGON Z ((66187.88013504207 6828516.421618031 521.73, 66176.44392723998 6828519.218800625 521.78, 66177.29458541854 6828522.763331869 522.35, 66188.78529581695 6828520.011436505 522.0600000000001, 66187.88013504207 6828516.421618031 521.73))</t>
  </si>
  <si>
    <t>2023-10-16</t>
  </si>
  <si>
    <t>[547]</t>
  </si>
  <si>
    <t>['FV547 S1D10 m63 SD1 m56']</t>
  </si>
  <si>
    <t>LINESTRING (-51400.814578495105 6616021.83602652, -51395.59858985362 6616021.92726345, -51395.45485718583 6616013.845796812, -51397.553785061114 6616013.804394238, -51397.4274568531 6616006.308736654, -51400.53543248761 6616006.248005196, -51400.814578495105 6616021.83602652)</t>
  </si>
  <si>
    <t>POLYGON ((-51400.814578495105 6616021.83602652, -51395.59858985362 6616021.92726345, -51395.45485718583 6616013.845796812, -51397.553785061114 6616013.804394238, -51397.4274568531 6616006.308736654, -51400.53543248761 6616006.248005196, -51400.814578495105 6616021.83602652))</t>
  </si>
  <si>
    <t>2024-02-15</t>
  </si>
  <si>
    <t>[53]</t>
  </si>
  <si>
    <t>['FV53 S5D1 m121']</t>
  </si>
  <si>
    <t>LINESTRING Z (114574.79437525786 6817834.092981086 9.639, 114573.07450588915 6817837.135523416 9.508, 114577.45304254594 6817840.051955406 9.274, 114579.66283005767 6817836.898949887 9.433, 114574.88054873765 6817833.993603976 9.63)</t>
  </si>
  <si>
    <t>POLYGON Z ((114574.79437525786 6817834.092981086 9.639, 114573.07450588915 6817837.135523416 9.508, 114577.45304254594 6817840.051955406 9.274, 114579.66283005767 6817836.898949887 9.433, 114574.88054873765 6817833.993603976 9.63, 114574.79437525786 6817834.092981086 9.639))</t>
  </si>
  <si>
    <t>2024-03-19</t>
  </si>
  <si>
    <t>[10]</t>
  </si>
  <si>
    <t>['EV10 S4D1 m6683 SD1 m144']</t>
  </si>
  <si>
    <t>LINESTRING Z (428599.87209613447 7555417.470152066 3.92, 428611.2142209057 7555413.139398404 3.92, 428609.24283381115 7555407.973994217 3.92, 428597.9051590058 7555412.315786478 3.92, 428599.87209613447 7555417.470152066 3.92)</t>
  </si>
  <si>
    <t>POLYGON Z ((428599.87209613447 7555417.470152066 3.92, 428611.2142209057 7555413.139398404 3.92, 428609.24283381115 7555407.973994217 3.92, 428597.9051590058 7555412.315786478 3.92, 428599.87209613447 7555417.470152066 3.92))</t>
  </si>
  <si>
    <t>2024-01-04</t>
  </si>
  <si>
    <t>[7868]</t>
  </si>
  <si>
    <t>['FV7868 S1D1 m5744 SD1 m12']</t>
  </si>
  <si>
    <t>LINESTRING Z (595238.6900000001 7714338.51 5.67, 595227.42 7714346.25 5.67, 595225.4500000001 7714343.42 5.71, 595236.61 7714335.57 5.71, 595238.6900000001 7714338.51 5.67)</t>
  </si>
  <si>
    <t>POLYGON Z ((595238.6900000001 7714338.51 5.67, 595227.42 7714346.25 5.67, 595225.4500000001 7714343.42 5.71, 595236.61 7714335.57 5.71, 595238.6900000001 7714338.51 5.67))</t>
  </si>
  <si>
    <t>2024-01-16</t>
  </si>
  <si>
    <t>[98991]</t>
  </si>
  <si>
    <t>['PV98991 S1D1 m76']</t>
  </si>
  <si>
    <t>LINESTRING (73790.51709976926 6800639.547585879, 73792.27131917042 6800641.66577556, 73794.3540413208 6800639.59030257, 73792.46036053367 6800637.525547832, 73790.55305884819 6800639.54320569)</t>
  </si>
  <si>
    <t>POLYGON ((73790.51709976926 6800639.547585879, 73792.27131917042 6800641.66577556, 73794.3540413208 6800639.59030257, 73792.46036053367 6800637.525547832, 73790.55305884819 6800639.54320569, 73790.51709976926 6800639.547585879))</t>
  </si>
  <si>
    <t>2024-03-01</t>
  </si>
  <si>
    <t>2025-11-22T09:09:32Z</t>
  </si>
  <si>
    <t>['EV39 S59D1 m3108']</t>
  </si>
  <si>
    <t>LINESTRING Z (8006.531569241255 6837305.913975057 220.6, 8001.989363276283 6837302.791142641 220.6, 7989.960572653974 6837320.314462246 220.6, 7994.502779977105 6837323.43729415 220.6, 8006.531569241255 6837305.913975057 220.6)</t>
  </si>
  <si>
    <t>POLYGON Z ((8006.531569241255 6837305.913975057 220.6, 8001.989363276283 6837302.791142641 220.6, 7989.960572653974 6837320.314462246 220.6, 7994.502779977105 6837323.43729415 220.6, 8006.531569241255 6837305.913975057 220.6))</t>
  </si>
  <si>
    <t>2024-04-17</t>
  </si>
  <si>
    <t>[866]</t>
  </si>
  <si>
    <t>['FV866 S1D1 m17826']</t>
  </si>
  <si>
    <t>LINESTRING (725755.47 7768884.76, 725747.15 7768901.85, 725752.32 7768904.36, 725760.64 7768887.28, 725755.47 7768884.76)</t>
  </si>
  <si>
    <t>POLYGON ((725755.47 7768884.76, 725747.15 7768901.85, 725752.32 7768904.36, 725760.64 7768887.28, 725755.47 7768884.76))</t>
  </si>
  <si>
    <t>['FV866 S1D1 m18922']</t>
  </si>
  <si>
    <t>LINESTRING Z (725995.69 7769732.82 4.65, 725998.29 7769728.9 4.65, 725983.2 7769718.91 4.65, 725980.65 7769723.14 4.65, 725995.69 7769732.82 4.65)</t>
  </si>
  <si>
    <t>POLYGON Z ((725995.69 7769732.82 4.65, 725998.29 7769728.9 4.65, 725983.2 7769718.91 4.65, 725980.65 7769723.14 4.65, 725995.69 7769732.82 4.65))</t>
  </si>
  <si>
    <t>['FV866 S1D1 m16740']</t>
  </si>
  <si>
    <t>LINESTRING (726456.79 7768677.18, 726459.52 7768681.12, 726462.24 7768685.06, 726464.97 7768689, 726468.78 7768686.38, 726472.59 7768683.75, 726469.83 7768679.77, 726467.08 7768675.78, 726464.32 7768671.8, 726460.55 7768674.49, 726456.79 7768677.18)</t>
  </si>
  <si>
    <t>POLYGON ((726456.79 7768677.18, 726459.52 7768681.12, 726462.24 7768685.06, 726464.97 7768689, 726468.78 7768686.38, 726472.59 7768683.75, 726469.83 7768679.77, 726467.08 7768675.78, 726464.32 7768671.8, 726460.55 7768674.49, 726456.79 7768677.18))</t>
  </si>
  <si>
    <t>2024-04-04</t>
  </si>
  <si>
    <t>[2460]</t>
  </si>
  <si>
    <t>['FV2460 S1D1 m9017']</t>
  </si>
  <si>
    <t>LINESTRING (209277.71092863788 6747988.387330778, 209276.9771556825 6747989.289890693, 209284.46274665638 6747995.128084455, 209285.14819082653 6747994.08290891)</t>
  </si>
  <si>
    <t>POLYGON ((209277.71092863788 6747988.387330778, 209276.9771556825 6747989.289890693, 209284.46274665638 6747995.128084455, 209285.14819082653 6747994.08290891, 209277.71092863788 6747988.387330778))</t>
  </si>
  <si>
    <t>2024-04-12</t>
  </si>
  <si>
    <t>[540]</t>
  </si>
  <si>
    <t>['FV540 S1D1 m3755 SD2 m125']</t>
  </si>
  <si>
    <t>LINESTRING Z (-34647.9566878184 6729909.781399335 42.14, -34651.06969526212 6729904.164395027 42, -34643.78253270604 6729900.042307991 42, -34640.76933180902 6729905.779244057 42.15, -34647.9566878184 6729909.781399335 42.14)</t>
  </si>
  <si>
    <t>POLYGON Z ((-34647.9566878184 6729909.781399335 42.14, -34651.06969526212 6729904.164395027 42, -34643.78253270604 6729900.042307991 42, -34640.76933180902 6729905.779244057 42.15, -34647.9566878184 6729909.781399335 42.14))</t>
  </si>
  <si>
    <t>2025-03-06</t>
  </si>
  <si>
    <t>['EV39 S78D200 m2145']</t>
  </si>
  <si>
    <t>LINESTRING Z (-30838.14440781402 6731955.142931584 23.78, -30835.15399295278 6731959.718459839 23.78, -30840.057355834986 6731962.923216054 23.78, -30840.221430186648 6731962.671349246 23.78, -30839.18092713121 6731961.990875279 23.78, -30842.027266303077 6731957.635809509 23.78, -30838.14440781402 6731955.142931584 23.78)</t>
  </si>
  <si>
    <t>POLYGON Z ((-30838.14440781402 6731955.142931584 23.78, -30835.15399295278 6731959.718459839 23.78, -30840.057355834986 6731962.923216054 23.78, -30840.221430186648 6731962.671349246 23.78, -30839.18092713121 6731961.990875279 23.78, -30842.027266303077 6731957.635809509 23.78, -30838.14440781402 6731955.142931584 23.78))</t>
  </si>
  <si>
    <t>2024-11-14</t>
  </si>
  <si>
    <t>['EV39 S78D200 m2150']</t>
  </si>
  <si>
    <t>LINESTRING Z (-30838.14440781402 6731955.142931584 23.78, -30840.03829982085 6731952.246604223 23.78, -30843.99891036318 6731954.8362416085 23.78, -30843.834836021066 6731955.088108438 23.78, -30843.73508806806 6731955.022570195 23.78, -30842.027266303077 6731957.635809509 23.78, -30838.14440781402 6731955.142931584 23.78)</t>
  </si>
  <si>
    <t>POLYGON Z ((-30838.14440781402 6731955.142931584 23.78, -30840.03829982085 6731952.246604223 23.78, -30843.99891036318 6731954.8362416085 23.78, -30843.834836021066 6731955.088108438 23.78, -30843.73508806806 6731955.022570195 23.78, -30842.027266303077 6731957.635809509 23.78, -30838.14440781402 6731955.142931584 23.78))</t>
  </si>
  <si>
    <t>2024-11-15</t>
  </si>
  <si>
    <t>[283]</t>
  </si>
  <si>
    <t>['FV283 S1D1 m2412']</t>
  </si>
  <si>
    <t>LINESTRING Z (230031.1664427963 6633406.910657966 10.558292223215103, 230026.4136248504 6633404.115112002 10.558304680585861, 230019.19567418128 6633416.388783801 10.558285130262375, 230023.93783199822 6633419.175026379 10.55827270269394, 230031.1664427963 6633406.910657966 10.558292223215103)</t>
  </si>
  <si>
    <t>POLYGON Z ((230031.1664427963 6633406.910657966 10.558292223215103, 230026.4136248504 6633404.115112002 10.558304680585861, 230019.19567418128 6633416.388783801 10.558285130262375, 230023.93783199822 6633419.175026379 10.55827270269394, 230031.1664427963 6633406.910657966 10.558292223215103))</t>
  </si>
  <si>
    <t>['FV283 S1D10 m51']</t>
  </si>
  <si>
    <t>LINESTRING Z (229868.02858547855 6633082.405725766 10.40564705312252, 229865.8177910886 6633083.959962036 10.40564767897129, 229868.0501465741 6633087.147506605 10.405635743141174, 229870.27092276368 6633085.592591628 10.405635102391242, 229868.02858547855 6633082.405725766 10.40564705312252)</t>
  </si>
  <si>
    <t>POLYGON Z ((229868.02858547855 6633082.405725766 10.40564705312252, 229865.8177910886 6633083.959962036 10.40564767897129, 229868.0501465741 6633087.147506605 10.405635743141174, 229870.27092276368 6633085.592591628 10.405635102391242, 229868.02858547855 6633082.405725766 10.40564705312252))</t>
  </si>
  <si>
    <t>['FV283 S1D1 m1640']</t>
  </si>
  <si>
    <t>LINESTRING Z (230776.7028342957 6633427.06655124 28.756680215597154, 230770.47074613173 6633428.914263085 28.756694684624673, 230774.0766154547 6633441.093717945 28.756657625436784, 230780.30938203848 6633439.255987475 28.756643156409265, 230776.7028342957 6633427.06655124 28.756680215597154)</t>
  </si>
  <si>
    <t>POLYGON Z ((230776.7028342957 6633427.06655124 28.756680215597154, 230770.47074613173 6633428.914263085 28.756694684624673, 230774.0766154547 6633441.093717945 28.756657625436784, 230780.30938203848 6633439.255987475 28.756643156409265, 230776.7028342957 6633427.06655124 28.756680215597154))</t>
  </si>
  <si>
    <t>['FV283 S1D1 m822']</t>
  </si>
  <si>
    <t>LINESTRING Z (231485.96447199053 6633026.440670499 11.743694948852063, 231481.4238238125 6633029.56723602 11.743692899942399, 231489.48993855482 6633041.272911024 11.743661540448667, 231494.0305862786 6633038.146345337 11.743663604259492, 231485.96447199053 6633026.440670499 11.743694948852063)</t>
  </si>
  <si>
    <t>POLYGON Z ((231485.96447199053 6633026.440670499 11.743694948852063, 231481.4238238125 6633029.56723602 11.743692899942399, 231489.48993855482 6633041.272911024 11.743661540448667, 231494.0305862786 6633038.146345337 11.743663604259492, 231485.96447199053 6633026.440670499 11.743694948852063))</t>
  </si>
  <si>
    <t>2025-02-12</t>
  </si>
  <si>
    <t>[5678]</t>
  </si>
  <si>
    <t>['FV5678 S2D1 m3381']</t>
  </si>
  <si>
    <t>LINESTRING (-4843.424147014448 6841834.006882688, -4841.723294133029 6841835.698409029, -4846.301428500388 6841840.159318115, -4848.040450394445 6841838.455235213, -4843.441930370638 6841834.009486766)</t>
  </si>
  <si>
    <t>POLYGON ((-4843.424147014448 6841834.006882688, -4841.723294133029 6841835.698409029, -4846.301428500388 6841840.159318115, -4848.040450394445 6841838.455235213, -4843.441930370638 6841834.009486766, -4843.424147014448 6841834.006882688))</t>
  </si>
  <si>
    <t>[457]</t>
  </si>
  <si>
    <t>['FV457 S1D1 m3747']</t>
  </si>
  <si>
    <t>LINESTRING Z (86623.72629367036 6459929.183898572 -99.61, 86622.30239881016 6459931.152062332 -99.60000000000001, 86618.33345566632 6459928.277003106 -99.60000000000001, 86619.75735062396 6459926.308839313 -99.61, 86623.72629367036 6459929.183898572 -99.61)</t>
  </si>
  <si>
    <t>POLYGON Z ((86623.72629367036 6459929.183898572 -99.61, 86622.30239881016 6459931.152062332 -99.60000000000001, 86618.33345566632 6459928.277003106 -99.60000000000001, 86619.75735062396 6459926.308839313 -99.61, 86623.72629367036 6459929.183898572 -99.61))</t>
  </si>
  <si>
    <t>2025-03-19</t>
  </si>
  <si>
    <t>[8690]</t>
  </si>
  <si>
    <t>['FV8690 S2D1 m8']</t>
  </si>
  <si>
    <t>LINESTRING Z (722495.5431163386 7780093.598249574 5.48, 722495.2820342284 7780095.151357845 5, 722500.2311389181 7780095.950788388 5, 722500.497674517 7780094.448388245 5.48, 722500.7606038302 7780092.985833374 5, 722495.7915764763 7780092.184599768 5, 722495.5431163386 7780093.598249574 5.48)</t>
  </si>
  <si>
    <t>POLYGON Z ((722495.5431163386 7780093.598249574 5.48, 722495.2820342284 7780095.151357845 5, 722500.2311389181 7780095.950788388 5, 722500.497674517 7780094.448388245 5.48, 722500.7606038302 7780092.985833374 5, 722495.7915764763 7780092.184599768 5, 722495.5431163386 7780093.598249574 5.48))</t>
  </si>
  <si>
    <t>2025-06-24</t>
  </si>
  <si>
    <t>[609]</t>
  </si>
  <si>
    <t>['FV609 S1D1 m949']</t>
  </si>
  <si>
    <t>LINESTRING (-12313.473202875583 6842392.199544702, -12309.253273167706 6842390.265808531, -12304.085926256492 6842400.821316203, -12308.270280795172 6842402.749749799, -12313.50348992733 6842392.240334143)</t>
  </si>
  <si>
    <t>POLYGON ((-12313.473202875583 6842392.199544702, -12309.253273167706 6842390.265808531, -12304.085926256492 6842400.821316203, -12308.270280795172 6842402.749749799, -12313.50348992733 6842392.240334143, -12313.473202875583 6842392.199544702))</t>
  </si>
  <si>
    <t>2025-08-26</t>
  </si>
  <si>
    <t>[613]</t>
  </si>
  <si>
    <t>['FV613 S2D1 m17701']</t>
  </si>
  <si>
    <t>LINESTRING (47248.64863069012 6831400.740589131, 47248.3924179335 6831398.782742263, 47244.684571503894 6831399.267969916, 47244.95476172643 6831401.332608194, 47248.62695357867 6831400.852046375)</t>
  </si>
  <si>
    <t>POLYGON ((47248.64863069012 6831400.740589131, 47248.3924179335 6831398.782742263, 47244.684571503894 6831399.267969916, 47244.95476172643 6831401.332608194, 47248.62695357867 6831400.852046375, 47248.64863069012 6831400.740589131))</t>
  </si>
  <si>
    <t>2025-12-15</t>
  </si>
  <si>
    <t>2025-12-15T14:13:00Z</t>
  </si>
  <si>
    <t>[566]</t>
  </si>
  <si>
    <t>['FV566 S1D1 m2380']</t>
  </si>
  <si>
    <t>LINESTRING Z (-19321.35816088447 6738178.884263241 108.05, -19320.25199399778 6738184.185879973 108.05, -19301.59429796401 6738180.284240791 108.05, -19302.710388792155 6738174.984069899 108.05, -19321.35816088447 6738178.884263241 108.05)</t>
  </si>
  <si>
    <t>POLYGON Z ((-19321.35816088447 6738178.884263241 108.05, -19320.25199399778 6738184.185879973 108.05, -19301.59429796401 6738180.284240791 108.05, -19302.710388792155 6738174.984069899 108.05, -19321.35816088447 6738178.884263241 108.05))</t>
  </si>
  <si>
    <t>['FV566 S1D1 m1009']</t>
  </si>
  <si>
    <t>LINESTRING Z (-19754.01853499451 6736898.506062633 59.050000000000004, -19750.33705137996 6736896.156108863 59.74, -19751.381284334988 6736894.412887809 59.77, -19749.3818431478 6736893.179341163 60.11, -19760.119902396575 6736876.01313631 60.120000000000005, -19765.89737222425 6736879.560013493 59.050000000000004, -19754.01853499451 6736898.506062633 59.050000000000004)</t>
  </si>
  <si>
    <t>POLYGON Z ((-19754.01853499451 6736898.506062633 59.050000000000004, -19750.33705137996 6736896.156108863 59.74, -19751.381284334988 6736894.412887809 59.77, -19749.3818431478 6736893.179341163 60.11, -19760.119902396575 6736876.01313631 60.120000000000005, -19765.89737222425 6736879.560013493 59.050000000000004, -19754.01853499451 6736898.506062633 59.050000000000004))</t>
  </si>
  <si>
    <t>Snuplass</t>
  </si>
  <si>
    <t>2015-06-30</t>
  </si>
  <si>
    <t>2025-11-22T09:07:37Z</t>
  </si>
  <si>
    <t>[8048]</t>
  </si>
  <si>
    <t>['FV8048 S1D1 m2817']</t>
  </si>
  <si>
    <t>LINESTRING Z (893921.01 7918079.64 30.893, 893922.93 7918077.53 30.883, 893924.7 7918075.59 30.933, 893926.82 7918072.75 30.963, 893928.82 7918069.9 30.943, 893930.78 7918067.23 30.983, 893932.86 7918064.96 31.093, 893934.77 7918063.6 31.173, 893938.4 7918062.56 31.273, 893940.55 7918062.58 31.283, 893943.71 7918063.15 31.283, 893946.52 7918064.61 31.273, 893948.34 7918066.46 31.283, 893949.35 7918068.34 31.293, 893949.84 7918070.71 31.273, 893949.8 7918072.59 31.253, 893948.9 7918076.21 31.223, 893947.87 7918078.11 31.183, 893945.55 7918080.71 31.113, 893942.11 7918082.36 31.053, 893938.76 7918082.88 31.003, 893935.19 7918083.18 30.973, 893930.17 7918083.4 30.933, 893926.1 7918083.79 30.843)</t>
  </si>
  <si>
    <t>POLYGON Z ((893921.01 7918079.64 30.893, 893922.93 7918077.53 30.883, 893924.7 7918075.59 30.933, 893926.82 7918072.75 30.963, 893928.82 7918069.9 30.943, 893930.78 7918067.23 30.983, 893932.86 7918064.96 31.093, 893934.77 7918063.6 31.173, 893938.4 7918062.56 31.273, 893940.55 7918062.58 31.283, 893943.71 7918063.15 31.283, 893946.52 7918064.61 31.273, 893948.34 7918066.46 31.283, 893949.35 7918068.34 31.293, 893949.84 7918070.71 31.273, 893949.8 7918072.59 31.253, 893948.9 7918076.21 31.223, 893947.87 7918078.11 31.183, 893945.55 7918080.71 31.113, 893942.11 7918082.36 31.053, 893938.76 7918082.88 31.003, 893935.19 7918083.18 30.973, 893930.17 7918083.4 30.933, 893926.1 7918083.79 30.843, 893921.01 7918079.64 30.893))</t>
  </si>
  <si>
    <t>2022-07-12</t>
  </si>
  <si>
    <t>[2814]</t>
  </si>
  <si>
    <t>['FV2814 S4D1 m3716']</t>
  </si>
  <si>
    <t>LINESTRING Z (146499.1 6685124.24 1052.48, 146489 6685135.31 1053.4)</t>
  </si>
  <si>
    <t>['FV2814 S4D1 m958']</t>
  </si>
  <si>
    <t>LINESTRING Z (147749.03 6683582.48 815.86, 147773.91 6683574.85 818.37)</t>
  </si>
  <si>
    <t>2015-07-14</t>
  </si>
  <si>
    <t>2025-11-22T09:07:39Z</t>
  </si>
  <si>
    <t>[8040]</t>
  </si>
  <si>
    <t>['FV8040 S3D10 m2339']</t>
  </si>
  <si>
    <t>LINESTRING Z (832074.6 7901954.97 30.641, 832075.1 7901954.1 30.661, 832076.36 7901951.85 30.671, 832077.6 7901949.4 30.711, 832079.15 7901946.44 30.841, 832080.54 7901944.2 30.911, 832082.73 7901941.9 30.971, 832085.56 7901940.64 31.061, 832088.35 7901940.87 31.151, 832093.33 7901945.59 31.161, 832093.86 7901947.36 31.111, 832093.61 7901949.4 31.101, 832092.88 7901950.98 31.101, 832090.24 7901953.78 30.981, 832089.08 7901954.54 30.981, 832086.43 7901955.83 30.931, 832082.02 7901957.8 30.781, 832079.67 7901958.76 30.691)</t>
  </si>
  <si>
    <t>POLYGON Z ((832074.6 7901954.97 30.641, 832075.1 7901954.1 30.661, 832076.36 7901951.85 30.671, 832077.6 7901949.4 30.711, 832079.15 7901946.44 30.841, 832080.54 7901944.2 30.911, 832082.73 7901941.9 30.971, 832085.56 7901940.64 31.061, 832088.35 7901940.87 31.151, 832093.33 7901945.59 31.161, 832093.86 7901947.36 31.111, 832093.61 7901949.4 31.101, 832092.88 7901950.98 31.101, 832090.24 7901953.78 30.981, 832089.08 7901954.54 30.981, 832086.43 7901955.83 30.931, 832082.02 7901957.8 30.781, 832079.67 7901958.76 30.691, 832074.6 7901954.97 30.641))</t>
  </si>
  <si>
    <t>2014-06-27</t>
  </si>
  <si>
    <t>2025-11-22T09:07:41Z</t>
  </si>
  <si>
    <t>[421]</t>
  </si>
  <si>
    <t>['FV421 S6D1 m176']</t>
  </si>
  <si>
    <t>LINESTRING Z (142998.320068359 6509743.62988281 0.427, 142994.409912109 6509736.93994141 58.607, 142994.139892578 6509736.58007813 58.617, 142993.790039063 6509735.95996094 58.637, 142991.340087891 6509737.12988281 58.607, 142990.459960938 6509735.39990234 58.737, 142985.459960938 6509726.10009766 58.627, 142983.409912109 6509722.15991211 58.597, 142982.489990234 6509720.42993164 58.477, 142981.520019531 6509718.62011719 58.457, 142983.810058594 6509717.41992188 58.497, 142982.959960938 6509716.27001953 58.447, 142980.889892578 6509714.5 58.377, 142978.310058594 6509712.34008789 58.317, 142974.129882813 6509709.34008789 58.297, 142972.419921875 6509708.2199707 58.267, 142970.699951172 6509707.33007813 58.267, 142967.729980469 6509705.83007812 58.247, 142965.620117188 6509704.98999023 58.237, 142962.290039062 6509703.88989258 58.207, 142958.679931641 6509702.97998047 58.197, 142955.820068359 6509702.54003906 58.197, 142953.260009766 6509702.04003906 58.197, 142951.949951172 6509701.5300293 58.227, 142950.149902344 6509700.25 58.277, 142951.959960938 6509703.35009766 58.307, 142956.719970703 6509711.48999024 58.387, 142961.770019531 6509720.08007813 58.507, 142966.510009766 6509728.13989258 58.647, 142970.459960938 6509734.92993164 58.797, 142972.830078125 6509733.72998047 58.697, 142967.929931641 6509725.4699707 58.477, 142964.479980469 6509719.55004883 58.337, 142964.300048828 6509719 58.347, 142964.399902344 6509717.90991211 58.347, 142964.600097656 6509717.52001953 58.357, 142964.989990234 6509717.12011719 58.377, 142965.439941406 6509716.7800293 58.407, 142965.939941406 6509716.64990234 58.417, 142966.459960938 6509716.62988281 58.447, 142967.070068359 6509716.72998047 58.457, 142967.149902344 6509716.69995117 58.457, 142970.550048828 6509718.63989258 58.587, 142973.459960938 6509721.13989258 58.587, 142976.570068359 6509726.47998047 58.627, 142979.449951172 6509731.36010742 58.687, 142982.489990234 6509736.58007813 58.707, 142983.530029297 6509738.2199707 58.757, 142983.959960938 6509739.14990234 58.777, 142984.209960937 6509740.18994141 58.797, 142984.139892578 6509741.19995117 58.827, 142983.929931641 6509742.19995117 58.837, 142983.479980469 6509743.12988281 58.867, 142982.75 6509743.95996094 58.877, 142981.879882813 6509744.48999023 58.907, 142981.070068359 6509744.79003906 58.917, 142980.560058594 6509744.83007813 58.927, 142980 6509744.73999023 58.917, 142979.520019531 6509744.52001953 58.937, 142978.659912109 6509743.81005859 58.917, 142978.610107422 6509743.72998047 58.917, 142972.830078125 6509733.72998047 -0.023, 142970.459960938 6509734.93994141 58.797, 142971.070068359 6509735.97998047 58.817, 142976.060058594 6509744.81005859 58.957, 142981.969970703 6509754.38989258 59.127, 142986.739990234 6509762.09008789 59.327, 142986.310058594 6509760.45996094 59.227, 142986.530029297 6509757.89990234 59.147, 142987.100097656 6509755.59008789 59.047, 142988.209960938 6509753.08007813 58.957, 142989.800048828 6509750.75 58.887, 142991.590087891 6509748.67993164 58.817, 142993.5 6509746.98999023 58.757, 142996.860107422 6509744.59008789 58.697, 142998.320068359 6509743.62988281 0.427)</t>
  </si>
  <si>
    <t>Ugyldig geometri - linje krysser seg selv.</t>
  </si>
  <si>
    <t>['FV8040 S3D1 m10446']</t>
  </si>
  <si>
    <t>LINESTRING Z (822160.29 7901638.07 29.309, 822161.38 7901641.06 29.319, 822161.96 7901645.84 29.329, 822158.93 7901651.42 29.479, 822151.92 7901651.13 29.519, 822150.47 7901649.79 29.459, 822147.78 7901646.38 29.509, 822145.98 7901644.05 29.529, 822142.94 7901640.21 29.559, 822141.47 7901636.04 29.319, 822142.67 7901632.08 29.289, 822145.3 7901630.02 29.269, 822150.74 7901629.7 29.269, 822156.9 7901633.24 29.259, 822159.12 7901635.64 29.239, 822161.08 7901639.32 29.289, 822161.69 7901645.99 29.359)</t>
  </si>
  <si>
    <t>2021-07-19</t>
  </si>
  <si>
    <t>[134]</t>
  </si>
  <si>
    <t>['EV134 S7D1 m534']</t>
  </si>
  <si>
    <t>LINESTRING (4477.263372539717 6658904.949488778, 4488.536893362179 6658893.541793439)</t>
  </si>
  <si>
    <t>POINT (4482.900132950948 6658899.245641109)</t>
  </si>
  <si>
    <t>['EV134 S7D1 m1937']</t>
  </si>
  <si>
    <t>LINESTRING (5602.0868341155 6659740.794687886, 5611.343099455931 6659727.9898969885)</t>
  </si>
  <si>
    <t>POINT (5606.714966785716 6659734.392292437)</t>
  </si>
  <si>
    <t>['EV134 S7D1 m3518']</t>
  </si>
  <si>
    <t>LINESTRING (6777.91147571482 6660794.339922023, 6789.785307190963 6660783.16875725)</t>
  </si>
  <si>
    <t>POINT (6783.8483914528915 6660788.754339636)</t>
  </si>
  <si>
    <t>2023-09-28</t>
  </si>
  <si>
    <t>2025-11-22T09:07:46Z</t>
  </si>
  <si>
    <t>[45040]</t>
  </si>
  <si>
    <t>['KV45040 S2D1 m206']</t>
  </si>
  <si>
    <t>LINESTRING Z (223962.4442209886 6590479.600287765 94.86, 223962.66132735315 6590478.555600188 94.81, 223963.6177776812 6590474.127701886 94.72, 223964.72775144828 6590468.952302967 94.8, 223966.03923095163 6590463.115512934 95, 223967.31832951173 6590456.809317268 95.16, 223963.05448430643 6590455.777739242 95.22, 223962.0911646195 6590459.462585345 95.17, 223961.2591818017 6590461.4874195885 95.12, 223959.61346858618 6590463.515461731 95.06, 223957.79694705136 6590464.6544766445 94.99, 223955.50133458793 6590465.274018381 94.9, 223953.20420306403 6590465.320868251 94.82000000000001, 223947.96347495943 6590464.377593463 94.58, 223947.27892495762 6590468.700517304 94.67, 223952.57653264044 6590470.050685454 94.84, 223954.56785832037 6590470.845498574 94.88, 223955.37860256567 6590471.365141599 94.82000000000001, 223955.92825863865 6590472.109377805 94.72, 223955.9897000288 6590472.455561168 94.71000000000001, 223955.95878119703 6590472.669398342 94.71000000000001, 223956.0928728801 6590472.707525591 94.72, 223956.08008831664 6590472.899624289 94.72, 223956.35823986912 6590472.974977737 94.75, 223956.34821507277 6590473.086429888 94.75, 223956.4515011445 6590473.11729211 94.76, 223956.42148336652 6590473.341097471 94.76, 223956.54650791577 6590473.390093959 94.78, 223955.63871435146 6590478.356274574 94.78, 223962.4442209886 6590479.600287765 94.86)</t>
  </si>
  <si>
    <t>POLYGON Z ((223962.4442209886 6590479.600287765 94.86, 223962.66132735315 6590478.555600188 94.81, 223963.6177776812 6590474.127701886 94.72, 223964.72775144828 6590468.952302967 94.8, 223966.03923095163 6590463.115512934 95, 223967.31832951173 6590456.809317268 95.16, 223963.05448430643 6590455.777739242 95.22, 223962.0911646195 6590459.462585345 95.17, 223961.2591818017 6590461.4874195885 95.12, 223959.61346858618 6590463.515461731 95.06, 223957.79694705136 6590464.6544766445 94.99, 223955.50133458793 6590465.274018381 94.9, 223953.20420306403 6590465.320868251 94.82000000000001, 223947.96347495943 6590464.377593463 94.58, 223947.27892495762 6590468.700517304 94.67, 223952.57653264044 6590470.050685454 94.84, 223954.56785832037 6590470.845498574 94.88, 223955.37860256567 6590471.365141599 94.82000000000001, 223955.92825863865 6590472.109377805 94.72, 223955.9897000288 6590472.455561168 94.71000000000001, 223955.95878119703 6590472.669398342 94.71000000000001, 223956.0928728801 6590472.707525591 94.72, 223956.08008831664 6590472.899624289 94.72, 223956.35823986912 6590472.974977737 94.75, 223956.34821507277 6590473.086429888 94.75, 223956.4515011445 6590473.11729211 94.76, 223956.42148336652 6590473.341097471 94.76, 223956.54650791577 6590473.390093959 94.78, 223955.63871435146 6590478.356274574 94.78, 223962.4442209886 6590479.600287765 94.86))</t>
  </si>
  <si>
    <t>[4100]</t>
  </si>
  <si>
    <t>['KV4100 S1D1 m536']</t>
  </si>
  <si>
    <t>LINESTRING (267596.4301651367 6673147.010475748, 267596.7665753191 6673140.537369623, 267598.10333947465 6673134.522891712, 267599.33049285144 6673130.9021472875, 267601.4351005589 6673128.158068173, 267604.25334112014 6673127.83008822, 267608.0912859258 6673128.854571047, 267610.6948552792 6673130.442186414, 267611.7574735487 6673133.059903363, 267611.75289727014 6673135.931792444, 267610.74090281606 6673138.233605086, 267606.46756253287 6673142.122188756, 267596.8252904287 6673146.761645516)</t>
  </si>
  <si>
    <t>POLYGON ((267596.4301651367 6673147.010475748, 267596.7665753191 6673140.537369623, 267598.10333947465 6673134.522891712, 267599.33049285144 6673130.9021472875, 267601.4351005589 6673128.158068173, 267604.25334112014 6673127.83008822, 267608.0912859258 6673128.854571047, 267610.6948552792 6673130.442186414, 267611.7574735487 6673133.059903363, 267611.75289727014 6673135.931792444, 267610.74090281606 6673138.233605086, 267606.46756253287 6673142.122188756, 267596.8252904287 6673146.761645516, 267596.4301651367 6673147.010475748))</t>
  </si>
  <si>
    <t>2024-08-28</t>
  </si>
  <si>
    <t>2025-04-30T11:39:22Z</t>
  </si>
  <si>
    <t>[9]</t>
  </si>
  <si>
    <t>['RV9 S5D1 m2759']</t>
  </si>
  <si>
    <t>LINESTRING Z (79590.27520236437 6500512.209544734 174.345, 79593.2175455385 6500513.572734105 174.219, 79594.55035022419 6500514.332631249 174.09300000000002, 79595.85137037135 6500514.973636153 174.137, 79601.15276661736 6500517.635582627 173.805, 79606.14611310133 6500519.8240888035 173.726, 79607.50361514097 6500520.3543882985 173.638, 79608.67610476533 6500520.8298350815 173.59, 79610.28776594286 6500521.3333305735 173.535, 79613.9264809573 6500522.731699816 173.446, 79616.75571710721 6500524.000389189 173.38, 79620.2515098335 6500525.42062305 173.272, 79622.83338546392 6500526.791972317 173.214, 79624.01765015052 6500527.353896346 173.177, 79625.07046639273 6500527.975895609 173.142, 79626.12041909678 6500528.352657381 173.145, 79627.67620384035 6500529.703286048 173.12800000000001, 79629.3350354968 6500531.496428324 173.112, 79629.90024530882 6500532.436801893 173.109, 79630.3963556093 6500533.493036084 173.099, 79631.39669368113 6500535.785879118 173.041, 79631.48610140465 6500537.322265241 173.04, 79631.65349623054 6500538.460279598 173.007, 79631.41865818849 6500540.487537554 172.845, 79631.31042512425 6500541.626108656 172.836, 79631.09498063358 6500542.814533738 172.83, 79630.7529888057 6500544.0615886925 172.826, 79630.24859321961 6500545.382560713 172.826, 79629.52196884196 6500546.805952579 172.83, 79628.44357400667 6500548.390662553 172.84300000000002, 79626.45224717178 6500550.150765485 172.985, 79623.32276517141 6500552.188949653 173.043, 79620.52601016255 6500554.201337055 172.994, 79618.46588007075 6500557.057238654 173.125, 79617.16099930007 6500560.594005423 173.15800000000002, 79616.25104286749 6500563.9233291745 173.15800000000002, 79616.29135484953 6500565.327283013 173.12800000000001, 79616.01783344318 6500566.810677174 173.156, 79615.75503679016 6500569.278105108 173.159, 79590.27520236437 6500512.209544734 174.345)</t>
  </si>
  <si>
    <t>POLYGON Z ((79590.27520236437 6500512.209544734 174.345, 79593.2175455385 6500513.572734105 174.219, 79594.55035022419 6500514.332631249 174.09300000000002, 79595.85137037135 6500514.973636153 174.137, 79601.15276661736 6500517.635582627 173.805, 79606.14611310133 6500519.8240888035 173.726, 79607.50361514097 6500520.3543882985 173.638, 79608.67610476533 6500520.8298350815 173.59, 79610.28776594286 6500521.3333305735 173.535, 79613.9264809573 6500522.731699816 173.446, 79616.75571710721 6500524.000389189 173.38, 79620.2515098335 6500525.42062305 173.272, 79622.83338546392 6500526.791972317 173.214, 79624.01765015052 6500527.353896346 173.177, 79625.07046639273 6500527.975895609 173.142, 79626.12041909678 6500528.352657381 173.145, 79627.67620384035 6500529.703286048 173.12800000000001, 79629.3350354968 6500531.496428324 173.112, 79629.90024530882 6500532.436801893 173.109, 79630.3963556093 6500533.493036084 173.099, 79631.39669368113 6500535.785879118 173.041, 79631.48610140465 6500537.322265241 173.04, 79631.65349623054 6500538.460279598 173.007, 79631.41865818849 6500540.487537554 172.845, 79631.31042512425 6500541.626108656 172.836, 79631.09498063358 6500542.814533738 172.83, 79630.7529888057 6500544.0615886925 172.826, 79630.24859321961 6500545.382560713 172.826, 79629.52196884196 6500546.805952579 172.83, 79628.44357400667 6500548.390662553 172.84300000000002, 79626.45224717178 6500550.150765485 172.985, 79623.32276517141 6500552.188949653 173.043, 79620.52601016255 6500554.201337055 172.994, 79618.46588007075 6500557.057238654 173.125, 79617.16099930007 6500560.594005423 173.15800000000002, 79616.25104286749 6500563.9233291745 173.15800000000002, 79616.29135484953 6500565.327283013 173.12800000000001, 79616.01783344318 6500566.810677174 173.156, 79615.75503679016 6500569.278105108 173.159, 79590.27520236437 6500512.209544734 174.345))</t>
  </si>
  <si>
    <t>2024-09-10</t>
  </si>
  <si>
    <t>[8060]</t>
  </si>
  <si>
    <t>['KV8060 S1D1 m165']</t>
  </si>
  <si>
    <t>LINESTRING Z (270288.83070694684 7039923.577245436 22.958000000000002, 270289.60798102705 7039922.696297838 22.979, 270289.62374941335 7039922.678141781 22.979, 270291.5515246692 7039920.491898202 22.992, 270292.9607455479 7039918.816438221 22.98, 270293.7956302104 7039917.771000677 23.002, 270294.3160337091 7039917.05854021 22.982, 270294.68119350355 7039916.305867367 23.007, 270294.97848093335 7039915.443661402 22.994, 270295.12173311575 7039914.54416616 22.986, 270295.2117344597 7039913.728636438 23.006, 270295.21605033486 7039913.69022931 23.007, 270295.5546028693 7039911.661963529 23.028000000000002, 270295.8787884472 7039909.401075109 23.036, 270296.1002093659 7039908.030816018 23.091, 270296.4148766651 7039905.876885874 23.155, 270296.5172082704 7039904.923115664 23.164, 270299.49231825303 7039905.308335013 23.18, 270301.2062341683 7039905.511585062 23.134, 270300.96958317305 7039906.793673933 23.087, 270300.8690510804 7039907.730271226 22.977, 270300.5204739921 7039909.872549872 22.990000000000002, 270300.08470149344 7039912.599535085 22.986, 270303.90105515975 7039913.1551688975 23.03, 270304.922955113 7039913.256716236 22.863, 270305.71927247534 7039913.387175863 22.776, 270309.7186435553 7039913.864751712 22.753, 270314.35927249753 7039914.392452997 22.858, 270314.1435847096 7039917.169124846 23.067, 270314.0994634246 7039917.724728994 23.067, 270314.6126693394 7039917.764815309 23.054000000000002, 270316.84406592336 7039917.94066841 23.087, 270316.73971247853 7039918.851463861 23.034, 270316.55323761015 7039920.675500919 23.039, 270316.52741259756 7039920.906941448 23.036, 270316.28475231025 7039923.100925804 23.007, 270316.1553988467 7039923.998440012 22.991, 270313.5619348261 7039923.864113519 22.938, 270313.29830612015 7039925.38975664 22.868000000000002, 270313.16174005275 7039926.3700015545 22.759, 270308.40440318186 7039925.7512454055 22.778000000000002, 270308.04620390164 7039925.705263041 22.78, 270304.65666805615 7039925.273005421 22.8, 270303.7535884762 7039925.150059978 22.783, 270301.0055622135 7039924.799997101 22.695, 270300.0824275975 7039924.705536608 22.726, 270299.2140391674 7039924.733565723 22.734, 270298.34034882864 7039924.857226419 22.753, 270297.4108766548 7039925.1001259815 22.76, 270296.5449492306 7039925.433811569 22.767, 270295.69196079863 7039925.865855792 22.791, 270294.864417257 7039926.4314763965 22.81, 270293.6112972441 7039927.803155415 22.843, 270292.57307226775 7039926.885540103 22.868000000000002, 270288.83070694684 7039923.577245436 22.958000000000002)</t>
  </si>
  <si>
    <t>POLYGON Z ((270288.83070694684 7039923.577245436 22.958000000000002, 270289.60798102705 7039922.696297838 22.979, 270289.62374941335 7039922.678141781 22.979, 270291.5515246692 7039920.491898202 22.992, 270292.9607455479 7039918.816438221 22.98, 270293.7956302104 7039917.771000677 23.002, 270294.3160337091 7039917.05854021 22.982, 270294.68119350355 7039916.305867367 23.007, 270294.97848093335 7039915.443661402 22.994, 270295.12173311575 7039914.54416616 22.986, 270295.2117344597 7039913.728636438 23.006, 270295.21605033486 7039913.69022931 23.007, 270295.5546028693 7039911.661963529 23.028000000000002, 270295.8787884472 7039909.401075109 23.036, 270296.1002093659 7039908.030816018 23.091, 270296.4148766651 7039905.876885874 23.155, 270296.5172082704 7039904.923115664 23.164, 270299.49231825303 7039905.308335013 23.18, 270301.2062341683 7039905.511585062 23.134, 270300.96958317305 7039906.793673933 23.087, 270300.8690510804 7039907.730271226 22.977, 270300.5204739921 7039909.872549872 22.990000000000002, 270300.08470149344 7039912.599535085 22.986, 270303.90105515975 7039913.1551688975 23.03, 270304.922955113 7039913.256716236 22.863, 270305.71927247534 7039913.387175863 22.776, 270309.7186435553 7039913.864751712 22.753, 270314.35927249753 7039914.392452997 22.858, 270314.1435847096 7039917.169124846 23.067, 270314.0994634246 7039917.724728994 23.067, 270314.6126693394 7039917.764815309 23.054000000000002, 270316.84406592336 7039917.94066841 23.087, 270316.73971247853 7039918.851463861 23.034, 270316.55323761015 7039920.675500919 23.039, 270316.52741259756 7039920.906941448 23.036, 270316.28475231025 7039923.100925804 23.007, 270316.1553988467 7039923.998440012 22.991, 270313.5619348261 7039923.864113519 22.938, 270313.29830612015 7039925.38975664 22.868000000000002, 270313.16174005275 7039926.3700015545 22.759, 270308.40440318186 7039925.7512454055 22.778000000000002, 270308.04620390164 7039925.705263041 22.78, 270304.65666805615 7039925.273005421 22.8, 270303.7535884762 7039925.150059978 22.783, 270301.0055622135 7039924.799997101 22.695, 270300.0824275975 7039924.705536608 22.726, 270299.2140391674 7039924.733565723 22.734, 270298.34034882864 7039924.857226419 22.753, 270297.4108766548 7039925.1001259815 22.76, 270296.5449492306 7039925.433811569 22.767, 270295.69196079863 7039925.865855792 22.791, 270294.864417257 7039926.4314763965 22.81, 270293.6112972441 7039927.803155415 22.843, 270292.57307226775 7039926.885540103 22.868000000000002, 270288.83070694684 7039923.577245436 22.958000000000002))</t>
  </si>
  <si>
    <t>2024-09-20</t>
  </si>
  <si>
    <t>['EV16 S19D1 m2277']</t>
  </si>
  <si>
    <t>LINESTRING Z (79485.782 6777590.674 55.707, 79494.679 6777597.134 55.933)</t>
  </si>
  <si>
    <t>POINT (79490.2305 6777593.903999998)</t>
  </si>
  <si>
    <t>['EV16 S20D1 m5788']</t>
  </si>
  <si>
    <t>LINESTRING Z (90386.402 6785475.57 240.807, 90394.679 6785482.815 240.734)</t>
  </si>
  <si>
    <t>POINT (90390.5405 6785479.192500001)</t>
  </si>
  <si>
    <t>2025-10-15</t>
  </si>
  <si>
    <t>2025-10-15T08:46:20Z</t>
  </si>
  <si>
    <t>['RV13 S33D1 m737']</t>
  </si>
  <si>
    <t>LINESTRING Z (49385.923 6736580.339 45.284, 49360.675 6736623.491 45.602)</t>
  </si>
  <si>
    <t>POINT (49373.299 6736601.915)</t>
  </si>
  <si>
    <t>['EV16 S25D1 m2498']</t>
  </si>
  <si>
    <t>LINESTRING (121906.712029011 6793003.40428066, 121938.117418556 6793056.77456152)</t>
  </si>
  <si>
    <t>POINT (121922.4147237835 6793030.08942109)</t>
  </si>
  <si>
    <t>['EV16 S19D1 m3761']</t>
  </si>
  <si>
    <t>LINESTRING Z (80720.224 6778412.352 86.748, 80729.524 6778418.217 86.976)</t>
  </si>
  <si>
    <t>POINT (80724.87400000001 6778415.2845)</t>
  </si>
  <si>
    <t>['EV16 S20D1 m7288']</t>
  </si>
  <si>
    <t>LINESTRING Z (91473.938 6786508.004 230.329, 91481.586 6786515.911 230.255)</t>
  </si>
  <si>
    <t>POINT (91477.76199999999 6786511.9575)</t>
  </si>
  <si>
    <t>['EV16 S21D1 m2284']</t>
  </si>
  <si>
    <t>LINESTRING Z (94411.527 6790525.429 126.328, 94416.743 6790535.11 126.029)</t>
  </si>
  <si>
    <t>POINT (94414.13500000001 6790530.269500001)</t>
  </si>
  <si>
    <t>2025-08-01</t>
  </si>
  <si>
    <t>2025-11-22T09:07:51Z</t>
  </si>
  <si>
    <t>[1534]</t>
  </si>
  <si>
    <t>['KV1534 S1D1 m51']</t>
  </si>
  <si>
    <t>LINESTRING (-45585.77147325268 6623030.34893098, -45598.56946382206 6623031.600249789, -45604.72215144802 6623027.562093534, -45606.34173470538 6623020.702457483, -45606.97137168865 6623012.15565244, -45608.073932856554 6623004.603452088, -45607.934125736705 6622992.859000794, -45607.73801102489 6622985.734223151, -45601.95026717032 6622983.038099517, -45593.086143857334 6622982.361100274, -45588.5027735536 6622982.000519587)</t>
  </si>
  <si>
    <t>[1320]</t>
  </si>
  <si>
    <t>['KV1320 S1D1 m227']</t>
  </si>
  <si>
    <t>LINESTRING (-55635.679313253146 6597538.008502229, -55624.7362540703 6597540.4366880115, -55614.00832146022 6597543.518152282, -55607.01775378082 6597548.704069451, -55608.10238646006 6597560.3627653755, -55617.00208489841 6597567.578575941, -55627.50591620861 6597566.018056023, -55631.80775998102 6597557.949865716, -55634.49639552506 6597550.265581687, -55638.10814722977 6597540.5417799745)</t>
  </si>
  <si>
    <t>POLYGON ((-55635.679313253146 6597538.008502229, -55624.7362540703 6597540.4366880115, -55614.00832146022 6597543.518152282, -55607.01775378082 6597548.704069451, -55608.10238646006 6597560.3627653755, -55617.00208489841 6597567.578575941, -55627.50591620861 6597566.018056023, -55631.80775998102 6597557.949865716, -55634.49639552506 6597550.265581687, -55638.10814722977 6597540.5417799745, -55635.679313253146 6597538.008502229))</t>
  </si>
  <si>
    <t>[1317]</t>
  </si>
  <si>
    <t>['KV1317 S1D1 m1487']</t>
  </si>
  <si>
    <t>LINESTRING (-56760.56432015938 6596755.120628853, -56765.41504425299 6596751.795038279, -56769.113960356684 6596747.8331641685, -56772.79518128501 6596742.936044193, -56772.89921479137 6596739.065429142, -56770.34449690464 6596733.914513366, -56764.37928154715 6596734.543962248, -56761.43285442202 6596740.793036955, -56760.95195307082 6596746.162417792, -56760.75813691039 6596750.641525941)</t>
  </si>
  <si>
    <t>POLYGON ((-56760.56432015938 6596755.120628853, -56765.41504425299 6596751.795038279, -56769.113960356684 6596747.8331641685, -56772.79518128501 6596742.936044193, -56772.89921479137 6596739.065429142, -56770.34449690464 6596733.914513366, -56764.37928154715 6596734.543962248, -56761.43285442202 6596740.793036955, -56760.95195307082 6596746.162417792, -56760.75813691039 6596750.641525941, -56760.56432015938 6596755.120628853))</t>
  </si>
  <si>
    <t>[1240]</t>
  </si>
  <si>
    <t>['KV1240 S1D1 m122']</t>
  </si>
  <si>
    <t>LINESTRING (-56263.95034385007 6597985.399837533, -56256.65649801516 6597979.973277464, -56248.04482152464 6597977.149260525, -56242.192207807675 6597980.947536951, -56238.11354827753 6597987.493584783, -56239.94921428512 6597996.154998876, -56249.035640938906 6597999.981316476, -56256.33129424765 6597994.842091942, -56261.7539780098 6597989.737373076)</t>
  </si>
  <si>
    <t>POLYGON ((-56263.95034385007 6597985.399837533, -56256.65649801516 6597979.973277464, -56248.04482152464 6597977.149260525, -56242.192207807675 6597980.947536951, -56238.11354827753 6597987.493584783, -56239.94921428512 6597996.154998876, -56249.035640938906 6597999.981316476, -56256.33129424765 6597994.842091942, -56261.7539780098 6597989.737373076, -56263.95034385007 6597985.399837533))</t>
  </si>
  <si>
    <t>[1493]</t>
  </si>
  <si>
    <t>['KV1493 S1D1 m56']</t>
  </si>
  <si>
    <t>LINESTRING (-57319.44463601487 6609881.26208853, -57323.528105801204 6609872.571917762, -57325.49672925542 6609861.3987413775, -57326.12668981368 6609848.787359326, -57326.351671727956 6609838.904721095, -57317.47592791333 6609833.868982564, -57311.39003630576 6609835.1349399425, -57311.82879417227 6609842.637073562, -57313.51622666768 6609852.183753304, -57314.38244770607 6609860.988792391, -57315.203664397355 6609870.097008179, -57315.81113690755 6609878.553737723)</t>
  </si>
  <si>
    <t>POLYGON ((-57319.44463601487 6609881.26208853, -57323.528105801204 6609872.571917762, -57325.49672925542 6609861.3987413775, -57326.12668981368 6609848.787359326, -57326.351671727956 6609838.904721095, -57317.47592791333 6609833.868982564, -57311.39003630576 6609835.1349399425, -57311.82879417227 6609842.637073562, -57313.51622666768 6609852.183753304, -57314.38244770607 6609860.988792391, -57315.203664397355 6609870.097008179, -57315.81113690755 6609878.553737723, -57319.44463601487 6609881.26208853))</t>
  </si>
  <si>
    <t>[1229]</t>
  </si>
  <si>
    <t>['KV1229 S1D1 m96']</t>
  </si>
  <si>
    <t>LINESTRING (-57726.17763361265 6609592.4059334155, -57734.80676467321 6609590.743264206, -57745.129070112715 6609589.177102886, -57754.433279712684 6609587.149861164, -57759.14188411448 6609583.665372717, -57759.72728882567 6609579.723502138, -57750.8676319262 6609579.802358459, -57743.869812023826 6609580.93249636, -57734.80753438338 6609582.3758816635, -57728.31039009348 6609583.270487385, -57723.46138676058 6609584.56480457, -57722.46541682677 6609588.135786774, -57723.75332448573 6609590.961248482)</t>
  </si>
  <si>
    <t>POLYGON ((-57726.17763361265 6609592.4059334155, -57734.80676467321 6609590.743264206, -57745.129070112715 6609589.177102886, -57754.433279712684 6609587.149861164, -57759.14188411448 6609583.665372717, -57759.72728882567 6609579.723502138, -57750.8676319262 6609579.802358459, -57743.869812023826 6609580.93249636, -57734.80753438338 6609582.3758816635, -57728.31039009348 6609583.270487385, -57723.46138676058 6609584.56480457, -57722.46541682677 6609588.135786774, -57723.75332448573 6609590.961248482, -57726.17763361265 6609592.4059334155))</t>
  </si>
  <si>
    <t>['KV1521 S12D1 m38']</t>
  </si>
  <si>
    <t>LINESTRING (-54714.285838214215 6612659.130304293, -54720.09195152379 6612660.76279525, -54726.78613986948 6612662.681406811, -54733.13203229499 6612664.858112334, -54737.077432794846 6612665.441525383, -54740.336353874416 6612664.375508854, -54742.257013468305 6612661.873261888, -54745.64091331535 6612652.621720848, -54746.031819270924 6612647.880947327, -54745.58163144335 6612646.730825721, -54744.56925518182 6612645.187985259, -54742.21355427627 6612643.291710754, -54736.84530771186 6612640.795175485, -54728.22316514165 6612638.281877653, -54721.28758900764 6612636.946745362, -54716.445603272994 6612651.864841337, -54714.947710866225 6612656.751498879)</t>
  </si>
  <si>
    <t>POLYGON ((-54714.285838214215 6612659.130304293, -54720.09195152379 6612660.76279525, -54726.78613986948 6612662.681406811, -54733.13203229499 6612664.858112334, -54737.077432794846 6612665.441525383, -54740.336353874416 6612664.375508854, -54742.257013468305 6612661.873261888, -54745.64091331535 6612652.621720848, -54746.031819270924 6612647.880947327, -54745.58163144335 6612646.730825721, -54744.56925518182 6612645.187985259, -54742.21355427627 6612643.291710754, -54736.84530771186 6612640.795175485, -54728.22316514165 6612638.281877653, -54721.28758900764 6612636.946745362, -54716.445603272994 6612651.864841337, -54714.947710866225 6612656.751498879, -54714.285838214215 6612659.130304293))</t>
  </si>
  <si>
    <t>[525]</t>
  </si>
  <si>
    <t>['KV525 S1D1 m3']</t>
  </si>
  <si>
    <t>LINESTRING (-51857.00979544548 6611699.466010958, -51855.69537494576 6611691.53323079, -51843.56136156223 6611687.581807561, -51828.86517032271 6611684.182398248, -51813.9990793739 6611679.829328241, -51799.043850481394 6611676.082372592, -51788.34966864914 6611681.320643863, -51795.70754252246 6611686.117482762, -51806.85013261309 6611688.375067384, -51817.90359782905 6611691.238738439, -51830.91208754387 6611693.461193473, -51841.57285239035 6611696.886349157, -51851.19761533092 6611698.920870978)</t>
  </si>
  <si>
    <t>POLYGON ((-51857.00979544548 6611699.466010958, -51855.69537494576 6611691.53323079, -51843.56136156223 6611687.581807561, -51828.86517032271 6611684.182398248, -51813.9990793739 6611679.829328241, -51799.043850481394 6611676.082372592, -51788.34966864914 6611681.320643863, -51795.70754252246 6611686.117482762, -51806.85013261309 6611688.375067384, -51817.90359782905 6611691.238738439, -51830.91208754387 6611693.461193473, -51841.57285239035 6611696.886349157, -51851.19761533092 6611698.920870978, -51857.00979544548 6611699.466010958))</t>
  </si>
  <si>
    <t>[1172]</t>
  </si>
  <si>
    <t>['KV1172 S4D1 m79']</t>
  </si>
  <si>
    <t>LINESTRING (-50757.669298291556 6610769.648298825, -50762.646945785964 6610761.089966611, -50766.83947037207 6610753.654912384, -50767.736530481954 6610745.426713811, -50764.59742978297 6610737.225569018, -50755.68163416709 6610730.344255001, -50745.75832743081 6610726.101763332, -50731.93223403953 6610720.977105483, -50721.49055177905 6610716.039384422, -50710.36027060961 6610709.452554538, -50697.267138732364 6610705.674055869, -50686.121580543695 6610703.419799616, -50680.28523992316 6610709.375367392, -50676.13733240287 6610716.507476945, -50673.59652878728 6610723.25607763, -50670.404004709446 6610730.218685012, -50666.648688035086 6610736.789101246, -50677.57183222228 6610740.558791495, -50687.147043732344 6610745.059640631, -50705.823544379324 6610753.063028401, -50716.70215701079 6610757.135927915, -50727.23265472357 6610761.467410346, -50739.88089773315 6610768.276966278, -50751.018607974285 6610772.697604857, -50755.40282780805 6610772.41197758)</t>
  </si>
  <si>
    <t>POLYGON ((-50757.669298291556 6610769.648298825, -50762.646945785964 6610761.089966611, -50766.83947037207 6610753.654912384, -50767.736530481954 6610745.426713811, -50764.59742978297 6610737.225569018, -50755.68163416709 6610730.344255001, -50745.75832743081 6610726.101763332, -50731.93223403953 6610720.977105483, -50721.49055177905 6610716.039384422, -50710.36027060961 6610709.452554538, -50697.267138732364 6610705.674055869, -50686.121580543695 6610703.419799616, -50680.28523992316 6610709.375367392, -50676.13733240287 6610716.507476945, -50673.59652878728 6610723.25607763, -50670.404004709446 6610730.218685012, -50666.648688035086 6610736.789101246, -50677.57183222228 6610740.558791495, -50687.147043732344 6610745.059640631, -50705.823544379324 6610753.063028401, -50716.70215701079 6610757.135927915, -50727.23265472357 6610761.467410346, -50739.88089773315 6610768.276966278, -50751.018607974285 6610772.697604857, -50755.40282780805 6610772.41197758, -50757.669298291556 6610769.648298825))</t>
  </si>
  <si>
    <t>[1466]</t>
  </si>
  <si>
    <t>['KV1466 S1D1 m123']</t>
  </si>
  <si>
    <t>LINESTRING (-50635.77049320354 6611038.462454551, -50644.57447208569 6611046.100726059, -50652.293564061285 6611053.734655182, -50662.1010364712 6611059.817400652, -50670.57908088539 6611067.562704434, -50678.32795694552 6611072.879082433, -50684.3701725367 6611076.087515173, -50693.72669584444 6611074.6738979975, -50700.839912084164 6611069.525611601, -50705.19846457138 6611064.127962053, -50698.456998586655 6611056.172944655, -50694.13670797681 6611050.740335265, -50683.400012408965 6611043.592366785, -50673.18538737425 6611036.0566236535, -50662.38889353501 6611033.543909279, -50647.226912515354 6611032.248387356, -50636.69654966006 6611034.263950509, -50634.215611266205 6611036.376775674)</t>
  </si>
  <si>
    <t>POLYGON ((-50635.77049320354 6611038.462454551, -50644.57447208569 6611046.100726059, -50652.293564061285 6611053.734655182, -50662.1010364712 6611059.817400652, -50670.57908088539 6611067.562704434, -50678.32795694552 6611072.879082433, -50684.3701725367 6611076.087515173, -50693.72669584444 6611074.6738979975, -50700.839912084164 6611069.525611601, -50705.19846457138 6611064.127962053, -50698.456998586655 6611056.172944655, -50694.13670797681 6611050.740335265, -50683.400012408965 6611043.592366785, -50673.18538737425 6611036.0566236535, -50662.38889353501 6611033.543909279, -50647.226912515354 6611032.248387356, -50636.69654966006 6611034.263950509, -50634.215611266205 6611036.376775674, -50635.77049320354 6611038.462454551))</t>
  </si>
  <si>
    <t>[1498]</t>
  </si>
  <si>
    <t>['KV1498 S3D1 m211']</t>
  </si>
  <si>
    <t>LINESTRING (-51636.84522283473 6612473.701531979, -51630.44538356527 6612473.998557274, -51625.08967233589 6612473.520580046, -51619.0420425653 6612472.4766054815, -51616.685062997276 6612470.582485391, -51616.94255429774 6612465.668141864, -51618.64238025667 6612463.596726871, -51623.86862983857 6612463.900899415, -51628.72456381668 6612464.614898954, -51632.46954742714 6612466.558362629, -51632.78698195575 6612468.616873497, -51634.8627352484 6612470.314898619, -51635.96117968799 6612472.333491049)</t>
  </si>
  <si>
    <t>POLYGON ((-51636.84522283473 6612473.701531979, -51630.44538356527 6612473.998557274, -51625.08967233589 6612473.520580046, -51619.0420425653 6612472.4766054815, -51616.685062997276 6612470.582485391, -51616.94255429774 6612465.668141864, -51618.64238025667 6612463.596726871, -51623.86862983857 6612463.900899415, -51628.72456381668 6612464.614898954, -51632.46954742714 6612466.558362629, -51632.78698195575 6612468.616873497, -51634.8627352484 6612470.314898619, -51635.96117968799 6612472.333491049, -51636.84522283473 6612473.701531979))</t>
  </si>
  <si>
    <t>['KV1498 S2D1 m66']</t>
  </si>
  <si>
    <t>LINESTRING (-51794.90750513424 6612440.013656036, -51780.86834974855 6612446.924863731, -51778.96072649991 6612457.786962108, -51777.50959021493 6612473.977954567, -51776.2173818273 6612482.763874927, -51772.65020676504 6612496.476934749, -51771.742200276465 6612506.866878314, -51774.52065785334 6612517.489478305, -51780.19788983255 6612518.943508846)</t>
  </si>
  <si>
    <t>['PV1436 S1D1 m61']</t>
  </si>
  <si>
    <t>LINESTRING (-51503.24815189536 6618924.185713823, -51491.24505381461 6618925.816213423, -51481.18452356127 6618928.968988876, -51480.92587299016 6618939.12808619, -51486.744532519835 6618945.856522331, -51497.36640542408 6618943.095505019, -51507.810043892474 6618941.54427253, -51507.329134361236 6618932.203208258, -51505.88576653774 6618925.192370373)</t>
  </si>
  <si>
    <t>POLYGON ((-51503.24815189536 6618924.185713823, -51491.24505381461 6618925.816213423, -51481.18452356127 6618928.968988876, -51480.92587299016 6618939.12808619, -51486.744532519835 6618945.856522331, -51497.36640542408 6618943.095505019, -51507.810043892474 6618941.54427253, -51507.329134361236 6618932.203208258, -51505.88576653774 6618925.192370373, -51503.24815189536 6618924.185713823))</t>
  </si>
  <si>
    <t>[1435]</t>
  </si>
  <si>
    <t>['PV1435 S1D1 m40']</t>
  </si>
  <si>
    <t>LINESTRING (-51341.83697625494 6619040.691891833, -51338.067878154456 6619051.5694362875, -51336.214546230156 6619059.9482238125, -51343.0757204328 6619065.902814915, -51349.99922904442 6619067.231717675, -51355.24754139362 6619065.22392964, -51357.51972302899 6619060.305775536, -51355.11385228415 6619055.625454329, -51351.549585172674 6619048.302536064, -51348.53777547146 6619043.532948216, -51345.16954935726 6619041.182810051)</t>
  </si>
  <si>
    <t>POLYGON ((-51341.83697625494 6619040.691891833, -51338.067878154456 6619051.5694362875, -51336.214546230156 6619059.9482238125, -51343.0757204328 6619065.902814915, -51349.99922904442 6619067.231717675, -51355.24754139362 6619065.22392964, -51357.51972302899 6619060.305775536, -51355.11385228415 6619055.625454329, -51351.549585172674 6619048.302536064, -51348.53777547146 6619043.532948216, -51345.16954935726 6619041.182810051, -51341.83697625494 6619040.691891833))</t>
  </si>
  <si>
    <t>[1431]</t>
  </si>
  <si>
    <t>['PV1431 S3D1 m47']</t>
  </si>
  <si>
    <t>LINESTRING (-51238.07992962992 6619011.697497273, -51240.103122930625 6619025.282171233, -51270.9295679935 6619032.44888243, -51274.32440029271 6619028.314011417, -51276.18644749338 6619017.7734954525, -51273.22806341073 6619015.792786086, -51251.10275000066 6619009.444097829, -51243.70241807017 6619008.199666548, -51238.48080973339 6619008.975596424)</t>
  </si>
  <si>
    <t>POLYGON ((-51238.07992962992 6619011.697497273, -51240.103122930625 6619025.282171233, -51270.9295679935 6619032.44888243, -51274.32440029271 6619028.314011417, -51276.18644749338 6619017.7734954525, -51273.22806341073 6619015.792786086, -51251.10275000066 6619009.444097829, -51243.70241807017 6619008.199666548, -51238.48080973339 6619008.975596424, -51238.07992962992 6619011.697497273))</t>
  </si>
  <si>
    <t>['PV1431 S1D1 m4']</t>
  </si>
  <si>
    <t>LINESTRING (-51219.65459000366 6618926.30789165, -51228.20456031908 6618927.103556724, -51235.43107985915 6618923.223829233, -51233.64853676234 6618914.309290819, -51231.71008696093 6618906.453280676, -51219.92967642099 6618901.319356814, -51210.64889161743 6618899.1800948065, -51207.74864797504 6618904.160509025, -51207.47286779946 6618913.38991487, -51209.166391009465 6618922.90931191, -51212.24969028041 6618926.144377392, -51218.18428029516 6618925.782359745)</t>
  </si>
  <si>
    <t>POLYGON ((-51219.65459000366 6618926.30789165, -51228.20456031908 6618927.103556724, -51235.43107985915 6618923.223829233, -51233.64853676234 6618914.309290819, -51231.71008696093 6618906.453280676, -51219.92967642099 6618901.319356814, -51210.64889161743 6618899.1800948065, -51207.74864797504 6618904.160509025, -51207.47286779946 6618913.38991487, -51209.166391009465 6618922.90931191, -51212.24969028041 6618926.144377392, -51218.18428029516 6618925.782359745, -51219.65459000366 6618926.30789165))</t>
  </si>
  <si>
    <t>['PV1431 S7D1 m27']</t>
  </si>
  <si>
    <t>LINESTRING (-51171.15398001997 6619022.659597594, -51169.415922591 6619013.4429064235, -51165.95793529402 6619001.191990831, -51154.22263634659 6619001.008832576, -51143.03995827574 6619003.379017472, -51139.72556545504 6619009.070785752, -51142.12293335446 6619015.912611937, -51146.15992232959 6619024.231833799, -51156.282477475004 6619026.958412116, -51162.787069880054 6619024.826372353, -51168.249175710254 6619023.467793317)</t>
  </si>
  <si>
    <t>POLYGON ((-51171.15398001997 6619022.659597594, -51169.415922591 6619013.4429064235, -51165.95793529402 6619001.191990831, -51154.22263634659 6619001.008832576, -51143.03995827574 6619003.379017472, -51139.72556545504 6619009.070785752, -51142.12293335446 6619015.912611937, -51146.15992232959 6619024.231833799, -51156.282477475004 6619026.958412116, -51162.787069880054 6619024.826372353, -51168.249175710254 6619023.467793317, -51171.15398001997 6619022.659597594))</t>
  </si>
  <si>
    <t>['PV1431 S4D1 m28']</t>
  </si>
  <si>
    <t>LINESTRING (-51140.050145327 6618934.34986679, -51139.35444472893 6618924.359517091, -51136.849676153506 6618911.9397743065, -51135.00484415202 6618907.65114721, -51120.58706810337 6618906.7642011475, -51116.952179794316 6618916.73492073, -51118.806532947696 6618929.367841915, -51121.28431998612 6618937.766584048, -51132.14665669354 6618939.675015913, -51138.21479538723 6618938.40556509)</t>
  </si>
  <si>
    <t>POLYGON ((-51140.050145327 6618934.34986679, -51139.35444472893 6618924.359517091, -51136.849676153506 6618911.9397743065, -51135.00484415202 6618907.65114721, -51120.58706810337 6618906.7642011475, -51116.952179794316 6618916.73492073, -51118.806532947696 6618929.367841915, -51121.28431998612 6618937.766584048, -51132.14665669354 6618939.675015913, -51138.21479538723 6618938.40556509, -51140.050145327 6618934.34986679))</t>
  </si>
  <si>
    <t>[1659]</t>
  </si>
  <si>
    <t>['PV1659 S1D1 m82']</t>
  </si>
  <si>
    <t>LINESTRING (-51061.493496657116 6619036.387649254, -51064.2626943182 6619039.653495757, -51070.03942697402 6619046.143036857, -51075.24799084687 6619051.235736516, -51088.59074746899 6619042.076810757, -51061.64501993172 6619009.605276732, -51049.436173763825 6619019.47205846, -51050.363180557266 6619023.161897799, -51058.58612916933 6619032.483486803, -51059.98742933094 6619034.002998569, -51060.67585511145 6619035.108564809)</t>
  </si>
  <si>
    <t>POLYGON ((-51061.493496657116 6619036.387649254, -51064.2626943182 6619039.653495757, -51070.03942697402 6619046.143036857, -51075.24799084687 6619051.235736516, -51088.59074746899 6619042.076810757, -51061.64501993172 6619009.605276732, -51049.436173763825 6619019.47205846, -51050.363180557266 6619023.161897799, -51058.58612916933 6619032.483486803, -51059.98742933094 6619034.002998569, -51060.67585511145 6619035.108564809, -51061.493496657116 6619036.387649254))</t>
  </si>
  <si>
    <t>[1658]</t>
  </si>
  <si>
    <t>['PV1658 S5D1 m48']</t>
  </si>
  <si>
    <t>LINESTRING (-51025.21863660775 6619151.421087822, -51029.80829624727 6619162.293047716, -51039.75238254946 6619166.228958084, -51047.9137248972 6619161.251075622, -51047.64573941799 6619152.5602654675, -51040.89091952029 6619141.67843704, -51032.75574670476 6619140.1716948, -51024.603117892635 6619142.988085808)</t>
  </si>
  <si>
    <t>POLYGON ((-51025.21863660775 6619151.421087822, -51029.80829624727 6619162.293047716, -51039.75238254946 6619166.228958084, -51047.9137248972 6619161.251075622, -51047.64573941799 6619152.5602654675, -51040.89091952029 6619141.67843704, -51032.75574670476 6619140.1716948, -51024.603117892635 6619142.988085808, -51025.21863660775 6619151.421087822))</t>
  </si>
  <si>
    <t>[1430]</t>
  </si>
  <si>
    <t>['PV1430 S2D1 m62']</t>
  </si>
  <si>
    <t>LINESTRING (-51257.29192690039 6619114.034215444, -51266.728072848404 6619115.115091455, -51279.54126680689 6619116.384429357, -51284.26377420325 6619115.84409266, -51279.28264461621 6619105.531793809, -51270.94238110678 6619101.213447766, -51259.08255087305 6619099.77558471, -51256.65918077587 6619109.9241977865)</t>
  </si>
  <si>
    <t>POLYGON ((-51257.29192690039 6619114.034215444, -51266.728072848404 6619115.115091455, -51279.54126680689 6619116.384429357, -51284.26377420325 6619115.84409266, -51279.28264461621 6619105.531793809, -51270.94238110678 6619101.213447766, -51259.08255087305 6619099.77558471, -51256.65918077587 6619109.9241977865, -51257.29192690039 6619114.034215444))</t>
  </si>
  <si>
    <t>2025-11-26</t>
  </si>
  <si>
    <t>2025-11-26T13:39:35Z</t>
  </si>
  <si>
    <t>[12657]</t>
  </si>
  <si>
    <t>['KV12657 S1D1 m241']</t>
  </si>
  <si>
    <t>LINESTRING Z (267287.3912662723 6651838.727634524 126.062, 267291.10529095284 6651842.738638556 126.162, 267292.36019176565 6651846.605327115 126.22500000000001, 267291.47441740986 6651853.531300728 126.363, 267290.126567843 6651855.277351732 0, 267288.35559824156 6651856.91988053 126.36, 267286.8608551335 6651857.937037181 0, 267286.28091382503 6651858.254249633 126.35000000000001, 267283.5267608833 6651859.357182316 126.31, 267280.098881084 6651859.871370192 126.229)</t>
  </si>
  <si>
    <t>POINT (267288.8735920342 6651851.026662596)</t>
  </si>
  <si>
    <t>Naturområde</t>
  </si>
  <si>
    <t>2024-11-05</t>
  </si>
  <si>
    <t>2025-11-22T09:34:07Z</t>
  </si>
  <si>
    <t>['EV18 S60D155 m2028-2349']</t>
  </si>
  <si>
    <t>LINESTRING Z (264234.5 6624213.66015625 -999999, 264235.529998779 6624213.66015625 -999999, 264219.410003662 6624225.68017578 -999999, 264182.630004883 6624252.47998047 -999999, 264154.089996338 6624268.62988281 -999999, 264123.190002441 6624282.72021484 -999999, 264082.279998779 6624296.47021484 -999999, 264043.810001373 6624313.99023438 -999999, 263997.059999943 6624337.70019531 -999999, 263953.439998627 6624365.52978516 -999999, 263956.939998627 6624369.14013672 -999999, 263968.909999847 6624360.02978516 -999999, 263991.279999733 6624345.10986328 -999999, 263994.659999847 6624342.85009766 -999999, 264015.279999733 6624334.43017578 -999999, 264025.25 6624327.39013672 -999999, 264048.840000153 6624318.70019531 -999999, 264052.409999847 6624313.99023438 -999999, 264116.879997253 6624290.00976562 -999999, 264116.309997559 6624286.83984375 -999999, 264173.339996338 6624261.41992188 -999999, 264232.779998779 6624226.02978516 -999999, 264234.5 6624213.66015625 -999999)</t>
  </si>
  <si>
    <t>['EV6 S14D1 m6051 KD2 m17-80']</t>
  </si>
  <si>
    <t>LINESTRING Z (266570.903320313 6634681.77929688 -999999, 266567.819824219 6634692.80786133 -999999, 266564.01953125 6634703.04174805 -999999, 266561.789550781 6634709.26342774 -999999, 266556.69140625 6634712.30615234 -999999, 266550.56640625 6634711.14208984 -999999, 266547.523925781 6634708.40869141 -999999, 266545.838378906 6634701.68261719 -999999, 266546.653808594 6634691.71972656 -999999, 266548.980957031 6634681.83447266 -999999, 266551.501953125 6634674.08154297 -999999, 266555.593261719 6634664.68139648 -999999, 266558.888671875 6634660.72753906 -999999, 266564.781738281 6634659.33276367 -999999, 266571.487792969 6634662.16357422 -999999, 266574.622558594 6634666.50097656 -999999, 266574.607421875 6634669.29711914 -999999, 266573.051269531 6634674.65136719 -999999, 266572.04296875 6634678.34375 -999999, 266568.694335938 6634676.390625 -999999, 266570.498046875 6634670.20751953 -999999, 266570.735839844 6634667.4987793 -999999, 266569.408203125 6634665.89941406 -999999, 266567.28125 6634664.96411133 -999999, 266565.909667969 6634664.65869141 -999999, 266563.81640625 6634664.09619141 -999999, 266562.701660156 6634664.84204102 -999999, 266561.020507813 6634666.44604492 -999999, 266559.837402344 6634668.21923828 -999999, 266558.252441406 6634670.88916016 -999999, 266556.396484375 6634673.5300293 -999999, 266556.003417969 6634675.71508789 -999999, 266555.145507813 6634677.51293945 -999999, 266553.375976563 6634682.29541016 -999999, 266552.071777344 6634687.46582031 -999999, 266551.451171875 6634693.05786133 -999999, 266551.019042969 6634695.99926758 -999999, 266550.55859375 6634698.02929688 -999999, 266550.994140625 6634701.64453125 -999999, 266551.197265625 6634703.88330078 -999999, 266551.904785156 6634705.75390625 -999999, 266552.80078125 6634707.33837891 -999999, 266554.530761719 6634708.63232422 -999999, 266556.735351563 6634708.64746094 -999999, 266558.446289063 6634707.95483398 -999999, 266559.415527344 6634706.20068359 -999999, 266560.821289063 6634702.14990234 -999999, 266563.613769531 6634692.65234375 -999999, 266565.955566406 6634685.29199219 -999999, 266567.23046875 6634680.39306641 -999999, 266568.694335938 6634676.390625 -999999, 266572.04296875 6634678.34375 -999999, 266570.903320313 6634681.77929688 -999999)</t>
  </si>
  <si>
    <t>['EV6 S14D1 m7270 KD1 m741-787', 'EV6 S14D1 m7270 KD3 m332-450', 'EV6 S14D1 m7270 KD5 m85-101']</t>
  </si>
  <si>
    <t>LINESTRING Z (266707.292480469 6636117.71142578 -999999, 266706.254882813 6636109.9609375 -999999, 266700.763671875 6636095.43652344 -999999, 266695.408203125 6636078.73095703 -999999, 266692.53515625 6636065.47119141 -999999, 266690.249023438 6636053.16015625 -999999, 266688.263671875 6636044.16015625 -999999, 266684.200683594 6636039.85546875 -999999, 266680.318359375 6636037.53710938 -999999, 266672.808105469 6636037.55126953 -999999, 266668.879882812 6636040.24511719 -999999, 266665.462890625 6636046.73046875 -999999, 266665.552246094 6636055.06835937 -999999, 266668.559570313 6636071.65429687 -999999, 266673.523925781 6636091.39990234 -999999, 266680.158691406 6636109.32519531 -999999, 266687.651367188 6636125.67089844 -999999, 266692.512207031 6636129.56933594 -999999, 266695.461914063 6636130.80371094 -999999, 266698.562011719 6636130.02148438 -999999, 266703.78515625 6636126.87646484 -999999, 266706.193359375 6636123.98730469 -999999, 266707.292480469 6636117.71142578 -999999, 266703.544921875 6636118.71923828 -999999, 266702.310546875 6636121.66943359 -999999, 266697.042480469 6636124.31738281 -999999, 266693.039550781 6636124.34716797 -999999, 266690.526367188 6636122.40527344 -999999, 266686.885742188 6636113.55566406 -999999, 266679.587890625 6636097.52636719 -999999, 266675.315917969 6636081.72314453 -999999, 266672.187988281 6636063.81347656 -999999, 266669.1796875 6636049.06396484 -999999, 266671.738769531 6636044.15820313 -999999, 266675.848144531 6636041.61523438 -999999, 266682.333984375 6636043.19628906 -999999, 266685.103027344 6636047.95214844 -999999, 266688.245117187 6636069.69970703 -999999, 266695.421386719 6636093.58544922 -999999, 266702.432128906 6636111.97705078 -999999, 266703.544921875 6636118.71923828 -999999, 266707.292480469 6636117.71142578 -999999)</t>
  </si>
  <si>
    <t>2017-01-31</t>
  </si>
  <si>
    <t>2025-11-22T09:34:10Z</t>
  </si>
  <si>
    <t>[57]</t>
  </si>
  <si>
    <t>['FV57 S3D1 m288-332']</t>
  </si>
  <si>
    <t>LINESTRING Z (-32394.64 6767498.51 51.363, -32396 6767500.16 51.443, -32397.53 6767502.62 51.583, -32400.4 6767506.67 51.833, -32402.12 6767509.25 51.963, -32403.73 6767511.8 52.143, -32405.02 6767514.55 52.203, -32405.64 6767517.05 52.263, -32404.38 6767519.38 52.193, -32402.52 6767520.74 52.153, -32404.16 6767522.53 52.083, -32405.82 6767524.39 52.193, -32407.42 6767525.8 52.343, -32409.53 6767525.94 52.503, -32412.05 6767526.81 52.653, -32413.7 6767529.28 52.803, -32414.94 6767531.8 52.813, -32416.17 6767534.41 52.953, -32417.5 6767537.15 52.993, -32418.46 6767539.71 53.123, -32419.68 6767542.03 53.233, -32418.51 6767543.69 52.973, -32415.74 6767542.66 52.633, -32414.43 6767540.87 52.243, -32412.73 6767539.2 52.173, -32410.99 6767537.28 51.793, -32408.95 6767535.23 51.753, -32407.31 6767533.42 51.603, -32405.66 6767531.44 51.483, -32404.19 6767529.79 51.313, -32402.63 6767528.12 51.083, -32401.46 6767526.39 51.103, -32400.01 6767524.93 50.713, -32398.57 6767523.31 50.743, -32397.21 6767521.46 50.793, -32395.98 6767519.75 50.683, -32394.74 6767517.58 50.523, -32393.78 6767515.3 50.603, -32392.91 6767513.16 50.533, -32392.38 6767510.95 50.533)</t>
  </si>
  <si>
    <t>POLYGON ((-32396.38583008469 6767499.8419824755, -32396.424579905924 6767499.895932009, -32397.94664247377 6767502.343169863, -32400.807952842522 6767506.380907492, -32400.816025147175 6767506.392649902, -32402.536025147172 6767508.972649902, -32402.54278384435 6767508.983065886, -32404.15278384435 6767511.533065886, -32404.18267014422 6767511.58765655, -32405.47267014422 6767514.33765655, -32405.491234473946 6767514.382853147, -32405.50529876579 6767514.429645906, -32406.12529876579 6767516.929645906, -32406.134329953933 6767516.974914071, -32406.13914792996 6767517.0208222, -32406.139711629963 6767517.066979012, -32406.136016249482 6767517.112991112, -32406.128093284533 6767517.1584663335, -32406.116010263147 6767517.203017089, -32406.099870169845 6767517.246263667, -32406.079810567986 6767517.287837475, -32404.819810567988 6767519.617837475, -32404.797001094415 6767519.655880567, -32404.77090974069 6767519.691752425, -32404.74174185077 6767519.725170731, -32404.709726981655 6767519.755872475, -32404.67511709682 6767519.78361603, -32403.26592166665 6767520.813995484, -32404.52866254978 6767522.19223096, -32404.533039992977 6767522.1970718345, -32406.17307430434 6767524.0347006405, -32407.622904452663 6767525.312363459, -32409.563102569955 6767525.441096984, -32409.60717909988 6767525.445992524, -32409.650648475163 6767525.454774336, -32409.693168729842 6767525.467373334, -32412.213168729842 6767526.337373333, -32412.25625265187 6767526.354522401, -32412.297562541455 6767526.375589148, -32412.33674308141 6767526.400392376, -32412.373457269758 6767526.428718746, -32412.407389318236 6767526.460324614, -32412.4382473685 6767526.494938131, -32412.465766002293 6767526.532261577, -32414.115766002295 6767529.002261578, -32414.148628742354 6767529.059246175, -32415.388628742352 6767531.579246175, -32415.392291463082 6767531.58685115, -32416.621065326453 6767534.194249348, -32417.949809364516 6767536.931661878, -32417.968164588776 6767536.97443828, -32418.917146659995 6767539.505057136, -32420.12254183849 6767541.797284033, -32420.14353101586 6767541.842546013, -32420.15990492187 6767541.889674429, -32420.17150052517 6767541.938200034, -32420.178202371008 6767541.98763967, -32420.17994373065 6767542.037501079, -32420.17670726578 6767542.087287801, -32420.16852520113 6767542.136504122, -32420.155479003635 6767542.184660005, -32420.137698571278 6767542.231275975, -32420.115360939722 6767542.275887886, -32420.088688519816 6767542.318051548, -32418.918688519814 6767543.978051548, -32418.887565999357 6767544.017786388, -32418.85259612864 6767544.054181127, -32418.814135246095 6767544.0868649045, -32418.772575263316 6767544.115504678, -32418.728339671346 6767544.139808613, -32418.68187922535 6767544.159529054, -32418.63366735148 6767544.174465052, -32418.584195322725 6767544.184464412, -32418.53396725288 6767544.189425241, -32418.483494959713 6767544.189296989, -32418.433292749603 6767544.184080963, -32418.38387217681 6767544.173830314, -32418.335736830843 6767544.158649494, -32415.565736830846 6767543.128649494, -32415.521091946925 6767543.109532273, -32415.478512358757 6767543.086173924, -32415.438399784933 6767543.058794823, -32415.401132668943 6767543.027653277, -32415.367062608697 6767542.993043094, -32415.336511039397 6767542.955290804, -32414.050559419145 6767541.198150803, -32412.379607852457 6767539.556686617, -32412.359506524288 6767539.535759713, -32410.627347225396 6767537.624411521, -32408.59558323505 6767535.582687903, -32408.5794746943 6767535.565724587, -32406.9394746943 6767533.755724587, -32406.925889360242 6767533.7400922, -32405.28117638612 6767531.766436632, -32403.82059264007 6767530.127005896, -32402.264617913785 6767528.461315003, -32402.239022128517 6767528.431666976, -32402.2158256175 6767528.400106374, -32401.072137240964 6767526.709011595, -32399.65523374402 6767525.28233635, -32399.636295340646 6767525.262181919, -32398.196295340647 6767523.642181919, -32398.167143928746 6767523.606153652, -32396.807143928745 6767521.756153652, -32396.804097804525 6767521.751964737, -32395.574097804525 6767520.041964737, -32395.54587842894 6767519.998069469, -32394.305878428942 6767517.828069469, -32394.279182312424 6767517.774028501, -32393.31918231242 6767515.4940285, -32393.316813896952 6767515.488304631, -32392.446813896953 6767513.348304631, -32392.433948293532 6767513.312888105, -32392.42378638583 6767513.276603265, -32391.89378638583 6767511.066603265, -32392.866213614172 6767510.833396736, -32393.387407403698 6767513.0066765, -32394.242019622518 6767515.108826095, -32395.189101264365 6767517.358144995, -32396.401158752426 6767519.479245598, -32397.614389969032 6767521.165932899, -32398.95911612514 6767522.995155979, -32400.374514263178 6767524.5874788845, -32401.81476625598 6767526.03766365, -32401.846162813854 6767526.072386585, -32401.8741743825 6767526.109893626, -32403.022181199503 6767527.807373791, -32404.555382086215 6767529.448684997, -32404.56332992165 6767529.457396979, -32406.03332992165 6767531.10739698, -32406.04411063976 6767531.1199078, -32407.687479887114 6767533.091950896, -32409.31266950536 6767534.885605292, -32411.344416764954 6767536.9273120975, -32411.360493475713 6767536.944240288, -32413.09074656003 6767538.85348507, -32414.780392147542 6767540.513313383, -32414.808188501676 6767540.54293203, -32414.833488960605 6767540.574709197, -32416.054884827074 6767542.243639426, -32418.323222283303 6767543.087100646, -32419.095086693607 6767541.991976783, -32418.01745816151 6767539.942715967, -32417.991835411223 6767539.8855617205, -32417.040016362014 6767537.34737759, -32415.720190635482 6767534.628338123, -32415.717708536915 6767534.62314885, -32414.489507799208 6767532.0169667965, -32413.265924293595 6767529.53032935, -32411.727729776612 6767527.227698769, -32409.430105440453 6767526.434471321, -32407.386897430042 6767526.298903016, -32407.340349325066 6767526.293615001, -32407.294500453983 6767526.2839936605, -32407.24975331288 6767526.270123458, -32407.206500726024 6767526.2521261545, -32407.165122397353 6767526.2301597465, -32407.125981577145 6767526.20441707, -32407.089421873152 6767526.175124115, -32405.489421873153 6767524.765124115, -32405.446960007022 6767524.722928165, -32403.789132930688 6767522.865362888, -32402.15133745022 6767521.07776904, -32402.119790828896 6767521.039720902, -32402.09215481165 6767520.998744072, -32402.068699441013 6767520.9552389495, -32402.04965390881 6767520.909630641, -32402.03520431655 6767520.862364804, -32402.02549185699 6767520.813903292, -32402.020611434466 6767520.764719641, -32402.020610737527 6767520.715294444, -32402.025489772994 6767520.666110654, -32402.035200865852 6767520.617648868, -32402.04964912513 6767520.570382623, -32402.068693371097 6767520.524773778, -32402.092147514806 6767520.481267994, -32402.11978237643 6767520.440290384, -32402.15132792467 6767520.402241358, -32402.186475915347 6767520.367492705, -32402.22488290318 6767520.33638397, -32403.993838729475 6767519.042953904, -32405.108101529626 6767516.982452059, -32404.546504712645 6767514.717948765, -32403.290570951023 6767512.040570591, -32401.700530830214 6767509.522184064, -32399.987927337443 6767506.953278825, -32397.122047157478 6767502.909092508, -32397.105420094074 6767502.884067991, -32395.592999276334 6767500.452332558, -32394.254169915308 6767498.828017524, -32395.02583008469 6767498.191982475, -32396.38583008469 6767499.8419824755))</t>
  </si>
  <si>
    <t>2013-07-01</t>
  </si>
  <si>
    <t>['RV150 S1D130 m2448-2480']</t>
  </si>
  <si>
    <t>LINESTRING Z (262874.275878906 6653774.74182129 126.861, 262882.415039063 6653775.01464844 -999999, 262889.727539063 6653775.77111816 -999999, 262898.268066406 6653776.7734375 -999999, 262904.333496094 6653777.90393066 -999999, 262905.331054688 6653778.23339844 -999999, 262905.312988281 6653778.22741699 -999999, 262904.185546875 6653779.4119873 123.015, 262904.685058594 6653779.08068848 123.054, 262903.643066406 6653779.72253418 122.961, 262900.0234375 6653779.00463867 -999999, 262892.987304688 6653777.83325195 -999999, 262878.389160156 6653776.640625 -999999, 262874.513427734 6653776.6829834 126.951, 262874.275878906 6653774.74182129 126.861)</t>
  </si>
  <si>
    <t>2020-10-28</t>
  </si>
  <si>
    <t>2025-11-22T09:34:13Z</t>
  </si>
  <si>
    <t>[4656]</t>
  </si>
  <si>
    <t>['FV4656 S1D1 m160-363']</t>
  </si>
  <si>
    <t>LINESTRING Z (-19680.408388891432 6582699.644319691 -0.0838305279612541, -19881.492123145552 6582729.410004248 -0.0836461782455444)</t>
  </si>
  <si>
    <t>POLYGON ((-19881.56533851069 6582728.915393785, -19881.418907780415 6582729.904614711, -19680.335173526295 6582700.138930154, -19680.48160425657 6582699.1497092275, -19881.56533851069 6582728.915393785))</t>
  </si>
  <si>
    <t>2022-05-02</t>
  </si>
  <si>
    <t>2025-11-22T09:34:18Z</t>
  </si>
  <si>
    <t>['EV39 S90D1 m1983-2147']</t>
  </si>
  <si>
    <t>LINESTRING Z (-39348.49766711821 6632705.332796429 -0.0866293460130692, -39356.76591274573 6632710.78983859 -0.0866379588842392, -39367.6799969672 6632724.184396608 -0.086650438606739, -39374.129228553036 6632731.708500185 -0.0866577252745628, -39381.1572373315 6632739.894063423 -0.0866656452417374, -39388.18524611043 6632748.162309115 -0.0866735652089119, -39393.55960576469 6632754.198128468 -0.0866795629262924, -39400.17420226394 6632761.226137307 -0.0866868644952774, -39406.87148121919 6632768.006098775 -0.0866941884160042, -39411.66706368106 6632773.421799703 -0.0866995230317116, -39416.462646143045 6632777.762628691 -0.0867046639323235, -39422.95321895799 6632783.839789278 -0.0867116451263428, -39428.2035549304 6632788.800736692 -0.0867172926664352, -39435.438269851846 6632795.167285873 -0.0867249965667725, -39440.64726459514 6632799.838844689 -0.0867305397987366, -39447.757955833455 6632805.791981591 -0.0867380350828171, -39451.850737418164 6632809.430009695 -0.0867423862218857, -39456.7290023379 6632812.3238956835 -0.0867473185062408, -39462.06202076783 6632815.589852737 -0.0867527276277542, -39465.0385891957 6632815.135099226 -0.0867553651332855, -39464.79054182477 6632817.11947819 -0.0867554694414139)</t>
  </si>
  <si>
    <t>POLYGON ((-39357.04133385152 6632710.372533888, -39357.08209860831 6632710.402506045, -39357.11962550091 6632710.4364446355, -39357.15353023976 6632710.474002115, -39368.06367941323 6632723.863730757, -39374.508721874 6632731.382947021, -39381.536595016194 6632739.568352283, -39381.53820699172 6632739.570239215, -39388.5624919667 6632747.834103961, -39393.92843721621 6632753.86047329, -39400.534162637974 6632760.879056608, -39407.227196956344 6632767.6547210375, -39407.24581583068 6632767.674626908, -39412.02308460426 6632773.069645998, -39416.79818647391 6632777.391936519, -39416.80438464805 6632777.397642672, -39423.294957463 6632783.474803259, -39423.296614745035 6632783.476362073, -39428.54051541756 6632788.431228888, -39435.76858380075 6632794.791929116, -39435.772098832625 6632794.795051791, -39440.97475809097 6632799.460928783, -39448.07892416332 6632805.4086027555, -39448.09013775433 6632805.418276933, -39452.147079635084 6632809.024447522, -39456.98410329583 6632811.893868357, -39456.99012833298 6632811.897500075, -39462.16723559498 6632815.067976645, -39464.96307649604 6632814.640834284, -39465.01139873466 6632814.635839094, -39465.05997765017 6632814.635556901, -39465.10835465946 6632814.639990369, -39465.15607308538 6632814.649097646, -39465.202682467774 6632814.662792759, -39465.2477428158 6632814.680946428, -39465.29082876146 6632814.703387283, -39465.331533575045 6632814.729903482, -39465.369473004626 6632814.760244714, -39465.40428890341 6632814.794124559, -39465.435652610606 6632814.831223191, -39465.46326805399 6632814.871190402, -39465.48687454481 6632814.913648902, -39465.50624923868 6632814.958197885, -39465.521209239196 6632815.00441681, -39465.531613324536 6632815.051869373, -39465.5373632805 6632815.100107622, -39465.538404827734 6632815.1486761905, -39465.534728134044 6632815.197116593, -39465.286680763114 6632817.181495558, -39464.29440288642 6632817.057460823, -39464.46043168328 6632815.7292304505, -39462.13753346749 6632816.084117679, -39462.087733947425 6632816.089191132, -39462.03767670605 6632816.089259752, -39461.98786346347 6632816.084322852, -39461.93879349425 6632816.0744299125, -39461.89095862318 6632816.059680091, -39461.84483829575 6632816.040221224, -39461.80089477275 6632816.016248345, -39456.470876111336 6632812.752128359, -39451.59563646024 6632809.860037021, -39451.555748679995 6632809.833719547, -39451.51855549729 6632809.803714353, -39447.431309071406 6632806.17060639, -39440.32629626528 6632800.222223524, -39440.313435614364 6632800.21107877, -39435.106191032435 6632795.541089544, -39427.87324098149 6632789.176093449, -39427.860159143354 6632789.164163897, -39422.61065005782 6632784.203997794, -39416.12398269038 6632778.1304939, -39411.33152335019 6632773.792491875, -39411.292729069566 6632773.7532715695, -39406.506184667385 6632768.347777417, -39399.81848652678 6632761.577515044, -39399.81010226619 6632761.568819654, -39393.19550576694 6632754.540810816, -39393.1861834664 6632754.530627772, -39387.81182381214 6632748.494808419, -39387.80427645021 6632748.486133323, -39380.777071328295 6632740.21883311, -39373.74987086834 6632732.034211325, -39367.30036866473 6632724.509792293, -39367.29237947317 6632724.500233082, -39356.42662934111 6632711.164994175, -39348.22224601242 6632705.750101131, -39348.773088224 6632704.915491727, -39357.04133385152 6632710.372533888))</t>
  </si>
  <si>
    <t>['EV39 S90D1 m466-1449']</t>
  </si>
  <si>
    <t>LINESTRING Z (-39897.6745415912 6633124.946265359 -0.0871868208050728, -39915.947364421794 6633140.986662 -0.0872046947479248, -39930.33411180333 6633157.853883214 -0.0872191414237022, -39957.45395744359 6633189.851994038 -0.0872462168335915, -39971.179245173815 6633207.215309991 -0.087259940803051, -39981.26650482486 6633225.405450511 -0.0872704684734344, -39997.47226623236 6633254.840405173 -0.0872872993350029, -40012.851203071186 6633288.57484759 -0.0873036235570908, -40020.127259208355 6633307.095717933 -0.0873114988207817, -40031.53743813047 6633352.571069229 -0.0873250588774681, -40033.025722337654 6633358.524206126 -0.0873268097639084, -40035.17546618241 6633375.226062417 -0.0873299688100815, -40037.15984511771 6633390.935729228 -0.0873328819870949, -40044.105171394534 6633439.883743712 -0.0873425304889679, -40044.76663102198 6633461.050452674 -0.0873446464538574, -40045.92418537766 6633489.989312588 -0.087347723543644, -40047.247104650596 6633515.124779485 -0.0873506367206573, -40049.2314835774 6633537.449042844 -0.0873538851737976, -40053.696336191846 6633561.923050086 -0.0873593389987946, -40058.65728354198 6633588.712166121 -0.0873653143644333, -40058.82264844596 6633596.484317067 -0.0873659700155258, -40058.65728352894 6633600.61843991 -0.0873661041259766, -40063.78359579574 6633623.604162928 -0.0873719081282616, -40068.579178239685 6633643.7786824135 -0.0873771980404854, -40093.218550120015 6633737.209858708 -0.0874032527208328, -40097.68340275029 6633748.1239430215 -0.0874075442552567, -40107.43993257964 6633762.8414203515 -0.087416373193264, -40108.59748696536 6633765.817988798 -0.0874174833297729, -40108.76285187225 6633770.282841468 -0.0874178633093834, -40110.58186590881 6633772.597950265 -0.0874194800853729, -40113.227704508 6633775.409153797 -0.0874217972159386, -40116.20427292725 6633783.842764405 -0.0874246805906296, -40116.03890800255 6633794.095389058 -0.0874250829219818, -40119.842300983146 6633803.686554059 -0.0874286890029907, -40125.795437821886 6633818.238666474 -0.087434284389019, -40131.08711501164 6633831.633224492 -0.0874392613768578, -40136.378792204545 6633842.712673717 -0.0874441042542458, -40141.339739570394 6633853.957487859 -0.0874486640095711, -40146.30068693869 6633864.706207251 -0.0874531865119934, -40151.09626939567 6633873.801277511 -0.0874574854969978, -40157.38013606251 6633885.707551307 -0.0874630957841873, -40179.373669400695 6633925.0644008 -0.0874824747443199, -40195.24870098301 6633953.341801058 -0.0874963030219078, -40209.966178178904 6633979.46945744 -0.0875090062618256, -40231.794346606475 6634016.676563053 -0.0875276029109955, -40236.33755731762 6634024.7947593145 -0.0875314548611641)</t>
  </si>
  <si>
    <t>POLYGON ((-39916.277218174044 6633140.61090077, -39916.32778139916 6633140.662188699, -39930.71452878069 6633157.529409912, -39930.715543125414 6633157.530602924, -39957.83538876568 6633189.528713747, -39957.84620750469 6633189.541929706, -39971.571495234915 6633206.905245659, -39971.59537737591 6633206.938120542, -39971.616511189364 6633206.972826111, -39981.70377084041 6633225.162966631, -39981.704508832816 6633225.164302239, -39997.91027024032 6633254.599256901, -39997.92722006609 6633254.632999751, -40013.30615690492 6633288.367442168, -40013.3165788185 6633288.3920214055, -40020.59263495567 6633306.912891748, -40020.61222654495 6633306.974035221, -40032.02240546707 6633352.4493865175, -40033.51079358805 6633358.402938315, -40033.52163134894 6633358.460376254, -40035.6713751937 6633375.162232545, -40035.67152437134 6633375.163402436, -40037.655423928016 6633390.869274166, -40044.60021281748 6633439.813501349, -40044.6049274326 6633439.8681263365, -40045.266318820664 6633461.032651639, -40046.42365991227 6633489.96617995, -40047.74593952759 6633515.089493353, -40049.72748665558 6633537.381898974, -40054.18809841467 6633561.8326600455, -40059.14892454468 6633588.621121492, -40059.154675006976 6633588.661158959, -40059.15717040702 6633588.701530231, -40059.322535311 6633596.473681177, -40059.3222489253 6633596.504301087, -40059.15949066192 6633600.573257591, -40064.270847794876 6633623.491923717, -40069.06420913565 6633643.657099251, -40093.69369142757 6633737.050774757, -40098.12745975187 6633747.888875211, -40107.856676712014 6633762.5651517715, -40107.883856831526 6633762.611352408, -40107.90593491595 6633762.660197223, -40109.06348930167 6633765.636765669, -40109.080733217015 6633765.689641378, -40109.0919980362 6633765.7441051, -40109.09714438227 6633765.799482969, -40109.256489929234 6633770.101812914, -40110.961248548556 6633772.271505724, -40113.59180450558 6633775.066471448, -40113.625397721524 6633775.1061024675, -40113.65469724784 6633775.149005378, -40113.67938675237 6633775.194716976, -40113.69919967533 6633775.242743739, -40116.67576809458 6633783.676354347, -40116.6886749659 6633783.718850463, -40116.69775989132 6633783.762324263, -40116.70295119035 6633783.806432739, -40116.70420790351 6633783.850827873, -40116.54045092103 6633794.003760115, -40120.30609570059 6633803.499734, -40126.258211300636 6633818.049350053, -40126.26046381748 6633818.054952502, -40131.5457695255 6633831.433382707, -40136.829973213964 6633842.497184282, -40136.83625110608 6633842.510853616, -40141.79549147161 6633853.751798556, -40146.74913176419 6633864.484685951, -40151.53850761906 6633873.567985069, -40157.819531238565 6633885.468872039, -40179.809901544264 6633924.820061368, -40195.68451745135 6633953.096721204, -40210.39966306124 6633979.220238366, -40232.22560906036 6634016.4235557495, -40232.23066785811 6634016.432383273, -40236.773878569256 6634024.550579534, -40235.90123606599 6634025.038939095, -40231.36050984676 6634016.925182336, -40209.53491572502 6633979.722464744, -40209.53053775783 6633979.714849827, -40194.81306056194 6633953.587193444, -40194.81270908938 6633953.586568435, -40178.93767750707 6633925.309168177, -40178.93719765867 6633925.308311476, -40156.94366432048 6633885.951461984, -40156.93794368518 6633885.940930615, -40150.65407701834 6633874.034656819, -40145.858402387574 6633864.93941183, -40145.846707245735 6633864.915736338, -40140.88575987744 6633854.167016946, -40140.88228066886 6633854.15930796, -40135.92436942838 6633842.921375703, -40130.635934002225 6633831.848713927, -40130.62208901605 6633831.816938464, -40125.33152116581 6633818.425188461, -40119.379527504396 6633803.87587048, -40119.377512030864 6633803.870866918, -40115.57411905027 6633794.2797019165, -40115.5582582855 6633794.233141914, -40115.54704905189 6633794.185248797, -40115.540599827844 6633794.1364860535, -40115.53897302629 6633794.08732559, -40115.70288971337 6633783.9244916625, -40112.79131423742 6633775.67502773, -40110.21776591123 6633772.940632613, -40110.18870673792 6633772.906861039, -40108.36969270136 6633770.591752242, -40108.33952853336 6633770.548919184, -40108.31401169014 6633770.503165074, -40108.293422300485 6633770.454992208, -40108.27798639866 6633770.404929439, -40108.26787344296 6633770.353526364, -40108.263194455336 6633770.301347298, -40108.1009478503 6633765.920688781, -40106.993442566556 6633763.072818026, -40097.26665861792 6633748.4002116015, -40097.24150007278 6633748.357870411, -40097.22062927154 6633748.313259443, -40092.755776641265 6633737.39917513, -40092.73507942228 6633737.337358058, -40068.09570754195 6633643.906181764, -40068.09273238345 6633643.894312984, -40063.297149939506 6633623.7197934985, -40063.29558501562 6633623.712999863, -40058.16927274882 6633600.727276845, -40058.16169666584 6633600.6847246075, -40058.157823786285 6633600.641677067, -40058.1576830496 6633600.59845589, -40058.322435743874 6633596.479638616, -40058.15825920288 6633588.763340733, -40053.204695189146 6633562.014094715, -40053.20445449993 6633562.012785259, -40048.739601885485 6633537.538778016, -40048.73344725698 6633537.493312738, -40046.74906833017 6633515.169049379, -40046.74779573589 6633515.151058901, -40045.42487646296 6633490.015592004, -40045.424584898275 6633490.009296606, -40044.26703054259 6633461.070436692, -40044.266874983914 6633461.066070049, -40043.60627291691 6633439.926803023, -40036.664803694766 6633391.005971591, -40036.66378692878 6633390.998389209, -40034.67948189374 6633375.289307442, -40032.53355066591 6633358.617072252, -40031.05241871783 6633352.692544391, -40019.65012073257 6633307.248602627, -40012.390710060965 6633288.7701025605, -39997.02514977896 6633255.065002267, -39980.82886883567 6633225.647267224, -39970.76173425483 6633207.493417815, -39957.06700386841 6633190.168758743, -39929.95318681798 6633158.1777609205, -39915.590377331675 6633141.338604826, -39897.34468783895 6633125.32202659, -39898.00439534345 6633124.570504129, -39916.277218174044 6633140.61090077))</t>
  </si>
  <si>
    <t>['EV39 S90D1 m3147-3280']</t>
  </si>
  <si>
    <t>LINESTRING Z (-39406.127340323175 6631666.014313331 -0.0868222415447235, -39394.221066578524 6631695.614632894 -0.0868214219808578, -39377.02311562095 6631732.491008662 -0.0868196710944176, -39366.770491012256 6631753.492352706 -0.0868185684084892, -39354.037392710685 6631777.3875827445 -0.0864492654800415, -39349.90326988418 6631787.309477568 -0.0864471420645714)</t>
  </si>
  <si>
    <t>POLYGON ((-39394.68494661468 6631695.801221511, -39394.67421004848 6631695.825964377, -39377.4762590909 6631732.702340145, -39377.47243181823 6631732.710359875, -39367.219807209534 6631753.71170392, -39367.21175198656 6631753.727488311, -39354.489808286344 6631777.601785364, -39350.364808345985 6631787.50178526, -39349.44173142237 6631787.117169876, -39353.57585424888 6631777.195275052, -39353.59613173638 6631777.15244714, -39366.32506254743 6631753.265037912, -39376.57185015138 6631732.275650312, -39393.76222102377 6631695.415527997, -39405.66346028702 6631665.827724714, -39406.59122035933 6631666.200901948, -39394.68494661468 6631695.801221511))</t>
  </si>
  <si>
    <t>['EV39 S90D1 m3287-3567']</t>
  </si>
  <si>
    <t>LINESTRING Z (-39372.475580904866 6631383.653723037 -0.0867759361863136, -39380.08236687316 6631397.7097407095 -0.0867806375026703, -39398.35518967849 6631437.314637568 -0.0867925211787224, -39409.51732125098 6631466.501544852 -0.0868002697825432, -39416.049235279555 6631486.593381884 -0.0868051052093506, -39420.76213525003 6631523.965852398 -0.0868112444877625, -39422.00237205578 6631560.015403601 -0.0868158638477325, -39422.002372029936 6631583.166491534 -0.086818516254425, -39415.22241056862 6631621.035056786 -0.0868203788995743, -39408.60781402106 6631658.572892215 -0.0868222787976265)</t>
  </si>
  <si>
    <t>POLYGON ((-39380.52210309923 6631397.4717658125, -39380.53637430335 6631397.50027173, -39398.80919710868 6631437.105168588, -39398.822202615054 6631437.136034888, -39409.984334187546 6631466.322942172, -39409.99282390365 6631466.346957571, -39416.524737932225 6631486.438794603, -39416.537196605546 6631486.484323439, -39416.54530638521 6631486.530824245, -39421.258206355684 6631523.90329476, -39421.261839609346 6631523.948660735, -39422.5020764151 6631559.998211938, -39422.50237205578 6631560.015403602, -39422.502372029936 6631583.166491535, -39422.50041165867 6631583.210724194, -39422.49454591734 6631583.254610003, -39415.714705236045 6631621.122500654, -39409.100227622745 6631658.659661132, -39408.115400419374 6631658.486123298, -39414.72999696693 6631620.948287869, -39414.730236681215 6631620.946938316, -39421.50237202999 6631583.122084766, -39421.50237205577 6631560.024001975, -39420.26321411603 6631524.005809812, -39415.55908977355 6631486.702928488, -39409.04575749857 6631466.66824799, -39397.89416228096 6631437.508891324, -39379.63504044842 6631397.93369024, -39372.035844678794 6631383.891697934, -39372.91531713094 6631383.41574814, -39380.52210309923 6631397.4717658125))</t>
  </si>
  <si>
    <t>['EV39 S90D1 m3460-3563']</t>
  </si>
  <si>
    <t>LINESTRING Z (-39362.14027385344 6631392.914158205 -0.0867731422185898, -39365.44757210021 6631399.032660016 -0.0867751911282539, -39383.55502999015 6631442.1102200635 -0.0867874994874001, -39390.99645103759 6631461.70596235 -0.0867927148938179, -39400.2568861203 6631486.758746793 -0.086799219250679)</t>
  </si>
  <si>
    <t>POLYGON ((-39365.88742535789 6631398.7949015, -39365.90850627889 6631398.838908414, -39384.01596416883 6631441.916468462, -39384.02246106359 6631441.9327145945, -39391.46388211103 6631461.528456881, -39391.46543734576 6631461.532607676, -39400.72587242848 6631486.585392119, -39399.78789981213 6631486.932101466, -39390.528233145415 6631461.881395862, -39383.09070521515 6631442.295905451, -39364.996103427904 6631399.248930014, -39361.70042059576 6631393.15191672, -39362.58012711112 6631392.676399689, -39365.88742535789 6631398.7949015))</t>
  </si>
  <si>
    <t>['EV39 S90D1 m3286-3459']</t>
  </si>
  <si>
    <t>LINESTRING Z (-39397.58348333184 6631488.52263752 -0.0867984369397163, -39402.04833594558 6631514.815658812 -0.0868032425642014, -39404.52880961541 6631533.1711642435 -0.0868063271045685, -39405.85172889382 6631553.511048641 -0.0868092030286789, -39405.355634131934 6631575.669947086 -0.0868116095662117, -39403.59173834382 6631595.293248506 -0.086813248693943, -39396.64641197561 6631628.696961087 -0.0868146196007729, -39391.68546457321 6631649.2022103965 -0.0868152230978012, -39391.3547347422 6631654.163157807 -0.0868156775832176)</t>
  </si>
  <si>
    <t>POLYGON ((-39402.541279228084 6631514.731951464, -39402.54383216092 6631514.748699865, -39405.024305830746 6631533.104205296, -39405.0277553875 6631533.138712487, -39406.350674665904 6631553.478596885, -39406.35160363459 6631553.522239867, -39405.85550887271 6631575.6811383115, -39405.8536263357 6631575.71471052, -39404.08973054759 6631595.33801194, -39404.081268838556 6631595.395032074, -39397.13594247035 6631628.798744655, -39397.1323913627 6631628.814536745, -39392.18150976318 6631649.278180735, -39391.8536273211 6631654.196417312, -39390.8558421633 6631654.129898301, -39391.18657199431 6631649.168950891, -39391.19122728124 6631649.126516941, -39391.199485186124 6631649.084634739, -39396.15852920871 6631628.587252733, -39403.0963308067 6631595.219730713, -39404.85613590847 6631575.6419380875, -39405.35136515781 6631553.521699201, -39404.030989921084 6631533.220929446, -39401.55397430155 6631514.891013587, -39397.090540049336 6631488.606344868, -39398.07642661434 6631488.438930172, -39402.541279228084 6631514.731951464))</t>
  </si>
  <si>
    <t>['EV39 S90D1 m2571-3285']</t>
  </si>
  <si>
    <t>LINESTRING Z (-39391.24449819373 6631655.761688674 -0.0868158265948296, -39384.79526658123 6631673.455734445 -0.0868155956268311, -39379.99968410202 6631683.708359096 -0.0868150964379311, -39376.19629110326 6631690.653685476 -0.0868145748972893, -39371.235343715176 6631697.764376768 -0.086813673377037, -39367.431950712344 6631708.843825985 -0.0868136435747147, -39356.84859627858 6631730.175899861 -0.0868124812841415, -39346.92670149612 6631750.185054423 -0.0868114307522774, -39321.79123470804 6631808.393504065 -0.0864227712154388, -39301.94744513114 6631859.987357158 -0.0864137411117554, -39292.02555031609 6631910.919750599 -0.0864147990942001, -39288.718251983286 6631982.357393353 -0.0864270105957985, -39288.71825195372 6632009.477239212 -0.0864328742027283, -39277.47343784373 6632054.456495756 -0.0864313244819641, -39268.21300271351 6632072.977366097 -0.0864260941743851, -39251.67651141004 6632107.373268158 -0.086417131125927, -39231.17126220965 6632134.49311401 -0.0864027664065361, -39204.71287614037 6632172.857773996 -0.0863851606845856, -39188.17638484086 6632203.284918128 -0.0863756984472275, -39176.931570747984 6632232.389142945 -0.0863711759448051, -39168.994054905954 6632263.477746734 -0.0863703489303589, -39165.02529697667 6632286.628834664 -0.0863716304302216, -39163.04091800039 6632308.457003282 -0.0863745287060738, -39164.363837282406 6632325.654954318 -0.0863795801997185)</t>
  </si>
  <si>
    <t>POLYGON ((-39385.265034975295 6631673.626958438, -39385.24817135314 6631673.6675769985, -39380.45258887392 6631683.92020165, -39380.43823223643 6631683.948516407, -39376.634839237675 6631690.893842787, -39376.60635458109 6631690.9397762725, -39371.68550259467 6631697.992997489, -39367.90486178071 6631709.00616859, -39367.87985657934 6631709.066042848, -39357.29652506057 6631730.398070537, -39347.38050793815 6631750.395371817, -39322.254276151005 6631808.582435141, -39302.42984341813 6631860.125960439, -39292.523322789166 6631910.979433059, -39289.21825198327 6631982.368961232, -39289.21825195372 6632009.477239213, -39289.214505732016 6632009.538330845, -39289.20332320385 6632009.598507024, -39277.95850909386 6632054.577763569, -39277.94238035137 6632054.62996888, -39277.920651439614 6632054.680102553, -39268.66194959658 6632073.19750632, -39252.12713762267 6632107.589915375, -39252.103355782965 6632107.633659942, -39252.07534107641 6632107.674822295, -39231.576673253374 6632134.785963745, -39205.13953116961 6632173.119819951, -39188.63113344762 6632203.4952719, -39177.40867880136 6632232.541625209, -39169.483476477064 6632263.582001053, -39165.521451884735 6632286.693811184, -39163.54266312176 6632308.460487456, -39164.86236452522 6632325.61660607, -39163.86531003959 6632325.693302566, -39162.542390757575 6632308.495351531, -39162.540930055126 6632308.453531311, -39162.54297139718 6632308.411735409, -39164.527350373464 6632286.58356679, -39164.53248584926 6632286.544352757, -39168.50124377854 6632263.393264827, -39168.50959605057 6632263.354055112, -39176.4471118926 6632232.265451323, -39176.46517168056 6632232.2089433065, -39187.709985773436 6632203.104718489, -39187.73707258561 6632203.046161468, -39204.27356388512 6632172.6190173365, -39204.30126974678 6632172.573907519, -39230.75965581606 6632134.209247533, -39230.77243254329 6632134.1915598735, -39251.24754005714 6632107.111578832, -39267.76237650088 6632072.76071888, -39267.76578911763 6632072.7537593, -39277.00167843148 6632054.281980592, -39288.21825195378 6632009.415686399, -39288.218251983286 6631982.357393352, -39288.21878696024 6631982.3342699725, -39291.526085293044 6631910.896627218, -39291.534775822525 6631910.824145178, -39301.45667063758 6631859.891751737, -39301.466887675786 6631859.849282786, -39301.48077232781 6631859.807867619, -39321.324561904716 6631808.214014526, -39321.332203530976 6631808.195286058, -39346.467670319056 6631749.986836416, -39346.47874993615 6631749.962929684, -39356.400644718604 6631729.953775122, -39366.9695956432 6631708.650733295, -39370.76243264681 6631697.602034163, -39370.77951707538 6631697.558896661, -39370.80052657566 6631697.517528525, -39370.825280237346 6631697.478285971, -39375.77074215628 6631690.389790518, -39379.553507976656 6631683.48213116, -39384.333035928954 6631673.26382998, -39390.77472979967 6631655.59046468, -39391.71426658779 6631655.932912667, -39385.265034975295 6631673.626958438))</t>
  </si>
  <si>
    <t>['EV39 S90D1 m2146-2370']</t>
  </si>
  <si>
    <t>LINESTRING Z (-39233.8997828525 6632514.253638511 -0.0864856168627739, -39245.309961797204 6632540.298612433 -0.0865016207098961, -39252.33797057008 6632555.429502048 -0.0865112543106079, -39268.70909688505 6632589.742721666 -0.0865333750844002, -39276.97734249779 6632609.090416581 -0.0865448787808418, -39290.04117057042 6632634.556613307 -0.0865619704127312, -39294.50602320244 6632643.320953741 -0.086567796766758, -39312.77884602011 6632671.681036457 -0.0865901187062263, -39314.18444777478 6632675.0710171955 -0.0865920558571815, -39317.0783337442 6632676.228571593 -0.0865949466824532, -39325.759991644765 6632690.036541898 -0.0866055563092232, -39332.209223227226 6632700.206484093 -0.0866133943200111, -39337.7489477928 6632708.1439999575 -0.0866199657320976, -39340.642833759426 6632711.864710522 -0.0866233184933662)</t>
  </si>
  <si>
    <t>POLYGON ((-39245.76574113816 6632540.092954397, -39252.79035265758 6632555.216529925, -39269.160366221025 6632589.527417261, -39269.16887241663 6632589.546236398, -39277.43022610176 6632608.877804203, -39290.48604922256 6632634.328396339, -39290.4866903197 6632634.329650419, -39294.9400485902 6632643.071427846, -39313.19915633559 6632671.410224274, -39313.22171541559 6632671.448944453, -39313.240717077606 6632671.4895289475, -39314.565663005866 6632674.684986808, -39317.2640290837 6632675.764333248, -39317.31158846695 6632675.786313484, -39317.35658668927 6632675.8131497605, -39317.3985296656 6632675.844547411, -39317.43695685777 6632675.880161687, -39317.471446331234 6632675.919601539, -39317.501619388124 6632675.962433915, -39326.18276319339 6632689.769586563, -39332.62556190535 6632699.929384617, -39338.15156342999 6632707.847237616, -39341.03750986955 6632711.557740217, -39340.2481576493 6632712.171680827, -39337.35427168268 6632708.450970262, -39337.338930929705 6632708.430157557, -39331.79920636413 6632700.492641693, -39331.78696893699 6632700.474255105, -39325.33773735453 6632690.304312909, -39325.33670600084 6632690.302679576, -39316.74162231643 6632676.632403501, -39313.99875243528 6632675.53525554, -39313.95348706564 6632675.514477623, -39313.9105134504 6632675.48929938, -39313.87025800385 6632675.4599706475, -39313.83312016881 6632675.426782446, -39313.79946845295 6632675.390064091, -39313.769636772224 6632675.350179929, -39313.7439211375 6632675.3075257195, -39313.722576717286 6632675.262524705, -39312.33419074267 6632671.9140643785, -39294.08571288696 6632643.591765924, -39294.060503453155 6632643.547916629, -39289.59597049064 6632634.784203695, -39276.532463845644 6632609.31863355, -39276.51756696621 6632609.286901849, -39268.2533800833 6632589.948704362, -39251.88670123411 6632555.644806452, -39251.884499893786 6632555.640130502, -39244.85649112091 6632540.509240887, -39244.8519832908 6632540.499250634, -39233.4418043461 6632514.454276712, -39234.35776135891 6632514.0530003095, -39245.76574113816 6632540.092954397))</t>
  </si>
  <si>
    <t>['EV39 S90D1 m1940-2141']</t>
  </si>
  <si>
    <t>LINESTRING Z (-39343.702084639226 6632716.412245651 -0.0866269692778587, -39359.742481146706 6632736.173352853 -0.0866453126072884, -39365.94366536185 6632743.6974564325 -0.0866523683071136, -39375.700195197016 6632755.02495303 -0.0866633430123329, -39383.389663626906 6632763.541246091 -0.0866719037294388, -39391.24449696904 6632772.057539156 -0.0866805911064148, -39400.17420224217 6632780.987244504 -0.086690329015255, -39410.1787794478 6632790.991821789 -0.0867012068629265, -39419.687261916115 6632799.92152714 -0.0867114290595055, -39428.947697015596 6632808.437820202 -0.0867213308811188, -39481.699104106985 6632850.936603065 -0.0867764055728912, -39489.55393745215 6632857.137787334 -0.0867845416069031)</t>
  </si>
  <si>
    <t>POLYGON ((-39360.12951088867 6632735.856790912, -39366.32605500721 6632743.375264508, -39376.07522429404 6632754.694215383, -39383.75899781748 6632763.204201182, -39391.60518993482 6632771.71112534, -39400.52775563424 6632780.633691114, -39410.526785166374 6632790.632720727, -39420.02764310474 6632799.555265649, -39429.27411702756 6632808.058719414, -39482.01086542438 6632850.545692608, -39489.86375959795 6632856.745345952, -39489.24411530634 6632857.530228715, -39481.38928196118 6632851.329044446, -39481.38541877523 6632851.325963453, -39428.63401168384 6632808.8271805905, -39428.60923994202 6632808.805851191, -39419.34880484254 6632800.289558129, -39419.34497520543 6632800.285999097, -39409.836492737115 6632791.356293746, -39409.82522605579 6632791.345375178, -39399.82064885016 6632781.340797893, -39390.89094357697 6632772.411092545, -39390.876958470006 6632772.396530972, -39383.02212512787 6632763.880237907, -39383.018554496506 6632763.876325206, -39375.32908606662 6632755.360032145, -39375.32134877863 6632755.351258702, -39365.56481894346 6632744.023762104, -39365.55782266392 6632744.015458654, -39359.35663844878 6632736.491355075, -39359.35427513596 6632736.48846568, -39343.313878628476 6632716.727358477, -39344.090290649976 6632716.097132824, -39360.12951088867 6632735.856790912))</t>
  </si>
  <si>
    <t>['EV39 S90D1 m1449-1940']</t>
  </si>
  <si>
    <t>LINESTRING Z (-39489.38857253955 6632857.137787334 -0.0867843925952911, -39492.61318832962 6632862.677511948 -0.0867882147431374, -39504.60214449151 6632868.29991902 -0.0867999866604805, -39535.277335768216 6632888.474438514 -0.0868309587240219, -39553.55015860556 6632898.230968431 -0.0868490040302277, -39576.61856390757 6632911.708208914 -0.0868719071149826, -39589.68239199708 6632920.968644089 -0.0868850871920586, -39607.045707812766 6632932.544188063 -0.0869024619460106, -39624.90511836717 6632943.127542551 -0.0869200974702835, -39640.44942014711 6632952.222612819 -0.0869354009628296, -39673.02630791813 6632973.22395688 -0.0869676470756531, -39694.0276518109 6632986.12242016 -0.0869882702827454, -39720.98213255545 6633002.824276465 -0.0870146825909615, -39734.70742029522 6633012.9115362065 -0.087028294801712, -39744.13322031079 6633017.707118712 -0.0870373621582985, -39760.338981740526 6633026.9675538875 -0.0870530530810356, -39776.04864843283 6633036.5587188965 -0.0870683044195175, -39831.445894132834 6633071.450715724 -0.0871219709515572, -39852.11650819681 6633087.821842196 -0.0871422588825226, -39874.2754064725 6633105.5158879785 -0.0871639400720596, -39897.75722404802 6633124.863582903 -0.0871868804097176)</t>
  </si>
  <si>
    <t>POLYGON ((-39492.96679434148 6632862.291089073, -39504.81444141523 6632867.847227055, -39504.8768906987 6632867.882169668, -39535.532992247325 6632888.044134191, -39553.78565987241 6632897.789902502, -39553.80238269537 6632897.7992474465, -39576.87078799738 6632911.27648793, -39576.907715824396 6632911.300298178, -39589.965701117544 6632920.556591623, -39607.312020771795 6632932.120804823, -39625.15882393886 6632942.6966882665, -39640.701926345624 6632951.791056774, -39640.720337800514 6632951.8023704775, -39673.29263565282 6632972.800755556, -39694.28932606881 6632985.696360795, -39694.291008628636 6632985.697398765, -39721.245489373185 6633002.39925507, -39721.27823510685 6633002.421382832, -39734.970583263406 6633012.484433964, -39744.359948934216 6633017.261479698, -39744.38128978143 6633017.272997142, -39760.587051211165 6633026.533432317, -39760.59952501926 6633026.540801969, -39776.30919171156 6633036.131966978, -39776.31512205708 6633036.135644662, -39831.712367757085 6633071.02764149, -39831.75632591616 6633071.0587564055, -39852.426939980134 6633087.4298828775, -39852.42850000585 6633087.431123486, -39874.58739828155 6633105.125169268, -39874.593355343815 6633105.130001318, -39898.075172919336 6633124.477696242, -39897.43927517671 6633125.249469563, -39873.960417599796 6633105.904213511, -39851.80529517118 6633088.213182772, -39831.15660235327 6633071.8594179265, -39775.78512712587 6633036.98365265, -39760.08462198967 6633027.398081012, -39743.89568156063 6633018.1472578375, -39734.48069167179 6633013.357175221, -39734.44513247379 6633013.337218128, -39734.41131774382 6633013.314429839, -39720.70196526706 6633003.238881556, -39693.765135302645 6632986.547962238, -39672.76463366023 6632973.650016245, -39672.75539026473 6632973.644199221, -39640.18758594999 6632952.648710992, -39624.652612168655 6632943.559098596, -39624.65021717049 6632943.557688316, -39606.79080661609 6632932.974333828, -39606.76835771305 6632932.960213209, -39589.405041897364 6632921.384669235, -39589.39324008025 6632921.376554825, -39576.3473523042 6632912.128836835, -39553.306206416746 6632898.667522103, -39535.04183450137 6632888.9155044425, -39535.00258956102 6632888.892187866, -39504.3573694552 6632868.737379871, -39492.4008914059 6632863.130203914, -39492.35639080647 6632863.106528303, -39492.31450013074 6632863.078492446, -39492.27564512823 6632863.0463812845, -39492.24022069602 6632863.0105211735, -39492.208586865054 6632862.971276573, -39492.181065141005 6632862.929046339, -39488.95644935094 6632857.389321725, -39489.820695728165 6632856.8862529425, -39492.96679434148 6632862.291089073))</t>
  </si>
  <si>
    <t>['EV39 S90D1 m1329-1979']</t>
  </si>
  <si>
    <t>LINESTRING Z (-39466.65089708846 6632821.418965949 -0.0867578759789467, -39488.64443045505 6632836.549855566 -0.08678038418293, -39506.91725328937 6632850.109778505 -0.0867991968989372, -39515.516228741035 6632855.649503119 -0.0868078917264938, -39527.67054981296 6632863.338971614 -0.0868201479315758, -39554.79039546964 6632880.867652485 -0.0868474841117859, -39571.90566391894 6632891.202959604 -0.0868645757436752, -39589.847756929696 6632902.530456205 -0.0868825241923332, -39603.40767975827 6632911.046749269 -0.0868960544466972, -39630.94093769556 6632928.6581125995 -0.0869235023856163, -39641.19356227806 6632930.80785648 -0.0869330763816833, -39656.489816691144 6632938.910737261 -0.086948037147522, -39673.935814964934 6632948.584584723 -0.0869651287794113, -39690.7203535852 6632961.731095377 -0.0869820564985275, -39696.92153780407 6632966.692042792 -0.0869883149862289, -39712.38315712707 6632975.95247797 -0.0870034694671631, -39728.175506276195 6632984.303406124 -0.0870187878608704, -39743.554443144356 6632992.73701673 -0.087033711373806, -39763.315550194005 6633004.643290531 -0.0870529860258102, -39782.33251513459 6633017.211023987 -0.0870716199278831, -39792.41977479798 6633024.817810024 -0.0870815962553024, -39800.68802042585 6633029.613392527 -0.0870895907282829, -39819.04352571722 6633041.354301411 -0.0871074348688126, -39850.79358892189 6633063.8439297 -0.087138444185257, -39870.80274333595 6633079.553596514 -0.0871580690145493, -39889.81970827328 6633095.593993159 -0.0871767774224281, -39908.91935566696 6633110.724882778 -0.0871953889727592, -39923.71951533586 6633123.292616231 -0.0872098505496979, -39938.933087282 6633139.250330416 -0.0872249752283096, -39989.865480305976 6633204.404106465 -0.0872761979699135)</t>
  </si>
  <si>
    <t>POLYGON ((-39488.927826300715 6632836.137924995, -39488.94239171737 6632836.1483346, -39507.201938418664 6632849.698405568, -39515.78528734111 6632855.228063091, -39527.93787067079 6632862.916432197, -39527.941963084486 6632862.919049197, -39555.055395483876 6632880.443584914, -39572.16412706017 6632890.774944645, -39572.17258710812 6632890.780168862, -39590.114182581434 6632902.10735135, -39603.67360688834 6632910.623331318, -39603.677098919456 6632910.625544668, -39631.13319375474 6632928.18755142, -39641.296169700945 6632930.318498005, -39641.34140421963 6632930.330213558, -39641.38534753651 6632930.346100684, -39641.42761586532 6632930.36602063, -39656.72387027841 6632938.468901412, -39656.73228616447 6632938.473463257, -39674.17828443826 6632948.147310719, -39674.21206843108 6632948.167830572, -39674.244125925565 6632948.190955009, -39691.02866454583 6632961.337465663, -39691.032701110504 6632961.340660973, -39697.20746968532 6632966.280475873, -39712.62865171405 6632975.516691922, -39728.409237457374 6632983.861399637, -39728.41592258323 6632983.86499992, -39743.794859451395 6632992.298610526, -39743.8124811439 6632992.308745331, -39763.57358819355 6633004.215019132, -39763.59122391616 6633004.226152665, -39782.60818885675 6633016.793886121, -39782.63356122504 6633016.8118106965, -39792.69673210566 6633024.400431422, -39800.938879472254 6633029.180876933, -39800.95743958698 6633029.192187927, -39819.31294487835 6633040.93309681, -39819.3325343892 6633040.946289171, -39851.08259759387 6633063.43591746, -39851.10235613768 6633063.450657776, -39871.11151055174 6633079.16032459, -39871.125118135365 6633079.171399591, -39890.13621126208 6633095.206843491, -39909.22983749366 6633110.332963098, -39909.24299442346 6633110.343755561, -39924.04315409236 6633122.9114890145, -39924.081405887606 6633122.947601408, -39939.29497783374 6633138.905315592, -39939.32700850691 6633138.942391999, -39990.259401530886 6633204.096168049, -39989.47155908107 6633204.712044882, -39938.554272001806 6633139.577592671, -39923.37579951659 6633123.656694769, -39908.60220353591 6633111.11151819, -39889.509226446586 6633095.985912839, -39889.49733347387 6633095.976190083, -39870.48707515784 6633079.941450328, -39850.49451924231 6633064.2448153915, -39818.76415597159 6633041.769141223, -39800.42775838012 6633030.040454382, -39792.16891575157 6633025.250325618, -39792.11872870753 6633025.217023315, -39782.04387668046 6633017.619593856, -39763.048578207934 6633005.06617911, -39743.305112957685 6632993.170534677, -39727.938418844315 6632984.74363784, -39712.14942594589 6632976.394484458, -39712.12624665736 6632976.381426698, -39696.66462733436 6632967.12099152, -39696.60919027877 6632967.082477196, -39690.41001610236 6632962.123137815, -39673.65869554454 6632949.0026452495, -39656.25153329274 6632939.350332454, -39641.02187765799 6632931.2827310255, -39630.83833027267 6632929.147471074, -39630.79447892871 6632929.136181454, -39630.7518287786 6632929.120970912, -39630.710729621074 6632929.101964199, -39630.67151853437 6632929.0793172, -39603.140002020686 6632911.469067752, -39589.58182979962 6632902.953874156, -39589.58083374051 6632902.953246946, -39571.6429447724 6632891.62840451, -39554.531932328406 6632881.295667443, -39554.51898219811 6632881.287574902, -39527.40117634088 6632863.760212438, -39515.24890788321 6632856.072042536, -39515.2454415342 6632856.069829526, -39506.64646608254 6632850.530104912, -39506.619292027055 6632850.51129947, -39488.35365871633 6632836.956711743, -39466.3675012428 6632821.830896519, -39466.93429293412 6632821.007035378, -39488.927826300715 6632836.137924995))</t>
  </si>
  <si>
    <t>['EV39 S90D1 m1281-1329']</t>
  </si>
  <si>
    <t>LINESTRING Z (-39989.36938556889 6633204.2387415515 -0.0872757434844971, -40014.50485224393 6633246.737524401 -0.0873015820980072)</t>
  </si>
  <si>
    <t>POLYGON ((-40014.935215463454 6633246.482990515, -40014.07448902441 6633246.992058287, -39988.93902234937 6633204.4932754375, -39989.79974878841 6633203.984207666, -40014.935215463454 6633246.482990515))</t>
  </si>
  <si>
    <t>['EV39 S90D1 m744-1275']</t>
  </si>
  <si>
    <t>LINESTRING Z (-40017.481420666794 6633251.698471817 -0.0873046144843102, -40032.694992593024 6633285.432914236 -0.0873207300901413, -40038.97885925218 6633304.284514409 -0.0873277336359024, -40042.782252228004 6633318.505896993 -0.0873321741819382, -40043.9398066022 6633331.569725185 -0.0873342007398605, -40047.5778346532 6633356.374462254 -0.0873392671346664, -40049.72757850692 6633365.304167598 -0.08734180778265, -40052.37341709726 6633376.714346651 -0.0873449593782425, -40054.19243111776 6633393.085473116 -0.0873477533459663, -40054.19243110949 6633400.526894233 -0.0873483046889305, -40056.672904780484 6633417.3941154415 -0.0873516798019409, -40059.15337844682 6633438.230094577 -0.0873553156852722, -40060.31093279924 6633471.468442249 -0.0873586758971214, -40062.29531172186 6633497.761463538 -0.0873622074723244, -40063.12213627843 6633503.879965354 -0.0873633399605751, -40067.09089417348 6633510.8252917295 -0.0873671919107437, -40070.23282748042 6633541.252435867 -0.0873719081282616, -40074.697680082056 6633576.805892334 -0.0873780250549316, -40078.00497830508 6633604.256468022 -0.0873825699090958, -40079.49326250737 6633614.178362848 -0.0873844474554062, -40081.14691162552 6633621.454419059 -0.0873862951993942, -40081.64300636039 6633624.927082246 -0.087386928498745, -40087.10004846228 6633639.148464833 -0.0873923674225807, -40089.08442739758 6633654.031307074 -0.0873949304223061, -40090.73807651515 6633661.638093109 -0.0873967632651329, -40095.20292913832 6633677.678489748 -0.0874014347791672, -40099.00632210716 6633697.687644316 -0.0874057561159134, -40099.99851157807 6633701.656402248 -0.0874068066477776, -40104.132634383976 6633711.7436619885 -0.0874108076095581, -40108.43212209479 6633727.7840586305 -0.0874152556061745, -40110.41650103859 6633734.06792535 -0.0874172449111938, -40124.30715366104 6633770.613571304 -0.0874306261539459)</t>
  </si>
  <si>
    <t>POLYGON ((-40033.150785972204 6633285.22736036, -40033.16933424254 6633285.274800354, -40039.4532009017 6633304.126400527, -40039.46188337495 6633304.1553335395, -40043.26527635077 6633318.376716124, -40043.27462842988 6633318.4189161, -40043.280300884566 6633318.4617661005, -40044.43659163156 6633331.511333357, -40048.06925241054 6633356.279475389, -40050.213690325814 6633365.18714068, -40050.21465485906 6633365.191222358, -40052.8604934494 6633376.601401411, -40052.8703589647 6633376.659130889, -40054.689372985194 6633393.030257354, -40054.69243111776 6633393.0854731165, -40054.692431109535 6633400.490326179, -40057.16758434832 6633417.3213684475, -40057.16939891769 6633417.3350089975, -40059.64987258403 6633438.170988133, -40059.653075512055 6633438.212692193, -40060.81027726922 6633471.440915343, -40062.792783549725 6633497.709124124, -40063.604587380025 6633503.716472563, -40067.52501574546 6633510.577222262, -40067.54843547301 6633510.6236585, -40067.56690495546 6633510.672276255, -40067.58022436706 6633510.7225495195, -40067.588249602006 6633510.773934376, -40070.72961715356 6633541.195599619, -40075.19378343991 6633576.743590984, -40075.19409014487 6633576.746083894, -40078.50052150477 6633604.1894646175, -40079.984963346265 6633614.085743705, -40081.63447805371 6633621.343608508, -40081.64188637247 6633621.383708381, -40082.130010423134 6633624.800576778, -40087.56686102249 6633638.969339086, -40087.58456980068 6633639.025018195, -40087.59566241275 6633639.082382974, -40089.57734671781 6633653.945015488, -40091.223614548806 6633661.517847604, -40095.684616881415 6633677.544411718, -40095.694133918434 6633677.585120246, -40099.49485873682 6633697.580238022, -40100.47483775516 6633701.500154143, -40104.595286953925 6633711.554050282, -40104.61558618242 6633711.614210992, -40108.91222592583 6633727.643982525, -40110.88897392735 6633733.903684594, -40124.77453140579 6633770.435925466, -40123.83977591628 6633770.791217142, -40109.94912329384 6633734.245571188, -40109.939709705584 6633734.218491033, -40107.95533076178 6633727.934624313, -40107.94917029634 6633727.913509627, -40103.6579184437 6633711.903839071, -40099.53585900812 6633701.846013955, -40099.51344032765 6633701.777670059, -40098.52125085674 6633697.808912127, -40098.51511732705 6633697.781013818, -40094.71563119792 6633677.792412626, -40090.25638877205 6633661.77217114, -40090.24948833291 6633661.744307931, -40088.59583921535 6633654.137521896, -40088.58881344711 6633654.097388933, -40086.61219629949 6633639.272760101, -40081.17619380018 6633625.106207994, -40081.159067146276 6633625.0527915815, -40081.14803161344 6633624.997792924, -40080.65482275171 6633621.545330849, -40079.00569607918 6633614.289173399, -40078.99879433078 6633614.252533074, -40077.510510128486 6633604.330638248, -40077.508568242265 6633604.316276463, -40074.201420239995 6633576.866947607, -40069.736724122566 6633541.3147372175, -40069.73547205189 6633541.30379322, -40066.6043845453 6633510.9816820985, -40062.68801470645 6633504.128034822, -40062.66619317676 6633504.085186912, -40062.64858843214 6633504.040441013, -40062.63536329006 6633503.994210957, -40062.62664006308 6633503.946924301, -40061.79981550651 6633497.828422485, -40061.79672966155 6633497.799092372, -40059.81235073894 6633471.506071083, -40059.81123573401 6633471.485844634, -40058.654409906485 6633438.268416035, -40056.177224067025 6633417.460054645, -40053.69775154166 6633400.599641227, -40053.69243110949 6633400.526894232, -40053.69243111773 6633393.113165684, -40051.879714577546 6633376.798716543, -40049.24097585827 6633365.419155684, -40047.09172283431 6633356.491489172, -40047.08312719591 6633356.447019347, -40043.445099144905 6633331.642282277, -40043.441757945635 6633331.613856077, -40042.28802931357 6633318.593204119, -40038.499739166735 6633304.428292982, -40032.22871527957 6633285.615221126, -40017.025627287614 6633251.9040256925, -40017.937214045975 6633251.492917942, -40033.150785972204 6633285.22736036))</t>
  </si>
  <si>
    <t>['EV39 S90D1 m2147-2251']</t>
  </si>
  <si>
    <t>LINESTRING Z (-39298.88819341746 6632616.035742967 -0.0865666121244431, -39300.78988991259 6632617.027932451 -0.08656857162714, -39306.24693201983 6632626.619097453 -0.086575485765934, -39312.53079868853 6632638.525371245 -0.0865835919976234, -39319.889537288225 6632650.597009956 -0.0865927115082741, -39326.50413378165 6632661.924506551 -0.0866009742021561, -39336.591393437004 6632678.543680392 -0.0866134092211723, -39344.28086186061 6632691.690191041 -0.0866229459643364, -39346.34792326286 6632697.395280568 -0.0866259038448334, -39348.33230220631 6632705.002066602 -0.0866291373968124)</t>
  </si>
  <si>
    <t>POLYGON ((-39301.0211729174 6632616.584640029, -39301.062362710334 6632616.6086967485, -39301.10107264678 6632616.636569058, -39301.13695041606 6632616.668003282, -39301.169669483876 6632616.702713329, -39301.19893206419 6632616.7403832935, -39301.22447182955 6632616.780670328, -39306.68151393679 6632626.37183533, -39306.6891243971 6632626.3857181445, -39312.965775204546 6632638.278319779, -39320.31646707583 6632650.336758238, -39320.32131238689 6632650.344878513, -39326.933766084876 6632661.6687055705, -39337.01882088316 6632678.28424682, -39337.02298723956 6632678.291238736, -39344.71245566316 6632691.437749385, -39344.7335721727 6632691.477933242, -39344.75095717348 6632691.519866654, -39346.81801857573 6632697.224956181, -39346.8317318994 6632697.26906962, -39348.816110842854 6632704.8758556545, -39347.84849356977 6632705.1282775495, -39345.86995127139 6632697.543865322, -39343.82627807299 6632691.903327238, -39336.161854360565 6632678.799634967, -39326.076706335494 6632662.183940123, -39326.072358682984 6632662.176637993, -39319.46014644877 6632650.853224442, -39312.10386890093 6632638.785622963, -39312.08860631126 6632638.758750553, -39305.80843496362 6632626.8594784215, -39300.428101840596 6632617.403135273, -39298.65691041265 6632616.47903539, -39299.11947642227 6632615.592450545, -39301.0211729174 6632616.584640029))</t>
  </si>
  <si>
    <t>['EV39 S90D1 m2258-2488']</t>
  </si>
  <si>
    <t>LINESTRING Z (-39199.75192850991 6632402.053544496 -0.0864299237728119, -39204.21678114706 6632406.187667344 -0.0864350497722626, -39209.50845833949 6632418.093941137 -0.0864426046609879, -39222.73765132122 6632447.198165968 -0.086461253464222, -39235.47074956552 6632475.310201313 -0.0864791199564934, -39257.46428289707 6632523.100661406 -0.0865095630288124, -39273.00858465163 6632555.842914339 -0.0865306854248047, -39286.40314254502 6632585.277869002 -0.0865490064024925, -39296.945155702066 6632608.552980618 -0.0865633562207222)</t>
  </si>
  <si>
    <t>POLYGON ((-39204.55648516437 6632405.820787008, -39204.59187955376 6632405.857060046, -39204.623420188116 6632405.896729738, -39204.650783019315 6632405.939388519, -39204.67368692207 6632405.984598112, -39209.96451090511 6632417.8889521845, -39223.19283456068 6632446.991264498, -39223.19310941456 6632446.991870245, -39235.92558744189 6632475.10253628, -39257.91724520695 6632522.888920894, -39273.4602676003 6632555.628479002, -39273.46368029154 6632555.6358202575, -39286.858238184934 6632585.07077492, -39286.85860242685 6632585.071577228, -39297.400615583894 6632608.346688843, -39296.48969582024 6632608.759272392, -39285.94786443938 6632585.484562109, -39272.555165634476 6632556.053692851, -39257.0125999484 6632523.315096743, -39257.01007347872 6632523.309692036, -39235.01654014717 6632475.519231943, -39235.01529147218 6632475.516497036, -39222.282330359245 6632447.404764448, -39209.053275100036 6632418.300842607, -39209.05155256448 6632418.297010369, -39203.80163357725 6632406.484692538, -39199.4122244926 6632402.420424832, -39200.09163252723 6632401.68666416, -39204.55648516437 6632405.820787008))</t>
  </si>
  <si>
    <t>['EV39 S90D1 m464-744']</t>
  </si>
  <si>
    <t>LINESTRING Z (-40123.893741379026 6633770.613571304 -0.0874302908778191, -40128.27591156273 6633772.845997643 -0.0874340012669563, -40138.445853657555 6633801.288762818 -0.0874437689781189, -40144.233625583234 6633816.998429629 -0.0874492600560188, -40155.89185189933 6633840.314882477 -0.0874598473310471, -40165.06960453035 6633858.753070363 -0.0874681323766708, -40188.79946944432 6633904.311104119 -0.0874892398715019, -40198.55599927122 6633921.3436902445 -0.0874977633357048, -40203.84767646645 6633929.694618391 -0.0875023305416107, -40208.97398874792 6633939.61651322 -0.0875068083405495, -40215.8366326082 6633951.605469473 -0.0875127390027046, -40221.293674715795 6633960.948587102 -0.0875174328684807, -40223.77414840064 6633965.413439777 -0.087519571185112, -40226.25462208339 6633971.283894218 -0.0875217467546463, -40228.073636119254 6633974.839239865 -0.0875233188271523, -40232.04239401559 6633981.040424132 -0.0875266939401627, -40235.680422086734 6633987.241608401 -0.087529793381691, -40240.972099279985 6633997.080820772 -0.0875343158841133, -40242.87379577104 6634001.132261164 -0.087535947561264, -40247.007918577525 6634010.22733142 -0.0875395089387894, -40249.65375717345 6634015.353643749 -0.0875417590141296, -40251.307406297536 6634017.999482369 -0.0875431522727013)</t>
  </si>
  <si>
    <t>POLYGON ((-40128.502874454956 6633772.4004778955, -40128.54391332328 6633772.42388977, -40128.582559145194 6633772.451070738, -40128.61846684391 6633772.481778095, -40128.651315791736 6633772.515737647, -40128.68081267326 6633772.552646163, -40128.70669410437 6633772.592174078, -40128.72872898412 6633772.63396844, -40128.74672055815 6633772.677656056, -40138.91585475085 6633801.118161733, -40144.69322367337 6633816.799591821, -40156.33906549566 6633840.091275681, -40156.33946622273 6633840.092078936, -40165.51517429572 6633858.5261592865, -40189.23830098037 6633904.071256582, -40198.984316689755 6633921.085487553, -40204.270022986966 6633929.4269928755, -40204.29188942073 6633929.465108367, -40209.41326686063 6633939.377451889, -40216.26948490944 6633951.355182326, -40221.725425523495 6633960.696414066, -40221.73075335483 6633960.7057656385, -40224.211227039676 6633965.170618313, -40224.23472150948 6633965.218831423, -40226.70807660235 6633971.072438534, -40228.50777397452 6633974.590028884, -40232.46352971699 6633980.770897285, -40232.47365646948 6633980.787416828, -40236.11168454063 6633986.988601097, -40236.120776404285 6633987.00477919, -40241.412453597535 6633996.843991561, -40241.42471775285 6633996.868367205, -40243.32641424391 6634000.919807597, -40243.328979010475 6634000.925359693, -40247.45794477007 6634010.009084447, -40250.08864490195 6634015.106066001, -40251.73140545051 6634017.7344829, -40250.88340714456 6634018.264481838, -40249.229758020476 6634015.618643218, -40249.209446844034 6634015.582965207, -40246.56360824811 6634010.456652879, -40246.55273533809 6634010.434232891, -40242.4198779389 6634001.34194653, -40240.52528019377 6633997.305629553, -40235.24446355747 6633987.486611031, -40231.616034864404 6633981.301789338, -40227.652500417855 6633975.108766711, -40227.62851203695 6633975.066977765, -40225.80949800109 6633971.511632118, -40225.79404897455 6633971.478502572, -40223.32402775638 6633965.63278563, -40220.85920967476 6633961.196113042, -40215.4048818005 6633951.857642509, -40215.40269532014 6633951.85386116, -40208.54005145986 6633939.864904907, -40208.52977579364 6633939.846023244, -40203.41355847644 6633929.943667056, -40198.13365275071 6633921.61131576, -40198.12213715178 6633921.592213204, -40188.36560732488 6633904.5596270785, -40188.35601927088 6633904.542084516, -40164.62615435691 6633858.98405076, -40164.62199020695 6633858.975873903, -40155.44443752363 6633840.538087714, -40143.786411986905 6633817.222036425, -40143.76445402427 6633817.171282307, -40137.97668209859 6633801.461615496, -40137.97504466213 6633801.457104404, -40127.87197343474 6633773.201360194, -40123.6667784868 6633771.059091051, -40124.120704271256 6633770.168051557, -40128.502874454956 6633772.4004778955))</t>
  </si>
  <si>
    <t>['EV39 S90D1 m3035-3147']</t>
  </si>
  <si>
    <t>LINESTRING Z (-39351.39155409718 6631787.474842482 -0.0864487141370773, -39338.079678596 6631816.579067305 -0.0864413008093834, -39334.44165050483 6631827.823881443 -0.0864399969577789, -39327.579006607295 6631848.659860573 -0.0864374786615372, -39322.70074166544 6631865.030987035 -0.086436040699482, -39320.30295042123 6631874.539469576 -0.0864356532692909, -39316.58223986649 6631892.56424518 -0.0864357650279999)</t>
  </si>
  <si>
    <t>POLYGON ((-39338.546458006334 6631816.760618981, -39334.917372764256 6631827.977791585, -39334.916554483556 6631827.980298229, -39328.05614534972 6631848.809492293, -39323.18296069065 6631865.16356967, -39320.79042983038 6631874.651192069, -39317.071916128174 6631892.665325142, -39316.092563604805 6631892.463165218, -39319.81327415955 6631874.438389614, -39319.81812817629 6631874.417210054, -39322.215919420494 6631864.908727512, -39322.221562913735 6631864.888201447, -39327.09982785559 6631848.517074985, -39327.10410262857 6631848.503443787, -39333.96633407419 6631827.668716921, -39337.60395633657 6631816.425157162, -39337.62498323334 6631816.371095847, -39350.93685873452 6631787.266871025, -39351.846249459835 6631787.68281394, -39338.546458006334 6631816.760618981))</t>
  </si>
  <si>
    <t>['EV39 S90D1 m2936-3034']</t>
  </si>
  <si>
    <t>LINESTRING Z (-39314.51517845702 6631893.225704835 -0.0864338055253029, -39310.05032578483 6631921.007010348 -0.0864352807402611, -39307.56985206751 6631945.977112327 -0.0864381641149521, -39306.577662555734 6631978.0579055995 -0.0864440649747849, -39306.24693271844 6631989.468084651 -0.0864461809396744)</t>
  </si>
  <si>
    <t>POLYGON ((-39310.546385305446 6631921.071451312, -39308.0690866471 6631946.00959103, -39307.0774385917 6631978.072877213, -39306.74672281078 6631989.482571321, -39305.747142626096 6631989.4535979815, -39306.07787246339 6631978.04341893, -39306.07790151708 6631978.042449072, -39307.07009102885 6631945.961655799, -39307.072300955224 6631945.927686719, -39309.55277467255 6631920.957584741, -39309.55666059919 6631920.9276713, -39314.02151327138 6631893.146365787, -39315.00884364266 6631893.305043883, -39310.546385305446 6631921.071451312))</t>
  </si>
  <si>
    <t>['EV39 S90D1 m2494-2584']</t>
  </si>
  <si>
    <t>LINESTRING Z (-39181.06569347798 6632311.268206822 -0.0863924920558929, -39181.72715312592 6632313.5833156165 -0.0863936394453049, -39183.87689696066 6632340.5377965635 -0.0864015519618988, -39184.04226186802 6632345.829473805 -0.0864028558135033, -39187.34956010536 6632360.381586217 -0.0864091664552689, -39190.98758816905 6632373.941509149 -0.086415559053421, -39194.12952149846 6632384.690228548 -0.086420863866806, -39198.42900921451 6632396.265772515 -0.0864274352788925)</t>
  </si>
  <si>
    <t>POLYGON ((-39182.20791510016 6632313.445955054, -39182.21916932363 6632313.494320891, -39182.225570473085 6632313.54356454, -39184.37531430783 6632340.498045487, -39184.376652998726 6632340.522179188, -39184.54051214921 6632345.765672208, -39187.83498522837 6632360.261353924, -39191.46906715866 6632373.80656854, -39194.604438928814 6632384.532840499, -39198.897721851084 6632396.091679252, -39197.960296577934 6632396.439865778, -39193.66080886188 6632384.864321811, -39193.64960427522 6632384.830512042, -39190.507670945815 6632374.081792643, -39190.50466675008 6632374.071073431, -39186.866638686384 6632360.511150499, -39186.86199367719 6632360.492396768, -39183.554695439845 6632345.940284356, -39183.54631141865 6632345.892980905, -39183.54250582995 6632345.84509118, -39183.3775185174 6632340.565496973, -39181.232698364576 6632313.672751424, -39180.58493150374 6632311.405567384, -39181.546455452226 6632311.130846259, -39182.20791510016 6632313.445955054))</t>
  </si>
  <si>
    <t>['EV39 S90D1 m2590-2925']</t>
  </si>
  <si>
    <t>LINESTRING Z (-39307.56985200732 6632000.547533875 -0.0864498764276505, -39305.42010811588 6632025.352270945 -0.0864530205726624, -39301.285985276336 6632046.022885163 -0.0864532813429832, -39295.49821331189 6632065.039850247 -0.0864515602588654, -39285.41095361498 6632087.529478516 -0.0864463150501251, -39270.85884127347 6632112.168850666 -0.0864371508359909, -39254.81844472082 6632134.823843844 -0.0864261612296104, -39238.77804816677 6632157.809566856 -0.0864153280854225, -39228.19469373743 6632174.180693317 -0.0864084810018539, -39215.130865612184 6632196.835686499 -0.0864006131887436, -39203.88605152606 6632219.656044597 -0.0863946154713631, -39195.94853569381 6632242.311037782 -0.0863918364048004, -39189.33393915766 6632268.769423984 -0.0863912031054497, -39186.026640884345 6632287.3729767855 -0.0863920673727989, -39184.290309281205 6632305.563117299 -0.0863943547010422)</t>
  </si>
  <si>
    <t>POLYGON ((-39305.91824085045 6632025.395442449, -39305.91039845374 6632025.450329012, -39301.7762756142 6632046.120943231, -39301.76432221667 6632046.168465971, -39295.97655025223 6632065.185431055, -39295.95442478761 6632065.244474511, -39285.8671650907 6632087.73410278, -39285.84147439114 6632087.78374582, -39271.28936204963 6632112.423117969, -39271.266912045634 6632112.457776685, -39255.22750053133 6632135.111378624, -39239.19314318317 6632158.088447516, -39228.62149135888 6632174.44147151, -39215.57216066141 6632197.071323583, -39204.3479261671 6632219.849917214, -39196.428023394976 6632242.45463979, -39189.8231981778 6632268.8739407165, -39186.522458571315 6632287.440601016, -39184.78804683774 6632305.610628611, -39183.79257172467 6632305.515605987, -39185.52890332781 6632287.325465473, -39185.53435963044 6632287.285460118, -39188.84165790375 6632268.681907317, -39188.84886790752 6632268.648156172, -39195.463464443674 6632242.189769969, -39195.47666023843 6632242.145709155, -39203.414176070684 6632219.49071597, -39203.437545470806 6632219.435041614, -39214.68235955693 6632196.614683516, -39214.697720192664 6632196.585916514, -39227.76154831791 6632173.9309233315, -39227.77479490138 6632173.909243566, -39238.35814933072 6632157.538117105, -39238.3680168836 6632157.523429919, -39254.408413437646 6632134.537706907, -39254.41037394865 6632134.534917825, -39270.438829279396 6632111.8967900835, -39284.96619787656 6632087.299313593, -39295.02907396191 6632064.8640487855, -39300.800505858424 6632045.900772496, -39304.924372670066 6632025.281438418, -39307.07171927275 6632000.504362372, -39308.06798474189 6632000.590705379, -39305.91824085045 6632025.395442449))</t>
  </si>
  <si>
    <t>['EV39 S90D1 m2379-2560']</t>
  </si>
  <si>
    <t>LINESTRING Z (-39167.505770610645 6632336.73440354 -0.0863850265741348, -39167.5057705947 6632352.113340524 -0.0863883793354034, -39172.301353046554 6632365.673263455 -0.0863959193229675, -39175.60865128739 6632377.166124963 -0.08640156686306, -39180.90032847528 6632393.702616346 -0.08641017973423, -39189.58198636584 6632415.861514792 -0.0864231884479523, -39198.098279345315 6632436.697493937 -0.0864356905221939, -39222.86167495686 6632491.185233034 -0.0864704921841621, -39226.044949518284 6632498.585312926 -0.0864750146865845, -39230.05504864256 6632505.94405159 -0.0864803045988083)</t>
  </si>
  <si>
    <t>POLYGON ((-39168.005770594784 6632352.027530034, -39172.772741989145 6632365.506552733, -39172.78185326031 6632365.534990014, -39176.08711154645 6632377.020762679, -39181.37168483648 6632393.535054381, -39190.04619931708 6632415.675720124, -39198.55746353806 6632436.499395898, -39223.31687002324 6632490.978357585, -39223.32098161113 6632490.987654196, -39226.495090489785 6632498.366426852, -39230.4940906581 6632505.7047983585, -39229.616006627024 6632506.183304821, -39225.605907502744 6632498.824566158, -39225.58564286402 6632498.782891764, -39222.40437684224 6632491.387481075, -39197.643084278934 6632436.904369386, -39197.63544737641 6632436.88666732, -39189.11915439693 6632416.050688175, -39189.116441905164 6632416.043910941, -39180.43478401461 6632393.885012495, -39180.42411640123 6632393.855004208, -39175.13243921333 6632377.318512825, -39175.12815107363 6632377.304398404, -39171.82498369328 6632365.825891636, -39167.034381652105 6632352.280051246, -39167.01855492421 6632352.225683261, -39167.00897695779 6632352.169874428, -39167.0057705947 6632352.113340523, -39167.005770610645 6632336.734403539, -39168.005770610645 6632336.734403541, -39168.005770594784 6632352.027530034))</t>
  </si>
  <si>
    <t>['FV440 S2D1 m996-1023']</t>
  </si>
  <si>
    <t>LINESTRING Z (-34107.407750934246 6574596.362104614 45.923447251319885, -34107.97552206949 6574596.6223845575 45.92344660311937, -34112.10107018752 6574599.29909064 45.92344167083502, -34115.46772718604 6574601.478587266 45.923437647521496, -34120.342208926566 6574604.169334283 45.92343194037676, -34125.793809365015 6574606.403126853 45.923425763845444, -34130.242175361724 6574607.581788102 45.923420906066895, -34132.5905999064 6574608.187490214 45.88752335051775, -34133.46239071572 6574611.289480638 45.889868584730145, -34134.1941696814 6574612.847127148 45.92341540008783, -34133.653086456936 6574613.713781431 45.891730705561635, -34131.7637785573 6574613.894100796 45.84003557565737, -34131.45658515941 6574613.659981362 45.74809995563698, -34129.91498981428 6574612.967306764 46.90723572142458, -34129.13575943175 6574612.662422135 46.92342060059309, -34128.378561349586 6574612.425194193 46.9908824425087, -34126.57247458724 6574612.168303089 47.92342335730791, -34124.1318167944 6574612.106736999 48.30872386070299, -34121.65788478672 6574612.493112427 48.40225527469111, -34119.993006261066 6574612.428148292 48.41475198832464, -34118.115850085975 6574612.28304042 50.80441194037676, -34116.73036670894 6574612.365255435 50.82311633363533, -34115.78784239991 6574612.13380792 50.88275935436487, -34113.407845551614 6574611.479876456 50.92307596206808, -34112.37275551213 6574610.922994172 50.923025176512716, -34113.365705153905 6574609.531699293 50.922937550663946, -34113.239191682194 6574609.2704677945 50.92296375182963, -34113.16021991754 6574609.10740219 50.92297987848949, -34112.63308223302 6574608.018936415 50.92311771295452, -34112.32706234162 6574607.38704902 50.923176204692844, -34111.622205751366 6574605.931620802 50.92330932227993, -34111.491401354666 6574605.661527816 50.923314530896185, -34110.941459702095 6574604.525974957 50.92344140261412, -34110.731057866826 6574604.091525134 50.73613373789024, -34110.60683891887 6574603.835030921 50.62555593905592, -34110.57123105961 6574603.785982972 50.605745991209986, -34110.207092297846 6574603.284406168 50.403142497849466, -34109.96032436227 6574602.944500781 50.26467384057617, -34106.50866689312 6574598.426259337 45.747448601497176)</t>
  </si>
  <si>
    <t>POLYGON Z ((-34107.407750934246 6574596.362104614 45.923447251319885, -34107.97552206949 6574596.6223845575 45.92344660311937, -34112.10107018752 6574599.29909064 45.92344167083502, -34115.46772718604 6574601.478587266 45.923437647521496, -34120.342208926566 6574604.169334283 45.92343194037676, -34125.793809365015 6574606.403126853 45.923425763845444, -34130.242175361724 6574607.581788102 45.923420906066895, -34132.5905999064 6574608.187490214 45.88752335051775, -34133.46239071572 6574611.289480638 45.889868584730145, -34134.1941696814 6574612.847127148 45.92341540008783, -34133.653086456936 6574613.713781431 45.891730705561635, -34131.7637785573 6574613.894100796 45.84003557565737, -34131.45658515941 6574613.659981362 45.74809995563698, -34129.91498981428 6574612.967306764 46.90723572142458, -34129.13575943175 6574612.662422135 46.92342060059309, -34128.378561349586 6574612.425194193 46.9908824425087, -34126.57247458724 6574612.168303089 47.92342335730791, -34124.1318167944 6574612.106736999 48.30872386070299, -34121.65788478672 6574612.493112427 48.40225527469111, -34119.993006261066 6574612.428148292 48.41475198832464, -34118.115850085975 6574612.28304042 50.80441194037676, -34116.73036670894 6574612.365255435 50.82311633363533, -34115.78784239991 6574612.13380792 50.88275935436487, -34113.407845551614 6574611.479876456 50.92307596206808, -34112.37275551213 6574610.922994172 50.923025176512716, -34113.365705153905 6574609.531699293 50.922937550663946, -34113.239191682194 6574609.2704677945 50.92296375182963, -34113.16021991754 6574609.10740219 50.92297987848949, -34112.63308223302 6574608.018936415 50.92311771295452, -34112.32706234162 6574607.38704902 50.923176204692844, -34111.622205751366 6574605.931620802 50.92330932227993, -34111.491401354666 6574605.661527816 50.923314530896185, -34110.941459702095 6574604.525974957 50.92344140261412, -34110.731057866826 6574604.091525134 50.73613373789024, -34110.60683891887 6574603.835030921 50.62555593905592, -34110.57123105961 6574603.785982972 50.605745991209986, -34110.207092297846 6574603.284406168 50.403142497849466, -34109.96032436227 6574602.944500781 50.26467384057617, -34106.50866689312 6574598.426259337 45.747448601497176, -34107.407750934246 6574596.362104614 45.923447251319885))</t>
  </si>
  <si>
    <t>['FV440 S2D1 m976-988']</t>
  </si>
  <si>
    <t>LINESTRING Z (-34086.875306997565 6574589.241569422 48.326457064997676, -34088.62651193654 6574589.922588553 47.58497609804439, -34090.437505485956 6574590.71358426 47.44528104168415, -34092.56281971792 6574591.498102685 47.43196767239952, -34096.47368315421 6574592.583286727 47.55896240321684, -34097.045893150615 6574592.809252481 47.57904176246691, -34096.65019452828 6574595.9722254295 47.81128730053091, -34096.64327432413 6574596.035569787 47.92345828562975, -34096.6066483981 6574596.370835412 48.075383233475684, -34096.41469060106 6574598.127990689 48.91135895035362, -34096.1534796491 6574598.095893258 48.91116722602511, -34095.98120250739 6574598.079804663 48.91342740483904, -34095.89144404279 6574598.07142293 48.91235450169658, -34095.628807465546 6574598.054600908 48.911144769917485, -34095.382237333106 6574598.046014685 48.91328802323723, -34095.102619938436 6574598.043954828 48.91270230635929, -34094.839516516775 6574598.05013794 48.91382757458019, -34094.77733204898 6574598.053415982 48.91480863418484, -34094.57670563867 6574598.063989613 48.911675835350515, -34094.31441023946 6574598.085494726 48.91196709612083, -34094.17694205674 6574598.100811454 48.91389023768187, -34094.05285334494 6574598.11463716 48.913253356891154, -34093.79225779255 6574598.151391715 48.9126386102109, -34093.5817683714 6574598.187364022 48.91461681882715, -34093.532843055786 6574598.195725839 48.914961863530635, -34093.274830877315 6574598.247604158 48.91362711685038, -34093.018441903405 6574598.306981132 48.915044355268954, -34092.99360016675 6574598.313503142 48.91545138507128, -34092.76389123697 6574598.373805689 48.914725601138116, -34092.511397429276 6574598.448022023 48.915280839556694, -34092.415007194155 6574598.479434655 48.91645392896366, -34092.26117457764 6574598.529567893 48.91683507052469, -34092.01343450474 6574598.618372781 48.916712294042114, -34091.84577137185 6574598.684049155 48.9179784505043, -34091.76838848507 6574598.714361103 48.91791051755953, -34091.52624433744 6574598.817450904 48.917291741076944, -34091.29469543742 6574598.9241079055 48.918423942242626, -34091.05148311367 6574599.044582107 48.91793615830946, -34090.81927021663 6574599.168430376 48.91853435947514, -34090.76062767103 6574599.201937134 48.9191054116292, -34090.741304808646 6574599.212978964 48.92214443398094, -34090.59076555143 6574599.298993681 48.92183956064081, -34090.3661632085 6574599.436163661 48.921877754355904, -34090.229303746135 6574599.525325144 48.92221286611461, -34090.14565518475 6574599.57982168 48.92204094062042, -34089.92942875007 6574599.729845675 48.92194111943436, -34089.73664769053 6574599.872103656 48.92228227589655, -34089.71766745194 6574599.886110206 48.92228229079771, -34089.51055065263 6574600.0484804 48.92206145471048, -34089.30825589737 6574600.216819204 48.922286618623254, -34089.26879099966 6574600.251655764 48.92242064842558, -34089.11095328187 6574600.390982847 48.92224076763487, -34088.918811262585 6574600.570823389 48.92233091664648, -34088.8273599213 6574600.661564148 48.9225739837017, -34088.7319935736 6574600.75618943 48.92246105820751, -34088.55065858492 6574600.946922049 48.92243519231796, -34088.413658315665 6574601.099702638 48.92269828917551, -34088.374959943234 6574601.1428588675 48.92270631897783, -34088.2050474796 6574601.343835154 48.92259443818712, -34088.04106575204 6574601.549677641 48.922794549945834, -34088.0275015349 6574601.567223846 48.922943557396415, -34087.43026320182 6574602.339768459 48.92294395227719, -34086.83138282003 6574603.114436888 48.923047354608535, -34086.232263970305 6574603.889415131 48.92314875693989, -34085.633178239106 6574604.664350021 48.92327415927124, -34085.034154029214 6574605.43920586 48.923331561602595, -34084.44540313457 6574606.200771598 48.92340695648336, -34084.431800758815 6574606.218885402 48.923441963933946, -34084.293442293885 6574606.403137178 48.923439053340914, -34084.202516449615 6574606.531569084 48.92344411294555, -34084.14721325564 6574606.609683267 48.92343915019846, -34084.00683152443 6574606.820246054 48.92343623215485, -34083.874428036856 6574607.031436588 48.923445314111234, -34083.744045297964 6574607.252761088 48.92349538116646, -34083.6218478292 6574607.474372472 48.92349144822168, -34083.578950894764 6574607.557602186 48.92348647057342, -34083.50590945163 6574607.699321669 48.92348850782633, -34083.39632259449 6574607.927432717 48.92348855998039, -34083.318278577295 6574608.102280396 48.92348158978272, -34083.29317296727 6574608.158526031 48.9234255972333, -34083.196541463956 6574608.392419565 48.9234166344862, -34083.10650407197 6574608.628929843 48.92343166428852, -34082.80305702775 6574608.236452449 48.922048081521034, -34082.42292590509 6574607.744793205 48.924665603061676, -34082.2637628112 6574607.538932842 48.924951819128516, -34081.932414509356 6574607.110368279 48.92576427361393, -34081.81941805512 6574606.964219062 48.862514430076125, -34081.66498237569 6574606.764471847 48.77605563869238, -34081.617193367565 6574606.702662384 48.8029207057476, -34081.466865275754 6574606.508230097 48.88743290691328, -34081.3997360894 6574606.421404441 48.92574000377083, -34081.17890692863 6574606.135785292 48.91146630179405, -34081.38978313445 6574604.535181533 48.84763551786089, -34081.7208964536 6574602.617706726 48.77070170412541, -34082.12841036334 6574600.71506272 48.69376980098295, -34082.52929977316 6574599.1304862425 48.629145815884115, -34082.61169593409 6574598.830143637 48.61683181588411, -34082.88149407308 6574597.895448385 48.57836779353237, -34083.16994412895 6574596.966243274 48.53989974882889, -34083.80231344048 6574595.1259777155 48.46296359981728, -34084.97841572575 6574592.209607771 48.33863419003534, -34085.04417587933 6574592.070372071 48.33254616023302)</t>
  </si>
  <si>
    <t>POLYGON Z ((-34086.875306997565 6574589.241569422 48.326457064997676, -34088.62651193654 6574589.922588553 47.58497609804439, -34090.437505485956 6574590.71358426 47.44528104168415, -34092.56281971792 6574591.498102685 47.43196767239952, -34096.47368315421 6574592.583286727 47.55896240321684, -34097.045893150615 6574592.809252481 47.57904176246691, -34096.65019452828 6574595.9722254295 47.81128730053091, -34096.64327432413 6574596.035569787 47.92345828562975, -34096.6066483981 6574596.370835412 48.075383233475684, -34096.41469060106 6574598.127990689 48.91135895035362, -34096.1534796491 6574598.095893258 48.91116722602511, -34095.98120250739 6574598.079804663 48.91342740483904, -34095.89144404279 6574598.07142293 48.91235450169658, -34095.628807465546 6574598.054600908 48.911144769917485, -34095.382237333106 6574598.046014685 48.91328802323723, -34095.102619938436 6574598.043954828 48.91270230635929, -34094.839516516775 6574598.05013794 48.91382757458019, -34094.77733204898 6574598.053415982 48.91480863418484, -34094.57670563867 6574598.063989613 48.911675835350515, -34094.31441023946 6574598.085494726 48.91196709612083, -34094.17694205674 6574598.100811454 48.91389023768187, -34094.05285334494 6574598.11463716 48.913253356891154, -34093.79225779255 6574598.151391715 48.9126386102109, -34093.5817683714 6574598.187364022 48.91461681882715, -34093.532843055786 6574598.195725839 48.914961863530635, -34093.274830877315 6574598.247604158 48.91362711685038, -34093.018441903405 6574598.306981132 48.915044355268954, -34092.99360016675 6574598.313503142 48.91545138507128, -34092.76389123697 6574598.373805689 48.914725601138116, -34092.511397429276 6574598.448022023 48.915280839556694, -34092.415007194155 6574598.479434655 48.91645392896366, -34092.26117457764 6574598.529567893 48.91683507052469, -34092.01343450474 6574598.618372781 48.916712294042114, -34091.84577137185 6574598.684049155 48.9179784505043, -34091.76838848507 6574598.714361103 48.91791051755953, -34091.52624433744 6574598.817450904 48.917291741076944, -34091.29469543742 6574598.9241079055 48.918423942242626, -34091.05148311367 6574599.044582107 48.91793615830946, -34090.81927021663 6574599.168430376 48.91853435947514, -34090.76062767103 6574599.201937134 48.9191054116292, -34090.741304808646 6574599.212978964 48.92214443398094, -34090.59076555143 6574599.298993681 48.92183956064081, -34090.3661632085 6574599.436163661 48.921877754355904, -34090.229303746135 6574599.525325144 48.92221286611461, -34090.14565518475 6574599.57982168 48.92204094062042, -34089.92942875007 6574599.729845675 48.92194111943436, -34089.73664769053 6574599.872103656 48.92228227589655, -34089.71766745194 6574599.886110206 48.92228229079771, -34089.51055065263 6574600.0484804 48.92206145471048, -34089.30825589737 6574600.216819204 48.922286618623254, -34089.26879099966 6574600.251655764 48.92242064842558, -34089.11095328187 6574600.390982847 48.92224076763487, -34088.918811262585 6574600.570823389 48.92233091664648, -34088.8273599213 6574600.661564148 48.9225739837017, -34088.7319935736 6574600.75618943 48.92246105820751, -34088.55065858492 6574600.946922049 48.92243519231796, -34088.413658315665 6574601.099702638 48.92269828917551, -34088.374959943234 6574601.1428588675 48.92270631897783, -34088.2050474796 6574601.343835154 48.92259443818712, -34088.04106575204 6574601.549677641 48.922794549945834, -34088.0275015349 6574601.567223846 48.922943557396415, -34087.43026320182 6574602.339768459 48.92294395227719, -34086.83138282003 6574603.114436888 48.923047354608535, -34086.232263970305 6574603.889415131 48.92314875693989, -34085.633178239106 6574604.664350021 48.92327415927124, -34085.034154029214 6574605.43920586 48.923331561602595, -34084.44540313457 6574606.200771598 48.92340695648336, -34084.431800758815 6574606.218885402 48.923441963933946, -34084.293442293885 6574606.403137178 48.923439053340914, -34084.202516449615 6574606.531569084 48.92344411294555, -34084.14721325564 6574606.609683267 48.92343915019846, -34084.00683152443 6574606.820246054 48.92343623215485, -34083.874428036856 6574607.031436588 48.923445314111234, -34083.744045297964 6574607.252761088 48.92349538116646, -34083.6218478292 6574607.474372472 48.92349144822168, -34083.578950894764 6574607.557602186 48.92348647057342, -34083.50590945163 6574607.699321669 48.92348850782633, -34083.39632259449 6574607.927432717 48.92348855998039, -34083.318278577295 6574608.102280396 48.92348158978272, -34083.29317296727 6574608.158526031 48.9234255972333, -34083.196541463956 6574608.392419565 48.9234166344862, -34083.10650407197 6574608.628929843 48.92343166428852, -34082.80305702775 6574608.236452449 48.922048081521034, -34082.42292590509 6574607.744793205 48.924665603061676, -34082.2637628112 6574607.538932842 48.924951819128516, -34081.932414509356 6574607.110368279 48.92576427361393, -34081.81941805512 6574606.964219062 48.862514430076125, -34081.66498237569 6574606.764471847 48.77605563869238, -34081.617193367565 6574606.702662384 48.8029207057476, -34081.466865275754 6574606.508230097 48.88743290691328, -34081.3997360894 6574606.421404441 48.92574000377083, -34081.17890692863 6574606.135785292 48.91146630179405, -34081.38978313445 6574604.535181533 48.84763551786089, -34081.7208964536 6574602.617706726 48.77070170412541, -34082.12841036334 6574600.71506272 48.69376980098295, -34082.52929977316 6574599.1304862425 48.629145815884115, -34082.61169593409 6574598.830143637 48.61683181588411, -34082.88149407308 6574597.895448385 48.57836779353237, -34083.16994412895 6574596.966243274 48.53989974882889, -34083.80231344048 6574595.1259777155 48.46296359981728, -34084.97841572575 6574592.209607771 48.33863419003534, -34085.04417587933 6574592.070372071 48.33254616023302, -34086.875306997565 6574589.241569422 48.326457064997676))</t>
  </si>
  <si>
    <t>['FV440 S2D1 m877-887']</t>
  </si>
  <si>
    <t>LINESTRING Z (-33991.17285136809 6574564.256418055 56.22357377707958, -33990.08682090638 6574561.613607828 57.72357552796602, -33988.58828022436 6574557.74832589 57.72215640097856, -33987.73469329602 6574554.847627688 57.72216011881828, -33987.14234958717 6574552.52827159 57.722162912786004, -33986.729372395785 6574550.5388469 57.72216511815786, -33986.84628115513 6574549.525926837 57.72216558754444, -33987.24247945484 6574549.770858184 57.72216462641954, -33987.6826222596 6574549.9151796615 57.7221636429429, -33988.58327612642 6574552.680688936 57.722159925103185, -33990.85650050815 6574553.757438177 56.200294627740384, -33995.59028043237 6574553.8362789275 45.9221450984478, -33998.22176994919 6574554.805939978 45.92213915288448, -33997.87241705239 6574559.711764057 53.56550244832373)</t>
  </si>
  <si>
    <t>POLYGON Z ((-33991.17285136809 6574564.256418055 56.22357377707958, -33990.08682090638 6574561.613607828 57.72357552796602, -33988.58828022436 6574557.74832589 57.72215640097856, -33987.73469329602 6574554.847627688 57.72216011881828, -33987.14234958717 6574552.52827159 57.722162912786004, -33986.729372395785 6574550.5388469 57.72216511815786, -33986.84628115513 6574549.525926837 57.72216558754444, -33987.24247945484 6574549.770858184 57.72216462641954, -33987.6826222596 6574549.9151796615 57.7221636429429, -33988.58327612642 6574552.680688936 57.722159925103185, -33990.85650050815 6574553.757438177 56.200294627740384, -33995.59028043237 6574553.8362789275 45.9221450984478, -33998.22176994919 6574554.805939978 45.92213915288448, -33997.87241705239 6574559.711764057 53.56550244832373, -33991.17285136809 6574564.256418055 56.22357377707958))</t>
  </si>
  <si>
    <t>['FV440 S2D1 m872-875']</t>
  </si>
  <si>
    <t>LINESTRING Z (-33984.07015881082 6574563.266671348 56.42066824256134, -33986.11767959676 6574562.566655593 56.373966327762126, -33986.66423219582 6574562.750082344 56.36914073171568, -33986.98635089118 6574563.637248707 56.36131018037271, -33987.50684522523 6574564.703218158 56.34669739061117, -33988.18968996988 6574566.346963187 56.318017295375824, -33988.903935237206 6574567.93991262 56.09296017778873, -33989.27204497624 6574568.911677665 55.778452566841125, -33989.848137145396 6574569.955852411 55.750523724925515, -33990.511408288265 6574571.222418668 55.72456174144888, -33991.99537059234 6574574.167585665 55.06762449882412, -33992.844581101905 6574576.075304424 54.822842165170194, -33993.79697957891 6574577.9338683495 54.57803773465872, -33994.84974122455 6574579.73731899 54.333250214740275, -33995.99969112454 6574581.480530382 54.08845061286545, -33996.61004781909 6574582.3277973365 53.96604477840042, -33997.76449858362 6574583.807422029 53.74605323613024, -33998.250064524356 6574584.387284504 53.65739559538031, -33998.57329598721 6574584.76067312 53.59950417069721, -33999.41818593873 6574585.692510421 53.45205807546186, -33999.99679715827 6574586.2964636 53.35401433785439, -34001.49825862737 6574587.747808464 53.109224437956335, -34003.07693537255 6574589.114849922 52.86442848590422, -34003.893771349685 6574589.765435663 52.742018487526416, -34004.72812606173 6574590.393282979 52.61961547424745, -34006.44684655289 6574591.579514316 52.37481542533779, -34007.7120775372 6574592.367676823 52.20007993522167, -34008.22677232395 6574592.669369333 52.13014533172464, -34010.058954963926 6574593.662469067 51.88585120830918, -34010.73067699699 6574593.996442644 51.79791543344879, -34011.006857226836 6574594.127681469 51.7620711205244, -34012.00946419814 6574594.558939925 51.63413198803615, -34013.03569084464 6574594.930443707 51.50619584064675, -34014.081992589636 6574595.240859579 51.37826169325733, -34015.14472009544 6574595.48951257 51.25032154586792, -34016.220222488046 6574595.675142429 51.12238439847851, -34017.304779380676 6574595.797169504 50.99444825853968, -34018.39465567435 6574595.855009772 50.866510133502004, -34019.529662425746 6574595.847402593 50.733458971211434, -34019.96945094969 6574595.825731573 50.6818435241766, -34020.044135510456 6574596.064852468 50.65247839006615, -34020.17188394675 6574596.473868428 50.61736615909815, -34020.38150615257 6574597.119715619 50.56101877911854, -34020.598292545765 6574597.763193336 50.50397239168835, -34020.82221810415 6574598.404221767 50.446232996807574, -34021.0532526304 6574599.042722653 50.3878076019268, -34021.29136910406 6574599.678616009 50.32870419214487, -34021.53653723863 6574600.311824567 50.26892878236294, -34021.78872692643 6574600.942269068 50.20849036513042, -34021.95970903558 6574601.356299711 50.16818608200836, -34022.047907880624 6574601.569872251 50.14811494044733, -34022.31404790515 6574602.194555675 50.08864950831366, -34022.58711353573 6574602.816243797 50.0287070687294, -34022.86707057909 6574603.4348580055 49.96829662169456, -34023.07798933447 6574603.88746146 49.92353129386902, -34023.1538854806 6574604.050323753 49.91411117465973, -34023.44752295781 6574604.66256333 49.87824671272373, -34023.73255785811 6574605.240311292 49.84397227313948, -34023.74794545933 6574605.271501842 49.841777250787736, -34024.05511743191 6574605.877064573 49.798837781401154, -34024.36899941787 6574606.479175439 49.755810304564, -34024.68955368479 6574607.077761551 49.71269982027626, -34025.0167406844 6574607.6727478225 49.669511335988524, -34025.350519598345 6574608.264062084 49.6262508442502, -34025.664524106774 6574608.803258241 49.58642338231421, -34025.98429639195 6574609.3390534185 49.54654291292763, -34026.02016525855 6574609.397713838 49.542142860773566, -34026.309801725554 6574609.8713860735 49.50711444354105, -34026.64100029576 6574610.400195194 49.46752796670389, -34026.977856465266 6574610.925418155 49.42772748986673, -34027.32032915158 6574611.446996856 49.387718005578996, -34027.562153752544 6574611.829778583 49.35893565540171, -34027.809466990526 6574612.209038453 49.329947305224415, -34028.06221660122 6574612.584697216 49.30075894759655, -34028.32035031926 6574612.956675626 49.271375589968684, -34028.5838155197 6574613.3248984255 49.24180422489023, -34028.85255675821 6574613.689288098 49.2120508523612, -34029.12651950179 6574614.049768216 49.18289547983217, -34029.40564485942 6574614.406265982 49.15374909985256, -34029.650804736186 6574614.724326239 49.12789777202702, -34029.90225380077 6574615.037438308 49.102050429300306, -34030.15989145043 6574615.345478284 49.0762190865736, -34030.4236159001 6574615.648324181 49.05041173639631, -34030.69332127983 6574615.945854651 49.024640386219026, -34030.96890126832 6574616.237953333 48.998915028591156, -34031.2502455496 6574616.524503508 48.97324466351271, -34031.53724462353 6574616.805390554 48.947641298434256, -34031.81367830746 6574617.065359155 48.92351894080639, -34031.82978254766 6574617.080504291 48.91730092590523, -34032.12774337898 6574617.349734537 48.804727545925616, -34032.4310099039 6574617.612974032 48.69258116594601, -34032.739460462006 6574617.870120142 48.580905785966394, -34033.05297348427 6574618.121069224 48.469745398536205, -34033.37142404262 6574618.3657213785 48.35914601110601, -34033.69468584936 6574618.603980602 48.249149616225246, -34034.0226314388 6574618.835752795 48.13980022134447, -34034.355128347524 6574619.060943417 48.03114281901312, -34034.43766651582 6574619.114476697 48.00470372215557, -34034.69204747968 6574619.279465275 47.95978741668176, -34034.90438830713 6574619.4112525 47.923515163362026, -34034.984936803 6574619.461245309 47.92159206650448, -34035.0332526546 6574619.491231541 47.91621900689984, -34035.17889058788 6574619.577649046 47.90045183553648, -34035.22744074429 6574619.606456936 47.901611783382414, -34035.37860959931 6574619.696156573 47.89149860456848, -34035.72798050346 6574619.894160445 47.86890219478655, -34035.954648981686 6574620.016721871 47.854732926565646, -34035.97850449965 6574620.0296210395 47.853231896763326, -34036.08122746553 6574620.08516424 47.84680877755404, -34036.43821031647 6574620.269091847 47.825245367772105, -34036.595670665614 6574620.346288985 47.816061181507585, -34036.62724352896 6574620.361768332 47.81422714425469, -34036.798786617466 6574620.445869984 47.81005195053959, -34037.72238453082 6574620.886034224 47.788537885106564, -34037.7879823735 6574620.91729693 47.787010810600755, -34038.797626274056 6574621.398469219 47.776612648310184, -34038.86556666298 6574621.430847857 47.7759065663538, -34039.45588665863 6574621.712180569 47.78779588835096, -34039.49169242964 6574621.729244653 47.78850485109806, -34039.531071792124 6574621.748012202 47.79215780639458, -34040.15423322376 6574622.044996224 47.80440308368826, -34040.18707756442 6574622.060648803 47.80504904643536, -34040.96739636606 6574622.432530513 47.83384515236568, -34040.9959940915 6574622.446159018 47.83490011511278, -34041.90163504949 6574622.877765711 47.8759400720315, -34041.96201584954 6574622.9065420665 47.880436004976275, -34041.990358591895 6574622.920049856 47.88289096772337, -34042.751967368415 6574623.283013941 47.92350609600544, -34044.473422984476 6574624.1034186315 47.92714010670042, -34044.724879855174 6574624.227599976 47.927666816127775, -34044.97276751173 6574624.358762775 47.92817653300571, -34045.216891734744 6574624.496804897 47.92867024243307, -34045.4570608451 6574624.641618394 47.92914595931101, -34045.69308778993 6574624.793088686 47.92960367618895, -34045.92478769575 6574624.951099368 47.930044393066886, -34046.15197949775 6574625.115525319 47.930466117395405, -34046.37448539783 6574625.2862387 47.9308698491745, -34046.48322622338 6574625.374604982 47.931061707613466, -34046.592132136226 6574625.463106022 47.93119257350302, -34046.80474890128 6574625.645989001 47.931418312732696, -34047.01217041758 6574625.834743796 47.93160704451179, -34047.20611557423 6574626.021411569 47.931752798642634, -34047.41078012681 6574626.229277578 47.932052530421736, -34047.52379185916 6574626.3509306 47.9322113888607, -34047.60165673611 6574626.43474845 47.93224228455257, -34047.786715021124 6574626.645473905 47.93228503868342, -34047.96580949286 6574626.861291746 47.932294800264835, -34048.10110134992 6574627.033925485 47.93244461400032, -34048.138801467954 6574627.082031331 47.932435561846255, -34048.30555335223 6574627.307521109 47.93236133087826, -34048.44412372983 6574627.5062959865 47.932270137163165, -34048.46593599429 6574627.537585253 47.93231710736084, -34048.6198247791 6574627.772042312 47.93265188384342, -34048.680788069265 6574627.87083795 47.932785794436455, -34048.76709909004 6574628.010711181 47.932250667776586, -34048.90764302551 6574628.253403136 47.93183745916033, -34049.03639857762 6574628.4908067295 47.93146826544523, -34049.074979080004 6574628.566304563 47.931269205840586, -34049.16810568096 6574628.750098006 47.93057006427956, -34049.28782183409 6574629.003712006 47.92960287056446, -34049.30373707949 6574629.04002315 47.92946384821272, -34049.40040129959 6574629.26057317 47.92914169175052, -34049.45154627913 6574629.386748511 47.92896960234356, -34049.50575532345 6574629.520482119 47.928629512936595, -34049.537247891654 6574629.604877516 47.92841646078253, -34049.603801596444 6574629.783235034 47.927846341573236, -34049.69446407363 6574630.048625636 47.926995177660466, -34049.70464363601 6574630.08139042 47.926894162759304, -34049.777671706164 6574630.316448095 47.92600302119827, -34049.826551472186 6574630.490842967 47.92532992434072, -34049.853359978064 6574630.586491138 47.92505887218666, -34049.87110842776 6574630.65738766 47.92485783493376, -34049.92146828177 6574630.858544831 47.92427873062563, -34049.981428124825 6574631.130060155 47.92349659651518, -34049.994988365914 6574631.200449591 47.92334656671286, -34049.99964756693 6574631.22475148 47.9232985518117, -34050.000941300765 6574631.2315043155 48.04148155181169, -34050.034740954405 6574631.407831858 47.95240846985531, -34050.07981624757 6574631.684635157 47.81285235064602, -34050.085021685576 6574631.719685169 47.795193335744855, -34050.15873524896 6574632.215990138 47.7951991271286, -34050.23245164123 6574632.712319529 47.92019592596292, -34050.269277511514 6574632.960267795 47.915396821654795, -34049.92324233183 6574633.0067641055 47.908712164381505, -34049.576287504984 6574633.045811189 47.90202850710821, -34049.228572758846 6574633.07739124 47.895343857285496, -34048.88026045845 6574633.101490716 47.888660214913365, -34048.531509968685 6574633.118095824 47.881975565090656, -34048.18248384318 6574633.127202083 47.875291922718525, -34048.177617605776 6574632.877121083 47.87050299722433, -34048.164959658636 6574632.627313447 47.808349071730134, -34048.15642424906 6574632.523203623 47.78227010898304, -34048.14452240814 6574632.378020999 47.7456881611371, -34048.11632607307 6574632.1294882875 47.74439525054407, -34048.10443493503 6574632.04756277 47.74416728779698, -34048.08039649774 6574631.88195331 47.7434483548522, -34048.03676906577 6574631.635659975 47.86121846661091, -34048.027028851444 6574631.589162293 47.88420848896265, -34047.98548787378 6574631.3908449095 47.981927585820195, -34047.981042616535 6574631.372494357 47.91441459327078, -34047.945024983375 6574631.223808796 47.92033666777658, -34047.93810641684 6574631.195250179 47.921449682677746, -34047.92659974669 6574631.1477480065 47.92333970502949, -34047.86952529859 6574630.940579247 47.92398582423878, -34047.860165125574 6574630.906603347 47.924034839139935, -34047.84984571487 6574630.873245828 47.924082861491684, -34047.807039141306 6574630.734864597 47.92452894344807, -34047.78624626924 6574630.6676471885 47.92469898070097, -34047.704915968585 6574630.431110695 47.925295122262, -34047.616253098706 6574630.197224567 47.925885278724195, -34047.56043779396 6574630.062786965 47.92622436813116, -34047.520343977725 6574629.966215154 47.92637443518639, -34047.41728118935 6574629.738306334 47.92673760654974, -34047.30716539861 6574629.513721724 47.92745977791309, -34047.1901039856 6574629.292677485 47.92815695672703, -34047.066209417884 6574629.075389217 47.92883113554096, -34047.03982429148 6574629.032293321 47.92882418024445, -34046.93560269335 6574628.862067269 47.928555329256056, -34046.7984109862 6574628.652920521 47.928213522971156, -34046.736159196356 6574628.564178581 47.92806261237812, -34046.65476818604 6574628.448150394 47.927872724136826, -34046.504812266445 6574628.247957693 47.927531932753084, -34046.34869000851 6574628.052534933 47.92718614881992, -34046.231175821275 6574627.914492128 47.92693030528211, -34046.186552366125 6574627.86207301 47.92693436488676, -34046.01855782932 6574627.676757441 47.926916580953595, -34045.98604241863 6574627.643062531 47.92690762565708, -34045.844869425055 6574627.496768114 47.92671981192159, -34045.66565571609 6574627.322279387 47.92647204288959, -34045.48109080177 6574627.153460055 47.926206273857595, -34045.29135304759 6574626.990476291 47.925924512276175, -34045.09662871435 6574626.833484901 47.92562575069475, -34044.89710551186 6574626.6826378 47.92531099656391, -34044.76299888955 6574626.58766955 47.925093160476685, -34044.69297750748 6574626.5380834285 47.92496524243307, -34044.48444457108 6574626.399961707 47.92458749575281, -34044.41309874889 6574626.355841563 47.9244595777092, -34044.27170720836 6574626.268405543 47.92426774907255, -34044.22288502788 6574626.240279087 47.924196808677195, -34044.05497327447 6574626.1435445035 47.923900002392294, -34043.8344525306 6574626.025498224 47.92350426316261, -34043.610360088875 6574625.914382829 47.91341652393293, -34043.01993480243 6574625.633000294 47.88668220193577, -34042.982819683384 6574625.615312394 47.883994246639254, -34042.958027369226 6574625.60349691 47.88284227644157, -34042.21745001152 6574625.250555409 47.84843312580776, -34042.17625632894 6574625.23092307 47.84531817796183, -34041.72562333837 6574625.01616272 47.81112869205189, -34041.66995551984 6574624.989632824 47.80814675910711, -34040.926542276866 6574624.635339501 47.76850161592388, -34040.862276945496 6574624.604711757 47.765077690429685, -34040.26637482701 6574624.320719713 47.7332993758831, -34040.13363797404 6574624.257460925 47.72180253234529, -34039.933367325924 6574624.162016314 47.70448876331329, -34039.85086886608 6574624.122699307 47.70074785272026, -34039.28495394392 6574623.852998041 47.67510250837135, -34039.20221603324 6574623.813566757 47.672050605228904, -34038.71685299184 6574623.582254401 47.654139164022446, -34038.64216901595 6574623.546661391 47.65267024597883, -34038.25610939937 6574623.3626754545 47.645084693013665, -34038.17263669579 6574623.322893808 47.63734078987122, -34038.097876415704 6574623.287264702 47.635837871827604, -34037.734166190494 6574623.113929978 47.62849229651069, -34037.59837334615 6574623.049213882 47.629902452972885, -34036.97955701477 6574622.754301092 47.636276160778046, -34036.83634456294 6574622.68604974 47.63961032469082, -34036.16638717742 6574622.366763192 47.655216099551204, -34036.08863258606 6574622.329707517 47.65964418895817, -34035.9347205261 6574622.256356757 47.6684453677721, -34035.71063099615 6574622.146726158 47.681496621091846, -34035.627868742566 6574622.106237195 47.68635071794939, -34035.56942417519 6574622.0776447365 47.689752785004615, -34035.20746883412 6574621.892258982 47.71151820968771, -34035.18564416142 6574621.880570467 47.71287323203945, -34034.85444872512 6574621.703193253 47.696675619469644, -34034.777060205 6574621.660031143 47.69301970887661, -34034.71393017401 6574621.624715976 47.69964178338242, -34034.49406781513 6574621.501720689 47.722637044152734, -34034.27196569636 6574621.372065407 47.74645230492306, -34034.2137807603 6574621.33809916 47.75367837197828, -34034.14286205324 6574621.296699594 47.76248845393467, -34033.79547812999 6574621.085267729 47.80658487116718, -34033.62180673552 6574620.97514694 47.82911407233286, -34033.58089563821 6574620.949206241 47.83535112448692, -34033.452031420544 6574620.867496957 47.855007273498536, -34033.11263920786 6574620.643460304 47.90773368328047, -34033.01290571212 6574620.574964361 47.92351680248976, -34032.777415508055 6574620.413233527 48.00097708561182, -34032.58749980212 6574620.277606646 48.06461731657982, -34032.446473155986 6574620.176894298 48.111877487943175, -34032.11992281047 6574619.934522098 48.22337489027453, -34031.79787494789 6574619.686198412 48.3354302851553, -34031.702580324025 6574619.609890098 48.369225396914004, -34031.48043886677 6574619.432006628 48.448001672585484, -34031.28165756271 6574619.2667530095 48.51986391845465, -34031.167719597346 6574619.172032777 48.56105406001568, -34030.85982408014 6574618.906364052 48.67455344744587, -34030.556855985895 6574618.635090392 48.78845782742548, -34030.25891680713 6574618.358303552 48.90272920740509, -34030.20579470263 6574618.307105139 48.923520274460316, -34029.966106039705 6574618.076095092 48.94735457993412, -34029.67852381617 6574617.788560676 48.97654395246315, -34029.3962660043 6574617.495798589 49.0057983175416, -34029.11942865013 6574617.197905126 49.03510567516947, -34028.84810426331 6574616.894982305 49.06445803279734, -34028.58238335431 6574616.587131957 49.09384438297462, -34028.322357343044 6574616.274457015 49.123255733151915, -34028.06811138464 6574615.957062855 49.15268107587862, -34027.81973345089 6574615.635057128 49.18211141115475, -34027.52727509686 6574615.261042894 49.2164698134861, -34027.24015554297 6574614.882913156 49.25082820091629, -34026.95843322831 6574614.500745713 49.28517958834648, -34026.68216568406 6574614.114617258 49.319515975776675, -34026.411407353706 6574613.72460523 49.353831348305704, -34026.1462135897 6574613.330788136 49.388117720834735, -34025.98294957448 6574613.080747198 49.40966095925331, -34025.88663856464 6574612.933246414 49.42094309336376, -34025.63273263653 6574612.532058126 49.451136458442214, -34025.28120170266 6574611.996147778 49.49222495763111, -34024.93540248275 6574611.456521994 49.53309844936943, -34024.59537288232 6574610.913240596 49.57375293365717, -34024.261151444865 6574610.366367492 49.614184417944905, -34023.932776893605 6574609.815964587 49.65438789478207, -34023.61028604477 6574609.262092619 49.694358371619224, -34023.2686100225 6574608.656916136 49.7373788782587, -34022.93361941795 6574608.048013642 49.78012637744761, -34022.60535486962 6574607.43545931 49.82259786918593, -34022.28385610564 6574606.819326224 49.864785353473664, -34021.969161586254 6574606.199690366 49.9066858377614, -34021.84452039143 6574605.947427457 49.92353202402592, -34021.66131086077 6574605.57662681 49.96120630714798, -34021.36034048081 6574604.950210369 50.024057776534555, -34021.066285819164 6574604.320517754 50.08644823847055, -34020.77918442688 6574603.687623861 50.14837169295597, -34020.60258536076 6574603.286645096 50.18711097607803, -34020.499070406426 6574603.051608317 50.21246914744139, -34020.225977403345 6574602.412544654 50.28070858702564, -34019.959938431275 6574601.770513408 50.3485580266099, -34019.70098686509 6574601.125591107 50.41600745129299, -34019.44915290212 6574600.477856014 50.483049875976086, -34019.20446764771 6574599.8273874875 50.549677293208596, -34018.96696138987 6574599.174262781 50.615881702990535, -34018.73666105792 6574598.518562885 50.68165510532189, -34018.6211434016 6574598.177706343 50.71548930648756, -34018.51359585067 6574597.860365968 50.74363450020265, -34018.41248080123 6574597.861043235 50.755537604510785, -34018.348179623135 6574597.861474326 50.76097466411543, -34017.13932852028 6574597.797320556 50.86827292326355, -34016.54473817372 6574597.730421255 50.92353954911232, -34015.937224631896 6574597.662068022 50.982580182411674, -34015.54927656031 6574597.595108941 51.02200059964419, -34014.89921276085 6574597.482908212 51.09655729254818, -34014.7452515444 6574597.456334469 51.113688456460956, -34014.25805617985 6574597.342342119 51.170229985452174, -34013.642408282845 6574597.198296371 51.23982764855385, -34013.567737707286 6574597.180824963 51.24804173051024, -34013.060188387986 6574597.030245577 51.30640528930378, -34012.40842049685 6574596.836879071 51.382887004559514, -34011.86804100871 6574596.641256177 51.449053608056545, -34011.27105275693 6574596.425140821 51.51933227115822, -34011.06885298737 6574596.338167336 51.544209502126215, -34010.85030781594 6574596.244162588 51.57077774799538, -34010.179718875326 6574595.955718124 51.6228455079546, -34009.85353957384 6574595.800720282 51.649395880483624, -34009.134121683775 6574595.443033505 51.709271707498075, -34007.671169610694 6574594.650068132 51.83649439877987, -34007.3540105694 6574594.478157197 51.8809977713089, -34007.24127826281 6574594.417053243 51.89611689796877, -34007.04652344587 6574594.302895669 51.92355012893677, -34006.67430164642 6574594.084715272 51.97690256107044, -34006.464138498646 6574593.95379551 52.0082288069396, -34006.20642409357 6574593.793255678 52.04524411241341, -34005.5499906498 6574593.384336897 52.137239887273786, -34005.34612154518 6574593.257338208 52.16469012569237, -34004.66027800809 6574592.783981162 52.26381394525623, -34004.458766753785 6574592.644901287 52.29564319112539, -34004.24003598187 6574592.493937397 52.335060451895714, -34003.720308191376 6574592.135230765 52.407833070293904, -34003.55476035329 6574592.02097205 52.44102827145958, -34003.531252820045 6574592.00328215 52.4459503012619, -34002.988530902425 6574591.594887974 52.525268956912996, -34002.66551492561 6574591.351820862 52.557907344343185, -34001.794864588766 6574590.658372721 52.651136409776214, -34000.14349929767 6574589.228386412 52.84371245123529, -33999.67647279217 6574588.77694784 52.90463004728174, -33999.575984471594 6574588.679814397 52.92355917394161, -33999.34997504705 6574588.461348759 52.96242645706368, -33998.99482542847 6574588.118053681 53.02116690409851, -33998.66300894879 6574587.797313327 53.07246832133102, -33998.57484683627 6574587.712093399 53.08684743308973, -33997.95052447496 6574587.060427965 53.19741523775244, -33997.2044797712 6574586.237607977 53.33753819887733, -33997.071641033515 6574586.0910993675 53.35993437769127, -33996.7225560348 6574585.68784527 53.42193783217669, -33996.36075667082 6574585.255784194 53.488637309013846, -33996.282110016444 6574585.161863743 53.50512841332197, -33996.20417784818 6574585.068797402 53.51816551017952, -33995.93434087979 6574584.722956055 53.56725087525797, -33995.77375230589 6574584.5171343405 53.60646709132481, -33995.00477411342 6574583.531558289 53.71356411950493, -33994.347843782976 6574582.619640767 53.8157240135746, -33993.731576410355 6574581.685439044 53.92356687784195, -33993.53232767852 6574581.383396608 53.96967315351343, -33993.2100801802 6574580.894900807 54.03928860054827, -33993.144919454935 6574580.7961240485 54.05230369740582, -33992.91257087025 6574580.398096066 54.107116032681944, -33992.03672306554 6574578.897710673 54.32644029183006, -33991.930445334525 6574578.690315094 54.35777245574283, -33991.30507954769 6574577.4699394135 54.52093139451599, -33991.03418834682 6574576.941306674 54.61729479684735, -33990.980509440764 6574576.820718817 54.63962088625431, -33990.15123563551 6574574.957788804 54.912622190105914, -33988.27605636255 6574574.157975889 54.913954291169645, -33988.25847345393 6574574.097247283 54.923574328422546, -33988.186163031845 6574573.847492993 54.951187462533, -33988.138426966965 6574573.682616201 54.973274551939966, -33988.08818811888 6574573.509095794 54.99600164879751, -33987.98452966404 6574573.151070989 55.04132684251261, -33987.0978516757 6574570.088575706 55.53973848909092, -33986.53882208513 6574568.15774263 55.8365235321722, -33986.46381066379 6574567.89866212 55.905934673733235, -33986.444744663895 6574567.832809248 55.92357771098614, -33985.96324508416 6574566.169759153 56.13378060505581, -33985.793040160905 6574565.58188788 56.20935292543078)</t>
  </si>
  <si>
    <t>POLYGON Z ((-33984.07015881082 6574563.266671348 56.42066824256134, -33986.11767959676 6574562.566655593 56.373966327762126, -33986.66423219582 6574562.750082344 56.36914073171568, -33986.98635089118 6574563.637248707 56.36131018037271, -33987.50684522523 6574564.703218158 56.34669739061117, -33988.18968996988 6574566.346963187 56.318017295375824, -33988.903935237206 6574567.93991262 56.09296017778873, -33989.27204497624 6574568.911677665 55.778452566841125, -33989.848137145396 6574569.955852411 55.750523724925515, -33990.511408288265 6574571.222418668 55.72456174144888, -33991.99537059234 6574574.167585665 55.06762449882412, -33992.844581101905 6574576.075304424 54.822842165170194, -33993.79697957891 6574577.9338683495 54.57803773465872, -33994.84974122455 6574579.73731899 54.333250214740275, -33995.99969112454 6574581.480530382 54.08845061286545, -33996.61004781909 6574582.3277973365 53.96604477840042, -33997.76449858362 6574583.807422029 53.74605323613024, -33998.250064524356 6574584.387284504 53.65739559538031, -33998.57329598721 6574584.76067312 53.59950417069721, -33999.41818593873 6574585.692510421 53.45205807546186, -33999.99679715827 6574586.2964636 53.35401433785439, -34001.49825862737 6574587.747808464 53.109224437956335, -34003.07693537255 6574589.114849922 52.86442848590422, -34003.893771349685 6574589.765435663 52.742018487526416, -34004.72812606173 6574590.393282979 52.61961547424745, -34006.44684655289 6574591.579514316 52.37481542533779, -34007.7120775372 6574592.367676823 52.20007993522167, -34008.22677232395 6574592.669369333 52.13014533172464, -34010.058954963926 6574593.662469067 51.88585120830918, -34010.73067699699 6574593.996442644 51.79791543344879, -34011.006857226836 6574594.127681469 51.7620711205244, -34012.00946419814 6574594.558939925 51.63413198803615, -34013.03569084464 6574594.930443707 51.50619584064675, -34014.081992589636 6574595.240859579 51.37826169325733, -34015.14472009544 6574595.48951257 51.25032154586792, -34016.220222488046 6574595.675142429 51.12238439847851, -34017.304779380676 6574595.797169504 50.99444825853968, -34018.39465567435 6574595.855009772 50.866510133502004, -34019.529662425746 6574595.847402593 50.733458971211434, -34019.96945094969 6574595.825731573 50.6818435241766, -34020.044135510456 6574596.064852468 50.65247839006615, -34020.17188394675 6574596.473868428 50.61736615909815, -34020.38150615257 6574597.119715619 50.56101877911854, -34020.598292545765 6574597.763193336 50.50397239168835, -34020.82221810415 6574598.404221767 50.446232996807574, -34021.0532526304 6574599.042722653 50.3878076019268, -34021.29136910406 6574599.678616009 50.32870419214487, -34021.53653723863 6574600.311824567 50.26892878236294, -34021.78872692643 6574600.942269068 50.20849036513042, -34021.95970903558 6574601.356299711 50.16818608200836, -34022.047907880624 6574601.569872251 50.14811494044733, -34022.31404790515 6574602.194555675 50.08864950831366, -34022.58711353573 6574602.816243797 50.0287070687294, -34022.86707057909 6574603.4348580055 49.96829662169456, -34023.07798933447 6574603.88746146 49.92353129386902, -34023.1538854806 6574604.050323753 49.91411117465973, -34023.44752295781 6574604.66256333 49.87824671272373, -34023.73255785811 6574605.240311292 49.84397227313948, -34023.74794545933 6574605.271501842 49.841777250787736, -34024.05511743191 6574605.877064573 49.798837781401154, -34024.36899941787 6574606.479175439 49.755810304564, -34024.68955368479 6574607.077761551 49.71269982027626, -34025.0167406844 6574607.6727478225 49.669511335988524, -34025.350519598345 6574608.264062084 49.6262508442502, -34025.664524106774 6574608.803258241 49.58642338231421, -34025.98429639195 6574609.3390534185 49.54654291292763, -34026.02016525855 6574609.397713838 49.542142860773566, -34026.309801725554 6574609.8713860735 49.50711444354105, -34026.64100029576 6574610.400195194 49.46752796670389, -34026.977856465266 6574610.925418155 49.42772748986673, -34027.32032915158 6574611.446996856 49.387718005578996, -34027.562153752544 6574611.829778583 49.35893565540171, -34027.809466990526 6574612.209038453 49.329947305224415, -34028.06221660122 6574612.584697216 49.30075894759655, -34028.32035031926 6574612.956675626 49.271375589968684, -34028.5838155197 6574613.3248984255 49.24180422489023, -34028.85255675821 6574613.689288098 49.2120508523612, -34029.12651950179 6574614.049768216 49.18289547983217, -34029.40564485942 6574614.406265982 49.15374909985256, -34029.650804736186 6574614.724326239 49.12789777202702, -34029.90225380077 6574615.037438308 49.102050429300306, -34030.15989145043 6574615.345478284 49.0762190865736, -34030.4236159001 6574615.648324181 49.05041173639631, -34030.69332127983 6574615.945854651 49.024640386219026, -34030.96890126832 6574616.237953333 48.998915028591156, -34031.2502455496 6574616.524503508 48.97324466351271, -34031.53724462353 6574616.805390554 48.947641298434256, -34031.81367830746 6574617.065359155 48.92351894080639, -34031.82978254766 6574617.080504291 48.91730092590523, -34032.12774337898 6574617.349734537 48.804727545925616, -34032.4310099039 6574617.612974032 48.69258116594601, -34032.739460462006 6574617.870120142 48.580905785966394, -34033.05297348427 6574618.121069224 48.469745398536205, -34033.37142404262 6574618.3657213785 48.35914601110601, -34033.69468584936 6574618.603980602 48.249149616225246, -34034.0226314388 6574618.835752795 48.13980022134447, -34034.355128347524 6574619.060943417 48.03114281901312, -34034.43766651582 6574619.114476697 48.00470372215557, -34034.69204747968 6574619.279465275 47.95978741668176, -34034.90438830713 6574619.4112525 47.923515163362026, -34034.984936803 6574619.461245309 47.92159206650448, -34035.0332526546 6574619.491231541 47.91621900689984, -34035.17889058788 6574619.577649046 47.90045183553648, -34035.22744074429 6574619.606456936 47.901611783382414, -34035.37860959931 6574619.696156573 47.89149860456848, -34035.72798050346 6574619.894160445 47.86890219478655, -34035.954648981686 6574620.016721871 47.854732926565646, -34035.97850449965 6574620.0296210395 47.853231896763326, -34036.08122746553 6574620.08516424 47.84680877755404, -34036.43821031647 6574620.269091847 47.825245367772105, -34036.595670665614 6574620.346288985 47.816061181507585, -34036.62724352896 6574620.361768332 47.81422714425469, -34036.798786617466 6574620.445869984 47.81005195053959, -34037.72238453082 6574620.886034224 47.788537885106564, -34037.7879823735 6574620.91729693 47.787010810600755, -34038.797626274056 6574621.398469219 47.776612648310184, -34038.86556666298 6574621.430847857 47.7759065663538, -34039.45588665863 6574621.712180569 47.78779588835096, -34039.49169242964 6574621.729244653 47.78850485109806, -34039.531071792124 6574621.748012202 47.79215780639458, -34040.15423322376 6574622.044996224 47.80440308368826, -34040.18707756442 6574622.060648803 47.80504904643536, -34040.96739636606 6574622.432530513 47.83384515236568, -34040.9959940915 6574622.446159018 47.83490011511278, -34041.90163504949 6574622.877765711 47.8759400720315, -34041.96201584954 6574622.9065420665 47.880436004976275, -34041.990358591895 6574622.920049856 47.88289096772337, -34042.751967368415 6574623.283013941 47.92350609600544, -34044.473422984476 6574624.1034186315 47.92714010670042, -34044.724879855174 6574624.227599976 47.927666816127775, -34044.97276751173 6574624.358762775 47.92817653300571, -34045.216891734744 6574624.496804897 47.92867024243307, -34045.4570608451 6574624.641618394 47.92914595931101, -34045.69308778993 6574624.793088686 47.92960367618895, -34045.92478769575 6574624.951099368 47.930044393066886, -34046.15197949775 6574625.115525319 47.930466117395405, -34046.37448539783 6574625.2862387 47.9308698491745, -34046.48322622338 6574625.374604982 47.931061707613466, -34046.592132136226 6574625.463106022 47.93119257350302, -34046.80474890128 6574625.645989001 47.931418312732696, -34047.01217041758 6574625.834743796 47.93160704451179, -34047.20611557423 6574626.021411569 47.931752798642634, -34047.41078012681 6574626.229277578 47.932052530421736, -34047.52379185916 6574626.3509306 47.9322113888607, -34047.60165673611 6574626.43474845 47.93224228455257, -34047.786715021124 6574626.645473905 47.93228503868342, -34047.96580949286 6574626.861291746 47.932294800264835, -34048.10110134992 6574627.033925485 47.93244461400032, -34048.138801467954 6574627.082031331 47.932435561846255, -34048.30555335223 6574627.307521109 47.93236133087826, -34048.44412372983 6574627.5062959865 47.932270137163165, -34048.46593599429 6574627.537585253 47.93231710736084, -34048.6198247791 6574627.772042312 47.93265188384342, -34048.680788069265 6574627.87083795 47.932785794436455, -34048.76709909004 6574628.010711181 47.932250667776586, -34048.90764302551 6574628.253403136 47.93183745916033, -34049.03639857762 6574628.4908067295 47.93146826544523, -34049.074979080004 6574628.566304563 47.931269205840586, -34049.16810568096 6574628.750098006 47.93057006427956, -34049.28782183409 6574629.003712006 47.92960287056446, -34049.30373707949 6574629.04002315 47.92946384821272, -34049.40040129959 6574629.26057317 47.92914169175052, -34049.45154627913 6574629.386748511 47.92896960234356, -34049.50575532345 6574629.520482119 47.928629512936595, -34049.537247891654 6574629.604877516 47.92841646078253, -34049.603801596444 6574629.783235034 47.927846341573236, -34049.69446407363 6574630.048625636 47.926995177660466, -34049.70464363601 6574630.08139042 47.926894162759304, -34049.777671706164 6574630.316448095 47.92600302119827, -34049.826551472186 6574630.490842967 47.92532992434072, -34049.853359978064 6574630.586491138 47.92505887218666, -34049.87110842776 6574630.65738766 47.92485783493376, -34049.92146828177 6574630.858544831 47.92427873062563, -34049.981428124825 6574631.130060155 47.92349659651518, -34049.994988365914 6574631.200449591 47.92334656671286, -34049.99964756693 6574631.22475148 47.9232985518117, -34050.000941300765 6574631.2315043155 48.04148155181169, -34050.034740954405 6574631.407831858 47.95240846985531, -34050.07981624757 6574631.684635157 47.81285235064602, -34050.085021685576 6574631.719685169 47.795193335744855, -34050.15873524896 6574632.215990138 47.7951991271286, -34050.23245164123 6574632.712319529 47.92019592596292, -34050.269277511514 6574632.960267795 47.915396821654795, -34049.92324233183 6574633.0067641055 47.908712164381505, -34049.576287504984 6574633.045811189 47.90202850710821, -34049.228572758846 6574633.07739124 47.895343857285496, -34048.88026045845 6574633.101490716 47.888660214913365, -34048.531509968685 6574633.118095824 47.881975565090656, -34048.18248384318 6574633.127202083 47.875291922718525, -34048.177617605776 6574632.877121083 47.87050299722433, -34048.164959658636 6574632.627313447 47.808349071730134, -34048.15642424906 6574632.523203623 47.78227010898304, -34048.14452240814 6574632.378020999 47.7456881611371, -34048.11632607307 6574632.1294882875 47.74439525054407, -34048.10443493503 6574632.04756277 47.74416728779698, -34048.08039649774 6574631.88195331 47.7434483548522, -34048.03676906577 6574631.635659975 47.86121846661091, -34048.027028851444 6574631.589162293 47.88420848896265, -34047.98548787378 6574631.3908449095 47.981927585820195, -34047.981042616535 6574631.372494357 47.91441459327078, -34047.945024983375 6574631.223808796 47.92033666777658, -34047.93810641684 6574631.195250179 47.921449682677746, -34047.92659974669 6574631.1477480065 47.92333970502949, -34047.86952529859 6574630.940579247 47.92398582423878, -34047.860165125574 6574630.906603347 47.924034839139935, -34047.84984571487 6574630.873245828 47.924082861491684, -34047.807039141306 6574630.734864597 47.92452894344807, -34047.78624626924 6574630.6676471885 47.92469898070097, -34047.704915968585 6574630.431110695 47.925295122262, -34047.616253098706 6574630.197224567 47.925885278724195, -34047.56043779396 6574630.062786965 47.92622436813116, -34047.520343977725 6574629.966215154 47.92637443518639, -34047.41728118935 6574629.738306334 47.92673760654974, -34047.30716539861 6574629.513721724 47.92745977791309, -34047.1901039856 6574629.292677485 47.92815695672703, -34047.066209417884 6574629.075389217 47.92883113554096, -34047.03982429148 6574629.032293321 47.92882418024445, -34046.93560269335 6574628.862067269 47.928555329256056, -34046.7984109862 6574628.652920521 47.928213522971156, -34046.736159196356 6574628.564178581 47.92806261237812, -34046.65476818604 6574628.448150394 47.927872724136826, -34046.504812266445 6574628.247957693 47.927531932753084, -34046.34869000851 6574628.052534933 47.92718614881992, -34046.231175821275 6574627.914492128 47.92693030528211, -34046.186552366125 6574627.86207301 47.92693436488676, -34046.01855782932 6574627.676757441 47.926916580953595, -34045.98604241863 6574627.643062531 47.92690762565708, -34045.844869425055 6574627.496768114 47.92671981192159, -34045.66565571609 6574627.322279387 47.92647204288959, -34045.48109080177 6574627.153460055 47.926206273857595, -34045.29135304759 6574626.990476291 47.925924512276175, -34045.09662871435 6574626.833484901 47.92562575069475, -34044.89710551186 6574626.6826378 47.92531099656391, -34044.76299888955 6574626.58766955 47.925093160476685, -34044.69297750748 6574626.5380834285 47.92496524243307, -34044.48444457108 6574626.399961707 47.92458749575281, -34044.41309874889 6574626.355841563 47.9244595777092, -34044.27170720836 6574626.268405543 47.92426774907255, -34044.22288502788 6574626.240279087 47.924196808677195, -34044.05497327447 6574626.1435445035 47.923900002392294, -34043.8344525306 6574626.025498224 47.92350426316261, -34043.610360088875 6574625.914382829 47.91341652393293, -34043.01993480243 6574625.633000294 47.88668220193577, -34042.982819683384 6574625.615312394 47.883994246639254, -34042.958027369226 6574625.60349691 47.88284227644157, -34042.21745001152 6574625.250555409 47.84843312580776, -34042.17625632894 6574625.23092307 47.84531817796183, -34041.72562333837 6574625.01616272 47.81112869205189, -34041.66995551984 6574624.989632824 47.80814675910711, -34040.926542276866 6574624.635339501 47.76850161592388, -34040.862276945496 6574624.604711757 47.765077690429685, -34040.26637482701 6574624.320719713 47.7332993758831, -34040.13363797404 6574624.257460925 47.72180253234529, -34039.933367325924 6574624.162016314 47.70448876331329, -34039.85086886608 6574624.122699307 47.70074785272026, -34039.28495394392 6574623.852998041 47.67510250837135, -34039.20221603324 6574623.813566757 47.672050605228904, -34038.71685299184 6574623.582254401 47.654139164022446, -34038.64216901595 6574623.546661391 47.65267024597883, -34038.25610939937 6574623.3626754545 47.645084693013665, -34038.17263669579 6574623.322893808 47.63734078987122, -34038.097876415704 6574623.287264702 47.635837871827604, -34037.734166190494 6574623.113929978 47.62849229651069, -34037.59837334615 6574623.049213882 47.629902452972885, -34036.97955701477 6574622.754301092 47.636276160778046, -34036.83634456294 6574622.68604974 47.63961032469082, -34036.16638717742 6574622.366763192 47.655216099551204, -34036.08863258606 6574622.329707517 47.65964418895817, -34035.9347205261 6574622.256356757 47.6684453677721, -34035.71063099615 6574622.146726158 47.681496621091846, -34035.627868742566 6574622.106237195 47.68635071794939, -34035.56942417519 6574622.0776447365 47.689752785004615, -34035.20746883412 6574621.892258982 47.71151820968771, -34035.18564416142 6574621.880570467 47.71287323203945, -34034.85444872512 6574621.703193253 47.696675619469644, -34034.777060205 6574621.660031143 47.69301970887661, -34034.71393017401 6574621.624715976 47.69964178338242, -34034.49406781513 6574621.501720689 47.722637044152734, -34034.27196569636 6574621.372065407 47.74645230492306, -34034.2137807603 6574621.33809916 47.75367837197828, -34034.14286205324 6574621.296699594 47.76248845393467, -34033.79547812999 6574621.085267729 47.80658487116718, -34033.62180673552 6574620.97514694 47.82911407233286, -34033.58089563821 6574620.949206241 47.83535112448692, -34033.452031420544 6574620.867496957 47.855007273498536, -34033.11263920786 6574620.643460304 47.90773368328047, -34033.01290571212 6574620.574964361 47.92351680248976, -34032.777415508055 6574620.413233527 48.00097708561182, -34032.58749980212 6574620.277606646 48.06461731657982, -34032.446473155986 6574620.176894298 48.111877487943175, -34032.11992281047 6574619.934522098 48.22337489027453, -34031.79787494789 6574619.686198412 48.3354302851553, -34031.702580324025 6574619.609890098 48.369225396914004, -34031.48043886677 6574619.432006628 48.448001672585484, -34031.28165756271 6574619.2667530095 48.51986391845465, -34031.167719597346 6574619.172032777 48.56105406001568, -34030.85982408014 6574618.906364052 48.67455344744587, -34030.556855985895 6574618.635090392 48.78845782742548, -34030.25891680713 6574618.358303552 48.90272920740509, -34030.20579470263 6574618.307105139 48.923520274460316, -34029.966106039705 6574618.076095092 48.94735457993412, -34029.67852381617 6574617.788560676 48.97654395246315, -34029.3962660043 6574617.495798589 49.0057983175416, -34029.11942865013 6574617.197905126 49.03510567516947, -34028.84810426331 6574616.894982305 49.06445803279734, -34028.58238335431 6574616.587131957 49.09384438297462, -34028.322357343044 6574616.274457015 49.123255733151915, -34028.06811138464 6574615.957062855 49.15268107587862, -34027.81973345089 6574615.635057128 49.18211141115475, -34027.52727509686 6574615.261042894 49.2164698134861, -34027.24015554297 6574614.882913156 49.25082820091629, -34026.95843322831 6574614.500745713 49.28517958834648, -34026.68216568406 6574614.114617258 49.319515975776675, -34026.411407353706 6574613.72460523 49.353831348305704, -34026.1462135897 6574613.330788136 49.388117720834735, -34025.98294957448 6574613.080747198 49.40966095925331, -34025.88663856464 6574612.933246414 49.42094309336376, -34025.63273263653 6574612.532058126 49.451136458442214, -34025.28120170266 6574611.996147778 49.49222495763111, -34024.93540248275 6574611.456521994 49.53309844936943, -34024.59537288232 6574610.913240596 49.57375293365717, -34024.261151444865 6574610.366367492 49.614184417944905, -34023.932776893605 6574609.815964587 49.65438789478207, -34023.61028604477 6574609.262092619 49.694358371619224, -34023.2686100225 6574608.656916136 49.7373788782587, -34022.93361941795 6574608.048013642 49.78012637744761, -34022.60535486962 6574607.43545931 49.82259786918593, -34022.28385610564 6574606.819326224 49.864785353473664, -34021.969161586254 6574606.199690366 49.9066858377614, -34021.84452039143 6574605.947427457 49.92353202402592, -34021.66131086077 6574605.57662681 49.96120630714798, -34021.36034048081 6574604.950210369 50.024057776534555, -34021.066285819164 6574604.320517754 50.08644823847055, -34020.77918442688 6574603.687623861 50.14837169295597, -34020.60258536076 6574603.286645096 50.18711097607803, -34020.499070406426 6574603.051608317 50.21246914744139, -34020.225977403345 6574602.412544654 50.28070858702564, -34019.959938431275 6574601.770513408 50.3485580266099, -34019.70098686509 6574601.125591107 50.41600745129299, -34019.44915290212 6574600.477856014 50.483049875976086, -34019.20446764771 6574599.8273874875 50.549677293208596, -34018.96696138987 6574599.174262781 50.615881702990535, -34018.73666105792 6574598.518562885 50.68165510532189, -34018.6211434016 6574598.177706343 50.71548930648756, -34018.51359585067 6574597.860365968 50.74363450020265, -34018.41248080123 6574597.861043235 50.755537604510785, -34018.348179623135 6574597.861474326 50.76097466411543, -34017.13932852028 6574597.797320556 50.86827292326355, -34016.54473817372 6574597.730421255 50.92353954911232, -34015.937224631896 6574597.662068022 50.982580182411674, -34015.54927656031 6574597.595108941 51.02200059964419, -34014.89921276085 6574597.482908212 51.09655729254818, -34014.7452515444 6574597.456334469 51.113688456460956, -34014.25805617985 6574597.342342119 51.170229985452174, -34013.642408282845 6574597.198296371 51.23982764855385, -34013.567737707286 6574597.180824963 51.24804173051024, -34013.060188387986 6574597.030245577 51.30640528930378, -34012.40842049685 6574596.836879071 51.382887004559514, -34011.86804100871 6574596.641256177 51.449053608056545, -34011.27105275693 6574596.425140821 51.51933227115822, -34011.06885298737 6574596.338167336 51.544209502126215, -34010.85030781594 6574596.244162588 51.57077774799538, -34010.179718875326 6574595.955718124 51.6228455079546, -34009.85353957384 6574595.800720282 51.649395880483624, -34009.134121683775 6574595.443033505 51.709271707498075, -34007.671169610694 6574594.650068132 51.83649439877987, -34007.3540105694 6574594.478157197 51.8809977713089, -34007.24127826281 6574594.417053243 51.89611689796877, -34007.04652344587 6574594.302895669 51.92355012893677, -34006.67430164642 6574594.084715272 51.97690256107044, -34006.464138498646 6574593.95379551 52.0082288069396, -34006.20642409357 6574593.793255678 52.04524411241341, -34005.5499906498 6574593.384336897 52.137239887273786, -34005.34612154518 6574593.257338208 52.16469012569237, -34004.66027800809 6574592.783981162 52.26381394525623, -34004.458766753785 6574592.644901287 52.29564319112539, -34004.24003598187 6574592.493937397 52.335060451895714, -34003.720308191376 6574592.135230765 52.407833070293904, -34003.55476035329 6574592.02097205 52.44102827145958, -34003.531252820045 6574592.00328215 52.4459503012619, -34002.988530902425 6574591.594887974 52.525268956912996, -34002.66551492561 6574591.351820862 52.557907344343185, -34001.794864588766 6574590.658372721 52.651136409776214, -34000.14349929767 6574589.228386412 52.84371245123529, -33999.67647279217 6574588.77694784 52.90463004728174, -33999.575984471594 6574588.679814397 52.92355917394161, -33999.34997504705 6574588.461348759 52.96242645706368, -33998.99482542847 6574588.118053681 53.02116690409851, -33998.66300894879 6574587.797313327 53.07246832133102, -33998.57484683627 6574587.712093399 53.08684743308973, -33997.95052447496 6574587.060427965 53.19741523775244, -33997.2044797712 6574586.237607977 53.33753819887733, -33997.071641033515 6574586.0910993675 53.35993437769127, -33996.7225560348 6574585.68784527 53.42193783217669, -33996.36075667082 6574585.255784194 53.488637309013846, -33996.282110016444 6574585.161863743 53.50512841332197, -33996.20417784818 6574585.068797402 53.51816551017952, -33995.93434087979 6574584.722956055 53.56725087525797, -33995.77375230589 6574584.5171343405 53.60646709132481, -33995.00477411342 6574583.531558289 53.71356411950493, -33994.347843782976 6574582.619640767 53.8157240135746, -33993.731576410355 6574581.685439044 53.92356687784195, -33993.53232767852 6574581.383396608 53.96967315351343, -33993.2100801802 6574580.894900807 54.03928860054827, -33993.144919454935 6574580.7961240485 54.05230369740582, -33992.91257087025 6574580.398096066 54.107116032681944, -33992.03672306554 6574578.897710673 54.32644029183006, -33991.930445334525 6574578.690315094 54.35777245574283, -33991.30507954769 6574577.4699394135 54.52093139451599, -33991.03418834682 6574576.941306674 54.61729479684735, -33990.980509440764 6574576.820718817 54.63962088625431, -33990.15123563551 6574574.957788804 54.912622190105914, -33988.27605636255 6574574.157975889 54.913954291169645, -33988.25847345393 6574574.097247283 54.923574328422546, -33988.186163031845 6574573.847492993 54.951187462533, -33988.138426966965 6574573.682616201 54.973274551939966, -33988.08818811888 6574573.509095794 54.99600164879751, -33987.98452966404 6574573.151070989 55.04132684251261, -33987.0978516757 6574570.088575706 55.53973848909092, -33986.53882208513 6574568.15774263 55.8365235321722, -33986.46381066379 6574567.89866212 55.905934673733235, -33986.444744663895 6574567.832809248 55.92357771098614, -33985.96324508416 6574566.169759153 56.13378060505581, -33985.793040160905 6574565.58188788 56.20935292543078, -33984.07015881082 6574563.266671348 56.42066824256134))</t>
  </si>
  <si>
    <t>2022-09-26</t>
  </si>
  <si>
    <t>['RV13 S13D1 m1283-2851']</t>
  </si>
  <si>
    <t>LINESTRING (1849.4696074174717 6618433.763472887, 1981.3987109474838 6618501.928010211, 2065.9543448534096 6618572.296802004, 2193.2722521132673 6618692.3447451, 2330.9532178542577 6618893.445951986, 2438.0471157036372 6619006.74425591, 2468.0424738227157 6619117.990746185, 2501.9305155029288 6619243.068650066, 2566.950180746033 6619318.075462832, 2606.349276136374 6619398.128092386, 2639.146450135333 6619447.073367001, 2649.1544281826355 6619494.537728243, 2648.4108700835495 6619569.2631856, 2651.525149937428 6619672.9959048545)</t>
  </si>
  <si>
    <t>POLYGON ((1981.1207701104147 6618502.347200151, 2065.622599865076 6618572.671215114, 2192.89008221716 6618692.671612609, 2330.540645895352 6618893.728413274, 2330.5640534561085 6618893.759880436, 2330.5898553060138 6618893.789416188, 2437.597169672117 6619006.996120478, 2467.5597143233317 6619118.120912486, 2467.5598730773354 6619118.121499849, 2501.4479147575485 6619243.199403729, 2501.461606448171 6619243.242213594, 2501.479087199615 6619243.283620964, 2501.5002157570643 6619243.323291242, 2501.5248213893565 6619243.36090387, 2501.552705268536 6619243.396154916, 2566.5300803418604 6619318.354181659, 2605.900665419406 6619398.34888284, 2605.933906217284 6619398.40642282, 2638.6771833229996 6619447.271263729, 2648.6539091063855 6619494.587406347, 2647.9108948349863 6619569.25821058, 2647.911095263799 6619569.278189917, 2651.0253751176774 6619673.010909172, 2652.0249247571787 6619672.980900537, 2648.9109447545634 6619569.258168949, 2649.6544034311987 6619494.5427032625, 2649.651983432856 6619494.488344308, 2649.643670883097 6619494.434570208, 2639.6356928357945 6619446.970208966, 2639.623606271465 6619446.923961439, 2639.607158655075 6619446.87907943, 2639.5865003124813 6619446.835973147, 2639.561820054423 6619446.795036566, 2606.783182497436 6619397.877425044, 2567.398791463001 6619317.854672378, 2567.378269249014 6619317.81712152, 2567.3546113240927 6619317.78146299, 2567.3279909804255 6619317.747957982, 2502.3832166548164 6619242.827539525, 2468.525154150421 6619117.8602862535, 2438.529875203021 6619006.614089609, 2438.5146853809656 6619006.567115861, 2438.494937196544 6619006.521869061, 2438.4708231758395 6619006.478790322, 2438.4425784077625 6619006.438299622, 2438.410478251881 6619006.400791707, 2331.343583092885 6618893.131054855, 2193.684824072173 6618692.062283812, 2193.6522273789037 6618692.019754642, 2193.6152666322246 6618691.980958019, 2066.297359372367 6618571.933014924, 2066.274184203503 6618571.912480797, 1981.718550297577 6618501.543689004, 1981.6750146636164 6618501.511289374, 1981.6282240752937 6618501.483798861, 1849.6991205452816 6618433.319261536, 1849.2400942896618 6618434.2076842375, 1981.1207701104147 6618502.347200151))</t>
  </si>
  <si>
    <t>[33, 46]</t>
  </si>
  <si>
    <t>['RV7 S18D1 m8303-18110', 'RV7 S19D1 m0-7912']</t>
  </si>
  <si>
    <t>LINESTRING (91559.62511956284 6717127.125670576, 91611.8768745648 6717164.533965208, 91663.83553710632 6717203.315372135, 91766.74961534899 6717279.949721609, 91835.03824996267 6717329.983966273, 91869.84210579452 6717358.201546063, 91904.20586602337 6717378.579096705, 91954.98719406076 6717403.05428121, 91980.30037699197 6717413.291135252, 92006.32102836418 6717425.82986323, 92026.39796875516 6717435.914778522, 92044.77934133232 6717449.466401575, 92119.8154567894 6717526.277164189, 92150.12974790204 6717553.067334673, 92181.31991098868 6717575.739390069, 92428.01531633915 6717758.626684087, 92451.36980484781 6717773.997892853, 92477.87740126782 6717786.929116452, 92515.72637285938 6717802.597898868, 92553.88158183248 6717815.702049278, 92656.04573386809 6717846.433257772, 92756.40602654597 6717875.733044243, 92881.21451392042 6717911.651744924, 92913.31493056263 6717925.293145429, 92929.96730952535 6717935.469059189, 92945.40049343486 6717950.6939862305, 92987.32060008036 6717999.839334207, 93027.90030372393 6718050.3260627305, 93081.01470294216 6718115.470841369, 93096.67660620547 6718131.413600376, 93113.26723040757 6718145.019236766, 93307.0187818869 6718245.195897499, 93359.52828695008 6718270.674567093, 93385.2300095841 6718285.782984246, 93410.08343978523 6718302.624023557, 93431.01616377995 6718323.032113279, 93446.898530756 6718346.241625119, 93474.07263617689 6718396.897921346, 93507.93056212662 6718467.186269109, 93541.16927843052 6718539.9238633895, 93604.97206531448 6718681.529869779, 93670.64134355547 6718815.926946463, 93736.77728499164 6718947.885992401, 93767.50505004369 6718995.753157745, 93796.26215040032 6719038.039449335, 93835.83598531788 6719086.396727004, 93874.53171301435 6719126.967459492, 93914.38545682502 6719165.919778314, 93953.11676332104 6719197.559832995, 93993.34667734132 6719225.311871669, 94016.8117912772 6719237.843656611, 94033.98693662585 6719242.157785176, 94054.69352480362 6719246.074326401, 94075.46104698401 6719246.562477469, 94113.63792041654 6719242.85915506, 94157.12690489547 6719237.368103852, 94200.26556792617 6719239.355301502, 94238.27886530687 6719248.763033001, 94271.8511095104 6719263.7288557235, 94446.09108965466 6719371.462307489, 94475.98583672795 6719389.520302891, 94504.97068646573 6719412.73840894, 94556.07185368589 6719459.054574575, 94596.2621372923 6719487.85495928, 94939.1247937113 6719637.921606467, 94999.77544713195 6719663.2345786, 95061.72861407744 6719684.237141842, 95292.5789474615 6719751.270080454, 95366.36529576167 6719772.88128493, 95401.54270362487 6719784.995384452, 95432.37466060225 6719800.869527828, 95458.22196743643 6719818.7905427525, 95471.36106720206 6719830.998907626, 95482.11568491947 6719845.854515727, 95503.56077761849 6719894.907152998, 95514.02456639946 6719913.8107248945, 95528.14720283699 6719929.477839673, 95564.28562608216 6719958.1415376, 95601.74386808823 6719982.641662715, 95678.76537832792 6720029.175241378, 95703.31404919241 6720042.18542316, 95728.03910154063 6720051.457968676, 95752.76170082076 6720058.054003043, 95777.80906397954 6720062.2342861155, 95830.3231758165 6720070.918836792, 95880.38659202878 6720081.663413499, 95929.79967968195 6720097.240289489, 96184.54783454741 6720185.275350141, 96217.08520539821 6720196.500259736, 96246.77311687137 6720200.9067491805, 96267.15759888222 6720202.043250578, 96288.58533143776 6720199.196659022, 96429.05565745756 6720139.446715092, 96502.0708808375 6720109.113854978, 96520.81571497465 6720102.256610771, 96539.62810848746 6720098.663448046, 96554.27306092595 6720096.429150415, 96568.13659293932 6720099.189694778, 96589.92913142627 6720103.590731166, 96612.13256647222 6720111.6635171315, 96656.29501638818 6720129.621162116, 96751.55033237627 6720167.587279169, 96799.3621527332 6720195.546666094, 96844.23420190369 6720229.188277111, 96881.82877853542 6720257.696119624, 96920.27027099428 6720281.797084466, 96947.70442603558 6720294.0441783685, 96974.44999665301 6720302.799747434, 97011.19806290383 6720310.4368804805, 97038.83951809123 6720313.8883786015, 97065.02496263222 6720314.975097696, 97085.55430271279 6720314.761391625, 97105.34746844566 6720313.291877648, 97125.05854406895 6720311.08819065, 97145.08089797525 6720310.336732039, 97163.04452832515 6720311.153742723, 97182.88886130927 6720314.139670212, 97238.5351436116 6720330.966924549, 97268.09920089366 6720340.301392745, 97295.71619483549 6720345.54164937, 97402.64940724475 6720358.8702654345, 97455.60919432953 6720366.335679174, 97481.60613458243 6720368.412701574, 97506.96437544748 6720367.438838928, 97559.60894337622 6720364.086834253, 97609.40802790731 6720356.592789389, 97661.11898651673 6720347.54782542, 97686.41939220956 6720344.723130656, 97699.47832544707 6720343.636931868, 97713.15888119524 6720344.116913986, 97739.67017337243 6720345.469257767, 97766.37812095508 6720348.584038085, 97797.72915601585 6720355.938627041, 97829.26113144623 6720367.585025963, 97856.33169624867 6720381.959702349, 97882.84682184114 6720398.03193206, 97933.86732084944 6720434.8611683585, 97992.22698903322 6720478.751526264, 98015.56960982416 6720493.096434958, 98038.35541906976 6720503.78663834, 98056.87786591926 6720507.964797578, 98075.22818981396 6720510.266640179, 98101.99910518853 6720510.960338584, 98126.47289018444 6720508.082079657, 98150.2681162259 6720503.792929202, 98172.8616679667 6720497.407843601, 98273.20429133245 6720462.431900518, 98303.92800151894 6720449.491677772, 98330.92483129457 6720432.506918603, 98383.08777893987 6720392.794976497, 98414.73455653823 6720371.4269616995, 98449.7081197038 6720353.182372506, 98485.13989554282 6720337.042868828, 98522.0024566722 6720324.386888675, 98539.60448818927 6720319.303671273, 98557.43559182202 6720316.276497171, 98598.998217883 6720311.720983852, 98638.99189624167 6720307.786729691, 98658.367520815 6720303.918999654, 98677.17095039017 6720297.587608018, 98715.77469103498 6720280.502508049, 98735.57523895812 6720273.0939982375, 98756.40566475893 6720268.247106293, 98779.49163821514 6720263.595241862, 98804.58810719335 6720262.287931141, 98902.42437963892 6720274.293148368, 98951.68535561342 6720280.704512617, 98975.90713970445 6720284.253247452, 98987.46228807943 6720287.724917222, 98998.65780890675 6720293.318053298, 99020.62379179028 6720304.7003440205, 99042.09921234794 6720319.705392216, 99087.07622682257 6720346.51672485, 99134.04660872807 6720369.835786023, 99181.21266777953 6720389.565365508, 99439.84698269912 6720501.887633765, 99548.27405142161 6720543.650401149, 99585.6147891517 6720554.06906731, 99622.38371449296 6720562.024416979, 99694.12382808351 6720575.162668502, 99988.13845823065 6720621.593210479, 100119.07867293799 6720642.288612701, 100196.52106106991 6720643.802754401, 100274.20890225447 6720643.50751571, 100321.336590502 6720646.90096672, 100368.43102702149 6720651.339187677, 100414.2330816423 6720658.894166795, 100461.04866690596 6720664.850830702, 100531.16746434564 6720668.818936119, 100601.89226360817 6720668.856478704, 100640.06504225952 6720669.3817797555, 100677.5818852117 6720674.736652217, 100709.10031090007 6720682.391639556, 100740.5353003664 6720693.326143183, 100872.54708381149 6720738.600768119, 100888.45886716334 6720746.499437707, 100904.53252533294 6720757.204265917, 100933.78476327087 6720783.393623674, 100958.82099420356 6720809.158074068, 100981.9746084226 6720840.778880476, 101008.0189905992 6720874.308752877, 101032.98100028635 6720914.200577434, 101074.70043592097 6720995.188769969, 101097.25775432703 6721037.574932542, 101119.06832767569 6721070.531647416, 101131.05318152043 6721084.661091851, 101144.00310433947 6721096.751609818, 101212.80950670439 6721146.797633145, 101247.72586907586 6721173.101416069, 101279.87854308868 6721202.683360543, 101334.14941279922 6721263.997751846, 101358.75388918072 6721291.293873873, 101385.27301492437 6721313.028134234, 101421.1380134158 6721333.133827891, 101461.15416325087 6721350.402698413, 101564.38077532587 6721390.102901335, 101653.13312751369 6721425.4616396045, 101697.73487736186 6721446.534341169, 101742.49644106656 6721471.750381868, 101802.47893778974 6721502.713702172, 101862.37717615301 6721535.618501744, 101929.01977109077 6721570.304375694, 101961.92687143112 6721583.904236085, 101994.60868861072 6721592.774299938, 102015.14010593685 6721596.746382952, 102036.58825298148 6721598.239849667, 102079.945005099 6721597.312964744, 102120.98371719941 6721594.265241208, 102199.2728263766 6721586.212187762, 102277.9533727335 6721579.009156289, 102356.25887476513 6721571.106327234, 102376.5415044683 6721569.4615360275, 102396.90515989222 6721568.550848039, 102414.8576733945 6721569.392286696, 102436.418895401 6721571.915692626, 102477.47776240681 6721582.539670137, 102518.51269555185 6721601.041611002, 102735.65324077383 6721711.030373355, 102792.54442112299 6721739.74543591, 102849.25453316554 6721768.852321253, 102907.62951389083 6721798.221767942, 102918.89528646966 6721803.219684209, 102930.52997246885 6721806.839804025, 102941.40798059589 6721807.64623214, 102952.25361435284 6721808.1591174, 102966.72848185548 6721805.82052072, 102980.27404346067 6721801.801573038, 103005.15523361147 6721790.590293725, 103031.47307276208 6721780.2608378045, 103045.02614787 6721776.984170519, 103059.14975248795 6721774.833247849, 103082.2642665829 6721773.92008087, 103094.841196327 6721774.614035268, 103108.54293021164 6721777.412640806, 103159.82089976151 6721788.996334428, 103213.8581505345 6721801.316603403, 103267.80957536818 6721816.915467645, 103316.78020802268 6721845.394529158, 103365.92630279716 6721876.825784668, 103637.7606268421 6722046.858249105, 103702.65236696717 6722086.21377208, 103718.44251009205 6722095.84036965, 103734.61148886598 6722102.825653612, 103763.93794329464 6722115.122274212, 103796.21755524009 6722123.157547731, 103826.07970512699 6722124.774282426, 103858.56722269952 6722123.20573331, 103873.4721327339 6722122.086058537, 103886.94347172388 6722118.078878588, 103912.67781675764 6722109.900481393, 103937.4350404237 6722099.601500751, 104002.21771365334 6722069.006277587, 104028.08608666435 6722058.660012876, 104055.92679745663 6722051.365184434, 104085.60261837544 6722045.874251921, 104111.75368546252 6722038.097154899, 104205.25401478319 6721993.95024312, 104253.01422599686 6721974.2920647105, 104303.00868803769 6721957.360063001, 104340.60876316187 6721944.761492796, 104378.6069476374 6721933.753658767, 104416.07173815073 6721924.661722017, 104454.34142131207 6721918.155708639, 104508.76035912469 6721908.985303719, 104536.72258510377 6721903.463590111, 104561.61844475992 6721895.084946145, 104573.61671090894 6721888.493968883, 104584.11453681148 6721880.433705485, 104606.50395758386 6721860.74353718, 104622.68744049326 6721846.191336019, 104632.29128787073 6721840.828988853, 104642.42385727877 6721836.894150113, 104661.3597982953 6721833.181387425, 104670.64450191916 6721833.722000525, 104680.98857765418 6721835.780426833, 104720.70102213643 6721853.258624272, 104777.75324572006 6721885.026040517, 104863.46254835726 6721931.177992843, 104950.57525720878 6721976.582675465, 105041.8803872572 6722023.608069727, 105073.16045626556 6722041.567404286, 105087.54642933921 6722053.358340545, 105097.51324576186 6722070.981265511, 105100.85042975703 6722087.84573402, 105098.47234412393 6722104.148565903, 105089.32631778345 6722134.71033765, 105076.34211190348 6722165.54431739, 105065.07183762261 6722197.081370781, 105059.34193402209 6722226.228190383, 105056.27152343764 6722287.75992817, 105055.49178774655 6722315.917569959, 105058.58459654608 6722342.759081835, 105065.02078999334 6722362.1043815175, 105075.37224560243 6722373.742350141, 105100.42916905612 6722390.599670232, 105127.49237497518 6722398.622555475, 105160.75419490674 6722400.7675054185, 105179.33631251089 6722401.997446253, 105197.08032558602 6722406.438379005, 105207.08372819633 6722410.836940232, 105218.17173787381 6722421.057536247, 105237.09531582333 6722443.043460167, 105256.55181351712 6722468.5353735, 105316.39471896132 6722551.680541828, 105339.82894380158 6722590.399255211, 105349.86934368446 6722611.427400853, 105357.32370434224 6722636.006177382, 105363.11721073149 6722697.003639215, 105372.08667808224 6722753.048176851, 105382.3245546387 6722782.667111799, 105398.4094682284 6722811.347904395, 105429.98310974461 6722853.775326539, 105446.18180741469 6722872.641952121, 105463.6938217014 6722887.206522373, 105537.93376592366 6722937.58041959, 105571.46344937745 6722961.230368241, 105588.18910374382 6722976.77208659, 105603.6538431641 6722994.3823760785, 105616.62445707055 6723019.096642565, 105622.58380881161 6723047.697230544, 105621.77319223754 6723082.385010442, 105615.24914678361 6723116.510494034, 105607.1108900524 6723149.4761525225, 105597.12882154656 6723181.901149371, 105578.91510798893 6723245.073842655, 105559.67969175754 6723285.342522817, 105496.57897015894 6723382.684426857, 105453.82491658081 6723459.38387899, 105417.23466893518 6723521.747060402, 105391.27078484045 6723565.721625348, 105372.27274751506 6723608.115616616, 105364.45330912009 6723633.100011641, 105357.9967582266 6723658.306020108, 105354.74166736758 6723712.706559819, 105356.7052460495 6723740.106629493, 105360.48041993077 6723767.753242878, 105372.04760518385 6723812.212731639, 105383.59014770732 6723841.530962622, 105397.03318017861 6723866.483578079)</t>
  </si>
  <si>
    <t>POLYGON ((91611.58177882488 6717164.937627368, 91663.5364637666 6717203.716065455, 91663.53691354343 6717203.716400771, 91766.4509917861 6717280.350750246, 91766.45410287143 6717280.353048245, 91834.73286635344 6717330.380060452, 91869.52721668419 6717358.58993356, 91869.58707640918 6717358.631615839, 91903.95083663803 6717379.009166481, 91903.98877882883 6717379.029511125, 91954.77010686621 6717403.50469563, 91954.79973863788 6717403.517811645, 91980.09791115901 6717413.748595358, 92006.10027070543 6717426.278508943, 92026.13551237567 6717436.34247841, 92044.45000760621 6717449.8447963, 92119.45779581602 6717526.626561711, 92119.48435236073 6717526.651823845, 92149.79864347338 6717553.441994329, 92149.83576128691 6717553.471774867, 92181.02402547683 6717576.142449958, 92427.71754493493 6717759.028345874, 92427.74042804312 6717759.044339956, 92451.09491655178 6717774.415548721, 92451.15058359978 6717774.447272475, 92477.65818001979 6717787.378496074, 92477.68615097548 6717787.391094076, 92515.53512256705 6717803.059876492, 92515.56396269437 6717803.070786739, 92553.71917166747 6717816.174937149, 92553.73755551476 6717816.180856567, 92655.90170755037 6717846.912065061, 92655.90561031182 6717846.913221717, 92756.2659029897 6717876.213008189, 92756.26774389752 6717876.213541808, 92881.04697643043 6717912.123823222, 92913.08556404294 6717925.738948848, 92929.65729553367 6717935.8655806575, 92945.03404032392 6717951.034830174, 92986.93545505863 6718000.15826455, 93027.5105869922 6718050.639305239, 93027.51278374324 6718050.6420188425, 93080.62718296147 6718115.786797481, 93080.6580217725 6718115.821239062, 93096.3199250358 6718131.763998069, 93096.35954795535 6718131.800219136, 93112.95017215745 6718145.405855526, 93112.99237223585 6718145.43691246, 93113.03759067455 6718145.46338268, 93306.78914215388 6718245.640043413, 93306.80050977753 6718245.645738901, 93359.29208503218 6718271.1157085905, 93384.96280417872 6718286.205900754, 93409.76619798757 6718303.01303469, 93430.63157059654 6718323.355461047, 93446.47066916316 6718346.501743101, 93473.62689114209 6718397.124702116, 93507.47790080697 6718467.398691815, 93540.71395940438 6718540.1304701315, 93604.51620109002 6718681.73526649, 93604.52282571665 6718681.749377828, 93670.19210395764 6718816.146454512, 93670.19434210323 6718816.150977045, 93736.3302835394 6718948.1100229835, 93736.35651997429 6718948.156097567, 93767.08428502634 6718996.023262911, 93767.09159780471 6718996.03432895, 93795.84869816134 6719038.32062054, 93795.87520622267 6719038.356110358, 93835.44904114024 6719086.713388027, 93835.47417002475 6719086.74182075, 93874.16989772122 6719127.312553238, 93874.1822266151 6719127.32503362, 93914.03597042577 6719166.277352442, 93914.06913263998 6719166.306997904, 93952.800439136 6719197.947052584, 93952.83284643976 6719197.971404622, 93993.06276046004 6719225.723443297, 93993.11113365315 6719225.752914945, 94016.57624758902 6719238.284699886, 94016.63177252529 6719238.310125526, 94016.68998296815 6719238.328592417, 94033.8651283168 6719242.642720982, 94033.89401189788 6719242.649074292, 94054.60060007565 6719246.565615516, 94054.64101245151 6719246.571561207, 94054.68177529718 6719246.574188331, 94075.44929747758 6719247.0623394, 94075.50932255309 6719247.060141482, 94113.68619598562 6719243.356819073, 94113.70055464018 6719243.355216501, 94157.14686449834 6719237.86955352, 94200.19330859095 6719239.852503073, 94238.11574644267 6719249.237748176, 94271.61678883573 6719264.1718305815, 94445.82814070358 6719371.88758134, 94445.83256764441 6719371.890286893, 94475.69903073662 6719389.931197287, 94504.64619620684 6719413.119116624, 94555.73607115411 6719459.42504737, 94555.78061193264 6719459.460995836, 94595.97089553905 6719488.261380541, 94596.01492436102 6719488.289569182, 94596.06165584968 6719488.31300643, 94938.92431226867 6719638.379653617, 94938.93221465289 6719638.383031766, 94999.58286807354 6719663.696003899, 94999.61491727865 6719663.708108078, 95061.56808422414 6719684.71067132, 95061.5891862021 6719684.7173083415, 95292.43896307044 6719751.750085356, 95366.21354138681 6719773.357842534, 95401.34584824483 6719785.456410551, 95432.1166750795 6719801.2990804585, 95457.90775909692 6719819.181113761, 95470.98480880071 6719831.331824015, 95481.67911385253 6719846.104120803, 95503.10264602704 6719895.107441403, 95503.12332426335 6719895.149298743, 95513.58711304431 6719914.05287064, 95513.61750399244 6719914.101069856, 95513.65318149989 6719914.145498334, 95527.77581793742 6719929.812613113, 95527.80496718697 6719929.842359576, 95527.83649090992 6719929.869576955, 95563.97491415509 6719958.5332748825, 95564.01193725376 6719958.559980458, 95601.47017925984 6719983.060105572, 95601.4853112877 6719983.069621102, 95678.5068215274 6720029.603199765, 95678.53124013299 6720029.6170323985, 95703.07991099748 6720042.62721418, 95703.13847666679 6720042.653583697, 95727.86352901501 6720051.9261292135, 95727.91020926055 6720051.941069888, 95752.63280854067 6720058.537104255, 95752.6793916984 6720058.547181721, 95777.72675485718 6720062.727464793, 95777.7274842397 6720062.7275859695, 95830.22987304527 6720071.410197943, 95880.25868643688 6720082.147348216, 95929.64283121629 6720097.715100316, 96184.38452279288 6720185.747927406, 96216.92214350012 6720196.97292327, 96216.96646298886 6720196.98595536, 96217.01179608781 6720196.994841451, 96246.69970756097 6720201.401330896, 96246.74528346508 6720201.405973881, 96267.12976547593 6720202.5424752785, 96267.17668854534 6720202.54288603, 96267.22344347734 6720202.538896106, 96288.65117603289 6720199.69230455, 96288.69547363794 6720199.684376867, 96288.73887903566 6720199.672498423, 96288.78104062029 6720199.65676544, 96429.24942633424 6720139.907646831, 96502.25276447955 6720109.579724224, 96520.94938034029 6720102.74011925, 96539.71274485307 6720099.156321052, 96554.26160013812 6720096.93668442, 96568.03828149977 6720099.679934844, 96589.79346183667 6720104.073426697, 96611.95290953376 6720112.130219622, 96656.10667799045 6720130.08433449, 96656.10989290121 6720130.085628794, 96751.33033689277 6720168.03784684, 96799.08508568366 6720195.963859466, 96843.93317936956 6720229.587510504, 96881.52666723635 6720258.094527409, 96881.56318473227 6720258.119746738, 96920.00467719113 6720282.22071158, 96920.0664496919 6720282.2536552455, 96947.5006047332 6720294.500749148, 96947.54886681549 6720294.519363942, 96974.29443743292 6720303.274933008, 96974.34825846792 6720303.289287363, 97011.09632471873 6720310.926420409, 97011.13611064135 6720310.933027552, 97038.77756582876 6720314.384525673, 97038.8187854957 6720314.387948576, 97065.00423003669 6720315.474667671, 97065.03016724407 6720315.475070608, 97085.55950732464 6720315.261364536, 97085.59132257638 6720315.260019271, 97105.38448830925 6720313.790505294, 97105.40302205288 6720313.788781861, 97125.09574768048 6720311.587146382, 97145.0789121087 6720310.837158591, 97162.99584030377 6720311.652045196, 97182.77872781469 6720314.628727137, 97238.38750362187 6720331.4446396325, 97267.94865793933 6720340.778191255, 97268.0059902703 6720340.792627699, 97295.62298421214 6720346.032884324, 97295.65435123819 6720346.037809999, 97402.58358523528 6720359.365930176, 97455.53940242059 6720366.830784304, 97455.5693737789 6720366.834090976, 97481.56631403179 6720368.911113376, 97481.6253225316 6720368.912333261, 97506.98356339666 6720367.938470615, 97506.99614729591 6720367.937828457, 97559.64071522465 6720364.585823782, 97559.6833484052 6720364.581267152, 97609.48243293629 6720357.087222288, 97609.49417691318 6720357.085311824, 97661.18986827548 6720348.0430183085, 97686.46786366068 6720345.220825572, 97699.49032397031 6720344.13766048, 97713.13737798174 6720344.616467191, 97739.6284334935 6720345.967778697, 97766.29178244097 6720349.077357756, 97797.58489201339 6720356.418358064, 97829.0563433272 6720368.042402282, 97856.08466016906 6720382.394644679, 97882.57046327826 6720398.44910047, 97933.57070499768 6720435.26371401, 97991.92646076728 6720479.151129519, 97991.96520220603 6720479.177516472, 98015.30782299697 6720493.522425166, 98015.35724052756 6720493.549092977, 98038.14304977316 6720504.239296359, 98038.19327158523 6720504.259616345, 98038.24539709438 6720504.27438332, 98056.76784394388 6720508.452542557, 98056.81563421311 6720508.460909677, 98075.16595810781 6720510.762752278, 98075.2152379664 6720510.7664724, 98101.98615334097 6720511.460170805, 98102.05750560103 6720511.456916263, 98126.53129059693 6720508.5786573365, 98126.56158705882 6720508.574149637, 98150.35681310028 6720504.2849991815, 98150.40409377034 6720504.274084175, 98172.99764551115 6720497.888998574, 98173.02623953133 6720497.879983623, 98273.36886289708 6720462.90404054, 98273.39836981775 6720462.892697156, 98304.12208000424 6720449.952474411, 98304.1589356941 6720449.935152018, 98304.19425945236 6720449.914887782, 98331.19108922798 6720432.930128613, 98331.2277020542 6720432.90474935, 98383.37934666974 6720393.201412303, 98414.99090111279 6720371.857180304, 98449.92753767173 6720353.63185454, 98485.32514163294 6720337.50791647, 98522.15309217274 6720324.863819131, 98539.71604943968 6720319.791885818, 98557.50473395783 6720316.77191318, 98599.04993267951 6720312.218310001, 98639.04084591854 6720308.284327851, 98639.08977436286 6720308.277055983, 98658.46539893618 6720304.409325947, 98658.5270760396 6720304.3928584205, 98677.33050561477 6720298.061466784, 98677.37330610325 6720298.044830246, 98715.96363897927 6720280.965664238, 98735.72010973617 6720273.573646198, 98756.51172841371 6720268.735784022, 98779.55436361498 6720264.092652326, 98804.57053107201 6720262.789524626, 98902.36166477535 6720274.789203002, 98951.61684494655 6720281.199812922, 98975.79838307282 6720284.742651319, 98987.27726779759 6720288.191408168, 98998.43104729106 6720293.763690817, 99020.3644600689 6720305.129104425, 99041.81283668241 6720320.115256801, 99041.84319337475 6720320.1348736305, 99086.82020784938 6720346.946206264, 99086.85388811177 6720346.964570245, 99133.82427001727 6720370.283631418, 99133.85365912285 6720370.297056497, 99181.0165975345 6720390.025330617, 99439.6478097047 6720502.346251382, 99439.66726807681 6720502.354219936, 99548.0943367993 6720544.11698732, 99548.13967592709 6720544.132005993, 99585.48041365718 6720554.550672154, 99585.50905531137 6720554.557759805, 99622.27798065262 6720562.513109474, 99622.29364409806 6720562.516237398, 99694.03375768861 6720575.65448892, 99694.04583503047 6720575.656548127, 99988.06043190871 6720622.08708485, 100119.00061572889 6720642.78248219, 100119.06889888266 6720642.788517159, 100196.51128701458 6720644.30265886, 100196.52296121641 6720644.3027507905, 100274.19187307527 6720644.007584036, 100321.29517429325 6720647.399279047, 100368.36680585144 6720651.835350845, 100414.15170699565 6720659.387500523, 100414.16997205252 6720659.390167984, 100460.98555731618 6720665.346831892, 100461.0204165171 6720665.350031979, 100531.13921395678 6720669.318137396, 100531.16719893251 6720669.318936048, 100601.88869074949 6720669.356476878, 100640.02611793921 6720669.881291453, 100677.48733716882 6720675.228224602, 100708.95884466164 6720682.871816758, 100740.37103209012 6720693.798388811, 100740.3730951118 6720693.799101379, 100872.35400312571 6720739.063137309, 100888.20812554962 6720746.933183793, 100904.2256328123 6720757.600616297, 100933.4382960889 6720783.754543091, 100958.43814706114 6720809.481555354, 100981.57119322915 6720841.07427205, 100981.57973602483 6720841.085598244, 101007.60857419825 6720874.595459095, 101032.54606900798 6720914.448106391, 101074.25594472271 6720995.417740654, 101074.2590493325 6720995.423669691, 101096.81636773856 6721037.809832264, 101096.84079394567 6721037.850874638, 101118.65136729433 6721070.807589512, 101118.68702297952 6721070.855077051, 101130.67187682426 6721084.984521486, 101130.71196322404 6721085.02656425, 101143.66188604308 6721097.117082217, 101143.70899925943 6721097.1559638735, 101212.5120071302 6721147.199518231, 101247.40540311275 6721173.485999728, 101279.52113494764 6721203.033955692, 101333.77500912803 6721264.329145707, 101333.77802269453 6721264.332519512, 101358.38249907603 6721291.628641538, 101358.40874530918 6721291.65564135, 101358.43694899794 6721291.680589427, 101384.9560747416 6721313.414849789, 101384.9912096928 6721313.441154586, 101385.02851613064 6721313.464276803, 101420.89351462206 6721333.56997046, 101420.93990013633 6721333.592904277, 101460.95604997141 6721350.8617747985, 101460.97468292761 6721350.86937476, 101564.19850185097 6721390.568503457, 101652.93361130658 6721425.920372261, 101697.50508186383 6721446.978767963, 101742.25103206625 6721472.186012931, 101742.26709262969 6721472.194678272, 101802.24385493621 6721503.155038436, 101862.13643717463 6721536.056730844, 101862.14633360562 6721536.062023692, 101928.78892854338 6721570.747897642, 101928.82879748387 6721570.766467764, 101961.73589782423 6721584.366328155, 101961.79590594911 6721584.386779391, 101994.47772312872 6721593.256843245, 101994.5137177512 6721593.265197622, 102015.04513507732 6721597.237280635, 102015.10537428255 6721597.245175205, 102036.55352132718 6721598.7386419205, 102036.59893958906 6721598.739735451, 102079.95569170658 6721597.812850527, 102079.982035424 6721597.811591613, 102121.02074752441 6721594.763868077, 102121.03487875173 6721594.762616816, 102199.32120030366 6721586.709850115, 102277.99895601878 6721579.507074118, 102278.0035792116 6721579.506629212, 102356.30418943695 6721571.604293853, 102376.5728909714 6721569.960632131, 102396.90462320243 6721569.051371788, 102414.81685891372 6721569.890922615, 102436.32678049483 6721572.408324627, 102477.31117272726 6721583.013031799, 102518.29685914716 6721601.492768168, 102735.42730596676 6721711.476415352, 102735.42794416442 6721711.476738047, 102792.31761415295 6721740.191038268, 102849.02622097723 6721769.297151046, 102849.02981327233 6721769.298976568, 102907.40479399762 6721798.668423257, 102907.42675277643 6721798.678810534, 102918.69252535526 6721803.6767268, 102918.74673674178 6721803.697107478, 102930.38142274097 6721807.317227295, 102930.43661069554 6721807.331010275, 102930.4930070058 6721807.338435708, 102941.37101513284 6721808.1448638225, 102941.38436220956 6721808.1456740005, 102952.22999596651 6721808.65855926, 102952.28183037826 6721808.658320621, 102952.33336153957 6721808.652716818, 102966.8082290422 6721806.314120139, 102966.87070324166 6721806.299867231, 102980.41626484685 6721802.280919549, 102980.47945041215 6721802.257432648, 103005.34939400868 6721791.051220949, 103031.62386480877 6721780.738786618, 103045.12271468622 6721777.475229127, 103059.19740889879 6721775.331755158, 103082.26035345011 6721774.420625497, 103094.77705012668 6721775.111256429, 103108.43780201643 6721777.901491315, 103159.71023969288 6721789.483935286, 103213.7330371391 6721801.800908963, 103267.61149206004 6721817.378675565, 103316.51971530564 6721845.821442644, 103365.65691122045 6721877.247006912, 103365.66115082322 6721877.249688467, 103637.49547486815 6722047.282152903, 103637.50134495777 6722047.285768583, 103702.39258905078 6722086.640990726, 103718.18223670256 6722096.267286226, 103718.24421492624 6722096.299367501, 103734.41319370017 6722103.284651463, 103734.41814652116 6722103.286759606, 103763.74460094982 6722115.583380206, 103763.78042210023 6722115.596813012, 103763.81716543954 6722115.607467689, 103796.09677738498 6722123.642741208, 103796.14331679074 6722123.652005669, 103796.19052486107 6722123.656816555, 103826.05267474797 6722125.27355125, 103826.10381783535 6722125.273700665, 103858.59133540788 6722123.70515155, 103858.60467776662 6722123.704328455, 103873.509587801 6722122.584653681, 103873.56265698982 6722122.57779562, 103873.61468936031 6722122.565305455, 103887.08602835028 6722118.558125506, 103887.09490870332 6722118.555393899, 103912.82925373709 6722110.376996703, 103912.86986179327 6722110.362129207, 103937.62708545933 6722100.063148566, 103937.6485630081 6722100.053615898, 104002.41749850314 6722069.46488072, 104028.24289596592 6722059.135804425, 104056.03579531852 6722051.853503546, 104085.69358948294 6722046.365906533, 104085.74514485437 6722046.353507806, 104111.89621194145 6722038.576410783, 104111.93220412915 6722038.564199956, 104111.96716480616 6722038.549290464, 104205.4560392465 6721994.407787197, 104253.18975534696 6721974.760514218, 104303.16831016811 6721957.833899926, 104340.75781694202 6721945.238870835, 104378.73553141186 6721934.236966836, 104416.17271918271 6721925.151728707, 104454.42486378449 6721918.64869696, 104508.84344515203 6721909.478352106, 104508.85722381609 6721909.475831222, 104536.81944979516 6721903.954117614, 104536.88206923005 6721903.937472811, 104561.77792888621 6721895.558828846, 104561.81934570007 6721895.542809457, 104561.85917782884 6721895.523178492, 104573.85744397786 6721888.932201229, 104573.89012134701 6721888.9125936935, 104573.92121045732 6721888.89055434, 104584.41903635986 6721880.830290942, 104584.44473239937 6721880.809166367, 104606.83415317175 6721861.118998062, 104606.83827575704 6721861.115331961, 104622.98010474129 6721846.600586044, 104632.50469122072 6721841.282494522, 104642.56354712803 6721837.376281368, 104661.39390555712 6721833.684220217, 104670.58087412146 6721834.219142576, 104680.83728467893 6721836.260123892, 104720.47820801847 6721853.706843525, 104777.51000463235 6721885.462885768, 104777.5161926654 6721885.466274374, 104863.2254953026 6721931.6182267, 104863.23144711314 6721931.62138005, 104950.34415596466 6721977.026062672, 104950.34631962703 6721977.027183714, 105041.64131561837 6722024.047358576, 105072.8755584995 6722041.980382235, 105087.1572108487 6722053.685815831, 105097.03838781302 6722071.157316542, 105100.3432695076 6722087.858545286, 105097.98285562205 6722104.040229501, 105088.85504045077 6722134.541147979, 105075.88130211388 6722165.350270133, 105075.87127425242 6722165.376055967, 105064.60099997156 6722196.913109358, 105064.58977483957 6722196.948647485, 105064.58122797521 6722196.984923003, 105058.85132437469 6722226.131742605, 105058.84255535512 6722226.203271575, 105055.77214477067 6722287.735009362, 105055.77171503635 6722287.746087577, 105054.99197934526 6722315.903729366, 105054.99507424765 6722315.97480369, 105058.08788304718 6722342.816315566, 105058.09642515815 6722342.867196108, 105058.11016492205 6722342.9169255365, 105064.54635836932 6722362.262225219, 105064.56478237541 6722362.309459679, 105064.58789512156 6722362.354585494, 105064.61545895896 6722362.397138674, 105064.6471904721 6722362.436681679, 105074.99864608118 6722374.0746503025, 105075.02779877918 6722374.104781356, 105075.05937329691 6722374.132364141, 105075.09314763275 6722374.157204721, 105100.15007108645 6722391.014524813, 105100.19347144249 6722391.040631268, 105100.23929018625 6722391.062213219, 105100.28705719204 6722391.079049224, 105127.35026311109 6722399.1019344665, 105127.40468229912 6722399.114805406, 105127.46019838554 6722399.121519067, 105160.72159537731 6722401.266441737, 105179.25848114624 6722402.493388699, 105196.91784219156 6722406.913134926, 105206.806150453 6722411.26108842, 105217.81162048105 6722421.405601853, 105236.70677132993 6722443.358498399, 105256.15009603965 6722468.83315248, 105315.97727274877 6722551.956467453, 105339.38839004013 6722590.6370018665, 105349.40184214599 6722611.608709339, 105356.83068254536 6722636.103339587, 105362.61945086128 6722697.050916182, 105362.62349363367 6722697.082654576, 105371.59296098442 6722753.127192212, 105371.60170009253 6722753.1698170975, 105371.61411194452 6722753.211520799, 105381.85198850099 6722782.830455747, 105381.86840997699 6722782.871884961, 105381.88845514762 6722782.911687419, 105397.97336873732 6722811.592480015, 105398.00835046751 6722811.646408235, 105429.58199198372 6722854.073830378, 105429.60375285386 6722854.101038604, 105445.80245052393 6722872.967664186, 105445.83103889354 6722872.998268615, 105445.86208815103 6722873.026373235, 105463.37410243774 6722887.590943486, 105463.41308323324 6722887.620268566, 105537.64927596047 6722937.991620287, 105571.1477521338 6722961.619557082, 105587.83015566714 6722977.1210861355, 105603.23881239723 6722994.667512123, 105616.14923270591 6723019.267085455, 105622.08260314233 6723047.742981921, 105621.27429774715 6723082.331862207, 105614.7605358344 6723116.403555429, 105606.62885655789 6723149.342570605, 105596.65095336604 6723181.754037161, 105596.64839116616 6723181.7626334885, 105578.44612604397 6723244.8956188625, 105559.24249674512 6723285.097754178, 105496.15941087318 6723382.412452583, 105496.1422382349 6723382.440982353, 105453.39087230159 6723459.135612934, 105416.80376583991 6723521.493440619, 105390.84023118138 6723565.46741373, 105390.81450541154 6723565.517152653, 105371.81646808615 6723607.911143921, 105371.7955718132 6723607.9662735555, 105363.97613341823 6723632.950668581, 105363.96894701985 6723632.975941678, 105357.51239612636 6723658.1819501445, 105357.50277270324 6723658.228700623, 105357.49765090608 6723658.276155705, 105354.24256004706 6723712.676695416, 105354.24294634958 6723712.7422998, 105356.2065250315 6723740.142369473, 105356.20984340296 6723740.17427724, 105359.98501728423 6723767.820890626, 105359.99652914173 6723767.879138486, 105371.56371439481 6723812.338627247, 105371.58236277272 6723812.395896862, 105383.1249052962 6723841.714127845, 105383.14996377904 6723841.768108377, 105396.59299625033 6723866.720723835, 105397.47336410689 6723866.246432324, 105384.04447000778 6723841.3200601535, 105372.52389957484 6723812.05763861, 105360.97179892476 6723767.656128841, 105357.20281994368 6723740.0548823755, 105355.24273818795 6723712.7036093315, 105358.49300486551 6723658.383693507, 105364.93441016016 6723633.236812599, 105372.74110305213 6723608.293141557, 105391.71559621386 6723565.95168893, 105417.66522259425 6723522.00127202, 105417.66591977424 6723522.000087503, 105454.25616741987 6723459.636906091, 105454.26164850485 6723459.627323494, 105497.00759104012 6723382.942422322, 105560.0992510433 6723285.614497091, 105560.1308613768 6723285.558036098, 105579.36627760819 6723245.289355936, 105579.3824962534 6723245.251460813, 105579.39553836932 6723245.212358537, 105597.60800938235 6723182.043974912, 105607.58875823292 6723149.623264732, 105607.59631661269 6723149.59599014, 105615.7345733439 6723116.630331651, 105615.74025259267 6723116.604382714, 105622.2642980466 6723082.478899122, 105622.27037889409 6723082.437976738, 105622.27305576662 6723082.396691722, 105623.0836723407 6723047.708911824, 105623.08173861007 6723047.651778197, 105623.07329595974 6723047.595238722, 105617.11394421867 6723018.994650743, 105617.10241209813 6723018.94981276, 105617.08678211631 6723018.906233657, 105617.06718828078 6723018.864287071, 105604.09657437433 6722994.150020584, 105604.0659557072 6722994.099244922, 105604.02954163215 6722994.052450843, 105588.56480221187 6722976.442161354, 105588.52945573101 6722976.40580729, 105571.80380136464 6722960.864088941, 105571.75164404456 6722960.821780632, 105538.22196059077 6722937.171831981, 105538.21450439181 6722937.166673397, 105463.99476665942 6722886.806486853, 105446.53381070998 6722872.284381319, 105430.37382132755 6722853.462839285, 105398.82981370957 6722811.075238013, 105382.78251837326 6722782.461522018, 105372.57349942368 6722752.926074263, 105363.61345720806 6722696.9404283445, 105357.82146421245 6722635.958900414, 105357.81426869347 6722635.909499477, 105357.80218278141 6722635.8610623125, 105350.34782212363 6722611.282285783, 105350.33551345438 6722611.246608857, 105350.3205488361 6722611.2119619725, 105340.28014895321 6722590.183816331, 105340.25669768713 6722590.140360226, 105316.82247284688 6722551.421646843, 105316.80053615375 6722551.388458952, 105256.95763070954 6722468.243290624, 105256.94927302704 6722468.232015727, 105237.49277533326 6722442.7401023945, 105237.47427474975 6722442.717285165, 105218.55069680023 6722420.731361245, 105218.51061843679 6722420.689895167, 105207.42260875931 6722410.469299152, 105207.38014085777 6722410.434274696, 105207.33408015576 6722410.4041309245, 105207.28498495258 6722410.379233209, 105197.28158234227 6722405.980671982, 105197.2422290941 6722405.965317429, 105197.2017202173 6722405.953339477, 105179.45770714217 6722401.512406725, 105179.41383184664 6722401.503492052, 105179.36933499697 6722401.49853793, 105160.78721739282 6722400.268597095, 105160.78637149638 6722400.268541826, 105127.58061955204 6722398.12720753, 105100.64471616478 6722390.142061113, 105075.70381516834 6722373.362796402, 105065.46275010546 6722361.8489380255, 105059.07538066956 6722342.650388925, 105055.99258329198 6722315.895763022, 105056.77117838513 6722287.779310252, 105059.83951224694 6722226.2891904665, 105065.55524326982 6722197.214463799, 105076.8082924707 6722165.725610501, 105089.78712757304 6722134.904384906, 105089.80532789978 6722134.8536879495, 105098.95135424027 6722104.291916203, 105098.96710806027 6722104.220736862, 105101.34519369337 6722087.917904979, 105101.35018256957 6722087.861454273, 105101.34875147909 6722087.804801621, 105101.34091880613 6722087.748674797, 105098.00373481096 6722070.8842062885, 105097.99064586952 6722070.832641364, 105097.97215225888 6722070.78275902, 105097.94846334621 6722070.735123978, 105087.98164692357 6722053.112199011, 105087.95708641499 6722053.073102457, 105087.9290242188 6722053.03643814, 105087.89769962219 6722053.002518696, 105087.86337973105 6722052.971633357, 105073.47740665739 6722041.180697098, 105073.44438040796 6722041.155837667, 105073.40941356585 6722041.133791253, 105042.1293445575 6722023.174456694, 105042.10932483895 6722023.163561478, 104950.80527804888 6721976.138725133, 104863.69663611685 6721930.736162261, 104777.99340477519 6721884.58747915, 104720.94426322414 6721852.821779021, 104720.9024370305 6721852.800986817, 104681.18999254824 6721835.3227893775, 104681.13897130618 6721835.303581209, 104681.08616211163 6721835.290042011, 104670.74208637662 6721833.231615704, 104670.67356579818 6721833.222845949, 104661.38886217432 6721832.682232849, 104661.34691765043 6721832.681553364, 104661.3050637962 6721832.68439232, 104661.26359523005 6721832.690729734, 104642.32765421351 6721836.403492421, 104642.28471286233 6721836.413901394, 104642.2428581212 6721836.428060738, 104632.11028871316 6721840.3628994785, 104632.04753338677 6721840.392429863, 104622.4436860093 6721845.754777029, 104622.3965958613 6721845.784630475, 104622.35312232008 6721845.819541238, 104606.17169059672 6721860.369897971, 104583.7968376952 6721880.047254697, 104573.34250402985 6721888.074124619, 104561.41674834117 6721894.6252698945, 104536.59387031621 6721902.979352061, 104508.67036612939 6721908.493419259, 104454.25833528473 6721917.662660251, 104454.25762147148 6721917.662781072, 104415.98793831014 6721924.16879445, 104415.95382099558 6721924.175825378, 104378.48903048225 6721933.267762127, 104378.46782111534 6721933.273404865, 104340.46963663981 6721944.281238894, 104340.44990944864 6721944.287398399, 104302.84983432446 6721956.885968603, 104302.84829817162 6721956.88648609, 104252.85383613079 6721973.8184878, 104252.82391558556 6721973.829699111, 104205.06370437189 6721993.487877521, 104205.04053543955 6721993.498107554, 104111.57464954893 6722037.628756598, 104085.4855403924 6722045.387427878, 104055.83582634914 6722050.873529822, 104055.80006551402 6722050.881512009, 104027.95935472174 6722058.1763404505, 104027.90040810456 6722058.195767819, 104002.03203509355 6722068.5420325305, 104002.00419106895 6722068.554162441, 103937.23214458962 6722099.1443668585, 103912.50575398486 6722109.430520977, 103886.7964622341 6722117.600956217, 103873.38108708287 6722121.591489181, 103858.53643330945 6722122.706637432, 103826.08116778794 6722124.273629367, 103796.29212953527 6722122.660852931, 103764.09592693446 6722114.646342266, 103734.80731331832 6722102.365588369, 103718.67291656586 6722095.39524445, 103702.91264035666 6722085.786855504, 103702.9116488515 6722085.786252601, 103638.02285620462 6722046.432517212, 103366.19358131227 6721876.403211022, 103317.0495995994 6721844.973306915, 103317.03156946086 6721844.962305342, 103268.06093680636 6721816.483243829, 103268.00617074387 6721816.455739183, 103267.94845116856 6721816.435141181, 103213.99702633488 6721800.836276938, 103213.96929626165 6721800.829113272, 103159.93204548866 6721788.508844297, 103159.9310736106 6721788.508623732, 103108.65310406072 6721776.924930111, 103108.64299030502 6721776.922755128, 103094.94125642038 6721774.12414959, 103094.86874281308 6721774.114794654, 103082.29181306898 6721773.420840256, 103082.2445288718 6721773.420470599, 103059.13001477685 6721774.3336375775, 103059.07447407542 6721774.33894717, 103044.95086945746 6721776.48986984, 103044.90865021288 6721776.498172267, 103031.35557510496 6721779.774839553, 103031.29039512094 6721779.795403728, 103004.97255597034 6721790.124859649, 103004.94982665998 6721790.134434115, 102980.09943587045 6721801.331835465, 102966.61703996602 6721805.332041979, 102952.22524588379 6721807.657217104, 102941.43827794009 6721807.147106125, 102930.62394235404 6721806.3453982975, 102919.07153306827 6721802.75087879, 102907.84338059787 6721797.7696522055, 102849.48105283066 6721768.406571435, 102792.7727333113 6721739.300606118, 102792.7697177324 6721739.299071219, 102735.87885644408 6721710.584169705, 102518.73863035892 6721600.595569005, 102518.71821241909 6721600.585800935, 102477.68327927405 6721582.0838600695, 102477.6437478758 6721582.06802533, 102477.6030124387 6721582.055611845, 102436.5441454329 6721571.431634334, 102436.47701594331 6721571.419082112, 102414.9157939368 6721568.895676182, 102414.88108281659 6721568.892834997, 102396.92856931432 6721568.05139634, 102396.8828215976 6721568.051347287, 102376.51916617368 6721568.962035276, 102376.50109034189 6721568.9631720055, 102356.21846063872 6721570.607963212, 102356.20866828703 6721570.608854311, 102277.90547688346 6721578.51145017, 102199.22724309131 6721585.714269933, 102199.22166482429 6721585.714812154, 102120.93961236122 6721593.767139724, 102079.92113003579 6721596.813360904, 102036.60030036797 6721597.739477874, 102015.20519745095 6721596.249704701, 101994.721811244 6721592.286913963, 101962.08849055629 6721583.430012383, 101929.23108793612 6721569.850691087, 101862.61299661719 6721535.177570683, 101802.71967676812 6721502.275473072, 101802.70828622661 6721502.269405768, 101742.7338988759 6721471.31027157, 101697.98028636216 6721446.098710106, 101697.94846972181 6721446.082258982, 101653.34671987365 6721425.009557418, 101653.3181810953 6721424.997145071, 101564.56582890748 6721389.638406801, 101564.56025564914 6721389.636224987, 101461.34303652457 6721349.939634525, 101421.35991361167 6721332.68501669, 101385.55591009594 6721312.613516435, 101359.10001456391 6721290.931077612, 101334.52231734637 6721263.664664297, 101280.25294675987 6721202.351966682, 101280.21708055424 6721202.3154035015, 101248.06440654142 6721172.7334590275, 101248.02672126309 6721172.7020566305, 101213.11035889162 6721146.398273706, 101213.10361178443 6721146.39327909, 101144.32195580089 6721096.36525493, 101131.41566622612 6721084.315474544, 101119.46887269548 6721070.230901002, 101097.68790904299 6721037.318927652, 101075.14339465671 6720994.956824379, 101033.42549148461 6720913.971606749, 101033.40485793496 6720913.935351693, 101008.44284824781 6720874.043527136, 101008.41386299698 6720874.002035108, 100982.37383256953 6720840.477765205, 100959.22440939702 6720808.862682494, 100959.17957888375 6720808.809624607, 100934.14334795106 6720783.045174213, 100934.11827598816 6720783.021106201, 100904.86603805023 6720756.831748444, 100904.8096792392 6720756.788110042, 100888.7360210696 6720746.083281832, 100888.68118456632 6720746.051581734, 100872.76940121446 6720738.152912146, 100872.70928906609 6720738.127809923, 100740.6985379166 6720692.853539022, 100709.26457917636 6720681.919393928, 100709.218317025 6720681.9057645155, 100677.69989133663 6720674.250777177, 100677.65253542287 6720674.241668835, 100640.13569247069 6720668.886796374, 100640.07192217944 6720668.881827091, 100601.89914352809 6720668.35652604, 100601.8925290213 6720668.356478775, 100531.18173343132 6720668.318943623, 100461.09440295014 6720664.352618959, 100414.30534838309 6720658.3993307315, 100368.51240166815 6720650.845853949, 100368.47793959672 6720650.841393332, 100321.38350307723 6720646.403172375, 100321.37250026161 6720646.402257898, 100274.24481201408 6720643.008806888, 100274.20700210797 6720643.007519321, 100196.52499855519 6720643.302735827, 100119.1227959075 6720641.789379828, 99988.21651543975 6720621.09934099, 99694.20787241915 6720574.669744491, 99622.4816415892 6720561.534035412, 99585.73494842577 67205</t>
  </si>
  <si>
    <t>['RV13 S37D1 m7160-10886']</t>
  </si>
  <si>
    <t>LINESTRING (37175.96979392972 6784671.632787263, 37193.10259473382 6784655.983639692, 37210.232603193086 6784640.591846703, 37227.33610243723 6784625.277006633, 37243.287881520635 6784607.91134427, 37255.13800522615 6784594.021158584, 37264.98081322061 6784577.164802802, 37281.24192176922 6784536.414278185, 37288.54342385422 6784500.217814206, 37288.054785205575 6784452.8585097985, 37281.41210866725 6784413.501737831, 37269.22161962412 6784377.810113585, 37254.96966015082 6784351.051858162, 37237.110564023955 6784325.942091536, 37201.19280960882 6784278.684928778, 37168.227021775674 6784229.277220707, 37115.14206118428 6784114.087352205, 37093.27549365541 6784064.099408563, 37079.3692952983 6784008.659011437, 37070.515794701874 6783974.873970252, 37066.90775850398 6783944.070203502, 37068.24977647199 6783924.069532331, 37072.087690975575 6783904.034365844, 37085.371770318365 6783864.107673245, 37100.97679873725 6783825.050426651, 37117.4000329476 6783786.619655631, 37128.163735487964 6783754.366029752, 37132.037664467 6783731.241502345, 37131.54377878492 6783718.530122494, 37129.70344294916 6783704.527106816, 37103.37089288613 6783637.35005014, 37078.92254422128 6783576.679602635, 37036.28300481237 6783467.143455955, 36993.65045224666 6783353.196737483, 36954.7638516904 6783239.781892822, 36947.14213331416 6783215.37424516, 36944.3305117971 6783190.627877355, 36942.737470651686 6783140.457965047, 36941.36691127543 6783085.264138943, 36941.87429961108 6783058.905526753, 36946.00252648542 6783038.827438273, 36958.1843547349 6783016.221848464, 36979.89954024239 6782993.391401228, 37000.679164750385 6782980.231527263, 37024.437024544575 6782971.8213598775, 37057.448681537586 6782967.776952671, 37094.1353317654 6782967.068969814, 37164.673156997655 6782975.427176618, 37235.193860463216 6782995.980060776, 37270.77271859866 6783003.644624989, 37304.36708078504 6783006.282427749, 37405.0410146463 6783002.167828501, 37451.466111647605 6782999.450178077, 37499.50860871823 6782988.883111131, 37521.92260239221 6782982.562362771, 37542.46434778947 6782968.702963747, 37550.21569645149 6782954.90695912, 37555.985581453424 6782909.20421571, 37560.91102530219 6782870.515289817, 37562.97502544528 6782831.320281985, 37556.909071689006 6782794.073306593, 37548.64270876057 6782757.996074666, 37531.448177375714 6782611.3063070495, 37526.98603713472 6782585.157323146, 37528.71733139228 6782556.873153019, 37538.084413503006 6782498.207141177, 37562.01521672739 6782381.218986714, 37563.90772236395 6782358.641444942, 37564.692986764305 6782335.474562341, 37555.78902461048 6782295.656669502, 37547.18121182342 6782256.974701224, 37546.63567962416 6782238.242129542, 37547.14062533667 6782219.665420096, 37559.85857118369 6782176.421063559, 37568.023352609074 6782155.66361147, 37578.006869334786 6782136.430371972, 37600.343092990865 6782116.016961316, 37623.321981895366 6782097.135367082, 37669.32527790684 6782060.835701701, 37734.215981239744 6782008.102122756, 37800.71018574032 6781950.751728529, 37854.76333235594 6781903.995645783, 37911.592271258065 6781858.198512979, 37924.37129550375 6781852.409319336, 37938.01306438807 6781848.710842335)</t>
  </si>
  <si>
    <t>POLYGON ((37193.43829373556 6784656.354193807, 37210.56646295493 6784640.964053426, 37227.669641472494 6784625.649500541, 37227.70432806251 6784625.615251942, 37243.656107145915 6784608.249589579, 37243.66826317217 6784608.235858983, 37255.51838687769 6784594.3456732975, 37255.54569524159 6784594.310621624, 37255.569783887266 6784594.273283926, 37265.41259188172 6784577.416928143, 37265.430142083016 6784577.38412807, 37265.44520506137 6784577.35011394, 37281.70631360998 6784536.599589324, 37281.721134650674 6784536.556949185, 37281.73204944551 6784536.513146081, 37289.03355153051 6784500.316682102, 37289.0411993117 6784500.264926773, 37289.04339724266 6784500.212655636, 37288.554758594015 6784452.853351228, 37288.552816858224 6784452.814187423, 37288.54781208052 6784452.775296214, 37281.9051355422 6784413.418524247, 37281.8967908837 6784413.378924359, 37281.88527100533 6784413.340129038, 37269.6947819622 6784377.648504792, 37269.680326524925 6784377.611146303, 37269.66292689322 6784377.575064879, 37255.41096741992 6784350.816809456, 37255.37711281191 6784350.7620611135, 37237.51801668505 6784325.652294488, 37237.508635743965 6784325.6395375645, 37201.60019025037 6784278.3946226, 37168.664706892356 6784229.032333576, 37115.5981986048 6784113.88250501, 37093.75031337364 6784063.93726993, 37079.85427151492 6784008.5373641215, 37079.85296373014 6784008.532264255, 37071.008330372206 6783974.781060536, 37067.40971825612 6783944.057752295, 37068.7466057473 6783924.133542828, 37072.57254821989 6783904.160874251, 37085.84154873455 6783864.27950265, 37101.43890778732 6783825.241451428, 37117.85980922299 6783786.816139158, 37117.87431945126 6783786.777934854, 37128.638021991625 6783754.524308976, 37128.64892020142 6783754.4868428055, 37128.656863665805 6783754.448640891, 37132.530792644844 6783731.324113484, 37132.5366543765 6783731.273268211, 37132.537287488914 6783731.222090081, 37132.04340180683 6783718.510710231, 37132.03951584591 6783718.464970623, 37130.199180010146 6783704.461954945, 37130.187634879265 6783704.402374403, 37130.16895637898 6783704.344631485, 37103.836406315946 6783637.167574809, 37103.83465481409 6783637.163168161, 37079.38741235187 6783576.4954657825, 37036.75014412038 6783466.9651535, 36994.12117620526 6783353.028015951, 36955.23906371533 6783239.626260974, 36947.63357154557 6783215.270575811, 36944.82961380064 6783190.591660371, 36943.23727365041 6783140.443824623, 36941.8670307595 6783085.262743707, 36942.37332143946 6783058.961154272, 36946.47750059035 6783039.000024557, 36958.592766415975 6783016.517953388, 36980.21925289817 6782993.780760636, 37000.89910486947 6782980.684073281, 37024.55221897017 6782972.310985363, 37057.483999366996 6782968.276364199, 37094.110621886655 6782967.569539764, 37164.573103990675 6782975.918818968, 37235.0539586699 6782996.460089409, 37235.08856370935 6782996.468847635, 37270.667421844795 6783004.133411848, 37270.73357946016 6783004.143090762, 37304.327941646545 6783006.780893522, 37304.387499014825 6783006.782010671, 37405.06143287608 6783002.667411423, 37405.0702338207 6783002.666974011, 37451.49533082201 6782999.949323587, 37451.534639436104 6782999.945459757, 37451.57352041034 6782999.938505178, 37499.61601748096 6782989.371438232, 37499.64431598329 6782989.3643424045, 37522.058309657274 6782983.043594044, 37522.10856778697 6782983.026493003, 37522.15672947282 6782983.0041596815, 37522.202251773575 6782982.97684585, 37542.74399717084 6782969.117446827, 37542.781307743884 6782969.089663097, 37542.81587469311 6782969.058532075, 37542.84739880506 6782969.024323233, 37542.87560720521 6782968.987332685, 37542.90025571997 6782968.947880623, 37550.65160438199 6782955.151875996, 37550.673190034264 6782955.108700593, 37550.69051174411 6782955.063644914, 37550.70340806938 6782955.0171288885, 37550.71175881339 6782954.969586056, 37556.48161111296 6782909.267101678, 37561.407022011874 6782870.578434603, 37561.410333477834 6782870.541583272, 37563.47433362092 6782831.34657544, 37563.47428539172 6782831.293088128, 37563.46852384168 6782831.239912011, 37557.4025700854 6782793.992936619, 37557.39644177778 6782793.961635663, 37549.13614614389 6782757.910883483, 37531.94477741696 6782611.248097093, 37531.94105284245 6782611.222201317, 37527.488633993795 6782585.130186607, 37529.21491156189 6782556.927974181, 37538.57644670065 6782498.296703011, 37562.50507303601 6782381.319190491, 37562.51346937774 6782381.26075149, 37564.4059750143 6782358.683209717, 37564.4074353767 6782358.658383209, 37565.19269977706 6782335.491500609, 37565.19234316603 6782335.449201268, 37565.18841243871 6782335.407083447, 37565.1809357291 6782335.365448603, 37556.27703017705 6782295.547808884, 37547.679614173765 6782256.912561889, 37547.135877481676 6782238.241644618, 37547.63867246236 6782219.744059561, 37560.331994545944 6782176.5834302865, 37568.4791222951 6782155.870859416, 37578.40973225826 6782136.739544767, 37600.67069011339 6782116.394920658, 37623.635589806414 6782097.524821263, 37669.63500161054 6782061.22822078, 37669.6406098138 6782061.223729778, 37734.531313146705 6782008.490150833, 37734.54254186503 6782008.480749429, 37801.0367463656 6781951.130355203, 37801.03729138451 6781951.129884446, 37855.08385267733 6781904.379498018, 37911.85650914119 6781858.627721934, 37924.54096777079 6781852.881368703, 37938.14389839078 6781849.193421306, 37937.88223038536 6781848.228263363, 37924.24046150104 6781851.926740364, 37924.202170076074 6781851.938791345, 37924.16496880622 6781851.9538752735, 37911.385944560534 6781857.743068917, 37911.34832163969 6781857.762063, 37911.312431990125 6781857.784158078, 37911.27853060918 6781857.809197162, 37854.44959170706 6781903.606329966, 37854.43622671175 6781903.617489866, 37800.38335237527 6781950.37333709, 37733.89496612839 6782007.718713148, 37669.01273397623 6782060.445407969, 37623.012258191666 6782096.742848003, 37623.004551171165 6782096.749054081, 37600.025662266664 6782115.630648314, 37600.00578291693 6782115.647878786, 37577.66955926085 6782136.061289442, 37577.63846477222 6782136.0923215635, 37577.61021416028 6782136.1259632455, 37577.5850255039 6782136.161954792, 37577.56309324523 6782136.200018369, 37567.57957651952 6782155.433257867, 37567.55805371167 6782155.4805897875, 37559.39327228629 6782176.238041877, 37559.37888548269 6782176.279990428, 37546.66093963567 6782219.524346965, 37546.6505667672 6782219.566210225, 37546.64384018722 6782219.608811658, 37546.640809944976 6782219.651834287, 37546.13586423246 6782238.228543732, 37546.13589151386 6782238.256684431, 37546.681423713126 6782256.989256113, 37546.685053189045 6782257.0365608195, 37546.69314989542 6782257.0833085645, 37555.30096268248 6782295.765276843, 37555.301075645686 6782295.76578324, 37564.19111197702 6782335.52140078, 37563.408430726435 6782358.612075256, 37561.51943414034 6782381.1477541495, 37537.59455719439 6782498.1069374, 37537.590667636316 6782498.128305784, 37528.22358552559 6782556.794317626, 37528.218265456206 6782556.842604836, 37526.48697119864 6782585.126774964, 37526.48676434684 6782585.18428021, 37526.49316166798 6782585.241428879, 37530.953100759725 6782611.377513632, 37548.146108719324 6782758.054284623, 37548.15533867179 6782758.107745596, 37556.41813801657 6782794.169424826, 37562.47289239913 6782831.3476323355, 37560.41269064614 6782870.470509393, 37555.489584743744 6782909.141070924, 37555.48951909152 6782909.1415887745, 37549.73188368651 6782954.747304223, 37542.086478012156 6782968.354749411, 37521.709560821735 6782982.102939779, 37499.38694714654 6782988.397918971, 37451.3973693714 6782998.953346186, 37405.016194026335 6783001.668425507, 37304.376474567565 6783005.781626393, 37270.84526085075 6783003.148782001, 37235.31661615361 6782995.495035002, 37164.81305879097 6782974.947147985, 37164.77286703106 6782974.937219569, 37164.7319916788 6782974.9306502035, 37094.19416644654 6782966.5724434, 37094.12568450874 6782966.569062892, 37057.43903428093 6782967.277045749, 37057.38787889753 6782967.280663402, 37024.37622190452 6782971.325070608, 37024.32251577745 6782971.334648728, 37024.27017280337 6782971.350020831, 37000.51231300918 6782979.760188217, 37000.46060659953 6782979.781824768, 37000.41164676059 6782979.809112627, 36979.6320222526 6782992.968986591, 36979.59833804683 6782992.992305703, 36979.56667600033 6782993.018304194, 36979.5372486802 6782993.046807519, 36957.82206317271 6783015.877254755, 36957.79296236108 6783015.91070218, 36957.76693881332 6783015.946595946, 36957.74419713545 6783015.984653844, 36945.56236888597 6783038.590243652, 36945.54143473582 6783038.63406196, 36945.52485012427 6783038.679704411, 36945.5127714963 6783038.726740454, 36941.384544621964 6783058.804828934, 36941.37737751947 6783058.850133297, 36941.37439222051 6783058.895903819, 36940.86700388486 6783085.254516009, 36940.86706535814 6783085.276550992, 36942.2376247344 6783140.470377097, 36942.2377225232 6783140.473833509, 36943.830763668615 6783190.643745816, 36943.833708120845 6783190.684322968, 36946.645329637904 6783215.430690774, 36946.65290033937 6783215.477449309, 36946.66486176235 6783215.523281618, 36954.286580138585 6783239.93092928, 36954.290880650595 6783239.944060623, 36993.177481206854 6783353.358905284, 36993.182156096154 6783353.371947972, 37035.81470866187 6783467.318666444, 37035.81706306787 6783467.324834815, 37078.45660247678 6783576.860981495, 37078.45878229332 6783576.866484614, 37102.906244761056 6783637.534732954, 37129.21565786642 6783704.652764859, 37131.04504781136 6783718.5724938465, 37131.536046478795 6783731.209569175, 37127.677068889345 6783754.244847704, 37116.93222025597 6783786.441977514, 37100.517022461856 6783824.8539431235, 37100.51248717251 6783824.864914466, 37084.90745875363 6783863.922161059, 37084.89734027274 6783863.949824799, 37071.61326092995 6783903.876517398, 37071.596619688695 6783903.940296767, 37067.75870518511 6783923.975463254, 37067.75089824265 6783924.036058277, 37066.40888027464 6783944.036729448, 37066.40791225737 6783944.082602282, 37066.41115345334 6783944.128370706, 37070.01918965123 6783974.932137457, 37070.03212627003 6783975.000717434, 37078.88495954999 6784008.783212133, 37092.790517438785 6784064.221055878, 37092.80232027297 6784064.260985016, 37092.81740436212 6784064.29979369, 37114.68397189098 6784114.287737332, 37114.68796217848 6784114.296622587, 37167.77292276988 6784229.48649109, 37167.79067677046 6784229.521358038, 37167.81110278835 6784229.5547299795, 37200.7768906215 6784278.96243805, 37200.79473788881 6784278.987482749, 37236.70770081362 6784326.23834132, 37254.543514445635 6784351.315372918, 37268.761435885935 6784378.009721452, 37280.925833623274 6784413.62495491, 37287.555217307774 6784452.902968893, 37288.042908472744 6784500.170442317, 37280.76074777215 6784536.271023323, 37264.530237295825 6784576.944868819, 37254.72869896924 6784593.730548002, 37242.91345196722 6784607.579852774, 37226.98438438005 6784624.92079061, 37209.89906415782 6784640.219352794, 37209.89842339592 6784640.21992754, 37192.768414936654 6784655.611720529, 37192.76538772212 6784655.614462998, 37175.632586918015 6784671.263610569, 37176.30700094142 6784672.001963957, 37193.43829373556 6784656.354193807))</t>
  </si>
  <si>
    <t>2023-08-16</t>
  </si>
  <si>
    <t>2025-11-22T09:34:24Z</t>
  </si>
  <si>
    <t>['RV41 S20D1 m5790-5791']</t>
  </si>
  <si>
    <t>LINESTRING (131196.5718407065 6602418.209768885, 131239.75026442198 6602445.806083588)</t>
  </si>
  <si>
    <t>POLYGON ((131239.4809998074 6602446.227387003, 131240.01952903657 6602445.384780173, 131196.8411053211 6602417.78846547, 131196.30257609193 6602418.6310723, 131239.4809998074 6602446.227387003))</t>
  </si>
  <si>
    <t>['RV41 S20D1 m5528-5532']</t>
  </si>
  <si>
    <t>LINESTRING (131378.30752537254 6602223.476487063, 131399.80136456114 6602239.428362843)</t>
  </si>
  <si>
    <t>POLYGON ((131399.50338286455 6602239.829868644, 131400.09934625772 6602239.026857042, 131378.60550706912 6602223.074981262, 131378.00954367596 6602223.877992864, 131399.50338286455 6602239.829868644))</t>
  </si>
  <si>
    <t>2024-04-03</t>
  </si>
  <si>
    <t>[4802]</t>
  </si>
  <si>
    <t>['FV4802 S3D1 m1862-1866']</t>
  </si>
  <si>
    <t>LINESTRING Z (-47448.764333688654 6622351.683201331 69.84, -47450.61351692036 6622352.062457039 70.08, -47451.128870268236 6622354.043149076 70.05, -47449.903961799806 6622355.33214061 69.35000000000001, -47448.764333688654 6622351.683201331 69.84)</t>
  </si>
  <si>
    <t>POLYGON Z ((-47448.764333688654 6622351.683201331 69.84, -47450.61351692036 6622352.062457039 70.08, -47451.128870268236 6622354.043149076 70.05, -47449.903961799806 6622355.33214061 69.35000000000001, -47448.764333688654 6622351.683201331 69.84))</t>
  </si>
  <si>
    <t>['FV4802 S3D1 m1835-1852']</t>
  </si>
  <si>
    <t>LINESTRING Z (-47453.16927446786 6622365.8621235285 69.79, -47453.86133369221 6622365.894678962 69.81, -47456.54372952471 6622368.192804817 69.74, -47457.76633533952 6622373.481038799 68.96000000000001, -47457.12664550508 6622376.424662471 69.35000000000001, -47456.85649007058 6622378.847809603 69.69, -47455.07600988611 6622381.375705633 69.63, -47454.24552807305 6622383.97969886 69.91, -47454.42557833402 6622376.109152974 67.55, -47453.16927446786 6622365.8621235285 69.79)</t>
  </si>
  <si>
    <t>POLYGON Z ((-47453.16927446786 6622365.8621235285 69.79, -47453.86133369221 6622365.894678962 69.81, -47456.54372952471 6622368.192804817 69.74, -47457.76633533952 6622373.481038799 68.96000000000001, -47457.12664550508 6622376.424662471 69.35000000000001, -47456.85649007058 6622378.847809603 69.69, -47455.07600988611 6622381.375705633 69.63, -47454.24552807305 6622383.97969886 69.91, -47454.42557833402 6622376.109152974 67.55, -47453.16927446786 6622365.8621235285 69.79))</t>
  </si>
  <si>
    <t>2024-07-31</t>
  </si>
  <si>
    <t>[91110]</t>
  </si>
  <si>
    <t>['KA91110 S1001D1 m283-309']</t>
  </si>
  <si>
    <t>LINESTRING Z (47755.856204899086 6798616.974774993 97.33, 47757.0405224596 6798619.341786483 97.62, 47758.21393991471 6798621.699736511 97.89, 47758.796797688294 6798625.732623916 98.25, 47759.37059417693 6798629.776411415 98.62, 47759.20883612719 6798634.139589883 98.71000000000001, 47759.05613963702 6798638.491868215 98.91, 47758.894381889375 6798642.855046695 99.23, 47758.74168570031 6798647.207325039 99.5, 47758.28050505876 6798651.598084493 99.67, 47757.8283859769 6798655.977943839 99.63, 47757.36720563931 6798660.368703345 99.57000000000001, 47756.915086860536 6798664.748562738 99.56, 47756.45390682708 6798669.1393222995 99.77, 47755.68897144997 6798673.729174788 100.14, 47754.92495560442 6798678.329008094 99.97, 47754.16093992413 6798682.928841451 99.76, 47753.38602426724 6798687.519613456 99.88, 47752.62108954793 6798692.109466143 100, 47751.85707436182 6798696.709299647 100.08, 47751.09213997173 6798701.299152436 99.97, 47750.32812511531 6798705.898986041 99.91, 47749.564110423904 6798710.498819695 100.13, 47748.78919575387 6798715.0895920005 100.32000000000001, 47748.02518139238 6798719.689425756 100.11, 47747.18092407298 6798723.964490898 100.17, 47746.33758626663 6798728.249536866 100.33, 47745.484267828986 6798732.535502259 100.43, 47744.64001093438 6798736.810567562 100.14, 47743.838170738134 6798740.890481975 100.02, 47743.04631144443 6798744.969477068 100.36, 47742.24355213251 6798749.039410809 100.42, 47741.4516930962 6798753.118405996 100.25, 47740.41110188328 6798757.11965847 99.99000000000001, 47739.37143016572 6798761.130891781 100.05, 47738.33083919482 6798765.1321443785 100.12, 47737.29116771952 6798769.1433778135 99.96000000000001, 47736.25057699019 6798773.144630534 99.93, 47734.79749423289 6798777.475778285 99.69, 47733.35439238534 6798781.806006758 99.22, 47731.91221004946 6798786.146216097 98.72, 47730.469108473626 6798790.476444759 98.78, 47729.026007033244 6798794.806673515 99, 47732.869538848056 6798795.9926429875 100.31, 47736.71398993186 6798797.188593163 101.03, 47740.55752152979 6798798.374562498 101.37, 47744.401972396474 6798799.57051254 100.78, 47748.246423154604 6798800.76646251 100.97, 47749.3884018964 6798797.319536347 101.7, 47750.531300101255 6798793.8825910175 102.23, 47751.67419839132 6798790.445645745 102.17, 47753.27751438628 6798785.778564962 102.85000000000001, 47754.870849765895 6798781.112403669 103.58, 47756.47508544917 6798776.455303879 103.73, 47758.068421141594 6798771.789142809 103.78, 47759.67173776287 6798767.122062477 103.75, 47761.265993142675 6798762.465882402 103.57000000000001, 47762.86931007658 6798757.798802297 103.41, 47764.19618835498 6798753.408822797 103.55, 47765.52306677564 6798749.018843389 104, 47766.84994533815 6798744.628864067 103.66, 47768.176824043214 6798740.238884832 103.81, 47769.50370289007 6798735.848905683 103, 47770.77477169153 6798731.836489509 102.64, 47772.04675998242 6798727.834054186 103.68, 47773.32780979015 6798723.820718795 104.13, 47774.59887894435 6798719.808302852 103.89, 47775.870867586986 6798715.805867754 103.88, 47777.15191774722 6798711.792532592 104.46000000000001, 47777.66641298466 6798707.215684188 104.71000000000001, 47778.179989017604 6798702.62885504 105.33999999627471, 47778.69448458566 6798698.052006696 104.79, 47779.21896108944 6798693.474239012 104.66, 47779.73253761965 6798688.88740996 104.91, 47780.24703368364 6798684.310561711 103.97, 47780.77151068393 6798679.732794124 103.63, 47781.938434668875 6798675.13611015 103.60000000000001, 47783.09537804249 6798670.540345626 103.60000000000001, 47784.263221713656 6798665.953642583 104.43, 47783.4567180415 6798662.333909816 104.37, 47782.64023369516 6798658.715096364 104.07000000000001, 47781.83373021695 6798655.095363496 103.45, 47780.5297561388 6798650.555170498 102.73, 47779.215801435115 6798646.015896764 102.28, 47777.9009275132 6798641.466642157 101.74000000000001, 47776.59695387422 6798636.92644886 101.19, 47776.03077037702 6798632.418949618 100.9, 47775.47456780879 6798627.910530968 99.98, 47774.90746526234 6798623.3930508625 99.17, 47774.35126300849 6798618.88463212 98.81, 47773.78508013964 6798614.377132695 97.99000000000001, 47775.14807679027 6798609.832846509 97.60000000000001, 47776.51199295494 6798605.298541187 97.7, 47772.4872358428 6798604.330568889 97.82000000000001, 47768.463397969375 6798603.372577309 97.69, 47764.44954074605 6798602.413666309 97.67, 47760.42478326481 6798601.445693838 97.62, 47756.40094502177 6798600.487702087 97.55, 47756.26702514215 6798604.606745274 97.53, 47756.12404398533 6798608.736688604 97.45, 47755.9901243748 6798612.855731796 97.38999999627471, 47755.84622412553 6798616.975694358 97.33)</t>
  </si>
  <si>
    <t>POLYGON Z ((47755.856204899086 6798616.974774993 97.33, 47757.0405224596 6798619.341786483 97.62, 47758.21393991471 6798621.699736511 97.89, 47758.796797688294 6798625.732623916 98.25, 47759.37059417693 6798629.776411415 98.62, 47759.20883612719 6798634.139589883 98.71000000000001, 47759.05613963702 6798638.491868215 98.91, 47758.894381889375 6798642.855046695 99.23, 47758.74168570031 6798647.207325039 99.5, 47758.28050505876 6798651.598084493 99.67, 47757.8283859769 6798655.977943839 99.63, 47757.36720563931 6798660.368703345 99.57000000000001, 47756.915086860536 6798664.748562738 99.56, 47756.45390682708 6798669.1393222995 99.77, 47755.68897144997 6798673.729174788 100.14, 47754.92495560442 6798678.329008094 99.97, 47754.16093992413 6798682.928841451 99.76, 47753.38602426724 6798687.519613456 99.88, 47752.62108954793 6798692.109466143 100, 47751.85707436182 6798696.709299647 100.08, 47751.09213997173 6798701.299152436 99.97, 47750.32812511531 6798705.898986041 99.91, 47749.564110423904 6798710.498819695 100.13, 47748.78919575387 6798715.0895920005 100.32000000000001, 47748.02518139238 6798719.689425756 100.11, 47747.18092407298 6798723.964490898 100.17, 47746.33758626663 6798728.249536866 100.33, 47745.484267828986 6798732.535502259 100.43, 47744.64001093438 6798736.810567562 100.14, 47743.838170738134 6798740.890481975 100.02, 47743.04631144443 6798744.969477068 100.36, 47742.24355213251 6798749.039410809 100.42, 47741.4516930962 6798753.118405996 100.25, 47740.41110188328 6798757.11965847 99.99000000000001, 47739.37143016572 6798761.130891781 100.05, 47738.33083919482 6798765.1321443785 100.12, 47737.29116771952 6798769.1433778135 99.96000000000001, 47736.25057699019 6798773.144630534 99.93, 47734.79749423289 6798777.475778285 99.69, 47733.35439238534 6798781.806006758 99.22, 47731.91221004946 6798786.146216097 98.72, 47730.469108473626 6798790.476444759 98.78, 47729.026007033244 6798794.806673515 99, 47732.869538848056 6798795.9926429875 100.31, 47736.71398993186 6798797.188593163 101.03, 47740.55752152979 6798798.374562498 101.37, 47744.401972396474 6798799.57051254 100.78, 47748.246423154604 6798800.76646251 100.97, 47749.3884018964 6798797.319536347 101.7, 47750.531300101255 6798793.8825910175 102.23, 47751.67419839132 6798790.445645745 102.17, 47753.27751438628 6798785.778564962 102.85000000000001, 47754.870849765895 6798781.112403669 103.58, 47756.47508544917 6798776.455303879 103.73, 47758.068421141594 6798771.789142809 103.78, 47759.67173776287 6798767.122062477 103.75, 47761.265993142675 6798762.465882402 103.57000000000001, 47762.86931007658 6798757.798802297 103.41, 47764.19618835498 6798753.408822797 103.55, 47765.52306677564 6798749.018843389 104, 47766.84994533815 6798744.628864067 103.66, 47768.176824043214 6798740.238884832 103.81, 47769.50370289007 6798735.848905683 103, 47770.77477169153 6798731.836489509 102.64, 47772.04675998242 6798727.834054186 103.68, 47773.32780979015 6798723.820718795 104.13, 47774.59887894435 6798719.808302852 103.89, 47775.870867586986 6798715.805867754 103.88, 47777.15191774722 6798711.792532592 104.46000000000001, 47777.66641298466 6798707.215684188 104.71000000000001, 47778.179989017604 6798702.62885504 105.33999999627471, 47778.69448458566 6798698.052006696 104.79, 47779.21896108944 6798693.474239012 104.66, 47779.73253761965 6798688.88740996 104.91, 47780.24703368364 6798684.310561711 103.97, 47780.77151068393 6798679.732794124 103.63, 47781.938434668875 6798675.13611015 103.60000000000001, 47783.09537804249 6798670.540345626 103.60000000000001, 47784.263221713656 6798665.953642583 104.43, 47783.4567180415 6798662.333909816 104.37, 47782.64023369516 6798658.715096364 104.07000000000001, 47781.83373021695 6798655.095363496 103.45, 47780.5297561388 6798650.555170498 102.73, 47779.215801435115 6798646.015896764 102.28, 47777.9009275132 6798641.466642157 101.74000000000001, 47776.59695387422 6798636.92644886 101.19, 47776.03077037702 6798632.418949618 100.9, 47775.47456780879 6798627.910530968 99.98, 47774.90746526234 6798623.3930508625 99.17, 47774.35126300849 6798618.88463212 98.81, 47773.78508013964 6798614.377132695 97.99000000000001, 47775.14807679027 6798609.832846509 97.60000000000001, 47776.51199295494 6798605.298541187 97.7, 47772.4872358428 6798604.330568889 97.82000000000001, 47768.463397969375 6798603.372577309 97.69, 47764.44954074605 6798602.413666309 97.67, 47760.42478326481 6798601.445693838 97.62, 47756.40094502177 6798600.487702087 97.55, 47756.26702514215 6798604.606745274 97.53, 47756.12404398533 6798608.736688604 97.45, 47755.9901243748 6798612.855731796 97.38999999627471, 47755.84622412553 6798616.975694358 97.33, 47755.856204899086 6798616.974774993 97.33))</t>
  </si>
  <si>
    <t>['KA91110 S1001D1 m5-317']</t>
  </si>
  <si>
    <t>LINESTRING Z (47729.015106882085 6798794.797612119 99, 47730.45820832293 6798790.467383364 98.78, 47731.90130989923 6798786.137154699 98.72, 47733.35439238534 6798781.806006758 99.22, 47734.79749423289 6798777.475778285 99.69, 47736.24059621652 6798773.145549908 99.93, 47737.28026757104 6798769.134316415 99.96000000000001, 47738.320858421095 6798765.133063753 100.12, 47739.36053001793 6798761.121830382 100.05, 47740.40112111007 6798757.120577845 99.99000000000001, 47741.44171232282 6798753.1193253705 100.25, 47742.233571359306 6798749.040330181 100.42, 47743.03541129822 6798744.960415671 100.36, 47743.82818996464 6798740.891401349 100.02, 47744.63003016077 6798736.811486932 100.14, 47745.47428705555 6798732.536421632 100.43, 47746.32760549319 6798728.250456238 100.33, 47747.17094329966 6798723.965410269 100.17, 47748.01428124803 6798719.680364354 100.10999999627471, 47748.77921498055 6798715.090511371 100.32000000000001, 47749.55321028031 6798710.489758292 100.13, 47750.31814434199 6798705.89990541 99.91, 47751.08215919818 6798701.300071804 99.97, 47751.847093588614 6798696.710219019 100.08, 47752.61110877438 6798692.110385509 100, 47753.38602426724 6798687.519613456 99.88, 47754.15003978257 6798682.919780046 99.76, 47754.91405546345 6798678.319946689 99.97, 47755.67899067671 6798673.730094154 100.14, 47756.44300668698 6798669.130260894 99.77, 47756.90510608745 6798664.749482106 99.56, 47757.357224866166 6798660.36962271 99.57000000000001, 47757.818405204045 6798655.978863205 99.63, 47758.27052428556 6798651.599003859 99.67, 47758.73170492728 6798647.208244405 99.5, 47758.884401116055 6798642.855966059 99.23, 47759.046158863755 6798638.492787578 98.91, 47759.19885535416 6798634.140509248 98.71000000000001, 47759.36061340355 6798629.777330779 98.62, 47758.787736278435 6798625.743524053 98.25, 47758.20487850462 6798621.710636649 97.89, 47757.03054168599 6798619.342705845 97.62, 47755.84622412553 6798616.975694358 97.33, 47755.58899026847 6798621.1765547 97.21000000000001, 47755.32177577808 6798625.378334416 97.13, 47755.06362283719 6798629.569214008 97.21000000000001, 47754.796408625785 6798633.770993746 97.37, 47754.302394855185 6798638.023861207 97.31, 47753.80746186146 6798642.266747921 97.2, 47753.31252901035 6798646.5096346615 97.11, 47752.81851566606 6798650.762502206 97.02, 47752.323583099234 6798655.005389004 97.17, 47751.38910628873 6798659.721578677 97.26, 47750.45462965022 6798664.437768415 96.85000000000001, 47749.52015318378 6798669.153958217 96.63, 47748.57569611538 6798673.8710674485 96.73, 47747.64030062471 6798678.577276605 96.43, 47746.70582467335 6798683.293466597 96.22, 47745.633456797455 6798688.042489357 96.19, 47744.55110832059 6798692.792431565 96.06, 47743.46876001614 6798697.542373845 95.87, 47742.396392658 6798702.291396835 95.60999999627471, 47741.31404469826 6798707.041339265 95.68, 47740.376282463316 6798711.284755806 95.64, 47739.448501140694 6798715.5272530345 95.12, 47738.5107391816 6798719.77066969 95.15, 47737.57297736063 6798724.014086404 95.07000000000001, 47736.64427708031 6798728.246603032 94.91, 47735.706515534956 6798732.490019859 94.57000000000001, 47734.88340415369 6798736.9946433 94.86999999627471, 47734.06029293011 6798741.499266792 95, 47733.227201089554 6798746.004809709 94.54, 47732.40409018082 6798750.509433306 94.2999999962747, 47731.58097942959 6798755.014056957 94.43, 47730.17162893346 6798759.49215818 93.98, 47728.77225935814 6798763.969340122 93.46000000000001, 47727.3728899298 6798768.446522159 93.42, 47725.963539873715 6798772.924623661 93.83999999627471, 47724.1181839488 6798777.0402693115 93.16, 47722.28280891053 6798781.1549957 93.3, 47720.4365338324 6798785.260660807 93.65, 47718.59117824241 6798789.376306803 93.84, 47715.96088667045 6798793.4937989125 93.60000000000001, 47713.330595184816 6798797.611291191 93.56, 47710.70030378457 6798801.728783634 93.54, 47708.07001247024 6798805.846276247 93.45, 47705.92470457166 6798809.546672641 93.37, 47703.77939674986 6798813.247069161 93.04, 47701.62502760801 6798816.958365954 93.07000000000001, 47698.639356181084 6798819.840346479 92.77, 47695.64462335798 6798822.733227297 92.8, 47692.64989053522 6798825.626108252 92.79, 47689.6542383327 6798828.50900857 92.81, 47687.15697789483 6798832.322349793 92.87, 47684.659717527975 6798836.13569116 92.67, 47682.17243800999 6798839.948113296 92.41, 47679.67517778615 6798843.761454962 92.3, 47677.87617479492 6798847.178316244 92.48, 47676.07717187359 6798850.595177619 92.28, 47674.28814980062 6798854.011119706 92.3, 47672.48914702056 6798857.427981274 92.01, 47670.56026942382 6798861.511061779 92.2, 47668.64137271221 6798865.593223021 92.01, 47666.711575946305 6798869.66632299 91.56, 47665.99759546347 6798873.607296675 92.13, 47665.28361510119 6798877.548270397 91.76, 47664.569634859974 6798881.489244164 91.37, 47663.85565473873 6798885.430217963 90.91, 47663.24083589262 6798890.338407916 91.15, 47662.61603645771 6798895.24751729 91.2, 47662.00121799094 6798900.155707325 90.79, 47661.37641893537 6798905.064816787 90.22, 47661.436873216415 6798909.32700652 89.9, 47661.488266250235 6798913.600096409 89.66, 47661.53965942835 6798917.8731862875 89.61, 47661.59013336321 6798922.136295383 89.47, 47661.641526830324 6798926.409385248 89.32000000000001, 47661.70290121937 6798930.681555708 89.33, 47663.54518615134 6798934.618562949 89.2, 47665.39745195233 6798938.554650678 89.83, 47667.23973706702 6798942.491657679 89.91, 47669.092003050726 6798946.427745171 89.41, 47670.96581263625 6798950.92551423 89.5, 47672.83870295854 6798955.41330237 89.91, 47674.70161263156 6798959.902009767 89.27, 47676.575422598864 6798964.39977841 88.77, 47678.44831330207 6798968.887566138 89.23, 47680.322123523976 6798973.385334504 89.04, 47682.195014481025 6798977.8731219545 88.66, 47684.057924789726 6798982.3618286615 89.34, 47685.93173539365 6798986.859596612 89.91, 47687.80462673155 6798991.34738365 89.7, 47688.91411721747 6798995.633724734 89.17, 47690.02360783605 6798999.9200657355 88.78, 47691.12311781291 6799004.207326052 88.71000000000001, 47692.23168930318 6799008.483686117 88.89, 47693.34118032054 6799012.770026878 89.03, 47694.45067147096 6799017.056367558 88.15, 47695.02632821392 6799021.885091037 87.45, 47695.592004363425 6799026.714733862 87.12, 47696.16766146716 6799031.543457234 87.19, 47696.74331875169 6799036.372180559 87.16, 47697.31897621666 6799041.200903835 87.3, 47697.894633861666 6799046.029627058 88.08, 47698.46069991129 6799050.4264187645 88.17, 47699.0267661094 6799054.823210421 87.98, 47699.59191305877 6799059.210021264 87.96000000000001, 47700.15797955508 6799063.606812833 87.95, 47700.72404620057 6799068.00360436 87.73, 47701.30009376863 6799072.39947644 87.88, 47701.86616071203 6799076.796267873 88.21000000000001, 47701.70966927917 6799080.997917156 88.45, 47701.554097386485 6799085.209547217 88.68, 47701.39760623418 6799089.411196512 88.69, 47701.252015395614 6799093.621907183 88.51, 47701.09552452358 6799097.8235564865 88.4, 47699.746335957956 6799102.517561582 87.79, 47698.396228154306 6799107.201586 87.49, 47697.047039916215 6799111.895591285 87.06, 47695.69693243876 6799116.579615888 86.23, 47694.33329017053 6799120.570370201 85.9, 47692.9687286134 6799124.551143826 85.69, 47691.605086574506 6799128.541898306 85.54, 47690.24052524584 6799132.522672095 85.93, 47688.87688343547 6799136.513426736 85.68, 47687.63523852307 6799140.080259258 85.59, 47686.393593702 6799143.647091848 85.72, 47685.15194897191 6799147.213924503 85.39, 47680.79403772979 6799148.420602445 84.9, 47676.43612635118 6799149.627280475 84.42, 47675.287853609305 6799153.115053985 85.07000000000001, 47674.13958095579 6799156.602827556 85.2, 47672.99130839051 6799160.09060119 85.19, 47673.72061585699 6799164.40189776 85.10000000000001, 47674.44086209766 6799168.724094456 85.05, 47675.1701698472 6799173.035390917 85.02, 47675.890416371054 6799177.357587501 84.36, 47676.90732803865 6799181.622259468 83.93999999627471, 47677.92423983908 6799185.886931359 83.95, 47678.52813933685 6799190.803642603 83.5, 47679.13203902147 6799195.7203537915 83.19, 47679.73685830308 6799200.647045707 83.44, 47678.06957703945 6799203.41765417 82.14, 47676.40229581762 6799206.188262704 81.98, 47676.62035808893 6799210.959338136 85.17, 47674.76975524175 6799214.471547798 86.12, 47672.91915246821 6799217.9837575555 86.44, 47671.34748044569 6799221.027392187 86.60999999627471, 47669.77672789106 6799224.081007662 86.71000000000001, 47668.20597539394 6799227.1346232155 86.58, 47666.18360528321 6799231.18606068 86.31, 47664.15125450038 6799235.2384176785 85.55, 47662.127965181484 6799239.27987462 85.4, 47660.10559537745 6799243.331312458 85.94, 47658.59579007997 6799247.265075498 86.73, 47657.09504625143 6799251.187938438 87.09, 47655.58432175551 6799255.111720881 87.61, 47654.0844975565 6799259.044564775 87.93, 47652.57377327577 6799262.9683473995 87.89, 47651.06304910226 6799266.892130112 88.28, 47650.20592795743 6799270.262495838 88.82000000000001, 47649.34788748273 6799273.622880833 89.54, 47647.820859354164 6799276.05847599 90.22, 47646.303812031925 6799278.493151793 90.88, 47643.53443788702 6799280.882142864 90.67, 47640.77596392279 6799283.280195397 90.2, 47638.00658975489 6799285.669186675 89.28, 47636.87815951166 6799289.809390488 89.44, 47635.748809979355 6799293.939613595 89.37, 47635.452318963595 6799297.167746092 89.41, 47635.14584725414 6799300.396798021 89.33, 47636.42384714249 6799305.201085888 89.64, 47638.72328797309 6799308.965125238 89.95, 47639.853261702054 6799312.162507967 90.17, 47640.98323549976 6799315.359890636 89.98, 47642.11228994705 6799318.547292472 89.89, 47645.17116848566 6799320.721486569 90.65, 47648.24002775864 6799322.894761147 91.29, 47651.30796757137 6799325.058054848 92, 47662.0200862051 6799323.336485152 97.39, 47662.026378840266 6799322.53066788 97.41, 47662.043571674265 6799321.733911964 97.46000000000001, 47662.050783739076 6799320.938075465 97.55, 47662.0679765832 6799320.14131955 97.62, 47662.07518865814 6799319.345483051 97.63, 47662.0923815124 6799318.548727137 97.73, 47662.09959359752 6799317.752890639 97.73, 47662.116786461556 6799316.956134723 97.71000000000001, 47661.92595624656 6799315.977232285 97.72, 47661.72514526523 6799314.999249264 97.72, 47661.53339564649 6799314.010366046 97.76, 47660.71969169285 6799313.481395424 97.74000000000001, 47659.91504909133 6799312.941524601 97.82000000000001, 47659.10042571265 6799312.40257319 97.91, 47658.285802330705 6799311.863621772 97.9, 47657.48207913875 6799311.333731706 97.93, 47656.747169116454 6799310.676716987 97.91, 47656.023159286065 6799310.028763619 97.87, 47655.29914945434 6799309.380810242 97.84, 47654.57422020385 6799308.722876086 97.85000000000001, 47653.850210370205 6799308.074922696 97.82000000000001, 47653.12620053528 6799307.426969296 97.75, 47652.51381805923 6799306.78886384 97.76, 47651.91233577632 6799306.159819732 97.69, 47651.300872718275 6799305.531695039 97.69, 47650.68940966029 6799304.903570337 97.7, 47650.08792737743 6799304.274526214 97.66, 47649.665833399165 6799303.407516668 97.62, 47649.2346780682 6799302.551407312 97.64, 47648.81258409843 6799301.684397755 97.56, 47648.729969310865 6799300.896835932 97.59, 47648.6564158859 6799300.098373916 97.63, 47648.573801107996 6799299.3108120905 97.62, 47648.50116711005 6799298.522330846 97.58, 47648.41855234187 6799297.7347690165 97.56, 47648.3350181611 6799296.937226414 97.53, 47648.26238417771 6799296.148745162 97.49000000000001, 47648.179769424314 6799295.361183333 97.42, 47648.39198084711 6799294.496135103 97.48, 47648.59421150049 6799293.632006291 97.47, 47648.80642293516 6799292.76695807 97.45, 47649.01863437501 6799291.901909847 97.43, 47649.220865045616 6799291.037781042 97.37, 47649.4379392055 6799290.444052593 97.35000000000001, 47649.64411317621 6799289.8412627885 97.31, 47649.97898499906 6799289.105831844 97.28, 47650.31293740886 6799288.360420126 97.26, 47650.647809238755 6799287.624989188 97.2, 47650.99174243107 6799286.878658065 97.13, 47651.3266142683 6799286.143227135 97.13, 47652.00910721178 6799285.466363021 97.10000000000001, 47652.691600155435 6799284.789498918 97.05, 47653.3641123242 6799284.113554233 97.02, 47654.04660526826 6799283.436690141 96.94, 47654.729098212556 6799282.759826056 96.86, 47655.36982922506 6799282.066678094 96.75999999627471, 47656.0014988801 6799281.384430331 96.7, 47656.642229894 6799280.691282381 96.62, 47657.27389955049 6799280.009034634 96.55, 47657.904649791424 6799279.316806115 96.46000000000001, 47658.54630022397 6799278.633638962 96.39, 47659.08000096859 6799277.98054694 96.33, 47659.61278229876 6799277.317474153 96.3, 47660.14648304612 6799276.664382142 96.24000000000001, 47660.6901645693 6799276.010370722 96.18, 47661.08478829585 6799275.158715447 96.05, 47661.4803314429 6799274.317040953 95.96000000000001, 47661.87495517876 6799273.465385687 95.9, 47662.26957891951 6799272.61373043 95.84, 47662.66420266492 6799271.762075174 95.7, 47663.059745830484 6799270.9204007005 95.72, 47663.39540435455 6799270.084242721 95.62, 47663.722001524235 6799269.258984939 95.56, 47664.058579472825 6799268.432807742 95.55, 47664.39423801098 6799267.596649776 95.41, 47664.73081596935 6799266.770472591 95.42, 47665.05741315766 6799265.945214822 95.34, 47665.39307171054 6799265.10905687 95.27, 47665.72964968247 6799264.282879696 95.27, 47666.10969562753 6799263.382240036 95.12, 47666.479760803515 6799262.4825197905 95.11, 47666.85980675934 6799261.581880138 94.98, 47667.22987194662 6799260.682159905 94.89, 47667.61083732784 6799259.791501037 94.84, 47667.980902525946 6799258.891780815 94.77, 47668.36094850366 6799257.991141181 94.7, 47668.73101371282 6799257.091420972 94.62, 47669.11105970142 6799256.190781348 94.55, 47669.49110569566 6799255.2901417315 94.57000000000001, 47669.861170921475 6799254.390421535 94.49999999627471, 47670.241216926486 6799253.489781929 94.43, 47670.56873360416 6799252.674505006 94.41, 47670.89533087221 6799251.849247307 94.3, 47671.232828332984 6799251.033050977 94.33, 47671.56034502422 6799250.217774062 94.21000000000001, 47671.896923080494 6799249.3915969655 94.16, 47672.22443978075 6799248.5763200605 94.18, 47672.55103707244 6799247.751062385 94.04, 47672.88853455603 6799246.9348660745 94.05999999627471, 47673.21605127031 6799246.119589179 93.98, 47673.54264857562 6799245.294331518 93.92, 47673.88014607283 6799244.47813522 93.97, 47674.20674338809 6799243.6528775655 93.86, 47674.53426012065 6799242.83760069 93.84, 47674.871757631656 6799242.021404405 93.79, 47675.19835496042 6799241.196146763 93.73, 47675.53585248056 6799240.379950485 93.74, 47675.86244981887 6799239.554692851 93.67, 47676.18996657431 6799238.739415992 93.65, 47676.52746410819 6799237.923219729 93.63, 47676.854061460355 6799237.0979621075 93.59, 47677.187881353195 6799236.241842755 93.63, 47677.51172047813 6799235.386642824 93.58, 47677.84462096915 6799234.520542708 93.60000000000001, 47678.168460103916 6799233.665342781 93.56, 47678.5022800173 6799232.809223445 93.5, 47678.82611916278 6799231.954023531 93.54, 47679.159019674466 6799231.087923432 93.46000000000001, 47679.48285882984 6799230.232723524 93.5, 47679.82403405913 6799229.456450394 93.46000000000001, 47680.15522851888 6799228.681096682 93.39, 47680.487342394365 6799227.915723746 93.41, 47680.818536862265 6799227.14037004 93.38, 47681.149731334124 6799226.365016342 93.36, 47681.48092580988 6799225.589662644 93.33, 47681.81303970155 6799224.824289723 93.31, 47682.14423418557 6799224.048936038 93.33, 47682.47542867309 6799223.273582349 93.32000000000001, 47682.806623165496 6799222.49822867 93.3, 47683.13873707282 6799221.732855764 93.27, 47683.469931572734 6799220.957502092 93.3, 47683.8011260769 6799220.182148424 93.31, 47684.132320584846 6799219.406794756 93.27, 47684.464434508176 6799218.6414218685 93.31, 47684.79562902427 6799217.866068211 93.28, 47685.12682354427 6799217.090714555 93.23, 47685.45801806863 6799216.315360906 93.22, 47685.7901320075 6799215.549988034 93.2, 47686.121326539724 6799214.774634391 93.22, 47686.462501849455 6799213.9983613435 93.22, 47686.79369638971 6799213.223007708 93.16, 47687.12581034447 6799212.457634853 93.22, 47687.457004892756 6799211.682281225 93.23, 47687.78819944523 6799210.906927606 93.23, 47688.119394001435 6799210.131573984 93.26, 47688.45150797226 6799209.366201143 93.25, 47688.78270253667 6799208.590847533 93.26, 47689.11389710527 6799207.815493926 93.29, 47689.44509167771 6799207.040140323 93.29, 47689.81239896937 6799206.110478081 93.22, 47690.16972549411 6799205.181735252 93.26, 47690.53703279764 6799204.252073018 93.26, 47690.90434010798 6799203.322410797 93.23, 47691.27164742316 6799202.392748572 93.26, 47691.62897397182 6799201.464005763 93.25, 47691.996281299216 6799200.53434355 93.31, 47692.36358863267 6799199.604681344 93.31, 47692.730895972345 6799198.675019141 93.32000000000001, 47693.08730313578 6799197.736295584 93.32000000000001, 47693.35309667012 6799196.906573849 93.35000000000001, 47693.61797080055 6799196.066871345 93.38, 47693.882844936044 6799195.227168843 93.39, 47694.14863848535 6799194.397447115 93.36, 47694.413512630854 6799193.55774462 93.43, 47694.6783867816 6799192.718042129 93.38, 47694.94326093781 6799191.878339643 93.35000000000001, 47695.20905450755 6799191.048617931 93.38, 47695.31856791006 6799190.052114036 93.38, 47695.438981501386 6799189.064671507 93.36, 47695.54941432772 6799188.078148385 93.35000000000001, 47695.658927752986 6799187.081644494 93.46000000000001, 47695.7793413676 6799186.094201966 93.43, 47695.88885480893 6799185.097698079 93.38, 47695.999287666345 6799184.111174967 93.37, 47695.91326145176 6799183.505106058 93.38, 47697.0237418444 6799171.958375431 93.44999999627471, 47697.432545872114 6799170.823581441 93.53, 47697.556769945426 6799169.986769934 93.48, 47697.6900553907 6799169.139058254 93.51, 47697.87140589091 6799168.266787996 93.55, 47698.05183698994 6799167.384536965 93.59, 47698.233187501784 6799166.5122667095 93.58, 47698.41361861292 6799165.630015684 93.55, 47698.5949691367 6799164.757745435 93.61, 47698.77540025971 6799163.875494413 93.65, 47698.956750795245 6799163.003224169 93.64, 47699.137181930186 6799162.120973151 93.65, 47699.32483562484 6799161.207860414 93.66, 47699.51248932595 6799160.2947476795 93.68, 47699.6992236271 6799159.371654172 93.7, 47699.8968581137 6799158.457622034 93.7, 47700.08451183402 6799157.5445093075 93.76, 47700.28122692747 6799156.6204964025 93.73, 47700.477942027326 6799155.696483499 93.74, 47700.674657133815 6799154.772470599 93.8, 47700.87137224706 6799153.848457703 93.82000000000001, 47701.06808736711 6799152.924444813 93.83, 47701.25482172036 6799152.001351325 93.84, 47701.578661368054 6799151.146151752 93.91, 47701.90342042601 6799150.300932953 93.89, 47702.22726008395 6799149.445733389 93.96000000000001, 47702.5411189741 6799148.591453233 93.99, 47702.86495864211 6799147.736253673 94.03, 47703.19510146702 6799146.840211627 94.05, 47703.52432489267 6799145.934188811 94.06, 47703.85446772911 6799145.038146773 94.10000000000001, 47704.183691165876 6799144.132123962 94.15, 47704.52933121566 6799143.295047167 94.19, 47704.864990497066 6799142.458889773 94.22, 47705.19973037881 6799141.612751612 94.28, 47705.54537044244 6799140.775674825 94.36, 47705.88102973899 6799139.939517448 94.31, 47706.21668903984 6799139.103360073 94.33, 47706.51413138874 6799138.180133965 94.36, 47706.812493148434 6799137.266888633 94.38, 47707.109935509565 6799136.343662535 94.42, 47707.40829728148 6799135.430417211 94.46000000000001, 47707.615125974175 6799134.616192886 94.48, 47707.832854847715 6799133.811029925 94.51, 47708.03968355083 6799132.996805608 94.54, 47708.25649303052 6799132.181661882 94.56, 47708.464241147274 6799131.37741834 94.57000000000001, 47708.68105063692 6799130.562274622 94.64, 47708.89786013175 6799129.747130906 94.66, 47709.104688859545 6799128.932906597 94.69, 47709.3113849244 6799128.007974391 94.72, 47709.5171615929 6799127.07306142 94.77, 47709.72293826734 6799126.138148446 94.81, 47709.928714948765 6799125.203235477 94.82000000000001, 47710.12451086473 6799124.269241916 94.9, 47710.22614814894 6799123.51503492 94.92, 47710.31780466507 6799122.761747324 94.95, 47710.41038058954 6799122.0184405055 94.98, 47710.50203711487 6799121.265152916 94.99, 47710.59369364462 6799120.511865324 95.06, 47710.68535017886 6799119.758577734 95.11, 47710.777006717864 6799119.005290151 95.13, 47710.868663261004 6799118.252002561 95.16999999627471, 47711.00654605817 6799117.454194871 95.18999999627471, 47711.13352868578 6799116.647325816 95.22, 47711.27141149319 6799115.8495181305 95.29, 47711.3993135331 6799115.052629845 95.34, 47711.53719635069 6799114.254822166 95.33, 47711.66509840067 6799113.457933886 95.35000000000001, 47711.802061825525 6799112.650145432 95.39, 47711.92996388575 6799111.853257157 95.43, 47712.067846722726 6799111.055449481 95.46000000000001, 47712.195748792845 6799110.25856121 95.47, 47712.35897694563 6799109.408091467 95.51, 47712.522205103945 6799108.557621728 95.56, 47712.686352670426 6799107.717132765 95.61, 47712.839600067644 6799106.867582431 95.64, 47713.00282824319 6799106.0171127 95.62, 47713.16605642409 6799105.16664297 95.64, 47713.22685133078 6799104.406132835 95.68, 47713.28672684071 6799103.635641932 95.72, 47713.34660235507 6799102.865151026 95.75, 47713.40647787455 6799102.094660123 95.77, 47713.46727279964 6799101.334149989 95.8, 47713.517167556274 6799100.564578492 95.82000000000001, 47713.57704308949 6799099.794087589 95.83, 47713.63783802901 6799099.033577462 95.89, 47713.66028340411 6799098.075290692 95.95, 47713.673667415685 6799097.127904096 96.01, 47713.697032206575 6799096.179598099 96.04, 47713.75756189041 6799095.197672184 96.04, 47713.82807235402 6799094.214826863 96.07000000000001, 47713.89858282497 6799093.231981546 96.13, 47713.9856425171 6799092.428790128 96.19, 47714.062721442315 6799091.6265181145 96.2699999962747, 47714.13980037265 6799090.824246098 96.33, 47714.21687930793 6799090.021974084 96.37, 47714.29395824863 6799089.219702075 96.39, 47714.38732113666 6799088.375668172 96.42, 47714.48068403057 6799087.531634272 96.46000000000001, 47714.56406615785 6799086.688519774 96.53, 47714.65650966257 6799085.834505101 96.61, 47714.74987257342 6799084.990471205 96.63, 47714.83325471741 6799084.1473567085 96.68, 47714.92464621115 6799083.1726533715 96.75, 47715.006056940765 6799082.198869442 96.78999999627472, 47715.087467677135 6799081.225085508 96.91, 47715.168878421246 6799080.251301575 96.99000000000001, 47715.26026994537 6799079.276598248 97, 47715.34168070427 6799078.302814318 97.02, 47715.422304694715 6799077.429757515 97.06, 47715.502928690636 6799076.5567007065 97.14, 47715.594452864374 6799075.692705275 97.24000000000001, 47715.67507687246 6799074.819648472 97.28, 47715.755700886715 6799073.946591672 97.29, 47715.84630567877 6799073.072615469 97.32000000000001, 47715.9269297049 6799072.199558666 97.38, 47716.00755373709 6799071.326501868 97.43, 47716.05088026688 6799070.376357089 97.5, 47716.09328740416 6799069.416231536 97.62, 47716.135694549244 6799068.456105983 97.68, 47716.17902110057 6799067.505961206 97.75, 47716.22142826009 6799066.545835653 97.76, 47716.27381619916 6799065.584790704 97.84, 47716.246357967495 6799064.631100946 97.89, 47716.21889974299 6799063.677411184 97.94, 47716.19144152559 6799062.723721423 98.02, 47716.17396408756 6799061.76911226 98.09, 47716.146505884535 6799060.815422497 98.15, 47716.11812829104 6799059.851751965 98.19, 47716.090670101985 6799058.8980621975 98.23, 47716.07319269312 6799057.943453034 98.34, 47716.04573451931 6799056.989763272 98.38, 47716.018276352086 6799056.036073503 98.36, 47715.99081819219 6799055.082383735 98.39, 47715.97334081214 6799054.127774571 98.43, 47715.96768300672 6799053.192207552 98.48, 47715.952044435835 6799052.257559931 98.55, 47715.946386644326 6799051.32199291 98.54, 47715.94072886009 6799050.386425893 98.60000000000001, 47715.935071082495 6799049.4508588705 98.64, 47715.92941331194 6799048.515291854 98.73999999627472, 47715.92375554814 6799047.5797248315 98.87, 47715.91809779132 6799046.644157811 98.94, 47716.07489059243 6799045.723822755 98.98, 47716.23168340017 6799044.803487698 99.02, 47716.38847621472 6799043.883152649 99.06, 47716.54526903533 6799042.962817594 99.14, 47716.712962032354 6799042.051543923 99.19, 47716.86975486623 6799041.131208875 99.22, 47717.05924821412 6799040.238057959 99.37, 47717.249660964706 6799039.354887818 99.48, 47717.44007372169 6799038.471717682 99.46000000000001, 47717.629567087395 6799037.578566769 99.48, 47717.81997985608 6799036.695396636 99.54, 47718.01039263094 6799035.812226505 99.66, 47718.09088432917 6799034.82846184 99.71000000000001, 47718.17137603497 6799033.844697176 99.78, 47718.25186774862 6799032.860932512 99.78, 47718.3332788659 6799031.887148621 99.79, 47718.413770594634 6799030.903383961 99.84, 47718.49426233105 6799029.9196193 99.93, 47718.5747540755 6799028.935854643 100.02999999627471, 47718.65616522258 6799027.962070755 100.08, 47718.705795269285 6799026.971083513 100.23, 47718.74636394647 6799025.99099644 100.3799999962747, 47718.78693263122 6799025.010909364 100.51, 47718.83748209628 6799024.029902897 100.7, 47718.87805079657 6799023.049815823 100.82000000000001, 47718.92860027659 6799022.068809354 100.85000000000001, 47718.72424665443 6799021.1616110215 100.86999999627471, 47718.529873811116 6799020.253493292 100.89, 47718.325520200946 6799019.3462949535 100.86, 47718.131147369684 6799018.438177215 100.88, 47717.926793772145 6799017.530978871 100.83, 47717.732420952874 6799016.6228611255 100.88, 47717.52898676222 6799015.725643549 100.84, 47717.334613955114 6799014.817525799 100.58, 47715.502829886915 6799010.557459163 100.74000000000001, 47713.68102670449 6799006.296473004 100.35000000000001, 47711.859223634936 6799002.0354867205 100.46000000000001, 47710.100726266566 6798998.352465774 100.68, 47708.35220975132 6798994.668525329 100.46000000000001, 47706.60461270844 6798990.994565553 100.28, 47704.85609635181 6798987.3106249 100.22, 47703.394786117075 6798983.247936493 100.46000000000001, 47701.92441461014 6798979.196148152 100.2, 47700.45312382112 6798975.134378939 99.99000000000001, 47699.12380036042 6798971.411823436 100.09, 47697.80353837577 6798967.678367681 100.2, 47696.47421510093 6798963.955812012 100.44, 47695.14397252846 6798960.223275485 100.25, 47693.349230568216 6798956.583854097 100.07000000000001, 47691.553569293115 6798952.934451826 100.27, 47689.76880825969 6798949.294110835 100.42, 47687.973147136276 6798945.644708347 100.04, 47686.32154888782 6798941.810922337 100.18, 47684.6799315064 6798937.976216836 100.29, 47683.93276592449 6798933.1431605145 100.52, 47683.17561974481 6798928.311023519 100.56, 47682.42845451989 6798923.477967071 100.57000000000001, 47681.68220886076 6798918.654891335 100.49000000000001, 47681.42726562981 6798914.903825641 100.52, 47681.17232250987 6798911.152759931 100.53999999627472, 47680.917379499704 6798907.401694201 100.58, 47680.67241737689 6798903.6497090645 100.59, 47680.24450546276 6798898.676524059 100.61, 47679.81567435688 6798893.693358239 100.59, 47679.38776282949 6798888.720173153 100.5, 47679.5731511616 6798884.395076262 100.44, 47679.748558864405 6798880.070898763 100.28, 47679.93302810914 6798875.735821112 100.08, 47681.90786656877 6798871.386804826 100.28, 47683.88178576919 6798867.027807896 100.54, 47685.63757713261 6798863.14185001 100.54, 47687.402429989015 6798859.24499207 100.55, 47689.15730216855 6798855.349053615 100.52, 47690.92215522454 6798851.452195884 100.57000000000001, 47692.76698701276 6798847.658691127 100.2999999962747, 47694.61181889224 6798843.865186477 100.32000000000001, 47696.44758946798 6798840.082582092 100.34, 47699.3770458253 6798836.481065804 100.37, 47702.306502223655 6798832.879549682 100.32000000000001, 47705.22597788705 6798829.278953104 100.29, 47707.27083031746 6798826.564159811 100.34, 47709.31660215615 6798823.859347379 100.3, 47711.36145464366 6798821.144554258 100, 47715.08991019323 6798818.677294659 99.85000000000001, 47718.81928506511 6798816.220015985 99.71000000000001, 47721.01199572312 6798811.941521941 99.59, 47723.19564509689 6798807.673928189 99.28, 47725.38927535666 6798803.4054152025 99.16, 47727.57200557698 6798799.127840965 99.01, 47729.015106882085 6798794.797612119 99)</t>
  </si>
  <si>
    <t>POLYGON Z ((47729.015106882085 6798794.797612119 99, 47730.45820832293 6798790.467383364 98.78, 47731.90130989923 6798786.137154699 98.72, 47733.35439238534 6798781.806006758 99.22, 47734.79749423289 6798777.475778285 99.69, 47736.24059621652 6798773.145549908 99.93, 47737.28026757104 6798769.134316415 99.96000000000001, 47738.320858421095 6798765.133063753 100.12, 47739.36053001793 6798761.121830382 100.05, 47740.40112111007 6798757.120577845 99.99000000000001, 47741.44171232282 6798753.1193253705 100.25, 47742.233571359306 6798749.040330181 100.42, 47743.03541129822 6798744.960415671 100.36, 47743.82818996464 6798740.891401349 100.02, 47744.63003016077 6798736.811486932 100.14, 47745.47428705555 6798732.536421632 100.43, 47746.32760549319 6798728.250456238 100.33, 47747.17094329966 6798723.965410269 100.17, 47748.01428124803 6798719.680364354 100.10999999627471, 47748.77921498055 6798715.090511371 100.32000000000001, 47749.55321028031 6798710.489758292 100.13, 47750.31814434199 6798705.89990541 99.91, 47751.08215919818 6798701.300071804 99.97, 47751.847093588614 6798696.710219019 100.08, 47752.61110877438 6798692.110385509 100, 47753.38602426724 6798687.519613456 99.88, 47754.15003978257 6798682.919780046 99.76, 47754.91405546345 6798678.319946689 99.97, 47755.67899067671 6798673.730094154 100.14, 47756.44300668698 6798669.130260894 99.77, 47756.90510608745 6798664.749482106 99.56, 47757.357224866166 6798660.36962271 99.57000000000001, 47757.818405204045 6798655.978863205 99.63, 47758.27052428556 6798651.599003859 99.67, 47758.73170492728 6798647.208244405 99.5, 47758.884401116055 6798642.855966059 99.23, 47759.046158863755 6798638.492787578 98.91, 47759.19885535416 6798634.140509248 98.71000000000001, 47759.36061340355 6798629.777330779 98.62, 47758.787736278435 6798625.743524053 98.25, 47758.20487850462 6798621.710636649 97.89, 47757.03054168599 6798619.342705845 97.62, 47755.84622412553 6798616.975694358 97.33, 47755.58899026847 6798621.1765547 97.21000000000001, 47755.32177577808 6798625.378334416 97.13, 47755.06362283719 6798629.569214008 97.21000000000001, 47754.796408625785 6798633.770993746 97.37, 47754.302394855185 6798638.023861207 97.31, 47753.80746186146 6798642.266747921 97.2, 47753.31252901035 6798646.5096346615 97.11, 47752.81851566606 6798650.762502206 97.02, 47752.323583099234 6798655.005389004 97.17, 47751.38910628873 6798659.721578677 97.26, 47750.45462965022 6798664.437768415 96.85000000000001, 47749.52015318378 6798669.153958217 96.63, 47748.57569611538 6798673.8710674485 96.73, 47747.64030062471 6798678.577276605 96.43, 47746.70582467335 6798683.293466597 96.22, 47745.633456797455 6798688.042489357 96.19, 47744.55110832059 6798692.792431565 96.06, 47743.46876001614 6798697.542373845 95.87, 47742.396392658 6798702.291396835 95.60999999627471, 47741.31404469826 6798707.041339265 95.68, 47740.376282463316 6798711.284755806 95.64, 47739.448501140694 6798715.5272530345 95.12, 47738.5107391816 6798719.77066969 95.15, 47737.57297736063 6798724.014086404 95.07000000000001, 47736.64427708031 6798728.246603032 94.91, 47735.706515534956 6798732.490019859 94.57000000000001, 47734.88340415369 6798736.9946433 94.86999999627471, 47734.06029293011 6798741.499266792 95, 47733.227201089554 6798746.004809709 94.54, 47732.40409018082 6798750.509433306 94.2999999962747, 47731.58097942959 6798755.014056957 94.43, 47730.17162893346 6798759.49215818 93.98, 47728.77225935814 6798763.969340122 93.46000000000001, 47727.3728899298 6798768.446522159 93.42, 47725.963539873715 6798772.924623661 93.83999999627471, 47724.1181839488 6798777.0402693115 93.16, 47722.28280891053 6798781.1549957 93.3, 47720.4365338324 6798785.260660807 93.65, 47718.59117824241 6798789.376306803 93.84, 47715.96088667045 6798793.4937989125 93.60000000000001, 47713.330595184816 6798797.611291191 93.56, 47710.70030378457 6798801.728783634 93.54, 47708.07001247024 6798805.846276247 93.45, 47705.92470457166 6798809.546672641 93.37, 47703.77939674986 6798813.247069161 93.04, 47701.62502760801 6798816.958365954 93.07000000000001, 47698.639356181084 6798819.840346479 92.77, 47695.64462335798 6798822.733227297 92.8, 47692.64989053522 6798825.626108252 92.79, 47689.6542383327 6798828.50900857 92.81, 47687.15697789483 6798832.322349793 92.87, 47684.659717527975 6798836.13569116 92.67, 47682.17243800999 6798839.948113296 92.41, 47679.67517778615 6798843.761454962 92.3, 47677.87617479492 6798847.178316244 92.48, 47676.07717187359 6798850.595177619 92.28, 47674.28814980062 6798854.011119706 92.3, 47672.48914702056 6798857.427981274 92.01, 47670.56026942382 6798861.511061779 92.2, 47668.64137271221 6798865.593223021 92.01, 47666.711575946305 6798869.66632299 91.56, 47665.99759546347 6798873.607296675 92.13, 47665.28361510119 6798877.548270397 91.76, 47664.569634859974 6798881.489244164 91.37, 47663.85565473873 6798885.430217963 90.91, 47663.24083589262 6798890.338407916 91.15, 47662.61603645771 6798895.24751729 91.2, 47662.00121799094 6798900.155707325 90.79, 47661.37641893537 6798905.064816787 90.22, 47661.436873216415 6798909.32700652 89.9, 47661.488266250235 6798913.600096409 89.66, 47661.53965942835 6798917.8731862875 89.61, 47661.59013336321 6798922.136295383 89.47, 47661.641526830324 6798926.409385248 89.32000000000001, 47661.70290121937 6798930.681555708 89.33, 47663.54518615134 6798934.618562949 89.2, 47665.39745195233 6798938.554650678 89.83, 47667.23973706702 6798942.491657679 89.91, 47669.092003050726 6798946.427745171 89.41, 47670.96581263625 6798950.92551423 89.5, 47672.83870295854 6798955.41330237 89.91, 47674.70161263156 6798959.902009767 89.27, 47676.575422598864 6798964.39977841 88.77, 47678.44831330207 6798968.887566138 89.23, 47680.322123523976 6798973.385334504 89.04, 47682.195014481025 6798977.8731219545 88.66, 47684.057924789726 6798982.3618286615 89.34, 47685.93173539365 6798986.859596612 89.91, 47687.80462673155 6798991.34738365 89.7, 47688.91411721747 6798995.633724734 89.17, 47690.02360783605 6798999.9200657355 88.78, 47691.12311781291 6799004.207326052 88.71000000000001, 47692.23168930318 6799008.483686117 88.89, 47693.34118032054 6799012.770026878 89.03, 47694.45067147096 6799017.056367558 88.15, 47695.02632821392 6799021.885091037 87.45, 47695.592004363425 6799026.714733862 87.12, 47696.16766146716 6799031.543457234 87.19, 47696.74331875169 6799036.372180559 87.16, 47697.31897621666 6799041.200903835 87.3, 47697.894633861666 6799046.029627058 88.08, 47698.46069991129 6799050.4264187645 88.17, 47699.0267661094 6799054.823210421 87.98, 47699.59191305877 6799059.210021264 87.96000000000001, 47700.15797955508 6799063.606812833 87.95, 47700.72404620057 6799068.00360436 87.73, 47701.30009376863 6799072.39947644 87.88, 47701.86616071203 6799076.796267873 88.21000000000001, 47701.70966927917 6799080.997917156 88.45, 47701.554097386485 6799085.209547217 88.68, 47701.39760623418 6799089.411196512 88.69, 47701.252015395614 6799093.621907183 88.51, 47701.09552452358 6799097.8235564865 88.4, 47699.746335957956 6799102.517561582 87.79, 47698.396228154306 6799107.201586 87.49, 47697.047039916215 6799111.895591285 87.06, 47695.69693243876 6799116.579615888 86.23, 47694.33329017053 6799120.570370201 85.9, 47692.9687286134 6799124.551143826 85.69, 47691.605086574506 6799128.541898306 85.54, 47690.24052524584 6799132.522672095 85.93, 47688.87688343547 6799136.513426736 85.68, 47687.63523852307 6799140.080259258 85.59, 47686.393593702 6799143.647091848 85.72, 47685.15194897191 6799147.213924503 85.39, 47680.79403772979 6799148.420602445 84.9, 47676.43612635118 6799149.627280475 84.42, 47675.287853609305 6799153.115053985 85.07000000000001, 47674.13958095579 6799156.602827556 85.2, 47672.99130839051 6799160.09060119 85.19, 47673.72061585699 6799164.40189776 85.10000000000001, 47674.44086209766 6799168.724094456 85.05, 47675.1701698472 6799173.035390917 85.02, 47675.890416371054 6799177.357587501 84.36, 47676.90732803865 6799181.622259468 83.93999999627471, 47677.92423983908 6799185.886931359 83.95, 47678.52813933685 6799190.803642603 83.5, 47679.13203902147 6799195.7203537915 83.19, 47679.73685830308 6799200.647045707 83.44, 47678.06957703945 6799203.41765417 82.14, 47676.40229581762 6799206.188262704 81.98, 47676.62035808893 6799210.959338136 85.17, 47674.76975524175 6799214.471547798 86.12, 47672.91915246821 6799217.9837575555 86.44, 47671.34748044569 6799221.027392187 86.60999999627471, 47669.77672789106 6799224.081007662 86.71000000000001, 47668.20597539394 6799227.1346232155 86.58, 47666.18360528321 6799231.18606068 86.31, 47664.15125450038 6799235.2384176785 85.55, 47662.127965181484 6799239.27987462 85.4, 47660.10559537745 6799243.331312458 85.94, 47658.59579007997 6799247.265075498 86.73, 47657.09504625143 6799251.187938438 87.09, 47655.58432175551 6799255.111720881 87.61, 47654.0844975565 6799259.044564775 87.93, 47652.57377327577 6799262.9683473995 87.89, 47651.06304910226 6799266.892130112 88.28, 47650.20592795743 6799270.262495838 88.82000000000001, 47649.34788748273 6799273.622880833 89.54, 47647.820859354164 6799276.05847599 90.22, 47646.303812031925 6799278.493151793 90.88, 47643.53443788702 6799280.882142864 90.67, 47640.77596392279 6799283.280195397 90.2, 47638.00658975489 6799285.669186675 89.28, 47636.87815951166 6799289.809390488 89.44, 47635.748809979355 6799293.939613595 89.37, 47635.452318963595 6799297.167746092 89.41, 47635.14584725414 6799300.396798021 89.33, 47636.42384714249 6799305.201085888 89.64, 47638.72328797309 6799308.965125238 89.95, 47639.853261702054 6799312.162507967 90.17, 47640.98323549976 6799315.359890636 89.98, 47642.11228994705 6799318.547292472 89.89, 47645.17116848566 6799320.721486569 90.65, 47648.24002775864 6799322.894761147 91.29, 47651.30796757137 6799325.058054848 92, 47662.0200862051 6799323.336485152 97.39, 47662.026378840266 6799322.53066788 97.41, 47662.043571674265 6799321.733911964 97.46000000000001, 47662.050783739076 6799320.938075465 97.55, 47662.0679765832 6799320.14131955 97.62, 47662.07518865814 6799319.345483051 97.63, 47662.0923815124 6799318.548727137 97.73, 47662.09959359752 6799317.752890639 97.73, 47662.116786461556 6799316.956134723 97.71000000000001, 47661.92595624656 6799315.977232285 97.72, 47661.72514526523 6799314.999249264 97.72, 47661.53339564649 6799314.010366046 97.76, 47660.71969169285 6799313.481395424 97.74000000000001, 47659.91504909133 6799312.941524601 97.82000000000001, 47659.10042571265 6799312.40257319 97.91, 47658.285802330705 6799311.863621772 97.9, 47657.48207913875 6799311.333731706 97.93, 47656.747169116454 6799310.676716987 97.91, 47656.023159286065 6799310.028763619 97.87, 47655.29914945434 6799309.380810242 97.84, 47654.57422020385 6799308.722876086 97.85000000000001, 47653.850210370205 6799308.074922696 97.82000000000001, 47653.12620053528 6799307.426969296 97.75, 47652.51381805923 6799306.78886384 97.76, 47651.91233577632 6799306.159819732 97.69, 47651.300872718275 6799305.531695039 97.69, 47650.68940966029 6799304.903570337 97.7, 47650.08792737743 6799304.274526214 97.66, 47649.665833399165 6799303.407516668 97.62, 47649.2346780682 6799302.551407312 97.64, 47648.81258409843 6799301.684397755 97.56, 47648.729969310865 6799300.896835932 97.59, 47648.6564158859 6799300.098373916 97.63, 47648.573801107996 6799299.3108120905 97.62, 47648.50116711005 6799298.522330846 97.58, 47648.41855234187 6799297.7347690165 97.56, 47648.3350181611 6799296.937226414 97.53, 47648.26238417771 6799296.148745162 97.49000000000001, 47648.179769424314 6799295.361183333 97.42, 47648.39198084711 6799294.496135103 97.48, 47648.59421150049 6799293.632006291 97.47, 47648.80642293516 6799292.76695807 97.45, 47649.01863437501 6799291.901909847 97.43, 47649.220865045616 6799291.037781042 97.37, 47649.4379392055 6799290.444052593 97.35000000000001, 47649.64411317621 6799289.8412627885 97.31, 47649.97898499906 6799289.105831844 97.28, 47650.31293740886 6799288.360420126 97.26, 47650.647809238755 6799287.624989188 97.2, 47650.99174243107 6799286.878658065 97.13, 47651.3266142683 6799286.143227135 97.13, 47652.00910721178 6799285.466363021 97.10000000000001, 47652.691600155435 6799284.789498918 97.05, 47653.3641123242 6799284.113554233 97.02, 47654.04660526826 6799283.436690141 96.94, 47654.729098212556 6799282.759826056 96.86, 47655.36982922506 6799282.066678094 96.75999999627471, 47656.0014988801 6799281.384430331 96.7, 47656.642229894 6799280.691282381 96.62, 47657.27389955049 6799280.009034634 96.55, 47657.904649791424 6799279.316806115 96.46000000000001, 47658.54630022397 6799278.633638962 96.39, 47659.08000096859 6799277.98054694 96.33, 47659.61278229876 6799277.317474153 96.3, 47660.14648304612 6799276.664382142 96.24000000000001, 47660.6901645693 6799276.010370722 96.18, 47661.08478829585 6799275.158715447 96.05, 47661.4803314429 6799274.317040953 95.96000000000001, 47661.87495517876 6799273.465385687 95.9, 47662.26957891951 6799272.61373043 95.84, 47662.66420266492 6799271.762075174 95.7, 47663.059745830484 6799270.9204007005 95.72, 47663.39540435455 6799270.084242721 95.62, 47663.722001524235 6799269.258984939 95.56, 47664.058579472825 6799268.432807742 95.55, 47664.39423801098 6799267.596649776 95.41, 47664.73081596935 6799266.770472591 95.42, 47665.05741315766 6799265.945214822 95.34, 47665.39307171054 6799265.10905687 95.27, 47665.72964968247 6799264.282879696 95.27, 47666.10969562753 6799263.382240036 95.12, 47666.479760803515 6799262.4825197905 95.11, 47666.85980675934 6799261.581880138 94.98, 47667.22987194662 6799260.682159905 94.89, 47667.61083732784 6799259.791501037 94.84, 47667.980902525946 6799258.891780815 94.77, 47668.36094850366 6799257.991141181 94.7, 47668.73101371282 6799257.091420972 94.62, 47669.11105970142 6799256.190781348 94.55, 47669.49110569566 6799255.2901417315 94.57000000000001, 47669.861170921475 6799254.390421535 94.49999999627471, 47670.241216926486 6799253.489781929 94.43, 47670.56873360416 6799252.674505006 94.41, 47670.89533087221 6799251.849247307 94.3, 47671.232828332984 6799251.033050977 94.33, 47671.56034502422 6799250.217774062 94.21000000000001, 47671.896923080494 6799249.3915969655 94.16, 47672.22443978075 6799248.5763200605 94.18, 47672.55103707244 6799247.751062385 94.04, 47672.88853455603 6799246.9348660745 94.05999999627471, 47673.21605127031 6799246.119589179 93.98, 47673.54264857562 6799245.294331518 93.92, 47673.88014607283 6799244.47813522 93.97, 47674.20674338809 6799243.6528775655 93.86, 47674.53426012065 6799242.83760069 93.84, 47674.871757631656 6799242.021404405 93.79, 47675.19835496042 6799241.196146763 93.73, 47675.53585248056 6799240.379950485 93.74, 47675.86244981887 6799239.554692851 93.67, 47676.18996657431 6799238.739415992 93.65, 47676.52746410819 6799237.923219729 93.63, 47676.854061460355 6799237.0979621075 93.59, 47677.187881353195 6799236.241842755 93.63, 47677.51172047813 6799235.386642824 93.58, 47677.84462096915 6799234.520542708 93.60000000000001, 47678.168460103916 6799233.665342781 93.56, 47678.5022800173 6799232.809223445 93.5, 47678.82611916278 6799231.954023531 93.54, 47679.159019674466 6799231.087923432 93.46000000000001, 47679.48285882984 6799230.232723524 93.5, 47679.82403405913 6799229.456450394 93.46000000000001, 47680.15522851888 6799228.681096682 93.39, 47680.487342394365 6799227.915723746 93.41, 47680.818536862265 6799227.14037004 93.38, 47681.149731334124 6799226.365016342 93.36, 47681.48092580988 6799225.589662644 93.33, 47681.81303970155 6799224.824289723 93.31, 47682.14423418557 6799224.048936038 93.33, 47682.47542867309 6799223.273582349 93.32000000000001, 47682.806623165496 6799222.49822867 93.3, 47683.13873707282 6799221.732855764 93.27, 47683.469931572734 6799220.957502092 93.3, 47683.8011260769 6799220.182148424 93.31, 47684.132320584846 6799219.406794756 93.27, 47684.464434508176 6799218.6414218685 93.31, 47684.79562902427 6799217.866068211 93.28, 47685.12682354427 6799217.090714555 93.23, 47685.45801806863 6799216.315360906 93.22, 47685.7901320075 6799215.549988034 93.2, 47686.121326539724 6799214.774634391 93.22, 47686.462501849455 6799213.9983613435 93.22, 47686.79369638971 6799213.223007708 93.16, 47687.12581034447 6799212.457634853 93.22, 47687.457004892756 6799211.682281225 93.23, 47687.78819944523 6799210.906927606 93.23, 47688.119394001435 6799210.131573984 93.26, 47688.45150797226 6799209.366201143 93.25, 47688.78270253667 6799208.590847533 93.26, 47689.11389710527 6799207.815493926 93.29, 47689.44509167771 6799207.040140323 93.29, 47689.81239896937 6799206.110478081 93.22, 47690.16972549411 6799205.181735252 93.26, 47690.53703279764 6799204.252073018 93.26, 47690.90434010798 6799203.322410797 93.23, 47691.27164742316 6799202.392748572 93.26, 47691.62897397182 6799201.464005763 93.25, 47691.996281299216 6799200.53434355 93.31, 47692.36358863267 6799199.604681344 93.31, 47692.730895972345 6799198.675019141 93.32000000000001, 47693.08730313578 6799197.736295584 93.32000000000001, 47693.35309667012 6799196.906573849 93.35000000000001, 47693.61797080055 6799196.066871345 93.38, 47693.882844936044 6799195.227168843 93.39, 47694.14863848535 6799194.397447115 93.36, 47694.413512630854 6799193.55774462 93.43, 47694.6783867816 6799192.718042129 93.38, 47694.94326093781 6799191.878339643 93.35000000000001, 47695.20905450755 6799191.048617931 93.38, 47695.31856791006 6799190.052114036 93.38, 47695.438981501386 6799189.064671507 93.36, 47695.54941432772 6799188.078148385 93.35000000000001, 47695.658927752986 6799187.081644494 93.46000000000001, 47695.7793413676 6799186.094201966 93.43, 47695.88885480893 6799185.097698079 93.38, 47695.999287666345 6799184.111174967 93.37, 47695.91326145176 6799183.505106058 93.38, 47697.0237418444 6799171.958375431 93.44999999627471, 47697.432545872114 6799170.823581441 93.53, 47697.556769945426 6799169.986769934 93.48, 47697.6900553907 6799169.139058254 93.51, 47697.87140589091 6799168.266787996 93.55, 47698.05183698994 6799167.384536965 93.59, 47698.233187501784 6799166.5122667095 93.58, 47698.41361861292 6799165.630015684 93.55, 47698.5949691367 6799164.757745435 93.61, 47698.77540025971 6799163.875494413 93.65, 47698.956750795245 6799163.003224169 93.64, 47699.137181930186 6799162.120973151 93.65, 47699.32483562484 6799161.207860414 93.66, 47699.51248932595 6799160.2947476795 93.68, 47699.6992236271 6799159.371654172 93.7, 47699.8968581137 6799158.457622034 93.7, 47700.08451183402 6799157.5445093075 93.76, 47700.28122692747 6799156.6204964025 93.73, 47700.477942027326 6799155.696483499 93.74, 47700.674657133815 6799154.772470599 93.8, 47700.87137224706 6799153.848457703 93.82000000000001, 47701.06808736711 6799152.924444813 93.83, 47701.25482172036 6799152.001351325 93.84, 47701.578661368054 6799151.146151752 93.91, 47701.90342042601 6799150.300932953 93.89, 47702.22726008395 6799149.445733389 93.96000000000001, 47702.5411189741 6799148.591453233 93.99, 47702.86495864211 6799147.736253673 94.03, 47703.19510146702 6799146.840211627 94.05, 47703.52432489267 6799145.934188811 94.06, 47703.85446772911 6799145.038146773 94.10000000000001, 47704.183691165876 6799144.132123962 94.15, 47704.52933121566 6799143.295047167 94.19, 47704.864990497066 6799142.458889773 94.22, 47705.19973037881 6799141.612751612 94.28, 47705.54537044244 6799140.775674825 94.36, 47705.88102973899 6799139.939517448 94.31, 47706.21668903984 6799139.103360073 94.33, 47706.51413138874 6799138.180133965 94.36, 47706.812493148434 6799137.266888633 94.38, 47707.109935509565 6799136.343662535 94.42, 47707.40829728148 6799135.430417211 94.46000000000001, 47707.615125974175 6799134.616192886 94.48, 47707.832854847715 6799133.811029925 94.51, 47708.03968355083 6799132.996805608 94.54, 47708.25649303052 6799132.181661882 94.56, 47708.464241147274 6799131.37741834 94.57000000000001, 47708.68105063692 6799130.562274622 94.64, 47708.89786013175 6799129.747130906 94.66, 47709.104688859545 6799128.932906597 94.69, 47709.3113849244 6799128.007974391 94.72, 47709.5171615929 6799127.07306142 94.77, 47709.72293826734 6799126.138148446 94.81, 47709.928714948765 6799125.203235477 94.82000000000001, 47710.12451086473 6799124.269241916 94.9, 47710.22614814894 6799123.51503492 94.92, 47710.31780466507 6799122.761747324 94.95, 47710.41038058954 6799122.0184405055 94.98, 47710.50203711487 6799121.265152916 94.99, 47710.59369364462 6799120.511865324 95.06, 47710.68535017886 6799119.758577734 95.11, 47710.777006717864 6799119.005290151 95.13, 47710.868663261004 6799118.252002561 95.16999999627471, 47711.00654605817 6799117.454194871 95.18999999627471, 47711.13352868578 6799116.647325816 95.22, 47711.27141149319 6799115.8495181305 95.29, 47711.3993135331 6799115.052629845 95.34, 47711.53719635069 6799114.254822166 95.33, 47711.66509840067 6799113.457933886 95.35000000000001, 47711.802061825525 6799112.650145432 95.39, 47711.92996388575 6799111.853257157 95.43, 47712.067846722726 6799111.055449481 95.46000000000001, 47712.195748792845 6799110.25856121 95.47, 47712.35897694563 6799109.408091467 95.51, 47712.522205103945 6799108.557621728 95.56, 47712.686352670426 6799107.717132765 95.61, 47712.839600067644 6799106.867582431 95.64, 47713.00282824319 6799106.0171127 95.62, 47713.16605642409 6799105.16664297 95.64, 47713.22685133078 6799104.406132835 95.68, 47713.28672684071 6799103.635641932 95.72, 47713.34660235507 6799102.865151026 95.75, 47713.40647787455 6799102.094660123 95.77, 47713.46727279964 6799101.334149989 95.8, 47713.517167556274 6799100.564578492 95.82000000000001, 47713.57704308949 6799099.794087589 95.83, 47713.63783802901 6799099.033577462 95.89, 47713.66028340411 6799098.075290692 95.95, 47713.673667415685 6799097.127904096 96.01, 47713.697032206575 6799096.179598099 96.04, 47713.75756189041 6799095.197672184 96.04, 47713.82807235402 6799094.214826863 96.07000000000001, 47713.89858282497 6799093.231981546 96.13, 47713.9856425171 6799092.428790128 96.19, 47714.062721442315 6799091.6265181145 96.2699999962747, 47714.13980037265 6799090.824246098 96.33, 47714.21687930793 6799090.021974084 96.37, 47714.29395824863 6799089.219702075 96.39, 47714.38732113666 6799088.375668172 96.42, 47714.48068403057 6799087.531634272 96.46000000000001, 47714.56406615785 6799086.688519774 96.53, 47714.65650966257 6799085.834505101 96.61, 47714.74987257342 6799084.990471205 96.63, 47714.83325471741 6799084.1473567085 96.68, 47714.92464621115 6799083.1726533715 96.75, 47715.006056940765 6799082.198869442 96.78999999627472, 47715.087467677135 6799081.225085508 96.91, 47715.168878421246 6799080.251301575 96.99000000000001, 47715.26026994537 6799079.276598248 97, 47715.34168070427 6799078.302814318 97.02, 47715.422304694715 6799077.429757515 97.06, 47715.502928690636 6799076.5567007065 97.14, 47715.594452864374 6799075.692705275 97.24000000000001, 47715.67507687246 6799074.819648472 97.28, 47715.755700886715 6799073.946591672 97.29, 47715.84630567877 6799073.072615469 97.32000000000001, 47715.9269297049 6799072.199558666 97.38, 47716.00755373709 6799071.326501868 97.43, 47716.05088026688 6799070.376357089 97.5, 47716.09328740416 6799069.416231536 97.62, 47716.135694549244 6799068.456105983 97.68, 47716.17902110057 6799067.505961206 97.75, 47716.22142826009 6799066.545835653 97.76, 47716.27381619916 6799065.584790704 97.84, 47716.246357967495 6799064.631100946 97.89, 47716.21889974299 6799063.677411184 97.94, 47716.19144152559 6799062.723721423 98.02, 47716.17396408756 6799061.76911226 98.09, 47716.146505884535 6799060.815422497 98.15, 47716.11812829104 6799059.851751965 98.19, 47716.090670101985 6799058.8980621975 98.23, 47716.07319269312 6799057.943453034 98.34, 47716.04573451931 6799056.989763272 98.38, 47716.018276352086 6799056.036073503 98.36, 47715.99081819219 6799055.082383735 98.39, 47715.97334081214 6799054.127774571 98.43, 47715.96768300672 6799053.192207552 98.48, 47715.952044435835 6799052.257559931 98.55, 47715.946386644326 6799051.32199291 98.54, 47715.94072886009 6799050.386425893 98.60000000000001, 47715.935071082495 6799049.4508588705 98.64, 47715.92941331194 6799048.515291854 98.73999999627472, 47715.92375554814 6799047.5797248315 98.87, 47715.91809779132 6799046.644157811 98.94, 47716.07489059243 6799045.723822755 98.98, 47716.23168340017 6799044.803487698 99.02, 47716.38847621472 6799043.883152649 99.06, 47716.54526903533 6799042.962817594 99.14, 47716.712962032354 6799042.051543923 99.19, 47716.86975486623 6799041.131208875 99.22, 47717.05924821412 6799040.238057959 99.37, 47717.249660964706 6799039.354887818 99.48, 47717.44007372169 6799038.471717682 99.46000000000001, 47717.629567087395 6799037.578566769 99.48, 47717.81997985608 6799036.695396636 99.54, 47718.01039263094 6799035.812226505 99.66, 47718.09088432917 6799034.82846184 99.71000000000001, 47718.17137603497 6799033.844697176 99.78, 47718.25186774862 6799032.860932512 99.78, 47718.3332788659 6799031.887148621 99.79, 47718.413770594634 6799030.903383961 99.84, 47718.49426233105 6799029.9196193 99.93, 47718.5747540755 6799028.935854643 100.02999999627471, 47718.65616522258 6799027.962070755 100.08, 47718.705795269285 6799026.971083513 100.23, 47718.74636394647 6799025.99099644 100.3799999962747, 47718.78693263122 6799025.010909364 100.51, 47718.83748209628 6799024.029902897 100.7, 47718.87805079657 6799023.049815823 100.82000000000001, 47718.92860027659 6799022.068809354 100.85000000000001, 47718.72424665443 6799021.1616110215 100.86999999627471, 47718.529873811116 6799020.253493292 100.89, 47718.325520200946 6799019.3462949535 100.86, 47718.131147369684 6799018.438177215 100.88, 47717.926793772145 6799017.530978871 100.83, 47717.732420952874 6799016.6228611255 100.88, 47717.52898676222 6799015.725643549 100.84, 47717.334613955114 6799014.817525799 100.58, 47715.502829886915 6799010.557459163 100.74000000000001, 47713.68102670449 6799006.296473004 100.35000000000001, 47711.859223634936 6799002.0354867205 100.46000000000001, 47710.100726266566 6798998.352465774 100.68, 47708.35220975132 6798994.668525329 100.46000000000001, 47706.60461270844 6798990.994565553 100.28, 47704.85609635181 6798987.3106249 100.22, 47703.394786117075 6798983.247936493 100.46000000000001, 47701.92441461014 6798979.196148152 100.2, 47700.45312382112 6798975.134378939 99.99000000000001, 47699.12380036042 6798971.411823436 100.09, 47697.80353837577 6798967.678367681 100.2, 47696.47421510093 6798963.955812012 100.44, 47695.14397252846 6798960.223275485 100.25, 47693.349230568216 6798956.583854097 100.07000000000001, 47691.553569293115 6798952.934451826 100.27, 47689.76880825969 6798949.294110835 100.42, 47687.973147136276 6798945.644708347 100.04, 47686.32154888782 6798941.810922337 100.18, 47684.6799315064 6798937.976216836 100.29, 47683.93276592449 6798933.1431605145 100.52, 47683.17561974481 6798928.311023519 100.56, 47682.42845451989 6798923.477967071 100.57000000000001, 47681.68220886076 6798918.654891335 100.49000000000001, 47681.42726562981 6798914.903825641 100.52, 47681.17232250987 6798911.152759931 100.53999999627472, 47680.917379499704 6798907.401694201 100.58, 47680.67241737689 6798903.6497090645 100.59, 47680.24450546276 6798898.676524059 100.61, 47679.81567435688 6798893.693358239 100.59, 47679.38776282949 6798888.720173153 100.5, 47679.5731511616 6798884.395076262 100.44, 47679.748558864405 6798880.070898763 100.28, 47679.93302810914 6798875.735821112 100.08, 47681.90786656877 6798871.386804826 100.28, 47683.88178576919 6798867.027807896 100.54, 47685.63757713261 6798863.14185001 100.54, 47687.402429989015 6798859.24499207 100.55, 47689.15730216855 6798855.349053615 100.52, 47690.92215522454 6798851.452195884 100.57000000000001, 47692.76698701276 6798847.658691127 100.2999999962747, 47694.61181889224 6798843.865186477 100.32000000000001, 47696.44758946798 6798840.082582092 100.34, 47699.3770458253 6798836.481065804 100.37, 47702.306502223655 6798832.879549682 100.32000000000001, 47705.22597788705 6798829.278953104 100.29, 47707.27083031746 6798826.564159811 100.34, 47709.31660215615 6798823.859347379 100.3, 47711.36145464366 6798821.144554258 100, 47715.08991019323 6798818.677294659 99.85000000000001, 47718.81928506511 6798816.220015985 99.71000000000001, 47721.01199572312 6798811.941521941 99.59, 47723.19564509689 6798807.673928189 99.28, 47725.38927535666 6798803.4054152025 99.16, 47727.57200557698 6798799.127840965 99.01, 47729.015106882085 6798794.797612119 99))</t>
  </si>
  <si>
    <t>2025-01-20</t>
  </si>
  <si>
    <t>[4702]</t>
  </si>
  <si>
    <t>['FV4702 S2D1 m3164-3271']</t>
  </si>
  <si>
    <t>LINESTRING Z (15338.757630181848 6613104.421461412 240.58, 15343.717256529373 6613108.160109003 240.02, 15347.966118800396 6613108.942959954 240.02, 15354.48252474732 6613109.64117364 239.8, 15360.067949969613 6613109.175389907 238.5, 15363.405133117281 6613108.00724447 242.38, 15365.896478356211 6613106.281493529 242.18, 15366.780217254243 6613104.590655192 240.37, 15367.599385875685 6613103.298292159 240.1, 15367.75895927276 6613097.94816055 235.9, 15367.450857532793 6613096.214296163 234.87, 15365.55941295228 6613092.33860701 233.96, 15361.55208171584 6613088.332467882 233.28, 15358.017006194219 6613086.538618515 233.15, 15354.7058956502 6613085.549996757 234.04, 15348.31561307772 6613085.0215663025 234.1, 15343.293018915341 6613085.365884003 233.29, 15336.70004510344 6613085.711539231 231.03, 15333.5401527512 6613085.947495921 230.25, 15327.866600035748 6613086.662878652 229.32, 15337.372339565074 6613089.798360292 230.82, 15342.897516599682 6613090.445440327 235.48000000000002, 15348.522209796705 6613092.190908087 233.37, 15348.620715260855 6613096.611600025 233.83, 15348.519485381781 6613098.161070242 238.27, 15342.694074363506 6613099.756000989 239.11, 15338.757630181848 6613104.421461412 240.58)</t>
  </si>
  <si>
    <t>POLYGON Z ((15338.757630181848 6613104.421461412 240.58, 15343.717256529373 6613108.160109003 240.02, 15347.966118800396 6613108.942959954 240.02, 15354.48252474732 6613109.64117364 239.8, 15360.067949969613 6613109.175389907 238.5, 15363.405133117281 6613108.00724447 242.38, 15365.896478356211 6613106.281493529 242.18, 15366.780217254243 6613104.590655192 240.37, 15367.599385875685 6613103.298292159 240.1, 15367.75895927276 6613097.94816055 235.9, 15367.450857532793 6613096.214296163 234.87, 15365.55941295228 6613092.33860701 233.96, 15361.55208171584 6613088.332467882 233.28, 15358.017006194219 6613086.538618515 233.15, 15354.7058956502 6613085.549996757 234.04, 15348.31561307772 6613085.0215663025 234.1, 15343.293018915341 6613085.365884003 233.29, 15336.70004510344 6613085.711539231 231.03, 15333.5401527512 6613085.947495921 230.25, 15327.866600035748 6613086.662878652 229.32, 15337.372339565074 6613089.798360292 230.82, 15342.897516599682 6613090.445440327 235.48000000000002, 15348.522209796705 6613092.190908087 233.37, 15348.620715260855 6613096.611600025 233.83, 15348.519485381781 6613098.161070242 238.27, 15342.694074363506 6613099.756000989 239.11, 15338.757630181848 6613104.421461412 240.58))</t>
  </si>
  <si>
    <t>['FV4702 S2D1 m4059-4124']</t>
  </si>
  <si>
    <t>LINESTRING Z (14679.058220814739 6613285.463541955 300.21, 14683.395367846999 6613285.553812268 300.07, 14692.298220550583 6613259.367345363 294.94, 14692.133964158536 6613259.2211497575 294.97, 14687.947737754614 6613258.352084612 295.39, 14684.680938323785 6613257.852747289 295.74, 14681.180721713172 6613257.777253147 296.14, 14678.801416014321 6613258.184107461 296.44, 14676.351173679228 6613259.030285755 296.78000000000003, 14673.522156256193 6613260.696037319 297.17, 14671.121505621355 6613262.645133044 297.52, 14669.339916125988 6613264.648880525 297.8, 14667.918605136801 6613266.962275949 298.08, 14666.983797505498 6613269.422872309 298.33, 14666.686815571797 6613272.923022371 298.68, 14667.509103028337 6613276.3318294985 299.03000000000003, 14668.85274223308 6613278.7168652145 299.23, 14670.270970354322 6613280.591774379 299.47, 14671.99338450469 6613282.157236683 299.64, 14674.432937817648 6613283.637588456 299.86, 14677.31553443626 6613284.896585996 300.1, 14679.058220814739 6613285.463541955 300.21)</t>
  </si>
  <si>
    <t>POLYGON Z ((14679.058220814739 6613285.463541955 300.21, 14683.395367846999 6613285.553812268 300.07, 14692.298220550583 6613259.367345363 294.94, 14692.133964158536 6613259.2211497575 294.97, 14687.947737754614 6613258.352084612 295.39, 14684.680938323785 6613257.852747289 295.74, 14681.180721713172 6613257.777253147 296.14, 14678.801416014321 6613258.184107461 296.44, 14676.351173679228 6613259.030285755 296.78000000000003, 14673.522156256193 6613260.696037319 297.17, 14671.121505621355 6613262.645133044 297.52, 14669.339916125988 6613264.648880525 297.8, 14667.918605136801 6613266.962275949 298.08, 14666.983797505498 6613269.422872309 298.33, 14666.686815571797 6613272.923022371 298.68, 14667.509103028337 6613276.3318294985 299.03000000000003, 14668.85274223308 6613278.7168652145 299.23, 14670.270970354322 6613280.591774379 299.47, 14671.99338450469 6613282.157236683 299.64, 14674.432937817648 6613283.637588456 299.86, 14677.31553443626 6613284.896585996 300.1, 14679.058220814739 6613285.463541955 300.21))</t>
  </si>
  <si>
    <t>Branndetektor</t>
  </si>
  <si>
    <t>2011-08-16</t>
  </si>
  <si>
    <t>2025-11-22T09:40:55Z</t>
  </si>
  <si>
    <t>[108]</t>
  </si>
  <si>
    <t>['FV108 S1D1 m1843']</t>
  </si>
  <si>
    <t>LINESTRING Z (267884.630004883 6570571.72998047 -999999, 267884.989990234 6570571.38000488 -999999)</t>
  </si>
  <si>
    <t>POINT Z (267884.8099975585 6570571.554992675 -999999)</t>
  </si>
  <si>
    <t>['FV108 S1D1 m1845']</t>
  </si>
  <si>
    <t>LINESTRING Z (267883.159973145 6570568.26000977 -999999, 267883.640014648 6570567.93994141 -999999)</t>
  </si>
  <si>
    <t>POINT Z (267883.3999938965 6570568.09997559 -999999)</t>
  </si>
  <si>
    <t>['FV108 S1D1 m1846']</t>
  </si>
  <si>
    <t>LINESTRING Z (267880.320007324 6570563.92004394 -999999, 267880.650024414 6570563.65002441 -999999)</t>
  </si>
  <si>
    <t>POINT Z (267880.485015869 6570563.785034175 -999999)</t>
  </si>
  <si>
    <t>['FV108 S1D1 m1848']</t>
  </si>
  <si>
    <t>LINESTRING Z (267878.08001709 6570560.66003418 -999999, 267878.549987793 6570560.2800293 -999999)</t>
  </si>
  <si>
    <t>POINT Z (267878.3150024415 6570560.47003174 -999999)</t>
  </si>
  <si>
    <t>['FV108 S1D1 m1849']</t>
  </si>
  <si>
    <t>LINESTRING Z (267876.66998291 6570557.52001953 -999999, 267877.179992676 6570557.06005859 -999999)</t>
  </si>
  <si>
    <t>POINT Z (267876.92498779297 6570557.290039061 -999999)</t>
  </si>
  <si>
    <t>['FV108 S1D1 m1238']</t>
  </si>
  <si>
    <t>LINESTRING Z (267528.690002441 6571001.26000977 -999999, 267528.320007324 6570999.56005859 -999999)</t>
  </si>
  <si>
    <t>POINT Z (267528.50500488246 6571000.41003418 -999999)</t>
  </si>
  <si>
    <t>['FV108 S1D1 m1241']</t>
  </si>
  <si>
    <t>LINESTRING Z (267525.400024414 6570998.54003906 -999999, 267525.260009766 6570997.22998047 -999999)</t>
  </si>
  <si>
    <t>POINT Z (267525.33001708996 6570997.885009765 -999999)</t>
  </si>
  <si>
    <t>['FV108 S1D1 m1245']</t>
  </si>
  <si>
    <t>LINESTRING Z (267521.41998291 6570995.25 -999999, 267521.359985352 6570994.2199707 -999999)</t>
  </si>
  <si>
    <t>POINT Z (267521.389984131 6570994.73498535 -999999)</t>
  </si>
  <si>
    <t>['FV108 S1D1 m1248']</t>
  </si>
  <si>
    <t>LINESTRING Z (267516.710021973 6570992.85998535 -999999, 267516.559997559 6570991.76000977 -999999)</t>
  </si>
  <si>
    <t>POINT Z (267516.635009766 6570992.30999756 -999999)</t>
  </si>
  <si>
    <t>['FV108 S1D1 m1251']</t>
  </si>
  <si>
    <t>LINESTRING Z (267510.119995117 6570991.22998047 -999999, 267509.920013428 6570990.39001465 -999999)</t>
  </si>
  <si>
    <t>POINT Z (267510.0200042725 6570990.80999756 -999999)</t>
  </si>
  <si>
    <t>2013-01-11</t>
  </si>
  <si>
    <t>[49]</t>
  </si>
  <si>
    <t>['FV49 S4D1 m7622']</t>
  </si>
  <si>
    <t>LINESTRING Z (15067.6500244141 6707445.77001953 -999999, 15066.2800292969 6707448.16015625 -999999)</t>
  </si>
  <si>
    <t>POINT Z (15066.965026855501 6707446.965087891 -999999)</t>
  </si>
  <si>
    <t>['FV49 S3D1 m3688']</t>
  </si>
  <si>
    <t>LINESTRING Z (16932.2700195313 6699323.76000977 -999999, 16936.1099853516 6699324.89001465 -999999, 16938.0399780273 6699325.46002197 -999999)</t>
  </si>
  <si>
    <t>POINT Z (16935.155278090835 6699324.609068435 -999999)</t>
  </si>
  <si>
    <t>['FV49 S4D1 m602']</t>
  </si>
  <si>
    <t>LINESTRING Z (18324.080078125 6701283.75 -999999, 18324.2700195313 6701286.57995606 -999999)</t>
  </si>
  <si>
    <t>POINT Z (18324.17504882815 6701285.16497803 -999999)</t>
  </si>
  <si>
    <t>['FV49 S4D1 m1606']</t>
  </si>
  <si>
    <t>LINESTRING Z (18078.2099609375 6702256.87011719 -999999, 18081.9499511719 6702258.31005859 -999999, 18083.830078125 6702259.0300293 -999999)</t>
  </si>
  <si>
    <t>POINT Z (18081.019367070752 6702257.951772475 -999999)</t>
  </si>
  <si>
    <t>['FV49 S4D1 m3109']</t>
  </si>
  <si>
    <t>LINESTRING Z (17452.1300048828 6703621.68994141 -999999, 17451.6300048828 6703622.66992188 -999999)</t>
  </si>
  <si>
    <t>POINT Z (17451.8800048828 6703622.179931644 -999999)</t>
  </si>
  <si>
    <t>['FV49 S4D1 m4615']</t>
  </si>
  <si>
    <t>LINESTRING Z (16726.1699829102 6704940.52978516 -999999, 16729.549987793 6704942.68017578 -999999, 16731.25 6704943.77001953 -999999)</t>
  </si>
  <si>
    <t>POINT Z (16728.711871567175 6704942.146958423 -999999)</t>
  </si>
  <si>
    <t>['FV49 S4D1 m6120']</t>
  </si>
  <si>
    <t>LINESTRING Z (15852.0700073242 6706163.74023438 -999999, 15850.4799957275 6706166.00976563 -999999)</t>
  </si>
  <si>
    <t>POINT Z (15851.27500152585 6706164.875000005 -999999)</t>
  </si>
  <si>
    <t>['FV49 S4D1 m10080']</t>
  </si>
  <si>
    <t>LINESTRING Z (14024.9000244141 6709666.83007813 -999999, 14024.3000488281 6709669.55957031 -999999)</t>
  </si>
  <si>
    <t>POINT Z (14024.600036621101 6709668.19482422 -999999)</t>
  </si>
  <si>
    <t>2021-04-14</t>
  </si>
  <si>
    <t>['FV49 S4D1 m11629']</t>
  </si>
  <si>
    <t>LINESTRING Z (14170.5500488281 6711157.41992188 -999999, 14170.7600097656 6711159.29980469 -999999)</t>
  </si>
  <si>
    <t>['FV49 S4D1 m9127']</t>
  </si>
  <si>
    <t>LINESTRING Z (14360.0100097656 6708775.00976562 -999999, 14361.8399658203 6708775.83007813 -999999, 14365.5 6708777.46972656 -999999)</t>
  </si>
  <si>
    <t>POINT Z (14362.754908663585 6708776.239960804 -999999)</t>
  </si>
  <si>
    <t>2015-03-23</t>
  </si>
  <si>
    <t>['EV39 S40D1 m11216']</t>
  </si>
  <si>
    <t>LINESTRING Z (42060.58 6915878.28 168.483, 42064.73 6915869.54 168.483)</t>
  </si>
  <si>
    <t>POINT Z (42062.655 6915873.91 168.483)</t>
  </si>
  <si>
    <t>['EV39 S40D1 m7318']</t>
  </si>
  <si>
    <t>LINESTRING Z (38634.53 6917471.43 50.484, 38643.16 6917466.78 50.484)</t>
  </si>
  <si>
    <t>POINT Z (38638.845 6917469.105 50.484)</t>
  </si>
  <si>
    <t>2014-06-11</t>
  </si>
  <si>
    <t>[70]</t>
  </si>
  <si>
    <t>['RV70 S9D1 m784']</t>
  </si>
  <si>
    <t>LINESTRING Z (170455.35 6966675.64 4.467, 170454.51 6966666.39 1.067)</t>
  </si>
  <si>
    <t>POINT Z (170454.93 6966671.015 2.767)</t>
  </si>
  <si>
    <t>['RV70 S9D1 m8522']</t>
  </si>
  <si>
    <t>LINESTRING Z (170080 6974010.6 68.392, 170080.97 6974003.19 81.172)</t>
  </si>
  <si>
    <t>POINT Z (170080.485 6974006.895 74.782)</t>
  </si>
  <si>
    <t>2014-09-01</t>
  </si>
  <si>
    <t>['EV16 S4D1 m6230']</t>
  </si>
  <si>
    <t>LINESTRING Z (-14164.3898925781 6737296.27600098 93.356, -14160.8369140625 6737303.38101196 93.257, -14157.4040527344 6737309.69799805 93.155, -14153.5180664063 6737316.55099487 93.048, -14149.5849609375 6737323.27200317 92.956, -14147.2329101563 6737327.15200806 92.887, -14143.2680664063 6737333.4039917 92.788, -14141.9240722656 6737335.54598999 92.719, -14137.4089355469 6737342.30801392 92.575, -14135.0920410156 6737345.7789917 92.508, -14132.5239257813 6737349.33599854 92.462, -14129.087890625 6737354.09500122 92.402, -14126.2419433594 6737357.90600586 92.356, -14123.5859375 6737361.36999512 92.306, -14120.3620605469 6737365.52700806 92.209, -14114.5830078125 6737372.53799438 92.048, -14109.8720703125 6737378.01800537 91.94, -14106.5710449219 6737381.75100708 91.839, -14102.3110351562 6737386.45098877 91.744, -14095.7451171875 6737393.36199951 91.587, -14091.3679199219 6737397.875 91.481, -14088.3190917969 6737400.89401245 91.42, -14085.2700195313 6737403.91400147 91.377, -14080.9008789063 6737408.04400635 91.332, -14073.8588867188 6737414.39898682 91.176, -14068.1379394531 6737419.37399292 91.059, -14064.8159179688 6737422.16299438 90.995, -14060.3898925781 6737425.77999878 90.897, -14054.2390136719 6737430.5960083 90.842, -14049.4221191406 6737434.2460022 90.776, -14043.9129638672 6737438.27801514 90.667, -14036.1569824219 6737443.7130127 90.577, -14027.7850341797 6737449.35101318 90.441, -14022.5560302734 6737452.75299072 90.358, -14019.2139892578 6737454.86199951 90.298, -14011.3909912109 6737459.67098999 90.144, -13992.1540527344 6737470.59899902 89.822, -13981.8950195312 6737476.08599854 89.617, -13963.4670410156 6737485.39801025 89.357, -13932.6080322266 6737500.73098755 88.713, -13913.3029785156 6737510.2250061 88.408, -13899.875 6737516.75201416 88.207, -13875.83203125 6737528.43701172 87.793, -13863.6839599609 6737534.37902832 87.611, -13845.9630126953 6737542.97900391 87.362, -13826.3719482422 6737552.58197022 87.009, -13811.0810546875 6737560.07598877 86.753, -13803.708984375 6737563.69000244 86.648, -13799.1459960938 6737565.92700195 86.606, -13798.5240478516 6737566.23297119 86.598, -13776.166015625 6737577.13500977 86.268, -13755.5100097656 6737587.26599121 85.978, -13742.2709960938 6737593.70599365 85.848, -13728.4949951172 6737600.40899658 85.638, -13711.7149658203 6737608.57897949 85.378, -13690.8079833984 6737618.91802979 85.058, -13674.6209716797 6737626.77001953 84.778, -13643.0159912109 6737642.20098877 84.248, -13624.7249755859 6737651.0380249 83.998, -13613.0469970703 6737656.70501709 83.728, -13585.5469970703 6737670.20599365 83.278, -13573.6350097656 6737676.02301025 83.098, -13562.20703125 6737681.60198975 82.898, -13552.0090332031 6737686.62902832 82.728, -13528.2320556641 6737698.17498779 82.288, -13505.3149414063 6737709.35797119 81.958, -13483.2189941406 6737720.14202881 81.598, -13466.1839599609 6737728.46002197 81.348, -13455.7010498047 6737733.62200928 81.188, -13443.6970214844 6737739.45001221 80.968, -13428.9210205078 6737746.625 80.648, -13401.8599853516 6737759.83398438 80.208, -13380.8110351563 6737770.08001709 79.818, -13363.75 6737778.45599365 79.508, -13346.5520019531 6737786.90002441 79.218, -13321.1500244141 6737799.36499024 78.788, -13304.7709960938 6737807.33001709 78.448, -13294.7459716797 6737812.2210083 78.268, -13263.0899658203 6737827.66802979 77.718, -13252.0400390625 6737832.97900391 77.528, -13234.8120117188 6737841.41998291 77.259, -13219.3229980469 6737849.01397705 76.979, -13207.3630371094 6737854.90600586 76.729, -13197.7729492188 6737859.55603027 76.549, -13176.1899414063 6737870.02502441 76.159, -13143.4930419922 6737885.95001221 75.609, -13129.5419921875 6737892.8079834 75.309, -13121.6049804688 6737896.67297363 75.179, -13107.5849609375 6737903.61499023 74.949, -13098.3850097656 6737908.07897949 74.789, -13087.2170410156 6737913.57098389 74.559, -13072.8630371094 6737920.54302979 74.269, -13058.3979492187 6737927.50500488 74.029, -13032.2740478516 6737940.27697754 73.589, -13011.1459960938 6737950.61602783 73.219, -12994.6669921875 6737958.57202148 72.919, -12988.1560058594 6737961.82202148 72.819, -12981.6920166016 6737964.99499512 72.709, -12971.9069824219 6737969.79797363 72.509, -12932.4290161133 6737989.05999756 71.819, -12923.5319824219 6737993.40002441 71.679, -12919.1170043945 6737995.53302002 71.599, -12902.2180175781 6738003.79302978 71.249, -12889.7880249023 6738009.87402344 71.069, -12877.2520141602 6738016.00598145 70.829, -12865.5449829102 6738021.66998291 70.639, -12854.0540161133 6738027.29296875 70.449, -12833.6619873047 6738037.17602539 70.129, -12823.2819824219 6738042.20703125 69.899, -12805.5739746094 6738050.93603516 69.579, -12795.2630004883 6738055.98303223 69.419, -12783.5729980469 6738061.68798828 69.239, -12773.7899780273 6738066.46105957 69.109, -12766.7529907227 6738069.84399414 68.989, -12761.9699707031 6738072.14501953 68.899, -12753.5789794922 6738076.23999024 68.739, -12743.9060058594 6738081.03295899 68.569, -12732.8950195312 6738086.45898438 68.359, -12720.1599731445 6738092.6829834 68.079, -12703.7219848633 6738100.63195801 67.809, -12689.6649780273 6738107.55102539 67.589, -12679.3590087891 6738112.53796387 67.449, -12667.3709716797 6738118.40795898 67.259, -12659.2880249023 6738122.32995606 67.189, -12648.7490234375 6738127.44604492 67.009, -12640.416015625 6738131.56604004 66.869, -12633.3549804687 6738134.99804688 66.739, -12622.7260131836 6738140.21704102 66.579, -12612.0230102539 6738145.46899414 66.37, -12601.9749755859 6738150.39904785 66.2, -12590.5380249023 6738155.96704102 66.01, -12582.2100219727 6738160.0369873 65.87, -12574.1669921875 6738163.9630127 65.77, -12567.992980957 6738166.94104004 65.65, -12563.6599731445 6738169.05200195 65.6, -12552.7819824219 6738174.35900879 65.44, -12542.8980102539 6738179.13195801 65.3, -12532.9459838867 6738184.00097656 65.18, -12523.1810302734 6738188.80505371 65.03, -12516.575012207 6738191.98596191 64.9, -12510.8290100098 6738194.80297852 64.82, -12494.8970031738 6738202.61694336 64.61, -12472.433013916 6738213.57897949 64.29, -12463.6960144043 6738217.82397461 64.13, -12451.9179992676 6738223.60205078 63.94, -12440.433013916 6738229.1550293 63.78, -12431.2380065918 6738233.67004395 63.62, -12418.3689880371 6738239.92199707 63.42, -12411.1499938965 6738243.43005371 63.3, -12399.066986084 6738249.35095215 63.1, -12386.9039916992 6738255.26501465 62.9, -12371.3609924316 6738262.89404297 62.65, -12355.575012207 6738270.55004883 62.38, -12346.0220031738 6738275.23400879 62.2, -12336.8739929199 6738279.67199707 62.05, -12327.4349975586 6738284.32495117 61.91, -12307.4679870605 6738294.08605957 61.56, -12291.8309936523 6738301.75598145 61.29, -12277.0270080566 6738309.02001953 61.08, -12264.8280029297 6738314.89001465 60.88, -12243.5030059814 6738325.29199219 60.52, -12234.5039978027 6738329.64294434 60.33, -12227.2559967041 6738333.23803711 60.17, -12222.5090026855 6738335.59301758 60.09, -12217.8179931641 6738337.88195801 60, -12210.7969970703 6738341.3170166 59.91, -12207.3880004883 6738343.01794434 59.88, -12199.9510040283 6738346.59594727 59.74, -12189.5149993897 6738351.68200684 59.56, -12179.016998291 6738356.79199219 59.37, -12167.9080047607 6738362.19897461 59.2, -12157.3569946289 6738367.33398438 59.04, -12146.7180023193 6738372.55200195 58.88, -12139.6109924316 6738376.04003906 58.77, -12131.8970031738 6738379.78295898 58.68, -12125.0780029297 6738383.09594727 58.56, -12111.3649978638 6738389.76403809 58.3, -12099.0650024414 6738395.85705567 58.11, -12093.7300033569 6738398.4699707 58.02, -12082.111000061 6738404.17199707 57.81, -12071.1579971313 6738409.51196289 57.63, -12060.3009986877 6738414.81103516 57.47, -12040.0060005188 6738424.72399902 57.14, -12026.4710006714 6738431.29199219 56.886, -12012.9560003281 6738437.90405274 56.685, -11999.4589999914 6738444.54199219 56.459, -11986.5760002136 6738450.83300781 56.249, -11979.8169994354 6738454.125 56.136, -11973.0440006256 6738457.4029541 55.99, -11966.2949981689 6738460.72900391 55.872, -11959.5390014648 6738464.02697754 55.752, -11948.2770004272 6738469.5300293 55.571, -11943.7739982605 6738471.72998047 55.501, -11929.6949996948 6738478.55895996 55.26, -11925.7399978638 6738480.51098633 55.196, -11921.2259979248 6738482.68603516 55.121, -11904.3840026855 6738490.94299317 54.88, -11897.2659988403 6738494.42602539 54.765, -11870.7200012207 6738507.4720459 54.299, -11835.2409973145 6738524.6159668 53.761, -11832.5319976807 6738525.9239502 53.716, -11819.3500061035 6738532.29296875 53.495, -11813.1210021973 6738535.29504395 53.399, -11797.8329925537 6738542.55603027 53.142, -11784.5879974365 6738548.47900391 52.921, -11772.8070068359 6738553.51196289 52.721, -11771.0610046387 6738554.22595215 52.69, -11769.2980041504 6738554.92895508 52.657, -11766.970993042 6738555.85803223 52.614, -11765.2010040283 6738556.56298828 52.581, -11763.4290008545 6738557.27001953 52.549, -11761.6629943848 6738557.97399902 52.516, -11759.8950042725 6738558.67102051 52.483, -11758.1349945068 6738559.32702637 52.447, -11755.7859954834 6738560.20202637 52.401, -11754.0010070801 6738560.86694336 52.365, -11752.2270050049 6738561.51293945 52.332, -11750.4360046387 6738562.1529541 52.299, -11748.6519927979 6738562.79101563 52.267, -11746.8589935303 6738563.40600586 52.237, -11744.4960021973 6738564.18005371 52.2, -11742.6849975586 6738564.77294922 52.172, -11740.8760070801 6738565.3659668 52.144, -11739.0650024414 6738565.95996094 52.116, -11737.2550048828 6738566.55395508 52.088, -11735.4410095215 6738567.14794922 52.06, -11733.0629882813 6738567.92797852 52.024, -11731.2780151367 6738568.47998047 51.998, -11729.4620056152 6738569.01293945 51.974, -11727.6329956055 6738569.55004883 51.949, -11725.8059997559 6738570.08496094 51.925, -11722.824005127 6738570.95996094 -0.07)</t>
  </si>
  <si>
    <t>Geometri konverteres ikke.</t>
  </si>
  <si>
    <t>['EV134 S8D1 m524']</t>
  </si>
  <si>
    <t>LINESTRING Z (11026.369140625 6664878.39208984 45.445, 11032.7958984375 6664876.89599609 45.352, 11035.09765625 6664876.30395508 45.252, 11039.5966796875 6664875.30004883 45.152, 11044.1982421875 6664874.19702148 45.052, 11048.80078125 6664873.10302734 44.852, 11053.40234375 6664872 44.752, 11060.4033203125 6664870.49707031 44.552, 11065.103515625 6664869.49511719 44.452, 11069.9990234375 6664868.4050293 44.352, 11073.6435546875 6664867.52905273 44.192, 11074.599609375 6664867.30102539 44.152, 11079.30078125 6664866.29907227 44.052, 11086.404296875 6664864.69604492 43.852, 11091.19921875 6664863.50488281 43.752, 11096.0986328125 6664862.59594727 43.552, 11100.9033203125 6664861.50390625 43.452, 11105.6962890625 6664860.40307617 43.352, 11110.59765625 6664859.40307617 43.252, 11115.5009765625 6664858.40307617 43.052, 11120.50390625 6664857.40405273 42.952, 11127.7978515625 6664855.90405274 42.752, 11132.8017578125 6664854.80395508 42.652, 11137.896484375 6664853.79711914 42.452, 11142.896484375 6664853.10009766 42.352, 11148 6664852.10205078 42.252, 11155.505859375 6664850.60302734 41.952, 11160.49609375 6664849.79589844 41.852, 11165.599609375 6664848.7980957 41.752, 11170.7939453125 6664847.90209961 41.652, 11175.7939453125 6664847.19604492 41.452, 11183.4990234375 6664845.89990234 41.252, 11188.5009765625 6664845.00195313 41.152, 11193.5029296875 6664844.20410156 41.052, 11198.6953125 6664843.39892578 40.852, 11203.7958984375 6664842.80395508 40.752, 11208.796875 6664841.99609375 40.552, 11213.8984375 6664841.30004883 40.452, 11219.1005859375 6664840.50488281 40.352, 11226.79296875 6664839.40209961 40.152, 11231.9033203125 6664838.79492188 40.052, 11236.994140625 6664838.10009766 39.852, 11242.095703125 6664837.40405273 39.752, 11247.1962890625 6664836.69799805 39.552, 11254.794921875 6664835.89599609 39.352, 11259.896484375 6664835.30102539 39.252, 11265.0048828125 6664834.69506836 39.152, 11270.1962890625 6664834.2019043 38.952, 11275.3037109375 6664833.69702148 38.852, 11282.994140625 6664832.89599609 38.652, 11288.1025390625 6664832.50097656 38.552, 11293.201171875 6664831.99707031 38.352, 11298.30078125 6664831.50195313 38.252, 11303.3984375 6664831.19897461 38.152, 11308.498046875 6664830.70507812 37.952, 11313.595703125 6664830.30102539 37.852, 11318.8037109375 6664829.89794922 37.652, 11326.3994140625 6664829.49804688 37.452, 11331.498046875 6664829.10498047 37.352, 11336.697265625 6664828.7019043 37.252, 11341.9033203125 6664828.5 37.052, 11347 6664828.19702149 36.952, 11354.4951171875 6664827.79589844 36.752, 11359.703125 6664827.50292969 36.652, 11364.798828125 6664827.30102539 36.452, 11369.7958984375 6664826.99707031 36.352, 11374.9013671875 6664826.89501953 36.252, 11382.595703125 6664826.59692383 36.052, 11387.5 6664826.50292969 35.952, 11392.595703125 6664826.30102539 35.752, 11397.7021484375 6664826.19897461 35.652, 11402.796875 6664826.09692383 35.552, 11407.90234375 6664825.99511719 35.352, 11412.7978515625 6664825.69995117 35.252, 11418.001953125 6664825.80004883 35.052, 11425.5947265625 6664825.70288086 34.852, 11430.5966796875 6664825.80102539 34.752, 11435.6015625 6664825.69799805 34.652, 11440.5947265625 6664825.69702148 34.552, 11445.701171875 6664825.60400391 34.352, 11453.2001953125 6664825.69702148 34.152, 11458.1005859375 6664825.89501953 34.052, 11463.197265625 6664825.80395508 33.952, 11468.2001953125 6664825.90209961 33.752, 11473.1015625 6664825.99902344 33.652, 11480.6015625 6664826.10205078 33.452, 11485.6025390625 6664826.30102539 33.352, 11490.595703125 6664826.39990234 33.152, 11495.6982421875 6664826.60009766 33.052, 11500.7001953125 6664826.79907227 32.952, 11505.599609375 6664827.09790039 32.852, 11510.6015625 6664827.29711914 32.652, 11515.501953125 6664827.59594727 32.552, 11522.8984375 6664828 32.352, 11527.8994140625 6664828.30004883 32.252, 11532.7998046875 6664828.49804687 32.052, 11537.80078125 6664828.7980957 31.952, 11542.701171875 6664829.09692383 31.852, 11549.9052734375 6664829.59912109 31.652, 11554.794921875 6664829.89892578 31.552, 11559.501953125 6664830.29589844 31.352, 11564.302734375 6664830.60400391 31.252, 11569.099609375 6664831.10302734 31.152, 11573.8984375 6664831.60302734 30.952, 11578.595703125 6664831.89990235 30.852, 11583.1005859375 6664832.39599609 30.752, 11590.1015625 6664833.09790039 30.552, 11594.5986328125 6664833.50390625 30.452, 11599.1953125 6664834.00195313 30.352, 11603.5986328125 6664834.49707031 30.252, 11608.095703125 6664835.00390625 30.152, 11614.7041015625 6664835.60009766 29.952, 11619.2001953125 6664835.99609375 29.852, 11623.4033203125 6664836.60009766 29.752, 11627.7978515625 6664837.09594727 29.652, 11632.203125 6664837.60107422 29.452, 11638.396484375 6664838.49707031 29.352, 11642.599609375 6664839.00097656 29.252, 11646.8037109375 6664839.40307617 29.152, 11650.90625 6664839.99609375 28.952, 11654.90625 6664840.69897461 28.852, 11661 6664841.50390625 28.752, 11665.1015625 6664841.99609375 28.652, 11670.8935546875 6664842.7980957 28.452, 11676.8046875 6664843.69897461 28.352, 11682.4951171875 6664844.60107422 28.152, 11688.205078125 6664845.50097656 28.052, 11695.5009765625 6664846.80004883 27.852, 11701.1005859375 6664847.59912109 27.752, 11706.3994140625 6664848.39501953 27.552, 11711.796875 6664849.30297852 27.352, 11717.1025390625 6664850.30004883 27.252, 11722.0986328125 6664851.20410156 27.152, 11727.294921875 6664852.10107422 26.952, 11733.9990234375 6664853.30297852 26.752, 11739.00390625 6664854.0949707 26.652, 11743.8994140625 6664854.99902344 26.552, 11748.7939453125 6664855.80200195 26.352, 11753.49609375 6664856.80297852 26.252, 11758.4033203125 6664857.50390625 26.152, 11763.0947265625 6664858.39599609 26.052, 11767.5986328125 6664859.20410156 25.852, 11772.2021484375 6664860.00292969 25.752, 11778.2021484375 6664860.99707031 25.652, 11782.6953125 6664861.79711914 25.452, 11786.99609375 6664862.70410156 25.352, 11791.296875 6664863.5 25.252, 11795.59765625 6664864.29711914 25.152, 11799.7978515625 6664865.20288086 24.952, 11803.8994140625 6664865.79589844 24.852, 11807.9990234375 6664866.7019043 24.752, 11812.1005859375 6664867.30493164 24.652, 11818.7021484375 6664868.59594727 24.452, 11825.005859375 6664869.60302734 24.252, 11829.8984375 6664870.59790039 24.052, 11834.794921875 6664871.30004883 23.952, 11839.3056640625 6664871.95703125 23.764)</t>
  </si>
  <si>
    <t>2023-03-02</t>
  </si>
  <si>
    <t>['EV134 S8D1 m4387']</t>
  </si>
  <si>
    <t>LINESTRING Z (15312.485035171267 6665956.8886392135 26.302, 15310.894033101911 6665955.3972699 26.251, 15307.500032476906 6665952.397410191 26.251, 15304.396157978394 6665949.190340325 26.151, 15301.19755818561 6665945.995755774 26.051, 15297.998953403614 6665942.801173704 25.951, 15294.696734680736 6665939.29355866 25.851, 15291.601463348721 6665935.89385406 25.751, 15287.398057564395 6665931.096863704 25.651, 15284.392453526147 6665927.302329603 25.551, 15281.398518765229 6665923.596380438 25.451, 15278.294733662915 6665919.702136942 25.451, 15275.294286828022 6665915.602767655 25.251, 15272.294365471404 6665911.593451917 25.151, 15269.395129412238 6665907.4018900795 25.051, 15265.299257230887 6665901.700792936 24.951, 15262.392577746476 6665897.194789892 24.851, 15259.49690488563 6665892.901375918 24.751, 15256.4014329075 6665888.296340422 24.651, 15253.394442440476 6665883.8035617145 24.551, 15250.398721196398 6665879.095260424 24.451, 15247.40087211266 6665874.4998927135 24.351, 15244.192478199606 6665869.898480332 24.151, 15241.201779344527 6665865.099399361 24.051, 15236.995184724627 6665858.601818225 23.951, 15233.697749145736 6665853.798107692 23.851, 15230.400306657131 6665848.99439964 23.651, 15227.096753765189 6665844.10137693 23.551, 15223.701123625739 6665839.197961474 23.451, 15220.395565501822 6665834.20381942 23.351, 15217.99214946432 6665830.893204867 23.251, 15215.495997411897 6665827.69620109 23.151, 15213.09960569517 6665824.395927686 23.151, 15210.694057715358 6665821.1982488455 23.051, 15208.100252079777 6665817.991588876 22.951, 15204.299551172648 6665813.197900304 22.851, 15201.792235131026 6665810.002373391 22.751, 15199.094669172133 6665806.696741493 22.651, 15196.39909057424 6665803.492235729 22.551, 15193.790007286821 6665800.298860661 22.451, 15189.691700097814 6665795.397960611 22.351, 15186.789014770882 6665792.299614475 22.251, 15184.095409617119 6665789.196241007 22.151, 15181.102103626588 6665786.09857737 22.051, 15178.293598040473 6665782.897699669 22.051, 15173.898082890955 6665778.193699435 21.851, 15170.899189324235 6665775.096777639 21.751, 15167.900291264057 6665771.999858022 21.651, 15164.897808680951 6665769.004799517 21.651, 15161.792105185275 6665766.000818404 21.551, 15158.79319364141 6665762.90390541 21.451, 15155.688013625506 6665759.989980544 21.351, 15152.59888478968 6665757.19785914 21.251, 15147.90043839463 6665752.905563786 21.051, 15144.69136528077 6665750.106727505 21.051, 15141.39578678622 6665747.296765952 20.951, 15138.295493877202 6665744.506124471 20.851, 15134.999906159122 6665741.6961681275 20.751, 15130.193038964004 6665737.699811693 20.651, 15126.997077990614 6665735.000644856 20.551, 15123.693782496965 6665732.304364142 20.451, 15120.396587795345 6665729.697403254 20.351, 15117.20061352424 6665726.998244187 20.251, 15113.89983086317 6665724.493147689 20.251, 15110.60050359479 6665721.999126735 20.151, 15107.292146965337 6665719.393645761 20.051, 15102.19561268721 6665715.694602815 19.951, 15098.897855622461 6665712.997607925 19.851, 15095.499277102528 6665710.696925364 19.751, 15091.996942107566 6665708.297271093 19.651, 15088.396422348625 6665705.797910778 19.651, 15083.40161027154 6665702.096741917 19.451, 15079.799494231818 6665699.800373067 19.351, 15076.396904273715 6665697.297457828 19.351, 15072.795313337818 6665695.091147092 19.251, 15069.193183865398 6665692.794787926 19.151, 15063.703211441287 6665689.29410341 19.051, 15059.99772732018 6665687.202887038 18.951, 15056.390544280526 6665684.997325978 18.851, 15052.698190243216 6665683.005771783 18.751, 15048.800976256956 6665680.793393783 18.651, 15045.095474632166 6665678.702191534 18.551, 15041.299887992325 6665676.70172647 18.551, 15037.598490024626 6665674.598723865 18.451, 15031.793517207843 6665671.590219342 18.251, 15027.89615528594 6665669.5919188475 18.151, 15024.0007839108 6665667.694746846 18.151, 15020.19045176031 6665665.797631043 18.051, 15016.293611927715 6665663.889393987 17.951, 15010.303672608105 6665661.198202594 17.851, 15006.305061637016 6665659.29212768 17.751, 15002.39136873075 6665657.600165499 17.651, 14998.302547594358 6665655.998890247 17.551, 14994.198586580169 6665654.1968396185 17.451, 14987.899244898814 6665651.997087566 17.351, 14983.997214445437 6665650.393726432 17.251, 14979.791893746238 6665648.897952591 17.151, 14975.691906151245 6665647.298170969 17.051, 14971.396497287555 6665645.893141687 16.951, 14967.289349856728 6665644.49708787 16.851, 14963.10073041945 6665642.999128058 16.751, 14958.895926641533 6665641.5934290625 16.651, 14952.59695357643 6665639.697843926 16.551, 14948.293836320343 6665638.40650771 16.451, 14944.100164256175 6665636.999355431 16.351, 14939.699390442285 6665635.698375226 16.251, 14935.492988196667 6665634.495686197 16.151, 14928.996572471864 6665632.69376546 16.051, 14924.701005038281 6665631.502845789 15.951, 14920.291067787097 6665630.304482432 15.851, 14915.79104728956 6665629.196861044 15.751, 14911.594193998666 6665628.195713014 15.751, 14904.996409500716 6665626.700097098 15.551, 14900.5960251785 6665625.703271189 15.451, 14896.000222229457 6665624.901202503 15.451, 14891.69098691555 6665623.993753497 15.351, 14887.198938451416 6665623.290664968 15.251, 14882.79339278146 6665622.598703751 15.051, 14878.29019464174 6665621.897095709 15.051, 14873.798138577258 6665621.194023243 14.951, 14867.192133133358 6665620.195229116 14.851, 14862.596734214574 6665619.697310416 14.751, 14856.102052581089 6665618.897894267 14.551, 14851.495503707265 6665618.401459126 14.451, 14847.092477103113 6665617.900716613 14.351, 14842.695020788407 6665617.399244324 14.351, 14838.301561519562 6665617.100026677 14.251, 14833.894956375123 6665616.701159448 14.151, 14829.495921514404 6665616.402687187 14.051, 14825.097424455103 6665616.194272119 13.951, 14818.497811118898 6665615.803047551 13.851, 14814.093738209747 6665615.595380532 13.751, 14809.79791950545 6665615.305846908 13.651, 14805.49560624524 6665615.096032539 13.551, 14801.189179903304 6665614.898030934 13.451, 14794.799192062637 6665614.5918499045 13.351, 14790.393000715936 6665614.4971435685 13.251, 14786.0977145707 6665614.297689402 13.151, 14782.098571231763 6665614.194360123 12.951, 14777.799711455475 6665614.0967754 12.851, 14773.691661319055 6665614.199333334 12.651, 14769.59789458965 6665613.894456418 12.451, 14765.594635672693 6665613.80295279 12.151, 14759.59485798236 6665613.704460033 11.851, 14753.795141281502 6665613.489461283 11.551, 14748.290377706115 6665613.404542167 11.251, 14742.795403905853 6665613.093030835 10.951, 14737.393967476673 6665612.802983797 10.751, 14732.2958150747 6665612.405340732 10.551, 14730.015482201823 6665612.266823646 10.461, 14727.192629739002 6665612.09849188 10.351, 14722.290423831262 6665611.596153206 10.151, 14717.495008937432 6665611.000873631 9.851, 14711.190617472515 6665610.097735474 9.651)</t>
  </si>
  <si>
    <t>['EV134 S8D1 m9042']</t>
  </si>
  <si>
    <t>LINESTRING Z (18199.0510253906 6668700.5670166 -0.053, 18198.5700683594 6668700.21899414 5.647, 18196.1989746094 6668698.50195313 5.647, 18192.1999511719 6668695.70495605 5.647, 18188.8020019531 6668692.99401856 5.647, 18184.9938964844 6668690.09899902 5.747, 18180.9990234375 6668686.7989502 5.747, 18177.8029785156 6668684.20104981 5.947, 18174.49609375 6668681.60205078 6.047, 18171.2019042969 6668678.59997559 6.047, 18167.5959472656 6668675.59594727 6.147, 18164.0939941406 6668672.40197754 6.247, 18160.5009765625 6668669.10498047 6.347, 18156.4970703125 6668665.70397949 6.447, 18152.705078125 6668662.20397949 6.547, 18148.6030273438 6668658.5 6.547, 18144.501953125 6668654.5949707 6.747, 18140.29296875 6668650.49804688 6.847, 18136.1049804687 6668646.2989502 6.947, 18133.1940917969 6668643.4029541 7.047, 18130.4938964844 6668640.39697266 7.147, 18127.5029296875 6668637.39794922 7.247, 18124.6950683594 6668634.19995117 7.247, 18121.794921875 6668631.10205078 7.347, 18118.8969726563 6668627.80200195 7.447, 18116.2019042969 6668624.4029541 7.547, 18113.0939941406 6668620.90100098 7.547, 18110.3999023437 6668617.40100098 7.647, 18107.5029296875 6668614 7.747, 18104.6979980469 6668610.40002441 7.847, 18102.00390625 6668606.90002441 7.847, 18099.3000488281 6668603.30102539 7.947, 18096.5959472656 6668599.7010498 8.047, 18094.00390625 6668596.00097656 8.147, 18091.3010253906 6668592.30102539 8.247, 18088.8000488281 6668588.60205078 8.247, 18086.0969238281 6668584.90197754 8.347, 18083.6979980469 6668581.10400391 8.447, 18081.1960449219 6668577.4050293 8.547, 18078.7958984375 6668573.5970459 8.547, 18076.294921875 6668569.79699707 8.647, 18073.7958984375 6668565.89794922 8.747, 18071.3979492188 6668561.89794922 8.847, 18069.1000976562 6668557.99902344 8.947, 18066.7009277344 6668554.09997559 9.047, 18064.5061035156 6668550.00195313 9.047, 18062.0959472656 6668546.20397949 9.147, 18059.6989746094 6668542.20397949 9.247, 18057.6030273438 6668538.09594727 9.347, 18055.2958984375 6668534.09802246 9.447, 18053.1010742188 6668529.89904785 9.447, 18050.9040527344 6668526.00097656 9.547, 18048.6989746094 6668521.90405274 9.647, 18046.5029296875 6668517.80505371 9.747, 18044.3989257813 6668513.5970459 9.847, 18042.1010742188 6668509.59802246 9.847, 18040.0979003906 6668505.40100098 9.947, 18037.9951171875 6668501.20300293 10.047, 18035.7990722656 6668497.10400391 10.147, 18033.50390625 6668492.90405273 10.247, 18031.3979492187 6668488.79699707 10.347, 18029.1950683594 6668484.49804688 10.447, 18027.1010742187 6668480.29895019 10.447, 18024.8959960937 6668476.09997559 10.547, 18022.8039550781 6668471.69995117 10.647, 18020.6000976563 6668467.50097656 10.647, 18018.3959960938 6668463.20202637 10.747, 18016.2019042969 6668459.00195313 10.847, 18013.9990234375 6668454.60205078 10.947, 18011.794921875 6668450.30297852 11.047, 18009.6020507813 6668445.90197754 11.147, 18007.3979492188 6668441.70300293 11.247, 18005.1040039063 6668437.30102539 11.347, 18002.9008789063 6668433.00195313 11.347, 18000.5969238281 6668428.60095215 11.447, 17998.3029785156 6668424.2989502 11.547, 17995.998046875 6668420.09997559 11.647, 17993.7028808594 6668415.7989502 11.747, 17991.2980957031 6668411.49694824 11.847, 17988.9951171875 6668407.09594727 11.947, 17986.5979003906 6668402.89501953 12.047, 17984.0029296875 6668398.60095215 12.147, 17981.6970214844 6668394.50195313 12.247, 17979.3000488281 6668390.40197754 12.247, 17976.794921875 6668385.99902344 12.347, 17974.2971191406 6668381.89697266 12.447, 17971.8000488281 6668377.69494629 12.547, 17969.3029785156 6668373.60302734 12.647, 17966.6960449219 6668369.40100098 12.747, 17964.1979980469 6668365.30004883 12.747, 17961.6999511719 6668361.19799805 12.847, 17959.1020507813 6668357.09594727 12.947, 17956.4938964844 6668353.00402832 13.047, 17953.8049316406 6668348.90002441 13.147, 17951.2958984375 6668345.00097656 13.247, 17948.5959472656 6668340.89794922 13.247, 17945.8969726563 6668336.9050293 13.347, 17943.0959472656 6668332.90197754 13.447, 17940.49609375 6668329.00097656 13.547, 17937.6950683594 6668324.99694824 13.647, 17935.0949707031 6668321.0970459 13.747, 17932.3039550781 6668317.20300293 13.747, 17929.501953125 6668313.30004883 13.847, 17926.8010253906 6668309.39794922 13.947, 17923.8000488281 6668305.4029541 14.047, 17921.0969238281 6668301.70300293 14.047, 17918.1950683594 6668297.7989502 14.247, 17915.4020996094 6668293.99694824 14.247, 17912.5 6668290.20397949 14.347, 17909.6970214844 6668286.40197754 14.447, 17906.8029785156 6668282.69897461 14.547, 17903.8989257813 6668278.89599609 14.647, 17901.0048828125 6668275.30395508 14.647, 17898.1020507813 6668271.50097656 14.747, 17895.0971679687 6668267.79797363 14.847, 17892.203125 6668263.99401856 14.947, 17889.298828125 6668260.4029541 15.047, 17886.1938476563 6668256.59802246 15.047, 17883.298828125 6668252.99597168 15.147, 17880.2021484375 6668249.50305176 15.247, 17877.2978515625 6668245.80102539 15.347, 17874.2001953125 6668242.29797363 15.447, 17871.0952148438 6668238.60400391 15.547, 17868.0991210938 6668235.00097656 15.547, 17865.001953125 6668231.49694824 15.647, 17862.0048828125 6668227.99499512 15.747, 17858.7978515625 6668224.40100098 15.847, 17855.7021484375 6668220.79699707 15.947, 17852.4028320313 6668217.30200195 16.047, 17849.1938476563 6668213.90002441 16.047, 17845.99609375 6668210.39501953 16.147, 17842.8979492187 6668207.00305176 16.247, 17839.701171875 6668203.39794922 16.347, 17836.4018554688 6668200.00402832 16.447, 17833.1020507813 6668196.59899902 16.547, 17829.9028320313 6668193.0949707 16.647, 17826.6040039063 6668189.7010498 16.647, 17823.2939453125 6668186.29797363 16.747, 17819.9951171875 6668182.9029541 16.847, 17816.5952148438 6668179.49804688 16.948, 17813.1948242188 6668176.10302734 17.048, 17809.8940429688 6668172.7989502 17.148, 17806.50390625 6668169.4029541 17.148, 17803.1010742188 6668166.19995117 17.248, 17799.4990234375 6668162.9029541 17.348, 17796.0981445313 6668159.49804688 17.448, 17792.6982421875 6668156.20397949 17.548, 17789.203125 6668153.09899902 17.648, 17785.703125 6668149.70300293 17.648, 17782.0981445313 6668146.59802246 17.748, 17778.5971679688 6668143.20202637 17.848, 17775.1948242188 6668139.99902344 17.948, 17771.6000976562 6668137.00402832 18.048, 17767.9970703125 6668133.69799805 18.048, 17764.6049804687 6668130.50305176 18.148, 17760.8989257812 6668127.39697266 18.248, 17757.205078125 6668124.30102539 18.348, 17753.69921875 6668121.29797363 18.448, 17750.0048828125 6668118.2010498 18.448, 17746.5 6668115.19799805 18.548, 17742.794921875 6668112.10302734 18.648, 17739.1982421875 6668109.19897461 18.748, 17735.501953125 6668106.20300293 18.848, 17731.8969726563 6668103.19897461 18.848, 17727.9990234375 6668100.20104981 18.948, 17724.6040039063 6668097.2989502 19.048, 17720.796875 6668094.40405273 19.148, 17716.9990234375 6668091.49804688 19.248, 17713.4038085938 6668088.50305176 19.248, 17709.705078125 6668085.69897461 19.448, 17705.6958007813 6668082.80200195 19.448, 17702.19921875 6668080 19.548, 17698.4018554688 6668077.10400391 19.648, 17694.6020507813 6668074.40002442 19.748, 17690.8032226563 6668071.59399414 19.848, 17686.994140625 6668068.90100098 19.948, 17683.0961914063 6668066.00402832 19.948, 17679.296875 6668063.19897461 20.048, 17675.3959960938 6668060.60400391 20.148, 17671.5971679688 6668057.7989502 20.248, 17667.6958007813 6668055.20495605 20.348, 17663.8051757813 6668052.49902344 20.348, 17659.8940429688 6668049.9050293 20.448, 17655.9018554688 6668047.2989502 20.548, 17652.001953125 6668044.60302734 20.648, 17648.0991210938 6668042.09997559 20.748, 17643.998046875 6668039.4029541 20.748, 17640.0952148438 6668036.89904785 20.848, 17636.1030273438 6668034.4029541 20.948, 17632.1010742188 6668031.79797363 21.048, 17628.0971679687 6668029.40405274 21.148, 17624.1049804688 6668026.79797363 21.148, 17620.1020507813 6668024.30297852 21.248, 17615.9970703125 6668021.99902344 21.348, 17612.1030273438 6668019.5949707 21.448, 17608 6668017.09899902 21.548, 17603.9038085938 6668014.79400635 21.648, 17600.0009765625 6668012.40100098 21.748, 17595.9970703125 6668009.99798584 21.748, 17591.9018554687 6668007.70300293 21.848, 17587.8959960937 6668005.5 21.948, 17583.7001953125 6668003.20397949 22.048, 17579.794921875 6668001.00299072 22.148, 17575.69921875 6667998.69799805 22.148, 17571.703125 6667996.49499512 22.248, 17567.6967773438 6667994.40301514 22.348, 17563.6000976563 6667992.29998779 22.448, 17559.6040039063 6667990.0960083 22.448, 17555.5981445312 6667988.00500488 22.548, 17551.5 6667985.90100098 22.648, 17547.4018554688 6667983.79797363 22.748, 17543.5961914063 6667981.79901123 22.848, 17539.4970703125 6667979.79602051 22.848, 17535.5 6667977.80401611 22.948, 17531.501953125 6667975.90301514 23.048, 17527.4028320313 6667973.90002441 23.148, 17523.3950195313 6667971.90002441 23.148, 17519.4057617188 6667970.09802246 23.248, 17515.3959960937 6667968.29901123 23.348, 17511.3979492187 6667966.29699707 23.448, 17507.3989257812 6667964.49700928 23.448, 17503.3999023438 6667962.5960083 23.548, 17499.6020507813 6667960.79699707 23.648, 17495.6020507813 6667959.09802246 23.748, 17491.6020507813 6667957.29797363 23.848, 17487.6020507812 6667955.49700928 23.848, 17483.6020507813 6667953.79797363 23.948, 17479.5009765625 6667951.99700928 24.048, 17475.6020507813 6667950.29797363 24.148, 17471.6010742188 6667948.59802246 24.148, 17467.4990234375 6667946.99902344 24.248, 17463.5991210938 6667945.29998779 24.348, 17459.3959960938 6667943.70001221 24.448, 17455.2939453125 6667942.09997559 24.548, 17451.4028320313 6667940.60198975 24.548, 17447.3017578125 6667938.90100098 24.648, 17443.298828125 6667937.40301514 24.748, 17439.1967773438 6667935.80401611 24.848, 17435.0029296875 6667934.30297852 24.848, 17431 6667932.79498291 24.948, 17427.0991210937 6667931.29797363 25.048, 17422.7021484375 6667929.89599609 25.048, 17418.7001953125 6667928.39801025 25.148, 17414.4951171875 6667926.99902344 25.248, 17410.4008789063 6667925.59997559 25.348, 17406.3979492187 6667924.20300293 25.348, 17402.1030273438 6667922.80200195 25.448, 17398.0991210938 6667921.39501953 25.548, 17393.9931640625 6667920.19799805 25.648, 17389.7978515625 6667918.79797363 25.748, 17385.794921875 6667917.40100098 25.748, 17381.5991210938 6667916.20202637 25.848, 17377.5029296875 6667915.00500488 25.948, 17373.498046875 6667913.69799805 25.948, 17369.3017578125 6667912.5 26.048, 17365.1967773438 6667911.20202637 26.148, 17361.1000976563 6667909.99499512 26.148, 17357.1040039063 6667908.89898682 26.248, 17352.9990234375 6667907.60198975 26.348, 17348.9018554688 6667906.49499512 26.448, 17344.8959960938 6667905.40002441 26.548, 17340.9008789063 6667904.20300293 26.548, 17336.79296875 6667903.09698486 26.648, 17332.796875 6667902.10198975 26.748, 17328.7998046875 6667900.99597168 26.748, 17324.703125 6667899.89898682 26.849, 17320.6982421875 6667898.70397949 26.949, 17316.80078125 6667897.79998779 27.049, 17312.7041015625 6667896.70300293 27.049, 17308.798828125 6667895.49902344 27.149, 17304.80078125 6667894.60400391 27.249, 17300.7939453125 6667893.49902344 27.349, 17296.8999023438 6667892.30297852 27.349, 17293.0029296875 6667891.29901123 27.449, 17288.9970703125 6667890.20397949 27.549, 17285.203125 6667888.99902344 27.649, 17281.2958984375 6667887.99597168 27.649, 17275.6040039063 6667886.40002441 27.749, 17269.80078125 6667884.80401611 27.849, 17264.0991210938 6667882.99798584 28.049, 17258.3969726563 6667881.40301514 28.049, 17252.7041015625 6667879.69702148 28.149, 17247.0942382813 6667877.90197754 28.349, 17241.501953125 6667876.29699707 28.349, 17236.00390625 6667874.30102539 28.549, 17230.494140625 6667872.49700928 28.549, 17224.9970703125 6667870.50097656 28.649, 17219.6000976563 6667868.39501953 28.749, 17214.3041992188 6667866.40100098 28.849, 17208.998046875 6667864.39697266 28.849, 17203.8041992188 6667862.30297852 28.949, 17198.4990234375 6667859.99700928 29.049, 17193.3969726563 6667857.80401611 29.049, 17188.3041992188 6667855.49902344 29.049, 17183.2021484375 6667853.19598389 29.049, 17178.3017578125 6667850.90301514 29.049, 17173.3017578125 6667848.39898682 29.149, 17168.4018554688 6667845.99597168 29.149, 17163.6040039062 6667843.50299072 29.149, 17158.705078125 6667841 29.149, 17154.0991210938 6667838.39898682 29.149, 17149.5029296875 6667835.79699707 29.149, 17144.9990234375 6667832.99597168 29.149, 17140.5952148438 6667830.29602051 29.049, 17136.2001953125 6667827.79699707 29.049, 17131.796875 6667824.99597168 29.049, 17127.5961914063 6667822.19799805 28.949, 17123.5952148437 6667819.50097656 28.949, 17119.5029296875 6667816.9039917 28.949, 17115.5009765625 6667814.19799805 28.849, 17111.701171875 6667811.60400391 28.749, 17107.9018554688 6667808.79901123 28.749, 17104.3017578125 6667806.29797363 28.649, 17100.9038085938 6667803.69799805 28.649, 17097.50390625 6667801.29901123 28.549, 17094.2958984375 6667798.9039917 28.549, 17090.2001953125 6667795.60198975 28.449, 17086.2939453125 6667792.50500488 28.349, 17082.7978515625 6667789.60101318 28.249, 17079.4008789063 6667786.90002441 28.149, 17075.6982421875 6667783.60302734 28.049, 17072.3032226563 6667780.59997559 27.949, 17068.69921875 6667777.39501953 27.849, 17065.6948242188 6667774.69799805 27.749, 17062.4028320313 6667771.5949707 27.649, 17060.3950195313 6667769.89599609 27.649)</t>
  </si>
  <si>
    <t>2020-04-01</t>
  </si>
  <si>
    <t>2025-11-22T09:41:05Z</t>
  </si>
  <si>
    <t>['RV13 S1D1 m4315 KD1 m539']</t>
  </si>
  <si>
    <t>LINESTRING Z (-31380.29 6575471.64 -36.93, -31377.47 6575523.74 -33.44, -31377.59 6575561.95 -30.66, -31386.07 6575606.35 -27.37, -31418.91 6575670.66 -22.09, -31476.89 6575729.17 -16.12, -31542.07 6575777.86 -10.33, -31591.58 6575813.76 -5.89, -31650.94 6575871.75 0.11, -31677.81 6575916.67 -1.73)</t>
  </si>
  <si>
    <t>['RV13 S1D1 m4315 KD1 m96']</t>
  </si>
  <si>
    <t>LINESTRING Z (-31345.41 6575308.68 -52.67, -31350.97 6575337.64 -50.97, -31370.25 6575399.93 -46.97, -31379.49 6575443.84 -44.14, -31380.29 6575471.64 -36.93)</t>
  </si>
  <si>
    <t>['RV13 S1D1 m2710']</t>
  </si>
  <si>
    <t>LINESTRING Z (-31056.57 6577211.39 4.46, -31108.37 6577146.22 5.79, -31163.29 6577077.12 0.56, -31211.36 6577016.66 -4.02, -31263.78 6576950.71 -9, -31314.33 6576887.11 -13.73, -31365.52 6576822.73 -16.9, -31416.69 6576758.34 -18.04, -31463.46 6576699.41 -18.77, -31497.8 6576653.71 -19.33, -31541.01 6576583.79 -20.12, -31574.5 6576510.92 -27.1, -31598.94 6576434.55 -21.68, -31612.61 6576365.71 -22.36, -31618.67 6576301.83 -22.98, -31617.43 6576220.64 -23.77, -31606.45 6576141.21 -24.55, -31590.58 6576078 -25.18, -31566.46 6576001.46 -25.96, -31542.07 6575925.02 -26.74, -31517.38 6575847.62 -27.53, -31492.67 6575770.21 -28.32, -31474.99 6575714.79 -28.88, -31450.6 6575638.35 -29.91, -31430.78 6575576.23 -31.6, -31405.78 6575497.88 -34.92, -31381.08 6575420.48 -39.45, -31355.77 6575341.17 -44.43, -31332.3 6575267.58 -49.05, -31307.59 6575190.18 -53.91, -31282.9 6575112.78 -58.77, -31258.2 6575035.39 -63.63, -31233.5 6574957.99 -68.49, -31209.11 6574881.54 -73.2, -31184.41 6574804.14 -76.31, -31159.41 6574725.79 -77.84, -31135.02 6574649.34 -79.26, -31110.31 6574571.94 -80.7, -31085.62 6574494.54 -82.14, -31061.22 6574418.09 -83.56, -31038.97 6574348.33 -84.85, -31011.52 6574262.34 -86.45, -30987.12 6574185.89 -87.87, -30962.43 6574108.49 -88.38, -30940.47 6574039.7 -87, -30916.2 6573961.12 -83.56, -30899.07 6573890.03 -80.2, -30889.07 6573809.46 -76.44, -30889.13 6573726.33 -72.59, -30899.24 6573645.79 -68.83, -30919.44 6573566.18 -65.03, -30945.62 6573497.86 -61.65, -30986.93 6573420.01 -57.57, -31033.81 6573353.78 -53.82, -31087.74 6573294.46 -50.11, -31133.43 6573253.9 -47.28, -31183.53 6573217.13 -44.41, -31271.83 6573167.81 -39.73, -31347.42 6573138.34 -35.97, -31415.76 6573120.4 -32.7, -31506.59 6573108.15 -28.47, -31587.76 6573107.87 -24.72)</t>
  </si>
  <si>
    <t>['RV13 S1D1 m4315 KD2 m497']</t>
  </si>
  <si>
    <t>LINESTRING Z (-31684.45 6575913.08 -1.83, -31659.62 6575864.39 -2.47, -31625.58 6575803.08 -5.36, -31585.36 6575732.49 -11.84, -31554.57 6575678.46 -16.8, -31528.75 6575633.14 -20.96, -31489.02 6575563.43 -27.36, -31448.8 6575492.83 -33.84, -31415.11 6575429.81 -0.07, -31389.51 6575358.7 -0.07, -31346.64 6575224.33 -0.07, -31328.04 6575177.63 -0.07)</t>
  </si>
  <si>
    <t>2025-11-22T09:41:09Z</t>
  </si>
  <si>
    <t>['RV13 S41D1 m2443']</t>
  </si>
  <si>
    <t>LINESTRING Z (48275.23755999084 6804171.641824953 20, 48251.0616801756 6804175.36956679 20, 48251.07888214529 6804175.337785163 20, 48251.88681238284 6804180.71879895 20, 48276.06269184523 6804176.991056128 20, 48275.23755999084 6804171.641824953 20)</t>
  </si>
  <si>
    <t>['RV13 S41D1 m1498']</t>
  </si>
  <si>
    <t>LINESTRING Z (48088.85772759892 6803242.383543237 28, 48065.14283248107 6803248.383683602 28, 48065.14913428557 6803248.342841067 28, 48066.471424647316 6803253.626140916 28, 48090.176338533114 6803247.626919377 28, 48088.85772759892 6803242.383543237 28)</t>
  </si>
  <si>
    <t>Bergrom</t>
  </si>
  <si>
    <t>2015-11-10</t>
  </si>
  <si>
    <t>2025-11-22T09:21:29Z</t>
  </si>
  <si>
    <t>['EV16 S53D1 m3665-3675']</t>
  </si>
  <si>
    <t>LINESTRING Z (260088.673528364 6689573.59768486 -999999, 260082.315197003 6689581.30104785 -999999)</t>
  </si>
  <si>
    <t>POLYGON ((260081.92958549058 6689580.982765332, 260082.7008085154 6689581.619330369, 260089.0591398764 6689573.915967379, 260088.28791685158 6689573.279402342, 260081.92958549058 6689580.982765332))</t>
  </si>
  <si>
    <t>2012-11-23</t>
  </si>
  <si>
    <t>[456]</t>
  </si>
  <si>
    <t>['FV456 S1D1 m469-482']</t>
  </si>
  <si>
    <t>LINESTRING Z (85801.7700195312 6465487.11999512 -8.586, 85873.1600341797 6465481.65002442 0.154, 85872.1600341797 6465469.17004395 -0.086, 85800.8199462891 6465474.63000488 -8.586, 85799.1400146484 6465481.04003906 -8.586, 85801.7700195312 6465487.11999512 -8.586)</t>
  </si>
  <si>
    <t>POLYGON Z ((85801.7700195312 6465487.11999512 -8.586, 85873.1600341797 6465481.65002442 0.154, 85872.1600341797 6465469.17004395 -0.086, 85800.8199462891 6465474.63000488 -8.586, 85799.1400146484 6465481.04003906 -8.586, 85801.7700195312 6465487.11999512 -8.586))</t>
  </si>
  <si>
    <t>2013-06-28</t>
  </si>
  <si>
    <t>[553]</t>
  </si>
  <si>
    <t>['FV553 S1D1 m8055-8063']</t>
  </si>
  <si>
    <t>LINESTRING Z (-50163.3901367188 6615554.16992188 -70.427, -50172.3198242188 6615542.06054687 -70.437, -50172.16015625 6615541.93945312 -70.447, -50172.080078125 6615541.88085938 -70.457, -50172 6615541.81054688 -70.467, -50171.919921875 6615541.75976563 -70.467, -50171.830078125 6615541.69921875 -70.477, -50171.759765625 6615541.640625 -70.487, -50171.669921875 6615541.5703125 -70.497, -50171.6000976563 6615541.51953125 -70.497, -50171.4301757813 6615541.390625 -70.517, -50171.3500976563 6615541.33007813 -70.527, -50171.2700195313 6615541.26953125 -70.527, -50171.1801757813 6615541.2109375 -70.537, -50171.1098632813 6615541.15039062 -70.547, -50171.0200195313 6615541.08984375 -70.557, -50170.9399414062 6615541.02929688 -70.557, -50170.8598632813 6615540.9609375 -70.567, -50170.7700195313 6615540.91015625 -70.577, -50170.7001953125 6615540.84960938 -70.587, -50170.6098632812 6615540.77929688 -70.587, -50170.5297851563 6615540.72070312 -70.597, -50170.4501953125 6615540.66992188 -70.607, -50170.3701171875 6615540.59960937 -70.607, -50170.2900390625 6615540.5390625 -70.617, -50170.2099609375 6615540.48046875 -70.627, -50170.1201171875 6615540.41992188 -70.637, -50170.0498046875 6615540.359375 -70.637, -50169.9599609375 6615540.30078125 -70.647, -50169.8798828125 6615540.24023437 -70.657, -50169.7998046875 6615540.16992187 -70.667, -50169.7202148438 6615540.11914063 -70.667, -50169.6401367187 6615540.06054688 -70.677, -50169.5600585938 6615539.99023438 -70.687, -50169.4702148438 6615539.9296875 -70.697, -50169.3999023438 6615539.88085937 -70.697, -50169.3100585938 6615539.8203125 -70.707, -50169.2299804688 6615539.75 -70.717, -50169.1499023438 6615539.68945312 -70.727, -50169.0698242188 6615539.63085938 -70.727, -50168.990234375 6615539.5703125 -70.737, -50168.91015625 6615539.50976563 -70.747, -50168.8198242188 6615539.44921875 -70.757, -50168.75 6615539.390625 -70.757, -50168.66015625 6615539.33007812 -70.767, -50168.580078125 6615539.26953125 -70.777, -50168.5 6615539.2109375 -70.777, -50168.419921875 6615539.140625 -70.787, -50168.33984375 6615539.08007813 -70.797, -50168.259765625 6615539.02929688 -70.807, -50168.169921875 6615538.97070313 -70.807, -50168.1000976563 6615538.90039063 -70.817, -50168.009765625 6615538.83984375 -70.827, -50167.9301757813 6615538.7890625 -70.837, -50167.8500976563 6615538.72070313 -70.837, -50167.7700195313 6615538.66015625 -70.847, -50167.6801757813 6615538.59960938 -70.857, -50167.6000976563 6615538.5390625 -70.867, -50167.5200195313 6615538.48046875 -70.867, -50167.4399414062 6615538.41992188 -70.877, -50167.3598632813 6615538.359375 -70.887, -50167.2700195313 6615538.2890625 -70.897, -50167.2001953125 6615538.24023438 -70.897, -50167.1098632813 6615538.1796875 -70.907, -50167.0297851563 6615538.11914063 -70.917, -50166.9501953125 6615538.05078125 -70.927, -50166.8701171875 6615537.99023438 -70.927, -50166.7797851563 6615537.93945313 -70.937, -50166.7099609375 6615537.86914063 -70.947, -50166.6201171875 6615537.81054688 -70.947, -50166.5498046875 6615537.75 -70.957, -50166.4599609375 6615537.69921875 -70.967, -50166.3798828125 6615537.63085938 -70.977, -50166.2998046875 6615537.5703125 -70.977, -50166.2202148438 6615537.50976563 -70.987, -50166.1298828125 6615537.44921875 -70.997, -50166.0600585938 6615537.390625 -71.007, -50165.9702148438 6615537.33007813 -71.007, -50165.8901367187 6615537.26953125 -71.017, -50165.8100585938 6615537.19921875 -71.027, -50165.7299804688 6615537.15039063 -71.037, -50165.6499023438 6615537.08984375 -71.037, -50165.5698242187 6615537.02929688 -71.047, -50165.41015625 6615536.90039063 -71.067, -50156.3598632813 6615548.9296875 -71.067)</t>
  </si>
  <si>
    <t>POLYGON Z ((-50163.3901367188 6615554.16992188 -70.427, -50172.3198242188 6615542.06054687 -70.437, -50172.16015625 6615541.93945312 -70.447, -50172.080078125 6615541.88085938 -70.457, -50172 6615541.81054688 -70.467, -50171.919921875 6615541.75976563 -70.467, -50171.830078125 6615541.69921875 -70.477, -50171.759765625 6615541.640625 -70.487, -50171.669921875 6615541.5703125 -70.497, -50171.6000976563 6615541.51953125 -70.497, -50171.4301757813 6615541.390625 -70.517, -50171.3500976563 6615541.33007813 -70.527, -50171.2700195313 6615541.26953125 -70.527, -50171.1801757813 6615541.2109375 -70.537, -50171.1098632813 6615541.15039062 -70.547, -50171.0200195313 6615541.08984375 -70.557, -50170.9399414062 6615541.02929688 -70.557, -50170.8598632813 6615540.9609375 -70.567, -50170.7700195313 6615540.91015625 -70.577, -50170.7001953125 6615540.84960938 -70.587, -50170.6098632812 6615540.77929688 -70.587, -50170.5297851563 6615540.72070312 -70.597, -50170.4501953125 6615540.66992188 -70.607, -50170.3701171875 6615540.59960937 -70.607, -50170.2900390625 6615540.5390625 -70.617, -50170.2099609375 6615540.48046875 -70.627, -50170.1201171875 6615540.41992188 -70.637, -50170.0498046875 6615540.359375 -70.637, -50169.9599609375 6615540.30078125 -70.647, -50169.8798828125 6615540.24023437 -70.657, -50169.7998046875 6615540.16992187 -70.667, -50169.7202148438 6615540.11914063 -70.667, -50169.6401367187 6615540.06054688 -70.677, -50169.5600585938 6615539.99023438 -70.687, -50169.4702148438 6615539.9296875 -70.697, -50169.3999023438 6615539.88085937 -70.697, -50169.3100585938 6615539.8203125 -70.707, -50169.2299804688 6615539.75 -70.717, -50169.1499023438 6615539.68945312 -70.727, -50169.0698242188 6615539.63085938 -70.727, -50168.990234375 6615539.5703125 -70.737, -50168.91015625 6615539.50976563 -70.747, -50168.8198242188 6615539.44921875 -70.757, -50168.75 6615539.390625 -70.757, -50168.66015625 6615539.33007812 -70.767, -50168.580078125 6615539.26953125 -70.777, -50168.5 6615539.2109375 -70.777, -50168.419921875 6615539.140625 -70.787, -50168.33984375 6615539.08007813 -70.797, -50168.259765625 6615539.02929688 -70.807, -50168.169921875 6615538.97070313 -70.807, -50168.1000976563 6615538.90039063 -70.817, -50168.009765625 6615538.83984375 -70.827, -50167.9301757813 6615538.7890625 -70.837, -50167.8500976563 6615538.72070313 -70.837, -50167.7700195313 6615538.66015625 -70.847, -50167.6801757813 6615538.59960938 -70.857, -50167.6000976563 6615538.5390625 -70.867, -50167.5200195313 6615538.48046875 -70.867, -50167.4399414062 6615538.41992188 -70.877, -50167.3598632813 6615538.359375 -70.887, -50167.2700195313 6615538.2890625 -70.897, -50167.2001953125 6615538.24023438 -70.897, -50167.1098632813 6615538.1796875 -70.907, -50167.0297851563 6615538.11914063 -70.917, -50166.9501953125 6615538.05078125 -70.927, -50166.8701171875 6615537.99023438 -70.927, -50166.7797851563 6615537.93945313 -70.937, -50166.7099609375 6615537.86914063 -70.947, -50166.6201171875 6615537.81054688 -70.947, -50166.5498046875 6615537.75 -70.957, -50166.4599609375 6615537.69921875 -70.967, -50166.3798828125 6615537.63085938 -70.977, -50166.2998046875 6615537.5703125 -70.977, -50166.2202148438 6615537.50976563 -70.987, -50166.1298828125 6615537.44921875 -70.997, -50166.0600585938 6615537.390625 -71.007, -50165.9702148438 6615537.33007813 -71.007, -50165.8901367187 6615537.26953125 -71.017, -50165.8100585938 6615537.19921875 -71.027, -50165.7299804688 6615537.15039063 -71.037, -50165.6499023438 6615537.08984375 -71.037, -50165.5698242187 6615537.02929688 -71.047, -50165.41015625 6615536.90039063 -71.067, -50156.3598632813 6615548.9296875 -71.067, -50163.3901367188 6615554.16992188 -70.427))</t>
  </si>
  <si>
    <t>['FV553 S1D1 m7711-7714']</t>
  </si>
  <si>
    <t>LINESTRING Z (-49866.5200195313 6615369.83007813 -96.078, -49867.75 6615367.18945313 -96.088, -49867.6499023438 6615367.140625 -96.088, -49867.5600585938 6615367.08984375 -96.098, -49867.4799804688 6615367.06054688 -96.108, -49867.3798828125 6615367.00976563 -96.118, -49867.2900390625 6615366.9609375 -96.118, -49867.2099609375 6615366.91015625 -96.128, -49867.1098632813 6615366.86914063 -96.138, -49867.0200195313 6615366.8203125 -96.148, -49866.9301757813 6615366.76953125 -96.148, -49866.83984375 6615366.74023437 -96.158, -49866.75 6615366.68945313 -96.168, -49866.66015625 6615366.640625 -96.168, -49866.5698242188 6615366.58984375 -96.178, -49866.490234375 6615366.55078125 -96.188, -49866.3901367188 6615366.5 -96.198, -49866.2998046875 6615366.4609375 -96.198, -49866.2202148437 6615366.41992188 -96.208, -49866.1201171875 6615366.36914063 -96.218, -49866.0297851563 6615366.3203125 -96.228, -49865.9501953125 6615366.26953125 -96.228, -49865.8500976563 6615366.23046875 -96.238, -49865.759765625 6615366.1796875 -96.248, -49865.6801757812 6615366.140625 -96.258, -49865.580078125 6615366.09960938 -96.258, -49865.490234375 6615366.05078125 -96.268, -49865.41015625 6615366 -96.278, -49865.3100585938 6615365.9609375 -96.288, -49865.2202148438 6615365.91015625 -96.288, -49865.1298828125 6615365.86914063 -96.298, -49865.0400390625 6615365.8203125 -96.308, -49864.9501953125 6615365.77929687 -96.308, -49864.8598632813 6615365.73046875 -96.318, -49864.7700195313 6615365.6796875 -96.328, -49864.6801757813 6615365.640625 -96.338, -49864.58984375 6615365.58984375 -96.338, -49864.5 6615365.55078125 -96.348, -49863.1000976563 6615368.09960938 -96.358)</t>
  </si>
  <si>
    <t>POLYGON Z ((-49866.5200195313 6615369.83007813 -96.078, -49867.75 6615367.18945313 -96.088, -49867.6499023438 6615367.140625 -96.088, -49867.5600585938 6615367.08984375 -96.098, -49867.4799804688 6615367.06054688 -96.108, -49867.3798828125 6615367.00976563 -96.118, -49867.2900390625 6615366.9609375 -96.118, -49867.2099609375 6615366.91015625 -96.128, -49867.1098632813 6615366.86914063 -96.138, -49867.0200195313 6615366.8203125 -96.148, -49866.9301757813 6615366.76953125 -96.148, -49866.83984375 6615366.74023437 -96.158, -49866.75 6615366.68945313 -96.168, -49866.66015625 6615366.640625 -96.168, -49866.5698242188 6615366.58984375 -96.178, -49866.490234375 6615366.55078125 -96.188, -49866.3901367188 6615366.5 -96.198, -49866.2998046875 6615366.4609375 -96.198, -49866.2202148437 6615366.41992188 -96.208, -49866.1201171875 6615366.36914063 -96.218, -49866.0297851563 6615366.3203125 -96.228, -49865.9501953125 6615366.26953125 -96.228, -49865.8500976563 6615366.23046875 -96.238, -49865.759765625 6615366.1796875 -96.248, -49865.6801757812 6615366.140625 -96.258, -49865.580078125 6615366.09960938 -96.258, -49865.490234375 6615366.05078125 -96.268, -49865.41015625 6615366 -96.278, -49865.3100585938 6615365.9609375 -96.288, -49865.2202148438 6615365.91015625 -96.288, -49865.1298828125 6615365.86914063 -96.298, -49865.0400390625 6615365.8203125 -96.308, -49864.9501953125 6615365.77929687 -96.308, -49864.8598632813 6615365.73046875 -96.318, -49864.7700195313 6615365.6796875 -96.328, -49864.6801757813 6615365.640625 -96.338, -49864.58984375 6615365.58984375 -96.338, -49864.5 6615365.55078125 -96.348, -49863.1000976563 6615368.09960938 -96.358, -49866.5200195313 6615369.83007813 -96.078))</t>
  </si>
  <si>
    <t>['FV553 S1D1 m7338-7342']</t>
  </si>
  <si>
    <t>LINESTRING Z (-49520.3598632813 6615232.9296875 0.121, -49521.1098632813 6615230.09960938 0.121, -49521.009765625 6615230.08007813 0.111, -49520.91015625 6615230.05078125 0.101, -49520.8198242188 6615230.01953125 0.091, -49520.7299804688 6615229.99023437 0.091, -49520.6298828125 6615229.9609375 0.081, -49520.5297851563 6615229.9296875 0.071, -49520.4301757813 6615229.90039063 0.061, -49520.330078125 6615229.86914063 0.061, -49520.2299804687 6615229.83984375 0.051, -49520.1499023438 6615229.8203125 0.041, -49520.0498046875 6615229.7890625 0.031, -49519.9501953125 6615229.75976563 0.031, -49519.8500976563 6615229.73046875 0.021, -49519.75 6615229.69921875 0.011, -49519.66015625 6615229.66992188 0.001, -49519.5698242188 6615229.640625 0.001, -49519.4702148437 6615229.609375 -0.009, -49519.3701171875 6615229.58007813 -0.019, -49519.2700195313 6615229.56054687 -0.019, -49519.1801757813 6615229.52929688 -0.029, -49519.080078125 6615229.5 -0.039, -49518.9799804688 6615229.47070313 -0.049, -49518.8901367188 6615229.43945312 -0.049, -49518.7900390625 6615229.41015625 -0.059, -49518.7001953125 6615229.38085938 -0.069, -49518.6000976563 6615229.34960938 -0.079, -49518.5 6615229.3203125 -0.079, -49518.3999023438 6615229.30078125 -0.089, -49518.2998046875 6615229.26953125 -0.099, -49518.2099609375 6615229.24023438 -0.109, -49518.1201171875 6615229.2109375 -0.109, -49518.0200195313 6615229.1796875 -0.119, -49517.919921875 6615229.15039063 -0.129, -49517.8198242187 6615229.11914063 -0.139, -49517.7202148438 6615229.08984375 -0.139, -49517.6298828125 6615229.06054688 -0.149, -49516.6899414063 6615231.8203125 -0.159)</t>
  </si>
  <si>
    <t>POLYGON Z ((-49520.3598632813 6615232.9296875 0.121, -49521.1098632813 6615230.09960938 0.121, -49521.009765625 6615230.08007813 0.111, -49520.91015625 6615230.05078125 0.101, -49520.8198242188 6615230.01953125 0.091, -49520.7299804688 6615229.99023437 0.091, -49520.6298828125 6615229.9609375 0.081, -49520.5297851563 6615229.9296875 0.071, -49520.4301757813 6615229.90039063 0.061, -49520.330078125 6615229.86914063 0.061, -49520.2299804687 6615229.83984375 0.051, -49520.1499023438 6615229.8203125 0.041, -49520.0498046875 6615229.7890625 0.031, -49519.9501953125 6615229.75976563 0.031, -49519.8500976563 6615229.73046875 0.021, -49519.75 6615229.69921875 0.011, -49519.66015625 6615229.66992188 0.001, -49519.5698242188 6615229.640625 0.001, -49519.4702148437 6615229.609375 -0.009, -49519.3701171875 6615229.58007813 -0.019, -49519.2700195313 6615229.56054687 -0.019, -49519.1801757813 6615229.52929688 -0.029, -49519.080078125 6615229.5 -0.039, -49518.9799804688 6615229.47070313 -0.049, -49518.8901367188 6615229.43945312 -0.049, -49518.7900390625 6615229.41015625 -0.059, -49518.7001953125 6615229.38085938 -0.069, -49518.6000976563 6615229.34960938 -0.079, -49518.5 6615229.3203125 -0.079, -49518.3999023438 6615229.30078125 -0.089, -49518.2998046875 6615229.26953125 -0.099, -49518.2099609375 6615229.24023438 -0.109, -49518.1201171875 6615229.2109375 -0.109, -49518.0200195313 6615229.1796875 -0.119, -49517.919921875 6615229.15039063 -0.129, -49517.8198242187 6615229.11914063 -0.139, -49517.7202148438 6615229.08984375 -0.139, -49517.6298828125 6615229.06054688 -0.149, -49516.6899414063 6615231.8203125 -0.159, -49520.3598632813 6615232.9296875 0.121))</t>
  </si>
  <si>
    <t>['FV553 S1D1 m7000-7013']</t>
  </si>
  <si>
    <t>LINESTRING Z (-49195.1201171875 6615183.5703125 -139.27, -49194.8100585938 6615185.97070313 -139.27, -49193.4501953125 6615196.66992188 -139.27, -49190.759765625 6615217.7890625 -139.27, -49188.1098632813 6615238.5703125 -139.27, -49186.2099609375 6615253.3203125 -139.27, -49186.1098632813 6615253.3203125 -139.27, -49186.009765625 6615253.30078125 -139.27, -49185.919921875 6615253.2890625 -139.27, -49185.8198242188 6615253.26953125 -139.27, -49185.7202148438 6615253.25976563 -139.27, -49185.6298828125 6615253.25 -139.27, -49185.5297851562 6615253.23046875 -139.27, -49185.4301757813 6615253.22070313 -139.27, -49185.33984375 6615253.22070313 -139.27, -49185.240234375 6615253.19921875 -139.27, -49185.1401367188 6615253.18945313 -139.27, -49185.0498046875 6615253.1796875 -139.27, -49184.9501953125 6615253.16015625 -139.27, -49184.8500976563 6615253.15039063 -139.27, -49184.759765625 6615253.13085938 -139.27, -49184.6801757813 6615253.13085938 -139.27, -49184.669921875 6615253.11914063 -139.27, -49184.5698242188 6615253.11914063 -139.27, -49184.509765625 6615253.09960938 -139.27, -49184.4702148438 6615253.09960938 -139.27, -49184.3798828125 6615253.08984375 -139.27, -49184.2797851563 6615253.08007813 -139.27, -49184.1801757813 6615253.06054688 -139.27, -49184.08984375 6615253.05078125 -139.27, -49183.990234375 6615253.02929688 -139.27, -49183.8901367188 6615253.01953125 -139.27, -49183.7900390625 6615253.00976563 -139.27, -49183.7202148437 6615253 -139.27, -49183.7001953125 6615253 -139.27, -49183.6000976563 6615252.99023438 -139.27, -49183.5 6615252.98046875 -139.28, -49183.41015625 6615252.9609375 -139.28, -49183.3100585938 6615252.94921875 -139.28, -49183.2099609375 6615252.93945313 -139.28, -49183.1201171875 6615252.91992187 -139.28, -49183.0200195313 6615252.91992187 -139.28, -49182.919921875 6615252.90039063 -139.28, -49182.8198242187 6615252.890625 -139.28, -49182.7299804688 6615252.88085938 -139.28, -49182.6298828125 6615252.859375 -139.28, -49182.5297851562 6615252.84960937 -139.28, -49182.4399414063 6615252.83984375 -139.28, -49182.3598632813 6615252.8203125 -139.28, -49182.3500976562 6615252.8203125 -139.28, -49182.25 6615252.81054688 -139.28, -49182.1499023438 6615252.81054688 -139.28, -49182.0600585937 6615252.7890625 -139.28, -49181.9599609375 6615252.77929687 -139.28, -49181.8598632813 6615252.75976563 -139.28, -49181.7700195312 6615252.75 -139.28, -49181.669921875 6615252.74023438 -139.28, -49181.5698242188 6615252.72070313 -139.28, -49181.4799804688 6615252.7109375 -139.28, -49181.3798828125 6615252.7109375 -139.28, -49181.2797851563 6615252.68945313 -139.28, -49181.1801757813 6615252.6796875 -139.28, -49181.08984375 6615252.66992188 -139.28, -49180.990234375 6615252.65039063 -139.28, -49180.8901367188 6615252.640625 -139.28, -49180.7998046875 6615252.61914063 -139.28, -49180.7001953125 6615252.609375 -139.28, -49180.6000976563 6615252.609375 -139.28, -49180.5 6615252.58984375 -139.28, -49180.41015625 6615252.58007813 -139.28, -49180.3100585938 6615252.5703125 -139.28, -49180.2099609375 6615252.55078125 -139.28, -49180.1201171875 6615252.5390625 -139.28, -49180.0200195313 6615252.52929688 -139.28, -49179.9301757812 6615252.50976563 -139.28, -49179.830078125 6615252.5 -139.28, -49179.740234375 6615252.49023437 -139.28, -49179.6401367188 6615252.48046875 -139.28, -49179.5400390625 6615252.47070313 -139.28, -49179.4501953125 6615252.44921875 -139.28, -49179.3500976563 6615252.43945313 -139.28, -49179.25 6615252.4296875 -139.28, -49179.1499023438 6615252.41015625 -139.28, -49179.0600585938 6615252.40039063 -139.28, -49178.9599609375 6615252.390625 -139.28, -49178.8598632812 6615252.38085938 -139.28, -49178.7700195313 6615252.36914062 -139.28, -49178.669921875 6615252.34960938 -139.28, -49178.5698242187 6615252.33984375 -139.28, -49178.4702148438 6615252.33007813 -139.28, -49178.3798828125 6615252.31054688 -139.28, -49178.2797851562 6615252.30078125 -139.28, -49178.1801757813 6615252.30078125 -139.28, -49178.08984375 6615252.27929688 -139.28, -49177.990234375 6615252.26953125 -139.28, -49177.8999023438 6615252.25 -139.28, -49177.7998046875 6615252.24023438 -139.28, -49177.7099609375 6615252.23046875 -139.28, -49177.6098632813 6615252.2109375 -139.28, -49177.509765625 6615252.19921875 -139.28, -49177.419921875 6615252.19921875 -139.28, -49177.3198242188 6615252.1796875 -139.28, -49177.2202148438 6615252.16992188 -139.28, -49177.1201171875 6615252.16015625 -139.28, -49177.0297851563 6615252.140625 -139.28, -49176.9301757813 6615252.13085937 -139.28, -49176.830078125 6615252.109375 -139.28, -49176.740234375 6615252.09960938 -139.28, -49176.6401367188 6615252.08984375 -139.28, -49176.5400390625 6615252.08007813 -139.28, -49176.4399414062 6615252.0703125 -139.28, -49176.3999023437 6615252.06054688 -139.28, -49176.3500976563 6615252.06054688 -139.28, -49176.25 6615252.0390625 -139.28, -49176.1499023437 6615252.02929688 -139.28, -49176.0600585938 6615252.01953125 -139.28, -49175.9599609375 6615252 -139.28, -49175.8598632812 6615251.99023438 -139.28, -49175.759765625 6615251.98046875 -139.28, -49175.669921875 6615251.97070313 -139.28, -49175.5698242188 6615251.9609375 -139.28, -49175.4799804688 6615251.93945312 -139.28, -49175.3798828125 6615251.9296875 -139.28, -49175.2900390625 6615251.91992188 -139.28, -49175.1899414063 6615251.90039062 -139.28, -49175.08984375 6615251.890625 -139.28, -49175 6615251.890625 -139.28, -49174.8999023438 6615251.86914063 -139.28, -49174.7998046875 6615251.859375 -139.28, -49174.7001953125 6615251.83984375 -139.28, -49174.6098632813 6615251.83007813 -139.27, -49182.5297851562 6615183.86914063 -139.27, -49181.9301757813 6615188.4609375 -139.27, -49182.6801757813 6615182.08007813 -139.27)</t>
  </si>
  <si>
    <t>POLYGON ((-49195.30600409861 6615186.034250873, -49193.94620503444 6615196.732964371, -49191.25575710898 6615217.852248319, -49188.605847229475 6615238.633557445, -49188.60576638396 6615238.634188261, -49186.70586404016 6615253.384188261, -49186.69743804492 6615253.431515331, -49186.68450610576 6615253.47781451, -49186.66718775767 6615253.522657836, -49186.64564308099 6615253.565630803, -49186.62007122171 6615253.606336196, -49186.59070855065 6615253.644397759, -49186.5578264786 6615253.679463673, -49186.521728947584 6615253.711209811, -49186.48274962138 6615253.7393427305, -49186.441248801326 6615253.763602387, -49186.39761009594 6615253.78376454, -49186.35223687507 6615253.799642822, -49186.305548541364 6615253.811090464, -49186.25797665357 6615253.818001651, -49186.2099609375 6615253.8203125, -49186.1098632813 6615253.8203125, -49186.06176259527 6615253.817993446, -49186.01410810164 6615253.811057796, -49185.929473602795 6615253.794543747, -49185.85525228296 6615253.7848627055, -49185.824166695245 6615253.779807796, -49185.74739056754 6615253.7648270875, -49185.67142915483 6615253.757379894, -49185.666473897014 6615253.75686915, -49185.57614186571 6615253.747103521, -49185.53412763284 6615253.740745296, -49185.45735150521 6615253.7257645875, -49185.40572460608 6615253.72070313, -49185.33984375 6615253.72070313, -49185.28683553676 6615253.717885319, -49185.23442479204 6615253.709463647, -49185.16299403288 6615253.694057009, -49185.09158675957 6615253.687090449, -49185.086395772014 6615253.68655665, -49184.99606374071 6615253.676791021, -49184.95359745714 6615253.670344375, -49184.87764841254 6615253.655452405, -49184.80154769707 6615253.648027949, -49184.74443126009 6615253.639097712, -49184.70632897297 6615253.63085938, -49184.6801757813 6615253.63085938, -49184.63291497721 6615253.628620785, -49184.5860773643 6615253.621925045, -49184.57453223949 6615253.61914063, -49184.5698242188 6615253.61914063, -49184.5175174787 6615253.616397108, -49184.46578475737 6615253.60819665, -49184.42459570864 6615253.597150642, -49184.416473897014 6615253.5967129, -49184.32873601976 6615253.58722772, -49184.23123519707 6615253.577715449, -49184.18357792594 6615253.570735005, -49184.10506310705 6615253.555339942, -49184.03610280321 6615253.547884771, -49183.984424835704 6615253.539541776, -49183.912994031925 6615253.524135136, -49183.8415867137 6615253.517168565, -49183.74148910331 6615253.507402949, -49183.72078303322 6615253.504946004, -49183.67753404103 6615253.498897191, -49183.65164535327 6615253.497637319, -49183.55154769707 6615253.487871699, -49183.45144999495 6615253.478106065, -49183.39378517783 6615253.469056932, -49183.327783397006 6615253.454708719, -49183.25670892586 6615253.446387805, -49183.16141097831 6615253.437090449, -49183.103746066976 6615253.428041301, -49183.06639670498 6615253.41992187, -49183.0200195313 6615253.41992187, -49182.97191886755 6615253.417602818, -49182.924264395624 6615253.4106671745, -49182.847604728086 6615253.395709198, -49182.77127421365 6615253.388262315, -49182.765794653715 6615253.387697235, -49182.67595090382 6615253.377931614, -49182.62505305007 6615253.369725657, -49182.55289347354 6615253.354237745, -49182.48123515115 6615253.347246685, -49182.475755591215 6615253.346681605, -49182.38591184132 6615253.336915985, -49182.321463316206 6615253.325603919, -49182.28243738698 6615253.3160854, -49182.22566752867 6615253.31054688, -49182.1499023438 6615253.31054688, -49182.09135629383 6615253.307107409, -49182.03361571347 6615253.296836319, -49181.977249667274 6615253.28335748, -49181.9114109324 6615253.276934185, -49181.86420580173 6615253.2700421745, -49181.78483729005 6615253.254555643, -49181.71872816857 6615253.247369866, -49181.62137191577 6615253.237871699, -49181.574166695245 6615253.230979675, -49181.49479820296 6615253.215493141, -49181.45288633183 6615253.2109375, -49181.3798828125 6615253.2109375, -49181.32712460537 6615253.208146281, -49181.27495543715 6615253.199803786, -49181.20267967662 6615253.184290944, -49181.13139004624 6615253.177301761, -49181.12643488517 6615253.176791026, -49181.03610285387 6615253.167025406, -49180.99363651964 6615253.160578755, -49180.917687450536 6615253.14568678, -49180.8415867137 6615253.138262315, -49180.774444972776 6615253.127056311, -49180.71718577936 6615253.1134379115, -49180.675744106054 6615253.109375, -49180.6000976563 6615253.109375, -49180.55199697027 6615253.107055946, -49180.50434247664 6615253.100120296, -49180.42497401022 6615253.084633766, -49180.35886486831 6615253.077447993, -49180.2615085887 6615253.067949815, -49180.21430341414 6615253.061057796, -49180.129668915295 6615253.044543747, -49180.06349251538 6615253.0359120425, -49179.97146957207 6615253.026934199, -49179.91380470925 6615253.017885062, -49179.852528813 6615253.0045642145, -49179.7815281199 6615252.997637315, -49179.77604850916 6615252.997072229, -49179.688943011766 6615252.987604236, -49179.59158675957 6615252.978106069, -49179.49148910331 6615252.968340449, -49179.42375243205 6615252.956992569, -49179.3673864096 6615252.943513735, -49179.30154769707 6615252.937090449, -49179.20144999495 6615252.927324815, -49179.154244820245 6615252.920432796, -49179.074876353756 6615252.904946266, -49179.008767211686 6615252.897760493, -49178.91141093245 6615252.888262315, -49178.81131332201 6615252.878496699, -49178.79519363856 6615252.876659579, -49178.70534988866 6615252.864940819, -49178.674264395624 6615252.8598859245, -49178.597604728086 6615252.844927948, -49178.52127421365 6615252.837481065, -49178.421429154776 6615252.827692394, -49178.36454844759 6615252.818785212, -49178.302516052936 6615252.805372803, -49178.25545266372 6615252.80078125, -49178.1801757813 6615252.80078125, -49178.121933422546 6615252.797377492, -49178.064484035276 6615252.787212561, -49178.00722484186 6615252.7735941615, -49177.94144863994 6615252.767145511, -49177.88456797868 6615252.758238332, -49177.82253560812 6615252.744825928, -49177.75125472831 6615252.737871699, -49177.74577507166 6615252.737306609, -49177.65593132166 6615252.727540979, -49177.614205757745 6615252.721214046, -49177.532804253126 6615252.705330825, -49177.48059694283 6615252.69921875, -49177.419921875 6615252.69921875, -49177.37182118892 6615252.696899696, -49177.324166695245 6615252.689964046, -49177.24739056754 6615252.6749833375, -49177.171547673046 6615252.667547763, -49177.07156718245 6615252.657793565, -49177.01445079118 6615252.648863332, -49176.952302261336 6615252.635425813, -49176.88139004624 6615252.628473631, -49176.82524840605 6615252.619725657, -49176.75038784828 6615252.603658028, -49176.68894299331 6615252.596979243, -49176.5915867137 6615252.587481065, -49176.49148910331 6615252.577715449, -49176.39139140115 6615252.567949815, -49176.34676885117 6615252.560370767, -49176.29733942711 6615252.557755658, -49176.24517023757 6615252.549413157, -49176.173010685205 6615252.533925249, -49176.10135238451 6615252.526934199, -49176.09587272779 6615252.526369109, -49176.00602897789 6615252.516603479, -49175.96430341414 6615252.510276546, -49175.887643790724 6615252.49531857, -49175.81131332201 6615252.487871699, -49175.7112156199 6615252.478106065, -49175.70573606008 6615252.477540985, -49175.61863049331 6615252.468072993, -49175.5212742137 6615252.458574815, -49175.45353758835 6615252.44722694, -49175.3971715659 6615252.433748106, -49175.33133285331 6615252.427324819, -49175.32585324758 6615252.426759735, -49175.23600949758 6615252.416994114, -49175.194283838755 6615252.410667167, -49175.11762423487 6615252.395709189, -49175.06551127874 6615252.390625, -49175 6615252.390625, -49174.94724179287 6615252.387833781, -49174.89507262465 6615252.379491286, -49174.822913026976 6615252.364003376, -49174.75125468245 6615252.357012315, -49174.70359745714 6615252.350031875, -49174.6250826646 6615252.334636818, -49174.55612238511 6615252.327181656, -49174.50740189986 6615252.319467203, -49174.45967865013 6615252.306989627, -49174.41341711646 6615252.28987037, -49174.36906755282 6615252.26827605, -49174.32706160437 6615252.242416839, -49174.28780810634 6615252.212544422, -49174.25168910494 6615252.178949538, -49174.219056138965 6615252.141959161, -49174.190226818355 6615252.10193331, -49174.165481732925 6615252.059261548, -49174.14506172151 6615252.014359192, -49174.12916552786 6615251.967663267, -49174.117947866354 6615251.919628252, -49174.11151791618 6615251.870721666, -49174.10993825871 6615251.8214195045, -49174.11322426846 6615251.772201615, -49181.468926290705 6615188.652840933, -49181.46435003586 6615188.642614067, -49181.44883998606 6615188.596273571, -49181.437927661835 6615188.548640344, -49181.431717297855 6615188.500169379, -49181.43026821559 6615188.451323669, -49181.43359425674 6615188.402569791, -49182.18359425674 6615182.021710421, -49183.17675730586 6615182.138445838, -49182.99488371082 6615183.685792282, -49182.995459121565 6615183.687075372, -49183.01100364357 6615183.733388034, -49183.02195446401 6615183.780996586, -49183.02820704658 6615183.82944656, -49183.029701704254 6615183.878275452, -49183.02642416904 6615183.927017144, -49175.16389403069 6615251.395475516, -49175.23849136549 6615251.402753301, -49175.285696630046 6615251.409645333, -49175.365065077196 6615251.425131867, -49175.431174155325 6615251.432317632, -49175.52853042799 6615251.441815801, -49175.59626709925 6615251.453163681, -49175.6526331455 6615251.46664252, -49175.7184718801 6615251.473065815, -49175.72395143992 6615251.473630895, -49175.81105700669 6615251.483098887, -49175.9084132863 6615251.492597065, -49176.00851089669 6615251.502362681, -49176.05571611716 6615251.509254704, -49176.13508460933 6615251.524741239, -49176.20119370796 6615251.531927015, -49176.29854995919 6615251.541425181, -49176.35492741873 6615251.550196223, -49176.404409470655 6615251.560816763, -49176.459567697166 6615251.564119599, -49176.51838038047 6615251.5747866975, -49176.523877708605 6615251.576127509, -49176.58858906755 6615251.582440815, -49176.68868667799 6615251.592206431, -49176.7887843801 6615251.601972065, -49176.79426393992 6615251.602537145, -49176.88410768992 6615251.612302765, -49176.93500550025 6615251.620508714, -49177.00728126075 6615251.636021556, -49177.07857089136 6615251.643010739, -49177.13545155262 6615251.651917918, -49177.19748394732 6615251.665330327, -49177.26876484885 6615251.672284565, -49177.368609907775 6615251.6820732355, -49177.415579398556 6615251.688942204, -49177.4682466956 6615251.69921875, -49177.509765625 6615251.69921875, -49177.56790513256 6615251.702610456, -49177.66800278886 6615251.714329206, -49177.705618461056 6615251.720192204, -49177.78498695334 6615251.735678739, -49177.85109605109 6615251.742864515, -49177.94845230299 6615251.752362681, -49178.00556874012 6615251.761292918, -49178.067717269965 6615251.774730437, -49178.13862948506 6615251.781682619, -49178.205535496025 6615251.792865569, -49178.23881734478 6615251.80078125, -49178.2797851562 6615251.80078125, -49178.32833516125 6615251.803143935, -49178.42843281755 6615251.812909565, -49178.48554920871 6615251.821839797, -49178.5476977225 6615251.835277313, -49178.618491399924 6615251.842217867, -49178.71847188005 6615251.851972065, -49178.76567701068 6615251.8588640755, -49178.850311551985 6615251.875378124, -49178.9164879813 6615251.88400984, -49179.00851089669 6615251.892987681, -49179.10860859885 6615251.902753315, -49179.11408815872 6615251.903318395, -49179.20393190872 6615251.913084015, -49179.245657523556 6615251.919410954, -49179.32231717155 6615251.9343689345, -49179.39864766135 6615251.941815815, -49179.49874527173 6615251.951581431, -49179.56648194295 6615251.96292931, -49179.6228479654 6615251.976408144, -49179.68868667799 6615251.982831431, -49179.78878433423 6615251.992597051, -49179.79426399084 6615251.993162141, -49179.88136952746 6615252.002630139, -49179.9787257863 6615252.012128315, -49180.03639060325 6615252.021177447, -49180.0976664754 6615252.034498289, -49180.16866714673 6615252.041425181, -49180.18478677954 6615252.0432622945, -49180.27463052954 6615252.0549810445, -49180.30571611716 6615252.060035954, -49180.38237576509 6615252.0749939345, -49180.4587062551 6615252.082440815, -49180.46418581492 6615252.083005895, -49180.55402956492 6615252.092771515, -49180.59575517966 6615252.099098454, -49180.64842247676 6615252.109375, -49180.7001953125 6615252.109375, -49180.74898104756 6615252.111760739, -49180.84859042256 6615252.121526369, -49180.915496433525 6615252.132709319, -49180.97263988227 6615252.14630019, -49181.0387843801 6615252.152753315, -49181.08644160536 6615252.159733755, -49181.16495639794 6615252.175128812, -49181.23144029654 6615252.182316257, -49181.32857089136 6615252.191838869, -49181.38471253165 6615252.200586843, -49181.43293719259 6615252.2109375, -49181.4799804688 6615252.2109375, -49181.534010084644 6615252.213865271, -49181.623853834644 6615252.2236309005, -49181.665579398556 6615252.229957834, -49181.742239021994 6615252.2449158095, -49181.81856949043 6615252.252362681, -49181.824049146984 6615252.252927771, -49181.913892897086 6615252.2626934005, -49181.95561841707 6615252.2690203255, -49182.03227808462 6615252.283978302, -49182.1086085988 6615252.291425185, -49182.17634522403 6615252.30277306, -49182.20885391624 6615252.31054688, -49182.25 6615252.31054688, -49182.29854995923 6615252.31290956, -49182.397578092176 6615252.322570837, -49182.419528662016 6615252.323885222, -49182.478341371396 6615252.334552331, -49182.52656611859 6615252.346314465, -49182.58107653898 6615252.352239507, -49182.67843281755 6615252.361737685, -49182.73481023123 6615252.370508723, -49182.80967076783 6615252.386576354, -49182.87111560148 6615252.393255137, -49182.96847188005 6615252.402753315, -49183.01567701068 6615252.4096453255, -49183.068344328116 6615252.41992187, -49183.1201171875 6615252.41992187, -49183.173530267755 6615252.422783013, -49183.226332058024 6615252.431333699, -49183.287607901046 6615252.444654541, -49183.35860855299 6615252.451581431, -49183.368198101416 6615252.452610456, -49183.468295757615 6615252.464329206, -49183.51637107217 6615252.472349318, -49183.577646968486 6615252.485670165, -49183.64864766135 6615252.492597065, -49183.73525888835 6615252.501046937, -49183.78947087298 6615252.504819626, -49183.84896768292 6615252.513140862, -49183.93868667799 6615252.521893931, -49184.0387843801 6615252.531659565, -49184.095653289296 6615252.540536353, -49184.169642345354 6615252.556494773, -49184.23391672809 6615252.563443359, -49184.27638301166 6615252.569890005, -49184.35233205626 6615252.584781975, -49184.42843277173 6615252.592206431, -49184.43362375929 6615252.592740229, -49184.49716336954 6615252.59960938, -49184.509765625 6615252.59960938, -49184.5620723651 6615252.602352901, -49184.61380508643 6615252.61055336, -49184.64582583984 6615252.61914063, -49184.669921875 6615252.61914063, -49184.717182679095 6615252.621379225, -49184.764020292 6615252.6280749645, -49184.78004613814 6615252.631940025, -49184.81289969431 6615252.6336906245, -49184.86543202121 6615252.642152297, -49184.927464391716 6615252.655564702, -49184.99874527173 6615252.662518931, -49185.04640254286 6615252.669499375, -49185.124917361754 6615252.684894438, -49185.19128351154 6615252.69206916, -49185.28878433423 6615252.701581431, -49185.34565333296 6615252.710458233, -49185.39315238888 6615252.72070313, -49185.4301757813 6615252.72070313, -49185.478961470326 6615252.723088865, -49185.578570845224 6615252.7328544855, -49185.62554033586 6615252.739723454, -49185.70476608813 6615252.755182138, -49185.77147942904 6615252.762394394, -49185.77761641819 6615252.762996059, -49187.613919564676 6615238.506752048, -49190.26377791369 6615217.725847066, -49192.954194674094 6615196.60680792, -49194.31404887186 6615185.907660638, -49194.31417833763 6615185.906650249, -49194.624236931326 6615183.506259619, -49195.615997443674 6615183.634365381, -49195.30600409861 6615186.034250873))</t>
  </si>
  <si>
    <t>['FV553 S1D1 m5885-5895']</t>
  </si>
  <si>
    <t>LINESTRING Z (-48106.1899414063 6614946.0390625 -87.984, -48108.0600585938 6614938.23046875 -87.984, -48107.9702148438 6614938.19921875 -87.974, -48107.8701171875 6614938.1796875 -87.974, -48107.7797851562 6614938.15039062 -87.964, -48107.7001953125 6614938.13085938 -87.964, -48107.6801757813 6614938.13085938 -87.964, -48107.580078125 6614938.09960938 -87.954, -48107.4799804688 6614938.08007813 -87.954, -48107.3798828125 6614938.05078125 -87.944, -48107.2797851562 6614938.02929687 -87.944, -48107.1801757813 6614938.00976563 -87.934, -48107.1000976563 6614937.98046875 -87.934, -48107 6614937.9609375 -87.924, -48106.8999023438 6614937.9296875 -87.924, -48106.7998046875 6614937.91015625 -87.914, -48106.7001953125 6614937.88085938 -87.914, -48106.6000976563 6614937.859375 -87.904, -48106.5 6614937.83007813 -87.904, -48106.41015625 6614937.81054688 -87.894, -48106.3100585938 6614937.7890625 -87.894, -48106.2099609375 6614937.75976563 -87.884, -48106.1201171875 6614937.74023437 -87.884, -48106.0200195313 6614937.7109375 -87.874, -48105.919921875 6614937.68945313 -87.874, -48105.830078125 6614937.66015625 -87.864, -48105.7299804688 6614937.63085938 -87.864, -48105.6298828125 6614937.609375 -87.854, -48105.5297851563 6614937.58007813 -87.854, -48105.4301757813 6614937.5703125 -87.844, -48105.330078125 6614937.5390625 -87.844, -48105.2299804688 6614937.51953125 -87.834, -48105.1499023437 6614937.49023438 -87.834, -48105.0498046875 6614937.47070313 -87.824, -48104.9501953125 6614937.43945313 -87.824, -48104.8500976563 6614937.41015625 -87.814, -48104.75 6614937.390625 -87.814, -48104.6499023438 6614937.359375 -87.804, -48104.5498046875 6614937.34960938 -87.804, -48104.4599609375 6614937.3203125 -87.794, -48104.3598632812 6614937.30078125 -87.794, -48104.259765625 6614937.26953125 -87.784, -48104.169921875 6614937.24023437 -87.784, -48104.0698242187 6614937.22070313 -87.774, -48103.9702148438 6614937.18945312 -87.774, -48103.8798828125 6614937.16992188 -87.764, -48103.7797851562 6614937.140625 -87.764, -48103.6801757813 6614937.11914062 -87.754, -48103.580078125 6614937.09960938 -87.754, -48103.4799804688 6614937.08007813 -87.744, -48103.3798828125 6614937.05078125 -87.744, -48103.2900390625 6614937.01953125 -87.734, -48103.2001953125 6614937 -87.734, -48103.1000976563 6614936.97070313 -87.724, -48103 6614936.94921875 -87.724, -48102.8999023438 6614936.91992188 -87.714, -48102.7998046875 6614936.90039063 -87.714, -48102.7001953125 6614936.88085937 -87.704, -48102.6000976563 6614936.859375 -87.704, -48102.509765625 6614936.83007812 -87.694, -48102.41015625 6614936.80078125 -87.694, -48102.3198242188 6614936.77929688 -87.684, -48102.2202148438 6614936.75 -87.684, -48102.1201171875 6614936.73046875 -87.674, -48102.0200195313 6614936.69921875 -87.674, -48101.919921875 6614936.6796875 -87.664, -48101.830078125 6614936.65039063 -87.664, -48101.7299804687 6614936.640625 -87.654, -48101.6298828125 6614936.609375 -87.654, -48101.5297851563 6614936.58007813 -87.644, -48101.4301757812 6614936.56054688 -87.644, -48101.33984375 6614936.52929688 -87.634, -48101.25 6614936.50976563 -87.634, -48101.1499023437 6614936.48046875 -87.624, -48101.0498046875 6614936.4609375 -87.624, -48100.9501953125 6614936.4296875 -87.614, -48100.8500976563 6614936.41992188 -87.614, -48100.75 6614936.390625 -87.604, -48100.66015625 6614936.359375 -87.604, -48100.5600585938 6614936.33984375 -87.594, -48100.4599609375 6614936.31054688 -87.594, -48100.3701171875 6614936.2890625 -87.584, -48100.2700195313 6614936.25976563 -87.584, -48100.169921875 6614936.24023438 -87.574, -48100.0698242187 6614936.2109375 -87.574, -48099.9702148438 6614936.18945313 -87.564, -48099.8798828125 6614936.16992188 -87.564, -48099.7797851562 6614936.140625 -87.554, -48099.6801757813 6614936.11914063 -87.554, -48099.580078125 6614936.08984375 -87.544, -48099.4799804688 6614936.0703125 -87.544, -48099.3901367188 6614936.0390625 -87.534, -48099.2998046875 6614936.01953125 -87.534, -48099.2001953125 6614935.99023438 -87.524, -48099.1000976563 6614935.97070313 -87.524, -48099 6614935.94921875 -87.514, -48098.8999023438 6614935.91992187 -87.514, -48098.7998046875 6614935.90039063 -87.504, -48096.75 6614943.66015625 -87.504)</t>
  </si>
  <si>
    <t>POLYGON Z ((-48106.1899414063 6614946.0390625 -87.984, -48108.0600585938 6614938.23046875 -87.984, -48107.9702148438 6614938.19921875 -87.974, -48107.8701171875 6614938.1796875 -87.974, -48107.7797851562 6614938.15039062 -87.964, -48107.7001953125 6614938.13085938 -87.964, -48107.6801757813 6614938.13085938 -87.964, -48107.580078125 6614938.09960938 -87.954, -48107.4799804688 6614938.08007813 -87.954, -48107.3798828125 6614938.05078125 -87.944, -48107.2797851562 6614938.02929687 -87.944, -48107.1801757813 6614938.00976563 -87.934, -48107.1000976563 6614937.98046875 -87.934, -48107 6614937.9609375 -87.924, -48106.8999023438 6614937.9296875 -87.924, -48106.7998046875 6614937.91015625 -87.914, -48106.7001953125 6614937.88085938 -87.914, -48106.6000976563 6614937.859375 -87.904, -48106.5 6614937.83007813 -87.904, -48106.41015625 6614937.81054688 -87.894, -48106.3100585938 6614937.7890625 -87.894, -48106.2099609375 6614937.75976563 -87.884, -48106.1201171875 6614937.74023437 -87.884, -48106.0200195313 6614937.7109375 -87.874, -48105.919921875 6614937.68945313 -87.874, -48105.830078125 6614937.66015625 -87.864, -48105.7299804688 6614937.63085938 -87.864, -48105.6298828125 6614937.609375 -87.854, -48105.5297851563 6614937.58007813 -87.854, -48105.4301757813 6614937.5703125 -87.844, -48105.330078125 6614937.5390625 -87.844, -48105.2299804688 6614937.51953125 -87.834, -48105.1499023437 6614937.49023438 -87.834, -48105.0498046875 6614937.47070313 -87.824, -48104.9501953125 6614937.43945313 -87.824, -48104.8500976563 6614937.41015625 -87.814, -48104.75 6614937.390625 -87.814, -48104.6499023438 6614937.359375 -87.804, -48104.5498046875 6614937.34960938 -87.804, -48104.4599609375 6614937.3203125 -87.794, -48104.3598632812 6614937.30078125 -87.794, -48104.259765625 6614937.26953125 -87.784, -48104.169921875 6614937.24023437 -87.784, -48104.0698242187 6614937.22070313 -87.774, -48103.9702148438 6614937.18945312 -87.774, -48103.8798828125 6614937.16992188 -87.764, -48103.7797851562 6614937.140625 -87.764, -48103.6801757813 6614937.11914062 -87.754, -48103.580078125 6614937.09960938 -87.754, -48103.4799804688 6614937.08007813 -87.744, -48103.3798828125 6614937.05078125 -87.744, -48103.2900390625 6614937.01953125 -87.734, -48103.2001953125 6614937 -87.734, -48103.1000976563 6614936.97070313 -87.724, -48103 6614936.94921875 -87.724, -48102.8999023438 6614936.91992188 -87.714, -48102.7998046875 6614936.90039063 -87.714, -48102.7001953125 6614936.88085937 -87.704, -48102.6000976563 6614936.859375 -87.704, -48102.509765625 6614936.83007812 -87.694, -48102.41015625 6614936.80078125 -87.694, -48102.3198242188 6614936.77929688 -87.684, -48102.2202148438 6614936.75 -87.684, -48102.1201171875 6614936.73046875 -87.674, -48102.0200195313 6614936.69921875 -87.674, -48101.919921875 6614936.6796875 -87.664, -48101.830078125 6614936.65039063 -87.664, -48101.7299804687 6614936.640625 -87.654, -48101.6298828125 6614936.609375 -87.654, -48101.5297851563 6614936.58007813 -87.644, -48101.4301757812 6614936.56054688 -87.644, -48101.33984375 6614936.52929688 -87.634, -48101.25 6614936.50976563 -87.634, -48101.1499023437 6614936.48046875 -87.624, -48101.0498046875 6614936.4609375 -87.624, -48100.9501953125 6614936.4296875 -87.614, -48100.8500976563 6614936.41992188 -87.614, -48100.75 6614936.390625 -87.604, -48100.66015625 6614936.359375 -87.604, -48100.5600585938 6614936.33984375 -87.594, -48100.4599609375 6614936.31054688 -87.594, -48100.3701171875 6614936.2890625 -87.584, -48100.2700195313 6614936.25976563 -87.584, -48100.169921875 6614936.24023438 -87.574, -48100.0698242187 6614936.2109375 -87.574, -48099.9702148438 6614936.18945313 -87.564, -48099.8798828125 6614936.16992188 -87.564, -48099.7797851562 6614936.140625 -87.554, -48099.6801757813 6614936.11914063 -87.554, -48099.580078125 6614936.08984375 -87.544, -48099.4799804688 6614936.0703125 -87.544, -48099.3901367188 6614936.0390625 -87.534, -48099.2998046875 6614936.01953125 -87.534, -48099.2001953125 6614935.99023438 -87.524, -48099.1000976563 6614935.97070313 -87.524, -48099 6614935.94921875 -87.514, -48098.8999023438 6614935.91992187 -87.514, -48098.7998046875 6614935.90039063 -87.504, -48096.75 6614943.66015625 -87.504, -48106.1899414063 6614946.0390625 -87.984))</t>
  </si>
  <si>
    <t>['FV553 S1D1 m8766-8769']</t>
  </si>
  <si>
    <t>LINESTRING Z (-50719.919921875 6615984.50976563 -18.454, -50718.6801757812 6615987.13085938 -18.464, -50718.580078125 6615987.09960938 -18.474, -50718.5 6615987.06054688 -18.474, -50718.3999023438 6615987.01953125 -18.484, -50718.2998046875 6615986.98046875 -18.494, -50718.2099609375 6615986.93945313 -18.494, -50718.1201171875 6615986.890625 -18.504, -50718.0297851562 6615986.84960938 -18.514, -50717.9301757813 6615986.81054688 -18.524, -50717.83984375 6615986.77929688 -18.524, -50717.75 6615986.74023438 -18.534, -50717.6499023438 6615986.69921875 -18.544, -50717.5600585937 6615986.66015625 -18.554, -50717.4702148438 6615986.609375 -18.554, -50717.3701171875 6615986.5703125 -18.564, -50717.2797851563 6615986.52929688 -18.574, -50717.1899414063 6615986.5 -18.584, -50717.1000976563 6615986.4609375 -18.584, -50717 6615986.41992187 -18.594, -50716.91015625 6615986.38085938 -18.604, -50716.8198242188 6615986.33007813 -18.614, -50716.7202148438 6615986.2890625 -18.614, -50716.6298828125 6615986.25 -18.624, -50716.5400390625 6615986.2109375 -18.634, -50716.4399414062 6615986.1796875 -18.644, -50716.3500976563 6615986.140625 -18.644, -50716.259765625 6615986.09960938 -18.654, -50716.169921875 6615986.05078125 -18.664, -50716.0698242188 6615986.00976563 -18.664, -50715.9799804688 6615985.97070313 -18.674, -50715.8901367188 6615985.9296875 -18.684, -50715.7900390625 6615985.90039063 -18.694, -50715.7001953125 6615985.859375 -18.694, -50715.6098632813 6615985.81054688 -18.704, -50715.509765625 6615985.76953125 -18.714, -50715.419921875 6615985.73046875 -18.724, -50715.330078125 6615985.68945313 -18.724, -50716.3901367188 6615982.98046875 -18.734)</t>
  </si>
  <si>
    <t>POLYGON Z ((-50719.919921875 6615984.50976563 -18.454, -50718.6801757812 6615987.13085938 -18.464, -50718.580078125 6615987.09960938 -18.474, -50718.5 6615987.06054688 -18.474, -50718.3999023438 6615987.01953125 -18.484, -50718.2998046875 6615986.98046875 -18.494, -50718.2099609375 6615986.93945313 -18.494, -50718.1201171875 6615986.890625 -18.504, -50718.0297851562 6615986.84960938 -18.514, -50717.9301757813 6615986.81054688 -18.524, -50717.83984375 6615986.77929688 -18.524, -50717.75 6615986.74023438 -18.534, -50717.6499023438 6615986.69921875 -18.544, -50717.5600585937 6615986.66015625 -18.554, -50717.4702148438 6615986.609375 -18.554, -50717.3701171875 6615986.5703125 -18.564, -50717.2797851563 6615986.52929688 -18.574, -50717.1899414063 6615986.5 -18.584, -50717.1000976563 6615986.4609375 -18.584, -50717 6615986.41992187 -18.594, -50716.91015625 6615986.38085938 -18.604, -50716.8198242188 6615986.33007813 -18.614, -50716.7202148438 6615986.2890625 -18.614, -50716.6298828125 6615986.25 -18.624, -50716.5400390625 6615986.2109375 -18.634, -50716.4399414062 6615986.1796875 -18.644, -50716.3500976563 6615986.140625 -18.644, -50716.259765625 6615986.09960938 -18.654, -50716.169921875 6615986.05078125 -18.664, -50716.0698242188 6615986.00976563 -18.664, -50715.9799804688 6615985.97070313 -18.674, -50715.8901367188 6615985.9296875 -18.684, -50715.7900390625 6615985.90039063 -18.694, -50715.7001953125 6615985.859375 -18.694, -50715.6098632813 6615985.81054688 -18.704, -50715.509765625 6615985.76953125 -18.714, -50715.419921875 6615985.73046875 -18.724, -50715.330078125 6615985.68945313 -18.724, -50716.3901367188 6615982.98046875 -18.734, -50719.919921875 6615984.50976563 -18.454))</t>
  </si>
  <si>
    <t>['FV553 S1D1 m8414-8418']</t>
  </si>
  <si>
    <t>LINESTRING Z (-50419.6801757813 6615799.75976563 -44.316, -50417.7299804688 6615801.9296875 -44.316, -50417.66015625 6615801.859375 -44.326, -50417.580078125 6615801.80078125 -44.336, -50417.509765625 6615801.74023438 -44.346, -50417.419921875 6615801.66992188 -44.346, -50417.3500976562 6615801.59960938 -44.356, -50417.2700195313 6615801.5390625 -44.366, -50417.1899414063 6615801.47070312 -44.366, -50417.1098632813 6615801.41015625 -44.376, -50417.0400390625 6615801.33984375 -44.386, -50416.9599609375 6615801.27929687 -44.396, -50416.8798828125 6615801.2109375 -44.396, -50416.7998046875 6615801.15039063 -44.406, -50416.7299804688 6615801.08007813 -44.416, -50416.6401367188 6615801.01953125 -44.426, -50416.5698242188 6615800.94921875 -44.426, -50416.5 6615800.890625 -44.436, -50416.419921875 6615800.8203125 -44.446, -50416.33984375 6615800.75976563 -44.456, -50416.259765625 6615800.68945312 -44.456, -50416.1899414063 6615800.61914063 -44.466, -50416.1000976563 6615800.56054687 -44.476, -50416.0297851563 6615800.5 -44.486, -50415.9501953125 6615800.4296875 -44.486, -50415.8798828125 6615800.359375 -44.496, -50415.7900390625 6615800.30078125 -44.506, -50415.7202148438 6615800.24023438 -44.516, -50415.6401367188 6615800.16992188 -44.516, -50415.5600585938 6615800.09960938 -44.526, -50415.4799804687 6615800.02929688 -44.536, -50415.41015625 6615799.98046875 -44.536, -50415.330078125 6615799.91015625 -44.546, -50415.25 6615799.83984375 -44.556, -50415.1801757813 6615799.76953125 -44.566, -50415.1000976563 6615799.72070313 -44.566, -50415.0200195313 6615799.65039063 -44.576, -50414.9399414062 6615799.58007813 -44.586, -50416.740234375 6615797.2890625 -44.596)</t>
  </si>
  <si>
    <t>POLYGON Z ((-50419.6801757813 6615799.75976563 -44.316, -50417.7299804688 6615801.9296875 -44.316, -50417.66015625 6615801.859375 -44.326, -50417.580078125 6615801.80078125 -44.336, -50417.509765625 6615801.74023438 -44.346, -50417.419921875 6615801.66992188 -44.346, -50417.3500976562 6615801.59960938 -44.356, -50417.2700195313 6615801.5390625 -44.366, -50417.1899414063 6615801.47070312 -44.366, -50417.1098632813 6615801.41015625 -44.376, -50417.0400390625 6615801.33984375 -44.386, -50416.9599609375 6615801.27929687 -44.396, -50416.8798828125 6615801.2109375 -44.396, -50416.7998046875 6615801.15039063 -44.406, -50416.7299804688 6615801.08007813 -44.416, -50416.6401367188 6615801.01953125 -44.426, -50416.5698242188 6615800.94921875 -44.426, -50416.5 6615800.890625 -44.436, -50416.419921875 6615800.8203125 -44.446, -50416.33984375 6615800.75976563 -44.456, -50416.259765625 6615800.68945312 -44.456, -50416.1899414063 6615800.61914063 -44.466, -50416.1000976563 6615800.56054687 -44.476, -50416.0297851563 6615800.5 -44.486, -50415.9501953125 6615800.4296875 -44.486, -50415.8798828125 6615800.359375 -44.496, -50415.7900390625 6615800.30078125 -44.506, -50415.7202148438 6615800.24023438 -44.516, -50415.6401367188 6615800.16992188 -44.516, -50415.5600585938 6615800.09960938 -44.526, -50415.4799804687 6615800.02929688 -44.536, -50415.41015625 6615799.98046875 -44.536, -50415.330078125 6615799.91015625 -44.546, -50415.25 6615799.83984375 -44.556, -50415.1801757813 6615799.76953125 -44.566, -50415.1000976563 6615799.72070313 -44.566, -50415.0200195313 6615799.65039063 -44.576, -50414.9399414062 6615799.58007813 -44.586, -50416.740234375 6615797.2890625 -44.596, -50419.6801757813 6615799.75976563 -44.316))</t>
  </si>
  <si>
    <t>['FV553 S1D1 m8406-8410']</t>
  </si>
  <si>
    <t>LINESTRING Z (-50413.6499023438 6615794.6796875 -44.886, -50410.9799804688 6615797.66992188 -44.896, -50410.8999023437 6615797.59960938 -44.906, -50410.8198242188 6615797.55078125 -44.906, -50410.75 6615797.48046875 -44.916, -50410.6801757812 6615797.41015625 -44.926, -50410.58984375 6615797.33984375 -44.936, -50410.5200195313 6615797.27929688 -44.936, -50410.4399414063 6615797.2109375 -44.946, -50410.3598632812 6615797.15039063 -44.956, -50410.2797851563 6615797.08007813 -44.966, -50410.2099609375 6615797.01953125 -44.966, -50410.1298828125 6615796.94921875 -44.976, -50410.0498046875 6615796.88085938 -44.986, -50409.9702148438 6615796.81054688 -44.996, -50409.8999023438 6615796.75976563 -44.996, -50409.8198242187 6615796.68945313 -45.006, -50409.740234375 6615796.61914063 -45.016, -50409.669921875 6615796.55078125 -45.016, -50409.58984375 6615796.49023438 -45.026, -50409.5200195313 6615796.41992187 -45.036, -50409.4301757813 6615796.359375 -45.046, -50409.3598632813 6615796.30078125 -45.046, -50409.2797851562 6615796.23046875 -45.056, -50409.2099609375 6615796.16015625 -45.066, -50409.1201171875 6615796.08984375 -45.076, -50409.0498046875 6615796.02929688 -45.076, -50408.9702148438 6615795.97070313 -45.086, -50408.8999023438 6615795.90039063 -45.096, -50408.8100585937 6615795.83007813 -45.106, -50408.740234375 6615795.76953125 -45.106, -50408.669921875 6615795.69921875 -45.116, -50408.58984375 6615795.63085937 -45.126, -50408.509765625 6615795.5703125 -45.136, -50408.4301757813 6615795.50976563 -45.136, -50408.3598632813 6615795.43945312 -45.146, -50408.2797851563 6615795.36914063 -45.156, -50408.2001953125 6615795.30078125 -45.166, -50408.1201171875 6615795.24023438 -45.166, -50408.0498046875 6615795.1796875 -45.176, -50407.9702148438 6615795.109375 -45.186, -50407.8901367188 6615795.0390625 -45.186, -50410.66015625 6615792 -0.106)</t>
  </si>
  <si>
    <t>POLYGON Z ((-50413.6499023438 6615794.6796875 -44.886, -50410.9799804688 6615797.66992188 -44.896, -50410.8999023437 6615797.59960938 -44.906, -50410.8198242188 6615797.55078125 -44.906, -50410.75 6615797.48046875 -44.916, -50410.6801757812 6615797.41015625 -44.926, -50410.58984375 6615797.33984375 -44.936, -50410.5200195313 6615797.27929688 -44.936, -50410.4399414063 6615797.2109375 -44.946, -50410.3598632812 6615797.15039063 -44.956, -50410.2797851563 6615797.08007813 -44.966, -50410.2099609375 6615797.01953125 -44.966, -50410.1298828125 6615796.94921875 -44.976, -50410.0498046875 6615796.88085938 -44.986, -50409.9702148438 6615796.81054688 -44.996, -50409.8999023438 6615796.75976563 -44.996, -50409.8198242187 6615796.68945313 -45.006, -50409.740234375 6615796.61914063 -45.016, -50409.669921875 6615796.55078125 -45.016, -50409.58984375 6615796.49023438 -45.026, -50409.5200195313 6615796.41992187 -45.036, -50409.4301757813 6615796.359375 -45.046, -50409.3598632813 6615796.30078125 -45.046, -50409.2797851562 6615796.23046875 -45.056, -50409.2099609375 6615796.16015625 -45.066, -50409.1201171875 6615796.08984375 -45.076, -50409.0498046875 6615796.02929688 -45.076, -50408.9702148438 6615795.97070313 -45.086, -50408.8999023438 6615795.90039063 -45.096, -50408.8100585937 6615795.83007813 -45.106, -50408.740234375 6615795.76953125 -45.106, -50408.669921875 6615795.69921875 -45.116, -50408.58984375 6615795.63085937 -45.126, -50408.509765625 6615795.5703125 -45.136, -50408.4301757813 6615795.50976563 -45.136, -50408.3598632813 6615795.43945312 -45.146, -50408.2797851563 6615795.36914063 -45.156, -50408.2001953125 6615795.30078125 -45.166, -50408.1201171875 6615795.24023438 -45.166, -50408.0498046875 6615795.1796875 -45.176, -50407.9702148438 6615795.109375 -45.186, -50407.8901367188 6615795.0390625 -45.186, -50410.66015625 6615792 -0.106, -50413.6499023438 6615794.6796875 -44.886))</t>
  </si>
  <si>
    <t>['FV553 S1D1 m6632-6640']</t>
  </si>
  <si>
    <t>LINESTRING Z (-48825.08984375 6615141.52929688 -124.911, -48824.3598632813 6615145.48046875 -124.901, -48824.259765625 6615145.4609375 -124.901, -48824.16015625 6615145.43945313 -124.891, -48824.0600585938 6615145.43945313 -124.891, -48823.9599609375 6615145.41992188 -124.881, -48823.8598632813 6615145.40039063 -124.881, -48823.759765625 6615145.390625 -124.871, -48823.66015625 6615145.36914063 -124.871, -48823.5698242188 6615145.34960938 -124.861, -48823.4702148438 6615145.33984375 -124.861, -48823.3701171875 6615145.3203125 -124.851, -48823.2700195312 6615145.30078125 -124.851, -48823.169921875 6615145.2890625 -124.841, -48823.0698242188 6615145.27929688 -124.841, -48822.9702148438 6615145.25976563 -124.831, -48822.8701171875 6615145.25 -124.831, -48822.7700195312 6615145.23046875 -124.821, -48822.669921875 6615145.2109375 -124.821, -48822.5698242188 6615145.19921875 -124.811, -48822.4702148438 6615145.1796875 -124.811, -48822.3701171875 6615145.16015625 -124.801, -48822.2797851563 6615145.140625 -124.801, -48822.1801757813 6615145.13085938 -124.791, -48822.080078125 6615145.109375 -124.791, -48821.9799804688 6615145.09960938 -124.781, -48821.8798828125 6615145.08984375 -124.781, -48821.7797851563 6615145.0703125 -124.771, -48821.6801757812 6615145.05078125 -124.771, -48821.580078125 6615145.0390625 -124.761, -48821.4799804688 6615145.01953125 -124.761, -48821.3798828125 6615145 -124.751, -48821.2797851563 6615144.99023438 -124.751, -48821.1801757812 6615144.97070313 -124.741, -48821.080078125 6615144.94921875 -124.741, -48820.9799804688 6615144.94921875 -124.731, -48820.8701171875 6615144.9296875 -124.731, -48820.7797851563 6615144.91015625 -124.721, -48820.6801757812 6615144.90039063 -124.721, -48820.580078125 6615144.88085938 -124.711, -48820.4799804688 6615144.859375 -124.711, -48820.3798828125 6615144.84960938 -124.701, -48820.4599609375 6615143.74023438 -124.701, -48820.3598632813 6615143.73046875 -124.691, -48820.259765625 6615143.7109375 -124.691, -48820.16015625 6615143.68945313 -124.681, -48820.0600585937 6615143.66992188 -124.681, -48819.9599609375 6615143.66015625 -124.671, -48819.8598632813 6615143.640625 -124.671, -48819.759765625 6615143.63085938 -124.661, -48819.66015625 6615143.61914063 -124.661, -48819.5600585937 6615143.59960938 -124.651, -48819.4702148438 6615143.58007813 -124.651, -48819.3701171875 6615143.5703125 -124.641, -48819.2700195312 6615143.55078125 -124.641, -48819.169921875 6615143.52929688 -124.631, -48819.0698242188 6615143.51953125 -124.631, -48818.9702148438 6615143.5 -124.621, -48818.8701171875 6615143.48046875 -124.621, -48818.7700195313 6615143.48046875 -124.611, -48818.669921875 6615143.4609375 -124.611, -48818.5698242188 6615143.43945313 -124.601, -48818.4702148438 6615143.4296875 -124.601, -48818.3701171875 6615143.41015625 -124.591, -48818.2700195313 6615143.390625 -124.591, -48818.1801757813 6615143.36914063 -124.581, -48818.0698242188 6615143.359375 -124.581, -48817.9702148437 6615143.33984375 -124.571, -48817.8701171875 6615143.3203125 -124.571, -48817.7700195313 6615143.31054688 -124.561, -48817.669921875 6615143.2890625 -124.561, -48817.5698242188 6615143.27929688 -124.551, -48817.4702148438 6615143.26953125 -124.551, -48817.3701171875 6615143.25 -124.541, -48817.2700195313 6615143.23046875 -124.541, -48817.169921875 6615143.22070313 -124.531, -48817.0698242187 6615143.19921875 -124.531, -48816.9702148438 6615143.1796875 -124.521, -48817.33984375 6615140.2890625 -124.521)</t>
  </si>
  <si>
    <t>POLYGON Z ((-48825.08984375 6615141.52929688 -124.911, -48824.3598632813 6615145.48046875 -124.901, -48824.259765625 6615145.4609375 -124.901, -48824.16015625 6615145.43945313 -124.891, -48824.0600585938 6615145.43945313 -124.891, -48823.9599609375 6615145.41992188 -124.881, -48823.8598632813 6615145.40039063 -124.881, -48823.759765625 6615145.390625 -124.871, -48823.66015625 6615145.36914063 -124.871, -48823.5698242188 6615145.34960938 -124.861, -48823.4702148438 6615145.33984375 -124.861, -48823.3701171875 6615145.3203125 -124.851, -48823.2700195312 6615145.30078125 -124.851, -48823.169921875 6615145.2890625 -124.841, -48823.0698242188 6615145.27929688 -124.841, -48822.9702148438 6615145.25976563 -124.831, -48822.8701171875 6615145.25 -124.831, -48822.7700195312 6615145.23046875 -124.821, -48822.669921875 6615145.2109375 -124.821, -48822.5698242188 6615145.19921875 -124.811, -48822.4702148438 6615145.1796875 -124.811, -48822.3701171875 6615145.16015625 -124.801, -48822.2797851563 6615145.140625 -124.801, -48822.1801757813 6615145.13085938 -124.791, -48822.080078125 6615145.109375 -124.791, -48821.9799804688 6615145.09960938 -124.781, -48821.8798828125 6615145.08984375 -124.781, -48821.7797851563 6615145.0703125 -124.771, -48821.6801757812 6615145.05078125 -124.771, -48821.580078125 6615145.0390625 -124.761, -48821.4799804688 6615145.01953125 -124.761, -48821.3798828125 6615145 -124.751, -48821.2797851563 6615144.99023438 -124.751, -48821.1801757812 6615144.97070313 -124.741, -48821.080078125 6615144.94921875 -124.741, -48820.9799804688 6615144.94921875 -124.731, -48820.8701171875 6615144.9296875 -124.731, -48820.7797851563 6615144.91015625 -124.721, -48820.6801757812 6615144.90039063 -124.721, -48820.580078125 6615144.88085938 -124.711, -48820.4799804688 6615144.859375 -124.711, -48820.3798828125 6615144.84960938 -124.701, -48820.4599609375 6615143.74023438 -124.701, -48820.3598632813 6615143.73046875 -124.691, -48820.259765625 6615143.7109375 -124.691, -48820.16015625 6615143.68945313 -124.681, -48820.0600585937 6615143.66992188 -124.681, -48819.9599609375 6615143.66015625 -124.671, -48819.8598632813 6615143.640625 -124.671, -48819.759765625 6615143.63085938 -124.661, -48819.66015625 6615143.61914063 -124.661, -48819.5600585937 6615143.59960938 -124.651, -48819.4702148438 6615143.58007813 -124.651, -48819.3701171875 6615143.5703125 -124.641, -48819.2700195312 6615143.55078125 -124.641, -48819.169921875 6615143.52929688 -124.631, -48819.0698242188 6615143.51953125 -124.631, -48818.9702148438 6615143.5 -124.621, -48818.8701171875 6615143.48046875 -124.621, -48818.7700195313 6615143.48046875 -124.611, -48818.669921875 6615143.4609375 -124.611, -48818.5698242188 6615143.43945313 -124.601, -48818.4702148438 6615143.4296875 -124.601, -48818.3701171875 6615143.41015625 -124.591, -48818.2700195313 6615143.390625 -124.591, -48818.1801757813 6615143.36914063 -124.581, -48818.0698242188 6615143.359375 -124.581, -48817.9702148437 6615143.33984375 -124.571, -48817.8701171875 6615143.3203125 -124.571, -48817.7700195313 6615143.31054688 -124.561, -48817.669921875 6615143.2890625 -124.561, -48817.5698242188 6615143.27929688 -124.551, -48817.4702148438 6615143.26953125 -124.551, -48817.3701171875 6615143.25 -124.541, -48817.2700195313 6615143.23046875 -124.541, -48817.169921875 6615143.22070313 -124.531, -48817.0698242187 6615143.19921875 -124.531, -48816.9702148438 6615143.1796875 -124.521, -48817.33984375 6615140.2890625 -124.521, -48825.08984375 6615141.52929688 -124.911))</t>
  </si>
  <si>
    <t>['FV553 S1D1 m6260-6263']</t>
  </si>
  <si>
    <t>LINESTRING Z (-48457.1801757813 6615060.93945312 -106.323, -48456.2900390625 6615063.7109375 -106.323, -48456.1899414062 6615063.68945312 -106.313, -48456.1000976563 6615063.66015625 -106.313, -48456.009765625 6615063.63085938 -106.303, -48455.91015625 6615063.59960938 -106.303, -48455.8100585938 6615063.58007813 -106.303, -48455.7099609375 6615063.55078125 -106.293, -48455.6098632812 6615063.52929688 -106.293, -48455.509765625 6615063.5 -106.283, -48455.4301757812 6615063.47070313 -106.283, -48455.330078125 6615063.43945313 -106.273, -48455.2299804688 6615063.41015625 -106.273, -48455.1298828125 6615063.38085938 -106.263, -48455.0297851563 6615063.359375 -106.263, -48454.9399414063 6615063.33984375 -106.253, -48454.83984375 6615063.31054688 -106.253, -48454.740234375 6615063.27929688 -106.243, -48454.6499023438 6615063.25 -106.243, -48454.5498046875 6615063.22070313 -106.243, -48454.4501953125 6615063.19921875 -106.233, -48454.3598632813 6615063.16992187 -106.233, -48454.259765625 6615063.140625 -106.223, -48454.16015625 6615063.109375 -106.223, -48454.0600585937 6615063.08007813 -106.213, -48453.9702148438 6615063.06054688 -106.213, -48453.8701171875 6615063.0390625 -106.203, -48453.7797851563 6615063.00976563 -106.203, -48453.6801757813 6615062.98046875 -106.193, -48453.580078125 6615062.94921875 -106.193, -48453.4799804688 6615062.91992188 -106.183, -48453.3798828125 6615062.890625 -106.183, -48453.2900390625 6615062.86914063 -106.183, -48453.2001953125 6615062.84960937 -106.173, -48453.1000976563 6615062.8203125 -106.173, -48453 6615062.7890625 -106.163, -48452.8999023438 6615062.75976563 -106.163, -48452.7998046875 6615062.73046875 -106.153, -48453.5 6615059.90039063 -106.153)</t>
  </si>
  <si>
    <t>POLYGON Z ((-48457.1801757813 6615060.93945312 -106.323, -48456.2900390625 6615063.7109375 -106.323, -48456.1899414062 6615063.68945312 -106.313, -48456.1000976563 6615063.66015625 -106.313, -48456.009765625 6615063.63085938 -106.303, -48455.91015625 6615063.59960938 -106.303, -48455.8100585938 6615063.58007813 -106.303, -48455.7099609375 6615063.55078125 -106.293, -48455.6098632812 6615063.52929688 -106.293, -48455.509765625 6615063.5 -106.283, -48455.4301757812 6615063.47070313 -106.283, -48455.330078125 6615063.43945313 -106.273, -48455.2299804688 6615063.41015625 -106.273, -48455.1298828125 6615063.38085938 -106.263, -48455.0297851563 6615063.359375 -106.263, -48454.9399414063 6615063.33984375 -106.253, -48454.83984375 6615063.31054688 -106.253, -48454.740234375 6615063.27929688 -106.243, -48454.6499023438 6615063.25 -106.243, -48454.5498046875 6615063.22070313 -106.243, -48454.4501953125 6615063.19921875 -106.233, -48454.3598632813 6615063.16992187 -106.233, -48454.259765625 6615063.140625 -106.223, -48454.16015625 6615063.109375 -106.223, -48454.0600585937 6615063.08007813 -106.213, -48453.9702148438 6615063.06054688 -106.213, -48453.8701171875 6615063.0390625 -106.203, -48453.7797851563 6615063.00976563 -106.203, -48453.6801757813 6615062.98046875 -106.193, -48453.580078125 6615062.94921875 -106.193, -48453.4799804688 6615062.91992188 -106.183, -48453.3798828125 6615062.890625 -106.183, -48453.2900390625 6615062.86914063 -106.183, -48453.2001953125 6615062.84960937 -106.173, -48453.1000976563 6615062.8203125 -106.173, -48453 6615062.7890625 -106.163, -48452.8999023438 6615062.75976563 -106.163, -48452.7998046875 6615062.73046875 -106.153, -48453.5 6615059.90039063 -106.153, -48457.1801757813 6615060.93945312 -106.323))</t>
  </si>
  <si>
    <t>['FV553 S1D1 m5516-5520']</t>
  </si>
  <si>
    <t>LINESTRING Z (-47736.8601074219 6614880 -69.875, -47736.169921875 6614882.83007813 -69.875, -47736.0700683594 6614882.81054687 -69.865, -47735.9799804687 6614882.77929688 -69.865, -47735.8798828125 6614882.75976563 -69.855, -47735.7800292969 6614882.75 -69.855, -47735.6899414062 6614882.73046875 -69.845, -47735.5900878906 6614882.7109375 -69.845, -47735.4899902344 6614882.68945313 -69.835, -47735.3898925781 6614882.66992188 -69.835, -47735.2900390625 6614882.65039063 -69.825, -47735.1899414063 6614882.61914062 -69.825, -47735.1000976563 6614882.59960938 -69.815, -47735 6614882.58007813 -69.815, -47734.8999023438 6614882.5703125 -69.805, -47734.8000488281 6614882.55078125 -69.805, -47734.6999511719 6614882.52929688 -69.795, -47734.6000976562 6614882.50976563 -69.795, -47734.5100097656 6614882.48046875 -69.785, -47734.4099121094 6614882.4609375 -69.785, -47734.3100585938 6614882.43945313 -69.775, -47734.2199707031 6614882.41992188 -69.775, -47734.1201171875 6614882.40039063 -69.765, -47734.0200195313 6614882.38085937 -69.765, -47733.919921875 6614882.36914063 -69.755, -47733.8200683594 6614882.34960938 -69.755, -47733.7199707031 6614882.3203125 -69.745, -47733.6201171875 6614882.30078125 -69.745, -47733.5200195312 6614882.27929688 -69.735, -47733.419921875 6614882.25976562 -69.735, -47733.330078125 6614882.24023438 -69.725, -47733.2399902344 6614882.22070313 -69.725, -47733.1398925781 6614882.19921875 -69.715, -47733.0400390625 6614882.18945312 -69.715, -47732.9399414063 6614882.16015625 -69.705, -47732.8400878906 6614882.140625 -69.705, -47732.7399902344 6614882.11914063 -69.695, -47732.6398925781 6614882.09960938 -69.695, -47733.1298828125 6614879.23046875 -69.685)</t>
  </si>
  <si>
    <t>POLYGON Z ((-47736.8601074219 6614880 -69.875, -47736.169921875 6614882.83007813 -69.875, -47736.0700683594 6614882.81054687 -69.865, -47735.9799804687 6614882.77929688 -69.865, -47735.8798828125 6614882.75976563 -69.855, -47735.7800292969 6614882.75 -69.855, -47735.6899414062 6614882.73046875 -69.845, -47735.5900878906 6614882.7109375 -69.845, -47735.4899902344 6614882.68945313 -69.835, -47735.3898925781 6614882.66992188 -69.835, -47735.2900390625 6614882.65039063 -69.825, -47735.1899414063 6614882.61914062 -69.825, -47735.1000976563 6614882.59960938 -69.815, -47735 6614882.58007813 -69.815, -47734.8999023438 6614882.5703125 -69.805, -47734.8000488281 6614882.55078125 -69.805, -47734.6999511719 6614882.52929688 -69.795, -47734.6000976562 6614882.50976563 -69.795, -47734.5100097656 6614882.48046875 -69.785, -47734.4099121094 6614882.4609375 -69.785, -47734.3100585938 6614882.43945313 -69.775, -47734.2199707031 6614882.41992188 -69.775, -47734.1201171875 6614882.40039063 -69.765, -47734.0200195313 6614882.38085937 -69.765, -47733.919921875 6614882.36914063 -69.755, -47733.8200683594 6614882.34960938 -69.755, -47733.7199707031 6614882.3203125 -69.745, -47733.6201171875 6614882.30078125 -69.745, -47733.5200195312 6614882.27929688 -69.735, -47733.419921875 6614882.25976562 -69.735, -47733.330078125 6614882.24023438 -69.725, -47733.2399902344 6614882.22070313 -69.725, -47733.1398925781 6614882.19921875 -69.715, -47733.0400390625 6614882.18945312 -69.715, -47732.9399414063 6614882.16015625 -69.705, -47732.8400878906 6614882.140625 -69.705, -47732.7399902344 6614882.11914063 -69.695, -47732.6398925781 6614882.09960938 -69.695, -47733.1298828125 6614879.23046875 -69.685, -47736.8601074219 6614880 -69.875))</t>
  </si>
  <si>
    <t>['FV553 S1D1 m4736-4740']</t>
  </si>
  <si>
    <t>LINESTRING Z (-47066.5500488281 6614472.98046875 -69.117, -47068.3898925781 6614470.73046875 -69.117, -47065.6599121094 6614468.33984375 -69.117, -47063.6599121094 6614470.4609375 -69.117)</t>
  </si>
  <si>
    <t>POLYGON Z ((-47066.5500488281 6614472.98046875 -69.117, -47068.3898925781 6614470.73046875 -69.117, -47065.6599121094 6614468.33984375 -69.117, -47063.6599121094 6614470.4609375 -69.117, -47066.5500488281 6614472.98046875 -69.117))</t>
  </si>
  <si>
    <t>['FV553 S1D1 m4337-4344']</t>
  </si>
  <si>
    <t>LINESTRING Z (-46741.9099121094 6614245.93945313 -90.028, -46742.080078125 6614242.4609375 -93.338, -46739.4299316406 6614239.75 -93.498, -46736.4599609375 6614240.59960938 -91.698)</t>
  </si>
  <si>
    <t>POLYGON Z ((-46741.9099121094 6614245.93945313 -90.028, -46742.080078125 6614242.4609375 -93.338, -46739.4299316406 6614239.75 -93.498, -46736.4599609375 6614240.59960938 -91.698, -46741.9099121094 6614245.93945313 -90.028))</t>
  </si>
  <si>
    <t>['FV553 S1D1 m3149-3156']</t>
  </si>
  <si>
    <t>LINESTRING Z (-45592.2700195313 6614014.77929688 -111.78, -45592.0899658203 6614011.31054688 -115.88, -45588.5899658203 6614011.40039063 -115.63, -45588.5200195313 6614012.5 -115.57, -45585.8100585938 6614012.5703125 -115.43, -45585.7600097656 6614012.58007813 -115.43, -45585.0400390625 6614015 -115.31)</t>
  </si>
  <si>
    <t>POLYGON Z ((-45592.2700195313 6614014.77929688 -111.78, -45592.0899658203 6614011.31054688 -115.88, -45588.5899658203 6614011.40039063 -115.63, -45588.5200195313 6614012.5 -115.57, -45585.8100585938 6614012.5703125 -115.43, -45585.7600097656 6614012.58007813 -115.43, -45585.0400390625 6614015 -115.31, -45592.2700195313 6614014.77929688 -111.78))</t>
  </si>
  <si>
    <t>['FV553 S1D1 m3912-3916']</t>
  </si>
  <si>
    <t>LINESTRING Z (-46343.6398925781 6614079.66992188 -116.739, -46344.3798828125 6614077.09960937 -116.749, -46347.9099121094 6614078.109375 -116.549, -46347.1999511719 6614080.75 -116.519)</t>
  </si>
  <si>
    <t>POLYGON Z ((-46343.6398925781 6614079.66992188 -116.739, -46344.3798828125 6614077.09960937 -116.749, -46347.9099121094 6614078.109375 -116.549, -46347.1999511719 6614080.75 -116.519, -46343.6398925781 6614079.66992188 -116.739))</t>
  </si>
  <si>
    <t>['FV553 S1D1 m2441-2451']</t>
  </si>
  <si>
    <t>LINESTRING Z (-44888.8499755859 6614033.91015625 -65.78, -44888.5900268555 6614025.890625 -65.77, -44888.5399780273 6614025.90039063 -65.77, -44888.4400024414 6614025.90039063 -65.76, -44888.3400268555 6614025.90039063 -65.76, -44888.2399902344 6614025.90039063 -65.75, -44888.1400146484 6614025.90039063 -65.74, -44888.0800170898 6614025.90039063 -65.74, -44888.0399780273 6614025.91015625 -65.73, -44887.9400024414 6614025.91015625 -65.73, -44887.8400268555 6614025.91015625 -65.72, -44887.7399902344 6614025.91015625 -65.71, -44887.6400146484 6614025.91992188 -65.71, -44887.5399780273 6614025.91992188 -65.7, -44887.4400024414 6614025.9296875 -65.69, -44887.3400268555 6614025.9296875 -65.68, -44887.2399902344 6614025.9296875 -65.68, -44887.1400146484 6614025.9296875 -65.67, -44887.0399780273 6614025.9296875 -65.66, -44886.9400024414 6614025.9296875 -65.66, -44886.8400268555 6614025.93945313 -65.65, -44886.7299804688 6614025.93945313 -65.64, -44886.6300048828 6614025.94921875 -65.63, -44886.5300292969 6614025.94921875 -65.63, -44886.4299926758 6614025.94921875 -65.62, -44886.3400268555 6614025.94921875 -65.61, -44886.2399902344 6614025.9609375 -65.61, -44886.1400146484 6614025.9609375 -65.6, -44886.0399780273 6614025.9609375 -65.59, -44885.9400024414 6614025.9609375 -65.58, -44885.8400268555 6614025.9609375 -65.58, -44885.7399902344 6614025.9609375 -65.57, -44885.6300048828 6614025.98046875 -65.56, -44885.5300292969 6614025.98046875 -65.56, -44885.4299926758 6614025.98046875 -65.55, -44885.3300170898 6614025.98046875 -65.54, -44885.2299804688 6614025.98046875 -65.531, -44885.1300048828 6614025.98046875 -65.531, -44885.0300292969 6614025.99023438 -65.52, -44884.9299926758 6614025.99023438 -65.51, -44884.8400268555 6614025.99023438 -65.51, -44884.7399902344 6614025.99023438 -65.5, -44884.6400146484 6614026 -65.491, -44884.5300292969 6614026 -65.48, -44884.4299926758 6614026.00976563 -65.48, -44884.3300170898 6614026.00976563 -65.47, -44884.2299804688 6614026.00976563 -65.46, -44884.1300048828 6614026.00976563 -65.46, -44884.0300292969 6614026.00976563 -65.451, -44883.9299926758 6614026.00976563 -65.44, -44883.8300170898 6614026.01953125 -65.43, -44883.7299804688 6614026.01953125 -65.43, -44883.6300048828 6614026.02929688 -65.421, -44883.5200195313 6614026.02929688 -65.411, -44883.4199829102 6614026.02929688 -65.411, -44883.3300170898 6614026.02929688 -65.4, -44883.2299804688 6614026.0390625 -65.39, -44883.1300048828 6614026.0390625 -65.381, -44883.0300292969 6614026.0390625 -65.381, -44882.9299926758 6614026.0390625 -65.371, -44882.8300170899 6614026.0390625 -65.36, -44882.7299804688 6614026.0390625 -65.36, -44882.6300048828 6614026.06054688 -65.351, -44882.5200195312 6614026.06054688 -65.341, -44882.4199829102 6614026.06054688 -65.33, -44882.3200073242 6614026.06054688 -65.331, -44882.2199707031 6614026.06054688 -65.32, -44882.1199951172 6614026.06054688 -65.311, -44882.0200195313 6614026.0703125 -65.311, -44881.9199829102 6614026.0703125 -65.301, -44881.8300170898 6614026.0703125 -65.29, -44880.7199707031 6614026.09960938 -65.21, -44879.7199707031 6614026.11914063 -65.141, -44879.5599975586 6614026.13085938 -65.131, -44879.0700073242 6614026.15039063 -65.101, -44879.2800292969 6614034.16992188 -65.101)</t>
  </si>
  <si>
    <t>POLYGON Z ((-44888.8499755859 6614033.91015625 -65.78, -44888.5900268555 6614025.890625 -65.77, -44888.5399780273 6614025.90039063 -65.77, -44888.4400024414 6614025.90039063 -65.76, -44888.3400268555 6614025.90039063 -65.76, -44888.2399902344 6614025.90039063 -65.75, -44888.1400146484 6614025.90039063 -65.74, -44888.0800170898 6614025.90039063 -65.74, -44888.0399780273 6614025.91015625 -65.73, -44887.9400024414 6614025.91015625 -65.73, -44887.8400268555 6614025.91015625 -65.72, -44887.7399902344 6614025.91015625 -65.71, -44887.6400146484 6614025.91992188 -65.71, -44887.5399780273 6614025.91992188 -65.7, -44887.4400024414 6614025.9296875 -65.69, -44887.3400268555 6614025.9296875 -65.68, -44887.2399902344 6614025.9296875 -65.68, -44887.1400146484 6614025.9296875 -65.67, -44887.0399780273 6614025.9296875 -65.66, -44886.9400024414 6614025.9296875 -65.66, -44886.8400268555 6614025.93945313 -65.65, -44886.7299804688 6614025.93945313 -65.64, -44886.6300048828 6614025.94921875 -65.63, -44886.5300292969 6614025.94921875 -65.63, -44886.4299926758 6614025.94921875 -65.62, -44886.3400268555 6614025.94921875 -65.61, -44886.2399902344 6614025.9609375 -65.61, -44886.1400146484 6614025.9609375 -65.6, -44886.0399780273 6614025.9609375 -65.59, -44885.9400024414 6614025.9609375 -65.58, -44885.8400268555 6614025.9609375 -65.58, -44885.7399902344 6614025.9609375 -65.57, -44885.6300048828 6614025.98046875 -65.56, -44885.5300292969 6614025.98046875 -65.56, -44885.4299926758 6614025.98046875 -65.55, -44885.3300170898 6614025.98046875 -65.54, -44885.2299804688 6614025.98046875 -65.531, -44885.1300048828 6614025.98046875 -65.531, -44885.0300292969 6614025.99023438 -65.52, -44884.9299926758 6614025.99023438 -65.51, -44884.8400268555 6614025.99023438 -65.51, -44884.7399902344 6614025.99023438 -65.5, -44884.6400146484 6614026 -65.491, -44884.5300292969 6614026 -65.48, -44884.4299926758 6614026.00976563 -65.48, -44884.3300170898 6614026.00976563 -65.47, -44884.2299804688 6614026.00976563 -65.46, -44884.1300048828 6614026.00976563 -65.46, -44884.0300292969 6614026.00976563 -65.451, -44883.9299926758 6614026.00976563 -65.44, -44883.8300170898 6614026.01953125 -65.43, -44883.7299804688 6614026.01953125 -65.43, -44883.6300048828 6614026.02929688 -65.421, -44883.5200195313 6614026.02929688 -65.411, -44883.4199829102 6614026.02929688 -65.411, -44883.3300170898 6614026.02929688 -65.4, -44883.2299804688 6614026.0390625 -65.39, -44883.1300048828 6614026.0390625 -65.381, -44883.0300292969 6614026.0390625 -65.381, -44882.9299926758 6614026.0390625 -65.371, -44882.8300170899 6614026.0390625 -65.36, -44882.7299804688 6614026.0390625 -65.36, -44882.6300048828 6614026.06054688 -65.351, -44882.5200195312 6614026.06054688 -65.341, -44882.4199829102 6614026.06054688 -65.33, -44882.3200073242 6614026.06054688 -65.331, -44882.2199707031 6614026.06054688 -65.32, -44882.1199951172 6614026.06054688 -65.311, -44882.0200195313 6614026.0703125 -65.311, -44881.9199829102 6614026.0703125 -65.301, -44881.8300170898 6614026.0703125 -65.29, -44880.7199707031 6614026.09960938 -65.21, -44879.7199707031 6614026.11914063 -65.141, -44879.5599975586 6614026.13085938 -65.131, -44879.0700073242 6614026.15039063 -65.101, -44879.2800292969 6614034.16992188 -65.101, -44888.8499755859 6614033.91015625 -65.78))</t>
  </si>
  <si>
    <t>['FV553 S1D1 m3496-3509']</t>
  </si>
  <si>
    <t>LINESTRING Z (-45944.3299560547 6614031.16015625 -135.949, -45942.4699707031 6614060.94921875 -133.989, -45941.3199462891 6614079.75976562 -142.829, -45939.7299804688 6614108.51953125 -142.829, -45927.6700439453 6614107.859375 -142.829, -45929.2900390625 6614079.109375 -142.829, -45929.9300537109 6614061.16992188 -133.119, -45931.4000244141 6614030.68945313 -135.869)</t>
  </si>
  <si>
    <t>POLYGON ((-45942.96901909624 6614060.980053898, -45941.81910344896 6614079.788821709, -45940.229218125176 6614108.547131294, -45940.22411147515 6614108.595915467, -45940.214249361015 6614108.643964525, -45940.199726694686 6614108.690816051, -45940.180683240775 6614108.736019151, -45940.15730227145 6614108.779138794, -45940.12980880265 6614108.819760002, -45940.098467428616 6614108.85749184, -45940.063579775364 6614108.891971182, -45940.02548159796 6614108.922866201, -45939.984539549194 6614108.949879568, -45939.941147650985 6614108.972751308, -45939.89572350233 6614108.991261307, -45939.848704260396 6614109.005231426, -45939.80054243335 6614109.014527218, -45939.751701525485 6614109.019059223, -45939.7026515765 6614109.018783823, -45927.642715053 6614108.358627573, -45927.59386182726 6614108.353537205, -45927.54574377406 6614108.343678074, -45927.49882524214 6614108.329145323, -45927.45355900461 6614108.310079194, -45927.41038188962 6614108.286663681, -45927.3697105649 6614108.2591247475, -45927.33193751677 6614108.22772815, -45927.29742726264 6614108.192776871, -45927.26651283329 6614108.154608198, -45927.23949255908 6614108.113590468, -45927.21662719101 6614108.070119507, -45927.19813738442 6614108.024614819, -45927.184201569595 6614107.9775155345, -45927.17495422991 6614107.929276171, -45927.17048460402 6614107.880362247, -45927.17083582469 6614107.831245792, -45928.79054082269 6614079.086394528, -45929.430371608396 6614061.152095034, -45929.43063415089 6614061.145836551, -45930.90060485409 6614030.665367801, -45931.89944397411 6614030.713538459, -45930.429624144104 6614061.190878789, -45929.789721165005 6614079.127201846, -45929.78924718311 6614079.137504208, -45928.19742640354 6614107.387495166, -45939.25832787068 6614107.992964624, -45940.820708632724 6614079.732165576, -45940.82087811741 6614079.729253983, -45941.970902531415 6614060.918707113, -45941.97094250513 6614060.918060161, -45943.83092785673 6614031.128997661, -45944.82898425267 6614031.191314839, -45942.96901909624 6614060.980053898))</t>
  </si>
  <si>
    <t>['FV553 S1D1 m1740-1743']</t>
  </si>
  <si>
    <t>LINESTRING Z (-44183.1999969482 6614052.43945313 -10.791, -44183.1000061035 6614049.66992187 -15.511, -44179.4700012207 6614049.75976563 -15.251, -44179.4900054932 6614052.5 -10.941)</t>
  </si>
  <si>
    <t>POLYGON Z ((-44183.1999969482 6614052.43945313 -10.791, -44183.1000061035 6614049.66992187 -15.511, -44179.4700012207 6614049.75976563 -15.251, -44179.4900054932 6614052.5 -10.941, -44183.1999969482 6614052.43945313 -10.791))</t>
  </si>
  <si>
    <t>['FV553 S1D1 m2793-2803']</t>
  </si>
  <si>
    <t>LINESTRING Z (-45240.75 6614043.16992188 -90.46, -45237.7600097656 6614045.859375 -91.07, -45234.1500244141 6614045.9609375 -90.82, -45230.6500244141 6614043.5 -90.65)</t>
  </si>
  <si>
    <t>POLYGON ((-45238.094386466466 6614046.231117144, -45238.055349889255 6614046.262827861, -45238.01332515043 6614046.290456565, -45237.96873744361 6614046.313723717, -45237.922037893644 6614046.332393906, -45237.87369899237 6614046.346278234, -45237.82420981809 6614046.355236224, -45237.77407108721 6614046.35917724, -45234.164085735705 6614046.46073974, -45234.11832696317 6614046.45993176, -45234.07283375417 6614046.45494317, -45234.027987254114 6614046.445815764, -45233.984163190216 6614046.432626015, -45233.94172872366 6614046.415484423, -45233.90103937347 6614046.394534606, -45233.86243603811 6614046.369952079, -45230.36243603811 6614043.909014579, -45230.93761279009 6614043.090985421, -45234.301854822246 6614045.4564681, -45237.56225803565 6614045.364740663, -45240.41562329914 6614042.798179735, -45241.08437670086 6614043.541664024, -45238.094386466466 6614046.231117144))</t>
  </si>
  <si>
    <t>['FV553 S1D1 m2089-2099']</t>
  </si>
  <si>
    <t>LINESTRING Z (-44538 6614061.77929688 -40.381, -44535.0700073242 6614064.44921875 -41.011, -44533.5300292969 6614064.49023438 -40.901, -44531.4600219727 6614064.5390625 -40.761, -44528.8900146484 6614062 -40.611)</t>
  </si>
  <si>
    <t>POLYGON Z ((-44538 6614061.77929688 -40.381, -44535.0700073242 6614064.44921875 -41.011, -44533.5300292969 6614064.49023438 -40.901, -44531.4600219727 6614064.5390625 -40.761, -44528.8900146484 6614062 -40.611, -44538 6614061.77929688 -40.381))</t>
  </si>
  <si>
    <t>[554]</t>
  </si>
  <si>
    <t>['FV554 S1D1 m119-122']</t>
  </si>
  <si>
    <t>LINESTRING Z (-47269.1999511719 6614922.72070313 -54.327, -47271.5 6614924.48046875 -54.326, -47271.5700683594 6614924.40039063 -54.326, -47271.6398925781 6614924.3203125 -54.336, -47271.6999511719 6614924.24023437 -54.336, -47271.7600097656 6614924.16992188 -54.336, -47271.830078125 6614924.08007813 -54.336, -47271.8898925781 6614924.00976563 -54.346, -47271.9599609375 6614923.91992188 -54.346, -47272.0300292969 6614923.84960938 -54.346, -47272.080078125 6614923.76953125 -54.356, -47272.1499023438 6614923.68945312 -54.356, -47272.2199707031 6614923.61914063 -54.356, -47272.2800292969 6614923.52929687 -54.366, -47272.3400878906 6614923.4609375 -54.366, -47272.4099121094 6614923.38085938 -54.366, -47272.4699707031 6614923.30078125 -54.366, -47272.5400390625 6614923.22070313 -54.376, -47272.6000976563 6614923.140625 -54.376, -47272.6599121094 6614923.06054688 -54.376, -47272.7299804688 6614922.99023438 -54.386, -47272.8000488281 6614922.90039063 -54.386, -47272.8500976562 6614922.83007813 -54.386, -47272.919921875 6614922.74023438 -54.396, -47272.9899902344 6614922.66992188 -54.396, -47273.0500488281 6614922.58984375 -54.396, -47273.1101074219 6614922.50976563 -54.396, -47273.1799316406 6614922.4296875 -54.406, -47273.2399902344 6614922.34960938 -54.406, -47273.3100585938 6614922.26953125 -54.406, -47273.3601074219 6614922.19921875 -54.416, -47271.169921875 6614920.2890625 -54.416)</t>
  </si>
  <si>
    <t>POLYGON Z ((-47269.1999511719 6614922.72070313 -54.327, -47271.5 6614924.48046875 -54.326, -47271.5700683594 6614924.40039063 -54.326, -47271.6398925781 6614924.3203125 -54.336, -47271.6999511719 6614924.24023437 -54.336, -47271.7600097656 6614924.16992188 -54.336, -47271.830078125 6614924.08007813 -54.336, -47271.8898925781 6614924.00976563 -54.346, -47271.9599609375 6614923.91992188 -54.346, -47272.0300292969 6614923.84960938 -54.346, -47272.080078125 6614923.76953125 -54.356, -47272.1499023438 6614923.68945312 -54.356, -47272.2199707031 6614923.61914063 -54.356, -47272.2800292969 6614923.52929687 -54.366, -47272.3400878906 6614923.4609375 -54.366, -47272.4099121094 6614923.38085938 -54.366, -47272.4699707031 6614923.30078125 -54.366, -47272.5400390625 6614923.22070313 -54.376, -47272.6000976563 6614923.140625 -54.376, -47272.6599121094 6614923.06054688 -54.376, -47272.7299804688 6614922.99023438 -54.386, -47272.8000488281 6614922.90039063 -54.386, -47272.8500976562 6614922.83007813 -54.386, -47272.919921875 6614922.74023438 -54.396, -47272.9899902344 6614922.66992188 -54.396, -47273.0500488281 6614922.58984375 -54.396, -47273.1101074219 6614922.50976563 -54.396, -47273.1799316406 6614922.4296875 -54.406, -47273.2399902344 6614922.34960938 -54.406, -47273.3100585938 6614922.26953125 -54.406, -47273.3601074219 6614922.19921875 -54.416, -47271.169921875 6614920.2890625 -54.416, -47269.1999511719 6614922.72070313 -54.327))</t>
  </si>
  <si>
    <t>['FV554 S1D1 m414-417']</t>
  </si>
  <si>
    <t>LINESTRING Z (-47040.4699707031 6615110.27929688 -38.367, -47038.6599121094 6615108 -38.377, -47038.6899414062 6615107.97070313 -38.377, -47038.7700195313 6615107.90039063 -38.387, -47038.8500976563 6615107.83007813 -38.387, -47038.9299316406 6615107.76953125 -38.397, -47039.0100097656 6615107.7109375 -38.407, -47039.0900878906 6615107.640625 -38.407, -47039.1599121094 6615107.58007813 -38.417, -47039.2399902344 6615107.50976563 -38.427, -47039.330078125 6615107.44921875 -38.427, -47039.3999023438 6615107.390625 -38.437, -47039.4799804687 6615107.3203125 -38.437, -47039.5600585938 6615107.25 -38.447, -47039.6298828125 6615107.18945313 -38.457, -47039.7099609375 6615107.11914063 -38.457, -47039.7900390625 6615107.06054688 -38.467, -47039.8701171875 6615107 -38.477, -47039.9499511719 6615106.9296875 -38.477, -47040.0200195312 6615106.86914063 -38.487, -47040.1000976563 6615106.81054688 -38.497, -47040.1799316406 6615106.74023438 -38.497, -47040.2600097656 6615106.6796875 -38.507, -47040.3400878906 6615106.61914063 -38.507, -47040.419921875 6615106.5390625 -38.517, -47040.4899902344 6615106.48046875 -38.527, -47040.5700683594 6615106.41992188 -38.527, -47040.6499023438 6615106.34960938 -38.537, -47040.7299804688 6615106.2890625 -38.547, -47040.8100585938 6615106.23046875 -38.547, -47040.8798828125 6615106.16015625 -38.557, -47040.9299316406 6615106.13085937 -38.557, -47042.8100585938 6615108.33984375 -38.557)</t>
  </si>
  <si>
    <t>POLYGON Z ((-47040.4699707031 6615110.27929688 -38.367, -47038.6599121094 6615108 -38.377, -47038.6899414062 6615107.97070313 -38.377, -47038.7700195313 6615107.90039063 -38.387, -47038.8500976563 6615107.83007813 -38.387, -47038.9299316406 6615107.76953125 -38.397, -47039.0100097656 6615107.7109375 -38.407, -47039.0900878906 6615107.640625 -38.407, -47039.1599121094 6615107.58007813 -38.417, -47039.2399902344 6615107.50976563 -38.427, -47039.330078125 6615107.44921875 -38.427, -47039.3999023438 6615107.390625 -38.437, -47039.4799804687 6615107.3203125 -38.437, -47039.5600585938 6615107.25 -38.447, -47039.6298828125 6615107.18945313 -38.457, -47039.7099609375 6615107.11914063 -38.457, -47039.7900390625 6615107.06054688 -38.467, -47039.8701171875 6615107 -38.477, -47039.9499511719 6615106.9296875 -38.477, -47040.0200195312 6615106.86914063 -38.487, -47040.1000976563 6615106.81054688 -38.497, -47040.1799316406 6615106.74023438 -38.497, -47040.2600097656 6615106.6796875 -38.507, -47040.3400878906 6615106.61914063 -38.507, -47040.419921875 6615106.5390625 -38.517, -47040.4899902344 6615106.48046875 -38.527, -47040.5700683594 6615106.41992188 -38.527, -47040.6499023438 6615106.34960938 -38.537, -47040.7299804688 6615106.2890625 -38.547, -47040.8100585938 6615106.23046875 -38.547, -47040.8798828125 6615106.16015625 -38.557, -47040.9299316406 6615106.13085937 -38.557, -47042.8100585938 6615108.33984375 -38.557, -47040.4699707031 6615110.27929688 -38.367))</t>
  </si>
  <si>
    <t>['FV554 S1D1 m759-762']</t>
  </si>
  <si>
    <t>LINESTRING Z (-46822.830078125 6615378.02929688 -17.717, -46820.25 6615376.6796875 -17.717, -46820.3000488281 6615376.59960937 -17.727, -46820.3400878906 6615376.5 -17.727, -46820.3798828125 6615376.41992188 -17.737, -46820.4299316406 6615376.33007813 -17.747, -46820.4799804688 6615376.23046875 -17.747, -46820.5300292969 6615376.15039063 -17.757, -46820.580078125 6615376.05078125 -17.757, -46820.6298828125 6615375.97070313 -17.767, -46820.6599121094 6615375.88085938 -17.777, -46820.7099609375 6615375.77929688 -17.777, -46820.7600097656 6615375.69921875 -17.787, -46820.8100585938 6615375.609375 -17.787, -46820.8601074219 6615375.50976563 -17.797, -46820.9099121094 6615375.4296875 -17.807, -46820.9599609375 6615375.33007813 -17.807, -46820.9899902344 6615375.24023438 -17.817, -46821.0400390625 6615375.16015625 -17.817, -46821.0900878906 6615375.06054688 -17.827, -46821.1398925781 6615374.97070313 -17.837, -46821.1899414062 6615374.890625 -17.837, -46821.2399902344 6615374.7890625 -17.847, -46821.2800292969 6615374.7109375 -17.847, -46821.3200683594 6615374.609375 -17.857, -46821.3701171875 6615374.51953125 -17.867, -46821.419921875 6615374.43945312 -17.867, -46821.4699707031 6615374.33984375 -17.877, -46821.5200195313 6615374.25 -17.877, -46821.5600585938 6615374.16992188 -17.887, -46821.6101074219 6615374.0703125 -17.897, -46824.1899414063 6615375.41015625 -17.897)</t>
  </si>
  <si>
    <t>POLYGON Z ((-46822.830078125 6615378.02929688 -17.717, -46820.25 6615376.6796875 -17.717, -46820.3000488281 6615376.59960937 -17.727, -46820.3400878906 6615376.5 -17.727, -46820.3798828125 6615376.41992188 -17.737, -46820.4299316406 6615376.33007813 -17.747, -46820.4799804688 6615376.23046875 -17.747, -46820.5300292969 6615376.15039063 -17.757, -46820.580078125 6615376.05078125 -17.757, -46820.6298828125 6615375.97070313 -17.767, -46820.6599121094 6615375.88085938 -17.777, -46820.7099609375 6615375.77929688 -17.777, -46820.7600097656 6615375.69921875 -17.787, -46820.8100585938 6615375.609375 -17.787, -46820.8601074219 6615375.50976563 -17.797, -46820.9099121094 6615375.4296875 -17.807, -46820.9599609375 6615375.33007813 -17.807, -46820.9899902344 6615375.24023438 -17.817, -46821.0400390625 6615375.16015625 -17.817, -46821.0900878906 6615375.06054688 -17.827, -46821.1398925781 6615374.97070313 -17.837, -46821.1899414062 6615374.890625 -17.837, -46821.2399902344 6615374.7890625 -17.847, -46821.2800292969 6615374.7109375 -17.847, -46821.3200683594 6615374.609375 -17.857, -46821.3701171875 6615374.51953125 -17.867, -46821.419921875 6615374.43945312 -17.867, -46821.4699707031 6615374.33984375 -17.877, -46821.5200195313 6615374.25 -17.877, -46821.5600585938 6615374.16992188 -17.887, -46821.6101074219 6615374.0703125 -17.897, -46824.1899414063 6615375.41015625 -17.897, -46822.830078125 6615378.02929688 -17.717))</t>
  </si>
  <si>
    <t>2013-10-14</t>
  </si>
  <si>
    <t>['EV16 S10D1 m8555-8556']</t>
  </si>
  <si>
    <t>LINESTRING Z (30873.5599975586 6752643.54003906 59.152, 30871.8500061035 6752646.02001953 59.152)</t>
  </si>
  <si>
    <t>POLYGON ((30871.438373344507 6752645.736191287, 30872.261638862496 6752646.303847774, 30873.971630317596 6752643.823867303, 30873.148364799606 6752643.256210816, 30871.438373344507 6752645.736191287))</t>
  </si>
  <si>
    <t>['EV16 S10D1 m8907-8908']</t>
  </si>
  <si>
    <t>LINESTRING Z (31173.6300048828 6752828.91003418 63.503, 31175.3300018311 6752826.42004395 63.503)</t>
  </si>
  <si>
    <t>POLYGON ((31175.74293971419 6752826.701970013, 31174.917063948007 6752826.138117887, 31173.21706699971 6752828.628108117, 31174.042942765893 6752829.191960243, 31175.74293971419 6752826.701970013))</t>
  </si>
  <si>
    <t>['EV16 S10D1 m9259-9260']</t>
  </si>
  <si>
    <t>LINESTRING Z (31453.6300048828 6753043.4699707 70.964, 31444.7099914551 6753056.44995117 70.964)</t>
  </si>
  <si>
    <t>POLYGON ((31444.297915320436 6753056.166767026, 31445.122067589764 6753056.733135314, 31454.042081017466 6753043.753154844, 31453.217928748138 6753043.186786557, 31444.297915320436 6753056.166767026))</t>
  </si>
  <si>
    <t>['EV16 S10D1 m9611-9612']</t>
  </si>
  <si>
    <t>LINESTRING Z (31753.7600097656 6753228.61010742 72.155, 31755.4400024414 6753226.12011719 72.155)</t>
  </si>
  <si>
    <t>POLYGON ((31755.854484718544 6753226.399767761, 31755.025520164254 6753225.8404666195, 31753.345527488455 6753228.330456849, 31754.174492042745 6753228.889757991, 31755.854484718544 6753226.399767761))</t>
  </si>
  <si>
    <t>['EV16 S10D1 m9964-9965']</t>
  </si>
  <si>
    <t>LINESTRING Z (32035.6800537109 6753447.69995117 77.056, 32042.1199951172 6753432.82006836 77.056)</t>
  </si>
  <si>
    <t>POLYGON ((32042.57886297529 6753433.018664153, 32041.661127259107 6753432.621472567, 32035.22118585281 6753447.501355377, 32036.138921568992 6753447.898546963, 32042.57886297529 6753433.018664153))</t>
  </si>
  <si>
    <t>2013-12-05</t>
  </si>
  <si>
    <t>[572]</t>
  </si>
  <si>
    <t>['FV572 S1D1 m7064-7065']</t>
  </si>
  <si>
    <t>LINESTRING Z (56439.6599121094 6735894.02001953 9.972, 56439.2199707031 6735893.55004883 9.992)</t>
  </si>
  <si>
    <t>POLYGON ((56439.58499347843 6735893.2083495855, 56438.85494792778 6735893.891748074, 56439.29488933407 6735894.361718775, 56440.02493488472 6735893.678320286, 56439.58499347843 6735893.2083495855))</t>
  </si>
  <si>
    <t>2015-09-09</t>
  </si>
  <si>
    <t>['EV16 S53D1 m3075-3085']</t>
  </si>
  <si>
    <t>LINESTRING Z (259843.685947776 6690116.40164659 -999999, 259846.921979621 6690107.07426068 -999999)</t>
  </si>
  <si>
    <t>POLYGON ((259847.39435792697 6690107.238147031, 259846.44960131502 6690106.910374329, 259843.21356947 6690116.237760239, 259844.15832608196 6690116.56553294, 259847.39435792697 6690107.238147031))</t>
  </si>
  <si>
    <t>['EV16 S53D1 m3385-3405']</t>
  </si>
  <si>
    <t>LINESTRING Z (259943.104808516 6689823.33983465 -999999, 259951.703766849 6689805.61275131 -999999)</t>
  </si>
  <si>
    <t>POLYGON ((259952.15363395793 6689805.83097043, 259951.25389974008 6689805.39453219, 259942.65494140706 6689823.12161553, 259943.5546756249 6689823.55805377, 259952.15363395793 6689805.83097043))</t>
  </si>
  <si>
    <t>2019-09-10</t>
  </si>
  <si>
    <t>['EV16 S47D70 m7893-7927']</t>
  </si>
  <si>
    <t>LINESTRING Z (249356.710259409 6647560.23325741 -999999, 249350.348975743 6647565.00422016 -999999, 249342.624559864 6647570.91112642 -999999, 249333.991389175 6647578.1811649 -999999, 249325.812595891 6647584.31525986 -999999, 249317.860991309 6647591.58529834 -999999, 249310.818141537 6647597.946582 -999999, 249302.866536955 6647605.44380918 -999999, 249295.369309778 6647612.94103636 -999999, 249288.78083741 6647620.43826353 -999999, 249282.192365042 6647627.0267359 -999999, 249275.376703972 6647633.16083086 -999999, 249268.106665498 6647641.79400155 -999999, 249261.063815725 6647648.60966262 -999999, 249256.974419083 6647653.38062537 -999999, 249252.203456334 6647657.92439942 -999999)</t>
  </si>
  <si>
    <t>POLYGON ((249350.04897574298 6647564.604220159, 249350.0452506892 6647564.607041243, 249342.3208348102 6647570.513947504, 249342.30249199097 6647570.528670821, 249333.68010784042 6647577.789625901, 249325.5125958911 6647583.9152598595, 249325.4752112911 6647583.946245454, 249317.52472440296 6647591.215262042, 249310.48299840814 6647597.575530678, 249310.47513510258 6647597.582787297, 249302.5235305206 6647605.080014477, 249302.51298356432 6647605.090255789, 249295.01575638732 6647612.58748297, 249294.99372732895 6647612.610979056, 249288.41589090956 6647620.09610325, 249281.84810925522 6647626.663884906, 249275.04222160627 6647632.789183787, 249274.99424837288 6647632.838762987, 249267.7406330297 6647641.45243121, 249260.71610501126 6647648.25036155, 249260.68418742382 6647648.284266934, 249256.61126290442 6647653.036012207, 249251.8586287477 6647657.562330455, 249252.54828392033 6647658.286468385, 249257.31924666933 6647653.742694335, 249257.3540473842 6647653.7060210565, 249261.42827549356 6647648.952754929, 249268.45437621174 6647642.153302621, 249268.4891210971 6647642.116069423, 249275.73688725708 6647633.509347105, 249282.52684740772 6647627.398382973, 249282.54591843265 6647627.38028929, 249289.13439080067 6647620.79181692, 249289.15641985906 6647620.768320834, 249295.7342562783 6647613.283196641, 249303.21489214836 6647605.802560767, 249311.157255138 6647598.314047089, 249318.19613443784 6647591.956349662, 249318.1983759089 6647591.9543127455, 249326.13204134913 6647584.700675767, 249334.2913891749 6647578.5811649, 249334.31345704803 6647578.563620498, 249342.9376295265 6647571.301159459, 249350.65084481952 6647565.402818353, 249357.01025940903 6647560.6332574105, 249356.410259409 6647559.83325741, 249350.04897574298 6647564.604220159))</t>
  </si>
  <si>
    <t>2019-09-24</t>
  </si>
  <si>
    <t>['EV16 S47D70 m8591-8690']</t>
  </si>
  <si>
    <t>LINESTRING Z (248671.26 6647909.16 -17.214, 248671.53 6647908.74 -17.214, 248672.08 6647907.9 -17.204, 248672.62 6647907.06 -17.194, 248673.16 6647906.22 -17.184, 248673.71 6647905.39 -17.174, 248674.26 6647904.55 -17.164, 248674.81 6647903.71 -17.154, 248675.35 6647902.87 -17.144, 248675.9 6647902.03 -17.134, 248676.44 6647901.19 -17.124, 248676.99 6647900.35 -17.114, 248677.54 6647899.52 -17.104, 248678.09 6647898.68 -17.094, 248678.63 6647897.84 -17.084, 248679.18 6647897.01 -17.074, 248679.72 6647896.17 -17.064, 248680.26 6647895.33 -17.054, 248680.82 6647894.49 -17.034, 248681.36 6647893.65 -17.024, 248681.91 6647892.82 -17.014, 248682.45 6647891.98 -17.004, 248683 6647891.14 -16.994, 248683.55 6647890.3 -16.984, 248684.1 6647889.46 -16.974, 248684.64 6647888.62 -16.964, 248685.19 6647887.78 -16.954, 248685.73 6647886.94 -16.944, 248686.28 6647886.11 -16.934, 248686.83 6647885.27 -16.924, 248687.37 6647884.43 -16.924, 248687.92 6647883.6 -16.914, 248688.46 6647882.76 -16.904, 248689.01 6647881.92 -16.894, 248689.55 6647881.08 -16.884, 248690.11 6647880.25 -16.874, 248690.65 6647879.41 -16.864, 248691.2 6647878.57 -16.854, 248691.74 6647877.73 -16.844, 248692.28 6647876.89 -16.844, 248692.84 6647876.05 -16.834, 248693.38 6647875.21 -16.824, 248693.93 6647874.37 -16.814, 248694.47 6647873.54 -16.814, 248695.02 6647872.7 -16.804, 248695.56 6647871.87 -16.794, 248696.12 6647871.03 -16.784, 248696.66 6647870.19 -16.784, 248697.21 6647869.35 -16.774, 248697.75 6647868.51 -16.764, 248698.3 6647867.68 -16.764, 248698.84 6647866.84 -16.754, 248699.39 6647866 -16.754, 248699.94 6647865.16 -16.744, 248700.48 6647864.32 -16.734, 248701.03 6647863.48 -16.734, 248701.57 6647862.64 -16.724, 248702.13 6647861.8 -16.724, 248702.67 6647860.97 -16.714, 248703.22 6647860.13 -16.714, 248703.76 6647859.29 -16.704, 248704.31 6647858.46 -16.704, 248704.85 6647857.62 -16.704, 248705.4 6647856.78 -16.694, 248705.95 6647855.94 -16.694, 248706.49 6647855.11 -16.684, 248707.04 6647854.27 -16.684, 248707.58 6647853.43 -16.684, 248708.13 6647852.59 -16.674, 248708.68 6647851.75 -16.674, 248709.23 6647850.91 -16.674, 248709.77 6647850.07 -16.674, 248715.24 6647841.7 -16.644, 248720.69 6647833.32 -16.614, 248726.09 6647825.03 -16.584)</t>
  </si>
  <si>
    <t>POLYGON ((248671.94945660225 6647909.012140673, 248672.49830926428 6647908.173892971, 248672.50058923778 6647908.170378796, 248673.0405892378 6647907.330378795, 248673.5787128252 6647906.493297659, 248674.12679609316 6647905.666190182, 248674.12830926428 6647905.66389297, 248674.6783092643 6647904.823892971, 248675.2283092643 6647903.983892971, 248675.23058923768 6647903.980378795, 248675.76945660223 6647903.142140673, 248676.3183092643 6647902.303892971, 248676.32058923767 6647902.300378796, 248676.85945659445 6647901.462140685, 248677.40755585334 6647900.625043634, 248677.95679609315 6647899.796190182, 248677.9583092643 6647899.79389297, 248678.5083092643 6647898.95389297, 248678.51058923767 6647898.950378795, 248679.0487128252 6647898.113297659, 248679.59679609316 6647897.286190182, 248679.60058923767 6647897.280378795, 248680.6783362384 6647895.603883461, 248681.23602514714 6647894.767350098, 248681.24058923768 6647894.760378796, 248681.7787128261 6647893.923297659, 248682.32679609314 6647893.0961901825, 248682.33058923768 6647893.090378796, 248682.86945659446 6647892.252140685, 248683.41830926444 6647891.41389297, 248683.96830926428 6647890.573892971, 248684.5183092643 6647889.733892971, 248684.52058923768 6647889.730378795, 248685.05945660223 6647888.892140673, 248685.6083092643 6647888.053892971, 248685.61058923768 6647888.050378796, 248686.1487128252 6647887.2132976595, 248686.69679609317 6647886.3861901825, 248686.69830926444 6647886.383892971, 248687.24830926443 6647885.54389297, 248687.25058923766 6647885.540378795, 248687.78871282612 6647884.703297658, 248688.33679609315 6647883.876190182, 248688.3405892377 6647883.870378795, 248688.8794566022 6647883.032140672, 248689.4283092643 6647882.193892971, 248689.4305892377 6647882.190378795, 248689.96758720203 6647881.3550486285, 248690.52448222064 6647880.529650655, 248690.53058923766 6647880.520378795, 248691.0694566022 6647879.682140673, 248691.6183092643 6647878.843892971, 248691.6205892377 6647878.840378796, 248692.16058923767 6647878.000378796, 248692.69833624174 6647877.163883456, 248693.25602514713 6647876.327350098, 248693.26058923767 6647876.320378795, 248693.79945660222 6647875.482140672, 248694.3483092643 6647874.643892971, 248694.34910640473 6647874.642671637, 248694.88870875502 6647873.813282839, 248695.43830926428 6647872.973892971, 248695.43910640472 6647872.972671637, 248695.97757889677 6647872.1450194735, 248696.53602514713 6647871.307350098, 248696.54058923767 6647871.300378796, 248697.07945659445 6647870.462140685, 248697.62830926443 6647869.62389297, 248697.63058923767 6647869.620378795, 248698.1687128252 6647868.783297659, 248698.71679609315 6647867.956190182, 248698.72058923767 6647867.950378795, 248699.25945660222 6647867.112140672, 248699.8083092643 6647866.273892971, 248700.3583092643 6647865.433892971, 248700.36058923768 6647865.430378796, 248700.89945660223 6647864.592140673, 248701.4483092643 6647863.753892971, 248701.4505892378 6647863.750378796, 248701.98833624175 6647862.913883456, 248702.54602514714 6647862.077350098, 248702.54910640474 6647862.072671637, 248703.08870875504 6647861.243282839, 248703.6383092643 6647860.403892971, 248703.64058923768 6647860.400378795, 248704.1787128252 6647859.563297659, 248704.72679609316 6647858.736190182, 248704.73058923768 6647858.730378795, 248705.26945660223 6647857.892140673, 248705.8183092643 6647857.053892971, 248706.3683092643 6647856.213892971, 248706.36910640475 6647856.212671638, 248706.90870873234 6647855.383282875, 248707.45830926445 6647854.54389297, 248707.4605892377 6647854.540378795, 248707.9994566022 6647853.702140672, 248708.5483092643 6647852.863892971, 248709.0983092643 6647852.023892971, 248709.6483092643 6647851.183892971, 248709.6505892377 6647851.180378796, 248710.18957377656 6647850.341958402, 248715.65854646123 6647841.973530363, 248715.6591532285 6647841.9725996535, 248721.10905449316 6647833.59275147, 248726.50895604282 6647825.30290261, 248725.67104395718 6647824.7570973905, 248720.27104395718 6647833.0470973905, 248714.82114958327 6647841.426934739, 248709.35145353875 6647849.796469637, 248709.3494107623 6647849.799621205, 248708.8105433978 6647850.637859328, 248708.2616907357 6647851.476107029, 248707.7116907357 6647852.316107029, 248707.1616907357 6647853.156107029, 248707.1594107623 6647853.159621204, 248706.62054340556 6647853.997859315, 248706.07169073555 6647854.83610703, 248706.07089359526 6647854.837328363, 248705.531291245 6647855.666717161, 248704.9816907357 6647856.5061070295, 248704.4316907357 6647857.346107029, 248704.42941076233 6647857.349621205, 248703.8912871748 6647858.186702341, 248703.34320390684 6647859.013809818, 248703.33941076233 6647859.019621205, 248702.80054339778 6647859.857859327, 248702.25169073572 6647860.696107029, 248702.25089359528 6647860.697328363, 248701.71242110324 6647861.524980526, 248701.15397485287 6647862.362649902, 248701.1494107622 6647862.369621204, 248700.6105433913 6647863.207859337, 248700.06169073572 6647864.04610703, 248700.05941076233 6647864.049621205, 248699.52054339778 6647864.887859328, 248698.97169073572 6647865.726107029, 248698.4216907357 6647866.566107029, 248698.41941076232 6647866.569621204, 248697.8812871748 6647867.406702341, 248697.33320390683 6647868.233809818, 248697.32941076232 6647868.239621204, 248696.79054340554 6647869.077859315, 248696.24169073557 6647869.91610703, 248696.23941076233 6647869.919621205, 248695.7016637616 6647870.756116539, 248695.14397485286 6647871.592649902, 248695.14089359526 6647871.597328363, 248694.60129124497 6647872.426717161, 248694.0516907357 6647873.266107029, 248694.05089359527 6647873.267328363, 248693.51129124497 6647874.096717161, 248692.9616907357 6647874.936107029, 248692.95941076233 6647874.9396212045, 248692.4216637616 6647875.776116539, 248691.86397485287 6647876.612649902, 248691.8594107622 6647876.619621204, 248691.3194107622 6647877.459621205, 248690.7805433978 6647878.297859328, 248690.2316907357 6647879.136107029, 248690.22941076232 6647879.139621205, 248689.69241279797 6647879.974951372, 248689.13551777933 6647880.800349345, 248689.1294107623 6647880.809621205, 248688.5905433978 6647881.6478593275, 248688.0416907357 6647882.486107029, 248688.0394107623 6647882.489621204, 248687.5012871739 6647883.326702341, 248686.95320390686 6647884.1538098175, 248686.94941076232 6647884.159621204, 248686.41054340554 6647884.997859315, 248685.86244414907 6647885.834956362, 248685.31320390684 6647886.663809818, 248685.30941076233 6647886.669621205, 248684.77054339778 6647887.507859328, 248684.22169073572 6647888.346107029, 248684.21941076234 6647888.349621205, 248683.6805433978 6647889.1878593275, 248683.1316907357 6647890.026107029, 248682.5816907357 6647890.866107029, 248682.03169073557 6647891.70610703, 248682.02941076233 6647891.709621205, 248681.49128717388 6647892.546702342, 248680.94320390685 6647893.373809818, 248680.9394107623 6647893.379621205, 248680.40166376162 6647894.216116539, 248679.84397485288 6647895.052649902, 248679.83941076233 6647895.059621205, 248678.7612871748 6647896.736702341, 248678.21320390684 6647897.563809818, 248678.20941076233 6647897.569621204, 248677.67054339778 6647898.407859327, 248677.12244415894 6647899.244956346, 248676.57320390685 6647900.073809817, 248676.57169073555 6647900.076107029, 248676.02169073556 6647900.91610703, 248676.01941076232 6647900.919621205, 248675.48054339777 6647901.757859328, 248674.9316907357 6647902.596107029, 248674.92941076233 6647902.599621205, 248674.39054339778 6647903.4378593275, 248673.84169073572 6647904.276107029, 248673.29244416134 6647905.114956343, 248672.74320390684 6647905.943809818, 248672.73941076233 6647905.949621204, 248672.19941076232 6647906.789621204, 248671.66054339128 6647907.627859337, 248671.1116907357 6647908.4661070295, 248671.10941076232 6647908.469621205, 248670.83941076233 6647908.889621205, 248671.6805892377 6647909.430378796, 248671.94945660225 6647909.012140673))</t>
  </si>
  <si>
    <t>['EV16 S47D70 m6545-6646']</t>
  </si>
  <si>
    <t>LINESTRING Z (248657.98 6647893.75 -17.724, 248657.72 6647894.12 -17.724, 248657.18 6647894.96 -17.734, 248656.62 6647895.8 -17.734, 248656.08 6647896.63 -17.744, 248655.52 6647897.47 -17.744, 248654.98 6647898.31 -17.754, 248654.42 6647899.14 -17.754, 248653.88 6647899.98 -17.764, 248653.33 6647900.81 -17.764, 248652.78 6647901.65 -17.774, 248652.68 6647901.8 -17.774, 248652.4 6647902.23 -17.774, 248652.24 6647902.49 -17.774, 248651.68 6647903.32 -17.784, 248651.14 6647904.16 -17.784, 248650.58 6647905 -17.794, 248650.04 6647905.83 -17.794, 248649.48 6647906.67 -17.804, 248648.94 6647907.51 -17.804, 248648.38 6647908.34 -17.814, 248647.84 6647909.18 -17.814, 248647.28 6647910.01 -17.824, 248646.74 6647910.85 -17.824, 248646.18 6647911.68 -17.834, 248645.64 6647912.51 -17.834, 248645.08 6647913.35 -17.844, 248644.54 6647914.19 -17.844, 248643.98 6647915.02 -17.854, 248643.44 6647915.86 -17.854, 248642.9 6647916.7 -17.864, 248642.34 6647917.53 -17.864, 248641.8 6647918.37 -17.874, 248641.6 6647918.68 -17.874, 248641.41 6647918.95 -17.874, 248641.24 6647919.21 -17.874, 248640.7 6647920.04 -17.884, 248640.14 6647920.88 -17.884, 248639.6 6647921.71 -17.894, 248639.04 6647922.55 -17.894, 248638.5 6647923.39 -17.904, 248638.11 6647923.98 -17.904, 248637.94 6647924.22 -17.904, 248637.4 6647925.06 -17.914, 248637.16 6647925.42 -17.914, 248637.11 6647925.5 -17.914, 248637.08 6647925.54 -17.914, 248637.05 6647925.58 -17.914, 248637 6647925.67 -17.914, 248636.93 6647925.75 -17.914, 248636.84 6647925.9 -17.914, 248636.66 6647926.18 -17.924, 248636.62 6647926.24 -17.924, 248636.3 6647926.73 -17.924, 248635.74 6647927.57 -17.924, 248635.2 6647928.41 -17.934, 248634.64 6647929.24 -17.934, 248634.56 6647929.36 -17.934, 248634.11 6647930.05 -17.944, 248634.09 6647930.1 -17.944, 248634.05 6647930.16 -17.944, 248633.99 6647930.24 -17.944, 248633.56 6647930.89 -17.944, 248633.2 6647931.44 -17.954, 248633 6647931.74 -17.954, 248632.45 6647932.58 -17.954, 248632.12 6647933.09 -17.954, 248631.92 6647933.39 -17.954, 248631.89 6647933.43 -17.964, 248631.86 6647933.48 -17.964, 248631.81 6647933.56 -17.964, 248631.36 6647934.23 -17.964, 248631.15 6647934.57 -17.964, 248631.12 6647934.61 -17.964, 248630.81 6647935.07 -17.964, 248630.26 6647935.92 -17.974, 248629.7 6647936.76 -17.974, 248629.16 6647937.6 -17.974, 248628.6 6647938.43 -17.984, 248628.06 6647939.27 -17.984, 248627.5 6647940.11 -17.984, 248626.97 6647940.93 -17.994, 248626.4 6647941.78 -17.994, 248626.37 6647941.84 -17.994, 248626.31 6647941.93 -17.994, 248626.27 6647941.99 -17.994, 248626.24 6647942.04 -17.994, 248626.15 6647942.18 -17.994, 248625.86 6647942.62 -17.994, 248625.3 6647943.45 -18.004, 248624.76 6647944.29 -18.004, 248624.62 6647944.49 -18.004, 248624.4 6647944.83 -18.004, 248624.29 6647945 -18.004, 248624.2 6647945.12 -18.004, 248624.18 6647945.17 -18.004, 248624.15 6647945.21 -18.004, 248624.12 6647945.25 -18.004, 248624.07 6647945.34 -18.004, 248623.87 6647945.64 -18.004, 248623.66 6647945.96 -18.004, 248623.22 6647946.64 -18.014, 248623.19 6647946.68 -18.014, 248623.15 6647946.73 -18.014, 248623.12 6647946.79 -18.014, 248622.82 6647947.24 -18.014, 248622.71 6647947.4 -18.014, 248622.65 6647947.49 -18.014, 248622.6 6647947.57 -18.014, 248622.57 6647947.61 -18.014, 248622.54 6647947.66 -18.014, 248622.49 6647947.74 -18.014, 248622.01 6647948.47 -18.014, 248621.95 6647948.55 -18.014, 248621.46 6647949.3 -18.014, 248621.03 6647949.96 -18.014, 248620.92 6647950.13 -18.014, 248620.76 6647950.37 -18.014, 248620.53 6647950.72 -18.024, 248620.43 6647950.87 -18.024, 248620.36 6647950.97 -18.024, 248620.32 6647951.04 -18.024, 248620.26 6647951.13 -18.024, 248619.82 6647951.81 -18.024, 248619.26 6647952.64 -18.024, 248618.72 6647953.48 -18.024, 248618.16 6647954.32 -18.024, 248617.62 6647955.15 -18.024, 248617.06 6647955.99 -18.024, 248616.52 6647956.82 -18.024, 248615.96 6647957.66 -18.034, 248615.56 6647958.28 -18.034, 248615.42 6647958.5 -18.034, 248614.86 6647959.33 -18.034, 248614.76 6647959.5 -18.034, 248614.41 6647960.03 -18.034, 248614.32 6647960.17 -18.034, 248613.77 6647961.01 -18.034, 248613.72 6647961.08 -18.034, 248613.4 6647961.56 -18.034, 248613.37 6647961.6 -18.034, 248613.29 6647961.72 -18.034, 248613.24 6647961.81 -18.034, 248612.67 6647962.68 -18.034, 248612.12 6647963.52 -18.034, 248611.57 6647964.35 -18.034, 248611.02 6647965.19 -18.034, 248610.49 6647966 -18.034, 248610.12 6647966.56 -18.034, 248609.92 6647966.86 -18.034, 248609.38 6647967.69 -18.034, 248608.82 6647968.52 -18.034, 248608.28 6647969.36 -18.034, 248607.72 6647970.2 -18.034, 248607.18 6647971.03 -18.024, 248606.62 6647971.87 -18.024, 248606.36 6647972.27 -18.024, 248606.3 6647972.37 -18.024, 248606.27 6647972.41 -18.024, 248606.24 6647972.45 -18.024, 248606.19 6647972.53 -18.024, 248606.13 6647972.62 -18.024, 248606.08 6647972.7 -18.024, 248605.97 6647972.87 -18.024, 248605.86 6647973.04 -18.024, 248605.54 6647973.52 -18.024, 248604.98 6647974.38 -18.024, 248604.88 6647974.52 -18.024, 248604.84 6647974.59 -18.024, 248604.79 6647974.67 -18.024, 248604.76 6647974.72 -18.024, 248604.44 6647975.19 -18.024, 248603.89 6647976.04 -18.024, 248603.82 6647976.14 -18.024, 248603.33 6647976.89 -18.024, 248602.96 6647977.45 -18.014, 248602.79 6647977.71 -18.014, 248602.23 6647978.56 -18.014, 248601.95 6647978.98 -18.014)</t>
  </si>
  <si>
    <t>POLYGON ((248623.7418066503 6647944.920924466, 248623.71999999986 6647944.95, 248623.68292136208 6647945.007178534, 248623.64274934708 6647945.079488161, 248623.45397485292 6647945.362649902, 248623.45197604445 6647945.365671779, 248623.24197604446 6647945.685671779, 248623.24021492148 6647945.688374361, 248622.8096164157 6647946.353844779, 248622.79468635615 6647946.373751525, 248622.75956559303 6647946.417652479, 248622.7288322511 6647946.460523235, 248622.7027864051 6647946.506393202, 248622.68670766064 6647946.538550691, 248622.40595583356 6647946.959678431, 248622.2979790378 6647947.116735589, 248622.29397485303 6647947.122649902, 248622.23397485304 6647947.212649901, 248622.22600084785 6647947.2250005305, 248622.18725707545 6647947.286990566, 248622.16999999987 6647947.3100000005, 248622.14125353756 6647947.352752122, 248622.1135919609 6647947.398854749, 248622.0690556588 6647947.470112833, 248621.60071989676 6647948.182373471, 248621.54999999987 6647948.25, 248621.53141690002 6647948.276525708, 248621.0414169 6647949.026525708, 248621.04106847083 6647949.027059761, 248620.61106847084 6647949.687059761, 248620.61021492147 6647949.688374361, 248620.50207528725 6647949.85549925, 248620.34397485273 6647950.092649902, 248620.3421472603 6647950.095411057, 248620.1130565001 6647950.44402743, 248620.0171261532 6647950.587922951, 248619.95038404025 6647950.683268826, 248619.92587842842 6647950.721930532, 248619.89442240406 6647950.776978575, 248619.84397485305 6647950.852649901, 248619.84021492148 6647950.858374361, 248619.40282775328 6647951.534336348, 248618.84551777935 6647952.360349345, 248618.83941076222 6647952.369621204, 248618.30166375826 6647953.206116544, 248617.74397485287 6647954.042649902, 248617.74089359527 6647954.047328363, 248617.20242110323 6647954.874980527, 248616.64397485286 6647955.712649902, 248616.64089359526 6647955.717328363, 248616.10242110322 6647956.544980527, 248615.54397485286 6647957.382649902, 248615.53985167586 6647957.388936565, 248615.13985167586 6647958.008936565, 248615.13816925627 6647958.011562254, 248615.00176834996 6647958.225906535, 248614.44551777936 6647959.050349345, 248614.42903289243 6647959.076489937, 248614.33561444696 6647959.235301293, 248613.99276769508 6647959.754469233, 248613.98941076262 6647959.759621204, 248613.900543381 6647959.897859353, 248613.3572424804 6647960.727628001, 248613.3131332638 6647960.789380904, 248613.30397485296 6647960.802649902, 248612.99167308921 6647961.271102548, 248612.96999999986 6647961.3, 248612.9539748527 6647961.322649902, 248612.8739748527 6647961.442649902, 248612.85292136215 6647961.477178534, 248612.81177664612 6647961.551239022, 248612.2517694352 6647962.405986871, 248611.70244416135 6647963.2449563425, 248611.15320390684 6647964.073809817, 248611.15169073557 6647964.076107029, 248610.60169073555 6647964.91610703, 248610.07221721573 6647965.725302366, 248609.70340184032 6647966.28350942, 248609.5039748525 6647966.582649902, 248609.50089359528 6647966.587328363, 248608.96317645858 6647967.413819518, 248608.4055177795 6647968.240349345, 248608.3994107622 6647968.249621204, 248607.86166375826 6647969.086116544, 248607.30397485287 6647969.922649902, 248607.30089359527 6647969.927328363, 248606.76242110322 6647970.754980527, 248606.20397485286 6647971.592649902, 248606.20077819203 6647971.597505825, 248605.94077819202 6647971.997505824, 248605.9312535365 6647972.012752123, 248605.88452405293 6647972.0906345965, 248605.83999999985 6647972.15, 248605.81600084784 6647972.18500053, 248605.7698970609 6647972.25876659, 248605.71397485305 6647972.342649901, 248605.70600084795 6647972.35500053, 248605.65808186648 6647972.4316709, 248605.55021492147 6647972.598374361, 248605.44207528065 6647972.76549926, 248605.12397485296 6647973.242649902, 248605.12100095762 6647973.247163414, 248604.56687566818 6647974.098141537, 248604.47313326475 6647974.229380902, 248604.44587842852 6647974.271930531, 248604.41077262769 6647974.3333656825, 248604.36600084786 6647974.40500053, 248604.36125353756 6647974.412752122, 248604.33863071405 6647974.450456827, 248604.02670037604 6647974.908604512, 248604.02021492147 6647974.9183743615, 248603.4751619304 6647975.760728984, 248603.41038404027 6647975.853268826, 248603.40141690001 6647975.866525708, 248602.91212187085 6647976.615446671, 248602.54283233953 6647977.174371367, 248602.5415151931 6647977.176375318, 248602.37199107892 6647977.435647492, 248601.81321916863 6647978.283783427, 248601.5339748526 6647978.702649903, 248602.36602514744 6647979.257350098, 248602.64602514743 6647978.8373500975, 248602.64753039193 6647978.835078846, 248603.20753039193 6647977.985078846, 248603.2084848069 6647977.983624682, 248603.37782863 6647977.724628246, 248603.74716766045 6647977.1656286325, 248603.74858309998 6647977.163474292, 248604.23420562572 6647976.420174507, 248604.29961595975 6647976.326731173, 248604.30978507854 6647976.311625639, 248604.85659963387 6647975.466548599, 248605.17329962397 6647975.001395488, 248605.18874646246 6647974.977247878, 248605.21640803706 6647974.931145254, 248605.26399915214 6647974.85499947, 248605.27412157148 6647974.838069469, 248605.3015705486 6647974.790033759, 248605.38686673527 6647974.670619098, 248605.3989990424 6647974.652836585, 248605.95752430064 6647973.795101367, 248606.27602514703 6647973.317350098, 248606.27978507848 6647973.311625639, 248606.3897850785 6647973.141625639, 248606.49978507851 6647972.971625639, 248606.50399915205 6647972.96499947, 248606.55010293768 6647972.891233413, 248606.60602514696 6647972.807350099, 248606.61399915215 6647972.79499947, 248606.65274292455 6647972.733009434, 248606.70000000013 6647972.67, 248606.7287464635 6647972.6272478765, 248606.78412119712 6647972.534956654, 248607.0376375975 6647972.144931423, 248607.59602514713 6647971.307350098, 248607.59910640473 6647971.302671637, 248608.13757889677 6647970.475019474, 248608.69602514713 6647969.637350098, 248608.7005892378 6647969.630378796, 248609.23758720743 6647968.79504862, 248609.79448222052 6647967.969650655, 248609.79910640474 6647967.962671638, 248610.33757888165 6647967.135019497, 248610.5360251475 6647966.8373500975, 248610.53716766022 6647966.835628632, 248610.90716766022 6647966.275628633, 248610.90839378786 6647966.273763836, 248611.43835097417 6647965.463829269, 248611.98755585094 6647964.625043638, 248612.53679609316 6647963.796190182, 248612.5383092643 6647963.79389297, 248613.08826952506 6647962.953953663, 248613.6582305648 6647962.084013129, 248613.67707863785 6647962.052821466, 248613.7172506515 6647961.980511841, 248613.77832691328 6647961.888897449, 248613.80000000013 6647961.859999999, 248613.81602514704 6647961.8373500975, 248614.13155291998 6647961.364058439, 248614.1768667362 6647961.300619096, 248614.18830926428 6647961.2838929705, 248614.7383092643 6647960.443892971, 248614.7405892374 6647960.440378796, 248614.82892660965 6647960.302965106, 248615.17723230494 6647959.775530768, 248615.19096710757 6647959.7535100635, 248615.28312878884 6647959.596835205, 248615.83448222064 6647958.779650655, 248615.84183074374 6647958.768437746, 248615.98099361165 6647958.549753239, 248616.3781103741 6647957.934222258, 248616.93602514712 6647957.097350098, 248616.93910640472 6647957.092671637, 248617.47757889677 6647956.265019474, 248618.03602514713 6647955.427350098, 248618.03910640473 6647955.4226716375, 248618.57757889677 6647954.595019474, 248619.13602514713 6647953.757350098, 248619.1405892378 6647953.750378796, 248619.67758720458 6647952.915048624, 248620.23448222067 6647952.089650654, 248620.23978507853 6647952.0816256385, 248620.6779247027 6647951.404500765, 248620.73602514697 6647951.317350099, 248620.75412157158 6647951.288069468, 248620.78275454094 6647951.237961771, 248620.83961595973 6647951.156731173, 248620.84602514748 6647951.147350098, 248620.94602514748 6647950.997350098, 248620.94785273972 6647950.994588943, 248621.17694351388 6647950.645972548, 248621.3360251473 6647950.407350098, 248621.33978507854 6647950.401625639, 248621.44935928704 6647950.232283681, 248621.8787575818 6647949.5732072275, 248622.35972132446 6647948.837038234, 248622.41000000015 6647948.77, 248622.42777767938 6647948.744703132, 248622.90777767936 6647948.014703132, 248622.91399915205 6647948.00499947, 248622.96399915207 6647947.92499947, 248622.96874646246 6647947.917247878, 248622.9854759468 6647947.889365405, 248623.00000000015 6647947.87, 248623.02399915215 6647947.83499947, 248623.0701029391 6647947.761233411, 248623.12404417814 6647947.680321553, 248623.2320209622 6647947.523264412, 248623.23602514723 6647947.517350098, 248623.53602514722 6647947.067350098, 248623.56721359488 6647947.013606799, 248623.57352461212 6647947.000984765, 248623.58043440696 6647946.992347521, 248623.59000000014 6647946.9799999995, 248623.62000000014 6647946.9399999995, 248623.63978507853 6647946.911625639, 248624.07890886234 6647946.232979791, 248624.28703004416 6647945.915842752, 248624.48602514708 6647945.617350098, 248624.50707863792 6647945.582821466, 248624.54049217372 6647945.522677102, 248624.58000000013 6647945.47, 248624.60472975697 6647945.433826901, 248624.62619749762 6647945.395627554, 248624.6381933497 6647945.369075534, 248624.69000000015 6647945.3, 248624.70978507854 6647945.271625639, 248624.81978507852 6647945.101625639, 248625.03483807005 6647944.769271016, 248625.1696159604 6647944.576731172, 248625.1805892377 6647944.5603787955, 248625.71758720203 6647943.725048629, 248626.27448222064 6647942.899650655, 248626.2774791024 6647942.895156681, 248626.5674791024 6647942.45515668, 248626.57058923738 6647942.450378796, 248626.66058923738 6647942.310378796, 248626.66874646244 6647942.297247878, 248626.6926249836 6647942.257450343, 248626.72602514827 6647942.207350096, 248626.78602514695 6647942.117350099, 248626.81721359488 6647942.063606799, 248626.83298814922 6647942.03205769, 248627.38527199606 6647941.208476515, 248627.3899224176 6647941.20141327, 248627.917994871 6647940.384395513, 248628.47602514728 6647939.547350097, 248628.48058923768 6647939.540378795, 248629.01758720202 6647938.705048628, 248629.57448222066 6647937.879650654, 248629.58058923768 6647937.870378795, 248630.1183362384 6647937.033883461, 248630.67602514714 6647936.197350098, 248630.67978507854 6647936.191625639, 248631.22724560776 6647935.345550276, 248631.5275763929 6647934.8998981435, 248631.55000000013 6647934.87, 248631.57539899863 6647934.832746441, 248631.7803872022 6647934.500860778, 248632.22506960342 6647933.838778091, 248632.23399915075 6647933.824999471, 248632.28399915074 6647933.744999472, 248632.28874646442 6647933.737247876, 248632.30547594948 6647933.7093654005, 248632.32000000015 6647933.6899999995, 248632.33602514712 6647933.667350098, 248632.5360251471 6647933.367350098, 248632.53978507852 6647933.361625639, 248632.86905022437 6647932.852761323, 248633.41717438278 6647932.015626244, 248633.6160251471 6647931.717350098, 248633.61835075862 6647931.713829587, 248633.97768261863 6647931.164850356, 248634.3988611559 6647930.528185125, 248634.45000000013 6647930.46, 248634.46602514826 6647930.437350096, 248634.50602514826 6647930.377350096, 248634.53251113338 6647930.332774347, 248634.55423834524 6647930.285695339, 248634.55585088325 6647930.281663993, 248634.9774258802 6647929.635248999, 248635.05525687645 6647929.518502505, 248635.61448222067 6647928.689650655, 248635.6205892377 6647928.680378796, 248636.15833623838 6647927.843883461, 248636.71602514712 6647927.007350098, 248636.71863525233 6647927.003394451, 248637.03733959273 6647926.51537843, 248637.07602514827 6647926.457350096, 248637.0805892374 6647926.450378796, 248637.26058923738 6647926.170378797, 248637.26874646315 6647926.157247878, 248637.3357375383 6647926.0455960855, 248637.3762883475 6647925.9992523035, 248637.40897314783 6647925.957647292, 248637.43707863791 6647925.912821466, 248637.4704921737 6647925.852677102, 248637.51000000013 6647925.8, 248637.53399915204 6647925.76499947, 248637.58010294233 6647925.691233405, 248637.81602514727 6647925.3373500975, 248637.82058923767 6647925.330378795, 248638.35451017306 6647924.499835118, 248638.51801224015 6647924.269008671, 248638.52710958748 6647924.255716507, 248638.9171095875 6647923.665716507, 248638.92058923768 6647923.660378795, 248639.4583362384 6647922.823883461, 248640.01602514714 6647921.987350098, 248640.01910640474 6647921.982671637, 248640.55757889678 6647921.155019473, 248641.11602514714 6647920.317350098, 248641.11910640475 6647920.312671637, 248641.6587961659 6647919.483148485, 248641.82381453272 6647919.230767454, 248642.0089032099 6647918.967746702, 248642.02014832397 6647918.951063435, 248642.22014832395 6647918.641063435, 248642.22058923767 6647918.640378796, 248642.757587202 6647917.805048629, 248643.31448222065 6647916.979650655, 248643.32058923767 6647916.970378796, 248643.86058923768 6647916.130378796, 248644.39758720744 6647915.29504862, 248644.95448222052 6647914.469650655, 248644.9605892378 6647914.460378796, 248645.49833624173 6647913.623883456, 248646.05602514715 6647912.787350098, 248646.05910640475 6647912.782671637, 248646.59682353758 6647911.956180488, 248647.15448222065 6647911.129650654, 248647.16058923767 6647911.120378795, 248647.697587202 6647910.285048628, 248648.25448222065 6647909.459650654, 248648.26058923767 6647909.450378795, 248648.79758720202 6647908.615048628, 248649.35448222066 6647907.789650654, 248649.36058923768 6647907.780378795, 248649.8983362384 6647906.943883461, 248650.45602514714 6647906.107350098, 248650.45910640474 6647906.102671637, 248650.99757889676 6647905.275019473, 248651.55602514715 6647904.437350098, 248651.5605892377 6647904.430378796, 248652.09758720204 6647903.595048629, 248652.65448222065 6647902.769650655, 248652.66582915824 6647902.752048713, 248652.8224829755 6647902.497486261, 248653.09752429536 6647902.075101376, 248653.1960251467 6647901.927350099, 248653.19830926444 6647901.923892971, 248653.74755586535 6647901.085043617, 248654.296796093 6647900.256190183, 248654.3005892378 6647900.250378796, 248654.8375872046 6647899.415048624, 248655.39448222067 6647898.589650654, 248655.4005892377 6647898.580378795, 248655.93833623838 6647897.743883461, 248656.49602514712 6647896.907350098, 248656.49910640472 6647896.902671637, 248657.03757889676 6647896.075019473, 248657.59602514713 6647895.237350098, 248657.60058923767 6647895.230378795, 248658.13501863333 6647894.39904418, 248658.38909584848 6647894.037472758, 248657.57090415154 6647893.462527242, 248657.31090415153 6647893.832527242, 248657.29941076232 6647893.849621205, 248656.7616637616 6647894.686116539, 248656.20397485286 6647895.522649902, 248656.20089359526 6647895.527328363, 248655.66242110322 6647896.3549805265, 248655.10397485286 6647897.192649902, 248655.0994107623 6647897.199621204, 248654.56241279797 6647898.034951371, 248654.00551777935 6647898.860349345, 248653.99941076222 6647898.869621204, 248653.46128716526 6647899.706702356, 248652.913203907 6647900.533809817, 248652.91169073555 6647900.536107029, 248652.36282562252 6647901.374373748, 248652.2639748533 6647901.522649901, 248652.26100095746 6647901.527163414, 248651.98100095746 6647901.957163415, 248651.97417084174 6647901.9679512875, 248651.81965995624 6647902.219031476, 248651.26551777933 6647903.040349346, 248651.25941076232 6647903.049621205, 248650.72166376162 6647903.886116539, 248650.16397485285 6647904.722649902, 248650.16089359525 6647904.727328363, 248649.62242110324 6647905.554980527, 248649.06397485288 6647906.392649902, 248649.05941076233 6647906.3996212045, 248648.522412798 6647907.234951371, 248647.96551777935 6647908.060349345, 248647.95941076233 6647908.069621204, 248647.42241279798 6647908.904951371, 248646.86551777934 6647909.730349345, 248646.85941076232 6647909.739621204, 248646.32241279798 6647910.574951371, 248645.76551777933 6647911.400349345, 248645.76089359526 6647911.407328363, 248645.22242110324 6647912.234980526, 248644.66397485285 6647913.072649902, 248644.6594107622 6647913.079621204, 248644.12241279258 6647913.91495138, 248643.5655177795 6647914.740349345, 248643.55941076222 6647914.749621204, 248643.0194107622 6647915.589621205, 248642.48241279798 6647916.424951372, 248641.92551777934 6647917.250349346, 248641.91941076232 6647917.259621205, 248641.37963093404 6647918.099278715, 248641.18530637052 6647918.400481788, 248641.0010967901 6647918.662253298, 248640.99151519313 6647918.676375318, 248640.82151519312 6647918.936375318, 248640.82089359526 6647918.937328363, 248640.28242110324 6647919.764980527, 248639.72397485288 6647920.602649902, 248639.72089359528 6647920.607328363, 248639.18242110324 6647921.434980527, 248638.62397485288 6647922.272649902, 248638.61941076233 6647922.279621204, 248638.081133593 6647923.116941245, 248637.6973320152 6647923.697564146, 248637.53198775984 6647923.930991329, 248637.51941076232 6647923.949621204, 248636.98166376544 6647924.786116533, 248636.74397485272 6647925.142649902, 248636.73600084794 6647925.15500053, 248636.697257076 6647925.216990565, 248636.64999999985 6647925.28, 248636.61292136207 6647925.337178534, 248636.58872430527 6647925.380733236, 248636.5537116525 6647925.420747696, 248636.52587573574 6647925.455579248, 248636.50125353684 6647925.492752123, 248636.41523064786 6647925.636123605, 248636.2416637497 6647925.906116556, 248636.20397485173 6647925.962649904, 248636.20136474766 6647925.96660555, 248635.8826604129 6647926.454621563, 248635.32397485286 6647927.292649902, 248635.3194107623 6647927.299621205, 248634.78241279797 6647928.134951372, 248634.22551777936 6647928.960349346, 248634.22397485276 6647928.962649902, 248634.14397485275 6647929.082649902, 248634.1411947017 6647929.08686611, 248633.69119470168 6647929.776866109, 248633.6663189275 6647929.819463439, 248633.64576165474 6647929.864304661, 248633.64509661612 6647929.865967257, 248633.64167308874 6647929.871102548, 248633.58999999985 6647929.94, 248633.5729904825 6647929.964132166, 248633.1429904825 6647930.614132165, 248633.14164924138 6647930.616170413, 248632.78280461754 6647931.164405256, 248632.58397485293 6647931.462649902, 248632.5816907357 6647931.4661070295, 248632.03169073572 6647932.306107029, 248632.03021492148 6647932.308374361, 248631.70207528156 6647932.815499259, 248631.51167308868 6647933.101102548, 248631.48999999987 6647933.13, 248631.46125353558 6647933.172752124, 248631.43359194943 6647933.218854768, 248631.39035249082 6647933.288037902, 248630.94493039657 6647933.951221909, 248630.93460100135 6647933.96725356, 248630.7364598002 6647934.2880536, 248630.71999999986 6647934.3100000005, 248630.70536678622 6647934.330573269, 248630.39536678622 6647934.790573269, 248630.39021492147 6647934.798374361, 248629.8420752825 6647935.645499257, 248629.28397485288 6647936.482649902, 248629.27941076233 6647936.489621204, 248628.742412798 6647937.324951371, 248628.18551777935 6647938.150349345, 248628.17941076233 6647938.159621204, 248627.64166376545 6647938.996116533, 248627.08397485272 6647939.832649902, 248627.0800775824 6647939.83858673, 248626.55237292222 6647940.655035449, 248625.98472800394 6647941.501523485, 248625.9527864051 6647941.556393201, 248625.93670766184 6647941.588550688, 248625.89397485304 6647941.652649901, 248625.85397485172 6647941.712649904, 248625.84125353754 6647941.732752122, 248625.8152306503 6647941.7761236, 248625.73095219303 6647941.907223423, 248625.4440072069 6647942.34258823, 248624.88551777933 6647943.170349346, 248624.8794107623 6647943.179621205, 248624.34473636077 6647944.01133694, 248624.21038403962 6647944.203268828, 248624.20021492147 6647944.218374361, 248623.98021492147 6647944.558374361, 248623.87961641568 6647944.713844779, 248623.79999999987 6647944.82, 248623.77527024303 6647944.856173099, 248623.75380250238 6647944.894372446, 248623.7418066503 6647944.920924466))</t>
  </si>
  <si>
    <t>['EV16 S47D70 m8210-8461']</t>
  </si>
  <si>
    <t>LINESTRING Z (249065.43 6647647.63 15.266, 249065.09 6647647.42 15.266, 249062.61 6647645.91 15.126, 249060.15 6647644.4 14.956, 249058.43 6647643.4 14.806, 249056.69 6647642.47 14.646, 249054.91 6647641.62 14.456, 249053.1 6647640.83 14.256, 249051.27 6647640.11 14.056, 249049.4 6647639.47 13.856, 249047.51 6647638.9 13.656, 249045.6 6647638.4 13.456, 249043.67 6647637.99 13.256, 249041.73 6647637.64 13.046, 249039.77 6647637.38 12.846, 249037.81 6647637.2 12.646, 249035.83 6647637.08 12.446, 249033.86 6647637.06 12.246, 249031.88 6647637.1 12.036, 249029.92 6647637.22 11.836, 249027.96 6647637.43 11.636, 249026 6647637.71 11.436, 249024.06 6647638.06 11.236, 249022.13 6647638.5 11.026, 249020.22 6647639.01 10.826, 249018.34 6647639.59 10.626, 249016.48 6647640.24 10.426, 249014.64 6647640.97 10.226, 249012.84 6647641.78 10.026, 249011.06 6647642.65 9.816, 249009.33 6647643.59 9.616, 249007.64 6647644.6 9.416, 249005.98 6647645.67 9.216, 249004.37 6647646.81 9.016, 249002.81 6647648.01 8.806, 249001.29 6647649.28 8.606, 248999.82 6647650.6 8.406, 248998.41 6647651.98 8.206, 248997.05 6647653.42 8.006, 248909.88 6647749.24 -5.244, 248908.53 6647750.68 -5.444, 248907.11 6647752.06 -5.644, 248905.64 6647753.38 -5.844, 248904.12 6647754.65 -6.054, 248902.56 6647755.85 -6.254, 248900.94 6647756.99 -6.454, 248899.28 6647758.07 -6.654, 248897.59 6647759.08 -6.854, 248895.85 6647760.02 -7.064, 248894.08 6647760.89 -7.264, 248892.27 6647761.69 -7.464, 248890.43 6647762.42 -7.664, 248888.57 6647763.08 -7.864, 248886.68 6647763.66 -8.074, 248884.77 6647764.17 -8.274, 248882.84 6647764.6 -8.474, 248880.9 6647764.95 -8.674, 248878.94 6647765.24 -8.874, 248876.97 6647765.43 -9.084, 248875.01 6647765.56 -9.284, 248873.02 6647765.6 -9.484, 248871.06 6647765.56 -9.684, 248869.08 6647765.46 -9.894, 248867.11 6647765.27 -10.094, 248865.15 6647765 -10.294, 248863.2 6647764.65 -10.494, 248861.28 6647764.23 -10.694, 248859.36 6647763.74 -10.904, 248857.47 6647763.17 -11.094, 248855.61 6647762.52 -11.264, 248853.76 6647761.81 -11.434, 248851.95 6647761.01 -11.574, 248850.17 6647760.15 -11.704, 248848.43 6647759.22 -11.814, 248846.72 6647758.22 -11.914, 248845.06 6647757.16 -12.004, 248843.44 6647756.02 -12.064, 248841.87 6647754.83 -12.124, 248840.34 6647753.57 -12.184, 248838.87 6647752.25 -12.244, 248837.8 6647751.23 -12.284)</t>
  </si>
  <si>
    <t>POLYGON ((249065.35274644033 6647646.994601001, 249065.35002810153 6647646.992933978, 249062.87079748718 6647645.483402435, 249060.41156530657 6647643.973873739, 249060.40131022868 6647643.967746407, 249058.68131022868 6647642.967746407, 249058.66568863572 6647642.959034166, 249056.92568863573 6647642.029034166, 249056.90545863064 6647642.018804279, 249055.12545863065 6647641.1688042795, 249055.1100108966 6647641.161747186, 249053.3000108966 6647640.371747186, 249053.28306215437 6647640.364717024, 249051.45306215435 6647639.644717025, 249051.4319034355 6647639.636938401, 249049.5619034355 6647638.9969384, 249049.5443708976 6647638.991296496, 249047.65437089762 6647638.421296497, 249047.63662326877 6647638.416299114, 249045.72662326877 6647637.916299114, 249045.7038990698 6647637.910914135, 249043.7738990698 6647637.500914135, 249043.7587730341 6647637.497943755, 249041.8187730341 6647637.147943755, 249041.79575055256 6647637.144341988, 249039.83575055253 6647636.884341988, 249039.81572594613 6647636.882095252, 249037.85572594614 6647636.702095252, 249037.84024753023 6647636.700915752, 249035.86024753022 6647636.580915752, 249035.83507588066 6647636.580025765, 249033.86507588066 6647636.560025765, 249033.84990105047 6647636.560101999, 249031.8699010505 6647636.600101999, 249031.84944496833 6647636.600934483, 249029.88944496834 6647636.720934483, 249029.86673343822 6647636.722845423, 249027.9067334382 6647636.932845423, 249027.8892893218 6647636.935025253, 249025.92928932182 6647637.215025254, 249025.91122696616 6647637.217943755, 249023.97122696615 6647637.567943755, 249023.9488619543 6647637.572508118, 249022.0188619543 6647638.0125081185, 249022.00101126308 6647638.016924534, 249020.09101126308 6647638.526924534, 249020.0725999497 6647638.532220527, 249018.1925999497 6647639.112220527, 249018.17505088032 6647639.11799175, 249016.31505088034 6647639.7679917505, 249016.29561187903 6647639.7752409, 249014.45561187904 6647640.5052408995, 249014.43481766124 6647640.514039247, 249012.63481766122 6647641.324039248, 249012.6204401983 6647641.330785694, 249010.8404401983 6647642.200785694, 249010.8212859596 6647642.210664585, 249009.09128595958 6647643.150664585, 249009.07349945663 6647643.160806022, 249007.38349945666 6647644.170806021, 249007.36910958347 6647644.179740101, 249005.70910958346 6647645.249740101, 249005.69106165666 6647645.2619379535, 249004.08106165665 6647646.401937953, 249004.06514461953 6647646.413688005, 249002.50514461953 6647647.613688005, 249002.48941148023 6647647.626303504, 249000.96941148024 6647648.896303505, 249000.9559373133 6647648.907975645, 248999.4859373133 6647650.227975644, 248999.4702684761 6647650.242665617, 248998.0602684761 6647651.622665618, 248998.04649342378 6647651.636688234, 248996.68649342377 6647653.076688234, 248996.68014700446 6647653.083534903, 248909.51266858858 6647748.900763099, 248908.1731890531 6647750.32954127, 248906.7686024606 6647751.694562042, 248905.3125703403 6647753.002019457, 248903.80715082525 6647754.259837078, 248902.26356519226 6647755.447210642, 248900.65969794217 6647756.575857966, 248899.01531776087 6647757.645695674, 248897.34280715106 6647758.645243435, 248895.62080914498 6647759.57551822, 248893.86856731412 6647760.436789628, 248892.0766688568 6647761.228788947, 248890.254144213 6647761.951855789, 248888.41298048792 6647762.60517195, 248886.54211517272 6647763.17929993, 248884.6510874439 6647763.684234035, 248882.74120603796 6647764.109751654, 248880.81900182716 6647764.456541074, 248878.8793692448 6647764.743527528, 248876.92944531204 6647764.9315912565, 248874.98841914305 6647765.060332788, 248873.0200768864 6647765.099897456, 248871.0777151915 6647765.060257422, 248869.11662961016 6647764.9612126965, 248867.16814100958 6647764.773287399, 248865.22831505552 6647764.506066477, 248863.2976250162 6647764.159532368, 248861.39527918212 6647763.7433942165, 248859.49406813105 6647763.258189313, 248857.6247324572 6647762.6944214115, 248855.78208959053 6647762.050487076, 248853.9507590837 6647761.347652124, 248852.1598838413 6647760.556105056, 248850.39669653695 6647759.7042280445, 248848.67413699577 6647758.783549668, 248846.980850121 6647757.793323426, 248845.338561084 6647756.744632836, 248843.73497889072 6647755.6161861075, 248842.18006626645 6647754.437621762, 248840.6661072051 6647753.190831947, 248839.20960493336 6647751.882952356, 248838.1449964634 6647750.868091946, 248837.45500353657 6647751.591908055, 248838.52500353658 6647752.611908055, 248838.53593731314 6647752.622024355, 248840.00593731314 6647753.942024356, 248840.0221463736 6647753.9559651185, 248841.5521463736 6647755.215965118, 248841.5679734344 6647755.228472024, 248843.1379734344 6647756.418472024, 248843.1522532968 6647756.428903209, 248844.7722532968 6647757.56890321, 248844.79090552317 6647757.581412106, 248846.45090552318 6647758.641412105, 248846.4675938275 6647758.651614555, 248848.17759382748 6647759.651614555, 248848.19431136426 6647759.660965834, 248849.93431136428 6647760.590965834, 248849.95248401523 6647760.600207504, 248851.73248401523 6647761.460207503, 248851.74786891622 6647761.467321577, 248853.55786891622 6647762.267321576, 248853.5808486761 6647762.276802745, 248855.43084867607 6647762.986802745, 248855.4450508803 6647762.992008249, 248857.30505088033 6647763.64200825, 248857.32562910218 6647763.648703503, 248859.21562910217 6647764.218703504, 248859.23635877942 6647764.224471722, 248861.15635877944 6647764.714471722, 248861.17315156062 6647764.718450009, 248863.09315156064 6647765.138450009, 248863.1116679687 6647765.142135604, 248865.0616679687 6647765.492135604, 248865.08176681888 6647765.495322352, 248867.04176681887 6647765.765322352, 248867.06199938292 6647765.767690607, 248869.03199938292 6647765.957690608, 248869.0547796199 6647765.959363528, 248871.03477961992 6647766.059363527, 248871.04979804266 6647766.059895908, 248873.00979804265 6647766.0998959085, 248873.03004822155 6647766.099899023, 248875.02004822157 6647766.059899023, 248875.04309055902 6647766.058903812, 248877.003090559 6647765.928903813, 248877.01800061684 6647765.9276906075, 248878.98800061684 6647765.737690608, 248879.0131828719 6647765.734615272, 248880.97318287188 6647765.444615272, 248880.98877303407 6647765.442056245, 248882.92877303407 6647765.092056245, 248882.9487329544 6647765.088033958, 248884.87873295438 6647764.658033959, 248884.8989887369 6647764.653075466, 248886.8089887369 6647764.143075466, 248886.82668744354 6647764.137998738, 248888.71668744355 6647763.557998738, 248888.73720492263 6647763.551213873, 248890.5972049226 6647762.8912138725, 248890.61438812097 6647762.8847591, 248892.45438812097 6647762.154759101, 248892.47213108398 6647762.147321577, 248894.28213108398 6647761.347321576, 248894.30055942506 6647761.338724347, 248896.07055942508 6647760.468724347, 248896.08765275084 6647760.45991041, 248897.82765275083 6647759.519910411, 248897.84650054335 6647759.509193978, 248899.53650054336 6647758.4991939785, 248899.55267163683 6647758.489106405, 248901.21267163684 6647757.4091064045, 248901.2277467032 6647757.39890321, 248902.8477467032 6647756.258903209, 248902.8648553803 6647756.246311994, 248904.4248553803 6647755.046311995, 248904.44058851976 6647755.033696496, 248905.96058851978 6647753.763696495, 248905.97406268687 6647753.752024355, 248907.44406268685 6647752.432024355, 248907.4584670718 6647752.418567566, 248908.8784670718 6647751.038567566, 248908.894768602 6647751.0219705645, 248910.24476860202 6647749.581970565, 248910.24985299553 6647749.576465097, 248997.41671174904 6647653.759918054, 248998.76675689188 6647652.330458491, 249000.16205490203 6647650.964847672, 249001.61742965758 6647649.657980545, 249003.1228491728 6647648.400162923, 249004.66701312026 6647647.212344502, 249006.2600472643 6647646.084357593, 249007.90377116288 6647645.024848815, 249009.57771112554 6647644.0244468255, 249011.28924340472 6647643.09448131, 249013.05242464665 6647642.232701714, 249014.83488457414 6647641.430594746, 249016.65474384616 6647640.708585362, 249018.4962279036 6647640.065055986, 249020.35824512562 6647639.490603864, 249022.25010401534 6647638.985447826, 249024.1600076451 6647638.550029382, 249026.07976856557 6647638.203680762, 249028.02200777797 6647637.926218018, 249029.9619325794 6647637.718368932, 249031.90033551242 6647637.599691201, 249033.86251210026 6647637.56005127, 249035.8123270886 6647637.579846347, 249037.7720041038 6647637.69861465, 249039.71423910573 6647637.87698317, 249041.65269623694 6647638.134125443, 249043.57364103713 6647638.48068765, 249045.48467594665 6647638.886658796, 249047.37445682107 6647639.381365832, 249049.24681088742 6647639.946044042, 249051.09742950037 6647640.57941084, 249052.9083989617 6647641.291923415, 249054.7022053066 6647642.074855466, 249056.46431038337 6647642.916310137, 249058.18642262917 6647643.836749442, 249059.8935256336 6647644.829251189, 249062.3484346934 6647646.336126261, 249062.34997189845 6647646.337066022, 249064.82861010084 6647647.846236862, 249065.16725355966 6647648.055398999, 249065.69274644033 6647647.204601001, 249065.35274644033 6647646.994601001))</t>
  </si>
  <si>
    <t>2020-04-02</t>
  </si>
  <si>
    <t>2025-11-22T09:21:32Z</t>
  </si>
  <si>
    <t>['EV39 S100D1 m5712-5713']</t>
  </si>
  <si>
    <t>LINESTRING Z (-32398.4 6572298.28 16.71, -32398.32 6572298.22 16.71, -32370.02 6572278.41 17.72)</t>
  </si>
  <si>
    <t>POLYGON ((-32398.02655561391 6572298.62491671, -32369.733268827822 6572278.81961596, -32370.30673117218 6572278.00038404, -32398.606731172178 6572297.81038404, -32398.620000001665 6572297.820000001, -32398.700000001667 6572297.880000002, -32398.099999998336 6572298.679999999, -32398.02655561391 6572298.62491671))</t>
  </si>
  <si>
    <t>['EV39 S100D1 m6257 KD2 m664-709', 'EV39 S100D1 m4137-4225']</t>
  </si>
  <si>
    <t>LINESTRING Z (-32583.37 6572258.47 37.38, -32583.07 6572257.24 37.36, -32582.69 6572256.05 37.34, -32582.24 6572254.87 37.33, -32581.71 6572253.74 37.31, -32581.11 6572252.62 37.29, -32580.44 6572251.56 37.28, -32579.71 6572250.53 37.26, -32578.92 6572249.57 37.24, -32578.07 6572248.64 37.23, -32577.16 6572247.78 37.21, -32576.2 6572246.96 37.19, -32575.18 6572246.22 37.16, -32574.13 6572245.54 37.1, -32573.04 6572244.92 37.02, -32571.91 6572244.37 36.9, -32570.74 6572243.9 36.77, -32569.55 6572243.5 36.61, -32568.33 6572243.17 36.45, -32528.26 6572233.8 31.33, -32527.05 6572233.56 31.17, -32525.83 6572233.39 31.02, -32524.6 6572233.3 30.87, -32523.37 6572233.28 30.71, -32522.13 6572233.34 30.56, -32520.91 6572233.47 30.4, -32519.7 6572233.69 30.25, -32518.49 6572233.96 30.1, -32517.32 6572234.32 29.94, -32516.17 6572234.75 29.79, -32515.03 6572235.25 29.64, -32513.93 6572235.81 29.48, -32512.88 6572236.44 29.33, -32511.86 6572237.14 29.18, -32510.89 6572237.9 29.02, -32509.97 6572238.71 28.87, -32509.09 6572239.58 28.72, -32508.27 6572240.5 28.56, -32507.52 6572241.48 28.41, -32506.82 6572242.49 28.25, -32460.01 6572315.27 17.47, -32459.29 6572316.31 17.32, -32458.52 6572317.29 17.16, -32457.69 6572318.23 17, -32456.8 6572319.11 16.85, -32455.85 6572319.93 16.69, -32454.86 6572320.7 16.54, -32453.82 6572321.4 16.38, -32452.74 6572322.04 16.22, -32451.62 6572322.6 16.07, -32450.47 6572323.09 15.91, -32449.3 6572323.52 15.75, -32448.09 6572323.86 15.6, -32446.86 6572324.14 15.44, -32445.63 6572324.33 15.29, -32444.38 6572324.45 15.13, -32443.13 6572324.48 15.12, -32441.87 6572324.44 15.11, -32440.62 6572324.33 15.09, -32439.38 6572324.14 15.08, -32438.17 6572323.85 15.07, -32436.96 6572323.51 15.06, -32435.78 6572323.09 15.05, -32434.63 6572322.59 15.03, -32433.51 6572322.02 15.02, -32432.43 6572321.39 15.01, -32431.13 6572320.57 14.99, -32430.49 6572320.17 14.99, -32430.33 6572320.07 14.99)</t>
  </si>
  <si>
    <t>POLYGON ((-32582.58838003687 6572257.375452937, -32582.217896938208 6572256.215255864, -32581.779434584423 6572255.065510136, -32581.262972564924 6572253.964374132, -32580.677747355447 6572252.871953742, -32580.02441734933 6572251.838327164, -32579.312477348874 6572250.833809082, -32578.542169346623 6572249.897738598, -32577.71327301303 6572248.990828492, -32576.82570305285 6572248.152026112, -32575.89033532237 6572247.353066175, -32574.897099319718 6572246.632483193, -32573.870284385943 6572245.967498284, -32572.806744770147 6572245.362549144, -32571.707145188946 6572244.827345808, -32570.56701248979 6572244.369343785, -32569.404937875217 6572243.978730468, -32568.207762094986 6572243.654904232, -32528.15440586422 6572234.288796225, -32526.966789648162 6572234.053235983, -32525.777196925217 6572233.887473063, -32524.577673597727 6572233.799703063, -32523.378026508963 6572233.780196607, -32522.16860425318 6572233.838717038, -32520.98130752236 6572233.965232263, -32519.799206533913 6572234.180159717, -32518.618167209555 6572234.443697416, -32517.481220920832 6572234.793527044, -32516.358117935724 6572235.213469899, -32515.24401337319 6572235.702112251, -32514.172337432494 6572236.247692729, -32513.150336257364 6572236.860893436, -32512.15594199798 6572237.543320868, -32511.209651678793 6572238.2847442115, -32510.31125139414 6572239.07572707, -32509.45275321129 6572239.924469592, -32508.655699001847 6572240.818725534, -32507.924231499917 6572241.774509737, -32507.23586309072 6572242.767727013, -32460.43052915189 6572315.540472239, -32460.421096095826 6572315.554604989, -32459.70109609583 6572316.594604989, -32459.68315916948 6572316.6189107755, -32458.91315916948 6572317.598910776, -32458.8948025448 6572317.620942673, -32458.0648025448 6572318.560942673, -32458.04155030321 6572318.585545193, -32457.15155030321 6572319.465545193, -32457.126706191528 6572319.488501077, -32456.176706191527 6572320.308501076, -32456.156970306878 6572320.324676109, -32455.16697030688 6572321.094676109, -32455.13918818435 6572321.114793874, -32454.099188184347 6572321.8147938745, -32454.074901195054 6572321.830145767, -32452.994901195056 6572322.470145767, -32452.96360679762 6572322.487213596, -32451.843606797618 6572323.047213595, -32451.815993728374 6572323.05998528, -32450.665993728377 6572323.54998528, -32450.642480856888 6572323.559308378, -32449.472480856886 6572323.989308378, -32449.435257580117 6572324.001357857, -32448.225257580118 6572324.341357858, -32448.200981861075 6572324.347527463, -32446.970981861075 6572324.627527462, -32446.93633046311 6572324.634139312, -32445.706330463112 6572324.824139313, -32445.677780333222 6572324.827711804, -32444.427780333222 6572324.947711804, -32444.391996545597 6572324.949856062, -32443.141996545597 6572324.979856063, -32443.114134976568 6572324.979748238, -32441.854134976566 6572324.939748238, -32441.826169384713 6572324.938075173, -32440.576169384713 6572324.828075172, -32440.544270928196 6572324.824231836, -32439.304270928198 6572324.634231836, -32439.263465512453 6572324.626230103, -32438.05346551245 6572324.336230103, -32438.034742420223 6572324.331357857, -32436.824742420224 6572323.991357857, -32436.792337667262 6572323.981051316, -32435.612337667262 6572323.561051316, -32435.58063694429 6572323.548535028, -32434.430636944293 6572323.048535028, -32434.403215931376 6572323.035610802, -32433.283215931373 6572322.465610801, -32433.25806448727 6572322.45188945, -32432.17806448727 6572321.82188945, -32432.16324833461 6572321.812898981, -32430.864123393985 6572320.993450942, -32430.225000529823 6572320.593999152, -32430.06500053071 6572320.493999152, -32430.594999469293 6572319.646000848, -32430.754999469293 6572319.746000848, -32431.39499947018 6572320.146000848, -32431.39675166539 6572320.147101019, -32432.68942150485 6572320.962477379, -32433.74955642611 6572321.580889416, -32434.8432695571 6572322.137511278, -32435.963726104867 6572322.624666298, -32437.11163529059 6572323.033244143, -32438.295943168392 6572323.3660248695, -32439.476298292004 6572323.648919899, -32440.679841614987 6572323.833333796, -32441.899871270205 6572323.940696406, -32443.13193573668 6572323.979809564, -32444.350073105128 6572323.950574267, -32445.56789318236 6572323.833663539, -32446.76622713926 6572323.648555041, -32447.966802994324 6572323.375253221, -32449.1458948859 6572323.043938143, -32450.28564476266 6572322.62505571, -32451.410005360627 6572322.145980325, -32452.5004416137 6572321.600762199, -32453.552734664398 6572320.977181132, -32454.566575520777 6572320.294788248, -32455.532955309525 6572319.543159522, -32456.46048328086 6572318.742556432, -32457.326406913486 6572317.886362279, -32458.135703110245 6572316.969809959, -32458.887505091596 6572316.012971073, -32459.594067284786 6572314.992381238, -32506.399470848108 6572242.2195277605, -32506.409050435726 6572242.205183471, -32507.109050435727 6572241.195183471, -32507.122936115717 6572241.176124579, -32507.872936115717 6572240.196124579, -32507.896743364177 6572240.167314738, -32508.716743364177 6572239.247314738, -32508.738472653647 6572239.22443211, -32509.61847265365 6572238.35443211, -32509.639594108434 6572238.334724172, -32510.559594108432 6572237.524724172, -32510.58162710444 6572237.506418805, -32511.55162710444 6572236.746418804, -32511.57707875175 6572236.727743323, -32512.59707875175 6572236.027743324, -32512.622752122043 6572236.011253538, -32513.672752122042 6572235.381253537, -32513.7031584798 6572235.364418441, -32514.803158479797 6572234.804418442, -32514.829169252454 6572234.7921058955, -32515.969169252454 6572234.2921058955, -32515.99488465496 6572234.281668263, -32517.14488465496 6572233.851668263, -32517.172957075458 6572233.842110496, -32518.34295707546 6572233.482110496, -32518.38110778448 6572233.472001552, -32519.59110778448 6572233.202001552, -32519.610557280637 6572233.198065045, -32520.820557280636 6572232.978065045, -32520.85702123557 6572232.972814672, -32522.07702123557 6572232.842814672, -32522.105834724454 6572232.840584301, -32523.345834724452 6572232.780584302, -32523.378129006564 6572232.780066085, -32524.608129006563 6572232.800066085, -32524.636487819094 6572232.801333138, -32525.866487819098 6572232.891333138, -32525.8990054189 6572232.8947846405, -32527.1190054189 6572233.06478464, -32527.147278468823 6572233.069554387, -32528.357278468822 6572233.309554387, -32528.373849096042 6572233.313134122, -32568.443849096046 6572242.683134122, -32568.46055415509 6572242.687345245, -32569.68055415509 6572243.017345245, -32569.70930819299 6572243.026058126, -32570.89930819299 6572243.426058127, -32570.926378844866 6572243.4360356415, -32572.096378844864 6572243.906035641, -32572.128819805097 6572243.920424764, -32573.258819805098 6572244.470424764, -32573.28721018911 6572244.485388539, -32574.37721018911 6572245.105388539, -32574.40179134426 6572245.120322189, -32575.451791344258 6572245.800322189, -32575.47361380765 6572245.8152890755, -32576.493613807652 6572246.555289076, -32576.524742925132 6572246.579813161, -32577.48474292513 6572247.399813161, -32577.503429008673 6572247.416604188, -32578.413429008673 6572248.276604188, -32578.43907086699 6572248.302677165, -32579.289070866987 6572249.232677165, -32579.30608118176 6572249.252287361, -32580.09608118176 6572250.212287361, -32580.117934388698 6572250.240881452, -32580.847934388697 6572251.270881452, -32580.862649678158 6572251.292853505, -32581.53264967816 6572252.352853506, -32581.550739985025 6572252.383889294, -32582.150739985023 6572253.503889294, -32582.162681345493 6572253.5276804315, -32582.692681345496 6572254.657680431, -32582.707181119047 6572254.6918377085, -32583.157181119044 6572255.871837708, -32583.16630493278 6572255.897902627, -32583.54630493278 6572257.087902627, -32583.55576016938 6572257.12152191, -32583.85576016938 6572258.351521909, -32582.88423983062 6572258.58847809, -32582.58838003687 6572257.375452937))</t>
  </si>
  <si>
    <t>2021-10-13</t>
  </si>
  <si>
    <t>['EV6 S16D20 m3772-3779']</t>
  </si>
  <si>
    <t>LINESTRING Z (264309.22667792346 6648399.893657081 25.310000000000002, 264320.9660510246 6648405.180105701 25.89)</t>
  </si>
  <si>
    <t>POLYGON ((264320.76074820646 6648405.636012219, 264321.1713538428 6648404.724199183, 264309.4319807416 6648399.437750563, 264309.0213751053 6648400.349563599, 264320.76074820646 6648405.636012219))</t>
  </si>
  <si>
    <t>['EV6 S16D20 m3729-3772']</t>
  </si>
  <si>
    <t>LINESTRING Z (264320.77826315264 6648405.072580327 26.02, 264329.8150124747 6648409.981588454 26.82, 264338.4890541305 6648415.306303001 27.6, 264347.1844138049 6648420.64961735 28.01, 264355.2489321045 6648426.888087362 28.21, 264358.8506210338 6648429.720821389 28.69)</t>
  </si>
  <si>
    <t>POLYGON ((264329.56471161096 6648410.414629594, 264338.22737729293 6648415.732360798, 264346.8997395084 6648421.061543166, 264354.94140990404 6648427.282338724, 264358.5415189855 6648430.113830198, 264359.1597230821 6648429.32781258, 264355.5580341528 6648426.495078553, 264355.5548645097 6648426.492606183, 264347.4903462101 6648420.25413617, 264347.44618969364 6648420.22362042, 264338.75083001924 6648414.880306072, 264330.0765922117 6648409.555471051, 264330.0536839801 6648409.54222993, 264321.016934658 6648404.633221803, 264320.5395916473 6648405.511938851, 264329.56471161096 6648410.414629594))</t>
  </si>
  <si>
    <t>2022-05-11</t>
  </si>
  <si>
    <t>[4564]</t>
  </si>
  <si>
    <t>['FV4564 S1D1 m1062-1075']</t>
  </si>
  <si>
    <t>LINESTRING (-30820.910993037396 6572615.711393791, -30817.25724188576 6572628.736637936)</t>
  </si>
  <si>
    <t>POLYGON ((-30817.738659709503 6572628.871681925, -30816.775824062017 6572628.601593947, -30820.429575213653 6572615.576349802, -30821.39241086114 6572615.84643778, -30817.738659709503 6572628.871681925))</t>
  </si>
  <si>
    <t>2023-03-23</t>
  </si>
  <si>
    <t>[848]</t>
  </si>
  <si>
    <t>['FV848 S3D1 m260-271']</t>
  </si>
  <si>
    <t>LINESTRING (589692.52 7633414.350000001, 589693.1 7633414.12, 589693.92 7633416.67, 589698.9400000001 7633425.58, 589703.66 7633434.13, 589704.34 7633435.5, 589705.29 7633437, 589705.43 7633437.62, 589704.98 7633438.48, 589704 7633439.61, 589703.51 7633440, 589702.86 7633440.49, 589702.1 7633440.97, 589701.1900000001 7633441.49, 589700.1900000001 7633441.97, 589699.02 7633442.57, 589698.05 7633442.87, 589697 7633443.09, 589696.33 7633443.140000001, 589695.98 7633443.09, 589695.52 7633442.88, 589695.06 7633442.5, 589694.58 7633441.5200000005, 589693.8200000001 7633440.0200000005, 589692.5 7633437.63, 589691.01 7633435.08, 589687.35 7633428.53, 589684.17 7633422.5, 589682.76 7633420.26, 589682.51 7633419.87, 589682.6900000001 7633419.71, 589692.52 7633414.350000001)</t>
  </si>
  <si>
    <t>POLYGON ((589692.52 7633414.350000001, 589693.1 7633414.12, 589693.92 7633416.67, 589698.9400000001 7633425.58, 589703.66 7633434.13, 589704.34 7633435.5, 589705.29 7633437, 589705.43 7633437.62, 589704.98 7633438.48, 589704 7633439.61, 589703.51 7633440, 589702.86 7633440.49, 589702.1 7633440.97, 589701.1900000001 7633441.49, 589700.1900000001 7633441.97, 589699.02 7633442.57, 589698.05 7633442.87, 589697 7633443.09, 589696.33 7633443.140000001, 589695.98 7633443.09, 589695.52 7633442.88, 589695.06 7633442.5, 589694.58 7633441.5200000005, 589693.8200000001 7633440.0200000005, 589692.5 7633437.63, 589691.01 7633435.08, 589687.35 7633428.53, 589684.17 7633422.5, 589682.76 7633420.26, 589682.51 7633419.87, 589682.6900000001 7633419.71, 589692.52 7633414.350000001))</t>
  </si>
  <si>
    <t>['FV848 S3D1 m1288-1301']</t>
  </si>
  <si>
    <t>LINESTRING (588937.26 7632918.3, 588937.67 7632918.09, 588938 7632917.91, 588939 7632917.25, 588940 7632916.69, 588941.5 7632915.8, 588945 7632913.47, 588947.6900000001 7632911.5, 588950.75 7632909.32, 588953.9400000001 7632906.97, 588955.5 7632905.82, 588956.68 7632905, 588957.34 7632904.5, 588957.5 7632904.13, 588957.5700000001 7632903.98, 588957.54 7632903.49, 588957.42 7632902.73, 588957.06 7632901.5, 588956.5 7632900.100000001, 588956.06 7632899.38, 588955.62 7632898.75, 588954.72 7632897.5, 588953.98 7632896.850000001, 588953.25 7632896.25, 588952.72 7632895.88, 588952.35 7632895.55, 588951.76 7632895.16, 588951.48 7632895.01, 588951.1 7632894.98, 588950.5 7632895.18, 588949.96 7632895.47, 588949 7632896.100000001, 588947.0700000001 7632897.5, 588941.1 7632901.98, 588938.3200000001 7632903.99, 588936.09 7632905.47, 588933.51 7632907.5, 588931.5 7632908.63, 588930.68 7632908.850000001, 588930.4500000001 7632909, 588937.26 7632918.3)</t>
  </si>
  <si>
    <t>POLYGON ((588937.26 7632918.3, 588937.67 7632918.09, 588938 7632917.91, 588939 7632917.25, 588940 7632916.69, 588941.5 7632915.8, 588945 7632913.47, 588947.6900000001 7632911.5, 588950.75 7632909.32, 588953.9400000001 7632906.97, 588955.5 7632905.82, 588956.68 7632905, 588957.34 7632904.5, 588957.5 7632904.13, 588957.5700000001 7632903.98, 588957.54 7632903.49, 588957.42 7632902.73, 588957.06 7632901.5, 588956.5 7632900.100000001, 588956.06 7632899.38, 588955.62 7632898.75, 588954.72 7632897.5, 588953.98 7632896.850000001, 588953.25 7632896.25, 588952.72 7632895.88, 588952.35 7632895.55, 588951.76 7632895.16, 588951.48 7632895.01, 588951.1 7632894.98, 588950.5 7632895.18, 588949.96 7632895.47, 588949 7632896.100000001, 588947.0700000001 7632897.5, 588941.1 7632901.98, 588938.3200000001 7632903.99, 588936.09 7632905.47, 588933.51 7632907.5, 588931.5 7632908.63, 588930.68 7632908.850000001, 588930.4500000001 7632909, 588937.26 7632918.3))</t>
  </si>
  <si>
    <t>['FV866 S1D1 m17830-17843']</t>
  </si>
  <si>
    <t>LINESTRING Z (725758.87 7768910.85 -99.32000000000001, 725804.15 7768924.18 -100.21000000000001, 725802.06 7768932.44 -99.71000000000001, 725775.25 7768924.59 -98.68, 725772.25 7768921.46 -98.89, 725770.24 7768919.59 -98.51, 725764.94 7768916.85 -98.42, 725760.08 7768915.33 -98.66, 725755.45 7768912.1 -99.02, 725758.87 7768910.85 -99.32000000000001)</t>
  </si>
  <si>
    <t>POLYGON Z ((725758.87 7768910.85 -99.32000000000001, 725804.15 7768924.18 -100.21000000000001, 725802.06 7768932.44 -99.71000000000001, 725775.25 7768924.59 -98.68, 725772.25 7768921.46 -98.89, 725770.24 7768919.59 -98.51, 725764.94 7768916.85 -98.42, 725760.08 7768915.33 -98.66, 725755.45 7768912.1 -99.02, 725758.87 7768910.85 -99.32000000000001))</t>
  </si>
  <si>
    <t>2024-04-30</t>
  </si>
  <si>
    <t>[5633]</t>
  </si>
  <si>
    <t>['FV5633 S1D1 m1548-1557']</t>
  </si>
  <si>
    <t>LINESTRING Z (107980.08861254441 6811105.619809764 12.58, 107970.84495668969 6811076.289899547 12.58, 107961.65522377018 6811079.189569629 12.58, 107970.89888100408 6811108.519481733 12.58, 107980.08861254441 6811105.619809764 12.58)</t>
  </si>
  <si>
    <t>POLYGON Z ((107980.08861254441 6811105.619809764 12.58, 107970.84495668969 6811076.289899547 12.58, 107961.65522377018 6811079.189569629 12.58, 107970.89888100408 6811108.519481733 12.58, 107980.08861254441 6811105.619809764 12.58))</t>
  </si>
  <si>
    <t>['FV5633 S1D1 m2549-2559']</t>
  </si>
  <si>
    <t>LINESTRING Z (107024.66488601017 6811406.092842805 13.35, 107015.43106300989 6811376.761816735 13.35, 107006.16146072507 6811379.6688901 13.200000000000001, 107015.39620491426 6811409.009894066 13.200000000000001, 107024.66488601017 6811406.092842805 13.35)</t>
  </si>
  <si>
    <t>POLYGON Z ((107024.66488601017 6811406.092842805 13.35, 107015.43106300989 6811376.761816735 13.35, 107006.16146072507 6811379.6688901 13.200000000000001, 107015.39620491426 6811409.009894066 13.200000000000001, 107024.66488601017 6811406.092842805 13.35))</t>
  </si>
  <si>
    <t>['FV49 S4D1 m6158-6166']</t>
  </si>
  <si>
    <t>LINESTRING (15835.007405252545 6706200.850610179, 15830.89244906517 6706206.788441931)</t>
  </si>
  <si>
    <t>Rasteplass</t>
  </si>
  <si>
    <t>2021-02-12</t>
  </si>
  <si>
    <t>[63]</t>
  </si>
  <si>
    <t>['FV63 S5D1 m7118-7214']</t>
  </si>
  <si>
    <t>LINESTRING (91881.51273090206 6920638.019593162, 91892.57646744332 6920618.945660755, 91898.38181890512 6920611.197189312, 91904.18923231913 6920604.842981761, 91899.48902881885 6920587.423018744, 91888.98064325593 6920574.9741102485, 91878.47354189545 6920562.536312443, 91856.9041937333 6920572.759817502, 91853.86222450912 6920611.1988068335, 91844.18336276221 6920623.367500802, 91837.82658009895 6920636.367806175, 91821.51162033778 6920654.339823346, 91823.71960132476 6920669.54483605, 91826.48385703779 6920676.179954305, 91849.98944767244 6920657.937564485, 91871.55990953097 6920643.552767825)</t>
  </si>
  <si>
    <t>['FV63 S4D1 m8329-8452']</t>
  </si>
  <si>
    <t>LINESTRING Z (93203.966106811 6913948.67628146 -999999, 93207.8025651443 6913944.83982313 -999999, 93211.109856811 6913941.92940646 -999999, 93216.7983984777 6913937.96065646 -999999, 93222.619231811 6913934.2564898 -999999, 93228.969231811 6913932.53669813 -999999, 93233.8640234777 6913932.6689898 -999999, 93242.1983984777 6913934.52107313 -999999, 93246.828606811 6913934.6533648 -999999, 93246.1671484777 6913926.3189898 -999999, 93241.9338151443 6913922.08565646 -999999, 93238.6265234777 6913917.45544813 -999999, 93236.7744401443 6913905.6814898 -999999, 93235.1869401443 6913892.84919813 -999999, 93233.9963151443 6913879.35544813 -999999, 93233.334856811 6913870.3596148 -999999, 93233.0702734777 6913866.3908648 -999999, 93235.716106811 6913860.17315646 -999999, 93239.684856811 6913851.70648979 -999999, 93244.5796484777 6913843.7689898 -999999, 93249.209856811 6913837.15440646 -999999, 93254.1046484777 6913830.80440646 -999999, 93252.781731811 6913824.58669813 -999999, 93244.3150651443 6913826.04190646 -999999, 93232.8056901443 6913826.17419813 -999999, 93222.8838151443 6913824.3221148 -999999, 93213.094231811 6913823.39607313 -999999, 93204.759856811 6913825.1158648 -999999, 93190.6046484777 6913825.9096148 -999999, 93184.6515234777 6913824.98357313 -999999, 93192.456731811 6913848.00232313 -999999, 93195.234856811 6913862.4221148 -999999, 93196.6900651443 6913877.76794813 -999999, 93198.2775651443 6913896.28878146 -999999, 93199.997356811 6913917.5877398 -999999, 93201.3202734777 6913928.70023979 -999999, 93202.6431901443 6913944.57523979 -999999)</t>
  </si>
  <si>
    <t>Første og siste punkt i linja avstand &lt;20 m.</t>
  </si>
  <si>
    <t>POLYGON Z ((93203.966106811 6913948.67628146 -999999, 93207.8025651443 6913944.83982313 -999999, 93211.109856811 6913941.92940646 -999999, 93216.7983984777 6913937.96065646 -999999, 93222.619231811 6913934.2564898 -999999, 93228.969231811 6913932.53669813 -999999, 93233.8640234777 6913932.6689898 -999999, 93242.1983984777 6913934.52107313 -999999, 93246.828606811 6913934.6533648 -999999, 93246.1671484777 6913926.3189898 -999999, 93241.9338151443 6913922.08565646 -999999, 93238.6265234777 6913917.45544813 -999999, 93236.7744401443 6913905.6814898 -999999, 93235.1869401443 6913892.84919813 -999999, 93233.9963151443 6913879.35544813 -999999, 93233.334856811 6913870.3596148 -999999, 93233.0702734777 6913866.3908648 -999999, 93235.716106811 6913860.17315646 -999999, 93239.684856811 6913851.70648979 -999999, 93244.5796484777 6913843.7689898 -999999, 93249.209856811 6913837.15440646 -999999, 93254.1046484777 6913830.80440646 -999999, 93252.781731811 6913824.58669813 -999999, 93244.3150651443 6913826.04190646 -999999, 93232.8056901443 6913826.17419813 -999999, 93222.8838151443 6913824.3221148 -999999, 93213.094231811 6913823.39607313 -999999, 93204.759856811 6913825.1158648 -999999, 93190.6046484777 6913825.9096148 -999999, 93184.6515234777 6913824.98357313 -999999, 93192.456731811 6913848.00232313 -999999, 93195.234856811 6913862.4221148 -999999, 93196.6900651443 6913877.76794813 -999999, 93198.2775651443 6913896.28878146 -999999, 93199.997356811 6913917.5877398 -999999, 93201.3202734777 6913928.70023979 -999999, 93202.6431901443 6913944.57523979 -999999, 93203.966106811 6913948.67628146 -999999))</t>
  </si>
  <si>
    <t>2022-11-17</t>
  </si>
  <si>
    <t>2025-09-08T06:29:41Z</t>
  </si>
  <si>
    <t>[27]</t>
  </si>
  <si>
    <t>['FV27 S4D1 m3-96']</t>
  </si>
  <si>
    <t>LINESTRING (245062.53590861542 6852952.276150405, 245086.31898003505 6852992.8463433515, 245113.20681769506 6853030.622889604)</t>
  </si>
  <si>
    <t>2024-08-08</t>
  </si>
  <si>
    <t>2025-04-30T11:39:15Z</t>
  </si>
  <si>
    <t>[136]</t>
  </si>
  <si>
    <t>['EV136 S17D1 m2956 SD1 m11-87']</t>
  </si>
  <si>
    <t>LINESTRING (182974.6413064145 6902430.556656739, 182980.9196778253 6902428.5312017705, 182992.0136250232 6902423.822676648, 182998.8102891082 6902420.336810051, 183007.63538153865 6902415.046612601, 183014.14154116833 6902410.927143952, 183017.62897350563 6902410.464230318, 183036.73780700698 6902394.200926789, 183043.42027545138 6902386.883162103, 183046.96494848724 6902382.348069194, 183049.6910143906 6902377.811651068, 183044.9284910966 6902372.535251718, 183047.367349745 6902369.79601274)</t>
  </si>
  <si>
    <t>2022-05-05</t>
  </si>
  <si>
    <t>2025-09-15T15:09:13Z</t>
  </si>
  <si>
    <t>[51]</t>
  </si>
  <si>
    <t>['FV51 S14D1 m6365-6395']</t>
  </si>
  <si>
    <t>LINESTRING Z (184027.971592745 6851057.46718455 -999999, 184029.423600427 6851058.982323 -999999, 184030.812477341 6851059.92928453 -999999, 184034.852846545 6851060.56059222 -999999, 184039.208869593 6851061.88633837 -999999, 184042.112884958 6851063.52773835 -999999, 184044.953769555 6851067.8837614 -999999, 184044.953769555 6851073.24987675 -999999, 184044.13306956 6851076.02763058 -999999, 184042.302277264 6851078.48973056 -999999, 184037.630600373 6851082.6563613 -999999, 184033.842754244 6851085.68663821 -999999, 184033.590231169 6851086.3179459 -999999)</t>
  </si>
  <si>
    <t>2018-06-04</t>
  </si>
  <si>
    <t>2025-09-25T07:16:52Z</t>
  </si>
  <si>
    <t>[257]</t>
  </si>
  <si>
    <t>['FV257 S1D1 m3784-3910']</t>
  </si>
  <si>
    <t>LINESTRING Z (208315.908256953 6851631.68211581 -999999, 208301.198373888 6851639.13015787 -999999, 208279.599051918 6851651.04702516 -999999, 208258.744534154 6851663.89489771 -999999, 208248.689677375 6851674.13595554 -999999, 208244.407053191 6851681.9563997 -999999, 208242.358841625 6851694.05946805 -999999, 208243.848450036 6851712.86577425 -999999, 208247.758672117 6851730.36867308 -999999, 208252.786100507 6851742.65794248 -999999)</t>
  </si>
  <si>
    <t>2025-10-28</t>
  </si>
  <si>
    <t>2025-10-28T06:43:54Z</t>
  </si>
  <si>
    <t>[7766]</t>
  </si>
  <si>
    <t>['FV7766 S1D1 m2077-2142']</t>
  </si>
  <si>
    <t>LINESTRING Z (618794.591362979 7726606.56865047 -999999, 618798.900648643 7726610.72934008 -999999, 618803.65572248 7726618.15914295 -999999, 618806.181855455 7726628.26367485 -999999, 618805.438875168 7726636.43645801 -999999, 618803.06133825 7726644.31204905 -999999, 618801.129589504 7726653.97079278 -999999, 618801.723973734 7726661.69778776 -999999, 618804.250106709 7726669.72197486 -999999, 618808.707988431 7726676.11160533 -999999, 618814.651830726 7726681.90685157 -999999, 618821.190057251 7726683.69000425 -999999, 618828.174071949 7726681.46106339 -999999, 618834.415106359 7726674.4770487 -999999, 618840.358948654 7726661.69778776 -999999, 618844.222446146 7726650.25589134 -999999, 618849.869096327 7726642.97468453 -999999, 618854.475574106 7726635.99066983 -999999, 618856.407322852 7726631.38419205 -999999, 618856.258726795 7726627.81788668 -999999, 618850.760672671 7726620.09089169 -999999, 618848.531731811 7726614.1470494 -999999, 618848.383135753 7726610.72934008 -999999, 618850.166288442 7726605.0826899 -999999, 618854.772766221 7726598.0986752 -999999, 618837.684219621 7726600.47621212 -999999, 618821.933037538 7726602.85374904 -999999, 618809.599564775 7726604.33970961 -999999, 618794.442766921 7726606.56865047 -999999)</t>
  </si>
  <si>
    <t>2025-10-28T06:45:54Z</t>
  </si>
  <si>
    <t>[825]</t>
  </si>
  <si>
    <t>['FV825 S4D1 m6236-6342']</t>
  </si>
  <si>
    <t>LINESTRING Z (596905.158956515 7625919.57132746 -999999, 596904.97300643 7625927.38123101 -999999, 596904.601106261 7625934.6332843 -999999, 596905.623831726 7625940.86261213 -999999, 596909.15688333 7625945.4183892 -999999, 596914.177535609 7625949.04441584 -999999, 596920.220913353 7625951.46176694 -999999, 596953.877878634 7625960.66629612 -999999, 596957.782830407 7625963.08364722 -999999, 596959.921256378 7625966.05884857 -999999, 596961.036956885 7625969.77785026 -999999, 596960.8510068 7625977.30882868 -999999, 597001.760025374 7625983.07328129 -999999, 597005.200101936 7625960.38737099 -999999, 596964.941908658 7625954.80886846 -999999, 596944.952274582 7625950.43904147 -999999, 596926.078341013 7625944.86053894 -999999, 596920.127938311 7625942.62913793 -999999, 596916.037036453 7625939.83988666 -999999, 596913.247785187 7625936.49278514 -999999, 596911.946134596 7625933.42460875 -999999, 596911.574234427 7625930.54238244 -999999, 596911.946134596 7625927.66015613 -999999, 596912.968860061 7625925.80065529 -999999, 596915.851086369 7625923.47627923 -999999, 596905.065981472 7625919.6643025 -999999)</t>
  </si>
  <si>
    <t>2025-01-30</t>
  </si>
  <si>
    <t>[858]</t>
  </si>
  <si>
    <t>['FV858 S3D1 m3420 SD1 m3-103', 'FV858 S3D1 m3377-3465']</t>
  </si>
  <si>
    <t>LINESTRING Z (656661.538064394 7693784.32766168 -999999, 656652.92853856 7693777.6940926 -999999, 656647.706367153 7693771.48394282 -999999, 656645.024711565 7693765.97949187 -999999, 656644.883571797 7693760.6161807 -999999, 656647.141808082 7693756.2408479 -999999, 656651.65828065 7693752.43007417 -999999, 656657.445011129 7693749.32499927 -999999, 656660.126666717 7693747.63132206 -999999, 656670.288729996 7693735.49330203 -999999, 656672.405826513 7693733.94076459 -999999, 656685.390685148 7693724.90781945 -999999, 656697.952124479 7693718.9799492 -999999, 656705.997091242 7693715.73373455 -999999, 656708.961026366 7693714.6046164 -999999, 656712.066101257 7693715.45145501 -999999, 656716.018014754 7693716.58057315 -999999, 656721.381325929 7693719.82678781 -999999, 656706.279370778 7693735.91672134 -999999, 656694.282490517 7693749.60727881 -999999, 656684.826126077 7693760.89846023 -999999, 656678.474836527 7693766.96747025 -999999, 656671.982407209 7693771.62508258 -999999, 656667.607074408 7693775.01243701 -999999, 656663.937440446 7693778.96435051 -999999, 656661.396924627 7693784.60994122 -999999)</t>
  </si>
  <si>
    <t>2013-06-24</t>
  </si>
  <si>
    <t>[862]</t>
  </si>
  <si>
    <t>['FV862 S9D1 m4310-4410']</t>
  </si>
  <si>
    <t>LINESTRING Z (593597.412905233 7709567.86601451 -999999, 593601.822222754 7709564.43654532 -999999, 593607.864620838 7709563.13008087 -999999, 593616.846563936 7709562.96677282 -999999, 593624.685350639 7709564.27323727 -999999, 593633.014061512 7709568.02932256 -999999, 593641.016156271 7709572.7652562 -999999, 593656.367113566 7709582.89035569 -999999, 593672.861227254 7709595.46507602 -999999, 593679.556857564 7709603.95709495 -999999, 593682.006478408 7709610.16280109 -999999, 593681.679862296 7709617.02173946 -999999, 593679.72016562 7709622.24759726 -999999, 593677.433852831 7709627.80007118 -999999, 593675.474156156 7709631.0662323 -999999, 593658.163852023 7709616.91868417 -999999, 593632.763852023 7709596.06951751 -999999, 593614.137185357 7709580.72368417 -999999, 593597.309685357 7709567.91785084 -999999)</t>
  </si>
  <si>
    <t>POLYGON Z ((593597.412905233 7709567.86601451 -999999, 593601.822222754 7709564.43654532 -999999, 593607.864620838 7709563.13008087 -999999, 593616.846563936 7709562.96677282 -999999, 593624.685350639 7709564.27323727 -999999, 593633.014061512 7709568.02932256 -999999, 593641.016156271 7709572.7652562 -999999, 593656.367113566 7709582.89035569 -999999, 593672.861227254 7709595.46507602 -999999, 593679.556857564 7709603.95709495 -999999, 593682.006478408 7709610.16280109 -999999, 593681.679862296 7709617.02173946 -999999, 593679.72016562 7709622.24759726 -999999, 593677.433852831 7709627.80007118 -999999, 593675.474156156 7709631.0662323 -999999, 593658.163852023 7709616.91868417 -999999, 593632.763852023 7709596.06951751 -999999, 593614.137185357 7709580.72368417 -999999, 593597.309685357 7709567.91785084 -999999, 593597.412905233 7709567.86601451 -999999))</t>
  </si>
  <si>
    <t>2025-02-02</t>
  </si>
  <si>
    <t>2025-11-22T09:07:54Z</t>
  </si>
  <si>
    <t>['FV862 S10D1 m6129-6170']</t>
  </si>
  <si>
    <t>LINESTRING Z (598226.165193985 7703524.16265991 -999999, 598222.256146671 7703529.5608681 -999999, 598218.967583058 7703535.51751163 -999999, 598218.098905877 7703538.55788176 -999999, 598223.807355923 7703537.37896273 -999999, 598229.577854339 7703535.45546326 -999999, 598230.81882174 7703541.03981656 -999999, 598221.07722764 7703544.01813833 -999999, 598213.879616713 7703545.44525084 -999999, 598208.853698738 7703546.31392802 -999999, 598204.200070983 7703546.5621215 -999999, 598198.925959528 7703547.1826052 -999999, 598193.527751332 7703548.23742749 -999999, 598187.384962696 7703548.79586282 -999999, 598186.268092035 7703543.45970299 -999999, 598193.217509482 7703542.34283233 -999999, 598198.491620937 7703541.47415515 -999999, 598194.892815474 7703539.9229459 -999999, 598192.410880671 7703538.30968828 -999999, 598190.177139349 7703535.33136652 -999999, 598188.874123578 7703532.47714149 -999999, 598188.315688247 7703529.43677136 -999999, 598187.943398027 7703526.33435286 -999999, 598187.260865956 7703523.29398273 -999999, 598186.640382255 7703519.44698378 -999999, 598189.928945869 7703522.61145065 -999999, 598193.962089923 7703525.8379659 -999999, 598198.801862788 7703528.38194907 -999999, 598202.959103582 7703529.93315832 -999999, 598207.240441116 7703530.67773876 -999999, 598211.45973028 7703530.8018355 -999999, 598215.244680854 7703530.1813518 -999999, 598218.657341208 7703528.81628766 -999999, 598222.318195041 7703527.0789333 -999999, 598226.103145615 7703524.28675665 -999999)</t>
  </si>
  <si>
    <t>[7842]</t>
  </si>
  <si>
    <t>['FV7842 S1D1 m5431-5523']</t>
  </si>
  <si>
    <t>LINESTRING Z (602299.457208885 7666201.38567294 -999999, 602303.984627013 7666199.66525405 -999999, 602307.697109878 7666196.04331955 -999999, 602310.504109117 7666192.24028832 -999999, 602311.31904438 7666189.8860309 -999999, 602310.866302567 7666187.26012838 -999999, 602308.783690228 7666184.18148406 -999999, 602306.701077889 7666181.91777499 -999999, 602309.236432041 7666178.92967903 -999999, 602312.767818181 7666181.91777499 -999999, 602314.578785432 7666184.09093569 -999999, 602316.208655958 7666185.26806441 -999999, 602318.381816659 7666185.26806441 -999999, 602321.460460986 7666183.45709715 -999999, 602325.716234027 7666181.37448482 -999999, 602354.691710045 7666185.08696768 -999999, 602361.301740512 7666194.59454575 -999999, 602367.549577529 7666201.74786639 -999999, 602372.529737469 7666207.09021978 -999999, 602377.14770396 7666210.89325101 -999999, 602383.123895889 7666214.87737896 -999999, 602365.285868465 7666212.16092809 -999999, 602347.719486128 7666209.35392885 -999999, 602324.267460226 7666205.36980089 -999999, 602299.185563797 7666201.47622131 -999999)</t>
  </si>
  <si>
    <t>['FV848 S1D1 m12686-12767']</t>
  </si>
  <si>
    <t>LINESTRING Z (599026.444764109 7644489.07831547 -999999, 599017.905002783 7644490.58533218 -999999, 599006.250740268 7644493.09702668 -999999, 599000.524076791 7644495.70918897 -999999, 598995.299752215 7644500.23023909 -999999, 598994.295074412 7644503.84707918 -999999, 598994.696945533 7644510.67888824 -999999, 598998.313785624 7644518.81677844 -999999, 599013.183017109 7644539.01080228 -999999, 599021.923713995 7644549.86132255 -999999, 599027.04757079 7644553.47816265 -999999, 599033.276573169 7644556.49219605 -999999, 599042.921480078 7644560.51090727 -999999, 599049.050014676 7644562.72119843 -999999, 599041.816334495 7644539.31220562 -999999, 599034.783589873 7644516.80742284 -999999, 599026.444764109 7644489.27925103 -999999)</t>
  </si>
  <si>
    <t>[86]</t>
  </si>
  <si>
    <t>['FV86 S3D1 m6064-6176', 'FV86 S3D1 m6131 SD1 m4-114']</t>
  </si>
  <si>
    <t>LINESTRING Z (622266.54006207 7676970.34304668 -999999, 622262.398450578 7676964.20203654 -999999, 622259.54216679 7676959.48916829 -999999, 622257.39995395 7676953.06252977 -999999, 622255.257741109 7676945.9218203 -999999, 622253.543970836 7676937.21015474 -999999, 622253.686785026 7676928.64130338 -999999, 622255.543369488 7676915.21676958 -999999, 622258.828095844 7676902.64912091 -999999, 622261.827193821 7676897.22218172 -999999, 622266.111619502 7676893.79464117 -999999, 622274.966099244 7676891.08117157 -999999, 622283.820578987 7676889.79584387 -999999, 622291.246916835 7676889.93865806 -999999, 622296.816670221 7676889.93865806 -999999, 622303.814565501 7676885.65423238 -999999, 622308.67024794 7676883.9404621 -999999, 622313.525930379 7676883.22639115 -999999, 622321.095082417 7676883.22639115 -999999, 622328.521420265 7676883.9404621 -999999, 622316.239399978 7676894.7943405 -999999, 622306.670849289 7676904.50570537 -999999, 622295.959785085 7676917.50179661 -999999, 622287.6765621 7676928.92693176 -999999, 622278.39363979 7676943.77960746 -999999, 622273.252328972 7676954.34785747 -999999, 622266.68287626 7676970.77148925 -999999)</t>
  </si>
  <si>
    <t>['FV8690 S1D1 m268-334']</t>
  </si>
  <si>
    <t>LINESTRING Z (724700.914811556 7777416.21757909 -999999, 724705.941894889 7777415.55612076 -999999, 724707.529394889 7777416.08528742 -999999, 724719.567936556 7777422.56757909 -999999, 724720.361686555 7777425.08112076 -999999, 724719.700228222 7777431.56341242 -999999, 724720.097103222 7777433.28320409 -999999, 724722.478353222 7777434.07695409 -999999, 724759.520019889 7777427.72695409 -999999, 724768.383561556 7777434.60612076 -999999, 724776.717936556 7777432.09257909 -999999, 724775.659603222 7777426.40403742 -999999, 724781.480436556 7777423.75820409 -999999, 724804.896061556 7777420.18632909 -999999, 724807.409603222 7777416.87903742 -999999, 724811.642936556 7777417.80507909 -999999, 724816.273144889 7777417.54049576 -999999, 724821.697103222 7777416.08528742 -999999, 724825.798144889 7777421.37695409 -999999, 724830.031478222 7777418.20195409 -999999, 724823.416894889 7777408.67695409 -999999, 724817.331478222 7777411.58737076 -999999, 724808.864811556 7777399.15195409 -999999, 724794.841894889 7777409.07382909 -999999, 724790.608561556 7777409.99987076 -999999, 724780.554394889 7777408.67695409 -999999, 724772.352311556 7777406.56028742 -999999, 724766.928353222 7777403.38528742 -999999, 724763.091894889 7777400.47487076 -999999, 724757.403353222 7777397.03528742 -999999, 724754.757519889 7777397.03528742 -999999, 724744.174186555 7777399.68112076 -999999, 724736.236686555 7777405.23737076 -999999, 724727.505436556 7777411.85195409 -999999, 724722.875228222 7777414.76237076 -999999, 724719.567936556 7777415.68841242 -999999, 724715.996061556 7777414.89466242 -999999, 724709.513769889 7777409.99987076 -999999, 724708.852311555 7777408.80924576 -999999, 724708.190853222 7777405.23737076 -999999, 724700.782519889 7777416.21757909 -999999)</t>
  </si>
  <si>
    <t>[8650]</t>
  </si>
  <si>
    <t>['FV8650 S2D1 m1913-2021']</t>
  </si>
  <si>
    <t>LINESTRING Z (742391.072373611 7742059.52941158 -999999, 742403.613623611 7742028.89066158 -999999, 742413.29737361 7742020.47691158 -999999, 742422.18737361 7742018.57191158 -999999, 742477.749873611 7742020.15941158 -999999, 742484.099873611 7742026.50941158 -999999, 742464.414873611 7742099.21691158 -999999, 742455.366123611 7742099.85191158 -999999, 742432.823623611 7742106.04316158 -999999, 742425.521123611 7742114.45691158 -999999, 742422.663623611 7742122.55316158 -999999, 742412.186123611 7742127.31566158 -999999, 742403.296123611 7742119.69566158 -999999, 742397.898623611 7742118.26691158 -999999, 742393.13612361 7742121.12441158 -999999, 742389.326123611 7742125.56941158 -999999, 742389.80237361 7742093.81941158 -999999, 742390.43737361 7742072.54691158 -999999, 742390.91362361 7742059.84691158 -999999)</t>
  </si>
  <si>
    <t>2009-08-26</t>
  </si>
  <si>
    <t>2025-12-08T10:46:55Z</t>
  </si>
  <si>
    <t>[8072]</t>
  </si>
  <si>
    <t>['FV8072 S1D1 m18563-18607']</t>
  </si>
  <si>
    <t>LINESTRING Z (976703.34933483 7935931.27281483 -999999, 976704.22245983 7935922.46218983 -999999, 976704.93683483 7935914.20718983 -999999, 976705.33370983 7935909.04781483 -999999, 976705.49245983 7935904.92031483 -999999, 976704.93683483 7935902.45968983 -999999, 976703.19058483 7935900.15781483 -999999, 976700.49183483 7935898.41156483 -999999, 976695.72933483 7935896.90343983 -999999, 976690.01433483 7935896.82406483 -999999, 976681.83870983 7935896.66531483 -999999, 976674.69495983 7935896.74468983 -999999, 976682.15620983 7935901.34843983 -999999, 976687.15683483 7935905.07906483 -999999, 976691.68120983 7935909.20656483 -999999, 976695.88808483 7935914.04843983 -999999, 976698.98370983 7935919.12843983 -999999, 976701.68245983 7935924.68468983 -999999, 976703.34933483 7935931.43156483 -999999)</t>
  </si>
  <si>
    <t>2024-12-05</t>
  </si>
  <si>
    <t>[888]</t>
  </si>
  <si>
    <t>['FV888 S2D1 m15936-15993']</t>
  </si>
  <si>
    <t>LINESTRING Z (952840.25625 7877414.82976562 -999999, 952846.182916667 7877409.96143229 -999999, 952850.945416667 7877406.89226562 -999999, 952856.660416667 7877404.56393229 -999999, 952863.43375 7877404.14059896 -999999, 952868.51375 7877404.77559896 -999999, 952874.122916667 7877405.83393229 -999999, 952878.462083333 7877406.04559896 -999999, 952881.53125 7877404.35226562 -999999, 952883.542083334 7877399.90726562 -999999, 952883.224583334 7877393.66309896 -999999, 952880.155416667 7877386.25476562 -999999, 952874.86375 7877379.16393229 -999999, 952868.725416667 7877373.55476562 -999999, 952858.777083333 7877366.04059896 -999999, 952850.839583333 7877361.70143229 -999999, 952842.267083333 7877358.94976562 -999999, 952832.00125 7877357.99726562 -999999, 952824.910416667 7877359.26726562 -999999, 952821.417916667 7877360.00809896 -999999, 952826.497916667 7877369.85059896 -999999, 952832.00125 7877383.60893229 -999999, 952836.022916667 7877396.41476562 -999999, 952838.457083333 7877406.46893229 -999999, 952840.25625 7877415.14726562 -999999)</t>
  </si>
  <si>
    <t>2024-12-02</t>
  </si>
  <si>
    <t>[891]</t>
  </si>
  <si>
    <t>['FV891 S3D1 m6360-6393']</t>
  </si>
  <si>
    <t>LINESTRING Z (1038699.49037896 7898240.89572444 -999999, 1038694.64850396 7898243.83259944 -999999, 1038691.47350396 7898246.05509944 -999999, 1038687.90162896 7898246.13447444 -999999, 1038685.44100396 7898245.49947444 -999999, 1038683.45662896 7898244.38822444 -999999, 1038681.39287896 7898243.19759944 -999999, 1038678.85287896 7898242.56259944 -999999, 1038676.63037896 7898242.56259944 -999999, 1038673.53475396 7898243.59447444 -999999, 1038670.91537896 7898245.42009944 -999999, 1038668.37537896 7898248.11884944 -999999, 1038666.70850396 7898251.13509944 -999999, 1038664.56537896 7898253.67509944 -999999, 1038662.58100396 7898255.50072444 -999999, 1038658.05662896 7898256.69134944 -999999, 1038654.08787896 7898256.29447444 -999999, 1038650.83350396 7898254.38947444 -999999, 1038648.29350396 7898252.00822444 -999999, 1038646.94412896 7898248.43634944 -999999, 1038647.02350396 7898244.86447444 -999999, 1038648.76975396 7898241.29259944 -999999, 1038652.26225396 7898236.68884944 -999999, 1038656.31037896 7898232.79947444 -999999, 1038660.51725396 7898230.81509944 -999999, 1038666.31162896 7898228.59259944 -999999, 1038671.39162896 7898226.21134944 -999999, 1038674.48725396 7898225.57634944 -999999, 1038678.13850396 7898226.29072444 -999999, 1038680.67850396 7898229.86259944 -999999, 1038682.18662896 7898233.03759944 -999999, 1038683.45662896 7898235.49822444 -999999, 1038685.83787896 7898236.45072444 -999999, 1038688.53662896 7898236.76822444 -999999, 1038691.47350396 7898235.89509944 -999999, 1038693.69600396 7898233.59322444 -999999, 1038696.31537896 7898229.38634944 -999999, 1038699.80787896 7898224.46509944 -999999, 1038699.56975396 7898240.81634944 -999999)</t>
  </si>
  <si>
    <t>[98]</t>
  </si>
  <si>
    <t>['FV98 S13D1 m2556-2595']</t>
  </si>
  <si>
    <t>LINESTRING Z (991668.480612004 7853866.25636555 -999999, 991669.32727867 7853864.03386555 -999999, 991671.655612004 7853862.02303222 -999999, 991674.40727867 7853861.17636555 -999999, 991683.403112004 7853859.69469889 -999999, 991684.990612004 7853860.96469888 -999999, 991686.578112004 7853864.56303222 -999999, 991687.636445337 7853869.43136555 -999999, 991688.271445337 7853872.07719889 -999999, 991690.070612004 7853873.66469889 -999999, 991693.563112004 7853873.98219888 -999999, 991698.008112004 7853873.87636555 -999999, 991701.923945337 7853873.55886555 -999999, 991705.310612004 7853872.39469889 -999999, 991707.10977867 7853870.59553222 -999999, 991707.956445337 7853867.73803222 -999999, 991707.956445337 7853863.71636555 -999999, 991704.25227867 7853846.04219889 -999999, 991703.61727867 7853839.16303222 -999999, 991701.39477867 7853836.62303222 -999999, 991697.90227867 7853835.24719889 -999999, 991693.77477867 7853835.24719889 -999999, 991690.28227867 7853836.09386555 -999999, 991686.578112004 7853837.99886555 -999999, 991684.24977867 7853839.37469889 -999999, 991683.826445337 7853843.18469888 -999999, 991683.826445337 7853848.58219889 -999999, 991684.038112004 7853852.28636555 -999999, 991683.403112004 7853853.66219889 -999999, 991680.968945337 7853854.61469889 -999999, 991678.111445337 7853855.46136555 -999999, 991675.35977867 7853855.67303222 -999999, 991672.184778671 7853855.67303222 -999999, 991670.279778671 7853855.03803222 -999999, 991668.480612004 7853852.92136555 -999999, 991666.681445337 7853850.59303222 -999999, 991668.05727867 7853866.25636555 -999999)</t>
  </si>
  <si>
    <t>2024-12-09</t>
  </si>
  <si>
    <t>[889]</t>
  </si>
  <si>
    <t>['FV889 S4D1 m2446-2543']</t>
  </si>
  <si>
    <t>LINESTRING Z (851896.981892285 7883706.59971104 -999999, 851888.118350618 7883727.50179437 -999999, 851880.842308952 7883747.74241937 -999999, 851876.476683952 7883762.02991937 -999999, 851875.418350619 7883770.36429437 -999999, 851876.608975618 7883779.75700271 -999999, 851880.577725618 7883792.98616937 -999999, 851885.075642285 7883798.27783604 -999999, 851892.087100618 7883802.37887771 -999999, 851899.230850618 7883804.89241937 -999999, 851897.643350619 7883793.25075271 -999999, 851896.585017285 7883784.1226277 -999999, 851895.526683952 7883771.55491937 -999999, 851895.394392285 7883760.44241937 -999999, 851895.394392285 7883747.87471104 -999999, 851896.188142285 7883729.88304437 -999999, 851896.981892285 7883706.59971104 -999999)</t>
  </si>
  <si>
    <t>[894]</t>
  </si>
  <si>
    <t>['FV894 S1D1 m9586-9640']</t>
  </si>
  <si>
    <t>LINESTRING (953179.75 7919480.64, 953188.11 7919481.91, 953195.52 7919483.92, 953202.08 7919486.67, 953207.59 7919489.11, 953212.35 7919492.39, 953215 7919495.35, 953216.8 7919499.16, 953217.85 7919505.51, 953217.96 7919512.18, 953217.3200000001 7919517.68, 953204.31 7919505.41, 953195.73 7919496.83, 953187.48 7919488.47, 953179.54 7919480.85)</t>
  </si>
  <si>
    <t>['FV98 S3D1 m11821-11882']</t>
  </si>
  <si>
    <t>LINESTRING Z (897474.318894283 7839041.9412695 -999999, 897476.541394282 7839037.0200195 -999999, 897478.763894283 7839033.84501949 -999999, 897480.510144283 7839031.3050195 -999999, 897503.528894283 7839019.8750195 -999999, 897509.561394283 7839019.2400195 -999999, 897517.816394283 7839018.7637695 -999999, 897525.436394283 7839019.3987695 -999999, 897533.056394282 7839016.8587695 -999999, 897536.231394283 7839013.6837695 -999999, 897538.930144283 7839010.6675195 -999999, 897547.343894283 7839025.9075195 -999999, 897560.202644283 7839020.5100195 -999999, 897546.708894283 7838997.0150195 -999999, 897542.898894283 7838992.2525195 -999999, 897534.326394283 7838988.7600195 -999999, 897527.182644283 7838988.4425195 -999999, 897519.403894283 7838989.0775195 -999999, 897509.402644283 7838976.6950195 -999999, 897503.370144283 7838979.3937695 -999999, 897513.212644283 7838994.6337695 -999999, 897507.338894282 7839002.8887695 -999999, 897501.782644283 7839008.7625195 -999999, 897497.178894283 7839012.8900195 -999999, 897492.892644283 7839015.9062695 -999999, 897477.335144283 7839023.2087695 -999999, 897473.048894283 7839023.2087695 -999999, 897467.810144283 7839021.9387695 -999999, 897463.682644283 7839020.5100195 -999999, 897474.001394283 7839041.9412695 -999999)</t>
  </si>
  <si>
    <t>[890]</t>
  </si>
  <si>
    <t>['FV890 S6D1 m9030-9088']</t>
  </si>
  <si>
    <t>LINESTRING Z (1018431.851421 7893939.590933 -999999, 1018437.883921 7893935.463433 -999999, 1018442.540587 7893931.547599 -999999, 1018447.303087 7893926.785099 -999999, 1018450.266421 7893922.234266 -999999, 1018451.853921 7893916.836766 -999999, 1018452.065587 7893909.745933 -999999, 1018451.007254 7893903.607599 -999999, 1018448.890587 7893896.305099 -999999, 1018445.715587 7893891.119266 -999999, 1018442.011421 7893886.568433 -999999, 1018437.460587 7893883.075933 -999999, 1018432.380587 7893881.805933 -999999, 1018427.723921 7893881.911766 -999999, 1018422.114754 7893882.864266 -999999, 1018417.034754 7893884.134266 -999999, 1018411.108087 7893885.933433 -999999, 1018431.957254 7893939.908433 -999999)</t>
  </si>
  <si>
    <t>['FV890 S6D1 m4408-4474']</t>
  </si>
  <si>
    <t>LINESTRING Z (1018932.707671 7889618.124891 -999999, 1018935.247671 7889614.235516 -999999, 1018937.787671 7889612.568641 -999999, 1018941.438921 7889611.219266 -999999, 1018946.677671 7889609.552391 -999999, 1018950.011421 7889608.361766 -999999, 1018952.868921 7889606.933016 -999999, 1018954.932671 7889605.345516 -999999, 1018956.361421 7889603.123016 -999999, 1018956.678921 7889599.471766 -999999, 1018951.757671 7889562.721141 -999999, 1018950.567046 7889559.308016 -999999, 1018948.741421 7889556.609266 -999999, 1018945.804546 7889554.942391 -999999, 1018942.550171 7889554.545516 -999999, 1018937.787671 7889555.021766 -999999, 1018934.612671 7889555.736141 -999999, 1018930.882046 7889556.133016 -999999, 1018927.548296 7889556.212391 -999999, 1018924.532046 7889555.101141 -999999, 1018920.642671 7889552.958016 -999999, 1018926.754546 7889583.279266 -999999, 1018930.008921 7889601.138641 -999999, 1018932.707671 7889618.283641 -999999)</t>
  </si>
  <si>
    <t>['FV890 S5D1 m11096-11131']</t>
  </si>
  <si>
    <t>LINESTRING Z (1019676.768921 7883633.567391 -999999, 1019680.261421 7883630.868641 -999999, 1019683.515796 7883629.836766 -999999, 1019688.516421 7883629.757391 -999999, 1019696.136421 7883630.868641 -999999, 1019704.629546 7883632.773641 -999999, 1019710.979546 7883634.519891 -999999, 1019716.932671 7883635.948641 -999999, 1019720.980796 7883636.266141 -999999, 1019724.552671 7883635.710516 -999999, 1019727.410171 7883634.043641 -999999, 1019729.553296 7883631.265516 -999999, 1019730.982046 7883625.312391 -999999, 1019731.378921 7883619.914891 -999999, 1019730.982046 7883615.549266 -999999, 1019729.473921 7883611.421766 -999999, 1019726.775171 7883609.596141 -999999, 1019722.885796 7883608.723016 -999999, 1019719.234546 7883608.723016 -999999, 1019715.503921 7883609.596141 -999999, 1019713.122671 7883611.580516 -999999, 1019711.932046 7883614.914266 -999999, 1019711.058921 7883617.216141 -999999, 1019709.630171 7883619.438641 -999999, 1019707.963296 7883621.184891 -999999, 1019705.740796 7883622.216766 -999999, 1019702.883296 7883622.772391 -999999, 1019696.374546 7883622.375516 -999999, 1019690.818296 7883621.899266 -999999, 1019687.246421 7883621.343641 -999999, 1019684.865171 7883620.232391 -999999, 1019683.118921 7883618.644891 -999999, 1019682.087046 7883616.978016 -999999, 1019680.975796 7883614.438016 -999999, 1019676.610171 7883633.646766 -999999)</t>
  </si>
  <si>
    <t>2017-10-17</t>
  </si>
  <si>
    <t>['FV890 S5D1 m1691-1770']</t>
  </si>
  <si>
    <t>LINESTRING Z (1014904.320587 7878298.747183 -999999, 1014907.707254 7878300.652183 -999999, 1014909.823921 7878302.980516 -999999, 1014920.513087 7878330.073849 -999999, 1014923.158921 7878333.037183 -999999, 1014927.180587 7878335.048016 -999999, 1014933.213087 7878335.788849 -999999, 1014977.663087 7878325.417183 -999999, 1014980.414754 7878323.723849 -999999, 1014982.425587 7878321.078016 -999999, 1014983.378087 7878316.844683 -999999, 1014983.166421 7878313.352183 -999999, 1014977.768921 7878288.163849 -999999, 1014977.980587 7878286.153016 -999999, 1014979.038921 7878283.824683 -999999, 1014981.578921 7878280.967183 -999999, 1014954.485587 7878287.105516 -999999, 1014925.381421 7878293.878849 -999999, 1014904.320587 7878298.747183 -999999)</t>
  </si>
  <si>
    <t>['FV889 S5D1 m15178-15255']</t>
  </si>
  <si>
    <t>LINESTRING Z (850035.454087897 7904539.0042405 -999999, 850044.979087897 7904545.46007384 -999999, 850051.329087897 7904549.69340717 -999999, 850056.726587897 7904553.08007384 -999999, 850060.007421231 7904555.09090717 -999999, 850064.346587897 7904556.67840717 -999999, 850071.225754564 7904557.7367405 -999999, 850078.210754564 7904557.94840717 -999999, 850083.608254564 7904557.52507384 -999999, 850089.005754564 7904556.25507384 -999999, 850093.133254564 7904554.03257384 -999999, 850097.472421231 7904551.0692405 -999999, 850103.399087897 7904547.68257384 -999999, 850112.500754564 7904543.4492405 -999999, 850100.224087898 7904541.33257384 -999999, 850085.619087898 7904539.85090717 -999999, 850073.342421231 7904539.11007384 -999999, 850057.996587897 7904538.79257384 -999999, 850044.555754564 7904539.11007384 -999999, 850035.348254564 7904539.3217405 -999999)</t>
  </si>
  <si>
    <t>['FV888 S5D1 m9758-9809']</t>
  </si>
  <si>
    <t>LINESTRING Z (962235.531041666 7912464.71309896 -999999, 962214.232083333 7912456.11414062 -999999, 962213.570625 7912452.27768229 -999999, 962231.562291666 7912411.66414062 -999999, 962235.39875 7912409.81205729 -999999, 962254.845625 7912417.22039062 -999999, 962235.266458333 7912464.58080729 -999999)</t>
  </si>
  <si>
    <t>['FV98 S6D1 m8175-8222']</t>
  </si>
  <si>
    <t>LINESTRING Z (933606.930144283 7850183.30731116 -999999, 933613.385977616 7850175.68731116 -999999, 933617.936810949 7850169.23147783 -999999, 933620.265144283 7850164.9981445 -999999, 933622.064310949 7850161.8231445 -999999, 933623.651810949 7850159.9181445 -999999, 933625.662644283 7850159.49481116 -999999, 933629.155144283 7850160.76481116 -999999, 933631.483477616 7850162.88147783 -999999, 933632.541810949 7850165.20981116 -999999, 933633.388477616 7850168.38481116 -999999, 933634.870144282 7850169.54897783 -999999, 933636.351810949 7850169.23147783 -999999, 933637.939310949 7850165.73897783 -999999, 933640.267644282 7850163.7281445 -999999, 933642.384310949 7850161.71731116 -999999, 933643.760144283 7850159.81231116 -999999, 933643.654310949 7850158.0131445 -999999, 933641.537644283 7850156.53147783 -999999, 933631.165977616 7850152.50981116 -999999, 933628.837644282 7850149.7581445 -999999, 933626.509310949 7850146.79481116 -999999, 933621.640977616 7850144.9956445 -999999, 933616.243477616 7850143.0906445 -999999, 933613.068477616 7850140.97397783 -999999, 933611.057644282 7850138.0106445 -999999, 933609.046810949 7850135.99981116 -999999, 933606.718477616 7850183.62481116 -999999)</t>
  </si>
  <si>
    <t>['FV98 S4D1 m3386-3484']</t>
  </si>
  <si>
    <t>LINESTRING Z (901100.142435949 7842297.7450195 -999999, 901106.889310949 7842294.30543616 -999999, 901114.297644283 7842291.92418616 -999999, 901125.277852616 7842289.8075195 -999999, 901139.433060949 7842289.27835283 -999999, 901160.732019283 7842291.26272783 -999999, 901172.241394283 7842294.04085283 -999999, 901183.353894283 7842298.27418616 -999999, 901191.688269283 7842303.56585283 -999999, 901196.715352616 7842307.79918616 -999999, 901169.198685949 7842304.62418616 -999999, 901139.036185949 7842301.18460283 -999999, 901099.877852616 7842298.1418945 -999999)</t>
  </si>
  <si>
    <t>['FV98 S2D1 m514-569']</t>
  </si>
  <si>
    <t>LINESTRING Z (887366.335977616 7813423.47481116 -999999, 887385.385977616 7813427.7081445 -999999, 887398.720977616 7813428.87231116 -999999, 887405.388477616 7813399.34481116 -999999, 887400.837644282 7813398.49814449 -999999, 887399.779310949 7813394.05314449 -999999, 887399.673477616 7813388.44397783 -999999, 887399.355977616 7813383.04647783 -999999, 887400.414310949 7813376.48481116 -999999, 887391.735977616 7813372.88647783 -999999, 887388.455144282 7813380.40064449 -999999, 887383.692644282 7813391.51314449 -999999, 887379.353477616 7813400.19147783 -999999, 887373.532644282 7813410.77481116 -999999, 887366.441810949 7813423.58064449 -999999)</t>
  </si>
  <si>
    <t>2024-10-24</t>
  </si>
  <si>
    <t>2025-11-22T09:07:59Z</t>
  </si>
  <si>
    <t>['EV134 S19D1 m5979 SD1 m7-152']</t>
  </si>
  <si>
    <t>LINESTRING Z (79818.59 6645293.35 588.41, 79815.15 6645293.97 588.41, 79812.35 6645294.5 588.37, 79809.92 6645294.85 588.36, 79808.04000000001 6645295.1 588.3100000000001, 79805.01000000001 6645295.17 588.24, 79795.73 6645294.67 588.3100000000001, 79784.73 6645293.97 588.72, 79773 6645292.9 589.03, 79761.9 6645291.57 589.38, 79749.9 6645289.78 589.82, 79739.58 6645287.92 590.3100000000001, 79733.09 6645286.41 590.75, 79727.87 6645285.06 591.16, 79722.91 6645283.47 591.4, 79717.66 6645281.43 591.99, 79712.12 6645278.89 592.51, 79707.5 6645276.57 592.89, 79702.73 6645274.06 593.21, 79696.32 6645270.62 593.95, 79691.28 6645267.56 594.48, 79687.18 6645264.82 594.59, 79681.38 6645260.89 594.63)</t>
  </si>
  <si>
    <t>['EV134 S22D1 m5149 SD1 m4-122']</t>
  </si>
  <si>
    <t>LINESTRING Z (95098.9 6634288.13 511.7, 95100.72 6634288.73 511.78000000000003, 95102.62 6634289.49 511.79, 95104.81 6634290.65 511.79, 95107.3 6634292.22 511.78000000000003, 95109.42 6634294.16 511.75, 95111.16 6634296.41 511.65000000000003, 95112.98999999999 6634299.29 511.62, 95114.57 6634302.93 511.62, 95117.62 6634310.79 511.64, 95121.41 6634320.95 511.76, 95126.75 6634336.08 511.90000000000003, 95131.23000000001 6634349.96 511.94, 95134.27 6634360.33 512, 95136.95999999999 6634370.72 512.08, 95138.16 6634375.93 512.11, 95138.48000000001 6634379.37 512.17, 95138.35 6634382.37 512.25, 95137.83 6634386.29 512.34, 95136.88 6634389.67 512.38, 95136.22 6634391.62 512.39, 95135.2 6634393.8 512.23)</t>
  </si>
  <si>
    <t>2025-11-26T14:30:17Z</t>
  </si>
  <si>
    <t>['EV134 S30D1 m1303 SD1 m5-110']</t>
  </si>
  <si>
    <t>LINESTRING Z (126848.56879498647 6612165.253257716 426.71000000000004, 126855.21471120842 6612162.013101381 426.71000000000004, 126858.79535437736 6612160.804559878 426.67, 126862.22640526306 6612160.384414039 426.66, 126870.05535743339 6612160.434338488 426.6, 126874.44539934187 6612160.882773018 426.52, 126886.27726809913 6612162.361364843 426.3, 126898.44645330106 6612163.96334536 426.09000000000003, 126910.81508245465 6612165.22041315 425.96000000000004, 126921.23572118313 6612166.099763098 425.78000000000003, 126932.03712554148 6612166.851549812 425.62, 126937.65627222764 6612167.502771666 425.59000000000003, 126938.97673070134 6612167.763654679 425.58, 126943.42937557132 6612169.0130567765 425.6, 126946.37510165799 6612170.076192119 425.61, 126951.75909687753 6612172.43235172 425.84000000000003)</t>
  </si>
  <si>
    <t>2025-11-27</t>
  </si>
  <si>
    <t>2025-11-27T15:25:06Z</t>
  </si>
  <si>
    <t>['EV134 S30D1 m1399 SD1 m4-126']</t>
  </si>
  <si>
    <t>LINESTRING Z (127050.04925868125 6612154.453434285 425.79, 127048.00790010666 6612158.06445694 425.74, 127045.13539622421 6612162.778318778 425.65000000000003, 127043.86884975666 6612164.720404217 425.51, 127042.38810123672 6612166.515660819 425.44, 127040.90575631347 6612168.008406975 425.42, 127037.89539583045 6612169.675666701 425.44, 127034.80438711395 6612171.048286476 425.43, 127032.06407993176 6612172.105750707 425.43, 127026.29499936226 6612173.957939249 425.46000000000004, 127017.49984959932 6612176.402817531 425.46000000000004, 127006.5265993657 6612178.907595931 425.42, 126993.008598822 6612181.8563042 425.43, 126985.1672409334 6612183.399191843 425.43, 126972.69497055095 6612185.739421832 425.42, 126968.30856871116 6612186.243369845 425.47, 126963.6845121492 6612186.47952225 425.56, 126959.89994755067 6612186.441531686 425.6, 126956.35989531624 6612186.110160599 425.67, 126953.17827035754 6612185.5413271375 425.71000000000004, 126946.73655235162 6612183.615567152 425.90000000000003, 126943.02925595973 6612181.776292983 425.98, 126939.98811394873 6612179.411085845 425.90000000000003)</t>
  </si>
  <si>
    <t>['EV134 S27D1 m1543 SD1 m4-61']</t>
  </si>
  <si>
    <t>LINESTRING Z (112396.94 6618799.39 694.99, 112396.86 6618798.53 694.86, 112396.87 6618797.74 694.73, 112396.94 6618796.93 694.61, 112397.38 6618795.24 694.34, 112398.23999999999 6618792.75 693.92, 112398.95999999999 6618791.08 693.64, 112399.39 6618790.22 693.49, 112400.54000000001 6618788.13 693.32, 112401.45000000001 6618786.63 693.1800000000001, 112402.28 6618785.47 693.15, 112403.17 6618784.29 693.0600000000001, 112404.07 6618783.21 693.07, 112404.61 6618782.58 693.0500000000001, 112405.75 6618781.38 693.03, 112407.39 6618779.78 693, 112409.07 6618778.22 693, 112410.73000000001 6618776.69 693, 112412.42 6618775.18 692.9300000000001, 112414.98999999999 6618773.09 692.84, 112417.37 6618771.28 692.75, 112420.81 6618768.68 692.74, 112422.26000000001 6618767.63 692.6800000000001, 112423.94 6618766.63 692.66, 112424.95999999999 6618766.15 692.63, 112425.76000000001 6618765.84 692.58, 112427.01000000001 6618765.47 692.54, 112428.9 6618765.08 692.47, 112430.9 6618765.02 692.48, 112433.73000000001 6618765.11 692.58, 112437.02 6618765.38 692.99)</t>
  </si>
  <si>
    <t>['EV134 S24D1 m5950 SD1 m5-69']</t>
  </si>
  <si>
    <t>LINESTRING Z (101823.19 6625339.15 533.4300000000001, 101822.9 6625340.28 533.4300000000001, 101822.25 6625341.64 533.39, 101821.44 6625343.15 533.36, 101820.53 6625344.47 533.27, 101819.61 6625345.79 533.29, 101817.45999999999 6625348.15 533.07, 101815.23999999999 6625350.5 533.01, 101813.06 6625352.8 532.9, 101810.72 6625354.97 532.8, 101809.56 6625356.06 532.75, 101807.44 6625357.99 532.72, 101805.04000000001 6625359.98 532.75, 101803.94 6625360.8 532.75, 101802.75 6625361.61 532.75, 101800.41 6625362.89 532.75, 101798.26000000001 6625363.92 532.75, 101795.45999999999 6625365.1 532.77, 101793.6 6625365.6 532.8, 101791.86 6625365.92 532.83, 101788.88 6625366.29 532.82, 101787.59 6625366.27 532.8, 101785.33 6625366.07 532.86, 101781.51000000001 6625365.42 533.02, 101778.25 6625364.69 533.29, 101776.81 6625364.18 533.1800000000001, 101775.53 6625363.6 533.3, 101773.23000000001 6625362.52 533.4300000000001, 101770.70999999999 6625361.33 533.52)</t>
  </si>
  <si>
    <t>['EV134 S16D1 m933 SD1 m4-86']</t>
  </si>
  <si>
    <t>LINESTRING Z (61714.57 6659352.65 985.5, 61712.28 6659349.8 984.9300000000001, 61709.72 6659347.29 984.82, 61706.61 6659344.74 984.8000000000001, 61702.49 6659341.64 984.8100000000001, 61705.89 6659337.34 985.0500000000001, 61709.67 6659332.1 985.11, 61712.02 6659328.13 985.14, 61713.68 6659325.6 985.09, 61719.25 6659317.73 985.0400000000001, 61721.97 6659313.65 985.07, 61726.11 6659307.01 985.13, 61731.07 6659299.36 985.2, 61736.06 6659291.79 985.27, 61739.07 6659287.23 985.32)</t>
  </si>
  <si>
    <t>['FV862 S9D1 m7330-7402', 'FV862 S9D1 m7360 SD1 m3-61']</t>
  </si>
  <si>
    <t>LINESTRING Z (591224.312587681 7710454.23744216 -999999, 591211.189254348 7710447.46410883 -999999, 591194.255921014 7710518.16077549 -999999, 591183.460921014 7710514.77410883 -999999, 591207.590921014 7710418.46577549 -999999, 591212.670921014 7710375.28577549 -999999, 591232.355921014 7710350.94410883 -999999, 591227.910921014 7710386.71577549 -999999, 591225.370921014 7710426.50910883 -999999, 591224.312587681 7710454.87244216 -999999)</t>
  </si>
  <si>
    <t>['FV98 S2D1 m6083-6146']</t>
  </si>
  <si>
    <t>LINESTRING Z (888102.406810949 7818633.46460283 -999999, 888098.490977616 7818626.05626949 -999999, 888096.162644282 7818623.72793616 -999999, 888093.305144283 7818623.30460283 -999999, 888068.963477616 7818624.04543616 -999999, 888065.576810949 7818623.41043616 -999999, 888063.354310949 7818621.2937695 -999999, 888062.295977616 7818617.16626949 -999999, 888059.332644282 7818591.7662695 -999999, 888059.226810949 7818585.62793616 -999999, 888059.544310949 7818581.2887695 -999999, 888061.131810949 7818575.36210283 -999999, 888063.142644283 7818571.86960283 -999999, 888065.365144282 7818570.49376949 -999999, 888069.280977616 7818569.43543616 -999999, 888076.054310949 7818568.27126949 -999999, 888082.721810949 7818567.84793616 -999999, 888087.272644282 7818568.16543616 -999999, 888090.765144283 7818570.28210283 -999999, 888092.987644283 7818574.40960283 -999999, 888095.633477616 7818580.75960283 -999999, 888096.268477616 7818588.27376949 -999999, 888096.480144282 7818594.6237695 -999999, 888096.374310949 7818604.67793616 -999999, 888096.374310949 7818608.27626949 -999999, 888097.750144283 7818611.23960283 -999999, 888100.290144283 7818612.61543616 -999999, 888103.253477616 7818612.08626949 -999999, 888106.322644282 7818609.65210283 -999999, 888102.512644283 7818633.78210283 -999999)</t>
  </si>
  <si>
    <t>['FV888 S4D1 m17120-17198']</t>
  </si>
  <si>
    <t>LINESTRING Z (963862.850833333 7904039.45372396 -999999, 963863.512291666 7904033.36830729 -999999, 963864.306041666 7904029.53184896 -999999, 963865.364375 7904026.22455729 -999999, 963866.819583333 7904021.99122396 -999999, 963868.407083333 7904017.62559896 -999999, 963870.126875 7904014.05372396 -999999, 963871.3175 7904010.61414062 -999999, 963872.508125 7904006.77768229 -999999, 963873.037291666 7904003.73497396 -999999, 963873.169583333 7904000.95684896 -999999, 963873.037291666 7903997.78184896 -999999, 963872.905 7903995.26830729 -999999, 963872.375833333 7903992.62247396 -999999, 963870.788333333 7903990.10893229 -999999, 963868.93625 7903987.85997396 -999999, 963865.893541666 7903984.81726562 -999999, 963861.924791666 7903982.70059896 -999999, 963857.294583333 7903980.18705729 -999999, 963852.532083333 7903978.07039062 -999999, 963847.901875 7903975.68914062 -999999, 963842.610208333 7903973.04330729 -999999, 963838.112291666 7903970.79434896 -999999, 963834.937291666 7903969.07455729 -999999, 963831.100833333 7903966.82559896 -999999, 963839.699791666 7903979.79018229 -999999, 963844.462291666 7903988.65372396 -999999, 963848.960208333 7903997.51726562 -999999, 963852.796666666 7904006.38080729 -999999, 963856.103958333 7904014.31830729 -999999, 963858.882083333 7904023.04955729 -999999, 963861.131041666 7904031.38393229 -999999, 963862.850833333 7904039.98289062 -999999)</t>
  </si>
  <si>
    <t>['FV889 S4D1 m55-149']</t>
  </si>
  <si>
    <t>LINESTRING Z (851506.986058952 7881561.35804437 -999999, 851502.488142285 7881571.41221104 -999999, 851501.032933952 7881578.29137771 -999999, 851502.752725618 7881587.55179437 -999999, 851513.071475618 7881614.01012771 -999999, 851517.701683952 7881622.21221104 -999999, 851522.464183952 7881628.56221104 -999999, 851528.681892285 7881636.36741937 -999999, 851536.487100618 7881643.90804437 -999999, 851541.646475619 7881647.08304437 -999999, 851546.408975618 7881648.5382527 -999999, 851552.097517285 7881648.80283604 -999999, 851543.101683952 7881631.60491937 -999999, 851534.635017285 7881615.33304437 -999999, 851523.919392285 7881594.16637771 -999999, 851515.849600619 7881578.15908604 -999999, 851507.118350618 7881561.35804437 -999999)</t>
  </si>
  <si>
    <t>2015-05-28</t>
  </si>
  <si>
    <t>2025-11-22T09:08:07Z</t>
  </si>
  <si>
    <t>[863]</t>
  </si>
  <si>
    <t>['FV863 S4D1 m3067-3152']</t>
  </si>
  <si>
    <t>LINESTRING Z (668912.937389647 7756790.56265746 -999999, 668922.197641563 7756787.06183051 -999999, 668929.086365549 7756786.1583913 -999999, 668935.975089536 7756786.1583913 -999999, 668942.412093916 7756787.62648002 -999999, 668949.752537508 7756791.57902657 -999999, 668973.91953641 7756815.74602547 -999999, 668983.066858425 7756825.34506709 -999999, 668986.454755467 7756830.99156216 -999999, 668987.809914284 7756835.62168812 -999999, 668987.358194678 7756840.25181408 -999999, 668985.09959665 7756843.97850083 -999999, 668981.259980002 7756845.67244935 -999999, 668976.403994241 7756846.12416895 -999999, 668970.192849664 7756846.12416895 -999999, 668966.466162917 7756846.91467826 -999999, 668961.497247255 7756848.49569688 -999999, 668958.109350213 7756850.98015471 -999999, 668939.475916479 7756825.34506709 -999999, 668924.795029296 7756805.80819415 -999999, 668912.711529845 7756790.67558736 -999999)</t>
  </si>
  <si>
    <t>POLYGON Z ((668912.937389647 7756790.56265746 -999999, 668922.197641563 7756787.06183051 -999999, 668929.086365549 7756786.1583913 -999999, 668935.975089536 7756786.1583913 -999999, 668942.412093916 7756787.62648002 -999999, 668949.752537508 7756791.57902657 -999999, 668973.91953641 7756815.74602547 -999999, 668983.066858425 7756825.34506709 -999999, 668986.454755467 7756830.99156216 -999999, 668987.809914284 7756835.62168812 -999999, 668987.358194678 7756840.25181408 -999999, 668985.09959665 7756843.97850083 -999999, 668981.259980002 7756845.67244935 -999999, 668976.403994241 7756846.12416895 -999999, 668970.192849664 7756846.12416895 -999999, 668966.466162917 7756846.91467826 -999999, 668961.497247255 7756848.49569688 -999999, 668958.109350213 7756850.98015471 -999999, 668939.475916479 7756825.34506709 -999999, 668924.795029296 7756805.80819415 -999999, 668912.711529845 7756790.67558736 -999999, 668912.937389647 7756790.56265746 -999999))</t>
  </si>
  <si>
    <t>['FV889 S5D1 m3285-3426']</t>
  </si>
  <si>
    <t>LINESTRING Z (849386.112517285 7895600.86408604 -999999, 849375.952517285 7895606.89658604 -999999, 849373.571267285 7895613.88158604 -999999, 849373.730017285 7895620.70783604 -999999, 849372.301267285 7895625.15283604 -999999, 849367.697517285 7895629.12158604 -999999, 849359.760017285 7895630.23283604 -999999, 849352.140017285 7895633.56658604 -999999, 849344.837517285 7895640.07533604 -999999, 849343.250017285 7895646.42533604 -999999, 849344.996267285 7895650.87033604 -999999, 849352.298767285 7895657.22033604 -999999, 849365.792517285 7895663.41158604 -999999, 849370.713767285 7895662.14158604 -999999, 849375.158767285 7895654.83908604 -999999, 849378.333767285 7895648.01283604 -999999, 849382.620017285 7895642.13908604 -999999, 849387.541267285 7895637.05908604 -999999, 849391.510017285 7895636.10658604 -999999, 849433.102517285 7895713.73533604 -999999, 849438.341267285 7895717.22783604 -999999, 849445.167517285 7895719.76783604 -999999, 849457.550017285 7895723.73658604 -999999, 849451.517517285 7895715.32283604 -999999, 849444.056267285 7895705.95658604 -999999, 849437.865017285 7895695.79658604 -999999, 849431.515017285 7895686.27158604 -999999, 849425.641267285 7895675.63533604 -999999, 849413.893767285 7895652.29908604 -999999, 849401.511267285 7895628.48658604 -999999, 849386.271267285 7895600.86408604 -999999)</t>
  </si>
  <si>
    <t>2017-09-28</t>
  </si>
  <si>
    <t>[560]</t>
  </si>
  <si>
    <t>['FV560 S2D110 m1684', 'FV560 S2D1 m4690 SD1 m0-204']</t>
  </si>
  <si>
    <t>LINESTRING Z (-48829.8639984131 6718771.26806641 57.922, -48828.6829986572 6718774.08496094 57.934, -48828.3220062256 6718775.04101563 57.937, -48827.2619934082 6718777.89892578 57.918, -48826.904006958 6718778.86303711 57.909, -48825.8589935303 6718781.74511719 57.886, -48825.6239929199 6718782.56591797 57.886, -48824.4880065918 6718785.58007813 57.861, -48824.1430053711 6718786.51708984 57.856, -48823.029006958 6718789.63305664 57.813, -48822.6940002441 6718790.56811524 57.795, -48821.6600036621 6718793.43994141 57.74, -48821.3220062256 6718794.36889648 57.716, -48820.2660064697 6718797.35498047 57.716, -48819.9290008545 6718798.24511719 57.6, -48818.9250030518 6718801.12695313 57.507, -48818.578994751 6718802.08398438 57.472, -48817.5379943848 6718804.9440918 57.364, -48817.1959991455 6718805.89892578 57.329, -48816.1380004883 6718808.79907227 57.213, -48815.7510070801 6718809.73706055 57.18, -48814.5110015869 6718812.53588867 57.076, -48814.050994873 6718813.41992188 57.039, -48812.3209991455 6718815.98388672 56.916, -48811.6519927979 6718816.72607422 56.87, -48809.3630065918 6718818.70288086 56.733, -48808.5310058594 6718819.25195313 56.684, -48805.8070068359 6718820.61791992 56.536, -48804.858001709 6718820.91210938 56.493, -48801.779006958 6718821.38208008 56.399, -48800.7850036621 6718821.39892578 56.369, -48797.7769927978 6718821.06201172 56.31, -48796.7870025635 6718820.80102539 56.299, -48793.9510040283 6718819.6550293 56.273, -48793.0429992676 6718819.2109375 56.264, -48790.3910064697 6718817.67407227 56.234, -48789.5489959717 6718817.11010742 56.227, -48787.0670013428 6718815.30908203 56.229, -48786.279006958 6718814.70507813 56.227, -48783.845993042 6718812.77905273 56.183)</t>
  </si>
  <si>
    <t>2016-10-10</t>
  </si>
  <si>
    <t>2025-04-30T11:39:31Z</t>
  </si>
  <si>
    <t>[2800]</t>
  </si>
  <si>
    <t>['KV2800 S5D1 m411-417']</t>
  </si>
  <si>
    <t>LINESTRING (29797.79340779566 6687041.968535346, 29799.648461366305 6687046.402159186)</t>
  </si>
  <si>
    <t>2016-10-17</t>
  </si>
  <si>
    <t>[2000]</t>
  </si>
  <si>
    <t>['KV2000 S3D1 m66-69']</t>
  </si>
  <si>
    <t>LINESTRING (30173.024677293957 6689354.900535804, 30172.514229322667 6689360.415836364)</t>
  </si>
  <si>
    <t>2017-03-20</t>
  </si>
  <si>
    <t>[4600]</t>
  </si>
  <si>
    <t>['KV4600 S2D1 m0-56']</t>
  </si>
  <si>
    <t>LINESTRING Z (-39147.74 6581865.57 3.27, -39146.28 6581865.17 3.27, -39145.24 6581864.84 3.28, -39144.87 6581864.7 3.29, -39144.53 6581864.39 3.3, -39144.36 6581864 3.32, -39144.23 6581863.52 3.32, -39144.16 6581862.86 3.34, -39144.77 6581859.68 3.42, -39138.74 6581858.49 3.61, -39132.12 6581857.64 3.841, -39126.36 6581857.22 4.021, -39121.01 6581857.15 4.191, -39119.48 6581861.74 3.971, -39117.19 6581868.87 3.611, -39113.46 6581880.67 2.991, -39112.9 6581882.85 2.881, -39112.76 6581884 2.851, -39112.93 6581885.96 2.731, -39113.25 6581889.1 2.591, -39113.25 6581889.24 2.591, -39113.15 6581889.38 2.601, -39113.09 6581889.47 2.591, -39112.75 6581889.61 2.571, -39109.66 6581890.01 2.491, -39106.34 6581890.5 2.431, -39103.07 6581891.22 2.391, -39100.05 6581892.07 2.361, -39100.6 6581894.09 2.271, -39101.25 6581896.4 2.191, -39101.23 6581896.65 2.181, -39101.04 6581896.84 2.171, -39100.84 6581896.95 2.181, -39098.5 6581897.69 2.131, -39094.36 6581899.21 1.981, -39091.34 6581900.45 1.881, -39089.31 6581901.31 1.841, -39084.47 6581903.88 1.741, -39081.81 6581905.52 1.671, -39079.09 6581907.25 1.581, -39081.74 6581911.24 1.461, -39085.16 6581916.44 1.361, -39087.36 6581915.07 1.321, -39090.99 6581912.88 1.251, -39091.16 6581912.82 1.241, -39091.45 6581912.82 1.231, -39091.67 6581913 1.221, -39093.34 6581916.31 1.131, -39095.92 6581921.43 0.981, -39094.18 6581922.43 1.021, -39095.63 6581922.9 1.021, -39097.98 6581921.82 1.001, -39101.01 6581920.39 1.051, -39102.85 6581919.56 1.091, -39104.99 6581918.82 1.131, -39106.08 6581918.46 1.161, -39106.39 6581918.43 1.171, -39106.53 6581918.39 1.201, -39106.79 6581918.49 1.201, -39106.98 6581918.75 1.191, -39107.45 6581920.7 1.141, -39108.19 6581923.94 1.071, -39109.65 6581923.61 1.101, -39112.73 6581923.02 1.181, -39115.43 6581922.6 1.251, -39117.24 6581922.42 1.291, -39118.63 6581922.37 1.35, -39120.22 6581922.33 1.38, -39123.21 6581922.37 1.5, -39127.33 6581922.85 1.62, -39129.98 6581923.26 1.72, -39131.7 6581923.68 1.79, -39132.37 6581923.78 1.83, -39132.58 6581922.88 1.85, -39133.89 6581918.27 1.95, -39134.79 6581915.06 2.04, -39135.68 6581911.81 2.12, -39136.66 6581908.17 2.21, -39137.47 6581904.95 2.3, -39138.23 6581902.73 2.35, -39140.46 6581897.53 2.49, -39141.22 6581895.42 2.55, -39141.83 6581893.34 2.61, -39142.21 6581891.16 2.67, -39142.26 6581888.97 2.72, -39142.1 6581886.84 2.77, -39141.88 6581884.67 2.81, -39141.33 6581881.59 2.88, -39141.11 6581880.57 2.92, -39141.8 6581877.27 3, -39142.42 6581874.23 3.07, -39142.85 6581872.13 3.12, -39142.95 6581871.77 3.12, -39143.2 6581871.46 3.13, -39143.45 6581871.27 3.15, -39143.78 6581871.08 3.16, -39144.07 6581871.05 3.17, -39144.69 6581871.12 3.17, -39145.16 6581871.22 3.19, -39145.46 6581871.37 3.19, -39145.69 6581871.43 3.2)</t>
  </si>
  <si>
    <t>POLYGON Z ((-39147.74 6581865.57 3.27, -39146.28 6581865.17 3.27, -39145.24 6581864.84 3.28, -39144.87 6581864.7 3.29, -39144.53 6581864.39 3.3, -39144.36 6581864 3.32, -39144.23 6581863.52 3.32, -39144.16 6581862.86 3.34, -39144.77 6581859.68 3.42, -39138.74 6581858.49 3.61, -39132.12 6581857.64 3.841, -39126.36 6581857.22 4.021, -39121.01 6581857.15 4.191, -39119.48 6581861.74 3.971, -39117.19 6581868.87 3.611, -39113.46 6581880.67 2.991, -39112.9 6581882.85 2.881, -39112.76 6581884 2.851, -39112.93 6581885.96 2.731, -39113.25 6581889.1 2.591, -39113.25 6581889.24 2.591, -39113.15 6581889.38 2.601, -39113.09 6581889.47 2.591, -39112.75 6581889.61 2.571, -39109.66 6581890.01 2.491, -39106.34 6581890.5 2.431, -39103.07 6581891.22 2.391, -39100.05 6581892.07 2.361, -39100.6 6581894.09 2.271, -39101.25 6581896.4 2.191, -39101.23 6581896.65 2.181, -39101.04 6581896.84 2.171, -39100.84 6581896.95 2.181, -39098.5 6581897.69 2.131, -39094.36 6581899.21 1.981, -39091.34 6581900.45 1.881, -39089.31 6581901.31 1.841, -39084.47 6581903.88 1.741, -39081.81 6581905.52 1.671, -39079.09 6581907.25 1.581, -39081.74 6581911.24 1.461, -39085.16 6581916.44 1.361, -39087.36 6581915.07 1.321, -39090.99 6581912.88 1.251, -39091.16 6581912.82 1.241, -39091.45 6581912.82 1.231, -39091.67 6581913 1.221, -39093.34 6581916.31 1.131, -39095.92 6581921.43 0.981, -39094.18 6581922.43 1.021, -39095.63 6581922.9 1.021, -39097.98 6581921.82 1.001, -39101.01 6581920.39 1.051, -39102.85 6581919.56 1.091, -39104.99 6581918.82 1.131, -39106.08 6581918.46 1.161, -39106.39 6581918.43 1.171, -39106.53 6581918.39 1.201, -39106.79 6581918.49 1.201, -39106.98 6581918.75 1.191, -39107.45 6581920.7 1.141, -39108.19 6581923.94 1.071, -39109.65 6581923.61 1.101, -39112.73 6581923.02 1.181, -39115.43 6581922.6 1.251, -39117.24 6581922.42 1.291, -39118.63 6581922.37 1.35, -39120.22 6581922.33 1.38, -39123.21 6581922.37 1.5, -39127.33 6581922.85 1.62, -39129.98 6581923.26 1.72, -39131.7 6581923.68 1.79, -39132.37 6581923.78 1.83, -39132.58 6581922.88 1.85, -39133.89 6581918.27 1.95, -39134.79 6581915.06 2.04, -39135.68 6581911.81 2.12, -39136.66 6581908.17 2.21, -39137.47 6581904.95 2.3, -39138.23 6581902.73 2.35, -39140.46 6581897.53 2.49, -39141.22 6581895.42 2.55, -39141.83 6581893.34 2.61, -39142.21 6581891.16 2.67, -39142.26 6581888.97 2.72, -39142.1 6581886.84 2.77, -39141.88 6581884.67 2.81, -39141.33 6581881.59 2.88, -39141.11 6581880.57 2.92, -39141.8 6581877.27 3, -39142.42 6581874.23 3.07, -39142.85 6581872.13 3.12, -39142.95 6581871.77 3.12, -39143.2 6581871.46 3.13, -39143.45 6581871.27 3.15, -39143.78 6581871.08 3.16, -39144.07 6581871.05 3.17, -39144.69 6581871.12 3.17, -39145.16 6581871.22 3.19, -39145.46 6581871.37 3.19, -39145.69 6581871.43 3.2, -39147.74 6581865.57 3.27))</t>
  </si>
  <si>
    <t>['FV889 S1D1 m17723 SD1 m0-70']</t>
  </si>
  <si>
    <t>LINESTRING Z (858791.77 7862989.11 35.525, 858794.74 7862986.88 35.305, 858795.8 7862986.04 35.305, 858796.92 7862985.07 35.315, 858798.22 7862983.74 35.305, 858798.78 7862983.05 35.305, 858800.94 7862980.23 35.305, 858803.58 7862976.75 35.305, 858806.2 7862973.3 35.305, 858809.6 7862968.85 35.305, 858811.73 7862966.02 35.315, 858810.8 7862965.09 35.435, 858812.53 7862962.84 35.475, 858814.04 7862960.43 35.565, 858815.39 7862957.59 35.765, 858816.29 7862954.83 35.875, 858817.04 7862952.09 36.025, 858817.66 7862949.06 36.165, 858817.77 7862945.93 36.355, 858817.4 7862942.85 36.495, 858816.49 7862939.91 36.675, 858815.44 7862937.08 36.795, 858814.35 7862934.15 36.935, 858813.33 7862931.05 37.095, 858812.82 7862928.53 37.235, 858812.48 7862925.56 37.255, 858812.37 7862923.95 37.225, 858812.59 7862921.93 37.245, 858812.97 7862920.61 37.275, 858795.65 7862933.08 37.155, 858798.36 7862933.37 37.195, 858800.51 7862933.96 37.165, 858802.26 7862934.46 37.145, 858803.83 7862935.07 37.095, 858805.35 7862936.19 36.905, 858806.74 7862937.84 36.715, 858807.77 7862939.49 36.555, 858808.39 7862941.13 36.385, 858808.76 7862943.04 36.205, 858808.87 7862944.91 36.065, 858808.5 7862946.93 35.935, 858807.88 7862948.58 35.815, 858806.8 7862950.02 35.695, 858805.36 7862951.27 35.525, 858803.84 7862952.03 35.445, 858801.98 7862952.63 35.365, 858800.07 7862952.82 35.345, 858798.42 7862952.59 35.345, 858795.75 7862952.04 35.325, 858792.84 7862951.69 35.275, 858789.91 7862951.66 35.215, 858787.15 7862952.25 35.215, 858784.54 7862953.27 35.195, 858782.12 7862954.66 35.195, 858779.79 7862956.33 35.145, 858778.17 7862957.96 35.195, 858776.57 7862960.5 35.165, 858775.54 7862963.22 35.185, 858775.12 7862965.86 35.215, 858775.18 7862968.66 35.195, 858775.92 7862971.41 35.235, 858777.2 7862973.94 35.265, 858778.66 7862976.13 35.265, 858780.26 7862978.24 35.335, 858782.07 7862980.15 35.365, 858783.98 7862981.93 35.375, 858785.92 7862983.72 35.425, 858787.56 7862985.25 35.445, 858783.36 7862987.8 35.585, 858779.16 7862990.36 35.685, 858774.96 7862992.91 35.755, 858770.76 7862995.46 35.865, 858766.56 7862998.01 35.945, 858762.36 7863000.57 36.045, 858758.16 7863003.12 36.425, 858753.97 7863005.67 36.545, 858749.77 7863008.22 36.585, 858745.57 7863010.77 36.365, 858741.69 7863009.15 35.005, 858737.81 7863007.54 34.385, 858733.89 7863010.41 34.255, 858733.83 7863014.89 34.955, 858733.77 7863019.37 34.815, 858737.71 7863021.87 35.305, 858741.65 7863024.36 34.855, 858745.35 7863024.43 34.825, 858749.04 7863024.51 34.955, 858752.32 7863023.61 35.405, 858755.62 7863022.71 35.485, 858756.28 7863020.18 36.025, 858754.38 7863017.43 36.735, 858752.49 7863014.68 37.195, 858756.41 7863012.12 37.195, 858760.35 7863009.56 36.785, 858764.27 7863007.01 36.495, 858768.2 7863004.44 36.345, 858772.13 7863001.89 36.295, 858776.05 7862999.34 36.165, 858779.99 7862996.78 36.085, 858783.91 7862994.22 35.925, 858787.83 7862991.66 35.745, 858791.77 7862989.11 35.525)</t>
  </si>
  <si>
    <t>2025-09-02</t>
  </si>
  <si>
    <t>['FV889 S2D1 m13301 SD1 m3-90']</t>
  </si>
  <si>
    <t>LINESTRING Z (855624.9182034286 7871744.611489455 6.807, 855626.8409930788 7871744.502230655 6.497, 855630.4588428817 7871745.140846616 6.327, 855633.0489126313 7871746.2816113485 6.097, 855636.7099783509 7871748.861800723 6.367, 855639.2895225203 7871750.509988494 6.267, 855642.2890523027 7871752.316259113 5.827, 855645.0777334892 7871753.851027168 5.457, 855646.9275976354 7871754.567253851 5.337, 855649.9880951446 7871755.319874966 5.107, 855653.1995347195 7871755.576364187 4.937, 855656.1270597716 7871755.526966297 4.797, 855659.2882727307 7871755.141825375 4.777, 855659.7583426712 7871755.081695958 4.777, 855665.6395718597 7871753.8897198 4.237, 855669.6799406417 7871752.367618995 4.227, 855674.5709980887 7871750.280963525 4.267, 855703.4266784416 7871738.066923997 3.757, 855704.8110989297 7871738.651733508 3.817, 855712.6998358935 7871734.615107896 4.357, 855715.0775241295 7871730.981406199 4.397, 855717.5074756573 7871730.11662899 4.557, 855719.2175677681 7871729.305716377 4.687, 855720.7880327825 7871728.66466653 4.717, 855723.8487084492 7871727.788257342 4.857, 855726.4583201284 7871726.318839354 5.037, 855730.2699874698 7871727.497915016 4.007, 855733.4799673972 7871730.322462268 4.007, 855738.4278890113 7871734.116833111 4.007, 855743.8181955444 7871739.441867296 4.007, 855747.280898908 7871737.951374047 4.007, 855744.6390253991 7871734.132123719 4.007, 855740.0280262342 7871728.593096869 4.007, 855734.0904916889 7871723.621244238 4.007, 855726.928621405 7871720.48883118 4.007, 855723.7398677865 7871719.183733249 5.247, 855721.1605088371 7871717.162127683 5.127, 855719.8912996616 7871715.000635512 5.067, 855720.1606759276 7871714.071016187 4.897, 855721.0686685259 7871713.266791075 4.737, 855721.9997180011 7871711.900597624 4.447, 855720.4177565628 7871711.170855733 4.337, 855719.1781434449 7871709.523238413 4.307, 855718.0386032036 7871707.416555691 4.267, 855716.7905258657 7871706.333257046 4.307, 855715.6205615238 7871705.601936307 4.177, 855714.6787564373 7871704.104067668 4.097, 855714.277735014 7871702.455636265 3.867, 855713.6581061508 7871701.25851086 3.847, 855714.5285020177 7871699.78073216 3.767, 855714.399737648 7871697.859331936 3.697, 855713.5080468592 7871696.980461646 3.627, 855712.5998037306 7871696.483589615 4.067, 855712.150184201 7871695.3930174215 4.257, 855711.7375487578 7871694.421532407 4.147, 855711.2798515828 7871693.567245642 4.047, 855709.5700749187 7871695.283304124 4.937, 855703.6375760636 7871698.537329094 4.567, 855703.2672024018 7871698.885019538 3.857, 855698.4173618715 7871703.7387766335 3.767, 855689.5290762186 7871712.637846237 3.477, 855690.0195926246 7871713.078807572 3.497, 855662.090001889 7871741.032103035 4.497, 855661.9102440173 7871741.195510504 4.517, 855659.9790660071 7871743.124868888 4.677, 855657.5095942973 7871745.352279175 4.897, 855656.4476958177 7871745.973371529 5.017, 855656.0276298374 7871746.211250204 5.067, 855653.869598806 7871747.131149697 5.307, 855652.1192899558 7871747.494406957 5.407, 855651.847618494 7871747.484637436 5.447, 855650.0975855157 7871747.497221407 5.707, 855647.8306995123 7871746.883600641 5.937, 855645.9283737331 7871746.26075545 6.017, 855643.9892349222 7871745.145508101 5.947, 855642.3096197284 7871743.766552286 6.077, 855641.2273017725 7871742.653398596 5.977, 855640.5099176548 7871741.202986029 6.087, 855640.0089748322 7871739.640320867 6.107, 855639.5789016206 7871737.613890576 6.237, 855639.2277853054 7871733.654240238 6.297, 855624.9182034286 7871744.611489455 6.807)</t>
  </si>
  <si>
    <t>['FV660 S4D1 m8092-8179']</t>
  </si>
  <si>
    <t>LINESTRING Z (146227.713274987 6965878.83193156 -999999, 146228.665774987 6965870.57693156 -999999, 146229.935774987 6965860.81380656 -999999, 146230.967649987 6965852.95568156 -999999, 146231.840774987 6965842.95443156 -999999, 146231.999524987 6965834.38193156 -999999, 146231.523274987 6965827.07943156 -999999, 146230.729524987 6965819.45943156 -999999, 146229.618274987 6965812.71255656 -999999, 146228.665774987 6965807.23568156 -999999, 146226.919524987 6965799.45693156 -999999, 146225.093899987 6965791.75755656 -999999)</t>
  </si>
  <si>
    <t>2024-12-06</t>
  </si>
  <si>
    <t>['FV46 S7D1 m2010-2095']</t>
  </si>
  <si>
    <t>LINESTRING Z (-3240.141338249843 6619770.203493715 96.3, -3224.5938656710205 6619815.303383523 96.3)</t>
  </si>
  <si>
    <t>2023-06-08</t>
  </si>
  <si>
    <t>2025-11-22T09:08:19Z</t>
  </si>
  <si>
    <t>[5674]</t>
  </si>
  <si>
    <t>['FV5674 S1D1 m2849-2870']</t>
  </si>
  <si>
    <t>LINESTRING Z (15978.088025729288 6833452.1810787935 147.07, 15979.55795109825 6833451.853961579 147.07, 15980.933090549253 6833451.2637631865 147.07, 15982.196245589701 6833450.442277179 147.07, 15983.278458384972 6833449.405943466 147.07, 15984.163452875568 6833448.196538493 147.07, 15984.625045105116 6833447.308163991 147.07, 15985.117611703812 6833445.883316565 147.07, 15985.333260687126 6833444.403511595 147.07, 15985.317785889318 6833443.146425298 147.07, 15985.039660853741 6833441.661904918 147.07, 15984.507515117235 6833440.261265084 147.07, 15983.734098858084 6833438.97353204 147.07, 15982.743990009418 6833437.846775413 147.07, 15981.560844071792 6833436.919081918 147.07, 15980.237342807173 6833436.215788108 147.07, 15978.806202184584 6833435.764075379 147.07, 15977.30919864442 6833435.580219826 147.07, 15975.816212460748 6833435.657764441 147.07, 15974.348131857696 6833436.004847277 147.07, 15972.974837117712 6833436.615011335 147.07, 15971.733492546715 6833437.454618209 147.07, 15970.6631073124 6833438.509995289 147.07, 15969.79992329306 6833439.737521266 147.07, 15969.160216572229 6833441.095419686 147.07, 15968.791134353203 6833442.549129705 147.07, 15968.67808159237 6833444.049659255 147.07, 15968.836411934404 6833445.5452489825 147.07, 15969.261513224745 6833446.98598439 147.07, 15969.938790408836 6833448.322873415 147.07, 15970.844587962725 6833449.517829328 147.07, 15971.955250359897 6833450.53276539 147.07, 15973.21717338456 6833451.33236218 147.07, 15974.140867406328 6833451.740350213 147.07, 15975.58551690745 6833452.120337631 147.07, 15976.583211815974 6833452.239580242 147.07, 15978.088025729288 6833452.1810787935 147.07)</t>
  </si>
  <si>
    <t>POLYGON Z ((15978.088025729288 6833452.1810787935 147.07, 15979.55795109825 6833451.853961579 147.07, 15980.933090549253 6833451.2637631865 147.07, 15982.196245589701 6833450.442277179 147.07, 15983.278458384972 6833449.405943466 147.07, 15984.163452875568 6833448.196538493 147.07, 15984.625045105116 6833447.308163991 147.07, 15985.117611703812 6833445.883316565 147.07, 15985.333260687126 6833444.403511595 147.07, 15985.317785889318 6833443.146425298 147.07, 15985.039660853741 6833441.661904918 147.07, 15984.507515117235 6833440.261265084 147.07, 15983.734098858084 6833438.97353204 147.07, 15982.743990009418 6833437.846775413 147.07, 15981.560844071792 6833436.919081918 147.07, 15980.237342807173 6833436.215788108 147.07, 15978.806202184584 6833435.764075379 147.07, 15977.30919864442 6833435.580219826 147.07, 15975.816212460748 6833435.657764441 147.07, 15974.348131857696 6833436.004847277 147.07, 15972.974837117712 6833436.615011335 147.07, 15971.733492546715 6833437.454618209 147.07, 15970.6631073124 6833438.509995289 147.07, 15969.79992329306 6833439.737521266 147.07, 15969.160216572229 6833441.095419686 147.07, 15968.791134353203 6833442.549129705 147.07, 15968.67808159237 6833444.049659255 147.07, 15968.836411934404 6833445.5452489825 147.07, 15969.261513224745 6833446.98598439 147.07, 15969.938790408836 6833448.322873415 147.07, 15970.844587962725 6833449.517829328 147.07, 15971.955250359897 6833450.53276539 147.07, 15973.21717338456 6833451.33236218 147.07, 15974.140867406328 6833451.740350213 147.07, 15975.58551690745 6833452.120337631 147.07, 15976.583211815974 6833452.239580242 147.07, 15978.088025729288 6833452.1810787935 147.07))</t>
  </si>
  <si>
    <t>2025-10-29</t>
  </si>
  <si>
    <t>[79]</t>
  </si>
  <si>
    <t>['FV79 S3D1 m1283-1359']</t>
  </si>
  <si>
    <t>LINESTRING Z (29828.61187876138 6730198.739178174 7.5600000000000005, 29841.667002369417 6730229.837451044 7.5600000000000005, 29896.725291773444 6730230.101020069 7.5600000000000005, 29894.16673511773 6730203.588323509 7.5600000000000005, 29861.89478623413 6730205.254843289 7.5600000000000005, 29860.596860608144 6730200.974581765 7.5600000000000005, 29858.197439792624 6730184.664915123 7.5600000000000005, 29852.438062268193 6730168.2703103535 7.5600000000000005, 29844.74753720197 6730159.149493777 7.5600000000000005, 29828.19664434 6730168.808893435 7.5600000000000005, 29821.95946848055 6730175.450179097 7.5600000000000005, 29828.61187876138 6730198.739178174 7.5600000000000005)</t>
  </si>
  <si>
    <t>POLYGON Z ((29828.61187876138 6730198.739178174 7.5600000000000005, 29841.667002369417 6730229.837451044 7.5600000000000005, 29896.725291773444 6730230.101020069 7.5600000000000005, 29894.16673511773 6730203.588323509 7.5600000000000005, 29861.89478623413 6730205.254843289 7.5600000000000005, 29860.596860608144 6730200.974581765 7.5600000000000005, 29858.197439792624 6730184.664915123 7.5600000000000005, 29852.438062268193 6730168.2703103535 7.5600000000000005, 29844.74753720197 6730159.149493777 7.5600000000000005, 29828.19664434 6730168.808893435 7.5600000000000005, 29821.95946848055 6730175.450179097 7.5600000000000005, 29828.61187876138 6730198.739178174 7.5600000000000005))</t>
  </si>
  <si>
    <t>2023-10-25</t>
  </si>
  <si>
    <t>['EV39 S83D1 m1687-1707']</t>
  </si>
  <si>
    <t>LINESTRING Z (-37297.66 6686313.49 30.14, -37299.45 6686315.99 30.02, -37299.08 6686316.56 30.07, -37298.37 6686319.73 29.990000000000002, -37298.51 6686321.54 30.060000000000002, -37299.18 6686323.11 29.92, -37300.67 6686325.42 29.68, -37298.47 6686327.51 29.73, -37296.16 6686325.33 29.92, -37296.82 6686322.24 30.02, -37296.69 6686320.64 30.09, -37296.83 6686318.62 30.080000000000002, -37297.66 6686313.49 30.14)</t>
  </si>
  <si>
    <t>POLYGON Z ((-37297.66 6686313.49 30.14, -37299.45 6686315.99 30.02, -37299.08 6686316.56 30.07, -37298.37 6686319.73 29.990000000000002, -37298.51 6686321.54 30.060000000000002, -37299.18 6686323.11 29.92, -37300.67 6686325.42 29.68, -37298.47 6686327.51 29.73, -37296.16 6686325.33 29.92, -37296.82 6686322.24 30.02, -37296.69 6686320.64 30.09, -37296.83 6686318.62 30.080000000000002, -37297.66 6686313.49 30.14))</t>
  </si>
  <si>
    <t>Parkeringsområde</t>
  </si>
  <si>
    <t>2011-11-29</t>
  </si>
  <si>
    <t>2025-11-22T09:07:56Z</t>
  </si>
  <si>
    <t>[561]</t>
  </si>
  <si>
    <t>['FV561 S2D1 m2853 SD1 m33']</t>
  </si>
  <si>
    <t>LINESTRING Z (-50020.1096292873 6741112.23054569 -999999, -50015.1226875081 6741112.8289787 -999999, -50014.2250379878 6741116.71879329 -999999, -50015.7211205216 6741120.01017487 -999999, -50021.1070176432 6741124.79763898 -999999, -50031.3801177086 6741146.93966048 -999999, -50023.9994438752 6741150.53025856 -999999, -50021.1070176432 6741148.53548184 -999999, -50018.7132855891 6741146.14174979 -999999, -50017.2172030554 6741143.6482789 -999999, -50015.9205981927 6741138.96055363 -999999, -50015.0229486725 6741134.27282836 -999999, -50013.4271273031 6741128.38823706 -999999, -50010.5347010711 6741119.41174185 -999999, -50008.5399243594 6741106.74490974 -999999, -50007.1435806612 6741099.56371357 -999999, -50011.033395249 6741098.76580289 -999999, -50012.9284331252 6741106.44569323 -999999, -50016.4192923707 6741105.34856604 -999999, -50017.6161583977 6741102.25666213 -999999)</t>
  </si>
  <si>
    <t>POLYGON Z ((-50020.1096292873 6741112.23054569 -999999, -50015.1226875081 6741112.8289787 -999999, -50014.2250379878 6741116.71879329 -999999, -50015.7211205216 6741120.01017487 -999999, -50021.1070176432 6741124.79763898 -999999, -50031.3801177086 6741146.93966048 -999999, -50023.9994438752 6741150.53025856 -999999, -50021.1070176432 6741148.53548184 -999999, -50018.7132855891 6741146.14174979 -999999, -50017.2172030554 6741143.6482789 -999999, -50015.9205981927 6741138.96055363 -999999, -50015.0229486725 6741134.27282836 -999999, -50013.4271273031 6741128.38823706 -999999, -50010.5347010711 6741119.41174185 -999999, -50008.5399243594 6741106.74490974 -999999, -50007.1435806612 6741099.56371357 -999999, -50011.033395249 6741098.76580289 -999999, -50012.9284331252 6741106.44569323 -999999, -50016.4192923707 6741105.34856604 -999999, -50017.6161583977 6741102.25666213 -999999, -50020.1096292873 6741112.23054569 -999999))</t>
  </si>
  <si>
    <t>['FV561 S3D1 m7239 SD1 m10']</t>
  </si>
  <si>
    <t>LINESTRING Z (-51288.7019880762 6749146.63514324 -999999, -51267.0645063279 6749139.4870466 -999999, -51246.3929835863 6749129.63426473 -999999, -51244.0746819704 6749134.46405976 -999999, -51277.1104799968 6749151.46493828 -999999, -51303.1913731755 6749158.22665132 -999999, -51308.7939354138 6749156.87430871 -999999, -51318.8399090827 6749156.87430871 -999999, -51355.9327349368 6749155.3287743 -999999, -51362.6944479832 6749158.03345952 -999999, -51381.2408609102 6749151.85132188 -999999, -51394.3779034002 6749142.77130722 -999999, -51393.4119443936 6749138.52108759 -999999, -51381.0476691089 6749144.12364983 -999999, -51367.5242430162 6749147.02152685 -999999, -51341.8297334402 6749150.88536287 -999999, -51325.7948139303 6749151.46493828 -999999, -51310.3394698244 6749150.30578747 -999999, -51301.4526469636 6749148.56706126 -999999)</t>
  </si>
  <si>
    <t>POLYGON Z ((-51288.7019880762 6749146.63514324 -999999, -51267.0645063279 6749139.4870466 -999999, -51246.3929835863 6749129.63426473 -999999, -51244.0746819704 6749134.46405976 -999999, -51277.1104799968 6749151.46493828 -999999, -51303.1913731755 6749158.22665132 -999999, -51308.7939354138 6749156.87430871 -999999, -51318.8399090827 6749156.87430871 -999999, -51355.9327349368 6749155.3287743 -999999, -51362.6944479832 6749158.03345952 -999999, -51381.2408609102 6749151.85132188 -999999, -51394.3779034002 6749142.77130722 -999999, -51393.4119443936 6749138.52108759 -999999, -51381.0476691089 6749144.12364983 -999999, -51367.5242430162 6749147.02152685 -999999, -51341.8297334402 6749150.88536287 -999999, -51325.7948139303 6749151.46493828 -999999, -51310.3394698244 6749150.30578747 -999999, -51301.4526469636 6749148.56706126 -999999, -51288.7019880762 6749146.63514324 -999999))</t>
  </si>
  <si>
    <t>[5236]</t>
  </si>
  <si>
    <t>['FV5236 S1D1 m6576 SD1 m10']</t>
  </si>
  <si>
    <t>LINESTRING Z (-42012.9713635817 6725461.46378412 -999999, -42011.7511956569 6725459.39888456 -999999, -42028.0826740351 6725449.91911837 -999999, -42023.7651567627 6725444.9445876 -999999, -42013.0652226529 6725439.97005683 -999999, -41996.2644489189 6725447.57264159 -999999, -41973.7382718455 6725459.39888456 -999999, -41960.4102837438 6725468.6909326 -999999, -41959.3778339612 6725479.39086671 -999999, -41962.8506195934 6725485.86714262 -999999, -41986.878541805 6725470.56811402 -999999, -42004.8994834637 6725462.96552926 -999999, -42006.3073695308 6725464.84271068 -999999)</t>
  </si>
  <si>
    <t>POLYGON Z ((-42012.9713635817 6725461.46378412 -999999, -42011.7511956569 6725459.39888456 -999999, -42028.0826740351 6725449.91911837 -999999, -42023.7651567627 6725444.9445876 -999999, -42013.0652226529 6725439.97005683 -999999, -41996.2644489189 6725447.57264159 -999999, -41973.7382718455 6725459.39888456 -999999, -41960.4102837438 6725468.6909326 -999999, -41959.3778339612 6725479.39086671 -999999, -41962.8506195934 6725485.86714262 -999999, -41986.878541805 6725470.56811402 -999999, -42004.8994834637 6725462.96552926 -999999, -42006.3073695308 6725464.84271068 -999999, -42012.9713635817 6725461.46378412 -999999))</t>
  </si>
  <si>
    <t>2019-03-22</t>
  </si>
  <si>
    <t>[2728]</t>
  </si>
  <si>
    <t>['FV2728 S3D1 m222']</t>
  </si>
  <si>
    <t>LINESTRING Z (230779.736244785 6631780.24739429 -999999, 230748.568328118 6631801.00924846 -999999)</t>
  </si>
  <si>
    <t>[5216]</t>
  </si>
  <si>
    <t>['FV5216 S1D1 m2249 SD1 m32']</t>
  </si>
  <si>
    <t>LINESTRING Z (-38382.9378848598 6732931.95552595 -999999, -38385.27277497 6732928.95352439 -999999, -38387.7744429453 6732928.78674652 -999999, -38385.4395528351 6732933.12297101 -999999, -38405.452896637 6732945.96486662 -999999, -38415.2927906729 6732931.12163663 -999999, -38355.9198707272 6732894.43050633 -999999, -38346.5803102863 6732908.60662485 -999999, -38375.4328809341 6732926.45185641 -999999, -38377.9345489093 6732922.61596551 -999999, -38379.6023275595 6732924.1169663 -999999, -38379.6023275595 6732926.45185641 -999999, -38377.1006595842 6732930.12096944 -999999)</t>
  </si>
  <si>
    <t>POLYGON Z ((-38382.9378848598 6732931.95552595 -999999, -38385.27277497 6732928.95352439 -999999, -38387.7744429453 6732928.78674652 -999999, -38385.4395528351 6732933.12297101 -999999, -38405.452896637 6732945.96486662 -999999, -38415.2927906729 6732931.12163663 -999999, -38355.9198707272 6732894.43050633 -999999, -38346.5803102863 6732908.60662485 -999999, -38375.4328809341 6732926.45185641 -999999, -38377.9345489093 6732922.61596551 -999999, -38379.6023275595 6732924.1169663 -999999, -38379.6023275595 6732926.45185641 -999999, -38377.1006595842 6732930.12096944 -999999, -38382.9378848598 6732931.95552595 -999999))</t>
  </si>
  <si>
    <t>2017-09-27</t>
  </si>
  <si>
    <t>['FV5216 S2D1 m160 SD1 m65']</t>
  </si>
  <si>
    <t>LINESTRING Z (-38439.1420253702 6733126.2517387 -999999, -38440.3094704253 6733122.58262567 -999999, -38445.4795842408 6733123.91684859 -999999, -38463.4915936625 6733048.70003147 -999999, -38457.320812657 6733047.03225282 -999999, -38458.321479847 6733042.86280619 -999999, -38435.6396902049 6733036.52524732 -999999, -38433.3048000946 6733042.02891686 -999999, -38422.2974610036 6733085.22438391 -999999, -38420.6296823534 6733094.73072221 -999999, -38419.4622372983 6733109.5739522 -999999, -38420.2961266234 6733128.92018454 -999999, -38421.1300159485 6733134.42385408 -999999, -38437.14069099 6733138.25974498 -999999, -38438.3081360451 6733132.4225197 -999999)</t>
  </si>
  <si>
    <t>POLYGON Z ((-38439.1420253702 6733126.2517387 -999999, -38440.3094704253 6733122.58262567 -999999, -38445.4795842408 6733123.91684859 -999999, -38463.4915936625 6733048.70003147 -999999, -38457.320812657 6733047.03225282 -999999, -38458.321479847 6733042.86280619 -999999, -38435.6396902049 6733036.52524732 -999999, -38433.3048000946 6733042.02891686 -999999, -38422.2974610036 6733085.22438391 -999999, -38420.6296823534 6733094.73072221 -999999, -38419.4622372983 6733109.5739522 -999999, -38420.2961266234 6733128.92018454 -999999, -38421.1300159485 6733134.42385408 -999999, -38437.14069099 6733138.25974498 -999999, -38438.3081360451 6733132.4225197 -999999, -38439.1420253702 6733126.2517387 -999999))</t>
  </si>
  <si>
    <t>2013-07-12</t>
  </si>
  <si>
    <t>[567]</t>
  </si>
  <si>
    <t>['FV567 S3D1 m220']</t>
  </si>
  <si>
    <t>LINESTRING Z (-24320.0659790039 6745960.6529541 8.917, -24312.2769775391 6745962.00500488 8.823, -24310.5729980469 6745962.30102539 8.764, -24300.9450073242 6745964.01196289 8.774, -24292.7399902344 6745965.47705078 8.801, -24289.8179931641 6745948.78601074 9.078, -24304.6309814453 6745946.13098145 9.035, -24316.8480224609 6745943.94897461 9.061, -24317.3939819336 6745946.78295898 9.011, -24316.8480224609 6745943.94897461 9.061, -24317.3939819336 6745946.78295898 9.011, -24320.0659790039 6745960.6529541 8.917)</t>
  </si>
  <si>
    <t>2020-07-05</t>
  </si>
  <si>
    <t>[6682]</t>
  </si>
  <si>
    <t>['FV6682 S1D1 m4081']</t>
  </si>
  <si>
    <t>LINESTRING Z (267678.400024414 7032932.19995117 140.174, 267677.66003418 7032931.27001953 140.144, 267677.550048828 7032931.14001465 140.144, 267676.989990234 7032930.57995606 140.124, 267676.449951172 7032930.02001953 140.094, 267675.939941406 7032929.56005859 140.084, 267675.260009766 7032928.94995117 140.054, 267674.58996582 7032928.33996582 140.024, 267674.459960938 7032928.18994141 140.024, 267674.359985352 7032928.0300293 140.014, 267674.239990234 7032927.77001953 140.004, 267674.16003418 7032927.60998535 140.004, 267673.640014648 7032926.5300293 139.964, 267673.109985352 7032925.44995117 139.934, 267672.58996582 7032924.35998535 139.894, 267672.069946289 7032923.2800293 139.844, 267672.040039063 7032923.22998047 139.844, 267669.920043945 7032918.76000977 139.674, 267667.810058594 7032914.25 139.484, 267665.739990234 7032909.70996094 139.304, 267665.510009766 7032909.19995117 139.284, 267665.050048828 7032908.19995117 139.244, 267664.58996582 7032907.18994141 139.204, 267664.140014648 7032906.17004395 139.164, 267663.689941406 7032905.16003418 139.124, 267663.199951172 7032904.06005859 139.084, 267662.709960938 7032902.9699707 139.034, 267662.680053711 7032902.88000488 139.034, 267662.630004883 7032902.58996582 139.014, 267662.569946289 7032900.81005859 138.954, 267662.569946289 7032900.75 138.944, 267662.560058594 7032900.27001953 138.924, 267662.550048828 7032900.20996094 138.924, 267662.449951172 7032898.89001465 138.874, 267661.989990234 7032897.06005859 138.794, 267661.520019531 7032895.22998047 138.714)</t>
  </si>
  <si>
    <t>2012-12-12</t>
  </si>
  <si>
    <t>['EV6 S42D1 m8522 KD1 m243']</t>
  </si>
  <si>
    <t>LINESTRING Z (248609.47 6806075.44 -999999, 248613.39 6806025.56 -999999, 248631.35 6806026.99 -999999, 248626.78 6806086.23 -999999)</t>
  </si>
  <si>
    <t>POINT (248621.1965202273 6806049.923958345)</t>
  </si>
  <si>
    <t>['EV6 S41D1 m8537 KD2 m21']</t>
  </si>
  <si>
    <t>LINESTRING Z (254235.87 6800716.42 -999999, 254231.03 6800719.08 -999999, 254216.77 6800694.35 -999999, 254230.9 6800686.2 -999999, 254243.95 6800708.83 -999999, 254239.61 6800711.32 -999999, 254241.23 6800714.26 -999999)</t>
  </si>
  <si>
    <t>POLYGON Z ((254235.87 6800716.42 -999999, 254231.03 6800719.08 -999999, 254216.77 6800694.35 -999999, 254230.9 6800686.2 -999999, 254243.95 6800708.83 -999999, 254239.61 6800711.32 -999999, 254241.23 6800714.26 -999999, 254235.87 6800716.42 -999999))</t>
  </si>
  <si>
    <t>2015-02-11</t>
  </si>
  <si>
    <t>2025-11-22T09:08:05Z</t>
  </si>
  <si>
    <t>['EV16 S25D1 m49']</t>
  </si>
  <si>
    <t>LINESTRING Z (120269.120117187 6791468.83996582 502.746, 120266.879882813 6791472.7199707 502.406, 120266.540039063 6791476.45996094 502.216, 120267.729980469 6791479.19995117 502.026, 120270.639892578 6791481.41003418 501.786, 120274.639892578 6791481.36999512 501.706, 120281.770019531 6791479.15002441 501.766, 120287.949951172 6791476.7800293 501.886, 120294.050048828 6791474.95996094 502.086, 120301.719970703 6791474 502.476, 120309.830078125 6791474.29003906 502.906, 120318.050048828 6791475.80004883 503.356, 120324.909912109 6791475.93005371 503.776, 120331.300048828 6791476.23999024 504.116, 120339.030029297 6791477.33996582 504.306, 120341.25 6791479.05004883 504.456, 120335.830078125 6791484.23999024 504.206, 120330.129882812 6791489.29003906 504.446, 120328.669921875 6791490.23999024 504.506, 120326.360107422 6791486.88000488 504.256, 120325.389892578 6791484.32995606 504.066, 120324.040039063 6791481.80004883 503.866, 120321.209960938 6791480.31994629 503.586, 120315.209960938 6791478.57995606 503.186, 120307.830078125 6791477.39001465 502.726, 120301.280029297 6791477.25 502.336, 120294.560058594 6791478.14001465 501.986, 120289.270019531 6791479.85998535 501.826, 120284.629882812 6791482.45996094 501.756, 120279.719970703 6791485.0300293 501.766, 120274 6791486.66003418 501.686, 120269.139892578 6791487.06005859 501.716, 120263.649902344 6791486.93994141 501.626, 120260.090087891 6791489.67004395 501.376, 120259.25 6791490.92004395 501.306, 120259.620117188 6791493.34997559 501.176, 120260.959960938 6791496.51000977 501.046, 120257.459960938 6791498.40002442 500.936, 120255.280029297 6791495.52001953 501.016, 120252.969970703 6791493.64001465 501.016, 120250.330078125 6791493.41003418 500.966, 120245.810058594 6791494.57995606 500.846, 120244.540039062 6791495.64001465 500.896, 120245.25 6791499.92004395 500.886, 120234.100097656 6791502.93994141 500.806, 120217.469970703 6791508 500.616, 120216.010009766 6791502.35998535 500.476, 120213.850097656 6791495.31994629 500.306, 120226.360107422 6791491.45996094 500.476, 120241.870117187 6791487.0300293 500.756, 120243.139892578 6791490.14001465 500.776, 120244.260009766 6791490.67004395 500.816, 120247.459960938 6791490.55004883 500.916, 120254.439941406 6791487.32995606 501.166, 120260.110107422 6791482.85998535 501.656, 120261.370117188 6791479.95996094 501.866, 120260.199951172 6791475.81005859 502.076, 120258.729980469 6791474.01000977 502.116, 120256.120117188 6791474.29003906 502.146)</t>
  </si>
  <si>
    <t>POLYGON Z ((120269.120117187 6791468.83996582 502.746, 120266.879882813 6791472.7199707 502.406, 120266.540039063 6791476.45996094 502.216, 120267.729980469 6791479.19995117 502.026, 120270.639892578 6791481.41003418 501.786, 120274.639892578 6791481.36999512 501.706, 120281.770019531 6791479.15002441 501.766, 120287.949951172 6791476.7800293 501.886, 120294.050048828 6791474.95996094 502.086, 120301.719970703 6791474 502.476, 120309.830078125 6791474.29003906 502.906, 120318.050048828 6791475.80004883 503.356, 120324.909912109 6791475.93005371 503.776, 120331.300048828 6791476.23999024 504.116, 120339.030029297 6791477.33996582 504.306, 120341.25 6791479.05004883 504.456, 120335.830078125 6791484.23999024 504.206, 120330.129882812 6791489.29003906 504.446, 120328.669921875 6791490.23999024 504.506, 120326.360107422 6791486.88000488 504.256, 120325.389892578 6791484.32995606 504.066, 120324.040039063 6791481.80004883 503.866, 120321.209960938 6791480.31994629 503.586, 120315.209960938 6791478.57995606 503.186, 120307.830078125 6791477.39001465 502.726, 120301.280029297 6791477.25 502.336, 120294.560058594 6791478.14001465 501.986, 120289.270019531 6791479.85998535 501.826, 120284.629882812 6791482.45996094 501.756, 120279.719970703 6791485.0300293 501.766, 120274 6791486.66003418 501.686, 120269.139892578 6791487.06005859 501.716, 120263.649902344 6791486.93994141 501.626, 120260.090087891 6791489.67004395 501.376, 120259.25 6791490.92004395 501.306, 120259.620117188 6791493.34997559 501.176, 120260.959960938 6791496.51000977 501.046, 120257.459960938 6791498.40002442 500.936, 120255.280029297 6791495.52001953 501.016, 120252.969970703 6791493.64001465 501.016, 120250.330078125 6791493.41003418 500.966, 120245.810058594 6791494.57995606 500.846, 120244.540039062 6791495.64001465 500.896, 120245.25 6791499.92004395 500.886, 120234.100097656 6791502.93994141 500.806, 120217.469970703 6791508 500.616, 120216.010009766 6791502.35998535 500.476, 120213.850097656 6791495.31994629 500.306, 120226.360107422 6791491.45996094 500.476, 120241.870117187 6791487.0300293 500.756, 120243.139892578 6791490.14001465 500.776, 120244.260009766 6791490.67004395 500.816, 120247.459960938 6791490.55004883 500.916, 120254.439941406 6791487.32995606 501.166, 120260.110107422 6791482.85998535 501.656, 120261.370117188 6791479.95996094 501.866, 120260.199951172 6791475.81005859 502.076, 120258.729980469 6791474.01000977 502.116, 120256.120117188 6791474.29003906 502.146, 120269.120117187 6791468.83996582 502.746))</t>
  </si>
  <si>
    <t>['EV16 S24D1 m8389']</t>
  </si>
  <si>
    <t>LINESTRING Z (120265.469970703 6791458.38000488 502.926, 120264.689941406 6791458.18994141 502.906, 120262.25 6791455.89001465 502.606, 120261.729980469 6791452.73999023 502.396, 120263.080078125 6791448.97998047 502.076, 120267.239990234 6791446.73999023 501.786, 120272.489990234 6791447.02001953 501.626, 120278.679931641 6791449.04003906 501.616, 120281.419921875 6791449.60998535 501.666, 120295.469970703 6791447.5 502.116, 120309.260009766 6791446.25 502.666, 120317.600097656 6791445.20996094 503.136, 120320.929931641 6791444.19995117 503.256, 120325.639892578 6791441.64001465 503.396, 120329.669921875 6791437.81994629 503.426, 120332.75 6791431.59997559 503.456, 120332.929931641 6791424.76000977 503.466, 120330.879882813 6791418.35998535 503.436, 120325.969970703 6791412.76000977 503.406, 120318.909912109 6791409.61999512 503.386, 120311.360107422 6791409.55004883 503.366, 120306.129882813 6791411.72998047 503.356, 120303.979980469 6791414.98999024 503.306, 120302.969970703 6791421.69995117 503.196, 120301.050048828 6791428.01000977 503.006, 120299.669921875 6791428.63000488 502.846, 120296.659912109 6791426.67004395 502.666, 120296.260009766 6791425.56005859 502.016, 120277.040039063 6791431.14001465 502.456, 120278.719970703 6791435.86999512 502.026, 120267.459960937 6791438.48999023 501.836, 120261.229980469 6791440.54003906 502.116, 120257.439941406 6791443.89001465 502.266, 120254.909912109 6791448.40002441 502.346, 120254.239990234 6791454.13000488 502.416, 120253.850097656 6791460.15002441 502.476, 120252.540039062 6791463.27001953 502.326)</t>
  </si>
  <si>
    <t>POLYGON Z ((120265.469970703 6791458.38000488 502.926, 120264.689941406 6791458.18994141 502.906, 120262.25 6791455.89001465 502.606, 120261.729980469 6791452.73999023 502.396, 120263.080078125 6791448.97998047 502.076, 120267.239990234 6791446.73999023 501.786, 120272.489990234 6791447.02001953 501.626, 120278.679931641 6791449.04003906 501.616, 120281.419921875 6791449.60998535 501.666, 120295.469970703 6791447.5 502.116, 120309.260009766 6791446.25 502.666, 120317.600097656 6791445.20996094 503.136, 120320.929931641 6791444.19995117 503.256, 120325.639892578 6791441.64001465 503.396, 120329.669921875 6791437.81994629 503.426, 120332.75 6791431.59997559 503.456, 120332.929931641 6791424.76000977 503.466, 120330.879882813 6791418.35998535 503.436, 120325.969970703 6791412.76000977 503.406, 120318.909912109 6791409.61999512 503.386, 120311.360107422 6791409.55004883 503.366, 120306.129882813 6791411.72998047 503.356, 120303.979980469 6791414.98999024 503.306, 120302.969970703 6791421.69995117 503.196, 120301.050048828 6791428.01000977 503.006, 120299.669921875 6791428.63000488 502.846, 120296.659912109 6791426.67004395 502.666, 120296.260009766 6791425.56005859 502.016, 120277.040039063 6791431.14001465 502.456, 120278.719970703 6791435.86999512 502.026, 120267.459960937 6791438.48999023 501.836, 120261.229980469 6791440.54003906 502.116, 120257.439941406 6791443.89001465 502.266, 120254.909912109 6791448.40002441 502.346, 120254.239990234 6791454.13000488 502.416, 120253.850097656 6791460.15002441 502.476, 120252.540039062 6791463.27001953 502.326, 120265.469970703 6791458.38000488 502.926))</t>
  </si>
  <si>
    <t>2023-07-07</t>
  </si>
  <si>
    <t>['EV6 S27D1 m3419 SD1 m425']</t>
  </si>
  <si>
    <t>LINESTRING (293923.25981751434 6716209.279387162, 293923.8667232202 6716214.412543656)</t>
  </si>
  <si>
    <t>POINT (293923.5632703673 6716211.845965409)</t>
  </si>
  <si>
    <t>['EV6 S27D1 m3419 SD3 m27']</t>
  </si>
  <si>
    <t>LINESTRING Z (293931.16771584126 6716275.462467828 146.864, 293926.278254351 6716233.3164886525 147.284)</t>
  </si>
  <si>
    <t>POINT (293928.72298509616 6716254.38947824)</t>
  </si>
  <si>
    <t>['EV6 S27D1 m4452 SD2 m144']</t>
  </si>
  <si>
    <t>LINESTRING Z (294010.0491342187 6717259.374526925 141.584, 293987.8966615354 6717186.292836108 142.564)</t>
  </si>
  <si>
    <t>POINT (293998.97289787704 6717222.833681516)</t>
  </si>
  <si>
    <t>2015-05-05</t>
  </si>
  <si>
    <t>[834]</t>
  </si>
  <si>
    <t>['FV834 S4D1 m3040']</t>
  </si>
  <si>
    <t>LINESTRING Z (486321.836 7483852.671 8.481, 486322.377 7483852.027 8.551, 486323.08 7483851.236 8.639, 486323.794 7483850.473 8.727, 486324.519 7483849.738 8.815, 486325.253 7483849.029 8.903, 486325.995 7483848.346 8.991, 486326.744 7483847.687 9.08, 486327.498 7483847.052 9.168, 486328.203 7483846.334 9.242, 486328.911 7483845.636 9.317, 486329.623 7483844.958 9.392, 486330.337 7483844.298 9.466, 486331.207 7483843.433 9.553, 486331.83 7483842.73 9.606, 486332.455 7483842.038 9.656, 486333.08 7483841.358 9.704, 486333.706 7483840.69 9.749, 486334.332 7483840.032 9.791, 486334.957 7483839.385 9.831, 486336.208 7483838.118 9.906, 486337.458 7483836.886 9.973, 486338.705 7483835.686 10.034, 486339.95 7483834.514 10.089, 486341.191 7483833.369 10.14, 486341.809 7483833.763 10.143, 486342.426 7483834.167 10.146, 486343.041 7483834.581 10.149, 486343.654 7483835.005 10.152, 486344.264 7483835.439 10.154, 486344.872 7483835.884 10.157, 486345.478 7483836.34 10.161, 486346.08 7483836.807 10.164, 486347.188 7483837.465 10.175, 486348.285 7483838.157 10.186, 486349.369 7483838.885 10.197, 486350.44 7483839.649 10.208, 486351.496 7483840.448 10.219, 486352.017 7483840.862 10.225, 486352.535 7483841.284 10.23, 486353.047 7483841.716 10.236, 486353.556 7483842.157 10.241, 486354.059 7483842.607 10.247, 486354.557 7483843.066 10.252, 486355.113 7483843.431 10.262, 486355.664 7483843.804 10.272, 486356.21 7483844.188 10.281, 486356.749 7483844.58 10.291, 486357.282 7483844.981 10.301, 486357.809 7483845.391 10.311, 486358.847 7483846.234 10.33, 486360.456 7483847.422 10.386, 486368.5 7483853.362 10.663, 486374.131 7483857.52 10.857, 486359.811 7483876.913 9.402)</t>
  </si>
  <si>
    <t>POINT (486352.35980047577 7483850.348989492)</t>
  </si>
  <si>
    <t>2015-08-12</t>
  </si>
  <si>
    <t>['FV55 S6D1 m3960']</t>
  </si>
  <si>
    <t>LINESTRING Z (117482.780614363 6840081.8141772 -999999, 117471.509364363 6840072.2891772 -999999, 117467.699364363 6840063.7166772 -999999, 117466.905614363 6840059.7479272 -999999, 117463.889364363 6840058.1604272 -999999, 117463.889364363 6840051.4929272 -999999, 117466.429364363 6840043.3966772 -999999, 117471.826864363 6840035.9354272 -999999, 117479.605614363 6840031.1729272 -999999, 117487.701864363 6840028.1566772 -999999, 117498.496864363 6840027.5216772 -999999, 117507.704364363 6840030.0616772 -999999, 117518.181864363 6840037.3641772 -999999, 117523.738114363 6840044.6666772 -999999, 117526.754364363 6840053.3979272 -999999, 117526.754364363 6840060.0654272 -999999, 117525.166864363 6840068.0029272 -999999, 117521.039364363 6840075.9404272 -999999, 117516.594364363 6840080.8616772 -999999, 117508.021864363 6840085.9416772 -999999, 117500.401864363 6840087.2116772 -999999, 117492.464364363 6840085.9416772 -999999)</t>
  </si>
  <si>
    <t>POLYGON Z ((117482.780614363 6840081.8141772 -999999, 117471.509364363 6840072.2891772 -999999, 117467.699364363 6840063.7166772 -999999, 117466.905614363 6840059.7479272 -999999, 117463.889364363 6840058.1604272 -999999, 117463.889364363 6840051.4929272 -999999, 117466.429364363 6840043.3966772 -999999, 117471.826864363 6840035.9354272 -999999, 117479.605614363 6840031.1729272 -999999, 117487.701864363 6840028.1566772 -999999, 117498.496864363 6840027.5216772 -999999, 117507.704364363 6840030.0616772 -999999, 117518.181864363 6840037.3641772 -999999, 117523.738114363 6840044.6666772 -999999, 117526.754364363 6840053.3979272 -999999, 117526.754364363 6840060.0654272 -999999, 117525.166864363 6840068.0029272 -999999, 117521.039364363 6840075.9404272 -999999, 117516.594364363 6840080.8616772 -999999, 117508.021864363 6840085.9416772 -999999, 117500.401864363 6840087.2116772 -999999, 117492.464364363 6840085.9416772 -999999, 117482.780614363 6840081.8141772 -999999))</t>
  </si>
  <si>
    <t>['FV55 S7D1 m3513']</t>
  </si>
  <si>
    <t>LINESTRING Z (111295.136501384 6839739.41960936 -999999, 111292.914001384 6839742.75335936 -999999, 111297.041501384 6839754.65960936 -999999, 111300.057751384 6839763.23210936 -999999, 111301.010251384 6839770.21710936 -999999, 111299.899001384 6839773.39210936 -999999, 111296.565251384 6839776.40835936 -999999, 111291.644001384 6839779.58335936 -999999, 111288.151501384 6839779.90085936 -999999, 111285.611501384 6839777.99585936 -999999, 111271.006501384 6839749.73835936 -999999, 111293.707751384 6839736.56210936 -999999)</t>
  </si>
  <si>
    <t>POLYGON Z ((111295.136501384 6839739.41960936 -999999, 111292.914001384 6839742.75335936 -999999, 111297.041501384 6839754.65960936 -999999, 111300.057751384 6839763.23210936 -999999, 111301.010251384 6839770.21710936 -999999, 111299.899001384 6839773.39210936 -999999, 111296.565251384 6839776.40835936 -999999, 111291.644001384 6839779.58335936 -999999, 111288.151501384 6839779.90085936 -999999, 111285.611501384 6839777.99585936 -999999, 111271.006501384 6839749.73835936 -999999, 111293.707751384 6839736.56210936 -999999, 111295.136501384 6839739.41960936 -999999))</t>
  </si>
  <si>
    <t>['FV55 S7D1 m6190']</t>
  </si>
  <si>
    <t>LINESTRING Z (109073.589001384 6838889.94835936 -999999, 109072.636501384 6838892.64710936 -999999, 109091.845251384 6838899.31460936 -999999, 109103.434001384 6838902.17210936 -999999, 109103.910251384 6838914.07835936 -999999, 109108.037751384 6838919.47585936 -999999, 109104.386501384 6838923.28585936 -999999, 109102.164001384 6838922.80960936 -999999, 109101.052751384 6838923.44460936 -999999, 109093.909001384 6838922.49210936 -999999, 109089.305251384 6838923.12710936 -999999, 109084.066501384 6838921.53960936 -999999, 109081.050251384 6838918.20585936 -999999, 109080.097751384 6838916.45960936 -999999, 109068.985251384 6838911.22085936 -999999, 109070.255251384 6838908.83960936 -999999, 109070.731501384 6838905.82335936 -999999, 109069.620251384 6838902.64835936 -999999, 109066.286501384 6838900.42585936 -999999, 109064.222751384 6838895.66335936 -999999, 109060.889001384 6838895.50460936 -999999, 109062.159001384 6838891.21835936 -999999, 109062.000251384 6838888.36085936 -999999, 109060.412751384 6838885.50335936 -999999)</t>
  </si>
  <si>
    <t>POLYGON Z ((109073.589001384 6838889.94835936 -999999, 109072.636501384 6838892.64710936 -999999, 109091.845251384 6838899.31460936 -999999, 109103.434001384 6838902.17210936 -999999, 109103.910251384 6838914.07835936 -999999, 109108.037751384 6838919.47585936 -999999, 109104.386501384 6838923.28585936 -999999, 109102.164001384 6838922.80960936 -999999, 109101.052751384 6838923.44460936 -999999, 109093.909001384 6838922.49210936 -999999, 109089.305251384 6838923.12710936 -999999, 109084.066501384 6838921.53960936 -999999, 109081.050251384 6838918.20585936 -999999, 109080.097751384 6838916.45960936 -999999, 109068.985251384 6838911.22085936 -999999, 109070.255251384 6838908.83960936 -999999, 109070.731501384 6838905.82335936 -999999, 109069.620251384 6838902.64835936 -999999, 109066.286501384 6838900.42585936 -999999, 109064.222751384 6838895.66335936 -999999, 109060.889001384 6838895.50460936 -999999, 109062.159001384 6838891.21835936 -999999, 109062.000251384 6838888.36085936 -999999, 109060.412751384 6838885.50335936 -999999, 109073.589001384 6838889.94835936 -999999))</t>
  </si>
  <si>
    <t>2015-10-01</t>
  </si>
  <si>
    <t>[1058]</t>
  </si>
  <si>
    <t>['KV1058 S1D1 m26']</t>
  </si>
  <si>
    <t>LINESTRING Z (-10715.03 6728467.47 44.375, -10715.15 6728468.6 44.285, -10715.71 6728469.8 44.165, -10716.73 6728470.94 43.925, -10717.75 6728471.2 43.685, -10718.63 6728470.91 43.385, -10721.6 6728469.34 43.125, -10731.21 6728467.25 42.955, -10739.31 6728465.12 42.855, -10740.08 6728465.5 42.825, -10742.1 6728472.05 42.755, -10745.5 6728479.35 42.485, -10745.04 6728480.62 42.505, -10743.17 6728481.69 42.615, -10737 6728483.73 42.825, -10729.03 6728486.16 42.765, -10726.1 6728486.46 42.715, -10723.31 6728485.18 42.655, -10718.17 6728484.62 41.805, -10718.44 6728481.39 41.865, -10722.81 6728481.43 42.655, -10722.7 6728480.69 42.895, -10719.17 6728478.91 43.055, -10715.7 6728477.32 43.565, -10712.76 6728475.86 43.955, -10710.57 6728474.05 44.155, -10708.56 6728470.76 44.355, -10708.41 6728468.29 44.455)</t>
  </si>
  <si>
    <t>POLYGON Z ((-10715.03 6728467.47 44.375, -10715.15 6728468.6 44.285, -10715.71 6728469.8 44.165, -10716.73 6728470.94 43.925, -10717.75 6728471.2 43.685, -10718.63 6728470.91 43.385, -10721.6 6728469.34 43.125, -10731.21 6728467.25 42.955, -10739.31 6728465.12 42.855, -10740.08 6728465.5 42.825, -10742.1 6728472.05 42.755, -10745.5 6728479.35 42.485, -10745.04 6728480.62 42.505, -10743.17 6728481.69 42.615, -10737 6728483.73 42.825, -10729.03 6728486.16 42.765, -10726.1 6728486.46 42.715, -10723.31 6728485.18 42.655, -10718.17 6728484.62 41.805, -10718.44 6728481.39 41.865, -10722.81 6728481.43 42.655, -10722.7 6728480.69 42.895, -10719.17 6728478.91 43.055, -10715.7 6728477.32 43.565, -10712.76 6728475.86 43.955, -10710.57 6728474.05 44.155, -10708.56 6728470.76 44.355, -10708.41 6728468.29 44.455, -10715.03 6728467.47 44.375))</t>
  </si>
  <si>
    <t>2016-02-11</t>
  </si>
  <si>
    <t>['EV134 S3D1 m10864 KD4 m189']</t>
  </si>
  <si>
    <t>LINESTRING Z (-30384.3999938965 6634083.94995117 -999999, -30384.3500061035 6634083.70996094 -999999, -30384.9400024414 6634083.56005859 -999999, -30385.5400085449 6634083.43005371 -999999, -30386.5599975586 6634083.23999023 -999999, -30386.9100036621 6634083.17004395 -999999, -30387.5400085449 6634083.05004883 -999999, -30388.5299987793 6634082.86999512 -999999, -30389.5100097656 6634082.67004395 -999999, -30389.950012207 6634082.58996582 -999999, -30390.0100097656 6634082.58996582 -999999, -30390.5 6634082.48999024 -999999, -30391.4899902344 6634082.30004883 -999999, -30394.8399963379 6634081.67004395 -999999, -30394.9299926758 6634081.65002441 -999999, -30396.4200134277 6634081.36999512 -999999, -30401.3399963379 6634080.43994141 -999999, -30403.1400146484 6634080.08996582 -999999, -30406.2699890137 6634079.48999023 -999999, -30411.200012207 6634078.56005859 -999999, -30416.1199951172 6634077.61999512 -999999, -30421.0400085449 6634076.68994141 -999999, -30425.9700012207 6634075.73999024 -999999, -30429.9200134277 6634075 -999999, -30431.1799926758 6634081.65002441 -999999, -30432.1600036621 6634086.81994629 -999999, -30428.2200012207 6634087.56994629 -999999, -30423.2900085449 6634088.51000977 -999999, -30418.3699951172 6634089.43994141 -999999, -30413.450012207 6634090.38000488 -999999, -30408.5199890137 6634091.31994629 -999999, -30405.3900146484 6634091.91003418 -999999, -30403.5899963379 6634092.25 -999999, -30398.6600036621 6634093.18994141 -999999, -30397.1799926758 6634093.4699707 -999999, -30398.0199890137 6634098.41003418 -999999, -30394.6700134277 6634099.06005859 -999999, -30393.6900024414 6634099.23999023 -999999, -30393.200012207 6634099.32995605 -999999, -30392.8999938965 6634098.11999512 -999999, -30391.299987793 6634092.06994629 -999999, -30390.049987793 6634090.83996582 -999999, -30388.9100036621 6634090.26000977 -999999, -30388.2200012207 6634090.06994629 -999999, -30387.8500061035 6634090.01000977 -999999, -30386.7799987793 6634089.98999023 -999999, -30386.4299926758 6634090.04003906 -999999, -30386.0799865723 6634090.10998535 -999999, -30385.6900024414 6634090.20996094 -999999, -30385.6499938965 6634089.9699707 -999999)</t>
  </si>
  <si>
    <t>POLYGON Z ((-30384.3999938965 6634083.94995117 -999999, -30384.3500061035 6634083.70996094 -999999, -30384.9400024414 6634083.56005859 -999999, -30385.5400085449 6634083.43005371 -999999, -30386.5599975586 6634083.23999023 -999999, -30386.9100036621 6634083.17004395 -999999, -30387.5400085449 6634083.05004883 -999999, -30388.5299987793 6634082.86999512 -999999, -30389.5100097656 6634082.67004395 -999999, -30389.950012207 6634082.58996582 -999999, -30390.0100097656 6634082.58996582 -999999, -30390.5 6634082.48999024 -999999, -30391.4899902344 6634082.30004883 -999999, -30394.8399963379 6634081.67004395 -999999, -30394.9299926758 6634081.65002441 -999999, -30396.4200134277 6634081.36999512 -999999, -30401.3399963379 6634080.43994141 -999999, -30403.1400146484 6634080.08996582 -999999, -30406.2699890137 6634079.48999023 -999999, -30411.200012207 6634078.56005859 -999999, -30416.1199951172 6634077.61999512 -999999, -30421.0400085449 6634076.68994141 -999999, -30425.9700012207 6634075.73999024 -999999, -30429.9200134277 6634075 -999999, -30431.1799926758 6634081.65002441 -999999, -30432.1600036621 6634086.81994629 -999999, -30428.2200012207 6634087.56994629 -999999, -30423.2900085449 6634088.51000977 -999999, -30418.3699951172 6634089.43994141 -999999, -30413.450012207 6634090.38000488 -999999, -30408.5199890137 6634091.31994629 -999999, -30405.3900146484 6634091.91003418 -999999, -30403.5899963379 6634092.25 -999999, -30398.6600036621 6634093.18994141 -999999, -30397.1799926758 6634093.4699707 -999999, -30398.0199890137 6634098.41003418 -999999, -30394.6700134277 6634099.06005859 -999999, -30393.6900024414 6634099.23999023 -999999, -30393.200012207 6634099.32995605 -999999, -30392.8999938965 6634098.11999512 -999999, -30391.299987793 6634092.06994629 -999999, -30390.049987793 6634090.83996582 -999999, -30388.9100036621 6634090.26000977 -999999, -30388.2200012207 6634090.06994629 -999999, -30387.8500061035 6634090.01000977 -999999, -30386.7799987793 6634089.98999023 -999999, -30386.4299926758 6634090.04003906 -999999, -30386.0799865723 6634090.10998535 -999999, -30385.6900024414 6634090.20996094 -999999, -30385.6499938965 6634089.9699707 -999999, -30384.3999938965 6634083.94995117 -999999))</t>
  </si>
  <si>
    <t>[513]</t>
  </si>
  <si>
    <t>['FV513 S1D1 m1201']</t>
  </si>
  <si>
    <t>LINESTRING Z (-29489.8999938965 6634630.40002441 -999999, -29494.2300109863 6634633.43994141 -999999, -29492.8999938965 6634635.52001953 -999999, -29491.4899902344 6634637.73999024 -999999, -29490.4800109863 6634639.32995606 -999999, -29489.4800109863 6634640.91003418 -999999, -29484.8300170898 6634638.55004883 -999999)</t>
  </si>
  <si>
    <t>POLYGON Z ((-29489.8999938965 6634630.40002441 -999999, -29494.2300109863 6634633.43994141 -999999, -29492.8999938965 6634635.52001953 -999999, -29491.4899902344 6634637.73999024 -999999, -29490.4800109863 6634639.32995606 -999999, -29489.4800109863 6634640.91003418 -999999, -29484.8300170898 6634638.55004883 -999999, -29489.8999938965 6634630.40002441 -999999))</t>
  </si>
  <si>
    <t>2016-03-21</t>
  </si>
  <si>
    <t>[3280]</t>
  </si>
  <si>
    <t>['KV3280 S1D1 m20']</t>
  </si>
  <si>
    <t>LINESTRING Z (243920.122921374 6594840.6595111 -999999, 243880.628795716 6594849.70033505 -999999, 243873.015470288 6594829.00160654 -999999, 243885.625040528 6594825.67077667 -999999, 243887.052539046 6594830.9049379 -999999, 243915.602509401 6594819.72286618 -999999, 243928.44999606 6594837.80451407 -999999)</t>
  </si>
  <si>
    <t>POLYGON Z ((243920.122921374 6594840.6595111 -999999, 243880.628795716 6594849.70033505 -999999, 243873.015470288 6594829.00160654 -999999, 243885.625040528 6594825.67077667 -999999, 243887.052539046 6594830.9049379 -999999, 243915.602509401 6594819.72286618 -999999, 243928.44999606 6594837.80451407 -999999, 243920.122921374 6594840.6595111 -999999))</t>
  </si>
  <si>
    <t>2016-12-07</t>
  </si>
  <si>
    <t>[3270]</t>
  </si>
  <si>
    <t>['KV3270 S1D1 m120']</t>
  </si>
  <si>
    <t>LINESTRING Z (243855.263984246 6594929.58505917 -999999, 243848.063437305 6594935.64006455 -999999, 243834.971533777 6594903.56490091 -999999, 243849.86357404 6594895.87340759 -999999, 243860.337096863 6594914.20207253 -999999, 243865.573858274 6594921.23897067 -999999, 243859.84615048 6594926.31208329 -999999)</t>
  </si>
  <si>
    <t>POLYGON Z ((243855.263984246 6594929.58505917 -999999, 243848.063437305 6594935.64006455 -999999, 243834.971533777 6594903.56490091 -999999, 243849.86357404 6594895.87340759 -999999, 243860.337096863 6594914.20207253 -999999, 243865.573858274 6594921.23897067 -999999, 243859.84615048 6594926.31208329 -999999, 243855.263984246 6594929.58505917 -999999))</t>
  </si>
  <si>
    <t>[3820]</t>
  </si>
  <si>
    <t>['KV3820 S2D1 m112']</t>
  </si>
  <si>
    <t>LINESTRING Z (243797.986906311 6594952.49589035 -999999, 243797.332311135 6594957.40535417 -999999, 243779.821890166 6594959.86008608 -999999, 243776.876211873 6594944.31345064 -999999, 243789.9681154 6594942.34966511 -999999, 243792.422847312 6594945.4589922 -999999)</t>
  </si>
  <si>
    <t>POLYGON Z ((243797.986906311 6594952.49589035 -999999, 243797.332311135 6594957.40535417 -999999, 243779.821890166 6594959.86008608 -999999, 243776.876211873 6594944.31345064 -999999, 243789.9681154 6594942.34966511 -999999, 243792.422847312 6594945.4589922 -999999, 243797.986906311 6594952.49589035 -999999))</t>
  </si>
  <si>
    <t>2022-11-21</t>
  </si>
  <si>
    <t>[4090]</t>
  </si>
  <si>
    <t>['KV4090 S1D1 m69']</t>
  </si>
  <si>
    <t>LINESTRING Z (243615.625786734 6594960.43937762 -999999, 243621.142847489 6594960.7071961 -999999, 243620.392955736 6594984.91798699 -999999, 243614.447385407 6594985.45362396 -999999, 243614.286694317 6594989.31021012 -999999, 243588.040482955 6594988.34606358 -999999, 243586.754954235 6594960.17155914 -999999, 243594.36099916 6594960.54650501 -999999)</t>
  </si>
  <si>
    <t>2017-06-28</t>
  </si>
  <si>
    <t>[4270]</t>
  </si>
  <si>
    <t>['KV4270 S1D1 m21']</t>
  </si>
  <si>
    <t>LINESTRING Z (243804.257625018 6595185.40040314 -999999, 243791.172221938 6595196.82039128 -999999, 243768.808078494 6595166.84292241 -999999, 243794.740968233 6595146.62002674 -999999, 243819.008443034 6595171.12541796 -999999, 243809.25386983 6595181.59374042 -999999)</t>
  </si>
  <si>
    <t>POLYGON Z ((243804.257625018 6595185.40040314 -999999, 243791.172221938 6595196.82039128 -999999, 243768.808078494 6595166.84292241 -999999, 243794.740968233 6595146.62002674 -999999, 243819.008443034 6595171.12541796 -999999, 243809.25386983 6595181.59374042 -999999, 243804.257625018 6595185.40040314 -999999))</t>
  </si>
  <si>
    <t>[3250]</t>
  </si>
  <si>
    <t>['KV3250 S1D1 m228']</t>
  </si>
  <si>
    <t>LINESTRING Z (243611.044751577 6595173.9442725 -999999, 243619.009003724 6595190.36288462 -999999, 243593.033289029 6595192.078262 -999999, 243592.788235117 6595188.27992637 -999999, 243588.62231861 6595188.77003419 -999999, 243582.128389936 6595150.05151606 -999999, 243596.954151625 6595146.00812651 -999999, 243605.28598464 6595164.01958906 -999999)</t>
  </si>
  <si>
    <t>POLYGON Z ((243611.044751577 6595173.9442725 -999999, 243619.009003724 6595190.36288462 -999999, 243593.033289029 6595192.078262 -999999, 243592.788235117 6595188.27992637 -999999, 243588.62231861 6595188.77003419 -999999, 243582.128389936 6595150.05151606 -999999, 243596.954151625 6595146.00812651 -999999, 243605.28598464 6595164.01958906 -999999, 243611.044751577 6595173.9442725 -999999))</t>
  </si>
  <si>
    <t>[99785]</t>
  </si>
  <si>
    <t>['PV99785 S2D1 m80']</t>
  </si>
  <si>
    <t>LINESTRING (244044.83131119137 6594896.123507303, 244081.45409142695 6594918.180332832, 244112.49859325806 6594873.843346285, 244089.52360605248 6594848.114873348, 244103.98053710788 6594836.958809243, 244114.81472435978 6594850.610509522, 244125.87226496922 6594841.727586094, 244113.29914757804 6594823.513554877, 244125.00213943303 6594814.408079022, 244138.22279808382 6594833.2707397295, 244170.08919600752 6594808.341872452, 244157.51807829936 6594790.574384795, 244127.60475998625 6594807.03762635, 244111.9956964442 6594814.632255482, 244066.6960499021 6594847.578401456, 244030.77289809685 6594842.043571651, 243993.97783626124 6594873.661603817, 244024.57211670696 6594896.889938324)</t>
  </si>
  <si>
    <t>POINT (244091.23018636912 6594848.775948172)</t>
  </si>
  <si>
    <t>[98925]</t>
  </si>
  <si>
    <t>['PV98925 S1D1 m23']</t>
  </si>
  <si>
    <t>LINESTRING Z (244058.114444755 6594976.27187029 -999999, 244069.534432896 6594961.99688511 -999999, 244084.999000172 6594957.95230598 -999999, 244102.366898804 6594970.79979264 -999999, 244070.486098575 6595017.6693273 -999999, 244043.839459577 6595000.30142867 -999999, 244054.78361488 6594982.21978078 -999999)</t>
  </si>
  <si>
    <t>POLYGON Z ((244058.114444755 6594976.27187029 -999999, 244069.534432896 6594961.99688511 -999999, 244084.999000172 6594957.95230598 -999999, 244102.366898804 6594970.79979264 -999999, 244070.486098575 6595017.6693273 -999999, 244043.839459577 6595000.30142867 -999999, 244054.78361488 6594982.21978078 -999999, 244058.114444755 6594976.27187029 -999999))</t>
  </si>
  <si>
    <t>2016-12-05</t>
  </si>
  <si>
    <t>['PV98925 S1D1 m59']</t>
  </si>
  <si>
    <t>LINESTRING Z (244114.500636205 6594965.32771499 -999999, 244147.571018533 6594987.45394201 -999999, 244134.723531873 6595042.17471853 -999999, 244115.690218303 6595040.03347075 -999999, 244127.348122865 6595018.38307656 -999999, 244105.697728679 6595005.05975706 -999999, 244104.270230161 6595008.15267052 -999999, 244087.378164368 6594997.20851522 -999999, 244108.552725714 6594961.99688511 -999999)</t>
  </si>
  <si>
    <t>POLYGON Z ((244114.500636205 6594965.32771499 -999999, 244147.571018533 6594987.45394201 -999999, 244134.723531873 6595042.17471853 -999999, 244115.690218303 6595040.03347075 -999999, 244127.348122865 6595018.38307656 -999999, 244105.697728679 6595005.05975706 -999999, 244104.270230161 6595008.15267052 -999999, 244087.378164368 6594997.20851522 -999999, 244108.552725714 6594961.99688511 -999999, 244114.500636205 6594965.32771499 -999999))</t>
  </si>
  <si>
    <t>['KV3270 S2D1 m42']</t>
  </si>
  <si>
    <t>LINESTRING Z (243771.96674805 6594967.38793061 -999999, 243779.821890166 6594967.22428182 -999999, 243781.131080519 6594974.26117996 -999999, 243774.748777549 6594993.57173766 -999999, 243760.511332463 6594996.51741596 -999999, 243759.20214211 6594986.20754193 -999999, 243755.60186864 6594969.35171614 -999999, 243763.293361962 6594968.53347217 -999999)</t>
  </si>
  <si>
    <t>POLYGON Z ((243771.96674805 6594967.38793061 -999999, 243779.821890166 6594967.22428182 -999999, 243781.131080519 6594974.26117996 -999999, 243774.748777549 6594993.57173766 -999999, 243760.511332463 6594996.51741596 -999999, 243759.20214211 6594986.20754193 -999999, 243755.60186864 6594969.35171614 -999999, 243763.293361962 6594968.53347217 -999999, 243771.96674805 6594967.38793061 -999999))</t>
  </si>
  <si>
    <t>2016-03-22</t>
  </si>
  <si>
    <t>[3950]</t>
  </si>
  <si>
    <t>['KV3950 S1D1 m68']</t>
  </si>
  <si>
    <t>LINESTRING Z (243615.514726977 6595035.1489595 -999999, 243610.147754584 6595034.96389149 -999999, 243612.55363876 6595060.31820935 -999999, 243619.771291289 6595060.50327736 -999999, 243621.436903411 6595070.86708612 -999999, 243644.570405107 6595072.53269824 -999999, 243644.20026908 6595063.46436558 -999999, 243624.027855601 6595060.68834537 -999999, 243624.397991628 6595053.84082887 -999999, 243628.0993519 6595053.28562483 -999999, 243627.729215873 6595036.62950361 -999999, 243622.362243479 6595035.88923156 -999999)</t>
  </si>
  <si>
    <t>POLYGON Z ((243615.514726977 6595035.1489595 -999999, 243610.147754584 6595034.96389149 -999999, 243612.55363876 6595060.31820935 -999999, 243619.771291289 6595060.50327736 -999999, 243621.436903411 6595070.86708612 -999999, 243644.570405107 6595072.53269824 -999999, 243644.20026908 6595063.46436558 -999999, 243624.027855601 6595060.68834537 -999999, 243624.397991628 6595053.84082887 -999999, 243628.0993519 6595053.28562483 -999999, 243627.729215873 6595036.62950361 -999999, 243622.362243479 6595035.88923156 -999999, 243615.514726977 6595035.1489595 -999999))</t>
  </si>
  <si>
    <t>[4580]</t>
  </si>
  <si>
    <t>['KV4580 S1D1 m23']</t>
  </si>
  <si>
    <t>LINESTRING Z (243573.98342517 6594951.3138781 -999999, 243573.798601846 6594920.07873631 -999999, 243577.495068331 6594915.27332988 -999999, 243576.940598358 6594951.49870142 -999999)</t>
  </si>
  <si>
    <t>POLYGON Z ((243573.98342517 6594951.3138781 -999999, 243573.798601846 6594920.07873631 -999999, 243577.495068331 6594915.27332988 -999999, 243576.940598358 6594951.49870142 -999999, 243573.98342517 6594951.3138781 -999999))</t>
  </si>
  <si>
    <t>[3310]</t>
  </si>
  <si>
    <t>['KV3310 S1D1 m135']</t>
  </si>
  <si>
    <t>LINESTRING Z (243666.108771228 6594747.4292402 -999999, 243667.685919006 6594743.22351279 -999999, 243652.44015715 6594716.93771648 -999999, 243646.131566037 6594720.09201204 -999999, 243639.034401035 6594721.40630185 -999999, 243652.44015715 6594745.85209242 -999999, 243659.537322152 6594748.21781408 -999999)</t>
  </si>
  <si>
    <t>POLYGON Z ((243666.108771228 6594747.4292402 -999999, 243667.685919006 6594743.22351279 -999999, 243652.44015715 6594716.93771648 -999999, 243646.131566037 6594720.09201204 -999999, 243639.034401035 6594721.40630185 -999999, 243652.44015715 6594745.85209242 -999999, 243659.537322152 6594748.21781408 -999999, 243666.108771228 6594747.4292402 -999999))</t>
  </si>
  <si>
    <t>2016-05-13</t>
  </si>
  <si>
    <t>[6680]</t>
  </si>
  <si>
    <t>['FV6680 S2D1 m5426']</t>
  </si>
  <si>
    <t>LINESTRING Z (273687.87 7026757.25 133.195, 273687.84 7026757.15 132.745, 273687.77 7026756.65 133.185, 273687.8 7026756.09 133.185, 273688.3 7026753.47 133.215, 273688.5 7026752.38 133.225, 273686.4 7026747.7 133.165, 273684.61 7026743.77 133.115, 273682.98 7026742.57 133.085, 273682.13 7026741.92 133.065, 273681.86 7026741.67 133.065, 273681.55 7026741.15 133.075)</t>
  </si>
  <si>
    <t>POLYGON Z ((273687.87 7026757.25 133.195, 273687.84 7026757.15 132.745, 273687.77 7026756.65 133.185, 273687.8 7026756.09 133.185, 273688.3 7026753.47 133.215, 273688.5 7026752.38 133.225, 273686.4 7026747.7 133.165, 273684.61 7026743.77 133.115, 273682.98 7026742.57 133.085, 273682.13 7026741.92 133.065, 273681.86 7026741.67 133.065, 273681.55 7026741.15 133.075, 273687.87 7026757.25 133.195))</t>
  </si>
  <si>
    <t>2016-06-17</t>
  </si>
  <si>
    <t>['RV13 S26D1 m7712']</t>
  </si>
  <si>
    <t>LINESTRING Z (30286.63 6688870.65 11.298, 30287.84 6688864.22 11.258, 30290.43 6688851.01 11.318, 30294.16 6688831.56 11.698)</t>
  </si>
  <si>
    <t>POINT (30290.394786002653 6688851.104995213)</t>
  </si>
  <si>
    <t>['RV13 S26D1 m7614']</t>
  </si>
  <si>
    <t>LINESTRING Z (30296.25 6688820.21 11.808, 30300.02 6688800.08 12.228, 30303.62 6688781.12 12.728, 30307.29 6688761.74 13.458, 30311.01 6688742.54 14.258, 30314.28 6688724.76 14.918, 30319.82 6688694.56 16.018, 30320.04 6688693.43 16.098, 30320.05 6688692.89 16.098, 30319.83 6688692.39 16.098, 30319.43 6688691.89 16.088, 30318.63 6688691.43 16.048, 30318.43 6688691.43 16.038)</t>
  </si>
  <si>
    <t>POINT (30308.44998804847 6688755.434970375)</t>
  </si>
  <si>
    <t>2025-12-02T14:06:12Z</t>
  </si>
  <si>
    <t>['FV63 S12D1 m2531 SD1 m90']</t>
  </si>
  <si>
    <t>LINESTRING Z (122061.51 6946228.97 695.631, 122074.57 6946242.45 695.551, 122073.89 6946239.92 695.491, 122074.19 6946237.73 695.451, 122075.23 6946235.77 695.441, 122075.7 6946235.22 695.451, 122077.09 6946234.24 695.491, 122078.5 6946233.78 695.511, 122104.07 6946228.42 695.831, 122090.78 6946204.34 695.871, 122091.03 6946199.05 696.051, 122067.68 6946156.85 696.281, 122034.23 6946096.33 696.86, 122034.24 6946096.26 696.87, 122021.57 6946099.32 696.89, 122018.41 6946099.71 696.87, 122014.42 6946098.43 696.83, 122011.78 6946096.02 696.84, 122011.29 6946095.23 696.83, 122012.65 6946113.53 696.58, 122013.41 6946111.27 696.61, 122015.47 6946109.84 696.64, 122018.57 6946110.31 696.66, 122020.13 6946113.11 696.62, 122020.13 6946113.42 696.63, 122020.72 6946138.89 696.311, 122044.27 6946181.51 695.911, 122067.76 6946223.95 695.571, 122068.19 6946226.82 695.561, 122066.57 6946229.27 695.571, 122063.41 6946229.96 695.581, 122061.51 6946228.97 695.631, 122060.67 6946227.93 695.631)</t>
  </si>
  <si>
    <t>2016-09-26</t>
  </si>
  <si>
    <t>[5050]</t>
  </si>
  <si>
    <t>['KV5050 S1D1 m452']</t>
  </si>
  <si>
    <t>LINESTRING Z (270979.99 7041922.5 3.793, 270979.87 7041922.37 3.753, 270979.85 7041922.29 3.773, 270979.77 7041922.16 3.753, 270979.6 7041921.73 3.743, 270979.58 7041921.62 3.743, 270979.56 7041921.54 3.733, 270979.38 7041920.77 3.703, 270979.2 7041920.11 3.683, 270978.85 7041919.26 3.653, 270978.78 7041919.09 3.643, 270978.73 7041919 3.643, 270978.68 7041918.92 3.643, 270978.5 7041918.58 3.643, 270977.98 7041917.85 3.623, 270977.95 7041917.81 3.623, 270977.82 7041917.63 3.623, 270977.61 7041917.33 3.613, 270977.28 7041916.87 3.603, 270977.23 7041916.79 3.603, 270977.02 7041916.51 3.603, 270976.81 7041916.21 3.593, 270976.51 7041915.78 3.583, 270975.14 7041913.86 3.544, 270974.83 7041913.42 3.534, 270974.77 7041913.35 3.534, 270974.41 7041912.83 3.524, 270974.25 7041912.6 3.524, 270973.13 7041911.01 3.484, 270973.01 7041910.84 3.484, 270972.77 7041910.5 3.474, 270972.4 7041909.97 3.464, 270972.01 7041909.41 3.454, 270971.04 7041908.03 3.424, 270970.89 7041907.82 3.424, 270970.77 7041907.65 3.414, 270970.44 7041907.18 3.414, 270970.29 7041906.98 3.414, 270970.16 7041906.8 3.404, 270970.03 7041906.61 3.404, 270969.92 7041906.46 3.404, 270969.78 7041906.26 3.404, 270969.66 7041906.09 3.394, 270969.63 7041906.04 3.394, 270969.54 7041905.92 3.394, 270969.43 7041905.77 3.394, 270969.32 7041905.61 3.394, 270969.22 7041905.47 3.394, 270969.12 7041905.33 3.384, 270969.03 7041905.2 3.384, 270968.94 7041905.08 3.384, 270968.85 7041904.96 3.384, 270968.78 7041904.85 3.384, 270968.75 7041904.81 3.384, 270968.7 7041904.75 3.384, 270968.63 7041904.65 3.374, 270968.57 7041904.56 3.374, 270968.51 7041904.48 3.374, 270968.46 7041904.41 3.374, 270968.43 7041904.36 3.374, 270968.38 7041904.3 3.374, 270968.35 7041904.26 3.374, 270968.32 7041904.21 3.374, 270968.09 7041903.89 3.374, 270967.46 7041903 3.394, 270967.14 7041902.55 3.404, 270966.57 7041901.73 3.424, 270966.25 7041901.28 3.434, 270965.55 7041900.27 3.444, 270964.27 7041898.43 3.464, 270964.23 7041898.38 3.464, 270964.2 7041898.34 3.464, 270964.17 7041898.29 3.464, 270964.13 7041898.23 3.464, 270964.08 7041898.17 3.464, 270964.02 7041898.08 3.464, 270963.96 7041897.99 3.464, 270963.89 7041897.89 3.464, 270963.82 7041897.79 3.464, 270963.74 7041897.67 3.464, 270963.65 7041897.54 3.464, 270963.55 7041897.41 3.474, 270963.46 7041897.26 3.474, 270963.35 7041897.11 3.474, 270963.24 7041896.95 3.474, 270963.12 7041896.79 3.474, 270963 7041896.61 3.474, 270962.88 7041896.44 3.474, 270962.85 7041896.4 3.474, 270962.82 7041896.35 3.474, 270962.79 7041896.31 3.474, 270962.76 7041896.27 3.474, 270962.73 7041896.22 3.474, 270962.62 7041896.07 3.484, 270962.59 7041896.02 3.484, 270962.49 7041895.87 3.484, 270962.38 7041895.71 3.484, 270962.35 7041895.67 3.484, 270962.31 7041895.62 3.484, 270962.21 7041895.47 3.484, 270962.09 7041895.31 3.494, 270961.92 7041895.06 3.494, 270961.82 7041894.91 3.494, 270961.78 7041894.86 3.494, 270961.7 7041894.75 3.494, 270961.51 7041894.47 3.494, 270960.79 7041893.43 3.514, 270959.67 7041891.82 3.524, 270959.2 7041891.16 3.534, 270958.96 7041890.82 3.544, 270958.25 7041889.79 3.554, 270957.94 7041889.35 3.554, 270957.61 7041888.88 3.564, 270957.25 7041888.36 3.564, 270956.02 7041886.6 3.584, 270955.95 7041886.5 3.584, 270955.65 7041886.07 3.584, 270955.11 7041885.3 3.594, 270955 7041885.14 3.594, 270954.21 7041884 3.604, 270953.81 7041883.43 3.614, 270953.38 7041882.81 3.614, 270953.02 7041882.29 3.624, 270952.02 7041880.85 3.634, 270951.6 7041880.25 3.634, 270950.66 7041878.92 3.644, 270950.22 7041878.29 3.644, 270949.37 7041877.08 3.644, 270948.95 7041876.48 3.644, 270948.34 7041875.61 3.644, 270947.74 7041874.75 3.654, 270947.15 7041873.91 3.664, 270945.57 7041871.65 3.684, 270944.94 7041870.74 3.694, 270944.48 7041870.09 3.704, 270943.4 7041868.52 3.724, 270942.73 7041867.56 3.734, 270941.25 7041865.42 3.764, 270940.76 7041864.71 3.774, 270940.52 7041864.38 3.774, 270939.43 7041862.82 3.804, 270938.77 7041861.88 3.814, 270938.3 7041861.2 3.824, 270938.2 7041861.06 3.824, 270937.09 7041859.47 3.854, 270936.92 7041859.23 3.854, 270935.84 7041857.71 3.854, 270935.06 7041856.63 3.854, 270934.55 7041855.91 3.854, 270933.38 7041854.22 3.854, 270933.03 7041853.71 3.844, 270932.73 7041853.27 3.844, 270932.48 7041852.91 3.844, 270931.67 7041851.75 3.844, 270931.13 7041850.98 3.834, 270930.94 7041850.71 3.834, 270930.75 7041850.43 3.834, 270930.33 7041849.82 3.834, 270929.31 7041848.38 3.834, 270928.74 7041847.57 3.834, 270928.49 7041847.21 3.834, 270927.57 7041845.9 3.834, 270927.3 7041845.53 3.824, 270926.83 7041844.86 3.824, 270926.44 7041844.33 3.814, 270926.01 7041843.73 3.814, 270924.74 7041841.95 3.804, 270923.72 7041840.52 3.794, 270923.53 7041840.25 3.794, 270923.25 7041839.84 3.794, 270922.45 7041838.7 3.784, 270922.06 7041838.13 3.784, 270921.92 7041837.95 3.794, 270921.76 7041837.8 3.784, 270921.45 7041837.66 3.774, 270921.21 7041837.6 3.774, 270920.7 7041837.48 3.774, 270920.22 7041837.34 3.774, 270919.96 7041837.26 3.774, 270919.55 7041837.08 3.764, 270919.34 7041836.96 3.754, 270919.15 7041836.82 3.734)</t>
  </si>
  <si>
    <t>POINT (270950.51677935786 7041878.79011698)</t>
  </si>
  <si>
    <t>2025-12-02T14:06:52Z</t>
  </si>
  <si>
    <t>['FV63 S12D1 m2414']</t>
  </si>
  <si>
    <t>LINESTRING Z (122021.231598165 6946099.3660531 -999999, 122020.967014832 6946097.7785531 -999999, 122016.469098165 6946088.2535531 -999999, 122010.780556498 6946084.02021976 -999999, 122008.663889832 6946080.84521976 -999999, 122004.033681498 6946071.71709476 -999999, 121982.205556498 6946028.19313643 -999999, 121991.862848165 6946022.7691781 -999999, 122001.652431498 6946033.35251143 -999999, 122018.188889832 6946061.6629281 -999999, 122013.029514832 6946064.4410531 -999999, 122029.830556498 6946096.85251143 -999999, 122028.375348165 6946097.3816781 -999999)</t>
  </si>
  <si>
    <t>POLYGON Z ((122021.231598165 6946099.3660531 -999999, 122020.967014832 6946097.7785531 -999999, 122016.469098165 6946088.2535531 -999999, 122010.780556498 6946084.02021976 -999999, 122008.663889832 6946080.84521976 -999999, 122004.033681498 6946071.71709476 -999999, 121982.205556498 6946028.19313643 -999999, 121991.862848165 6946022.7691781 -999999, 122001.652431498 6946033.35251143 -999999, 122018.188889832 6946061.6629281 -999999, 122013.029514832 6946064.4410531 -999999, 122029.830556498 6946096.85251143 -999999, 122028.375348165 6946097.3816781 -999999, 122021.231598165 6946099.3660531 -999999))</t>
  </si>
  <si>
    <t>2016-10-12</t>
  </si>
  <si>
    <t>[99386]</t>
  </si>
  <si>
    <t>['PV99386 S3D1 m48']</t>
  </si>
  <si>
    <t>LINESTRING Z (68327.47 6956975.02 41.337, 68327.53 6956974.79 41.327, 68327.64 6956974.58 41.327, 68328.45 6956973.94 41.317, 68329.37 6956973.41 41.297, 68330.37 6956973.01 41.257, 68331.22 6956972.81 41.237, 68332.19 6956972.7 41.207, 68333.5 6956972.76 41.187, 68333.72 6956972.81 41.187, 68333.89 6956972.98 41.197, 68333.96 6956973.25 41.167, 68333.75 6956975.19 41.167, 68333.48 6956977.67 41.157, 68337.87 6956978.19 41.137, 68342.61 6956978.74 41.117, 68347.91 6956979.32 41.107, 68352.68 6956979.85 41.077, 68357.24 6956980.34 41.057, 68362.34 6956980.92 41.067, 68366.82 6956981.4 41.077, 68367.3 6956976.92 41.067, 68367.39 6956976.71 41.067, 68367.52 6956976.59 41.057, 68367.7 6956976.53 41.057, 68367.92 6956976.53 41.067, 68368.93 6956976.7 41.067, 68369.72 6956976.93 41.057, 68370.26 6956977.16 41.057, 68370.72 6956977.41 41.047, 68371.1 6956977.68 41.057, 68371.56 6956978.08 41.047, 68372.04 6956978.56 41.047, 68372.42 6956979 41.047, 68372.8 6956979.47 41.057, 68373.11 6956979.96 41.047, 68373.4 6956980.47 41.047, 68373.62 6956981.04 41.047, 68373.82 6956981.77 41.057, 68373.88 6956982.41 41.047, 68373.89 6956982.71 41.047)</t>
  </si>
  <si>
    <t>POINT (68351.33251568607 6956978.301470673)</t>
  </si>
  <si>
    <t>['PV99386 S3D1 m84']</t>
  </si>
  <si>
    <t>LINESTRING Z (68325.39 6956978.29 41.257, 68325.18 6956978.38 41.257, 68325.05 6956978.5 41.247, 68323.63 6956980.75 41.157, 68322.07 6956983.17 41.067, 68322 6956983.33 41.067, 68321.98 6956983.51 41.057, 68322.02 6956983.67 41.067, 68322.13 6956983.82 41.047, 68324.19 6956985.13 41.017, 68326 6956986.24 41.007, 68323.01 6956990.96 40.887, 68320.7 6956994.61 40.777, 68318.37 6956998.31 40.677, 68315.98 6957002.11 40.567, 68313.94 6957005.34 40.487, 68311.08 6957003.54 40.517, 68306.03 6957000.35 40.577, 68299.55 6956996.25 40.677, 68304.4 6956988.61 40.917, 68308.59 6956981.97 41.097, 68311.63 6956977.23 41.247, 68314.04 6956978.71 41.217, 68315.43 6956979.58 41.177, 68315.71 6956979.65 41.187, 68315.91 6956979.6 41.187, 68316.08 6956979.42 41.197, 68317.25 6956977.61 41.247, 68318.83 6956975.14 41.327, 68318.9 6956974.87 41.347, 68318.82 6956974.6 41.377)</t>
  </si>
  <si>
    <t>POLYGON Z ((68325.39 6956978.29 41.257, 68325.18 6956978.38 41.257, 68325.05 6956978.5 41.247, 68323.63 6956980.75 41.157, 68322.07 6956983.17 41.067, 68322 6956983.33 41.067, 68321.98 6956983.51 41.057, 68322.02 6956983.67 41.067, 68322.13 6956983.82 41.047, 68324.19 6956985.13 41.017, 68326 6956986.24 41.007, 68323.01 6956990.96 40.887, 68320.7 6956994.61 40.777, 68318.37 6956998.31 40.677, 68315.98 6957002.11 40.567, 68313.94 6957005.34 40.487, 68311.08 6957003.54 40.517, 68306.03 6957000.35 40.577, 68299.55 6956996.25 40.677, 68304.4 6956988.61 40.917, 68308.59 6956981.97 41.097, 68311.63 6956977.23 41.247, 68314.04 6956978.71 41.217, 68315.43 6956979.58 41.177, 68315.71 6956979.65 41.187, 68315.91 6956979.6 41.187, 68316.08 6956979.42 41.197, 68317.25 6956977.61 41.247, 68318.83 6956975.14 41.327, 68318.9 6956974.87 41.347, 68318.82 6956974.6 41.377, 68325.39 6956978.29 41.257))</t>
  </si>
  <si>
    <t>2020-08-21</t>
  </si>
  <si>
    <t>2025-11-22T09:08:12Z</t>
  </si>
  <si>
    <t>['FV17 S5D1 m1444']</t>
  </si>
  <si>
    <t>LINESTRING Z (315759.91 7133189.07 8.026, 315760.02 7133190.27 7.956, 315759.46 7133191.22 7.866, 315757.89 7133191.71 7.696, 315756.79 7133190.78 7.616, 315749.38 7133175.42 7.396, 315741.49 7133178.02 7.216, 315746.46 7133200.76 7.396, 315758.59 7133199.03 7.766, 315762.17 7133199.04 7.916, 315764.56 7133200.13 8.016)</t>
  </si>
  <si>
    <t>POLYGON Z ((315759.91 7133189.07 8.026, 315760.02 7133190.27 7.956, 315759.46 7133191.22 7.866, 315757.89 7133191.71 7.696, 315756.79 7133190.78 7.616, 315749.38 7133175.42 7.396, 315741.49 7133178.02 7.216, 315746.46 7133200.76 7.396, 315758.59 7133199.03 7.766, 315762.17 7133199.04 7.916, 315764.56 7133200.13 8.016, 315759.91 7133189.07 8.026))</t>
  </si>
  <si>
    <t>2020-03-27</t>
  </si>
  <si>
    <t>['EV39 S74D1 m1947']</t>
  </si>
  <si>
    <t>LINESTRING Z (-32845.83 6751333.57 -999999, -32836.48 6751336.7 -999999, -32836.74 6751336.39 -999999, -32836.9 6751336.12 -999999, -32837.03 6751335.78 -999999, -32837.1 6751335.43 -999999, -32837.1 6751335.06 -999999, -32837.03 6751334.71 -999999, -32836.91 6751334.36 -999999, -32836.25 6751333 -999999, -32836.06 6751332.68 -999999, -32835.81 6751332.41 -999999, -32835.52 6751332.19 -999999, -32833.76 6751328.51 -999999, -32834.37 6751328.3 -999999, -32838.93 6751326.62 -999999, -32841.82 6751325.49 -999999, -32843.57 6751324.67 -999999, -32845.33 6751323.84 -999999, -32847.08 6751323.01 -999999, -32848.83 6751322.15 -999999, -32850.67 6751321.24 -999999, -32852.52 6751320.35 -999999, -32853.8 6751319.74 -999999, -32854.25 6751319.52 -999999, -32856.01 6751318.66 -999999, -32857.72 6751317.79 -999999, -32858.59 6751317.36 -999999, -32858.96 6751317.17 -999999, -32859.37 6751316.95 -999999, -32860.98 6751316.06 -999999, -32862.68 6751315.11 -999999, -32864.37 6751314.15 -999999, -32866.05 6751313.17 -999999, -32867.72 6751312.18 -999999, -32869.39 6751311.19 -999999, -32871.05 6751310.17 -999999, -32872.69 6751309.15 -999999, -32874.34 6751308.12 -999999, -32875.98 6751307.07 -999999, -32877.62 6751306.01 -999999, -32879.24 6751304.94 -999999, -32880.85 6751303.86 -999999, -32882.46 6751302.77 -999999, -32884.06 6751301.66 -999999, -32885.64 6751300.54 -999999, -32887.24 6751299.42 -999999, -32888.54 6751298.48 -999999, -32888.8 6751298.29 -999999, -32890.37 6751297.13 -999999, -32891.93 6751295.97 -999999, -32893.48 6751294.79 -999999, -32895.02 6751293.62 -999999, -32896.56 6751292.43 -999999, -32898.08 6751291.22 -999999, -32899.33 6751290.21 -999999, -32899.59 6751290.01 -999999, -32901.1 6751288.78 -999999, -32902.61 6751287.53 -999999, -32904.09 6751286.29 -999999, -32905.58 6751285.04 -999999, -32907.04 6751283.77 -999999, -32908.51 6751282.49 -999999, -32909.97 6751281.19 -999999, -32910.68 6751280.55 -999999, -32911.4 6751279.9 -999999, -32912.84 6751278.58 -999999, -32914.27 6751277.26 -999999, -32915.68 6751275.93 -999999, -32917.09 6751274.59 -999999, -32918.48 6751273.24 -999999, -32919.87 6751271.87 -999999, -32921.25 6751270.51 -999999, -32922.62 6751269.13 -999999, -32923.98 6751267.73 -999999, -32924.1 6751267.61 -999999, -32924.65 6751267.05 -999999, -32925.32 6751266.34 -999999, -32926.32 6751265.29 -999999, -32926.67 6751264.92 -999999, -32928.05 6751263.46 -999999, -32929.42 6751262.01 -999999, -32930.81 6751260.54 -999999, -32932.18 6751259.09 -999999, -32933.56 6751257.63 -999999, -32934.25 6751256.9 -999999, -32934.94 6751256.18 -999999, -32936.32 6751254.71 -999999, -32937.7 6751253.26 -999999, -32938.5 6751252.41 -999999, -32939.07 6751251.8 -999999, -32939.87 6751250.96 -999999, -32940.46 6751250.35 -999999, -32941.83 6751248.88 -999999, -32941.98 6751248.72 -999999, -32942.08 6751248.61 -999999, -32941.83 6751248.88 -999999, -32941.89 6751248.83 -999999, -32942.54 6751248.08 -999999, -32943.12 6751247.28 -999999, -32943.64 6751246.44 -999999, -32944.1 6751245.56 -999999, -32944.5 6751244.77 -999999, -32944.95 6751243.99 -999999, -32945.45 6751243.24 -999999, -32945.99 6751242.53 -999999, -32954.64 6751231.72 -999999, -32957.93 6751234.07 -999999, -32956.71 6751235.55 -999999, -32956.39 6751236.01 -999999, -32956.12 6751236.49 -999999, -32955.93 6751237.01 -999999, -32955.81 6751237.55 -999999, -32955.78 6751238.11 -999999, -32955.81 6751238.65 -999999, -32955.93 6751239.2 -999999, -32956.12 6751239.72 -999999, -32956.37 6751240.21 -999999, -32956.7 6751240.65 -999999, -32957.08 6751241.05 -999999, -32958.97 6751242.47 -999999, -32958.8 6751242.72 -999999, -32958.19 6751243.5 -999999, -32957.56 6751244.28 -999999, -32956.91 6751245.06 -999999, -32956.27 6751245.83 -999999, -32955.92 6751246.24 -999999, -32954.96 6751247.34 -999999, -32954.29 6751248.08 -999999, -32953.62 6751248.82 -999999, -32952.94 6751249.55 -999999, -32952.74 6751249.76 -999999, -32952.26 6751250.28 -999999, -32950.87 6751251.74 -999999, -32949.49 6751253.19 -999999, -32948.29 6751254.47 -999999, -32948.12 6751254.65 -999999, -32946.73 6751256.11 -999999, -32945.36 6751257.57 -999999, -32943.98 6751259.02 -999999, -32942.61 6751260.48 -999999, -32941.22 6751261.94 -999999, -32939.84 6751263.39 -999999, -32938.47 6751264.85 -999999, -32937.09 6751266.31 -999999, -32935.71 6751267.77 -999999, -32934.33 6751269.22 -999999, -32933.18 6751270.44 -999999, -32932.95 6751270.68 -999999, -32931.57 6751272.13 -999999, -32931.09 6751272.63 -999999, -32930.88 6751272.85 -999999, -32930.49 6751273.25 -999999, -32930.18 6751273.58 -999999, -32928.78 6751275 -999999, -32927.37 6751276.43 -999999, -32925.94 6751277.84 -999999, -32924.51 6751279.24 -999999, -32923.79 6751279.94 -999999, -32923.07 6751280.64 -999999, -32921.62 6751282.03 -999999, -32920.17 6751283.39 -999999, -32918.69 6751284.76 -999999, -32918.17 6751285.26 -999999, -32917.22 6751286.13 -999999, -32916.48 6751286.8 -999999, -32915.75 6751287.48 -999999, -32914.67 6751288.48 -999999, -32914.27 6751288.84 -999999, -32912.79 6751290.19 -999999, -32911.3 6751291.52 -999999, -32909.79 6751292.86 -999999, -32909.05 6751293.51 -999999, -32908.29 6751294.18 -999999, -32906.77 6751295.48 -999999, -32905.24 6751296.78 -999999, -32903.71 6751298.07 -999999, -32902.16 6751299.35 -999999, -32901.38 6751299.98 -999999, -32900.61 6751300.61 -999999, -32900.54 6751300.67 -999999, -32899.05 6751301.86 -999999, -32897.47 6751303.11 -999999, -32895.9 6751304.34 -999999, -32894.31 6751305.57 -999999, -32893.5 6751306.17 -999999, -32892.7 6751306.78 -999999, -32891.1 6751307.97 -999999, -32889.49 6751309.16 -999999, -32887.87 6751310.34 -999999, -32886.24 6751311.51 -999999, -32885.42 6751312.09 -999999, -32884.6 6751312.66 -999999, -32882.95 6751313.81 -999999, -32881.3 6751314.95 -999999, -32879.69 6751316.03 -999999, -32879.64 6751316.07 -999999, -32877.97 6751317.17 -999999, -32877.13 6751317.73 -999999, -32876.3 6751318.28 -999999, -32874.61 6751319.36 -999999, -32872.92 6751320.43 -999999, -32871.22 6751321.5 -999999, -32869.51 6751322.55 -999999, -32868.99 6751322.86 -999999, -32868.69 6751323.05 -999999, -32868.53 6751322.79 -999999, -32867.65 6751323.32 -999999, -32865.92 6751324.34 -999999, -32864.2 6751325.35 -999999, -32862.44 6751326.31 -999999, -32860.68 6751327.26 -999999, -32858.9 6751328.18 -999999, -32855.47 6751329.94 -999999, -32852.65 6751331.42 -999999, -32848.79 6751330.09 -999999, -32845.27 6751331.56 -999999, -32845.14 6751331.75 -999999, -32845.11 6751332.05 -999999, -32845.14 6751332.4 -999999, -32845.23 6751332.73 -999999, -32845.38 6751333.04 -999999, -32845.59 6751333.34 -999999, -32845.74 6751333.49 -999999, -32845.83 6751333.57 -999999)</t>
  </si>
  <si>
    <t>2017-01-26</t>
  </si>
  <si>
    <t>[105]</t>
  </si>
  <si>
    <t>['EV105 S1D1 m3246']</t>
  </si>
  <si>
    <t>LINESTRING Z (1079187.37 7802831.65 43.208, 1079186.09 7802832.26 43.228, 1079185.06 7802833.14 43.248, 1079184 7802834.66 43.288, 1079183.16 7802837.26 43.268, 1079182.85 7802839.3 43.298, 1079182.49 7802841.94 43.258, 1079182.54 7802842.53 43.258, 1079182.99 7802843.2 43.218, 1079184.31 7802844.67 43.188, 1079186.31 7802845.26 43.138, 1079188.72 7802845.74 43.088, 1079188.2 7802849.96 43.178, 1079187.72 7802854.46 43.178, 1079187.26 7802859 43.208, 1079186.75 7802862.68 43.288, 1079186.47 7802862.94 43.278, 1079185.76 7802863.4 43.278, 1079182.88 7802862.99 43.338, 1079178.65 7802862.44 43.328, 1079173.71 7802862.01 43.378, 1079168.46 7802861.38 43.528, 1079164.71 7802860.67 43.648, 1079165.16 7802856.57 43.628, 1079165.69 7802853.09 43.538, 1079166.33 7802850.49 43.508, 1079166.75 7802848.22 43.388, 1079167.7 7802842.71 43.228, 1079173.39 7802843.12 43.358, 1079174.61 7802842.09 43.358, 1079175.39 7802838.7 43.358, 1079175.52 7802837.58 43.318, 1079175.6 7802837.14 43.308, 1079175.78 7802835.41 43.268, 1079175.89 7802834.11 43.288, 1079175.52 7802832.12 43.318, 1079174.55 7802830.33 43.288, 1079173.6 7802829.13 43.278)</t>
  </si>
  <si>
    <t>POLYGON Z ((1079187.37 7802831.65 43.208, 1079186.09 7802832.26 43.228, 1079185.06 7802833.14 43.248, 1079184 7802834.66 43.288, 1079183.16 7802837.26 43.268, 1079182.85 7802839.3 43.298, 1079182.49 7802841.94 43.258, 1079182.54 7802842.53 43.258, 1079182.99 7802843.2 43.218, 1079184.31 7802844.67 43.188, 1079186.31 7802845.26 43.138, 1079188.72 7802845.74 43.088, 1079188.2 7802849.96 43.178, 1079187.72 7802854.46 43.178, 1079187.26 7802859 43.208, 1079186.75 7802862.68 43.288, 1079186.47 7802862.94 43.278, 1079185.76 7802863.4 43.278, 1079182.88 7802862.99 43.338, 1079178.65 7802862.44 43.328, 1079173.71 7802862.01 43.378, 1079168.46 7802861.38 43.528, 1079164.71 7802860.67 43.648, 1079165.16 7802856.57 43.628, 1079165.69 7802853.09 43.538, 1079166.33 7802850.49 43.508, 1079166.75 7802848.22 43.388, 1079167.7 7802842.71 43.228, 1079173.39 7802843.12 43.358, 1079174.61 7802842.09 43.358, 1079175.39 7802838.7 43.358, 1079175.52 7802837.58 43.318, 1079175.6 7802837.14 43.308, 1079175.78 7802835.41 43.268, 1079175.89 7802834.11 43.288, 1079175.52 7802832.12 43.318, 1079174.55 7802830.33 43.288, 1079173.6 7802829.13 43.278, 1079187.37 7802831.65 43.208))</t>
  </si>
  <si>
    <t>[4]</t>
  </si>
  <si>
    <t>['RV4 S9D1 m5639 SD1 m464']</t>
  </si>
  <si>
    <t>LINESTRING Z (255817.31663442712 6697562.447988575 209.05, 255817.55450666806 6697562.856475822 209.05, 255818.26709863188 6697564.14903058 209.06, 255818.85776257975 6697565.192860318 209.07, 255818.98594994037 6697565.452335133 209.07, 255819.72983993206 6697566.798638485 209.09, 255820.48774479443 6697568.188682056 209.1, 255821.24639704567 6697569.589846146 209.11, 255821.54836201572 6697570.128071083 209.12, 255821.5172577956 6697570.241869662 209.12, 255821.33417733698 6697570.812716061 209.11, 255820.98707255506 6697571.908444618 209.11, 255820.62744848302 6697572.982673874 209.11, 255820.2858560875 6697574.078031808 209.11, 255819.93800417206 6697575.162640107 209.11, 255819.8790641373 6697575.356505494 209.11, 255819.34491514397 6697576.140864555 209.11, 255818.6897000923 6697577.100926105 209.11, 255818.0392493733 6697578.049496699 209.11, 255817.38879901933 6697578.99806742 209.12, 255816.74862485 6697579.93477649 209.12, 255816.1091989483 6697580.882606047 209.13, 255815.73647301458 6697581.43269569 209.13, 255815.5153641359 6697581.849710795 209.14, 255815.48678045455 6697581.91865725 209.14, 255815.01747505512 6697582.843874705 209.15, 255814.51482234054 6697583.849529767 209.16, 255814.01693387574 6697584.843693828 209.18, 255813.50951784977 6697585.860840119 209.19, 255812.99584236412 6697586.867236834 209.21, 255812.55661781036 6697587.745748892 209.23, 255812.47590741748 6697587.862883968 209.23, 255811.80593328382 6697588.768086431 209.25, 255811.13595950507 6697589.67328902 209.27, 255810.46598608093 6697590.578491737 209.29, 255809.7960130122 6697591.483694589 209.32, 255809.1260402983 6697592.388897572 209.34, 255809.06513370536 6697592.471188758 209.34, 255808.47811532 6697593.292617808 209.37, 255807.8261747265 6697594.218949623 209.39, 255807.18852618273 6697595.110808296 209.42, 255807.1165960009 6697595.193840961 209.43, 255806.5145389257 6697596.038623244 209.45, 255805.86736328522 6697596.953464345 209.48, 255805.2099122674 6697597.880167379 209.52, 255804.9560109608 6697598.221194227 209.53, 255804.46931226045 6697598.723097756 209.55, 255803.66434263534 6697599.514504449 209.57, 255802.86413724418 6697600.294420234 209.6, 255802.06542812748 6697601.096576937 209.63, 255801.26597140744 6697601.887613453 209.66, 255800.79907716316 6697602.35467348 209.68, 255800.4775387062 6697602.677908691 209.69, 255799.69611412607 6697603.49007411 209.72, 255798.90843010417 6697604.291490071 209.75, 255798.11523461094 6697605.093276945 209.78, 255797.33932293396 6697605.905072156 209.81, 255796.5461281582 6697606.7068593865 209.84, 255795.85718636354 6697607.412269104 209.87, 255795.746673935 6697607.497897174 209.87, 255794.86808651427 6697608.182551107 209.9, 255793.96820012302 6697608.879808593 209.93, 255793.08961336792 6697609.564462972 209.96, 255792.63728855565 6697609.918837465 209.98, 255792.18972765683 6697610.261720912 209.99, 255791.28759829665 6697610.925617987 210.02, 255790.39724089863 6697611.599894163 210.05, 255789.94416859705 6697611.943148641 210.07, 255786.41495981935 6697607.958022743 210)</t>
  </si>
  <si>
    <t>POINT (255807.6861205136 6697590.4541297)</t>
  </si>
  <si>
    <t>['RV4 S9D1 m5639 SD1 m404']</t>
  </si>
  <si>
    <t>LINESTRING Z (255815.8698340829 6697500.76032552 209.31, 255816.35472409616 6697501.2192239985 209.32, 255816.83961399194 6697501.678122541 209.32, 255817.79687368977 6697502.574420479 209.33, 255818.76665266277 6697503.492217993 209.34, 255819.72540720363 6697504.410757151 209.35, 255819.82504053027 6697505.398245821 209.35, 255819.92542172637 6697506.396854861 209.34, 255820.0147789596 6697507.3962052995 209.34, 255820.1144122528 6697508.383693973 209.33, 255820.209281443 6697509.382673716 209.33, 255820.29863865345 6697510.382024158 209.32, 255820.39901979596 6697511.380633206 209.32, 255820.49940092638 6697512.379242255 209.31, 255820.5990341634 6697513.366730936 209.31, 255820.68839134002 6697514.366081384 209.31, 255820.77774851062 6697515.365431832 209.3, 255820.87738171732 6697516.35292052 209.3, 255820.9667388726 6697517.352270972 209.29, 255821.06711993882 6697518.35088003 209.29, 255821.16750099303 6697519.34948909 209.28, 255821.24583421284 6697520.349580939 209.28, 255821.30630076097 6697520.83702371 209.28, 255821.34546736762 6697521.337069633 209.27, 255821.44584839107 6697522.335678694 209.27, 255821.54548152187 6697523.323167395 209.27, 255821.63483862215 6697524.322517857 209.26, 255821.73596749367 6697525.332247296 209.26, 255821.8245766973 6697526.320477387 209.25, 255821.9194457211 6697527.319457156 209.25, 255822.01982667926 6697528.31806623 209.24, 255822.1194597445 6697529.305554939 209.24, 255822.20806891675 6697530.293785039 209.24, 255822.2974259635 6697531.29313551 209.23, 255822.39780687922 6697532.29174459 209.23, 255822.48716391093 6697533.291095063 209.22, 255822.58679692406 6697534.278583775 209.22, 255822.68717780607 6697535.277192861 209.21, 255822.72886478688 6697535.7323866235 209.21, 255822.78578614883 6697536.331774491 209.21, 255822.8480546176 6697537.422312096 209.2, 255822.92760676524 6697538.522857988 209.2, 255822.98511121166 6697539.62488666 209.2, 255823.02801719564 6697540.180534445 209.19, 255823.04812760005 6697540.726544637 209.19, 255823.0670486193 6697541.831168172 209.19, 255823.0849154025 6697542.343817258 209.19, 255823.09827188076 6697544.35363907 209.17, 255822.99956515798 6697547.331674911 209.16, 255822.86783990473 6697549.407107349 209.15, 255822.60704519236 6697552.362532274 209.14, 255822.3690988421 6697554.4227672275 209.13, 255822.15876441883 6697555.576321133 209.11, 255818.06936461438 6697559.068504116 209.06)</t>
  </si>
  <si>
    <t>POINT (255821.36083635362 6697530.013064411)</t>
  </si>
  <si>
    <t>2017-04-07</t>
  </si>
  <si>
    <t>[1044]</t>
  </si>
  <si>
    <t>['KV1044 S1D1 m104']</t>
  </si>
  <si>
    <t>LINESTRING Z (-41279.1500244141 6700521.88000488 48.37, -41277.75 6700521.2800293 48.08, -41276.8699951172 6700520.85998535 47.94, -41276.4799804687 6700520.5300293 47.87, -41276.2899780273 6700520.09997559 47.78, -41276.1400146484 6700519.14001465 47.65, -41276.0900268555 6700517.89001465 47.56, -41276.0200195313 6700516.67004395 47.47, -41275.9199829102 6700515.40002441 47.37, -41275.7899780273 6700513.60998535 47.18, -41275.6300048828 6700512.30004883 47.06, -41275.5900268555 6700511.14001465 46.98, -41275.4899902344 6700509.86999512 46.92, -41275.3599853516 6700508 46.82, -41275.2800292969 6700506.77001953 46.74, -41275.1699829102 6700505.54003906 46.67, -41275.0999755859 6700504.29003906 46.6, -41275.0100097656 6700503.06994629 46.49, -41274.8900146484 6700501.25 46.4, -41274.799987793 6700500.05004883 46.33, -41274.6400146484 6700498.79003906 46.26, -41274.4600219727 6700497.59997559 46.2, -41274.299987793 6700496.32995606 46.13, -41274.0900268555 6700495.14001465 46.06, -41273.7800292969 6700493.27001953 45.97, -41273.5800170898 6700492.06005859 45.88, -41273.3800048828 6700490.82995606 45.83, -41273.1699829102 6700489.60998535 45.77, -41272.9699707031 6700488.36999512 45.73, -41272.7199707031 6700487.17004395 45.64, -41272.2399902344 6700485.43994141 45.59, -41271.9199829102 6700484.22998047 45.56, -41271.5800170898 6700483.02001953 45.52, -41271.2399902344 6700481.84997559 45.47, -41270.7600097656 6700480.75 45.4, -41270.1699829102 6700479.65002441 45.35, -41269.6099853516 6700478.57995606 45.29, -41269.0300292969 6700477.45996094 45.25, -41268.0999755859 6700475.82995605 45.16, -41267.4699707031 6700474.77001953 45.14, -41266.8499755859 6700473.68994141 45.08, -41266.1900024414 6700472.66003418 45.05, -41265.5399780273 6700471.61999512 45.02, -41264.7800292969 6700470.64001465 44.99, -41264.049987793 6700469.60998535 44.98, -41263.3200073242 6700468.63000488 44.96, -41262.5800170898 6700467.60998535 44.95, -41261.9299926758 6700466.58996582 44.95, -41261.3699951172 6700465.47998047 44.92, -41260.8699951172 6700464.30004883 44.91, -41260.4799804688 6700463.14001465 44.91, -41260.2199707031 6700461.77001953 44.92, -41260.5700073242 6700459.2199707 44.92, -41247.8699951172 6700457.48999023 44.78, -41247.4899902344 6700459.2800293 44.7, -41247.1699829102 6700461.2199707 44.62, -41246.6699829102 6700463.34997559 44.62, -41246.0800170898 6700466.04003906 44.59, -41245.3400268555 6700469.43994141 44.64, -41244.7600097656 6700471.94995117 44.64, -41244.3900146484 6700473.20996094 44.64, -41244.1400146484 6700474.68994141 44.68, -41243.6900024414 6700476.32995605 44.71, -41244.3599853516 6700476.56994629 44.7, -41245.4299926758 6700476.93005371 44.68, -41246.6500244141 6700477.38000488 44.73, -41247.9099731445 6700477.81994629 44.74, -41248.1500244141 6700478.0300293 44.76, -41249.3800048828 6700478.65002441 44.76, -41250.9799804688 6700479.48999023 44.77, -41251.5900268555 6700479.98999023 44.82, -41252.4600219727 6700480.68005371 44.89, -41253.4600219727 6700481.69995117 44.99, -41254.4799804687 6700482.82995606 45.1, -41255.4899902344 6700483.84997559 45.22, -41256.0700073242 6700485.33996582 45.34, -41256.7399902344 6700486.85998535 45.51, -41257.2700195313 6700488.10998535 45.63, -41257.5 6700489.08996582 45.7, -41257.7299804687 6700490.15002441 45.77, -41258.0300292969 6700491.60998535 45.88, -41258.3699951172 6700493.01000977 45.99, -41258.6400146484 6700494.38000488 46.1, -41258.9799804688 6700495.76000977 46.19, -41259.200012207 6700496.90002442 46.34, -41259.3900146484 6700498.38000488 46.41, -41259.6599731445 6700499.84997559 46.45, -41259.8400268555 6700501.20996094 46.54, -41260.0399780273 6700502.56994629 46.63, -41260.25 6700503.95996094 46.71, -41260.4400024414 6700505.20996094 46.78, -41260.6400146484 6700506.63000488 46.87, -41260.8599853516 6700508.04003906 46.96, -41261.1400146484 6700509.40002441 47.05, -41261.450012207 6700510.86999512 47.15, -41261.7399902344 6700512.35998535 47.22, -41262.0200195312 6700513.7800293 47.31, -41262.2800292969 6700515.19995117 47.37, -41262.5700073242 6700516.64001465 47.45, -41262.9199829102 6700517.61999512 47.47, -41263.3699951172 6700518.85998535 47.5, -41263.8400268555 6700520.11999512 47.56, -41264.3400268555 6700521.36999512 47.6, -41265.0900268555 6700522.93005371 47.68, -41265.7299804687 6700524.23999024 47.74, -41266.3599853516 6700525.56994629 47.8, -41266.9000244141 6700526.2199707 47.81, -41267.7399902344 6700527.43994141 47.9, -41268.6199951172 6700528.61999512 47.96, -41269.8200073242 6700529.07995606 48.03, -41271.0800170898 6700529.56994629 48.09, -41272.6799926758 6700530.16003418 48.17, -41273.9299926758 6700530.67004395 48.2, -41275.1699829102 6700531.14001465 48.2, -41276.7899780273 6700534.92004395 48.23)</t>
  </si>
  <si>
    <t>POLYGON Z ((-41279.1500244141 6700521.88000488 48.37, -41277.75 6700521.2800293 48.08, -41276.8699951172 6700520.85998535 47.94, -41276.4799804687 6700520.5300293 47.87, -41276.2899780273 6700520.09997559 47.78, -41276.1400146484 6700519.14001465 47.65, -41276.0900268555 6700517.89001465 47.56, -41276.0200195313 6700516.67004395 47.47, -41275.9199829102 6700515.40002441 47.37, -41275.7899780273 6700513.60998535 47.18, -41275.6300048828 6700512.30004883 47.06, -41275.5900268555 6700511.14001465 46.98, -41275.4899902344 6700509.86999512 46.92, -41275.3599853516 6700508 46.82, -41275.2800292969 6700506.77001953 46.74, -41275.1699829102 6700505.54003906 46.67, -41275.0999755859 6700504.29003906 46.6, -41275.0100097656 6700503.06994629 46.49, -41274.8900146484 6700501.25 46.4, -41274.799987793 6700500.05004883 46.33, -41274.6400146484 6700498.79003906 46.26, -41274.4600219727 6700497.59997559 46.2, -41274.299987793 6700496.32995606 46.13, -41274.0900268555 6700495.14001465 46.06, -41273.7800292969 6700493.27001953 45.97, -41273.5800170898 6700492.06005859 45.88, -41273.3800048828 6700490.82995606 45.83, -41273.1699829102 6700489.60998535 45.77, -41272.9699707031 6700488.36999512 45.73, -41272.7199707031 6700487.17004395 45.64, -41272.2399902344 6700485.43994141 45.59, -41271.9199829102 6700484.22998047 45.56, -41271.5800170898 6700483.02001953 45.52, -41271.2399902344 6700481.84997559 45.47, -41270.7600097656 6700480.75 45.4, -41270.1699829102 6700479.65002441 45.35, -41269.6099853516 6700478.57995606 45.29, -41269.0300292969 6700477.45996094 45.25, -41268.0999755859 6700475.82995605 45.16, -41267.4699707031 6700474.77001953 45.14, -41266.8499755859 6700473.68994141 45.08, -41266.1900024414 6700472.66003418 45.05, -41265.5399780273 6700471.61999512 45.02, -41264.7800292969 6700470.64001465 44.99, -41264.049987793 6700469.60998535 44.98, -41263.3200073242 6700468.63000488 44.96, -41262.5800170898 6700467.60998535 44.95, -41261.9299926758 6700466.58996582 44.95, -41261.3699951172 6700465.47998047 44.92, -41260.8699951172 6700464.30004883 44.91, -41260.4799804688 6700463.14001465 44.91, -41260.2199707031 6700461.77001953 44.92, -41260.5700073242 6700459.2199707 44.92, -41247.8699951172 6700457.48999023 44.78, -41247.4899902344 6700459.2800293 44.7, -41247.1699829102 6700461.2199707 44.62, -41246.6699829102 6700463.34997559 44.62, -41246.0800170898 6700466.04003906 44.59, -41245.3400268555 6700469.43994141 44.64, -41244.7600097656 6700471.94995117 44.64, -41244.3900146484 6700473.20996094 44.64, -41244.1400146484 6700474.68994141 44.68, -41243.6900024414 6700476.32995605 44.71, -41244.3599853516 6700476.56994629 44.7, -41245.4299926758 6700476.93005371 44.68, -41246.6500244141 6700477.38000488 44.73, -41247.9099731445 6700477.81994629 44.74, -41248.1500244141 6700478.0300293 44.76, -41249.3800048828 6700478.65002441 44.76, -41250.9799804688 6700479.48999023 44.77, -41251.5900268555 6700479.98999023 44.82, -41252.4600219727 6700480.68005371 44.89, -41253.4600219727 6700481.69995117 44.99, -41254.4799804687 6700482.82995606 45.1, -41255.4899902344 6700483.84997559 45.22, -41256.0700073242 6700485.33996582 45.34, -41256.7399902344 6700486.85998535 45.51, -41257.2700195313 6700488.10998535 45.63, -41257.5 6700489.08996582 45.7, -41257.7299804687 6700490.15002441 45.77, -41258.0300292969 6700491.60998535 45.88, -41258.3699951172 6700493.01000977 45.99, -41258.6400146484 6700494.38000488 46.1, -41258.9799804688 6700495.76000977 46.19, -41259.200012207 6700496.90002442 46.34, -41259.3900146484 6700498.38000488 46.41, -41259.6599731445 6700499.84997559 46.45, -41259.8400268555 6700501.20996094 46.54, -41260.0399780273 6700502.56994629 46.63, -41260.25 6700503.95996094 46.71, -41260.4400024414 6700505.20996094 46.78, -41260.6400146484 6700506.63000488 46.87, -41260.8599853516 6700508.04003906 46.96, -41261.1400146484 6700509.40002441 47.05, -41261.450012207 6700510.86999512 47.15, -41261.7399902344 6700512.35998535 47.22, -41262.0200195312 6700513.7800293 47.31, -41262.2800292969 6700515.19995117 47.37, -41262.5700073242 6700516.64001465 47.45, -41262.9199829102 6700517.61999512 47.47, -41263.3699951172 6700518.85998535 47.5, -41263.8400268555 6700520.11999512 47.56, -41264.3400268555 6700521.36999512 47.6, -41265.0900268555 6700522.93005371 47.68, -41265.7299804687 6700524.23999024 47.74, -41266.3599853516 6700525.56994629 47.8, -41266.9000244141 6700526.2199707 47.81, -41267.7399902344 6700527.43994141 47.9, -41268.6199951172 6700528.61999512 47.96, -41269.8200073242 6700529.07995606 48.03, -41271.0800170898 6700529.56994629 48.09, -41272.6799926758 6700530.16003418 48.17, -41273.9299926758 6700530.67004395 48.2, -41275.1699829102 6700531.14001465 48.2, -41276.7899780273 6700534.92004395 48.23, -41279.1500244141 6700521.88000488 48.37))</t>
  </si>
  <si>
    <t>2017-06-06</t>
  </si>
  <si>
    <t>[1001]</t>
  </si>
  <si>
    <t>['KV1001 S2D1 m3']</t>
  </si>
  <si>
    <t>LINESTRING Z (-26857.47 6778775.06 34.591, -26854.75 6778761.23 34.241, -26859.56 6778731.85 34.191, -26872.47 6778735.42 33.471, -26865.72 6778764.04 33.701, -26863.23 6778772.69 34.331, -26862.21 6778776 34.421)</t>
  </si>
  <si>
    <t>POLYGON Z ((-26857.47 6778775.06 34.591, -26854.75 6778761.23 34.241, -26859.56 6778731.85 34.191, -26872.47 6778735.42 33.471, -26865.72 6778764.04 33.701, -26863.23 6778772.69 34.331, -26862.21 6778776 34.421, -26857.47 6778775.06 34.591))</t>
  </si>
  <si>
    <t>[8453]</t>
  </si>
  <si>
    <t>['KV8453 S1D1 m143']</t>
  </si>
  <si>
    <t>LINESTRING Z (266603.82 6762299.36 146.626, 266604.09 6762297.48 146.666, 266604.41 6762295.35 146.516, 266599.51 6762294.58 146.646, 266599.7 6762293.21 146.586, 266600.28 6762289.39 146.476, 266600.53 6762287.74 146.406, 266600.82 6762285.91 146.376, 266601.22 6762283.31 146.296, 266601.41 6762281.96 146.276, 266602.53 6762282.14 146.206, 266605.1 6762282.5 146.226, 266608.17 6762282.93 146.216, 266610.62 6762283.28 146.226, 266614.32 6762283.81 146.226, 266618.27 6762284.38 146.266, 266617.79 6762287.61 146.296, 266617.02 6762292.48 146.296, 266619.29 6762292.84 146.306, 266622.47 6762293.35 146.236, 266626.88 6762293.99 146.156, 266633.04 6762294.96 146.146, 266637.88 6762295.7 146.206, 266642.96 6762296.49 146.286, 266647.34 6762297.16 146.306, 266652.09 6762297.92 146.326, 266651.29 6762303.12 146.196, 266653.33 6762303.46 146.136, 266654.13 6762298.09 146.316, 266660 6762298.97 146.326, 266659.76 6762300.6 146.276, 266659.5 6762302.47 146.216, 266659.23 6762304.35 146.136, 266661.24 6762304.68 146.106, 266661.6 6762302.2 146.136, 266662.03 6762299.42 146.236, 266662.57 6762299.51 146.206, 266664.94 6762299.87 146.186, 266667.65 6762300.29 146.116, 266670.57 6762300.75 145.996, 266673.23 6762301.15 145.896, 266677.87 6762301.83 145.666, 266676.67 6762309.78 145.876)</t>
  </si>
  <si>
    <t>POINT (266636.93022632395 6762295.317495729)</t>
  </si>
  <si>
    <t>[3750]</t>
  </si>
  <si>
    <t>['KV3750 S4D1 m25']</t>
  </si>
  <si>
    <t>LINESTRING Z (266898.27 6762357.51 143.027, 266898.76 6762357.56 143.037, 266899.14 6762357.53 143.037, 266899.57 6762357.42 143.027, 266899.87 6762357.27 143.007, 266900.06 6762357.11 142.997, 266900.39 6762356.79 143.007, 266900.6 6762356.45 143.007, 266900.73 6762356.14 142.987, 266900.98 6762355.52 142.957, 266901.17 6762354.95 142.957, 266901.42 6762354.38 142.937, 266901.77 6762353.4 142.907, 266901.83 6762353.2 142.897, 266901.88 6762352.94 142.897, 266901.85 6762352.68 142.907, 266901.83 6762352.35 142.897, 266901.77 6762352.15 142.897, 266901.65 6762351.88 142.907, 266901.48 6762351.59 142.897, 266901.29 6762351.36 142.897, 266901.13 6762351.21 142.907, 266900.92 6762351.06 142.907, 266900.61 6762350.89 142.907, 266900.27 6762350.75 142.917, 266899.9 6762350.63 142.927, 266899.69 6762350.56 142.917, 266899.54 6762350.59 142.927, 266899.38 6762350.63 142.927, 266899.21 6762350.84 142.937, 266898.11 6762353.77 143.067, 266897.6 6762355.12 143.167, 266895.16 6762354.14 143.197, 266894.69 6762354 143.217, 266893.17 6762353.34 143.217, 266890.62 6762352.35 143.287, 266887.82 6762351.26 143.367, 266885.46 6762350.3 143.397, 266883.13 6762349.44 143.397, 266881.29 6762348.71 143.407, 266879.41 6762347.98 143.417, 266876.68 6762346.9 143.457, 266877.45 6762344.84 143.387, 266877.88 6762343.7 143.367, 266877.91 6762343.58 143.367, 266877.91 6762343.41 143.367, 266877.87 6762343.26 143.367, 266877.79 6762343.14 143.367, 266877.7 6762343.04 143.377, 266877.58 6762342.98 143.387, 266877.38 6762342.93 143.377, 266877.15 6762343.03 143.397, 266876.33 6762343.47 143.437, 266875.69 6762343.82 143.457, 266874.11 6762344.68 143.517, 266873.7 6762344.91 143.547, 266873.6 6762344.74 143.537, 266872.85 6762343.26 143.497, 266872.38 6762342.46 143.507, 266871.59 6762340.91 143.497, 266871.09 6762339.95 143.507, 266870.36 6762338.63 143.517, 266869.92 6762337.8 143.517, 266869.12 6762336.33 143.527, 266868.4 6762335 143.527, 266866.95 6762332.28 143.507, 266866.45 6762331.39 143.537, 266864.65 6762328.03 143.517, 266863.73 6762326.32 143.507, 266863.12 6762325.19 143.497, 266862.48 6762324.01 143.487, 266861.5 6762322.22 143.467, 266861.07 6762321.43 143.457, 266860.67 6762320.69 143.467, 266862.02 6762319.96 143.357, 266863.11 6762319.37 143.307, 266864.29 6762318.73 143.247, 266864.78 6762318.45 143.207, 266864.9 6762318.31 143.197, 266864.98 6762318.18 143.187, 266865.05 6762318.02 143.177, 266865.08 6762317.84 143.167, 266865.11 6762317.6 143.157, 266865.14 6762317.39 143.157, 266865.17 6762316.89 143.157, 266865.24 6762316.27 143.137, 266865.24 6762316.08 143.127, 266865.2 6762315.84 143.127, 266865.13 6762315.68 143.127, 266865.04 6762315.57 143.117, 266864.87 6762315.35 143.127, 266864.6 6762315.15 143.147, 266863.52 6762314.38 143.217, 266862.69 6762313.78 143.227, 266861.82 6762313.14 143.247, 266861.2 6762312.69 143.247, 266861.49 6762312.38 143.217, 266862.39 6762310.92 143.177, 266862.63 6762310.7 143.147, 266862.89 6762310.3 143.127, 266863.21 6762309.88 143.117, 266863.97 6762308.8 143.077, 266864.84 6762307.53 143.007, 266865.79 6762306.2 142.947, 266866.77 6762304.8 142.897, 266867.11 6762304.4 142.837, 266868.32 6762302.62 142.767, 266869.65 6762300.77 142.667, 266871.36 6762298.35 142.567, 266872.22 6762297.13 142.507, 266873.06 6762295.93 142.457, 266873.76 6762294.92 142.407, 266874.57 6762293.74 142.357, 266875.27 6762292.74 142.317, 266875.8 6762292.02 142.277, 266876.81 6762290.54 142.207, 266877.59 6762289.45 142.157, 266878.23 6762288.54 142.127, 266878.69 6762287.91 142.097, 266879.17 6762287.2 142.067, 266879.65 6762286.52 142.037, 266880.2 6762285.75 142.017, 266880.81 6762286.18 141.977, 266881.59 6762286.71 141.977, 266882.25 6762287.18 141.957, 266883.01 6762287.72 141.967, 266883.67 6762288.17 141.947, 266884.09 6762288.45 141.947, 266884.43 6762288.69 141.947, 266884.66 6762288.8 141.937, 266884.9 6762288.82 141.917, 266885.16 6762288.8 141.907, 266885.5 6762288.67 141.907, 266885.99 6762288.49 141.867, 266886.46 6762288.31 141.867, 266887.12 6762288.08 141.827, 266887.85 6762287.8 141.787, 266888.61 6762287.51 141.747, 266889.22 6762287.28 141.747, 266889.94 6762286.97 141.727, 266890.25 6762287.82 141.717, 266890.52 6762288.52 141.717, 266890.91 6762289.51 141.737, 266891.13 6762290.06 141.747, 266891.54 6762291.14 141.767, 266891.87 6762292.01 141.787, 266892.16 6762292.77 141.787, 266892.83 6762294.51 141.807, 266892.9 6762294.66 141.817, 266892.95 6762294.7 141.827, 266893.54 6762296.17 141.837, 266893.94 6762297.25 141.837, 266895.06 6762300.12 141.877, 266896.03 6762302.66 141.897, 266896.83 6762304.71 141.927, 266897.76 6762307.15 141.947, 266898.37 6762308.73 141.967, 266899.97 6762312.94 142.017, 266900.59 6762314.4 142.037, 266900.93 6762315.33 142.047, 266901.37 6762316.47 142.047, 266901.56 6762316.94 142.057, 266902.26 6762318.72 142.087, 266903 6762320.61 142.107, 266903.56 6762322.15 142.117, 266904.36 6762324.19 142.157, 266904.65 6762324.94 142.167, 266905 6762325.85 142.187, 266905.49 6762327.15 142.187, 266905.99 6762328.44 142.217, 266906.21 6762329.01 142.217, 266906.56 6762329.89 142.227, 266907.31 6762331.87 142.237, 266907.88 6762333.31 142.267, 266908.49 6762334.93 142.287, 266909.18 6762336.72 142.297, 266909.98 6762338.74 142.337, 266910.67 6762340.56 142.347, 266911.28 6762342.15 142.357, 266911.96 6762343.88 142.357, 266912.65 6762345.65 142.377, 266913.18 6762347.11 142.377, 266913.6 6762348.16 142.407, 266912.35 6762348.64 142.437, 266910.97 6762349.14 142.507, 266909.26 6762349.78 142.567, 266908.83 6762349.98 142.587, 266908.56 6762350.19 142.617, 266908.32 6762350.43 142.627, 266908.04 6762350.89 142.637, 266907.61 6762351.94 142.667, 266906.96 6762353.68 142.737, 266906.4 6762355.16 142.797, 266905.73 6762356.87 142.847, 266905.36 6762357.88 142.877, 266905.24 6762358.3 142.907, 266905.19 6762358.82 142.897, 266905.27 6762359.3 142.897, 266905.45 6762359.75 142.897, 266905.67 6762360.06 142.897, 266905.8 6762360.25 142.877, 266906.2 6762360.54 142.867)</t>
  </si>
  <si>
    <t>POLYGON Z ((266898.27 6762357.51 143.027, 266898.76 6762357.56 143.037, 266899.14 6762357.53 143.037, 266899.57 6762357.42 143.027, 266899.87 6762357.27 143.007, 266900.06 6762357.11 142.997, 266900.39 6762356.79 143.007, 266900.6 6762356.45 143.007, 266900.73 6762356.14 142.987, 266900.98 6762355.52 142.957, 266901.17 6762354.95 142.957, 266901.42 6762354.38 142.937, 266901.77 6762353.4 142.907, 266901.83 6762353.2 142.897, 266901.88 6762352.94 142.897, 266901.85 6762352.68 142.907, 266901.83 6762352.35 142.897, 266901.77 6762352.15 142.897, 266901.65 6762351.88 142.907, 266901.48 6762351.59 142.897, 266901.29 6762351.36 142.897, 266901.13 6762351.21 142.907, 266900.92 6762351.06 142.907, 266900.61 6762350.89 142.907, 266900.27 6762350.75 142.917, 266899.9 6762350.63 142.927, 266899.69 6762350.56 142.917, 266899.54 6762350.59 142.927, 266899.38 6762350.63 142.927, 266899.21 6762350.84 142.937, 266898.11 6762353.77 143.067, 266897.6 6762355.12 143.167, 266895.16 6762354.14 143.197, 266894.69 6762354 143.217, 266893.17 6762353.34 143.217, 266890.62 6762352.35 143.287, 266887.82 6762351.26 143.367, 266885.46 6762350.3 143.397, 266883.13 6762349.44 143.397, 266881.29 6762348.71 143.407, 266879.41 6762347.98 143.417, 266876.68 6762346.9 143.457, 266877.45 6762344.84 143.387, 266877.88 6762343.7 143.367, 266877.91 6762343.58 143.367, 266877.91 6762343.41 143.367, 266877.87 6762343.26 143.367, 266877.79 6762343.14 143.367, 266877.7 6762343.04 143.377, 266877.58 6762342.98 143.387, 266877.38 6762342.93 143.377, 266877.15 6762343.03 143.397, 266876.33 6762343.47 143.437, 266875.69 6762343.82 143.457, 266874.11 6762344.68 143.517, 266873.7 6762344.91 143.547, 266873.6 6762344.74 143.537, 266872.85 6762343.26 143.497, 266872.38 6762342.46 143.507, 266871.59 6762340.91 143.497, 266871.09 6762339.95 143.507, 266870.36 6762338.63 143.517, 266869.92 6762337.8 143.517, 266869.12 6762336.33 143.527, 266868.4 6762335 143.527, 266866.95 6762332.28 143.507, 266866.45 6762331.39 143.537, 266864.65 6762328.03 143.517, 266863.73 6762326.32 143.507, 266863.12 6762325.19 143.497, 266862.48 6762324.01 143.487, 266861.5 6762322.22 143.467, 266861.07 6762321.43 143.457, 266860.67 6762320.69 143.467, 266862.02 6762319.96 143.357, 266863.11 6762319.37 143.307, 266864.29 6762318.73 143.247, 266864.78 6762318.45 143.207, 266864.9 6762318.31 143.197, 266864.98 6762318.18 143.187, 266865.05 6762318.02 143.177, 266865.08 6762317.84 143.167, 266865.11 6762317.6 143.157, 266865.14 6762317.39 143.157, 266865.17 6762316.89 143.157, 266865.24 6762316.27 143.137, 266865.24 6762316.08 143.127, 266865.2 6762315.84 143.127, 266865.13 6762315.68 143.127, 266865.04 6762315.57 143.117, 266864.87 6762315.35 143.127, 266864.6 6762315.15 143.147, 266863.52 6762314.38 143.217, 266862.69 6762313.78 143.227, 266861.82 6762313.14 143.247, 266861.2 6762312.69 143.247, 266861.49 6762312.38 143.217, 266862.39 6762310.92 143.177, 266862.63 6762310.7 143.147, 266862.89 6762310.3 143.127, 266863.21 6762309.88 143.117, 266863.97 6762308.8 143.077, 266864.84 6762307.53 143.007, 266865.79 6762306.2 142.947, 266866.77 6762304.8 142.897, 266867.11 6762304.4 142.837, 266868.32 6762302.62 142.767, 266869.65 6762300.77 142.667, 266871.36 6762298.35 142.567, 266872.22 6762297.13 142.507, 266873.06 6762295.93 142.457, 266873.76 6762294.92 142.407, 266874.57 6762293.74 142.357, 266875.27 6762292.74 142.317, 266875.8 6762292.02 142.277, 266876.81 6762290.54 142.207, 266877.59 6762289.45 142.157, 266878.23 6762288.54 142.127, 266878.69 6762287.91 142.097, 266879.17 6762287.2 142.067, 266879.65 6762286.52 142.037, 266880.2 6762285.75 142.017, 266880.81 6762286.18 141.977, 266881.59 6762286.71 141.977, 266882.25 6762287.18 141.957, 266883.01 6762287.72 141.967, 266883.67 6762288.17 141.947, 266884.09 6762288.45 141.947, 266884.43 6762288.69 141.947, 266884.66 6762288.8 141.937, 266884.9 6762288.82 141.917, 266885.16 6762288.8 141.907, 266885.5 6762288.67 141.907, 266885.99 6762288.49 141.867, 266886.46 6762288.31 141.867, 266887.12 6762288.08 141.827, 266887.85 6762287.8 141.787, 266888.61 6762287.51 141.747, 266889.22 6762287.28 141.747, 266889.94 6762286.97 141.727, 266890.25 6762287.82 141.717, 266890.52 6762288.52 141.717, 266890.91 6762289.51 141.737, 266891.13 6762290.06 141.747, 266891.54 6762291.14 141.767, 266891.87 6762292.01 141.787, 266892.16 6762292.77 141.787, 266892.83 6762294.51 141.807, 266892.9 6762294.66 141.817, 266892.95 6762294.7 141.827, 266893.54 6762296.17 141.837, 266893.94 6762297.25 141.837, 266895.06 6762300.12 141.877, 266896.03 6762302.66 141.897, 266896.83 6762304.71 141.927, 266897.76 6762307.15 141.947, 266898.37 6762308.73 141.967, 266899.97 6762312.94 142.017, 266900.59 6762314.4 142.037, 266900.93 6762315.33 142.047, 266901.37 6762316.47 142.047, 266901.56 6762316.94 142.057, 266902.26 6762318.72 142.087, 266903 6762320.61 142.107, 266903.56 6762322.15 142.117, 266904.36 6762324.19 142.157, 266904.65 6762324.94 142.167, 266905 6762325.85 142.187, 266905.49 6762327.15 142.187, 266905.99 6762328.44 142.217, 266906.21 6762329.01 142.217, 266906.56 6762329.89 142.227, 266907.31 6762331.87 142.237, 266907.88 6762333.31 142.267, 266908.49 6762334.93 142.287, 266909.18 6762336.72 142.297, 266909.98 6762338.74 142.337, 266910.67 6762340.56 142.347, 266911.28 6762342.15 142.357, 266911.96 6762343.88 142.357, 266912.65 6762345.65 142.377, 266913.18 6762347.11 142.377, 266913.6 6762348.16 142.407, 266912.35 6762348.64 142.437, 266910.97 6762349.14 142.507, 266909.26 6762349.78 142.567, 266908.83 6762349.98 142.587, 266908.56 6762350.19 142.617, 266908.32 6762350.43 142.627, 266908.04 6762350.89 142.637, 266907.61 6762351.94 142.667, 266906.96 6762353.68 142.737, 266906.4 6762355.16 142.797, 266905.73 6762356.87 142.847, 266905.36 6762357.88 142.877, 266905.24 6762358.3 142.907, 266905.19 6762358.82 142.897, 266905.27 6762359.3 142.897, 266905.45 6762359.75 142.897, 266905.67 6762360.06 142.897, 266905.8 6762360.25 142.877, 266906.2 6762360.54 142.867, 266898.27 6762357.51 143.027))</t>
  </si>
  <si>
    <t>2017-12-06</t>
  </si>
  <si>
    <t>[542]</t>
  </si>
  <si>
    <t>['FV542 S2D20 m139 SD1 m22']</t>
  </si>
  <si>
    <t>LINESTRING Z (-46712.4299316406 6669217.06982422 -999999, -46705.4599609375 6669217.00976563 -999999, -46700.7299804688 6669213.66992188 -999999, -46696.1599121094 6669208.60986328 -999999, -46688.2199707031 6669195.87011719 -999999, -46680.9899902344 6669185.91992188 -999999, -46677.3200683594 6669179.39013672 -999999, -46676 6669170.56005859 -999999, -46679.3898925781 6669163.12011719 -999999, -46683.8100585938 6669159.25976563 -999999, -46689.330078125 6669158.20996094 -999999, -46694.1101074219 6669158.83984375 -999999, -46699.9799804687 6669162.47998047 -999999, -46704.2900390625 6669168.29003906 -999999, -46710.0500488281 6669179.47021484 -999999, -46715.7399902344 6669191.41015625 -999999, -46721.169921875 6669201.97998047 -999999, -46725.8601074219 6669199.29980469 -999999, -46728.5200195313 6669195.00976562 -999999, -46729.7099609375 6669197.22021484 -999999, -46730.9099121094 6669199.41992188 -999999, -46732.1000976562 6669201.62011719 -999999, -46733.3000488281 6669203.83007813 -999999, -46734.5 6669206.02978516 -999999, -46735.6899414063 6669208.24023437 -999999, -46736.8898925781 6669210.43994141 -999999, -46738.080078125 6669212.64013672 -999999, -46735.1201171875 6669212.12011719 -999999, -46761.7600097656 6669260.62011719 -999999, -46746.0100097656 6669268.87988281 -999999, -46717.8000488281 6669215.35986328 -999999, -46717.25 6669215.18017578 -999999, -46712.4299316406 6669217.06982422 -999999, -46707.8999023438 6669204.39013672 -999999, -46709.2199707031 6669202.56982422 -999999, -46709.7399902344 6669199.77978516 -999999, -46706.3898925781 6669193.5 -999999, -46701.3601074219 6669182.91992187 -999999, -46696.3798828125 6669172.39990234 -999999, -46694.25 6669169.87988281 -999999, -46691.5300292969 6669168.87011719 -999999, -46688.7399902344 6669169.02001953 -999999, -46686.0500488281 6669170.70019531 -999999, -46684.2700195313 6669173.25976563 -999999, -46683.9499511719 6669176.89013672 -999999, -46687.8798828125 6669182.81005859 -999999, -46692.2600097656 6669189.35009766 -999999, -46698.1398925781 6669197.54980469 -999999, -46701.6599121094 6669203.49023438 -999999, -46704.5200195312 6669205.43994141 -999999, -46705.3798828125 6669205.18994141 -999999, -46707.8999023438 6669204.39013672 -999999, -46712.4299316406 6669217.06982422 -999999)</t>
  </si>
  <si>
    <t>2017-12-18</t>
  </si>
  <si>
    <t>[94]</t>
  </si>
  <si>
    <t>['RV94 S1D1 m1451']</t>
  </si>
  <si>
    <t>LINESTRING Z (852696.85 7842598.33 47.194, 852694.52 7842600.19 47.184, 852692.88 7842602.48 47.184, 852693.39 7842605.82 47.174, 852685.64 7842611.33 47.154, 852677.9 7842616.85 47.134, 852674.02 7842619.62 47.124, 852668.81 7842612.17 47.114, 852676.73 7842606.1 47.094, 852684.66 7842600.02 47.074, 852686.9 7842599.1 47.064, 852688.47 7842598.77 47.064, 852690.31 7842597.42 47.054, 852691.78 7842595.46 47.054, 852691.68 7842592.46 47.044)</t>
  </si>
  <si>
    <t>POLYGON Z ((852696.85 7842598.33 47.194, 852694.52 7842600.19 47.184, 852692.88 7842602.48 47.184, 852693.39 7842605.82 47.174, 852685.64 7842611.33 47.154, 852677.9 7842616.85 47.134, 852674.02 7842619.62 47.124, 852668.81 7842612.17 47.114, 852676.73 7842606.1 47.094, 852684.66 7842600.02 47.074, 852686.9 7842599.1 47.064, 852688.47 7842598.77 47.064, 852690.31 7842597.42 47.054, 852691.78 7842595.46 47.054, 852691.68 7842592.46 47.044, 852696.85 7842598.33 47.194))</t>
  </si>
  <si>
    <t>['RV94 S1D1 m1659']</t>
  </si>
  <si>
    <t>LINESTRING Z (852466.85 7842685.12 44.754, 852474.4 7842684.1 44.694, 852478.18 7842683.58 44.664, 852482.32 7842683.84 44.634, 852484.12 7842684.75 44.614, 852486.68 7842686.62 44.594, 852489.93 7842690.62 44.554, 852492.04 7842691.49 44.534, 852493.32 7842691.69 44.524, 852499.94 7842685.14 44.454, 852502.58 7842683.09 44.424, 852504.31 7842682.43 44.414, 852504.84 7842680.11 44.394, 852502.68 7842672.1 44.334, 852494.97 7842672.9 44.274, 852489.54 7842673.98 44.224, 852484.76 7842674.77 44.194, 852481.24 7842675.92 44.164, 852479.76 7842676 44.154, 852475.87 7842675.62 44.124, 852474.27 7842674.97 44.104)</t>
  </si>
  <si>
    <t>POLYGON Z ((852466.85 7842685.12 44.754, 852474.4 7842684.1 44.694, 852478.18 7842683.58 44.664, 852482.32 7842683.84 44.634, 852484.12 7842684.75 44.614, 852486.68 7842686.62 44.594, 852489.93 7842690.62 44.554, 852492.04 7842691.49 44.534, 852493.32 7842691.69 44.524, 852499.94 7842685.14 44.454, 852502.58 7842683.09 44.424, 852504.31 7842682.43 44.414, 852504.84 7842680.11 44.394, 852502.68 7842672.1 44.334, 852494.97 7842672.9 44.274, 852489.54 7842673.98 44.224, 852484.76 7842674.77 44.194, 852481.24 7842675.92 44.164, 852479.76 7842676 44.154, 852475.87 7842675.62 44.124, 852474.27 7842674.97 44.104, 852466.85 7842685.12 44.754))</t>
  </si>
  <si>
    <t>2018-07-19</t>
  </si>
  <si>
    <t>[2196]</t>
  </si>
  <si>
    <t>['FV2196 S1D1 m232']</t>
  </si>
  <si>
    <t>LINESTRING Z (304684.041 6782997.271 223.537, 304681.96 6782997.548 223.558, 304682.155 6783003.197 223.614, 304671.413 6783003.804 223.561, 304671.024 6783000.297 223.525, 304670.595 6782996.457 223.487, 304672.181 6782996.18 223.471, 304671.518 6782991.621 223.494, 304669.873 6782991.904 223.502, 304669.552 6782989.959 223.512, 304681.6 6782986.405 223.387)</t>
  </si>
  <si>
    <t>POLYGON Z ((304684.041 6782997.271 223.537, 304681.96 6782997.548 223.558, 304682.155 6783003.197 223.614, 304671.413 6783003.804 223.561, 304671.024 6783000.297 223.525, 304670.595 6782996.457 223.487, 304672.181 6782996.18 223.471, 304671.518 6782991.621 223.494, 304669.873 6782991.904 223.502, 304669.552 6782989.959 223.512, 304681.6 6782986.405 223.387, 304684.041 6782997.271 223.537))</t>
  </si>
  <si>
    <t>2018-06-25</t>
  </si>
  <si>
    <t>['FV2196 S1D1 m221']</t>
  </si>
  <si>
    <t>LINESTRING Z (304667.882 6782979.166 223.532, 304669.204 6782987.809 223.512, 304679.313 6782984.848 223.407)</t>
  </si>
  <si>
    <t>POLYGON Z ((304667.882 6782979.166 223.532, 304669.204 6782987.809 223.512, 304679.313 6782984.848 223.407, 304667.882 6782979.166 223.532))</t>
  </si>
  <si>
    <t>2018-03-01</t>
  </si>
  <si>
    <t>[156]</t>
  </si>
  <si>
    <t>['FV156 S2D1 m7305']</t>
  </si>
  <si>
    <t>LINESTRING Z (258514.298 6632091.17 86.658, 258516.161 6632092.438 86.498, 258517.376 6632093.312 86.428, 258519.678 6632094.982 86.338, 258521.89 6632096.66 86.338, 258523.859 6632098.099 86.328, 258525.478 6632099.218 86.298, 258527.612 6632100.813 86.268, 258528.625 6632101.575 86.238, 258529.354 6632102.082 86.208, 258530.999 6632099.943 86.198, 258532.665 6632097.712 86.148, 258534.281 6632095.586 86.098, 258535.847 6632093.465 86.058, 258537.909 6632090.726 85.978, 258539.813 6632088.242 85.868, 258541.353 6632086.274 85.778, 258543.164 6632083.869 85.678, 258544.996 6632081.583 85.588, 258546.311 6632079.796 85.528, 258547.849 6632077.697 85.438, 258548.954 6632076.371 85.418, 258548.776 6632075.955 85.418, 258547.316 6632074.922 85.418, 258545.801 6632073.844 85.418, 258545.022 6632073.231 85.448, 258544.496 6632072.746 85.448)</t>
  </si>
  <si>
    <t>POINT (258534.24449564406 6632090.125804381)</t>
  </si>
  <si>
    <t>2018-04-19</t>
  </si>
  <si>
    <t>[2532]</t>
  </si>
  <si>
    <t>['FV2532 S4D20 m1460']</t>
  </si>
  <si>
    <t>LINESTRING Z (243956.603 6823003.895 191.868, 243955.584 6823001.557 191.888, 243958.768 6822995.444 191.928, 243962.935 6822987.562 191.928, 243965.513 6822982.711 191.898, 243970.622 6822973.386 191.818, 243974.136 6822967.031 191.728, 243978.184 6822959.713 191.598, 243980.691 6822959.331 191.558)</t>
  </si>
  <si>
    <t>POINT (243966.8663027574 6822980.634530465)</t>
  </si>
  <si>
    <t>[2566]</t>
  </si>
  <si>
    <t>['FV2566 S1D1 m10354']</t>
  </si>
  <si>
    <t>LINESTRING Z (244037.627 6822970.026 192.928, 244037.873 6822976.505 193.248, 244045.828 6822980.917 193.418, 244053.156 6822984.964 193.608, 244055.815 6822980.126 193.728)</t>
  </si>
  <si>
    <t>POINT (244045.4856327335 6822979.432537277)</t>
  </si>
  <si>
    <t>['FV2532 S4D20 m1536']</t>
  </si>
  <si>
    <t>LINESTRING Z (243944.99 6823026.806 191.668, 243942.27 6823027.83 191.658, 243938.525 6823035.493 191.588, 243931.437 6823050.267 191.468, 243925.433 6823063.183 191.498, 243923.374 6823067.664 191.518, 243924.313 6823070.321 191.468)</t>
  </si>
  <si>
    <t>POINT (243932.86416682322 6823047.718793848)</t>
  </si>
  <si>
    <t>2018-05-29</t>
  </si>
  <si>
    <t>['KV3820 S1D10 m3']</t>
  </si>
  <si>
    <t>LINESTRING Z (243879.850831689 6595067.30045165 -999999, 243903.459357858 6595093.63303853 -999999)</t>
  </si>
  <si>
    <t>2018-06-26</t>
  </si>
  <si>
    <t>['FV51 S1D1 m107']</t>
  </si>
  <si>
    <t>LINESTRING Z (169232.25 6745013.75 237.162, 169232.29 6745014.35 237.172, 169232.44 6745015.23 237.182, 169232.37 6745015.97 237.182, 169231.98 6745018.2 237.222, 169232.22 6745018.26 237.232, 169231.8 6745019.62 237.242, 169231.23 6745021.02 237.262, 169230.76 6745020.74 237.262, 169229.53 6745020.51 237.252, 169229.42 6745020.74 237.252, 169229.18 6745021.87 237.262, 169228.93 6745023.02 237.282, 169228.7 6745024.01 237.302, 169228.52 6745024.78 237.302, 169228.18 6745025.51 237.292, 169228.26 6745025.83 237.272, 169228.69 6745026.15 237.272, 169229.31 6745026.41 237.282, 169230.38 6745026.78 237.322, 169232.83 6745028.11 237.332, 169235.96 6745029.75 237.382, 169236.25 6745029.96 237.382, 169238.51 6745031.15 237.372, 169240.39 6745032.19 237.362, 169241.89 6745033.08 237.342, 169242.02 6745033.03 237.342, 169243.16 6745030.9 237.482, 169244.42 6745028.66 237.622, 169245.09 6745027.55 237.702, 169246.1 6745026.16 237.852, 169246.88 6745025.54 237.942, 169248.03 6745024.98 238.042, 169249.62 6745024.63 238.212, 169251.19 6745024.37 238.352, 169251.43 6745024.1 238.352, 169251.57 6745022.84 238.392, 169251.72 6745022.03 238.412, 169252 6745021.97 238.422)</t>
  </si>
  <si>
    <t>POINT (169237.76465366388 6745025.513325689)</t>
  </si>
  <si>
    <t>2019-02-06</t>
  </si>
  <si>
    <t>['RV13 S34D10 m4222']</t>
  </si>
  <si>
    <t>LINESTRING Z (42693.9000244141 6745893.95996094 147.446, 42696.7099609375 6745892.79003906 147.536, 42698.9200439453 6745898.5 147.126, 42696.1800537109 6745899.54003906 147.116)</t>
  </si>
  <si>
    <t>POLYGON Z ((42693.9000244141 6745893.95996094 147.446, 42696.7099609375 6745892.79003906 147.536, 42698.9200439453 6745898.5 147.126, 42696.1800537109 6745899.54003906 147.116, 42693.9000244141 6745893.95996094 147.446))</t>
  </si>
  <si>
    <t>2018-11-19</t>
  </si>
  <si>
    <t>[500]</t>
  </si>
  <si>
    <t>['FV500 S4D1 m3334']</t>
  </si>
  <si>
    <t>LINESTRING Z (-1772.44 6681463.36 2.875, -1771.88 6681464.99 2.755, -1770.59 6681465.65 2.915, -1769.94 6681466.11 2.845, -1768.99 6681467.04 2.745, -1766.8 6681466.84 2.835, -1760.85 6681465.38 3.395, -1759.27 6681469.74 3.205, -1761.86 6681470.54 3.035, -1757.5 6681481.86 2.985, -1753.96 6681489.63 2.935, -1757.73 6681491.3 2.865, -1758.83 6681492.4 2.825)</t>
  </si>
  <si>
    <t>POINT (-1760.8548541169016 6681475.533997209)</t>
  </si>
  <si>
    <t>2018-11-20</t>
  </si>
  <si>
    <t>[99156]</t>
  </si>
  <si>
    <t>['KV99156 S1D1 m63']</t>
  </si>
  <si>
    <t>LINESTRING Z (283236.62 6651141 106.289, 283237.27 6651141.58 106.269, 283238.46 6651142.88 106.219, 283239.47 6651144.33 106.169, 283240.28 6651145.89 106.149, 283240.86 6651147.55 106.129, 283241.23 6651149.27 106.119, 283241.35 6651151.02 106.109, 283241.28 6651152.56 106.109, 283241.12 6651153.73 106.109, 283240.83 6651155.7 106.109, 283240.52 6651157.68 106.109, 283240.23 6651159.67 106.119, 283239.94 6651161.64 106.129, 283239.65 6651163.62 106.149, 283239.35 6651165.6 106.169, 283239.05 6651167.58 106.199, 283238.76 6651169.55 106.239, 283238.47 6651171.54 106.269, 283238.17 6651173.52 106.319, 283237.87 6651175.49 106.359, 283237.58 6651177.48 106.409, 283237.29 6651179.45 106.449, 283237 6651181.43 106.499, 283236.7 6651183.41 106.539, 283236.4 6651185.4 106.589, 283236.15 6651187.45 106.629, 283235.97 6651189.52 106.679, 283235.88 6651191.59 106.719, 283235.88 6651193.66 106.759, 283235.96 6651195.74 106.799, 283236.11 6651197.8 106.829, 283236.35 6651199.86 106.859, 283236.68 6651201.91 106.899, 283237.07 6651203.94 106.929, 283237.57 6651205.96 106.969, 283238.15 6651208.02 107.009, 283238.77 6651209.91 107.039, 283239.48 6651211.84 107.069, 283240.19 6651213.71 107.109, 283240.9 6651215.58 107.139, 283241.35 6651216.76 107.159, 283236.12 6651219.9 107.779, 283234.26 6651220.82 107.739, 283232.44 6651221.75 107.689, 283230.58 6651222.75 107.629, 283228.74 6651223.75 107.559, 283226.91 6651224.74 107.499, 283225.06 6651225.69 107.469, 283223.2 6651226.61 107.449, 283222.33 6651227.22 107.359, 283221.54 6651227.78 107.279, 283220.13 6651224.92 107.269, 283219.98 6651224.25 107.269, 283219.98 6651223.61 107.269, 283220.22 6651222.39 107.269, 283220.04 6651212.58 107.179, 283220.27 6651210.58 107.159, 283220.51 6651208.58 107.139, 283220.8 6651206.61 107.119, 283221.11 6651204.62 107.099, 283221.44 6651202.64 107.079, 283221.77 6651200.67 107.059, 283222.1 6651198.6 107.039, 283222.41 6651196.72 107.019, 283222.56 6651195.72 107.009, 283222.84 6651191.68 106.969, 283222.86 6651189.64 106.949, 283223.11 6651187.65 106.929, 283223.38 6651185.66 106.909, 283223.62 6651183.66 106.889, 283223.83 6651181.66 106.869, 283224.04 6651179.66 106.849, 283224.25 6651177.65 106.839, 283224.51 6651175.66 106.819, 283224.77 6651173.67 106.799, 283225.01 6651171.68 106.779, 283225.24 6651169.68 106.759, 283225.47 6651167.68 106.739, 283225.7 6651165.68 106.719, 283225.93 6651163.69 106.699, 283226.16 6651161.69 106.679, 283226.39 6651159.69 106.659, 283226.62 6651157.69 106.639, 283226.74 6651156.69 106.629, 283226.41 6651155.6 106.619, 283226.64 6651153.6 106.599, 283226.89 6651151.61 106.579, 283227.13 6651149.61 106.559, 283227.39 6651147.61 106.539, 283227.66 6651145.63 106.519, 283227.9 6651143.63 106.499, 283228.1 6651142.68 106.489, 283228.13 6651142.3 106.489, 283228.2 6651141.93 106.489, 283228.37 6651141.54 106.479, 283228.65 6651141.15 106.479, 283228.86 6651140.95 106.479, 283229.12 6651140.77 106.469, 283229.48 6651140.59 106.469, 283229.71 6651140.51 106.469, 283230.04 6651140.44 106.459, 283230.69 6651140.43 106.459, 283232.84 6651138.78 106.429)</t>
  </si>
  <si>
    <t>POLYGON Z ((283236.62 6651141 106.289, 283237.27 6651141.58 106.269, 283238.46 6651142.88 106.219, 283239.47 6651144.33 106.169, 283240.28 6651145.89 106.149, 283240.86 6651147.55 106.129, 283241.23 6651149.27 106.119, 283241.35 6651151.02 106.109, 283241.28 6651152.56 106.109, 283241.12 6651153.73 106.109, 283240.83 6651155.7 106.109, 283240.52 6651157.68 106.109, 283240.23 6651159.67 106.119, 283239.94 6651161.64 106.129, 283239.65 6651163.62 106.149, 283239.35 6651165.6 106.169, 283239.05 6651167.58 106.199, 283238.76 6651169.55 106.239, 283238.47 6651171.54 106.269, 283238.17 6651173.52 106.319, 283237.87 6651175.49 106.359, 283237.58 6651177.48 106.409, 283237.29 6651179.45 106.449, 283237 6651181.43 106.499, 283236.7 6651183.41 106.539, 283236.4 6651185.4 106.589, 283236.15 6651187.45 106.629, 283235.97 6651189.52 106.679, 283235.88 6651191.59 106.719, 283235.88 6651193.66 106.759, 283235.96 6651195.74 106.799, 283236.11 6651197.8 106.829, 283236.35 6651199.86 106.859, 283236.68 6651201.91 106.899, 283237.07 6651203.94 106.929, 283237.57 6651205.96 106.969, 283238.15 6651208.02 107.009, 283238.77 6651209.91 107.039, 283239.48 6651211.84 107.069, 283240.19 6651213.71 107.109, 283240.9 6651215.58 107.139, 283241.35 6651216.76 107.159, 283236.12 6651219.9 107.779, 283234.26 6651220.82 107.739, 283232.44 6651221.75 107.689, 283230.58 6651222.75 107.629, 283228.74 6651223.75 107.559, 283226.91 6651224.74 107.499, 283225.06 6651225.69 107.469, 283223.2 6651226.61 107.449, 283222.33 6651227.22 107.359, 283221.54 6651227.78 107.279, 283220.13 6651224.92 107.269, 283219.98 6651224.25 107.269, 283219.98 6651223.61 107.269, 283220.22 6651222.39 107.269, 283220.04 6651212.58 107.179, 283220.27 6651210.58 107.159, 283220.51 6651208.58 107.139, 283220.8 6651206.61 107.119, 283221.11 6651204.62 107.099, 283221.44 6651202.64 107.079, 283221.77 6651200.67 107.059, 283222.1 6651198.6 107.039, 283222.41 6651196.72 107.019, 283222.56 6651195.72 107.009, 283222.84 6651191.68 106.969, 283222.86 6651189.64 106.949, 283223.11 6651187.65 106.929, 283223.38 6651185.66 106.909, 283223.62 6651183.66 106.889, 283223.83 6651181.66 106.869, 283224.04 6651179.66 106.849, 283224.25 6651177.65 106.839, 283224.51 6651175.66 106.819, 283224.77 6651173.67 106.799, 283225.01 6651171.68 106.779, 283225.24 6651169.68 106.759, 283225.47 6651167.68 106.739, 283225.7 6651165.68 106.719, 283225.93 6651163.69 106.699, 283226.16 6651161.69 106.679, 283226.39 6651159.69 106.659, 283226.62 6651157.69 106.639, 283226.74 6651156.69 106.629, 283226.41 6651155.6 106.619, 283226.64 6651153.6 106.599, 283226.89 6651151.61 106.579, 283227.13 6651149.61 106.559, 283227.39 6651147.61 106.539, 283227.66 6651145.63 106.519, 283227.9 6651143.63 106.499, 283228.1 6651142.68 106.489, 283228.13 6651142.3 106.489, 283228.2 6651141.93 106.489, 283228.37 6651141.54 106.479, 283228.65 6651141.15 106.479, 283228.86 6651140.95 106.479, 283229.12 6651140.77 106.469, 283229.48 6651140.59 106.469, 283229.71 6651140.51 106.469, 283230.04 6651140.44 106.459, 283230.69 6651140.43 106.459, 283232.84 6651138.78 106.429, 283236.62 6651141 106.289))</t>
  </si>
  <si>
    <t>2025-06-06</t>
  </si>
  <si>
    <t>[99053]</t>
  </si>
  <si>
    <t>['PV99053 S1D1 m32']</t>
  </si>
  <si>
    <t>LINESTRING Z (282823.33 6651776.05 106.35, 282823.03 6651775.53 106.32, 282823.15 6651774.98 106.32, 282841.8 6651748.72 106.41, 282850.1 6651737.14 106.47, 282850.62 6651736.84 106.48)</t>
  </si>
  <si>
    <t>POINT (282836.45379095775 6651756.280317032)</t>
  </si>
  <si>
    <t>['PV99053 S1D1 m30']</t>
  </si>
  <si>
    <t>LINESTRING Z (282848.61 6651733.08 106.36, 282845.44 6651734.15 106.28, 282837.49 6651745.44 106.25, 282826.07 6651761.36 106.28, 282819.05 6651771.34 106.18, 282818.97 6651775.51 106.23, 282818.73 6651776.06 106.22)</t>
  </si>
  <si>
    <t>POINT (282831.9888410733 6651753.416912542)</t>
  </si>
  <si>
    <t>[99159]</t>
  </si>
  <si>
    <t>['PV99159 S1D1 m30']</t>
  </si>
  <si>
    <t>LINESTRING Z (282335.79 6652311.78 106.781, 282346.63 6652305.49 106.901, 282347.46 6652303.19 106.921, 282348.29 6652300.88 106.941, 282347.72 6652299.78 106.941, 282346.15 6652296.99 106.941, 282344.57 6652294.2 106.941, 282343 6652291.42 106.941, 282341.43 6652288.63 106.941, 282339.9 6652285.9 106.941, 282310.86 6652302.27 106.641, 282312.39 6652304.98 106.641, 282313.96 6652307.77 106.641, 282315.53 6652310.56 106.641, 282317.1 6652313.35 106.641, 282318.67 6652316.14 106.641, 282320.24 6652318.93 106.641, 282320.84 6652319.97 106.641, 282330.2 6652314.93 106.751)</t>
  </si>
  <si>
    <t>POLYGON Z ((282335.79 6652311.78 106.781, 282346.63 6652305.49 106.901, 282347.46 6652303.19 106.921, 282348.29 6652300.88 106.941, 282347.72 6652299.78 106.941, 282346.15 6652296.99 106.941, 282344.57 6652294.2 106.941, 282343 6652291.42 106.941, 282341.43 6652288.63 106.941, 282339.9 6652285.9 106.941, 282310.86 6652302.27 106.641, 282312.39 6652304.98 106.641, 282313.96 6652307.77 106.641, 282315.53 6652310.56 106.641, 282317.1 6652313.35 106.641, 282318.67 6652316.14 106.641, 282320.24 6652318.93 106.641, 282320.84 6652319.97 106.641, 282330.2 6652314.93 106.751, 282335.79 6652311.78 106.781))</t>
  </si>
  <si>
    <t>2018-11-22</t>
  </si>
  <si>
    <t>[15060]</t>
  </si>
  <si>
    <t>['KV15060 S1D1 m42']</t>
  </si>
  <si>
    <t>LINESTRING Z (77796.98 6814000.76 1.879, 77792.41 6813991.85 2.129, 77791.26 6813989.62 2.259, 77790.96 6813989.02 2.299, 77790.69 6813988.41 2.339, 77790.42 6813987.79 2.389, 77790.18 6813987.16 2.439, 77789.95 6813986.53 2.479, 77789.75 6813985.89 2.529, 77789.56 6813985.25 2.579, 77789.4 6813984.59 2.619, 77789.26 6813983.94 2.669, 77789.14 6813983.27 2.719, 77789.03 6813982.61 2.759, 77788.95 6813981.93 2.809, 77788.89 6813981.26 2.859, 77788.85 6813980.59 2.899, 77788.83 6813979.92 2.949, 77788.83 6813979.25 2.999, 77788.85 6813978.58 3.039, 77788.9 6813977.9 3.089, 77788.97 6813977.23 3.139, 77789.05 6813976.57 3.179, 77789.16 6813975.91 3.229, 77789.29 6813975.24 3.279, 77789.44 6813974.58 3.319, 77789.6 6813973.93 3.369, 77789.79 6813973.29 3.419, 77790.01 6813972.65 3.469, 77790.23 6813972.01 3.509, 77790.47 6813971.42 3.559, 77790.93 6813970.24 3.649, 77791.42 6813969.06 3.749, 77791.92 6813967.89 3.839, 77792.43 6813966.73 3.929, 77792.96 6813965.57 4.029, 77793.51 6813964.42 4.119, 77794.06 6813963.28 4.209, 77794.63 6813962.15 4.309, 77795.21 6813961.02 4.399, 77795.81 6813959.89 4.489, 77796.43 6813958.78 4.589, 77797.06 6813957.68 4.679, 77797.69 6813956.57 4.769, 77798.35 6813955.49 4.869, 77799.02 6813954.41 4.959, 77799.7 6813953.33 5.049, 77800.39 6813952.27 5.149, 77801.1 6813951.21 5.239, 77801.82 6813950.16 5.339, 77802.55 6813949.14 5.429, 77801.42 6813949.88 5.349, 77800.29 6813950.65 5.269, 77799.15 6813951.44 5.189, 77798.02 6813952.24 5.109, 77797.32 6813953.34 5.019, 77796.64 6813954.44 4.929, 77795.97 6813955.55 4.829, 77795.32 6813956.67 4.739, 77794.68 6813957.81 4.649, 77794.06 6813958.94 4.549, 77793.45 6813960.08 4.459, 77792.85 6813961.23 4.369, 77792.26 6813962.39 4.269, 77791.69 6813963.56 4.179, 77791.14 6813964.72 4.089, 77790.6 6813965.91 3.989, 77790.08 6813967.1 3.899, 77789.57 6813968.29 3.809, 77789.08 6813969.48 3.709, 77788.6 6813970.68 3.619, 77788.36 6813971.3 3.579, 77788.11 6813972 3.529, 77787.88 6813972.69 3.479, 77787.67 6813973.4 3.429, 77787.48 6813974.11 3.389, 77787.33 6813974.83 3.339, 77787.19 6813975.55 3.289, 77787.07 6813976.28 3.239, 77786.98 6813977.01 3.199, 77786.9 6813977.74 3.149, 77786.85 6813978.47 3.099, 77786.83 6813979.21 3.059, 77786.83 6813979.94 3.009, 77786.84 6813980.68 2.959, 77786.89 6813981.42 2.919, 77786.96 6813982.15 2.869, 77787.05 6813982.88 2.819, 77787.15 6813983.61 2.779, 77787.29 6813984.33 2.729, 77787.45 6813985.05 2.679, 77787.62 6813985.76 2.639, 77787.83 6813986.47 2.589, 77788.06 6813987.17 2.539, 77788.3 6813987.87 2.499, 77788.57 6813988.55 2.449, 77788.85 6813989.23 2.399, 77789.16 6813989.89 2.349, 77789.48 6813990.53 2.309, 77790.62 6813992.77 2.189, 77796.99 6814000.76 1.879, 77792.41 6813991.85 2.129, 77791.26 6813989.62 2.259, 77790.96 6813989.02 2.299, 77790.69 6813988.41 2.339, 77790.42 6813987.79 2.389, 77790.18 6813987.16 2.439, 77789.95 6813986.53 2.479, 77789.75 6813985.89 2.529, 77789.56 6813985.25 2.579, 77789.4 6813984.59 2.619, 77789.26 6813983.94 2.669, 77789.14 6813983.27 2.719, 77789.03 6813982.61 2.759, 77788.95 6813981.93 2.809, 77788.89 6813981.26 2.859, 77788.85 6813980.59 2.899, 77788.83 6813979.92 2.949, 77788.83 6813979.25 2.999, 77788.85 6813978.58 3.039, 77788.9 6813977.9 3.089, 77788.97 6813977.23 3.139, 77789.05 6813976.57 3.179, 77789.16 6813975.91 3.229, 77789.29 6813975.24 3.279, 77789.44 6813974.58 3.319, 77789.6 6813973.93 3.369, 77789.79 6813973.29 3.419, 77790.01 6813972.65 3.469, 77790.23 6813972.01 3.509, 77790.47 6813971.42 3.559, 77790.93 6813970.24 3.649, 77791.42 6813969.06 3.749, 77791.92 6813967.89 3.839, 77792.43 6813966.73 3.929, 77792.96 6813965.57 4.029, 77793.51 6813964.42 4.119, 77794.06 6813963.28 4.209, 77794.63 6813962.15 4.309, 77795.21 6813961.02 4.399, 77795.81 6813959.89 4.489, 77796.43 6813958.78 4.589, 77797.06 6813957.68 4.679, 77797.69 6813956.57 4.769, 77798.35 6813955.49 4.869, 77799.02 6813954.41 4.959, 77799.7 6813953.33 5.049, 77800.39 6813952.27 5.149, 77801.1 6813951.21 5.239, 77801.82 6813950.16 5.339, 77802.55 6813949.14 5.429, 77801.42 6813949.88 5.349, 77800.29 6813950.65 5.269, 77799.15 6813951.44 5.189, 77798.02 6813952.24 5.109, 77797.32 6813953.34 5.019, 77796.64 6813954.44 4.929, 77795.97 6813955.55 4.829, 77795.32 6813956.67 4.739, 77794.68 6813957.81 4.649, 77794.06 6813958.94 4.549, 77793.45 6813960.08 4.459, 77792.85 6813961.23 4.369, 77792.26 6813962.39 4.269, 77791.69 6813963.56 4.179, 77791.14 6813964.72 4.089, 77790.6 6813965.91 3.989, 77790.08 6813967.1 3.899, 77789.57 6813968.29 3.809, 77789.08 6813969.48 3.709, 77788.6 6813970.68 3.619, 77788.36 6813971.3 3.579, 77788.11 6813972 3.529, 77787.88 6813972.69 3.479, 77787.67 6813973.4 3.429, 77787.48 6813974.11 3.389, 77787.33 6813974.83 3.339, 77787.19 6813975.55 3.289, 77787.07 6813976.28 3.239, 77786.98 6813977.01 3.199, 77786.9 6813977.74 3.149, 77786.85 6813978.47 3.099, 77786.83 6813979.21 3.059, 77786.83 6813979.94 3.009, 77786.84 6813980.68 2.959, 77786.89 6813981.42 2.919, 77786.96 6813982.15 2.869, 77787.05 6813982.88 2.819, 77787.15 6813983.61 2.779, 77787.29 6813984.33 2.729, 77787.45 6813985.05 2.679, 77787.62 6813985.76 2.639, 77787.83 6813986.47 2.589, 77788.06 6813987.17 2.539, 77788.3 6813987.87 2.499, 77788.57 6813988.55 2.449, 77788.85 6813989.23 2.399, 77789.16 6813989.89 2.349, 77789.48 6813990.53 2.309, 77790.62 6813992.77 2.189)</t>
  </si>
  <si>
    <t>2019-03-01</t>
  </si>
  <si>
    <t>[3790]</t>
  </si>
  <si>
    <t>['KV3790 S1D1 m700']</t>
  </si>
  <si>
    <t>LINESTRING Z (270434.48 7040102.9 25.506, 270434.09 7040103.73 25.506, 270430.85 7040108.44 25.486, 270429.48 7040115.52 25.456, 270429.24 7040116.75 25.556, 270428.51 7040120.3 25.566, 270428.27 7040121.75 25.426, 270426.47 7040131.26 25.326, 270424.7 7040140.62 25.176, 270426.04 7040146.22 25.256, 270426.02 7040147.2 25.366)</t>
  </si>
  <si>
    <t>POINT (270428.13442236395 7040124.648730827)</t>
  </si>
  <si>
    <t>2019-12-11</t>
  </si>
  <si>
    <t>2025-11-22T09:08:20Z</t>
  </si>
  <si>
    <t>[2440]</t>
  </si>
  <si>
    <t>['PV2440 S1D1 m26']</t>
  </si>
  <si>
    <t>LINESTRING Z (269715.2153859617 7041275.0684421705 5.84, 269736.3791124121 7041314.30486887 5.43, 269738.6299919512 7041313.018019087 5.29)</t>
  </si>
  <si>
    <t>POINT (269726.44071654376 7041295.729564975)</t>
  </si>
  <si>
    <t>[3770]</t>
  </si>
  <si>
    <t>['KV3770 S1D1 m592']</t>
  </si>
  <si>
    <t>LINESTRING Z (269719.2580001749 7041247.714417395 6.01, 269720.4811965694 7041249.287879676 5.99, 269743.7421562101 7041233.514622143 5.924, 269753.77670758567 7041226.612102504 5.914, 269758.5444303937 7041223.01846708 5.954, 269764.6597622091 7041217.509309235 5.964, 269763.4421829498 7041215.995619366 5.994)</t>
  </si>
  <si>
    <t>POINT (269742.83936829184 7041233.787088151)</t>
  </si>
  <si>
    <t>2025-11-22T09:08:27Z</t>
  </si>
  <si>
    <t>[5002]</t>
  </si>
  <si>
    <t>['KV5002 S2D1 m51']</t>
  </si>
  <si>
    <t>LINESTRING (243414.80625659795 6595802.138143876, 243441.6687065923 6595794.707066723)</t>
  </si>
  <si>
    <t>POINT (243428.23748159513 6595798.4226053)</t>
  </si>
  <si>
    <t>['KV5002 S1D1 m132']</t>
  </si>
  <si>
    <t>LINESTRING (243479.1244605547 6595806.064257442, 243494.8200002816 6595871.753696297)</t>
  </si>
  <si>
    <t>POINT (243486.97223041815 6595838.90897687)</t>
  </si>
  <si>
    <t>['KV5002 S1D1 m42']</t>
  </si>
  <si>
    <t>LINESTRING (243462.15312115953 6595735.659312682, 243469.3481844603 6595765.081706559)</t>
  </si>
  <si>
    <t>POINT (243465.75065280992 6595750.370509621)</t>
  </si>
  <si>
    <t>[4650]</t>
  </si>
  <si>
    <t>['KV4650 S1D1 m129']</t>
  </si>
  <si>
    <t>LINESTRING (244212.73145656608 6596295.763601037, 244276.36713915624 6596292.051703183)</t>
  </si>
  <si>
    <t>POINT (244244.54929786117 6596293.90765211)</t>
  </si>
  <si>
    <t>['KV4650 S1D1 m46']</t>
  </si>
  <si>
    <t>LINESTRING (244297.96706667464 6596292.032840524, 244365.6115551975 6596290.031380613)</t>
  </si>
  <si>
    <t>POINT (244331.78931093606 6596291.032110568)</t>
  </si>
  <si>
    <t>[169]</t>
  </si>
  <si>
    <t>['FV169 S3D1 m9481']</t>
  </si>
  <si>
    <t>LINESTRING Z (300429.0978267994 6634721.740281392 152.73, 300430.92824994563 6634719.997253018 152.82, 300431.09309005225 6634719.821589467 152.83, 300431.22714098886 6634719.638677237 152.84, 300431.2796761866 6634719.553558402 152.84, 300431.38203363935 6634719.35343588 152.85, 300431.46356354095 6634719.145160366 152.86, 300431.51339995884 6634718.919674556 152.86, 300431.54331314017 6634718.695997378 152.87, 300431.5550975499 6634718.604534184 152.87, 300431.5442599434 6634718.374512644 152.87, 300431.5134991001 6634718.14629973 152.88, 300431.45375771576 6634717.930761377 152.88, 300431.3740930945 6634717.717031654 152.88, 300431.30075867195 6634717.573033257 152.88, 300431.21746263106 6634717.429939177 152.88, 300431.1251092856 6634717.297711031 152.87, 300431.02369863587 6634717.176348817 152.87, 300430.82359027816 6634716.963509239 152.87, 300428.06191975484 6634713.98013785 152.79, 300424.9317260206 6634710.588297431 152.70000000000002, 300424.58583897323 6634710.2079047635 152.69, 300424.2408562398 6634709.837473715 152.69, 300424.1747705018 6634709.662686137 152.69, 300424.231841448 6634709.516893271 152.69, 300424.2499560595 6634709.495161409 152.69, 300424.63125304366 6634709.159235982 152.69, 300425.0025884084 6634708.824214872 152.71, 300427.20342867286 6634706.84668605 152.79, 300429.46042138775 6634704.823884948 152.88, 300431.1142202107 6634703.347983571 152.94, 300432.7680190278 6634701.8720822325 152.99, 300434.6627336644 6634700.173436437 153.05, 300442.1120769165 6634693.5010919515 153.28, 300448.42839508835 6634687.84558146 153.47, 300448.59412533627 6634687.790361694 153.47, 300448.61404857086 6634687.788553071 153.47, 300449.5394469534 6634688.6888293885 153.5, 300455.5598913969 6634695.152805304 153.68, 300455.68122523784 6634695.272358887 153.68, 300455.8768119558 6634695.435390369 153.69, 300456.08960897126 6634695.566728378 153.69, 300456.3196162826 6634695.666372907 153.70000000000002, 300456.557776586 6634695.745189894 153.70000000000002, 300456.76153047883 6634695.776911736 153.71, 300456.9643800588 6634695.79867196 153.71, 300457.1147086195 6634695.795068892 153.72, 300457.26413286757 6634695.78150421 153.72, 300457.4026911869 6634695.758882223 153.72, 300457.55030681053 6634695.725394309 153.72, 300457.7848640458 6634695.653882733 153.73, 300458.00584241573 6634695.543429003 153.73, 300458.21414623293 6634695.403994741 153.74, 300458.410679809 6634695.245541557 153.74, 300458.78111079166 6634694.900558964 153.76, 300429.0978267994 6634721.740281392 152.73)</t>
  </si>
  <si>
    <t>2023-02-01</t>
  </si>
  <si>
    <t>[1670]</t>
  </si>
  <si>
    <t>['KV1670 S1D1 m44']</t>
  </si>
  <si>
    <t>LINESTRING (242373.64173010597 6587595.9053839985, 242369.9708997032 6587577.978221717, 242348.49300488085 6587581.65785291, 242338.0907758247 6587582.825552313, 242327.71804013633 6587583.303883164, 242329.17635918953 6587609.172244506, 242375.39418827405 6587603.652579681)</t>
  </si>
  <si>
    <t>POLYGON ((242373.64173010597 6587595.9053839985, 242369.9708997032 6587577.978221717, 242348.49300488085 6587581.65785291, 242338.0907758247 6587582.825552313, 242327.71804013633 6587583.303883164, 242329.17635918953 6587609.172244506, 242375.39418827405 6587603.652579681, 242373.64173010597 6587595.9053839985))</t>
  </si>
  <si>
    <t>[1360]</t>
  </si>
  <si>
    <t>['KV1360 S1D1 m84']</t>
  </si>
  <si>
    <t>LINESTRING (242554.5180573706 6587764.42806918, 242568.7020081395 6587770.487670314, 242604.24043349203 6587685.736513577, 242592.88065719666 6587680.706147381, 242563.91116336425 6587749.582751203)</t>
  </si>
  <si>
    <t>POLYGON ((242554.5180573706 6587764.42806918, 242568.7020081395 6587770.487670314, 242604.24043349203 6587685.736513577, 242592.88065719666 6587680.706147381, 242563.91116336425 6587749.582751203, 242554.5180573706 6587764.42806918))</t>
  </si>
  <si>
    <t>2023-05-16</t>
  </si>
  <si>
    <t>[6950]</t>
  </si>
  <si>
    <t>['KV6950 S1D1 m45']</t>
  </si>
  <si>
    <t>LINESTRING Z (236964.0293044116 6646952.651694721 125.32000000000001, 236964.818842397 6646953.791231771 125.24000000000001, 236965.57911580894 6646954.942788694 125.17, 236966.50372787408 6646955.120506245 125.12, 236967.41971758613 6646955.31886602 125.08, 236968.32708494586 6646955.537868023 125.04, 236969.2351318078 6646955.766851386 125, 236969.60261489835 6646955.862165471 124.99000000000001, 236970.24571030523 6646956.028965119 124.97, 236971.3361396867 6646956.285642799 124.94, 236972.4338323943 6646956.501715519 124.92, 236973.6718239686 6646955.685419763 124.9, 236974.86717206636 6646954.831916606 124.88000000000001, 236973.82482223742 6646954.69229723 124.89, 236972.7811133883 6646954.532715131 124.91, 236971.75396972062 6646954.321867209 124.94, 236970.73544839467 6646954.090377057 124.97, 236970.1229765822 6646953.93152024 124.99000000000001, 236969.74483262573 6646953.826904296 125, 236968.80616217852 6646953.589978082 125.04, 236967.85818987153 6646953.363712734 125.09, 236966.90227471822 6646953.168070975 125.14, 236965.94703906623 6646952.9824105725 125.19, 236964.99248291552 6646952.806731534 125.25, 236964.0293044116 6646952.651694721 125.32000000000001)</t>
  </si>
  <si>
    <t>POLYGON Z ((236964.0293044116 6646952.651694721 125.32000000000001, 236964.818842397 6646953.791231771 125.24000000000001, 236965.57911580894 6646954.942788694 125.17, 236966.50372787408 6646955.120506245 125.12, 236967.41971758613 6646955.31886602 125.08, 236968.32708494586 6646955.537868023 125.04, 236969.2351318078 6646955.766851386 125, 236969.60261489835 6646955.862165471 124.99000000000001, 236970.24571030523 6646956.028965119 124.97, 236971.3361396867 6646956.285642799 124.94, 236972.4338323943 6646956.501715519 124.92, 236973.6718239686 6646955.685419763 124.9, 236974.86717206636 6646954.831916606 124.88000000000001, 236973.82482223742 6646954.69229723 124.89, 236972.7811133883 6646954.532715131 124.91, 236971.75396972062 6646954.321867209 124.94, 236970.73544839467 6646954.090377057 124.97, 236970.1229765822 6646953.93152024 124.99000000000001, 236969.74483262573 6646953.826904296 125, 236968.80616217852 6646953.589978082 125.04, 236967.85818987153 6646953.363712734 125.09, 236966.90227471822 6646953.168070975 125.14, 236965.94703906623 6646952.9824105725 125.19, 236964.99248291552 6646952.806731534 125.25, 236964.0293044116 6646952.651694721 125.32000000000001))</t>
  </si>
  <si>
    <t>['KV6950 S2D1 m80']</t>
  </si>
  <si>
    <t>LINESTRING Z (237009.15153514198 6647009.625261152 124.85000000000001, 237009.88510851754 6647014.508909172 124.9, 237009.94982768863 6647016.048756436 124.92, 237010.07997447095 6647021.053705431 124.96000000000001, 237009.6110285893 6647025.94902519 125.05, 237009.31960520858 6647027.412841756 125.08, 237008.07258174568 6647032.220744922 125.19, 237006.42222699872 6647036.99594048 125.34, 237005.9250609312 6647038.383515101 125.39, 237003.62005927757 6647042.822228418 125.60000000000001, 237000.62163288752 6647046.79674037 125.82000000000001, 236999.65627938055 6647047.935415083 125.9, 236996.27610019082 6647051.605004829 126.17, 236992.56407494383 6647054.966274769 126.46000000000001, 236991.37280458427 6647055.879666732 126.55, 236987.30421391368 6647058.864106416 126.84, 236983.18006894848 6647061.621693026 127.12, 236981.8735674892 6647062.462708855 127.21000000000001, 236977.6407751671 6647065.0973331025 127.48, 236973.33858142077 6647067.596295523 127.78, 236972.0259642888 6647068.347479204 127.86, 236967.59766713745 6647070.6143637905 128.13, 236963.0720629907 6647072.777569153 128.37, 236964.16502883157 6647074.8390452275 128.46, 236966.54522892006 6647073.7143535735 128.33, 236968.71921797458 6647072.653838557 128.2, 236970.78341203893 6647071.600798222 128.08, 236973.14479701064 6647070.347028489 127.93, 236974.47079305432 6647069.645072084 127.85000000000001, 236976.68041904067 6647068.371551037 127.71000000000001, 236978.87008228654 6647067.099389052 127.57000000000001, 236980.95063006488 6647065.844683109 127.43, 236983.21857378236 6647064.396722449 127.28, 236984.4792455022 6647063.618992338 127.2, 236986.40531624522 6647062.30460967 127.07000000000001, 236988.67644614453 6647060.756155997 126.92, 236990.66627075884 6647059.347184565 126.77, 236992.7649994644 6647057.7703572605 126.63000000000001, 236994.0352298285 6647056.691147928 126.54, 236996.03325407632 6647054.960734556 126.39, 236997.84231200762 6647053.253213335 126.25, 236999.64525432244 6647051.455859921 126.11, 237001.43528589827 6647049.468860723 125.97, 237002.47369513044 6647048.224936329 125.89, 237003.98628720606 6647046.286907625 125.78, 237005.60553353862 6647044.000679103 125.67, 237006.8314298286 6647041.6810634425 125.57000000000001, 237007.98860433628 6647039.235767231 125.47, 237008.59692435787 6647037.860680711 125.42, 237009.3958721498 6647035.75062811 125.34, 237010.2928974664 6647032.871799612 125.26, 237010.97253721335 6647030.629482663 125.21000000000001, 237011.6334075667 6647027.81686928 125.15, 237011.92347191751 6647026.33309002 125.13000000000001, 237012.217493226 6647023.876362427 125.09, 237012.37203245773 6647021.138329574 125.04, 237012.40904526762 6647018.588794821 125.02, 237012.3274295393 6647015.916977022 124.99000000000001, 237012.18468673743 6647014.262110055 124.98, 237011.87235210987 6647011.736358155 124.95, 237011.3842188362 6647009.132325687 124.92, 237010.86520508694 6647006.811168792 124.9, 237010.1159862593 6647004.0544409435 124.87, 237007.94293375034 6647004.834117706 124.79, 237009.15153514198 6647009.625261152 124.85000000000001)</t>
  </si>
  <si>
    <t>POLYGON Z ((237009.15153514198 6647009.625261152 124.85000000000001, 237009.88510851754 6647014.508909172 124.9, 237009.94982768863 6647016.048756436 124.92, 237010.07997447095 6647021.053705431 124.96000000000001, 237009.6110285893 6647025.94902519 125.05, 237009.31960520858 6647027.412841756 125.08, 237008.07258174568 6647032.220744922 125.19, 237006.42222699872 6647036.99594048 125.34, 237005.9250609312 6647038.383515101 125.39, 237003.62005927757 6647042.822228418 125.60000000000001, 237000.62163288752 6647046.79674037 125.82000000000001, 236999.65627938055 6647047.935415083 125.9, 236996.27610019082 6647051.605004829 126.17, 236992.56407494383 6647054.966274769 126.46000000000001, 236991.37280458427 6647055.879666732 126.55, 236987.30421391368 6647058.864106416 126.84, 236983.18006894848 6647061.621693026 127.12, 236981.8735674892 6647062.462708855 127.21000000000001, 236977.6407751671 6647065.0973331025 127.48, 236973.33858142077 6647067.596295523 127.78, 236972.0259642888 6647068.347479204 127.86, 236967.59766713745 6647070.6143637905 128.13, 236963.0720629907 6647072.777569153 128.37, 236964.16502883157 6647074.8390452275 128.46, 236966.54522892006 6647073.7143535735 128.33, 236968.71921797458 6647072.653838557 128.2, 236970.78341203893 6647071.600798222 128.08, 236973.14479701064 6647070.347028489 127.93, 236974.47079305432 6647069.645072084 127.85000000000001, 236976.68041904067 6647068.371551037 127.71000000000001, 236978.87008228654 6647067.099389052 127.57000000000001, 236980.95063006488 6647065.844683109 127.43, 236983.21857378236 6647064.396722449 127.28, 236984.4792455022 6647063.618992338 127.2, 236986.40531624522 6647062.30460967 127.07000000000001, 236988.67644614453 6647060.756155997 126.92, 236990.66627075884 6647059.347184565 126.77, 236992.7649994644 6647057.7703572605 126.63000000000001, 236994.0352298285 6647056.691147928 126.54, 236996.03325407632 6647054.960734556 126.39, 236997.84231200762 6647053.253213335 126.25, 236999.64525432244 6647051.455859921 126.11, 237001.43528589827 6647049.468860723 125.97, 237002.47369513044 6647048.224936329 125.89, 237003.98628720606 6647046.286907625 125.78, 237005.60553353862 6647044.000679103 125.67, 237006.8314298286 6647041.6810634425 125.57000000000001, 237007.98860433628 6647039.235767231 125.47, 237008.59692435787 6647037.860680711 125.42, 237009.3958721498 6647035.75062811 125.34, 237010.2928974664 6647032.871799612 125.26, 237010.97253721335 6647030.629482663 125.21000000000001, 237011.6334075667 6647027.81686928 125.15, 237011.92347191751 6647026.33309002 125.13000000000001, 237012.217493226 6647023.876362427 125.09, 237012.37203245773 6647021.138329574 125.04, 237012.40904526762 6647018.588794821 125.02, 237012.3274295393 6647015.916977022 124.99000000000001, 237012.18468673743 6647014.262110055 124.98, 237011.87235210987 6647011.736358155 124.95, 237011.3842188362 6647009.132325687 124.92, 237010.86520508694 6647006.811168792 124.9, 237010.1159862593 6647004.0544409435 124.87, 237007.94293375034 6647004.834117706 124.79, 237009.15153514198 6647009.625261152 124.85000000000001))</t>
  </si>
  <si>
    <t>2024-01-03</t>
  </si>
  <si>
    <t>['EV10 S4D1 m6683 SD2 m90']</t>
  </si>
  <si>
    <t>LINESTRING Z (428565.3 7555439.53 2.6, 428591.25 7555432.45 2.92, 428588.36 7555427.47 2.96, 428565.14 7555433.67 2.66, 428565.3 7555439.53 2.6)</t>
  </si>
  <si>
    <t>POLYGON Z ((428565.3 7555439.53 2.6, 428591.25 7555432.45 2.92, 428588.36 7555427.47 2.96, 428565.14 7555433.67 2.66, 428565.3 7555439.53 2.6))</t>
  </si>
  <si>
    <t>2025-05-23T13:39:24Z</t>
  </si>
  <si>
    <t>['EV10 S4D1 m6683 SD1 m105']</t>
  </si>
  <si>
    <t>LINESTRING Z (428518 7555428.66 3.8000000000000003, 428566 7555417.05 4.19, 428612.77 7555398.34 4.12, 428610.86 7555395.12 4.26, 428569.06 7555410.12 4.21, 428516.74 7555423.600000001 3.81, 428518 7555428.66 3.8000000000000003)</t>
  </si>
  <si>
    <t>POLYGON Z ((428518 7555428.66 3.8000000000000003, 428566 7555417.05 4.19, 428612.77 7555398.34 4.12, 428610.86 7555395.12 4.26, 428569.06 7555410.12 4.21, 428516.74 7555423.600000001 3.81, 428518 7555428.66 3.8000000000000003))</t>
  </si>
  <si>
    <t>['EV10 S4D1 m6683 SD2 m47']</t>
  </si>
  <si>
    <t>LINESTRING Z (428526.99 7555439.5 2.66, 428546.36 7555440.55 2.66, 428545.9 7555434.46 2.72, 428528.14 7555433.68 2.79, 428526.99 7555439.5 2.66)</t>
  </si>
  <si>
    <t>POLYGON Z ((428526.99 7555439.5 2.66, 428546.36 7555440.55 2.66, 428545.9 7555434.46 2.72, 428528.14 7555433.68 2.79, 428526.99 7555439.5 2.66))</t>
  </si>
  <si>
    <t>2025-04-30T11:39:56Z</t>
  </si>
  <si>
    <t>['FV7868 S1D1 m5744 SD1 m23']</t>
  </si>
  <si>
    <t>LINESTRING Z (595211.37 7714342.0200000005 5.58, 595203.41 7714340.57 5.68, 595201.0700000001 7714353.76 5.68, 595208.74 7714355.18 5.65)</t>
  </si>
  <si>
    <t>POLYGON Z ((595211.37 7714342.0200000005 5.58, 595203.41 7714340.57 5.68, 595201.0700000001 7714353.76 5.68, 595208.74 7714355.18 5.65, 595211.37 7714342.0200000005 5.58))</t>
  </si>
  <si>
    <t>2024-02-21</t>
  </si>
  <si>
    <t>['RV4 S2D1 m667 SD1 m67']</t>
  </si>
  <si>
    <t>LINESTRING Z (272930.49783039634 6656881.599900226 228.918396, 272930.2281592636 6656880.453940649 228.913696, 272930.1935589357 6656880.306919207 228.913101, 272930.07900152967 6656879.820109862 228.911102, 272929.9644434453 6656879.333290535 228.909103, 272929.8498860423 6656878.846481187 228.907104, 272929.6207698804 6656877.8728425335 228.903107, 272929.55433089833 6656877.590491614 228.901901, 272929.5062124816 6656877.386033185 228.901093, 272929.3916544038 6656876.899213854 228.899094, 272929.2770970082 6656876.41240451 228.897095, 272929.16253893333 6656875.925585179 228.895096, 272929.04798154015 6656875.438775825 228.893097, 272928.9343406984 6656874.95585405 228.891098, 272928.9084473714 6656874.845834719 228.890701, 272928.89905012737 6656874.805912102 228.890503, 272928.8889726151 6656874.763068305 228.890305, 272928.86835500645 6656874.67544725 228.889999, 272928.85460925393 6656874.617023234 228.889694, 272928.8417714321 6656874.562507425 228.889496, 272928.8353621605 6656874.535243852 228.889404, 272928.8275723943 6656874.502139282 228.889297, 272928.8188653977 6656874.465137161 228.889099, 272928.7819780089 6656874.30838647 228.888504, 272928.7134682905 6656874.017274056 228.887299, 272928.7043080083 6656873.978327809 228.8871, 272928.6994694772 6656873.957784531 228.886993, 272928.64496787137 6656873.726150979 228.886093, 272928.6071632534 6656873.5655027395 228.885406, 272928.5533288553 6656873.306186583 228.884598, 272928.5262620696 6656873.139617503 228.884201, 272928.507614253 6656872.997069174 228.884003, 272928.4837631533 6656872.729354853 228.883896, 272928.48134400847 6656872.686760177 228.883896, 272928.4942548715 6656871.972658455 228.885101, 272928.60445734643 6656871.286021873 228.888306, 272928.71281445574 6656870.893682573 228.891205, 272928.8301543789 6656870.567052498 228.894302, 272929.150927713 6656869.763041323 228.902206, 272929.18350232264 6656869.6813971475 228.902893, 272929.4694364212 6656868.964696446 228.908997, 272929.54951350455 6656868.763977521 228.910507, 272929.6033532986 6656868.629030768 228.911499, 272929.9738827675 6656867.700279295 228.917694, 272930.0254589985 6656867.5709997695 228.918503, 272930.05577995686 6656867.49502115 228.9189, 272930.14943041815 6656867.260284368 228.920197, 272930.26480095414 6656866.971108199 228.921707, 272930.30642068037 6656866.866778697 228.922195, 272930.33311286103 6656866.799869728 228.922501, 272930.3410638306 6656866.779503646 228.922501, 272930.3962489051 6656866.603137349 228.922806, 272930.4125727215 6656866.528400214 228.922699, 272930.4337229057 6656866.378539404 228.921997, 272930.43854500167 6656866.184220533 228.920303, 272930.4133555395 6656865.96408893 228.917297, 272930.3998298674 6656865.900478796 228.916199, 272930.3936475798 6656865.874192275 228.915802, 272930.36867148895 6656865.768070497 228.913803, 272930.3608817246 6656865.734965926 228.913193, 272930.2992445568 6656865.473060532 228.908295, 272930.2797704855 6656865.390304093 228.906799, 272930.237843671 6656865.212121524 228.903305, 272930.2315650112 6656865.185450579 228.902802, 272930.2131045426 6656865.106976122 228.901306, 272930.1844602128 6656864.985274124 228.898804, 272930.16452219756 6656864.900564264 228.897095, 272930.1498598988 6656864.838252676 228.895905, 272930.1439039139 6656864.812933226 228.895401, 272930.13932910375 6656864.793464751 228.895004, 272930.1347436345 6656864.773986983 228.894608, 272930.13015884516 6656864.754519189 228.894196, 272930.1255740559 6656864.735051396 228.893799, 272930.12099856534 6656864.715572943 228.893402, 272930.11641377606 6656864.69610515 228.893005, 272930.1118283068 6656864.676627379 228.892593, 272930.0957954928 6656864.608474115 228.891205, 272930.07288016554 6656864.511114513 228.889099, 272930.049964158 6656864.413744928 228.8871, 272929.8208487629 6656863.440116238 228.865402, 272929.70629140746 6656862.953306874 228.853897, 272929.60800314834 6656862.5356171755 228.843597, 272929.59173337347 6656862.466487542 228.841797, 272929.3626179893 6656861.492858841 228.816193, 272929.1335026113 6656860.51923014 228.788605, 272928.97701845504 6656859.854238205 228.7686, 272928.9043872382 6656859.545601437 228.759003, 272928.675271871 6656858.57197273 228.729004, 272928.4461558292 6656857.598334043 228.699005, 272928.21704047266 6656856.62470533 228.669006, 272927.987925122 6656855.651076614 228.639008, 272927.7588097768 6656854.677447897 228.608994, 272927.52969443705 6656853.703819176 228.578995, 272927.3005791028 6656852.730190454 228.548996, 272927.0714630943 6656851.756551751 228.518997, 272926.842347771 6656850.782923023 228.488998, 272926.61323245324 6656849.80929429 228.459, 272926.38411714113 6656848.835665558 228.429001, 272926.2404615443 6656848.22520007 228.410202, 272926.15500183473 6656847.86203682 228.399002, 272925.9258865335 6656846.88840808 228.369003, 272925.6967712379 6656845.91477934 228.339005, 272925.467655268 6656844.941140614 228.309006, 272925.2385399835 6656843.967511869 228.279007, 272925.00942470436 6656842.993883118 228.248993, 272924.78030943085 6656842.020254365 228.218994, 272924.55119416316 6656841.04662561 228.188995, 272924.32207890076 6656840.072996854 228.158997, 272924.09295298485 6656839.099358792 228.128998, 272923.86383773363 6656838.125730031 228.098999, 272923.63472248754 6656837.152101265 228.069, 272923.4567036041 6656836.3955906695 228.0457, 272923.40560724743 6656836.1784724975 228.039001, 272923.1764920126 6656835.204843723 228.009003, 272922.94737678336 6656834.231214949 227.979004, 272922.83281883074 6656833.744395573 227.964005, 272922.7182615596 6656833.257586172 227.949005, 272922.4891456616 6656832.283947415 227.919006, 272922.2600304489 6656831.310318631 227.889008, 272922.0309152417 6656830.336689844 227.858994, 272921.8018000402 6656829.363061058 227.828995, 272921.57268484385 6656828.389432266 227.798996, 272921.34356965363 6656827.415803473 227.768997, 272921.3144713853 6656827.292147355 227.765198, 272921.11445378844 6656826.442164698 227.738998, 272920.8853386089 6656825.468535903 227.709, 272920.65622343495 6656824.4949071 227.679001, 272920.4271082666 6656823.521278299 227.649002, 272920.4122190001 6656823.457989648 227.647095, 272920.19799310365 6656822.547649488 227.619003, 272919.96887794585 6656821.574020677 227.589005, 272919.7397627939 6656820.600391867 227.559006, 272919.51064696774 6656819.626753073 227.529007, 272919.28153182706 6656818.653124256 227.498993, 272919.0524166915 6656817.679495435 227.468994, 272918.8233015616 6656816.705866612 227.438995, 272918.59418643755 6656815.732237786 227.408997, 272918.36507131864 6656814.758608955 227.378998, 272918.13594554656 6656813.784970828 227.348999, 272918.1212832661 6656813.722659229 227.347107, 272917.90683043894 6656812.811341994 227.319, 272917.67771533673 6656811.83771316 227.289001, 272917.44860024017 6656810.864084319 227.259003, 272917.3191537722 6656810.313986235 227.242096, 272917.2194851488 6656809.890455474 227.229004, 272916.99037006305 6656808.916826631 227.199005, 272916.76125498326 6656807.943197784 227.169006, 272916.5321392289 6656806.969558955 227.139008, 272916.37061721255 6656806.283154997 227.117905, 272916.3030241596 6656805.995930103 227.1091, 272916.07390909607 6656805.022301246 227.079803, 272915.84479403804 6656804.048672386 227.051605, 272915.6156789857 6656803.075043526 227.024399, 272915.3865639387 6656802.101414661 226.998199, 272915.22618479317 6656801.419865338 226.980499, 272915.15744889743 6656801.127785794 226.973007, 272915.0280017811 6656800.57767772 226.959198, 272914.9283331815 6656800.154146947 226.948807, 272914.6992181512 6656799.180518077 226.925598, 272914.47010312654 6656798.206889204 226.903397, 272914.2409881071 6656797.233260324 226.882202, 272914.08152620884 6656796.555608544 226.868103, 272914.0118730932 6656796.259631445 226.862, 272913.78275808494 6656795.28600256 226.841995, 272913.5536424023 6656794.312363699 226.822006, 272913.32452740497 6656793.338734807 226.802002, 272913.0954124134 6656792.365105919 226.781998, 272912.9373217274 6656791.693305782 226.768204, 272912.8665244096 6656791.392454077 226.761993, 272912.8603314744 6656791.366158253 226.761505, 272912.8477982156 6656791.312874864 226.760406, 272912.8235537461 6656791.210044694 226.758408, 272912.6201970882 6656790.36140431 226.742004, 272912.56038444117 6656790.116371681 226.737305, 272912.493218197 6656789.843561346 226.731995, 272912.4252112541 6656789.569859891 226.7267, 272912.39525822934 6656789.4500937285 226.724304, 272912.38438883005 6656789.406736445 226.723495, 272912.36805404443 6656789.341713638 226.722305, 272912.3566730697 6656789.296498404 226.721405, 272912.3430942551 6656789.242642626 226.720306, 272912.2877201985 6656789.023922094 226.716095, 272912.21823508805 6656788.751685824 226.7108, 272912.19733609766 6656788.670248566 226.709198, 272912.1481851326 6656788.479605338 226.705505, 272912.1324478449 6656788.4188196715 226.7043, 272912.10089012503 6656788.297264033 226.701996, 272911.8288756657 6656787.268377594 226.682007, 272911.5486298723 6656786.241706226 226.662003, 272911.2601842213 6656785.2172999075 226.641998, 272911.23353097786 6656785.124200148 226.640198, 272911.21062208596 6656785.044413686 226.638596, 272911.20150669257 6656785.012702744 226.638, 272911.11289160233 6656784.705972114 226.632004, 272910.9635484845 6656784.1952431975 226.621994, 272910.93615063425 6656784.102353578 226.620193, 272910.8714463088 6656783.8839920955 226.615906, 272910.83257494634 6656783.753430679 226.613297, 272910.80241144437 6656783.652483581 226.611298, 272910.71943885356 6656783.376270899 226.605896, 272910.65875427483 6656783.175588077 226.602005, 272910.63586923474 6656783.100227223 226.600494, 272910.5517049462 6656782.824372449 226.595093, 272910.34579857305 6656782.158407936 226.582001, 272910.024726101 6656781.143755871 226.561996, 272909.90092334384 6656780.759878007 226.554398, 272909.77032106335 6656780.359193625 226.546494, 272909.69554381777 6656780.131704592 226.542007, 272909.3582757161 6656779.122326655 226.522003, 272909.01294735295 6656778.115673447 226.501999, 272908.65957580326 6656777.111819004 226.481995, 272908.5440733626 6656776.789181413 226.475494, 272908.479874238 6656776.610956451 226.472, 272908.4527527501 6656776.535894287 226.470505, 272908.2981843788 6656776.11082589 226.462006, 272907.92878972465 6656775.112747119 226.442001, 272907.7761617594 6656774.707386852 226.433807, 272907.55142742104 6656774.117663467 226.421997, 272907.1661131832 6656773.125629013 226.401993, 272906.7728822974 6656772.136705508 226.382004, 272906.371750637 6656771.150964057 226.341202, 272905.98791950085 6656770.228292822 226.302994, 272905.962742965 6656770.168459111 226.300507, 272905.6512544433 6656769.434721546 226.270004, 272905.57238640793 6656769.250851229 226.262299, 272905.544977873 6656769.25954714 226.261597, 272905.4530890145 6656769.299042667 226.259399, 272905.36119085713 6656769.338548852 226.257095, 272905.26930199866 6656769.37804438 226.254898, 272905.1774038412 6656769.417550566 226.252594, 272905.1121643868 6656769.445595787 226.251007, 272905.08551498293 6656769.457046096 226.250397, 272904.9936268042 6656769.496551602 226.248093, 272904.9017279665 6656769.53604781 226.245895, 272904.8098397874 6656769.575553313 226.243698, 272904.7179509291 6656769.615048842 226.241394, 272904.6260527715 6656769.654555029 226.239197, 272904.53416391276 6656769.694050557 226.236893, 272904.44226575445 6656769.733556741 226.234695, 272904.35037689575 6656769.7730522705 226.232407, 272904.25848871697 6656769.812557778 226.230194, 272904.1665898791 6656769.852053984 226.227905, 272904.0747016998 6656769.89155949 226.225693, 272903.9828128407 6656769.931055015 226.223404, 272903.8909146824 6656769.970561202 226.221207, 272903.79902582336 6656770.0100567285 226.218903, 272903.7108093342 6656770.0479786685 226.216797, 272903.61523880606 6656770.089058447 226.214493, 272903.5233506268 6656770.128563954 226.212204, 272903.4314517884 6656770.168060161 226.210007, 272903.33956360887 6656770.207565666 226.207703, 272903.2513464396 6656770.245477627 226.205597, 272903.15577659104 6656770.2865673825 226.203201, 272903.06388773187 6656770.326062913 226.201004, 272902.9719895733 6656770.3655691 226.1987, 272902.8801007137 6656770.405064625 226.196503, 272902.78821253404 6656770.444570135 226.194305, 272902.6963136954 6656770.484066341 226.192001, 272902.60442551563 6656770.52357185 226.189804, 272902.5125366559 6656770.5630673785 226.1875, 272902.4206384971 6656770.602573568 226.185303, 272902.33242132724 6656770.640485525 226.183105, 272902.23685147834 6656770.681575282 226.180801, 272902.1449626186 6656770.72107081 226.178497, 272902.0530744386 6656770.760576319 226.1763, 272901.9611755994 6656770.800072528 226.174103, 272901.87295910926 6656770.837994465 226.171906, 272901.77739855915 6656770.879073559 226.169601, 272901.6855004002 6656770.918579748 226.167297, 272901.59361154 6656770.9580752775 226.1651, 272901.5017133809 6656770.997581467 226.162796, 272901.4330648716 6656771.027092107 226.161102, 272901.4097276683 6656771.036773806 226.160599, 272901.3152589068 6656771.069201746 226.158295, 272901.2950294557 6656771.074805877 226.157898, 272901.2180234479 6656771.09204139 226.155304, 272901.11899587285 6656771.10505891 226.152206, 272901.019160964 6656771.108126046 226.149002, 272900.91951660835 6656771.10120388 226.145798, 272900.8210600751 6656771.08437685 226.142593, 272900.7247841412 6656771.057795852 226.139496, 272900.6721775724 6656771.038755976 226.137695, 272900.6316376684 6656771.021747132 226.136307, 272900.5556271486 6656770.983910217 226.133606, 272900.45842426055 6656770.922729414 226.130005, 272900.380097861 6656770.86076266 226.126907, 272900.3083401983 6656770.791278378 226.123795, 272900.24388132454 6656770.7149857525 226.120697, 272900.18736079894 6656770.632634212 226.117599, 272900.139347961 6656770.545046153 226.114502, 272900.1228512494 6656770.511678679 226.113403, 272900.0994575096 6656770.458440539 226.111893, 272900.09083989484 6656770.438831477 226.111298, 272899.6714640346 6656769.496481084 226.084595, 272899.2492545779 6656768.567719759 226.058105, 272898.8197198588 6656767.642317823 226.031601, 272898.3827933068 6656766.7203870835 226.005096, 272897.93859954656 6656765.801932086 225.978607, 272897.6957725957 6656765.307407935 225.964294, 272897.65734365577 6656765.229671497 225.962097, 272897.59755232045 6656765.108998999 225.958603, 272897.49378551176 6656764.883716841 225.952194, 272897.4780752291 6656764.845941736 225.951096, 272897.2557517403 6656764.110758282 225.931793, 272897.2173367637 6656763.884990204 225.925995, 272897.2118488923 6656763.845162111 225.925003, 272897.1942238372 6656763.684797019 225.921295, 272897.21862563014 6656762.7631976055 225.907303, 272897.33496027987 6656762.129310098 225.901084, 272897.61171432945 6656761.494426053 225.894401, 272897.9375094115 6656760.992205583 225.888624, 272898.4040780121 6656760.433430824 225.881599, 272898.1905529514 6656760.481938305 225.881302, 272897.9800016793 6656760.542058142 225.881004, 272897.77305653703 6656760.613609899 225.880707, 272897.5726229416 6656760.695373008 225.880402, 272897.3769061557 6656760.787859752 225.880096, 272896.8710965641 6656761.044358409 225.879303, 272896.06644811237 6656761.452412487 225.878098, 272896.04593361873 6656761.462823188 225.878098, 272895.97902944055 6656761.49674647 225.878006, 272895.086952335 6656761.949135217 225.876602, 272894.19487522525 6656762.401523972 225.875198, 272893.30280809046 6656762.853912042 225.873795, 272892.4107309739 6656763.306300806 225.872406, 272891.5186538531 6656763.758689574 225.871002, 272891.1118721585 6656763.964980322 225.870407, 272891.0877814465 6656763.977198673 225.8703, 272890.6265867078 6656764.211077662 225.869598, 272889.7345095797 6656764.663466439 225.868195, 272888.84243244777 6656765.115855216 225.866898, 272888.2610988757 6656765.410663168 225.865983, 272889.18572418066 6656765.148010766 225.876117, 272890.0788844257 6656765.223158232 225.885567, 272890.7624588907 6656765.392590624 225.892991, 272891.45379023254 6656765.682262983 225.900894, 272892.2168854901 6656766.205108627 225.915695, 272892.3342584465 6656766.311604571 225.917297, 272892.36581956793 6656766.341590596 225.917892, 272892.5263072905 6656766.505547047 225.920807, 272892.9758958925 6656767.092204338 225.931, 272892.996707035 6656767.125637744 225.931503, 272893.1156562519 6656767.33248223 225.934799, 272893.17489610147 6656767.447532943 225.9366, 272893.2118181068 6656767.522222071 225.937805, 272893.445208143 6656767.99731029 225.945007, 272893.8719828316 6656768.8797488045 225.958405, 272894.2916883101 6656769.76556736 225.971802, 272894.70429130876 6656770.654719091 225.985199, 272895.1097681765 6656771.5471364455 225.998596, 272895.50808564364 6656772.442772553 226.011993, 272895.53178065526 6656772.498283989 226.013702, 272895.5647202747 6656772.5926848 226.015106, 272895.588057174 6656772.689905429 226.016098, 272895.60158432927 6656772.788967454 226.016998, 272895.60515459126 6656772.888888393 226.018005, 272895.5987192414 6656772.988658986 226.018906, 272895.58237130946 6656773.087290402 226.019897, 272895.55624442134 6656773.183801074 226.020798, 272895.53995475895 6656773.230025523 226.021301, 272895.52062324923 6656773.27721918 226.020905, 272895.4758457606 6656773.366619404 226.020096, 272895.42237103294 6656773.451088228 226.019196, 272895.36073479673 6656773.529807166 226.018402, 272895.29153469653 6656773.60198358 226.017502, 272895.21548290737 6656773.666887217 226.016693, 272895.13333764067 6656773.723874907 226.0159, 272895.04591176275 6656773.772369951 226.014008, 272895.0018899817 6656773.792673454 226.013, 272894.95458031306 6656773.813130812 226.011993, 272894.86276424397 6656773.852811869 226.010101, 272894.7709488547 6656773.892502901 226.008102, 272894.68189885665 6656773.930992932 226.006195, 272894.5873273751 6656773.971874311 226.004196, 272894.4955113054 6656774.011555364 226.002197, 272894.403705895 6656774.051245721 226.000198, 272894.31188982574 6656774.090926779 225.998199, 272894.22007443605 6656774.130617812 225.996201, 272894.12826834555 6656774.170298188 225.994202, 272894.0364529557 6656774.209989219 225.992203, 272893.94463688624 6656774.249670278 225.990204, 272893.8528314754 6656774.289360632 225.988205, 272893.76101608586 6656774.329051669 225.986206, 272893.669200016 6656774.3687327225 225.984207, 272893.57739460503 6656774.408423077 225.982193, 272893.48557853524 6656774.448104133 225.980194, 272893.3937631452 6656774.487795171 225.978195, 272893.3019570544 6656774.527475544 225.976196, 272893.2101416644 6656774.567166581 225.974197, 272893.118325594 6656774.606847637 225.972198, 272893.0265201832 6656774.646537992 225.9702, 272892.93470411317 6656774.686219051 225.968201, 272892.842888723 6656774.725910083 225.966202, 272892.7510826315 6656774.765590459 225.964203, 272892.65926724125 6656774.805281495 225.962204, 272892.56745117117 6656774.844962554 225.960297, 272892.47564575984 6656774.884652908 225.958298, 272892.38382968935 6656774.924333965 225.956299, 272892.2920142991 6656774.964025003 225.9543, 272892.2497879326 6656774.982281281 225.9534, 272892.2002082076 6656775.003705377 225.952301, 272892.1083928171 6656775.043396418 225.950302, 272892.01657742646 6656775.083087451 225.948303, 272891.92477133486 6656775.122767827 225.946304, 272891.8329559443 6656775.162458864 225.94430499999999, 272891.79071891913 6656775.180705847 225.943405, 272891.7411398737 6656775.202139921 225.942307, 272891.649334462 6656775.241830276 225.940308, 272891.55751839094 6656775.281511335 225.938293, 272891.4657030002 6656775.321202368 225.936295, 272891.37389690854 6656775.360882746 225.934296, 272891.2820815173 6656775.400573781 225.932297, 272891.19026544655 6656775.440254841 225.930298, 272891.0984600347 6656775.479945196 225.928299, 272891.0066439637 6656775.519626255 225.9263, 272890.91482857254 6656775.55931729 225.924301, 272890.86916505883 6656775.5699017085 225.923203, 272890.93803368416 6656775.730465502 225.926895, 272891.2129287419 6656776.377988429 225.942001, 272891.2350763499 6656776.430623731 225.943207, 272891.5727323437 6656777.242297667 225.962006, 272891.9256077352 6656778.109452005 225.981995, 272892.271532965 6656778.979408828 226.001999, 272892.6104944274 6656779.852100885 226.022003, 272892.80819239106 6656780.370879814 226.033798, 272892.94245937606 6656780.727474265 226.042007, 272893.26741676737 6656781.60548461 226.061996, 272893.4027543637 6656781.977658835 226.070404, 272893.4272478821 6656782.045448159 226.072006, 272893.4834105958 6656782.201352691 226.0755, 272893.5853314291 6656782.486057122 226.082001, 272893.89619324706 6656783.369146368 226.102005, 272894.199977458 6656784.254697894 226.121994, 272894.4966716594 6656785.142647383 226.141998, 272894.56245412986 6656785.342770323 226.1465, 272894.6773444393 6656785.695252282 226.154404, 272894.78625469183 6656786.032949155 226.162003, 272895.06870111264 6656786.925538776 226.182007, 272895.2498373857 6656787.511385534 226.195099, 272895.32387647533 6656787.754054283 226.2005, 272895.3440083617 6656787.820349252 226.201996, 272895.3973916562 6656787.996891062 226.205902, 272895.4703825662 6656788.239875848 226.211304, 272895.49289573194 6656788.315222949 226.212997, 272895.5308454415 6656788.4426310165 226.215897, 272895.58564468176 6656788.627549851 226.220001, 272895.61213452846 6656788.717339327 226.222, 272895.7435121968 6656789.166627388 226.231995, 272895.82146637066 6656789.43645898 226.238007, 272895.8289687291 6656789.462550293 226.238602, 272895.8496391745 6656789.534542118 226.240204, 272895.873087032 6656789.61644132 226.242004, 272896.1268308116 6656790.5176115045 226.261993, 272896.37336475967 6656791.420774771 226.281998, 272896.61265367887 6656792.325885391 226.302002, 272896.6404158969 6656792.432817891 226.304306, 272896.6542594257 6656792.48629172 226.305496, 272896.69702752307 6656792.65219199 226.309204, 272896.7158833248 6656792.725639841 226.310806, 272896.77700928453 6656792.965125156 226.316101, 272896.82554241916 6656793.156809036 226.320297, 272896.837669095 6656793.20491994 226.321396, 272896.8444751224 6656793.231974024 226.322006, 272896.86204842315 6656793.301887072 226.323502, 272896.8716099716 6656793.340028009 226.324295, 272896.8979606262 6656793.445386457 226.326706, 272896.95778501 6656793.68616251 226.332001, 272897.0168721095 6656793.926152681 226.337204, 272897.0694890248 6656794.141707584 226.341995, 272897.2483808368 6656794.888255723 226.358398, 272897.26970936276 6656794.978718697 226.360397, 272897.28234026115 6656795.031978394 226.361496, 272897.2880692539 6656795.0563208 226.362, 272897.35923289135 6656795.3591496525 226.368195, 272897.5173236076 6656796.03094985 226.382004, 272897.7464386424 6656797.004578828 226.401993, 272897.9755536831 6656797.978207807 226.421997, 272898.20466940897 6656798.951846759 226.442001, 272898.43378446053 6656799.92547573 226.462006, 272898.5034375896 6656800.221452853 226.468094, 272898.6628995177 6656800.899104695 226.482193, 272898.89201458025 6656801.872733661 226.503403, 272899.1211296485 6656802.846362625 226.525604, 272899.3502447221 6656803.819991585 226.548798, 272899.44991334074 6656804.243522395 226.559204, 272899.57936048135 6656804.793630522 226.572998, 272899.6480963903 6656805.085710094 226.580505, 272899.8084755661 6656805.767259476 226.598206, 272900.03759065666 6656806.740888428 226.614395, 272900.26670575235 6656807.714517379 226.631607, 272900.49582085374 6656808.688146325 226.649796, 272900.7249359607 6656809.661775271 226.669098, 272900.79238911724 6656809.948418221 226.674896, 272900.9540510728 6656810.63540421 226.688995, 272901.1831668707 6656811.609043126 226.709, 272901.4122819941 6656812.582672062 226.729004, 272901.6413971234 6656813.556301 226.748993, 272901.7410657655 6656813.979831797 226.7621, 272901.87051225774 6656814.529929928 226.779007, 272902.09962739743 6656815.503558855 226.809006, 272902.328742543 6656816.477187782 226.839005, 272902.54296910873 6656817.387538025 226.867096, 272902.5576313917 6656817.449849629 226.869003, 272902.7869835099 6656818.424454923 226.899002, 272903.01609867194 6656819.398083837 226.929001, 272903.24521383946 6656820.371712755 226.959, 272903.4743290128 6656821.345341663 226.988998, 272903.7034441915 6656822.318970572 227.018997, 272903.93255937565 6656823.29259948 227.048996, 272904.1616752454 6656824.26623836 227.078995, 272904.3907904407 6656825.2398672635 227.108994, 272904.61990564124 6656826.213496159 227.139008, 272904.83413157845 6656827.123836401 227.167099, 272904.8490208475 6656827.187125055 227.169006, 272905.0781360597 6656828.16075395 227.199005, 272905.3072512767 6656829.1343828365 227.229004, 272905.5363664997 6656830.108011723 227.259003, 272905.7363841346 6656830.957994461 227.285202, 272905.7654824079 6656831.081650588 227.289001, 272905.99459764187 6656832.055279469 227.319, 272906.22371288144 6656833.02890835 227.348999, 272906.4528281263 6656834.002537223 227.378998, 272906.68194337655 6656834.976166096 227.408997, 272906.9110586329 6656835.949794968 227.438995, 272907.14017457445 6656836.923433812 227.468994, 272907.25473186723 6656837.410243261 227.483994, 272907.3692898414 6656837.897062683 227.498993, 272907.5984051138 6656838.870691543 227.529007, 272907.827520392 6656839.844320403 227.559006, 272907.87861675833 6656840.061438598 227.565704, 272908.05663567607 6656840.817949262 227.589005, 272908.2857509648 6656841.791578115 227.619003, 272908.5148662594 6656842.765206967 227.649002, 272908.7439922187 6656843.7388451155 227.679001, 272908.97310752457 6656844.712473961 227.709, 272909.202222836 6656845.686102805 227.738998, 272909.43133815285 6656846.659731649 227.768997, 272909.6604534751 6656847.633360485 227.798996, 272909.8895688029 6656848.60698932 227.828995, 272910.11868481606 6656849.5806281315 227.858994, 272910.34780015494 6656850.554256961 227.889008, 272910.5769154995 6656851.527885788 227.919006, 272910.66237522557 6656851.891049072 227.930206, 272910.8082706767 6656852.500987042 227.949097, 272911.0408909023 6656853.473791562 227.979202, 272911.27351106517 6656854.4465950765 228.009293, 272911.50613229955 6656855.4193995185 228.039398, 272911.73875315336 6656856.392213012 228.069504, 272911.97147103806 6656857.36499382 228.099594, 272912.20409129106 6656858.337798326 228.1297, 272912.4367115495 6656859.310602824 228.159897, 272912.6693317456 6656860.283406328 228.190002, 272912.9019529446 6656861.256209754 228.220093, 272913.1345738998 6656862.229024227 228.250198, 272913.3672918178 6656863.2018050235 228.280304, 272913.440670323 6656863.5088289315 228.289795, 272913.5999121036 6656864.174609507 228.309906, 272913.83253232716 6656865.147412993 228.337708, 272914.0651526238 6656866.120217472 228.363403, 272914.081714452 6656866.189278094 228.365204, 272914.28028730804 6656866.583368967 228.378601, 272914.5117772588 6656867.042662058 228.393707, 272914.9748564106 6656867.961233455 228.422607, 272915.0212367426 6656868.053082249 228.425293, 272915.0675196198 6656868.1449427 228.428101, 272915.09896856634 6656868.20741678 228.429993, 272915.1744145133 6656868.191710137 228.432297, 272915.55142912455 6656868.113256728 228.444, 272915.92941216886 6656868.034596981 228.455795, 272916.30740451126 6656867.955926573 228.467606, 272916.68440914154 6656867.877473849 228.479294, 272917.06240216235 6656867.798813424 228.491104, 272917.4403945021 6656867.7201430155 228.502899, 272917.8173991297 6656867.641690294 228.514603, 272918.19539214787 6656867.563029868 228.526398, 272918.4597829822 6656867.508000537 228.534607, 272918.5236813618 6656867.496027211 228.536697, 272918.59417916497 6656867.487624408 228.538895, 272918.66110220115 6656867.484287429 228.541107, 272918.70410681586 6656867.484515141 228.542603, 272918.7400781602 6656867.486134409 228.543793, 272918.7729790807 6656867.488744879 228.544998, 272918.80280051735 6656867.492066452 228.546005, 272918.8295427096 6656867.495808384 228.546997, 272918.98224449065 6656867.531771068 228.552597, 272919.0182094871 6656867.544037791 228.554001, 272919.1220737385 6656867.588481304 228.557999, 272919.2143576229 6656867.640561279 228.561707, 272919.27287007676 6656867.680786486 228.564194, 272919.37489615736 6656867.767552343 228.568604, 272919.5045280837 6656867.92208391 228.574707, 272919.5531675318 6656868.00132917 228.577194, 272919.61039721745 6656868.124072979 228.5802, 272919.6505184409 6656868.253422351 228.583206, 272919.6583082065 6656868.286526921 228.583801, 272919.68328430044 6656868.392648706 228.585693, 272919.6894665889 6656868.418935229 228.586197, 272919.7043558725 6656868.482223871 228.587296, 272919.7978423588 6656868.87946807 228.594299, 272919.83014427475 6656869.016741001 228.597198, 272919.8459507886 6656869.083927195 228.598602, 272919.8823848888 6656869.238733772 228.601898, 272919.9000251831 6656869.313705088 228.603394, 272919.91239973914 6656869.366277452 228.604507, 272919.92110673466 6656869.403279575 228.605301, 272919.979528958 6656869.651548888 228.610199, 272920.0269578004 6656869.853096815 228.614197, 272920.0423103494 6656869.9183289055 228.615494, 272920.06841999805 6656870.029315993 228.617599, 272920.1415151831 6656870.339906198 228.623398, 272920.25607324706 6656870.826725557 228.632095, 272920.28333708836 6656870.942586567 228.634094, 272920.32389271597 6656871.114917493 228.636993, 272920.37063063256 6656871.313534938 228.640305, 272920.46869193716 6656871.730247608 228.646896, 272920.4851886997 6656871.800354299 228.647995, 272920.5997467678 6656872.287173656 228.655197, 272920.64762821863 6656872.490655728 228.658096, 272920.71430415777 6656872.773983035 228.661896, 272920.7960956852 6656873.121566063 228.666397, 272920.8288622284 6656873.26080239 228.668106, 272920.9434196211 6656873.747611772 228.673798, 272921.05797769484 6656874.234431124 228.679001, 272921.10196460475 6656874.421365902 228.680893, 272921.1115881518 6656874.4622555915 228.681305, 272921.1555099179 6656874.725478399 228.684998, 272921.1645391714 6656874.870201991 228.687302, 272921.16162956937 6656875.04216616 228.690399, 272921.1580100424 6656875.092038733 228.691498, 272921.1393654571 6656875.242888765 228.694702, 272921.12436661846 6656875.324535385 228.696701, 272921.0785507001 6656875.504776745 228.701797, 272921.05635092274 6656875.573289454 228.704193, 272920.9738858739 6656875.7760989955 228.711395, 272920.96351102274 6656875.797749081 228.712296, 272920.940149842 6656875.844214778 228.714096, 272920.8326417812 6656876.026875273 228.722504, 272920.69682287646 6656876.208667746 228.731598, 272920.5499581803 6656876.365627946 228.741501, 272920.48588635935 6656876.424492062 228.745499, 272920.42165393877 6656876.478645135 228.749603, 272920.3600727484 6656876.52815624 228.753403, 272920.3094029202 6656876.568893468 228.756699, 272920.2088534518 6656876.649752656 228.763397, 272920.1293464999 6656876.713678691 228.768906, 272920.1004993968 6656876.736868172 228.770905, 272919.94850057183 6656876.859089162 228.781906, 272919.858072278 6656876.9317897465 228.788696, 272919.7879183111 6656876.98820102 228.794205, 272919.57828560035 6656877.158054057 228.810698, 272919.59959219873 6656877.18456019 228.811401, 272919.9129723888 6656877.574309979 228.819535, 272920.2263525792 6656877.96405977 228.823502, 272920.36110549886 6656878.131656429 228.823898, 272920.60710458003 6656878.4376132125 228.82268, 272920.853103662 6656878.74357 228.818893, 272921.0530417282 6656878.992231987 228.813995, 272921.4579137155 6656879.495782206 228.8022, 272921.48147879983 6656879.525139072 228.801605, 272921.5925025963 6656879.664899868 228.798492, 272921.67731249204 6656879.773286708 228.796204, 272922.1325221698 6656880.380740339 228.783295, 272922.310771825 6656880.631324279 228.778107, 272922.7399914161 6656881.267805021 228.765106, 272923.0269020302 6656881.722448527 228.756004, 272923.3023584044 6656882.184122378 228.746902, 272923.39019148616 6656882.337038746 228.743896, 272923.46206680767 6656882.4643798005 228.741394, 272923.5661934458 6656882.652537191 228.737793, 272923.81823607214 6656883.1274038665 228.728699, 272923.8667245495 6656883.222162755 228.726807, 272923.9017377986 6656883.292217816 228.725542, 272926.1164943566 6656882.63092048 228.783401, 272930.49783039634 6656881.599900226 228.918396)</t>
  </si>
  <si>
    <t>POLYGON Z ((272930.49783039634 6656881.599900226 228.918396, 272930.2281592636 6656880.453940649 228.913696, 272930.1935589357 6656880.306919207 228.913101, 272930.07900152967 6656879.820109862 228.911102, 272929.9644434453 6656879.333290535 228.909103, 272929.8498860423 6656878.846481187 228.907104, 272929.6207698804 6656877.8728425335 228.903107, 272929.55433089833 6656877.590491614 228.901901, 272929.5062124816 6656877.386033185 228.901093, 272929.3916544038 6656876.899213854 228.899094, 272929.2770970082 6656876.41240451 228.897095, 272929.16253893333 6656875.925585179 228.895096, 272929.04798154015 6656875.438775825 228.893097, 272928.9343406984 6656874.95585405 228.891098, 272928.9084473714 6656874.845834719 228.890701, 272928.89905012737 6656874.805912102 228.890503, 272928.8889726151 6656874.763068305 228.890305, 272928.86835500645 6656874.67544725 228.889999, 272928.85460925393 6656874.617023234 228.889694, 272928.8417714321 6656874.562507425 228.889496, 272928.8353621605 6656874.535243852 228.889404, 272928.8275723943 6656874.502139282 228.889297, 272928.8188653977 6656874.465137161 228.889099, 272928.7819780089 6656874.30838647 228.888504, 272928.7134682905 6656874.017274056 228.887299, 272928.7043080083 6656873.978327809 228.8871, 272928.6994694772 6656873.957784531 228.886993, 272928.64496787137 6656873.726150979 228.886093, 272928.6071632534 6656873.5655027395 228.885406, 272928.5533288553 6656873.306186583 228.884598, 272928.5262620696 6656873.139617503 228.884201, 272928.507614253 6656872.997069174 228.884003, 272928.4837631533 6656872.729354853 228.883896, 272928.48134400847 6656872.686760177 228.883896, 272928.4942548715 6656871.972658455 228.885101, 272928.60445734643 6656871.286021873 228.888306, 272928.71281445574 6656870.893682573 228.891205, 272928.8301543789 6656870.567052498 228.894302, 272929.150927713 6656869.763041323 228.902206, 272929.18350232264 6656869.6813971475 228.902893, 272929.4694364212 6656868.964696446 228.908997, 272929.54951350455 6656868.763977521 228.910507, 272929.6033532986 6656868.629030768 228.911499, 272929.9738827675 6656867.700279295 228.917694, 272930.0254589985 6656867.5709997695 228.918503, 272930.05577995686 6656867.49502115 228.9189, 272930.14943041815 6656867.260284368 228.920197, 272930.26480095414 6656866.971108199 228.921707, 272930.30642068037 6656866.866778697 228.922195, 272930.33311286103 6656866.799869728 228.922501, 272930.3410638306 6656866.779503646 228.922501, 272930.3962489051 6656866.603137349 228.922806, 272930.4125727215 6656866.528400214 228.922699, 272930.4337229057 6656866.378539404 228.921997, 272930.43854500167 6656866.184220533 228.920303, 272930.4133555395 6656865.96408893 228.917297, 272930.3998298674 6656865.900478796 228.916199, 272930.3936475798 6656865.874192275 228.915802, 272930.36867148895 6656865.768070497 228.913803, 272930.3608817246 6656865.734965926 228.913193, 272930.2992445568 6656865.473060532 228.908295, 272930.2797704855 6656865.390304093 228.906799, 272930.237843671 6656865.212121524 228.903305, 272930.2315650112 6656865.185450579 228.902802, 272930.2131045426 6656865.106976122 228.901306, 272930.1844602128 6656864.985274124 228.898804, 272930.16452219756 6656864.900564264 228.897095, 272930.1498598988 6656864.838252676 228.895905, 272930.1439039139 6656864.812933226 228.895401, 272930.13932910375 6656864.793464751 228.895004, 272930.1347436345 6656864.773986983 228.894608, 272930.13015884516 6656864.754519189 228.894196, 272930.1255740559 6656864.735051396 228.893799, 272930.12099856534 6656864.715572943 228.893402, 272930.11641377606 6656864.69610515 228.893005, 272930.1118283068 6656864.676627379 228.892593, 272930.0957954928 6656864.608474115 228.891205, 272930.07288016554 6656864.511114513 228.889099, 272930.049964158 6656864.413744928 228.8871, 272929.8208487629 6656863.440116238 228.865402, 272929.70629140746 6656862.953306874 228.853897, 272929.60800314834 6656862.5356171755 228.843597, 272929.59173337347 6656862.466487542 228.841797, 272929.3626179893 6656861.492858841 228.816193, 272929.1335026113 6656860.51923014 228.788605, 272928.97701845504 6656859.854238205 228.7686, 272928.9043872382 6656859.545601437 228.759003, 272928.675271871 6656858.57197273 228.729004, 272928.4461558292 6656857.598334043 228.699005, 272928.21704047266 6656856.62470533 228.669006, 272927.987925122 6656855.651076614 228.639008, 272927.7588097768 6656854.677447897 228.608994, 272927.52969443705 6656853.703819176 228.578995, 272927.3005791028 6656852.730190454 228.548996, 272927.0714630943 6656851.756551751 228.518997, 272926.842347771 6656850.782923023 228.488998, 272926.61323245324 6656849.80929429 228.459, 272926.38411714113 6656848.835665558 228.429001, 272926.2404615443 6656848.22520007 228.410202, 272926.15500183473 6656847.86203682 228.399002, 272925.9258865335 6656846.88840808 228.369003, 272925.6967712379 6656845.91477934 228.339005, 272925.467655268 6656844.941140614 228.309006, 272925.2385399835 6656843.967511869 228.279007, 272925.00942470436 6656842.993883118 228.248993, 272924.78030943085 6656842.020254365 228.218994, 272924.55119416316 6656841.04662561 228.188995, 272924.32207890076 6656840.072996854 228.158997, 272924.09295298485 6656839.099358792 228.128998, 272923.86383773363 6656838.125730031 228.098999, 272923.63472248754 6656837.152101265 228.069, 272923.4567036041 6656836.3955906695 228.0457, 272923.40560724743 6656836.1784724975 228.039001, 272923.1764920126 6656835.204843723 228.009003, 272922.94737678336 6656834.231214949 227.979004, 272922.83281883074 6656833.744395573 227.964005, 272922.7182615596 6656833.257586172 227.949005, 272922.4891456616 6656832.283947415 227.919006, 272922.2600304489 6656831.310318631 227.889008, 272922.0309152417 6656830.336689844 227.858994, 272921.8018000402 6656829.363061058 227.828995, 272921.57268484385 6656828.389432266 227.798996, 272921.34356965363 6656827.415803473 227.768997, 272921.3144713853 6656827.292147355 227.765198, 272921.11445378844 6656826.442164698 227.738998, 272920.8853386089 6656825.468535903 227.709, 272920.65622343495 6656824.4949071 227.679001, 272920.4271082666 6656823.521278299 227.649002, 272920.4122190001 6656823.457989648 227.647095, 272920.19799310365 6656822.547649488 227.619003, 272919.96887794585 6656821.574020677 227.589005, 272919.7397627939 6656820.600391867 227.559006, 272919.51064696774 6656819.626753073 227.529007, 272919.28153182706 6656818.653124256 227.498993, 272919.0524166915 6656817.679495435 227.468994, 272918.8233015616 6656816.705866612 227.438995, 272918.59418643755 6656815.732237786 227.408997, 272918.36507131864 6656814.758608955 227.378998, 272918.13594554656 6656813.784970828 227.348999, 272918.1212832661 6656813.722659229 227.347107, 272917.90683043894 6656812.811341994 227.319, 272917.67771533673 6656811.83771316 227.289001, 272917.44860024017 6656810.864084319 227.259003, 272917.3191537722 6656810.313986235 227.242096, 272917.2194851488 6656809.890455474 227.229004, 272916.99037006305 6656808.916826631 227.199005, 272916.76125498326 6656807.943197784 227.169006, 272916.5321392289 6656806.969558955 227.139008, 272916.37061721255 6656806.283154997 227.117905, 272916.3030241596 6656805.995930103 227.1091, 272916.07390909607 6656805.022301246 227.079803, 272915.84479403804 6656804.048672386 227.051605, 272915.6156789857 6656803.075043526 227.024399, 272915.3865639387 6656802.101414661 226.998199, 272915.22618479317 6656801.419865338 226.980499, 272915.15744889743 6656801.127785794 226.973007, 272915.0280017811 6656800.57767772 226.959198, 272914.9283331815 6656800.154146947 226.948807, 272914.6992181512 6656799.180518077 226.925598, 272914.47010312654 6656798.206889204 226.903397, 272914.2409881071 6656797.233260324 226.882202, 272914.08152620884 6656796.555608544 226.868103, 272914.0118730932 6656796.259631445 226.862, 272913.78275808494 6656795.28600256 226.841995, 272913.5536424023 6656794.312363699 226.822006, 272913.32452740497 6656793.338734807 226.802002, 272913.0954124134 6656792.365105919 226.781998, 272912.9373217274 6656791.693305782 226.768204, 272912.8665244096 6656791.392454077 226.761993, 272912.8603314744 6656791.366158253 226.761505, 272912.8477982156 6656791.312874864 226.760406, 272912.8235537461 6656791.210044694 226.758408, 272912.6201970882 6656790.36140431 226.742004, 272912.56038444117 6656790.116371681 226.737305, 272912.493218197 6656789.843561346 226.731995, 272912.4252112541 6656789.569859891 226.7267, 272912.39525822934 6656789.4500937285 226.724304, 272912.38438883005 6656789.406736445 226.723495, 272912.36805404443 6656789.341713638 226.722305, 272912.3566730697 6656789.296498404 226.721405, 272912.3430942551 6656789.242642626 226.720306, 272912.2877201985 6656789.023922094 226.716095, 272912.21823508805 6656788.751685824 226.7108, 272912.19733609766 6656788.670248566 226.709198, 272912.1481851326 6656788.479605338 226.705505, 272912.1324478449 6656788.4188196715 226.7043, 272912.10089012503 6656788.297264033 226.701996, 272911.8288756657 6656787.268377594 226.682007, 272911.5486298723 6656786.241706226 226.662003, 272911.2601842213 6656785.2172999075 226.641998, 272911.23353097786 6656785.124200148 226.640198, 272911.21062208596 6656785.044413686 226.638596, 272911.20150669257 6656785.012702744 226.638, 272911.11289160233 6656784.705972114 226.632004, 272910.9635484845 6656784.1952431975 226.621994, 272910.93615063425 6656784.102353578 226.620193, 272910.8714463088 6656783.8839920955 226.615906, 272910.83257494634 6656783.753430679 226.613297, 272910.80241144437 6656783.652483581 226.611298, 272910.71943885356 6656783.376270899 226.605896, 272910.65875427483 6656783.175588077 226.602005, 272910.63586923474 6656783.100227223 226.600494, 272910.5517049462 6656782.824372449 226.595093, 272910.34579857305 6656782.158407936 226.582001, 272910.024726101 6656781.143755871 226.561996, 272909.90092334384 6656780.759878007 226.554398, 272909.77032106335 6656780.359193625 226.546494, 272909.69554381777 6656780.131704592 226.542007, 272909.3582757161 6656779.122326655 226.522003, 272909.01294735295 6656778.115673447 226.501999, 272908.65957580326 6656777.111819004 226.481995, 272908.5440733626 6656776.789181413 226.475494, 272908.479874238 6656776.610956451 226.472, 272908.4527527501 6656776.535894287 226.470505, 272908.2981843788 6656776.11082589 226.462006, 272907.92878972465 6656775.112747119 226.442001, 272907.7761617594 6656774.707386852 226.433807, 272907.55142742104 6656774.117663467 226.421997, 272907.1661131832 6656773.125629013 226.401993, 272906.7728822974 6656772.136705508 226.382004, 272906.371750637 6656771.150964057 226.341202, 272905.98791950085 6656770.228292822 226.302994, 272905.962742965 6656770.168459111 226.300507, 272905.6512544433 6656769.434721546 226.270004, 272905.57238640793 6656769.250851229 226.262299, 272905.544977873 6656769.25954714 226.261597, 272905.4530890145 6656769.299042667 226.259399, 272905.36119085713 6656769.338548852 226.257095, 272905.26930199866 6656769.37804438 226.254898, 272905.1774038412 6656769.417550566 226.252594, 272905.1121643868 6656769.445595787 226.251007, 272905.08551498293 6656769.457046096 226.250397, 272904.9936268042 6656769.496551602 226.248093, 272904.9017279665 6656769.53604781 226.245895, 272904.8098397874 6656769.575553313 226.243698, 272904.7179509291 6656769.615048842 226.241394, 272904.6260527715 6656769.654555029 226.239197, 272904.53416391276 6656769.694050557 226.236893, 272904.44226575445 6656769.733556741 226.234695, 272904.35037689575 6656769.7730522705 226.232407, 272904.25848871697 6656769.812557778 226.230194, 272904.1665898791 6656769.852053984 226.227905, 272904.0747016998 6656769.89155949 226.225693, 272903.9828128407 6656769.931055015 226.223404, 272903.8909146824 6656769.970561202 226.221207, 272903.79902582336 6656770.0100567285 226.218903, 272903.7108093342 6656770.0479786685 226.216797, 272903.61523880606 6656770.089058447 226.214493, 272903.5233506268 6656770.128563954 226.212204, 272903.4314517884 6656770.168060161 226.210007, 272903.33956360887 6656770.207565666 226.207703, 272903.2513464396 6656770.245477627 226.205597, 272903.15577659104 6656770.2865673825 226.203201, 272903.06388773187 6656770.326062913 226.201004, 272902.9719895733 6656770.3655691 226.1987, 272902.8801007137 6656770.405064625 226.196503, 272902.78821253404 6656770.444570135 226.194305, 272902.6963136954 6656770.484066341 226.192001, 272902.60442551563 6656770.52357185 226.189804, 272902.5125366559 6656770.5630673785 226.1875, 272902.4206384971 6656770.602573568 226.185303, 272902.33242132724 6656770.640485525 226.183105, 272902.23685147834 6656770.681575282 226.180801, 272902.1449626186 6656770.72107081 226.178497, 272902.0530744386 6656770.760576319 226.1763, 272901.9611755994 6656770.800072528 226.174103, 272901.87295910926 6656770.837994465 226.171906, 272901.77739855915 6656770.879073559 226.169601, 272901.6855004002 6656770.918579748 226.167297, 272901.59361154 6656770.9580752775 226.1651, 272901.5017133809 6656770.997581467 226.162796, 272901.4330648716 6656771.027092107 226.161102, 272901.4097276683 6656771.036773806 226.160599, 272901.3152589068 6656771.069201746 226.158295, 272901.2950294557 6656771.074805877 226.157898, 272901.2180234479 6656771.09204139 226.155304, 272901.11899587285 6656771.10505891 226.152206, 272901.019160964 6656771.108126046 226.149002, 272900.91951660835 6656771.10120388 226.145798, 272900.8210600751 6656771.08437685 226.142593, 272900.7247841412 6656771.057795852 226.139496, 272900.6721775724 6656771.038755976 226.137695, 272900.6316376684 6656771.021747132 226.136307, 272900.5556271486 6656770.983910217 226.133606, 272900.45842426055 6656770.922729414 226.130005, 272900.380097861 6656770.86076266 226.126907, 272900.3083401983 6656770.791278378 226.123795, 272900.24388132454 6656770.7149857525 226.120697, 272900.18736079894 6656770.632634212 226.117599, 272900.139347961 6656770.545046153 226.114502, 272900.1228512494 6656770.511678679 226.113403, 272900.0994575096 6656770.458440539 226.111893, 272900.09083989484 6656770.438831477 226.111298, 272899.6714640346 6656769.496481084 226.084595, 272899.2492545779 6656768.567719759 226.058105, 272898.8197198588 6656767.642317823 226.031601, 272898.3827933068 6656766.7203870835 226.005096, 272897.93859954656 6656765.801932086 225.978607, 272897.6957725957 6656765.307407935 225.964294, 272897.65734365577 6656765.229671497 225.962097, 272897.59755232045 6656765.108998999 225.958603, 272897.49378551176 6656764.883716841 225.952194, 272897.4780752291 6656764.845941736 225.951096, 272897.2557517403 6656764.110758282 225.931793, 272897.2173367637 6656763.884990204 225.925995, 272897.2118488923 6656763.845162111 225.925003, 272897.1942238372 6656763.684797019 225.921295, 272897.21862563014 6656762.7631976055 225.907303, 272897.33496027987 6656762.129310098 225.901084, 272897.61171432945 6656761.494426053 225.894401, 272897.9375094115 6656760.992205583 225.888624, 272898.4040780121 6656760.433430824 225.881599, 272898.1905529514 6656760.481938305 225.881302, 272897.9800016793 6656760.542058142 225.881004, 272897.77305653703 6656760.613609899 225.880707, 272897.5726229416 6656760.695373008 225.880402, 272897.3769061557 6656760.787859752 225.880096, 272896.8710965641 6656761.044358409 225.879303, 272896.06644811237 6656761.452412487 225.878098, 272896.04593361873 6656761.462823188 225.878098, 272895.97902944055 6656761.49674647 225.878006, 272895.086952335 6656761.949135217 225.876602, 272894.19487522525 6656762.401523972 225.875198, 272893.30280809046 6656762.853912042 225.873795, 272892.4107309739 6656763.306300806 225.872406, 272891.5186538531 6656763.758689574 225.871002, 272891.1118721585 6656763.964980322 225.870407, 272891.0877814465 6656763.977198673 225.8703, 272890.6265867078 6656764.211077662 225.869598, 272889.7345095797 6656764.663466439 225.868195, 272888.84243244777 6656765.115855216 225.866898, 272888.2610988757 6656765.410663168 225.865983, 272889.18572418066 6656765.148010766 225.876117, 272890.0788844257 6656765.223158232 225.885567, 272890.7624588907 6656765.392590624 225.892991, 272891.45379023254 6656765.682262983 225.900894, 272892.2168854901 6656766.205108627 225.915695, 272892.3342584465 6656766.311604571 225.917297, 272892.36581956793 6656766.341590596 225.917892, 272892.5263072905 6656766.505547047 225.920807, 272892.9758958925 6656767.092204338 225.931, 272892.996707035 6656767.125637744 225.931503, 272893.1156562519 6656767.33248223 225.934799, 272893.17489610147 6656767.447532943 225.9366, 272893.2118181068 6656767.522222071 225.937805, 272893.445208143 6656767.99731029 225.945007, 272893.8719828316 6656768.8797488045 225.958405, 272894.2916883101 6656769.76556736 225.971802, 272894.70429130876 6656770.654719091 225.985199, 272895.1097681765 6656771.5471364455 225.998596, 272895.50808564364 6656772.442772553 226.011993, 272895.53178065526 6656772.498283989 226.013702, 272895.5647202747 6656772.5926848 226.015106, 272895.588057174 6656772.689905429 226.016098, 272895.60158432927 6656772.788967454 226.016998, 272895.60515459126 6656772.888888393 226.018005, 272895.5987192414 6656772.988658986 226.018906, 272895.58237130946 6656773.087290402 226.019897, 272895.55624442134 6656773.183801074 226.020798, 272895.53995475895 6656773.230025523 226.021301, 272895.52062324923 6656773.27721918 226.020905, 272895.4758457606 6656773.366619404 226.020096, 272895.42237103294 6656773.451088228 226.019196, 272895.36073479673 6656773.529807166 226.018402, 272895.29153469653 6656773.60198358 226.017502, 272895.21548290737 6656773.666887217 226.016693, 272895.13333764067 6656773.723874907 226.0159, 272895.04591176275 6656773.772369951 226.014008, 272895.0018899817 6656773.792673454 226.013, 272894.95458031306 6656773.813130812 226.011993, 272894.86276424397 6656773.852811869 226.010101, 272894.7709488547 6656773.892502901 226.008102, 272894.68189885665 6656773.930992932 226.006195, 272894.5873273751 6656773.971874311 226.004196, 272894.4955113054 6656774.011555364 226.002197, 272894.403705895 6656774.051245721 226.000198, 272894.31188982574 6656774.090926779 225.998199, 272894.22007443605 6656774.130617812 225.996201, 272894.12826834555 6656774.170298188 225.994202, 272894.0364529557 6656774.209989219 225.992203, 272893.94463688624 6656774.249670278 225.990204, 272893.8528314754 6656774.289360632 225.988205, 272893.76101608586 6656774.329051669 225.986206, 272893.669200016 6656774.3687327225 225.984207, 272893.57739460503 6656774.408423077 225.982193, 272893.48557853524 6656774.448104133 225.980194, 272893.3937631452 6656774.487795171 225.978195, 272893.3019570544 6656774.527475544 225.976196, 272893.2101416644 6656774.567166581 225.974197, 272893.118325594 6656774.606847637 225.972198, 272893.0265201832 6656774.646537992 225.9702, 272892.93470411317 6656774.686219051 225.968201, 272892.842888723 6656774.725910083 225.966202, 272892.7510826315 6656774.765590459 225.964203, 272892.65926724125 6656774.805281495 225.962204, 272892.56745117117 6656774.844962554 225.960297, 272892.47564575984 6656774.884652908 225.958298, 272892.38382968935 6656774.924333965 225.956299, 272892.2920142991 6656774.964025003 225.9543, 272892.2497879326 6656774.982281281 225.9534, 272892.2002082076 6656775.003705377 225.952301, 272892.1083928171 6656775.043396418 225.950302, 272892.01657742646 6656775.083087451 225.948303, 272891.92477133486 6656775.122767827 225.946304, 272891.8329559443 6656775.162458864 225.94430499999999, 272891.79071891913 6656775.180705847 225.943405, 272891.7411398737 6656775.202139921 225.942307, 272891.649334462 6656775.241830276 225.940308, 272891.55751839094 6656775.281511335 225.938293, 272891.4657030002 6656775.321202368 225.936295, 272891.37389690854 6656775.360882746 225.934296, 272891.2820815173 6656775.400573781 225.932297, 272891.19026544655 6656775.440254841 225.930298, 272891.0984600347 6656775.479945196 225.928299, 272891.0066439637 6656775.519626255 225.9263, 272890.91482857254 6656775.55931729 225.924301, 272890.86916505883 6656775.5699017085 225.923203, 272890.93803368416 6656775.730465502 225.926895, 272891.2129287419 6656776.377988429 225.942001, 272891.2350763499 6656776.430623731 225.943207, 272891.5727323437 6656777.242297667 225.962006, 272891.9256077352 6656778.109452005 225.981995, 272892.271532965 6656778.979408828 226.001999, 272892.6104944274 6656779.852100885 226.022003, 272892.80819239106 6656780.370879814 226.033798, 272892.94245937606 6656780.727474265 226.042007, 272893.26741676737 6656781.60548461 226.061996, 272893.4027543637 6656781.977658835 226.070404, 272893.4272478821 6656782.045448159 226.072006, 272893.4834105958 6656782.201352691 226.0755, 272893.5853314291 6656782.486057122 226.082001, 272893.89619324706 6656783.369146368 226.102005, 272894.199977458 6656784.254697894 226.121994, 272894.4966716594 6656785.142647383 226.141998, 272894.56245412986 6656785.342770323 226.1465, 272894.6773444393 6656785.695252282 226.154404, 272894.78625469183 6656786.032949155 226.162003, 272895.06870111264 6656786.925538776 226.182007, 272895.2498373857 6656787.511385534 226.195099, 272895.32387647533 6656787.754054283 226.2005, 272895.3440083617 6656787.820349252 226.201996, 272895.3973916562 6656787.996891062 226.205902, 272895.4703825662 6656788.239875848 226.211304, 272895.49289573194 6656788.315222949 226.212997, 272895.5308454415 6656788.4426310165 226.215897, 272895.58564468176 6656788.627549851 226.220001, 272895.61213452846 6656788.717339327 226.222, 272895.7435121968 6656789.166627388 226.231995, 272895.82146637066 6656789.43645898 226.238007, 272895.8289687291 6656789.462550293 226.238602, 272895.8496391745 6656789.534542118 226.240204, 272895.873087032 6656789.61644132 226.242004, 272896.1268308116 6656790.5176115045 226.261993, 272896.37336475967 6656791.420774771 226.281998, 272896.61265367887 6656792.325885391 226.302002, 272896.6404158969 6656792.432817891 226.304306, 272896.6542594257 6656792.48629172 226.305496, 272896.69702752307 6656792.65219199 226.309204, 272896.7158833248 6656792.725639841 226.310806, 272896.77700928453 6656792.965125156 226.316101, 272896.82554241916 6656793.156809036 226.320297, 272896.837669095 6656793.20491994 226.321396, 272896.8444751224 6656793.231974024 226.322006, 272896.86204842315 6656793.301887072 226.323502, 272896.8716099716 6656793.340028009 226.324295, 272896.8979606262 6656793.445386457 226.326706, 272896.95778501 6656793.68616251 226.332001, 272897.0168721095 6656793.926152681 226.337204, 272897.0694890248 6656794.141707584 226.341995, 272897.2483808368 6656794.888255723 226.358398, 272897.26970936276 6656794.978718697 226.360397, 272897.28234026115 6656795.031978394 226.361496, 272897.2880692539 6656795.0563208 226.362, 272897.35923289135 6656795.3591496525 226.368195, 272897.5173236076 6656796.03094985 226.382004, 272897.7464386424 6656797.004578828 226.401993, 272897.9755536831 6656797.978207807 226.421997, 272898.20466940897 6656798.951846759 226.442001, 272898.43378446053 6656799.92547573 226.462006, 272898.5034375896 6656800.221452853 226.468094, 272898.6628995177 6656800.899104695 226.482193, 272898.89201458025 6656801.872733661 226.503403, 272899.1211296485 6656802.846362625 226.525604, 272899.3502447221 6656803.819991585 226.548798, 272899.44991334074 6656804.243522395 226.559204, 272899.57936048135 6656804.793630522 226.572998, 272899.6480963903 6656805.085710094 226.580505, 272899.8084755661 6656805.767259476 226.598206, 272900.03759065666 6656806.740888428 226.614395, 272900.26670575235 6656807.714517379 226.631607, 272900.49582085374 6656808.688146325 226.649796, 272900.7249359607 6656809.661775271 226.669098, 272900.79238911724 6656809.948418221 226.674896, 272900.9540510728 6656810.63540421 226.688995, 272901.1831668707 6656811.609043126 226.709, 272901.4122819941 6656812.582672062 226.729004, 272901.6413971234 6656813.556301 226.748993, 272901.7410657655 6656813.979831797 226.7621, 272901.87051225774 6656814.529929928 226.779007, 272902.09962739743 6656815.503558855 226.809006, 272902.328742543 6656816.477187782 226.839005, 272902.54296910873 6656817.387538025 226.867096, 272902.5576313917 6656817.449849629 226.869003, 272902.7869835099 6656818.424454923 226.899002, 272903.01609867194 6656819.398083837 226.929001, 272903.24521383946 6656820.371712755 226.959, 272903.4743290128 6656821.345341663 226.988998, 272903.7034441915 6656822.318970572 227.018997, 272903.93255937565 6656823.29259948 227.048996, 272904.1616752454 6656824.26623836 227.078995, 272904.3907904407 6656825.2398672635 227.108994, 272904.61990564124 6656826.213496159 227.139008, 272904.83413157845 6656827.123836401 227.167099, 272904.8490208475 6656827.187125055 227.169006, 272905.0781360597 6656828.16075395 227.199005, 272905.3072512767 6656829.1343828365 227.229004, 272905.5363664997 6656830.108011723 227.259003, 272905.7363841346 6656830.957994461 227.285202, 272905.7654824079 6656831.081650588 227.289001, 272905.99459764187 6656832.055279469 227.319, 272906.22371288144 6656833.02890835 227.348999, 272906.4528281263 6656834.002537223 227.378998, 272906.68194337655 6656834.976166096 227.408997, 272906.9110586329 6656835.949794968 227.438995, 272907.14017457445 6656836.923433812 227.468994, 272907.25473186723 6656837.410243261 227.483994, 272907.3692898414 6656837.897062683 227.498993, 272907.5984051138 6656838.870691543 227.529007, 272907.827520392 6656839.844320403 227.559006, 272907.87861675833 6656840.061438598 227.565704, 272908.05663567607 6656840.817949262 227.589005, 272908.2857509648 6656841.791578115 227.619003, 272908.5148662594 6656842.765206967 227.649002, 272908.7439922187 6656843.7388451155 227.679001, 272908.97310752457 6656844.712473961 227.709, 272909.202222836 6656845.686102805 227.738998, 272909.43133815285 6656846.659731649 227.768997, 272909.6604534751 6656847.633360485 227.798996, 272909.8895688029 6656848.60698932 227.828995, 272910.11868481606 6656849.5806281315 227.858994, 272910.34780015494 6656850.554256961 227.889008, 272910.5769154995 6656851.527885788 227.919006, 272910.66237522557 6656851.891049072 227.930206, 272910.8082706767 6656852.500987042 227.949097, 272911.0408909023 6656853.473791562 227.979202, 272911.27351106517 6656854.4465950765 228.009293, 272911.50613229955 6656855.4193995185 228.039398, 272911.73875315336 6656856.392213012 228.069504, 272911.97147103806 6656857.36499382 228.099594, 272912.20409129106 6656858.337798326 228.1297, 272912.4367115495 6656859.310602824 228.159897, 272912.6693317456 6656860.283406328 228.190002, 272912.9019529446 6656861.256209754 228.220093, 272913.1345738998 6656862.229024227 228.250198, 272913.3672918178 6656863.2018050235 228.280304, 272913.440670323 6656863.5088289315 228.289795, 272913.5999121036 6656864.174609507 228.309906, 272913.83253232716 6656865.147412993 228.337708, 272914.0651526238 6656866.120217472 228.363403, 272914.081714452 6656866.189278094 228.365204, 272914.28028730804 6656866.583368967 228.378601, 272914.5117772588 6656867.042662058 228.393707, 272914.9748564106 6656867.961233455 228.422607, 272915.0212367426 6656868.053082249 228.425293, 272915.0675196198 6656868.1449427 228.428101, 272915.09896856634 6656868.20741678 228.429993, 272915.1744145133 6656868.191710137 228.432297, 272915.55142912455 6656868.113256728 228.444, 272915.92941216886 6656868.034596981 228.455795, 272916.30740451126 6656867.955926573 228.467606, 272916.68440914154 6656867.877473849 228.479294, 272917.06240216235 6656867.798813424 228.491104, 272917.4403945021 6656867.7201430155 228.502899, 272917.8173991297 6656867.641690294 228.514603, 272918.19539214787 6656867.563029868 228.526398, 272918.4597829822 6656867.508000537 228.534607, 272918.5236813618 6656867.496027211 228.536697, 272918.59417916497 6656867.487624408 228.538895, 272918.66110220115 6656867.484287429 228.541107, 272918.70410681586 6656867.484515141 228.542603, 272918.7400781602 6656867.486134409 228.543793, 272918.7729790807 6656867.488744879 228.544998, 272918.80280051735 6656867.492066452 228.546005, 272918.8295427096 6656867.495808384 228.546997, 272918.98224449065 6656867.531771068 228.552597, 272919.0182094871 6656867.544037791 228.554001, 272919.1220737385 6656867.588481304 228.557999, 272919.2143576229 6656867.640561279 228.561707, 272919.27287007676 6656867.680786486 228.564194, 272919.37489615736 6656867.767552343 228.568604, 272919.5045280837 6656867.92208391 228.574707, 272919.5531675318 6656868.00132917 228.577194, 272919.61039721745 6656868.124072979 228.5802, 272919.6505184409 6656868.253422351 228.583206, 272919.6583082065 6656868.286526921 228.583801, 272919.68328430044 6656868.392648706 228.585693, 272919.6894665889 6656868.418935229 228.586197, 272919.7043558725 6656868.482223871 228.587296, 272919.7978423588 6656868.87946807 228.594299, 272919.83014427475 6656869.016741001 228.597198, 272919.8459507886 6656869.083927195 228.598602, 272919.8823848888 6656869.238733772 228.601898, 272919.9000251831 6656869.313705088 228.603394, 272919.91239973914 6656869.366277452 228.604507, 272919.92110673466 6656869.403279575 228.605301, 272919.979528958 6656869.651548888 228.610199, 272920.0269578004 6656869.853096815 228.614197, 272920.0423103494 6656869.9183289055 228.615494, 272920.06841999805 6656870.029315993 228.617599, 272920.1415151831 6656870.339906198 228.623398, 272920.25607324706 6656870.826725557 228.632095, 272920.28333708836 6656870.942586567 228.634094, 272920.32389271597 6656871.114917493 228.636993, 272920.37063063256 6656871.313534938 228.640305, 272920.46869193716 6656871.730247608 228.646896, 272920.4851886997 6656871.800354299 228.647995, 272920.5997467678 6656872.287173656 228.655197, 272920.64762821863 6656872.490655728 228.658096, 272920.71430415777 6656872.773983035 228.661896, 272920.7960956852 6656873.121566063 228.666397, 272920.8288622284 6656873.26080239 228.668106, 272920.9434196211 6656873.747611772 228.673798, 272921.05797769484 6656874.234431124 228.679001, 272921.10196460475 6656874.421365902 228.680893, 272921.1115881518 6656874.4622555915 228.681305, 272921.1555099179 6656874.725478399 228.684998, 272921.1645391714 6656874.870201991 228.687302, 272921.16162956937 6656875.04216616 228.690399, 272921.1580100424 6656875.092038733 228.691498, 272921.1393654571 6656875.242888765 228.694702, 272921.12436661846 6656875.324535385 228.696701, 272921.0785507001 6656875.504776745 228.701797, 272921.05635092274 6656875.573289454 228.704193, 272920.9738858739 6656875.7760989955 228.711395, 272920.96351102274 6656875.797749081 228.712296, 272920.940149842 6656875.844214778 228.714096, 272920.8326417812 6656876.026875273 228.722504, 272920.69682287646 6656876.208667746 228.731598, 272920.5499581803 6656876.365627946 228.741501, 272920.48588635935 6656876.424492062 228.745499, 272920.42165393877 6656876.478645135 228.749603, 272920.3600727484 6656876.52815624 228.753403, 272920.3094029202 6656876.568893468 228.756699, 272920.2088534518 6656876.649752656 228.763397, 272920.1293464999 6656876.713678691 228.768906, 272920.1004993968 6656876.736868172 228.770905, 272919.94850057183 6656876.859089162 228.781906, 272919.858072278 6656876.9317897465 228.788696, 272919.7879183111 6656876.98820102 228.794205, 272919.57828560035 6656877.158054057 228.810698, 272919.59959219873 6656877.18456019 228.811401, 272919.9129723888 6656877.574309979 228.819535, 272920.2263525792 6656877.96405977 228.823502, 272920.36110549886 6656878.131656429 228.823898, 272920.60710458003 6656878.4376132125 228.82268, 272920.853103662 6656878.74357 228.818893, 272921.0530417282 6656878.992231987 228.813995, 272921.4579137155 6656879.495782206 228.8022, 272921.48147879983 6656879.525139072 228.801605, 272921.5925025963 6656879.664899868 228.798492, 272921.67731249204 6656879.773286708 228.796204, 272922.1325221698 6656880.380740339 228.783295, 272922.310771825 6656880.631324279 228.778107, 272922.7399914161 6656881.267805021 228.765106, 272923.0269020302 6656881.722448527 228.756004, 272923.3023584044 6656882.184122378 228.746902, 272923.39019148616 6656882.337038746 228.743896, 272923.46206680767 6656882.4643798005 228.741394, 272923.5661934458 6656882.652537191 228.737793, 272923.81823607214 6656883.1274038665 228.728699, 272923.8667245495 6656883.222162755 228.726807, 272923.9017377986 6656883.292217816 228.725542, 272926.1164943566 6656882.63092048 228.783401, 272930.49783039634 6656881.599900226 228.918396))</t>
  </si>
  <si>
    <t>2024-04-09</t>
  </si>
  <si>
    <t>[7540]</t>
  </si>
  <si>
    <t>['FV7540 S1D1 m69']</t>
  </si>
  <si>
    <t>LINESTRING (556511.31 7553975.88, 556510.44 7553974.24, 556508.21 7553970.34, 556505.62 7553966.03, 556502.55 7553961.62, 556499.81 7553958.05, 556497.17 7553954.87, 556495.87 7553953.72, 556494.64 7553953.07, 556492.87 7553953.09, 556490.42 7553953.53, 556488.76 7553954.27, 556487.21 7553955.6, 556486.16 7553957.15, 556485.1 7553960.28, 556485 7553963.72, 556485.5 7553966.6, 556486.59 7553969.84, 556488.23 7553972.94, 556490.82 7553977.68, 556493.48 7553982.42, 556495.95 7553987.06, 556498.14 7553991.35, 556500.57 7553995.73, 556503.43 7554000.9, 556504.53 7554002.46, 556506.03 7554003.84, 556508.55 7554004.97, 556511.22 7554006.15, 556513.41 7554006.34, 556515.79 7554005.74, 556517.49 7554004.6, 556519.18 7554002.49, 556520.53 7554000.6, 556521.03 7553999.44, 556520.96 7553997.51, 556520.6 7553995.08, 556519.85 7553993.02, 556517.54 7553988.22, 556515.79 7553984.76, 556511.31 7553975.88)</t>
  </si>
  <si>
    <t>POLYGON ((556511.31 7553975.88, 556510.44 7553974.24, 556508.21 7553970.34, 556505.62 7553966.03, 556502.55 7553961.62, 556499.81 7553958.05, 556497.17 7553954.87, 556495.87 7553953.72, 556494.64 7553953.07, 556492.87 7553953.09, 556490.42 7553953.53, 556488.76 7553954.27, 556487.21 7553955.6, 556486.16 7553957.15, 556485.1 7553960.28, 556485 7553963.72, 556485.5 7553966.6, 556486.59 7553969.84, 556488.23 7553972.94, 556490.82 7553977.68, 556493.48 7553982.42, 556495.95 7553987.06, 556498.14 7553991.35, 556500.57 7553995.73, 556503.43 7554000.9, 556504.53 7554002.46, 556506.03 7554003.84, 556508.55 7554004.97, 556511.22 7554006.15, 556513.41 7554006.34, 556515.79 7554005.74, 556517.49 7554004.6, 556519.18 7554002.49, 556520.53 7554000.6, 556521.03 7553999.44, 556520.96 7553997.51, 556520.6 7553995.08, 556519.85 7553993.02, 556517.54 7553988.22, 556515.79 7553984.76, 556511.31 7553975.88))</t>
  </si>
  <si>
    <t>2025-11-22T09:08:31Z</t>
  </si>
  <si>
    <t>['FV560 S1D1 m4869']</t>
  </si>
  <si>
    <t>LINESTRING Z (-46590.96463425143 6727277.672754844 57.18, -46596.54727675009 6727277.278160876 57.120000000000005, -46597.2447950989 6727278.058847545 57.120000000000005, -46598.22832192504 6727281.334544468 57.120000000000005, -46600.1514198269 6727290.697936231 57.120000000000005, -46601.066107550054 6727297.653888578 57.120000000000005, -46602.621736932895 6727308.70759525 57.120000000000005, -46603.59037757048 6727315.083384785 57.120000000000005, -46603.74464485631 6727318.623737199 57.120000000000005, -46603.81169822207 6727321.299806901 57.120000000000005, -46603.43923914002 6727324.976461424 57.120000000000005, -46602.62398850999 6727328.700243039 57.120000000000005, -46600.588998854044 6727337.325831714 57.120000000000005, -46599.40537640371 6727336.890115637 57.120000000000005, -46599.12806709879 6727335.450731671 57.120000000000005, -46598.094827831956 6727335.584341795 57.120000000000005, -46598.08316874609 6727337.965098208 57.120000000000005, -46598.10846086359 6727338.62775232 57.120000000000005, -46598.4778152348 6727339.573617073 57.120000000000005, -46598.7594384636 6727340.425618979 57.120000000000005, -46598.01038798946 6727342.648451415 57.120000000000005, -46595.47050583572 6727351.190478363 57.120000000000005, -46596.005198574625 6727351.835968179 57.120000000000005, -46611.56179307331 6727345.947225799 57.120000000000005, -46610.605752508156 6727344.155686145 57.120000000000005, -46607.73074598005 6727343.778146871 57.120000000000005, -46606.19327671477 6727341.871640044 57.120000000000005, -46606.605127227376 6727339.457837474 57.120000000000005, -46608.0568663138 6727335.958410828 57.120000000000005, -46611.24720770493 6727329.984668805 57.120000000000005, -46612.867029040935 6727327.351146669 57.120000000000005, -46613.686237010406 6727323.181863844 57.120000000000005, -46613.87938477716 6727317.461652035 57.120000000000005, -46613.84924693627 6727311.952283798 57.120000000000005, -46612.786155514885 6727304.20425359 57.120000000000005, -46611.993011537474 6727299.13138458 57.120000000000005, -46611.11969375319 6727293.215532948 57.120000000000005, -46610.27129385725 6727287.546619373 57.120000000000005, -46609.161125926534 6727281.028591644 57.120000000000005, -46607.36990859045 6727275.080638805 57.120000000000005, -46600.49963358976 6727245.846963403 57.120000000000005, -46592.99638746015 6727213.854929399 57.120000000000005, -46592.05408272543 6727207.158554024 57.120000000000005, -46588.9149261195 6727193.887509323 57.120000000000005, -46586.78803203232 6727184.879734052 57.120000000000005, -46584.441077535506 6727175.363467918 57.120000000000005, -46566.929156158585 6727179.63980539 57.120000000000005, -46569.511675498565 6727189.13963526 57.120000000000005, -46573.69138121558 6727205.0154113695 57.120000000000005, -46576.884667276405 6727217.635350104 57.18, -46581.30382058304 6727236.46572049 57.18, -46585.87028755294 6727255.956215887 57.18, -46590.96463425143 6727277.672754844 57.18)</t>
  </si>
  <si>
    <t>POLYGON Z ((-46590.96463425143 6727277.672754844 57.18, -46596.54727675009 6727277.278160876 57.120000000000005, -46597.2447950989 6727278.058847545 57.120000000000005, -46598.22832192504 6727281.334544468 57.120000000000005, -46600.1514198269 6727290.697936231 57.120000000000005, -46601.066107550054 6727297.653888578 57.120000000000005, -46602.621736932895 6727308.70759525 57.120000000000005, -46603.59037757048 6727315.083384785 57.120000000000005, -46603.74464485631 6727318.623737199 57.120000000000005, -46603.81169822207 6727321.299806901 57.120000000000005, -46603.43923914002 6727324.976461424 57.120000000000005, -46602.62398850999 6727328.700243039 57.120000000000005, -46600.588998854044 6727337.325831714 57.120000000000005, -46599.40537640371 6727336.890115637 57.120000000000005, -46599.12806709879 6727335.450731671 57.120000000000005, -46598.094827831956 6727335.584341795 57.120000000000005, -46598.08316874609 6727337.965098208 57.120000000000005, -46598.10846086359 6727338.62775232 57.120000000000005, -46598.4778152348 6727339.573617073 57.120000000000005, -46598.7594384636 6727340.425618979 57.120000000000005, -46598.01038798946 6727342.648451415 57.120000000000005, -46595.47050583572 6727351.190478363 57.120000000000005, -46596.005198574625 6727351.835968179 57.120000000000005, -46611.56179307331 6727345.947225799 57.120000000000005, -46610.605752508156 6727344.155686145 57.120000000000005, -46607.73074598005 6727343.778146871 57.120000000000005, -46606.19327671477 6727341.871640044 57.120000000000005, -46606.605127227376 6727339.457837474 57.120000000000005, -46608.0568663138 6727335.958410828 57.120000000000005, -46611.24720770493 6727329.984668805 57.120000000000005, -46612.867029040935 6727327.351146669 57.120000000000005, -46613.686237010406 6727323.181863844 57.120000000000005, -46613.87938477716 6727317.461652035 57.120000000000005, -46613.84924693627 6727311.952283798 57.120000000000005, -46612.786155514885 6727304.20425359 57.120000000000005, -46611.993011537474 6727299.13138458 57.120000000000005, -46611.11969375319 6727293.215532948 57.120000000000005, -46610.27129385725 6727287.546619373 57.120000000000005, -46609.161125926534 6727281.028591644 57.120000000000005, -46607.36990859045 6727275.080638805 57.120000000000005, -46600.49963358976 6727245.846963403 57.120000000000005, -46592.99638746015 6727213.854929399 57.120000000000005, -46592.05408272543 6727207.158554024 57.120000000000005, -46588.9149261195 6727193.887509323 57.120000000000005, -46586.78803203232 6727184.879734052 57.120000000000005, -46584.441077535506 6727175.363467918 57.120000000000005, -46566.929156158585 6727179.63980539 57.120000000000005, -46569.511675498565 6727189.13963526 57.120000000000005, -46573.69138121558 6727205.0154113695 57.120000000000005, -46576.884667276405 6727217.635350104 57.18, -46581.30382058304 6727236.46572049 57.18, -46585.87028755294 6727255.956215887 57.18, -46590.96463425143 6727277.672754844 57.18))</t>
  </si>
  <si>
    <t>[20129]</t>
  </si>
  <si>
    <t>['KV20129 S1D1 m30']</t>
  </si>
  <si>
    <t>LINESTRING Z (87561.04225859238 6458599.803293981 6.229, 87567.11928711092 6458602.470079186 6.276, 87576.11875051551 6458606.443394813 6.391, 87573.20226807741 6458613.318359025 6.394, 87573.10767253413 6458613.746316477 6.398000000000001, 87573.19430076896 6458614.085663588 6.4110000000000005, 87573.41023205704 6458614.464776332 6.429, 87573.7307704254 6458614.618255645 6.429, 87578.91313773394 6458616.323659658 6.498, 87580.73083375598 6458624.199572962 6.641, 87577.12856864481 6458632.58845609 6.6450000000000005, 87569.62633332924 6458629.632393482 6.486, 87561.86183876934 6458626.555878135 6.204, 87555.89348044386 6458624.396492441 6.026, 87556.13367380988 6458623.8076524595 6.046, 87556.18508076441 6458623.549544675 6.047, 87556.12901705148 6458623.270849058 6.032, 87555.9317584124 6458623.1234680675 6.043, 87551.72099680617 6458621.426909485 6.117, 87554.5017482604 6458615.003693692 6.1080000000000005, 87559.62864002143 6458603.081361937 6.172, 87561.04225859238 6458599.803293981 6.229)</t>
  </si>
  <si>
    <t>POLYGON Z ((87561.04225859238 6458599.803293981 6.229, 87567.11928711092 6458602.470079186 6.276, 87576.11875051551 6458606.443394813 6.391, 87573.20226807741 6458613.318359025 6.394, 87573.10767253413 6458613.746316477 6.398000000000001, 87573.19430076896 6458614.085663588 6.4110000000000005, 87573.41023205704 6458614.464776332 6.429, 87573.7307704254 6458614.618255645 6.429, 87578.91313773394 6458616.323659658 6.498, 87580.73083375598 6458624.199572962 6.641, 87577.12856864481 6458632.58845609 6.6450000000000005, 87569.62633332924 6458629.632393482 6.486, 87561.86183876934 6458626.555878135 6.204, 87555.89348044386 6458624.396492441 6.026, 87556.13367380988 6458623.8076524595 6.046, 87556.18508076441 6458623.549544675 6.047, 87556.12901705148 6458623.270849058 6.032, 87555.9317584124 6458623.1234680675 6.043, 87551.72099680617 6458621.426909485 6.117, 87554.5017482604 6458615.003693692 6.1080000000000005, 87559.62864002143 6458603.081361937 6.172, 87561.04225859238 6458599.803293981 6.229))</t>
  </si>
  <si>
    <t>2025-02-14</t>
  </si>
  <si>
    <t>[13424]</t>
  </si>
  <si>
    <t>['KV13424 S3D1 m141']</t>
  </si>
  <si>
    <t>LINESTRING Z (263697.52492376 6649301.975297874 25.03, 263722.2088437841 6649271.132292153 25.03)</t>
  </si>
  <si>
    <t>POINT (263709.8668837721 6649286.553795014)</t>
  </si>
  <si>
    <t>['KV13424 S3D1 m392']</t>
  </si>
  <si>
    <t>LINESTRING Z (263855.99548814865 6649103.250837827 25.03, 263876.2579736091 6649077.284650427 25.03)</t>
  </si>
  <si>
    <t>POINT (263866.12673087884 6649090.267744128)</t>
  </si>
  <si>
    <t>['KV13424 S2D1 m285']</t>
  </si>
  <si>
    <t>LINESTRING Z (263716.2763659429 6649639.175512518 25.03, 263662.98297029996 6649596.700708282 25.03)</t>
  </si>
  <si>
    <t>POINT (263689.62966812146 6649617.9381104)</t>
  </si>
  <si>
    <t>2025-02-25</t>
  </si>
  <si>
    <t>[618]</t>
  </si>
  <si>
    <t>['FV618 S1D1 m107 SD1 m49']</t>
  </si>
  <si>
    <t>LINESTRING Z (-12090.408252642606 6904319.492986101 147.909, -12090.85685186612 6904317.243828387 147.956, -12086.063892915845 6904316.175832539 147.758, -12090.870293461718 6904317.155438255 147.953, -12091.392479931528 6904314.70268978 148.037, -12086.686706552515 6904313.7270820765 147.879, -12091.387439332728 6904314.7358360775 148.024, -12091.831339722092 6904312.237269703 148.127, -12087.292049133568 6904311.253066249 147.983, -12091.878211057512 6904312.244397487 148.12, -12092.27019952872 6904309.771849628 148.183, -12087.607595382666 6904308.757589685 148.065, -12092.326141221856 6904309.859486687 148.206, -12092.825816101104 6904307.414619102 148.286, -12088.039730987395 6904306.336364209 148.106, -12092.870505301456 6904307.330980829 148.287, -12093.33573962556 6904304.9373972025 148.359, -12088.627602613997 6904303.837083001 148.169)</t>
  </si>
  <si>
    <t>2025-03-17</t>
  </si>
  <si>
    <t>2025-04-30T11:40:02Z</t>
  </si>
  <si>
    <t>['RV13 S19D1 m1951 SD1 m50']</t>
  </si>
  <si>
    <t>LINESTRING Z (36467.81856450514 6646001.2004367225 268.64, 36473.46756124025 6645992.916394007 268.5, 36481.832152572984 6645980.399570757 268.38, 36487.300548642 6645972.011153147 268.29)</t>
  </si>
  <si>
    <t>POINT (36477.62142563228 6645986.647049516)</t>
  </si>
  <si>
    <t>['RV13 S19D1 m1951 SD1 m53']</t>
  </si>
  <si>
    <t>LINESTRING Z (36466.55110339547 6645990.354077442 268.54, 36470.6789221057 6645984.714622717 268.39, 36478.837503343995 6645972.035337769 268.28000000000003, 36479.935715266445 6645970.496148823 268.3)</t>
  </si>
  <si>
    <t>POINT (36473.33141159586 6645980.485859483)</t>
  </si>
  <si>
    <t>['RV13 S19D1 m1946']</t>
  </si>
  <si>
    <t>LINESTRING Z (36467.81856450514 6646001.2004367225 268.64, 36469.15541295614 6646001.068889935 268.64, 36471.01863965276 6646001.19148115 268.63, 36471.810042193625 6646001.039039898 268.62, 36472.39816341852 6646000.53264061 268.62, 36473.34662626503 6645999.007059187 268.61, 36476.14117479429 6645994.867759548 268.55, 36478.955689908005 6645990.72664572 268.52, 36481.746609846945 6645986.547413456 268.48, 36484.560217939084 6645982.3963167565 268.44, 36487.33298592776 6645978.238865754 268.4, 36488.030939633085 6645977.279595824 268.39, 36488.30414537073 6645976.519974191 268.37, 36488.15442587249 6645975.758521468 268.36, 36487.13893955137 6645973.666545698 268.32, 36487.01644825487 6645972.872421652 268.31, 36487.300548642 6645972.011153147 268.29)</t>
  </si>
  <si>
    <t>POINT (36480.02591456584 6645988.32295825)</t>
  </si>
  <si>
    <t>LINESTRING Z (36466.55110339547 6645990.354077442 268.54, 36465.51197554683 6645989.44193532 268.54, 36462.96995015239 6645987.720188449 268.54, 36462.694064531766 6645987.34263093 268.54, 36462.79028079251 6645986.961457155 268.54, 36463.6307299895 6645985.797990166 268.52, 36466.41348156455 6645981.639631163 268.48, 36469.20349491044 6645977.450415405 268.44, 36472.0071203477 6645973.300225653 268.4, 36474.78896499169 6645969.131883969 268.35, 36475.36530126957 6645968.274256687 268.37, 36475.757377984875 6645968.04738022 268.37, 36476.05777851131 6645968.140870786 268.36, 36478.555334418255 6645969.816330399 268.32, 36479.935715266445 6645970.496148823 268.3)</t>
  </si>
  <si>
    <t>POINT (36469.7233597174 6645978.0569265615)</t>
  </si>
  <si>
    <t>2025-06-12</t>
  </si>
  <si>
    <t>[1519]</t>
  </si>
  <si>
    <t>['FV1519 S3D1 m886']</t>
  </si>
  <si>
    <t>LINESTRING (277030.96835347323 6652125.472423925, 277119.9693773029 6652213.746853082)</t>
  </si>
  <si>
    <t>POINT (277075.4688653881 6652169.609638504)</t>
  </si>
  <si>
    <t>['FV1519 S3D1 m901']</t>
  </si>
  <si>
    <t>LINESTRING (277067.393724573 6652149.065466951, 277106.78661536094 6652188.225205114)</t>
  </si>
  <si>
    <t>POINT (277087.090169967 6652168.645336032)</t>
  </si>
  <si>
    <t>2025-09-05</t>
  </si>
  <si>
    <t>2025-11-22T09:08:35Z</t>
  </si>
  <si>
    <t>['EV6 S31D1 m13561 SD2 m217']</t>
  </si>
  <si>
    <t>LINESTRING Z (278917.5371180144 6756156.598019473 127, 278904.0198216208 6756170.55171267 127, 278907.87514357624 6756175.033237464 127, 278897.04411622 6756185.087323334 127, 278907.278454427 6756199.103866959 127, 278928.7827141792 6756184.102344352 127, 278917.5371180144 6756156.598019473 127)</t>
  </si>
  <si>
    <t>POLYGON Z ((278917.5371180144 6756156.598019473 127, 278904.0198216208 6756170.55171267 127, 278907.87514357624 6756175.033237464 127, 278897.04411622 6756185.087323334 127, 278907.278454427 6756199.103866959 127, 278928.7827141792 6756184.102344352 127, 278917.5371180144 6756156.598019473 127))</t>
  </si>
  <si>
    <t>Sykkelparkering</t>
  </si>
  <si>
    <t>2022-11-04</t>
  </si>
  <si>
    <t>2025-11-22T09:39:20Z</t>
  </si>
  <si>
    <t>[3102]</t>
  </si>
  <si>
    <t>['FV3102 S2D1 m798']</t>
  </si>
  <si>
    <t>LINESTRING Z (240166.07417714442 6575099.638058027 0.0847266092896461, 240165.022100228 6575098.5293580135 0.0847260877490044)</t>
  </si>
  <si>
    <t>POINT (240165.5481386862 6575099.083708021)</t>
  </si>
  <si>
    <t>[319]</t>
  </si>
  <si>
    <t>['FV319 S5D1 m3125']</t>
  </si>
  <si>
    <t>LINESTRING Z (231610.5932155575 6613970.322071837 0.1053185909986496, 231611.83351112896 6613969.871075242 0.1053220331668854)</t>
  </si>
  <si>
    <t>POINT (231611.21336334324 6613970.096573539)</t>
  </si>
  <si>
    <t>[303]</t>
  </si>
  <si>
    <t>['FV303 S1D1 m3597']</t>
  </si>
  <si>
    <t>LINESTRING Z (217190.21531954908 6555379.271433216 0.0394053980708122, 217190.459552411 6555378.406765696 0.0394067503511906)</t>
  </si>
  <si>
    <t>POINT (217190.33743598004 6555378.839099456)</t>
  </si>
  <si>
    <t>['FV303 S1D1 m3776']</t>
  </si>
  <si>
    <t>LINESTRING Z (217362.27811736643 6555423.3269064855 0.0397959016263485, 217363.74350444746 6555423.665254919 0.0397992879152298)</t>
  </si>
  <si>
    <t>POINT (217363.01081090694 6555423.496080702)</t>
  </si>
  <si>
    <t>['FV303 S1D1 m3860']</t>
  </si>
  <si>
    <t>LINESTRING Z (217449.4458323372 6555432.670386111 0.0400064960122108, 217447.4929550654 6555431.769194821 0.0400023013353348)</t>
  </si>
  <si>
    <t>POINT (217448.4693937013 6555432.219790466)</t>
  </si>
  <si>
    <t>['FV303 S1D1 m4921']</t>
  </si>
  <si>
    <t>LINESTRING Z (218254.12638477166 6555833.387907408 0.0418455637991428, 218255.92904537055 6555834.890565924 0.0418496839702129)</t>
  </si>
  <si>
    <t>POINT (218255.0277150711 6555834.139236666)</t>
  </si>
  <si>
    <t>['FV303 S1D1 m5240']</t>
  </si>
  <si>
    <t>LINESTRING Z (218493.39313768054 6556023.830070556 0.0443841330707073, 218494.20097921143 6556025.127145366 0.0443842075765133)</t>
  </si>
  <si>
    <t>POINT (218493.79705844598 6556024.478607961)</t>
  </si>
  <si>
    <t>['FV303 S1D1 m5306']</t>
  </si>
  <si>
    <t>LINESTRING Z (218549.71505687427 6556066.732827379 0.0444173477590084, 218548.85084867413 6556065.341620825 0.0444172434508801)</t>
  </si>
  <si>
    <t>POINT (218549.28295277417 6556066.037224103)</t>
  </si>
  <si>
    <t>['FV303 S1D1 m5589']</t>
  </si>
  <si>
    <t>LINESTRING Z (218778.49848309346 6556156.02076849 0.0446086190640926, 218780.60263188079 6556155.983201947 0.0446108691394329)</t>
  </si>
  <si>
    <t>POINT (218779.55055748712 6556156.001985218)</t>
  </si>
  <si>
    <t>['FV303 S1D1 m6858']</t>
  </si>
  <si>
    <t>LINESTRING Z (220006.86358187912 6556373.6279153135 0.0469121374189854, 220008.17374506715 6556373.240561879 0.0469151847064495)</t>
  </si>
  <si>
    <t>POINT (220007.51866347314 6556373.434238596)</t>
  </si>
  <si>
    <t>['FV303 S1D1 m8204']</t>
  </si>
  <si>
    <t>LINESTRING Z (221102.25763292948 6556874.0352206305 0.0495422519743443, 221103.46034516278 6556874.598714191 0.0495453923940659)</t>
  </si>
  <si>
    <t>POINT (221102.85898904613 6556874.31696741)</t>
  </si>
  <si>
    <t>['FV303 S1D1 m8277']</t>
  </si>
  <si>
    <t>LINESTRING Z (221178.79311566247 6556882.305249096 0.0497371554374695, 221177.83470521902 6556881.816887676 0.0497346222400665)</t>
  </si>
  <si>
    <t>POINT (221178.31391044075 6556882.061068386)</t>
  </si>
  <si>
    <t>['FV303 S1D1 m8749']</t>
  </si>
  <si>
    <t>LINESTRING Z (221604.98808979813 6557082.548588512 0.0508952103555202, 221606.45389549015 6557083.262346348 0.0508993230760098)</t>
  </si>
  <si>
    <t>POINT (221605.72099264414 6557082.905467429)</t>
  </si>
  <si>
    <t>['FV303 S1D1 m9113']</t>
  </si>
  <si>
    <t>LINESTRING Z (221961.51566119562 6557155.981230628 0.0518715679645538, 221962.56803250732 6557156.2066276735 0.0518744923174381)</t>
  </si>
  <si>
    <t>POINT (221962.04184685147 6557156.093929151)</t>
  </si>
  <si>
    <t>['FV303 S1D1 m9193']</t>
  </si>
  <si>
    <t>LINESTRING Z (222044.98243946495 6557152.303703293 0.052071638405323, 222043.57301382622 6557152.059523209 0.0520689710974693)</t>
  </si>
  <si>
    <t>POINT (222044.27772664558 6557152.181613252)</t>
  </si>
  <si>
    <t>['FV303 S1D1 m9405']</t>
  </si>
  <si>
    <t>LINESTRING Z (222253.3604673819 6557179.747973824 0.0524607300758362, 222254.43163036293 6557179.823105963 0.0524626933038235)</t>
  </si>
  <si>
    <t>POINT (222253.8960488724 6557179.785539893)</t>
  </si>
  <si>
    <t>['FV303 S1D1 m9407']</t>
  </si>
  <si>
    <t>LINESTRING Z (222256.00821178564 6557158.4711935185 0.0524529255926609, 222257.0981689585 6557158.508759587 0.0524548999965191)</t>
  </si>
  <si>
    <t>POINT (222256.55319037207 6557158.489976553)</t>
  </si>
  <si>
    <t>['FV303 S1D1 m9890']</t>
  </si>
  <si>
    <t>LINESTRING Z (222657.33986491826 6557238.196755664 0.0532181486487389, 222658.54223529348 6557238.253147489 0.0532203353941441)</t>
  </si>
  <si>
    <t>POINT (222657.94105010587 6557238.224951576)</t>
  </si>
  <si>
    <t>['FV303 S2D1 m543']</t>
  </si>
  <si>
    <t>LINESTRING Z (223859.0197527929 6557021.119642499 0.0552404373884201, 223860.05333243601 6557021.570626363 0.0552425533533096)</t>
  </si>
  <si>
    <t>POINT (223859.53654261446 6557021.3451344315)</t>
  </si>
  <si>
    <t>2023-12-18</t>
  </si>
  <si>
    <t>['FV303 S2D1 m1475']</t>
  </si>
  <si>
    <t>LINESTRING Z (224577.87865848246 6557594.067600923 0.0568650774657726, 224576.9766230451 6557592.714649328 0.0568626634776592)</t>
  </si>
  <si>
    <t>POINT (224577.42764076378 6557593.391125126)</t>
  </si>
  <si>
    <t>['FV303 S2D1 m1627']</t>
  </si>
  <si>
    <t>LINESTRING Z (224673.04760974622 6557714.020701363 0.0571062304079533, 224672.52142282896 6557712.5925847385 0.0571044459939003)</t>
  </si>
  <si>
    <t>POINT (224672.78451628762 6557713.306643051)</t>
  </si>
  <si>
    <t>['FV303 S2D1 m1965']</t>
  </si>
  <si>
    <t>LINESTRING Z (224852.3450827307 6557998.590727434 0.0575951859354973, 224853.1719464453 6557998.928965017 0.0575968660414219)</t>
  </si>
  <si>
    <t>POINT (224852.758514588 6557998.759846225)</t>
  </si>
  <si>
    <t>2024-01-23</t>
  </si>
  <si>
    <t>['FV303 S2D1 m2055']</t>
  </si>
  <si>
    <t>LINESTRING Z (224945.2137048476 6558010.435642486 0.057768389582634, 224944.06737266865 6558009.966077886 0.0577660612761974)</t>
  </si>
  <si>
    <t>POINT (224944.64053875816 6558010.200860186)</t>
  </si>
  <si>
    <t>['FV303 S2D1 m2624']</t>
  </si>
  <si>
    <t>LINESTRING Z (225069.6220864777 6558520.812508509 0.0552110932767391, 225069.6687646435 6558518.76715357 0.0552109517157078)</t>
  </si>
  <si>
    <t>POINT (225069.6454255606 6558519.7898310395)</t>
  </si>
  <si>
    <t>['FV303 S2D1 m4982']</t>
  </si>
  <si>
    <t>LINESTRING Z (226052.3776267686 6560578.356937645 0.0576893016695976, 226052.114533309 6560577.455034759 0.0576884634792805)</t>
  </si>
  <si>
    <t>POINT (226052.2460800388 6560577.905986202)</t>
  </si>
  <si>
    <t>[3160]</t>
  </si>
  <si>
    <t>['FV3160 S1D1 m2214']</t>
  </si>
  <si>
    <t>LINESTRING Z (230893.78667847783 6575684.837693438 0.072235032916069, 230894.83875034848 6575682.770009961 0.0722395703196526)</t>
  </si>
  <si>
    <t>POINT (230894.31271441313 6575683.803851699)</t>
  </si>
  <si>
    <t>2024-08-02</t>
  </si>
  <si>
    <t>['FV303 S5D1 m389 SD1 m45']</t>
  </si>
  <si>
    <t>LINESTRING (232353.4935753444 6572068.276926337, 232350.54073169857 6572071.361858978)</t>
  </si>
  <si>
    <t>POINT (232352.01715352148 6572069.819392657)</t>
  </si>
  <si>
    <t>[2970]</t>
  </si>
  <si>
    <t>['FV2970 S1D1 m2405 SD1 m31']</t>
  </si>
  <si>
    <t>LINESTRING Z (204824.0844386454 6548357.670382108 0.0570692680776119, 204829.64540762146 6548357.294605132 0.0570690706372261)</t>
  </si>
  <si>
    <t>POINT (204826.86492313343 6548357.48249362)</t>
  </si>
  <si>
    <t>2024-11-29</t>
  </si>
  <si>
    <t>['EV18 S2D1 m144 KD3 m195']</t>
  </si>
  <si>
    <t>LINESTRING Z (90616.41 6468336.07 30.05, 90615.9 6468341.83 29.97, 90612.64 6468341.57 30.03, 90612.54000000001 6468342.7 29.990000000000002, 90610.99 6468342.49 30.07, 90611.23 6468336.46 30.03, 90612.85 6468336.54 30.09, 90613.08 6468335.92 29.95, 90616.41 6468336.07 30.05)</t>
  </si>
  <si>
    <t>['FV32 S7D1 m5162']</t>
  </si>
  <si>
    <t>LINESTRING Z (193459.8899993644 6572517.270267852 0.0510107316076756, 193460.1906761612 6572516.649854249 0.0510132499039173)</t>
  </si>
  <si>
    <t>POINT (193460.0403377628 6572516.960061051)</t>
  </si>
  <si>
    <t>[357]</t>
  </si>
  <si>
    <t>['FV357 S1D10 m1195']</t>
  </si>
  <si>
    <t>LINESTRING Z (191052.1759597594 6574014.5455491245 0.0424664653837681, 191052.6269749545 6574013.681431786 0.0424681827425957)</t>
  </si>
  <si>
    <t>POINT (191052.40146735695 6574014.113490455)</t>
  </si>
  <si>
    <t>['FV32 S2D1 m4130']</t>
  </si>
  <si>
    <t>LINESTRING Z (221180.76 6606055.75 116.503, 221179.69 6606055.46 116.593)</t>
  </si>
  <si>
    <t>POINT (221180.225 6606055.605)</t>
  </si>
  <si>
    <t>[310]</t>
  </si>
  <si>
    <t>['FV310 S2D1 m1600']</t>
  </si>
  <si>
    <t>LINESTRING Z (242064.74853898643 6597144.810387574 0.1030005365610123, 242068.20633224232 6597133.573053114 0.1030138432979584)</t>
  </si>
  <si>
    <t>POINT (242066.4774356144 6597139.191720344)</t>
  </si>
  <si>
    <t>['FV3102 S2D1 m1152']</t>
  </si>
  <si>
    <t>LINESTRING Z (240481.49127646087 6575212.668740331 0.0850602239370346, 240480.77736928692 6575211.804330085 0.0850599631667137)</t>
  </si>
  <si>
    <t>POINT (240481.13432287393 6575212.236535208)</t>
  </si>
  <si>
    <t>[3128]</t>
  </si>
  <si>
    <t>['FV3128 S1D1 m429']</t>
  </si>
  <si>
    <t>LINESTRING Z (241335.91025352103 6579349.32051714 0.0866671651601791, 241338.916183243 6579348.568855728 0.086670771241188)</t>
  </si>
  <si>
    <t>POINT (241337.41321838202 6579348.944686434)</t>
  </si>
  <si>
    <t>['FV3128 S1D1 m1169']</t>
  </si>
  <si>
    <t>LINESTRING Z (242044.8799102944 6579136.304591333 0.0875443369150162, 242046.36408878787 6579135.928760626 0.0875461176037788)</t>
  </si>
  <si>
    <t>POINT (242045.62199954112 6579136.116675979)</t>
  </si>
  <si>
    <t>['FV3128 S1D1 m1461']</t>
  </si>
  <si>
    <t>LINESTRING Z (242323.92382744778 6579052.287485988 0.0878897309303284, 242328.207280582 6579051.009663354 0.0878950208425522)</t>
  </si>
  <si>
    <t>POINT (242326.0655540149 6579051.648574671)</t>
  </si>
  <si>
    <t>[309]</t>
  </si>
  <si>
    <t>['FV309 S1D1 m1906']</t>
  </si>
  <si>
    <t>LINESTRING Z (239150.4195290876 6575609.501307082 0.0829429477453232, 239150.81405793078 6575607.603362711 0.0829450264573097)</t>
  </si>
  <si>
    <t>POINT (239150.6167935092 6575608.552334897)</t>
  </si>
  <si>
    <t>['FV309 S2D1 m3865']</t>
  </si>
  <si>
    <t>LINESTRING Z (240118.77092087688 6571451.6487480905 0.0837152078747749, 240119.3533184359 6571450.633565324 0.0837164670228958)</t>
  </si>
  <si>
    <t>POINT (240119.0621196564 6571451.141156707)</t>
  </si>
  <si>
    <t>['FV309 S2D1 m4599']</t>
  </si>
  <si>
    <t>LINESTRING Z (240316.70803215943 6570771.742630221 0.0831844210624695, 240318.19221065388 6570771.141548468 0.0831870809197426)</t>
  </si>
  <si>
    <t>POINT (240317.45012140664 6570771.442089344)</t>
  </si>
  <si>
    <t>[3080]</t>
  </si>
  <si>
    <t>['FV3080 S1D1 m241']</t>
  </si>
  <si>
    <t>LINESTRING Z (236338.85620047804 6562011.096374569 0.075301006436348, 236338.66832671606 6562009.291850007 0.075300894677639)</t>
  </si>
  <si>
    <t>POINT (236338.76226359705 6562010.194112288)</t>
  </si>
  <si>
    <t>[308]</t>
  </si>
  <si>
    <t>['FV308 S5D1 m5884']</t>
  </si>
  <si>
    <t>LINESTRING Z (236567.94034783356 6568937.909514774 0.0776578709483147, 236568.41002466698 6568936.538297555 0.0776598155498505)</t>
  </si>
  <si>
    <t>POINT (236568.17518625027 6568937.223906165)</t>
  </si>
  <si>
    <t>[311]</t>
  </si>
  <si>
    <t>['FV311 S2D1 m1041']</t>
  </si>
  <si>
    <t>LINESTRING Z (240898.45843012707 6579495.06752819 0.0861146748065948, 240901.65223108736 6579494.973570829 0.0861179456114769)</t>
  </si>
  <si>
    <t>POINT (240900.05533060723 6579495.02054951)</t>
  </si>
  <si>
    <t>[3350]</t>
  </si>
  <si>
    <t>['FV3350 S1D1 m1753']</t>
  </si>
  <si>
    <t>LINESTRING Z (197092.81249239098 6555581.911288246 0.0375369600951672, 197093.7138126049 6555580.107710353 0.0375372879207134)</t>
  </si>
  <si>
    <t>POINT (197093.26315249794 6555581.009499299)</t>
  </si>
  <si>
    <t>['FV32 S8D1 m2328']</t>
  </si>
  <si>
    <t>LINESTRING Z (194644.58532682713 6569596.824554454 0.0471765957772732, 194644.7732485634 6569596.147836184 0.0471786893904209)</t>
  </si>
  <si>
    <t>POINT (194644.67928769527 6569596.486195318)</t>
  </si>
  <si>
    <t>['FV32 S8D1 m2565']</t>
  </si>
  <si>
    <t>LINESTRING Z (194676.6216975192 6569358.932748756 0.0478646755218506, 194676.99754477665 6569358.293803741 0.0478669591248035)</t>
  </si>
  <si>
    <t>POINT (194676.80962114793 6569358.61327625)</t>
  </si>
  <si>
    <t>[301]</t>
  </si>
  <si>
    <t>['FV301 S1D1 m1336']</t>
  </si>
  <si>
    <t>LINESTRING Z (214183.7181294855 6555305.2054354735 0.0397198647260666, 214185.20230798004 6555305.431000887 0.0397177413105965)</t>
  </si>
  <si>
    <t>POINT (214184.46021873277 6555305.318218181)</t>
  </si>
  <si>
    <t>['FV303 S6D1 m3316']</t>
  </si>
  <si>
    <t>LINESTRING Z (235218.622146638 6577311.631532572 0.0820914283394814, 235219.97481551731 6577312.308250415 0.0820919722318649)</t>
  </si>
  <si>
    <t>POINT (235219.29848107765 6577311.969891494)</t>
  </si>
  <si>
    <t>['FV303 S1D1 m3546']</t>
  </si>
  <si>
    <t>LINESTRING Z (217135.69002883055 6555379.526865956 0.0392705537378788, 217137.79314294813 6555380.428715442 0.0392749421298504)</t>
  </si>
  <si>
    <t>POINT (217136.74158588934 6555379.977790699)</t>
  </si>
  <si>
    <t>['FV303 S1D1 m4749']</t>
  </si>
  <si>
    <t>LINESTRING Z (218093.21394384233 6555869.756192178 0.041391883045435, 218094.15329751186 6555869.418077115 0.0413946099579334)</t>
  </si>
  <si>
    <t>POINT (218093.6836206771 6555869.587134646)</t>
  </si>
  <si>
    <t>['FV303 S1D1 m6281']</t>
  </si>
  <si>
    <t>LINESTRING Z (219437.0959797011 6556299.450048012 0.0456542931497097, 219437.9980126148 6556299.863276031 0.0456561334431171)</t>
  </si>
  <si>
    <t>POINT (219437.54699615794 6556299.656662021)</t>
  </si>
  <si>
    <t>2022-07-06</t>
  </si>
  <si>
    <t>['FV32 S8D1 m5342']</t>
  </si>
  <si>
    <t>LINESTRING Z (195658.270019531 6566976.62000084 7.54, 195657.939941406 6566976.25 7.53, 195657.629882813 6566975.86000061 7.51)</t>
  </si>
  <si>
    <t>POINT (195657.94456025452 6566976.244542044)</t>
  </si>
  <si>
    <t>[352]</t>
  </si>
  <si>
    <t>['FV352 S1D1 m1685']</t>
  </si>
  <si>
    <t>LINESTRING Z (196307.15066189348 6555655.097105407 0.0366420857608318, 196306.92515429732 6555653.650506726 0.0366413779556751)</t>
  </si>
  <si>
    <t>POINT (196307.0379080954 6555654.373806066)</t>
  </si>
  <si>
    <t>2022-07-26</t>
  </si>
  <si>
    <t>['FV352 S1D1 m1794']</t>
  </si>
  <si>
    <t>LINESTRING (196267.91290854308 6555550.144096843, 196268.03978226177 6555548.822079408)</t>
  </si>
  <si>
    <t>['FV352 S1D1 m4360']</t>
  </si>
  <si>
    <t>LINESTRING Z (197468.72731839947 6553547.548062382 52.455, 197468.63505930663 6553546.2358369585 52.42)</t>
  </si>
  <si>
    <t>2022-07-27</t>
  </si>
  <si>
    <t>['FV352 S1D1 m5265']</t>
  </si>
  <si>
    <t>LINESTRING Z (197803.35442023718 6552727.756868772 23.536, 197803.07525309653 6552729.04251482 23.573)</t>
  </si>
  <si>
    <t>['FV352 S1D1 m5392']</t>
  </si>
  <si>
    <t>LINESTRING Z (197782.86888139613 6552601.103264956 20.917, 197782.83585120685 6552599.80873163 20.897)</t>
  </si>
  <si>
    <t>['FV352 S1D1 m5679']</t>
  </si>
  <si>
    <t>LINESTRING Z (197955.49426589318 6552377.559377371 9.906, 197956.4702877908 6552378.376908591 9.859)</t>
  </si>
  <si>
    <t>[59]</t>
  </si>
  <si>
    <t>['FV59 S1D10 m313']</t>
  </si>
  <si>
    <t>LINESTRING Z (192062 6574359.22 16.417, 192062.15 6574358.76 16.427, 192062.29 6574358.29 16.427)</t>
  </si>
  <si>
    <t>POINT (192062.1479888549 6574358.755932293)</t>
  </si>
  <si>
    <t>['FV352 S1D1 m2590']</t>
  </si>
  <si>
    <t>LINESTRING Z (196478.739990234 6554812.5300293 93.867, 196479.090087891 6554813.73999024 93.827)</t>
  </si>
  <si>
    <t>POINT (196478.9150390625 6554813.135009769)</t>
  </si>
  <si>
    <t>['FV352 S1D1 m2952']</t>
  </si>
  <si>
    <t>LINESTRING Z (196834.55 6554752.11 76.368, 196835.3 6554753.16 76.388)</t>
  </si>
  <si>
    <t>['FV352 S1D1 m2875']</t>
  </si>
  <si>
    <t>LINESTRING Z (196757.29 6554769.92 80.118, 196756.81 6554768.74 80.098)</t>
  </si>
  <si>
    <t>['FV352 S1D1 m3977']</t>
  </si>
  <si>
    <t>LINESTRING Z (197269.33 6553856.01 63.549, 197268.56 6553854.94 63.539)</t>
  </si>
  <si>
    <t>POINT (197268.945 6553855.475)</t>
  </si>
  <si>
    <t>['FV352 S1D1 m4133']</t>
  </si>
  <si>
    <t>LINESTRING Z (197381.56 6553746.47 57.419, 197380.8 6553745.46 57.429)</t>
  </si>
  <si>
    <t>POINT (197381.18 6553745.965)</t>
  </si>
  <si>
    <t>2013-10-23</t>
  </si>
  <si>
    <t>[354]</t>
  </si>
  <si>
    <t>['RV354 S1D1 m3946']</t>
  </si>
  <si>
    <t>LINESTRING Z (195735.72 6559323.03 25.266, 195735.57 6559321.77 25.256)</t>
  </si>
  <si>
    <t>POINT (195735.64500000002 6559322.4)</t>
  </si>
  <si>
    <t>['RV354 S1D1 m3906']</t>
  </si>
  <si>
    <t>LINESTRING Z (195705.08 6559286.55 22.436, 195706.32 6559286.4 22.486)</t>
  </si>
  <si>
    <t>POINT (195705.7 6559286.475)</t>
  </si>
  <si>
    <t>2022-09-08</t>
  </si>
  <si>
    <t>['FV354 S1D1 m2227']</t>
  </si>
  <si>
    <t>LINESTRING Z (195944.97 6562304.2 53.547, 195946.18 6562304.14 53.547)</t>
  </si>
  <si>
    <t>POINT (195945.575 6562304.17)</t>
  </si>
  <si>
    <t>2014-06-12</t>
  </si>
  <si>
    <t>['EV18 S6D10 m48']</t>
  </si>
  <si>
    <t>LINESTRING Z (107102.669921875 6474666.25 92.077, 107105.719970703 6474662.92004395 92.087)</t>
  </si>
  <si>
    <t>POINT (107104.194946289 6474664.5850219745)</t>
  </si>
  <si>
    <t>2015-02-06</t>
  </si>
  <si>
    <t>[410]</t>
  </si>
  <si>
    <t>['FV410 S5D1 m2476']</t>
  </si>
  <si>
    <t>LINESTRING Z (141241.47 6499680.99 13.757, 141242.65 6499683.45 13.757)</t>
  </si>
  <si>
    <t>POINT (141242.06 6499682.220000001)</t>
  </si>
  <si>
    <t>['EV39 S127D1 m40']</t>
  </si>
  <si>
    <t>LINESTRING Z (83414.14 6466773.26 89.91, 83413.85 6466770.86 89.94, 83407.13 6466771 89.85000000000001, 83407.2 6466773.5 89.87, 83414.14 6466773.26 89.91)</t>
  </si>
  <si>
    <t>2015-04-10</t>
  </si>
  <si>
    <t>['FV547 S2D1 m7307']</t>
  </si>
  <si>
    <t>LINESTRING Z (-58393.83 6606493.76 7.475, -58392.87 6606496.36 7.505)</t>
  </si>
  <si>
    <t>POINT (-58393.350000000006 6606495.060000001)</t>
  </si>
  <si>
    <t>['FV32 S7D1 m3060']</t>
  </si>
  <si>
    <t>LINESTRING Z (192850.95426934568 6574511.402481995 0.0447231270372868, 192851.2925320047 6574510.76323555 0.0447251982986927)</t>
  </si>
  <si>
    <t>POINT (192851.12340067516 6574511.082858773)</t>
  </si>
  <si>
    <t>['FV59 S1D10 m841']</t>
  </si>
  <si>
    <t>LINESTRING Z (191532.79109535145 6574206.96817579 0.0426767393946648, 191533.89047408587 6574207.263202553 0.0426774062216282)</t>
  </si>
  <si>
    <t>POINT (191533.34078471866 6574207.1156891715)</t>
  </si>
  <si>
    <t>['FV59 S1D10 m895']</t>
  </si>
  <si>
    <t>LINESTRING Z (191473.97758688737 6574217.902961465 0.0426010489463806, 191475.5561451167 6574218.184834496 0.0426022186875343)</t>
  </si>
  <si>
    <t>POINT (191474.76686600203 6574218.043897981)</t>
  </si>
  <si>
    <t>2015-09-21</t>
  </si>
  <si>
    <t>['EV18 S1D1 m6059']</t>
  </si>
  <si>
    <t>LINESTRING Z (89789.8 6468011.56 10.027, 89791.46 6468005.26 10.017)</t>
  </si>
  <si>
    <t>POINT (89790.63 6468008.41)</t>
  </si>
  <si>
    <t>2024-10-11</t>
  </si>
  <si>
    <t>2025-11-22T09:39:24Z</t>
  </si>
  <si>
    <t>[3116]</t>
  </si>
  <si>
    <t>['FV3116 S1D1 m1044']</t>
  </si>
  <si>
    <t>LINESTRING Z (239220.42814826078 6581610.205670072 0.0867686420679092, 239218.17230718557 6581602.842797032 0.0867721885442734)</t>
  </si>
  <si>
    <t>[4150]</t>
  </si>
  <si>
    <t>['KV4150 S2D1 m242']</t>
  </si>
  <si>
    <t>LINESTRING Z (243686.7311584252 6595002.756006562 0.0998039320111275, 243686.24255989242 6595000.388274755 0.0998063981533051)</t>
  </si>
  <si>
    <t>POINT (243686.48685915882 6595001.572140658)</t>
  </si>
  <si>
    <t>['KV4150 S2D1 m551']</t>
  </si>
  <si>
    <t>LINESTRING Z (243584.73950564442 6594713.322275129 0.1000934019684792, 243582.6353518116 6594710.804211541 0.1000955849885941)</t>
  </si>
  <si>
    <t>POINT (243583.687428728 6594712.063243335)</t>
  </si>
  <si>
    <t>['KV4150 S2D1 m630']</t>
  </si>
  <si>
    <t>LINESTRING Z (243536.15503705508 6594649.500979246 0.1001499742269516, 243535.3284066338 6594648.185735825 0.1001511886715889)</t>
  </si>
  <si>
    <t>POINT (243535.74172184445 6594648.843357535)</t>
  </si>
  <si>
    <t>[3100]</t>
  </si>
  <si>
    <t>['FV3100 S1D1 m854']</t>
  </si>
  <si>
    <t>LINESTRING Z (237262.15490089078 6575932.826122621 0.0801919102668762, 237262.19247362576 6575931.435136014 0.0801931545138359)</t>
  </si>
  <si>
    <t>POINT (237262.17368725827 6575932.130629319)</t>
  </si>
  <si>
    <t>['FV308 S4D1 m1421']</t>
  </si>
  <si>
    <t>LINESTRING Z (238165.76531518012 6576097.692265685 0.0812185853719711, 238167.24949367438 6576098.424811315 0.0812199935317039)</t>
  </si>
  <si>
    <t>POINT (238166.50740442725 6576098.0585385)</t>
  </si>
  <si>
    <t>['FV308 S4D1 m2701']</t>
  </si>
  <si>
    <t>LINESTRING Z (238060.32702720267 6574891.379967634 0.0820566639304161, 238059.81977511256 6574890.515274448 0.0820566862821579)</t>
  </si>
  <si>
    <t>POINT (238060.07340115763 6574890.947621041)</t>
  </si>
  <si>
    <t>2016-08-15</t>
  </si>
  <si>
    <t>[3320]</t>
  </si>
  <si>
    <t>['KV3320 S1D1 m214']</t>
  </si>
  <si>
    <t>LINESTRING Z (253728.90753638 6596220.25283546 -999999, 253700.909419621 6596262.66174761 -999999)</t>
  </si>
  <si>
    <t>[2330]</t>
  </si>
  <si>
    <t>['KV2330 S1D1 m104']</t>
  </si>
  <si>
    <t>LINESTRING Z (254339.437856867 6595685.63297035 -999999, 254362.022487339 6595716.1594489 -999999)</t>
  </si>
  <si>
    <t>[5500]</t>
  </si>
  <si>
    <t>['KV5500 S1D1 m214']</t>
  </si>
  <si>
    <t>LINESTRING Z (268276.369329004 6570984.44849397 -999999, 268298.224936347 6570987.8108951 -999999)</t>
  </si>
  <si>
    <t>['FV32 S7D1 m226']</t>
  </si>
  <si>
    <t>LINESTRING Z (192130.480281575 6576877.86210938 -999999, 192138.814656575 6576868.46940104 -999999, 192146.487573242 6576874.15794271 -999999)</t>
  </si>
  <si>
    <t>POLYGON Z ((192130.480281575 6576877.86210938 -999999, 192138.814656575 6576868.46940104 -999999, 192146.487573242 6576874.15794271 -999999, 192130.480281575 6576877.86210938 -999999))</t>
  </si>
  <si>
    <t>['FV32 S7D1 m254']</t>
  </si>
  <si>
    <t>LINESTRING Z (192106.800073242 6576904.58502604 -999999, 192113.150073242 6576910.93502604 -999999)</t>
  </si>
  <si>
    <t>POINT (192109.97507324198 6576907.76002604)</t>
  </si>
  <si>
    <t>2022-12-16</t>
  </si>
  <si>
    <t>['EV18 S35D110 m64']</t>
  </si>
  <si>
    <t>LINESTRING (226326.18514300993 6569679.870873391, 226330.30781272642 6569682.645550594)</t>
  </si>
  <si>
    <t>POINT (226328.24647786818 6569681.258211993)</t>
  </si>
  <si>
    <t>2017-10-27</t>
  </si>
  <si>
    <t>[170]</t>
  </si>
  <si>
    <t>['FV170 S3D1 m9624']</t>
  </si>
  <si>
    <t>LINESTRING Z (307480.518066406 6644045.69604492 130.381, 307473.594238281 6644043.80102539 130.24)</t>
  </si>
  <si>
    <t>POINT (307477.0561523435 6644044.748535154)</t>
  </si>
  <si>
    <t>2018-01-04</t>
  </si>
  <si>
    <t>[2868]</t>
  </si>
  <si>
    <t>['FV2868 S2D1 m106']</t>
  </si>
  <si>
    <t>LINESTRING Z (236810.19 6679226.46 79.019, 236810.68 6679224 78.999, 236810.71 6679223.96 79.009)</t>
  </si>
  <si>
    <t>POINT (236810.44008144754 6679225.205569965)</t>
  </si>
  <si>
    <t>LINESTRING Z (236815.46 6679224.92 78.969, 236815.02 6679227.4 78.989)</t>
  </si>
  <si>
    <t>POINT (236815.24 6679226.160000001)</t>
  </si>
  <si>
    <t>['RV9 S2D1 m7947']</t>
  </si>
  <si>
    <t>LINESTRING Z (79838.58 6480557.33 161.48, 79837.16 6480560.92 161.48)</t>
  </si>
  <si>
    <t>2018-05-28</t>
  </si>
  <si>
    <t>[6692]</t>
  </si>
  <si>
    <t>['FV6692 S1D1 m1062']</t>
  </si>
  <si>
    <t>LINESTRING Z (271357.438950416 7042477.34437352 2.551, 271358.010523608 7042477.33086078 2.541)</t>
  </si>
  <si>
    <t>POINT (271357.724737012 7042477.33761715)</t>
  </si>
  <si>
    <t>2020-08-07</t>
  </si>
  <si>
    <t>['FV6692 S1D1 m1043']</t>
  </si>
  <si>
    <t>LINESTRING Z (271336.1675078 7042461.13292685 3.171, 271336.73252806 7042461.04968083 3.161)</t>
  </si>
  <si>
    <t>POINT (271336.45001793 7042461.09130384)</t>
  </si>
  <si>
    <t>2018-06-12</t>
  </si>
  <si>
    <t>['RV13 S35D100 m3397']</t>
  </si>
  <si>
    <t>LINESTRING Z (37180.085655895 6751289.52219427 -999999, 37176.3323228587 6751290.09963012 -999999)</t>
  </si>
  <si>
    <t>2018-09-25</t>
  </si>
  <si>
    <t>[2736]</t>
  </si>
  <si>
    <t>['FV2736 S1D10 m21']</t>
  </si>
  <si>
    <t>LINESTRING Z (214029.487988215 6645003.9686616 -999999, 214031.948613215 6645006.1911616 -999999)</t>
  </si>
  <si>
    <t>2025-11-22T09:39:28Z</t>
  </si>
  <si>
    <t>['FV3350 S1D1 m2117']</t>
  </si>
  <si>
    <t>LINESTRING Z (197331.8971133214 6555327.944363216 16.608, 197332.9727055207 6555328.641970221 16.58)</t>
  </si>
  <si>
    <t>['FV3350 S1D1 m2158']</t>
  </si>
  <si>
    <t>LINESTRING Z (197344.9422985022 6555287.314168602 15.776, 197343.8728770301 6555286.54897373 15.799)</t>
  </si>
  <si>
    <t>2019-05-02</t>
  </si>
  <si>
    <t>[12690]</t>
  </si>
  <si>
    <t>['KV12690 S10D1 m361']</t>
  </si>
  <si>
    <t>LINESTRING Z (-31603.6204761867 6734348.40464099 -999999, -31606.2186792597 6734354.2821295 -999999)</t>
  </si>
  <si>
    <t>['KV12690 S10D1 m394']</t>
  </si>
  <si>
    <t>LINESTRING Z (-31593.6817188006 6734317.8820612 -999999, -31596.4564987815 6734325.07126388 -999999)</t>
  </si>
  <si>
    <t>['KV12690 S10D1 m344']</t>
  </si>
  <si>
    <t>LINESTRING Z (-31611.3747650894 6734366.6924621 -999999, -31612.7588953528 6734369.86442728 -999999)</t>
  </si>
  <si>
    <t>2022-07-13</t>
  </si>
  <si>
    <t>[3360]</t>
  </si>
  <si>
    <t>['FV3360 S1D1 m427']</t>
  </si>
  <si>
    <t>LINESTRING Z (191739.88123402873 6551302.83512473 16.16, 191739.0829202208 6551301.881658522 16.158)</t>
  </si>
  <si>
    <t>['FV3350 S1D1 m449']</t>
  </si>
  <si>
    <t>LINESTRING Z (196399.5928656325 6556635.895948211 11.545, 196399.964891357 6556637.09649975 11.557)</t>
  </si>
  <si>
    <t>2019-12-20</t>
  </si>
  <si>
    <t>['FV2532 S4D20 m1337']</t>
  </si>
  <si>
    <t>LINESTRING Z (243929.484485607 6822885.85624156 -999999, 243928.693849983 6822886.54804773 -999999, 243935.018934969 6822891.88483819 -999999, 243933.931810987 6822892.97196217 -999999)</t>
  </si>
  <si>
    <t>POINT (243931.95942506831 6822889.379499869)</t>
  </si>
  <si>
    <t>['EV18 S3D1 m1154']</t>
  </si>
  <si>
    <t>LINESTRING Z (93990.84 6468025.07 10.88, 93991.11 6468022.51 10.93, 93987.4 6468022.12 10.96, 93987.04000000001 6468024.68 11.09, 93990.84 6468025.07 10.88)</t>
  </si>
  <si>
    <t>['EV18 S3D115 m85']</t>
  </si>
  <si>
    <t>LINESTRING Z (93798.22 6467933.3 14.07, 93795.64 6467932.74 14.06, 93793.9 6467938.88 13.790000000000001, 93796.48 6467939.65 14.01, 93798.22 6467933.3 14.07)</t>
  </si>
  <si>
    <t>2021-01-25</t>
  </si>
  <si>
    <t>[1832]</t>
  </si>
  <si>
    <t>['KV1832 S2D10 m20']</t>
  </si>
  <si>
    <t>LINESTRING Z (-34343.7241178745 6572358.38401872 -999999, -34328.6695581206 6572360.70951982 -999999)</t>
  </si>
  <si>
    <t>2021-01-26</t>
  </si>
  <si>
    <t>[1737]</t>
  </si>
  <si>
    <t>['KV1737 S2D1 m30']</t>
  </si>
  <si>
    <t>LINESTRING Z (-30829.0478176661 6572364.79095067 -999999, -30826.365123744 6572369.941723 -999999)</t>
  </si>
  <si>
    <t>2021-04-28</t>
  </si>
  <si>
    <t>[6504]</t>
  </si>
  <si>
    <t>['FV6504 S1D1 m362']</t>
  </si>
  <si>
    <t>LINESTRING Z (234006.94 6994999.96 160.06, 234011.37 6995001.3 160.13)</t>
  </si>
  <si>
    <t>POINT (234009.155 6995000.63)</t>
  </si>
  <si>
    <t>2021-08-03</t>
  </si>
  <si>
    <t>[390]</t>
  </si>
  <si>
    <t>['KV390 S1D105 m655']</t>
  </si>
  <si>
    <t>LINESTRING Z (-34684.11158643069 6570225.901724615 60.02, -34685.28005960386 6570225.453262624 59.99)</t>
  </si>
  <si>
    <t>POINT (-34684.695823017275 6570225.67749362)</t>
  </si>
  <si>
    <t>2022-01-27</t>
  </si>
  <si>
    <t>[515]</t>
  </si>
  <si>
    <t>['FV515 S1D1 m3 SD1 m65']</t>
  </si>
  <si>
    <t>LINESTRING Z (-40788.37818234763 6625787.816996846 -8.782, -40794.578153000446 6625788.319856185 -8.672)</t>
  </si>
  <si>
    <t>POINT (-40791.47816767404 6625788.068426516)</t>
  </si>
  <si>
    <t>['FV515 S1D1 m3 SD1 m208']</t>
  </si>
  <si>
    <t>LINESTRING Z (-40788.25932010298 6625789.3129570875 -8.782, -40794.448015097296 6625789.814183369 -8.672)</t>
  </si>
  <si>
    <t>POINT (-40791.35366760014 6625789.563570228)</t>
  </si>
  <si>
    <t>2022-02-03</t>
  </si>
  <si>
    <t>[47]</t>
  </si>
  <si>
    <t>['FV47 S1D167 m30']</t>
  </si>
  <si>
    <t>LINESTRING Z (-50805.29750371119 6626874.889198566 22.28, -50804.10197897372 6626873.0783849545 22.71)</t>
  </si>
  <si>
    <t>POINT (-50804.699741342454 6626873.98379176)</t>
  </si>
  <si>
    <t>['FV47 S1D167 m34']</t>
  </si>
  <si>
    <t>LINESTRING Z (-50806.62038608559 6626877.960613318 22.27, -50805.63007817359 6626875.88637977 22.31)</t>
  </si>
  <si>
    <t>POINT (-50806.12523212959 6626876.923496544)</t>
  </si>
  <si>
    <t>2022-02-24</t>
  </si>
  <si>
    <t>['RV13 S10D1 m31 SD1 m50']</t>
  </si>
  <si>
    <t>LINESTRING Z (-3104.369061645353 6602707.36588003 2.42, -3100.4346276280703 6602703.91851188 2.25)</t>
  </si>
  <si>
    <t>POINT (-3102.4018446367118 6602705.642195955)</t>
  </si>
  <si>
    <t>['RV13 S8D100 m2409']</t>
  </si>
  <si>
    <t>LINESTRING Z (-3178.0161002970417 6599495.486753988 4, -3172.930762850505 6599495.804047156 3.92)</t>
  </si>
  <si>
    <t>POINT (-3175.4734315737733 6599495.6454005735)</t>
  </si>
  <si>
    <t>[162]</t>
  </si>
  <si>
    <t>['RV162 S1D1 m3665']</t>
  </si>
  <si>
    <t>LINESTRING (261834.1998215081 6649924.860045101, 261829.26854305252 6649931.183594865)</t>
  </si>
  <si>
    <t>POINT (261831.73418228028 6649928.021819983)</t>
  </si>
  <si>
    <t>['RV162 S1D1 m3674']</t>
  </si>
  <si>
    <t>LINESTRING (261827.70171014214 6649933.123832924, 261824.38565557828 6649937.091138678)</t>
  </si>
  <si>
    <t>POINT (261826.0436828602 6649935.107485801)</t>
  </si>
  <si>
    <t>['RV162 S1D1 m3636']</t>
  </si>
  <si>
    <t>LINESTRING (261850.24217128172 6649903.156926177, 261848.66020838084 6649905.15444478)</t>
  </si>
  <si>
    <t>POINT (261849.45118983128 6649904.155685479)</t>
  </si>
  <si>
    <t>2022-05-19</t>
  </si>
  <si>
    <t>['EV6 S7D10 m127']</t>
  </si>
  <si>
    <t>LINESTRING (258850.68240662102 6590770.859105739, 258852.86778217365 6590770.98635627, 258855.13816008548 6590770.650608536)</t>
  </si>
  <si>
    <t>POINT (258852.915362969 6590770.869374639)</t>
  </si>
  <si>
    <t>['FV3350 S1D1 m447']</t>
  </si>
  <si>
    <t>LINESTRING Z (196394.43677581951 6556625.693142938 11.541, 196394.04095728794 6556624.483299515 11.568)</t>
  </si>
  <si>
    <t>['FV3350 S1D1 m125']</t>
  </si>
  <si>
    <t>LINESTRING Z (196145.66198290093 6556768.806769564 14.72, 196144.86004309187 6556769.809918055 14.677)</t>
  </si>
  <si>
    <t>2022-12-13</t>
  </si>
  <si>
    <t>['EV18 S41D120 m174']</t>
  </si>
  <si>
    <t>LINESTRING (237117.69861828303 6596305.991443191, 237117.50895288523 6596302.72724088)</t>
  </si>
  <si>
    <t>POINT (237117.60378558413 6596304.359342035)</t>
  </si>
  <si>
    <t>['EV18 S35D1 m523 SD2 m111']</t>
  </si>
  <si>
    <t>LINESTRING (226374.2395533662 6569709.506678583, 226378.37314744142 6569712.434156991)</t>
  </si>
  <si>
    <t>POINT (226376.3063504038 6569710.970417786)</t>
  </si>
  <si>
    <t>2023-01-25</t>
  </si>
  <si>
    <t>2025-11-22T09:39:32Z</t>
  </si>
  <si>
    <t>['RV4 S1D1 m3586 KD1 m88']</t>
  </si>
  <si>
    <t>LINESTRING (267461.07377243426 6652468.321263162, 267466.819591468 6652468.296726229)</t>
  </si>
  <si>
    <t>POINT (267463.9466819512 6652468.308994696)</t>
  </si>
  <si>
    <t>2023-02-17</t>
  </si>
  <si>
    <t>[1900]</t>
  </si>
  <si>
    <t>['FV1900 S4D1 m4426']</t>
  </si>
  <si>
    <t>LINESTRING Z (300722.926551966 6748572.30024443 228.70000000000002, 300724.1090406083 6748571.375795243 228.70000000000002, 300728.0662495163 6748576.46245496 228.70000000000002, 300726.88376091793 6748577.386904157 228.70000000000002, 300722.926551966 6748572.30024443 228.70000000000002)</t>
  </si>
  <si>
    <t>POLYGON Z ((300722.926551966 6748572.30024443 228.70000000000002, 300724.1090406083 6748571.375795243 228.70000000000002, 300728.0662495163 6748576.46245496 228.70000000000002, 300726.88376091793 6748577.386904157 228.70000000000002, 300722.926551966 6748572.30024443 228.70000000000002))</t>
  </si>
  <si>
    <t>['FV1900 S4D1 m4431']</t>
  </si>
  <si>
    <t>LINESTRING Z (300806.12332142505 6748536.8804663895 225.43, 300804.97039373475 6748535.92049694 225.43, 300809.09227044275 6748530.963227957 225.43, 300810.24519808893 6748531.9231974175 225.43, 300806.12332142505 6748536.8804663895 225.43)</t>
  </si>
  <si>
    <t>POLYGON Z ((300806.12332142505 6748536.8804663895 225.43, 300804.97039373475 6748535.92049694 225.43, 300809.09227044275 6748530.963227957 225.43, 300810.24519808893 6748531.9231974175 225.43, 300806.12332142505 6748536.8804663895 225.43))</t>
  </si>
  <si>
    <t>2023-03-29</t>
  </si>
  <si>
    <t>[73251]</t>
  </si>
  <si>
    <t>['PV73251 S1D1 m79']</t>
  </si>
  <si>
    <t>LINESTRING Z (264252.0285338365 6652262.558764859 107.66, 264252.0212871212 6652262.589564303 107.66, 264251.95606741094 6652262.977274799 107.65, 264251.8808839227 6652263.476406713 107.65, 264251.794830001 6652263.966480055 107.65, 264251.7196465165 6652264.465611972 107.65, 264251.6335925987 6652264.955685316 107.65, 264251.55750318797 6652265.4448527265 107.64, 264251.4723552041 6652265.944890577 107.64, 264251.39626579697 6652266.43405799 107.64, 264251.311117817 6652266.934095839 107.64, 264251.2350284138 6652267.423263254 107.64, 264251.1489745076 6652267.913336602 107.64, 264251.0737910386 6652268.412468524 107.63, 264250.9877371362 6652268.902541874 107.63, 264250.91255367105 6652269.401673797 107.63, 264250.82649977226 6652269.891747144 107.63, 264250.7513163113 6652270.390879071 107.63, 264250.66526241624 6652270.880952421 107.62, 264250.58917302854 6652271.370119841 107.62, 264250.51398957334 6652271.869251768 107.62, 264250.4279356841 6652272.359325122 107.62, 264250.3527522329 6652272.85845705 107.62, 264250.2666983474 6652273.348530403 107.61, 264250.22321880737 6652273.643842573 107.61, 264250.21506616427 6652273.6646775175 107.61, 264251.3473982414 6652273.853089831 107.61, 264251.3555508848 6652273.832254889 107.61, 264251.3990304236 6652273.536942722 107.61, 264251.4841783766 6652273.036904869 107.62, 264251.56026775704 6652272.5477374485 107.62, 264251.6463216447 6652272.0576641 107.62, 264251.72150509834 6652271.558532177 107.62, 264251.8075589896 6652271.06845883 107.62, 264251.8827424471 6652270.569326909 107.63, 264251.96879634244 6652270.079253564 107.63, 264252.0439798039 6652269.580121645 107.63, 264252.13003370294 6652269.090048301 107.63, 264252.20612309873 6652268.600880888 107.63, 264252.29127107107 6652268.100843039 107.64, 264252.3673604707 6652267.6116756275 107.64, 264252.452508447 6652267.111637779 107.64, 264252.5285978506 6652266.6224703705 107.64, 264252.6146517611 6652266.1323970305 107.64, 264252.68983523804 6652265.633265117 107.64, 264252.77588915237 6652265.143191779 107.65, 264252.8510726334 6652264.644059867 107.65, 264252.93712655146 6652264.15398653 107.65, 264253.0123100367 6652263.654854619 107.65, 264253.0983639585 6652263.164781283 107.65, 264253.16267773724 6652262.767106284 107.66, 264253.16086587723 6652262.747177273 107.66, 264252.0285338365 6652262.558764859 107.66)</t>
  </si>
  <si>
    <t>POLYGON Z ((264252.0285338365 6652262.558764859 107.66, 264252.0212871212 6652262.589564303 107.66, 264251.95606741094 6652262.977274799 107.65, 264251.8808839227 6652263.476406713 107.65, 264251.794830001 6652263.966480055 107.65, 264251.7196465165 6652264.465611972 107.65, 264251.6335925987 6652264.955685316 107.65, 264251.55750318797 6652265.4448527265 107.64, 264251.4723552041 6652265.944890577 107.64, 264251.39626579697 6652266.43405799 107.64, 264251.311117817 6652266.934095839 107.64, 264251.2350284138 6652267.423263254 107.64, 264251.1489745076 6652267.913336602 107.64, 264251.0737910386 6652268.412468524 107.63, 264250.9877371362 6652268.902541874 107.63, 264250.91255367105 6652269.401673797 107.63, 264250.82649977226 6652269.891747144 107.63, 264250.7513163113 6652270.390879071 107.63, 264250.66526241624 6652270.880952421 107.62, 264250.58917302854 6652271.370119841 107.62, 264250.51398957334 6652271.869251768 107.62, 264250.4279356841 6652272.359325122 107.62, 264250.3527522329 6652272.85845705 107.62, 264250.2666983474 6652273.348530403 107.61, 264250.22321880737 6652273.643842573 107.61, 264250.21506616427 6652273.6646775175 107.61, 264251.3473982414 6652273.853089831 107.61, 264251.3555508848 6652273.832254889 107.61, 264251.3990304236 6652273.536942722 107.61, 264251.4841783766 6652273.036904869 107.62, 264251.56026775704 6652272.5477374485 107.62, 264251.6463216447 6652272.0576641 107.62, 264251.72150509834 6652271.558532177 107.62, 264251.8075589896 6652271.06845883 107.62, 264251.8827424471 6652270.569326909 107.63, 264251.96879634244 6652270.079253564 107.63, 264252.0439798039 6652269.580121645 107.63, 264252.13003370294 6652269.090048301 107.63, 264252.20612309873 6652268.600880888 107.63, 264252.29127107107 6652268.100843039 107.64, 264252.3673604707 6652267.6116756275 107.64, 264252.452508447 6652267.111637779 107.64, 264252.5285978506 6652266.6224703705 107.64, 264252.6146517611 6652266.1323970305 107.64, 264252.68983523804 6652265.633265117 107.64, 264252.77588915237 6652265.143191779 107.65, 264252.8510726334 6652264.644059867 107.65, 264252.93712655146 6652264.15398653 107.65, 264253.0123100367 6652263.654854619 107.65, 264253.0983639585 6652263.164781283 107.65, 264253.16267773724 6652262.767106284 107.66, 264253.16086587723 6652262.747177273 107.66, 264252.0285338365 6652262.558764859 107.66))</t>
  </si>
  <si>
    <t>['PV73251 S1D1 m94']</t>
  </si>
  <si>
    <t>LINESTRING Z (264254.0811413198 6652249.994408954 107.71000000000001, 264254.07298867265 6652250.015243892 107.71000000000001, 264254.0539663052 6652250.137535741 107.71000000000001, 264253.96881826106 6652250.637573568 107.7, 264253.8927287949 6652251.126740963 107.7, 264253.8075807544 6652251.626778789 107.7, 264253.7314912919 6652252.115946182 107.7, 264253.6463432554 6652252.615984012 107.7, 264253.57025379664 6652253.105151406 107.69, 264253.4841998349 6652253.595224733 107.69, 264253.4090163092 6652254.094356634 107.69, 264253.32296235126 6652254.584429963 107.69, 264253.24777882977 6652255.083561867 107.69, 264253.16172487556 6652255.573635196 107.68, 264253.1508551597 6652255.675092105 107.68, 264253.1427025134 6652255.6959270425 107.68, 264254.2849990366 6652255.883433592 107.68, 264254.28228124825 6652255.853540076 107.68, 264254.3040213983 6652255.761141742 107.68, 264254.3792049162 6652255.262009842 107.69, 264254.4652588708 6652254.77193652 107.69, 264254.541348322 6652254.282769125 107.69, 264254.62649635103 6652253.782731297 107.69, 264254.7025858063 6652253.293563907 107.69, 264254.78773383907 6652252.793526082 107.7, 264254.86382329825 6652252.304358692 107.7, 264254.948971335 6652251.804320868 107.7, 264255.02506079787 6652251.315153479 107.7, 264255.1111147675 6652250.825080161 107.7, 264255.1862983051 6652250.325948269 107.71000000000001, 264255.205320672 6652250.203656421 107.71000000000001, 264255.2125673902 6652250.172856977 107.71000000000001, 264254.0811413198 6652249.994408954 107.71000000000001)</t>
  </si>
  <si>
    <t>POLYGON Z ((264254.0811413198 6652249.994408954 107.71000000000001, 264254.07298867265 6652250.015243892 107.71000000000001, 264254.0539663052 6652250.137535741 107.71000000000001, 264253.96881826106 6652250.637573568 107.7, 264253.8927287949 6652251.126740963 107.7, 264253.8075807544 6652251.626778789 107.7, 264253.7314912919 6652252.115946182 107.7, 264253.6463432554 6652252.615984012 107.7, 264253.57025379664 6652253.105151406 107.69, 264253.4841998349 6652253.595224733 107.69, 264253.4090163092 6652254.094356634 107.69, 264253.32296235126 6652254.584429963 107.69, 264253.24777882977 6652255.083561867 107.69, 264253.16172487556 6652255.573635196 107.68, 264253.1508551597 6652255.675092105 107.68, 264253.1427025134 6652255.6959270425 107.68, 264254.2849990366 6652255.883433592 107.68, 264254.28228124825 6652255.853540076 107.68, 264254.3040213983 6652255.761141742 107.68, 264254.3792049162 6652255.262009842 107.69, 264254.4652588708 6652254.77193652 107.69, 264254.541348322 6652254.282769125 107.69, 264254.62649635103 6652253.782731297 107.69, 264254.7025858063 6652253.293563907 107.69, 264254.78773383907 6652252.793526082 107.7, 264254.86382329825 6652252.304358692 107.7, 264254.948971335 6652251.804320868 107.7, 264255.02506079787 6652251.315153479 107.7, 264255.1111147675 6652250.825080161 107.7, 264255.1862983051 6652250.325948269 107.71000000000001, 264255.205320672 6652250.203656421 107.71000000000001, 264255.2125673902 6652250.172856977 107.71000000000001, 264254.0811413198 6652249.994408954 107.71000000000001))</t>
  </si>
  <si>
    <t>['PV73251 S1D1 m12']</t>
  </si>
  <si>
    <t>LINESTRING Z (264241.01096345356 6652330.120946761 106.83, 264241.0028108191 6652330.141781708 106.83, 264240.9258157252 6652330.620984701 106.82000000000001, 264240.8506325047 6652331.120116713 106.81, 264240.76457884465 6652331.610190154 106.81, 264240.6893956281 6652332.109322164 106.8, 264240.60334197176 6652332.599395604 106.79, 264240.5272528231 6652333.088563108 106.78, 264240.44210510666 6652333.588601058 106.78, 264240.3660159621 6652334.077768568 106.77, 264240.28086824936 6652334.577806516 106.76, 264240.20477910864 6652335.066974028 106.76, 264240.11963139975 6652335.567011977 106.75, 264240.04354226275 6652336.056179488 106.74000000000001, 264239.95748862193 6652336.546252934 106.73, 264239.8823054249 6652337.045384954 106.73, 264239.82886152825 6652337.341603111 106.72, 264239.83067340095 6652337.361532124 106.72, 264240.9630056887 6652337.549943868 106.72, 264240.9711583217 6652337.529108919 106.72, 264241.0146377116 6652337.233796702 106.73, 264241.09978541266 6652336.733758753 106.73, 264241.1758745463 6652336.244591246 106.74000000000001, 264241.26102225133 6652335.744553297 106.75, 264241.3371113889 6652335.255385795 106.76, 264241.42225909774 6652334.755347846 106.76, 264241.49834823905 6652334.266180343 106.77, 264241.58440188796 6652333.776106903 106.78, 264241.6595850971 6652333.276974896 106.78, 264241.7456387497 6652332.786901458 106.79, 264241.8208219628 6652332.287769451 106.8, 264241.90687561926 6652331.797696015 106.81, 264241.98296477186 6652331.3085285155 106.81, 264242.0681124964 6652330.808490573 106.82000000000001, 264242.14510758873 6652330.329287583 106.83, 264242.14238978195 6652330.299394066 106.83, 264241.01096345356 6652330.120946761 106.83)</t>
  </si>
  <si>
    <t>POLYGON Z ((264241.01096345356 6652330.120946761 106.83, 264241.0028108191 6652330.141781708 106.83, 264240.9258157252 6652330.620984701 106.82000000000001, 264240.8506325047 6652331.120116713 106.81, 264240.76457884465 6652331.610190154 106.81, 264240.6893956281 6652332.109322164 106.8, 264240.60334197176 6652332.599395604 106.79, 264240.5272528231 6652333.088563108 106.78, 264240.44210510666 6652333.588601058 106.78, 264240.3660159621 6652334.077768568 106.77, 264240.28086824936 6652334.577806516 106.76, 264240.20477910864 6652335.066974028 106.76, 264240.11963139975 6652335.567011977 106.75, 264240.04354226275 6652336.056179488 106.74000000000001, 264239.95748862193 6652336.546252934 106.73, 264239.8823054249 6652337.045384954 106.73, 264239.82886152825 6652337.341603111 106.72, 264239.83067340095 6652337.361532124 106.72, 264240.9630056887 6652337.549943868 106.72, 264240.9711583217 6652337.529108919 106.72, 264241.0146377116 6652337.233796702 106.73, 264241.09978541266 6652336.733758753 106.73, 264241.1758745463 6652336.244591246 106.74000000000001, 264241.26102225133 6652335.744553297 106.75, 264241.3371113889 6652335.255385795 106.76, 264241.42225909774 6652334.755347846 106.76, 264241.49834823905 6652334.266180343 106.77, 264241.58440188796 6652333.776106903 106.78, 264241.6595850971 6652333.276974896 106.78, 264241.7456387497 6652332.786901458 106.79, 264241.8208219628 6652332.287769451 106.8, 264241.90687561926 6652331.797696015 106.81, 264241.98296477186 6652331.3085285155 106.81, 264242.0681124964 6652330.808490573 106.82000000000001, 264242.14510758873 6652330.329287583 106.83, 264242.14238978195 6652330.299394066 106.83, 264241.01096345356 6652330.120946761 106.83))</t>
  </si>
  <si>
    <t>2023-10-20</t>
  </si>
  <si>
    <t>[2831]</t>
  </si>
  <si>
    <t>['KV2831 S1D20 m641']</t>
  </si>
  <si>
    <t>LINESTRING (332126.99870644684 6676563.361122142, 332130.1061239764 6676561.290668837)</t>
  </si>
  <si>
    <t>[97594]</t>
  </si>
  <si>
    <t>['PV97594 S1D1 m41']</t>
  </si>
  <si>
    <t>LINESTRING (332078.41244830587 6676577.95227561, 332085.19831923104 6676573.652405341)</t>
  </si>
  <si>
    <t>POINT (332081.80538376846 6676575.802340476)</t>
  </si>
  <si>
    <t>2023-11-23</t>
  </si>
  <si>
    <t>['EV10 S4D1 m6683 SD1 m130']</t>
  </si>
  <si>
    <t>LINESTRING Z (428589.77 7555414.51 3.6, 428592.05 7555413.61 3.73)</t>
  </si>
  <si>
    <t>POINT (428590.91000000003 7555414.0600000005)</t>
  </si>
  <si>
    <t>2023-11-29</t>
  </si>
  <si>
    <t>['RV9 S1D1 m9776']</t>
  </si>
  <si>
    <t>LINESTRING Z (84655.91 6474663.82 11.41, 84657.6 6474663.65 11.35, 84657.35 6474657.7 11.38, 84655.62 6474657.66 11.31, 84655.91 6474663.82 11.41)</t>
  </si>
  <si>
    <t>POLYGON Z ((84655.91 6474663.82 11.41, 84657.6 6474663.65 11.35, 84657.35 6474657.7 11.38, 84655.62 6474657.66 11.31, 84655.91 6474663.82 11.41))</t>
  </si>
  <si>
    <t>2024-02-01</t>
  </si>
  <si>
    <t>[163]</t>
  </si>
  <si>
    <t>['RV163 S1D1 m8226']</t>
  </si>
  <si>
    <t>LINESTRING Z (271841.9408092371 6653247.802586155 140.29, 271838.86128945055 6653248.513627957 140.33, 271839.26170246006 6653250.270890795 140.33, 271842.3505216705 6653249.549190017 140.29, 271841.9408092371 6653247.802586155 140.29)</t>
  </si>
  <si>
    <t>POLYGON Z ((271841.9408092371 6653247.802586155 140.29, 271838.86128945055 6653248.513627957 140.33, 271839.26170246006 6653250.270890795 140.33, 271842.3505216705 6653249.549190017 140.29, 271841.9408092371 6653247.802586155 140.29))</t>
  </si>
  <si>
    <t>['RV163 S1D1 m5369 KD4 m47']</t>
  </si>
  <si>
    <t>LINESTRING Z (269352.20200818905 6652419.438770334 123.60000000000001, 269350.9755305748 6652420.7558535235 123.60000000000001, 269353.48650327604 6652423.069312483 123.62, 269354.70301675366 6652421.753135215 123.62, 269352.20200818905 6652419.438770334 123.60000000000001)</t>
  </si>
  <si>
    <t>POLYGON Z ((269352.20200818905 6652419.438770334 123.60000000000001, 269350.9755305748 6652420.7558535235 123.60000000000001, 269353.48650327604 6652423.069312483 123.62, 269354.70301675366 6652421.753135215 123.62, 269352.20200818905 6652419.438770334 123.60000000000001))</t>
  </si>
  <si>
    <t>2024-03-04</t>
  </si>
  <si>
    <t>['RV4 S2D1 m734']</t>
  </si>
  <si>
    <t>LINESTRING Z (272926.13 6656878.01 228.8, 272926.89 6656880.92 228.79, 272928.34 6656880.54 228.62, 272927.58 6656877.63 228.84, 272926.13 6656878.01 228.8)</t>
  </si>
  <si>
    <t>POLYGON Z ((272926.13 6656878.01 228.8, 272926.89 6656880.92 228.79, 272928.34 6656880.54 228.62, 272927.58 6656877.63 228.84, 272926.13 6656878.01 228.8))</t>
  </si>
  <si>
    <t>['RV4 S2D1 m638']</t>
  </si>
  <si>
    <t>LINESTRING Z (272893.06 6656788.72 226.09, 272894.5 6656788.29 226.24, 272893.65 6656785.42 226.19, 272892.21 6656785.84 226.1, 272893.06 6656788.72 226.09)</t>
  </si>
  <si>
    <t>POLYGON Z ((272893.06 6656788.72 226.09, 272894.5 6656788.29 226.24, 272893.65 6656785.42 226.19, 272892.21 6656785.84 226.1, 272893.06 6656788.72 226.09))</t>
  </si>
  <si>
    <t>2024-05-29</t>
  </si>
  <si>
    <t>[426]</t>
  </si>
  <si>
    <t>['RV426 S2D1 m52']</t>
  </si>
  <si>
    <t>LINESTRING Z (-23472.58226101211 6515208.794890883 13.204, -23471.363555842603 6515209.694509714 13.214, -23469.59240382508 6515207.280768468 13.19, -23470.79588010756 6515206.404957915 13.166, -23472.58226101211 6515208.794890883 13.204)</t>
  </si>
  <si>
    <t>POLYGON Z ((-23472.58226101211 6515208.794890883 13.204, -23471.363555842603 6515209.694509714 13.214, -23469.59240382508 6515207.280768468 13.19, -23470.79588010756 6515206.404957915 13.166, -23472.58226101211 6515208.794890883 13.204))</t>
  </si>
  <si>
    <t>2024-10-10</t>
  </si>
  <si>
    <t>[17852]</t>
  </si>
  <si>
    <t>['KV17852 S1D1 m432']</t>
  </si>
  <si>
    <t>LINESTRING Z (265990.85798763286 6649089.716420869 92.28, 265990.8715725456 6649089.865886559 92.27, 265990.92681996804 6649090.363199857 92.24, 265990.9313482725 6649090.413021754 92.24, 265990.9376878988 6649090.482772409 92.23, 265991.0327865145 6649091.308004562 92.2, 265991.10524150217 6649091.994641064 92.21000000000001, 265991.11158112914 6649092.0643917145 92.21000000000001, 265991.27010553493 6649092.03993676 92.21000000000001, 265991.52917939296 6649092.016389574 92.21000000000001, 265991.64875194273 6649092.005521643 92.21000000000001, 265991.9368132765 6649091.969293094 92.21000000000001, 265992.23483898805 6649091.932158883 92.21000000000001, 265992.4141978116 6649091.915856986 92.22, 265992.91151110316 6649091.860609556 92.25, 265993.1506561996 6649091.838873692 92.25, 265993.4287531508 6649091.803550806 92.2, 265993.86628016457 6649091.7537373435 92.21000000000001, 265994.2041633875 6649091.712980493 92.27, 265994.90076424927 6649091.639619844 92.25, 265995.4777925615 6649091.577127131 92.24, 265995.85553329514 6649091.532747635 92.24, 265996.0249277344 6649091.517351396 92.26, 265996.4225972241 6649091.47116058 92.31, 265997.2378649565 6649091.376967627 92.27, 265997.3375087433 6649091.367911017 92.26, 265997.79496450035 6649091.316286234 92.32000000000001, 265998.044073966 6649091.293644712 92.3, 265998.7497335236 6649091.2094140295 92.26, 265998.829448552 6649091.202168743 92.26, 265998.9689498516 6649091.1894894885 92.26, 265999.3466905744 6649091.145109995 92.26, 265999.79418194544 6649091.094390874 92.28, 266000.1619582876 6649091.050917045 92.36, 266000.8286659803 6649090.980273386 92.33, 266001.17651356244 6649090.938610877 92.31, 266001.44555177796 6649090.914158033 92.27, 266001.6149462098 6649090.8987618 92.27, 266002.3405345032 6649090.812719799 92.36, 266002.4999645554 6649090.798229224 92.36, 266002.6684533246 6649090.772868613 92.36, 266003.3550897601 6649090.700413637 92.31, 266003.5543773235 6649090.682300419 92.3, 266003.702937335 6649090.658751125 92.32000000000001, 266004.2401080933 6649090.599881062 92.37, 266004.6875994466 6649090.549161946 92.38, 266004.7673144711 6649090.541916661 92.39, 266005.16498393216 6649090.495725849 92.39, 266005.09977002675 6649090.10983209 92.36, 266005.09433606185 6649090.050045819 92.36, 266004.9802122577 6649089.347103285 92.35000000000001, 266004.9675330075 6649089.207601991 92.36, 266004.92496273364 6649088.96030386 92.38, 266004.9068474091 6649088.8715301175 92.38, 266004.8253316168 6649088.306277552 92.37, 266004.38780464174 6649088.356091 92.36, 266004.36787588557 6649088.35790232 92.36, 266003.0734123848 6649088.485602582 92.32000000000001, 266003.05348362844 6649088.487413904 92.32000000000001, 266002.3269896769 6649088.563491511 92.35000000000001, 266001.6793050875 6649088.622359456 92.34, 266001.4800175206 6649088.640472669 92.35000000000001, 266001.3115287494 6649088.6658332795 92.35000000000001, 266001.08234804694 6649088.686663476 92.35000000000001, 266000.584129127 6649088.731946511 92.36, 266000.37578284077 6649088.760929763 92.35000000000001, 265999.6284544558 6649088.828854318 92.36, 265999.50888191373 6649088.839722245 92.36, 265999.3702862754 6649088.862365876 92.35000000000001, 265998.702672913 6649088.9230451435 92.33, 265998.3149678089 6649088.968330292 92.34, 265997.93632142124 6649089.002745399 92.34, 265997.7868557417 6649089.016330311 92.34, 265997.4091150134 6649089.060709796 92.34, 265996.8511098061 6649089.1114268005 92.33, 265996.5521784441 6649089.138596621 92.33, 265996.1744377119 6649089.18297611 92.31, 265995.8157200754 6649089.215579899 92.32000000000001, 265995.1888698696 6649089.282600904 92.31, 265995.13904797536 6649089.287129208 92.31, 265995.1091548387 6649089.289846191 92.31, 265995.03940418677 6649089.296185818 92.31, 265994.4424471138 6649089.360489842 92.3, 265994.13355136686 6649089.388565327 92.32000000000001, 265993.555617387 6649089.4410936525 92.31, 265993.4369504998 6649089.461925963 92.3, 265992.98855344375 6649089.5026806975 92.29, 265992.67965769325 6649089.530756183 92.29, 265992.05280747154 6649089.597777192 92.28, 265991.69408982294 6649089.6303809825 92.28, 265991.5654585548 6649089.652118953 92.28, 265991.28645593824 6649089.677477457 92.28, 265990.85798763286 6649089.716420869 92.28)</t>
  </si>
  <si>
    <t>POLYGON Z ((265990.85798763286 6649089.716420869 92.28, 265990.8715725456 6649089.865886559 92.27, 265990.92681996804 6649090.363199857 92.24, 265990.9313482725 6649090.413021754 92.24, 265990.9376878988 6649090.482772409 92.23, 265991.0327865145 6649091.308004562 92.2, 265991.10524150217 6649091.994641064 92.21000000000001, 265991.11158112914 6649092.0643917145 92.21000000000001, 265991.27010553493 6649092.03993676 92.21000000000001, 265991.52917939296 6649092.016389574 92.21000000000001, 265991.64875194273 6649092.005521643 92.21000000000001, 265991.9368132765 6649091.969293094 92.21000000000001, 265992.23483898805 6649091.932158883 92.21000000000001, 265992.4141978116 6649091.915856986 92.22, 265992.91151110316 6649091.860609556 92.25, 265993.1506561996 6649091.838873692 92.25, 265993.4287531508 6649091.803550806 92.2, 265993.86628016457 6649091.7537373435 92.21000000000001, 265994.2041633875 6649091.712980493 92.27, 265994.90076424927 6649091.639619844 92.25, 265995.4777925615 6649091.577127131 92.24, 265995.85553329514 6649091.532747635 92.24, 265996.0249277344 6649091.517351396 92.26, 265996.4225972241 6649091.47116058 92.31, 265997.2378649565 6649091.376967627 92.27, 265997.3375087433 6649091.367911017 92.26, 265997.79496450035 6649091.316286234 92.32000000000001, 265998.044073966 6649091.293644712 92.3, 265998.7497335236 6649091.2094140295 92.26, 265998.829448552 6649091.202168743 92.26, 265998.9689498516 6649091.1894894885 92.26, 265999.3466905744 6649091.145109995 92.26, 265999.79418194544 6649091.094390874 92.28, 266000.1619582876 6649091.050917045 92.36, 266000.8286659803 6649090.980273386 92.33, 266001.17651356244 6649090.938610877 92.31, 266001.44555177796 6649090.914158033 92.27, 266001.6149462098 6649090.8987618 92.27, 266002.3405345032 6649090.812719799 92.36, 266002.4999645554 6649090.798229224 92.36, 266002.6684533246 6649090.772868613 92.36, 266003.3550897601 6649090.700413637 92.31, 266003.5543773235 6649090.682300419 92.3, 266003.702937335 6649090.658751125 92.32000000000001, 266004.2401080933 6649090.599881062 92.37, 266004.6875994466 6649090.549161946 92.38, 266004.7673144711 6649090.541916661 92.39, 266005.16498393216 6649090.495725849 92.39, 266005.09977002675 6649090.10983209 92.36, 266005.09433606185 6649090.050045819 92.36, 266004.9802122577 6649089.347103285 92.35000000000001, 266004.9675330075 6649089.207601991 92.36, 266004.92496273364 6649088.96030386 92.38, 266004.9068474091 6649088.8715301175 92.38, 266004.8253316168 6649088.306277552 92.37, 266004.38780464174 6649088.356091 92.36, 266004.36787588557 6649088.35790232 92.36, 266003.0734123848 6649088.485602582 92.32000000000001, 266003.05348362844 6649088.487413904 92.32000000000001, 266002.3269896769 6649088.563491511 92.35000000000001, 266001.6793050875 6649088.622359456 92.34, 266001.4800175206 6649088.640472669 92.35000000000001, 266001.3115287494 6649088.6658332795 92.35000000000001, 266001.08234804694 6649088.686663476 92.35000000000001, 266000.584129127 6649088.731946511 92.36, 266000.37578284077 6649088.760929763 92.35000000000001, 265999.6284544558 6649088.828854318 92.36, 265999.50888191373 6649088.839722245 92.36, 265999.3702862754 6649088.862365876 92.35000000000001, 265998.702672913 6649088.9230451435 92.33, 265998.3149678089 6649088.968330292 92.34, 265997.93632142124 6649089.002745399 92.34, 265997.7868557417 6649089.016330311 92.34, 265997.4091150134 6649089.060709796 92.34, 265996.8511098061 6649089.1114268005 92.33, 265996.5521784441 6649089.138596621 92.33, 265996.1744377119 6649089.18297611 92.31, 265995.8157200754 6649089.215579899 92.32000000000001, 265995.1888698696 6649089.282600904 92.31, 265995.13904797536 6649089.287129208 92.31, 265995.1091548387 6649089.289846191 92.31, 265995.03940418677 6649089.296185818 92.31, 265994.4424471138 6649089.360489842 92.3, 265994.13355136686 6649089.388565327 92.32000000000001, 265993.555617387 6649089.4410936525 92.31, 265993.4369504998 6649089.461925963 92.3, 265992.98855344375 6649089.5026806975 92.29, 265992.67965769325 6649089.530756183 92.29, 265992.05280747154 6649089.597777192 92.28, 265991.69408982294 6649089.6303809825 92.28, 265991.5654585548 6649089.652118953 92.28, 265991.28645593824 6649089.677477457 92.28, 265990.85798763286 6649089.716420869 92.28))</t>
  </si>
  <si>
    <t>2024-12-19</t>
  </si>
  <si>
    <t>['EV18 S14D1 m5005 SD1 m189']</t>
  </si>
  <si>
    <t>LINESTRING Z (134143.59261874156 6497527.221397739 54.932, 134143.11928920972 6497528.6211276315 54.928)</t>
  </si>
  <si>
    <t>POINT (134143.35595397564 6497527.921262685)</t>
  </si>
  <si>
    <t>2024-12-23</t>
  </si>
  <si>
    <t>[5214]</t>
  </si>
  <si>
    <t>['KV5214 S3D100 m139']</t>
  </si>
  <si>
    <t>LINESTRING (220745.1377404877 6840462.106763003, 220756.85265100677 6840467.660124386)</t>
  </si>
  <si>
    <t>POINT (220750.99519574727 6840464.883443695)</t>
  </si>
  <si>
    <t>2025-05-08</t>
  </si>
  <si>
    <t>2025-11-22T09:39:36Z</t>
  </si>
  <si>
    <t>[4582]</t>
  </si>
  <si>
    <t>['FV4582 S1D1 m183']</t>
  </si>
  <si>
    <t>LINESTRING Z (-32783.34998574166 6573961.426531612 44.335, -32783.862158312 6573962.886081098 44.364)</t>
  </si>
  <si>
    <t>POINT (-32783.60607202683 6573962.156306354)</t>
  </si>
  <si>
    <t>2025-05-22</t>
  </si>
  <si>
    <t>[1776]</t>
  </si>
  <si>
    <t>['FV1776 S1D50 m122']</t>
  </si>
  <si>
    <t>LINESTRING Z (279772.9895033366 6756585.128401691 138.05, 279775.6482290102 6756583.3372309655 138.02, 279775.41788919584 6756583.016784026 138.04, 279772.75824923604 6756584.797992028 138.05, 279772.9895033366 6756585.128401691 138.05)</t>
  </si>
  <si>
    <t>POLYGON Z ((279772.9895033366 6756585.128401691 138.05, 279775.6482290102 6756583.3372309655 138.02, 279775.41788919584 6756583.016784026 138.04, 279772.75824923604 6756584.797992028 138.05, 279772.9895033366 6756585.128401691 138.05))</t>
  </si>
  <si>
    <t>['FV1776 S1D50 m127']</t>
  </si>
  <si>
    <t>LINESTRING Z (279776.391935566 6756582.354738469 138.02, 279776.6132269341 6756582.686062407 138.02, 279779.13796014746 6756580.967467974 138.01, 279778.92846006167 6756580.655155206 138.01, 279776.391935566 6756582.354738469 138.02)</t>
  </si>
  <si>
    <t>POLYGON Z ((279776.391935566 6756582.354738469 138.02, 279776.6132269341 6756582.686062407 138.02, 279779.13796014746 6756580.967467974 138.01, 279778.92846006167 6756580.655155206 138.01, 279776.391935566 6756582.354738469 138.02))</t>
  </si>
  <si>
    <t>['FV1776 S1D50 m118']</t>
  </si>
  <si>
    <t>LINESTRING Z (279769.3929250073 6756587.538110124 138.08, 279771.95842346334 6756585.825821108 138.06, 279771.7371320791 6756585.494497165 138.06, 279769.1725478915 6756587.2167489 138.08, 279769.3929250073 6756587.538110124 138.08)</t>
  </si>
  <si>
    <t>POLYGON Z ((279769.3929250073 6756587.538110124 138.08, 279771.95842346334 6756585.825821108 138.06, 279771.7371320791 6756585.494497165 138.06, 279769.1725478915 6756587.2167489 138.08, 279769.3929250073 6756587.538110124 138.08))</t>
  </si>
  <si>
    <t>['FV1776 S1D50 m106']</t>
  </si>
  <si>
    <t>LINESTRING Z (279771.4724294824 6756612.825511422 138.72, 279771.76345998136 6756613.150435366 138.72, 279774.0768641659 6756611.099602072 138.72, 279773.7858336776 6756610.774678132 138.72, 279771.4724294824 6756612.825511422 138.72)</t>
  </si>
  <si>
    <t>POLYGON Z ((279771.4724294824 6756612.825511422 138.72, 279771.76345998136 6756613.150435366 138.72, 279774.0768641659 6756611.099602072 138.72, 279773.7858336776 6756610.774678132 138.72, 279771.4724294824 6756612.825511422 138.72))</t>
  </si>
  <si>
    <t>2025-09-29</t>
  </si>
  <si>
    <t>[10069]</t>
  </si>
  <si>
    <t>['KV10069 S1D1 m348']</t>
  </si>
  <si>
    <t>LINESTRING Z (261952.94440112912 6649405.454703704 14.18, 261954.12755169213 6649406.928183 14.3, 261955.40141361745 6649408.555902854 14.41, 261958.00969591792 6649411.81724498 14.6, 261958.94292420076 6649413.006959529 14.65, 261959.38024987403 6649412.656346055 14.64, 261959.22787355076 6649412.185469684 14.56, 261958.89223129276 6649409.170420603 14.44, 261958.8067819687 6649408.504491358 14.42, 261958.663919403 6649408.173332363 14.41, 261958.53057058342 6649407.981890746 14.4, 261958.2672707111 6649407.648906574 14.38, 261956.50422359907 6649405.462957669 14.23, 261956.0082428505 6649404.804930464 14.200000000000001, 261955.13170920667 6649403.711616212 14.14, 261952.94440112912 6649405.454703704 14.18)</t>
  </si>
  <si>
    <t>POLYGON Z ((261952.94440112912 6649405.454703704 14.18, 261954.12755169213 6649406.928183 14.3, 261955.40141361745 6649408.555902854 14.41, 261958.00969591792 6649411.81724498 14.6, 261958.94292420076 6649413.006959529 14.65, 261959.38024987403 6649412.656346055 14.64, 261959.22787355076 6649412.185469684 14.56, 261958.89223129276 6649409.170420603 14.44, 261958.8067819687 6649408.504491358 14.42, 261958.663919403 6649408.173332363 14.41, 261958.53057058342 6649407.981890746 14.4, 261958.2672707111 6649407.648906574 14.38, 261956.50422359907 6649405.462957669 14.23, 261956.0082428505 6649404.804930464 14.200000000000001, 261955.13170920667 6649403.711616212 14.14, 261952.94440112912 6649405.454703704 14.18))</t>
  </si>
  <si>
    <t>['KV10069 S1D1 m262']</t>
  </si>
  <si>
    <t>LINESTRING Z (261905.2644211029 6649335.280319045 13.68, 261903.00886471002 6649336.757348848 13.68, 261902.64463804194 6649338.917706778 13.72, 261902.9914268459 6649339.004380087 13.71, 261904.34848548842 6649341.117714245 13.73, 261907.83253075866 6649338.8351553185 13.72, 261905.2644211029 6649335.280319045 13.68)</t>
  </si>
  <si>
    <t>POLYGON Z ((261905.2644211029 6649335.280319045 13.68, 261903.00886471002 6649336.757348848 13.68, 261902.64463804194 6649338.917706778 13.72, 261902.9914268459 6649339.004380087 13.71, 261904.34848548842 6649341.117714245 13.73, 261907.83253075866 6649338.8351553185 13.72, 261905.2644211029 6649335.280319045 13.68))</t>
  </si>
  <si>
    <t>Grøntanlegg</t>
  </si>
  <si>
    <t>2021-10-12</t>
  </si>
  <si>
    <t>2025-11-22T09:45:24Z</t>
  </si>
  <si>
    <t>['FV660 S6D1 m4608-4764']</t>
  </si>
  <si>
    <t>LINESTRING Z (144147.941714542 6977206.6480671 -999999, 144159.039536165 6977222.89844877 -999999, 144171.920936263 6977238.35612889 -999999, 144186.189564065 6977252.03023053 -999999, 144204.818050361 6977266.6952091 -999999, 144231.373552103 6977282.94559077 -999999, 144268.035998537 6977305.14123401 -999999)</t>
  </si>
  <si>
    <t>POLYGON ((144158.62663567398 6977223.180429593, 144158.65542552515 6977223.218540969, 144171.53682562316 6977238.676221089, 144171.57498358143 6977238.7171229925, 144185.84361138343 6977252.391224632, 144185.88028426186 6977252.423099468, 144204.50877055788 6977267.088078039, 144204.5570679258 6977267.121692591, 144231.1125696678 6977283.372074261, 144231.1146062353 6977283.373313855, 144267.7770526693 6977305.568957096, 144268.2949444047 6977304.713510925, 144231.63351767272 6977282.518485017, 144205.10417219665 6977266.284109421, 144186.5179556095 6977251.6524070045, 144172.2871136902 6977238.014516835, 144159.4389529338 6977222.596723925, 144148.354615033 6977206.366086277, 144147.52881405098 6977206.930047923, 144158.62663567398 6977223.180429593))</t>
  </si>
  <si>
    <t>2024-09-02</t>
  </si>
  <si>
    <t>2025-11-22T09:45:25Z</t>
  </si>
  <si>
    <t>['EV6 S91D1 m4789-9636']</t>
  </si>
  <si>
    <t>LINESTRING Z (331573.52 7113309.17 57.33, 331584.69 7113311.15 57.47, 331593.44 7113311.9 57.27, 331601.03 7113311.69 57.24, 331613.99 7113310 57.02, 331621.77 7113308.27 56.620000000000005, 331633.96 7113304.71 56.480000000000004, 331643.64 7113300.78 56.26, 331652.9 7113296.94 56.1, 331669.32 7113289.39 55.65, 331683.41 7113281.99 55.42, 331698.69 7113274.33 55.1, 331717.22 7113265.12 54.86, 331736.49 7113256.46 54.59, 331748.63 7113251.66 54.61, 331768.05 7113244.99 54.61, 331782.45 7113241.28 54.59, 331795.81 7113238.58 54.59, 331804.16 7113236.72 54.730000000000004, 331807.38 7113236.27 54.74, 331810.58 7113235.84 54.730000000000004, 331814.12 7113235.45 54.72, 331817.64 7113235.09 54.7, 331826.22 7113234.21 54.7, 331830.11 7113233.84 54.67, 331834 7113233.51 54.63, 331837.77 7113233.22 54.58, 331841.55 7113232.9 54.52, 331844.89 7113232.68 54.46, 331848.21 7113232.48 54.4, 331851.55 7113232.28 54.34, 331854.96 7113232.16 54.26, 331861.79 7113231.91 54.14, 331865.64 7113231.82 54.06, 331876.36 7113231.55 53.910000000000004, 331879.45 7113231.48 53.870000000000005, 331882.55 7113231.43 53.83, 331889.16 7113231.36 53.75, 331892.61 7113231.33 53.7, 331896.06 7113231.31 53.65, 331899.54 7113231.3 53.6, 331910.24 7113231.14 53.44, 331919.9 7113231.33 52.97, 331932.69 7113231.65 53, 331953.35 7113232.69 52.72, 331979.56 7113235.17 52.52, 332000.34 7113238.91 52.29, 332006.94 7113240.64 52.17, 332018.94 7113244.29 52.03, 332029.56 7113248.28 51.63, 332041.08 7113253.35 51.34, 332053.72 7113259.86 50.94, 332067.6 7113267.14 50.32, 332082.29 7113275.97 49.52, 332090.69 7113280.76 49.18, 332100.13 7113285.83 48.82, 332109.38 7113290.49 48.38, 332116.52 7113293.87 48.44, 332122.25 7113296.39 48.32, 332133.96 7113301.3 48.17, 332136.65 7113302.34 48.13, 332154.28 7113307.35 47.7, 332161.45 7113308.84 47.58, 332173.36 7113311.21 47.76, 332187.59 7113313.57 47.85, 332201.55 7113315.24 47.89, 332217.05 7113317.04 48.09, 332235.34 7113319.04 48.34, 332253.98 7113321.05 48.4, 332275.27 7113323.25 48.32, 332294.3 7113325.4 48.08, 332315.22 7113327.83 47.83, 332335.85 7113330.1 47.300000000000004, 332358.47 7113332.75 46.800000000000004, 332379.19 7113335.11 46.33, 332389.36 7113336.41 46.21, 332394.88 7113337.12 46.14, 332414.02 7113339.31 45.58, 332423.97 7113340.51 45.230000000000004, 332432.66 7113341.69 45.08, 332436.35 7113342.19 45.01, 332450.22 7113343.95 44.480000000000004, 332463.8 7113345.98 44.050000000000004, 332472.48 7113347.52 43.56, 332480.42 7113349.12 43.28, 332487.48 7113351.07 43.01, 332493.74 7113352.83 42.74, 332499.84 7113354.76 42.53, 332505.98 7113356.78 42.21, 332512.15 7113359.05 42.09, 332517.71 7113361.36 41.800000000000004, 332523.48 7113364.13 41.59, 332531.55 7113368.17 41.12, 332542.91 7113374.24 40.51, 332558.04 7113382.28 39.68, 332569.06 7113388.78 39.03, 332583.07 7113396.64 38.34, 332594.21 7113403.16 37.81, 332603.7 7113408.5 37.230000000000004, 332613.99 7113414.41 36.67, 332624.61 7113420.6 36.28, 332632.3 7113425.18 35.96, 332641.8 7113430.89 35.62, 332652.23 7113437.32 34.99, 332661.44 7113443.29 34.59, 332668.79 7113448.37 34.12, 332679.92 7113456.35 33.5, 332691.56 7113465.32 32.93, 332702.32 7113474.04 32.660000000000004, 332716.7 7113486.54 32.09, 332728.96 7113497.26 31.69, 332740.55 7113507.78 31.28, 332750.77 7113517.74 30.79, 332760.81 7113527.3 30.650000000000002, 332766.72 7113533.46 30.46, 332780.13 7113546.05 30.05, 332800.11 7113565.55 29.38, 332820.15 7113585.2 28.55, 332837.6 7113602.12 28.3, 332851.28 7113615.45 27.84, 332866.29 7113630.03 27.43, 332884.48 7113647.68 27.42, 332898.88 7113661.86 27.32, 332910.48 7113673.02 27.63, 332925.92 7113687.96 27.84, 332934.66 7113696.43 27.89, 332937.04 7113698.72 27.86, 332944.27 7113705.68 28.17, 332949.51 7113710.96 28.36, 332960.83 7113721.67 28.580000000000002, 332971.93 7113732.51 28.64, 332977.2 7113738.3 28.7, 332985.52 7113746.34 28.89, 332993.61 7113754.18 28.96, 333001.17 7113761.52 28.95, 333003.62 7113763.88 28.94, 333010.9 7113770.86 28.91, 333015.72 7113775.46 28.91, 333023.19 7113782.61 28.88, 333031.14 7113790.24 28.830000000000002, 333038.5 7113797.27 28.82, 333043.22 7113801.77 28.8, 333047.31 7113805.67 28.67, 333054.26 7113812.34 28.51, 333062.25 7113819.98 28.47, 333070.22 7113827.64 28.490000000000002, 333072.93 7113830.23 28.51, 333081.1 7113838.02 28.44, 333088.69 7113845.29 28.14, 333096.02 7113852.26 28.13, 333103.61 7113859.5 28.11, 333111.31 7113866.89 27.93, 333119.01 7113874.25 27.79, 333121.25 7113876.37 27.85, 333129.88 7113884.1 27.78, 333130.55 7113884.71 27.77, 333137.38 7113891.07 27.63, 333149.28 7113902.79 27.32, 333160.12 7113913.52 27.37, 333170.52 7113923.53 27.330000000000002, 333180.33 7113933.21 27.25, 333184.36 7113937.18 27.22, 333195.2 7113947.53 27.36, 333211.89 7113963.64 27.46, 333228.6 7113979.53 27.59, 333247.54 7113997.82 27.68, 333261.23 7114011.07 27.740000000000002, 333280.62 7114029.45 27.62, 333288.16 7114036.91 27.8, 333298.6 7114046.94 27.86, 333310.58 7114058.29 27.94, 333323.14 7114070.26 28.04, 333337.98 7114084.43 28.14, 333355.31 7114101.14 28.26, 333378.81 7114123.87 28.18, 333392.57 7114138.26 28.01, 333394.79 7114140.7 27.97, 333401.34 7114147.92 27.85, 333406.33 7114153.64 27.7, 333410.3 7114158.28 27.54, 333414.85 7114163.9 27.37, 333420.24 7114170.77 27.11, 333426.07 7114178.04 26.94, 333430.41 7114183.83 26.7, 333438.39 7114195.03 26.46, 333444.16 7114204.02 26.36, 333453.42 7114218.88 26.19, 333461.76 7114233.31 25.97, 333470.54 7114249.98 25.8, 333477.72 7114264.74 25.76, 333485.12 7114281.22 25.68, 333492 7114296.84 25.71, 333493.09 7114299.41 25.71, 333498.01 7114310.97 25.76, 333500.75 7114317.25 25.8, 333505.49 7114328.11 25.88, 333512.69 7114345.07 26.05, 333521.55 7114365.43 26.52, 333529.14 7114381.26 27.22, 333536.02 7114394.93 27.96, 333540.17 7114402.29 28.29, 333546.2 7114412.11 28.76, 333552.46 7114421.84 29.23, 333557.55 7114429.07 29.57, 333564.69 7114438.61 30, 333568.35 7114443.26 30.18, 333574.53 7114450.46 30.43, 333583.58 7114461.05 30.990000000000002, 333590.26 7114468.33 31.21, 333599.09 7114477.44 31.53, 333605.35 7114483.84 31.71, 333605.88 7114484.37 31.720000000000002, 333616 7114494.43 31.94, 333623.07 7114501.23 32.07, 333632.67 7114510.44 32.19, 333643.4 7114520.53 32.26, 333654.21 7114530.75 32.34, 333659.41 7114535.66 32.29, 333664.46 7114540.42 32.24, 333678.44 7114553.53 32.29, 333686.92 7114561.52 32.3, 333691.16 7114565.52 32.31, 333692.47 7114566.75 32.31, 333705.51 7114579.05 32.37, 333717.79 7114590.53 32.37, 333733.22 7114605.14 32.35, 333745.7 7114616.8 32.52, 333760.3 7114630.6 32.62, 333774.8 7114644.3 32.72, 333789.4 7114658 32.82, 333803.9 7114671.7 33.02, 333818.5 7114685.5 33.12, 333827.7 7114694.2 33.12, 333840.92 7114705.98 33.22, 333855 7114719.6 33.32, 333869.83 7114733.02 33.42, 333884.59 7114746.13 33.52, 333899.55 7114759.03 33.62, 333915.45 7114772.09 33.82, 333930.83 7114784.27 33.92, 333947.13 7114796.44 34.02, 333964.27 7114808.31 34.12, 333980.16 7114818.95 34.22, 334000.63 7114831.67 34.22, 334014.4 7114839.5 34.32, 334031.9 7114849 34.32, 334041.16 7114853.58 34.32, 334049.9 7114857.9 34.32, 334068 7114866.4 34.22, 334086.3 7114874.4 34.22, 334104.9 7114881.8 34.12, 334123.6 7114888.7 34.02, 334142.6 7114895 33.82, 334161.8 7114900.8 33.72, 334181.1 7114906.1 33.62, 334200.5 7114910.8 33.52, 334220.1 7114914.9 33.42, 334239.8 7114918.5 33.32, 334251.8 7114920.4 33.22, 334269.4 7114922.8 33.12, 334289.3 7114925.1 32.92, 334302.3 7114926.3 32.92, 334319.2 7114927.8 32.82, 334329.1 7114928.5 32.82, 334339.1 7114929.2 32.82, 334359 7114930.4 32.92, 334369.1 7114931 32.92, 334389 7114932.1 33.12, 334409 7114933.3 33.42, 334428.9 7114934.4 33.72, 334448.9 7114935.5 34.22, 334458.9 7114936 34.42, 334477.34 7114937.08 34.92, 334488.8 7114937.8 35.32, 334501.02 7114938.44 35.52, 334508.8 7114939 35.92, 334528.8 7114940.5 36.72, 334538.7 7114941.2 37.12, 334556.7 7114942.8 37.92, 334568.6 7114944.1 38.42, 334578.5 7114945.2 38.92, 334598.3 7114947.9 39.92, 334618.1 7114951.1 41.02, 334637.7 7114954.7 42.22, 334657.3 7114958.9 43.52, 334676.7 7114963.4 44.82, 334696.1 7114968.5 46.22, 334715.3 7114974 47.52, 334734.4 7114979.9 48.82, 334753.3 7114986.4 50.22, 334772.1 7114993.3 51.52, 334790.7 7115000.7 52.82, 334809.1 7115008.5 54.120000000000005, 334821.1 7115013.9 55.02, 334836.3 7115021 56.120000000000005, 334854.4 7115029.8 57.52, 334872.2 7115038.8 58.82, 334898.9 7115052.6 60.82, 334916.6 7115061.7 62.120000000000005, 334934.4 7115070.8 63.52, 334943.3 7115075.4 64.12, 334955.2 7115081.5 65.02, 334970.1 7115089.2 66.12, 334987.7 7115098.3 67.52, 335005.6 7115107.4 68.82000000000001, 335026.4 7115118.1 70.52, 335041.1 7115125.8 71.62, 335050 7115130.3 72.32000000000001, 335085.5 7115148.9 75.12, 335103 7115158.5 76.52, 335111.7 7115163.3 77.22, 335129.1 7115173.2 78.52, 335146.3 7115183.4 79.92, 335163.2 7115194 81.32000000000001, 335178.3 7115203.9 82.62, 335196.4 7115216.4 84.02, 335201 7115219.7 84.42, 335204.4 7115222.3 84.72, 335212.5 7115228.3 85.32000000000001, 335228.1 7115240.8 86.52, 335235.9 7115247.1 87.02, 335251 7115260.2 88.12, 335265.7 7115273.7 89.02, 335274.2 7115282.1 89.62, 335286.9 7115294.9 90.32000000000001, 335300.6 7115309.5 91.12, 335313.9 7115324.4 91.82000000000001, 335327 7115339.5 92.42, 335333.24 7115347.12 92.76, 335350.1 7115367.7 93.02, 335371.53 7115393.67 93.85000000000001, 335374.11 7115396.89 93.89, 335377.78 7115401.48 93.97, 335384.03 7115409.29 94.09, 335390.27 7115417.09 94.18, 335396.52 7115424.9 94.26, 335402.76 7115432.71 94.32000000000001, 335409.01 7115440.52 94.35000000000001, 335411.73 7115443.91 94.36, 331488.47 7113180.46 51.86, 331488.66 7113181.1 51.89, 331489.66 7113184.39 51.71, 331492.99 7113195.24 52.21, 331495.87 7113204.84 52.56, 331503.53 7113231.31 53.72, 331510.74 7113252.89 54.6, 331513.64 7113259.57 54.82, 331517.28 7113265.87 55.1, 331523.31 7113275.13 55.5, 331527.2 7113280.1 55.75, 331531.41 7113284.95 56.07, 331537.4 7113290.49 56.32, 331545.58 7113296.62 56.71, 331549.41 7113299.08 56.980000000000004, 331558.56 7113303.77 57.18, 331566.39 7113306.9 57.24, 331573 7113309.06 57.33, 331573.52 7113309.17 57.33)</t>
  </si>
  <si>
    <t>['EV6 S90D1 m6643-6854']</t>
  </si>
  <si>
    <t>LINESTRING Z (328806.97 7108193.83 93.06, 328807.58 7108197.21 93.10000000000001, 328807.8 7108198.43 93.11, 328809.27 7108206.65 93.16, 328810.57 7108214 93.12, 328812.12 7108222.78 93.07000000000001, 328812.71 7108226.6 92.97, 328813.09 7108229.11 92.92, 328814.43 7108237.92 92.73, 328816.02 7108248.33 92.48, 328816.54 7108251.85 92.41, 328817.04 7108255.36 92.34, 328817.52 7108258.87 92.26, 328819.13 7108270.69 92.02, 328819.55 7108274.05 91.99, 328820.36 7108280.79 91.98, 328821.95 7108294.01 91.97, 328822.35 7108297.34 91.97, 328822.73 7108300.94 91.99, 328823.48 7108307.98 92.05, 328823.86 7108311.1 92.04, 328824.18 7108313.77 92.11, 328824.55 7108315.79 92.12, 328824.91 7108317.88 92.13, 328825.44 7108320.54 92.15, 328826.1 7108323.64 92.23, 328826.76 7108326.68 92.37, 328827.55 7108330 92.39, 328828.38 7108333.32 92.44, 328829.21 7108336.46 92.49, 328830.02 7108339.53 92.59, 328831.13 7108342.86 92.65, 328832.26 7108346.22 92.72, 328833.13 7108348.74 92.78, 328834.16 7108351.35 92.87, 328835.11 7108353.89 92.96000000000001, 328836.23 7108356.66 93.02, 328837.73 7108359.93 93.09, 328838.36 7108361.15 93.11, 328839.48 7108363.32 93.15, 328840.81 7108365.82 93.19, 328842.11 7108368.34 93.21000000000001, 328843.41 7108370.62 93.21000000000001, 328844.82 7108372.98 93.26, 328846.2 7108375.27 93.3, 328846.96 7108376.46 93.32000000000001, 328847.63 7108377.59 93.33, 328849.52 7108380.61 93.33, 328853.39 7108386.34 93.37, 328854.72 7108388.22 93.39, 328855.38 7108389.17 93.4, 328857.33 7108392.02 93.41, 328859.21 7108394.52 93.39)</t>
  </si>
  <si>
    <t>POLYGON ((328807.08794280665 7108197.298767786, 328807.3078722138 7108198.518376316, 328808.7777247586 7108206.737551771, 328810.0776278662 7108214.087003956, 328811.62667948956 7108222.861631862, 328812.2157451481 7108226.675582396, 328812.5956334112 7108229.184844345, 328813.93568514026 7108237.995185234, 328815.52554715436 7108248.404282461, 328816.04517930263 7108251.921792387, 328816.5448000347 7108255.429129927, 328817.0245926982 7108258.937613779, 328818.63420283335 7108270.754751542, 328819.0537137512 7108274.110838884, 328819.863572044 7108280.84965974, 328821.4535730445 7108294.069668075, 328821.8531398454 7108297.396061694, 328822.2327624309 7108300.992486188, 328822.98281345214 7108308.032967317, 328822.9836677423 7108308.040450724, 328823.36360980716 7108311.159975045, 328823.683552788 7108313.829499291, 328823.68818233244 7108313.860085414, 328824.05770554295 7108315.877482401, 328824.41725633625 7108317.964874507, 328824.41963888786 7108317.977703529, 328824.9496388879 7108320.63770353, 328824.95096070407 7108320.644118044, 328825.61096070404 7108323.744118043, 328825.6113828237 7108323.746081361, 328826.27138282376 7108326.786081361, 328826.273581177 7108326.7957442375, 328827.063581177 7108330.115744238, 328827.0649287499 7108330.121267812, 328827.89492874994 7108333.441267813, 328827.8966026127 7108333.447777017, 328828.7265735336 7108336.587667007, 328829.5365444253 7108339.657556683, 328829.545658351 7108339.688113883, 328830.65565835097 7108343.018113883, 328830.6560831896 7108343.019382738, 328831.7860831896 7108346.379382737, 328831.7873733338 7108346.38316873, 328832.6573733338 7108348.90316873, 328832.6649063758 7108348.923542695, 328833.6932575452 7108351.52936459, 328834.6416840434 7108354.065157543, 328834.64645733987 7108354.077425191, 328835.76645733987 7108356.847425192, 328835.77553341264 7108356.868470912, 328837.27553341264 7108360.138470911, 328837.2857375561 7108360.159414212, 328837.91571313335 7108361.379366918, 328839.03568967147 7108363.549321461, 328839.03857938224 7108363.554835769, 328840.36709362763 7108366.052042997, 328841.66564331553 7108368.569231623, 328841.67564415274 7108368.587659036, 328842.9756441527 7108370.867659036, 328842.98077285173 7108370.876445034, 328844.39077285177 7108373.236445034, 328844.3917493549 7108373.238072442, 328845.7717493549 7108375.528072441, 328845.7786072481 7108375.539124782, 328846.53414459457 7108376.722137206, 328847.19991607004 7108377.845005516, 328847.20615861384 7108377.855251729, 328849.09615861386 7108380.875251729, 328849.1056511262 7108380.889848192, 328852.9756511262 7108386.619848192, 328852.9818171478 7108386.628767656, 328854.31058678153 7108388.507028492, 328854.9683535873 7108389.4538140455, 328856.9173463694 7108392.302341958, 328856.93038395845 7108392.320511263, 328858.81038395845 7108394.820511263, 328859.6096160416 7108394.219488736, 328857.7363380474 7108391.728427574, 328855.7926536306 7108388.887658042, 328855.7906287228 7108388.884721098, 328855.1306287228 7108387.934721097, 328855.1281828522 7108387.931232343, 328853.8013142131 7108386.055658628, 328849.9392222304 7108380.337367399, 328848.05702412705 7108377.329833921, 328847.39008393 7108376.204994484, 328847.38139275194 7108376.190875217, 328846.6248935856 7108375.006356785, 328845.24874042877 7108372.722740316, 328843.8418361953 7108370.367921882, 328842.5495494844 7108368.101449804, 328841.25435668445 7108365.590768377, 328841.25142061774 7108365.585164231, 328839.9228826369 7108363.087912387, 328838.8043103285 7108360.92067854, 328838.17960853997 7108359.710938545, 328836.6892458655 7108356.461947915, 328835.5760100585 7108353.708677213, 328834.62831595656 7108351.174842456, 328834.62509362417 7108351.166457305, 328833.5990814791 7108348.566562452, 328832.73327931046 7108346.058721688, 328831.60413006064 7108342.701251352, 328830.4993860547 7108339.387019334, 328829.69345557474 7108336.332443317, 328828.864256191 7108333.195471952, 328828.03576073947 7108329.881490146, 328827.2475658817 7108326.569076313, 328826.58883020206 7108323.5348998485, 328825.9297212095 7108320.439084884, 328825.40163609496 7108317.788695441, 328825.0427436637 7108315.705125493, 328825.04181766754 7108315.699914586, 328824.6746057497 7108313.695136007, 328824.356447212 7108311.040500708, 328824.3563322577 7108311.039549276, 328823.97678758594 7108307.923287761, 328823.22721217823 7108300.887273268, 328822.84723756905 7108297.287513812, 328822.84643136157 7108297.280368605, 328822.4464313616 7108293.950368605, 328820.85642527713 7108280.73031797, 328820.04642795597 7108273.99034026, 328820.04613893834 7108273.987982633, 328819.62613893836 7108270.627982633, 328819.6254252806 7108270.622518215, 328818.0154252806 7108258.802518215, 328817.5353892827 7108255.292254457, 328817.53500291274 7108255.289486765, 328817.03500291274 7108251.779486764, 328817.03463186807 7108251.776929383, 328816.5146318681 7108248.256929384, 328816.5142678945 7108248.254506633, 328814.9242913999 7108237.844660526, 328813.58434081083 7108229.034985385, 328813.20436658885 7108226.525155655, 328813.20414089935 7108226.523679809, 328812.6141408993 7108222.703679809, 328812.6123861327 7108222.693075341, 328811.0623861327 7108213.913075341, 328809.76235802384 7108206.562916269, 328809.76219156786 7108206.561980341, 328808.29219156783 7108198.34198034, 328808.2920635087 7108198.341267236, 328808.07206350873 7108197.121267236, 328807.4620509998 7108193.741197896, 328806.47794900014 7108193.918802104, 328807.08794280665 7108197.298767786))</t>
  </si>
  <si>
    <t>['EV6 S94D1 m1244 SD1 m103-185', 'EV6 S94D1 m1244 SD1 m4-103']</t>
  </si>
  <si>
    <t>LINESTRING Z (359162.38 7125984.04 134.14000000000001, 359166.9 7125982.5 134.14000000000001, 359173.8 7125981.74 134.14000000000001, 359188.6 7125982.3 134.64000000000001, 359194.5 7125982.5 135.04, 359218.5 7125986.6 135.04, 359260.2 7125993.1 133.64000000000001, 359272.5 7125994.79 133.14000000000001, 359298.95 7125998.81 133.14000000000001, 359323.62 7126004.63 133.54, 359331.8 7126007.9 133.64000000000001, 359335.7 7126013.2 133.64000000000001, 359336.38 7126015.14 133.73)</t>
  </si>
  <si>
    <t>POLYGON ((359167.0092979124 7125982.990985222, 359173.8180158472 7125982.241039479, 359188.5810946097 7125982.799642459, 359188.5830605771 7125982.799712974, 359194.4491996569 7125982.998565146, 359218.4158031002 7125987.092859901, 359218.42299226805 7125987.094034218, 359260.12299226806 7125993.594034218, 359260.1319402361 7125993.5953462105, 359272.4284016177 7125995.28486001, 359298.854877062 7125999.301284634, 359323.4689660621 7126005.108094443, 359331.4818726807 7126008.311297945, 359335.25291059003 7126013.43604177, 359335.9081467096 7126015.305391875, 359336.8518532904 7126014.974608124, 359336.1718532904 7126013.034608125, 359336.15317827597 7126012.9887431655, 359336.1300578534 7126012.94495051, 359336.1027188201 7126012.903659737, 359332.2027188201 7126007.603659737, 359332.1735628502 7126007.567658614, 359332.1411999904 7126007.534510512, 359332.1059080633 7126007.504499991, 359332.06799003604 7126007.477884684, 359332.02777142 7126007.454893069, 359331.9855974761 7126007.435722522, 359323.8055974761 7126004.165722522, 359323.7706171418 7126004.15322492, 359323.7348055129 7126004.143358762, 359299.0648055129 7125998.323358762, 359299.02512966725 7125998.315676691, 359272.57512966724 7125994.295676691, 359272.56805976393 7125994.294653789, 359260.2725396706 7125992.60526932, 359218.58060658956 7125986.106526754, 359194.5841968998 7125982.007140099, 359194.5169394229 7125982.000287026, 359188.6179225007 7125981.800320351, 359173.8189053903 7125981.2403575415, 359173.7820331379 7125981.240322913, 359173.74525859393 7125981.243005656, 359166.84525859397 7125982.0030056555, 359166.79135472036 7125982.011946516, 359166.73874831764 7125982.026715841, 359162.2187483176 7125983.566715841, 359162.5412516824 7125984.513284159, 359167.0092979124 7125982.990985222))</t>
  </si>
  <si>
    <t>['EV6 S92D1 m10772 SD1 m4-87']</t>
  </si>
  <si>
    <t>LINESTRING Z (347117.28 7120914.31 86.10000000000001, 347117.2 7120914.7 86.12, 347117 7120920.9 86.02, 347117.3 7120928.2 86.02, 347119.8 7120937.1 86.22, 347124 7120945.2 86.52, 347132.8 7120953.9 86.82000000000001, 347145.9 7120962.9 87.82000000000001, 347155.2 7120968 88.32000000000001, 347162.8 7120973.6 88.82000000000001, 347164.72 7120974.94 88.8)</t>
  </si>
  <si>
    <t>POLYGON ((347116.7101986497 7120914.599527928, 347116.703434959 7120914.641492222, 347116.70025994285 7120914.683879353, 347116.50025994284 7120920.883879353, 347116.500421684 7120920.920530616, 347116.800421684 7120928.220530616, 347116.8061854134 7120928.278403789, 347116.8186305031 7120928.335216151, 347119.3186305031 7120937.23521615, 347119.3349474123 7120937.283646646, 347119.35612273426 7120937.330158582, 347123.55612273427 7120945.4301585825, 347123.58248410077 7120945.475100843, 347123.61337923637 7120945.517055808, 347123.64847265364 7120945.55556789, 347132.44847265363 7120954.255567891, 347132.4814139095 7120954.285360744, 347132.51686911634 7120954.312112731, 347145.6168691164 7120963.312112731, 347145.6595836944 7120963.338406205, 347154.9302935655 7120968.422343876, 347162.50340048096 7120974.002527919, 347162.5138423983 7120974.010016861, 347164.4338423983 7120975.350016862, 347165.00615760166 7120974.529983139, 347163.0914266921 7120973.193660524, 347155.49659951904 7120967.597472081, 347155.4404163056 7120967.561593795, 347146.1624338435 7120962.473667929, 347133.1198480439 7120953.5131128, 347124.40758878086 7120944.899856483, 347120.2674945492 7120936.915389036, 347117.79717802047 7120928.121062194, 347117.50033130223 7120920.89779205, 347117.6983658857 7120914.758719962, 347117.76980135037 7120914.410472072, 347116.7901986497 7120914.209527927, 347116.7101986497 7120914.599527928))</t>
  </si>
  <si>
    <t>['EV6 S91D1 m3524 SD1 m4-99']</t>
  </si>
  <si>
    <t>LINESTRING Z (330656.86 7112237.48 43.4, 330655.4 7112237.8 43.43, 330651.3 7112238.5 43.43, 330648.4 7112240.1 43.33, 330646.2 7112242.7 43.33, 330644.2 7112246.5 43.33, 330642.8 7112252 43.43, 330642.6 7112260.2 43.43, 330642.4 7112267 43.43, 330643.2 7112274.2 43.43, 330644.4 7112280.9 43.43, 330646.9 7112288.7 43.43, 330649.8 7112295.2 43.43, 330653.9 7112302.3 43.43, 330658.2 7112306.4 43.43, 330661.4 7112308.5 43.63, 330665.1 7112309.2 43.93, 330669.2 7112308.8 43.93, 330671.05 7112308.28 44.12)</t>
  </si>
  <si>
    <t>POLYGON ((330655.3043498401 7112237.309095531, 330651.2158517685 7112238.007131787, 330651.1614428561 7112238.019581518, 330651.108760546 7112238.038017889, 330651.05846132856 7112238.062211158, 330648.1584613286 7112239.662211157, 330648.1196382545 7112239.68599844, 330648.08314001386 7112239.713218732, 330648.0492692597 7112239.743646316, 330648.0183068573 7112239.777028879, 330645.8183068573 7112242.37702888, 330645.7854687677 7112242.420422002, 330645.75754088885 7112242.467126784, 330643.75754088885 7112246.267126784, 330643.73327179294 7112246.320654577, 330643.71545141307 7112246.37666036, 330642.31545141304 7112251.87666036, 330642.3046725485 7112251.931803843, 330642.3001486547 7112251.987808504, 330642.10017924255 7112260.186554401, 330641.9002161228 7112266.985300474, 330641.9030581327 7112267.055215763, 330642.70305813267 7112274.255215763, 330642.7078316784 7112274.288149551, 330643.9078316784 7112280.988149551, 330643.923858856 7112281.052609341, 330646.423858856 7112288.852609341, 330646.44338437536 7112288.9037208175, 330649.34338437533 7112295.4037208175, 330649.36700877105 7112295.450037189, 330653.4670087711 7112302.550037188, 330653.49272912217 7112302.590052464, 330653.52213569626 7112302.627442465, 330653.55496233323 7112302.6618687725, 330657.8549623332 7112306.761868773, 330657.8890468254 7112306.791545813, 330657.9256717793 7112306.818023955, 330661.12567177933 7112308.918023955, 330661.16808562743 7112308.942962441, 330661.21274520695 7112308.963611521, 330661.259218059 7112308.9797712425, 330661.3070541659 7112308.991285123, 330665.0070541659 7112309.691285123, 330665.05394780467 7112309.697874678, 330665.10125451983 7112309.699998426, 330665.1485499822 7112309.697637317, 330669.2485499822 7112309.297637316, 330669.29228388227 7112309.291409895, 330669.3352974383 7112309.281346655, 330671.1852974383 7112308.761346656, 330670.9147025617 7112307.798653345, 330669.10735453427 7112308.306664682, 330665.12265236606 7112308.695416113, 330661.59094382985 7112308.027255039, 330658.51222861744 7112306.006848181, 330654.29705161916 7112301.987725926, 330650.2460091318 7112294.972506009, 330647.3677787397 7112288.521299958, 330644.8863002582 7112280.7790870955, 330643.69510338234 7112274.128237872, 330642.9008149749 7112266.979642205, 330643.0997838772 7112260.214699526, 330643.0998513453 7112260.212191496, 330643.2984748091 7112252.068629482, 330644.66997499496 7112246.680593037, 330646.6170009648 7112242.981243694, 330648.7221923154 7112240.49329028, 330651.4675008955 7112238.978637271, 330655.4841482315 7112238.292868213, 330655.50704796053 7112238.288406321, 330656.9670479605 7112237.9684063215, 330656.7529520395 7112236.991593679, 330655.3043498401 7112237.309095531))</t>
  </si>
  <si>
    <t>['EV6 S90D1 m6049 SD1 m5-76']</t>
  </si>
  <si>
    <t>LINESTRING Z (328838.11 7107597.08 92.04, 328840.26 7107603.38 92.04, 328838.43 7107610.53 92.04, 328835.69 7107615.93 92.04, 328824.4 7107634.01 92.25, 328818.3 7107644.76 92.14, 328815.92 7107648.17 92.23, 328810.67 7107651.66 92.27, 328804.26 7107653.15 92.31)</t>
  </si>
  <si>
    <t>POLYGON ((328839.7386555251 7107603.400423976, 328837.9592430687 7107610.3527731905, 328835.2541497339 7107615.683979033, 328823.9758954564 7107633.745169231, 328823.96513357735 7107633.763238587, 328817.87664238986 7107644.4929566635, 328815.56424830755 7107647.806092723, 328810.4686017968 7107651.193484403, 328804.1467935411 7107652.662984295, 328804.3732064589 7107653.637015706, 328810.7832064589 7107652.147015706, 328810.8263174528 7107652.134936685, 328810.86817511806 7107652.119049695, 328810.90844384645 7107652.099482118, 328810.9468007697 7107652.076390843, 328816.1968007697 7107648.586390843, 328816.2345420602 7107648.558668615, 328816.2695242797 7107648.5275371, 328816.3014405744 7107648.493269374, 328816.33001098374 7107648.456166023, 328818.71001098375 7107645.046166023, 328818.73486642266 7107645.006761412, 328824.8296755377 7107634.265909283, 328836.11410454364 7107616.194830769, 328836.13588465 7107616.156245174, 328838.87588465 7107610.756245174, 328838.89793774084 7107610.706165465, 328838.9143862175 7107610.653975774, 328840.7443862175 7107603.503975773, 328840.7540833519 7107603.45669186, 328840.75917601906 7107603.408693239, 328840.75961675943 7107603.36042722, 328840.7554014656 7107603.312343604, 328840.7465694208 7107603.264890492, 328840.7332029327 7107603.21851011, 328838.58320293267 7107596.91851011, 328837.6367970673 7107597.24148989, 328839.7386555251 7107603.400423976))</t>
  </si>
  <si>
    <t>['EV6 S88D1 m6539 SD1 m4-102']</t>
  </si>
  <si>
    <t>LINESTRING Z (325398.84 7091929.89 42.43, 325401.1 7091932.6 42.32, 325405.01 7091941.15 42.050000000000004, 325404.75 7091956.51 41.61, 325402.55 7091985.91 40.76, 325401.7 7092012.9 39.980000000000004, 325399.71 7092017.48 39.83, 325394.16 7092018.88 39.67, 325392.01 7092018.62 39.61)</t>
  </si>
  <si>
    <t>POLYGON ((325400.6731316777 7091932.86882087, 325404.50815330475 7091941.254865605, 325404.25031609845 7091956.487094407, 325402.05139402795 7091985.87268935, 325402.05024777027 7091985.894261231, 325401.2032616345 7092012.788562178, 325399.34937024605 7092017.0553071825, 325394.1277912927 7092018.372462233, 325392.0700277826 7092018.123616413, 325391.94997221744 7092019.116383587, 325394.0999722174 7092019.376383587, 325394.1457593944 7092019.379797164, 325394.1916666549 7092019.378996215, 325394.2373068872 7092019.373987495, 325394.2822952313 7092019.364813238, 325399.83229523135 7092017.964813239, 325399.8808061582 7092017.949920479, 325399.92755771027 7092017.930187343, 325399.9720683272 7092017.905817088, 325400.01387953095 7092017.877060739, 325400.05256064876 7092017.8442145, 325400.08771324897 7092017.8076166995, 325400.11897524504 7092017.76764431, 325400.1460246255 7092017.724709065, 325400.16858277045 7092017.679253213, 325402.15858277044 7092013.099253213, 325402.17535378324 7092013.055044448, 325402.187873837 7092013.0094491625, 325402.19603096816 7092012.962875104, 325402.19975222973 7092012.91573877, 325403.04941215646 7091985.936537095, 325405.24860597204 7091956.54731065, 325405.24992838386 7091956.518462329, 325405.50992838386 7091941.15846233, 325405.5086958093 7091941.113909977, 325405.5035007346 7091941.069644385, 325405.49438443844 7091941.026017277, 325405.4814193564 7091940.983375302, 325405.4647085057 7091940.94205728, 325401.5547085057 7091932.392057279, 325401.53449358075 7091932.352582684, 325401.510860257 7091932.315054655, 325401.48399447073 7091932.279768448, 325399.2239944708 7091929.569768448, 325398.45600552927 7091930.210231551, 325400.6731316777 7091932.86882087))</t>
  </si>
  <si>
    <t>['EV6 S103D1 m10590-10760']</t>
  </si>
  <si>
    <t>LINESTRING Z (405631.27 7192913.96 178.26, 405633.91000000003 7192915.38 178.3, 405659.19 7192929.19 178.61, 405694.64 7192945.11 179.11, 405727.04000000004 7192958.32 178.86, 405759.75 7192970.25 179.98, 405788.02 7192978.85 180.07)</t>
  </si>
  <si>
    <t>POLYGON ((405633.67171916284 7192915.819573519, 405658.95029427484 7192929.628795129, 405658.985165464 7192929.646117105, 405694.435165464 7192945.566117105, 405694.4512290051 7192945.572996233, 405726.85122900514 7192958.782996233, 405726.8686788629 7192958.789732976, 405759.5786788629 7192970.719732976, 405759.6044797925 7192970.72835538, 405787.87447979255 7192979.328355379, 405788.1655202075 7192978.37164462, 405759.9085379999 7192969.775604756, 405727.22010906495 7192957.85347216, 405694.8368628984 7192944.650302967, 405659.4126076081 7192928.741864484, 405634.1497057252 7192914.941204871, 405634.1468509558 7192914.939657378, 405631.5068509558 7192913.519657378, 405631.03314904426 7192914.400342622, 405633.67171916284 7192915.819573519))</t>
  </si>
  <si>
    <t>['EV6 S99D1 m2409 SD1 m6-52']</t>
  </si>
  <si>
    <t>LINESTRING Z (376856.94 7159324.02 126.05, 376851.93 7159313.98 125.58, 376848.36 7159308.59 125.29, 376841.98 7159299.91 124.28, 376833.34 7159290.39 123.02, 376830.11 7159287.19 122.57000000000001)</t>
  </si>
  <si>
    <t>POLYGON ((376852.3773916971 7159313.756749761, 376852.3468561508 7159313.703900472, 376848.77685615077 7159308.313900472, 376848.76287762186 7159308.2938756645, 376842.38287762186 7159299.613875665, 376842.3502514778 7159299.573973449, 376833.71025147784 7159290.053973448, 376833.69190001127 7159290.034800925, 376830.4619000112 7159286.834800926, 376829.75809998874 7159287.545199075, 376832.9786697535 7159290.735856426, 376841.59240574524 7159300.2269173805, 376847.9498885299 7159308.876282673, 376851.4962601928 7159314.230608518, 376856.4926083029 7159324.243250239, 376857.3873916971 7159323.79674976, 376852.3773916971 7159313.756749761))</t>
  </si>
  <si>
    <t>['EV6 S98D1 m1-177']</t>
  </si>
  <si>
    <t>LINESTRING Z (370684.26 7151873.33 22.76, 370692.52 7151879.16 22.76, 370696.61 7151882.25 22.76, 370705.81 7151889.39 22.71, 370713.49 7151895.79 22.66, 370724.28 7151905.2 22.66, 370728.86 7151909.89 22.66, 370732.99 7151914.14 22.66, 370736.93 7151918.17 22.66, 370748.31 7151930.72 22.66, 370756.3 7151940.3 22.66, 370766.8 7151953.5 22.66, 370774.69 7151964.63 22.66, 370781.51 7151975.41 22.66, 370790.57 7151991.81 22.66, 370794.37 7151999.37 22.21, 370796.9 7152004.94 22.38)</t>
  </si>
  <si>
    <t>POLYGON ((370692.22506015876 7151879.56382682, 370696.3060088052 7151882.646988511, 370705.4965823025 7151889.779672725, 370713.1655961536 7151896.170517601, 370723.9362706316 7151905.56366374, 370728.50184793066 7151910.238894641, 370732.63142055506 7151914.4884548485, 370732.63247695647 7151914.4895386575, 370736.565911533 7151918.512823262, 370747.9326502265 7151931.048198535, 370755.9123080242 7151940.615798248, 370766.4000920757 7151953.800441056, 370774.27449100965 7151964.908433468, 370781.0795228476 7151975.664774115, 370790.12763407925 7151992.043253607, 370793.91883535683 7151999.5857487805, 370796.4447607981 7152005.14677831, 370797.3552392019 7152004.733221691, 370794.8252392019 7151999.163221691, 370794.81673985545 7151999.145448221, 370791.01673985546 7151991.58544822, 370791.00765643915 7151991.568221503, 370781.94765643915 7151975.1682215035, 370781.93253941805 7151975.142679144, 370775.11253941804 7151964.362679143, 370775.09790417145 7151964.340838822, 370767.20790417143 7151953.210838822, 370767.1913005271 7151953.188738217, 370756.6913005271 7151939.988738216, 370756.6839791932 7151939.97975013, 370748.6939791932 7151930.39975013, 370748.6803970859 7151930.384133957, 370737.3003970859 7151917.8341339575, 370737.2875230435 7151917.820461342, 370733.3480520798 7151913.791002463, 370729.2185794449 7151909.541545151, 370729.21772355406 7151909.54066655, 370724.6377235541 7151904.850666551, 370724.6086337379 7151904.823171304, 370713.81863373786 7151895.413171303, 370713.8100921998 7151895.40588936, 370706.13009219983 7151889.00588936, 370706.1165539995 7151888.995000448, 370696.9165539995 7151881.855000448, 370696.9114027457 7151881.851055913, 370692.8214027457 7151878.761055913, 370692.80832218204 7151878.751502363, 370684.54832218203 7151872.921502363, 370683.971677818 7151873.738497637, 370692.22506015876 7151879.56382682))</t>
  </si>
  <si>
    <t>['EV6 S97D1 m9324-9638']</t>
  </si>
  <si>
    <t>LINESTRING Z (370351.93 7151722.96 27.2, 370355.22 7151724.44 27.21, 370366.95 7151729.83 27.310000000000002, 370380.77 7151735.96 27.21, 370393.33 7151741.45 27.16, 370405.37 7151746.6 27.16, 370418.06 7151752 27.11, 370431.6 7151757.78 26.900000000000002, 370447.09 7151764.13 26.85, 370461.05 7151769.86 26.650000000000002, 370474.87 7151775.59 26.5, 370490.78 7151782.04 26.14, 370505.89 7151788.21 25.88, 370521.33 7151794.44 25.68, 370526.77 7151796.7 25.53, 370532.03 7151798.53 25.61, 370540.47 7151801.89 25.28, 370554.29 7151807.66 24.96, 370562.74 7151811.33 24.96, 370570.2 7151814.6 24.76, 370578.03 7151817.9 24.66, 370585.69 7151821.52 24.560000000000002, 370607.68 7151831.21 23.96, 370617.19 7151836.26 23.86, 370628.01 7151841.41 23.56, 370638.44 7151846.82 23.36, 370640.28 7151847.76 23.31)</t>
  </si>
  <si>
    <t>POLYGON ((370355.0130506997 7151724.895165893, 370366.74123262736 7151730.284330479, 370366.74726836185 7151730.2870556675, 370380.56726836186 7151736.417055667, 370380.56974367617 7151736.418145616, 370393.12974367617 7151741.908145616, 370393.1333629709 7151741.909710647, 370405.1733629709 7151747.059710646, 370405.17422241793 7151747.060077317, 370417.86395914684 7151752.459965287, 370431.40369638003 7151758.239853117, 370431.4103463714 7151758.242635387, 370446.9002445953 7151764.592593664, 370460.8593198587 7151770.322214099, 370474.6784994443 7151776.051873941, 370474.6821474456 7151776.053369634, 370490.591564172 7151782.503133172, 370505.7009818336 7151788.67289538, 370505.70290751377 7151788.673677045, 370521.14053615596 7151794.902720208, 370526.5781745628 7151797.161739105, 370526.6057048665 7151797.172236285, 370531.8552996992 7151798.998616236, 370540.2811992096 7151802.353002771, 370554.0940780936 7151808.120029628, 370562.54004155664 7151811.788276481, 370569.999268609 7151815.057937669, 370570.00581367005 7151815.060751201, 370577.8259956528 7151818.35661334, 370585.47636281454 7151821.972061005, 370585.48837969976 7151821.977546996, 370607.4616490924 7151831.660174574, 370616.95550161024 7151836.701599938, 370616.975114196 7151836.711468815, 370627.7873814588 7151841.857788261, 370638.20977931324 7151847.263845058, 370638.21252974874 7151847.265260918, 370640.05252974876 7151848.205260918, 370640.5074702513 7151847.314739082, 370638.6688476442 7151846.375442751, 370628.24022068677 7151840.966154942, 370628.224885804 7151840.958531185, 370617.4148004689 7151835.813250272, 370607.91449838976 7151830.768400062, 370607.88162030024 7151830.752453003, 370585.8976649879 7151821.065116623, 370578.2436371855 7151817.4479389945, 370578.22418633 7151817.439248799, 370570.3974688862 7151814.140632251, 370562.940731391 7151810.872062331, 370562.93918442924 7151810.871387349, 370554.4891844292 7151807.2013873495, 370554.4826395311 7151807.198599945, 370540.6626395311 7151801.428599944, 370540.6549359112 7151801.425458604, 370532.21493591124 7151798.065458604, 370532.1942951335 7151798.057763715, 370526.9482149932 7151796.232606556, 370521.52182543726 7151793.978260895, 370521.51709248626 7151793.976322955, 370506.078056123 7151787.74671178, 370490.9690181664 7151781.57710462, 370490.9678525544 7151781.576630366, 370475.0596795543 7151775.127371041, 370461.2415005557 7151769.398126059, 370461.2398581669 7151769.3974485155, 370447.27985816693 7151763.667448515, 370431.79298865254 7151757.318731779, 370418.25630361994 7151751.540146884, 370418.25577758206 7151751.539922683, 370405.5662074768 7151746.140105616, 370393.52844984626 7151740.99106477, 370380.9714954298 7151735.502396, 370367.15575850307 7151729.374286929, 370355.4287673726 7151723.985669522, 370355.42512470804 7151723.984013318, 370352.13512470806 7151722.504013318, 370351.7248752919 7151723.415986682, 370355.0130506997 7151724.895165893))</t>
  </si>
  <si>
    <t>['EV6 S97D1 m9324-9620']</t>
  </si>
  <si>
    <t>LINESTRING Z (370351.93 7151722.96 27.2, 370355.22 7151724.44 27.21, 370366.95 7151729.83 27.310000000000002, 370380.77 7151735.96 27.21, 370393.33 7151741.45 27.16, 370405.37 7151746.6 27.16, 370418.06 7151752 27.11, 370431.6 7151757.78 26.900000000000002, 370447.09 7151764.13 26.85, 370461.05 7151769.86 26.650000000000002, 370474.87 7151775.59 26.5, 370490.78 7151782.04 26.14, 370505.89 7151788.21 25.88, 370521.33 7151794.44 25.68, 370526.77 7151796.7 25.53, 370532.03 7151798.53 25.61, 370540.47 7151801.89 25.28, 370554.29 7151807.66 24.96, 370562.74 7151811.33 24.96, 370570.2 7151814.6 24.76, 370578.03 7151817.9 24.66, 370585.69 7151821.52 24.560000000000002, 370607.68 7151831.21 23.96, 370617.19 7151836.26 23.86, 370624.06 7151839.53 23.67)</t>
  </si>
  <si>
    <t>POLYGON ((370355.0130506997 7151724.895165893, 370366.74123262736 7151730.284330479, 370366.74726836185 7151730.2870556675, 370380.56726836186 7151736.417055667, 370380.56974367617 7151736.418145616, 370393.12974367617 7151741.908145616, 370393.1333629709 7151741.909710647, 370405.1733629709 7151747.059710646, 370405.17422241793 7151747.060077317, 370417.86395914684 7151752.459965287, 370431.40369638003 7151758.239853117, 370431.4103463714 7151758.242635387, 370446.9002445953 7151764.592593664, 370460.8593198587 7151770.322214099, 370474.6784994443 7151776.051873941, 370474.6821474456 7151776.053369634, 370490.591564172 7151782.503133172, 370505.7009818336 7151788.67289538, 370505.70290751377 7151788.673677045, 370521.14053615596 7151794.902720208, 370526.5781745628 7151797.161739105, 370526.6057048665 7151797.172236285, 370531.8552996992 7151798.998616236, 370540.2811992096 7151802.353002771, 370554.0940780936 7151808.120029628, 370562.54004155664 7151811.788276481, 370569.999268609 7151815.057937669, 370570.00581367005 7151815.060751201, 370577.8259956528 7151818.35661334, 370585.47636281454 7151821.972061005, 370585.48837969976 7151821.977546996, 370607.4616490924 7151831.660174574, 370616.95550161024 7151836.701599938, 370616.97510973946 7151836.711466694, 370623.84510973946 7151839.981466695, 370624.27489026054 7151839.078533306, 370617.41480263876 7151835.813251425, 370607.91449838976 7151830.768400062, 370607.88162030024 7151830.752453003, 370585.8976649879 7151821.065116623, 370578.2436371855 7151817.4479389945, 370578.22418633 7151817.439248799, 370570.3974688862 7151814.140632251, 370562.940731391 7151810.872062331, 370562.93918442924 7151810.871387349, 370554.4891844292 7151807.2013873495, 370554.4826395311 7151807.198599945, 370540.6626395311 7151801.428599944, 370540.6549359112 7151801.425458604, 370532.21493591124 7151798.065458604, 370532.1942951335 7151798.057763715, 370526.9482149932 7151796.232606556, 370521.52182543726 7151793.978260895, 370521.51709248626 7151793.976322955, 370506.078056123 7151787.74671178, 370490.9690181664 7151781.57710462, 370490.9678525544 7151781.576630366, 370475.0596795543 7151775.127371041, 370461.2415005557 7151769.398126059, 370461.2398581669 7151769.3974485155, 370447.27985816693 7151763.667448515, 370431.79298865254 7151757.318731779, 370418.25630361994 7151751.540146884, 370418.25577758206 7151751.539922683, 370405.5662074768 7151746.140105616, 370393.52844984626 7151740.99106477, 370380.9714954298 7151735.502396, 370367.15575850307 7151729.374286929, 370355.4287673726 7151723.985669522, 370355.42512470804 7151723.984013318, 370352.13512470806 7151722.504013318, 370351.7248752919 7151723.415986682, 370355.0130506997 7151724.895165893))</t>
  </si>
  <si>
    <t>['EV6 S96D1 m1484 SD1 m6-163']</t>
  </si>
  <si>
    <t>LINESTRING Z (371294.71 7137473.85 215.67000000000002, 371286.97 7137483.45 215.71, 371279.67 7137501.99 216.89000000000001, 371277.49 7137510.21 217.09, 371275.04 7137518.81 217.12, 371274.02 7137524.81 217.18, 371273.3 7137531.09 217.18, 371272.89 7137539.07 217.25, 371272.8 7137549.14 217.09, 371275.41000000003 7137563.61 216.84, 371280.02 7137578.92 216.51, 371286.05 7137595.43 215.87, 371296.9 7137619.39 215.03, 371298.32 7137621.05 214.98000000000002)</t>
  </si>
  <si>
    <t>POLYGON ((371286.5807551354 7137483.136171328, 371286.55105598964 7137483.1770789195, 371286.5256392397 7137483.2207762785, 371286.5047646926 7137483.266816734, 371279.20476469264 7137501.806816734, 371279.1867073269 7137501.861827491, 371277.0078796664 7137510.077407018, 371274.5591326683 7137518.673008725, 371274.54707207665 7137518.726202252, 371273.5270720767 7137524.726202252, 371273.52325409214 7137524.753048239, 371272.8032540921 7137531.03304824, 371272.8006586325 7137531.064344617, 371272.3906586325 7137539.044344617, 371272.39001996827 7137539.06553146, 371272.30001996824 7137549.135531459, 371272.3017949299 7137549.1823285725, 371272.3079403862 7137549.22875436, 371274.9179403862 7137563.698754361, 371274.93123342196 7137563.754161589, 371279.54123342194 7137579.064161588, 371279.55034461786 7137579.091533734, 371285.58034461783 7137595.601533734, 371285.5945242577 7137595.636256753, 371296.44452425773 7137619.5962567525, 371296.46592953947 7137619.63815889, 371296.4911789064 7137619.6778633585, 371296.5200487524 7137619.715018537, 371297.9400487524 7137621.375018537, 371298.6999512476 7137620.724981463, 371297.32615490333 7137619.118994187, 371286.51321719395 7137595.240838655, 371280.49460596906 7137578.762020857, 371275.89699420374 7137563.493162695, 371273.3003999447 7137549.097484945, 371273.3898852932 7137539.0850687325, 371273.79853529297 7137531.131344345, 371274.5152010289 7137524.880426537, 371275.52835047484 7137518.920723914, 371277.97086733166 7137510.3469912745, 371277.97329267306 7137510.338172509, 371280.1458591898 7137502.146201516, 371287.40722757473 7137483.704315233, 371295.0992448646 7137474.163828672, 371294.32075513544 7137473.536171327, 371286.5807551354 7137483.136171328))</t>
  </si>
  <si>
    <t>['EV6 S84D1 m8899-8954']</t>
  </si>
  <si>
    <t>LINESTRING Z (313659.27 7070996.98 45.95, 313698.12 7070999.63 46.04, 313714.26 7071001.12 46.12)</t>
  </si>
  <si>
    <t>POLYGON ((313698.07999941474 7071000.128433354, 313714.21403683216 7071001.6178829055, 313714.30596316786 7071000.622117095, 313698.16596316785 7070999.1321170945, 313698.15402646764 7070999.131159144, 313659.30402646767 7070996.481159145, 313659.23597353237 7070997.478840856, 313698.07999941474 7071000.128433354))</t>
  </si>
  <si>
    <t>2025-10-20</t>
  </si>
  <si>
    <t>2025-11-22T09:45:26Z</t>
  </si>
  <si>
    <t>['EV6 S78D1 m11193-11819', 'EV6 S79D1 m0-1485', 'EV6 S79D1 m1485-1723']</t>
  </si>
  <si>
    <t>LINESTRING Z (294364.46 7041697.46 2.85, 294366.9 7041698.3 2.85, 294372.2 7041700.3 2.85, 294382.33999999997 7041703.86 2.85, 294394.7 7041708 2.85, 294400.1 7041709.6 2.85, 294405.4 7041711.3 2.85, 294410.6 7041712.8 2.85, 294417.6 7041715 2.85, 294422.8 7041716.6 2.85, 294425.41000000003 7041717.4 2.85, 294428 7041718.2 2.85, 294433.2 7041719.8 2.85, 294438.6 7041721.4 2.95, 294443.7 7041722.8 2.95, 294449 7041724.4 2.95, 294454.2 7041725.8 2.95, 294459.4 7041727.2 2.95, 294466.3 7041729 2.95, 294471.5 7041730.4 3.0500000000000003, 294476.8 7041731.9 3.0500000000000003, 294481.9 7041733 3.0500000000000003, 294487.2 7041734.4 3.0500000000000003, 294492.3 7041735.7 3.0500000000000003, 294497.6 7041736.9 3.0500000000000003, 294502.7 7041738.1 3.0500000000000003, 294508 7041739.3 3.0500000000000003, 294514.8 7041740.9 3.0500000000000003, 294520 7041742 3.0500000000000003, 294525.1 7041743.2 3.0500000000000003, 294530.2 7041744.3 3.0500000000000003, 294536.11 7041746.29 3.23, 294540.4 7041746.4 3.15, 294545.6 7041747.6 3.15, 294552.3 7041749 3.15, 294557.5 7041750 3.15, 294562.5 7041751.1 3.15, 294567.5 7041752.2 3.15, 294572.7 7041753.2 3.15, 294577.7 7041754.3 3.15, 294582.7 7041755.3 3.15, 294587.7 7041756.4 3.15, 294592.7 7041757.4 3.15, 294599.4 7041758.7 3.15, 294604.3 7041759.8 3.15, 294609.3 7041760.9 3.15, 294614.2 7041761.9 3.15, 294619.1 7041762.8 3.15, 294624 7041763.9 3.15, 294628.8 7041764.9 3.15, 294633.8 7041765.9 3.15, 294638.5 7041766.9 3.15, 294644.8 7041768.2 3.15, 294649.6 7041769.1 3.15, 294654.3 7041770.2 3.15, 294659 7041771.2 3.15, 294663.6 7041772.2 3.15, 294668.2 7041773.2 3.15, 294672.8 7041774.2 3.15, 294677.3 7041775.1 3.15, 294681.9 7041776.1 3.15, 294692.1 7041778.3 3.15, 294700.16000000003 7041780.19 3.15, 294705.1 7041781 3.15, 294709.5 7041782 3.15, 294713.7 7041782.8 3.15, 294719.3 7041784 3.15, 294727.5 7041785.8 3.15, 294735.6 7041787.5 3.15, 294743.5 7041789.3 3.15, 294747.5 7041790.2 3.15, 294751.3 7041791.1 3.15, 294757.7 7041792.6 3.15, 294764 7041794 3.15, 294769.2 7041795.2 3.15, 294774.1 7041796.4 3.15, 294779.1 7041797.6 3.15, 294785.1 7041799.1 3.15, 294790 7041800.1 3.15, 294794.8 7041801.3 3.15, 294799.5 7041802.5 3.15, 294805.1 7041803.8 3.15, 294810.5 7041805.2 3.15, 294814.7 7041806.2 3.15, 294818.7 7041807.2 3.15, 294822.6 7041808.2 3.15, 294827.1 7041809.4 3.0500000000000003, 294831.5 7041810.5 3.15, 294835.6 7041811.4 3.15, 294840.1 7041812.6 3.15, 294844.2 7041813.7 3.15, 294848.4 7041814.8 3.15, 294853.1 7041816.1 3.15, 294857.2 7041817.2 3.15, 294861.1 7041818.4 2.95, 294865.1 7041819.5 2.95, 294869.6 7041820.7 2.95, 294874 7041821.8 2.95, 294877.8 7041822.7 2.95, 294882.1 7041823.9 2.95, 294886.2 7041825.1 2.95, 294890.4 7041826.3 2.95, 294895.2 7041827.6 2.95, 294899 7041828.6 2.95, 294903.1 7041829.8 2.95, 294907.4 7041831 2.95, 294911.7 7041832.2 2.95, 294916.3 7041833.4 2.95, 294921 7041834.7 2.95, 294925.8 7041836.1 2.95, 294930.6 7041837.6 2.95, 294936.7 7041839.2 2.95, 294941.6 7041840.8 2.85, 294946.6 7041842.3 2.95, 294951.6 7041843.8 2.95, 294956.89 7041845.14 2.95, 294960.6 7041846.15 2.95, 294964.56 7041847.13 2.95, 294968.53 7041848.11 2.95, 294971.48 7041848.82 2.95, 294976.5 7041850.02 2.95, 294980.63 7041851.07 2.95, 294989.12 7041853.18 2.95, 294993.14 7041854.24 3.64, 295024.33999999997 7041864.44 3.64, 295028.33999999997 7041865.95 3.35, 295034.94 7041868.44 2.85, 295039.4 7041870.14 2.85, 295043.76 7041871.77 2.85, 295048.19 7041873.48 2.85, 295052.79000000004 7041875.21 2.85, 295057.57 7041877.03 2.85, 295062.04000000004 7041878.84 2.85, 295068.54000000004 7041881.11 2.85, 295073.5 7041882.8 2.85, 295078.3 7041884.5 2.85, 295083.4 7041886.2 2.85, 295088.4 7041887.9 2.85, 295093.4 7041889.6 2.85, 295098.4 7041891.4 2.85, 295105.1 7041893.8 2.85, 295108.32 7041894.91 2.85, 295110.3 7041895.6 2.85, 295115.4 7041897.5 2.85, 295120.3 7041899.2 2.85, 295125.5 7041901.1 2.85, 295130.5 7041903 2.85, 295135.6 7041904.7 2.85, 295140.8 7041906.6 2.85, 295145.8 7041908.5 2.85, 295152.7 7041910.9 2.85, 295157.8 7041912.8 2.85, 295162.9 7041914.4 2.85, 295168.1 7041916.4 2.85, 295173.3 7041918.3 2.85, 295178.4 7041920 2.85, 295183.7 7041922 2.85, 295188.7 7041923.8 2.85, 295194 7041925.7 2.85, 295200.9 7041928.2 2.95, 295206.2 7041930.1 2.95, 295211.3 7041932 2.95, 295216.6 7041933.8 2.95, 295221.7 7041935.7 2.95, 295226.9 7041937.6 2.95, 295232.3 7041939.4 2.95, 295239.3 7041942 2.95, 295244.4 7041943.9 2.95, 295249.6 7041945.7 2.95, 295254.9 7041947.7 3.0500000000000003, 295260.1 7041949.4 3.0500000000000003, 295265.4 7041951.4 3.0500000000000003, 295270.6 7041953.2 3.0500000000000003, 295275.9 7041955 3.0500000000000003, 295281.2 7041956.9 3.0500000000000003, 295288.1 7041959.3 3.15, 295293.4 7041961.3 3.15, 295298.6 7041963 3.15, 295303.8 7041965 3.25, 295309.1 7041966.8 3.25, 295314.3 7041968.6 3.25, 295319.5 7041970.4 3.35, 295324.8 7041972.3 3.35, 295330 7041974 3.35, 295337 7041976.5 3.35, 295342.3 7041978.2 3.45, 295347.5 7041980.1 3.45, 295352.9 7041981.7 3.5500000000000003, 295358.1 7041983.5 3.5500000000000003, 295365.1 7041985.8 3.5500000000000003, 295370.4 7041987.6 3.65, 295377.5 7041989.7 3.65, 295382.7 7041991.4 3.75, 295388 7041993.1 3.75, 295393.1 7041994.9 3.85, 295398.5 7041996.5 3.85, 295405.5 7041998.8 3.95, 295410.7 7042000.4 3.95, 295416 7042002.2 3.95, 295421.3 7042003.7 4.05, 295426.5 7042005.4 4.15, 295431.9 7042007.1 4.15, 295437 7042008.6 4.25, 295442.3 7042010.2 4.25, 295447.5 7042011.9 4.3500000000000005, 295454.5 7042013.9 4.3500000000000005, 295459.8 7042015.4 4.45, 295465 7042017 4.55, 295470.2 7042018.6 4.55, 295475.4 7042020.1 4.65, 295480.6 7042021.7 4.65, 295485.8 7042023.3 4.75, 295492.6 7042025.2 4.8500000000000005, 295497.8 7042026.7 4.8500000000000005, 295502.9 7042028.2 4.95, 295508 7042029.7 5.05, 295513 7042031.1 5.05, 295518.2 7042032.6 5.15, 295523.1 7042034.1 5.25, 295529.7 7042035.9 5.25, 295534.6 7042037.3 5.3500000000000005, 295539.5 7042038.7 5.45, 295544.3 7042040 5.45, 295549.1 7042041.4 5.45, 295553.9 7042042.8 5.55, 295558.6 7042044.1 5.55, 295563.46 7042045.59 5.65, 295572.51 7042048.12 5.75, 295583.04000000004 7042050.98 5.75, 295596.62 7042054.84 5.8500000000000005, 295601.48 7042056.17 5.95, 295610.6 7042059.1 6.55, 295625.9 7042063.5 6.75, 295649.1 7042070.5 6.8500000000000005, 295672.3 7042077.8 6.95, 295703.4 7042088.5 7.05, 295725.5 7042096.7 7.15, 295743.8 7042104.1 7.05, 295757.7 7042110.4 6.95, 295781.5 7042121.6 6.95, 295794.1 7042128 6.95, 295812.6 7042138.02 6.95, 295825.52 7042145.68 6.8500000000000005, 295835.64 7042151.61 6.8500000000000005, 295844.63 7042157.58 6.8500000000000005, 295849.76 7042161 6.8500000000000005, 295863.62 7042170.66 6.8500000000000005, 295868.74 7042174.45 6.75, 295891.79000000004 7042191.57 6.45, 295912.7 7042208.55 6.15, 295918.25 7042213.6 6.08, 295941.33999999997 7042234.59 5.75, 295954.32 7042247.38 5.59, 295965 7042258.6 5.45, 295978.9 7042273.4 5.25, 295989.1 7042285.3 5.15, 295991.8 7042288.4 5.05, 296000.2 7042298.7 4.95, 296010.4 7042312 4.75, 296022.1 7042327.9 4.65, 296032.5 7042343.2 4.55, 296045.49 7042364.5 4.44, 296048.04000000004 7042368.67 4.41, 296054.7 7042379.6 4.3500000000000005, 296067.4 7042402.7 4.15, 296080 7042428.8 3.15, 296089 7042449.2 3.15, 296100.7 7042478.5 3.15, 296107.62 7042498.39 3.15, 296109.79000000004 7042504.6 3.15, 296110.9 7042507.8 3.15, 296121.74 7042539.52 3.15, 296126.06 7042555.99 3.36, 296131.63 7042577.18 3.3000000000000003, 296135.54000000004 7042593.55 3.24, 296138.52 7042606.02 3.18, 296143.52 7042627.68 3.25, 296147.06 7042643.05 3.3000000000000003, 296152.14 7042646.36 3.5100000000000002, 296159.26 7042650.62 3.75, 296164.1 7042668.32 2.15, 296168.85 7042689.28 2.15, 296172.81 7042708.07 3.65, 296175.38 7042727.05 3.65, 296177.35 7042740.5 3.5500000000000003, 296179.73 7042756.92 3.65, 296182.3 7042787.3 3.5500000000000003, 296182.76 7042792.29 3.5500000000000003, 296183.5 7042800.2 3.5500000000000003, 296183.57 7042801.53 3.5500000000000003, 296184.3 7042815.8 3.5500000000000003, 296185.1 7042836.3 3.5500000000000003, 296185.1 7042855.2 3.45, 296185 7042869.5 3.35, 296184.89 7042872.41 3.35)</t>
  </si>
  <si>
    <t>POLYGON ((294366.73032108246 7041698.770385655, 294372.0234713738 7041700.767800859, 294372.03436893475 7041700.771769382, 294382.1743689347 7041704.331769383, 294382.18119583157 7041704.334110996, 294394.5411958316 7041708.474110995, 294394.5579558352 7041708.479399056, 294399.9526026599 7041710.07781293, 294405.2472862228 7041711.776107658, 294405.2614196744 7041711.780411796, 294410.4557329823 7041713.278771404, 294417.4500867016 7041715.476996859, 294417.4529570756 7041715.477889504, 294422.6529570756 7041717.077889504, 294422.6534719889 7041717.078047635, 294425.26295493304 7041717.877889151, 294427.8524387035 7041718.677729698, 294427.85295707564 7041718.6778895045, 294433.05295707565 7041720.277889504, 294433.05795583513 7041720.279399056, 294438.4579558351 7041721.879399057, 294438.46764150914 7041721.882163075, 294443.56154751556 7041723.280490213, 294448.855497704 7041724.878663856, 294448.8700132633 7041724.88280788, 294454.0700132633 7041726.282807879, 294459.2700132633 7041727.6828078795, 294459.27378905145 7041727.683808637, 294466.17189924855 7041729.483315645, 294471.3669205849 7041730.881975235, 294476.6638387671 7041732.381103023, 294476.6945810639 7041732.388760522, 294481.78338155017 7041733.48634494, 294487.07230443857 7041734.883418911, 294487.0764981475 7041734.884507268, 294492.1764981475 7041736.184507268, 294492.1895871737 7041736.187656649, 294497.48753171595 7041737.387191263, 294502.5854803332 7041738.586708584, 294502.5895871737 7041738.587656649, 294507.8875317144 7041739.787191262, 294514.6854803331 7041741.386708585, 294514.6965207045 7041741.389174852, 294519.8909865502 7041742.488004165, 294524.9854803331 7041743.686708584, 294524.99458106386 7041743.688760522, 294530.067093296 7041744.782831787, 294535.95044362533 7041746.763858379, 294535.998410802 7041746.777388808, 294536.04748669436 7041746.786076695, 294536.09718369954 7041746.789835716, 294540.33673913876 7041746.898542265, 294545.4875702467 7041748.087195598, 294545.49773118057 7041748.08942935, 294552.1977311806 7041749.48942935, 294552.2055763032 7041749.491003224, 294557.39905489376 7041750.489749107, 294562.3925691087 7041751.588322233, 294567.39256910863 7041752.688322234, 294567.4055763032 7041752.691003224, 294572.59905489377 7041753.689749107, 294577.5925691087 7041754.788322234, 294577.60194193246 7041754.790290338, 294582.5972460901 7041755.78935117, 294587.59256910864 7041756.888322234, 294587.60194193246 7041756.890290339, 294592.60194193246 7041757.890290339, 294592.60476126586 7041757.890845784, 294599.29759924684 7041759.189456139, 294604.19048082887 7041760.287858126, 294604.1925691086 7041760.288322234, 294609.1925691086 7041761.388322234, 294609.200019994 7041761.38990203, 294614.100019994 7041762.38990203, 294614.1096742399 7041762.391773583, 294619.00003917696 7041763.290003877, 294623.8904808288 7041764.387858126, 294623.8980228729 7041764.38949021, 294628.6980228729 7041765.38949021, 294628.70194193244 7041765.390290339, 294633.69894030207 7041766.389690013, 294638.39594617777 7041767.389052965, 294638.39895423566 7041767.38968332, 294644.69895423565 7041768.68968332, 294644.70785573253 7041768.691436093, 294649.49690557306 7041769.589382938, 294654.18605776626 7041770.68684409, 294654.19594617776 7041770.689052965, 294658.8948650754 7041771.688822943, 294663.4937851778 7041772.688588182, 294668.09378517786 7041773.688588182, 294672.69378517783 7041774.688588182, 294672.7019419325 7041774.690290338, 294677.1978564646 7041775.589473244, 294681.79378517787 7041776.588588182, 294681.7945810639 7041776.588760521, 294691.9902070542 7041778.7878171075, 294700.04585066595 7041780.676795573, 294700.0790965412 7041780.683411219, 294705.0040539007 7041781.490944713, 294709.3891894482 7041782.487566428, 294709.40644394606 7041782.491169283, 294713.60082672146 7041783.290099336, 294719.1940153354 7041784.488639753, 294727.39279635256 7041786.288372171, 294727.3972992441 7041786.289338895, 294735.49310310313 7041787.988458224, 294743.3889227436 7041789.787505737, 294743.3902439024 7041789.787804878, 294747.3875018721 7041790.687187922, 294751.1847668081 7041791.586540143, 294751.1859043386 7041791.586808155, 294757.58590433863 7041793.086808155, 294757.5915347711 7041793.088093529, 294763.88955063996 7041794.487652612, 294769.0843127457 7041795.686443867, 294773.9810656353 7041796.885648657, 294773.9833135238 7041796.886193652, 294778.981020225 7041798.085643259, 294784.9787321875 7041799.58507125, 294785.000019994 7041799.589902029, 294789.88932335644 7041800.587719042, 294794.6775195421 7041801.784768089, 294799.37630837737 7041802.984458855, 294799.3869351464 7041802.9870486, 294804.9807075072 7041804.285602897, 294810.37451892055 7041805.68399845, 294810.38418973633 7041805.686403108, 294814.58145723294 7041806.685752512, 294818.5772711948 7041807.6847060025, 294822.47348758933 7041808.683735847, 294826.9711686747 7041809.88311747, 294826.9787321875 7041809.885071251, 294831.3787321875 7041810.98507125, 294831.39279635256 7041810.988372171, 294835.4819240214 7041811.885985563, 294839.97080189403 7041813.083019661, 294844.0704357169 7041814.182921419, 294844.07332030416 7041814.183686112, 294848.27000756055 7041815.282818489, 294852.96670697274 7041816.58190556, 294852.97043571685 7041816.582921418, 294857.06165063253 7041817.680564445, 294860.95295707555 7041818.877889505, 294860.9674217585 7041818.882102697, 294864.9674217585 7041819.982102697, 294864.9711686747 7041819.98311747, 294869.4711686747 7041821.18311747, 294869.4787321875 7041821.18507125, 294873.8787321875 7041822.28507125, 294873.884766808 7041822.286540143, 294877.6751347292 7041823.1842588615, 294881.9625701477 7041824.380752468, 294886.05955062347 7041825.579868703, 294886.06263943604 7041825.580761974, 294890.26263943606 7041826.780761974, 294890.26929226215 7041826.782613186, 294895.06929226214 7041828.082613186, 294895.07275335037 7041828.083537268, 294898.8661268552 7041829.081793454, 294902.9595506233 7041830.279868703, 294902.96560051607 7041830.281598151, 294907.2656005161 7041831.481598151, 294911.5656005161 7041832.681598151, 294911.57378905144 7041832.683808636, 294916.17024101247 7041833.882883061, 294920.86334680574 7041835.180976152, 294925.655418113 7041836.578663616, 294930.45086250344 7041838.077239988, 294930.47314365575 7041838.083639812, 294936.55884817237 7041839.679890177, 294941.44479910913 7041841.275302728, 294941.4563260572 7041841.278913142, 294951.4563260572 7041844.278913142, 294951.4772236711 7041844.284691626, 294956.7629325495 7041845.62360465, 294960.4686613754 7041846.632441878, 294960.47988608544 7041846.635358267, 294964.43988608546 7041847.615358267, 294968.4101712412 7041848.595428747, 294968.41300192516 7041848.596118762, 294971.3630019251 7041849.306118762, 294971.36375323404 7041849.306298971, 294976.38027076964 7041850.505466509, 294980.5068006104 7041851.554584266, 294980.509404706 7041851.555238885, 294988.9959543451 7041853.664381374, 294992.99845392635 7041854.719766837, 295024.1739379852 7041864.91175201, 295028.16341343115 7041866.41777899, 295034.7627104561 7041868.907513788, 295039.2219152158 7041870.607210669, 295039.2249092399 7041870.608340928, 295043.5824226774 7041872.237411319, 295048.0099461253 7041873.946455359, 295048.01399238186 7041873.947997135, 295052.61303722835 7041875.677637914, 295057.3871917887 7041877.495412244, 295061.8523399911 7041879.303447646, 295061.8751483093 7041879.312042286, 295068.3751483093 7041881.582042286, 295068.37874075177 7041881.583281581, 295073.3359026944 7041883.272314581, 295078.13307642884 7041884.971313613, 295078.14188611694 7041884.974341649, 295083.24046588223 7041886.673868237, 295088.2390486334 7041888.373386373, 295093.2348313356 7041890.071952491, 295098.2306402658 7041891.870443706, 295098.2313868193 7041891.870711797, 295104.9313868192 7041894.270711796, 295104.9370499008 7041894.2727020895, 295108.1562557689 7041895.382428336, 295110.1304346231 7041896.070399755, 295115.2254454884 7041897.968541058, 295115.236113649 7041897.972378306, 295120.1322473699 7041899.671036944, 295125.32539014297 7041901.568531418, 295130.32239111967 7041903.46739179, 295130.34188611695 7041903.474341649, 295135.435111186 7041905.172083339, 295140.62539014296 7041907.068531418, 295145.62239111966 7041908.96739179, 295145.6357396875 7041908.972248399, 295152.5305723052 7041911.370451049, 295157.62544548843 7041913.268541058, 295157.65032996266 7041913.277073244, 295162.7352558986 7041914.872344126, 295167.92051046033 7041916.866672804, 295167.9284035236 7041916.869632462, 295173.1284035236 7041918.7696324615, 295173.14188611694 7041918.774341648, 295178.23261481733 7041920.471251216, 295183.5234713738 7041922.467800859, 295183.5306402659 7041922.470443706, 295188.5306402659 7041924.270443706, 295188.53126935207 7041924.2706697015, 295193.83047192404 7041926.1703838315, 295200.7296756115 7041928.670095312, 295200.73126935214 7041928.670669702, 295206.02835076605 7041930.569623415, 295211.1254454884 7041932.468541058, 295211.13920878683 7041932.473440794, 295216.4322913284 7041934.271091469, 295221.5254454884 7041936.168541058, 295221.5284035236 7041936.169632462, 295226.7284035236 7041938.069632461, 295226.741886117 7041938.074341648, 295232.1338487194 7041939.871662516, 295239.12567596976 7041942.468626923, 295244.2254454884 7041944.368541058, 295244.2364447181 7041944.372493037, 295249.4299256777 7041946.170236446, 295254.7234713738 7041948.16780086, 295254.74463057186 7041948.175247663, 295259.9339674314 7041949.871761636, 295265.2234713738 7041951.86780086, 295265.2364447181 7041951.872493037, 295270.43644471804 7041953.672493037, 295270.4392087868 7041953.673440794, 295275.7352274326 7041955.472088636, 295281.03126935207 7041957.370669702, 295281.03573968756 7041957.372248399, 295287.9295765239 7041959.7701046895, 295293.2234713738 7041961.767800859, 295293.24463057186 7041961.775247662, 295298.43246072205 7041963.471269058, 295303.62051046034 7041965.466672803, 295303.63920878683 7041965.473440794, 295308.9378253645 7041967.272970953, 295314.13644471805 7041969.072493036, 295319.3338520602 7041970.871595578, 295324.6312693521 7041972.7706697015, 295324.6446305718 7041972.775247662, 295329.83820157946 7041974.473145876, 295336.8318318015 7041976.970870956, 295336.8472862228 7041976.976107658, 295342.13778022846 7041978.673058566, 295347.3284035236 7041980.569632461, 295347.3579558351 7041980.579399056, 295352.7471222426 7041982.176189103, 295357.93644471804 7041983.972493037, 295357.9439233555 7041983.975015875, 295364.9415622041 7041986.274240068, 295370.23920878686 7041988.073440794, 295370.25818577904 7041988.079467127, 295377.35137821 7041990.177453621, 295382.54463057185 7041991.875247663, 295382.54728622286 7041991.876107658, 295387.84040474735 7041993.573900391, 295392.93358994107 7041995.371495167, 295392.95795583515 7041995.379399057, 295398.3509073538 7041996.977310617, 295405.3439233555 7041999.275015875, 295405.3529570755 7041999.277889504, 295410.5460507867 7042000.875764493, 295415.83920878684 7042002.673440794, 295415.8638387671 7042002.681103023, 295421.1541758614 7042004.178368238, 295426.34463057184 7042005.875247663, 295426.34985706245 7042005.876924626, 295431.7498570625 7042007.576924625, 295431.75891683804 7042007.579682751, 295436.8572055003 7042009.079179416, 295442.1500446757 7042010.677017658, 295447.34463057184 7042012.375247663, 295447.36263943603 7042012.3807619745, 295454.36263943603 7042014.3807619745, 295454.3638387671 7042014.381103023, 295459.65837967984 7042015.879557998, 295470.05295707565 7042019.077889504, 295470.06141967437 7042019.0804117955, 295475.257177257 7042020.579188021, 295480.4529570755 7042022.1778895045, 295485.6529570756 7042023.777889504, 295485.66544773156 7042023.781555487, 295492.4634312777 7042025.680992066, 295497.6601673226 7042027.180050541, 295502.75891683804 7042028.679682751, 295507.858916838 7042030.179682751, 295507.8651850373 7042030.1814820105, 295512.86330027896 7042031.580954278, 295518.0575219174 7042033.079287442, 295522.95364286395 7042034.578099977, 295522.968441297 7042034.582381911, 295529.5655354975 7042036.38158942, 295534.46263943607 7042037.780761974, 295539.36263943603 7042039.180761974, 295539.3692922621 7042039.182613187, 295544.1646335156 7042040.481351443, 295548.95999999996 7042041.880000001, 295553.76000000007 7042043.28, 295553.7667069728 7042043.28190556, 295558.46004725195 7042044.580063509, 295563.31344098446 7042046.068038131, 295563.3253824096 7042046.07153723, 295572.3753824096 7042048.60153723, 295572.378945425 7042048.602519117, 295582.9061153452 7042051.461750454, 295596.4832944245 7042055.320948631, 295596.4880215195 7042055.32226723, 295601.33747412986 7042056.649380804, 295610.4470629958 7042059.576035999, 295610.4618100266 7042059.580524225, 295625.7586835266 7042063.979625101, 295648.95274256956 7042070.977832571, 295672.14360202133 7042078.27495645, 295703.23167547263 7042088.970853103, 295725.31927487504 7042097.166251977, 295743.6029918396 7042104.55966758, 295757.4903361596 7042110.853931553, 295781.280284506 7042122.049201362, 295793.86767999665 7042128.442799072, 295812.35334793024 7042138.455036514, 295825.265007562 7042146.110091683, 295825.26721683337 7042146.111393869, 295835.3750989527 7042152.034293175, 295844.3530242048 7042157.996274682, 295849.4783466435 7042161.413156308, 295863.3282512732 7042171.066120141, 295868.4421937947 7042174.851636187, 295891.4831960841 7042191.964953288, 295912.373895588 7042208.9292802885, 295917.9134978053 7042213.969819243, 295940.996228131 7042234.953210809, 295953.96335946117 7042247.73053051, 295964.63668476464 7042258.9435183285, 295978.5277632441 7042273.734019157, 295988.7203716988 7042285.625395686, 295988.722959202 7042285.628390372, 295991.4176387583 7042288.722281715, 295999.80779425823 7042299.010210482, 296010.00022361235 7042312.300338954, 296021.69174119487 7042328.188811567, 296032.0795479281 7042343.470873395, 296045.0631214678 7042364.760335781, 296045.0634349595 7042364.760849126, 296047.6132280205 7042368.930510719, 296054.2672217847 7042379.850653638, 296066.9554769735 7042402.929291029, 296079.54599937116 7042429.009658853, 296088.53895091737 7042449.393682358, 296100.23147018667 7042478.674948562, 296107.14776441513 7042498.554297146, 296107.1479879323 7042498.554938194, 296109.3177995581 7042504.764399114, 296110.4272362502 7042507.962775163, 296121.26097859105 7042539.664464006, 296125.5763601878 7042556.116856344, 296131.14499173383 7042577.301650597, 296135.05367989367 7042593.666158315, 296138.03324541287 7042606.134340216, 296143.0327841623 7042627.792342079, 296146.572756361 7042643.162221371, 296146.5857356554 7042643.208345607, 296146.6030704176 7042643.253015656, 296146.62460145156 7042643.295821285, 296146.65013102425 7042643.336369381, 296146.6794246816 7042643.374287568, 296146.7122134014 7042643.409227618, 296146.7481960643 7042643.440868655, 296146.78704221867 7042643.4689201, 296151.8670422187 7042646.7789201, 296151.88328404335 7042646.789065167, 296158.8307407434 7042650.94582999, 296163.614800193 7042668.441254011, 296168.36152814474 7042689.386815667, 296172.31697564083 7042708.155214266, 296174.8845215928 7042727.117090596, 296174.8852784692 7042727.122461071, 296176.855224424 7042740.572092082, 296179.2330348064 7042756.976985562, 296181.8017795384 7042787.342147023, 296181.80211104424 7042787.345897579, 296182.26211104426 7042792.335897579, 296182.26217375766 7042792.3365728725, 296183.0012259178 7042800.236441233, 296183.0706717526 7042801.555912095, 296183.8004983211 7042815.822521865, 296184.6 7042836.309752386, 296184.6 7042855.198251766, 296184.5000660563 7042869.488805711, 296184.3903568406 7042872.391113145, 296185.3896431594 7042872.428886855, 296185.4996431594 7042869.518886855, 296185.49998777494 7042869.503496418, 296185.5999877749 7042855.203496418, 296185.6 7042855.2, 296185.6 7042836.3, 296185.59961970855 7042836.280502645, 296184.79961970856 7042815.780502645, 296184.79934704024 7042815.774455267, 296184.06934704026 7042801.504455267, 296184.06930891465 7042801.503720583, 296183.99930891464 7042800.173720583, 296183.99782624235 7042800.153427128, 296183.25785782665 7042792.243764739, 296182.7980617688 7042787.255977067, 296180.2282204616 7042756.877852976, 296180.2248290595 7042756.8482769085, 296177.8448290595 7042740.428276909, 296177.8447215308 7042740.427538929, 296175.8751145346 7042726.9802221265, 296173.3054784072 7042708.002909404, 296173.29925278004 7042707.966889782, 296169.33925278 7042689.176889782, 296169.3376348955 7042689.169491138, 296164.5876348955 7042668.209491138, 296164.5822937698 7042668.18811854, 296159.74229376984 7042650.48811854, 296159.72750515724 7042650.442689741, 296159.70844826224 7042650.39887977, 296159.6852970727 7042650.357088609, 296159.6582629569 7042650.317697805, 296159.62759273406 7042650.281066995, 296159.5935664208 7042650.247530615, 296159.55649467435 7042650.217394848, 296159.5167159567 7042650.190934833, 296152.4049340351 7042645.93585183, 296147.50196859596 7042642.741203088, 296144.00724363903 7042627.567778628, 296139.00718801504 7042605.907537392, 296139.00630669936 7042605.903785568, 296136.02631342644 7042593.433813718, 296132.1163201064 7042577.063841685, 296132.1135727226 7042577.052888151, 296126.5436062435 7042555.863015676, 296122.2236398122 7042539.393143656, 296122.2131348621 7042539.358310784, 296111.3731348621 7042507.6383107845, 296111.3723876344 7042507.636140539, 296110.26238763443 7042504.436140539, 296110.2620120677 7042504.435061805, 296108.0921240282 7042498.225382208, 296101.1722355849 7042478.335702853, 296101.1643475619 7042478.314577936, 296089.4643475619 7042449.014577936, 296089.4574589008 7042448.998179897, 296080.4574589008 7042428.598179896, 296080.4502758182 7042428.582625467, 296067.8502758182 7042402.482625468, 296067.8381479948 7042402.4591134405, 296055.13814799476 7042379.35911344, 296055.126978535 7042379.339828267, 296048.466978535 7042368.409828267, 296048.4665650405 7042368.409150874, 296045.91672184947 7042364.239407303, 296032.92687853216 7042342.9396642195, 296032.9135135135 7042342.918918919, 296022.5135135135 7042327.618918919, 296022.50271882006 7042327.603659737, 296010.8027188201 7042311.703659737, 296010.7967551619 7042311.695721605, 296000.5967551619 7042298.395721605, 296000.5874809967 7042298.383996081, 295992.18748099665 7042288.083996081, 295992.17704079795 7042288.071609628, 295989.478340488 7042284.973101865, 295979.2796283012 7042273.074604314, 295979.26446127286 7042273.057701913, 295965.36446127284 7042258.257701912, 295965.36216106627 7042258.255269145, 295954.6821610663 7042247.035269145, 295954.67093713343 7042247.02384957, 295941.6909371334 7042234.23384957, 295941.6763284215 7042234.220022713, 295918.5864150201 7042213.230101435, 295913.0365021947 7042208.180180756, 295913.01519147743 7042208.161857844, 295892.10519147746 7042191.181857845, 295892.08812993794 7042191.16860426, 295869.0381299379 7042174.04860426, 295869.0374823611 7042174.048124093, 295863.9174823611 7042170.258124093, 295863.90589633083 7042170.249800917, 295850.04589633085 7042160.589800917, 295850.03735009814 7042160.583974853, 295844.90735009813 7042157.163974853, 295844.9066012115 7042157.163476568, 295835.91660121153 7042151.193476568, 295835.89278316667 7042151.178606131, 295825.7738894944 7042145.249254404, 295812.854992438 7042137.589908316, 295812.83812626236 7042137.580345723, 295794.33812626236 7042127.560345723, 295794.3264327284 7042127.554210566, 295781.7264327284 7042121.154210566, 295781.71289851813 7042121.147590648, 295757.91289851815 7042109.947590649, 295757.90640765964 7042109.944592625, 295744.0064076596 7042103.644592624, 295743.98744090984 7042103.636463695, 295725.68744090985 7042096.236463696, 295725.6739334845 7042096.231228048, 295703.5739334845 7042088.031228048, 295703.56266734086 7042088.027200533, 295672.4626673408 7042077.327200533, 295672.4500736609 7042077.32305357, 295649.25007366086 7042070.023053571, 295649.24443093716 7042070.021314608, 295626.0444309372 7042063.021314608, 295626.0381899734 7042063.019475775, 295610.74559808586 7042058.621606212, 295601.63293700415 7042055.693964001, 295601.6119784805 7042055.68773277, 295596.7543452143 7042054.358380456, 295583.17670557555 7042050.49905137, 295583.17105457507 7042050.497480883, 295572.6428378631 7042047.637965233, 295563.6006100812 7042045.110138019, 295558.74655901553 7042043.621961868, 295558.7332930272 7042043.61809444, 295554.0366531943 7042042.319023848, 295549.23999999993 7042040.92, 295544.44 7042039.52, 295544.43070773786 7042039.517386814, 295539.6340405368 7042038.218289447, 295534.73736056394 7042036.819238026, 295529.8373605639 7042035.419238026, 295529.831558703 7042035.417618089, 295523.2389908886 7042033.619645048, 295518.34635713603 7042032.121900022, 295518.33858032565 7042032.119588204, 295513.13858032564 7042030.619588204, 295513.1348149627 7042030.618517989, 295508.13795491186 7042029.219397176, 295503.041083162 7042027.720317249, 295497.941083162 7042026.220317249, 295497.93858032563 7042026.219588204, 295492.7385803256 7042024.719588204, 295492.7345522684 7042024.718444513, 295485.9408214551 7042022.820196197, 295480.74704292434 7042021.222110496, 295475.5470429245 7042019.622110495, 295475.53858032566 7042019.619588204, 295470.3428227412 7042018.120811977, 295459.94704292435 7042014.922110496, 295459.9361612329 7042014.918896978, 295454.6367613468 7042013.419066821, 295447.646416925 7042011.421825558, 295442.45536942815 7042009.724752338, 295442.444502296 7042009.721336145, 295437.144502296 7042008.121336144, 295437.141083162 7042008.120317249, 295432.0456260923 7042006.621653405, 295426.6527607931 7042004.923899515, 295421.45536942815 7042003.224752338, 295421.4361612329 7042003.218896978, 295416.148575081 7042001.722410331, 295410.86079121317 7041999.926559206, 295410.8470429245 7041999.922110496, 295405.6515734293 7041998.323504497, 295398.6560766445 7041996.024984125, 295398.6420441648 7041996.020600944, 295393.2543283743 7041994.42424071, 295388.1664100589 7041992.628504833, 295388.15271377715 7041992.623892342, 295382.8540428545 7041990.924318651, 295377.65536942816 7041989.224752338, 295377.641814221 7041989.220532873, 295370.55136273114 7041987.123357079, 295365.26079121314 7041985.326559206, 295365.25607664447 7041985.324984125, 295358.25982589077 7041983.02621602, 295353.06355528196 7041981.227506964, 295353.0420441649 7041981.220600944, 295347.6569723826 7041979.625024119, 295342.4715964764 7041977.7303675385, 295342.4527137772 7041977.723892342, 295337.1604837301 7041976.026384591, 295330.1681681985 7041973.529129044, 295330.15536942816 7041973.5247523375, 295324.96208236 7041971.82694695, 295319.6687306479 7041969.929330299, 295319.663555282 7041969.927506964, 295314.463555282 7041968.127506963, 295309.2635552819 7041966.327506963, 295309.26079121314 7041966.326559206, 295303.970207688 7041964.529757254, 295298.7794895396 7041962.533327197, 295298.75536942814 7041962.5247523375, 295293.5660325686 7041960.828238364, 295288.2765286262 7041958.83219914, 295288.2642603124 7041958.827751601, 295281.3664991558 7041956.42853033, 295276.06873064797 7041954.529330298, 295276.0607912132 7041954.526559206, 295270.7621746354 7041952.727029047, 295265.5700743223 7041950.929763555, 295260.2765286262 7041948.932199141, 295260.25536942814 7041948.924752338, 295255.0660325686 7041947.228238365, 295249.7765286262 7041945.232199141, 295249.7635552819 7041945.227506964, 295244.56907801 7041943.429418677, 295239.4745545116 7041941.531458942, 295232.4740932648 7041938.931287364, 295232.45811388304 7041938.925658352, 295227.064888814 7041937.127916661, 295221.87307730183 7041935.230908609, 295216.7745545116 7041933.331458942, 295216.76079121314 7041933.326559206, 295211.4677086716 7041931.528908531, 295206.3745545116 7041929.631458942, 295206.3687306479 7041929.629330298, 295201.0695280814 7041927.729616171, 295194.17032438854 7041925.229904688, 295194.16873064794 7041925.2293302985, 295188.86904556846 7041923.329443194, 295183.872954266 7041921.530850326, 295178.57652862626 7041919.532199141, 295178.5581138831 7041919.525658351, 295173.46488881396 7041917.827916661, 295168.2755555049 7041915.931814107, 295163.07948953967 7041913.933327197, 295163.04967003735 7041913.922926757, 295157.9622245448 7041912.326865425, 295152.87455451157 7041910.431458943, 295152.8642603125 7041910.427751602, 295145.9709690695 7041908.030085082, 295140.9776088803 7041906.13260821, 295140.9715964764 7041906.130367538, 295135.7715964764 7041904.2303675385, 295135.758113883 7041904.225658352, 295130.6679333165 7041902.528931496, 295125.67760888033 7041900.63260821, 295125.6715964764 7041900.630367538, 295120.4715964764 7041898.7303675385, 295120.46388635103 7041898.727621694, 295115.56924219424 7041897.029479844, 295110.4745545116 7041895.131458942, 295110.4645377507 7041895.127848193, 295108.4845377507 7041894.437848194, 295108.48295009916 7041894.43729791, 295105.2657875909 7041893.328276052, 295098.5689865572 7041890.929421951, 295093.56935973425 7041889.129556294, 295093.56095136655 7041889.126613627, 295088.56095136655 7041887.426613628, 295083.5609513667 7041885.726613628, 295083.5581138831 7041885.725658352, 295078.46253284806 7041884.02713134, 295073.66692357115 7041882.328686387, 295073.66125924827 7041882.326718419, 295068.7030577672 7041880.637331221, 295062.21636062727 7041878.371976988, 295057.75766000897 7041876.566552354, 295057.74791635893 7041876.562725168, 295052.96791635896 7041874.742725167, 295052.9660076182 7041874.742002865, 295048.36803408875 7041873.012764995, 295043.9400538747 7041871.303544641, 295043.9350907601 7041871.301659071, 295039.57658957096 7041869.672219406, 295035.11808478425 7041867.972789331, 295035.11649350554 7041867.972185889, 295028.5165387512 7041865.482202959, 295024.5165865688 7041863.97222101, 295024.4953694281 7041863.964752338, 294993.2953694282 7041853.764752338, 294993.26748343033 7041853.756525104, 294989.2474834303 7041852.696525103, 294989.240595294 7041852.694761115, 294980.75189818896 7041850.585084921, 294976.6231993896 7041849.535415734, 294976.61624676595 7041849.533701029, 294971.5966227724 7041848.333790911, 294968.6484143439 7041847.6242221035, 294964.67997176043 7041846.644606553, 294960.72574318195 7041845.666034834, 294957.0213386246 7041844.657558122, 294957.0127763289 7041844.655308373, 294951.7332877971 7041843.3179710135, 294941.74945922045 7041840.32282244, 294936.85520089086 7041838.724697272, 294936.82685634424 7041838.716360188, 294930.73807111697 7041837.119301767, 294925.94913749653 7041835.622760011, 294925.93999999994 7041835.619999999, 294921.13999999996 7041834.22, 294921.13329302723 7041834.21809444, 294916.4332930272 7041832.91809444, 294916.42621094856 7041832.916191365, 294911.8303146303 7041831.71726189, 294907.53439948393 7041830.518401849, 294903.2374298548 7041829.319247534, 294899.14044937666 7041828.120131296, 294899.12724664964 7041828.116462731, 294895.32897887495 7041827.11691858, 294890.53404053685 7041825.818289447, 294886.3389063615 7041824.619679682, 294882.2404493765 7041823.420131297, 294882.2343994839 7041823.418401849, 294877.9343994839 7041822.218401849, 294877.915233192 7041822.213459857, 294874.11825510307 7041821.314175572, 294869.72505717777 7041820.215876091, 294865.23070682323 7041819.017382663, 294861.23984231043 7041817.9198949225, 294857.34704292443 7041816.722110496, 294857.32956428314 7041816.717078581, 294853.2314305861 7041815.617579296, 294848.53329302726 7041814.31809444, 294848.5266796959 7041814.316313888, 294844.32812312717 7041813.21669193, 294840.2295642831 7041812.117078581, 294840.2288313252 7041812.11688253, 294835.7288313252 7041810.916882531, 294835.7072036474 7041810.911627829, 294831.6142595902 7041810.0131766945, 294827.22505717777 7041808.915876091, 294822.72883132525 7041807.716882531, 294822.7241876751 7041807.715668067, 294818.82418767514 7041806.715668067, 294818.8212678125 7041806.71492875, 294814.8212678125 7041805.71492875, 294814.8158102637 7041805.713596893, 294810.62065766065 7041804.714751035, 294805.2254810794 7041803.31600155, 294805.21306485357 7041803.3129514, 294799.61839241476 7041802.0141881555, 294794.9236916226 7041800.815541144, 294794.92126781255 7041800.81492875, 294790.12126781256 7041799.614928749, 294790.099980006 7041799.61009797, 294785.21067664324 7041798.612280957, 294779.2212678125 7041797.114928749, 294779.21668647614 7041797.113806348, 294774.21781107626 7041795.914076253, 294769.3189343647 7041794.714351344, 294769.31242975336 7041794.712804402, 294764.11242975335 7041793.512804402, 294764.1084652289 7041793.51190647, 294757.8112842093 7041792.11253291, 294751.41466427536 7041790.6133251125, 294747.6152331919 7041789.713459857, 294747.6097560976 7041789.712195122, 294743.61041681044 7041788.812343782, 294735.71107725636 7041787.012494263, 294735.70270075585 7041787.010661105, 294727.60495442833 7041785.311134097, 294719.4072036474 7041783.511627829, 294719.4047645444 7041783.511098793, 294713.8047645444 7041782.311098793, 294713.79355605395 7041782.308830717, 294709.602215072 7041781.510480054, 294705.21081055177 7041780.512433572, 294705.1809034588 7041780.506588781, 294700.25763858145 7041779.6993328, 294692.21414933406 7041777.813204427, 294692.2054189361 7041777.811239478, 294682.0058173596 7041775.611325412, 294677.40621482214 7041774.611411817, 294677.3980580675 7041774.609709661, 294672.90214353544 7041773.710526756, 294668.30621482217 7041772.711411818, 294663.70621482213 7041771.711411818, 294659.10621482215 7041770.711411818, 294659.10405382223 7041770.710947036, 294654.40900924435 7041769.7120013805, 294649.7139422337 7041768.61315591, 294649.69214426744 7041768.6085639065, 294644.8966029972 7041767.709399919, 294638.6025507123 7041766.410627225, 294633.9040538222 7041765.410947036, 294633.89805806754 7041765.409709662, 294628.90001918434 7041764.410101886, 294624.10575442686 7041763.411296728, 294619.20951917116 7041762.312141874, 294619.1903257601 7041762.308226417, 294614.29516210954 7041761.409114727, 294609.4037114702 7041760.410859494, 294604.40847540536 7041759.311907559, 294599.50951917114 7041758.212141874, 294599.4952387342 7041758.209154217, 294592.7966492918 7041756.909427907, 294587.8027539099 7041755.91064883, 294582.8074308914 7041754.811677766, 294582.79805806756 7041754.809709662, 294577.80275390926 7041753.81064883, 294572.8074308913 7041752.711677766, 294572.7944236968 7041752.7089967765, 294567.60094510677 7041751.710250894, 294562.60743089137 7041750.611677766, 294557.6074308913 7041749.511677766, 294557.5944236968 7041749.508996776, 294552.3983525475 7041748.509752325, 294545.7073609076 7041747.111634668, 294540.5124297533 7041745.912804402, 294540.46294113627 7041745.903977407, 294540.41281630046 7041745.900164285, 294536.1981437872 7041745.792095758, 294530.35955637466 7041743.826141621, 294530.3054189361 7041743.811239478, 294525.2099788982 7041742.712223, 294520.1145196669 7041741.513291416, 294520.1034792955 7041741.510825149, 294514.9090134498 7041740.411995836, 294508.1145196669 7041738.813291416, 294508.1104128263 7041738.812343351, 294502.81246828404 7041737.612808737, 294497.7145196668 7041736.413291416, 294497.7104128263 7041736.412343351, 294492.4169785399 7041735.213829928, 294487.32560106437 7041733.916027826, 294482.02769556147 7041732.516581089, 294482.00541893614 7041732.511239478, 294476.9209114476 7041731.414581001, 294471.6361612329 7041729.918896978, 294471.62998673675 7041729.917192121, 294466.42998673674 7041728.517192121, 294466.42621094856 7041728.516191363, 294459.52810075146 7041726.716684355, 294454.32998673676 7041725.3171921205, 294449.13727579126 7041723.919154559, 294443.844502296 7041722.321336145, 294443.83235849085 7041722.317836925, 294438.73721522 7041720.919170146, 294433.34454749257 7041719.32134267, 294428.1473024904 7041717.722190362, 294425.5575612965 7041716.922270303, 294425.5565280111 7041716.921952365, 294422.94678565563 7041716.122031336, 294417.74847949075 7041714.522552516, 294410.74991329835 7041712.323003141, 294410.7385803256 7041712.319588204, 294405.5456788293 7041710.821635849, 294400.2527137772 7041709.123892342, 294400.2420441648 7041709.120600943, 294394.85047064273 7041707.523097678, 294382.5022260622 7041703.387035173, 294372.371102864 7041699.830151683, 294367.07652862626 7041697.83219914, 294367.0627564697 7041697.827231207, 294364.6227564697 7041696.987231207, 294364.29724353034 7041697.932768793, 294366.73032108246 7041698.770385655))</t>
  </si>
  <si>
    <t>2024-10-23</t>
  </si>
  <si>
    <t>[400]</t>
  </si>
  <si>
    <t>['RV400 S1D1 m843 KD1 m0-74']</t>
  </si>
  <si>
    <t>LINESTRING Z (216677.56 6555592.66 2.75, 216678.83000000002 6555589.67 2.73, 216680.56 6555587 2.74, 216681.66999999998 6555585.88 2.74, 216683.19 6555584.72 2.75, 216685.40000000002 6555583.75 2.7600000000000002, 216687.09 6555583.37 2.7600000000000002, 216690.51 6555582.97 2.77, 216693.05 6555583.27 2.7800000000000002, 216694.89 6555583.99 2.43, 216696.96000000002 6555585.6 2.62, 216698.5 6555587.55 2.7800000000000002, 216700.27000000002 6555590.24 2.8000000000000003, 216700.99 6555593.82 2.7800000000000002, 216701.07 6555595.57 2.77, 216700.38 6555598.79 2.7800000000000002, 216699.02000000002 6555601.43 2.7800000000000002, 216696.68 6555604.06 2.7800000000000002, 216693.74 6555605.49 2.7800000000000002, 216690.27000000002 6555606.23 2.87, 216687.36 6555606.25 2.88, 216684.03 6555605.45 2.32, 216682.38 6555604.26 2.52, 216680.66 6555602.75 2.7600000000000002, 216679.14 6555600.46 2.7600000000000002, 216678.03 6555597.86 2.75, 216677.49 6555595.39 2.75, 216677.56 6555592.66 2.75)</t>
  </si>
  <si>
    <t>POLYGON Z ((216677.56 6555592.66 2.75, 216678.83000000002 6555589.67 2.73, 216680.56 6555587 2.74, 216681.66999999998 6555585.88 2.74, 216683.19 6555584.72 2.75, 216685.40000000002 6555583.75 2.7600000000000002, 216687.09 6555583.37 2.7600000000000002, 216690.51 6555582.97 2.77, 216693.05 6555583.27 2.7800000000000002, 216694.89 6555583.99 2.43, 216696.96000000002 6555585.6 2.62, 216698.5 6555587.55 2.7800000000000002, 216700.27000000002 6555590.24 2.8000000000000003, 216700.99 6555593.82 2.7800000000000002, 216701.07 6555595.57 2.77, 216700.38 6555598.79 2.7800000000000002, 216699.02000000002 6555601.43 2.7800000000000002, 216696.68 6555604.06 2.7800000000000002, 216693.74 6555605.49 2.7800000000000002, 216690.27000000002 6555606.23 2.87, 216687.36 6555606.25 2.88, 216684.03 6555605.45 2.32, 216682.38 6555604.26 2.52, 216680.66 6555602.75 2.7600000000000002, 216679.14 6555600.46 2.7600000000000002, 216678.03 6555597.86 2.75, 216677.49 6555595.39 2.75, 216677.56 6555592.66 2.75))</t>
  </si>
  <si>
    <t>['RV400 S1D1 m5230 KD1 m0-15', 'RV400 S1D1 m5230 KD1 m16-86']</t>
  </si>
  <si>
    <t>LINESTRING Z (217222.66999999998 6559623.42 21.580000000000002, 217226.06 6559621.85 21.6, 217229.66999999998 6559621.32 21.66, 217232.41999999998 6559621.56 21.7, 217235.22 6559622.38 21.78, 217236.08000000002 6559622.82 21.81, 217237.56 6559623.58 21.84, 217239.62 6559625.27 21.95, 217241.16 6559627.19 21.92, 217242.66 6559630.05 21.97, 217243.46000000002 6559632.53 21.98, 217243.64 6559635.49 22.05, 217243.31 6559637.86 22.12, 217242.6 6559640.46 22.21, 217241.52000000002 6559642.52 22.26, 217240.58000000002 6559643.73 22.29, 217238.53 6559645.89 22.330000000000002, 217236.81 6559647.01 22.54, 217234.91999999998 6559647.82 22.25, 217232.16999999998 6559648.51 22.19, 217229.43 6559648.71 22.18, 217227.35 6559648.48 22.11, 217225.22 6559647.85 22.09, 217221.94 6559646.2 21.98, 217219.65000000002 6559644.03 21.8, 217217.63 6559641.4 21.7, 217216.83000000002 6559638.6 21.67, 217216.43 6559636.68 21.650000000000002, 217216.36 6559634.13 21.56, 217217 6559630.44 21.52, 217218.55 6559627.1 21.5, 217220.1 6559625.2 21.55, 217222.66999999998 6559623.42 21.580000000000002)</t>
  </si>
  <si>
    <t>POLYGON Z ((217222.66999999998 6559623.42 21.580000000000002, 217226.06 6559621.85 21.6, 217229.66999999998 6559621.32 21.66, 217232.41999999998 6559621.56 21.7, 217235.22 6559622.38 21.78, 217236.08000000002 6559622.82 21.81, 217237.56 6559623.58 21.84, 217239.62 6559625.27 21.95, 217241.16 6559627.19 21.92, 217242.66 6559630.05 21.97, 217243.46000000002 6559632.53 21.98, 217243.64 6559635.49 22.05, 217243.31 6559637.86 22.12, 217242.6 6559640.46 22.21, 217241.52000000002 6559642.52 22.26, 217240.58000000002 6559643.73 22.29, 217238.53 6559645.89 22.330000000000002, 217236.81 6559647.01 22.54, 217234.91999999998 6559647.82 22.25, 217232.16999999998 6559648.51 22.19, 217229.43 6559648.71 22.18, 217227.35 6559648.48 22.11, 217225.22 6559647.85 22.09, 217221.94 6559646.2 21.98, 217219.65000000002 6559644.03 21.8, 217217.63 6559641.4 21.7, 217216.83000000002 6559638.6 21.67, 217216.43 6559636.68 21.650000000000002, 217216.36 6559634.13 21.56, 217217 6559630.44 21.52, 217218.55 6559627.1 21.5, 217220.1 6559625.2 21.55, 217222.66999999998 6559623.42 21.580000000000002))</t>
  </si>
  <si>
    <t>[19]</t>
  </si>
  <si>
    <t>['RV19 S4D1 m2930 KD1 m0-92']</t>
  </si>
  <si>
    <t>LINESTRING Z (242431.58000000002 6591695.96 26.5, 242429.43 6591697.06 26.5, 242426.1 6591698.1 26.5, 242422.3 6591698.3 26.5, 242419.90000000002 6591698.1 26.5, 242417.8 6591697.6 26.5, 242415.3 6591696 26.5, 242413.49 6591694.62 26.5, 242411.2 6591691.99 26.5, 242410.19 6591690.04 26.5, 242409.8 6591688.9 26.5, 242409 6591687 26.5, 242408.7 6591684.3 26.5, 242408.90000000002 6591681.5 26.5, 242409.5 6591679 26.5, 242410.5 6591676.7 26.5, 242411.3 6591675.2 26.5, 242412.5 6591673.5 26.5, 242414.5 6591671.8 26.5, 242416.2 6591670.7 26.5, 242418.93 6591669.49 26.5, 242421.6 6591668.88 26.5, 242424.74 6591668.96 26.5, 242427.11 6591669.34 26.5, 242430.7 6591670.6 26.5, 242432.8 6591672.2 26.5, 242435.32 6591674.9 26.5, 242436.2 6591676.2 26.5, 242437.40000000002 6591678.56 26.5, 242438 6591680.5 26.5, 242438.40000000002 6591684.6 26.6, 242437.8 6591687.6 26.5, 242436.40000000002 6591691.1 26.5, 242433.90000000002 6591694 26.5, 242432.39 6591695.27 26.5)</t>
  </si>
  <si>
    <t>POLYGON Z ((242431.58000000002 6591695.96 26.5, 242429.43 6591697.06 26.5, 242426.1 6591698.1 26.5, 242422.3 6591698.3 26.5, 242419.90000000002 6591698.1 26.5, 242417.8 6591697.6 26.5, 242415.3 6591696 26.5, 242413.49 6591694.62 26.5, 242411.2 6591691.99 26.5, 242410.19 6591690.04 26.5, 242409.8 6591688.9 26.5, 242409 6591687 26.5, 242408.7 6591684.3 26.5, 242408.90000000002 6591681.5 26.5, 242409.5 6591679 26.5, 242410.5 6591676.7 26.5, 242411.3 6591675.2 26.5, 242412.5 6591673.5 26.5, 242414.5 6591671.8 26.5, 242416.2 6591670.7 26.5, 242418.93 6591669.49 26.5, 242421.6 6591668.88 26.5, 242424.74 6591668.96 26.5, 242427.11 6591669.34 26.5, 242430.7 6591670.6 26.5, 242432.8 6591672.2 26.5, 242435.32 6591674.9 26.5, 242436.2 6591676.2 26.5, 242437.40000000002 6591678.56 26.5, 242438 6591680.5 26.5, 242438.40000000002 6591684.6 26.6, 242437.8 6591687.6 26.5, 242436.40000000002 6591691.1 26.5, 242433.90000000002 6591694 26.5, 242432.39 6591695.27 26.5, 242431.58000000002 6591695.96 26.5))</t>
  </si>
  <si>
    <t>2015-06-24</t>
  </si>
  <si>
    <t>['EV18 S42D1 m2343-2422']</t>
  </si>
  <si>
    <t>LINESTRING Z (232319.79541 6602178.833389 -999999, 232309.645996 6602173.953308 -999999, 232295.124512 6602168.121811 -999999, 232290.60498 6602164.733658 -999999, 232284.168945 6602160.225861 -999999, 232275.452148 6602149.107819 -999999, 232271.844727 6602140.728394 -999999, 232266.15332 6602128.793839 -999999, 232265.601074 6602120.227539 -999999, 232269.410645 6602112.603294 -999999, 232279.214844 6602111.97155 -999999, 232285.414551 6602112.805229 -999999, 232291.951172 6602128.36467 -999999, 232298.172363 6602139.031937 -999999, 232299.175781 6602145.112915 -999999, 232307.330566 6602147.665283 -999999, 232316.92041 6602153.192993 -999999, 232322.667969 6602156.511993 -999999, 232329.183105 6602162.247833 -999999, 232330.559082 6602164.615433 -999999, 232331.572266 6602170.69577 -999999, 232328.665039 6602173.339355 -999999, 232323.351074 6602176.759583 -999999, 232319.186523 6602178.87262 -999999, 232319.79541 6602178.833389 -999999)</t>
  </si>
  <si>
    <t>2008-11-27</t>
  </si>
  <si>
    <t>['EV18 S35D1 m523 SD1 m143-193']</t>
  </si>
  <si>
    <t>LINESTRING (226344.46448617213 6569783.154274612, 226346.59968413558 6569791.446716191, 226348.56578277354 6569800.595918614, 226351.5187785047 6569817.045174904, 226357.21164330892 6569850.189155081, 226361.3669256679 6569866.244540685, 226366.89272170624 6569878.899642895, 226377.9244236289 6569882.559014474, 226388.44026417052 6569881.187999974, 226394.4941976802 6569875.531243371, 226396.75336200668 6569866.308508637)</t>
  </si>
  <si>
    <t>POLYGON ((226346.11296289042 6569791.561625548, 226348.07515413754 6569800.692645002, 226351.02631331343 6569817.131671014, 226356.71885954178 6569850.273796435, 226356.72759198627 6569850.314432043, 226360.88287434526 6569866.369817646, 226360.89430658522 6569866.407731379, 226360.9087033703 6569866.444621484, 226366.43449940864 6569879.099723694, 226366.45510891333 6569879.141500381, 226366.47951697267 6569879.181177703, 226366.5075117206 6569879.218411255, 226366.53885015787 6569879.252877841, 226366.5732602614 6569879.284278288, 226366.61044334553 6569879.312340032, 226366.65007665468 6569879.336819494, 226366.69181616485 6569879.357504188, 226366.73529956982 6569879.374214566, 226377.76700149247 6569883.033586145, 226377.8102863439 6569883.045812872, 226377.8544948267 6569883.054100287, 226377.89926919327 6569883.058381327, 226377.94424711668 6569883.058621349, 226377.98906462276 6569883.054818409, 226388.5049051644 6569881.6838039085, 226388.5558523467 6569881.674455905, 226388.6055590364 6569881.659887256, 226388.65349178124 6569881.640254312, 226388.6991361669 6569881.615767772, 226388.7420023377 6569881.586690429, 226388.78163025403 6569881.553334338, 226394.8355637637 6569875.8965777345, 226394.86917977058 6569875.861982591, 226394.89930565454 6569875.8243091125, 226394.92566102053 6569875.7839079425, 226394.94800056765 6569875.741155113, 226394.96611637188 6569875.696448541, 226394.9798398215 6569875.6502043335, 226397.23900414797 6569866.4274696, 226396.2677198654 6569866.189547675, 226394.04399511023 6569875.267605121, 226388.21629756145 6569880.712968295, 226377.97324362336 6569882.048417936, 226367.26173609434 6569878.495259367, 226361.84103168658 6569866.080836566, 226357.70090605918 6569850.084014292, 226352.01156227183 6569816.96053355, 226352.01091116798 6569816.956826493, 226349.05791543683 6569800.507570203, 226349.054623087 6569800.490870302, 226347.08852444903 6569791.341667878, 226347.08389035592 6569791.322039264, 226344.94869239247 6569783.029597685, 226343.9802799518 6569783.278951539, 226346.11296289042 6569791.561625548))</t>
  </si>
  <si>
    <t>['RV19 S4D1 m2906-2930']</t>
  </si>
  <si>
    <t>LINESTRING Z (242461.16999999998 6591691.93 26.02, 242453.40000000002 6591690.2 26.1, 242443.71000000002 6591688.6 26.310000000000002, 242437.8 6591687.6 26.5)</t>
  </si>
  <si>
    <t>POLYGON ((242453.50866474028 6591689.711950849, 242453.4814563861 6591689.706679762, 242443.79243687209 6591688.106841658, 242437.8834166758 6591687.107007446, 242437.7165833242 6591688.0929925535, 242443.62658332422 6591689.0929925535, 242443.62854361394 6591689.0933202375, 242453.30486636615 6591690.691061869, 242461.06133525973 6591692.418049151, 242461.27866474024 6591691.441950848, 242453.50866474028 6591689.711950849))</t>
  </si>
  <si>
    <t>['RV19 S4D1 m2811-2930']</t>
  </si>
  <si>
    <t>LINESTRING Z (242548.32 6591729.03 25.400000000000002, 242547.3 6591728.4 25.400000000000002, 242542.90000000002 6591725.6 25.400000000000002, 242535 6591721.3 25.400000000000002, 242528.3 6591717.4 25.5, 242521.2 6591714 25.5, 242514.3 6591710.7 25.6, 242502.7 6591705.6 25.7, 242492.90000000002 6591701.9 25.7, 242481.90000000002 6591698 25.900000000000002, 242472.3 6591694.9 26, 242463.3 6591692.4 26, 242453.40000000002 6591690.2 26.1, 242443.71000000002 6591688.6 26.310000000000002, 242437.8 6591687.6 26.5)</t>
  </si>
  <si>
    <t>POLYGON ((242547.56560405283 6591727.976365997, 242543.16843774618 6591725.178169256, 242543.13903648785 6591725.16083994, 242535.24533591466 6591720.8642687425, 242528.55153439273 6591716.967876812, 242528.5159524688 6591716.949040433, 242521.41595246881 6591713.549040433, 242514.51572774863 6591710.24893289, 242514.501237066 6591710.24228432, 242502.90123706602 6591705.14228432, 242502.87660745767 6591705.132228895, 242493.07660745768 6591701.432228896, 242493.06708217305 6591701.428742589, 242482.06708217305 6591697.528742589, 242482.05364619548 6591697.524192427, 242472.45364619544 6591694.424192428, 242472.4338219319 6591694.418241045, 242463.4338219319 6591691.918241045, 242463.40846522892 6591691.911906471, 242453.50846522895 6591689.71190647, 242453.4814563861 6591689.706679762, 242443.79243687209 6591688.106841658, 242437.8834166758 6591687.107007446, 242437.7165833242 6591688.0929925535, 242443.62658332422 6591689.0929925535, 242443.62854361394 6591689.0933202375, 242453.30496727492 6591690.691078531, 242463.17877360428 6591692.885257715, 242472.15620434264 6591695.3789884765, 242481.73960352998 6591698.473627796, 242492.72813748263 6591702.369562562, 242502.51094393732 6591706.0630711205, 242514.09146460422 6591711.154506932, 242520.98415968975 6591714.451013276, 242528.0658770786 6591717.842258224, 242534.74846560726 6591721.732123188, 242534.76096351218 6591721.739160059, 242542.64596700526 6591726.030997403, 242547.03156225383 6591728.821830744, 242547.03725355965 6591728.825398999, 242548.05725355967 6591729.455398999, 242548.58274644034 6591728.604601001, 242547.56560405283 6591727.976365997))</t>
  </si>
  <si>
    <t>['RV19 S4D1 m2884-2930']</t>
  </si>
  <si>
    <t>LINESTRING Z (242482.07 6591698.06 25.89, 242481.90000000002 6591698 25.900000000000002, 242472.3 6591694.9 26, 242463.3 6591692.4 26, 242453.40000000002 6591690.2 26.1, 242443.71000000002 6591688.6 26.310000000000002, 242437.8 6591687.6 26.5)</t>
  </si>
  <si>
    <t>POLYGON ((242482.0664100579 6591697.528504833, 242482.05364619548 6591697.524192427, 242472.45364619544 6591694.424192428, 242472.4338219319 6591694.418241045, 242463.4338219319 6591691.918241045, 242463.40846522892 6591691.911906471, 242453.50846522895 6591689.71190647, 242453.4814563861 6591689.706679762, 242443.79243687209 6591688.106841658, 242437.8834166758 6591687.107007446, 242437.7165833242 6591688.0929925535, 242443.62658332422 6591689.0929925535, 242443.62854361394 6591689.0933202375, 242453.30496727492 6591690.691078531, 242463.17877360428 6591692.885257715, 242472.15620434264 6591695.3789884765, 242481.73994280107 6591698.4737373525, 242481.90358994214 6591698.531495167, 242482.23641005787 6591697.588504832, 242482.0664100579 6591697.528504833))</t>
  </si>
  <si>
    <t>['RV19 S4D1 m2750-2930']</t>
  </si>
  <si>
    <t>LINESTRING Z (242595.97 6591766.08 25.3, 242588.1 6591759.1 25.3, 242580.2 6591752.5 25.400000000000002, 242572.7 6591746.3 25.400000000000002, 242567.8 6591742.7 25.5, 242563.6 6591739.7 25.400000000000002, 242557.5 6591735.2 25.5, 242550.40000000002 6591730.3 25.400000000000002, 242547.3 6591728.4 25.400000000000002, 242542.90000000002 6591725.6 25.400000000000002, 242535 6591721.3 25.400000000000002, 242528.3 6591717.4 25.5, 242521.2 6591714 25.5, 242514.3 6591710.7 25.6, 242502.7 6591705.6 25.7, 242492.90000000002 6591701.9 25.7, 242481.90000000002 6591698 25.900000000000002, 242472.3 6591694.9 26, 242463.3 6591692.4 26, 242453.40000000002 6591690.2 26.1, 242443.71000000002 6591688.6 26.310000000000002, 242437.8 6591687.6 26.5)</t>
  </si>
  <si>
    <t>POLYGON ((242588.43176868567 6591758.72592843, 242588.4205697014 6591758.7162877815, 242580.52056970142 6591752.116287782, 242580.5185734917 6591752.114628841, 242573.0185734917 6591745.914628841, 242572.99603821698 6591745.897059093, 242568.09603821696 6591742.297059094, 242568.09061909685 6591742.293133264, 242563.89373906032 6591739.295361809, 242557.7968244743 6591734.797637935, 242557.78400190393 6591734.788487038, 242550.68400190395 6591729.888487037, 242550.66128102894 6591729.873699374, 242547.56487823412 6591727.975904113, 242543.16843774618 6591725.178169256, 242543.13903648785 6591725.16083994, 242535.24533591466 6591720.8642687425, 242528.55153439273 6591716.967876812, 242528.5159524688 6591716.949040433, 242521.41595246881 6591713.549040433, 242514.51572774863 6591710.24893289, 242514.501237066 6591710.24228432, 242502.90123706602 6591705.14228432, 242502.87660745767 6591705.132228895, 242493.07660745768 6591701.432228896, 242493.06708217305 6591701.428742589, 242482.06708217305 6591697.528742589, 242482.05364619548 6591697.524192427, 242472.45364619544 6591694.424192428, 242472.4338219319 6591694.418241045, 242463.4338219319 6591691.918241045, 242463.40846522892 6591691.911906471, 242453.50846522895 6591689.71190647, 242453.4814563861 6591689.706679762, 242443.79243687209 6591688.106841658, 242437.8834166758 6591687.107007446, 242437.7165833242 6591688.0929925535, 242443.62658332422 6591689.0929925535, 242443.62854361394 6591689.0933202375, 242453.30496727492 6591690.691078531, 242463.17877360428 6591692.885257715, 242472.15620434264 6591695.3789884765, 242481.73960352998 6591698.473627796, 242492.72813748263 6591702.369562562, 242502.51094393732 6591706.0630711205, 242514.09146460422 6591711.154506932, 242520.98415968975 6591714.451013276, 242528.0658770786 6591717.842258224, 242534.74846560726 6591721.732123188, 242534.76096351218 6591721.739160059, 242542.64596700526 6591726.030997403, 242547.03156225383 6591728.821830744, 242547.03871897107 6591728.826300627, 242550.1271580221 6591730.719214883, 242557.20951471376 6591735.607038516, 242563.3031755257 6591740.102362066, 242563.30938090314 6591740.106866736, 242567.50665820987 6591743.104921955, 242572.392443021 6591746.694478142, 242579.88042622793 6591752.884544261, 242587.773759573 6591759.47897465, 242595.63823131434 6591766.454071569, 242596.30176868566 6591765.705928431, 242588.43176868567 6591758.72592843))</t>
  </si>
  <si>
    <t>['RV19 S4D1 m2230-2425']</t>
  </si>
  <si>
    <t>LINESTRING Z (242848.25 6592217.53 16.54, 242847.1 6592214.4 16.6, 242843.1 6592203.6 16.8, 242838.5 6592191.9 17.1, 242834.8 6592182.7 17.3, 242831.6 6592174.9 17.5, 242828.40000000002 6592167.2 17.6, 242824.40000000002 6592157.7 17.8, 242821.3 6592150.5 18, 242818.2 6592143.4 18.1, 242814.3 6592134.1 18.3, 242811.6 6592127.8 18.5, 242808.6 6592120.8 18.6, 242804.90000000002 6592112.4 18.8, 242801.7 6592105.4 18.900000000000002, 242798.5 6592097.7 19.1, 242794.1 6592087.8 19.3, 242790.7 6592080.1 19.400000000000002, 242787.1 6592071.8 19.6, 242783.40000000002 6592063.7 19.7, 242779.2 6592054.2 20, 242775.3 6592045.8 20.1, 242771.6 6592037.9 20.3, 242771.55 6592037.79 20.3)</t>
  </si>
  <si>
    <t>POLYGON ((242847.56932497444 6592214.227564307, 242847.56887438038 6592214.226342822, 242843.56887438038 6592203.426342822, 242843.5653273893 6592203.41705077, 242838.9653273893 6592191.71705077, 242838.96388978796 6592191.713435629, 242835.26388978795 6592182.513435629, 242835.26258430918 6592182.510221822, 242832.0625843092 6592174.710221822, 242832.0617156707 6592174.708118163, 242828.8617156707 6592167.008118163, 242828.8608176876 6592167.0059715, 242824.8608176876 6592157.5059715, 242824.8592419551 6592157.502270825, 242821.75924195506 6592150.302270825, 242821.75822666453 6592150.2999292025, 242818.65968639049 6592143.203272446, 242814.7610971909 6592133.906636662, 242814.759572515 6592133.90304035, 242812.05957251502 6592127.603040351, 242809.05957251502 6592120.603040351, 242809.057577157 6592120.598448156, 242805.357577157 6592112.198448157, 242805.35473723782 6592112.19212012, 242802.1583660881 6592105.20005823, 242798.96171567068 6592097.508118163, 242798.9569057743 6592097.496930767, 242794.55715073211 6592087.597481921, 242791.15805739764 6592079.899535252, 242787.5587105776 6592071.601041195, 242787.55479787788 6592071.592252821, 242783.8560669021 6592063.495030955, 242779.6573019077 6592053.99782442, 242779.6535044839 6592053.989444347, 242775.75350448387 6592045.589444347, 242775.7527982787 6592045.58792992, 242772.05400548212 6592037.690507463, 242772.00518323894 6592037.583098528, 242771.09481676103 6592037.996901472, 242771.14481676105 6592038.106901472, 242771.1472017213 6592038.11207008, 242774.8468473384 6592046.011313424, 242778.7445582541 6592054.406383089, 242782.94269809235 6592063.90217558, 242782.94520212215 6592063.907747179, 242786.64320350043 6592072.003371818, 242790.2412894224 6592080.298958804, 242790.24260564308 6592080.301966339, 242793.64260564308 6592088.00196634, 242793.6430942257 6592088.003069233, 242798.04062115602 6592097.897504827, 242801.23828432933 6592105.591881838, 242801.2452627622 6592105.607879881, 242804.4438208547 6592112.604725708, 242808.14141367556 6592120.999260761, 242811.140427485 6592127.996959649, 242813.83965812862 6592134.295164484, 242817.7389028091 6592143.593363338, 242817.74177333547 6592143.600070798, 242820.84126271433 6592150.698901311, 242823.93996272524 6592157.895881981, 242827.93873083298 6592167.392956237, 242831.1378476238 6592175.090831015, 242834.33675738043 6592182.888173547, 242838.03538437313 6592192.084759583, 242842.63285290342 6592203.778320843, 242846.63089953057 6592214.573046738, 242847.78067502557 6592217.702435694, 242848.71932497443 6592217.357564307, 242847.56932497444 6592214.227564307))</t>
  </si>
  <si>
    <t>['RV19 S4D1 m2230-2453']</t>
  </si>
  <si>
    <t>LINESTRING Z (242848.25 6592217.53 16.54, 242847.1 6592214.4 16.6, 242843.1 6592203.6 16.8, 242838.5 6592191.9 17.1, 242834.8 6592182.7 17.3, 242831.6 6592174.9 17.5, 242828.40000000002 6592167.2 17.6, 242824.40000000002 6592157.7 17.8, 242821.3 6592150.5 18, 242818.2 6592143.4 18.1, 242814.3 6592134.1 18.3, 242811.6 6592127.8 18.5, 242808.6 6592120.8 18.6, 242804.90000000002 6592112.4 18.8, 242801.7 6592105.4 18.900000000000002, 242798.5 6592097.7 19.1, 242794.1 6592087.8 19.3, 242790.7 6592080.1 19.400000000000002, 242787.1 6592071.8 19.6, 242783.40000000002 6592063.7 19.7, 242779.2 6592054.2 20, 242775.3 6592045.8 20.1, 242771.6 6592037.9 20.3, 242767.8 6592029.9 20.5, 242762.90000000002 6592020 20.7, 242759.19 6592012.58 20.87)</t>
  </si>
  <si>
    <t>POLYGON ((242847.56932497444 6592214.227564307, 242847.56887438038 6592214.226342822, 242843.56887438038 6592203.426342822, 242843.5653273893 6592203.41705077, 242838.9653273893 6592191.71705077, 242838.96388978796 6592191.713435629, 242835.26388978795 6592182.513435629, 242835.26258430918 6592182.510221822, 242832.0625843092 6592174.710221822, 242832.0617156707 6592174.708118163, 242828.8617156707 6592167.008118163, 242828.8608176876 6592167.0059715, 242824.8608176876 6592157.5059715, 242824.8592419551 6592157.502270825, 242821.75924195506 6592150.302270825, 242821.75822666453 6592150.2999292025, 242818.65968639049 6592143.203272446, 242814.7610971909 6592133.906636662, 242814.759572515 6592133.90304035, 242812.05957251502 6592127.603040351, 242809.05957251502 6592120.603040351, 242809.057577157 6592120.598448156, 242805.357577157 6592112.198448157, 242805.35473723782 6592112.19212012, 242802.1583660881 6592105.20005823, 242798.96171567068 6592097.508118163, 242798.9569057743 6592097.496930767, 242794.55715073211 6592087.597481921, 242791.15805739764 6592079.899535252, 242787.5587105776 6592071.601041195, 242787.55479787788 6592071.592252821, 242783.8560669021 6592063.495030955, 242779.6573019077 6592053.99782442, 242779.6535044839 6592053.989444347, 242775.75350448387 6592045.589444347, 242775.7527982787 6592045.58792992, 242772.05279827872 6592037.687929921, 242772.0516387522 6592037.685471593, 242768.25163875218 6592029.685471593, 242768.24811521365 6592029.678205602, 242763.34811521368 6592019.7782056015, 242763.34721359552 6592019.776393202, 242759.6372135955 6592012.356393202, 242758.7427864045 6592012.803606798, 242762.45233377581 6592020.22270154, 242767.35009367997 6592030.118175633, 242771.14777814707 6592038.113300826, 242774.8468473384 6592046.011313424, 242778.7445582541 6592054.406383089, 242782.94269809235 6592063.90217558, 242782.94520212215 6592063.907747179, 242786.64320350043 6592072.003371818, 242790.2412894224 6592080.298958804, 242790.24260564308 6592080.301966339, 242793.64260564308 6592088.00196634, 242793.6430942257 6592088.003069233, 242798.04062115602 6592097.897504827, 242801.23828432933 6592105.591881838, 242801.2452627622 6592105.607879881, 242804.4438208547 6592112.604725708, 242808.14141367556 6592120.999260761, 242811.140427485 6592127.996959649, 242813.83965812862 6592134.295164484, 242817.7389028091 6592143.593363338, 242817.74177333547 6592143.600070798, 242820.84126271433 6592150.698901311, 242823.93996272524 6592157.895881981, 242827.93873083298 6592167.392956237, 242831.1378476238 6592175.090831015, 242834.33675738043 6592182.888173547, 242838.03538437313 6592192.084759583, 242842.63285290342 6592203.778320843, 242846.63089953057 6592214.573046738, 242847.78067502557 6592217.702435694, 242848.71932497443 6592217.357564307, 242847.56932497444 6592214.227564307))</t>
  </si>
  <si>
    <t>['RV19 S4D1 m1914-2100']</t>
  </si>
  <si>
    <t>LINESTRING Z (242920.69 6592524.23 14.34, 242917.22 6592502.9 14.200000000000001, 242912.84 6592476.84 14.1, 242907.05 6592444.5 13.9, 242900.1 6592411 13.8, 242892 6592373.3 13.9, 242887.6 6592353.4 14, 242885.07 6592342.37 14.16)</t>
  </si>
  <si>
    <t>POLYGON ((242917.71351216533 6592502.819714618, 242917.71308399612 6592502.817125561, 242913.3330839961 6592476.75712556, 242913.33217423325 6592476.751883463, 242907.54217423324 6592444.411883463, 242907.53957514695 6592444.398431425, 242900.58957514697 6592410.898431425, 242900.58884420793 6592410.894969812, 242892.48884420792 6592373.1949698115, 242892.4882087035 6592373.192054356, 242888.0882087035 6592353.292054357, 242888.08734410358 6592353.288215723, 242885.55734410358 6592342.258215723, 242884.58265589643 6592342.481784278, 242887.11221604128 6592353.509866648, 242891.5114691946 6592373.406488864, 242899.61078420287 6592411.1033006925, 242906.55903314933 6592444.594860363, 242912.34735693948 6592476.925497905, 242916.7266985226 6592502.981580476, 242920.19648783468 6592524.310285383, 242921.18351216533 6592524.149714618, 242917.71351216533 6592502.819714618))</t>
  </si>
  <si>
    <t>['RV19 S4D1 m2045-2230']</t>
  </si>
  <si>
    <t>LINESTRING Z (242896.89 6592396.08 13.84, 242892 6592373.3 13.9, 242887.6 6592353.4 14, 242880 6592320.3 14.5, 242870.1 6592284.2 15.200000000000001, 242867.2 6592274.2 15.4, 242857.5 6592244 15.9, 242855 6592236.4 16.2, 242851.1 6592225.3 16.4, 242848.25 6592217.53 16.54)</t>
  </si>
  <si>
    <t>POLYGON ((242892.48886348918 6592373.195059593, 242892.4882087035 6592373.192054356, 242888.0882087035 6592353.292054357, 242888.0873193684 6592353.28810794, 242880.4873193684 6592320.188107939, 242880.48219648752 6592320.16776329, 242870.58219648752 6592284.06776329, 242870.5802145694 6592284.060737775, 242867.6802145694 6592274.060737775, 242867.67604707164 6592274.047097464, 242857.97604707163 6592243.847097464, 242857.97496289498 6592243.843762206, 242855.47496289498 6592236.243762206, 242855.47173006984 6592236.234257003, 242851.57173006985 6592225.134257003, 242851.5694186283 6592225.127819422, 242848.7194186283 6592217.357819422, 242847.7805813717 6592217.702180578, 242850.62940363874 6592225.4689697055, 242854.52660579895 6592236.561006624, 242857.02448916645 6592244.15457206, 242866.72177189376 6592274.346112099, 242869.61876883075 6592284.335756709, 242879.51502861254 6592320.422118135, 242887.1122279791 6592353.50992064, 242891.5114592824 6592373.406444034, 242896.40113651083 6592396.184940407, 242897.3788634892 6592395.975059593, 242892.48886348918 6592373.195059593))</t>
  </si>
  <si>
    <t>['RV19 S4D1 m626-669']</t>
  </si>
  <si>
    <t>LINESTRING Z (243495.3 6593666.11 4.33, 243478.40000000002 6593641.7 3.8000000000000003, 243473.2 6593634.1 3.7, 243470.97999999998 6593630.76 3.66)</t>
  </si>
  <si>
    <t>POLYGON ((243478.81187495132 6593641.4165199725, 243473.61454969074 6593633.820429207, 243471.39640835894 6593630.483225581, 243470.56359164102 6593631.036774418, 243472.78359164105 6593634.376774418, 243472.78734636938 6593634.382341958, 243477.9873463694 6593641.982341958, 243477.98890996707 6593641.984613747, 243494.88890996703 6593666.3946137475, 243495.71109003294 6593665.825386253, 243478.81187495132 6593641.4165199725))</t>
  </si>
  <si>
    <t>['RV19 S4D1 m353-626']</t>
  </si>
  <si>
    <t>LINESTRING Z (243612.66999999998 6593910.5 4.26, 243607.6 6593896.6 4.4, 243594.5 6593860.7 4.6000000000000005, 243581.8 6593825.6 4.7, 243573.6 6593805.3 4.8, 243561 6593776.7 5, 243548.2 6593751 5.1000000000000005, 243533.90000000002 6593725.1 5.1000000000000005, 243515.8 6593696.5 4.8, 243500.90000000002 6593674.2 4.5, 243495.3 6593666.11 4.33)</t>
  </si>
  <si>
    <t>POLYGON ((243608.06972875152 6593896.428667283, 243594.96993848006 6593860.529242021, 243582.27016987817 6593825.429881554, 243582.26360566766 6593825.412730715, 243574.06360566767 6593805.112730715, 243574.0575631036 6593805.098416255, 243561.45756310358 6593776.498416255, 243561.44756134975 6593776.477090067, 243548.64756134976 6593750.777090067, 243548.63771487356 6593750.758327309, 243534.33771487357 6593724.858327309, 243534.32249854878 6593724.832614554, 243516.22249854874 6593696.232614554, 243516.21573810987 6593696.222219828, 243501.3157381099 6593673.922219828, 243501.31111438933 6593673.915421437, 243495.7111143893 6593665.825421437, 243494.88888561068 6593666.394578564, 243500.48654579502 6593674.481198366, 243515.38081721973 6593696.772624726, 243533.46950899792 6593725.354756486, 243547.75716305804 6593751.232395658, 243560.54718653375 6593776.912364668, 243573.1393043952 6593805.494473464, 243581.33295472176 6593825.7787541505, 243594.0298301218 6593860.870118446, 243594.03029458498 6593860.871396684, 243607.13028355202 6593896.771366448, 243612.20027124847 6593910.671332717, 243613.1397287515 6593910.328667283, 243608.06972875152 6593896.428667283))</t>
  </si>
  <si>
    <t>['RV19 S4D1 m2939-2997']</t>
  </si>
  <si>
    <t>LINESTRING Z (242400.38 6591677.8 26.3, 242397.1 6591677.3 26.3, 242392.1 6591676.5 26.2, 242388.1 6591675.5 26.2, 242383.7 6591674.3 26.2, 242379.6 6591672.9 26.2, 242375.3 6591671 26.1, 242371.2 6591668.9 26.1, 242368.2 6591667.2 26.1, 242365.90000000002 6591665.9 26, 242362 6591663.4 26, 242359.5 6591661.5 26, 242356.2 6591658.9 26, 242351.90000000002 6591655.4 26, 242349.3 6591653.4 25.900000000000002)</t>
  </si>
  <si>
    <t>POLYGON ((242397.17717325623 6591676.805988165, 242392.2003182995 6591676.009691372, 242388.22642757138 6591675.016218689, 242383.8467098963 6591673.821750232, 242379.78217153935 6591672.433859087, 242375.51518646276 6591670.548447076, 242371.43732771446 6591668.459787717, 242368.446506286 6591666.764988908, 242368.44602862833 6591666.764718581, 242366.15813020774 6591665.471558604, 242362.2866437851 6591662.989836538, 242359.80601212254 6591661.104556475, 242356.51255563146 6591658.509711967, 242352.21563569922 6591655.012218999, 242352.20485538043 6591655.003688006, 242349.6048553804 6591653.003688006, 242348.99514461958 6591653.796311995, 242351.58969582152 6591655.792120612, 242355.88436430081 6591659.287781002, 242355.89056388673 6591659.292745836, 242359.19056388672 6591661.892745836, 242359.1974583662 6591661.898081097, 242361.6974583662 6591663.798081097, 242361.73016694264 6591663.82093957, 242365.63016694266 6591666.32093957, 242365.6539713717 6591666.33528142, 242367.9537325869 6591667.635146454, 242370.953493714 6591669.335011093, 242370.97206206515 6591669.345021683, 242375.07206206513 6591671.445021682, 242375.0979180758 6591671.457343302, 242379.39791807582 6591673.357343302, 242379.43842807342 6591673.373174928, 242383.53842807343 6591674.773174928, 242383.5684412971 6591674.782381911, 242387.9684412971 6591675.982381911, 242387.97873218748 6591675.98507125, 242391.97873218748 6591676.98507125, 242392.02100474946 6591676.993720316, 242397.02100474946 6591677.793720316, 242397.024650928 6591677.794289912, 242400.304650928 6591678.294289912, 242400.455349072 6591677.3057100875, 242397.17717325623 6591676.805988165))</t>
  </si>
  <si>
    <t>2025-11-22T09:45:27Z</t>
  </si>
  <si>
    <t>['EV134 S39D1 m460-512']</t>
  </si>
  <si>
    <t>LINESTRING Z (175651.71 6616127.09 23.12, 175647.35 6616128.04 23.14, 175644.41 6616128.8 23.150000000000002, 175636.39 6616131.48 23.19, 175633.62 6616132.49 23.21, 175627.99 6616134.89 23.23, 175625.06 6616136.26 23.240000000000002, 175618.37 6616140.05 23.23, 175612.84 6616143.69 23.21, 175606.94 6616148.5 23.18, 175602.66999999998 6616152.14 23.12, 175596.11 6616157.97 23.12, 175594.46 6616159.43 23.18)</t>
  </si>
  <si>
    <t>['EV134 S39D1 m451-591']</t>
  </si>
  <si>
    <t>LINESTRING Z (175722.25 6616120.32 22.35, 175718.16999999998 6616120.64 22.41, 175704.04 6616121.65 22.57, 175689.28 6616122.93 22.8, 175676.43 6616123.87 22.89, 175673.13 6616124.14 22.95, 175661.65 6616125.4 23.06, 175655.74 6616126.22 23.1, 175647.35 6616128.04 23.14, 175644.41 6616128.8 23.150000000000002, 175636.39 6616131.48 23.19, 175633.62 6616132.49 23.21, 175627.99 6616134.89 23.23, 175625.06 6616136.26 23.240000000000002, 175618.37 6616140.05 23.23, 175612.84 6616143.69 23.21, 175606.94 6616148.5 23.18, 175602.66999999998 6616152.14 23.12, 175596.11 6616157.97 23.12, 175592.83000000002 6616160.88 23.240000000000002)</t>
  </si>
  <si>
    <t>2025-11-22T09:45:28Z</t>
  </si>
  <si>
    <t>['EV6 S81D1 m2600-2624']</t>
  </si>
  <si>
    <t>LINESTRING Z (293725.33999999997 7049101.11 76.7, 293727.55 7049105.07 76.99, 293731.1 7049110.7 77.24, 293734.07 7049115.38 77.62, 293736.41000000003 7049119.21 77.82000000000001, 293738.3 7049121.95 77.97)</t>
  </si>
  <si>
    <t>POLYGON ((293727.11339023756 7049105.313663529, 293727.1270593025 7049105.33668552, 293730.6770593025 7049110.96668552, 293730.6778352899 7049110.96791222, 293733.6455526187 7049115.644315284, 293735.9833315481 7049119.470679942, 293735.9984178169 7049119.493901579, 293737.88841781684 7049122.233901579, 293738.71158218314 7049121.666098421, 293736.8294469655 7049118.937500275, 293734.49666845193 7049115.119320058, 293734.4921647101 7049115.11208778, 293731.5225535295 7049110.432700465, 293727.98008353915 7049104.814642425, 293725.7766097624 7049100.866336471, 293724.90339023754 7049101.353663529, 293727.11339023756 7049105.313663529))</t>
  </si>
  <si>
    <t>[14]</t>
  </si>
  <si>
    <t>['EV14 S7D1 m9150 SD1 m5-162']</t>
  </si>
  <si>
    <t>LINESTRING Z (348001.94 7029884.38 387.2, 348006.4 7029888.4 387.2, 348012.4 7029891.6 387.2, 348016.5 7029892.9 387.2, 348023.3 7029892.8 387.2, 348026.9 7029891.6 387.2, 348030.1 7029889.5 387.2, 348032.5 7029885.9 387.2, 348044.4 7029864 387.6, 348051.2 7029857.1 387.8, 348068.7 7029841.7 388.2, 348075.3 7029837.7 388.2, 348085 7029834.6 388.2, 348097.1 7029834.3 388.1, 348102.5 7029833.3 388, 348104.6 7029831.6 388, 348107 7029827.5 388, 348106.7 7029819.4 387.8, 348105.9 7029816.3 387.8, 348100.52 7029809.15 387.67)</t>
  </si>
  <si>
    <t>POLYGON ((348006.06524168263 7029888.771398531, 348006.11284640885 7029888.809319942, 348006.16470588243 7029888.841176471, 348012.16470588243 7029892.04117647, 348012.2059811387 7029892.060821746, 348012.2488780696 7029892.076615319, 348016.34887806955 7029893.376615319, 348016.40076552535 7029893.390053588, 348016.45379334205 7029893.397860367, 348016.50735214626 7029893.399945944, 348023.30735214625 7029893.299945943, 348023.3583931409 7029893.296578535, 348023.40882298764 7029893.28801389, 348023.45811388304 7029893.274341648, 348027.0581138831 7029892.074341648, 348027.09842653276 7029892.058941076, 348027.1372610734 7029892.040121782, 348027.1743282207 7029892.018023955, 348030.37432822067 7029889.918023955, 348030.41488834546 7029889.888388118, 348030.4522701048 7029889.8548320355, 348030.4860961813 7029889.817694411, 348030.5160251471 7029889.777350098, 348032.91602514713 7029886.177350098, 348032.93933055043 7029886.138722993, 348044.8056462416 7029864.300713444, 348051.54365269537 7029857.463618659, 348068.99704741815 7029842.104631304, 348075.5085594814 7029838.158260357, 348085.0839898758 7029835.098071261, 348097.1123928857 7029834.799846393, 348097.15188122995 7029834.797301053, 348097.1910446301 7029834.7916410025, 348102.5910446301 7029833.7916410025, 348102.63942331803 7029833.780167823, 348102.686423315 7029833.763946492, 348102.7315798604 7029833.743137415, 348102.77444642247 7029833.717946362, 348102.81459911435 7029833.688622436, 348104.91459911433 7029831.988622435, 348104.94831614825 7029831.958714177, 348104.97920298507 7029831.925891234, 348105.0070086576 7029831.890420303, 348105.0315072346 7029831.852589601, 348107.43150723464 7029827.752589601, 348107.45340243087 7029827.71077532, 348107.47125720634 7029827.66708275, 348107.4849124511 7029827.62190125, 348107.4942464787 7029827.575633447, 348107.4991761105 7029827.5286916485, 348107.4996574169 7029827.48149417, 348107.1996574169 7029819.38149417, 348107.19476831605 7029819.327859073, 348107.1841386619 7029819.275060991, 348106.3841386619 7029816.17506099, 348106.36956929625 7029816.128230748, 348106.3504820391 7029816.083053158, 348106.3270605356 7029816.039962889, 348106.2995301324 7029815.999374529, 348100.9195301324 7029808.84937453, 348100.12046986766 7029809.450625471, 348105.4407010661 7029816.521192955, 348106.20234465896 7029819.472561878, 348106.4949548721 7029827.3730376335, 348104.21454582404 7029831.268736423, 348102.2840966671 7029832.831480979, 348097.04795578896 7029833.801136698, 348084.98760711425 7029834.100153606, 348084.94032501295 7029834.103573876, 348084.89357934095 7029834.11145661, 348084.84779030347 7029834.123730949, 348075.14779030345 7029837.22373095, 348075.0928851238 7029837.244913824, 348075.04084914195 7029837.272401084, 348068.440849142 7029841.272401084, 348068.40411235235 7029841.296948515, 348068.36968605255 7029841.324643242, 348050.86968605255 7029856.724643242, 348050.84387541463 7029856.74903664, 348044.04387541465 7029863.64903664, 348044.0126791231 7029863.683799844, 348043.9848628862 7029863.72132245, 348043.9606694496 7029863.761277007, 348032.07144996774 7029885.64143723, 348029.7404907038 7029889.137876126, 348026.68011177215 7029891.146249799, 348023.21528597677 7029892.301191731, 348016.5737779116 7029892.398860968, 348012.59483309934 7029891.13724432, 348006.6892968429 7029887.987624983, 348002.2747583174 7029884.008601469, 348001.6052416826 7029884.751398531, 348006.06524168263 7029888.771398531))</t>
  </si>
  <si>
    <t>2025-09-23</t>
  </si>
  <si>
    <t>['EV14 S6D1 m7568-8373']</t>
  </si>
  <si>
    <t>LINESTRING Z (337193.1 7036425.99 100.06, 337195.06 7036422.46 100.23, 337200.36 7036412.85 100.55, 337202.54000000004 7036408.92 100.68, 337203.78 7036406.69 100.74000000000001, 337205.71 7036403.29 100.87, 337207.66000000003 7036399.94 101.05, 337209.64 7036396.61 101.21000000000001, 337214.13 7036389.09 101.55, 337215.83999999997 7036386.34 101.67, 337217.25 7036384.14 101.76, 337220.11 7036379.72 101.92, 337221.94 7036376.89 102.03, 337224.33999999997 7036373.48 102.19, 337231.37 7036363.47 102.75, 337236.06 7036356.8 103.08, 337238.55 7036353.55 103.31, 337240.79000000004 7036350.55 103.46000000000001, 337247.44 7036341.64 103.9, 337249.65 7036338.66 104.04, 337251.85 7036335.68 104.15, 337258.02 7036327.27 104.54, 337261.43 7036322.62 104.73, 337263.48 7036319.52 104.88, 337265.67 7036316.25 105.05, 337267.73 7036312.91 105.18, 337273.82 7036303.04 105.62, 337275.79000000004 7036299.87 105.81, 337277.37 7036296.92 105.89, 337278.97 7036293.88 106, 337280.58999999997 7036290.84 106.15, 337282.06 7036287.9 106.24000000000001, 337283.29000000004 7036285.2 106.37, 337287.08999999997 7036276.8 106.75, 337288.31 7036273.75 106.88, 337289.66000000003 7036270.55 107.05, 337290.81 7036267.28 107.14, 337291.94 7036264.08 107.27, 337293.1 7036260.64 107.42, 337294.08 7036257.08 107.54, 337294.9 7036253.47 107.65, 337295.88 7036250.03 107.75, 337296.79000000004 7036246.4 107.92, 337297.17 7036244.88 108.13, 337299.6 7036235.2 109.49000000000001, 337300.39 7036231.82 108.48, 337301.39 7036227.49 108.59, 337302.78 7036221.53 108.73, 337303.5 7036217.98 108.89, 337304.25 7036214.34 109.09, 337304.72 7036210.64 109.28, 337305.26 7036206.96 109.44, 337305.79000000004 7036203.39 109.60000000000001, 337306.17 7036199.73 109.75, 337306.97 7036192.22 110.07000000000001, 337308.18 7036180.96 110.55, 337308.86 7036174.46 110.82000000000001, 337309.19 7036171.21 110.96000000000001, 337310.3 7036159.2 112.4, 337311.63 7036144.27 111.99000000000001, 337312.26 7036136.42 112.26, 337312.88 7036128.56 112.64, 337313.15 7036124.63 112.78, 337313.38 7036120.8 112.91, 337313.48 7036117.12 113.03, 337313.63 7036113.36 113.18, 337313.64 7036109.58 113.26, 337313.7 7036098.3 113.60000000000001, 337313.66000000003 7036094.48 113.67, 337313.6 7036086.76 113.88, 337313.46 7036082.9 113.98, 337313.36 7036079.13 114.08, 337313.17 7036075.86 114.16, 337313 7036072.5 114.28, 337312.76 7036069.13 114.34, 337312.28 7036062.45 114.53, 337312 7036059 114.66, 337311.41000000003 7036052.02 114.92, 337311.11 7036048.54 115.01, 337310.45 7036041.29 115.33, 337309.74 7036033.68 115.63, 337309.03 7036026.02 115.88, 337308.71 7036022.2 116, 337308.4 7036018.41 116.11, 337308.12 7036014.61 116.25, 337307.85 7036010.79 116.39, 337307.62 7036007.07 116.56, 337307.39 7036003.39 116.73, 337307.2 7035999.71 116.87, 337306.81 7035992.2 117.33, 337306.63 7035988.11 117.44, 337306.47 7035984.16 117.58, 337306.21 7035980.2 117.71000000000001, 337305.97 7035976 117.9, 337305.96 7035972.19 117.99000000000001, 337306.55 7035968.7 118.07000000000001, 337307.27 7035964.9 118.17, 337308.14 7035961.44 118.32000000000001, 337310.2 7035954.42 118.69, 337314.36 7035944.97 119.18, 337315.83 7035941.47 119.42, 337317.22 7035938.54 119.51, 337318.55 7035935.78 119.57000000000001, 337320.05 7035932.84 119.71000000000001, 337321.64 7035930.17 119.75, 337323.17 7035927.74 119.81, 337324.89 7035925.16 119.85000000000001, 337327 7035922.3 119.99000000000001, 337328.98 7035919.66 120.14, 337331.17 7035917.02 122.3, 337338.2 7035909.31 122.8, 337345.91000000003 7035901.99 122.9, 337350.86 7035898.23 122.9, 337359.27 7035892.84 123.60000000000001, 337367.03 7035888.54 123.64, 337375.6 7035883.8 123.69, 337385.7 7035877.8 124, 337403.68 7035866.94 124, 337405.9 7035865.6 124, 337410.9 7035862.6 124, 337413.3 7035861 124, 337414.9 7035859.9 124.19, 337418.9 7035857.3 124.19, 337431.97 7035848.03 124.53, 337444.58999999997 7035839.92 124.93, 337452.99 7035834.52 125.19, 337458.64 7035830.92 125.19, 337462.54000000004 7035828.44 125.19, 337469.45 7035823.54 125.24000000000001, 337476.7 7035818.4 125.3, 337495.2 7035803.8 125.7, 337506.61 7035793.55 126.3, 337515.14 7035785.35 125.01, 337517.7 7035782.88 125.14, 337520.27 7035780.41 125.27, 337522.75 7035777.85 125.42, 337525.24 7035775.33 125.57000000000001, 337527.47 7035773.05 125.73, 337529.64 7035770.66 125.86, 337531.78 7035768.31 126.01, 337534 7035765.8 126.15, 337537.03 7035762.37 126.31)</t>
  </si>
  <si>
    <t>POLYGON ((337195.4971370381 7036422.702716316, 337195.497828706 7036422.701466404, 337200.79753301875 7036413.0920025455, 337202.9771111662 7036409.162763041, 337204.2159156108 7036406.934913114, 337206.143488414 7036403.539189004, 337208.09095487645 7036400.193541492, 337210.06953409634 7036396.865930986, 337214.5569871455 7036389.350196702, 337216.26280323445 7036386.606925215, 337217.67037547677 7036384.410713205, 337220.52978507854 7036379.991625639, 337222.3545332692 7036377.169747328, 337224.7488823073 7036373.7677764045, 337224.7491737885 7036373.767361812, 337231.77909196715 7036363.757478317, 337236.4631245212 7036357.095965069, 337238.94690143986 7036353.854087564, 337238.950640111 7036353.849144616, 337241.19064011105 7036350.849144616, 337247.8407004693 7036341.939063762, 337247.84161141503 7036341.937839338, 337250.05161141505 7036338.957839338, 337250.05225632543 7036338.956967757, 337252.2522563254 7036335.976967757, 337252.2531415303 7036335.975764951, 337258.42314153037 7036327.565764951, 337261.8332024979 7036322.915681832, 337261.8470571323 7036322.895795845, 337263.896251022 7036319.797014841, 337266.08543785487 7036316.528229022, 337266.09556645865 7036316.512475121, 337268.15554112213 7036313.172516201, 337274.245097663 7036303.303234911, 337276.21467512776 7036300.133914827, 337276.23076219484 7036300.1060692435, 337277.8107621948 7036297.156069243, 337277.8124591112 7036297.152873216, 337279.411860881 7036294.114009853, 337281.0312568048 7036291.0751434285, 337281.03721359547 7036291.063606798, 337282.5072135955 7036288.123606798, 337282.51500994014 7036288.107282306, 337283.7450099402 7036285.407282306, 337283.7455539615 7036285.406083935, 337287.5455539614 7036277.006083935, 337287.5542383454 7036276.985695338, 337288.7725007051 7036273.940039439, 337290.1206820805 7036270.744350253, 337290.13168128 7036270.715881796, 337291.28157480346 7036267.44618456, 337292.4114679604 7036264.246487124, 337292.41378785355 7036264.239765672, 337293.57378785353 7036260.799765672, 337293.5820680597 7036260.772704128, 337294.56206805975 7036257.212704129, 337294.56757969194 7036257.190752174, 337295.38457897276 7036253.593962656, 337296.3608673317 7036250.166991275, 337296.364992556 7036250.151582156, 337297.274992556 7036246.521582156, 337297.6550122943 7036245.001503635, 337300.08495314216 7036235.32173927, 337300.08687807014 7036235.313796946, 337300.8768780702 7036231.933796946, 337300.8771766283 7036231.932511924, 337301.8770552122 7036227.603037655, 337303.26693265483 7036221.643563153, 337303.27002309007 7036221.629384965, 337303.9898691546 7036218.080143952, 337304.73971288494 7036214.44090238, 337304.7460142049 7036214.403007209, 337305.2154046226 7036210.707806048, 337305.7546411991 7036207.033008639, 337306.2845793935 7036203.463424952, 337306.2873266791 7036203.44163501, 337306.66725774924 7036199.782298913, 337307.46716254717 7036192.273192623, 337308.6771378498 7036181.013422451, 337308.67728616105 7036181.012023783, 337309.35728616104 7036174.512023783, 337309.3574422462 7036174.510509521, 337309.68744224624 7036171.260509521, 337309.6878780826 7036171.256015376, 337310.7978780826 7036159.246015376, 337310.79802781245 7036159.244365505, 337312.12802781246 7036144.314365504, 337312.1283975295 7036144.309998782, 337312.7583975295 7036136.459998783, 337312.75845169195 7036136.459318073, 337313.37845169194 7036128.599318072, 337313.3788241597 7036128.594270362, 337313.6488241597 7036124.664270362, 337313.6491008639 7036124.6599721145, 337313.8791008639 7036120.829972114, 337313.8798154968 7036120.813581943, 337313.9797292146 7036117.136757127, 337314.12960259913 7036113.379930955, 337314.12999825034 7036113.361322747, 337314.13999648206 7036109.581991156, 337314.19999292685 7036098.302659537, 337314.1999725907 7036098.2947646845, 337314.1599796557 7036094.475439387, 337314.09998489957 7036086.756114107, 337314.0996714562 7036086.741877201, 337313.95975966565 7036082.884309261, 337313.8598241962 7036079.116742063, 337313.8591581131 7036079.100996929, 337313.66926668084 7036075.832865438, 337313.49936125654 7036072.474734698, 337313.49873685115 7036072.464481649, 337313.25873685116 7036069.094481649, 337312.7787141458 7036062.4141642535, 337312.7783613778 7036062.40955328, 337312.49836137774 7036058.95955328, 337312.4982233023 7036058.957886569, 337311.90822330234 7036051.977886569, 337311.9081523845 7036051.977055828, 337311.60815238446 7036048.497055829, 337311.60794096976 7036048.494670201, 337310.9479409698 7036041.244670201, 337310.9478379617 7036041.243552568, 337310.2378519808 7036033.633702829, 337309.528070132 7036025.9760564035, 337309.20829578605 7036022.158750149, 337308.89850006666 7036018.371247645, 337308.61870305537 7036014.574002491, 337308.3489110787 7036010.756945637, 337308.1190470572 7036007.039144941, 337307.88919524517 7036003.361514151, 337307.69933490397 7035999.684219122, 337307.309429621 7035992.176042599, 337307.12955492793 7035988.088889851, 337306.9695903134 7035984.139763431, 337306.9689257756 7035984.127242248, 337306.70906469715 7035980.169358129, 337306.4699625367 7035975.985070322, 337306.46011015866 7035972.231314267, 337307.04218031093 7035968.788221331, 337307.75850896776 7035965.007597866, 337308.6225221823 7035961.57140738, 337310.6706586786 7035954.5918354355, 337314.8176218065 7035945.171450445, 337314.8209910528 7035945.163616242, 337316.2866017081 7035941.674067062, 337317.67109077366 7035938.755683637, 337318.9979632762 7035936.002173782, 337320.487955572 7035933.081788882, 337322.06642180786 7035930.431156901, 337323.58964214375 7035928.011924603, 337325.2994201639 7035925.447257573, 337327.4011817412 7035922.598424344, 337329.37264889595 7035919.969801472, 337331.54735531675 7035917.348237567, 337338.55733064056 7035909.660199196, 337346.23432885006 7035902.371531636, 337351.1465725485 7035898.640211171, 337359.52633171965 7035893.269592629, 337367.27216975787 7035888.977440108, 337375.8419974225 7035884.2375354245, 337375.8553677069 7035884.229868974, 337385.95536770695 7035878.229868974, 337385.9585069564 7035878.227988496, 337403.9384425477 7035867.3680274, 337406.1578151031 7035866.028406127, 337411.15724787774 7035863.028746462, 337411.1773500981 7035863.0160251465, 337413.57735009806 7035861.416025147, 337413.58326441137 7035861.412020962, 337415.17792593053 7035860.3156911675, 337419.1724941754 7035857.719221808, 337419.1892596894 7035857.707834319, 337432.2499319 7035848.444450127, 337444.86031140893 7035840.34063255, 337453.2595300187 7035834.941134879, 337458.90848894464 7035831.341798219, 337462.8082977278 7035828.861919814, 337462.8292215298 7035828.847861382, 337469.7392028713 7035823.947874613, 337476.98918035394 7035818.807890577, 337477.0097533505 7035818.792495684, 337495.5097533505 7035804.192495683, 337495.53414002433 7035804.171954895, 337506.9441400243 7035793.921954895, 337506.9565121306 7035793.9104571305, 337515.48651213065 7035785.71045713, 337515.4871718171 7035785.709821802, 337518.04682128696 7035783.240160009, 337520.6164702506 7035780.770497386, 337520.62912011147 7035780.757897608, 337523.10740085534 7035778.199672324, 337525.5956641004 7035775.681430004, 337525.5974510848 7035775.679612245, 337527.8274510848 7035773.399612245, 337527.84018021834 7035773.386105051, 337530.00993277703 7035770.996377579, 337532.14968517504 7035768.646649478, 337532.1545267605 7035768.641254744, 337534.3745267605 7035766.131254744, 337537.4047275712 7035762.701027563, 337536.6552724289 7035762.038972437, 337533.62537264015 7035765.468858996, 337531.4078744895 7035767.976030329, 337529.270314825 7035770.323350522, 337529.26981978165 7035770.323894949, 337527.1060589882 7035772.707023196, 337524.88344002876 7035774.979476661, 337522.3943358996 7035777.498569996, 337522.39087988855 7035777.502102392, 337519.91709232156 7035780.055689558, 337517.35352974944 7035782.519502614, 337517.3528281829 7035782.520178198, 337514.7931577257 7035784.98986024, 337506.2695768201 7035793.183689482, 337494.8777256711 7035803.417385737, 337476.4003352966 7035817.999542465, 337469.1608196461 7035823.132109423, 337462.2610631158 7035828.024845599, 337458.37170227227 7035830.498080187, 337452.72132083785 7035834.098322981, 337452.7196212043 7035834.099410762, 337444.31965761003 7035839.499387358, 337431.699688591 7035847.60936745, 337431.6807403106 7035847.622165681, 337418.6190076497 7035856.8863020055, 337414.62750582467 7035859.480778192, 337414.61673558864 7035859.487979039, 337413.01967844693 7035860.585955823, 337410.6325496581 7035862.177375015, 337405.6427521223 7035865.171253537, 337405.6416187765 7035865.171935584, 337403.42161877645 7035866.511935585, 337385.44305930275 7035877.371065476, 337375.3512583498 7035883.366194755, 337366.7880025775 7035888.102464575, 337359.027657198 7035892.40265578, 337359.00020333036 7035892.419037107, 337350.5902033303 7035897.809037108, 337350.5575603489 7035897.831841418, 337345.60756034893 7035901.591841417, 337345.56573652703 7035901.627394621, 337337.855736527 7035908.947394621, 337337.8305290954 7035908.973115374, 337330.80052909534 7035916.683115374, 337330.7851734335 7035916.70076887, 337328.5951734335 7035919.340768871, 337328.58 7035919.36, 337326.60000000003 7035922, 337326.5976489527 7035922.003160591, 337324.4876489527 7035924.863160592, 337324.4739748528 7035924.882649902, 337322.7539748528 7035927.462649902, 337322.74688357994 7035927.473593365, 337321.21688357997 7035929.903593365, 337321.2104040781 7035929.914173215, 337319.6204040781 7035932.584173215, 337319.6046190651 7035932.612764829, 337318.1046190651 7035935.552764829, 337318.0995700663 7035935.562944996, 337316.7695700663 7035938.322944996, 337316.7682567336 7035938.325691761, 337315.37825673365 7035941.255691761, 337315.3690089472 7035941.276383758, 337313.900660162 7035944.772452294, 337309.7423781935 7035954.218549554, 337309.7202302791 7035954.279212873, 337307.6602302791 7035961.299212874, 337307.6550940762 7035961.318072788, 337306.7850940762 7035964.778072788, 337306.77874042327 7035964.8069192385, 337306.05874042324 7035968.606919238, 337306.05699526274 7035968.61665536, 337305.4669952628 7035972.10665536, 337305.4616974336 7035972.14883506, 337305.4600017222 7035972.191312332, 337305.47000172216 7035976.001312331, 337305.4708143328 7035976.028524895, 337305.7108143328 7035980.228524895, 337305.7110742244 7035980.232757753, 337305.97066344885 7035984.186501326, 337306.1304096866 7035988.13023657, 337306.13048351294 7035988.131983611, 337306.31048351293 7035992.221983611, 337306.31067284034 7035992.225930438, 337306.70066896005 7035999.735855718, 337306.89066509606 7036003.415780878, 337306.89097371075 7036003.421189142, 337307.1209632728 7036007.101022136, 337307.3509529428 7036010.82085506, 337307.3512442776 7036010.825252368, 337307.62124427763 7036014.645252368, 337307.62135183846 7036014.646742497, 337307.9013518385 7036018.446742496, 337307.90166422667 7036018.450760974, 337308.21166422666 7036022.240760974, 337308.2117451585 7036022.241738626, 337308.5317451585 7036026.061738625, 337308.53213408525 7036026.06614684, 337309.2421340852 7036033.7261468405, 337309.95210990624 7036041.335888664, 337310.6119504665 7036048.584137243, 337310.91181181086 7036052.062528837, 337311.5017062668 7036059.041280197, 337311.78145157686 7036062.488142054, 337312.2612744515 7036069.1656770585, 337312.5008982833 7036072.530395031, 337312.67063874344 7036075.885265302, 337312.6708418869 7036075.889003071, 337312.8603847644 7036079.151135751, 337312.9601758038 7036082.913257937, 337312.9603285438 7036082.918122799, 337313.1000704425 7036086.771006579, 337313.16001510044 7036094.483885894, 337313.1600274093 7036094.485235316, 337313.1999860758 7036098.301287967, 337313.1400070732 7036109.577340463, 337313.1400017497 7036109.578677254, 337313.13002637343 7036113.349369466, 337312.98039740085 7036117.100069045, 337312.9801845032 7036117.106418057, 337312.8804073551 7036120.778217109, 337312.65102823166 7036124.597878165, 337312.38134930003 7036128.523204835, 337311.76157515595 7036136.380341565, 337311.1317777605 7036144.227817047, 337309.8020456861 7036159.154809432, 337308.6923296898 7036171.161736564, 337308.3626346429 7036174.408733238, 337307.68278700963 7036180.907276791, 337306.47286215017 7036192.166577549, 337305.6728129569 7036199.677037333, 337305.6726733209 7036199.67836499, 337305.293807626 7036203.327439841, 337304.76542060653 7036206.886575048, 337304.7652976911 7036206.887407813, 337304.22529769107 7036210.567407813, 337304.22398579505 7036210.57699279, 337303.7564080367 7036214.25792408, 337303.01028711506 7036217.87909762, 337303.00997690996 7036217.880615036, 337302.291419247 7036221.423503513, 337300.9030673452 7036227.376436847, 337300.90282337175 7036227.377488077, 337299.9029718022 7036231.706845373, 337299.11405193876 7036235.082224029, 337296.6850468578 7036244.75826073, 337296.3049680775 7036246.278574878, 337295.3969471389 7036249.90068038, 337294.41913266835 7036253.333008725, 337294.4124203081 7036253.359247826, 337293.5949276379 7036256.95820946, 337292.6216889702 7036260.493647885, 337291.46734819503 7036263.916865356, 337290.3385320396 7036267.113512876, 337290.33831872005 7036267.114118204, 337289.19338369695 7036270.369716052, 337287.8493179195 7036273.555649747, 337287.84576165455 7036273.564304662, 337286.6298778744 7036276.604014112, 337282.83471724833 7036284.993316549, 337281.6087405497 7036287.684484912, 337280.1456898962 7036290.610586219, 337278.5287431951 7036293.644856571, 337278.52754088875 7036293.647126784, 337276.9283835704 7036296.685525688, 337275.35683337145 7036299.619749161, 337273.3953248723 7036302.776085173, 337273.39448199363 7036302.777446336, 337267.3044819936 7036312.647446336, 337265.2493502957 7036315.979553054, 337263.0645621451 7036319.241770977, 337263.0629428677 7036319.244204154, 337261.01962913043 7036322.3340932205, 337257.6168279337 7036326.97427667, 337251.4473002218 7036335.38363292, 337249.248065637 7036338.36259613, 337247.03884318814 7036341.341547667, 337240.38932908897 7036350.250896634, 337238.1512138937 7036353.2483723415, 337235.6630985601 7036356.495912435, 337235.650989929 7036356.512405212, 337230.960989929 7036363.182405212, 337223.9309717608 7036373.192430941, 337221.53111769265 7036376.602223596, 337221.52013533056 7036376.618497404, 337219.69017503585 7036379.448436002, 337216.83021492144 7036383.868374361, 337216.8290381409 7036383.870201717, 337215.41903814086 7036386.070201717, 337215.4153947625 7036386.075972743, 337213.7053947625 7036388.825972743, 337213.7007004451 7036388.833676197, 337209.2107004451 7036396.353676197, 337209.210232056 7036396.354462304, 337207.230232056 7036399.684462304, 337207.22787681245 7036399.688465607, 337205.27787681244 7036403.038465607, 337205.2751718813 7036403.0431710975, 337203.3451718813 7036406.443171098, 337203.34301382664 7036406.447012173, 337202.10301382665 7036408.6770121725, 337202.10276401613 7036408.677461973, 337199.9227640161 7036412.607461973, 337199.922171294 7036412.608533596, 337194.62251626386 7036422.217908094, 337192.6628629619 7036425.747283684, 337193.5371370381 7036426.232716316, 337195.4971370381 7036422.702716316))</t>
  </si>
  <si>
    <t>['EV14 S6D1 m7018-8253']</t>
  </si>
  <si>
    <t>LINESTRING Z (337039.39 7036940.46 93.41, 337039.38 7036939.29 93.41, 337039.36 7036935.24 93.43, 337039.3 7036923.05 93.49, 337039.32 7036919.54 93.5, 337039.36 7036916.05 93.51, 337039.5 7036905.57 93.53, 337039.54000000004 7036902.04 93.54, 337039.62 7036898.09 93.54, 337039.72 7036894.16 93.53, 337040.02 7036882.39 93.5, 337040.12 7036878.75 93.5, 337040.36 7036871.48 93.5, 337040.5 7036867.86 93.51, 337040.91000000003 7036857.26 93.54, 337041.3 7036847.03 93.59, 337041.49 7036844.59 93.64, 337041.67 7036842.41 93.68, 337041.74 7036840.98 93.68, 337041.96 7036837.31 93.67, 337042.62 7036826.52 93.73, 337043.29000000004 7036815.71 93.83, 337043.75 7036808.52 93.88, 337044.24 7036801.08 93.93, 337044.5 7036797.37 93.96000000000001, 337045.03 7036789.86 94.01, 337045.38 7036785.96 94.03, 337045.75 7036782.13 94.06, 337046.26 7036776.68 94.13, 337046.58 7036773.12 94.2, 337046.91000000003 7036769.5 94.27, 337047.26 7036766.11 94.31, 337047.65 7036762.78 94.35000000000001, 337048.45 7036756.12 94.43, 337048.79000000004 7036752.77 94.45, 337049.13 7036749.8 94.45, 337049.52 7036746.88 94.47, 337050.42 7036740.17 94.51, 337050.79000000004 7036737.6 94.53, 337051.45 7036733.59 94.56, 337052.11 7036729.63 94.60000000000001, 337052.82 7036725.61 94.62, 337053.63 7036721.52 94.66, 337054.44 7036717.51 94.71000000000001, 337055.28 7036713.44 94.77, 337056.03 7036710.23 94.8, 337056.78 7036707.07 94.84, 337057.53 7036703.92 94.87, 337058.31 7036700.75 94.89, 337059.12 7036697.6 94.89, 337059.93 7036694.49 94.9, 337060.8 7036691.29 94.92, 337061.81 7036688.02 94.98, 337062.79000000004 7036684.83 95.04, 337063.8 7036681.65 95.09, 337064.82 7036678.48 95.13, 337065.85 7036675.29 95.16, 337067.12 7036671.52 95.18, 337068.44 7036667.77 95.23, 337071.3 7036659.68 95.31, 337072.64 7036656.13 95.36, 337074.07 7036652.61 95.4, 337075.53 7036649.09 95.44, 337077.01 7036645.5 95.48, 337078.53 7036642.03 95.53, 337081.49 7036635.3 95.62, 337082.96 7036631.98 95.68, 337084.52 7036628.64 95.75, 337086.13 7036625.34 95.8, 337087.74 7036622.12 95.81, 337092.61 7036612.43 95.86, 337094.5 7036608.77 95.88, 337096.39 7036605.14 95.92, 337100.2 7036597.88 96.01, 337102.08 7036594.32 96.06, 337105.86 7036587.24 96.16, 337111.35 7036576.95 96.3, 337116.47 7036567.41 96.44, 337121.88 7036557.33 96.56, 337125.63 7036550.41 96.63, 337127.39 7036547.27 96.68, 337129.27 7036543.92 96.72, 337130.63 7036541.93 96.72, 337132.17 7036539.04 96.75, 337133.91000000003 7036535.77 96.78, 337135.66000000003 7036532.52 96.82000000000001, 337138.26 7036527.64 96.3, 337140.21 7036524.11 96.96000000000001, 337141.71 7036521.29 97, 337146.7 7036511.9 97.15, 337147.74 7036509.72 97.27, 337149.47 7036506.53 97.35000000000001, 337150.86 7036504.29 97.38, 337158.83 7036490.1 97.58, 337165.73 7036477.14 97.95, 337170.5 7036468.34 98.19, 337171.81 7036465.57 98.31, 337173.48 7036462.4 98.43, 337176.68 7036456.33 98.65, 337178.54000000004 7036452.86 98.78, 337181.76 7036446.86 99.04, 337182.27 7036445.91 99.08, 337183.83999999997 7036443.03 99.18, 337184.61 7036441.62 99.27, 337187.29000000004 7036436.71 99.56, 337188.5 7036434.49 99.69, 337189.82 7036432.02 99.79, 337191.17 7036429.51 99.89, 337191.96 7036428.05 99.95, 337195.06 7036422.46 100.23, 337200.36 7036412.85 100.55, 337202.54000000004 7036408.92 100.68, 337203.78 7036406.69 100.74000000000001, 337205.71 7036403.29 100.87, 337207.66000000003 7036399.94 101.05, 337209.64 7036396.61 101.21000000000001, 337214.13 7036389.09 101.55, 337215.83999999997 7036386.34 101.67, 337217.25 7036384.14 101.76, 337220.11 7036379.72 101.92, 337221.94 7036376.89 102.03, 337224.33999999997 7036373.48 102.19, 337231.37 7036363.47 102.75, 337236.06 7036356.8 103.08, 337238.55 7036353.55 103.31, 337240.79000000004 7036350.55 103.46000000000001, 337247.44 7036341.64 103.9, 337249.65 7036338.66 104.04, 337251.85 7036335.68 104.15, 337258.02 7036327.27 104.54, 337261.43 7036322.62 104.73, 337263.48 7036319.52 104.88, 337265.67 7036316.25 105.05, 337267.73 7036312.91 105.18, 337273.82 7036303.04 105.62, 337275.79000000004 7036299.87 105.81, 337277.37 7036296.92 105.89, 337278.97 7036293.88 106, 337280.58999999997 7036290.84 106.15, 337282.06 7036287.9 106.24000000000001, 337283.29000000004 7036285.2 106.37, 337287.08999999997 7036276.8 106.75, 337288.31 7036273.75 106.88, 337289.66000000003 7036270.55 107.05, 337290.81 7036267.28 107.14, 337291.94 7036264.08 107.27, 337293.1 7036260.64 107.42, 337294.08 7036257.08 107.54, 337294.9 7036253.47 107.65, 337295.88 7036250.03 107.75, 337296.79000000004 7036246.4 107.92, 337297.17 7036244.88 108.13, 337299.6 7036235.2 109.49000000000001, 337300.39 7036231.82 108.48, 337301.39 7036227.49 108.59, 337302.78 7036221.53 108.73, 337303.5 7036217.98 108.89, 337304.25 7036214.34 109.09, 337304.72 7036210.64 109.28, 337305.26 7036206.96 109.44, 337305.79000000004 7036203.39 109.60000000000001, 337306.17 7036199.73 109.75, 337306.97 7036192.22 110.07000000000001, 337308.18 7036180.96 110.55, 337308.86 7036174.46 110.82000000000001, 337309.19 7036171.21 110.96000000000001, 337310.3 7036159.2 112.4, 337311.63 7036144.27 111.99000000000001, 337312.26 7036136.42 112.26, 337312.88 7036128.56 112.64, 337313.15 7036124.63 112.78, 337313.38 7036120.8 112.91, 337313.48 7036117.12 113.03, 337313.63 7036113.36 113.18, 337313.64 7036109.58 113.26, 337313.7 7036098.3 113.60000000000001, 337313.66000000003 7036094.48 113.67, 337313.6 7036086.76 113.88, 337313.46 7036082.9 113.98, 337313.36 7036079.13 114.08, 337313.17 7036075.86 114.16, 337313 7036072.5 114.28, 337312.76 7036069.13 114.34, 337312.28 7036062.45 114.53, 337312 7036059 114.66, 337311.41000000003 7036052.02 114.92, 337311.11 7036048.54 115.01, 337310.45 7036041.29 115.33, 337309.74 7036033.68 115.63, 337309.03 7036026.02 115.88, 337308.71 7036022.2 116, 337308.4 7036018.41 116.11, 337308.12 7036014.61 116.25, 337307.85 7036010.79 116.39, 337307.62 7036007.07 116.56, 337307.39 7036003.39 116.73, 337307.2 7035999.71 116.87, 337306.81 7035992.2 117.33, 337306.63 7035988.11 117.44, 337306.47 7035984.16 117.58, 337306.21 7035980.2 117.71000000000001, 337305.97 7035976 117.9, 337305.96 7035972.19 117.99000000000001, 337306.55 7035968.7 118.07000000000001, 337307.27 7035964.9 118.17, 337308.14 7035961.44 118.32000000000001, 337310.2 7035954.42 118.69, 337314.36 7035944.97 119.18, 337315.83 7035941.47 119.42, 337317.22 7035938.54 119.51, 337318.55 7035935.78 119.57000000000001, 337320.05 7035932.84 119.71000000000001, 337321.64 7035930.17 119.75, 337323.17 7035927.74 119.81, 337324.89 7035925.16 119.85000000000001, 337327 7035922.3 119.99000000000001, 337328.98 7035919.66 120.14, 337331.17 7035917.02 122.3, 337338.2 7035909.31 122.8, 337345.91000000003 7035901.99 122.9, 337350.86 7035898.23 122.9, 337359.27 7035892.84 123.60000000000001, 337367.03 7035888.54 123.64, 337375.6 7035883.8 123.69, 337385.7 7035877.8 124, 337403.68 7035866.94 124, 337405.9 7035865.6 124, 337410.9 7035862.6 124, 337413.3 7035861 124, 337414.9 7035859.9 124.19, 337418.9 7035857.3 124.19, 337431.97 7035848.03 124.53, 337444.58999999997 7035839.92 124.93, 337445.5 7035839.34 124.96000000000001)</t>
  </si>
  <si>
    <t>POLYGON ((337039.8799894486 7036939.286628768, 337039.8599939199 7036935.237534224, 337039.80000701145 7036923.050193983, 337039.81998367433 7036919.544289651, 337039.85996172705 7036916.056204551, 337039.99995539174 7036905.576678794, 337039.99996790267 7036905.575665359, 337040.0399426366 7036902.04789509, 337040.1198712136 7036898.1014216, 337040.21983795 7036894.172728858, 337040.51982503367 7036882.4032356115, 337040.61977342237 7036878.765114262, 337040.8596811274 7036871.497910029, 337040.9996264987 7036867.879322572, 337041.4096263982 7036857.279325171, 337041.79925978713 7036847.058943684, 337041.9884003342 7036844.629980869, 337042.16830426373 7036842.451144389, 337042.16940202314 7036842.434446253, 337042.23926803377 7036841.007183465, 337042.45908583066 7036837.340222944, 337043.1190549007 7036826.550728601, 337043.78901160916 7036815.741427083, 337044.24894992186 7036808.55239128, 337044.7388500979 7036801.113906975, 337044.99876811926 7036797.405076747, 337045.5284242661 7036789.899949083, 337045.8778465807 7036786.006386148, 337046.2476830376 7036782.17807904, 337046.2478250641 7036782.176585465, 337046.7578250641 7036776.726585465, 337046.75799221173 7036776.724763345, 337047.07796396356 7036773.165077606, 337047.4076636081 7036769.548372415, 337047.7570043482 7036766.164757818, 337048.14651965135 7036762.8388963835, 337048.9464313616 7036756.179631395, 337048.94744454167 7036756.170486908, 337049.287120518 7036752.823679494, 337049.6262211471 7036749.861535763, 337050.01558070164 7036746.946330894, 337050.91524135 7036740.238860949, 337051.2841799288 7036737.676233523, 337051.94328009663 7036733.671700685, 337052.60279971134 7036729.714582996, 337053.31147935044 7036725.702058843, 337054.12028944836 7036721.618067114, 337054.929892651 7036717.610031506, 337055.76836578926 7036713.547429515, 337056.51668778836 7036710.344611359, 337057.266444409 7036707.185636798, 337058.01596761355 7036704.037639338, 337058.7948955997 7036700.871996112, 337059.6040534677 7036697.725271069, 337060.41318590456 7036694.618602084, 337061.28024843085 7036691.429406585, 337062.28773128794 7036688.167556146, 337062.28795424884 7036688.166832339, 337063.26725861133 7036684.979096711, 337064.27625615906 7036681.802252946, 337065.29588989966 7036678.633391224, 337066.3248431921 7036675.446632968, 337067.5927570361 7036671.68282573, 337068.9115219063 7036667.936334621, 337071.7696491081 7036659.851632152, 337073.1055813293 7036656.31240873, 337074.5325469989 7036652.799877852, 337075.99184840877 7036649.281562123, 337075.99225900776 7036649.280569173, 337077.47017823515 7036645.695616453, 337078.98783792305 7036642.23095914, 337081.947439117 7036635.501865883, 337083.4151518556 7036632.187031672, 337084.97122909204 7036628.855430408, 337086.57830300217 7036625.561427984, 337088.18698307226 7036622.344067845, 337093.05552042497 7036612.656978122, 337094.94387659576 7036609.00016141, 337096.8331136793 7036605.371626694, 337100.64243670506 7036598.112916676, 337102.5216064483 7036594.554488866, 337106.30107295647 7036587.475488104, 337111.79085182474 7036577.18590262, 337116.9105613618 7036567.646443834, 337122.320081572 7036557.567337787, 337126.0679022271 7036550.651359404, 337127.82609448355 7036547.514584582, 337129.69524339255 7036544.183920303, 337131.0428062151 7036542.21211882, 337131.07126097387 7036542.165135605, 337132.61126097385 7036539.275135606, 337134.3508207278 7036536.005963152, 337136.10023554997 7036532.757049911, 337136.1012765558 7036532.755106362, 337138.699494622 7036527.878450914, 337140.6476621988 7036524.351768071, 337140.6514361946 7036524.344806487, 337142.1514361946 7036521.524806486, 337147.1415274159 7036512.13463491, 337147.1512770893 7036512.115288153, 337148.1857002731 7036509.946978018, 337149.90255695465 7036506.781213385, 337151.2848493849 7036504.553634217, 337151.2959435689 7036504.534853435, 337159.26594356896 7036490.344853435, 337159.2713460391 7036490.3349759, 337166.1704673104 7036477.376626382, 337170.939576233 7036468.578270298, 337170.9520017371 7036468.553762554, 337172.257392881 7036465.793507999, 337173.9223343586 7036462.633110104, 337177.12149739714 7036456.5646977145, 337178.9806239598 7036453.096327192, 337182.2005490033 7036447.096466863, 337182.7097740573 7036446.147910389, 337184.2789174135 7036443.269481813, 337185.0488287924 7036441.859644093, 337187.728879449 7036436.9495513085, 337188.939023341 7036434.729287497, 337188.9409786304 7036434.725664693, 337190.2606641342 7036432.256253181, 337191.6100502985 7036429.747394461, 337192.3985188001 7036428.290224825, 337195.4972629986 7036422.702489319, 337195.497828706 7036422.701466404, 337200.79753301875 7036413.0920025455, 337202.9771111662 7036409.162763041, 337204.2159156108 7036406.934913114, 337206.143488414 7036403.539189004, 337208.09095487645 7036400.193541492, 337210.06953409634 7036396.865930986, 337214.5569871455 7036389.350196702, 337216.26280323445 7036386.606925215, 337217.67037547677 7036384.410713205, 337220.52978507854 7036379.991625639, 337222.3545332692 7036377.169747328, 337224.7488823073 7036373.7677764045, 337224.7491737885 7036373.767361812, 337231.77909196715 7036363.757478317, 337236.4631245212 7036357.095965069, 337238.94690143986 7036353.854087564, 337238.950640111 7036353.849144616, 337241.19064011105 7036350.849144616, 337247.8407004693 7036341.939063762, 337247.84161141503 7036341.937839338, 337250.05161141505 7036338.957839338, 337250.05225632543 7036338.956967757, 337252.2522563254 7036335.976967757, 337252.2531415303 7036335.975764951, 337258.42314153037 7036327.565764951, 337261.8332024979 7036322.915681832, 337261.8470571323 7036322.895795845, 337263.896251022 7036319.797014841, 337266.08543785487 7036316.528229022, 337266.09556645865 7036316.512475121, 337268.15554112213 7036313.172516201, 337274.245097663 7036303.303234911, 337276.21467512776 7036300.133914827, 337276.23076219484 7036300.1060692435, 337277.8107621948 7036297.156069243, 337277.8124591112 7036297.152873216, 337279.411860881 7036294.114009853, 337281.0312568048 7036291.0751434285, 337281.03721359547 7036291.063606798, 337282.5072135955 7036288.123606798, 337282.51500994014 7036288.107282306, 337283.7450099402 7036285.407282306, 337283.7455539615 7036285.406083935, 337287.5455539614 7036277.006083935, 337287.5542383454 7036276.985695338, 337288.7725007051 7036273.940039439, 337290.1206820805 7036270.744350253, 337290.13168128 7036270.715881796, 337291.28157480346 7036267.44618456, 337292.4114679604 7036264.246487124, 337292.41378785355 7036264.239765672, 337293.57378785353 7036260.799765672, 337293.5820680597 7036260.772704128, 337294.56206805975 7036257.212704129, 337294.56757969194 7036257.190752174, 337295.38457897276 7036253.593962656, 337296.3608673317 7036250.166991275, 337296.364992556 7036250.151582156, 337297.274992556 7036246.521582156, 337297.6550122943 7036245.001503635, 337300.08495314216 7036235.32173927, 337300.08687807014 7036235.313796946, 337300.8768780702 7036231.933796946, 337300.8771766283 7036231.932511924, 337301.8770552122 7036227.603037655, 337303.26693265483 7036221.643563153, 337303.27002309007 7036221.629384965, 337303.9898691546 7036218.080143952, 337304.73971288494 7036214.44090238, 337304.7460142049 7036214.403007209, 337305.2154046226 7036210.707806048, 337305.7546411991 7036207.033008639, 337306.2845793935 7036203.463424952, 337306.2873266791 7036203.44163501, 337306.66725774924 7036199.782298913, 337307.46716254717 7036192.273192623, 337308.6771378498 7036181.013422451, 337308.67728616105 7036181.012023783, 337309.35728616104 7036174.512023783, 337309.3574422462 7036174.510509521, 337309.68744224624 7036171.260509521, 337309.6878780826 7036171.256015376, 337310.7978780826 7036159.246015376, 337310.79802781245 7036159.244365505, 337312.12802781246 7036144.314365504, 337312.1283975295 7036144.309998782, 337312.7583975295 7036136.459998783, 337312.75845169195 7036136.459318073, 337313.37845169194 7036128.599318072, 337313.3788241597 7036128.594270362, 337313.6488241597 7036124.664270362, 337313.6491008639 7036124.6599721145, 337313.8791008639 7036120.829972114, 337313.8798154968 7036120.813581943, 337313.9797292146 7036117.136757127, 337314.12960259913 7036113.379930955, 337314.12999825034 7036113.361322747, 337314.13999648206 7036109.581991156, 337314.19999292685 7036098.302659537, 337314.1999725907 7036098.2947646845, 337314.1599796557 7036094.475439387, 337314.09998489957 7036086.756114107, 337314.0996714562 7036086.741877201, 337313.95975966565 7036082.884309261, 337313.8598241962 7036079.116742063, 337313.8591581131 7036079.100996929, 337313.66926668084 7036075.832865438, 337313.49936125654 7036072.474734698, 337313.49873685115 7036072.464481649, 337313.25873685116 7036069.094481649, 337312.7787141458 7036062.4141642535, 337312.7783613778 7036062.40955328, 337312.49836137774 7036058.95955328, 337312.4982233023 7036058.957886569, 337311.90822330234 7036051.977886569, 337311.9081523845 7036051.977055828, 337311.60815238446 7036048.497055829, 337311.60794096976 7036048.494670201, 337310.9479409698 7036041.244670201, 337310.9478379617 7036041.243552568, 337310.2378519808 7036033.633702829, 337309.528070132 7036025.9760564035, 337309.20829578605 7036022.158750149, 337308.89850006666 7036018.371247645, 337308.61870305537 7036014.574002491, 337308.3489110787 7036010.756945637, 337308.1190470572 7036007.039144941, 337307.88919524517 7036003.361514151, 337307.69933490397 7035999.684219122, 337307.309429621 7035992.176042599, 337307.12955492793 7035988.088889851, 337306.9695903134 7035984.139763431, 337306.9689257756 7035984.127242248, 337306.70906469715 7035980.169358129, 337306.4699625367 7035975.985070322, 337306.46011015866 7035972.231314267, 337307.04218031093 7035968.788221331, 337307.75850896776 7035965.007597866, 337308.6225221823 7035961.57140738, 337310.6706586786 7035954.5918354355, 337314.8176218065 7035945.171450445, 337314.8209910528 7035945.163616242, 337316.2866017081 7035941.674067062, 337317.67109077366 7035938.755683637, 337318.9979632762 7035936.002173782, 337320.487955572 7035933.081788882, 337322.06642180786 7035930.431156901, 337323.58964214375 7035928.011924603, 337325.2994201639 7035925.447257573, 337327.4011817412 7035922.598424344, 337329.37264889595 7035919.969801472, 337331.54735531675 7035917.348237567, 337338.55733064056 7035909.660199196, 337346.23432885006 7035902.371531636, 337351.1465725485 7035898.640211171, 337359.52633171965 7035893.269592629, 337367.27216975787 7035888.977440108, 337375.8419974225 7035884.2375354245, 337375.8553677069 7035884.229868974, 337385.95536770695 7035878.229868974, 337385.9585069564 7035878.227988496, 337403.9384425477 7035867.3680274, 337406.1578151031 7035866.028406127, 337411.15724787774 7035863.028746462, 337411.1773500981 7035863.0160251465, 337413.57735009806 7035861.416025147, 337413.58326441137 7035861.412020962, 337415.17792593053 7035860.3156911675, 337419.1724941754 7035857.719221808, 337419.1892596894 7035857.707834319, 337432.2499319 7035848.444450127, 337444.85952541104 7035840.341137657, 337445.76873748685 7035839.76163985, 337445.23126251315 7035838.9183601495, 337444.3212625131 7035839.49836015, 337444.319688591 7035839.499367449, 337431.699688591 7035847.60936745, 337431.6807403106 7035847.622165681, 337418.6190076497 7035856.8863020055, 337414.62750582467 7035859.480778192, 337414.61673558864 7035859.487979039, 337413.01967844693 7035860.585955823, 337410.6325496581 7035862.177375015, 337405.6427521223 7035865.171253537, 337405.6416187765 7035865.171935584, 337403.42161877645 7035866.511935585, 337385.44305930275 7035877.371065476, 337375.3512583498 7035883.366194755, 337366.7880025775 7035888.102464575, 337359.027657198 7035892.40265578, 337359.00020333036 7035892.419037107, 337350.5902033303 7035897.809037108, 337350.5575603489 7035897.831841418, 337345.60756034893 7035901.591841417, 337345.56573652703 7035901.627394621, 337337.855736527 7035908.947394621, 337337.8305290954 7035908.973115374, 337330.80052909534 7035916.683115374, 337330.7851734335 7035916.70076887, 337328.5951734335 7035919.340768871, 337328.58 7035919.36, 337326.60000000003 7035922, 337326.5976489527 7035922.003160591, 337324.4876489527 7035924.863160592, 337324.4739748528 7035924.882649902, 337322.7539748528 7035927.462649902, 337322.74688357994 7035927.473593365, 337321.21688357997 7035929.903593365, 337321.2104040781 7035929.914173215, 337319.6204040781 7035932.584173215, 337319.6046190651 7035932.612764829, 337318.1046190651 7035935.552764829, 337318.0995700663 7035935.562944996, 337316.7695700663 7035938.322944996, 337316.7682567336 7035938.325691761, 337315.37825673365 7035941.255691761, 337315.3690089472 7035941.276383758, 337313.900660162 7035944.772452294, 337309.7423781935 7035954.218549554, 337309.7202302791 7035954.279212873, 337307.6602302791 7035961.299212874, 337307.6550940762 7035961.318072788, 337306.7850940762 7035964.778072788, 337306.77874042327 7035964.8069192385, 337306.05874042324 7035968.606919238, 337306.05699526274 7035968.61665536, 337305.4669952628 7035972.10665536, 337305.4616974336 7035972.14883506, 337305.4600017222 7035972.191312332, 337305.47000172216 7035976.001312331, 337305.4708143328 7035976.028524895, 337305.7108143328 7035980.228524895, 337305.7110742244 7035980.232757753, 337305.97066344885 7035984.186501326, 337306.1304096866 7035988.13023657, 337306.13048351294 7035988.131983611, 337306.31048351293 7035992.221983611, 337306.31067284034 7035992.225930438, 337306.70066896005 7035999.735855718, 337306.89066509606 7036003.415780878, 337306.89097371075 7036003.421189142, 337307.1209632728 7036007.101022136, 337307.3509529428 7036010.82085506, 337307.3512442776 7036010.825252368, 337307.62124427763 7036014.645252368, 337307.62135183846 7036014.646742497, 337307.9013518385 7036018.446742496, 337307.90166422667 7036018.450760974, 337308.21166422666 7036022.240760974, 337308.2117451585 7036022.241738626, 337308.5317451585 7036026.061738625, 337308.53213408525 7036026.06614684, 337309.2421340852 7036033.7261468405, 337309.95210990624 7036041.335888664, 337310.6119504665 7036048.584137243, 337310.91181181086 7036052.062528837, 337311.5017062668 7036059.041280197, 337311.78145157686 7036062.488142054, 337312.2612744515 7036069.1656770585, 337312.5008982833 7036072.530395031, 337312.67063874344 7036075.885265302, 337312.6708418869 7036075.889003071, 337312.8603847644 7036079.151135751, 337312.9601758038 7036082.913257937, 337312.9603285438 7036082.918122799, 337313.1000704425 7036086.771006579, 337313.16001510044 7036094.483885894, 337313.1600274093 7036094.485235316, 337313.1999860758 7036098.301287967, 337313.1400070732 7036109.577340463, 337313.1400017497 7036109.578677254, 337313.13002637343 7036113.349369466, 337312.98039740085 7036117.100069045, 337312.9801845032 7036117.106418057, 337312.8804073551 7036120.778217109, 337312.65102823166 7036124.597878165, 337312.38134930003 7036128.523204835, 337311.76157515595 7036136.380341565, 337311.1317777605 7036144.227817047, 337309.8020456861 7036159.154809432, 337308.6923296898 7036171.161736564, 337308.3626346429 7036174.408733238, 337307.68278700963 7036180.907276791, 337306.47286215017 7036192.166577549, 337305.6728129569 7036199.677037333, 337305.6726733209 7036199.67836499, 337305.293807626 7036203.327439841, 337304.76542060653 7036206.886575048, 337304.7652976911 7036206.887407813, 337304.22529769107 7036210.567407813, 337304.22398579505 7036210.57699279, 337303.7564080367 7036214.25792408, 337303.01028711506 7036217.87909762, 337303.00997690996 7036217.880615036, 337302.291419247 7036221.423503513, 337300.9030673452 7036227.376436847, 337300.90282337175 7036227.377488077, 337299.9029718022 7036231.706845373, 337299.11405193876 7036235.082224029, 337296.6850468578 7036244.75826073, 337296.3049680775 7036246.278574878, 337295.3969471389 7036249.90068038, 337294.41913266835 7036253.333008725, 337294.4124203081 7036253.359247826, 337293.5949276379 7036256.95820946, 337292.6216889702 7036260.493647885, 337291.46734819503 7036263.916865356, 337290.3385320396 7036267.113512876, 337290.33831872005 7036267.114118204, 337289.19338369695 7036270.369716052, 337287.8493179195 7036273.555649747, 337287.84576165455 7036273.564304662, 337286.6298778744 7036276.604014112, 337282.83471724833 7036284.993316549, 337281.6087405497 7036287.684484912, 337280.1456898962 7036290.610586219, 337278.5287431951 7036293.644856571, 337278.52754088875 7036293.647126784, 337276.9283835704 7036296.685525688, 337275.35683337145 7036299.619749161, 337273.3953248723 7036302.776085173, 337273.39448199363 7036302.777446336, 337267.3044819936 7036312.647446336, 337265.2493502957 7036315.979553054, 337263.0645621451 7036319.241770977, 337263.0629428677 7036319.244204154, 337261.01962913043 7036322.3340932205, 337257.6168279337 7036326.97427667, 337251.4473002218 7036335.38363292, 337249.248065637 7036338.36259613, 337247.03884318814 7036341.341547667, 337240.38932908897 7036350.250896634, 337238.1512138937 7036353.2483723415, 337235.6630985601 7036356.495912435, 337235.650989929 7036356.512405212, 337230.960989929 7036363.182405212, 337223.9309717608 7036373.192430941, 337221.53111769265 7036376.602223596, 337221.52013533056 7036376.618497404, 337219.69017503585 7036379.448436002, 337216.83021492144 7036383.868374361, 337216.8290381409 7036383.870201717, 337215.41903814086 7036386.070201717, 337215.4153947625 7036386.075972743, 337213.7053947625 7036388.825972743, 337213.7007004451 7036388.833676197, 337209.2107004451 7036396.353676197, 337209.210232056 7036396.354462304, 337207.230232056 7036399.684462304, 337207.22787681245 7036399.688465607, 337205.27787681244 7036403.038465607, 337205.2751718813 7036403.0431710975, 337203.3451718813 7036406.443171098, 337203.34301382664 7036406.447012173, 337202.10301382665 7036408.6770121725, 337202.10276401613 7036408.677461973, 337199.9227640161 7036412.607461973, 337199.922171294 7036412.608533596, 337194.622453528 7036422.218021847, 337191.5227370014 7036427.8075106805, 337191.520248943 7036427.81205251, 337190.730248943 7036429.27205251, 337190.7296518335 7036429.273159352, 337189.3796518335 7036431.783159352, 337189.3790213696 7036431.784335307, 337188.05999156256 7036434.252519871, 337186.85104874935 7036436.470580239, 337184.1711457888 7036441.380402453, 337183.40117120754 7036442.790355908, 337181.830993972 7036445.670680742, 337181.82946699625 7036445.673503335, 337181.31946699624 7036446.623503335, 337178.0994347898 7036452.623563337, 337176.239316667 7036456.093783574, 337176.237699053 7036456.096826519, 337173.037699053 7036462.166826519, 337171.3676317348 7036465.336954258, 337171.3579982629 7036465.356237446, 337170.0538741785 7036468.1138128, 337165.290423767 7036476.901729701, 337165.2886539609 7036476.905024099, 337158.39129958884 7036489.8600549195, 337150.42939864646 7036504.035635143, 337149.04515061504 7036506.266365783, 337149.03047428554 7036506.291636525, 337147.30047428556 7036509.481636524, 337147.2887229107 7036509.504711847, 337146.2533881261 7036511.674932838, 337141.2685182782 7036521.055279105, 337139.7704232454 7036523.871697767, 337137.8223378012 7036527.398231929, 337137.81872344424 7036527.404893638, 337135.21924177004 7036532.28392078, 337133.4697644501 7036535.532950088, 337133.46859953343 7036535.535126356, 337131.72866915824 7036538.80499551, 337130.2016741057 7036541.670590121, 337128.8571937849 7036543.637881179, 337128.8339691232 7036543.675302075, 337126.9539691232 7036547.025302075, 337125.19384177047 7036550.165529146, 337125.19039836485 7036550.17177657, 337121.44039836485 7036557.09177657, 337121.4394420743 7036557.093549764, 337116.02944207424 7036567.173549764, 337110.90943863813 7036576.713556167, 337110.9088591365 7036576.714639131, 337105.4188926846 7036587.004576251, 337101.63892704353 7036594.084511897, 337101.6378646002 7036594.086512767, 337099.7578646002 7036597.646512766, 337099.7572634069 7036597.647654763, 337095.9472634069 7036604.907654763, 337095.94651167834 7036604.909092857, 337094.0565116783 7036608.539092856, 337094.0557375562 7036608.540585787, 337092.1657375562 7036612.200585787, 337092.16324839904 7036612.205471589, 337087.29324839904 7036621.89547159, 337087.2927864045 7036621.896393202, 337085.6827864045 7036625.116393202, 337085.68062886526 7036625.120761355, 337084.0706288653 7036628.420761355, 337084.0669777571 7036628.428408773, 337082.5069777571 7036631.7684087735, 337082.50281073916 7036631.7775698155, 337081.0328107391 7036635.097569815, 337081.0323124053 7036635.098699067, 337078.07231240533 7036641.828699067, 337078.07201225456 7036641.82938289, 337076.55201225454 7036645.29938289, 337076.5477409923 7036645.309430826, 337075.0679457078 7036648.898934253, 337073.60815159127 7036652.418437877, 337073.60676671145 7036652.421811477, 337072.17676671146 7036655.941811477, 337072.17221556767 7036655.953427848, 337070.83221556764 7036659.503427848, 337070.82859095745 7036659.5133461235, 337067.96859095746 7036667.603346123, 337067.9683656849 7036667.603984721, 337066.6483656849 7036671.353984721, 337066.6461634931 7036671.360378683, 337065.3761634931 7036675.130378683, 337065.37418788363 7036675.136367875, 337064.34418788366 7036678.326367876, 337064.34403260855 7036678.32684961, 337063.32403260854 7036681.49684961, 337063.32345845073 7036681.498645609, 337062.3134584508 7036684.678645609, 337062.3120457512 7036684.683167661, 337061.332156955 7036687.87280568, 337060.32226871204 7036691.142443853, 337060.3175138572 7036691.15882408, 337059.4475138572 7036694.35882408, 337059.44614183536 7036694.363979063, 337058.63614183536 7036697.473979062, 337058.6357535337 7036697.47547948, 337057.8257535337 7036700.62547948, 337057.824481625 7036700.630534911, 337057.044481625 7036703.8005349105, 337057.0435968927 7036703.804189736, 337056.2935968927 7036706.954189736, 337055.5435144246 7036710.114536651, 337055.5431129806 7036710.116241351, 337054.7931129806 7036713.326241351, 337054.79032046057 7036713.338935918, 337053.95032046054 7036717.408935918, 337053.949898594 7036717.41100196, 337053.139898594 7036721.42100196, 337053.1395260372 7036721.422864569, 337052.3295260372 7036725.51286457, 337052.327620556 7036725.523037462, 337051.617620556 7036729.543037461, 337051.61680303805 7036729.547800506, 337050.9568030381 7036733.507800506, 337050.9566377862 7036733.508798239, 337050.2966377862 7036737.518798239, 337050.2951025737 7036737.528750176, 337049.92510257364 7036740.098750176, 337049.924437802 7036740.103531151, 337049.024437802 7036746.813531151, 337048.6344008853 7036749.733806968, 337048.63324445474 7036749.743132361, 337048.2932444548 7036752.713132361, 337048.2925554584 7036752.719513091, 337047.9530199807 7036756.064936181, 337047.15356863843 7036762.720368605, 337047.153394227 7036762.721838964, 337046.76339422696 7036766.051838964, 337046.762643757 7036766.0586505355, 337046.412643757 7036769.448650535, 337046.41206468694 7036769.454608107, 337046.0820646869 7036773.074608107, 337046.0820077883 7036773.075236655, 337045.76208969456 7036776.634325447, 337045.2522448285 7036782.082667643, 337044.8823169624 7036785.91192096, 337044.88200139673 7036785.915307818, 337044.53200139676 7036789.815307818, 337044.53124049015 7036789.82480126, 337044.0012404901 7036797.334801259, 337043.7412233275 7036801.0450453, 337043.74108087696 7036801.04714108, 337043.251080877 7036808.487141079, 337043.25102015736 7036808.4880763935, 337042.7910201574 7036815.678076394, 337042.79095761117 7036815.679069528, 337042.1209576111 7036826.489069528, 337041.4609327568 7036837.27947318, 337041.46089595195 7036837.2800809555, 337041.2408959519 7036840.950080956, 337041.24059797684 7036840.955553748, 337041.17100712215 7036842.377195493, 337040.99169573624 7036844.548855611, 337040.9915090304 7036844.55118308, 337040.8015090304 7036846.991183081, 337040.8003629484 7036847.010952254, 337040.41036823683 7036857.240813534, 337040.00037360186 7036867.840674829, 337039.86037350126 7036871.460677429, 337039.8602722318 7036871.463502797, 337039.6202722318 7036878.733502797, 337039.6201885782 7036878.736268917, 337039.52018857823 7036882.376268917, 337039.5201623372 7036882.377259872, 337039.2201623372 7036894.147259872, 337039.12016178714 7036898.07728147, 337039.12010251614 7036898.079875493, 337039.0401025162 7036902.029875494, 337039.0400320974 7036902.034334641, 337039.0000378394 7036905.563827904, 337038.86004460824 7036916.043321206, 337038.8600328372 7036916.044269717, 337038.8200328372 7036919.5342697175, 337038.8200081166 7036919.537151043, 337038.8000081166 7036923.047151043, 337038.80000605655 7036923.052461004, 337038.86000605655 7036935.242461004, 337038.8800060965 7036939.292469106, 337038.88001826184 7036939.2942733485, 337038.89001826185 7036940.464273348, 337039.8899817382 7036940.4557266515, 337039.8799894486 7036939.286628768))</t>
  </si>
  <si>
    <t>['EV6 S85D1 m8961-9193']</t>
  </si>
  <si>
    <t>LINESTRING Z (321628.48 7074766.24 57.94, 321629.1 7074766.9 57.85, 321630.9 7074768.9 57.85, 321632.7 7074771 57.75, 321634.7 7074773 57.75, 321636.5 7074775 57.65, 321638.5 7074777 57.65, 321640.4 7074779 57.550000000000004, 321642.2 7074781 57.550000000000004, 321644.2 7074782.9 57.45, 321645.1 7074783.9 57.45, 321646.2 7074784.9 57.45, 321648.1 7074786.8 57.45, 321650.1 7074788.8 57.45, 321652 7074790.6 57.35, 321654.1 7074792.6 57.45, 321656.1 7074794.5 57.45, 321658.1 7074796.3 57.45, 321660.1 7074798.3 57.45, 321662.1 7074800.1 57.45, 321668.6 7074806.26 57.76, 321670.9 7074808.25 57.800000000000004, 321674.71 7074811.5 57.86, 321677.36 7074813.73 57.9, 321678.95 7074815.04 57.9, 321682.15 7074817.65 57.94, 321684.37 7074819.44 57.980000000000004, 321687.32 7074821.77 58.03, 321689.29000000004 7074823.31 58.04, 321691.28 7074824.85 58.09, 321693.25 7074826.35 58.1, 321696.27 7074828.61 58.160000000000004, 321698.27 7074830.09 58.18, 321701.92 7074832.77 58.25, 321703.72 7074834.07 58.26, 321704.31 7074834.48 58.27, 321708.45 7074837.4 58.36, 321709.61 7074838.21 58.35, 321711.96 7074839.82 58.410000000000004, 321715.67 7074842.34 58.480000000000004, 321717.74 7074843.72 58.49, 321720.88 7074845.79 58.56, 321724.04000000004 7074847.83 58.63, 321727.2 7074849.86 58.660000000000004, 321731.41000000003 7074852.53 58.76, 321735.66000000003 7074855.2 58.83, 321738.83999999997 7074857.17 58.85, 321743.12 7074859.8 58.93, 321747.36 7074862.4 58.99, 321751.71 7074865.05 59.050000000000004, 321755.9 7074867.61 59.13, 321760.18 7074870.21 59.18, 321764.44 7074872.82 59.24, 321768.7 7074875.42 59.28, 321772.97 7074878.02 59.36, 321777.25 7074880.63 59.4, 321781.52 7074883.23 59.47, 321785.5 7074885.66 59.53, 321790.05 7074888.43 59.58, 321794.32 7074891.04 59.65, 321798.58999999997 7074893.64 59.730000000000004, 321802.86 7074896.25 59.78, 321807.33 7074898.97 59.86, 321811.41000000003 7074901.46 59.92, 321814.44 7074903.3 59.96)</t>
  </si>
  <si>
    <t>POLYGON ((321628.7319225099 7074767.23844857, 321630.52430737286 7074769.2299873065, 321632.3203716989 7074771.325395687, 321632.3464466094 7074771.35355339, 321634.3371489993 7074773.34425578, 321636.12835292687 7074775.334482366, 321636.1464466094 7074775.35355339, 321638.14191460516 7074777.349021386, 321640.032859954 7074779.339490174, 321641.8283529269 7074781.334482366, 321641.855625269 7074781.362499717, 321643.8414409469 7074783.249024611, 321644.72835292685 7074784.234482367, 321644.763663603 7074784.269970037, 321645.85485977563 7074785.261966557, 321647.74644660944 7074787.153553391, 321649.7464466094 7074789.15355339, 321649.75612767605 7074789.162976341, 321651.65564943646 7074790.962523272, 321653.7551724138 7074792.962068965, 321653.75562526897 7074792.962499716, 321655.75562526897 7074794.862499717, 321655.76551763417 7074794.871647073, 321657.7557442146 7074796.662850996, 321659.7464466094 7074798.65355339, 321659.76551763417 7074798.671647073, 321661.76073551574 7074800.4673431665, 321668.2560657344 7074806.62291765, 321668.27284778364 7074806.638115627, 321670.5728477837 7074808.628115627, 321670.5755096985 7074808.6304024765, 321674.3855096985 7074811.8804024765, 321674.3880655149 7074811.882567886, 321677.0380655149 7074814.112567887, 321677.0420613108 7074814.115895051, 321678.6320613108 7074815.42589505, 321678.6339749008 7074815.427463723, 321681.83397490083 7074818.037463724, 321681.8361580458 7074818.039234156, 321684.0561580458 7074819.829234156, 321684.0600916124 7074819.832373281, 321687.0100916124 7074822.16237328, 321687.01206158154 7074822.163921223, 321688.98206158157 7074823.703921223, 321688.98399356427 7074823.7054239, 321690.97399356426 7074825.2454239, 321690.977100088 7074825.2478085505, 321692.947100088 7074826.7478085505, 321692.95042434655 7074826.750317908, 321695.97042434657 7074829.010317909, 321695.97257849737 7074829.01192095, 321697.97257849737 7074830.49192095, 321697.9740788742 7074830.493026907, 321701.6240788742 7074833.173026906, 321701.62725472293 7074833.175339614, 321703.4272547229 7074834.475339615, 321703.43467169197 7074834.480594395, 321704.02323906514 7074834.889598841, 321708.16181341495 7074837.8085933095, 321708.1637433869 7074837.809947743, 321709.3237433869 7074838.619947743, 321709.32740639994 7074838.6224813415, 321711.6774064 7074840.232481342, 321711.6790584823 7074840.2336083455, 321715.38905848225 7074842.753608345, 321715.3926499019 7074842.756025147, 321717.4626499019 7074844.136025147, 321717.4648011911 7074844.137451333, 321720.60480119113 7074846.207451333, 321720.6088154612 7074846.210070168, 321723.76881546126 7074848.250070168, 321723.76975578524 7074848.250675724, 321726.9297557852 7074850.280675724, 321726.9322115412 7074850.282243226, 321731.14221154124 7074852.952243226, 321731.14401624445 7074852.953382383, 321735.39401624445 7074855.623382383, 321735.3966846616 7074855.625047095, 321738.57668466156 7074857.595047095, 321738.5782290092 7074857.595999939, 321742.8582290092 7074860.225999939, 321747.0986246839 7074862.826242823, 321747.0998708387 7074862.827004473, 321751.44959317084 7074865.476835318, 321755.63931618596 7074868.036666087, 321755.64040672366 7074868.037330471, 321759.91959718533 7074870.636838695, 321764.1787893793 7074873.246343772, 321764.17951818404 7074873.246789438, 321768.43951818405 7074875.846789437, 321768.4399630722 7074875.847060647, 321772.7098204422 7074878.446973799, 321776.9896785546 7074881.056887275, 321781.25970593834 7074883.656904079, 321785.239448501 7074886.086746899, 321785.2399967497 7074886.087081151, 321789.7896153273 7074888.856848944, 321794.05923458334 7074891.466616218, 321794.0599630722 7074891.467060647, 321798.32959866547 7074894.06683876, 321802.5992345833 7074896.676616218, 321802.6000871579 7074896.677136178, 321807.06980812823 7074899.396966388, 321811.1495289188 7074901.886795988, 321811.1504741277 7074901.88737141, 321814.18047412764 7074903.72737141, 321814.69952587236 7074902.87262859, 321811.6699986253 7074901.032915674, 321807.59047108126 7074898.543204011, 321807.5899128421 7074898.542863822, 321803.1203393032 7074895.823123324, 321798.85076541663 7074893.213383782, 321798.8500369278 7074893.212939353, 321794.5804013345 7074890.61316124, 321790.31076541665 7074888.003383782, 321790.3100032503 7074888.002918849, 321785.76027749036 7074885.233085804, 321781.78055149905 7074882.803253101, 321781.7800369279 7074882.8029393535, 321777.510179519 7074880.203026176, 321773.2303214454 7074877.593112725, 321768.9602597266 7074874.993075015, 321764.70084622444 7074872.393432972, 321760.4412106207 7074869.783656228, 321760.43959327636 7074869.782669529, 321756.160138984 7074867.183001034, 321751.9706838141 7074864.623333913, 321751.9701291613 7074864.622995527, 321747.62075275317 7074861.973375417, 321743.38157339557 7074859.373878641, 321739.10254410596 7074856.744475129, 321735.9246521625 7074854.775781063, 321731.67688726616 7074852.107185234, 321727.469018648 7074849.438536966, 321724.31071455346 7074847.409626424, 321721.1531979701 7074845.371229642, 321718.0162762397 7074843.303258947, 321715.9491510296 7074841.925175474, 321712.24176874215 7074839.406953543, 321709.89443078666 7074837.798777327, 321708.73722315626 7074836.990727171, 321704.59818658506 7074834.071406691, 321704.595328308 7074834.069405606, 321704.00906068605 7074833.661999293, 321702.2143377412 7074832.365810498, 321698.56667235406 7074829.68752468, 321696.5685006556 7074828.208877623, 321693.55124300905 7074825.950929848, 321691.58445782965 7074824.453377681, 321689.59697429463 7074822.915325096, 321687.62892536813 7074821.3768503005, 321684.68188306526 7074819.049186381, 321682.4649360464 7074817.261648018, 321679.26698377327 7074814.653318196, 321677.679945274 7074813.345758175, 321675.03321597946 7074811.118510503, 321671.2258252806 7074807.870736285, 321668.9357153351 7074805.889293332, 321662.4439342656 7074799.737082349, 321662.4344823658 7074799.728352927, 321660.4442557854 7074797.937149004, 321658.4535533906 7074795.94644661, 321658.4344823658 7074795.928352927, 321656.43949017924 7074794.132859959, 321654.44460114016 7074792.237715372, 321652.3448275862 7074790.2379310345, 321652.3438723239 7074790.237023658, 321650.4487765145 7074788.441669733, 321648.4535533906 7074786.44644661, 321646.55355339055 7074784.546446609, 321646.536336397 7074784.530029964, 321645.454881147 7074783.546888827, 321644.57164707314 7074782.565517634, 321644.544374731 7074782.537500284, 321642.5585590531 7074780.650975389, 321640.77164707315 7074778.665517634, 321640.76249971683 7074778.655625269, 321638.8624997168 7074776.655625269, 321638.8535533906 7074776.64644661, 321636.86285100074 7074774.65574422, 321635.07164707314 7074772.665517634, 321635.0535533906 7074772.64644661, 321633.0671315429 7074770.660024762, 321631.27962830116 7074768.574604314, 321631.27164707315 7074768.565517634, 321629.4716470731 7074766.565517634, 321629.46442403604 7074766.55766227, 321628.84442403604 7074765.89766227, 321628.1155759639 7074766.582337731, 321628.7319225099 7074767.23844857))</t>
  </si>
  <si>
    <t>2025-09-18</t>
  </si>
  <si>
    <t>['EV14 S3D1 m3981-4110']</t>
  </si>
  <si>
    <t>LINESTRING Z (310472.19 7042389.58 26.63, 310474.82 7042387.6 26.650000000000002, 310478.04000000004 7042385.37 26.67, 310481.28 7042383 26.68, 310484.17 7042380.77 26.66, 310486.96 7042378.56 26.650000000000002, 310489.77 7042376.28 26.64, 310492.2 7042374.2 26.62, 310496.96 7042370.08 26.59, 310499.83 7042367.43 26.580000000000002, 310502.62 7042364.8 26.57, 310505.44 7042362.13 26.560000000000002, 310508.33 7042359.29 26.57, 310511.12 7042356.4 26.580000000000002, 310513.98 7042353.45 26.59, 310516.4 7042350.76 26.61, 310518.69 7042348.12 26.63, 310523.28 7042342.82 26.67, 310525.73 7042339.91 26.68, 310528.08 7042336.95 26.69, 310530.5 7042333.9 26.69, 310532.64 7042330.97 26.71, 310534.69 7042328.12 26.73, 310536.79000000004 7042325.19 26.75, 310539.12 7042321.66 26.77, 310541.36 7042318.18 26.79, 310543.62 7042314.67 26.810000000000002, 310545.76 7042311.25 26.82, 310547.77 7042307.79 26.82, 310549.83999999997 7042304.24 26.810000000000002, 310551.8 7042300.57 26.79, 310553.62 7042296.97 26.78, 310554.98 7042294.28 26.76)</t>
  </si>
  <si>
    <t>POLYGON ((310475.11281484616 7042388.005410395, 310478.3246713665 7042385.781050134, 310478.33519563614 7042385.7735585915, 310481.57519563613 7042383.403558591, 310481.5854507942 7042383.395853272, 310484.47545079415 7042381.165853271, 310484.4804594061 7042381.16193744, 310487.27045940614 7042378.95193744, 310487.27503614995 7042378.9482682375, 310490.08503614995 7042376.668268238, 310490.09513814957 7042376.659848896, 310492.52513814956 7042374.579848896, 310492.52722330426 7042374.578054109, 310497.2872233043 7042370.458054109, 310497.29919320974 7042370.447352646, 310500.16919320973 7042367.797352646, 310500.17296698375 7042367.793831895, 310502.96296698373 7042365.163831895, 310502.9637651731 7042365.163077823, 310505.7837651731 7042362.493077823, 310505.79045494035 7042362.486624922, 310508.68045494036 7042359.646624922, 310508.689722177 7042359.637275043, 310511.47935492534 7042356.747655458, 310514.3389870532 7042353.798034906, 310514.35171577573 7042353.784406014, 310516.7717157758 7042351.094406013, 310516.7777028893 7042351.087628642, 310519.06770288927 7042348.447628642, 310523.6579621664 7042343.147329499, 310523.6624896818 7042343.142027396, 310526.11248968175 7042340.232027396, 310526.12159331964 7042340.220893345, 310528.4715933197 7042337.260893345, 310530.89168415184 7042334.210778901, 310530.9037712946 7042334.194904632, 310533.0437712946 7042331.264904631, 310533.04590219544 7042331.2619647365, 310535.09590219543 7042328.411964737, 310535.096397618 7042328.411274743, 310537.19639761804 7042325.481274744, 310537.20729383355 7042325.465437573, 310539.5372938335 7042321.935437573, 310539.5404321524 7042321.930622995, 310541.780412863 7042318.450652962, 310544.0403945557 7042314.940681395, 310544.04385983996 7042314.935222239, 310546.18385984 7042311.515222239, 310546.19234195387 7042311.501158187, 310548.2021380126 7042308.04150925, 310550.2719335733 7042304.491859859, 310550.28104333393 7042304.475543579, 310552.24104333395 7042300.805543579, 310552.24621760356 7042300.795587788, 310554.06621455785 7042297.1955938125, 310555.4262138929 7042294.505595128, 310554.5337861071 7042294.0544048725, 310553.1737861071 7042296.744404872, 310551.3563136779 7042300.3394052815, 310549.4033590698 7042303.996213145, 310547.3380664267 7042307.538140141, 310547.33765804616 7042307.538841813, 310545.33178359614 7042310.99174012, 310543.19785515295 7042314.402036978, 310540.93960544426 7042317.9093186045, 310538.7011231732 7042321.386960696, 310536.3780020206 7042324.906539095, 310534.2838497495 7042327.82838012, 310532.23515793926 7042330.676561417, 310530.10211388255 7042333.597037626, 310527.6883605704 7042336.639164735, 310525.34287843294 7042339.59347415, 310522.899755585 7042342.4953057775, 310518.312167314 7042347.792520992, 310516.0252600237 7042350.428955598, 310513.6145214921 7042353.1086608255, 310510.7610129468 7042356.051965094, 310510.760277823 7042356.0527249575, 310507.9748498936 7042358.937989013, 310505.09285994514 7042361.770117544, 310502.27663357265 7042364.436544641, 310499.48891080916 7042367.064397998, 310496.6267058165 7042369.707200518, 310491.8738168044 7042373.82104563, 310489.4498575029 7042375.895874991, 310486.6472414317 7042378.16988376, 310483.8620324801 7042380.376088699, 310480.9796273574 7042382.600228293, 310477.75001809176 7042384.962627663, 310474.53532863356 7042387.188949865, 310474.5192714594 7042387.200547443, 310471.88927145937 7042389.180547443, 310472.49072854064 7042389.979452557, 310475.11281484616 7042388.005410395))</t>
  </si>
  <si>
    <t>['EV14 S4D1 m9421 SD1 m4-224']</t>
  </si>
  <si>
    <t>LINESTRING Z (322588 7041556.98 57.300000000000004, 322590.6 7041555.03 57.730000000000004, 322598.6 7041552.14 57.46, 322615.82 7041546.45 57.550000000000004, 322644.91000000003 7041541.59 57.14, 322682.08 7041537.13 58.33, 322697.71 7041535.67 58.24, 322748.5 7041530.95 57.94, 322786.26 7041531.17 58.5, 322798.28 7041532.26 58.910000000000004, 322804.5 7041533.29 58.24)</t>
  </si>
  <si>
    <t>POLYGON ((322590.840192322 7041555.474855759, 322598.7634072951 7041552.612594349, 322615.9403406814 7041546.93682484, 322644.98101740825 7041542.0850651665, 322682.1330441381 7041537.627221765, 322697.75638478226 7041536.167843817, 322748.52172934945 7041531.450135088, 322786.2359224814 7041531.669868204, 322798.21649344784 7041532.756292692, 322804.4183149674 7041533.78328243, 322804.5816850326 7041532.79671757, 322798.3616850326 7041531.76671757, 322798.3251558143 7041531.762043222, 322786.3051558143 7041530.672043222, 322786.26291308616 7041530.670008486, 322748.50291308615 7041530.450008486, 322748.45373351633 7041530.45214519, 322697.66373351635 7041535.17214519, 322682.0334973831 7041536.63216719, 322682.0204326562 7041536.633560949, 322644.85043265624 7041541.093560949, 322644.8276080724 7041541.0968351485, 322615.73760807235 7041545.956835149, 322615.70001402625 7041545.964610089, 322615.66312730307 7041545.975246425, 322598.44312730303 7041551.665246424, 322598.43011999043 7041551.669743918, 322590.43011999043 7041554.5597439185, 322590.38449662173 7041554.578825651, 322590.3409813969 7041554.602320958, 322590.29999999993 7041554.63, 322587.69999999995 7041556.58, 322588.30000000005 7041557.380000001, 322590.840192322 7041555.474855759))</t>
  </si>
  <si>
    <t>['EV14 S5D1 m5304 SD1 m15-124']</t>
  </si>
  <si>
    <t>LINESTRING Z (327734.23 7041506.4 72.82000000000001, 327735.46 7041503.89 72.71000000000001, 327739.74 7041499.9 72.91, 327747.85 7041495.01 73.24, 327758.28 7041488.57 73.2, 327775.91000000003 7041473.77 73.13, 327808.07 7041444.09 73.92, 327815.1 7041439.26 74.19, 327818.35 7041438.1 74.3)</t>
  </si>
  <si>
    <t>POLYGON ((327735.86840470927 7041504.192838525, 327740.04281825514 7041500.301270758, 327748.10817898804 7041495.438186419, 327748.11268564896 7041495.43543654, 327758.542685649 7041488.995436541, 327758.6014788623 7041488.952950834, 327776.2314788623 7041474.152950834, 327776.249102087 7041474.137436762, 327808.38272442797 7041444.481780323, 327815.32943909185 7041439.70900197, 327818.5180764076 7041438.570903728, 327818.18192359235 7041437.6290962715, 327814.93192359235 7041438.789096272, 327814.891921667 7041438.805353535, 327814.8534715504 7041438.825001467, 327814.8168599964 7041438.847893535, 327807.78685999644 7041443.677893535, 327807.73089791305 7041443.722563237, 327775.57952734793 7041473.394599256, 327757.98637277284 7041488.163668327, 327747.5895603801 7041494.583176649, 327739.4818210119 7041499.471813581, 327739.4388140381 7041499.500892225, 327739.3990540507 7041499.534273518, 327735.1190540507 7041503.524273518, 327735.0871627192 7041503.556844838, 327735.05837033346 7041503.592185274, 327735.03291620984 7041503.630001084, 327735.0110119175 7041503.669977951, 327733.78101191745 7041506.179977952, 327734.6789880825 7041506.620022049, 327735.86840470927 7041504.192838525))</t>
  </si>
  <si>
    <t>['EV14 S1D1 m525-1477']</t>
  </si>
  <si>
    <t>LINESTRING Z (297614.92 7044119.63 10.26, 297625.22 7044122.66 10.15, 297630.26 7044124.16 10.1, 297631.94 7044124.66 10.09, 297633.62 7044125.14 10.08, 297637.53 7044126.3 10.05, 296932.94 7044128.08 10.25, 296935 7044128.1 10.25, 296936.76 7044128 10.25, 296940.1 7044127.8 10.25, 296945.15 7044126.83 10.15, 296950.62 7044126.23 10.25, 296958.47 7044126.04 10.42, 296965.17 7044126.09 10.55, 296977.58999999997 7044125.69 10.75, 296982.3 7044125.4 10.8, 296987.07 7044125.15 10.81, 296991.33 7044124.96 10.83, 297003.99 7044124.43 10.9, 297008.18 7044124.29 10.92, 297020.63 7044123.87 11, 297024.82 7044123.66 11.03, 297029.05 7044123.43 11.08, 297041.73 7044122.74 11.22, 297053.23 7044122.12 11.370000000000001, 297057.42 7044121.87 11.41, 297069.99 7044121.08 11.46, 297074.14 7044120.78 11.450000000000001, 297089.51 7044119.67 11.6, 297093.1 7044119.37 11.620000000000001, 297108.06 7044118.08 11.73, 297116.35 7044117.38 11.77, 297120.5 7044117.06 11.81, 297124.65 7044116.74 11.84, 297128.89 7044116.36 11.88, 297133.13 7044116 11.9, 297137.37 7044115.56 11.91, 297145.86 7044114.69 11.93, 297154.6 7044113.8 12.05, 297167.1 7044112 12.05, 297178.8 7044110.5 11.950000000000001, 297193.9 7044108.74 12.05, 297212.31 7044106.76 12.06, 297258.03 7044101.75 12.290000000000001, 297269.8 7044100.4 12.35, 297276.86 7044099.47 12.36, 297301 7044096.31 12.4, 297343 7044090.8 12.450000000000001, 297366.8 7044087.8 12.75, 297389.8 7044085.6 12.65, 297404.9 7044084.6 12.85, 297409.7 7044084.4 12.75, 297420.11 7044084.22 12.83, 297423.67 7044084.06 12.81, 297425.58 7044084.03 12.780000000000001, 297432.97 7044083.94 12.68, 297434.94 7044083.92 12.65, 297436.71 7044083.95 12.63, 297441.68 7044084.03 12.57, 297443.33999999997 7044084.08 12.530000000000001, 297446.76 7044084.19 12.46, 297448.61 7044084.3 12.44, 297460.81 7044085.02 12.38, 297462.66000000003 7044085.15 12.35, 297469.82 7044085.67 12.24, 297471.6 7044085.85 12.21, 297480.44 7044086.73 12.08, 297482.05 7044086.91 12.06, 297483.67 7044087.09 12.040000000000001, 297486.89 7044087.48 11.97, 297490.23 7044087.9 11.89, 297491.92 7044088.16 11.82, 297496.68 7044088.88 11.74, 297498.26 7044089.15 11.71, 297499.96 7044089.44 11.66, 297501.88 7044089.82 11.61, 297507.17 7044090.88 11.47, 297508.96 7044091.21 11.450000000000001, 297510.75 7044091.55 11.43, 297512.53 7044091.92 11.43, 297514.39 7044092.31 11.42, 297516.2 7044092.72 11.41, 297526.51 7044095.09 11.33, 297528.28 7044095.54 11.32, 297538.89 7044098.24 11.23, 297546.05 7044100.07 11.13, 297551.33 7044101.45 11.02, 297561.61 7044104.13 10.86, 297563.26 7044104.6 10.84, 297571.72 7044107.02 10.73, 297575.14 7044108.02 10.700000000000001, 297586.82 7044111.4 10.59, 297597.21 7044114.42 10.46, 297604.25 7044116.49 10.370000000000001, 297614.92 7044119.63 10.26, 297637.53 7044126.3 10.05, 297641.4 7044127.36 10.02, 297645.17 7044128.36 9.98, 297655.63 7044131.05 9.91, 297664.96 7044133.41 9.86, 297669.38 7044134.47 9.83, 297691.7 7044139.85 9.71, 297698.67 7044141.47 9.68, 297760.03 7044155.77 9.42, 297764.83999999997 7044156.89 9.4, 297771.94 7044158.54 9.370000000000001, 297778.44 7044159.91 9.33, 297781.46 7044160.45 9.290000000000001, 297784.49 7044160.88 9.25, 297791.6 7044161.83 9.15, 297798.23 7044162.37 9.07, 297804.87 7044162.64 8.98, 297811.53 7044162.63 8.89, 297818.17 7044162.33 8.8, 297823.04000000004 7044161.94 8.73, 297824.79000000004 7044161.76 8.71, 297835.08999999997 7044160.65 8.61, 297857.12 7044158.28 8.45, 297863.68 7044157.57 8.44, 297865.15 7044157.41 8.45, 297871.83 7044157.11 8.49)</t>
  </si>
  <si>
    <t>['EV6 S82D1 m9083-9114']</t>
  </si>
  <si>
    <t>LINESTRING Z (303658.18 7058008.59 112.82000000000001, 303660.38 7058010.29 112.82000000000001, 303662.76 7058012.13 112.82000000000001, 303665.29000000004 7058014.14 112.84, 303667.85 7058016.17 112.86, 303670.43 7058018.18 112.88, 303673.01 7058020.18 112.9, 303675.63 7058022.2 112.92, 303682.39 7058027.62 112.83, 303683.32 7058028.37 112.82000000000001)</t>
  </si>
  <si>
    <t>POLYGON ((303660.0742273061 7058010.68560468, 303662.451564925 7058012.523546369, 303664.97897520405 7058014.531488922, 303667.5393350402 7058016.56177453, 303667.5427122737 7058016.564429021, 303670.12271227373 7058018.574429021, 303670.12366632355 7058018.575170442, 303672.70366632356 7058020.575170442, 303672.70470656955 7058020.575974647, 303675.32094052463 7058022.593071056, 303682.07667662465 7058028.009652367, 303683.0061237744 7058028.759206519, 303683.6338762256 7058027.980793481, 303682.7038762256 7058027.230793481, 303682.7027695843 7058027.229903618, 303675.9427695843 7058021.809903618, 303675.93529343046 7058021.804025353, 303673.3158141447 7058019.7844268195, 303670.73681100784 7058017.785199582, 303668.15898206946 7058015.77689099, 303665.60084525263 7058013.748368436, 303663.071024796 7058011.738511077, 303663.06581834785 7058011.734430615, 303660.68581834785 7058009.894430615, 303658.48572375055 7058008.1943574995, 303657.87427624944 7058008.9856425, 303660.0742273061 7058010.68560468))</t>
  </si>
  <si>
    <t>['EV6 S82D1 m10483-10711', 'EV6 S83D1 m0-771']</t>
  </si>
  <si>
    <t>LINESTRING Z (303783.73 7059287.28 77.18, 303785.12 7059289.77 77.15, 303786.79000000004 7059292.79 77.12, 303788.72 7059296.17 77.10000000000001, 303789.94 7059298.29 77.08, 303790.69 7059299.59 77.07000000000001, 303796.66000000003 7059309.82 77, 303800.73 7059316.82 76.94, 303806.96 7059327.57 76.82000000000001, 303814.39 7059340.39 76.92, 303816.25 7059343.6 76.94, 303818.18 7059346.76 76.95, 303826.74 7059359.74 76.98, 303833.82 7059369.92 76.98, 303838.69 7059377 77.01, 303844 7059384.09 77.05, 303845.79000000004 7059386.59 77.06, 303847.76 7059389.18 77.08, 303849.87 7059391.83 77.05, 303851.75 7059394.16 77.04, 303853.81 7059396.82 77.15, 303864.25 7059408.99 76.77, 303871.22 7059416.4 76.55, 303876.98 7059421.49 76.32000000000001, 303882.51 7059426.03 76.08, 303891.03 7059432.78 75.72, 303900.07 7059439.06 75.37, 303904.25 7059441.77 74.97, 303909.82 7059445.38 74.69, 303919.52 7059451.13 74.14, 303926.04000000004 7059454.87 73.78, 303929.22 7059456.7 73.55, 303932.77 7059458.55 73.37, 303943.66000000003 7059464.22 72.77, 303947.29000000004 7059466.12 72.52, 303950.9 7059468.01 72.27, 303964.11 7059474.58 71.51, 303967.4 7059476.22 71.31, 303971.13 7059478.05 71.09, 303982.4 7059483.54 70.48, 303986.16000000003 7059485.37 70.24, 303997.29000000004 7059490.73 69.58, 304000.98 7059492.5 69.37, 304013.68 7059498.48 68.60000000000001, 304016.88 7059500 68.44, 304023.48 7059503.18 68, 304026.76 7059504.77 67.82000000000001, 304032.33999999997 7059507.5 67.53, 304034.7 7059508.66 67.4, 304038.1 7059510.48 67.18, 304041.36 7059512.05 67.06, 304045.56 7059514.1 66.83, 304048.16000000003 7059515.36 66.69, 304051.23 7059516.86 66.54, 304053.08 7059517.56 66.54, 304055.66000000003 7059518.9 66.43, 304065.33999999997 7059523.76 66.18, 304069.18 7059525.68 66.11, 304072.99 7059527.66 66.07000000000001, 304076.75 7059529.62 66.03, 304084.24 7059533.59 65.99, 304088.03 7059535.61 65.97, 304097.2 7059540.68 65.93, 304100.33 7059542.42 65.92, 304103.06 7059543.84 65.91, 304110.5 7059548.3 66.15, 304114.25 7059550.47 66.15, 304117.16000000003 7059552.18 66.2, 304120.13 7059553.9 66.2, 304123.2 7059555.93 66.18, 304126.48 7059557.72 66.2, 304129.39 7059559.47 66.29, 304135.08 7059562.83 66.4, 304138 7059564.56 66.47, 304141.05 7059566.47 66.57000000000001, 304146.93 7059570.26 66.77, 304159.2 7059578.21 67.22, 304162.33999999997 7059580.25 67.34, 304168.65 7059584.46 67.57000000000001, 304171.78 7059586.55 67.72, 304174.83 7059588.57 67.79, 304180.82 7059592.31 67.94, 304183.85 7059594.21 68.02, 304186.91000000003 7059596.22 68.08, 304193.01 7059600.44 68.11, 304196.01 7059602.51 68.12, 304201.15 7059605.92 68.34, 304203.76 7059607.66 68.42, 304206.96 7059609.85 68.51, 304210.11 7059612.01 68.62, 304219.58999999997 7059618.46 68.93, 304222.76 7059620.61 69.01, 304226.03 7059622.72 69.12, 304229.29000000004 7059624.85 69.2, 304232.52 7059627.01 69.27, 304235.72 7059629.21 69.32000000000001, 304237.21 7059630.24 69.35000000000001, 304238.96 7059631.44 69.38, 304240.87 7059632.79 69.4, 304241.37 7059633.14 69.4, 304242.69 7059634.07 69.42, 304248.6 7059638.07 69.49, 304254.58999999997 7059642.11 69.56, 304257.58999999997 7059644.15 69.54, 304265.85 7059649.69 69.72, 304273.33999999997 7059654.71 69.89, 304284.56 7059662.14 69.91, 304294.72 7059669.32 69.91, 304304.79000000004 7059676.09 69.91, 304308.42 7059678.57 69.96000000000001, 304315.69 7059683.77 69.96000000000001, 304326.5 7059691.86 70, 304329.78 7059694.11 69.96000000000001, 304341.25 7059702.21 70.15, 304345.75 7059705.43 70.15, 304351.21 7059709.34 70.15, 304354.43 7059711.9 69.76, 304359.03 7059715.06 69.75, 304369.1 7059722.74 69.81, 304376.2 7059728.02 69.9, 304382.97 7059733.22 69.97, 304393.6 7059741.36 70.07000000000001, 304397.2 7059743.97 70.09, 304400.76 7059746.66 70.15, 304404.55 7059749.12 70.12, 304408.21 7059751.72 70.14, 304411.83 7059754.3 70.16, 304414.94 7059756.45 70.12, 304418.08 7059758.63 70.08, 304421.24 7059760.77 70.01, 304428.22 7059765.47 69.86, 304432.04000000004 7059768.04 69.79, 304435.89 7059770.57 69.72, 304439.78 7059773.06 69.68, 304446.06 7059777.06 69.64, 304448.43 7059778.53 69.64, 304452.45 7059780.91 69.59, 304455.04000000004 7059782.49 69.77, 304460.69 7059785.66 69.44, 304464.85 7059787.96 69.33, 304468.78 7059790.11 69.23, 304471.01 7059791.13 69.21000000000001, 304473.53 7059792.29 69.17, 304477.58 7059794.21 69.10000000000001, 304481.67 7059795.95 68.96000000000001, 304485.67 7059797.7 68.83, 304490.02 7059799.49 68.74, 304494.48 7059801.19 68.59, 304498.75 7059802.9 68.44, 304501.95 7059803.86 68.34, 304508.66000000003 7059805.87 68.13, 304511.73 7059806.75 68.09, 304514.89 7059807.5 68, 304517.92 7059808.26 67.95, 304521.38 7059809.02 67.87, 304524.97 7059809.75 67.7, 304528.48 7059810.48 67.6, 304532.13 7059811.07 67.45, 304539.6 7059812.29 67.09, 304543.36 7059812.9 66.95, 304547.21 7059813.55 66.86, 304552.12 7059814.34 66.75, 304554.85 7059814.82 66.68, 304563.33999999997 7059816.26 66.46000000000001, 304567.97 7059817.01 66.26, 304572.7 7059817.78 66.09, 304576.65 7059818.57 66.01, 304578.31 7059818.86 65.98, 304580.51 7059819.35 65.93, 304584.37 7059820.14 65.86, 304588.25 7059820.97 65.77, 304591.63 7059821.75 65.69, 304598.88 7059823.63 65.58)</t>
  </si>
  <si>
    <t>POLYGON ((303784.6829294341 7059290.0128380675, 303786.35244381253 7059293.031959878, 303786.3557993976 7059293.0379311135, 303788.28579939756 7059296.417931113, 303788.2866352101 7059296.4193891715, 303789.5066352101 7059298.539389172, 303789.506907207 7059298.539861226, 303790.256907207 7059299.839861226, 303790.2581564885 7059299.8420142485, 303796.22795430967 7059310.071667802, 303800.2975745777 7059317.0710147, 303806.5273971058 7059327.820708469, 303813.95739124354 7059340.640698353, 303815.81737915846 7059343.850677497, 303815.82329233875 7059343.8606157545, 303817.75329233875 7059347.020615755, 303817.76259479293 7059347.035268765, 303826.32259479293 7059360.015268765, 303826.3295145272 7059360.025484986, 303833.4087780583 7059370.204426051, 303838.2780469585 7059377.283363179, 303838.2897968857 7059377.29972899, 303843.5965836516 7059384.385438626, 303845.3834631506 7059386.881080384, 303845.39203736826 7059386.892697446, 303847.36203736824 7059389.482697446, 303847.368846608 7059389.491446663, 303849.47884660796 7059392.141446663, 303849.4808724684 7059392.143974146, 303851.357739466 7059394.470091223, 303853.41468456265 7059397.126146542, 303853.43050379894 7059397.145549741, 303863.87050379894 7059409.315549741, 303863.8857990141 7059409.332575017, 303870.8557990141 7059416.742575017, 303870.88890959567 7059416.774672049, 303876.6489095957 7059421.864672049, 303876.6627346176 7059421.876448803, 303882.1927346176 7059426.416448803, 303882.19950716384 7059426.421910957, 303890.71950716386 7059433.171910957, 303890.7447339979 7059433.190637684, 303899.7847339979 7059439.470637684, 303899.7979999212 7059439.479542556, 303903.9779999212 7059442.189542556, 303909.5480620961 7059445.7995828595, 303909.56503803516 7059445.810109749, 303919.26503803517 7059451.560109749, 303919.27121449733 7059451.563711625, 303925.7909123639 7059455.303538315, 303928.97061082843 7059457.13336479, 303928.9889304526 7059457.143403727, 303932.53893045266 7059458.993403726, 303943.42861277383 7059464.663238361, 303947.0581084479 7059466.562974389, 303950.66808820865 7059468.452963792, 303950.677342626 7059468.457687048, 303963.88713937154 7059475.02758596, 303967.17693742283 7059476.667485292, 303967.1797692013 7059476.6688857265, 303970.9097692013 7059478.498885727, 303970.9110318189 7059478.499502988, 303982.1810318189 7059483.989502988, 303985.9411887496 7059485.8195794, 303985.943055683 7059485.820483255, 303997.073055683 7059491.180483256, 303997.07375362836 7059491.180818708, 304000.7637536283 7059492.950818707, 304000.76699856564 7059492.952360906, 304013.46623438934 7059498.932001081, 304016.6642187303 7059500.451043643, 304023.26243272953 7059503.630183115, 304026.5410802862 7059505.21952751, 304032.11985259 7059507.948926863, 304034.4716684088 7059509.10490413, 304037.8640332214 7059510.920817059, 304037.88305064396 7059510.930480829, 304041.1418652567 7059512.499909952, 304045.34068279975 7059514.5493328, 304045.3419481707 7059514.549948218, 304047.94122348935 7059515.8095970275, 304051.0104999221 7059517.309243493, 304051.0530539514 7059517.327643129, 304052.87559477607 7059518.01725317, 304055.42954026477 7059519.343720983, 304055.4356549226 7059519.346843693, 304065.11565492256 7059524.206843693, 304065.1163932022 7059524.2072135955, 304068.95289955183 7059526.1254667705, 304072.75915622053 7059528.103521418, 304076.51735600695 7059530.062583008, 304084.0053327205 7059534.031510585, 304087.7914344496 7059536.049432879, 304096.9575651193 7059541.117293565, 304100.0870599975 7059542.857012763, 304100.09927247325 7059542.863581794, 304102.8158745685 7059544.276612921, 304110.2429216744 7059548.728848148, 304110.24957285286 7059548.732765807, 304113.9981256674 7059550.901928369, 304116.90668417927 7059552.611081309, 304116.90942443983 7059552.612679891, 304119.8665903739 7059554.325247369, 304122.9242193997 7059556.347067213, 304122.9604801879 7059556.368896639, 304126.2312907139 7059558.153881651, 304129.1323191765 7059559.898486397, 304129.13576281664 7059559.900538563, 304134.825450577 7059563.260354183, 304137.73984315124 7059564.987031975, 304140.7818594186 7059566.892032325, 304146.6586170175 7059570.67994241, 304158.9278592932 7059578.629451465, 304162.0650384694 7059580.667618828, 304168.3724204032 7059584.875872067, 304171.5023434002 7059586.96582065, 304171.5039128095 7059586.966864322, 304174.55391280947 7059588.986864323, 304174.56519149017 7059588.994118443, 304180.55478186667 7059592.733862684, 304183.57990258705 7059594.63080307, 304186.63047369395 7059596.634609581, 304192.72553523723 7059600.851193141, 304192.7260373602 7059600.851540058, 304195.7260373602 7059602.921540057, 304195.7335859088 7059602.926647633, 304200.87311778823 7059606.336337071, 304203.4801205037 7059608.074338881, 304206.6774235674 7059610.262493165, 304209.8272358222 7059612.422364426, 304209.82873765216 7059612.423390241, 304219.30873765214 7059618.8733902415, 304219.3093450636 7059618.873802859, 304222.4793450636 7059621.02380286, 304222.48890730145 7059621.030129443, 304225.7577082748 7059623.139355758, 304229.01427712885 7059625.267113936, 304232.2393843475 7059627.423841983, 304235.4362084331 7059629.621658542, 304236.92568215815 7059630.651294742, 304236.9272358222 7059630.652364426, 304238.67430682405 7059631.850355971, 304240.5814066682 7059633.198306122, 304240.583268828 7059633.19961596, 304241.082645339 7059633.549179518, 304242.40202323365 7059634.4787412165, 304242.4097463622 7059634.48407475, 304248.31974636216 7059638.48407475, 304248.32041810366 7059638.484528604, 304254.30963059247 7059642.523997461, 304257.3088449893 7059644.563463251, 304257.31149084773 7059644.565250108, 304265.57149084774 7059650.105250108, 304273.0616269978 7059655.125341392, 304273.0639373664 7059655.126880585, 304284.27762268524 7059662.552698938, 304294.4314375389 7059669.728327939, 304294.441035453 7059669.734944312, 304304.50948555255 7059676.503902323, 304308.1334967246 7059678.979810783, 304315.3947313317 7059684.173541174, 304326.2004149144 7059692.26031085, 304326.2171625392 7059692.272314166, 304329.49435528606 7059694.520388459, 304340.96030404046 7059702.617527509, 304345.4589638439 7059705.836568523, 304350.908673813 7059709.739199655, 304354.118839741 7059712.291381263, 304354.14688770124 7059712.312125498, 304358.7366572481 7059715.465097621, 304368.79678810394 7059723.137570807, 304368.8016299561 7059723.141217294, 304375.89851063595 7059728.418897574, 304382.665427757 7059733.616529631, 304382.666011641 7059733.616977427, 304393.296011641 7059741.756977428, 304393.3065162143 7059741.764805222, 304396.90251281625 7059744.371902757, 304400.45856760355 7059747.0589216845, 304400.4877781546 7059747.079398697, 304404.2689832568 7059749.533690136, 304407.92012057005 7059752.127394238, 304411.53980665474 7059754.707170508, 304411.5456701469 7059754.711286439, 304414.65526052704 7059756.861003261, 304417.79485112266 7059759.040719025, 304417.7996338671 7059759.043998589, 304420.9596338671 7059761.1839985885, 304420.9607331808 7059761.184740935, 304427.9407331808 7059765.884740936, 304431.76089806046 7059768.4548519105, 304431.7654110567 7059768.45785274, 304435.6154110567 7059770.98785274, 304435.62044243293 7059770.9911160385, 304439.51044243295 7059773.481116038, 304439.51138846925 7059773.481720103, 304445.7913884692 7059777.481720103, 304445.796452468 7059777.484903163, 304448.166452468 7059778.954903164, 304448.1752748509 7059778.960250042, 304452.1924303991 7059781.338566014, 304454.77960838797 7059782.916844478, 304454.79534587724 7059782.926055456, 304460.4453458772 7059786.0960554555, 304460.44807213027 7059786.097573887, 304464.60807213024 7059788.397573886, 304464.6100267073 7059788.398648856, 304468.54002670734 7059790.548648857, 304468.5720237514 7059790.5646931715, 304470.8014755236 7059791.5844424125, 304473.31836387666 7059792.743010067, 304477.365812977 7059794.661800751, 304477.3842629488 7059794.670094563, 304481.4719216198 7059796.409098497, 304485.469590583 7059798.158078668, 304485.47973202635 7059798.162383065, 304489.8297320264 7059799.952383065, 304489.8419152157 7059799.957210669, 304494.2980034667 7059801.655719644, 304498.56411725737 7059803.36416334, 304498.6063260572 7059803.378913143, 304501.80632605724 7059804.338913143, 304508.5165225331 7059806.348972041, 304508.5222259284 7059806.350643637, 304511.5922259283 7059807.230643637, 304511.61453665135 7059807.236485575, 304514.77144131885 7059807.985750924, 304517.79835561605 7059808.744976952, 304517.812730668 7059808.748357749, 304521.272730668 7059809.508357748, 304521.280367638 7059809.509972848, 304524.8692783364 7059810.239751347, 304528.37818995933 7059810.96952499, 304528.40021371795 7059810.973593101, 304532.04981048533 7059811.56352792, 304539.51940778777 7059812.783462152, 304539.5199298535 7059812.783547132, 304543.27834524185 7059813.393290055, 304547.1267623815 7059814.043022818, 304547.130573446 7059814.043651114, 304552.0369903891 7059814.833074614, 304554.76341605955 7059815.312446161, 304554.7663884868 7059815.312959547, 304563.25638848677 7059816.752959547, 304563.26004864107 7059816.753566389, 304567.88985600474 7059817.503535184, 304572.6107731139 7059818.272056575, 304576.55194193247 7059819.0602903385, 304576.563953785 7059819.062540404, 304578.21257486264 7059819.35055252, 304580.40129989764 7059819.838041277, 304580.4097465158 7059819.839846138, 304584.26757511497 7059820.629401732, 304588.1414818843 7059821.458098283, 304591.5110114285 7059822.235682025, 304598.754495753 7059824.113992442, 304599.00550424703 7059823.146007557, 304591.75550424703 7059821.2660075575, 304591.7424297534 7059821.262804402, 304588.3624297534 7059820.482804402, 304588.35459241987 7059820.481061941, 304584.47459241987 7059819.651061941, 304584.4702534842 7059819.650153861, 304580.61448459193 7059818.861019813, 304578.41870010237 7059818.371958723, 304578.396046215 7059818.367459597, 304576.742065905 7059818.07851123, 304572.79805806756 7059817.289709662, 304572.7803378011 7059817.286496365, 304568.05033780105 7059816.516496365, 304563.42178251426 7059815.766730234, 304554.9350985215 7059814.327292667, 304552.2065839404 7059813.847553839, 304552.199426554 7059813.846348885, 304547.2913333101 7059813.056655675, 304543.4432376185 7059812.406977182, 304543.44007014646 7059812.406452868, 304539.68033108726 7059811.796495201, 304532.2105922122 7059810.576537848, 304532.20978628204 7059810.5764069, 304528.5708437279 7059809.988194268, 304525.0718100406 7059809.260475011, 304525.069632362 7059809.260027152, 304521.48345719214 7059808.530804902, 304518.0344818116 7059807.773226495, 304515.01164438395 7059807.015023048, 304515.00546334864 7059807.013514425, 304511.85668610025 7059806.266178053, 304508.8006306927 7059805.390175199, 304502.09357598255 7059803.38105747, 304498.9151084193 7059802.427517201, 304494.6658827426 7059800.725836661, 304494.6580847843 7059800.722789331, 304490.2042080276 7059799.025123303, 304485.8653624069 7059797.239713266, 304481.87040941697 7059795.491921333, 304481.8657370512 7059795.489905437, 304477.7850459398 7059793.753865698, 304473.744187023 7059791.838199249, 304473.7390718028 7059791.835809532, 304471.2190718028 7059790.6758095315, 304471.21797624865 7059790.675306829, 304469.0042621067 7059789.662755966, 304465.09095177887 7059787.521886447, 304460.9332933191 7059785.223181049, 304455.2926068569 7059782.058406522, 304452.7103916121 7059780.4831555225, 304452.7047251491 7059780.479749958, 304448.6891639136 7059778.102377883, 304446.3260890457 7059776.636673218, 304440.0490847295 7059772.638581296, 304436.1620830645 7059770.15050054, 304432.31685359654 7059767.623635461, 304428.49918426166 7059765.055203473, 304421.519816938 7059760.355629488, 304418.3627669865 7059758.217627306, 304415.22514887736 7059756.039280975, 304415.22432985314 7059756.038713561, 304412.1172763507 7059753.890750528, 304408.5001933453 7059751.312829492, 304408.4995646131 7059751.312382122, 304404.83956461307 7059748.712382122, 304404.8222218454 7059748.700601303, 304401.04719258804 7059746.25031846, 304397.5014323965 7059743.571078315, 304397.4934837857 7059743.565194778, 304393.89878736204 7059740.959039872, 304383.27428030537 7059732.823246133, 304376.50457224296 7059727.623470368, 304376.4983700439 7059727.618782706, 304369.4008020285 7059722.340591281, 304359.33321189607 7059714.662429193, 304359.3131122988 7059714.6478745015, 304354.7274983353 7059711.497757084, 304351.521160259 7059708.948618737, 304351.50111188425 7059708.933485706, 304346.04111188423 7059705.023485706, 304341.5409608989 7059701.8033776255, 304341.5384254732 7059701.801575286, 304330.06842547323 7059693.701575287, 304330.06283746083 7059693.697685835, 304326.7913349581 7059691.453514911, 304315.9895850856 7059683.36968915, 304315.9808836125 7059683.363322333, 304308.71088361245 7059678.163322334, 304308.7020564862 7059678.1571511915, 304305.0720564863 7059675.677151191, 304305.068964547 7059675.675055688, 304295.0038020543 7059668.908307916, 304284.8485624611 7059661.731672061, 304284.83606263355 7059661.723119414, 304273.61722001224 7059654.293885843, 304266.1284395409 7059649.274703205, 304257.86983492866 7059643.735639093, 304254.87115501065 7059641.69653675, 304254.8695818963 7059641.695471397, 304248.87991786347 7059637.655697992, 304242.9741402295 7059633.658555769, 304241.65797676635 7059632.7312587835, 304241.656731172 7059632.73038404, 304241.1576638557 7059632.381036919, 304239.24859333184 7059631.031693879, 304239.24276417785 7059631.027635574, 304237.49354190676 7059629.828168874, 304236.00431784184 7059628.798705258, 304236.0032644114 7059628.797979038, 304232.80326441146 7059626.597979038, 304232.7979437124 7059626.594371208, 304229.5679437124 7059624.434371208, 304229.56348629016 7059624.431424739, 304226.30348629015 7059622.301424739, 304226.3010926986 7059622.299870557, 304223.03591008915 7059620.192979027, 304219.87095900666 7059618.046403371, 304210.3920141942 7059611.597121299, 304207.2427641778 7059609.437635574, 304204.0423881813 7059607.247378, 304204.03735009814 7059607.243974853, 304201.42735009815 7059605.503974853, 304201.42641409126 7059605.503352366, 304196.2902116138 7059602.095871734, 304193.294214177 7059600.028633503, 304187.1944647628 7059595.808806859, 304187.1845071825 7059595.802093543, 304184.12450718245 7059593.792093543, 304184.1156275114 7059593.7863940215, 304181.08562751143 7059591.886394021, 304181.08480850986 7059591.885881557, 304175.10049649497 7059588.149432988, 304172.0568728983 7059586.133656047, 304168.92765659984 7059584.04417935, 304162.6175021911 7059579.834076288, 304162.6124002988 7059579.830717187, 304159.47240029887 7059577.790717187, 304159.4718808291 7059577.790380155, 304147.20188082906 7059569.840380155, 304147.2008843328 7059569.83973618, 304141.3208843328 7059566.04973618, 304141.3153740343 7059566.04623518, 304138.2653740343 7059564.13623518, 304138.2548608123 7059564.1298303045, 304135.3348608123 7059562.399830305, 304135.3342371834 7059562.399461437, 304129.64596311096 7059559.040480614, 304126.7376808235 7059557.291513602, 304126.7195198121 7059557.2811033605, 304123.4581125739 7059555.50125002, 304120.4057806003 7059553.482932787, 304120.3805755602 7059553.467320109, 304117.41194823314 7059551.748115057, 304114.50331582077 7059550.038918691, 304114.50042714714 7059550.037234193, 304110.7537678609 7059547.869167352, 304103.3170783256 7059543.4111518515, 304103.29072752676 7059543.396418205, 304100.566879307 7059541.979618032, 304097.44294000254 7059540.242987237, 304097.44192962674 7059540.242427085, 304088.27192962676 7059535.172427085, 304088.2651732552 7059535.168759091, 304084.47517325514 7059533.14875909, 304084.4741606327 7059533.148220872, 304076.9841606327 7059529.178220872, 304076.9811217908 7059529.176623504, 304073.2211217908 7059527.216623504, 304073.2205663666 7059527.216334416, 304069.4105663666 7059525.236334415, 304069.40360679774 7059525.232786404, 304065.5639758485 7059523.31297093, 304055.8874131296 7059518.454696672, 304053.3104597353 7059517.116279017, 304053.2569460486 7059517.092356871, 304051.4286500376 7059516.400569192, 304048.3795000779 7059514.910756508, 304048.37805182935 7059514.910051782, 304045.77868506487 7059513.650358656, 304041.57931720023 7059511.600667199, 304041.576949356 7059511.599519171, 304038.32656115905 7059510.034148169, 304034.9359667786 7059508.219182941, 304034.9205594251 7059508.211275653, 304032.56055942504 7059507.051275653, 304032.5597349813 7059507.050871357, 304026.9797349813 7059504.320871357, 304026.9781030971 7059504.3200766295, 304023.6981030971 7059502.73007663, 304023.6970309226 7059502.729558462, 304017.0970309226 7059499.549558463, 304017.0945284072 7059499.548361247, 304013.8945284072 7059498.028361248, 304013.89300143434 7059498.027639095, 304001.1946266753 7059492.048404365, 303997.5065953308 7059490.27934868, 303986.37787880946 7059484.919966779, 303982.61889011174 7059483.090458982, 303971.34959992394 7059477.600804755, 303967.62164887536 7059475.771810005, 303964.3330625772 7059474.132514708, 303951.1273091398 7059467.564626509, 303947.5219117914 7059465.677036208, 303943.8918666854 7059463.777012596, 303943.8909071427 7059463.7765116785, 303933.0009900385 7059458.106554839, 303929.4603342323 7059456.261424349, 303926.2893891716 7059454.43663521, 303926.2887855027 7059454.436288375, 303919.7718866365 7059450.698067246, 303910.08355508116 7059444.954984108, 303904.52196923184 7059441.350437444, 303900.3487041864 7059438.644803886, 303891.3281737419 7059432.378329197, 303882.8239028764 7059425.640790659, 303877.3042848532 7059421.109314018, 303871.5683865501 7059416.04061222, 303864.62204347213 7059408.655762548, 303854.1976487698 7059396.503953781, 303852.14531543734 7059393.853853459, 303852.1391275316 7059393.846025854, 303850.26014454546 7059391.5172863025, 303848.1546065214 7059388.872890205, 303846.1923336164 7059386.293049178, 303844.40653684945 7059383.798919615, 303844.4002031143 7059383.79027101, 303839.0962429702 7059376.708335526, 303834.2319530415 7059369.636636821, 303834.23048547277 7059369.6345150145, 303827.15400836733 7059359.45958042, 303818.60218361375 7059346.491976996, 303816.67972172564 7059343.34431919, 303814.82262084156 7059340.139322503, 303807.39259880857 7059327.319284482, 303801.1626028942 7059316.569291532, 303801.16224735335 7059316.568679039, 303797.0922473534 7059309.568679039, 303797.09184351156 7059309.567985752, 303791.12247081567 7059299.339060679, 303790.37322901766 7059298.0403748965, 303789.1537839425 7059295.9213391915, 303787.2258988364 7059292.545042995, 303785.5575561875 7059289.528040121, 303785.55658149725 7059289.52628583, 303784.16658149724 7059287.036285831, 303783.2934185027 7059287.52371417, 303784.6829294341 7059290.0128380675))</t>
  </si>
  <si>
    <t>2008-01-01</t>
  </si>
  <si>
    <t>[5310]</t>
  </si>
  <si>
    <t>['FV5310 S1D1 m3437 SD1 m8-22', 'FV5310 S1D1 m3437 SD1 m22-85']</t>
  </si>
  <si>
    <t>LINESTRING Z (-35574.9112297454 6752437.89972043 -999999, -35568.8140538195 6752443.27958154 -999999, -35571.3246556713 6752453.32198895 -999999, -35588.1815538195 6752469.82022969 -999999, -35598.2239612269 6752480.2212945 -999999, -35605.7557667824 6752479.14532228 -999999, -35610.7769704861 6752471.97217413 -999999, -35600.7345630787 6752461.92976673 -999999, -35594.9960445602 6752455.47393339 -999999, -35588.1815538195 6752447.94212784 -999999, -35582.4430353009 6752443.99689635 -999999, -35576.7045167824 6752438.97569265 -999999)</t>
  </si>
  <si>
    <t>POLYGON Z ((-35574.9112297454 6752437.89972043 -999999, -35568.8140538195 6752443.27958154 -999999, -35571.3246556713 6752453.32198895 -999999, -35588.1815538195 6752469.82022969 -999999, -35598.2239612269 6752480.2212945 -999999, -35605.7557667824 6752479.14532228 -999999, -35610.7769704861 6752471.97217413 -999999, -35600.7345630787 6752461.92976673 -999999, -35594.9960445602 6752455.47393339 -999999, -35588.1815538195 6752447.94212784 -999999, -35582.4430353009 6752443.99689635 -999999, -35576.7045167824 6752438.97569265 -999999, -35574.9112297454 6752437.89972043 -999999))</t>
  </si>
  <si>
    <t>['F', 'K']</t>
  </si>
  <si>
    <t>[2126, 5318]</t>
  </si>
  <si>
    <t>['FV5318 S1D1 m26 SD1 m11-53', 'KV2126 S1D1 m0-2']</t>
  </si>
  <si>
    <t>LINESTRING Z (-44037.5723585087 6756051.18833715 -999999, -44046.1668409546 6756052.62075089 -999999, -44050.4640821775 6756064.08006082 -999999, -44045.2118984606 6756075.53937075 -999999, -44039.0047722497 6756077.92672698 -999999, -44035.6624735208 6756070.28718703 -999999, -44033.7525885328 6756063.12511833 -999999, -44038.5273010027 6756053.09822214 -999999)</t>
  </si>
  <si>
    <t>POLYGON Z ((-44037.5723585087 6756051.18833715 -999999, -44046.1668409546 6756052.62075089 -999999, -44050.4640821775 6756064.08006082 -999999, -44045.2118984606 6756075.53937075 -999999, -44039.0047722497 6756077.92672698 -999999, -44035.6624735208 6756070.28718703 -999999, -44033.7525885328 6756063.12511833 -999999, -44038.5273010027 6756053.09822214 -999999, -44037.5723585087 6756051.18833715 -999999))</t>
  </si>
  <si>
    <t>2025-02-28</t>
  </si>
  <si>
    <t>['EV39 S73D1 m5102 KD1 m0-21', 'EV39 S73D1 m4984-5091']</t>
  </si>
  <si>
    <t>LINESTRING (-26736.720866212272 6755019.435513265, -26721.03983218188 6755021.330110928, -26713.47963067016 6755024.34674265, -26695.723135799635 6755037.005749326, -26681.177038198104 6755052.87352974, -26672.298847934115 6755062.134711738, -26682.307517715148 6755077.623434684, -26689.112589093857 6755087.452984117, -26702.33647539909 6755105.213570376, -26708.192987645743 6755114.654346778, -26712.34873883566 6755122.216788893, -26719.71653947071 6755097.2777001355, -26727.085349300643 6755065.718583833, -26733.510408632108 6755030.958331591, -26734.641370001715 6755019.817077297)</t>
  </si>
  <si>
    <t>['FV57 S1D1 m4-307']</t>
  </si>
  <si>
    <t>LINESTRING Z (-31694.0063183539 6751555.82809158 -999999, -31708.9540593404 6751589.4605088 -999999, -31749.1261132417 6751583.85510593 -999999, -31784.6269980847 6751610.94788647 -999999, -31798.6405052596 6751682.88388997 -999999, -31774.3504261565 6751763.22799777 -999999, -31765.9423218516 6751827.69013077 -999999, -31760.3369189816 6751848.24327463 -999999, -31785.5612318964 6751845.44057319 -999999, -31825.7332857977 6751737.06945104 -999999, -31855.6287677707 6751704.37126763 -999999, -31864.9711058873 6751633.36949795 -999999, -31889.2611849904 6751565.1704297 -999999, -31920.0909007751 6751521.26144055 -999999, -31978.0133970979 6751515.65603768 -999999, -31960.2629546764 6751497.90559526 -999999, -31909.8143288469 6751481.08938665 -999999, -31921.9593683985 6751441.85156656 -999999, -31907.0116274119 6751434.37769606 -999999, -31881.7873144972 6751488.56325714 -999999, -31833.2071562909 6751506.31369956 -999999, -31780.8900628381 6751517.5245053 -999999, -31758.4684513583 6751524.06414198 -999999, -31725.7702679503 6751539.94611678 -999999, -31694.9405521656 6751553.95962396 -999999)</t>
  </si>
  <si>
    <t>POLYGON Z ((-31694.0063183539 6751555.82809158 -999999, -31708.9540593404 6751589.4605088 -999999, -31749.1261132417 6751583.85510593 -999999, -31784.6269980847 6751610.94788647 -999999, -31798.6405052596 6751682.88388997 -999999, -31774.3504261565 6751763.22799777 -999999, -31765.9423218516 6751827.69013077 -999999, -31760.3369189816 6751848.24327463 -999999, -31785.5612318964 6751845.44057319 -999999, -31825.7332857977 6751737.06945104 -999999, -31855.6287677707 6751704.37126763 -999999, -31864.9711058873 6751633.36949795 -999999, -31889.2611849904 6751565.1704297 -999999, -31920.0909007751 6751521.26144055 -999999, -31978.0133970979 6751515.65603768 -999999, -31960.2629546764 6751497.90559526 -999999, -31909.8143288469 6751481.08938665 -999999, -31921.9593683985 6751441.85156656 -999999, -31907.0116274119 6751434.37769606 -999999, -31881.7873144972 6751488.56325714 -999999, -31833.2071562909 6751506.31369956 -999999, -31780.8900628381 6751517.5245053 -999999, -31758.4684513583 6751524.06414198 -999999, -31725.7702679503 6751539.94611678 -999999, -31694.9405521656 6751553.95962396 -999999, -31694.0063183539 6751555.82809158 -999999))</t>
  </si>
  <si>
    <t>2025-11-22T09:45:32Z</t>
  </si>
  <si>
    <t>['EV6 S95D1 m5669 SD1 m4-196']</t>
  </si>
  <si>
    <t>LINESTRING Z (371268.8 7133125.62 168.55, 371271.88 7133126.11 168.46, 371276.38 7133127.7 168.46, 371282.74 7133130.95 168.20000000000002, 371287.52 7133140.09 168.36, 371291.7 7133147.7 168.06, 371293.6 7133151.6 168.06, 371295.5 7133155.3 167.96, 371297.7 7133159.3 167.96, 371299.7 7133163 167.86, 371301.7 7133166.8 167.86, 371303.5 7133170.6 167.86, 371305.3 7133174.5 167.86, 371306.8 7133178.3 167.76, 371308.2 7133182.1 167.76, 371309.5 7133186.4 167.76, 371310.4 7133190.8 167.76, 371310.71 7133195 167.76, 371310.31 7133199.4 167.76, 371308.91000000003 7133203.41 167.66, 371306.51 7133207.11 167.66, 371303.5 7133209.6 167.56, 371299.2 7133210 167.46, 371295.1 7133208.5 167.26, 371291.9 7133205.7 167.16, 371289.7 7133202.3 167.16, 371287.9 7133198.1 167.06, 371286.8 7133194.1 167.16, 371286.1 7133189.6 167.16, 371285.4 7133185.1 167.26, 371284.8 7133181 167.26, 371284 7133176.9 167.26, 371283.4 7133173 167.36, 371282.7 7133168.4 167.46, 371282 7133164 167.46, 371281.5 7133159.8 167.56, 371280.9 7133155.8 167.56, 371280.1 7133151.4 167.76, 371279.5 7133147.3 167.96, 371278.8 7133142.8 168.26, 371278.2 7133138.7 168.36, 371277.6 7133134.3 168.46, 371276.99 7133131.03 168.46)</t>
  </si>
  <si>
    <t>POLYGON Z ((371268.8 7133125.62 168.55, 371271.88 7133126.11 168.46, 371276.38 7133127.7 168.46, 371282.74 7133130.95 168.20000000000002, 371287.52 7133140.09 168.36, 371291.7 7133147.7 168.06, 371293.6 7133151.6 168.06, 371295.5 7133155.3 167.96, 371297.7 7133159.3 167.96, 371299.7 7133163 167.86, 371301.7 7133166.8 167.86, 371303.5 7133170.6 167.86, 371305.3 7133174.5 167.86, 371306.8 7133178.3 167.76, 371308.2 7133182.1 167.76, 371309.5 7133186.4 167.76, 371310.4 7133190.8 167.76, 371310.71 7133195 167.76, 371310.31 7133199.4 167.76, 371308.91000000003 7133203.41 167.66, 371306.51 7133207.11 167.66, 371303.5 7133209.6 167.56, 371299.2 7133210 167.46, 371295.1 7133208.5 167.26, 371291.9 7133205.7 167.16, 371289.7 7133202.3 167.16, 371287.9 7133198.1 167.06, 371286.8 7133194.1 167.16, 371286.1 7133189.6 167.16, 371285.4 7133185.1 167.26, 371284.8 7133181 167.26, 371284 7133176.9 167.26, 371283.4 7133173 167.36, 371282.7 7133168.4 167.46, 371282 7133164 167.46, 371281.5 7133159.8 167.56, 371280.9 7133155.8 167.56, 371280.1 7133151.4 167.76, 371279.5 7133147.3 167.96, 371278.8 7133142.8 168.26, 371278.2 7133138.7 168.36, 371277.6 7133134.3 168.46, 371276.99 7133131.03 168.46, 371268.8 7133125.62 168.55))</t>
  </si>
  <si>
    <t>2025-01-09</t>
  </si>
  <si>
    <t>['EV6 S102D1 m3110 SD1 m99-172']</t>
  </si>
  <si>
    <t>LINESTRING Z (394996.39 7178380.21 122.58, 395009.03 7178377.2 120.48, 395040.38 7178374.37 120.73, 395060.66000000003 7178373.37 120.04, 395073.9 7178372.72 119.59, 395084.58 7178372.42 119.23, 395089.77 7178375.63 119.44, 395090.43 7178381.05 119.5, 395088.45 7178385.81 119.54, 395084.21 7178388.85 119.59, 395078.66000000003 7178390.04 119.64, 395071.12 7178386.21 119.74000000000001, 395065.83 7178381.84 119.85000000000001, 395062.89 7178377.02 119.96000000000001)</t>
  </si>
  <si>
    <t>POLYGON ((395009.1108069351 7178377.694738552, 395040.41480330116 7178374.868891353, 395060.6845676954 7178373.869396066, 395073.9192805154 7178373.219655633, 395084.4443495729 7178372.924007626, 395089.3027021308 7178375.928884642, 395089.91773797764 7178380.979633566, 395088.0430024969 7178385.486573408, 395084.0033172266 7178388.382951526, 395078.72844591516 7178389.51395997, 395071.3957775771 7178385.7892756555, 395066.21315171075 7178381.507976026, 395063.31685967906 7178376.759633307, 395062.46314032096 7178377.280366692, 395065.40314032097 7178382.100366692, 395065.4345719699 7178382.1460011, 395065.47086018324 7178382.187877266, 395065.5115592765 7178382.225480876, 395070.8015592765 7178386.595480876, 395070.84589606297 7178386.628171056, 395070.8935598117 7178386.655785644, 395078.43355981173 7178390.4857856445, 395078.4779446901 7178390.505677855, 395078.5240523343 7178390.521163415, 395078.57144643355 7178390.532095789, 395078.6196785037 7178390.538371525, 395078.6682921309 7178390.539931236, 395078.7168272908 7178390.536760163, 395078.7648247013 7178390.528888312, 395084.3148247013 7178389.338888312, 395084.3643948527 7178389.325565168, 395084.4123378639 7178389.307230126, 395084.45814847184 7178389.284076417, 395084.50134388666 7178389.256348052, 395088.74134388665 7178386.216348052, 395088.7776049189 7178386.187723466, 395088.811069215 7178386.155874286, 395088.841451093 7178386.121072406, 395088.86849118525 7178386.083614926, 395088.89195865276 7178386.043821618, 395088.91165315564 7178386.002032194, 395090.8916531556 7178381.2420321945, 395090.90896143235 7178381.193512878, 395090.9211856282 7178381.143470202, 395090.92819598597 7178381.092435357, 395090.92991809204 7178381.040950069, 395090.92633366655 7178380.989560845, 395090.2663336666 7178375.569560845, 395090.25787241966 7178375.52054452, 395090.2445828109 7178375.47261145, 395090.22659636446 7178375.426236019, 395090.2040910881 7178375.381877193, 395090.1772897115 7178375.339973982, 395090.1464574816 7178375.300941093, 395090.1118995381 7178375.265164823, 395090.07395789295 7178375.232999245, 395090.0330080458 7178375.204762693, 395084.8430080458 7178371.994762693, 395084.8005889339 7178371.971290158, 395084.7560959851 7178371.952036108, 395084.7099474939 7178371.937181557, 395084.662577319 7178371.926866158, 395084.61443080474 7178371.921186889, 395084.5659605939 7178371.920197144, 395073.88596059394 7178372.220197144, 395073.87548270007 7178372.220601459, 395060.6354827001 7178372.870601459, 395040.35537508654 7178373.870606755, 395040.33504721953 7178373.872024853, 395008.98504721955 7178376.702024853, 395008.91417239525 7178376.713601022, 394996.27417239523 7178379.723601022, 394996.5058276048 7178380.696398978, 395009.1108069351 7178377.694738552))</t>
  </si>
  <si>
    <t>['EV6 S104D1 m12977-13509']</t>
  </si>
  <si>
    <t>LINESTRING Z (412889.79000000004 7201510.91 215.1, 412893.55 7201520.82 215.21, 412898.33999999997 7201533.89 213.89000000000001, 412906.63 7201557.58 215.28, 412909.19 7201564.75 215.55, 412912.56 7201574.15 215.64000000000001, 412920.26 7201595 214.27, 412927.92 7201616.53 216.32, 412930.87 7201624.66 216.32, 412932.77 7201629.52 216.77, 412936.81 7201640.33 217.22, 412941.45 7201653.68 217.91, 412943.05 7201657.88 218.1, 412947.14 7201670.2 218.35, 412953.69 7201687.72 218.92000000000002, 412958.99 7201702.32 219.37, 412966.02 7201720.83 219.82, 412973.26 7201741.2 220.63, 412981.14 7201763.03 221.29, 412986.3 7201777.05 221.63, 412987.17 7201779.63 221.72, 412988.54000000004 7201783.47 221.8, 412993.74 7201798 222.12, 413000.81 7201817.82 222.41, 413006.78 7201834.44 222.17000000000002, 413009.63 7201843.08 221.97, 413015.1 7201857.48 222.13, 413018.64 7201868.28 221.79, 413025.9 7201887.64 221.34, 413028.08 7201893.45 221.20000000000002, 413036.57 7201916.04 220.19, 413036.76 7201916.55 220.18, 413045.97 7201941.2 219.45000000000002, 413051.17 7201956.65 219.32, 413053.33 7201963.13 219.28, 413056.26 7201971.31 219.19, 413060.56 7201983.31 219.06, 413061.33 7201985.45 219.04, 413069.8 7202009.71 218.75, 413070.16000000003 7202010.72 218.74)</t>
  </si>
  <si>
    <t>POLYGON ((412893.08151101123 7201520.994717247, 412897.86927281116 7201534.058610091, 412906.1580615052 7201557.745148591, 412906.1591141876 7201557.748126594, 412908.7191141876 7201564.918126594, 412908.7193332991 7201564.918739019, 412912.0893332991 7201574.318739019, 412912.09096300945 7201574.323217498, 412919.7899279345 7201595.17041473, 412927.44892642903 7201616.697599794, 412927.44998524385 7201616.70054656, 412930.39998524386 7201624.83054656, 412930.404322084 7201624.842055152, 412932.30295461294 7201629.698557304, 412936.33961361356 7201640.499617651, 412940.9777134332 7201653.844150537, 412940.98275613255 7201653.857997663, 412942.5788888415 7201658.047846025, 412946.66546611604 7201670.357536006, 412946.6716598755 7201670.375092912, 412953.22082393675 7201687.892856935, 412958.5200093706 7201702.490613037, 412958.5225763537 7201702.497525026, 412965.5506706955 7201721.002507425, 412972.78887319 7201741.367450079, 412972.78970202483 7201741.369763996, 412980.66970202484 7201763.1997639965, 412980.6707713259 7201763.202697572, 412985.8284030653 7201777.21626288, 412986.69621214643 7201779.789765672, 412986.69907357794 7201779.798012812, 412988.069073578 7201783.638012812, 412993.2691516428 7201798.168231661, 413000.3390645704 7201817.987987563, 413000.33943730313 7201817.989028839, 413006.3072203651 7201834.602857063, 413009.1551660532 7201843.236629253, 413009.16258665686 7201843.257552152, 413014.6284770646 7201857.646733481, 413018.16487242066 7201868.435736262, 413018.1718354112 7201868.455561721, 413025.43183541123 7201887.81556172, 413027.6118685319 7201893.6256500175, 413036.10171012534 7201916.215228739, 413036.29145894264 7201916.724554512, 413045.4987450908 7201941.367291698, 413050.69588839385 7201956.808804012, 413052.855658351 7201963.288113883, 413052.859285477 7201963.298605569, 413055.789285477 7201971.478605568, 413060.0893067926 7201983.478665066, 413060.0895282747 7201983.479281882, 413060.8587253066 7201985.617050257, 413069.32794355205 7202009.874811134, 413069.3290236361 7202009.877872763, 413069.68902363617 7202010.887872763, 413070.6309763639 7202010.5521272365, 413070.27152137994 7202009.543656309, 413061.80205644795 7201985.285188866, 413061.8004717253 7201985.280718118, 413061.03058271256 7201983.141026575, 413056.7307035592 7201971.141363822, 413053.80258632323 7201962.96662014, 413051.644341649 7201956.4918861175, 413051.64387956366 7201956.490506555, 413046.44387956365 7201941.040506555, 413046.43837508437 7201941.025000628, 413037.22845823155 7201916.375223166, 413037.0385410574 7201915.865445488, 413037.03803674656 7201915.864097743, 413028.5480841259 7201893.274223809, 413026.3681478119 7201887.464393541, 413019.1118544233 7201868.114277839, 413015.57512757933 7201857.3242637385, 413015.5674133431 7201857.302447849, 413010.1013559457 7201842.912826912, 413007.2548339468 7201834.283370747, 413007.2505626969 7201834.270971161, 413001.2807496351 7201817.651491582, 412994.2109354296 7201797.832012437, 412994.21076090296 7201797.831523972, 412989.0108437788 7201783.301755546, 412987.6423931393 7201779.466098279, 412986.77378785354 7201776.890234328, 412986.7692286741 7201776.877302428, 412981.6097678971 7201762.858767526, 412973.7307152434 7201741.031391964, 412966.49112681 7201720.662549921, 412966.4874236463 7201720.652474974, 412959.45873262157 7201702.145921508, 412954.1599906294 7201687.549386963, 412954.15834012453 7201687.544907087, 412947.61160046404 7201670.033627874, 412943.52453388396 7201657.722463994, 412943.51724386745 7201657.702002336, 412941.9198672595 7201653.50888874, 412937.2822865668 7201640.165849463, 412937.2783601573 7201640.154960682, 412933.2383601573 7201629.344960681, 412933.23567791603 7201629.3379448475, 412931.33791711327 7201624.483672479, 412928.39054878 7201616.360925174, 412920.73107357096 7201594.8324002065, 412920.72903699055 7201594.826782502, 412913.0298625118 7201573.979017843, 412909.6607765001 7201564.581567246, 412907.10141684953 7201557.413360724, 412898.8119384948 7201533.724851409, 412898.8094652411 7201533.717946556, 412894.0194652411 7201520.647946557, 412894.0174825793 7201520.642630222, 412890.2574825793 7201510.732630222, 412889.32251742075 7201511.087369778, 412893.08151101123 7201520.994717247))</t>
  </si>
  <si>
    <t>['EV6 S86D1 m1981-2953']</t>
  </si>
  <si>
    <t>LINESTRING Z (325886.39 7076360.3 4.15, 325887.23 7076361.57 4.15, 325895.07 7076373.44 4.14, 325912.8 7076401.6 4.14, 325927.1 7076427.4 4.14, 325927.82 7076428.72 4.14, 325940 7076451.2 4.14, 325943.7 7076458.1 4.14, 325954.7 7076479.4 4.14, 325966.98 7076503.41 4.14, 325970.68 7076510.98 3.52, 325971.85 7076513.52 3.52, 325975.75 7076521.89 3.15, 325976.36 7076523.33 3.5, 325977.51 7076525.88 3.49, 325978.72 7076528.39 3.46, 325979.87 7076530.92 3.42, 325981.02 7076533.45 3.4, 325982.17 7076536.05 3.38, 325983.43 7076539.06 3.37, 325987.15 7076547.96 3.35, 325988.25 7076550.65 3.35, 325990.43 7076555.99 3.35, 325992.47 7076560.97 3.35, 325996.47 7076570.67 3.35, 325997.54 7076573.66 3.36, 325999.68 7076579.63 3.38, 326000.78 7076582.61 3.39, 326001.93 7076585.62 3.4, 326002.82 7076588.03 3.4, 326005.42 7076595.08 3.41, 326006.54 7076597.96 3.34, 326010.62 7076608.4 3.21, 326011.63 7076611.05 3.21, 326012.69 7076613.89 3.21, 326016.69 7076624.62 3.23, 326019.35 7076631.71 3.2600000000000002, 326020.39 7076634.63 3.2600000000000002, 326021.41 7076637.47 3.2600000000000002, 326022.38 7076640.3 3.25, 326023.35 7076643.05 3.25, 326025.28 7076648.6 3.23, 326028.25 7076657.23 3.18, 326029.14 7076659.83 3.16, 326029.58 7076661.14 3.16, 326030.02 7076662.43 3.16, 326030.92 7076665.13 3.15, 326031.82 7076668.06 3.16, 326032.66 7076670.78 3.17, 326033.48 7076673.2 3.18, 326035.2 7076678.29 3.2, 326036.19 7076681.29 3.21, 326038.14 7076687.3 3.21, 326039.11 7076690.39 3.2, 326041.82 7076699.07 3.17, 326044.32 7076707.09 3.21, 326045.22 7076710.11 3.23, 326046.14 7076713.07 3.23, 326048.89 7076721.89 3.22, 326049.84 7076724.88 3.21, 326052.64 7076733.76 3.23, 326053.51 7076736.59 3.25, 326056.1 7076745.06 3.3000000000000003, 326056.93 7076747.88 3.3000000000000003, 326060.27 7076759.22 3.3000000000000003, 326061.15 7076762.33 3.3000000000000003, 326062 7076765.42 3.29, 326065.25 7076777.37 3.29, 326067.36 7076785.17 3.3200000000000003, 326069.47 7076793.08 3.37, 326070.87 7076798.37 3.42, 326072.35 7076804.04 3.43, 326073.51 7076808.48 3.45, 326074.14 7076810.98 3.47, 326074.73 7076813.46 3.47, 326077.66 7076825.69 3.42, 326080.22 7076836.41 3.43, 326082.88 7076847.7 3.49, 326084.21 7076853.41 3.48, 326084.88 7076856.29 3.49, 326085.42 7076858.77 3.48, 326087.03 7076866.18 3.47, 326087.62 7076869.11 3.47, 326088.24 7076871.98 3.47, 326088.85 7076874.82 3.48, 326089.5 7076877.68 3.46, 326090.13 7076880.65 3.47, 326090.76 7076883.8 3.49, 326093.17 7076895.94 3.5300000000000002, 326094.28 7076901.65 3.5300000000000002, 326095.32 7076907.11 3.52, 326097.37 7076917.9 3.47, 326099.6 7076929.62 3.5, 326100.11 7076932.43 3.5, 326101.69 7076941.08 3.48, 326103.83 7076952.76 3.45, 326104.32 7076955.54 3.46, 326104.79 7076958.32 3.49, 326105.28 7076961.19 3.5300000000000002, 326105.7 7076963.91 3.62, 326106.21 7076966.93 3.63, 326107.78 7076976.18 3.68, 326108.29 7076979.3 3.69, 326108.73 7076982.26 3.7, 326110.45 7076993.86 3.72, 326111.26 7076999.48 3.72, 326111.67 7077002.33 3.72, 326112.07 7077005.27 3.73, 326112.49 7077008.15 3.75, 326113.32 7077013.91 3.7800000000000002, 326114.02 7077018.94 3.8200000000000003, 326114.7 7077024 3.85, 326115.06 7077026.82 3.87, 326115.77 7077032.43 3.9, 326116.83 7077040.93 3.94, 326117.52 7077046.68 3.95, 326117.8 7077049.24 3.95, 326118.37 7077054.54 3.97, 326119.33 7077062.74 3.97, 326119.93 7077067.85 3.97, 326120.21 7077070.24 3.98, 326120.42 7077072 3.98, 326120.66 7077074.4 4, 326121.67 7077084.34 4, 326121.91 7077086.97 4, 326122.6 7077094.84 4.01, 326122.73 7077096.79 4.01, 326123.06 7077101.56 4.03, 326123.78 7077110.04 3.88, 326124.1 7077114.22 4.04, 326124.34 7077117.92 4.04, 326124.83 7077125.4 4.05, 326125.18 7077131.52 4.08, 326125.3 7077135.19 4.09, 326125.44 7077137.92 4.11, 326125.9 7077147.56 4.14, 326126.07 7077151.01 4.17, 326126.2 7077154.43 4.17, 326126.27 7077157.89 4.18, 326126.48 7077167.1 4.22, 326126.68 7077175.89 4.22, 326126.8 7077181.88 4.22, 326126.85 7077184.84 4.22, 326126.88 7077187.92 4.22, 326126.93 7077194.14 4.25, 326126.95 7077197.2 4.26, 326126.94 7077200.72 4.26, 326126.92 7077204.29 4.26, 326126.86 7077210.85 4.26, 326126.8 7077213.88 4.26, 326126.67 7077220.03 4.26, 326126.57 7077223.17 4.25, 326126.48 7077226.23 4.22, 326126.34 7077229.39 4.21, 326126.15 7077232.62 4.2, 326125.77 7077238.66 4.18, 326125.16 7077247.98 4.16, 326124.7 7077255.04 4.13, 326124.46 7077258.16 4.13, 326124.17 7077261.33 4.13, 326123.54 7077268.1 4.13, 326123.17 7077271.75 4.12, 326122.81 7077275.35 4.12, 326122.38 7077279.01 4.11, 326121.79 7077284.22 4.09)</t>
  </si>
  <si>
    <t>POLYGON ((325886.8128779047 7076361.845697631, 325894.64978512854 7076373.711015074, 325912.36944631557 7076401.854594262, 325926.66186194535 7076427.640910574, 325927.38071584643 7076428.958809392, 325939.5598661066 7076451.437241071, 325943.2575231727 7076458.332871815, 325954.255292763 7076479.628552932, 325966.53277892485 7076503.633637846, 325970.22826566576 7076511.194403962, 325971.3958634454 7076513.729188885, 325971.3967840084 7076513.73117591, 325975.29305164627 7076522.093165686, 325975.89960467536 7076523.525028575, 325975.9042066216 7076523.535553876, 325977.0542066216 7076526.085553876, 325977.05960312474 7076526.097123593, 325978.26715225016 7076528.602039548, 325980.56376270554 7076533.65458255, 325981.7107099995 7076536.247680779, 325982.9687280177 7076539.252946044, 325986.6879309177 7076548.151039004, 325987.7871437145 7076550.839113936, 325989.96708855865 7076556.178978829, 325989.9673153704 7076556.179533463, 325992.00731537037 7076561.1595334625, 325992.00775970385 7076561.160614555, 325996.00323499314 7076570.8496421315, 325997.06923600315 7076573.828467384, 325999.2093255727 7076579.798717466, 325999.21093602775 7076579.80314442, 326000.3109360278 7076582.78314442, 326000.3129284242 7076582.788449273, 326001.46193031623 7076585.795836834, 326002.35092343146 7076588.203110326, 326004.95088527026 7076595.25300685, 326004.9539976642 7076595.261223131, 326006.0739976642 7076598.141223131, 326006.074299677 7076598.141997827, 326010.1535336135 7076608.580037606, 326011.16216886643 7076611.226456834, 326012.2215299126 7076614.06474492, 326016.2214953632 7076624.794652241, 326016.2218625515 7076624.795634078, 326018.88038988056 7076631.881708801, 326019.91898324236 7076634.797759393, 326019.91942969116 7076634.799007646, 326020.93819588865 7076637.635572352, 326021.90701237886 7076640.462119432, 326021.9084731868 7076640.466320367, 326022.8781043274 7076643.215274631, 326024.80747616064 7076648.763468245, 326027.7770806526 7076657.392319009, 326028.66648043646 7076659.990565567, 326029.10602140863 7076661.299198916, 326029.10677037534 7076661.301411655, 326029.54620863 7076662.58976472, 326030.44378213526 7076665.2824852355, 326031.34204000956 7076668.206813648, 326031.3422626544 7076668.207536533, 326032.18226265436 7076670.927536533, 326032.1864468957 7076670.940460143, 326033.00638018025 7076673.360263251, 326034.72574372904 7076678.448379799, 326035.71479358064 7076681.445500561, 326037.663669158 7076687.452035033, 326038.6328364978 7076690.539382538, 326041.34268767113 7076699.218905854, 326043.8417211171 7076707.235805148, 326044.74082563486 7076710.252800308, 326044.74253095797 7076710.25840254, 326045.662530958 7076713.21840254, 326048.412663812 7076722.03882931, 326048.41347435844 7076722.041404468, 326049.3633084962 7076725.030882439, 326052.1626027104 7076733.9086440895, 326053.0319642185 7076736.736567155, 326055.62108638755 7076745.203696411, 326056.45034434256 7076748.021175247, 326059.7896165366 7076759.358704224, 326060.6683918772 7076762.464376167, 326061.5177151293 7076765.551915989, 326064.76743621746 7076777.500890452, 326066.87711874605 7076785.299716861, 326068.9867662278 7076793.208395336, 326070.3864237357 7076798.4971012045, 326071.8662094908 7076804.166280415, 326073.0256885828 7076808.604286645, 326073.65434534027 7076811.098956317, 326074.24357585574 7076813.575721873, 326074.2437594726 7076813.576490985, 326077.17371717386 7076825.806314428, 326079.7334990049 7076836.525400845, 326082.3931795809 7076847.814045095, 326083.72302004596 7076853.523360173, 326084.39220152184 7076856.399841742, 326084.931423609 7076858.876269105, 326086.5405909257 7076866.282436693, 326087.1298387694 7076869.2087014085, 326087.1312739119 7076869.215578458, 326087.7512114009 7076872.085289093, 326088.36114922917 7076874.9249996375, 326088.36243357207 7076874.930810552, 326089.0116327485 7076877.787286928, 326089.64027975046 7076880.750908509, 326090.2696397375 7076883.897708444, 326092.679377146 7076896.036385681, 326093.78900751786 7076901.74448426, 326094.82880881825 7076907.203441087, 326096.8787869393 7076917.993325929, 326099.1084158727 7076929.711375849, 326099.61803705693 7076932.519288648, 326099.61813799205 7076932.519843002, 326101.19813799206 7076941.169843002, 326103.3378829892 7076952.848451619, 326103.82728723704 7076955.625071637, 326104.29699609795 7076958.403349581, 326104.2971317872 7076958.404148232, 326104.7864628205 7076961.270229998, 326105.20585623133 7076963.986301611, 326105.20698066294 7076963.993258232, 326105.71698066295 7076967.013258232, 326107.2867949361 7076976.262165015, 326107.7959657629 7076979.377092426, 326108.2354208554 7076982.333426684, 326109.9552585199 7076993.932331864, 326110.7651043451 7076999.551262158, 326111.17482243554 7077002.399302542, 326111.5745644298 7077005.337406199, 326111.5752335095 7077005.342153446, 326111.9951721607 7077008.221732769, 326112.8249391328 7077013.980115611, 326113.5246109025 7077019.007757043, 326114.2042345031 7077024.064956188, 326114.5639908481 7077026.883047557, 326115.2738995876 7077032.492326471, 326116.33369968244 7077040.990723457, 326117.02324921003 7077046.73696952, 326117.3029150512 7077049.293914354, 326117.8728667538 7077054.593465273, 326117.87339170603 7077054.598139508, 326118.83339170605 7077062.798139508, 326119.43340387725 7077067.908243411, 326119.71339638997 7077070.298179503, 326119.7135216486 7077070.299238894, 326119.92295625294 7077072.0545003405, 326120.16248140484 7077074.4497518595, 326120.16256131436 7077074.450544575, 326121.1723020332 7077084.3879928375, 326121.41198825417 7077087.014554342, 326122.10145471164 7077094.878468865, 326122.23110742104 7077096.823259505, 326122.2311922726 7077096.824508711, 326122.56119227264 7077101.59450871, 326122.5617925567 7077101.602300632, 326123.2816170821 7077110.080233931, 326123.6012367865 7077114.25526632, 326123.84104855504 7077117.952364418, 326124.3309339537 7077125.430616562, 326124.6804667651 7077131.542447435, 326124.80026706826 7077135.206340042, 326124.80065616826 7077135.215607377, 326124.94061064505 7077137.944719674, 326125.40056827787 7077147.583831804, 326125.4006059122 7077147.584607824, 326125.5704675882 7077151.031800661, 326125.7001921297 7077154.444553983, 326125.7701022941 7077157.900113537, 326125.77012992423 7077157.901397688, 326125.9801296252 7077167.111384573, 326126.1801139165 7077175.900694178, 326126.3000845789 7077181.889229745, 326126.3500411272 7077184.846657403, 326126.3800195732 7077187.92444452, 326126.4300131345 7077194.143643545, 326126.449995358 7077197.200923746, 326126.4400039787 7077200.7178892465, 326126.4200128095 7077204.286312953, 326126.3600452714 7077210.842763784, 326126.3001046125 7077213.86976706, 326126.170168208 7077220.016758503, 326126.0702533673 7077223.154084502, 326126.0702161228 7077223.155300474, 326125.9803254272 7077226.211584123, 326125.8406502214 7077229.364253054, 326125.65092264186 7077232.589621907, 326125.2710262687 7077238.627974785, 326124.6610675181 7077247.947344548, 326124.2012482629 7077255.004570178, 326123.9617499594 7077258.118048123, 326123.6721147926 7077261.28406012, 326123.0423417148 7077268.051621606, 326122.6725493316 7077271.699573494, 326122.67248140485 7077271.700248141, 326122.3129113108 7077275.295949081, 326121.8834154427 7077278.951658098, 326121.88317552727 7077278.953737727, 326121.29317552724 7077284.163737727, 326122.2868244727 7077284.276262272, 326122.87670669093 7077279.067302345, 326123.3065845573 7077275.408341901, 326123.30751859513 7077275.399751859, 326123.66748485935 7077271.800089217, 326124.03745066834 7077268.150426506, 326124.03784903046 7077268.146328639, 326124.66784903046 7077261.37632864, 326124.66792077303 7077261.375551112, 326124.9579207731 7077258.205551112, 326124.95852724276 7077258.198348249, 326125.19852724276 7077255.078348249, 326125.1989420475 7077255.072508972, 326125.6589372709 7077248.012582282, 326126.2689324819 7077238.6926554525, 326126.269013388 7077238.691394882, 326126.649013388 7077232.651394882, 326126.6491371866 7077232.649361011, 326126.8391371866 7077229.41936101, 326126.83951001463 7077229.41213019, 326126.9795100146 7077226.252130191, 326126.9797838772 7077226.244699527, 326127.0697659949 7077223.185307525, 326127.1697466327 7077220.045915498, 326127.16988833144 7077220.040566745, 326127.29988833144 7077213.890566745, 326127.2999019992 7077213.889899049, 326127.3599019992 7077210.859899049, 326127.3599790874 7077210.854572979, 326127.4199790874 7077204.294572979, 326127.4199921539 7077204.292801077, 326127.4399921539 7077200.722801076, 326127.43999798235 7077200.721420448, 326127.44999798236 7077197.201420449, 326127.4499893207 7077197.196732096, 326127.4299893207 7077194.136732096, 326127.4299838461 7077194.135980837, 326127.3799838461 7077187.915980837, 326127.3799762835 7077187.915130101, 326127.3499762835 7077184.835130101, 326127.3499286812 7077184.8315552585, 326127.2999286812 7077181.8715552585, 326127.299899696 7077181.869985315, 326127.179899696 7077175.879985315, 326127.17987062404 7077175.878626379, 326126.979870624 7077167.088626379, 326126.76988471596 7077157.879244385, 326126.6998977059 7077154.419886462, 326126.69963916874 7077154.411007867, 326126.56963916874 7077150.991007867, 326126.5693940878 7077150.985392176, 326126.3994132075 7077147.535780192, 326125.93943172216 7077137.896168196, 326125.93934383173 7077137.894392624, 326125.79958136316 7077135.169024487, 326125.6797329317 7077131.503659958, 326125.6791843393 7077131.491451875, 326125.3291843393 7077125.371451876, 326125.32893061533 7077125.367316043, 326124.83894108376 7077117.887475846, 326124.59895144496 7077114.187635582, 326124.5985412409 7077114.181834163, 326124.27854124096 7077110.001834163, 326124.2782074433 7077109.997699368, 326123.55853803304 7077101.52159298, 326123.22885093594 7077096.75611585, 326123.0988925789 7077094.806740494, 326123.09808929457 7077094.796330163, 326122.40808929456 7077086.926330163, 326122.4079310553 7077086.924561424, 326122.1679310553 7077084.294561424, 326122.1674386856 7077084.289455425, 326121.1574789558 7077074.349851748, 326120.9175185951 7077071.950248141, 326120.9164783514 7077071.940761106, 326120.7065415479 7077070.181290753, 326120.42660361005 7077067.791820497, 326119.82659845345 7077062.681776438, 326118.8668817625 7077054.48419637, 326118.2971332462 7077049.186534727, 326118.29703584587 7077049.185636705, 326118.0170358459 7077046.625636704, 326118.0164384193 7077046.62042739, 326117.3264384193 7077040.87042739, 326117.32615687797 7077040.868126319, 326116.266156878 7077032.368126319, 326116.26604313066 7077032.367220922, 326115.55604313064 7077026.757220923, 326115.5559748898 7077026.7566840565, 326115.1959748898 7077023.936684056, 326115.1955452593 7077023.933404985, 326114.5155452593 7077018.873404985, 326114.5152274858 7077018.871081662, 326113.8152274858 7077013.841081662, 326113.8148884633 7077013.838687947, 326112.9848884633 7077008.078687947, 326112.9847664905 7077008.077846554, 326112.56511241046 7077005.200218575, 326112.1654355702 7077002.2625938, 326112.1649050476 7077002.258803134, 326111.75490504765 7076999.408803134, 326110.94488630496 7076993.788672971, 326110.9445925703 7076993.786663861, 326109.2245925703 7076982.18666386, 326108.7845657882 7076979.226483463, 326108.78345103265 7076979.219339735, 326108.2734510327 7076976.099339735, 326108.2729499192 7076976.0963317435, 326106.7029847155 7076966.846536754, 326106.1936060652 7076963.830216119, 326105.7741437687 7076961.113698389, 326105.7728682128 7076961.1058517685, 326105.28293637827 7076958.236251024, 326104.81300390203 7076955.456650419, 326104.8124096005 7076955.453208379, 326104.3224096005 7076952.673208379, 326104.3218132339 7076952.669890383, 326102.1818376181 7076940.990023471, 326100.6019126549 7076932.340434274, 326100.091962943 7076929.530711352, 326100.0911876152 7076929.52654024, 326097.8612002992 7076917.806606903, 326095.8112130607 7076907.016674072, 326094.77116928325 7076901.556443946, 326094.7708121679 7076901.554588178, 326093.66081216786 7076895.844588178, 326093.6604296779 7076895.842641226, 326091.25042967795 7076883.702641225, 326091.25029033783 7076883.701941933, 326090.6202903378 7076880.551941933, 326090.61911706254 7076880.546247896, 326089.98911706253 7076877.576247895, 326089.9875664279 7076877.569189448, 326089.33822588914 7076874.712091078, 326088.7288507708 7076871.875000363, 326088.72872608807 7076871.8744215425, 326088.1094678165 7076869.007855027, 326087.52016123064 7076866.081298592, 326087.5186000811 7076866.073839928, 326085.90860008105 7076858.663839928, 326085.36855259555 7076856.183621612, 326085.3669953361 7076856.176705946, 326084.6969953361 7076853.296705946, 326083.3669646026 7076847.586573919, 326083.3666746428 7076847.585336179, 326080.70667464274 7076836.2953361785, 326080.7063251155 7076836.2938626595, 326078.1463251155 7076825.57386266, 326075.21633262484 7076813.343893436, 326074.62642414425 7076810.864278127, 326074.62484223046 7076810.857819758, 326073.99484223046 7076808.357819758, 326073.9937623217 7076808.353611646, 326072.8337763758 7076803.913665439, 326071.35379050917 7076798.243719585, 326071.35335926124 7076798.242078834, 326069.9533592612 7076792.952078834, 326069.95310733124 7076792.951130661, 326067.84310733125 7076785.041130661, 326067.84265219816 7076785.0394363925, 326065.7326521982 7076777.239436393, 326065.7324749615 7076777.23878296, 326062.4824749615 7076765.28878296, 326062.482092723 7076765.287385497, 326061.63209272304 7076762.197385497, 326061.6311106704 7076762.193865791, 326060.7511106704 7076759.083865791, 326060.74962883646 7076759.078733658, 326057.4096423588 7076747.73877957, 326056.5796556574 7076744.918824753, 326056.57814509905 7076744.9137903415, 326053.9881450991 7076736.443790342, 326053.9879260039 7076736.443075751, 326053.1179260039 7076733.613075751, 326053.11685621523 7076733.6096399315, 326050.31685621524 7076724.729639932, 326050.3165256416 7076724.728595532, 326049.36693438323 7076721.739881992, 326046.61740270455 7076712.921384026, 326045.698338111 7076709.964393595, 326044.7991743651 7076706.947199692, 326044.7973457751 7076706.941201442, 326042.2973457751 7076698.921201442, 326039.5872791086 7076690.240987743, 326039.5870472988 7076690.240247288, 326038.6170472988 7076687.150247288, 326038.6155925771 7076687.145689596, 326036.6655925771 7076681.135689597, 326036.6648143245 7076681.133311273, 326035.67481432453 7076678.133311273, 326035.6736861883 7076678.129933154, 326033.95368618827 7076673.039933154, 326033.13573301164 7076670.625973243, 326032.29784893594 7076667.912824807, 326031.3979599904 7076664.983186351, 326031.394341649 7076664.971886117, 326030.49434164906 7076662.271886117, 326030.4932296247 7076662.268588345, 326030.0536066942 7076660.979693844, 326029.6139785914 7076659.670801084, 326029.6130526572 7076659.668070436, 326028.7230526572 7076657.068070437, 326028.7227853757 7076657.067291708, 326025.75278537575 7076648.437291707, 326025.75225987675 7076648.435772691, 326023.8222598767 7076642.885772691, 326023.8215268132 7076642.883679633, 326022.85226656345 7076640.135776863, 326021.8829876211 7076637.307880567, 326021.88057030883 7076637.300992354, 326020.86079437233 7076634.461616217, 326019.82101675763 7076631.542240607, 326019.81813744846 7076631.534365922, 326017.1583215732 7076624.444856691, 326013.1585046368 7076613.7153477585, 326012.0984351679 7076610.875161522, 326012.09721593175 7076610.8719290225, 326011.08721593174 7076608.221929023, 326011.085700323 7076608.218002173, 326007.0058516762 7076597.7783894595, 326005.88759462466 7076594.902871327, 326003.28911472973 7076587.85699315, 326002.39903850725 7076585.4467866095, 326002.3970715758 7076585.441550727, 326001.24808280834 7076582.434197518, 326000.14987962035 7076579.459065245, 325998.0107193658 7076573.4914079, 325996.9407639968 7076570.501532616, 325996.9322402961 7076570.479385445, 325992.9324630978 7076560.779925738, 325990.8927982555 7076555.800743918, 325988.71291144134 7076550.461021172, 325987.6128008787 7076547.77075057, 325987.6113234765 7076547.767177153, 325983.89132347645 7076538.867177153, 325982.6312204941 7076535.856930955, 325982.62726766884 7076535.8477469925, 325981.4772676689 7076533.247746993, 325981.47518323874 7076533.243098528, 325979.1751832387 7076528.183098528, 325979.17039687524 7076528.172876406, 325977.9631689822 7076525.66862681, 325976.8181548134 7076523.129682349, 325976.2103953246 7076521.6949714245, 325976.20321599155 7076521.6788240895, 325972.3036784266 7076513.309816546, 325971.13413655455 7076510.770811115, 325971.1292129916 7076510.760437508, 325967.4292129916 7076503.190437508, 325967.42515554745 7076503.18232361, 325955.1451555475 7076479.172323611, 325955.1442554739 7076479.170572291, 325944.1442554739 7076457.87057229, 325944.14064501144 7076457.863712095, 325940.44064501143 7076450.963712095, 325940.43961868074 7076450.961808028, 325928.25961868075 7076428.481808027, 325928.2589477864 7076428.4805739345, 325927.5389477864 7076427.160573935, 325927.5373182878 7076427.157610407, 325913.23731828784 7076401.357610406, 325913.2231189292 7076401.33359735, 325895.4931189292 7076373.173597351, 325895.4872109567 7076373.164436908, 325887.64721095667 7076361.294436908, 325886.8070327628 7076360.024167307, 325885.97296723723 7076360.575832693, 325886.8128779047 7076361.845697631))</t>
  </si>
  <si>
    <t>['EV6 S91D1 m10245-10283']</t>
  </si>
  <si>
    <t>LINESTRING Z (335918.41 7115778.04 67.89, 335924.58 7115777.71 67.57000000000001, 335927.38 7115777.56 67.43, 335889.45 7115778.43 69.41, 335893.83 7115778.48 69.19, 335901.74 7115778.56 68.79, 335914.1 7115778.27 68.1, 335918.41 7115778.04 67.89)</t>
  </si>
  <si>
    <t>POLYGON Z ((335918.41 7115778.04 67.89, 335924.58 7115777.71 67.57000000000001, 335927.38 7115777.56 67.43, 335889.45 7115778.43 69.41, 335893.83 7115778.48 69.19, 335901.74 7115778.56 68.79, 335914.1 7115778.27 68.1, 335918.41 7115778.04 67.89))</t>
  </si>
  <si>
    <t>['EV6 S91D1 m11929-11958']</t>
  </si>
  <si>
    <t>LINESTRING Z (337423.48 7115829.21 37.95, 337431.52 7115826.8 37.910000000000004, 337435.77 7115825.56 37.85, 337438.32 7115824.84 37.85, 337449.78 7115821.58 37.69, 337421.56 7115829.79 38.04, 337423.48 7115829.21 37.95)</t>
  </si>
  <si>
    <t>POLYGON Z ((337423.48 7115829.21 37.95, 337431.52 7115826.8 37.910000000000004, 337435.77 7115825.56 37.85, 337438.32 7115824.84 37.85, 337449.78 7115821.58 37.69, 337421.56 7115829.79 38.04, 337423.48 7115829.21 37.95))</t>
  </si>
  <si>
    <t>['EV6 S87D1 m8897-9384', 'EV6 S88D1 m0-536']</t>
  </si>
  <si>
    <t>LINESTRING Z (322992.59 7085950.75 39.6, 322992.95 7085960.1 39.9, 322993.04 7085964.45 40.08, 322993.16 7085967.44 40.18, 322993.21 7085970.59 40.31, 322993.38 7085972.96 40.32, 322993.48 7085975.1 40.32, 322993.69 7085978.01 40.42, 322993.89 7085981.15 40.56, 322994.06 7085984.51 40.71, 322994.28 7085987.8 40.78, 322994.49 7085991.06 40.89, 322994.89 7085995.56 41.04, 322995.66 7086004.55 41.38, 322996.11 7086008.56 41.480000000000004, 322997.51 7086020.68 41.9, 322997.97 7086024.57 42.01, 322998.44 7086028.42 42.14, 322998.92 7086032.17 42.29, 323000.4 7086043.5 42.63, 323000.94 7086047.3 42.78, 323002.6 7086058.88 43.14, 323003.2 7086062.91 43.26, 323003.83 7086066.94 43.37, 323005.74 7086079.29 43.76, 323008.84 7086100.63 44.03, 323015.06 7086141.09 44.83, 323018.5 7086160.63 45.07, 323020.76 7086173.19 45.230000000000004, 323024.41 7086190.85 45.29, 323027.41 7086204.27 45.33, 323029.94 7086216.14 45.38, 323031.65 7086222.37 45.4, 323034.18 7086230.58 45.43, 323038.37 7086241.86 45.480000000000004, 323042.88 7086253.29 45.53, 323052.49 7086274.18 45.53, 323055.39 7086280.46 45.53, 323061.28 7086290.75 45.53, 323068.22 7086302.01 45.53, 323070.95 7086305.88 45.53, 323077.99 7086315.73 45.63, 323094.09 7086337.03 45.63, 323108.07 7086354.33 45.63, 323118.74 7086366.85 45.63, 323123.32 7086372.27 45.660000000000004, 323135.87 7086387.79 45.76, 323145.05 7086398.91 45.83, 323149.34 7086404.38 45.83, 323155.2 7086412.43 46.02, 323163.79 7086424.14 46.33, 323176.46 7086442.98 47.03, 323188.7 7086463.49 47.93, 323193.91 7086473.16 48.42, 323201.74 7086487.76 49.13, 323206.04 7086498.61 49.6, 323207.92 7086503.49 49.83, 323212.48 7086516.7 50.38, 323216.58 7086530.05 50.93, 323222.58 7086551.05 51.81, 323224.43 7086558.71 52.120000000000005, 323225.58 7086565.03 52.38, 323227.24 7086572.12 52.63, 323234.39 7086599.5 53.6, 323242.17 7086630.27 54.63, 323249.13 7086655.48 55.13, 323255.4 7086678.5 55.63, 323262.63 7086706.45 56.22, 323268.66 7086730.76 56.730000000000004, 323272.58 7086746.48 57.050000000000004, 323276.68 7086763.36 57.4, 323281.38 7086783.83 57.83, 323287.11 7086810.55 59.13, 323292.2 7086841.2 59.13, 323295.1 7086860.9 59.13, 323298.6 7086886.7 59.13, 323301.19 7086905.54 59.13)</t>
  </si>
  <si>
    <t>POLYGON ((322992.4501990172 7085960.114791023, 322992.5401069811 7085964.460342614, 322992.54040219425 7085964.470050748, 322992.66015916155 7085967.453995184, 322992.7100629763 7085970.597935508, 322992.71128135425 7085970.625773068, 322992.8808357364 7085972.989560631, 322992.9805450068 7085975.123339018, 322992.98129688174 7085975.135988885, 322993.1911451564 7085978.0438864045, 322993.3908036804 7085981.178525232, 322993.56063874345 7085984.535265301, 322993.56111414084 7085984.543360149, 322993.7810734134 7085987.832751087, 322993.99103417573 7085991.09214197, 322993.99196367967 7085991.104269895, 322994.39189254487 7085995.603469628, 322995.1618239821 7086004.592669136, 322995.16311887454 7086004.605759727, 322995.61311887455 7086008.615759727, 322995.61330271524 7086008.617374273, 322997.01330271526 7086020.737374273, 322997.01345963817 7086020.738716855, 322997.47345963813 7086024.628716855, 322997.4736846215 7086024.630589151, 322997.94368462154 7086028.48058915, 322997.94404634583 7086028.4834820675, 322998.4240463458 7086032.2334820675, 322998.42421200365 7086032.234763128, 322999.9042120037 7086043.564763128, 322999.9049732795 7086043.570345903, 323000.4449732795 7086047.370345903, 323000.44505950384 7086047.370950019, 323002.1050595038 7086058.950950019, 323002.1054511074 7086058.953630108, 323002.7054511074 7086062.983630109, 323002.7059998273 7086062.987225833, 323003.335936806 7086067.016822698, 323005.2455235821 7086079.3641508045, 323008.3451935777 7086100.701879096, 323008.34580568183 7086100.705973521, 323014.5658056818 7086141.165973521, 323014.5675727436 7086141.17669139, 323018.0075727436 7086160.71669139, 323018.00790287415 7086160.718546139, 323020.26790287415 7086173.27854614, 323020.2703489346 7086173.291201947, 323023.92034893454 7086190.9512019465, 323023.9220437447 7086190.95908113, 323026.92150209774 7086204.376658162, 323029.4509845358 7086216.244229917, 323029.4578330524 7086216.272344379, 323031.1678330524 7086222.502344379, 323031.1721734589 7086222.517247399, 323033.7021734589 7086230.727247399, 323033.71129123913 7086230.754103698, 323037.90129123913 7086242.034103698, 323037.90489679406 7086242.043518413, 323042.4148967941 7086253.473518413, 323042.42575972714 7086253.498963572, 323052.0357597271 7086274.388963572, 323052.036062629 7086274.38962076, 323054.93606262904 7086280.669620761, 323054.9560602051 7086280.708387307, 323060.84606020513 7086290.998387307, 323060.85435265186 7086291.012343925, 323067.7943526518 7086302.272343925, 323067.81142831204 7086302.298217237, 323070.5414283121 7086306.168217237, 323070.543216993 7086306.170736281, 323077.58321699296 7086316.020736282, 323077.59112639306 7086316.0314960135, 323093.6911263931 7086337.331496013, 323093.70110549324 7086337.3442627285, 323107.6811054932 7086354.644262728, 323107.68945063744 7086354.654318027, 323118.3587702177 7086367.173519634, 323122.9346057797 7086372.588591412, 323135.4812084408 7086388.104390082, 323135.4844155096 7086388.108315254, 323144.6604299105 7086399.223487382, 323148.94103625126 7086404.6815099185, 323154.79576228734 7086412.724264968, 323154.7968412885 7086412.725741531, 323163.38079799426 7086424.427503233, 323176.03756304795 7086443.247823171, 323188.2650248868 7086463.736813556, 323193.46959491546 7086473.39673528, 323201.28577181516 7086487.970960406, 323205.57428873994 7086498.791985669, 323207.4502496677 7086503.661501269, 323212.00455920584 7086516.8550164, 323216.1005892081 7086530.1920897, 323222.0963995264 7086551.177425814, 323223.94062853104 7086558.813530774, 323225.0880775035 7086565.119511214, 323225.09316563746 7086565.143983786, 323226.75316563743 7086572.233983786, 323226.75622327725 7086572.24633322, 323233.9057317195 7086599.624450863, 323241.68525482836 7086630.392564752, 323241.68803074094 7086630.403062516, 323248.6478012239 7086655.612231177, 323254.91673405 7086678.6283131, 323262.1453076709 7086706.572798951, 323268.17470645823 7086730.880375156, 323268.1748562214 7086730.880977329, 323272.09448705055 7086746.599496879, 323276.1933843534 7086763.474956994, 323280.8918721249 7086783.938370756, 323286.6186674633 7086810.643426854, 323291.70600132516 7086841.277372408, 323294.6049188112 7086860.970018778, 323298.10453829064 7086886.767213798, 323298.1046588062 7086886.768096268, 323300.6946588062 7086905.608096268, 323301.6853411938 7086905.471903732, 323299.09540184867 7086886.6323449435, 323295.5954617093 7086860.832786202, 323295.5946689315 7086860.827180716, 323292.69466893154 7086841.127180716, 323292.69324472186 7086841.118087581, 323287.60324472183 7086810.468087581, 323287.59888513596 7086810.445160485, 323281.868885136 7086783.725160485, 323281.86731968215 7086783.718109306, 323277.16731968214 7086763.248109306, 323277.1658730797 7086763.241985804, 323273.0658730797 7086746.3619858045, 323273.0651437786 7086746.359022671, 323269.14521883003 7086730.6393236425, 323263.11529354175 7086706.329624844, 323263.1140669406 7086706.3247834, 323255.88406694063 7086678.3747833995, 323255.8824254099 7086678.368600898, 323249.6124254099 7086655.348600899, 323249.61196925904 7086655.346937484, 323242.6534142149 7086630.142171296, 323234.87474517163 7086599.377435247, 323234.87377672276 7086599.37366678, 323227.7253841062 7086571.999822048, 323226.0696843824 7086564.928188889, 323224.9219224965 7086558.620488786, 323224.916026129 7086558.59261771, 323223.066026129 7086550.93261771, 323223.06076197384 7086550.912639436, 323217.06076197384 7086529.912639436, 323217.05796684953 7086529.903208682, 323212.9579668495 7086516.553208683, 323212.9526332352 7086516.536850299, 323208.3926332352 7086503.326850299, 323208.38657416624 7086503.310254215, 323206.50657416624 7086498.430254215, 323206.5048269079 7086498.4257828845, 323202.2048269079 7086487.575782884, 323202.18063225923 7086487.523688315, 323194.3506322592 7086472.923688316, 323194.35017707065 7086472.922841516, 323189.1401770707 7086463.252841516, 323189.1293548059 7086463.233768756, 323176.8893548059 7086442.723768756, 323176.87490370194 7086442.700975059, 323164.2049037019 7086423.860975058, 323164.1931587115 7086423.844258469, 323155.6036995894 7086412.1349958, 323149.7442377127 7086404.085735031, 323149.73343355703 7086404.071438764, 323145.443433557 7086398.6014387645, 323145.43558449036 7086398.591684747, 323136.257197987 7086387.473639222, 323123.7087915592 7086371.955609918, 323123.70190687635 7086371.947281643, 323119.12190687633 7086366.527281643, 323119.12054936256 7086366.5256819725, 323108.4547876295 7086354.010655085, 323094.4839875153 7086336.722039779, 323078.3929001537 7086315.433831034, 323071.3576812327 7086305.590520469, 323068.6375107504 7086301.734454621, 323061.70990686846 7086290.494567054, 323055.834784898 7086280.230559401, 323052.94408901257 7086273.970707621, 323043.3400238687 7086253.093608677, 323038.8369534462 7086241.681170777, 323034.6536486508 7086230.419195099, 323032.1301124231 7086222.230170423, 323030.4259981441 7086216.021613723, 323027.8990154642 7086204.165770082, 323027.89795625524 7086204.160918869, 323024.89883541013 7086190.744851622, 323021.2509556701 7086173.095110196, 323018.9922639333 7086160.542380896, 323015.5533690031 7086141.008657951, 323009.33450884646 7086100.55607243, 323006.2348064223 7086079.218120904, 323006.23412556335 7086079.213580581, 323004.3241255634 7086066.863580582, 323004.3240001727 7086066.862774167, 323003.69428107433 7086062.834571046, 323003.0947483217 7086058.80770939, 323001.4349838041 7086047.229352093, 323000.8954230863 7086043.4324433375, 322999.4158716503 7086032.105877277, 322998.936138735 7086028.357963876, 322998.46642963355 7086024.510346769, 322998.00661972753 7086020.621954302, 322996.60679051845 7086008.503432864, 322996.157614679 7086004.500777051, 322995.3881760179 7085995.5173308635, 322995.38803632034 7085995.515730104, 322994.9885748369 7085991.021788416, 322994.7789658243 7085987.767858029, 322994.7788858592 7085987.766639851, 322994.5591563787 7085984.480685348, 322994.38936125656 7085981.124734699, 322994.38898883574 7085981.118217272, 322994.1889888357 7085977.978217271, 322994.18870311824 7085977.974011115, 322993.9791592129 7085975.070331284, 322993.8794549932 7085972.936660982, 322993.8787186458 7085972.924226932, 322993.7097158212 7085970.56812873, 322993.6599370237 7085967.432064492, 322993.6595978057 7085967.419949252, 322993.53979256016 7085964.434801884, 322993.4498930189 7085960.089657386, 322993.4496297976 7085960.080762916, 322993.0896297976 7085950.730762917, 322992.09037020244 7085950.769237083, 322992.4501990172 7085960.114791023))</t>
  </si>
  <si>
    <t>['EV6 S86D1 m2961-4042', 'EV6 S87D1 m0-661']</t>
  </si>
  <si>
    <t>LINESTRING Z (326120.75 7077292.16 4.08, 326119.93 7077298.23 4.07, 326119.1 7077304.47 4.01, 326118.63 7077307.38 4, 326117.65 7077313.43 3.98, 326117.13 7077316.44 3.97, 326115.5 7077325.95 3.98, 326114.96 7077329.05 3.98, 326114.29 7077332.42 3.98, 326112.22 7077342.71 3.98, 326111.55 7077346.11 3.98, 326110.94 7077348.9 3.99, 326109.1 7077357.32 4.0200000000000005, 326108.29 7077360.89 4.03, 326107.48 7077364.49 4.03, 326106.6 7077368.07 4.03, 326105.75 7077371.57 4.03, 326104.88 7077374.86 4.03, 326103.1 7077381.62 4.03, 326102.14 7077384.98 4.03, 326101.2 7077388.38 4.03, 326100.26 7077391.84 4.04, 326099.33 7077395.28 4.05, 326098.4 7077398.6 4.05, 326097.4 7077401.86 4.05, 326095.3 7077408.57 4.04, 326094.2 7077411.89 4.03, 326093.02 7077415.43 4.03, 326090.63 7077422.57 4, 326089.45 7077426.1 3.98, 326088.47 7077428.93 3.97, 326086.47 7077434.68 3.97, 326085.48 7077437.51 3.98, 326084.4 7077440.5 3.99, 326083.26 7077443.53 4.01, 326080.82 7077449.97 4.01, 326079.44 7077453.42 3.99, 326076.68 7077460.33 3.96, 326074.01 7077467 4, 326071.34 7077473.61 4.0200000000000005, 326070.06 7077476.59 4, 326068.76 7077479.61 3.99, 326067.5 7077482.64 3.96, 326064.88 7077488.9 3.94, 326063.43 7077492.18 3.96, 326061.95 7077495.44 3.98, 326059.23 7077501.42 4, 326057.96 7077504.23 4.01, 326055.41 7077509.85 4.0200000000000005, 326054.12 7077512.61 4.03, 326052.6 7077515.81 4.04, 326051.02 7077519.04 4.05, 326048.09 7077525.07 4.08, 326046.7 7077527.84 4.07, 326045.31 7077530.62 4.05, 326043.95 7077533.37 4.04, 326042.55 7077536.1 4.05, 326039.71 7077541.68 4.05, 326035.46 7077550.02 4.09, 326034 7077552.83 4.09, 326031.38 7077557.89 4.09, 326030.18 7077560.14 4.1, 326025.77 7077568.5 4.12, 326024.15 7077571.5 4.12, 326020.95 7077577.46 4.1, 326019.38 7077580.43 4.1, 326016.16 7077586.44 4.11, 326014.56 7077589.43 4.12, 326012.81 7077592.66 4.13, 326009.27 7077599.12 4.13, 326007.43 7077602.39 4.12, 326005.56 7077605.7 4.12, 326003.73 7077609 4.12, 326000.07 7077615.55 4.11, 325994.89 7077624.82 4.04, 325991.25 7077631.31 4.08, 325989.44 7077634.52 4.09, 325987.88 7077637.24 4.1, 325986.3 7077640 4.11, 325984.67 7077642.72 4.11, 325980.14 7077650.25 4.13, 325978.65 7077652.82 4.14, 325977 7077655.71 4.12, 325975.36 7077658.57 4.11, 325973.7 7077661.42 4.13, 325972.08 7077664.22 4.13, 325970.54 7077666.76 4.12, 325965.79 7077674.62 4.09, 325964.3 7077677.2 4.08, 325959.95 7077684.78 4.07, 325955.24 7077693.01 4.13, 325953.73 7077695.5 4.11, 325952.19 7077698.06 4.1, 325950.68 7077700.62 4.12, 325947.04 7077706.77 4.12, 325945.15 7077709.88 4.1, 325943.34 7077712.96 4.13, 325939.79 7077718.98 4.18, 325938.28 7077721.5 4.15, 325935.21 7077726.6 4.12, 325933.68 7077729.19 4.14, 325931.9 7077732.26 4.16, 325930.1 7077735.29 4.13, 325928.29 7077738.32 4.11, 325926.71 7077741.09 4.09, 325923.53 7077746.67 4.04, 325921.98 7077749.3 4.0600000000000005, 325920.48 7077751.89 4.07, 325917.57 7077756.95 4.09, 325915.8 7077759.87 4.11, 325912.12 7077765.96 4.14, 325910.24 7077769.05 4.15, 325908.54 7077771.95 4.16, 325902.87 7077781.6 5.14, 325890.5 7077803.18 5.14, 325882.11 7077817.94 5.14, 325849.13 7077875.74 5.14, 325821.61 7077922.29 5.14, 325780.1 7077992.8 5.14, 325738.41 7078063.4 5.14, 325710.92 7078109.68 5.14, 325700.98 7078127.12 5.14, 325683.58 7078156.33 5.14, 325662.9 7078190.2 5.14, 325645.6 7078220.1 5.14, 325628.3 7078250.1 5.14, 325625.5 7078255 5.14, 325622.89 7078260.01 4.76, 325621.44 7078262.75 4.76, 325617.56 7078270.06 4.76, 325615.65 7078273.74 4.78, 325613.23 7078278.42 4.8, 325610.84 7078283.09 4.82, 325608.48 7078287.78 4.82, 325606.1 7078292.5 4.82, 325603.85 7078297.07 4.8, 325601.6 7078301.59 4.78, 325597.06 7078310.7 4.74, 325594.84 7078315.35 4.76, 325592.72 7078319.98 4.78, 325586.34 7078333.9 4.84, 325584.44 7078338.12 4.84, 325578.74 7078350.73 4.84, 325576.88 7078355.04 4.84, 325571.29 7078367.96 4.86, 325569.54 7078372.14 4.88, 325567.88 7078376.28 4.89, 325566.23 7078380.43 4.89, 325562.9 7078388.81 4.91, 325561.28 7078393.14 4.92, 325556.55 7078405.89 4.93, 325555.01 7078410.15 4.93, 325553.46 7078414.44 4.94, 325551.81 7078419.08 4.94, 325550.18 7078423.7 4.95, 325548.56 7078428.33 4.97, 325546.96 7078432.99 4.98, 325545.43 7078437.54 4.99, 325543.91 7078442.05 5, 325542.4 7078446.64 5, 325540.94 7078451.37 4.97, 325536.66 7078465.32 4.9, 325532.57 7078478.68 4.88, 325529.83 7078487.7 4.87, 325528.75 7078491.89 4.87, 325525.57 7078504.12 4.87, 325524.29 7078509.04 4.88, 325523.06 7078513.99 4.89, 325521.85 7078518.98 4.9, 325520.79 7078523.53 4.87, 325518.67 7078532.59 4.82, 325517.57 7078537.47 4.84, 325514.43 7078551.31 4.92, 325512.53 7078559.78 4.95, 325510.64 7078568.32 4.99, 325509.57 7078573.45 5, 325507.46 7078583.58 5.0200000000000005, 325506.44 7078588.7 5.0200000000000005, 325505.6 7078593.13 5.01, 325504.76 7078597.52 5, 325503.96 7078601.92 4.97, 325503.16 7078606.36 4.93, 325502.47 7078610.38 4.93, 325501.81 7078614.37 4.94, 325501.16 7078618.37 4.96, 325500.5 7078622.46 4.98, 325499.77 7078627.58 4.99, 325499.08 7078632.62 5, 325498.4 7078637.66 5.01, 325496.36 7078653.05 5.0600000000000005, 325495.7 7078658.27 5.07, 325495.18 7078662.86 5.0600000000000005, 325494.65 7078667.37 5.09, 325494.11 7078671.94 5.12, 325493.69 7078676.36 5.14, 325493.32 7078680.73 5.13, 325492.61 7078689.13 5.12, 325492.21 7078693.16 5.11, 325491.8 7078697.2 5.11, 325491.5 7078701.28 5.11, 325491.19 7078706.04 5.13, 325490.58 7078715.5 5.15, 325490.33 7078719.97 5.14, 325489.59 7078733.3 5.1000000000000005, 325489.38 7078738.4 5.1000000000000005, 325489.21 7078743.46 5.11, 325489.04 7078748.59 5.13, 325488.95 7078752.6 5.14, 325488.78 7078760.52 5.17, 325488.73 7078764.51 5.17, 325488.7 7078769.38 5.18, 325488.63 7078784.22 5.21, 325488.59 7078794.64 5.23, 325488.68 7078799.02 5.22, 325488.85 7078807.59 5.21, 325488.92 7078812.55 5.22, 325489 7078817.66 5.23, 325489.13 7078821.55 5.24, 325489.27 7078825.35 5.24, 325489.43 7078829.16 5.21, 325489.8 7078837.7 5.21, 325489.99 7078842.02 5.21, 325490.19 7078845.63 5.22, 325490.81 7078856.63 5.23, 325491.07 7078860.52 5.23, 325491.58 7078868.1 5.22, 325491.84 7078871.77 5.22, 325492.12 7078875.46 5.24, 325492.51 7078880.17 5.25, 325493.08 7078886.82 5.26)</t>
  </si>
  <si>
    <t>POLYGON ((326119.4345008573 7077298.16306272, 326119.4343652632 7077298.164074226, 326118.6052847435 7077304.397161506, 326118.136414927 7077307.300163987, 326117.1568522875 7077313.347463956, 326116.63729832205 7077316.354882102, 326116.6371864071 7077316.355532476, 326115.00730102806 7077325.864863736, 326114.4684381996 7077328.958335529, 326113.7997083518 7077332.321946853, 326111.7298199007 7077342.611392342, 326111.7294341556 7077342.613329672, 326111.06043400086 7077346.008255831, 326110.45153857255 7077348.793203774, 326108.61195257946 7077357.21130923, 326107.8023933534 7077360.779366558, 326107.80219512194 7077360.7802439025, 326106.9932771809 7077364.375434753, 326106.11445384397 7077367.950647873, 326106.114123148 7077367.952001336, 326105.2653194294 7077371.447075471, 326104.3966153318 7077374.732174875, 326104.39648126665 7077374.732682938, 326102.61780734174 7077381.487646832, 326101.6592380262 7077384.842639437, 326101.65807894577 7077384.846763003, 326100.71807894576 7077388.246763002, 326100.71748959366 7077388.248913358, 326099.77748959366 7077391.708913358, 326099.7773278563 7077391.709510147, 326098.84792050975 7077395.147317966, 326097.9201863619 7077398.459229117, 326096.9223997571 7077401.7120134495, 326094.8240653475 7077408.416691491, 326093.7255153627 7077411.732315081, 326092.54575798253 7077415.271587222, 326090.15585794684 7077422.411288585, 326088.9766461234 7077425.938930602, 326087.99763904593 7077428.766063284, 326085.9978977995 7077434.515319368, 326085.0088788963 7077437.3425148185, 326083.9308610156 7077440.3270272855, 326082.7922298424 7077443.353389088, 326080.35405908874 7077449.788561076, 326078.97576165455 7077453.234304662, 326076.2157392269 7077460.144360644, 326073.5461002755 7077466.813458699, 326070.87843524065 7077473.41767813, 326069.6006649623 7077476.392487058, 326068.30074270297 7077479.4123064615, 326068.2983264152 7077479.418016925, 326067.0385462619 7077482.447488246, 326064.42068467056 7077488.702378918, 326062.9736956785 7077491.97556781, 326061.4947950976 7077495.233146118, 326058.7748689051 7077501.212983849, 326058.77437357855 7077501.214076315, 326057.5045256931 7077504.023739748, 326054.9558417938 7077509.640839163, 326053.6676933833 7077512.396877624, 326052.1495940549 7077515.592876209, 326050.57085660193 7077518.82029518, 326050.5702794232 7077518.821479056, 326047.64167615864 7077524.848604546, 326046.25310953474 7077527.615748106, 326046.2527864045 7077527.616393202, 326044.8627864045 7077530.396393202, 326044.8618128179 7077530.398351067, 326043.5034283288 7077533.145084409, 326042.1050912686 7077535.871841676, 326042.10439496324 7077535.873204605, 326039.2644519791 7077541.453092581, 326035.0154045118 7077549.791223375, 326033.5563140688 7077552.59947279, 326033.55598999886 7077552.600097588, 326030.9373903404 7077557.657393112, 326029.7388235294 7077559.904705882, 326029.7377591072 7077559.906712639, 326025.32889279135 7077568.264563524, 326023.7100473012 7077571.262425543, 326023.7094799663 7077571.263479177, 326020.5094799663 7077577.223479177, 326020.50796131446 7077577.226329719, 326018.93861270876 7077580.195097463, 326015.7192709172 7077586.203868944, 326014.1197611721 7077589.192952641, 326012.370946323 7077592.420765192, 326008.83287009917 7077598.877254573, 326006.9944583827 7077602.144431916, 326005.12466959906 7077605.454058052, 326005.12273398536 7077605.457516119, 326003.29312575184 7077608.756809655, 325999.63351991295 7077615.306104257, 325994.45371463033 7077624.575755795, 325990.8141862718 7077631.064914874, 325989.0053629825 7077634.272828, 325987.4462714868 7077636.991243942, 325985.86855032825 7077639.747262856, 325984.24133433466 7077642.462617151, 325979.7115550579 7077649.992250254, 325979.7074405836 7077649.999216525, 325978.2174405836 7077652.569216525, 325978.2157859994 7077652.572092352, 325976.5660186165 7077655.46168492, 325974.9270940107 7077658.319809537, 325973.26794569095 7077661.168347315, 325973.2672163258 7077661.1696037315, 325971.64978601167 7077663.965162299, 325970.1124463098 7077666.500774534, 325970.11207235337 7077666.501392325, 325965.36207235337 7077674.361392326, 325965.3570190075 7077674.369945086, 325963.8670190075 7077676.949945086, 325963.86633685976 7077676.9511299925, 325959.5163368598 7077684.531129993, 325959.5160407647 7077684.531646659, 325954.80918642145 7077692.756150107, 325953.30247028626 7077695.240734993, 325953.30154916726 7077695.242260046, 325951.7615491673 7077697.802260046, 325951.7593359239 7077697.805975486, 325950.2495266077 7077700.365652207, 325946.61120196775 7077706.512821585, 325944.7227151169 7077709.620331694, 325944.71892499365 7077709.6266734535, 325942.9091166169 7077712.706347376, 325939.3602009502 7077718.724508592, 325937.8513634865 7077721.242568465, 325934.781624549 7077726.342134777, 325934.7795036493 7077726.345691345, 325933.24950364925 7077728.9356913455, 325933.2474477204 7077728.939204216, 325931.4687772428 7077732.006911162, 325929.6704421034 7077735.034108647, 325927.860754352 7077738.063585933, 325927.85568558524 7077738.072268313, 325926.2756855853 7077740.842268312, 325923.09739447606 7077746.4192696195, 325921.5492435625 7077749.046132137, 325921.54732498707 7077749.049416016, 325920.04732498707 7077751.639416016, 325920.0465653575 7077751.640732251, 325917.1394359631 7077756.695740752, 325915.3724207539 7077759.61081669, 325915.3720616687 7077759.611410007, 325911.6924535415 7077765.7007615, 325909.8128473431 7077768.790114241, 325909.80865101493 7077768.79714025, 325908.1087786295 7077771.696922555, 325902.43890662154 7077781.34670472, 325902.4362128141 7077781.35134627, 325890.0662128141 7077802.93134627, 325890.0653177265 7077802.932914345, 325881.6755192621 7077817.692559796, 325848.6976300622 7077875.488860456, 325821.17959012685 7077922.035545012, 325821.17912246165 7077922.0363377305, 325779.6692917036 7077992.546050251, 325737.97978930036 7078063.145207596, 325710.4901185085 7078109.424653366, 325710.48560279235 7078109.4324135175, 325700.5479806574 7078126.868241489, 325683.1518345343 7078156.071771849, 325662.47325633874 7078189.939443197, 325662.46722080745 7078189.949595986, 325645.1672208074 7078219.849595985, 325645.1668591416 7078219.850222104, 325627.8668591416 7078249.850222104, 325627.8658784289 7078249.851930531, 325625.0658784289 7078254.751930531, 325625.0565656239 7078254.768989277, 325622.4473116064 7078259.777557334, 325620.99821129756 7078262.515857228, 325617.1183561238 7078269.825584372, 325617.1162140295 7078269.829665434, 325615.2062140295 7078273.509665434, 325615.20586447394 7078273.5103401765, 325612.7858644739 7078278.190340176, 325612.78490288457 7078278.192209399, 325610.3949028846 7078282.862209399, 325610.39335926005 7078282.865251142, 325608.03345249203 7078287.555065863, 325605.6535456675 7078292.274881078, 325605.6514206462 7078292.279145832, 325603.40190364426 7078296.84816481, 325601.1524417442 7078301.367083826, 325596.6124920567 7078310.476982869, 325596.6087852026 7078310.484581322, 325594.38878520264 7078315.134581322, 325594.38539014035 7078315.141841705, 325592.2654285227 7078319.77175788, 325585.88546758855 7078333.6916726455, 325585.8840796863 7078333.694727821, 325583.98423191236 7078337.914389719, 325578.2843846781 7078350.524051758, 325578.2809247822 7078350.531884013, 325576.4210172377 7078354.841669775, 325570.8311099591 7078367.76145547, 325570.82878864615 7078367.7669091225, 325569.07878864615 7078371.946909122, 325569.07591643266 7078371.953918183, 325567.4159164327 7078376.093918184, 325567.41537659767 7078376.095270214, 325565.76537659764 7078380.245270213, 325562.4353422024 7078388.625356746, 325562.4317022083 7078388.634793897, 325560.8117022083 7078392.964793897, 325560.81121882465 7078392.966091376, 325556.0812188246 7078405.716091376, 325556.0797818471 7078405.720015034, 325554.5397818471 7078409.980015035, 325552.98975223786 7078414.270096962, 325552.9888997771 7078414.272475136, 325551.3388997771 7078418.912475136, 325551.3384859945 7078418.913643328, 325549.7084859945 7078423.533643328, 325549.7080549326 7078423.534870192, 325548.0880549326 7078428.164870192, 325548.0870982353 7078428.167630295, 325546.48709823535 7078432.827630295, 325546.4860766337 7078432.830636758, 325544.9561313192 7078437.380474132, 325543.43618626107 7078441.890311113, 325543.4350411466 7078441.89374992, 325541.92504114663 7078446.48374992, 325541.9222417202 7078446.492531271, 325540.4622417202 7078451.222531271, 325540.4619921098 7078451.223342382, 325536.18199210975 7078465.173342383, 325532.09190206643 7078478.533636186, 325532.0915860456 7078478.534672479, 325529.3515860456 7078487.55467248, 325529.3458252827 7078487.575200789, 325528.26595741365 7078491.764688169, 325525.0860993677 7078503.994142227, 325523.8061079141 7078508.914109376, 325523.80475625105 7078508.9194242805, 325522.57475625107 7078513.869424281, 325522.5740817045 7078513.872172117, 325521.36408170447 7078518.862172117, 325521.363039953 7078518.866554363, 325520.3030952581 7078523.416316968, 325518.18315083726 7078532.476079445, 325518.1822379698 7078532.480053641, 325517.0823148075 7078537.359712761, 325513.9423920757 7078551.19937219, 325513.94212429406 7078551.200559168, 325512.0421242941 7078559.670559169, 325512.04181250004 7078559.671958504, 325510.15181250003 7078568.211958504, 325510.15053361695 7078568.2179085715, 325509.08053361694 7078573.347908571, 325506.97050577047 7078583.4780421695, 325506.9696361281 7078583.482310322, 325505.9496361281 7078588.602310322, 325505.9487532381 7078588.60685163, 325505.1088308828 7078593.036442146, 325504.2689092195 7078597.426032743, 325504.26806504495 7078597.430557281, 325503.46806504496 7078601.830557281, 325503.4679238039 7078601.831337622, 325502.66792380385 7078606.271337623, 325502.66720638145 7078606.275416021, 325501.97720638145 7078610.295416021, 325501.9767031616 7078610.298402026, 325501.31670316163 7078614.2884020265, 325501.3164736327 7078614.2898019655, 325500.6664736327 7078618.2898019655, 325500.66638556117 7078618.290345836, 325500.0063855612 7078622.380345836, 325500.00500593596 7078622.389424674, 325499.275005936 7078627.509424674, 325499.2746208725 7078627.512180239, 325498.5846208725 7078632.552180239, 325498.58448969026 7078632.553145435, 325497.90448969026 7078637.593145435, 325497.9043355642 7078637.5942978915, 325495.86433556414 7078652.984297891, 325495.86394927686 7078652.9872809425, 325495.2039492769 7078658.207280942, 325495.203178083 7078658.213715164, 325494.6832954761 7078662.802678945, 325494.1534357602 7078667.311485207, 325493.61345442827 7078671.881327219, 325493.61224215233 7078671.892701743, 325493.19224215235 7078676.312701743, 325493.1917825972 7078676.317816834, 325492.8217825972 7078680.687816834, 325492.11208414857 7078689.084249123, 325491.7124993725 7078693.110065741, 325491.30255508906 7078697.14951673, 325491.30134618736 7078697.163334278, 325491.0013461874 7078701.243334278, 325491.0010569895 7078701.247505813, 325490.6910569895 7078706.007505813, 325490.08103625267 7078715.467825805, 325490.080780167 7078715.472079428, 325489.830780167 7078719.942079428, 325489.0907686715 7078733.272285732, 325489.0904233372 7078733.279429196, 325488.88042333716 7078738.379429197, 325488.8802819482 7078738.383211054, 325488.7102819482 7078743.4432110535, 325488.5402743125 7078748.57343989, 325488.54012588446 7078748.57878088, 325488.4501258845 7078752.58878088, 325488.280115143 7078760.509270147, 325488.28003925394 7078760.513734828, 325488.2300392539 7078764.503734828, 325488.2300094866 7078764.506919976, 325488.20000948664 7078769.376919976, 325488.2000055624 7078769.377641535, 325488.1300055624 7078784.217641535, 325488.09000368405 7078794.638080628, 325488.09010552114 7078794.650271804, 325488.1801018692 7078799.03009408, 325488.3500699728 7078807.598486124, 325488.42004978604 7078812.557055749, 325488.420061263 7078812.557826829, 325488.50006126304 7078817.6678268295, 325488.5002789741 7078817.676700189, 325488.63027897413 7078821.566700188, 325488.63033899013 7078821.568408564, 325488.77033899014 7078825.368408564, 325488.7704403075 7078825.370978884, 325488.9304403075 7078829.180978885, 325488.93046861567 7078829.181642461, 325489.30046861566 7078837.721642461, 325489.4904828922 7078842.041969502, 325489.4907655741 7078842.047658416, 325489.6907655741 7078845.657658417, 325490.3107923275 7078856.658137159, 325490.31111310306 7078856.663344625, 325490.57111310307 7078860.553344625, 325491.08112789976 7078868.133565273, 325491.08125003893 7078868.135333784, 325491.34125003894 7078871.805333784, 325491.34143328585 7078871.80783162, 325491.6214332858 7078875.49783162, 325491.62170530146 7078875.50126007, 325492.01170530147 7078880.21126007, 325492.0118266755 7078880.212700571, 325492.5818266755 7078886.862700571, 325493.5781733245 7078886.777299429, 325493.0082350518 7078880.128019581, 325492.6184366019 7078875.420453685, 325492.3386614659 7078871.733417071, 325492.0788125983 7078868.065550364, 325491.5688795204 7078860.48654501, 325491.3090608696 7078856.599258274, 325490.6892211642 7078845.60210221, 325490.489391969 7078841.9951852355, 325490.29952429916 7078837.678194007, 325489.9295457578 7078829.138689295, 325489.76961365726 7078825.33030615, 325489.62969247793 7078821.532445569, 325489.49986926303 7078817.647735523, 325489.4199447732 7078812.542558734, 325489.3499502139 7078807.582944251, 325489.3499016559 7078807.580083631, 325489.17990165594 7078799.010083631, 325489.090019718 7078794.635823162, 325489.1299954731 7078784.222138943, 325489.1999927358 7078769.3827192485, 325489.2299807025 7078764.514672645, 325489.2799327698 7078760.528497683, 325489.4498796064 7078752.61097447, 325489.53981417033 7078748.60389001, 325489.70972189313 7078743.476674612, 325489.8796545137 7078738.418680141, 325490.0894295407 7078733.324143771, 325490.82922560384 7078719.99781739, 325491.07910085336 7078715.530047929, 325491.68895343464 7078706.072334127, 325491.99880713306 7078701.314580564, 325492.2981451979 7078697.243582881, 325492.70744491095 7078693.210483271, 325492.7075551321 7078693.209385125, 325493.10755513207 7078689.179385125, 325493.1082234449 7078689.172111743, 325493.81822043745 7078680.772147325, 325494.18800075946 7078676.4047419, 325494.60721677024 7078671.992992453, 325495.14654557174 7078667.428672781, 325495.6765828139 7078662.918356739, 325495.676821917 7078662.916284836, 325496.1964571671 7078658.3295044545, 325496.85586206644 7078653.11421116, 325498.89558804577 7078637.726278405, 325499.57544519077 7078632.687337212, 325500.2651904275 7078627.6491980925, 325500.99434593937 7078622.535121077, 325501.65357055445 7078618.449926114, 325502.3034125925 7078614.450898187, 325502.96304975095 7078610.463091729, 325503.6524433516 7078606.4466246655, 325504.45200588886 7078602.009052583, 325505.2515232803 7078597.611706929, 325506.0910907805 7078593.223967256, 325506.0912467619 7078593.22314837, 325506.9308158205 7078588.795421073, 325507.94993834826 7078583.67982564, 325510.0594803119 7078573.5520246485, 325511.12884504755 7078568.425070356, 325513.0180326038 7078559.888741397, 325514.9177425356 7078551.4200344905, 325518.0576079243 7078537.580627809, 325518.05776203016 7078537.579946359, 325519.1573136969 7078532.701935328, 325521.2768491627 7078523.643920555, 325522.33644904505 7078519.09563909, 325523.5455849058 7078514.109202771, 325524.7745824926 7078509.163236873, 325526.0538920859 7078504.245890624, 325529.23390932614 7078492.0158243375, 325529.23417471733 7078492.014799211, 325530.31151323125 7078487.835124792, 325533.048256513 7078478.825845812, 325537.1380529602 7078465.46651072, 325541.41788343026 7078451.517063276, 325542.87639903644 7078446.791872305, 325544.3843925312 7078442.20797155, 325545.9038137389 7078437.699688887, 325547.4334173364 7078433.150868103, 325549.0324274481 7078428.493751152, 325550.6517303568 7078423.865743456, 325552.28130781365 7078419.246941093, 325553.93067699013 7078414.608715046, 325555.48023356276 7078410.319942338, 325557.01950786187 7078406.061949796, 325561.74854035466 7078393.31455777, 325563.36652552587 7078388.989943084, 325566.6946404897 7078380.614686809, 325568.3443544928 7078376.465406135, 325570.00267400686 7078372.329597225, 325571.750066853 7078368.1558246, 325577.3388900409 7078355.23854453, 325579.1973788087 7078350.9320469145, 325584.8956153219 7078338.325948242, 325584.8959203137 7078338.325272179, 325586.7952314952 7078334.106802082, 325593.17453241145 7078320.188327355, 325595.2929414265 7078315.561802089, 325597.50939349376 7078310.919233571, 325602.0475079433 7078301.813017131, 325604.2976090079 7078297.292814218, 325604.2985793538 7078297.290854168, 325606.54752700485 7078292.722991605, 325608.9264543325 7078288.005118922, 325611.2858741159 7078283.316272361, 325613.6746182564 7078278.648726279, 325616.0939610792 7078273.969997184, 325618.0027243213 7078270.292380047, 325621.8816438762 7078262.984415628, 325621.8819331846 7078262.983869751, 325623.3319331846 7078260.243869751, 325623.3334343761 7078260.241010723, 325625.9389437772 7078255.239630608, 325628.73363285296 7078250.348924725, 325646.03296036855 7078220.350090883, 325663.32982138556 7078190.455516063, 325684.0067436613 7078156.590556803, 325684.0095617777 7078156.585884113, 325701.40956177766 7078127.375884113, 325701.4143972076 7078127.367586482, 325711.35217419424 7078109.931486819, 325738.83988149144 7078063.655346634, 325738.84053851647 7078063.654237263, 325780.53053851647 7077993.054237262, 325780.5308775383 7077993.053662269, 325822.0406441271 7077922.5440587485, 325849.56040987314 7077875.994454988, 325849.56427868886 7077875.987794311, 325882.54427868885 7077818.187794311, 325882.54468227347 7077818.1870856555, 325890.93423615105 7077803.42787049, 325903.3024527348 7077781.850981737, 325908.97109337844 7077772.20329528, 325908.97134898504 7077772.20285975, 325910.66927956935 7077769.30638993, 325912.5471526569 7077766.219885759, 325912.54793833126 7077766.218589993, 325916.22775902925 7077760.128886718, 325917.9975792461 7077757.20918331, 325918.0034346425 7077757.199267749, 325920.913055824 7077752.139926449, 325922.41172194685 7077749.552229611, 325923.9607564375 7077746.923867863, 325923.9644087296 7077746.917566265, 325927.1443616581 7077741.337648862, 325928.72182367294 7077738.572098368, 325930.52924564795 7077735.546414067, 325930.52986897336 7077735.545367707, 325932.3298689734 7077732.515367706, 325932.33255227964 7077732.510795784, 325934.11153147055 7077729.442556393, 325935.6394432734 7077726.856091315, 325938.70837545104 7077721.757865222, 325938.7088965637 7077721.756997544, 325940.21889656363 7077719.236997545, 325940.2206909783 7077719.233978899, 325943.77069097833 7077713.213978899, 325943.7710750064 7077713.213326546, 325945.57920337265 7077710.1365114255, 325947.4672848831 7077707.029668305, 325947.47028208285 7077707.024671021, 325951.11028208287 7077700.8746710215, 325951.1106640761 7077700.874024514, 325952.6195655109 7077698.315886982, 325954.1579915725 7077695.758503399, 325955.6675297137 7077693.269265007, 325955.6739592353 7077693.258353341, 325960.3838114591 7077685.0286115585, 325964.7333228401 7077677.44946299, 325966.2204968069 7077674.87435639, 325970.967740939 7077667.018916626, 325972.5075536902 7077664.479225465, 325972.51278367423 7077664.470396268, 325974.13241991756 7077661.671024984, 325975.79205430904 7077658.821652685, 325975.7937477624 7077658.818722493, 325977.4337477624 7077655.958722493, 325977.43421400065 7077655.957907648, 325979.08339148876 7077653.069348291, 325980.57053037075 7077650.504283238, 325985.0984449421 7077642.977749745, 325985.0988855282 7077642.97701596, 325986.7288855282 7077640.25701596, 325986.7339279371 7077640.248408022, 325988.31382852513 7077637.488581679, 325989.8737285132 7077634.768756058, 325989.8755338895 7077634.765581414, 325991.6855338895 7077631.555581414, 325991.68609249825 7077631.554588088, 325995.32609249826 7077625.064588089, 325995.3264776382 7077625.063900126, 326000.5064776382 7077615.793900126, 326004.16648008703 7077609.243895743, 326004.1672660146 7077609.242483881, 326005.99630508467 7077605.944216706, 326007.86533040093 7077602.635941948, 326007.86575217586 7077602.635193884, 326009.7057521759 7077599.365193885, 326009.7084800329 7077599.360281628, 326013.2484800329 7077592.900281628, 326013.24962223106 7077592.89818542, 326014.99962223106 7077589.668185419, 326015.00084953214 7077589.665906104, 326016.6007893611 7077586.676018549, 326019.8207290828 7077580.666131056, 326019.82203868555 7077580.663670281, 326021.39128396346 7077577.695098004, 326024.59023698414 7077571.737048003, 326026.20995269885 7077568.737574457, 326026.2122408928 7077568.7332873605, 326030.6217109454 7077560.374291977, 326031.8211764706 7077558.125294117, 326031.82401000115 7077558.1199024115, 326034.44384816714 7077553.060214962, 326035.90368593123 7077550.25052721, 326035.90549121 7077550.247018902, 326040.15549121 7077541.907018902, 326042.99525790295 7077536.327477439, 326044.3949087314 7077533.598158324, 326044.3981871821 7077533.5916489335, 326045.75770250754 7077530.842628974, 326047.1470522664 7077528.063929456, 326048.5368904653 7077525.294251895, 326048.53972057684 7077525.288520944, 326051.4694328122 7077519.259113169, 326053.04914339806 7077516.029704819, 326053.0516387521 7077516.024528407, 326054.5716387521 7077512.824528407, 326054.57296570594 7077512.821712232, 326055.8629657059 7077510.0617122315, 326055.86532186606 7077510.0565962205, 326058.4153218661 7077504.436596221, 326058.41562642145 7077504.435923685, 326059.6853793786 7077501.626470291, 326062.4051310949 7077495.647016151, 326063.885278845 7077492.386691009, 326063.88730733504 7077492.382163303, 326065.33730733505 7077489.102163304, 326065.3412326997 7077489.093039884, 326067.9612326997 7077482.8330398835, 326067.9616735848 7077482.831983075, 326069.2204831385 7077479.8048458155, 326070.51925729704 7077476.787693539, 326071.79941288295 7077473.807331708, 326071.80360686756 7077473.797266315, 326074.47360686754 7077467.187266314, 326074.47419033427 7077467.185815321, 326077.14419033425 7077460.515815321, 326079.9042848255 7077453.605579138, 326081.28423834546 7077450.155695338, 326081.287565145 7077450.147152011, 326083.727565145 7077443.707152012, 326083.7279738995 7077443.706069388, 326084.8679738995 7077440.676069388, 326084.8702629918 7077440.66986088, 326085.95026299177 7077437.67986088, 326085.9519551719 7077437.675100925, 326086.9419551719 7077434.845100925, 326086.9422483983 7077434.844260313, 326088.9422483983 7077429.094260313, 326088.94247318426 7077429.093612622, 326089.9224731843 7077426.263612621, 326089.9242071415 7077426.258516834, 326091.1041744657 7077422.7286145855, 326093.4941420532 7077415.588711415, 326093.49434164906 7077415.588113883, 326094.67434164905 7077412.048113883, 326094.67462679325 7077412.047255865, 326095.7746267932 7077408.727255866, 326095.77717667713 7077408.719339944, 326097.87717667717 7077402.009339944, 326097.8780161424 7077402.006630719, 326098.8780161424 7077398.746630718, 326098.8814669454 7077398.734868753, 326099.8114669454 7077395.414868753, 326099.81267214374 7077395.4104898535, 326100.7425915009 7077391.9707881445, 326101.6822181173 7077388.512162514, 326102.6213503523 7077385.115301239, 326103.5807619738 7077381.757360564, 326103.5835187333 7077381.747317063, 326105.3634518041 7077374.987571244, 326106.2333846682 7077371.697825125, 326106.23587685195 7077371.687998665, 326107.08571245475 7077368.188675594, 326107.965546156 7077364.609352128, 326107.967804878 7077364.599756097, 326108.77770613553 7077361.000194953, 326109.5876066465 7077357.430633442, 326109.58847270557 7077357.42674463, 326111.4284668772 7077349.006771301, 326112.03846142744 7077346.216796227, 326112.04056584433 7077346.206670328, 326112.7103748795 7077342.807639403, 326114.78018009925 7077332.518607658, 326114.7804019567 7077332.517498312, 326115.45040195674 7077329.1474983115, 326115.45258253475 7077329.1358047, 326115.99258253473 7077326.0358047, 326115.9928135929 7077326.034467525, 326117.62275785673 7077316.524792709, 326118.142701678 7077313.515117898, 326118.143566667 7077313.509949641, 326119.12356666697 7077307.4599496415, 326119.5936033456 7077304.549722877, 326119.59563473676 7077304.535925774, 326120.42556745897 7077298.296431574, 326121.2454991427 7077292.226937281, 326120.2545008573 7077292.093062719, 326119.4345008573 7077298.16306272))</t>
  </si>
  <si>
    <t>['EV6 S102D1 m7080-7197']</t>
  </si>
  <si>
    <t>LINESTRING Z (397378.9 7181390.37 144.48, 397381.75 7181395.28 144.41, 397395.26 7181419.39 144.27, 397402.62 7181433.38 144.09, 397411.48 7181451.38 143.97, 397416.29000000004 7181461.93 143.97, 397420.35 7181470.83 143.97, 397424.49 7181480.36 143.85, 397429.76 7181492.12 143.73, 397430.91000000003 7181494.88 143.6, 397430.99 7181495.08 143.59)</t>
  </si>
  <si>
    <t>POLYGON ((397381.3156651847 7181395.527724935, 397394.820578891 7181419.628647914, 397402.1743690197 7181433.606844096, 397411.02812719217 7181451.594163182, 397415.83505334804 7181462.137421175, 397419.8932128539 7181471.033386621, 397424.0314037899 7181480.559222278, 397424.0337203713 7181480.564472249, 397429.3010103429 7181492.318424823, 397430.4470879765 7181495.069011143, 397430.5257616544 7181495.265695338, 397431.45423834556 7181494.894304662, 397431.3742383456 7181494.694304662, 397431.37153846154 7181494.687692308, 397430.2215384615 7181491.927692308, 397430.2162796287 7181491.915527752, 397424.94745298236 7181480.15814609, 397420.8085962101 7181470.630777722, 397420.8049027523 7181470.622482565, 397416.7449252362 7181461.722531852, 397411.934946652 7181451.172578825, 397411.92860053055 7181451.15918885, 397403.06860053056 7181433.15918885, 397403.06250027096 7181433.147205004, 397395.70250027097 7181419.157205003, 397395.69618820667 7181419.145582635, 397382.18618820666 7181395.035582636, 397382.1824314792 7181395.028995985, 397379.33243147924 7181390.118995985, 397378.4675685208 7181390.621004015, 397381.3156651847 7181395.527724935))</t>
  </si>
  <si>
    <t>['EV6 S89D1 m1409-1542']</t>
  </si>
  <si>
    <t>LINESTRING Z (325332.76 7099937.63 26.34, 325333.55 7099938.4 26.310000000000002, 325340.79 7099945.3 25.96, 325348.11 7099952.13 25.62, 325355.5 7099958.87 25.27, 325362.96 7099965.52 24.93, 325370.49 7099972.1 24.59, 325378.09 7099978.6 24.240000000000002, 325385.77 7099985 23.900000000000002, 325393.51 7099991.34 23.55, 325401.31 7099997.58 23.21, 325409.2 7100003.73 22.87, 325417.14 7100009.82 22.52, 325424.35 7100015.2 22.21, 325433.22 7100021.69 21.830000000000002, 325434.7 7100022.75 21.76)</t>
  </si>
  <si>
    <t>POLYGON ((325333.20100802503 7099938.758056702, 325333.20504760015 7099938.761950055, 325340.44504760014 7099945.661950055, 325340.4488942609 7099945.665577454, 325347.7688942609 7099952.495577454, 325347.7730668746 7099952.499426676, 325355.1630668746 7099959.239426676, 325355.16729049344 7099959.243235026, 325362.62729049346 7099965.893235025, 325362.6309955584 7099965.896505082, 325370.16099555837 7099972.476505082, 325370.16501624876 7099972.4799810015, 325377.7650162488 7099978.9799810015, 325377.7699078002 7099978.984110639, 325385.4499078002 7099985.38411064, 325385.4531634455 7099985.386800462, 325393.1931634455 7099991.726800462, 325393.1976524762 7099991.730434405, 325400.9976524762 7099997.970434405, 325401.00261463335 7099997.9743529335, 325408.89261463337 7100004.124352934, 325408.8957003154 7100004.126738834, 325416.8357003154 7100010.216738834, 325416.8409791067 7100010.220732462, 325424.0509791067 7100015.600732462, 325424.0547522295 7100015.603520451, 325432.9247522295 7100022.093520451, 325432.9288615152 7100022.096495244, 325434.4088615152 7100023.156495243, 325434.9911384848 7100022.343504757, 325433.5132006849 7100021.284981738, 325424.6471408645 7100014.797864688, 325417.4416735087 7100009.421246883, 325409.5058471235 7100003.334448056, 325401.6198788588 7099997.187590663, 325393.8246025236 7099990.951369595, 325386.08847006067 7099984.614537577, 325378.41255121294 7099978.217938538, 325370.8170032919 7099971.721746236, 325363.29086507217 7099965.145120807, 325355.8348321457 7099958.49865714, 325348.44903035363 7099951.762486087, 325341.13303868606 7099944.936226102, 325333.89698310476 7099938.039985286, 325333.10899197496 7099937.271943298, 325332.41100802505 7099937.988056702, 325333.20100802503 7099938.758056702))</t>
  </si>
  <si>
    <t>['EV6 S89D1 m3869 KD2 m44-54']</t>
  </si>
  <si>
    <t>LINESTRING Z (327309.74 7101453.51 12.56, 327312.65 7101456.57 12.25, 327316.39 7101460.39 11.86, 327316.67 7101460.68 11.84)</t>
  </si>
  <si>
    <t>POINT (327313.1932297404 7101457.106350275)</t>
  </si>
  <si>
    <t>['EV6 S89D130 m2246-2354']</t>
  </si>
  <si>
    <t>LINESTRING Z (327312.5 7101413.04 13.540000000000001, 327316.51 7101415.62 13.4, 327318.03 7101416.93 13.4, 327319.28 7101418.27 13.4, 327324.58 7101425.43 13.06, 327331.52 7101434 12.76, 327337.47 7101441.23 12.52, 327345.01 7101449.42 12.41, 327349.46 7101454.69 12.280000000000001, 327354.98 7101461.31 12.280000000000001, 327359.66 7101467.16 12.38, 327364.63 7101474.51 12.38, 327370.88 7101484.89 12.55, 327376.02 7101492.34 12.82, 327379.92 7101497.68 12.96)</t>
  </si>
  <si>
    <t>POLYGON ((327316.21006163716 7101416.021570905, 327317.6829544614 7101417.290971957, 327318.89501440705 7101418.590300219, 327324.1781219958 7101425.727479528, 327324.1914303641 7101425.744664325, 327331.1314303641 7101434.314664326, 327331.1339270059 7101434.317722589, 327337.0839270059 7101441.547722589, 327337.1021508886 7101441.568654738, 327344.63489172683 7101449.750769787, 327349.07697712065 7101455.011396759, 327354.59273515345 7101461.626309471, 327359.25703782926 7101467.456687816, 327364.20843809727 7101474.77918117, 327370.4516545838 7101485.147915111, 327370.4684470313 7101485.1739439275, 327375.6084470313 7101492.623943928, 327375.6162213306 7101492.634894534, 327379.51622133056 7101497.974894534, 327380.3237786694 7101497.385105466, 327376.42773935874 7101492.050528564, 327371.3003525146 7101484.618810277, 327365.0583454162 7101474.2520848885, 327365.04419554374 7101474.229924918, 327360.0741955437 7101466.8799249185, 327360.0504344047 7101466.847652476, 327355.3704344047 7101460.997652476, 327355.36401552707 7101460.989793699, 327349.8440155271 7101454.3697937, 327349.84202289855 7101454.367418995, 327345.39202289854 7101449.097418995, 327345.3778491114 7101449.081345262, 327337.8472516357 7101440.901558349, 327331.90732732206 7101433.683801577, 327324.9754106241 7101425.123783407, 327319.6818780042 7101417.972520472, 327319.645618355 7101417.928938101, 327318.395618355 7101416.588938101, 327318.35642051697 7101416.55125253, 327316.83642051695 7101415.24125253, 327316.78053776926 7101415.199513002, 327312.77053776925 7101412.619513002, 327312.22946223075 7101413.460486998, 327316.21006163716 7101416.021570905))</t>
  </si>
  <si>
    <t>['EV6 S90D1 m7666-7821', 'EV6 S91D1 m0-827']</t>
  </si>
  <si>
    <t>LINESTRING Z (329505.67 7108877.21 104.47, 329506.46 7108878.24 104.46000000000001, 329513.52 7108887.44 104.42, 329516.84 7108891.76 104.23, 329520.58 7108896.64 104.4, 329522.65 7108899.45 104.23, 329527.63 7108905.85 104.4, 329534.19 7108914.4 104.42, 329541.75 7108924.25 104.43, 329548.81 7108933.45 104.45, 329552.13 7108937.92 104.41, 329555.88 7108942.65 104.47, 329562.93 7108951.85 104.48, 329566.5 7108956.4 104.43, 329567.66 7108958.04 104.43, 329574.73 7108967.3 104.16, 329581.79 7108976.57 103.86, 329588.86 7108985.84 103.56, 329593.55 7108992.04 103.33, 329599.59 7108999.87 104.53, 329600.5 7109001.1 104.53, 329601.37 7109002.39 103.39, 329605 7109007.1 104.53, 329608.21 7109011.33 102.96000000000001, 329614.69 7109019.89 102.34, 329617.02 7109023 102.10000000000001, 329624.12 7109032.16 101.57000000000001, 329631.97 7109042.69 100.82000000000001, 329635.95 7109047.87 100.4, 329643.71 7109058.36 99.52, 329650.46 7109067.58 98.76, 329659.32 7109080.08 97.71000000000001, 329667.49 7109091.71 96.86, 329673.89 7109101.16 96.2, 329675.11 7109102.95 96.13, 329690.5 7109126 94.13, 329700.28 7109143.07 92.93, 329703.39 7109148.98 92.33, 329706.84 7109155.88 92.2, 329710.98 7109164.9 92.03, 329713.51 7109170.75 91.83, 329719.2 7109184.66 91.23, 329727.4 7109209.9 90.43, 329731.59 7109223.53 89.99, 329737.9 7109247.49 89.23, 329745.61 7109275.79 88.33, 329746.96 7109281.29 88.15, 329748.57 7109287.89 87.93, 329752.6 7109302.11 87.61, 329757.97 7109318.79 87.23, 329763.87 7109336.05 86.92, 329767.7 7109346.32 86.73, 329770.39 7109353.51 86.65, 329775.11 7109364.02 86.53, 329784.6 7109384.51 86.33, 329809.47 7109443.52 86.13, 329815.02 7109458.09 86.08, 329820.37 7109473.35 86.03, 329825.45 7109488.01 85.97, 329830.17 7109503.7 85.93, 329833.54 7109515.59 86.09, 329834.36 7109519.14 86.06, 329836.82 7109529.64 85.96000000000001, 329837.54 7109532.89 85.96000000000001, 329839.69 7109542.48 85.94, 329840.52 7109546.52 85.93, 329841.02 7109548.97 85.79, 329841.37 7109550.69 85.92, 329841.92 7109554 85.87, 329843.11 7109561.14 85.76, 329843.99 7109565.92 85.71000000000001, 329844.33 7109569.16 85.67, 329844.85 7109573.32 85.67, 329846.4 7109585.56 85.69, 329846.91 7109589.65 85.69, 329847.33 7109593.76 85.68, 329847.64 7109597.52 85.66, 329848.6 7109608.71 85.61, 329849.65 7109620.92 85.61, 329850.33 7109629.04 85.61, 329850.65 7109633.1 85.61, 329851.61 7109645.29 85.61, 329851.95 7109649.34 85.59, 329852.97 7109661.52 85.53, 329853.66 7109669.64 85.5, 329854.07 7109673.62 85.47, 329854.53 7109677.31 85.45, 329855.43 7109684.86 85.41, 329856.3 7109692.41 85.4, 329856.83 7109696.12 85.36, 329857.35 7109699.57 85.31, 329858.89 7109709.95 85.12, 329859.54 7109713.4 85.09, 329861.55 7109723.99 84.9, 329862.21 7109727.52 84.85000000000001, 329862.94 7109731.01 84.78, 329863.75 7109734.82 84.66, 329865.61 7109743.59 84.41, 329866.44 7109746.85 84.36, 329867.5 7109750.6 83.43, 329868.24 7109753.66 84.25, 329869.17 7109757.06 84.16, 329871.13 7109764.32 84.03, 329871.47 7109765.39 84.01)</t>
  </si>
  <si>
    <t>POLYGON ((329506.0632588239 7108878.544296631, 329513.12333565153 7108887.744396772, 329516.4433477931 7108892.064412775, 329520.18025417614 7108896.940376185, 329522.2474360761 7108899.7465506485, 329522.25539030123 7108899.757055672, 329527.2343449985 7108906.15571231, 329533.7933088605 7108914.704361857, 329541.3533484155 7108924.554413405, 329548.4109449724 7108933.751281439, 329551.7286035141 7108938.218128934, 329551.738195541 7108938.230627214, 329555.4856346579 7108942.957397087, 329562.5331273978 7108952.154125201, 329562.53663092095 7108952.158643431, 329566.098964259 7108956.698872196, 329567.25179218024 7108958.32873236, 329567.26258974755 7108958.343422298, 329574.3324071744 7108967.603183171, 329581.39222504635 7108976.872944032, 329588.46183353197 7108986.14243088, 329593.15123826376 7108992.341643958, 329593.1541018858 7108992.3453926705, 329599.1910346 7109000.171416371, 329600.0915616611 7109001.388612289, 329600.95546393556 7109002.669570833, 329600.9739694925 7109002.695220964, 329604.60282983363 7109007.403742233, 329607.81152323337 7109011.632020452, 329614.2905929888 7109020.19079161, 329616.6198456526 7109023.299794093, 329616.6248133639 7109023.3063127855, 329623.7219384682 7109032.462603766, 329631.5691337015 7109042.988841448, 329631.573517344 7109042.994633392, 329635.5507412333 7109048.171020263, 329643.3072937874 7109058.656359992, 329650.0542954823 7109067.872264529, 329658.911468907 7109080.368276697, 329667.0784057776 7109091.99391633, 329673.47600784793 7109101.440375637, 329673.47683750186 7109101.4415967865, 329674.6954939188 7109103.2296254635, 329690.07466712286 7109126.263409892, 329699.84170144686 7109143.310779617, 329702.9451075902 7109149.208249169, 329706.3890573013 7109156.0961485915, 329710.5232732822 7109165.103546695, 329713.0491045975 7109170.943907641, 329718.7301980303 7109184.832134293, 329726.9232394082 7109210.050715315, 329731.1090799855 7109223.667184782, 329737.4164862656 7109247.617336046, 329737.41758270253 7109247.621428883, 329745.1259208995 7109275.915329139, 329746.47432867554 7109281.4088423, 329748.0842439634 7109288.008495033, 329748.08894551056 7109288.026332601, 329752.11894551053 7109302.246332602, 329752.12405702285 7109302.263226246, 329757.49405702285 7109318.943226246, 329757.4968782556 7109318.951727595, 329763.39687825565 7109336.211727595, 329763.4015174912 7109336.224711588, 329767.2315174912 7109346.494711588, 329767.2317017146 7109346.495204783, 329769.92170171463 7109353.6852047825, 329769.93388509174 7109353.714839426, 329774.6538850917 7109364.224839426, 329774.6562993812 7109364.2301326925, 329784.1426348791 7109384.712220612, 329809.00585834327 7109443.706141666, 329814.5503703467 7109458.261734439, 329819.8978575655 7109473.514567141, 329824.9741749877 7109488.16393986, 329829.6900417726 7109503.840200423, 329833.05559539614 7109515.714512762, 329833.8728275414 7109519.252529976, 329833.8731821896 7109519.254054458, 329836.33249114384 7109529.751104873, 329837.0518358891 7109532.998147125, 329837.05211082805 7109532.999380784, 329839.2011308069 7109542.585009434, 329840.03016340674 7109546.620300642, 329840.53006948985 7109549.06984045, 329840.87824186264 7109550.780858968, 329841.42676282313 7109554.081957839, 329842.61680303805 7109561.222199493, 329842.6182637619 7109561.230528846, 329843.4947537306 7109565.991462994, 329843.8327304797 7109569.212182604, 329843.83386106166 7109569.222017367, 329844.3538610616 7109573.3820173675, 329844.3539614598 7109573.382815339, 329845.9039014886 7109585.622341758, 329846.41315510764 7109589.7063560765, 329846.83209288714 7109593.80596149, 329847.1416907543 7109597.561084007, 329847.1418299239 7109597.562738451, 329848.10182992386 7109608.752738452, 329849.1517907219 7109620.962282709, 329849.83164199145 7109629.080506693, 329850.15154455544 7109633.139270472, 329851.11154333653 7109645.329254996, 329851.11175266776 7109645.331828171, 329851.4517483553 7109649.381776802, 329852.47174408956 7109661.561725864, 329852.47179548553 7109661.562335112, 329853.16179548553 7109669.682335112, 329853.1626320958 7109669.691236392, 329853.57263209583 7109673.671236392, 329853.573840403 7109673.681851874, 329854.0336741436 7109677.370518184, 329854.93339907116 7109684.918210633, 329855.80328689376 7109692.467237139, 329855.80502525315 7109692.480710679, 329856.3350252532 7109696.190710679, 329856.335584506 7109696.194520596, 329856.85549841094 7109699.643949389, 329858.39541362936 7109710.023377939, 329858.3986447108 7109710.042574185, 329859.04864471074 7109713.492574185, 329859.0487699199 7109713.493236304, 329861.05864237883 7109724.082564334, 329861.7185166855 7109727.611892064, 329861.7205916128 7109727.622369089, 329862.4505916128 7109731.112369089, 329862.45093036385 7109731.113975435, 329863.2609049318 7109734.92385581, 329865.1208795071 7109743.693735931, 329865.125457874 7109743.713365019, 329865.955457874 7109746.973365019, 329865.95885259885 7109746.986004332, 329867.01625425246 7109750.726812069, 329867.75400890585 7109753.777527258, 329867.7577164263 7109753.7919187425, 329868.6874979573 7109757.191120038, 329870.6472821124 7109764.450320532, 329870.6534786571 7109764.471417997, 329870.9934786571 7109765.541417996, 329871.94652134285 7109765.238582003, 329871.60985162325 7109764.179062592, 329869.6527178876 7109756.929679468, 329869.6522835737 7109756.928081257, 329868.7242442829 7109753.535249442, 329867.98599109414 7109750.482472742, 329867.98114740115 7109750.463995667, 329866.9229274759 7109746.720293101, 329866.0970291716 7109743.476403376, 329864.2391204929 7109734.716264069, 329863.42924032663 7109730.906827442, 329862.70050180424 7109727.422858342, 329862.04148331453 7109723.898107936, 329862.04123008007 7109723.896763696, 329860.0312929092 7109713.307094721, 329859.383157705 7109709.866992484, 329857.84458637063 7109699.496622061, 329857.844415494 7109699.495479404, 329857.3247024572 7109696.0473832935, 329856.795935455 7109692.346014279, 329855.9267131062 7109684.802762861, 329855.9264849417 7109684.800816365, 329855.0264849417 7109677.250816364, 329855.02615959704 7109677.248148126, 329854.5668204616 7109673.56344941, 329854.1578260019 7109669.593210507, 329853.4682304035 7109661.477969552, 329852.4482559104 7109649.298274135, 329852.1083553203 7109645.249458157, 329851.1484566635 7109633.060745004, 329850.82845413993 7109629.000712974, 329850.8282559104 7109628.998274135, 329850.14825591043 7109620.878274135, 329850.1481614026 7109620.877160567, 329849.0981657133 7109608.667210694, 329848.13824103615 7109597.478088676, 329847.82830924576 7109593.718915992, 329847.8274095829 7109593.709169824, 329847.40740958287 7109589.599169824, 329847.4061575789 7109589.58813194, 329846.896157579 7109585.498131939, 329846.8960385402 7109585.497184661, 329845.34608905535 7109573.25758357, 329844.82675291126 7109569.102894416, 329844.4872695203 7109565.867817396, 329844.48173623806 7109565.829471153, 329843.6025018203 7109561.053629656, 329842.41321712954 7109553.917921512, 329841.86323717685 7109550.608042161, 329841.8599588991 7109550.5902990615, 329841.5099588991 7109548.870299061, 329841.0099020294 7109546.420019994, 329841.0097707332 7109546.4193787845, 329840.1797707332 7109542.379378785, 329840.17788917193 7109542.370619216, 329838.0280274075 7109532.78123581, 329837.3081641109 7109529.531852874, 329837.3068178104 7109529.525945541, 329834.84699633037 7109519.026707517, 329834.0271724586 7109515.477470024, 329834.02105098125 7109515.45365502, 329830.65105098125 7109503.563655021, 329830.6488038168 7109503.555962141, 329825.92880381685 7109487.86596214, 329825.9224393716 7109487.846289767, 329820.84243937157 7109473.186289767, 329820.8418423437 7109473.184576898, 329815.4918423437 7109457.924576898, 329815.48724894755 7109457.912015672, 329809.9372489475 7109443.342015672, 329809.9307515222 7109443.3258144315, 329785.0607515222 7109384.315814432, 329785.05370061874 7109384.299867307, 329775.5649231589 7109363.812506911, 329770.8526816072 7109353.319782609, 329768.1683905188 7109346.145041745, 329764.3408916466 7109335.881748424, 329758.444570436 7109318.632510442, 329753.0786478431 7109301.965175461, 329749.05356981355 7109287.76254281, 329747.4457560366 7109281.171504967, 329747.4455861453 7109281.170810673, 329746.09558614524 7109275.670810673, 329746.0924172975 7109275.658571118, 329738.3829741823 7109247.360615196, 329732.07351373445 7109223.4026639545, 329732.0679273959 7109223.383080279, 329727.8779273959 7109209.75308028, 329727.8755336462 7109209.745508087, 329719.6755336462 7109184.505508087, 329719.6627787775 7109184.470696532, 329713.9727787775 7109170.560696532, 329713.9689207935 7109170.551526563, 329711.4389207935 7109164.701526564, 329711.4344210351 7109164.691429813, 329707.29442103516 7109155.671429813, 329707.2872135955 7109155.656393202, 329703.8372135955 7109148.756393203, 329703.8324753507 7109148.747157642, 329700.7224753507 7109142.837157642, 329700.71383976785 7109142.821438025, 329690.9338397678 7109125.751438024, 329690.9158307641 7109125.722358548, 329675.5258307641 7109102.672358548, 329675.52316249814 7109102.668403214, 329674.3035782104 7109100.879013152, 329667.9039921521 7109091.429624363, 329667.89913609857 7109091.422584529, 329659.7291360986 7109079.792584529, 329659.7279224308 7109079.790864581, 329650.8679224308 7109067.290864581, 329650.8634388587 7109067.284640749, 329644.1134388587 7109058.064640749, 329644.1119685835 7109058.062642879, 329636.3519685835 7109047.572642879, 329636.34648265596 7109047.565366608, 329632.36869551474 7109042.388246661, 329624.52086629847 7109031.861158553, 329624.5151866361 7109031.853687215, 329617.41769720154 7109022.696926197, 329615.0901543474 7109019.590205907, 329615.08865473396 7109019.5882146405, 329608.608654734 7109011.028214641, 329608.6082987281 7109011.027744937, 329605.3982987281 7109006.797744936, 329605.3960305075 7109006.794779035, 329601.77568912966 7109002.097311297, 329600.91453606443 7109000.820429166, 329600.90195219894 7109000.80262073, 329599.99195219897 7108999.572620731, 329599.9858981142 7108999.56460733, 329593.9473387599 7108991.736474922, 329589.2587617362 7108985.538356042, 329589.2575681366 7108985.536784603, 329582.18767158274 7108976.26692024, 329575.1277749536 7108966.997055968, 329575.1274102524 7108966.9965777015, 329568.06294296763 7108957.743824229, 329566.90820781974 7108956.11126764, 329566.89336907904 7108956.091356569, 329563.3251337634 7108951.543605676, 329556.2768726022 7108942.345874799, 329556.271804459 7108942.339372787, 329552.5266989392 7108937.615546357, 329549.2113964859 7108933.151871067, 329549.2066643485 7108933.145603228, 329542.1466643485 7108923.945603228, 329534.5866648972 7108914.095603941, 329528.0266911395 7108905.545638143, 329528.0246096988 7108905.542944328, 329523.0486560264 7108899.148144429, 329520.9825639239 7108896.343449351, 329520.976855531 7108896.335852523, 329517.236855531 7108891.455852523, 329517.2364484165 7108891.4553220505, 329513.9165567452 7108887.135463009, 329506.85670295905 7108877.935653542, 329506.0667411761 7108876.9057033695, 329505.27325882384 7108877.51429663, 329506.0632588239 7108878.544296631))</t>
  </si>
  <si>
    <t>['FV63 S11D1 m2496-2556']</t>
  </si>
  <si>
    <t>LINESTRING Z (116709.278038338 6939003.16328491 -999999, 116729.252135759 6939022.24964466 -999999, 116754.197564093 6939043.02270598 -999999)</t>
  </si>
  <si>
    <t>POLYGON ((116728.9067068733 6939022.611140006, 116728.93217807128 6939022.633867354, 116753.87760640528 6939043.406928673, 116754.51752178073 6939042.638483286, 116729.5852171884 6939021.876350634, 116709.6234672237 6939002.801789564, 116708.9326094523 6939003.524780256, 116728.9067068733 6939022.611140006))</t>
  </si>
  <si>
    <t>2022-03-31</t>
  </si>
  <si>
    <t>[64]</t>
  </si>
  <si>
    <t>['FV64 S3D1 m8711-9016']</t>
  </si>
  <si>
    <t>LINESTRING Z (116422.090195132 6970241.2693827 -999999, 116419.50044734 6970245.68718776 -999999, 116419.19577113 6970250.10499282 -999999, 116420.566814078 6970256.35085514 -999999, 116424.679942924 6970261.53035072 -999999, 116433.972567355 6970270.06128463 -999999, 116451.034435161 6970284.07639032 -999999, 116489.423637726 6970327.03573605 -999999, 116532.535321559 6970375.93626789 -999999, 116540.913917357 6970384.46720179 -999999, 116550.815894209 6970393.60748812 -999999, 116559.499166217 6970400.76737907 -999999, 116567.72542391 6970406.55622708 -999999, 116579.150781816 6970412.6497513 -999999, 116592.556535093 6970418.4385993 -999999, 116608.704374267 6970426.36018078 -999999, 116625.613903968 6970435.95748142 -999999)</t>
  </si>
  <si>
    <t>POLYGON ((116419.06909835488 6970245.43432801, 116419.04763458128 6970245.4751486, 116419.0300233641 6970245.517773231, 116419.01641454067 6970245.561839249, 116419.00692389559 6970245.606971741, 116419.00163217579 6970245.652786714, 116418.69695596579 6970250.070591774, 116418.69594173612 6970250.118053333, 116418.69943322502 6970250.165397158, 116418.70739895842 6970250.212196467, 116420.07844190641 6970256.4580587875, 116420.09020646899 6970256.502001384, 116420.10591611614 6970256.544692879, 116420.12544081244 6970256.585779895, 116420.14861894365 6970256.624922339, 116420.17525865437 6970256.661796212, 116424.28838750038 6970261.841291792, 116424.31397088768 6970261.871033077, 116424.34180727752 6970261.898677048, 116433.63443170852 6970270.429610958, 116433.65519764341 6970270.447647757, 116450.68728615057 6970284.438291881, 116489.04969186622 6970327.367650661, 116532.16026627448 6970376.2669241065, 116532.17859747876 6970376.2866218975, 116540.55719327676 6970384.817555797, 116540.57477730553 6970384.834603512, 116550.47675415753 6970393.974889842, 116550.49780341773 6970393.993257803, 116559.18107542575 6970401.153148753, 116559.2114195138 6970401.176282279, 116567.43767720679 6970406.965130289, 116567.49012979223 6970406.99740355, 116578.91548769824 6970413.09092777, 116578.95256380804 6970413.108782477, 116592.34719706773 6970418.892828651, 116608.47065524221 6970426.802449641, 116625.3671012083 6970436.392324377, 116625.86070672769 6970435.5226384625, 116608.9511770267 6970425.925337823, 116608.92458676381 6970425.911286076, 116592.7767475898 6970417.989704595, 116592.75475310096 6970417.979568123, 116579.3679055618 6970412.198883965, 116567.98794000174 6970406.129568995, 116559.80252663187 6970400.369463287, 116551.14476629948 6970393.23060828, 116541.26205824845 6970384.108108535, 116532.90147635042 6970375.595516061, 116489.79869301051 6970326.705079834, 116489.79646577631 6970326.7025705585, 116451.40726321131 6970283.7432248285, 116451.38055758836 6970283.715558968, 116451.35180487258 6970283.690027193, 116434.30056818147 6970269.683654204, 116425.04704494115 6970261.188616469, 116421.03036444019 6970256.1305743605, 116419.69952086882 6970250.067842534, 116419.99118306163 6970245.838740724, 116422.52154411712 6970241.52224245, 116421.65884614688 6970241.0165229505, 116419.06909835488 6970245.43432801))</t>
  </si>
  <si>
    <t>['EV14 S4D1 m2322-2396']</t>
  </si>
  <si>
    <t>LINESTRING Z (316003.76 7042050.03 42.39, 316006.95 7042050.9 42.31, 316011.73 7042052.27 42.13, 316016.45 7042053.67 41.97, 316021.18 7042055.07 41.78, 316026.55 7042056.64 41.46, 316042.63 7042061.35 40.72, 316051.94 7042064.1 40.27, 316065.92 7042068.22 39.59, 316074.61 7042070.79 39.14)</t>
  </si>
  <si>
    <t>POLYGON ((316006.81533565244 7042051.381534917, 316011.5900262405 7042052.750013181, 316016.3078175263 7042054.149358055, 316021.0380938869 7042055.54943994, 316021.03969117085 7042055.549909817, 316026.4095707062 7042057.119874597, 316042.48890422855 7042061.829679378, 316051.79835922795 7042064.5795183955, 316065.7784288609 7042068.699539017, 316074.4682000711 7042071.269471355, 316074.7517999289 7042070.310528645, 316066.0617999289 7042067.740528645, 316052.08149193006 7042063.620437639, 316042.77164077206 7042060.870481604, 316042.7705499328 7042060.870160739, 316026.69054993277 7042056.160160739, 316021.32110804616 7042054.590323847, 316016.5920443847 7042053.190600987, 316011.8721824737 7042051.790641945, 316011.86775893805 7042051.789352026, 316007.0877589381 7042050.419352027, 316007.0815587029 7042050.417618089, 316003.8915587029 7042049.547618089, 316003.6284412971 7042050.512381911, 316006.81533565244 7042051.381534917))</t>
  </si>
  <si>
    <t>['EV6 S85D1 m1658-1970']</t>
  </si>
  <si>
    <t>LINESTRING Z (315427.77 7071808.69 21.8, 315430.2 7071809.72 21.82, 315432.98 7071810.94 21.82, 315444.69 7071816.09 21.85, 315447.83 7071817.48 21.86, 315451.08999999997 7071818.94 21.85, 315460.77 7071823.27 21.82, 315464.31 7071824.83 21.85, 315467.88 7071826.39 21.900000000000002, 315471.46 7071827.93 21.990000000000002, 315482.39 7071832.62 22.150000000000002, 315486.2 7071834.28 22.2, 315497.57 7071839.24 22.3, 315501.3 7071840.85 22.34, 315508.77 7071844.07 22.45, 315519.28 7071848.57 22.63, 315522.66000000003 7071850.02 22.7, 315526.05 7071851.44 22.76, 315529.41000000003 7071852.84 22.82, 315532.83999999997 7071854.22 22.87, 315543.28 7071858.42 22.97, 315546.76 7071859.82 23, 315550.23 7071861.17 23.02, 315554.26 7071862.73 23.09, 315557.52 7071863.98 23.09, 315560.77 7071865.21 23.09, 315564.19 7071866.38 23.11, 315574.64 7071869.97 23.17, 315578.23 7071871.19 23.150000000000002, 315581.81 7071872.41 23.14, 315585.38 7071873.53 23.11, 315588.75 7071874.56 23.080000000000002, 315598.93 7071877.68 23.01, 315602.8 7071878.84 22.96, 315614.48 7071882.34 22.82, 315618.22 7071883.38 22.740000000000002, 315629.58999999997 7071886.55 22.54, 315637.11 7071888.65 22.41, 315640.85 7071889.68 22.32, 315652.08999999997 7071892.77 22.09, 315664.05 7071896.07 21.830000000000002, 315668.08 7071897.18 21.73, 315671.87 7071898.27 21.63, 315675.6 7071899.36 21.54, 315679.32 7071900.48 21.46, 315691.95 7071904.31 21.18, 315695.47 7071905.39 21.1, 315702.52 7071907.58 20.96, 315705.89 7071908.66 20.91, 315712.57 7071910.79 20.81, 315715.94 7071911.9 20.75, 315719.13 7071912.98 20.72, 315720.76 7071913.53 20.71)</t>
  </si>
  <si>
    <t>POLYGON ((315430.00196378044 7071810.179120492, 315432.77889050095 7071811.397771787, 315444.4881578253 7071816.54744956, 315447.6266186125 7071817.936768189, 315450.8856328269 7071819.396326702, 315460.56583764794 7071823.726418376, 315460.56837084034 7071823.727543092, 315464.1083708403 7071825.287543093, 315464.1097925772 7071825.288166987, 315467.6797925772 7071826.848166986, 315467.68242116016 7071826.849306653, 315471.2624211602 7071828.389306653, 315482.1915596266 7071833.078937197, 315486.0001812763 7071834.738336656, 315497.37007702363 7071839.698291178, 315497.37185271963 7071839.699061712, 315501.1018527196 7071841.309061712, 315508.5720763889 7071844.529158191, 315508.5731987083 7071844.5296403505, 315519.08303759416 7071849.029571367, 315522.462876289 7071850.479502168, 315522.4668232811 7071850.481175406, 315525.85682328104 7071851.901175407, 315525.85769230773 7071851.901538462, 315529.2176923078 7071853.301538462, 315529.22337236477 7071853.303864339, 315532.6533723647 7071854.683864339, 315543.09338574385 7071858.8838697225, 315546.57338574383 7071860.283869723, 315546.5787120677 7071860.28597713, 315550.04871206766 7071861.635977129, 315550.04950294865 7071861.636284049, 315554.0795029487 7071863.196284049, 315554.08099037484 7071863.196857103, 315557.34099037485 7071864.446857103, 315557.343019934 7071864.447630256, 315560.593019934 7071865.677630256, 315560.6081561605 7071865.683081993, 315564.02785265807 7071866.852978163, 315574.4775486447 7071870.442873722, 315574.47911955795 7071870.44341048, 315578.06891754066 7071871.663341829, 315581.6487168712 7071872.883273444, 315581.66032996273 7071872.887073244, 315585.23032996274 7071874.007073244, 315585.2338546848 7071874.00816477, 315588.60366955923 7071875.038108188, 315598.78348514676 7071878.158051669, 315598.78643960156 7071878.158947191, 315602.65643960156 7071879.318947191, 315614.3364765476 7071882.818958264, 315614.3460452108 7071882.82172203, 315618.0858813746 7071883.861676471, 315629.4556188652 7071887.031603282, 315636.9755176173 7071889.131575009, 315636.97724202403 7071889.132053234, 315640.717242024 7071890.162053233, 315651.95723600226 7071893.252051632, 315663.9170096734 7071896.551989184, 315667.94451042317 7071897.661300857, 315671.73077713646 7071898.750227167, 315675.45780096075 7071899.839357454, 315679.17537770345 7071900.958627871, 315691.8041197965 7071904.788246416, 315695.3225052745 7071905.867751051, 315702.3695368922 7071908.056828958, 315705.73740708566 7071909.1361464085, 315705.73810385127 7071909.136369143, 315712.4158375187 7071911.265646495, 315715.7816168019 7071912.374256289, 315718.96966092795 7071913.453594112, 315718.97014329425 7071913.453757146, 315720.60014329426 7071914.003757146, 315720.91985670576 7071913.056242854, 315719.2900985642 7071912.5063244635, 315716.10033907206 7071911.426405889, 315716.09642183146 7071911.425097683, 315712.72642183147 7071910.315097683, 315712.72189614875 7071910.3136308575, 315706.0422444445 7071908.183741916, 315702.6725929144 7071907.103853592, 315702.66832742124 7071907.102507616, 315695.6183274212 7071904.912507616, 315695.6166611767 7071904.911993201, 315692.09666117677 7071903.831993201, 315692.09509832686 7071903.831516483, 315679.46509832685 7071900.001516484, 315679.4641461736 7071900.0012287805, 315675.7441461736 7071898.88122878, 315675.7402470221 7071898.880072118, 315672.01024702215 7071897.790072117, 315672.00819762703 7071897.789477975, 315668.21819762705 7071896.699477975, 315668.2127728399 7071896.6979508605, 315664.18288228376 7071895.587981006, 315652.2229903266 7071892.288010816, 315640.9826473491 7071889.1979163, 315637.24362063984 7071888.168184346, 315629.72448238265 7071886.068424991, 315618.3542806682 7071882.898368707, 315614.6187529057 7071881.859612206, 315602.9435444924 7071878.361048041, 315599.07503903535 7071877.201496017, 315588.89651485323 7071874.081948331, 315585.5279096742 7071873.052374486, 315581.9654998148 7071871.934755706, 315578.39128312876 7071870.716726556, 315574.8016663891 7071869.496856609, 315564.3524513553 7071865.907126278, 315564.3518438395 7071865.906918007, 315560.9394558016 7071864.7395220995, 315557.6979957253 7071863.512754132, 315554.4397536223 7071862.263428173, 315550.41089261975 7071860.703869075, 315546.943957168 7071859.355061335, 315543.4666142562 7071857.956130277, 315533.02661425614 7071853.756130277, 315529.59947485133 7071852.377281187, 315526.2427422752 7071850.978642615, 315522.85515376815 7071849.559652737, 315519.4771237111 7071848.110497832, 315508.96736267325 7071843.610600013, 315501.4980362366 7071840.390890357, 315497.7690358303 7071838.781321818, 315486.3999229764 7071833.821708823, 315482.58971493784 7071832.161618125, 315482.5871625767 7071832.160514507, 315471.65737112955 7071827.470603996, 315468.0788947409 7071825.931259404, 315464.51091875875 7071824.37214385, 315460.9728974056 7071822.813015794, 315451.2942642861 7071818.483627221, 315448.0343671731 7071817.023673299, 315448.0323935155 7071817.022794506, 315444.8923935155 7071815.632794505, 315444.89129071386 7071815.63230791, 315433.18129071384 7071810.482307911, 315430.40092767245 7071809.262148418, 315430.3951289593 7071809.259647212, 315427.96512895933 7071808.229647213, 315427.5748710407 7071809.150352788, 315430.00196378044 7071810.179120492))</t>
  </si>
  <si>
    <t>[6012]</t>
  </si>
  <si>
    <t>['FV6012 S2D1 m16446-16540']</t>
  </si>
  <si>
    <t>LINESTRING Z (148769.247374414 6949595.5157029 -999999, 148766.575726257 6949639.9318535 -999999, 148767.911550335 6949668.65207118 -999999, 148772.920890629 6949694.70064071 -999999)</t>
  </si>
  <si>
    <t>POLYGON ((148766.07662832685 6949639.901832572, 148766.07626621396 6949639.9550842, 148767.41209029197 6949668.67530188, 148767.4205471115 6949668.746494876, 148772.4298874055 6949694.7950644065, 148773.4118938525 6949694.606217014, 148768.40934059062 6949668.59294005, 148767.0764251591 6949639.93525827, 148769.74647234415 6949595.545723828, 148768.74827648385 6949595.485681972, 148766.07662832685 6949639.901832572))</t>
  </si>
  <si>
    <t>['EV6 S79D1 m4903 KD1 m0-140']</t>
  </si>
  <si>
    <t>LINESTRING Z (296049.02 7045019.89 6.15, 296050.14 7045022.62 6.15, 296050.91000000003 7045025.46 6.15, 296051.38 7045029.61 6.15, 296051.33999999997 7045031.33 6.15, 296051 7045034.26 6.15, 296050.29000000004 7045037.12 6.15, 296049.78 7045038.45 6.15, 296049.23 7045039.87 6.15, 296047.83 7045042.46 6.15, 296046.11 7045044.86 6.15, 296044.58999999997 7045046.46 6.15, 296041.83999999997 7045048.91 6.15, 296039.36 7045050.5 6.15, 296036.7 7045051.76 6.15, 296034.42 7045052.57 6.15, 296031 7045053.23 6.15, 296028.06 7045053.42 6.15, 296026.1 7045053.34 6.15, 296023.19 7045052.9 6.15, 296020.35 7045052.11 6.15, 296017.63 7045050.96 6.15, 296015.08999999997 7045049.47 6.15, 296012.75 7045047.68 6.15, 296010.65 7045045.61 6.15, 296008.83 7045043.29 6.15, 296007.32 7045040.76 6.15, 296006.14 7045038.06 6.15, 296005.45 7045035.64 6.15, 296004.85 7045032.32 6.15, 296004.76 7045029.37 6.15, 296005.04000000004 7045026.43 6.15, 296005.68 7045023.56 6.15, 296006.69 7045020.79 6.15, 296008.03 7045018.17 6.15, 296008.78 7045017.08 6.15, 296009.7 7045015.73 6.15, 296011.66000000003 7045013.53 6.15, 296013.88 7045011.6 6.15, 296017.08 7045009.58 6.15, 296018.97 7045008.63 6.15, 296021.75 7045007.66 6.15, 296024.63 7045007.04 6.15, 296027.57 7045006.79 6.15, 296030.51 7045006.92 6.15, 296033.42 7045007.41 6.15, 296036.24 7045008.27 6.15, 296038.93 7045009.48 6.15, 296041.44 7045011.01 6.15, 296043.74 7045012.85 6.15, 296045.04000000004 7045014.19 6.15)</t>
  </si>
  <si>
    <t>POLYGON Z ((296049.02 7045019.89 6.15, 296050.14 7045022.62 6.15, 296050.91000000003 7045025.46 6.15, 296051.38 7045029.61 6.15, 296051.33999999997 7045031.33 6.15, 296051 7045034.26 6.15, 296050.29000000004 7045037.12 6.15, 296049.78 7045038.45 6.15, 296049.23 7045039.87 6.15, 296047.83 7045042.46 6.15, 296046.11 7045044.86 6.15, 296044.58999999997 7045046.46 6.15, 296041.83999999997 7045048.91 6.15, 296039.36 7045050.5 6.15, 296036.7 7045051.76 6.15, 296034.42 7045052.57 6.15, 296031 7045053.23 6.15, 296028.06 7045053.42 6.15, 296026.1 7045053.34 6.15, 296023.19 7045052.9 6.15, 296020.35 7045052.11 6.15, 296017.63 7045050.96 6.15, 296015.08999999997 7045049.47 6.15, 296012.75 7045047.68 6.15, 296010.65 7045045.61 6.15, 296008.83 7045043.29 6.15, 296007.32 7045040.76 6.15, 296006.14 7045038.06 6.15, 296005.45 7045035.64 6.15, 296004.85 7045032.32 6.15, 296004.76 7045029.37 6.15, 296005.04000000004 7045026.43 6.15, 296005.68 7045023.56 6.15, 296006.69 7045020.79 6.15, 296008.03 7045018.17 6.15, 296008.78 7045017.08 6.15, 296009.7 7045015.73 6.15, 296011.66000000003 7045013.53 6.15, 296013.88 7045011.6 6.15, 296017.08 7045009.58 6.15, 296018.97 7045008.63 6.15, 296021.75 7045007.66 6.15, 296024.63 7045007.04 6.15, 296027.57 7045006.79 6.15, 296030.51 7045006.92 6.15, 296033.42 7045007.41 6.15, 296036.24 7045008.27 6.15, 296038.93 7045009.48 6.15, 296041.44 7045011.01 6.15, 296043.74 7045012.85 6.15, 296045.04000000004 7045014.19 6.15, 296049.02 7045019.89 6.15))</t>
  </si>
  <si>
    <t>['EV6 S79D1 m3995-4892']</t>
  </si>
  <si>
    <t>LINESTRING Z (296236.07 7044471.85 0.33, 296232.72 7044481.38 0.35, 296226.41000000003 7044497.84 0.38, 296163.62 7044666.21 0.74, 296154.22 7044691.4 0.9, 296144.83 7044716.59 1.29, 296141.16000000003 7044725.74 1.41, 296093.8 7044852.9 6.45, 296085.76 7044874.94 5.82, 296076.88 7044898.75 6.140000000000001, 296070.86 7044914.88 6.2700000000000005, 296068 7044922.57 6.33, 296059.11 7044946.38 6.4, 296050.23 7044970.21 6.33, 296040.03 7044997.96 6.2, 296321.61 7044146.74 3.37, 296312.33999999997 7044192.56 3.52, 296306.26 7044222.58 3.52, 296305.82 7044224.74 3.52, 296302.69 7044240.16 3.43, 296299.23 7044256.89 3.27, 296299.06 7044257.72 3.2600000000000002, 296295.31 7044275.25 3.02, 296293.83999999997 7044281.82 2.91, 296292.24 7044288.96 2.7800000000000002, 296291.36 7044292.75 2.71, 296288.2 7044306.07 2.42, 296287.51 7044308.8 2.36, 296284.88 7044319.36 2.1, 296284.5 7044320.86 2.06, 296281.42 7044332.6 1.75, 296277.82 7044345.81 1.3900000000000001, 296276.11 7044351.9 1.23, 296274.08 7044358.98 1.05, 296270.19 7044372.11 0.76, 296266.16000000003 7044385.2 0.54, 296264.08999999997 7044391.72 0.45, 296263.38 7044394 0.37, 296141.16000000003 7044725.74 1.41, 296135.43 7044741.77 1.9100000000000001, 296126.04000000004 7044766.95 2.75, 296121.31 7044779.64 3.24, 296112.43 7044803.44 4.07, 296103.26 7044827.57 4.78, 296093.8 7044852.9 6.45, 296263.38 7044394 0.37, 296257.58999999997 7044411.49 0.27, 296256.41000000003 7044414.96 0.26, 296250.81 7044431.15 0.24, 296244.72 7044448.22 0.28, 296238.69 7044464.79 0.31, 296236.07 7044471.85 0.33)</t>
  </si>
  <si>
    <t>2025-11-22T09:45:36Z</t>
  </si>
  <si>
    <t>['EV6 S79D1 m3986 KD1 m0-140']</t>
  </si>
  <si>
    <t>LINESTRING Z (296344.48 7044098.85 3.49, 296346 7044100.55 3.49, 296347.35 7044102.38 3.49, 296348.51 7044104.34 3.49, 296349.48 7044106.41 3.49, 296350.23 7044108.55 3.49, 296350.78 7044110.77 3.49, 296351.1 7044113.02 3.49, 296351.2 7044114.72 3.49, 296351.17 7044116.43 3.49, 296350.91000000003 7044118.8 3.49, 296350.74 7044119.82 3.49, 296350.33999999997 7044121.48 3.49, 296349.81 7044123.11 3.49, 296349.17 7044124.69 3.49, 296348.41000000003 7044126.22 3.49, 296347.55 7044127.7 3.49, 296346.57 7044129.1 3.49, 296345.5 7044130.43 3.49, 296344.33 7044131.68 3.49, 296343.08 7044132.83 3.49, 296341.74 7044133.89 3.49, 296340.32 7044134.86 3.49, 296338.83999999997 7044135.71 3.49, 296337.3 7044136.45 3.49, 296335.72 7044137.08 3.49, 296334.08999999997 7044137.59 3.49, 296332.42 7044137.97 3.49, 296330.73 7044138.24 3.49, 296329.03 7044138.38 3.49, 296327.32 7044138.39 3.49, 296325.62 7044138.28 3.49, 296323.39 7044137.93 3.49, 296322.26 7044137.68 3.49, 296320.62 7044137.2 3.49, 296319.02 7044136.59 3.49, 296317.47 7044135.88 3.49, 296315.97 7044135.04 3.49, 296314.55 7044134.11 3.49, 296313.19 7044133.07 3.49, 296311.92 7044131.93 3.49, 296310.73 7044130.7 3.49, 296309.63 7044129.39 3.49, 296308.64 7044128 3.49, 296307.75 7044126.54 3.49, 296306.97 7044125.02 3.49, 296306.3 7044123.45 3.49, 296305.76 7044121.83 3.49, 296305.33 7044120.17 3.49, 296305.02 7044118.5 3.49, 296304.83999999997 7044116.79 3.49, 296304.78 7044115.09 3.49, 296304.82 7044114.2 3.49, 296304.86 7044113.38 3.49, 296305.05 7044111.68 3.49, 296305.37 7044110 3.49, 296305.81 7044108.36 3.49, 296306.38 7044106.74 3.49, 296307.06 7044105.17 3.49, 296307.85 7044103.66 3.49, 296308.76 7044102.21 3.49, 296309.76 7044100.83 3.49, 296310.87 7044099.53 3.49, 296312.07 7044098.31 3.49, 296313.35 7044097.18 3.49, 296314.72 7044096.16 3.49, 296316.15 7044095.23 3.49, 296317.65 7044094.41 3.49, 296319.21 7044093.71 3.49, 296320.81 7044093.12 3.49, 296322.46 7044092.65 3.49, 296324.13 7044092.31 3.49, 296325.82 7044092.08 3.49, 296328.1 7044091.98 3.49, 296330.37 7044092.1 3.49, 296332.62 7044092.45 3.49, 296334.83 7044093.01 3.49, 296336.97 7044093.79 3.49, 296339.03 7044094.77 3.49, 296339.76 7044095.22 3.49)</t>
  </si>
  <si>
    <t>POLYGON Z ((296344.48 7044098.85 3.49, 296346 7044100.55 3.49, 296347.35 7044102.38 3.49, 296348.51 7044104.34 3.49, 296349.48 7044106.41 3.49, 296350.23 7044108.55 3.49, 296350.78 7044110.77 3.49, 296351.1 7044113.02 3.49, 296351.2 7044114.72 3.49, 296351.17 7044116.43 3.49, 296350.91000000003 7044118.8 3.49, 296350.74 7044119.82 3.49, 296350.33999999997 7044121.48 3.49, 296349.81 7044123.11 3.49, 296349.17 7044124.69 3.49, 296348.41000000003 7044126.22 3.49, 296347.55 7044127.7 3.49, 296346.57 7044129.1 3.49, 296345.5 7044130.43 3.49, 296344.33 7044131.68 3.49, 296343.08 7044132.83 3.49, 296341.74 7044133.89 3.49, 296340.32 7044134.86 3.49, 296338.83999999997 7044135.71 3.49, 296337.3 7044136.45 3.49, 296335.72 7044137.08 3.49, 296334.08999999997 7044137.59 3.49, 296332.42 7044137.97 3.49, 296330.73 7044138.24 3.49, 296329.03 7044138.38 3.49, 296327.32 7044138.39 3.49, 296325.62 7044138.28 3.49, 296323.39 7044137.93 3.49, 296322.26 7044137.68 3.49, 296320.62 7044137.2 3.49, 296319.02 7044136.59 3.49, 296317.47 7044135.88 3.49, 296315.97 7044135.04 3.49, 296314.55 7044134.11 3.49, 296313.19 7044133.07 3.49, 296311.92 7044131.93 3.49, 296310.73 7044130.7 3.49, 296309.63 7044129.39 3.49, 296308.64 7044128 3.49, 296307.75 7044126.54 3.49, 296306.97 7044125.02 3.49, 296306.3 7044123.45 3.49, 296305.76 7044121.83 3.49, 296305.33 7044120.17 3.49, 296305.02 7044118.5 3.49, 296304.83999999997 7044116.79 3.49, 296304.78 7044115.09 3.49, 296304.82 7044114.2 3.49, 296304.86 7044113.38 3.49, 296305.05 7044111.68 3.49, 296305.37 7044110 3.49, 296305.81 7044108.36 3.49, 296306.38 7044106.74 3.49, 296307.06 7044105.17 3.49, 296307.85 7044103.66 3.49, 296308.76 7044102.21 3.49, 296309.76 7044100.83 3.49, 296310.87 7044099.53 3.49, 296312.07 7044098.31 3.49, 296313.35 7044097.18 3.49, 296314.72 7044096.16 3.49, 296316.15 7044095.23 3.49, 296317.65 7044094.41 3.49, 296319.21 7044093.71 3.49, 296320.81 7044093.12 3.49, 296322.46 7044092.65 3.49, 296324.13 7044092.31 3.49, 296325.82 7044092.08 3.49, 296328.1 7044091.98 3.49, 296330.37 7044092.1 3.49, 296332.62 7044092.45 3.49, 296334.83 7044093.01 3.49, 296336.97 7044093.79 3.49, 296339.03 7044094.77 3.49, 296339.76 7044095.22 3.49, 296344.48 7044098.85 3.49))</t>
  </si>
  <si>
    <t>['EV6 S79D1 m3489-3977']</t>
  </si>
  <si>
    <t>LINESTRING Z (296358.02 7043679.07 3.35, 296359.6 7043688.01 3.8200000000000003, 296361.01 7043697.13 3.8200000000000003, 296363.24 7043712.52 3.83, 296364.93 7043726.23 3.84, 296366.57 7043740.1 3.84, 296367.94 7043754.03 3.85, 296369.08 7043767.79 3.86, 296370.05 7043780.75 3.86, 296370.11 7043781.64 3.87, 296370.88 7043795.5 3.89, 296371.37 7043809.38 3.96, 296371.48 7043814.68 4, 296371.58 7043823.27 4.0600000000000005, 296371.58 7043824.64 4.07, 296371.52 7043837.16 4.14, 296371.18 7043851.04 4.19, 296370.95 7043856.89 4.2, 296370.57 7043864.92 4.2, 296369.68 7043878.77 4.17, 296368.83999999997 7043889.07 4.12, 296368.51 7043892.61 4.1, 296367.08 7043906.43 4.0200000000000005, 296365.37 7043920.21 3.95, 296363.73 7043931.7 3.88, 296361.93 7043943.17 3.81, 296359.99 7043954.61 3.75, 296357.92 7043966.03 3.68, 296355.77 7043977.43 3.62, 296353.54000000004 7043988.83 3.5500000000000003, 296353.13 7043990.9 3.54, 296351.26 7044000.21 3.49, 296348.97 7044011.58 3.45, 296343.33999999997 7044039.37 3.39, 296334.19 7044084.57 3.35, 296340.83 7043603.84 3.7800000000000002, 296346.29000000004 7043622.98 3.7800000000000002, 296349.11 7043634.49 3.79, 296352.38 7043648.69 3.8000000000000003, 296355.2 7043662.7 3.81, 296358.02 7043679.07 3.35)</t>
  </si>
  <si>
    <t>POLYGON Z ((296358.02 7043679.07 3.35, 296359.6 7043688.01 3.8200000000000003, 296361.01 7043697.13 3.8200000000000003, 296363.24 7043712.52 3.83, 296364.93 7043726.23 3.84, 296366.57 7043740.1 3.84, 296367.94 7043754.03 3.85, 296369.08 7043767.79 3.86, 296370.05 7043780.75 3.86, 296370.11 7043781.64 3.87, 296370.88 7043795.5 3.89, 296371.37 7043809.38 3.96, 296371.48 7043814.68 4, 296371.58 7043823.27 4.0600000000000005, 296371.58 7043824.64 4.07, 296371.52 7043837.16 4.14, 296371.18 7043851.04 4.19, 296370.95 7043856.89 4.2, 296370.57 7043864.92 4.2, 296369.68 7043878.77 4.17, 296368.83999999997 7043889.07 4.12, 296368.51 7043892.61 4.1, 296367.08 7043906.43 4.0200000000000005, 296365.37 7043920.21 3.95, 296363.73 7043931.7 3.88, 296361.93 7043943.17 3.81, 296359.99 7043954.61 3.75, 296357.92 7043966.03 3.68, 296355.77 7043977.43 3.62, 296353.54000000004 7043988.83 3.5500000000000003, 296353.13 7043990.9 3.54, 296351.26 7044000.21 3.49, 296348.97 7044011.58 3.45, 296343.33999999997 7044039.37 3.39, 296334.19 7044084.57 3.35, 296340.83 7043603.84 3.7800000000000002, 296346.29000000004 7043622.98 3.7800000000000002, 296349.11 7043634.49 3.79, 296352.38 7043648.69 3.8000000000000003, 296355.2 7043662.7 3.81, 296358.02 7043679.07 3.35))</t>
  </si>
  <si>
    <t>['EV6 S79D1 m2504-3452']</t>
  </si>
  <si>
    <t>LINESTRING Z (296319.79000000004 7043576.39 3.7600000000000002, 296316.3 7043567.44 3.7600000000000002, 296311.06 7043554.8 3.75, 296305.58 7043542.27 3.74, 296299.85 7043529.84 3.74, 296293.88 7043517.53 3.73, 296287.67 7043505.34 3.72, 296281.22 7043493.27 3.72, 296274.83999999997 7043481.85 3.71, 296268.27 7043470.53 3.7, 296261.57 7043459.29 3.7, 296254.76 7043448.11 3.69, 296247.88 7043436.98 3.68, 296240.97 7043425.87 3.68, 296235.78 7043417.54 3.67, 296230.61 7043409.2 3.67, 296225.49 7043400.83 3.66, 296220.42 7043392.42 3.66, 296215.44 7043383.96 3.65, 296210.56 7043375.45 3.65, 296205.8 7043366.86 3.64, 296204.92 7043365.22 3.64, 296202.92 7043361.48 3.64, 296201.2 7043358.2 3.64, 296196.94 7043349.83 3.62, 296192.85 7043341.39 3.58, 296188.91000000003 7043332.87 3.5300000000000002, 296187.62 7043329.98 3.5, 296185.13 7043324.28 3.45, 296181.51 7043315.63 3.36, 296178.06 7043306.9 3.25, 296174.76 7043298.12 3.13, 296174.53 7043297.5 3.12, 296171.63 7043289.27 2.98, 296168.66000000003 7043280.37 2.82, 296165.86 7043271.41 2.64, 296163.73 7043264.19 2.49, 296163.23 7043262.41 2.45, 296160.76 7043253.35 2.23, 296158.46 7043244.25 2, 296156.33999999997 7043235.11 1.75, 296155.27 7043230.22 1.61, 296154.38 7043225.94 1.49, 296152.58999999997 7043216.72 1.22, 296151.99 7043213.39 1.12, 296150.81 7043206.51 0.93, 296149.22 7043196.27 0.66, 296147.78 7043186.05 0.35, 296146.47 7043175.71 0.2, 296145.27 7043165.41 0, 296144.15 7043155.11 -0.17, 296143.92 7043152.86 -0.2, 296142.44 7043138.22 -0.4, 296140.97 7043122.45 -0.55, 296140.87 7043121.32 -0.56, 296139.44 7043104.42 -0.67, 296138.48 7043092.01 -0.7000000000000001, 296138.15 7043087.49 -0.7000000000000001, 296137 7043070.56 -0.68, 296136.45 7043061.53 -0.64, 296136 7043053.62 -0.59, 296135.14 7043036.67 -0.43, 296134.88 7043031.02 -0.37, 296134.42 7043019.72 -0.22, 296133.79000000004 7043000.82 0.08, 296133.41000000003 7042985.79 0.41, 296133.13 7042969.97 0.79, 296133.12 7042968.82 0.8200000000000001, 296132.97 7042951.83 1.26, 296132.95 7042934.13 1.74, 296133.1 7042917.91 2.02, 296133.17 7042912.8 2.12, 296133.38 7042900.94 2.31, 296133.83999999997 7042882.89 2.5300000000000002, 296134.12 7042873.78 2.67, 296134.43 7042865.02 2.75, 296134.7 7042858.42 2.82, 296134.95 7042852 2.89, 296135.19 7042846.07 2.95, 296136.05 7042827.13 3.14, 296136.35 7042820.68 3.21, 296136.91000000003 7042809.1 3.3200000000000003, 296137.55 7042795.55 3.43, 296137.72 7042791.63 3.46, 296138.11 7042782.92 3.5100000000000002, 296138.21 7042780.5 3.5300000000000002, 296138.61 7042770.29 3.58, 296139.01 7042757.65 3.63, 296139.28 7042745.01 3.66, 296139.33999999997 7042740.29 3.67, 296139.38 7042732.37 3.67, 296139.33 7042722.71 3.67, 296139.16000000003 7042713.05 3.66, 296138.88 7042703.39 3.64, 296138.76 7042700.07 3.63, 296138.48 7042693.74 3.6, 296137.97 7042684.09 3.56, 296137.33999999997 7042674.45 3.5100000000000002, 296136.9 7042668.78 3.47)</t>
  </si>
  <si>
    <t>POLYGON ((296316.76583608653 7043567.258349951, 296316.76188366907 7043567.248522909, 296311.5218836691 7043554.608522909, 296311.5181038367 7043554.599648123, 296306.0381038367 7043542.069648122, 296306.03407587146 7043542.060679425, 296300.3040758714 7043529.630679425, 296300.2998853137 7043529.621818414, 296294.32988531375 7043517.311818414, 296294.32551974844 7043517.30303711, 296288.1155197484 7043505.113037109, 296288.1109841641 7043505.104345662, 296281.6609841641 7043493.034345661, 296281.65650046157 7043493.026140722, 296275.27650046156 7043481.6061407225, 296275.2724426261 7043481.599015189, 296268.7024426262 7043470.27901519, 296268.69948641455 7043470.273989415, 296261.99948641454 7043459.033989415, 296261.99701812596 7043459.029893252, 296255.18701812596 7043447.849893252, 296255.1853034995 7043447.847099005, 296248.3053034995 7043436.717099005, 296248.3045778158 7043436.7159286495, 296241.3945778158 7043425.605928649, 296236.20467070636 7043417.276077448, 296231.03575232014 7043408.937822257, 296225.9173714101 7043400.57046909, 296220.8495592629 7043392.16409825, 296215.8723305955 7043383.708806177, 296210.9955669889 7043375.204449969, 296206.23898141383 7043366.620611715, 296205.3607478654 7043364.983903738, 296203.3618698167 7043361.2460017875, 296201.6442240049 7043357.970491169, 296197.38782098686 7043349.607558479, 296193.3019245584 7043341.176026485, 296189.3652217536 7043332.66315646, 296188.0773916229 7043329.778017641, 296185.5897413708 7043324.083396581, 296181.9731682661 7043315.441585157, 296178.5265524447 7043306.720148601, 296175.2284102001 7043297.945091356, 296175.00021321705 7043297.329951662, 296172.1029669947 7043289.1077666925, 296169.13580802554 7043280.21628022, 296166.338433765 7043271.264682586, 296164.21048827656 7043264.051646706, 296163.71188896423 7043262.276633154, 296161.2436170448 7043253.22297178, 296158.9459598024 7043244.132240952, 296156.82777557237 7043235.000069319, 296155.7589990784 7043230.115660856, 296154.8702033699 7043225.84145228, 296153.08147814847 7043216.628018457, 296152.4824489564 7043213.303406442, 296151.30347270647 7043206.429375425, 296149.7146188939 7043196.19675716, 296148.27559634123 7043185.9836943215, 296146.9663503741 7043175.649646001, 296145.7668627014 7043165.354043477, 296144.6472441267 7043155.0575512275, 296144.4174363641 7043152.809431811, 296142.9376607133 7043138.171651049, 296141.46795040596 7043122.404758841, 296141.368138434 7043121.276883557, 296139.9383716132 7043104.379639311, 296138.97859402315 7043091.972514423, 296138.6487647872 7043087.454853373, 296137.4989688887 7043070.527858103, 296136.9491359826 7043061.50060148, 296136.49927995173 7043053.593132137, 296135.639417318 7043036.645839531, 296135.3795323382 7043030.998339008, 296134.91966111644 7043019.701502474, 296134.2897894469 7043000.805352388, 296133.90988816845 7042985.779257083, 296133.6299615289 7042969.96340195, 296133.61998109746 7042968.815652339, 296133.469997506 7042951.827510376, 296133.4500026123 7042934.132029433, 296133.5999683325 7042917.915736222, 296133.6699393723 7042912.807850319, 296133.87988722784 7042900.950795241, 296134.3398042949 7042882.904049453, 296134.61972830555 7042873.796521823, 296134.9296384711 7042865.03906037, 296135.199582136 7042858.440437451, 296135.1996213339 7042858.439455659, 296135.44960646034 7042852.019837613, 296135.68954120943 7042846.091449854, 296136.54947285133 7042827.152955322, 296136.84943863127 7042820.703691051, 296137.40941636945 7042809.124151396, 296137.4094432049 7042809.123589937, 296138.0494432048 7042795.573589937, 296138.04953048046 7042795.571663312, 296138.21951525105 7042791.652014484, 296138.6094995272 7042782.94236565, 296138.6095736625 7042782.94064354, 296138.70957366255 7042780.52064354, 296138.7096167264 7042780.519573623, 296139.10961672635 7042770.309573623, 296139.10974982736 7042770.305814868, 296139.5097498274 7042757.665814868, 296139.5098859685 7042757.660677944, 296139.77988596854 7042745.020677944, 296139.77995960705 7042745.016355419, 296139.839959607 7042740.296355419, 296139.8399936232 7042740.292525221, 296139.87999362324 7042732.372525221, 296139.87999330246 7042732.367412043, 296139.82999330247 7042722.707412043, 296139.82992259256 7042722.7012021905, 296139.6599225926 7042713.04120219, 296139.6597900924 7042713.03551333, 296139.37979009235 7042703.37551333, 296139.379673712 7042703.371939504, 296139.259673712 7042700.051939504, 296139.2595115592 7042700.047904702, 296138.9795115592 7042693.717904702, 296138.97930318554 7042693.713611956, 296138.4693031855 7042684.063611955, 296138.46893566434 7042684.057393208, 296137.83893566433 7042674.4173932085, 296137.8385012708 7042674.4113155985, 296137.39850127086 7042668.741315599, 296136.4014987292 7042668.818684402, 296136.84126301575 7042674.485646914, 296137.47086120467 7042684.119498566, 296137.98058340285 7042693.76424212, 296138.2603992179 7042700.090078224, 296138.3802617082 7042703.406273789, 296138.66012747143 7042713.061642618, 296138.83002276975 7042722.7156931, 296138.8799934647 7042732.37003137, 296138.8400160493 7042740.285559616, 296138.7800678687 7042745.001483159, 296138.5101689033 7042757.636753244, 296138.11030965444 7042770.272305506, 296137.7104042334 7042780.479891378, 296137.61046192056 7042782.89849535, 296137.22050047276 7042791.60763435, 296137.2204695195 7042791.608336688, 296137.0505112993 7042795.527373295, 296136.4105700545 7042809.076129339, 296135.85058363056 7042820.655848604, 296135.85053995694 7042820.6567693, 296135.55053995695 7042827.1067693, 296135.55051464296 7042827.1073200945, 296134.690514643 7042846.047320095, 296134.6904089969 7042846.049780466, 296134.4504089969 7042851.979780465, 296134.4503786661 7042851.980544341, 296134.2003977836 7042858.400053404, 296133.930417864 7042864.9995625485, 296133.93031278613 7042865.002317005, 296133.62031278614 7042873.762317006, 296133.6202359999 7042873.764639526, 296133.34023599984 7042882.874639525, 296133.3401622892 7042882.877261753, 296132.88016228925 7042900.927261754, 296132.8800783623 7042900.9311481, 296132.6700783623 7042912.791148099, 296132.6700469065 7042912.793151327, 296132.6000469065 7042917.903151328, 296132.60002137924 7042917.905376277, 296132.4500213793 7042934.125376277, 296132.4500003192 7042934.130564971, 296132.4700003192 7042951.830564971, 296132.4700194854 7042951.83441419, 296132.6200191944 7042968.824381228, 296132.63001890254 7042969.974347661, 296132.6300782963 7042969.978848171, 296132.9100782963 7042985.798848172, 296132.910159728 7042985.802637345, 296133.290159728 7043000.832637345, 296133.29027754656 7043000.836657415, 296133.9202775465 7043019.736657415, 296133.9204137704 7043019.740337138, 296134.38041377044 7043031.040337138, 296134.3805285678 7043031.042984526, 296134.64052856783 7043036.692984526, 296134.64064233267 7043036.695336142, 296135.50064233266 7043053.645336142, 296135.50080715964 7043053.648399087, 296135.95080715965 7043061.558399087, 296135.95092487615 7043061.56039771, 296136.50092487613 7043070.590397709, 296136.5011495346 7043070.593885294, 296137.6511495346 7043087.523885295, 296137.6513272693 7043087.526407522, 296137.9813272693 7043092.046407522, 296137.9814893442 7043092.048563274, 296138.94148934423 7043104.458563274, 296138.94178038614 7043104.462157045, 296140.37178038614 7043121.362157045, 296140.37194644153 7043121.364075537, 296140.4719464415 7043122.494075537, 296140.472158203 7043122.496406306, 296141.94215820305 7043138.266406305, 296141.94253552554 7043138.270290124, 296143.4225355255 7043152.910290125, 296143.4225920493 7043152.910846147, 296143.65259204933 7043155.160846147, 296143.652930023 7043155.164050328, 296144.77293002297 7043165.464050327, 296144.77335918706 7043165.467861066, 296145.973359187 7043175.767861065, 296145.97396507545 7043175.772843883, 296147.2839650755 7043186.112843883, 296147.28489051753 7043186.119761023, 296148.7248905175 7043196.3397610225, 296148.7259206138 7043196.346717404, 296150.3159206138 7043206.586717404, 296150.3171956905 7043206.594521669, 296151.4971956905 7043213.474521669, 296151.49792380386 7043213.478662377, 296152.09792380384 7043216.808662377, 296152.0991646194 7043216.815292335, 296153.88916461944 7043226.035292336, 296153.8904717624 7043226.041794424, 296154.7804717624 7043230.321794423, 296154.78155650856 7043230.326878228, 296155.8515565085 7043235.216878229, 296155.85293044697 7043235.222974557, 296157.972930447 7043244.362974557, 296157.9752437218 7043244.372520817, 296160.2752437218 7043253.472520817, 296160.2776058043 7043253.481513649, 296162.7476058043 7043262.54151365, 296162.7486305031 7043262.545216151, 296163.2486305031 7043264.325216151, 296163.25043375645 7043264.331478684, 296165.38043375645 7043271.551478684, 296165.38276001095 7043271.559137497, 296168.182760011 7043280.519137497, 296168.1857116688 7043280.528273746, 296171.1557116688 7043289.428273746, 296171.15842026635 7043289.436170258, 296174.0584202664 7043297.666170258, 296174.0612168908 7043297.673903411, 296174.2912168908 7043298.293903411, 296174.29196698364 7043298.295912182, 296177.59196698363 7043307.075912182, 296177.59499423247 7043307.083765166, 296181.0449942325 7043315.813765165, 296181.04876184004 7043315.823026837, 296184.66876184003 7043324.473026837, 296184.6718107096 7043324.480156374, 296187.1618107096 7043330.180156374, 296187.1634205578 7043330.183801897, 296188.45342055784 7043333.073801897, 296188.456176333 7043333.0798668135, 296192.39617633296 7043341.599866813, 296192.4000485622 7043341.608045187, 296196.49004856223 7043350.048045187, 296196.49439496326 7043350.056795395, 296200.75439496327 7043358.426795395, 296200.75718997465 7043358.432205257, 296202.4771899746 7043361.712205257, 296202.47908487613 7043361.715783489, 296204.47908487613 7043365.455783488, 296204.47941986594 7043365.456408852, 296205.35941986594 7043367.096408852, 296205.36265744944 7043367.102345814, 296210.12265744945 7043375.692345814, 296210.1262553138 7043375.698727858, 296215.0062553138 7043384.208727858, 296215.0091114722 7043384.213643601, 296219.98911147215 7043392.673643601, 296219.9917935928 7043392.678145836, 296225.0617935928 7043401.088145836, 296225.06347249314 7043401.090910494, 296230.18347249314 7043409.460910494, 296230.1850303989 7043409.463440388, 296235.35503039893 7043417.803440388, 296235.3556291966 7043417.804403898, 296240.545525727 7043426.134237829, 296247.45505856327 7043437.243486716, 296254.3338345816 7043448.371506641, 296261.1417379397 7043459.548064576, 296267.83902083704 7043470.783506333, 296274.40549923794 7043482.097438676, 296280.78121932293 7043493.509777763, 296287.2267054435 7043505.571330859, 296293.43225440837 7043517.752593643, 296299.3979759734 7043530.05377161, 296305.12386606104 7043542.47485604, 296310.59996343515 7043554.995932701, 296315.8360880803 7043567.626584518, 296319.3241639135 7043576.571650049, 296320.2558360866 7043576.208349951, 296316.76583608653 7043567.258349951))</t>
  </si>
  <si>
    <t>['EV14 S1D1 m85-523']</t>
  </si>
  <si>
    <t>LINESTRING Z (296522.5 7044111.14 4.11, 296527.31 7044110.87 4.19, 296553.93 7044109.45 5.26, 296569.8 7044108.74 5.89, 296585.67 7044108.28 6.53, 296588.89 7044108.21 6.66, 296601.55 7044108.07 7.09, 296605.39 7044108.05 7.19, 296617.43 7044108.1 7.43, 296621.89 7044108.17 7.48, 296633.3 7044108.4 7.59, 296649.17 7044108.95 7.75, 296665.03 7044109.74 7.91, 296680.83 7044111.05 8.02, 296684.2 7044111.3 8.05, 296699.3 7044112.6 8.15, 296711.7 7044113.9 8.25, 296721.9 7044115 8.45, 296730.4 7044116.1 8.55, 296740.4 7044117.3 8.55, 296751 7044118.6 8.75, 296762.5 7044120 8.85, 296775.5 7044121.2 8.950000000000001, 296789.8 7044122.6 9.15, 296797.9 7044123.2 9.15, 296809.4 7044124.4 9.25, 296819.8 7044125 9.450000000000001, 296830 7044125.6 9.55, 296839.8 7044126.1 9.75, 296849.8 7044126.4 9.85, 296860.4 7044126.6 9.85, 296874.7 7044126.9 9.950000000000001, 296885.8 7044126.7 10.05, 296895.4 7044126.2 10.15, 296902.02 7044125.95 10.27, 296435.58 7044115.72 1.23, 296442.85 7044115.34 1.45, 296484.79000000004 7044113.12 3.13, 296489.62 7044112.86 3.25, 296902.02 7044125.95 10.27, 296905.99 7044125.79 10.34)</t>
  </si>
  <si>
    <t>['EV6 S70D1 m1780-1862']</t>
  </si>
  <si>
    <t>LINESTRING Z (260148.63 7004750.57 53.72, 260147.7 7004751.3 53.72, 260144.58000000002 7004754.11 53.72, 260143.8 7004754.8 53.72, 260138.9 7004758.5 53.72, 260135.8 7004760.7 53.72, 260130.6 7004765 53.72, 260123.9 7004770.1 53.72, 260117.5 7004775.6 53.72, 260110.6 7004780.7 53.82, 260104 7004785.9 53.82, 260098 7004790.7 53.82, 260089.9 7004797.2 53.82, 260084.45 7004801.58 53.82)</t>
  </si>
  <si>
    <t>POLYGON ((260147.39127603295 7004750.9066941235, 260147.36538607537 7004750.9284713715, 260144.24704294474 7004753.736979128, 260143.48323055648 7004754.412659316, 260138.60459802605 7004758.096524697, 260135.510626497 7004760.292246427, 260135.4813678201 7004760.314677364, 260130.28913628033 7004764.608253445, 260123.59715733255 7004769.7021478675, 260123.57411662836 7004769.720790258, 260117.18804051657 7004775.208824417, 260110.30280446945 7004780.29791193, 260110.2905638867 7004780.3072541645, 260103.6905638867 7004785.507254165, 260103.68765247622 7004785.509565596, 260097.68765247622 7004790.309565595, 260097.68706571063 7004790.310035732, 260089.58706571063 7004796.810035732, 260084.13678116823 7004801.190264239, 260084.7632188318 7004801.969735761, 260090.21307645427 7004797.589850185, 260098.31264114068 7004791.0901995115, 260104.31089615737 7004786.291595498, 260110.9033877587 7004781.097511206, 260117.79719553055 7004776.00208807, 260117.82588337164 7004775.979209742, 260124.2146394038 7004770.488872526, 260130.90284266745 7004765.397852132, 260130.9186321799 7004765.385322636, 260136.1044166046 7004761.097077823, 260139.18937350297 7004758.907753573, 260139.20130133317 7004758.899020685, 260144.10130133317 7004755.199020685, 260144.13128694094 7004755.174498281, 260144.91128694097 7004754.484498282, 260144.91461392466 7004754.481528629, 260148.02203753073 7004751.682855444, 260148.93872396706 7004750.963305877, 260148.32127603295 7004750.176694124, 260147.39127603295 7004750.9066941235))</t>
  </si>
  <si>
    <t>['EV6 S59D1 m0 SD1 m7-140']</t>
  </si>
  <si>
    <t>LINESTRING Z (221590.34 6922723.85 828.5500000000001, 221583.92 6922723.31 828.1, 221583.31 6922723.1 828.07, 221582.14 6922722.55 828.03, 221581.06 6922721.82 828.01, 221580.38 6922721.23 828, 221579.15 6922719.95 827.95, 221577.72 6922718.04 827.82, 221577.12 6922717.05 827.75, 221576.34 6922715.47 827.65, 221572.47 6922706.31 827.15, 221572.15 6922705.55 827.13, 221567.42 6922694.59 826.9, 221565.78 6922690.17 826.77, 221564.87 6922687.16 826.6700000000001, 221563.31 6922681.08 826.52, 221562.72 6922677.95 826.49, 221562.5 6922675.84 826.49, 221562.36 6922671.59 826.52, 221562.49 6922669.71 826.53, 221562.7 6922668.47 826.54, 221563.33 6922665.97 826.57, 221563.84 6922664.6 826.57, 221564.19 6922663.95 826.57, 221564.85 6922663.05 826.57, 221565.71 6922662.25 826.54, 221566.31 6922661.85 826.51, 221567.66 6922661.26 826.47, 221569.31 6922660.8 826.49, 221570.42 6922660.6 826.53, 221572.64 6922660.33 826.57, 221574.7 6922660.24 826.51, 221575.73 6922660.29 826.48, 221577.3 6922660.53 826.44, 221578.46 6922660.95 826.4300000000001, 221579.16 6922661.35 826.4200000000001, 221580.41 6922662.48 826.4200000000001, 221581.18 6922663.51 826.4200000000001, 221581.58 6922664.23 826.4200000000001, 221582.13 6922665.75 826.4200000000001, 221582.88 6922669.11 826.4200000000001, 221583.28 6922671.37 826.4200000000001, 221583.86 6922675.9 826.4200000000001, 221584.14 6922679.54 826.4300000000001, 221584.18 6922680.43 826.4300000000001, 221584.2 6922681.37 826.44, 221584.14 6922684.14 826.47, 221583.82 6922686.71 826.52, 221583.5 6922687.95 826.5500000000001, 221582.74 6922689.74 826.62, 221582 6922691.04 826.6700000000001, 221580.41 6922693.51 826.79, 221574.48 6922702.15 827.12)</t>
  </si>
  <si>
    <t>POLYGON ((221584.02391734734 6922722.816975116, 221583.49828160644 6922722.636018549, 221582.38784080578 6922722.114016463, 221581.36493957174 6922721.422611, 221580.72480882576 6922720.867203441, 221579.53182611777 6922719.625725501, 221578.1349164624 6922717.759923094, 221577.55878723355 6922716.809309866, 221576.79485524428 6922715.261857888, 221572.93069940284 6922706.115690573, 221572.61081768753 6922705.355971499, 221572.60907274287 6922705.351878278, 221567.88423763323 6922694.403845973, 221566.25414002652 6922690.010534131, 221565.3516757309 6922687.025459923, 221563.79834287355 6922680.971444683, 221563.21516606814 6922677.877642309, 221562.99914462928 6922675.805800327, 221562.86056895202 6922671.599038697, 221562.98710489244 6922669.769134328, 221563.1896768015 6922668.572995436, 221563.8081456419 6922666.118754006, 221564.29656710345 6922664.806719883, 221564.61375693567 6922664.217653053, 221565.2252101781 6922663.383853177, 221566.0209684934 6922662.643612883, 221566.55064910924 6922662.290492472, 221567.8280762884 6922661.732209483, 221569.42171253957 6922661.287923013, 221570.49457524886 6922661.094614417, 221572.68115647166 6922660.828678863, 221574.6987877 6922660.7405299265, 221575.67996757038 6922660.788160017, 221577.1759279351 6922661.016841856, 221578.24930484986 6922661.405478326, 221578.86488981082 6922661.75724116, 221580.03863924294 6922662.818310647, 221580.75931813734 6922663.782335661, 221581.1234647116 6922664.437799496, 221581.64896659192 6922665.8900956, 221582.38958861757 6922669.208082275, 221582.78556757048 6922671.4453633595, 221583.36244261105 6922675.950956349, 221583.64086185058 6922679.570406462, 221583.68023885816 6922680.446544881, 221583.69988479707 6922681.369904009, 221583.64067113868 6922684.103601237, 221583.327811764 6922686.61625309, 221583.02518413012 6922687.788935171, 221582.29110874128 6922689.51787589, 221581.5722050359 6922690.780814832, 221579.99357568327 6922693.233150996, 221574.0677564185 6922701.867059672, 221574.89224358153 6922702.4329403285, 221580.82224358153 6922693.792940328, 221580.83042324803 6922693.780636827, 221582.42042324803 6922691.310636828, 221582.43453236567 6922691.287349192, 221583.17453236567 6922689.987349193, 221583.20023484706 6922689.9354069745, 221583.96023484707 6922688.1454069745, 221583.97349948742 6922688.110618291, 221583.98413866185 6922688.07493901, 221584.30413866186 6922686.8349390095, 221584.31616858326 6922686.771779746, 221584.63616858327 6922684.2017797455, 221584.63988274534 6922684.150827785, 221584.69988274534 6922681.3808277855, 221584.69988686504 6922681.359364109, 221584.67988686502 6922680.419364109, 221584.679495777 6922680.407550751, 221584.63949577702 6922679.517550752, 221584.63852724276 6922679.501651751, 221584.35852724273 6922675.861651751, 221584.3559514478 6922675.836500698, 221583.7759514478 6922671.3065006975, 221583.77234785364 6922671.282858787, 221583.37234785364 6922669.022858787, 221583.367990793 6922669.001073484, 221582.617990793 6922665.641073484, 221582.60016705864 6922665.579873761, 221582.05016705862 6922664.059873762, 221582.03507673807 6922664.022864386, 221582.01707863813 6922663.987178535, 221581.61707863814 6922663.2671785345, 221581.5804660786 6922663.210622446, 221580.8104660786 6922662.180622446, 221580.7796181191 6922662.1432769, 221580.7453012396 6922662.10909155, 221579.4953012396 6922660.979091549, 221579.45339277523 6922660.945128811, 221579.40806946892 6922660.915878428, 221578.7080694689 6922660.515878429, 221578.66991864532 6922660.496200306, 221578.63022054176 6922660.479867076, 221577.47022054176 6922660.059867076, 221577.42347860694 6922660.045486808, 221577.37555542606 6922660.035741588, 221575.80555542608 6922659.795741588, 221575.75424329686 6922659.790588084, 221574.72424329686 6922659.740588084, 221574.67817615814 6922659.740476508, 221572.61817615814 6922659.830476508, 221572.57963401178 6922659.83365743, 221570.35963401178 6922660.103657429, 221570.33133762225 6922660.107923804, 221569.22133762224 6922660.307923804, 221569.1757264781 6922660.318366715, 221567.5257264781 6922660.778366715, 221567.45976863106 6922660.801843477, 221566.10976863105 6922661.391843477, 221566.0702818787 6922661.411211642, 221566.0326499017 6922661.433974853, 221565.4326499017 6922661.833974853, 221565.40004187782 6922661.857666006, 221565.3694480288 6922661.883906631, 221564.5094480288 6922662.683906631, 221564.47646001045 6922662.71763292, 221564.44679750202 6922662.754318168, 221563.78679750202 6922663.654318169, 221563.74976445013 6922663.712950088, 221563.39976445012 6922664.3629500875, 221563.37141507742 6922664.425563277, 221562.8614150774 6922665.795563277, 221562.8451577695 6922665.847819758, 221562.21515776953 6922668.347819758, 221562.20701962349 6922668.386511387, 221561.99701962346 6922669.6265113875, 221561.99119112393 6922669.675507897, 221561.86119112393 6922671.5555078965, 221561.86027105968 6922671.606461659, 221562.0002710597 6922675.856461659, 221562.0026958578 6922675.891851617, 221562.2226958578 6922678.001851617, 221562.22865299156 6922678.042618127, 221562.81865299155 6922681.1726181265, 221562.8256877292 6922681.204264333, 221564.3856877292 6922687.284264333, 221564.39139428636 6922687.30469475, 221565.30139428636 6922690.31469475, 221565.311228048 6922690.3439334845, 221566.951228048 6922694.763933484, 221566.96092725714 6922694.788121722, 221571.69004566842 6922705.746078971, 221572.00918231247 6922706.5040285, 221572.00941927504 6922706.504590328, 221575.87941927504 6922715.664590328, 221575.89165712084 6922715.691333826, 221576.67165712084 6922717.271333826, 221576.6924010842 6922717.309150858, 221577.2924010842 6922718.299150858, 221577.3197486737 6922718.339664605, 221578.7497486737 6922720.249664606, 221578.7894752376 6922720.296441764, 221580.0194752376 6922721.576441764, 221580.05232334143 6922721.607661234, 221580.73232334142 6922722.197661234, 221580.78000012622 6922722.234246389, 221581.86000012624 6922722.9642463885, 221581.89290268114 6922722.984675643, 221581.92728775326 6922723.0024969615, 221583.09728775325 6922723.552496961, 221583.14724353031 6922723.5727687925, 221583.75724353033 6922723.7827687925, 221583.79677883122 6922723.794578727, 221583.83715327547 6922723.803088653, 221583.87809191077 6922723.808240616, 221590.29809191075 6922724.348240616, 221590.38190808924 6922723.351759383, 221584.02391734734 6922722.816975116))</t>
  </si>
  <si>
    <t>['EV6 S68D1 m6332-6607']</t>
  </si>
  <si>
    <t>LINESTRING Z (260539.73 6997547.6 82.78, 260550.83000000002 6997551.28 82.72, 260553.27000000002 6997552.09 82.7, 260565.89 6997556.53 82.60000000000001, 260579.93 6997561.69 82.51, 260597.1 6997568.03 82.32000000000001, 260613.64 6997574.62 82.13, 260622.75 6997578.58 82.03, 260636.43 6997584.74 81.94, 260642.51 6997587.6 81.82000000000001, 260660.08000000002 6997595.89 81.62, 260678.7 6997605.1 81.03, 260700.6 6997616.9 81.03, 260706.5 6997620.3 81.03, 260716.4 6997626.3 81.03, 260725.1 6997631.2 81.03, 260735.6 6997637.7 80.83, 260741.4 6997641.6 80.72, 260747.2 6997645.5 80.72, 260753.2 6997649.3 80.72, 260758.8 6997653 80.63, 260764.8 6997657 80.43, 260770.6 6997661.1 80.33, 260776.4 6997665.1 80.33, 260782.2 6997669.4 80.33, 260783.57 6997670.4 80.3)</t>
  </si>
  <si>
    <t>POLYGON ((260550.67256404585 6997551.754567098, 260553.10825163883 6997552.56313552, 260565.720781021 6997557.000507188, 260579.75716213492 6997562.15917717, 260596.92084095415 6997568.496843083, 260613.44775813576 6997575.0816305205, 260622.5476816588 6997579.037250405, 260636.22092562745 6997585.194208216, 260642.29690801678 6997588.052318352, 260659.86246329936 6997596.340221215, 260678.4705057869 6997605.544306678, 260700.3565407754 6997617.336782151, 260706.2455688978 6997620.730459373, 260716.14084914196 6997626.727598916, 260716.15463167103 6997626.735653971, 260724.84561833268 6997631.630577493, 260735.32881579507 6997638.120175923, 260741.12100120517 6997642.014921284, 260746.92100120513 6997645.914921285, 260746.93247395943 6997645.922409538, 260752.92839736718 6997649.719827697, 260758.52350958655 6997653.41659827, 260764.51696311779 6997657.412233957, 260770.31138209114 6997661.508288749, 260770.3161335221 6997661.511606392, 260776.10909197014 6997665.50675015, 260781.90222063637 6997669.801655886, 260781.90521347933 6997669.803857533, 260783.27521347933 6997670.803857533, 260783.8647865207 6997669.9961424675, 260782.4962870355 6997668.997237734, 260776.69777936363 6997664.698344114, 260776.6838664779 6997664.688393607, 260770.88625180215 6997660.690038658, 260765.08861790886 6997656.591711251, 260765.0773500981 6997656.583974853, 260759.0773500981 6997652.583974853, 260759.0756286327 6997652.582832339, 260753.47562863273 6997648.882832339, 260753.4675260406 6997648.877590462, 260747.47331370812 6997645.0812559845, 260741.67899879487 6997641.185078715, 260735.87899879483 6997637.2850787155, 260735.86317730733 6997637.274867427, 260725.36317730733 6997630.774867427, 260725.34536832897 6997630.764346029, 260716.65232390788 6997625.868263538, 260706.75915085804 6997619.872401084, 260706.7496493119 6997619.866785018, 260700.84964931192 6997616.466785018, 260700.83716975997 6997616.459829005, 260678.93716975997 6997604.659829005, 260678.92167917307 6997604.651827773, 260660.30167917308 6997595.441827773, 260660.29335700275 6997595.43780669, 260642.72335700275 6997587.14780669, 260642.72282684097 6997587.147556925, 260636.64282684095 6997584.287556926, 260636.63529319104 6997584.284089147, 260622.95529319104 6997578.124089147, 260622.94932624415 6997578.121448969, 260613.83932624417 6997574.161448969, 260613.8250657252 6997574.1555103045, 260597.28506572518 6997567.565510305, 260597.27319443837 6997567.560954494, 260580.10319443836 6997561.220954495, 260580.102480857 6997561.220691622, 260566.062480857 6997556.060691622, 260566.0559407884 6997556.058339471, 260553.43594078842 6997551.618339471, 260553.4275303177 6997551.615464228, 260550.9875303177 6997550.805464229, 260539.88734405726 6997547.125402436, 260539.57265594276 6997548.074597564, 260550.67256404585 6997551.754567098))</t>
  </si>
  <si>
    <t>['EV14 S1D1 m139 KD1 m14-100']</t>
  </si>
  <si>
    <t>LINESTRING Z (296501.49 7044096.14 3.5700000000000003, 296502.12 7044095.96 3.58, 296504.51 7044095.56 3.64, 296506.14 7044095.48 3.68, 296507.75 7044095.57 3.72, 296509.02 7044095.76 3.75, 296510.92 7044096.22 3.8000000000000003, 296512.45 7044096.77 3.84, 296513.1 7044097.06 3.85, 296513.91000000003 7044097.47 3.87, 296515.29000000004 7044098.31 3.91, 296516.58999999997 7044099.27 3.94, 296517.26 7044099.86 3.95, 296517.78 7044100.37 3.96, 296518.87 7044101.57 3.98, 296519.82 7044102.88 4, 296520.65 7044104.28 4.0200000000000005, 296521.33999999997 7044105.74 4.05, 296521.61 7044106.46 4.05, 296521.87 7044107.27 4.07, 296522.26 7044108.84 4.1, 296522.49 7044110.45 4.12, 296522.5 7044111.14 4.11, 296522.54000000004 7044112.87 4.09, 296522.17 7044115.4 4.0600000000000005, 296521.57 7044117.62 4.03, 296520.58 7044119.84 4, 296519.27 7044121.88 3.97, 296518.48 7044122.87 3.95, 296517.68 7044123.71 3.93, 296515.83 7044125.29 3.88, 296514.64 7044126.1 3.85, 296513.77 7044126.58 3.83, 296512.7 7044127.05 3.81, 296511.55 7044127.56 3.7800000000000002, 296510.72 7044127.82 3.75, 296509.21 7044128.19 3.72, 296506.8 7044128.48 3.66, 296505.48 7044128.44 3.62, 296504.37 7044128.41 3.6, 296502.73 7044128.16 3.5500000000000003, 296501.98 7044127.99 3.54, 296499.67 7044127.21 3.48, 296498.64 7044126.73 3.45, 296497.51 7044126.11 3.42, 296495.53 7044124.71 3.38, 296494.48 7044123.75 3.35, 296493.78 7044123.02 3.34, 296492.3 7044121.1 3.3200000000000003, 296491.1 7044118.98 3.29, 296490.39 7044117.09 3.27, 296490.06 7044116.08 3.25, 296489.72 7044114.34 3.25, 296489.62 7044112.86 3.25, 296489.55 7044111.91 3.25, 296489.72 7044109.62 3.25, 296489.94 7044108.65 3.2600000000000002)</t>
  </si>
  <si>
    <t>POLYGON Z ((296501.49 7044096.14 3.5700000000000003, 296502.12 7044095.96 3.58, 296504.51 7044095.56 3.64, 296506.14 7044095.48 3.68, 296507.75 7044095.57 3.72, 296509.02 7044095.76 3.75, 296510.92 7044096.22 3.8000000000000003, 296512.45 7044096.77 3.84, 296513.1 7044097.06 3.85, 296513.91000000003 7044097.47 3.87, 296515.29000000004 7044098.31 3.91, 296516.58999999997 7044099.27 3.94, 296517.26 7044099.86 3.95, 296517.78 7044100.37 3.96, 296518.87 7044101.57 3.98, 296519.82 7044102.88 4, 296520.65 7044104.28 4.0200000000000005, 296521.33999999997 7044105.74 4.05, 296521.61 7044106.46 4.05, 296521.87 7044107.27 4.07, 296522.26 7044108.84 4.1, 296522.49 7044110.45 4.12, 296522.5 7044111.14 4.11, 296522.54000000004 7044112.87 4.09, 296522.17 7044115.4 4.0600000000000005, 296521.57 7044117.62 4.03, 296520.58 7044119.84 4, 296519.27 7044121.88 3.97, 296518.48 7044122.87 3.95, 296517.68 7044123.71 3.93, 296515.83 7044125.29 3.88, 296514.64 7044126.1 3.85, 296513.77 7044126.58 3.83, 296512.7 7044127.05 3.81, 296511.55 7044127.56 3.7800000000000002, 296510.72 7044127.82 3.75, 296509.21 7044128.19 3.72, 296506.8 7044128.48 3.66, 296505.48 7044128.44 3.62, 296504.37 7044128.41 3.6, 296502.73 7044128.16 3.5500000000000003, 296501.98 7044127.99 3.54, 296499.67 7044127.21 3.48, 296498.64 7044126.73 3.45, 296497.51 7044126.11 3.42, 296495.53 7044124.71 3.38, 296494.48 7044123.75 3.35, 296493.78 7044123.02 3.34, 296492.3 7044121.1 3.3200000000000003, 296491.1 7044118.98 3.29, 296490.39 7044117.09 3.27, 296490.06 7044116.08 3.25, 296489.72 7044114.34 3.25, 296489.62 7044112.86 3.25, 296489.55 7044111.91 3.25, 296489.72 7044109.62 3.25, 296489.94 7044108.65 3.2600000000000002, 296501.49 7044096.14 3.5700000000000003))</t>
  </si>
  <si>
    <t>2024-09-04</t>
  </si>
  <si>
    <t>[950]</t>
  </si>
  <si>
    <t>['FV950 S1D1 m109-1627']</t>
  </si>
  <si>
    <t>LINESTRING Z (275064.53 7041453.36 53.550000000000004, 275073.77 7041449.46 53.56, 275083.94 7041444.9 53.51, 275086.36 7041443.76 53.49, 275089.9 7041442.09 53.46, 275100.56 7041436.96 53.29, 275106.35 7041434.19 53.17, 275123.6 7041426.6 52.44, 275144.4 7041416.6 52.24, 275165.2 7041405.6 51.84, 275184.8 7041394.3 51.24, 275199.2 7041385.8 50.74, 275216.3 7041374.6 50.44, 275235.5 7041361 49.94, 275254.2 7041347.3 49.34, 275272.1 7041333.9 49.04, 275282.4 7041326 49.04, 275288.66000000003 7041321.02 49.04, 275297.1 7041314.3 49.04, 275312.1 7041301.7 49.24, 275322 7041293.2 49.64, 275329.34 7041287.37 49.74, 275342.9 7041276.6 49.94, 275352.1 7041268.7 50.14, 275361.3 7041261.5 50.64, 275371.7 7041253.1 50.74, 275384.16000000003 7041243.2 51.46, 275410.1 7041221.6 51.74, 275430.8 7041205.1 52.54, 275449.2 7041191.5 53.74, 275459 7041184.45 54.46, 275472.4 7041174.8 55.44, 275484.23 7041166.49 56.14, 275510.3 7041145.4 58.24, 275519.76 7041137.96 58.94, 275534.6 7041126.3 60.04, 275560.7 7041106.3 62.24, 275579.9 7041092.3 63.940000000000005, 275589.6 7041085.5 64.54, 275602.5 7041076.6 65.34, 275621.6 7041064 65.94, 275637.8 7041054.1 66.24, 275656.7 7041043 65.94, 275678.1 7041031.1 65.24, 275699 7041019.7 64.04, 275722 7041007.9 62.34, 275755.1 7040992.3 59.84, 275786.2 7040977.9 57.64, 275790.1 7040976 57.34, 275824 7040960.4 54.84, 275857.4 7040945.3 52.94, 275872.73 7040938.13 52.44, 275883.6 7040933.3 52.04, 275886.71 7040931.87 51.93, 275894.4 7040928.32 51.64, 275897.4 7040926.8 51.64, 275900.5 7040925.5 51.54, 275903.1 7040924.4 51.44, 275905.7 7040923.3 51.34, 275940.8 7040907.8 50.24, 275948.58 7040904.27 49.99, 275972.1 7040893.6 49.24, 276013.1 7040874.8 48.44, 276060.1 7040853.4 47.24, 276090.8 7040839.4 45.94, 276125.7 7040823.6 43.94, 276144.6 7040814.9 42.74, 276162.7 7040806.6 41.54, 276181.5 7040798.2 40.44, 276195.4 7040791.9 39.54, 276213.9 7040783.5 38.44, 276233.7 7040774.3 37.44, 276249 7040767.2 36.94, 276267.7 7040758.7 36.14, 276289.1 7040748.8 35.44, 276304.6 7040741.2 34.74, 276319.6 7040733.4 33.74, 276333.4 7040725.9 32.74, 276345.2 7040717.5 31.740000000000002, 276356 7040708.7 31.240000000000002, 276362.8 7040701.5 30.94, 276368.7 7040694.7 30.84, 276370.11 7040693.1 30.79)</t>
  </si>
  <si>
    <t>POLYGON ((275073.96442960255 7041449.920648596, 275073.97456659406 7041449.916237338, 275084.14456659404 7041445.356237339, 275084.153078529 7041445.352324597, 275086.573078529 7041444.212324596, 275090.1133290532 7041442.542206496, 275090.11681885127 7041442.540543656, 275100.77630133845 7041437.410792703, 275106.55862856616 7041434.644463442, 275123.80136930716 7041427.057657516, 275123.81664721743 7041427.050626212, 275144.6166472175 7041417.050626212, 275144.6337485683 7041417.041997292, 275165.4337485683 7041406.041997292, 275165.4497336669 7041406.03316636, 275185.0497336669 7041394.73316636, 275185.05416314764 7041394.730582274, 275199.45416314766 7041386.230582274, 275199.47395411215 7041386.218269224, 275216.57395411213 7041375.018269224, 275216.58900867036 7041375.00801224, 275235.78900867037 7041361.40801224, 275235.7954947859 7041361.403339598, 275254.4954947859 7041347.703339598, 275254.4996420984 7041347.700268176, 275272.39964209835 7041334.300268177, 275272.40429663024 7041334.296741176, 275282.7042966303 7041326.396741176, 275282.71127918386 7041326.391286685, 275288.97127918387 7041321.411286685, 275297.4114423817 7041314.691156801, 275297.42159604316 7041314.682852432, 275312.42159604316 7041302.0828524325, 275312.4257111422 7041302.079357684, 275322.3184616043 7041293.585582035, 275329.65097955527 7041287.761524861, 275343.210972319 7041276.991530607, 275343.22573511663 7041276.979337097, 275352.41710853233 7041269.086744708, 275361.6081541308 7041261.8937525, 275361.61416855355 7041261.88897059, 275372.0126108693 7041253.490228719, 275384.47104306717 7041243.5914744055, 275384.4799464817 7041243.584232025, 275410.4158373636 7041221.987653649, 275431.1045269777 7041205.496669174, 275449.4946043165 7041191.904003316, 275459.2919886794 7041184.855884973, 275472.6898080887 7041175.207455401, 275484.51740392187 7041166.899144212, 275484.54447041417 7041166.878726586, 275510.6117970356 7041145.790889285, 275520.06900245114 7041138.353087139, 275534.9065266655 7041126.695032399, 275560.9993954529 7041106.70049693, 275580.1908254401 7041092.706745897, 275589.8854816644 7041085.9104920495, 275602.7796656012 7041077.014504682, 275621.86810764024 7041064.422129306, 275638.0569876879 7041054.528924832, 275656.94813721994 7041043.434122726, 275678.3412144466 7041031.537972306, 275699.2338689516 7041020.14197894, 275722.2207615905 7041008.3487035865, 275755.31162526365 7040992.753009528, 275786.41008403216 7040978.3537231535, 275786.4189847117 7040978.349494935, 275790.31402796705 7040976.451909759, 275824.2074999618 7040960.854913797, 275857.60597608663 7040945.755602734, 275857.61183082504 7040945.752910257, 275872.93744992814 7040938.584959248, 275883.8030302305 7040933.7569231065, 275883.8088804655 7040933.754278495, 275886.91888046556 7040932.324278495, 275886.91956652346 7040932.323962413, 275894.60956652346 7040928.773962413, 275894.62598239665 7040928.766017889, 275897.60994398897 7040927.254144015, 275900.6933633381 7040925.961097191, 275900.6948199954 7040925.9604836255, 275903.29481999535 7040924.860483626, 275905.8948199955 7040923.760483625, 275905.9019805015 7040923.757388103, 275941.00198050146 7040908.257388103, 275941.00659276603 7040908.255323433, 275948.78658532846 7040904.725326808, 275972.30656593957 7040894.055335604, 275972.30840369296 7040894.054497415, 276013.3077988742 7040875.2547747465, 276060.30719321367 7040853.855050516, 276091.006836499 7040839.855213282, 276125.9062129057 7040824.055495596, 276125.90907180274 7040824.054190468, 276144.80874303187 7040815.354341808, 276162.9061968514 7040807.055509392, 276181.70397003106 7040798.656504355, 276181.70640765957 7040798.655407377, 276195.6064076596 7040792.355407377, 276214.10671604436 7040783.955267479, 276214.110690215 7040783.953441985, 276233.9105796507 7040774.753493358, 276249.2086882603 7040767.654371062, 276267.9069014722 7040759.155183239, 276267.90993242385 7040759.15379332, 276289.3099324238 7040749.25379332, 276289.32012439624 7040749.248937913, 276304.82012439624 7040741.648937914, 276304.8306763683 7040741.643608401, 276319.8306763683 7040733.843608401, 276319.8387566602 7040733.839312255, 276333.6387566602 7040726.339312255, 276333.6899656467 7040726.3073326945, 276345.4899656467 7040717.907332694, 276345.5158364756 7040717.887617493, 276356.3158364756 7040709.087617493, 276356.3635065763 7040709.043311766, 276363.16350657627 7040701.843311766, 276363.17766123364 7040701.8276766585, 276369.0763982502 7040695.029132301, 276370.4851241156 7040693.430578127, 276369.7348758844 7040692.769421873, 276368.3248758844 7040694.369421873, 276368.32233876636 7040694.372323342, 276362.4292511795 7040701.164356492, 276355.6588837003 7040708.332980882, 276344.89677813055 7040717.102103939, 276333.13467171235 7040725.475128847, 276319.36526380957 7040732.958502707, 276304.3745681176 7040740.7536644675, 276288.8849441736 7040748.348576852, 276267.49158077064 7040758.245506651, 276248.7930985278 7040766.744816761, 276248.78953144583 7040766.746455087, 276233.48953144584 7040773.846455087, 276213.6912928522 7040783.04563659, 276195.1934384599 7040791.444662369, 276181.2948095966 7040797.744040918, 276162.49602996896 7040806.143495644, 276162.4915861862 7040806.145507225, 276144.3915861862 7040814.445507226, 276144.39092819724 7040814.445809532, 276125.4923556084 7040823.145152469, 276090.5937870943 7040838.944504404, 276090.5925404508 7040838.945070846, 276059.8926733166 7040852.945010256, 276012.8928067863 7040874.344949484, 276012.891596307 7040874.345502584, 275971.8925142651 7040893.145081666, 275948.3734340604 7040903.8146643955, 275940.5957081196 7040907.343632591, 275905.5015876935 7040922.841036198, 275902.9051800045 7040923.939516375, 275900.30590790074 7040925.039208419, 275897.2066366619 7040926.338902809, 275897.1740176034 7040926.353982111, 275894.18215307296 7040927.869860141, 275886.50077650254 7040931.415879234, 275883.3940361541 7040932.8443804225, 275872.52696976945 7040937.673076893, 275872.51816917496 7040937.677089742, 275857.1910878702 7040944.845724639, 275823.7940239134 7040959.944397266, 275823.7909808462 7040959.945785301, 275789.8909808462 7040975.5457853, 275789.8810152883 7040975.550505065, 275785.98544479493 7040977.448347101, 275754.8899159678 7040991.846276847, 275754.8868382979 7040991.847714594, 275721.7868382979 7041007.447714594, 275721.77176314336 7041007.455131551, 275698.77176314336 7041019.255131551, 275698.76057393465 7041019.261052214, 275677.8605739346 7041030.661052213, 275677.8570051784 7041030.663017715, 275656.45700517844 7041042.563017716, 275656.4467890727 7041042.56885707, 275637.5467890727 7041053.66885707, 275637.5392749953 7041053.673359083, 275621.33927499526 7041063.573359083, 275621.3246702297 7041063.582635031, 275602.2246702297 7041076.182635031, 275602.21605897386 7041076.188445029, 275589.31605897384 7041085.088445029, 275589.3129856212 7041085.09058243, 275579.61298562126 7041091.89058243, 275579.6054139213 7041091.895996234, 275560.4054139213 7041105.895996234, 275560.39588000614 7041105.903123408, 275534.2958800061 7041125.903123408, 275534.291089224 7041125.90684083, 275519.451089224 7041137.56684083, 275509.9909057785 7041145.006985036, 275509.9855295858 7041145.011273415, 275483.92871651973 7041166.090605504, 275472.11259607814 7041174.390855788, 275472.10780775576 7041174.394261546, 275458.7079092806 7041184.044188433, 275448.90801132063 7041191.094115027, 275448.90280446946 7041191.09791193, 275430.50280446943 7041204.697911929, 275430.4883439987 7041204.70901338, 275409.78834399866 7041221.20901338, 275409.7800535183 7041221.215767975, 275383.84446365264 7041242.812095697, 275371.3889569329 7041252.708525594, 275371.38583144645 7041252.711029409, 275360.98882027745 7041261.108615354, 275351.79184586916 7041268.3062475, 275351.77426488337 7041268.320662903, 275342.58152952994 7041276.2144247815, 275329.02902768104 7041286.978469392, 275321.68902044476 7041292.80847514, 275321.6742888578 7041292.820642317, 275311.77633695584 7041301.318883848, 275296.78342632344 7041313.91292878, 275288.3486394736 7041320.628778025, 275282.0921879136 7041325.605955144, 275271.79802036064 7041333.501481715, 275253.90242361446 7041346.898185424, 275235.20772957633 7041360.594298168, 275216.01842516946 7041374.186722123, 275198.9357978381 7041385.375343533, 275184.5480449786 7041393.868114318, 275164.9581782202 7041405.162272194, 275144.17471945373 7041416.153524427, 275123.3909325995 7041426.145729644, 275106.1486306928 7041433.732342484, 275106.1342171238 7041433.738959259, 275100.3442171238 7041436.508959259, 275100.34318114875 7041436.509456344, 275089.6849228181 7041441.638618186, 275086.1467958325 7041443.307734588, 275083.7311591366 7041444.445679149, 275073.5704774825 7041449.001501011, 275064.3355703975 7041452.899351404, 275064.72442960256 7041453.820648597, 275073.96442960255 7041449.920648596))</t>
  </si>
  <si>
    <t>[706]</t>
  </si>
  <si>
    <t>['RV706 S1D20 m236-252']</t>
  </si>
  <si>
    <t>LINESTRING Z (269917.37 7038141.85 24.44, 269918.91000000003 7038140.65 24.13, 269927.61 7038133.85 24.11, 269929.87 7038132.09 24.47)</t>
  </si>
  <si>
    <t>POINT (269923.6195036702 7038136.969363534)</t>
  </si>
  <si>
    <t>2024-08-26</t>
  </si>
  <si>
    <t>[667]</t>
  </si>
  <si>
    <t>['FV667 S1D1 m8-31']</t>
  </si>
  <si>
    <t>LINESTRING Z (74384.195211312 6956254.98480244 50.568, 74385.719090684 6956266.79691791 50.468, 74385.1981818787 6956277.55937935 50.398)</t>
  </si>
  <si>
    <t>POLYGON ((74385.2175345812 6956266.816975391, 74384.69876650449 6956277.535207383, 74385.69759725292 6956277.583551317, 74386.21850605821 6956266.821089877, 74386.21869135281 6956266.7769386275, 74386.21498102683 6956266.732943166, 74384.69110165484 6956254.920827696, 74383.69932096917 6956255.0487771835, 74385.2175345812 6956266.816975391))</t>
  </si>
  <si>
    <t>['EV6 S102D1 m8029-8065']</t>
  </si>
  <si>
    <t>LINESTRING Z (397911.79000000004 7182156.07 166.4, 397914.26 7182157.91 166.56, 397919.17 7182161.71 166.86, 397924.05 7182165.45 167.16, 397933.77 7182172.93 167.76, 397937.76 7182175.96 168.02, 397940 7182177.99 168.17000000000002)</t>
  </si>
  <si>
    <t>POLYGON ((397913.9576137832 7182158.3082257, 397918.8639783781 7182162.105412148, 397918.86585252336 7182162.106855531, 397923.74545891467 7182165.846553872, 397933.4650658203 7182173.326251367, 397933.4676102117 7182173.328196454, 397937.4403239408 7182176.345069286, 397939.6642402876 7182178.360493476, 397940.3357597124 7182177.619506525, 397938.0957597124 7182175.589506525, 397938.06238978833 7182175.561803546, 397934.07366509043 7182172.532772008, 397924.3549341797 7182165.053748633, 397924.3541474766 7182165.053144469, 397919.4750861869 7182161.31386389, 397914.56602162187 7182157.514587852, 397914.5586997243 7182157.509028087, 397912.08869972435 7182155.6690280875, 397911.4913002757 7182156.470971913, 397913.9576137832 7182158.3082257))</t>
  </si>
  <si>
    <t>['EV6 S80D1 m0-1702', 'EV6 S80D1 m1728-2172']</t>
  </si>
  <si>
    <t>LINESTRING Z (295192.1 7046533.48 21.830000000000002, 295191.29000000004 7046540.64 21.92, 295190.98 7046543.42 21.96, 295190.66000000003 7046546.4 22, 295189.94 7046553.37 22.080000000000002, 295188.96 7046563.33 22.2, 295188.68 7046566.32 22.23, 295188.31 7046570.3 22.27, 295188.04000000004 7046573.29 22.3, 295187.15 7046583.25 22.400000000000002, 295186.72 7046588.31 22.45, 295186.29000000004 7046593.22 22.490000000000002, 295185.58 7046601.55 22.57, 295185.44 7046603.19 22.580000000000002, 295184.6 7046613.16 22.67, 295183.75 7046623.12 22.76, 295182.9 7046633.09 22.85, 295182.49 7046637.89 22.89, 295976.46 7045168.19 5.08, 295974.21 7045174.21 5.05, 295970.71 7045183.58 4.99, 295968.96 7045188.26 4.97, 295967.2 7045192.96 4.95, 295965.45 7045197.64 4.93, 295963.7 7045202.32 4.91, 295960.17 7045211.69 4.88, 295958.41000000003 7045216.36 4.86, 295956.63 7045221.04 4.8500000000000005, 295953.05 7045230.38 4.83, 295949.44 7045239.71 4.82, 295948.17 7045242.95 4.82, 295945.79000000004 7045249.03 4.8100000000000005, 295942.12 7045258.33 4.8, 295938.42 7045267.63 4.8, 295934.68 7045276.91 4.79, 295932.89 7045281.32 4.79, 295930.92 7045286.18 4.78, 295927.12 7045295.43 4.7700000000000005, 295923.29000000004 7045304.68 4.75, 295919.44 7045313.91 4.73, 295918.66000000003 7045315.75 4.73, 295917.49 7045318.52 4.72, 295916.33 7045321.28 4.71, 295915.55 7045323.12 4.71, 295914.77 7045324.96 4.7, 295913.98 7045326.81 4.69, 295913.58999999997 7045327.73 4.69, 295912.81 7045329.57 4.68, 295912.02 7045331.41 4.68, 295911.23 7045333.25 4.67, 295910.45 7045335.09 4.66, 295909.26 7045337.84 4.65, 295908.47 7045339.68 4.65, 295907.68 7045341.52 4.64, 295906.88 7045343.36 4.63, 295905.69 7045346.11 4.63, 295904.89 7045347.95 4.62, 295904.08999999997 7045349.78 4.61, 295903.3 7045351.61 4.61, 295902.5 7045353.45 4.6000000000000005, 295901.7 7045355.28 4.59, 295900.89 7045357.11 4.59, 295900.08999999997 7045358.95 4.58, 295898.88 7045361.69 4.57, 295898.07 7045363.52 4.5600000000000005, 295897.26 7045365.35 4.5600000000000005, 295896.05 7045368.1 4.55, 295895.24 7045369.93 4.54, 295894.42 7045371.76 4.54, 295893.61 7045373.58 4.53, 295892.8 7045375.41 4.5200000000000005, 295891.98 7045377.24 4.51, 295890.75 7045379.98 4.51, 295889.52 7045382.71 4.5, 295888.29000000004 7045385.45 4.49, 295887.47 7045387.27 4.48, 295886.64 7045389.1 4.47, 295885.41000000003 7045391.83 4.46, 295884.58 7045393.65 4.46, 295883.75 7045395.47 4.45, 295882.5 7045398.2 4.44, 295881.67 7045400.02 4.43, 295880.83999999997 7045401.84 4.43, 295880.01 7045403.66 4.42, 295879.17 7045405.48 4.42, 295874.98 7045414.56 4.38, 295870.75 7045423.63 4.3500000000000005, 295866.5 7045432.69 4.32, 295862.21 7045441.73 4.29, 295857.9 7045450.75 4.26, 295857.47 7045451.65 4.25, 295853.56 7045459.76 4.22, 295849.18 7045468.76 4.19, 295844.78 7045477.74 4.16, 295840.33999999997 7045486.71 4.13, 295835.88 7045495.66 4.09, 295831.38 7045504.6 4.0600000000000005, 295826.86 7045513.52 4.03, 295822.31 7045522.43 4, 295817.72 7045531.32 3.97, 295813.11 7045540.2 3.93, 295808.47 7045549.06 3.9, 295803.79000000004 7045557.91 3.87, 295799.08999999997 7045566.74 3.84, 295794.36 7045575.55 3.81, 295789.6 7045584.35 3.77, 295786.51 7045590.04 3.75, 295784.81 7045593.13 3.74, 295779.99 7045601.9 3.71, 295775.15 7045610.65 3.69, 295770.27 7045619.38 3.67, 295765.36 7045628.1 3.66, 295760.92 7045635.94 3.65, 295760.43 7045636.81 3.65, 295755.46 7045645.49 3.65, 295750.46 7045654.16 3.65, 295745.42 7045662.8 3.66, 295740.33999999997 7045671.41 3.67, 295735.2 7045680 3.69, 295730.01 7045688.55 3.71, 295724.76 7045697.06 3.74, 295722.89 7045700.06 3.75, 295722.1 7045701.3 3.75, 295719.44 7045705.54 3.77, 295714.05 7045713.96 3.8000000000000003, 295708.58 7045722.34 3.83, 295705.3 7045727.29 3.85, 295703.04000000004 7045730.67 3.86, 295702.54000000004 7045731.4 3.87, 295697.41000000003 7045738.94 3.9, 295691.7 7045747.16 3.93, 295685.93 7045755.33 3.96, 295680.08 7045763.45 3.99, 295674.18 7045771.52 4.0200000000000005, 295668.22 7045779.55 4.05, 295662.2 7045787.55 4.08, 295661.21 7045788.87 4.09, 295656.15 7045795.51 4.12, 295650.05 7045803.44 4.15, 295643.9 7045811.33 4.18, 295637.71 7045819.19 4.21, 295631.47 7045827.02 4.24, 295625.2 7045834.81 4.2700000000000005, 295618.88 7045842.56 4.3, 295612.51 7045850.28 4.33, 295606.11 7045857.96 4.37, 295599.66000000003 7045865.61 4.4, 295596.42 7045869.42 4.41, 295593.16000000003 7045873.22 4.43, 295586.63 7045880.8 4.46, 295580.43 7045887.91 4.49, 295580.05 7045888.34 4.49, 295573.44 7045895.84 4.53, 295571.33999999997 7045898.2 4.55, 295566.78 7045903.3 4.58, 295560.08 7045910.73 4.65, 295553.33999999997 7045918.13 4.73, 295546.57 7045925.49 4.82, 295543.17 7045929.16 4.87, 295539.77 7045932.83 4.92, 295536.35 7045936.49 4.98, 295532.94 7045940.14 5.04, 295526.08 7045947.42 5.18, 295522.64 7045951.06 5.25, 295519.2 7045954.69 5.32, 295512.3 7045961.93 5.48, 295511.91000000003 7045962.33 5.49, 295505.39 7045969.16 5.65, 295498.45 7045976.37 5.8100000000000005, 295494.98 7045979.97 5.9, 295491.51 7045983.57 5.98, 295484.55 7045990.76 6.15, 295477.58999999997 7045997.95 6.3100000000000005, 295470.63 7046005.13 6.48, 295465.75 7046010.16 6.59, 295463.66000000003 7046012.31 6.640000000000001, 295456.7 7046019.49 6.8100000000000005, 295449.74 7046026.68 6.98, 295442.8 7046033.88 7.140000000000001, 295435.87 7046041.1 7.3100000000000005, 295428.97 7046048.35 7.48, 295422.1 7046055.62 7.640000000000001, 295418.33999999997 7046059.63 7.73, 295415.27 7046062.93 7.8100000000000005, 295408.48 7046070.28 7.98, 295401.75 7046077.67 8.17, 295395.07 7046085.12 8.370000000000001, 295388.45 7046092.62 8.57, 295381.9 7046100.18 8.790000000000001, 295375.42 7046107.81 9.01, 295374.78 7046108.57 9.040000000000001, 295369.03 7046115.5 9.25, 295362.73 7046123.27 9.49, 295362.12 7046124.03 9.52, 295356.52 7046131.12 9.75, 295350.42 7046139.04 10.02, 295344.41000000003 7046147.04 10.290000000000001, 295338.5 7046155.12 10.58, 295332.7 7046163.26 10.88, 295326.99 7046171.48 11.18, 295321.95 7046178.94 11.47, 295321.39 7046179.77 11.5, 295315.9 7046188.13 11.82, 295313.47 7046191.89 11.97, 295310.51 7046196.56 12.16, 295305.22 7046205.05 12.49, 295300.04000000004 7046213.61 12.83, 295294.97 7046222.23 13.16, 295290.01 7046230.92 13.5, 295285.15 7046239.67 13.83, 295280.41000000003 7046248.48 14.17, 295275.77 7046257.34 14.51, 295271.25 7046266.26 14.84, 295266.83999999997 7046275.24 15.18, 295262.54000000004 7046284.28 15.51, 295258.36 7046293.36 15.85, 295254.28 7046302.5 16.18, 295250.33 7046311.69 16.51, 295246.49 7046320.93 16.84, 295242.76 7046330.21 17.150000000000002, 295239.15 7046339.54 17.46, 295235.66000000003 7046348.92 17.75, 295232.28 7046358.33 18.04, 295229.03 7046367.79 18.330000000000002, 295225.89 7046377.29 18.6, 295222.87 7046386.83 18.86, 295219.97 7046396.4 19.12, 295217.19 7046406.01 19.37, 295214.53 7046415.66 19.61, 295211.99 7046425.33 19.84, 295209.57 7046435.03 20.06, 295207.28 7046444.78 20.27, 295205.1 7046454.54 20.48, 295203.05 7046464.33 20.68, 295201.12 7046474.15 20.87, 295199.31 7046483.99 21.05, 295197.63 7046493.85 21.22, 295196.07 7046503.73 21.39, 295195.19 7046509.67 21.48, 295195.11 7046510.22 21.490000000000002, 295194.63 7046513.63 21.54, 295193.31 7046523.55 21.69, 295192.94 7046526.53 21.73, 295192.45 7046530.5 21.79, 295192.1 7046533.48 21.830000000000002, 295182.49 7046637.89 22.89, 295182.3 7046640.17 22.91, 295180.53 7046661.06 23.1, 295180.33 7046663.35 23.12, 295179.51 7046672.96 23.21, 295178.66000000003 7046682.93 23.3, 295177.82 7046692.9 23.39, 295176.97 7046702.87 23.47, 295176.12 7046712.84 23.56, 295175.28 7046722.8 23.650000000000002, 295174.43 7046732.77 23.740000000000002, 295173.58 7046742.74 23.830000000000002, 295172.73 7046752.71 23.92, 295171.89 7046762.68 24.01, 295171.41000000003 7046768.33 24.060000000000002, 295171.04000000004 7046772.64 24.1, 295170.19 7046782.61 24.22, 295169.33999999997 7046792.58 24.36, 295168.5 7046802.55 24.54, 295167.65 7046812.52 24.740000000000002, 295166.71 7046822.5 24.97, 295165.89 7046832.44 25.23, 295165.03 7046842.42 25.52, 295164.18 7046852.37 25.830000000000002, 295164.1 7046853.29 25.86, 295163.33 7046862.36 26.18, 295162.49 7046872.34 26.55, 295161.64 7046882.28 26.95, 295160.79000000004 7046892.29 27.38, 295159.94 7046902.23 27.84, 295159.23 7046910.58 28.25, 295159.1 7046912.2 28.330000000000002, 295158.25 7046922.18 28.830000000000002, 295157.4 7046932.16 29.32, 295156.9 7046938.1 29.62, 295156.83 7046939.11 29.67, 295156.58 7046942.1 29.82, 295155.72 7046952.06 30.32, 295154.87 7046962.04 30.82, 295154.01 7046972.03 31.310000000000002, 295153.17 7046981.98 31.810000000000002, 295152.32 7046991.96 32.31, 295151.46 7047001.92 32.81, 295150.96 7047007.89 33.11, 295150.63 7047011.91 33.31, 295149.79000000004 7047021.85 33.8, 295148.93 7047031.81 34.300000000000004, 295147.81 7047045.04 34.75, 295147.65 7047047.76 35.1, 295147.25 7047051.56 35.31, 295146.91000000003 7047055.73 35.49, 295146.41000000003 7047061.71 35.79, 295145.94 7047067.26 36.1, 295145.58999999997 7047071.68 36.29, 295144.79000000004 7047081.65 36.79, 295144.63 7047083.55 36.88, 295144.02 7047091.62 37.28, 295143.71 7047095.58 37.480000000000004, 295142.97 7047105.45 37.96, 295142.43 7047111.19 38.24, 295141.36 7047121.53 38.730000000000004, 295140.45 7047131.49 39.2, 295139.44 7047141.44 39.660000000000004, 295138.74 7047147.68 39.95, 295138.66000000003 7047148.4 39.980000000000004, 295138.31 7047151.38 40.12, 295137.89 7047154.65 40.27, 295137.03 7047161.3 40.57, 295136.9 7047162.29 40.61, 295136.58 7047164.6 40.71, 295136.1 7047167.91 40.86, 295135.61 7047171.21 41.01, 295135.11 7047174.5 41.15, 295134.58999999997 7047177.8 41.300000000000004, 295134.05 7047181.09 41.44, 295133.5 7047184.37 41.59, 295132.93 7047187.67 41.730000000000004, 295132.33999999997 7047190.94 41.87, 295131.74 7047194.22 42.01, 295131.12 7047197.5 42.15, 295130.49 7047200.78 42.29, 295129.83999999997 7047204.04 42.43, 295129.18 7047207.32 42.57, 295128.5 7047210.58 42.71, 295127.8 7047213.84 42.85, 295127.08999999997 7047217.1 42.980000000000004, 295126.36 7047220.35 43.12, 295125.62 7047223.6 43.25, 295124.86 7047226.85 43.39, 295124.08 7047230.09 43.52, 295123.29000000004 7047233.33 43.65, 295122.48 7047236.57 43.79, 295121.66000000003 7047239.8 43.92, 295120.82 7047243.02 44.050000000000004, 295119.97 7047246.25 44.18, 295119.1 7047249.47 44.300000000000004, 295118.28 7047252.44 44.42, 295117.45 7047255.41 44.54, 295116.6 7047258.37 44.660000000000004, 295116.39 7047259.1 44.69)</t>
  </si>
  <si>
    <t>2024-09-03</t>
  </si>
  <si>
    <t>['RV706 S1D1 m6130-6401']</t>
  </si>
  <si>
    <t>LINESTRING Z (268880.7 7042038.32 1.56, 268883.6 7042039.87 1.77, 268896.76 7042045.44 2.63, 268911.66000000003 7042049.71 3.43, 268926.58 7042052.44 4.03, 268942.29 7042054.16 4.43, 268957.7 7042054.18 4.73, 268978.49 7042052.31 4.95, 268987.74 7042050.25 4.49, 268992.96 7042048.88 4.23, 268994.55 7042048.62 4.15, 269001.69 7042047.44 5.1000000000000005, 269011.64 7042045.71 5.17, 269015 7042045.07 5.2, 269019.17 7042044.25 5.23, 269024.51 7042043.21 5.2700000000000005, 269028.97 7042042.34 5.3100000000000005, 269035.03 7042041.11 5.36, 269041.27 7042039.87 5.4, 269047.73 7042038.52 5.43, 269053.24 7042037.42 5.47, 269055.55 7042036.94 5.49, 269059.48 7042036.16 5.51, 269063.28 7042035.39 5.54, 269073.66000000003 7042033.25 5.59, 269076.8 7042032.62 5.61, 269080.3 7042031.87 5.62, 269087 7042030.52 5.65, 269092.05 7042029.43 5.7, 269096.96 7042028.45 5.73, 269101.86 7042027.48 5.76, 269106.78 7042026.51 5.78, 269111.67 7042025.53 5.8100000000000005, 269116.58 7042024.55 5.8500000000000005, 269121.49 7042023.59 5.87, 269126.39 7042022.62 5.87, 269131.29 7042021.66 5.86, 269136.2 7042020.69 5.8500000000000005, 269141.1 7042019.7 5.78, 269145.08 7042018.88 5.71)</t>
  </si>
  <si>
    <t>POLYGON ((268883.3643113644 7042040.310965834, 268883.4051115214 7042040.330454646, 268896.56511152146 7042045.900454646, 268896.62225602916 7042045.920652264, 268911.5222560292 7042050.190652263, 268911.570006166 7042050.201834434, 268926.490006166 7042052.931834434, 268926.52558297006 7042052.937029966, 268942.23558297 7042054.657029966, 268942.2893510713 7042054.659999579, 268957.6993510713 7042054.679999579, 268957.74479271274 7042054.67798957, 268978.5347927127 7042052.80798957, 268978.59868867794 7042052.798043821, 268987.84868867794 7042050.738043821, 268987.8669273953 7042050.73362117, 268993.06404083385 7042049.369627796, 268994.6306893289 7042049.113446281, 268994.6315271821 7042049.113308543, 269001.77152718214 7042047.933308544, 269001.77564969385 7042047.932609511, 269011.72564969386 7042046.20260951, 269011.7335560539 7042046.201169283, 269015.0935560539 7042045.561169283, 269015.096473793 7042045.560604533, 269019.2660284075 7042044.740692114, 269024.60558242176 7042043.700778973, 269029.0657293264 7042042.83075034, 269029.069457159 7042042.8300084425, 269035.1284556998 7042041.60021171, 269041.3674534432 7042040.360410876, 269041.3722796542 7042040.359427086, 269047.830085288 7042039.00988566, 269053.33788693056 7042037.910324534, 269053.3417232283 7042037.9095430365, 269055.6495326267 7042037.429998226, 269059.5773380062 7042036.6504338, 269059.5792977357 7042036.650040774, 269063.37929773575 7042035.880040773, 269063.38095957116 7042035.8797010975, 269073.75965969305 7042033.739969088, 269076.8983582881 7042033.110230198, 269076.90476454434 7042033.108901207, 269080.40176678397 7042032.359543584, 269087.09876139543 7042031.010149147, 269087.1054914675 7042031.008744872, 269092.1516848995 7042029.919566488, 269097.05748109263 7042028.940405537, 269101.95690574264 7042027.970519434, 269106.8767154947 7042027.000556941, 269106.8782508599 7042027.000251739, 269111.76805738994 7042026.020290513, 269116.6769050497 7042025.040520511, 269121.58594302676 7042024.080708605, 269121.5870953945 7042024.08048189, 269126.4866133755 7042023.11057731, 269131.3861315981 7042022.150671699, 269131.3869050795 7042022.150519527, 269136.2969050795 7042021.180519527, 269136.29901960783 7042021.180097049, 269141.1990196078 7042020.190097049, 269141.20089589484 7042020.189714221, 269145.1808958949 7042019.369714221, 269144.97910410515 7042018.390285779, 269141.0000418626 7042019.2100925725, 269136.10203728185 7042020.199689417, 269131.1934816419 7042021.169404075, 269126.2938684019 7042022.129328301, 269126.2929046055 7042022.12951811, 269121.393480624 7042023.099404082, 269116.48405697325 7042024.059291394, 269116.4821339847 7042024.05967129, 269111.57213398465 7042025.039671291, 269106.6825166088 7042026.019594452, 269101.7632845053 7042026.989443059, 269096.8629046055 7042027.95951811, 269096.8621339848 7042027.959671291, 269091.95213398477 7042028.93967129, 269091.94450853247 7042028.941255127, 269086.8978687477 7042030.030529853, 269080.20123860455 7042031.379850852, 269080.19523545564 7042031.381098793, 269076.69843421463 7042032.130413344, 269073.5616417119 7042032.759769802, 269073.5590404289 7042032.760298902, 269063.1798710055 7042034.900127665, 269059.38168164494 7042035.669760773, 269055.4526619938 7042036.4495662, 269055.4482767717 7042036.450456964, 269053.14019344945 7042036.930058693, 269047.6321130694 7042038.029675465, 269047.6277203458 7042038.030572914, 269041.17013105674 7042039.380069128, 269034.93254655687 7042040.619589125, 269034.930542841 7042040.619991558, 269028.87240529514 7042041.849613534, 269024.4143442642 7042042.719235305, 269019.07441757823 7042043.759221027, 269019.073526207 7042043.759395467, 269014.9049841593 7042044.579108772, 269011.55039131746 7042045.218078837, 269001.6064101776 7042046.947032342, 268994.4688916627 7042048.126622236, 268992.8793106711 7042048.386553719, 268992.8330726047 7042048.39637883, 268987.6221504755 7042049.763996324, 268978.41293705214 7042051.814913043, 268957.6778823523 7042053.679970873, 268942.317613051 7042053.6600354165, 268926.6522988983 7042051.94492782, 268911.77414342493 7042049.222584358, 268896.92692942877 7042044.967711623, 268883.81572960946 7042039.418366411, 268880.93568863557 7042037.879034166, 268880.46431136446 7042038.760965834, 268883.3643113644 7042040.310965834))</t>
  </si>
  <si>
    <t>['EV6 S77D1 m7038-7512']</t>
  </si>
  <si>
    <t>LINESTRING Z (283539.4 7040440.56 144.59, 283540 7040440.4 144.55, 283552.7 7040437.3 144.35, 283584 7040430.4 143.15, 283599 7040427.6 142.55, 283621.8 7040423.6 141.55, 283645.5 7040420.3 140.95000000000002, 283653.3 7040419.4 140.95000000000002, 283674.6 7040417.6 140.55, 283680.1 7040417.1 139.95000000000002, 283693.3 7040415.9 138.95000000000002, 283709.5 7040415.9 138.05, 283719.2 7040415.7 137.65, 283743.5 7040416.2 137.05, 283755 7040416.4 136.65, 283763.8 7040416.7 136.45, 283782.3 7040418 135.45, 283790.8 7040418.6 135.05, 283804.8 7040419.8 134.65, 283813.2 7040420.1 134.45, 283818.5 7040420.3 133.45, 283841.2 7040421.9 132.65, 283862.8 7040422.5 132.05, 283876.5 7040422.9 131.15, 283898.5 7040423.5 130.35, 283912.8 7040423.4 129.55, 283928.2 7040423 128.65, 283951 7040421.8 128.15, 283955.1 7040421.5 128.05, 283961.8 7040421 127.55, 283986.4 7040418.9 127.15, 283991.5 7040418.5 126.15, 284010.1 7040416.3 125.55, 284010.14 7040416.29 125.55)</t>
  </si>
  <si>
    <t>POLYGON ((283540.12371260126 7040440.884482463, 283552.8131168916 7040437.787068817, 283584.099720119 7040430.890022099, 283599.08907674963 7040428.092008861, 283621.87770160194 7040424.094004501, 283645.56314225326 7040420.796031752, 283653.349719361 7040419.897580548, 283674.6421034489 7040418.098224145, 283674.645267873 7040418.097946603, 283680.145267873 7040417.597946603, 283693.3226805084 7040416.4, 283709.5 7040416.4, 283709.5103070877 7040416.399893753, 283719.20001060044 7040416.200106052, 283743.4897141113 7040416.69989419, 283743.49130566255 7040416.699924403, 283754.9871341307 7040416.899851855, 283763.77394941245 7040417.199402375, 283782.26487002923 7040418.498764365, 283790.76104428543 7040419.098494312, 283804.75729942933 7040420.298173324, 283804.78215423477 7040420.299681427, 283813.1816499213 7040420.599663416, 283818.47298800194 7040420.799336551, 283841.1648449276 7040422.39876259, 283841.1861164664 7040422.399807211, 283862.78576239204 7040422.999797375, 283876.4854076783 7040423.399787019, 283876.48636870494 7040423.399814154, 283898.48636870494 7040423.999814154, 283898.503496418 7040423.9999877745, 283912.803496418 7040423.899987775, 283912.81298263435 7040423.899831424, 283928.2129826344 7040423.499831423, 283928.2262794166 7040423.499308915, 283951.0262794166 7040422.299308915, 283951.03648781916 7040422.298666862, 283955.13648781914 7040421.998666862, 283955.1372099624 7040421.998613496, 283961.8372099624 7040421.498613496, 283961.8425282494 7040421.498188064, 283986.44081236754 7040419.398334542, 283991.5390956227 7040418.998469189, 283991.5587303911 7040418.996538761, 284010.15873039106 7040416.796538761, 284010.22126780986 7040416.785071251, 284010.2612678099 7040416.775071251, 284010.01873219013 7040415.804928749, 284010.00963560486 7040415.807202895, 283991.45106794185 7040418.002302296, 283986.3609043773 7040418.401530812, 283986.3574717506 7040418.401811936, 283961.76012980245 7040420.501585029, 283955.0631512426 7040421.001359548, 283950.96861309744 7040421.3009599, 283928.1803655039 7040422.500341352, 283912.7917596921 7040422.9000454, 283898.5050689484 7040422.999952327, 283876.5141115383 7040422.400198944, 283862.8145923217 7040422.000212981, 283862.8138835336 7040422.000192789, 283841.22453042615 7040421.400488537, 283818.5351550724 7040419.80123741, 283818.518854505 7040419.800355619, 283813.218854505 7040419.600355619, 283813.21784576523 7040419.6003185725, 283804.83029194805 7040419.300763079, 283790.84270057065 7040418.101826675, 283790.83520651486 7040418.101241038, 283782.33520651486 7040417.501241039, 283763.83504870796 7040416.201229925, 283763.8170355581 7040416.200290294, 283755.0170355581 7040415.900290295, 283755.00869433745 7040415.900075598, 283743.5094902777 7040415.70008944, 283719.2102858887 7040415.200105811, 283719.18969291233 7040415.200106247, 283709.4948458987 7040415.4, 283693.3 7040415.4, 283693.254732127 7040415.402053397, 283680.054732127 7040416.602053396, 283674.5563138688 7040417.101909602, 283653.25789655105 7040418.901775855, 283653.242687946 7040418.903295533, 283645.442687946 7040419.803295532, 283645.431044985 7040419.804777619, 283621.731044985 7040423.104777619, 283621.71360026096 7040423.107521487, 283598.913600261 7040427.107521487, 283598.9082514434 7040427.108489876, 283583.9082514434 7040429.908489876, 283583.89236080257 7040429.911723641, 283552.5923608026 7040436.81172364, 283552.58143386396 7040436.8142613135, 283539.88143386395 7040439.914261314, 283539.8711686753 7040439.916882531, 283539.27116867533 7040440.07688253, 283539.5288313247 7040441.043117469, 283540.12371260126 7040440.884482463))</t>
  </si>
  <si>
    <t>['EV6 S77D1 m4755-5891']</t>
  </si>
  <si>
    <t>LINESTRING Z (281407.73 7040083.49 102.9, 281432.1 7040086.4 102.35000000000001, 281453.4 7040088.9 102.15, 281459.7 7040089.9 102.15, 281483.4 7040093 101.85000000000001, 281497.2 7040094.8 100.85000000000001, 281519 7040098.4 100.55, 281534.2 7040100.5 100.55, 281587.3 7040108.7 99.85000000000001, 281604.9 7040111.1 99.85000000000001, 281615 7040112.4 99.85000000000001, 281625.9 7040113.6 99.15, 281649.3 7040116.1 98.85000000000001, 281660.1 7040117.1 98.85000000000001, 281679 7040118.7 98.75, 281688.8 7040119.3 98.75, 281699.6 7040119.6 98.55, 281715.5 7040119.6 98.05, 281762.7 7040119.6 96.35000000000001, 281786.4 7040118.5 96.25, 281807.1 7040117.4 96.05, 281829.3 7040116.3 96.05, 281850.1 7040115.1 96.05, 281874.7 7040113.9 95.85000000000001, 281896.7 7040112.7 95.85000000000001, 281918.5 7040111.4 95.85000000000001, 281940.4 7040110.2 95.85000000000001, 281963.3 7040109 96.05, 281986.5 7040108 97.05, 282010.7 7040106.9 97.65, 282033.5 7040105.6 97.85000000000001, 282042.8 7040104.9 97.85000000000001, 282060 7040104 98.85000000000001, 282083.9 7040102.9 99.85000000000001, 282106.7 7040101.8 100.25, 282129.1 7040100.7 100.85000000000001, 282143.4 7040100 101.35000000000001, 282156.9 7040099.8 102.35000000000001, 282173.5 7040100 103.15, 282187.5 7040100.4 104.15, 282208.5 7040102 105.15, 282225.1 7040103.7 105.95, 282237.5 7040105.5 106.95, 282260.8 7040110.1 107.95, 282279.4 7040114.3 108.95, 282289.7 7040116.8 109.95, 282300.5 7040119.9 110.35000000000001, 282319.6 7040125.3 110.95, 282326.5 7040127.7 111.35000000000001, 282334.3 7040130.5 112.25, 282345.2 7040134.5 112.65, 282358.6 7040139.7 113.45, 282369.6 7040144.4 114.25, 282378.3 7040148.4 115.25, 282386.7 7040152.3 116.05, 282392.2 7040155.2 117.05, 282409.5 7040164.2 118.05, 282415.1 7040167.4 118.45, 282429.4 7040175.6 118.85000000000001, 282438.8 7040181.4 119.45, 282452.3 7040189.9 120.25, 282463 7040196.8 121.25, 282476.6 7040205.5 122.05, 282487.5 7040212.5 122.45, 282495.8 7040218.6 123.35000000000001, 282499.3 7040221.4 123.95, 282509.81 7040229.41 124.55)</t>
  </si>
  <si>
    <t>POLYGON ((281432.04071659653 7040086.896473039, 281432.04171464813 7040086.896591199, 281453.3316373052 7040089.3954084115, 281459.6216162279 7040090.393817765, 281459.6351515521 7040090.395776845, 281483.3351515521 7040093.495776844, 281497.12691138836 7040095.294702073, 281518.9185345206 7040098.893318737, 281518.9315710381 7040098.895295343, 281534.1276267795 7040100.994750412, 281587.22369170544 7040109.1941427365, 281587.23244339763 7040109.195415084, 281604.83244339767 7040111.595415084, 281604.83617012727 7040111.595909011, 281614.93617012724 7040112.895909011, 281614.94528470974 7040112.896997221, 281625.84528470977 7040114.09699722, 281625.84688347974 7040114.09717063, 281649.2468834797 7040116.59717063, 281649.2539008947 7040116.597870337, 281660.0539008947 7040117.597870337, 281660.0578228224 7040117.598217909, 281678.95782282244 7040119.19821791, 281678.9694449684 7040119.199065517, 281688.7694449684 7040119.799065516, 281688.7861164664 7040119.79980721, 281699.5861164664 7040120.09980721, 281699.6 7040120.1, 281762.7 7040120.1, 281762.7231817952 7040120.0994623145, 281786.4231817952 7040118.999462315, 281786.4265326124 7040118.999295524, 281807.1256385441 7040117.899343035, 281829.3247444177 7040116.799387339, 281829.3287982675 7040116.799169971, 281850.1265802857 7040115.599297931, 281874.72436127684 7040114.399406176, 281874.7272322466 7040114.399257855, 281896.7272322466 7040113.199257854, 281896.7297636395 7040113.19911334, 281918.5285601944 7040111.899185105, 281940.42676062003 7040110.699283712, 281963.3238488246 7040109.499436295, 281986.5215317314 7040108.49953617, 281986.52270383044 7040108.49948427, 282010.72270383046 7040107.39948427, 282010.72846254363 7040107.399189226, 282033.5284625436 7040106.099189226, 282033.5375282525 7040106.098589641, 282042.83183179685 7040105.399018407, 282060.0245579794 7040104.499399014, 282083.9229882171 7040103.3994712625, 282083.9240947814 7040103.399419105, 282106.7240947814 7040102.299419104, 282129.124485008 7040101.199400126, 282143.4159310427 7040100.499818851, 282156.9006916137 7040100.30004462, 282173.489847515 7040100.499913969, 282187.47385274555 7040100.899456976, 282208.4555307095 7040102.498061011, 282225.03858967277 7040104.196326085, 282237.4156101551 7040105.992990349, 282260.6964941091 7040110.5892163655, 282279.2859599455 7040114.786837683, 282289.572003518 7040117.283450201, 282300.36205181055 7040120.380593693, 282300.3639707862 7040120.381140368, 282319.44972358656 7040125.777112364, 282326.3333996194 7040128.171434462, 282334.12940470694 7040130.970000391, 282345.02341438533 7040134.967802107, 282358.41127544804 7040140.163091475, 282369.3973018201 7040144.857120926, 282378.09028800396 7040148.853896183, 282386.4779780412 7040152.748180842, 282391.96679541894 7040155.642284551, 282391.969242906 7040155.643566414, 282409.26049355394 7040164.639014727, 282414.8516038956 7040167.833934924, 282429.1442957018 7040176.02974421, 282438.5355143498 7040181.824325929, 282452.0313018475 7040190.321673613, 282462.7290260216 7040197.220206024, 282462.73056104075 7040197.221191936, 282476.33018848614 7040205.920953611, 282487.21657646785 7040212.912211948, 282495.49564739835 7040218.996830342, 282498.9876524762 7040221.790434405, 282498.9969213949 7040221.797672427, 282509.5069213949 7040229.807672427, 282510.1130786051 7040229.012327573, 282499.6077556322 7040221.005892082, 282496.1123475238 7040218.209565595, 282496.0961025499 7040218.197106366, 282487.79610254994 7040212.097106366, 282487.7701836881 7040212.0792854, 282476.87018368806 7040205.0792854, 282476.8694389592 7040205.078808064, 282463.27020732575 7040196.379299592, 282452.5709739784 7040189.479793976, 282452.5664066348 7040189.47688358, 282439.0664066348 7040180.97688358, 282439.06255366356 7040180.974481994, 282429.6625536636 7040175.174481994, 282429.64872249315 7040175.166252237, 282415.3487224931 7040166.966252238, 282415.34806946915 7040166.965878429, 282409.7480694692 7040163.765878429, 282409.730757094 7040163.756433587, 282392.4319826989 7040154.757071185, 282386.9332045811 7040151.857715449, 282386.9105556532 7040151.846495516, 282378.5105556532 7040147.946495516, 282378.5088666058 7040147.945715133, 282369.8088666058 7040143.945715133, 282369.79645506054 7040143.940211561, 282358.79645506054 7040139.24021156, 282358.78088734706 7040139.2338672215, 282345.3808873471 7040134.033867221, 282345.37225385156 7040134.0306082545, 282334.47225385153 7040130.0306082545, 282334.46893237677 7040130.029402665, 282326.6689323768 7040127.229402665, 282326.6642603125 7040127.2277516015, 282319.7642603125 7040124.827751601, 282319.73602921376 7040124.818859632, 282300.6369892074 7040119.419131044, 282289.83794818947 7040116.319406307, 282289.81793502497 7040116.314107697, 282279.517935025 7040113.814107697, 282279.51013043575 7040113.812279499, 282260.9101304357 7040109.612279499, 282260.8968431783 7040109.609468249, 282237.5968431783 7040105.009468249, 282237.5718278196 7040105.005186131, 282225.17182781955 7040103.205186131, 282225.15093840176 7040103.202601489, 282208.5509384018 7040101.5026014885, 282208.53798514593 7040101.501444959, 282187.53798514593 7040099.901444959, 282187.51427988696 7040099.900203957, 282173.51427988696 7040099.500203957, 282173.5060236592 7040099.500036286, 282156.9060236592 7040099.300036286, 282156.8925934054 7040099.30005486, 282143.3925934054 7040099.5000548605, 282143.3755537471 7040099.500597977, 282129.07555374707 7040100.200597977, 282106.6756911515 7040101.300591223, 282083.87645826815 7040102.400554214, 282059.97701178293 7040103.500528738, 282059.97387295234 7040103.500683089, 282042.7738729523 7040104.400683089, 282042.76247174747 7040104.401410359, 282033.46700184717 7040105.101069383, 282010.6744159687 7040106.400646648, 281986.47788240784 7040107.500489083, 281963.2784682686 7040108.50046383, 281963.2738350258 7040108.500685075, 281940.3738350258 7040109.7006850755, 281940.37264377665 7040109.700748924, 281918.4726437766 7040110.900748924, 281918.4702363605 7040110.90088666, 281896.67150185164 7040112.200811195, 281874.67420300824 7040113.400663859, 281850.07563872315 7040114.600593824, 281850.07120173244 7040114.600830029, 281829.2732282523 7040115.800713114, 281807.0752555823 7040116.900612662, 281807.0734673876 7040116.900704476, 281786.37514244014 7040118.000615464, 281762.6884028751 7040119.1, 281699.6069431166 7040119.1, 281688.8222254548 7040118.800424509, 281679.03637104423 7040118.2012905665, 281660.14413888106 7040116.60194816, 281649.34961026494 7040115.602454769, 281625.95391608845 7040113.102914793, 281615.0592775613 7040111.903505049, 281604.96569419256 7040110.60433095, 281587.3719380537 7040108.205182387, 281534.27630829456 7040100.005857264, 281534.2684289619 7040100.004704657, 281519.07496027375 7040097.905607009, 281497.2814654794 7040094.306681263, 281497.264669592 7040094.304199794, 281483.4647605103 7040092.504211653, 281459.7716294952 7040089.405110128, 281453.47838377213 7040088.406182236, 281453.45828535187 7040088.403408802, 281432.1587842016 7040085.9034673525, 281407.7892834034 7040082.993526962, 281407.67071659653 7040083.986473039, 281432.04071659653 7040086.896473039))</t>
  </si>
  <si>
    <t>['EV6 S74D1 m3359-3617', 'EV6 S75D1 m0-82']</t>
  </si>
  <si>
    <t>LINESTRING Z (269001.21 7034843.23 139.8, 269002.3 7034845.7 139.74, 269007.8 7034859.6 139.54, 269012 7034871.1 139.44, 269020.2 7034893.8 139.04, 269030.9 7034925.8 138.84, 269039.3 7034951.8 138.74, 269042.3 7034961.5 138.64000000000001, 269046.6 7034975.2 138.44, 269053.1 7034997.3 138.34, 269053.61 7034999.21 138.34, 269056.2 7035008.9 138.34, 269059.8 7035021.9 138.24, 269065.4 7035043.8 138.04, 269070.3 7035066.5 137.64000000000001, 269073.2 7035080.9 137.64000000000001, 269074.7 7035089.7 137.54, 269077.1 7035103 137.34, 269079.4 7035116.7 137.04, 269082.3 7035138.4 136.64000000000001, 269084.1 7035151.6 136.44, 269085.5 7035164.5 136.24, 269086.14 7035170.85 136.13)</t>
  </si>
  <si>
    <t>POLYGON ((269001.8386433111 7034845.892987506, 269007.3326247895 7034859.777777061, 269011.5300403485 7034871.270700615, 269019.7277063157 7034893.964239329, 269030.42499838804 7034925.956140854, 269038.82325058104 7034951.950730976, 269041.8223239479 7034961.647734862, 269041.8229462612 7034961.649732196, 269046.12159266206 7034975.345419566, 269052.61854492465 7034997.435057258, 269053.1269245341 7034999.338988737, 269055.7169570751 7035009.029110544, 269055.7181349891 7035009.033439542, 269059.3168132428 7035022.02866657, 269064.9132482341 7035043.914724838, 269069.81052542356 7035066.602111002, 269072.7083652158 7035080.991384454, 269074.207109142 7035089.784015487, 269074.20794708724 7035089.788791503, 269076.60740554903 7035103.085790479, 269078.90551479504 7035116.774528162, 269081.80440601846 7035138.466231454, 269081.804584916 7035138.467556602, 269083.6036585322 7035151.66076312, 269085.0027122717 7035164.552044006, 269085.64252033987 7035170.900139682, 269086.63747966016 7035170.799860317, 269085.99747966015 7035164.449860318, 269085.9970812236 7035164.4460532, 269084.59708122356 7035151.5460532, 269084.595415084 7035151.532443398, 269082.79550542217 7035138.333105878, 269079.89559398155 7035116.633768546, 269079.89309933916 7035116.617216899, 269077.5930993391 7035102.917216899, 269077.59205291275 7035102.911208497, 269075.1924834656 7035089.613594478, 269073.69289085804 7035080.815984514, 269073.69015898235 7035080.801287428, 269070.79015898233 7035066.401287427, 269070.78874311375 7035066.394500385, 269065.8887431138 7035043.694500385, 269065.8844137008 7035043.676131656, 269060.28441370075 7035021.776131657, 269060.2818650109 7035021.766560459, 269056.6824636728 7035008.768722293, 269054.09305942565 7034999.080951191, 269053.58307546587 7034997.171011263, 269053.57968275074 7034997.158916838, 269047.07968275074 7034975.058916838, 269047.07705373876 7034975.050267804, 269042.77736698394 7034961.351265818, 269039.77767605206 7034951.652265138, 269039.7757852714 7034951.646284758, 269031.37578527146 7034925.646284758, 269031.3741932553 7034925.64144163, 269020.6741932553 7034893.64144163, 269020.6702585641 7034893.630126862, 269012.4702585641 7034870.930126862, 269012.46965777344 7034870.928472813, 269008.26965777343 7034859.428472813, 269008.2649271492 7034859.41603602, 269002.7649271492 7034845.516036021, 269002.7574387829 7034845.498134303, 269001.6674387829 7034843.028134303, 269000.7525612171 7034843.431865698, 269001.8386433111 7034845.892987506))</t>
  </si>
  <si>
    <t>['EV6 S77D1 m8613 KD1 m12-1357']</t>
  </si>
  <si>
    <t>LINESTRING Z (285914.2 7040827.3 32.55, 285915.9 7040827.6 32.45, 285921.14 7040828.47 32.09, 284781.59 7040277.49 102.78, 284789.16000000003 7040275.27 102.55, 284793.5 7040274.27 102.25, 284804.64 7040272.51 101.55, 284810.6 7040271.5 101.55, 284833.3 7040267.8 100.75, 284856.2 7040263.9 100.35000000000001, 284876 7040260 100.05, 284896 7040256.1 99.85000000000001, 284908.3 7040253.1 98.85000000000001, 284919.5 7040250 97.85000000000001, 284925.5 7040248.4 97.75, 284931.7 7040246.5 96.85000000000001, 284944.6 7040242.5 96.05, 284950.7 7040240.7 94.85000000000001, 284971.5 7040235.5 94.75, 284978.4 7040233.8 94.55, 284993 7040231.7 93.85000000000001, 285000 7040231 92.85000000000001, 285020.6 7040230 92.15, 285027.6 7040230.1 91.85000000000001, 285034.5 7040230.6 90.85000000000001, 285052.3 7040232.9 90.05, 285062.1 7040234.8 89.05, 285076.8 7040239 88.65, 285085.6 7040241.6 87.35000000000001, 285096.7 7040246.5 86.85000000000001, 285117.2 7040257.2 86.65, 285120.3 7040259.04 86.60000000000001, 285135.6 7040268.1 86.35000000000001, 285142.9 7040273.9 86.35000000000001, 285148.2 7040278.1 86.05, 285162.1 7040291.3 86.05, 285174.7 7040305.6 85.85000000000001, 285183.9 7040317 85.15, 285190.9 7040327.6 84.35000000000001, 285194.9 7040333.3 83.55, 285198.3 7040338.5 83.15, 285221.4 7040371.4 82.95, 285223 7040373.8 83.05, 285224.5 7040376.2 83.05, 285232.2 7040388.3 82.05, 285240.7 7040400.8 81.05, 285250.04 7040412.88 80.15, 285258.34 7040423.3 78.45, 285271.23 7040439.3 77.45, 285286.1 7040456.7 76.25, 285291.8 7040462.5 75.85000000000001, 285297.38 7040468.21 75.15, 285307.9 7040478.6 74.15, 285321.3 7040491.7 73.35000000000001, 285331.1 7040500.9 72.35000000000001, 285341.7 7040511 71.85000000000001, 285355.1 7040523.5 70.85000000000001, 285360.6 7040528.4 70.35000000000001, 285369.6 7040536.3 69.55, 285379.5 7040545.2 69.05, 285384.9 7040549.8 68.05, 285393.85 7040557.4 67.65, 285402.8 7040565 67.25, 285409.3 7040570.1 66.85, 285415.1 7040575 66.15, 285425.9 7040583.9 65.15, 285436.8 7040592.4 64.35, 285448.1 7040601.7 63.65, 285454.1 7040606.2 62.65, 285462.4 7040612.4 61.35, 285478.2 7040624.5 60.550000000000004, 285489.4 7040632.2 59.65, 285501.3 7040641 58.65, 285513.8 7040649.6 58.050000000000004, 285526.6 7040658.3 57.15, 285532.6 7040662.4 56.35, 285539.8 7040667 55.050000000000004, 285560.1 7040680.1 54.45, 285573.5 7040688.6 54.050000000000004, 285582.4 7040693.8 52.75, 285589.4 7040698 51.75, 285595.9 7040701.8 51.25, 285602.1 7040705.6 49.95, 285608.3 7040709.1 49.25, 285620.2 7040716.1 48.45, 285631.7 7040722.6 47.75, 285638.3 7040726.1 47.15, 285644.6 7040729.9 46.25, 285664.7 7040740.4 45.45, 285676.1 7040746.5 45.45, 285696.9 7040756.7 45.35, 285718.3 7040766.6 44.35, 285734.4 7040773.9 43.45, 285744.1 7040777.8 42.95, 285763.3 7040785.8 42.25, 285768.5 7040787.6 41.45, 285774 7040789.9 40.95, 285780.3 7040792.2 39.95, 285794.3 7040796.6 39.45, 285813.8 7040802.5 38.45, 285822.4 7040805.1 37.85, 285831.3 7040807.5 36.75, 285848.1 7040812 36.15, 285857.2 7040814.6 34.85, 285876.6 7040820 33.85, 285895.8 7040824.1 33.35, 285914.2 7040827.3 32.55)</t>
  </si>
  <si>
    <t>['EV6 S75D1 m2717 KD1 m64-362']</t>
  </si>
  <si>
    <t>LINESTRING Z (269388.68 7037377.83 36.33, 269398.2 7037387 36.24, 269413.6 7037400.5 35.54, 269430.8 7037414.8 34.94, 269453.9 7037432.1 33.74, 269472.8 7037445.5 32.64, 269490.5 7037458.5 31.34, 269505.2 7037470.5 30.240000000000002, 269516.4 7037481.3 29.240000000000002, 269518.6 7037483.4 29.04, 269534.5 7037503.2 27.64, 269543.6 7037517.2 26.54, 269555.5 7037540.6 24.84, 269563.72 7037565.35 22.29, 269565.78 7037573.14 21.84, 269567.32 7037580.05 21.490000000000002, 269569.02 7037590.01 21.07, 269569.87 7037597.03 20.830000000000002, 269570.13 7037600.4 20.740000000000002)</t>
  </si>
  <si>
    <t>POLYGON ((269397.8531282755 7037387.360111103, 269397.8704021408 7037387.375985706, 269413.27040214074 7037400.875985706, 269413.28034774703 7037400.884476836, 269430.48034774704 7037415.184476836, 269430.50027727225 7037415.200207804, 269453.6002772723 7037432.500207804, 269453.6108117221 7037432.507884959, 269472.5073964172 7037445.905463526, 269490.19371678174 7037458.895416336, 269504.8678056727 7037470.874264411, 269516.05293221475 7037481.659922147, 269516.05476212665 7037481.661677772, 269518.230845081 7037483.738847866, 269534.09444304986 7037503.493517034, 269543.1663342952 7037517.450272796, 269555.03731235955 7037540.793204452, 269563.24058836047 7037565.492849345, 269565.2941073787 7037573.258341166, 269566.82924094336 7037580.146505408, 269568.5250849333 7037590.082156078, 269569.37231808534 7037597.079305169, 269569.63148147176 7037600.438461371, 269570.62851852825 7037600.36153863, 269570.36851852824 7037596.99153863, 269570.36637456575 7037596.969897667, 269569.5163745658 7037589.949897666, 269569.5128722168 7037589.925875224, 269567.8128722168 7037579.965875224, 269567.80802696676 7037579.941235669, 269566.2680269668 7037573.031235669, 269566.26338420203 7037573.012173112, 269564.203384202 7037565.2221731115, 269564.194513917 7037565.192403862, 269555.97451391706 7037540.442403862, 269555.96139036125 7037540.407337251, 269555.94567952206 7037540.373351012, 269544.04567952204 7037516.973351013, 269544.0192218081 7037516.927505825, 269534.91922180814 7037502.927505825, 269534.8898574542 7037502.886932651, 269518.9898574542 7037483.086932651, 269518.94523787335 7037483.038322228, 269516.7461549835 7037480.939197651, 269505.5470677853 7037470.140077853, 269505.516188245 7037470.1126694, 269490.81618824496 7037458.1126694, 269490.79597786156 7037458.097014758, 269473.09597786155 7037445.097014758, 269473.0891882779 7037445.092115041, 269454.19450555433 7037431.695884962, 269431.1098872559 7037414.40740459, 269413.9246805808 7037400.119703692, 269398.5384210548 7037386.631748913, 269389.0268717245 7037377.469888897, 269388.33312827547 7037378.1901111035, 269397.8531282755 7037387.360111103))</t>
  </si>
  <si>
    <t>['EV6 S75D1 m556-635']</t>
  </si>
  <si>
    <t>LINESTRING Z (269028.51 7035637.79 120.06, 269025.2 7035649.2 119.44, 269022.5 7035657.1 119.04, 269020 7035664.3 118.64, 269017.5 7035671.5 118.24000000000001, 269016.09 7035675.72 118, 269006.8 7035703.4 116.44, 269003.74 7035712.67 115.92)</t>
  </si>
  <si>
    <t>POLYGON ((269024.723070679 7035649.049413091, 269022.0272636718 7035656.937144703, 269017.02766316786 7035671.335994155, 269017.02577084734 7035671.341549027, 269015.6158775029 7035675.561229817, 269006.32598472707 7035703.240910337, 269006.3251993954 7035703.243269703, 269003.2651993954 7035712.513269703, 269004.21480060456 7035712.826730297, 269007.2744108879 7035703.55791091, 269016.56401527295 7035675.879089663, 269016.5642291527 7035675.878450973, 269017.9732992919 7035671.661233961, 269022.97233683214 7035657.2640058445, 269022.9731302398 7035657.26170274, 269025.6731302398 7035649.36170274, 269025.68020218355 7035649.339304928, 269028.99020218354 7035637.929304928, 269028.0297978165 7035637.6506950725, 269024.723070679 7035649.049413091))</t>
  </si>
  <si>
    <t>['EV6 S78D1 m6416-7300']</t>
  </si>
  <si>
    <t>LINESTRING Z (291189.4 7038186.7 43.03, 291192.4 7038193.1 42.85, 291200 7038207.7 42.45, 291208.2 7038222.3 42.15, 291215.6 7038233.7 41.95, 291226.2 7038249 41.65, 291237.3 7038263.5 41.25, 291248.2 7038276.4 40.45, 291258.6 7038287.7 40.15, 291271.3 7038300.5 39.75, 291276.1 7038304.9 39.550000000000004, 291282.9 7038311.2 39.35, 291293.6 7038320.4 39.15, 291301.3 7038326.9 38.85, 291314.6 7038337.9 38.45, 291328.9 7038348.9 37.95, 291342.7 7038359.5 37.45, 291351.11 7038365.94 37.21, 291356.4 7038370 37.050000000000004, 291368.9 7038379.7 36.85, 291378.6 7038387.1 36.65, 291382.4 7038390.2 36.65, 291390.2 7038396.1 36.35, 291395.3 7038400.1 36.15, 291396.2 7038400.8 36.15, 291405 7038407.4 35.85, 291413 7038413.8 35.45, 291426.2 7038424.8 35.050000000000004, 291441.5 7038436.9 34.65, 291456.19 7038449.63 34.35, 291466.7 7038458.2 34.25, 291475.3 7038465.9 34.05, 291497.4 7038485.5 33.75, 291509.8 7038497.7 33.55, 291522.9 7038510.6 33.25, 291535.5 7038522.6 33.05, 291539 7038526.1 33.05, 291542.2 7038529.3 33.65, 291544.2 7038531.3 33.05, 291552.6 7038539.9 32.85, 291558.8 7038546.3 32.75, 291566.3 7038554.1 32.65, 291574.5 7038562.91 32.65, 291577.08999999997 7038565.7 32.55, 291584.32 7038573.75 32.45, 291596.7 7038587.74 32.45, 291603.35 7038595.29 32.25, 291609.85 7038602.77 32.15, 291622.31 7038617.5 32.25, 291631.46 7038628.6 32.15, 291637.7 7038636.17 32.15, 291644.52 7038644.42 32.15, 291650.9 7038652.52 32.05, 291658.36 7038662.25 31.990000000000002, 291663 7038668.3 31.95, 291675.4 7038684.6 31.75, 291687.4 7038701.3 31.55, 291696.4 7038714.1 31.45, 291706.5 7038727.9 31.35, 291715.4 7038741.2 31.25, 291725.6 7038756 31.150000000000002, 291736.3 7038772.3 31.05, 291744.1 7038783.6 30.95, 291754.3 7038798.9 30.85, 291763.1 7038811.8 30.650000000000002, 291769.5 7038821.5 30.55, 291775.8 7038830.4 30.35, 291778.99 7038834.6 29.94)</t>
  </si>
  <si>
    <t>POLYGON ((291191.947270532 7038193.312216938, 291191.956491113 7038193.33086764, 291199.556491113 7038207.93086764, 291199.5640528373 7038207.944847037, 291207.76405283733 7038222.544847037, 291207.78061016917 7038222.572235504, 291215.18061016913 7038233.972235505, 291215.1890006336 7038233.98474466, 291225.78900063364 7038249.284744659, 291225.8029765731 7038249.303928278, 291236.9029765731 7038263.803928278, 291236.9180823522 7038263.82270561, 291247.8180823522 7038276.72270561, 291247.83209939033 7038276.738598792, 291258.2320993903 7038288.038598792, 291258.2450628547 7038288.052164199, 291270.94506285473 7038300.852164199, 291270.96213768574 7038300.8685770705, 291275.76116068795 7038305.26768149, 291282.5601884409 7038311.566780731, 291282.57402110385 7038311.579127629, 291293.2740211038 7038320.7791276295, 291293.2774739621 7038320.782069307, 291300.9774739621 7038327.282069307, 291300.981334735 7038327.285295275, 291314.281334735 7038338.285295275, 291314.29514461954 7038338.296311995, 291328.5951446196 7038349.296311995, 291342.39542241825 7038359.896525531, 291342.3960122008 7038359.896977856, 291350.80579605437 7038366.336812341, 291356.09452132456 7038370.395834004, 291368.5934674383 7038380.095016188, 291368.59673149907 7038380.09752763, 291378.2902517963 7038387.4925843505, 291382.0839366363 7038390.58743251, 291382.0983665311 7038390.598769671, 291389.8948748914 7038396.496128559, 291394.9914300324 7038400.4934267085, 291394.9930296932 7038400.4946761085, 291395.8930296932 7038401.194676109, 291395.9 7038401.2, 291404.69375153055 7038407.795313649, 291412.6837485251 7038414.187311244, 291425.8799078002 7038425.18411064, 291425.8898455304 7038425.192178792, 291441.18103918707 7038437.285214299, 291455.8625543168 7038450.007861515, 291455.87402402854 7038450.017503788, 291466.3750768755 7038458.580208155, 291474.966475977 7038466.272507351, 291474.9682385374 7038466.274077976, 291497.0585570269 7038485.865491658, 291509.4492540227 7038498.056338703, 291522.54917663016 7038510.956262492, 291522.5551724138 7038510.962068965, 291535.1507575959 7038522.957864376, 291538.6464466094 7038526.45355339, 291541.8464466094 7038529.65355339, 291543.8443669533 7038531.651473734, 291552.24159434985 7038540.248635117, 291558.4402303681 7038546.647227135, 291565.93676930235 7038554.443627627, 291574.13377957774 7038563.250415496, 291576.7207574713 7038566.037160022, 291583.9467781208 7038574.082729348, 291596.3251740323 7038588.070916651, 291602.9736856904 7038595.6192268785, 291609.47040637565 7038603.095453144, 291621.92620607396 7038617.820487619, 291631.07418542437 7038628.918036339, 291637.31418204395 7038636.488032239, 291637.3146288407 7038636.488573492, 291644.1308657801 7038644.734021402, 291650.5051905224 7038652.826816137, 291657.96320338314 7038662.554224333, 291662.602653346 7038668.60350716, 291674.9979334944 7038684.897302839, 291686.9924601626 7038701.589685786, 291695.9909854208 7038714.387588375, 291695.9965188241 7038714.39530144, 291706.09030623495 7038728.186812952, 291714.984456153 7038741.478070695, 291714.9883039667 7038741.483736455, 291725.1851056727 7038756.279095793, 291735.8820128068 7038772.574384231, 291735.88851101516 7038772.584036645, 291743.6862159294 7038783.880711713, 291753.8839748528 7038799.177350098, 291753.8869540819 7038799.181767759, 291762.6847802089 7038812.078581058, 291769.0826557404 7038821.775361161, 291769.0918976612 7038821.78888143, 291775.3918976612 7038830.688881431, 291775.4018275795 7038830.702421434, 291778.5918275795 7038834.9024214335, 291779.3881724205 7038834.297578566, 291776.20325106394 7038830.104265181, 291769.9128340279 7038821.217803019, 291763.5173442596 7038811.524638839, 291763.5130459181 7038811.518232241, 291754.7145472857 7038798.62043311, 291744.51602514717 7038783.322649902, 291744.5114889848 7038783.315963355, 291736.714794248 7038772.020751749, 291726.0179871932 7038755.725615769, 291726.0116960333 7038755.716263545, 291715.81363935047 7038740.91908326, 291706.915543847 7038727.621929306, 291706.90348117595 7038727.60469856, 291696.806284484 7038713.808528822, 291687.8090145792 7038701.012411624, 291687.80604369176 7038701.008232078, 291675.80604369176 7038684.308232077, 291675.79793992103 7038684.297272698, 291663.397939921 7038667.997272698, 291663.3967503997 7038667.995715396, 291658.75677240884 7038661.945744093, 291651.29679661687 7038652.215775667, 291651.2927886925 7038652.210618288, 291644.9127886925 7038644.110618289, 291644.9053711593 7038644.101426508, 291638.0855947621 7038635.851696996, 291631.8458179561 7038628.281967761, 291622.69581457565 7038617.181963661, 291622.69174228923 7038617.177086971, 291610.2317422892 7038602.44708697, 291610.22741136485 7038602.442035578, 291603.72741136485 7038594.962035579, 291603.72520884115 7038594.9595180405, 291597.0752088412 7038587.409518041, 291597.0744420805 7038587.408649539, 291584.6944420805 7038573.418649538, 291584.691991537 7038573.415900769, 291577.46199153695 7038565.365900769, 291577.4564435216 7038565.359824832, 291574.86644352163 7038562.569824832, 291574.8659969941 7038562.569344455, 291566.66599699407 7038553.759344455, 291566.6604165324 7038553.753445641, 291559.1604165324 7038545.953445641, 291559.1591201114 7038545.952102392, 291552.95912011137 7038539.552102393, 291552.9576880896 7038539.550630239, 291544.5576880896 7038530.950630238, 291544.5535533906 7038530.94644661, 291542.5535533906 7038528.94644661, 291539.3535533906 7038525.7464466095, 291535.8535533906 7038522.2464466095, 291535.8448275862 7038522.2379310345, 291523.2478497266 7038510.240809264, 291510.15082336986 7038497.343737508, 291497.7506673838 7038485.143583971, 291497.73176146264 7038485.125922024, 291475.6326446122 7038465.526705271, 291467.033524023 7038457.82749265, 291467.0159759715 7038457.812496212, 291456.5117830653 7038449.247231397, 291441.8274456832 7038436.522138486, 291441.8101544696 7038436.507821208, 291426.5151749678 7038424.411791666, 291413.32009219984 7038413.41588936, 291413.31234752375 7038413.409565595, 291405.31234752375 7038407.009565596, 291405.3 7038407, 291396.50350849546 7038400.402631371, 291395.6077714058 7038399.705946968, 291390.5085699676 7038395.706573291, 291390.50163346896 7038395.7012303285, 291382.7089524476 7038389.806766479, 291378.9160633637 7038386.71256749, 291378.90326850093 7038386.70247237, 291369.2049057152 7038379.3037213795, 291356.70653256174 7038369.604983812, 291356.70442036644 7038369.603353759, 291351.4144203664 7038365.54335376, 291351.4139877992 7038365.543022145, 291343.0042828697 7038359.103248096, 291329.2047164905 7038348.503581167, 291314.9118576411 7038337.50907436, 291301.620603785 7038326.516308013, 291293.9242591276 7038320.019393692, 291283.23300972016 7038310.826917565, 291276.4398115591 7038304.5332192695, 291276.4378623142 7038304.53142293, 291271.64659413917 7038300.139427102, 291258.96154617367 7038287.354496869, 291248.57507756556 7038276.069199247, 291237.6896968584 7038263.186500979, 291226.60423912416 7038248.705497633, 291216.01528881537 7038233.4214467155, 291208.6281069961 7038222.041193642, 291200.4398391297 7038207.462082563, 291192.8483132359 7038192.878361766, 291189.852729468 7038186.487783062, 291188.947270532 7038186.912216938, 291191.947270532 7038193.312216938))</t>
  </si>
  <si>
    <t>['EV6 S78D1 m189-590']</t>
  </si>
  <si>
    <t>LINESTRING Z (286727.8 7040049.13 138.9, 286743.8 7040043.5 139.65, 286763.6 7040035.7 140.85, 286782.9 7040027.3 142.25, 286800.5 7040018.9 143.35, 286819.7 7040009.1 144.35, 286838.2 7039998.8 145.35, 286855.6 7039988.1 146.45000000000002, 286868.9 7039979.69 146.91, 286871.4 7039978 147.45000000000002, 286887.2 7039967 148.45000000000002, 286894.8 7039961.5 148.45000000000002, 286903.1 7039955.1 149.35, 286918.8 7039942.2 150.15, 286933 7039930.3 151.05, 286947.1 7039917.4 152.05, 286961.4 7039903.3 153.05, 286974.8 7039889.6 153.85, 286988.5 7039874.2 154.55, 287000 7039860.3 154.95000000000002, 287009.7 7039848.3 155.35, 287022.1 7039831.7 155.65, 287034.6 7039813.9 155.95000000000002, 287038.43 7039808.09 156.02)</t>
  </si>
  <si>
    <t>POLYGON ((286743.9659628209 7040043.971652777, 286743.98326225916 7040043.965204196, 286763.78326225915 7040036.165204196, 286763.79953676177 7040036.158459465, 286783.0995367618 7040027.758459465, 286783.1153647931 7040027.751240519, 286800.7153647931 7040019.351240519, 286800.72731028666 7040019.345342603, 286819.9273102867 7040009.545342602, 286819.9432223528 7040009.536855682, 286838.4432223528 7039999.236855682, 286838.46191212814 7039999.22591318, 286855.8619121281 7039988.52591318, 286855.86722359766 7039988.522600933, 286869.1672235977 7039980.112600934, 286869.180020935 7039980.104232153, 286871.680020935 7039978.4142321525, 286871.68568441307 7039978.410346703, 286887.48568441306 7039967.410346703, 286887.49313433014 7039967.405058347, 286895.0931343301 7039961.905058347, 286895.10531626974 7039961.895957037, 286903.4053162697 7039955.4959570365, 286903.41742218233 7039955.48632002, 286919.11742218235 7039942.58632002, 286919.1211527852 7039942.583224332, 286933.3211527852 7039930.683224332, 286933.33750673104 7039930.668902705, 286947.437506731 7039917.768902706, 286947.45105487306 7039917.756034375, 286961.7510548731 7039903.656034375, 286961.7574453645 7039903.649618094, 286975.15744536446 7039889.949618094, 286975.1735707926 7039889.932332458, 286988.8735707926 7039874.5323324585, 286988.8852440985 7039874.518727132, 287000.3852440985 7039860.618727132, 287000.38884871925 7039860.614319381, 287010.08884871926 7039848.614319381, 287010.10057840415 7039848.599227241, 287022.5005784041 7039831.999227242, 287022.50918350916 7039831.98734797, 287035.00918350916 7039814.18734797, 287035.0174565907 7039814.175190833, 287038.84745659074 7039808.365190833, 287038.01254340925 7039807.814809167, 287034.1865905562 7039813.618669761, 287021.69503190956 7039831.406649274, 287009.3051421765 7039847.993114562, 286999.6129410428 7039859.98346648, 286988.12047058303 7039873.874365558, 286974.4342875573 7039889.258834068, 286961.0457208157 7039902.947144841, 286946.75559894694 7039917.037404866, 286932.6705145438 7039929.923758681, 286918.4807050007 7039941.815218791, 286902.78855620313 7039954.708767803, 286894.500705496 7039961.099399674, 286886.9105664935 7039966.592263426, 286871.1171339803 7039977.5876911245, 286868.6263137384 7039979.271485609, 286855.3354217652 7039987.6757263215, 286837.9473142384 7039998.3684131345, 286819.46465713705 7040008.658757358, 286800.2786231829 7040018.451628856, 286782.6924864222 7040026.84501231, 286763.4085410559 7040035.238024801, 286743.6253279288 7040043.03141179, 286727.63403717906 7040048.658347223, 286727.9659628209 7040049.601652777, 286743.9659628209 7040043.971652777))</t>
  </si>
  <si>
    <t>[36]</t>
  </si>
  <si>
    <t>['RV36 S6D1 m5102-5506', 'RV36 S7D1 m0-163']</t>
  </si>
  <si>
    <t>LINESTRING Z (173121.37 6586249.89 31.43, 173121.26 6586249.93 31.43, 173103.24 6586256.48 31.330000000000002, 173085.8 6586262.8 31.23, 173068.39 6586269.11 31.03, 173053.4 6586274.98 31.03, 173033.8 6586282.5 31.03, 173028.98 6586284.48 31.09, 173016.3 6586289.7 31.23, 173008.6 6586292.75 31.37, 172999.1 6586296.5 31.53, 172988.07 6586301.92 31.650000000000002, 172962 6586313.7 31.93, 172943 6586322.2 32.03, 172933.02000000002 6586326.83 32.03, 172923.8 6586331.1 32.03, 172908.6 6586339.6 32.230000000000004, 172893.51 6586349.11 32.53, 172874.29 6586361.81 33.230000000000004, 172861.04 6586371.45 33.83, 172838.9 6586388.3 34.83, 172831.8 6586393.4 35.13, 172810.5 6586411.1 36.53, 172802.8 6586416.9 38.230000000000004, 172784.9 6586433.2 38.63, 172778.51 6586439.44 38.83, 172773.21 6586444.91 39.52, 172771.76 6586446.33 39.65, 172765.7 6586452.37 40.11, 172761.26 6586456.82 40.43, 172758.82 6586459.27 40.68, 172756.46 6586461.74 40.9, 172750.34 6586468.23 41.4, 172748.32 6586470.38 41.6, 172746.02000000002 6586472.85 41.82, 172741.47 6586477.93 42.050000000000004, 172739.24 6586480.44 42.29, 172734.78 6586485.59 42.76, 172732.55 6586488.18 42.92, 172730.72 6586490.42 43.17, 172724.7 6586497.94 43.82, 172722.8 6586500.32 44.11, 172717.05 6586507.92 44.62, 172715.13 6586510.43 44.86, 172713.05 6586513.21 45.12, 172710.99 6586516.03 45.31, 172708.98 6586518.79 45.53, 172705.16999999998 6586524.26 45.9, 172703.25 6586527.01 46.14, 172697.64 6586535.43 46.81, 172695.65 6586538.44 47.03, 172694.12 6586540.85 47.15, 172692.52000000002 6586543.65 47.410000000000004, 172690.87 6586546.43 47.61, 172689.27000000002 6586549.14 47.75, 172687.88 6586551.56 48.02, 172685.22 6586556.69 48.27, 172683.91 6586559.19 48.5, 172682.27000000002 6586562.48 48.72, 172680.6 6586565.8 48.95, 172679.08000000002 6586569.1 49.15, 172676.87 6586574.24 49.56)</t>
  </si>
  <si>
    <t>POLYGON ((173121.08916177557 6586249.460091176, 173103.0694195103 6586256.0099974945, 173085.62964798673 6586262.329914697, 173068.21962718604 6586268.639922236, 173068.2076832235 6586268.64442445, 173053.21928622865 6586274.513796722, 173033.62089356265 6586282.03318003, 173033.61001125045 6586282.037502135, 173028.79001125047 6586284.017502136, 173016.11275603395 6586289.236372031, 173008.41614195533 6586292.285030854, 172998.91641673262 6586296.034922389, 172998.8794905611 6586296.051251086, 172987.85674604436 6586301.467685835, 172961.7949641289 6586313.243972409, 172942.79581696997 6586321.743590875, 172942.7895778849 6586321.74643354, 172932.80972733416 6586326.376364207, 172923.58987818327 6586330.646294344, 172923.55596063597 6586330.663600196, 172908.355960636 6586339.163600196, 172908.33341495282 6586339.176995966, 172893.24341495283 6586348.686995966, 172893.2343551796 6586348.692843036, 172874.0143551796 6586361.392843035, 172873.9958415812 6586361.405684746, 172860.7458415812 6586371.0456847465, 172860.73718960013 6586371.052123308, 172838.60268794958 6586387.897938701, 172831.50829984236 6586392.993907624, 172831.4804408546 6586393.015445774, 172810.1896287439 6586410.707810767, 172802.4991707719 6586416.500623266, 172802.46335532592 6586416.53031045, 172784.56335532592 6586432.83031045, 172784.55067021656 6586432.8422728665, 172778.16067021657 6586439.082272867, 172778.15091064657 6586439.092070645, 172772.85547501396 6586444.557359872, 172771.4101614014 6586445.972770445, 172771.40703147734 6586445.975862707, 172765.34703147734 6586452.015862707, 172765.3460491355 6586452.016844531, 172760.9060491355 6586456.466844531, 172758.46572433718 6586458.91717036, 172758.45848840923 6586458.924588115, 172756.09848840922 6586461.394588116, 172756.0962292781 6586461.396968133, 172749.9762292781 6586467.886968133, 172749.97560159484 6586467.887634987, 172747.95560159485 6586470.037634986, 172747.95407849122 6586470.039263372, 172745.65407849124 6586472.509263372, 172745.64755196904 6586472.516409735, 172741.09755196903 6586477.596409735, 172741.0962131898 6586477.597910523, 172738.8662131898 6586480.107910524, 172738.8620344073 6586480.112674458, 172734.4020344073 6586485.262674457, 172734.40109550583 6586485.263761767, 172732.17109550582 6586487.853761767, 172732.162790401 6586487.863663586, 172730.332790401 6586490.103663586, 172730.3296668958 6586490.107525893, 172724.3096668958 6586497.627525893, 172724.3092454444 6586497.628053086, 172722.40924544437 6586500.008053086, 172722.4012626938 6586500.018323749, 172716.65206160696 6586507.617267794, 172714.73286599768 6586510.126216221, 172714.72965464357 6586510.130461028, 172712.64965464355 6586512.910461028, 172712.64625198065 6586512.915063503, 172710.58625198065 6586515.7350635035, 172710.58582202013 6586515.735652993, 172708.57582202015 6586518.495652993, 172708.56971563728 6586518.504226065, 172704.7598745832 6586523.973997867, 172702.84003416085 6586526.723769305, 172702.83389884047 6586526.732763954, 172697.2238988405 6586535.152763954, 172697.22291202183 6586535.154250805, 172695.2329120218 6586538.164250806, 172695.2278810123 6586538.172015747, 172693.6978810123 6586540.582015746, 172693.6858784289 6586540.601930531, 172692.08792491988 6586543.398349172, 172690.44003019878 6586546.174802096, 172690.43944187727 6586546.175795942, 172688.8394418773 6586548.885795942, 172688.836430765 6586548.890966431, 172687.44643076498 6586551.310966431, 172687.43612273427 6586551.329841417, 172684.7766187689 6586556.45888478, 172683.46711891127 6586558.95793031, 172683.4625147079 6586558.966937423, 172681.8229188027 6586562.256126769, 172680.15332586135 6586565.575317526, 172680.14585932775 6586565.590820054, 172678.62585932776 6586568.890820053, 172678.6206589203 6586568.902501209, 172676.41065892027 6586574.042501209, 172677.32934107972 6586574.437498791, 172679.53681555987 6586569.303372624, 172681.0505408008 6586566.016995456, 172682.71667413868 6586562.704682474, 172682.71748529212 6586562.703062578, 172684.3552287514 6586559.417589419, 172685.66288108873 6586556.922069691, 172685.66387726573 6586556.920158583, 172688.31892626593 6586551.799706939, 172689.70207912975 6586549.391627852, 172691.30026453364 6586546.684701324, 172692.94996980124 6586543.905197904, 172692.95412157112 6586543.898069469, 172694.54835187315 6586541.108166439, 172696.06963940698 6586538.711889999, 172698.05659589323 6586535.706493503, 172703.66308246966 6586527.29176677, 172705.57996583913 6586524.546230694, 172705.58028436272 6586524.545773935, 172709.38727629939 6586519.080092598, 172711.3939630483 6586516.324642137, 172713.4520598682 6586513.507247461, 172715.52875096942 6586510.731669931, 172717.44713400232 6586508.223783779, 172717.44873730617 6586508.221676251, 172723.19481272655 6586500.6268635215, 172725.09054410068 6586498.252210538, 172731.10878092796 6586490.734413038, 172732.93312103904 6586488.50134099, 172735.15843585803 6586485.916782523, 172739.6158913097 6586480.769720735, 172741.8431188373 6586478.26284132, 172746.38921936508 6586473.187195016, 172748.68516175033 6586470.721552542, 172750.70408484948 6586468.572698749, 172756.82264504826 6586462.084225597, 172759.17793207205 6586459.619158245, 172761.61411322223 6586457.172992746, 172766.0534603284 6586452.72364711, 172772.1114103859 6586446.6856902875, 172773.5598385986 6586445.267229555, 172773.56908935343 6586445.257929356, 172778.86427733643 6586439.792895721, 172785.2430915244 6586433.563818955, 172803.11942821683 6586417.285367107, 172810.8008292281 6586411.499376734, 172810.8195591454 6586411.484554226, 172832.10600910676 6586393.795814117, 172839.19170015762 6586388.706092376, 172839.20281039987 6586388.697876692, 172861.33851915188 6586371.851142615, 172874.5750463208 6586362.220944734, 172893.78114645736 6586349.530129348, 172908.85548792605 6586340.029997647, 172924.02741031148 6586331.5456989445, 172933.23012181674 6586327.2837056555, 172943.20731234655 6586322.655009168, 172962.20418303003 6586314.156409126, 172962.20588701425 6586314.155642994, 172988.27588701426 6586302.3756429935, 172988.2905094389 6586302.3687489135, 172999.30237626133 6586296.957659324, 173008.7835832674 6586293.215077611, 173008.78413295705 6586293.214860252, 173016.48413295703 6586290.164860252, 173016.490338223 6586290.162354151, 173029.1701632367 6586284.942426188, 173033.984572888 6586282.964722638, 173053.57910643733 6586275.44681997, 173053.5823167765 6586275.445575551, 173068.56637353948 6586269.577902889, 173085.97036777096 6586263.270079592, 173103.41035201325 6586256.950085303, 173121.43080871523 6586250.399919549, 173121.5408715317 6586250.359896711, 173121.1991284683 6586249.420103288, 173121.08916177557 6586249.460091176))</t>
  </si>
  <si>
    <t>['RV36 S5D1 m6022-6084']</t>
  </si>
  <si>
    <t>LINESTRING Z (178567.77000000002 6582101.89 128.97, 178567.36 6582102.79 129.04, 178563.6 6582111.8 129.34, 178556.8 6582127.3 130.44, 178552.1 6582136.9 130.84, 178549.3 6582143.9 131.04, 178544.6 6582156.3 131.84, 178543.71 6582159.78 132)</t>
  </si>
  <si>
    <t>POLYGON ((178566.90499005985 6582102.582717694, 178566.8985676718 6582102.597437785, 178563.1403087328 6582111.603265721, 178556.34632929938 6582127.089542371, 178551.65093094108 6582136.680143273, 178551.63576165456 6582136.714304662, 178548.83576165454 6582143.714304662, 178548.83245813684 6582143.722786552, 178544.13245813685 6582156.122786552, 178544.11559087623 6582156.176113758, 178543.22559087622 6582159.656113759, 178544.19440912377 6582159.903886242, 178545.07746915825 6582156.451022286, 178549.7659287096 6582144.081469428, 178552.55729258864 6582137.1030597305, 178557.24906905892 6582127.519856727, 178557.25787503913 6582127.50087421, 178564.05787503914 6582112.00087421, 178564.0614323282 6582111.992562215, 178567.8183393562 6582102.989973831, 178568.22500994016 6582102.097282305, 178567.31499005988 6582101.682717694, 178566.90499005985 6582102.582717694))</t>
  </si>
  <si>
    <t>['RV36 S5D1 m5456-5526']</t>
  </si>
  <si>
    <t>LINESTRING Z (178724.54 6581568.24 121.73, 178719.7 6581586.7 121.14, 178715.1 6581603.9 120.64, 178709.9 6581621.3 120.04, 178705.81 6581635.49 119.58)</t>
  </si>
  <si>
    <t>POLYGON ((178719.21665880296 6581586.572004713, 178714.61885403833 6581603.763796442, 178709.42093556913 6581621.156831319, 178709.4195587386 6581621.161521863, 178705.3295587386 6581635.351521864, 178706.2904412614 6581635.628478137, 178710.37976431154 6581621.440826772, 178715.57906443087 6581604.043168681, 178715.58302412243 6581604.02918087, 178720.18302412244 6581586.82918087, 178720.18365245854 6581586.82680812, 178725.02365245853 6581568.36680812, 178724.05634754148 6581568.11319188, 178719.21665880296 6581586.572004713))</t>
  </si>
  <si>
    <t>['F', 'R']</t>
  </si>
  <si>
    <t>[3306, 36]</t>
  </si>
  <si>
    <t>['FV3306 S1D1 m0-25', 'RV36 S4D1 m7425-7511']</t>
  </si>
  <si>
    <t>LINESTRING Z (181542.58000000002 6576841.45 39.04, 181539.83000000002 6576842.26 39.050000000000004, 181534.25 6576844.13 39.13, 181529.22 6576846.13 39.160000000000004, 181519.49 6576850.42 39.28, 181511.97 6576853.81 39.480000000000004, 181506.66999999998 6576856.52 39.71, 181501.66999999998 6576859.42 39.92, 181492.55 6576865.03 40.36, 181488.59 6576867.59 40.4, 181485.16 6576869.81 40.43, 181480.5 6576873.14 40.58, 181475.66 6576876.89 40.910000000000004, 181467.8 6576883.47 41.27)</t>
  </si>
  <si>
    <t>POLYGON ((181539.68872799756 6576841.780372831, 181539.67112166737 6576841.785913852, 181534.09112166736 6576843.655913852, 181534.0652606038 6576843.665380418, 181529.0352606038 6576845.665380418, 181529.01828408823 6576845.672495146, 181519.28828408822 6576849.962495146, 181519.28451526174 6576849.964175448, 181511.76451526175 6576853.3541754475, 181511.74237047508 6576853.364820486, 181506.44237047507 6576856.074820486, 181506.41914095508 6576856.087484405, 181501.41914095508 6576858.987484406, 181501.40802945403 6576858.994122749, 181492.28802945404 6576864.6041227495, 181492.2785502478 6576864.610101164, 181488.31855024782 6576867.170101164, 181484.88832362136 6576869.390247757, 181484.86929833013 6576869.4031922575, 181480.20929833013 6576872.733192258, 181480.19376518903 6576872.744752937, 181475.35376518904 6576876.494752937, 181475.33904501013 6576876.506609997, 181467.4790450101 6576883.086609997, 181468.12095498986 6576883.853390003, 181475.9737069763 6576877.279457678, 181480.79858018868 6576873.541177813, 181485.4413379933 6576870.223498953, 181488.86156279183 6576868.00982576, 181492.81674367946 6576865.452941146, 181501.9264577611 6576859.849268339, 181506.90941186334 6576856.959154959, 181512.1866879486 6576854.260774168, 181519.6936037722 6576850.876672488, 181529.4132931466 6576846.591218488, 181534.42193926586 6576844.599709096, 181539.98012632347 6576842.737019168, 181542.72127200247 6576841.929627169, 181542.43872799756 6576840.970372831, 181539.68872799756 6576841.780372831))</t>
  </si>
  <si>
    <t>['RV36 S2D1 m487 KD1 m0-94', 'RV36 S2D1 m265-487']</t>
  </si>
  <si>
    <t>LINESTRING Z (193186.7 6568745.37 11.14, 193186.45 6568756.8 11.14, 193187.33000000002 6568781.34 10.84, 193188.6 6568804.1 10.540000000000001, 193191.25 6568827.55 10.64, 193193.22 6568838.61 10.86, 193196.43 6568852.33 11.14, 193202 6568874.7 12.14, 193207.3 6568894.51 13.34, 193210 6568904.6 13.74, 193216.4 6568929.9 15.040000000000001, 193218.26 6568936.87 15.32, 193221.83000000002 6568943.85 15.64, 193224.51 6568947.55 15.69, 193227.7 6568951.1 15.74, 193230.51 6568953.61 16.26, 193234.2 6568956.9 16.94, 193242.7 6568954.1 16.54, 193245.46000000002 6568954.22 16.740000000000002, 193248.62 6568955.09 16.94, 193251.34 6568956.57 16.94, 193253.91999999998 6568958.38 16.94, 193256.66 6568961.41 16.94, 193258.13 6568963.88 16.740000000000002, 193258.99 6568966.81 16.84, 193259.33000000002 6568969.74 16.740000000000002, 193259.3 6568972.4 16.84, 193258.11 6568975.93 16.84, 193255.91999999998 6568979.31 16.84, 193253.57 6568981.38 16.89, 193250.95 6568982.95 16.94, 193247.47999999998 6568984.11 16.94, 193243.94 6568984.33 16.94, 193239 6568983.4 16.94, 193236.3 6568982.1 17.14, 193233.1 6568979.63 17.04, 193230.25 6568975.92 16.94, 193228.9 6568970.89 16.94, 193228.78 6568967.45 16.94, 193229.07 6568964.33 16.94, 193230.41 6568961.55 16.94, 193232.34 6568958.75 16.94, 193234.2 6568956.9 16.94, 193238.01 6568955.1 16.740000000000002, 193241.72 6568954.31 16.580000000000002)</t>
  </si>
  <si>
    <t>['RV36 S2D1 m947-1069', 'RV36 S2D1 m996 KD1 m0-88']</t>
  </si>
  <si>
    <t>LINESTRING Z (193543.28 6569408.51 16.84, 193545.13 6569412.1 16.93, 193550.8 6569423.6 17.240000000000002, 193557.79 6569438.1 17.54, 193563.39 6569451.69 16.94, 193566.31 6569459.42 16.94, 193570.61 6569472.52 16.94, 193571.32 6569475.47 16.94, 193509.7 6569339.25 15.57, 193511 6569342 15.64, 193517.78 6569357.61 15.98, 193525.8 6569373.6 16.34, 193528.94 6569378.95 16.63, 193531.2 6569382.8 16.84, 193538.57 6569381.59 16.84, 193541.18 6569382.03 16.84, 193543.63 6569382.87 16.84, 193545.91 6569384.24 16.84, 193548.55 6569386.64 16.84, 193549.82 6569389 16.84, 193551.01 6569391.49 16.84, 193551.65 6569394.47 16.79, 193552.04 6569397.24 16.740000000000002, 193551.26 6569400.33 16.79, 193550.71000000002 6569401.77 16.82, 193549.91999999998 6569403.22 16.84, 193548 6569405.37 16.94, 193545.7 6569407.13 16.94, 193543.28 6569408.51 16.84, 193540.66 6569409.42 16.84, 193537.66999999998 6569409.8 16.84, 193534.85 6569409.38 16.84, 193531.59 6569408.37 16.84, 193529.56 6569407.1 16.66, 193527.61 6569405.57 16.44, 193525.53 6569402.63 16.84, 193524.4 6569399.6 16.84, 193523.72 6569397.38 16.740000000000002, 193523.26 6569394.6 16.54, 193523.6 6569391 16.84, 193524.4 6569388.7 16.84, 193525.74 6569386.16 16.740000000000002, 193528.16 6569384.3 16.84, 193531.2 6569382.8 16.84, 193532.89 6569382.2 16.84, 193534.58000000002 6569381.8 16.84, 193536.64 6569381.65 16.84, 193538.57 6569381.59 16.84)</t>
  </si>
  <si>
    <t>['RV36 S2D1 m2191-2409']</t>
  </si>
  <si>
    <t>LINESTRING Z (193410.27000000002 6570601.89 18.400000000000002, 193409.7 6570612.5 18.44, 193408.8 6570635.6 18.54, 193408.66 6570643.22 18.6, 193408.3 6570662.1 18.740000000000002, 193407.91 6570681 18.740000000000002, 193407.62 6570698.42 18.91, 193407.55 6570701.44 18.89, 193407.8 6570722.2 18.94, 193407.59 6570738.15 19.03, 193407.55 6570741.1 19.13, 193407.4 6570752.3 19.240000000000002, 193407.2 6570773.2 19.44, 193407.32 6570788.8 19.5, 193407.4 6570800.2 19.54, 193408.11 6570819.67 19.900000000000002)</t>
  </si>
  <si>
    <t>POLYGON ((193409.20071997948 6570612.473177228, 193409.20037905916 6570612.480534249, 193408.30037905913 6570635.580534249, 193408.3000843677 6570635.590815198, 193408.16008755896 6570643.210641502, 193407.8000983364 6570662.090076285, 193407.410106416 6570680.989684735, 193407.41006927067 6570680.991677388, 193407.1200964385 6570698.410045444, 193407.05013426018 6570701.428413709, 193407.05003625082 6570701.446020759, 193407.2999603636 6570722.199719084, 193407.0900446246 6570738.143319262, 193407.05004595747 6570741.093220962, 193406.9000448361 6570752.293304171, 193406.90002289167 6570752.29521553, 193406.7000228917 6570773.195215531, 193406.70001479227 6570773.20384604, 193406.82001349475 6570788.803677365, 193406.90001231103 6570800.203508685, 193406.90033211763 6570800.218221068, 193407.61033211762 6570819.688221068, 193408.60966788235 6570819.651778932, 193407.89993605003 6570800.18913277, 193407.81998768897 6570788.796491315, 193407.7000184023 6570773.200469251, 193407.89996796282 6570752.305740176, 193408.04995460977 6570741.106737202, 193408.08995404252 6570738.156779038, 193408.29995666878 6570722.2065825015, 193408.29996374916 6570722.193979242, 193408.05006977502 6570701.4427836295, 193408.1198657398 6570698.431586292, 193408.11993072933 6570698.428322612, 193408.40991414236 6570681.009318975, 193408.799893584 6570662.110315264, 193408.79990912956 6570662.109532165, 193409.15990912958 6570643.229532165, 193409.29982116004 6570635.614326791, 193410.1994775734 6570612.523145516, 193410.76928002056 6570601.916822772, 193409.77071997948 6570601.863177228, 193409.20071997948 6570612.473177228))</t>
  </si>
  <si>
    <t>[32, 36]</t>
  </si>
  <si>
    <t>['FV32 S7D10 m508-615', 'RV36 S2D1 m3280-3514', 'RV36 S2D1 m3460 KD1 m0-137']</t>
  </si>
  <si>
    <t>LINESTRING Z (193253.24 6571790.06 22.03, 193251.87 6571795.58 21.93, 193250.77000000002 6571799.07 21.88, 193249.24 6571802.98 21.830000000000002, 193247.41 6571806.66 21.79, 193245.55 6571810.15 21.75, 193243.53 6571813.53 21.72, 193241.97 6571815.91 21.69, 193238.55 6571821.12 21.63, 193234.78 6571826.73 21.55, 193227.97 6571836.81 21.48, 193425.59 6571682.04 18.95, 193422.5 6571688.3 18.95, 193417.6 6571697 19.150000000000002, 193413.18 6571702.17 19.26, 193409.8 6571706.2 19.34, 193399.5 6571714.6 19.34, 193393.4 6571718.4 19.34, 193383.9 6571723.1 19.650000000000002, 193370.2 6571727.4 20.34, 193365.2 6571728.3 20.34, 193356.2 6571729.2 20.45, 193337.29 6571729.14 20.85, 193317.33000000002 6571728.77 21.12, 193307.87 6571728.83 21.23, 193306.4 6571728.93 21.25, 193304.94 6571729.02 21.29, 193302.27000000002 6571729.42 21.34, 193299.83000000002 6571729.88 21.41, 193297.25 6571730.46 21.45, 193293.77000000002 6571731.44 21.51, 193290.31 6571732.84 21.580000000000002, 193287.15 6571734.34 21.67, 193285.2 6571735.45 21.7, 193282.11 6571737.47 21.77, 193279.53 6571739.85 21.830000000000002, 193276.89 6571742.88 21.87, 193275.4 6571744.59 21.900000000000002, 193274.09 6571746.1 21.93, 193271.69 6571749.02 22.01, 193278.45 6571756.96 22.02, 193279.18 6571758.43 22, 193279.74 6571759.81 22, 193280.16999999998 6571761.18 22.02, 193280.54 6571762.55 22.03, 193280.82 6571764.01 22.02, 193280.97999999998 6571765.3 22.02, 193281.08000000002 6571766.56 22.02, 193281.09 6571767.98 22.03, 193281.07 6571769.3 22.03, 193280.91 6571770.87 22.03, 193280.66999999998 6571772.29 22.01, 193280.32 6571773.77 22.01, 193279.84 6571775.22 22.03, 193279.35 6571776.47 22.02, 193278.8 6571777.67 22.01, 193278.15 6571778.93 21.990000000000002, 193277.36 6571780.22 21.98, 193276.54 6571781.33 21.98, 193275.74 6571782.36 21.95, 193274.76 6571783.49 21.97, 193273.72 6571784.49 21.96, 193272.65 6571785.42 21.97, 193271.59 6571786.22 21.990000000000002, 193270.49 6571787 21.97, 193269.16999999998 6571787.8 21.990000000000002, 193267.91999999998 6571788.39 22.01, 193266.65 6571788.99 21.98, 193265.18 6571789.49 22, 193263.83000000002 6571789.88 22.02, 193262.44 6571790.19 22.02, 193260.97999999998 6571790.43 22.02, 193259.62 6571790.54 22.09, 193258.19 6571790.62 22.03, 193256.66999999998 6571790.53 22.03, 193255.35 6571790.41 22.03, 193254.27000000002 6571790.26 22.03, 193253.24 6571790.06 22.03, 193252.2 6571789.8 22.04, 193251.22999999998 6571789.52 22.04, 193249.88 6571789.05 22.03, 193248.45 6571788.45 22.03, 193247.07 6571787.73 22, 193245.96000000002 6571787.02 22.04, 193244.8 6571786.27 22.04, 193243.68 6571785.4 22.04, 193242.57 6571784.46 22.01, 193241.47999999998 6571783.38 22.01, 193240.52000000002 6571782.29 22.03, 193239.6 6571781.11 21.97, 193238.82 6571779.91 21.990000000000002, 193238.09 6571778.68 22.02, 193237.47 6571777.41 22.04, 193236.91 6571776.16 22.01, 193236.4 6571774.78 21.990000000000002, 193236.11 6571774.03 22.02, 193235.59 6571771.95 22.01, 193235.4 6571770.58 21.97, 193235.22999999998 6571769.17 21.93, 193235.18 6571767.52 21.96, 193235.29 6571765.52 22, 193235.44 6571764.06 22.01, 193235.76 6571762.51 22.01, 193236.08000000002 6571761.31 22.01, 193236.47999999998 6571759.98 21.98, 193237.06 6571758.59 21.96, 193237.55 6571757.52 21.96, 193238.16999999998 6571756.31 21.990000000000002, 193238.89 6571755.13 21.990000000000002, 193239.7 6571753.9 21.98, 193240.55 6571752.81 21.98, 193241.57 6571751.69 21.98, 193242.58000000002 6571750.7 21.98, 193243.74 6571749.7 21.97, 193244.72999999998 6571748.99 21.96, 193245.7 6571748.29 21.990000000000002, 193246.91999999998 6571747.58 21.98, 193248.06 6571746.97 21.98, 193249.21000000002 6571746.48 21.96, 193250.27000000002 6571746.05 21.98, 193251.76 6571745.54 21.990000000000002, 193253.26 6571745.19 21.98, 193254.61 6571744.95 21.990000000000002, 193255.91999999998 6571744.76 21.98, 193257.2 6571744.67 22, 193258.59 6571744.62 22.01, 193259.99 6571744.68 22.01, 193261.28 6571744.81 22.01, 193262.66999999998 6571745.01 22.01, 193263.46000000002 6571745.17 22, 193264.25 6571745.38 21.990000000000002, 193265.44 6571745.75 22.01, 193266.75 6571746.25 22, 193268.11 6571746.84 21.990000000000002, 193269.3 6571747.47 21.98, 193270.49 6571748.17 22.03, 193271.69 6571749.02 22.01, 193272.72 6571749.84 21.990000000000002, 193273.65 6571750.66 22.03, 193274.61 6571751.58 22.03, 193275.6 6571752.64 22.02, 193276.47999999998 6571753.78 22.03, 193277.22 6571754.84 22.02, 193277.91999999998 6571755.99 22.03, 193278.45 6571756.96 22.02)</t>
  </si>
  <si>
    <t>['RV36 S2D1 m4798-5242', 'RV36 S2D1 m4906 KD1 m0-89']</t>
  </si>
  <si>
    <t>LINESTRING Z (192559.7 6573062.7 29.150000000000002, 192555.66999999998 6573063.96 29.22, 192549.2 6573066.8 29.35, 192541.9 6573073.9 29.45, 192527.9 6573091.2 29.45, 192525.04 6573094.36 29.45, 192520.62 6573098.54 29.45, 192517.54 6573101.02 29.55, 192514.16999999998 6573103.2 29.55, 192509.6 6573105.62 29.55, 192502.72 6573108.51 29.55, 192492.38 6573112.47 29.55, 192481.34 6573115.85 29.55, 192466.89 6573120.39 29.55, 192455.84 6573124.2 29.55, 192451.91 6573125.65 29.55, 192440.83000000002 6573129.77 29.55, 192429.91 6573133.98 29.55, 192425.45 6573135.68 29.55, 192417.4 6573138.76 29.55, 192401.34 6573144.81 29.580000000000002, 192393.18 6573147.96 29.59, 192381.18 6573152.73 29.580000000000002, 192371.82 6573156.32 29.5, 192361.49 6573160.27 29.47, 192355.48 6573162.51 29.45, 192349.07 6573164.94 29.45, 192344.7 6573166.64 29.44, 192338.35 6573169.14 29.43, 192329.53 6573172.57 29.39, 192323.88 6573174.74 29.35, 192319.43 6573176.51 29.330000000000002, 192311.87 6573179.62 29.32, 192305.98 6573182.22 29.32, 192300.34 6573184.79 29.310000000000002, 192294.7 6573187.27 29.29, 192277.07 6573194.64 29.25, 192266.79 6573198.7 29.25, 192257.68 6573202.05 29.25, 192609.39 6572946.21 27.560000000000002, 192606.2 6572955.7 27.75, 192588.83000000002 6573006.29 27.95, 192584.3 6573019.9 28.25, 192579.4 6573036.2 28.55, 192577.96000000002 6573045.83 28.69, 192577.4 6573049.6 28.75, 192584.91999999998 6573055.48 28.55, 192586.28 6573058.11 28.55, 192587 6573061.1 28.55, 192587.12 6573064.42 28.55, 192586.61 6573067.6 28.55, 192584.37 6573071.42 28.650000000000002, 192582.35 6573073.74 28.650000000000002, 192578.5 6573076 29.05, 192575.4 6573076.9 29.05, 192572.2 6573077.3 29.05, 192568.6 6573076.7 29.05, 192565 6573074.7 29.150000000000002, 192563.39 6573072.87 29.150000000000002, 192561.95 6573070.85 29.150000000000002, 192560.5 6573067.2 29.150000000000002, 192559.7 6573062.7 29.150000000000002, 192560.3 6573058.3 29.150000000000002, 192561.26 6573055.96 29.150000000000002, 192562.53 6573053.96 29.150000000000002, 192565.11 6573051.74 29.05, 192567.62 6573050.36 28.990000000000002, 192569.86 6573049.43 28.95, 192572.05 6573049.1 28.85, 192574.78 6573049.14 28.79, 192577.4 6573049.6 28.75, 192580.9 6573051.2 28.650000000000002, 192583.16999999998 6573053.22 28.59, 192584.91999999998 6573055.48 28.55)</t>
  </si>
  <si>
    <t>['RV36 S2D1 m3840-3910']</t>
  </si>
  <si>
    <t>LINESTRING Z (193037.32 6572102.57 26.09, 193034.7 6572106.2 26.05, 193022.58000000002 6572121.66 25.78, 193020.9 6572123.8 25.75, 193010.8 6572137.1 25.75, 193003.24 6572146.92 25.580000000000002, 193001.4 6572149.3 25.55, 192994.63 6572157.6 25.5)</t>
  </si>
  <si>
    <t>POLYGON ((193034.30038131223 6572105.899328363, 193022.18660935728 6572121.351384008, 193020.50671332047 6572123.491251579, 193020.50180354607 6572123.497610211, 193010.40280147386 6572136.7962961085, 193002.84411889815 6572146.614584851, 193001.0084203831 6572148.989020973, 192994.2425434221 6572157.28396614, 192995.01745657792 6572157.916033859, 193001.7874565779 6572149.61603386, 193001.7955693847 6572149.605818348, 193003.6355693847 6572147.225818348, 193003.63619197748 6572147.225011339, 193011.19619197748 6572137.405011339, 193011.19819645392 6572137.402389788, 193021.29576711464 6572124.105588819, 193022.97328667954 6572121.968748421, 193035.09349455617 6572106.5084834425, 193035.10542794946 6572106.492622928, 193037.72542794945 6572102.862622928, 193036.91457205056 6572102.277377073, 193034.30038131223 6572105.899328363))</t>
  </si>
  <si>
    <t>['RV36 S2D1 m5520-6112', 'RV36 S2D1 m5648 KD1 m0-71', 'RV36 S2D1 m5994 KD1 m0-99']</t>
  </si>
  <si>
    <t>LINESTRING Z (191856.13 6573350.7 29.35, 191852.56 6573352.2 29.400000000000002, 191675.87 6573476.27 30.150000000000002, 191668.91 6573482.44 30.1, 191544.32 6573556.02 30.32, 191541.93 6573558.58 30.3, 191852.56 6573352.2 29.400000000000002, 191830.8 6573361.4 29.75, 191806.38 6573371.58 30.05, 191783.5 6573384 30.45, 191770.36 6573392.41 30.51, 191764.8 6573396.5 30.55, 191758 6573402.3 30.45, 191740.39 6573417.82 30.25, 191724.7 6573432.4 30.25, 191707.5 6573448.5 30.150000000000002, 191689.3 6573464.9 30.150000000000002, 191675.87 6573476.27 30.150000000000002, 191541.93 6573558.58 30.3, 191527.6 6573573.94 30.2, 191668.91 6573482.44 30.1, 191660.48 6573488.83 30.11, 191652.91999999998 6573494.38 30.060000000000002, 191640.97 6573502.77 30.36, 191632.41 6573508.53 30.04, 191621.9 6573514.56 30.240000000000002, 191613.15 6573519.24 30.2, 191601.12 6573524.99 30.18, 191590.43 6573529.61 30.150000000000002, 191527.6 6573573.94 30.2, 191518.81 6573583.73 30.29, 191511.06 6573591.99 30.3, 191501.44 6573601.69 30.26, 191492.62 6573610 30.16, 191482.35 6573619.3 30.28, 191471.54 6573628.44 30.17, 191459.3 6573638.16 30.12, 191590.43 6573529.61 30.150000000000002, 191579.41 6573534.09 30.25, 191572.66999999998 6573536.84 30.19, 191997.04 6573298.78 29.48, 191991.6 6573300.8 29.45, 191978.68 6573305.73 29.45, 191976.4 6573306.6 29.45, 191961.04 6573311.85 29.29, 191956.5 6573313.4 29.25, 191929.4 6573323.3 29.150000000000002, 191909.2 6573330.9 29.05, 191899 6573334.7 29.05, 191880.68 6573341.14 29.05, 191572.66999999998 6573536.84 30.19, 191569.85 6573537.99 30.17, 191880.68 6573341.14 29.05, 191876.8 6573342.5 29.05, 191571.5 6573544.8 30.23, 191571.51 6573545.64 30.240000000000002, 191571.4 6573546.98 30.26, 191571.16999999998 6573548.35 30.27, 191570.82 6573549.7 30.28, 191570.35 6573551.01 30.29, 191569.77000000002 6573552.26 30.310000000000002, 191569.09 6573553.47 30.32, 191568.3 6573554.61 30.330000000000002, 191567.41999999998 6573555.68 30.34, 191566.44 6573556.67 30.35, 191565.38 6573557.57 30.36, 191564.24 6573558.36 30.36, 191563.04 6573559.06 30.37, 191561.78 6573559.65 30.37, 191560.48 6573560.13 30.38, 191559.14 6573560.49 30.38, 191557.77000000002 6573560.74 30.38, 191556.39 6573560.85 30.38, 191555 6573560.85 30.38, 191553.62 6573560.73 30.38, 191552.25 6573560.49 30.38, 191550.9 6573560.12 30.37, 191550.32 6573559.91 30.37, 191549.58000000002 6573559.63 30.37, 191548.32 6573559.04 30.36, 191547.11 6573558.33 30.35, 191545.97 6573557.52 30.34, 191544.9 6573556.61 30.330000000000002, 191544.32 6573556.02 30.32, 191543.91999999998 6573555.61 30.32, 191543.04 6573554.53 30.310000000000002, 191542.25 6573553.37 30.3, 191541.57 6573552.15 30.29, 191540.99 6573550.87 30.28, 191540.53 6573549.55 30.26, 191540.19 6573548.19 30.25, 191540.04 6573547.19 30.240000000000002, 191539.88 6573545.41 30.22, 191539.91999999998 6573544 30.2, 191540.06 6573542.61 30.2, 191540.33000000002 6573541.3 30.18, 191540.7 6573540.01 30.17, 191541 6573539.22 30.16, 191541.77000000002 6573537.55 30.150000000000002, 191542.46 6573536.39 30.14, 191543.23 6573535.31 30.13, 191544.11 6573534.28 30.12, 191544.47 6573533.92 30.11, 191545.06 6573533.34 30.11, 191546.08000000002 6573532.48 30.1, 191547.19 6573531.71 30.09, 191548.35 6573531.04 30.09, 191549.56 6573530.47 30.080000000000002, 191550.9 6573529.97 30.080000000000002, 191552.28 6573529.6 30.080000000000002, 191553.68 6573529.36 30.07, 191555.1 6573529.24 30.07, 191556.53 6573529.25 30.080000000000002, 191557.95 6573529.39 30.080000000000002, 191559.35 6573529.65 30.080000000000002, 191560.72 6573530.04 30.09, 191562.05 6573530.55 30.09, 191563.33000000002 6573531.19 30.1, 191564.48 6573531.88 30.11, 191565.56 6573532.68 30.11, 191566.58000000002 6573533.56 30.12, 191567.52000000002 6573534.52 30.13, 191568.37 6573535.56 30.14, 191569.12 6573536.68 30.150000000000002, 191569.85 6573537.99 30.17, 191570.34 6573539.07 30.18, 191570.8 6573540.33 30.19, 191571.15 6573541.64 30.2, 191571.38 6573542.96 30.22, 191571.5 6573544.3 30.23, 191571.5 6573544.8 30.23, 191877.3 6573348.5 29.150000000000002, 191876.6 6573350.6 29.150000000000002, 191873.5 6573353.9 29.150000000000002, 191870 6573355.8 29.150000000000002, 191866.8 6573356.8 29.25, 191864.1 6573356.5 29.35, 191861.6 6573356 29.35, 191858.93 6573354.91 29.35, 191857.5 6573353.1 29.35, 191856.13 6573350.7 29.35, 191855.4 6573347.8 29.45, 191855.1 6573346.5 29.45, 191855.1 6573345.1 29.35, 191855.6 6573342.2 29.25, 191856.9 6573339.3 29.150000000000002, 191858 6573337.9 29.05, 191860 6573336.5 29.05, 191861.83000000002 6573335.66 29.2, 191864.7 6573334.9 28.95, 191866.5 6573334.7 28.95, 191869.3 6573335 29.05, 191872.6 6573336.4 29.05, 191874.6 6573338.4 29.05, 191875.7 6573340.5 29.05, 191876.8 6573342.5 29.05, 191877.4 6573346.3 29.150000000000002, 191877.3 6573348.5 29.150000000000002)</t>
  </si>
  <si>
    <t>[59, 36, 357]</t>
  </si>
  <si>
    <t>['RV36 S2D1 m6385-6565', 'FV357 S1D10 m955-1109', 'FV357 S1D10 m1110-1275', 'RV36 S3D1 m0-103', 'RV36 S2D1 m6565 KD1 m0-95', 'FV357 S1D10 m1109 KD1 m0-94', 'FV59 S1D10 m1204-1330']</t>
  </si>
  <si>
    <t>LINESTRING Z (191229.1 6573818.1 28.55, 191226.32 6573820.23 28.75, 191222.26 6573823.21 28.75, 191218.2 6573826.09 28.75, 191214.15 6573829.07 28.75, 191210.19 6573832.04 28.75, 191206.6 6573834.57 28.75, 191202.08000000002 6573837.9 28.85, 191198.02000000002 6573840.88 28.85, 191193.97 6573843.86 28.85, 191189.91 6573846.74 28.85, 191185.86 6573849.72 28.85, 191181.8 6573852.7 28.85, 191177.85 6573855.67 28.75, 191173.79 6573858.55 28.75, 191169.16 6573861.88 28.75, 191165.68 6573864.5 28.75, 191160.02000000002 6573868.64 28.75, 191157.56 6573870.36 28.75, 191154.89 6573872.54 28.85, 191149.66999999998 6573876.5 28.85, 191145.73 6573879.57 28.85, 191141.79 6573882.75 28.85, 191137.95 6573885.91 28.85, 191135.61 6573887.82 28.85, 191134.13 6573889.11 28.85, 191132.63 6573890.41 28.85, 191130.3 6573892.43 28.85, 191126.57 6573895.68 28.85, 191122.86 6573899.03 28.85, 191119.14 6573902.38 28.85, 191115.41999999998 6573905.73 28.85, 191111.81 6573909.18 28.85, 191108.21 6573912.71 28.75, 191106.4 6573914.58 28.75, 191244.28 6573806.66 28.61, 191229.1 6573818.1 28.55, 191106.4 6573914.58 28.75, 191102.98 6573917.83 28.740000000000002, 191081.36 6573919.27 28.98, 191077.99 6573915.52 29.28, 191076.55 6573913.92 29.41, 191074.63 6573911.54 29.5, 191069.81 6573904.97 29.87, 191066.05 6573898.94 30.02, 191063.59 6573893.95 30.19, 191062.45 6573891.2 30.27, 191061.77000000002 6573889.07 30.310000000000002, 191061.02000000002 6573886.69 30.490000000000002, 191060.4 6573884.45 30.53, 191059.4 6573879.15 30.76, 191059.3 6573878.47 30.82, 191059.01 6573876.56 30.990000000000002, 191058.62 6573869.19 31.34, 191058.6 6573866.51 31.44, 191058.77000000002 6573860.94 31.63, 191059.36 6573854.84 32, 191059.65 6573852.57 32.01, 191060.07 6573850.24 32.27, 191061.4 6573842.31 32.51, 191063.95 6573830.99 32.72, 191064.25 6573829.82 32.76, 191065.16999999998 6573826.29 32.88, 191066.01 6573823.06 33, 191078.54 6573933.56 28.73, 191078.07 6573931.72 28.78, 191077.84 6573929.84 28.88, 191077.86 6573927.94 28.92, 191078.1 6573926.05 28.95, 191078.59 6573924.22 28.88, 191079.3 6573922.46 28.93, 191080.23 6573920.8 28.95, 191081.36 6573919.27 28.98, 191082.66999999998 6573917.9 29.01, 191084.14 6573916.71 29.01, 191085.76 6573915.71 29.04, 191087.49 6573914.92 29.060000000000002, 191089.3 6573914.36 29.04, 191091.16999999998 6573914.03 29.02, 191093.07 6573913.94 29, 191094.96 6573914.09 28.97, 191096.82 6573914.48 28.82, 191098.61 6573915.09 28.8, 191100.32 6573915.93 28.78, 191101.9 6573916.98 28.76, 191102.98 6573917.83 28.740000000000002, 191104.61 6573919.63 28.72, 191105.69 6573921.19 28.69, 191106.57 6573922.88 28.64, 191107.23 6573924.66 28.62, 191107.65 6573926.5 28.6, 191107.84 6573928.39 28.43, 191107.79 6573930.29 28.41, 191107.51 6573932.17 28.37, 191106.98 6573934 28.32, 191106.23 6573935.74 28.43, 191105.27000000002 6573937.38 28.400000000000002, 191104.11 6573938.88 28.3, 191102.77000000002 6573940.22 28.310000000000002, 191101.27000000002 6573941.38 28.330000000000002, 191099.63 6573942.35 28.35, 191097.89 6573943.1 28.38, 191096.06 6573943.62 28.41, 191094.19 6573943.91 28.25, 191092.93 6573943.97 28.310000000000002, 191091.03 6573943.86 28.45, 191089.16 6573943.52 28.45, 191087.36 6573942.94 28.45, 191085.64 6573942.13 28.47, 191083.63 6573940.82 28.490000000000002, 191082.57 6573939.91 28.52, 191081.27000000002 6573938.53 28.560000000000002, 191080.15 6573936.99 28.59, 191079.24 6573935.33 28.68, 191078.54 6573933.56 28.73)</t>
  </si>
  <si>
    <t>['EV6 S104D1 m11758 SD1 m3-111']</t>
  </si>
  <si>
    <t>LINESTRING Z (411910.61 7201987.23 208.24, 411918.06 7201992.02 208.24, 411922.74 7201996.98 207.8, 411924.94 7201999.3 207.6, 411932.52 7202007.21 207.02, 411935.67 7202013.13 206.66, 411937.11 7202018.09 206.39000000000001, 411936.38 7202022.02 206.20000000000002, 411933.99 7202027.06 205.93, 411929.75 7202030.89 205.71, 411926.33 7202032.27 205.55, 411921.43 7202033.04 205.72, 411917.83 7202032.88 205.81, 411914.72 7202031.41 205.88, 411912.58999999997 7202028.35 205.99, 411911.88 7202023.82 206.12, 411912.58999999997 7202016.78 206.46, 411916.46 7202008.28 207.1, 411921.37 7201999.44 207.65)</t>
  </si>
  <si>
    <t>POLYGON Z ((411910.61 7201987.23 208.24, 411918.06 7201992.02 208.24, 411922.74 7201996.98 207.8, 411924.94 7201999.3 207.6, 411932.52 7202007.21 207.02, 411935.67 7202013.13 206.66, 411937.11 7202018.09 206.39000000000001, 411936.38 7202022.02 206.20000000000002, 411933.99 7202027.06 205.93, 411929.75 7202030.89 205.71, 411926.33 7202032.27 205.55, 411921.43 7202033.04 205.72, 411917.83 7202032.88 205.81, 411914.72 7202031.41 205.88, 411912.58999999997 7202028.35 205.99, 411911.88 7202023.82 206.12, 411912.58999999997 7202016.78 206.46, 411916.46 7202008.28 207.1, 411921.37 7201999.44 207.65, 411910.61 7201987.23 208.24))</t>
  </si>
  <si>
    <t>2025-11-22T09:45:39Z</t>
  </si>
  <si>
    <t>['RV36 S1D1 m2797-3100']</t>
  </si>
  <si>
    <t>LINESTRING Z (194049.25 6565110.51 7.76, 194048.34 6565112.59 7.67, 194046.41 6565116.68 7.51, 194044.14 6565121 7.390000000000001, 194043.19 6565122.8 7.3100000000000005, 194041.37 6565126.25 7.1000000000000005, 194040.33000000002 6565128.17 7.07, 194038.15 6565132.14 6.88, 194037.02000000002 6565134.14 6.79, 194035.9 6565136.14 6.71, 194034.74 6565138.12 6.640000000000001, 194032.64 6565141.7 6.5200000000000005, 194031.37 6565143.71 6.47, 194027.87 6565149.28 6.29, 194025.87 6565152.44 6.1000000000000005, 194024.66999999998 6565154.26 6.0200000000000005, 194024.22 6565154.92 6, 194023.49 6565155.96 5.97, 194021.61 6565158.72 5.79, 194018.78 6565162.91 5.64, 194015.04 6565168.44 5.49, 194013.69 6565170.5 5.45, 194013.22 6565171.21 5.43, 194012.33000000002 6565172.58 5.39, 194011.2 6565174.25 5.3500000000000005, 194010.05 6565175.86 5.33, 194006.47 6565180.94 5.12, 194005.18 6565182.86 5, 194001.3 6565188.6 4.6000000000000005, 193998.66999999998 6565192.48 4.36, 193997.51 6565194.13 4.2700000000000005, 193995.12 6565197.56 4.13, 193993.83000000002 6565199.46 4.1, 193990.15 6565204.81 3.97, 193988.04 6565207.82 3.8000000000000003, 193986.75 6565209.64 3.71, 193982.96000000002 6565214.99 3.5, 193981.49 6565217.12 3.47, 193979.1 6565220.54 3.43, 193977.76 6565222.47 3.41, 193976.61 6565224.1 3.41, 193975.22999999998 6565226.16 3.29, 193972.66 6565229.91 3.0500000000000003, 193971.28 6565231.92 3.02, 193969.5 6565234.54 2.99, 193967.47999999998 6565237.51 2.94, 193966.41999999998 6565239.08 2.92, 193963.97999999998 6565242.7 2.94, 193962.8 6565244.52 2.95, 193962.16999999998 6565245.47 2.95, 193959.32 6565249.78 2.88, 193956.78 6565253.65 2.73, 193955.49 6565255.61 2.7600000000000002, 193954.33000000002 6565257.37 2.74, 193952.85 6565259.57 2.77, 193952.52000000002 6565260.05 2.7800000000000002, 193951.51 6565261.54 2.75, 193948.85 6565265.48 2.68, 193945.22999999998 6565270.86 2.57, 193944.1 6565272.49 2.54, 193942.99 6565274.12 2.43, 193941.74 6565276.01 2.42, 193938 6565281.63 2.39, 193934.24 6565287.28 2.38, 193933.02000000002 6565289.05 2.38, 193929.18 6565294.71 2.37, 193927.87 6565296.67 2.36, 193924.04 6565302.36 2.36, 193922.75 6565304.2 2.36, 193919.34 6565309.1 2.36, 193918.19 6565310.75 2.37, 193916.82 6565312.76 2.37, 193914.1 6565316.76 2.39, 193912.43 6565319.2 2.4, 193911.36 6565320.75 2.41, 193908.65 6565324.77 2.45, 193905.91999999998 6565328.76 2.49, 193903.59 6565332.22 2.5, 193901.6 6565335.23 2.49, 193900.25 6565337.3 2.5100000000000002, 193898.88 6565339.4 2.52, 193897.56 6565341.47 2.5300000000000002, 193896.28 6565343.56 2.5500000000000003, 193893.62 6565347.82 2.59, 193892.12 6565350.19 2.58, 193890.88 6565352.3 2.59, 193889.58000000002 6565354.42 2.61, 193887.34 6565358.15 2.64, 193886.35 6565359.84 2.67, 193884.22999999998 6565363.45 2.71)</t>
  </si>
  <si>
    <t>POLYGON ((194047.88477649202 6565112.383064504, 194045.96239491855 6565116.456919756, 194043.69759616238 6565120.767021353, 194042.7478076236 6565122.56662069, 194040.92904546106 6565126.014274221, 194039.8910378873 6565127.930595895, 194037.71318748867 6565131.896681255, 194036.58467804798 6565133.894043096, 194036.58374699205 6565133.895698315, 194035.46612513097 6565135.891451639, 194034.3086543384 6565137.867134544, 194032.21289825108 6565141.439899683, 194030.94730552717 6565143.442924388, 194030.94664259252 6565143.4439764945, 194027.44707516674 6565149.0132880835, 194025.45000285143 6565152.168662342, 194024.25470260726 6565153.981534379, 194023.80880120318 6565154.635523105, 194023.08075411714 6565155.672740871, 194023.07675966396 6565155.678517452, 194021.19675966396 6565158.438517452, 194021.19565592895 6565158.440144696, 194018.3657417585 6565162.6300176205, 194014.62582762653 6565168.159890655, 194014.6218015277 6565168.165937895, 194013.27243539743 6565170.224970656, 194012.80307364414 6565170.934006496, 194012.80070828155 6565170.937613409, 194011.9132635391 6565172.303680035, 194010.78944664748 6565173.964542167, 194009.64313326436 6565175.569380904, 194009.64129322302 6565175.5719743585, 194006.06129322303 6565180.651974359, 194006.05497520012 6565180.661155213, 194004.76536665953 6565182.580572575, 194000.885940068 6565188.319724285, 193998.2585139331 6565192.1959271, 193997.1009671968 6565193.842437544, 193997.09976691665 6565193.844152458, 193994.70976691664 6565197.274152458, 193994.70633438247 6565197.2791428175, 193993.41718664236 6565199.1778875515, 193989.73930306057 6565204.524810693, 193987.63132307254 6565207.5319290655, 193986.34207587742 6565209.350866968, 193982.55200274775 6565214.700970171, 193982.54848703722 6565214.705998097, 193981.07931951518 6565216.834791853, 193978.69015896987 6565220.253590625, 193978.68928732464 6565220.254841977, 193977.350361149 6565222.183295349, 193976.20144661705 6565223.811756816, 193976.1945963623 6565223.821719893, 193974.81606776768 6565225.879523448, 193972.24768084273 6565229.627169739, 193970.86779961217 6565231.636996749, 193970.8664193435 6565231.639017722, 193969.08649073055 6565234.258912646, 193967.06656264214 6565237.228806915, 193967.06560626443 6565237.230218242, 193966.00560626443 6565238.800218242, 193963.56538986546 6565242.420539025, 193963.56046247762 6565242.427992156, 193962.38187066582 6565244.245820204, 193961.75330126844 6565245.193662946, 193961.75293568696 6565245.194215014, 193958.902935687 6565249.504215014, 193958.90199152828 6565249.505648186, 193956.36216696238 6565253.375380891, 193955.07243211026 6565255.334978031, 193953.91382062956 6565257.092871312, 193952.43654844 6565259.288816459, 193952.10797903806 6565259.766735588, 193952.10612388488 6565259.769453103, 193951.09612388487 6565261.259453103, 193951.09560005093 6565261.2602274455, 193948.43560005093 6565265.200227446, 193948.43516491808 6565265.200873049, 193944.8171052372 6565270.577989371, 193943.68908549604 6565272.2051328905, 193943.68672547332 6565272.208567654, 193942.5767254733 6565273.838567654, 193942.57295924297 6565273.844179394, 193941.32335236587 6565275.733584992, 193937.5837470968 6565281.35299184, 193933.8260059866 6565286.999597498, 193932.60831865342 6565288.766242235, 193932.60623785315 6565288.769285045, 193928.76623785312 6565294.429285045, 193928.76430143474 6565294.432160653, 193927.45475599574 6565296.391480546, 193923.62786570343 6565302.076860642, 193922.34059321252 6565303.912970241, 193922.3395986192 6565303.914394141, 193918.92969979384 6565308.814248757, 193917.77980091659 6565310.464103669, 193917.77684284607 6565310.468395373, 193916.40684284607 6565312.478395373, 193916.40653674898 6565312.478844989, 193913.68696138257 6565316.478220528, 193912.01795323164 6565318.91677136, 193910.94852199868 6565320.465947445, 193910.94540835204 6565320.4705116, 193908.23637244385 6565324.489081471, 193905.50734636936 6565328.477658042, 193905.5052702029 6565328.480716639, 193903.17527020292 6565331.940716639, 193903.1729120218 6565331.944250805, 193901.18291202182 6565334.954250806, 193901.18119470164 6565334.95686611, 193899.83121449253 6565337.026835763, 193898.46123437682 6565339.126805284, 193898.4584210231 6565339.13116703, 193897.1384210231 6565341.201167029, 193897.13361143443 6565341.208862505, 193895.85474226318 6565343.297016073, 193893.196695535 6565347.553887902, 193891.69750990125 6565349.922601203, 193891.68892789108 6565349.936668524, 193890.4513047977 6565352.042623948, 193889.15375717697 6565354.1586246835, 193889.1513549689 6565354.162583144, 193886.91135496888 6565357.892583145, 193886.9085742245 6565357.897271291, 193885.91871139215 6565359.587037136, 193883.79884879157 6565363.196803168, 193884.6611512084 6565363.703196832, 193886.78115120842 6565360.093196832, 193886.7814257755 6565360.092728709, 193887.7700481759 6565358.40508037, 193890.00745309147 6565354.679401648, 193891.30624282305 6565352.561375316, 193891.31107210892 6565352.553331477, 193892.54689702488 6565350.4504358545, 193894.04249009874 6565348.087398797, 193894.04411097555 6565348.084820469, 193896.70411097555 6565343.824820468, 193896.70638856557 6565343.821137494, 193897.98401869877 6565341.735007043, 193899.3001835973 6565339.671021179, 193900.66876562318 6565337.573194716, 193902.01795076547 6565335.5044441745, 193904.00591637593 6565332.497521317, 193906.33369736338 6565329.040816503, 193909.06265363062 6565325.052341958, 193909.06459164794 6565325.049488399, 193911.7730474465 6565321.03177906, 193912.8414780013 6565319.484052556, 193912.842612148 6565319.482402577, 193914.512612148 6565317.042402577, 193914.51346325103 6565317.04115501, 193917.233310379 6565313.041379822, 193918.60168928863 6565311.033758211, 193919.7501990834 6565309.385896331, 193923.15990529713 6565304.486318707, 193924.4494067875 6565302.647029759, 193924.45478737992 6565302.639197833, 193928.2847873799 6565296.9491978325, 193928.28569856525 6565296.947839347, 193929.59473530302 6565294.989280564, 193933.4327273552 6565289.332240195, 193934.6516813466 6565287.563757765, 193934.65625169396 6565287.557009977, 193938.41625169397 6565281.907009977, 193942.1562529032 6565276.28700816, 193942.157040757 6565276.285820606, 193943.40517660117 6565274.3986392105, 193944.51210168932 6565272.773154621, 193945.64091450395 6565271.14486711, 193945.6448350819 6565271.139126952, 193949.26461783072 6565265.759449828, 193951.92413836683 6565261.820160011, 193952.9329530242 6565260.331908684, 193953.26202096196 6565259.853264412, 193953.26486105513 6565259.849088347, 193954.74486105514 6565257.649088346, 193954.7474791023 6565257.645156682, 193955.9074791023 6565255.885156682, 193957.19765703782 6565253.92488652, 193957.19800847172 6565253.924351814, 193959.7375376918 6565250.055069105, 193962.58688156956 6565245.746061346, 193963.21669873153 6565244.796337053, 193963.21953752235 6565244.792007844, 193964.39710712276 6565242.975756427, 193966.83450205976 6565239.359621315, 193967.89391677862 6565237.790488194, 193969.91343735784 6565234.821193085, 193971.6928930287 6565232.201994404, 193973.07220038783 6565230.193003251, 193975.6424376936 6565226.442657299, 193975.64540363767 6565226.4382801065, 193977.02203874683 6565224.383303059, 193978.16855338294 6565222.758243184, 193978.17071267538 6565222.755158023, 193979.51027775145 6565220.825784444, 193981.89984103013 6565217.406409375, 193981.9015129628 6565217.404001904, 193983.36977052092 6565215.276526666, 193987.1579610101 6565209.929080988, 193988.4479241226 6565208.109133032, 193988.44942416085 6565208.107004977, 193990.55942416083 6565205.097004976, 193990.5619535493 6565205.093362441, 193994.24195354932 6565199.743362442, 193994.24366561754 6565199.740857182, 193995.5319644631 6565197.843362758, 193997.91963469563 6565194.416706316, 193999.0790328032 6565192.767562456, 193999.08387944012 6565192.760541992, 194001.71387944013 6565188.880541991, 194001.71424018822 6565188.880009047, 194005.59424018822 6565183.140009047, 194005.59502479987 6565183.138844788, 194006.88191695782 6565181.223470413, 194010.4577908745 6565176.149325303, 194011.60686673564 6565174.540619097, 194011.61410785618 6565174.530204717, 194012.74410785618 6565172.860204717, 194012.74929171847 6565172.852386591, 194013.63811680608 6565171.4841951635, 194014.10692635586 6565170.775993504, 194014.1081984723 6565170.774062105, 194015.45620738124 6565168.717100363, 194019.19417237348 6565163.190109345, 194022.02379383164 6565159.000669968, 194023.90126339972 6565156.244384858, 194024.62924588285 6565155.207259129, 194024.63311367144 6565155.201668412, 194025.08311367143 6565154.541668412, 194025.0874311926 6565154.535229358, 194026.2874311926 6565152.7152293585, 194026.29249009874 6565152.707398797, 194028.29249009874 6565149.547398797, 194028.29335740747 6565149.546023506, 194031.79302658018 6565143.976549993, 194033.06269447284 6565141.967075612, 194033.07127647314 6565141.952983406, 194035.17127647312 6565138.372983406, 194036.33141452924 6565136.392747906, 194036.33625300796 6565136.384301684, 194037.45578900553 6565134.38513026, 194038.58532195204 6565132.385956903, 194038.58827101073 6565132.38066267, 194040.76827101075 6565128.410662671, 194040.7696459833 6565128.408141574, 194041.80964598327 6565126.488141574, 194041.81223646336 6565126.483295757, 194043.63221397626 6565123.033338384, 194044.58219237643 6565121.23337931, 194044.5826145872 6565121.232577573, 194046.8526145872 6565116.912577572, 194046.8621835959 6565116.893377589, 194048.79218359588 6565112.803377589, 194048.79807866746 6565112.790409417, 194049.70807866746 6565110.710409417, 194048.79192133254 6565110.309590583, 194047.88477649202 6565112.383064504))</t>
  </si>
  <si>
    <t>2025-12-10</t>
  </si>
  <si>
    <t>2025-12-10T08:54:58Z</t>
  </si>
  <si>
    <t>['EV6 S62D1 m1893-2157']</t>
  </si>
  <si>
    <t>LINESTRING Z (227390.33 6951342.44 542.27, 227391.68 6951344.15 542.3, 227396.08 6951348.48 542.27, 227400.28 6951352.28 542.24, 227404.4 6951356.32 542.21, 227408.07 6951360.01 542.1800000000001, 227535.22 6951457.79 541.39, 227564.96 6951480.39 541.19, 227579.54 6951491.58 541.16, 227594.11 6951502.76 541.24, 227595.57 6951503.88 541.25, 227598.16 6951505.8 541.27)</t>
  </si>
  <si>
    <t>POLYGON ((227391.28755861722 6951344.459822144, 227391.32929279024 6951344.506376842, 227395.72929279023 6951348.836376842, 227395.74454333802 6951348.85076789, 227399.93709828565 6951352.64403189, 227404.04769459149 6951356.674810792, 227407.71548717542 6951360.362591346, 227407.765198855 6951360.406353708, 227534.915198855 6951458.186353709, 227534.91747873058 6951458.188096574, 227564.65652703616 6951480.787373362, 227579.23557866266 6951491.976645496, 227593.80561850092 6951503.156676068, 227595.26567015128 6951504.276715696, 227595.27223789142 6951504.281668678, 227597.86223789142 6951506.201668678, 227598.4577621086 6951505.398331322, 227595.8710663526 6951503.4807808, 227594.41435442198 6951502.363303155, 227579.8443999637 6951491.1833381, 227565.26442133734 6951479.993354504, 227565.2625212694 6951479.991903426, 227535.52366370728 6951457.392771587, 227408.40110936027 6951359.63387765, 227404.75451282458 6951355.967408654, 227404.75007035743 6951355.962997557, 227400.63007035744 6951351.922997557, 227400.61545666197 6951351.909232111, 227396.42323285382 6951348.116267713, 227392.0530325083 6951343.815593282, 227390.72244138276 6951342.130177856, 227389.9375586172 6951342.749822144, 227391.28755861722 6951344.459822144))</t>
  </si>
  <si>
    <t>2016-11-07</t>
  </si>
  <si>
    <t>[5653]</t>
  </si>
  <si>
    <t>['FV5653 S1D1 m1391-1437']</t>
  </si>
  <si>
    <t>LINESTRING Z (-11038.106627739 6812503.16116244 -999999, -11025.3480234734 6812488.17622454 -999999, -11019.354048315 6812483.80918549 -999999, -11014.0450988891 6812480.2128004 -999999, -11003.3415718206 6812473.79068416 -999999)</t>
  </si>
  <si>
    <t>POLYGON ((-11025.00572112431 6812488.545463641, -11019.066537537665 6812484.218344165, -11013.776059570264 6812480.634471999, -11003.084323942903 6812474.219430623, -11003.598819698296 6812473.361937697, -11014.302346766797 6812479.7840539375, -11014.325522961402 6812479.798841055, -11019.6344723873 6812483.395226144, -11019.648477324603 6812483.405067242, -11025.642452483004 6812487.772106292, -11025.68794893552 6812487.80954937, -11025.728724624143 6812487.852084703, -11038.487328889743 6812502.837022603, -11037.725926588257 6812503.485302277, -11025.00572112431 6812488.545463641))</t>
  </si>
  <si>
    <t>2025-04-23</t>
  </si>
  <si>
    <t>[6688]</t>
  </si>
  <si>
    <t>['FV6688 S1D1 m16-964']</t>
  </si>
  <si>
    <t>LINESTRING Z (269043.7 7034300.13 144.01, 269042.76 7034300.43 143.98, 269033.6 7034303.3 143.74, 269019.4 7034307 143.44, 269006.28 7034311.02 143.44, 268993.3 7034315 143.44, 268965.6 7034323.2 143.14000000000001, 268948.5 7034327.7 143.14000000000001, 268932 7034331.7 143.04, 268928.57 7034332.64 143.04, 268922.5 7034334.3 143.04, 268913.5 7034336.9 142.94, 268904.1 7034339.7 142.84, 268889.2 7034344.1 142.74, 268876.5 7034348 142.74, 268863.46 7034352.05 142.59, 268859.1 7034353.4 142.54, 268853.89 7034355.3 142.51, 268842.94 7034359.3 142.44, 268831 7034363.01 142.44, 268816.39 7034367.39 142.24, 268806.95 7034370.26 142.14000000000001, 268798.85 7034372.79 142.04, 268787.31 7034375.59 141.94, 268777.45 7034378.17 141.74, 268767.4 7034381.3 141.54, 268763.19 7034382.82 141.4, 268761.3 7034383.5 141.34, 268752.6 7034387.4 141.14000000000001, 268750.6 7034388.2 141.14000000000001, 268746.4 7034390.1 140.94, 268742.5 7034392.2 140.94, 268737.4 7034394.8 140.74, 268732 7034397.6 140.34, 268721.7 7034403.8 140.04, 268711.3 7034410.2 139.44, 268709.1 7034411.6 139.34, 268703.6 7034414.7 139.14000000000001, 268698.5 7034417.7 138.94, 268692.31 7034421.35 138.68, 268691.2 7034422 138.64000000000001, 268684.1 7034426.1 138.34, 268673 7034432.6 137.54, 268661 7034439.8 137.04, 268650.3 7034446.4 136.24, 268635.1 7034455.6 135.34, 268617.7 7034466.2 134.24, 268606.1 7034473.1 133.64000000000001, 268599.2 7034477.3 133.34, 268576 7034491.8 131.94, 268570.3 7034495.1 131.54, 268563.6 7034498.9 131.24, 268555.5 7034503.7 130.64000000000001, 268547.3 7034508.4 130.34, 268539.6 7034513 129.94, 268532.8 7034517 129.44, 268527.36 7034520.1 129.19, 268526.3 7034520.7 129.14000000000001, 268519.81 7034524.3 128.98, 268518.2 7034525.2 128.94, 268513.3 7034527.8 128.64000000000001, 268486.6 7034546.5 127.94, 268480.98 7034549.44 127.68, 268480.1 7034549.9 127.64, 268476.65 7034551.93 127.52, 268471.1 7034555.2 127.34, 268461.1 7034561.25 127.14, 268448.7 7034568.8 126.74000000000001, 268441.6 7034572.9 126.44, 268432.6 7034577.4 126.14, 268426.2 7034579.7 125.94, 268419.8 7034581.5 125.84, 268414.4 7034582.5 125.64, 268403.9 7034584 125.34, 268398.5 7034584 125.04, 268393.6 7034583.6 124.84, 268388.6 7034582.9 124.64, 268382.6 7034581.7 124.34, 268377.5 7034580.3 123.94, 268373.4 7034578.9 123.74000000000001, 268369.2 7034577.3 123.44, 268364.3 7034575.3 123.14, 268360.7 7034573.3 122.84, 268357.5 7034571.1 122.54, 268353.6 7034568.4 122.24000000000001, 268348.7 7034564.4 121.64, 268343.6 7034559.2 121.24000000000001, 268339 7034554.6 120.74000000000001, 268336 7034550.7 120.34, 268333.4 7034546.9 119.94, 268332.4 7034545.3 119.84, 268329.9 7034540.5 119.34, 268325.8 7034531.8 118.74000000000001, 268322.1 7034523.1 117.94, 268317.8 7034511.5 117.14, 268313.7 7034500.6 116.14, 268304.7 7034477.3 114.34, 268299.6 7034463.8 113.44, 268294.4 7034450.5 112.34, 268289.5 7034437.9 111.74000000000001, 268284.9 7034426.4 111.34, 268281.8 7034419 111.04, 268276.4 7034406.9 110.64, 268274.4 7034403.9 110.54, 268270.4 7034398.3 110.44, 268266.5 7034393.5 110.14, 268261 7034387.8 109.74000000000001, 268253.9 7034381.4 109.64, 268246.9 7034376.4 109.34, 268245.41000000003 7034375.59 109.34)</t>
  </si>
  <si>
    <t>POLYGON ((269042.60924220283 7034299.953267535, 269033.46213535516 7034302.819227869, 269019.2739277632 7034306.516155199, 269019.2535204848 7034306.521937503, 269006.1335204848 7034310.541937502, 268993.15574497415 7034314.521255407, 268965.46538224304 7034322.718402497, 268948.37746504525 7034327.215222811, 268931.8821999872 7034331.214074947, 268931.86784659873 7034331.217780674, 268928.43797605764 7034332.157745195, 268922.36810517445 7034333.817709885, 268922.36123017356 7034333.819642908, 268913.36123017356 7034336.4196429085, 268913.3572617067 7034336.420807159, 268903.95782785706 7034339.220638518, 268889.0583942021 7034343.6204712745, 268889.05322156375 7034343.622029195, 268876.35322156374 7034347.522029195, 268876.35169673746 7034347.522500113, 268863.3119031162 7034351.572436015, 268858.9521105318 7034352.922371793, 268858.92869418947 7034352.930261436, 268853.7186941895 7034354.830261435, 268842.7799424336 7034358.826152409, 268830.8540230026 7034362.531777291, 268816.2464162846 7034366.911059798, 268816.24456035433 7034366.91162012, 268806.8045603543 7034369.78162012, 268806.8009296037 7034369.782739047, 268798.7163767567 7034372.307914196, 268787.1921035806 7034375.104098328, 268787.18342961493 7034375.106285272, 268777.32342961495 7034377.686285272, 268777.3013223673 7034377.6926165465, 268767.2513223673 7034380.822616546, 268767.2302052186 7034380.829713138, 268763.02046627 7034382.349618887, 268761.1307284165 7034383.029524569, 268761.0954720479 7034383.043745338, 268752.4048066928 7034386.939560843, 268750.41430466186 7034387.735761655, 268750.3939160651 7034387.744446039, 268746.19391606515 7034389.644446039, 268746.16295008844 7034389.65976445, 268742.267898882 7034391.757099716, 268737.1729062763 7034394.354546926, 268737.1698414178 7034394.356122734, 268731.7698414178 7034397.156122734, 268731.74214076344 7034397.171620945, 268721.44214076345 7034403.371620946, 268721.4379512872 7034403.374170842, 268711.0379512872 7034409.774170842, 268711.03156225395 7034409.778169257, 268708.84284405696 7034411.170989927, 268703.35449346824 7034414.264423896, 268703.3464899367 7034414.269032893, 268698.2464899367 7034417.269032893, 268698.2460339648 7034417.269301436, 268692.0566861317 7034420.918916878, 268690.9486490309 7034421.567767433, 268683.84996281145 7034425.667008771, 268683.847339791 7034425.668534105, 268672.74733979104 7034432.168534105, 268672.7427521223 7034432.171253537, 268660.7427521223 7034439.371253537, 268660.73750762653 7034439.374444182, 268650.0392985353 7034445.97333951, 268634.8410986603 7034455.17224996, 268634.8398708386 7034455.172995527, 268617.442122449 7034465.771623857, 268605.84438833693 7034472.670276044, 268605.84002652654 7034472.672900721, 268598.9400265266 7034476.872900722, 268598.93500053004 7034476.876000848, 268575.7421675434 7034491.371521465, 268570.05140102014 7034494.666175767, 268563.35332994716 7034498.4650817495, 268563.34509880486 7034498.469854234, 268555.2482166902 7034503.268006598, 268547.05136103154 7034507.966204354, 268547.0435723739 7034507.970762452, 268539.3450281728 7034512.569892754, 268532.54945646384 7034516.567287876, 268527.1130731594 7034519.665226892, 268526.05557818426 7034520.263808954, 268519.56746459514 7034523.862762562, 268519.5660285674 7034523.863562215, 268517.96080666047 7034524.760891232, 268513.06564209657 7034527.35832549, 268513.0131658924 7034527.390456114, 268486.33961735235 7034546.071930185, 268480.7483027202 7034548.996923962, 268479.86837289535 7034549.456887279, 268479.8464353514 7034549.469065007, 268476.39643535146 7034551.499065006, 268470.8461847108 7034554.769212583, 268470.84118105937 7034554.772200098, 268460.84118105937 7034560.822200098, 268460.8399718984 7034560.822933979, 268448.4449329565 7034568.369913335, 268441.3629644775 7034572.459500767, 268432.4029542895 7034576.939505861, 268426.04757280124 7034579.223471083, 268419.6865563079 7034581.012506972, 268414.319087976 7034582.006482589, 268403.8644660973 7034583.5, 268398.5203742804 7034583.5, 268393.6550481785 7034583.102830522, 268388.6837621499 7034582.406850479, 268382.71535160113 7034581.213168369, 268377.64710263634 7034579.821884339, 268373.56983658834 7034578.429647152, 268369.38349853264 7034576.834851702, 268364.51665851026 7034574.848386386, 268360.9636396898 7034572.8744870415, 268357.78393556067 7034570.688440453, 268353.90086666 7034568.000161984, 268349.03760801116 7034564.030154924, 268343.95696912427 7034558.849895666, 268343.9535533906 7034558.84644661, 268339.37651397457 7034554.269407193, 268336.40479608835 7034550.406173942, 268333.8185061296 7034546.626211694, 268332.83439567976 7034545.051634975, 268330.34805147216 7034540.277854096, 268326.25637184153 7034531.595509514, 268322.56472972553 7034522.915161836, 268318.2688256092 7034511.326211196, 268318.2679879085 7034511.323967851, 268314.1679879085 7034500.42396785, 268314.16641436 7034500.419839947, 268305.16708161944 7034477.121567408, 268300.0677360468 7034463.623299715, 268300.06567302963 7034463.617932349, 268294.8658381088 7034450.318354571, 268289.9660023358 7034437.71877687, 268289.96423834545 7034437.714304662, 268285.3642383455 7034426.214304662, 268285.3611688549 7034426.206807642, 268282.2611688549 7034418.806807642, 268282.2565940209 7034418.796230768, 268276.8565940209 7034406.696230768, 268276.8378579555 7034406.658586639, 268276.8160251472 7034406.6226499025, 268274.8160251472 7034403.6226499025, 268274.8068667356 7034403.609380904, 268270.8068667356 7034398.009380903, 268270.7880570001 7034397.984703687, 268266.88805700006 7034393.184703687, 268266.859809481 7034393.152815413, 268261.359809481 7034387.452815413, 268261.3347712592 7034387.428613134, 268254.23477125925 7034381.028613134, 268254.19061909686 7034380.993133265, 268247.19061909686 7034375.993133265, 268247.1388061365 7034375.960714638, 268245.6488061365 7034375.150714638, 268245.17119386356 7034376.029285362, 268246.6342948288 7034376.824662398, 268253.5862983923 7034381.790379228, 268260.6522879726 7034388.159721948, 268266.1253869182 7034393.831842674, 268270.0021551009 7034398.603249667, 268273.98844707885 7034404.184058437, 268275.96058817866 7034407.142270087, 268281.34105761326 7034419.198507153, 268284.4372660322 7034426.589456283, 268289.0348689048 7034438.083463464, 268293.93399766425 7034450.681223131, 268293.93432697037 7034450.68206765, 268299.133280022 7034463.979389879, 268304.2322639532 7034477.4767002845, 268304.23358564003 7034477.480160053, 268313.23278974136 7034500.778099559, 268317.3315905537 7034511.674911476, 268321.6311743908 7034523.273788803, 268321.63988215 7034523.295682304, 268325.33988215 7034531.995682304, 268325.3477085369 7034532.01314885, 268329.4477085369 7034540.71314885, 268329.4565429579 7034540.73096721, 268331.9565429579 7034545.5309672095, 268331.976000848 7034545.56499947, 268332.976000848 7034547.16499947, 268332.9873463694 7034547.182341958, 268335.5873463694 7034550.982341958, 268335.6036880055 7034551.00485538, 268338.6036880055 7034554.90485538, 268338.6464466094 7034554.95355339, 268343.24473032856 7034559.551837109, 268348.3430308757 7034564.750104334, 268348.38381175505 7034564.7873306, 268353.283811755 7034568.7873306, 268353.31539501064 7034568.811096096, 268357.21539501066 7034571.511096096, 268357.21673558856 7034571.512020961, 268360.4167355886 7034573.712020962, 268360.4571785344 7034573.737078638, 268364.0571785344 7034575.737078638, 268364.1110515013 7034575.762923822, 268369.0110515013 7034577.762923822, 268369.02200233616 7034577.767243867, 268373.2220023362 7034579.367243867, 268373.2384280734 7034579.373174928, 268377.3384280734 7034580.773174928, 268377.3676415091 7034580.782163073, 268382.4676415091 7034582.182163074, 268382.50194193237 7034582.190290338, 268388.50194193237 7034583.390290339, 268388.53067607776 7034583.395170874, 268393.53067607776 7034584.095170873, 268393.5593189952 7034584.098342308, 268398.45931899524 7034584.498342308, 268398.5 7034584.5, 268403.9 7034584.5, 268403.97071067814 7034584.494974746, 268414.47071067814 7034582.994974746, 268414.4910446301 7034582.991641003, 268419.8910446301 7034581.991641003, 268419.93537278846 7034581.98132547, 268426.3353727885 7034580.18132547, 268426.3690993631 7034580.170537358, 268432.76909936307 7034577.870537358, 268432.8236067977 7034577.847213596, 268441.8236067977 7034573.347213596, 268441.85003718856 7034573.332991229, 268448.9500371886 7034569.232991229, 268448.9600281016 7034569.2270660205, 268461.35942389065 7034561.677433907, 268471.35632584564 7034555.629308225, 268476.9036901255 7034552.360861162, 268480.34274869895 7034550.337299162, 268481.2116271046 7034549.883112722, 268486.83176780835 7034546.943039143, 268486.8868341076 7034546.909543886, 268513.5615864054 7034528.227226733, 268518.43435790343 7034525.64167451, 268518.4439714326 7034525.636437785, 268520.0532541301 7034524.736838761, 268526.54253540485 7034521.137237438, 268526.5462991101 7034521.135128427, 268527.6062991101 7034520.535128427, 268527.6075533019 7034520.534416117, 268533.0475533019 7034517.434416117, 268533.05351006327 7034517.430967107, 268539.85351006326 7034513.430967107, 268539.85642762604 7034513.429237548, 268547.5525538873 7034508.831551731, 268555.74863896845 7034504.133795647, 268555.7549011951 7034504.130145767, 268563.85080832336 7034499.332571172, 268570.5466700528 7034495.5349182505, 268570.55051813525 7034495.532713142, 268576.25051813526 7034492.232713142, 268576.26499947 7034492.223999152, 268599.46249560954 7034477.725564064, 268606.35779924487 7034473.528422722, 268617.95561166306 7034466.629723956, 268617.96012916137 7034466.627004473, 268635.359515705 7034456.027378187, 268650.55890133965 7034446.82775004, 268650.56249237346 7034446.825555818, 268661.25987993495 7034440.227167228, 268673.2549613177 7034433.030118398, 268684.3513509607 7034426.532232571, 268691.45003718854 7034422.432991229, 268691.4526602091 7034422.431465895, 268692.5626602091 7034421.781465895, 268692.5639660352 7034421.780698564, 268698.7537384855 7034418.130832742, 268703.84952957614 7034415.133308571, 268709.3455065317 7034412.035576104, 268709.368437746 7034412.021830743, 268711.5652582907 7034410.623854034, 268721.9599602181 7034404.227114386, 268732.24425499985 7034398.036568012, 268737.6286288315 7034395.244670469, 268742.7270937237 7034392.645453074, 268742.7370499116 7034392.64023555, 268746.6218316908 7034390.548429976, 268750.795985876 7034388.660122131, 268752.7856953381 7034387.864238346, 268752.80452795204 7034387.856254662, 268761.48717027414 7034383.96403569, 268763.3592715835 7034383.290475431, 268763.3597947814 7034383.290286862, 268767.55931528116 7034381.774070434, 268777.58769682306 7034378.650803347, 268787.4322431903 7034376.074846996, 268798.9678964194 7034373.2759016715, 268798.9990703963 7034373.267260953, 268807.0972571393 7034370.737827316, 268816.53451218567 7034367.868661852, 268831.1435837154 7034363.488940202, 268831.14836311556 7034363.487481293, 268843.08836311556 7034359.777481293, 268843.1115600929 7034359.769645754, 268854.0614337974 7034355.769691889, 268859.2596951445 7034353.873972781, 268863.6078894682 7034352.527628208, 268876.6475413134 7034348.4777365355, 268889.3441962858 7034344.5787637485, 268904.2416057979 7034340.179528725, 268904.24273829325 7034340.179192842, 268913.64075641555 7034337.379783189, 268922.63533924293 7034334.781348149, 268928.70189482556 7034333.122290115, 268932.1250041686 7034332.184178592, 268948.6178000128 7034328.185925053, 268948.62724664964 7034328.183537269, 268965.7272466496 7034323.683537269, 268965.7419262997 7034323.679433964, 268993.4419262997 7034315.479433964, 268993.4465770251 7034315.478032609, 269006.4265288995 7034311.498047366, 269019.53633720515 7034307.481170126, 269033.7260722368 7034303.783844801, 269033.74949336075 7034303.777128636, 269042.9094933608 7034300.907128636, 269042.91202008683 7034300.906329606, 269043.85202008684 7034300.606329606, 269043.5479799132 7034299.653670394, 269042.60924220283 7034299.953267535))</t>
  </si>
  <si>
    <t>2021-10-21</t>
  </si>
  <si>
    <t>[62]</t>
  </si>
  <si>
    <t>['FV62 S7D1 m9979-10293']</t>
  </si>
  <si>
    <t>LINESTRING Z (170436.32552408677 6965733.732622469 0.0616588518023491, 170664.4464227464 6965831.628651403 0.0619117394089699, 170676.1046491732 6965834.357172478 0.0619334913790226, 170700.2479265958 6965836.920328637 0.0619902797043324, 170727.78118475224 6965848.330507685 0.0692683160305023)</t>
  </si>
  <si>
    <t>POLYGON ((170664.24924202677 6965832.088129111, 170664.2902606425 6965832.103639189, 170664.33248051285 6965832.115495493, 170675.99070693966 6965834.844016568, 170676.0518636178 6965834.854378356, 170700.12327221874 6965837.409904605, 170727.58976385058 6965848.792414644, 170727.9726056539 6965847.868600727, 170700.43934749745 6965836.458421678, 170700.3943341836 6965836.442244106, 170700.34798099883 6965836.430441796, 170700.30071215122 6965836.423122759, 170676.1883350553 6965833.863247114, 170664.6031877954 6965831.151829674, 170436.5227048064 6965733.273144761, 170436.12834336713 6965734.192100177, 170664.24924202677 6965832.088129111))</t>
  </si>
  <si>
    <t>['FV6012 S2D1 m9-48']</t>
  </si>
  <si>
    <t>LINESTRING Z (147583.542494459 6963341.16978677 -999999, 147547.954675749 6963357.13441573 -999999)</t>
  </si>
  <si>
    <t>POLYGON ((147547.75002538553 6963356.678215962, 147548.15932611248 6963357.590615498, 147583.74714482247 6963341.625986538, 147583.3378440955 6963340.713587002, 147547.75002538553 6963356.678215962))</t>
  </si>
  <si>
    <t>['FV63 S12D1 m7610-7620', 'FV63 S13D1 m0-120']</t>
  </si>
  <si>
    <t>LINESTRING Z (122780.965774757 6947231.51359472 -999999, 122764.175034553 6947304.82527731 -999999, 122758.735780684 6947339.5892042 -999999, 122756.843866295 6947358.98132669 -999999)</t>
  </si>
  <si>
    <t>POLYGON ((122763.6876541345 6947304.713651472, 122763.68104456429 6947304.7479863595, 122758.24179069529 6947339.511913249, 122758.23814336704 6947339.540654218, 122756.34622897804 6947358.932776708, 122757.34150361197 6947359.029876672, 122759.23201084576 6947339.652177522, 122764.66632038806 6947304.919851329, 122781.4531551755 6947231.625220558, 122780.4783943385 6947231.4019688815, 122763.6876541345 6947304.713651472))</t>
  </si>
  <si>
    <t>2017-12-22</t>
  </si>
  <si>
    <t>[5981]</t>
  </si>
  <si>
    <t>['FV5981 S2D1 m7145-7392']</t>
  </si>
  <si>
    <t>LINESTRING Z (95280.8859057502 6962792.85739762 -999999, 95279.8217526167 6962808.60686399 -999999, 95279.3960913633 6962835.63635358 -999999, 95281.5243976303 6962851.17298933 -999999, 95289.3991308179 6962899.48554159 -999999, 95300.8919846592 6962959.71660894 -999999, 95308.1282259668 6963003.9853793 -999999, 95313.0233303807 6963041.01790834 -999999)</t>
  </si>
  <si>
    <t>POLYGON ((95279.32289006756 6962808.573157062, 95279.3218146053 6962808.598990951, 95278.8961533519 6962835.628480541, 95278.89699698286 6962835.666433464, 95278.90071766559 6962835.704212991, 95281.02902393258 6962851.240848741, 95281.03091004066 6962851.253425634, 95288.90564322825 6962899.565977893, 95288.90799194085 6962899.579257135, 95300.39960315068 6962959.803812176, 95307.63354047167 6963004.05848756, 95312.52764210591 6963041.083430354, 95313.5190186555 6963040.952386327, 95308.62391424159 6963003.919857287, 95308.62167699948 6963003.904719035, 95301.38543569189 6962959.635948675, 95301.38312353624 6962959.622893394, 95289.89153359682 6962899.398449826, 95282.01890825361 6962851.098829477, 95279.89662842781 6962835.606186748, 95280.32148699263 6962808.6276678825, 95281.38476829934 6962792.891104548, 95280.38704320106 6962792.823690691, 95279.32289006756 6962808.573157062))</t>
  </si>
  <si>
    <t>2017-12-28</t>
  </si>
  <si>
    <t>['FV5981 S2D1 m8816-8858']</t>
  </si>
  <si>
    <t>LINESTRING Z (95033.1411544895 6964414.32642627 -999999, 95034.4224014577 6964424.57640201 -999999, 95031.6036581277 6964434.82637776 -999999, 95028.0161666167 6964442.51385957 -999999, 95024.6849244994 6964447.12634865 -999999, 95018.2786896584 6964452.50758592 -999999, 95013.4099511792 6964456.35132682 -999999)</t>
  </si>
  <si>
    <t>POLYGON ((95033.91392578481 6964424.539725501, 95031.13273569143 6964434.653144026, 95027.58310091843 6964442.259504256, 95024.31587206386 6964446.783359587, 95017.96290774706 6964452.119849618, 95013.10012903514 6964455.958885438, 95013.71977332326 6964456.743768203, 95018.58851180246 6964452.900027303, 95018.60028570174 6964452.890438353, 95025.00652054274 6964447.509201082, 95025.03687580171 6964447.481496902, 95025.06485332928 6964447.451393392, 95025.09026411343 6964447.419093927, 95028.42150623073 6964442.806604847, 95028.44730296453 6964442.767081705, 95028.4692581867 6964442.725302302, 95032.0567496977 6964435.037820492, 95032.07291496676 6964434.998998786, 95032.08576082412 6964434.958956001, 95034.90450415412 6964424.708980252, 95034.91517810631 6964424.661084798, 95034.92110581575 6964424.612373712, 95034.92223018885 6964424.563316158, 95034.91854039606 6964424.514384643, 95033.63729342785 6964414.264408903, 95032.64501555114 6964414.388443638, 95033.91392578481 6964424.539725501))</t>
  </si>
  <si>
    <t>2018-04-09</t>
  </si>
  <si>
    <t>2025-05-01T05:49:14Z</t>
  </si>
  <si>
    <t>[98129]</t>
  </si>
  <si>
    <t>['KV98129 S1D10 m223-303']</t>
  </si>
  <si>
    <t>LINESTRING (243471.89667898364 6593611.866927841, 243480.33039648065 6593620.4640184585, 243494.33029461975 6593634.356994615, 243504.38056207006 6593644.698437591, 243517.3960113698 6593657.3515185835, 243527.27801694092 6593668.653952211)</t>
  </si>
  <si>
    <t>POLYGON ((243479.97346794565 6593620.814164172, 243479.97820095677 6593620.818924521, 243493.97488507986 6593634.708711208, 243504.02199680347 6593645.04690703, 243504.03203459905 6593645.05694645, 243517.03294438304 6593657.695892727, 243526.90160279282 6593668.983060688, 243527.65443108903 6593668.3248437345, 243517.7724255179 6593657.022410107, 243517.7445388408 6593656.993009725, 243504.73417971932 6593644.344877193, 243494.68885988634 6593634.008525176, 243494.68249014363 6593634.002088552, 243480.684974458 6593620.111476654, 243472.25360751865 6593611.516782127, 243471.53975044863 6593612.217073554, 243479.97346794565 6593620.814164172))</t>
  </si>
  <si>
    <t>2020-09-14</t>
  </si>
  <si>
    <t>[3344]</t>
  </si>
  <si>
    <t>['FV3344 S1D1 m573-1595']</t>
  </si>
  <si>
    <t>LINESTRING Z (176670.371191114 6617415.04784745 -999999, 176661.072869715 6617500.59240432 -999999, 176618.300591281 6617753.50674636 -999999, 176616.440927001 6617777.682382 -999999, 176599.703948483 6617833.47231039 -999999, 176582.966969966 6617950.63116001 -999999, 176562.510662889 6618047.33370256 -999999, 176553.21234149 6618132.87825943 -999999, 176538.335027252 6618244.45811622 -999999, 176556.931670049 6618328.1430088 -999999, 176516.019055895 6618359.75730156 -999999, 176484.404763139 6618365.3362944 -999999, 176488.124091699 6618300.24804461 -999999, 176503.001405937 6618184.94885926 -999999, 176510.440063056 6618114.28161663 -999999, 176517.878720175 6618054.77235968 -999999, 176536.475362972 6617976.66645993 -999999, 176549.49301293 6617904.13955302 -999999, 176579.247641406 6617753.50674636 -999999, 176625.7392484 6617420.62684029 -999999, 176672.230855394 6617413.18818317 -999999)</t>
  </si>
  <si>
    <t>POLYGON Z ((176670.371191114 6617415.04784745 -999999, 176661.072869715 6617500.59240432 -999999, 176618.300591281 6617753.50674636 -999999, 176616.440927001 6617777.682382 -999999, 176599.703948483 6617833.47231039 -999999, 176582.966969966 6617950.63116001 -999999, 176562.510662889 6618047.33370256 -999999, 176553.21234149 6618132.87825943 -999999, 176538.335027252 6618244.45811622 -999999, 176556.931670049 6618328.1430088 -999999, 176516.019055895 6618359.75730156 -999999, 176484.404763139 6618365.3362944 -999999, 176488.124091699 6618300.24804461 -999999, 176503.001405937 6618184.94885926 -999999, 176510.440063056 6618114.28161663 -999999, 176517.878720175 6618054.77235968 -999999, 176536.475362972 6617976.66645993 -999999, 176549.49301293 6617904.13955302 -999999, 176579.247641406 6617753.50674636 -999999, 176625.7392484 6617420.62684029 -999999, 176672.230855394 6617413.18818317 -999999, 176670.371191114 6617415.04784745 -999999))</t>
  </si>
  <si>
    <t>['RV36 S7D1 m7738 SD1 m4-92']</t>
  </si>
  <si>
    <t>LINESTRING Z (170868.69 6592980.3 89.99, 170867.43 6592983.13 89.97, 170865.57 6592987.15 89.91, 170864.34 6592989.67 89.87, 170863.63 6592991.13 89.85000000000001, 170861.62 6592995.07 89.78, 170859.54 6592998.98 89.69, 170857.4 6593002.85 89.60000000000001, 170855.18 6593006.68 89.5, 170852.82 6593010.6 89.38, 170850.39 6593014.48 89.26, 170847.91 6593018.32 89.12, 170845.37 6593022.13 88.97, 170842.77000000002 6593025.9 88.82000000000001, 170840.14 6593029.64 88.65, 170837.47 6593033.35 88.47, 170834.76 6593037.04 88.28, 170833.59 6593038.61 88.19, 170832.02000000002 6593040.71 88.08, 170829.26 6593044.36 87.87, 170827.08000000002 6593047.21 87.69)</t>
  </si>
  <si>
    <t>POLYGON ((170866.9746992465 6592982.923325576, 170865.11839448442 6592986.935339094, 170863.89066719945 6592989.450682799, 170863.8903497162 6592989.451334451, 170863.1824388779 6592990.907038429, 170861.17655910758 6592994.838961959, 170859.1004790627 6592998.741593197, 170856.96488467837 6593002.603626031, 170854.7494980598 6593006.42566691, 170852.3939100529 6593010.338338515, 170849.968092954 6593014.211659645, 170847.49195541954 6593018.045679052, 170844.95615858593 6593021.849374303, 170842.35968900594 6593025.614255194, 170839.7325738659 6593029.350152769, 170837.06557886518 6593033.055977283, 170834.35803933901 6593036.742627044, 170833.18931244183 6593038.3109186925, 170831.62036000867 6593040.409517488, 170828.86201881777 6593044.057323773, 170826.6828606396 6593046.906223226, 170827.47713936045 6593047.513776774, 170829.65713936044 6593044.663776774, 170829.65881684466 6593044.661571094, 170832.41881684467 6593041.011571093, 170832.4204571999 6593041.00938943, 170833.9904571999 6593038.909389431, 170833.99091742307 6593038.908772857, 170835.16091742308 6593037.338772857, 170835.16299407347 6593037.335965837, 170837.87299407346 6593033.645965837, 170837.87582940547 6593033.642065906, 170840.54582940548 6593029.932065906, 170840.5489984991 6593029.927611244, 170843.17899849912 6593026.187611245, 170843.181606393 6593026.1838664785, 170845.78160639296 6593022.413866478, 170845.78602514716 6593022.407350098, 170848.32602514717 6593018.597350098, 170848.33001968887 6593018.591262716, 170850.81001968888 6593014.751262716, 170850.81375354363 6593014.745392039, 170853.24375354362 6593010.865392039, 170853.24836030247 6593010.857890386, 170855.60836030246 6593006.937890386, 170855.61258420488 6593006.930740714, 170857.83258420488 6593003.100740714, 170857.8375577729 6593003.091957011, 170859.97755777292 6592999.221957012, 170859.98142623508 6592999.21482521, 170862.06142623507 6592995.30482521, 170862.0653902738 6592995.297216866, 170864.07539027382 6592991.357216866, 170864.0796502838 6592991.3486655485, 170864.7894916965 6592989.888991658, 170866.01933280056 6592987.369317201, 170866.0237812592 6592987.359958493, 170867.88378125918 6592983.339958493, 170867.88677255966 6592983.333368701, 170869.14677255967 6592980.503368701, 170868.23322744033 6592980.096631299, 170866.9746992465 6592982.923325576))</t>
  </si>
  <si>
    <t>2025-11-30</t>
  </si>
  <si>
    <t>2025-11-30T19:34:11Z</t>
  </si>
  <si>
    <t>['EV134 S4D1 m5032-5069']</t>
  </si>
  <si>
    <t>LINESTRING Z (-24085.06816291943 6640642.187192837 -0.0758528336882591, -24046.04204343265 6640695.765424891 -0.0758627876639366, -24017.59927836439 6640755.296793842 -0.07587830722332, -24002.385706332803 6640808.875025901 -0.0758953914046288)</t>
  </si>
  <si>
    <t>POLYGON ((-24046.473328389868 6640696.022557237, -24018.068692525878 6640755.474120877, -24002.866691745927 6640809.011602006, -24001.90472091968 6640808.738449796, -24017.118292951265 6640755.160217737, -24017.131539944483 6640755.120099839, -24017.148126456177 6640755.081243486, -24045.59089152444 6640695.549874536, -24045.612578776116 6640695.509377808, -24045.63789126235 6640695.471042448, -24084.66401074913 6640641.892810393, -24085.47231508973 6640642.48157528, -24046.473328389868 6640696.022557237))</t>
  </si>
  <si>
    <t>2025-11-22T09:45:44Z</t>
  </si>
  <si>
    <t>[774]</t>
  </si>
  <si>
    <t>['FV774 S1D1 m3-3192']</t>
  </si>
  <si>
    <t>LINESTRING Z (321595.83999999997 7074760.64 57.980000000000004, 321594.7 7074761.2 57.95, 321592.2 7074762.5 57.85, 321588.5 7074764.1 57.75, 321584.9 7074765.6 57.65, 321584.1 7074765.8 57.65, 321581.1 7074766.8 57.550000000000004, 321577.7 7074767.8 57.45, 321573.7 7074768.7 57.45, 321569.9 7074769.5 57.45, 321567.03 7074769.81 57.45, 321562.1 7074770.3 57.35, 321558.2 7074770.5 57.35, 321554.3 7074770.4 57.35, 321552 7074770.3 57.35, 321549.76 7074770.08 57.35, 321546.57 7074769.47 57.51, 321542.23 7074768.83 57.51, 321539.44 7074768.22 57.51, 321535.8 7074767.33 57.49, 321532.36 7074766.48 57.5, 321529.55 7074765.72 57.480000000000004, 321527.54000000004 7074765.18 57.480000000000004, 321525.16000000003 7074764.46 57.46, 321522.75 7074763.74 57.44, 321520.37 7074762.98 57.43, 321516.99 7074761.9 57.4, 321515.12 7074761.27 57.370000000000005, 321506.18 7074758.38 57.27, 321496.75 7074755.33 57.1, 321486.8 7074752.17 56.94, 321482.2 7074750.8 56.85, 321476.6 7074749 56.75, 321471.2 7074747.3 56.75, 321465.7 7074745.6 56.65, 321459.5 7074743.8 56.550000000000004, 321453.5 7074742.1 56.550000000000004, 321447.3 7074740.5 56.35, 321425.4 7074734.7 56.050000000000004, 321408.3 7074730.3 54.15, 321368.7 7074721.8 54.15, 321345.98 7074716.96 54.45, 321316.7 7074711.4 54.15, 321297.06 7074708.1 53.15, 321277.9 7074705.36 53.15, 321247.4 7074701.65 52.45, 321218.8 7074698.8 52.15, 321173.5 7074694.7 52.15, 321115.9 7074689.5 50.15, 321067.5 7074685.5 50.35, 321051.9 7074684 50.15, 321039.55 7074682.93 51.63, 321021.1 7074681.4 49.15, 320997.24 7074679.2 51.09, 320991.28 7074678.67 51.03, 320971.5 7074677.2 49.15, 320948.7 7074675 49.15, 320911.4 7074671.52 50.4, 320896.32 7074670.2 50.24, 320888.71 7074669.58 50.160000000000004, 320881.37 7074668.9 50.07, 320877.83 7074668.56 50.03, 320867.21 7074667.53 49.910000000000004, 320863.67 7074667.2 49.88, 320853.04000000004 7074666.2 49.77, 320845.95 7074665.55 49.7, 320842.38 7074665.23 49.67, 320838.66000000003 7074664.92 49.63, 320834.96 7074664.65 49.7, 320831.26 7074664.34 49.68, 320823.85 7074663.71 49.620000000000005, 320816.45 7074663.08 49.550000000000004, 320809.04000000004 7074662.45 49.49, 320801.64 7074661.82 49.410000000000004, 320794.23 7074661.21 49.31, 320783.55 7074660.31 49.160000000000004, 320780.05 7074659.99 49.120000000000005, 320769.54000000004 7074659.04 48.99, 320759.03 7074658.09 48.86, 320755.52 7074657.78 48.81, 320752.74 7074657.56 48.79, 320749.96 7074657.31 48.75, 320747.2 7074657.08 48.72, 320740.07 7074656.47 48.68, 320729.38 7074655.57 48.63, 320725.82 7074655.22 48.620000000000005, 320715.22 7074654.22 48.57, 320708.37 7074653.59 48.53, 320701.51 7074652.97 48.5, 320698.08 7074652.68 48.5, 320687.51 7074651.76 48.46, 320680.02 7074651.11 48.45, 320676.27 7074650.82 48.51, 320668.77 7074650.25 48.61, 320665.02 7074649.9 48.6, 320654.03 7074648.87 48.49, 320643.46 7074647.87 48.410000000000004, 320632.89 7074646.87 48.33, 320625.83999999997 7074646.22 48.26, 320622.28 7074645.9 48.22, 320618.52 7074645.59 48.160000000000004, 320611.06 7074644.97 48.03, 320603.6 7074644.34 47.910000000000004, 320599.88 7074644 47.85, 320596.19 7074643.67 47.79, 320592.55 7074643.31 47.78, 320581.54000000004 7074642.21 47.72, 320577.87 7074641.86 47.71, 320566.89 7074640.83 47.69, 320563.61 7074640.49 47.69, 320553.61 7074639.43 47.68, 320546.83 7074638.71 47.64, 320543.3 7074638.45 47.6, 320533.05 7074637.68 47.54, 320529.64 7074637.43 47.52, 320526.29000000004 7074637.2 47.5, 320523.08999999997 7074636.92 47.46, 320519.13 7074636.57 47.42, 320516.55 7074636.32 47.42, 320510.06 7074635.7 47.4, 320506.49 7074635.33 47.4, 320502.89 7074634.96 47.4, 320492.04000000004 7074633.89 47.39, 320488.22 7074633.57 47.39, 320480.69 7074632.94 47.4, 320476.93 7074632.62 47.410000000000004, 320473.16000000003 7074632.27 47.42, 320465.63 7074631.6 47.43, 320454.81 7074630.64 47.44, 320451.29000000004 7074630.34 47.44, 320447.77 7074630.08 47.44, 320437.21 7074629.29 47.43, 320426.66000000003 7074628.48 47.42, 320423.03 7074628.16 47.38, 320412.94 7074627.3 47.31, 320404.83999999997 7074626.62 47.28, 320401.21 7074626.26 47.25, 320390.3 7074625.2 47.15, 320386.66000000003 7074624.88 47.12, 320383.05 7074624.61 47.08, 320372.2 7074623.78 46.97, 320368.58999999997 7074623.45 46.910000000000004, 320357.75 7074622.47 46.74, 320350.52 7074621.83 46.64, 320343.27 7074621.2 46.56, 320336.06 7074620.56 46.44, 320332.45 7074620.22 46.37, 320321.63 7074619.22 46.15, 320318.02 7074618.91 46.09, 320307.11 7074617.98 45.89, 320303.39 7074617.64 45.84, 320295.96 7074616.96 45.71, 320288.53 7074616.27 45.6, 320281.1 7074615.59 45.52, 320273.67 7074614.9 45.43, 320266.24 7074614.21 45.35, 320255.23 7074613.2 45.22, 320248.13 7074612.56 45.160000000000004, 320237.48 7074611.61 45.07, 320226.83 7074610.68 45, 320223.28 7074610.39 44.99, 320212.62 7074609.51 44.96, 320202.06 7074608.62 44.9, 320195.02 7074608.01 44.800000000000004, 320184.46 7074607.09 44.65, 320173.9 7074606.16 44.52, 320163.2 7074605.19 44.410000000000004, 320155.77 7074604.5 44.34, 320148.33999999997 7074603.84 44.27, 320140.91000000003 7074603.17 44.2, 320137.2 7074602.82 44.17, 320131.48 7074602.29 44.14, 320129.76 7074602.13 44.13, 320122.38 7074601.47 44.08, 320118.69 7074601.14 44.06, 320115 7074600.78 44.04, 320103.93 7074599.71 43.980000000000004, 320100.22 7074599.36 43.96, 320096.55 7074599.03 43.94, 320085.58 7074598.06 43.910000000000004, 320078.27 7074597.43 43.88, 320074.6 7074597.13 43.85, 320063.62 7074596.25 43.77, 320059.97 7074595.93 43.75, 320056.33999999997 7074595.61 43.730000000000004, 320052.81 7074595.27 43.71, 320042.12 7074594.25 43.67, 320031.43 7074593.25 43.65, 320020.73 7074592.24 43.62, 320010.39 7074591.28 43.59, 320000.07 7074590.31 43.58, 319990.17 7074589.37 43.550000000000004, 319981.23 7074588.53 43.5, 319977.78 7074588.18 43.47, 319967.41000000003 7074587.14 43.410000000000004, 319963.95 7074586.8 43.39, 319960.48 7074586.5 43.37, 319957.05 7074586.19 43.35, 319953.39 7074585.85 43.34, 319942.32 7074584.8 43.29, 319938.63 7074584.45 43.28, 319934.95 7074584.05 43.27, 319931.22 7074583.66 43.25, 319927.43 7074583.29 43.24, 319919.95 7074582.58 43.2, 319912.46 7074581.87 43.17, 319905.13 7074581.19 43.14, 319894.46 7074580.21 43.09, 319890.9 7074579.91 43.06, 319880.25 7074579 42.99, 319869.73 7074578.12 42.910000000000004, 319862.7 7074577.55 42.86, 319859.18 7074577.27 42.84, 319855.67 7074576.89 42.82, 319852.16000000003 7074576.54 42.800000000000004, 319841.43 7074575.45 42.730000000000004, 319830.58999999997 7074574.36 42.54, 319824.67 7074573.79 42.51, 319822.63 7074573.6 42.51, 319814.29000000004 7074572.85 42.480000000000004, 319804.47 7074571.99 42.38, 319797.83999999997 7074571.43 42.33, 319787 7074570.53 42.230000000000004, 319783.44 7074570.24 42.17, 319780 7074569.9 42.17, 319769.52 7074568.89 42.15, 319765.69 7074568.54 42.11, 319758.06 7074567.83 42.03, 319750.57 7074567.12 41.99, 319746.92 7074566.78 41.97, 319735.98 7074565.8 41.88, 319732.3 7074565.44 41.86, 319721.8 7074564.41 41.78, 319712.43 7074563.48 41.72, 319705.91000000003 7074562.83 41.660000000000004, 319702.52 7074562.52 41.65, 319695.75 7074561.91 41.63, 319685.05 7074560.96 41.52, 319681.48 7074560.62 41.480000000000004, 319675.73 7074560.08 41.45, 319665.94 7074559.18 41.42, 319656.71 7074558.34 41.39, 319653.68 7074558.08 41.37, 319650.26 7074557.84 41.36, 319646.91000000003 7074557.58 41.33, 319643.61 7074557.33 41.31, 319641.03 7074557.1 41.29, 319638.41000000003 7074556.86 41.28, 319635.64 7074556.57 41.26, 319627.27 7074555.89 41.160000000000004, 319622.6 7074555.51 41.13, 319597.72 7074553.13 40.15, 319566.7 7074550.5 40.15, 319537 7074547.6 40.15, 319508.5 7074545.3 40.15, 319480.1 7074542.7 40.15, 319452.8 7074540.4 40.15, 319432 7074538.7 39.15, 319402.9 7074536 39.15, 319381.4 7074534.1 38.15, 319358.3 7074532.2 38.15, 319337.4 7074529.9 38.15, 319307.8 7074527 38.15, 319279.26 7074524.4 37.15, 319257.89 7074522.52 36.74, 319241.9 7074520.9 36.15, 319220.7 7074519.3 36.15, 319191.2 7074515.5 35.15, 319169.2 7074513.9 34.15, 319141 7074511.5 34.15, 319127.8 7074510.1 35.050000000000004, 319110.6 7074508.37 34.15, 319081.74 7074505.92 33.15, 319053.39 7074503.29 31.150000000000002, 319025 7074500.4 31.150000000000002, 318996.1 7074497.9 31.150000000000002, 318967.72 7074495.07 31.150000000000002, 318939.78 7074492.29 29.150000000000002, 318921.51 7074490.73 28.6, 318906.19 7074489.31 28.150000000000002, 318892.68 7074487.97 28.150000000000002, 318877.71 7074486.53 26.03, 318863.3 7074485.3 27.150000000000002, 318834.47 7074482.55 26.150000000000002, 318813.27 7074480.52 25.150000000000002, 318790.4 7074478.7 24.150000000000002, 318761 7074475.9 24.150000000000002, 318734.21 7074473.76 23.150000000000002, 318713.28 7074471.82 22.19, 318712.28 7074471.72 22.150000000000002, 318682.9 7074469.2 21.150000000000002, 318654.53 7074466.68 20.150000000000002, 318625.2 7074464.1 19.150000000000002, 318596.7 7074461.4 18.150000000000002, 318567.5 7074459 18.150000000000002, 318538.07 7074456.73 16.15, 318525.55 7074455.96 15.35, 318522.17 7074455.73 15.55, 318518.41000000003 7074455.5 15.65, 318514.65 7074455.35 15.65, 318510.88 7074455.35 15.55, 318496.6 7074455.04 15.15, 318484.08 7074456.19 14.15, 318458.82 7074459.8 13.15, 318441.23 7074463.83 12.450000000000001, 318429.74 7074467.21 11.8)</t>
  </si>
  <si>
    <t>POLYGON ((321594.47954806 7074760.751222837, 321594.4693236317 7074760.7563916, 321591.9851605649 7074762.048156395, 321588.3046096768 7074763.639745967, 321584.7423292177 7074765.124029492, 321583.97873218736 7074765.31492875, 321583.941886117 7074765.325658351, 321580.9503538198 7074766.3228357835, 321577.5744488774 7074767.315749002, 321573.5936142521 7074768.211436793, 321569.82145424106 7074769.005575743, 321566.978425693 7074769.31266245, 321562.0624488136 7074769.801268671, 321558.19359500293 7074769.99967143, 321554.31726882356 7074769.900278452, 321552.03532148246 7074769.8010633495, 321549.83153900737 7074769.584620428, 321546.6639097451 7074768.978898218, 321546.64294386376 7074768.9753494235, 321542.3199766046 7074768.3378611645, 321539.55279237655 7074767.732849559, 321535.91934708453 7074766.844452221, 321532.48525518255 7074765.995912071, 321529.68054103595 7074765.237341696, 321529.67972825567 7074765.237122604, 321527.6772880058 7074764.699153582, 321525.30478044314 7074763.981420201, 321525.3031267285 7074763.980923033, 321522.89762503235 7074763.262266926, 321520.5221417044 7074762.503709224, 321517.14591793326 7074761.42491583, 321515.27963338903 7074760.79616756, 321515.2737967868 7074760.794241081, 321506.3338325352 7074757.904252637, 321496.9038698461 7074754.854264705, 321496.9013448148 7074754.853455409, 321486.9513448148 7074751.693455409, 321486.9427179349 7074751.690801094, 321482.34787840705 7074750.322338018, 321476.75300459017 7074748.523985719, 321476.7501429376 7074748.523075375, 321471.3501429376 7074746.823075375, 321471.3476531354 7074746.8222986795, 321465.8476531354 7074745.122298679, 321465.8394050974 7074745.119826886, 321459.6394050974 7074743.319826886, 321459.6363012862 7074743.318936637, 321453.6363012862 7074741.6189366365, 321453.6249390095 7074741.615861338, 321447.4264742817 7074740.0162575375, 321425.5280069409 7074734.216663447, 321425.5245964072 7074734.215773054, 321408.42459640716 7074729.815773054, 321408.4049331538 7074729.811134954, 321368.80493315385 7074721.311134954, 321368.804176494 7074721.310973152, 321346.084176494 7074716.470973152, 321346.0732785074 7074716.468777932, 321316.7932785074 7074710.908777933, 321316.782850829 7074710.906912036, 321297.142850829 7074707.6069120355, 321297.13078301033 7074707.605035591, 321277.97078301036 7074704.865035592, 321277.9603746566 7074704.863658484, 321247.4603746566 7074701.153658484, 321247.44957961544 7074701.152464211, 321218.8495796154 7074698.30246421, 321218.8450696423 7074698.302035416, 321173.5450696423 7074694.202035416, 321115.944956063 7074689.002025149, 321115.9411819144 7074689.001698836, 321067.54452101275 7074685.001974794, 321051.94785620336 7074683.502295486, 321051.94315815903 7074683.501866109, 321039.593158159 7074682.431866108, 321039.59132157674 7074682.431710398, 321021.1436154407 7074680.901900621, 320997.28590753075 7074678.702111962, 320997.28428831906 7074678.701965318, 320991.3242883191 7074678.171965318, 320991.3170565538 7074678.171375079, 320971.542544709 7074676.701782946, 320948.74802257353 7074674.502311511, 320948.74644708366 7074674.502162006, 320911.44644708367 7074671.022162005, 320911.4435998647 7074671.021904575, 320896.3635998647 7074669.701904575, 320896.36060134805 7074669.701651196, 320888.7533640281 7074669.081876276, 320881.4169633769 7074668.402209731, 320877.878034408 7074668.062312597, 320867.25826692994 7074667.03233515, 320867.25640895806 7074667.03215845, 320863.71661893267 7074666.702178024, 320853.08682992734 7074665.702197873, 320853.08564777835 7074665.70208808, 320845.9956477783 7074665.05208808, 320845.9946389581 7074665.051996623, 320842.42463895807 7074664.731996624, 320842.42152274 7074664.731727121, 320838.70152274 7074664.421727121, 320838.6963897265 7074664.42132597, 320834.9990688509 7074664.151521474, 320831.3020508953 7074663.841771321, 320823.8923883024 7074663.211800007, 320816.4924141364 7074662.581802207, 320809.0823883025 7074661.951800007, 320801.6824141364 7074661.321802207, 320801.6810218306 7074661.321685633, 320794.2715042116 7074660.711725342, 320783.59375571687 7074659.811915075, 320780.09552440816 7074659.492076785, 320780.09501154587 7074659.492030161, 320769.5850115459 7074658.542030161, 320759.0750115459 7074657.592030161, 320759.0739883172 7074657.59193873, 320755.5639883172 7074657.281938731, 320755.5594450237 7074657.281558339, 320752.78211534803 7074657.061769659, 320750.00478331087 7074656.812009583, 320750.0015227399 7074656.811727121, 320747.24207210756 7074656.581772902, 320740.1126213 7074655.971819887, 320740.1119470165 7074655.971762659, 320729.42543647403 7074655.07205644, 320725.86892144056 7074654.7223990625, 320725.8669612973 7074654.722210248, 320715.26696129725 7074653.722210248, 320715.2657921399 7074653.722101335, 320708.41579213995 7074653.0921013355, 320708.4150060652 7074653.092029666, 320701.55500606523 7074652.4720296655, 320701.5521237622 7074652.47177757, 320698.12273954053 7074652.181829633, 320687.5533554792 7074651.261883244, 320680.06322871195 7074650.611872227, 320680.0585515608 7074650.611488438, 320676.3085515608 7074650.321488438, 320676.30789072916 7074650.321437775, 320668.81218085677 7074649.751763824, 320665.0665604089 7074649.402172583, 320654.0768754061 7074648.372202105, 320632.93709340313 7074646.372222729, 320632.9359045959 7074646.372111691, 320625.88590459584 7074645.722111691, 320625.8847633448 7074645.722007788, 320622.32476334483 7074645.402007788, 320622.32108400704 7074645.401690755, 320618.5612483572 7074645.091704304, 320611.1017441082 7074644.471745506, 320603.6437927813 7074643.841918518, 320599.9255092378 7074643.502075398, 320599.92453769816 7074643.501987557, 320596.2368751513 7074643.172196598, 320592.59945875604 7074642.812452119, 320581.58970711846 7074641.712476932, 320581.58746854845 7074641.712258363, 320577.9174685484 7074641.3622583635, 320577.9166984438 7074641.362185521, 320566.93912689853 7074640.332413327, 320563.6621289872 7074639.992724519, 320553.66275267384 7074638.93279063, 320546.8828004562 7074638.212795704, 320546.86672770686 7074638.211350749, 320543.3370919389 7074637.951377577, 320533.08745543804 7074637.181404883, 320533.08655877307 7074637.181338334, 320529.6765587731 7074636.931338334, 320529.67424773553 7074636.931174286, 320526.32891901856 7074636.701495001, 320523.1338014828 7074636.421922216, 320519.17612289125 7074636.072127392, 320516.5982237439 7074635.822330963, 320516.59754931205 7074635.822266072, 320510.10954772285 7074635.202456984, 320506.5415446331 7074634.832663946, 320502.94111960306 7074634.462620079, 320502.9390707166 7074634.462413762, 320492.08907071664 7074633.3924137615, 320492.0817386254 7074633.3917451585, 320488.26173862536 7074633.071745159, 320480.73204367695 7074632.441770678, 320476.97431081726 7074632.121963627, 320473.2062203406 7074631.7721409025, 320473.2043136425 7074631.771967569, 320465.6743136425 7074631.101967569, 320454.8541887051 7074630.141956469, 320454.8524597083 7074630.141806088, 320451.3324597083 7074629.841806089, 320451.3268314816 7074629.841358403, 320447.80706618674 7074629.58137574, 320437.24778859015 7074628.791429782, 320426.7010926865 7074627.981683462, 320423.07390686125 7074627.661931544, 320423.07246249355 7074627.661806326, 320412.9824624935 7074626.801806326, 320412.98182817106 7074626.801752668, 320404.8855890796 7074626.122068399, 320401.25934470835 7074625.7624408575, 320401.25835160667 7074625.762343369, 320390.34835160663 7074624.70234337, 320390.3437871643 7074624.701921007, 320386.70378716436 7074624.381921006, 320386.6972919639 7074624.38139263, 320383.0877146028 7074624.11142424, 320372.2418293362 7074623.281739008, 320368.6355165919 7074622.95207607, 320357.7950193497 7074621.972030866, 320357.7940876337 7074621.971947512, 320350.56408763374 7074621.331947512, 320350.5632851599 7074621.331877129, 320343.31374709465 7074620.70191727, 320336.1055468777 7074620.062077028, 320332.4968839321 7074619.722202956, 320332.49601461674 7074619.722121847, 320321.67601461674 7074618.722121847, 320321.67277885 7074618.721833391, 320318.06277885 7074618.4118333915, 320307.15398864925 7074617.48193642, 320303.43554036005 7074617.142078242, 320296.0059023814 7074616.462111375, 320288.57623443793 7074615.772142212, 320288.57556998 7074615.772080953, 320281.1459023773 7074615.092111375, 320273.71623443783 7074614.402142213, 320266.2862344379 7074613.712142212, 320266.2856756096 7074613.712090632, 320255.2756756096 7074612.702090632, 320255.27488842397 7074612.702019047, 320248.174888424 7074612.062019046, 320237.5244245466 7074611.111977451, 320237.5234964464 7074611.111895534, 320226.8734964464 7074610.181895534, 320226.8707094635 7074610.181660016, 320223.3209227258 7074609.891677437, 320212.661563943 7074609.011730371, 320202.1025764978 7074608.121815709, 320195.06327977875 7074607.511876647, 320184.50363077235 7074606.5919072265, 320173.9445031925 7074605.661984059, 320163.24568809394 7074604.692091475, 320155.8162344379 7074604.002142212, 320155.8142403372 7074604.001961053, 320148.38457297994 7074603.341990601, 320140.9559335696 7074602.672113293, 320137.24696129723 7074602.322210249, 320137.24613106815 7074602.322132624, 320131.52622142277 7074601.792140995, 320129.80631168454 7074601.632149392, 320129.80453769816 7074601.631987557, 320118.73654454714 7074600.642167031, 320115.0485499821 7074600.282362684, 320103.97810462554 7074599.212319435, 320103.9769612972 7074599.212210248, 320100.2669612972 7074598.862210249, 320100.264778469 7074598.862009148, 320096.594778469 7074598.532009148, 320096.5940396564 7074598.531943268, 320085.6240396564 7074597.5619432675, 320085.6229325083 7074597.56184661, 320078.3129325083 7074596.93184661, 320078.3107360608 7074596.931662189, 320074.64073606074 7074596.631662189, 320074.6399447757 7074596.631598139, 320063.6618070887 7074595.751747396, 320060.0137865345 7074595.431920935, 320056.38592257665 7074595.112109237, 320052.85793679836 7074594.772303241, 320042.16749243636 7074593.752260642, 320042.1665693704 7074593.75217343, 320031.47677874885 7074592.752193017, 320020.7769873982 7074591.742212712, 320020.776222873 7074591.742141139, 320010.43650640384 7074590.782167463, 320000.1170265262 7074589.81221635, 319990.21726218157 7074588.872238725, 319981.2786203707 7074588.0323661, 319977.8304656077 7074587.682553297, 319977.8298943585 7074587.682495675, 319967.45989435853 7074586.642495675, 319967.4588974338 7074586.642396702, 319963.9988974338 7074586.302396703, 319963.99306701263 7074586.30185822, 319960.524036597 7074586.001942046, 319957.09562776115 7074585.692085855, 319953.4367310568 7074585.352188346, 319942.3672135666 7074584.302234112, 319938.68062401086 7074583.952557596, 319935.00402959046 7074583.552927768, 319935.00199537835 7074583.552710868, 319931.2719953783 7074583.162710869, 319931.26858170494 7074583.162365779, 319927.47858170496 7074582.792365779, 319927.47724752576 7074582.792237334, 319919.9972475258 7074582.082237334, 319912.5071850071 7074581.372231404, 319912.5061864021 7074581.372137754, 319905.1761864021 7074580.6921377545, 319894.5057306681 7074579.712095686, 319894.50198601594 7074579.711765944, 319890.9422769113 7074579.411790458, 319880.29256789276 7074578.501815321, 319880.29167952604 7074578.501740212, 319869.771679526 7074577.621740212, 319869.7704079344 7074577.621635476, 319862.7404079344 7074577.051635476, 319862.7396474908 7074577.0515744025, 319859.2267415351 7074576.772138701, 319855.7238165892 7074576.392904662, 319855.7196115137 7074576.39246739, 319852.21007160423 7074576.042513268, 319841.48053211067 7074574.952560049, 319841.4800244898 7074574.952508744, 319830.6400244898 7074573.862508744, 319830.6379202802 7074573.862301651, 319824.71792028024 7074573.292301651, 319824.71636795125 7074573.29215463, 319822.67636795127 7074573.102154629, 319822.67478331085 7074573.102009583, 319814.3347833109 7074572.352009583, 319814.33362122776 7074572.351906446, 319804.5136212277 7074571.491906446, 319804.5120824308 7074571.491774078, 319797.8820824308 7074570.931774078, 319797.88137057034 7074570.931714463, 319787.04137057037 7074570.031714464, 319787.0405958659 7074570.03165075, 319783.4848907939 7074569.742000618, 319780.0491789788 7074569.40242445, 319780.0479647903 7074569.402305939, 319769.56796479033 7074568.3923059385, 319769.5655023061 7074568.392074764, 319765.7359142959 7074568.042112414, 319758.1067558437 7074567.332190722, 319750.6171850071 7074566.622231404, 319750.6163745797 7074566.622155247, 319746.9663745797 7074566.282155247, 319746.9646111292 7074566.2819941295, 319736.02664661966 7074565.302176467, 319732.3487467405 7074564.942381915, 319721.8490988414 7074563.9124164535, 319712.47949232534 7074562.982455509, 319705.95960075065 7074562.332466317, 319705.9555327319 7074562.332077546, 319702.5655327319 7074562.0220775455, 319702.56486992585 7074562.022017379, 319695.7948699258 7074561.41201738, 319695.7942185827 7074561.411959121, 319685.09581194 7074560.462100587, 319681.5274045463 7074560.122252264, 319681.5267508112 7074560.122190436, 319675.7767508112 7074559.582190436, 319675.7757722618 7074559.582099508, 319665.9857722618 7074558.682099507, 319656.75531651464 7074557.842057821, 319656.7527472028 7074557.841830675, 319653.7227472028 7074557.581830675, 319653.7150016408 7074557.58122662, 319650.29684617434 7074557.3413560605, 319646.9486896194 7074557.081499134, 319646.9477705564 7074557.081428656, 319643.651085889 7074556.831679818, 319641.0750041266 7074556.602029118, 319638.4588383912 7074556.362380349, 319635.692062031 7074556.072717842, 319635.6804878692 7074556.071641964, 319627.31051800924 7074555.391644412, 319622.6440839644 7074555.011934576, 319597.76761223597 7074552.632272087, 319597.7622404578 7074552.631787451, 319566.7454172944 7074550.002056796, 319537.04859046335 7074547.102366634, 319537.0402201175 7074547.101620283, 319508.5429033041 7074544.801836821, 319480.14558402036 7074542.202082239, 319480.1419758352 7074542.2017650865, 319452.8419758352 7074539.901765087, 319452.8407295759 7074539.90166166, 319432.0434627603 7074538.201885045, 319402.94619334454 7074535.502138398, 319402.94401451235 7074535.501941045, 319381.44401451235 7074533.601941044, 319381.4409871309 7074533.601682777, 319358.3478495035 7074531.7022472145, 319337.4546937351 7074529.403000408, 319337.4487530622 7074529.402382538, 319307.8487530622 7074526.502382537, 319307.84536225774 7074526.502061986, 319279.30536225776 7074523.902061987, 319279.3038176634 7074523.901923688, 319257.937110221 7074522.022213346, 319241.95039866504 7074520.40254651, 319241.9376288348 7074520.40141794, 319220.7507892656 7074518.802411179, 319191.26387899014 7074515.004097314, 319191.2362678479 7074515.001317091, 319169.239335363 7074513.401540183, 319141.0475723451 7074511.002241203, 319127.852734531 7074509.602788707, 319127.8500382258 7074509.602510124, 319110.6500382258 7074507.872510125, 319110.6422941643 7074507.871792008, 319081.784240886 7074505.42195727, 319053.43841231125 7074502.792344249, 319025.0506365191 7074499.902570666, 319025.043091665 7074499.901860353, 318996.1463543009 7074497.402142587, 318967.76961299736 7074494.5724675385, 318939.829505016 7074491.792456782, 318939.8225381534 7074491.79181278, 318921.55434296984 7074490.231966887, 318906.2377493897 7074488.812282625, 318892.7293507364 7074487.472441455, 318892.7278752083 7074487.472297313, 318877.75787520834 7074486.032297313, 318877.7525240638 7074486.031811578, 318863.3450020912 7074484.802023096, 318834.51756946504 7074482.052267989, 318813.31765936356 7074480.022276597, 318813.3096647177 7074480.021575772, 318790.443537229 7074478.201883948, 318761.0474045463 7074475.402252264, 318761.0398134553 7074475.4015876325, 318734.2529820781 7074473.261840743, 318713.32795013924 7074471.322301233, 318712.3297518598 7074471.222481404, 318712.32272942626 7074471.221829149, 318682.943484022 7074468.7018938735, 318654.57423893065 7074466.181960928, 318625.245485619 7074463.602070408, 318596.7471572739 7074460.902228776, 318596.74095777835 7074460.901680363, 318567.54095777834 7074458.501680363, 318567.5384518764 7074458.50148074, 318538.1084518764 7074456.23148074, 318538.1006928066 7074456.230942938, 318525.58231930365 7074455.4610429695, 318522.20394516876 7074455.2311536055, 318522.2005280449 7074455.230932832, 318518.44052804494 7074455.000932831, 318518.4299309548 7074455.000397401, 318514.6699309548 7074454.850397401, 318514.65 7074454.85, 318510.88542653417 7074454.85, 318496.61085178494 7074454.540117775, 318496.5542660056 7074454.542095992, 318484.0342660056 7074455.692095992, 318484.009261889 7074455.695029173, 318458.74926188897 7074459.305029172, 318458.7083393437 7074459.312627557, 318441.1183393437 7074463.342627557, 318441.08889423613 7074463.350323898, 318429.59889423614 7074466.730323898, 318429.88110576384 7074467.689676102, 318441.35650036903 7074464.313972554, 318458.9113576525 7074460.292024013, 318484.13827299885 7074456.686752263, 318496.617497195 7074455.540497644, 318510.86914821505 7074455.849882225, 318510.88 7074455.85, 318514.6400305619 7074455.85, 318518.3847676393 7074455.999391107, 318522.1377630376 7074456.228962635, 318525.5160548312 7074456.458846395, 318525.5193071934 7074456.459057063, 318538.03542560455 7074457.228818339, 318567.4602948356 7074459.498422592, 318596.65594079363 7074461.898064725, 318625.15284272615 7074464.597771224, 318625.15618691023 7074464.598076714, 318654.48597487475 7074467.178058063, 318682.8557610694 7074469.698039072, 318682.8572705738 7074469.698170851, 318712.2337570725 7074472.2178694885, 318713.23024814023 7074472.317518596, 318713.2338528515 7074472.317865887, 318734.1638528515 7074474.257865886, 318734.1701865447 7074474.258412368, 318760.9563884625 7074476.398108975, 318790.35259545373 7074479.197747736, 318790.36033528234 7074479.198424228, 318813.22633514425 7074481.018105895, 318834.42234063643 7074483.047723402, 318863.2525221278 7074485.797740747, 318863.2574759362 7074485.798188422, 318877.66479902295 7074487.027959928, 318892.6313869153 7074488.467631709, 318906.1406492636 7074489.807558544, 318906.14385315933 7074489.807865914, 318921.46385315934 7074491.227865915, 318921.46746184665 7074491.22818722, 318939.7339761901 7074492.787889594, 318967.670440871 7074495.567537834, 318996.0503870026 7074498.397532462, 318996.05690833495 7074498.398139648, 319024.95313323784 7074500.897813083, 319053.3393634809 7074503.787429335, 319053.34381383547 7074503.787862268, 319081.69381383545 7074506.417862268, 319081.6977058357 7074506.418207992, 319110.5538309878 7074508.867879046, 319127.74861322896 7074510.597354236, 319140.947265469 7074511.997211292, 319140.9576000848 7074511.998199004, 319169.1576000848 7074514.398199004, 319169.16373215214 7074514.398682909, 319191.14988799836 7074515.9976760615, 319220.6361210099 7074519.795902686, 319220.66237116524 7074519.79858206, 319241.85597900744 7074521.398099634, 319257.839601335 7074523.01745349, 319257.8461823366 7074523.018076312, 319279.21541012236 7074524.898008378, 319307.7529417419 7074527.497783507, 319337.3482748049 7074530.397326275, 319358.2453062649 7074532.696999593, 319358.2590128691 7074532.698317223, 319381.35749871127 7074534.598192682, 319402.8548958488 7074536.497962661, 319431.9538066555 7074539.1978616025, 319431.9592704241 7074539.198338341, 319452.75864734524 7074540.898287416, 319480.0562195293 7074543.1980828745, 319508.4544159796 7074545.797917761, 319508.4597798825 7074545.798379716, 319536.9555915627 7074548.098041711, 319566.65140953666 7074550.997633366, 319566.65775954217 7074550.998212549, 319597.6750723384 7074553.627984717, 319622.552387764 7074556.007727913, 319622.55944880145 7074556.008352887, 319627.2294488015 7074556.388352887, 319635.5937187823 7074557.0678873705, 319638.35793796903 7074557.357282159, 319638.36438943556 7074557.357915331, 319640.98438943556 7074557.59791533, 319640.98560242646 7074557.598024954, 319643.5656024264 7074557.828024955, 319643.57222944364 7074557.828571344, 319646.87176975474 7074558.078536519, 319650.2213103806 7074558.338500866, 319650.2249983592 7074558.33877338, 319653.6411232078 7074558.57850144, 319656.6659679203 7074558.838059071, 319665.8944547783 7074559.677921364, 319675.6837385554 7074560.577855522, 319681.4329225818 7074561.117778891, 319685.0025954537 7074561.457747736, 319685.0057814173 7074561.458040879, 319695.70545574796 7074562.4080119645, 319702.47479897196 7074563.017952787, 319705.86243246216 7074563.3277363805, 319712.3803992494 7074563.977533683, 319721.75061618 7074564.907555262, 319721.75118667603 7074564.9076115545, 319732.25118667603 7074565.937611555, 319735.9313193375 7074566.29762455, 319735.93538887077 7074566.298005871, 319746.874507155 7074567.277926887, 319750.523220003 7074567.617806988, 319758.0128149929 7074568.327768596, 319758.0136732716 7074568.327849208, 319765.6436732716 7074569.037849208, 319765.6444976939 7074569.037925236, 319769.47326632554 7074569.3878127085, 319779.9514277787 7074570.397635521, 319783.3908210212 7074570.737575551, 319783.3994041341 7074570.7383492505, 319786.95901641576 7074571.028317667, 319797.7982734965 7074571.928255985, 319804.42714814615 7074572.488160933, 319814.24579773226 7074573.348042668, 319822.58442427363 7074574.097919156, 319824.62285572226 7074574.287773065, 319830.54102741816 7074574.85759703, 319841.37972170324 7074575.9474657355, 319852.10946788936 7074577.037439952, 319852.1103884863 7074577.03753261, 319855.618284995 7074577.38732286, 319859.12618341076 7074577.767095338, 319859.1403525092 7074577.768425597, 319862.6599720451 7074578.048395333, 319869.6889563289 7074578.618312978, 319880.2078760596 7074579.498222613, 319890.85743210727 7074580.408184679, 319890.8580139841 7074580.408234056, 319894.41614109086 7074580.708076227, 319905.08404146874 7074581.687883385, 319912.41331412253 7074582.36781591, 319919.9027792448 7074583.077765207, 319927.38208552205 7074583.7876993595, 319931.1697109046 7074584.157467537, 319934.8969870864 7074584.54718274, 319938.57597040955 7074584.947072232, 319938.58278643346 7074584.947765888, 319942.27278643346 7074585.297765887, 319953.3427864334 7074586.347765887, 319953.3437510411 7074586.347856439, 319957.0037510411 7074586.6878564395, 319957.0049939348 7074586.687970335, 319960.4349939348 7074586.997970334, 319960.43693298736 7074586.99814178, 319963.90401617263 7074587.297889605, 319967.3606042489 7074587.637554329, 319977.72982033016 7074588.67747571, 319981.1795343923 7074589.027446703, 319981.18322615034 7074589.0278074, 319990.1229814554 7074589.867784408, 320000.0227378184 7074590.807761274, 320010.34321010514 7074591.777805892, 320010.343777127 7074591.777858862, 320020.68339474034 7074592.73782336, 320031.38301260176 7074593.747787288, 320042.0729689953 7074594.747783386, 320052.7622854631 7074595.767718165, 320056.2920632016 7074596.107696759, 320056.29609313887 7074596.108068457, 320059.92609313887 7074596.428068456, 320063.5763318842 7074596.748089446, 320063.58005522424 7074596.748401861, 320074.55965923436 7074597.628370124, 320078.2281656725 7074597.928248034, 320085.53651383024 7074598.558105673, 320096.5055906177 7074599.52802404, 320100.17412985367 7074599.857892691, 320103.8824670861 7074600.207735825, 320114.9516732436 7074601.277659095, 320118.6414500179 7074601.637637316, 320118.64546230185 7074601.638012443, 320129.7145751426 7074602.627933104, 320131.43368831545 7074602.787850608, 320137.1534536069 7074603.317828894, 320140.8630387028 7074603.667789752, 320140.8650947214 7074603.667979433, 320148.2950947213 7074604.337979433, 320148.2957596628 7074604.3380389465, 320155.7247623924 7074604.99795036, 320163.1537655621 7074605.687857788, 320163.1548580103 7074605.687958032, 320173.8548580103 7074606.657958032, 320173.85613568645 7074606.658072206, 320184.41613568645 7074607.588072206, 320194.9766037736 7074608.508113207, 320202.01683786034 7074609.118133546, 320202.0180087202 7074609.118233613, 320212.5780087202 7074610.008233612, 320212.5788641303 7074610.008304967, 320223.23886413034 7074610.8883049665, 320226.78789665917 7074611.178226117, 320237.43603924505 7074612.108063921, 320248.0853435932 7074613.058001867, 320255.1847181321 7074613.697945488, 320266.19404505286 7074614.707883743, 320273.6237655621 7074615.397857788, 320281.05376556213 7074616.0878577875, 320281.05443002 7074616.087919046, 320288.48409761867 7074616.767888624, 320295.9137655621 7074617.457857788, 320295.91443002 7074617.457919046, 320303.34443002 7074618.137919046, 320307.0644907621 7074618.477924602, 320307.06753256416 7074618.478193253, 320317.9773773568 7074619.408180023, 320321.5856027814 7074619.718027635, 320332.4035506723 7074620.717837976, 320336.0131160679 7074621.057797044, 320336.01579102513 7074621.058041731, 320343.22579102515 7074621.6980417315, 320343.22671484016 7074621.698122871, 320350.47631312266 7074622.328087963, 320357.70544662076 7074622.96801126, 320368.54473168316 7074623.947946626, 320372.1544834081 7074624.27792393, 320372.1618625774 7074624.2785434155, 320383.0118625774 7074625.108543416, 320383.0127080361 7074625.10860737, 320386.61945875344 7074625.378364349, 320390.25392964086 7074625.697878273, 320401.1611514315 7074626.757608346, 320404.79065529164 7074627.117559142, 320404.7981718289 7074627.118247332, 320412.89785443054 7074627.798220686, 320422.9868152663 7074628.658132115, 320426.6160931388 7074628.978068457, 320426.62172402226 7074628.978532798, 320437.17172402225 7074629.788532797, 320437.1726989314 7074629.788606689, 320447.7326989314 7074630.578606689, 320451.2503531711 7074630.838433645, 320454.7666756656 7074631.138120221, 320465.5857473285 7074632.098037855, 320473.1147328406 7074632.767947588, 320476.8837796594 7074633.117859097, 320476.88760008477 7074633.118199004, 320480.6476000848 7074633.438199004, 320480.6483129785 7074633.438259162, 320488.1782896491 7074634.06825721, 320491.9945928643 7074634.387947531, 320502.83990454755 7074635.457485181, 320506.4386678415 7074635.827358075, 320510.0084553669 7074636.197336054, 320510.01245068794 7074636.197733928, 320516.5021135431 7074636.817701721, 320519.0817762561 7074637.067669038, 320519.0859796832 7074637.068058442, 320523.0459796832 7074637.418058442, 320526.24641652487 7074637.698096859, 320526.2557522645 7074637.698825714, 320529.60459656705 7074637.928746367, 320533.0129929076 7074638.178628797, 320543.26254456193 7074638.948595117, 320543.26327229314 7074638.948649251, 320546.7852242353 7074639.208056476, 320553.5571995438 7074639.927204296, 320563.55729526805 7074640.987214453, 320563.55844696274 7074640.987335184, 320566.83844696276 7074641.3273351835, 320566.8433015562 7074641.327814479, 320577.82291668677 7074642.357778376, 320581.49141187145 7074642.707634864, 320592.50029288157 7074643.807523067, 320596.1407895391 7074644.167572438, 320596.14546230185 7074644.168012443, 320599.8349766679 7074644.497969013, 320603.5544907622 7074644.8379246015, 320603.55792457063 7074644.838226513, 320611.01792457065 7074645.468226513, 320611.0185878164 7074645.468282079, 320618.4785878164 7074646.088282079, 320622.2370756595 7074646.3981575165, 320625.7946660105 7074646.717940918, 320632.8435008864 7074647.367833495, 320653.9829065969 7074649.367777271, 320664.97334367776 7074650.397818428, 320668.7235352743 7074650.747836348, 320668.7321092709 7074650.748562225, 320676.23177829874 7074651.318537071, 320679.97910898837 7074651.608330645, 320687.46670840884 7074652.258122317, 320698.0366445208 7074653.178116756, 320698.0378762378 7074653.178222429, 320701.4664348421 7074653.468100562, 320708.3246006709 7074654.087934791, 320715.1736230649 7074654.71784488, 320725.7720585129 7074655.71769728, 320729.33107855945 7074656.067600938, 320729.3380529835 7074656.068237341, 320740.027715726 7074656.968208946, 320747.15737870004 7074657.578180113, 320747.15847726015 7074657.578272879, 320749.9168465432 7074657.808136986, 320752.69521668914 7074658.057990416, 320752.7005549763 7074658.058441661, 320755.47828243766 7074658.278261821, 320758.9855003315 7074658.588016108, 320769.49498845416 7074659.537969839, 320780.0047319264 7074660.487946652, 320783.5044755918 7074660.8079232145, 320783.508013984 7074660.8082340555, 320794.188013984 7074661.708234056, 320794.1889781694 7074661.708314368, 320801.59828179295 7074662.318257041, 320808.99758586363 7074662.948197793, 320816.40761169756 7074663.578199993, 320823.8075858636 7074664.208197793, 320831.21764269157 7074664.838202627, 320831.2182543732 7074664.838254255, 320834.9182543732 7074665.148254256, 320834.9236102736 7074665.14867403, 320838.6210427285 7074665.418486668, 320842.33691876166 7074665.728143005, 320845.9048566572 7074666.047958165, 320852.99376095395 7074666.697857713, 320863.6231700727 7074667.697802127, 320867.1626620713 7074668.027754951, 320877.7817330701 7074669.05766485, 320881.3221973768 7074669.397709664, 320881.32387598633 7074669.397868031, 320888.66387598636 7074670.07786803, 320888.669398652 7074670.078348804, 320896.2778989539 7074670.698226621, 320911.3549762203 7074672.017970785, 320948.65276518214 7074675.497764501, 320971.4519774265 7074677.697688489, 320971.46294344624 7074677.698624921, 320991.2393254263 7074679.168356039, 320997.1949019884 7074679.69796268, 321021.0540924692 7074681.897888038, 321021.05867842323 7074681.898289602, 321039.5077599159 7074683.428213432, 321051.854491865 7074684.49793029, 321067.45214379666 7074685.997704514, 321067.4588180856 7074685.998301164, 321115.85693044163 7074689.99814516, 321173.4549878084 7074695.197969784, 321218.75267438445 7074699.297760401, 321247.345016381 7074702.146997279, 321277.83441391354 7074705.855707602, 321296.98317162844 7074708.594099884, 321316.6119254697 7074711.892210255, 321345.8812602783 7074717.4501850335, 321368.5954453535 7074722.2889462905, 321408.185188361 7074730.7867446635, 321425.27369666734 7074735.183787737, 321447.1719930591 7074740.983336553, 321447.1750609905 7074740.984138662, 321453.369361757 7074742.582667892, 321459.36214531556 7074744.280623234, 321465.55646027107 7074746.078972736, 321471.05110094446 7074747.777316217, 321476.4484248404 7074749.47647374, 321482.0469954098 7074751.2760142805, 321482.0572820651 7074751.279198905, 321486.652956659 7074752.647910687, 321496.5973915554 7074755.806143277, 321506.0261301539 7074758.8557352945, 321514.9632790284 7074761.744813628, 321516.83036661096 7074762.37383244, 321516.837816665 7074762.376277475, 321520.217816665 7074763.456277475, 321522.59790262656 7074764.216304933, 321522.6068732715 7074764.219076967, 321525.0160459655 7074764.938829805, 321527.3952195569 7074765.658579798, 321527.41027174436 7074765.662877396, 321529.41986530676 7074766.202768204, 321532.229458964 7074766.962658304, 321532.24006068974 7074766.965401445, 321535.68006068975 7074767.815401444, 321535.6812454753 7074767.815692663, 321539.3212454753 7074768.705692663, 321539.3332037739 7074768.708461427, 321542.12320377387 7074769.318461427, 321542.15705613623 7074769.324650576, 321546.4865354446 7074769.963099138, 321549.6660902549 7074770.571101782, 321549.71112800227 7074770.577605796, 321551.95112800226 7074770.797605796, 321551.97828138777 7074770.799528079, 321554.27828138776 7074770.89952808, 321554.28718369966 7074770.899835716, 321558.1871836997 7074770.999835716, 321558.225607376 7074770.999343832, 321562.125607376 7074770.799343832, 321562.14945208037 7074770.797548481, 321567.0794520804 7074770.307548481, 321567.08369464887 7074770.307108523, 321569.95369464887 7074769.997108524, 321570.0030052405 7074769.989274893, 321573.8030052405 7074769.189274893, 321573.8097560976 7074769.187804879, 321577.8097560976 7074768.287804878, 321577.841083162 7074768.279682751, 321581.24108316196 7074767.279682751, 321581.25811388297 7074767.274341648, 321584.2398968749 7074766.280413984, 321585.02126781264 7074766.08507125, 321585.05722864665 7074766.07463581, 321585.09230769234 7074766.061538462, 321588.6923076923 7074764.561538462, 321588.69845557533 7074764.558928518, 321592.39845557534 7074762.958928518, 321592.4306763683 7074762.9436084, 321594.925593747 7074761.646251364, 321596.06045194 7074761.088777163, 321595.61954805994 7074760.191222836, 321594.47954806 7074760.751222837))</t>
  </si>
  <si>
    <t>[6818]</t>
  </si>
  <si>
    <t>['FV6818 S3D30 m6-24']</t>
  </si>
  <si>
    <t>LINESTRING Z (310415.8 7069936.42 6.33, 310408.8 7069940.9 6.15, 310400.49 7069946 6.15)</t>
  </si>
  <si>
    <t>POINT (310408.1674781384 7069941.245862798)</t>
  </si>
  <si>
    <t>['EV39 S1D1 m0 KD1 m2-112']</t>
  </si>
  <si>
    <t>LINESTRING Z (264847.86 7030197.57 29.400000000000002, 264845.96 7030196.93 29.400000000000002, 264844.14 7030196.13 29.400000000000002, 264840.5 7030193.47 29.400000000000002, 264839.31 7030191.62 29.400000000000002, 264838.54 7030189.63 29.400000000000002, 264837.95 7030186.86 29.400000000000002, 264837.92 7030184.23 29.400000000000002, 264838.25 7030181.83 29.400000000000002, 264839.58 7030178.48 29.400000000000002, 264840.59 7030176.96 29.400000000000002, 264842.42 7030174.9 29.400000000000002, 264844.7 7030173.13 29.400000000000002, 264847.21 7030171.65 29.400000000000002, 264850.2 7030170.42 29.400000000000002, 264853.6 7030170.08 29.400000000000002, 264856.94 7030170.5 29.38, 264860.05 7030171.51 29.400000000000002, 264862.08 7030172.87 29.400000000000002, 264863.79 7030174.32 29.400000000000002, 264864.87 7030175.89 29.400000000000002, 264865.61 7030177.33 29.400000000000002, 264866.3 7030179.58 29.400000000000002, 264866.78 7030182.44 29.400000000000002, 264866.6 7030185.11 29.400000000000002, 264865.98 7030187.43 29.400000000000002, 264865.14 7030188.98 29.400000000000002, 264862.88 7030192.4 29.400000000000002, 264861.64 7030193.8 29.400000000000002, 264859.42 7030195.43 29.400000000000002, 264857 7030196.77 29.400000000000002, 264855.26 7030197.34 29.400000000000002, 264852.94 7030197.97 29.400000000000002, 264850.85 7030198.01 29.400000000000002, 264850.35 7030197.99 29.400000000000002)</t>
  </si>
  <si>
    <t>POLYGON Z ((264847.86 7030197.57 29.400000000000002, 264845.96 7030196.93 29.400000000000002, 264844.14 7030196.13 29.400000000000002, 264840.5 7030193.47 29.400000000000002, 264839.31 7030191.62 29.400000000000002, 264838.54 7030189.63 29.400000000000002, 264837.95 7030186.86 29.400000000000002, 264837.92 7030184.23 29.400000000000002, 264838.25 7030181.83 29.400000000000002, 264839.58 7030178.48 29.400000000000002, 264840.59 7030176.96 29.400000000000002, 264842.42 7030174.9 29.400000000000002, 264844.7 7030173.13 29.400000000000002, 264847.21 7030171.65 29.400000000000002, 264850.2 7030170.42 29.400000000000002, 264853.6 7030170.08 29.400000000000002, 264856.94 7030170.5 29.38, 264860.05 7030171.51 29.400000000000002, 264862.08 7030172.87 29.400000000000002, 264863.79 7030174.32 29.400000000000002, 264864.87 7030175.89 29.400000000000002, 264865.61 7030177.33 29.400000000000002, 264866.3 7030179.58 29.400000000000002, 264866.78 7030182.44 29.400000000000002, 264866.6 7030185.11 29.400000000000002, 264865.98 7030187.43 29.400000000000002, 264865.14 7030188.98 29.400000000000002, 264862.88 7030192.4 29.400000000000002, 264861.64 7030193.8 29.400000000000002, 264859.42 7030195.43 29.400000000000002, 264857 7030196.77 29.400000000000002, 264855.26 7030197.34 29.400000000000002, 264852.94 7030197.97 29.400000000000002, 264850.85 7030198.01 29.400000000000002, 264850.35 7030197.99 29.400000000000002, 264847.86 7030197.57 29.400000000000002))</t>
  </si>
  <si>
    <t>['EV6 S74D1 m1944-3353']</t>
  </si>
  <si>
    <t>LINESTRING Z (268529.66000000003 7033532.44 152.08, 268530.49 7033539.06 151.98, 268531.39 7033546.7 151.91, 268531.55 7033547.97 151.9, 268533.68 7033565.84 151.89000000000001, 268535.65 7033582.38 151.97, 268536.32 7033587.87 152, 268538.17 7033603.09 152.08, 268540.07 7033618.28 152.15, 268542.07 7033633.48 152.23, 268543.42 7033643.1 152.28, 268545.05 7033654.78 152.34, 268546 7033661.04 152.37, 268548.27 7033676.05 152.44, 268551.72 7033697.28 152.55, 268555.39 7033718.47 152.66, 268559.3 7033739.63 152.77, 268562.22 7033754.6 152.84, 268563.42 7033760.74 152.87, 268567.78 7033781.8 152.98, 268572.36 7033802.82 153.09, 268577.17 7033823.78 153.20000000000002, 268582.2 7033844.69 153.3, 268587.46 7033865.56 153.41, 268592.94 7033886.36 153.52, 268598.64 7033907.1 153.63, 268604.58 7033927.77 153.73, 268610.72 7033948.39 153.84, 268617.09 7033968.93 153.95000000000002, 268619.32 7033975.87 153.99, 268623.44 7033988.7 154.05, 268629.97 7034008.41 154.15, 268636.63 7034028.07 154.26, 268641 7034040.79 154.33, 268643.39 7034047.71 154.36, 268650.22 7034067.31 154.43, 268650.5 7034068.1 154.43, 268653.33 7034076.22 154.44, 268657.08 7034086.9 154.45000000000002, 268665.74 7034111.62 154.42000000000002, 268670.34 7034124.72 154.37, 268675.39 7034139.13 154.3, 268678.16000000003 7034147.02 154.25, 268680.97 7034155.05 154.20000000000002, 268686.61 7034170.94 154.06, 268690.72 7034182.37 153.95000000000002, 268692.33 7034186.81 153.9, 268698.17 7034202.62 153.71, 268703.87 7034217.5 153.51, 268704.21 7034218.37 153.49, 268710.46 7034234.03 153.24, 268714.68 7034244.19 153.07, 268718.1 7034252.21 152.92000000000002, 268719.01 7034254.31 152.88, 268725.84 7034269.73 152.57, 268732.9 7034285.04 152.22, 268733.54 7034286.39 152.19, 268740.13 7034300.27 151.85, 268747.48 7034315.45 151.46, 268749.81 7034320.18 151.33, 268754.92 7034330.58 151.04, 268762.41000000003 7034345.7 150.61, 268793.32 7034408.04 148.88, 268850.37 7034523.1 145.67000000000002, 268872.33 7034567.4 144.49, 268894.3 7034611.7 143.44, 268916.26 7034656 142.51, 268927.09 7034677.85 142.1, 268940.28 7034704.45 141.63, 268958.38 7034740.96 141.07, 268960.36 7034744.94 141.02, 268964.53 7034753.66 140.91, 268968.45 7034762.5 140.8, 268974.27 7034776.28 140.63, 268977.02 7034782.8 140.54, 268978.31 7034785.9 140.5, 268985.41000000003 7034803.16 140.25, 268988.33 7034810.35 140.13, 268989.15 7034812.38 140.09, 268993.64 7034823.6 139.88, 268997.1 7034832.33 139.71, 268999.03 7034837.64 139.79, 268528.37 7033521.43 151.66, 268528.52 7033522.63 151.67000000000002, 268529.1 7033527.7 151.88, 268529.66000000003 7033532.44 152.08)</t>
  </si>
  <si>
    <t>POLYGON Z ((268529.66000000003 7033532.44 152.08, 268530.49 7033539.06 151.98, 268531.39 7033546.7 151.91, 268531.55 7033547.97 151.9, 268533.68 7033565.84 151.89000000000001, 268535.65 7033582.38 151.97, 268536.32 7033587.87 152, 268538.17 7033603.09 152.08, 268540.07 7033618.28 152.15, 268542.07 7033633.48 152.23, 268543.42 7033643.1 152.28, 268545.05 7033654.78 152.34, 268546 7033661.04 152.37, 268548.27 7033676.05 152.44, 268551.72 7033697.28 152.55, 268555.39 7033718.47 152.66, 268559.3 7033739.63 152.77, 268562.22 7033754.6 152.84, 268563.42 7033760.74 152.87, 268567.78 7033781.8 152.98, 268572.36 7033802.82 153.09, 268577.17 7033823.78 153.20000000000002, 268582.2 7033844.69 153.3, 268587.46 7033865.56 153.41, 268592.94 7033886.36 153.52, 268598.64 7033907.1 153.63, 268604.58 7033927.77 153.73, 268610.72 7033948.39 153.84, 268617.09 7033968.93 153.95000000000002, 268619.32 7033975.87 153.99, 268623.44 7033988.7 154.05, 268629.97 7034008.41 154.15, 268636.63 7034028.07 154.26, 268641 7034040.79 154.33, 268643.39 7034047.71 154.36, 268650.22 7034067.31 154.43, 268650.5 7034068.1 154.43, 268653.33 7034076.22 154.44, 268657.08 7034086.9 154.45000000000002, 268665.74 7034111.62 154.42000000000002, 268670.34 7034124.72 154.37, 268675.39 7034139.13 154.3, 268678.16000000003 7034147.02 154.25, 268680.97 7034155.05 154.20000000000002, 268686.61 7034170.94 154.06, 268690.72 7034182.37 153.95000000000002, 268692.33 7034186.81 153.9, 268698.17 7034202.62 153.71, 268703.87 7034217.5 153.51, 268704.21 7034218.37 153.49, 268710.46 7034234.03 153.24, 268714.68 7034244.19 153.07, 268718.1 7034252.21 152.92000000000002, 268719.01 7034254.31 152.88, 268725.84 7034269.73 152.57, 268732.9 7034285.04 152.22, 268733.54 7034286.39 152.19, 268740.13 7034300.27 151.85, 268747.48 7034315.45 151.46, 268749.81 7034320.18 151.33, 268754.92 7034330.58 151.04, 268762.41000000003 7034345.7 150.61, 268793.32 7034408.04 148.88, 268850.37 7034523.1 145.67000000000002, 268872.33 7034567.4 144.49, 268894.3 7034611.7 143.44, 268916.26 7034656 142.51, 268927.09 7034677.85 142.1, 268940.28 7034704.45 141.63, 268958.38 7034740.96 141.07, 268960.36 7034744.94 141.02, 268964.53 7034753.66 140.91, 268968.45 7034762.5 140.8, 268974.27 7034776.28 140.63, 268977.02 7034782.8 140.54, 268978.31 7034785.9 140.5, 268985.41000000003 7034803.16 140.25, 268988.33 7034810.35 140.13, 268989.15 7034812.38 140.09, 268993.64 7034823.6 139.88, 268997.1 7034832.33 139.71, 268999.03 7034837.64 139.79, 268528.37 7033521.43 151.66, 268528.52 7033522.63 151.67000000000002, 268529.1 7033527.7 151.88, 268529.66000000003 7033532.44 152.08))</t>
  </si>
  <si>
    <t>['EV6 S69D1 m537-756']</t>
  </si>
  <si>
    <t>LINESTRING Z (261868.71 6998084.09 71.39, 261873.48 6998087.55 71.38, 261889.58000000002 6998099.78 71.33, 261902.48 6998110.43 71.28, 261917.29 6998122.99 71.23, 261925.7 6998130.4 70.83, 261932.66999999998 6998136.8 70.83, 261937.83000000002 6998141.48 70.83, 261944.61 6998147.84 70.83, 261948.91 6998151.94 70.73, 261956.03 6998158.58 70.73, 261979.34 6998180.8 70.13, 261999.45 6998200.19 70.13, 262015.03 6998215.19 69.73, 262029.27000000002 6998229.11 70.03, 262031.02000000002 6998230.81 70.07000000000001)</t>
  </si>
  <si>
    <t>POLYGON ((261873.18194931958 6998087.951492566, 261889.26948641444 6998100.172025403, 261902.15912452555 6998110.81347082, 261916.9629992345 6998123.36827611, 261925.36560559765 6998130.771761621, 261932.33182675048 6998137.168291804, 261932.3340925307 6998137.170359517, 261937.49098343996 6998141.847539645, 261944.26643649495 6998148.203274368, 261948.56496233318 6998152.301868773, 261948.5689872889 6998152.305664233, 261955.68698820454 6998158.943799918, 261978.99397636886 6998181.160928919, 261999.10294877677 6998200.549938118, 262014.681845714 6998215.548876309, 262028.92048682758 6998229.467547959, 262028.92160715797 6998229.46863969, 262030.67160715797 6998231.16863969, 262031.36839284207 6998230.4513603095, 262029.61895398656 6998228.751905422, 262015.37951317243 6998214.832452042, 262015.37678529945 6998214.829805669, 261999.79691839332 6998199.829933808, 261979.68705122324 6998180.440061882, 261979.68499038173 6998180.438086147, 261956.37499038174 6998158.218086148, 261956.3710127111 6998158.214335768, 261949.2530356919 6998151.576222368, 261944.9550376668 6998147.478131227, 261944.95207789761 6998147.475332052, 261938.17207789765 6998141.115332053, 261938.1659074693 6998141.109640483, 261933.00704350392 6998136.430670839, 261926.03817324952 6998130.031708196, 261926.03054517054 6998130.024846844, 261917.62054517053 6998122.614846844, 261917.61339798436 6998122.60866846, 261902.80339798436 6998110.048668459, 261902.7983248447 6998110.044423427, 261889.89832484472 6998099.394423428, 261889.8824475712 6998099.381847433, 261873.7824475712 6998087.151847432, 261873.77358110624 6998087.145265353, 261869.00358110623 6998083.685265353, 261868.41641889376 6998084.494734647, 261873.18194931958 6998087.951492566))</t>
  </si>
  <si>
    <t>['EV6 S70D1 m9277-10038']</t>
  </si>
  <si>
    <t>LINESTRING Z (262121.93 7011103.64 37.64, 262127.9 7011106.5 37.72, 262138 7011111.1 37.72, 262143.8 7011114 37.72, 262152.3 7011117.9 37.62, 262154.9 7011119.2 37.62, 262157 7011120.2 37.62, 262162.9 7011123 37.62, 262168.5 7011125.8 37.42, 262172.8 7011127.7 37.42, 262179.5 7011130.9 37.22, 262185.9 7011134.1 37.02, 262192.2 7011137 36.92, 262199.3 7011140.5 36.82, 262204.5 7011143.2 36.72, 262212.1 7011147 36.72, 262220.1 7011150.9 36.72, 262228.7 7011154.9 36.62, 262237.1 7011159.2 36.52, 262246.1 7011163.3 36.32, 262253.9 7011167.3 36.22, 262261.4 7011171.2 36.22, 262269.1 7011175.1 36.22, 262277.3 7011179.3 36.22, 262284.5 7011182.9 36.02, 262292.3 7011186.7 35.82, 262300.1 7011190.5 35.62, 262308.4 7011195 35.42, 262316 7011198.6 35.12, 262320.7 7011200.9 35.12, 262328.8 7011204.9 35.12, 262336.4 7011208.9 35.02, 262343.4 7011212.4 35.02, 262350.9 7011216.1 34.92, 262357.8 7011219.8 34.52, 262365 7011223.3 34.12, 262371.3 7011226.5 34.12, 262376.9 7011229.4 34.12, 262382 7011232.1 34.42, 262388.1 7011235.3 34.72, 262395.3 7011238.9 35.02, 262402.5 7011243 35.42, 262409.4 7011246.1 35.72, 262417.5 7011249.6 36.12, 262425.1 7011252.8 36.42, 262432.2 7011254.9 36.12, 262440.3 7011257.1 35.72, 262445.7 7011258 35.62, 262449 7011258.5 35.62, 262455.4 7011259.2 35.62, 262462.3 7011259.6 35.62, 262467.4 7011260.1 35.62, 262471.4 7011260.2 35.72, 262475.6 7011260.2 35.92, 262482 7011260.5 36.12, 262487.9 7011260.6 36.22, 262493.8 7011260.6 36.42, 262499.9 7011260.8 36.42, 262507.6 7011260.8 36.42, 262514.8 7011260.9 36.42, 262521.7 7011260.9 36.42, 262529.3 7011261.1 36.42, 262537.1 7011261 36.52, 262544.5 7011261 36.62, 262552.9 7011261.2 36.62, 262554.9 7011261.3 36.62, 262557 7011261.3 36.62, 262560.5 7011261.4 36.72, 262569.6 7011261.7 36.82, 262579.1 7011261.9 36.82, 262588.5 7011262.2 36.72, 262598.1 7011262.7 36.62, 262602.3 7011263.1 36.52, 262607.98 7011263.43 36.42, 262616.8 7011264.6 36.32, 262625.8 7011266 36.12, 262631.8 7011267 35.92, 262641.5 7011268.9 35.72, 262651.5 7011271.4 35.42, 262660.4 7011273.7 35.22, 262665.9 7011275.1 35.12, 262670.4 7011276.3 35.02, 262680.5 7011279.38 35.02, 262689.9 7011282.5 34.92, 262699.2 7011285.4 34.92, 262706.09 7011287.79 34.92, 262708.9 7011288.7 34.92, 262719.3 7011292.4 34.92, 262726.2 7011294.9 34.92, 262736.7 7011298.7 35.12, 262746.9 7011304.1 35.12, 262757 7011309.7 35.12, 262770.4 7011317.5 35.12, 262777.38 7011321.62 35.12, 262779.9 7011323.3 35.12, 262785.8 7011327.4 35.12, 262795.8 7011334.5 35.22, 262806.5 7011341.9 35.22, 262815.9 7011349.5 35.12, 262821.5 7011353.9 35.02, 262824.87 7011356.44 34.92, 262827.69 7011358.56 34.83)</t>
  </si>
  <si>
    <t>POLYGON ((262127.68397830313 7011106.950926409, 262127.6927591498 7011106.955028824, 262137.78450529632 7011111.551269642, 262143.5763932022 7011114.447213596, 262143.59148856607 7011114.454447997, 262152.0838803169 7011118.350957153, 262154.6763932023 7011119.647213596, 262154.6850332098 7011119.651430259, 262156.7850332098 7011120.651430259, 262156.78562777385 7011120.651712906, 262162.68098738056 7011123.449510685, 262168.27639320225 7011126.247213596, 262168.2979180758 7011126.257343302, 262172.59116884525 7011128.154361084, 262179.2804339434 7011131.349233966, 262185.67639320233 7011134.547213595, 262185.69092819723 7011134.554190468, 262191.9848877493 7011137.451409944, 262199.0742331771 7011140.946157691, 262204.26959236467 7011143.643748038, 262204.27639320225 7011143.647213596, 262211.8763932022 7011147.447213596, 262211.88089887635 7011147.449438202, 262219.88089887635 7011151.349438203, 262219.88913462515 7011151.353360556, 262228.4805712649 7011155.349377598, 262236.8721644455 7011159.645074107, 262236.89271769393 7011159.65500994, 262245.8821625186 7011163.750201471, 262253.67058086727 7011167.744262163, 262261.1693236317 7011171.643608401, 262261.17407906597 7011171.646049024, 262268.87306935154 7011175.54553761, 262277.07206206507 7011179.745021682, 262277.07639320224 7011179.747213596, 262284.27639320225 7011183.347213596, 262284.2810152884 7011183.349494935, 262299.87124350003 7011190.94473432, 262308.1616878399 7011195.43955354, 262308.18595682766 7011195.45186892, 262315.7830814111 7011199.05050688, 262320.47941606556 7011201.348713201, 262328.57283057005 7011205.345461104, 262336.16712678364 7011209.3424591115, 262336.1763932023 7011209.347213596, 262343.1763932023 7011212.847213596, 262343.1787878818 7011212.8484029425, 262350.6711842134 7011216.544651799, 262357.5637120953 7011220.240645011, 262357.58140364656 7011220.249683927, 262364.7774684165 7011223.747770968, 262371.07181658316 7011226.944900195, 262376.6680596878 7011229.842954661, 262381.76605613984 7011232.541893958, 262381.7677253179 7011232.542773612, 262387.8677253179 7011235.742773612, 262387.8763932022 7011235.747213596, 262395.0643151699 7011239.34117458, 262402.25258069066 7011243.434492446, 262402.2950925393 7011243.456084348, 262409.1950925393 7011246.556084348, 262409.20167345373 7011246.558984293, 262417.3016734537 7011250.058984293, 262417.30597149994 7011250.060817687, 262424.9059714999 7011253.260817687, 262424.958185779 7011253.279467127, 262432.058185779 7011255.379467128, 262432.06894542504 7011255.382519118, 262440.168945425 7011257.582519117, 262440.2178005063 7011257.593196961, 262445.6178005063 7011258.4931969615, 262445.6250973103 7011258.494357752, 262448.9250973103 7011258.994357752, 262448.94563670433 7011258.997035846, 262455.34563670435 7011259.697035846, 262455.3710630753 7011259.699161952, 262462.2611232733 7011260.098585731, 262467.35121428804 7011260.597614262, 262467.38750390435 7011260.599843822, 262471.38750390435 7011260.699843823, 262471.4 7011260.7, 262475.5882876847 7011260.7, 262481.9765882069 7011260.999451587, 262481.9915266408 7011260.999928197, 262487.8915266408 7011261.0999281965, 262487.9 7011261.1, 262493.7918054728 7011261.1, 262499.8836153616 7011261.299731472, 262499.9 7011261.3, 262507.59652794246 7011261.3, 262514.79305622523 7011261.399951782, 262514.8 7011261.4, 262521.6934222043 7011261.4, 262529.286846659 7011261.599826959, 262529.30640972964 7011261.599958913, 262537.10320500395 7011261.5, 262544.49404847703 7011261.5, 262552.8815617367 7011261.699702697, 262554.8750311916 7011261.799376169, 262554.9 7011261.8, 262556.99285860267 7011261.8, 262560.48462271417 7011261.89976469, 262569.58352543355 7011262.199728515, 262569.5894760161 7011262.199889233, 262579.0867629196 7011262.3998321155, 262588.4790200213 7011262.699585002, 262598.06327761075 7011263.198765084, 262602.25259545376 7011263.597747736, 262602.27099960763 7011263.599158268, 262607.93255987385 7011263.928086946, 262616.7286889984 7011265.094920401, 262625.72047122294 7011266.493642081, 262631.710826558 7011267.492034636, 262641.39123798785 7011269.3881977005, 262651.3768124679 7011271.8845913205, 262660.2748964926 7011274.184096181, 262660.27666035976 7011274.184548588, 262665.7739105053 7011275.5838486245, 262670.26261901826 7011276.780837561, 262680.3483010296 7011279.856471283, 262689.7424920458 7011282.974543195, 262689.75115477876 7011282.977331227, 262699.0436076095 7011285.874977808, 262705.92613862694 7011288.262386971, 262705.93595465116 7011288.265678495, 262708.73914731544 7011289.173473984, 262719.1310392381 7011292.87058938, 262726.02967561147 7011295.370095313, 262736.4969635025 7011299.15825668, 262746.6617788771 7011304.539629525, 262756.75297895627 7011310.134750362, 262770.1471521145 7011317.931358618, 262777.1140471075 7011322.043623284, 262779.61863457295 7011323.713348261, 262785.5125980164 7011327.809153366, 262795.51053904044 7011334.907691493, 262795.51559489645 7011334.911234407, 262806.20019719057 7011342.300585526, 262815.5856389253 7011349.888815014, 262815.59108922404 7011349.89315917, 262821.191089224 7011354.29315917, 262821.19905297767 7011354.299287979, 262824.56905297766 7011356.839287979, 262824.56954667845 7011356.839659608, 262827.38954667846 7011358.959659607, 262827.99045332154 7011358.160340392, 262825.1706999219 7011356.04052578, 262821.80495971354 7011353.503736424, 262816.2116510602 7011349.10899391, 262806.8143610747 7011341.511184987, 262806.78440510354 7011341.488765594, 262796.0869439755 7011334.090521448, 262786.08946095954 7011326.992308508, 262786.085328308 7011326.989405606, 262780.185328308 7011322.889405605, 262780.1773500981 7011322.883974853, 262777.6573500981 7011321.203974853, 262777.63415679365 7011321.189413976, 262770.65415679367 7011317.069413976, 262770.6515343928 7011317.067876812, 262757.25153439277 7011309.267876812, 262757.242453778 7011309.262717294, 262747.142453778 7011303.662717293, 262747.1339438602 7011303.658106041, 262736.9339438602 7011298.258106042, 262736.8701522861 7011298.229842368, 262726.3702382303 7011294.429873471, 262719.47032438853 7011291.929904688, 262719.4675941911 7011291.928924437, 262709.0675941911 7011288.2289244365, 262709.0540453489 7011288.224321505, 262706.24897039315 7011287.315916448, 262699.3638613731 7011284.927613029, 262699.3488452213 7011284.922668774, 262690.0531892692 7011282.024023369, 262680.6575079542 7011278.905456805, 262680.6458445814 7011278.901743418, 262670.54584458144 7011275.8217434175, 262670.5288313253 7011275.81688253, 262666.0288313253 7011274.61688253, 262666.0233396403 7011274.615451412, 262660.5242218052 7011273.215675964, 262651.6251035074 7011270.91590382, 262651.6212678125 7011270.91492875, 262641.6212678125 7011268.41492875, 262641.59611171426 7011268.409324407, 262631.89611171425 7011266.509324406, 262631.88219949364 7011266.5068030385, 262625.88219949364 7011265.5068030385, 262625.87685350317 7011265.505941765, 262616.87685350317 7011264.105941765, 262616.8657505526 7011264.1043419875, 262608.0457505526 7011262.934341988, 262608.00900039234 7011262.930841731, 262602.3382154809 7011262.601377115, 262598.1474045462 7011262.202252264, 262598.1260064171 7011262.200676792, 262588.5260064171 7011261.700676792, 262588.5159493262 7011261.700254446, 262579.1159493262 7011261.400254446, 262579.11052398384 7011261.400110767, 262569.61349977035 7011261.200173415, 262560.5164745664 7011260.900271486, 262560.514279887 7011260.900203957, 262557.014279887 7011260.800203957, 262557 7011260.8, 262554.9124921965 7011260.8, 262552.9249688084 7011260.700623831, 262552.911901389 7011260.700141664, 262544.511901389 7011260.5001416635, 262544.5 7011260.5, 262537.1 7011260.5, 262537.0935902703 7011260.500041086, 262529.30337308545 7011260.599915666, 262521.713153341 7011260.400173041, 262521.7 7011260.4, 262514.8034720575 7011260.4, 262507.60694377474 7011260.300048218, 262507.6 7011260.3, 262499.9081945272 7011260.3, 262493.8163846384 7011260.100268528, 262493.8 7011260.1, 262487.9042369759 7011260.1, 262482.0159461358 7011260.00019846, 262475.6234117931 7011259.700548413, 262475.6 7011259.7, 262471.40624900744 7011259.7, 262467.4306814684 7011259.600610811, 262462.348785712 7011259.102385737, 262462.3289369247 7011259.100838047, 262455.4416772455 7011258.701576618, 262449.0646607188 7011258.004090435, 262445.7785553796 7011257.506195686, 262440.40689436434 7011256.61091885, 262432.33645144576 7011254.4189467, 262425.2684391654 7011252.328407856, 262417.6961818599 7011249.14008899, 262409.601627429 7011245.642442014, 262402.7266787288 7011242.553696946, 262395.5474193093 7011238.465507555, 262395.52360679774 7011238.452786405, 262388.3279623339 7011234.8549641725, 262382.23311025137 7011231.657664719, 262377.1339438602 7011228.958106042, 262377.1299271239 7011228.956002796, 262371.52992712386 7011226.056002796, 262371.5264327284 7011226.054210566, 262365.2264327284 7011222.854210566, 262365.2185963534 7011222.850316073, 262358.02753192984 7011219.354659756, 262351.1362879047 7011215.6593549885, 262351.12121211825 7011215.6515970575, 262343.62241111894 7011211.952188565, 262336.62826475454 7011208.455115383, 262329.0328732164 7011204.457540889, 262329.02139015624 7011204.451684934, 262320.92139015626 7011200.451684934, 262320.91977643204 7011200.450891639, 262316.21977643203 7011198.150891638, 262316.21404317237 7011198.14813108, 262308.6263453125 7011194.5539584095, 262300.3383121601 7011190.06044646, 262300.3189847116 7011190.050505065, 262284.7213016357 7011182.451633824, 262277.5257776671 7011178.853871839, 262269.3279379349 7011174.654978317, 262269.32592093403 7011174.653950976, 262261.6283051815 7011170.755158583, 262254.13067636837 7011166.856391599, 262254.1281583238 7011166.855091268, 262246.32815832377 7011162.855091268, 262246.307282306 7011162.84499006, 262237.3176723764 7011158.749723314, 262228.92783555447 7011154.454925894, 262228.91086537484 7011154.446639445, 262220.3150011501 7011150.448563061, 262212.32135957154 7011146.5516627915, 262204.727020424 7011142.754493218, 262199.5304076353 7011140.056251962, 262199.52107663895 7011140.051530247, 262192.421076639 7011136.551530247, 262192.4090718028 7011136.545809532, 262186.11639554694 7011133.649180778, 262179.7236067977 7011130.452786405, 262179.715489437 7011130.448818992, 262173.015489437 7011127.248818992, 262173.0020819242 7011127.242656698, 262168.7129648936 7011125.347465452, 262163.1236067978 7011122.552786404, 262163.1143722262 7011122.548287095, 262157.2146693336 7011119.748428095, 262155.1193070796 7011118.750636545, 262152.52360679774 7011117.452786405, 262152.5085114339 7011117.445552004, 262144.0161196831 7011113.549042847, 262138.22360679778 7011110.652786404, 262138.2072408502 7011110.644971176, 262128.11165113896 7011106.046979823, 262122.14602169686 7011103.189073591, 262121.71397830313 7011104.090926409, 262127.68397830313 7011106.950926409))</t>
  </si>
  <si>
    <t>['EV6 S78D1 m1856-2111']</t>
  </si>
  <si>
    <t>LINESTRING Z (288134.8 7039388.08 166.27, 288146.86 7039383.95 166.06, 288153.07 7039381.83 165.95000000000002, 288175.32 7039374.1 165.45000000000002, 288201.23 7039364.58 165.15, 288227.15 7039354.96 164.85, 288251.54000000004 7039345.88 164.55, 288276.48 7039335.71 164.25, 288302.83 7039325.21 164.25, 288329.48 7039313.92 163.95000000000002, 288355.22 7039303.24 163.55, 288372.31 7039295.71 163.21)</t>
  </si>
  <si>
    <t>POLYGON ((288147.02176537405 7039384.42310889, 288153.23153863807 7039382.303186294, 288153.2340874042 7039382.302308505, 288175.4840874042 7039374.572308505, 288175.49244130217 7039374.569322913, 288201.40244130214 7039365.049322913, 288201.40397520247 7039365.048756471, 288227.3239752025 7039355.428756471, 288227.32444534457 7039355.428581713, 288251.7144453446 7039346.348581713, 288251.7287958541 7039346.342986097, 288276.6669446093 7039336.173740995, 288303.0150873388 7039325.674481084, 288303.0250397637 7039325.6703905845, 288329.673332233 7039314.381113962, 288355.4116195287 7039303.701824595, 288355.4216025599 7039303.697554815, 288372.51160255994 7039296.167554814, 288372.10839744005 7039295.252445186, 288355.023365773 7039302.780256096, 288329.28838047123 7039313.458175405, 288329.2849602363 7039313.459609415, 288302.6399144536 7039324.747510612, 288276.2949126612 7039335.245518916, 288276.29120414593 7039335.247013903, 288251.3583362871 7039345.414105568, 288226.9757898858 7039354.491330715, 288201.05679118086 7039364.110959092, 288175.15172244346 7039373.6291472195, 288152.90718573076 7039381.357249187, 288146.6984613619 7039383.476813707, 288134.6380083216 7039387.60696861, 288134.9619916784 7039388.5530313905, 288147.02176537405 7039384.42310889))</t>
  </si>
  <si>
    <t>['EV14 S3D1 m8243-8280']</t>
  </si>
  <si>
    <t>LINESTRING Z (313474.16000000003 7040635.77 31.560000000000002, 313476.04000000004 7040636.44 31.59, 313477.87 7040637.09 31.61, 313481.74 7040638.48 31.66, 313486.51 7040640.25 31.73, 313491.25 7040642.06 31.810000000000002, 313500.76 7040645.7 31.98, 313505.85 7040647.71 32.07, 313508.83999999997 7040648.9 31.900000000000002)</t>
  </si>
  <si>
    <t>POLYGON ((313475.87214924494 7040636.910984208, 313475.87264755485 7040636.9111615, 313477.70181547594 7040637.560865953, 313481.56851507456 7040638.949680537, 313486.3338402346 7040640.717945848, 313491.07145034475 7040642.527033253, 313500.5788058666 7040646.166021066, 313505.66573120555 7040648.174806907, 313508.65510858275 7040649.364559107, 313509.0248914172 7040648.435440893, 313506.0348914172 7040647.245440893, 313506.03364567267 7040647.244947027, 313500.9436456727 7040645.234947028, 313500.93873252015 7040645.23303674, 313491.42873252014 7040641.593036739, 313486.6883664202 7040639.782896778, 313486.6839452104 7040639.781232399, 313481.9139452104 7040638.011232399, 313481.9090152307 7040638.0094324155, 313478.0390152307 7040636.619432415, 313478.0373524452 7040636.6188385, 313476.20760167745 7040635.968927026, 313474.32785075513 7040635.299015792, 313473.99214924494 7040636.240984207, 313475.87214924494 7040636.910984208))</t>
  </si>
  <si>
    <t>['EV6 S83D1 m827-1792', 'EV6 S83D50 m0-48']</t>
  </si>
  <si>
    <t>LINESTRING Z (304928.85 7060348.57 36.65, 304929.82 7060351.64 36.47, 304930.86 7060355.46 36.28, 304932.29000000004 7060361.59 35.980000000000004, 304933.01 7060364.66 35.86, 304933.92 7060368.93 35.6, 304934.77 7060373.16 35.46, 304935.63 7060377.42 35.21, 304936.32 7060381.11 35.09, 304938.38 7060392.05 34.53, 304939.06 7060395.66 34.35, 304941.26 7060406.78 33.730000000000004, 304941.98 7060410.44 33.59, 304942.71 7060413.8 33.4, 304945.15 7060424.05 32.93, 304945.94 7060427.4 32.78, 304946.8 7060430.81 32.61, 304947.75 7060434.25 32.5, 304948.7 7060437.69 32.37, 304949.73 7060441.12 32.21, 304950.71 7060444.42 32.06, 304952.02 7060448.33 31.900000000000002, 304953.43 7060452.33 31.77, 304954.83999999997 7060456.17 31.67, 304956.36 7060459.85 31.54, 304959.74 7060467.4 31.27, 304961.38 7060471.06 31.13, 304963 7060474.05 30.970000000000002, 304964.65 7060477.15 30.810000000000002, 304966.27 7060480.19 30.650000000000002, 304968.13 7060483.53 30.51, 304970.08999999997 7060486.91 30.32, 304972.05 7060490.29 30.14, 304973.93 7060493.57 29.93, 304977.62 7060499.19 29.6, 304979.42 7060501.92 29.48, 304981.78 7060505.25 29.27, 304984.32 7060508.65 29.060000000000002, 304986.79000000004 7060511.99 28.86, 304989.31 7060515.29 28.64, 304991.95 7060518.48 28.400000000000002, 304994.4 7060521.36 28.23, 304996.88 7060524.33 28.01, 304999.44 7060527.15 27.89, 305004.16000000003 7060532.2 27.64, 305006.42 7060534.61 27.47, 305009.33999999997 7060537.48 27.3, 305012.52 7060540.39 27.18, 305015.38 7060543.07 27.01, 305018.19 7060545.73 26.84, 305021.07 7060548.31 26.76, 305023.82 7060550.78 26.66, 305026.45 7060552.96 26.62, 305031.95 7060557.52 26.490000000000002, 305037.32 7060562.11 26.150000000000002, 305063.57 7060580.93 27.05, 305086.27 7060595.87 26.05, 305099.16000000003 7060604.22 25.95, 305112.8 7060613.04 25.87, 305134.36 7060627 25.75, 305140.07 7060630.7 25.72, 305146.07 7060634.58 25.69, 305152.05 7060638.48 25.68, 305158.02 7060642.4 25.7, 305163.97 7060646.37 25.72, 305169.87 7060650.38 25.740000000000002, 305174.36 7060653.51 25.73, 304649.71 7059844.65 64.08, 304653.9 7059847.14 63.92, 304659.58999999997 7059850.61 63.78, 304662.44 7059852.46 63.71, 304665.41000000003 7059854.55 63.620000000000005, 304668.16000000003 7059856.73 63.5, 304670.83 7059859 63.370000000000005, 304673.66000000003 7059861.41 63.230000000000004, 304676.74 7059864.28 63.07, 304679.67 7059867.02 62.92, 304682.69 7059869.94 62.77, 304687.47 7059875.2 62.53, 304689.81 7059877.75 62.45, 304692.19 7059880.43 62.29, 304694.76 7059883.7 62.17, 304697.26 7059886.87 61.97, 304699.77 7059890.09 61.82, 304706.02 7059898.4 61.47, 304708.15 7059901.22 61.300000000000004, 304710.15 7059904.06 61.15, 304714 7059909.62 60.86, 304715.95 7059912.44 60.71, 304718.27 7059915.88 60.480000000000004, 304720.48 7059919.23 60.26, 304722.14 7059921.61 60.13, 304723.89 7059924.12 60, 304726.18 7059927.57 59.800000000000004, 304730.69 7059934.34 59.410000000000004, 304732.97 7059937.74 59.230000000000004, 304735.08 7059940.93 59.050000000000004, 304737.17 7059944.11 58.88, 304739.25 7059947.29 58.68, 304741.28 7059950.41 58.47, 304743.38 7059953.48 58.26, 304745.58999999997 7059956.71 58.03, 304750.17 7059964.16 57.53, 304752.23 7059967.71 57.32, 304754.25 7059971.04 57.33, 304756.21 7059974.73 56.86, 304758.21 7059978.34 56.61, 304759.93 7059981.74 56.38, 304761.65 7059985.23 56.15, 304763.26 7059988.96 55.92, 304764.72 7059992.57 55.76, 304766.21 7059996.36 55.51, 304767.42 7060000.15 55.31, 304768.58999999997 7060003.8 55.120000000000005, 304769.67 7060007.58 54.92, 304770.51 7060010.94 54.76, 304771.28 7060014.21 54.57, 304771.94 7060017.5 54.42, 304772.63 7060020.98 54.24, 304773.17 7060024.66 54.08, 304774.05 7060031.67 53.78, 304774.5 7060035.25 53.63, 304774.88 7060039.24 53.46, 304775.18 7060043.17 53.29, 304775.48 7060047.1 53.13, 304775.76 7060051.12 52.97, 304775.87 7060054.73 52.9, 304776.1 7060061.77 52.68, 304776.2 7060065.29 52.550000000000004, 304776.7 7060077.34 52.27, 304776.89 7060081.79 52.160000000000004, 304776.85 7060085.25 52.08, 304777.41000000003 7060096.05 51.84, 304777.74 7060102.5 51.72, 304778.29000000004 7060110.28 51.550000000000004, 304779.18 7060117.62 51.31, 304779.85 7060122.96 51.160000000000004, 304780.96 7060131.29 50.92, 304782.85 7060141.55 50.67, 304783.68 7060144.98 50.51, 304784.39 7060148.1 50.34, 304785.62 7060152.18 50.2, 304786.83 7060156.16 50.03, 304787.79000000004 7060159.01 49.89, 304788.91000000003 7060161.96 49.77, 304790 7060164.82 49.63, 304791.43 7060168.45 49.39, 304793.08 7060172.02 49.27, 304795.86 7060177.72 48.96, 304797.18 7060180.42 48.75, 304800.23 7060185.52 48.46, 304801.93 7060188.36 48.300000000000004, 304807.42 7060196.16 47.71, 304809.86 7060199.37 47.51, 304812.37 7060202.53 47.32, 304814.85 7060205.71 46.99, 304817.14 7060208.43 46.84, 304819.6 7060210.69 46.64, 304822.5 7060213.42 46.36, 304824.92 7060215.89 46.13, 304829.67 7060220.46 45.65, 304832.02 7060222.74 45.43, 304834.5 7060225.11 45.2, 304848.61 7060237.7 44.04, 304851.69 7060240.76 43.85, 304853.21 7060242.3 43.730000000000004, 304854.53 7060243.65 43.62, 304857.33 7060246.5 43.38, 304863.05 7060252.11 42.97, 304865.92 7060254.93 42.76, 304874.18 7060263.14 42.09, 304876.97 7060265.92 41.87, 304883.81 7060273.36 41.35, 304885.43 7060275.13 41.25, 304886.11 7060275.87 41.21, 304888.75 7060278.88 40.94, 304891.3 7060281.9 40.76, 304893.92 7060284.99 40.43, 304896.5 7060288.23 40.19, 304898.97 7060291.42 39.980000000000004, 304901.47 7060294.68 39.79, 304903.68 7060297.68 39.61, 304905.8 7060300.66 39.37, 304907.9 7060303.77 39.22, 304909.93 7060306.96 39.03, 304911.9 7060310.07 38.83, 304913.86 7060313.4 38.64, 304915.56 7060316.59 38.45, 304917.16000000003 7060319.64 38.24, 304918.7 7060322.82 38.07, 304920.52 7060326.83 37.83, 304922.31 7060330.75 37.6, 304924.07 7060334.84 37.36, 304925.28 7060338.02 37.17, 304926.45 7060341.07 37, 304927.56 7060344.23 36.83, 304928.85 7060348.57 36.65)</t>
  </si>
  <si>
    <t>['EV14 S2D1 m1096-1126']</t>
  </si>
  <si>
    <t>LINESTRING Z (299606.58 7043559.77 10.36, 299607.2 7043559.4 10.36, 299617.03 7043553.28 10.26, 299622.58999999997 7043550.13 10.26, 299632.2 7043544.27 10.1)</t>
  </si>
  <si>
    <t>POLYGON ((299607.4562287543 7043559.829356292, 299607.464261613 7043559.824459421, 299617.28547368065 7043553.709930647, 299622.8364668013 7043550.565033465, 299622.85031161015 7043550.556893271, 299632.4603116102 7043544.696893271, 299631.93968838983 7043543.843106728, 299622.336545418 7043549.698925439, 299616.7835331987 7043552.844966535, 299616.76573838707 7043552.855540579, 299606.93973176694 7043558.973054365, 299606.3237712457 7043559.340643708, 299606.8362287543 7043560.199356291, 299607.4562287543 7043559.829356292))</t>
  </si>
  <si>
    <t>['EV14 S2D1 m2790-3316']</t>
  </si>
  <si>
    <t>LINESTRING Z (301180.62 7043045.62 6.42, 301181.72 7043045.77 6.43, 301184.91000000003 7043046.22 6.46, 301187.75 7043046.64 6.5, 301195.9 7043048.1 6.7, 301197.74 7043048.4 6.74, 301200.18 7043048.88 6.9, 301201.68 7043049.16 6.97, 301209.38 7043050.68 7.19, 301222.32 7043053.59 7.45, 301238.04000000004 7043058 7.97, 301251.32 7043062.45 8.4, 301268.38 7043068.67 8.950000000000001, 301270.63 7043069.73 8.620000000000001, 301272.93 7043070.73 8.67, 301275.22 7043071.72 8.71, 301277.51 7043072.75 8.75, 301279.79000000004 7043073.77 8.8, 301282.04000000004 7043074.83 8.84, 301286.57 7043076.99 8.93, 301288.82 7043078.07 8.98, 301291.05 7043079.2 9.02, 301293.29000000004 7043080.32 9.06, 301295.51 7043081.47 9.11, 301297.72 7043082.63 9.15, 301299.93 7043083.82 9.200000000000001, 301302.13 7043085.01 9.24, 301304.31 7043086.23 9.290000000000001, 301306.49 7043087.45 9.33, 301308.66000000003 7043088.69 9.370000000000001, 301310.82 7043089.93 9.42, 301312.96 7043091.21 9.46, 301315.12 7043092.5 9.51, 301317.25 7043093.8 9.55, 301319.38 7043095.11 9.6, 301321.49 7043096.45 9.64, 301323.6 7043097.79 9.68, 301325.66000000003 7043099.14 9.73, 301327.71 7043100.48 9.77, 301329.75 7043101.86 9.81, 301331.79000000004 7043103.23 9.86, 301333.92 7043104.71 9.9, 301336.04000000004 7043106.19 9.950000000000001, 301338.07 7043107.65 9.99, 301340.1 7043109.11 10.040000000000001, 301342.12 7043110.6 10.08, 301344.12 7043112.08 10.13, 301346.12 7043113.6 10.17, 301348.11 7043115.13 10.22, 301349.92 7043116.54 10.26, 301351.72 7043117.95 10.3, 301353.21 7043119.16 10.33, 301356.29000000004 7043121.66 10.4, 301357.85 7043122.95 10.44, 301359.77 7043124.56 10.48, 301361.68 7043126.17 10.53, 301363.57 7043127.8 10.57, 301365.46 7043129.44 10.620000000000001, 301367.33999999997 7043131.11 10.66, 301369.21 7043132.78 10.700000000000001, 301371.38 7043134.73 10.76, 301373.52 7043136.68 10.81, 301375.97 7043138.94 10.870000000000001, 301378.4 7043141.22 10.93, 301380.83999999997 7043143.52 10.98, 301384.58999999997 7043147.16 11.08, 301388.01 7043150.49 11.16, 301390.36 7043152.8 11.22, 301395.08999999997 7043157.55 11.34, 301397.43 7043159.91 11.4, 301399.75 7043162.3 11.46, 301402.72 7043165.35 11.53, 301406.7 7043169.46 11.63, 301410.2 7043173.11 11.72, 301413.67 7043176.73 11.81, 301417.61 7043180.86 11.91, 301422.08999999997 7043185.58 12.030000000000001, 301425.73 7043189.41 12.120000000000001, 301429.15 7043192.98 12.21, 301432.61 7043196.59 12.3, 301434.36 7043198.41 12.34, 301438.35 7043202.52 12.44, 301441.33999999997 7043205.58 12.52, 301443.67 7043207.95 12.58, 301448.37 7043212.65 12.700000000000001, 301450.78 7043215.04 12.76, 301453.16000000003 7043217.37 12.82, 301455.54000000004 7043219.67 12.870000000000001, 301457.95 7043221.98 12.93, 301460.4 7043224.29 12.99, 301462.82 7043226.55 13.05, 301464.66000000003 7043228.24 13.1, 301466.51 7043229.93 13.14, 301468.37 7043231.6 13.18, 301470.23 7043233.27 13.23, 301472.11 7043234.91 13.27, 301473.99 7043236.55 13.32, 301475.9 7043238.18 13.36, 301477.81 7043239.8 13.41, 301479.69 7043241.35 13.450000000000001, 301481.56 7043242.9 13.49, 301483.47 7043244.44 13.540000000000001, 301485.38 7043245.98 13.58, 301487.06 7043247.28 13.620000000000001, 301490.32 7043249.79 13.69, 301491.91000000003 7043250.99 13.73, 301493.71 7043252.33 13.77, 301495.52 7043253.67 13.8, 301497.56 7043255.13 13.85, 301499.6 7043256.59 13.89, 301501.03 7043257.59 13.92, 301504.31 7043259.84 14, 301506.18 7043261.11 14.040000000000001, 301508.07 7043262.35 14.08, 301509.96 7043263.59 14.120000000000001, 301512.28 7043265.06 14.16, 301514.6 7043266.54 14.21, 301516.52 7043267.72 14.25, 301520.29000000004 7043270 14.33, 301522.16000000003 7043271.12 14.370000000000001, 301523.86 7043272.11 14.4, 301525.55 7043273.08 14.44, 301527.4 7043274.11 14.48, 301529.25 7043275.15 14.51, 301531.46 7043276.34 14.56, 301533.66000000003 7043277.53 14.6, 301535.63 7043278.57 14.64, 301537.63 7043279.62 14.68, 301539.44 7043280.54 14.72, 301543.01 7043282.31 14.790000000000001, 301544.8 7043283.19 14.82, 301547.06 7043284.26 14.870000000000001, 301549.32 7043285.33 14.91, 301551.6 7043286.37 14.96, 301553.88 7043287.4 15, 301556.17 7043288.4 15.05, 301558.46 7043289.41 15.09, 301560.78 7043290.37 15.13, 301564.93 7043292.06 15.21, 301566.79000000004 7043292.81 15.25, 301568.67 7043293.53 15.280000000000001, 301572.64 7043295.04 15.36, 301574.75 7043295.82 15.4, 301577.11 7043296.66 15.44, 301579.46 7043297.5 15.49, 301581.11 7043298.05 15.52, 301582.76 7043298.61 15.55, 301585.63 7043299.55 15.6, 301587.53 7043300.15 15.64, 301589.81 7043300.87 16.37, 301590.4 7043301.05 16.37, 301591.28 7043301.32 16.38, 301592.31 7043301.63 16.39, 301593.27 7043301.91 16.4, 301594.23 7043302.19 16.41, 301595.19 7043302.47 16.42, 301596.16000000003 7043302.75 16.43, 301597.12 7043303.02 16.44, 301598.08 7043303.29 16.45, 301599.05 7043303.56 16.46, 301600.01 7043303.82 16.47, 301600.97 7043304.08 16.48, 301603.39 7043304.72 16.5, 301605.82 7043305.34 16.53, 301608.24 7043305.95 16.55, 301610.68 7043306.53 16.580000000000002, 301613.11 7043307.09 16.6, 301615.55 7043307.63 16.63, 301618 7043308.16 16.65, 301620.45 7043308.67 16.68, 301622.9 7043309.15 16.7, 301623.55 7043309.28 16.71)</t>
  </si>
  <si>
    <t>POLYGON ((301181.65130055347 7043046.265259241, 301184.8385044576 7043046.714864808, 301187.6693237723 7043047.133507101, 301195.81183298386 7043048.592165193, 301195.8195406785 7043048.593483836, 301197.6514913114 7043048.892171441, 301200.08348906995 7043049.370597228, 301200.08825144335 7043049.371510124, 301201.58570686606 7043049.651035137, 301209.27671466966 7043051.169260053, 301222.1975383813 7043054.074947611, 301237.89295031986 7043058.478049816, 301251.15490508854 7043062.922003033, 301268.187423846 7043069.131983493, 301270.41690787434 7043070.182318192, 301270.4306369443 7043070.188535028, 301272.7306369443 7043071.188535028, 301272.7315900585 7043071.188948249, 301275.018234486 7043072.177497586, 301277.3049004613 7043073.2059980035, 301277.30581697007 7043073.206409126, 301279.58134233294 7043074.224407313, 301281.82585340226 7043075.281821418, 301286.3542175721 7043077.441041419, 301288.5987898721 7043078.518436124, 301290.82399638393 7043079.646007136, 301290.82639320224 7043079.647213596, 301293.0631932937 7043080.765613642, 301295.2788177555 7043081.913347034, 301297.48527963436 7043083.071489921, 301299.6925328696 7043084.260010893, 301301.88895564695 7043085.448075941, 301304.06582021737 7043086.666321252, 301306.243870452 7043087.885230098, 301308.4114983448 7043089.123874608, 301310.5671839134 7043090.361397805, 301312.7033421126 7043091.639099905, 301314.8615678316 7043092.928040396, 301316.98878986784 7043094.226344925, 301319.11499297636 7043095.534009748, 301323.328930399 7043098.21015958, 301325.38593789446 7043099.5581984725, 301325.3864303267 7043099.558520769, 301327.4331205404 7043100.8963573, 301329.46984531614 7043102.2741417065, 301329.47124283685 7043102.275083659, 301331.50795052655 7043103.642872647, 301333.63424069865 7043105.120294926, 301335.75090903096 7043106.597969045, 301339.80561687367 7043109.514162863, 301341.82288768556 7043111.002149748, 301343.8200061354 7043112.480017401, 301345.81634719786 7043113.9972366085, 301347.8039814104 7043115.525417686, 301349.61219797237 7043116.934028379, 301351.40821133624 7043118.340905514, 301352.89480176603 7043119.548136668, 301355.9731240841 7043122.046774931, 301357.53004595725 7043123.334229558, 301359.4482389733 7043124.942714325, 301361.3555887282 7043126.55048035, 301363.24287798634 7043128.178142514, 301365.1301129302 7043129.815743206, 301367.0074464794 7043131.483374604, 301368.8763763689 7043133.152418943, 301371.0445138783 7043135.1007452775, 301373.1821061295 7043137.0485513, 301375.6294260451 7043139.306079059, 301378.05745861673 7043141.584233076, 301380.4943747207 7043143.881326125, 301384.2414697147 7043147.518506333, 301387.6603410168 7043150.847407338, 301390.0075878159 7043153.154700999, 301394.7353231287 7043157.902426736, 301397.07307847677 7043160.2601629, 301399.39123172045 7043162.648260422, 301399.39177985466 7043162.648824207, 301402.3612949827 7043165.698326274, 301406.3399580483 7043169.806945671, 301409.839078545 7043173.456028475, 301413.30863459926 7043177.075565339, 301417.2477842441 7043181.204673977, 301421.7273468545 7043185.924213155, 301425.3675711693 7043189.754449333, 301425.3689427503 7043189.755886777, 301428.78894275037 7043193.325886778, 301432.24902671104 7043196.935974399, 301432.2495834675 7043196.936554358, 301433.9995834675 7043198.756554359, 301434.00124814844 7043198.758277345, 301437.99124814844 7043202.868277345, 301437.9923798456 7043202.869439301, 301440.9823798456 7043205.929439302, 301440.9834505567 7043205.930531731, 301443.3134505567 7043208.300531731, 301443.3164466094 7043208.30355339, 301448.0164466094 7043213.0035533905, 301448.01792280475 7043213.005023449, 301450.4279228048 7043215.395023448, 301450.43021953857 7043215.39728648, 301452.8102195386 7043217.72728648, 301452.8125410181 7043217.729544512, 301455.1925410181 7043220.029544512, 301455.194014789 7043220.030962925, 301457.604014789 7043222.340962926, 301457.6069935657 7043222.3437947035, 301460.0569935657 7043224.653794703, 301460.05873328657 7043224.655427189, 301462.47873328655 7043226.915427188, 301462.4817753442 7043226.918244596, 301464.3217753442 7043228.608244596, 301464.32277070003 7043228.609156335, 301466.1727707 7043230.299156334, 301466.1759599128 7043230.302044648, 301469.8959599128 7043233.642044648, 301469.9013156239 7043233.646784528, 301471.7813156239 7043235.286784529, 301473.661315624 7043236.926784528, 301473.6654250019 7043236.930330212, 301475.5754250019 7043238.560330212, 301475.5765816301 7043238.56131425, 301477.4865816301 7043240.18131425, 301477.4919306396 7043240.185787353, 301479.3714252724 7043241.735370694, 301481.2409213244 7043243.284952983, 301481.24616360886 7043243.289238641, 301483.15616360883 7043244.829238641, 301485.06616360886 7043246.369238641, 301485.07400836 7043246.37543535, 301486.75400836 7043247.67543535, 301486.75496845884 7043247.676176424, 301490.01496845885 7043250.186176424, 301490.018796547 7043250.189094575, 301491.60879654705 7043251.389094575, 301491.6114279224 7043251.39106697, 301493.4114279224 7043252.73106697, 301493.41249242745 7043252.731857244, 301495.22249242745 7043254.071857244, 301495.22900395055 7043254.076597219, 301499.3090039505 7043256.996597219, 301499.31346116733 7043256.99975053, 301500.7434611674 7043257.99975053, 301500.7471625392 7043258.002314165, 301504.0271625392 7043260.252314165, 301504.029087041 7043260.253627743, 301505.899087041 7043261.523627743, 301505.9057200965 7043261.5280556595, 301507.7957200965 7043262.768055659, 301509.6857200964 7043264.008055659, 301509.6923873436 7043264.012354668, 301512.0117390982 7043265.481943926, 301514.3310921525 7043266.96153122, 301514.3381989065 7043266.965981441, 301516.25819890655 7043268.14598144, 301516.2612516789 7043268.147842619, 301520.03125167894 7043270.427842619, 301520.0330895318 7043270.428948728, 301521.9030895318 7043271.5489487285, 301521.9083806098 7043271.5520737, 301523.6083806098 7043272.542073701, 301523.611101981 7043272.543647065, 301525.301101981 7043273.513647065, 301525.3067776471 7043273.516855682, 301527.1558784631 7043274.546355056, 301529.0049812434 7043275.585850673, 301529.01295008854 7043275.59023555, 301531.2225328054 7043276.780010859, 301533.422116059 7043277.969785437, 301533.4265719276 7043277.972166637, 301535.3965719276 7043279.012166637, 301535.39758305054 7043279.012698952, 301537.39758305054 7043280.062698952, 301537.4034429926 7043280.065726287, 301539.2134429926 7043280.985726287, 301539.2179002309 7043280.987963941, 301542.7879002309 7043282.7579639405, 301542.78940635565 7043282.758707526, 301544.5794063556 7043283.638707527, 301544.58604278724 7043283.641909627, 301546.84604278725 7043284.711909627, 301549.10604278714 7043285.781909627, 301549.11249741004 7043285.784909524, 301551.39249741 7043286.824909524, 301551.3941530931 7043286.825661114, 301553.67415309313 7043287.855661115, 301553.6799055331 7043287.8582163295, 301555.9690665272 7043288.857849952, 301558.25822908175 7043289.867480597, 301558.26882410364 7043289.872008417, 301560.58882410364 7043290.832008417, 301560.5914224475 7043290.833075055, 301564.7414224475 7043292.523075054, 301564.74301583227 7043292.523720736, 301566.6030158323 7043293.273720736, 301566.61117636657 7043293.2769283755, 301568.4911763665 7043293.996928376, 301568.492247119 7043293.997337045, 301572.46224711905 7043295.507337045, 301572.4666324178 7043295.508981536, 301574.5766324178 7043296.288981536, 301574.58233766723 7043296.291051316, 301576.9420209311 7043297.130938579, 301579.2917048883 7043297.970825611, 301579.3018861171 7043297.974341649, 301580.9505948196 7043298.523911216, 301582.59930587624 7043299.083473757, 301582.6043717142 7043299.085162958, 301585.47437171417 7043300.025162958, 301585.47943431593 7043300.026791332, 301587.37943431595 7043300.626791333, 301589.6594343161 7043301.346791333, 301589.66409667867 7043301.348238666, 301590.2537181024 7043301.528123167, 301591.13333882304 7043301.798006798, 301591.1358996558 7043301.798785016, 301592.1658996558 7043302.1087850155, 301592.16999999987 7043302.109999999, 301593.1299999999 7043302.39, 301594.08999999985 7043302.67, 301595.05000000034 7043302.95, 301595.05133175344 7043302.950386425, 301596.02133175347 7043303.230386425, 301596.0246272118 7043303.23132547, 301596.98462721176 7043303.501325469, 301597.9446272113 7043303.77132547, 301597.9459219687 7043303.771687743, 301598.9159219687 7043304.041687743, 301598.9192922618 7043304.042613185, 301599.87929226184 7043304.302613186, 301600.8392922622 7043304.562613186, 301600.84216352616 7043304.563381667, 301603.2621635262 7043305.203381667, 301603.266388027 7043305.204479184, 301605.696388027 7043305.824479184, 301605.697789617 7043305.824834634, 301608.117789617 7043306.434834634, 301608.1243694277 7043306.4364458565, 301610.5643694277 7043307.016445857, 301610.5677166887 7043307.017229369, 301612.99771668867 7043307.5772293685, 301613.0019585041 7043307.5781875, 301615.4419585041 7043308.1181875, 301615.44428210176 7043308.118695945, 301617.89428210177 7043308.648695945, 301617.89810266084 7043308.649506826, 301620.34810266085 7043309.159506826, 301620.35386840184 7043309.160671699, 301622.80290479155 7043309.64048291, 301623.4519419325 7043309.770290338, 301623.6480580675 7043308.789709662, 301622.9980580675 7043308.659709662, 301622.9961315982 7043308.659328301, 301620.5490178894 7043308.179893779, 301618.1038092142 7043307.670891156, 301615.6568802872 7043307.14155551, 301613.22016442113 7043306.602282328, 301610.79395838355 7043306.043156656, 301608.35892589716 7043305.464337459, 301605.9429114488 7043304.855342081, 301603.5157266563 7043304.236060364, 301601.0992732729 7043303.5969983125, 301600.14070773777 7043303.337386814, 301599.1823946236 7043303.077843679, 301598.2147254626 7043302.80849247, 301597.2553727887 7043302.53867453, 301596.2970221216 7043302.269138405, 301595.3293345946 7043301.989805923, 301594.36999999965 7043301.71, 301593.41000000015 7043301.430000001, 301592.45205286384 7043301.150598752, 301591.42538166116 7043300.841600624, 301590.546661177 7043300.571993202, 301590.54590332136 7043300.571761334, 301589.9582379904 7043300.392473606, 301587.6805656839 7043299.673208668, 301585.78310130304 7043299.074009389, 301582.91816569417 7043298.13566811, 301581.27069412376 7043297.576526243, 301581.2681138829 7043297.575658351, 301579.6232234656 7043297.027361546, 301577.2782951117 7043296.1891743895, 301577.27766233275 7043296.188948684, 301574.92052122625 7043295.349966257, 301572.81556412735 7043294.571830457, 301568.84828844224 7043293.062866658, 301566.9729179624 7043292.3446396645, 301565.1177813155 7043291.596600694, 301560.96987834136 7043289.907454664, 301558.65649949224 7043288.950194451, 301556.37177091825 7043287.942519403, 301556.3700944669 7043287.941783671, 301554.0829787442 7043286.943043181, 301551.8066753476 7043285.914713138, 301549.53074057394 7043284.876567451, 301547.27395721286 7043283.808090373, 301545.0172872632 7043282.73966699, 301543.23134719144 7043281.861662932, 301539.664334004 7043280.093143789, 301537.85949697223 7043279.175768061, 301535.86292253126 7043278.127566479, 301533.8956620358 7043277.089012715, 301531.69788394106 7043275.900214563, 301531.6970499115 7043275.89976445, 301529.49105428084 7043274.71192065, 301527.6450187566 7043273.674149328, 301527.6432223529 7043273.673144318, 301525.79607067304 7043272.6447301395, 301524.1102611202 7043271.677135307, 301522.4142745504 7043270.68947254, 301520.5478305744 7043269.571602351, 301516.7802780401 7043267.293082516, 301514.86537310743 7043266.11621386, 301512.5489078475 7043264.63846878, 301512.54761265643 7043264.637645331, 301510.2309633282 7043263.1697683865, 301508.3442799036 7043261.9319443405, 301506.45761411596 7043260.694131867, 301504.5918767515 7043259.427026811, 301501.31469388574 7043257.178959297, 301499.88877603307 7043256.181813945, 301495.81427092635 7043253.265746565, 301494.00804030936 7043251.928537158, 301492.2098909975 7043250.589914893, 301490.6231245191 7043249.3923552865, 301487.36551199807 7043246.884193499, 301485.6899449906 7043245.587623791, 301483.7838363911 7043244.05076136, 301481.8764720692 7043242.512886462, 301480.0090786756 7043240.965047017, 301480.0080693604 7043240.964212647, 301478.13075946335 7043239.416430551, 301476.2239974637 7043237.799176917, 301474.3166393183 7043236.171431485, 301472.43868437596 7043234.533215472, 301470.5613791766 7043232.895566255, 301466.845640919 7043229.559392658, 301464.9977276075 7043227.871298877, 301463.1597514986 7043226.183157776, 301460.74213853414 7043223.925386991, 301458.2945016306 7043221.617615053, 301455.88672360306 7043219.309744827, 301453.5086233845 7043217.011580751, 301451.13093248825 7043214.683841344, 301448.72281671874 7043212.295709939, 301444.0250578555 7043207.597951075, 301441.6970857453 7043205.230013778, 301438.70818693563 7043202.171140748, 301434.7195862634 7043198.062582162, 301432.9706949965 7043196.243735244, 301429.5110158384 7043192.634069996, 301426.09174449125 7043189.064830607, 301422.45254079043 7043185.235668471, 301417.97265314544 7043180.515786845, 301417.9717771919 7043180.514866311, 301414.0317771919 7043176.384866311, 301414.03095259145 7043176.384004008, 301410.5609525915 7043172.764004008, 301407.06089118577 7043169.113939959, 301407.0591883465 7043169.112172842, 301403.07918834646 7043165.002172842, 301403.0782201453 7043165.001175793, 301400.108494599 7043161.951457639, 301397.78876827954 7043159.561739578, 301397.78505465854 7043159.55795428, 301395.4450546585 7043157.197954279, 301395.4442984953 7043157.197193287, 301390.7142984953 7043152.447193287, 301390.7105056851 7043152.443424952, 301388.36050568515 7043150.133424953, 301388.3588083416 7043150.131764406, 301384.93880834157 7043146.801764406, 301384.93825217785 7043146.801223718, 301381.18825217785 7043143.161223717, 301381.1829613238 7043143.156162769, 301378.7429613239 7043140.856162769, 301378.7421202764 7043140.8553718105, 301376.3121202763 7043138.575371811, 301376.30901542556 7043138.572483278, 301373.8590154256 7043136.312483277, 301373.8567659676 7043136.310420938, 301371.7167659676 7043134.360420939, 301371.7141982068 7043134.358097381, 301369.5441982068 7043132.408097381, 301369.54304751393 7043132.407066557, 301367.6730475139 7043130.737066557, 301367.6720584849 7043130.736185658, 301365.792058485 7043129.066185658, 301365.78769342246 7043129.062353312, 301363.89769342245 7043127.422353311, 301363.896549064 7043127.421363355, 301362.006549064 7043125.791363355, 301362.0022527453 7043125.7877001595, 301360.09225274535 7043124.177700159, 301360.0912683413 7043124.176872537, 301358.17126834125 7043122.566872537, 301358.1686321799 7043122.564677364, 301356.60863217997 7043121.274677364, 301356.60510646953 7043121.27178883, 301353.5251525623 7043118.771826243, 301352.03519823396 7043117.561863332, 301352.0283309876 7043117.5563859735, 301350.2283309876 7043116.146385973, 301350.2272719571 7043116.145558693, 301348.4172719571 7043114.735558693, 301348.41475910915 7043114.733613969, 301346.42475910916 7043113.203613969, 301346.4225416337 7043113.201918903, 301344.4225416337 7043111.681918903, 301344.41742150276 7043111.678079051, 301342.41742150276 7043110.1980790505, 301342.41680332687 7043110.197622335, 301340.39680332685 7043108.707622335, 301340.3919416175 7043108.704081176, 301336.33194161754 7043105.784081176, 301336.32621178403 7043105.780020959, 301334.206211784 7043104.300020958, 301334.20530627394 7043104.299390295, 301332.075306274 7043102.819390295, 301332.0687571632 7043102.814916342, 301330.02945667243 7043101.44538611, 301327.9901546839 7043100.065858294, 301327.9835696734 7043100.061479231, 301325.9338160032 7043098.721640246, 301323.87406210555 7043097.371801527, 301323.8680493256 7043097.36792233, 301319.6480493256 7043094.687922331, 301319.6419371427 7043094.684102204, 301317.5119371427 7043093.374102203, 301317.51048181596 7043093.373210562, 301315.38048181596 7043092.073210563, 301315.3763705595 7043092.070728365, 301313.21651399066 7043090.780814026, 301311.07665788743 7043089.500900094, 301311.0689337592 7043089.496373451, 301308.9089337592 7043088.256373452, 301308.90806946927 7043088.255878429, 301306.7380694692 7043087.015878429, 301306.73417978245 7043087.013678749, 301304.55417978246 7043085.793678749, 301302.37417978264 7043084.573678749, 301302.36788394087 7043084.570214563, 301300.16788394086 7043083.380214564, 301300.1670499116 7043083.379764451, 301297.95704991155 7043082.18976445, 301297.9523776883 7043082.187280439, 301295.74237768835 7043081.027280439, 301295.7399834417 7043081.026031964, 301293.51998344174 7043079.876031965, 301293.5136067978 7043079.872786405, 301291.27480680135 7043078.753386406, 301289.04600361607 7043077.623992864, 301289.03636553383 7043077.619238472, 301286.78636553383 7043076.539238472, 301286.7851988 7043076.5386802945, 301282.2551988 7043074.378680294, 301282.2530921257 7043074.377681809, 301280.0030921257 7043073.317681808, 301279.99418303 7043073.313590874, 301277.71464163996 7043072.293796042, 301275.4250995387 7043071.264001996, 301275.4184099415 7043071.261051751, 301273.12888646894 7043070.271257761, 301270.83627446764 7043069.274469934, 301268.59309212567 7043068.217681808, 301268.55126942537 7043068.200248168, 301251.4912694254 7043061.980248168, 301251.4788633779 7043061.975908841, 301238.1988633779 7043057.525908841, 301238.1750534892 7043057.518584841, 301222.4550534892 7043053.108584841, 301222.4297022741 7043053.102183015, 301209.4897022741 7043050.192183015, 301209.47683265194 7043050.189466171, 301201.7768326519 7043048.669466171, 301201.77174855664 7043048.668489876, 301200.2741320237 7043048.38893479, 301197.83651093004 7043047.909402772, 301197.8204593215 7043047.906516164, 301195.9843183461 7043047.607145351, 301187.83816701616 7043046.147834807, 301187.8231480898 7043046.145379582, 301184.98314808984 7043045.7253795825, 301184.97984143137 7043045.724901853, 301181.7898414313 7043045.274901853, 301181.7875566021 7043045.2745849155, 301180.6875566021 7043045.124584916, 301180.5524433979 7043046.115415084, 301181.65130055347 7043046.265259241))</t>
  </si>
  <si>
    <t>['EV14 S4D1 m4764-4802']</t>
  </si>
  <si>
    <t>LINESTRING Z (318386.17 7042255.09 43.07, 318386.91000000003 7042255.01 43.07, 318392.2 7042254.53 43.1, 318397.4 7042253.84 43.11, 318401.98 7042253.14 43.11, 318406.56 7042252.38 43.12, 318410.56 7042251.61 43.12, 318418.58999999997 7042250.07 43.1, 318422.98 7042248.94 43.06, 318423.62 7042248.79 43.050000000000004)</t>
  </si>
  <si>
    <t>POLYGON ((318386.9594655956 7042255.507565721, 318392.2451829999 7042255.027954312, 318392.265769669 7042255.025655476, 318397.465769669 7042254.335655476, 318397.4755419925 7042254.334260465, 318402.0555419925 7042253.634260464, 318402.06185018347 7042253.633255052, 318406.6418501835 7042252.873255053, 318406.65451474814 7042252.8709857045, 318410.6543445112 7042252.101018475, 318418.68417419115 7042250.56105114, 318418.71463875484 7042250.554216048, 318423.0993812533 7042249.425569345, 318423.73409566167 7042249.276808156, 318423.5059043383 7042248.303191844, 318422.8659043383 7042248.453191845, 318422.8553612451 7042248.455783953, 318418.4804867707 7042249.581890594, 318410.4658258088 7042251.118948861, 318406.471802928 7042251.887798143, 318401.90130071033 7042252.646222091, 318397.32933731715 7042253.344993789, 318392.14449984446 7042254.032981839, 318386.86481700017 7042254.512045688, 318386.8562590785 7042254.512896476, 318386.11625907844 7042254.592896476, 318386.22374092153 7042255.587103523, 318386.9594655956 7042255.507565721))</t>
  </si>
  <si>
    <t>['EV6 S70D1 m7251-7382']</t>
  </si>
  <si>
    <t>LINESTRING Z (260829.96 7009590.13 42.32, 260830.71 7009591.89 42.32, 260833.97 7009599.2 42.32, 260836.06 7009604.05 42.32, 260837.41999999998 7009607.54 42.32, 260839.62 7009612.47 42.17, 260840.31 7009614.53 42.12, 260842.52000000002 7009620.24 42.12, 260843.81 7009622.89 42.12, 260844.68 7009625.88 42.12, 260846.03 7009629.54 42.12, 260848.37 7009635.32 42.12, 260849.27000000002 7009637.54 42.12, 260852.4 7009646 42.12, 260855.5 7009654.2 42.12, 260858.2 7009662.9 42.22, 260861 7009672 42.32, 260863.7 7009681.1 42.42, 260866.5 7009689.9 42.42, 260869.3 7009700 42.42, 260871.9 7009708.4 42.42, 260873.18 7009712.72 42.37)</t>
  </si>
  <si>
    <t>POLYGON ((260830.25002291513 7009592.086012962, 260830.2533521971 7009592.093648678, 260833.51206796514 7009599.400769005, 260835.59732748973 7009604.239768379, 260836.95412303339 7009607.721545179, 260836.96340028208 7009607.743756467, 260839.1535590707 7009612.651703206, 260839.83588900443 7009614.688804168, 260839.84370708308 7009614.710474142, 260842.0537070831 7009620.420474142, 260842.07043657996 7009620.458844081, 260843.3418037908 7009623.07056742, 260844.1999101825 7009626.019691686, 260844.21089412397 7009626.053030856, 260845.56089412398 7009629.713030856, 260845.56653987383 7009629.727629186, 260847.90653987383 7009635.507629186, 260848.8037373572 7009637.720716466, 260851.93106547088 7009646.17349469, 260851.9323058682 7009646.176811196, 260855.02695386895 7009654.362654295, 260857.7222885154 7009663.0476214895, 260860.5213701768 7009672.144636888, 260863.22065411755 7009681.242223503, 260863.22353711 7009681.251601828, 260866.02068539732 7009690.042639304, 260868.8181727618 7009700.133575868, 260868.82235705465 7009700.147841864, 260871.4214614373 7009708.544948332, 260872.70060094364 7009712.862044165, 260873.65939905634 7009712.577955835, 260872.37939905634 7009708.257955835, 260872.37764294533 7009708.252158136, 260869.7798411485 7009699.859260023, 260866.9818272382 7009689.7664241325, 260866.97646289002 7009689.748398172, 260864.1779503952 7009680.953073188, 260861.47934588246 7009671.857776497, 260861.47788950437 7009671.852957075, 260858.67788950438 7009662.752957076, 260858.67753206842 7009662.751800393, 260855.9775320684 7009654.051800393, 260855.9676941318 7009654.023188804, 260852.86832021023 7009645.824844883, 260849.73893452913 7009637.36650531, 260849.7333696341 7009637.352147446, 260848.83341489898 7009635.1322591, 260846.49639726436 7009629.359625797, 260845.15518334263 7009625.723445831, 260844.29008981748 7009622.750308313, 260844.27650837164 7009622.710083521, 260844.25956342006 7009622.671155919, 260842.9787319258 7009620.039990447, 260840.7804516277 7009614.360270763, 260840.09411099556 7009612.311195832, 260840.0765997179 7009612.266243533, 260837.88150574366 7009607.347237491, 260836.5258769666 7009603.8684548205, 260836.51917984206 7009603.852126624, 260834.42917984206 7009599.002126625, 260834.4266478029 7009598.996351322, 260831.1683442512 7009591.690155321, 260830.41997708485 7009589.933987037, 260829.50002291513 7009590.3260129625, 260830.25002291513 7009592.086012962))</t>
  </si>
  <si>
    <t>['EV6 S65D1 m9311-10780', 'EV6 S66D1 m0-400']</t>
  </si>
  <si>
    <t>LINESTRING Z (246363.58000000002 6975071.66 446.31, 246353.3 6975087.6 446.21000000000004, 246350.61 6975091.84 446.24, 246343.1 6975104.1 446.01, 246333.6 6975119.8 445.71000000000004, 246323.9 6975136.9 445.71000000000004, 246312.2 6975158 445.51, 246301.4 6975179.2 445.21000000000004, 246295.5 6975190.9 445.01, 246292.4 6975197.1 444.91, 246282.2 6975218.2 444.51, 246276.1 6975231 444.41, 246272.8 6975238 444.21000000000004, 246262 6975260.2 443.91, 246252.3 6975281 443.61, 246242.2 6975302 443.41, 246233.23 6975320.54 443.28000000000003, 246232 6975323.5 443.21000000000004, 246223.91 6975340.89 442.90000000000003, 246218.8 6975351.4 442.71000000000004, 246208.5 6975372.5 442.41, 246198.5 6975393.5 442.21000000000004, 246189.3 6975413 442.01, 246182.4 6975427.3 442.01, 246173.9 6975445.2 441.91, 246167.73 6975458.42 441.81, 246163.9 6975466.4 441.71000000000004, 246154 6975487.5 441.41, 246144 6975508.4 441.21000000000004, 246133.5 6975530.1 441.01, 246123.4 6975551.1 440.61, 246113.7 6975570.4 440.41, 246104.6 6975588.1 440.21000000000004, 246093.6 6975609.1 439.91, 246084.7 6975625.4 439.71000000000004, 246076.6 6975639.7 439.51, 246066.2 6975656.8 439.31, 246057.1 6975671.2 439.11, 246050.2 6975681.5 439.11, 246042.3 6975693.2 439.01, 246035.76 6975702.21 438.91, 246034 6975704.9 438.91, 246025.9 6975716 438.81, 246016.7 6975728.1 438.61, 246010.5 6975736.4 438.41, 245999.4 6975750.6 438.31, 245989.7 6975763.19 438.02, 245989.1 6975763.8 438.01, 245982.9 6975771.9 437.91, 245980.2 6975775.5 437.91, 245967.7 6975791.6 437.71000000000004, 245957.8 6975804.1 437.51, 245950.6 6975813.5 437.31, 245940.24 6975826.83 437.21000000000004, 245935.3 6975833 437.11, 245931.85 6975837.49 436.8, 245923.8 6975847.7 436.81, 245917.3 6975856.4 436.61, 245912 6975863.5 436.51, 245905.8 6975871.9 436.31, 245902.1 6975876.9 436.31, 245899.2 6975881.2 436.21000000000004, 245895 6975887.3 436.11, 245889.5 6975895.5 435.91, 245884.1 6975903.8 435.81, 245878.9 6975911.9 435.71000000000004, 245874.9 6975918.3 435.61, 245870.3 6975925.9 435.41, 245863.6 6975937.4 435.31, 245859 6975945.4 435.21000000000004, 245854.4 6975954.1 435.11, 245850.7 6975960.9 434.91, 245849.5 6975963 434.91, 245846.2 6975969.3 434.71000000000004, 245842.3 6975977.4 434.61, 245838.3 6975986.1 434.41, 245835.1 6975994.1 434.21000000000004, 245834.1 6975996.9 434.21000000000004, 245832.5 6976001.5 434.11, 245829.6 6976010.6 433.91, 245827.3 6976019.4 433.71000000000004, 245825.3 6976029.3 433.41, 245824 6976036.9 433.21000000000004, 245823 6976046.5 432.81, 245822.5 6976055.1 432.51, 245822.4 6976065.8 432.11, 245822.8 6976077.7 431.71000000000004, 245824.3 6976089.9 431.41, 245826.4 6976101.9 430.91, 245829.1 6976113.4 430.61, 245831.6 6976122.5 430.11, 245835.4 6976134.4 429.71000000000004, 245838.8 6976143.2 429.31, 245842.6 6976151.4 428.91, 245849.1 6976164.3 428.41, 245852.02 6976170.08 428.21000000000004, 245856.43 6976177.97 427.91, 245857.58000000002 6976180.2 427.61, 245861.4 6976186.8 427.51, 245867.2 6976196.4 427.21000000000004, 245873.8 6976207.3 426.91, 245881.5 6976221 426.61, 245884.6 6976227.1 426.51, 245888.61 6976235 426.34000000000003, 245891.5 6976240.7 426.21000000000004, 245900.4 6976258.2 426.21000000000004, 245906.75 6976271.52 426.11, 245912.4 6976282.14 426.21000000000004, 245916.07 6976289.87 426.31, 245923 6976304.7 426.41, 245926.33000000002 6976313 426.62, 245929.3 6976320.4 426.81, 245935.4 6976337.6 427.01, 245937.89 6976344.81 427.18, 245941.3 6976354.7 427.41, 245944.05 6976363.85 427.62, 245945.2 6976367.7 427.71000000000004, 245945.7 6976369.4 427.71000000000004, 245948.2 6976377.8 427.91, 245950.6 6976386.3 428.01, 245955.77 6976402.24 428.37, 245956.78 6976406.07 428.71000000000004, 245958.1 6976409.8 428.81, 245960.17 6976415.4 428.83, 245963.5 6976425.7 429.11, 245968.8 6976442 429.51, 245972.9 6976454.3 429.91, 245975 6976460.4 430.01, 245980.7 6976478.1 430.61, 245987.4 6976498.4 431.01, 245993 6976515.4 431.51, 246000.4 6976536.8 432.11, 246004.26 6976548.43 432.52, 246008.2 6976560.1 432.61, 246014.5 6976578.7 433.01, 246021.5 6976600 433.01, 246027.5 6976617.5 433.11, 246033.1 6976634 433.11, 246038.5 6976650.9 433.31, 246042.2 6976662.3 433.51, 246043.6 6976666.8 433.51, 246049.2 6976683.8 433.81, 246053.7 6976697.8 433.91, 246057.4 6976709.1 433.91, 246063.1 6976726.2 434.01, 246069.25 6976744.6 434.2, 246070.33000000002 6976748.01 434.21000000000004)</t>
  </si>
  <si>
    <t>POLYGON ((246352.87980519678 6975087.329008621, 246352.87780064027 6975087.332142387, 246350.18780064027 6975091.572142387, 246350.18363441032 6975091.578824993, 246342.67363441034 6975103.838824993, 246342.67221820058 6975103.84115114, 246333.17221820058 6975119.54115114, 246333.16509803935 6975119.553301226, 246323.46509803933 6975136.653301227, 246323.46272599525 6975136.6575305285, 246311.76272599527 6975157.757530528, 246311.75448025158 6975157.7730371095, 246300.95448025156 6975178.97303711, 246300.9535521678 6975178.974868188, 246295.0535521678 6975190.674868188, 246295.0527864045 6975190.6763932025, 246291.9527864045 6975196.876393202, 246291.94983945612 6975196.882386846, 246281.74983945614 6975217.982386846, 246281.7486349423 6975217.9848963395, 246275.6486349423 6975230.784896339, 246275.64773717851 6975230.786790384, 246272.34904289548 6975237.784020681, 246261.55038245564 6975259.981267141, 246261.54685278822 6975259.988676541, 246251.84811331407 6975280.785973557, 246241.74965800467 6975301.782761824, 246232.7799111635 6975320.322238573, 246232.76827715058 6975320.348135438, 246231.54226841827 6975323.298530436, 246223.45846096327 6975340.675219143, 246218.35050459893 6975351.181015893, 246208.05067719295 6975372.280662326, 246208.04856974058 6975372.28503321, 246198.04856974058 6975393.28503321, 246198.04780108758 6975393.286654872, 246188.84873277086 6975412.784680109, 246181.94968167634 6975427.082713536, 246181.94833680306 6975427.085523062, 246173.44833680306 6975444.985523063, 246173.44691718614 6975444.9885385055, 246167.27806022682 6975458.206089397, 246163.44922965692 6975466.18365283, 246163.44734785362 6975466.187618188, 246153.54815214456 6975487.285903991, 246143.54944275794 6975508.183206609, 246133.0499203743 6975529.882219535, 246133.0494060199 6975529.8832857525, 246122.95129411272 6975550.879360015, 246113.25427925645 6975570.173420503, 246104.15619910517 6975587.869686291, 246093.15908684517 6975608.864173333, 246084.26302370284 6975625.156963133, 246076.1687709486 6975639.446816761, 246065.77503350592 6975656.536519672, 246056.68088635203 6975670.927258025, 246049.78510521306 6975681.220960305, 246041.89037028517 6975692.913162666, 246035.35536024265 6975701.916288123, 246035.34159741437 6975701.936249609, 246033.5885832207 6975704.6155724395, 246025.49900460476 6975715.701291284, 246016.30198229774 6975727.797374969, 246016.29942159588 6975727.800772758, 246010.10269911494 6975736.096385112, 245999.0060719437 6975750.292070322, 245999.0039220234 6975750.294840638, 245989.32235634414 6975762.86091403, 245988.743536854 6975763.449380511, 245988.70296025713 6975763.496093037, 245982.50296025712 6975771.596093037, 245982.5 6975771.600000001, 245979.80250228048 6975775.1966636265, 245967.30654111155 6975791.291461611, 245957.40804067955 6975803.7895682175, 245957.40306092697 6975803.795961561, 245950.20413167265 6975813.194563643, 245939.84743017558 6975826.520319527, 245934.90968905887 6975832.687498209, 245934.9035239327 6975832.695358033, 245931.4554274847 6975837.182880657, 245923.40736182153 6975847.390427293, 245923.39944819306 6975847.400737156, 245916.89944819306 6975856.100737156, 245911.59932381994 6975863.200903697, 245911.5977129602 6975863.203073852, 245905.39789595766 6975871.60282592, 245901.6980790504 6975876.6025784975, 245901.6854639356 6975876.620429167, 245898.78681046815 6975880.918432584, 245894.5881761225 6975887.016449133, 245894.58475556437 6975887.02148239, 245889.08475556437 6975895.221482391, 245889.08089359527 6975895.227328363, 245883.68089359527 6975903.527328363, 245883.6792420685 6975903.529883797, 245878.47924206848 6975911.629883798, 245878.476000848 6975911.635000531, 245874.476000848 6975918.03500053, 245874.47224996047 6975918.04109866, 245869.87224996046 6975925.64109866, 245869.8679743577 6975925.648298104, 245863.16797435773 6975937.148298104, 245863.1665468485 6975937.150764438, 245858.56654684848 6975945.150764438, 245858.55798251985 6975945.166289609, 245853.95937835186 6975953.863649665, 245850.26329465245 6975960.656452141, 245849.06587842896 6975962.751930531, 245849.05708423237 6975962.767996503, 245845.75708423238 6975969.067996503, 245845.74949916513 6975969.08309219, 245841.8494991651 6975977.183092191, 245841.84571513234 6975977.191133395, 245837.84571513234 6975985.891133394, 245837.83576165454 6975985.914304662, 245834.63576165456 6975993.914304662, 245834.6291290442 6975993.931831801, 245833.6291290442 6975996.731831802, 245833.62775160166 6975996.735739687, 245832.02775160165 6976001.335739687, 245832.02360591266 6976001.348182104, 245829.12360591267 6976010.448182103, 245829.11624979248 6976010.473565286, 245826.81624979246 6976019.273565287, 245826.80990099008 6976019.300990099, 245824.80990099008 6976029.2009900985, 245824.80715805013 6976029.215698088, 245823.50715805014 6976036.815698088, 245823.50269079555 6976036.848196958, 245822.50269079555 6976046.448196958, 245822.50084291506 6976046.470979239, 245822.00084291506 6976055.0709792385, 245822.00002183454 6976055.095327307, 245821.90002183453 6976065.795327307, 245821.9002822268 6976065.816797236, 245822.3002822268 6976077.716797236, 245822.30373691107 6976077.7610159535, 245823.80373691107 6976089.961015954, 245823.8074847664 6976089.986190166, 245825.90748476642 6976101.986190166, 245825.91323596178 6976102.014283731, 245828.6132359618 6976113.514283731, 245828.61786345515 6976113.532455095, 245831.11786345515 6976122.632455095, 245831.12369506725 6976122.652097373, 245834.92369506723 6976134.552097374, 245834.9336009328 6976134.58019964, 245838.3336009328 6976143.38019964, 245838.3463446967 6976143.410230506, 245842.14634469672 6976151.610230506, 245842.15348082557 6976151.624990282, 245848.65348082557 6976164.524990281, 245848.6537167833 6976164.525457957, 245851.57371678328 6976170.305457957, 245851.5835490454 6976170.323947872, 245855.98945609294 6976178.206625107, 245857.13561110004 6976180.429169164, 245857.14725693347 6976180.450466442, 245860.96725693345 6976187.050466442, 245860.97204222903 6976187.05855782, 245866.77204222904 6976196.65855782, 245873.36809806537 6976207.552044437, 245881.0589991959 6976221.23585554, 245884.15420305484 6976227.326417971, 245888.16409714764 6976235.226209327, 245891.05404521534 6976240.9261069, 245891.0543248755 6976240.926657635, 245899.95142066776 6976258.420947114, 245906.29866373225 6976271.735164061, 245906.30858213984 6976271.754840951, 245911.95321898855 6976282.364760126, 245915.61766544526 6976290.083062881, 245922.54113168526 6976304.899080823, 245925.8659546947 6976313.186177213, 245928.8321730162 6976320.57675486, 245934.92806613597 6976337.765174803, 245937.41734921563 6976344.973098901, 245940.8240426563 6976354.85350891, 245943.57103710834 6976363.993508632, 245944.72061446548 6976367.842093698, 245945.22031724922 6976369.541083163, 245945.22077396078 6976369.542626798, 245947.71976972712 6976377.939252572, 245950.1188131048 6976386.435864535, 245950.12439095706 6976386.454259645, 245955.29008612866 6976402.380987119, 245956.29652820085 6976406.197495175, 245956.30864497757 6976406.236806603, 245957.62864497758 6976409.966806603, 245957.63101459123 6976409.973357107, 245959.69742807388 6976415.563654452, 245963.02424592085 6976425.853811756, 245963.02450440772 6976425.854608997, 245968.3245044077 6976442.154608997, 245968.32565835095 6976442.158113883, 245972.42565835096 6976454.458113883, 245972.42723120705 6976454.46275647, 245974.5256029934 6976460.558026898, 245980.2240697211 6976478.253265683, 245980.22519263646 6976478.256709819, 245986.92514744797 6976498.556572905, 245992.52510260948 6976515.556436788, 245992.52745448193 6976515.563403591, 245999.92643621197 6976536.9604588635, 246003.78545472812 6976548.587501698, 246003.78627077487 6976548.589939429, 246007.72627077487 6976560.259939429, 246014.02570090874 6976578.8582577165, 246021.0249935741 6976600.156105398, 246021.02702702704 6976600.162162162, 246027.0267755145 6976617.661428584, 246032.625086248 6976634.156451281, 246038.0237225257 6976651.052183336, 246038.02442168863 6976651.054354365, 246041.7234788752 6976662.45144948, 246043.12257161184 6976666.948533276, 246043.12510260948 6976666.956436788, 246048.72453797382 6976683.954722716, 246053.22398571938 6976697.95300459, 246053.2248240418 6976697.955588588, 246056.92482404178 6976709.255588587, 246056.92565835096 6976709.2581138825, 246062.62565835097 6976726.358113883, 246068.7745316422 6976744.754743441, 246069.85333559292 6976748.160967026, 246070.8066644071 6976747.859032974, 246069.7266644071 6976744.4490329735, 246069.72421262937 6976744.4414995825, 246063.57427717265 6976726.041692688, 246057.87476215756 6976708.943147643, 246054.1755986381 6976697.6457023, 246049.67601428065 6976683.646995409, 246049.67489739053 6976683.643563212, 246044.07619568304 6976666.647504457, 246042.67742838818 6976662.1514667235, 246042.67557831138 6976662.145645635, 246038.97593036605 6976650.746730344, 246033.57627747432 6976633.847816665, 246033.57347375707 6976633.839305877, 246027.97347375707 6976617.339305877, 246027.97297297296 6976617.337837838, 246021.9740090467 6976599.84085972, 246014.9750064259 6976578.543894602, 246014.97357228782 6976578.539596483, 246008.67365081908 6976559.939828336, 246004.73414039225 6976548.271278418, 246000.8745452719 6976536.642498301, 246000.87254551807 6976536.63659641, 245993.47374707295 6976515.240071177, 245987.87489739052 6976498.243563212, 245981.17537506294 6976477.945010225, 245975.47593027892 6976460.246734317, 245975.47276879294 6976460.23724353, 245973.37356659488 6976454.139560955, 245969.2749250929 6976441.8436364485, 245963.97562514714 6976425.545789446, 245960.64575407916 6976415.246188245, 245960.6389854088 6976415.226642894, 245958.57019302683 6976409.6299098795, 245957.25822266183 6976405.922599682, 245956.25347179914 6976402.112504826, 245956.24560904293 6976402.085740355, 245951.0785748 6976386.154884294, 245948.6811868952 6976377.6641354645, 245948.67922603924 6976377.657373202, 245946.179455635 6976369.258144644, 245945.6796827508 6976367.558916838, 245945.6790840466 6976367.556896973, 245944.52908404658 6976363.706896973, 245944.52884106542 6976363.706086018, 245941.77884106542 6976354.556086019, 245941.77269156973 6976354.537019388, 245938.36269156975 6976344.647019387, 245935.87260981358 6976337.436782463, 245935.87124171975 6976337.432873576, 245929.77124171975 6976320.232873577, 245929.76402180432 6976320.213764222, 245926.79403363066 6976312.813793688, 245923.46404530533 6976304.513822787, 245923.452982261 6976304.488323192, 245916.522982261 6976289.658323192, 245916.52167837447 6976289.6555550285, 245912.85167837446 6976281.925555028, 245912.84141786015 6976281.905159048, 245907.1965939105 6976271.29488819, 245900.85133626775 6976257.984835939, 245900.8456751245 6976257.973342366, 245891.94581518875 6976240.473617773, 245889.05595478465 6976234.7738931, 245885.04585090696 6976226.873688336, 245881.9457425925 6976220.773475076, 245881.93587270967 6976220.755020448, 245874.23587270966 6976207.055020448, 245874.22770429053 6976207.04102309, 245867.62783097025 6976196.141232303, 245861.83038845696 6976186.545465385, 245858.01882453865 6976179.960040814, 245856.87438889997 6976177.740830836, 245856.86645095458 6976177.726052128, 245852.46156073108 6976169.845194109, 245849.5464012821 6976164.074775748, 245843.0502082442 6976151.182331104, 245839.26051729513 6976143.00457695, 245835.8717708672 6976134.233703843, 245832.07942201354 6976122.357664011, 245829.58462068936 6976113.276587192, 245826.89004261035 6976101.799680559, 245824.7947096278 6976089.8263492305, 245823.29897202368 6976077.661016717, 245822.90007851835 6976065.793934932, 245822.99986429594 6976055.1168567315, 245823.4984935812 6976046.540433025, 245824.49560891837 6976036.968125789, 245825.79158051877 6976029.391676432, 245827.78731076722 6976019.512811703, 245830.08040767294 6976010.739223542, 245832.9744028402 6976001.658066292, 245834.57156778083 6975997.066217089, 245835.56771890976 6975994.276993927, 245838.75955387385 6975986.297406517, 245842.75242858013 6975977.612904031, 245846.64683583693 6975969.5245197285, 245849.93866582087 6975963.240117032, 245851.13412157106 6975961.148069469, 245851.13919438407 6975961.138973415, 245854.83919438405 6975954.338973414, 245854.84201748014 6975954.333710391, 245859.43787297196 6975945.641548919, 245864.03274290008 6975937.650470782, 245870.72991798166 6975926.155319523, 245875.32589643603 6975918.561963815, 245879.32239404038 6975912.167567649, 245884.51993602185 6975904.071396485, 245889.91719590366 6975895.775608148, 245895.41354946766 6975887.5810446525, 245899.61182387752 6975881.483550867, 245899.61453606442 6975881.479570834, 245902.50842364252 6975877.188634081, 245906.2019209496 6975872.197421503, 245906.20228703978 6975872.196926149, 245912.40148455565 6975863.798013384, 245917.70061389223 6975856.699179745, 245924.1966619915 6975848.004469212, 245932.24263817846 6975837.799572707, 245932.2464760673 6975837.794641967, 245935.69343275425 6975833.308602684, 245940.6303109411 6975827.142501791, 245940.63478771393 6975827.13682676, 245950.99478771395 6975813.80682676, 245950.99693907303 6975813.804038439, 245958.1944750955 6975804.407255298, 245968.09195932045 6975791.910431782, 245968.09494013657 6975791.90663054, 245980.59494013657 6975775.806630541, 245980.6 6975775.8, 245983.2985294576 6975772.201960724, 245989.47819938624 6975764.128520978, 245990.05646314603 6975763.540619489, 245990.0960779766 6975763.495159362, 245999.79500784908 6975750.906548321, 246010.8939280563 6975736.707929678, 246010.90057840414 6975736.699227242, 246017.09930525304 6975728.400931621, 246026.29801770227 6975716.30262503, 246026.30389547392 6975716.294734535, 246034.40389547392 6975705.194734535, 246034.41840258564 6975705.173750391, 246036.1717632374 6975702.493898031, 246042.70463975734 6975693.493711878, 246042.71438327336 6975693.479797253, 246050.61438327338 6975681.779797253, 246050.61540363767 6975681.778280106, 246057.51540363766 6975671.478280107, 246057.5226746888 6975671.467106922, 246066.6226746888 6975657.067106921, 246066.62719573142 6975657.059814948, 246077.0271957314 6975639.959814948, 246077.0350545847 6975639.94642952, 246085.1350545847 6975625.64642952, 246085.1388448555 6975625.639614676, 246094.0388448555 6975609.339614675, 246094.04291576764 6975609.332003497, 246105.04291576764 6975588.332003497, 246105.0446730912 6975588.328617238, 246114.1446730912 6975570.628617239, 246114.14674968398 6975570.624532225, 246123.84674968396 6975551.324532224, 246123.85059398008 6975551.316714247, 246133.95033737557 6975530.317247781, 246144.4500796257 6975508.617780465, 246144.45103058367 6975508.615804107, 246154.45103058367 6975487.715804107, 246154.45265214637 6975487.712381813, 246164.35171993804 6975466.614368641, 246168.18077034308 6975458.63634717, 246168.18308281386 6975458.631461495, 246174.35237801704 6975445.41297161, 246182.85099514783 6975427.51588377, 246189.75031832364 6975413.217286464, 246189.7521989124 6975413.213345128, 246198.95181606943 6975393.714156589, 246208.95038712615 6975372.7171573695, 246219.24932280704 6975351.619337674, 246219.2496675703 6975351.6186299985, 246224.3596675703 6975341.108629998, 246224.36334432653 6975341.100900264, 246232.45334432652 6975323.710900265, 246232.46172284943 6975323.691864562, 246233.68627359852 6975320.744978207, 246242.65008883653 6975302.217761427, 246242.6505939801 6975302.216714247, 246252.75059398008 6975281.216714247, 246252.75314721177 6975281.21132346, 246262.45141279275 6975260.415042627, 246273.24961754435 6975238.218732859, 246273.25226282148 6975238.213209616, 246276.5518159149 6975231.2141576, 246282.65076629916 6975218.416360072, 246292.84870708708 6975197.320619814, 246295.94683203913 6975191.124369911, 246301.84598566638 6975179.426048311, 246312.64153306428 6975158.234788604, 246324.33609822692 6975137.144589892, 246334.0314274416 6975120.052823956, 246343.52707686907 6975104.36001385, 246351.03430878578 6975092.104532719, 246353.72120293652 6975087.869428183, 246364.00019480323 6975071.930991379, 246363.1598051968 6975071.389008622, 246352.87980519678 6975087.329008621))</t>
  </si>
  <si>
    <t>['EV14 S2D1 m5246-8597', 'EV14 S3D1 m0-2566']</t>
  </si>
  <si>
    <t>LINESTRING Z (306335.2 7043173.66 18.26, 306337.33999999997 7043172.85 18.51, 306339.76 7043172.07 18.580000000000002, 306342.03 7043171.39 18.64, 306349.13 7043169.23 18.8, 306352 7043168.35 18.87, 306354.58 7043167.66 18.92, 306357.07 7043167.09 19, 306363.99 7043165.48 19.14, 306366.83999999997 7043164.8 19.18, 306372.54000000004 7043163.45 19.29, 306375.4 7043162.8 19.34, 306381.2 7043161.48 19.46, 306386.1 7043160.5 19.06, 306396.03 7043158.96 19.77, 306404.89 7043157.47 19.96, 306407.88 7043157.01 20.02, 306410.25 7043156.68 20.07, 306412.6 7043156.38 20.1, 306415.79000000004 7043156 20.150000000000002, 306418.08 7043155.82 20.17, 306420.2 7043155.68 20.17, 306426.95 7043155.24 20.17, 306429.54000000004 7043155.13 20.18, 306437.06 7043154.83 20.19, 306439.46 7043154.75 20.19, 306441.97 7043154.68 20.18, 306445.14 7043154.67 20.18, 306448.2 7043154.72 20.19, 306453.08999999997 7043154.82 20.23, 306454.85 7043154.88 20.27, 306457.7 7043155.01 20.27, 306460.6 7043155.14 20.28, 306463.63 7043155.34 20.3, 306469.17 7043155.63 20.32, 306473.93 7043156.39 20.34, 306478.63 7043157 20.35, 306481 7043157.36 20.330000000000002, 306483.35 7043157.75 20.31, 306485.71 7043158.11 20.31, 306493.58999999997 7043159.31 20.56, 306501.11 7043160.68 20.56, 306511.65 7043162.94 20.66, 306518.8 7043164.7 20.66, 306529.03 7043167.52 20.66, 306551.33 7043173.54 20.66, 306556.19 7043174.88 20.66, 306561.73 7043176.42 20.66, 306572.13 7043179.36 20.66, 306579.18 7043181.27 20.66, 306595.67 7043185.93 20.66, 306604.77 7043188.59 20.56, 306614.62 7043191.47 20.46, 306628.92 7043195.57 20.36, 306644.52 7043199.95 20.26, 306665.51 7043205.83 20.16, 306679.31 7043209.67 20.06, 306690.31 7043212.84 19.76, 303474.52 7043647.4 12.73, 303476.6 7043647.35 12.72, 303489.18 7043647.03 12.67, 303490.96 7043646.98 12.65, 303493.83999999997 7043646.73 12.65, 303497.58999999997 7043646.45 12.56, 303506.83999999997 7043645.75 12.52, 303523.21 7043643.77 12.46, 303546 7043639.6 12.36, 303568.8 7043633.9 12.26, 303586.4 7043628.1 12.06, 303591.1 7043626.6 12.06, 303612.9 7043617.8 11.86, 303634.1 7043607.7 11.66, 303657.1 7043594.6 11.26, 303697.6 7043568.8 10.66, 303729.8 7043548.6 10.36, 303752.6 7043536 10.26, 303775.2 7043525.2 10.36, 303798.3 7043516 10.46, 303822.1 7043508.2 10.56, 303846.3 7043501.7 10.66, 303849.8 7043501.07 10.66, 303870.8 7043497 10.66, 303882.15 7043495.38 10.56, 303895.6 7043493.6 10.56, 303921 7043491.7 10.46, 303959 7043490.8 10.16, 304028 7043490.1 9.66, 304061.5 7043488.4 9.56, 304091.31 7043484.94 9.56, 304103.37 7043483.24 9.56, 304110.82 7043482.2 9.66, 304132.3 7043479.03 9.66, 304146.41000000003 7043477.04 9.66, 304161.28 7043474.75 9.76, 304169.18 7043473.58 9.66, 304189.63 7043470.36 9.76, 304200.2 7043468.75 9.96, 304210.6 7043466.8 9.96, 304226.9 7043464 9.96, 304242.74 7043461.1 10.06, 304255.98 7043458.43 10.26, 304267.64 7043455.98 10.56, 304280.83 7043452.94 10.66, 304298.1 7043448.5 10.86, 304316.3 7043443.9 10.96, 304325.9 7043441.2 10.96, 304342.5 7043436.5 10.96, 304367.58999999997 7043429.37 10.96, 304404.86 7043418.28 10.96, 304414.85 7043415.29 10.96, 304433.7 7043410.1 11.26, 304449.5 7043405.22 10.96, 304471 7043398.9 11.06, 304481.9 7043395.7 11.26, 304508.58 7043387.72 11.26, 304524.18 7043383.41 11.66, 304532.7 7043380.7 11.66, 304546.1 7043377 11.66, 304551.7 7043375.6 11.66, 304568.7 7043371.4 11.66, 304585.98 7043368.32 11.76, 304601.8 7043366.06 11.76, 304612.29000000004 7043364.88 11.86, 304622.78 7043363.97 11.86, 304633.58999999997 7043363.27 11.96, 304642.8 7043363.1 11.96, 304651.02 7043362.92 11.96, 304661.97 7043362.8 12.450000000000001, 304665.49 7043362.83 12.48, 304669.17 7043362.91 12.49, 304676.37 7043363.08 12.530000000000001, 304679.94 7043363.2 12.56, 304683.55 7043363.33 12.59, 304687.08 7043363.5 12.58, 304697.58999999997 7043364.03 12.56, 304700.91000000003 7043364.24 12.6, 304710.79000000004 7043364.88 12.700000000000001, 304714.08 7043365.12 12.74, 304720.27 7043365.61 12.81, 304726.45 7043366.11 12.89, 304729.6 7043366.38 12.94, 304732.83999999997 7043366.73 12.98, 304739.22 7043367.42 13, 304742.41000000003 7043367.79 13.01, 304745.63 7043368.16 13.01, 304748.79000000004 7043368.57 13.01, 304751.9 7043368.97 13.02, 304755.01 7043369.4 13.040000000000001, 304761.27 7043370.27 13.06, 304764.53 7043370.78 13.08, 304767.73 7043371.31 13.09, 304774.14 7043372.37 13.1, 304777.38 7043372.96 13.120000000000001, 304780.53 7043373.59 13.11, 304786.75 7043374.83 13.09, 304789.85 7043375.47 13.08, 304792.98 7043376.11 13.07, 304796.68 7043376.92 13.07, 304800.33999999997 7043377.73 13.09, 304807.68 7043379.39 13.1, 304810.89 7043380.15 13.120000000000001, 304817.27 7043381.67 13.16, 304820.45 7043382.46 13.18, 304826.86 7043384.05 13.22, 304830.06 7043384.89 13.25, 304836.36 7043386.58 13.31, 304842.68 7043388.28 13.36, 304846.26 7043389.3 13.370000000000001, 304849.8 7043390.33 13.38, 304856.95 7043392.4 13.4, 304860.02 7043393.37 13.41, 304866.16000000003 7043395.31 13.43, 304869.58 7043396.52 13.42, 304872.95 7043397.75 13.39, 304885.12 7043401.99 13.38, 304891.99 7043404.26 13.42, 304900.76 7043407.15 13.46, 304902.95 7043407.89 13.49, 304905.04000000004 7043408.59 13.530000000000001, 304907.62 7043409.54 13.58, 304915.57 7043412.49 13.69, 304918.29000000004 7043413.53 13.73, 304921.87 7043414.97 13.74, 304932.48 7043419.24 13.790000000000001, 304935.92 7043420.66 13.82, 304939.36 7043422.1 13.83, 304946.25 7043424.99 13.88, 304949.72 7043426.44 13.9, 304952.57 7043427.69 13.89, 304958.2 7043430.19 13.85, 304961.05 7043431.46 13.83, 304964.35 7043432.96 13.8, 304974.39 7043437.52 13.71, 304977.86 7043439.09 13.69, 304981.31 7043440.74 13.64, 304984.46 7043442.29 13.6, 304993.88 7043446.89 13.5, 305007.02 7043453.3 13.370000000000001, 305016.32 7043457.82 13.21, 305021.63 7043460.39 13.19, 305024.26 7043461.64 13.16, 305027.64 7043463.21 13.120000000000001, 305034.46 7043466.38 13.030000000000001, 305037.88 7043467.92 12.97, 305041.2 7043469.39 12.94, 305047.86 7043472.34 12.86, 305051.24 7043473.71 12.82, 305061.47 7043477.84 12.75, 305064.43 7043478.93 12.77, 305067.45 7043480.04 12.790000000000001, 305070.5 7043481.08 12.790000000000001, 305077.12 7043483.35 12.790000000000001, 305080.74 7043484.52 12.81, 305084.42 7043485.71 12.82, 305087.69 7043486.87 12.73, 305091.02 7043487.84 12.71, 305097.33 7043489.71 12.65, 305100.14 7043490.56 12.620000000000001, 305102.89 7043491.39 12.59, 305106.36 7043492.34 12.58, 305113.39 7043494.26 12.55, 305117.06 7043495.23 12.55, 305120.76 7043496.18 12.530000000000001, 305124.42 7043497.11 12.530000000000001, 305127.93 7043497.96 12.52, 305131.49 7043498.83 12.51, 305135.05 7043499.62 12.5, 305138.5 7043500.37 12.46, 305141.97 7043501.12 12.43, 305145.42 7043501.83 12.39, 305149.16000000003 7043502.53 12.34, 305152.89 7043503.23 12.290000000000001, 305156.44 7043503.85 12.21, 305160.02 7043504.5 12.13, 305163.62 7043505.06 12.08, 305174.32 7043506.72 11.94, 305177.87 7043507.17 11.91, 305181.5 7043507.61 11.86, 305188.55 7043508.45 11.75, 305191.94 7043508.85 11.69, 305195 7043509.1 11.59, 305201.3 7043509.63 11.47, 305204.56 7043509.94 11.4, 305207.79000000004 7043510.24 11.34, 305210.96 7043510.45 11.28, 305212.86 7043510.55 11.23, 305221.02 7043511.12 11, 305225.95 7043511.33 11.02, 305227.7 7043511.32 10.950000000000001, 305239.41000000003 7043511.29 10.76, 305241.71 7043511.28 10.72, 305244.72 7043511.19 10.69, 305250.76 7043511.02 10.66, 305254.01 7043510.88 10.66, 305260.58 7043510.61 10.68, 305263.89 7043510.36 10.68, 305270.54000000004 7043509.89 10.67, 305273.82 7043509.66 10.66, 305276.77 7043509.41 10.66, 305279.78 7043509.12 10.66, 305285.76 7043508.54 10.65, 305288.99 7043508.2 10.65, 305295.51 7043507.51 10.65, 305298.71 7043507.13 10.59, 305301.52 7043506.75 10.55, 305307.27 7043506 10.44, 305310.1 7043505.55 10.43, 305313.54000000004 7043504.98 10.4, 305320.45 7043503.82 10.35, 305323.82 7043503.2 10.32, 305327.23 7043502.58 10.290000000000001, 305330.6 7043501.89 10.290000000000001, 305333.52 7043501.26 10.290000000000001, 305342.31 7043499.38 10.3, 305345.98 7043498.44 10.290000000000001, 305353.37 7043496.56 10.26, 305356.63 7043495.66 10.24, 305363.3 7043493.83 10.23, 305366.62 7043492.84 10.23, 305369.95 7043491.89 10.22, 305379.89 7043489.04 10.21, 305383.15 7043488.07 10.19, 305385.95 7043487.19 10.19, 305398.12 7043483.35 10.16, 305405.37 7043481.09 10.15, 305412.61 7043478.81 10.15, 305419.83999999997 7043476.52 10.14, 305430.62 7043472.92 10.18, 305434.23 7043471.63 10.22, 305439.86 7043469.57 10.25, 305441.46 7043469.08 10.22, 305445.18 7043467.77 10.22, 305447.17 7043467.13 10.22, 305448.95 7043466.61 10.24, 305455.23 7043464.55 10.26, 305458.46 7043463.42 10.27, 305461.57 7043462.41 10.31, 305470.65 7043459.44 10.34, 305473.95 7043458.3 10.34, 305487.36 7043453.7 10.370000000000001, 305497.48 7043450.23 10.49, 305501.06 7043449.07 10.48, 305504.55 7043447.94 10.47, 305507.68 7043446.88 10.5, 305512.79000000004 7043445.16 10.540000000000001, 305516.21 7043444.03 10.59, 305529.32 7043439.72 10.75, 305538.68 7043436.65 10.86, 305541.79000000004 7043435.59 10.89, 305554.3 7043431.34 10.97, 305557.64 7043430.23 10.99, 305570.91000000003 7043425.79 11.1, 305582.83999999997 7043421.78 11.16, 305585.72 7043420.82 11.16, 305600.21 7043416.02 11.47, 305614.86 7043411.38 11.47, 305618.47 7043410.21 11.48, 305625.47 7043407.93 11.5, 305628.39 7043406.95 11.56, 305634.3 7043404.97 11.66, 305637.61 7043403.89 11.68, 305640.97 7043402.79 11.700000000000001, 305643.81 7043401.93 11.73, 305646.91000000003 7043400.99 11.74, 305654.64 7043398.47 11.75, 305663.81 7043395.43 11.8, 305666.8 7043394.42 11.82, 305675.37 7043391.5 11.85, 305678.83999999997 7043390.36 11.84, 305692.57 7043385.82 11.81, 305705.03 7043381.7 11.81, 305711.24 7043379.64 11.82, 305714.86 7043378.42 11.84, 305725.75 7043374.75 11.92, 305729.38 7043373.55 11.96, 305736.68 7043371.17 12.02, 305747.57 7043367.63 12.07, 305758.46 7043364.06 12.11, 305765.21 7043361.83 12.14, 305778.69 7043357.37 12.19, 305791.68 7043353.06 12.290000000000001, 305804.18 7043348.94 12.370000000000001, 305807.37 7043347.87 12.4, 305813.79000000004 7043345.69 12.51, 305820.19 7043343.48 12.6, 305823.4 7043342.38 12.67, 305828.33999999997 7043340.7 12.74, 305829.65 7043340.27 12.74, 305838.41000000003 7043337.38 12.780000000000001, 305846.62 7043334.67 12.81, 305849.36 7043333.77 12.83, 305857.52 7043331.12 12.870000000000001, 305865.54000000004 7043328.5 12.92, 305870.88 7043326.74 12.96, 305876.14 7043324.98 12.99, 305883.92 7043322.41 13.05, 305886.52 7043321.57 13.07, 305891.99 7043319.79 13.1, 305894.9 7043318.84 13.11, 305897.81 7043317.86 13.11, 305906.53 7043314.93 13.14, 305909.45 7043313.97 13.16, 305917.51 7043311.31 13.22, 305925.56 7043308.65 13.280000000000001, 305933.52 7043306.02 13.32, 305941.43 7043303.39 13.35, 305949.14 7043300.86 13.39, 305956.76 7043298.36 13.44, 305965.08999999997 7043295.64 13.450000000000001, 305967.97 7043294.72 13.450000000000001, 305973.55 7043292.96 13.450000000000001, 305978.96 7043291.24 13.450000000000001, 305981.65 7043290.34 13.450000000000001, 305989 7043287.84 13.49, 305993 7043286.57 13.450000000000001, 305995.58999999997 7043285.69 13.43, 306001.25 7043284 13.5, 306015.39 7043279.05 13.63, 306019.82 7043277.59 13.63, 306029.52 7043274.38 13.67, 306034.46 7043272.73 13.71, 306036.96 7043271.86 13.73, 306044.55 7043269.26 13.790000000000001, 306049.53 7043267.58 13.81, 306052.05 7043266.73 13.81, 306054.83 7043265.82 13.83, 306063.05 7043263.13 13.86, 306065.9 7043262.18 13.870000000000001, 306074.53 7043259.29 13.9, 306079.67 7043257.59 13.950000000000001, 306087.33999999997 7043255.05 14.02, 306093.12 7043253.16 14.08, 306101.73 7043250.34 14.14, 306110.23 7043247.56 14.15, 306118.77 7043244.74 14.21, 306127.47 7043241.88 14.3, 306136.46 7043238.92 14.39, 306144.18 7043236.36 14.48, 306149.53 7043234.61 14.540000000000001, 306157.81 7043231.91 14.620000000000001, 306160.6 7043230.96 14.65, 306169.04000000004 7043228.11 14.74, 306171.96 7043227.14 14.77, 306180.71 7043224.25 14.9, 306188.45 7043221.71 14.97, 306193.96 7043219.89 15.07, 306196.9 7043218.9 15.13, 306199.87 7043217.91 15.200000000000001, 306202.63 7043217.01 15.26, 306210.61 7043214.38 15.41, 306215.7 7043212.69 15.51, 306225.12 7043209.56 15.71, 306233.33 7043206.85 15.92, 306241.96 7043203.98 16.1, 306250.12 7043201.25 16.25, 306252.49 7043200.43 16.31, 306254.9 7043199.62 16.37, 306259.79000000004 7043197.98 16.45, 306262.36 7043197.18 16.51, 306269.81 7043194.83 16.69, 306272.51 7043193.93 16.740000000000002, 306280.7 7043191.23 16.97, 306283.29000000004 7043190.39 17.06, 306285.88 7043189.56 17.13, 306288.52 7043188.75 17.19, 306290.63 7043188.14 17.27, 306297.01 7043186.27 17.41, 306299.3 7043185.57 17.46, 306301.54000000004 7043184.84 17.5, 306303.56 7043184.16 17.59, 306310.49 7043181.85 17.89, 306313.36 7043180.82 18, 306316.13 7043179.69 18.06, 306318.97 7043178.75 18.13, 306321.36 7043178.01 18.18, 306326 7043176.57 18.28, 306328.14 7043175.86 18.32, 306335.2 7043173.66 18.26, 306690.31 7043212.84 19.76, 306697.64 7043214.83 19.56, 306708.77 7043217.95 19.26, 306733.31 7043224.74 18.26, 306762.45 7043232.44 16.76, 306789.93 7043239.45 15.860000000000001, 306819.48 7043246.32 15.16, 306844.08 7043251.95 14.86, 306869.78 7043257.86 14.86, 306889.02 7043261.57 14.86, 306907.02 7043265.15 14.86, 306928.32 7043268.72 14.86, 306954.16000000003 7043273.12 14.76, 306967.21 7043274.9 14.76, 306984.25 7043277.51 14.46, 307005.14 7043280.54 14.76, 307025.89 7043283.15 14.76, 307040.46 7043284.94 14.76, 307054.98 7043286.85 14.76, 307081.46 7043289.99 14.76, 307092.6 7043291.3 14.86, 307106.54000000004 7043293.03 14.86, 307120.35 7043294.49 14.96, 307132 7043295.7 14.96, 307134.5 7043296 14.96, 307151.05 7043297.77 15.06, 307164.8 7043299.1 15.06, 307192.1 7043301.9 15.26, 307199.6 7043302.7 15.26, 307220 7043305 15.46, 307231.4 7043306.2 15.56, 307252.3 7043308.4 15.56, 307263 7043309.4 15.56, 307273.5 7043310.5 15.46, 307292 7043312.48 15.36, 307322.44 7043315.61 15.46, 307340.6 7043317.1 15.36, 307350.1 7043317.9 15.36, 307363 7043318.8 15.56, 307374.02 7043319.58 15.66, 307397.95 7043320.43 15.76, 307421.63 7043320.68 16.56, 307440.23 7043320.43 16.56, 307457.39 7043320.26 16.56, 307473.88 7043319.92 16.76, 307492.15 7043319.75 17.36, 307509.65 7043319.58 17.56, 307529.7 7043319.2 17.96, 307540.8 7043319 18.26, 307546.94 7043318.82 18.56, 307557.22 7043318.44 18.86, 307566.92 7043318.16 19.06, 307570.82 7043318.08 19.26, 307576.05 7043318.08 19.56, 307586.63 7043317.88 19.96, 307596.08 7043317.76 20.46, 307603.41000000003 7043317.68 20.56, 307616.6 7043317.84 20.76, 307620.3 7043317.9 20.96, 307635.91000000003 7043318.08 21.46, 307651.08 7043318.8 21.76, 307668.45 7043319.71 21.76, 307678.56 7043320.28 22.16, 307689.13 7043320.89 22.56, 307695.68 7043321.3 22.56, 307702.28 7043321.75 22.66, 307708.75 7043322.08 22.76, 307727.42 7043323.35 22.96, 307738.32 7043324.13 22.76, 307752.57 7043325.07 22.76, 307775.01 7043326.42 22.56, 307801.7 7043328.3 22.36, 307813.98 7043329.11 22.18, 307827.85 7043330.15 21.96, 307841.4 7043331.05 21.66, 307857.13 7043332.03 21.26, 307875.44 7043333.1 20.56, 307883.9 7043333.5 20.16, 307891.08 7043333.79 19.96, 307898.82 7043334.08 19.66, 307910.62 7043334.41 19.16, 307926.26 7043334.65 18.56, 307934.13 7043334.7 17.96, 307947.4 7043334.7 17.86, 307953.13 7043334.61 17.76, 307971.32 7043334.04 17.06, 307981.1 7043333.6 16.86, 307993 7043332.8 16.66, 308003.06 7043331.87 16.66, 308014.07 7043330.8 16.56, 308030.2 7043329.2 16.46, 308033.7 7043328.7 16.46, 308042.4 7043327.5 16.36, 308057.1 7043325.8 16.16, 308068.63 7043324.42 15.97, 308074.81 7043323.72 16.07, 308089.88 7043321.92 15.97, 308105.1 7043320 15.870000000000001, 308119.08999999997 7043318.23 15.66, 308135.8 7043315.9 15.66, 308149.6 7043314 15.66, 308165.04000000004 7043311.84 15.66, 308180.27 7043309.42 15.47, 308194.08 7043307.34 15.66, 308209.07 7043304.96 15.870000000000001, 308223.81 7043302.5 15.97, 308234.99 7043300.62 16.07, 308249.24 7043298.08 16.27, 308258.29000000004 7043296.52 16.27, 308270.7 7043294.31 16.57, 308278.7 7043292.9 16.57, 308291.63 7043290.54 16.57, 308301.42 7043288.7 16.57, 308320.75 7043285.01 16.57, 308327.7 7043283.7 16.57, 308336.1 7043282.1 16.57, 308354.7 7043278.26 16.57, 308362.94 7043276.62 16.57, 308376.61 7043273.92 16.57, 308385.6 7043272.1 16.57, 308395.41000000003 7043270.19 16.27, 308410.61 7043267.16 16.27, 308418.83999999997 7043265.48 16.27, 308426.9 7043263.9 16.27, 308437.6 7043261.59 16.16, 308457.2 7043257.6 16.07, 308466.76 7043255.65 16.07, 308483.18 7043252.29 16.07, 308495.63 7043249.51 16.07, 308509.4 7043246.35 16.27, 308532.17 7043240.74 16.27, 308554.6 7043234.5 16.47, 308561.4 7043232.5 16.57, 308572.22 7043229.27 16.57, 308584.67 7043225.1 16.57, 308601.3 7043219.49 16.57, 308611.83 7043215.64 16.57, 308632.14 7043208.35 17.36, 308647.33 7043202.65 17.47, 308657.78 7043198.56 18.47, 308666.1 7043195.33 18.47, 308684.1 7043188.4 19.07, 308692.18 7043185.17 19.16, 308702.8 7043180.9 19.47, 308708.73 7043178.69 19.36, 308714.2 7043176.5 19.57, 308723.06 7043173.17 19.66, 308733.87 7043168.78 19.57, 308749.72 7043162.43 19.47, 308770.41000000003 7043154.2 19.36, 308781.96 7043149.78 19.36, 308790 7043146.6 19.47, 308800.8 7043142.2 19.66, 308806.73 7043139.95 19.66, 308818 7043135.61 19.77, 308830.04000000004 7043130.98 19.77, 308847.12 7043124.22 19.77, 308857.81 7043120.04 19.86, 308866.33 7043116.85 20.07, 308875.66000000003 7043113.04 20.27, 308889.26 7043107.63 20.87, 308901.38 7043102.93 21.57, 308918.5 7043096.2 22.27, 308933.9 7043090.15 23.07, 308950.65 7043083.68 23.67, 308963.11 7043078.74 24.37, 308970.27 7043075.89 24.77, 308976.9 7043073.3 25.07, 308983.72 7043070.73 25.38, 308997.1 7043065.45 26.17, 309005.94 7043062.09 26.27, 309013.6 7043059.14 26.87, 309022.45 7043055.7 27.37, 309032.85 7043051.32 27.67, 309043.26 7043047.18 27.67, 309053.29000000004 7043043.46 27.57, 309065.17 7043038.71 28.17, 309073.48 7043035.31 28.57, 309081.7 7043032 28.67, 309088.6 7043029.4 28.67, 309102.4 7043023.6 29.07, 309114.6 7043018.84 29.17, 309126.8 7043013.8 29.47, 309138.35 7043008.79 29.67, 309149.75 7043004.07 29.67, 309168.69 7042996.36 29.67, 309176.41000000003 7042992.96 28.42, 309179.86 7042991.41 28.32, 309188.44 7042987.55 27.68)</t>
  </si>
  <si>
    <t>['EV6 S69D1 m4543-5722']</t>
  </si>
  <si>
    <t>LINESTRING Z (261971.22 7001797.88 63.46, 261967.8 7001802.8 63.03, 261964.7 7001808.1 63.03, 261961.02000000002 7001813.62 63.03, 261956.49 7001820.18 63.03, 261952.8 7001825.8 63.03, 261948.2 7001832.5 63.03, 261943.8 7001839.3 63.03, 261939.2 7001845.8 63.03, 261925.9 7001863.6 63.03, 261921.9 7001869.1 62.93, 261919 7001873 62.93, 261914.23 7001878.93 62.63, 261898.9 7001897.92 62.83, 261896.3 7001901.01 62.83, 261892.13 7001905.62 62.83, 261887.53 7001910.7 62.83, 261883.13 7001915.62 62.83, 261878.4 7001920.4 62.83, 261872.73 7001925.92 62.83, 261867.62 7001930.81 62.83, 261861.88 7001936.04 62.83, 261855.97 7001941.4 62.83, 261851 7001945.79 62.83, 261845.9 7001950 62.83, 261839.6 7001955.4 62.83, 261833.2 7001960 62.83, 261826.8 7001964.9 62.83, 261824.1 7001966.7 62.83, 261819.5 7001969.7 62.83, 261812.6 7001974.4 62.83, 261800.2 7001982.4 62.53, 261792.9 7001986.8 62.53, 261789.3 7001988.9 62.53, 261785.2 7001991.1 62.53, 261779 7001994.8 62.53, 261772.4 7001998 62.53, 261765.1 7002001.4 62.53, 261757.7 7002004.9 62.53, 261748.6 7002009.4 62.43, 261740.5 7002012.8 62.43, 261731.8 7002016.5 62.43, 261722.7 7002020.1 62.43, 261693 7002031.1 62.33, 261683.2 7002034.5 62.230000000000004, 261673.8 7002037.8 62.230000000000004, 261664.2 7002041.1 62.230000000000004, 261655.3 7002043.8 62.13, 261646.2 7002046.8 62.03, 261636.5 7002049.8 61.93, 261626.8 7002053 61.93, 261582.5 7002067.7 61.730000000000004, 261538.7 7002082.2 61.53, 261473.5 7002103.4 61.43, 261409.8 7002124.2 61.33, 261256.2 7002174.7 61.52, 261248.3 7002177 61.52, 261239.9 7002179.8 61.52, 261232.5 7002182.1 61.620000000000005, 261224.9 7002184.7 61.72, 261217.2 7002187.9 62.120000000000005, 261209.4 7002190.8 62.32, 261201.1 7002194.4 62.72, 261193 7002197.8 63.120000000000005, 261185 7002201.4 63.32, 261178.8 7002204.3 63.42, 261170.7 7002208.4 63.72, 261162.7 7002212.5 63.92, 261154.9 7002217.1 64.02, 261146.9 7002221.6 64.12, 261138.8 7002226.8 64.42, 261130.9 7002231.9 64.82000000000001, 261123.3 7002237.4 64.82000000000001, 261115.8 7002242.8 64.82000000000001, 261108.9 7002248.4 64.52, 261099.7 7002255.8 64.22, 261083.9 7002270.3 63.92, 261078.7 7002276 63.92, 261074.1 7002280.5 63.92, 261071.6 7002283.1 63.92, 261067.5 7002287.7 63.92, 261062.23 7002293 64.76, 261060.7 7002294.76 64.76, 261058.66 7002297.16 64.75, 261056.65 7002299.57 64.75, 261054.65 7002301.99 64.74, 261052.68 7002304.44 64.73, 261050.73 7002306.9 64.73, 261048.8 7002309.39 64.72, 261046.9 7002311.88 64.71000000000001, 261045.76 7002313.41 64.71000000000001, 261045.02000000002 7002314.4 64.7, 261044.47 7002315.13 64.7, 261043.16 7002316.93 64.69, 261041.32 7002319.48 64.68, 261039.5 7002322.05 64.67, 261037.71 7002324.63 64.66, 261035.94 7002327.22 64.65, 261034.2 7002329.83 64.64, 261032.48 7002332.46 64.62, 261030.78 7002335.11 64.61, 261030.04 7002336.29 64.61, 262000.13 7001746.07 63.11, 261994.79 7001756.84 63.7, 261984.76 7001775.29 63.84, 261974.6 7001792.35 63.46, 261971.22 7001797.88 63.46)</t>
  </si>
  <si>
    <t>['EV6 S71D1 m4092-5734']</t>
  </si>
  <si>
    <t>LINESTRING Z (264223.78 7015010.44 36.82, 264221.9 7015015.3 36.72, 264218.2 7015026.4 36.62, 264214.6 7015036.9 36.22, 264210.6 7015048 35.92, 264206.6 7015059.1 35.82, 264203.1 7015069.6 35.72, 264199.4 7015079.8 35.62, 264196 7015089.7 35.42, 264192.5 7015099.9 35.22, 264189.1 7015109.4 34.92, 264185.6 7015119.5 34.92, 264182.2 7015129.6 34.82, 264180 7015135.2 34.72, 264178.5 7015139.6 34.72, 264175.9 7015147.4 34.52, 264174.4 7015151.7 34.52, 264169.3 7015166.3 34.52, 264166.7 7015173.4 34.52, 264165.1 7015178.2 34.52, 264162.5 7015186 34.62, 264158.9 7015195.9 34.62, 264155.6 7015205.3 34.62, 264152.7 7015214 34.72, 264149.2 7015223.8 34.72, 264145.7 7015233.6 34.82, 264141.7 7015245.1 34.92, 264138.6 7015253.7 35.02, 264135.1 7015264.3 35.02, 264131.2 7015275 35.12, 264127.7 7015285 35.12, 264123.9 7015295.7 35.22, 264120.6 7015305.6 35.22, 264116.6 7015317.1 35.32, 264112.1 7015329.7 35.42, 264107.8 7015342.2 35.92, 264103.6 7015353.7 36.42, 264101.6 7015360 36.42, 264097.1 7015372.8 36.42, 264093.2 7015383.6 36.12, 264088.6 7015397.5 36.02, 264084.9 7015408.3 36.02, 264080.3 7015421.4 36.42, 264075.5 7015435.1 36.62, 264070.8 7015447.6 37.02, 264070.4 7015448.6 37.02, 264067 7015459.4 37.32, 264063.2 7015470 37.72, 264058.9 7015482.8 38.12, 264055 7015493.3 38.82, 264051.3 7015504 39.42, 264047 7015516.4 40.22, 264042.6 7015529 41.12, 264038.3 7015541.1 41.72, 264032.27 7015558.55 42.86, 264029.7 7015565.9 43.22, 264025.3 7015578.4 43.92, 264021.9 7015588.8 44.52, 264020.3 7015593.1 44.62, 264017.5 7015600.8 44.92, 264015.64 7015606.57 45.02, 264008.9 7015625 45.52, 264004.9 7015636.3 45.52, 264000.5 7015649 45.82, 263996.6 7015660.3 46.02, 263992.5 7015672.4 46.02, 263988.5 7015683.5 45.82, 263984.6 7015694.9 45.62, 263980.3 7015708 45.32, 263975.3 7015721 45.22, 263970.6 7015734.6 44.92, 263965.6 7015749.3 44.72, 263962.5 7015757.6 44.42, 263957.4 7015772.3 44.02, 263951.79 7015790.66 43.39, 263946.2 7015804.3 43.22, 263940 7015821.8 42.82, 263934.8 7015836.4 42.42, 263927.8 7015856.2 41.02, 263925.3 7015863.4 40.42, 263923.8 7015868.1 40.12, 263918.4 7015883.4 40.02, 263916.9 7015887.3 39.72, 263914.3 7015894.3 39.22, 263911.7 7015902.2 38.62, 263909.8 7015907.5 38.22, 263907 7015915.5 38.02, 263904.4 7015923.1 37.52, 263901.54 7015931.85 37.02, 263898.2 7015939.8 37.02, 263896 7015946.2 36.82, 263893.2 7015953.9 36.42, 263890.1 7015962.5 35.82, 263887.2 7015971.3 35.32, 263884.2 7015979.5 34.72, 263881 7015988.5 34.22, 263878 7015997.3 33.62, 263875.1 7016005.8 33.12, 263872.1 7016014.2 32.82, 263869.7 7016021.3 32.22, 263866.7 7016029.1 31.52, 263863.9 7016036.6 31.02, 263862.1 7016041.3 30.82, 263859.5 7016049.1 30.42, 263856.1 7016057.5 29.92, 263853.3 7016066 29.32, 263850.5 7016074 28.92, 263848 7016081.1 28.82, 263845.7 7016088.7 28.62, 263842.9 7016096.4 28.12, 263840.1 7016104.3 27.82, 263837.3 7016112.7 27.42, 263835.1 7016119 27.32, 263833.1 7016124.5 27.22, 263830.3 7016132.6 27.22, 263828 7016139.2 27.22, 263826.7 7016143.5 27.02, 263824.9 7016148.2 26.82, 263823.8 7016152.1 26.52, 263821.8 7016157.9 26.12, 263820.2 7016162.8 25.52, 263819.3 7016165.8 25.42, 263818.4 7016168.3 25.42, 263816.7 7016174 25.42, 263815.2 7016179.4 25.42, 263814.48 7016182.05 25.42, 263812.7 7016187.7 25.22, 263810.9 7016193.7 25.22, 263809.4 7016200 25.22, 263807.4 7016206.1 25.22, 263805.7 7016212.4 25.22, 263804.1 7016219.5 25.22, 263803.3 7016224.5 25.22, 263802.2 7016230.3 25.22, 263800.8 7016236.5 25.22, 263799.7 7016241.7 24.82, 263799.1 7016246.6 24.82, 263798.8 7016251 24.82, 263798.52 7016255.37 24.72, 263797.54 7016261.97 24.52, 263796.8 7016266.5 24.42, 263796.08 7016271.8 24.42, 263795 7016277.5 24.42, 263794.36 7016281.88 24.42, 263793.8 7016287.4 24.42, 263790.7 7016310.5 24.42, 263790.2 7016313.3 24.42, 263789.3 7016321.5 24.42, 263788.5 7016327.9 24.42, 263788.2 7016332.5 24.42, 263787.6 7016339.5 24.52, 263787.8 7016343.8 24.52, 263787.7 7016346.9 24.52, 263787.6 7016351.4 24.52, 263787.7 7016355.7 24.52, 263787.7 7016360.6 24.52, 263787.7 7016366.8 24.52, 263787.8 7016368 24.42, 263787.9 7016376.4 24.62, 263787.8 7016383.5 24.62, 263787.8 7016392.9 24.62, 263788.1 7016401.8 24.52, 263788.4 7016410.7 24.52, 263789.1 7016419.9 24.52, 263789.8 7016428.9 24.52, 263790.8 7016438.8 24.42, 263791.6 7016448.4 24.32, 263792 7016455 24.32, 263792.4 7016458.5 24.32, 263793.7 7016468.8 24.32, 263794.7 7016479.4 24.32, 263795.8 7016490.4 24.22, 263796.6 7016501 24.12, 263797.9 7016512.2 24.12, 263798.9 7016523.9 24.12, 263800.2 7016536 24.03, 263801.34 7016545.9 23.94, 263801.6 7016548.1 23.93, 263802.7 7016560.3 23.93, 263803.9 7016572.8 23.73, 263804.42 7016578.23 23.73)</t>
  </si>
  <si>
    <t>POLYGON ((264221.4336742829 7015015.119610628, 264221.425658351 7015015.141886117, 264217.72633404203 7015026.239859045, 264214.1282900665 7015036.734153973, 264206.1296103402 7015058.9304902125, 264206.12565835094 7015058.941886117, 264202.62773237313 7015069.43566405, 264198.92996888945 7015079.629498519, 264198.9271108299 7015079.637593619, 264195.5271108299 7015089.537593619, 264192.0281341021 7015099.734611457, 264188.62924126093 7015109.231517925, 264188.6275626027 7015109.236284071, 264185.1275626027 7015119.33628407, 264185.12612961786 7015119.340479277, 264181.73008779704 7015129.428721156, 264179.5346242533 7015135.017173814, 264179.5267449059 7015135.038663036, 264178.0267449059 7015139.438663036, 264178.02565835096 7015139.441886117, 264175.4267563117 7015147.238592235, 264173.92793494393 7015151.535213489, 264168.8292040041 7015166.131580493, 264166.23049063754 7015173.228066995, 264166.225658351 7015173.2418861175, 264164.62565835094 7015178.041886117, 264162.02779463574 7015185.835477263, 264158.43010328826 7015195.729128469, 264158.4282275236 7015195.734377748, 264155.1282275235 7015205.134377748, 264155.12565835094 7015205.141886117, 264152.2273402227 7015213.836840502, 264145.2291290442 7015233.431831801, 264145.22775160166 7015233.435739687, 264141.2286739683 7015244.933087883, 264138.129626058 7015253.530446602, 264138.1252123414 7015253.54323049, 264134.62761137506 7015264.135964844, 264130.73023160617 7015274.828776006, 264130.72807082185 7015274.834824787, 264127.228448394 7015284.8337460095, 264123.42883091123 7015295.532668922, 264123.425658351 7015295.541886117, 264120.1266850254 7015305.438806093, 264116.12843221804 7015316.933782915, 264111.6291290442 7015329.531831802, 264111.62719305017 7015329.53735441, 264107.3287257882 7015342.032898776, 264103.13034222653 7015353.528472814, 264103.1234378664 7015353.548710434, 264101.12575797027 7015359.841402106, 264096.62900361867 7015372.632170039, 264092.72972305014 7015383.430177768, 264092.7253179595 7015383.442910979, 264088.1261403142 7015397.340426037, 264084.4276071873 7015408.136144354, 264079.82823949866 7015421.234343641, 264075.0299967412 7015434.929327813, 264070.3338248453 7015447.419146685, 264069.9357616546 7015448.414304662, 264069.9230753746 7015448.449857062, 264066.52602053096 7015459.24050186, 264062.7293302979 7015469.831269352, 264062.7260299409 7015469.8407756835, 264058.4285413901 7015482.633299742, 264054.531287364 7015493.125906735, 264054.5274544819 7015493.13659641, 264050.82752594777 7015503.836389738, 264046.52777532546 7015516.235670603, 264042.1284061977 7015528.833864014, 264037.82886534906 7015540.932571983, 264037.8274200959 7015540.936695884, 264031.7977188753 7015558.385831257, 264029.2281926927 7015565.734476177, 264024.8283656849 7015578.233984722, 264024.8247523374 7015578.244630572, 264021.4278795221 7015588.635065066, 264019.83138907445 7015592.925633144, 264019.83010328823 7015592.929128468, 264017.03010328824 7015600.629128468, 264017.02411460725 7015600.646595003, 264015.1670879667 7015606.407371195, 264008.43041652074 7015624.828269525, 264008.4286590472 7015624.833153645, 264004.4286590472 7015636.133153644, 264004.4275512086 7015636.136316954, 264000.02755120856 7015648.836316954, 264000.027357976 7015648.836875762, 263996.127357976 7015660.136875762, 263996.1264468957 7015660.139539857, 263992.0279852393 7015672.234999868, 263988.02961034025 7015683.330490213, 263988.0269180075 7015683.338156161, 263984.1269180075 7015694.738156161, 263984.124938056 7015694.744063637, 263979.8288380899 7015707.832182138, 263974.8333271969 7015720.82051046, 263974.82742439903 7015720.836683432, 263970.127424399 7015734.436683431, 263970.1266332593 7015734.438990904, 263965.12901549943 7015749.131987118, 263962.0316039022 7015757.4250568785, 263962.027621694 7015757.436113649, 263956.92762169405 7015772.136113649, 263956.9218242145 7015772.153890732, 263951.3185793262 7015790.491783094, 263945.73734547955 7015804.110393052, 263945.72870404646 7015804.133026577, 263939.52884334704 7015821.632633389, 263934.32898324233 7015836.232240607, 263934.3285928071 7015836.233340892, 263927.3285928071 7015856.033340892, 263927.32766316785 7015856.035994155, 263924.82766316785 7015863.2359941555, 263924.82367039437 7015863.247979914, 263923.32597837923 7015867.940748227, 263917.93082484324 7015883.22701658, 263916.4333271969 7015887.12051046, 263916.43128736404 7015887.125906735, 263913.831287364 7015894.125906735, 263913.82506059064 7015894.143690827, 263911.22711386235 7015902.03745204, 263909.3293302979 7015907.331269352, 263909.3280708218 7015907.334824787, 263906.52807082183 7015915.334824787, 263906.5269180075 7015915.338156161, 263903.92691800755 7015922.9381561605, 263903.92474308313 7015922.944658882, 263901.07110196433 7015931.675204263, 263897.7390296513 7015939.606334469, 263897.72715670033 7015939.637460115, 263895.5285931769 7015946.033281275, 263892.73010328825 7015953.729128469, 263892.729626058 7015953.730446602, 263889.629626058 7015962.330446602, 263889.6251214789 7015962.343505942, 263886.7276561507 7015971.135814524, 263883.7304385739 7015979.328209234, 263883.7288926549 7015979.332495166, 263880.52889265487 7015988.332495166, 263880.5267449059 7015988.338663036, 263877.5267640158 7015997.13860698, 263874.62793240376 7016005.635182395, 263871.6291290442 7016014.031831802, 263871.6263297146 7016014.039886101, 263869.22962884116 7016021.130126185, 263866.2333271969 7016028.92051046, 263866.2315792426 7016028.925122917, 263863.4323171003 7016036.423146512, 263861.63307162415 7016041.121176367, 263861.62565835094 7016041.141886117, 263859.0306290454 7016048.926974033, 263855.63652659336 7016057.312403621, 263855.62510260945 7016057.343563212, 263852.82654638967 7016065.839180307, 263850.0282261612 7016073.834380961, 263847.52838233043 7016080.93393744, 263847.52143486997 7016080.955171078, 263845.2254115432 7016088.542030768, 263842.43010328826 7016096.229128469, 263842.4287255109 7016096.232966004, 263839.62872551085 7016104.132966003, 263839.62565835094 7016104.141886117, 263836.8267823261 7016112.538514192, 263834.62900940725 7016118.832136641, 263832.6301032882 7016124.329128468, 263832.6274376439 7016124.336645111, 263829.82764219015 7016132.436053388, 263827.5278481933 7016139.035462249, 263827.52139428636 7016139.05530525, 263826.22661701764 7016143.338030062, 263824.4330716242 7016148.021176367, 263824.418775162 7016148.064269918, 263823.3226546794 7016151.950515265, 263821.3273135092 7016157.737004659, 263821.32469727175 7016157.744799109, 263819.72469727177 7016162.644799109, 263819.7210868574 7016162.656326057, 263818.82497409906 7016165.643368585, 263817.9295562941 7016168.1306402655, 263817.92085611966 7016168.157097439, 263816.22085611965 7016173.8570974395, 263816.2182410452 7016173.866178068, 263814.7182410452 7016179.266178069, 263814.71749225655 7016179.268903557, 263814.0001084496 7016181.909274513, 263812.2231067245 7016187.549757517, 263812.2210868574 7016187.556326058, 263810.4210868574 7016193.556326058, 263810.4135968927 7016193.584189736, 263808.9184104955 7016199.863972604, 263806.92488522956 7016205.944224665, 263806.91726618115 7016205.969738493, 263805.21726618113 7016212.2697384935, 263805.21223193087 7016212.290080436, 263803.61223193083 7016219.390080435, 263803.606279684 7016219.42100475, 263802.8074162612 7016224.413901143, 263801.71037114505 7016230.198320846, 263800.31227949896 7016236.389869564, 263800.3108251484 7016236.396520704, 263799.21082514845 7016241.596520704, 263799.20370680565 7016241.639229405, 263798.6037068056 7016246.539229404, 263798.6011581536 7016246.565988055, 263798.3011581536 7016250.965988056, 263798.3010231952 7016250.968028946, 263798.0223575145 7016255.317204035, 263797.045955504 7016261.892972676, 263796.3065406321 7016266.419390744, 263796.3045508482 7016266.4326937, 263795.586309 7016271.71975175, 263794.50874042325 7016277.406919238, 263794.5052536909 7016277.427708302, 263793.86525369086 7016281.807708302, 263793.86255329684 7016281.829534392, 263793.30336835544 7016287.341500243, 263790.2058826843 7016310.422764437, 263789.70778621227 7016313.212104681, 263789.70298466133 7016313.245449536, 263788.8033947916 7016321.441712793, 263788.00386106165 7016327.837982633, 263788.001059947 7016327.8674604315, 263787.70139153884 7016332.462376024, 263787.10182667547 7016339.457299429, 263787.10053995694 7016339.5232307, 263787.2996250658 7016343.80356054, 263787.20025994285 7016346.883879353, 263787.2001234111 7016346.888891632, 263787.10012341104 7016351.388891632, 263787.1001351534 7016351.411624764, 263787.2 7016355.705813167, 263787.2 7016366.8, 263787.2017271209 7016366.841522739, 263787.30024751666 7016368.023767489, 263787.39995808364 7016376.3994551115, 263787.30004958593 7016383.492958445, 263787.3 7016383.5, 263787.3 7016392.9, 263787.3002838132 7016392.916844366, 263787.6002838132 7016401.816844366, 263787.90028381324 7016410.716844366, 263787.9014410523 7016410.737933833, 263788.6014410523 7016419.937933833, 263788.6015055185 7016419.938771794, 263789.3015055185 7016428.938771794, 263789.30253140547 7016428.950249353, 263790.30209102336 7016438.84588957, 263791.10125770274 7016448.435889723, 263791.5009157517 7016455.03024753, 263791.5032336637 7016455.056773296, 263791.9032336637 7016458.556773296, 263791.90393551055 7016458.562610081, 263793.20294968033 7016468.8547992725, 263794.2022102487 7016479.446961298, 263794.2024814049 7016479.4497518595, 263795.30187590077 7016490.443696818, 263796.10141793976 7016501.037628835, 263796.1033344886 7016501.0576486755, 263797.40246129024 7016512.250125736, 263798.4018163385 7016523.9425798, 263798.4028609874 7016523.953411629, 263799.7028609874 7016536.053411629, 263799.7032823609 7016536.057197789, 263800.84328236093 7016545.957197789, 263800.8434555795 7016545.958682523, 263801.10264232324 7016548.151801123, 263802.2020200754 7016560.3448998295, 263802.2022881961 7016560.347780333, 263803.40228262695 7016572.847722321, 263803.9222770491 7016578.277664077, 263804.91772295086 7016578.182335924, 263804.3977229509 7016572.752335924, 263803.19785003096 7016560.2536595315, 263802.0979799246 7016548.05510017, 263802.0965444205 7016548.041317477, 263801.8366321385 7016545.842059706, 263800.6969355371 7016535.944694483, 263799.3977202771 7016523.851998602, 263798.3981836616 7016512.1574202, 263798.3966655114 7016512.142351325, 263797.0978251397 7016500.952341969, 263796.2985820602 7016490.362371165, 263796.2975185951 7016490.350248141, 263795.19765808486 7016479.351643038, 263794.19778975134 7016468.7530387025, 263794.1960644895 7016468.737389918, 263792.89643256983 7016458.440306247, 263792.4982785663 7016454.956458717, 263792.0990842483 7016448.36975247, 263792.0982728791 7016448.35847726, 263791.2982728791 7016438.758477259, 263791.2974685945 7016438.749750647, 263790.29804767226 7016428.855483517, 263789.598527066 7016419.861647151, 263788.89936033427 7016410.672598676, 263788.59971618676 7016401.783155634, 263788.3 7016392.891575427, 263788.3 7016383.5035209535, 263788.3999504141 7016376.407041555, 263788.399964573 7016376.394048041, 263788.29996457294 7016367.99404804, 263788.2982728791 7016367.958477261, 263788.2 7016366.779202711, 263788.2 7016355.7, 263788.1998648466 7016355.6883752365, 263788.1001291822 7016351.39974167, 263788.1998208894 7016346.913614848, 263788.29974005715 7016343.816120647, 263788.299460043 7016343.7767693, 263788.100995306 7016339.509777454, 263788.6981733245 7016332.542700571, 263788.698940053 7016332.532539569, 263788.9979761146 7016327.947319957, 263789.79613893834 7016321.562017367, 263789.79701533867 7016321.554550464, 263790.6951765563 7016313.371303814, 263791.19221378776 7016310.587895319, 263791.1955575631 7016310.566503396, 263794.2955575631 7016287.466503397, 263794.29744670313 7016287.450465608, 263794.85633656953 7016281.941408354, 263795.4932221027 7016277.582722986, 263796.57125957677 7016271.893080762, 263796.5754491518 7016271.8673062995, 263797.2945437366 7016266.573971162, 263798.03345936787 7016262.050609256, 263798.03457756387 7016262.043437274, 263799.0145775639 7016255.443437275, 263799.0189768048 7016255.401971054, 263799.2989114125 7016251.032991641, 263799.59792728326 7016246.647425535, 263800.1936594883 7016241.782279195, 263801.2884703197 7016236.60680981, 263802.68772050104 7016230.410130436, 263802.69124326215 7016230.393166825, 263803.7912432621 7016224.593166825, 263803.79372031597 7016224.57899525, 263804.5912313674 7016219.594551179, 263806.18546412955 7016212.5201432975, 263807.8792640958 7016206.243119892, 263809.8751147705 7016200.155775335, 263809.8864031074 7016200.115810264, 263811.3830602657 7016193.8298502, 263813.17792577774 7016187.846965159, 263814.9568932755 7016182.200242483, 263814.96250774345 7016182.181096443, 263815.6821371995 7016179.532460251, 263817.1804943246 7016174.138374601, 263818.87516236404 7016168.4562523505, 263819.7704437059 7016165.969359734, 263819.7789131426 7016165.943673942, 263820.6771775561 7016162.9494592305, 263822.27402665775 7016158.059108857, 263824.2726864908 7016152.262995341, 263824.281224838 7016152.235730082, 263825.3750559075 7016148.357601745, 263827.16692837584 7016143.678823633, 263827.17860571365 7016143.64469475, 263828.47558582725 7016139.354683605, 263830.7721518067 7016132.764537751, 263830.7725623561 7016132.763354888, 263833.5712595083 7016124.667123841, 263835.56989671174 7016119.170871532, 263835.57204587426 7016119.164841416, 263837.77204587427 7016112.8648414165, 263837.774341649 7016112.858113883, 263840.57285013964 7016104.462588411, 263843.3705934257 7016096.568955569, 263846.16989671177 7016088.870871532, 263846.17856513005 7016088.844828921, 263848.4753286531 7016081.255523366, 263850.97161766957 7016074.16606256, 263850.97192917817 7016074.165175213, 263853.77192917815 7016066.165175213, 263853.7748973905 7016066.156436788, 263856.56970274285 7016057.672206254, 263859.9634734066 7016049.2875963785, 263859.97434164904 7016049.2581138825, 263862.57086283993 7016041.46855031, 263864.36692837585 7016036.778823633, 263864.3684207574 7016036.774877083, 263867.16755815555 7016029.277187623, 263870.1666728031 7016021.47948954, 263870.1736702854 7016021.460113899, 263872.5723049604 7016014.364152986, 263875.57087095577 7016005.968168198, 263875.5732164369 7016005.961450313, 263878.4732164369 7015997.461450313, 263881.4722013609 7015988.664427915, 263884.67034415115 7015979.669651317, 263887.6695614261 7015971.471790765, 263887.67487852107 7015971.456494058, 263890.5727164404 7015962.663054854, 263893.6701362633 7015954.070212766, 263896.46989671176 7015946.370871532, 263896.4728432997 7015946.362539885, 263898.66742556024 7015939.978300581, 263902.0009703487 7015932.04366553, 263902.0152569169 7015932.005341117, 263904.87419174967 7015923.258599933, 263907.47251144855 7015915.663511583, 263910.2713061418 7015907.666955316, 263912.1706697021 7015902.368730648, 263912.17493940936 7015902.356309173, 263914.77199360146 7015894.465259897, 263917.3677082845 7015887.476797288, 263918.8666728031 7015883.57948954, 263918.8714951668 7015883.566410059, 263924.27149516676 7015868.266410058, 263924.2763296056 7015868.252020086, 263925.7744089317 7015863.558038198, 263928.2718757569 7015856.3653337415, 263935.2712125958 7015836.567209541, 263940.47101675766 7015821.967759393, 263940.47129595355 7015821.966973423, 263946.6672494889 7015804.478394896, 263952.25265452045 7015790.849606948, 263952.2681757855 7015790.806109268, 263957.8754432792 7015772.455052015, 263962.9704521727 7015757.769438147, 263966.0683960978 7015749.474943121, 263966.07336674066 7015749.461009095, 263971.0729739808 7015734.7621638095, 263975.76976344397 7015721.171453874, 263980.7666728031 7015708.17948954, 263980.775061944 7015708.155936363, 263985.0740903747 7015695.05889626, 263988.9717669685 7015683.665687756, 263992.97038965975 7015672.5695097875, 263992.97355310427 7015672.560460143, 263997.07310131204 7015660.46179348, 264000.97254555795 7015649.163403742, 264005.3719001643 7015636.4652665835, 264009.3704749002 7015625.169292955, 264016.1095834793 7015606.741730475, 264016.11588539276 7015606.723404997, 264017.9730523369 7015600.962193563, 264020.7692603286 7015593.272621585, 264022.36861092557 7015588.974366856, 264022.3752476626 7015588.955369428, 264025.7735008354 7015578.560712664, 264030.1716343151 7015566.066015279, 264030.17197921267 7015566.065032188, 264032.7419792127 7015558.715032187, 264032.7425799041 7015558.713304115, 264038.7718662824 7015541.265369239, 264043.0711346509 7015529.167428017, 264043.07204587426 7015529.164841416, 264047.4720458743 7015516.564841417, 264047.472402377 7015516.563816953, 264051.772402377 7015504.163816953, 264055.47068977536 7015493.468770198, 264059.368712636 7015482.974093265, 264059.37397005915 7015482.959224316, 264063.6723677103 7015470.163994099, 264067.4706697021 7015459.568730649, 264067.4769246254 7015459.550142938, 264070.87125298154 7015448.768158748, 264071.26423834544 7015447.785695338, 264071.2680105425 7015447.775971964, 264075.9680105425 7015435.275971964, 264075.9718754552 7015435.265328626, 264080.77181806945 7015421.565492415, 264085.37176050135 7015408.465656359, 264085.3730113504 7015408.462050185, 264089.07301135035 7015397.662050185, 264089.0746820405 7015397.657089021, 264093.6725652858 7015383.763485301, 264097.57027694985 7015372.969822232, 264097.57169891265 7015372.965831649, 264102.07169891265 7015360.165831649, 264102.07656213356 7015360.151289566, 264104.073326375 7015353.861482206, 264108.26965777343 7015342.371527187, 264108.2728069498 7015342.362645591, 264112.5718551114 7015329.865412563, 264117.07087095577 7015317.268168198, 264117.0722483983 7015317.264260313, 264121.0722483983 7015305.764260313, 264121.074341649 7015305.7581138825, 264124.37280029594 7015295.8627379425, 264128.1711690888 7015285.167331078, 264128.1719291782 7015285.165175213, 264131.6708682113 7015275.168206546, 264135.5697683938 7015264.471223994, 264135.5747876586 7015264.45676951, 264139.0726672555 7015253.863191303, 264142.170373942 7015245.269553398, 264142.17224839836 7015245.264260313, 264146.17156778194 7015233.766217085, 264153.1708709558 7015214.168168198, 264153.17434164905 7015214.158113883, 264156.0730868572 7015205.461878258, 264159.37084922125 7015196.068252131, 264162.96989671176 7015186.170871532, 264162.97434164904 7015186.158113883, 264165.574341649 7015178.358113883, 264167.17202667135 7015173.565058816, 264169.76950936246 7015166.471933005, 264169.77202989906 7015166.464887156, 264174.8720298991 7015151.8648871565, 264176.3721000907 7015147.564686079, 264176.37434164906 7015147.558113883, 264178.9738038503 7015139.759727279, 264180.4695614093 7015135.372171773, 264182.6653757467 7015129.782826186, 264182.67387038213 7015129.759520723, 264186.0731631923 7015119.661621492, 264189.5716101059 7015109.566103256, 264192.97075873904 7015100.068482076, 264192.97293231596 7015100.062280697, 264196.4729108078 7015089.862343377, 264199.8714948891 7015079.9664662, 264203.57003111055 7015069.77050148, 264203.574341649 7015069.7581138825, 264207.072434387 7015059.263835669, 264215.0703896597 7015037.0695097875, 264215.07297297294 7015037.062162163, 264218.67297297297 7015026.562162163, 264218.67434164905 7015026.558113883, 264222.3705974314 7015015.469346535, 264224.24632571713 7015010.620389372, 264223.3136742829 7015010.259610629, 264221.4336742829 7015015.119610628))</t>
  </si>
  <si>
    <t>['EV6 S71D1 m7241-8948']</t>
  </si>
  <si>
    <t>LINESTRING Z (264196.7 7018182 18.330000000000002, 264196.9 7018185.1 18.330000000000002, 264197.6 7018194.2 18.63, 264198.3 7018205.3 18.830000000000002, 264198.5 7018215.9 18.93, 264198.6 7018227 18.93, 264198.8 7018237.6 18.93, 264198.6 7018248.2 18.93, 264198.5 7018258.4 18.93, 264198.3 7018269.8 18.93, 264198.1 7018281.1 18.93, 264198 7018291.4 18.93, 264197.7 7018301.7 18.830000000000002, 264197.2 7018313.8 18.73, 264196.6 7018325.7 18.63, 264196.1 7018337.5 18.63, 264195.4 7018349.7 18.63, 264194.7 7018361 18.43, 264193.9 7018372.2 18.23, 264193.1 7018384.3 17.93, 264192.3 7018396.1 17.73, 264191.2 7018407.9 17.53, 264190.27 7018418.72 20.75, 264188.7 7018430.2 17.43, 264187.2 7018441.2 17.330000000000002, 264185.1 7018452.5 17.330000000000002, 264182.8 7018463.8 17.330000000000002, 264180.2 7018474.9 17.43, 264176.9 7018486.7 17.63, 264173.5 7018497.1 17.73, 264169.3 7018508.6 17.830000000000002, 264165.9 7018517.4 17.93, 264163 7018524.1 17.93, 264158.8 7018533.3 18.23, 264154.4 7018542 18.43, 264150.4 7018549.5 18.53, 264147.9 7018553.6 18.53, 264143.4 7018561.4 18.63, 264138 7018569.8 18.73, 264132.2 7018578.5 18.830000000000002, 264126 7018586.9 18.830000000000002, 264121.2 7018592.9 18.830000000000002, 264113.7 7018602.3 18.830000000000002, 264107.4 7018609.7 18.830000000000002, 264099.2 7018619.2 18.830000000000002, 264092.3 7018627.1 18.830000000000002, 264085.6 7018634.6 18.830000000000002, 264081.4 7018639.1 18.830000000000002, 264075 7018646.2 18.830000000000002, 264067.2 7018654.9 18.830000000000002, 264061 7018661.5 18.830000000000002, 264053.8 7018669.2 18.830000000000002, 264047.3 7018675.8 18.830000000000002, 264040.7 7018682.3 18.830000000000002, 264034.3 7018688.5 18.830000000000002, 264026.8 7018695.3 18.830000000000002, 264019.9 7018701.4 18.830000000000002, 264012.3 7018707.8 18.830000000000002, 264004.3 7018713.9 18.830000000000002, 263997.3 7018719.5 18.830000000000002, 263990.4 7018724.6 18.830000000000002, 263985.5 7018728.2 18.830000000000002, 263979.7 7018732.1 18.830000000000002, 263973.6 7018736.5 18.830000000000002, 263966.4 7018740.9 18.830000000000002, 263959.4 7018745.1 18.830000000000002, 263952.5 7018749.2 18.830000000000002, 263946.2 7018752.9 18.830000000000002, 263940.3 7018756.2 18.830000000000002, 263934.3 7018759.3 18.830000000000002, 263928.8 7018762.4 18.830000000000002, 263924.3 7018764.6 18.830000000000002, 263913.7 7018769.4 18.830000000000002, 263904.8 7018773.7 18.830000000000002, 263895.3 7018777.9 18.830000000000002, 263884.7 7018782.3 18.830000000000002, 263875 7018786.5 18.830000000000002, 263865 7018790.6 18.830000000000002, 263855.6 7018794.5 18.73, 263846 7018798.5 18.73, 263837.6 7018801.9 18.73, 263829.1 7018805.5 18.63, 263820.6 7018809 18.43, 263811.7 7018812.8 18.330000000000002, 263802.3 7018816.4 18.23, 263794.2 7018819.9 18.13, 263786.8 7018823 18.03, 263780.2 7018825.6 17.830000000000002, 263773.1 7018828.5 17.63, 263767 7018831 17.23, 263760.6 7018833.6 17.13, 263754.1 7018836.5 17.13, 263741.5 7018841.3 17.13, 263734.8 7018844.2 17.13, 263724.8 7018848.7 17.13, 263715.2 7018853 17.13, 263705.7 7018857.8 17.13, 263697.3 7018861.9 17.13, 263688.6 7018866.8 17.13, 263680.6 7018871.6 17.13, 263676.3 7018874.4 17.13, 263667.4 7018879.8 17.13, 263663.7 7018882.3 17.13, 263656.1 7018887.3 17.13, 263648.6 7018892.8 17.13, 263640 7018899.5 17.13, 263631.9 7018905.8 17.13, 263623.9 7018912.3 17.13, 263616.3 7018919.1 17.13, 263610 7018925.2 17.13, 263603.5 7018931.3 17.13, 263597.3 7018937.6 17.13, 263591.6 7018943.7 17.13, 263587.4 7018948.1 17.13, 263583 7018952.6 17.13, 263577.2 7018958.9 17.13, 263572.1 7018964.7 17.13, 263567.1 7018970.4 17.13, 263561.7 7018976.8 17.13, 263556.4 7018983.3 17.13, 263552.1 7018988.5 17.23, 263546.8 7018995 17.43, 263542.9 7019000.3 17.63, 263540.7 7019003.3 17.63, 263538.45 7019006.25 17.63, 263531.3 7019015.1 17.73, 263527.3 7019020.7 17.73, 263523.4 7019026 17.830000000000002, 263520.4 7019030.2 17.93, 263516.2 7019036.3 18.03, 263510 7019045.8 18.03, 263503.9 7019054.9 18.07, 263500.3 7019060.5 18.09, 263494.7 7019069.2 18.13, 263489 7019078.3 18.17, 263483.5 7019087.3 18.21, 263478.3 7019096.1 18.25, 263472.6 7019105.3 18.29, 263467.8 7019114.6 18.330000000000002, 263462.9 7019123 18.36, 263457.8 7019132.2 18.400000000000002, 263453.4 7019140.9 18.44, 263448.7 7019149.9 18.48, 263445.6 7019155.9 18.5, 263443.1 7019160.5 18.52, 263438.3 7019169.6 18.56, 263434.6 7019177.2 18.59, 263431.26 7019184.58 18.62, 263430.3 7019186.7 18.63, 263426.5 7019194.9 18.66, 263421.9 7019204.8 18.71, 263419.05 7019211.01 18.73, 263417.5 7019214.4 18.75, 263413.01 7019224.31 18.79, 263406.11 7019239.46 19.53, 263399.62 7019253.5 18.91, 263395.2 7019262.8 18.94, 263389.1 7019276.63 19, 263381.68 7019292.56 19.400000000000002, 263377.31 7019301.6 19.62, 263375.89 7019304.77 19.7, 263372.45 7019312.42 19.73, 264141.14 7017988.52 18.03, 264143.9 7017993.6 18.03, 264145.6 7017996.6 18.13, 264147.6 7018000 18.03, 264149.1 7018002.9 18.13, 264151.9 7018008.8 18.13, 264153.8 7018012.7 18.13, 264158.6 7018024.3 18.13, 264161.4 7018033.6 18.13, 264164.9 7018042.9 18.13, 264167.7 7018052.1 18.13, 264170.9 7018062.6 18.13, 264173.5 7018072.5 18.13, 264176.1 7018082.9 18.13, 264178.5 7018092 18.13, 264180.3 7018100.8 18.13, 264183 7018110.2 18.13, 264185.4 7018118.4 18.13, 264187.6 7018127.1 18.13, 264189.6 7018135.1 18.13, 264191 7018141.6 18.13, 264192.2 7018147 18.13, 264192.7 7018151 18.13, 264193.7 7018157.7 18.23, 264194.6 7018164.4 18.23, 264195.5 7018170.3 18.23, 264196.7 7018182 18.330000000000002)</t>
  </si>
  <si>
    <t>['EV6 S72D1 m6544-7025']</t>
  </si>
  <si>
    <t>LINESTRING Z (263410.59 7027153.5 7.3, 263418.5 7027161.1 7.23, 263428.08 7027170.23 7.140000000000001, 263439.5 7027181.2 7.13, 263449.9 7027191.2 7.13, 263460.4 7027201.2 7.03, 263470.8 7027211.3 7.03, 263481.3 7027221.3 7.03, 263491.8 7027231.3 7.03, 263502.2 7027241.3 7.03, 263512.7 7027251.5 7.13, 263523.1 7027261.5 7.13, 263533.5 7027271.5 7.23, 263544 7027281.5 7.23, 263554.4 7027291.6 7.33, 263564.9 7027301.6 7.43, 263575.4 7027311.6 7.53, 263585.8 7027321.7 7.63, 263594.3 7027329.7 7.63, 263600.1 7027335.2 7.73, 263605.9 7027340.9 7.83, 263611.5 7027346.4 7.930000000000001, 263617.3 7027352 7.930000000000001, 263623.1 7027357.7 8.03, 263628.8 7027363.3 8.13, 263634.5 7027368.9 8.23, 263640.1 7027374.7 8.33, 263645.8 7027380.3 8.33, 263651.4 7027386.2 8.43, 263659 7027394.2 8.63, 263667.6 7027403.3 8.73, 263676 7027412.6 8.93, 263684.3 7027422 9.13, 263692.5 7027431.3 9.23, 263700.6 7027440.9 9.43, 263708.6 7027450.5 9.63, 263716.4 7027460.2 9.73, 263724.2 7027470 9.93, 263731.7 7027479.9 10.13, 263739.3 7027489.9 10.23, 263745.15 7027498 10.39)</t>
  </si>
  <si>
    <t>POLYGON ((263418.15358230553 7027161.46054789, 263418.1550497879 7027161.461952139, 263427.73433467123 7027170.5912706135, 263439.1535341007 7027181.560501589, 263449.5534456419 7027191.560416533, 263449.5551724138 7027191.562068965, 263460.0534068749 7027201.5603875, 263470.4516578596 7027211.658688936, 263470.4551724138 7027211.662068965, 263491.45430700085 7027231.661244762, 263501.85252416506 7027241.659530497, 263512.35160715785 7027251.85863969, 263512.3534456419 7027251.8604165325, 263522.75344564184 7027261.8604165325, 263533.15344564186 7027271.8604165325, 263533.1551724138 7027271.862068965, 263543.65340687486 7027281.860387499, 263554.05165785964 7027291.958688936, 263554.0551724138 7027291.962068965, 263575.0534068748 7027311.960387499, 263585.4516578596 7027322.058688937, 263585.4573176505 7027322.064099996, 263593.95663466473 7027330.063457186, 263599.75271658786 7027335.559741768, 263605.5495342366 7027341.2566142855, 263611.14964599255 7027346.756724081, 263611.1527027432 7027346.75970073, 263616.9511116721 7027352.358164524, 263622.74953423656 7027358.056614285, 263628.4495891214 7027363.656668216, 263634.1448823728 7027369.252044043, 263639.7402992697 7027375.047297257, 263639.7495891214 7027375.056668216, 263645.4433592163 7027380.650547608, 263651.0373468546 7027386.544213155, 263658.63705171656 7027394.543902556, 263667.2327296801 7027403.639329238, 263675.62706124637 7027412.933053472, 263683.9250806294 7027422.330810363, 263692.121363978 7027431.626595137, 263700.2168681802 7027441.221266785, 263708.2130904252 7027450.816733479, 263716.0095667858 7027460.512351517, 263723.80506444187 7027470.3066947255, 263731.3014539259 7027480.201928845, 263731.30191890296 7027480.202541634, 263738.8982299183 7027490.197687707, 263744.7446603858 7027498.292745277, 263745.5553396142 7027497.707254723, 263739.7053396142 7027489.607254723, 263739.69808109704 7027489.597458366, 263732.09831383504 7027479.5977646, 263724.5985460741 7027469.698071156, 263724.5912121098 7027469.688627096, 263716.7912121098 7027459.888627096, 263716.78964936984 7027459.886673703, 263708.9896493698 7027450.186673703, 263708.9841106398 7027450.1799078, 263700.9841106398 7027440.5799078, 263700.98214574176 7027440.577564531, 263692.8821457418 7027430.97756453, 263692.87503658835 7027430.969322578, 263684.67503658833 7027421.669322578, 263676.3748025447 7027412.269057327, 263676.3710513214 7027412.26485687, 263667.97105132136 7027402.9648568705, 263667.9633958116 7027402.956570991, 263659.36339581164 7027393.856570992, 263659.3624997168 7027393.855625269, 263651.7625762704 7027385.855705852, 263646.16265314544 7027379.955786845, 263646.1504108786 7027379.943331784, 263640.4551176282 7027374.347955959, 263634.8597007303 7027368.552702744, 263634.85041087866 7027368.543331784, 263629.15041087865 7027362.943331784, 263623.4504356761 7027357.3433561465, 263617.6504657634 7027351.643385715, 263617.6472972568 7027351.64029927, 263611.84883201856 7027346.041781109, 263606.2504086796 7027340.543329615, 263600.4504657634 7027334.843385715, 263600.44404579146 7027334.837188074, 263594.6440457915 7027329.337188074, 263594.6426823495 7027329.335900004, 263586.145533436 7027321.33858338, 263575.7483421404 7027311.241311063, 263575.7448275862 7027311.2379310345, 263554.74659312516 7027291.2396125, 263544.3483421404 7027281.141311063, 263544.3448275862 7027281.137931035, 263533.84569299914 7027271.138755238, 263523.4465543581 7027261.1395834675, 263513.04747583496 7027251.140469503, 263502.5483928422 7027240.94136031, 263502.54655435815 7027240.939583467, 263492.1465543581 7027230.939583467, 263492.1448275862 7027230.937931035, 263471.14659312513 7027210.9396125, 263460.7483421404 7027200.841311064, 263460.7448275862 7027200.837931035, 263450.24569299916 7027190.838755238, 263439.84655435814 7027180.839583468, 263428.4263776325 7027169.869413623, 263428.4249502121 7027169.868047861, 263418.8456854124 7027160.738748526, 263410.9364176945 7027153.13945211, 263410.24358230556 7027153.86054789, 263418.15358230553 7027161.46054789))</t>
  </si>
  <si>
    <t>['EV6 S73D1 m2241-3232']</t>
  </si>
  <si>
    <t>LINESTRING Z (267311.15 7030633.06 123.60000000000001, 267313.63 7030636.2 123.84, 267315.99 7030639.22 124.07000000000001, 267317.57 7030641.26 124.23, 267318.34 7030642.26 124.3, 267320.67 7030645.32 124.54, 267322.98 7030648.38 124.77, 267327.56 7030654.54 125.23, 267330.1 7030658.01 125.48, 267332.08 7030660.74 125.69, 267336.54 7030666.99 126.14, 267338.43 7030669.67 126.33, 267340.95 7030673.28 126.59, 267345.3 7030679.61 127.03, 267346.57 7030681.48 127.16, 267349.6 7030685.97 127.47, 267353.85 7030692.36 127.9, 267354.53 7030693.4 127.97, 267357.26 7030697.57 128.24, 267358.05 7030698.78 128.32, 267362.33 7030705.44 128.75, 267366.32 7030711.72 129.15, 267369.97 7030717.56 129.51, 267370.39 7030718.24 129.55, 267374.42 7030724.76 129.95, 267378.42 7030731.32 130.35, 267382.38 7030737.89 130.73, 267384.88 7030742.07 130.97, 267386.32 7030744.49 131.11, 267390.22 7030751.1 131.49, 267394.1 7030757.72 131.85, 267397.95 7030764.36 132.21, 267401.79 7030771.01 132.57, 267405.61 7030777.67 132.92000000000002, 267406.52 7030779.27 133, 267413.2 7030791.02 133.6, 267413.61 7030791.73 133.63, 267420.74 7030804.39 134.25, 267427.69 7030816.73 134.83, 267434.73 7030829.25 135.4, 267441.75 7030841.76 135.95, 267448.78 7030854.26 136.47, 267454.86 7030865.08 136.9, 267455.82 7030866.78 136.97, 267462.85 7030879.28 137.45000000000002, 267469.88 7030891.8 137.91, 267476.92 7030904.31 138.35, 267483.94 7030916.83 138.77, 267490.98 7030929.33 139.16, 267498.01 7030941.85 139.53, 267505.04 7030954.36 139.88, 267512.08 7030966.88 140.21, 267519.11 7030979.39 140.52, 267526.15 7030991.91 140.81, 267533.19 7031004.42 141.07, 267537.91000000003 7031012.81 141.23, 267540.23 7031016.94 141.31, 267547.26 7031029.45 141.54, 267554.3 7031041.98 141.73, 267561.33 7031054.49 141.91, 267622.79 7031163.85 143.37, 267630.31 7031177.21 143.56, 267637.82 7031190.58 143.77, 267645.33 7031203.94 144.01, 267648.13 7031208.91 144.11, 267652.85 7031217.31 144.27, 267658.89 7031228.08 144.5, 267075.51 7030451.33 105.58, 267076.05 7030451.56 105.61, 267079.67 7030453.16 105.85000000000001, 267083.29 7030454.79 106.08, 267086.89 7030456.44 106.32000000000001, 267090.47 7030458.11 106.56, 267094.06 7030459.8 106.8, 267097.62 7030461.52 107.03, 267101.19 7030463.26 107.27, 267104.73 7030465.02 107.51, 267108.26 7030466.81 107.75, 267111.79 7030468.62 107.98, 267115.3 7030470.45 108.22, 267118.8 7030472.3 108.46000000000001, 267122.28 7030474.18 108.7, 267125.77 7030476.08 108.94, 267129.22 7030478 109.17, 267132.67 7030479.95 109.41, 267136.11 7030481.91 109.65, 267139.53 7030483.9 109.89, 267142.95 7030485.92 110.12, 267146.35 7030487.95 110.36, 267149.74 7030490 110.60000000000001, 267153.11 7030492.08 110.84, 267156.47 7030494.17 111.07000000000001, 267159.81 7030496.29 111.31, 267163.15 7030498.43 111.55, 267166.47 7030500.59 111.79, 267169.77 7030502.77 112.02, 267173.06 7030504.99 112.26, 267176.34 7030507.21 112.5, 267179.59 7030509.46 112.74000000000001, 267182.84 7030511.73 112.97, 267186.07 7030514.02 113.21000000000001, 267189.29 7030516.33 113.45, 267192.5 7030518.66 113.69, 267195.68 7030521 113.92, 267198.85 7030523.38 114.16, 267202.01 7030525.77 114.4, 267205.15 7030528.19 114.64, 267208.27 7030530.62 114.87, 267211.38 7030533.07 115.11, 267214.47 7030535.54 115.35000000000001, 267217.55 7030538.04 115.59, 267220.61 7030540.55 115.82000000000001, 267223.65 7030543.08 116.06, 267226.69 7030545.63 116.3, 267229.7 7030548.2 116.54, 267232.69 7030550.8 116.78, 267235.67 7030553.41 117.01, 267238.64 7030556.04 117.25, 267241.58 7030558.68 117.49000000000001, 267244.5 7030561.35 117.73, 267247.42 7030564.04 117.96000000000001, 267250.31 7030566.75 118.2, 267253.18 7030569.47 118.44, 267256.04 7030572.21 118.68, 267258.88 7030574.97 118.91, 267261.7 7030577.75 119.15, 267264.51 7030580.55 119.39, 267267.29 7030583.37 119.63, 267270.06 7030586.2 119.86, 267272.81 7030589.05 120.10000000000001, 267275.54 7030591.92 120.34, 267278.25 7030594.8 120.58, 267280.94 7030597.71 120.81, 267283.62 7030600.63 121.05, 267286.27 7030603.56 121.29, 267288.91000000003 7030606.52 121.53, 267291.52 7030609.49 121.76, 267294.13 7030612.48 122, 267296.62 7030615.39 122.23, 267299.11 7030618.33 122.46000000000001, 267301.57 7030621.27 122.69, 267304.02 7030624.23 122.92, 267306.44 7030627.2 123.15, 267307.84 7030628.92 123.29, 267308.86 7030630.18 123.38000000000001, 267311.15 7030633.06 123.60000000000001)</t>
  </si>
  <si>
    <t>POLYGON Z ((267311.15 7030633.06 123.60000000000001, 267313.63 7030636.2 123.84, 267315.99 7030639.22 124.07000000000001, 267317.57 7030641.26 124.23, 267318.34 7030642.26 124.3, 267320.67 7030645.32 124.54, 267322.98 7030648.38 124.77, 267327.56 7030654.54 125.23, 267330.1 7030658.01 125.48, 267332.08 7030660.74 125.69, 267336.54 7030666.99 126.14, 267338.43 7030669.67 126.33, 267340.95 7030673.28 126.59, 267345.3 7030679.61 127.03, 267346.57 7030681.48 127.16, 267349.6 7030685.97 127.47, 267353.85 7030692.36 127.9, 267354.53 7030693.4 127.97, 267357.26 7030697.57 128.24, 267358.05 7030698.78 128.32, 267362.33 7030705.44 128.75, 267366.32 7030711.72 129.15, 267369.97 7030717.56 129.51, 267370.39 7030718.24 129.55, 267374.42 7030724.76 129.95, 267378.42 7030731.32 130.35, 267382.38 7030737.89 130.73, 267384.88 7030742.07 130.97, 267386.32 7030744.49 131.11, 267390.22 7030751.1 131.49, 267394.1 7030757.72 131.85, 267397.95 7030764.36 132.21, 267401.79 7030771.01 132.57, 267405.61 7030777.67 132.92000000000002, 267406.52 7030779.27 133, 267413.2 7030791.02 133.6, 267413.61 7030791.73 133.63, 267420.74 7030804.39 134.25, 267427.69 7030816.73 134.83, 267434.73 7030829.25 135.4, 267441.75 7030841.76 135.95, 267448.78 7030854.26 136.47, 267454.86 7030865.08 136.9, 267455.82 7030866.78 136.97, 267462.85 7030879.28 137.45000000000002, 267469.88 7030891.8 137.91, 267476.92 7030904.31 138.35, 267483.94 7030916.83 138.77, 267490.98 7030929.33 139.16, 267498.01 7030941.85 139.53, 267505.04 7030954.36 139.88, 267512.08 7030966.88 140.21, 267519.11 7030979.39 140.52, 267526.15 7030991.91 140.81, 267533.19 7031004.42 141.07, 267537.91000000003 7031012.81 141.23, 267540.23 7031016.94 141.31, 267547.26 7031029.45 141.54, 267554.3 7031041.98 141.73, 267561.33 7031054.49 141.91, 267622.79 7031163.85 143.37, 267630.31 7031177.21 143.56, 267637.82 7031190.58 143.77, 267645.33 7031203.94 144.01, 267648.13 7031208.91 144.11, 267652.85 7031217.31 144.27, 267658.89 7031228.08 144.5, 267075.51 7030451.33 105.58, 267076.05 7030451.56 105.61, 267079.67 7030453.16 105.85000000000001, 267083.29 7030454.79 106.08, 267086.89 7030456.44 106.32000000000001, 267090.47 7030458.11 106.56, 267094.06 7030459.8 106.8, 267097.62 7030461.52 107.03, 267101.19 7030463.26 107.27, 267104.73 7030465.02 107.51, 267108.26 7030466.81 107.75, 267111.79 7030468.62 107.98, 267115.3 7030470.45 108.22, 267118.8 7030472.3 108.46000000000001, 267122.28 7030474.18 108.7, 267125.77 7030476.08 108.94, 267129.22 7030478 109.17, 267132.67 7030479.95 109.41, 267136.11 7030481.91 109.65, 267139.53 7030483.9 109.89, 267142.95 7030485.92 110.12, 267146.35 7030487.95 110.36, 267149.74 7030490 110.60000000000001, 267153.11 7030492.08 110.84, 267156.47 7030494.17 111.07000000000001, 267159.81 7030496.29 111.31, 267163.15 7030498.43 111.55, 267166.47 7030500.59 111.79, 267169.77 7030502.77 112.02, 267173.06 7030504.99 112.26, 267176.34 7030507.21 112.5, 267179.59 7030509.46 112.74000000000001, 267182.84 7030511.73 112.97, 267186.07 7030514.02 113.21000000000001, 267189.29 7030516.33 113.45, 267192.5 7030518.66 113.69, 267195.68 7030521 113.92, 267198.85 7030523.38 114.16, 267202.01 7030525.77 114.4, 267205.15 7030528.19 114.64, 267208.27 7030530.62 114.87, 267211.38 7030533.07 115.11, 267214.47 7030535.54 115.35000000000001, 267217.55 7030538.04 115.59, 267220.61 7030540.55 115.82000000000001, 267223.65 7030543.08 116.06, 267226.69 7030545.63 116.3, 267229.7 7030548.2 116.54, 267232.69 7030550.8 116.78, 267235.67 7030553.41 117.01, 267238.64 7030556.04 117.25, 267241.58 7030558.68 117.49000000000001, 267244.5 7030561.35 117.73, 267247.42 7030564.04 117.96000000000001, 267250.31 7030566.75 118.2, 267253.18 7030569.47 118.44, 267256.04 7030572.21 118.68, 267258.88 7030574.97 118.91, 267261.7 7030577.75 119.15, 267264.51 7030580.55 119.39, 267267.29 7030583.37 119.63, 267270.06 7030586.2 119.86, 267272.81 7030589.05 120.10000000000001, 267275.54 7030591.92 120.34, 267278.25 7030594.8 120.58, 267280.94 7030597.71 120.81, 267283.62 7030600.63 121.05, 267286.27 7030603.56 121.29, 267288.91000000003 7030606.52 121.53, 267291.52 7030609.49 121.76, 267294.13 7030612.48 122, 267296.62 7030615.39 122.23, 267299.11 7030618.33 122.46000000000001, 267301.57 7030621.27 122.69, 267304.02 7030624.23 122.92, 267306.44 7030627.2 123.15, 267307.84 7030628.92 123.29, 267308.86 7030630.18 123.38000000000001, 267311.15 7030633.06 123.60000000000001))</t>
  </si>
  <si>
    <t>['EV6 S74D1 m0-1910', 'EV6 S73D1 m3238-3788']</t>
  </si>
  <si>
    <t>LINESTRING Z (267661.83 7031233.3 144.61, 267667.87 7031244.04 144.86, 267668.2 7031244.62 144.88, 267675.38 7031257.4 145.19, 267682.89 7031270.76 145.54, 267742.32 7031376.5 148.44, 267756.05 7031400.94 149.11, 267795.56 7031471.21 151.03, 267805.44 7031488.77 151.49, 267815.31 7031506.35 151.92000000000002, 267825.19 7031523.92 152.32, 267835.06 7031541.5 152.68, 267844.94 7031559.07 153.01, 267854.82 7031576.65 153.31, 267864.7 7031594.22 153.57, 267874.57 7031611.8 153.79, 267909.78 7031674.42 154.54, 267916.2 7031685.83 154.68, 267922.55 7031697.13 154.82, 267928.97 7031708.47 154.95000000000002, 267931.55 7031712.92 155.01, 267934.42 7031718.08 155.07, 267935.4 7031719.8 155.09, 267941.86 7031731.11 155.22, 267943.89 7031734.74 155.27, 267945.65 7031737.7 155.31, 267948.35 7031742.4 155.36, 267954.91000000003 7031753.67 155.5, 267961.5 7031764.91 155.63, 267967.98 7031775.79 155.76, 267974.51 7031786.64 155.9, 267981.1 7031797.46 156.03, 267987.74 7031808.25 156.16, 267994.44 7031819 156.29, 268001.2 7031829.71 156.42000000000002, 268008.01 7031840.39 156.56, 268014.88 7031851.03 156.69, 268021.82 7031861.63 156.82, 268028.8 7031872.2 156.95000000000002, 268035.84 7031882.73 157.08, 268042.92 7031893.23 157.22, 268050.08 7031903.68 157.35, 268057.29 7031914.1 157.48, 268064.54 7031924.48 157.61, 268071.85 7031934.82 157.75, 268079.43 7031945.43 157.88, 268087.07 7031955.99 158.02, 268094.73 7031966.51 158.15, 268102.44 7031977.02 158.29, 268110.18 7031987.5 158.42000000000002, 268115.54 7031994.74 158.52, 268117.93 7031997.97 158.56, 268128.68 7032012.43 158.72, 268133.49 7032018.88 158.79, 268141.85 7032030.11 158.88, 268145.11 7032034.51 158.91, 268154.97 7032047.81 158.99, 268156.71 7032050.17 159, 268162.49 7032058.01 159.03, 268168.03 7032065.57 159.05, 268173.99 7032073.73 159.06, 268179.71 7032081.63 159.06, 268180.98 7032083.4 159.06, 268185.38 7032089.54 159.05, 268191.03 7032097.48 159.04, 268193.78 7032101.35 159.02, 268196.65 7032105.43 159.01, 268202.22 7032113.42 158.97, 268206.37 7032119.43 158.94, 268207.75 7032121.45 158.93, 268213.23 7032129.5 158.87, 268218.72 7032137.69 158.81, 268224.02 7032145.73 158.74, 268228.47 7032152.55 158.68, 268232.87 7032159.42 158.62, 268237.22 7032166.3 158.56, 268241.54 7032173.23 158.5, 268245.82 7032180.16 158.44, 268250.04 7032187.13 158.39000000000001, 268254.24 7032194.13 158.33, 268258.38 7032201.15 158.27, 268262.47 7032208.19 158.21, 268266.53 7032215.27 158.15, 268270.54 7032222.37 158.09, 268272.85 7032226.53 158.06, 268274.5 7032229.5 158.03, 268278.42 7032236.65 157.98, 268282.3 7032243.82 157.92000000000002, 268286.13 7032251.01 157.86, 268289.92 7032258.23 157.8, 268293.65 7032265.48 157.75, 268297.35 7032272.75 157.69, 268301 7032280.03 157.63, 268304.6 7032287.35 157.57, 268308.16000000003 7032294.69 157.51, 268311.67 7032302.05 157.44, 268315.13 7032309.42 157.38, 268318.55 7032316.83 157.32, 268321.92 7032324.25 157.26, 268325.25 7032331.69 157.21, 268328.53 7032339.15 157.16, 268331.76 7032346.64 157.1, 268334.94 7032354.14 157.04, 268338.08 7032361.66 156.98, 268341.17 7032369.21 156.91, 268344.21 7032376.78 156.85, 268347.21 7032384.35 156.79, 268350.16000000003 7032391.96 156.75, 268353.06 7032399.57 156.69, 268355.91000000003 7032407.21 156.63, 268358.71 7032414.87 156.57, 268361.47 7032422.54 156.51, 268364.18 7032430.23 156.44, 268366.84 7032437.94 156.4, 268369.45 7032445.66 156.34, 268372.02 7032453.4 156.28, 268374.54 7032461.15 156.22, 268377 7032468.92 156.16, 268379.41000000003 7032476.71 156.1, 268381.78 7032484.51 156.04, 268384.11 7032492.32 155.99, 268386.38 7032500.16 155.93, 268388.6 7032508 155.87, 268390.77 7032515.86 155.81, 268392.89 7032523.73 155.75, 268394.97 7032531.61 155.69, 268396.99 7032539.52 155.63, 268398.97 7032547.42 155.57, 268400.89 7032555.34 155.51, 268402.77 7032563.27 155.46, 268404.59 7032571.22 155.4, 268406.37 7032579.18 155.34, 268408.09 7032587.14 155.28, 268409.77 7032595.13 155.22, 268411.39 7032603.12 155.16, 268412.97 7032611.12 155.1, 268414.49 7032619.13 155.04, 268415.97 7032627.14 154.99, 268417.35 7032634.85 154.93, 268418.67 7032642.56 154.88, 268419.96 7032650.29 154.82, 268421.21 7032658.02 154.76, 268422.43 7032665.76 154.71, 268423.62 7032673.49 154.65, 268424.78 7032681.23 154.6, 268425.93 7032688.98 154.54, 268428.16000000003 7032704.47 154.43, 268430.34 7032719.99 154.32, 268434.47 7032749.87 154.1, 268438.53 7032779.76 153.88, 268442.53 7032809.65 153.66, 268446.43 7032839.57 153.44, 268450.26 7032869.49 153.23, 268454.03 7032899.42 153.01, 268454.5 7032903.23 152.99, 268456.14 7032916.57 152.89000000000001, 268457.71 7032929.35 152.8, 268461.32 7032959.3 152.58, 268468.89 7033022.7 152.12, 268472.5 7033052.96 151.92000000000002, 268476.1 7033083.21 151.73, 268479.72 7033113.46 151.57, 268483.32 7033143.72 151.44, 268486.94 7033173.97 151.32, 268490.54 7033204.22 151.23, 268494.16000000003 7033234.48 151.16, 268497.76 7033264.74 151.12, 268501.37 7033294.99 151.09, 268504.98 7033325.24 151.1, 268508.59 7033355.5 151.12, 268512.2 7033385.75 151.17000000000002, 268515.8 7033416.01 151.24, 268519.42 7033446.26 151.33, 268523.02 7033476.51 151.45000000000002, 268524.34 7033487.58 151.5)</t>
  </si>
  <si>
    <t>POLYGON ((267667.4341905593 7031244.285092087, 267667.435418084 7031244.287262125, 267667.7647482303 7031244.866084807, 267674.94408476056 7031257.6449038675, 267682.45413211524 7031271.004988137, 267741.884103267 7031376.744936809, 267755.61407892004 7031401.184893471, 267795.1241675162 7031471.455051109, 267805.0041260364 7031489.014977428, 267814.87401367916 7031506.594777303, 267824.75409613614 7031524.164924172, 267834.62401367916 7031541.744777303, 267844.50414853456 7031559.315017355, 267854.3841195606 7031576.8949657995, 267864.26409613615 7031594.464924172, 267874.13401367917 7031612.044777303, 267909.3441713456 7031674.66505792, 267915.7641757115 7031686.075065722, 267922.11410925223 7031697.374947456, 267922.1148901946 7031697.376332006, 267928.5348901946 7031708.716332006, 267928.53744222474 7031708.720786305, 267931.11520720174 7031713.166931324, 267933.98304124805 7031718.323037135, 267933.98556790606 7031718.327525263, 267934.9655679061 7031720.047525262, 267934.96583119 7031720.047986782, 267941.4247084496 7031731.356021118, 267943.45360356546 7031734.984045389, 267943.460232056 7031734.995537696, 267945.21831536083 7031737.952314164, 267947.91644722875 7031742.64906223, 267947.91787432425 7031742.651530119, 267954.4778743243 7031753.921530118, 267954.47866833553 7031753.922889294, 267961.0686683355 7031765.162889294, 267961.07041968097 7031765.165852984, 267967.55041968095 7031776.045852984, 267967.5516023155 7031776.047828284, 267974.08160231553 7031786.897828284, 267974.08296932763 7031786.900086149, 267980.6729693276 7031797.720086149, 267980.67417084164 7031797.722048713, 267987.31417084165 7031808.512048713, 267987.31566854694 7031808.514467045, 267994.01566854696 7031819.264467045, 267994.0171805161 7031819.266877658, 268000.7771805161 7031829.976877658, 268000.7784132427 7031829.978820769, 268007.5884132427 7031840.658820769, 268007.58995032706 7031840.661216283, 268014.45995032706 7031851.301216284, 268014.4616821236 7031851.303879817, 268021.4016821236 7031861.903879817, 268021.4027642703 7031861.905525581, 268028.3827642703 7031872.475525581, 268028.38433958654 7031872.477896421, 268035.4243395866 7031883.0078964215, 268035.4254383988 7031883.009532966, 268042.50543839874 7031893.509532966, 268042.50753040565 7031893.512610747, 268049.6675304057 7031903.962610746, 268049.66883289005 7031903.964502386, 268056.87883289 7031914.384502386, 268056.880087417 7031914.386306958, 268064.130087417 7031924.766306959, 268064.1317240868 7031924.7686360665, 268071.4417240868 7031935.108636066, 268071.4431591748 7031935.110655368, 268079.02315917483 7031945.720655368, 268079.02490329935 7031945.723081325, 268086.66490329936 7031956.283081326, 268086.6657981726 7031956.284314259, 268094.32579817256 7031966.8043142585, 268094.3268462879 7031966.805748346, 268102.0368462879 7031977.315748346, 268102.037800296 7031977.317044438, 268109.77780029597 7031987.797044438, 268109.7781427564 7031987.797507573, 268115.1381059229 7031995.03745782, 268117.52806715056 7031998.267405421, 268117.52873816824 7031998.268310145, 268128.27873816824 7032012.7283101445, 268128.2791812149 7032012.728905171, 268133.08905600087 7032019.178737265, 268141.4485919665 7032030.408113928, 268144.708253755 7032034.807657445, 268154.5679477018 7032048.107244649, 268156.3075578205 7032050.466715844, 268162.0871217398 7032058.306124344, 268167.6264636479 7032065.865226298, 268173.5856203025 7032074.024071651, 268179.30438147427 7032081.922360681, 268180.5736675664 7032083.691365708, 268184.97309631837 7032089.830568557, 268190.62251844397 7032097.769756464, 268193.3717312825 7032101.638648713, 268196.2404354121 7032105.7168065, 268201.8091925897 7032113.705023709, 268205.95785001706 7032119.713079404, 268207.33691263944 7032121.731707301, 268212.81567391625 7032129.779887644, 268218.3036042367 7032137.966800089, 268223.6018969151 7032146.0042101145, 268228.05009701237 7032152.821451612, 268232.448166573 7032159.6884374935, 268236.7965349701 7032166.565856935, 268241.1151404039 7032173.49361982, 268245.39343099244 7032180.42085201, 268249.61176792835 7032187.388105196, 268253.8102791109 7032194.385623833, 268257.9484867856 7032201.402584674, 268262.0369574099 7032208.439952203, 268266.09544264403 7032215.517310689, 268270.10374953307 7032222.614312912, 268272.4128718055 7032226.772732243, 268274.0622416083 7032229.741597909, 268277.9809099944 7032236.889169073, 268281.8594764153 7032244.056519907, 268285.687992513 7032251.2437342, 268289.4763325626 7032258.460571973, 268293.20488943096 7032265.7077669585, 268296.90370780375 7032272.97544522, 268300.5521720277 7032280.252382083, 268304.1507201895 7032287.569430011, 268307.70940341166 7032294.906715083, 268311.21804109396 7032302.263858484, 268314.6767033221 7032309.631008953, 268318.0953828163 7032317.038147857, 268321.4641869348 7032324.455514789, 268324.7929526276 7032331.892757058, 268328.07157462195 7032339.349622935, 268331.3002664563 7032346.836589448, 268334.47913447296 7032354.333919676, 268337.617925573 7032361.851024477, 268340.70663073333 7032369.39786071, 268343.7455910057 7032376.965271652, 268346.7444802693 7032384.532468893, 268349.693285218 7032392.139386065, 268352.5921488552 7032399.746404094, 268355.4409569249 7032407.383208883, 268358.23995861504 7032415.040477793, 268360.99897412065 7032422.707741898, 268363.7078774734 7032430.394630009, 268366.3668340205 7032438.101605565, 268368.9759026646 7032445.818850749, 268371.5449855512 7032453.556088704, 268374.0639056223 7032461.302767494, 268376.5228230754 7032469.06934823, 268378.9319633065 7032476.856569143, 268381.30122902826 7032484.65415253, 268383.630289331 7032492.461002731, 268385.8993166604 7032500.297643375, 268388.11846780265 7032508.134645606, 268390.2876156507 7032515.99155901, 268392.40688097634 7032523.858831705, 268394.48604497843 7032531.7356645595, 268396.50527183287 7032539.642637043, 268398.48453073186 7032547.539680125, 268400.4037769682 7032555.45657085, 268402.28303975833 7032563.383461235, 268404.1023268619 7032571.33034721, 268405.8816588678 7032579.28736, 268407.60098538134 7032587.244243167, 268409.2803286456 7032595.231119764, 268410.89971992536 7032603.218117496, 268412.47911400755 7032611.215049558, 268413.99854155513 7032619.222032884, 268415.478068227 7032627.229471155, 268416.8574891819 7032634.936236056, 268418.1769932851 7032642.643339567, 268419.46661294525 7032650.371060477, 268420.7162528879 7032658.098833881, 268421.93595810246 7032665.836963686, 268423.1256700384 7032673.56509248, 268424.2854686736 7032681.303748891, 268425.43525649735 7032689.052319008, 268427.66498001857 7032704.5403985325, 268429.8447841516 7032720.059004105, 268433.97462855856 7032749.937878409, 268438.0344833438 7032779.826809328, 268442.0343046627 7032809.715474134, 268445.934119891 7032839.634056604, 268449.7639828863 7032869.552986321, 268453.5338399136 7032899.481851262, 268454.00374879036 7032903.291112582, 268455.6437335943 7032916.630988975, 268457.21366124036 7032929.410400004, 268460.8235595898 7032959.359556671, 268468.39352346474 7033022.7592541175, 268472.0035120125 7033053.019158122, 268475.6035035696 7033083.269087179, 268479.22352167516 7033113.519239369, 268482.82350127865 7033143.779067924, 268486.44352282153 7033174.029248947, 268490.0435035696 7033204.279087178, 268493.663520526 7033234.53922971, 268497.26350127865 7033264.799067925, 268504.4835218546 7033325.299240622, 268508.09352055204 7033355.559229703, 268511.7035120465 7033385.809158434, 268515.3035012786 7033416.069067924, 268518.9235228215 7033446.319248948, 268522.52350356965 7033476.569087178, 268523.8435171533 7033487.639201207, 268524.83648284676 7033487.520798793, 268523.5164896634 7033476.450855959, 268519.91649643035 7033446.200912821, 268516.2964783248 7033415.950760631, 268512.6964987214 7033385.6909320755, 268509.0864781454 7033355.4407593785, 268505.47647944797 7033325.180770298, 268498.25648795353 7033264.680841566, 268494.6564987214 7033234.420932076, 268491.0364783282 7033204.160760713, 268487.43649643037 7033173.910912821, 268483.8164783248 7033143.660760631, 268480.21649872133 7033113.400932075, 268476.59647717845 7033083.150751052, 268472.99649643037 7033052.900912821, 268469.386479448 7033022.6407702975, 268461.81647353416 7032959.240720747, 268461.81640697905 7032959.24016597, 268458.20640697906 7032929.29016597, 268458.2062692546 7032929.289034215, 268456.6362692546 7032916.5090342155, 268454.99626382755 7032903.168990054, 268454.5262384804 7032899.3587842295, 268454.5260800677 7032899.35751347, 268450.75608006766 7032869.42751347, 268450.75595315313 7032869.426514018, 268446.9259531531 7032839.506514018, 268446.925805748 7032839.5053729145, 268443.025805748 7032809.585372915, 268443.02558203565 7032809.58367922, 268439.02558203565 7032779.693679219, 268439.0254503198 7032779.692702298, 268434.96545031975 7032749.802702298, 268434.9652912028 7032749.801541075, 268430.8352912029 7032719.921541075, 268430.83513928176 7032719.920450797, 268428.65513928176 7032704.400450797, 268428.654897777 7032704.398752611, 268426.424897777 7032688.908752612, 268426.4245845855 7032688.90661003, 268425.2745845855 7032681.15661003, 268425.27447754453 7032681.155892255, 268424.1144775445 7032673.415892255, 268424.1141784557 7032673.413923369, 268422.9241784557 7032665.683923368, 268422.92390216095 7032665.682149788, 268421.703902161 7032657.942149788, 268421.70358813944 7032657.94018303, 268420.45358813944 7032650.210183031, 268420.45317970763 7032650.207697048, 268419.1631797076 7032642.477697047, 268419.1628293645 7032642.475624545, 268417.84282936447 7032634.765624545, 268417.8421782391 7032634.76190584, 268416.4621782391 7032627.05190584, 268416.4616775971 7032627.049153203, 268414.9816775971 7032619.039153203, 268414.98123358085 7032619.036782142, 268413.46123358083 7032611.026782142, 268413.4605247491 7032611.023121363, 268411.88052474917 7032603.023121363, 268411.88002914697 7032603.020644904, 268410.260029147 7032595.030644904, 268410.25930086704 7032595.027118215, 268408.57930086704 7032587.037118215, 268408.57872078905 7032587.034397015, 268406.858720789 7032579.074397015, 268406.857948863 7032579.070885806, 268405.07794886304 7032571.110885806, 268405.0773911755 7032571.108421139, 268403.2573911755 7032563.158421139, 268403.2565147869 7032563.154659797, 268401.3765147869 7032555.224659798, 268401.37592505285 7032555.222199987, 268399.4559250528 7032547.302199987, 268399.4549989378 7032547.298443304, 268397.4749989378 7032539.398443304, 268397.4744526078 7032539.39628391, 268395.4544526078 7032531.48628391, 268395.45344176935 7032531.482391005, 268393.3734417694 7032523.6023910055, 268393.3727901057 7032523.599947265, 268391.2527901057 7032515.729947265, 268391.25196919666 7032515.726937258, 268389.0819691966 7032507.866937257, 268389.081084816 7032507.863774452, 268386.86108481605 7032500.0237744525, 268386.86027351976 7032500.020941213, 268384.59027351975 7032492.180941213, 268384.5891320876 7032492.177057905, 268382.25913208764 7032484.367057905, 268382.2584037415 7032484.364638863, 268379.8884037415 7032476.564638863, 268379.88766355964 7032476.562224752, 268377.4776635596 7032468.772224752, 268377.4766799401 7032468.769082027, 268375.0166799401 7032460.999082027, 268375.0154944854 7032460.9953876, 268372.4954944854 7032453.2453876, 268372.49452525267 7032453.242437998, 268369.92452525266 7032445.502437998, 268369.9236624202 7032445.499862835, 268367.3136624202 7032437.779862835, 268367.3126604253 7032437.776929089, 268364.6526604253 7032430.066929089, 268364.6515743616 7032430.063814498, 268361.9415743616 7032422.373814497, 268361.9404671595 7032422.3707054285, 268359.18046715955 7032414.700705429, 268359.1796096553 7032414.698341118, 268356.3796096553 7032407.038341118, 268356.3784662824 7032407.035244907, 268353.52846628235 7032399.395244908, 268353.5272244124 7032399.391951275, 268350.62722441246 7032391.781951275, 268350.6261975093 7032391.779279546, 268347.6761975093 7032384.169279546, 268347.67482884636 7032384.165787775, 268344.67482884636 7032376.595787776, 268344.6739842883 7032376.593670775, 268341.63398428826 7032369.023670775, 268341.63274418324 7032369.020611983, 268338.5427441833 7032361.470611983, 268338.54139310995 7032361.467343834, 268335.40139310993 7032353.947343834, 268335.4003310035 7032353.944819654, 268332.2203310035 7032346.444819654, 268332.21912746056 7032346.442005114, 268328.9891274606 7032338.952005114, 268328.9877117819 7032338.948754069, 268325.7077117819 7032331.488754069, 268325.70637301536 7032331.485736271, 268322.37637301534 7032324.045736271, 268322.37524625246 7032324.043237214, 268319.00524625246 7032316.623237214, 268319.00397969224 7032316.620470911, 268315.58397969225 7032309.210470911, 268315.58260400884 7032309.207515622, 268312.1226040088 7032301.837515621, 268312.1213055059 7032301.834771423, 268308.61130550597 7032294.474771423, 268308.609877885 7032294.471803097, 268305.049877885 7032287.131803096, 268305.04867498303 7032287.129340172, 268301.44867498305 7032279.809340172, 268301.4469677391 7032279.805902164, 268297.79696773906 7032272.525902164, 268297.7956085891 7032272.523211584, 268294.0956085891 7032265.253211585, 268294.09460826457 7032265.251256714, 268290.3646082645 7032258.001256714, 268290.36271156877 7032257.997607086, 268286.5727115688 7032250.777607085, 268286.57129534404 7032250.774928905, 268282.741295344 7032243.584928906, 268282.73974226555 7032243.582036264, 268278.85974226554 7032236.412036264, 268278.8584312201 7032236.409629317, 268274.93843122013 7032229.259629317, 268274.93707863806 7032229.257178535, 268273.2871039514 7032226.287224099, 268270.97712819447 7032222.127267757, 268270.9753613388 7032222.124112821, 268266.96536133887 7032215.024112821, 268266.9637440649 7032215.021271058, 268262.90374406485 7032207.941271059, 268262.9023342445 7032207.938828543, 268258.81233424455 7032200.898828543, 268258.8106829517 7032200.89600749, 268254.6706829517 7032193.87600749, 268254.66874646285 7032193.872752123, 268250.46874646284 7032186.872752123, 268250.46771426767 7032186.871039568, 268246.2477142677 7032179.901039569, 268246.24540707056 7032179.897266629, 268241.96540707053 7032172.967266629, 268241.96430844127 7032172.965496037, 268237.64430844126 7032166.0354960365, 268237.6426130331 7032166.032795538, 268233.29261303315 7032159.152795538, 268233.29104663274 7032159.150334034, 268228.8910466327 7032152.280334034, 268228.8887442142 7032152.27677247, 268224.43874421425 7032145.456772471, 268224.4374574121 7032145.454810413, 268219.137457412 7032137.414810413, 268219.13532166404 7032137.411597567, 268213.64532166405 7032129.221597566, 268213.6433199507 7032129.218634369, 268208.1633199507 7032121.168634369, 268208.1628540535 7032121.167951192, 268206.7828540535 7032119.147951191, 268206.7814408289 7032119.145893604, 268202.6314408289 7032113.135893604, 268202.63016989175 7032113.13406179, 268197.0601698918 7032105.14406179, 268197.05895561894 7032105.142327787, 268194.18895561894 7032101.062327787, 268194.1875771178 7032101.060378017, 268191.4375771178 7032097.190378018, 268185.7873860985 7032089.2501093885, 268185.78641901043 7032089.248755107, 268181.3864190104 7032083.108755107, 268180.116245492 7032081.338513122, 268180.11498785496 7032081.336768287, 268174.39498785493 7032073.436768288, 268174.3937680771 7032073.435090964, 268168.4337680771 7032065.275090964, 268168.43330423447 7032065.27445695, 268162.8933042344 7032057.714456949, 268162.8924504908 7032057.713295429, 268157.1124504908 7032049.873295429, 268155.3724421795 7032047.513284155, 268155.3716608679 7032047.512227356, 268145.51170386653 7032034.212285357, 268142.25174624496 7032029.812342555, 268142.2510688707 7032029.811430476, 268133.8910688707 7032018.581430475, 268129.08104057965 7032012.131392245, 268118.3315977609 7031997.672141719, 268115.9419328494 7031994.442594579, 268110.58202863653 7031987.202723935, 268102.8426777112 7031976.723602786, 268095.1336790684 7031966.2149678, 268087.4746502107 7031955.696301537, 268079.8359723628 7031945.138129014, 268072.2575608586 7031934.530352489, 268064.9490975996 7031924.19252621, 268057.7005418027 7031913.81459391, 268050.49182052887 7031903.396441944, 268043.33352131234 7031892.948924234, 268036.2551126533 7031882.4512842735, 268029.2164514302 7031871.923286733, 268022.2377783931 7031861.355296188, 268015.2991880451 7031850.75744926, 268008.43082159077 7031840.1199792335, 268001.6222053933 7031829.442149427, 267994.86357886315 7031818.7343254415, 267988.16508376796 7031807.986740028, 267981.52643217344 7031797.198931186, 267974.9377171662 7031786.381040992, 267968.4089912684 7031775.533157992, 267961.930461082 7031764.655625828, 267955.34172975866 7031753.4177897, 267948.78284272033 7031742.149701756, 267946.08355277125 7031737.45093777, 267946.07976794406 7031737.444462304, 267944.3231584301 7031734.490164485, 267942.29639643454 7031730.865954611, 267942.29416881 7031730.862013218, 267935.8343006059 7031719.552243962, 267934.8557069887 7031717.834712308, 267931.9869587519 7031712.676962865, 267931.9825577752 7031712.6692136945, 267929.4038452373 7031708.221434317, 267922.9855013651 7031696.884359627, 267916.63589074777 7031685.585052544, 267910.2157936323 7031674.174879794, 267875.00590747735 7031611.555082264, 267865.13598632085 7031593.975222697, 267855.25585146545 7031576.404982646, 267845.3758804394 7031558.825034201, 267835.49590386386 7031541.255075828, 267825.62598632084 7031523.675222697, 267815.74590386386 7031506.105075828, 267805.87598632084 7031488.525222696, 267795.99579708447 7031470.964885931, 267756.4858766475 7031400.695027438, 267742.75592107995 7031376.255106529, 267683.3258736093 7031270.515022048, 267675.81588681065 7031257.155045532, 267668.63591523946 7031244.375096133, 267668.63458191603 7031244.372737875, 267668.3051983595 7031243.793821321, 267662.2658094407 7031233.054907912, 267661.39419055934 7031233.545092087, 267667.4341905593 7031244.285092087))</t>
  </si>
  <si>
    <t>['EV6 S75D1 m88-391']</t>
  </si>
  <si>
    <t>LINESTRING Z (269086.75 7035176.82 136.02, 269087 7035179.1 135.94, 269087.6 7035187.6 135.64000000000001, 269088.5 7035198.9 135.64000000000001, 269089.2 7035211.6 135.44, 269089.8 7035223.3 135.14000000000001, 269090.1 7035229.4 134.94, 269090.5 7035234.3 134.84, 269091 7035250 134.44, 269091.2 7035271.9 133.94, 269091 7035287.5 133.64000000000001, 269090.2 7035310.6 132.94, 269089.2 7035331.9 132.34, 269087.9 7035347.6 131.84, 269085.7 7035369.1 131.14000000000001, 269084.3 7035381.6 130.74, 269082.9 7035393.5 130.44, 269081 7035405.8 129.94, 269078.8 7035420.1 129.44, 269075.1 7035442.4 128.54, 269071.9 7035460.5 127.84, 269070 7035470.3 127.44, 269068.41000000003 7035477.86 127.2)</t>
  </si>
  <si>
    <t>POLYGON ((269086.50192310027 7035179.144869052, 269087.1012410388 7035187.635206515, 269087.1015783667 7035187.6396972975, 269088.001093721 7035198.933612302, 269088.70070514485 7035211.626562419, 269089.30062932713 7035223.325083974, 269089.60060358146 7035229.42456048, 269089.60165769205 7035229.440681005, 269090.00064827735 7035234.328315674, 269090.5000726851 7035250.010242078, 269090.6999707304 7035271.899078034, 269090.50011095003 7035287.488140903, 269089.70040596876 7035310.579622236, 269088.7009687274 7035331.867635478, 269087.4021046413 7035347.553917133, 269085.2028406567 7035369.046724255, 269083.803261892 7035381.542963225, 269082.40448080853 7035393.432602435, 269080.50586068723 7035405.723669536, 269078.30626166426 7035420.0210625725, 269074.60717575304 7035442.3155533355, 269071.40835441725 7035460.4088865165, 269069.5098918138 7035470.200956786, 269067.9207045163 7035477.7570926165, 269068.8992954838 7035477.962907384, 269070.48929548374 7035470.402907384, 269070.4908597575 7035470.395166688, 269072.39085975755 7035460.595166688, 269072.39236436994 7035460.587047844, 269075.5923643699 7035442.487047845, 269075.5932566129 7035442.481840784, 269079.2932566129 7035420.181840783, 269079.2941858488 7035420.176028592, 269081.49416259845 7035405.876179719, 269083.3941393128 7035393.576330463, 269083.3965753022 7035393.558420624, 269084.79657530214 7035381.658420623, 269084.7968931984 7035381.655652038, 269086.1968931984 7035369.155652038, 269086.1974027471 7035369.150897025, 269088.3974027471 7035347.650897025, 269088.39829469856 7035347.64126007, 269089.69829469855 7035331.941260071, 269089.6994498722 7035331.923448351, 269090.6994498722 7035310.6234483505, 269090.69970042503 7035310.617305642, 269091.499700425 7035287.517305642, 269091.49995891366 7035287.50640973, 269091.69995891367 7035271.90640973, 269091.699979151 7035271.895433981, 269091.499979151 7035249.995433981, 269091.4997466327 7035249.984084502, 269090.9997466327 7035234.284084502, 269090.9983423079 7035234.259318995, 269090.5989995933 7035229.367370741, 269090.2993964185 7035223.27543952, 269090.2993438317 7035223.274392623, 269089.69934383174 7035211.574392623, 269089.6992422246 7035211.572482712, 269088.9992422246 7035198.872482712, 269088.99842163327 7035198.8603027025, 269088.09860041004 7035187.562547344, 269087.49875896116 7035179.064793484, 269087.497021102 7035179.045502072, 269087.247021102 7035176.765502073, 269086.252978898 7035176.874497928, 269086.50192310027 7035179.144869052))</t>
  </si>
  <si>
    <t>['EV6 S73D1 m3096 KD7 m73-219']</t>
  </si>
  <si>
    <t>LINESTRING Z (267479.55 7030837.49 136.34, 267480.9 7030839.77 136.4, 267482.34 7030842.28 136.48, 267483.74 7030844.8 136.56, 267485.12 7030847.35 136.66, 267486.46 7030849.92 136.76, 267487.73 7030852.49 136.87, 267488.11 7030853.25 136.9, 267489 7030855.12 136.98, 267490.22 7030857.73 137.1, 267491.41000000003 7030860.38 137.21, 267492.55 7030863.02 137.33, 267493.64 7030865.58 137.44, 267494.79 7030868.11 137.55, 267495.95 7030870.62 137.66, 267497.15 7030873.12 137.76, 267498.38 7030875.6 137.86, 267499.66000000003 7030878.07 137.95000000000002, 267500.97 7030880.51 138.04, 267502.31 7030882.95 138.12, 267508.13 7030893.3 138.47, 267516.03 7030907.42 138.93, 267523.97 7030921.53 139.34, 267529.97 7030932.22 139.62, 267530.89 7030933.88 139.67000000000002, 267537 7030944.77 139.92000000000002, 267542.39 7030954.37 140.11, 267543.43 7030956.2 140.16, 267546.87 7030962.33 140.38, 267547.62 7030963.67 140.42000000000002, 267548.68 7030965.57 140.44)</t>
  </si>
  <si>
    <t>POLYGON ((267480.46801297844 7030840.021791584, 267481.9045922592 7030842.5258290805, 267483.30157917575 7030845.04040553, 267484.6784286655 7030847.584583934, 267486.01414316497 7030850.146364729, 267487.28174479207 7030852.711511329, 267487.2827864045 7030852.713606798, 267487.66061332286 7030853.469260635, 267488.5477778582 7030855.333302973, 267489.7654337412 7030857.9382881, 267490.95239973936 7030860.581531709, 267492.090463453 7030863.217047676, 267493.179964019 7030865.775874695, 267493.1848167613 7030865.786901472, 267494.33481676126 7030868.316901472, 267494.3361262152 7030868.319758403, 267495.4961262152 7030870.829758403, 267495.49923847127 7030870.836365534, 267496.6992384713 7030873.336365534, 267496.7020662651 7030873.342160683, 267497.9320662651 7030875.822160683, 267497.93606834207 7030875.830053653, 267499.2160683421 7030878.300053653, 267499.21947491646 7030878.306511418, 267500.5294749164 7030880.746511417, 267500.53174044256 7030880.750683527, 267501.8717404426 7030883.190683528, 267501.8741784989 7030883.195070641, 267507.693914782 7030893.544601659, 267515.59365217097 7030907.664132284, 267515.59425347485 7030907.665203927, 267523.53411856154 7030921.774964176, 267529.5333251949 7030932.463550661, 267530.4526730532 7030934.12237397, 267530.45394514943 7030934.124655201, 267536.5639451494 7030945.014655201, 267541.9540183109 7030954.614785553, 267541.9552949118 7030954.617045514, 267542.99462699454 7030956.4458702365, 267546.4338283465 7030962.574447065, 267547.1835234375 7030963.913902294, 267548.24335566786 7030965.813601575, 267549.1166443321 7030965.326398426, 267548.05664433213 7030963.426398425, 267548.0563085198 7030963.42579747, 267547.3063085198 7030962.08579747, 267547.3060345016 7030962.085308534, 267543.8660345016 7030955.955308534, 267543.8647050882 7030955.952954486, 267542.8253463556 7030954.12408287, 267537.43601836014 7030944.52527976, 267531.3266938517 7030933.636483706, 267530.4073269468 7030931.977626029, 267530.4060163266 7030931.97527615, 267524.4060163266 7030921.28527615, 267524.40574652515 7030921.284796073, 267516.46604782616 7030907.175331508, 267508.56634782907 7030893.055867716, 267508.5658215011 7030893.054929359, 267502.747051554 7030882.707116825, 267501.4094022135 7030880.27139713, 267500.1022519539 7030877.836705043, 267498.8259676169 7030875.373875111, 267497.5993663197 7030872.900727781, 267496.40234178555 7030870.406926668, 267495.24453299347 7030867.901667989, 267494.09767603513 7030865.37858268, 267493.010035981 7030862.824125305, 267493.00903117674 7030862.821781991, 267491.8690311768 7030860.181781991, 267491.8661216405 7030860.175175565, 267490.6761216404 7030857.525175566, 267490.6729584696 7030857.518272286, 267489.4529584696 7030854.908272286, 267489.4514748764 7030854.90512693, 267488.56147487636 7030853.03512693, 267488.5572135955 7030853.026393202, 267488.17773685965 7030852.26743973, 267486.90825520793 7030849.698488671, 267486.9033539271 7030849.688834918, 267485.56335392705 7030847.118834917, 267485.5597362252 7030847.112025102, 267484.17973622517 7030844.562025102, 267484.17707863805 7030844.557178535, 267482.7770786381 7030842.037178535, 267482.773695611 7030842.0311865825, 267481.333695611 7030839.521186582, 267481.3302376945 7030839.5152539965, 267479.98023769446 7030837.235253997, 267479.1197623055 7030837.744746003, 267480.46801297844 7030840.021791584))</t>
  </si>
  <si>
    <t>['EV6 S92D1 m1223-2789']</t>
  </si>
  <si>
    <t>LINESTRING Z (340131.8 7116313.5 33.13, 340146.7 7116324 32.93, 340163.5 7116336.2 32.83, 340187.1 7116353.8 32.63, 340213.5 7116374 32.33, 340239.5 7116394.2 32.03, 340246.3 7116399.7 31.93, 340262.4 7116412.1 31.93, 340280.1 7116425.1 31.63, 340296.2 7116436.1 31.63, 340311.5 7116445.4 31.330000000000002, 340330.8 7116455.8 31.23, 340351.8 7116465.1 31.03, 340371.7 7116472.6 31.03, 340390.5 7116478.5 30.53, 340412.4 7116484.3 30.23, 340443.1 7116491.9 30.03, 340477.6 7116499.4 29.830000000000002, 340512.6 7116506.7 29.23, 340552.8 7116515.3 29.13, 340594.5 7116524.6 29.13, 340635 7116533.7 29.63, 340686.3 7116544.4 30.23, 340737.7 7116555.7 31.23, 340779.2 7116564.8 32.13, 340818.5 7116573.5 33.03, 340869 7116584.9 33.83, 340904.4 7116592.7 33.93, 340945.8 7116601.7 34.230000000000004, 340972.9 7116607.6 34.230000000000004, 341011 7116615.8 34.63, 341045.4 7116623.4 35.230000000000004, 341079.4 7116630.8 35.53, 341110 7116637.3 35.83, 341121.6 7116639.9 35.83, 341123.1 7116640.2 35.83, 341124 7116640.4 35.83, 341129.4 7116641.5 35.83, 341136 7116643 35.83, 341136.8 7116643.1 35.83, 341164.1 7116647.4 35.43, 341188.3 7116650.8 35.53, 341220.54 7116653.91 35.33, 341244.48 7116656.68 35.13, 341272.45 7116660.97 34.730000000000004, 341287.68 7116663.6 34.33, 341299.55 7116666.13 34.13, 341305.84 7116667.83 34.05, 341316.2 7116670.7 33.93, 341332.63 7116676.41 33.93, 341339.41 7116679.36 34.14, 339866.08 7116212.12 41.87, 339871.05 7116212.76 41.730000000000004, 339874.77 7116213.45 41.67, 339879.14 7116214.09 41.53, 339883.56 7116214.81 41.36, 339885.59 7116215.18 41.22, 339889.78 7116215.96 41.07, 339902.3 7116218.33 40.62, 339906.72 7116219.29 40.52, 339915.5 7116221.2 40.32, 339919.95 7116222.21 40.13, 339924.27 7116223.29 39.93, 339932.78 7116225.42 39.59, 339959.07 7116232.22 38.31, 339963.88 7116233.77 38.160000000000004, 339968.67 7116235.31 38.02, 339973.47 7116236.86 37.910000000000004, 339978.24 7116238.47 37.74, 339987.75 7116241.8 37.33, 339992.42 7116243.43 37.11, 339997.71 7116245.4 36.87, 340003.05 7116247.52 36.660000000000004, 340008.39 7116249.62 36.45, 340013.73 7116251.72 36.25, 340019.04 7116253.91 36.09, 340024.21 7116256.04 35.910000000000004, 340027.78 7116257.67 35.62, 340032.55 7116259.8 35.480000000000004, 340037.27 7116261.98 35.34, 340040.27 7116263.37 35.24, 340051.42 7116268.52 34.87, 340056.09 7116270.67 34.71, 340066.16 7116275.96 34.59, 340071.2 7116278.59 34.53, 340081.5 7116284.11 34.33, 340086.61 7116286.84 34.22, 340095.23 7116291.63 34.05, 340099.54 7116294.03 33.97, 340103.51 7116296.3 33.92, 340107.52 7116298.59 33.9, 340111.57 7116300.83 33.83, 340115.52 7116303.06 33.79, 340119.52 7116305.58 33.72, 340123.58 7116308.12 33.64, 340127.52 7116310.77 33.55, 340131.8 7116313.5 33.13)</t>
  </si>
  <si>
    <t>['EV6 S88D1 m6861-8012']</t>
  </si>
  <si>
    <t>LINESTRING Z (325296.22 7092278.64 40.67, 325292.5 7092287.15 40.57, 325290.06 7092292.77 40.52, 325287.64 7092298.41 40.44, 325285.24 7092304.05 40.33, 325282.83 7092309.69 40.22, 325280.39 7092315.32 40.13, 325277.95 7092320.91 40.050000000000004, 325276.11 7092325.06 40.02, 325274.45 7092328.92 39.99, 325272.82 7092332.78 39.97, 325267.43 7092345.54 39.74, 325265.54 7092349.95 39.65, 325261.85 7092358.59 39.39, 325257.64 7092368.44 39.17, 325255.19 7092373.99 39.09, 325253.12 7092378.77 39.01, 325251.08 7092383.58 38.93, 325248.99 7092388.68 38.83, 325246.95 7092393.69 38.730000000000004, 325244.7 7092398.98 38.6, 325242.45 7092404.34 38.5, 325237.12 7092417.05 38.39, 325234.91 7092422.3 38.32, 325230.29 7092433.2 38.21, 325227.84 7092438.83 38.17, 325225.72 7092443.76 38.13, 325221.19 7092454.25 38.08, 325215.39 7092467.7 38.050000000000004, 325213.73 7092471.59 38.04, 325206.98 7092487.38 38, 325205.25 7092491.37 38.01, 325199.92 7092503.7 38.06, 325197.8 7092508.45 38.06, 325197.06 7092510.11 38.06, 325195.68 7092513.21 38.06, 325193.59 7092518 38.06, 325192.54 7092520.48 38.11, 325191.07 7092523.87 38.13, 325189.57 7092527.34 38.14, 325187.49 7092532.33 38.19, 325185.38 7092537.26 38.22, 325179.26 7092551.6 38.36, 325177.26 7092556.35 38.44, 325175.21 7092561.32 38.53, 325173.17 7092566.27 38.61, 325171.09 7092571.21 38.69, 325169.22 7092575.72 38.76, 325167.37 7092580.21 38.85, 325165.58 7092584.73 38.910000000000004, 325163.77 7092589.29 38.99, 325163.07 7092591.12 39.050000000000004, 325161.63 7092594.87 39.160000000000004, 325160 7092599.31 39.17, 325156.7 7092608.29 39.18, 325154.96 7092613.31 39.27, 325151.55 7092623.2 39.42, 325149.8 7092628.35 39.59, 325148.08 7092633.52 39.75, 325146.34 7092638.72 39.92, 325144.73 7092643.7 39.99, 325141.56 7092653.58 40.14, 325139.94 7092658.74 40.18, 325136.81 7092668.71 40.36, 325135.86 7092671.78 40.42, 325135.32 7092673.54 40.45, 325133.83 7092678.39 40.56, 325132.04 7092684.35 40.69, 325130.26 7092690.29 40.79, 325128.48 7092696.25 40.88, 325127.17 7092700.75 40.93, 325124.56 7092709.72 40.95, 325123.24 7092714.27 40.92, 325121.64 7092720.22 40.87, 325120.23 7092726.14 40.86, 325118.81 7092732.13 40.85, 325117.59 7092738.04 40.89, 325116.4 7092743.88 40.93, 325115.15 7092749.74 40.88, 325114.17 7092755.12 40.82, 325112.22 7092765.84 40.65, 325111.43 7092770.58 40.63, 325109.07 7092784.68 40.59, 325106.15 7092802.19 40.44, 325105.27 7092807.72 40.42, 325104.67 7092811.67 40.38, 325104.43 7092813.22 40.36, 325103.92 7092816.32 40.21, 325103.56 7092818.73 40.29, 325102.89 7092823.6 40.2, 325102.18 7092828.47 40.14, 325100.06 7092843.17 39.96, 325099.36 7092848.12 39.910000000000004, 325098.67 7092853.06 39.87, 325097.9 7092857.98 39.88, 325096.96 7092863.76 39.94, 325095.98 7092869.56 39.980000000000004, 325095.06 7092875.36 40, 325094.19 7092881.17 40.02, 325093.5 7092885.77 40.04, 325091.58 7092898.59 40.09, 325090.65 7092904.39 40.31, 325089.73 7092910.19 40.34, 325087.9 7092921.8 40.42, 325087 7092927.6 40.5, 325086.14 7092933.41 40.47, 325085.21 7092939.22 40.58, 325084.53 7092943.53 40.660000000000004, 325084.3 7092945.01 40.69, 325083.47 7092950 40.730000000000004, 325082.77 7092954.27 40.77, 325081.82 7092960.01 40.81, 325081.33 7092963.24 40.83, 325080.85 7092966.45 40.85, 325080.02 7092971.75 40.87, 325079.88 7092972.62 40.88, 325079.18 7092977.11 40.9, 325078.27 7092983.12 40.96, 325076.63 7092993.79 41.06, 325075.17 7093003.28 41.13, 325074.5 7093007.88 41.17, 325073.19 7093017.07 41.25, 325072.51 7093022.47 41.27, 325071.75 7093028.53 41.31, 325071.16 7093033.21 41.33, 325070.63 7093038.53 41.29, 325070.12 7093043.79 41.25, 325069.62 7093049.12 41.21, 325069.32 7093054.05 41.160000000000004, 325068.73 7093063.9 41.050000000000004, 325068.7 7093069.66 41.07, 325068.67 7093075.31 41.09, 325068.68 7093081.06 41.11, 325068.95 7093087.24 41.08, 325069.26 7093093.36 41.02, 325069.75 7093099.01 40.910000000000004, 325070.25 7093104.6 40.800000000000004, 325070.79 7093110.26 40.71, 325071.36 7093114.98 40.63, 325072.49 7093124.29 40.550000000000004, 325073.1 7093128.99 40.51, 325074.03 7093134.88 40.49, 325075.88 7093146.57 40.43, 325076.84 7093152.36 40.38, 325079.69 7093169.58 40.22, 325082.32 7093185.51 40.02, 325083.59 7093193.14 39.95, 325084.74 7093200.02 39.89, 325085.32 7093203.51 39.85, 325086.24 7093209.02 39.79, 325087.28 7093215.26 39.72, 325087.43 7093216.2 39.72, 325088.12 7093220.36 39.69, 325088.87 7093225.07 39.61, 325089.62 7093229.82 39.54, 325090.42 7093234.58 39.45, 325091.29 7093239.53 39.31, 325092.06 7093244.48 39.18, 325093.74 7093255.14 38.95, 325094.66 7093260.87 38.83, 325095.57 7093266.59 38.7, 325096.55 7093272.48 38.52, 325099.1 7093287.94 37.980000000000004, 325099.61 7093291.47 37.85, 325101.08 7093301.92 37.54, 325101.75 7093307.26 37.43, 325102.5 7093312.51 37.33, 325102.97 7093317.39 37.24, 325103.4 7093322.2 37.11, 325103.74 7093327.17 37.08, 325104.12 7093338.95 35.12, 325104.03 7093342.15 34.82, 325103.93 7093345.79 34.52, 325103.74 7093350.62 34.42, 325103.55 7093352.54 34.32, 325103.07 7093358.37 34.24, 325101.92 7093366.13 34.12, 325100.58 7093373.3 34.22, 325099.43 7093378.35 36.02, 325098.83 7093380.61 35.99, 325098.09 7093383.38 35.96, 325096.92 7093387.32 35.88)</t>
  </si>
  <si>
    <t>POLYGON ((325292.04185957584 7092286.949731801, 325292.0413612397 7092286.950875699, 325289.6013612397 7092292.570875698, 325289.6005118059 7092292.572843717, 325287.1805118059 7092298.212843718, 325287.17992268223 7092298.214222418, 325284.78006954415 7092303.853877292, 325282.3707214888 7092309.49235158, 325279.93149136094 7092315.120575195, 325277.4923286331 7092320.708657018, 325275.6529127318 7092324.857339621, 325275.6506740434 7092324.862466039, 325273.9906740434 7092328.7224660395, 325273.98938472226 7092328.725491476, 325272.35939620255 7092332.58546429, 325266.96991403325 7092345.344238405, 325265.080427485 7092349.753040351, 325265.08018010075 7092349.753618585, 325261.39020759554 7092358.393554207, 325257.1813942441 7092368.240777845, 325254.73258586985 7092373.788078447, 325254.7311755078 7092373.791304038, 325252.6611755078 7092378.571304037, 325252.659688259 7092378.57477423, 325250.61968825903 7092383.38477423, 325250.6173422124 7092383.390401024, 325248.5273422124 7092388.490401024, 325248.52691794327 7092388.491439641, 325246.4883760479 7092393.497858709, 325244.2398893514 7092398.784300764, 325244.23897210555 7092398.7864715, 325241.98897210555 7092404.146471499, 325236.65903411934 7092416.856323537, 325234.4494045684 7092422.105443511, 325229.8305767296 7092433.002678024, 325227.38152972853 7092438.630488071, 325227.38066878746 7092438.632478261, 325225.2608203295 7092443.562125854, 325220.7309724429 7092454.05177361, 325214.93087005365 7092467.502010878, 325214.9301222961 7092467.503753988, 325213.270184608 7092471.3936079675, 325206.52075251547 7092487.182279484, 325204.7912641422 7092491.1710994905, 325204.79104583093 7092491.171603753, 325199.4622130194 7092503.498903672, 325197.34341189225 7092508.246217518, 325196.60332140373 7092509.906420385, 325195.2232158331 7092513.00665737, 325195.2217239346 7092513.010042385, 325193.1317239346 7092517.800042385, 325193.1295676386 7092517.805058879, 325192.0804110013 7092520.283066937, 325190.6112715692 7092523.671082362, 325190.61104544025 7092523.671604658, 325189.11104544025 7092527.141604657, 325189.10848890623 7092527.147626638, 325187.0293996705 7092532.13544168, 325184.92033108586 7092537.0632654345, 325184.92012943886 7092537.06373725, 325178.80012943887 7092551.40373725, 325178.79918231245 7092551.405971499, 325176.79918231245 7092556.155971499, 325176.79777660145 7092556.159344473, 325174.74777660146 7092561.129344474, 325172.70844398066 7092566.077725037, 325170.62918231246 7092571.0159714995, 325170.62812894327 7092571.018492488, 325168.7581289432 7092575.528492488, 325168.75770360907 7092575.529521531, 325166.9077036091 7092580.019521532, 325166.90512602945 7092580.02590168, 325165.1151985974 7092584.545718436, 325163.3052712845 7092589.105535313, 325163.30299912486 7092589.111365786, 325162.6031148993 7092590.941063118, 325161.16323102295 7092594.690760713, 325161.1606302152 7092594.697686317, 325159.530657908 7092599.137610883, 325156.2306858367 7092608.117534884, 325156.2275741348 7092608.126250796, 325154.48757413484 7092613.146250796, 325154.48730843025 7092613.147019387, 325151.0773084302 7092623.037019388, 325151.07658561884 7092623.039131036, 325149.32658561884 7092628.1891310355, 325149.3255666642 7092628.192161443, 325147.60570345464 7092633.361750276, 325145.8658410353 7092638.561339116, 325145.8642448349 7092638.566191603, 325144.2542448349 7092643.546191604, 325144.2539055648 7092643.547245004, 325141.0839055648 7092653.427245004, 325141.08295783127 7092653.430230947, 325139.4629578313 7092658.590230947, 325136.33295624127 7092668.560236012, 325136.3323465921 7092668.562191942, 325135.3823465921 7092671.632191942, 325135.3819932017 7092671.633338824, 325134.84201993834 7092673.393251682, 325133.35204661835 7092678.243164837, 325133.3511311079 7092678.246178638, 325131.56113110785 7092684.206178638, 325129.78104249533 7092690.146474014, 325128.00091022806 7092696.106916142, 325127.9999283722 7092696.1102458155, 325126.6899283722 7092700.6102458155, 325124.0799101825 7092709.5803083135, 325122.759799549 7092714.130689099, 325122.7571529664 7092714.140158781, 325121.1571529664 7092720.090158781, 325121.15360570967 7092720.104152711, 325119.74360570963 7092726.024152711, 325119.74348383374 7092726.024665616, 325118.32348383375 7092732.014665617, 325118.32032449084 7092732.0289163925, 325117.10032449086 7092737.938916393, 325117.10006780375 7092737.940167926, 325115.9105243246 7092743.777927522, 325114.6610013117 7092749.635691406, 325114.65809432964 7092749.650396365, 325113.6780943296 7092755.030396365, 325111.7280723888 7092765.750516899, 325111.72680303804 7092765.757800506, 325110.93683138944 7092770.497630399, 325108.57685987087 7092784.597460234, 325105.6568106527 7092802.107754832, 325105.6562129961 7092802.111422683, 325104.7762129961 7092807.641422682, 325104.77567036764 7092807.644911954, 325104.175778207 7092811.594202012, 325103.9362490834 7092813.141160935, 325103.4266320634 7092816.238833018, 325103.42548676283 7092816.246130803, 325103.06548676285 7092818.656130803, 325103.06466572866 7092818.661853396, 325102.39494008414 7092823.5298592, 325101.6852304875 7092828.397867278, 325101.68511995586 7092828.398629544, 325099.56511995586 7092843.0986295445, 325099.5649257333 7092843.099989497, 325098.8649257333 7092848.049989497, 325098.8648071292 7092848.0508333845, 325098.17537660734 7092852.98675625, 325097.40624405193 7092857.901213619, 325096.46673122875 7092863.678217999, 325095.48698805907 7092869.476697982, 325095.4861738687 7092869.481668958, 325094.5661738687 7092875.281668959, 325094.56551311107 7092875.285954632, 325093.6955224965 7092881.095891954, 325093.00553182355 7092885.695829773, 325091.08589738404 7092898.513388808, 325090.15630627034 7092904.310838764, 325090.15617386875 7092904.3116689585, 325089.2361738687 7092910.111668959, 325087.40609783906 7092921.722149788, 325087.40591304837 7092921.723331335, 325086.50591304834 7092927.523331335, 325086.5053891311 7092927.526787375, 325085.64581994695 7092933.333876864, 325084.7162849879 7092939.1409716075, 325084.71610922966 7092939.142077558, 325084.03610922967 7092943.452077558, 325084.0359305037 7092943.4532189295, 325083.80633942434 7092944.930587613, 325082.97677634994 7092949.917960796, 325082.9765861674 7092949.919112487, 325082.27664801734 7092954.188735202, 325081.32671044616 7092959.928358001, 325081.32565599476 7092959.935006637, 325080.8356559948 7092963.165006638, 325080.8354979766 7092963.166055772, 325080.35575342295 7092966.374347474, 325079.5261834941 7092971.671601237, 325079.3863506984 7092972.540562182, 325079.38596778916 7092972.5429793885, 325078.68596778915 7092977.032979389, 325078.68563486636 7092977.035146045, 325077.7757185398 7092983.044593432, 325076.1358086783 7092993.714006982, 325074.6758141512 7093003.203971408, 325074.67522071785 7093003.207934322, 325074.00522071787 7093007.807934321, 325074.0050037312 7093007.80944014, 325072.6950037312 7093016.99944014, 325072.69391780137 7093017.00753039, 325072.0139178014 7093022.40753039, 325071.2539063702 7093028.467621025, 325070.66392656596 7093033.147460828, 325070.6624629201 7093033.160433336, 325070.13246292016 7093038.480433336, 325070.13233378006 7093038.481747191, 325069.62233378005 7093043.741747191, 325069.6221856003 7093043.743300713, 325069.1221856003 7093049.073300713, 325069.1209231762 7093049.089630214, 325068.8209231762 7093054.019630213, 325068.23089455045 7093063.870104344, 325068.2300067815 7093063.897395869, 325068.2000069123 7093069.657370763, 325068.1700070482 7093075.30734517, 325068.1700007561 7093075.310869563, 325068.1800007561 7093081.060869563, 325068.1804765071 7093081.081823842, 325068.45047650713 7093087.261823842, 325068.45064021496 7093087.265294368, 325068.76064021495 7093093.3852943685, 325068.7618697943 7093093.403200673, 325069.2518697943 7093099.053200672, 325069.2519881996 7093099.054544884, 325069.7519881996 7093104.644544884, 325069.75226017536 7093104.647487544, 325070.29226017534 7093110.307487545, 325070.2936065087 7093110.319945824, 325070.8636065087 7093115.039945825, 325071.99364276504 7093124.350245293, 325071.99415871536 7093124.354353869, 325072.60415871534 7093129.0543538695, 325072.6061185173 7093129.067981287, 325073.53611851734 7093134.957981287, 325075.3861459505 7093146.648154832, 325075.386734137 7093146.651785014, 325076.34672235587 7093152.441713959, 325079.1966942169 7093169.66154394, 325081.826678067 7093185.591446119, 325081.82678557857 7093185.592094667, 325083.0967855786 7093193.222094667, 325084.2468032408 7093200.102201043, 325084.82676489453 7093203.591970304, 325085.74681514746 7093209.102272149, 325086.7865191049 7093215.340495895, 325086.93624694843 7093216.278790381, 325086.93673909485 7093216.28181491, 325087.62647487194 7093220.440221914, 325088.37616950757 7093225.148304225, 325089.1261185173 7093229.897981287, 325089.1269154841 7093229.902871348, 325089.9269154841 7093234.662871348, 325089.9275482466 7093234.666552126, 325090.79669733066 7093239.611710709, 325091.5659417655 7093244.556853504, 325091.56609599787 7093244.55783853, 325093.24609599786 7093255.2178385295, 325093.2463227683 7093255.219264057, 325094.16626604233 7093260.948910754, 325095.0762098468 7093266.668557525, 325095.07678042474 7093266.672063698, 325096.0567228405 7093272.561717606, 325098.6058525358 7093288.01644117, 325099.1150046789 7093291.540572669, 325100.584354591 7093301.985951296, 325101.25388970034 7093307.322246049, 325101.25502525317 7093307.330710677, 325102.0034028044 7093312.569353536, 325102.4721386656 7093317.43622801, 325102.9015217811 7093322.239327511, 325103.2405506067 7093327.195131227, 325103.61977323785 7093338.951032793, 325103.5301976367 7093342.135943059, 325103.43026994675 7093345.773307103, 325103.2409695056 7093350.585523579, 325103.05243035255 7093352.490761337, 325103.0516861036 7093352.498972441, 325102.5730195086 7093358.312777126, 325101.426781069 7093366.04739477, 325100.09030777233 7093373.198524276, 325098.9444571576 7093378.230303062, 325098.3468403905 7093380.481326219, 325097.6087219987 7093383.244282901, 325096.44068694016 7093387.177665919, 325097.3993130598 7093387.4623340815, 325098.56931305985 7093383.522334081, 325098.5730595323 7093383.509048395, 325099.3130595323 7093380.739048395, 325099.3132591393 7093380.738298886, 325099.9132591393 7093378.478298886, 325099.91751896753 7093378.4610191705, 325101.06751896755 7093373.411019171, 325101.0714903293 7093373.391854539, 325102.41149032925 7093366.221854539, 325102.4145983085 7093366.20329743, 325103.5645983085 7093358.44329743, 325103.5683138964 7093358.411027559, 325104.0479756221 7093352.585136183, 325104.23756964743 7093350.669238663, 325104.2396135892 7093350.6396535365, 325104.4296135892 7093345.809653536, 325104.4298114218 7093345.803731083, 325104.5298069451 7093342.163894036, 325104.61980236333 7093338.964056942, 325104.61974005715 7093338.933879353, 325104.23974005715 7093327.153879353, 325104.23883409286 7093327.135874528, 325103.8988340929 7093322.165874529, 325103.8980139365 7093322.155479004, 325103.4680139364 7093317.345479003, 325103.4676970341 7093317.342066064, 325102.99769703415 7093312.462066064, 325102.99497474683 7093312.439289322, 325102.2455786711 7093307.193516792, 325101.5761102997 7093301.857753951, 325101.5751252263 7093301.850350806, 325100.10512522626 7093291.400350805, 325100.10486197425 7093291.398504361, 325099.59486197424 7093287.868504361, 325099.5933342577 7093287.858628567, 325097.04333425773 7093272.398628567, 325097.04321957525 7093272.397936302, 325096.063511094 7093266.509688389, 325095.15379015316 7093260.791442475, 325095.1536772317 7093260.790735942, 325094.2337916496 7093255.061448567, 325092.55398161174 7093244.402653922, 325091.7840582345 7093239.453146497, 325091.7824517534 7093239.443447874, 325090.9127750101 7093234.495287093, 325090.1134951123 7093229.739571701, 325089.3638814827 7093224.992018714, 325089.3637790572 7093224.991372762, 325088.6137790572 7093220.281372762, 325088.61326090514 7093220.278185091, 325087.9235116141 7093216.119696612, 325087.7737530516 7093215.181209619, 325087.77319696196 7093215.177800506, 325086.7331969619 7093208.937800506, 325085.81320400833 7093203.427842577, 325085.23323510546 7093199.938029695, 325084.0831863479 7093193.05773667, 325082.81326839735 7093185.428229612, 325080.18332193303 7093169.4985538805, 325077.3332895539 7093152.278358001, 325076.37356662884 7093146.49002898, 325074.5238678021 7093134.8019320695, 325073.5949552012 7093128.918818931, 325072.98610776645 7093124.2276993515, 325071.8563754138 7093114.919904482, 325071.28714471974 7093110.2062748745, 325070.7478801619 7093104.553983398, 325070.2480719081 7093098.96612712, 325069.7589057167 7093093.325741444, 325069.4494476682 7093087.216440615, 325069.1799810141 7093081.04864831, 325069.17000230856 7093075.310892638, 325069.1999929518 7093069.66265483, 325069.2299220836 7093063.91626202, 325069.8190912516 7093054.08013269, 325070.11857935385 7093049.158544877, 325070.6177415209 7093043.837476175, 325071.12760251923 7093038.578909801, 325071.65688994084 7093033.266062474, 325072.246073434 7093028.592539173, 325073.0060980036 7093022.5323441, 325073.685572254 7093017.13651917, 325074.99488892045 7093007.951312938, 325075.664490507 7093003.354048314, 325077.1241858488 7092993.866028592, 325078.764196553 7092983.195958983, 325078.76436513365 7092983.194853956, 325079.6742010499 7092977.18593763, 325080.37384371477 7092972.69822968, 325080.5136493016 7092971.829437818, 325080.51397933246 7092971.827359027, 325081.3439793324 7092966.527359027, 325081.3445020234 7092966.523944228, 325081.82442357426 7092963.314468857, 325082.31383915857 7092960.088321229, 325083.26328955387 7092954.351641999, 325083.2634138326 7092954.350887513, 325083.9633194098 7092950.081463492, 325084.79322365 7092945.092039204, 325084.79406949633 7092945.086781071, 325085.02398079506 7092943.607351845, 325085.7038035154 7092939.298475484, 325086.6337150121 7092933.489028392, 325086.63461086893 7092933.483212625, 325087.49435495236 7092927.674941549, 325088.39399525925 7092921.877259572, 325090.22386427555 7092910.268090567, 325091.14376027125 7092904.468746245, 325092.0736937297 7092898.669161236, 325092.0744851387 7092898.664057056, 325093.9944766823 7092885.84411352, 325094.68446817645 7092881.244170226, 325095.5541658017 7092875.436189641, 325096.47343155567 7092869.640818582, 325097.45301194093 7092863.843302017, 325097.453516225 7092863.840260424, 325098.393516225 7092858.060260424, 325098.39398685895 7092858.057310952, 325099.1639868589 7092853.137310951, 325099.1651928708 7092853.129166615, 325099.85513392475 7092848.189588635, 325100.55497809197 7092843.2406905955, 325102.67482506944 7092828.541751647, 325103.3847695125 7092823.672132721, 325103.38533427136 7092823.668146604, 325104.0549402955 7092818.801010279, 325104.41396754404 7092816.39752231, 325104.9233679366 7092813.301166982, 325104.9241119098 7092813.29650765, 325105.1641119098 7092811.74650765, 325105.16432963236 7092811.7450880455, 325105.764064479 7092807.796833639, 325106.6434949912 7092802.270412353, 325109.5631648003 7092784.762392366, 325111.92314012913 7092770.662539766, 325112.71258921246 7092765.92584599, 325114.66191660706 7092755.209543595, 325115.64056240243 7092749.836977903, 325116.8889986884 7092743.984308594, 325116.8899321963 7092743.979832074, 325118.07980464754 7092738.140458028, 325119.2981998564 7092732.238232057, 325120.71645536437 7092726.2555908635, 325122.1247216846 7092720.34286986, 325123.7215702988 7092714.404589076, 325125.0401451934 7092709.859501371, 325127.65008112276 7092700.889721568, 325128.95958647155 7092696.391420752, 325130.7390237792 7092690.433304823, 325132.5189132809 7092684.493673564, 325134.3084158801 7092678.535329714, 325135.79795338167 7092673.686835162, 325136.33783075854 7092671.927234936, 325137.28735060146 7092668.858786601, 325140.41704303 7092658.889766309, 325142.036572975 7092653.731263522, 325145.2059254012 7092643.853281828, 325146.814969458 7092638.8762387205, 325148.5541589647 7092633.678660884, 325148.5544333358 7092633.6778385565, 325150.27392871404 7092628.509355356, 325152.0230553155 7092623.361925643, 325155.43255907553 7092613.473364884, 325157.17091034504 7092608.458121567, 325160.4693141633 7092599.482465115, 325162.0980950035 7092595.045786093, 325163.53676897706 7092591.299239287, 325163.53700087516 7092591.298634214, 325164.23588303535 7092589.471556567, 325166.04472871555 7092584.914464688, 325167.8336071329 7092580.397297262, 325169.68208426225 7092575.91099331, 325171.5513478144 7092571.402769449, 325173.63081768755 7092566.4640285, 325173.6322810043 7092566.460515807, 325175.67225211865 7092561.5105858985, 325177.72152669926 7092556.542344597, 325179.72034685005 7092551.795146739, 325185.83976992004 7092537.456498565, 325187.94966891414 7092532.526734565, 325187.95151109376 7092532.5223733615, 325190.0302525254 7092527.535392716, 325191.52884155465 7092524.068656761, 325192.9987284308 7092520.678917639, 325193.0004323614 7092520.674941122, 325194.0493679206 7092518.197455229, 325196.1375363594 7092513.411652922, 325197.51673163235 7092510.3134606425, 325198.25663314236 7092508.653681579, 325200.3765881077 7092503.903782482, 325200.37895416905 7092503.898396247, 325205.70884519495 7092491.568648339, 325207.4387358578 7092487.5789005095, 325207.439753046 7092487.576537875, 325214.189753046 7092471.786537875, 325215.8495054523 7092467.8971183365, 325221.6490788157 7092454.448107692, 325226.1790275571 7092443.95822639, 325226.17933121254 7092443.9575217385, 325228.2989029252 7092439.028517709, 325230.7484702715 7092433.39951193, 325230.7503552857 7092433.395123066, 325235.3703552857 7092422.495123066, 325235.3708342088 7092422.493989257, 325237.5808342088 7092417.243989257, 325237.5810971909 7092417.243363338, 325242.9110624848 7092404.533446099, 325245.16057181876 7092399.174614974, 325247.4101106486 7092393.885699237, 325247.41308205674 7092393.878560359, 325249.45287049556 7092388.869079927, 325251.54150191566 7092383.772419524, 325253.57957466564 7092378.966963678, 325255.64812498266 7092374.190311255, 325258.09741413017 7092368.641921554, 325258.099765439 7092368.636508884, 325262.30976543896 7092358.786508883, 325265.9996963995 7092350.1466705855, 325267.889572515 7092345.736959649, 325267.890593156 7092345.734560902, 325273.280593156 7092332.974560902, 325274.90997558954 7092329.116023368, 325276.5682209502 7092325.260103432, 325278.4070872682 7092321.112660379, 325278.40824783215 7092321.11002231, 325280.84824783215 7092315.52002231, 325280.84876790264 7092315.518826587, 325283.28876790265 7092309.888826587, 325283.28978308407 7092309.886467595, 325285.69978308404 7092304.246467594, 325285.7000773178 7092304.245777582, 325288.0997837711 7092298.6064674165, 325290.5190655925 7092292.968141188, 325292.9583903026 7092287.349696569, 325296.67814042413 7092278.840268199, 325295.7618595758 7092278.4397318, 325292.04185957584 7092286.949731801))</t>
  </si>
  <si>
    <t>['EV6 S73D1 m8 KD5 m77-148']</t>
  </si>
  <si>
    <t>LINESTRING Z (264768.59 7029961.68 25.59, 264767.86 7029956.39 25.6, 264766.62 7029947.48 25.61, 264765.35 7029938.57 25.62, 264764.93 7029935.62 25.62, 264763.91000000003 7029929.03 25.6, 264763.41000000003 7029925.76 25.59, 264762.85 7029922.5 25.59, 264762.22 7029919.22 25.560000000000002, 264761.62 7029915.99 25.55, 264760.97 7029912.77 25.55, 264760.21 7029909.51 25.55, 264759.46 7029906.32 25.54, 264758.64 7029903.15 25.55, 264757.8 7029899.92 25.55, 264756.87 7029896.78 25.55, 264755.87 7029893.66 25.560000000000002, 264755.42 7029892.18 25.560000000000002)</t>
  </si>
  <si>
    <t>POLYGON ((264768.3553061934 7029956.3216496175, 264768.3552271841 7029956.3210794935, 264767.1152271841 7029947.411079494, 264767.1149969445 7029947.409444881, 264765.84500258265 7029938.499484437, 264765.425008251 7029935.5495242495, 264765.42411629786 7029935.543520695, 264764.4041863296 7029928.953973155, 264763.9042555353 7029925.684425759, 264763.9027823293 7029925.675350275, 264763.34278232924 7029922.415350275, 264763.3410245665 7029922.4056873545, 264762.71131208196 7029919.12718426, 264762.11159046437 7029915.898682886, 264762.11011392536 7029915.891063959, 264761.46011392534 7029912.671063959, 264761.45694263116 7029912.656479632, 264760.6969426312 7029909.396479632, 264760.69672858715 7029909.395565379, 264759.94672858715 7029906.20556538, 264759.9440670731 7029906.194783912, 264759.1240670731 7029903.024783912, 264759.1239039555 7029903.024155009, 264758.2839039555 7029899.794155008, 264758.2794144563 7029899.77800782, 264757.3494144563 7029896.638007821, 264757.346141144 7029896.627390659, 264756.34728543955 7029893.510960861, 264755.89837606804 7029892.034547817, 264754.9416239319 7029892.325452182, 264755.39162393194 7029893.805452183, 264755.393858856 7029893.812609341, 264756.39216321544 7029896.927318943, 264757.3182054633 7029900.053956209, 264758.15601429774 7029903.275530656, 264758.97454230307 7029906.43984014, 264759.7231639427 7029909.623977513, 264760.48136287305 7029912.876251873, 264761.12911823986 7029916.0851323055, 264761.7284095356 7029919.311317114, 264761.72897543345 7029919.314312645, 264762.3580490983 7029922.589489821, 264762.9164393447 7029925.840118756, 264763.4157444648 7029929.105574241, 264763.41588370217 7029929.106479306, 264764.43541950634 7029935.693480236, 264764.854991749 7029938.640475751, 264766.1248865849 7029947.549737992, 264767.36473315296 7029956.458635508, 264768.0946938066 7029961.748350382, 264769.08530619345 7029961.611649618, 264768.3553061934 7029956.3216496175))</t>
  </si>
  <si>
    <t>['EV6 S73D1 m1117-1206']</t>
  </si>
  <si>
    <t>LINESTRING Z (265969.89 7030395.37 45.27, 265973.04 7030396.48 45.35, 265975.43 7030397.3 45.410000000000004, 265977.72 7030398.08 45.46, 265982.41000000003 7030399.67 45.59, 265987.1 7030401.23 45.71, 265990.97 7030402.49 45.81, 265991.81 7030402.76 45.84, 265996.52 7030404.28 45.96, 266001.24 7030405.78 46.09, 266005.96 7030407.24 46.230000000000004, 266006.59 7030407.44 46.24, 266010.7 7030408.69 46.36, 266015.44 7030410.11 46.5, 266020.18 7030411.51 46.64, 266022.3 7030412.12 46.7, 266024.93 7030412.88 46.78, 266029.69 7030414.23 46.93, 266034.46 7030415.56 47.07, 266038.07 7030416.55 47.19, 266039.23 7030416.86 47.22, 266044.02 7030418.14 47.37, 266048.8 7030419.4 47.53, 266053.92 7030420.72 47.69, 266055.02 7030421 47.730000000000004)</t>
  </si>
  <si>
    <t>POLYGON ((265972.87382488704 7030396.951578024, 265972.8777366601 7030396.952938272, 265975.26773666014 7030397.772938271, 265975.268789288 7030397.7732981155, 265977.558789288 7030398.553298116, 265977.5594650105 7030398.553527736, 265982.24946501054 7030400.143527736, 265982.2521896308 7030400.144442712, 265986.94218963076 7030401.7044427125, 265986.94520697626 7030401.705435717, 265990.81520697626 7030402.965435716, 265990.81699541 7030402.966014281, 265991.6567171674 7030403.235924846, 265996.36643957585 7030404.755835262, 265996.36856486346 7030404.756515897, 266001.0885648634 7030406.256515897, 266001.0922460941 7030406.257670162, 266005.81047620066 7030407.717122695, 266006.43871043366 7030407.916562134, 266006.444511824 7030407.918365123, 266010.554511824 7030409.168365123, 266010.5565114776 7030409.16896873, 266015.2965114776 7030410.58896873, 266015.29836922226 7030410.589521348, 266020.03836922225 7030411.989521347, 266020.0417416162 7030411.990504546, 266022.16146687145 7030412.600425493, 266024.7911927135 7030413.360346268, 266024.79357398953 7030413.361028007, 266029.55357398954 7030414.711028008, 266029.555709444 7030414.711628537, 266034.325709444 7030416.041628536, 266034.32776329014 7030416.042196487, 266037.93776329013 7030417.032196487, 266037.9409095099 7030417.033048284, 266039.10090950987 7030417.343048285, 266043.8909176243 7030418.623050453, 266043.8925542107 7030418.623484819, 266048.67255421064 7030419.88348482, 266048.6751753935 7030419.884168171, 266053.7951753935 7030421.204168171, 266053.79666035954 7030421.204548587, 266054.8966603596 7030421.484548587, 266055.14333964046 7030420.515451413, 266054.04408233037 7030420.235640461, 266048.92613608734 7030418.916169945, 266044.1482645613 7030417.656731007, 266039.3590823757 7030416.376949547, 266038.2006650265 7030416.067372496, 266034.5932643239 7030415.078085323, 266029.8253589096 7030413.748669349, 266025.0676174602 7030412.399309903, 266022.4388072865 7030411.639653732, 266022.4382583838 7030411.639495454, 266020.3199462963 7030411.029981126, 266015.58256019466 7030409.630753164, 266010.8444889717 7030408.211330984, 266006.7383944114 7030406.962518769, 266006.1112895664 7030406.763437866, 266006.10775390593 7030406.762329838, 266001.389596742 7030405.302899868, 265996.67249853775 7030403.803822049, 265991.96356042416 7030402.284164738, 265991.96300458995 7030402.283985719, 265991.1238994427 7030402.014273351, 265987.25630316854 7030400.755055959, 265982.56917399605 7030399.196010861, 265977.88087313157 7030397.606586901, 265975.5917371919 7030396.826881209, 265973.20422209444 7030396.007733771, 265970.05617511296 7030394.898421977, 265969.72382488707 7030395.8415780235, 265972.87382488704 7030396.951578024))</t>
  </si>
  <si>
    <t>['EV6 S73D1 m2521-2600']</t>
  </si>
  <si>
    <t>LINESTRING Z (267311.15 7030633.06 123.60000000000001, 267313.63 7030636.2 123.84, 267315.99 7030639.22 124.07000000000001, 267317.57 7030641.26 124.23, 267318.34 7030642.26 124.3, 267320.67 7030645.32 124.54, 267322.98 7030648.38 124.77, 267327.56 7030654.54 125.23, 267330.1 7030658.01 125.48, 267332.08 7030660.74 125.69, 267336.54 7030666.99 126.14, 267338.43 7030669.67 126.33, 267340.95 7030673.28 126.59, 267345.3 7030679.61 127.03, 267345.5 7030679.91 127.05, 267297.68 7030616.64 122.33, 267299.11 7030618.33 122.46000000000001, 267301.57 7030621.27 122.69, 267304.02 7030624.23 122.92, 267306.44 7030627.2 123.15, 267307.84 7030628.92 123.29, 267308.86 7030630.18 123.38000000000001, 267311.15 7030633.06 123.60000000000001)</t>
  </si>
  <si>
    <t>POLYGON Z ((267311.15 7030633.06 123.60000000000001, 267313.63 7030636.2 123.84, 267315.99 7030639.22 124.07000000000001, 267317.57 7030641.26 124.23, 267318.34 7030642.26 124.3, 267320.67 7030645.32 124.54, 267322.98 7030648.38 124.77, 267327.56 7030654.54 125.23, 267330.1 7030658.01 125.48, 267332.08 7030660.74 125.69, 267336.54 7030666.99 126.14, 267338.43 7030669.67 126.33, 267340.95 7030673.28 126.59, 267345.3 7030679.61 127.03, 267345.5 7030679.91 127.05, 267297.68 7030616.64 122.33, 267299.11 7030618.33 122.46000000000001, 267301.57 7030621.27 122.69, 267304.02 7030624.23 122.92, 267306.44 7030627.2 123.15, 267307.84 7030628.92 123.29, 267308.86 7030630.18 123.38000000000001, 267311.15 7030633.06 123.60000000000001))</t>
  </si>
  <si>
    <t>['EV6 S99D1 m6158-7357']</t>
  </si>
  <si>
    <t>LINESTRING Z (379256.92 7161713.37 70.66, 379276.55 7161716.04 71, 379296.61 7161719.46 70.92, 379314.13 7161721.91 71.07000000000001, 379333.51 7161724.71 71.23, 379386.95 7161732.44 71.68, 379418.01 7161737.08 72.11, 379449.35 7161741.73 72.87, 379458.12 7161743.03 73.13, 379467.39 7161744.59 73.4, 379476.6 7161746.52 73.68, 379484.44 7161748.47 73.92, 379485.71 7161748.81 73.95, 379489.02 7161749.73 74.07000000000001, 379494.73 7161751.45 74.28, 379499.58 7161753.03 74.49, 379503.65 7161754.44 74.68, 379512.44 7161757.79 75.09, 379521.09 7161761.46 75.5, 379525.7 7161763.6 75.72, 379529.59 7161765.48 75.91, 379545.2 7161773.24 76.52, 379564.67 7161782.92 76.99, 379640.92 7161820.79 77.77, 379647.63 7161824.12 78.35000000000001, 379655.56 7161828.07 78.44, 379759.29 7161879.6 79.2, 379774.8 7161887.3 79.31, 379804.83 7161902.22 79.53, 379844.34 7161921.84 79.91, 379854.33 7161926.81 79.93, 379904.4 7161951.68 80.74, 379932.68 7161965.73 81.19, 379940.6 7161969.66 81.3, 379962.34 7161980.48 81.45, 379967 7161982.83 81.49, 379975.91000000003 7161987.41 81.55, 379986.38 7161993.21 81.63, 379996.68 7161999.32 81.71000000000001, 380001.96 7162002.68 81.75, 380006.79 7162005.75 81.78, 380007.35 7162006.12 81.78, 380011.45 7162008.85 81.83, 380016.69 7162012.47 81.91, 380022.12 7162016.38 81.86, 380026.4 7162019.48 82.04, 380035.89 7162026.78 82.17, 380045.15 7162034.36 82.3, 380127.24 7162103.59 83.48, 380129.86 7162105.79 83.37, 380195.2 7162160.9 84.46000000000001, 380196.57 7162162.04 84.48, 380205.58 7162169.64 84.62, 380225.77 7162186.66 84.96000000000001, 380273.87 7162227.23 85.75, 380287.74 7162238.92 85.98, 380301.81 7162250.56 86.15, 380305.29 7162253.41 86.15)</t>
  </si>
  <si>
    <t>POLYGON ((379276.47426880867 7161716.534303236, 379296.5259682331 7161719.952888083, 379296.5407536959 7161719.955181734, 379314.0596279733 7161722.405024312, 379333.4384631196 7161725.204856016, 379386.8772728071 7161732.93468384, 379417.9361256331 7161737.574512465, 379449.27661700273 7161742.224585621, 379458.04184709454 7161743.52387857, 379467.29720037075 7161745.081413749, 379476.48834375024 7161747.007462252, 379484.31499511446 7161748.95414212, 379485.5783962222 7161749.292375487, 379488.88092933135 7161750.210300098, 379494.58043743286 7161751.927139666, 379499.4207110789 7161753.503971081, 379503.47909050086 7161754.909945278, 379512.2532593392 7161758.253911787, 379520.88703591755 7161761.917028555, 379525.48593930254 7161764.051877414, 379529.3699219766 7161765.9289692985, 379544.9774111824 7161773.68772114, 379564.4474055674 7161783.367718347, 379640.69759208267 7161821.23781103, 379647.4073999733 7161824.5677157175, 379655.3370707122 7161828.51755171, 379655.33755087585 7161828.5177905625, 379759.0675508758 7161880.047790562, 379774.5775968566 7161887.747813406, 379804.60752715985 7161902.667778779, 379844.11745338334 7161922.287742155, 379854.1072898691 7161927.257660806, 379904.1775495276 7161952.127789892, 379932.45753396826 7161966.177782163, 379940.3774847515 7161970.107757807, 379962.11603778595 7161980.927037652, 379966.77313557675 7161983.275574091, 379975.67450663715 7161987.851138565, 379986.1312533071 7161993.6437967, 379996.41816905193 7161999.74603507, 380001.691562254 7162003.101830743, 380006.5180586572 7162006.169603905, 380007.07362682116 7162006.536675728, 380011.1693232421 7162009.263810174, 380016.4017882222 7162012.878604682, 380021.8272645514 7162016.785347306, 380026.1008612233 7162019.880709383, 380035.57914616563 7162027.171697799, 380044.83045565954 7162034.744583973, 380126.9176554843 7162103.972222465, 380126.91847251204 7162103.972910008, 380129.53805347864 7162106.172558148, 380194.87763501 7162161.282205198, 380194.88018382434 7162161.284340492, 380196.2488976784 7162162.423270268, 380205.25761873653 7162170.022191471, 380225.44768230413 7162187.042245088, 380273.547631258 7162227.612202033, 380287.41777087876 7162239.302319753, 380287.421283393 7162239.305252805, 380301.491283393 7162250.945252805, 380301.49319954484 7162250.946830029, 380304.9731995448 7162253.796830029, 380305.60680045513 7162253.023169971, 380302.1277604698 7162250.173956189, 380288.0604796154 7162238.536205717, 380274.19229819736 7162226.847738466, 380226.092368742 7162186.277797967, 380205.90232478024 7162169.257760884, 380196.8923812635 7162161.657808528, 380196.8898161757 7162161.655659508, 380195.5210941074 7162160.516722897, 380130.18236499 7162105.407794802, 380130.18152748793 7162105.4070899915, 380127.5619362225 7162103.207433203, 380045.4723445157 7162033.977777535, 380045.4667098974 7162033.973095825, 380036.2067098974 7162026.393095825, 380036.19485538045 7162026.383688006, 380026.70485538046 7162019.083688006, 380026.69329770876 7162019.075059938, 380022.4132977087 7162015.975059938, 380022.4121720476 7162015.974247003, 380016.9821720476 7162012.064247003, 380016.97419661086 7162012.05862148, 380011.73419661087 7162008.43862148, 380011.7271158058 7162008.433818753, 380007.62711580575 7162005.703818753, 380007.6256286327 7162005.70283234, 380007.0656286327 7162005.33283234, 380007.0582115855 7162005.328025421, 380002.2283244926 7162002.258097186, 379996.94843774603 7161998.898169257, 379996.9350957223 7161998.889969569, 379986.63509572233 7161992.779969568, 379986.62228925823 7161992.772626115, 379976.15228925826 7161986.972626115, 379976.13858378504 7161986.965309711, 379967.228583785 7161982.385309711, 379967.225138341 7161982.38355546, 379962.56513834104 7161980.03355546, 379962.56278282224 7161980.0323753655, 379940.8227828222 7161969.212375365, 379940.82224852504 7161969.212109842, 379932.9023573591 7161965.282163847, 379904.62246603175 7161951.232217837, 379854.5525681736 7161926.36226857, 379844.56271013094 7161921.392339193, 379805.05242704635 7161901.772198468, 379775.02247284015 7161886.852221221, 379759.5123939069 7161879.152182007, 379655.78268904006 7161827.622328621, 379647.8529292878 7161823.6724482905, 379647.85227084154 7161823.672120917, 379641.1423386502 7161820.342154568, 379564.89250096405 7161782.472235182, 379545.4225944326 7161772.792281653, 379529.81257364363 7161765.032271318, 379529.8075686948 7161765.029817968, 379525.9175686948 7161763.149817967, 379525.91052674875 7161763.146482097, 379521.30052674876 7161761.006482097, 379521.2852885887 7161760.999714906, 379512.6352885887 7161757.329714906, 379512.6180639722 7161757.322781398, 379503.82806397224 7161753.972781398, 379503.81367488514 7161753.967548382, 379499.74367488513 7161752.557548381, 379499.73487546574 7161752.554591134, 379494.8848754657 7161750.974591134, 379494.874212302 7161750.971248696, 379489.164212302 7161749.251248696, 379489.15389699413 7161749.2482619025, 379485.84389699413 7161748.328261902, 379485.8393046757 7161748.327009005, 379484.5693046757 7161747.987009005, 379484.5606852323 7161747.984783476, 379476.72068523226 7161746.034783476, 379476.70254995703 7161746.030629479, 379467.49254995707 7161744.10062948, 379467.4729756715 7161744.096933029, 379458.2029756715 7161742.536933029, 379458.19331520813 7161742.535404326, 379449.42334679695 7161741.235409009, 379418.0836286515 7161736.585450828, 379387.02387436695 7161731.945487536, 379387.02157914935 7161731.945150099, 379333.58157914935 7161724.215150098, 379314.20149705646 7161721.415138231, 379314.1992463041 7161721.414818266, 379296.68665619305 7161718.965854467, 379276.63403176685 7161715.547111917, 379276.617387657 7161715.544561908, 379256.987387657 7161712.874561908, 379256.852612343 7161713.8654380925, 379276.47426880867 7161716.534303236))</t>
  </si>
  <si>
    <t>2024-10-17</t>
  </si>
  <si>
    <t>[73]</t>
  </si>
  <si>
    <t>['RV73 S3D1 m16320-16388']</t>
  </si>
  <si>
    <t>LINESTRING Z (461895.8 7284105.47 428, 461898.6 7284106.55 428, 461835.57 7284080.44 427.95, 461843.14 7284083.93 427.98, 461849.24 7284086.62 427.95, 461856.14 7284089.48 427.93, 461869.57 7284094.9 427.88, 461883.81 7284101 428.03000000000003, 461893.38 7284104.54 428, 461895.8 7284105.47 428)</t>
  </si>
  <si>
    <t>POLYGON Z ((461895.8 7284105.47 428, 461898.6 7284106.55 428, 461835.57 7284080.44 427.95, 461843.14 7284083.93 427.98, 461849.24 7284086.62 427.95, 461856.14 7284089.48 427.93, 461869.57 7284094.9 427.88, 461883.81 7284101 428.03000000000003, 461893.38 7284104.54 428, 461895.8 7284105.47 428))</t>
  </si>
  <si>
    <t>['EV6 S72D1 m7579-9256']</t>
  </si>
  <si>
    <t>LINESTRING Z (264010.71 7028260.37 18.46, 264014.91000000003 7028277.92 18.63, 264023.24 7028312.71 18.93, 264028.68 7028335.48 19.080000000000002, 264031.56 7028347.51 19.16, 264039.88 7028382.32 19.34, 264040.98 7028386.89 19.35, 264044.5 7028401.58 19.41, 264048.03 7028416.26 19.44, 264048.23 7028417.1 19.45, 264051.62 7028430.94 19.47, 264053.44 7028438.27 19.48, 264055.28 7028445.59 19.490000000000002, 264056.86 7028451.83 19.490000000000002, 264057.14 7028452.92 19.490000000000002, 264059.03 7028460.23 19.490000000000002, 264060.94 7028467.54 19.490000000000002, 264062.89 7028474.83 19.490000000000002, 264064.87 7028482.12 19.48, 264066.06 7028486.41 19.47, 264066.89 7028489.4 19.47, 264068.95 7028496.66 19.45, 264071.05 7028503.92 19.44, 264073.06 7028510.72 19.42, 264075.12 7028517.5 19.400000000000002, 264076.11 7028520.74 19.39, 264077.21 7028524.28 19.38, 264079.35 7028531.03 19.35, 264081.52 7028537.78 19.32, 264083.73 7028544.52 19.29, 264085.99 7028551.23 19.26, 264087.19 7028554.77 19.240000000000002, 264088.28 7028557.94 19.23, 264091.25 7028566.45 19.18, 264094.28 7028574.93 19.14, 264097.36 7028583.39 19.09, 264100.49 7028591.83 19.05, 264103.66000000003 7028600.27 19, 264106.86 7028608.68 18.96, 264110.1 7028617.08 18.91, 264113.36 7028625.48 18.87, 264119.95 7028642.24 18.78, 264126.58 7028658.99 18.69, 264146.56 7028709.39 18.41, 264158.08 7028738.47 18.28, 264169.6 7028767.54 18.18, 264181.12 7028796.61 18.12, 264192.65 7028825.68 18.1, 264204.16000000003 7028854.75 18.12, 264215.68 7028883.83 18.18, 264227.21 7028912.9 18.28, 264238.73 7028941.96 18.41, 264263.59 7029004.72 18.75, 264270.39 7029021.86 18.84, 264274.67 7029032.66 18.900000000000002, 264276.52 7029037.22 18.92, 264281.89 7029050.87 19, 264300.6 7029098.12 19.25, 264319.23 7029145.1 19.5, 264336.15 7029187.81 19.73, 264354.25 7029233.48 19.98, 264374.02 7029283.39 20.25, 264388.06 7029318.83 20.44, 264399 7029346.45 20.59, 264471.35 7029508.73 21.48, 264472.46 7029510.77 21.490000000000002, 264475.69 7029516.65 21.52, 264478.97 7029522.51 21.56, 264482.28 7029528.35 21.59, 264483.12 7029529.82 21.6, 264485.63 7029534.17 21.62, 264489.02 7029539.96 21.66, 264492.45 7029545.73 21.69, 264495.92 7029551.47 21.72, 264499.42 7029557.19 21.76, 264502.97 7029562.9 21.79, 264505.33 7029566.65 21.81, 264506.55 7029568.57 21.82, 264507.95 7029570.75 21.84, 264510.17 7029574.22 21.86, 264513.63 7029579.55 21.89, 263950.35 7028007.49 16.13, 263950.4 7028007.7 16.13, 263951.2 7028011.3 16.23, 263953.5 7028020.8 16.330000000000002, 263955.8 7028030.3 16.330000000000002, 263958 7028039.6 16.43, 263960.3 7028049.1 16.53, 263962.5 7028058.6 16.63, 263964.8 7028068.1 16.73, 263967.1 7028077.4 16.830000000000002, 263969.3 7028086.9 16.93, 263971.6 7028096.4 16.93, 263973.78 7028105.9 17.03, 263976 7028115.14 17.13, 263978.27 7028124.71 17.23, 263980.54 7028134.2 17.330000000000002, 263982.8 7028143.6 17.43, 263985.07 7028153 17.53, 263987.31 7028162.5 17.53, 263989.57 7028171.99 17.63, 263991.84 7028181.43 17.73, 263994.1 7028190.9 17.830000000000002, 263996.35 7028200.28 17.93, 263998.58 7028209.64 18.03, 264000.86 7028219.18 18.13, 264003.64 7028230.78 18.23, 264007.57 7028247.34 18.34, 264008.91000000003 7028252.89 18.39, 264010.71 7028260.37 18.46, 264399 7029346.45 20.59, 264405.14 7029361.87 20.67, 264410.25 7029374.73 20.740000000000002, 264415.37 7029387.56 20.81, 264420.57 7029400.39 20.88, 264423.19 7029406.79 20.91, 264425.84 7029413.18 20.95, 264428.53 7029419.55 20.98, 264431.23 7029425.9 21.02, 264433.99 7029432.25 21.05, 264436.78 7029438.58 21.09, 264439.53 7029444.7 21.12, 264442.33 7029450.8 21.150000000000002, 264445.15 7029456.89 21.19, 264448.03 7029462.96 21.22, 264450.94 7029469.01 21.25, 264453.9 7029475.03 21.29, 264456.88 7029481.04 21.32, 264459.92 7029487.03 21.35, 264463 7029492.99 21.39, 264466.11 7029498.94 21.42, 264469.27 7029504.87 21.46, 264471.35 7029508.73 21.48)</t>
  </si>
  <si>
    <t>['EV6 S73D1 m8 KD6 m19-24']</t>
  </si>
  <si>
    <t>LINESTRING Z (264769 7030047.79 26.14, 264769.26 7030046.17 26.14, 264770.62 7030043.04 26.14)</t>
  </si>
  <si>
    <t>POINT (264769.67701169994 7030045.37610767)</t>
  </si>
  <si>
    <t>['EV6 S73D1 m0-2124', 'EV6 S72D1 m9325-9839']</t>
  </si>
  <si>
    <t>LINESTRING Z (264554.11 7029636.9 22.330000000000002, 264556.52 7029640.07 22.36, 264560.61 7029645.39 22.41, 264561.2 7029646.14 22.42, 264564.75 7029650.68 22.46, 264568.92 7029655.93 22.51, 264573.13 7029661.17 22.56, 264577.37 7029666.37 22.62, 264581.64 7029671.54 22.67, 264585.95 7029676.69 22.73, 264590.29 7029681.81 22.78, 264594.67 7029686.89 22.84, 264599.08 7029691.95 22.900000000000002, 264602.61 7029695.95 22.95, 264603.53 7029696.98 22.96, 264608 7029701.97 23.02, 264612.52 7029706.95 23.09, 264617.07 7029711.89 23.150000000000002, 264621.65 7029716.79 23.22, 264624.5 7029719.82 23.26, 264626.26 7029721.67 23.28, 264630.9 7029726.52 23.35, 264635.58 7029731.32 23.42, 264640.29 7029736.11 23.490000000000002, 264645.03 7029740.86 23.56, 264647.16000000003 7029742.97 23.59, 264649.81 7029745.58 23.63, 264654.61 7029750.27 23.7, 264659.45 7029754.92 23.77, 264664.31 7029759.54 23.85, 264669.21 7029764.14 23.93, 264670.56 7029765.39 23.95, 264674.14 7029768.69 24, 264679.09 7029773.21 24.080000000000002, 264684.09 7029777.71 24.16, 264689.11 7029782.16 24.240000000000002, 264694.16000000003 7029786.58 24.32, 264694.66000000003 7029787.02 24.330000000000002, 264699.23 7029790.97 24.41, 264704.35 7029795.32 24.490000000000002, 264709.48 7029799.64 24.580000000000002, 264714.64 7029803.93 24.66, 264719.84 7029808.18 24.75, 264725.06 7029812.39 24.84, 264730.31 7029816.57 24.93, 264735.59 7029820.72 25.02, 264740.9 7029824.84 25.11, 264744.91000000003 7029827.91 25.18, 264746.23 7029828.91 25.2, 264751.6 7029832.95 25.3, 264756.99 7029836.94 25.39, 264762.4 7029840.92 25.490000000000002, 264767.84 7029844.84 25.59, 264771.01 7029847.1 25.64, 264773.31 7029848.74 25.68, 264774.16000000003 7029849.34 25.7, 264778.8 7029852.59 25.78, 264784.32 7029856.41 25.89, 264789.86 7029860.19 25.990000000000002, 264795.43 7029863.94 26.09, 264797.7 7029865.44 26.13, 264801.03 7029867.64 26.19, 264806.65 7029871.32 26.3, 264812.29 7029874.95 26.41, 264815.68 7029877.09 26.47, 264817.97 7029878.54 26.51, 264823.66000000003 7029882.1 26.62, 264824.98 7029882.91 26.650000000000002, 264829.38 7029885.61 26.73, 264835.11 7029889.1 26.84, 264840.88 7029892.53 26.96, 264846.67 7029895.93 27.07, 264852.81 7029899.5 27.19, 264858.3 7029902.63 27.3, 264864.15 7029905.91 27.42, 264870.03 7029909.16 27.53, 264875.93 7029912.36 27.650000000000002, 264881.15 7029915.17 27.76, 264881.84 7029915.52 27.77, 264887.78 7029918.65 27.89, 264893.74 7029921.74 28.01, 264899.73 7029924.79 28.13, 264905.73 7029927.79 28.25, 264911.74 7029930.76 28.37, 264917.79 7029933.69 28.490000000000002, 264923.85 7029936.56 28.61, 264929.92 7029939.41 28.740000000000002, 264936.03 7029942.22 28.86, 264942.14 7029944.98 28.98, 264948.28 7029947.7 29.1, 264954.43 7029950.38 29.22, 264960.61 7029953.02 29.34, 264966.79 7029955.62 29.46, 264973 7029958.17 29.580000000000002, 264979.23 7029960.69 29.7, 264985.46 7029963.16 29.82, 264991.72 7029965.59 29.94, 264997.99 7029967.98 30.060000000000002, 265004.28 7029970.33 30.18, 265010.59 7029972.63 30.3, 265016.9 7029974.89 30.42, 265023.24 7029977.11 30.54, 265029.59 7029979.29 30.66, 265035.95 7029981.42 30.78, 265042.33 7029983.51 30.900000000000002, 265048.72 7029985.57 31.02, 265055.13 7029987.57 31.14, 265061.54 7029989.53 31.26, 265068.92 7029991.73 31.400000000000002, 265076.29 7029993.87 31.54, 265083.69 7029995.96 31.68, 265091.1 7029998.01 31.82, 265098.52 7030000.02 31.95, 265105.96 7030001.97 32.09, 265113.39 7030003.91 32.230000000000004, 265120.84 7030005.8 32.37, 265128.3 7030007.67 32.51, 265135.76 7030009.51 32.64, 265150.7 7030013.14 32.92, 265165.65 7030016.7 33.2, 265180.62 7030020.24 33.47, 265197.32 7030024.2 33.78, 265205.66000000003 7030026.19 33.93, 265214 7030028.2 34.09, 265222.34 7030030.24 34.24, 265230.67 7030032.32 34.39, 265238.97 7030034.44 34.550000000000004, 265247.28 7030036.6 34.7, 265253.08 7030038.14 34.81, 265258.87 7030039.72 34.92, 265264.64 7030041.31 35.03, 265270.42 7030042.93 35.13, 265276.19 7030044.58 35.24, 265281.94 7030046.25 35.35, 265287.69 7030047.95 35.46, 265293.44 7030049.69 35.56, 265299.17 7030051.44 35.67, 265304.9 7030053.21 35.78, 265310.62 7030055.03 35.89, 265316.33 7030056.85 35.99, 265322.04 7030058.71 36.1, 265327.73 7030060.6 36.21, 265333.41000000003 7030062.51 36.32, 265339.09 7030064.45 36.42, 265344.76 7030066.41 36.53, 265350.41000000003 7030068.39 36.63, 265356.06 7030070.4 36.74, 265357.04 7030070.75 36.75, 265361.71 7030072.44 36.84, 265367.34 7030074.51 36.94, 265372.95 7030076.59 37.04, 265378.57 7030078.71 37.13, 265380.35 7030079.39 37.160000000000004, 265384.17 7030080.86 37.230000000000004, 265389.77 7030083.02 37.32, 265395.35 7030085.21 37.410000000000004, 265400.91000000003 7030087.43 37.51, 265403.49 7030088.47 37.550000000000004, 265406.48 7030089.67 37.59, 265412.03 7030091.94 37.68, 265417.57 7030094.23 37.77, 265423.11 7030096.55 37.86, 265426.47 7030097.98 37.910000000000004, 265428.62 7030098.89 37.94, 265434.13 7030101.26 38.02, 265439.63 7030103.66 38.1, 265445.12 7030106.08 38.18, 265449.26 7030107.92 38.24, 265450.59 7030108.52 38.26, 265456.06 7030110.99 38.34, 265461.52 7030113.48 38.410000000000004, 265466.96 7030116 38.49, 265471.85 7030118.29 38.550000000000004, 265472.39 7030118.54 38.56, 265477.81 7030121.11 38.63, 265483.21 7030123.71 38.7, 265488.62 7030126.33 38.77, 265494.25 7030129.09 38.84, 265499.37 7030131.63 38.9, 265504.73 7030134.32 38.96, 265510.07 7030137.04 39.03, 265513.92 7030139.01 39.07, 265516.44 7030140.31 39.1, 265520.73 7030142.54 39.15, 265526.05 7030145.33 39.21, 265531.35 7030148.15 39.27, 265536.63 7030150.98 39.33, 265541.9 7030153.84 39.39, 265547.16000000003 7030156.72 39.45, 265552.41000000003 7030159.64 39.51, 265557.63 7030162.56 39.57, 265562.85 7030165.52 39.63, 265568.05 7030168.5 39.69, 265573.25 7030171.5 39.75, 265578.43 7030174.53 39.81, 265583.59 7030177.58 39.87, 265588.74 7030180.66 39.93, 265593.88 7030183.75 39.99, 265598.99 7030186.87 40.050000000000004, 265605.51 7030190.89 40.12, 265612 7030194.94 40.2, 265618.48 7030199.03 40.27, 265624.93 7030203.14 40.35, 265631.36 7030207.29 40.43, 265637.78 7030211.46 40.5, 265644.19 7030215.65 40.58, 265650.58 7030219.86 40.660000000000004, 265663.33 7030228.34 40.81, 265676.03 7030236.87 40.96, 265688.71 7030245.45 41.12, 265701.39 7030254.04 41.27, 265713.81 7030262.46 41.42, 265726.25 7030270.85 41.57, 265732.49 7030275.03 41.64, 265738.74 7030279.18 41.72, 265745.01 7030283.31 41.79, 265751.29 7030287.42 41.87, 265757.6 7030291.49 41.94, 265763.92 7030295.52 42.02, 265770.27 7030299.51 42.09, 265776.65 7030303.47 42.17, 265780.87 7030306.06 42.22, 265785.11 7030308.61 42.27, 265789.36 7030311.15 42.32, 265793.62 7030313.66 42.37, 265797.89 7030316.17 42.42, 265802.18 7030318.64 42.47, 265806.48 7030321.09 42.52, 265810.79 7030323.53 42.56, 265815.1 7030325.94 42.61, 265819.44 7030328.32 42.660000000000004, 265823.78 7030330.7 42.71, 265828.14 7030333.04 42.76, 265832.5 7030335.37 42.81, 265836.89 7030337.67 42.86, 265839.94 7030339.26 42.9, 265841.27 7030339.95 42.910000000000004, 265845.67 7030342.21 42.96, 265850.09 7030344.45 43.02, 265854.56 7030346.69 43.07, 265858.94 7030348.87 43.13, 265863.4 7030351.04 43.19, 265867.85 7030353.19 43.25, 265869.29 7030353.87 43.27, 265872.31 7030355.32 43.32, 265876.79 7030357.42 43.39, 265881.28 7030359.51 43.46, 265884.14 7030360.82 43.5, 265885.78 7030361.57 43.53, 265890.29 7030363.61 43.6, 265894.81 7030365.63 43.68, 265899.34 7030367.63 43.76, 265903.87 7030369.6 43.84, 265908.42 7030371.55 43.93, 265912.98 7030373.48 44.01, 265914.16000000003 7030373.97 44.03, 265917.54 7030375.38 44.1, 265922.12 7030377.27 44.19, 265926.71 7030379.13 44.28, 265929.34 7030380.18 44.34, 265931.3 7030380.97 44.38, 265935.9 7030382.78 44.480000000000004, 265940.52 7030384.57 44.58, 265944.6 7030386.14 44.67, 265945.13 7030386.34 44.68, 265949.77 7030388.09 44.79, 265954.4 7030389.81 44.89, 265959.06 7030391.51 45, 265959.97 7030391.84 45.02, 265963.71 7030393.19 45.11, 265968.37 7030394.84 45.230000000000004, 265973.04 7030396.48 45.35, 265975.43 7030397.3 45.410000000000004, 265977.72 7030398.08 45.46, 265982.41000000003 7030399.67 45.59, 265987.1 7030401.23 45.71, 265990.97 7030402.49 45.81, 265991.81 7030402.76 45.84, 265996.52 7030404.28 45.96, 266001.24 7030405.78 46.09, 266005.96 7030407.24 46.230000000000004, 266006.59 7030407.44 46.24, 266010.7 7030408.69 46.36, 266015.44 7030410.11 46.5, 266020.18 7030411.51 46.64, 266022.3 7030412.12 46.7, 266024.93 7030412.88 46.78, 266029.69 7030414.23 46.93, 266034.46 7030415.56 47.07, 266038.07 7030416.55 47.19, 266039.23 7030416.86 47.22, 266044.02 7030418.14 47.37, 266048.8 7030419.4 47.53, 266053.92 7030420.72 47.69, 266058.4 7030421.85 47.84, 266063.19 7030423.04 48, 266068 7030424.19 48.17, 266069.82 7030424.63 48.230000000000004, 266072.82 7030425.33 48.33, 266077.64 7030426.44 48.5, 266082.47 7030427.54 48.67, 266085.8 7030428.27 48.79, 266087.3 7030428.6 48.84, 266092.13 7030429.65 49.02, 266096.98 7030430.67 49.19, 266101.83 7030431.66 49.370000000000005, 266106.68 7030432.63 49.56, 266111.54 7030433.58 49.74, 266116.4 7030434.5 49.93, 266117.91000000003 7030434.78 49.99, 266121.27 7030435.4 50.120000000000005, 266126.13 7030436.27 50.31, 266131 7030437.12 50.5, 266134.04 7030437.64 50.620000000000005, 266135.89 7030437.95 50.7, 266140.77 7030438.76 50.89, 266145.65 7030439.54 51.1, 266150.55 7030440.28 51.300000000000004, 266155.44 7030441.02 51.5, 266160.34 7030441.72 51.71, 266165.24 7030442.4 51.92, 266166.42 7030442.56 51.97, 266170.14 7030443.06 52.13, 266175.05 7030443.69 52.35, 266179.96 7030444.31 52.56, 266182.67 7030444.62 52.68, 266184.88 7030444.89 52.78, 266189.8 7030445.44 53.01, 266194.71 7030445.99 53.230000000000004, 266198.95 7030446.42 53.42, 266199.63 7030446.5 53.46, 266204.56 7030446.98 53.68, 266209.48 7030447.44 53.910000000000004, 266214.42 7030447.88 54.15, 266215.26 7030447.96 54.19, 266219.35 7030448.3 54.38, 266224.28 7030448.69 54.620000000000005, 266229.21 7030449.05 54.86, 266231.58 7030449.22 54.980000000000004, 266234.15 7030449.39 55.1, 266239.09 7030449.71 55.35, 266244.03 7030450 55.6, 266247.92 7030450.22 55.79, 266248.97 7030450.27 55.85, 266253.91000000003 7030450.51 56.1, 266258.85 7030450.73 56.35, 266264.28 7030450.94 56.63, 266268.75 7030451.09 56.870000000000005, 266273.69 7030451.23 57.13, 266278.64 7030451.36 57.39, 266280.63 7030451.4 57.5, 266283.58 7030451.45 57.660000000000004, 266288.54 7030451.53 57.93, 266293.48 7030451.58 58.2, 266297 7030451.59 58.39, 266298.43 7030451.59 58.47, 266303.38 7030451.59 58.75, 266308.33 7030451.57 59.02, 266313.27 7030451.52 59.300000000000004, 266318.22 7030451.45 59.59, 266323.17 7030451.34 59.870000000000005, 266328.12 7030451.22 60.160000000000004, 266333.06 7030451.07 60.45, 266338 7030450.89 60.74, 266342.95 7030450.7 61.03, 266347.89 7030450.48 61.33, 266352.84 7030450.24 61.63, 266357.78 7030449.96 61.92, 266362.71 7030449.67 62.22, 266367.66000000003 7030449.35 62.52, 266372.59 7030449 62.81, 266377.52 7030448.63 63.11, 266382.46 7030448.24 63.410000000000004, 266389.98 7030447.59 63.86, 266397.5 7030446.9 64.31, 266405.01 7030446.15 64.76, 266412.51 7030445.37 65.22, 266420.01 7030444.54 65.67, 266427.52 7030443.69 66.12, 266435.01 7030442.8 66.57000000000001, 266442.5 7030441.89 67.03, 266457.48 7030440.02 67.93, 266466.03 7030438.94 68.45, 266472.45 7030438.11 68.84, 266655.02 7030414.77 79.88, 266668.85 7030413 80.72, 266682.69 7030411.26 81.55, 266696.53 7030409.57 82.39, 266710.38 7030407.93 83.23, 266717.31 7030407.15 83.64, 266724.24 7030406.39 84.06, 266731.18 7030405.66 84.48, 266738.12 7030404.96 84.9, 266745.06 7030404.3 85.32000000000001, 266752 7030403.68 85.73, 266758.95 7030403.08 86.15, 266765.9 7030402.54 86.57000000000001, 266772.86 7030402.04 86.99, 266779.81 7030401.59 87.41, 266786.78 7030401.18 87.83, 266793.74 7030400.83 88.24, 266800.71 7030400.54 88.66, 266807.68 7030400.31 89.08, 266814.65 7030400.14 89.5, 266821.63 7030400.03 89.92, 266828.6 7030399.99 90.34, 266835.56 7030400.03 90.75, 266842.54 7030400.14 91.17, 266849.51 7030400.32 91.59, 266853.47 7030400.46 91.83, 266857.43 7030400.62 92.07000000000001, 266861.39 7030400.81 92.3, 266865.34 7030401.04 92.54, 266869.29 7030401.28 92.78, 266873.24 7030401.54 93.02, 266877.19 7030401.83 93.25, 266881.14 7030402.15 93.49, 266885.08 7030402.5 93.73, 266889.03 7030402.86 93.97, 266892.97 7030403.25 94.2, 266896.91000000003 7030403.68 94.44, 266900.84 7030404.12 94.68, 266904.78 7030404.6 94.92, 266908.7 7030405.09 95.16, 266912.63 7030405.61 95.39, 266916.55 7030406.16 95.63, 266920.47 7030406.73 95.87, 266924.39 7030407.33 96.11, 266928.3 7030407.95 96.34, 266932.21 7030408.6 96.58, 266936.11 7030409.28 96.82000000000001, 266940 7030409.97 97.06, 266943.9 7030410.69 97.29, 266947.79 7030411.44 97.53, 266951.67 7030412.22 97.77, 266955.56 7030413.02 98.01, 266959.43 7030413.84 98.24000000000001, 266963.3 7030414.69 98.48, 266964.7 7030415.01 98.57000000000001)</t>
  </si>
  <si>
    <t>POLYGON ((264556.12196729926 7029640.372605302, 264556.12360492314 7029640.374747343, 264560.2136049231 7029645.694747343, 264560.2170227178 7029645.699142128, 264560.806570188 7029646.448566878, 264564.3561193801 7029650.987990352, 264564.3584766242 7029650.990981424, 264568.52847662417 7029656.240981424, 264568.53021959047 7029656.243163268, 264572.7402195905 7029661.483163268, 264572.7424906561 7029661.485969157, 264576.9824906561 7029666.685969157, 264576.9844872884 7029666.6884021815, 264581.2544872884 7029671.858402181, 264581.2565615122 7029671.860897064, 264585.5665615122 7029677.010897065, 264585.56858956773 7029677.013304938, 264589.9085895677 7029682.133304937, 264589.9113204444 7029682.1364993015, 264594.2913204444 7029687.216499302, 264594.29306633305 7029687.218513334, 264598.7030663331 7029692.278513335, 264598.70510842465 7029692.280841815, 264602.2351084246 7029696.280841815, 264602.23709541373 7029696.283079824, 264603.1570954138 7029697.313079825, 264603.1575746047 7029697.313615535, 264607.62757460464 7029702.303615535, 264607.6297609589 7029702.3060402535, 264612.1497609589 7029707.286040254, 264612.1522274475 7029707.288737877, 264616.7022274475 7029712.228737877, 264616.7047203617 7029712.231424641, 264621.2847203617 7029717.131424641, 264621.28579415684 7029717.132569852, 264624.1357941568 7029720.162569853, 264624.1377448199 7029720.164631955, 264625.89774481993 7029722.014631955, 264625.8987114291 7029722.015645148, 264630.5387114291 7029726.865645148, 264630.54199993017 7029726.869050068, 264635.22199993016 7029731.669050069, 264635.22348195856 7029731.67056367, 264639.9334819585 7029736.46056367, 264639.93607425224 7029736.463180642, 264644.6760742523 7029741.213180642, 264644.6781182288 7029741.215217144, 264646.8081182288 7029743.325217144, 264646.80914537306 7029743.326231709, 264649.459145373 7029745.936231709, 264649.46056817245 7029745.937627457, 264654.26056817244 7029750.627627457, 264654.2635945485 7029750.630559652, 264659.10359454853 7029755.2805596525, 264659.105507707 7029755.282387996, 264663.965507707 7029759.902387996, 264663.96778204583 7029759.904536516, 264668.86778204585 7029764.504536516, 264668.87029598426 7029764.506880336, 264670.22029598424 7029765.756880336, 264670.221115941 7029765.757637857, 264673.801115941 7029769.057637858, 264673.8028476318 7029769.059226599, 264678.7528476318 7029773.579226598, 264678.7555176342 7029773.581647073, 264683.7555176342 7029778.081647073, 264683.7583272704 7029778.084156652, 264688.77832727035 7029782.534156652, 264688.7806949535 7029782.536242192, 264693.8301899371 7029786.9558001775, 264694.3296860528 7029787.3953567585, 264694.3330392348 7029787.398281189, 264698.90303923475 7029791.348281189, 264698.9062622104 7029791.3510431, 264704.0262622104 7029795.7010431, 264704.0279321271 7029795.7024556, 264709.1579321271 7029800.022455599, 264709.16034774703 7029800.0244768355, 264714.32034774707 7029804.314476836, 264714.32358386106 7029804.317144452, 264719.52358386107 7029808.567144452, 264719.5261092014 7029808.569194767, 264724.7461092014 7029812.779194767, 264724.74856194045 7029812.781160242, 264729.99856194045 7029816.961160243, 264730.00102346623 7029816.963107494, 264735.28102346626 7029821.113107493, 264735.28349344176 7029821.115036365, 264740.59349344176 7029825.235036365, 264740.5960545014 7029825.237010244, 264744.60605450143 7029828.307010245, 264744.608071156 7029828.308546075, 264745.92807115597 7029829.308546075, 264745.9294050947 7029829.30955313, 264751.2994050947 7029833.34955313, 264751.30251105374 7029833.351871033, 264756.69251105376 7029837.341871033, 264756.6937052997 7029837.342752344, 264762.1037052997 7029841.3227523435, 264762.10769050673 7029841.325653991, 264767.54769050673 7029845.245653991, 264767.5497454867 7029845.247126906, 264770.7197337605 7029847.507118546, 264773.01971587114 7029849.147105791, 264773.02165840135 7029849.148483932, 264773.8716584014 7029849.748483932, 264773.8731503681 7029849.7495330125, 264778.51315036806 7029852.9995330125, 264778.5154724786 7029853.001149717, 264784.0354724786 7029856.821149717, 264784.03819280403 7029856.823019012, 264789.578192804 7029860.603019012, 264789.58076254185 7029860.604760705, 264795.15076254186 7029864.354760705, 264795.15434852423 7029864.357152567, 264797.42434852425 7029865.857152567, 264800.7543869405 7029868.057177949, 264800.7560946255 7029868.058301142, 264806.3760946255 7029871.738301143, 264806.37939518096 7029871.740443852, 264812.0193951809 7029875.370443852, 264812.0230973603 7029875.372803714, 264815.4128070794 7029877.512620469, 264817.70251784753 7029878.962437331, 264817.7047996758 7029878.963873552, 264823.39479967585 7029882.523873552, 264823.39849189 7029882.526161364, 264824.71849188994 7029883.336161365, 264829.1184918901 7029886.036161365, 264829.11990832473 7029886.037027307, 264834.8499083247 7029889.527027306, 264834.8545069252 7029889.529794472, 264840.62450692523 7029892.959794473, 264840.626815439 7029892.961158414, 264846.416815439 7029896.361158414, 264846.4186775356 7029896.362246479, 264852.5586775356 7029899.932246479, 264852.56235667714 7029899.934364806, 264858.05235667713 7029903.064364806, 264858.0554713345 7029903.066125821, 264863.9054713345 7029906.346125822, 264863.90812693886 7029906.347604184, 264869.78812693886 7029909.597604184, 264869.7916184798 7029909.599515928, 264875.6916184798 7029912.799515928, 264875.6930003854 7029912.80026263, 264880.91300038545 7029915.61026263, 264880.9238119315 7029915.615913621, 264881.6103480871 7029915.964156598, 264887.5469119655 7029919.092345983, 264887.5498631576 7029919.093888538, 264893.5098631576 7029922.183888538, 264893.5131262579 7029922.185565153, 264899.5031262579 7029925.235565153, 264899.50639320223 7029925.237213596, 264905.50639320223 7029928.237213596, 264905.50848400657 7029928.238252902, 264911.5184840066 7029931.208252902, 264911.5220640138 7029931.21000434, 264917.5720640138 7029934.140004341, 264917.57598888245 7029934.1418841025, 264923.63598888245 7029937.011884102, 264923.63749655464 7029937.012595057, 264929.70749655465 7029939.862595057, 264929.7110840143 7029939.864262161, 264935.8210840144 7029942.67426216, 264935.8241666759 7029942.67566725, 264941.9341666759 7029945.43566725, 264941.93748356804 7029945.437151064, 264948.07748356805 7029948.157151064, 264948.0802554687 7029948.1583689805, 264954.2302554687 7029950.83836898, 264954.2335792577 7029950.8398031015, 264960.41357925767 7029953.479803101, 264960.4161048658 7029953.4808738185, 264966.5961048658 7029956.080873819, 264966.60007471463 7029956.08252393, 264972.81007471465 7029958.63252393, 264972.8125101717 7029958.63351652, 264979.04251017165 7029961.153516521, 264979.04572048644 7029961.154802174, 264985.2757204865 7029963.624802174, 264985.27906436 7029963.626114036, 264991.53906435997 7029966.056114036, 264991.54190938047 7029966.057208445, 264997.8119093805 7029968.4472084455, 264997.8150096405 7029968.448378452, 265004.1050096405 7029970.798378452, 265004.10876986425 7029970.799766155, 265010.41876986425 7029973.099766155, 265010.42140655534 7029973.100718865, 265016.73140655534 7029975.360718865, 265016.7347584791 7029975.361905965, 265023.0747584791 7029977.581905966, 265023.07764745085 7029977.582907655, 265029.4276474509 7029979.762907655, 265029.4312153541 7029979.764117534, 265035.7912153541 7029981.894117534, 265035.7943459351 7029981.895154513, 265042.1743459351 7029983.985154513, 265042.17658564984 7029983.985882377, 265048.5665856498 7029986.045882378, 265048.5710745117 7029986.04730619, 265054.9810745117 7029988.04730619, 265054.98379597923 7029988.048146823, 265061.3937959792 7029990.008146823, 265061.3971602021 7029990.009162595, 265068.7771602021 7029992.209162595, 265068.7805755198 7029992.210167486, 265076.1505755198 7029994.350167486, 265076.1541000401 7029994.3511768915, 265083.5541000401 7029996.441176891, 265083.5566812658 7029996.441898449, 265090.9666812658 7029998.491898449, 265090.9692670138 7029998.4926063465, 265098.3892670138 7030000.502606346, 265098.3932333982 7030000.5036633415, 265105.8332333982 7030002.453663342, 265113.2636830316 7030004.393780966, 265113.26704918453 7030004.394647394, 265120.71704918455 7030006.284647394, 265120.71842626954 7030006.284994668, 265128.1784262695 7030008.154994668, 265128.1802639433 7030008.155451621, 265135.6402639433 7030009.995451621, 265135.64194869134 7030009.9958640635, 265150.58194869134 7030013.625864063, 265150.58417507465 7030013.626399616, 265165.53417507466 7030017.186399616, 265165.5349369001 7030017.186580397, 265180.5047866107 7030020.726544858, 265197.20429414394 7030024.686428081, 265205.54340180854 7030026.6762151625, 265213.88202510134 7030028.685883366, 265222.22003399837 7030030.725396333, 265230.54756464646 7030032.804779736, 265238.8452383067 7030034.924185539, 265247.1529507151 7030037.083590929, 265252.9500274853 7030038.6228147615, 265258.73776997847 7030040.202198723, 265264.5061147634 7030041.791742607, 265270.2837944189 7030043.411092268, 265276.0515367166 7030045.060446652, 265281.79939167865 7030046.729823658, 265287.54670907103 7030048.4290305395, 265293.2945674109 7030050.168382455, 265299.02319158876 7030051.917962265, 265304.75041134784 7030053.687103447, 265310.46827797906 7030055.506424648, 265316.1766455344 7030057.325904323, 265321.8837604306 7030059.184964517, 265327.57151029684 7030061.074217109, 265333.24951245723 7030062.983545301, 265338.92751795 7030064.922864078, 265344.5956412072 7030066.882215328, 265350.24352487386 7030068.861473674, 265355.89212242543 7030070.87097475, 265356.87084332324 7030071.220517928, 265361.5386551174 7030072.909726051, 265367.166817486 7030074.9790504025, 265372.774851627 7030077.058321528, 265378.3925453438 7030079.177451542, 265380.1709968453 7030079.85685998, 265383.9902470007 7030081.326571428, 265389.5886946856 7030083.485972677, 265395.16595914774 7030085.674899053, 265400.72382867604 7030087.8940483965, 265403.3030657065 7030088.933740843, 265403.30376964045 7030088.934023979, 265406.29224087624 7030090.133410429, 265411.8398552985 7030092.402434706, 265417.3779295795 7030094.691638696, 265422.9155297791 7030097.010633725, 265426.2741977518 7030098.440066821, 265426.27511014143 7030098.440454062, 265428.42377186136 7030099.349887626, 265433.93123090756 7030101.718794693, 265439.4291749232 7030104.117897538, 265444.9176266115 7030106.537215039, 265449.05565898906 7030108.37634054, 265450.3843104818 7030108.975732191, 265455.8533806702 7030111.445312331, 265461.31118317996 7030113.934310179, 265466.7488918359 7030116.453248748, 265471.63794914575 7030118.742807283, 265471.63993821596 7030118.743733454, 265472.1778534654 7030118.992768291, 265477.5944330561 7030121.561146437, 265482.99257947085 7030124.16025397, 265488.4009867448 7030126.779482631, 265494.02885024174 7030129.538435251, 265499.14675904805 7030132.077397823, 265504.5043922466 7030134.766210007, 265509.84265144967 7030137.485323309, 265513.69150385214 7030139.454736096, 265516.2100781376 7030140.754000608, 265520.4985828766 7030142.983223352, 265525.816456546 7030145.772108227, 265531.11446688534 7030148.591049578, 265536.3926513258 7030151.420076465, 265541.6606904031 7030154.279012283, 265546.91841728945 7030157.157767689, 265552.1664337113 7030160.076664441, 265557.3846327492 7030162.995657006, 265562.60237836593 7030165.954378659, 265567.8007645343 7030168.9334538095, 265572.99884052586 7030171.932343804, 265578.1765615048 7030174.961010709, 265583.33447045885 7030178.009774723, 265588.48287417163 7030181.0888200505, 265593.62091116747 7030184.177639956, 265598.72851427936 7030187.296176494, 265605.24643883365 7030191.314896848, 265611.7342085983 7030195.363505099, 265618.21221611346 7030199.452247497, 265624.66008305066 7030203.560888289, 265631.0882523004 7030207.7097067, 265637.5070353246 7030211.878916235, 265643.9156709015 7030216.068024358, 265650.30400774494 7030220.276928601, 265663.0521588824 7030228.755698926, 265675.7505047481 7030237.284587921, 265688.4296808643 7030245.864030435, 265701.1094983418 7030254.453906786, 265713.5294285868 7030262.873859496, 265713.5304238392 7030262.874532472, 265725.97042383923 7030271.264532472, 265725.97172881576 7030271.265409614, 265732.21172881575 7030275.445409615, 265732.21341936727 7030275.446537098, 265738.46341936727 7030279.596537097, 265738.46495939855 7030279.597555586, 265744.7349593986 7030283.727555586, 265744.73619585205 7030283.728367408, 265751.016195852 7030287.838367408, 265751.0189820684 7030287.840177678, 265757.3289820684 7030291.910177678, 265757.3311739021 7030291.911583359, 265763.6511739021 7030295.941583359, 265763.65398250136 7030295.943361182, 265770.0039825014 7030299.933361182, 265770.0063185691 7030299.934820083, 265776.38631856913 7030303.894820083, 265776.38845854625 7030303.896140901, 265780.6084585462 7030306.486140901, 265780.61230642465 7030306.488478729, 265784.85230642464 7030309.038478729, 265784.85349505366 7030309.039191348, 265789.10349505366 7030311.579191348, 265789.10618065327 7030311.580785027, 265793.3661806533 7030314.090785027, 265793.36662229605 7030314.091044939, 265797.63662229606 7030316.601044939, 265797.6405177776 7030316.603311229, 265801.93051777757 7030319.073311228, 265801.9324747372 7030319.074432094, 265806.23247473716 7030321.524432094, 265806.23367203877 7030321.525112095, 265810.54367203877 7030323.965112096, 265810.5459758599 7030323.966408317, 265814.8559758599 7030326.376408317, 265814.8595836944 7030326.378406205, 265823.5395836944 7030331.138406205, 265823.54355287715 7030331.140559597, 265827.90355287713 7030333.480559597, 265827.904338492 7030333.480980333, 265832.264338492 7030335.810980333, 265832.2679588054 7030335.81289602, 265836.6579588054 7030338.11289602, 265836.658866049 7030338.113370158, 265839.708866049 7030339.703370158, 265839.70974401763 7030339.703826748, 265841.03974401765 7030340.393826748, 265841.0415544212 7030340.394761304, 265845.44155442115 7030342.654761304, 265845.4439747819 7030342.655996189, 265849.86397478194 7030344.89599619, 265849.86599327973 7030344.897013411, 265854.3359932797 7030347.137013411, 265854.3372111497 7030347.137621636, 265858.7172111497 7030349.317621635, 265858.7212451094 7030349.319606826, 265863.1812451094 7030351.489606826, 265863.1824840151 7030351.490207504, 265867.6324840151 7030353.640207504, 265867.6364968473 7030353.642124324, 265869.0750391575 7030354.32143597, 265872.0935859463 7030355.770738237, 265872.0977830619 7030355.7727294685, 265876.5777830619 7030357.872729468, 265876.5789995162 7030357.87329769, 265881.06899951625 7030359.96329769, 265881.07178211067 7030359.964582567, 265883.93178211065 7030361.274582568, 265885.57205459796 7030362.024707279, 265885.57393603 7030362.025562993, 265890.0839360299 7030364.065562993, 265890.0859941456 7030364.066488348, 265894.6059941456 7030366.0864883475, 265894.6080556082 7030366.087404047, 265899.1380556082 7030368.087404047, 265899.1405999335 7030368.088518934, 265903.6705999335 7030370.058518934, 265903.67304035067 7030370.059572515, 265908.22304035065 7030372.009572515, 265908.2251141243 7030372.010455747, 265912.7851141243 7030373.940455748, 265912.78824818257 7030373.941769684, 265913.96787313285 7030374.431613942, 265917.34749844164 7030375.841457636, 265917.34926985967 7030375.842192615, 265921.9292698597 7030377.732192615, 265921.93221775116 7030377.733398129, 265926.5222177512 7030379.59339813, 265926.52460912033 7030379.594360013, 265929.15384467255 7030380.644054814, 265931.1130814844 7030381.433747203, 265931.1169234868 7030381.435277326, 265935.71692348685 7030383.245277327, 265935.7193614015 7030383.246229232, 265940.3393614015 7030385.036229232, 265940.3404338209 7030385.03664332, 265944.42043382087 7030386.606643319, 265944.4234713736 7030386.607800859, 265944.95347137365 7030386.807800859, 265949.5935546389 7030388.557832272, 265949.5958813186 7030388.558703194, 265954.2258813186 7030390.278703194, 265954.22864296223 7030390.27971988, 265958.8886429622 7030391.97971988, 265958.88954327157 7030391.980047341, 265959.79954327154 7030392.3100473415, 265959.8002395708 7030392.310299262, 265963.54023957084 7030393.660299263, 265963.54311387544 7030393.661326874, 265968.2031138754 7030395.3113268735, 265968.20432991104 7030395.31175568, 265972.874329911 7030396.95175568, 265972.8777366601 7030396.952938272, 265975.26773666014 7030397.772938271, 265975.268789288 7030397.7732981155, 265977.558789288 7030398.553298116, 265977.5594650105 7030398.553527736, 265982.24946501054 7030400.143527736, 265982.2521896308 7030400.144442712, 265986.94218963076 7030401.7044427125, 265986.94520697626 7030401.705435717, 265990.81520697626 7030402.965435716, 265990.81699541 7030402.966014281, 265991.6567171674 7030403.235924846, 265996.36643957585 7030404.755835262, 265996.36856486346 7030404.756515897, 266001.0885648634 7030406.256515897, 266001.0922460941 7030406.257670162, 266005.81047620066 7030407.717122695, 266006.43871043366 7030407.916562134, 266006.444511824 7030407.918365123, 266010.554511824 7030409.168365123, 266010.5565114776 7030409.16896873, 266015.2965114776 7030410.58896873, 266015.29836922226 7030410.589521348, 266020.03836922225 7030411.989521347, 266020.0417416162 7030411.990504546, 266022.16146687145 7030412.600425493, 266024.7911927135 7030413.360346268, 266024.79357398953 7030413.361028007, 266029.55357398954 7030414.711028008, 266029.555709444 7030414.711628537, 266034.325709444 7030416.041628536, 266034.32776329014 7030416.042196487, 266037.93776329013 7030417.032196487, 266037.9409095099 7030417.033048284, 266039.10090950987 7030417.343048285, 266043.8909176243 7030418.623050453, 266043.8925542107 7030418.623484819, 266048.67255421064 7030419.88348482, 266048.6751753935 7030419.884168171, 266053.7951753935 7030421.204168171, 266053.79771393473 7030421.204815551, 266058.2777139348 7030422.334815551, 266058.2794474112 7030422.335249496, 266063.06944741117 7030423.525249496, 266063.07373418304 7030423.526294417, 266067.8831196649 7030424.676147494, 266069.70250571996 7030425.115999068, 266069.70638519217 7030425.116920604, 266072.70638519217 7030425.816920605, 266072.7077917443 7030425.81724666, 266077.52779174433 7030426.92724666, 266077.52897132834 7030426.927516804, 266082.3589713283 7030428.027516804, 266082.36293286894 7030428.028402119, 266085.692750809 7030428.758362208, 266087.1925691086 7030429.088322233, 266087.1937851778 7030429.088588182, 266092.0237851778 7030430.138588183, 266092.0270964504 7030430.13929629, 266096.87709645036 7030431.15929629, 266096.880000204 7030431.1598979905, 266101.73000020406 7030432.149897991, 266101.73194193246 7030432.150290338, 266106.58194193244 7030433.120290338, 266106.58407876093 7030433.120712865, 266111.4440787609 7030434.070712865, 266111.44700141385 7030434.07127514, 266116.3070014139 7030434.99127514, 266116.3088387869 7030434.991619399, 266117.8188387869 7030435.271619399, 266121.1792698039 7030435.891699128, 266121.18189438607 7030435.892176189, 266126.04189438606 7030436.762176189, 266126.04403064656 7030436.762553824, 266130.91403064656 7030437.612553825, 266130.9156980876 7030437.61284195, 266133.9556980876 7030438.132841949, 266133.9573682882 7030438.133124731, 266135.8073682882 7030438.443124731, 266135.808128339 7030438.443251489, 266140.688128339 7030439.253251488, 266140.69108366995 7030439.253732936, 266145.57108366996 7030440.033732937, 266145.57533642795 7030440.034393923, 266150.47526446986 7030440.774383057, 266155.3651871567 7030441.514371356, 266155.3692893219 7030441.514974746, 266160.2692893219 7030442.214974746, 266160.2712709033 7030442.215253784, 266165.17127090326 7030442.895253785, 266165.1728181638 7030442.895466045, 266166.3528181638 7030443.055466044, 266166.35339464125 7030443.055543869, 266170.0733946413 7030443.555543869, 266170.0763668825 7030443.555934296, 266174.98636688245 7030444.185934297, 266174.987360954 7030444.186060834, 266179.897360954 7030444.806060833, 266179.9031750066 7030444.806760425, 266182.61126911256 7030445.116542408, 266184.81936487067 7030445.3863097625, 266184.82445169846 7030445.386904806, 266189.74439531507 7030445.936898503, 266194.65433996613 7030446.486892303, 266194.6595512226 7030446.48744841, 266198.8955617598 7030446.917043818, 266199.5715793762 7030446.996575302, 266199.58154757076 7030446.997646824, 266204.51154757076 7030447.477646825, 266204.5134550261 7030447.477828852, 266209.43345502607 7030447.937828852, 266209.43564119434 7030447.938028409, 266214.37411786005 7030448.377892727, 266215.21259545366 7030448.457747736, 266215.21857808507 7030448.458281271, 266219.30857808504 7030448.798281271, 266219.31056943315 7030448.798442805, 266224.2405694332 7030449.188442806, 266224.24358579976 7030449.188672244, 266229.17358579976 7030449.548672243, 266229.17422693264 7030449.548718645, 266231.54422693263 7030449.718718645, 266231.5469981916 7030449.718909692, 266234.11699819163 7030449.888909692, 266234.117679076 7030449.888954264, 266239.057679076 7030450.208954264, 266239.06069822 7030450.209140667, 266244.00069822 7030450.499140667, 266244.0017674799 7030450.499202289, 266247.8917674798 7030450.719202288, 266247.89621742535 7030450.719434069, 266248.9459773693 7030450.769422637, 266253.88573711907 7030451.009410965, 266253.8877548421 7030451.009504908, 266258.82775484206 7030451.229504908, 266258.8306774282 7030451.229626499, 266264.2606774283 7030451.439626499, 266264.2632309156 7030451.439718719, 266268.73323091556 7030451.589718718, 266268.73583564645 7030451.589799331, 266273.67583564646 7030451.729799331, 266273.67687321303 7030451.729827658, 266278.62687321304 7030451.859827658, 266278.62995177845 7030451.859899024, 266280.61995177844 7030451.899899024, 266280.6215266408 7030451.899928197, 266283.5715266408 7030451.949928197, 266288.5319365326 7030452.029934976, 266288.5349395305 7030452.029974392, 266293.4749395305 7030452.0799743915, 266293.4785795512 7030452.079997983, 266296.99857955123 7030452.089997983, 266297 7030452.09, 266303.38 7030452.09, 266303.38202018547 7030452.089995919, 266308.3320201855 7030452.069995919, 266308.33506046963 7030452.069974392, 266313.27506046963 7030452.019974391, 266313.2770700001 7030452.019950012, 266318.2270700001 7030451.949950012, 266318.23110836867 7030451.949876589, 266323.1811083687 7030451.839876588, 266323.1821176519 7030451.8398531405, 266328.1321176519 7030451.71985314, 266328.13517519203 7030451.71976966, 266333.07517519203 7030451.569769661, 266333.07820654137 7030451.569668412, 266338.01820654137 7030451.389668412, 266338.01917779684 7030451.389632076, 266342.96917779685 7030451.199632077, 266342.9722451578 7030451.199504908, 266347.9122451578 7030450.979504908, 266347.9142139801 7030450.97941334, 266352.8642139801 7030450.73941334, 266352.86829466716 7030450.73919877, 266357.80829466716 7030450.45919877, 266357.809361011 7030450.459137186, 266362.739361011 7030450.169137186, 266362.7422559013 7030450.168958472, 266367.6922559013 7030449.848958472, 266367.6954078394 7030449.848744709, 266372.62540783937 7030449.498744709, 266372.62742011657 7030449.498597769, 266377.55742011656 7030449.128597769, 266377.5593512427 7030449.128449074, 266382.4993512427 7030448.738449074, 266382.5030575385 7030448.738142598, 266390.02305753843 7030448.088142598, 266390.02568574756 7030448.0879084375, 266397.5456857476 7030447.397908438, 266397.54968626663 7030447.39752515, 266405.05968626664 7030446.64752515, 266405.0617210449 7030446.647317739, 266412.5617210449 7030445.867317739, 266412.5649975775 7030445.866966062, 266420.0649975775 7030445.036966062, 266420.06623218337 7030445.036827879, 266427.5762321834 7030444.186827879, 266427.57899750525 7030444.186507095, 266435.06899750524 7030443.296507094, 266435.0703042153 7030443.29635008, 266442.5603042153 7030442.386350079, 266442.5619358384 7030442.386149122, 266457.5419358384 7030440.516149122, 266457.5426599817 7030440.516058188, 266466.09265998175 7030439.436058189, 266466.0941082054 7030439.435873107, 266472.5137564048 7030438.605918589, 266655.08340466337 7030415.265963555, 266668.9129218922 7030413.496025347, 266682.75148789166 7030411.756205633, 266696.58970008884 7030410.066423941, 266710.4373599053 7030408.426701046, 266717.36521559925 7030407.646942397, 266724.29340641096 7030406.887140807, 266731.23124177486 7030406.1573685, 266738.16875756317 7030405.457619068, 266745.10591454065 7030404.797889442, 266752.04374844016 7030404.178082955, 266758.9908696304 7030403.578331485, 266765.9372800565 7030403.038610388, 266772.8940672573 7030402.538841193, 266779.84083398967 7030402.089050541, 266786.8072369876 7030401.679262129, 266793.762949101 7030401.329477755, 266800.72863819683 7030401.039657119, 266807.69434122636 7030400.809798912, 266814.66003523336 7030400.639903937, 266821.6353742152 7030400.5299773915, 266828.59999790444 7030400.490008245, 266835.5546237629 7030400.52997736, 266842.52960633545 7030400.639898288, 266849.4947126921 7030400.81977191, 266853.45107413863 7030400.959643275, 266857.4079258083 7030401.119516069, 266861.36348579853 7030401.309303038, 266865.3103056158 7030401.539117863, 266869.2584176883 7030401.779003154, 266873.20527416235 7030402.038796238, 266877.1515073293 7030402.328519686, 266881.0976913249 7030402.648210541, 266885.0351882212 7030402.997988184, 266888.9826826819 7030403.3577598315, 266892.91824964265 7030403.747321027, 266896.85506064986 7030404.17697299, 266900.78194925195 7030404.61662464, 266904.7187576786 7030405.096235819, 266908.636197411 7030405.585915786, 266912.5624696867 7030406.105422551, 266916.47928944044 7030406.654976342, 266920.39620051876 7030407.224527189, 266924.3130217526 7030407.824040642, 266928.2198486442 7030408.4435374895, 266932.1260593547 7030409.092907555, 266936.0233952315 7030409.772443043, 266939.9109490735 7030410.462009148, 266943.8072827951 7030411.181332297, 266947.6933976898 7030411.93058324, 266951.5703674746 7030412.709974073, 266955.4578181783 7030413.509449796, 266959.32454620313 7030414.328756509, 266963.19066062715 7030415.177903089, 266964.58858759946 7030415.4974292535, 266964.81141240057 7030414.522570746, 266963.41141240054 7030414.202570747, 266963.40726237354 7030414.201640723, 266959.53726237355 7030413.351640723, 266959.53364214645 7030413.350859626, 266955.66364214645 7030412.530859626, 266955.66071988706 7030412.530249548, 266951.77071988705 7030411.730249548, 266951.76854393614 7030411.729807086, 266947.88854393613 7030410.949807087, 266947.88465774234 7030410.949041843, 266943.9946577424 7030410.199041843, 266943.9907737398 7030410.19830891, 266940.0907737398 7030409.47830891, 266940.08732582233 7030409.477684856, 266936.1973258223 7030408.787684857, 266936.1958837825 7030408.7874312475, 266932.29588378256 7030408.107431247, 266932.2919949254 7030408.106768986, 266928.3819949254 7030407.456768987, 266928.3783055518 7030407.456169826, 266924.46830555185 7030406.836169826, 266924.465649593 7030406.835755993, 266920.54564959294 7030406.235755993, 266920.5419474485 7030406.235203512, 266916.6219474485 7030405.665203512, 266916.61947258183 7030405.664849962, 266912.69947258185 7030405.114849962, 266912.6955861307 7030405.114320205, 266908.7655861307 7030404.594320204, 266908.76201736735 7030404.593861061, 266904.84201736737 7030404.103861061, 266904.8404666378 7030404.103669681, 266900.9004666378 7030403.623669681, 266900.895632059 7030403.623104565, 266896.96563205903 7030403.183104564, 266896.96424642246 7030403.182951385, 266893.0242464224 7030402.752951385, 266893.0192516902 7030402.752431642, 266889.07925169024 7030402.362431643, 266889.07538153237 7030402.362063743, 266885.12538153236 7030402.002063743, 266885.1242420251 7030402.001961203, 266881.1842420251 7030401.651961204, 266881.1803740573 7030401.651632731, 266877.2303740573 7030401.331632731, 266877.22661032557 7030401.331342117, 266873.27661032556 7030401.041342117, 266873.2728403266 7030401.0410796525, 266869.3228403266 7030400.781079653, 266869.32032382494 7030400.780920382, 266865.370323825 7030400.540920381, 266865.36906469415 7030400.540845471, 266861.41906469414 7030400.310845471, 266861.4139623334 7030400.310574523, 266857.4539623334 7030400.120574524, 266857.4501855506 7030400.120407622, 266853.4901855506 7030399.960407622, 266853.4876657311 7030399.960312176, 266849.52766573115 7030399.820312176, 266849.52290817845 7030399.820166649, 266842.5529081784 7030399.640166649, 266842.5478786778 7030399.640062077, 266835.5678786778 7030399.530062078, 266835.56287351577 7030399.530008257, 266828.60287351575 7030399.490008257, 266828.59713060677 7030399.490008234, 266821.6271306068 7030399.530008234, 266821.6221213222 7030399.530062078, 266814.6421213222 7030399.640062077, 266814.6378085038 7030399.640148655, 266807.6678085038 7030399.8101486545, 266807.66350969305 7030399.8102720035, 266800.6935096931 7030400.040272004, 266800.6892145401 7030400.040432222, 266793.7192145401 7030400.330432222, 266793.7148880536 7030400.330631008, 266786.75488805363 7030400.680631008, 266786.75063898903 7030400.680862813, 266779.780638989 7030401.090862813, 266779.77769354807 7030401.0910447985, 266772.82769354805 7030401.541044799, 266772.8241727903 7030401.541285241, 266765.8641727903 7030402.041285241, 266765.86126781546 7030402.041502439, 266758.91126781545 7030402.581502439, 266758.9069944956 7030402.581852906, 266751.9569944956 7030403.181852906, 266751.95550860505 7030403.181983418, 266745.01550860505 7030403.801983418, 266745.01266314724 7030403.802245821, 266738.07266314724 7030404.462245821, 266738.0698223227 7030404.462524171, 266731.1298223227 7030405.162524171, 266731.1276949056 7030405.162743349, 266724.1876949056 7030405.892743348, 266724.18549274735 7030405.89297992, 266717.25549274735 7030406.652979921, 266717.2540760631 7030406.65313733, 266710.3240760631 7030407.433137329, 266710.3212049802 7030407.433468888, 266696.4712049802 7030409.073468888, 266696.46939524787 7030409.073686527, 266682.62939524784 7030410.763686527, 266682.6276297131 7030410.763905304, 266668.7876297131 7030412.503905304, 266668.78652640013 7030412.504045262, 266654.9565605581 7030414.27404089, 266472.38659533666 7030437.614036445, 266472.38589179463 7030437.614126894, 266465.9666156619 7030438.44403331, 266457.41770238715 7030439.5238960385, 266442.43887981464 7030441.393749056, 266434.9503491046 7030442.303570544, 266427.46238462545 7030443.193328674, 266419.95438528905 7030444.043102234, 266412.45664002106 7030444.87285271, 266404.95929615456 7030445.652576473, 266397.4523132052 7030446.402275169, 266389.9356280417 7030447.091971015, 266382.418795042 7030447.741697272, 266377.4816143479 7030448.131474695, 266372.553585829 7030448.501326734, 266367.6261677684 7030448.851143432, 266362.6791912418 7030449.1709479755, 266357.7511723379 7030449.46083144, 266352.813745252 7030449.740685607, 266347.8667702717 7030449.98053894, 266342.92928824126 7030450.200426803, 266337.9813080137 7030450.390349276, 266333.04330900346 7030450.570276367, 266328.1063533812 7030450.720183925, 266323.1583869471 7030450.840134626, 266318.2109106579 7030450.950078544, 266313.2639349494 7030451.020035776, 266308.3264595869 7030451.070010223, 266303.3789898758 7030451.09, 266297.00071037863 7030451.09, 266293.4832405016 7030451.080007188, 266288.54656190996 7030451.030040805, 266283.5882685862 7030450.950068332, 266280.63926090894 7030450.900085152, 266278.65158759773 7030450.860131919, 266273.70364550507 7030450.730185965, 266268.7654667559 7030450.590237579, 266264.29804602586 7030450.440324132, 266258.8707840773 7030450.230430024, 266253.9332540351 7030450.010540022, 266248.99426288094 7030449.770589034, 266247.94600809645 7030449.720671908, 266244.0587668756 7030449.500827932, 266239.12081172905 7030449.210947974, 266234.18266157666 7030448.891067802, 266231.614387566 7030448.721181972, 266229.24609402375 7030448.551304377, 266224.31792268134 7030448.19143791, 266219.3904265107 7030447.801635982, 266215.30441479123 7030447.461967525, 266214.46740454633 7030447.382252264, 266214.4643588056 7030447.381971591, 266209.5254521974 7030446.942068979, 266204.6074988382 7030446.4822603315, 266199.6834419227 7030446.002838968, 266199.00842062384 7030445.9234246975, 266199.00044877746 7030445.92255159, 266194.7630559308 7030445.492815995, 266189.8556600339 7030444.943107697, 266184.9380931731 7030444.393379681, 266182.7306351293 7030444.123690237, 266182.7268249934 7030444.123239575, 266180.01973411685 7030443.813572353, 266175.1131359176 7030443.194001908, 266170.2051198455 7030442.564256465, 266166.48689354665 7030442.064494865, 266165.3079555817 7030441.904638871, 266160.4097200831 7030441.22488374, 266155.51276301744 7030440.525318445, 266150.6248128433 70</t>
  </si>
  <si>
    <t>['EV39 S1D105 m4-328']</t>
  </si>
  <si>
    <t>LINESTRING Z (264809.16000000003 7030187.15 24.900000000000002, 264805.73 7030189 24.91, 264803.97 7030190.17 25.03, 264800.63 7030192.4 25.26, 264797.28 7030194.65 25.57, 264794.06 7030196.78 25.810000000000002, 264791.04 7030198.78 26.04, 264789.25 7030200 26.17, 264787.45 7030201.24 26.38, 264785.78 7030202.51 26.51, 264784.75 7030203.39 26.55, 264783.67 7030204.33 26.650000000000002, 264782.32 7030205.51 26.82, 264781.13 7030206.74 26.92, 264780.22 7030207.81 27.05, 264778.38 7030209.95 27.2, 264777.58 7030211 27.310000000000002, 264776.48 7030212.38 27.43, 264775.41000000003 7030213.73 27.54, 264774.17 7030215.42 27.67, 264771.59 7030218.89 28, 264770.36 7030220.51 28.12, 264767.95 7030223.68 28.37, 264765.52 7030226.86 28.77, 264763.03 7030230.14 28.97, 264761.66000000003 7030231.81 29.09, 264760.68 7030232.83 29.16, 264759.65 7030233.84 29.2, 264758.36 7030235.01 29.28, 264757.11 7030236.12 29.37, 264753.28 7030238.85 29.51, 264749.66000000003 7030241.23 29.7, 264745.76 7030243.71 29.87, 264743.69 7030244.85 29.93, 264741.66000000003 7030245.96 30.04, 264739.61 7030247.07 30.1, 264737.79 7030247.98 30.2, 264734.16000000003 7030249.8 30.36, 264732.05 7030250.65 30.46, 264729.93 7030251.47 30.59, 264727.87 7030252.16 30.67, 264725.84 7030252.78 30.78, 264721.76 7030254.02 30.970000000000002, 264719.67 7030254.63 31.060000000000002, 264713.43 7030256.46 31.35, 264709.29 7030257.69 31.55, 264707.27 7030258.32 31.64, 264701.12 7030260.28 31.900000000000002, 264699.08 7030260.95 31.970000000000002, 264697.08 7030261.61 32.03, 264695.08 7030262.32 32.06, 264693.04 7030263.05 32.08, 264691.03 7030263.83 32.11, 264687 7030265.37 32.11, 264681.26 7030267.58 32.04, 264677.53 7030269.01 32, 264673.76 7030270.41 31.95, 264671.87 7030271.1 31.94, 264666.24 7030273.08 31.87, 264660.61 7030275.06 31.810000000000002, 264654.95 7030277.05 31.75, 264651.14 7030278.37 31.71, 264649.2 7030278.97 31.68, 264645.4 7030280.14 31.64, 264643.48 7030280.69 31.62, 264639.61 7030281.79 31.57, 264637.65 7030282.31 31.560000000000002, 264631.85 7030283.82 31.490000000000002, 264627.98 7030284.81 31.44, 264624.1 7030285.79 31.41, 264622.17 7030286.27 31.39, 264620.22 7030286.73 31.36, 264616.31 7030287.64 31.310000000000002, 264614.35 7030288.07 31.3, 264608.5 7030289.36 31.23, 264604.58 7030290.2 31.19, 264602.61 7030290.59 31.17, 264596.74 7030291.76 31.11, 264592.81 7030292.52 31.07, 264590.85 7030292.88 31.04, 264586.93 7030293.61 31, 264584.96 7030293.94 30.98, 264581.01 7030294.58 30.93, 264578.98 7030294.86 30.92, 264573.05 7030295.67 30.85, 264571.06 7030295.93 30.830000000000002, 264565.12 7030296.67 30.77, 264559.19 7030297.42 30.7, 264555.2 7030297.9 30.66, 264551.22 7030298.35 30.62, 264549.23 7030298.55 30.6, 264543.33 7030299.11 30.55, 264541.37 7030299.27 30.54, 264539.57 7030299.35 30.53, 264537.75 7030299.39 30.53, 264536.27 7030299.35 30.54, 264534.78 7030299.26 30.54, 264533.51 7030299.11 30.54, 264532.25 7030298.91 30.560000000000002, 264530.29 7030298.48 30.57, 264528.28 7030297.93 30.59, 264526.47 7030297.17 30.61, 264524.72 7030296.37 30.62, 264523.06 7030295.39 30.64, 264521.54 7030294.39 30.650000000000002, 264519.77 7030293.22 30.66, 264519.13 7030292.77 30.64, 264518.37 7030292.23 30.61)</t>
  </si>
  <si>
    <t>POLYGON ((264805.49264410796 7030188.559929346, 264805.453196105 7030188.583611235, 264803.693196105 7030189.753611235, 264803.69236265786 7030189.754166492, 264800.3523626579 7030191.984166493, 264800.35122190823 7030191.984930397, 264797.00268050213 7030194.233950744, 264793.7841460247 7030196.362981315, 264790.7639253932 7030198.363127344, 264790.7584032136 7030198.366837502, 264788.9684032136 7030199.586837502, 264788.9663473818 7030199.588246199, 264787.16634738183 7030200.8282461995, 264787.14733752987 7030200.842010768, 264785.4773375299 7030202.112010768, 264785.4552126213 7030202.129851136, 264784.4252126213 7030203.009851136, 264784.4217377609 7030203.01284764, 264783.3417377609 7030203.95284764, 264783.34094516444 7030203.953538959, 264781.99094516446 7030205.133538959, 264781.96065183624 7030205.162337955, 264780.77065183624 7030206.392337956, 264780.74911818386 7030206.416072474, 264779.83999244636 7030207.485044494, 264778.0008723707 7030209.624021105, 264777.98228414 7030209.646978392, 264777.1856014885 7030210.692624372, 264776.0890133802 7030212.068343999, 264776.08815372124 7030212.069425542, 264775.0181537213 7030213.4194255425, 264775.0068733507 7030213.434214766, 264773.7678099121 7030215.122938323, 264771.1902556271 7030218.589648931, 264769.96187192993 7030220.207520142, 264767.55234052957 7030223.376903768, 264765.12271472433 7030226.556414082, 264765.121755185 7030226.557673906, 264762.63745521195 7030229.8301654365, 264761.28586677666 7030231.477722142, 264760.32460974157 7030232.478214159, 264759.30688104976 7030233.476181128, 264758.0260389088 7030234.637875162, 264756.7980032841 7030235.728370798, 264752.9974509539 7030238.437380683, 264749.38849488366 7030240.810119757, 264745.5049967187 7030243.279626282, 264743.4494577006 7030244.411662263, 264741.42102270055 7030245.520806524, 264739.3790989576 7030246.626433527, 264737.5663932022 7030247.532786405, 264737.5659008122 7030247.533032939, 264733.9541905245 7030249.343862889, 264731.8663885141 7030250.184920572, 264729.76032188954 7030250.999531247, 264727.7175458617 7030251.683762053, 264725.6942781179 7030252.301705896, 264721.61725446436 7030253.540801319, 264719.5299118156 7030254.150025729, 264719.5292915355 7030254.150207203, 264713.2892915355 7030255.980207203, 264713.2876011141 7030255.980706189, 264709.14760111406 7030257.210706189, 264709.1411316221 7030257.212675995, 264707.1211316221 7030257.842675995, 264707.11817437655 7030257.843608376, 264700.9681743765 7030259.803608376, 264700.96398340556 7030259.804964399, 264698.9239834056 7030260.474964399, 264698.92331127287 7030260.475185676, 264696.92331127287 7030261.135185676, 264696.91272757965 7030261.138810084, 264694.91272757965 7030261.848810084, 264694.91153945844 7030261.849233555, 264692.8715394584 7030262.579233554, 264692.85911265283 7030262.583867221, 264690.8503154992 7030263.363400445, 264686.821520488 7030264.902939978, 264686.8203470514 7030264.90339008, 264681.08068056096 7030267.113261673, 264677.35347096605 7030268.542191893, 264673.5872326935 7030269.940794965, 264671.70131704025 7030270.629303854, 264666.0741159242 7030272.608319522, 264660.44413627184 7030274.588312365, 264654.78523597436 7030276.577925721, 264650.98424716474 7030277.8948037345, 264649.0525669128 7030278.492230616, 264645.25757495646 7030279.660688666, 264643.3428024022 7030280.209191221, 264639.47752912395 7030281.3078477075, 264637.52290411555 7030281.826421689, 264631.7250545557 7030283.335861834, 264627.85681960953 7030284.325410307, 264623.9784399061 7030285.305001058, 264622.0522586498 7030285.784051319, 264620.1059310876 7030286.2431850005, 264616.199753189 7030287.152295457, 264614.24285433395 7030287.581615104, 264614.2423302864 7030287.5817303695, 264608.3937820273 7030288.871410242, 264604.47906140296 7030289.710278947, 264602.51289971604 7030290.099519078, 264602.5122632446 7030290.099645509, 264596.64366418857 7030291.2693662755, 264592.7173684766 7030292.028649924, 264590.7596742397 7030292.388226417, 264590.758461485 7030292.388450714, 264586.842920847 7030293.117620272, 264584.8787118139 7030293.446650212, 264580.93584548903 7030294.085494375, 264578.9120065877 7030294.364644568, 264572.98377716076 7030295.174402719, 264570.99670541176 7030295.434020134, 264565.05818824883 7030296.173835403, 264565.05726201565 7030296.1739516705, 264559.12877053185 7030296.92376088, 264555.14205210516 7030297.403366105, 264551.1669108409 7030297.852816749, 264549.1813772701 7030298.052367862, 264543.28603499156 7030298.611925774, 264541.33854854264 7030298.770904259, 264539.55340460857 7030298.850243989, 264537.7512618629 7030298.889851523, 264536.2918335354 7030298.850407514, 264534.8244333217 7030298.761772601, 264533.5785428277 7030298.614620182, 264532.34284426767 7030298.418477553, 264530.4096333375 7030297.994354746, 264528.44346315716 7030297.456347981, 264526.67077539 7030296.7120149955, 264524.9516670538 7030295.926136899, 264523.3246553256 7030294.965611902, 264521.81526263314 7030293.972590394, 264520.05171060335 7030292.806852612, 264519.4185976972 7030292.3616951, 264518.65960356576 7030291.8224097965, 264518.08039643423 7030292.637590204, 264518.84039643424 7030293.1775902035, 264518.8424116239 7030293.179014578, 264519.48241162393 7030293.629014579, 264519.49428349314 7030293.637109587, 264521.2642834931 7030294.807109587, 264521.26519174926 7030294.807708541, 264522.7851917493 7030295.807708541, 264522.8058101367 7030295.820566502, 264524.4658101367 7030296.800566503, 264524.5121201199 7030296.824737238, 264526.2621201199 7030297.624737238, 264526.2764270605 7030297.631009238, 264528.08642706054 7030298.391009238, 264528.14803529833 7030298.4122709995, 264530.1580352983 7030298.962271, 264530.1828543342 7030298.968384896, 264532.1428543342 7030299.398384896, 264532.17161622783 7030299.4038177645, 264533.43161622784 7030299.603817765, 264533.45135253225 7030299.606548563, 264534.7213525323 7030299.756548562, 264534.749853602 7030299.759090367, 264536.239853602 7030299.849090367, 264536.25649141934 7030299.849817485, 264537.7364914193 7030299.889817485, 264537.7609863579 7030299.889879285, 264539.58098635793 7030299.849879285, 264539.5922003068 7030299.8495069025, 264541.3922003068 7030299.769506902, 264541.4106810045 7030299.768342308, 264543.37068100454 7030299.608342309, 264543.37724529015 7030299.607762878, 264549.2772452901 7030299.047762877, 264549.27999937505 7030299.047493781, 264551.26999937504 7030298.847493781, 264551.27617474104 7030298.846834377, 264555.2561747411 7030298.396834378, 264555.2597197878 7030298.396420736, 264559.2497197878 7030297.916420735, 264559.25273798435 7030297.916048329, 264565.1822750488 7030297.16610688, 264571.12181175116 7030296.426164596, 264571.12477609963 7030296.4257863015, 264573.1147760996 7030296.165786302, 264573.11766844086 7030296.165399821, 264579.04766844085 7030295.355399821, 264579.0483186986 7030295.355310565, 264581.0783186986 7030295.075310565, 264581.08996976714 7030295.073563406, 264585.03996976715 7030294.433563407, 264585.04260538914 7030294.433129141, 264587.0126053891 7030294.103129141, 264587.021538515 7030294.101549286, 264590.94093245873 7030293.371662148, 264592.90032576025 7030293.011773583, 264592.90493327344 7030293.010904953, 264596.83493327344 7030292.250904953, 264596.8377367554 7030292.25035449, 264602.7074182019 7030291.080417984, 264604.67710028397 7030290.690480922, 264604.68476454436 7030290.688901207, 264608.60476454435 7030289.848901208, 264608.60766971356 7030289.848269631, 264614.45740703784 7030288.558327555, 264616.417145666 7030288.128384896, 264616.4233391815 7030288.126984835, 264620.3333391815 7030287.216984835, 264620.33479784697 7030287.216643047, 264622.284797847 7030286.756643046, 264622.29067617236 7030286.755218777, 264624.22067617235 7030286.275218777, 264624.22244338307 7030286.274775843, 264628.1024433831 7030285.294775843, 264628.1039166249 7030285.294401352, 264631.9739166249 7030284.304401353, 264631.9759732063 7030284.303870594, 264637.7759732063 7030282.793870593, 264637.77821734943 7030282.793280778, 264639.7382173494 7030282.273280779, 264639.746703882 7030282.270949112, 264643.616703882 7030281.170949113, 264643.6176911794 7030281.170667389, 264645.53769117943 7030280.620667389, 264645.5471312891 7030280.617862306, 264649.3471312891 7030279.447862306, 264649.34773486137 7030279.447676051, 264651.28773486137 7030278.847676052, 264651.3036830459 7030278.8424487915, 264655.1136830459 7030277.522448791, 264655.1158432382 7030277.521694838, 264660.77584323817 7030275.531694838, 264666.40588407574 7030273.551680478, 264672.0358840758 7030271.571680478, 264672.04146998684 7030271.56967866, 264673.93146998686 7030270.87967866, 264673.93406204815 7030270.8787242295, 264677.7040620482 7030269.478724229, 264677.7089861939 7030269.476866086, 264681.43898619385 7030268.046866086, 264681.4396529486 7030268.04660992, 264687.1790662607 7030265.836835805, 264691.208479512 7030264.297060022, 264691.2108873472 7030264.296132779, 264693.2147046502 7030263.518532034, 264695.2478670135 7030262.790978836, 264697.24200083065 7030262.083061331, 264699.23635264486 7030261.424925232, 264701.2739241227 7030260.755722835, 264707.42034846044 7030258.7968623955, 264709.435640278 7030258.16833079, 264713.5715541325 7030256.939544789, 264719.8103983868 7030255.109883733, 264721.9000881844 7030254.49997427, 264721.9053941651 7030254.498393704, 264725.9853941651 7030253.258393705, 264725.9860494199 7030253.258194068, 264728.0160494199 7030252.638194068, 264728.0288041685 7030252.634110996, 264730.0888041685 7030251.944110995, 264730.11037362396 7030251.936331809, 264732.23037362396 7030251.116331809, 264732.23683168826 7030251.113782191, 264734.3468316883 7030250.26378219, 264734.3840991878 7030250.246967061, 264738.0138529882 7030248.427090501, 264739.83360679774 7030247.517213596, 264739.8480724772 7030247.509683404, 264741.89807247726 7030246.399683404, 264741.8998801775 7030246.398699784, 264743.9298801775 7030245.288699783, 264743.9312030016 7030245.287973871, 264746.0012030016 7030244.147973872, 264746.02829772775 7030244.131919813, 264749.9282977278 7030241.651919814, 264749.93468105595 7030241.647792195, 264753.55468105595 7030239.267792194, 264753.57021671406 7030239.257153851, 264757.400216714 7030236.527153851, 264757.44199623284 7030236.493869632, 264758.69199623284 7030235.383869631, 264758.6959074692 7030235.380359517, 264759.98590746924 7030234.2103595175, 264760.00007035746 7030234.1970024435, 264761.03007035743 7030233.187002444, 264761.04055235523 7030233.176413047, 264762.0205523553 7030232.156413047, 264762.04656578874 7030232.127122832, 264763.41656578874 7030230.457122833, 264763.42824481503 7030230.442326094, 264765.9177659949 7030227.162956829, 264768.3472852757 7030223.983585918, 264768.34803270083 7030223.982605302, 264770.7580327008 7030220.812605302, 264771.98822315823 7030219.1923546195, 264771.9912453671 7030219.188332289, 264774.57124536706 7030215.71833229, 264774.5731266493 7030215.715785234, 264775.80762403127 7030214.03328477, 264776.871417257 7030212.691115747, 264777.9709866198 7030211.311656001, 264777.97771586 7030211.303021608, 264778.76876096654 7030210.2647749055, 264780.59912762925 7030208.135978895, 264780.6008818161 7030208.133927526, 264781.50049549935 7030207.076140009, 264782.664803894 7030205.872695197, 264783.998658898 7030204.70680712, 264785.07653173147 7030203.768658542, 264786.0939785536 7030202.899383588, 264787.74331910687 7030201.645094664, 264789.532626538 7030200.412460656, 264791.3188480327 7030199.19503595, 264794.3359643718 7030197.19694566, 264797.55585397535 7030195.067018686, 264797.5587780918 7030195.065069604, 264800.9082083191 7030192.815452287, 264804.2472208822 7030190.586111563, 264805.9876252769 7030189.429138187, 264809.39735589206 7030187.590070655, 264808.922644108 7030186.709929346, 264805.49264410796 7030188.559929346))</t>
  </si>
  <si>
    <t>['EV6 S72D125 m16-100']</t>
  </si>
  <si>
    <t>LINESTRING Z (264821.2 7030199.23 24.72, 264819.7 7030197.34 24.69, 264817.9 7030194.92 24.66, 264816.27 7030192.42 24.63, 264815.05 7030190.3 24.62, 264814.1 7030188.48 24.63, 264812.66000000003 7030185.2 24.67, 264811.82 7030182.95 24.72, 264810.93 7030180.09 24.810000000000002, 264810.23 7030177.18 24.92, 264809.67 7030174.28 25.060000000000002, 264809.06 7030170.84 25.25, 264808.44 7030167.41 25.48, 264804.03 7030142.72 27.22, 264803.65 7030140.77 27.35, 264803.16000000003 7030138.78 27.45, 264802.59 7030136.78 27.53, 264801.95 7030134.81 27.57, 264801.21 7030132.88 27.59, 264800.41000000003 7030130.98 27.59, 264799.55 7030129.12 27.55, 264798.61 7030127.3 27.490000000000002, 264795.16000000003 7030120.82 27.22)</t>
  </si>
  <si>
    <t>POLYGON ((264820.0965147781 7030197.035307681, 264818.31040554843 7030194.6339830505, 264816.6964310807 7030192.158562087, 264815.4884921628 7030190.05952069, 264814.55104734295 7030188.263573772, 264813.12348962086 7030185.011914516, 264812.2932852366 7030182.788152772, 264811.4122944798 7030179.957103823, 264810.71878259623 7030177.07407585, 264810.161653703 7030174.188944082, 264809.55231957184 7030170.752699145, 264809.5520265026 7030170.751062265, 264808.932118822 7030167.3215729995, 264804.522210091 7030142.632083981, 264804.5207683581 7030142.624363089, 264804.1407683581 7030140.674363089, 264804.135498727 7030140.6504550865, 264803.645498727 7030138.660455087, 264803.6408525959 7030138.64295701, 264803.0708525959 7030136.64295701, 264803.0655347704 7030136.625511547, 264802.42553477036 7030134.655511546, 264802.4168595829 7030134.630996844, 264801.6768595829 7030132.700996844, 264801.6708176876 7030132.685971499, 264800.8708176876 7030130.7859715, 264800.8638367586 7030130.770161499, 264800.00383675855 7030128.910161499, 264799.99424612935 7030128.890554197, 264799.05424612935 7030127.070554197, 264799.05134603905 7030127.065024099, 264795.6013460391 7030120.5850241, 264794.71865396097 7030121.054975901, 264798.1671866513 7030127.53221991, 264799.10074451845 7030129.339746845, 264799.95253613533 7030131.18199383, 264800.7460396871 7030133.066564765, 264801.47848396894 7030134.976858635, 264802.11164720595 7030136.925814224, 264802.67666591617 7030138.9083360145, 264803.16157371417 7030140.877655439, 264803.5384804534 7030142.811782127, 264807.947789909 7030167.497916019, 264807.9479734974 7030167.498937735, 264808.5678255995 7030170.928119526, 264809.17768042814 7030174.367300855, 264809.17906936887 7030174.374800398, 264809.73906936886 7030177.274800397, 264809.7438670704 7030177.296939192, 264810.4438670704 7030180.2069391925, 264810.45258213533 7030180.238567097, 264811.34258213534 7030183.098567097, 264811.3515792426 7030183.124877083, 264812.19157924264 7030185.374877083, 264812.20217798493 7030185.400995031, 264813.6421779849 7030188.680995031, 264813.65675101004 7030188.711366232, 264814.60675101005 7030190.531366231, 264814.6166352101 7030190.549389171, 264815.83663521014 7030192.6693891715, 264815.8511613754 7030192.693082783, 264817.4811613754 7030195.193082783, 264817.49880954163 7030195.218406126, 264819.2988095416 7030197.638406126, 264819.3083555484 7030197.65082893, 264820.8083555484 7030199.54082893, 264821.5916444516 7030198.919171071, 264820.0965147781 7030197.035307681))</t>
  </si>
  <si>
    <t>['EV6 S72D125 m118-171']</t>
  </si>
  <si>
    <t>LINESTRING Z (264786.73 7030104.99 26.55, 264779.46 7030091.32 25.98, 264778.14 7030088.85 25.900000000000002, 264776.84 7030086.38 25.84, 264775.23 7030083.41 25.810000000000002, 264773.97 7030081.41 25.82, 264772.45 7030079.28 25.84, 264770.35 7030076.71 25.86, 264768.05 7030074.34 25.89, 264764.77 7030071.21 25.92, 264763 7030069.25 25.95, 264761.52 7030067.09 25.97, 264760.32 7030064.59 25.990000000000002, 264759.64 7030062.48 25.990000000000002)</t>
  </si>
  <si>
    <t>POLYGON ((264779.90145328606 7030091.085225648, 264779.9009786304 7030091.084335308, 264778.5817232852 7030088.615728714, 264777.2824591112 7030086.147126784, 264777.279568482 7030086.141715402, 264775.669568482 7030083.171715402, 264775.653045759 7030083.143481172, 264774.393045759 7030081.143481172, 264774.3769958021 7030081.1195616815, 264772.85699580214 7030078.989561682, 264772.83717994014 7030078.963627286, 264770.7371799401 7030076.393627286, 264770.70881259954 7030076.3617852405, 264768.40881259955 7030073.99178524, 264768.3951854108 7030073.978272157, 264765.12862815714 7030070.861100144, 264763.39353235206 7030068.939751117, 264761.9541561108 7030066.839039845, 264760.7854704578 7030064.404278068, 264760.1158968059 7030062.3266304135, 264759.16410319414 7030062.633369587, 264759.84410319413 7030064.743369587, 264759.86923847126 7030064.806365534, 264761.0692384713 7030067.306365534, 264761.0871168822 7030067.340224312, 264761.10753381386 7030067.37261572, 264762.58753381384 7030069.53261572, 264762.62891830096 7030069.585109494, 264764.398918301 7030071.545109494, 264764.4248145892 7030071.571727843, 264767.6978713034 7030074.695102085, 264769.97632415587 7030077.042899155, 264772.0524886785 7030079.583729072, 264773.55463457 7030081.688709827, 264774.7982308128 7030083.662672117, 264776.3989696093 7030086.615587785, 264777.69754088885 7030089.082873216, 264777.6990213696 7030089.085664692, 264779.01878352545 7030091.555219636, 264786.28854671394 7030105.224774352, 264787.171453286 7030104.755225648, 264779.90145328606 7030091.085225648))</t>
  </si>
  <si>
    <t>['EV6 S72D130 m44-148']</t>
  </si>
  <si>
    <t>LINESTRING Z (264839.4 7030154.73 24.52, 264840.87 7030153.85 24.54, 264843.24 7030151.77 24.64, 264845.21 7030149.04 24.79, 264846.59 7030145.62 24.96, 264847.06 7030142.32 25.11, 264846.71 7030138.73 25.28, 264845.58 7030135.54 25.43, 264843.78 7030132.75 25.580000000000002, 264841.18 7030129.97 25.79, 264838.72 7030127.41 25.900000000000002, 264836.15 7030124.74 26.14, 264833.78 7030122.26 26.27, 264831.42 7030119.79 26.42, 264829.05 7030117.32 26.650000000000002, 264826.32 7030114.47 26.87, 264823.7 7030111.86 26.91, 264821.17 7030109.14 27.03, 264818.57 7030106.49 27.13, 264816.57 7030104.38 27.13, 264814.02 7030101.68 27.05, 264811.46 7030099.02 26.900000000000002, 264808.94 7030096.26 26.75, 264807.02 7030093.47 26.55, 264805.39 7030090.3 26.44, 264804.15 7030086.88 26.23, 264803.2 7030083.61 26.1, 264802.31 7030080.34 26.01, 264801.45 7030076.82 25.85, 264800.04 7030074.77 25.79, 264797.45 7030073.77 25.73, 264795.72 7030073.98 25.740000000000002)</t>
  </si>
  <si>
    <t>POLYGON ((264841.12681857357 7030154.279003752, 264841.16451988404 7030154.254052023, 264841.1998132263 7030154.225796801, 264843.5698132263 7030152.145796801, 264843.60998210014 7030152.106323127, 264843.64545707125 7030152.062582575, 264845.6154570713 7030149.332582575, 264845.64775510755 7030149.281599805, 264845.6736752163 7030149.227097017, 264847.05367521633 7030145.807097017, 264847.0728721091 7030145.749747934, 264847.0850047026 7030145.69050067, 264847.5550047026 7030142.39050067, 264847.559877422 7030142.331070817, 264847.5576405832 7030142.271483509, 264847.2076405832 7030138.681483509, 264847.19807790744 7030138.621464494, 264847.1813039255 7030138.56304908, 264846.0513039255 7030135.373049079, 264846.0287556487 7030135.3195042685, 264846.0001483241 7030135.268936565, 264844.20014832413 7030132.478936565, 264844.1742408596 7030132.442470904, 264844.1451779838 7030132.408466634, 264841.54517798376 7030129.628466634, 264841.5405247623 7030129.623558236, 264839.0805247623 7030127.063558237, 264836.5108582232 7030124.393904421, 264834.1414974641 7030121.91457333, 264831.7815115907 7030119.444588115, 264831.7807812151 7030119.443825312, 264829.41092763684 7030116.973977912, 264826.6810732042 7030114.124129877, 264826.6728767352 7030114.115771246, 264824.0596232572 7030111.512492019, 264821.5361089789 7030108.79946481, 264821.5269043799 7030108.789829665, 264818.9299218923 7030106.142905207, 264816.9331965059 7030104.036359924, 264814.3835065763 7030101.336688234, 264814.38026034343 7030101.333283278, 264811.824814468 7030098.678015298, 264809.3324118417 7030095.948240994, 264807.45002956985 7030093.212904255, 264805.84921091615 7030090.099655707, 264804.6256060276 7030086.7248744825, 264803.6813336258 7030083.474589479, 264802.7941643077 7030080.214989848, 264801.9357136457 7030076.701331326, 264801.9229658047 7030076.657816933, 264801.90632827405 7030076.6156363385, 264801.8859378816 7030076.57513644, 264801.8619623186 7030076.536650308, 264800.45196231856 7030074.486650308, 264800.42162533064 7030074.446948755, 264800.38747736154 7030074.410473251, 264800.34985941934 7030074.377588048, 264800.30914716376 7030074.348621543, 264800.26574715483 7030074.323863001, 264800.2200927933 7030074.303559665, 264797.6300927933 7030073.303559665, 264797.583661668 7030073.288196555, 264797.53595173504 7030073.2774431, 264797.48741945904 7030073.271402181, 264797.43852917245 7030073.270131596, 264797.38974863297 7030073.273643502, 264795.6597486329 7030073.483643503, 264795.780251367 7030074.476356498, 264797.3863452818 7030074.28139712, 264799.7156624252 7030075.180747368, 264800.9860564349 7030077.027774121, 264801.8242863543 7030080.458668674, 264801.8275500594 7030080.471309005, 264802.71755005943 7030083.741309006, 264802.71985225944 7030083.749492464, 264803.66985225945 7030087.019492463, 264803.67994297756 7030087.0504300315, 264804.91994297755 7030090.470430031, 264804.9453397999 7030090.528642311, 264806.5753397999 7030093.698642311, 264806.60810830723 7030093.753452348, 264808.5281083072 7030096.543452348, 264808.57075725304 7030096.597134681, 264811.09075725306 7030099.357134681, 264811.0997396566 7030099.366716721, 264813.65810854913 7030102.025021899, 264816.2064934237 7030104.723311766, 264816.2071140562 7030104.723967719, 264818.2071140562 7030106.833967719, 264818.2130956201 7030106.840170335, 264820.8084291127 7030109.485414087, 264823.3338910211 7030112.20053519, 264823.3471232648 7030112.214228754, 264825.96297609527 7030114.820097413, 264828.6889267958 7030117.665870123, 264831.05885306787 7030120.13579354, 264833.4184884093 7030122.605411884, 264835.7885208334 7030125.085445817, 264835.78976499976 7030125.086743053, 264838.3596203845 7030127.756592811, 264840.81713202846 7030130.314003302, 264843.384175095 7030133.058764734, 264845.128194236 7030135.761994403, 264846.2182896047 7030138.839343276, 264846.55654233875 7030142.308849891, 264846.1035697134 7030145.489295984, 264844.76903252775 7030148.79662727, 264842.86765596626 7030151.431529814, 264840.5742711873 7030153.444289451, 264839.14318142645 7030154.300996248, 264839.6568185736 7030155.159003753, 264841.12681857357 7030154.279003752))</t>
  </si>
  <si>
    <t>2023-03-21</t>
  </si>
  <si>
    <t>['RV5 S4D1 m8033-8683']</t>
  </si>
  <si>
    <t>LINESTRING Z (82607.05106132186 6808918.846353804 0.0704655423760414, 82583.23851376743 6808978.377722772 0.0705325081944466, 82562.07180483395 6809059.737260355 0.0706096962094307, 82553.47282933467 6809128.52906449 0.0706619098782539, 82550.82699072867 6809214.518819659 0.0707150772213936, 82544.87385384581 6809271.404350001 0.0707593932747841, 82536.27487834712 6809337.550315518 0.0708158686757088, 82523.04568526283 6809381.2066527605 0.0708693638443947, 82489.31124289439 6809463.889109656 0.0709925442934036, 82446.97782501532 6809540.618429661 0.0711359977722168)</t>
  </si>
  <si>
    <t>POLYGON ((82582.77427542189 6808978.192027434, 82582.75462168148 6808978.251832148, 82561.587912748 6809059.611369731, 82561.57566589558 6809059.675242987, 82552.9766903963 6809128.467047123, 82552.97306585313 6809128.513687152, 82550.3277927119 6809214.485064716, 82544.3772201654 6809271.3460914, 82535.78437907716 6809337.444869144, 82522.57393144297 6809381.039346401, 82488.8593343023 6809463.673163032, 82446.54003617317 6809540.37689099, 82447.41561385746 6809540.859968332, 82489.74903173653 6809464.130648327, 82489.77419315664 6809464.077993363, 82523.50863552508 6809381.395536467, 82523.5241974651 6809381.351656458, 82536.75339054939 6809337.695319216, 82536.76371015057 6809337.655403424, 82536.7707061558 6809337.614773133, 82545.3696816545 6809271.468807616, 82545.37113816543 6809271.456391384, 82551.32427504829 6809214.570861042, 82551.32675421021 6809214.534196997, 82553.97187266586 6809128.567846715, 82562.56390180721 6809059.831613443, 82583.714465118 6808978.534135597, 82607.5152996674 6808919.032049142, 82606.58682297633 6808918.660658466, 82582.77427542189 6808978.192027434))</t>
  </si>
  <si>
    <t>2022-02-15</t>
  </si>
  <si>
    <t>['RV5 S6D1 m2-61']</t>
  </si>
  <si>
    <t>LINESTRING (77722.25443494116 6813970.985838931, 77727.65262239543 6813959.153524809, 77751.5208903621 6813948.5649977, 77772.83650898177 6813936.108750554)</t>
  </si>
  <si>
    <t>POLYGON ((77728.02877971658 6813959.53364475, 77751.7236462695 6813949.022042601, 77751.77316029319 6813948.996691899, 77773.08877891286 6813936.540444753, 77772.58423905067 6813935.6770563545, 77751.2926712649 6813948.119248871, 77727.44986648802 6813958.696479907, 77727.40368593934 6813958.719899808, 77727.36017511955 6813958.747970138, 77727.3198006621 6813958.780389855, 77727.28299556443 6813958.816811272, 77727.25015454426 6813958.856843786, 77727.22162980642 6813958.900058068, 77727.19772726565 6813958.945990665, 77721.79953981139 6813970.778304787, 77722.70933007094 6813971.193373075, 77728.02877971658 6813959.53364475))</t>
  </si>
  <si>
    <t>['RV73 S3D1 m32 KD1 m2-74']</t>
  </si>
  <si>
    <t>LINESTRING Z (453475.2 7275271.14 211.78, 453476.72 7275270.36 211.81, 453478.01 7275269.79 211.82, 453479.32 7275269.48 211.82, 453480.81 7275269.47 211.85, 453483.03 7275269.47 211.85, 453484.44 7275269.66 211.85, 453486.8 7275270.31 211.82, 453488.44 7275271.08 211.82, 453489.83 7275271.96 211.82, 453491.6 7275273.67 211.82, 453492.56 7275274.99 211.85, 453493.46 7275276.6 211.88, 453494.16000000003 7275278.72 211.88, 453494.48 7275280.82 211.91, 453494.55 7275282.29 211.91, 453494.33 7275283.9 211.91, 453494.01 7275285.4 211.91, 453492.93 7275287.5 211.91, 453491.9 7275288.93 211.88, 453490.38 7275290.56 211.85, 453488.26 7275292.11 211.82, 453485.5 7275293.11 211.82, 453483.73 7275293.52 211.82, 453481.42 7275293.53 211.82, 453477.8 7275292.76 211.85, 453475.19 7275291.74 211.85, 453474.27 7275291.06 211.85, 453473.27 7275290.33 211.85, 453472.11 7275289.15 211.88, 453470.47 7275286.67 211.95000000000002, 453469.68 7275284.59 211.96, 453469.52 7275283.32 211.99, 453469.52 7275282.19 212.02, 453469.69 7275280.04 211.98000000000002, 453469.81 7275279.02 211.98000000000002, 453470.12 7275277.57 211.94, 453470.7 7275276.02 211.88, 453471.1 7275275.33 211.84)</t>
  </si>
  <si>
    <t>POLYGON Z ((453475.2 7275271.14 211.78, 453476.72 7275270.36 211.81, 453478.01 7275269.79 211.82, 453479.32 7275269.48 211.82, 453480.81 7275269.47 211.85, 453483.03 7275269.47 211.85, 453484.44 7275269.66 211.85, 453486.8 7275270.31 211.82, 453488.44 7275271.08 211.82, 453489.83 7275271.96 211.82, 453491.6 7275273.67 211.82, 453492.56 7275274.99 211.85, 453493.46 7275276.6 211.88, 453494.16000000003 7275278.72 211.88, 453494.48 7275280.82 211.91, 453494.55 7275282.29 211.91, 453494.33 7275283.9 211.91, 453494.01 7275285.4 211.91, 453492.93 7275287.5 211.91, 453491.9 7275288.93 211.88, 453490.38 7275290.56 211.85, 453488.26 7275292.11 211.82, 453485.5 7275293.11 211.82, 453483.73 7275293.52 211.82, 453481.42 7275293.53 211.82, 453477.8 7275292.76 211.85, 453475.19 7275291.74 211.85, 453474.27 7275291.06 211.85, 453473.27 7275290.33 211.85, 453472.11 7275289.15 211.88, 453470.47 7275286.67 211.95000000000002, 453469.68 7275284.59 211.96, 453469.52 7275283.32 211.99, 453469.52 7275282.19 212.02, 453469.69 7275280.04 211.98000000000002, 453469.81 7275279.02 211.98000000000002, 453470.12 7275277.57 211.94, 453470.7 7275276.02 211.88, 453471.1 7275275.33 211.84, 453475.2 7275271.14 211.78))</t>
  </si>
  <si>
    <t>['EV6 S86D1 m1744-1956']</t>
  </si>
  <si>
    <t>LINESTRING Z (325733.81 7076180.73 4.15, 325739.11 7076185.46 4.15, 325761.41000000003 7076206.05 4.15, 325771.63 7076216.12 4.75, 325778.79000000004 7076223.38 4.55, 325785.68 7076230.46 4.3500000000000005, 325792.58999999997 7076238.29 4.15, 325797.98 7076244.35 4.15, 325802.86 7076250.08 4.15, 325806.13 7076253.92 4.15, 325813.55 7076262.81 4.15, 325819.41000000003 7076269.96 4.15, 325823.45 7076274.87 4.15, 325828.7 7076281.34 4.15, 325834.9 7076289.56 4.15, 325844.88 7076302.63 4.15, 325856.4 7076318.7 4.15, 325867.4 7076333.9 4.15, 325872.27 7076340.48 4.15)</t>
  </si>
  <si>
    <t>POLYGON ((325738.77392001374 7076185.830227142, 325761.06485011894 7076206.411852742, 325771.27651850285 7076216.47364341, 325778.43283330684 7076223.729906744, 325785.31317235134 7076230.799979377, 325792.21510901843 7076238.6208424885, 325792.21639740065 7076238.622296701, 325797.6028261181 7076244.678281493, 325802.4793294188 7076250.404175738, 325805.7477212798 7076254.24228728, 325813.1647041761 7076263.128672448, 325819.02328655997 7076270.2769427635, 325819.0238987239 7076270.277688219, 325823.062815431 7076275.186371643, 325828.3061554908 7076281.648164059, 325834.50081732695 7076289.861086687, 325834.50260542706 7076289.863442834, 325844.4780258531 7076302.927445335, 325855.99362935475 7076318.991312373, 325855.994941653 7076318.99313433, 325866.994941653 7076334.19313433, 325866.99810241594 7076334.197453075, 325871.86810241593 7076340.777453075, 325872.6718975841 7076340.182546926, 325867.8034895267 7076333.604697846, 325856.8057165817 7076318.407775231, 325845.2863706453 7076302.338687627, 325845.277394573 7076302.326557166, 325835.29829208396 7076289.257732564, 325829.0991826731 7076281.038913312, 325829.08825883345 7076281.02495226, 325823.83825883345 7076274.55495226, 325823.83610127616 7076274.552311781, 325819.79640771047 7076269.6426842045, 325813.93671344005 7076262.493057236, 325813.93386277545 7076262.489610597, 325806.51386277546 7076253.599610597, 325806.5106759841 7076253.595830607, 325803.24067598407 7076249.755830607, 325798.36065805034 7076244.025809549, 325798.3536025993 7076244.0177032985, 325792.96424826933 7076237.9584292285, 325786.0548909815 7076230.1291575115, 325786.0383287797 7076230.111287388, 325779.14832877973 7076223.031287388, 325779.1459966571 7076223.028906878, 325771.98599665705 7076215.768906878, 325771.9809300499 7076215.763842591, 325761.76093004993 7076205.693842591, 325761.74918794254 7076205.682642491, 325739.4491879425 7076185.092642491, 325739.44292395294 7076185.086956247, 325734.14292395295 7076180.356956247, 325733.47707604704 7076181.103043754, 325738.77392001374 7076185.830227142))</t>
  </si>
  <si>
    <t>['FV660 S5D1 m5171-5230', 'FV660 S5D1 m5197 SD1 m67-71']</t>
  </si>
  <si>
    <t>LINESTRING Z (149554.870007914 6971437.02954752 -999999, 149533.930525454 6971488.52935573 -999999)</t>
  </si>
  <si>
    <t>POLYGON ((149533.4673476493 6971488.341030688, 149534.39370325868 6971488.717680772, 149555.3331857187 6971437.217872562, 149554.4068301093 6971436.841222478, 149533.4673476493 6971488.341030688))</t>
  </si>
  <si>
    <t>['EV6 S90D1 m0-70', 'EV6 S89D1 m5608-5625']</t>
  </si>
  <si>
    <t>LINESTRING Z (328761.65 7102281.78 5.84, 328776.7 7102289.7 5.73, 328818.6 7102316.9 5.63, 328823.68 7102320.12 5.54, 328824.6 7102320.7 5.53, 328832.4 7102326.2 5.43, 328836.4 7102329.5 5.43, 328842.5 7102335.4 5.43, 328845.05 7102338.06 5.43, 328854.68 7102348.49 5.43, 328855.13 7102349.07 5.43, 328776.7 7102289.7 5.73, 328785.3 7102294.9 5.73, 328791.08 7102298.7 5.67, 328794.9 7102301.2 5.63)</t>
  </si>
  <si>
    <t>['EV6 S90D1 m133-244']</t>
  </si>
  <si>
    <t>LINESTRING Z (328889.78 7102401.18 4.73, 328896.1 7102414.7 4.33, 328903.8 7102434.6 3.73, 328905.9 7102441.9 3.43, 328909.3 7102453.8 2.83, 328913.3 7102473.4 1.83, 328915.8 7102493.2 0.73, 328916.74 7102507.85 -0.09)</t>
  </si>
  <si>
    <t>POLYGON ((328895.6398349586 7102414.896311125, 328903.32564835524 7102434.759647045, 328905.41936222074 7102442.037795245, 328908.8139482299 7102453.918846277, 328912.80631096265 7102473.481423668, 328915.3020112393 7102493.247369858, 328916.24102608184 7102507.882016074, 328917.23897391814 7102507.817983925, 328916.29897391814 7102493.167983926, 328916.29606146703 7102493.137365976, 328913.79606146703 7102473.337365977, 328913.7899020294 7102473.300019994, 328909.7899020294 7102453.700019994, 328909.7807619738 7102453.662639436, 328906.38076197385 7102441.762639437, 328906.3805127966 7102441.761770292, 328904.28051279654 7102434.461770291, 328904.2663094917 7102434.419568689, 328896.5663094917 7102414.519568689, 328896.5529545302 7102414.4882638585, 328890.2329545303 7102400.968263858, 328889.3270454698 7102401.391736141, 328895.6398349586 7102414.896311125))</t>
  </si>
  <si>
    <t>['EV6 S89D1 m3188-3430']</t>
  </si>
  <si>
    <t>LINESTRING Z (326739.61 7101010.53 9.44, 326741.37 7101011.58 9.43, 326749.93 7101016.78 9.4, 326758.4 7101022.06 9.41, 326768.49 7101028.57 9.450000000000001, 326775.13 7101033.02 9.51, 326778.82 7101035.57 9.55, 326783.33 7101038.74 9.6, 326791.4 7101044.65 9.73, 326799.34 7101050.74 9.89, 326803.24 7101053.83 9.98, 326807.13 7101056.99 10.08, 326810.99 7101060.18 10.18, 326814.79 7101063.42 10.290000000000001, 326818.57 7101066.7 10.41, 326822.31 7101070.02 10.53, 326826.02 7101073.38 10.67, 326829.67 7101076.78 10.81, 326833.3 7101080.22 10.950000000000001, 326836.89 7101083.71 11.11, 326843.94 7101090.79 11.41, 326850.84 7101098.02 11.72, 326857.59 7101105.42 12.030000000000001, 326866.18 7101115.34 12.43, 326870.56 7101120.63 12.64, 326876.79 7101128.46 12.92, 326882.84 7101136.41 13.200000000000001, 326888.72 7101144.51 13.47, 326894.2 7101152.43 13.71, 326899.92 7101161.07 13.96, 326905.29 7101169.5 14.18, 326910.5 7101177.92 14.39)</t>
  </si>
  <si>
    <t>POLYGON ((326741.11211385304 7101012.008367512, 326749.66794267105 7101017.205833617, 326758.132195348 7101022.482250869, 326768.215262783 7101028.987778026, 326774.84867726726 7101033.433364539, 326778.53410595463 7101035.980205502, 326783.0385005823 7101039.146265584, 326791.10010236857 7101045.05011522, 326799.03257818834 7101051.134344155, 326802.92710606975 7101054.220008553, 326806.8131059079 7101057.376759064, 326810.6685193917 7101060.562968653, 326814.4639445941 7101063.799068036, 326818.2401760214 7101067.075797952, 326821.97620503657 7101070.392272906, 326825.6817626169 7101073.748249583, 326829.3276288648 7101077.144398965, 326832.95375958015 7101080.580732204, 326836.5385627292 7101084.065680113, 326843.58195213653 7101091.139041389, 326850.4743951734 7101098.361123006, 326857.21624388435 7101105.752186779, 326865.7984004258 7101115.663128908, 326870.17177068867 7101120.94512176, 326876.39537909697 7101128.7670886675, 326882.4386911679 7101136.708300398, 326888.3120487806 7101144.79915017, 326893.7859141999 7101152.710284133, 326899.5006570476 7101161.3423432605, 326904.86653512204 7101169.765872528, 326910.07481362706 7101178.18309038, 326910.92518637294 7101177.656909619, 326905.7151863729 7101169.2369096195, 326905.711707109 7101169.23136807, 326900.341707109 7101160.80136807, 326900.3369138427 7101160.7939875955, 326894.61691384274 7101152.153987595, 326894.61117084 7101152.145503004, 326889.13117083994 7101144.225503004, 326889.1246271056 7101144.216270694, 326883.24462710565 7101136.116270694, 326883.23788813024 7101136.107204631, 326877.1878881302 7101128.157204631, 326877.18126179406 7101128.148689531, 326870.9512617941 7101120.318689531, 326870.94512316637 7101120.311126755, 326866.56512316637 7101115.021126755, 326866.5579828007 7101115.012694329, 326857.96798280074 7101105.092694329, 326857.95940481423 7101105.083042906, 326851.20940481423 7101097.683042905, 326851.20171184436 7101097.674797825, 326844.30171184434 7101090.444797825, 326844.2943032362 7101090.437198048, 326837.2443032362 7101083.357198048, 326837.2385249358 7101083.351488676, 326833.64852493576 7101079.861488676, 326833.6439277827 7101079.857076205, 326830.0139277827 7101076.417076206, 326830.01080182754 7101076.414139215, 326826.36080182757 7101073.0141392145, 326826.3556397164 7101073.009397813, 326822.64563971636 7101069.649397813, 326822.64193361986 7101069.6460747775, 326818.90193361987 7101066.326074778, 326818.8976934224 7101066.322353312, 326815.11769342236 7101063.042353312, 326815.11440511054 7101063.03952487, 326811.31440511055 7101059.79952487, 326811.308518128 7101059.794583079, 326807.448518128 7101056.60458308, 326807.4452587523 7101056.601912485, 326803.5552587523 7101053.441912485, 326803.550505879 7101053.438099376, 326799.650505879 7101050.348099376, 326799.6442996846 7101050.3432611665, 326791.7042996846 7101044.253261167, 326791.69542172365 7101044.246606885, 326783.62542172364 7101038.336606885, 326783.6175219876 7101038.33093875, 326779.1075219876 7101035.16093875, 326779.1042570907 7101035.158663269, 326775.4142570907 7101032.608663268, 326775.4083597475 7101032.604649724, 326768.7683597475 7101028.154649725, 326768.76107291924 7101028.149857795, 326758.6710729193 7101021.639857794, 326758.6645039634 7101021.635691558, 326750.19450396334 7101016.355691559, 326750.18959327636 7101016.35266953, 326741.62959327636 7101011.152669529, 326741.62617071945 7101011.15060908, 326739.86617071944 7101010.10060908, 326739.35382928053 7101010.959390921, 326741.11211385304 7101012.008367512))</t>
  </si>
  <si>
    <t>['EV6 S89D1 m613-975']</t>
  </si>
  <si>
    <t>LINESTRING Z (325063.82 7099403.72 29.01, 325066.61 7099413.33 29.07, 325069.5 7099423.75 29.150000000000002, 325071.87 7099432.62 29.21, 325074.37 7099442.31 29.28, 325076.79 7099452 29.35, 325079.15 7099461.73 29.42, 325081.45 7099471.46 29.490000000000002, 325084.41 7099484.29 29.580000000000002, 325088.12 7099500.7 29.71, 325090.31 7099510.46 29.78, 325092.5 7099520.22 29.86, 325094.72 7099529.97 29.93, 325096.98 7099539.72 30.01, 325099.31 7099549.43 30.080000000000002, 325101.73 7099559.14 30.16, 325104.28 7099568.81 30.23, 325105.61 7099573.61 30.27, 324994.63 7099230.29 27.77, 324997.77 7099236.49 27.810000000000002, 325002.22 7099245.46 27.87, 325006.58 7099254.44 27.94, 325010.85 7099263.42 28.01, 325015.04 7099272.66 28.07, 325019.13 7099281.65 28.14, 325023.14 7099290.91 28.21, 325027.04 7099300.15 28.27, 325028 7099302.47 28.29, 325030.87 7099309.43 28.34, 325031.8 7099311.74 28.36, 325034.59 7099318.7 28.41, 325035.49 7099321.01 28.43, 325038.19 7099327.98 28.47, 325039.97 7099332.62 28.5, 325040.85 7099334.95 28.52, 325041.72 7099337.26 28.54, 325042.51 7099339.44 28.560000000000002, 325044.12 7099343.89 28.59, 325045.09 7099346.07 28.61, 325046.76 7099350.79 28.64, 325048.5 7099356.1 28.67, 325049.05 7099357.63 28.68, 325050.16 7099360.75 28.7, 325050.71 7099362.42 28.71, 325052.39 7099367.49 28.75, 325053.65 7099371.21 28.78, 325054.91 7099374.96 28.8, 325055.53 7099376.89 28.810000000000002, 325057.37 7099382.6 28.86, 325058.59 7099386.45 28.88, 325059.76 7099390.26 28.91, 325061.44 7099395.75 28.95, 325061.92 7099397.38 28.96, 325063.35 7099402.14 29, 325063.82 7099403.72 29.01)</t>
  </si>
  <si>
    <t>POLYGON Z ((325063.82 7099403.72 29.01, 325066.61 7099413.33 29.07, 325069.5 7099423.75 29.150000000000002, 325071.87 7099432.62 29.21, 325074.37 7099442.31 29.28, 325076.79 7099452 29.35, 325079.15 7099461.73 29.42, 325081.45 7099471.46 29.490000000000002, 325084.41 7099484.29 29.580000000000002, 325088.12 7099500.7 29.71, 325090.31 7099510.46 29.78, 325092.5 7099520.22 29.86, 325094.72 7099529.97 29.93, 325096.98 7099539.72 30.01, 325099.31 7099549.43 30.080000000000002, 325101.73 7099559.14 30.16, 325104.28 7099568.81 30.23, 325105.61 7099573.61 30.27, 324994.63 7099230.29 27.77, 324997.77 7099236.49 27.810000000000002, 325002.22 7099245.46 27.87, 325006.58 7099254.44 27.94, 325010.85 7099263.42 28.01, 325015.04 7099272.66 28.07, 325019.13 7099281.65 28.14, 325023.14 7099290.91 28.21, 325027.04 7099300.15 28.27, 325028 7099302.47 28.29, 325030.87 7099309.43 28.34, 325031.8 7099311.74 28.36, 325034.59 7099318.7 28.41, 325035.49 7099321.01 28.43, 325038.19 7099327.98 28.47, 325039.97 7099332.62 28.5, 325040.85 7099334.95 28.52, 325041.72 7099337.26 28.54, 325042.51 7099339.44 28.560000000000002, 325044.12 7099343.89 28.59, 325045.09 7099346.07 28.61, 325046.76 7099350.79 28.64, 325048.5 7099356.1 28.67, 325049.05 7099357.63 28.68, 325050.16 7099360.75 28.7, 325050.71 7099362.42 28.71, 325052.39 7099367.49 28.75, 325053.65 7099371.21 28.78, 325054.91 7099374.96 28.8, 325055.53 7099376.89 28.810000000000002, 325057.37 7099382.6 28.86, 325058.59 7099386.45 28.88, 325059.76 7099390.26 28.91, 325061.44 7099395.75 28.95, 325061.92 7099397.38 28.96, 325063.35 7099402.14 29, 325063.82 7099403.72 29.01))</t>
  </si>
  <si>
    <t>['EV6 S88D1 m13017-13490']</t>
  </si>
  <si>
    <t>LINESTRING Z (324504.15 7098233.39 28.53, 324505.09 7098235.38 28.52, 324509.7 7098245.77 28.45, 324513.38 7098254.04 28.38, 324517.29 7098263.3 28.28, 324518.41 7098265.98 28.240000000000002, 324521.02 7098272.57 28.16, 324524.62 7098281.85 28.02, 324528.09 7098291.14 27.86, 324531.46 7098300.68 27.68, 324532.77 7098304.35 27.61, 324534.72 7098309.99 27.48, 324537.9 7098319.54 27.27, 324540.95 7098329.11 27.03, 324543.97 7098338.68 26.77, 324546.9 7098348.25 26.490000000000002, 324548.29 7098352.67 26.35, 324549.8 7098357.83 26.19, 324552.64 7098367.41 25.900000000000002, 324555.14 7098375.76 25.650000000000002, 324558.05 7098385.59 25.35, 324558.9 7098388.29 25.26, 324561.21 7098396.15 25.02, 324564.05 7098405.73 24.73, 324566.89 7098415.31 24.44, 324569.78 7098424.89 24.14, 324571.51 7098430.54 23.96, 324572.68 7098434.47 23.85, 324575.67 7098444.04 23.57, 324577.81 7098450.66 23.400000000000002, 324578.71 7098453.35 23.330000000000002, 324581.55 7098461.93 23.14, 324584.78 7098471.49 22.95, 324588.48 7098481.76 22.77, 324591.97 7098491.3 22.64, 324595.57 7098500.58 22.53, 324599.27 7098509.85 22.46, 324600.76 7098513.51 22.44, 324603.05 7098519.12 22.41, 324606.99 7098528.37 22.400000000000002, 324610.13 7098535.43 22.400000000000002, 324615.14 7098546.62 22.44, 324623.62 7098564.59 22.6, 324627.95 7098573.57 22.73, 324632.31 7098582.55 22.88, 324636.75 7098591.77 23.07, 324641.09 7098600.5 23.28, 324645.45 7098609.47 23.51, 324649.43 7098617.73 23.73, 324654.25 7098627.67 23.990000000000002, 324658.65 7098636.65 24.23, 324663.02 7098645.63 24.46, 324667.41 7098654.6 24.67, 324671.8 7098663.58 24.87, 324676.19 7098672.55 25.060000000000002, 324676.62 7098673.44 25.080000000000002)</t>
  </si>
  <si>
    <t>POLYGON ((324504.635369886 7098235.588198348, 324509.2429673401 7098245.972783499, 324509.2431853852 7098245.973274218, 324512.92124028096 7098254.23890302, 324516.8290207843 7098263.493646615, 324517.9468580095 7098266.168471405, 324520.5544836837 7098272.752476459, 324524.15270892734 7098282.027901531, 324527.62004150887 7098291.31076023, 324530.9885504677 7098300.8465393, 324530.98910002166 7098300.848086913, 324532.2982619003 7098304.515738893, 324534.2465124635 7098310.150678985, 324537.4245890808 7098319.694902788, 324540.4733928608 7098329.261149403, 324543.49253336125 7098338.828425757, 324546.4219057299 7098348.39637578, 324546.4230296058 7098348.3999974765, 324547.811529545 7098352.815227499, 324549.3201251819 7098357.970428484, 324549.320621141 7098357.972112313, 324552.160621141 7098367.552112313, 324552.161007988 7098367.5534107825, 324554.6607861155 7098375.902669728, 324557.5705665156 7098385.731927918, 324557.57307537465 7098385.740142938, 324558.4216378964 7098388.43557683, 324560.73028810404 7098396.290984031, 324560.73062114103 7098396.292112313, 324563.570621141 7098405.872112313, 324566.410621141 7098415.452112312, 324566.4113074612 7098415.454407248, 324569.3013074612 7098425.034407248, 324569.30190969026 7098425.036388714, 324571.0313405391 7098430.684529926, 324572.20078586886 7098434.6126668025, 324572.2027511383 7098434.619109101, 324575.1927511383 7098444.189109101, 324575.1942406111 7098444.193795331, 324577.3342406111 7098450.813795331, 324577.3358349153 7098450.818642594, 324578.2355799757 7098453.507880608, 324581.0753274574 7098462.087117718, 324581.07630643126 7098462.090045002, 324584.3063064313 7098471.650045003, 324584.3095971807 7098471.6594732655, 324588.00959718064 7098481.929473265, 324588.0104347004 7098481.931780177, 324591.5004347004 7098491.471780177, 324591.5038469949 7098491.480835217, 324595.1038469949 7098500.760835217, 324595.1056235913 7098500.765349807, 324598.8056235913 7098510.035349807, 324598.8069047129 7098510.038527862, 324600.2969047129 7098513.698527862, 324602.5870820703 7098519.308962934, 324602.58999133075 7098519.315938828, 324606.52999133075 7098528.565938828, 324606.5331476105 7098528.573189306, 324609.6731476105 7098535.633189306, 324609.6736509017 7098535.634317156, 324614.6836509017 7098546.824317156, 324614.68781901605 7098546.833383124, 324623.16781901603 7098564.803383124, 324623.1696226667 7098564.807164126, 324627.49962266674 7098573.7871641265, 324627.50021218136 7098573.788382505, 324631.8598616181 7098582.767660473, 324636.2995133125 7098591.9869371895, 324636.3022747225 7098591.992580493, 324640.6412823831 7098600.720584382, 324644.9999337726 7098609.687809832, 324648.9795623398 7098617.94703897, 324648.98010371544 7098617.948158964, 324653.80010371545 7098627.888158963, 324653.801000898 7098627.88999956, 324658.2007041605 7098636.869393947, 324662.570409074 7098645.848787567, 324662.57090005087 7098645.84979362, 324666.96085158456 7098654.81969459, 324671.35080343345 7098663.7995960945, 324675.7403433928 7098672.768656212, 324676.1697924963 7098673.657515985, 324677.0702075037 7098673.222484016, 324676.6402075037 7098672.332484015, 324676.63909994916 7098672.330206379, 324672.2491484154 7098663.36030541, 324667.8591965665 7098654.380403905, 324663.46934603195 7098645.410709196, 324659.099590926 7098636.431212434, 324659.098999102 7098636.43000044, 324654.69944957684 7098627.450919818, 324649.8801676641 7098617.512400687, 324645.9004376602 7098609.25296103, 324645.8996921401 7098609.251420543, 324641.5396921401 7098600.281420543, 324641.53772527754 7098600.277419507, 324637.1991237031 7098591.550232468, 324632.7604866875 7098582.33306281, 324632.75978781865 7098582.331617495, 324628.40008337557 7098573.352226234, 324624.07128707395 7098564.374722588, 324615.59431027214 7098546.411129058, 324610.5866014407 7098535.2262464585, 324607.4484591983 7098528.170423456, 324603.5114896634 7098518.927538126, 324601.22300670133 7098513.321254537, 324599.7337412985 7098509.663058984, 324596.0352756566 7098500.396903173, 324592.4379029649 7098491.123675791, 324588.94998690306 7098481.589372286, 324585.25209526886 7098471.325224426, 324582.0241875767 7098461.771417138, 324579.1846725426 7098453.192882282, 324579.18416508473 7098453.191357406, 324578.28497459664 7098450.503776948, 324576.1465156495 7098443.88854413, 324573.1582531953 7098434.324105438, 324571.98921413114 7098430.397333197, 324571.9880903098 7098430.393611286, 324570.2583934813 7098424.744601412, 324567.3690384408 7098415.166739374, 324564.529378859 7098405.587887688, 324561.6895460509 7098396.008451666, 324559.379711896 7098388.14901597, 324559.37692462537 7098388.139857062, 324558.52821433643 7098385.443953792, 324555.6194334844 7098375.618072081, 324555.61899201205 7098375.616589217, 324553.11918629624 7098367.267238127, 324550.27962832263 7098357.688729188, 324548.76987481804 7098352.529571516, 324548.7669703942 7098352.520002523, 324547.37753920606 7098348.101811264, 324544.4480942701 7098338.53362422, 324544.4468214437 7098338.529529701, 324541.4268214437 7098328.959529702, 324541.42639092216 7098328.958172172, 324538.3763909222 7098319.388172172, 324538.37439130014 7098319.382035148, 324535.1943913001 7098309.8320351485, 324535.1925527732 7098309.826617393, 324533.24255277327 7098304.186617392, 324533.2408999784 7098304.181913086, 324531.931176022 7098300.51268643, 324528.56144953234 7098290.973460699, 324528.5583921156 7098290.965046217, 324525.08839211555 7098281.675046217, 324525.086153005 7098281.669164782, 324521.48615300504 7098272.389164783, 324521.4848680935 7098272.3858868405, 324518.87486809347 7098265.795886841, 324518.87133448693 7098265.787203498, 324517.75133448694 7098263.107203498, 324517.7506208195 7098263.105504599, 324513.84062081954 7098253.8455046, 324513.8368146148 7098253.836725782, 324510.15692371695 7098245.566970965, 324505.54703265993 7098235.1772165, 324505.5420999535 7098235.166445248, 324504.6020999535 7098233.176445248, 324503.69790004654 7098233.603554752, 324504.635369886 7098235.588198348))</t>
  </si>
  <si>
    <t>2025-11-22T09:45:47Z</t>
  </si>
  <si>
    <t>['EV6 S73D1 m8 KD4 m8-114']</t>
  </si>
  <si>
    <t>LINESTRING Z (264837.1 7030168.88 29.240000000000002, 264836.42 7030168.02 29.22, 264835.19 7030166.3 29.18, 264834.06 7030164.53 29.13, 264833.03 7030162.7 29.080000000000002, 264831.37 7030159.59 28.98, 264827.38 7030152.09 28.71, 264794.29 7030089.88 26.1, 264791.95 7030085.49 25.95, 264790.07 7030081.95 25.88, 264789.61 7030081.08 25.88, 264787.67 7030076.48 25.87, 264787.2 7030075 25.89)</t>
  </si>
  <si>
    <t>POLYGON ((264836.8196898657 7030167.719344825, 264835.60435915843 7030166.019857982, 264834.488911844 7030164.272652897, 264833.4684658387 7030162.459627471, 264831.81125949323 7030159.354861366, 264827.821427975 7030151.85517806, 264794.7314374465 7030089.645195867, 264792.39141142915 7030085.2551466515, 264790.51180413406 7030081.715886107, 264790.06222139025 7030080.865588308, 264788.139610554 7030076.306820346, 264787.6765473915 7030074.848664004, 264786.7234526085 7030075.151335996, 264787.1934526085 7030076.631335996, 264787.2092955049 7030076.674297114, 264789.1492955049 7030081.2742971135, 264789.16798251984 7030081.3137103915, 264789.62798251986 7030082.183710392, 264789.6284098424 7030082.184516807, 264791.5084098424 7030085.724516807, 264791.508767897 7030085.725189777, 264793.84866506595 7030090.114996859, 264826.9385625535 7030152.324804133, 264830.92857938225 7030159.824835769, 264830.92890207696 7030159.825441335, 264832.588902077 7030162.935441336, 264832.5942758338 7030162.945243657, 264833.6242758338 7030164.775243657, 264833.63856187207 7030164.79905372, 264834.7685618721 7030166.56905372, 264834.7832930945 7030166.5908427285, 264836.01329309447 7030168.310842728, 264836.0277922041 7030168.330117792, 264836.7077922041 7030169.190117792, 264837.49220779585 7030168.569882208, 264836.8196898657 7030167.719344825))</t>
  </si>
  <si>
    <t>2021-07-01</t>
  </si>
  <si>
    <t>['RV13 S48D1 m9335-9740']</t>
  </si>
  <si>
    <t>LINESTRING (76561.88166247733 6813634.133396434, 76411.62393868563 6813799.918231227, 76353.2216840018 6813872.0688389, 76343.91624422633 6813891.205462408, 76337.53906644002 6813912.8871916, 76344.10817243007 6813950.120758028)</t>
  </si>
  <si>
    <t>POLYGON ((76411.25346213121 6813799.582452844, 76411.2353020784 6813799.60364962, 76352.83304739457 6813871.7542572925, 76352.79980170025 6813871.80048219, 76352.7720270049 6813871.850187156, 76343.46658722944 6813890.986810665, 76343.44995933124 6813891.024967542, 76343.43656266504 6813891.064375202, 76337.05938487872 6813912.746104394, 76337.04843839174 6813912.79083747, 76337.04165414535 6813912.836387968, 76337.03908969363 6813912.882369456, 76337.04076679211 6813912.928391853, 76337.0466712132 6813912.974064729, 76343.61577720326 6813950.207631157, 76344.60056765689 6813950.033884899, 76338.05183415995 6813912.91578937, 76344.3841503548 6813891.386584839, 76353.6463196547 6813872.338947002, 76412.0037912063 6813800.243664765, 76562.25213903176 6813634.469174817, 76561.51118592291 6813633.79761805, 76411.25346213121 6813799.582452844))</t>
  </si>
  <si>
    <t>2025-11-14</t>
  </si>
  <si>
    <t>['FV62 S7D1 m9658-9853', 'FV62 S7D1 m8368-9658']</t>
  </si>
  <si>
    <t>LINESTRING Z (170320.07398964727 6965684.784608003 0.0615292154252529, 170273.1103541142 6965661.964249908 0.0614890940487385, 170241.19492574007 6965644.600933964 0.0614691637456417, 170201.83807624335 6965620.6230214685 0.061454713344574, 170146.11010027537 6965584.408105358 0.0614434815943241, 170116.3444157818 6965562.414571829 0.0614479705691338, 170049.37162567297 6965511.812908218 0.0614630952477455, 170021.9210499737 6965490.976929086 0.0614675283432007, 169950.31804227666 6965435.910412806 0.0614589266479015, 169925.67867011274 6965417.058812639 0.0614555887877941, 169853.91029750102 6965363.315215668 0.0614412985742092, 169817.03392171272 6965334.707085585 0.0614378564059734, 169712.52329615952 6965255.662656808 0.0614201463758945, 169658.44896933087 6965213.825333629 0.0614146739244461, 169560.22221050342 6965139.741852265 0.0613972507417202, 169521.5268206626 6965113.118101153 0.061380360275507, 169490.93431159982 6965095.424055381 0.0613538660109043, 169478.5319430608 6965089.801648315 0.0613370463252068, 169447.11260942905 6965077.730009613 0.0612859278917313, 169402.79481251683 6965064.831546342 0.0611976496875286, 169361.618948968 6965057.720855055 0.0610965378582478, 169318.9548011942 6965055.736476093 0.0609706752002239, 169276.45601833356 6965058.382314719 0.0608271919190884, 169233.95723547373 6965066.981290241 0.0606603771448135, 169199.23060356436 6965077.068549989 0.0605120770633221, 169149.29039958055 6965097.90452913 0.060274001210928, 169115.72132206912 6965116.756129307 0.0600949823856354, 169094.22388326726 6965130.646782064 0.0599732138216496, 169056.18995308125 6965160.081736723 0.0597387328743935)</t>
  </si>
  <si>
    <t>POLYGON ((170273.33921122883 6965661.519551837, 170241.44462107465 6965644.167572748, 170202.1044298798 6965620.199809218, 170146.39514901582 6965583.99704215, 170116.64369895155 6965562.014026284, 170049.67348341653 6965511.414307906, 170022.22460766777 6965490.579619098, 169950.6228534189 6965435.5140667865, 169950.62186624468 6965435.51330955, 169925.98249408076 6965416.661709382, 169925.97837493703 6965416.658591427, 169854.21341163825 6965362.917547513, 169817.34040119703 6965334.312028215, 169817.335534599 6965334.308300346, 169712.82709401415 6965255.265524125, 169658.75493395518 6965213.429877375, 169658.75004351177 6965213.426141523, 169560.5232846843 6965139.342660159, 169560.5056243144 6965139.329934055, 169521.81023447358 6965112.706182943, 169521.7771543278 6965112.685281264, 169491.18464526502 6965094.991235492, 169491.14075549695 6965094.968664431, 169478.73838695794 6965089.346257365, 169478.71126797798 6965089.334912229, 169447.29193434623 6965077.263273527, 169447.25233425552 6965077.249929439, 169402.9345373433 6965064.351466169, 169402.8798984975 6965064.338839151, 169361.70403494866 6965057.228147864, 169361.64217966766 6965057.221395012, 169318.97803189384 6965055.237016049, 169318.92373294014 6965055.2374422625, 169276.4249500795 6965057.883280889, 169276.3568603877 6965057.892245641, 169233.85807752787 6965066.4912211625, 169233.81776235483 6965066.50113688, 169199.09113044545 6965076.588396628, 169199.03807890302 6965076.607101991, 169149.0978749192 6965097.443081132, 169149.0455749086 6965097.468569407, 169115.47649739718 6965116.320169584, 169115.4499643763 6965116.336170972, 169093.95252557445 6965130.226823729, 169093.9178660251 6965130.251366526, 169055.88393583908 6965159.686321185, 169056.49597032342 6965160.477152261, 169094.5130923629 6965131.055205646, 169115.97966127106 6965117.184499589, 169149.50981696183 6965098.354756987, 169199.3971293986 6965077.54084518, 169234.07675702567 6965067.467239057, 169276.52143999736 6965058.8792098155, 169318.95873155736 6965056.2371994415, 169361.56458013042 6965058.218866813, 169402.68205250244 6965065.319474483, 169446.95280550656 6965078.20424587, 169478.33889182622 6965090.263110605, 169490.7053651552 6965095.869245175, 169521.2595376705 6965113.541117918, 169559.92982796417 6965140.147599683, 169658.1454384379 6965214.222672861, 169712.2173315352 6965256.058113062, 169712.22168327324 6965256.061442047, 169816.7298641153 6965335.104021818, 169853.6038180167 6965363.710273038, 169853.61059267673 6965363.71543688, 169925.3768976781 6965417.457485525, 169950.013724324 6965436.307138114, 170021.61623883146 6965491.373275106, 170021.6187517224 6965491.375195037, 170049.06932742166 6965512.211174169, 170049.0702091285 6965512.21184188, 170116.0429992373 6965562.813505491, 170116.04728307144 6965562.816706325, 170145.81296756503 6965584.810239853, 170145.83764982983 6965584.827355587, 170201.5656257978 6965621.042271698, 170201.57793204216 6965621.0500167785, 170240.93478153888 6965645.027929274, 170240.95597814705 6965645.040142397, 170272.87140652118 6965662.403458341, 170272.89182892177 6965662.413968421, 170319.85546445483 6965685.234326515, 170320.2925148397 6965684.33488949, 170273.33921122883 6965661.519551837))</t>
  </si>
  <si>
    <t>2021-11-19</t>
  </si>
  <si>
    <t>['RV70 S1D1 m33-171']</t>
  </si>
  <si>
    <t>LINESTRING Z (227537.82093593513 6951684.326488883 0.100080594420433, 227576.8446405754 6951633.720980132 0.0999634936451912)</t>
  </si>
  <si>
    <t>POLYGON ((227577.24058781523 6951634.026309107, 227576.44869333558 6951633.415651157, 227537.4249886953 6951684.021159908, 227538.21688317496 6951684.631817859, 227577.24058781523 6951634.026309107))</t>
  </si>
  <si>
    <t>2025-11-22T09:45:52Z</t>
  </si>
  <si>
    <t>['FV5981 S2D1 m8758-8802']</t>
  </si>
  <si>
    <t>LINESTRING Z (95021.8661811694 6964357.43906088 -999999, 95022.3786799566 6964376.6577654 -999999, 95024.1724257121 6964401.0014578 -999999)</t>
  </si>
  <si>
    <t>POLYGON ((95021.87885763962 6964376.671093995, 95021.88003179508 6964376.694507896, 95023.67377755058 6964401.038200296, 95024.67107387361 6964400.964715304, 95022.8781897211 6964376.632716087, 95022.36600348639 6964357.425732285, 95021.36635885242 6964357.452389475, 95021.87885763962 6964376.671093995))</t>
  </si>
  <si>
    <t>['FV64 S1D1 m4057-4238']</t>
  </si>
  <si>
    <t>LINESTRING Z (128094.622401365 6958385.9102537 -999999, 128118.253387944 6958388.8907385 -999999, 128139.755456813 6958390.80676443 -999999, 128162.74776808 6958392.29700683 -999999, 128191.488157163 6958393.14857392 -999999, 128220.015654475 6958393.57435746 -999999, 128247.052909389 6958393.36146569 -999999, 128275.580406701 6958392.93568214 -999999)</t>
  </si>
  <si>
    <t>POLYGON ((128118.19082057185 6958389.386808379, 128118.2090093323 6958389.388765145, 128139.7110782013 6958391.304791075, 128139.72311726293 6958391.305717488, 128162.71542852992 6958392.795959887, 128162.73295976386 6958392.796787496, 128191.47334884686 6958393.648354586, 128191.48069530755 6958393.648518237, 128220.00819261956 6958394.074301777, 128220.01959136083 6958394.074341961, 128247.05684627483 6958393.861450191, 128247.06037124463 6958393.861410007, 128275.58786855663 6958393.435626457, 128275.57294484538 6958392.435737823, 128247.04721004609 6958392.861495066, 128220.01741715823 6958393.074328081, 128191.49929290962 6958392.648684437, 128162.77134926608 6958391.7974861, 128139.79382149053 6958390.30820189, 128118.30687884091 6958388.393523841, 128094.68496873716 6958385.4141838215, 128094.55983399285 6958386.406323578, 128118.19082057185 6958389.386808379))</t>
  </si>
  <si>
    <t>2023-06-22</t>
  </si>
  <si>
    <t>['FV567 S3D1 m7227 KD1 m2-82']</t>
  </si>
  <si>
    <t>LINESTRING (-20613.246316402627 6747870.371151143, -20611.58493313723 6747869.992298403, -20610.45485789451 6747869.4673737995, -20609.577488072624 6747868.830264065, -20608.38636085426 6747867.700324368, -20607.583689432067 6747866.465575394, -20606.943217957276 6747864.459655572, -20606.881624133268 6747862.749266057, -20607.237936049816 6747860.98803532, -20608.12201136799 6747859.105051853, -20609.34953297663 6747857.681971391, -20610.88395486877 6747856.713469545, -20612.197738225455 6747856.234398548, -20613.933832548442 6747856.015611058, -20615.052884204604 6747856.104261231, -20616.28796131583 6747856.4209590815, -20617.43199566705 6747856.935500927, -20618.66567943996 6747857.773595838, -20619.986094386026 6747859.381898451, -20620.82768773369 6747861.032159204, -20621.203039574146 6747863.235389943, -20620.99395922839 6747865.26646818, -20620.48824069061 6747866.26077026, -20619.95815886464 6747867.251518525, -20618.84049312526 6747868.603673223, -20616.893252430367 6747869.673424461, -20615.16664819239 6747870.253744933, -20613.239453652583 6747870.332895068)</t>
  </si>
  <si>
    <t>POLYGON ((-20613.246316402627 6747870.371151143, -20611.58493313723 6747869.992298403, -20610.45485789451 6747869.4673737995, -20609.577488072624 6747868.830264065, -20608.38636085426 6747867.700324368, -20607.583689432067 6747866.465575394, -20606.943217957276 6747864.459655572, -20606.881624133268 6747862.749266057, -20607.237936049816 6747860.98803532, -20608.12201136799 6747859.105051853, -20609.34953297663 6747857.681971391, -20610.88395486877 6747856.713469545, -20612.197738225455 6747856.234398548, -20613.933832548442 6747856.015611058, -20615.052884204604 6747856.104261231, -20616.28796131583 6747856.4209590815, -20617.43199566705 6747856.935500927, -20618.66567943996 6747857.773595838, -20619.986094386026 6747859.381898451, -20620.82768773369 6747861.032159204, -20621.203039574146 6747863.235389943, -20620.99395922839 6747865.26646818, -20620.48824069061 6747866.26077026, -20619.95815886464 6747867.251518525, -20618.84049312526 6747868.603673223, -20616.893252430367 6747869.673424461, -20615.16664819239 6747870.253744933, -20613.239453652583 6747870.332895068, -20613.246316402627 6747870.371151143))</t>
  </si>
  <si>
    <t>2023-06-24</t>
  </si>
  <si>
    <t>['EV39 S55D1 m10153 SD1 m34-233']</t>
  </si>
  <si>
    <t>LINESTRING Z (30350.58586718497 6851649.273556871 209.97050443969667, 30335.095131132693 6851637.44699186 209.87051179528237, 30333.10279356595 6851637.685664206 209.83051223486663, 30331.66097510798 6851637.6573946355 209.84051261112094, 30330.52810906584 6851637.801064627 209.92051285699011, 30328.57543808146 6851636.715325032 209.98051367096605, 30327.72399895388 6851635.805897416 209.84051415339113, 30325.775164048828 6851634.945102657 209.87051490403712, 30324.00212923094 6851633.440226253 209.7805157943815, 30321.783518030425 6851632.063934035 209.82051676295697, 30320.804405835108 6851631.047962322 209.74051731429995, 30320.579032627575 6851629.951445779 209.61051769241692, 30321.3919617472 6851628.137972582 209.29051801092922, 30322.395547819964 6851624.765238494 208.95051873736085, 30323.676262500114 6851621.17422691 208.61051945634188, 30323.70541102084 6851617.292185715 208.56052057765424, 30323.916038934316 6851614.185735713 208.22052142888307, 30326.591827750846 6851613.628115684 208.2405209017545, 30344.339102812926 6851607.300248865 208.0105181469023, 30365.76141144475 6851597.324610881 207.67051546283068, 30379.66212675965 6851590.790232062 207.42051371566953, 30381.567500892736 6851590.033635145 207.52051343627275, 30411.70236121345 6851580.9524265025 207.54050816871225, 30437.019944686443 6851580.477909162 207.72050174444914, 30440.403075130424 6851584.659928108 207.73049971975388, 30467.63808854035 6851632.240943418 208.2804797540605, 30467.619691605214 6851640.732279535 208.3704774387926, 30459.364366218157 6851655.389062416 208.8504754755646, 30458.050124945526 6851658.184180495 208.8804750303924, 30457.012787240616 6851659.814102604 208.9104748404026, 30456.546465715976 6851661.602686908 208.95047446228565, 30456.48620401317 6851662.264780742 208.99047429464758, 30456.794817003247 6851664.206690576 209.04047368369996, 30457.521017821913 6851665.854760928 209.14047304853798, 30456.71844212903 6851666.956556153 209.13047294422984, 30455.28865560115 6851666.622212882 209.0804733875394, 30453.69752899307 6851667.471085837 209.06047354958952, 30452.380465775554 6851667.921737823 209.13047374889254, 30450.762332366023 6851669.518346074 209.25047370418906, 30449.79290506721 6851670.857152013 209.3704735738039, 30446.53451657528 6851670.028812023 209.5404746094346, 30444.936419738922 6851670.157148287 209.57047496519982, 30441.79619626759 6851670.744370202 209.77047557614745, 30439.840926651726 6851671.135742666 210.16047594867646, 30438.03067602485 6851671.563652893 210.30047627836467, 30436.32521670591 6851671.221919914 210.47047679431736, 30434.516401414527 6851671.345255134 210.57047720596194, 30432.320187560108 6851671.668119178 210.54047765672206, 30431.191854557663 6851671.766044822 210.5004779100418, 30430.09657696588 6851674.193035989 210.6704775002599, 30427.786281359906 6851677.383663478 210.95047717802228, 30425.15993061202 6851679.129428767 211.10047733820974, 30422.408903908974 6851680.632958164 211.23047759339215, 30420.666797481128 6851681.7166885985 211.36047771632673, 30418.73022160877 6851681.338929066 211.4704783011973, 30417.255553910218 6851682.724290749 211.62047827325762, 30413.955556095752 6851681.631110501 211.70047939270736, 30410.95697374508 6851680.812368717 211.72048036500811, 30408.248891966243 6851678.928026163 211.62048156268895, 30405.549019642407 6851676.670541237 211.4604828684032, 30402.239103591593 6851675.229252056 211.45048409588637, 30399.72292616812 6851673.645599082 211.3804851669073, 30397.55195220816 6851672.262753973 211.31048609636724, 30397.248836108425 6851671.267055502 211.18048645585776, 30394.89587450394 6851670.010559508 211.1904873946309, 30392.096471132187 6851668.443096394 211.0304885364324, 30390.133991294773 6851667.245936443 210.88048936530947, 30387.80834742001 6851666.504284016 210.7204901587963, 30386.167021881614 6851665.962155783 210.69049072131514, 30386.348733331484 6851667.684679923 210.79049018487333, 30385.241168391192 6851669.234046599 210.93049001909793, 30386.163633081364 6851670.347965338 210.95048947148027, 30385.395639235445 6851670.75737522 211.12048954412342, 30384.90941266314 6851671.376266026 211.16048948824405, 30383.44545056182 6851670.358948221 211.0704901457578, 30382.729930975882 6851669.26182222 211.00049063563347, 30381.141368443496 6851668.317912132 210.9804913005978, 30377.153621410427 6851665.582715651 210.88049307756125, 30375.0672395688 6851664.267226991 210.7904939753562, 30371.51692876313 6851662.092248229 210.7404954840988, 30369.236408057215 6851660.656758775 210.68049646757544, 30366.81385008566 6851659.049048077 210.5904975385964, 30365.846991193772 6851658.59506118 210.57049791112541, 30366.128446422983 6851657.620877091 210.54049811974167, 30365.74133432086 6851656.050450633 210.30049866735936, 30363.781369880482 6851655.856290769 210.27049921683968, 30361.102765517193 6851654.227233617 210.17050035677852, 30360.17973237054 6851653.85744135 210.17050069764258, 30358.25038151641 6851652.351383333 210.18050161592663, 30354.741595192172 6851650.204558838 210.05050312280656, 30351.23388973385 6851649.286390029 210.06050427392125, 30350.58586718497 6851649.273556871 209.97050443969667)</t>
  </si>
  <si>
    <t>POLYGON Z ((30350.58586718497 6851649.273556871 209.97050443969667, 30335.095131132693 6851637.44699186 209.87051179528237, 30333.10279356595 6851637.685664206 209.83051223486663, 30331.66097510798 6851637.6573946355 209.84051261112094, 30330.52810906584 6851637.801064627 209.92051285699011, 30328.57543808146 6851636.715325032 209.98051367096605, 30327.72399895388 6851635.805897416 209.84051415339113, 30325.775164048828 6851634.945102657 209.87051490403712, 30324.00212923094 6851633.440226253 209.7805157943815, 30321.783518030425 6851632.063934035 209.82051676295697, 30320.804405835108 6851631.047962322 209.74051731429995, 30320.579032627575 6851629.951445779 209.61051769241692, 30321.3919617472 6851628.137972582 209.29051801092922, 30322.395547819964 6851624.765238494 208.95051873736085, 30323.676262500114 6851621.17422691 208.61051945634188, 30323.70541102084 6851617.292185715 208.56052057765424, 30323.916038934316 6851614.185735713 208.22052142888307, 30326.591827750846 6851613.628115684 208.2405209017545, 30344.339102812926 6851607.300248865 208.0105181469023, 30365.76141144475 6851597.324610881 207.67051546283068, 30379.66212675965 6851590.790232062 207.42051371566953, 30381.567500892736 6851590.033635145 207.52051343627275, 30411.70236121345 6851580.9524265025 207.54050816871225, 30437.019944686443 6851580.477909162 207.72050174444914, 30440.403075130424 6851584.659928108 207.73049971975388, 30467.63808854035 6851632.240943418 208.2804797540605, 30467.619691605214 6851640.732279535 208.3704774387926, 30459.364366218157 6851655.389062416 208.8504754755646, 30458.050124945526 6851658.184180495 208.8804750303924, 30457.012787240616 6851659.814102604 208.9104748404026, 30456.546465715976 6851661.602686908 208.95047446228565, 30456.48620401317 6851662.264780742 208.99047429464758, 30456.794817003247 6851664.206690576 209.04047368369996, 30457.521017821913 6851665.854760928 209.14047304853798, 30456.71844212903 6851666.956556153 209.13047294422984, 30455.28865560115 6851666.622212882 209.0804733875394, 30453.69752899307 6851667.471085837 209.06047354958952, 30452.380465775554 6851667.921737823 209.13047374889254, 30450.762332366023 6851669.518346074 209.25047370418906, 30449.79290506721 6851670.857152013 209.3704735738039, 30446.53451657528 6851670.028812023 209.5404746094346, 30444.936419738922 6851670.157148287 209.57047496519982, 30441.79619626759 6851670.744370202 209.77047557614745, 30439.840926651726 6851671.135742666 210.16047594867646, 30438.03067602485 6851671.563652893 210.30047627836467, 30436.32521670591 6851671.221919914 210.47047679431736, 30434.516401414527 6851671.345255134 210.57047720596194, 30432.320187560108 6851671.668119178 210.54047765672206, 30431.191854557663 6851671.766044822 210.5004779100418, 30430.09657696588 6851674.193035989 210.6704775002599, 30427.786281359906 6851677.383663478 210.95047717802228, 30425.15993061202 6851679.129428767 211.10047733820974, 30422.408903908974 6851680.632958164 211.23047759339215, 30420.666797481128 6851681.7166885985 211.36047771632673, 30418.73022160877 6851681.338929066 211.4704783011973, 30417.255553910218 6851682.724290749 211.62047827325762, 30413.955556095752 6851681.631110501 211.70047939270736, 30410.95697374508 6851680.812368717 211.72048036500811, 30408.248891966243 6851678.928026163 211.62048156268895, 30405.549019642407 6851676.670541237 211.4604828684032, 30402.239103591593 6851675.229252056 211.45048409588637, 30399.72292616812 6851673.645599082 211.3804851669073, 30397.55195220816 6851672.262753973 211.31048609636724, 30397.248836108425 6851671.267055502 211.18048645585776, 30394.89587450394 6851670.010559508 211.1904873946309, 30392.096471132187 6851668.443096394 211.0304885364324, 30390.133991294773 6851667.245936443 210.88048936530947, 30387.80834742001 6851666.504284016 210.7204901587963, 30386.167021881614 6851665.962155783 210.69049072131514, 30386.348733331484 6851667.684679923 210.79049018487333, 30385.241168391192 6851669.234046599 210.93049001909793, 30386.163633081364 6851670.347965338 210.95048947148027, 30385.395639235445 6851670.75737522 211.12048954412342, 30384.90941266314 6851671.376266026 211.16048948824405, 30383.44545056182 6851670.358948221 211.0704901457578, 30382.729930975882 6851669.26182222 211.00049063563347, 30381.141368443496 6851668.317912132 210.9804913005978, 30377.153621410427 6851665.582715651 210.88049307756125, 30375.0672395688 6851664.267226991 210.7904939753562, 30371.51692876313 6851662.092248229 210.7404954840988, 30369.236408057215 6851660.656758775 210.68049646757544, 30366.81385008566 6851659.049048077 210.5904975385964, 30365.846991193772 6851658.59506118 210.57049791112541, 30366.128446422983 6851657.620877091 210.54049811974167, 30365.74133432086 6851656.050450633 210.30049866735936, 30363.781369880482 6851655.856290769 210.27049921683968, 30361.102765517193 6851654.227233617 210.17050035677852, 30360.17973237054 6851653.85744135 210.17050069764258, 30358.25038151641 6851652.351383333 210.18050161592663, 30354.741595192172 6851650.204558838 210.05050312280656, 30351.23388973385 6851649.286390029 210.06050427392125, 30350.58586718497 6851649.273556871 209.97050443969667))</t>
  </si>
  <si>
    <t>2023-07-16</t>
  </si>
  <si>
    <t>['EV16 S47D40 m5062-5185']</t>
  </si>
  <si>
    <t>LINESTRING (236454.1164939158 6663713.267391676, 236466.5022752133 6663781.413750057, 236475.66633943323 6663833.91680816)</t>
  </si>
  <si>
    <t>POLYGON ((236466.01002220524 6663781.501442859, 236475.17378606313 6663834.002780118, 236476.15889280333 6663833.830836202, 236466.9948285834 6663781.327778099, 236466.9942158411 6663781.324338544, 236454.6084345436 6663713.177980163, 236453.62455328798 6663713.356803189, 236466.01002220524 6663781.501442859))</t>
  </si>
  <si>
    <t>2023-12-04</t>
  </si>
  <si>
    <t>['EV18 S55D105 m2112-2197']</t>
  </si>
  <si>
    <t>LINESTRING Z (258744.97228133792 6650177.988520981 0.1539613306522369, 258741.1482177038 6650182.536553921 0.1539551913738251, 258731.84644129546 6650189.255238953 0.1539440602064133, 258722.8547241003 6650201.55560078 0.1539281755685806, 258718.10048282513 6650200.935414469 0.1539260298013687, 258690.29850667025 6650237.216313635 0.1538782566785812, 258685.75097153778 6650240.317245187 0.1538729220628738, 258679.54978726583 6650216.956894161 0.153890073299408, 258681.20343640502 6650214.269420149 0.1538933962583542, 258690.71191895634 6650216.956894163 0.1538964062929153, 258696.39633787223 6650211.685310522 0.1539042741060257, 258688.334798319 6650204.243074798 0.1539062857627869, 258688.12809217707 6650195.560466449 0.1539138555526733, 258725.8519631656 6650186.877858099 0.1539427638053894, 258741.2515707749 6650175.094318194 0.1539617776870728, 258744.95161072502 6650177.940821304 0.1539613604545593)</t>
  </si>
  <si>
    <t>POLYGON Z ((258744.97228133792 6650177.988520981 0.1539613306522369, 258741.1482177038 6650182.536553921 0.1539551913738251, 258731.84644129546 6650189.255238953 0.1539440602064133, 258722.8547241003 6650201.55560078 0.1539281755685806, 258718.10048282513 6650200.935414469 0.1539260298013687, 258690.29850667025 6650237.216313635 0.1538782566785812, 258685.75097153778 6650240.317245187 0.1538729220628738, 258679.54978726583 6650216.956894161 0.153890073299408, 258681.20343640502 6650214.269420149 0.1538933962583542, 258690.71191895634 6650216.956894163 0.1538964062929153, 258696.39633787223 6650211.685310522 0.1539042741060257, 258688.334798319 6650204.243074798 0.1539062857627869, 258688.12809217707 6650195.560466449 0.1539138555526733, 258725.8519631656 6650186.877858099 0.1539427638053894, 258741.2515707749 6650175.094318194 0.1539617776870728, 258744.95161072502 6650177.940821304 0.1539613604545593, 258744.97228133792 6650177.988520981 0.1539613306522369))</t>
  </si>
  <si>
    <t>2024-02-29</t>
  </si>
  <si>
    <t>2025-11-22T09:45:59Z</t>
  </si>
  <si>
    <t>['FV618 S4D10 m3243-3278']</t>
  </si>
  <si>
    <t>LINESTRING (26495.317383042362 6899218.838942464, 26505.74417155079 6899217.375204622)</t>
  </si>
  <si>
    <t>['FV60 S12D1 m2382-2415']</t>
  </si>
  <si>
    <t>LINESTRING (65378.72229633591 6904067.505999371, 65391.317997078295 6904093.59827714, 65399.73165624851 6904108.240148387, 65409.864875783154 6904125.711079599, 65420.62316818186 6904140.894626329)</t>
  </si>
  <si>
    <t>POLYGON ((65390.86771740034 6904093.8156436775, 65390.88447463771 6904093.847392161, 65399.29813380792 6904108.489263408, 65399.29914150731 6904108.491008903, 65409.43236104196 6904125.961940115, 65409.456905117884 6904126.000146955, 65420.21519751659 6904141.183693685, 65421.03113884713 6904140.605558973, 65410.28598688991 6904125.440557798, 65400.16467664005 6904107.9901596755, 65391.760468379594 6904093.364735375, 65379.172576013865 6904067.288632834, 65378.27201665795 6904067.7233659085, 65390.86771740034 6904093.8156436775))</t>
  </si>
  <si>
    <t>['EV134 S39D1 m451 KD1 m0-12', 'EV134 S39D1 m451 KD1 m18-92']</t>
  </si>
  <si>
    <t>LINESTRING Z (175595.57 6616172.2 23.31, 175595.2 6616173.65 23.31, 175594.61 6616175.25 23.3, 175594.12 6616176.27 23.3, 175593.4 6616177.55 23.3, 175592.24 6616179.1 23.3, 175590.77000000002 6616180.65 23.29, 175590.14 6616181.13 23.28, 175589.16999999998 6616181.88 23.27, 175588.03 6616182.62 23.26, 175586.58000000002 6616183.25 23.26, 175585.18 6616183.73 23.25, 175583.59 6616184.12 23.25, 175582.73 6616184.25 23.240000000000002, 175581.74 6616184.36 23.240000000000002, 175580.86 6616184.34 23.240000000000002, 175579.97 6616184.26 23.240000000000002, 175579.12 6616184.16 23.240000000000002, 175577.63 6616183.84 23.240000000000002, 175576.13 6616183.43 23.240000000000002, 175574.88 6616182.89 23.25, 175573.71 6616182.28 23.26, 175572.39 6616181.46 23.27, 175571.08000000002 6616180.48 23.27, 175570.11 6616179.48 23.27, 175569.46 6616178.66 23.27, 175568.61 6616177.34 23.27, 175567.76 6616175.79 23.27, 175567.25 6616174.4 23.27, 175566.82 6616172.95 23.27, 175566.6 6616171.4 23.27, 175566.49 6616170.05 23.27, 175566.47 6616168.93 23.27, 175566.54 6616167.84 23.26, 175566.66999999998 6616166.76 23.26, 175566.98 6616165.38 23.26, 175567.35 6616164.45 23.26, 175567.87 6616163.23 23.27, 175568.56 6616161.85 23.27, 175569.5 6616160.52 23.28, 175570.3 6616159.53 23.29, 175571.58000000002 6616158.26 23.28, 175572.6 6616157.53 23.27, 175574.13 6616156.64 23.27, 175575.61 6616155.93 23.26, 175577.3 6616155.4 23.26, 175578.8 6616155.06 23.25, 175580.01 6616154.91 23.25, 175581.06 6616154.86 23.25, 175582.03 6616154.85 23.25, 175583.38 6616155.04 23.26, 175584.63 6616155.3 23.26, 175585.91999999998 6616155.74 23.26, 175587.16999999998 6616156.26 23.26, 175588.29 6616156.82 23.26, 175589.29 6616157.42 23.26, 175590.62 6616158.37 23.27, 175591.78 6616159.65 23.26, 175592.83000000002 6616160.88 23.240000000000002, 175593.83000000002 6616162.45 23.240000000000002, 175594.66 6616163.99 23.23, 175595.18 6616165.48 23.26, 175595.46 6616166.71 23.28, 175595.66 6616168.22 23.3, 175595.74 6616169.72 23.32, 175595.73 6616171 23.32, 175595.57 6616172.2 23.31)</t>
  </si>
  <si>
    <t>POLYGON Z ((175595.57 6616172.2 23.31, 175595.2 6616173.65 23.31, 175594.61 6616175.25 23.3, 175594.12 6616176.27 23.3, 175593.4 6616177.55 23.3, 175592.24 6616179.1 23.3, 175590.77000000002 6616180.65 23.29, 175590.14 6616181.13 23.28, 175589.16999999998 6616181.88 23.27, 175588.03 6616182.62 23.26, 175586.58000000002 6616183.25 23.26, 175585.18 6616183.73 23.25, 175583.59 6616184.12 23.25, 175582.73 6616184.25 23.240000000000002, 175581.74 6616184.36 23.240000000000002, 175580.86 6616184.34 23.240000000000002, 175579.97 6616184.26 23.240000000000002, 175579.12 6616184.16 23.240000000000002, 175577.63 6616183.84 23.240000000000002, 175576.13 6616183.43 23.240000000000002, 175574.88 6616182.89 23.25, 175573.71 6616182.28 23.26, 175572.39 6616181.46 23.27, 175571.08000000002 6616180.48 23.27, 175570.11 6616179.48 23.27, 175569.46 6616178.66 23.27, 175568.61 6616177.34 23.27, 175567.76 6616175.79 23.27, 175567.25 6616174.4 23.27, 175566.82 6616172.95 23.27, 175566.6 6616171.4 23.27, 175566.49 6616170.05 23.27, 175566.47 6616168.93 23.27, 175566.54 6616167.84 23.26, 175566.66999999998 6616166.76 23.26, 175566.98 6616165.38 23.26, 175567.35 6616164.45 23.26, 175567.87 6616163.23 23.27, 175568.56 6616161.85 23.27, 175569.5 6616160.52 23.28, 175570.3 6616159.53 23.29, 175571.58000000002 6616158.26 23.28, 175572.6 6616157.53 23.27, 175574.13 6616156.64 23.27, 175575.61 6616155.93 23.26, 175577.3 6616155.4 23.26, 175578.8 6616155.06 23.25, 175580.01 6616154.91 23.25, 175581.06 6616154.86 23.25, 175582.03 6616154.85 23.25, 175583.38 6616155.04 23.26, 175584.63 6616155.3 23.26, 175585.91999999998 6616155.74 23.26, 175587.16999999998 6616156.26 23.26, 175588.29 6616156.82 23.26, 175589.29 6616157.42 23.26, 175590.62 6616158.37 23.27, 175591.78 6616159.65 23.26, 175592.83000000002 6616160.88 23.240000000000002, 175593.83000000002 6616162.45 23.240000000000002, 175594.66 6616163.99 23.23, 175595.18 6616165.48 23.26, 175595.46 6616166.71 23.28, 175595.66 6616168.22 23.3, 175595.74 6616169.72 23.32, 175595.73 6616171 23.32, 175595.57 6616172.2 23.31))</t>
  </si>
  <si>
    <t>2024-11-12</t>
  </si>
  <si>
    <t>['EV6 S3D1 m10505-10640', 'EV6 S3D1 m10640-11481', 'EV6 S4D1 m0-62']</t>
  </si>
  <si>
    <t>LINESTRING (277645.3 6575197.600000001, 277664.8 6575141.390000001, 277646.37 6575118.640000001, 277724.16000000003 6575003.0600000005, 277784.52 6575029.0200000005, 277751.26 6575133.43, 277733.74 6575155.73, 277687.67 6575286.44, 277682.66000000003 6575316.0200000005, 277830.98 6575447.75, 277817 6575463.17, 277871.98 6575514.21, 277902.462 6575522.174000001, 277890.695 6575566.372, 277872.42 6575567.46, 277832.83 6575582.16, 277823.21 6575591.21, 277806.82 6575612.86, 277766.31 6575598.3, 277741.21 6575583.29, 277699.58 6575586.8, 277660.3 6575586.2, 277620.61 6575580.99, 277595.3 6575724.68, 277576.42 6575894.91, 277570.45 6576025.7, 277497.78 6576023.390000001, 277498.12 6575988.68, 277497.81 6575943.19, 277504 6575801.44, 277503.12 6575756.350000001, 277495.77 6575725.8100000005, 277476.54 6575698.100000001, 277438.65 6575659.640000001, 277412.63 6575626.84, 277401.32 6575583.29, 277389.05 6575587.5, 277377.12 6575564.21, 277368.52 6575523.350000001, 277375.42 6575478.42, 277410.94 6575475.28, 277434.12 6575462.2700000005, 277465.79 6575463.96, 277488.98 6575475.28, 277512.73 6575479.23, 277553.45 6575483.19, 277570.98 6575403.45, 277574.84 6575336.95, 277606.09 6575308.54, 277623.7 6575265.36, 277645.3 6575197.600000001)</t>
  </si>
  <si>
    <t>POLYGON ((277645.3 6575197.600000001, 277664.8 6575141.390000001, 277646.37 6575118.640000001, 277724.16000000003 6575003.0600000005, 277784.52 6575029.0200000005, 277751.26 6575133.43, 277733.74 6575155.73, 277687.67 6575286.44, 277682.66000000003 6575316.0200000005, 277830.98 6575447.75, 277817 6575463.17, 277871.98 6575514.21, 277902.462 6575522.174000001, 277890.695 6575566.372, 277872.42 6575567.46, 277832.83 6575582.16, 277823.21 6575591.21, 277806.82 6575612.86, 277766.31 6575598.3, 277741.21 6575583.29, 277699.58 6575586.8, 277660.3 6575586.2, 277620.61 6575580.99, 277595.3 6575724.68, 277576.42 6575894.91, 277570.45 6576025.7, 277497.78 6576023.390000001, 277498.12 6575988.68, 277497.81 6575943.19, 277504 6575801.44, 277503.12 6575756.350000001, 277495.77 6575725.8100000005, 277476.54 6575698.100000001, 277438.65 6575659.640000001, 277412.63 6575626.84, 277401.32 6575583.29, 277389.05 6575587.5, 277377.12 6575564.21, 277368.52 6575523.350000001, 277375.42 6575478.42, 277410.94 6575475.28, 277434.12 6575462.2700000005, 277465.79 6575463.96, 277488.98 6575475.28, 277512.73 6575479.23, 277553.45 6575483.19, 277570.98 6575403.45, 277574.84 6575336.95, 277606.09 6575308.54, 277623.7 6575265.36, 277645.3 6575197.600000001))</t>
  </si>
  <si>
    <t>[96456]</t>
  </si>
  <si>
    <t>['PV96456 S1D1 m348-382']</t>
  </si>
  <si>
    <t>LINESTRING (-37017.9431607126 6736799.465925995, -37039.0772684078 6736796.494538692, -37032.24044892914 6736800.115475103, -37022.964887593174 6736803.970144228, -37012.34417441115 6736811.804929649, -36998.28039935359 6736826.616978813, -36991.851402697735 6736838.526545996, -36980.70154065965 6736843.886225244, -36972.76155676786 6736842.855337325, -36968.423604487674 6736835.763833865, -36965.69942199916 6736822.935526904, -36964.297918353346 6736812.249162798, -36972.24810921564 6736812.241810236, -36989.17595724645 6736814.324891612, -37001.00318860065 6736814.446184633, -37005.03799468395 6736813.558669419, -37005.9587903315 6736810.396534291, -37010.53557845636 6736809.884035173, -37015.79964705778 6736799.743870486)</t>
  </si>
  <si>
    <t>POLYGON ((-37017.9431607126 6736799.465925995, -37039.0772684078 6736796.494538692, -37032.24044892914 6736800.115475103, -37022.964887593174 6736803.970144228, -37012.34417441115 6736811.804929649, -36998.28039935359 6736826.616978813, -36991.851402697735 6736838.526545996, -36980.70154065965 6736843.886225244, -36972.76155676786 6736842.855337325, -36968.423604487674 6736835.763833865, -36965.69942199916 6736822.935526904, -36964.297918353346 6736812.249162798, -36972.24810921564 6736812.241810236, -36989.17595724645 6736814.324891612, -37001.00318860065 6736814.446184633, -37005.03799468395 6736813.558669419, -37005.9587903315 6736810.396534291, -37010.53557845636 6736809.884035173, -37015.79964705778 6736799.743870486, -37017.9431607126 6736799.465925995))</t>
  </si>
  <si>
    <t>[97582]</t>
  </si>
  <si>
    <t>['PV97582 S1D1 m15-23']</t>
  </si>
  <si>
    <t>LINESTRING (-37061.78133266803 6736858.132026793, -37061.53351847944 6736851.799944506, -37062.20598544716 6736848.318079644, -37059.123724099714 6736844.86149103, -37057.04369338858 6736838.707035134, -37059.473319784855 6736833.533197871, -37055.24618615676 6736834.696986505, -37053.70864226192 6736838.953400716, -37047.52945680346 6736841.169695625, -37048.41718088917 6736846.252735198, -37038.17668976216 6736847.555592184, -37033.2799179022 6736827.21400463, -37041.62501904857 6736823.525147747, -37039.64228503883 6736819.781208832, -37036.49876760726 6736818.711398451, -37029.40509671054 6736823.039762401, -37022.79768210952 6736830.130727866, -37020.26767813915 6736837.9906092165, -37020.07983295689 6736844.246121647, -37021.90937386535 6736850.057887256, -37025.47622883972 6736856.2880847575, -37030.83944408351 6736860.527037286, -37047.751612844644 6736858.7203584695, -37063.39421342185 6736858.373615006)</t>
  </si>
  <si>
    <t>POLYGON ((-37061.78133266803 6736858.132026793, -37061.53351847944 6736851.799944506, -37062.20598544716 6736848.318079644, -37059.123724099714 6736844.86149103, -37057.04369338858 6736838.707035134, -37059.473319784855 6736833.533197871, -37055.24618615676 6736834.696986505, -37053.70864226192 6736838.953400716, -37047.52945680346 6736841.169695625, -37048.41718088917 6736846.252735198, -37038.17668976216 6736847.555592184, -37033.2799179022 6736827.21400463, -37041.62501904857 6736823.525147747, -37039.64228503883 6736819.781208832, -37036.49876760726 6736818.711398451, -37029.40509671054 6736823.039762401, -37022.79768210952 6736830.130727866, -37020.26767813915 6736837.9906092165, -37020.07983295689 6736844.246121647, -37021.90937386535 6736850.057887256, -37025.47622883972 6736856.2880847575, -37030.83944408351 6736860.527037286, -37047.751612844644 6736858.7203584695, -37063.39421342185 6736858.373615006, -37061.78133266803 6736858.132026793))</t>
  </si>
  <si>
    <t>2025-07-08</t>
  </si>
  <si>
    <t>['EV39 S123D1 m280 KD1 m0-100']</t>
  </si>
  <si>
    <t>LINESTRING Z (56902.571512456285 6457106.422478298 5.34, 56902.44741994131 6457106.836072041 5.32, 56902.16126514954 6457107.576081905 5.32, 56901.80611746822 6457108.332312584 5.33, 56901.41210896836 6457108.991382221 5.3100000000000005, 56900.94732546504 6457109.646705835 5.29, 56900.428169576684 6457110.256567626 5.3, 56899.84554893593 6457110.831842072 5.3, 56899.227631694 6457111.349889162 5.2700000000000005, 56898.58440127148 6457111.809817842 5.26, 56897.92584108823 6457112.210737051 5.22, 56897.20203403535 6457112.557102073 5.2, 56896.47288064181 6457112.8435665695 5.15, 56895.7166319504 6457113.051945809 5.13, 56894.91510322876 6457113.203988741 5.12, 56894.108228164725 6457113.296131147 5.08, 56893.296006756544 6457113.3283730205 5.04, 56892.47754794854 6457113.290730938 4.97, 56891.69456754188 6457113.1996075185 4.9, 56890.91355104523 6457113.017742243 4.95, 56890.15892058535 6457112.793270106 4.86, 56889.44796983892 6457112.494458731 4.8, 56888.77338855353 6457112.152149436 4.78, 56888.080804336234 6457111.720880386 4.72, 56887.40284062474 6457111.227928692 4.7, 56886.80207112356 6457110.697898268 4.67, 56886.24765451066 6457110.12347887 4.61, 56885.72960736422 6457109.505561549 4.5600000000000005, 56885.279662066256 6457108.861439988 4.53, 56884.884270971466 6457108.152071548 4.51, 56884.56232806278 6457107.476399401 4.5, 56884.29315724783 6457106.715513533 4.43, 56884.08121380751 6457105.919331058 4.43, 56883.9291709098 6457105.117802246 4.42, 56883.85057620052 6457104.349969735 4.4, 56883.84008334589 6457103.555932987 4.38, 56883.89680129103 6457102.725708583 4.33, 56884.02518531366 6457101.909213636 4.37, 56884.186192776775 6457101.119995792 4.3100000000000005, 56884.42510370328 6457100.414391372 4.34, 56884.73478964943 6457099.712532992 4.3500000000000005, 56885.13165323972 6457098.97270485 4.36, 56885.592872646 6457098.277447497 4.36, 56886.07762312039 6457097.6203417275 4.3500000000000005, 56886.60765361792 6457097.019572283 4.38, 56887.13572018751 6457096.509544705 4.43, 56887.73812599055 6457096.043196861 4.44, 56888.45302260551 6457095.596997683 4.46, 56889.163282124384 6457095.211590104 4.48, 56889.86979560094 6457094.896957538 4.53, 56890.66063172743 6457094.625113656 4.5600000000000005, 56891.408679175016 6457094.437592428 4.57, 56892.23284795688 6457094.313717777 4.63, 56893.020647263154 6457094.233341035 4.67, 56893.84641632222 6457094.240141929 4.69, 56894.60675669415 6457094.303097319 4.74, 56895.394192342064 6457094.444137972 4.79, 56896.186974312935 6457094.64507916 4.83, 56896.95426128642 6457094.898610614 4.84, 56897.687851951225 6457095.22559024 4.92, 56898.34424840147 6457095.5896485625 4.95, 56899.041287771775 6457096.070834778 4.97, 56899.691083195794 6457096.586426527 5.04, 56900.24015334778 6457097.1009454 5.0600000000000005, 56900.778167204815 6457097.717080589 5.08, 56901.258062643756 6457098.3585289465 5.13, 56901.69249625137 6457099.05434968 5.15, 56902.05526380171 6457099.736440955 5.23, 56902.363477157254 6457100.483779079 5.22, 56902.60269762232 6457101.247338011 5.28, 56902.779344398296 6457101.986293006 5.2700000000000005, 56902.893235671916 6457102.811352754 5.2700000000000005, 56902.942771146365 6457103.591841728 5.29, 56902.917785588594 6457104.439359671 5.34, 56902.85661238432 6457105.219666835 5.33, 56902.78796511516 6457105.577997134 5.33, 56902.571512456285 6457106.422478298 5.34)</t>
  </si>
  <si>
    <t>POLYGON Z ((56902.571512456285 6457106.422478298 5.34, 56902.44741994131 6457106.836072041 5.32, 56902.16126514954 6457107.576081905 5.32, 56901.80611746822 6457108.332312584 5.33, 56901.41210896836 6457108.991382221 5.3100000000000005, 56900.94732546504 6457109.646705835 5.29, 56900.428169576684 6457110.256567626 5.3, 56899.84554893593 6457110.831842072 5.3, 56899.227631694 6457111.349889162 5.2700000000000005, 56898.58440127148 6457111.809817842 5.26, 56897.92584108823 6457112.210737051 5.22, 56897.20203403535 6457112.557102073 5.2, 56896.47288064181 6457112.8435665695 5.15, 56895.7166319504 6457113.051945809 5.13, 56894.91510322876 6457113.203988741 5.12, 56894.108228164725 6457113.296131147 5.08, 56893.296006756544 6457113.3283730205 5.04, 56892.47754794854 6457113.290730938 4.97, 56891.69456754188 6457113.1996075185 4.9, 56890.91355104523 6457113.017742243 4.95, 56890.15892058535 6457112.793270106 4.86, 56889.44796983892 6457112.494458731 4.8, 56888.77338855353 6457112.152149436 4.78, 56888.080804336234 6457111.720880386 4.72, 56887.40284062474 6457111.227928692 4.7, 56886.80207112356 6457110.697898268 4.67, 56886.24765451066 6457110.12347887 4.61, 56885.72960736422 6457109.505561549 4.5600000000000005, 56885.279662066256 6457108.861439988 4.53, 56884.884270971466 6457108.152071548 4.51, 56884.56232806278 6457107.476399401 4.5, 56884.29315724783 6457106.715513533 4.43, 56884.08121380751 6457105.919331058 4.43, 56883.9291709098 6457105.117802246 4.42, 56883.85057620052 6457104.349969735 4.4, 56883.84008334589 6457103.555932987 4.38, 56883.89680129103 6457102.725708583 4.33, 56884.02518531366 6457101.909213636 4.37, 56884.186192776775 6457101.119995792 4.3100000000000005, 56884.42510370328 6457100.414391372 4.34, 56884.73478964943 6457099.712532992 4.3500000000000005, 56885.13165323972 6457098.97270485 4.36, 56885.592872646 6457098.277447497 4.36, 56886.07762312039 6457097.6203417275 4.3500000000000005, 56886.60765361792 6457097.019572283 4.38, 56887.13572018751 6457096.509544705 4.43, 56887.73812599055 6457096.043196861 4.44, 56888.45302260551 6457095.596997683 4.46, 56889.163282124384 6457095.211590104 4.48, 56889.86979560094 6457094.896957538 4.53, 56890.66063172743 6457094.625113656 4.5600000000000005, 56891.408679175016 6457094.437592428 4.57, 56892.23284795688 6457094.313717777 4.63, 56893.020647263154 6457094.233341035 4.67, 56893.84641632222 6457094.240141929 4.69, 56894.60675669415 6457094.303097319 4.74, 56895.394192342064 6457094.444137972 4.79, 56896.186974312935 6457094.64507916 4.83, 56896.95426128642 6457094.898610614 4.84, 56897.687851951225 6457095.22559024 4.92, 56898.34424840147 6457095.5896485625 4.95, 56899.041287771775 6457096.070834778 4.97, 56899.691083195794 6457096.586426527 5.04, 56900.24015334778 6457097.1009454 5.0600000000000005, 56900.778167204815 6457097.717080589 5.08, 56901.258062643756 6457098.3585289465 5.13, 56901.69249625137 6457099.05434968 5.15, 56902.05526380171 6457099.736440955 5.23, 56902.363477157254 6457100.483779079 5.22, 56902.60269762232 6457101.247338011 5.28, 56902.779344398296 6457101.986293006 5.2700000000000005, 56902.893235671916 6457102.811352754 5.2700000000000005, 56902.942771146365 6457103.591841728 5.29, 56902.917785588594 6457104.439359671 5.34, 56902.85661238432 6457105.219666835 5.33, 56902.78796511516 6457105.577997134 5.33, 56902.571512456285 6457106.422478298 5.34))</t>
  </si>
  <si>
    <t>2025-09-30</t>
  </si>
  <si>
    <t>[2]</t>
  </si>
  <si>
    <t>['RV2 S14D120 m3136-3140']</t>
  </si>
  <si>
    <t>LINESTRING (313410.29611244274 6752351.906106293, 313450.9587478527 6752247.764066041, 313494.7181110999 6752146.955052548, 313543.93391413253 6752049.938773681, 313581.2324171421 6751948.298500095)</t>
  </si>
  <si>
    <t>POLYGON ((313451.4211126482 6752247.954606631, 313495.1707961587 6752147.167892473, 313544.37981913635 6752050.164978738, 313544.4033068935 6752050.111024765, 313581.701809903 6751948.470751178, 313580.7630243811 6751948.126249011, 313543.4746750406 6752049.738853345, 313494.2722060961 6752146.728847492, 313494.25945862697 6752146.755959833, 313450.5000953798 6752247.564973326, 313450.492992129 6752247.582210039, 313409.83035671903 6752351.724250291, 313410.76186816645 6752352.087962296, 313451.4211126482 6752247.954606631))</t>
  </si>
  <si>
    <t>2025-11-19</t>
  </si>
  <si>
    <t>[1775]</t>
  </si>
  <si>
    <t>['KV1775 S1D1 m505-517']</t>
  </si>
  <si>
    <t>LINESTRING (-58623.65574259672 6609625.136089729, -58630.96271033317 6609614.921833888)</t>
  </si>
  <si>
    <t>POINT (-58627.30922646494 6609620.028961808)</t>
  </si>
  <si>
    <t>2025-11-20</t>
  </si>
  <si>
    <t>[1589]</t>
  </si>
  <si>
    <t>['KV1589 S1D1 m57-68']</t>
  </si>
  <si>
    <t>LINESTRING (-51194.290672551724 6611580.525443897, -51201.57377112587 6611570.298193392)</t>
  </si>
  <si>
    <t>POINT (-51197.9322218388 6611575.411818644)</t>
  </si>
  <si>
    <t>Trekkekum</t>
  </si>
  <si>
    <t>2014-06-01</t>
  </si>
  <si>
    <t>2025-11-22T10:27:20Z</t>
  </si>
  <si>
    <t>[254]</t>
  </si>
  <si>
    <t>['FV254 S2D1 m7919']</t>
  </si>
  <si>
    <t>LINESTRING Z (248220.16 6806533.14 190.494, 248221.01 6806533.39 190.514, 248220.62 6806534.91 190.494, 248219.75 6806534.72 190.504, 248220.16 6806533.14 190.494)</t>
  </si>
  <si>
    <t>POINT (248220.37936908123 6806534.039306887)</t>
  </si>
  <si>
    <t>['FV254 S2D1 m7898']</t>
  </si>
  <si>
    <t>LINESTRING Z (248242.08 6806499.74 190.544, 248242.94 6806499.93 190.544, 248243.34 6806498.38 190.524, 248242.48 6806498.19 190.534, 248242.08 6806499.74 190.544)</t>
  </si>
  <si>
    <t>POINT (248242.71000000005 6806499.0600000005)</t>
  </si>
  <si>
    <t>['FV254 S2D1 m7934']</t>
  </si>
  <si>
    <t>LINESTRING Z (248231.47 6806544.54 190.674, 248230.62 6806544.31 190.644, 248230.18 6806545.83 190.614, 248231.06 6806546.05 190.614, 248231.47 6806544.54 190.674)</t>
  </si>
  <si>
    <t>POINT (248230.82980420016 6806545.186165975)</t>
  </si>
  <si>
    <t>[2562]</t>
  </si>
  <si>
    <t>['FV2562 S1D1 m34']</t>
  </si>
  <si>
    <t>LINESTRING Z (248242.43 6806589.33 190.404, 248243.05 6806589.97 190.434, 248244.17 6806588.9 190.444, 248243.56 6806588.28 190.414, 248243.23 6806588.53 190.444, 248242.61 6806587.91 190.414, 248241.52 6806589.03 190.364, 248242.11 6806589.64 190.384, 248243.23 6806588.53 190.444)</t>
  </si>
  <si>
    <t>POINT (248242.83370035942 6806588.94832464)</t>
  </si>
  <si>
    <t>['FV254 S2D1 m8000']</t>
  </si>
  <si>
    <t>LINESTRING Z (248285.23 6806590.05 0.175, 248284.81 6806590.8 102.985, 248282.85 6806589.7 101.025, 248283.28 6806588.92 101.455, 248285.23 6806590.05 0.175)</t>
  </si>
  <si>
    <t>POINT (248284.0378501051 6806589.864350411)</t>
  </si>
  <si>
    <t>['FV254 S2D1 m7999']</t>
  </si>
  <si>
    <t>LINESTRING Z (248283.95 6806587.2 0.175, 248284.38 6806586.46 102.555, 248286.3 6806587.64 104.475, 248285.86 6806588.37 104.035, 248283.95 6806587.2 0.175)</t>
  </si>
  <si>
    <t>POINT (248285.12244004293 6806587.416352267)</t>
  </si>
  <si>
    <t>['FV254 S2D1 m7716']</t>
  </si>
  <si>
    <t>LINESTRING Z (248183.29 6806335.68 0.174, 248184.66 6806335 2.834, 248185.05 6806335.78 3.224, 248183.68 6806336.48 1.854, 248183.29 6806335.68 0.174)</t>
  </si>
  <si>
    <t>POINT (248184.16781984727 6806335.737016674)</t>
  </si>
  <si>
    <t>['FV254 S2D1 m7825']</t>
  </si>
  <si>
    <t>LINESTRING Z (248259.92 6806431.8 190.154, 248260.58 6806431.24 190.154, 248259.63 6806430.06 190.134, 248258.96 6806430.6 190.144, 248259.92 6806431.8 190.154)</t>
  </si>
  <si>
    <t>POINT (248259.77148262653 6806430.926885764)</t>
  </si>
  <si>
    <t>2025-11-22T10:27:25Z</t>
  </si>
  <si>
    <t>['EV39 S75D300 m91']</t>
  </si>
  <si>
    <t>LINESTRING Z (-29007.4699997902 6743353.58996582 94.587, -29007.9899997711 6743352.13000488 94.587, -29007.1599998474 6743351.79003906 94.597, -29006.6399998665 6743353.31994629 94.607, -29007.4699997902 6743353.65002441 94.587)</t>
  </si>
  <si>
    <t>POINT (-29007.309661953183 6743352.710310426)</t>
  </si>
  <si>
    <t>[5305]</t>
  </si>
  <si>
    <t>['FV5305 S1D1 m47']</t>
  </si>
  <si>
    <t>LINESTRING Z (-28979.0599994659 6743403.33996582 95.367, -28979.8099994659 6743402.80004883 95.377, -28980.3199996948 6743403.5 95.377, -28979.6200008392 6743404.04003906 95.367, -28979.0599994659 6743403.34997559 95.367)</t>
  </si>
  <si>
    <t>POINT (-28979.69718993182 6743403.419047073)</t>
  </si>
  <si>
    <t>['EV39 S75D1 m9237 KD2 m16']</t>
  </si>
  <si>
    <t>LINESTRING Z (-29010.3100004196 6743401.31005859 94.607, -29011.1599998474 6743401.57995606 94.597, -29011.6800003052 6743400.06005859 94.587, -29010.779999733 6743399.73999023 94.577, -29010.2899999619 6743401.31005859 94.607)</t>
  </si>
  <si>
    <t>POINT (-29010.97905950497 6743400.661799552)</t>
  </si>
  <si>
    <t>['EV16 S2D1 m0 KD1 m35']</t>
  </si>
  <si>
    <t>LINESTRING Z (-29046.7900009155 6743327.31005859 94.267, -29045.1899986267 6743327.17004395 94.287, -29045.2400016785 6743326.22998047 94.297, -29046.8600006104 6743326.32995606 94.277, -29046.7900009155 6743327.31005859 94.267)</t>
  </si>
  <si>
    <t>POINT (-29046.026536276637 6743326.758909255)</t>
  </si>
  <si>
    <t>['EV39 S75D300 m90']</t>
  </si>
  <si>
    <t>LINESTRING Z (-29002.6199998856 6743353.14001465 93.827, -29002.7300000191 6743352.34997559 93.787, -29004.2399997711 6743352.57995606 93.827, -29004.1199998856 6743353.36999512 93.857, -29002.6199998856 6743353.14001465 93.827)</t>
  </si>
  <si>
    <t>POINT (-29003.427855853213 6743352.859179801)</t>
  </si>
  <si>
    <t>['EV39 S75D1 m9237 KD6 m322']</t>
  </si>
  <si>
    <t>LINESTRING Z (-29090.9899978638 6743367.92004395 93.767, -29091.3099975586 6743367.09997559 93.747, -29092.7799987793 6743367.72998047 93.727, -29092.4800033569 6743368.52001953 93.727, -29090.9899978638 6743367.92004395 93.767)</t>
  </si>
  <si>
    <t>POINT (-29091.884496642193 6743367.815876395)</t>
  </si>
  <si>
    <t>2022-05-09</t>
  </si>
  <si>
    <t>['EV39 S75D1 m8624']</t>
  </si>
  <si>
    <t>LINESTRING Z (-28924.0599975586 6743488.56994629 93.977, -28923.7600021362 6743487.77001953 93.957, -28925.2099990845 6743487.13000488 93.957, -28925.5599975586 6743487.9699707 93.987, -28924.0599975586 6743488.56994629 93.977)</t>
  </si>
  <si>
    <t>POINT (-28924.656764590818 6743487.8590362845)</t>
  </si>
  <si>
    <t>['EV39 S75D1 m9237 KD2 m172']</t>
  </si>
  <si>
    <t>LINESTRING Z (-28879.8499984741 6743466.35998535 93.357, -28878.4700012207 6743467.15002441 93.367, -28878.0699996948 6743466.38000488 93.387, -28879.4400024414 6743465.56994629 93.367, -28879.8499984741 6743466.35998535 93.357)</t>
  </si>
  <si>
    <t>POINT (-28878.960555790793 6743466.363065504)</t>
  </si>
  <si>
    <t>['EV39 S75D1 m9237 KD2 m140']</t>
  </si>
  <si>
    <t>LINESTRING Z (-28907.9599990845 6743452.11999512 93.447, -28907.1699981689 6743452.47998047 93.447, -28906.7699966431 6743451.66003418 93.437, -28907.5899963379 6743451.34997559 93.457, -28907.9400024414 6743452.13000488 93.467)</t>
  </si>
  <si>
    <t>POINT (-28907.36302407387 6743451.905487391)</t>
  </si>
  <si>
    <t>['EV39 S75D1 m9441']</t>
  </si>
  <si>
    <t>LINESTRING Z (-28883.8700027466 6743477.22998047 93.597, -28883.5500030518 6743476.41003418 93.607, -28882.1100006104 6743476.94995117 93.617, -28882.4100036621 6743477.7800293 93.617, -28883.8799972534 6743477.22998047 93.607)</t>
  </si>
  <si>
    <t>POINT (-28882.98725515496 6743477.095315738)</t>
  </si>
  <si>
    <t>['EV39 S75D1 m8590']</t>
  </si>
  <si>
    <t>LINESTRING Z (-28888.6800003052 6743488.17004395 93.357, -28887.2300033569 6743488.7199707 93.377, -28887.4899978638 6743489.56994629 93.357, -28889 6743488.97998047 93.347, -28888.6699981689 6743488.15002442 93.357)</t>
  </si>
  <si>
    <t>POINT (-28888.101801988436 6743488.863828909)</t>
  </si>
  <si>
    <t>['EV39 S75D1 m8584']</t>
  </si>
  <si>
    <t>LINESTRING Z (-28880.9599990845 6743487.94995117 93.647, -28882.3399963379 6743487.5 93.597, -28882.0800018311 6743486.77001953 93.657, -28880.7200012207 6743487.23999023 93.667, -28880.9599990845 6743487.94995117 93.647)</t>
  </si>
  <si>
    <t>POINT (-28881.529307955658 6743487.3646895485)</t>
  </si>
  <si>
    <t>['EV39 S75D1 m8222']</t>
  </si>
  <si>
    <t>LINESTRING Z (-28539.6099853516 6743596.7199707 85.897, -28538.0700073242 6743597.08996582 85.887, -28537.8999938965 6743596.2199707 85.877, -28539.4299926758 6743595.89001465 85.897, -28539.6099853516 6743596.7199707 85.897)</t>
  </si>
  <si>
    <t>POINT (-28538.746983221743 6743596.482933968)</t>
  </si>
  <si>
    <t>['EV39 S75D1 m10142']</t>
  </si>
  <si>
    <t>LINESTRING Z (-28205.9000244141 6743649.55004883 77.128, -28204.4199829102 6743649.94995117 77.128, -28204.7299804687 6743650.77001953 77.128, -28206.1799926758 6743650.35998535 77.128, -28205.9000244141 6743649.48999023 77.128)</t>
  </si>
  <si>
    <t>POINT (-28205.31233916373 6743650.148045419)</t>
  </si>
  <si>
    <t>['EV39 S75D1 m7928']</t>
  </si>
  <si>
    <t>LINESTRING Z (-28254.6500244141 6743673.68005371 77.468, -28255.3800048828 6743673.34997559 77.468, -28255.7100219727 6743674.20996094 77.448, -28254.9299926758 6743674.51000977 77.448, -28254.5999755859 6743673.68994141 77.458)</t>
  </si>
  <si>
    <t>POINT (-28255.166692128158 6743673.941317484)</t>
  </si>
  <si>
    <t>['EV39 S75D1 m7906']</t>
  </si>
  <si>
    <t>LINESTRING Z (-28229.7800292969 6743666.85998535 76.348, -28231.4000244141 6743666.58996582 76.358, -28231.5 6743667.48999023 76.308, -28229.950012207 6743667.75 76.298, -28229.7800292969 6743666.85998535 76.348)</t>
  </si>
  <si>
    <t>POINT (-28230.656481646976 6743667.1662041815)</t>
  </si>
  <si>
    <t>['EV39 S75D1 m7898']</t>
  </si>
  <si>
    <t>LINESTRING Z (-28221.3900146484 6743665.06994629 76.158, -28221.9400024414 6743664.43005371 76.178, -28223.2199707031 6743665.38000488 76.178, -28222.7600097656 6743666.07995606 76.148, -28221.450012207 6743665.07995606 76.158)</t>
  </si>
  <si>
    <t>POINT (-28222.33393063135 6743665.244726976)</t>
  </si>
  <si>
    <t>['EV39 S75D1 m7974']</t>
  </si>
  <si>
    <t>LINESTRING Z (-28299.5900268555 6743660.86999512 78.738, -28298.0700073242 6743661.2800293 78.718, -28298.2899780273 6743662.11999512 78.698, -28299.8300170898 6743661.69995117 78.738, -28299.5900268555 6743660.86999512 78.738)</t>
  </si>
  <si>
    <t>POINT (-28298.944845710823 6743661.494544454)</t>
  </si>
  <si>
    <t>['EV39 S75D1 m10120']</t>
  </si>
  <si>
    <t>LINESTRING Z (-28226.9600219727 6743646.45996094 77.098, -28225.3900146484 6743646.68005371 77.068, -28225.2600097656 6743645.85998535 77.078, -28226.7899780273 6743645.70996094 77.128, -28226.9600219727 6743646.45996094 77.098)</t>
  </si>
  <si>
    <t>POINT (-28226.090712916906 6743646.182685332)</t>
  </si>
  <si>
    <t>['EV39 S75D1 m7586']</t>
  </si>
  <si>
    <t>LINESTRING Z (-27946.25 6743809.40002441 73.228, -27947.5699462891 6743808.52001953 73.238, -27947.1400146484 6743807.81994629 73.218, -27945.8199462891 6743808.68005371 73.218, -27946.2900390625 6743809.36999512 73.228)</t>
  </si>
  <si>
    <t>POINT (-27946.697105143892 6743808.604411263)</t>
  </si>
  <si>
    <t>['EV39 S75D1 m7642']</t>
  </si>
  <si>
    <t>LINESTRING Z (-27992.0900268555 6743776.81994629 73.718, -27991.4099731445 6743777.38000488 73.708, -27990.8800048828 6743776.67004395 73.718, -27991.5200195313 6743776.15002441 73.728, -27992.0999755859 6743776.84997559 73.718)</t>
  </si>
  <si>
    <t>POINT (-27991.482896710568 6743776.762678305)</t>
  </si>
  <si>
    <t>['EV39 S75D1 m10340']</t>
  </si>
  <si>
    <t>LINESTRING Z (-28032.1599731445 6743745.33996582 73.868, -28032.8400268555 6743744.83996582 73.878, -28032.3599853516 6743744.10998535 73.898, -28031.6400146484 6743744.60998535 73.898, -28032.1599731445 6743745.33996582 73.868)</t>
  </si>
  <si>
    <t>POINT (-28032.24541232526 6743744.723194707)</t>
  </si>
  <si>
    <t>['EV39 S75D1 m7257']</t>
  </si>
  <si>
    <t>LINESTRING Z (-27715.4799804688 6744036.15002441 71.268, -27714.8800048828 6744035.70996094 71.288, -27714.0100097656 6744036.86999512 71.268, -27714.6099853516 6744037.31994629 71.248, -27715.4799804688 6744036.15002441 71.268)</t>
  </si>
  <si>
    <t>POINT (-27714.744952938632 6744036.513661564)</t>
  </si>
  <si>
    <t>['EV39 S75D200 m90']</t>
  </si>
  <si>
    <t>LINESTRING Z (-27716.5200195313 6744048.2800293 70.878, -27715.6999511719 6744049.4699707 70.908, -27715.0699462891 6744049.02001953 70.898, -27715.9100341797 6744047.81994629 70.878, -27716.5200195313 6744048.2800293 70.878)</t>
  </si>
  <si>
    <t>POINT (-27715.797665507587 6744048.647844297)</t>
  </si>
  <si>
    <t>['EV39 S75D1 m7093']</t>
  </si>
  <si>
    <t>LINESTRING Z (-27633.5899658203 6744178.06005859 73.188, -27632.8699951172 6744177.76000977 73.178, -27633.4399414063 6744176.37011719 73.158, -27634.1600341797 6744176.68994141 73.178, -27633.5899658203 6744178.06005859 73.188)</t>
  </si>
  <si>
    <t>POINT (-27633.514039210524 6744177.218209836)</t>
  </si>
  <si>
    <t>['EV39 S75D1 m7525']</t>
  </si>
  <si>
    <t>LINESTRING Z (-27896.5 6743842.09997559 72.648, -27895.1800537109 6743843.0300293 72.638, -27895.7600097656 6743843.81005859 72.638, -27897.0100097656 6743842.81994629 72.638, -27896.5100097656 6743842.15002441 72.638)</t>
  </si>
  <si>
    <t>POINT (-27896.094837851535 6743842.955689657)</t>
  </si>
  <si>
    <t>['EV39 S75D1 m7391']</t>
  </si>
  <si>
    <t>LINESTRING Z (-27793.9599609375 6743927.29003906 71.518, -27792.9499511719 6743928.51000977 71.518, -27792.2800292969 6743927.98999023 71.538, -27793.2700195313 6743926.75 71.508, -27793.9699707031 6743927.30004883 71.508)</t>
  </si>
  <si>
    <t>POINT (-27793.11999010614 6743927.630479845)</t>
  </si>
  <si>
    <t>['EV39 S75D1 m7368']</t>
  </si>
  <si>
    <t>LINESTRING Z (-27779.6999511719 6743945.35998535 71.378, -27779.1300048828 6743946.04003906 71.378, -27778.4799804688 6743945.48999023 71.388, -27778.9899902344 6743944.82995606 71.388, -27779.7099609375 6743945.35998535 71.388)</t>
  </si>
  <si>
    <t>POINT (-27779.08479861043 6743945.430027176)</t>
  </si>
  <si>
    <t>['EV39 S76D1 m29']</t>
  </si>
  <si>
    <t>LINESTRING Z (-29305.5799865723 6743475.42004395 90.347, -29305.1600036621 6743476.17004395 90.347, -29303.7699890137 6743475.41003418 90.347, -29304.2200012207 6743474.64001465 90.327, -29305.5799865723 6743475.42004395 90.347)</t>
  </si>
  <si>
    <t>POINT (-29304.677239554512 6743475.408771152)</t>
  </si>
  <si>
    <t>['EV39 S75D1 m8948']</t>
  </si>
  <si>
    <t>LINESTRING Z (-29223.2700042725 6743437.40002441 90.937, -29224.7400054932 6743438 90.917, -29224.4299926758 6743438.80004883 90.897, -29222.9299926758 6743438.22998047 90.967, -29223.2700042725 6743437.40002441 90.937)</t>
  </si>
  <si>
    <t>POINT (-29223.836105410825 6743438.106609987)</t>
  </si>
  <si>
    <t>['EV39 S76D1 m28']</t>
  </si>
  <si>
    <t>LINESTRING Z (-29314.1499938965 6743459.36999512 90.757, -29314.5400085449 6743458.59997559 90.757, -29315.3299865723 6743459 90.767, -29314.8999938965 6743459.7800293 90.767, -29314.1499938965 6743459.36999512 90.757)</t>
  </si>
  <si>
    <t>POINT (-29314.73483222696 6743459.185689341)</t>
  </si>
  <si>
    <t>LINESTRING Z (-28232.3900146484 6743677.89001465 76.798, -28232.25 6743677.0300293 76.818, -28233.7700195313 6743676.67004395 76.838, -28233.9600219727 6743677.51000977 76.828, -28232.3900146484 6743677.89001465 76.798)</t>
  </si>
  <si>
    <t>POINT (-28233.091816785018 6743677.28001716)</t>
  </si>
  <si>
    <t>['EV39 S75D1 m7839']</t>
  </si>
  <si>
    <t>LINESTRING Z (-28165.0900268555 6743680.45996094 75.298, -28165.2800292969 6743681.31994629 75.288, -28163.7100219727 6743681.59997559 75.298, -28163.5399780273 6743680.75 75.318, -28165.0900268555 6743680.45996094 75.298)</t>
  </si>
  <si>
    <t>POINT (-28164.40754542298 6743681.033617627)</t>
  </si>
  <si>
    <t>['EV39 S75D1 m7748']</t>
  </si>
  <si>
    <t>LINESTRING Z (-28078.799987793 6743715.41003418 74.208, -28079.200012207 6743716.18994141 74.178, -28078.4099731445 6743716.57995605 74.198, -28078.0100097656 6743715.81005859 74.218, -28078.799987793 6743715.41003418 74.208)</t>
  </si>
  <si>
    <t>POINT (-28078.60574775245 6743715.9965075385)</t>
  </si>
  <si>
    <t>['EV39 S75D1 m10181']</t>
  </si>
  <si>
    <t>LINESTRING Z (-28167.8400268555 6743663.59997559 76.638, -28167.5800170898 6743662.85998535 76.658, -28168.3900146484 6743662.57995605 76.648, -28168.6199951172 6743663.34997559 76.658, -28167.8400268555 6743663.59997559 76.638)</t>
  </si>
  <si>
    <t>POINT (-28168.108436966693 6743663.092297267)</t>
  </si>
  <si>
    <t>['EV39 S75D200 m0']</t>
  </si>
  <si>
    <t>LINESTRING Z (-27664.1099853516 6744126.39990234 72.088, -27664.6899414063 6744126.85009766 72.088, -27665.1800537109 6744126.13989258 72.078, -27664.5899658203 6744125.7199707 72.078, -27664.1099853516 6744126.39990234 72.088)</t>
  </si>
  <si>
    <t>POINT (-27664.64456317839 6744126.280672832)</t>
  </si>
  <si>
    <t>['EV39 S75D1 m7268']</t>
  </si>
  <si>
    <t>LINESTRING Z (-27704.8599853516 6744016.2800293 70.778, -27705.5100097656 6744017.10998535 70.778, -27705.9599609375 6744016.7800293 70.778, -27705.3000488281 6744015.94995117 70.778, -27704.8599853516 6744016.2800293 70.778)</t>
  </si>
  <si>
    <t>POINT (-27705.408730379033 6744016.530693631)</t>
  </si>
  <si>
    <t>['EV39 S75D1 m7104']</t>
  </si>
  <si>
    <t>LINESTRING Z (-27638.8599853516 6744167.76000977 73.068, -27638.1700439453 6744167.33007813 73.078, -27637.7700195312 6744168.04003906 73.068, -27638.4499511719 6744168.44995117 73.088, -27638.8599853516 6744167.76000977 73.068)</t>
  </si>
  <si>
    <t>POINT (-27638.312385298417 6744167.892155781)</t>
  </si>
  <si>
    <t>['EV39 S75D1 m7441']</t>
  </si>
  <si>
    <t>LINESTRING Z (-27829.5500488281 6743892.10998535 71.928, -27830.1800537109 6743892.69995117 71.948, -27829.6199951172 6743893.31994629 71.958, -27828.9599609375 6743892.75 71.958, -27829.5500488281 6743892.10998535 71.928)</t>
  </si>
  <si>
    <t>POINT (-27829.57348432372 6743892.717837464)</t>
  </si>
  <si>
    <t>['EV39 S75D1 m7482']</t>
  </si>
  <si>
    <t>LINESTRING Z (-27861.1500244141 6743867.19995117 72.308, -27861.7099609375 6743867.86999512 72.308, -27861.0200195313 6743868.40002441 72.298, -27860.4599609375 6743867.72998047 72.308, -27861.1500244141 6743867.19995117 72.308)</t>
  </si>
  <si>
    <t>POINT (-27861.084975935293 6743867.799984439)</t>
  </si>
  <si>
    <t>['EV39 S75D1 m7319']</t>
  </si>
  <si>
    <t>LINESTRING Z (-27750.6199951172 6743985.26000977 71.278, -27751 6743984.56994629 71.268, -27751.6899414063 6743984.95996094 71.268, -27751.2900390625 6743985.65002441 71.258, -27750.6199951172 6743985.26000977 71.278)</t>
  </si>
  <si>
    <t>POINT (-27751.152116612702 6743985.10870211)</t>
  </si>
  <si>
    <t>LINESTRING Z (-28892.3899993897 6743499.06005859 93.637, -28890.8099975586 6743499.35998535 93.647, -28890.6500015259 6743498.5 93.637, -28892.1999969482 6743498.18994141 93.647, -28892.3899993897 6743499.06005859 93.637)</t>
  </si>
  <si>
    <t>POINT (-28891.515492704075 6743498.779409645)</t>
  </si>
  <si>
    <t>[578]</t>
  </si>
  <si>
    <t>['FV578 S3D1 m927']</t>
  </si>
  <si>
    <t>LINESTRING Z (-29317.3599853516 6743444.83996582 91.797, -29316.9899902344 6743445.48999023 91.787, -29317.6400146484 6743445.86999512 91.797, -29317.9899902344 6743445.22998047 91.827, -29317.3599853516 6743444.83996582 91.797)</t>
  </si>
  <si>
    <t>POINT (-29317.492276528286 6743445.3575864155)</t>
  </si>
  <si>
    <t>['FV578 S3D1 m920']</t>
  </si>
  <si>
    <t>LINESTRING Z (-29325.1199951172 6743433.45996094 93.417, -29325.2099914551 6743433.33996582 93.417, -29325.3699951172 6743433.35998535 93.417)</t>
  </si>
  <si>
    <t>POINT (-29325.229753826377 6743433.374065488)</t>
  </si>
  <si>
    <t>LINESTRING Z (-29325.3699951172 6743433.35998535 93.417, -29325.4400024414 6743433.48999023 93.417, -29325.3500061035 6743433.63000488 93.417)</t>
  </si>
  <si>
    <t>POINT (-29325.39970262071 6743433.4965304015)</t>
  </si>
  <si>
    <t>LINESTRING Z (-29325.3500061035 6743433.63000488 93.417, -29325.1900024414 6743433.60998535 93.417, -29325.1199951172 6743433.45996094 93.417)</t>
  </si>
  <si>
    <t>POINT (-29325.211744315966 6743433.576924336)</t>
  </si>
  <si>
    <t>['EV39 S75D1 m7954']</t>
  </si>
  <si>
    <t>LINESTRING Z (-28279.4699707031 6743665.51000977 78.398, -28279.5599975586 6743665.36999512 78.398, -28279.7100219727 6743665.39001465 78.398)</t>
  </si>
  <si>
    <t>POINT (-28279.57214452713 6743665.411429512)</t>
  </si>
  <si>
    <t>LINESTRING Z (-28279.7100219727 6743665.39001465 78.398, -28279.7800292969 6743665.5300293 78.398, -28279.6799926758 6743665.66003418 78.398)</t>
  </si>
  <si>
    <t>POINT (-28279.737342739994 6743665.5291055655)</t>
  </si>
  <si>
    <t>LINESTRING Z (-28279.6799926758 6743665.66003418 78.398, -28279.5300292969 6743665.64001465 78.398, -28279.4699707031 6743665.51000977 78.398)</t>
  </si>
  <si>
    <t>POINT (-28279.55394721232 6743665.613548172)</t>
  </si>
  <si>
    <t>['EV39 S75D1 m7593']</t>
  </si>
  <si>
    <t>LINESTRING Z (-27955.4399414063 6743809.56005859 73.228, -27955.5400390625 6743809.43005371 73.228, -27955.6999511719 6743809.44995117 73.228)</t>
  </si>
  <si>
    <t>POINT (-27955.554406977546 6743809.467777324)</t>
  </si>
  <si>
    <t>LINESTRING Z (-27955.6999511719 6743809.44995117 73.228, -27955.7600097656 6743809.58996582 73.228, -27955.6700439453 6743809.7199707 73.228)</t>
  </si>
  <si>
    <t>POINT (-27955.722365266694 6743809.588712892)</t>
  </si>
  <si>
    <t>LINESTRING Z (-27955.6700439453 6743809.7199707 73.228, -27955.5100097656 6743809.69995117 73.228, -27955.4399414063 6743809.56005859 73.228)</t>
  </si>
  <si>
    <t>POINT (-27955.53337426077 6743809.670589636)</t>
  </si>
  <si>
    <t>['EV39 S75D1 m7583']</t>
  </si>
  <si>
    <t>LINESTRING Z (-27947.0500488281 6743820.20996094 72.988, -27947.1500244141 6743820.06994629 72.988, -27947.3000488281 6743820.08996582 72.988)</t>
  </si>
  <si>
    <t>POINT (-27947.158538071584 6743820.111874061)</t>
  </si>
  <si>
    <t>['EV39 S75D1 m7584']</t>
  </si>
  <si>
    <t>LINESTRING Z (-27947.3000488281 6743820.08996582 72.988, -27947.3599853516 6743820.22998047 72.988, -27947.2700195313 6743820.35998535 72.988)</t>
  </si>
  <si>
    <t>POINT (-27947.322369620964 6743820.228738191)</t>
  </si>
  <si>
    <t>LINESTRING Z (-27947.2700195313 6743820.35998535 72.988, -27947.1199951172 6743820.33996582 72.988, -27947.0500488281 6743820.20996094 72.988)</t>
  </si>
  <si>
    <t>POINT (-27947.14070019984 6743820.312937043)</t>
  </si>
  <si>
    <t>['FV5305 S1D1 m2230']</t>
  </si>
  <si>
    <t>LINESTRING Z (-27950.6999511719 6743825.60998535 72.538, -27950.7900390625 6743825.47998047 72.538, -27950.9499511719 6743825.5 72.538)</t>
  </si>
  <si>
    <t>POINT (-27950.808080805487 6743825.517228903)</t>
  </si>
  <si>
    <t>LINESTRING Z (-27950.9499511719 6743825.5 72.538, -27951.0200195313 6743825.64001465 72.538, -27950.9300537109 6743825.77001953 72.538)</t>
  </si>
  <si>
    <t>POINT (-27950.979986799568 6743825.637840436)</t>
  </si>
  <si>
    <t>LINESTRING Z (-27950.9300537109 6743825.77001953 72.538, -27950.7700195313 6743825.75 72.538, -27950.6999511719 6743825.60998535 72.538)</t>
  </si>
  <si>
    <t>POINT (-27950.79336397141 6743825.720594463)</t>
  </si>
  <si>
    <t>['EV39 S75D1 m10448']</t>
  </si>
  <si>
    <t>LINESTRING Z (-27937.75 6743799.64001465 72.998, -27937.8299560547 6743799.52001953 72.998, -27937.9899902344 6743799.5300293 72.998)</t>
  </si>
  <si>
    <t>POINT (-27937.853157949052 6743799.551062304)</t>
  </si>
  <si>
    <t>LINESTRING Z (-27937.9899902344 6743799.5300293 72.998, -27938.0600585938 6743799.67004395 72.998, -27937.9699707031 6743799.80004883 72.998)</t>
  </si>
  <si>
    <t>POINT (-27938.019994096372 6743799.667884569)</t>
  </si>
  <si>
    <t>LINESTRING Z (-27937.9699707031 6743799.80004883 72.998, -27937.8100585938 6743799.79003906 72.998, -27937.75 6743799.64001465 72.998)</t>
  </si>
  <si>
    <t>POINT (-27937.83478713706 6743799.754864551)</t>
  </si>
  <si>
    <t>['EV39 S75D1 m8596']</t>
  </si>
  <si>
    <t>LINESTRING Z (-28893.4199981689 6743486.18005371 93.577, -28893.5100021362 6743486.06005859 93.577, -28893.6600036621 6743486.06994629 93.577)</t>
  </si>
  <si>
    <t>POINT (-28893.525067172435 6743486.092499179)</t>
  </si>
  <si>
    <t>LINESTRING Z (-28893.6600036621 6743486.06994629 93.577, -28893.7300033569 6743486.20996094 93.577, -28893.6299972534 6743486.33996582 93.577)</t>
  </si>
  <si>
    <t>POINT (-28893.68732681417 6743486.209034114)</t>
  </si>
  <si>
    <t>LINESTRING Z (-28893.6299972534 6743486.33996582 93.577, -28893.4800033569 6743486.32995606 93.577, -28893.4199981689 6743486.18005371 93.577)</t>
  </si>
  <si>
    <t>POINT (-28893.500625003915 6743486.293554716)</t>
  </si>
  <si>
    <t>['EV39 S75D1 m9237 KD2 m169']</t>
  </si>
  <si>
    <t>LINESTRING Z (-28881.1999969482 6743464.59997559 93.437, -28881.2799987793 6743464.4699707 93.437, -28881.4400024414 6743464.48999023 93.437)</t>
  </si>
  <si>
    <t>POINT (-28881.301643630442 6743464.506723243)</t>
  </si>
  <si>
    <t>LINESTRING Z (-28881.4400024414 6743464.48999023 93.437, -28881.5100021362 6743464.63000488 93.437, -28881.4100036621 6743464.76000977 93.437)</t>
  </si>
  <si>
    <t>POINT (-28881.467327651448 6743464.629077101)</t>
  </si>
  <si>
    <t>LINESTRING Z (-28881.4100036621 6743464.76000977 93.437, -28881.25 6743464.73999023 93.437, -28881.1999969482 6743464.59997559 93.437)</t>
  </si>
  <si>
    <t>POINT (-28881.279630482048 6743464.711614859)</t>
  </si>
  <si>
    <t>['EV39 S75D1 m9237 KD2 m17']</t>
  </si>
  <si>
    <t>LINESTRING Z (-29013.7700004578 6743403.02001953 94.577, -29013.8699998856 6743402.89001465 94.577, -29014.0200004578 6743402.90002441 94.577)</t>
  </si>
  <si>
    <t>POINT (-29013.879779968494 6743402.926323954)</t>
  </si>
  <si>
    <t>LINESTRING Z (-29014.0200004578 6743402.90002441 94.577, -29014.0799999237 6743403.05004883 94.577, -29013.9899997711 6743403.17004395 94.577)</t>
  </si>
  <si>
    <t>POINT (-29014.04277880143 6743403.04003234)</t>
  </si>
  <si>
    <t>LINESTRING Z (-29013.9899997711 6743403.17004395 94.577, -29013.8400001526 6743403.16003418 94.577, -29013.7700004578 6743403.02001953 94.577)</t>
  </si>
  <si>
    <t>POINT (-29013.85888811572 6743403.12677464)</t>
  </si>
  <si>
    <t>['EV39 S75D1 m7580']</t>
  </si>
  <si>
    <t>LINESTRING Z (-27941.6899414062 6743811.86999512 73.378, -27941.7299804688 6743811.80004883 73.378, -27941.8000488281 6743811.81005859 73.378)</t>
  </si>
  <si>
    <t>POINT (-27941.735702868627 6743811.821009459)</t>
  </si>
  <si>
    <t>LINESTRING Z (-27941.8000488281 6743811.81005859 73.378, -27941.8399658203 6743811.88000488 73.378, -27941.7900390625 6743811.93994141 73.378)</t>
  </si>
  <si>
    <t>POINT (-27941.817544783855 6743811.876984699)</t>
  </si>
  <si>
    <t>LINESTRING Z (-27941.7900390625 6743811.93994141 73.378, -27941.7199707031 6743811.93005371 73.378, -27941.6899414062 6743811.86999512 73.378)</t>
  </si>
  <si>
    <t>POINT (-27941.73063643157 6743811.917969363)</t>
  </si>
  <si>
    <t>['EV39 S75D1 m7633']</t>
  </si>
  <si>
    <t>LINESTRING Z (-27983.7700195313 6743780.76000977 73.758, -27983.8099975586 6743780.69995117 73.758, -27983.8800048828 6743780.70996094 73.758)</t>
  </si>
  <si>
    <t>POINT (-27983.81722999002 6743780.717593352)</t>
  </si>
  <si>
    <t>LINESTRING Z (-27983.8800048828 6743780.70996094 73.758, -27983.9199829102 6743780.77001953 73.758, -27983.8699951172 6743780.83996582 73.758)</t>
  </si>
  <si>
    <t>POINT (-27983.89727266012 6743780.775333122)</t>
  </si>
  <si>
    <t>LINESTRING Z (-27983.8699951172 6743780.83996582 73.758, -27983.799987793 6743780.82995606 73.758, -27983.7700195313 6743780.76000977 73.758)</t>
  </si>
  <si>
    <t>POINT (-27983.80908225136 6743780.814239905)</t>
  </si>
  <si>
    <t>['FV5305 S1D1 m2244']</t>
  </si>
  <si>
    <t>LINESTRING Z (-27937.0100097656 6743825.31005859 73.098, -27937.0500488281 6743825.25 73.098, -27937.1199951172 6743825.26000977 73.098)</t>
  </si>
  <si>
    <t>POINT (-27937.057232547948 6743825.26765046)</t>
  </si>
  <si>
    <t>LINESTRING Z (-27937.1199951172 6743825.26000977 73.098, -27937.1600341797 6743825.31994629 73.098, -27937.1099853516 6743825.38000488 73.098)</t>
  </si>
  <si>
    <t>POINT (-27937.13741063528 6743825.321194429)</t>
  </si>
  <si>
    <t>LINESTRING Z (-27937.1099853516 6743825.38000488 73.098, -27937.0400390625 6743825.36999512 73.098, -27937.0100097656 6743825.31005859 73.098)</t>
  </si>
  <si>
    <t>POINT (-27937.0506754788 6743825.357973205)</t>
  </si>
  <si>
    <t>['FV5305 S1D1 m2241']</t>
  </si>
  <si>
    <t>LINESTRING Z (-27938.9899902344 6743828.27001953 73.038, -27939.0400390625 6743828.19995117 73.038, -27939.1099853516 6743828.20996094 73.038)</t>
  </si>
  <si>
    <t>POINT (-27939.042057226892 6743828.2214503065)</t>
  </si>
  <si>
    <t>LINESTRING Z (-27939.1099853516 6743828.20996094 73.038, -27939.1400146484 6743828.2800293 73.038, -27939.0999755859 6743828.33996582 73.038)</t>
  </si>
  <si>
    <t>POINT (-27939.12256761783 6743828.276586425)</t>
  </si>
  <si>
    <t>LINESTRING Z (-27939.0999755859 6743828.33996582 73.038, -27939.0300292969 6743828.32995606 73.038, -27938.9899902344 6743828.27001953 73.038)</t>
  </si>
  <si>
    <t>POINT (-27939.03723236575 6743828.317300281)</t>
  </si>
  <si>
    <t>['EV39 S75D1 m7505 KD1 m41']</t>
  </si>
  <si>
    <t>LINESTRING Z (-27884.2600097656 6743864.20996094 72.288, -27884.3000488281 6743864.15002441 72.288, -27884.3800048828 6743864.16003418 72.288)</t>
  </si>
  <si>
    <t>POINT (-27884.3116984387 6743864.166815992)</t>
  </si>
  <si>
    <t>LINESTRING Z (-27884.3800048828 6743864.16003418 72.288, -27884.4100341797 6743864.2199707 72.288, -27884.3699951172 6743864.2800293 72.288)</t>
  </si>
  <si>
    <t>POINT (-27884.39242464455 6743864.221109436)</t>
  </si>
  <si>
    <t>LINESTRING Z (-27884.3699951172 6743864.2800293 72.288, -27884.2900390625 6743864.27001953 72.288, -27884.2600097656 6743864.20996094 72.288)</t>
  </si>
  <si>
    <t>POINT (-27884.305020948606 6743864.259100126)</t>
  </si>
  <si>
    <t>['EV39 S75D1 m7434']</t>
  </si>
  <si>
    <t>LINESTRING Z (-27825.1999511719 6743898.2199707 72.018, -27825.2399902344 6743898.17004395 72.018, -27825.3100585938 6743898.17004395 72.018)</t>
  </si>
  <si>
    <t>POINT (-27825.24874383518 6743898.18196053)</t>
  </si>
  <si>
    <t>LINESTRING Z (-27825.3100585938 6743898.17004395 72.018, -27825.3499755859 6743898.23999024 72.018, -27825.3000488281 6743898.30004883 72.018)</t>
  </si>
  <si>
    <t>POINT (-27825.327553045838 6743898.237019618)</t>
  </si>
  <si>
    <t>LINESTRING Z (-27825.3000488281 6743898.30004883 72.018, -27825.2299804688 6743898.30004883 72.018, -27825.1999511719 6743898.2199707 72.018)</t>
  </si>
  <si>
    <t>POINT (-27825.237504529963 6743898.278040734)</t>
  </si>
  <si>
    <t>['EV39 S75D1 m7265']</t>
  </si>
  <si>
    <t>LINESTRING Z (-27718.1600341797 6744029.25 71.148, -27718.1999511719 6744029.18994141 71.148, -27718.2700195313 6744029.19995117 71.148)</t>
  </si>
  <si>
    <t>POINT (-27718.207232304492 6744029.207575314)</t>
  </si>
  <si>
    <t>LINESTRING Z (-27718.2700195313 6744029.19995117 71.148, -27718.3100585937 6744029.26000977 71.148, -27718.2600097656 6744029.32995606 71.148)</t>
  </si>
  <si>
    <t>POINT (-27718.287317895818 6744029.265322454)</t>
  </si>
  <si>
    <t>['EV39 S75D1 m7264']</t>
  </si>
  <si>
    <t>LINESTRING Z (-27718.2600097656 6744029.32995606 71.148, -27718.1899414062 6744029.31994629 71.148, -27718.1600341797 6744029.25 71.148)</t>
  </si>
  <si>
    <t>POINT (-27718.19908098046 6744029.304241813)</t>
  </si>
  <si>
    <t>['EV39 S75D1 m7221']</t>
  </si>
  <si>
    <t>LINESTRING Z (-27694.1400146484 6744065.32006836 71.478, -27694.1899414063 6744065.26000977 71.478, -27694.2700195313 6744065.27001953 71.478)</t>
  </si>
  <si>
    <t>POINT (-27694.198011507255 6744065.27732195)</t>
  </si>
  <si>
    <t>LINESTRING Z (-27694.2700195313 6744065.27001953 71.478, -27694.2900390625 6744065.33007813 71.478, -27694.2600097656 6744065.39990234 71.478)</t>
  </si>
  <si>
    <t>POINT (-27694.27729872443 6744065.335479671)</t>
  </si>
  <si>
    <t>LINESTRING Z (-27694.2600097656 6744065.39990234 71.478, -27694.1800537109 6744065.38989258 71.478, -27694.1400146484 6744065.32006836 71.478)</t>
  </si>
  <si>
    <t>POINT (-27694.190049861736 6744065.37495021)</t>
  </si>
  <si>
    <t>['EV39 S75D1 m7169']</t>
  </si>
  <si>
    <t>LINESTRING Z (-27665.6700439453 6744108.89990234 72.238, -27665.7099609375 6744108.84008789 72.238, -27665.7900390625 6744108.85009766 72.238)</t>
  </si>
  <si>
    <t>POINT (-27665.72172920198 6744108.8568267375)</t>
  </si>
  <si>
    <t>LINESTRING Z (-27665.7900390625 6744108.85009766 72.238, -27665.8199462891 6744108.91992188 72.238, -27665.7800292969 6744108.97998047 72.238)</t>
  </si>
  <si>
    <t>POINT (-27665.80255522873 6744108.916637132)</t>
  </si>
  <si>
    <t>LINESTRING Z (-27665.7800292969 6744108.97998047 72.238, -27665.6999511719 6744108.9699707 72.238, -27665.6700439453 6744108.89990234 72.238)</t>
  </si>
  <si>
    <t>POINT (-27665.713285599915 6744108.955532474)</t>
  </si>
  <si>
    <t>['EV39 S75D1 m9472']</t>
  </si>
  <si>
    <t>LINESTRING Z (-28853.8000030518 6743487.5 93.427, -28853.8399963379 6743487.44995117 93.427, -28853.9199981689 6743487.45996094 93.427)</t>
  </si>
  <si>
    <t>POINT (-28853.85343194996 6743487.463820163)</t>
  </si>
  <si>
    <t>LINESTRING Z (-28853.9199981689 6743487.45996094 93.427, -28853.9499969482 6743487.52001953 93.427, -28853.9100036621 6743487.58996582 93.427)</t>
  </si>
  <si>
    <t>POINT (-28853.932271600475 6743487.525448499)</t>
  </si>
  <si>
    <t>LINESTRING Z (-28853.9100036621 6743487.58996582 93.427, -28853.8300018311 6743487.57995606 93.427, -28853.8000030518 6743487.5 93.427)</t>
  </si>
  <si>
    <t>POINT (-28853.841712019228 6743487.561822901)</t>
  </si>
  <si>
    <t>['EV39 S76D1 m20']</t>
  </si>
  <si>
    <t>LINESTRING Z (-29304.0400085449 6743461.08996582 90.707, -29304.0799865723 6743461.02001953 90.707, -29304.1499938965 6743461.0300293 90.707)</t>
  </si>
  <si>
    <t>POINT (-29304.08570440821 6743461.040983727)</t>
  </si>
  <si>
    <t>LINESTRING Z (-29304.1499938965 6743461.0300293 90.707, -29304.1900024414 6743461.09997559 90.707, -29304.1400146484 6743461.16003418 90.707)</t>
  </si>
  <si>
    <t>POINT (-29304.167541717274 6743461.097003925)</t>
  </si>
  <si>
    <t>LINESTRING Z (-29304.1400146484 6743461.16003418 90.707, -29304.0700073242 6743461.15002442 90.707, -29304.0400085449 6743461.08996582 90.707)</t>
  </si>
  <si>
    <t>POINT (-29304.080659720268 6743461.137967809)</t>
  </si>
  <si>
    <t>['EV39 S76D1 m25']</t>
  </si>
  <si>
    <t>LINESTRING Z (-29312.2399902344 6743458.16003418 90.817, -29312.2900085449 6743458.08996582 90.817, -29312.3599853516 6743458.09997559 90.817)</t>
  </si>
  <si>
    <t>POINT (-29312.292051377342 6743458.111460248)</t>
  </si>
  <si>
    <t>LINESTRING Z (-29312.3599853516 6743458.09997559 90.817, -29312.3900146484 6743458.17004395 90.817, -29312.3500061035 6743458.22998047 90.817)</t>
  </si>
  <si>
    <t>POINT (-29312.372575326757 6743458.166597255)</t>
  </si>
  <si>
    <t>LINESTRING Z (-29312.3500061035 6743458.22998047 90.817, -29312.2799987793 6743458.2199707 90.817, -29312.2399902344 6743458.16003418 90.817)</t>
  </si>
  <si>
    <t>POINT (-29312.287239648736 6743458.2073244555)</t>
  </si>
  <si>
    <t>LINESTRING Z (-29307.5 6743454.80004883 90.867, -29307.5400085449 6743454.73999024 90.867, -29307.6199951172 6743454.75 90.867)</t>
  </si>
  <si>
    <t>POINT (-29307.551661491096 6743454.756815608)</t>
  </si>
  <si>
    <t>LINESTRING Z (-29307.6199951172 6743454.75 90.867, -29307.6499938965 6743454.81994629 90.867, -29307.6099853516 6743454.86999512 90.867)</t>
  </si>
  <si>
    <t>POINT (-29307.632706873173 6743454.812396852)</t>
  </si>
  <si>
    <t>LINESTRING Z (-29307.6099853516 6743454.86999512 90.867, -29307.5299987793 6743454.85998535 90.867, -29307.5 6743454.80004883 90.867)</t>
  </si>
  <si>
    <t>POINT (-29307.54502600683 6743454.84911282)</t>
  </si>
  <si>
    <t>['EV39 S75D1 m10168']</t>
  </si>
  <si>
    <t>LINESTRING Z (-28183.0100097656 6743668.2800293 76.218, -28183.0599975586 6743668.22998047 76.218, -28183.1199951172 6743668.22998047 76.218)</t>
  </si>
  <si>
    <t>POINT (-28183.06024134011 6743668.24352048)</t>
  </si>
  <si>
    <t>LINESTRING Z (-28183.1199951172 6743668.22998047 76.218, -28183.1599731445 6743668.30004883 76.218, -28183.1099853516 6743668.34997559 76.218)</t>
  </si>
  <si>
    <t>POINT (-28183.137647405714 6743668.293026855)</t>
  </si>
  <si>
    <t>LINESTRING Z (-28183.1099853516 6743668.34997559 76.218, -28183.0399780273 6743668.34997559 76.218, -28183.0100097656 6743668.2800293 76.218)</t>
  </si>
  <si>
    <t>POINT (-28183.04894622581 6743668.331760301)</t>
  </si>
  <si>
    <t>['EV39 S75D1 m10276']</t>
  </si>
  <si>
    <t>LINESTRING Z (-28084.2399902344 6743710.0300293 74.548, -28084.2800292969 6743709.95996094 74.548, -28084.3599853516 6743709.9699707 74.548)</t>
  </si>
  <si>
    <t>POINT (-28084.289986015025 6743709.979991747)</t>
  </si>
  <si>
    <t>LINESTRING Z (-28084.3599853516 6743709.9699707 74.548, -28084.3900146484 6743710.04003906 74.548, -28084.3400268555 6743710.09997559 74.548)</t>
  </si>
  <si>
    <t>POINT (-28084.369951713663 6743710.037888215)</t>
  </si>
  <si>
    <t>LINESTRING Z (-28084.3400268555 6743710.09997559 74.548, -28084.2600097656 6743710.08996582 74.548, -28084.2399902344 6743710.0300293 74.548)</t>
  </si>
  <si>
    <t>POINT (-28084.278043178605 6743710.079605543)</t>
  </si>
  <si>
    <t>['EV39 S75D1 m10334']</t>
  </si>
  <si>
    <t>LINESTRING Z (-28035.0999755859 6743739.98999023 74.098, -28035.1500244141 6743739.93994141 74.098, -28035.2199707031 6743739.93994141 74.098)</t>
  </si>
  <si>
    <t>POINT (-28035.154821114338 6743739.952527718)</t>
  </si>
  <si>
    <t>LINESTRING Z (-28035.2199707031 6743739.93994141 74.098, -28035.25 6743740.01000977 74.098, -28035.2100219727 6743740.06994629 74.098)</t>
  </si>
  <si>
    <t>POINT (-28035.23256838535 6743740.006559257)</t>
  </si>
  <si>
    <t>LINESTRING Z (-28035.2100219727 6743740.06994629 74.098, -28035.1400146484 6743740.06994629 74.098, -28035.0999755859 6743739.98999023 74.098)</t>
  </si>
  <si>
    <t>POINT (-28035.14415662595 6743740.047523214)</t>
  </si>
  <si>
    <t>['EV39 S75D1 m7656']</t>
  </si>
  <si>
    <t>LINESTRING Z (-28001.549987793 6743766.61999512 73.858, -28001.5999755859 6743766.55004883 73.858, -28001.6799926758 6743766.5600586 73.858)</t>
  </si>
  <si>
    <t>POINT (-28001.606442854638 6743766.570517344)</t>
  </si>
  <si>
    <t>LINESTRING Z (-28001.6799926758 6743766.5600586 73.858, -28001.700012207 6743766.63000488 73.858, -28001.6599731445 6743766.68994141 73.858)</t>
  </si>
  <si>
    <t>POINT (-28001.685020880428 6743766.627351134)</t>
  </si>
  <si>
    <t>LINESTRING Z (-28001.6599731445 6743766.68994141 73.858, -28001.5800170898 6743766.68005371 73.858, -28001.549987793 6743766.61999512 73.858)</t>
  </si>
  <si>
    <t>POINT (-28001.59499642533 6743766.66909939)</t>
  </si>
  <si>
    <t>['EV39 S75D1 m7946']</t>
  </si>
  <si>
    <t>LINESTRING Z (-28269.4299926758 6743658.97998047 77.898, -28269.4799804688 6743658.92004395 77.898, -28269.5599975586 6743658.93005371 77.898)</t>
  </si>
  <si>
    <t>POINT (-28269.48801924897 6743658.937326421)</t>
  </si>
  <si>
    <t>LINESTRING Z (-28269.5599975586 6743658.93005371 77.898, -28269.5800170898 6743658.98999023 77.898, -28269.5399780273 6743659.05004883 77.898)</t>
  </si>
  <si>
    <t>POINT (-28269.564670073974 6743658.992012926)</t>
  </si>
  <si>
    <t>LINESTRING Z (-28269.5399780273 6743659.05004883 77.898, -28269.4600219727 6743659.04003906 77.898, -28269.4299926758 6743658.97998047 77.898)</t>
  </si>
  <si>
    <t>POINT (-28269.475003858777 6743659.0291196555)</t>
  </si>
  <si>
    <t>['EV39 S75D1 m9237 KD2 m190']</t>
  </si>
  <si>
    <t>LINESTRING Z (-28861.6399993896 6743475.27001953 93.297, -28862.0599975586 6743474.67004395 93.297, -28862.1799926758 6743474.63000488 93.297, -28862.8099975586 6743474.72998047 93.297)</t>
  </si>
  <si>
    <t>POINT (-28862.147701638816 6743474.819377564)</t>
  </si>
  <si>
    <t>LINESTRING Z (-28862.8099975586 6743474.72998047 93.297, -28863.1300048828 6743475.41003418 93.297, -28863.1100006104 6743475.52001953 93.297, -28862.6900024414 6743476.02001953 93.297)</t>
  </si>
  <si>
    <t>POINT (-28862.950915710575 6743475.400575098)</t>
  </si>
  <si>
    <t>['EV39 S75D1 m9237 KD2 m191']</t>
  </si>
  <si>
    <t>LINESTRING Z (-28862.6900024414 6743476.02001953 93.297, -28861.9499969482 6743475.94995117 93.297, -28861.8600006104 6743475.89001465 93.297, -28861.6399993896 6743475.27001953 93.297)</t>
  </si>
  <si>
    <t>POINT (-28862.041820678918 6743475.803813373)</t>
  </si>
  <si>
    <t>['EV39 S75D1 m7199']</t>
  </si>
  <si>
    <t>LINESTRING Z (-27593.7299804688 6744041.15002442 68.988, -27593.6800537109 6744041.95996094 69.018, -27594.5600585938 6744042.04003906 68.978, -27594.6099853516 6744041.18994141 68.948, -27593.7299804688 6744041.15002442 68.988)</t>
  </si>
  <si>
    <t>POINT (-27594.15014585408 6744041.585672995)</t>
  </si>
  <si>
    <t>2023-02-22</t>
  </si>
  <si>
    <t>2025-11-22T10:27:28Z</t>
  </si>
  <si>
    <t>[35]</t>
  </si>
  <si>
    <t>['FV35 S15D1 m4070']</t>
  </si>
  <si>
    <t>LINESTRING Z (211904.5 6633688.97 34.118, 211904.06 6633688.34 34.098, 211903.34 6633688.8 34.068, 211903.89 6633689.48 34.088, 211904.5 6633688.97 34.118)</t>
  </si>
  <si>
    <t>POINT (211903.93232392345 6633688.899420325)</t>
  </si>
  <si>
    <t>['FV35 S15D1 m4159']</t>
  </si>
  <si>
    <t>LINESTRING Z (211961.28 6633757.08 35.498, 211960.67 6633757.53 35.468, 211961.72 6633758.86 35.468, 211962.33 6633758.39 35.498, 211961.28 6633757.08 35.498)</t>
  </si>
  <si>
    <t>POINT (211961.50031577997 6633757.967355845)</t>
  </si>
  <si>
    <t>['FV35 S15D1 m3677']</t>
  </si>
  <si>
    <t>LINESTRING Z (211911.84 6633324.48 15.518, 211911.71 6633325.31 15.548, 211912.53 6633325.41 15.548, 211912.63 6633324.55 15.528, 211911.84 6633324.48 15.518)</t>
  </si>
  <si>
    <t>['FV35 S15D1 m3720']</t>
  </si>
  <si>
    <t>LINESTRING Z (211904 6633367.25 15.828, 211903.66 6633368.05 15.838, 211904.45 6633368.39 15.848, 211904.79 6633367.63 15.838, 211904 6633367.25 15.828)</t>
  </si>
  <si>
    <t>['FV35 S15D1 m3666 KD1 m74']</t>
  </si>
  <si>
    <t>LINESTRING Z (211878.08 6633284.56 15.558, 211878.89 6633284.64 15.588, 211878.98 6633283.82 15.608, 211878.15 6633283.72 15.588, 211878.08 6633284.56 15.558)</t>
  </si>
  <si>
    <t>2015-02-18</t>
  </si>
  <si>
    <t>2025-11-22T10:27:32Z</t>
  </si>
  <si>
    <t>['FV49 S8D100 m375']</t>
  </si>
  <si>
    <t>LINESTRING Z (13685.4399414062 6723494.29003906 12.657, 13684.7800292969 6723494 12.687, 13684.1500244141 6723495.34997559 12.727, 13684.8699951172 6723495.67004395 12.717, 13685.4399414062 6723494.29003906 12.657)</t>
  </si>
  <si>
    <t>POINT (13684.805773085594 6723494.837819149)</t>
  </si>
  <si>
    <t>['FV49 S8D100 m377']</t>
  </si>
  <si>
    <t>LINESTRING Z (13684 6723496.06005859 12.747, 13683.4300537109 6723497.42004395 12.827, 13682.7199707031 6723497.11999512 12.857, 13683.3000488281 6723495.73999024 12.787, 13684 6723496.06005859 12.747)</t>
  </si>
  <si>
    <t>POINT (13683.360692393097 6723496.584437463)</t>
  </si>
  <si>
    <t>['FV49 S8D100 m379']</t>
  </si>
  <si>
    <t>LINESTRING Z (13681.4200439453 6723498.75 12.877, 13682.1199951172 6723499.06994629 12.937, 13682.7299804688 6723497.7199707 12.867, 13682.0300292969 6723497.41003418 12.837, 13681.4200439453 6723498.75 12.877)</t>
  </si>
  <si>
    <t>POINT (13682.075443889937 6723498.238422909)</t>
  </si>
  <si>
    <t>['FV49 S8D100 m768']</t>
  </si>
  <si>
    <t>LINESTRING Z (13506.7700195313 6723840.29003906 18.627, 13507.6400146484 6723839.10998535 18.617, 13507.0200195313 6723838.64001465 18.627, 13506.1500244141 6723839.84997559 18.627, 13506.7700195313 6723840.29003906 18.627)</t>
  </si>
  <si>
    <t>POINT (13506.89506430089 6723839.468927799)</t>
  </si>
  <si>
    <t>['FV49 S8D100 m769']</t>
  </si>
  <si>
    <t>LINESTRING Z (13505.7299804688 6723840.4699707 18.607, 13504.8499755859 6723841.68994141 18.607, 13504.2299804688 6723841.23999024 18.587, 13505.0899658203 6723839.98999023 18.597, 13505.7299804688 6723840.4699707 18.607)</t>
  </si>
  <si>
    <t>POINT (13504.977299724811 6723840.842245175)</t>
  </si>
  <si>
    <t>['FV49 S8D100 m850']</t>
  </si>
  <si>
    <t>LINESTRING Z (13463.4799804688 6723910.48999024 17.627, 13462.8299560547 6723910.13000488 17.647, 13463.5100097656 6723908.81994629 17.677, 13464.1899414063 6723909.18005371 17.677, 13463.4799804688 6723910.48999024 17.627)</t>
  </si>
  <si>
    <t>POINT (13463.505549615455 6723909.651703057)</t>
  </si>
  <si>
    <t>['FV49 S8D100 m1355']</t>
  </si>
  <si>
    <t>LINESTRING Z (13251.2600097656 6724359.35009766 15.607, 13252.0300292969 6724359.73999023 15.607, 13252.6600341797 6724358.37988281 15.587, 13251.9399414062 6724358.01000977 15.597, 13251.2600097656 6724359.35009766 15.607)</t>
  </si>
  <si>
    <t>POINT (13251.968449141583 6724358.87757832)</t>
  </si>
  <si>
    <t>['FV49 S8D100 m1357']</t>
  </si>
  <si>
    <t>LINESTRING Z (13251.6600341797 6724360.12011719 15.677, 13252.3699951172 6724360.48999023 15.697, 13251.6999511719 6724361.83007813 15.687, 13251.0100097656 6724361.47998047 15.667, 13251.6600341797 6724360.12011719 15.677)</t>
  </si>
  <si>
    <t>POINT (13251.686246545187 6724360.975731993)</t>
  </si>
  <si>
    <t>['FV49 S8D100 m1359']</t>
  </si>
  <si>
    <t>LINESTRING Z (13251.3699951172 6724362.23999023 15.677, 13250.7299804688 6724363.57006836 15.647, 13251.4300537109 6724363.92993164 15.677, 13252.0899658203 6724362.60009766 15.687, 13251.3699951172 6724362.23999023 15.677)</t>
  </si>
  <si>
    <t>POINT (13251.40693756158 6724363.082750507)</t>
  </si>
  <si>
    <t>['FV49 S8D100 m1703']</t>
  </si>
  <si>
    <t>LINESTRING Z (13036.1199951172 6724628.58007813 13.687, 13035.0100097656 6724629.79003906 13.727, 13034.1500244141 6724628.98999023 13.727, 13035.2700195313 6724627.7800293 13.697, 13036.1199951172 6724628.58007813 13.687)</t>
  </si>
  <si>
    <t>POINT (13035.13627398767 6724628.785337463)</t>
  </si>
  <si>
    <t>['FV49 S8D100 m1697']</t>
  </si>
  <si>
    <t>LINESTRING Z (13039.25 6724625 13.637, 13040.3100585938 6724623.77001953 13.647, 13039.4300537109 6724623.01000977 13.647, 13038.3800048828 6724624.23999024 13.597, 13039.25 6724625 13.637)</t>
  </si>
  <si>
    <t>POINT (13039.343759339801 6724624.004614342)</t>
  </si>
  <si>
    <t>['FV49 S8D100 m1690']</t>
  </si>
  <si>
    <t>LINESTRING Z (13042.6300048828 6724617.2199707 13.587, 13043.3499755859 6724617.77001953 13.617, 13042.3199462891 6724619.05004883 13.627, 13041.6300048828 6724618.5 13.607, 13042.6300048828 6724617.2199707 13.587)</t>
  </si>
  <si>
    <t>POINT (13042.486160125023 6724618.1330277845)</t>
  </si>
  <si>
    <t>['FV49 S8D1 m208']</t>
  </si>
  <si>
    <t>LINESTRING Z (13850.25 6723074.44995117 15.387, 13848.8100585938 6723074.08996582 15.397, 13849.0400390625 6723073.29003906 15.357, 13850.4399414062 6723073.68005371 15.377, 13850.25 6723074.44995117 15.387)</t>
  </si>
  <si>
    <t>POINT (13849.628172978315 6723073.878555397)</t>
  </si>
  <si>
    <t>2015-11-16</t>
  </si>
  <si>
    <t>2025-11-22T10:27:53Z</t>
  </si>
  <si>
    <t>['EV39 S57D200 m199']</t>
  </si>
  <si>
    <t>LINESTRING Z (17794.79 6844205.23 41.933, 17794.7 6844204.41 41.953, 17796.26 6844204.19 41.953, 17796.34 6844205.07 41.943, 17794.79 6844205.23 41.933)</t>
  </si>
  <si>
    <t>POINT (17795.531775042145 6844204.72233861)</t>
  </si>
  <si>
    <t>['EV39 S57D400 m23']</t>
  </si>
  <si>
    <t>LINESTRING Z (17625.36 6844199.38 42.683, 17625.65 6844200.22 42.653, 17627.13 6844199.7 42.693, 17626.84 6844198.89 42.713, 17626.09 6844199.12 42.703, 17625.36 6844199.38 42.683)</t>
  </si>
  <si>
    <t>POINT (17626.240108449074 6844199.547113816)</t>
  </si>
  <si>
    <t>['EV39 S57D400 m157']</t>
  </si>
  <si>
    <t>LINESTRING Z (17511.99 6844267.97 46.463, 17511.59 6844267.28 46.493, 17512.72 6844266.65 46.463, 17513.11 6844267.32 46.433, 17511.99 6844267.97 46.463)</t>
  </si>
  <si>
    <t>2015-11-27</t>
  </si>
  <si>
    <t>[52]</t>
  </si>
  <si>
    <t>['RV52 S7D1 m0']</t>
  </si>
  <si>
    <t>LINESTRING Z (129826.01 6780261.99 1123.024, 129826.83 6780262.2 1123.104, 129826.5 6780263.7 1123.084, 129825.67 6780263.56 1123.014, 129826.01 6780261.99 1123.024)</t>
  </si>
  <si>
    <t>POINT (129826.24664201139 6780262.860469601)</t>
  </si>
  <si>
    <t>['RV52 S7D1 m243']</t>
  </si>
  <si>
    <t>LINESTRING Z (129755.6 6780496.45 1120.734, 129756.14 6780495.05 1120.724, 129756.95 6780495.35 1120.824, 129756.39 6780496.78 1120.834, 129755.6 6780496.45 1120.734)</t>
  </si>
  <si>
    <t>POINT (129756.27340137532 6780495.907532893)</t>
  </si>
  <si>
    <t>['RV52 S7D1 m494']</t>
  </si>
  <si>
    <t>LINESTRING Z (129658.61 6780726.14 1118.194, 129659.34 6780726.49 1118.364, 129658.75 6780727.86 1118.364, 129658.01 6780727.63 1118.194, 129658.61 6780726.14 1118.194)</t>
  </si>
  <si>
    <t>POINT (129658.67070498153 6780727.021159588)</t>
  </si>
  <si>
    <t>['RV52 S7D1 m744']</t>
  </si>
  <si>
    <t>LINESTRING Z (129560.79 6780958.08 1120.234, 129560.03 6780957.81 1120.194, 129560.57 6780956.36 1120.164, 129561.35 6780956.69 1120.174, 129560.79 6780958.08 1120.234)</t>
  </si>
  <si>
    <t>POINT (129560.6833725326 6780957.227340988)</t>
  </si>
  <si>
    <t>['RV52 S7D1 m1030']</t>
  </si>
  <si>
    <t>LINESTRING Z (129448.06 6781221.4 1118.974, 129447.23 6781220.98 1118.844, 129447.88 6781219.62 1118.894, 129448.69 6781219.97 1119.044, 129448.06 6781221.4 1118.974)</t>
  </si>
  <si>
    <t>POINT (129447.96650688988 6781220.501512387)</t>
  </si>
  <si>
    <t>['RV52 S7D1 m1238']</t>
  </si>
  <si>
    <t>LINESTRING Z (129369.11 6781414.52 1118.514, 129368.32 6781414.25 1118.414, 129368.71 6781412.88 1118.384, 129369.5 6781413.08 1118.484, 129369.11 6781414.52 1118.514)</t>
  </si>
  <si>
    <t>POINT (129368.91498311839 6781413.687303752)</t>
  </si>
  <si>
    <t>['RV52 S7D1 m1493']</t>
  </si>
  <si>
    <t>LINESTRING Z (129320.3 6781666.01 1119.964, 129319.49 6781665.85 1119.884, 129319.8 6781664.39 1119.834, 129320.6 6781664.52 1119.944, 129320.3 6781666.01 1119.964)</t>
  </si>
  <si>
    <t>POINT (129320.04937112781 6781665.195331355)</t>
  </si>
  <si>
    <t>['RV52 S7D1 m1743']</t>
  </si>
  <si>
    <t>LINESTRING Z (129258.89 6781905.3 1122.644, 129258.1 6781905.01 1122.534, 129258.72 6781903.6 1122.544, 129259.52 6781903.88 1122.644, 129258.89 6781905.3 1122.644)</t>
  </si>
  <si>
    <t>POINT (129258.80899056107 6781904.446999664)</t>
  </si>
  <si>
    <t>['RV52 S7D1 m1997']</t>
  </si>
  <si>
    <t>LINESTRING Z (129147.9 6782133.48 1123.234, 129147.14 6782133.1 1123.154, 129147.87 6782131.75 1123.134, 129148.59 6782132.22 1123.204, 129147.9 6782133.48 1123.234)</t>
  </si>
  <si>
    <t>POINT (129147.86800732654 6782132.6316324705)</t>
  </si>
  <si>
    <t>['RV52 S7D1 m2247']</t>
  </si>
  <si>
    <t>LINESTRING Z (129034.94 6782354.41 1124.734, 129034.19 6782353.97 1124.644, 129035.08 6782352.69 1124.634, 129035.73 6782353.21 1124.724, 129034.94 6782354.41 1124.734)</t>
  </si>
  <si>
    <t>POINT (129034.97256735078 6782353.568652309)</t>
  </si>
  <si>
    <t>['RV52 S7D1 m2497']</t>
  </si>
  <si>
    <t>LINESTRING Z (128842.4 6782508.18 1126.213, 128841.98 6782507.62 1126.143, 128843.31 6782506.77 1126.173, 128843.66 6782507.5 1126.263, 128842.4 6782508.18 1126.213)</t>
  </si>
  <si>
    <t>POINT (128842.84695135895 6782507.497764601)</t>
  </si>
  <si>
    <t>['RV52 S7D1 m2750']</t>
  </si>
  <si>
    <t>LINESTRING Z (128623.31 6782634.37 1126.623, 128622.79 6782633.61 1126.553, 128624.31 6782632.74 1126.573, 128624.69 6782633.49 1126.643, 128623.31 6782634.37 1126.623)</t>
  </si>
  <si>
    <t>POINT (128623.7587137799 6782633.5508989645)</t>
  </si>
  <si>
    <t>['RV52 S7D1 m3000']</t>
  </si>
  <si>
    <t>LINESTRING Z (128415.27 6782772.78 1122.993, 128414.74 6782772.14 1122.933, 128415.97 6782771.17 1122.933, 128416.47 6782771.86 1123.003, 128415.27 6782772.78 1122.993)</t>
  </si>
  <si>
    <t>POINT (128415.6122580165 6782771.981604046)</t>
  </si>
  <si>
    <t>['RV52 S7D1 m3249']</t>
  </si>
  <si>
    <t>LINESTRING Z (128240.77 6782950.16 1124.852, 128240.15 6782949.65 1124.772, 128239.24 6782950.86 1124.792, 128239.79 6782951.29 1124.862, 128240.77 6782950.16 1124.852)</t>
  </si>
  <si>
    <t>POINT (128239.99728113366 6782950.4754752675)</t>
  </si>
  <si>
    <t>['RV52 S7D1 m3449']</t>
  </si>
  <si>
    <t>LINESTRING Z (128116.18 6783106.45 1123.872, 128115.16 6783107.58 1123.882, 128114.53 6783107.04 1123.862, 128115.53 6783105.95 1123.862, 128116.18 6783106.45 1123.872)</t>
  </si>
  <si>
    <t>POINT (128115.35190849088 6783106.758563335)</t>
  </si>
  <si>
    <t>2022-10-04</t>
  </si>
  <si>
    <t>['FV40 S19D1 m7838']</t>
  </si>
  <si>
    <t>LINESTRING Z (173138.92 6674409.39 299.66, 173139.72 6674409.52 299.66, 173139.87 6674408 299.7, 173139.21 6674407.87 299.68, 173138.92 6674409.39 299.66)</t>
  </si>
  <si>
    <t>POINT (173139.42506980317 6674408.717693252)</t>
  </si>
  <si>
    <t>['FV40 S19D1 m7803']</t>
  </si>
  <si>
    <t>LINESTRING Z (173146.65 6674375.34 299.92, 173147.42 6674375.64 299.94, 173147.9 6674374.19 299.97, 173147.21 6674373.95 299.96, 173146.65 6674375.34 299.92)</t>
  </si>
  <si>
    <t>POINT (173147.29185843002 6674374.7956952965)</t>
  </si>
  <si>
    <t>2015-12-15</t>
  </si>
  <si>
    <t>2025-11-22T10:28:01Z</t>
  </si>
  <si>
    <t>[12]</t>
  </si>
  <si>
    <t>['EV12 S1D1 m1314 KD1 m56']</t>
  </si>
  <si>
    <t>LINESTRING Z (461844.89 7355659.6 4.545, 461844.62 7355658.79 4.565, 461846.05 7355658.23 4.585, 461846.36 7355659.05 4.565, 461844.89 7355659.6 4.545)</t>
  </si>
  <si>
    <t>POINT (461845.4844352036 7355658.919036812)</t>
  </si>
  <si>
    <t>['EV12 S1D1 m1314 KD1 m49']</t>
  </si>
  <si>
    <t>LINESTRING Z (461826.13 7355664.61 3.715, 461826.21 7355665.36 3.815, 461827.74 7355665.34 3.805, 461827.68 7355664.49 3.705, 461826.13 7355664.61 3.715)</t>
  </si>
  <si>
    <t>POINT (461826.95587988856 7355664.947180189)</t>
  </si>
  <si>
    <t>['EV12 S1D1 m1332']</t>
  </si>
  <si>
    <t>LINESTRING Z (461901.23 7355665.49 4.685, 461901.29 7355666.25 4.655, 461902.77 7355666.17 4.655, 461902.71 7355665.35 4.675, 461901.23 7355665.49 4.685)</t>
  </si>
  <si>
    <t>POINT (461902.0096937798 7355665.813891624)</t>
  </si>
  <si>
    <t>LINESTRING Z (461901.55 7355683.41 4.345, 461901.62 7355684.25 4.375, 461903.19 7355684.19 4.345, 461903.2 7355683.32 4.365, 461901.55 7355683.41 4.345)</t>
  </si>
  <si>
    <t>POINT (461902.39417958574 7355683.785252747)</t>
  </si>
  <si>
    <t>['EV12 S1D1 m1314 KD1 m11']</t>
  </si>
  <si>
    <t>LINESTRING Z (461876.4 7355699.51 4.515, 461877.3 7355699.51 4.495, 461877.3 7355698.02 4.515, 461876.47 7355697.95 4.495, 461876.4 7355699.51 4.515)</t>
  </si>
  <si>
    <t>POINT (461876.8607851436 7355698.757924411)</t>
  </si>
  <si>
    <t>['EV12 S1D1 m1314 KD1 m27']</t>
  </si>
  <si>
    <t>LINESTRING Z (461851.83 7355700.89 4.455, 461852.64 7355700.59 4.465, 461852.1 7355699.16 4.475, 461851.29 7355699.45 4.455, 461851.83 7355700.89 4.455)</t>
  </si>
  <si>
    <t>POINT (461851.96440163045 7355700.023300692)</t>
  </si>
  <si>
    <t>['EV12 S1D1 m1314 KD1 m39']</t>
  </si>
  <si>
    <t>LINESTRING Z (461830.45 7355686.58 4.315, 461830.47 7355687.43 4.315, 461832 7355687.36 4.335, 461831.97 7355686.51 4.325, 461830.45 7355686.58 4.315)</t>
  </si>
  <si>
    <t>POINT (461831.22257341916 7355686.970890884)</t>
  </si>
  <si>
    <t>2015-11-02</t>
  </si>
  <si>
    <t>2025-11-22T10:28:04Z</t>
  </si>
  <si>
    <t>[1368]</t>
  </si>
  <si>
    <t>['KV1368 S1D1 m377']</t>
  </si>
  <si>
    <t>LINESTRING Z (266410.41003418 6625141.2800293 128.405, 266409.459960938 6625142.5 128.605, 266410.050048828 6625142.98999023 128.635, 266411.040039062 6625141.85998535 128.585, 266410.41003418 6625141.2800293 128.405)</t>
  </si>
  <si>
    <t>POINT (266410.24642222095 6625142.14375561)</t>
  </si>
  <si>
    <t>['KV1368 S1D1 m318']</t>
  </si>
  <si>
    <t>LINESTRING Z (266449.219970703 6625097.93005371 126.265, 266449.869995117 6625098.47998047 126.285, 266450.41003418 6625097.84997559 126.265, 266449.780029297 6625097.32995606 126.275, 266449.219970703 6625097.93005371 126.265)</t>
  </si>
  <si>
    <t>POINT (266449.8180076716 6625097.901412774)</t>
  </si>
  <si>
    <t>['KV1368 S1D1 m64']</t>
  </si>
  <si>
    <t>LINESTRING Z (266651.489990234 6624951.54998779 115.644, 266652.25 6624951.22998047 115.634, 266651.939941406 6624950.47998047 115.604, 266651.170043945 6624950.82000733 115.614, 266651.489990234 6624951.54998779 115.644)</t>
  </si>
  <si>
    <t>POINT (266651.7133748015 6624951.017334438)</t>
  </si>
  <si>
    <t>[3025]</t>
  </si>
  <si>
    <t>['KV3025 S1D100 m2342']</t>
  </si>
  <si>
    <t>LINESTRING Z (266881.060058594 6624849.84997559 116.734, 266881.510009766 6624850.52001953 116.744, 266882.199951172 6624850.08001709 116.754, 266881.760009766 6624849.39001465 116.734, 266881.060058594 6624849.84997559 116.734)</t>
  </si>
  <si>
    <t>POINT (266881.63239031733 6624849.9572427375)</t>
  </si>
  <si>
    <t>['KV3025 S1D100 m2084']</t>
  </si>
  <si>
    <t>LINESTRING Z (267021.510009766 6624642.13000488 115.264, 267020.790039063 6624641.88000488 115.244, 267020.520019531 6624642.64001465 115.234, 267021.25 6624642.89001465 115.234, 267021.510009766 6624642.13000488 115.264)</t>
  </si>
  <si>
    <t>POINT (267021.01673817413 6624642.386022628)</t>
  </si>
  <si>
    <t>['KV3025 S1D100 m1843']</t>
  </si>
  <si>
    <t>LINESTRING Z (267107.439941406 6624417.20999146 114.653, 267108.149902344 6624417.55999756 114.633, 267108.5 6624416.86999512 114.633, 267107.780029297 6624416.51000977 114.583, 267107.439941406 6624417.20999146 114.653)</t>
  </si>
  <si>
    <t>POINT (267107.96769343986 6624417.0357662365)</t>
  </si>
  <si>
    <t>[5250]</t>
  </si>
  <si>
    <t>['PV5250 S15D1 m7']</t>
  </si>
  <si>
    <t>LINESTRING Z (267219.120117188 6624180.75999451 108.893, 267218.770019531 6624181.47999573 108.883, 267219.510009766 6624181.83000183 108.893, 267219.850097656 6624181.08000183 108.913, 267219.120117188 6624180.75999451 108.893)</t>
  </si>
  <si>
    <t>POINT (267219.3140108383 6624181.291126685)</t>
  </si>
  <si>
    <t>['KV3025 S1D100 m1472']</t>
  </si>
  <si>
    <t>LINESTRING Z (267269.840087891 6624084.5 104.963, 267270.600097656 6624083.20999909 104.963, 267269.919921875 6624082.83000183 104.983, 267269.149902344 6624084.11000061 104.993, 267269.840087891 6624084.5 104.963)</t>
  </si>
  <si>
    <t>POINT (267269.87662098213 6624083.664565637)</t>
  </si>
  <si>
    <t>['KV3025 S1D100 m1137']</t>
  </si>
  <si>
    <t>LINESTRING Z (267438.129882813 6623795.05000305 97.753, 267438.530029297 6623794.32000732 97.743, 267437.729980469 6623793.92999268 97.743, 267437.379882813 6623794.66000366 97.743, 267438.129882813 6623795.05000305 97.753)</t>
  </si>
  <si>
    <t>POINT (267437.94754874695 6623794.486489304)</t>
  </si>
  <si>
    <t>['KV3025 S1D100 m932']</t>
  </si>
  <si>
    <t>LINESTRING Z (267545.399902344 6623619.35998535 96.922, 267544.899902344 6623619.95999145 96.902, 267545.520019531 6623620.47000122 96.942, 267546.020019531 6623619.85998535 96.922, 267545.399902344 6623619.35998535 96.922)</t>
  </si>
  <si>
    <t>POINT (267545.46021719783 6623619.913708891)</t>
  </si>
  <si>
    <t>['KV3025 S1D100 m553']</t>
  </si>
  <si>
    <t>LINESTRING Z (267844.899902344 6623391.08001709 94.032, 267845.330078125 6623391.72998047 94.042, 267846.570068359 6623390.89001465 94.082, 267846.129882812 6623390.25 94.032, 267844.899902344 6623391.08001709 94.032)</t>
  </si>
  <si>
    <t>POINT (267845.73278733663 6623390.988732074)</t>
  </si>
  <si>
    <t>2025-11-22T10:28:09Z</t>
  </si>
  <si>
    <t>['KV3025 S1D100 m481']</t>
  </si>
  <si>
    <t>LINESTRING Z (267906.360107422 6623353.60998535 96.142, 267906.760009766 6623354.30999756 96.152, 267907.479980469 6623353.86999512 96.212, 267907.080078125 6623353.16998291 96.192, 267906.360107422 6623353.60998535 96.142)</t>
  </si>
  <si>
    <t>POINT (267906.92004394537 6623353.739990234)</t>
  </si>
  <si>
    <t>['KV3025 S1D100 m681']</t>
  </si>
  <si>
    <t>LINESTRING Z (267738.189941406 6623459.70001221 97.342, 267737.580078125 6623460.09002686 97.342, 267737.939941406 6623460.67999268 97.342, 267738.560058594 6623460.29998779 97.342, 267738.189941406 6623459.70001221 97.342)</t>
  </si>
  <si>
    <t>POINT (267738.0692220355 6623460.191918591)</t>
  </si>
  <si>
    <t>2016-12-14</t>
  </si>
  <si>
    <t>2025-11-22T10:28:22Z</t>
  </si>
  <si>
    <t>['RV7 S15D120 m687']</t>
  </si>
  <si>
    <t>LINESTRING Z (129860 6731455.94 742.076, 129860.56 6731455.36 742.096, 129862.13 6731456.91 742.066, 129861.64 6731457.57 742.076, 129860 6731455.94 742.076)</t>
  </si>
  <si>
    <t>POINT (129861.08003255673 6731456.452389004)</t>
  </si>
  <si>
    <t>2019-01-10</t>
  </si>
  <si>
    <t>['RV7 S15D1 m8233']</t>
  </si>
  <si>
    <t>LINESTRING Z (129969.34 6731690.22 749.416, 129969.82 6731689.59 749.406, 129968.05 6731688.34 749.296, 129967.51 6731689.01 749.376, 129969.34 6731690.22 749.416)</t>
  </si>
  <si>
    <t>2017-03-31</t>
  </si>
  <si>
    <t>2025-11-22T10:28:33Z</t>
  </si>
  <si>
    <t>['RV7 S10D1 m6377']</t>
  </si>
  <si>
    <t>LINESTRING Z (175001.27 6735954.72 177.331, 175002.13 6735954.64 177.321, 175001.96 6735952.89 177.331, 175001.1 6735952.98 177.341, 175001.27 6735954.72 177.331)</t>
  </si>
  <si>
    <t>POINT (175001.61580156456 6735953.807255268)</t>
  </si>
  <si>
    <t>['RV7 S10D1 m6410']</t>
  </si>
  <si>
    <t>LINESTRING Z (174998.88 6735988.27 -999999, 174999.5 6735988.86 -999999, 175000.71 6735987.58 -999999, 175000.08 6735986.99 -999999, 174998.88 6735988.27 -999999)</t>
  </si>
  <si>
    <t>POINT (174999.7937460979 6735987.924497262)</t>
  </si>
  <si>
    <t>2018-05-07</t>
  </si>
  <si>
    <t>2025-11-22T10:29:22Z</t>
  </si>
  <si>
    <t>['EV18 S2D100 m660']</t>
  </si>
  <si>
    <t>LINESTRING Z (90988.75 6468274.04 3.089, 90988.31 6468275.55 2.919, 90987.43 6468275.29 3.089, 90987.92 6468273.82 3.079, 90988.75 6468274.04 3.089)</t>
  </si>
  <si>
    <t>POINT (90988.10173436403 6468274.684534844)</t>
  </si>
  <si>
    <t>2018-12-03</t>
  </si>
  <si>
    <t>2025-11-22T10:29:30Z</t>
  </si>
  <si>
    <t>[2790]</t>
  </si>
  <si>
    <t>['KV2790 S1D1 m12']</t>
  </si>
  <si>
    <t>LINESTRING Z (268312.92020028085 7039200.982354026 139.907, 268313.1502002805 7039201.832354025 139.867, 268314.67020027747 7039201.472354027 139.867, 268314.4302002778 7039200.602354029 139.917, 268312.92020028085 7039200.982354026 139.907)</t>
  </si>
  <si>
    <t>POINT (268313.79620784346 7039201.221962373)</t>
  </si>
  <si>
    <t>2019-01-17</t>
  </si>
  <si>
    <t>2025-11-22T10:29:32Z</t>
  </si>
  <si>
    <t>['EV6 S10D1 m5997 KD3 m208']</t>
  </si>
  <si>
    <t>LINESTRING Z (259467.769781077 6615022.68382525 -999999, 259468.183535166 6615022.73899246 -999999, 259468.29386959 6615023.34583179 -999999, 259467.824948289 6615023.4285826 -999999, 259467.742197471 6615022.73899246 -999999)</t>
  </si>
  <si>
    <t>['EV6 S10D1 m6133']</t>
  </si>
  <si>
    <t>LINESTRING Z (259479.136235474 6615028.39999487 -999999, 259480.017316555 6615028.36756244 -999999, 259479.957857096 6615029.65404892 -999999, 259479.120019258 6615029.64864352 -999999, 259479.14164088 6615028.40540027 -999999)</t>
  </si>
  <si>
    <t>2019-09-23</t>
  </si>
  <si>
    <t>2025-11-22T10:29:50Z</t>
  </si>
  <si>
    <t>[80]</t>
  </si>
  <si>
    <t>['RV80 S6D10 m21']</t>
  </si>
  <si>
    <t>LINESTRING Z (475472.16000000003 7462627.88 18.528, 475473.8 7462627.78 18.528, 475473.75 7462626.84 18.528, 475472.10000000003 7462626.94 18.528, 475472.16000000003 7462627.88 18.528)</t>
  </si>
  <si>
    <t>POINT (475472.9523542445 7462627.359099857)</t>
  </si>
  <si>
    <t>[15400]</t>
  </si>
  <si>
    <t>['KV15400 S4D50 m301']</t>
  </si>
  <si>
    <t>LINESTRING Z (475145.17 7462941.9 19.769, 475146.75 7462942.25 19.699, 475146.92 7462941.34 19.649, 475145.34 7462941.04 19.709, 475145.17 7462941.9 19.769)</t>
  </si>
  <si>
    <t>POINT (475146.0525431987 7462941.634972941)</t>
  </si>
  <si>
    <t>['RV80 S6D190 m3155']</t>
  </si>
  <si>
    <t>LINESTRING Z (475554.10000000003 7462477.26 19.268, 475555.72000000003 7462477.12 19.268, 475555.65 7462476.16 19.278, 475554.02 7462476.32 19.308, 475554.10000000003 7462477.26 19.268)</t>
  </si>
  <si>
    <t>POINT (475554.87542418553 7462476.713638385)</t>
  </si>
  <si>
    <t>['RV80 S6D130 m571']</t>
  </si>
  <si>
    <t>LINESTRING Z (475041.15 7462819.88 18.259, 475042.09 7462821.23 18.299, 475042.81 7462820.7 18.289, 475041.87 7462819.38 18.309, 475041.15 7462819.88 18.259)</t>
  </si>
  <si>
    <t>POINT (475041.9798752527 7462820.301067241)</t>
  </si>
  <si>
    <t>['FV834 S1D1 m10']</t>
  </si>
  <si>
    <t>LINESTRING Z (475136.23 7462839.01 18.039, 475137.38 7462839.92 18.019, 475137.92 7462839.31 18.009, 475136.73 7462838.35 18.049, 475136.23 7462839.01 18.039)</t>
  </si>
  <si>
    <t>POINT (475137.0668198859 7462839.141880468)</t>
  </si>
  <si>
    <t>['RV80 S6D1 m6094']</t>
  </si>
  <si>
    <t>LINESTRING Z (475644.36 7462579.68 18.758, 475645.18 7462581.11 18.758, 475646 7462580.640000001 18.758, 475645.18 7462579.21 18.758, 475644.36 7462579.68 18.758)</t>
  </si>
  <si>
    <t>POINT (475645.17999999993 7462580.159999999)</t>
  </si>
  <si>
    <t>['RV80 S6D130 m527']</t>
  </si>
  <si>
    <t>LINESTRING Z (475079.62 7462805.390000001 18.319, 475081.21 7462803.72 18.309, 475080.56 7462803.12 18.309, 475078.96 7462804.75 18.309, 475079.62 7462805.390000001 18.319)</t>
  </si>
  <si>
    <t>POINT (475080.0842818156 7462804.250542114)</t>
  </si>
  <si>
    <t>['FV834 S1D1 m79']</t>
  </si>
  <si>
    <t>LINESTRING Z (475152.35 7462906.86 19.039, 475153.08 7462905.45 19.029, 475153.88 7462905.84 19.009, 475153.13 7462907.25 19.039, 475152.35 7462906.86 19.039)</t>
  </si>
  <si>
    <t>POINT (475153.1120834393 7462906.3478105925)</t>
  </si>
  <si>
    <t>['FV834 S1D1 m268']</t>
  </si>
  <si>
    <t>LINESTRING Z (475156.77 7463116.18 21.45, 475157.15 7463114.67 21.43, 475158 7463114.89 21.44, 475157.61 7463116.39 21.45, 475156.77 7463116.18 21.45)</t>
  </si>
  <si>
    <t>POINT (475157.38235448557 7463115.530454337)</t>
  </si>
  <si>
    <t>['RV80 S6D100 m32']</t>
  </si>
  <si>
    <t>LINESTRING Z (475522.81 7462447.68 17.148, 475524.11 7462448.7 17.148, 475524.69 7462447.96 17.148, 475523.4 7462446.94 17.148, 475522.81 7462447.68 17.148)</t>
  </si>
  <si>
    <t>POINT (475523.7512820485 7462447.819950586)</t>
  </si>
  <si>
    <t>[11850]</t>
  </si>
  <si>
    <t>['KV11850 S2D10 m12']</t>
  </si>
  <si>
    <t>LINESTRING Z (475682.58 7462568.18 18.148, 475682.8 7462569.07 18.128, 475684.35000000003 7462568.65 18.128, 475684.11 7462567.8 18.128, 475682.58 7462568.18 18.148)</t>
  </si>
  <si>
    <t>POINT (475683.4554931138 7462568.428914828)</t>
  </si>
  <si>
    <t>['RV80 S6D11 m61']</t>
  </si>
  <si>
    <t>LINESTRING Z (475610.55 7462533.22 18.798, 475612.18 7462533.33 18.798, 475612.24 7462532.41 18.818, 475610.60000000003 7462532.28 18.778, 475610.55 7462533.22 18.798)</t>
  </si>
  <si>
    <t>POINT (475611.3894810093 7462532.808739699)</t>
  </si>
  <si>
    <t>['RV80 S6D130 m363']</t>
  </si>
  <si>
    <t>LINESTRING Z (475216.16000000003 7462713.98 17.799, 475217.49 7462713 17.799, 475216.93 7462712.24 17.799, 475215.60000000003 7462713.22 17.799, 475216.16000000003 7462713.98 17.799)</t>
  </si>
  <si>
    <t>POINT (475216.5449999999 7462713.1099999985)</t>
  </si>
  <si>
    <t>['RV80 S6D1 m6048']</t>
  </si>
  <si>
    <t>LINESTRING Z (475679.65 7462536.71 18.888, 475680.59 7462536.47 18.898, 475680.34 7462535.54 18.908, 475679.4 7462535.78 18.878, 475679.65 7462536.71 18.888)</t>
  </si>
  <si>
    <t>POINT (475679.995 7462536.125000001)</t>
  </si>
  <si>
    <t>['RV80 S6D11 m136']</t>
  </si>
  <si>
    <t>LINESTRING Z (475680.71 7462502.49 19.098, 475682.34 7462502.74 19.108, 475682.46 7462501.83 19.108, 475680.85000000003 7462501.57 19.108, 475680.71 7462502.49 19.098)</t>
  </si>
  <si>
    <t>POINT (475681.58776132035 7462502.158807687)</t>
  </si>
  <si>
    <t>['KV11850 S2D10 m147']</t>
  </si>
  <si>
    <t>LINESTRING Z (475622.93 7462466 16.578, 475623.67 7462465.47 16.568, 475622.75 7462464.17 16.588, 475622.02 7462464.68 16.598, 475622.93 7462466 16.578)</t>
  </si>
  <si>
    <t>POINT (475622.8435203054 7462465.083139535)</t>
  </si>
  <si>
    <t>['RV80 S6D190 m3128']</t>
  </si>
  <si>
    <t>LINESTRING Z (475599.53 7462492.3100000005 18.538, 475599.11 7462491.49 18.518, 475600.58 7462490.74 18.548, 475601.03 7462491.57 18.548, 475599.53 7462492.3100000005 18.538)</t>
  </si>
  <si>
    <t>POINT (475600.0667042158 7462491.527635804)</t>
  </si>
  <si>
    <t>['FV834 S1D1 m76']</t>
  </si>
  <si>
    <t>LINESTRING Z (475141.2 7462902.32 19.369, 475142.01 7462902.64 19.379, 475142.34 7462901.83 19.379, 475141.53 7462901.5 19.369, 475141.2 7462902.32 19.369)</t>
  </si>
  <si>
    <t>POINT (475141.76910404797 7462902.071637121)</t>
  </si>
  <si>
    <t>['RV80 S6D10 m14']</t>
  </si>
  <si>
    <t>LINESTRING Z (475480.25 7462631.95 17.728, 475481.82 7462632.19 17.738, 475481.95 7462631.32 17.738, 475480.38 7462631.08 17.738, 475480.25 7462631.95 17.728)</t>
  </si>
  <si>
    <t>POINT (475481.10000000003 7462631.635000001)</t>
  </si>
  <si>
    <t>['RV80 S6D1 m6284 KD1 m106']</t>
  </si>
  <si>
    <t>LINESTRING Z (475546.21 7462498.79 19.778, 475546.21 7462497.850000001 19.778, 475547.86 7462497.850000001 19.778, 475547.86 7462498.79 19.778, 475546.21 7462498.79 19.778)</t>
  </si>
  <si>
    <t>POINT (475547.035 7462498.319999999)</t>
  </si>
  <si>
    <t>['RV80 S6D160 m69']</t>
  </si>
  <si>
    <t>LINESTRING Z (475462.99 7462447.36 16.438, 475464.13 7462449.350000001 16.428, 475464.9 7462448.890000001 16.418, 475463.76 7462446.91 16.428, 475462.99 7462447.36 16.438)</t>
  </si>
  <si>
    <t>POINT (475463.9449310715 7462448.128602868)</t>
  </si>
  <si>
    <t>['RV80 S6D130 m526']</t>
  </si>
  <si>
    <t>LINESTRING Z (475080.93 7462804.850000001 18.439, 475081.59 7462805.48 18.449, 475082.71 7462804.32 18.469, 475082.05 7462803.68 18.439, 475080.93 7462804.850000001 18.439)</t>
  </si>
  <si>
    <t>POINT (475081.82029693876 7462804.581250478)</t>
  </si>
  <si>
    <t>['RV80 S6D1 m6231']</t>
  </si>
  <si>
    <t>LINESTRING Z (475521.11 7462565.73 19.858, 475521.73 7462566.37 19.848, 475522.39 7462565.7700000005 19.858, 475521.79000000004 7462565.09 19.848, 475521.11 7462565.73 19.858)</t>
  </si>
  <si>
    <t>POINT (475521.75293825066 7462565.734837965)</t>
  </si>
  <si>
    <t>['RV80 S6D1 m6187']</t>
  </si>
  <si>
    <t>LINESTRING Z (475553.86 7462603.73 19.388, 475554.99 7462602.53 19.388, 475555.56 7462603.2 19.388, 475554.43 7462604.2700000005 19.378, 475553.86 7462603.73 19.388)</t>
  </si>
  <si>
    <t>POINT (475554.7155732465 7462603.415767484)</t>
  </si>
  <si>
    <t>['RV80 S6D1 m6215']</t>
  </si>
  <si>
    <t>LINESTRING Z (475480.22000000003 7462586.48 19.158, 475479.51 7462585.97 19.148, 475478.58 7462587.21 19.138, 475479.27 7462587.7 19.138, 475480.22000000003 7462586.48 19.158)</t>
  </si>
  <si>
    <t>POINT (475479.397450093 7462586.836243359)</t>
  </si>
  <si>
    <t>['RV80 S6D130 m522']</t>
  </si>
  <si>
    <t>LINESTRING Z (475065.77 7462788.08 18.709, 475066.24 7462788.79 18.709, 475067.56 7462788.04 18.709, 475067.15 7462787.28 18.729, 475065.77 7462788.08 18.709)</t>
  </si>
  <si>
    <t>POINT (475066.67818219546 7462788.040676075)</t>
  </si>
  <si>
    <t>['RV80 S6D10 m16']</t>
  </si>
  <si>
    <t>LINESTRING Z (475468.82 7462596.9 18.878, 475469.3 7462597.63 18.878, 475467.97000000003 7462598.48 18.868, 475467.5 7462597.74 18.848, 475468.82 7462596.9 18.878)</t>
  </si>
  <si>
    <t>POINT (475468.39776796894 7462597.688793551)</t>
  </si>
  <si>
    <t>['RV80 S6D10 m405']</t>
  </si>
  <si>
    <t>LINESTRING Z (475113.06 7462840.55 17.219, 475113.94 7462840.3 17.219, 475113.69 7462839.41 17.219, 475112.8 7462839.68 17.209, 475113.06 7462840.55 17.219)</t>
  </si>
  <si>
    <t>POINT (475113.3739484608 7462839.982596857)</t>
  </si>
  <si>
    <t>[16330]</t>
  </si>
  <si>
    <t>['KV16330 S1D1 m22']</t>
  </si>
  <si>
    <t>LINESTRING Z (475215.09 7462901.33 18.939, 475216.68 7462901.07 18.929, 475216.57 7462900.21 18.949, 475214.97000000003 7462900.46 18.939, 475215.09 7462901.33 18.939)</t>
  </si>
  <si>
    <t>POINT (475215.82560414315 7462900.767066686)</t>
  </si>
  <si>
    <t>['KV11850 S2D10 m92']</t>
  </si>
  <si>
    <t>LINESTRING Z (475660.23 7462511.97 18.768, 475661.02 7462512.44 18.768, 475661.85000000003 7462511.04 18.748, 475661.06 7462510.5600000005 18.758, 475660.23 7462511.97 18.768)</t>
  </si>
  <si>
    <t>POINT (475661.0397528155 7462511.501390862)</t>
  </si>
  <si>
    <t>['RV80 S6D130 m12']</t>
  </si>
  <si>
    <t>LINESTRING Z (475494.51 7462507.83 15.238, 475496.14 7462506.24 15.228, 475495.51 7462505.58 15.198, 475493.87 7462507.22 15.278, 475494.51 7462507.83 15.238)</t>
  </si>
  <si>
    <t>POINT (475495.00901751156 7462506.711830012)</t>
  </si>
  <si>
    <t>['RV80 S6D10 m204']</t>
  </si>
  <si>
    <t>LINESTRING Z (475294.86 7462678.23 18.499, 475295.66000000003 7462677.76 18.599, 475295.16000000003 7462676.96 18.509, 475294.36 7462677.45 18.539, 475294.86 7462678.23 18.499)</t>
  </si>
  <si>
    <t>POINT (475295.0111208498 7462677.597826434)</t>
  </si>
  <si>
    <t>['RV80 S6D130 m71']</t>
  </si>
  <si>
    <t>LINESTRING Z (475455.68 7462548.63 17.138, 475453.88 7462550.05 17.138, 475454.43 7462550.75 17.108, 475456.23 7462549.33 17.128, 475455.68 7462548.63 17.138)</t>
  </si>
  <si>
    <t>POINT (475455.05499999993 7462549.69)</t>
  </si>
  <si>
    <t>['KV11850 S2D10 m82']</t>
  </si>
  <si>
    <t>LINESTRING Z (475652 7462523.36 16.778, 475652.87 7462523.19 16.798, 475652.58 7462521.600000001 16.788, 475651.71 7462521.7700000005 16.778, 475652 7462523.36 16.778)</t>
  </si>
  <si>
    <t>POINT (475652.29 7462522.480000002)</t>
  </si>
  <si>
    <t>['RV80 S6D190 m3140']</t>
  </si>
  <si>
    <t>LINESTRING Z (475565.88 7462466.600000001 16.768, 475567.29000000004 7462465.72 16.788, 475566.76 7462465.01 16.788, 475565.37 7462465.9 16.768, 475565.88 7462466.600000001 16.768)</t>
  </si>
  <si>
    <t>POINT (475566.3283466078 7462465.806564378)</t>
  </si>
  <si>
    <t>['RV80 S6D130 m530']</t>
  </si>
  <si>
    <t>LINESTRING Z (475066.16000000003 7462788.86 18.709, 475065.7 7462788.08 18.699, 475064.37 7462788.95 18.719, 475064.81 7462789.69 18.719, 475066.16000000003 7462788.86 18.709)</t>
  </si>
  <si>
    <t>POINT (475065.2658429687 7462788.890813624)</t>
  </si>
  <si>
    <t>['KV15400 S4D51 m7']</t>
  </si>
  <si>
    <t>LINESTRING Z (475023.07 7462845.55 18.659, 475023.79000000004 7462845.07 18.679, 475022.89 7462843.74 18.659, 475022.17 7462844.28 18.649, 475023.07 7462845.55 18.659)</t>
  </si>
  <si>
    <t>POINT (475022.9804378943 7462844.65287454)</t>
  </si>
  <si>
    <t>['RV80 S6D250 m433']</t>
  </si>
  <si>
    <t>LINESTRING Z (475625.59 7462413.26 17.568, 475627.78 7462412.600000001 17.588, 475627.5 7462411.74 17.578, 475625.32 7462412.43 17.578, 475625.59 7462413.26 17.568)</t>
  </si>
  <si>
    <t>POINT (475626.55295465473 7462412.505866146)</t>
  </si>
  <si>
    <t>['RV80 S6D190 m3118']</t>
  </si>
  <si>
    <t>LINESTRING Z (475582.93 7462451.34 17.048, 475583.97000000003 7462450.0600000005 17.048, 475584.7 7462450.65 17.048, 475583.65 7462451.93 17.048, 475582.93 7462451.34 17.048)</t>
  </si>
  <si>
    <t>POINT (475583.81372627575 7462450.9944012035)</t>
  </si>
  <si>
    <t>['RV80 S6D250 m510']</t>
  </si>
  <si>
    <t>LINESTRING Z (475565.03 7462458.92 16.508, 475566.82 7462457.5 16.598, 475567.4 7462458.2 16.598, 475565.61 7462459.63 16.508, 475565.03 7462458.92 16.508)</t>
  </si>
  <si>
    <t>POINT (475566.2142025066 7462458.563702431)</t>
  </si>
  <si>
    <t>['KV16330 S1D1 m78']</t>
  </si>
  <si>
    <t>LINESTRING Z (475267.61 7462921.01 18.099, 475269.22000000003 7462921.23 18.079, 475269.31 7462920.350000001 18.089, 475267.77 7462920.12 18.089, 475267.61 7462921.01 18.099)</t>
  </si>
  <si>
    <t>POINT (475268.47352919437 7462920.6830973)</t>
  </si>
  <si>
    <t>['RV80 S6D1 m6053']</t>
  </si>
  <si>
    <t>LINESTRING Z (475675.22000000003 7462538.8100000005 19.888, 475676.07 7462538.57 19.888, 475675.83 7462537.71 19.888, 475674.97000000003 7462537.93 19.888, 475675.22000000003 7462538.8100000005 19.888)</t>
  </si>
  <si>
    <t>POINT (475675.51972374227 7462538.2551635)</t>
  </si>
  <si>
    <t>['RV80 S6D1 m6209 KD1 m113']</t>
  </si>
  <si>
    <t>LINESTRING Z (475498.59 7462603.2 19.328, 475499.53 7462603.15 19.328, 475499.44 7462601.5 19.328, 475498.5 7462601.55 19.328, 475498.59 7462603.2 19.328)</t>
  </si>
  <si>
    <t>POINT (475499.015 7462602.35)</t>
  </si>
  <si>
    <t>['KV15400 S4D50 m39']</t>
  </si>
  <si>
    <t>LINESTRING Z (474970.78 7462758.68 18.229, 474971.89 7462759.8 18.259, 474972.51 7462759.21 18.269, 474971.41000000003 7462758.07 18.239, 474970.78 7462758.68 18.229)</t>
  </si>
  <si>
    <t>POINT (474971.6455885365 7462758.9371201135)</t>
  </si>
  <si>
    <t>['RV80 S6D1 m6200']</t>
  </si>
  <si>
    <t>LINESTRING Z (475531.37 7462574.2 19.708, 475533.02 7462574.15 19.708, 475532.99 7462573.21 19.708, 475531.34 7462573.26 19.708, 475531.37 7462574.2 19.708)</t>
  </si>
  <si>
    <t>POINT (475532.17999999993 7462573.704999998)</t>
  </si>
  <si>
    <t>['RV80 S6D1 m6049']</t>
  </si>
  <si>
    <t>LINESTRING Z (475685.35000000003 7462559.97 19.758, 475686.22000000003 7462559.75 19.768, 475686 7462558.9 19.768, 475685.14 7462559.12 19.768, 475685.35000000003 7462559.97 19.758)</t>
  </si>
  <si>
    <t>POINT (475685.6780941212 7462559.436087742)</t>
  </si>
  <si>
    <t>['RV80 S6D190 m3133']</t>
  </si>
  <si>
    <t>LINESTRING Z (475589.77 7462485.600000001 20.048, 475589 7462485.17 20.048, 475589.42 7462484.38 20.058, 475590.22000000003 7462484.8100000005 20.058, 475589.77 7462485.600000001 20.048)</t>
  </si>
  <si>
    <t>POINT (475589.60567232594 7462484.98797393)</t>
  </si>
  <si>
    <t>['RV80 S6D1 m6197']</t>
  </si>
  <si>
    <t>LINESTRING Z (475540.58 7462591.100000001 19.608, 475541.39 7462590.73 19.588, 475541.03 7462589.9 19.578, 475540.2 7462590.28 19.608, 475540.58 7462591.100000001 19.608)</t>
  </si>
  <si>
    <t>POINT (475540.79896207276 7462590.499898978)</t>
  </si>
  <si>
    <t>['KV15400 S4D51 m46']</t>
  </si>
  <si>
    <t>LINESTRING Z (474997.38 7462812.65 19.549, 474998.24 7462812.76 19.539, 474998.52 7462810.5 19.539, 474997.64 7462810.38 19.529, 474997.38 7462812.65 19.549)</t>
  </si>
  <si>
    <t>POINT (474997.9449309849 7462811.568641786)</t>
  </si>
  <si>
    <t>['RV80 S6D130 m671']</t>
  </si>
  <si>
    <t>LINESTRING Z (474968.25 7462892.9 19.359, 474969.51 7462891.91 19.359, 474969.01 7462891.17 19.369, 474967.64 7462892.23 19.359, 474968.25 7462892.9 19.359)</t>
  </si>
  <si>
    <t>POINT (474968.59381860273 7462892.044886564)</t>
  </si>
  <si>
    <t>['RV80 S6D10 m56']</t>
  </si>
  <si>
    <t>LINESTRING Z (475429.93 7462613.19 18.428, 475430.35000000003 7462614.0200000005 18.418, 475431.16000000003 7462613.61 18.428, 475430.75 7462612.78 18.428, 475429.93 7462613.19 18.428)</t>
  </si>
  <si>
    <t>POINT (475430.54650124314 7462613.39924183)</t>
  </si>
  <si>
    <t>['RV80 S6D11 m143']</t>
  </si>
  <si>
    <t>LINESTRING Z (475690.62 7462515.15 19.318, 475692.3 7462515.18 19.318, 475692.31 7462514.22 19.328, 475690.64 7462514.18 19.328, 475690.62 7462515.15 19.318)</t>
  </si>
  <si>
    <t>POINT (475691.46587579016 7462514.6833607135)</t>
  </si>
  <si>
    <t>LINESTRING Z (474966.59 7462890.890000001 19.419, 474967.84 7462889.890000001 19.409, 474967.41000000003 7462889.34 19.409, 474966.13 7462890.36 19.399, 474966.59 7462890.890000001 19.419)</t>
  </si>
  <si>
    <t>POINT (474966.99027956004 7462890.118305204)</t>
  </si>
  <si>
    <t>['RV80 S6D1 m6035']</t>
  </si>
  <si>
    <t>LINESTRING Z (475697.91000000003 7462555.91 19.428, 475699.49 7462555.600000001 19.398, 475699.31 7462554.75 19.378, 475697.76 7462555.07 19.388, 475697.91000000003 7462555.91 19.428)</t>
  </si>
  <si>
    <t>POINT (475698.6204381444 7462555.334359828)</t>
  </si>
  <si>
    <t>['RV80 S6D1 m6324']</t>
  </si>
  <si>
    <t>LINESTRING Z (475495.01 7462472.03 17.128, 475496.02 7462473.29 17.138, 475496.72000000003 7462472.72 17.158, 475495.72000000003 7462471.48 17.158, 475495.01 7462472.03 17.128)</t>
  </si>
  <si>
    <t>POINT (475495.86642443965 7462472.381796774)</t>
  </si>
  <si>
    <t>['RV80 S6D10 m388 KD1 m18']</t>
  </si>
  <si>
    <t>LINESTRING Z (475134.64 7462806.84 18.129, 475135.48 7462807.13 18.129, 475135.99 7462805.61 18.149, 475135.15 7462805.32 18.149, 475134.64 7462806.84 18.129)</t>
  </si>
  <si>
    <t>POINT (475135.31499999994 7462806.225)</t>
  </si>
  <si>
    <t>['FV834 S1D1 m84']</t>
  </si>
  <si>
    <t>LINESTRING Z (475140.53 7462912.26 17.859, 475142.05 7462911.6 17.829, 475142.42 7462912.44 17.829, 475140.91 7462913.1 17.859, 475140.53 7462912.26 17.859)</t>
  </si>
  <si>
    <t>POINT (475141.4765656958 7462912.34951306)</t>
  </si>
  <si>
    <t>2025-11-22T10:29:53Z</t>
  </si>
  <si>
    <t>['RV80 S6D130 m83']</t>
  </si>
  <si>
    <t>LINESTRING Z (475448.9 7462557.61 17.378, 475449.48 7462558.29 17.388, 475448.27 7462559.33 17.388, 475447.69 7462558.67 17.388, 475448.9 7462557.61 17.378)</t>
  </si>
  <si>
    <t>POINT (475448.58607439534 7462558.472522462)</t>
  </si>
  <si>
    <t>['RV80 S6D130 m679']</t>
  </si>
  <si>
    <t>LINESTRING Z (474958.98 7462892.92 19.609, 474959.73 7462892.41 19.609, 474959.19 7462891.640000001 19.619, 474958.44 7462892.16 19.629, 474958.98 7462892.92 19.609)</t>
  </si>
  <si>
    <t>POINT (474959.08541579056 7462892.281343881)</t>
  </si>
  <si>
    <t>['KV11850 S1D10 m607']</t>
  </si>
  <si>
    <t>LINESTRING Z (475707.56 7462586.36 16.378, 475708.44 7462586.18 16.388, 475708.27 7462585.3 16.388, 475707.38 7462585.49 16.398, 475707.56 7462586.36 16.378)</t>
  </si>
  <si>
    <t>POINT (475707.9131778967 7462585.830857015)</t>
  </si>
  <si>
    <t>['RV80 S6D130 m575']</t>
  </si>
  <si>
    <t>LINESTRING Z (475044.94 7462835.33 17.869, 475046.3 7462834.51 17.879, 475045.85000000003 7462833.76 17.869, 475044.49 7462834.58 17.859, 475044.94 7462835.33 17.869)</t>
  </si>
  <si>
    <t>POINT (475045.39499999996 7462834.545000001)</t>
  </si>
  <si>
    <t>['KV11850 S2D10 m138']</t>
  </si>
  <si>
    <t>LINESTRING Z (475633.03 7462467.86 18.498, 475634.66000000003 7462467.68 18.478, 475634.54000000004 7462466.75 18.498, 475632.92 7462466.92 18.488, 475633.03 7462467.86 18.498)</t>
  </si>
  <si>
    <t>POINT (475633.7862504207 7462467.303646978)</t>
  </si>
  <si>
    <t>['FV834 S1D1 m84 KD1 m58']</t>
  </si>
  <si>
    <t>LINESTRING Z (475173.18 7462916.1 19.959, 475173.94 7462914.69 19.959, 475173.15 7462914.32 20.009, 475172.42 7462915.7 19.979, 475173.18 7462916.1 19.959)</t>
  </si>
  <si>
    <t>POINT (475173.17674291134 7462915.202170341)</t>
  </si>
  <si>
    <t>['RV80 S6D1 m6036']</t>
  </si>
  <si>
    <t>LINESTRING Z (475691.02 7462532.13 21.718, 475692.56 7462531.79 21.728, 475692.38 7462530.96 21.708, 475690.84 7462531.3 21.718, 475691.02 7462532.13 21.718)</t>
  </si>
  <si>
    <t>POINT (475691.69999999995 7462531.544999999)</t>
  </si>
  <si>
    <t>['KV11850 S2D10 m186']</t>
  </si>
  <si>
    <t>LINESTRING Z (475600.32 7462433.32 16.288, 475601.24 7462434.68 16.318, 475602.01 7462434.16 16.298, 475601.08 7462432.8100000005 16.308, 475600.32 7462433.32 16.288)</t>
  </si>
  <si>
    <t>POINT (475601.16355682217 7462433.744466275)</t>
  </si>
  <si>
    <t>['RV80 S6D1 m6284 KD1 m12']</t>
  </si>
  <si>
    <t>LINESTRING Z (475576.67 7462502.8100000005 20.208, 475577.52 7462503.03 20.208, 475577.84 7462501.5 20.218, 475577.04000000004 7462501.28 20.188, 475576.67 7462502.8100000005 20.208)</t>
  </si>
  <si>
    <t>POINT (475577.26484364533 7462502.162378405)</t>
  </si>
  <si>
    <t>['RV80 S6D130 m6']</t>
  </si>
  <si>
    <t>LINESTRING Z (475504.32 7462508.890000001 14.948, 475503.71 7462508.17 14.948, 475504.97000000003 7462507.11 14.948, 475505.57 7462507.82 14.948, 475504.32 7462508.890000001 14.948)</t>
  </si>
  <si>
    <t>POINT (475504.6407202673 7462507.99887303)</t>
  </si>
  <si>
    <t>['RV80 S6D1 m6257']</t>
  </si>
  <si>
    <t>LINESTRING Z (475502.7 7462530.47 17.998, 475503.65 7462529.2 18.028, 475502.93 7462528.65 18.008, 475501.98 7462529.93 17.978, 475502.7 7462530.47 17.998)</t>
  </si>
  <si>
    <t>POINT (475502.8149959896 7462529.561290099)</t>
  </si>
  <si>
    <t>['FV834 S1D1 m6']</t>
  </si>
  <si>
    <t>LINESTRING Z (475164.05 7462820.8 18.229, 475164.93 7462820.69 18.249, 475164.72 7462819.11 18.279, 475163.89 7462819.22 18.239, 475164.05 7462820.8 18.229)</t>
  </si>
  <si>
    <t>POINT (475164.3989416079 7462819.962920184)</t>
  </si>
  <si>
    <t>['RV80 S6D130 m579']</t>
  </si>
  <si>
    <t>LINESTRING Z (475032.16000000003 7462820.86 21.719, 475032.9 7462820.32 21.719, 475032.37 7462819.62 21.709, 475031.65 7462820.140000001 21.689, 475032.16000000003 7462820.86 21.719)</t>
  </si>
  <si>
    <t>POINT (475032.27159546426 7462820.238103002)</t>
  </si>
  <si>
    <t>['FV834 S1D1 m281']</t>
  </si>
  <si>
    <t>LINESTRING Z (475151.05 7463128.59 20.73, 475151.96 7463128.83 20.72, 475152.24 7463127.83 20.72, 475151.26 7463127.63 20.73, 475151.05 7463128.59 20.73)</t>
  </si>
  <si>
    <t>POINT (475151.63597559766 7463128.21424164)</t>
  </si>
  <si>
    <t>['RV80 S6D10 m456']</t>
  </si>
  <si>
    <t>LINESTRING Z (475070.34 7462868.72 16.719, 475071.67 7462867.84 16.729, 475071.15 7462867.0600000005 16.689, 475069.79000000004 7462868 16.649, 475070.34 7462868.72 16.719)</t>
  </si>
  <si>
    <t>POINT (475070.73857671634 7462867.897887035)</t>
  </si>
  <si>
    <t>2022-07-21</t>
  </si>
  <si>
    <t>2025-11-22T10:30:00Z</t>
  </si>
  <si>
    <t>[37]</t>
  </si>
  <si>
    <t>['FV37 S9D1 m112']</t>
  </si>
  <si>
    <t>LINESTRING Z (140254.83 6655480.11 348.703, 140254.57 6655479.39 348.693, 140256.11 6655478.86 348.593, 140256.28 6655479.59 348.623, 140254.83 6655480.11 348.713)</t>
  </si>
  <si>
    <t>['FV37 S9D1 m605']</t>
  </si>
  <si>
    <t>LINESTRING Z (140741.08 6655424.13 342.674, 140740.92 6655423.4 342.644, 140742.39 6655423.07 342.634, 140742.57 6655423.98 342.664, 140741.08 6655424.13 342.674)</t>
  </si>
  <si>
    <t>['FV37 S9D1 m603']</t>
  </si>
  <si>
    <t>LINESTRING Z (140739.98 6655412.84 342.424, 140738.51 6655413.17 342.424, 140738.35 6655412.44 342.414, 140739.82 6655412.11 342.404, 140739.98 6655412.84 342.424)</t>
  </si>
  <si>
    <t>['FV37 S9D1 m604']</t>
  </si>
  <si>
    <t>LINESTRING Z (140738.51 6655409.25 342.534, 140738.61 6655410.36 342.514, 140737.87 6655410.43 342.544, 140737.76 6655409.32 342.574, 140738.6 6655409.24 342.544)</t>
  </si>
  <si>
    <t>['FV37 S9D1 m599']</t>
  </si>
  <si>
    <t>LINESTRING Z (140735.09 6655412.76 342.594, 140735.16 6655413.5 342.624, 140734.16 6655413.78 342.624, 140733.9 6655413.06 342.604, 140735.09 6655412.76 342.594)</t>
  </si>
  <si>
    <t>['FV37 S9D1 m620']</t>
  </si>
  <si>
    <t>LINESTRING Z (140753.98 6655409.98 342.414, 140756.04 6655409.97 342.424, 140756.06 6655409.22 342.384, 140753.83 6655409.44 342.404, 140753.9 6655410.18 342.414)</t>
  </si>
  <si>
    <t>['FV37 S9D1 m820']</t>
  </si>
  <si>
    <t>LINESTRING Z (140951.9 6655407.15 340.495, 140952.51 6655409.52 340.415, 140954.23 6655406.92 339.845, 140953.89 6655406.4 339.995, 140952.27 6655408.98 340.495)</t>
  </si>
  <si>
    <t>['FV37 S9D1 m845']</t>
  </si>
  <si>
    <t>LINESTRING Z (140977.37 6655404.48 342.695, 140978.11 6655404.41 342.735, 140978.04 6655403.67 342.755, 140977.3 6655403.74 342.685, 140977.35 6655404.3 342.665)</t>
  </si>
  <si>
    <t>['FV37 S9D1 m1390']</t>
  </si>
  <si>
    <t>LINESTRING Z (141486.43 6655241.23 342.767, 141486.58 6655241.77 342.737, 141488.01 6655242.01 342.757, 141488.03 6655241.26 342.777, 141486.53 6655241.22 342.777)</t>
  </si>
  <si>
    <t>LINESTRING Z (141487.4 6655251.22 342.827, 141486.75 6655251.28 342.807, 141486.8 6655252.77 342.797, 141487.36 6655252.72 342.797, 141487.33 6655251.41 342.807)</t>
  </si>
  <si>
    <t>['FV37 S9D1 m1471']</t>
  </si>
  <si>
    <t>LINESTRING Z (141568.8 6655247.23 342.328, 141569.65 6655247.33 342.338, 141569.67 6655246.58 342.338, 141569 6655246.46 342.348, 141568.8 6655247.23 342.328)</t>
  </si>
  <si>
    <t>['FV37 S9D1 m1472']</t>
  </si>
  <si>
    <t>LINESTRING Z (141568.37 6655257.36 342.368, 141567.63 6655257.43 342.378, 141567.51 6655258.19 342.408, 141568.18 6655258.31 342.388, 141568.37 6655257.36 342.378)</t>
  </si>
  <si>
    <t>['FV37 S9D1 m1565']</t>
  </si>
  <si>
    <t>LINESTRING Z (141658.63 6655276.98 341.128, 141660.73 6655277.33 341.098, 141660.61 6655278.09 341.148, 141658.53 6655277.92 341.138, 141658.65 6655277.16 341.118)</t>
  </si>
  <si>
    <t>['FV37 S9D1 m1715']</t>
  </si>
  <si>
    <t>LINESTRING Z (141809.27 6655268.7 339.749, 141809.23 6655269.26 339.749, 141810.49 6655269.7 339.729, 141810.6 6655268.94 339.759, 141809.36 6655268.69 339.739)</t>
  </si>
  <si>
    <t>['FV37 S9D1 m1855']</t>
  </si>
  <si>
    <t>LINESTRING Z (141948.83 6655284.66 336.479, 141950.24 6655284.71 336.439, 141950.28 6655284.15 336.449, 141948.95 6655283.9 336.499, 141948.92 6655284.65 336.489)</t>
  </si>
  <si>
    <t>['FV37 S9D1 m1944']</t>
  </si>
  <si>
    <t>LINESTRING Z (142037 6655289.55 335.999, 142039.14 6655289.34 335.959, 142038.99 6655288.8 335.949, 142036.91 6655288.63 335.979, 142037 6655289.55 336.009)</t>
  </si>
  <si>
    <t>['FV37 S9D1 m2073']</t>
  </si>
  <si>
    <t>LINESTRING Z (142165.8 6655276.87 334.87, 142168.03 6655276.65 334.88, 142167.88 6655276.11 334.89, 142165.73 6655276.13 334.89, 142165.71 6655276.88 334.87)</t>
  </si>
  <si>
    <t>['FV37 S9D1 m2182']</t>
  </si>
  <si>
    <t>LINESTRING Z (142274.8 6655273.95 333.15, 142276.21 6655274 333.14, 142276.25 6655273.44 333.13, 142275.04 6655273.56 333.13, 142274.8 6655273.95 333.16)</t>
  </si>
  <si>
    <t>['FV37 S9D1 m2309']</t>
  </si>
  <si>
    <t>LINESTRING Z (142404.5 6655281.18 328.711, 142403.57 6655281.27 328.771, 142403.27 6655281.11 328.721, 142404.37 6655281.75 328.721, 142404.52 6655281.36 328.711)</t>
  </si>
  <si>
    <t>['FV37 S9D1 m2334']</t>
  </si>
  <si>
    <t>LINESTRING Z (142423.85 6655261 327.351, 142425.94 6655260.24 327.301, 142425.59 6655259.52 327.271, 142423.6 6655260.28 327.301, 142423.85 6655261 327.321)</t>
  </si>
  <si>
    <t>2019-12-10</t>
  </si>
  <si>
    <t>2025-11-22T10:30:09Z</t>
  </si>
  <si>
    <t>[1718]</t>
  </si>
  <si>
    <t>['FV1718 S1D1 m2007']</t>
  </si>
  <si>
    <t>LINESTRING Z (281551.87657853577 6757882.810994707 268.472, 281550.93895056774 6757881.570913639 268.372, 281551.6640075431 6757881.042228713 268.402, 281552.6097693299 6757882.261470263 268.522, 281551.87657853577 6757882.810994707 268.472)</t>
  </si>
  <si>
    <t>POINT (281551.773280235 6757881.9244081685)</t>
  </si>
  <si>
    <t>['FV1718 S1D1 m2783']</t>
  </si>
  <si>
    <t>LINESTRING Z (281968.9022245336 6758514.675441293 312.936, 281968.1535898266 6758515.16610697 312.876, 281969.03876134707 6758516.49136609 312.866, 281969.7647277119 6758515.9726416385 312.906, 281968.9022245336 6758514.675441293 312.936)</t>
  </si>
  <si>
    <t>POINT (281968.96189201117 6758515.577845204)</t>
  </si>
  <si>
    <t>2020-02-06</t>
  </si>
  <si>
    <t>2025-11-22T10:30:13Z</t>
  </si>
  <si>
    <t>[810]</t>
  </si>
  <si>
    <t>['FV810 S1D1 m8898']</t>
  </si>
  <si>
    <t>LINESTRING Z (456562.45 7354967.78 35.848, 456563.69 7354968.62 35.828, 456563.96 7354967.850000001 35.828, 456562.79000000004 7354967.15 35.858, 456562.45 7354967.78 35.848)</t>
  </si>
  <si>
    <t>POINT (456563.2315625146 7354967.869471785)</t>
  </si>
  <si>
    <t>['FV810 S1D1 m8103']</t>
  </si>
  <si>
    <t>LINESTRING Z (457230.56 7355388.7 27.818, 457231.77 7355389.43 27.778, 457232.24 7355388.67 27.798, 457230.83 7355388.04 27.818, 457230.56 7355388.7 27.818)</t>
  </si>
  <si>
    <t>POINT (457231.38122045196 7355388.713241683)</t>
  </si>
  <si>
    <t>2025-11-22T10:30:15Z</t>
  </si>
  <si>
    <t>['FV810 S1D1 m7871']</t>
  </si>
  <si>
    <t>LINESTRING Z (457427.64 7355512.7700000005 21.828, 457428.27 7355514.13 21.818, 457428.96 7355513.75 21.808, 457428.2 7355512.53 21.828, 457427.64 7355512.7700000005 21.828)</t>
  </si>
  <si>
    <t>POINT (457428.2773779623 7355513.323762504)</t>
  </si>
  <si>
    <t>['FV810 S1D1 m9376']</t>
  </si>
  <si>
    <t>LINESTRING Z (456139.67 7354749.73 42.108, 456141.01 7354750.44 42.118, 456141.35000000003 7354749.71 42.108, 456139.97000000003 7354749.05 42.088, 456139.67 7354749.73 42.108)</t>
  </si>
  <si>
    <t>POINT (456140.50964515895 7354749.736111037)</t>
  </si>
  <si>
    <t>['FV810 S1D1 m9101']</t>
  </si>
  <si>
    <t>LINESTRING Z (456389.34 7354862.43 43.108, 456390.71 7354863.04 43.088, 456390.95 7354862.28 43.078, 456389.66000000003 7354861.7700000005 43.128, 456389.34 7354862.43 43.108)</t>
  </si>
  <si>
    <t>POINT (456390.17099512095 7354862.393067746)</t>
  </si>
  <si>
    <t>['FV810 S1D1 m9760']</t>
  </si>
  <si>
    <t>LINESTRING Z (455771.97000000003 7354713.2700000005 21.628, 455773.4 7354712.73 21.638, 455773.04000000004 7354711.97 21.688, 455771.71 7354712.63 21.678, 455771.97000000003 7354713.2700000005 21.628)</t>
  </si>
  <si>
    <t>POINT (455772.5542894059 7354712.643462225)</t>
  </si>
  <si>
    <t>['FV810 S1D1 m10213']</t>
  </si>
  <si>
    <t>LINESTRING Z (455559.68 7354821.48 15.408, 455560.94 7354820.73 15.398, 455560.55 7354820.12 15.408, 455559.28 7354820.93 15.428, 455559.68 7354821.48 15.408)</t>
  </si>
  <si>
    <t>POINT (455560.1170454818 7354820.80843409)</t>
  </si>
  <si>
    <t>['FV810 S1D1 m9103']</t>
  </si>
  <si>
    <t>LINESTRING Z (456396.56 7354844.71 43.338, 456397.93 7354845.24 43.308, 456398.19 7354844.640000001 43.288, 456396.88 7354844.07 43.318, 456396.56 7354844.71 43.338)</t>
  </si>
  <si>
    <t>POINT (456397.3789531527 7354844.663956553)</t>
  </si>
  <si>
    <t>['FV810 S1D1 m8616']</t>
  </si>
  <si>
    <t>LINESTRING Z (456790.29000000004 7355130.07 33.448, 456791.81 7355131.19 33.428, 456791.99 7355130.42 33.448, 456790.86 7355129.45 33.478, 456790.29000000004 7355130.07 33.448)</t>
  </si>
  <si>
    <t>POINT (456791.21577221906 7355130.304798118)</t>
  </si>
  <si>
    <t>['FV810 S1D1 m10419']</t>
  </si>
  <si>
    <t>LINESTRING Z (455180.8 7355005.23 11.708, 455181.82 7355004.24 11.708, 455182.39 7355004.61 11.708, 455181.4 7355005.74 11.698, 455180.8 7355005.23 11.708)</t>
  </si>
  <si>
    <t>POINT (455181.59553938435 7355004.972077869)</t>
  </si>
  <si>
    <t>['FV810 S1D1 m9221']</t>
  </si>
  <si>
    <t>LINESTRING Z (456284.02 7354805.32 44.448, 456285.51 7354805.850000001 44.468, 456285.82 7354805.08 44.438, 456284.26 7354804.59 44.398, 456284.02 7354805.32 44.448)</t>
  </si>
  <si>
    <t>POINT (456284.9137911154 7354805.209081917)</t>
  </si>
  <si>
    <t>['FV810 S1D1 m9611']</t>
  </si>
  <si>
    <t>LINESTRING Z (455915.72000000003 7354674.08 31.048, 455917.16000000003 7354674.26 31.148, 455917.22000000003 7354673.55 31.128, 455915.73 7354673.36 31.038, 455915.72000000003 7354674.08 31.048)</t>
  </si>
  <si>
    <t>POINT (455916.4564438595 7354673.808195412)</t>
  </si>
  <si>
    <t>['FV810 S1D1 m8380']</t>
  </si>
  <si>
    <t>LINESTRING Z (456982.16000000003 7355269.75 32.078, 456983.59 7355270.26 32.028, 456983.75 7355269.58 32.018, 456982.46 7355268.9 32.058, 456982.16000000003 7355269.75 32.078)</t>
  </si>
  <si>
    <t>POINT (456982.9583568567 7355269.614327765)</t>
  </si>
  <si>
    <t>['FV810 S1D1 m10536']</t>
  </si>
  <si>
    <t>LINESTRING Z (455062.13 7354994.98 10.908, 455063.42 7354995.43 10.898, 455063.69 7354994.76 10.938, 455062.45 7354994.26 10.958, 455062.13 7354994.98 10.908)</t>
  </si>
  <si>
    <t>POINT (455062.9116369037 7354994.8562153075)</t>
  </si>
  <si>
    <t>['FV810 S1D1 m10227']</t>
  </si>
  <si>
    <t>LINESTRING Z (455358.35000000003 7354926.390000001 13.898, 455359.7 7354925.71 13.908, 455359.25 7354925.12 13.918, 455357.94 7354925.74 13.888, 455358.35000000003 7354926.390000001 13.898)</t>
  </si>
  <si>
    <t>POINT (455358.80905625934 7354925.7462424245)</t>
  </si>
  <si>
    <t>LINESTRING Z (455765.42 7354695.9 21.858, 455765.16000000003 7354695.26 21.468, 455766.59 7354694.67 21.518, 455766.93 7354695.42 21.928, 455765.42 7354695.9 21.858)</t>
  </si>
  <si>
    <t>POINT (455766.047201861 7354695.3076674575)</t>
  </si>
  <si>
    <t>2020-04-29</t>
  </si>
  <si>
    <t>2025-11-22T10:30:18Z</t>
  </si>
  <si>
    <t>['FV810 S1D1 m387 KD1 m65']</t>
  </si>
  <si>
    <t>LINESTRING Z (462291.6433883517 7356752.635572677 23.264368843734264, 462291.7894817338 7356753.404132771 23.64436961859465, 462293.3465935774 7356753.111786218 23.634369246065617, 462293.1805884373 7356752.353381738 23.224368486106396, 462291.6433883517 7356752.635572677 23.264368843734264)</t>
  </si>
  <si>
    <t>POINT (462292.48938829586 7356752.87813881)</t>
  </si>
  <si>
    <t>2025-11-22T10:30:21Z</t>
  </si>
  <si>
    <t>['FV810 S1D110 m58']</t>
  </si>
  <si>
    <t>LINESTRING Z (462342.574543236 7356815.06626984 21.974429603219, 462341.883801701 7356813.69227868 21.9744282397628, 462342.520578473 7356813.31731991 22.3344278374314, 462343.241547166 7356814.72105886 22.3644292083383, 462342.574543236 7356815.06626984 21.974429603219)</t>
  </si>
  <si>
    <t>POINT (462342.5588883975 7356814.199479838)</t>
  </si>
  <si>
    <t>['FV810 S1D1 m450']</t>
  </si>
  <si>
    <t>LINESTRING Z (462359.9648849755 7356803.371360616 21.164416862726213, 462360.7013803175 7356802.965615432 21.424416423141956, 462361.482084268 7356804.33888754 21.414417764246465, 462360.7556646463 7356804.754548655 21.1444182112813, 462359.9648849755 7356803.371360616 21.164416862726213)</t>
  </si>
  <si>
    <t>POINT (462360.724659465 7356803.857620587)</t>
  </si>
  <si>
    <t>['FV810 S1D100 m527']</t>
  </si>
  <si>
    <t>LINESTRING Z (462365.364815217 7356799.84943084 21.0444130331278, 462366.245317632 7356801.20191236 21.07441434443, 462365.559120996 7356801.64724137 21.3844148436189, 462364.678698474 7356800.30475568 21.3744135397673, 462365.364815217 7356799.84943084 21.0444130331278)</t>
  </si>
  <si>
    <t>POINT (462365.46209110296 7356800.749694476)</t>
  </si>
  <si>
    <t>['FV810 S1D100 m595']</t>
  </si>
  <si>
    <t>LINESTRING Z (462405.57345928 7356855.23834786 20.9544662898779, 462406.189125849 7356854.72360731 21.3644657534361, 462405.15956487 7356853.48227835 21.3644645687938, 462404.543818405 7356853.98702306 20.9744651052356, 462405.57345928 7356855.23834786 20.9544662898779)</t>
  </si>
  <si>
    <t>POINT (462405.3666704517 7356854.3590374775)</t>
  </si>
  <si>
    <t>[1383]</t>
  </si>
  <si>
    <t>['KV1383 S1D1 m18']</t>
  </si>
  <si>
    <t>LINESTRING Z (462298.6269997502 7356956.007809569 44.324575314223765, 462298.80332038 7356956.806117439 44.71457612633705, 462300.2997381744 7356956.42428765 44.68457561224699, 462300.11398098274 7356955.696030459 44.304574889540675, 462298.6269997502 7356956.007809569 44.324575314223765)</t>
  </si>
  <si>
    <t>POINT (462299.4508779893 7356956.238094063)</t>
  </si>
  <si>
    <t>['FV810 S1D120 m163']</t>
  </si>
  <si>
    <t>LINESTRING Z (462438.8627259894 7356947.919395411 31.154556427001953, 462439.0794293768 7356948.767362771 31.1445572540164, 462440.57592695276 7356948.395528845 31.08455676227808, 462440.38921104156 7356947.547321804 31.074555935263636, 462438.8627259894 7356947.919395411 31.154556427001953)</t>
  </si>
  <si>
    <t>POINT (462439.72517425 7356948.15511166)</t>
  </si>
  <si>
    <t>['FV810 S1D1 m632']</t>
  </si>
  <si>
    <t>LINESTRING Z (462480.1493017646 7356939.312327575 18.804544759392737, 462480.4332684805 7356938.570319573 18.3945440068841, 462479.009227431 7356938.001906771 18.384543552398682, 462478.7250210305 7356938.713927297 18.80454428255558, 462480.1493017646 7356939.312327575 18.804544759392737)</t>
  </si>
  <si>
    <t>POINT (462479.5831234137 7356938.652278992)</t>
  </si>
  <si>
    <t>['FV810 S1D1 m507']</t>
  </si>
  <si>
    <t>LINESTRING Z (462373.208271128 7356864.413881254 22.27447750300169, 462373.78427398065 7356863.939443581 21.86447698891163, 462374.7634563857 7356865.131192904 21.85447812885046, 462374.1774577081 7356865.605710475 22.28447863548994, 462373.208271128 7356864.413881254 22.27447750300169)</t>
  </si>
  <si>
    <t>POINT (462373.9845911996 7356864.773246623)</t>
  </si>
  <si>
    <t>['FV810 S1D1 m253']</t>
  </si>
  <si>
    <t>LINESTRING Z (462305.5596763199 7356586.443081443 25.954199551641942, 462306.41067970905 7356586.606219597 25.964199708104132, 462306.6782593449 7356585.064625392 25.964198128581046, 462305.81757970125 7356584.941550436 25.964198016822337, 462305.5596763199 7356586.443081443 25.954199551641942)</t>
  </si>
  <si>
    <t>POINT (462306.1202767373 7356585.7640162455)</t>
  </si>
  <si>
    <t>['FV810 S1D1 m357']</t>
  </si>
  <si>
    <t>LINESTRING Z (462322.38116969366 7356689.93198448 22.72430398643017, 462323.056651507 7356689.396772956 23.014303427636623, 462322.0872253342 7356688.174956128 23.02430222809315, 462321.4013482272 7356688.6602684185 22.75430273473263, 462322.38116969366 7356689.93198448 22.72430398643017)</t>
  </si>
  <si>
    <t>POINT (462322.23056521127 7356689.046158916)</t>
  </si>
  <si>
    <t>['FV810 S1D1 m387 KD1 m10']</t>
  </si>
  <si>
    <t>LINESTRING Z (462340.97273440467 7356715.96412837 21.854329623878, 462340.54084579955 7356714.458114199 21.81432811141014, 462341.3987291623 7356714.231335187 21.81432785063982, 462341.8105462219 7356715.727513318 21.824329348206522, 462340.97273440467 7356715.96412837 21.854329623878)</t>
  </si>
  <si>
    <t>POINT (462341.1786933738 7356715.093045911)</t>
  </si>
  <si>
    <t>['FV810 S1D1 m387 KD1 m24']</t>
  </si>
  <si>
    <t>LINESTRING Z (462346.06484870054 7356737.71572097 21.884351364672185, 462346.9046578534 7356737.729001557 21.564351342320442, 462346.9020304851 7356736.14958119 21.564349755346775, 462346.06238111935 7356736.156292255 21.884349785149098, 462346.06484870054 7356737.71572097 21.884351364672185)</t>
  </si>
  <si>
    <t>POINT (462346.48522163497 7356736.937694562)</t>
  </si>
  <si>
    <t>['FV810 S1D1 m387 KD1 m75']</t>
  </si>
  <si>
    <t>LINESTRING (462287.95819937676 7356731.812402016, 462288.1251632323 7356732.690756417, 462289.6821951888 7356732.388414053, 462289.54545849265 7356731.539807454, 462287.95819937676 7356731.812402016)</t>
  </si>
  <si>
    <t>POINT (462288.8218969022 7356732.106721094)</t>
  </si>
  <si>
    <t>LINESTRING Z (462486.68602204457 7356926.684529618 18.06453181773424, 462488.0915095387 7356927.433027067 18.05453244358301, 462488.5150183347 7356926.639921418 18.354531631469726, 462487.0895391912 7356925.891583765 18.354530998170375, 462486.68602204457 7356926.684529618 18.06453181773424)</t>
  </si>
  <si>
    <t>POINT (462487.5975820031 7356926.661570977)</t>
  </si>
  <si>
    <t>2025-11-22T10:30:24Z</t>
  </si>
  <si>
    <t>['FV578 S1D1 m1770']</t>
  </si>
  <si>
    <t>LINESTRING Z (-33465.9842476727 6739258.70478056 54.56, -33466.8041702062 6739258.76986746 54.54, -33466.631798127 6739260.97993783 54.57, -33465.8018877065 6739260.91393537 54.59)</t>
  </si>
  <si>
    <t>['FV578 S1D1 m2185']</t>
  </si>
  <si>
    <t>LINESTRING Z (-33306.73943907756 6739641.278950853 55.58, -33305.91327582416 6739641.062212336 55.6, -33306.45245883148 6739638.915985622 55.57, -33307.22959830391 6739639.118158382 55.54, -33306.73943907756 6739641.278950853 55.58)</t>
  </si>
  <si>
    <t>POINT (-33306.58171419109 6739640.102918066)</t>
  </si>
  <si>
    <t>['FV578 S1D1 m2167']</t>
  </si>
  <si>
    <t>LINESTRING Z (-33311.381088111084 6739623.605415249 55.17, -33311.751807536 6739622.08834094 55.15, -33310.8956805889 6739621.868855816 55.17, -33310.51588887093 6739623.375026668 55.18, -33311.381088111084 6739623.605415249 55.17)</t>
  </si>
  <si>
    <t>POINT (-33311.13641235303 6739622.736383876)</t>
  </si>
  <si>
    <t>2022-02-18</t>
  </si>
  <si>
    <t>2025-11-22T10:30:42Z</t>
  </si>
  <si>
    <t>['FV669 S3D1 m6']</t>
  </si>
  <si>
    <t>LINESTRING Z (156273.91185552668 7035921.1817644015 2.7800000000000002, 156276.07593695377 7035920.398000009 2.7800000000000002, 156277.24803550157 7035923.609265703 2.7800000000000002, 156275.0750088762 7035924.404002843 2.7800000000000002, 156273.91185552668 7035921.1817644015 2.7800000000000002)</t>
  </si>
  <si>
    <t>POINT (156275.57764150752 7035922.400214778)</t>
  </si>
  <si>
    <t>2025-05-12</t>
  </si>
  <si>
    <t>2025-11-22T10:30:46Z</t>
  </si>
  <si>
    <t>['EV39 S81D1 m3928 KD1 m2']</t>
  </si>
  <si>
    <t>LINESTRING Z (-30141.657170891296 6706485.656983573 9.171, -30143.180333842523 6706483.982278956 9.202, -30142.55166724429 6706483.506343856 9.217, -30141.198460788233 6706485.251078469 9.158, -30141.691205105744 6706485.616783327 9.158)</t>
  </si>
  <si>
    <t>2021-07-08</t>
  </si>
  <si>
    <t>['FV609 S2D1 m6355']</t>
  </si>
  <si>
    <t>LINESTRING Z (-23675.232089983416 6842183.464524386 68.526, -23675.212279713945 6842183.416296581 68.524)</t>
  </si>
  <si>
    <t>POINT (-23675.22218484868 6842183.440410484)</t>
  </si>
  <si>
    <t>2021-09-09</t>
  </si>
  <si>
    <t>2025-11-22T10:30:48Z</t>
  </si>
  <si>
    <t>[3165]</t>
  </si>
  <si>
    <t>['KV3165 S1D1 m117']</t>
  </si>
  <si>
    <t>LINESTRING Z (177868.52145908703 6617767.289066885 178.69, 177868.4412370111 6617768.844608895 178.68, 177869.277935385 6617768.869326344 178.85, 177869.37084016763 6617767.3427962195 178.86, 177868.52145908703 6617767.289066885 178.69)</t>
  </si>
  <si>
    <t>POINT (177868.9005007869 6617768.084072002)</t>
  </si>
  <si>
    <t>[3054]</t>
  </si>
  <si>
    <t>['FV3054 S1D1 m1644']</t>
  </si>
  <si>
    <t>LINESTRING Z (224827.59719227016 6564419.203411636 43.07, 224826.99744873418 6564417.790290698 43.06, 224826.2034209789 6564418.123172957 43.06, 224826.80406339135 6564419.5462621795 43.07, 224827.59719227016 6564419.203411636 43.07)</t>
  </si>
  <si>
    <t>POINT (224826.89993654634 6564418.66657363)</t>
  </si>
  <si>
    <t>LINESTRING Z (224833.0351834888 6564433.817188096 43.19, 224831.64657428436 6564434.354425557 43.2, 224831.93051415414 6564435.162915854 43.26, 224833.37623637303 6564434.590380352 43.230000000000004, 224833.0351834888 6564433.817188096 43.19)</t>
  </si>
  <si>
    <t>POINT (224832.49753531543 6564434.487422374)</t>
  </si>
  <si>
    <t>2021-10-01</t>
  </si>
  <si>
    <t>['RV150 S2D1 m5687']</t>
  </si>
  <si>
    <t>LINESTRING Z (257505.30924501806 6651436.750894824 48.800000000000004, 257506.11732043052 6651437.019046885 48.88, 257506.3447063438 6651436.204630007 48.9, 257505.51670080968 6651435.938289735 48.870000000000005, 257505.30924501806 6651436.750894824 48.800000000000004)</t>
  </si>
  <si>
    <t>POINT (257505.82340820556 6651436.476290343)</t>
  </si>
  <si>
    <t>[6686]</t>
  </si>
  <si>
    <t>['FV6686 S1D1 m35']</t>
  </si>
  <si>
    <t>LINESTRING (269063.89 7036550.15, 269064.56 7036551.93, 269065.24 7036553.49, 269066.09 7036553.24, 269067.86 7036552.11, 269067.15 7036550.44, 269066.37 7036548.95, 269064.75 7036549.58, 269063.89 7036550.15)</t>
  </si>
  <si>
    <t>POINT (269065.8455127479 7036551.211292228)</t>
  </si>
  <si>
    <t>['FV6686 S1D1 m280']</t>
  </si>
  <si>
    <t>LINESTRING (268975.76 7036327.33, 268974.55 7036327.53, 268974.94 7036329.97, 268975.4 7036332.26, 268976.75 7036332.0600000005, 268978.68 7036331.72, 268978.31 7036329.45, 268977.82 7036326.99, 268975.76 7036327.33)</t>
  </si>
  <si>
    <t>POINT (268976.6124570004 7036329.628796003)</t>
  </si>
  <si>
    <t>['FV6686 S1D1 m593']</t>
  </si>
  <si>
    <t>LINESTRING (269034.31 7036031.12, 269036.47000000003 7036031.95, 269035.58 7036034.16, 269034.84 7036036.15, 269032.81 7036035.45, 269031.61 7036035.15, 269032.28 7036032.96, 269033.09 7036030.8100000005, 269034.31 7036031.12)</t>
  </si>
  <si>
    <t>POINT (269033.99469368457 7036033.465201158)</t>
  </si>
  <si>
    <t>['FV6686 S1D1 m895']</t>
  </si>
  <si>
    <t>LINESTRING (269147.68 7035751.890000001, 269147.14 7035753.33, 269146.73 7035754.8, 269147.53 7035755, 269149.01 7035755.5200000005, 269149.47000000003 7035754.0200000005, 269149.96 7035752.46, 269148.51 7035752.08, 269147.68 7035751.890000001)</t>
  </si>
  <si>
    <t>POINT (269148.3501070846 7035753.667327927)</t>
  </si>
  <si>
    <t>2021-10-27</t>
  </si>
  <si>
    <t>2025-11-22T10:30:53Z</t>
  </si>
  <si>
    <t>['EV39 S99D1 m5722']</t>
  </si>
  <si>
    <t>LINESTRING Z (-35688.19469155744 6576432.40941527 40.2, -35687.771895940066 6576433.076236716 40.27, -35687.04874326184 6576432.608067741 40.27, -35687.44337325299 6576431.918559623 40.2, -35688.19469155744 6576432.40941527 40.2)</t>
  </si>
  <si>
    <t>POINT (-35687.61633619476 6576432.499069489)</t>
  </si>
  <si>
    <t>['EV39 S99D1 m5977']</t>
  </si>
  <si>
    <t>LINESTRING Z (-35465.072481199284 6576314.40443913 40.44, -35465.67581885599 6576314.9725722335 40.43, -35465.17033235717 6576315.551353105 40.29, -35464.515240305336 6576314.998688994 40.300000000000004, -35465.072481199284 6576314.40443913 40.44)</t>
  </si>
  <si>
    <t>POINT (-35465.10171718247 6576314.980346106)</t>
  </si>
  <si>
    <t>2021-12-02</t>
  </si>
  <si>
    <t>2025-11-22T10:30:59Z</t>
  </si>
  <si>
    <t>[6400]</t>
  </si>
  <si>
    <t>['FV6400 S1D1 m10192']</t>
  </si>
  <si>
    <t>LINESTRING Z (228353.43764577276 7068721.78542503 4.4, 228353.70044918987 7068720.946367062 4.4, 228352.2092075965 7068720.483589813 4.4, 228351.94546586974 7068721.312682908 4.4, 228353.43764577276 7068721.78542503 4.4)</t>
  </si>
  <si>
    <t>POINT (228352.82449782934 7068721.132790049)</t>
  </si>
  <si>
    <t>['FV6400 S1D1 m10039']</t>
  </si>
  <si>
    <t>LINESTRING Z (228501.60974806861 7068753.575560883 5.05, 228501.73925442662 7068752.708842232 5.05, 228503.2976590373 7068752.924016908 5.05, 228503.1672143765 7068753.780770674 5.05, 228501.60974806861 7068753.575560883 5.05)</t>
  </si>
  <si>
    <t>POINT (228502.45195079755 7068753.246889338)</t>
  </si>
  <si>
    <t>['FV6400 S1D1 m9782']</t>
  </si>
  <si>
    <t>LINESTRING Z (228754.11856131285 7068810.184460112 7.12, 228753.8974952579 7068811.039692294 7.12, 228752.36206325714 7068810.641398072 7.12, 228752.59309417184 7068809.78522757 7.12, 228754.11856131285 7068810.184460112 7.12)</t>
  </si>
  <si>
    <t>POINT (228753.24205249487 7068810.413370782)</t>
  </si>
  <si>
    <t>['FV6400 S1D1 m9355']</t>
  </si>
  <si>
    <t>LINESTRING Z (229168.2249935679 7068910.920637799 4.57, 229168.0718059661 7068911.749369742 4.57, 229169.6286832934 7068912.055163245 4.57, 229169.7890207764 7068911.195598523 4.57, 229168.2249935679 7068910.920637799 4.57)</t>
  </si>
  <si>
    <t>POINT (229168.9336914246 7068911.481011007)</t>
  </si>
  <si>
    <t>['FV6400 S1D1 m8146']</t>
  </si>
  <si>
    <t>LINESTRING Z (230259.79971607006 7069352.75219908 3.02, 230259.7256689719 7069353.674004028 3.02, 230261.08757486212 7069353.9378299825 3.02, 230261.25072327565 7069353.108165761 3.02, 230259.79971607006 7069352.75219908 3.02)</t>
  </si>
  <si>
    <t>POINT (230260.45530573014 7069353.3553566085)</t>
  </si>
  <si>
    <t>['FV6400 S1D1 m7751']</t>
  </si>
  <si>
    <t>LINESTRING Z (230472.1907418148 7069673.019078044 3.3200000000000003, 230473.6659688499 7069672.457928882 3.3200000000000003, 230473.96683011542 7069673.304216006 3.3200000000000003, 230472.49066472682 7069673.855400451 3.3200000000000003, 230472.1907418148 7069673.019078044 3.3200000000000003)</t>
  </si>
  <si>
    <t>POINT (230473.0799198369 7069673.158385446)</t>
  </si>
  <si>
    <t>2025-07-01</t>
  </si>
  <si>
    <t>2025-11-22T10:31:06Z</t>
  </si>
  <si>
    <t>[555]</t>
  </si>
  <si>
    <t>['RV555 S1D1 m4848']</t>
  </si>
  <si>
    <t>LINESTRING Z (-35915.694787149434 6733145.547125027 24.609, -35915.59796772059 6733144.6964389365 24.811, -35916.58837136149 6733145.895214655 24.78, -35915.8906431339 6733146.446495207 24.836, -35914.87895158783 6733145.165438907 24.701, -35915.59631772176 6733144.707493115 24.805)</t>
  </si>
  <si>
    <t>2025-11-22T10:31:10Z</t>
  </si>
  <si>
    <t>[6664]</t>
  </si>
  <si>
    <t>['FV6664 S1D1 m3516']</t>
  </si>
  <si>
    <t>LINESTRING Z (273041.57515204686 7041534.586515365 59.480000000000004, 273041.9015462195 7041533.782014988 59.480000000000004, 273040.2140533598 7041532.935607298 59.480000000000004, 273039.78429702827 7041533.709621223 59.480000000000004, 273039.3940528771 7041534.36937515 59.480000000000004, 273041.15127826657 7041535.209230339 59.480000000000004, 273041.57515204686 7041534.586515365 59.480000000000004)</t>
  </si>
  <si>
    <t>POINT (273040.66797499807 7041534.083514284)</t>
  </si>
  <si>
    <t>[6352]</t>
  </si>
  <si>
    <t>['FV6352 S1D1 m1750']</t>
  </si>
  <si>
    <t>LINESTRING Z (243448.60500368712 7080524.04427297 59.17, 243447.49630970083 7080523.053073146 59.09, 243447.0341742071 7080523.58918783 58.93, 243448.13196541418 7080524.571362998 58.980000000000004, 243448.60500368712 7080524.04427297 59.17)</t>
  </si>
  <si>
    <t>POINT (243447.81767230778 7080523.813663073)</t>
  </si>
  <si>
    <t>2022-02-25</t>
  </si>
  <si>
    <t>[707]</t>
  </si>
  <si>
    <t>['FV707 S2D1 m788']</t>
  </si>
  <si>
    <t>LINESTRING Z (258407.28 7035007.87 99.18, 258407.68 7035009.34 99.28, 258408.47 7035009.13 99.26, 258408.11 7035007.68 99.19, 258407.28 7035007.87 99.18)</t>
  </si>
  <si>
    <t>POINT (258407.8810769031 7035008.500326415)</t>
  </si>
  <si>
    <t>2022-06-07</t>
  </si>
  <si>
    <t>2025-11-22T10:31:17Z</t>
  </si>
  <si>
    <t>[770]</t>
  </si>
  <si>
    <t>['FV770 S7D20 m1447']</t>
  </si>
  <si>
    <t>LINESTRING (321304.48 7198357.05, 321303.69 7198357.46, 321304.35 7198358.72, 321305.13 7198358.31, 321304.48 7198357.05)</t>
  </si>
  <si>
    <t>POINT (321304.41147791565 7198357.883994095)</t>
  </si>
  <si>
    <t>2022-08-17</t>
  </si>
  <si>
    <t>2025-11-22T10:31:30Z</t>
  </si>
  <si>
    <t>[6866]</t>
  </si>
  <si>
    <t>['FV6866 S2D1 m179']</t>
  </si>
  <si>
    <t>LINESTRING (313545.8543821168 7071188.64531382, 313546.22415171505 7071188.731048998)</t>
  </si>
  <si>
    <t>POINT (313546.03926691593 7071188.68818141)</t>
  </si>
  <si>
    <t>[1530]</t>
  </si>
  <si>
    <t>['FV1530 S1D1 m4213']</t>
  </si>
  <si>
    <t>LINESTRING Z (276946.39 6652634.07 150.05, 276946.9 6652634.79 150.07, 276948.24 6652633.87 150.12, 276947.71 6652633.13 150.1, 276946.39 6652634.07 150.05)</t>
  </si>
  <si>
    <t>POINT (276947.31393585185 6652633.962782816)</t>
  </si>
  <si>
    <t>['FV1530 S1D1 m4212']</t>
  </si>
  <si>
    <t>LINESTRING Z (276936.66 6652625.07 150.04, 276937.31 6652625.65 150.02, 276938.37 6652624.48 150.09, 276937.71 6652623.88 150.11, 276936.66 6652625.07 150.04)</t>
  </si>
  <si>
    <t>POINT (276937.51417991327 6652624.7670149)</t>
  </si>
  <si>
    <t>2025-10-22</t>
  </si>
  <si>
    <t>[158]</t>
  </si>
  <si>
    <t>['FV158 S1D1 m2743 KD1 m58']</t>
  </si>
  <si>
    <t>LINESTRING Z (276940.69 6652614.18 150.47, 276940.67 6652615.76 150.41, 276941.58 6652615.78 150.42, 276941.57 6652614.17 150.47, 276940.69 6652614.18 150.47)</t>
  </si>
  <si>
    <t>POINT (276941.13017182465 6652614.977344899)</t>
  </si>
  <si>
    <t>['FV158 S1D1 m2723']</t>
  </si>
  <si>
    <t>LINESTRING Z (276928.22 6652595.35 150.1, 276929.97 6652596.78 150.14, 276930.53 6652596.1 150.11, 276928.8 6652594.65 150.08, 276928.22 6652595.35 150.1)</t>
  </si>
  <si>
    <t>POINT (276929.3759960958 6652595.716931071)</t>
  </si>
  <si>
    <t>LINESTRING Z (276939.92 6652581.65 150.1, 276939.4 6652582.27 150.08, 276941.09 6652583.74 150.11, 276941.63 6652583.09 150.12, 276939.92 6652581.65 150.1)</t>
  </si>
  <si>
    <t>POINT (276940.5147844995 6652582.69197791)</t>
  </si>
  <si>
    <t>['FV158 S1D1 m2743 KD1 m7']</t>
  </si>
  <si>
    <t>LINESTRING Z (276963.1 6652590.16 150.37, 276963.62 6652590.91 150.35, 276965.47 6652589.62 150.28, 276964.96 6652588.88 150.3, 276963.1 6652590.16 150.37)</t>
  </si>
  <si>
    <t>POINT (276964.2853569289 6652589.893764543)</t>
  </si>
  <si>
    <t>['FV158 S1D1 m2743 KD1 m17']</t>
  </si>
  <si>
    <t>LINESTRING Z (276976.02 6652597.94 150.33, 276975.95 6652600.24 150.38, 276976.83 6652600.27 150.39, 276976.93 6652597.97 150.32, 276976.02 6652597.94 150.33)</t>
  </si>
  <si>
    <t>POINT (276976.4327768234 6652599.099610149)</t>
  </si>
  <si>
    <t>['FV158 S1D1 m2743 KD1 m24']</t>
  </si>
  <si>
    <t>LINESTRING Z (276979.07 6652608.96 150.4, 276979.87 6652611.08 150.32, 276980.7 6652610.75 150.33, 276979.9 6652608.63 150.4, 276979.07 6652608.96 150.4)</t>
  </si>
  <si>
    <t>POINT (276979.885 6652609.8549999995)</t>
  </si>
  <si>
    <t>2023-04-21</t>
  </si>
  <si>
    <t>2025-11-22T10:31:50Z</t>
  </si>
  <si>
    <t>[21508]</t>
  </si>
  <si>
    <t>['KV21508 S1D1 m311']</t>
  </si>
  <si>
    <t>LINESTRING Z (262668.04136479634 6648744.513995063 2.3000000000000003, 262668.4816033243 6648745.267693642 2.32)</t>
  </si>
  <si>
    <t>POINT (262668.2614840603 6648744.890844353)</t>
  </si>
  <si>
    <t>[15256]</t>
  </si>
  <si>
    <t>['KV15256 S1D1 m134']</t>
  </si>
  <si>
    <t>LINESTRING Z (262660.29023587063 6648685.31846058 2.08, 262659.49486968253 6648685.631875191 2.08)</t>
  </si>
  <si>
    <t>POINT (262659.8925527766 6648685.475167885)</t>
  </si>
  <si>
    <t>LINESTRING Z (262668.4816033243 6648745.267693642 2.32, 262667.09740710945 6648746.066644685 2.31)</t>
  </si>
  <si>
    <t>POINT (262667.7895052169 6648745.667169163)</t>
  </si>
  <si>
    <t>['KV21508 S1D1 m195']</t>
  </si>
  <si>
    <t>LINESTRING Z (262566.9913840443 6648803.018643044 2.52, 262567.4280006675 6648803.732483412 2.52)</t>
  </si>
  <si>
    <t>POINT (262567.2096923559 6648803.3755632285)</t>
  </si>
  <si>
    <t>['KV21508 S1D1 m30']</t>
  </si>
  <si>
    <t>LINESTRING Z (262431.9239621571 6648897.689806612 2.49, 262432.37778979033 6648898.482459172 2.5)</t>
  </si>
  <si>
    <t>POINT (262432.15087597375 6648898.0861328915)</t>
  </si>
  <si>
    <t>['KV15256 S1D1 m133']</t>
  </si>
  <si>
    <t>LINESTRING Z (262660.8609048637 6648686.733451746 2.08, 262660.29023587063 6648685.31846058 2.08)</t>
  </si>
  <si>
    <t>POINT (262660.57557036716 6648686.025956163)</t>
  </si>
  <si>
    <t>['KV15256 S1D1 m197']</t>
  </si>
  <si>
    <t>LINESTRING Z (262637.8603227712 6648626.120760604 2.5, 262638.6864888554 6648625.814594072 2.5)</t>
  </si>
  <si>
    <t>POINT (262638.27340581326 6648625.967677338)</t>
  </si>
  <si>
    <t>['KV21508 S1D1 m309']</t>
  </si>
  <si>
    <t>LINESTRING Z (262674.02252656536 6648759.362338972 2.39, 262674.4836001229 6648760.124190814 2.4)</t>
  </si>
  <si>
    <t>POINT (262674.25306334416 6648759.743264893)</t>
  </si>
  <si>
    <t>['KV15256 S1D1 m195']</t>
  </si>
  <si>
    <t>LINESTRING Z (262639.2100508831 6648627.264007925 2.48, 262638.39294382196 6648627.559304167 2.49)</t>
  </si>
  <si>
    <t>POINT (262638.80149735254 6648627.411656046)</t>
  </si>
  <si>
    <t>['KV21508 S1D1 m310']</t>
  </si>
  <si>
    <t>LINESTRING Z (262666.6562629218 6648745.3029814465 2.31, 262667.09740710945 6648746.066644685 2.31)</t>
  </si>
  <si>
    <t>POINT (262666.8768350156 6648745.684813065)</t>
  </si>
  <si>
    <t>LINESTRING Z (262575.3885924615 6648815.045244972 0.02, 262575.7989377704 6648815.801660859 0.02, 262574.38122431986 6648816.563471623 0, 262573.9699733453 6648815.797091067 0, 262575.3885924615 6648815.045244972 0.02)</t>
  </si>
  <si>
    <t>POINT (262574.883524539 6648815.802870751)</t>
  </si>
  <si>
    <t>['KV15256 S1D1 m132']</t>
  </si>
  <si>
    <t>LINESTRING Z (262660.0782202729 6648687.075854682 2.07, 262660.8609048637 6648686.733451746 2.08)</t>
  </si>
  <si>
    <t>POINT (262660.4695625683 6648686.904653214)</t>
  </si>
  <si>
    <t>LINESTRING Z (262659.49486968253 6648685.631875191 2.08, 262660.0782202729 6648687.075854682 2.07)</t>
  </si>
  <si>
    <t>POINT (262659.7865449777 6648686.353864937)</t>
  </si>
  <si>
    <t>['KV21508 S1D1 m177']</t>
  </si>
  <si>
    <t>LINESTRING Z (262559.7656561888 6648823.668844431 2.16, 262560.17600160226 6648824.425260392 2.16, 262558.7582880184 6648825.1870713495 2.14, 262558.34703693865 6648824.420690721 2.14, 262559.7656561888 6648823.668844431 2.16)</t>
  </si>
  <si>
    <t>POINT (262559.26058825204 6648824.426470343)</t>
  </si>
  <si>
    <t>['KV15256 S1D1 m196']</t>
  </si>
  <si>
    <t>LINESTRING Z (262638.6864888554 6648625.814594072 2.5, 262639.2100508831 6648627.264007925 2.48)</t>
  </si>
  <si>
    <t>POINT (262638.94826986926 6648626.539300999)</t>
  </si>
  <si>
    <t>LINESTRING Z (262566.9913840443 6648803.018643044 2.52, 262568.2741231333 6648802.208817948 2.5300000000000002)</t>
  </si>
  <si>
    <t>POINT (262567.6327535888 6648802.613730496)</t>
  </si>
  <si>
    <t>LINESTRING Z (262675.39494666184 6648758.544364164 2.39, 262675.8560202095 6648759.306215999 2.4)</t>
  </si>
  <si>
    <t>POINT (262675.6254834357 6648758.925290082)</t>
  </si>
  <si>
    <t>['KV21508 S1D1 m196']</t>
  </si>
  <si>
    <t>LINESTRING Z (262568.7442563523 6648802.959799988 2.5100000000000002, 262568.2741231333 6648802.208817948 2.5300000000000002)</t>
  </si>
  <si>
    <t>POINT (262568.5091897428 6648802.584308968)</t>
  </si>
  <si>
    <t>LINESTRING Z (262675.39494666184 6648758.544364164 2.39, 262674.02252656536 6648759.362338972 2.39)</t>
  </si>
  <si>
    <t>POINT (262674.7087366136 6648758.953351569)</t>
  </si>
  <si>
    <t>['KV21508 S1D1 m28']</t>
  </si>
  <si>
    <t>LINESTRING Z (262429.9264780674 6648898.815769532 2.5, 262430.37034104276 6648899.609327765 2.5100000000000002)</t>
  </si>
  <si>
    <t>POINT (262430.1484095551 6648899.212548649)</t>
  </si>
  <si>
    <t>['KV21508 S1D1 m116']</t>
  </si>
  <si>
    <t>LINESTRING Z (262504.94584681623 6648854.582499349 2.33, 262506.3218908757 6648853.804381026 2.3000000000000003, 262505.90158043854 6648853.048870483 2.3000000000000003, 262504.50379571685 6648853.808870783 2.31, 262504.94584681623 6648854.582499349 2.33)</t>
  </si>
  <si>
    <t>POINT (262505.4141071197 6648853.812426942)</t>
  </si>
  <si>
    <t>LINESTRING Z (262638.39294382196 6648627.559304167 2.49, 262637.8603227712 6648626.120760604 2.5)</t>
  </si>
  <si>
    <t>POINT (262638.1266332966 6648626.840032386)</t>
  </si>
  <si>
    <t>['KV21508 S1D1 m368']</t>
  </si>
  <si>
    <t>LINESTRING Z (262719.3398737479 6648718.632486785 2.95, 262717.99915914226 6648719.467673212 2.98, 262717.53899164824 6648718.715786148 2.97, 262718.8606826122 6648717.892375671 2.94, 262719.3398737479 6648718.632486785 2.95)</t>
  </si>
  <si>
    <t>POINT (262718.435772202 6648718.678769155)</t>
  </si>
  <si>
    <t>LINESTRING Z (262551.9047043323 6648812.568059267 2.77, 262551.4735239856 6648811.803489869 2.7800000000000002, 262552.83054410334 6648811.037148301 2.79, 262553.2508541217 6648811.792658685 2.7800000000000002, 262551.9047043323 6648812.568059267 2.77)</t>
  </si>
  <si>
    <t>POINT (262552.3628495163 6648811.801000534)</t>
  </si>
  <si>
    <t>LINESTRING Z (262568.7442563523 6648802.959799988 2.5100000000000002, 262567.4280006675 6648803.732483412 2.52)</t>
  </si>
  <si>
    <t>POINT (262568.0861285099 6648803.346141701)</t>
  </si>
  <si>
    <t>LINESTRING Z (262675.8560202095 6648759.306215999 2.4, 262674.4836001229 6648760.124190814 2.4)</t>
  </si>
  <si>
    <t>POINT (262675.16981016623 6648759.715203406)</t>
  </si>
  <si>
    <t>['KV21508 S1D1 m29']</t>
  </si>
  <si>
    <t>LINESTRING Z (262430.37034104276 6648899.609327765 2.5100000000000002, 262432.37778979033 6648898.482459172 2.5)</t>
  </si>
  <si>
    <t>POINT (262431.3740654165 6648899.045893468)</t>
  </si>
  <si>
    <t>LINESTRING Z (262668.04136479634 6648744.513995063 2.3000000000000003, 262666.6562629218 6648745.3029814465 2.31)</t>
  </si>
  <si>
    <t>POINT (262667.34881385905 6648744.908488255)</t>
  </si>
  <si>
    <t>LINESTRING Z (262429.9264780674 6648898.815769532 2.5, 262431.9239621571 6648897.689806612 2.49)</t>
  </si>
  <si>
    <t>POINT (262430.92522011226 6648898.252788072)</t>
  </si>
  <si>
    <t>2023-09-08</t>
  </si>
  <si>
    <t>2025-11-22T10:31:55Z</t>
  </si>
  <si>
    <t>['EV39 S85D10 m2676']</t>
  </si>
  <si>
    <t>LINESTRING Z (-34577.63694778527 6662093.839656459 0.45, -34575.13244737149 6662093.692241903 0.45, -34575.2971520836 6662090.8871650705 0.45, -34577.80165250704 6662091.034579569 0.45, -34577.63694778527 6662093.839656459 0.45)</t>
  </si>
  <si>
    <t>POINT (-34576.467049943756 6662092.36341075)</t>
  </si>
  <si>
    <t>2023-10-18</t>
  </si>
  <si>
    <t>2025-11-22T10:31:59Z</t>
  </si>
  <si>
    <t>['EV39 S58D200 m125']</t>
  </si>
  <si>
    <t>LINESTRING Z (14368.851892050472 6846905.198179952 4.293, 14368.860920631909 6846905.185623412 4.3)</t>
  </si>
  <si>
    <t>POINT (14368.85640634119 6846905.191901682)</t>
  </si>
  <si>
    <t>2024-03-11</t>
  </si>
  <si>
    <t>2025-11-22T10:32:08Z</t>
  </si>
  <si>
    <t>[6612]</t>
  </si>
  <si>
    <t>['FV6612 S1D1 m4478']</t>
  </si>
  <si>
    <t>LINESTRING Z (263185.8633849713 7026331.466236206 19.731, 263186.7970432938 7026330.2238263 19.709, 263187.51039419405 7026330.756882442 19.686, 263186.55469243275 7026331.989300754 19.736, 263185.8633849713 7026331.466236206 19.731)</t>
  </si>
  <si>
    <t>POINT (263186.6840611942 7026331.106355438)</t>
  </si>
  <si>
    <t>2025-11-22T10:32:21Z</t>
  </si>
  <si>
    <t>['EV39 S80D1 m418']</t>
  </si>
  <si>
    <t>LINESTRING Z (-28672.16477032611 6711114.112733034 47.342, -28671.241361630033 6711113.966554019 47.31, -28671.086885634577 6711114.870086701 47.296, -28671.955233161803 6711115.008222762 47.363, -28672.075057541137 6711114.110922274 47.323)</t>
  </si>
  <si>
    <t>POINT (-28671.6008859117 6711114.482068915)</t>
  </si>
  <si>
    <t>['EV39 S80D1 m404']</t>
  </si>
  <si>
    <t>LINESTRING Z (-28669.22491067031 6711128.77191097 46.809, -28669.61975540535 6711127.146800328 46.676, -28670.516950862948 6711127.3569137575 46.602, -28670.114324110327 6711128.958299889 46.658, -28669.22263513005 6711128.748990834 46.76)</t>
  </si>
  <si>
    <t>POINT (-28669.867165920834 6711128.055174332)</t>
  </si>
  <si>
    <t>['EV39 S80D1 m280']</t>
  </si>
  <si>
    <t>LINESTRING Z (-28625.941561173648 6711242.107996879 46.287, -28625.532499258523 6711242.906579488 46.345, -28626.298255342175 6711243.323365623 46.375, -28626.74908910028 6711242.508296866 46.224, -28625.93054938072 6711242.106388415 46.28)</t>
  </si>
  <si>
    <t>POINT (-28626.135067505624 6711242.708817063)</t>
  </si>
  <si>
    <t>['EV16 S3D1 m7209 KD3 m168']</t>
  </si>
  <si>
    <t>LINESTRING Z (-17588.79897547554 6736206.297971836 54.781, -17589.798368293676 6736206.024503128 54.796, -17589.00121364859 6736203.775646915 54.761, -17588.060361218464 6736204.068855833 54.767, -17588.90923429106 6736206.268727559 54.764)</t>
  </si>
  <si>
    <t>POINT (-17588.938824972025 6736205.04444327)</t>
  </si>
  <si>
    <t>2024-11-20</t>
  </si>
  <si>
    <t>[549]</t>
  </si>
  <si>
    <t>['FV549 S5D1 m703']</t>
  </si>
  <si>
    <t>LINESTRING Z (-26919.422718918184 6693785.158135262 -0.1074314117431641, -26919.58808383171 6693784.992770347 -0.107432059943676)</t>
  </si>
  <si>
    <t>POINT (-26919.505401374947 6693785.075452805)</t>
  </si>
  <si>
    <t>2025-11-22T10:32:24Z</t>
  </si>
  <si>
    <t>[7546]</t>
  </si>
  <si>
    <t>['FV7546 S1D130 m447']</t>
  </si>
  <si>
    <t>LINESTRING Z (539879.229 7587953.707 8.985, 539879.771 7587954.409 9.004, 539880.919 7587953.532 9.045, 539880.48 7587952.81 9.03, 539879.229 7587953.707 8.985)</t>
  </si>
  <si>
    <t>POINT (539880.0894967626 7587953.611291662)</t>
  </si>
  <si>
    <t>2025-01-17</t>
  </si>
  <si>
    <t>2025-11-22T10:32:27Z</t>
  </si>
  <si>
    <t>[4668]</t>
  </si>
  <si>
    <t>['FV4668 S1D1 m1516']</t>
  </si>
  <si>
    <t>LINESTRING Z (1267.0250722130295 6587051.885047156 77.186, 1267.487758929492 6587051.173676196 77.116, 1268.8125189106213 6587051.989305759 77.137, 1268.3776030039298 6587052.712276745 77.196, 1267.0250722130295 6587051.885047156 77.186)</t>
  </si>
  <si>
    <t>POINT (1267.923679452548 6587051.941866381)</t>
  </si>
  <si>
    <t>['FV4668 S1D1 m1232']</t>
  </si>
  <si>
    <t>LINESTRING Z (989.4661603710265 6587046.820211938 78.825, 989.5860381152597 6587047.660027533 78.741, 991.1176164231147 6587047.440277908 78.72500000000001, 990.9867466976284 6587046.5856986735 78.815, 989.4661603710265 6587046.820211938 78.825)</t>
  </si>
  <si>
    <t>POINT (990.2918321482027 6587047.1269381745)</t>
  </si>
  <si>
    <t>['FV4668 S1D1 m1403']</t>
  </si>
  <si>
    <t>LINESTRING Z (1158.603300525283 6587017.310185206 76.928, 1159.2901808329043 6587016.817712519 76.926, 1160.230948430777 6587018.067750008 76.912, 1159.5352977359435 6587018.578532678 76.919, 1158.603300525283 6587017.310185206 76.928)</t>
  </si>
  <si>
    <t>POINT (1159.4159818290948 6587017.696353623)</t>
  </si>
  <si>
    <t>['FV4668 S1D1 m1233']</t>
  </si>
  <si>
    <t>LINESTRING Z (988.2228799087461 6587039.194004842 78.33500000000001, 988.1210570782423 6587038.360970638 78.263, 989.6647757595638 6587038.164935338 78.256, 989.7967376220622 6587038.972874464 78.35300000000001, 988.2228799087461 6587039.194004842 78.33500000000001)</t>
  </si>
  <si>
    <t>POINT (988.9484257385866 6587038.676478952)</t>
  </si>
  <si>
    <t>['FV4668 S1D1 m1457']</t>
  </si>
  <si>
    <t>LINESTRING Z (1211.8259655371075 6587029.873265912 77.31400000000001, 1212.0419016317464 6587029.042933233 77.237, 1213.565911849495 6587029.481218541 77.22200000000001, 1213.3481369811925 6587030.28146111 77.296, 1211.8259655371075 6587029.873265912 77.31400000000001)</t>
  </si>
  <si>
    <t>POINT (1212.6912061595008 6587029.667645118)</t>
  </si>
  <si>
    <t>LINESTRING Z (1263.1927400401328 6587058.990829795 76.58, 1264.5368235909846 6587059.74433898 76.60000000000001, 1264.951316549268 6587059.051281555 76.595, 1263.5885628826218 6587058.254678731 76.59, 1263.1927400401328 6587058.990829795 76.58)</t>
  </si>
  <si>
    <t>POINT (1264.0649437245204 6587059.005159985)</t>
  </si>
  <si>
    <t>2025-02-04</t>
  </si>
  <si>
    <t>[89417]</t>
  </si>
  <si>
    <t>['KV89417 S1D1 m256']</t>
  </si>
  <si>
    <t>LINESTRING Z (262802.8722617568 6651652.692169483 57.446, 262802.6637281749 6651651.812927174 57.446, 262804.2786315874 6651651.430011699 57.446, 262804.4871651644 6651652.309253995 57.446, 262802.8722617568 6651652.692169483 57.446)</t>
  </si>
  <si>
    <t>POINT (262803.57544666884 6651652.061090588)</t>
  </si>
  <si>
    <t>['KV89417 S1D1 m127']</t>
  </si>
  <si>
    <t>LINESTRING Z (262678.20124343014 6651684.432504412 56.67, 262677.8899831084 6651683.583698845 56.67, 262679.4475458546 6651683.012088659 56.67, 262679.75971204374 6651683.85980717 56.67, 262678.20124343014 6651684.432504412 56.67)</t>
  </si>
  <si>
    <t>POINT (262678.824550791 6651683.722165617)</t>
  </si>
  <si>
    <t>['KV89417 S1D1 m140']</t>
  </si>
  <si>
    <t>LINESTRING Z (262690.22611230233 6651682.129658925 56.755, 262690.0658615185 6651681.239998199 56.755, 262691.6989745905 6651680.946854313 56.755, 262691.8592253702 6651681.836515026 56.755, 262690.2436862913 6651682.124042466 56.755)</t>
  </si>
  <si>
    <t>POINT (262690.9650793139 6651681.535761915)</t>
  </si>
  <si>
    <t>['KV89417 S1D1 m371']</t>
  </si>
  <si>
    <t>LINESTRING Z (262913.8168073124 6651621.822999047 54.54, 262913.4782812881 6651621.094223375 54.54, 262914.8942530013 6651620.43501711 54.54, 262915.2327790177 6651621.16379277 54.54, 262913.8168073124 6651621.822999047 54.54)</t>
  </si>
  <si>
    <t>POINT (262914.3555301528 6651621.129008077)</t>
  </si>
  <si>
    <t>[161]</t>
  </si>
  <si>
    <t>['KV161 S4D1 m1668']</t>
  </si>
  <si>
    <t>LINESTRING Z (262629.692368269 6651678.4207257135 56.071, 262629.27974034747 6651677.617304347 56.071, 262630.7560463562 6651676.859174156 56.071, 262631.16867426777 6651677.662595514 56.071, 262629.692368269 6651678.4207257135 56.071)</t>
  </si>
  <si>
    <t>POINT (262630.2242073083 6651677.639949935)</t>
  </si>
  <si>
    <t>['KV161 S4D1 m1648']</t>
  </si>
  <si>
    <t>LINESTRING Z (262659.2332921395 6651692.022326948 56.38, 262659.059816092 6651691.550818562 56.38, 262659.9261051798 6651691.23294522 56.38, 262660.09858476097 6651691.704544192 56.38, 262659.2332921395 6651692.022326948 56.38)</t>
  </si>
  <si>
    <t>POINT (262659.57938098005 6651691.627593134)</t>
  </si>
  <si>
    <t>2025-11-22T10:32:30Z</t>
  </si>
  <si>
    <t>['RV9 S7D1 m6073']</t>
  </si>
  <si>
    <t>LINESTRING Z (79989.11490800494 6512578.707186044 171.27, 79989.63433301984 6512577.318223134 171.34, 79990.3868678083 6512577.556295735 171.28, 79989.87739783141 6512578.94414074 171.32, 79989.11490800494 6512578.707186044 171.27)</t>
  </si>
  <si>
    <t>POINT (79989.75248320102 6512578.132742294)</t>
  </si>
  <si>
    <t>['RV9 S7D1 m6443']</t>
  </si>
  <si>
    <t>LINESTRING Z (79848.2751329437 6512921.224265518 176.19, 79848.01321521902 6512920.507715234 176.15, 79849.41980445554 6512920.017098716 176.06, 79849.67288506316 6512920.744721965 176.09, 79848.2751329437 6512921.224265518 176.19)</t>
  </si>
  <si>
    <t>POINT (79848.84607919253 6512920.622087932)</t>
  </si>
  <si>
    <t>2025-04-29</t>
  </si>
  <si>
    <t>2025-11-22T10:32:33Z</t>
  </si>
  <si>
    <t>['FV500 S7D1 m8197']</t>
  </si>
  <si>
    <t>LINESTRING Z (-19872.66394321696 6665097.855835275 10.93, -19873.748856313236 6665097.921514573 10.870000000000001, -19873.794199012977 6665097.117396796 10.84, -19872.693618838035 6665097.089985746 10.9, -19872.66394321696 6665097.855835275 10.93)</t>
  </si>
  <si>
    <t>POINT (-19873.230887776423 6665097.494960477)</t>
  </si>
  <si>
    <t>['FV500 S7D1 m8187']</t>
  </si>
  <si>
    <t>LINESTRING Z (-19863.362746683473 6665098.547686649 11.39, -19864.044417522207 6665098.038251623 11.370000000000001, -19863.16151800973 6665096.785772366 11.41, -19862.462866019574 6665097.272485037 11.42, -19863.362746683473 6665098.547686649 11.39)</t>
  </si>
  <si>
    <t>POINT (-19863.25580270868 6665097.662459168)</t>
  </si>
  <si>
    <t>2025-11-22T10:32:36Z</t>
  </si>
  <si>
    <t>['EV39 S81D1 m3889']</t>
  </si>
  <si>
    <t>LINESTRING Z (-30161.43217083835 6706558.098925253 9.612, -30161.737153747934 6706557.66916572 9.614, -30161.074989438755 6706557.730451347 9.631, -30161.101532633067 6706558.434578702 9.625, -30161.795451926417 6706558.310171219 9.608, -30161.717380133923 6706557.688862614 9.612)</t>
  </si>
  <si>
    <t>POINT (-30161.443083199472 6706558.01847294)</t>
  </si>
  <si>
    <t>2025-11-22T10:32:40Z</t>
  </si>
  <si>
    <t>['EV39 S78D1 m7320']</t>
  </si>
  <si>
    <t>LINESTRING Z (-32688.55309175013 6726087.958168502 9.103, -32689.665292626596 6726089.681854434 9.094, -32690.357405446237 6726089.208090928 9.109, -32689.199125012034 6726087.454990018 9.083, -32688.538762812037 6726087.865665704 9.116)</t>
  </si>
  <si>
    <t>POINT (-32689.451662644984 6726088.576635863)</t>
  </si>
  <si>
    <t>2025-07-28</t>
  </si>
  <si>
    <t>['EV16 S3D1 m750']</t>
  </si>
  <si>
    <t>LINESTRING Z (-23721.392681166588 6735945.7155307345 8.64, -23725.365735619795 6735946.099740553 8.620000000000001, -23725.581794123107 6735943.631999845 8.65, -23721.616896469903 6735943.268679562 8.66, -23721.392681166588 6735945.7155307345 8.64)</t>
  </si>
  <si>
    <t>POINT (-23723.492277906113 6735944.680237834)</t>
  </si>
  <si>
    <t>['EV16 S3D1 m732']</t>
  </si>
  <si>
    <t>LINESTRING Z (-23741.831397657224 6735950.720501082 8.25, -23740.836184073298 6735950.810583575 8.25, -23741.024505854293 6735952.821900214 8.25, -23742.02063460584 6735952.721830587 8.25, -23741.831397657224 6735950.720501082 8.25)</t>
  </si>
  <si>
    <t>POINT (-23741.427395939903 6735951.769091015)</t>
  </si>
  <si>
    <t>['EV16 S3D1 m731']</t>
  </si>
  <si>
    <t>LINESTRING Z (-23743.09176812065 6735950.594289987 8.25, -23742.09655452607 6735950.684372484 8.25, -23742.284876309917 6735952.695689143 8.25, -23743.281005071534 6735952.595619518 8.25, -23743.09176812065 6735950.594289987 8.25)</t>
  </si>
  <si>
    <t>POINT (-23742.68776639979 6735951.642879935)</t>
  </si>
  <si>
    <t>['EV16 S3D1 m789']</t>
  </si>
  <si>
    <t>LINESTRING Z (-23685.33808515221 6735947.588192905 8.75, -23684.460131592583 6735947.497671304 8.77, -23684.687848159403 6735945.232419797 8.76, -23685.56397139473 6735945.342915675 8.77, -23685.33808515221 6735947.588192905 8.75)</t>
  </si>
  <si>
    <t>POINT (-23685.01112094238 6735946.415058318)</t>
  </si>
  <si>
    <t>['EV16 S3D1 m787']</t>
  </si>
  <si>
    <t>LINESTRING Z (-23687.733447410224 6735948.704009558 8.74, -23685.27935530647 6735948.448917679 8.73, -23685.692611231992 6735944.488597044 8.73, -23688.146703356295 6735944.743688849 8.74, -23687.733447410224 6735948.704009558 8.74)</t>
  </si>
  <si>
    <t>POINT (-23686.713029333696 6735946.59630328)</t>
  </si>
  <si>
    <t>['EV16 S3D1 m729']</t>
  </si>
  <si>
    <t>LINESTRING Z (-23743.593352194002 6735952.594028195 8.25, -23746.04143762827 6735952.365161336 8.26, -23745.66929017118 6735948.40336596 8.26, -23743.220289582445 6735948.642220046 8.25, -23743.593352194002 6735952.594028195 8.25)</t>
  </si>
  <si>
    <t>POINT (-23744.632003301453 6735950.500818256)</t>
  </si>
  <si>
    <t>[12860]</t>
  </si>
  <si>
    <t>['KV12860 S1D1 m771']</t>
  </si>
  <si>
    <t>LINESTRING Z (263518.7326229875 6650369.688401327 26.455847, 263519.1997231893 6650370.437746589 26.459474, 263520.5428143338 6650369.640939052 26.454044, 263520.09738129785 6650368.8901212895 26.450911, 263518.7326229875 6650369.688401327 26.455847)</t>
  </si>
  <si>
    <t>POINT (263519.6408491119 6650369.663629753)</t>
  </si>
  <si>
    <t>['KV12860 S1D1 m352']</t>
  </si>
  <si>
    <t>LINESTRING Z (263156.74025577295 6650578.1525422 23.196707, 263156.74584894784 6650578.121384441 23.184973, 263155.3903529533 6650578.879892535 23.199082, 263155.8133586638 6650579.647552583 23.204725, 263157.1727117335 6650578.886204133 23.20898)</t>
  </si>
  <si>
    <t>POINT (263156.1364610322 6650578.961185336)</t>
  </si>
  <si>
    <t>['KV12860 S1D1 m1170']</t>
  </si>
  <si>
    <t>LINESTRING Z (263886.24634347326 6650234.949719059 34.947156, 263887.73629576596 6650234.780875828 34.958984, 263887.6409243158 6650233.976809857 34.959367, 263886.1591179165 6650234.144074713 34.947928, 263886.2503629681 6650234.949263873 34.947188)</t>
  </si>
  <si>
    <t>POINT (263886.94600229134 6650234.46356349)</t>
  </si>
  <si>
    <t>['KV12860 S1D1 m425']</t>
  </si>
  <si>
    <t>LINESTRING Z (263219.3464602475 6650543.040253878 21.988422, 263220.6856944674 6650542.288706967 21.99179, 263220.2655372452 6650541.548412672 21.990625, 263218.9099644065 6650542.309143173 22.012139)</t>
  </si>
  <si>
    <t>POINT (263219.9463951699 6650542.213228179)</t>
  </si>
  <si>
    <t>['KV12860 S1D1 m717']</t>
  </si>
  <si>
    <t>LINESTRING Z (263472.00020799815 6650397.911935985 27.356459, 263471.5730181984 6650397.188048761 27.356459, 263472.88876638375 6650396.411582731 27.380313, 263473.32293127687 6650397.131362533 27.378474, 263472.00020799815 6650397.911935985 27.356459)</t>
  </si>
  <si>
    <t>POINT (263472.44660480757 6650397.161344411)</t>
  </si>
  <si>
    <t>['KV12860 S1D1 m1169']</t>
  </si>
  <si>
    <t>LINESTRING Z (263884.05817086704 6650224.713868325 35.000115, 263883.89604493405 6650223.943832544 35.01822, 263885.3741152843 6650223.638107887 35.044151, 263885.5215367323 6650224.412643068 35.038579, 263884.05817086704 6650224.713868325 35.000115)</t>
  </si>
  <si>
    <t>POINT (263884.71245264815 6650224.175771336)</t>
  </si>
  <si>
    <t>[14075]</t>
  </si>
  <si>
    <t>['KV14075 S1D1 m12']</t>
  </si>
  <si>
    <t>LINESTRING Z (263225.8630652999 6650553.521500823 22.018033, 263225.2902198639 6650552.100673022 21.988696, 263224.4933763359 6650552.418397525 21.976513, 263225.0997975323 6650553.853132847 22.021587)</t>
  </si>
  <si>
    <t>POINT (263225.12000943645 6650552.819340247)</t>
  </si>
  <si>
    <t>['KV14075 S1D1 m188']</t>
  </si>
  <si>
    <t>LINESTRING Z (263312.974751777 6650704.052912458 28.24157, 263313.9651261012 6650705.194395095 28.246950000000002, 263314.5567369423 6650704.680280793 28.250236, 263313.5685101728 6650703.547351473 28.221147, 263312.974751777 6650704.052912458 28.24157)</t>
  </si>
  <si>
    <t>POINT (263313.76619905775 6650704.369663311)</t>
  </si>
  <si>
    <t>2025-11-22T10:32:43Z</t>
  </si>
  <si>
    <t>['KV14075 S1D1 m5']</t>
  </si>
  <si>
    <t>LINESTRING Z (263243.9506356467 6650543.808597828 22.057032, 263244.76158132486 6650543.73164017 22.038919, 263244.67408924317 6650542.909783715 22.023885, 263243.8855798521 6650542.992204602 22.040805)</t>
  </si>
  <si>
    <t>POINT (263244.4540983243 6650543.350691817)</t>
  </si>
  <si>
    <t>['KV14075 S1D1 m51']</t>
  </si>
  <si>
    <t>LINESTRING Z (263247.73494581436 6650587.717461414 23.379944, 263248.60778655007 6650587.668616344 23.399224, 263248.68329236936 6650589.266929318 23.41062, 263247.7686820964 6650589.296249876 23.393641, 263247.73494581436 6650587.717461414 23.379944)</t>
  </si>
  <si>
    <t>POINT (263248.20078528597 6650588.49376598)</t>
  </si>
  <si>
    <t>['KV12860 S1D1 m638']</t>
  </si>
  <si>
    <t>LINESTRING Z (263403.96052628965 6650437.0526444465 24.269387, 263403.49848364794 6650436.3208788615 24.255723, 263404.83489586756 6650435.534460853 24.258542, 263405.2619891827 6650436.247930832 24.268932, 263403.96052628965 6650437.0526444465 24.269387)</t>
  </si>
  <si>
    <t>POINT (263404.3833428009 6650436.290252205)</t>
  </si>
  <si>
    <t>['KV12860 S1D1 m701']</t>
  </si>
  <si>
    <t>LINESTRING Z (263459.2646879251 6650407.566296289 26.988758, 263460.6082909127 6650406.795888864 26.993863, 263460.1803886112 6650406.0656475285 27.035026, 263458.8389275458 6650406.841846484 26.966058, 263459.2646879251 6650407.566296289 26.988758)</t>
  </si>
  <si>
    <t>POINT (263459.72388035065 6650406.816849975)</t>
  </si>
  <si>
    <t>['KV12860 S1D1 m537']</t>
  </si>
  <si>
    <t>LINESTRING Z (263316.74467575026 6650486.903600409 22.583897, 263318.0849160417 6650486.093252514 22.57331, 263317.6526495034 6650485.344855036 22.552046, 263316.2576618343 6650486.152356138 22.541142999999998, 263316.74467575026 6650486.903600409 22.583897)</t>
  </si>
  <si>
    <t>POINT (263317.17855284136 6650486.122590031)</t>
  </si>
  <si>
    <t>['KV12860 S1D1 m890']</t>
  </si>
  <si>
    <t>LINESTRING Z (263619.79582734674 6650308.388945464 30.05034, 263620.23954020476 6650309.138067329 30.023283, 263621.55702833505 6650308.373487291 30.013706, 263621.12811044033 6650307.600744303 30.053692)</t>
  </si>
  <si>
    <t>POINT (263620.78416528256 6650308.550570888)</t>
  </si>
  <si>
    <t>['KV12860 S1D1 m1098']</t>
  </si>
  <si>
    <t>LINESTRING Z (263814.7481403523 6650231.239289696 34.305557, 263813.269080613 6650231.385342037 34.336858, 263813.3512175577 6650232.173827926 34.314062, 263814.83780461445 6650232.025932532 34.296759, 263814.7481403523 6650231.239289696 34.305557)</t>
  </si>
  <si>
    <t>POINT (263814.0514679532 6650231.706776282)</t>
  </si>
  <si>
    <t>2025-09-17</t>
  </si>
  <si>
    <t>['EV16 S6D1 m1824']</t>
  </si>
  <si>
    <t>LINESTRING Z (-7959.38706765126 6746920.55889476 23.243, -7959.410420982866 6746922.740291742 23.148, -7960.209377012798 6746922.752359166 23.137, -7960.186867344135 6746920.525940624 23.188, -7959.357514363248 6746920.532120667 23.222)</t>
  </si>
  <si>
    <t>POINT (-7959.799325655475 6746921.636956832)</t>
  </si>
  <si>
    <t>2025-11-27T15:23:52Z</t>
  </si>
  <si>
    <t>[6730]</t>
  </si>
  <si>
    <t>['FV6730 S1D1 m1148']</t>
  </si>
  <si>
    <t>LINESTRING Z (312999.4883081189 7002966.94320084 219.54, 312999.8253732715 7002966.680553538 219.49, 312999.718642756 7002966.3992059585 220.12)</t>
  </si>
  <si>
    <t>POINT (312999.70442928723 7002966.699484409)</t>
  </si>
  <si>
    <t>2026-01-07</t>
  </si>
  <si>
    <t>2026-01-07T09:10:21Z</t>
  </si>
  <si>
    <t>[2718]</t>
  </si>
  <si>
    <t>['FV2718 S1D1 m444']</t>
  </si>
  <si>
    <t>LINESTRING Z (230544.31245315325 6630652.658015518 68.09, 230545.74671468447 6630651.186689792 68.17, 230546.28448236204 6630651.721727655 68.23, 230544.8588456122 6630653.172411191 68.15, 230544.31245315325 6630652.658015518 68.09)</t>
  </si>
  <si>
    <t>POINT (230545.30065965743 6630652.182672129)</t>
  </si>
  <si>
    <t>Leskur</t>
  </si>
  <si>
    <t>2024-10-29</t>
  </si>
  <si>
    <t>[5266]</t>
  </si>
  <si>
    <t>['FV5266 S1D1 m1176']</t>
  </si>
  <si>
    <t>LINESTRING (-44188.67396938277 6748692.931751042, -44184.86149797554 6748691.939980799, -44181.02598733001 6748690.608716391, -44174.896951295785 6748687.397264395, -44168.979225600604 6748684.516686462)</t>
  </si>
  <si>
    <t>POINT (-44178.67194983452 6748689.128448578)</t>
  </si>
  <si>
    <t>['RV9 S2D1 m5843']</t>
  </si>
  <si>
    <t>LINESTRING (81072.05216253235 6479231.174700284, 81074.83144778915 6479231.036183413, 81074.72333346738 6479229.464136134, 81071.86546278937 6479229.630275929, 81072.00862212502 6479231.158997529)</t>
  </si>
  <si>
    <t>2023-05-31</t>
  </si>
  <si>
    <t>[3014]</t>
  </si>
  <si>
    <t>['FV3014 S1D1 m2071']</t>
  </si>
  <si>
    <t>LINESTRING Z (223596.56 6554789 0.06, 223598.47999999998 6554788.01 0.06, 223596.78 6554784.91 0.06, 223594.90000000002 6554785.92 0.06, 223596.56 6554789 0.06)</t>
  </si>
  <si>
    <t>POLYGON Z ((223596.56 6554789 0.06, 223598.47999999998 6554788.01 0.06, 223596.78 6554784.91 0.06, 223594.90000000002 6554785.92 0.06, 223596.56 6554789 0.06))</t>
  </si>
  <si>
    <t>['FV3102 S2D1 m797']</t>
  </si>
  <si>
    <t>LINESTRING Z (240166.82 6575100.01 0.08, 240168.31 6575098.67 0.08, 240165.93 6575096.21 0.08, 240164.51 6575097.57 0.08, 240166.82 6575100.01 0.08)</t>
  </si>
  <si>
    <t>POLYGON Z ((240166.82 6575100.01 0.08, 240168.31 6575098.67 0.08, 240165.93 6575096.21 0.08, 240164.51 6575097.57 0.08, 240166.82 6575100.01 0.08))</t>
  </si>
  <si>
    <t>[2714]</t>
  </si>
  <si>
    <t>['FV2714 S3D1 m2265']</t>
  </si>
  <si>
    <t>LINESTRING Z (231678.56 6622350.24 0.12, 231680.47999999998 6622349.13 0.12, 231678.72999999998 6622346.15 0.12, 231676.78 6622347.33 0.12, 231678.56 6622350.24 0.12)</t>
  </si>
  <si>
    <t>POLYGON Z ((231678.56 6622350.24 0.12, 231680.47999999998 6622349.13 0.12, 231678.72999999998 6622346.15 0.12, 231676.78 6622347.33 0.12, 231678.56 6622350.24 0.12))</t>
  </si>
  <si>
    <t>[315]</t>
  </si>
  <si>
    <t>['FV315 S2D1 m4459']</t>
  </si>
  <si>
    <t>LINESTRING Z (231657.99 6605323.4 0.1, 231657.37 6605321.65 0.1, 231660.58000000002 6605320.47 0.1, 231661.16 6605322.21 0.1, 231657.99 6605323.4 0.1)</t>
  </si>
  <si>
    <t>POLYGON Z ((231657.99 6605323.4 0.1, 231657.37 6605321.65 0.1, 231660.58000000002 6605320.47 0.1, 231661.16 6605322.21 0.1, 231657.99 6605323.4 0.1))</t>
  </si>
  <si>
    <t>['FV32 S2D1 m4134']</t>
  </si>
  <si>
    <t>LINESTRING Z (221173.77000000002 6606052.17 116.79, 221179.37 6606053.62 116.8, 221178.47999999998 6606055.73 116.78, 221173.25 6606054.07 116.26)</t>
  </si>
  <si>
    <t>[306]</t>
  </si>
  <si>
    <t>['FV306 S4D1 m2016']</t>
  </si>
  <si>
    <t>LINESTRING Z (222569.45 6590656.4 0.09, 222571.21000000002 6590655.18 0.09, 222567.82 6590650.33 0.09, 222566.09 6590651.53 0.09, 222569.45 6590656.4 0.09)</t>
  </si>
  <si>
    <t>POLYGON Z ((222569.45 6590656.4 0.09, 222571.21000000002 6590655.18 0.09, 222567.82 6590650.33 0.09, 222566.09 6590651.53 0.09, 222569.45 6590656.4 0.09))</t>
  </si>
  <si>
    <t>[3208]</t>
  </si>
  <si>
    <t>['FV3208 S1D1 m31']</t>
  </si>
  <si>
    <t>LINESTRING Z (232159.15000000002 6596068.3 0.09, 232163.49 6596069.17 0.09, 232164.03 6596066.38 0.09, 232159.69 6596065.55 0.09, 232159.15000000002 6596068.3 0.09)</t>
  </si>
  <si>
    <t>POLYGON Z ((232159.15000000002 6596068.3 0.09, 232163.49 6596069.17 0.09, 232164.03 6596066.38 0.09, 232159.69 6596065.55 0.09, 232159.15000000002 6596068.3 0.09))</t>
  </si>
  <si>
    <t>['FV303 S5D1 m2358']</t>
  </si>
  <si>
    <t>LINESTRING Z (232214.61 6573843.51 0.07, 232213.14 6573841.91 0.07, 232215.77000000002 6573839.85 0.07, 232217.05 6573841.42 0.07, 232214.61 6573843.51 0.07)</t>
  </si>
  <si>
    <t>POLYGON Z ((232214.61 6573843.51 0.07, 232213.14 6573841.91 0.07, 232215.77000000002 6573839.85 0.07, 232217.05 6573841.42 0.07, 232214.61 6573843.51 0.07))</t>
  </si>
  <si>
    <t>['FV303 S5D1 m2327']</t>
  </si>
  <si>
    <t>LINESTRING Z (232247.81 6573838.01 0.07, 232246.51 6573836.68 0.07, 232248.91999999998 6573834.35 0.07, 232250.21000000002 6573835.65 0.07, 232247.81 6573838.01 0.07)</t>
  </si>
  <si>
    <t>POLYGON Z ((232247.81 6573838.01 0.07, 232246.51 6573836.68 0.07, 232248.91999999998 6573834.35 0.07, 232250.21000000002 6573835.65 0.07, 232247.81 6573838.01 0.07))</t>
  </si>
  <si>
    <t>['FV303 S5D1 m2006']</t>
  </si>
  <si>
    <t>LINESTRING Z (232174.99 6573538.35 0.07, 232176.83000000002 6573538.12 0.07, 232176.39 6573534.75 0.07, 232174.53 6573534.96 0.07, 232174.99 6573538.35 0.07)</t>
  </si>
  <si>
    <t>POLYGON Z ((232174.99 6573538.35 0.07, 232176.83000000002 6573538.12 0.07, 232176.39 6573534.75 0.07, 232174.53 6573534.96 0.07, 232174.99 6573538.35 0.07))</t>
  </si>
  <si>
    <t>[256]</t>
  </si>
  <si>
    <t>['FV256 S7D1 m6152']</t>
  </si>
  <si>
    <t>LINESTRING Z (234057.66 6580854.9 0.08, 234059.13 6580853.94 0.08, 234057.25 6580851.22 0.08, 234055.8 6580852.21 0.08, 234057.66 6580854.9 0.08)</t>
  </si>
  <si>
    <t>POLYGON Z ((234057.66 6580854.9 0.08, 234059.13 6580853.94 0.08, 234057.25 6580851.22 0.08, 234055.8 6580852.21 0.08, 234057.66 6580854.9 0.08))</t>
  </si>
  <si>
    <t>['FV256 S7D1 m6278']</t>
  </si>
  <si>
    <t>LINESTRING Z (234133.28 6580926.54 0.08, 234134.7 6580925.57 0.08, 234132.86 6580922.92 0.08, 234131.47999999998 6580923.91 0.08, 234133.28 6580926.54 0.08)</t>
  </si>
  <si>
    <t>['FV3160 S1D1 m679']</t>
  </si>
  <si>
    <t>LINESTRING Z (231578.49 6574418.13 0.07, 231578.18 6574416.89 0.07, 231580.52000000002 6574416.39 0.07, 231580.79 6574417.67 0.07, 231578.49 6574418.13 0.07)</t>
  </si>
  <si>
    <t>POLYGON Z ((231578.49 6574418.13 0.07, 231578.18 6574416.89 0.07, 231580.52000000002 6574416.39 0.07, 231580.79 6574417.67 0.07, 231578.49 6574418.13 0.07))</t>
  </si>
  <si>
    <t>[3026]</t>
  </si>
  <si>
    <t>['FV3026 S1D1 m2322']</t>
  </si>
  <si>
    <t>LINESTRING Z (219073.25 6560388.78 0.04, 219074.12 6560386.73 0.04, 219071.2 6560385.55 0.04, 219070.33000000002 6560387.58 0.04, 219073.25 6560388.78 0.04)</t>
  </si>
  <si>
    <t>POLYGON Z ((219073.25 6560388.78 0.04, 219074.12 6560386.73 0.04, 219071.2 6560385.55 0.04, 219070.33000000002 6560387.58 0.04, 219073.25 6560388.78 0.04))</t>
  </si>
  <si>
    <t>['FV2970 S1D1 m241']</t>
  </si>
  <si>
    <t>LINESTRING Z (205288.86 6549928.78 0.05, 205290.64 6549927.15 0.05, 205288.22 6549924.69 0.05, 205286.46000000002 6549926.26 0.05, 205288.86 6549928.78 0.05)</t>
  </si>
  <si>
    <t>POLYGON Z ((205288.86 6549928.78 0.05, 205290.64 6549927.15 0.05, 205288.22 6549924.69 0.05, 205286.46000000002 6549926.26 0.05, 205288.86 6549928.78 0.05))</t>
  </si>
  <si>
    <t>[3122]</t>
  </si>
  <si>
    <t>['FV3122 S1D1 m514']</t>
  </si>
  <si>
    <t>LINESTRING Z (239152.31 6579060.52 0.08, 239153.45 6579059.28 0.08, 239150.97 6579057.01 0.08, 239149.87 6579058.25 0.08, 239152.31 6579060.52 0.08)</t>
  </si>
  <si>
    <t>POLYGON Z ((239152.31 6579060.52 0.08, 239153.45 6579059.28 0.08, 239150.97 6579057.01 0.08, 239149.87 6579058.25 0.08, 239152.31 6579060.52 0.08))</t>
  </si>
  <si>
    <t>[3120]</t>
  </si>
  <si>
    <t>['FV3120 S1D1 m720']</t>
  </si>
  <si>
    <t>LINESTRING Z (238357.48 6579718.11 0.09, 238355.77 6579718.14 0.09, 238355.69 6579714.81 0.09, 238357.44 6579714.79 0.09, 238357.48 6579718.11 0.09)</t>
  </si>
  <si>
    <t>POLYGON Z ((238357.48 6579718.11 0.09, 238355.77 6579718.14 0.09, 238355.69 6579714.81 0.09, 238357.44 6579714.79 0.09, 238357.48 6579718.11 0.09))</t>
  </si>
  <si>
    <t>[3204]</t>
  </si>
  <si>
    <t>['FV3204 S1D1 m1568']</t>
  </si>
  <si>
    <t>LINESTRING Z (242469.03 6592484.72 0.1, 242470.98 6592485.09 0.1, 242471.54 6592481.89 0.1, 242469.61000000002 6592481.56 0.1, 242469.03 6592484.72 0.1)</t>
  </si>
  <si>
    <t>POLYGON Z ((242469.03 6592484.72 0.1, 242470.98 6592485.09 0.1, 242471.54 6592481.89 0.1, 242469.61000000002 6592481.56 0.1, 242469.03 6592484.72 0.1))</t>
  </si>
  <si>
    <t>['FV3204 S1D1 m995']</t>
  </si>
  <si>
    <t>LINESTRING Z (242482.43 6593042.35 0.1, 242484.43 6593042.1 0.1, 242484.06 6593038.9 0.1, 242482.02 6593039.13 0.1, 242482.43 6593042.35 0.1)</t>
  </si>
  <si>
    <t>POLYGON Z ((242482.43 6593042.35 0.1, 242484.43 6593042.1 0.1, 242484.06 6593038.9 0.1, 242482.02 6593039.13 0.1, 242482.43 6593042.35 0.1))</t>
  </si>
  <si>
    <t>['FV3116 S1D1 m617']</t>
  </si>
  <si>
    <t>LINESTRING Z (239107 6581182.75 0.09, 239108.26 6581182.57 0.09, 239107.74 6581179.57 0.09, 239106.5 6581179.78 0.09, 239107 6581182.75 0.09)</t>
  </si>
  <si>
    <t>POLYGON Z ((239107 6581182.75 0.09, 239108.26 6581182.57 0.09, 239107.74 6581179.57 0.09, 239106.5 6581179.78 0.09, 239107 6581182.75 0.09))</t>
  </si>
  <si>
    <t>['FV3116 S1D1 m396']</t>
  </si>
  <si>
    <t>LINESTRING Z (239035.23 6580977.64 0.09, 239036.8 6580976.85 0.09, 239034.14 6580972.04 0.09, 239032.59 6580972.88 0.09, 239035.23 6580977.64 0.09)</t>
  </si>
  <si>
    <t>POLYGON Z ((239035.23 6580977.64 0.09, 239036.8 6580976.85 0.09, 239034.14 6580972.04 0.09, 239032.59 6580972.88 0.09, 239035.23 6580977.64 0.09))</t>
  </si>
  <si>
    <t>[3092]</t>
  </si>
  <si>
    <t>['FV3092 S1D1 m2179']</t>
  </si>
  <si>
    <t>LINESTRING Z (238415.49 6573825.48 0.08, 238416 6573822.61 0.08, 238413.96 6573822.24 0.08, 238413.46 6573825.13 0.08, 238415.49 6573825.48 0.08)</t>
  </si>
  <si>
    <t>POLYGON Z ((238415.49 6573825.48 0.08, 238416 6573822.61 0.08, 238413.96 6573822.24 0.08, 238413.46 6573825.13 0.08, 238415.49 6573825.48 0.08))</t>
  </si>
  <si>
    <t>['FV3092 S1D1 m882']</t>
  </si>
  <si>
    <t>LINESTRING Z (238981.32 6572814.79 0.08, 238984.36000000002 6572813.74 0.08, 238983.53 6572811.44 0.08, 238980.5 6572812.6 0.08, 238981.32 6572814.79 0.08)</t>
  </si>
  <si>
    <t>POLYGON Z ((238981.32 6572814.79 0.08, 238984.36000000002 6572813.74 0.08, 238983.53 6572811.44 0.08, 238980.5 6572812.6 0.08, 238981.32 6572814.79 0.08))</t>
  </si>
  <si>
    <t>['FV315 S3D1 m2445']</t>
  </si>
  <si>
    <t>LINESTRING Z (229430.55 6606439.89 0.1, 229432.51 6606439.72 0.1, 229432.24 6606436.29 0.1, 229430.26 6606436.48 0.1, 229430.55 6606439.89 0.1)</t>
  </si>
  <si>
    <t>POLYGON Z ((229430.55 6606439.89 0.1, 229432.51 6606439.72 0.1, 229432.24 6606436.29 0.1, 229430.26 6606436.48 0.1, 229430.55 6606439.89 0.1))</t>
  </si>
  <si>
    <t>['FV35 S7D1 m3820']</t>
  </si>
  <si>
    <t>LINESTRING Z (226958.43 6606285.15 0.1, 226961.03 6606282.05 0.1, 226959.33000000002 6606280.76 0.1, 226956.90000000002 6606283.95 0.1, 226958.43 6606285.15 0.1)</t>
  </si>
  <si>
    <t>POLYGON Z ((226958.43 6606285.15 0.1, 226961.03 6606282.05 0.1, 226959.33000000002 6606280.76 0.1, 226956.90000000002 6606283.95 0.1, 226958.43 6606285.15 0.1))</t>
  </si>
  <si>
    <t>['FV303 S6D1 m3758']</t>
  </si>
  <si>
    <t>LINESTRING Z (235451.73 6577678.17 0.08, 235453.74 6577677.66 0.08, 235452.99 6577674.89 0.08, 235451.01 6577675.44 0.08, 235451.73 6577678.17 0.08)</t>
  </si>
  <si>
    <t>POLYGON Z ((235451.73 6577678.17 0.08, 235453.74 6577677.66 0.08, 235452.99 6577674.89 0.08, 235451.01 6577675.44 0.08, 235451.73 6577678.17 0.08))</t>
  </si>
  <si>
    <t>['FV303 S2D1 m1633']</t>
  </si>
  <si>
    <t>LINESTRING Z (224672.41999999998 6557717.84 0.06, 224674.32 6557717.12 0.06, 224673.06 6557713.96 0.06, 224671.16 6557714.66 0.06, 224672.41999999998 6557717.84 0.06)</t>
  </si>
  <si>
    <t>POLYGON Z ((224672.41999999998 6557717.84 0.06, 224674.32 6557717.12 0.06, 224673.06 6557713.96 0.06, 224671.16 6557714.66 0.06, 224672.41999999998 6557717.84 0.06))</t>
  </si>
  <si>
    <t>['FV303 S1D1 m9403']</t>
  </si>
  <si>
    <t>LINESTRING Z (222253.3 6557179.83 0.05, 222253.40000000002 6557177.88 0.05, 222250.34 6557177.8 0.05, 222250.26 6557179.66 0.05, 222253.3 6557179.83 0.05)</t>
  </si>
  <si>
    <t>POLYGON Z ((222253.3 6557179.83 0.05, 222253.40000000002 6557177.88 0.05, 222250.34 6557177.8 0.05, 222250.26 6557179.66 0.05, 222253.3 6557179.83 0.05))</t>
  </si>
  <si>
    <t>['FV303 S1D1 m8746']</t>
  </si>
  <si>
    <t>LINESTRING Z (221604.69 6557082.63 0.05, 221605.46000000002 6557080.98 0.05, 221600.06 6557078.56 0.05, 221599.28 6557080.24 0.05, 221604.69 6557082.63 0.05)</t>
  </si>
  <si>
    <t>POLYGON Z ((221604.69 6557082.63 0.05, 221605.46000000002 6557080.98 0.05, 221600.06 6557078.56 0.05, 221599.28 6557080.24 0.05, 221604.69 6557082.63 0.05))</t>
  </si>
  <si>
    <t>LINESTRING Z (221181.05 6556885.29 0.05, 221181.75 6556883.72 0.05, 221178.86 6556882.27 0.05, 221178.07 6556883.87 0.05, 221181.05 6556885.29 0.05)</t>
  </si>
  <si>
    <t>POLYGON Z ((221181.05 6556885.29 0.05, 221181.75 6556883.72 0.05, 221178.86 6556882.27 0.05, 221178.07 6556883.87 0.05, 221181.05 6556885.29 0.05))</t>
  </si>
  <si>
    <t>['FV303 S1D1 m6283']</t>
  </si>
  <si>
    <t>LINESTRING Z (219441.04 6556300.98 0.05, 219441.68 6556299.14 0.05, 219438.62 6556298.16 0.05, 219438.02000000002 6556300 0.05, 219441.04 6556300.98 0.05)</t>
  </si>
  <si>
    <t>POLYGON Z ((219441.04 6556300.98 0.05, 219441.68 6556299.14 0.05, 219438.62 6556298.16 0.05, 219438.02000000002 6556300 0.05, 219441.04 6556300.98 0.05))</t>
  </si>
  <si>
    <t>['FV303 S1D1 m5308']</t>
  </si>
  <si>
    <t>LINESTRING Z (218550.2 6556070.54 0.04, 218551.89 6556069.32 0.04, 218549.99 6556066.63 0.04, 218548.28 6556067.83 0.04, 218550.2 6556070.54 0.04)</t>
  </si>
  <si>
    <t>POLYGON Z ((218550.2 6556070.54 0.04, 218551.89 6556069.32 0.04, 218549.99 6556066.63 0.04, 218548.28 6556067.83 0.04, 218550.2 6556070.54 0.04))</t>
  </si>
  <si>
    <t>['FV303 S1D1 m5238']</t>
  </si>
  <si>
    <t>LINESTRING Z (218493.22999999998 6556023.84 0.04, 218495.01 6556022.83 0.04, 218493.29 6556019.83 0.04, 218491.51 6556020.87 0.04, 218493.22999999998 6556023.84 0.04)</t>
  </si>
  <si>
    <t>POLYGON Z ((218493.22999999998 6556023.84 0.04, 218495.01 6556022.83 0.04, 218493.29 6556019.83 0.04, 218491.51 6556020.87 0.04, 218493.22999999998 6556023.84 0.04))</t>
  </si>
  <si>
    <t>['FV303 S1D1 m4752']</t>
  </si>
  <si>
    <t>LINESTRING Z (218094.54 6555869.31 0.04, 218097.68 6555868.13 0.04, 218097.02000000002 6555866.36 0.04, 218093.83000000002 6555867.57 0.04, 218094.54 6555869.31 0.04)</t>
  </si>
  <si>
    <t>POLYGON Z ((218094.54 6555869.31 0.04, 218097.68 6555868.13 0.04, 218097.02000000002 6555866.36 0.04, 218093.83000000002 6555867.57 0.04, 218094.54 6555869.31 0.04))</t>
  </si>
  <si>
    <t>['FV303 S1D1 m3879']</t>
  </si>
  <si>
    <t>LINESTRING Z (217452.63 6555433.97 0.04, 217453.75 6555431.96 0.04, 217456.66 6555433.43 0.04, 217455.44 6555435.43 0.04, 217452.63 6555433.97 0.04)</t>
  </si>
  <si>
    <t>POLYGON Z ((217452.63 6555433.97 0.04, 217453.75 6555431.96 0.04, 217456.66 6555433.43 0.04, 217455.44 6555435.43 0.04, 217452.63 6555433.97 0.04))</t>
  </si>
  <si>
    <t>['FV310 S2D1 m950']</t>
  </si>
  <si>
    <t>LINESTRING Z (241964.4 6597707.17 0.1, 241964.05 6597705.25 0.1, 241967.34 6597704.69 0.1, 241967.65 6597706.55 0.1, 241964.4 6597707.17 0.1)</t>
  </si>
  <si>
    <t>POLYGON Z ((241964.4 6597707.17 0.1, 241964.05 6597705.25 0.1, 241967.34 6597704.69 0.1, 241967.65 6597706.55 0.1, 241964.4 6597707.17 0.1))</t>
  </si>
  <si>
    <t>['FV310 S2D1 m880']</t>
  </si>
  <si>
    <t>LINESTRING Z (241901.23 6597746.63 0.1, 241900.74 6597744.59 0.1, 241903.96 6597743.84 0.1, 241904.44 6597745.87 0.1, 241901.23 6597746.63 0.1)</t>
  </si>
  <si>
    <t>POLYGON Z ((241901.23 6597746.63 0.1, 241900.74 6597744.59 0.1, 241903.96 6597743.84 0.1, 241904.44 6597745.87 0.1, 241901.23 6597746.63 0.1))</t>
  </si>
  <si>
    <t>['FV310 S2D1 m89']</t>
  </si>
  <si>
    <t>LINESTRING Z (241221.91 6598080.05 0.1, 241224.7 6598078.35 0.1, 241223.69 6598076.78 0.1, 241220.92 6598078.46 0.1, 241221.91 6598080.05 0.1)</t>
  </si>
  <si>
    <t>POLYGON Z ((241221.91 6598080.05 0.1, 241224.7 6598078.35 0.1, 241223.69 6598076.78 0.1, 241220.92 6598078.46 0.1, 241221.91 6598080.05 0.1))</t>
  </si>
  <si>
    <t>['FV35 S2D1 m2876']</t>
  </si>
  <si>
    <t>LINESTRING Z (234716.83000000002 6585213.29 0.08, 234716.35 6585210.46 0.08, 234718.41999999998 6585210.13 0.08, 234718.91999999998 6585212.98 0.08, 234716.83000000002 6585213.29 0.08)</t>
  </si>
  <si>
    <t>POLYGON Z ((234716.83000000002 6585213.29 0.08, 234716.35 6585210.46 0.08, 234718.41999999998 6585210.13 0.08, 234718.91999999998 6585212.98 0.08, 234716.83000000002 6585213.29 0.08))</t>
  </si>
  <si>
    <t>['FV319 S5D1 m3123']</t>
  </si>
  <si>
    <t>LINESTRING Z (231612.31 6613970.25 0.11, 231610.95 6613968.68 0.11, 231613.55 6613966.53 0.11, 231614.85 6613968.17 0.11, 231612.31 6613970.25 0.11)</t>
  </si>
  <si>
    <t>POLYGON Z ((231612.31 6613970.25 0.11, 231610.95 6613968.68 0.11, 231613.55 6613966.53 0.11, 231614.85 6613968.17 0.11, 231612.31 6613970.25 0.11))</t>
  </si>
  <si>
    <t>['FV306 S7D1 m845']</t>
  </si>
  <si>
    <t>LINESTRING Z (211850.97999999998 6582555.34 0.06, 211853.06 6582555.22 0.06, 211852.84 6582552.04 0.06, 211850.75 6582552.2 0.06, 211850.97999999998 6582555.34 0.06)</t>
  </si>
  <si>
    <t>POLYGON Z ((211850.97999999998 6582555.34 0.06, 211853.06 6582555.22 0.06, 211852.84 6582552.04 0.06, 211850.75 6582552.2 0.06, 211850.97999999998 6582555.34 0.06))</t>
  </si>
  <si>
    <t>[304]</t>
  </si>
  <si>
    <t>['FV304 S2D1 m2915']</t>
  </si>
  <si>
    <t>LINESTRING Z (215595.11 6570102.23 0.04, 215597.90000000002 6570101.53 0.04, 215597.3 6570099.44 0.04, 215594.53 6570100.2 0.04, 215595.11 6570102.23 0.04)</t>
  </si>
  <si>
    <t>POLYGON Z ((215595.11 6570102.23 0.04, 215597.90000000002 6570101.53 0.04, 215597.3 6570099.44 0.04, 215594.53 6570100.2 0.04, 215595.11 6570102.23 0.04))</t>
  </si>
  <si>
    <t>['FV303 S6D1 m4069']</t>
  </si>
  <si>
    <t>LINESTRING Z (235564.92 6577966.63 0.08, 235566.93 6577965.85 0.08, 235565.81 6577963.04 0.08, 235563.77 6577963.86 0.08, 235564.92 6577966.63 0.08)</t>
  </si>
  <si>
    <t>POLYGON Z ((235564.92 6577966.63 0.08, 235566.93 6577965.85 0.08, 235565.81 6577963.04 0.08, 235563.77 6577963.86 0.08, 235564.92 6577966.63 0.08))</t>
  </si>
  <si>
    <t>['FV303 S1D1 m9111']</t>
  </si>
  <si>
    <t>LINESTRING Z (221961.43 6557156.28 0.05, 221961.84 6557154.38 0.05, 221958.7 6557153.66 0.05, 221958.33000000002 6557155.56 0.05, 221961.43 6557156.28 0.05)</t>
  </si>
  <si>
    <t>POLYGON Z ((221961.43 6557156.28 0.05, 221961.84 6557154.38 0.05, 221958.7 6557153.66 0.05, 221958.33000000002 6557155.56 0.05, 221961.43 6557156.28 0.05))</t>
  </si>
  <si>
    <t>['FV301 S2D1 m1983']</t>
  </si>
  <si>
    <t>LINESTRING Z (214925.5 6551013.72 0.04, 214927.71000000002 6551013.7 0.04, 214927.61 6551010.58 0.04, 214925.44 6551010.64 0.04, 214925.5 6551013.72 0.04)</t>
  </si>
  <si>
    <t>POLYGON Z ((214925.5 6551013.72 0.04, 214927.71000000002 6551013.7 0.04, 214927.61 6551010.58 0.04, 214925.44 6551010.64 0.04, 214925.5 6551013.72 0.04))</t>
  </si>
  <si>
    <t>['FV301 S2D1 m1250']</t>
  </si>
  <si>
    <t>LINESTRING Z (214827.09 6551738.64 0.04, 214827.90000000002 6551735.56 0.04, 214825.75 6551735.06 0.04, 214824.90000000002 6551738.14 0.04, 214827.09 6551738.64 0.04)</t>
  </si>
  <si>
    <t>POLYGON Z ((214827.09 6551738.64 0.04, 214827.90000000002 6551735.56 0.04, 214825.75 6551735.06 0.04, 214824.90000000002 6551738.14 0.04, 214827.09 6551738.64 0.04))</t>
  </si>
  <si>
    <t>['FV301 S2D1 m844']</t>
  </si>
  <si>
    <t>LINESTRING Z (214552.05 6552043.14 0.04, 214556.51 6552039.25 0.04, 214558.66 6552041.4 0.04, 214554.11 6552045.21 0.04, 214552.05 6552043.14 0.04)</t>
  </si>
  <si>
    <t>POLYGON Z ((214552.05 6552043.14 0.04, 214556.51 6552039.25 0.04, 214558.66 6552041.4 0.04, 214554.11 6552045.21 0.04, 214552.05 6552043.14 0.04))</t>
  </si>
  <si>
    <t>['FV40 S4D1 m9770']</t>
  </si>
  <si>
    <t>LINESTRING Z (208847.56 6585994.42 0.06, 208847.64 6585991.36 0.06, 208845.59 6585991.36 0.06, 208845.53 6585994.35 0.06, 208847.56 6585994.42 0.06)</t>
  </si>
  <si>
    <t>POLYGON Z ((208847.56 6585994.42 0.06, 208847.64 6585991.36 0.06, 208845.59 6585991.36 0.06, 208845.53 6585994.35 0.06, 208847.56 6585994.42 0.06))</t>
  </si>
  <si>
    <t>['FV40 S1D1 m5610']</t>
  </si>
  <si>
    <t>LINESTRING Z (216758.43 6565326.9 0.04, 216754.54 6565327.81 0.04, 216752.47 6565320.7 0.04, 216757.52000000002 6565319.46 0.04, 216758.43 6565326.9 0.04)</t>
  </si>
  <si>
    <t>POLYGON Z ((216758.43 6565326.9 0.04, 216754.54 6565327.81 0.04, 216752.47 6565320.7 0.04, 216757.52000000002 6565319.46 0.04, 216758.43 6565326.9 0.04))</t>
  </si>
  <si>
    <t>['FV35 S3D1 m3783']</t>
  </si>
  <si>
    <t>LINESTRING Z (231108.44 6590068.12 0.09, 231106.56 6590066.71 0.09, 231108.51 6590064.09 0.09, 231110.39 6590065.56 0.09, 231108.44 6590068.12 0.09)</t>
  </si>
  <si>
    <t>POLYGON Z ((231108.44 6590068.12 0.09, 231106.56 6590066.71 0.09, 231108.51 6590064.09 0.09, 231110.39 6590065.56 0.09, 231108.44 6590068.12 0.09))</t>
  </si>
  <si>
    <t>['FV35 S3D1 m2059']</t>
  </si>
  <si>
    <t>LINESTRING Z (232347.65000000002 6588874.33 0.09, 232345.75 6588873.21 0.09, 232347.40000000002 6588870.38 0.09, 232349.28 6588871.56 0.09, 232347.65000000002 6588874.33 0.09)</t>
  </si>
  <si>
    <t>POLYGON Z ((232347.65000000002 6588874.33 0.09, 232345.75 6588873.21 0.09, 232347.40000000002 6588870.38 0.09, 232349.28 6588871.56 0.09, 232347.65000000002 6588874.33 0.09))</t>
  </si>
  <si>
    <t>[325]</t>
  </si>
  <si>
    <t>['FV325 S1D1 m1652']</t>
  </si>
  <si>
    <t>LINESTRING Z (238633.64 6579730.48 0.09, 238631.89 6579730.7 0.09, 238631.37 6579727.25 0.09, 238633.08000000002 6579727.02 0.09, 238633.64 6579730.48 0.09)</t>
  </si>
  <si>
    <t>POLYGON Z ((238633.64 6579730.48 0.09, 238631.89 6579730.7 0.09, 238631.37 6579727.25 0.09, 238633.08000000002 6579727.02 0.09, 238633.64 6579730.48 0.09))</t>
  </si>
  <si>
    <t>['FV303 S6D1 m5516']</t>
  </si>
  <si>
    <t>LINESTRING Z (236017.36000000002 6579357.02 0.08, 236019.76 6579356.88 0.08, 236019.53 6579353.69 0.08, 236017.2 6579353.84 0.08, 236017.36000000002 6579357.02 0.08)</t>
  </si>
  <si>
    <t>POLYGON Z ((236017.36000000002 6579357.02 0.08, 236019.76 6579356.88 0.08, 236019.53 6579353.69 0.08, 236017.2 6579353.84 0.08, 236017.36000000002 6579357.02 0.08))</t>
  </si>
  <si>
    <t>['FV303 S6D1 m4895']</t>
  </si>
  <si>
    <t>LINESTRING Z (235824.69 6578744.12 0.08, 235824.13 6578741.18 0.08, 235826.35 6578740.75 0.08, 235826.95 6578743.72 0.08, 235824.69 6578744.12 0.08)</t>
  </si>
  <si>
    <t>POLYGON Z ((235824.69 6578744.12 0.08, 235824.13 6578741.18 0.08, 235826.35 6578740.75 0.08, 235826.95 6578743.72 0.08, 235824.69 6578744.12 0.08))</t>
  </si>
  <si>
    <t>['FV303 S6D1 m4549']</t>
  </si>
  <si>
    <t>LINESTRING Z (235752.43 6578406.71 0.08, 235754.6 6578405.84 0.08, 235753.34 6578402.84 0.08, 235751.21 6578403.73 0.08, 235752.43 6578406.71 0.08)</t>
  </si>
  <si>
    <t>POLYGON Z ((235752.43 6578406.71 0.08, 235754.6 6578405.84 0.08, 235753.34 6578402.84 0.08, 235751.21 6578403.73 0.08, 235752.43 6578406.71 0.08))</t>
  </si>
  <si>
    <t>2024-07-01</t>
  </si>
  <si>
    <t>2025-11-22T09:09:02Z</t>
  </si>
  <si>
    <t>[7500]</t>
  </si>
  <si>
    <t>['FV7500 S1D1 m3278']</t>
  </si>
  <si>
    <t>LINESTRING Z (534913.6159550757 7496910.300394766 62.267, 534913.9845044877 7496908.4990256 62.235, 534910.9551354025 7496907.812236668 62.073, 534910.5562140502 7496909.657802877 62.183)</t>
  </si>
  <si>
    <t>POLYGON Z ((534913.6159550757 7496910.300394766 62.267, 534913.9845044877 7496908.4990256 62.235, 534910.9551354025 7496907.812236668 62.073, 534910.5562140502 7496909.657802877 62.183, 534913.6159550757 7496910.300394766 62.267))</t>
  </si>
  <si>
    <t>2025-11-22T09:09:12Z</t>
  </si>
  <si>
    <t>[51000]</t>
  </si>
  <si>
    <t>['KV51000 S2D1 m247']</t>
  </si>
  <si>
    <t>LINESTRING Z (193021.95 6569329.52 0.05, 193023.54 6569328.18 0.05, 193021.45 6569325.72 0.05, 193019.86 6569327.06 0.05, 193021.95 6569329.52 0.05)</t>
  </si>
  <si>
    <t>POLYGON Z ((193021.95 6569329.52 0.05, 193023.54 6569328.18 0.05, 193021.45 6569325.72 0.05, 193019.86 6569327.06 0.05, 193021.95 6569329.52 0.05))</t>
  </si>
  <si>
    <t>2025-11-22T09:09:16Z</t>
  </si>
  <si>
    <t>[3076]</t>
  </si>
  <si>
    <t>['FV3076 S1D1 m5068']</t>
  </si>
  <si>
    <t>LINESTRING Z (238469.44 6557553.51 0.08, 238467.78 6557552.09 0.08, 238469.93 6557549.6 0.08, 238471.59 6557551.01 0.08, 238469.44 6557553.51 0.08)</t>
  </si>
  <si>
    <t>POLYGON Z ((238469.44 6557553.51 0.08, 238467.78 6557552.09 0.08, 238469.93 6557549.6 0.08, 238471.59 6557551.01 0.08, 238469.44 6557553.51 0.08))</t>
  </si>
  <si>
    <t>['FV3076 S1D1 m5767']</t>
  </si>
  <si>
    <t>LINESTRING Z (238898.68 6557821.98 0.08, 238896.22 6557820.91 0.08, 238896.9 6557819.31 0.08, 238899.36000000002 6557820.37 0.08, 238898.68 6557821.98 0.08)</t>
  </si>
  <si>
    <t>POLYGON Z ((238898.68 6557821.98 0.08, 238896.22 6557820.91 0.08, 238896.9 6557819.31 0.08, 238899.36000000002 6557820.37 0.08, 238898.68 6557821.98 0.08))</t>
  </si>
  <si>
    <t>[3090]</t>
  </si>
  <si>
    <t>['KV3090 S1D1 m1797']</t>
  </si>
  <si>
    <t>LINESTRING Z (237498.85 6562880.35 0.08, 237496.76 6562879.65 0.08, 237498.04 6562876.07 0.08, 237500.13 6562876.79 0.08, 237498.85 6562880.35 0.08)</t>
  </si>
  <si>
    <t>POLYGON Z ((237498.85 6562880.35 0.08, 237496.76 6562879.65 0.08, 237498.04 6562876.07 0.08, 237500.13 6562876.79 0.08, 237498.85 6562880.35 0.08))</t>
  </si>
  <si>
    <t>['FV3080 S1D1 m3450']</t>
  </si>
  <si>
    <t>LINESTRING Z (237188.52 6564958.9 0.08, 237186.64 6564957.62 0.08, 237188.87 6564954.4 0.08, 237190.75 6564955.74 0.08, 237188.52 6564958.9 0.08)</t>
  </si>
  <si>
    <t>POLYGON Z ((237188.52 6564958.9 0.08, 237186.64 6564957.62 0.08, 237188.87 6564954.4 0.08, 237190.75 6564955.74 0.08, 237188.52 6564958.9 0.08))</t>
  </si>
  <si>
    <t>['FV309 S2D1 m4600']</t>
  </si>
  <si>
    <t>LINESTRING Z (240316.64 6570771.69 0.08, 240318.19 6570771.07 0.08, 240316.73 6570767.53 0.08, 240315.22 6570768.19 0.08, 240316.64 6570771.69 0.08)</t>
  </si>
  <si>
    <t>POLYGON Z ((240316.64 6570771.69 0.08, 240318.19 6570771.07 0.08, 240316.73 6570767.53 0.08, 240315.22 6570768.19 0.08, 240316.64 6570771.69 0.08))</t>
  </si>
  <si>
    <t>['FV308 S6D1 m1292']</t>
  </si>
  <si>
    <t>LINESTRING Z (236868.97 6567591.91 0.08, 236871.31 6567592.26 0.08, 236871.82 6567588.72 0.08, 236869.53 6567588.41 0.08, 236868.97 6567591.91 0.08)</t>
  </si>
  <si>
    <t>POLYGON Z ((236868.97 6567591.91 0.08, 236871.31 6567592.26 0.08, 236871.82 6567588.72 0.08, 236869.53 6567588.41 0.08, 236868.97 6567591.91 0.08))</t>
  </si>
  <si>
    <t>['FV308 S5D1 m1134']</t>
  </si>
  <si>
    <t>LINESTRING Z (237850.56 6573154.02 0.08, 237852.56 6573153.54 0.08, 237851.57 6573149.57 0.08, 237849.57 6573150.07 0.08, 237850.56 6573154.02 0.08)</t>
  </si>
  <si>
    <t>POLYGON Z ((237850.56 6573154.02 0.08, 237852.56 6573153.54 0.08, 237851.57 6573149.57 0.08, 237849.57 6573150.07 0.08, 237850.56 6573154.02 0.08))</t>
  </si>
  <si>
    <t>['FV308 S5D1 m3203']</t>
  </si>
  <si>
    <t>LINESTRING Z (237898.84 6571236.96 0.08, 237900.79 6571235.97 0.08, 237899.42 6571233.32 0.08, 237897.48 6571234.32 0.08, 237898.84 6571236.96 0.08)</t>
  </si>
  <si>
    <t>POLYGON Z ((237898.84 6571236.96 0.08, 237900.79 6571235.97 0.08, 237899.42 6571233.32 0.08, 237897.48 6571234.32 0.08, 237898.84 6571236.96 0.08))</t>
  </si>
  <si>
    <t>[3178]</t>
  </si>
  <si>
    <t>['FV3178 S2D1 m14']</t>
  </si>
  <si>
    <t>LINESTRING Z (239579.45 6589074.38 0.09, 239580.54 6589072.58 0.09, 239578.04 6589071.09 0.09, 239576.95 6589072.95 0.09, 239579.45 6589074.38 0.09)</t>
  </si>
  <si>
    <t>POLYGON Z ((239579.45 6589074.38 0.09, 239580.54 6589072.58 0.09, 239578.04 6589071.09 0.09, 239576.95 6589072.95 0.09, 239579.45 6589074.38 0.09))</t>
  </si>
  <si>
    <t>['FV311 S4D1 m1800']</t>
  </si>
  <si>
    <t>LINESTRING Z (243678.06 6583498.81 0.09, 243679.96 6583498.46 0.09, 243679.28 6583495.24 0.09, 243677.38 6583495.63 0.09, 243678.06 6583498.81 0.09)</t>
  </si>
  <si>
    <t>POLYGON Z ((243678.06 6583498.81 0.09, 243679.96 6583498.46 0.09, 243679.28 6583495.24 0.09, 243677.38 6583495.63 0.09, 243678.06 6583498.81 0.09))</t>
  </si>
  <si>
    <t>['FV311 S5D1 m933']</t>
  </si>
  <si>
    <t>LINESTRING Z (242596.65 6587647.63 0.09, 242594.63 6587647.14 0.09, 242595.48 6587643.85 0.09, 242597.48 6587644.37 0.09, 242596.65 6587647.63 0.09)</t>
  </si>
  <si>
    <t>POLYGON Z ((242596.65 6587647.63 0.09, 242594.63 6587647.14 0.09, 242595.48 6587643.85 0.09, 242597.48 6587644.37 0.09, 242596.65 6587647.63 0.09))</t>
  </si>
  <si>
    <t>['FV311 S5D1 m1524']</t>
  </si>
  <si>
    <t>LINESTRING Z (242041.28 6587802.85 0.09, 242044.46 6587802.27 0.09, 242044.09 6587800.28 0.09, 242040.86000000002 6587800.95 0.09, 242041.28 6587802.85 0.09)</t>
  </si>
  <si>
    <t>POLYGON Z ((242041.28 6587802.85 0.09, 242044.46 6587802.27 0.09, 242044.09 6587800.28 0.09, 242040.86000000002 6587800.95 0.09, 242041.28 6587802.85 0.09))</t>
  </si>
  <si>
    <t>['FV311 S5D1 m1612']</t>
  </si>
  <si>
    <t>LINESTRING Z (241961.69 6587844.87 0.1, 241964.84 6587844.08 0.1, 241964.34 6587842.16 0.1, 241961.18 6587842.97 0.1, 241961.69 6587844.87 0.1)</t>
  </si>
  <si>
    <t>POLYGON Z ((241961.69 6587844.87 0.1, 241964.84 6587844.08 0.1, 241964.34 6587842.16 0.1, 241961.18 6587842.97 0.1, 241961.69 6587844.87 0.1))</t>
  </si>
  <si>
    <t>['FV311 S5D1 m1890']</t>
  </si>
  <si>
    <t>LINESTRING Z (241686.32 6587893.12 0.1, 241685.91 6587891.23 0.1, 241689.21 6587890.51 0.1, 241689.59 6587892.41 0.1, 241686.32 6587893.12 0.1)</t>
  </si>
  <si>
    <t>POLYGON Z ((241686.32 6587893.12 0.1, 241685.91 6587891.23 0.1, 241689.21 6587890.51 0.1, 241689.59 6587892.41 0.1, 241686.32 6587893.12 0.1))</t>
  </si>
  <si>
    <t>['FV311 S5D1 m2392']</t>
  </si>
  <si>
    <t>LINESTRING Z (241205.32 6588037.13 0.1, 241208.66 6588036.65 0.1, 241208.35 6588034.77 0.1, 241205.01 6588035.29 0.1, 241205.32 6588037.13 0.1)</t>
  </si>
  <si>
    <t>POLYGON Z ((241205.32 6588037.13 0.1, 241208.66 6588036.65 0.1, 241208.35 6588034.77 0.1, 241205.01 6588035.29 0.1, 241205.32 6588037.13 0.1))</t>
  </si>
  <si>
    <t>LINESTRING Z (240482.28 6575213.2 0.09, 240483.79 6575212.02 0.09, 240481.74 6575209.46 0.09, 240480.25 6575210.64 0.09, 240482.28 6575213.2 0.09)</t>
  </si>
  <si>
    <t>POLYGON Z ((240482.28 6575213.2 0.09, 240483.79 6575212.02 0.09, 240481.74 6575209.46 0.09, 240480.25 6575210.64 0.09, 240482.28 6575213.2 0.09))</t>
  </si>
  <si>
    <t>[3098]</t>
  </si>
  <si>
    <t>['FV3098 S2D1 m560']</t>
  </si>
  <si>
    <t>LINESTRING Z (237382.99 6578193.16 0.08, 237384.91 6578192.64 0.08, 237383.86000000002 6578189.05 0.08, 237381.89 6578189.58 0.08, 237382.99 6578193.16 0.08)</t>
  </si>
  <si>
    <t>POLYGON Z ((237382.99 6578193.16 0.08, 237384.91 6578192.64 0.08, 237383.86000000002 6578189.05 0.08, 237381.89 6578189.58 0.08, 237382.99 6578193.16 0.08))</t>
  </si>
  <si>
    <t>['FV3098 S2D1 m2981']</t>
  </si>
  <si>
    <t>LINESTRING Z (237016.87 6575900.4 0.08, 237018.96 6575900.38 0.08, 237018.85 6575896.66 0.08, 237016.79 6575896.72 0.08, 237016.87 6575900.4 0.08)</t>
  </si>
  <si>
    <t>POLYGON Z ((237016.87 6575900.4 0.08, 237018.96 6575900.38 0.08, 237018.85 6575896.66 0.08, 237016.79 6575896.72 0.08, 237016.87 6575900.4 0.08))</t>
  </si>
  <si>
    <t>['FV309 S1D1 m432']</t>
  </si>
  <si>
    <t>LINESTRING Z (238825.07 6577028.99 0.09, 238823.28 6577028.41 0.09, 238824.74 6577023.68 0.09, 238826.54 6577024.24 0.09, 238825.07 6577028.99 0.09)</t>
  </si>
  <si>
    <t>POLYGON Z ((238825.07 6577028.99 0.09, 238823.28 6577028.41 0.09, 238824.74 6577023.68 0.09, 238826.54 6577024.24 0.09, 238825.07 6577028.99 0.09))</t>
  </si>
  <si>
    <t>['FV308 S3D1 m1993']</t>
  </si>
  <si>
    <t>LINESTRING Z (238584.14 6578379.51 0.08, 238583.35 6578378.04 0.08, 238586.35 6578376.49 0.08, 238587.09 6578377.96 0.08, 238584.14 6578379.51 0.08)</t>
  </si>
  <si>
    <t>POLYGON Z ((238584.14 6578379.51 0.08, 238583.35 6578378.04 0.08, 238586.35 6578376.49 0.08, 238587.09 6578377.96 0.08, 238584.14 6578379.51 0.08))</t>
  </si>
  <si>
    <t>['FV308 S3D1 m2568']</t>
  </si>
  <si>
    <t>LINESTRING Z (238736.19 6577956.11 0.08, 238737.86000000002 6577955.97 0.08, 238737.57 6577952.62 0.08, 238735.9 6577952.76 0.08, 238736.19 6577956.11 0.08)</t>
  </si>
  <si>
    <t>POLYGON Z ((238736.19 6577956.11 0.08, 238737.86000000002 6577955.97 0.08, 238737.57 6577952.62 0.08, 238735.9 6577952.76 0.08, 238736.19 6577956.11 0.08))</t>
  </si>
  <si>
    <t>['FV308 S3D1 m2634']</t>
  </si>
  <si>
    <t>LINESTRING Z (238701.96 6577899.49 0.08, 238703.74 6577899.33 0.08, 238703.18 6577894.35 0.08, 238701.36000000002 6577894.53 0.08, 238701.96 6577899.49 0.08)</t>
  </si>
  <si>
    <t>POLYGON Z ((238701.96 6577899.49 0.08, 238703.74 6577899.33 0.08, 238703.18 6577894.35 0.08, 238701.36000000002 6577894.53 0.08, 238701.96 6577899.49 0.08))</t>
  </si>
  <si>
    <t>['FV310 S3D1 m688']</t>
  </si>
  <si>
    <t>LINESTRING Z (242936.79 6595961.7 0.1, 242939.56 6595959.88 0.1, 242938.42 6595958.21 0.1, 242935.63 6595960.01 0.1, 242936.79 6595961.7 0.1)</t>
  </si>
  <si>
    <t>POLYGON Z ((242936.79 6595961.7 0.1, 242939.56 6595959.88 0.1, 242938.42 6595958.21 0.1, 242935.63 6595960.01 0.1, 242936.79 6595961.7 0.1))</t>
  </si>
  <si>
    <t>['FV3204 S1D1 m1676']</t>
  </si>
  <si>
    <t>LINESTRING Z (242457.79 6592377.56 0.1, 242459.63 6592377.77 0.1, 242460.04 6592374.48 0.1, 242458.14 6592374.28 0.1, 242457.79 6592377.56 0.1)</t>
  </si>
  <si>
    <t>POLYGON Z ((242457.79 6592377.56 0.1, 242459.63 6592377.77 0.1, 242460.04 6592374.48 0.1, 242458.14 6592374.28 0.1, 242457.79 6592377.56 0.1))</t>
  </si>
  <si>
    <t>2023-08-07</t>
  </si>
  <si>
    <t>2025-11-22T09:09:22Z</t>
  </si>
  <si>
    <t>[43]</t>
  </si>
  <si>
    <t>['FV43 S1D1 m8482']</t>
  </si>
  <si>
    <t>LINESTRING Z (10580.503930333885 6469441.991866636 13.638, 10579.366647371498 6469443.43817702 13.862, 10581.272492766962 6469444.776975706 13.72, 10582.409137814364 6469443.229478771 13.7)</t>
  </si>
  <si>
    <t>POLYGON Z ((10580.503930333885 6469441.991866636 13.638, 10579.366647371498 6469443.43817702 13.862, 10581.272492766962 6469444.776975706 13.72, 10582.409137814364 6469443.229478771 13.7, 10580.503930333885 6469441.991866636 13.638))</t>
  </si>
  <si>
    <t>2023-12-08</t>
  </si>
  <si>
    <t>[241]</t>
  </si>
  <si>
    <t>['FV241 S2D1 m1602']</t>
  </si>
  <si>
    <t>LINESTRING Z (241869.394858947 6680200.34938525 -999999, 241870.619260543 6680202.18598764 -999999)</t>
  </si>
  <si>
    <t>2025-11-22T09:09:27Z</t>
  </si>
  <si>
    <t>[2978]</t>
  </si>
  <si>
    <t>['FV2978 S1D1 m112']</t>
  </si>
  <si>
    <t>LINESTRING Z (213900.78 6553120.2 0.04, 213902.7 6553120.24 0.04, 213902.76 6553117.1 0.04, 213900.88 6553117.04 0.04, 213900.78 6553120.2 0.04)</t>
  </si>
  <si>
    <t>POLYGON Z ((213900.78 6553120.2 0.04, 213902.7 6553120.24 0.04, 213902.76 6553117.1 0.04, 213900.88 6553117.04 0.04, 213900.78 6553120.2 0.04))</t>
  </si>
  <si>
    <t>[302]</t>
  </si>
  <si>
    <t>['FV302 S2D1 m5052']</t>
  </si>
  <si>
    <t>LINESTRING Z (209239.18 6553513.89 0.05, 209242.45 6553513.46 0.05, 209242.24 6553511.91 0.05, 209239 6553512.34 0.05, 209239.18 6553513.89 0.05)</t>
  </si>
  <si>
    <t>POLYGON Z ((209239.18 6553513.89 0.05, 209242.45 6553513.46 0.05, 209242.24 6553511.91 0.05, 209239 6553512.34 0.05, 209239.18 6553513.89 0.05))</t>
  </si>
  <si>
    <t>['FV301 S2D1 m906']</t>
  </si>
  <si>
    <t>LINESTRING Z (214584.22999999998 6551982.02 0.04, 214586.86 6551979.58 0.04, 214585.39 6551978.07 0.04, 214582.74 6551980.45 0.04, 214584.22999999998 6551982.02 0.04)</t>
  </si>
  <si>
    <t>POLYGON Z ((214584.22999999998 6551982.02 0.04, 214586.86 6551979.58 0.04, 214585.39 6551978.07 0.04, 214582.74 6551980.45 0.04, 214584.22999999998 6551982.02 0.04))</t>
  </si>
  <si>
    <t>['FV301 S1D1 m870']</t>
  </si>
  <si>
    <t>LINESTRING Z (214134.29 6555772.99 0.04, 214134.40000000002 6555769.55 0.04, 214132.35 6555769.49 0.04, 214132.31 6555772.88 0.04, 214134.29 6555772.99 0.04)</t>
  </si>
  <si>
    <t>POLYGON Z ((214134.29 6555772.99 0.04, 214134.40000000002 6555769.55 0.04, 214132.35 6555769.49 0.04, 214132.31 6555772.88 0.04, 214134.29 6555772.99 0.04))</t>
  </si>
  <si>
    <t>['FV301 S1D1 m1339']</t>
  </si>
  <si>
    <t>LINESTRING Z (214185.47 6555305.23 0.04, 214183.55 6555304.9 0.04, 214184.13 6555301.78 0.04, 214186.03 6555302.09 0.04, 214185.47 6555305.23 0.04)</t>
  </si>
  <si>
    <t>POLYGON Z ((214185.47 6555305.23 0.04, 214183.55 6555304.9 0.04, 214184.13 6555301.78 0.04, 214186.03 6555302.09 0.04, 214185.47 6555305.23 0.04))</t>
  </si>
  <si>
    <t>['FV301 S2D1 m2627']</t>
  </si>
  <si>
    <t>LINESTRING Z (215021.6 6550377.15 0.05, 215021.89 6550374.79 0.05, 215026.5 6550375.41 0.05, 215026.04 6550377.91 0.05, 215021.6 6550377.15 0.05)</t>
  </si>
  <si>
    <t>POLYGON Z ((215021.6 6550377.15 0.05, 215021.89 6550374.79 0.05, 215026.5 6550375.41 0.05, 215026.04 6550377.91 0.05, 215021.6 6550377.15 0.05))</t>
  </si>
  <si>
    <t>['FV303 S1D1 m1236']</t>
  </si>
  <si>
    <t>LINESTRING (215039.01 6556304.08, 215043.71000000002 6556301.9, 215044.57 6556303.88, 215040 6556306.13, 215038.94 6556303.95)</t>
  </si>
  <si>
    <t>['FV3014 S1D1 m1211']</t>
  </si>
  <si>
    <t>LINESTRING Z (223703.71000000002 6555618.64 0.05, 223705.8 6555617.85 0.05, 223704.5 6555614.63 0.05, 223702.41 6555615.43 0.05, 223703.71000000002 6555618.64 0.05)</t>
  </si>
  <si>
    <t>POLYGON Z ((223703.71000000002 6555618.64 0.05, 223705.8 6555617.85 0.05, 223704.5 6555614.63 0.05, 223702.41 6555615.43 0.05, 223703.71000000002 6555618.64 0.05))</t>
  </si>
  <si>
    <t>[3016]</t>
  </si>
  <si>
    <t>['FV3016 S1D1 m4439']</t>
  </si>
  <si>
    <t>LINESTRING Z (226099.22999999998 6554675.05 0.06, 226101.07 6554674.55 0.06, 226100.18 6554671.41 0.06, 226098.32 6554671.92 0.06, 226099.22999999998 6554675.05 0.06)</t>
  </si>
  <si>
    <t>POLYGON Z ((226099.22999999998 6554675.05 0.06, 226101.07 6554674.55 0.06, 226100.18 6554671.41 0.06, 226098.32 6554671.92 0.06, 226099.22999999998 6554675.05 0.06))</t>
  </si>
  <si>
    <t>['FV303 S1D1 m3598']</t>
  </si>
  <si>
    <t>LINESTRING Z (217192.53 6555382.13 0.04, 217193.09 6555380.31 0.04, 217189.86 6555379.36 0.04, 217189.29 6555381.22 0.04, 217192.53 6555382.13 0.04)</t>
  </si>
  <si>
    <t>POLYGON Z ((217192.53 6555382.13 0.04, 217193.09 6555380.31 0.04, 217189.86 6555379.36 0.04, 217189.29 6555381.22 0.04, 217192.53 6555382.13 0.04))</t>
  </si>
  <si>
    <t>['FV303 S1D1 m3774']</t>
  </si>
  <si>
    <t>LINESTRING Z (217362.53 6555424.29 0.04, 217363.15000000002 6555422.29 0.04, 217359.96000000002 6555421.52 0.04, 217359.45 6555423.38 0.04, 217362.53 6555424.29 0.04)</t>
  </si>
  <si>
    <t>POLYGON Z ((217362.53 6555424.29 0.04, 217363.15000000002 6555422.29 0.04, 217359.96000000002 6555421.52 0.04, 217359.45 6555423.38 0.04, 217362.53 6555424.29 0.04))</t>
  </si>
  <si>
    <t>['FV303 S1D1 m4913']</t>
  </si>
  <si>
    <t>LINESTRING Z (218250.93 6555829.79 0.04, 218252.5 6555828.34 0.04, 218249.94 6555826.19 0.04, 218248.41 6555827.8 0.04, 218250.93 6555829.79 0.04)</t>
  </si>
  <si>
    <t>POLYGON Z ((218250.93 6555829.79 0.04, 218252.5 6555828.34 0.04, 218249.94 6555826.19 0.04, 218248.41 6555827.8 0.04, 218250.93 6555829.79 0.04))</t>
  </si>
  <si>
    <t>['FV303 S1D1 m5569']</t>
  </si>
  <si>
    <t>LINESTRING Z (218758.7 6556184.6 0.04, 218761.64 6556184.7 0.04, 218761.68 6556182.72 0.04, 218758.76 6556182.64 0.04, 218758.7 6556184.6 0.04)</t>
  </si>
  <si>
    <t>POLYGON Z ((218758.7 6556184.6 0.04, 218761.64 6556184.7 0.04, 218761.68 6556182.72 0.04, 218758.76 6556182.64 0.04, 218758.7 6556184.6 0.04))</t>
  </si>
  <si>
    <t>['FV303 S1D1 m5591']</t>
  </si>
  <si>
    <t>LINESTRING Z (218783.97999999998 6556157.67 0.04, 218783.94 6556155.66 0.04, 218780.78 6556155.74 0.04, 218780.8 6556157.75 0.04, 218783.97999999998 6556157.67 0.04)</t>
  </si>
  <si>
    <t>POLYGON Z ((218783.97999999998 6556157.67 0.04, 218783.94 6556155.66 0.04, 218780.78 6556155.74 0.04, 218780.8 6556157.75 0.04, 218783.97999999998 6556157.67 0.04))</t>
  </si>
  <si>
    <t>['FV303 S1D1 m6861']</t>
  </si>
  <si>
    <t>LINESTRING Z (220008.2 6556373.3 0.05, 220011.28 6556372.45 0.05, 220010.76 6556370.61 0.05, 220007.66 6556371.5 0.05, 220008.2 6556373.3 0.05)</t>
  </si>
  <si>
    <t>POLYGON Z ((220008.2 6556373.3 0.05, 220011.28 6556372.45 0.05, 220010.76 6556370.61 0.05, 220007.66 6556371.5 0.05, 220008.2 6556373.3 0.05))</t>
  </si>
  <si>
    <t>['FV303 S1D1 m8206']</t>
  </si>
  <si>
    <t>LINESTRING Z (221106.45 6556876.11 0.05, 221107.26 6556874.4 0.05, 221104.26 6556872.99 0.05, 221103.47 6556874.73 0.05, 221106.45 6556876.11 0.05)</t>
  </si>
  <si>
    <t>POLYGON Z ((221106.45 6556876.11 0.05, 221107.26 6556874.4 0.05, 221104.26 6556872.99 0.05, 221103.47 6556874.73 0.05, 221106.45 6556876.11 0.05))</t>
  </si>
  <si>
    <t>['FV303 S1D1 m8726']</t>
  </si>
  <si>
    <t>LINESTRING Z (221592.41999999998 6557056.16 0.05, 221593.28 6557054.42 0.05, 221590.29 6557053.03 0.05, 221589.5 6557054.77 0.05, 221592.41999999998 6557056.16 0.05)</t>
  </si>
  <si>
    <t>POLYGON Z ((221592.41999999998 6557056.16 0.05, 221593.28 6557054.42 0.05, 221590.29 6557053.03 0.05, 221589.5 6557054.77 0.05, 221592.41999999998 6557056.16 0.05))</t>
  </si>
  <si>
    <t>['FV303 S1D1 m9196']</t>
  </si>
  <si>
    <t>LINESTRING Z (222048.06 6557154.69 0.05, 222048.35 6557152.79 0.05, 222045.04 6557152.25 0.05, 222044.72999999998 6557154.16 0.05, 222048.06 6557154.69 0.05)</t>
  </si>
  <si>
    <t>POLYGON Z ((222048.06 6557154.69 0.05, 222048.35 6557152.79 0.05, 222045.04 6557152.25 0.05, 222044.72999999998 6557154.16 0.05, 222048.06 6557154.69 0.05))</t>
  </si>
  <si>
    <t>['FV303 S1D1 m9409']</t>
  </si>
  <si>
    <t>LINESTRING Z (222257.14 6557160.19 0.05, 222257.12 6557158.43 0.05, 222260.37 6557158.35 0.05, 222260.35 6557160.15 0.05, 222257.14 6557160.19 0.05)</t>
  </si>
  <si>
    <t>POLYGON Z ((222257.14 6557160.19 0.05, 222257.12 6557158.43 0.05, 222260.37 6557158.35 0.05, 222260.35 6557160.15 0.05, 222257.14 6557160.19 0.05))</t>
  </si>
  <si>
    <t>['FV303 S1D1 m9893']</t>
  </si>
  <si>
    <t>LINESTRING Z (222659.19 6557237.95 0.05, 222659.22999999998 6557236.01 0.05, 222655.84 6557235.91 0.05, 222655.84 6557237.91 0.05, 222659.19 6557237.95 0.05)</t>
  </si>
  <si>
    <t>POLYGON Z ((222659.19 6557237.95 0.05, 222659.22999999998 6557236.01 0.05, 222655.84 6557235.91 0.05, 222655.84 6557237.91 0.05, 222659.19 6557237.95 0.05))</t>
  </si>
  <si>
    <t>['FV303 S1D1 m9927']</t>
  </si>
  <si>
    <t>LINESTRING Z (222690.85 6557217.16 0.05, 222690.81 6557214.1 0.05, 222697.47 6557214.1 0.05, 222697.22 6557217.41 0.05, 222690.85 6557217.16 0.05)</t>
  </si>
  <si>
    <t>POLYGON Z ((222690.85 6557217.16 0.05, 222690.81 6557214.1 0.05, 222697.47 6557214.1 0.05, 222697.22 6557217.41 0.05, 222690.85 6557217.16 0.05))</t>
  </si>
  <si>
    <t>2023-12-14</t>
  </si>
  <si>
    <t>['FV303 S2D1 m538']</t>
  </si>
  <si>
    <t>LINESTRING Z (223858.89 6557021.18 0.06, 223855.7 6557020.04 0.06, 223856.41 6557018.02 0.06, 223859.63 6557019.16 0.06, 223858.89 6557021.18 0.06)</t>
  </si>
  <si>
    <t>POLYGON Z ((223858.89 6557021.18 0.06, 223855.7 6557020.04 0.06, 223856.41 6557018.02 0.06, 223859.63 6557019.16 0.06, 223858.89 6557021.18 0.06))</t>
  </si>
  <si>
    <t>['FV303 S2D1 m1478']</t>
  </si>
  <si>
    <t>LINESTRING Z (224579.55 6557597.04 0.06, 224581.22 6557596.05 0.06, 224579.49 6557593.22 0.06, 224577.83000000002 6557594.21 0.06, 224579.55 6557597.04 0.06)</t>
  </si>
  <si>
    <t>POLYGON Z ((224579.55 6557597.04 0.06, 224581.22 6557596.05 0.06, 224579.49 6557593.22 0.06, 224577.83000000002 6557594.21 0.06, 224579.55 6557597.04 0.06))</t>
  </si>
  <si>
    <t>2024-01-22</t>
  </si>
  <si>
    <t>['FV303 S2D1 m1970']</t>
  </si>
  <si>
    <t>LINESTRING Z (224852.16999999998 6557998.63 0.06, 224852.96000000002 6557997 0.06, 224849.91999999998 6557995.68 0.06, 224849.18 6557997.31 0.06, 224852.16999999998 6557998.63 0.06)</t>
  </si>
  <si>
    <t>POLYGON Z ((224852.16999999998 6557998.63 0.06, 224852.96000000002 6557997 0.06, 224849.91999999998 6557995.68 0.06, 224849.18 6557997.31 0.06, 224852.16999999998 6557998.63 0.06))</t>
  </si>
  <si>
    <t>['FV303 S2D1 m2053']</t>
  </si>
  <si>
    <t>LINESTRING Z (224947.59 6558013.58 0.06, 224948.41 6558011.68 0.06, 224945.22999999998 6558010.41 0.06, 224944.47 6558012.25 0.06, 224947.59 6558013.58 0.06)</t>
  </si>
  <si>
    <t>POLYGON Z ((224947.59 6558013.58 0.06, 224948.41 6558011.68 0.06, 224945.22999999998 6558010.41 0.06, 224944.47 6558012.25 0.06, 224947.59 6558013.58 0.06))</t>
  </si>
  <si>
    <t>['FV303 S2D1 m2632']</t>
  </si>
  <si>
    <t>LINESTRING Z (225069.61 6558518.77 0.06, 225071.53 6558518.83 0.06, 225071.71000000002 6558512.63 0.06, 225069.77000000002 6558512.59 0.06, 225069.61 6558518.77 0.06)</t>
  </si>
  <si>
    <t>POLYGON Z ((225069.61 6558518.77 0.06, 225071.53 6558518.83 0.06, 225071.71000000002 6558512.63 0.06, 225069.77000000002 6558512.59 0.06, 225069.61 6558518.77 0.06))</t>
  </si>
  <si>
    <t>['FV303 S2D1 m4980']</t>
  </si>
  <si>
    <t>LINESTRING Z (226052.04 6560577.37 0.06, 226053.97999999998 6560576.88 0.06, 226053.18 6560573.61 0.06, 226051.27000000002 6560574.07 0.06, 226052.04 6560577.37 0.06)</t>
  </si>
  <si>
    <t>POLYGON Z ((226052.04 6560577.37 0.06, 226053.97999999998 6560576.88 0.06, 226053.18 6560573.61 0.06, 226051.27000000002 6560574.07 0.06, 226052.04 6560577.37 0.06))</t>
  </si>
  <si>
    <t>2024-02-16</t>
  </si>
  <si>
    <t>['FV303 S2D1 m5068']</t>
  </si>
  <si>
    <t>LINESTRING Z (226099.11 6560657.66 0.06, 226101.07 6560657.16 0.06, 226100.26 6560654.06 0.06, 226098.32 6560654.6 0.06, 226099.11 6560657.66 0.06)</t>
  </si>
  <si>
    <t>POLYGON Z ((226099.11 6560657.66 0.06, 226101.07 6560657.16 0.06, 226100.26 6560654.06 0.06, 226098.32 6560654.6 0.06, 226099.11 6560657.66 0.06))</t>
  </si>
  <si>
    <t>2024-02-20</t>
  </si>
  <si>
    <t>['FV303 S2D1 m5330']</t>
  </si>
  <si>
    <t>LINESTRING Z (226151.32 6560915.96 0.06, 226153.43 6560915.5 0.06, 226152.71000000002 6560912.3 0.06, 226150.58000000002 6560912.78 0.06, 226151.32 6560915.96 0.06)</t>
  </si>
  <si>
    <t>POLYGON Z ((226151.32 6560915.96 0.06, 226153.43 6560915.5 0.06, 226152.71000000002 6560912.3 0.06, 226150.58000000002 6560912.78 0.06, 226151.32 6560915.96 0.06))</t>
  </si>
  <si>
    <t>['FV303 S2D1 m6202']</t>
  </si>
  <si>
    <t>LINESTRING Z (226534.90000000002 6561672.32 0.06, 226536.81 6561671.9 0.06, 226536.1 6561668.66 0.06, 226534.2 6561669.13 0.06, 226534.90000000002 6561672.32 0.06)</t>
  </si>
  <si>
    <t>POLYGON Z ((226534.90000000002 6561672.32 0.06, 226536.81 6561671.9 0.06, 226536.1 6561668.66 0.06, 226534.2 6561669.13 0.06, 226534.90000000002 6561672.32 0.06))</t>
  </si>
  <si>
    <t>['FV303 S2D1 m7411']</t>
  </si>
  <si>
    <t>LINESTRING Z (226436.12 6562857.28 0.06, 226438.04 6562857.34 0.06, 226438.21000000002 6562854.06 0.06, 226436.22 6562853.97 0.06, 226436.12 6562857.28 0.06)</t>
  </si>
  <si>
    <t>POLYGON Z ((226436.12 6562857.28 0.06, 226438.04 6562857.34 0.06, 226438.21000000002 6562854.06 0.06, 226436.22 6562853.97 0.06, 226436.12 6562857.28 0.06))</t>
  </si>
  <si>
    <t>['FV303 S2D1 m7818']</t>
  </si>
  <si>
    <t>LINESTRING Z (226432.46000000002 6563265.96 0.06, 226435.71000000002 6563265.77 0.06, 226435.56 6563263.95 0.06, 226432.36 6563264.18 0.06, 226432.46000000002 6563265.96 0.06)</t>
  </si>
  <si>
    <t>POLYGON Z ((226432.46000000002 6563265.96 0.06, 226435.71000000002 6563265.77 0.06, 226435.56 6563263.95 0.06, 226432.36 6563264.18 0.06, 226432.46000000002 6563265.96 0.06))</t>
  </si>
  <si>
    <t>['FV303 S2D1 m7831']</t>
  </si>
  <si>
    <t>LINESTRING Z (226415.61 6563270.71 0.06, 226415.74 6563273.9 0.06, 226414.29 6563273.81 0.06, 226414.09 6563270.76 0.06, 226415.61 6563270.71 0.06)</t>
  </si>
  <si>
    <t>POLYGON Z ((226415.61 6563270.71 0.06, 226415.74 6563273.9 0.06, 226414.29 6563273.81 0.06, 226414.09 6563270.76 0.06, 226415.61 6563270.71 0.06))</t>
  </si>
  <si>
    <t>['FV303 S2D1 m8123']</t>
  </si>
  <si>
    <t>LINESTRING Z (226472.75 6563565.79 0.06, 226474.57 6563565.41 0.06, 226473.82 6563562.15 0.06, 226472.02000000002 6563562.58 0.06, 226472.75 6563565.79 0.06)</t>
  </si>
  <si>
    <t>POLYGON Z ((226472.75 6563565.79 0.06, 226474.57 6563565.41 0.06, 226473.82 6563562.15 0.06, 226472.02000000002 6563562.58 0.06, 226472.75 6563565.79 0.06))</t>
  </si>
  <si>
    <t>['FV303 S2D1 m8184']</t>
  </si>
  <si>
    <t>LINESTRING Z (226458.41999999998 6563625.55 0.06, 226460.33000000002 6563625.11 0.06, 226459.6 6563621.95 0.06, 226457.7 6563622.38 0.06, 226458.41999999998 6563625.55 0.06)</t>
  </si>
  <si>
    <t>POLYGON Z ((226458.41999999998 6563625.55 0.06, 226460.33000000002 6563625.11 0.06, 226459.6 6563621.95 0.06, 226457.7 6563622.38 0.06, 226458.41999999998 6563625.55 0.06))</t>
  </si>
  <si>
    <t>['FV3160 S1D1 m2211']</t>
  </si>
  <si>
    <t>LINESTRING Z (230897.33000000002 6575679.49 0.07, 230895.6 6575678.62 0.07, 230893.74 6575681.89 0.07, 230895.39 6575682.88 0.07, 230897.33000000002 6575679.49 0.07)</t>
  </si>
  <si>
    <t>POLYGON Z ((230897.33000000002 6575679.49 0.07, 230895.6 6575678.62 0.07, 230893.74 6575681.89 0.07, 230895.39 6575682.88 0.07, 230897.33000000002 6575679.49 0.07))</t>
  </si>
  <si>
    <t>2025-11-22T09:09:35Z</t>
  </si>
  <si>
    <t>['FV303 S5D1 m2070']</t>
  </si>
  <si>
    <t>LINESTRING Z (232206.78 6573594.53 0.07, 232208.45 6573594.05 0.07, 232207.47999999998 6573590.81 0.07, 232205.81 6573591.26 0.07, 232206.78 6573594.53 0.07)</t>
  </si>
  <si>
    <t>POLYGON Z ((232206.78 6573594.53 0.07, 232208.45 6573594.05 0.07, 232207.47999999998 6573590.81 0.07, 232205.81 6573591.26 0.07, 232206.78 6573594.53 0.07))</t>
  </si>
  <si>
    <t>['FV256 S3D1 m252']</t>
  </si>
  <si>
    <t>LINESTRING Z (224783.96000000002 6566217.54 0.05, 224785.49 6566216.5 0.05, 224782.62 6566212.35 0.05, 224781.11 6566213.4 0.05, 224783.96000000002 6566217.54 0.05)</t>
  </si>
  <si>
    <t>POLYGON Z ((224783.96000000002 6566217.54 0.05, 224785.49 6566216.5 0.05, 224782.62 6566212.35 0.05, 224781.11 6566213.4 0.05, 224783.96000000002 6566217.54 0.05))</t>
  </si>
  <si>
    <t>[2990]</t>
  </si>
  <si>
    <t>['FV2990 S1D1 m1759']</t>
  </si>
  <si>
    <t>LINESTRING Z (216146.08000000002 6558262.84 0.04, 216147.07 6558261.89 0.04, 216143.31 6558258.79 0.04, 216142.2 6558259.78 0.04, 216146.08000000002 6558262.84 0.04)</t>
  </si>
  <si>
    <t>POLYGON Z ((216146.08000000002 6558262.84 0.04, 216147.07 6558261.89 0.04, 216143.31 6558258.79 0.04, 216142.2 6558259.78 0.04, 216146.08000000002 6558262.84 0.04))</t>
  </si>
  <si>
    <t>['FV2990 S1D1 m1749']</t>
  </si>
  <si>
    <t>LINESTRING Z (216138.89 6558285.79 0.04, 216140.75 6558284.09 0.04, 216136.82 6558280.37 0.04, 216135.16999999998 6558282.4 0.04, 216138.89 6558285.79 0.04)</t>
  </si>
  <si>
    <t>POLYGON Z ((216138.89 6558285.79 0.04, 216140.75 6558284.09 0.04, 216136.82 6558280.37 0.04, 216135.16999999998 6558282.4 0.04, 216138.89 6558285.79 0.04))</t>
  </si>
  <si>
    <t>['FV2970 S1D1 m2388']</t>
  </si>
  <si>
    <t>LINESTRING Z (204827.74 6548354.05 0.06, 204829.71000000002 6548353.91 0.06, 204829.22999999998 6548348.74 0.06, 204827.31 6548348.91 0.06, 204827.74 6548354.05 0.06)</t>
  </si>
  <si>
    <t>POLYGON Z ((204827.74 6548354.05 0.06, 204829.71000000002 6548353.91 0.06, 204829.22999999998 6548348.74 0.06, 204827.31 6548348.91 0.06, 204827.74 6548354.05 0.06))</t>
  </si>
  <si>
    <t>2025-11-22T09:09:55Z</t>
  </si>
  <si>
    <t>[313]</t>
  </si>
  <si>
    <t>['FV313 S6D1 m411']</t>
  </si>
  <si>
    <t>LINESTRING Z (236073.53 6601460.05 0.1, 236074.41 6601461.14 0.1, 236077.18 6601459.26 0.1, 236076.17 6601457.9 0.1, 236073.53 6601460.05 0.1)</t>
  </si>
  <si>
    <t>POLYGON Z ((236073.53 6601460.05 0.1, 236074.41 6601461.14 0.1, 236077.18 6601459.26 0.1, 236076.17 6601457.9 0.1, 236073.53 6601460.05 0.1))</t>
  </si>
  <si>
    <t>[3234]</t>
  </si>
  <si>
    <t>['FV3234 S1D1 m80']</t>
  </si>
  <si>
    <t>LINESTRING Z (222388.76 6609271.23 69.88, 222392.26 6609275.07 69.86, 222393.64 6609273.29 69.8, 222390.16999999998 6609269.82 69.96000000000001, 222388.76 6609271.23 70.03)</t>
  </si>
  <si>
    <t>[3184]</t>
  </si>
  <si>
    <t>['FV3184 S2D1 m2446']</t>
  </si>
  <si>
    <t>LINESTRING Z (236006.8 6599148.99 0.1, 236009.28 6599149.17 0.1, 236009.59 6599145.5 0.1, 236007.09 6599145.31 0.1, 236006.8 6599148.99 0.1)</t>
  </si>
  <si>
    <t>POLYGON Z ((236006.8 6599148.99 0.1, 236009.28 6599149.17 0.1, 236009.59 6599145.5 0.1, 236007.09 6599145.31 0.1, 236006.8 6599148.99 0.1))</t>
  </si>
  <si>
    <t>['FV35 S4D1 m4024']</t>
  </si>
  <si>
    <t>LINESTRING Z (229855.56 6596055.51 0.09, 229853.72 6596054.6 0.09, 229855.14 6596051.72 0.09, 229856.96000000002 6596052.63 0.09, 229855.56 6596055.51 0.09)</t>
  </si>
  <si>
    <t>POLYGON Z ((229855.56 6596055.51 0.09, 229853.72 6596054.6 0.09, 229855.14 6596051.72 0.09, 229856.96000000002 6596052.63 0.09, 229855.56 6596055.51 0.09))</t>
  </si>
  <si>
    <t>['FV3208 S1D1 m3523']</t>
  </si>
  <si>
    <t>LINESTRING Z (232020.86 6599372.89 121.79, 232023.66 6599373.62 121.75, 232024.68 6599369.27 121.75, 232021.88 6599368.54 121.79, 232020.96000000002 6599372.88 121.82000000000001)</t>
  </si>
  <si>
    <t>[3050]</t>
  </si>
  <si>
    <t>['FV3050 S1D1 m438']</t>
  </si>
  <si>
    <t>LINESTRING Z (214176.94 6595577.62 0.07, 214180.91 6595575.6 0.07, 214179.44 6595572.87 0.07, 214175.53 6595574.92 0.07, 214176.94 6595577.62 0.07)</t>
  </si>
  <si>
    <t>POLYGON Z ((214176.94 6595577.62 0.07, 214180.91 6595575.6 0.07, 214179.44 6595572.87 0.07, 214175.53 6595574.92 0.07, 214176.94 6595577.62 0.07))</t>
  </si>
  <si>
    <t>['FV32 S1D1 m1963']</t>
  </si>
  <si>
    <t>LINESTRING Z (227120.38 6606320.89 41.92, 227117.62 6606319.41 41.9, 227118.53 6606317.67 41.88, 227121.29 6606319.14 41.9, 227120.38 6606320.89 41.9)</t>
  </si>
  <si>
    <t>2021-01-06</t>
  </si>
  <si>
    <t>2025-11-22T09:10:07Z</t>
  </si>
  <si>
    <t>['RV13 S44D1 m9955']</t>
  </si>
  <si>
    <t>LINESTRING Z (57087.8500445013 6811145.74738677 -999999, 57084.2902835224 6811144.46952385 -999999, 57080.3654188534 6811142.46145356 -999999, 57075.6190708816 6811141.8225221 -999999, 57072.4244135928 6811142.6440054 -999999, 57070.1425155295 6811143.4654887 -999999)</t>
  </si>
  <si>
    <t>['FV3120 S1D1 m68']</t>
  </si>
  <si>
    <t>LINESTRING Z (238186.5 6580266.71 0.09, 238191.02 6580265.12 0.09, 238190.38 6580262.72 0.09, 238185.19 6580264.63 0.09, 238186.5 6580266.71 0.09)</t>
  </si>
  <si>
    <t>POLYGON Z ((238186.5 6580266.71 0.09, 238191.02 6580265.12 0.09, 238190.38 6580262.72 0.09, 238185.19 6580264.63 0.09, 238186.5 6580266.71 0.09))</t>
  </si>
  <si>
    <t>['FV3120 S1D1 m100']</t>
  </si>
  <si>
    <t>LINESTRING Z (238212.33000000002 6580227.07 0.09, 238211.76 6580225.12 0.09, 238206.92 6580226.57 0.09, 238207.58000000002 6580228.72 0.09, 238212.33000000002 6580227.07 0.09)</t>
  </si>
  <si>
    <t>POLYGON Z ((238212.33000000002 6580227.07 0.09, 238211.76 6580225.12 0.09, 238206.92 6580226.57 0.09, 238207.58000000002 6580228.72 0.09, 238212.33000000002 6580227.07 0.09))</t>
  </si>
  <si>
    <t>['FV310 S2D1 m1599']</t>
  </si>
  <si>
    <t>LINESTRING Z (242067.57 6597142.74 0.1, 242066.1 6597142.29 0.1, 242067.67 6597137.41 0.1, 242069.1 6597137.92 0.1, 242067.57 6597142.74 0.1)</t>
  </si>
  <si>
    <t>POLYGON Z ((242067.57 6597142.74 0.1, 242066.1 6597142.29 0.1, 242067.67 6597137.41 0.1, 242069.1 6597137.92 0.1, 242067.57 6597142.74 0.1))</t>
  </si>
  <si>
    <t>['FV310 S2D1 m1617']</t>
  </si>
  <si>
    <t>LINESTRING Z (242093.04 6597133.09 0.1, 242091.59 6597132.61 0.1, 242093.35 6597127.67 0.1, 242094.79 6597128.23 0.1, 242093.04 6597133.09 0.1)</t>
  </si>
  <si>
    <t>POLYGON Z ((242093.04 6597133.09 0.1, 242091.59 6597132.61 0.1, 242093.35 6597127.67 0.1, 242094.79 6597128.23 0.1, 242093.04 6597133.09 0.1))</t>
  </si>
  <si>
    <t>2025-11-22T09:10:22Z</t>
  </si>
  <si>
    <t>['FV3128 S1D1 m425']</t>
  </si>
  <si>
    <t>LINESTRING Z (241330.64 6579351.15 0.09, 241335.6 6579349.62 0.09, 241335.13 6579348.07 0.09, 241330.15 6579349.62 0.09, 241330.64 6579351.15 0.09)</t>
  </si>
  <si>
    <t>POLYGON Z ((241330.64 6579351.15 0.09, 241335.6 6579349.62 0.09, 241335.13 6579348.07 0.09, 241330.15 6579349.62 0.09, 241330.64 6579351.15 0.09))</t>
  </si>
  <si>
    <t>['FV3128 S1D1 m1171']</t>
  </si>
  <si>
    <t>LINESTRING Z (242046.42 6579136.09 0.09, 242049.73 6579135.29 0.09, 242049.28 6579133.59 0.09, 242046.05 6579134.4 0.09, 242046.42 6579136.09 0.09)</t>
  </si>
  <si>
    <t>POLYGON Z ((242046.42 6579136.09 0.09, 242049.73 6579135.29 0.09, 242049.28 6579133.59 0.09, 242046.05 6579134.4 0.09, 242046.42 6579136.09 0.09))</t>
  </si>
  <si>
    <t>['FV3128 S1D1 m1466']</t>
  </si>
  <si>
    <t>LINESTRING Z (242329.26 6579050.95 0.09, 242328.95 6579049.75 0.09, 242331.95 6579048.95 0.09, 242332.28 6579050.16 0.09, 242329.26 6579050.95 0.09)</t>
  </si>
  <si>
    <t>POLYGON Z ((242329.26 6579050.95 0.09, 242328.95 6579049.75 0.09, 242331.95 6579048.95 0.09, 242332.28 6579050.16 0.09, 242329.26 6579050.95 0.09))</t>
  </si>
  <si>
    <t>['FV3122 S1D1 m1230']</t>
  </si>
  <si>
    <t>LINESTRING Z (239710.48 6579457.36 0.08, 239709.53 6579455.76 0.08, 239713 6579453.8 0.08, 239713.85 6579455.37 0.08, 239710.48 6579457.36 0.08)</t>
  </si>
  <si>
    <t>POLYGON Z ((239710.48 6579457.36 0.08, 239709.53 6579455.76 0.08, 239713 6579453.8 0.08, 239713.85 6579455.37 0.08, 239710.48 6579457.36 0.08))</t>
  </si>
  <si>
    <t>['FV309 S1D1 m445']</t>
  </si>
  <si>
    <t>LINESTRING Z (238849.86000000002 6577022.71 0.09, 238847.98 6577022.32 0.09, 238849.11000000002 6577017.38 0.09, 238850.97 6577017.85 0.09, 238849.86000000002 6577022.71 0.09)</t>
  </si>
  <si>
    <t>POLYGON Z ((238849.86000000002 6577022.71 0.09, 238847.98 6577022.32 0.09, 238849.11000000002 6577017.38 0.09, 238850.97 6577017.85 0.09, 238849.86000000002 6577022.71 0.09))</t>
  </si>
  <si>
    <t>['FV309 S1D1 m1910']</t>
  </si>
  <si>
    <t>LINESTRING Z (239150.92 6575607.52 0.08, 239148.94 6575607.16 0.08, 239149.89 6575602.18 0.08, 239151.83000000002 6575602.51 0.08, 239150.92 6575607.52 0.08)</t>
  </si>
  <si>
    <t>POLYGON Z ((239150.92 6575607.52 0.08, 239148.94 6575607.16 0.08, 239149.89 6575602.18 0.08, 239151.83000000002 6575602.51 0.08, 239150.92 6575607.52 0.08))</t>
  </si>
  <si>
    <t>['FV309 S2D1 m3867']</t>
  </si>
  <si>
    <t>LINESTRING Z (240118.02 6571452.27 0.08, 240116.72 6571451.44 0.08, 240118.68 6571448.26 0.08, 240119.98 6571449.06 0.08, 240118.02 6571452.27 0.08)</t>
  </si>
  <si>
    <t>POLYGON Z ((240118.02 6571452.27 0.08, 240116.72 6571451.44 0.08, 240118.68 6571448.26 0.08, 240119.98 6571449.06 0.08, 240118.02 6571452.27 0.08))</t>
  </si>
  <si>
    <t>['FV3080 S1D1 m234']</t>
  </si>
  <si>
    <t>LINESTRING Z (236334.43 6562005.84 0.08, 236335.71 6562004.87 0.08, 236333.4 6562001.83 0.08, 236332.14 6562002.82 0.08, 236334.43 6562005.84 0.08)</t>
  </si>
  <si>
    <t>POLYGON Z ((236334.43 6562005.84 0.08, 236335.71 6562004.87 0.08, 236333.4 6562001.83 0.08, 236332.14 6562002.82 0.08, 236334.43 6562005.84 0.08))</t>
  </si>
  <si>
    <t>['FV3080 S1D1 m3486']</t>
  </si>
  <si>
    <t>LINESTRING Z (237155.67 6564976.33 0.08, 237153.61000000002 6564975.46 0.08, 237155.07 6564971.93 0.08, 237157.14 6564972.79 0.08, 237155.67 6564976.33 0.08)</t>
  </si>
  <si>
    <t>POLYGON Z ((237155.67 6564976.33 0.08, 237153.61000000002 6564975.46 0.08, 237155.07 6564971.93 0.08, 237157.14 6564972.79 0.08, 237155.67 6564976.33 0.08))</t>
  </si>
  <si>
    <t>['FV3080 S1D1 m3680']</t>
  </si>
  <si>
    <t>LINESTRING Z (237073.61000000002 6565148.91 0.08, 237071.19 6565147.63 0.08, 237072.66 6565144.96 0.08, 237075.04 6565146.22 0.08, 237073.61000000002 6565148.91 0.08)</t>
  </si>
  <si>
    <t>POLYGON Z ((237073.61000000002 6565148.91 0.08, 237071.19 6565147.63 0.08, 237072.66 6565144.96 0.08, 237075.04 6565146.22 0.08, 237073.61000000002 6565148.91 0.08))</t>
  </si>
  <si>
    <t>['FV3076 S1D1 m2449']</t>
  </si>
  <si>
    <t>LINESTRING Z (238084.24 6559987.7 0.08, 238082.09 6559987.17 0.08, 238082.9 6559983.98 0.08, 238085.07 6559984.54 0.08, 238084.24 6559987.7 0.08)</t>
  </si>
  <si>
    <t>POLYGON Z ((238084.24 6559987.7 0.08, 238082.09 6559987.17 0.08, 238082.9 6559983.98 0.08, 238085.07 6559984.54 0.08, 238084.24 6559987.7 0.08))</t>
  </si>
  <si>
    <t>['FV3076 S1D1 m4826']</t>
  </si>
  <si>
    <t>LINESTRING Z (238294.91 6557720.18 0.08, 238293.22 6557718.67 0.08, 238295.51 6557716.15 0.08, 238297.21 6557717.7 0.08, 238294.91 6557720.18 0.08)</t>
  </si>
  <si>
    <t>POLYGON Z ((238294.91 6557720.18 0.08, 238293.22 6557718.67 0.08, 238295.51 6557716.15 0.08, 238297.21 6557717.7 0.08, 238294.91 6557720.18 0.08))</t>
  </si>
  <si>
    <t>['FV3076 S1D1 m5428']</t>
  </si>
  <si>
    <t>LINESTRING Z (238762.32 6557525.83 0.08, 238761.16 6557523.39 0.08, 238762.67 6557522.65 0.08, 238763.81 6557525.09 0.08, 238762.32 6557525.83 0.08)</t>
  </si>
  <si>
    <t>POLYGON Z ((238762.32 6557525.83 0.08, 238761.16 6557523.39 0.08, 238762.67 6557522.65 0.08, 238763.81 6557525.09 0.08, 238762.32 6557525.83 0.08))</t>
  </si>
  <si>
    <t>['FV3076 S1D1 m6034']</t>
  </si>
  <si>
    <t>LINESTRING Z (239078.21 6557969.88 0.08, 239078.04 6557968.21 0.08, 239080.75 6557967.94 0.08, 239080.93 6557969.57 0.08, 239078.21 6557969.88 0.08)</t>
  </si>
  <si>
    <t>POLYGON Z ((239078.21 6557969.88 0.08, 239078.04 6557968.21 0.08, 239080.75 6557967.94 0.08, 239080.93 6557969.57 0.08, 239078.21 6557969.88 0.08))</t>
  </si>
  <si>
    <t>['FV308 S4D1 m253']</t>
  </si>
  <si>
    <t>LINESTRING Z (238635.15 6577119.3 0.09, 238637.18 6577118.99 0.09, 238636.39 6577114.13 0.09, 238634.37 6577114.44 0.09, 238635.15 6577119.3 0.09)</t>
  </si>
  <si>
    <t>POLYGON Z ((238635.15 6577119.3 0.09, 238637.18 6577118.99 0.09, 238636.39 6577114.13 0.09, 238634.37 6577114.44 0.09, 238635.15 6577119.3 0.09))</t>
  </si>
  <si>
    <t>['FV308 S4D1 m2699']</t>
  </si>
  <si>
    <t>LINESTRING Z (238062.31 6574893.37 0.08, 238063.98 6574892.29 0.08, 238061.34 6574888.05 0.08, 238059.7 6574889.09 0.08, 238062.31 6574893.37 0.08)</t>
  </si>
  <si>
    <t>POLYGON Z ((238062.31 6574893.37 0.08, 238063.98 6574892.29 0.08, 238061.34 6574888.05 0.08, 238059.7 6574889.09 0.08, 238062.31 6574893.37 0.08))</t>
  </si>
  <si>
    <t>['FV308 S5D1 m522']</t>
  </si>
  <si>
    <t>LINESTRING Z (237864.3 6573781.85 0.08, 237866.18 6573781.78 0.08, 237866.02 6573777.94 0.08, 237864.1 6573778.04 0.08, 237864.3 6573781.85 0.08)</t>
  </si>
  <si>
    <t>POLYGON Z ((237864.3 6573781.85 0.08, 237866.18 6573781.78 0.08, 237866.02 6573777.94 0.08, 237864.1 6573778.04 0.08, 237864.3 6573781.85 0.08))</t>
  </si>
  <si>
    <t>['FV308 S5D1 m5677']</t>
  </si>
  <si>
    <t>LINESTRING Z (236728.29 6569067.64 0.08, 236729.92 6569066.57 0.08, 236727.13 6569062.19 0.08, 236725.48 6569063.26 0.08, 236728.29 6569067.64 0.08)</t>
  </si>
  <si>
    <t>POLYGON Z ((236728.29 6569067.64 0.08, 236729.92 6569066.57 0.08, 236727.13 6569062.19 0.08, 236725.48 6569063.26 0.08, 236728.29 6569067.64 0.08))</t>
  </si>
  <si>
    <t>['FV308 S5D1 m5887']</t>
  </si>
  <si>
    <t>LINESTRING Z (236567.7 6568937.98 0.08, 236568.28 6568936.2 0.08, 236563.48 6568934.65 0.08, 236562.9 6568936.34 0.08, 236567.7 6568937.98 0.08)</t>
  </si>
  <si>
    <t>POLYGON Z ((236567.7 6568937.98 0.08, 236568.28 6568936.2 0.08, 236563.48 6568934.65 0.08, 236562.9 6568936.34 0.08, 236567.7 6568937.98 0.08))</t>
  </si>
  <si>
    <t>['FV308 S5D1 m6395']</t>
  </si>
  <si>
    <t>LINESTRING Z (236265.76 6568575.23 0.08, 236267.71 6568574.77 0.08, 236266.94 6568571.57 0.08, 236265 6568572.02 0.08, 236265.76 6568575.23 0.08)</t>
  </si>
  <si>
    <t>POLYGON Z ((236265.76 6568575.23 0.08, 236267.71 6568574.77 0.08, 236266.94 6568571.57 0.08, 236265 6568572.02 0.08, 236265.76 6568575.23 0.08))</t>
  </si>
  <si>
    <t>['FV308 S6D1 m4491']</t>
  </si>
  <si>
    <t>LINESTRING Z (236178.68 6564573.58 0.08, 236180.64 6564572.76 0.08, 236179.3 6564569.84 0.08, 236177.44 6564570.71 0.08, 236178.68 6564573.58 0.08)</t>
  </si>
  <si>
    <t>POLYGON Z ((236178.68 6564573.58 0.08, 236180.64 6564572.76 0.08, 236179.3 6564569.84 0.08, 236177.44 6564570.71 0.08, 236178.68 6564573.58 0.08))</t>
  </si>
  <si>
    <t>['FV308 S6D1 m5074']</t>
  </si>
  <si>
    <t>LINESTRING Z (235913.12 6564051.24 0.07, 235915.33000000002 6564051.05 0.07, 235915.09 6564047.89 0.07, 235912.83000000002 6564048.07 0.07, 235913.12 6564051.24 0.07)</t>
  </si>
  <si>
    <t>POLYGON Z ((235913.12 6564051.24 0.07, 235915.33000000002 6564051.05 0.07, 235915.09 6564047.89 0.07, 235912.83000000002 6564048.07 0.07, 235913.12 6564051.24 0.07))</t>
  </si>
  <si>
    <t>['FV311 S3D1 m1581']</t>
  </si>
  <si>
    <t>LINESTRING Z (241999.6 6581064.64 0.09, 242001.71 6581064.25 0.09, 242001.13 6581061.11 0.09, 241999.05 6581061.54 0.09, 241999.6 6581064.64 0.09)</t>
  </si>
  <si>
    <t>POLYGON Z ((241999.6 6581064.64 0.09, 242001.71 6581064.25 0.09, 242001.13 6581061.11 0.09, 241999.05 6581061.54 0.09, 241999.6 6581064.64 0.09))</t>
  </si>
  <si>
    <t>['FV311 S3D1 m1585']</t>
  </si>
  <si>
    <t>LINESTRING Z (241981.72 6581072.1 0.09, 241983.73 6581071.56 0.09, 241982.88 6581068.38 0.09, 241980.92 6581068.86 0.09, 241981.72 6581072.1 0.09)</t>
  </si>
  <si>
    <t>POLYGON Z ((241981.72 6581072.1 0.09, 241983.73 6581071.56 0.09, 241982.88 6581068.38 0.09, 241980.92 6581068.86 0.09, 241981.72 6581072.1 0.09))</t>
  </si>
  <si>
    <t>['FV311 S3D1 m2011']</t>
  </si>
  <si>
    <t>LINESTRING Z (242211.06 6581431.27 0.09, 242212.22 6581429.85 0.09, 242209.8 6581427.8 0.09, 242208.67 6581429.25 0.09, 242211.06 6581431.27 0.09)</t>
  </si>
  <si>
    <t>POLYGON Z ((242211.06 6581431.27 0.09, 242212.22 6581429.85 0.09, 242209.8 6581427.8 0.09, 242208.67 6581429.25 0.09, 242211.06 6581431.27 0.09))</t>
  </si>
  <si>
    <t>['FV311 S2D1 m1040']</t>
  </si>
  <si>
    <t>LINESTRING Z (240898.44 6579494.81 0.09, 240901.79 6579494.69 0.09, 240901.71 6579492.91 0.09, 240898.4 6579493.05 0.09, 240898.44 6579494.81 0.09)</t>
  </si>
  <si>
    <t>POLYGON Z ((240898.44 6579494.81 0.09, 240901.79 6579494.69 0.09, 240901.71 6579492.91 0.09, 240898.4 6579493.05 0.09, 240898.44 6579494.81 0.09))</t>
  </si>
  <si>
    <t>['FV311 S4D1 m1720']</t>
  </si>
  <si>
    <t>LINESTRING Z (243644.7 6583449.88 0.09, 243646.62 6583449.45 0.09, 243645.87 6583446.33 0.09, 243643.97 6583446.76 0.09, 243644.7 6583449.88 0.09)</t>
  </si>
  <si>
    <t>POLYGON Z ((243644.7 6583449.88 0.09, 243646.62 6583449.45 0.09, 243645.87 6583446.33 0.09, 243643.97 6583446.76 0.09, 243644.7 6583449.88 0.09))</t>
  </si>
  <si>
    <t>['FV311 S4D1 m2203']</t>
  </si>
  <si>
    <t>LINESTRING Z (243733.99 6583897.26 0.09, 243736.06 6583896.84 0.09, 243735.23 6583893.87 0.09, 243733.46 6583894.12 0.09, 243733.99 6583897.26 0.09)</t>
  </si>
  <si>
    <t>POLYGON Z ((243733.99 6583897.26 0.09, 243736.06 6583896.84 0.09, 243735.23 6583893.87 0.09, 243733.46 6583894.12 0.09, 243733.99 6583897.26 0.09))</t>
  </si>
  <si>
    <t>['FV311 S4D1 m4339']</t>
  </si>
  <si>
    <t>LINESTRING Z (243463 6585878.74 0.09, 243462.71 6585876.8 0.09, 243466.02 6585876.3 0.09, 243466.29 6585878.25 0.09, 243463 6585878.74 0.09)</t>
  </si>
  <si>
    <t>POLYGON Z ((243463 6585878.74 0.09, 243462.71 6585876.8 0.09, 243466.02 6585876.3 0.09, 243466.29 6585878.25 0.09, 243463 6585878.74 0.09))</t>
  </si>
  <si>
    <t>['FV311 S4D1 m4403']</t>
  </si>
  <si>
    <t>LINESTRING Z (243408.18 6585915.43 0.09, 243407.4 6585913.82 0.09, 243410.87 6585912.19 0.09, 243411.59 6585913.8 0.09, 243408.18 6585915.43 0.09)</t>
  </si>
  <si>
    <t>POLYGON Z ((243408.18 6585915.43 0.09, 243407.4 6585913.82 0.09, 243410.87 6585912.19 0.09, 243411.59 6585913.8 0.09, 243408.18 6585915.43 0.09))</t>
  </si>
  <si>
    <t>['FV311 S4D1 m4812']</t>
  </si>
  <si>
    <t>LINESTRING Z (243264.23 6586276.26 0.09, 243262.35 6586275.72 0.09, 243263.16 6586272.62 0.09, 243265.02 6586273.14 0.09, 243264.23 6586276.26 0.09)</t>
  </si>
  <si>
    <t>POLYGON Z ((243264.23 6586276.26 0.09, 243262.35 6586275.72 0.09, 243263.16 6586272.62 0.09, 243265.02 6586273.14 0.09, 243264.23 6586276.26 0.09))</t>
  </si>
  <si>
    <t>['KV4150 S2D1 m308']</t>
  </si>
  <si>
    <t>LINESTRING Z (243677.54 6594936.34 0.1, 243679.2 6594935.99 0.1, 243678.47 6594932.31 0.1, 243676.78 6594932.58 0.1, 243677.54 6594936.34 0.1)</t>
  </si>
  <si>
    <t>POLYGON Z ((243677.54 6594936.34 0.1, 243679.2 6594935.99 0.1, 243678.47 6594932.31 0.1, 243676.78 6594932.58 0.1, 243677.54 6594936.34 0.1))</t>
  </si>
  <si>
    <t>['KV4150 S2D1 m326']</t>
  </si>
  <si>
    <t>LINESTRING Z (243655.55 6594923.19 0.1, 243656.95 6594922.9 0.1, 243656.35 6594919.57 0.1, 243654.89 6594919.84 0.1, 243655.55 6594923.19 0.1)</t>
  </si>
  <si>
    <t>POLYGON Z ((243655.55 6594923.19 0.1, 243656.95 6594922.9 0.1, 243656.35 6594919.57 0.1, 243654.89 6594919.84 0.1, 243655.55 6594923.19 0.1))</t>
  </si>
  <si>
    <t>['FV325 S3D1 m762']</t>
  </si>
  <si>
    <t>LINESTRING Z (240838.6 6588899.38 0.09, 240840.5 6588899.15 0.09, 240840.04 6588895.93 0.09, 240838.14 6588896.18 0.09, 240838.6 6588899.38 0.09)</t>
  </si>
  <si>
    <t>POLYGON Z ((240838.6 6588899.38 0.09, 240840.5 6588899.15 0.09, 240840.04 6588895.93 0.09, 240838.14 6588896.18 0.09, 240838.6 6588899.38 0.09))</t>
  </si>
  <si>
    <t>['FV325 S3D1 m836']</t>
  </si>
  <si>
    <t>LINESTRING Z (240867.62 6588966.81 0.09, 240869.58000000002 6588966.69 0.09, 240869.34 6588963.34 0.09, 240867.41 6588963.44 0.09, 240867.62 6588966.81 0.09)</t>
  </si>
  <si>
    <t>POLYGON Z ((240867.62 6588966.81 0.09, 240869.58000000002 6588966.69 0.09, 240869.34 6588963.34 0.09, 240867.41 6588963.44 0.09, 240867.62 6588966.81 0.09))</t>
  </si>
  <si>
    <t>['FV325 S3D1 m1738']</t>
  </si>
  <si>
    <t>LINESTRING Z (241138.22 6589827.37 0.09, 241140.1 6589826.73 0.09, 241137.43 6589819.31 0.09, 241135.59 6589819.97 0.09, 241138.22 6589827.37 0.09)</t>
  </si>
  <si>
    <t>POLYGON Z ((241138.22 6589827.37 0.09, 241140.1 6589826.73 0.09, 241137.43 6589819.31 0.09, 241135.59 6589819.97 0.09, 241138.22 6589827.37 0.09))</t>
  </si>
  <si>
    <t>['FV325 S3D1 m2770']</t>
  </si>
  <si>
    <t>LINESTRING Z (241537.49 6590789.42 0.1, 241539.08000000002 6590788.2 0.1, 241536.89 6590785.37 0.1, 241535.28 6590786.65 0.1, 241537.49 6590789.42 0.1)</t>
  </si>
  <si>
    <t>POLYGON Z ((241537.49 6590789.42 0.1, 241539.08000000002 6590788.2 0.1, 241536.89 6590785.37 0.1, 241535.28 6590786.65 0.1, 241537.49 6590789.42 0.1))</t>
  </si>
  <si>
    <t>['FV325 S3D1 m2818']</t>
  </si>
  <si>
    <t>LINESTRING Z (241547.93 6590838.91 0.1, 241549.17 6590840.6 0.1, 241551.86000000002 6590838.84 0.1, 241550.68 6590837.23 0.1, 241547.93 6590838.91 0.1)</t>
  </si>
  <si>
    <t>POLYGON Z ((241547.93 6590838.91 0.1, 241549.17 6590840.6 0.1, 241551.86000000002 6590838.84 0.1, 241550.68 6590837.23 0.1, 241547.93 6590838.91 0.1))</t>
  </si>
  <si>
    <t>['FV325 S3D1 m3352']</t>
  </si>
  <si>
    <t>LINESTRING Z (241941.11000000002 6591192.97 0.1, 241942.2 6591191.9 0.1, 241938.92 6591188.63 0.1, 241937.76 6591189.75 0.1, 241941.11000000002 6591192.97 0.1)</t>
  </si>
  <si>
    <t>POLYGON Z ((241941.11000000002 6591192.97 0.1, 241942.2 6591191.9 0.1, 241938.92 6591188.63 0.1, 241937.76 6591189.75 0.1, 241941.11000000002 6591192.97 0.1))</t>
  </si>
  <si>
    <t>['FV325 S3D1 m3350']</t>
  </si>
  <si>
    <t>LINESTRING Z (241955.25 6591175.92 0.1, 241956.34 6591174.78 0.1, 241953.05 6591171.5 0.1, 241951.98 6591172.63 0.1, 241955.25 6591175.92 0.1)</t>
  </si>
  <si>
    <t>POLYGON Z ((241955.25 6591175.92 0.1, 241956.34 6591174.78 0.1, 241953.05 6591171.5 0.1, 241951.98 6591172.63 0.1, 241955.25 6591175.92 0.1))</t>
  </si>
  <si>
    <t>['FV325 S3D1 m3717']</t>
  </si>
  <si>
    <t>LINESTRING Z (242166 6591477.71 0.1, 242167.06 6591475.95 0.1, 242164.2 6591474.2 0.1, 242163.09 6591475.99 0.1, 242166 6591477.71 0.1)</t>
  </si>
  <si>
    <t>POLYGON Z ((242166 6591477.71 0.1, 242167.06 6591475.95 0.1, 242164.2 6591474.2 0.1, 242163.09 6591475.99 0.1, 242166 6591477.71 0.1))</t>
  </si>
  <si>
    <t>['FV325 S1D1 m426']</t>
  </si>
  <si>
    <t>LINESTRING Z (238779.45 6578690.27 0.08, 238777.97 6578689.52 0.08, 238779.76 6578685.95 0.08, 238781.25 6578686.69 0.08, 238779.45 6578690.27 0.08)</t>
  </si>
  <si>
    <t>POLYGON Z ((238779.45 6578690.27 0.08, 238777.97 6578689.52 0.08, 238779.76 6578685.95 0.08, 238781.25 6578686.69 0.08, 238779.45 6578690.27 0.08))</t>
  </si>
  <si>
    <t>['FV325 S1D1 m1272']</t>
  </si>
  <si>
    <t>LINESTRING Z (238651.81 6579348.13 0.08, 238650.1 6579348.09 0.08, 238650.26 6579344.04 0.08, 238652 6579344.14 0.08, 238651.81 6579348.13 0.08)</t>
  </si>
  <si>
    <t>POLYGON Z ((238651.81 6579348.13 0.08, 238650.1 6579348.09 0.08, 238650.26 6579344.04 0.08, 238652 6579344.14 0.08, 238651.81 6579348.13 0.08))</t>
  </si>
  <si>
    <t>LINESTRING Z (238628.95 6579346.29 0.08, 238630.62 6579346.4 0.08, 238630.87 6579342.2 0.08, 238629.2 6579342.12 0.08, 238628.95 6579346.29 0.08)</t>
  </si>
  <si>
    <t>POLYGON Z ((238628.95 6579346.29 0.08, 238630.62 6579346.4 0.08, 238630.87 6579342.2 0.08, 238629.2 6579342.12 0.08, 238628.95 6579346.29 0.08))</t>
  </si>
  <si>
    <t>['FV325 S1D1 m2429']</t>
  </si>
  <si>
    <t>LINESTRING Z (238825.49 6580468.4 0.09, 238827.08000000002 6580467.61 0.09, 238825.55 6580464.61 0.09, 238823.98 6580465.4 0.09, 238825.49 6580468.4 0.09)</t>
  </si>
  <si>
    <t>POLYGON Z ((238825.49 6580468.4 0.09, 238827.08000000002 6580467.61 0.09, 238825.55 6580464.61 0.09, 238823.98 6580465.4 0.09, 238825.49 6580468.4 0.09))</t>
  </si>
  <si>
    <t>['FV325 S1D1 m2479']</t>
  </si>
  <si>
    <t>LINESTRING Z (238862.47 6580506.2 0.09, 238864.1 6580505.46 0.09, 238862.63 6580502.3 0.09, 238860.98 6580503.04 0.09, 238862.47 6580506.2 0.09)</t>
  </si>
  <si>
    <t>POLYGON Z ((238862.47 6580506.2 0.09, 238864.1 6580505.46 0.09, 238862.63 6580502.3 0.09, 238860.98 6580503.04 0.09, 238862.47 6580506.2 0.09))</t>
  </si>
  <si>
    <t>2025-11-22T09:10:29Z</t>
  </si>
  <si>
    <t>['FV3102 S3D1 m1018']</t>
  </si>
  <si>
    <t>LINESTRING Z (241631.94 6575552.72 0.09, 241635.76 6575552.55 0.09, 241635.68 6575550.59 0.09, 241631.87 6575550.77 0.09, 241631.94 6575552.72 0.09)</t>
  </si>
  <si>
    <t>POLYGON Z ((241631.94 6575552.72 0.09, 241635.76 6575552.55 0.09, 241635.68 6575550.59 0.09, 241631.87 6575550.77 0.09, 241631.94 6575552.72 0.09))</t>
  </si>
  <si>
    <t>['FV3128 S1D1 m655']</t>
  </si>
  <si>
    <t>LINESTRING Z (241551.4 6579280.91 0.09, 241551.84 6579282.44 0.09, 241555.5 6579281.3 0.09, 241555.1 6579279.71 0.09, 241551.4 6579280.91 0.09)</t>
  </si>
  <si>
    <t>POLYGON Z ((241551.4 6579280.91 0.09, 241551.84 6579282.44 0.09, 241555.5 6579281.3 0.09, 241555.1 6579279.71 0.09, 241551.4 6579280.91 0.09))</t>
  </si>
  <si>
    <t>['FV35 S2D1 m1615']</t>
  </si>
  <si>
    <t>LINESTRING Z (234676.5 6583950.59 7.68, 234678.04 6583950.59 7.68, 234678.08000000002 6583946.27 7.68, 234676.51 6583946.22 7.68, 234676.5 6583950.59 7.68)</t>
  </si>
  <si>
    <t>['FV35 S2D1 m1649']</t>
  </si>
  <si>
    <t>LINESTRING Z (234656.65000000002 6583985.05 7.67, 234655.12 6583985.02 7.67, 234655.18 6583980.68 7.67, 234656.71000000002 6583980.7 7.67, 234656.65000000002 6583985.05 7.67)</t>
  </si>
  <si>
    <t>[3126]</t>
  </si>
  <si>
    <t>['FV3126 S1D1 m337']</t>
  </si>
  <si>
    <t>LINESTRING Z (240616.15 6579102.53 21.490000000000002, 240619.87 6579100.23 21.490000000000002, 240620.69 6579101.56 21.490000000000002, 240616.96 6579103.87 21.490000000000002, 240616.15 6579102.53 21.490000000000002)</t>
  </si>
  <si>
    <t>2025-11-22T09:10:36Z</t>
  </si>
  <si>
    <t>['FV32 S2D1 m4003']</t>
  </si>
  <si>
    <t>LINESTRING Z (221309.16999999998 6606016.23 114.48, 221309.28 6606017.71 114.48, 221306.39 6606017.99 114.49000000000001, 221306.24 6606016.47 114.48, 221309.16 6606016.18 114.48, 221309.16999999998 6606016.23 114.48)</t>
  </si>
  <si>
    <t>['FV3160 S1D1 m1271']</t>
  </si>
  <si>
    <t>LINESTRING Z (231224.7 6574799.96 0.07, 231226 6574796.36 0.07, 231227.91999999998 6574797.25 0.07, 231226.6 6574800.64 0.07, 231224.7 6574799.96 0.07)</t>
  </si>
  <si>
    <t>POLYGON Z ((231224.7 6574799.96 0.07, 231226 6574796.36 0.07, 231227.91999999998 6574797.25 0.07, 231226.6 6574800.64 0.07, 231224.7 6574799.96 0.07))</t>
  </si>
  <si>
    <t>['FV301 S2D1 m2336']</t>
  </si>
  <si>
    <t>LINESTRING Z (214959.38 6550660.19 0.04, 214961.32 6550660.44 0.04, 214960.95 6550664.04 0.04, 214958.93 6550663.79 0.04, 214959.38 6550660.19 0.04)</t>
  </si>
  <si>
    <t>POLYGON Z ((214959.38 6550660.19 0.04, 214961.32 6550660.44 0.04, 214960.95 6550664.04 0.04, 214958.93 6550663.79 0.04, 214959.38 6550660.19 0.04))</t>
  </si>
  <si>
    <t>['FV301 S2D1 m3337']</t>
  </si>
  <si>
    <t>LINESTRING Z (214643.93 6550072.18 0.05, 214645.83000000002 6550071 0.05, 214644.11 6550068.31 0.05, 214642.22999999998 6550069.45 0.05, 214643.93 6550072.18 0.05)</t>
  </si>
  <si>
    <t>POLYGON Z ((214643.93 6550072.18 0.05, 214645.83000000002 6550071 0.05, 214644.11 6550068.31 0.05, 214642.22999999998 6550069.45 0.05, 214643.93 6550072.18 0.05))</t>
  </si>
  <si>
    <t>['FV301 S2D1 m3520']</t>
  </si>
  <si>
    <t>LINESTRING Z (214558.06 6549910.63 0.05, 214559.91999999998 6549909.04 0.05, 214557.63 6549906.42 0.05, 214555.81 6549907.97 0.05, 214558.06 6549910.63 0.05)</t>
  </si>
  <si>
    <t>POLYGON Z ((214558.06 6549910.63 0.05, 214559.91999999998 6549909.04 0.05, 214557.63 6549906.42 0.05, 214555.81 6549907.97 0.05, 214558.06 6549910.63 0.05))</t>
  </si>
  <si>
    <t>[31770]</t>
  </si>
  <si>
    <t>['KV31770 S1D1 m29']</t>
  </si>
  <si>
    <t>LINESTRING Z (215036.90000000002 6556658.97 0.04, 215042.56 6556653.88 0.04, 215044.05 6556655.83 0.04, 215038.55 6556660.87 0.04, 215036.90000000002 6556658.97 0.04)</t>
  </si>
  <si>
    <t>POLYGON Z ((215036.90000000002 6556658.97 0.04, 215042.56 6556653.88 0.04, 215044.05 6556655.83 0.04, 215038.55 6556660.87 0.04, 215036.90000000002 6556658.97 0.04))</t>
  </si>
  <si>
    <t>['KV31770 S1D1 m34']</t>
  </si>
  <si>
    <t>LINESTRING Z (215056.82 6556664.55 0.04, 215054.26 6556662.19 0.04, 215049.75 6556666.7 0.04, 215052.15000000002 6556668.93 0.04, 215056.82 6556664.55 0.04)</t>
  </si>
  <si>
    <t>POLYGON Z ((215056.82 6556664.55 0.04, 215054.26 6556662.19 0.04, 215049.75 6556666.7 0.04, 215052.15000000002 6556668.93 0.04, 215056.82 6556664.55 0.04))</t>
  </si>
  <si>
    <t>['KV31770 S1D1 m103']</t>
  </si>
  <si>
    <t>LINESTRING Z (215095.15000000002 6556602.37 0.04, 215090.97 6556606.43 0.04, 215093.08000000002 6556608.45 0.04, 215097.16999999998 6556604.56 0.04, 215095.15000000002 6556602.37 0.04)</t>
  </si>
  <si>
    <t>POLYGON Z ((215095.15000000002 6556602.37 0.04, 215090.97 6556606.43 0.04, 215093.08000000002 6556608.45 0.04, 215097.16999999998 6556604.56 0.04, 215095.15000000002 6556602.37 0.04))</t>
  </si>
  <si>
    <t>['FV2990 S1D1 m3647']</t>
  </si>
  <si>
    <t>LINESTRING Z (215063.77000000002 6556713 0.04, 215057.03 6556705.85 0.04, 215061.04 6556702.67 0.04, 215067.78 6556710.03 0.04, 215063.77000000002 6556713 0.04)</t>
  </si>
  <si>
    <t>POLYGON Z ((215063.77000000002 6556713 0.04, 215057.03 6556705.85 0.04, 215061.04 6556702.67 0.04, 215067.78 6556710.03 0.04, 215063.77000000002 6556713 0.04))</t>
  </si>
  <si>
    <t>['FV2990 S1D1 m3730']</t>
  </si>
  <si>
    <t>LINESTRING Z (214992.04 6556714.74 0.04, 214998.61 6556712.47 0.04, 214997.33000000002 6556709.78 0.04, 214991.01 6556712.18 0.04, 214992.04 6556714.74 0.04)</t>
  </si>
  <si>
    <t>POLYGON Z ((214992.04 6556714.74 0.04, 214998.61 6556712.47 0.04, 214997.33000000002 6556709.78 0.04, 214991.01 6556712.18 0.04, 214992.04 6556714.74 0.04))</t>
  </si>
  <si>
    <t>2025-12-15T11:59:49Z</t>
  </si>
  <si>
    <t>['FV303 S1D1 m2265']</t>
  </si>
  <si>
    <t>LINESTRING Z (215959.91999999998 6555851.18 0.04, 215964.72 6555849.84 0.04, 215964.14 6555847.96 0.04, 215959.41 6555849.28 0.04, 215959.91999999998 6555851.18 0.04)</t>
  </si>
  <si>
    <t>POLYGON Z ((215959.91999999998 6555851.18 0.04, 215964.72 6555849.84 0.04, 215964.14 6555847.96 0.04, 215959.41 6555849.28 0.04, 215959.91999999998 6555851.18 0.04))</t>
  </si>
  <si>
    <t>['FV303 S1D1 m2257']</t>
  </si>
  <si>
    <t>LINESTRING Z (215946.40000000002 6555835.16 0.04, 215952.11 6555833.05 0.04, 215951.28 6555830.78 0.04, 215945.33000000002 6555833.01 0.04, 215946.40000000002 6555835.16 0.04)</t>
  </si>
  <si>
    <t>POLYGON Z ((215946.40000000002 6555835.16 0.04, 215952.11 6555833.05 0.04, 215951.28 6555830.78 0.04, 215945.33000000002 6555833.01 0.04, 215946.40000000002 6555835.16 0.04))</t>
  </si>
  <si>
    <t>['FV303 S1D1 m3542']</t>
  </si>
  <si>
    <t>LINESTRING Z (217132.65000000002 6555380.18 0.04, 217133.54 6555378.43 0.04, 217130.68 6555377.02 0.04, 217129.8 6555378.74 0.04, 217132.65000000002 6555380.18 0.04)</t>
  </si>
  <si>
    <t>POLYGON Z ((217132.65000000002 6555380.18 0.04, 217133.54 6555378.43 0.04, 217130.68 6555377.02 0.04, 217129.8 6555378.74 0.04, 217132.65000000002 6555380.18 0.04))</t>
  </si>
  <si>
    <t>['FV303 S2D1 m35']</t>
  </si>
  <si>
    <t>LINESTRING Z (223479.89 6556703.83 0.05, 223474.52000000002 6556700.68 0.05, 223475.14 6556699.24 0.05, 223469.89 6556696.09 0.05, 223471.09 6556694.03 0.05, 223476.16999999998 6556697.09 0.05, 223475.1 6556698.95 0.05, 223480.64 6556702.38 0.05, 223479.89 6556703.83 0.05)</t>
  </si>
  <si>
    <t>POLYGON Z ((223479.89 6556703.83 0.05, 223474.52000000002 6556700.68 0.05, 223475.14 6556699.24 0.05, 223469.89 6556696.09 0.05, 223471.09 6556694.03 0.05, 223476.16999999998 6556697.09 0.05, 223475.1 6556698.95 0.05, 223480.64 6556702.38 0.05, 223479.89 6556703.83 0.05))</t>
  </si>
  <si>
    <t>['FV303 S3D1 m5322']</t>
  </si>
  <si>
    <t>LINESTRING Z (230409.74 6566156.93 0.06, 230411.64 6566156.93 0.06, 230411.58000000002 6566153.09 0.06, 230409.66999999998 6566153.13 0.06, 230409.74 6566156.93 0.06)</t>
  </si>
  <si>
    <t>POLYGON Z ((230409.74 6566156.93 0.06, 230411.64 6566156.93 0.06, 230411.58000000002 6566153.09 0.06, 230409.66999999998 6566153.13 0.06, 230409.74 6566156.93 0.06))</t>
  </si>
  <si>
    <t>['FV256 S2D1 m200']</t>
  </si>
  <si>
    <t>LINESTRING Z (222500.91 6564249.18 0.05, 222499.65000000002 6564250.27 0.05, 222497.05 6564248.12 0.05, 222498.62 6564246.86 0.05, 222500.91 6564249.18 0.05)</t>
  </si>
  <si>
    <t>POLYGON Z ((222500.91 6564249.18 0.05, 222499.65000000002 6564250.27 0.05, 222497.05 6564248.12 0.05, 222498.62 6564246.86 0.05, 222500.91 6564249.18 0.05))</t>
  </si>
  <si>
    <t>['FV256 S2D1 m212']</t>
  </si>
  <si>
    <t>LINESTRING Z (222491.40000000002 6564274.02 0.05, 222492.72999999998 6564272.91 0.05, 222490.47 6564270.55 0.05, 222489.09 6564271.9 0.05, 222491.40000000002 6564274.02 0.05)</t>
  </si>
  <si>
    <t>POLYGON Z ((222491.40000000002 6564274.02 0.05, 222492.72999999998 6564272.91 0.05, 222490.47 6564270.55 0.05, 222489.09 6564271.9 0.05, 222491.40000000002 6564274.02 0.05))</t>
  </si>
  <si>
    <t>['FV256 S2D1 m1067']</t>
  </si>
  <si>
    <t>LINESTRING Z (223091.64 6564882.07 0.05, 223090.09 6564883.02 0.05, 223087.96000000002 6564880.36 0.05, 223089.86 6564879.51 0.05, 223091.64 6564882.07 0.05)</t>
  </si>
  <si>
    <t>POLYGON Z ((223091.64 6564882.07 0.05, 223090.09 6564883.02 0.05, 223087.96000000002 6564880.36 0.05, 223089.86 6564879.51 0.05, 223091.64 6564882.07 0.05))</t>
  </si>
  <si>
    <t>['FV256 S1D1 m501']</t>
  </si>
  <si>
    <t>LINESTRING Z (217777.90000000002 6560381.21 0.04, 217779.06 6560380.18 0.04, 217776.66 6560377.7 0.04, 217775.5 6560378.61 0.04, 217777.90000000002 6560381.21 0.04)</t>
  </si>
  <si>
    <t>POLYGON Z ((217777.90000000002 6560381.21 0.04, 217779.06 6560380.18 0.04, 217776.66 6560377.7 0.04, 217775.5 6560378.61 0.04, 217777.90000000002 6560381.21 0.04))</t>
  </si>
  <si>
    <t>['FV256 S1D1 m624']</t>
  </si>
  <si>
    <t>LINESTRING Z (217873.15000000002 6560465.46 0.04, 217870.26 6560460.63 0.04, 217873.24 6560459.01 0.04, 217876.16999999998 6560463.73 0.04, 217873.15000000002 6560465.46 0.04)</t>
  </si>
  <si>
    <t>POLYGON Z ((217873.15000000002 6560465.46 0.04, 217870.26 6560460.63 0.04, 217873.24 6560459.01 0.04, 217876.16999999998 6560463.73 0.04, 217873.15000000002 6560465.46 0.04))</t>
  </si>
  <si>
    <t>['FV256 S1D1 m5161']</t>
  </si>
  <si>
    <t>LINESTRING Z (221390.63 6563196.65 0.05, 221387.45 6563195.18 0.05, 221386.37 6563197.19 0.05, 221389.95 6563198.86 0.05, 221390.63 6563196.65 0.05)</t>
  </si>
  <si>
    <t>POLYGON Z ((221390.63 6563196.65 0.05, 221387.45 6563195.18 0.05, 221386.37 6563197.19 0.05, 221389.95 6563198.86 0.05, 221390.63 6563196.65 0.05))</t>
  </si>
  <si>
    <t>['FV256 S6D1 m3632']</t>
  </si>
  <si>
    <t>LINESTRING Z (230475.18 6575528.45 0.07, 230476.5 6575527.33 0.07, 230474.1 6575524.42 0.07, 230472.78 6575525.56 0.07, 230475.18 6575528.45 0.07)</t>
  </si>
  <si>
    <t>POLYGON Z ((230475.18 6575528.45 0.07, 230476.5 6575527.33 0.07, 230474.1 6575524.42 0.07, 230472.78 6575525.56 0.07, 230475.18 6575528.45 0.07))</t>
  </si>
  <si>
    <t>['FV256 S6D1 m3511']</t>
  </si>
  <si>
    <t>LINESTRING Z (230429.74 6575409.72 0.07, 230431.46000000002 6575408.97 0.07, 230433.55 6575412.38 0.07, 230431.47999999998 6575413.13 0.07, 230429.74 6575409.72 0.07)</t>
  </si>
  <si>
    <t>POLYGON Z ((230429.74 6575409.72 0.07, 230431.46000000002 6575408.97 0.07, 230433.55 6575412.38 0.07, 230431.47999999998 6575413.13 0.07, 230429.74 6575409.72 0.07))</t>
  </si>
  <si>
    <t>['FV303 S6D1 m705']</t>
  </si>
  <si>
    <t>LINESTRING Z (234171.37 6575133.85 0.08, 234173.40000000002 6575133.72 0.08, 234173.15000000002 6575130.13 0.08, 234171.08000000002 6575130.29 0.08, 234171.37 6575133.85 0.08)</t>
  </si>
  <si>
    <t>POLYGON Z ((234171.37 6575133.85 0.08, 234173.40000000002 6575133.72 0.08, 234173.15000000002 6575130.13 0.08, 234171.08000000002 6575130.29 0.08, 234171.37 6575133.85 0.08))</t>
  </si>
  <si>
    <t>['FV256 S7D1 m4173']</t>
  </si>
  <si>
    <t>LINESTRING Z (232928.8 6579248.11 0.08, 232930.83000000002 6579247.28 0.08, 232929.09 6579243.64 0.08, 232927.11 6579244.39 0.08, 232928.8 6579248.11 0.08)</t>
  </si>
  <si>
    <t>POLYGON Z ((232928.8 6579248.11 0.08, 232930.83000000002 6579247.28 0.08, 232929.09 6579243.64 0.08, 232927.11 6579244.39 0.08, 232928.8 6579248.11 0.08))</t>
  </si>
  <si>
    <t>['FV303 S6D1 m693']</t>
  </si>
  <si>
    <t>LINESTRING Z (234192.71000000002 6575120.76 0.08, 234194.81 6575120.47 0.08, 234194.01 6575115.51 0.08, 234191.97999999998 6575115.86 0.08, 234192.71000000002 6575120.76 0.08)</t>
  </si>
  <si>
    <t>POLYGON Z ((234192.71000000002 6575120.76 0.08, 234194.81 6575120.47 0.08, 234194.01 6575115.51 0.08, 234191.97999999998 6575115.86 0.08, 234192.71000000002 6575120.76 0.08))</t>
  </si>
  <si>
    <t>['FV3090 S1D1 m5392']</t>
  </si>
  <si>
    <t>LINESTRING Z (240005.74 6569638.32 0.08, 240007.43 6569637.78 0.08, 240005.92 6569633.05 0.08, 240004.17 6569633.58 0.08, 240005.74 6569638.32 0.08)</t>
  </si>
  <si>
    <t>POLYGON Z ((240005.74 6569638.32 0.08, 240007.43 6569637.78 0.08, 240005.92 6569633.05 0.08, 240004.17 6569633.58 0.08, 240005.74 6569638.32 0.08))</t>
  </si>
  <si>
    <t>['FV3090 S1D1 m4815']</t>
  </si>
  <si>
    <t>LINESTRING Z (239711.18 6569151.28 0.08, 239712.59 6569149.66 0.08, 239708.72 6569146.36 0.08, 239707.34 6569147.97 0.08, 239711.18 6569151.28 0.08)</t>
  </si>
  <si>
    <t>POLYGON Z ((239711.18 6569151.28 0.08, 239712.59 6569149.66 0.08, 239708.72 6569146.36 0.08, 239707.34 6569147.97 0.08, 239711.18 6569151.28 0.08))</t>
  </si>
  <si>
    <t>['FV309 S2D1 m3419']</t>
  </si>
  <si>
    <t>LINESTRING Z (239868.82 6571827 0.08, 239872.37 6571823.49 0.08, 239873.9 6571825.12 0.08, 239870.37 6571828.49 0.08, 239868.82 6571827 0.08)</t>
  </si>
  <si>
    <t>POLYGON Z ((239868.82 6571827 0.08, 239872.37 6571823.49 0.08, 239873.9 6571825.12 0.08, 239870.37 6571828.49 0.08, 239868.82 6571827 0.08))</t>
  </si>
  <si>
    <t>['FV309 S2D1 m4957']</t>
  </si>
  <si>
    <t>LINESTRING Z (240163.56 6570452.08 0.08, 240164.76 6570451.6 0.08, 240162.54 6570447.08 0.08, 240161.39 6570447.68 0.08, 240163.56 6570452.08 0.08)</t>
  </si>
  <si>
    <t>POLYGON Z ((240163.56 6570452.08 0.08, 240164.76 6570451.6 0.08, 240162.54 6570447.08 0.08, 240161.39 6570447.68 0.08, 240163.56 6570452.08 0.08))</t>
  </si>
  <si>
    <t>2025-11-22T09:10:46Z</t>
  </si>
  <si>
    <t>['FV256 S4D1 m1199']</t>
  </si>
  <si>
    <t>LINESTRING Z (225793.09 6568043.65 97.58, 225791.84 6568040.18 97.54, 225789.93 6568040.89 97.57000000000001, 225791.19 6568044.33 97.61, 225793.09 6568043.65 97.58)</t>
  </si>
  <si>
    <t>['FV256 S4D1 m2352']</t>
  </si>
  <si>
    <t>LINESTRING Z (226378.66 6569023.23 108.3, 226376.97999999998 6569019.96 108.29, 226375.19 6569020.86 108.34, 226376.84 6569024.15 108.36, 226378.66 6569023.23 108.3)</t>
  </si>
  <si>
    <t>['FV256 S4D1 m2469']</t>
  </si>
  <si>
    <t>LINESTRING Z (226442.09 6569113.28 0.06, 226444.39 6569112.31 0.06, 226445.94 6569116.09 0.06, 226443.81 6569117.03 0.06, 226442.09 6569113.28 0.06)</t>
  </si>
  <si>
    <t>['FV256 S5D1 m1264']</t>
  </si>
  <si>
    <t>LINESTRING Z (226998.59 6570655.08 105.57000000000001, 226996.99 6570651.77 105.55, 226995.16 6570652.63 105.61, 226996.77000000002 6570655.95 105.61, 226998.59 6570655.08 105.57000000000001)</t>
  </si>
  <si>
    <t>['FV256 S5D1 m1864']</t>
  </si>
  <si>
    <t>LINESTRING Z (227345.90000000002 6571142.93 108.7, 227344.47999999998 6571144.13 108.71000000000001, 227346.56 6571146.56 108.75, 227347.97999999998 6571145.37 108.72, 227345.90000000002 6571142.93 108.7)</t>
  </si>
  <si>
    <t>[64430]</t>
  </si>
  <si>
    <t>['KV64430 S2D1 m154']</t>
  </si>
  <si>
    <t>LINESTRING Z (191946.24 6576259.56 33.79, 191947.65000000002 6576260.19 33.78, 191948.97 6576257.23 33.77, 191947.58000000002 6576256.6 33.78, 191946.24 6576259.56 33.79)</t>
  </si>
  <si>
    <t>2014-10-09</t>
  </si>
  <si>
    <t>2025-11-22T09:10:52Z</t>
  </si>
  <si>
    <t>[460]</t>
  </si>
  <si>
    <t>['FV460 S2D1 m10652']</t>
  </si>
  <si>
    <t>LINESTRING Z (51195.57 6471913.32 30.001, 51194.86 6471912.28 29.991, 51196.96 6471910.73 29.971, 51197.77 6471911.76 29.881)</t>
  </si>
  <si>
    <t>POLYGON Z ((51195.57 6471913.32 30.001, 51194.86 6471912.28 29.991, 51196.96 6471910.73 29.971, 51197.77 6471911.76 29.881, 51195.57 6471913.32 30.001))</t>
  </si>
  <si>
    <t>2018-09-24</t>
  </si>
  <si>
    <t>['EV16 S46D1 m5810']</t>
  </si>
  <si>
    <t>LINESTRING Z (233846.72 6691541.55 159.884, 233844.97 6691542.54 159.874, 233842.52 6691538.24 159.914, 233844.24 6691537.26 159.874)</t>
  </si>
  <si>
    <t>POLYGON Z ((233846.72 6691541.55 159.884, 233844.97 6691542.54 159.874, 233842.52 6691538.24 159.914, 233844.24 6691537.26 159.874, 233846.72 6691541.55 159.884))</t>
  </si>
  <si>
    <t>[3216]</t>
  </si>
  <si>
    <t>['FV3216 S1D1 m45']</t>
  </si>
  <si>
    <t>LINESTRING Z (233372.02000000002 6587030.16 0.09, 233368.07 6587027.14 0.09, 233367.49 6587026.67 0.09, 233364.22999999998 6587024.21 0.09, 233365.49 6587022.49 0.09, 233368.8 6587024.95 0.09, 233367.56 6587026.62 0.09, 233368.13 6587027.1 0.09, 233368.97999999998 6587025.88 0.09, 233372.99 6587028.94 0.09, 233372.02000000002 6587030.16 0.09)</t>
  </si>
  <si>
    <t>POLYGON Z ((233372.02000000002 6587030.16 0.09, 233368.07 6587027.14 0.09, 233367.49 6587026.67 0.09, 233364.22999999998 6587024.21 0.09, 233365.49 6587022.49 0.09, 233368.8 6587024.95 0.09, 233367.56 6587026.62 0.09, 233368.13 6587027.1 0.09, 233368.97999999998 6587025.88 0.09, 233372.99 6587028.94 0.09, 233372.02000000002 6587030.16 0.09))</t>
  </si>
  <si>
    <t>2024-11-18</t>
  </si>
  <si>
    <t>2025-11-22T09:11:01Z</t>
  </si>
  <si>
    <t>['FV35 S1D1 m2663']</t>
  </si>
  <si>
    <t>LINESTRING Z (235698.67862747662 6581612.717960269 0.08, 235698.18784287875 6581611.009354877 0.08, 235702.91798854823 6581609.830063011 0.08, 235703.3356057254 6581611.554948674 0.08, 235698.67862747662 6581612.717960269 0.08)</t>
  </si>
  <si>
    <t>POLYGON Z ((235698.67862747662 6581612.717960269 0.08, 235698.18784287875 6581611.009354877 0.08, 235702.91798854823 6581609.830063011 0.08, 235703.3356057254 6581611.554948674 0.08, 235698.67862747662 6581612.717960269 0.08))</t>
  </si>
  <si>
    <t>[3186]</t>
  </si>
  <si>
    <t>['FV3186 S2D1 m4326']</t>
  </si>
  <si>
    <t>LINESTRING Z (232846.37 6596387.77 0.09, 232845.47999999998 6596385.43 0.09, 232848.81 6596384.23 0.09, 232849.65000000002 6596386.55 0.09, 232846.37 6596387.77 0.09)</t>
  </si>
  <si>
    <t>POLYGON Z ((232846.37 6596387.77 0.09, 232845.47999999998 6596385.43 0.09, 232848.81 6596384.23 0.09, 232849.65000000002 6596386.55 0.09, 232846.37 6596387.77 0.09))</t>
  </si>
  <si>
    <t>['FV319 S5D1 m568']</t>
  </si>
  <si>
    <t>LINESTRING Z (233114 6611998.67 26.85, 233112.97999999998 6611997.62 26.14, 233114.5 6611995.09 26.19, 233115.83000000002 6611996.49 26.87)</t>
  </si>
  <si>
    <t>POLYGON Z ((233114 6611998.67 26.85, 233112.97999999998 6611997.62 26.14, 233114.5 6611995.09 26.19, 233115.83000000002 6611996.49 26.87, 233114 6611998.67 26.85))</t>
  </si>
  <si>
    <t>['FV40 S5D1 m21']</t>
  </si>
  <si>
    <t>LINESTRING Z (208828.35 6586017.15 0.06, 208828.39 6586014.03 0.06, 208826.2 6586013.97 0.06, 208826.1 6586017.05 0.06, 208828.35 6586017.15 0.06)</t>
  </si>
  <si>
    <t>POLYGON Z ((208828.35 6586017.15 0.06, 208828.39 6586014.03 0.06, 208826.2 6586013.97 0.06, 208826.1 6586017.05 0.06, 208828.35 6586017.15 0.06))</t>
  </si>
  <si>
    <t>['FV35 S12D1 m1419']</t>
  </si>
  <si>
    <t>LINESTRING Z (219308.15000000002 6617260.73 0.08, 219306.95 6617258.7 0.08, 219309.55 6617257.19 0.08, 219310.69 6617259.22 0.08, 219308.15000000002 6617260.73 0.08)</t>
  </si>
  <si>
    <t>POLYGON Z ((219308.15000000002 6617260.73 0.08, 219306.95 6617258.7 0.08, 219309.55 6617257.19 0.08, 219310.69 6617259.22 0.08, 219308.15000000002 6617260.73 0.08))</t>
  </si>
  <si>
    <t>['FV35 S12D1 m1760']</t>
  </si>
  <si>
    <t>LINESTRING Z (218986.49 6617374.33 0.08, 218985.22999999998 6617372.47 0.08, 218987.79 6617370.84 0.08, 218989.04 6617372.72 0.08, 218986.49 6617374.33 0.08)</t>
  </si>
  <si>
    <t>POLYGON Z ((218986.49 6617374.33 0.08, 218985.22999999998 6617372.47 0.08, 218987.79 6617370.84 0.08, 218989.04 6617372.72 0.08, 218986.49 6617374.33 0.08))</t>
  </si>
  <si>
    <t>2015-06-02</t>
  </si>
  <si>
    <t>[350]</t>
  </si>
  <si>
    <t>['RV350 S5D1 m9317']</t>
  </si>
  <si>
    <t>LINESTRING Z (232725.75 6676648.03 72.808, 232726.05 6676649.14 72.828, 232729.18 6676648.37 72.838, 232728.91 6676647.23 72.848)</t>
  </si>
  <si>
    <t>POLYGON Z ((232725.75 6676648.03 72.808, 232726.05 6676649.14 72.828, 232729.18 6676648.37 72.838, 232728.91 6676647.23 72.848, 232725.75 6676648.03 72.808))</t>
  </si>
  <si>
    <t>['FV3026 S1D1 m1055']</t>
  </si>
  <si>
    <t>LINESTRING Z (219949.08000000002 6561234.78 0.05, 219950.90000000002 6561233.85 0.05, 219948.65000000002 6561229.41 0.05, 219946.89 6561230.3 0.05, 219949.08000000002 6561234.78 0.05)</t>
  </si>
  <si>
    <t>POLYGON Z ((219949.08000000002 6561234.78 0.05, 219950.90000000002 6561233.85 0.05, 219948.65000000002 6561229.41 0.05, 219946.89 6561230.3 0.05, 219949.08000000002 6561234.78 0.05))</t>
  </si>
  <si>
    <t>['FV3026 S1D1 m1045']</t>
  </si>
  <si>
    <t>LINESTRING Z (219962.91 6561239.14 0.05, 219964.83000000002 6561238.21 0.05, 219962.62 6561233.81 0.05, 219960.76 6561234.62 0.05, 219962.91 6561239.14 0.05)</t>
  </si>
  <si>
    <t>POLYGON Z ((219962.91 6561239.14 0.05, 219964.83000000002 6561238.21 0.05, 219962.62 6561233.81 0.05, 219960.76 6561234.62 0.05, 219962.91 6561239.14 0.05))</t>
  </si>
  <si>
    <t>['FV3054 S1D1 m2497']</t>
  </si>
  <si>
    <t>LINESTRING Z (224026.3 6564675.61 0.05, 224025.89 6564673.75 0.05, 224030.83000000002 6564672.72 0.05, 224031.16 6564674.58 0.05, 224026.3 6564675.61 0.05)</t>
  </si>
  <si>
    <t>POLYGON Z ((224026.3 6564675.61 0.05, 224025.89 6564673.75 0.05, 224030.83000000002 6564672.72 0.05, 224031.16 6564674.58 0.05, 224026.3 6564675.61 0.05))</t>
  </si>
  <si>
    <t>['FV3054 S1D1 m2503']</t>
  </si>
  <si>
    <t>LINESTRING Z (224023.09 6564689.09 0.05, 224027.93 6564687.97 0.05, 224027.52000000002 6564686.22 0.05, 224022.66 6564687.29 0.05, 224023.09 6564689.09 0.05)</t>
  </si>
  <si>
    <t>POLYGON Z ((224023.09 6564689.09 0.05, 224027.93 6564687.97 0.05, 224027.52000000002 6564686.22 0.05, 224022.66 6564687.29 0.05, 224023.09 6564689.09 0.05))</t>
  </si>
  <si>
    <t>['FV319 S5D1 m679']</t>
  </si>
  <si>
    <t>LINESTRING Z (233039.66 6612084.07 23.73, 233041.05 6612081.26 23.75, 233042.66 6612082.04 23.89, 233041.19 6612084.82 23.81, 233039.66 6612084.07 23.73)</t>
  </si>
  <si>
    <t>['FV319 S5D1 m1309']</t>
  </si>
  <si>
    <t>LINESTRING Z (232740.43 6612668.53 5.5, 232738.1 6612670.35 5.5, 232739.08000000002 6612671.53 5.5, 232741.39 6612669.71 5.51, 232740.43 6612668.53 5.5)</t>
  </si>
  <si>
    <t>['FV319 S5D1 m1295']</t>
  </si>
  <si>
    <t>LINESTRING Z (232736.76 6612647.52 5.64, 232735.71000000002 6612646.37 5.65, 232737.85 6612644.33 5.65, 232738.91 6612645.5 5.67, 232736.76 6612647.52 5.64)</t>
  </si>
  <si>
    <t>['FV3054 S1D1 m1084']</t>
  </si>
  <si>
    <t>LINESTRING Z (225332.68 6564415.16 0.05, 225333.90000000002 6564413.65 0.05, 225331.13 6564411.4 0.05, 225329.95 6564412.87 0.05, 225332.68 6564415.16 0.05)</t>
  </si>
  <si>
    <t>POLYGON Z ((225332.68 6564415.16 0.05, 225333.90000000002 6564413.65 0.05, 225331.13 6564411.4 0.05, 225329.95 6564412.87 0.05, 225332.68 6564415.16 0.05))</t>
  </si>
  <si>
    <t>['FV3054 S1D1 m1093']</t>
  </si>
  <si>
    <t>LINESTRING Z (225335.29 6564400.34 0.05, 225336.44 6564398.9 0.05, 225332.56 6564395.79 0.05, 225331.41999999998 6564397.28 0.05, 225335.29 6564400.34 0.05)</t>
  </si>
  <si>
    <t>POLYGON Z ((225335.29 6564400.34 0.05, 225336.44 6564398.9 0.05, 225332.56 6564395.79 0.05, 225331.41999999998 6564397.28 0.05, 225335.29 6564400.34 0.05))</t>
  </si>
  <si>
    <t>['FV319 S4D1 m2802']</t>
  </si>
  <si>
    <t>LINESTRING Z (236672.56 6608727.54 0.11, 236676.55 6608726.08 0.11, 236675.64 6608723.68 0.11, 236671.69 6608725.23 0.11, 236672.56 6608727.54 0.11)</t>
  </si>
  <si>
    <t>POLYGON Z ((236672.56 6608727.54 0.11, 236676.55 6608726.08 0.11, 236675.64 6608723.68 0.11, 236671.69 6608725.23 0.11, 236672.56 6608727.54 0.11))</t>
  </si>
  <si>
    <t>['FV3054 S1D1 m642']</t>
  </si>
  <si>
    <t>LINESTRING Z (225625.19 6564740.13 0.06, 225625.89 6564738.41 0.06, 225621.24 6564736.55 0.06, 225620.58000000002 6564738.29 0.06, 225625.19 6564740.13 0.06)</t>
  </si>
  <si>
    <t>POLYGON Z ((225625.19 6564740.13 0.06, 225625.89 6564738.41 0.06, 225621.24 6564736.55 0.06, 225620.58000000002 6564738.29 0.06, 225625.19 6564740.13 0.06))</t>
  </si>
  <si>
    <t>['FV3054 S1D1 m656']</t>
  </si>
  <si>
    <t>LINESTRING Z (225612.93 6564735.1 0.06, 225613.64 6564733.39 0.06, 225608.96000000002 6564731.53 0.06, 225608.26 6564733.24 0.06, 225612.93 6564735.1 0.06)</t>
  </si>
  <si>
    <t>POLYGON Z ((225612.93 6564735.1 0.06, 225613.64 6564733.39 0.06, 225608.96000000002 6564731.53 0.06, 225608.26 6564733.24 0.06, 225612.93 6564735.1 0.06))</t>
  </si>
  <si>
    <t>['FV308 S6D1 m1046']</t>
  </si>
  <si>
    <t>LINESTRING Z (236693 6567656.36 0.08, 236693.44 6567654.43 0.08, 236688.7 6567653.32 0.08, 236688.25 6567655.24 0.08, 236693 6567656.36 0.08)</t>
  </si>
  <si>
    <t>POLYGON Z ((236693 6567656.36 0.08, 236693.44 6567654.43 0.08, 236688.7 6567653.32 0.08, 236688.25 6567655.24 0.08, 236693 6567656.36 0.08))</t>
  </si>
  <si>
    <t>['FV308 S6D1 m1039']</t>
  </si>
  <si>
    <t>LINESTRING Z (236677.91 6567673.14 0.08, 236678.45 6567671.28 0.08, 236683.18 6567672.62 0.08, 236683.99 6567672.75 0.08, 236687.86000000002 6567673.84 0.08, 236687.13 6567676.35 0.08, 236683.25 6567675.23 0.08, 236683.93 6567672.85 0.08, 236683.16 6567672.73 0.08, 236682.67 6567674.46 0.08, 236677.91 6567673.14 0.08)</t>
  </si>
  <si>
    <t>POLYGON Z ((236677.91 6567673.14 0.08, 236678.45 6567671.28 0.08, 236683.18 6567672.62 0.08, 236683.99 6567672.75 0.08, 236687.86000000002 6567673.84 0.08, 236687.13 6567676.35 0.08, 236683.25 6567675.23 0.08, 236683.93 6567672.85 0.08, 236683.16 6567672.73 0.08, 236682.67 6567674.46 0.08, 236677.91 6567673.14 0.08))</t>
  </si>
  <si>
    <t>['FV3098 S2D1 m3463']</t>
  </si>
  <si>
    <t>LINESTRING Z (236957.79 6575411.83 0.08, 236959.51 6575411.27 0.08, 236957.9 6575406.43 0.08, 236956.14 6575406.99 0.08, 236957.79 6575411.83 0.08)</t>
  </si>
  <si>
    <t>POLYGON Z ((236957.79 6575411.83 0.08, 236959.51 6575411.27 0.08, 236957.9 6575406.43 0.08, 236956.14 6575406.99 0.08, 236957.79 6575411.83 0.08))</t>
  </si>
  <si>
    <t>['FV3100 S1D1 m843']</t>
  </si>
  <si>
    <t>LINESTRING Z (237270.5 6575934.01 0.08, 237270.56 6575932.15 0.08, 237275.54 6575932.25 0.08, 237275.44 6575934.07 0.08, 237270.5 6575934.01 0.08)</t>
  </si>
  <si>
    <t>POLYGON Z ((237270.5 6575934.01 0.08, 237270.56 6575932.15 0.08, 237275.54 6575932.25 0.08, 237275.44 6575934.07 0.08, 237270.5 6575934.01 0.08))</t>
  </si>
  <si>
    <t>['FV300 S1D1 m4643']</t>
  </si>
  <si>
    <t>LINESTRING Z (236176.63 6580603.29 0.08, 236176.88 6580601.25 0.08, 236171.81 6580600.75 0.08, 236171.65 6580602.73 0.08, 236176.63 6580603.29 0.08)</t>
  </si>
  <si>
    <t>['FV300 S1D1 m4696']</t>
  </si>
  <si>
    <t>LINESTRING Z (236122.2 6580573.22 0.08, 236122.23 6580571.87 0.08, 236127.25 6580572.04 0.08, 236127.21 6580573.34 0.08, 236122.2 6580573.22 0.08)</t>
  </si>
  <si>
    <t>['FV35 S1D1 m3577']</t>
  </si>
  <si>
    <t>LINESTRING Z (234992.12 6582302.19 0.08, 234990.18 6582301.63 0.08, 234991.5 6582296.79 0.08, 234993.51 6582297.35 0.08, 234992.12 6582302.19 0.08)</t>
  </si>
  <si>
    <t>POLYGON Z ((234992.12 6582302.19 0.08, 234990.18 6582301.63 0.08, 234991.5 6582296.79 0.08, 234993.51 6582297.35 0.08, 234992.12 6582302.19 0.08))</t>
  </si>
  <si>
    <t>['FV35 S1D1 m3545']</t>
  </si>
  <si>
    <t>LINESTRING Z (235021.7 6582277.38 0.08, 235023.62 6582277.92 0.08, 235024.99 6582273.09 0.08, 235023.02000000002 6582272.55 0.08, 235021.7 6582277.38 0.08)</t>
  </si>
  <si>
    <t>POLYGON Z ((235021.7 6582277.38 0.08, 235023.62 6582277.92 0.08, 235024.99 6582273.09 0.08, 235023.02000000002 6582272.55 0.08, 235021.7 6582277.38 0.08))</t>
  </si>
  <si>
    <t>2015-07-28</t>
  </si>
  <si>
    <t>2025-11-22T09:11:10Z</t>
  </si>
  <si>
    <t>[1417]</t>
  </si>
  <si>
    <t>['KV1417 S1D1 m15']</t>
  </si>
  <si>
    <t>LINESTRING Z (90314.25 7000845.41 7.747, 90312.7 7000846.28 7.697, 90315.32 7000850.37 7.637, 90316.6 7000849.52 7.637)</t>
  </si>
  <si>
    <t>POLYGON Z ((90314.25 7000845.41 7.747, 90312.7 7000846.28 7.697, 90315.32 7000850.37 7.637, 90316.6 7000849.52 7.637, 90314.25 7000845.41 7.747))</t>
  </si>
  <si>
    <t>[664]</t>
  </si>
  <si>
    <t>['FV664 S3D1 m7033']</t>
  </si>
  <si>
    <t>LINESTRING Z (90779.98 7000676.34 12.108, 90780.37 7000677.93 12.108, 90777.52 7000678.78 12.168, 90776.98 7000677.15 12.098)</t>
  </si>
  <si>
    <t>POLYGON Z ((90779.98 7000676.34 12.108, 90780.37 7000677.93 12.108, 90777.52 7000678.78 12.168, 90776.98 7000677.15 12.098, 90779.98 7000676.34 12.108))</t>
  </si>
  <si>
    <t>['FV3076 S1D1 m1216']</t>
  </si>
  <si>
    <t>LINESTRING Z (237665.29 6561005.86 0.08, 237667.02 6561005.46 0.08, 237667.73 6561008.5 0.08, 237666.13 6561008.81 0.08, 237665.29 6561005.86 0.08)</t>
  </si>
  <si>
    <t>POLYGON Z ((237665.29 6561005.86 0.08, 237667.02 6561005.46 0.08, 237667.73 6561008.5 0.08, 237666.13 6561008.81 0.08, 237665.29 6561005.86 0.08))</t>
  </si>
  <si>
    <t>['FV315 S3D1 m759']</t>
  </si>
  <si>
    <t>LINESTRING Z (230941.2 6605781.26 0.1, 230939.77000000002 6605782.56 0.1, 230935.66 6605778.18 0.1, 230937.13 6605776.92 0.1, 230941.2 6605781.26 0.1)</t>
  </si>
  <si>
    <t>POLYGON Z ((230941.2 6605781.26 0.1, 230939.77000000002 6605782.56 0.1, 230935.66 6605778.18 0.1, 230937.13 6605776.92 0.1, 230941.2 6605781.26 0.1))</t>
  </si>
  <si>
    <t>['FV32 S2D1 m2693']</t>
  </si>
  <si>
    <t>LINESTRING Z (221946.71000000002 6607089.71 0.09, 221948.24 6607088.72 0.09, 221946.07 6607085.59 0.09, 221944.58000000002 6607086.61 0.09, 221946.71000000002 6607089.71 0.09)</t>
  </si>
  <si>
    <t>POLYGON Z ((221946.71000000002 6607089.71 0.09, 221948.24 6607088.72 0.09, 221946.07 6607085.59 0.09, 221944.58000000002 6607086.61 0.09, 221946.71000000002 6607089.71 0.09))</t>
  </si>
  <si>
    <t>['FV309 S2D1 m2813']</t>
  </si>
  <si>
    <t>LINESTRING Z (239658.64 6572330.75 0.08, 239660.27 6572330.07 0.08, 239658.26 6572325.31 0.08, 239656.65 6572326.06 0.08, 239658.64 6572330.75 0.08)</t>
  </si>
  <si>
    <t>POLYGON Z ((239658.64 6572330.75 0.08, 239660.27 6572330.07 0.08, 239658.26 6572325.31 0.08, 239656.65 6572326.06 0.08, 239658.64 6572330.75 0.08))</t>
  </si>
  <si>
    <t>['FV309 S2D1 m1423']</t>
  </si>
  <si>
    <t>LINESTRING Z (239979.36000000002 6573627.33 0.08, 239978.27 6573625.82 0.08, 239982.44 6573622.93 0.08, 239983.48 6573624.4 0.08, 239979.36000000002 6573627.33 0.08)</t>
  </si>
  <si>
    <t>POLYGON Z ((239979.36000000002 6573627.33 0.08, 239978.27 6573625.82 0.08, 239982.44 6573622.93 0.08, 239983.48 6573624.4 0.08, 239979.36000000002 6573627.33 0.08))</t>
  </si>
  <si>
    <t>['FV309 S2D1 m1144']</t>
  </si>
  <si>
    <t>LINESTRING Z (239831.11000000002 6573849.91 0.08, 239832.5 6573846.61 0.08, 239833.94 6573847.16 0.08, 239832.54 6573850.33 0.08, 239831.11000000002 6573849.91 0.08)</t>
  </si>
  <si>
    <t>POLYGON Z ((239831.11000000002 6573849.91 0.08, 239832.5 6573846.61 0.08, 239833.94 6573847.16 0.08, 239832.54 6573850.33 0.08, 239831.11000000002 6573849.91 0.08))</t>
  </si>
  <si>
    <t>['FV309 S2D1 m746']</t>
  </si>
  <si>
    <t>LINESTRING Z (239729 6574231.95 0.08, 239727.24 6574231.14 0.08, 239729.33000000002 6574226.61 0.08, 239731.03 6574227.46 0.08, 239729 6574231.95 0.08)</t>
  </si>
  <si>
    <t>POLYGON Z ((239729 6574231.95 0.08, 239727.24 6574231.14 0.08, 239729.33000000002 6574226.61 0.08, 239731.03 6574227.46 0.08, 239729 6574231.95 0.08))</t>
  </si>
  <si>
    <t>['FV309 S2D1 m469']</t>
  </si>
  <si>
    <t>LINESTRING Z (239617.34 6574485.58 0.08, 239615.7 6574484.83 0.08, 239617.79 6574480.31 0.08, 239619.45 6574481.05 0.08, 239617.34 6574485.58 0.08)</t>
  </si>
  <si>
    <t>POLYGON Z ((239617.34 6574485.58 0.08, 239615.7 6574484.83 0.08, 239617.79 6574480.31 0.08, 239619.45 6574481.05 0.08, 239617.34 6574485.58 0.08))</t>
  </si>
  <si>
    <t>['FV309 S1D1 m2618']</t>
  </si>
  <si>
    <t>LINESTRING Z (239414.17 6574942.19 0.08, 239416.36000000002 6574943.24 0.08, 239414.66 6574946.97 0.08, 239412.39 6574945.97 0.08, 239414.17 6574942.19 0.08)</t>
  </si>
  <si>
    <t>POLYGON Z ((239414.17 6574942.19 0.08, 239416.36000000002 6574943.24 0.08, 239414.66 6574946.97 0.08, 239412.39 6574945.97 0.08, 239414.17 6574942.19 0.08))</t>
  </si>
  <si>
    <t>['FV309 S1D1 m2247']</t>
  </si>
  <si>
    <t>LINESTRING Z (239262.24 6575292.56 0.08, 239264.59 6575287.78 0.08, 239262.9 6575287 0.08, 239260.58000000002 6575291.75 0.08, 239262.24 6575292.56 0.08)</t>
  </si>
  <si>
    <t>POLYGON Z ((239262.24 6575292.56 0.08, 239264.59 6575287.78 0.08, 239262.9 6575287 0.08, 239260.58000000002 6575291.75 0.08, 239262.24 6575292.56 0.08))</t>
  </si>
  <si>
    <t>['FV309 S1D1 m2008']</t>
  </si>
  <si>
    <t>LINESTRING Z (239149.91 6575505.94 0.08, 239148.13 6575505.26 0.08, 239150.04 6575500.36 0.08, 239151.83000000002 6575501.06 0.08, 239149.91 6575505.94 0.08)</t>
  </si>
  <si>
    <t>POLYGON Z ((239149.91 6575505.94 0.08, 239148.13 6575505.26 0.08, 239150.04 6575500.36 0.08, 239151.83000000002 6575501.06 0.08, 239149.91 6575505.94 0.08))</t>
  </si>
  <si>
    <t>['FV309 S1D1 m1587']</t>
  </si>
  <si>
    <t>LINESTRING Z (239125.79 6575928.01 0.08, 239127.98 6575928.03 0.08, 239128.08000000002 6575922.8 0.08, 239125.91 6575922.76 0.08, 239125.79 6575928.01 0.08)</t>
  </si>
  <si>
    <t>POLYGON Z ((239125.79 6575928.01 0.08, 239127.98 6575928.03 0.08, 239128.08000000002 6575922.8 0.08, 239125.91 6575922.76 0.08, 239125.79 6575928.01 0.08))</t>
  </si>
  <si>
    <t>['FV309 S1D1 m1122']</t>
  </si>
  <si>
    <t>LINESTRING Z (239069.03 6576385.37 0.08, 239067.15 6576384.87 0.08, 239068.53 6576379.83 0.08, 239070.43 6576380.35 0.08, 239069.03 6576385.37 0.08)</t>
  </si>
  <si>
    <t>POLYGON Z ((239069.03 6576385.37 0.08, 239067.15 6576384.87 0.08, 239068.53 6576379.83 0.08, 239070.43 6576380.35 0.08, 239069.03 6576385.37 0.08))</t>
  </si>
  <si>
    <t>['FV309 S1D1 m929']</t>
  </si>
  <si>
    <t>LINESTRING Z (238998.31 6576566.76 0.08, 238996.7 6576566.01 0.08, 238998.79 6576561.48 0.08, 239000.38 6576562.23 0.08, 238998.31 6576566.76 0.08)</t>
  </si>
  <si>
    <t>POLYGON Z ((238998.31 6576566.76 0.08, 238996.7 6576566.01 0.08, 238998.79 6576561.48 0.08, 239000.38 6576562.23 0.08, 238998.31 6576566.76 0.08))</t>
  </si>
  <si>
    <t>2025-08-05</t>
  </si>
  <si>
    <t>[3300]</t>
  </si>
  <si>
    <t>['FV3300 S2D1 m124']</t>
  </si>
  <si>
    <t>LINESTRING Z (189450.771617026 6574110.657987043 88.5, 189451.23197721888 6574112.287017326 88.508, 189453.93580304057 6574109.8399097435 88.492, 189454.24496307643 6574111.51486369 88.49)</t>
  </si>
  <si>
    <t>[3124]</t>
  </si>
  <si>
    <t>['FV3124 S1D1 m2338']</t>
  </si>
  <si>
    <t>LINESTRING Z (240741.71 6577009.31 0.09, 240741.49 6577005.12 0.09, 240741.12 6577004.77 0.09, 240740.91 6577001.11 0.09, 240742.75 6577000.96 0.09, 240743.04 6577004.62 0.09, 240741.32 6577004.77 0.09, 240741.63 6577005.14 0.09, 240743.97 6577004.99 0.09, 240744.24 6577009.11 0.09, 240741.71 6577009.31 0.09)</t>
  </si>
  <si>
    <t>POLYGON Z ((240741.71 6577009.31 0.09, 240741.49 6577005.12 0.09, 240741.12 6577004.77 0.09, 240740.91 6577001.11 0.09, 240742.75 6577000.96 0.09, 240743.04 6577004.62 0.09, 240741.32 6577004.77 0.09, 240741.63 6577005.14 0.09, 240743.97 6577004.99 0.09, 240744.24 6577009.11 0.09, 240741.71 6577009.31 0.09))</t>
  </si>
  <si>
    <t>2018-06-28</t>
  </si>
  <si>
    <t>[494]</t>
  </si>
  <si>
    <t>['FV494 S1D1 m1284']</t>
  </si>
  <si>
    <t>LINESTRING Z (92904.53 6466044.92 -0.079, 92904.88 6466047.69 22.801, 92906.17 6466047.49 22.691, 92905.72 6466044.52 22.691, 92904.44 6466044.71 22.801, 92904.88 6466047.69 22.801)</t>
  </si>
  <si>
    <t>2025-11-22T09:11:21Z</t>
  </si>
  <si>
    <t>['FV303 S6D1 m1471']</t>
  </si>
  <si>
    <t>LINESTRING Z (234554.5 6575796.49 0.08, 234556.01 6575795.35 0.08, 234554.36 6575792.97 0.08, 234552.75 6575794.11 0.08, 234554.5 6575796.49 0.08)</t>
  </si>
  <si>
    <t>POLYGON Z ((234554.5 6575796.49 0.08, 234556.01 6575795.35 0.08, 234554.36 6575792.97 0.08, 234552.75 6575794.11 0.08, 234554.5 6575796.49 0.08))</t>
  </si>
  <si>
    <t>['FV3126 S1D1 m1847']</t>
  </si>
  <si>
    <t>LINESTRING Z (241106.39 6577773.09 0.09, 241110.09 6577769.81 0.09, 241108.8 6577768.3 0.09, 241105.08000000002 6577771.65 0.09, 241106.39 6577773.09 0.09)</t>
  </si>
  <si>
    <t>POLYGON Z ((241106.39 6577773.09 0.09, 241110.09 6577769.81 0.09, 241108.8 6577768.3 0.09, 241105.08000000002 6577771.65 0.09, 241106.39 6577773.09 0.09))</t>
  </si>
  <si>
    <t>['FV3126 S1D1 m1903']</t>
  </si>
  <si>
    <t>LINESTRING Z (241136.23 6577723.55 0.09, 241135.04 6577722.14 0.09, 241138.86000000002 6577718.94 0.09, 241140.16 6577720.4 0.09, 241136.23 6577723.55 0.09)</t>
  </si>
  <si>
    <t>POLYGON Z ((241136.23 6577723.55 0.09, 241135.04 6577722.14 0.09, 241138.86000000002 6577718.94 0.09, 241140.16 6577720.4 0.09, 241136.23 6577723.55 0.09))</t>
  </si>
  <si>
    <t>['FV308 S7D1 m3204']</t>
  </si>
  <si>
    <t>LINESTRING Z (236860.95 6558310.84 0.08, 236862.69 6558310.04 0.08, 236861.08000000002 6558306.79 0.08, 236859.36000000002 6558307.58 0.08, 236860.95 6558310.84 0.08)</t>
  </si>
  <si>
    <t>POLYGON Z ((236860.95 6558310.84 0.08, 236862.69 6558310.04 0.08, 236861.08000000002 6558306.79 0.08, 236859.36000000002 6558307.58 0.08, 236860.95 6558310.84 0.08))</t>
  </si>
  <si>
    <t>['FV308 S7D1 m3764']</t>
  </si>
  <si>
    <t>LINESTRING Z (236673.68 6557801.83 0.08, 236675.62 6557801.87 0.08, 236675.72 6557798.15 0.08, 236673.76 6557798.15 0.08, 236673.68 6557801.83 0.08)</t>
  </si>
  <si>
    <t>POLYGON Z ((236673.68 6557801.83 0.08, 236675.62 6557801.87 0.08, 236675.72 6557798.15 0.08, 236673.76 6557798.15 0.08, 236673.68 6557801.83 0.08))</t>
  </si>
  <si>
    <t>['FV308 S7D1 m4094']</t>
  </si>
  <si>
    <t>LINESTRING Z (236664.44 6557476.1 0.08, 236666.17 6557475.19 0.08, 236664.39 6557471.84 0.08, 236662.68 6557472.75 0.08, 236664.44 6557476.1 0.08)</t>
  </si>
  <si>
    <t>POLYGON Z ((236664.44 6557476.1 0.08, 236666.17 6557475.19 0.08, 236664.39 6557471.84 0.08, 236662.68 6557472.75 0.08, 236664.44 6557476.1 0.08))</t>
  </si>
  <si>
    <t>['FV308 S7D1 m4588']</t>
  </si>
  <si>
    <t>LINESTRING Z (236607.8 6557000.49 0.08, 236609.82 6557000.45 0.08, 236609.82 6556996.69 0.08, 236607.8 6556996.71 0.08, 236607.8 6557000.49 0.08)</t>
  </si>
  <si>
    <t>POLYGON Z ((236607.8 6557000.49 0.08, 236609.82 6557000.45 0.08, 236609.82 6556996.69 0.08, 236607.8 6556996.71 0.08, 236607.8 6557000.49 0.08))</t>
  </si>
  <si>
    <t>['FV308 S7D1 m5291']</t>
  </si>
  <si>
    <t>LINESTRING Z (236762.48 6556333.06 0.08, 236760.62 6556332.44 0.08, 236761.77 6556328.84 0.08, 236763.7 6556329.5 0.08, 236762.48 6556333.06 0.08)</t>
  </si>
  <si>
    <t>POLYGON Z ((236762.48 6556333.06 0.08, 236760.62 6556332.44 0.08, 236761.77 6556328.84 0.08, 236763.7 6556329.5 0.08, 236762.48 6556333.06 0.08))</t>
  </si>
  <si>
    <t>['FV308 S7D1 m5692']</t>
  </si>
  <si>
    <t>LINESTRING Z (236690.46 6555967.08 0.08, 236691.2 6555965.39 0.08, 236687.77 6555963.92 0.08, 236687.03 6555965.62 0.08, 236690.46 6555967.08 0.08)</t>
  </si>
  <si>
    <t>POLYGON Z ((236690.46 6555967.08 0.08, 236691.2 6555965.39 0.08, 236687.77 6555963.92 0.08, 236687.03 6555965.62 0.08, 236690.46 6555967.08 0.08))</t>
  </si>
  <si>
    <t>['FV308 S4D1 m387']</t>
  </si>
  <si>
    <t>LINESTRING Z (238587.13 6576989.03 30.69, 238585.15 6576989.36 30.69, 238586.11000000002 6576994.3 30.69, 238588.07 6576993.92 30.69, 238587.13 6576989.03 30.69)</t>
  </si>
  <si>
    <t>['FV308 S4D1 m778']</t>
  </si>
  <si>
    <t>LINESTRING Z (238460.59 6576627.01 0.08, 238462.45 6576626.2 0.08, 238460.98 6576622.75 0.08, 238459.12 6576623.54 0.08, 238460.59 6576627.01 0.08)</t>
  </si>
  <si>
    <t>POLYGON Z ((238460.59 6576627.01 0.08, 238462.45 6576626.2 0.08, 238460.98 6576622.75 0.08, 238459.12 6576623.54 0.08, 238460.59 6576627.01 0.08))</t>
  </si>
  <si>
    <t>['FV308 S4D1 m841']</t>
  </si>
  <si>
    <t>LINESTRING Z (238453.23 6576560.12 0.08, 238455.09 6576559.33 0.08, 238453.11000000002 6576554.77 0.08, 238451.25 6576555.57 0.08, 238453.23 6576560.12 0.08)</t>
  </si>
  <si>
    <t>POLYGON Z ((238453.23 6576560.12 0.08, 238455.09 6576559.33 0.08, 238453.11000000002 6576554.77 0.08, 238451.25 6576555.57 0.08, 238453.23 6576560.12 0.08))</t>
  </si>
  <si>
    <t>['FV308 S4D1 m1118']</t>
  </si>
  <si>
    <t>LINESTRING Z (238334.5 6576304.9 0.08, 238336.48 6576304.65 0.08, 238335.94 6576300.97 0.08, 238333.98 6576301.26 0.08, 238334.5 6576304.9 0.08)</t>
  </si>
  <si>
    <t>POLYGON Z ((238334.5 6576304.9 0.08, 238336.48 6576304.65 0.08, 238335.94 6576300.97 0.08, 238333.98 6576301.26 0.08, 238334.5 6576304.9 0.08))</t>
  </si>
  <si>
    <t>['FV308 S4D1 m1110']</t>
  </si>
  <si>
    <t>LINESTRING Z (238360.21 6576316.56 0.08, 238362.22 6576316.21 0.08, 238361.27 6576311.25 0.08, 238359.32 6576311.64 0.08, 238360.21 6576316.56 0.08)</t>
  </si>
  <si>
    <t>POLYGON Z ((238360.21 6576316.56 0.08, 238362.22 6576316.21 0.08, 238361.27 6576311.25 0.08, 238359.32 6576311.64 0.08, 238360.21 6576316.56 0.08))</t>
  </si>
  <si>
    <t>LINESTRING Z (238169.03 6576099.29 0.08, 238169.94 6576097.55 0.08, 238165.49 6576095.24 0.08, 238164.56 6576096.97 0.08, 238169.03 6576099.29 0.08)</t>
  </si>
  <si>
    <t>POLYGON Z ((238169.03 6576099.29 0.08, 238169.94 6576097.55 0.08, 238165.49 6576095.24 0.08, 238164.56 6576096.97 0.08, 238169.03 6576099.29 0.08))</t>
  </si>
  <si>
    <t>['FV308 S4D1 m1391']</t>
  </si>
  <si>
    <t>LINESTRING Z (238208.45 6576089.37 0.08, 238209.38 6576087.53 0.08, 238204.77 6576085.28 0.08, 238203.9 6576087.16 0.08, 238208.45 6576089.37 0.08)</t>
  </si>
  <si>
    <t>POLYGON Z ((238208.45 6576089.37 0.08, 238209.38 6576087.53 0.08, 238204.77 6576085.28 0.08, 238203.9 6576087.16 0.08, 238208.45 6576089.37 0.08))</t>
  </si>
  <si>
    <t>['FV3204 S1D1 m623']</t>
  </si>
  <si>
    <t>LINESTRING Z (242564.24 6593399.56 0.1, 242565.96 6593398.8 0.1, 242564.02 6593394.27 0.1, 242562.28 6593395.01 0.1, 242564.24 6593399.56 0.1)</t>
  </si>
  <si>
    <t>['KV4150 S2D1 m773']</t>
  </si>
  <si>
    <t>LINESTRING Z (243481.56 6594520.8 0.1, 243483.24 6594520.18 0.1, 243481.5 6594515.46 0.1, 243479.87 6594516.04 0.1, 243481.56 6594520.8 0.1)</t>
  </si>
  <si>
    <t>POLYGON Z ((243481.56 6594520.8 0.1, 243483.24 6594520.18 0.1, 243481.5 6594515.46 0.1, 243479.87 6594516.04 0.1, 243481.56 6594520.8 0.1))</t>
  </si>
  <si>
    <t>2024-07-05</t>
  </si>
  <si>
    <t>['FV310 S3D1 m572']</t>
  </si>
  <si>
    <t>LINESTRING Z (242841.37 6596027.77 0.1, 242845.92 6596026.03 0.1, 242845.3 6596024.34 0.1, 242840.73 6596026.11 0.1, 242841.37 6596027.77 0.1)</t>
  </si>
  <si>
    <t>POLYGON Z ((242841.37 6596027.77 0.1, 242845.92 6596026.03 0.1, 242845.3 6596024.34 0.1, 242840.73 6596026.11 0.1, 242841.37 6596027.77 0.1))</t>
  </si>
  <si>
    <t>['FV310 S2D1 m2402']</t>
  </si>
  <si>
    <t>LINESTRING Z (242309.64 6596374.17 0.1, 242308.18 6596372.74 0.1, 242310.76 6596370.03 0.1, 242312.25 6596371.5 0.1, 242309.64 6596374.17 0.1)</t>
  </si>
  <si>
    <t>POLYGON Z ((242309.64 6596374.17 0.1, 242308.18 6596372.74 0.1, 242310.76 6596370.03 0.1, 242312.25 6596371.5 0.1, 242309.64 6596374.17 0.1))</t>
  </si>
  <si>
    <t>['FV310 S1D1 m5565']</t>
  </si>
  <si>
    <t>LINESTRING Z (241121.95 6598139.06 0.1, 241118.17 6598138.17 0.1, 241118.6 6598136.4 0.1, 241122.36000000002 6598137.33 0.1, 241121.95 6598139.06 0.1)</t>
  </si>
  <si>
    <t>POLYGON Z ((241121.95 6598139.06 0.1, 241118.17 6598138.17 0.1, 241118.6 6598136.4 0.1, 241122.36000000002 6598137.33 0.1, 241121.95 6598139.06 0.1))</t>
  </si>
  <si>
    <t>['FV308 S6D1 m2113']</t>
  </si>
  <si>
    <t>LINESTRING Z (236558.73 6566855.62 0.08, 236560.36000000002 6566855.25 0.08, 236559.62 6566852 0.08, 236557.92 6566852.33 0.08, 236558.73 6566855.62 0.08)</t>
  </si>
  <si>
    <t>POLYGON Z ((236558.73 6566855.62 0.08, 236560.36000000002 6566855.25 0.08, 236559.62 6566852 0.08, 236557.92 6566852.33 0.08, 236558.73 6566855.62 0.08))</t>
  </si>
  <si>
    <t>['FV256 S7D1 m5131']</t>
  </si>
  <si>
    <t>LINESTRING Z (233491.93 6579980.26 0.08, 233494.04 6579979.52 0.08, 233492.86 6579976 0.08, 233490.79 6579976.75 0.08, 233491.93 6579980.26 0.08)</t>
  </si>
  <si>
    <t>POLYGON Z ((233491.93 6579980.26 0.08, 233494.04 6579979.52 0.08, 233492.86 6579976 0.08, 233490.79 6579976.75 0.08, 233491.93 6579980.26 0.08))</t>
  </si>
  <si>
    <t>['FV256 S7D1 m5149']</t>
  </si>
  <si>
    <t>LINESTRING Z (233523 6579990.24 0.08, 233525.09 6579989.75 0.08, 233523.91 6579986.15 0.08, 233521.90000000002 6579986.65 0.08, 233523 6579990.24 0.08)</t>
  </si>
  <si>
    <t>POLYGON Z ((233523 6579990.24 0.08, 233525.09 6579989.75 0.08, 233523.91 6579986.15 0.08, 233521.90000000002 6579986.65 0.08, 233523 6579990.24 0.08))</t>
  </si>
  <si>
    <t>['FV256 S7D1 m5618']</t>
  </si>
  <si>
    <t>LINESTRING Z (233788.95 6580366.04 0.08, 233790.95 6580365.33 0.08, 233789.34 6580361.78 0.08, 233787.44 6580362.36 0.08, 233788.95 6580366.04 0.08)</t>
  </si>
  <si>
    <t>POLYGON Z ((233788.95 6580366.04 0.08, 233790.95 6580365.33 0.08, 233789.34 6580361.78 0.08, 233787.44 6580362.36 0.08, 233788.95 6580366.04 0.08))</t>
  </si>
  <si>
    <t>['FV308 S6D1 m3719']</t>
  </si>
  <si>
    <t>LINESTRING Z (236428.25 6565282.77 0.08, 236430.24 6565282.77 0.08, 236430.22 6565279.05 0.08, 236428.27 6565279.07 0.08, 236428.25 6565282.77 0.08)</t>
  </si>
  <si>
    <t>POLYGON Z ((236428.25 6565282.77 0.08, 236430.24 6565282.77 0.08, 236430.22 6565279.05 0.08, 236428.27 6565279.07 0.08, 236428.25 6565282.77 0.08))</t>
  </si>
  <si>
    <t>['FV3076 S1D1 m1467']</t>
  </si>
  <si>
    <t>LINESTRING Z (237670.27 6560766.18 0.08, 237671.92 6560766.26 0.08, 237672.05 6560763.76 0.08, 237670.35 6560763.7 0.08, 237670.27 6560766.18 0.08)</t>
  </si>
  <si>
    <t>POLYGON Z ((237670.27 6560766.18 0.08, 237671.92 6560766.26 0.08, 237672.05 6560763.76 0.08, 237670.35 6560763.7 0.08, 237670.27 6560766.18 0.08))</t>
  </si>
  <si>
    <t>['FV3080 S1D1 m786']</t>
  </si>
  <si>
    <t>LINESTRING Z (236559.22 6562513.12 0.08, 236561.15 6562512.54 0.08, 236559.59 6562507.66 0.08, 236557.73 6562508.26 0.08, 236559.22 6562513.12 0.08)</t>
  </si>
  <si>
    <t>POLYGON Z ((236559.22 6562513.12 0.08, 236561.15 6562512.54 0.08, 236559.59 6562507.66 0.08, 236557.73 6562508.26 0.08, 236559.22 6562513.12 0.08))</t>
  </si>
  <si>
    <t>2025-11-05</t>
  </si>
  <si>
    <t>[1398]</t>
  </si>
  <si>
    <t>['FV1398 S1D1 m779']</t>
  </si>
  <si>
    <t>LINESTRING Z (252728.359985352 6629809.40997315 48.798, 252727.189941406 6629807.96002197 48.818, 252729.689941406 6629805.92999268 48.728, 252730.859985352 6629807.34002686 48.788)</t>
  </si>
  <si>
    <t>['FV308 S4D1 m1704']</t>
  </si>
  <si>
    <t>LINESTRING Z (238064.29 6575840.39 0.08, 238067.1 6575841.3 0.08, 238069.34 6575834.6 0.08, 238065.78 6575833.53 0.08, 238064.29 6575840.39 0.08)</t>
  </si>
  <si>
    <t>POLYGON Z ((238064.29 6575840.39 0.08, 238067.1 6575841.3 0.08, 238069.34 6575834.6 0.08, 238065.78 6575833.53 0.08, 238064.29 6575840.39 0.08))</t>
  </si>
  <si>
    <t>['FV308 S4D1 m1718']</t>
  </si>
  <si>
    <t>LINESTRING Z (238092.84 6575834.15 0.08, 238090.94 6575833.53 0.08, 238092.49 6575828.71 0.08, 238094.39 6575829.41 0.08, 238092.84 6575834.15 0.08)</t>
  </si>
  <si>
    <t>POLYGON Z ((238092.84 6575834.15 0.08, 238090.94 6575833.53 0.08, 238092.49 6575828.71 0.08, 238094.39 6575829.41 0.08, 238092.84 6575834.15 0.08))</t>
  </si>
  <si>
    <t>['FV308 S4D1 m2140']</t>
  </si>
  <si>
    <t>LINESTRING Z (238129.67 6575415.13 0.08, 238131.33000000002 6575415.11 0.08, 238131.18 6575410.38 0.08, 238129.49 6575410.42 0.08, 238129.67 6575415.13 0.08)</t>
  </si>
  <si>
    <t>POLYGON Z ((238129.67 6575415.13 0.08, 238131.33000000002 6575415.11 0.08, 238131.18 6575410.38 0.08, 238129.49 6575410.42 0.08, 238129.67 6575415.13 0.08))</t>
  </si>
  <si>
    <t>['FV308 S4D1 m2586']</t>
  </si>
  <si>
    <t>LINESTRING Z (238139.95 6574974.46 0.08, 238141.85 6574978.22 0.08, 238140.94 6574978.72 0.08, 238138.87 6574974.91 0.08, 238139.95 6574974.46 0.08)</t>
  </si>
  <si>
    <t>POLYGON Z ((238139.95 6574974.46 0.08, 238141.85 6574978.22 0.08, 238140.94 6574978.72 0.08, 238138.87 6574974.91 0.08, 238139.95 6574974.46 0.08))</t>
  </si>
  <si>
    <t>['FV308 S5D1 m218']</t>
  </si>
  <si>
    <t>LINESTRING Z (237959.66 6574058.38 0.08, 237961.48 6574057.49 0.08, 237959.26 6574052.92 0.08, 237957.47 6574053.83 0.08, 237959.66 6574058.38 0.08)</t>
  </si>
  <si>
    <t>POLYGON Z ((237959.66 6574058.38 0.08, 237961.48 6574057.49 0.08, 237959.26 6574052.92 0.08, 237957.47 6574053.83 0.08, 237959.66 6574058.38 0.08))</t>
  </si>
  <si>
    <t>['FV308 S5D1 m3666']</t>
  </si>
  <si>
    <t>LINESTRING Z (237667.5 6570835.7 0.08, 237669.03 6570834.92 0.08, 237667.19 6570831.49 0.08, 237665.56 6570832.36 0.08, 237667.5 6570835.7 0.08)</t>
  </si>
  <si>
    <t>POLYGON Z ((237667.5 6570835.7 0.08, 237669.03 6570834.92 0.08, 237667.19 6570831.49 0.08, 237665.56 6570832.36 0.08, 237667.5 6570835.7 0.08))</t>
  </si>
  <si>
    <t>['FV308 S3D1 m3023']</t>
  </si>
  <si>
    <t>LINESTRING Z (238684.2 6577510.72 0.09, 238686.13 6577510.51 0.09, 238685.55 6577505.59 0.09, 238683.62 6577505.82 0.09, 238684.2 6577510.72 0.09)</t>
  </si>
  <si>
    <t>POLYGON Z ((238684.2 6577510.72 0.09, 238686.13 6577510.51 0.09, 238685.55 6577505.59 0.09, 238683.62 6577505.82 0.09, 238684.2 6577510.72 0.09))</t>
  </si>
  <si>
    <t>['FV325 S2D1 m4702']</t>
  </si>
  <si>
    <t>LINESTRING Z (239700.87 6585921.92 0.09, 239702.35 6585921.32 0.09, 239701.34 6585918.7 0.09, 239699.79 6585919.34 0.09, 239700.87 6585921.92 0.09)</t>
  </si>
  <si>
    <t>POLYGON Z ((239700.87 6585921.92 0.09, 239702.35 6585921.32 0.09, 239701.34 6585918.7 0.09, 239699.79 6585919.34 0.09, 239700.87 6585921.92 0.09))</t>
  </si>
  <si>
    <t>['FV3098 S1D1 m297']</t>
  </si>
  <si>
    <t>LINESTRING Z (238461.87 6578068.39 0.08, 238462.7 6578067.13 0.08, 238458.27 6578064.22 0.08, 238457.49 6578065.48 0.08, 238461.87 6578068.39 0.08)</t>
  </si>
  <si>
    <t>POLYGON Z ((238461.87 6578068.39 0.08, 238462.7 6578067.13 0.08, 238458.27 6578064.22 0.08, 238457.49 6578065.48 0.08, 238461.87 6578068.39 0.08))</t>
  </si>
  <si>
    <t>['FV3098 S1D1 m1053']</t>
  </si>
  <si>
    <t>LINESTRING Z (238069.4 6578392.74 0.08, 238068.88 6578391.89 0.08, 238071.32 6578390.38 0.08, 238071.84 6578391.27 0.08, 238069.4 6578392.74 0.08)</t>
  </si>
  <si>
    <t>POLYGON Z ((238069.4 6578392.74 0.08, 238068.88 6578391.89 0.08, 238071.32 6578390.38 0.08, 238071.84 6578391.27 0.08, 238069.4 6578392.74 0.08))</t>
  </si>
  <si>
    <t>['FV325 S2D1 m4764']</t>
  </si>
  <si>
    <t>LINESTRING Z (239745.49 6585976.72 0.09, 239744.5 6585972.24 0.09, 239747.35 6585971.62 0.09, 239748.53 6585976.41 0.09, 239745.49 6585976.72 0.09)</t>
  </si>
  <si>
    <t>POLYGON Z ((239745.49 6585976.72 0.09, 239744.5 6585972.24 0.09, 239747.35 6585971.62 0.09, 239748.53 6585976.41 0.09, 239745.49 6585976.72 0.09))</t>
  </si>
  <si>
    <t>[3194]</t>
  </si>
  <si>
    <t>['FV3194 S1D1 m358']</t>
  </si>
  <si>
    <t>LINESTRING Z (242215.53 6596055.11 0.1, 242213.61000000002 6596055.03 0.1, 242213.71 6596051.6 0.1, 242215.67 6596051.68 0.1, 242215.53 6596055.11 0.1)</t>
  </si>
  <si>
    <t>POLYGON Z ((242215.53 6596055.11 0.1, 242213.61000000002 6596055.03 0.1, 242213.71 6596051.6 0.1, 242215.67 6596051.68 0.1, 242215.53 6596055.11 0.1))</t>
  </si>
  <si>
    <t>['FV311 S3D1 m2049']</t>
  </si>
  <si>
    <t>LINESTRING (242256.63 6581431.13, 242255.62 6581432.81, 242253 6581431.26, 242254.27 6581429.31, 242256.69 6581431.06)</t>
  </si>
  <si>
    <t>[3148]</t>
  </si>
  <si>
    <t>['FV3148 S1D1 m158']</t>
  </si>
  <si>
    <t>LINESTRING Z (241615.54 6580100.75 0.09, 241613.85 6580101.91 0.09, 241616.23 6580105.36 0.09, 241617.82 6580104.24 0.09, 241615.54 6580100.75 0.09)</t>
  </si>
  <si>
    <t>POLYGON Z ((241615.54 6580100.75 0.09, 241613.85 6580101.91 0.09, 241616.23 6580105.36 0.09, 241617.82 6580104.24 0.09, 241615.54 6580100.75 0.09))</t>
  </si>
  <si>
    <t>['FV301 S2D1 m1499']</t>
  </si>
  <si>
    <t>LINESTRING Z (214880.01 6551495.24 0.04, 214877.94 6551494.81 0.04, 214878.85 6551491.13 0.04, 214880.81 6551491.56 0.04, 214880.01 6551495.24 0.04)</t>
  </si>
  <si>
    <t>POLYGON Z ((214880.01 6551495.24 0.04, 214877.94 6551494.81 0.04, 214878.85 6551491.13 0.04, 214880.81 6551491.56 0.04, 214880.01 6551495.24 0.04))</t>
  </si>
  <si>
    <t>[2525]</t>
  </si>
  <si>
    <t>['KV2525 S1D1 m761 SD1 m45']</t>
  </si>
  <si>
    <t>LINESTRING Z (240543.59 6569277.26 0.08, 240544.39 6569274.8 0.08, 240541.38 6569273.83 0.08, 240540.57 6569276.21 0.08, 240543.59 6569277.26 0.08)</t>
  </si>
  <si>
    <t>POLYGON Z ((240543.59 6569277.26 0.08, 240544.39 6569274.8 0.08, 240541.38 6569273.83 0.08, 240540.57 6569276.21 0.08, 240543.59 6569277.26 0.08))</t>
  </si>
  <si>
    <t>['FV311 S4D1 m2625']</t>
  </si>
  <si>
    <t>LINESTRING Z (243813.68 6584312.06 0.09, 243815.21 6584311.83 0.09, 243814.53 6584307.61 0.09, 243813.06 6584307.82 0.09, 243813.68 6584312.06 0.09)</t>
  </si>
  <si>
    <t>POLYGON Z ((243813.68 6584312.06 0.09, 243815.21 6584311.83 0.09, 243814.53 6584307.61 0.09, 243813.06 6584307.82 0.09, 243813.68 6584312.06 0.09))</t>
  </si>
  <si>
    <t>['FV3128 S1D1 m3059']</t>
  </si>
  <si>
    <t>LINESTRING Z (243177.91 6577832.58 0.09, 243177.13 6577830.45 0.09, 243181.12 6577828.92 0.09, 243181.72 6577831.09 0.09, 243177.91 6577832.58 0.09)</t>
  </si>
  <si>
    <t>POLYGON Z ((243177.91 6577832.58 0.09, 243177.13 6577830.45 0.09, 243181.12 6577828.92 0.09, 243181.72 6577831.09 0.09, 243177.91 6577832.58 0.09))</t>
  </si>
  <si>
    <t>['FV311 S5D1 m1976']</t>
  </si>
  <si>
    <t>LINESTRING Z (241608.29 6587935.43 0.1, 241611.27 6587934.52 0.1, 241610.58000000002 6587932.62 0.1, 241607.73 6587933.53 0.1, 241608.29 6587935.43 0.1)</t>
  </si>
  <si>
    <t>POLYGON Z ((241608.29 6587935.43 0.1, 241611.27 6587934.52 0.1, 241610.58000000002 6587932.62 0.1, 241607.73 6587933.53 0.1, 241608.29 6587935.43 0.1))</t>
  </si>
  <si>
    <t>['FV311 S5D1 m2350']</t>
  </si>
  <si>
    <t>LINESTRING Z (241241.03 6588007.36 0.1, 241244.2 6588006.6 0.1, 241243.7 6588004.61 0.1, 241240.54 6588005.4 0.1, 241241.03 6588007.36 0.1)</t>
  </si>
  <si>
    <t>POLYGON Z ((241241.03 6588007.36 0.1, 241244.2 6588006.6 0.1, 241243.7 6588004.61 0.1, 241240.54 6588005.4 0.1, 241241.03 6588007.36 0.1))</t>
  </si>
  <si>
    <t>['FV311 S5D1 m2689 SD1 m92']</t>
  </si>
  <si>
    <t>LINESTRING Z (240926.96 6588069.73 0.1, 240928.54 6588064 0.1, 240926.7 6588063.48 0.1, 240925.08000000002 6588069.23 0.1, 240926.96 6588069.73 0.1)</t>
  </si>
  <si>
    <t>POLYGON Z ((240926.96 6588069.73 0.1, 240928.54 6588064 0.1, 240926.7 6588063.48 0.1, 240925.08000000002 6588069.23 0.1, 240926.96 6588069.73 0.1))</t>
  </si>
  <si>
    <t>['FV303 S2D1 m4520']</t>
  </si>
  <si>
    <t>LINESTRING Z (225948.70536906627 6560129.607934633 0.06, 225947.3585383994 6560124.866253047 0.06, 225949.21500992263 6560124.375330952 0.06, 225950.56662933377 6560129.18371412 0.06, 225948.70536906627 6560129.607934633 0.06)</t>
  </si>
  <si>
    <t>POLYGON Z ((225948.70536906627 6560129.607934633 0.06, 225947.3585383994 6560124.866253047 0.06, 225949.21500992263 6560124.375330952 0.06, 225950.56662933377 6560129.18371412 0.06, 225948.70536906627 6560129.607934633 0.06))</t>
  </si>
  <si>
    <t>2024-02-14</t>
  </si>
  <si>
    <t>['FV303 S2D1 m4420']</t>
  </si>
  <si>
    <t>LINESTRING Z (225892.01 6560011.99 0.06, 225893.79 6560011.54 0.06, 225892.54 6560006.82 0.06, 225890.77000000002 6560007.28 0.06, 225892.01 6560011.99 0.06)</t>
  </si>
  <si>
    <t>POLYGON Z ((225892.01 6560011.99 0.06, 225893.79 6560011.54 0.06, 225892.54 6560006.82 0.06, 225890.77000000002 6560007.28 0.06, 225892.01 6560011.99 0.06))</t>
  </si>
  <si>
    <t>['FV2990 S1D1 m3408']</t>
  </si>
  <si>
    <t>LINESTRING Z (215210.1 6556898.73 0.04, 215211.27000000002 6556897.69 0.04, 215209.37 6556895.57 0.04, 215208.16999999998 6556896.66 0.04, 215210.1 6556898.73 0.04)</t>
  </si>
  <si>
    <t>POLYGON Z ((215210.1 6556898.73 0.04, 215211.27000000002 6556897.69 0.04, 215209.37 6556895.57 0.04, 215208.16999999998 6556896.66 0.04, 215210.1 6556898.73 0.04))</t>
  </si>
  <si>
    <t>['FV2990 S1D1 m3382']</t>
  </si>
  <si>
    <t>LINESTRING Z (215239.65000000002 6556906.19 0.04, 215240.89 6556905.03 0.04, 215238.89 6556902.95 0.04, 215237.66999999998 6556904 0.04, 215239.65000000002 6556906.19 0.04)</t>
  </si>
  <si>
    <t>POLYGON Z ((215239.65000000002 6556906.19 0.04, 215240.89 6556905.03 0.04, 215238.89 6556902.95 0.04, 215237.66999999998 6556904 0.04, 215239.65000000002 6556906.19 0.04))</t>
  </si>
  <si>
    <t>['FV2990 S1D1 m2945']</t>
  </si>
  <si>
    <t>LINESTRING Z (215466.14 6557280.37 0.04, 215467.51 6557279.56 0.04, 215466.08000000002 6557277.04 0.04, 215464.65000000002 6557277.79 0.04, 215466.14 6557280.37 0.04)</t>
  </si>
  <si>
    <t>POLYGON Z ((215466.14 6557280.37 0.04, 215467.51 6557279.56 0.04, 215466.08000000002 6557277.04 0.04, 215464.65000000002 6557277.79 0.04, 215466.14 6557280.37 0.04))</t>
  </si>
  <si>
    <t>['FV2990 S1D1 m2911']</t>
  </si>
  <si>
    <t>LINESTRING Z (215467.34 6557318.9 0.04, 215468.72999999998 6557318.16 0.04, 215467.32 6557315.61 0.04, 215465.85 6557316.38 0.04, 215467.34 6557318.9 0.04)</t>
  </si>
  <si>
    <t>POLYGON Z ((215467.34 6557318.9 0.04, 215468.72999999998 6557318.16 0.04, 215467.32 6557315.61 0.04, 215465.85 6557316.38 0.04, 215467.34 6557318.9 0.04))</t>
  </si>
  <si>
    <t>['FV2990 S1D1 m2433']</t>
  </si>
  <si>
    <t>LINESTRING Z (215713.51 6557728.26 0.04, 215714.91 6557727.52 0.04, 215713.49 6557724.97 0.04, 215712.1 6557725.74 0.04, 215713.51 6557728.26 0.04)</t>
  </si>
  <si>
    <t>POLYGON Z ((215713.51 6557728.26 0.04, 215714.91 6557727.52 0.04, 215713.49 6557724.97 0.04, 215712.1 6557725.74 0.04, 215713.51 6557728.26 0.04))</t>
  </si>
  <si>
    <t>['FV2990 S1D1 m2447']</t>
  </si>
  <si>
    <t>LINESTRING Z (215692.38 6557724.37 0.04, 215693.77000000002 6557723.63 0.04, 215692.34 6557721.09 0.04, 215690.94 6557721.85 0.04, 215692.38 6557724.37 0.04)</t>
  </si>
  <si>
    <t>POLYGON Z ((215692.38 6557724.37 0.04, 215693.77000000002 6557723.63 0.04, 215692.34 6557721.09 0.04, 215690.94 6557721.85 0.04, 215692.38 6557724.37 0.04))</t>
  </si>
  <si>
    <t>['FV2990 S1D1 m2140']</t>
  </si>
  <si>
    <t>LINESTRING Z (215855.54 6557984.7 0.04, 215857 6557983.98 0.04, 215855.56 6557981.43 0.04, 215854.15000000002 6557982.18 0.04, 215855.54 6557984.7 0.04)</t>
  </si>
  <si>
    <t>POLYGON Z ((215855.54 6557984.7 0.04, 215857 6557983.98 0.04, 215855.56 6557981.43 0.04, 215854.15000000002 6557982.18 0.04, 215855.54 6557984.7 0.04))</t>
  </si>
  <si>
    <t>2022-04-08</t>
  </si>
  <si>
    <t>2025-11-22T09:11:29Z</t>
  </si>
  <si>
    <t>['RV150 S2D1 m2064']</t>
  </si>
  <si>
    <t>LINESTRING Z (260135.289993286 6653080.15002442 99.159, 260136.88999939 6653078.66003418 99.159, 260139.080001831 6653080.47998047 99.319, 260140.210006714 6653081.67004395 99.319, 260138.490005493 6653083.51000977 99.319, 260135.289993286 6653080.15002442 99.159)</t>
  </si>
  <si>
    <t>POLYGON Z ((260135.289993286 6653080.15002442 99.159, 260136.88999939 6653078.66003418 99.159, 260139.080001831 6653080.47998047 99.319, 260140.210006714 6653081.67004395 99.319, 260138.490005493 6653083.51000977 99.319, 260135.289993286 6653080.15002442 99.159))</t>
  </si>
  <si>
    <t>['FV256 S7D1 m5763']</t>
  </si>
  <si>
    <t>LINESTRING Z (233829.91999999998 6580507.15 0.08, 233831.57 6580506.24 0.08, 233830.08000000002 6580503.6 0.08, 233828.41 6580504.59 0.08, 233829.91999999998 6580507.15 0.08)</t>
  </si>
  <si>
    <t>POLYGON Z ((233829.91999999998 6580507.15 0.08, 233831.57 6580506.24 0.08, 233830.08000000002 6580503.6 0.08, 233828.41 6580504.59 0.08, 233829.91999999998 6580507.15 0.08))</t>
  </si>
  <si>
    <t>2025-11-22T09:11:37Z</t>
  </si>
  <si>
    <t>['FV308 S5D1 m32']</t>
  </si>
  <si>
    <t>LINESTRING Z (238030.04 6574232.96 0.08, 238029.85 6574227.88 0.08, 238028.1 6574227.96 0.08, 238027.97 6574228.08 0.08, 238028.24 6574232.98 0.08, 238030.04 6574232.96 0.08)</t>
  </si>
  <si>
    <t>POLYGON Z ((238030.04 6574232.96 0.08, 238029.85 6574227.88 0.08, 238028.1 6574227.96 0.08, 238027.97 6574228.08 0.08, 238028.24 6574232.98 0.08, 238030.04 6574232.96 0.08))</t>
  </si>
  <si>
    <t>['FV3098 S2D1 m5216']</t>
  </si>
  <si>
    <t>LINESTRING Z (237914.49 6574287.24 0.08, 237914.2 6574285.44 0.08, 237918.77 6574284.74 0.08, 237919.08000000002 6574286.54 0.08, 237914.49 6574287.24 0.08)</t>
  </si>
  <si>
    <t>POLYGON Z ((237914.49 6574287.24 0.08, 237914.2 6574285.44 0.08, 237918.77 6574284.74 0.08, 237919.08000000002 6574286.54 0.08, 237914.49 6574287.24 0.08))</t>
  </si>
  <si>
    <t>2017-07-18</t>
  </si>
  <si>
    <t>['RV7 S11D1 m8680']</t>
  </si>
  <si>
    <t>LINESTRING Z (169606.179105632 6744888.02134196 -999999, 169604.194730632 6744888.0874878 -999999)</t>
  </si>
  <si>
    <t>2025-04-30T11:45:42Z</t>
  </si>
  <si>
    <t>['RV7 S11D1 m8704']</t>
  </si>
  <si>
    <t>LINESTRING Z (169564.937178548 6744872.44399821 -999999, 169563.151241048 6744871.25337321 -999999)</t>
  </si>
  <si>
    <t>2017-07-11</t>
  </si>
  <si>
    <t>LINESTRING Z (169562.589001465 6744870.79035238 -999999, 169560.736918132 6744869.4343628 -999999)</t>
  </si>
  <si>
    <t>['FV303 S5D1 m2883']</t>
  </si>
  <si>
    <t>LINESTRING Z (232289.36 6574308.43 0.07, 232290.41 6574307.75 0.07, 232288.63 6574305.23 0.07, 232287.6 6574305.87 0.07, 232289.36 6574308.43 0.07)</t>
  </si>
  <si>
    <t>POLYGON Z ((232289.36 6574308.43 0.07, 232290.41 6574307.75 0.07, 232288.63 6574305.23 0.07, 232287.6 6574305.87 0.07, 232289.36 6574308.43 0.07))</t>
  </si>
  <si>
    <t>[305]</t>
  </si>
  <si>
    <t>['FV305 S1D1 m459']</t>
  </si>
  <si>
    <t>LINESTRING Z (226184.72 6565073.38 0.06, 226186.83000000002 6565068.73 0.06, 226185.08000000002 6565067.92 0.06, 226182.97 6565072.61 0.06, 226184.72 6565073.38 0.06)</t>
  </si>
  <si>
    <t>POLYGON Z ((226184.72 6565073.38 0.06, 226186.83000000002 6565068.73 0.06, 226185.08000000002 6565067.92 0.06, 226182.97 6565072.61 0.06, 226184.72 6565073.38 0.06))</t>
  </si>
  <si>
    <t>['FV305 S1D1 m456']</t>
  </si>
  <si>
    <t>LINESTRING Z (226159.51 6565059.38 0.06, 226161.22 6565054.92 0.06, 226159.63 6565054.28 0.06, 226157.87 6565058.72 0.06, 226159.51 6565059.38 0.06)</t>
  </si>
  <si>
    <t>POLYGON Z ((226159.51 6565059.38 0.06, 226161.22 6565054.92 0.06, 226159.63 6565054.28 0.06, 226157.87 6565058.72 0.06, 226159.51 6565059.38 0.06))</t>
  </si>
  <si>
    <t>['FV308 S4D1 m3319']</t>
  </si>
  <si>
    <t>LINESTRING Z (237997.13 6574325.92 0.08, 237999.14 6574325.88 0.08, 237999.01 6574320.93 0.08, 237996.99 6574320.98 0.08, 237997.13 6574325.92 0.08)</t>
  </si>
  <si>
    <t>POLYGON Z ((237997.13 6574325.92 0.08, 237999.14 6574325.88 0.08, 237999.01 6574320.93 0.08, 237996.99 6574320.98 0.08, 237997.13 6574325.92 0.08))</t>
  </si>
  <si>
    <t>['FV2990 S1D1 m3702']</t>
  </si>
  <si>
    <t>LINESTRING Z (215006.82 6556683.57 0.04, 215011.53 6556681.79 0.04, 215010.79 6556680.03 0.04, 215006.12 6556681.87 0.04, 215006.82 6556683.57 0.04)</t>
  </si>
  <si>
    <t>POLYGON Z ((215006.82 6556683.57 0.04, 215011.53 6556681.79 0.04, 215010.79 6556680.03 0.04, 215006.12 6556681.87 0.04, 215006.82 6556683.57 0.04))</t>
  </si>
  <si>
    <t>['FV325 S1D1 m927']</t>
  </si>
  <si>
    <t>LINESTRING Z (238494.53 6579091.65 0.08, 238495.58000000002 6579090.49 0.08, 238490.13 6579085.61 0.08, 238489.09 6579086.77 0.08, 238494.53 6579091.65 0.08)</t>
  </si>
  <si>
    <t>POLYGON Z ((238494.53 6579091.65 0.08, 238495.58000000002 6579090.49 0.08, 238490.13 6579085.61 0.08, 238489.09 6579086.77 0.08, 238494.53 6579091.65 0.08))</t>
  </si>
  <si>
    <t>['FV310 S1D1 m50']</t>
  </si>
  <si>
    <t>LINESTRING Z (237278.77 6596342.87 0.1, 237279.22 6596340.76 0.1, 237283.02 6596341.79 0.1, 237282.53 6596343.66 0.1, 237278.77 6596342.87 0.1)</t>
  </si>
  <si>
    <t>POLYGON Z ((237278.77 6596342.87 0.1, 237279.22 6596340.76 0.1, 237283.02 6596341.79 0.1, 237282.53 6596343.66 0.1, 237278.77 6596342.87 0.1))</t>
  </si>
  <si>
    <t>['FV315 S1D1 m309']</t>
  </si>
  <si>
    <t>LINESTRING Z (234685 6604268.02 0.1, 234683.47 6604267.45 0.1, 234686.91999999998 6604262.92 0.1, 234688.90000000002 6604263.97 0.1, 234685 6604268.02 0.1)</t>
  </si>
  <si>
    <t>POLYGON Z ((234685 6604268.02 0.1, 234683.47 6604267.45 0.1, 234686.91999999998 6604262.92 0.1, 234688.90000000002 6604263.97 0.1, 234685 6604268.02 0.1))</t>
  </si>
  <si>
    <t>['FV315 S1D1 m308']</t>
  </si>
  <si>
    <t>LINESTRING Z (234680.28 6604266.08 0.1, 234678.72999999998 6604265.34 0.1, 234681.55 6604260.6 0.1, 234683.55 6604261.68 0.1, 234680.28 6604266.08 0.1)</t>
  </si>
  <si>
    <t>POLYGON Z ((234680.28 6604266.08 0.1, 234678.72999999998 6604265.34 0.1, 234681.55 6604260.6 0.1, 234683.55 6604261.68 0.1, 234680.28 6604266.08 0.1))</t>
  </si>
  <si>
    <t>['FV315 S1D1 m306']</t>
  </si>
  <si>
    <t>LINESTRING Z (234675.55 6604263.85 0.1, 234674.12 6604263.42 0.1, 234676.44 6604258.29 0.1, 234678.24 6604259.36 0.1, 234675.55 6604263.85 0.1)</t>
  </si>
  <si>
    <t>POLYGON Z ((234675.55 6604263.85 0.1, 234674.12 6604263.42 0.1, 234676.44 6604258.29 0.1, 234678.24 6604259.36 0.1, 234675.55 6604263.85 0.1))</t>
  </si>
  <si>
    <t>['FV315 S1D1 m305']</t>
  </si>
  <si>
    <t>LINESTRING Z (234669.56 6604261.37 0.1, 234671.40000000002 6604261.86 0.1, 234672.91 6604256.57 0.1, 234671.09 6604256.06 0.1, 234669.56 6604261.37 0.1)</t>
  </si>
  <si>
    <t>POLYGON Z ((234669.56 6604261.37 0.1, 234671.40000000002 6604261.86 0.1, 234672.91 6604256.57 0.1, 234671.09 6604256.06 0.1, 234669.56 6604261.37 0.1))</t>
  </si>
  <si>
    <t>['FV315 S1D1 m365']</t>
  </si>
  <si>
    <t>LINESTRING Z (234664.84 6604259.2 0.1, 234666.22999999998 6604259.72 0.1, 234667.41 6604255.23 0.1, 234665.65000000002 6604254.46 0.1, 234664.84 6604259.2 0.1)</t>
  </si>
  <si>
    <t>POLYGON Z ((234664.84 6604259.2 0.1, 234666.22999999998 6604259.72 0.1, 234667.41 6604255.23 0.1, 234665.65000000002 6604254.46 0.1, 234664.84 6604259.2 0.1))</t>
  </si>
  <si>
    <t>['FV315 S1D1 m384']</t>
  </si>
  <si>
    <t>LINESTRING Z (234660.11 6604257.07 0.1, 234661.47 6604257.61 0.1, 234662.14 6604251.94 0.1, 234660.19 6604251.12 0.1, 234660.11 6604257.07 0.1)</t>
  </si>
  <si>
    <t>POLYGON Z ((234660.11 6604257.07 0.1, 234661.47 6604257.61 0.1, 234662.14 6604251.94 0.1, 234660.19 6604251.12 0.1, 234660.11 6604257.07 0.1))</t>
  </si>
  <si>
    <t>['FV3098 S2D1 m2691']</t>
  </si>
  <si>
    <t>LINESTRING Z (237019.45 6576176.06 0.08, 237021.42 6576176.06 0.08, 237021.4 6576172.3 0.08, 237019.45 6576172.28 0.08, 237019.45 6576176.06 0.08)</t>
  </si>
  <si>
    <t>POLYGON Z ((237019.45 6576176.06 0.08, 237021.42 6576176.06 0.08, 237021.4 6576172.3 0.08, 237019.45 6576172.28 0.08, 237019.45 6576176.06 0.08))</t>
  </si>
  <si>
    <t>2025-11-22T09:11:44Z</t>
  </si>
  <si>
    <t>[3062]</t>
  </si>
  <si>
    <t>['FV3062 S1D1 m2674']</t>
  </si>
  <si>
    <t>LINESTRING Z (229732.71000000002 6563482.32 0.06, 229736.25 6563483.17 0.06, 229736.66 6563481.33 0.06, 229733.08000000002 6563480.5 0.06, 229732.71000000002 6563482.32 0.06)</t>
  </si>
  <si>
    <t>POLYGON Z ((229732.71000000002 6563482.32 0.06, 229736.25 6563483.17 0.06, 229736.66 6563481.33 0.06, 229733.08000000002 6563480.5 0.06, 229732.71000000002 6563482.32 0.06))</t>
  </si>
  <si>
    <t>['FV303 S2D1 m3130']</t>
  </si>
  <si>
    <t>LINESTRING Z (225390.46000000002 6558871.14 0.06, 225389.84 6558872.75 0.06, 225387.02000000002 6558872.01 0.06, 225387.5 6558870.23 0.06, 225390.46000000002 6558871.14 0.06)</t>
  </si>
  <si>
    <t>POLYGON Z ((225390.46000000002 6558871.14 0.06, 225389.84 6558872.75 0.06, 225387.02000000002 6558872.01 0.06, 225387.5 6558870.23 0.06, 225390.46000000002 6558871.14 0.06))</t>
  </si>
  <si>
    <t>['FV3080 S1D1 m2660']</t>
  </si>
  <si>
    <t>LINESTRING Z (237198.32 6564202.88 0.08, 237196.37 6564203.21 0.08, 237195.67 6564199.53 0.08, 237197.7 6564199.24 0.08, 237198.32 6564202.88 0.08)</t>
  </si>
  <si>
    <t>POLYGON Z ((237198.32 6564202.88 0.08, 237196.37 6564203.21 0.08, 237195.67 6564199.53 0.08, 237197.7 6564199.24 0.08, 237198.32 6564202.88 0.08))</t>
  </si>
  <si>
    <t>['FV3080 S1D1 m2743']</t>
  </si>
  <si>
    <t>LINESTRING Z (237246.42 6564271.65 0.08, 237247.86000000002 6564270.59 0.08, 237245.63 6564267.55 0.08, 237244.21 6564268.65 0.08, 237246.42 6564271.65 0.08)</t>
  </si>
  <si>
    <t>POLYGON Z ((237246.42 6564271.65 0.08, 237247.86000000002 6564270.59 0.08, 237245.63 6564267.55 0.08, 237244.21 6564268.65 0.08, 237246.42 6564271.65 0.08))</t>
  </si>
  <si>
    <t>2025-11-22T09:11:50Z</t>
  </si>
  <si>
    <t>['FV40 S6D1 m6377']</t>
  </si>
  <si>
    <t>LINESTRING Z (213738.95 6595564.37 0.07, 213741.47 6595564.04 0.07, 213740.64 6595557.8 0.07, 213737.71000000002 6595558.13 0.07, 213738.95 6595564.37 0.07)</t>
  </si>
  <si>
    <t>POLYGON Z ((213738.95 6595564.37 0.07, 213741.47 6595564.04 0.07, 213740.64 6595557.8 0.07, 213737.71000000002 6595558.13 0.07, 213738.95 6595564.37 0.07))</t>
  </si>
  <si>
    <t>['FV40 S6D1 m6374']</t>
  </si>
  <si>
    <t>LINESTRING Z (213760.51 6595558.52 0.07, 213757.94 6595559.14 0.07, 213757.12 6595552.9 0.07, 213759.68 6595552.71 0.07, 213760.51 6595558.52 0.07)</t>
  </si>
  <si>
    <t>POLYGON Z ((213760.51 6595558.52 0.07, 213757.94 6595559.14 0.07, 213757.12 6595552.9 0.07, 213759.68 6595552.71 0.07, 213760.51 6595558.52 0.07))</t>
  </si>
  <si>
    <t>['FV3090 S1D1 m4565']</t>
  </si>
  <si>
    <t>LINESTRING Z (239553.55 6568989.32 0.08, 239555.41 6568989.49 0.08, 239555.86000000002 6568984.63 0.08, 239554 6568984.51 0.08, 239553.55 6568989.32 0.08)</t>
  </si>
  <si>
    <t>POLYGON Z ((239553.55 6568989.32 0.08, 239555.41 6568989.49 0.08, 239555.86000000002 6568984.63 0.08, 239554 6568984.51 0.08, 239553.55 6568989.32 0.08))</t>
  </si>
  <si>
    <t>['FV325 S2D1 m2626']</t>
  </si>
  <si>
    <t>LINESTRING Z (238501.27 6584298.6 0.09, 238501.31 6584292.77 0.09, 238498.25 6584292.69 0.09, 238498.25 6584298.72 0.09, 238501.27 6584298.6 0.09)</t>
  </si>
  <si>
    <t>POLYGON Z ((238501.27 6584298.6 0.09, 238501.31 6584292.77 0.09, 238498.25 6584292.69 0.09, 238498.25 6584298.72 0.09, 238501.27 6584298.6 0.09))</t>
  </si>
  <si>
    <t>['FV325 S2D1 m2701']</t>
  </si>
  <si>
    <t>LINESTRING Z (238523.8 6584372.43 0.09, 238525.62 6584372.27 0.09, 238525.16 6584367.72 0.09, 238523.3 6584367.89 0.09, 238523.8 6584372.43 0.09)</t>
  </si>
  <si>
    <t>POLYGON Z ((238523.8 6584372.43 0.09, 238525.62 6584372.27 0.09, 238525.16 6584367.72 0.09, 238523.3 6584367.89 0.09, 238523.8 6584372.43 0.09))</t>
  </si>
  <si>
    <t>['FV325 S2D1 m3036']</t>
  </si>
  <si>
    <t>LINESTRING Z (238613.41 6584688.72 0.09, 238611.28 6584689.42 0.09, 238613.1 6584693.74 0.09, 238615.29 6584692.93 0.09, 238613.41 6584688.72 0.09)</t>
  </si>
  <si>
    <t>POLYGON Z ((238613.41 6584688.72 0.09, 238611.28 6584689.42 0.09, 238613.1 6584693.74 0.09, 238615.29 6584692.93 0.09, 238613.41 6584688.72 0.09))</t>
  </si>
  <si>
    <t>['FV311 S3D1 m2695']</t>
  </si>
  <si>
    <t>LINESTRING Z (242883.52 6581677.92 0.09, 242884.2 6581676.06 0.09, 242881.21 6581674.94 0.09, 242880.52 6581676.7 0.09, 242883.52 6581677.92 0.09)</t>
  </si>
  <si>
    <t>POLYGON Z ((242883.52 6581677.92 0.09, 242884.2 6581676.06 0.09, 242881.21 6581674.94 0.09, 242880.52 6581676.7 0.09, 242883.52 6581677.92 0.09))</t>
  </si>
  <si>
    <t>['FV311 S3D1 m2758']</t>
  </si>
  <si>
    <t>LINESTRING Z (242956.76 6581683.35 0.09, 242957.4 6581681.76 0.09, 242954.44 6581680.56 0.09, 242953.78 6581682.09 0.09, 242956.76 6581683.35 0.09)</t>
  </si>
  <si>
    <t>POLYGON Z ((242956.76 6581683.35 0.09, 242957.4 6581681.76 0.09, 242954.44 6581680.56 0.09, 242953.78 6581682.09 0.09, 242956.76 6581683.35 0.09))</t>
  </si>
  <si>
    <t>['FV308 S6D1 m7954']</t>
  </si>
  <si>
    <t>LINESTRING Z (236525.3 6561387.58 0.08, 236524.66 6561386.15 0.08, 236528.98 6561384.27 0.08, 236529.56 6561385.7 0.08, 236525.3 6561387.58 0.08)</t>
  </si>
  <si>
    <t>POLYGON Z ((236525.3 6561387.58 0.08, 236524.66 6561386.15 0.08, 236528.98 6561384.27 0.08, 236529.56 6561385.7 0.08, 236525.3 6561387.58 0.08))</t>
  </si>
  <si>
    <t>['FV3080 S1D1 m1026']</t>
  </si>
  <si>
    <t>LINESTRING Z (236690.42 6562689.21 0.08, 236691.23 6562687.7 0.08, 236687.19 6562685.69 0.08, 236686.39 6562687.16 0.08, 236690.42 6562689.21 0.08)</t>
  </si>
  <si>
    <t>POLYGON Z ((236690.42 6562689.21 0.08, 236691.23 6562687.7 0.08, 236687.19 6562685.69 0.08, 236686.39 6562687.16 0.08, 236690.42 6562689.21 0.08))</t>
  </si>
  <si>
    <t>['FV313 S2D1 m2552']</t>
  </si>
  <si>
    <t>LINESTRING Z (230232.36 6613634.54 0.1, 230233.93 6613630.45 0.1, 230231.08000000002 6613629.37 0.1, 230229.59 6613634.17 0.1, 230232.36 6613634.54 0.1)</t>
  </si>
  <si>
    <t>POLYGON Z ((230232.36 6613634.54 0.1, 230233.93 6613630.45 0.1, 230231.08000000002 6613629.37 0.1, 230229.59 6613634.17 0.1, 230232.36 6613634.54 0.1))</t>
  </si>
  <si>
    <t>['FV308 S2D1 m1057']</t>
  </si>
  <si>
    <t>LINESTRING Z (237878.63 6580656.75 0.09, 237876.95 6580656.19 0.09, 237878.36000000002 6580652.2 0.09, 237880.05 6580652.84 0.09, 237878.63 6580656.75 0.09)</t>
  </si>
  <si>
    <t>POLYGON Z ((237878.63 6580656.75 0.09, 237876.95 6580656.19 0.09, 237878.36000000002 6580652.2 0.09, 237880.05 6580652.84 0.09, 237878.63 6580656.75 0.09))</t>
  </si>
  <si>
    <t>['FV308 S2D1 m933']</t>
  </si>
  <si>
    <t>LINESTRING Z (237845.7 6580806.36 0.09, 237843.98 6580805.66 0.09, 237845.56 6580801.83 0.09, 237847.27 6580802.58 0.09, 237845.7 6580806.36 0.09)</t>
  </si>
  <si>
    <t>POLYGON Z ((237845.7 6580806.36 0.09, 237843.98 6580805.66 0.09, 237845.56 6580801.83 0.09, 237847.27 6580802.58 0.09, 237845.7 6580806.36 0.09))</t>
  </si>
  <si>
    <t>['FV301 S2D1 m138']</t>
  </si>
  <si>
    <t>LINESTRING Z (214107.44 6552591.26 0.04, 214110.22999999998 6552588.29 0.04, 214111.93 6552589.9 0.04, 214109.39 6552592.85 0.04, 214107.44 6552591.26 0.04)</t>
  </si>
  <si>
    <t>POLYGON Z ((214107.44 6552591.26 0.04, 214110.22999999998 6552588.29 0.04, 214111.93 6552589.9 0.04, 214109.39 6552592.85 0.04, 214107.44 6552591.26 0.04))</t>
  </si>
  <si>
    <t>['FV301 S2D1 m178']</t>
  </si>
  <si>
    <t>LINESTRING Z (214118.32 6552541.73 0.04, 214119.8 6552538.74 0.04, 214117.78 6552537.7 0.04, 214116.35 6552540.78 0.04, 214118.32 6552541.73 0.04)</t>
  </si>
  <si>
    <t>POLYGON Z ((214118.32 6552541.73 0.04, 214119.8 6552538.74 0.04, 214117.78 6552537.7 0.04, 214116.35 6552540.78 0.04, 214118.32 6552541.73 0.04))</t>
  </si>
  <si>
    <t>['FV301 S1D1 m3650']</t>
  </si>
  <si>
    <t>LINESTRING Z (213988.32 6553090.97 0.04, 213987.24 6553085.76 0.04, 213989.97 6553085.27 0.04, 213991.13 6553090.39 0.04, 213988.32 6553090.97 0.04)</t>
  </si>
  <si>
    <t>POLYGON Z ((213988.32 6553090.97 0.04, 213987.24 6553085.76 0.04, 213989.97 6553085.27 0.04, 213991.13 6553090.39 0.04, 213988.32 6553090.97 0.04))</t>
  </si>
  <si>
    <t>['FV301 S1D1 m3531']</t>
  </si>
  <si>
    <t>LINESTRING Z (214009.3 6553203.81 0.04, 214011.14 6553208.11 0.04, 214008.72 6553208.88 0.04, 214006.90000000002 6553204.5 0.04, 214009.3 6553203.81 0.04)</t>
  </si>
  <si>
    <t>POLYGON Z ((214009.3 6553203.81 0.04, 214011.14 6553208.11 0.04, 214008.72 6553208.88 0.04, 214006.90000000002 6553204.5 0.04, 214009.3 6553203.81 0.04))</t>
  </si>
  <si>
    <t>['FV303 S1D1 m7479']</t>
  </si>
  <si>
    <t>LINESTRING Z (220550.47 6556424.13 0.05, 220551.91999999998 6556422.93 0.05, 220548.7 6556419.17 0.05, 220547.29 6556420.39 0.05, 220550.47 6556424.13 0.05)</t>
  </si>
  <si>
    <t>POLYGON Z ((220550.47 6556424.13 0.05, 220551.91999999998 6556422.93 0.05, 220548.7 6556419.17 0.05, 220547.29 6556420.39 0.05, 220550.47 6556424.13 0.05))</t>
  </si>
  <si>
    <t>['FV303 S1D1 m7429']</t>
  </si>
  <si>
    <t>LINESTRING Z (220501.63 6556403.69 0.05, 220503.03 6556402.51 0.05, 220499.85 6556398.71 0.05, 220498.44 6556399.91 0.05, 220501.63 6556403.69 0.05)</t>
  </si>
  <si>
    <t>POLYGON Z ((220501.63 6556403.69 0.05, 220503.03 6556402.51 0.05, 220499.85 6556398.71 0.05, 220498.44 6556399.91 0.05, 220501.63 6556403.69 0.05))</t>
  </si>
  <si>
    <t>2025-11-22T09:11:55Z</t>
  </si>
  <si>
    <t>['FV3098 S2D1 m300']</t>
  </si>
  <si>
    <t>LINESTRING Z (237422.01 6578444.6 0.08, 237423.42 6578444.39 0.08, 237422.51 6578439.31 0.08, 237420.98 6578439.51 0.08, 237422.01 6578444.6 0.08)</t>
  </si>
  <si>
    <t>POLYGON Z ((237422.01 6578444.6 0.08, 237423.42 6578444.39 0.08, 237422.51 6578439.31 0.08, 237420.98 6578439.51 0.08, 237422.01 6578444.6 0.08))</t>
  </si>
  <si>
    <t>['FV3098 S2D1 m172']</t>
  </si>
  <si>
    <t>LINESTRING Z (237478.0454185987 6578558.156444983 0.08, 237479.72583016357 6578557.313898051 0.08, 237477.26837044337 6578552.635624882 0.08, 237475.58564679592 6578553.444818005 0.08, 237478.0454185987 6578558.156444983 0.08)</t>
  </si>
  <si>
    <t>POLYGON Z ((237478.0454185987 6578558.156444983 0.08, 237479.72583016357 6578557.313898051 0.08, 237477.26837044337 6578552.635624882 0.08, 237475.58564679592 6578553.444818005 0.08, 237478.0454185987 6578558.156444983 0.08))</t>
  </si>
  <si>
    <t>['FV32 S2D10 m64 SD1 m13']</t>
  </si>
  <si>
    <t>LINESTRING Z (224284.54 6607269.32 0.09, 224286.85 6607268.98 0.09, 224286.36 6607265.95 0.09, 224284.02000000002 6607266.3 0.09, 224284.54 6607269.32 0.09)</t>
  </si>
  <si>
    <t>POLYGON Z ((224284.54 6607269.32 0.09, 224286.85 6607268.98 0.09, 224286.36 6607265.95 0.09, 224284.02000000002 6607266.3 0.09, 224284.54 6607269.32 0.09))</t>
  </si>
  <si>
    <t>[3104]</t>
  </si>
  <si>
    <t>['FV3104 S1D1 m272']</t>
  </si>
  <si>
    <t>LINESTRING Z (238899.61000000002 6579384.06 0.08, 238900.71 6579381.62 0.08, 238894.88 6579379.16 0.08, 238893.91 6579381.62 0.08, 238899.61000000002 6579384.06 0.08)</t>
  </si>
  <si>
    <t>POLYGON Z ((238899.61000000002 6579384.06 0.08, 238900.71 6579381.62 0.08, 238894.88 6579379.16 0.08, 238893.91 6579381.62 0.08, 238899.61000000002 6579384.06 0.08))</t>
  </si>
  <si>
    <t>['FV3104 S1D1 m749']</t>
  </si>
  <si>
    <t>LINESTRING Z (239337.64 6579511.78 0.08, 239336.86000000002 6579509.05 0.08, 239343.76 6579506.9 0.08, 239344.71 6579510.29 0.08, 239337.64 6579511.78 0.08)</t>
  </si>
  <si>
    <t>POLYGON Z ((239337.64 6579511.78 0.08, 239336.86000000002 6579509.05 0.08, 239343.76 6579506.9 0.08, 239344.71 6579510.29 0.08, 239337.64 6579511.78 0.08))</t>
  </si>
  <si>
    <t>['FV3104 S1D1 m331']</t>
  </si>
  <si>
    <t>LINESTRING Z (238949.04 6579428.75 0.08, 238949.88 6579427.05 0.08, 238946.1 6579425.17 0.08, 238945.23 6579426.91 0.08, 238949.04 6579428.75 0.08)</t>
  </si>
  <si>
    <t>POLYGON Z ((238949.04 6579428.75 0.08, 238949.88 6579427.05 0.08, 238946.1 6579425.17 0.08, 238945.23 6579426.91 0.08, 238949.04 6579428.75 0.08))</t>
  </si>
  <si>
    <t>['FV3104 S1D1 m815']</t>
  </si>
  <si>
    <t>LINESTRING Z (239395.48 6579476.89 0.08, 239395.02 6579474.28 0.08, 239400.27 6579472.84 0.08, 239400.81 6579475.4 0.08, 239395.48 6579476.89 0.08)</t>
  </si>
  <si>
    <t>POLYGON Z ((239395.48 6579476.89 0.08, 239395.02 6579474.28 0.08, 239400.27 6579472.84 0.08, 239400.81 6579475.4 0.08, 239395.48 6579476.89 0.08))</t>
  </si>
  <si>
    <t>2025-11-22T09:12:00Z</t>
  </si>
  <si>
    <t>['FV3124 S1D1 m337']</t>
  </si>
  <si>
    <t>LINESTRING Z (240448.96 6578819.88 5.48, 240451.09 6578819.23 5.25, 240449.67 6578814.54 5.28, 240447.54 6578815.2 5.51, 240448.96 6578819.88 5.48)</t>
  </si>
  <si>
    <t>['FV325 S3D1 m1922']</t>
  </si>
  <si>
    <t>LINESTRING Z (241221.96 6590018.36 0.09, 241223.75 6590017.93 0.09, 241222.62 6590013.11 0.09, 241220.78 6590013.57 0.09, 241221.96 6590018.36 0.09)</t>
  </si>
  <si>
    <t>POLYGON Z ((241221.96 6590018.36 0.09, 241223.75 6590017.93 0.09, 241222.62 6590013.11 0.09, 241220.78 6590013.57 0.09, 241221.96 6590018.36 0.09))</t>
  </si>
  <si>
    <t>['FV325 S3D1 m1917']</t>
  </si>
  <si>
    <t>LINESTRING Z (241220.61000000002 6590013.07 0.09, 241222.47 6590012.64 0.09, 241221.31 6590007.72 0.09, 241219.45 6590008.15 0.09, 241220.61000000002 6590013.07 0.09)</t>
  </si>
  <si>
    <t>POLYGON Z ((241220.61000000002 6590013.07 0.09, 241222.47 6590012.64 0.09, 241221.31 6590007.72 0.09, 241219.45 6590008.15 0.09, 241220.61000000002 6590013.07 0.09))</t>
  </si>
  <si>
    <t>['FV3054 S1D1 m1996']</t>
  </si>
  <si>
    <t>LINESTRING Z (224522.08000000002 6564586.73 0.05, 224526.36 6564584.41 0.05, 224525.47 6564582.8 0.05, 224521.19 6564585.16 0.05, 224522.08000000002 6564586.73 0.05)</t>
  </si>
  <si>
    <t>POLYGON Z ((224522.08000000002 6564586.73 0.05, 224526.36 6564584.41 0.05, 224525.47 6564582.8 0.05, 224521.19 6564585.16 0.05, 224522.08000000002 6564586.73 0.05))</t>
  </si>
  <si>
    <t>2025-11-22T09:12:06Z</t>
  </si>
  <si>
    <t>['FV3204 S1D1 m806']</t>
  </si>
  <si>
    <t>LINESTRING Z (242479.78 6593239.43 0.1, 242481.58000000002 6593238.8 0.1, 242479.84 6593234.17 0.1, 242478.01 6593234.84 0.1, 242479.78 6593239.43 0.1)</t>
  </si>
  <si>
    <t>POLYGON Z ((242479.78 6593239.43 0.1, 242481.58000000002 6593238.8 0.1, 242479.84 6593234.17 0.1, 242478.01 6593234.84 0.1, 242479.78 6593239.43 0.1))</t>
  </si>
  <si>
    <t>['FV311 S2D1 m755']</t>
  </si>
  <si>
    <t>LINESTRING Z (240627.86000000002 6579478.91 0.09, 240617.69 6579474.7 0.09, 240619.92 6579470.23 0.09, 240629.68 6579474.62 0.09, 240627.86000000002 6579478.91 0.09)</t>
  </si>
  <si>
    <t>POLYGON Z ((240627.86000000002 6579478.91 0.09, 240617.69 6579474.7 0.09, 240619.92 6579470.23 0.09, 240629.68 6579474.62 0.09, 240627.86000000002 6579478.91 0.09))</t>
  </si>
  <si>
    <t>['FV311 S2D1 m132']</t>
  </si>
  <si>
    <t>LINESTRING Z (240023.66 6579411.11 0.09, 240026.97 6579409.46 0.09, 240027.63 6579410.95 0.09, 240024.28 6579412.64 0.09, 240023.66 6579411.11 0.09)</t>
  </si>
  <si>
    <t>POLYGON Z ((240023.66 6579411.11 0.09, 240026.97 6579409.46 0.09, 240027.63 6579410.95 0.09, 240024.28 6579412.64 0.09, 240023.66 6579411.11 0.09))</t>
  </si>
  <si>
    <t>['FV311 S2D1 m205']</t>
  </si>
  <si>
    <t>LINESTRING Z (240078.58000000002 6579348.38 0.09, 240081.6 6579346.89 0.09, 240080.83000000002 6579345.4 0.09, 240077.86000000002 6579346.87 0.09, 240078.58000000002 6579348.38 0.09)</t>
  </si>
  <si>
    <t>POLYGON Z ((240078.58000000002 6579348.38 0.09, 240081.6 6579346.89 0.09, 240080.83000000002 6579345.4 0.09, 240077.86000000002 6579346.87 0.09, 240078.58000000002 6579348.38 0.09))</t>
  </si>
  <si>
    <t>['FV311 S2D1 m515']</t>
  </si>
  <si>
    <t>LINESTRING Z (240374.77 6579367.21 0.09, 240388.66 6579373.16 0.09, 240385.52 6579379.61 0.09, 240372.95 6579373.49 0.09, 240374.77 6579367.21 0.09)</t>
  </si>
  <si>
    <t>POLYGON Z ((240374.77 6579367.21 0.09, 240388.66 6579373.16 0.09, 240385.52 6579379.61 0.09, 240372.95 6579373.49 0.09, 240374.77 6579367.21 0.09))</t>
  </si>
  <si>
    <t>['FV308 S5D1 m2855']</t>
  </si>
  <si>
    <t>LINESTRING Z (238051.31 6571541.5 0.08, 238053.17 6571540.17 0.08, 238055.37 6571543.59 0.08, 238053.49 6571544.95 0.08, 238051.31 6571541.5 0.08)</t>
  </si>
  <si>
    <t>POLYGON Z ((238051.31 6571541.5 0.08, 238053.17 6571540.17 0.08, 238055.37 6571543.59 0.08, 238053.49 6571544.95 0.08, 238051.31 6571541.5 0.08))</t>
  </si>
  <si>
    <t>['FV308 S5D1 m4995']</t>
  </si>
  <si>
    <t>LINESTRING Z (237086.25 6569644.42 0.08, 237087.55 6569648.1 0.08, 237089.55 6569647.33 0.08, 237088.3 6569643.56 0.08, 237086.25 6569644.42 0.08)</t>
  </si>
  <si>
    <t>POLYGON Z ((237086.25 6569644.42 0.08, 237087.55 6569648.1 0.08, 237089.55 6569647.33 0.08, 237088.3 6569643.56 0.08, 237086.25 6569644.42 0.08))</t>
  </si>
  <si>
    <t>2023-03-16</t>
  </si>
  <si>
    <t>2025-11-22T09:12:14Z</t>
  </si>
  <si>
    <t>['EV39 S58D1 m11087']</t>
  </si>
  <si>
    <t>LINESTRING Z (10472.560760914988 6841553.824736363 326.576, 10473.584813549824 6841550.352031444 326.576, 10476.064869537484 6841551.028880928 326.576, 10475.062694498629 6841554.444185557 326.576, 10472.560760914988 6841553.824736363 326.576)</t>
  </si>
  <si>
    <t>POLYGON Z ((10472.560760914988 6841553.824736363 326.576, 10473.584813549824 6841550.352031444 326.576, 10476.064869537484 6841551.028880928 326.576, 10475.062694498629 6841554.444185557 326.576, 10472.560760914988 6841553.824736363 326.576))</t>
  </si>
  <si>
    <t>['EV39 S55D1 m8693']</t>
  </si>
  <si>
    <t>LINESTRING Z (31661.69879769534 6852132.213065567 209.665, 31662.455286351615 6852130.564558929 208.98000000000002, 31659.58348120982 6852129.066593127 209.739, 31658.92633282428 6852130.58107628 209.603, 31661.69879769534 6852132.213065567 209.665)</t>
  </si>
  <si>
    <t>POLYGON Z ((31661.69879769534 6852132.213065567 209.665, 31662.455286351615 6852130.564558929 208.98000000000002, 31659.58348120982 6852129.066593127 209.739, 31658.92633282428 6852130.58107628 209.603, 31661.69879769534 6852132.213065567 209.665))</t>
  </si>
  <si>
    <t>2023-05-11</t>
  </si>
  <si>
    <t>['RV9 S18D1 m1142']</t>
  </si>
  <si>
    <t>LINESTRING Z (71495.26 6592110.76 352.82, 71495.8 6592106.77 352.82, 71492.6 6592106.38 352.82, 71491.94 6592110.3 352.82, 71495.26 6592110.76 352.82)</t>
  </si>
  <si>
    <t>POLYGON Z ((71495.26 6592110.76 352.82, 71495.8 6592106.77 352.82, 71492.6 6592106.38 352.82, 71491.94 6592110.3 352.82, 71495.26 6592110.76 352.82))</t>
  </si>
  <si>
    <t>['RV9 S18D1 m2627']</t>
  </si>
  <si>
    <t>LINESTRING Z (71397.3059384643 6593554.73360619 359.58, 71400.39843347791 6593554.086080415 359.58, 71399.43477619975 6593550.463201203 359.58, 71396.52016584697 6593551.238702539 359.58, 71397.51579852827 6593554.710966892 359.58)</t>
  </si>
  <si>
    <t>LINESTRING Z (239411.72999999998 6574951.84 0.08, 239410.09 6574951.08 0.08, 239412.1 6574946.65 0.08, 239413.75 6574947.42 0.08, 239411.72999999998 6574951.84 0.08)</t>
  </si>
  <si>
    <t>POLYGON Z ((239411.72999999998 6574951.84 0.08, 239410.09 6574951.08 0.08, 239412.1 6574946.65 0.08, 239413.75 6574947.42 0.08, 239411.72999999998 6574951.84 0.08))</t>
  </si>
  <si>
    <t>['FV3124 S1D1 m2355']</t>
  </si>
  <si>
    <t>LINESTRING Z (240723.36 6576990.42 0.09, 240725.3 6576990.23 0.09, 240724.95 6576986.6 0.09, 240723.05 6576986.76 0.09, 240723.36 6576990.42 0.09)</t>
  </si>
  <si>
    <t>POLYGON Z ((240723.36 6576990.42 0.09, 240725.3 6576990.23 0.09, 240724.95 6576986.6 0.09, 240723.05 6576986.76 0.09, 240723.36 6576990.42 0.09))</t>
  </si>
  <si>
    <t>LINESTRING Z (226445.41999999998 6569121.08 0.06, 226446.97 6569120.39 0.06, 226445.46000000002 6569117.03 0.06, 226443.91 6569117.69 0.06, 226445.41999999998 6569121.08 0.06)</t>
  </si>
  <si>
    <t>POLYGON Z ((226445.41999999998 6569121.08 0.06, 226446.97 6569120.39 0.06, 226445.46000000002 6569117.03 0.06, 226443.91 6569117.69 0.06, 226445.41999999998 6569121.08 0.06))</t>
  </si>
  <si>
    <t>['FV301 S2D1 m2650']</t>
  </si>
  <si>
    <t>LINESTRING Z (215032.6 6550378.95 0.05, 215032.89 6550376.9 0.05, 215027.88 6550376.24 0.05, 215027.59 6550378.2 0.05, 215032.6 6550378.95 0.05)</t>
  </si>
  <si>
    <t>POLYGON Z ((215032.6 6550378.95 0.05, 215032.89 6550376.9 0.05, 215027.88 6550376.24 0.05, 215027.59 6550378.2 0.05, 215032.6 6550378.95 0.05))</t>
  </si>
  <si>
    <t>[3088]</t>
  </si>
  <si>
    <t>['FV3088 S1D1 m1319']</t>
  </si>
  <si>
    <t>LINESTRING Z (236638.25 6572746.27 0.08, 236638.99 6572744.59 0.08, 236634.71000000002 6572742.69 0.08, 236633.99 6572744.3 0.08, 236638.25 6572746.27 0.08)</t>
  </si>
  <si>
    <t>POLYGON Z ((236638.25 6572746.27 0.08, 236638.99 6572744.59 0.08, 236634.71000000002 6572742.69 0.08, 236633.99 6572744.3 0.08, 236638.25 6572746.27 0.08))</t>
  </si>
  <si>
    <t>['FV3160 S1D1 m2218']</t>
  </si>
  <si>
    <t>LINESTRING Z (230891.63 6575689.45 0.07, 230894.07 6575685.15 0.07, 230892.58000000002 6575684.37 0.07, 230890.14 6575688.59 0.07, 230891.63 6575689.45 0.07)</t>
  </si>
  <si>
    <t>POLYGON Z ((230891.63 6575689.45 0.07, 230894.07 6575685.15 0.07, 230892.58000000002 6575684.37 0.07, 230890.14 6575688.59 0.07, 230891.63 6575689.45 0.07))</t>
  </si>
  <si>
    <t>2023-07-25</t>
  </si>
  <si>
    <t>[1752]</t>
  </si>
  <si>
    <t>['FV1752 S1D1 m2340']</t>
  </si>
  <si>
    <t>LINESTRING (284168.6239422676 6748249.674155102, 284168.7469058392 6748250.701205638, 284175.0025230454 6748249.829415272, 284174.9002735484 6748248.847425464)</t>
  </si>
  <si>
    <t>2023-08-01</t>
  </si>
  <si>
    <t>[5356]</t>
  </si>
  <si>
    <t>['FV5356 S1D1 m2841']</t>
  </si>
  <si>
    <t>LINESTRING Z (-23556.116522509838 6736014.965527808 29.98, -23554.359622485645 6736014.905244706 29.98, -23554.23288921645 6736018.156633781 29.98, -23555.988874066912 6736018.226904058 29.98, -23556.116522509838 6736014.965527808 29.98)</t>
  </si>
  <si>
    <t>POLYGON Z ((-23556.116522509838 6736014.965527808 29.98, -23554.359622485645 6736014.905244706 29.98, -23554.23288921645 6736018.156633781 29.98, -23555.988874066912 6736018.226904058 29.98, -23556.116522509838 6736014.965527808 29.98))</t>
  </si>
  <si>
    <t>2023-09-27</t>
  </si>
  <si>
    <t>2025-11-22T09:12:18Z</t>
  </si>
  <si>
    <t>['FV17 S42D1 m14892']</t>
  </si>
  <si>
    <t>LINESTRING (413905.2773975687 7338469.662796071, 413906.6919935043 7338469.403006982, 413908.0529966736 7338469.205319134, 413907.7879897659 7338467.140886106, 413904.9617292449 7338467.561613854, 413905.25735497335 7338469.560088476)</t>
  </si>
  <si>
    <t>POLYGON ((413905.2773975687 7338469.662796071, 413906.6919935043 7338469.403006982, 413908.0529966736 7338469.205319134, 413907.7879897659 7338467.140886106, 413904.9617292449 7338467.561613854, 413905.25735497335 7338469.560088476, 413905.2773975687 7338469.662796071))</t>
  </si>
  <si>
    <t>2023-10-13</t>
  </si>
  <si>
    <t>[465]</t>
  </si>
  <si>
    <t>['FV465 S4D1 m9138']</t>
  </si>
  <si>
    <t>LINESTRING Z (29744.55 6491644.71 16.34, 29746.26 6491643.81 16.34, 29744.8 6491641.21 16.34, 29743.1 6491642.11 16.34, 29744.55 6491644.71 16.34)</t>
  </si>
  <si>
    <t>POLYGON Z ((29744.55 6491644.71 16.34, 29746.26 6491643.81 16.34, 29744.8 6491641.21 16.34, 29743.1 6491642.11 16.34, 29744.55 6491644.71 16.34))</t>
  </si>
  <si>
    <t>['FV465 S4D1 m9117']</t>
  </si>
  <si>
    <t>LINESTRING Z (29715.85 6491637.17 15.75, 29717.3 6491636.1 15.75, 29715.51 6491633.7 15.75, 29714.11 6491634.86 15.75, 29715.85 6491637.17 15.75)</t>
  </si>
  <si>
    <t>POLYGON Z ((29715.85 6491637.17 15.75, 29717.3 6491636.1 15.75, 29715.51 6491633.7 15.75, 29714.11 6491634.86 15.75, 29715.85 6491637.17 15.75))</t>
  </si>
  <si>
    <t>[155]</t>
  </si>
  <si>
    <t>['FV155 S1D1 m601']</t>
  </si>
  <si>
    <t>LINESTRING Z (270103.17515557416 6638243.252797434 142.201, 270105.9735577158 6638243.224508364 142.164)</t>
  </si>
  <si>
    <t>['RV15 S26D1 m9106']</t>
  </si>
  <si>
    <t>LINESTRING Z (-16420.06319957075 6905354.73573439 14.168, -16416.823125669267 6905354.283899193 14.05, -16417.13061012939 6905352.488003898 14.153, -16420.368868704303 6905352.916946238 14.185, -16420.0874154754 6905354.716835075 14.197)</t>
  </si>
  <si>
    <t>POLYGON Z ((-16420.06319957075 6905354.73573439 14.168, -16416.823125669267 6905354.283899193 14.05, -16417.13061012939 6905352.488003898 14.153, -16420.368868704303 6905352.916946238 14.185, -16420.0874154754 6905354.716835075 14.197, -16420.06319957075 6905354.73573439 14.168))</t>
  </si>
  <si>
    <t>2023-11-16</t>
  </si>
  <si>
    <t>['RV9 S20D1 m1608']</t>
  </si>
  <si>
    <t>LINESTRING (66112.87493118952 6604491.576763142, 66112.1485332576 6604493.81565181, 66109.01878023508 6604492.794959814, 66109.3114845641 6604491.700080285, 66109.68252591521 6604490.581981319, 66112.87274390872 6604491.557814402)</t>
  </si>
  <si>
    <t>POLYGON ((66112.87493118952 6604491.576763142, 66112.1485332576 6604493.81565181, 66109.01878023508 6604492.794959814, 66109.3114845641 6604491.700080285, 66109.68252591521 6604490.581981319, 66112.87274390872 6604491.557814402, 66112.87493118952 6604491.576763142))</t>
  </si>
  <si>
    <t>2023-11-24</t>
  </si>
  <si>
    <t>[3002]</t>
  </si>
  <si>
    <t>['FV3002 S1D1 m1217']</t>
  </si>
  <si>
    <t>LINESTRING Z (216595.57277187635 6557728.243307171 66.73, 216596.92875826277 6557729.015558912 66.73, 216598.38525034068 6557726.442166813 66.73, 216597.02926398773 6557725.669915051 66.73, 216595.57277187635 6557728.243307171 66.73)</t>
  </si>
  <si>
    <t>POLYGON Z ((216595.57277187635 6557728.243307171 66.73, 216596.92875826277 6557729.015558912 66.73, 216598.38525034068 6557726.442166813 66.73, 216597.02926398773 6557725.669915051 66.73, 216595.57277187635 6557728.243307171 66.73))</t>
  </si>
  <si>
    <t>[5452]</t>
  </si>
  <si>
    <t>['FV5452 S1D1 m1241']</t>
  </si>
  <si>
    <t>LINESTRING Z (-26203.77880803321 6753888.810336997 36.01, -26203.383973189048 6753891.795477745 36, -26204.83476175461 6753892.009202934 36, -26205.27769902139 6753889.048619573 36, -26203.77880803321 6753888.810336997 36.01)</t>
  </si>
  <si>
    <t>POLYGON Z ((-26203.77880803321 6753888.810336997 36.01, -26203.383973189048 6753891.795477745 36, -26204.83476175461 6753892.009202934 36, -26205.27769902139 6753889.048619573 36, -26203.77880803321 6753888.810336997 36.01))</t>
  </si>
  <si>
    <t>['FV5452 S1D1 m1274']</t>
  </si>
  <si>
    <t>LINESTRING Z (-26183.919391099713 6753922.156465014 35.95, -26185.403711466584 6753922.443766965 35.95, -26186.043642109027 6753919.531478266 35.95, -26184.56298825785 6753919.204227815 35.95, -26183.919391099713 6753922.156465014 35.95)</t>
  </si>
  <si>
    <t>POLYGON Z ((-26183.919391099713 6753922.156465014 35.95, -26185.403711466584 6753922.443766965 35.95, -26186.043642109027 6753919.531478266 35.95, -26184.56298825785 6753919.204227815 35.95, -26183.919391099713 6753922.156465014 35.95))</t>
  </si>
  <si>
    <t>['EV39 S59D1 m3908 SD1 m48']</t>
  </si>
  <si>
    <t>LINESTRING Z (7369.1013419536175 6836958.202602509 196.85, 7368.942105813068 6836959.782730945 196.85, 7372.0549977546325 6836960.09958722 196.85, 7372.231528662029 6836958.525900481 196.85)</t>
  </si>
  <si>
    <t>POLYGON Z ((7369.1013419536175 6836958.202602509 196.85, 7368.942105813068 6836959.782730945 196.85, 7372.0549977546325 6836960.09958722 196.85, 7372.231528662029 6836958.525900481 196.85, 7369.1013419536175 6836958.202602509 196.85))</t>
  </si>
  <si>
    <t>['EV39 S59D1 m2278 SD1 m43']</t>
  </si>
  <si>
    <t>LINESTRING Z (8471.597515384143 6837988.553354574 249.35, 8470.006218939903 6837988.588814196 249.35, 8470.04673436837 6837991.76967846 249.35, 8471.635363067151 6837991.737139747 249.35)</t>
  </si>
  <si>
    <t>POLYGON Z ((8471.597515384143 6837988.553354574 249.35, 8470.006218939903 6837988.588814196 249.35, 8470.04673436837 6837991.76967846 249.35, 8471.635363067151 6837991.737139747 249.35, 8471.597515384143 6837988.553354574 249.35))</t>
  </si>
  <si>
    <t>2024-05-14</t>
  </si>
  <si>
    <t>['FV1776 S1D50 m101']</t>
  </si>
  <si>
    <t>LINESTRING (279764.62686887546 6756618.872382577, 279774.2945603685 6756610.294087573)</t>
  </si>
  <si>
    <t>['RV426 S1D1 m9430']</t>
  </si>
  <si>
    <t>LINESTRING Z (-23100.533468997222 6515254.959297248 17.458000000000002, -23097.878950185783 6515256.922312876 17.483, -23098.942851144588 6515258.318901434 17.361, -23101.647349144274 6515256.225432459 17.569, -23100.533468997222 6515254.959297248 17.458000000000002)</t>
  </si>
  <si>
    <t>POLYGON Z ((-23100.533468997222 6515254.959297248 17.458000000000002, -23097.878950185783 6515256.922312876 17.483, -23098.942851144588 6515258.318901434 17.361, -23101.647349144274 6515256.225432459 17.569, -23100.533468997222 6515254.959297248 17.458000000000002))</t>
  </si>
  <si>
    <t>['RV426 S2D1 m59']</t>
  </si>
  <si>
    <t>LINESTRING Z (-23475.412240027916 6515213.0992172705 13.165000000000001, -23477.390506812313 6515215.662466873 13.21, -23475.930156224465 6515216.797181014 13.305, -23473.969326428196 6515214.073366306 13.22, -23475.412240027916 6515213.0992172705 13.165000000000001)</t>
  </si>
  <si>
    <t>POLYGON Z ((-23475.412240027916 6515213.0992172705 13.165000000000001, -23477.390506812313 6515215.662466873 13.21, -23475.930156224465 6515216.797181014 13.305, -23473.969326428196 6515214.073366306 13.22, -23475.412240027916 6515213.0992172705 13.165000000000001))</t>
  </si>
  <si>
    <t>['RV426 S1D1 m9699']</t>
  </si>
  <si>
    <t>LINESTRING Z (-23285.033913876396 6515057.268391197 18.178, -23284.982646448712 6515055.51761406 18.195, -23281.685357979324 6515055.57705978 18.259, -23281.749364847143 6515057.432703775 18.238, -23285.033913876396 6515057.268391197 18.178)</t>
  </si>
  <si>
    <t>POLYGON Z ((-23285.033913876396 6515057.268391197 18.178, -23284.982646448712 6515055.51761406 18.195, -23281.685357979324 6515055.57705978 18.259, -23281.749364847143 6515057.432703775 18.238, -23285.033913876396 6515057.268391197 18.178))</t>
  </si>
  <si>
    <t>['RV426 S1D1 m9913']</t>
  </si>
  <si>
    <t>LINESTRING Z (-23465.042317086132 6515140.076447018 13.642, -23465.775136897457 6515143.25394029 13.571, -23467.448197684716 6515142.969116401 13.696, -23466.79268504528 6515139.738142486 13.547)</t>
  </si>
  <si>
    <t>POLYGON Z ((-23465.042317086132 6515140.076447018 13.642, -23465.775136897457 6515143.25394029 13.571, -23467.448197684716 6515142.969116401 13.696, -23466.79268504528 6515139.738142486 13.547, -23465.042317086132 6515140.076447018 13.642))</t>
  </si>
  <si>
    <t>['FV5476 S1D1 m2349']</t>
  </si>
  <si>
    <t>LINESTRING Z (-33892.58081679244 6756720.122022339 35.378, -33891.377855537576 6756720.808268459 35.366, -33893.33269876859 6756723.551511285 35.357, -33894.49890941719 6756722.721030136 35.319, -33892.58081679244 6756720.122022339 35.378)</t>
  </si>
  <si>
    <t>POLYGON Z ((-33892.58081679244 6756720.122022339 35.378, -33891.377855537576 6756720.808268459 35.366, -33893.33269876859 6756723.551511285 35.357, -33894.49890941719 6756722.721030136 35.319, -33892.58081679244 6756720.122022339 35.378))</t>
  </si>
  <si>
    <t>2024-07-03</t>
  </si>
  <si>
    <t>[6838]</t>
  </si>
  <si>
    <t>['FV6838 S2D1 m9830']</t>
  </si>
  <si>
    <t>LINESTRING Z (265643.95819215494 7066754.662779775 154.406, 265642.12808305566 7066751.559146033 154.406, 265640.7489899431 7066752.372351136 154.406, 265642.57909907924 7066755.475984899 154.406, 265643.95819215494 7066754.662779775 154.406)</t>
  </si>
  <si>
    <t>POLYGON Z ((265643.95819215494 7066754.662779775 154.406, 265642.12808305566 7066751.559146033 154.406, 265640.7489899431 7066752.372351136 154.406, 265642.57909907924 7066755.475984899 154.406, 265643.95819215494 7066754.662779775 154.406))</t>
  </si>
  <si>
    <t>2024-07-09</t>
  </si>
  <si>
    <t>[5210]</t>
  </si>
  <si>
    <t>['FV5210 S1D1 m980']</t>
  </si>
  <si>
    <t>LINESTRING Z (-37584.963357631816 6733460.648274395 108.51, -37587.12279323151 6733459.462195743 109.46000000000001, -37585.185580355 6733455.916202283 109.43, -37583.029033623054 6733457.08242726 108.57000000000001, -37584.963357631816 6733460.648274395 108.51)</t>
  </si>
  <si>
    <t>POLYGON Z ((-37584.963357631816 6733460.648274395 108.51, -37587.12279323151 6733459.462195743 109.46000000000001, -37585.185580355 6733455.916202283 109.43, -37583.029033623054 6733457.08242726 108.57000000000001, -37584.963357631816 6733460.648274395 108.51))</t>
  </si>
  <si>
    <t>['FV5210 S1D1 m2049']</t>
  </si>
  <si>
    <t>LINESTRING Z (-37993.571226728265 6734421.887692232 94.97, -37994.83778761409 6734420.916365493 94.97, -37992.697149960906 6734418.141554973 94.99, -37991.44196056051 6734419.104399336 94.98, -37993.571226728265 6734421.887692232 94.97)</t>
  </si>
  <si>
    <t>POLYGON Z ((-37993.571226728265 6734421.887692232 94.97, -37994.83778761409 6734420.916365493 94.97, -37992.697149960906 6734418.141554973 94.99, -37991.44196056051 6734419.104399336 94.98, -37993.571226728265 6734421.887692232 94.97))</t>
  </si>
  <si>
    <t>['FV5210 S1D1 m3962']</t>
  </si>
  <si>
    <t>LINESTRING Z (-38771.72245565744 6733746.659405776 65.92, -38773.203606090625 6733746.0943580335 65.91, -38771.94086221955 6733742.859326223 65.88, -38770.48101030942 6733743.417335877 65.89, -38771.72245565744 6733746.659405776 65.92)</t>
  </si>
  <si>
    <t>POLYGON Z ((-38771.72245565744 6733746.659405776 65.92, -38773.203606090625 6733746.0943580335 65.91, -38771.94086221955 6733742.859326223 65.88, -38770.48101030942 6733743.417335877 65.89, -38771.72245565744 6733746.659405776 65.92))</t>
  </si>
  <si>
    <t>['RV9 S7D100 m345']</t>
  </si>
  <si>
    <t>LINESTRING Z (79030.28554321686 6508122.985916189 175.91400000000002, 79030.50494702562 6508125.746183505 175.997, 79032.58269580791 6508125.7358981185 175.90200000000002, 79032.45437862712 6508122.903068529 175.886, 79030.28554321686 6508122.985916189 175.91400000000002)</t>
  </si>
  <si>
    <t>POLYGON Z ((79030.28554321686 6508122.985916189 175.91400000000002, 79030.50494702562 6508125.746183505 175.997, 79032.58269580791 6508125.7358981185 175.90200000000002, 79032.45437862712 6508122.903068529 175.886, 79030.28554321686 6508122.985916189 175.91400000000002))</t>
  </si>
  <si>
    <t>['RV9 S8D1 m1199']</t>
  </si>
  <si>
    <t>LINESTRING Z (82244.55066056788 6516513.130434982 184.915, 82248.8503424431 6516516.577758442 184.915, 82251.04444145184 6516513.840377057 184.915, 82246.74376166897 6516510.393143151 184.915, 82244.55066056788 6516513.130434982 184.915)</t>
  </si>
  <si>
    <t>POLYGON Z ((82244.55066056788 6516513.130434982 184.915, 82248.8503424431 6516516.577758442 184.915, 82251.04444145184 6516513.840377057 184.915, 82246.74376166897 6516510.393143151 184.915, 82244.55066056788 6516513.130434982 184.915))</t>
  </si>
  <si>
    <t>['RV9 S8D1 m1061']</t>
  </si>
  <si>
    <t>LINESTRING Z (82133.80081158271 6516424.997074225 185.95600000000002, 82137.32154170435 6516429.237720081 185.95600000000002, 82139.60209640465 6516427.306521696 185.922, 82136.10983733804 6516423.08042411 185.905, 82133.80081158271 6516424.997074225 185.95600000000002)</t>
  </si>
  <si>
    <t>POLYGON Z ((82133.80081158271 6516424.997074225 185.95600000000002, 82137.32154170435 6516429.237720081 185.95600000000002, 82139.60209640465 6516427.306521696 185.922, 82136.10983733804 6516423.08042411 185.905, 82133.80081158271 6516424.997074225 185.95600000000002))</t>
  </si>
  <si>
    <t>2024-11-01</t>
  </si>
  <si>
    <t>2025-11-22T09:12:23Z</t>
  </si>
  <si>
    <t>[544]</t>
  </si>
  <si>
    <t>['FV544 S1D1 m68 SD1 m61']</t>
  </si>
  <si>
    <t>LINESTRING Z (-32132.114641360356 6665077.499752625 1.6400000000000001, -32134.041881523095 6665075.358796063 1.7, -32134.698324916302 6665076.002714631 1.73, -32132.81467747828 6665078.107354597 1.67, -32132.114641360356 6665077.499752625 1.6400000000000001)</t>
  </si>
  <si>
    <t>POLYGON Z ((-32132.114641360356 6665077.499752625 1.6400000000000001, -32134.041881523095 6665075.358796063 1.7, -32134.698324916302 6665076.002714631 1.73, -32132.81467747828 6665078.107354597 1.67, -32132.114641360356 6665077.499752625 1.6400000000000001))</t>
  </si>
  <si>
    <t>[576]</t>
  </si>
  <si>
    <t>['FV576 S1D1 m7970']</t>
  </si>
  <si>
    <t>LINESTRING Z (670.800998292747 6709678.915004554 13.41, 672.7983916902449 6709681.15903348 13.41, 673.5433770765667 6709680.496868431 13.41, 671.5450709351571 6709678.242854023 13.41, 670.800998292747 6709678.915004554 13.41)</t>
  </si>
  <si>
    <t>POLYGON Z ((670.800998292747 6709678.915004554 13.41, 672.7983916902449 6709681.15903348 13.41, 673.5433770765667 6709680.496868431 13.41, 671.5450709351571 6709678.242854023 13.41, 670.800998292747 6709678.915004554 13.41))</t>
  </si>
  <si>
    <t>['FV544 S1D1 m68 SD1 m62']</t>
  </si>
  <si>
    <t>LINESTRING Z (-32127.71431883867 6665069.857684102 1.68, -32125.82703354559 6665072.002278722 1.6400000000000001, -32125.110658169142 6665071.3529031165 1.61, -32127.014282704797 6665069.250082203 1.6300000000000001, -32127.71431883867 6665069.857684102 1.68)</t>
  </si>
  <si>
    <t>POLYGON Z ((-32127.71431883867 6665069.857684102 1.68, -32125.82703354559 6665072.002278722 1.6400000000000001, -32125.110658169142 6665071.3529031165 1.61, -32127.014282704797 6665069.250082203 1.6300000000000001, -32127.71431883867 6665069.857684102 1.68))</t>
  </si>
  <si>
    <t>[585]</t>
  </si>
  <si>
    <t>['FV585 S1D1 m5279']</t>
  </si>
  <si>
    <t>LINESTRING Z (-30309.339897594764 6732283.550673224 42.95, -30312.027585979667 6732283.676026787 42.95, -30312.369563237648 6732276.314846714 42.95, -30309.661899388535 6732276.187663414 42.95, -30309.32990987471 6732283.549758275 42.95)</t>
  </si>
  <si>
    <t>POLYGON Z ((-30309.339897594764 6732283.550673224 42.95, -30312.027585979667 6732283.676026787 42.95, -30312.369563237648 6732276.314846714 42.95, -30309.661899388535 6732276.187663414 42.95, -30309.32990987471 6732283.549758275 42.95, -30309.339897594764 6732283.550673224 42.95))</t>
  </si>
  <si>
    <t>['FV585 S1D1 m5271']</t>
  </si>
  <si>
    <t>LINESTRING Z (-30312.41660911648 6732275.251573604 43.300000000000004, -30312.747683208436 6732267.899466232 43.300000000000004, -30310.050007052603 6732267.7731980635 43.300000000000004, -30309.718018035986 6732275.135292997 43.300000000000004, -30312.41660911648 6732275.251573604 43.300000000000004)</t>
  </si>
  <si>
    <t>POLYGON Z ((-30312.41660911648 6732275.251573604 43.300000000000004, -30312.747683208436 6732267.899466232 43.300000000000004, -30310.050007052603 6732267.7731980635 43.300000000000004, -30309.718018035986 6732275.135292997 43.300000000000004, -30312.41660911648 6732275.251573604 43.300000000000004))</t>
  </si>
  <si>
    <t>2024-11-06</t>
  </si>
  <si>
    <t>[700]</t>
  </si>
  <si>
    <t>['FV700 S6D1 m7635']</t>
  </si>
  <si>
    <t>LINESTRING Z (238420.56704268625 6979234.548254794 241.34, 238424.27698656297 6979234.342113196 241.34, 238424.13954560802 6979232.334551889 241.34, 238420.43332838026 6979232.580552203 241.34, 238420.56704268625 6979234.548254794 241.34)</t>
  </si>
  <si>
    <t>POLYGON Z ((238420.56704268625 6979234.548254794 241.34, 238424.27698656297 6979234.342113196 241.34, 238424.13954560802 6979232.334551889 241.34, 238420.43332838026 6979232.580552203 241.34, 238420.56704268625 6979234.548254794 241.34))</t>
  </si>
  <si>
    <t>[6472]</t>
  </si>
  <si>
    <t>['FV6472 S1D1 m2078']</t>
  </si>
  <si>
    <t>LINESTRING (195102.0210603297 7089153.227053877, 195104.27045384608 7089152.609702977, 195107.39468002 7089151.591863357)</t>
  </si>
  <si>
    <t>POINT (195104.71709682216 7089152.440220316)</t>
  </si>
  <si>
    <t>2024-11-13</t>
  </si>
  <si>
    <t>[6384]</t>
  </si>
  <si>
    <t>['FV6384 S1D1 m50 SD1 m35']</t>
  </si>
  <si>
    <t>LINESTRING Z (260658.9336017669 7056713.063437593 181.321, 260657.64439885513 7056712.114050932 181.321, 260659.78041681147 7056709.213483003 181.321, 260661.06961968378 7056710.162869677 181.321, 260658.9336017669 7056713.063437593 181.321)</t>
  </si>
  <si>
    <t>POLYGON Z ((260658.9336017669 7056713.063437593 181.321, 260657.64439885513 7056712.114050932 181.321, 260659.78041681147 7056709.213483003 181.321, 260661.06961968378 7056710.162869677 181.321, 260658.9336017669 7056713.063437593 181.321))</t>
  </si>
  <si>
    <t>[721]</t>
  </si>
  <si>
    <t>['FV721 S2D1 m1868']</t>
  </si>
  <si>
    <t>LINESTRING Z (240582.29082083693 7090291.381190658 5.265, 240579.135205553 7090289.643110394 5.265, 240579.90826178572 7090288.240509854 5.265, 240583.0634572648 7090289.978629732 5.265, 240582.29082083693 7090291.381190658 5.265)</t>
  </si>
  <si>
    <t>POLYGON Z ((240582.29082083693 7090291.381190658 5.265, 240579.135205553 7090289.643110394 5.265, 240579.90826178572 7090288.240509854 5.265, 240583.0634572648 7090289.978629732 5.265, 240582.29082083693 7090291.381190658 5.265))</t>
  </si>
  <si>
    <t>[6416]</t>
  </si>
  <si>
    <t>['FV6416 S2D1 m222']</t>
  </si>
  <si>
    <t>LINESTRING Z (238070.83604790395 7079173.813865393 17.497, 238069.40275048738 7079173.099798586 17.497, 238071.00956485514 7079169.8745502 17.497, 238072.4428622375 7079170.588617029 17.497, 238070.83604790395 7079173.813865393 17.497)</t>
  </si>
  <si>
    <t>POLYGON Z ((238070.83604790395 7079173.813865393 17.497, 238069.40275048738 7079173.099798586 17.497, 238071.00956485514 7079169.8745502 17.497, 238072.4428622375 7079170.588617029 17.497, 238070.83604790395 7079173.813865393 17.497))</t>
  </si>
  <si>
    <t>2022-01-16</t>
  </si>
  <si>
    <t>[222]</t>
  </si>
  <si>
    <t>['FV222 S3D1 m8747']</t>
  </si>
  <si>
    <t>LINESTRING (288263.8570301451 6744878.888693162, 288265.4345654689 6744875.948300821, 288264.11961275525 6744875.311851769, 288262.57603182865 6744878.27255735, 288263.8570301451 6744878.888693162)</t>
  </si>
  <si>
    <t>POLYGON ((288263.8570301451 6744878.888693162, 288265.4345654689 6744875.948300821, 288264.11961275525 6744875.311851769, 288262.57603182865 6744878.27255735, 288263.8570301451 6744878.888693162))</t>
  </si>
  <si>
    <t>[97967]</t>
  </si>
  <si>
    <t>['PV97967 S2D1 m20']</t>
  </si>
  <si>
    <t>LINESTRING (273947.2575955115 6747891.552224127, 273951.75892855984 6747887.503286294, 273950.76568457193 6747886.382526868, 273946.2085929188 6747890.412667405, 273947.2575955115 6747891.552224127)</t>
  </si>
  <si>
    <t>POLYGON ((273947.2575955115 6747891.552224127, 273951.75892855984 6747887.503286294, 273950.76568457193 6747886.382526868, 273946.2085929188 6747890.412667405, 273947.2575955115 6747891.552224127))</t>
  </si>
  <si>
    <t>2023-01-11</t>
  </si>
  <si>
    <t>[97580]</t>
  </si>
  <si>
    <t>['PV97580 S1D1 m23']</t>
  </si>
  <si>
    <t>LINESTRING (343961.6186727184 6865592.421972059, 343963.025460155 6865591.877948541, 343961.6462579804 6865588.19300197, 343960.35706199915 6865588.776265529, 343961.6186727184 6865592.421972059)</t>
  </si>
  <si>
    <t>POLYGON ((343961.6186727184 6865592.421972059, 343963.025460155 6865591.877948541, 343961.6462579804 6865588.19300197, 343960.35706199915 6865588.776265529, 343961.6186727184 6865592.421972059))</t>
  </si>
  <si>
    <t>2023-01-16</t>
  </si>
  <si>
    <t>[98256]</t>
  </si>
  <si>
    <t>['PV98256 S2D1 m12']</t>
  </si>
  <si>
    <t>LINESTRING (297891.2583605641 6739129.752848399, 297894.2586320328 6739130.141316796, 297894.63675562816 6739128.613155815, 297891.5342404526 6739128.2527894825, 297891.2583605641 6739129.752848399)</t>
  </si>
  <si>
    <t>POLYGON ((297891.2583605641 6739129.752848399, 297894.2586320328 6739130.141316796, 297894.63675562816 6739128.613155815, 297891.5342404526 6739128.2527894825, 297891.2583605641 6739129.752848399))</t>
  </si>
  <si>
    <t>2025-01-16</t>
  </si>
  <si>
    <t>[821]</t>
  </si>
  <si>
    <t>['FV821 S1D1 m14521']</t>
  </si>
  <si>
    <t>LINESTRING Z (504675.37526695005 7638828.843282459 14.161809917866911, 504678.44916048954 7638827.495637949 14.247808453023161, 504679.177432605 7638829.128303517 14.203809734761442, 504676.0658709582 7638830.460822989 14.10680961269113, 504675.3650639153 7638828.882475021 14.200811382710661)</t>
  </si>
  <si>
    <t>POLYGON Z ((504675.37526695005 7638828.843282459 14.161809917866911, 504678.44916048954 7638827.495637949 14.247808453023161, 504679.177432605 7638829.128303517 14.203809734761442, 504676.0658709582 7638830.460822989 14.10680961269113, 504675.3650639153 7638828.882475021 14.200811382710661, 504675.37526695005 7638828.843282459 14.161809917866911))</t>
  </si>
  <si>
    <t>[7670]</t>
  </si>
  <si>
    <t>['FV7670 S1D1 m5944']</t>
  </si>
  <si>
    <t>LINESTRING Z (510720.3464932439 7647549.1345043 6.678049890313623, 510718.93397289794 7647548.37885618 6.6410511415343265, 510720.2852628986 7647545.450115508 6.4380482118468265, 510721.7057192882 7647546.056754053 6.484049646172998, 510720.36470149824 7647549.143689804 6.698050348077295)</t>
  </si>
  <si>
    <t>POLYGON Z ((510720.3464932439 7647549.1345043 6.678049890313623, 510718.93397289794 7647548.37885618 6.6410511415343265, 510720.2852628986 7647545.450115508 6.4380482118468265, 510721.7057192882 7647546.056754053 6.484049646172998, 510720.36470149824 7647549.143689804 6.698050348077295, 510720.3464932439 7647549.1345043 6.678049890313623))</t>
  </si>
  <si>
    <t>[820]</t>
  </si>
  <si>
    <t>['FV820 S4D1 m2637']</t>
  </si>
  <si>
    <t>LINESTRING Z (485740.2316673814 7625732.78688338 1.85376754081382, 485738.6663116812 7625733.605742611 2.7897683647884293, 485737.59404522704 7625730.401341266 2.8347703484310074, 485739.13111593405 7625729.929976048 2.9037705925716324, 485740.2752774884 7625732.84201331 2.9077683953060074)</t>
  </si>
  <si>
    <t>POLYGON Z ((485740.2316673814 7625732.78688338 1.85376754081382, 485738.6663116812 7625733.605742611 2.7897683647884293, 485737.59404522704 7625730.401341266 2.8347703484310074, 485739.13111593405 7625729.929976048 2.9037705925716324, 485740.2752774884 7625732.84201331 2.9077683953060074, 485740.2316673814 7625732.78688338 1.85376754081382))</t>
  </si>
  <si>
    <t>['FV820 S1D100 m7747']</t>
  </si>
  <si>
    <t>LINESTRING Z (512447.8875577721 7626461.085978911 9.350758734911238, 512447.6907658544 7626459.4035315355 9.678757849901473, 512451.0463381445 7626459.0650092 9.667760077684676, 512451.15149122325 7626460.926145817 9.49575919267491, 512448.1229243076 7626461.203677589 9.43176001664952)</t>
  </si>
  <si>
    <t>POLYGON Z ((512447.8875577721 7626461.085978911 9.350758734911238, 512447.6907658544 7626459.4035315355 9.678757849901473, 512451.0463381445 7626459.0650092 9.667760077684676, 512451.15149122325 7626460.926145817 9.49575919267491, 512448.1229243076 7626461.203677589 9.43176001664952, 512447.8875577721 7626461.085978911 9.350758734911238))</t>
  </si>
  <si>
    <t>[82]</t>
  </si>
  <si>
    <t>['FV82 S5D110 m1425']</t>
  </si>
  <si>
    <t>LINESTRING Z (505777.4969703342 7611527.246961988 7.8051247328374345, 505780.9257615935 7611527.134270645 7.6021218031499345, 505781.0535621187 7611528.854635281 7.635122749194856, 505777.6137719201 7611528.944257783 7.691122505054231, 505777.5847500953 7611527.384495072 7.845121833667513)</t>
  </si>
  <si>
    <t>POLYGON Z ((505777.4969703342 7611527.246961988 7.8051247328374345, 505780.9257615935 7611527.134270645 7.6021218031499345, 505781.0535621187 7611528.854635281 7.635122749194856, 505777.6137719201 7611528.944257783 7.691122505054231, 505777.5847500953 7611527.384495072 7.845121833667513, 505777.4969703342 7611527.246961988 7.8051247328374345))</t>
  </si>
  <si>
    <t>['FV82 S7D160 m376']</t>
  </si>
  <si>
    <t>LINESTRING Z (516164.1612941407 7618996.973730678 4.168881023374823, 516162.7704623463 7618998.002070663 3.9398809318220884, 516160.8075436034 7618995.2553031035 4.009880626646307, 516162.2118230946 7618994.33279114 4.146881664243963, 516163.9274872476 7618997.001764359 4.041882122007635)</t>
  </si>
  <si>
    <t>POLYGON Z ((516164.1612941407 7618996.973730678 4.168881023374823, 516162.7704623463 7618998.002070663 3.9398809318220884, 516160.8075436034 7618995.2553031035 4.009880626646307, 516162.2118230946 7618994.33279114 4.146881664243963, 516163.9274872476 7618997.001764359 4.041882122007635, 516164.1612941407 7618996.973730678 4.168881023374823))</t>
  </si>
  <si>
    <t>2025-02-03</t>
  </si>
  <si>
    <t>['FV42 S1D1 m1670 SD1 m36']</t>
  </si>
  <si>
    <t>LINESTRING Z (133256.1977770832 6498839.382290366 49.4, 133254.74235614215 6498841.433515881 49.4, 133255.9672843624 6498842.309300108 49.4, 133257.42270527245 6498840.258074602 49.4, 133256.1977770832 6498839.382290366 49.4)</t>
  </si>
  <si>
    <t>POLYGON Z ((133256.1977770832 6498839.382290366 49.4, 133254.74235614215 6498841.433515881 49.4, 133255.9672843624 6498842.309300108 49.4, 133257.42270527245 6498840.258074602 49.4, 133256.1977770832 6498839.382290366 49.4))</t>
  </si>
  <si>
    <t>2025-03-24</t>
  </si>
  <si>
    <t>['RV13 S2D1 m12420']</t>
  </si>
  <si>
    <t>LINESTRING Z (-19887.492774862738 6581663.6806332655 28.88629, -19885.89048308722 6581662.946114611 28.800809, -19884.372397251544 6581665.930175896 28.8217, -19885.968235702894 6581666.697500179 28.860108)</t>
  </si>
  <si>
    <t>POLYGON Z ((-19887.492774862738 6581663.6806332655 28.88629, -19885.89048308722 6581662.946114611 28.800809, -19884.372397251544 6581665.930175896 28.8217, -19885.968235702894 6581666.697500179 28.860108, -19887.492774862738 6581663.6806332655 28.88629))</t>
  </si>
  <si>
    <t>['RV13 S3D1 m1294']</t>
  </si>
  <si>
    <t>LINESTRING Z (-19645.314927313768 6580637.224835978 3.331072, -19645.760870818223 6580640.509442442 3.260871, -19643.998957348755 6580640.797496098 3.311597, -19643.523422985512 6580637.42029003 3.294654)</t>
  </si>
  <si>
    <t>POLYGON Z ((-19645.314927313768 6580637.224835978 3.331072, -19645.760870818223 6580640.509442442 3.260871, -19643.998957348755 6580640.797496098 3.311597, -19643.523422985512 6580637.42029003 3.294654, -19645.314927313768 6580637.224835978 3.331072))</t>
  </si>
  <si>
    <t>['RV13 S3D1 m2417']</t>
  </si>
  <si>
    <t>LINESTRING Z (-19853.979453466774 6581689.11839182 29.244629, -19855.522072859632 6581689.897125918 29.278723, -19853.979572530952 6581692.878724475 29.27326, -19852.474305596785 6581692.099988606 29.27326)</t>
  </si>
  <si>
    <t>POLYGON Z ((-19853.979453466774 6581689.11839182 29.244629, -19855.522072859632 6581689.897125918 29.278723, -19853.979572530952 6581692.878724475 29.27326, -19852.474305596785 6581692.099988606 29.27326, -19853.979453466774 6581689.11839182 29.244629))</t>
  </si>
  <si>
    <t>['RV13 S3D1 m1265']</t>
  </si>
  <si>
    <t>LINESTRING Z (-19661.973487158946 6580610.880151082 2.925658, -19663.480134224752 6580610.826064436 2.937463, -19663.419505103724 6580607.269838599 2.95769, -19661.881100115832 6580607.352937348 2.9709909999999997)</t>
  </si>
  <si>
    <t>POLYGON Z ((-19661.973487158946 6580610.880151082 2.925658, -19663.480134224752 6580610.826064436 2.937463, -19663.419505103724 6580607.269838599 2.95769, -19661.881100115832 6580607.352937348 2.9709909999999997, -19661.973487158946 6580610.880151082 2.925658))</t>
  </si>
  <si>
    <t>[5704]</t>
  </si>
  <si>
    <t>['FV5704 S1D1 m4908']</t>
  </si>
  <si>
    <t>LINESTRING Z (-26447.584098238498 6869278.295632203 4.78, -26445.97006394074 6869275.064100978 4.78, -26447.420502867084 6869274.302187294 4.8100000000000005, -26449.01899722917 6869277.592707527 4.8, -26447.584098238498 6869278.295632203 4.78)</t>
  </si>
  <si>
    <t>POLYGON Z ((-26447.584098238498 6869278.295632203 4.78, -26445.97006394074 6869275.064100978 4.78, -26447.420502867084 6869274.302187294 4.8100000000000005, -26449.01899722917 6869277.592707527 4.8, -26447.584098238498 6869278.295632203 4.78))</t>
  </si>
  <si>
    <t>['FV500 S7D1 m8139']</t>
  </si>
  <si>
    <t>LINESTRING Z (-19818.60476183676 6665083.401402352 14.85, -19814.684180873388 6665081.922472871 14.84, -19814.15843498474 6665083.315795459 14.85, -19818.080451190704 6665084.784799123 14.86, -19818.60476183676 6665083.401402352 14.85)</t>
  </si>
  <si>
    <t>POLYGON Z ((-19818.60476183676 6665083.401402352 14.85, -19814.684180873388 6665081.922472871 14.84, -19814.15843498474 6665083.315795459 14.85, -19818.080451190704 6665084.784799123 14.86, -19818.60476183676 6665083.401402352 14.85))</t>
  </si>
  <si>
    <t>[7327]</t>
  </si>
  <si>
    <t>['FV7327 S4D1 m2583']</t>
  </si>
  <si>
    <t>LINESTRING (427839.1828816088 7314639.693442007, 427840.79279682605 7314639.153288701, 427841.7155455631 7314642.113317936, 427840.143041161 7314642.671211188, 427839.2114480064 7314639.616525162)</t>
  </si>
  <si>
    <t>2025-11-22T09:12:26Z</t>
  </si>
  <si>
    <t>['FV1776 S1D50 m98']</t>
  </si>
  <si>
    <t>LINESTRING Z (279762.6830552219 6756621.599085832 138.72, 279771.762103186 6756613.683030926 138.72, 279770.66050034476 6756612.407737639 138.72, 279761.6176459851 6756620.280284514 138.72, 279762.6830552219 6756621.599085832 138.72)</t>
  </si>
  <si>
    <t>POLYGON Z ((279762.6830552219 6756621.599085832 138.72, 279771.762103186 6756613.683030926 138.72, 279770.66050034476 6756612.407737639 138.72, 279761.6176459851 6756620.280284514 138.72, 279762.6830552219 6756621.599085832 138.72))</t>
  </si>
  <si>
    <t>2025-05-30</t>
  </si>
  <si>
    <t>['RV9 S22D1 m7746']</t>
  </si>
  <si>
    <t>LINESTRING Z (68990.81268248498 6626541.957913816 766.83111, 68988.10418974503 6626540.726395079 766.814545, 68989.85027552221 6626536.938371695 766.858225, 68992.61593599594 6626538.278146181 766.85191, 68990.81268248498 6626541.957913816 766.83111)</t>
  </si>
  <si>
    <t>POLYGON Z ((68990.81268248498 6626541.957913816 766.83111, 68988.10418974503 6626540.726395079 766.814545, 68989.85027552221 6626536.938371695 766.858225, 68992.61593599594 6626538.278146181 766.85191, 68990.81268248498 6626541.957913816 766.83111))</t>
  </si>
  <si>
    <t>2025-07-03</t>
  </si>
  <si>
    <t>[1780]</t>
  </si>
  <si>
    <t>['KV1780 S3D1 m34']</t>
  </si>
  <si>
    <t>LINESTRING Z (267447.07203110296 7040596.794272438 508, 267455.3798337 7040598.787527574 508, 267456.10179695894 7040595.774999818 508, 267447.77781417023 7040593.823465379 508, 267447.07203110296 7040596.794272438 508)</t>
  </si>
  <si>
    <t>POLYGON Z ((267447.07203110296 7040596.794272438 508, 267455.3798337 7040598.787527574 508, 267456.10179695894 7040595.774999818 508, 267447.77781417023 7040593.823465379 508, 267447.07203110296 7040596.794272438 508))</t>
  </si>
  <si>
    <t>2025-07-09</t>
  </si>
  <si>
    <t>['EV39 S123D1 m112']</t>
  </si>
  <si>
    <t>LINESTRING Z (56721.5859322765 6457042.233369421 4.73, 56721.38108079706 6457042.644108732 4.87, 56721.246295248624 6457042.937901817 4.9, 56721.07424910617 6457043.265209421 4.87, 56720.888473452826 6457043.664183193 4.76, 56716.367304033716 6457041.602284295 4.8, 56716.47321219678 6457041.210438922 4.87, 56716.59623221331 6457040.897570005 4.9, 56716.78289893456 6457040.508579657 4.87, 56717.01591864007 6457040.075200306 4.75, 56721.5859322765 6457042.233369421 4.73)</t>
  </si>
  <si>
    <t>POLYGON Z ((56721.5859322765 6457042.233369421 4.73, 56721.38108079706 6457042.644108732 4.87, 56721.246295248624 6457042.937901817 4.9, 56721.07424910617 6457043.265209421 4.87, 56720.888473452826 6457043.664183193 4.76, 56716.367304033716 6457041.602284295 4.8, 56716.47321219678 6457041.210438922 4.87, 56716.59623221331 6457040.897570005 4.9, 56716.78289893456 6457040.508579657 4.87, 56717.01591864007 6457040.075200306 4.75, 56721.5859322765 6457042.233369421 4.73))</t>
  </si>
  <si>
    <t>['EV39 S123D1 m150']</t>
  </si>
  <si>
    <t>LINESTRING Z (56763.16159739258 6457032.937672618 4.86, 56763.36466673482 6457032.506966604 4.97, 56763.4903598798 6457032.224048126 5.01, 56763.66062389233 6457031.8767737895 4.97, 56763.84639952151 6457031.477800187 4.87, 56768.382896624506 6457033.59870823 4.89, 56768.27342427656 6457033.9506196845 4.98, 56768.08764866297 6457034.349593275 5, 56767.90098200005 6457034.738583438 4.95, 56767.69345741946 6457035.1193722645 4.83, 56763.16159739258 6457032.937672618 4.86)</t>
  </si>
  <si>
    <t>POLYGON Z ((56763.16159739258 6457032.937672618 4.86, 56763.36466673482 6457032.506966604 4.97, 56763.4903598798 6457032.224048126 5.01, 56763.66062389233 6457031.8767737895 4.97, 56763.84639952151 6457031.477800187 4.87, 56768.382896624506 6457033.59870823 4.89, 56768.27342427656 6457033.9506196845 4.98, 56768.08764866297 6457034.349593275 5, 56767.90098200005 6457034.738583438 4.95, 56767.69345741946 6457035.1193722645 4.83, 56763.16159739258 6457032.937672618 4.86))</t>
  </si>
  <si>
    <t>[5212]</t>
  </si>
  <si>
    <t>['FV5212 S1D1 m377']</t>
  </si>
  <si>
    <t>LINESTRING Z (-39580.77882655698 6733117.104853649 39.795, -39580.077002022765 6733114.306221558 39.773, -39581.15248931188 6733114.042005101 39.777, -39581.8447649962 6733116.857495004 39.74, -39580.78166025947 6733117.106279673 39.766)</t>
  </si>
  <si>
    <t>POLYGON Z ((-39580.77882655698 6733117.104853649 39.795, -39580.077002022765 6733114.306221558 39.773, -39581.15248931188 6733114.042005101 39.777, -39581.8447649962 6733116.857495004 39.74, -39580.78166025947 6733117.106279673 39.766, -39580.77882655698 6733117.104853649 39.795))</t>
  </si>
  <si>
    <t>2025-08-27</t>
  </si>
  <si>
    <t>['FV410 S5D1 m46']</t>
  </si>
  <si>
    <t>LINESTRING Z (142562.42686724535 6501388.550973 4.002, 142562.01777387504 6501389.94416858 4.002, 142559.33897435066 6501389.159578533 4.002, 142559.74698076124 6501387.765474763 4.002, 142562.42686724535 6501388.550973 4.002)</t>
  </si>
  <si>
    <t>POLYGON Z ((142562.42686724535 6501388.550973 4.002, 142562.01777387504 6501389.94416858 4.002, 142559.33897435066 6501389.159578533 4.002, 142559.74698076124 6501387.765474763 4.002, 142562.42686724535 6501388.550973 4.002))</t>
  </si>
  <si>
    <t>['FV2532 S6D10 m805']</t>
  </si>
  <si>
    <t>LINESTRING Z (233023.08988220204 6833223.075122349 200.083408, 233021.73994582647 6833222.023921043 200.133323, 233024.34795751504 6833218.486046461 200.116876, 233025.67031323782 6833219.499157172 200.093542, 233023.08988220204 6833223.075122349 200.083408)</t>
  </si>
  <si>
    <t>POLYGON Z ((233023.08988220204 6833223.075122349 200.083408, 233021.73994582647 6833222.023921043 200.133323, 233024.34795751504 6833218.486046461 200.116876, 233025.67031323782 6833219.499157172 200.093542, 233023.08988220204 6833223.075122349 200.083408))</t>
  </si>
  <si>
    <t>2020-10-29</t>
  </si>
  <si>
    <t>[2538]</t>
  </si>
  <si>
    <t>['FV2538 S1D1 m5171']</t>
  </si>
  <si>
    <t>LINESTRING (262946.1200137623 6765344.057779097, 262948.22955731384 6765341.831306983)</t>
  </si>
  <si>
    <t>POINT (262947.1747855381 6765342.944543039)</t>
  </si>
  <si>
    <t>2025-12-12</t>
  </si>
  <si>
    <t>2025-12-12T09:00:58Z</t>
  </si>
  <si>
    <t>[4672]</t>
  </si>
  <si>
    <t>['FV4672 S1D1 m36']</t>
  </si>
  <si>
    <t>LINESTRING Z (-3466.206803140056 6590227.142636013 15.34, -3466.9396150102257 6590224.032041505 15.34, -3465.14639737166 6590223.589609765 15.36, -3464.372527267318 6590226.7050441755 15.35, -3466.206803140056 6590227.142636013 15.34)</t>
  </si>
  <si>
    <t>POLYGON Z ((-3466.206803140056 6590227.142636013 15.34, -3466.9396150102257 6590224.032041505 15.34, -3465.14639737166 6590223.589609765 15.36, -3464.372527267318 6590226.7050441755 15.35, -3466.206803140056 6590227.142636013 15.34))</t>
  </si>
  <si>
    <t>['FV4672 S1D1 m921 SD1 m45']</t>
  </si>
  <si>
    <t>LINESTRING Z (-2672.322750490741 6590584.801494334 19.3, -2671.464151913591 6590586.450299319 19.29, -2668.6196682312293 6590584.983331785 19.32, -2669.4782667502877 6590583.33452684 19.31, -2672.322750490741 6590584.801494334 19.3)</t>
  </si>
  <si>
    <t>POLYGON Z ((-2672.322750490741 6590584.801494334 19.3, -2671.464151913591 6590586.450299319 19.29, -2668.6196682312293 6590584.983331785 19.32, -2669.4782667502877 6590583.33452684 19.31, -2672.322750490741 6590584.801494334 19.3))</t>
  </si>
  <si>
    <t>Grasdekker</t>
  </si>
  <si>
    <t>2009-08-24</t>
  </si>
  <si>
    <t>2025-11-22T09:07:21Z</t>
  </si>
  <si>
    <t>['EV39 S43D1 m10922 SD1 m9-72']</t>
  </si>
  <si>
    <t>LINESTRING Z (53288.7686327684 6897596.74348471 -999999, 53293.5830480154 6897590.15143922 -999999, 53302.9156068019 6897582.22617104 -999999, 53310.5446032702 6897576.30073689 -999999, 53317.877328031 6897570.96784616 -999999, 53321.6547923017 6897569.63462347 -999999, 53337.5793965803 6897568.96801213 -999999, 53345.2824609755 6897568.30140079 -999999)</t>
  </si>
  <si>
    <t>POLYGON ((53293.95187186484 6897590.494194969, 53303.230933760824 6897582.614356688, 53310.84507349296 6897576.700461751, 53318.11246859153 6897571.415083502, 53321.75055602139 6897570.131052638, 53337.600308498855 6897569.46757463, 53337.622504695726 6897569.466150354, 53345.32556909092 6897568.799539014, 53345.23935286007 6897567.803262566, 53337.54737072436 6897568.468914865, 53321.633880383146 6897569.13506097, 53321.584531496956 6897569.139584664, 53321.535872790075 6897569.148971177, 53321.48838224214 6897569.163128303, 53317.71091797144 6897570.496350993, 53317.66626294214 6897570.514578547, 53317.62357192873 6897570.537023876, 53317.583242182336 6897570.563478118, 53310.25051742154 6897575.896368848, 53310.237898450505 6897575.905854435, 53302.6089019822 6897581.8312885845, 53302.59195822866 6897581.845052159, 53293.25939944216 6897589.770320339, 53293.216788192665 6897589.811066274, 53293.179269345994 6897589.856544686, 53288.36485409899 6897596.448590176, 53289.17241143781 6897597.0383792445, 53293.95187186484 6897590.494194969))</t>
  </si>
  <si>
    <t>2021-05-01</t>
  </si>
  <si>
    <t>['RV15 S23D1 m4933-5342']</t>
  </si>
  <si>
    <t>LINESTRING Z (8818.580939980922 6900574.003476469 -0.0405648313462734, 8781.539199538354 6900618.321273362 -0.0412067212164402, 8757.726652106794 6900641.472361296 -0.0415712967514992, 8729.945346765337 6900661.316150949 -0.0419307462871075, 8699.518202818872 6900681.159940606 -0.0423077829182148, 8661.153543056862 6900700.342270604 -0.0427293926477432, 8617.497206082742 6900716.878761986 -0.0431601665914059, 8598.31487619807 6900722.666533969 -0.0433356426656246, 8566.564812943456 6900733.415253365 -0.0436375699937344, 8534.814749691868 6900748.298095609 -0.0439797192811966, 8517.45143385342 6900759.212179922 -0.0441939160227776, 8477.102395145863 6900789.80468897 -0.0447436980903149)</t>
  </si>
  <si>
    <t>POLYGON ((8781.172131566416 6900617.98078999, 8757.405242748937 6900641.0874876045, 8729.66334385529 6900660.903129795, 8699.26902014716 6900680.725514947, 8660.952665351677 6900699.883692463, 8617.336242065096 6900716.405065023, 8598.170445260068 6900722.187848577, 8598.154544062432 6900722.19293751, 8566.404480807818 6900732.941656906, 8566.352596004235 6900732.962523898, 8534.602532752648 6900747.845366142, 8534.548663918014 6900747.874777336, 8517.185348079567 6900758.788861648, 8517.149347839133 6900758.813752965, 8476.800309131575 6900789.406262013, 8477.40448116015 6900790.203115926, 8517.736064985831 6900759.6238411125, 8535.054805304886 6900748.737775698, 8566.751671874796 6900733.879869399, 8598.46730020835 6900723.142807659, 8617.641637020744 6900717.357447378, 8617.67431961502 6900717.346341709, 8661.33065658914 6900700.809850327, 8661.377149855707 6900700.789484199, 8699.741809617717 6900681.607154201, 8699.791336710365 6900681.578745903, 8730.21848065683 6900661.734956247, 8730.235965863392 6900661.723017684, 8758.01727120485 6900641.879228031, 8758.047145052848 6900641.856137627, 8758.075191304628 6900641.830858755, 8781.887738736188 6900618.679770821, 8781.922840423385 6900618.641928428, 8818.964580865953 6900574.324131534, 8818.197299095891 6900573.682821403, 8781.172131566416 6900617.98078999))</t>
  </si>
  <si>
    <t>2017-05-12</t>
  </si>
  <si>
    <t>['RV15 S17D1 m1932 SD1 m6-52']</t>
  </si>
  <si>
    <t>LINESTRING Z (81356.3434261572 6892245.77962403 -999999, 81361.6869838573 6892241.52147649 -999999, 81369.5353342293 6892236.34490497 -999999, 81376.0477951763 6892230.91785418 -999999, 81379.8884772732 6892224.48888632 -999999, 81381.8088183216 6892218.22690464 -999999, 81382.6437492123 6892211.12999207 -999999, 81383.1447077467 6892204.28355877 -999999)</t>
  </si>
  <si>
    <t>POLYGON ((81361.98102528155 6892241.926499733, 81369.81063160214 6892236.76229131, 81369.85542642919 6892236.72901561, 81376.3678873762 6892231.301964819, 81376.4089911124 6892231.26359613, 81376.44552691413 6892231.220854946, 81376.4770327243 6892231.174281806, 81380.3177148212 6892224.745313946, 81380.34542156935 6892224.691868857, 81380.36650437729 6892224.635481299, 81382.2868454257 6892218.373499619, 81382.29810979073 6892218.32983111, 81382.30539362377 6892218.285325264, 81383.14032451446 6892211.188412693, 81383.14241607409 6892211.166479889, 81383.6433746085 6892204.32004659, 81382.64604088491 6892204.24707095, 81382.14588645642 6892211.082514803, 81381.31752845773 6892218.123557791, 81379.428196826 6892224.284421808, 81375.66225194598 6892230.5882860655, 81369.23670957265 6892235.942904711, 81361.41168648445 6892241.10409015, 81361.3753820049 6892241.130446714, 81356.0318243048 6892245.388594254, 81356.6550280096 6892246.170653806, 81361.98102528155 6892241.926499733))</t>
  </si>
  <si>
    <t>2021-01-07</t>
  </si>
  <si>
    <t>['EV39 S58D1 m12268-12642']</t>
  </si>
  <si>
    <t>LINESTRING Z (10175.234645448567 6840452.612504777 0.0584358051419258, 10150.09917863924 6840389.773837542 0.0582610629498959, 10114.380357406219 6840338.179984448 0.0581193901598454, 10082.630294100381 6840308.414299976 0.0580388940870762, 10044.927093927457 6840279.971534812 0.0579626560211182, 10006.562434103165 6840253.513148614 0.0578918531537056, 9967.536314635014 6840238.29957655 0.05785296484828, 9934.463332036277 6840227.05476242 0.0578245669603348, 9912.63516352122 6840219.11724656 0.0578042715787888)</t>
  </si>
  <si>
    <t>POLYGON ((10150.563416984898 6840389.588142204, 10150.539631106558 6840389.53719092, 10150.510274735585 6840389.489232553, 10114.791453502563 6840337.895379459, 10114.759018072738 6840337.853463239, 10114.722327971407 6840337.8152158465, 10082.97226466557 6840308.049531375, 10082.931413368051 6840308.015141879, 10045.228213195127 6840279.572376715, 10045.210960406173 6840279.559928419, 10006.846300581881 6840253.101542221, 10006.796744615673 6840253.071448961, 10006.744038205907 6840253.047294614, 9967.717918737755 6840237.8337225495, 9967.697266002222 6840237.826190177, 9934.62926182259 6840226.583068711, 9912.806035053462 6840218.647349848, 9912.464291988977 6840219.587143271, 9934.292460504035 6840227.524659132, 9934.302380669069 6840227.528148793, 9967.364954096734 6840238.769423804, 10006.326537704792 6840253.957837821, 10044.634468619715 6840280.3771006325, 10082.307829687232 6840308.797355595, 10113.999557383575 6840338.508350432, 10149.655923200327 6840390.011990148, 10174.77040710291 6840452.798200115, 10175.698883794224 6840452.4268094385, 10150.563416984898 6840389.588142204))</t>
  </si>
  <si>
    <t>['RV5 S15D1 m892-972']</t>
  </si>
  <si>
    <t>LINESTRING Z (7385.859304080426 6855541.49942759 0.0270472019910812, 7364.692595210916 6855511.568378202 0.0269170477986336, 7346.833184592251 6855474.526637517 0.0267651882022619)</t>
  </si>
  <si>
    <t>POLYGON ((7365.124885119775 6855511.313699417, 7347.283568933262 6855474.309487925, 7346.38280025124 6855474.743787109, 7364.242210869905 6855511.785527794, 7364.2617983108075 6855511.822177395, 7364.28436145741 6855511.857073894, 7385.451070326921 6855541.788123282, 7386.267537833932 6855541.2107318975, 7365.124885119775 6855511.313699417))</t>
  </si>
  <si>
    <t>2025-10-06</t>
  </si>
  <si>
    <t>2025-11-22T09:07:45Z</t>
  </si>
  <si>
    <t>[5158]</t>
  </si>
  <si>
    <t>['FV5158 S2D1 m2789-2790']</t>
  </si>
  <si>
    <t>LINESTRING (-31550.251832211157 6713616.593023157, -31534.423602970317 6713596.046172662, -31530.532443882083 6713595.327353256, -31526.76128586335 6713596.354436138, -31524.149459993234 6713598.749289244, -31522.314380795113 6713604.579285339, -31522.450077589136 6713610.845813252, -31526.05885422218 6713618.074689347, -31530.022592619876 6713623.921181022, -31534.44528153562 6713626.683610346, -31537.153376088012 6713627.228534428, -31542.69144717476 6713626.992102526, -31543.959977334365 6713626.048991486, -31544.408267539926 6713625.064377758, -31533.962355944444 6713617.655040372, -31536.38200920995 6713612.972783248, -31538.246751910076 6713610.535895709, -31542.775764294784 6713613.607653074, -31547.547014306067 6713617.020013262, -31548.686163674807 6713617.492453918, -31549.814917596406 6713617.500238034)</t>
  </si>
  <si>
    <t>['EV6 S75D1 m229 KD1 m143-307', 'EV6 S75D1 m229 KD2 m0-244']</t>
  </si>
  <si>
    <t>LINESTRING Z (269128.729980469 7035312.45001221 -999999, 269138.199951172 7035317.97000122 -999999, 269143.849975586 7035320.23001099 -999999, 269151.5 7035322.48999024 -999999, 269157.780029297 7035324.05999756 -999999, 269167.380004883 7035324.61999512 -999999, 269173.209960937 7035324.30999756 -999999, 269179.800048828 7035323.11999512 -999999, 269180.300048828 7035325.19000244 -999999, 269177.479980469 7035326.32000732 -999999, 269168.880004883 7035329.51998901 -999999, 269157.08996582 7035334.22000122 -999999, 269148.560058594 7035337.67001343 -999999, 269143.219970703 7035340.42999268 -999999, 269137.010009766 7035343.95001221 -999999, 269130.609985352 7035348.27999878 -999999, 269127.790039063 7035343.76000977 -999999, 269126.33996582 7035333.91000366 -999999, 269124.83996582 7035320.73001099 -999999, 269124.400024414 7035318.27999878 -999999, 269125.459960938 7035315.8999939 -999999, 269126.66003418 7035314.39001465 -999999, 269128.729980469 7035312.45001221 -999999)</t>
  </si>
  <si>
    <t>POLYGON Z ((269128.729980469 7035312.45001221 -999999, 269138.199951172 7035317.97000122 -999999, 269143.849975586 7035320.23001099 -999999, 269151.5 7035322.48999024 -999999, 269157.780029297 7035324.05999756 -999999, 269167.380004883 7035324.61999512 -999999, 269173.209960937 7035324.30999756 -999999, 269179.800048828 7035323.11999512 -999999, 269180.300048828 7035325.19000244 -999999, 269177.479980469 7035326.32000732 -999999, 269168.880004883 7035329.51998901 -999999, 269157.08996582 7035334.22000122 -999999, 269148.560058594 7035337.67001343 -999999, 269143.219970703 7035340.42999268 -999999, 269137.010009766 7035343.95001221 -999999, 269130.609985352 7035348.27999878 -999999, 269127.790039063 7035343.76000977 -999999, 269126.33996582 7035333.91000366 -999999, 269124.83996582 7035320.73001099 -999999, 269124.400024414 7035318.27999878 -999999, 269125.459960938 7035315.8999939 -999999, 269126.66003418 7035314.39001465 -999999, 269128.729980469 7035312.45001221 -999999))</t>
  </si>
  <si>
    <t>2003-01-15</t>
  </si>
  <si>
    <t>[851]</t>
  </si>
  <si>
    <t>['FV851 S1D1 m8-20']</t>
  </si>
  <si>
    <t>LINESTRING Z (628491.720214844 7637734.97998047 94.891, 628488.709960938 7637734.7800293 94.751, 628486.520019531 7637735.19995117 94.661, 628484.290039063 7637736.18994141 94.601, 628480.600097656 7637738.18994141 94.391, 628480.359863281 7637738.57006836 94.351, 628480.319824219 7637739.15991211 94.351, 628480.479980469 7637739.5 94.351, 628480.939941406 7637739.72998047 94.371, 628481.479980469 7637739.73999024 94.391, 628483.129882813 7637739.29003906 94.561, 628487.5 7637737.93994141 94.601, 628491.189941406 7637736.7199707 94.831, 628491.890136719 7637736.36010742 94.901, 628492.180175781 7637735.81005859 94.891, 628492.040039063 7637735.2199707 94.861, 628491.720214844 7637734.97998047 94.891)</t>
  </si>
  <si>
    <t>POLYGON Z ((628491.720214844 7637734.97998047 94.891, 628488.709960938 7637734.7800293 94.751, 628486.520019531 7637735.19995117 94.661, 628484.290039063 7637736.18994141 94.601, 628480.600097656 7637738.18994141 94.391, 628480.359863281 7637738.57006836 94.351, 628480.319824219 7637739.15991211 94.351, 628480.479980469 7637739.5 94.351, 628480.939941406 7637739.72998047 94.371, 628481.479980469 7637739.73999024 94.391, 628483.129882813 7637739.29003906 94.561, 628487.5 7637737.93994141 94.601, 628491.189941406 7637736.7199707 94.831, 628491.890136719 7637736.36010742 94.901, 628492.180175781 7637735.81005859 94.891, 628492.040039063 7637735.2199707 94.861, 628491.720214844 7637734.97998047 94.891))</t>
  </si>
  <si>
    <t>[8530]</t>
  </si>
  <si>
    <t>['FV8530 S1D1 m318 KD1 m0-53']</t>
  </si>
  <si>
    <t>LINESTRING Z (639963.579956055 7665552.20019531 72.713, 639964.199951172 7665553.08007813 72.713, 639965.329956055 7665553.89990234 72.713, 639966.33996582 7665554.25976563 72.713, 639967.109985352 7665554.31005859 72.753, 639967.760009766 7665554.20019531 72.763, 639968.609985352 7665553.77978516 72.783, 639969.390014648 7665553.16992187 72.783, 639969.949951172 7665552.33984375 72.803, 639970.25 7665551.29003906 72.853, 639970.290039063 7665550.10986328 72.813, 639970.020019531 7665549.10009766 72.783, 639969.540039063 7665548.24023437 72.833, 639968.66003418 7665547.56005859 72.843, 639967.510009766 7665547.16015625 72.833, 639966.510009766 7665547.08007813 72.853, 639965.510009766 7665547.27978516 72.873, 639964.530029297 7665547.74023438 72.883, 639963.520019531 7665548.64013672 72.853, 639963.08996582 7665549.91015625 72.853, 639963.069946289 7665550.89013672 72.843, 639963.579956055 7665552.20019531 72.713)</t>
  </si>
  <si>
    <t>POLYGON Z ((639963.579956055 7665552.20019531 72.713, 639964.199951172 7665553.08007813 72.713, 639965.329956055 7665553.89990234 72.713, 639966.33996582 7665554.25976563 72.713, 639967.109985352 7665554.31005859 72.753, 639967.760009766 7665554.20019531 72.763, 639968.609985352 7665553.77978516 72.783, 639969.390014648 7665553.16992187 72.783, 639969.949951172 7665552.33984375 72.803, 639970.25 7665551.29003906 72.853, 639970.290039063 7665550.10986328 72.813, 639970.020019531 7665549.10009766 72.783, 639969.540039063 7665548.24023437 72.833, 639968.66003418 7665547.56005859 72.843, 639967.510009766 7665547.16015625 72.833, 639966.510009766 7665547.08007813 72.853, 639965.510009766 7665547.27978516 72.873, 639964.530029297 7665547.74023438 72.883, 639963.520019531 7665548.64013672 72.853, 639963.08996582 7665549.91015625 72.853, 639963.069946289 7665550.89013672 72.843, 639963.579956055 7665552.20019531 72.713))</t>
  </si>
  <si>
    <t>['FV57 S15D1 m5810 SD1 m4-52']</t>
  </si>
  <si>
    <t>LINESTRING Z (-14859.6752296266 6833895.74664561 -999999, -14858.6783286467 6833891.49320143 -999999, -14858.8777088427 6833887.23975725 -999999, -14860.1404500838 6833881.5906517 -999999, -14861.4031913249 6833878.3341085 -999999, -14862.5330124353 6833875.80862602 -999999, -14863.3305332192 6833873.28314353 -999999, -14864.9920348522 6833870.2924406 -999999, -14863.1976130886 6833865.1085555 -999999, -14860.2733702144 6833860.45635093 -999999, -14858.6118685814 6833856.80104734 -999999, -14848.3105584567 6833850.28796093 -999999, -14845.7850759745 6833848.49353917 -999999, -14840.2688905529 6833845.63575636 -999999, -14837.6769480054 6833843.30965407 -999999, -14835.0185453926 6833839.98665081 -999999, -14833.2241236289 6833837.72700859 -999999)</t>
  </si>
  <si>
    <t>POLYGON ((-14858.191520491422 6833891.607297092, -14858.183072894182 6833891.561916346, -14858.178846409266 6833891.515949935, -14858.178877059516 6833891.469789637, -14858.378257255516 6833887.216345457, -14858.382149642503 6833887.173266054, -14858.389750765997 6833887.130684268, -14859.652492007097 6833881.481578718, -14859.66203595626 6833881.44532475, -14859.67426942933 6833881.409887773, -14860.93701067043 6833878.1533445725, -14860.946782199031 6833878.12992547, -14862.064871904027 6833875.630666132, -14862.85374188649 6833873.132577846, -14862.871275815316 6833873.0854502395, -14862.893454581466 6833873.0403220635, -14864.446468889493 6833870.244896318, -14862.743839845754 6833865.326190188, -14859.850051939851 6833860.722436703, -14859.818186975725 6833860.663252402, -14858.218468765775 6833857.143872343, -14848.04335682626 6833850.710575753, -14848.020954891059 6833850.695551135, -14845.52400024352 6833848.921399153, -14840.038888114708 6833846.079714554, -14840.002253590517 6833846.058727671, -14839.967520228163 6833846.03472494, -14839.934935681686 6833846.007877502, -14837.342993134187 6833843.681775211, -14837.313522391136 6833843.653051541, -14837.286513600935 6833843.622001594, -14834.628110988135 6833840.2989983335, -14834.626989968909 6833840.297591882, -14832.832568205207 6833838.037949662, -14833.615679052591 6833837.416067517, -14835.409541629433 6833839.675005577, -14838.041608779617 6833842.965089508, -14840.555444520905 6833845.221095947, -14846.01507841269 6833848.049580976, -14846.074679540141 6833848.0859489655, -14848.589163768913 6833849.872556176, -14858.87907021184 6833856.378432517, -14858.918636097706 6833856.406213589, -14858.95533401739 6833856.437685957, -14858.988820882438 6833856.472555388, -14859.018783624508 6833856.510495885, -14859.044942122251 6833856.551152746, -14859.067051820075 6833856.594145868, -14860.714614582028 6833860.218783942, -14863.620931363148 6833864.842469728, -14863.64844299187 6833864.892332471, -14863.670106125364 6833864.945000218, -14865.464527888964 6833870.128885318, -14865.47771894426 6833870.173651027, -14865.486678773024 6833870.219451617, -14865.491329318102 6833870.26588808, -14865.491630064449 6833870.312555865, -14865.487578392 6833870.359048408, -14865.47920959848 6833870.404960671, -14865.466596591901 6833870.449892673, -14865.4498492554 6833870.493452968, -14865.429113489932 6833870.535262066, -14863.792124846033 6833873.481841615, -14863.009803768009 6833875.959191704, -14862.98942156117 6833876.01280905, -14861.86478345224 6833878.526705997, -14860.62021276425 6833881.736388298, -14859.37512937615 6833887.306498189, -14859.181044380175 6833891.4469781015, -14860.162037781878 6833895.632549948, -14859.188421471323 6833895.860741272, -14858.191520491422 6833891.607297092))</t>
  </si>
  <si>
    <t>LINESTRING Z (-11038.0209995225 6812503.07553422 -999999, -11025.3480234734 6812488.17622454 -999999, -11018.6690225826 6812483.38104441 -999999, -11011.3906241761 6812478.50023607 -999999, -11003.3415718206 6812473.87631238 -999999)</t>
  </si>
  <si>
    <t>POLYGON ((-11025.006765736043 6812488.5467371335, -11018.3839098201 6812483.791866216, -11011.12653806221 6812478.925158099, -11003.092509590459 6812474.309865151, -11003.59063405074 6812473.442759609, -11011.63968640624 6812478.066683299, -11011.669100690928 6812478.084964074, -11018.947499097429 6812482.965772415, -11018.96062597427 6812482.974882543, -11025.63962686507 6812487.770062673, -11025.686759277593 6812487.808450078, -11025.728885097686 6812487.852273273, -11038.401861146785 6812502.751582953, -11037.640137898214 6812503.399485487, -11025.006765736043 6812488.5467371335))</t>
  </si>
  <si>
    <t>[608]</t>
  </si>
  <si>
    <t>['FV608 S1D1 m3810-3846']</t>
  </si>
  <si>
    <t>LINESTRING Z (-29818.6443464295 6841976.21246001 -999999, -29826.1091530171 6841977.07794483 -999999, -29838.0095693162 6841976.75338802 -999999, -29847.2053455474 6841975.7797176 -999999, -29854.0210385187 6841974.80604718 -999999)</t>
  </si>
  <si>
    <t>POLYGON ((-29826.131242245174 6841976.57715648, -29837.976379484473 6841976.254107282, -29847.14364631396 6841975.283455503, -29853.95032784088 6841974.311072432, -29854.091749196516 6841975.301021927, -29847.27605622522 6841976.274692347, -29847.25799243215 6841976.27693818, -29838.06221620095 6841977.250608601, -29838.02320061136 6841977.253202174, -29826.122784312258 6841977.577758984, -29826.05156775717 6841977.574617698, -29818.586761169572 6841976.709132878, -29818.70193168943 6841975.7157871425, -29826.131242245174 6841976.57715648))</t>
  </si>
  <si>
    <t>2025-11-22T09:07:58Z</t>
  </si>
  <si>
    <t>['FV57 S13D1 m51 SD1 m3-65']</t>
  </si>
  <si>
    <t>LINESTRING Z (-16631.8477104666 6818287.0353945 -999999, -16628.6983558273 6818288.83502572 -999999, -16625.0990933823 6818289.84731829 -999999, -16621.1624000832 6818290.7471339 -999999, -16613.9638751934 6818294.23391939 -999999, -16607.8901198176 6818299.2953822 -999999, -16604.5158112754 6818302.33225989 -999999, -16600.9165488305 6818306.38143014 -999999, -16597.8796711426 6818309.98069259 -999999, -16595.0677473575 6818313.69243198 -999999, -16593.7180239407 6818316.39187882 -999999, -16591.6934388154 6818320.21609516 -999999, -16590.0062845444 6818326.51480444 -999999, -16589.4438997873 6818332.13865201 -999999, -16589.5563767388 6818337.08763788 -999999, -16589.2189458845 6818339.44965385 -999999)</t>
  </si>
  <si>
    <t>POLYGON ((-16628.94642529625 6818289.269147292, -16628.89152425986 6818289.296204598, -16628.833728616606 6818289.31635119, -16625.23446617161 6818290.32864376, -16625.21050578298 6818290.334747544, -16621.329216122853 6818291.221899466, -16614.236936605954 6818294.657222352, -16608.21752575839 6818299.673398055, -16604.871004425724 6818302.685267257, -16601.29453687134 6818306.708793255, -16598.270286376555 6818310.293090142, -16595.494253720215 6818313.9574532425, -16594.165237536417 6818316.615485617, -16594.15991789867 6818316.625822681, -16592.161785057182 6818320.400073596, -16590.499763279207 6818326.604954902, -16589.94446680388 6818332.157919655, -16590.056247656576 6818337.076277177, -16590.055489353326 6818337.117413675, -16590.05135148559 6818337.1583485585, -16589.713920631286 6818339.5203645285, -16588.72397113771 6818339.378943171, -16589.055568601714 6818337.057760933, -16588.944028869526 6818332.150012713, -16588.946381192196 6818332.088900151, -16589.508765949297 6818326.46505258, -16589.514424677083 6818326.424949719, -16589.52331051864 6818326.385436397, -16591.21046478964 6818320.086727117, -16591.228058087174 6818320.033281654, -16591.25154485743 6818319.982151299, -16593.273410079622 6818316.163072553, -16594.620533761783 6818313.468825183, -16594.643058129357 6818313.428539843, -16594.669201283665 6818313.3905031355, -16597.481125068764 6818309.678763745, -16597.497525400628 6818309.65825712, -16600.534403088528 6818306.05899467, -16600.542844171177 6818306.04924822, -16604.142106616076 6818302.00007797, -16604.18132890947 6818301.960612817, -16607.55563745167 6818298.923735127, -16607.570027617876 6818298.91127156, -16613.643782993677 6818293.84980875, -16613.69283788259 6818293.813754212, -16613.745910966758 6818293.783928728, -16620.94443585656 6818290.297143239, -16620.996651319456 6818290.275405857, -16621.050987682524 6818290.259704647, -16624.975625311552 6818289.362644617, -16628.503729164713 6818288.370365403, -16631.59964099765 6818286.6012729285, -16632.095779935553 6818287.4695160715, -16628.94642529625 6818289.269147292))</t>
  </si>
  <si>
    <t>['RV5 S17D1 m4715 SD1 m3-136']</t>
  </si>
  <si>
    <t>LINESTRING Z (-4656.0162030658685 6865691.600900963 -0.0035295297857374, -4733.0763449021615 6865727.313905363 -0.0034814935643226)</t>
  </si>
  <si>
    <t>['RV5 S19D1 m2813-2884']</t>
  </si>
  <si>
    <t>LINESTRING Z (-21463.372612970765 6869452.988166265 -0.0129306185990572, -21398.880297185795 6869423.222481786 -0.0128845851868391)</t>
  </si>
  <si>
    <t>POLYGON ((-21398.670768095493 6869423.676461478, -21399.089826276097 6869422.768502095, -21463.582142061066 6869452.534186574, -21463.163083880463 6869453.442145957, -21398.670768095493 6869423.676461478))</t>
  </si>
  <si>
    <t>['RV5 S19D1 m2895-3299']</t>
  </si>
  <si>
    <t>LINESTRING Z (-21473.95596735651 6869456.956924197 -0.012939315289259, -21526.21127963293 6869481.761661263 -0.0129754235967994, -21555.64623401669 6869494.660124539 -0.0129970470443368, -21591.034325239947 6869512.188805402 -0.0130203207954764, -21606.90935681807 6869519.464861607 -0.0130314882844687, -21621.13073927362 6869525.417998503 -0.0130422124639153, -21630.06044453499 6869529.717486262 -0.0130482045933604, -21641.96671821829 6869535.009163507 -0.0130567597225308, -21665.77926558559 6869545.261788159 -0.0130742704495788, -21689.9225427747 6869557.168061951 -0.0130899893119931, -21715.38873926463 6869568.082146259 -0.0131086809560657, -21734.571069088066 6869575.688932293 -0.0131235402077436, -21742.50858487666 6869579.657690222 -0.0131285944953561, -21752.76120943867 6869581.972799021 -0.0131388399749994, -21760.698725230293 6869583.29571833 -0.0131473941728473)</t>
  </si>
  <si>
    <t>POLYGON ((-21526.418872485443 6869481.306730298, -21555.846913334808 6869494.202164048, -21555.86816430227 6869494.212076608, -21591.249502932023 6869511.737412728, -21607.110110742677 6869519.00685804, -21621.32380831917 6869524.956778009, -21621.347647084684 6869524.967497669, -21630.270481883003 6869529.263677428, -21642.16712424104 6869534.551074084, -21665.976994762168 6869544.802546204, -21666.000411829296 6869544.813352725, -21690.13174404354 6869556.713735844, -21715.57941121345 6869567.619879015, -21734.755381949664 6869575.224143342, -21734.79467588739 6869575.241718698, -21742.677911730912 6869579.183336655, -21752.85745237777 6869581.481942633, -21760.780924724582 6869582.8025213685, -21760.616525736004 6869583.788915291, -21752.679009944382 6869582.465995982, -21752.65107900176 6869582.4605195215, -21742.39845443975 6869580.145410723, -21742.340491634473 6869580.128587942, -21742.284978077336 6869580.104903817, -21734.36673063565 6869576.145780061, -21715.20442640303 6869568.54693521, -21715.191779613848 6869568.541718774, -21689.72558312392 6869557.627634466, -21689.701396530992 6869557.616497385, -21665.56968848523 6869545.715928924, -21641.76898904171 6869535.468405462, -21641.763648983586 6869535.466069281, -21629.857375300286 6869530.174392036, -21629.843536723925 6869530.167987096, -21620.925610706414 6869525.874170825, -21606.716287772517 6869519.926082101, -21606.701029461285 6869519.919394018, -21590.825997883163 6869512.643337813, -21590.81239495437 6869512.636853334, -21555.434812956355 6869495.113377975, -21526.010600314814 6869482.219621754, -21525.996867858383 6869482.213355398, -21473.74155558196 6869457.408618332, -21474.170379131057 6869456.505230063, -21526.418872485443 6869481.306730298))</t>
  </si>
  <si>
    <t>['RV5 S20D1 m4598-4731']</t>
  </si>
  <si>
    <t>LINESTRING Z (-25916.815065889037 6869749.156726997 -0.0096823330968618, -25931.20181325788 6869746.841618205 -0.0096975592896342, -25954.02217115194 6869744.691874328 -0.0097202695906162, -25988.748802723363 6869745.684063813 -0.0097507946193218, -26008.757957102614 6869748.495267345 -0.009766262024641, -26031.57831498969 6869752.133295448 -0.0097834942862391, -26050.760644806433 6869755.60595864 -0.0097975870594382)</t>
  </si>
  <si>
    <t>POLYGON ((-25931.12237543857 6869746.347968904, -25931.15491942096 6869746.343822095, -25953.975277315018 6869744.194078217, -25954.03645103905 6869744.192078285, -25988.763082610472 6869745.18426777, -25988.818367440814 6869745.188926711, -26008.827521820065 6869748.000130243, -26008.836673245594 6869748.001502452, -26031.65703113267 6869751.639530555, -26031.66738444052 6869751.641292772, -26050.849714257263 6869755.113955964, -26050.6715753556 6869756.097961315, -26031.49441295618 6869752.626233604, -26008.68381030745 6869748.989760684, -25988.706750983223 6869746.183066375, -25954.038539445766 6869745.192546033, -25931.26504714133 6869747.3378750365, -25916.89450370835 6869749.650376298, -25916.735628069724 6869748.663077696, -25931.12237543857 6869746.347968904))</t>
  </si>
  <si>
    <t>['RV5 S20D1 m4649-4888']</t>
  </si>
  <si>
    <t>LINESTRING Z (-25968.574283416267 6869756.267418294 -0.0097224963828921, -25989.410262358608 6869757.259607775 -0.0097404355183244, -26024.467623750097 6869762.55128502 -0.0097671905532479, -26048.280171108898 6869767.512232431 -0.0097840698435903, -26074.738557064557 6869771.150260535 -0.0098045989871025, -26101.196943019633 6869775.449748292 -0.009824501350522, -26139.561602658825 6869778.426316744 -0.0098564457148314, -26186.194507914828 6869776.772667609 -0.009900264441967, -26206.69975703617 6869774.457558814 -0.0099210347980261)</t>
  </si>
  <si>
    <t>POLYGON ((-25989.434044933496 6869756.760173706, -25989.484888705516 6869756.765208232, -26024.542250097005 6869762.056885477, -26024.569600878032 6869762.06179481, -26048.365314842027 6869767.019235264, -26074.80666623544 6869770.654921115, -26074.81875509995 6869770.656734168, -26101.25648460427 6869774.952865251, -26139.57211486069 6869777.925629699, -26186.157545887716 6869776.273664048, -26206.643661817317 6869773.960715452, -26206.755852255024 6869774.954402177, -26186.25060313368 6869777.269510971, -26186.212227274023 6869777.272353535, -26139.57932201802 6869778.926002669, -26139.52292579032 6869778.924818599, -26101.158266151127 6869775.948250147, -26101.11674498424 6869775.943274659, -26074.664392362567 6869771.644767319, -26048.212061938015 6869768.007571851, -26048.178193980963 6869768.001722641, -26024.379253764055 6869763.043610051, -25989.36092911894 6869757.7578251455, -25968.55050084138 6869756.766852363, -25968.598065991155 6869755.767984225, -25989.434044933496 6869756.760173706))</t>
  </si>
  <si>
    <t>['RV5 S20D1 m5211-5401']</t>
  </si>
  <si>
    <t>LINESTRING Z (-26676.99756726192 6869938.003458543 -0.0103095080703497, -26639.79046203918 6869911.710437257 -0.0102700367569923, -26619.285212940304 6869896.662230103 -0.0102487476542592, -26598.283869102364 6869881.944752775 -0.010226366110146, -26573.14840246283 6869864.58143683 -0.0101993707939982, -26554.792897218955 6869851.848338467 -0.0101797012612224, -26537.76031127025 6869841.761078729 -0.0101600121706724, -26522.877469179104 6869833.492833038 -0.0101516572758555, -26518.577981463866 6869830.681629504 -0.0101504223421216)</t>
  </si>
  <si>
    <t>POLYGON ((-26639.501906723952 6869912.118770246, -26639.494639292854 6869912.113536379, -26618.993793062895 6869897.068560364, -26597.99830080228 6869882.355183747, -26572.864219835767 6869864.99282501, -26572.863412674935 6869864.99226626, -26554.52266091954 6869852.269402299, -26537.511459832127 6869842.194807382, -26522.634647711602 6869833.929911675, -26522.603844495727 6869833.911317844, -26518.30435678049 6869831.10011431, -26518.851606147244 6869830.263144698, -26523.13602697798 6869833.064496807, -26538.00313273775 6869841.324000092, -26538.015097966392 6869841.330865132, -26555.047683915098 6869851.4181248695, -26555.07788700685 6869851.437509037, -26573.432988851262 6869864.170327564, -26598.568051729428 6869881.533364595, -26598.570816621028 6869881.535288342, -26619.572160458967 6869896.25276567, -26619.581035686628 6869896.259130981, -26640.08267448389 6869911.304688639, -26677.286122577145 6869937.595125553, -26676.709011946692 6869938.411791532, -26639.501906723952 6869912.118770246))</t>
  </si>
  <si>
    <t>['RV5 S20D1 m5118-5207']</t>
  </si>
  <si>
    <t>LINESTRING Z (-26432.918956964044 6869795.293537957 -0.0101062953472137, -26461.3617218578 6869805.546162614 -0.0101223653182387, -26472.937265709857 6869810.011015279 -0.010128628462553, -26484.843539384776 6869814.806597784 -0.0101348785683513, -26492.119595520664 6869817.617801318 -0.0101388115435839, -26501.87612533674 6869822.248018902 -0.0101432697847486, -26511.467290242086 6869826.878236488 -0.0101475790143013, -26515.436048132717 6869829.193345284 -0.0101489834487438)</t>
  </si>
  <si>
    <t>POLYGON ((-26461.531275257 6869805.075788672, -26461.54165789321 6869805.079661785, -26473.117201745266 6869809.54451445, -26473.124071133276 6869809.547222509, -26485.027051135745 6869814.341478396, -26492.299795161758 6869817.151402251, -26492.333967748487 6869817.166088413, -26502.090497564564 6869821.796305997, -26502.093499871415 6869821.797743085, -26511.68466477676 6869826.4279606715, -26511.71922575697 6869826.446347039, -26515.6879836476 6869828.761455835, -26515.184112617833 6869829.625234733, -26511.232275047747 6869827.319996125, -26501.66024963066 6869822.699018291, -26491.92203627631 6869818.077493265, -26484.66333974368 6869815.272996851, -26484.656733961358 6869815.270390554, -26472.75388500681 6869810.476187451, -26461.18695567195 6869806.014657527, -26432.749403564845 6869795.763911898, -26433.088510363243 6869794.823164015, -26461.531275257 6869805.075788672))</t>
  </si>
  <si>
    <t>['RV5 S20D1 m5217-5483']</t>
  </si>
  <si>
    <t>LINESTRING Z (-26518.577981447685 6869843.9108226085 -0.0101379016414285, -26536.106662133243 6869854.163447262 -0.0101469680666924, -26555.28899193788 6869867.061910535 -0.0101678632199764, -26574.47132174438 6869878.968184326 -0.0101895835250616, -26602.252626977162 6869898.150514326 -0.0102194286882877, -26620.112037483137 6869911.379707428 -0.0102378679439425, -26642.27093570493 6869926.924009321 -0.010261470451951, -26666.744942695135 6869944.452690184 -0.0102872401475906, -26690.557490038103 6869961.319911385 -0.010312469676137, -26705.7710619492 6869973.226185178 -0.0103276493027806, -26726.607040872565 6869988.770487071 -0.0103490725159645, -26736.198205775232 6869995.385083624 -0.0103593841195107)</t>
  </si>
  <si>
    <t>POLYGON ((-26536.35910379262 6869853.731853461, -26536.385660930024 6869853.748525978, -26555.560422332906 6869866.641900154, -26574.73500317715 6869878.543364244, -26574.75541710489 6869878.556735877, -26602.536722337674 6869897.739065877, -26602.550240754426 6869897.748735731, -26620.404463655006 6869910.974086162, -26642.558076761172 6869926.514680586, -26642.5620741918 6869926.51751408, -26667.035018228515 6869944.045433638, -26690.84649871039 6869960.911899146, -26690.86564417092 6869960.926158886, -26706.074670085767 6869972.828874944, -26726.898565597858 6869988.364162228, -26736.482072255127 6869994.973477232, -26735.914339295337 6869995.796690016, -26726.32317439267 6869989.182093463, -26726.308059650233 6869989.171249131, -26705.472080726868 6869973.626947238, -26705.46290781638 6869973.619937677, -26690.258738386383 6869961.721022347, -26666.455934022848 6869944.860702423, -26666.453804208268 6869944.859185426, -26641.981788989488 6869927.331931102, -26619.824896426897 6869911.789036163, -26619.814423705873 6869911.781486023, -26601.961692029687 6869898.557240203, -26574.197270147433 6869879.386567755, -26555.02531050511 6869867.4867306175, -26555.0099931411 6869867.476831819, -26535.8406803782 6869854.587121384, -26518.325539788308 6869844.342416409, -26518.83042310706 6869843.479228808, -26536.35910379262 6869853.731853461))</t>
  </si>
  <si>
    <t>['RV5 S20D1 m5123-5209']</t>
  </si>
  <si>
    <t>LINESTRING Z (-26433.58041659894 6869806.869081919 -0.010095939040184, -26489.80448673619 6869829.027980367 -0.010125913657248, -26511.632655138732 6869840.272794502 -0.0101350508630276)</t>
  </si>
  <si>
    <t>POLYGON ((-26489.987820774448 6869828.562804453, -26490.03346503279 6869828.583493089, -26511.861633435332 6869839.828307224, -26511.403676842132 6869840.717281779, -26489.597811521937 6869829.483957111, -26433.39708256068 6869807.334257833, -26433.763750637198 6869806.403906005, -26489.987820774448 6869828.562804453))</t>
  </si>
  <si>
    <t>['RV5 S20D1 m5409-5497']</t>
  </si>
  <si>
    <t>LINESTRING Z (-26683.777528658393 6869941.972216477 -0.0103173851966858, -26755.215170684038 6869993.731434487 -0.0103921135887504)</t>
  </si>
  <si>
    <t>POLYGON ((-26755.508531589825 6869993.326540206, -26754.92180977825 6869994.136328768, -26683.484167752606 6869942.377110758, -26684.07088956418 6869941.5673221955, -26755.508531589825 6869993.326540206))</t>
  </si>
  <si>
    <t>['RV5 S20D1 m5523-5637']</t>
  </si>
  <si>
    <t>LINESTRING Z (-26775.72041978268 6870008.945006558 -0.0104132676497102, -26855.095577590866 6870063.019333357 -0.0197321884334087, -26870.309149504756 6870072.279768529 -0.0197538044303656)</t>
  </si>
  <si>
    <t>POLYGON ((-26855.36649618755 6870062.598896328, -26870.569122980134 6870071.852669253, -26870.049176029377 6870072.706867806, -26854.835604115488 6870063.446432633, -26854.814069474687 6870063.432556275, -26775.4389116665 6870009.358229476, -26776.00192789886 6870008.531783639, -26855.36649618755 6870062.598896328))</t>
  </si>
  <si>
    <t>['RV5 S20D1 m5541-5723']</t>
  </si>
  <si>
    <t>LINESTRING Z (-26783.82330045849 6870028.45806638 -0.0196137931197882, -26851.622914420208 6870074.429512409 -0.0197019316256046, -26880.065679304418 6870091.29673361 -0.0197430420666933, -26909.169903838076 6870106.841035508 -0.0197881404310465, -26928.682963471627 6870115.440011025 -0.0198217295110226, -26942.24288626865 6870120.400958437 -0.0198469627648592)</t>
  </si>
  <si>
    <t>POLYGON ((-26851.89098061889 6870074.007173765, -26880.311098248512 6870090.860964619, -26909.388807104264 6870106.391104734, -26928.869866826262 6870114.975978595, -26942.414677035697 6870119.931397011, -26942.071095501604 6870120.8705198625, -26928.51117270458 6870115.909572451, -26928.481334310294 6870115.897554117, -26908.968274676743 6870107.2985785995, -26908.93434963188 6870107.282073166, -26879.830125098222 6870091.737771269, -26879.810641043954 6870091.726798124, -26851.367876159744 6870074.859576922, -26851.34231182559 6870074.843350763, -26783.54269786387 6870028.8719047345, -26784.10390305311 6870028.044228025, -26851.89098061889 6870074.007173765))</t>
  </si>
  <si>
    <t>['RV5 S20D1 m5642-5813']</t>
  </si>
  <si>
    <t>LINESTRING Z (-26874.11254248256 6870075.752431718 -0.0197570249438286, -26913.138661746518 6870095.2654915415 -0.0198201648890972, -26949.51894241874 6870110.479063611 -0.0198844149708748, -26988.5450616912 6870122.385337403 -0.0199615582823753, -27031.539938857895 6870132.9686918855 -0.0200512763112783)</t>
  </si>
  <si>
    <t>POLYGON ((-26913.34715454697 6870094.810720947, -26949.688769540455 6870110.008123732, -26988.677867652234 6870121.903102933, -27031.659448382554 6870132.483184447, -27031.420429333237 6870133.454199324, -26988.42555216654 6870122.870844842, -26988.399158368353 6870122.863576068, -26949.373039095895 6870110.957302275, -26949.326039351883 6870110.940353548, -26912.94575867966 6870095.726781479, -26912.91505494701 6870095.712705136, -26873.88893568305 6870076.1996453125, -26874.336149282066 6870075.305218123, -26913.34715454697 6870094.810720947))</t>
  </si>
  <si>
    <t>['RV5 S20D1 m5814-5938']</t>
  </si>
  <si>
    <t>LINESTRING Z (-27033.193587980466 6870132.637962056 -0.0200561452656984, -27072.55043708277 6870139.583288439 -0.0201435014605522, -27084.45671084046 6870075.090972069 -0.0202987641096115)</t>
  </si>
  <si>
    <t>POLYGON ((-27072.148806549227 6870139.004686682, -27083.96501975022 6870075.000198329, -27084.9484019307 6870075.181745809, -27073.04212817301 6870139.6740621785, -27073.030931397847 6870139.721582376, -27073.0151535189 6870139.767784059, -27072.99494496473 6870139.812226733, -27072.97049840668 6870139.854486676, -27072.942046921857 6870139.894160975, -27072.909861770917 6870139.930871369, -27072.87424981185 6870139.964267856, -27072.835550574342 6870139.994032029, -27072.794133022646 6870140.019880111, -27072.750392037822 6870140.041565665, -27072.70474465289 6870140.058881935, -27072.65762607676 6870140.071663827, -27072.60948554492 6870140.079789475, -27072.560782036304 6870140.083181409, -27072.511979897372 6870140.081807289, -27072.463544414964 6870140.075680218, -27033.10669531266 6870133.130353835, -27033.28048064827 6870132.145570277, -27072.148806549227 6870139.004686682))</t>
  </si>
  <si>
    <t>['RV5 S20D1 m5732-5866']</t>
  </si>
  <si>
    <t>LINESTRING Z (-26951.172591526178 6870123.212161973 -0.0198644362390041, -26996.31721254869 6870136.772084901 -0.0199539102613926, -27015.99563709658 6870142.394491971 -0.0199934151023626, -27033.52431779029 6870145.205695503 -0.0200328081846237, -27059.982703742106 6870149.174453436 -0.0200928021222353, -27082.472331801313 6870152.81248154 -0.0201432835310698)</t>
  </si>
  <si>
    <t>POLYGON ((-26996.45781666487 6870136.292249657, -27016.104291817992 6870141.905528327, -27033.600993310934 6870144.711603121, -27060.056873969304 6870148.67998526, -27060.06254816482 6870148.680869737, -27082.552176224028 6870152.318897841, -27082.392487378598 6870153.30606524, -27059.90569387499 6870149.668495667, -27033.45014756309 6870145.70016368, -27033.44514089601 6870145.699386722, -27015.9164602023 6870142.88818319, -27015.858276531373 6870142.875253944, -26996.17985198348 6870137.252846874, -26996.173377687646 6870137.250949739, -26951.028756665135 6870123.691026811, -26951.31642638722 6870122.733297136, -26996.45781666487 6870136.292249657))</t>
  </si>
  <si>
    <t>2025-11-24</t>
  </si>
  <si>
    <t>2025-11-24T10:49:40Z</t>
  </si>
  <si>
    <t>['RV5 S20D1 m5879-5958']</t>
  </si>
  <si>
    <t>LINESTRING Z (-27096.362984447624 6870136.606719993 -0.020210275426507, -27102.316121353302 6870081.374838792 -0.0203326493501663, -27110.915096809505 6870064.176887761 -0.0109199983999133)</t>
  </si>
  <si>
    <t>2017-08-30</t>
  </si>
  <si>
    <t>2025-11-22T09:08:01Z</t>
  </si>
  <si>
    <t>[7930]</t>
  </si>
  <si>
    <t>['FV7930 S1D1 m13-37']</t>
  </si>
  <si>
    <t>LINESTRING Z (694662.929688 7691911.160156 7.014, 694663.120117 7691910.47998 7.044, 694662.80957 7691910.120117 7.044, 694662.179688 7691910.140137 7.074, 694659.540039 7691911.430176 6.834, 694655.299805 7691913.439941 6.624, 694650.589844 7691915.589844 6.334, 694646.370117 7691917.640137 6.154, 694644.269531 7691918.899902 6.034, 694642.400391 7691920.029785 6.064, 694641.610352 7691920.830078 6.034, 694641.610352 7691921.560059 6.064, 694642.179688 7691922.149902 5.954, 694643.120117 7691922.040039 5.864, 694646.30957 7691920.549805 5.984, 694650.139648 7691918.399902 6.124, 694654.269531 7691916.069824 6.334, 694657.480469 7691914.350098 6.574, 694660.410156 7691912.709961 6.804, 694662.080078 7691911.669922 6.924, 694662.929688 7691911.160156 7.014)</t>
  </si>
  <si>
    <t>POLYGON Z ((694662.929688 7691911.160156 7.014, 694663.120117 7691910.47998 7.044, 694662.80957 7691910.120117 7.044, 694662.179688 7691910.140137 7.074, 694659.540039 7691911.430176 6.834, 694655.299805 7691913.439941 6.624, 694650.589844 7691915.589844 6.334, 694646.370117 7691917.640137 6.154, 694644.269531 7691918.899902 6.034, 694642.400391 7691920.029785 6.064, 694641.610352 7691920.830078 6.034, 694641.610352 7691921.560059 6.064, 694642.179688 7691922.149902 5.954, 694643.120117 7691922.040039 5.864, 694646.30957 7691920.549805 5.984, 694650.139648 7691918.399902 6.124, 694654.269531 7691916.069824 6.334, 694657.480469 7691914.350098 6.574, 694660.410156 7691912.709961 6.804, 694662.080078 7691911.669922 6.924, 694662.929688 7691911.160156 7.014))</t>
  </si>
  <si>
    <t>2013-02-14</t>
  </si>
  <si>
    <t>2025-11-22T09:08:06Z</t>
  </si>
  <si>
    <t>['EV18 S44D1 m5900 SD1 m264-286', 'EV18 S44D1 m5900 SD1 m437-443']</t>
  </si>
  <si>
    <t>LINESTRING Z (229092.468261719 6619115.3203125 -999999, 229065.682128906 6619064.4765625 -999999, 229053.529296875 6619037.44140625 -999999, 229045.034179688 6619020.22265625 -999999, 229047.302246094 6619020.97851563 -999999, 229047.554199219 6619016.44335938 -999999, 229046.546386719 6619013.16796875 -999999, 229047.554199219 6619019.21484375 -999999, 229049.5703125 6619019.97070313 -999999, 229049.318359375 6619011.65429688 -999999, 229053.120117188 6619027.109375 -999999, 229068.162597656 6619045.13085938 -999999, 229083.787597656 6619059.26757813 -999999, 229091.620117188 6619107.640625 -999999, 229092.538085937 6619115.01171875 -999999, 229092.569824219 6619115.515625 -999999, 229092.468261719 6619115.3203125 -999999)</t>
  </si>
  <si>
    <t>2015-03-24</t>
  </si>
  <si>
    <t>['EV39 S79D50 m464-556']</t>
  </si>
  <si>
    <t>LINESTRING Z (-28147.3610229492 6712725.2220459 -99999, -28145.0490112305 6712726.15905762 -99999, -28145.0629882813 6712731.62902832 -99999, -28147.2670288086 6712738.3659668 -99999, -28153.3400268555 6712752.90100098 -99999, -28158.0390014648 6712767.04797363 -99999, -28161.4479980469 6712779.87805176 -99999, -28165.3670043945 6712795.60595703 -99999, -28170.1530151367 6712812.44799805 -99999, -28171.6719970703 6712814.77001953 -99999, -28171.4539794922 6712809.7779541 -99999, -28170.2119750977 6712798.35498047 -99999, -28167.4520263672 6712785.91601563 -99999, -28163.9990234375 6712774.22998047 -99999, -28160.5780029297 6712762.84899902 -99999, -28158.5020141602 6712754.93395996 -99999, -28154.1119995117 6712740.60400391 -99999, -28149.4039916992 6712727.44299316 -99999, -28148.2420043945 6712725.16101074 -99999, -28147.3610229492 6712725.2220459 -99999, -28145.0490112305 6712726.15905762 -99999, -28147.3610229492 6712725.2220459 -99999)</t>
  </si>
  <si>
    <t>[546]</t>
  </si>
  <si>
    <t>['FV546 S1D1 m4416-4492']</t>
  </si>
  <si>
    <t>LINESTRING Z (-33413.9609985352 6719324.38696289 -99999, -33411.5269775391 6719328.41503906 -99999, -33410.4359741211 6719330.13500977 -99999, -33409.7509765625 6719331.43896484 -99999, -33408.0269775391 6719334.81799316 -99999, -33406.7930297852 6719336.96801758 -99999, -33405.882019043 6719338.67602539 -99999, -33404.5540161133 6719341.33605957 -99999, -33403.5529785156 6719343.50805664 -99999, -33402.458984375 6719346.18896484 -99999, -33401.4459838867 6719349.01904297 -99999, -33399.8229980469 6719353.86804199 -99999, -33400.091003418 6719356.07800293 -99999, -33396.950012207 6719363.09802246 -99999, -33393.1539916992 6719371.37597656 -99999, -33390.2219848633 6719370.26904297 -99999, -33384.791015625 6719383.06494141 -99999, -33383.7709960938 6719385.03698731 -99999, -33383.1309814453 6719386.39794922 -99999, -33381.741027832 6719387.00402832 -99999, -33380.2219848633 6719386.66101074 -99999, -33378.5469970703 6719385.16296387 -99999, -33377.7700195313 6719384.06896973 -99999, -33377.2830200195 6719382.03601074 -99999, -33378.7210083008 6719378.37902832 -99999, -33380.4099731445 6719374.9029541 -99999, -33384.9320068359 6719367.37097168 -99999, -33393.299987793 6719354.25695801 -99999, -33402.2230224609 6719341.27294922 -99999, -33408.6069946289 6719331.68395996 -99999, -33417.0330200195 6719319.40905762 -99999, -33417.2449951172 6719319.00598145 -99999, -33413.9609985352 6719324.38696289 -99999)</t>
  </si>
  <si>
    <t>2025-04-30T11:42:35Z</t>
  </si>
  <si>
    <t>[552]</t>
  </si>
  <si>
    <t>['FV552 S1D1 m1613-1628']</t>
  </si>
  <si>
    <t>LINESTRING Z (-27319.3709716797 6710183.62695312 -99999, -27305.5889892578 6710180.44494629 -99999, -27305.3099975586 6710181.60400391 -99999, -27319.0369873047 6710184.78405762 -99999, -27319.3709716797 6710183.62695312 -99999, -27320.3170166016 6710184.72900391 -99999, -27318.2550048828 6710185.57800293 -99999, -27314.1649780273 6710184.59997559 -99999, -27308.1480102539 6710183.00195313 -99999, -27303.8530273438 6710181.28894043 -99999, -27305.9840087891 6710179.51599121 -99999, -27309.3870239258 6710178.95703125 -99999, -27315.4920043945 6710179.75305176 -99999, -27321.3010253906 6710180.18005371 -99999, -27321.3129882813 6710180.66101074 -99999, -27321.0040283203 6710182.72802734 -99999, -27320.3170166016 6710184.72900391 -99999, -27319.3709716797 6710183.62695312 -99999)</t>
  </si>
  <si>
    <t>2025-11-22T09:08:14Z</t>
  </si>
  <si>
    <t>['FV552 S1D1 m1563-1604']</t>
  </si>
  <si>
    <t>LINESTRING Z (-27369.3850097656 6710178.80200195 -99999, -27331.1279907227 6710182.62304688 -99999, -27331.1890258789 6710183.82495117 -99999, -27369.4730224609 6710180.04101562 -99999, -27370.7949829102 6710181.30700684 -99999, -27371.6599731445 6710180.10803223 -99999, -27371.8239746094 6710177.97705078 -99999, -27371.1229858398 6710175.62194824 -99999, -27364.3120117188 6710175.74401856 -99999, -27359.0999755859 6710176.36804199 -99999, -27353.8880004883 6710176.9909668 -99999, -27348.2639770508 6710177.62194824 -99999, -27340.1270141602 6710178.49499512 -99999, -27335.6879882812 6710178.92199707 -99999, -27330.25 6710179.52001953 -99999, -27330.1849975586 6710180.23303223 -99999, -27330.0239868164 6710184.08605957 -99999, -27332.0189819336 6710184.9630127 -99999, -27341.7459716797 6710184.20104981 -99999, -27354.2609863281 6710183.14001465 -99999, -27363.9299926758 6710182.15002441 -99999, -27370.7949829102 6710181.30700684 -99999, -27369.4730224609 6710180.04101562 -99999, -27369.3850097656 6710178.80200195 -99999)</t>
  </si>
  <si>
    <t>['FV552 S1D1 m1522-1540']</t>
  </si>
  <si>
    <t>LINESTRING Z (-27414.4669799805 6710142.93103027 -99999, -27417.0579833984 6710142.37902832 -99999, -27417.7210083008 6710143.02404785 -99999, -27418.4849853516 6710143.21105957 -99999, -27419.1550292969 6710143.13598633 -99999, -27419.7520141602 6710142.80004883 -99999, -27419.9970092773 6710142.25695801 -99999, -27419.8930053711 6710141.68200684 -99999, -27419.3029785156 6710140.96496582 -99999, -27418.7760009766 6710139.81103516 -99999, -27418.5059814453 6710137.57397461 -99999, -27417.9080200195 6710135.46496582 -99999, -27416.799987793 6710134.89099121 -99999, -27415.625 6710134.80895996 -99999, -27415.0819702148 6710135.07897949 -99999, -27414.7529907227 6710135.64294434 -99999, -27415.4459838867 6710139.66296387 -99999, -27417.0579833984 6710142.37902832 -99999, -27414.4669799805 6710142.93103027 -99999, -27417.6920166016 6710145.2199707 -99999, -27420.3560180664 6710146.04699707 -99999, -27423.0889892578 6710146.1159668 -99999, -27426.9010009766 6710145.18505859 -99999, -27430.1380004883 6710143.37597656 -99999, -27432.6849975586 6710141.29296875 -99999, -27434.2230224609 6710139.11694336 -99999, -27435.1090087891 6710137.25402832 -99999, -27434.0479736328 6710136.62402344 -99999, -27431.3699951172 6710135.95605469 -99999, -27428.7709960937 6710135.40600586 -99999, -27424.6389770508 6710134.78601074 -99999, -27421.7899780273 6710134.22399902 -99999, -27419.8920288086 6710134.05004883 -99999, -27416.9990234375 6710133.52404785 -99999, -27414.6770019531 6710133.14099121 -99999, -27411.8870239258 6710132.38195801 -99999, -27411.6350097656 6710133.48706055 -99999, -27411.7130126953 6710135.93103027 -99999, -27412.4669799805 6710139.69604492 -99999, -27414.4669799805 6710142.93103027 -99999)</t>
  </si>
  <si>
    <t>[583]</t>
  </si>
  <si>
    <t>['FV583 S1D1 m0-32']</t>
  </si>
  <si>
    <t>LINESTRING Z (-27432.8519897461 6710160.6340332 -99999, -27432.3170166016 6710161.12097168 -99999, -27431.4990234375 6710162.00500488 -99999, -27430.9439697266 6710163.07800293 -99999, -27430.5889892578 6710163.99499512 -99999, -27430.3070068359 6710164.47705078 -99999, -27429.8449707031 6710164.67199707 -99999, -27429.2689819336 6710164.38195801 -99999, -27429.007019043 6710162.56396484 -99999, -27429.2830200195 6710160.84301758 -99999, -27429.5330200195 6710159.57202148 -99999, -27430.2080078125 6710158.29602051 -99999, -27430.625 6710157.88793945 -99999, -27431.5369873047 6710157.68103027 -99999, -27432.8649902344 6710157.80297852 -99999, -27433.2239990234 6710158.03601074 -99999, -27433.2919921875 6710158.75598145 -99999, -27433.1829833984 6710159.70495606 -99999, -27432.8519897461 6710160.6340332 -99999, -27436.0930175781 6710160.41699219 -99999, -27436.6669921875 6710157.66003418 -99999, -27435.208984375 6710155.09997559 -99999, -27433.1370239258 6710154.30603027 -99999, -27431.200012207 6710154.67297363 -99999, -27429.2260131836 6710156.64697266 -99999, -27427.741027832 6710159.34204102 -99999, -27427.0880126953 6710161.63903809 -99999, -27427.4069824219 6710164.86999512 -99999, -27428.7329711914 6710173.39099121 -99999, -27429.9689941406 6710179.5970459 -99999, -27431.1140136719 6710186.45996094 -99999, -27431.3950195313 6710195.05603027 -99999, -27430.7509765625 6710200.3449707 -99999, -27429.9639892578 6710205.30895996 -99999, -27431.7119750977 6710206.57604981 -99999, -27432.6900024414 6710206.56494141 -99999, -27433.5800170898 6710206.08203125 -99999, -27434.1859741211 6710204.18395996 -99999, -27435.1439819336 6710201.08898926 -99999, -27435.4199829102 6710196.08898926 -99999, -27435.3870239258 6710191.93603516 -99999, -27434.8480224609 6710186.25695801 -99999, -27434.1439819336 6710179.96899414 -99999, -27433.3729858398 6710175.18505859 -99999, -27433.2180175781 6710169.7220459 -99999, -27434.4279785156 6710164.41503906 -99999, -27436.0930175781 6710160.41699219 -99999, -27432.8519897461 6710160.6340332 -99999)</t>
  </si>
  <si>
    <t>['FV552 S1D60 m71-96']</t>
  </si>
  <si>
    <t>LINESTRING Z (-27423.0050048828 6710260.27600098 -99999, -27421.7100219727 6710265.59094238 -99999, -27421.866027832 6710265.77905273 -99999, -27421.075012207 6710266.83398438 -99999, -27415.3579711914 6710267.61303711 -99999, -27414.3040161133 6710262.05004883 -99999, -27414.7349853516 6710260.18103027 -99999, -27421.7100219727 6710265.59094238 -99999, -27423.0050048828 6710260.27600098 -99999, -27425.7709960938 6710262.74401856 -99999, -27426.8880004883 6710264.72998047 -99999, -27426.7600097656 6710265.69494629 -99999, -27426.3880004883 6710267.12097168 -99999, -27425.0780029297 6710268.67297363 -99999, -27422.1489868164 6710269.8659668 -99999, -27414.7609863281 6710270.91198731 -99999, -27413.083984375 6710270.40795898 -99999, -27412.1729736328 6710269.97595215 -99999, -27411.4849853516 6710269.05700684 -99999, -27411.25 6710266.05505371 -99999, -27410.4409790039 6710255.97094727 -99999, -27409.4030151367 6710247.64599609 -99999, -27409.3649902344 6710246.59802246 -99999, -27410.0560302734 6710246.29296875 -99999, -27411.0479736328 6710246.18701172 -99999, -27412.9099731445 6710249.07995606 -99999, -27414.3369750977 6710251.86901856 -99999, -27415.9199829102 6710255.26696777 -99999, -27417.7219848633 6710256.92199707 -99999, -27420.2520141602 6710258.55395508 -99999, -27423.0050048828 6710260.27600098 -99999)</t>
  </si>
  <si>
    <t>['FV552 S1D1 m1540-1559']</t>
  </si>
  <si>
    <t>LINESTRING Z (-27375.4400024414 6710176.10205078 -99999, -27375.7470092773 6710178.47705078 -99999, -27376.2620239258 6710180.21594238 -99999, -27377.3649902344 6710180.60900879 -99999, -27380.3859863281 6710180.39196777 -99999, -27383.6699829102 6710180.60095215 -99999, -27386.5360107422 6710182.19299317 -99999, -27388.0850219727 6710185.40600586 -99999, -27388.3709716797 6710188.44299316 -99999, -27388.8549804688 6710190.43798828 -99999, -27389.9840087891 6710189.58496094 -99999, -27391.1510009766 6710187.67895508 -99999, -27391.791015625 6710185.32897949 -99999, -27391.7449951172 6710182.12805176 -99999, -27390.3439941406 6710179.76599121 -99999, -27387.9420166016 6710177.62304688 -99999, -27385.8510131836 6710176.47497559 -99999, -27381.1229858398 6710175.34399414 -99999, -27375.4650268555 6710175.50598145 -99999, -27376.5180053711 6710178.25695801 -99999, -27376.6450195313 6710179.45300293 -99999, -27379.4699707031 6710179.1529541 -99999, -27381.7310180664 6710179.22497559 -99999, -27383.75 6710179.51599121 -99999, -27385.4799804688 6710180.32299805 -99999, -27387.033996582 6710181.47399902 -99999, -27388.5120239258 6710183.48596191 -99999, -27388.9899902344 6710185.04504395 -99999, -27389.117980957 6710186.92504883 -99999, -27389.0330200195 6710188.25 -99999, -27390.2310180664 6710188.35998535 -99999, -27390.3239746094 6710186.92199707 -99999, -27390.1820068359 6710184.82495117 -99999, -27389.6030273438 6710182.93798828 -99999, -27387.8959960938 6710180.61499024 -99999, -27386.0989990234 6710179.28295899 -99999, -27384.0980224609 6710178.34997559 -99999, -27381.8359985352 6710178.02404785 -99999, -27379.424987793 6710177.94702148 -99999, -27376.5180053711 6710178.25695801 -99999, -27375.4650268555 6710175.50598145 -99999, -27375.4400024414 6710176.10205078 -99999)</t>
  </si>
  <si>
    <t>['FV566 S1D1 m911 KD1 m15-51']</t>
  </si>
  <si>
    <t>LINESTRING Z (-19822.7310028076 6736775.98803711 -99999, -19821.8070068359 6736776.23498535 -99999, -19820.3589935303 6736776.54602051 -99999, -19818.9609985352 6736776.65100098 -99999, -19818.0809936523 6736776.57104492 -99999, -19816.6560058594 6736776.32104492 -99999, -19815.716003418 6736775.97595215 -99999, -19815.4459991455 6736775.69299316 -99999, -19815.3020019531 6736775.42700195 -99999, -19815.2319946289 6736775.19396973 -99999, -19815.2429962158 6736775.07604981 -99999, -19815.4170074463 6736774.86499023 -99999, -19816.1979980469 6736774.57897949 -99999, -19817.5489959717 6736774.95300293 -99999, -19819.8910064697 6736775.0579834 -99999, -19822.3480072021 6736774.85595703 -99999, -19823.0319976807 6736775.40405274 -99999, -19822.7310028076 6736775.98803711 -99999, -19824.2369995117 6736777.61206055 -99999, -19823.4839935303 6736778.07202148 -99999, -19822.06199646 6736778.52600098 -99999, -19820.4440002441 6736778.82104492 -99999, -19818.43699646 6736778.96899414 -99999, -19816.3300018311 6736778.76599121 -99999, -19814.5800018311 6736778.35900879 -99999, -19812.8300018311 6736777.95202637 -99999, -19810.9470062256 6736777.4029541 -99999, -19808.1999969482 6736776.60095215 -99999, -19806.9450073242 6736776.40100098 -99999, -19805.6889953613 6736776.19995117 -99999, -19804.6699981689 6736776.3380127 -99999, -19803.8430023193 6736776.67504883 -99999, -19802.8609924316 6736777.38598633 -99999, -19801.8800048828 6736778.0970459 -99999, -19800.5599975586 6736779.36999512 -99999, -19799.2400054932 6736780.64404297 -99999, -19797.1390075684 6736783.13000488 -99999, -19796.4179992676 6736784.23803711 -99999, -19795.7079925537 6736785.32604981 -99999, -19794.7149963379 6736786.99694824 -99999, -19793.733001709 6736788.64904785 -99999, -19791.6479949951 6736791.39904785 -99999, -19789.7250061035 6736793.36804199 -99999, -19787.6499938965 6736794.91003418 -99999, -19785.3869934082 6736796.03198242 -99999, -19783.1239929199 6736797.15405273 -99999, -19781.2469940186 6736798.21899414 -99999, -19781.5370025635 6736797.42102051 -99999, -19782.4470062256 6736796.62402344 -99999, -19783.6190032959 6736795.91894531 -99999, -19784.7810058594 6736795.32495117 -99999, -19785.7369995117 6736794.11694336 -99999, -19787.2760009766 6736791.96801758 -99999, -19788.7640075684 6736789.9239502 -99999, -19790.3999938965 6736787.28894043 -99999, -19792.7640075684 6736784.33898926 -99999, -19795.4299926758 6736781.56103516 -99999, -19797.703994751 6736779.27099609 -99999, -19800.2539978027 6736777.16198731 -99999, -19804.203994751 6736774.27294922 -99999, -19809.6490020752 6736771.21398926 -99999, -19816.7129974365 6736768.67199707 -99999, -19823.1300048828 6736766.35400391 -99999, -19826.8710021973 6736765.46105957 -99999, -19829.9589996338 6736767.14697266 -99999, -19833.6690063477 6736769.47802734 -99999, -19836.0549926758 6736770.78295898 -99999, -19839.9299926758 6736771.57299805 -99999, -19842.5529937744 6736771.11206055 -99999, -19845.6799926758 6736770.34301758 -99999, -19843.6690063477 6736772.54003906 -99999, -19841.0590057373 6736775.57897949 -99999, -19838.449005127 6736778.61804199 -99999, -19834.1519927979 6736783.86401367 -99999, -19831.6280059814 6736786.95104981 -99999, -19829.1040039063 6736790.03796387 -99999, -19827.7460021973 6736791.67602539 -99999, -19826.7010040283 6736792.93603516 -99999, -19825.845993042 6736793.56005859 -99999, -19825.1049957275 6736793.81896973 -99999, -19824.391998291 6736793.98706055 -99999, -19823.5809936523 6736794.12695313 -99999, -19822.0650024414 6736794.1550293 -99999, -19820.421005249 6736794.00402832 -99999, -19816.7480010986 6736792.89294434 -99999, -19814.4349975586 6736792.19799805 -99999, -19812.171005249 6736791.73901367 -99999, -19809.9069976807 6736791.2800293 -99999, -19807.2169952393 6736790.79199219 -99999, -19802.1519927979 6736789.84899902 -99999, -19799.7769927979 6736789.39501953 -99999, -19799.6920013428 6736788.57104492 -99999, -19800.0119934082 6736786.82800293 -99999, -19800.2680053711 6736785.96496582 -99999, -19800.5229949951 6736785.10205078 -99999, -19801.1490020752 6736783.77001953 -99999, -19801.9299926758 6736782.82397461 -99999, -19803.050994873 6736782.13195801 -99999, -19804.1999969482 6736781.79394531 -99999, -19805.1130065918 6736781.82702637 -99999, -19805.824005127 6736782.09399414 -99999, -19806.1569976807 6736782.52697754 -99999, -19806.3209991455 6736783.15600586 -99999, -19806.0729980469 6736785.58105469 -99999, -19805.8269958496 6736788.17004395 -99999, -19810.608001709 6736789.26403809 -99999, -19815.1679992676 6736790.41699219 -99999, -19816.8209991455 6736790.78295898 -99999, -19818.2700042725 6736791.15600586 -99999, -19820.4609985352 6736791.45800781 -99999, -19822.0690002441 6736791.30395508 -99999, -19822.9440002441 6736791.11499024 -99999, -19823.9759979248 6736790.83996582 -99999, -19823.9140014648 6736789.09399414 -99999, -19823.9329986572 6736787.68103027 -99999, -19824.0209960938 6736786.55102539 -99999, -19824.1089935303 6736785.42102051 -99999, -19824.3549957275 6736784.38598633 -99999, -19824.81300354 6736783.57202149 -99999, -19825.2100067139 6736783 -99999, -19827.0410003662 6736784.53601074 -99999, -19829.1069946289 6736786.27197266 -99999, -19833.1479949951 6736781.46105957 -99999, -19837.1889953613 6736776.65002441 -99999, -19833.0559997559 6736773.17895508 -99999, -19830.9730072021 6736775.65905762 -99999, -19830.7420043945 6736775.46496582 -99999, -19829.1089935303 6736774.59997559 -99999, -19827.5930023193 6736775.54296875 -99999, -19826.0760040283 6736776.48706055 -99999, -19824.2369995117 6736777.61206055 -99999, -19822.7310028076 6736775.98803711 -99999)</t>
  </si>
  <si>
    <t>2013-08-27</t>
  </si>
  <si>
    <t>['KV150 S2D1 m0-14']</t>
  </si>
  <si>
    <t>LINESTRING Z (256861.280029297 6651082.41003418 -99999, 256864.25 6651077.42004395 -99999, 256864.650024414 6651076.66003418 -99999, 256866.5 6651074.30004883 -99999, 256870.409973145 6651071.48999024 -99999, 256874.549987793 6651068.94995117 -99999, 256876.780029297 6651068.01000977 -99999, 256878.299987793 6651067.56005859 -99999, 256879.539978027 6651067.44995117 -99999, 256880.900024414 6651067.61999512 -99999, 256882.609985352 6651068.65002441 -99999, 256884.570007324 6651071.80004883 -99999, 256887.549987793 6651077.18005371 -99999, 256886.210021973 6651077.90002441 -99999, 256885.690002441 6651076.9699707 -99999, 256882.869995117 6651072.81994629 -99999, 256880.679992676 6651070.54003906 -99999, 256878.119995117 6651070.44995117 -99999, 256875.119995117 6651071.5300293 -99999, 256874.010009766 6651072.11999512 -99999, 256874.349975586 6651073.48999023 -99999, 256876.070007324 6651074.41003418 -99999, 256879.119995117 6651074.20996094 -99999, 256881.619995117 6651075.18994141 -99999, 256882.340026855 6651078.4699707 -99999, 256883.719970703 6651079.92004395 -99999, 256885 6651080.07995605 -99999, 256887 6651079.31994629 -99999, 256886.559997559 6651078.5300293 -99999, 256886.210021973 6651077.90002441 -99999, 256887.549987793 6651077.18005371 -99999, 256889.239990234 6651080.11999512 -99999, 256891.400024414 6651084.27001953 -99999, 256893.489990234 6651087.97998047 -99999, 256897.340026855 6651094.7800293 -99999, 256899.390014648 6651098.70996094 -99999, 256899.820007324 6651099.68005371 -99999, 256899.710021973 6651099.98999024 -99999, 256899.349975586 6651099.76000977 -99999, 256898.690002441 6651098.88000488 -99999, 256895.940002441 6651095.84997559 -99999, 256894.409973145 6651094.33996582 -99999, 256892.299987793 6651092.4699707 -99999, 256889.539978027 6651090.57995606 -99999, 256886.190002441 6651088.77001953 -99999, 256884.320007324 6651087.89001465 -99999, 256882.609985352 6651087.29003906 -99999, 256879.729980469 6651086.52001953 -99999, 256867.799987793 6651083.91003418 -99999, 256863.66998291 6651083.20996094 -99999, 256861.280029297 6651082.41003418 -99999)</t>
  </si>
  <si>
    <t>2021-12-10</t>
  </si>
  <si>
    <t>2025-11-22T09:08:37Z</t>
  </si>
  <si>
    <t>[455]</t>
  </si>
  <si>
    <t>['FV455 S4D1 m7379-7451']</t>
  </si>
  <si>
    <t>LINESTRING Z (62574.5469970703 6487349.57788086 -99999, 62576.6040039063 6487359.20288086 -99999, 62578.6290283203 6487367.42211914 -99999, 62581.5200195313 6487371.17993164 -99999, 62583.6190185547 6487373.38305664 -99999, 62587.3380126953 6487376.69506836 -99999, 62591.2850341797 6487381.13305664 -99999, 62593.4790039063 6487386.61694336 -99999, 62594.2290039062 6487396.00805664 -99999, 62591.4000244141 6487403.76611328 -99999, 62588.0660400391 6487410.0390625 -99999, 62585.5059814453 6487417.94506836 -99999, 62585.2750244141 6487421.125 -99999, 62593.5119628906 6487417.45288086 -99999, 62600.0389404297 6487411.70288086 -99999, 62593.5119628906 6487417.45288086 -99999, 62600.0389404297 6487411.70288086 -99999, 62604.0510253906 6487391.85888672 -99999, 62600.3690185547 6487376.47705078 -99999, 62597.3690185547 6487364.57788086 -99999, 62586.5389404297 6487356.43798828 -99999, 62574.5469970703 6487349.57788086 -99999)</t>
  </si>
  <si>
    <t>2013-08-14</t>
  </si>
  <si>
    <t>['EV39 S127D1 m811-963']</t>
  </si>
  <si>
    <t>LINESTRING Z (84154.2768554688 6466585.375 -99999, 84159.87109375 6466585.54699707 -99999, 84163.6450195313 6466585.84399414 -99999, 84166.62890625 6466586.02301025 -99999, 84170.4609375 6466585.60198975 -99999, 84176.95703125 6466584.77301025 -99999, 84187.08203125 6466583.09399414 -99999, 84196.6909179687 6466581.68798828 -99999, 84205.453125 6466580.21099854 -99999, 84217.8198242187 6466578.00799561 -99999, 84225.8979492188 6466576.52301025 -99999, 84233.45703125 6466574.92999268 -99999, 84241.8090820312 6466573.07800293 -99999, 84249.37890625 6466571.17999268 -99999, 84260.08984375 6466568.33599854 -99999, 84271.2231445313 6466565.33599854 -99999, 84281.0122070312 6466562.42999268 -99999, 84285.4692382813 6466561.10198975 -99999, 84300.3120117188 6466556.72698975 -99999, 84300.3090820313 6466552.64099121 -99999, 84300.3120117188 6466552.81201172 -99999, 84297.9770507812 6466554.03100586 -99999, 84292.74609375 6466556.39099121 -99999, 84287.6020507813 6466558.45300293 -99999, 84281.828125 6466560.09399414 -99999, 84279.9731445313 6466560.60198975 -99999, 84272.3198242188 6466562.68798828 -99999, 84270.8481445313 6466563.07000733 -99999, 84270.6801757813 6466562.88299561 -99999, 84269.37890625 6466561.51599121 -99999, 84268.171875 6466561.85198975 -99999, 84264.66015625 6466562.76599121 -99999, 84260.8671875 6466563.75799561 -99999, 84257.17578125 6466564.9920044 -99999, 84250.4921875 6466566.76599121 -99999, 84245.5200195313 6466567.82800293 -99999, 84245.2421875 6466569.36700439 -99999, 84233.921875 6466571.82800293 -99999, 84223.0942382812 6466574.16400147 -99999, 84216.0859375 6466575.46899414 -99999, 84215.49609375 6466574 -99999, 84209.6127929688 6466575.08599854 -99999, 84204.7109375 6466576.06201172 -99999, 84202.57421875 6466576.56201172 -99999, 84195.95703125 6466577.73400879 -99999, 84195.5229492187 6466577.82800293 -99999, 84195.6127929688 6466578.94500732 -99999, 84190.17578125 6466579.77301025 -99999, 84172.3950195312 6466582.23400879 -99999, 84171.99609375 6466582.28100586 -99999, 84171.91015625 6466581.77301025 -99999, 84171.7622070312 6466581.78900146 -99999, 84166.37109375 6466582.57000732 -99999, 84162.1879882813 6466582.94500732 -99999, 84154.0859375 6466584.2420044 -99999, 84154.2768554688 6466585.375 -99999)</t>
  </si>
  <si>
    <t>2025-11-22T09:08:57Z</t>
  </si>
  <si>
    <t>['EV18 S1D1 m2187 KD2 m8-104']</t>
  </si>
  <si>
    <t>LINESTRING Z (88622.3980102539 6467394.88299561 -99999, 88625.3710021973 6467393.58599854 -99999, 88628.9100036621 6467391.72698975 -99999, 88631.0859985352 6467390.19500732 -99999, 88632.5620117188 6467388.92999268 -99999, 88634.8670043945 6467386.46899414 -99999, 88636.8399963379 6467383.625 -99999, 88636.6369934082 6467383.52301025 -99999, 88638.0350036621 6467380.84399414 -99999, 88638.4920043945 6467379.95300293 -99999, 88638.7730102539 6467380.06201172 -99999, 88639.449005127 6467378.07000732 -99999, 88640.1839904785 6467374.72698975 -99999, 88640.4020080566 6467372.75799561 -99999, 88640.3789978027 6467369.57000732 -99999, 88640.0780029297 6467367.10900879 -99999, 88639.3949890137 6467364.39099121 -99999, 88638.5310058594 6467362.70300293 -99999, 88637.550994873 6467361.43798828 -99999, 88635.6050109863 6467359.84399414 -99999, 88632.625 6467358.56201172 -99999, 88630.4920043945 6467357.90600586 -99999, 88625.4570007324 6467356.69500733 -99999, 88620.1050109863 6467355.90600586 -99999, 88614.7850036621 6467355.60900879 -99999, 88610.4920043945 6467355.71099854 -99999, 88609.3320007324 6467355.80499268 -99999, 88603.3630065918 6467356.56201172 -99999, 88596.4259948731 6467358.28900147 -99999, 88592.3049926758 6467359.79699707 -99999, 88588.8710021973 6467361.46899414 -99999, 88586.3869934082 6467363.03900146 -99999, 88584.2730102539 6467364.68798828 -99999, 88581.6289978027 6467367.42199707 -99999, 88579.7300109863 6467370.16400147 -99999, 88579 6467371.57000732 -99999, 88577.9100036621 6467374.47698975 -99999, 88577.4100036621 6467376.71899414 -99999, 88577.1640014648 6467379.07000732 -99999, 88577.2810058594 6467382.07800293 -99999, 88577.9570007324 6467385.375 -99999, 88578.9609985352 6467388.00799561 -99999, 88580.4800109863 6467391.08599854 -99999, 88581.5469970703 6467392.63299561 -99999, 88583.2969970703 6467394.77301025 -99999, 88584.4100036621 6467395.875 -99999, 88584.8009948731 6467396.06201172 -99999, 88585.5859985352 6467396.21099854 -99999, 88586.2340087891 6467396.11700439 -99999, 88587.074005127 6467395.75799561 -99999, 88587.800994873 6467395.66400147 -99999, 88588.5820007324 6467395.7420044 -99999, 88589.0079956055 6467395.8670044 -99999, 88589.6050109863 6467396.15600586 -99999, 88590.3590087891 6467396.82000733 -99999, 88591.4840087891 6467397.70300293 -99999, 88592.2579956055 6467398.34399414 -99999, 88594.3439941406 6467399.875 -99999, 88592.2730102539 6467402.46899414 -99999, 88593.0159912109 6467403 -99999, 88594.0899963379 6467403.78100586 -99999, 88595.3909912109 6467404.70300293 -99999, 88596.800994873 6467405.60198975 -99999, 88597.8049926758 6467406.15600586 -99999, 88598.9689941406 6467406.80499268 -99999, 88599.7109985352 6467407.21099854 -99999, 88600.8670043945 6467406.3670044 -99999, 88602.050994873 6467405.38299561 -99999, 88602.2850036621 6467405.20300293 -99999, 88602.6130065918 6467405.625 -99999, 88603.2149963379 6467406.35900879 -99999, 88604.0820007324 6467405.63299561 -99999, 88601.3280029297 6467403.625 -99999, 88587.6950073242 6467390.51599121 -99999, 88586.1090087891 6467387.86700439 -99999, 88584.4060058594 6467382.23400879 -99999, 88584.199005127 6467379.29699707 -99999, 88584.4729919434 6467377.13299561 -99999, 88587.3320007324 6467372.17999268 -99999, 88588.75 6467371.82000732 -99999, 88589.4450073242 6467373.14801025 -99999, 88588.9450073242 6467374.70300293 -99999, 88587.6019897461 6467377.14099121 -99999, 88587.0549926758 6467380.14099121 -99999, 88587.4299926758 6467383.00799561 -99999, 88589.4299926758 6467388.56201172 -99999, 88592.0039978027 6467390.92199707 -99999, 88596.2810058594 6467393.92199707 -99999, 88600.9689941406 6467397.03900147 -99999, 88607.6050109863 6467402.92199707 -99999, 88609.5939941406 6467401.67999268 -99999, 88611.9299926758 6467400.21099853 -99999, 88615.6329956055 6467398.08599854 -99999, 88616.4450073242 6467397.9920044 -99999, 88612.5270080566 6467394.78900147 -99999, 88608.5039978027 6467389.92999268 -99999, 88606.7030029297 6467386.80499268 -99999, 88605.8479919434 6467383.56201172 -99999, 88606.0429992676 6467379.89801025 -99999, 88606.7619934082 6467376.29699707 -99999, 88609.0780029297 6467373.01599121 -99999, 88612.1210021973 6467370.14099121 -99999, 88615.2699890137 6467367.71099853 -99999, 88616.7340087891 6467367.28900147 -99999, 88617.6600036621 6467367.90600586 -99999, 88617.2730102539 6467369.44500732 -99999, 88614.9880065918 6467371.10198975 -99999, 88612.2109985352 6467374.35900879 -99999, 88610.1050109863 6467377.39099121 -99999, 88609.5199890137 6467381.20300293 -99999, 88610.5199890137 6467385.28900147 -99999, 88611.8630065918 6467388.64801025 -99999, 88619.9649963379 6467396.02301025 -99999, 88625.3710021973 6467393.58599854 -99999, 88622.3980102539 6467394.88299561 -99999)</t>
  </si>
  <si>
    <t>['EV18 S1D1 m2187 KD3 m122-228']</t>
  </si>
  <si>
    <t>LINESTRING Z (88580.2380065918 6467434.9920044 -99999, 88567.2929992676 6467431.27301025 -99999, 88555.7850036621 6467428.72698975 -99999, 88551.9800109863 6467428.67199707 -99999, 88547.9769897461 6467429.13299561 -99999, 88546.5230102539 6467428.93798828 -99999, 88546.1369934082 6467428.18798828 -99999, 88547.25 6467427.44500732 -99999, 88549.6839904785 6467427.00799561 -99999, 88554.4020080567 6467426.51599121 -99999, 88560.8980102539 6467426.65600586 -99999, 88566.2730102539 6467427.46099854 -99999, 88572.2850036621 6467428.60900879 -99999, 88578.324005127 6467430.03900147 -99999, 88582.074005127 6467431.89099121 -99999, 88583.1719970703 6467429.75 -99999, 88581.9020080566 6467428.97698975 -99999, 88583.0549926758 6467427.06201172 -99999, 88581.7149963379 6467426.29699707 -99999, 88579.8320007324 6467425.59399414 -99999, 88578.0230102539 6467424.94500733 -99999, 88574.9530029297 6467424 -99999, 88575.0390014648 6467424.40600586 -99999, 88574.3320007324 6467426.94500732 -99999, 88572.3590087891 6467426.40600586 -99999, 88568.2850036621 6467425.17199707 -99999, 88567.4219970703 6467424.61700439 -99999, 88566.8200073242 6467423.72698975 -99999, 88566.5119934082 6467422.66400147 -99999, 88566.1170043945 6467421.97698975 -99999, 88565.3980102539 6467421.36700439 -99999, 88561.625 6467420.65600586 -99999, 88558.2810058594 6467420.17999268 -99999, 88555.6019897461 6467420 -99999, 88553.5199890137 6467420 -99999, 88550.3980102539 6467420.24200439 -99999, 88547.3359985352 6467420.71899414 -99999, 88544.4410095215 6467421.47698975 -99999, 88542.824005127 6467422.05499268 -99999, 88539.4920043945 6467423.57800293 -99999, 88537.5310058594 6467424.72698975 -99999, 88536.3829956055 6467425.5 -99999, 88534.7269897461 6467426.77301025 -99999, 88533.5390014649 6467427.78100586 -99999, 88531.8399963379 6467429.48400879 -99999, 88530.3439941406 6467431.21099854 -99999, 88529.2149963379 6467432.72698975 -99999, 88528.0509948731 6467434.56201172 -99999, 88527.1130065918 6467436.27301025 -99999, 88526.0199890137 6467438.65600586 -99999, 88525.4020080566 6467440.49200439 -99999, 88525.1799926758 6467441.33599854 -99999, 88524.8789978027 6467442.875 -99999, 88524.6839904785 6467444.66400146 -99999, 88524.6879882813 6467447.07800293 -99999, 88524.9100036621 6467448.98400879 -99999, 88525.3200073242 6467450.85900879 -99999, 88526.0620117188 6467453.07800293 -99999, 88526.75 6467454.60900879 -99999, 88528.4339904785 6467457.32000733 -99999, 88530.4530029297 6467459.64099121 -99999, 88532.7850036621 6467461.58599854 -99999, 88535.4840087891 6467463.19500732 -99999, 88537.8160095215 6467464.17999268 -99999, 88539.7340087891 6467464.72698975 -99999, 88542.4689941406 6467465.125 -99999, 88544.7300109863 6467465.10198975 -99999, 88546.0039978027 6467464.96099854 -99999, 88547.7300109863 6467464.56201172 -99999, 88548.9960021973 6467464.19500732 -99999, 88550.3439941406 6467463.64801025 -99999, 88551.5549926758 6467463.1170044 -99999, 88552.1480102539 6467462.78100586 -99999, 88551.9689941406 6467462.46899414 -99999, 88553.2460021973 6467461.78900147 -99999, 88554.875 6467460.93798828 -99999, 88555.5230102539 6467460.57800293 -99999, 88555.5270080567 6467460.58599854 -99999, 88555.8710021973 6467460.64099121 -99999, 88556.6839904785 6467460.16400146 -99999, 88558.9920043945 6467458.72698975 -99999, 88561.1210021973 6467457.25 -99999, 88563.5429992676 6467455.31201172 -99999, 88566.449005127 6467452.89801025 -99999, 88568.5039978027 6467450.94500732 -99999, 88569.7149963379 6467449.63299561 -99999, 88570.3980102539 6467448.875 -99999, 88566.4920043945 6467445.40600586 -99999, 88564.2340087891 6467444.44500732 -99999, 88560.0589904785 6467443.75 -99999, 88556.3829956055 6467443.46899414 -99999, 88553.2380065918 6467443.63299561 -99999, 88550.1449890137 6467444.34399414 -99999, 88545.9960021973 6467446.25 -99999, 88544.7539978027 6467445.92199707 -99999, 88544.2890014648 6467444.95300293 -99999, 88545.7699890137 6467443.00799561 -99999, 88545.7929992676 6467443.02301025 -99999, 88550.0509948731 6467441.04699707 -99999, 88552.5199890137 6467440.45300293 -99999, 88554.9689941406 6467440.28900147 -99999, 88560.4689941406 6467440.57800293 -99999, 88566.7730102539 6467441.72698975 -99999, 88573.5780029297 6467445.02301025 -99999, 88574.1289978027 6467444.27301025 -99999, 88575.4729919434 6467442.44500732 -99999, 88576.7030029297 6467440.56201172 -99999, 88577.125 6467439.875 -99999, 88580.0820007324 6467434.92199707 -99999, 88580.2380065918 6467434.9920044 -99999)</t>
  </si>
  <si>
    <t>2025-04-10</t>
  </si>
  <si>
    <t>['EV39 S77D1 m7122 KD7 m50-120']</t>
  </si>
  <si>
    <t>LINESTRING Z (-31545.370239873533 6733375.674806486 -99999, -31547.61186523561 6733373.792333754 -99999, -31545.536462576478 6733381.879349279 -99999, -31543.66194024135 6733388.798534884 -99999, -31542.657869985793 6733392.784884012 -99999, -31541.274726220174 6733398.3871889245 -99999, -31540.200087330188 6733403.718832685 -99999, -31538.599531807587 6733414.1131334 -99999, -31537.68602398585 6733420.056123914 -99999, -31536.951232537744 6733426.793830888 -99999, -31536.300023679272 6733434.515529882 -99999, -31535.951095323195 6733442.801688396 -99999, -31532.533226572676 6733442.072634264 -99999, -31530.3790382687 6733436.169556567 -99999, -31528.175010342267 6733431.075522173 -99999, -31525.1980268677 6733425.234364542 -99999, -31521.794757406344 6733419.363988432 -99999, -31519.534546995186 6733416.046706242 -99999, -31512.41433035559 6733406.748165017 -99999, -31522.608340895502 6733413.982394557 -99999, -31529.46795705578 6733417.92419104 -99999, -31532.003951728577 6733418.661211883 -99999, -31534.974699089886 6733410.387984168 -99999, -31539.850536517915 6733396.958617198 -99999, -31545.54418353713 6733375.519795781 -99999, -31547.61186523561 6733373.792333754 -99999, -31545.370239873533 6733375.674806486 -99999)</t>
  </si>
  <si>
    <t>[557]</t>
  </si>
  <si>
    <t>['FV557 S1D1 m1627-1646']</t>
  </si>
  <si>
    <t>LINESTRING Z (-36436.4869995117 6724919.12701416 -99999, -36430.9099731445 6724916.67999268 -99999, -36430.8489990234 6724916.65600586 -99999, -36430.7860107422 6724916.63800049 -99999, -36430.7219848633 6724916.625 -99999, -36430.6569824219 6724916.61798096 -99999, -36430.5919799805 6724916.6170044 -99999, -36430.5269775391 6724916.62097168 -99999, -36430.4630126953 6724916.63098145 -99999, -36430.3989868164 6724916.64599609 -99999, -36430.3369750977 6724916.66699219 -99999, -36430.2780151367 6724916.69299316 -99999, -36430.2199707031 6724916.72399902 -99999, -36430.166015625 6724916.76000977 -99999, -36430.1149902344 6724916.79998779 -99999, -36430.0670166016 6724916.8449707 -99999, -36430.0239868164 6724916.89398193 -99999, -36429.9849853516 6724916.94598389 -99999, -36429.9509887695 6724917.00097656 -99999, -36429.9219970703 6724917.05999756 -99999, -36429.8969726563 6724917.11999512 -99999, -36429.8779907227 6724917.1829834 -99999, -36429.8649902344 6724917.24597168 -99999, -36429.8569946289 6724917.3170166 -99999, -36429.8549804688 6724917.38897705 -99999, -36429.8610229492 6724917.46002197 -99999, -36429.8720092773 6724917.5300293 -99999, -36430.7940063477 6724921.00201416 -99999, -36432.0130004883 6724924.38201904 -99999, -36433.5189819336 6724927.64300537 -99999, -36435.3010253906 6724930.76202393 -99999, -36437.3460083008 6724933.71600342 -99999, -36437.3800048828 6724933.77197266 -99999, -36437.4199829102 6724933.82397461 -99999, -36437.4630126953 6724933.87402344 -99999, -36437.5109863281 6724933.91900635 -99999, -36437.5620117188 6724933.96002197 -99999, -36437.6170043945 6724933.99700928 -99999, -36437.6740112305 6724934.02801514 -99999, -36437.7340087891 6724934.05499268 -99999, -36437.7960205078 6724934.07598877 -99999, -36437.8599853516 6724934.09197998 -99999, -36437.924987793 6724934.10198975 -99999, -36437.991027832 6724934.10699463 -99999, -36438.0560302734 6724934.10601807 -99999, -36438.1220092773 6724934.09899902 -99999, -36438.1859741211 6724934.0869751 -99999, -36438.25 6724934.06896973 -99999, -36438.3109741211 6724934.04602051 -99999, -36438.3699951172 6724934.01800537 -99999, -36438.4270019531 6724933.98400879 -99999, -36438.4799804688 6724933.94598389 -99999, -36438.5310058594 6724933.9039917 -99999, -36438.5770263672 6724933.85699463 -99999, -36438.6190185547 6724933.80700684 -99999, -36438.6560058594 6724933.75299072 -99999, -36438.6890258789 6724933.69598389 -99999, -36438.7169799805 6724933.63598633 -99999, -36438.7390136719 6724933.57397461 -99999, -36438.7559814453 6724933.51098633 -99999, -36438.7680053711 6724933.44598389 -99999, -36438.7739868164 6724933.38098145 -99999, -36438.7739868164 6724933.31500244 -99999, -36438.7689819336 6724933.25 -99999, -36438.6760253906 6724932.5670166 -99999, -36438.6550292969 6724932.57098389 -99999, -36436.741027832 6724932.89501953 -99999, -36436.2449951172 6724929.934021 -99999, -36438.2449951172 6724929.65100098 -99999, -36438.2789916992 6724929.64599609 -99999, -36436.9299926758 6724919.71398926 -99999, -36436.9190063477 6724919.65197754 -99999, -36436.9019775391 6724919.59002686 -99999, -36436.8800048828 6724919.5289917 -99999, -36436.8530273438 6724919.4710083 -99999, -36436.8209838867 6724919.41601563 -99999, -36436.7849731445 6724919.36297607 -99999, -36436.7440185547 6724919.31298828 -99999, -36436.6989746094 6724919.26702881 -99999, -36436.6510009766 6724919.22601318 -99999, -36436.5989990234 6724919.18798828 -99999, -36436.5440063477 6724919.1550293 -99999, -36436.4869995117 6724919.12701416 -99999)</t>
  </si>
  <si>
    <t>2010-09-30</t>
  </si>
  <si>
    <t>2025-11-22T09:09:33Z</t>
  </si>
  <si>
    <t>['EV18 S44D1 m10141 KD5 m94-105', 'EV18 S44D1 m10141 KD2 m0-230', 'EV18 S44D1 m10141 KD7 m49-62']</t>
  </si>
  <si>
    <t>LINESTRING Z (231312.419921875 6622644.16998291 -999999, 231307.979980469 6622645.98999024 -999999, 231304.919921875 6622645.55999756 -999999, 231300.810058594 6622639.36999512 -999999, 231297.879882813 6622640.34002686 -999999, 231295.479980469 6622641.27001953 -999999, 231292.600097656 6622642.7800293 -999999, 231281.860107422 6622651.55999756 -999999, 231342.5 6622752.72998047 -999999, 231361.120117188 6622783.88000488 -999999, 231351.189941406 6622760.46002197 -999999, 231295.979980469 6622668.38000488 -999999, 231295.679931641 6622665.03997803 -999999, 231295.580078125 6622662.0300293 -999999, 231297.709960938 6622660.05999756 -999999, 231297.550048828 6622658.29998779 -999999, 231298.340087891 6622657.15997315 -999999, 231300.260009766 6622656.80999756 -999999, 231300.929931641 6622658.34997559 -999999, 231305.330078125 6622657.95001221 -999999, 231309.879882813 6622659.14001465 -999999, 231313.800048828 6622661.26000977 -999999, 231315.399902344 6622663.25 -999999, 231317.909912109 6622667.46002197 -999999, 231319.860107422 6622675.27001953 -999999, 231320.399902344 6622681.25 -999999, 231322.639892578 6622684.41998291 -999999, 231324.790039063 6622686.53997803 -999999, 231326.639892578 6622691.34002686 -999999, 231326.929931641 6622694.51000977 -999999, 231330.330078125 6622700.77001953 -999999, 231332.290039063 6622706.61999512 -999999, 231333.340087891 6622710.42999268 -999999, 231337.25 6622712.39001465 -999999, 231338.300048828 6622716.19000244 -999999, 231339.919921875 6622724.21002197 -999999, 231342.429931641 6622726.4699707 -999999, 231343.689941406 6622730.60998535 -999999, 231344.540039062 6622736.03997803 -999999, 231346.149902344 6622740.15002441 -999999, 231349.629882813 6622743.21002197 -999999, 231350.090087891 6622746.35998535 -999999, 231350.469970703 6622750.59002686 -999999, 231351.270019531 6622753.5300293 -999999, 231353.75 6622755.44000244 -999999, 231353.989990234 6622758.08001709 -999999, 231352.229980469 6622762.14001465 -999999, 231360.959960938 6622784.07000733 -999999, 231394.860107422 6622840.80999756 -999999, 231395.689941406 6622840.20001221 -999999, 231352.830078125 6622737.41998291 -999999, 231328.070068359 6622677.7199707 -999999, 231318.340087891 6622656.59002686 -999999, 231316.229980469 6622650.92999268 -999999, 231315.340087891 6622648.88000488 -999999, 231313.419921875 6622645.32000732 -999999, 231312.419921875 6622644.16998291 -999999)</t>
  </si>
  <si>
    <t>2011-05-27</t>
  </si>
  <si>
    <t>2025-11-22T09:09:39Z</t>
  </si>
  <si>
    <t>['FV460 S1D10 m193-221']</t>
  </si>
  <si>
    <t>LINESTRING Z (47010.6929931641 6463684.85205078 -999999, 47011.4539794922 6463684.35900879 -999999, 47012.8280029297 6463684.75 -999999, 47013.8540039062 6463685.75805664 -999999, 47014.3549804687 6463686.75805664 -999999, 47013.1259765625 6463688.88305664 -999999, 47012.3139648438 6463689.36694336 -999999, 47010.6600341797 6463689.77294922 -999999, 47009.4449462891 6463689.69494629 -999999, 47008.6719970703 6463689.03894043 -999999, 47007.9479980469 6463687.93005371 -999999, 47008.3819580078 6463686.92199707 -999999, 47009.4270019531 6463685.77294922 -999999, 47009.4329833984 6463685.84399414 -999999, 47008.1330566406 6463683.68005371 -999999, 47007.4470214844 6463682.31201172 -999999, 47006.8530273438 6463681.63305664 -999999, 47004.6949462891 6463682.49194336 -999999, 47004.4439697266 6463684.85900879 -999999, 47004.3489990234 6463686.94494629 -999999, 47004.3430175781 6463689.36694336 -999999, 47004.2650146484 6463691.08605957 -999999, 47004.123046875 6463692.42199707 -999999, 47003.9809570313 6463694.21105957 -999999, 47002.8859863281 6463696.38305664 -999999, 47004.0109863281 6463695.78100586 -999999, 47005.7259521484 6463694.93005371 -999999, 47007.7199707031 6463694.71899414 -999999, 47009.3029785156 6463694.75805664 -999999, 47012.4880371094 6463694.46899414 -999999, 47015.083984375 6463692.66394043 -999999, 47016.8530273437 6463690.72705078 -999999, 47018.2330322266 6463689.27294922 -999999, 47019.0439453125 6463688.21105957 -999999, 47019.1120605469 6463685.93005371 -999999, 47018.6989746094 6463683.78894043 -999999, 47019.1800537109 6463682.63305664 -999999, 47022.6319580078 6463679.59399414 -999999, 47024.8229980469 6463677.07800293 -999999, 47027.0040283203 6463674.46105957 -999999, 47028.5679931641 6463672.92199707 -999999, 47030.41796875 6463671.21899414 -999999, 47032.0570068359 6463669.74194336 -999999, 47032.4799804688 6463669.18005371 -999999, 47030.9790039062 6463667.35205078 -999999, 47030.0560302734 6463666.60205078 -999999, 47025.3439941406 6463670.06994629 -999999, 47021.8179931641 6463672.61694336 -999999, 47018.4739990234 6463674.96105957 -999999, 47014.9429931641 6463677.44494629 -999999, 47011.3459472656 6463679.77294922 -999999, 47009.9449462891 6463680.64099121 -999999, 47008.5620117188 6463681.15600586 -999999, 47009.2629394531 6463682.13305664 -999999, 47009.5909423828 6463683.21899414 -999999, 47010.6929931641 6463684.85205078 -999999)</t>
  </si>
  <si>
    <t>2011-07-01</t>
  </si>
  <si>
    <t>2025-11-22T09:09:49Z</t>
  </si>
  <si>
    <t>[115]</t>
  </si>
  <si>
    <t>['FV115 S12D1 m6365-6418']</t>
  </si>
  <si>
    <t>LINESTRING Z (307573.770019531 6643742.0300293 -999999, 307573.880004883 6643739.12011719 -999999, 307574.280029297 6643737.33007813 -999999, 307574.449951172 6643734.70996094 -999999, 307574.229980469 6643732.30004883 -999999, 307574.050048828 6643731.16992188 -999999, 307573.41003418 6643730.17993164 -999999, 307573.469970703 6643730.18994141 -999999, 307573.079956055 6643730.39990234 -999999, 307572.920043945 6643730.57006836 -999999, 307572.829956055 6643730.91992188 -999999, 307572.670043945 6643732.16992188 -999999, 307569.989990234 6643782.64990234 -999999, 307570.83996582 6643781.06005859 -999999, 307571.489990234 6643773.95996094 -999999, 307573.790039063 6643742.07006836 -999999, 307573.770019531 6643742.0300293 -999999)</t>
  </si>
  <si>
    <t>[125]</t>
  </si>
  <si>
    <t>['FV125 S3D1 m5273-5338']</t>
  </si>
  <si>
    <t>LINESTRING Z (301050.149902344 6625628.58007813 -999999, 301039.75 6625629.95019531 -999999, 301039.740234375 6625629.86035156 -999999, 301029.549804688 6625631.55957031 -999999, 301019.520019531 6625633.41015625 -999999, 301004.729980469 6625636.61035156 -999999, 300994.399902344 6625638.98046875 -999999, 300994.390136719 6625639.03027344 -999999, 300994.399902344 6625638.98046875 -999999, 300993.700195312 6625638.98046875 -999999, 300991.669921875 6625638.51953125 -999999, 300990.100097656 6625637.6796875 -999999, 300989.33984375 6625637.00976563 -999999, 300989.359863281 6625637 -999999, 300991.709960938 6625635.62011719 -999999, 300994.140136719 6625634.80957031 -999999, 300997.649902344 6625634.04980469 -999999, 301009.100097656 6625632.01953125 -999999, 301038.240234375 6625626.41015625 -999999, 301041.540039063 6625625.62011719 -999999, 301046.930175781 6625624.33984375 -999999, 301054.229980469 6625623.53027344 -999999, 301053.390136719 6625625.04980469 -999999, 301052.33984375 6625626.51953125 -999999, 301050.149902344 6625628.58007813 -999999)</t>
  </si>
  <si>
    <t>['FV125 S3D1 m6029-6078']</t>
  </si>
  <si>
    <t>LINESTRING Z (300350.240234375 6625402.28027344 -999999, 300351.100097656 6625401.41992188 -999999, 300352.169921875 6625400.99023438 -999999, 300352.399902344 6625400.95996094 -999999, 300352.640136719 6625400.96972656 -999999, 300352.850097656 6625401.04003906 -999999, 300353.080078125 6625401.23046875 -999999, 300357.419921875 6625406.79003906 -999999, 300358.569824219 6625407.69042969 -999999, 300372.009765625 6625413.45996094 -999999, 300380.029785156 6625414.71972656 -999999, 300385.470214844 6625417.54003906 -999999, 300395.180175781 6625423.04003906 -999999, 300380.229980469 6625418.59960938 -999999, 300369.859863281 6625414.01953125 -999999, 300363.58984375 6625411.44042969 -999999, 300356.680175781 6625408.75 -999999, 300352.83984375 6625407.29003906 -999999, 300352.810058594 6625407.24023438 -999999, 300351.75 6625406.36035156 -999999, 300351.370117188 6625405.91015625 -999999, 300350.379882812 6625403.55957031 -999999, 300350.180175781 6625402.80957031 -999999, 300350.240234375 6625402.28027344 -999999, 300350.129882813 6625402.25976563 -999999, 300350.240234375 6625402.28027344 -999999)</t>
  </si>
  <si>
    <t>[172]</t>
  </si>
  <si>
    <t>['FV172 S2D1 m2819-2829']</t>
  </si>
  <si>
    <t>LINESTRING Z (290384.680053711 6655838.89001465 -999999, 290390.069946289 6655839.94995117 -999999, 290390.069946289 6655839.41003418 -999999, 290390.130004883 6655838.93005371 -999999, 290390.140014648 6655838.47998047 -999999, 290390.010009766 6655838.19995117 -999999, 290389.819946289 6655837.79003906 -999999, 290389.449951172 6655837.43005371 -999999, 290389.040039063 6655837.13000488 -999999, 290381.369995117 6655835.58996582 -999999, 290381.420043945 6655835.56994629 -999999, 290382.150024414 6655836.69995117 -999999, 290383.020019531 6655837.81994629 -999999, 290383.780029297 6655838.54003906 -999999, 290384.770019531 6655838.91003418 -999999, 290384.680053711 6655838.89001465 -999999)</t>
  </si>
  <si>
    <t>['FV172 S2D1 m2832-2959']</t>
  </si>
  <si>
    <t>LINESTRING Z (290393.08996582 6655840.39001465 -999999, 290393.229980469 6655839.93005371 -999999, 290393.310058594 6655839.5 -999999, 290393.489990234 6655839.18005371 -999999, 290393.770019531 6655838.89001465 -999999, 290394.16003418 6655838.55004883 -999999, 290394.550048828 6655838.47998047 -999999, 290394.930053711 6655838.42004395 -999999, 290395.41003418 6655838.33996582 -999999, 290404.280029297 6655840.01000977 -999999, 290427.189941406 6655844.68005371 -999999, 290449.939941406 6655849.31994629 -999999, 290465.219970703 6655852.57995606 -999999, 290482.329956055 6655856.27001953 -999999, 290502.760009766 6655860.56994629 -999999, 290514.540039063 6655863.30004883 -999999, 290516.800048828 6655863.69995117 -999999, 290517.119995117 6655863.91003418 -999999, 290517.709960938 6655864.29003906 -999999, 290517.930053711 6655864.75 -999999, 290518.209960938 6655865.14001465 -999999, 290518.270019531 6655865.73999023 -999999, 290518.109985352 6655866.06005859 -999999, 290517.959960938 6655866.36999512 -999999, 290500.229980469 6655862.60998535 -999999, 290460.58996582 6655854.19995117 -999999, 290418.459960938 6655845.54003906 -999999, 290393.050048828 6655840.31005859 -999999, 290393.08996582 6655840.39001465 -999999)</t>
  </si>
  <si>
    <t>['FV172 S2D1 m3147-3213']</t>
  </si>
  <si>
    <t>LINESTRING Z (290703.630004883 6655892.58996582 -999999, 290703.680053711 6655894.0300293 -999999, 290703.849975586 6655894.98999023 -999999, 290704.109985352 6655895.60998535 -999999, 290704.430053711 6655896.13000488 -999999, 290704.810058594 6655896.43005371 -999999, 290705.33996582 6655896.7199707 -999999, 290705.859985352 6655896.91003418 -999999, 290709.050048828 6655896.70996094 -999999, 290708.959960937 6655896.67004394 -999999, 290713.41003418 6655896.27001953 -999999, 290729.349975586 6655894.7199707 -999999, 290739.66003418 6655893.39001465 -999999, 290748.430053711 6655892.19995117 -999999, 290760.630004883 6655890.31994629 -999999, 290766.849975586 6655889.06994629 -999999, 290769.829956055 6655888.51000977 -999999, 290769.609985352 6655886.07995605 -999999, 290765.709960937 6655886.15002441 -999999, 290762.369995117 6655885.86999512 -999999, 290759.939941406 6655885.89001465 -999999, 290758.349975586 6655885.84997559 -999999, 290757.16003418 6655885.93994141 -999999, 290755.170043945 6655886.33996582 -999999, 290747.599975586 6655887.56994629 -999999, 290738.020019531 6655888.86999512 -999999, 290733.530029297 6655889.5300293 -999999, 290722.209960938 6655890.98999023 -999999, 290703.439941406 6655892.79003906 -999999, 290703.630004883 6655892.58996582 -999999)</t>
  </si>
  <si>
    <t>['FV170 S3D1 m1467-1512']</t>
  </si>
  <si>
    <t>LINESTRING Z (302403.050048828 6648726.33996582 -999999, 302403.109985352 6648726.32995606 -999999, 302405.599975586 6648728.88000488 -999999, 302404.479980469 6648729.81005859 -999999, 302402.699951172 6648731.43994141 -999999, 302402.869995117 6648731.35998535 -999999, 302397.349975586 6648736.38000488 -999999, 302392.75 6648740.45996094 -999999, 302389.780029297 6648743.20996094 -999999, 302387.75 6648744.68005371 -999999, 302385.050048828 6648746.5300293 -999999, 302382.239990234 6648748.18994141 -999999, 302379.380004883 6648749.42004395 -999999, 302377.430053711 6648750.02001953 -999999, 302375.130004883 6648750.31005859 -999999, 302373.560058594 6648750.15002441 -999999, 302371.829956055 6648749.77001953 -999999, 302369.560058594 6648748.93994141 -999999, 302367.949951172 6648748.02001953 -999999, 302366.180053711 6648746.88000488 -999999, 302364.300048828 6648745.47998047 -999999, 302360.790039063 6648742.77001953 -999999, 302357.280029297 6648739.68994141 -999999, 302355.439941406 6648737.83996582 -999999, 302356.290039063 6648737.01000977 -999999, 302357.060058594 6648736.15002441 -999999, 302354.75 6648733.44995117 -999999, 302351.640014648 6648730.29003906 -999999, 302349.16003418 6648727.82995606 -999999, 302347.369995117 6648726 -999999, 302346.170043945 6648724.90002441 -999999, 302344.66003418 6648723.64001465 -999999, 302343.369995117 6648722.70996094 -999999, 302342.939941406 6648722.30004883 -999999, 302341.900024414 6648721.06005859 -999999, 302340.58996582 6648719.40002441 -999999, 302340.010009766 6648718.56994629 -999999, 302343.08996582 6648719 -999999, 302349.270019531 6648720.97998047 -999999, 302356.119995117 6648723.75 -999999, 302361.069946289 6648725.68005371 -999999, 302366.239990234 6648727.79003906 -999999, 302370.979980469 6648729.52001953 -999999, 302375.25 6648731.43005371 -999999, 302379.030029297 6648733.17004395 -999999, 302381.609985352 6648734.38000488 -999999, 302383.810058594 6648735.64001465 -999999, 302386.33996582 6648737.48999024 -999999, 302389.209960937 6648739.68005371 -999999, 302391.949951172 6648737.04003906 -999999, 302391.890014648 6648737.09997559 -999999, 302389.430053711 6648735.43005371 -999999, 302385.689941406 6648733.55004883 -999999, 302382.630004883 6648732.04003906 -999999, 302376.479980469 6648729.26000977 -999999, 302371.109985352 6648727 -999999, 302366.060058594 6648725.02001953 -999999, 302364.199951172 6648724.48999024 -999999, 302362.969970703 6648723.93994141 -999999, 302362.079956055 6648723.2800293 -999999, 302361.58996582 6648722.88000488 -999999, 302360.949951172 6648722.14001465 -999999, 302360.640014648 6648721.73999024 -999999, 302360.560058594 6648721.31994629 -999999, 302360.969970703 6648720.67004395 -999999, 302361.66003418 6648720.09997559 -999999, 302362.229980469 6648719.68994141 -999999, 302363.150024414 6648719.57995606 -999999, 302365.829956055 6648719.76000977 -999999, 302368.650024414 6648720.11999512 -999999, 302370.780029297 6648720.47998047 -999999, 302373.849975586 6648721.29003906 -999999, 302378.579956055 6648722.60998535 -999999, 302384.770019531 6648724.43005371 -999999, 302389.439941406 6648725.95996094 -999999, 302391.329956055 6648726.52001953 -999999, 302394.41003418 6648727.01000977 -999999, 302397.560058594 6648727.31005859 -999999, 302399.829956055 6648727.14001465 -999999, 302401.359985352 6648726.91003418 -999999, 302403.109985352 6648726.32995606 -999999, 302403.050048828 6648726.33996582 -999999)</t>
  </si>
  <si>
    <t>[1450]</t>
  </si>
  <si>
    <t>['FV1450 S1D1 m4-19']</t>
  </si>
  <si>
    <t>LINESTRING Z (303551.040039063 6615201.72998047 -999999, 303550.550048828 6615203.10998535 -999999, 303550.369995117 6615204.14001465 -999999, 303550.369995117 6615205.02001953 -999999, 303551.989990234 6615214.85998535 -999999, 303552.380004883 6615215.31994629 -999999, 303552.609985352 6615215.40002441 -999999, 303552.949951172 6615215.45996094 -999999, 303554.119995117 6615215.18994141 -999999, 303554.469970703 6615214.94995117 -999999, 303554.760009766 6615214.56005859 -999999, 303554.859985352 6615214.10998535 -999999, 303554.209960938 6615210.58996582 -999999, 303554.300048828 6615209.51000977 -999999, 303554.91003418 6615208.2800293 -999999, 303557.180053711 6615205.56005859 -999999, 303564.439941406 6615199.2199707 -999999, 303574.270019531 6615191.2800293 -999999, 303574.170043945 6615191.48999024 -999999, 303573.790039063 6615187.33996582 -999999, 303559.449951172 6615194.06005859 -999999, 303557.400024414 6615195.61999512 -999999, 303553.790039063 6615198.20996094 -999999, 303551.890014648 6615199.95996094 -999999, 303551.010009766 6615201.61999512 -999999, 303551.040039063 6615201.72998047 -999999)</t>
  </si>
  <si>
    <t>2012-01-01</t>
  </si>
  <si>
    <t>2025-11-22T09:09:54Z</t>
  </si>
  <si>
    <t>[170, 1469]</t>
  </si>
  <si>
    <t>['FV170 S2D1 m4875 KD1 m36-69', 'FV1469 S1D1 m1846-1918', 'FV170 S2D1 m4875-4907', 'FV170 S3D1 m0-25']</t>
  </si>
  <si>
    <t>LINESTRING Z (301128.359985352 6649338.56005859 -999999, 301097.359985352 6649338.4699707 -999999, 301092.849975586 6649338.41003418 -999999, 301089.420043945 6649337.88000488 -999999, 301084.140014648 6649336.56994629 -999999, 301079.770019531 6649335.08996582 -999999, 301077.810058594 6649334.15002441 -999999, 301077.920043945 6649334.18005371 -999999, 301073.83996582 6649330.85998535 -999999, 301069.359985352 6649325.75 -999999, 301067.040039063 6649321.64001465 -999999, 301065.83996582 6649317.95996094 -999999, 301064.729980469 6649314.05004883 -999999, 301064.420043945 6649309.54003906 -999999, 301065.439941406 6649306.31005859 -999999, 301068.209960938 6649301.18005371 -999999, 301079.479980469 6649285.76000977 -999999, 301089.430053711 6649271.20996094 -999999, 301085.189941406 6649269.13000488 -999999, 301082.680053711 6649273.01000977 -999999, 301080.469970703 6649275.92004395 -999999, 301074.060058594 6649285.08996582 -999999, 301072.510009766 6649287.22998047 -999999, 301071.08996582 6649289.0300293 -999999, 301064.479980469 6649297.81994629 -999999, 301064.449951172 6649297.79003906 -999999, 301062.16003418 6649301.38000488 -999999, 301060.390014648 6649304.72998047 -999999, 301059.140014648 6649307.56994629 -999999, 301058.969970703 6649311.81005859 -999999, 301059.449951172 6649315.05004883 -999999, 301059.930053711 6649318.20996094 -999999, 301061.050048828 6649321.20996094 -999999, 301061.530029297 6649322.47998047 -999999, 301062.33996582 6649324.08996582 -999999, 301063.579956055 6649326.32995605 -999999, 301065.020019531 6649328.81994629 -999999, 301067.150024414 6649331.54003906 -999999, 301069.209960938 6649333.51000977 -999999, 301071.25 6649335.31005859 -999999, 301072.599975586 6649336.7800293 -999999, 301075 6649338.33996582 -999999, 301076.180053711 6649338.98999023 -999999, 301081.599975586 6649340.65002441 -999999, 301089.569946289 6649342.65002441 -999999, 301098 6649343.47998047 -999999, 301106.25 6649343.30004883 -999999, 301115.439941406 6649343.20996094 -999999, 301123.25 6649343.25 -999999, 301128.599975586 6649343.15002441 -999999, 301128.359985352 6649338.56005859 -999999, 301128.260009766 6649338.47998047 -999999, 301128.359985352 6649338.56005859 -999999)</t>
  </si>
  <si>
    <t>[170, 171]</t>
  </si>
  <si>
    <t>['FV170 S2D1 m4875 KD1 m0-9', 'FV170 S2D1 m4875 KD1 m97-116', 'FV171 S5D1 m7386-7446', 'FV170 S2D1 m4834-4875']</t>
  </si>
  <si>
    <t>LINESTRING Z (301024.719970703 6649399.01000977 -999999, 301025.989990234 6649395.97998047 -999999, 301026.33996582 6649392.33996582 -999999, 301026.130004883 6649388.06005859 -999999, 301025.010009766 6649383.34997559 -999999, 301024.219970703 6649378.43994141 -999999, 301023.25 6649375.26000977 -999999, 301021.869995117 6649371.43005371 -999999, 301020.200012207 6649368.15002442 -999999, 301019 6649366.35998535 -999999, 301016.91998291 6649364.31994629 -999999, 301014.010009766 6649362.52001953 -999999, 301010.280029297 6649361.15002441 -999999, 301007.409973145 6649359.85998535 -999999, 301004.260009766 6649359.2800293 -999999, 301002.719970703 6649359.40002441 -999999, 301002.950012207 6649361.81005859 -999999, 301003.760009766 6649365.17004395 -999999, 301004.549987793 6649368.0300293 -999999, 301005.260009766 6649370.18994141 -999999, 301006.590026855 6649373.5 -999999, 301007.859985352 6649376.14001465 -999999, 301009.840026855 6649379.05004883 -999999, 301012.969970703 6649383.23999024 -999999, 301015.890014648 6649386.93005371 -999999, 301017.559997559 6649390.20996094 -999999, 301020.130004883 6649393.93994141 -999999, 301022.299987793 6649398.89001465 -999999, 301023.41998291 6649401.70996094 -999999, 301024.719970703 6649399.01000977 -999999, 301034.900024414 6649404.83996582 -999999, 301031.869995117 6649412.89001465 -999999, 301030.920043945 6649415.33996582 -999999, 301023.91998291 6649414.13000488 -999999, 301023.909973145 6649411.80004883 -999999, 301023.109985352 6649407.54003906 -999999, 301022.309997559 6649404.54003906 -999999, 301021.150024414 6649401.47998047 -999999, 301019.640014648 6649397.80004883 -999999, 301018.229980469 6649394.79003906 -999999, 301016.400024414 6649391.61999512 -999999, 301014.979980469 6649389.40002441 -999999, 301012.049987793 6649385.27001953 -999999, 301008.890014648 6649380.76000977 -999999, 301006.960021973 6649377.90002442 -999999, 301005.590026856 6649375.56005859 -999999, 301004.41998291 6649373.18005371 -999999, 301003.510009766 6649370.91003418 -999999, 301002.66998291 6649368.44995117 -999999, 301001.929992676 6649365.10998535 -999999, 301001.469970703 6649362.11999512 -999999, 301001.179992676 6649359.19995117 -999999, 301001.200012207 6649356.39001465 -999999, 301001.280029297 6649355.65002441 -999999, 301001.349975586 6649353.2800293 -999999, 301003.619995117 6649353.22998047 -999999, 301007.520019531 6649352.97998047 -999999, 301010.66998291 6649353 -999999, 301013.570007324 6649353.09997559 -999999, 301015.91998291 6649353.34997559 -999999, 301018.190002441 6649353.92004395 -999999, 301020.010009766 6649354.63000488 -999999, 301022.590026855 6649355.73999024 -999999, 301024.670043945 6649357.09997559 -999999, 301026.25 6649358.5 -999999, 301027.33996582 6649359.80004883 -999999, 301028.260009766 6649361.31005859 -999999, 301029.569946289 6649363.31005859 -999999, 301031.130004883 6649366.2199707 -999999, 301032.359985352 6649368.38000488 -999999, 301034.16003418 6649371.7199707 -999999, 301035.489990234 6649374.39001465 -999999, 301036.209960938 6649376.65002441 -999999, 301036.890014648 6649381.07995606 -999999, 301037.050048828 6649384.20996094 -999999, 301037.010009766 6649387.18005371 -999999, 301036.859985352 6649389.02001953 -999999, 301036.719970703 6649391.36999512 -999999, 301036.239990234 6649395.75 -999999, 301034.900024414 6649404.83996582 -999999, 301024.719970703 6649399.01000977 -999999)</t>
  </si>
  <si>
    <t>[1469]</t>
  </si>
  <si>
    <t>['FV1469 S1D1 m1334-1355']</t>
  </si>
  <si>
    <t>LINESTRING Z (301191.109985352 6648773.91998291 -999999, 301191.689941406 6648772.48999023 -999999, 301193.060058594 6648773 -999999, 301192.550048828 6648774.44000244 -999999, 301191.109985352 6648773.91998291 -999999, 301190.880004883 6648773.91998291 -999999, 301190.079956055 6648776.28997803 -999999, 301189.08996582 6648779.23999023 -999999, 301189.290039063 6648779.28997803 -999999, 301189.770019531 6648777.84997559 -999999, 301191.209960938 6648778.35998535 -999999, 301190.709960938 6648779.80999756 -999999, 301189.290039063 6648779.28997803 -999999, 301189.08996582 6648779.23999023 -999999, 301188.319946289 6648782.02001953 -999999, 301187.380004883 6648785.01000977 -999999, 301187.599975586 6648785.04998779 -999999, 301188.060058594 6648783.61999512 -999999, 301189.449951172 6648784.09002686 -999999, 301189.030029297 6648785.58001709 -999999, 301187.599975586 6648785.04998779 -999999, 301187.380004883 6648785.01000977 -999999, 301187.130004883 6648786.01000977 -999999, 301186.349975586 6648788.38000488 -999999, 301188.349975586 6648788.54998779 -999999, 301189.640014648 6648783.89001465 -999999, 301189.609985352 6648783.53997803 -999999, 301190.439941406 6648780.83001709 -999999, 301191.969970703 6648776.67999268 -999999, 301192.920043945 6648773.95001221 -999999, 301194.209960938 6648770.05999756 -999999, 301194.66003418 6648768.7199707 -999999, 301192.939941406 6648768.40002441 -999999, 301192.560058594 6648769.59002686 -999999, 301190.880004883 6648773.91998291 -999999, 301191.109985352 6648773.91998291 -999999)</t>
  </si>
  <si>
    <t>['FV1469 S1D1 m1245-1273']</t>
  </si>
  <si>
    <t>LINESTRING Z (301231.979980469 6648691.77001953 -999999, 301232.890014648 6648690.55999756 -999999, 301231.900024414 6648689.76000977 -999999, 301230.699951172 6648690.90002441 -999999, 301226.430053711 6648696.01000977 -999999, 301224.689941406 6648698.29998779 -999999, 301220.479980469 6648704.21002197 -999999, 301219.66003418 6648705.5 -999999, 301215.810058594 6648712.26000977 -999999, 301217.349975586 6648713 -999999, 301217.66003418 6648712.51000977 -999999, 301218 6648711.46002197 -999999, 301218.859985352 6648710.21002197 -999999, 301218.780029297 6648710.14001465 -999999, 301217.949951172 6648711.41998291 -999999, 301216.780029297 6648710.72998047 -999999, 301217.540039063 6648709.38000488 -999999, 301218.780029297 6648710.14001465 -999999, 301218.859985352 6648710.21002197 -999999, 301221.770019531 6648705.7199707 -999999, 301221.75 6648705.73999023 -999999, 301223.300048828 6648703.46002197 -999999, 301223.180053711 6648703.36999512 -999999, 301221.880004883 6648702.58001709 -999999, 301221.050048828 6648703.90002442 -999999, 301222.349975586 6648704.65997314 -999999, 301223.180053711 6648703.36999512 -999999, 301223.300048828 6648703.46002197 -999999, 301225.530029297 6648700.03997803 -999999, 301227.719970703 6648697.26000977 -999999, 301227.619995117 6648697.13000488 -999999, 301226.319946289 6648696.35998535 -999999, 301225.420043945 6648697.60998535 -999999, 301226.719970703 6648698.40997314 -999999, 301227.619995117 6648697.13000488 -999999, 301227.719970703 6648697.26000977 -999999, 301230.709960938 6648693.35998535 -999999, 301231.979980469 6648691.77001953 -999999, 301231.939941406 6648691.73999023 -999999, 301230.83996582 6648690.84002686 -999999, 301229.770019531 6648692.13000488 -999999, 301230.939941406 6648692.96002197 -999999, 301231.939941406 6648691.73999023 -999999, 301231.979980469 6648691.77001953 -999999)</t>
  </si>
  <si>
    <t>['FV1469 S1D1 m1178-1239']</t>
  </si>
  <si>
    <t>LINESTRING Z (301273.479980469 6648656.01000977 -999999, 301274.800048828 6648655.2800293 -999999, 301276.310058594 6648654.58001709 -999999, 301278.449951172 6648654.16998291 -999999, 301280.890014648 6648654.03997803 -999999, 301283.959960938 6648654.76000977 -999999, 301287.140014648 6648656.26000977 -999999, 301288.699951172 6648657.03997803 -999999, 301288.569946289 6648657.27001953 -999999, 301287.83996582 6648657.85998535 -999999, 301286.760009766 6648658.17999268 -999999, 301285.689941406 6648658.20001221 -999999, 301284.770019531 6648657.91998291 -999999, 301281.829956055 6648656.88000488 -999999, 301279.369995117 6648656.40002441 -999999, 301277.949951172 6648656.27001953 -999999, 301277.540039063 6648656.29998779 -999999, 301277.489990234 6648656.15997315 -999999, 301277.040039063 6648654.70001221 -999999, 301275.550048828 6648655.14001465 -999999, 301276.010009766 6648656.57000732 -999999, 301277.489990234 6648656.15997315 -999999, 301277.540039063 6648656.29998779 -999999, 301276.780029297 6648656.45001221 -999999, 301276.119995117 6648656.58001709 -999999, 301273.170043945 6648657.78997803 -999999, 301270.229980469 6648659.5 -999999, 301270.16003418 6648659.4699707 -999999, 301269.400024414 6648658.23999023 -999999, 301267.949951172 6648659.10998535 -999999, 301268.75 6648660.35998535 -999999, 301270.16003418 6648659.4699707 -999999, 301270.229980469 6648659.5 -999999, 301267.369995117 6648661.23999023 -999999, 301265.83996582 6648662.20001221 -999999, 301263.699951172 6648663.65997314 -999999, 301263.699951172 6648663.58001709 -999999, 301262.969970703 6648662.42999268 -999999, 301261.630004883 6648663.33001709 -999999, 301262.459960938 6648664.4699707 -999999, 301263.699951172 6648663.58001709 -999999, 301263.699951172 6648663.65997314 -999999, 301260.140014648 6648666.10998535 -999999, 301256.689941406 6648668.70001221 -999999, 301256.689941406 6648668.53997803 -999999, 301255.869995117 6648667.38000488 -999999, 301254.550048828 6648668.41998291 -999999, 301255.449951172 6648669.48999023 -999999, 301256.689941406 6648668.53997803 -999999, 301256.689941406 6648668.70001221 -999999, 301254.670043945 6648670.17999268 -999999, 301251.880004883 6648672.29998779 -999999, 301250.420043945 6648673.65002442 -999999, 301250.359985352 6648673.59997559 -999999, 301249.430053711 6648672.51000977 -999999, 301248.08996582 6648673.59002686 -999999, 301249.079956055 6648674.7199707 -999999, 301250.359985352 6648673.59997559 -999999, 301250.420043945 6648673.65002442 -999999, 301244.650024414 6648678.75 -999999, 301244.599975586 6648678.70001221 -999999, 301243.640014648 6648677.59997559 -999999, 301242.439941406 6648678.69000244 -999999, 301243.489990234 6648679.77001953 -999999, 301244.599975586 6648678.70001221 -999999, 301244.650024414 6648678.75 -999999, 301240.16003418 6648682.90002441 -999999, 301238.869995117 6648684.23999023 -999999, 301238.83996582 6648684.23999023 -999999, 301237.709960938 6648683.23999023 -999999, 301236.66003418 6648684.39001465 -999999, 301237.75 6648685.34997559 -999999, 301238.83996582 6648684.23999023 -999999, 301238.869995117 6648684.23999023 -999999, 301236.390014648 6648686.83001709 -999999, 301235.880004883 6648686.54998779 -999999, 301235.25 6648685.95001221 -999999, 301235.930053711 6648685.11999512 -999999, 301237.619995117 6648683.26000977 -999999, 301242.829956055 6648678.17999268 -999999, 301247.760009766 6648673.77001953 -999999, 301254.300048828 6648668.5 -999999, 301258.66003418 6648665.14001465 -999999, 301260.880004883 6648663.79998779 -999999, 301266.25 6648660.10998535 -999999, 301269.420043945 6648658.17999268 -999999, 301273.479980469 6648656.01000977 -999999)</t>
  </si>
  <si>
    <t>['FV1469 S1D1 m1106-1153']</t>
  </si>
  <si>
    <t>LINESTRING Z (301306.359985352 6648634.01000977 -999999, 301307.400024414 6648635.60998535 -999999, 301309.459960938 6648634.35998535 -999999, 301308.439941406 6648632.70001221 -999999, 301306.359985352 6648634.01000977 -999999, 301306.290039063 6648633.88000488 -999999, 301312.689941406 6648629.36999512 -999999, 301312.880004883 6648629.60998535 -999999, 301313.920043945 6648631.21002197 -999999, 301315.969970703 6648629.96002197 -999999, 301314.949951172 6648628.29998779 -999999, 301312.880004883 6648629.60998535 -999999, 301312.689941406 6648629.36999512 -999999, 301320.010009766 6648624.59002686 -999999, 301320.16003418 6648624.86999512 -999999, 301321.199951172 6648626.4699707 -999999, 301323.239990234 6648625.2199707 -999999, 301322.229980469 6648623.55999756 -999999, 301320.16003418 6648624.86999512 -999999, 301320.010009766 6648624.59002686 -999999, 301325.33996582 6648621.03997803 -999999, 301325.510009766 6648621.30999756 -999999, 301326.550048828 6648622.91998291 -999999, 301328.58996582 6648621.66998291 -999999, 301327.579956055 6648620 -999999, 301325.510009766 6648621.30999756 -999999, 301325.33996582 6648621.03997803 -999999, 301331.58996582 6648616.91998291 -999999, 301331.75 6648617.34997559 -999999, 301332.790039063 6648618.95001221 -999999, 301334.829956055 6648617.70001221 -999999, 301333.819946289 6648616.03997803 -999999, 301331.75 6648617.34997559 -999999, 301331.58996582 6648616.91998291 -999999, 301337.189941406 6648613.2199707 -999999, 301337.359985352 6648613.52001953 -999999, 301338.400024414 6648615.13000488 -999999, 301340.449951172 6648613.88000488 -999999, 301339.430053711 6648612.21002197 -999999, 301337.359985352 6648613.52001953 -999999, 301337.189941406 6648613.2199707 -999999, 301342.869995117 6648609.41998291 -999999, 301343.359985352 6648609.89001465 -999999, 301343.849975586 6648610.65002442 -999999, 301344 6648611.17999268 -999999, 301343.890014648 6648611.95001221 -999999, 301342.959960938 6648612.79998779 -999999, 301334.109985352 6648618.53997803 -999999, 301327.349975586 6648623 -999999, 301320.420043945 6648627.5300293 -999999, 301314.280029297 6648631.53997803 -999999, 301310.829956055 6648633.7800293 -999999, 301308.420043945 6648635.30999756 -999999, 301307.270019531 6648635.83001709 -999999, 301306.530029297 6648636.11999512 -999999, 301305.829956055 6648636.30999756 -999999, 301305.170043945 6648636.28997803 -999999, 301304.530029297 6648636.15997314 -999999, 301304.08996582 6648635.75 -999999, 301304.520019531 6648635.28997803 -999999, 301306.290039063 6648633.88000488 -999999, 301306.359985352 6648634.01000977 -999999)</t>
  </si>
  <si>
    <t>['FV1469 S1D1 m991-1097']</t>
  </si>
  <si>
    <t>LINESTRING Z (301437.939941406 6648550.27001953 -999999, 301437.949951172 6648550.40997315 -999999, 301438.719970703 6648552.15002441 -999999, 301440.939941406 6648551.23999024 -999999, 301440.199951172 6648549.42999268 -999999, 301437.949951172 6648550.40997315 -999999, 301437.939941406 6648550.27001953 -999999, 301431.119995117 6648553.46002197 -999999, 301431.229980469 6648553.71002197 -999999, 301432.050048828 6648555.42999268 -999999, 301434.239990234 6648554.4699707 -999999, 301433.459960937 6648552.67999268 -999999, 301431.229980469 6648553.71002197 -999999, 301431.119995117 6648553.46002197 -999999, 301429.390014648 6648554.23999024 -999999, 301427.260009766 6648555.38000488 -999999, 301424.91003418 6648556.65997315 -999999, 301424.969970703 6648556.9699707 -999999, 301425.900024414 6648558.64001465 -999999, 301428.020019531 6648557.53997803 -999999, 301427.119995117 6648555.79998779 -999999, 301424.969970703 6648556.9699707 -999999, 301424.91003418 6648556.65997315 -999999, 301420.109985352 6648559.28997803 -999999, 301418.020019531 6648560.47998047 -999999, 301418.099975586 6648560.70001221 -999999, 301419.180053711 6648562.35998535 -999999, 301421.239990234 6648561.23999023 -999999, 301420.209960938 6648559.44000244 -999999, 301418.099975586 6648560.70001221 -999999, 301418.020019531 6648560.47998047 -999999, 301412.680053711 6648563.57000733 -999999, 301412.08996582 6648563.94000244 -999999, 301412.260009766 6648564.27001953 -999999, 301413.300048828 6648565.86999512 -999999, 301415.349975586 6648564.61999512 -999999, 301414.329956055 6648562.96002197 -999999, 301412.260009766 6648564.27001953 -999999, 301412.08996582 6648563.94000244 -999999, 301409.709960938 6648565.42999268 -999999, 301406.369995117 6648567.59997559 -999999, 301406.520019531 6648567.89001465 -999999, 301407.550048828 6648569.48999023 -999999, 301409.599975586 6648568.23999023 -999999, 301408.58996582 6648566.57000732 -999999, 301406.520019531 6648567.89001465 -999999, 301406.369995117 6648567.59997559 -999999, 301401.290039063 6648570.85998535 -999999, 301399.479980469 6648572.01000977 -999999, 301399.640014648 6648572.27001953 -999999, 301400.680053711 6648573.86999512 -999999, 301402.729980469 6648572.61999512 -999999, 301401.709960938 6648570.95001221 -999999, 301399.640014648 6648572.27001953 -999999, 301399.479980469 6648572.01000977 -999999, 301395.689941406 6648574.65002441 -999999, 301393.170043945 6648576.29998779 -999999, 301393.359985352 6648576.65997314 -999999, 301394.400024414 6648578.26000977 -999999, 301396.459960938 6648577.01000977 -999999, 301395.430053711 6648575.34002686 -999999, 301393.359985352 6648576.65997314 -999999, 301393.170043945 6648576.29998779 -999999, 301386.459960938 6648580.80999756 -999999, 301386.619995117 6648581.14001465 -999999, 301387.66003418 6648582.75 -999999, 301389.699951172 6648581.5 -999999, 301388.689941406 6648579.83001709 -999999, 301386.619995117 6648581.14001465 -999999, 301386.459960938 6648580.80999756 -999999, 301379.689941406 6648585.27001953 -999999, 301379.800048828 6648585.51000977 -999999, 301380.83996582 6648587.11999512 -999999, 301382.890014648 6648585.85998535 -999999, 301381.869995117 6648584.20001221 -999999, 301379.800048828 6648585.51000977 -999999, 301379.689941406 6648585.27001953 -999999, 301375.66003418 6648587.82000733 -999999, 301373.209960938 6648589.33001709 -999999, 301373.329956055 6648589.67999268 -999999, 301374.369995117 6648591.28997803 -999999, 301376.420043945 6648590.0300293 -999999, 301375.400024414 6648588.35998535 -999999, 301373.329956055 6648589.67999268 -999999, 301373.209960938 6648589.33001709 -999999, 301366.540039063 6648593.78997803 -999999, 301366.689941406 6648593.91998291 -999999, 301367.729980469 6648595.5300293 -999999, 301369.83996582 6648594.36999512 -999999, 301368.760009766 6648592.59997559 -999999, 301366.689941406 6648593.91998291 -999999, 301366.540039063 6648593.78997803 -999999, 301359.650024414 6648598.15997315 -999999, 301359.739990234 6648598.17999268 -999999, 301360.719970703 6648599.70001221 -999999, 301362.729980469 6648598.38000488 -999999, 301361.810058594 6648596.86999512 -999999, 301359.739990234 6648598.17999268 -999999, 301359.650024414 6648598.15997315 -999999, 301356.680053711 6648600.09002686 -999999, 301353.010009766 6648602.39001465 -999999, 301353.050048828 6648602.42999268 -999999, 301355.109985352 6648601.10998535 -999999, 301356.060058594 6648602.66998291 -999999, 301354.040039063 6648603.9699707 -999999, 301353.050048828 6648602.42999268 -999999, 301353.010009766 6648602.39001465 -999999, 301351.010009766 6648603.76000977 -999999, 301350.900024414 6648604.76000977 -999999, 301351.08996582 6648605.53997803 -999999, 301351.189941406 6648606.10998535 -999999, 301352.770019531 6648604.83001709 -999999, 301364.780029297 6648597.19000244 -999999, 301365.650024414 6648596.70001221 -999999, 301369.530029297 6648594.63000488 -999999, 301371.630004883 6648593.40997315 -999999, 301377.209960938 6648589.92999268 -999999, 301385.040039063 6648584.83001709 -999999, 301387.599975586 6648583.15002441 -999999, 301392.310058594 6648580 -999999, 301394.489990234 6648578.59997559 -999999, 301397.849975586 6648576.40002441 -999999, 301402.989990234 6648572.9699707 -999999, 301404.099975586 6648572.2199707 -999999, 301406.719970703 6648570.54998779 -999999, 301410.079956055 6648568.35998535 -999999, 301415.829956055 6648564.69000244 -999999, 301417.229980469 6648563.83001709 -999999, 301421.270019531 6648561.48999024 -999999, 301425.780029297 6648559.04998779 -999999, 301428.099975586 6648557.75 -999999, 301429.390014648 6648557.07000732 -999999, 301433.890014648 6648554.76000977 -999999, 301436.699951172 6648553.40997314 -999999, 301441.050048828 6648551.32000732 -999999, 301440.260009766 6648549.27001953 -999999, 301437.939941406 6648550.27001953 -999999)</t>
  </si>
  <si>
    <t>2025-11-22T09:09:59Z</t>
  </si>
  <si>
    <t>[175]</t>
  </si>
  <si>
    <t>['FV175 S3D1 m9175-9303', 'FV175 S4D1 m0-162']</t>
  </si>
  <si>
    <t>LINESTRING Z (304066.989990234 6670383.42993164 -999999, 304059.139892578 6670377.65991211 -999999, 304052.040039063 6670372.5 -999999, 304048.909912109 6670370.02001953 -999999, 304047.229980469 6670368.23999023 -999999, 304047.140014648 6670367.2800293 -999999, 304047.449951172 6670366.13989258 -999999, 304048.330078125 6670365.23999023 -999999, 304049.429931641 6670365.13989258 -999999, 304051.139892578 6670365.66992188 -999999, 304063.149902344 6670371.62988281 -999999, 304069.550048828 6670375.18994141 -999999, 304076.229980469 6670380.23999024 -999999, 304083.120117188 6670387.62988281 -999999, 304086.399902344 6670391.75 -999999, 304091.929931641 6670399.5300293 -999999, 304095.300048828 6670403.10009766 -999999, 304098.790039063 6670406.5 -999999, 304105.770019531 6670413.33007813 -999999, 304119.429931641 6670426.86010742 -999999, 304123.080078125 6670430.54003906 -999999, 304124.620117188 6670432.33007813 -999999, 304125.290039063 6670433.64990234 -999999, 304124.800048828 6670434.25 -999999, 304124.300048828 6670434.85009766 -999999, 304123.320068359 6670434.65991211 -999999, 304121.840087891 6670433.68994141 -999999, 304117.75 6670429.64990234 -999999, 304095.469970703 6670408.05004883 -999999, 304077.540039063 6670392.22998047 -999999, 304066.989990234 6670383.42993164 -999999, 304066.129882812 6670384.25 -999999, 304063.219970703 6670381.72998047 -999999, 304056.570068359 6670376.79003906 -999999, 304047.619995117 6670370.29003906 -999999, 304034.640014648 6670360.67993164 -999999, 304025.920043945 6670354.5300293 -999999, 304015.569946289 6670347.11010742 -999999, 304002.170043945 6670338.11010742 -999999, 303991.270019531 6670330.64990234 -999999, 303992.319946289 6670329.31005859 -999999, 303995.420043945 6670331.05004883 -999999, 303998.719970703 6670332.7800293 -999999, 304000.650024414 6670333.88989258 -999999, 304002.150024414 6670334.12011719 -999999, 304003.040039062 6670333.85009766 -999999, 304003.66003418 6670332.51000977 -999999, 304004.08996582 6670331.17993164 -999999, 304003.479980469 6670330.5 -999999, 304002.459960938 6670329.48999023 -999999, 304000.280029297 6670327.65991211 -999999, 303996.400024414 6670323.60009766 -999999, 303992.060058594 6670320.32006836 -999999, 303989.229980469 6670317.62011719 -999999, 303985.880004883 6670315.15991211 -999999, 303982.780029297 6670313.42993164 -999999, 303979.459960937 6670311.33007813 -999999, 303976.170043945 6670309.61010742 -999999, 303972.520019531 6670307.91992188 -999999, 303968.880004883 6670306.40991211 -999999, 303965.270019531 6670305.08007813 -999999, 303959.699951172 6670302.63989258 -999999, 303953.709960938 6670299.5 -999999, 303946.300048828 6670294.85009766 -999999, 303941.739990234 6670291.38989258 -999999, 303939.349975586 6670289.39990234 -999999, 303937.719970703 6670287.69995117 -999999, 303936.25 6670287.65991211 -999999, 303935.540039063 6670287.89990234 -999999, 303935.640014648 6670289 -999999, 303936.540039063 6670290.12011719 -999999, 303937.709960938 6670291.57006836 -999999, 303939.369995117 6670293.62988281 -999999, 303942.760009766 6670296.45996094 -999999, 303946.33996582 6670299.43994141 -999999, 303948.900024414 6670301.22998047 -999999, 303951.040039063 6670302.51000977 -999999, 303955.920043945 6670305.56005859 -999999, 303963.119995117 6670309.87988281 -999999, 303968.770019531 6670313.22998047 -999999, 303973.780029297 6670315.70996094 -999999, 303979.310058594 6670319.81005859 -999999, 303985.380004883 6670323.87011719 -999999, 303989.579956055 6670327.5300293 -999999, 303992.319946289 6670329.31005859 -999999, 303991.270019531 6670330.64990234 -999999, 303985.510009766 6670326.56005859 -999999, 303975.300048828 6670319.92993164 -999999, 303966.699951172 6670314.17993164 -999999, 303955.939941406 6670307.20996094 -999999, 303949.930053711 6670303.13989258 -999999, 303946.209960938 6670300.2800293 -999999, 303942.640014648 6670297.64990234 -999999, 303939.83996582 6670295.09008789 -999999, 303936.770019531 6670291.86010742 -999999, 303934.040039063 6670289.08007813 -999999, 303932.760009766 6670287.65991211 -999999, 303933.729980469 6670286.5 -999999, 303934.630004883 6670285.90991211 -999999, 303935.369995117 6670285.66992188 -999999, 303935.849975586 6670285.69995117 -999999, 303936.5 6670285.75 -999999, 303937.260009766 6670286.25 -999999, 303938.290039063 6670286.91992188 -999999, 303940.680053711 6670288.84008789 -999999, 303943.849975586 6670291.48999023 -999999, 303947 6670293.76000977 -999999, 303949.859985352 6670295.67993164 -999999, 303954.260009766 6670298.44995117 -999999, 303958.319946289 6670300.56005859 -999999, 303963.640014648 6670302.90991211 -999999, 303970.920043945 6670306.17993164 -999999, 303976.810058594 6670308.68994141 -999999, 303981.400024414 6670311.25 -999999, 303984.319946289 6670313.05004883 -999999, 303986.099975586 6670314.33007813 -999999, 303989.880004883 6670317.10009766 -999999, 303995.699951172 6670321.88989258 -999999, 304001.140014648 6670326.87011719 -999999, 304007 6670332.18994141 -999999, 304012.270019531 6670337.0300293 -999999, 304019.199951172 6670343.37011719 -999999, 304024.430053711 6670347.65991211 -999999, 304031.209960938 6670353.12011719 -999999, 304033.719970703 6670354.89990234 -999999, 304039.800048828 6670358.77001953 -999999, 304042.280029297 6670360.19995117 -999999, 304048.219970703 6670363.16992187 -999999, 304054.159912109 6670366.22998047 -999999, 304060.169921875 6670369.20996094 -999999, 304066.260009766 6670372.34008789 -999999, 304069.760009766 6670374.37988281 -999999, 304071.949951172 6670375.90991211 -999999, 304076.110107422 6670378.85009766 -999999, 304079.350097656 6670382.07006836 -999999, 304081.209960937 6670384.12011719 -999999, 304085.399902344 6670388.89990234 -999999, 304089.860107422 6670395.12988281 -999999, 304091.790039063 6670397.90991211 -999999, 304093.010009766 6670399.54003906 -999999, 304094.149902344 6670400.97998047 -999999, 304094.959960938 6670401.84008789 -999999, 304095.669921875 6670402.68994141 -999999, 304097.030029297 6670403.92993164 -999999, 304099.169921875 6670406.09008789 -999999, 304101.439941406 6670408.31005859 -999999, 304105.050048828 6670411.7199707 -999999, 304109.610107422 6670416.20996094 -999999, 304115.229980469 6670421.91992188 -999999, 304121.959960938 6670428.76000977 -999999, 304126.840087891 6670433.75 -999999, 304131.489990234 6670438.48999023 -999999, 304134.449951172 6670441.56005859 -999999, 304137.790039063 6670445.02001953 -999999, 304140.889892578 6670448.2199707 -999999, 304145.399902344 6670452.84008789 -999999, 304150.239990234 6670458.11010742 -999999, 304154.770019531 6670462.86010742 -999999, 304157.429931641 6670465.62988281 -999999, 304159.229980469 6670467.73999023 -999999, 304159.050048828 6670468.57006836 -999999, 304158.729980469 6670469.45996094 -999999, 304158.300048828 6670469.9699707 -999999, 304157.860107422 6670470.36010742 -999999, 304156.959960938 6670470.57006836 -999999, 304156.189941406 6670470.41992188 -999999, 304152.659912109 6670466.87011719 -999999, 304145.300048828 6670459.0300293 -999999, 304142.330078125 6670455.98999024 -999999, 304143.129882813 6670455.11010742 -999999, 304140.649902344 6670451.9699707 -999999, 304135.129882813 6670446.51000977 -999999, 304132.659912109 6670444.22998047 -999999, 304132.110107422 6670443.29003906 -999999, 304131.790039063 6670442.34008789 -999999, 304131.979980469 6670441.87011719 -999999, 304132.399902344 6670441.44995117 -999999, 304132.909912109 6670441.32006836 -999999, 304133.709960938 6670441.70996094 -999999, 304138.050048828 6670446.02001953 -999999, 304145.100097656 6670453.35009766 -999999, 304147.870117188 6670456.36010742 -999999, 304148.330078125 6670457.2199707 -999999, 304148.449951172 6670457.75 -999999, 304148.050048828 6670458.31005859 -999999, 304147.530029297 6670458.42993164 -999999, 304146.840087891 6670458.34008789 -999999, 304146.100097656 6670457.72998047 -999999, 304145.320068359 6670456.93994141 -999999, 304143.129882813 6670455.11010742 -999999, 304142.330078125 6670455.98999024 -999999, 304137.790039063 6670451.25 -999999, 304126.199951172 6670439.26000977 -999999, 304121.560058594 6670434.87011719 -999999, 304119.699951172 6670433 -999999, 304116.050048828 6670429.16992188 -999999, 304112.419921875 6670425.66992188 -999999, 304104.199951172 6670417.54003906 -999999, 304101.020019531 6670414.4699707 -999999, 304091.219970703 6670405.51000977 -999999, 304087.060058594 6670401.87988281 -999999, 304077.919921875 6670393.88989258 -999999, 304071.530029297 6670388.62011719 -999999, 304066.129882812 6670384.25 -999999, 304066.989990234 6670383.42993164 -999999)</t>
  </si>
  <si>
    <t>['FV175 S4D1 m167-398']</t>
  </si>
  <si>
    <t>LINESTRING Z (304186.610107422 6670500.83007813 -999999, 304187.340087891 6670501.60009766 -999999, 304188.560058594 6670503 -999999, 304205.310058594 6670520.47998047 -999999, 304205.939941406 6670521.01000977 -999999, 304206.310058594 6670521.38989258 -999999, 304206.820068359 6670521.42993164 -999999, 304207.370117188 6670521.05004883 -999999, 304207.75 6670520.66992188 -999999, 304207.620117188 6670520.02001953 -999999, 304207.080078125 6670518.81005859 -999999, 304205.850097656 6670517.25 -999999, 304189 6670499.60009766 -999999, 304187.969970703 6670498.43994141 -999999, 304187.280029297 6670498.16992188 -999999, 304186.699951172 6670498.30004883 -999999, 304185.889892578 6670498.55004883 -999999, 304185.510009766 6670499 -999999, 304185.679931641 6670499.89990234 -999999, 304185.879882813 6670500.31005859 -999999, 304186.610107422 6670500.83007813 -999999, 304185.429931641 6670501.63989258 -999999, 304180.830078125 6670496.80004883 -999999, 304177.800048828 6670493.51000977 -999999, 304178.479980469 6670492.60009766 -999999, 304168.659912109 6670482.19995117 -999999, 304167.929931641 6670481.59008789 -999999, 304167.580078125 6670480.54003906 -999999, 304167.340087891 6670479.63989258 -999999, 304168.030029297 6670478.97998047 -999999, 304168.949951172 6670478.98999023 -999999, 304170.020019531 6670479.72998047 -999999, 304181.949951172 6670492.04003906 -999999, 304182.379882813 6670493.16992188 -999999, 304182.300048828 6670494.10009766 -999999, 304181.870117188 6670494.81005859 -999999, 304181.040039063 6670494.9699707 -999999, 304180.330078125 6670494.54003906 -999999, 304178.479980469 6670492.60009766 -999999, 304177.800048828 6670493.51000977 -999999, 304171.820068359 6670487.20996094 -999999, 304162.399902344 6670477.12988281 -999999, 304160.409912109 6670475.08007813 -999999, 304160.669921875 6670474.20996094 -999999, 304161.149902344 6670473.58007812 -999999, 304161.770019531 6670472.98999023 -999999, 304162.350097656 6670472.62988281 -999999, 304163.540039063 6670472 -999999, 304168.850097656 6670477.4699707 -999999, 304179.209960938 6670488.29003906 -999999, 304184.100097656 6670493.30004883 -999999, 304190.050048828 6670499.45996094 -999999, 304203.489990234 6670513.60009766 -999999, 304212.600097656 6670523.2199707 -999999, 304220.330078125 6670531.2199707 -999999, 304226.169921875 6670537.25 -999999, 304228.689941406 6670539.75 -999999, 304235.899902344 6670546.95996094 -999999, 304239.790039063 6670550.64990234 -999999, 304244.429931641 6670555.09008789 -999999, 304246.760009766 6670557.20996094 -999999, 304251.510009766 6670561.38989258 -999999, 304258.209960938 6670567.15991211 -999999, 304261.050048828 6670569.4699707 -999999, 304265.389892578 6670572.91992188 -999999, 304269.659912109 6670576.41992188 -999999, 304274.610107422 6670580.19995117 -999999, 304278.600097656 6670583.33007813 -999999, 304282.780029297 6670586.45996094 -999999, 304287.300048828 6670589.68994141 -999999, 304292.370117188 6670593.07006836 -999999, 304295.780029297 6670595.2800293 -999999, 304297.840087891 6670596.60009766 -999999, 304300.449951172 6670597.9699707 -999999, 304301.919921875 6670598.70996094 -999999, 304305.149902344 6670599.9699707 -999999, 304306.669921875 6670600.57006836 -999999, 304309.429931641 6670601.47998047 -999999, 304310.120117188 6670601.61010742 -999999, 304315.120117188 6670602.65991211 -999999, 304317.770019531 6670602.87011719 -999999, 304322.409912109 6670602.59008789 -999999, 304327.939941406 6670601.93994141 -999999, 304335.060058594 6670600.52001953 -999999, 304339.959960938 6670598.88989258 -999999, 304347.929931641 6670594.4699707 -999999, 304352.489990234 6670591.7800293 -999999, 304353.75 6670591.12988281 -999999, 304355.909912109 6670590.87988281 -999999, 304357.489990234 6670591.16992188 -999999, 304358.060058594 6670591.51000977 -999999, 304359.020019531 6670591.82006836 -999999, 304358.139892578 6670593.39990234 -999999, 304356.659912109 6670595.9699707 -999999, 304354.590087891 6670599.36010742 -999999, 304351.659912109 6670603.4699707 -999999, 304348.120117188 6670607.29003906 -999999, 304341.25 6670613.61010742 -999999, 304336.280029297 6670617.65991211 -999999, 304333.719970703 6670618.91992187 -999999, 304332.179931641 6670619.06005859 -999999, 304330.030029297 6670618.90991211 -999999, 304325.699951172 6670618.37988281 -999999, 304324.659912109 6670618.18994141 -999999, 304322.979980469 6670617.40991211 -999999, 304321.020019531 6670616.17993164 -999999, 304321.010009766 6670616.12988281 -999999, 304306.090087891 6670606.55004883 -999999, 304301.719970703 6670603.83007813 -999999, 304292.800048828 6670597.80004883 -999999, 304287.050048828 6670593.85009766 -999999, 304282.629882813 6670590.80004883 -999999, 304278.530029297 6670587.91992187 -999999, 304275.209960938 6670585.59008789 -999999, 304269.550048828 6670581.7199707 -999999, 304265.570068359 6670578.54003906 -999999, 304258.320068359 6670572.63989258 -999999, 304258.909912109 6670572.05004883 -999999, 304257.179931641 6670570.5300293 -999999, 304255.919921875 6670569.56005859 -999999, 304255.540039063 6670569 -999999, 304255.459960938 6670568.16992188 -999999, 304255.840087891 6670567.70996094 -999999, 304256.320068359 6670567.51000977 -999999, 304257.489990234 6670567.56005859 -999999, 304258.280029297 6670567.91992188 -999999, 304260.219970703 6670569.83007812 -999999, 304268.080078125 6670576.14990234 -999999, 304274.649902344 6670581.15991211 -999999, 304278.669921875 6670583.97998047 -999999, 304279.340087891 6670584.91992188 -999999, 304279.429931641 6670585.84008789 -999999, 304279.060058594 6670586.37011719 -999999, 304278.239990234 6670586.62011719 -999999, 304277.379882813 6670586.36010742 -999999, 304276.120117188 6670585.37988281 -999999, 304274.060058594 6670583.89990234 -999999, 304269.209960938 6670580.32006836 -999999, 304258.909912109 6670572.05004883 -999999, 304258.320068359 6670572.63989258 -999999, 304251.270019531 6670566.70996094 -999999, 304245.899902344 6670562.19995117 -999999, 304240.219970703 6670557.0300293 -999999, 304230.030029297 6670547.60009766 -999999, 304224.560058594 6670542.07006836 -999999, 304225.090087891 6670540.95996094 -999999, 304217.270019531 6670533.20996094 -999999, 304215.959960938 6670531.72998047 -999999, 304215.949951172 6670530.93994141 -999999, 304216.25 6670530.2800293 -999999, 304217.209960938 6670530.19995117 -999999, 304217.760009766 6670530.32006836 -999999, 304218.649902344 6670530.90991211 -999999, 304227.060058594 6670539.52001953 -999999, 304238.810058594 6670550.92993164 -999999, 304246.229980469 6670557.87988281 -999999, 304246.800048828 6670558.65991211 -999999, 304246.699951172 6670559.34008789 -999999, 304246.489990234 6670559.7800293 -999999, 304246.020019531 6670560.14990234 -999999, 304245.110107422 6670560.32006836 -999999, 304243.469970703 6670558.80004883 -999999, 304239.070068359 6670554.66992188 -999999, 304231.820068359 6670547.7199707 -999999, 304225.090087891 6670540.95996094 -999999, 304224.560058594 6670542.07006836 -999999, 304222.189941406 6670539.75 -999999, 304218.75 6670536.16992188 -999999, 304213.879882812 6670531.22998047 -999999, 304209.459960938 6670526.44995117 -999999, 304204.800048828 6670521.63989258 -999999, 304199.330078125 6670515.98999023 -999999, 304196.280029297 6670512.9699707 -999999, 304193.889892578 6670510.48999024 -999999, 304189.280029297 6670505.67993164 -999999, 304185.429931641 6670501.63989258 -999999, 304186.610107422 6670500.83007813 -999999)</t>
  </si>
  <si>
    <t>['FV175 S3D1 m8762-8833']</t>
  </si>
  <si>
    <t>LINESTRING Z (303627.969970703 6670222.38989258 -999999, 303663.58996582 6670169.75 -999999, 303663.719970703 6670168.80004883 -999999, 303663.439941406 6670168.10009766 -999999, 303662.630004883 6670168.2199707 -999999, 303661.939941406 6670168.86010742 -999999, 303626.609985352 6670221.26000977 -999999, 303626.180053711 6670222.25 -999999, 303626.229980469 6670223 -999999, 303626.83996582 6670223.15991211 -999999, 303627.25 6670223.01000977 -999999, 303627.969970703 6670222.38989258 -999999, 303628.280029297 6670222.7199707 -999999, 303625.540039063 6670226.47998047 -999999, 303624.579956055 6670227.14990234 -999999, 303624.260009766 6670227.19995117 -999999, 303623.979980469 6670227.17993164 -999999, 303623.390014648 6670227.07006836 -999999, 303622.890014648 6670226.87988281 -999999, 303621.969970703 6670226.02001953 -999999, 303621.079956055 6670224.79003906 -999999, 303620.75 6670223.91992188 -999999, 303620.739990234 6670222.93994141 -999999, 303621.780029297 6670219.34008789 -999999, 303622.180053711 6670218.81005859 -999999, 303623.020019531 6670218.33007813 -999999, 303629.640014648 6670215.06005859 -999999, 303638.729980469 6670201.94995117 -999999, 303647.560058594 6670188.20996094 -999999, 303654.119995117 6670177.04003906 -999999, 303655.33996582 6670172.54003906 -999999, 303656.739990234 6670164.64990235 -999999, 303656.969970703 6670164.2800293 -999999, 303657.239990234 6670164.04003906 -999999, 303657.66003418 6670164.0300293 -999999, 303660.209960938 6670163.62988281 -999999, 303665.069946289 6670163.10009766 -999999, 303666.530029297 6670163.33007813 -999999, 303667.119995117 6670163.51000977 -999999, 303668.270019531 6670164.17993164 -999999, 303656.319946289 6670181.52001953 -999999, 303645.310058594 6670197.95996094 -999999, 303637.130004883 6670210.05004883 -999999, 303629.530029297 6670221.01000977 -999999, 303628.280029297 6670222.7199707 -999999, 303627.969970703 6670222.38989258 -999999)</t>
  </si>
  <si>
    <t>2025-04-30T11:44:28Z</t>
  </si>
  <si>
    <t>[1464]</t>
  </si>
  <si>
    <t>['FV1464 S1D1 m727-752']</t>
  </si>
  <si>
    <t>LINESTRING Z (308320.420043945 6643544.36999512 -999999, 308319.819946289 6643543.44995117 -999999, 308317.969970703 6643541.19995117 -999999, 308315.349975586 6643537.93005371 -999999, 308314.099975586 6643535.94995117 -999999, 308313.079956055 6643533.82995606 -999999, 308311.380004883 6643529.38000488 -999999, 308311.349975586 6643529.39001465 -999999, 308311.719970703 6643533.06994629 -999999, 308312.849975586 6643539.40002441 -999999, 308313.630004883 6643544.83996582 -999999, 308313.849975586 6643546.35998535 -999999, 308314.150024414 6643548.19995117 -999999, 308314.359985352 6643549.48999024 -999999, 308314.439941406 6643550.59997559 -999999, 308314.010009766 6643551.77001953 -999999, 308313.189941406 6643552.92004395 -999999, 308315.599975586 6643553.94995117 -999999, 308317.66003418 6643553.93994141 -999999, 308319.489990234 6643553.25 -999999, 308321.119995117 6643551.88000488 -999999, 308322.209960938 6643549.68994141 -999999, 308322.349975586 6643547.67004395 -999999, 308321.969970703 6643546.31005859 -999999, 308318.140014648 6643548.16003418 -999999, 308317.969970703 6643546.26000977 -999999, 308317.609985352 6643543.77001953 -999999, 308317.209960938 6643542.2199707 -999999, 308317.010009766 6643541.52001953 -999999, 308316.709960938 6643541.06994629 -999999, 308316.150024414 6643540.66003418 -999999, 308315.449951172 6643540.32995606 -999999, 308314.91003418 6643540.25 -999999, 308314.040039063 6643540.18994141 -999999, 308313.219970703 6643540.27001953 -999999, 308313.780029297 6643544.23999023 -999999, 308313.859985352 6643544.81005859 -999999, 308314.069946289 6643546.35998535 -999999, 308314.359985352 6643548.17004395 -999999, 308314.449951172 6643548.68005371 -999999, 308314.58996582 6643549.35998535 -999999, 308314.640014648 6643549.89001465 -999999, 308314.66003418 6643550.56994629 -999999, 308314.680053711 6643551.23999024 -999999, 308314.900024414 6643551.7800293 -999999, 308315.469970703 6643552.18005371 -999999, 308316.390014648 6643552.22998047 -999999, 308317.66003418 6643551.57995606 -999999, 308318.150024414 6643551.07995606 -999999, 308318.420043945 6643550.39001465 -999999, 308318.140014648 6643548.16003418 -999999, 308321.969970703 6643546.31005859 -999999, 308320.420043945 6643544.36999512 -999999)</t>
  </si>
  <si>
    <t>[1464, 170]</t>
  </si>
  <si>
    <t>['FV170 S4D1 m751-761', 'FV1464 S1D1 m737-872']</t>
  </si>
  <si>
    <t>LINESTRING Z (308322.83996582 6643562.33996582 -999999, 308321.670043945 6643563.22998047 -999999, 308317.060058594 6643566.07995606 -999999, 308315.08996582 6643567.69995117 -999999, 308313.729980469 6643569.18994141 -999999, 308312.849975586 6643570.69995117 -999999, 308312.349975586 6643572.48999023 -999999, 308312.199951172 6643574.7800293 -999999, 308312.949951172 6643580.93994141 -999999, 308313.829956055 6643588.80004883 -999999, 308314.479980469 6643595.26000977 -999999, 308316.869995117 6643617.4699707 -999999, 308317.969970703 6643629.94995117 -999999, 308318.229980469 6643632.2800293 -999999, 308318.560058594 6643635.0300293 -999999, 308319.150024414 6643639.11999512 -999999, 308319.699951172 6643641.88000488 -999999, 308320.400024414 6643644.9699707 -999999, 308321.420043945 6643648.04003906 -999999, 308322.390014648 6643650.54003906 -999999, 308324.199951172 6643653.86999512 -999999, 308326.150024414 6643656.36999512 -999999, 308326.790039063 6643657.13000488 -999999, 308329.16003418 6643659 -999999, 308330.239990234 6643659.88000488 -999999, 308331.520019531 6643660.56005859 -999999, 308332.609985352 6643661 -999999, 308334.920043945 6643661.76000977 -999999, 308337.33996582 6643662.07995606 -999999, 308338.939941406 6643661.67004395 -999999, 308341 6643660.56994629 -999999, 308340.920043945 6643660.43005371 -999999, 308340.219970703 6643659.22998047 -999999, 308333.900024414 6643652.0300293 -999999, 308331.400024414 6643648.31994629 -999999, 308328.069946289 6643639.93994141 -999999, 308327.540039063 6643636.23999024 -999999, 308323.969970703 6643596.93994141 -999999, 308322.239990234 6643578.31994629 -999999, 308322.199951172 6643577.91003418 -999999, 308322.150024414 6643577.31005859 -999999, 308322.08996582 6643576.70996094 -999999, 308322.099975586 6643576.17004395 -999999, 308322.189941406 6643575.76000977 -999999, 308322.300048828 6643575.14001465 -999999, 308322.520019531 6643574.77001953 -999999, 308322.829956055 6643574.40002441 -999999, 308323.310058594 6643573.93005371 -999999, 308323.709960938 6643573.64001465 -999999, 308324.099975586 6643573.26000977 -999999, 308324.349975586 6643572.82995605 -999999, 308324.709960938 6643572.58996582 -999999, 308325.290039063 6643572.15002441 -999999, 308325.900024414 6643571.73999023 -999999, 308327.329956055 6643570.35998535 -999999, 308325.540039063 6643569.43005371 -999999, 308328.329956055 6643565.04003906 -999999, 308328.479980469 6643564.44995117 -999999, 308328.439941406 6643563.83996582 -999999, 308328.219970703 6643563.2800293 -999999, 308327.859985352 6643562.80004883 -999999, 308327.369995117 6643562.43005371 -999999, 308326.800048828 6643562.2199707 -999999, 308326.209960938 6643562.18005371 -999999, 308325.609985352 6643562.29003906 -999999, 308325.040039063 6643562.60998535 -999999, 308321.640014648 6643565.47998047 -999999, 308321.260009766 6643566.15002442 -999999, 308321.079956055 6643566.92004394 -999999, 308321.119995117 6643567.70996094 -999999, 308321.369995117 6643568.45996094 -999999, 308321.829956055 6643569.10998535 -999999, 308322.449951172 6643569.59997559 -999999, 308323.189941406 6643569.90002441 -999999, 308323.969970703 6643569.98999023 -999999, 308324.130004883 6643569.97998047 -999999, 308325.540039063 6643569.43005371 -999999, 308327.329956055 6643570.35998535 -999999, 308329.439941406 6643567.02001953 -999999, 308329.459960938 6643567.04003906 -999999, 308329.729980469 6643566.54003906 -999999, 308330.050048828 6643565.75 -999999, 308330.180053711 6643565.25 -999999, 308330.319946289 6643564.75 -999999, 308330.390014648 6643564.13000488 -999999, 308330.380004883 6643563.51000977 -999999, 308330.33996582 6643562.54003906 -999999, 308330.050048828 6643559.91003418 -999999, 308329.949951172 6643559.25 -999999, 308329.849975586 6643558.77001953 -999999, 308329.75 6643557.58996582 -999999, 308329.729980469 6643556.82995606 -999999, 308329.800048828 6643556.10998535 -999999, 308329.91003418 6643555.19995117 -999999, 308330.010009766 6643554.70996094 -999999, 308330.560058594 6643551.2800293 -999999, 308331.189941406 6643546.15002441 -999999, 308331.229980469 6643546.14001465 -999999, 308332.020019531 6643539.11999512 -999999, 308334.069946289 6643534.94995117 -999999, 308333.58996582 6643534.97998047 -999999, 308332.920043945 6643534.94995117 -999999, 308331.010009766 6643539.02001953 -999999, 308330.209960938 6643544.90002442 -999999, 308329.540039063 6643551.32995605 -999999, 308329.020019531 6643554.47998047 -999999, 308327.469970703 6643557.75 -999999, 308325.459960938 6643560.51000977 -999999, 308322.83996582 6643562.33996582 -999999)</t>
  </si>
  <si>
    <t>2025-11-22T09:10:06Z</t>
  </si>
  <si>
    <t>['EV6 S79D1 m4002-4109']</t>
  </si>
  <si>
    <t>LINESTRING Z (296299.9859111791 7044259.374361407 3.201, 296301.0882013028 7044254.109391765 3.261, 296302.02917607396 7044249.759583038 3.301, 296303.0256057234 7044245.417398785 3.341, 296304.0881547711 7044241.093327854 3.371, 296304.54729461245 7044239.287789442 3.381, 296306.03843044164 7044233.3053571265 3.411, 296307.4385753297 7044227.306403979 3.441, 296308.7775871705 7044221.289020175 3.471, 296310.0348484963 7044215.243353375 3.491, 296322.398053929 7044154.163390959 3.362, 296318.0526548213 7044153.3578204345 3.361, 296305.4849659009 7044215.0428393055 3.491, 296304.39545912354 7044220.586259825 3.461, 296303.36638567026 7044226.136986648 3.441, 296302.40769799886 7044231.694383128 3.411, 296301.50588984304 7044237.281654829 3.381, 296301.0979861308 7044239.888220828 3.371, 296300.4889666759 7044243.647081615 3.351, 296299.8387152472 7044247.386238168 3.321, 296299.12874978944 7044251.129214472 3.281, 296298.37755265733 7044254.852486611 3.251, 296297.5353804563 7044258.872021369 3.201)</t>
  </si>
  <si>
    <t>POLYGON Z ((296299.9859111791 7044259.374361407 3.201, 296301.0882013028 7044254.109391765 3.261, 296302.02917607396 7044249.759583038 3.301, 296303.0256057234 7044245.417398785 3.341, 296304.0881547711 7044241.093327854 3.371, 296304.54729461245 7044239.287789442 3.381, 296306.03843044164 7044233.3053571265 3.411, 296307.4385753297 7044227.306403979 3.441, 296308.7775871705 7044221.289020175 3.471, 296310.0348484963 7044215.243353375 3.491, 296322.398053929 7044154.163390959 3.362, 296318.0526548213 7044153.3578204345 3.361, 296305.4849659009 7044215.0428393055 3.491, 296304.39545912354 7044220.586259825 3.461, 296303.36638567026 7044226.136986648 3.441, 296302.40769799886 7044231.694383128 3.411, 296301.50588984304 7044237.281654829 3.381, 296301.0979861308 7044239.888220828 3.371, 296300.4889666759 7044243.647081615 3.351, 296299.8387152472 7044247.386238168 3.321, 296299.12874978944 7044251.129214472 3.281, 296298.37755265733 7044254.852486611 3.251, 296297.5353804563 7044258.872021369 3.201, 296299.9859111791 7044259.374361407 3.201))</t>
  </si>
  <si>
    <t>2016-10-26</t>
  </si>
  <si>
    <t>2025-11-22T09:10:13Z</t>
  </si>
  <si>
    <t>['EV6 S199D1 m11939-11987']</t>
  </si>
  <si>
    <t>LINESTRING Z (783069.35 7789538.06 9.055, 783057.68 7789533.62 9.015, 783030.01 7789522.91 8.795, 783028.78 7789523.51 8.775, 783027.62 7789524.11 8.795, 783070.79 7789539.92 9.075, 783069.42 7789538.06 9.075, 783071.21 7789541.66 9.045, 783070.98 7789544.07 9.035, 783069.56 7789547.83 9.005, 783068.2 7789549.53 8.945, 783066.27 7789550.61 8.895, 783063.6 7789551.03 8.865, 783061.35 7789550.57 8.875, 783057.85 7789549.39 8.885, 783051.41 7789547.1 8.855, 783045.96 7789545.11 8.765, 783039.07 7789542.39 8.735, 783034.03 7789540.65 8.725, 783031.82 7789539.44 8.655, 783029.24 7789538 8.635, 783027.3 7789536.63 8.655, 783025.55 7789534.17 8.645, 783025.1 7789533.18 8.675, 783024.63 7789531.81 8.695, 783024.62 7789530.31 8.695, 783024.82 7789529.21 8.715, 783025.53 7789527.61 8.745, 783026.85 7789525.14 8.755)</t>
  </si>
  <si>
    <t>2012-07-01</t>
  </si>
  <si>
    <t>[165]</t>
  </si>
  <si>
    <t>['FV165 S1D1 m7853-7919']</t>
  </si>
  <si>
    <t>LINESTRING (246880.040039063 6638556.49023438, 246881.380004883 6638556.85986328, 246882.390014648 6638554.20019531, 246883.770019531 6638550.50976563, 246889.890014648 6638552.60986328, 246890.079956055 6638552.10009766, 246890.060058594 6638551.10009766, 246889.780029297 6638549.79980469, 246889.33996582 6638548.83007813, 246888.439941406 6638547.89013672, 246887.609985352 6638547.14990234, 246886.459960938 6638546.52001953, 246885.369995117 6638546.35009766, 246883.959960937 6638546.39013672, 246882.569946289 6638546.64013672, 246881.310058594 6638547.16015625, 246880.219970703 6638548.10009766, 246879.229980469 6638549.24023438, 246878.609985352 6638550.24023438, 246878.170043945 6638551.08984375, 246877.640014648 6638552.79980469, 246876.75 6638556.66992187, 246876.199951172 6638559.56982422, 246874.780029297 6638564.37988281, 246873.790039063 6638566.95019531, 246872.520019531 6638569.62988281, 246871.719970703 6638571.43017578, 246870.949951172 6638573.06005859, 246869.119995117 6638576.10986328, 246866.859985352 6638579.58984375, 246865.689941406 6638580.85986328, 246862.949951172 6638584.08984375, 246861.579956055 6638585.62011719, 246858.760009766 6638588.06005859, 246856.739990234 6638589.68994141, 246854.040039062 6638591.74023438, 246851.5 6638593.29980469, 246848.119995117 6638595.08984375, 246844.890014648 6638596.93017578, 246840.989990234 6638599.06005859, 246841.449951172 6638599.95019531, 246844.380004883 6638598.77978516, 246847.930053711 6638597.49023438, 246850.819946289 6638596.31982422, 246853.83996582 6638595.22021484, 246857.5 6638594.22021484, 246860.109985352 6638593.83984375, 246862.260009766 6638593.41015625, 246864.109985352 6638592.27001953, 246865.430053711 6638591.12988281, 246864.849975586 6638590.47021484, 246866.369995117 6638588.83007813, 246867.189941406 6638589.52978516, 246867.5 6638589.87988281, 246869.420043945 6638588.24023437, 246871.209960937 6638586.56005859, 246873.020019531 6638584.87011719, 246874.270019531 6638583.41015625, 246874.449951172 6638583.12988281, 246874.479980469 6638582.87988281, 246874.270019531 6638582.75, 246871.510009766 6638581.49023438, 246870.83996582 6638582.62011719, 246870.989990234 6638582.70019531, 246871.310058594 6638584.16015625, 246870.41003418 6638585.29980469, 246869.369995117 6638586.47021484, 246868.510009766 6638587.39013672, 246868.420043945 6638587.47021484, 246866.400024414 6638588.83007813, 246864.849975586 6638590.45996094, 246864.41003418 6638590.91992188, 246861.880004883 6638592.75976563, 246858.560058594 6638593.68994141, 246857.66003418 6638593.54980469, 246858.010009766 6638592.64990234, 246859.030029297 6638591.06982422, 246861.949951172 6638588.77001953, 246864.619995117 6638586.35009766, 246865 6638585.87988281, 246866.719970703 6638583.95996094, 246867.58996582 6638581.54003906, 246868.989990234 6638579.89013672, 246870.270019531 6638577.25976563, 246871.640014648 6638574.41992188, 246872.170043945 6638573.29003906, 246872.849975586 6638571.77978516, 246873.459960938 6638570.47021484, 246874.25 6638568.47998047, 246874.91003418 6638566.81005859, 246875.260009766 6638565.79003906, 246875.560058594 6638564.91992188, 246875.83996582 6638564.20996094, 246876.239990234 6638563.35986328, 246876.939941406 6638561.89013672, 246877.08996582 6638561.60009766, 246877.280029297 6638561.02978516, 246877.630004883 6638560.06005859, 246878.040039063 6638558.95019531, 246878.5 6638557.85009766, 246879.189941406 6638556.25, 246880.040039063 6638556.49023438)</t>
  </si>
  <si>
    <t>['EV18 S54D1 m784 KD8 m6-13', 'EV18 S54D1 m784 KD8 m18']</t>
  </si>
  <si>
    <t>LINESTRING (255952.56948061197 6649795.401665869, 255955.43892957983 6649794.519621834, 255955.96630957336 6649798.00303264, 255956.2169671989 6649802.052007729, 255956.04791171607 6649807.133924469, 255955.37628364618 6649811.400194707, 255953.37645848852 6649818.568810719, 255951.85456718307 6649822.4444914395, 255949.7191517709 6649825.947450229, 255946.2050116891 6649830.9934733175, 255940.13961886454 6649837.492495262, 255936.75615522574 6649840.441282628, 255938.199539702 6649838.179124256, 255942.9163350101 6649831.981407451, 255944.69478109674 6649829.697116004, 255947.55849625112 6649825.587585872, 255949.6487944822 6649822.165789687, 255949.14606775512 6649821.942113821, 255951.3667348812 6649816.758165135, 255952.91818994036 6649810.6132140495, 255953.58792264396 6649804.705217948, 255953.41660894096 6649801.432834608, 255953.10569296696 6649797.745249883, 255952.6181257038 6649795.119225977, 255952.56948061197 6649795.401665869)</t>
  </si>
  <si>
    <t>2025-04-30T11:44:52Z</t>
  </si>
  <si>
    <t>[1646]</t>
  </si>
  <si>
    <t>['FV1646 S1D1 m1461-1489']</t>
  </si>
  <si>
    <t>LINESTRING Z (247040 6649847.30004883 -999999, 247041.829956055 6649846.16003418 -999999, 247043.689941406 6649844.73999024 -999999, 247045.219970703 6649843.41003418 -999999, 247046.290039063 6649842.06005859 -999999, 247047.959960938 6649839.80004883 -999999, 247049.709960938 6649837.07995606 -999999, 247051 6649835.0300293 -999999, 247052.319946289 6649832.64001465 -999999, 247053 6649831.38000488 -999999, 247054.140014648 6649830.14001465 -999999, 247055.400024414 6649828.31994629 -999999, 247056.540039063 6649827.07995606 -999999, 247057.109985352 6649826.45996094 -999999, 247058.229980469 6649826.33996582 -999999, 247059.650024414 6649827.15002441 -999999, 247060.050048828 6649827.58996582 -999999, 247060.030029297 6649828.38000488 -999999, 247059.770019531 6649828.82995605 -999999, 247040 6649847.30004883 -999999)</t>
  </si>
  <si>
    <t>2025-11-22T09:10:18Z</t>
  </si>
  <si>
    <t>[1648]</t>
  </si>
  <si>
    <t>['FV1648 S1D1 m946-1082']</t>
  </si>
  <si>
    <t>LINESTRING Z (249847.469970703 6647642.56994629 -999999, 249846.719970703 6647642.64001465 -999999, 249846.739990234 6647644.15002441 -999999, 249847.719970703 6647652.23999023 -999999, 249848.969970703 6647657.48999023 -999999, 249850.340026855 6647661.68994141 -999999, 249851.880004883 6647665.77001953 -999999, 249854.619995117 6647671.73999024 -999999, 249857.010009766 6647675.56005859 -999999, 249860.33001709 6647680.16003418 -999999, 249862.380004883 6647682.54003906 -999999, 249865.090026855 6647685.51000977 -999999, 249867.530029297 6647687.43994141 -999999, 249869.450012207 6647689.19995117 -999999, 249871.650024414 6647690.77001953 -999999, 249875.859985352 6647693.2199707 -999999, 249880.609985352 6647695.68994141 -999999, 249886.479980469 6647697.92004395 -999999, 249890.770019531 6647699.3100586 -999999, 249893.33001709 6647700.01000977 -999999, 249897.049987793 6647700.76000977 -999999, 249899.880004883 6647701.19995117 -999999, 249902.880004883 6647701.63000488 -999999, 249905.140014648 6647701.72998047 -999999, 249909.200012207 6647701.91003418 -999999, 249917.390014648 6647701.5300293 -999999, 249922.130004883 6647701.43005371 -999999, 249930.289978027 6647700.85998535 -999999, 249936.33001709 6647700.30004883 -999999, 249941.690002441 6647699.42004395 -999999, 249946.380004883 6647698.83996582 -999999, 249950.900024414 6647697.85998535 -999999, 249954.5 6647697.2800293 -999999, 249962.489990234 6647695.17004395 -999999, 249968.799987793 6647693.56994629 -999999, 249970.650024414 6647693.30004883 -999999, 249972.380004883 6647693.26000977 -999999, 249973.659973145 6647693.30004883 -999999, 249975.270019531 6647693.54003906 -999999, 249976.619995117 6647693.83996582 -999999, 249977.599975586 6647694.29003906 -999999, 249979.599975586 6647695.29003906 -999999, 249983.010009766 6647697.80004883 -999999, 249984.719970703 6647699.2800293 -999999, 249988.049987793 6647702.35998535 -999999, 249992.33001709 6647705.94995117 -999999, 249994.609985352 6647707.97998047 -999999, 249996.729980469 6647709.17004395 -999999, 249998.450012207 6647710.15002442 -999999, 249999.390014648 6647710.69995117 -999999, 250000.429992676 6647711.23999023 -999999, 250000.989990234 6647711.47998047 -999999, 250001.200012207 6647711.47998047 -999999, 250001.380004883 6647711.39001465 -999999, 250001.219970703 6647711.17004395 -999999, 250000.83001709 6647710.85998535 -999999, 250000.119995117 6647710.23999023 -999999, 249997.659973145 6647708.2800293 -999999, 249994.989990234 6647706.0300293 -999999, 249992.320007324 6647703.5300293 -999999, 249991.229980469 6647702.61999512 -999999, 249989.460021973 6647701.15002441 -999999, 249987.770019531 6647699.56994629 -999999, 249985.679992676 6647697.73999023 -999999, 249984.010009766 6647696.22998047 -999999, 249981.83001709 6647694.43994141 -999999, 249978.650024414 6647692.58996582 -999999, 249976.090026855 6647691.16003418 -999999, 249972.599975586 6647690.09997559 -999999, 249970.66998291 6647689.64001465 -999999, 249968.380004883 6647689.34997559 -999999, 249966.099975586 6647689.18005371 -999999, 249963.460021973 6647689.29003906 -999999, 249960.780029297 6647689.7199707 -999999, 249958.369995117 6647690.14001465 -999999, 249953.289978027 6647691.19995117 -999999, 249946.75 6647692.18994141 -999999, 249940.929992676 6647693.11999512 -999999, 249934.799987793 6647693.65002441 -999999, 249930.840026855 6647693.9699707 -999999, 249926.539978027 6647694.05004883 -999999, 249920.880004883 6647694.26000977 -999999, 249913.210021973 6647694.30004883 -999999, 249907.030029297 6647693.94995117 -999999, 249901.150024414 6647693.43005371 -999999, 249897.450012207 6647692.82995606 -999999, 249894.289978027 6647692.06005859 -999999, 249891.530029297 6647691.20996094 -999999, 249887.840026855 6647689.77001953 -999999, 249883.510009766 6647688.06994629 -999999, 249882.030029297 6647687.27001953 -999999, 249880.549987793 6647686.43994141 -999999, 249877.33001709 6647684.27001953 -999999, 249872.650024414 6647680.85998535 -999999, 249871.760009766 6647680.2800293 -999999, 249870.880004883 6647679.85998535 -999999, 249869.570007324 6647679.55004883 -999999, 249868.409973145 6647679.86999512 -999999, 249867.549987793 6647680.38000488 -999999, 249866.969970703 6647680.86999512 -999999, 249866.090026855 6647681.77001953 -999999, 249868.179992676 6647683.54003906 -999999, 249869.099975586 6647684.32995606 -999999, 249871.739990234 6647683.56005859 -999999, 249874.559997559 6647683.36999512 -999999, 249880.5 6647686.93994141 -999999, 249884.349975586 6647688.75 -999999, 249886.429992676 6647689.61999512 -999999, 249888.760009766 6647690.56005859 -999999, 249892.33001709 6647691.82995606 -999999, 249896.780029297 6647692.97998047 -999999, 249900.520019531 6647693.69995117 -999999, 249906.630004883 6647694.30004883 -999999, 249909.979980469 6647694.5 -999999, 249919.16998291 6647694.66003418 -999999, 249924.719970703 6647694.56005859 -999999, 249930.289978027 6647694.45996094 -999999, 249933.66998291 6647694.25 -999999, 249939.590026855 6647693.77001953 -999999, 249950.08001709 6647692.34997559 -999999, 249955.700012207 6647691.43994141 -999999, 249957.090026855 6647691.44995117 -999999, 249958.630004883 6647691.57995605 -999999, 249958.91998291 6647692.60998535 -999999, 249958.66998291 6647693.43005371 -999999, 249963.66998291 6647692.25 -999999, 249967.75 6647691.84997559 -999999, 249968.909973145 6647691.72998047 -999999, 249972.030029297 6647691.88000488 -999999, 249973.570007324 6647692.14001465 -999999, 249973.820007324 6647691.92004395 -999999, 249971.729980469 6647691.36999512 -999999, 249971.369995117 6647691.15002442 -999999, 249971.289978027 6647690.88000488 -999999, 249971.5 6647690.73999024 -999999, 249971.900024414 6647690.57995606 -999999, 249973.489990234 6647690.69995117 -999999, 249976.010009766 6647691.44995117 -999999, 249976.979980469 6647691.90002441 -999999, 249977.659973145 6647692.29003906 -999999, 249977.989990234 6647692.52001953 -999999, 249978.119995117 6647692.68005371 -999999, 249978.049987793 6647692.85998535 -999999, 249977.859985352 6647692.89001465 -999999, 249977.609985352 6647692.84997559 -999999, 249977.090026855 6647692.70996094 -999999, 249973.820007324 6647691.92004395 -999999, 249973.570007324 6647692.14001465 -999999, 249974.429992676 6647692.26000977 -999999, 249975.710021973 6647692.55004883 -999999, 249977.270019531 6647693.11999512 -999999, 249978.289978027 6647693.52001953 -999999, 249979.460021973 6647694.11999512 -999999, 249981.010009766 6647694.95996094 -999999, 249982.75 6647696.36999512 -999999, 249985.16998291 6647698.27001953 -999999, 249987.020019531 6647699.86999512 -999999, 249988.489990234 6647701.16003418 -999999, 249992.130004883 6647704.30004883 -999999, 249993.210021973 6647705.23999023 -999999, 249993.489990234 6647705.48999024 -999999, 249993.700012207 6647705.68005371 -999999, 249993.75 6647705.70996094 -999999, 249993.770019531 6647705.73999023 -999999, 249993.789978027 6647705.76000977 -999999, 249993.809997559 6647705.79003906 -999999, 249993.820007324 6647705.80004883 -999999, 249993.820007324 6647705.82995606 -999999, 249993.83001709 6647705.85998535 -999999, 249993.820007324 6647705.90002441 -999999, 249993.809997559 6647705.93005371 -999999, 249993.789978027 6647705.94995117 -999999, 249993.780029297 6647705.9699707 -999999, 249995.020019531 6647707.08996582 -999999, 249995.289978027 6647707.31994629 -999999, 249995.700012207 6647707.19995117 -999999, 249995.869995117 6647707.29003906 -999999, 249997.08001709 6647708.07995606 -999999, 249998.869995117 6647709.47998047 -999999, 249999.239990234 6647709.7800293 -999999, 249999.25 6647709.91003418 -999999, 249999.150024414 6647710.07995606 -999999, 249999.020019531 6647710.09997559 -999999, 249998.83001709 6647710.06994629 -999999, 249998.58001709 6647709.93994141 -999999, 249997.109985352 6647708.83996582 -999999, 249995.770019531 6647707.97998047 -999999, 249995.340026855 6647707.60998535 -999999, 249995.270019531 6647707.30004883 -999999, 249995 6647707.07995605 -999999, 249993.780029297 6647705.9699707 -999999, 249993.770019531 6647705.9699707 -999999, 249993.75 6647705.98999023 -999999, 249993.719970703 6647706 -999999, 249993.700012207 6647706.01000977 -999999, 249993.659973145 6647706.01000977 -999999, 249993.619995117 6647706 -999999, 249993.530029297 6647705.93005371 -999999, 249993.440002441 6647705.83996582 -999999, 249993.349975586 6647705.77001953 -999999, 249993.260009766 6647705.68994141 -999999, 249992.890014648 6647705.35998535 -999999, 249991.5 6647704.14001465 -999999, 249990.16998291 6647702.93005371 -999999, 249988.119995117 6647701.20996094 -999999, 249985.539978027 6647698.95996094 -999999, 249983.5 6647697.27001953 -999999, 249982.390014648 6647696.38000488 -999999, 249980.619995117 6647695.05004883 -999999, 249978.08001709 6647693.68005371 -999999, 249976.619995117 6647693.16003418 -999999, 249975.359985352 6647692.7199707 -999999, 249973.690002441 6647692.39001465 -999999, 249971.840026855 6647692.14001465 -999999, 249968.960021973 6647692.0300293 -999999, 249964.619995117 6647692.56005859 -999999, 249954.630004883 6647696.45996094 -999999, 249946.539978027 6647698.05004883 -999999, 249939.409973145 6647699.16003418 -999999, 249932.429992676 6647700.10998535 -999999, 249927.020019531 6647700.52001953 -999999, 249921.219970703 6647700.73999023 -999999, 249913.299987793 6647700.91003418 -999999, 249906.390014648 6647701.02001953 -999999, 249904.559997559 6647701.09997559 -999999, 249901.099975586 6647700.72998047 -999999, 249896.469970703 6647699.9699707 -999999, 249893.429992676 6647699.36999512 -999999, 249889.719970703 6647698.40002441 -999999, 249886.760009766 6647697.42004395 -999999, 249883.260009766 6647695.98999024 -999999, 249877.91998291 6647693.54003906 -999999, 249874.219970703 6647691.64001465 -999999, 249870.659973145 6647689.17004395 -999999, 249866.780029297 6647685.86999512 -999999, 249864.239990234 6647683.5300293 -999999, 249862.159973145 6647681.16003418 -999999, 249859.179992676 6647677.4699707 -999999, 249855.010009766 6647670.93005371 -999999, 249852.969970703 6647666.44995117 -999999, 249850.820007324 6647660.73999023 -999999, 249849.679992676 6647657.66003418 -999999, 249848.710021973 6647653.41003418 -999999, 249847.820007324 6647646.43994141 -999999, 249847.469970703 6647642.56994629 -999999)</t>
  </si>
  <si>
    <t>2017-10-26</t>
  </si>
  <si>
    <t>[160]</t>
  </si>
  <si>
    <t>['FV160 S2D1 m2715-2807']</t>
  </si>
  <si>
    <t>LINESTRING Z (248386.790039063 6650730.95019531 -999999, 248387.5703125 6650729.6796875 -999999, 248387.91015625 6650729.05957031 -999999, 248387.969726563 6650728.55957031 -999999, 248387.889648438 6650727.66992188 -999999, 248387.620117187 6650726.99023438 -999999, 248386.860351563 6650726.1796875 -999999, 248386.290039063 6650725.53027344 -999999, 248385.879882813 6650725.26953125 -999999, 248384.83984375 6650724.76953125 -999999, 248383.059570313 6650724.9296875 -999999, 248382.450195313 6650725.78027344 -999999, 248381.580078125 6650727.14941406 -999999, 248380.709960938 6650728.41992188 -999999, 248359.33984375 6650748.9296875 -999999, 248353.51953125 6650753.73046875 -999999, 248348.080078125 6650758.19042969 -999999, 248343.91015625 6650762.63964844 -999999, 248342.370117188 6650764.26953125 -999999, 248341.51953125 6650765.9296875 -999999, 248340.91015625 6650767.87988281 -999999, 248339.790039063 6650770.85058594 -999999, 248339.620117188 6650773.35058594 -999999, 248339.209960938 6650778.64941406 -999999, 248336.091796875 6650804.80078125 -999999, 248333.295898437 6650818.00390625 -999999, 248330.458007812 6650827.72265625 -999999, 248323.834960938 6650841.5703125 -999999, 248317.728515625 6650851.89160156 -999999, 248319.834960938 6650854.42871094 -999999, 248324.092773437 6650849.99902344 -999999, 248330.11328125 6650840.53808594 -999999, 248337.854492188 6650829.61523438 -999999, 248341.037109375 6650825.05664063 -999999, 248353.422851563 6650798.39355469 -999999, 248351.702148437 6650795.46875 -999999, 248350.326171875 6650801.31738281 -999999, 248344.111328125 6650815.25097656 -999999, 248338.97265625 6650825.74414062 -999999, 248337.940429688 6650827.12109375 -999999, 248335.704101563 6650827.46484375 -999999, 248333.467773438 6650825.91699219 -999999, 248333.467773438 6650824.19628906 -999999, 248340.348632812 6650796.15722656 -999999, 248344.821289063 6650797.01660156 -999999, 248347.57421875 6650798.39355469 -999999, 248350.326171875 6650801.31738281 -999999, 248351.702148437 6650795.46875 -999999, 248348.43359375 6650795.46875 -999999, 248346.541992188 6650794.60839844 -999999, 248344.133789063 6650793.06054688 -999999, 248343.4453125 6650791.33984375 -999999, 248342.928710938 6650776.03027344 -999999, 248344.993164063 6650767.25683594 -999999, 248353.938476563 6650756.67773438 -999999, 248369.076171875 6650742.74414063 -999999, 248373.720703125 6650739.21777344 -999999, 248376.817382813 6650739.38964844 -999999, 248377.677734375 6650740.59375 -999999, 248365.463867188 6650764.76269531 -999999, 248351.702148437 6650795.46875 -999999, 248353.422851563 6650798.39355469 -999999, 248366.9296875 6650766.89941406 -999999, 248372.790039063 6650756.04980469 -999999, 248376.490234375 6650749.75 -999999, 248386.790039063 6650730.95019531 -999999)</t>
  </si>
  <si>
    <t>['EV18 S53D1 m114 KD6 m70-133']</t>
  </si>
  <si>
    <t>LINESTRING (251042.963592744 6648026.641089607, 251034.04868942092 6648023.856894664, 251030.90282309367 6648022.147477097, 251026.5487250015 6648018.665167416, 251024.34896471 6648015.920216233, 251023.1816255284 6648013.921162192, 251021.69896228725 6648010.323651776, 251020.4218050425 6648002.277688025, 251021.07987550687 6647997.798752951, 251022.16143521885 6647994.274282208, 251023.67891715158 6647991.055560997, 251024.72237352235 6647989.29856617, 251024.6822156379 6647988.452327592, 251024.60329207443 6647987.530507803, 251023.6714909131 6647986.945388383, 251022.46079428206 6647986.635970406, 251021.35234429053 6647986.844670677, 251014.36224673214 6647994.140535947, 251011.72416291313 6647996.887394887, 251006.7044301902 6648001.771820355, 251002.07238988974 6648005.412575501, 250998.05083407325 6648007.951035618, 250994.59259197683 6648009.770166404, 250990.3923549734 6648011.572260536, 250986.3916376864 6648013.00346948, 250982.37996888414 6648014.022118947, 250978.49034606325 6648014.68627145, 250975.509119538 6648015.088167718, 250972.72297559463 6648015.220007062, 250972.08391826524 6648015.564656669, 250972.45326231918 6648016.131802332, 250978.7112642765 6648017.799078841, 250980.40245022762 6648018.076114216, 250983.31328886823 6648017.7124742195, 250985.1219011174 6648017.233190183, 250991.66098179176 6648016.4911058685, 250994.5501849895 6648017.056068423, 250997.91884941416 6648017.82331346, 251002.710046642 6648018.628785654, 251008.0790241675 6648019.596411977, 251013.11011841788 6648020.463930642, 251013.02860019766 6648019.586966816, 250995.64052567523 6648016.245382044, 250992.29951248778 6648015.722023239, 250991.53233003663 6648015.081141862, 250991.53876443734 6648014.343467576, 250991.66356044108 6648013.363243694, 250992.26182749055 6648012.496340474, 250993.223664776 6648011.694309575, 250999.93392758764 6648007.4108908195, 251003.75843652728 6648004.863364883, 251016.84287647385 6647992.722380759, 251021.592323263 6647988.157774063, 251022.4323032514 6647988.212902589, 251023.07921778885 6647988.984763955, 251022.38943187497 6647991.242943227, 251020.82346418104 6647995.325044392, 251020.38982228725 6647997.219692757, 251019.71272826233 6648000.58287851, 251019.58885314045 6648002.076872859, 251019.75038801413 6648003.808561015, 251020.04030739336 6648005.196492822, 251020.46273212114 6648008.38508988, 251022.1227635604 6648013.199387556, 251025.10297429372 6648018.282218354, 251026.84935154454 6648019.795461284, 251028.68184101227 6648021.50397066, 251032.4633230268 6648023.650900666, 251036.5199486848 6648025.466534888, 251041.240452067 6648026.556073808, 251043.3639741081 6648027.585941249, 251042.7723205715 6648028.217813686, 251040.8395207096 6648028.269791525, 251032.6944562257 6648027.33270483, 251030.96405105412 6648026.723178691, 251026.29984939407 6648023.719738026, 251023.978747725 6648022.256374896, 251013.35325909968 6648020.50116557, 251013.37056231825 6648019.640565043, 251023.16145262535 6648021.038006811, 251026.19027877814 6648022.509554366, 251029.65307010597 6648025.091247355, 251032.63051248662 6648026.633282223, 251034.0020690016 6648026.83133565, 251035.65055632114 6648026.474563785, 251036.37186611065 6648025.934490618, 251036.50877442939 6648025.467287467, 251036.5206975994 6648025.477654755, 251041.25162631893 6648026.555321246, 251043.3639741081 6648027.585941249, 251042.963592744 6648026.641089607)</t>
  </si>
  <si>
    <t>2013-03-21</t>
  </si>
  <si>
    <t>2025-11-22T09:10:24Z</t>
  </si>
  <si>
    <t>['EV39 S118D10 m5596-5718']</t>
  </si>
  <si>
    <t>LINESTRING Z (33450.0369873047 6474338.18212891 12.981, 33451.0219726562 6474342.90576172 12.891, 33453.248046875 6474355.39892578 12.691, 33454.7569580078 6474362.02783203 12.341, 33456.0930175781 6474366.39697266 12.161, 33456.9360351563 6474370.31689453 12.011, 33456.0930175781 6474366.39697266 12.161, 33456.9360351563 6474370.31689453 12.011, 33459.0379638672 6474380.86914063 12.001, 33458.875 6474398.30615234 11.991, 33454.1739501953 6474411.24707031 12.041, 33453.1899414063 6474415.2109375 12.041, 33451.2409667969 6474420.64892578 12.031, 33448.5300292969 6474423.89111328 12.031, 33442.5899658203 6474430.62207031 12.311, 33437.66796875 6474436.34619141 12.591, 33431.2750244141 6474443.64111328 12.851, 33426.7139892578 6474449.49414063 12.651, 33426.2259521484 6474450.99707031 12.921, 33425.3089599609 6474453.80712891 13.161, 33432.9339599609 6474445.09277344 12.851, 33439.3170166016 6474437.79882813 12.591, 33443.1850585938 6474432.31005859 12.121, 33445.9699707031 6474430.14794922 12.001, 33448.9770507813 6474427.64501953 11.821, 33451.5059814453 6474425.86914063 11.761, 33453.9470214844 6474424.13085938 11.711, 33456.1779785156 6474421.83789062 11.701, 33457.5050048828 6474420.0078125 11.691, 33458.4990234375 6474417.8359375 11.681, 33459.3840332031 6474415.37109375 11.651, 33460.9239501953 6474411.54980469 11.691, 33461.3249511719 6474410.04492187 11.711, 33461.6109619141 6474407.29101563 11.721, 33461.7619628906 6474404.58984375 11.721, 33461.8349609375 6474401.46386719 11.661, 33462.0889892578 6474398.24023438 11.671, 33462.4329833984 6474395.31103516 11.671, 33462.7690429688 6474392.2109375 11.671, 33463.1779785156 6474389.13476563 11.671, 33463.7030029297 6474384.75976563 11.711, 33463.7330322266 6474383.29785156 11.711, 33463.3089599609 6474380.46679688 11.711, 33462.3759765625 6474377.57080078 11.701, 33461.2740478516 6474375.26416016 11.661, 33460.6789550781 6474372.9921875 11.641, 33459.6400146484 6474370.85107422 11.641, 33459.4670410156 6474370.58398438 11.961, 33458.0009765625 6474365.80419922 12.161, 33456.6929931641 6474361.51220703 12.341, 33455.2159423828 6474355.00097656 12.691, 33452.9909667969 6474342.52783203 12.891, 33451.2769775391 6474334.24707031 13.041, 33450.9210205078 6474335.35595703 12.721, 33450.9010009766 6474337.04785156 12.711, 33450.0369873047 6474338.18212891 12.731)</t>
  </si>
  <si>
    <t>['EV134 S40D1 m9045-9116']</t>
  </si>
  <si>
    <t>LINESTRING Z (185140.91015625 6620479.79003906 464.853, 185141.9296875 6620482.58007813 464.493, 185142.98828125 6620484.82006836 464.383, 185143.16015625 6620485.48999024 464.323, 185143.28125 6620486.29003906 464.323, 185142.6484375 6620488.20996094 464.333, 185142.1015625 6620490.56005859 464.293, 185143.62109375 6620491.18994141 464.233, 185143.69140625 6620491.7199707 464.193, 185145.1015625 6620492.17993164 464.113, 185147.03125 6620492.83007812 464.023, 185149.69140625 6620493.52001953 463.943, 185153.19140625 6620494.54003906 463.753, 185157.12890625 6620495.81005859 463.553, 185160.8984375 6620496.7199707 463.493, 185161.51171875 6620496.80004883 463.453, 185164.12890625 6620497.59008789 463.353, 185167.08984375 6620498.40991211 463.233, 185169.46875 6620499.10009766 463.133, 185171.53125 6620499.62011719 463.053, 185174.08984375 6620500.29003906 462.933, 185176.12109375 6620500.82006836 462.903, 185178.01171875 6620501.35009766 462.823, 185180.1484375 6620502.10009766 462.683, 185181.171875 6620502.45996094 462.643, 185182.078125 6620502.95996094 462.593, 185183.19921875 6620503.56005859 462.613, 185183.98828125 6620504.02001953 462.633, 185185.01171875 6620504.76000977 462.643, 185185.76953125 6620505.64990234 462.633, 185186.328125 6620506.42993164 462.613, 185187 6620507.33007812 462.583, 185187.859375 6620508.52001953 462.613, 185187.1484375 6620507.47998047 462.613, 185188.37109375 6620509.2800293 462.623, 185189.171875 6620510.9699707 462.633, 185189.69921875 6620511.95996094 462.633, 185190.53125 6620513.39990234 462.653, 185191.421875 6620514.65991211 462.683, 185192.359375 6620515.92993164 462.683, 185193.69140625 6620517.39990234 462.683, 185195.0703125 6620518.61010742 462.713, 185196.4609375 6620519.76000977 462.703, 185197.4609375 6620520.4699707 462.653, 185198.53125 6620521.15991211 462.683, 185198.98046875 6620521.4699707 462.703, 185199.3203125 6620521.89990234 462.713, 185199.4609375 6620522.5 462.723, 185199.4609375 6620522.91992187 462.733, 185199.4296875 6620523.69995117 462.753, 185198.9296875 6620523.40991211 462.613, 185198.3515625 6620522.85009766 462.573, 185197.76953125 6620522.27001953 462.543, 185196.55859375 6620521.16992187 462.643, 185195.23828125 6620520.0300293 462.613, 185194.1796875 6620519.08007813 462.683, 185193.05078125 6620517.87011719 462.613, 185192.16015625 6620516.88989258 462.643, 185190.76953125 6620515.12988281 462.643, 185190.7890625 6620515.14990234 462.643, 185189.890625 6620513.75 462.553, 185188.78125 6620511.61010742 462.543, 185187.6484375 6620509.34008789 462.533, 185186.55078125 6620507.69995117 462.413, 185185.421875 6620506.55004883 462.433, 185184.26171875 6620505.77001953 462.343, 185182.62109375 6620504.83007813 462.423, 185180.28125 6620503.75 462.463, 185178.5703125 6620503.01000977 462.503, 185176.44140625 6620502.14990234 462.533, 185174.078125 6620501.42993164 462.583, 185172 6620500.81005859 462.663, 185170.23828125 6620500.33007813 462.723, 185167.91015625 6620499.86010742 462.833, 185166.25 6620499.43994141 462.893, 185164.5703125 6620499.06005859 462.913, 185162.859375 6620498.76000977 463.053, 185161.23828125 6620498.11010742 463.113, 185159.23046875 6620497.59008789 463.223, 185157.62890625 6620497.20996094 463.223, 185155.75 6620496.62988281 463.293, 185154.0703125 6620496.17993164 463.353, 185152.6015625 6620495.72998047 463.443, 185151.0390625 6620495.35009766 463.543, 185149.48046875 6620494.91992188 463.613, 185147.7890625 6620494.48999024 463.703, 185145.94921875 6620493.87011719 463.833, 185144.4609375 6620493.38989258 463.883, 185143.359375 6620492.98999023 463.973, 185141.96875 6620492.62011719 464.073, 185141.890625 6620491.67993164 464.143, 185141.73046875 6620490.63989258 464.203, 185141.859375 6620489.34008789 464.153, 185141.96875 6620488.14990234 464.173, 185142.140625 6620487.26000977 464.203, 185142.23828125 6620486.12011719 464.203, 185142.1015625 6620485.08007813 464.213, 185141.75 6620484.08007813 464.273, 185141.25 6620483.07006836 464.353, 185140.921875 6620482.0300293 464.523, 185140.44921875 6620480.9699707 464.653, 185139.87109375 6620480.26000977 464.663, 185140.91015625 6620479.79003906 464.853)</t>
  </si>
  <si>
    <t>2025-11-22T09:10:32Z</t>
  </si>
  <si>
    <t>['EV14 S1D1 m139 KD1 m0-104']</t>
  </si>
  <si>
    <t>LINESTRING Z (296477.33996582 7044126.94995117 -999999, 296477.579956055 7044129.76000977 -999999, 296479.760009766 7044130.20996094 -999999, 296482.099975586 7044131.06005859 -999999, 296484.5 7044132.29003906 -999999, 296486.540039063 7044133.68005371 -999999, 296488.849975586 7044135.7800293 -999999, 296490.510009766 7044137.80004883 -999999, 296491.699951172 7044139.68994141 -999999, 296492.709960938 7044141.7800293 -999999, 296493.58996582 7044144.4699707 -999999, 296494.079956055 7044146.95996094 -999999, 296494.680053711 7044150.93005371 -999999, 296495.510009766 7044156.67004395 -999999, 296496.400024414 7044162.07995606 -999999, 296497.739990234 7044165.10998535 -999999, 296498.530029297 7044166.64001465 -999999, 296499.060058594 7044168.02001953 -999999, 296499.900024414 7044173.64001465 -999999, 296499.790039063 7044163.59997559 -999999, 296499.099975586 7044151.18994141 -999999, 296498.349975586 7044147.85998535 -999999, 296498.329956055 7044143.67004395 -999999, 296496.869995117 7044143.64001465 -999999, 296495.989990234 7044142.98999023 -999999, 296495.680053711 7044139.7199707 -999999, 296494.859985352 7044137.35998535 -999999, 296493.760009766 7044135.06005859 -999999, 296491.619995117 7044132.65002442 -999999, 296489.780029297 7044131.16003418 -999999, 296487.449951172 7044129.93005371 -999999, 296485.08996582 7044128.91003418 -999999, 296482.430053711 7044128.0300293 -999999, 296479.709960938 7044127.40002441 -999999, 296477.33996582 7044126.94995117 -999999)</t>
  </si>
  <si>
    <t>POLYGON Z ((296477.33996582 7044126.94995117 -999999, 296477.579956055 7044129.76000977 -999999, 296479.760009766 7044130.20996094 -999999, 296482.099975586 7044131.06005859 -999999, 296484.5 7044132.29003906 -999999, 296486.540039063 7044133.68005371 -999999, 296488.849975586 7044135.7800293 -999999, 296490.510009766 7044137.80004883 -999999, 296491.699951172 7044139.68994141 -999999, 296492.709960938 7044141.7800293 -999999, 296493.58996582 7044144.4699707 -999999, 296494.079956055 7044146.95996094 -999999, 296494.680053711 7044150.93005371 -999999, 296495.510009766 7044156.67004395 -999999, 296496.400024414 7044162.07995606 -999999, 296497.739990234 7044165.10998535 -999999, 296498.530029297 7044166.64001465 -999999, 296499.060058594 7044168.02001953 -999999, 296499.900024414 7044173.64001465 -999999, 296499.790039063 7044163.59997559 -999999, 296499.099975586 7044151.18994141 -999999, 296498.349975586 7044147.85998535 -999999, 296498.329956055 7044143.67004395 -999999, 296496.869995117 7044143.64001465 -999999, 296495.989990234 7044142.98999023 -999999, 296495.680053711 7044139.7199707 -999999, 296494.859985352 7044137.35998535 -999999, 296493.760009766 7044135.06005859 -999999, 296491.619995117 7044132.65002442 -999999, 296489.780029297 7044131.16003418 -999999, 296487.449951172 7044129.93005371 -999999, 296485.08996582 7044128.91003418 -999999, 296482.430053711 7044128.0300293 -999999, 296479.709960938 7044127.40002441 -999999, 296477.33996582 7044126.94995117 -999999))</t>
  </si>
  <si>
    <t>['EV14 S1D1 m224-289']</t>
  </si>
  <si>
    <t>LINESTRING Z (296672.880004883 7044104.25 -999999, 296654.25 7044102.31005859 -999999, 296640.119995117 7044100.93994141 -999999, 296636.319946289 7044100.63000488 -999999, 296628.260009766 7044100.13000488 -999999, 296618.650024414 7044099.80004883 -999999, 296607.219970703 7044099.76000977 -999999, 296606.959960938 7044099.47998047 -999999, 296607 7044099.07995606 -999999, 296607.780029297 7044098.55004883 -999999, 296609.719970703 7044097.82995605 -999999, 296611.719970703 7044097.35998535 -999999, 296613.579956055 7044097.09997559 -999999, 296615.359985352 7044097.16003418 -999999, 296618.849975586 7044097.44995117 -999999, 296622.369995117 7044097.75 -999999, 296630.739990234 7044098.43005371 -999999, 296638.020019531 7044099.06005859 -999999, 296645.319946289 7044099.65002441 -999999, 296652.380004883 7044100.25 -999999, 296662.390014648 7044101.08996582 -999999, 296672.680053711 7044101.93005371 -999999, 296672.880004883 7044104.25 -999999)</t>
  </si>
  <si>
    <t>POLYGON Z ((296672.880004883 7044104.25 -999999, 296654.25 7044102.31005859 -999999, 296640.119995117 7044100.93994141 -999999, 296636.319946289 7044100.63000488 -999999, 296628.260009766 7044100.13000488 -999999, 296618.650024414 7044099.80004883 -999999, 296607.219970703 7044099.76000977 -999999, 296606.959960938 7044099.47998047 -999999, 296607 7044099.07995606 -999999, 296607.780029297 7044098.55004883 -999999, 296609.719970703 7044097.82995605 -999999, 296611.719970703 7044097.35998535 -999999, 296613.579956055 7044097.09997559 -999999, 296615.359985352 7044097.16003418 -999999, 296618.849975586 7044097.44995117 -999999, 296622.369995117 7044097.75 -999999, 296630.739990234 7044098.43005371 -999999, 296638.020019531 7044099.06005859 -999999, 296645.319946289 7044099.65002441 -999999, 296652.380004883 7044100.25 -999999, 296662.390014648 7044101.08996582 -999999, 296672.680053711 7044101.93005371 -999999, 296672.880004883 7044104.25 -999999))</t>
  </si>
  <si>
    <t>LINESTRING Z (296540.08996582 7044088.31005859 10.442, 296540.420043945 7044093.7800293 10.432, 296542.469970703 7044094.2199707 10.482, 296542.449951172 7044095.75 10.402, 296535.780029297 7044095.10998535 10.262, 296530.739990234 7044094.43994141 10.122, 296527.479980469 7044093.48999023 10.042, 296524.979980469 7044092.11999512 9.992, 296521.989990234 7044089.98999023 9.962, 296519.349975586 7044088.39001465 9.992, 296516.150024414 7044086.82995606 10.022, 296511.729980469 7044084.76000977 10.142, 296508.229980469 7044082.5 10.282, 296506.430053711 7044080.66003418 10.312, 296505.189941406 7044078.81005859 10.272, 296504.739990234 7044077.07995605 10.212, 296505.609985352 7044073.77001953 10.102, 296506.329956055 7044071.29003906 10.072, 296506.369995117 7044066.39001465 10.062, 296508.729980469 7044066.31005859 10.142, 296508.900024414 7044073.7199707 0.152, 296509.109985352 7044078.06005859 0.152, 296510.010009766 7044080.06005859 0.152, 296511.140014648 7044081.7199707 0.152, 296512.260009766 7044082.75 0.152, 296514.010009766 7044083.76000977 0.152, 296517.709960938 7044085.68005371 0.152, 296521.280029297 7044087.23999023 0.152, 296524.41003418 7044088.43005371 0.152, 296525.650024414 7044088.22998047 0.152, 296539.819946289 7044088.43005371 0.152, 296540.08996582 7044088.31005859 10.442)</t>
  </si>
  <si>
    <t>POLYGON Z ((296540.08996582 7044088.31005859 10.442, 296540.420043945 7044093.7800293 10.432, 296542.469970703 7044094.2199707 10.482, 296542.449951172 7044095.75 10.402, 296535.780029297 7044095.10998535 10.262, 296530.739990234 7044094.43994141 10.122, 296527.479980469 7044093.48999023 10.042, 296524.979980469 7044092.11999512 9.992, 296521.989990234 7044089.98999023 9.962, 296519.349975586 7044088.39001465 9.992, 296516.150024414 7044086.82995606 10.022, 296511.729980469 7044084.76000977 10.142, 296508.229980469 7044082.5 10.282, 296506.430053711 7044080.66003418 10.312, 296505.189941406 7044078.81005859 10.272, 296504.739990234 7044077.07995605 10.212, 296505.609985352 7044073.77001953 10.102, 296506.329956055 7044071.29003906 10.072, 296506.369995117 7044066.39001465 10.062, 296508.729980469 7044066.31005859 10.142, 296508.900024414 7044073.7199707 0.152, 296509.109985352 7044078.06005859 0.152, 296510.010009766 7044080.06005859 0.152, 296511.140014648 7044081.7199707 0.152, 296512.260009766 7044082.75 0.152, 296514.010009766 7044083.76000977 0.152, 296517.709960938 7044085.68005371 0.152, 296521.280029297 7044087.23999023 0.152, 296524.41003418 7044088.43005371 0.152, 296525.650024414 7044088.22998047 0.152, 296539.819946289 7044088.43005371 0.152, 296540.08996582 7044088.31005859 10.442))</t>
  </si>
  <si>
    <t>LINESTRING Z (296493.560058594 7044083.29003906 0.152, 296492.040039063 7044083.7199707 0.152, 296490.390014648 7044084.54003906 0.152, 296489.280029297 7044085.35998535 0.152, 296488.369995117 7044086.31005859 0.152, 296487.33996582 7044087.51000977 0.152, 296486.5 7044088.5 0.152, 296482.939941406 7044092.65002441 0.152, 296478.780029297 7044097.51000977 0.152, 296477.369995117 7044098.85998535 0.152, 296475.329956055 7044100.18994141 0.152, 296473.609985352 7044100.88000488 0.152, 296471.040039063 7044101.42004394 0.152, 296468.949951172 7044101.81005859 0.152, 296464.390014648 7044102.06005859 0.152, 296462.869995117 7044102.57995606 0.152, 296461.020019531 7044103.93994141 0.152, 296459.939941406 7044105.30004883 0.152, 296449.91003418 7044105.93994141 0.152, 296438.810058594 7044106.44995117 0.152, 296430.16003418 7044106.93994141 0.152, 296429.329956055 7044091.7800293 0.152, 296434.449951172 7044091.66003418 10.372, 296434.83996582 7044095.61999512 9.652, 296436.920043945 7044096.15002441 10.162, 296456.510009766 7044095.31005859 10.392, 296462.41003418 7044094.2199707 10.152, 296465.319946289 7044092.47998047 10.352, 296470.400024414 7044089.32995605 10.612, 296473.469970703 7044088.55004883 10.622, 296473.290039063 7044087.44995117 10.652, 296470.180053711 7044084.95996094 10.692, 296469.020019531 7044083.23999023 10.642, 296471.119995117 7044082.5 10.712, 296479.619995117 7044082 10.662, 296488.819946289 7044079.66003418 10.522, 296490.989990234 7044077.82995606 10.242, 296493.489990234 7044074.89001465 10.392, 296494.569946289 7044074.27001953 10.352, 296495.859985352 7044072.84997559 10.302, 296496.91003418 7044070.61999512 10.212, 296496.989990234 7044068.80004883 10.252, 296500.969970703 7044068.84997559 10.142, 296500.989990234 7044068.84997559 6.362, 296500.939941406 7044070.90002441 6.382, 296500.719970703 7044072.57995606 6.382, 296500.319946289 7044073.97998047 6.402, 296499.010009766 7044076.86999512 6.562, 296497.609985352 7044079.18005371 6.772, 296495.66003418 7044081.68994141 7.082, 296494.380004883 7044083.2199707 7.282, 296493.560058594 7044083.29003906 0.152)</t>
  </si>
  <si>
    <t>POLYGON Z ((296493.560058594 7044083.29003906 0.152, 296492.040039063 7044083.7199707 0.152, 296490.390014648 7044084.54003906 0.152, 296489.280029297 7044085.35998535 0.152, 296488.369995117 7044086.31005859 0.152, 296487.33996582 7044087.51000977 0.152, 296486.5 7044088.5 0.152, 296482.939941406 7044092.65002441 0.152, 296478.780029297 7044097.51000977 0.152, 296477.369995117 7044098.85998535 0.152, 296475.329956055 7044100.18994141 0.152, 296473.609985352 7044100.88000488 0.152, 296471.040039063 7044101.42004394 0.152, 296468.949951172 7044101.81005859 0.152, 296464.390014648 7044102.06005859 0.152, 296462.869995117 7044102.57995606 0.152, 296461.020019531 7044103.93994141 0.152, 296459.939941406 7044105.30004883 0.152, 296449.91003418 7044105.93994141 0.152, 296438.810058594 7044106.44995117 0.152, 296430.16003418 7044106.93994141 0.152, 296429.329956055 7044091.7800293 0.152, 296434.449951172 7044091.66003418 10.372, 296434.83996582 7044095.61999512 9.652, 296436.920043945 7044096.15002441 10.162, 296456.510009766 7044095.31005859 10.392, 296462.41003418 7044094.2199707 10.152, 296465.319946289 7044092.47998047 10.352, 296470.400024414 7044089.32995605 10.612, 296473.469970703 7044088.55004883 10.622, 296473.290039063 7044087.44995117 10.652, 296470.180053711 7044084.95996094 10.692, 296469.020019531 7044083.23999023 10.642, 296471.119995117 7044082.5 10.712, 296479.619995117 7044082 10.662, 296488.819946289 7044079.66003418 10.522, 296490.989990234 7044077.82995606 10.242, 296493.489990234 7044074.89001465 10.392, 296494.569946289 7044074.27001953 10.352, 296495.859985352 7044072.84997559 10.302, 296496.91003418 7044070.61999512 10.212, 296496.989990234 7044068.80004883 10.252, 296500.969970703 7044068.84997559 10.142, 296500.989990234 7044068.84997559 6.362, 296500.939941406 7044070.90002441 6.382, 296500.719970703 7044072.57995606 6.382, 296500.319946289 7044073.97998047 6.402, 296499.010009766 7044076.86999512 6.562, 296497.609985352 7044079.18005371 6.772, 296495.66003418 7044081.68994141 7.082, 296494.380004883 7044083.2199707 7.282, 296493.560058594 7044083.29003906 0.152))</t>
  </si>
  <si>
    <t>2013-07-18</t>
  </si>
  <si>
    <t>['EV18 S32D1 m727 KD2 m9-210']</t>
  </si>
  <si>
    <t>LINESTRING Z (217302.58984375 6560172.15039063 -999999, 217285.030273438 6560173.74023438 -999999, 217268.309570313 6560162.09960938 -999999, 217250.490234375 6560149.5390625 -999999, 217237.469726563 6560139.59960938 -999999, 217228.26953125 6560130.06054688 -999999, 217221.83984375 6560123.31054688 -999999, 217216.509765625 6560114.68945313 -999999, 217213.099609375 6560104.890625 -999999, 217211.259765625 6560095.7109375 -999999, 217210.860351563 6560085.61914062 -999999, 217212.8203125 6560073.8203125 -999999, 217216.639648437 6560062.859375 -999999, 217221.669921875 6560051.27929688 -999999, 217227.259765625 6560037.63085938 -999999, 217230.41015625 6560033.31054688 -999999, 217233.219726563 6560030.76953125 -999999, 217237.48046875 6560030.390625 -999999, 217241.400390625 6560031.80078125 -999999, 217244.450195313 6560034.8203125 -999999, 217248.48046875 6560040.26953125 -999999, 217253.299804688 6560048.9296875 -999999, 217256.879882813 6560057.72070313 -999999, 217261.360351563 6560068.18945313 -999999, 217246.700195313 6560076.58007813 -999999, 217245.419921875 6560076.05078125 -999999, 217243.110351563 6560075.76953125 -999999, 217241.41015625 6560076.13085938 -999999, 217240.200195313 6560077.27929688 -999999, 217239.099609375 6560078.90039063 -999999, 217239.009765625 6560081.06054688 -999999, 217239.509765625 6560083.4296875 -999999, 217240.860351563 6560084.68945313 -999999, 217242.559570313 6560085.02929688 -999999, 217244.139648438 6560084.65039063 -999999, 217245.950195313 6560083.5390625 -999999, 217246.990234375 6560082.63085938 -999999, 217247.459960938 6560080.359375 -999999, 217247.150390625 6560078.81054688 -999999, 217246.700195313 6560076.58007813 -999999, 217261.360351563 6560068.18945313 -999999, 217268.049804687 6560089.0703125 -999999, 217278.379882813 6560119.48046875 -999999, 217285.490234375 6560139.5703125 -999999, 217294.759765625 6560152.640625 -999999, 217299.98046875 6560157.22070313 -999999, 217301.33984375 6560161.140625 -999999, 217301.790039063 6560166.16015625 -999999, 217302.58984375 6560172.15039063 -999999)</t>
  </si>
  <si>
    <t>['EV18 S29D1 m3611 SD1 m361-401']</t>
  </si>
  <si>
    <t>LINESTRING Z (208501.640625 6559376.48046875 -999999, 208500.76953125 6559368.83984375 -999999, 208497.30078125 6559369.15039063 -999999, 208499.73046875 6559380.24023438 -999999, 208498.400390625 6559387.359375 -999999, 208509.669921875 6559394.7890625 -999999, 208514.310546875 6559391.58984375 -999999, 208528.560546875 6559388.15039063 -999999, 208538.7109375 6559373.3203125 -999999, 208535.94921875 6559373.5703125 -999999, 208535.869140625 6559372.83007813 -999999, 208539.23046875 6559372.41992188 -999999, 208540.05078125 6559371.56054688 -999999, 208529.26953125 6559373.93945313 -999999, 208529.5 6559379.16992188 -999999, 208531.55078125 6559377.0390625 -999999, 208532.609375 6559373.9609375 -999999, 208536.1796875 6559374.6796875 -999999, 208535.26953125 6559377.81054688 -999999, 208531.560546875 6559376.99023438 -999999, 208529.5 6559379.16992188 -999999, 208526.98046875 6559384.140625 -999999, 208529.810546875 6559386.22070313 -999999, 208529.26953125 6559387.109375 -999999, 208526.48046875 6559385.16015625 -999999, 208522.990234375 6559385.63085938 -999999, 208523.150390625 6559386.76953125 -999999, 208515.990234375 6559387.44921875 -999999, 208515.939453125 6559386.88085938 -999999, 208502.91015625 6559387.83984375 -999999, 208501.640625 6559376.48046875 -999999)</t>
  </si>
  <si>
    <t>['EV18 S29D1 m3611 SD1 m396-407']</t>
  </si>
  <si>
    <t>LINESTRING Z (208505.76953125 6559398.58984375 -999999, 208492.099609375 6559389.34960938 -999999, 208490.150390625 6559375.26953125 -999999, 208489.490234375 6559374.25976563 -999999, 208487.58984375 6559373.2890625 -999999, 208485.5703125 6559372.80078125 -999999, 208482.310546875 6559373.09960938 -999999, 208479.0703125 6559373.44921875 -999999, 208479.380859375 6559376.9296875 -999999, 208483.359375 6559376.5703125 -999999, 208485.7109375 6559376.859375 -999999, 208488.060546875 6559377.83007813 -999999, 208489.369140625 6559378.61914063 -999999, 208490.240234375 6559380.68945313 -999999, 208490.75 6559381.94921875 -999999, 208490.9296875 6559383.91992188 -999999, 208490.189453125 6559385.109375 -999999, 208489.30078125 6559386.56054688 -999999, 208486.58984375 6559387.88085938 -999999, 208484.439453125 6559389.140625 -999999, 208481.859375 6559390.6796875 -999999, 208480.2109375 6559391.109375 -999999, 208479.599609375 6559393.140625 -999999, 208480.779296875 6559395.52929688 -999999, 208481.259765625 6559396.5 -999999, 208482.140625 6559398.16992188 -999999, 208483.380859375 6559399.99023438 -999999, 208484.220703125 6559398.59960938 -999999, 208481.150390625 6559394.81054688 -999999, 208489.5390625 6559388.63085938 -999999, 208492.9296875 6559392.33007813 -999999, 208484.400390625 6559398.65039063 -999999, 208483.380859375 6559399.99023438 -999999, 208485.0703125 6559401.81054688 -999999, 208488.4296875 6559403.3203125 -999999, 208492.369140625 6559403.01953125 -999999, 208497.41015625 6559403.13085938 -999999, 208501.560546875 6559402.75976563 -999999, 208504.029296875 6559401.80078125 -999999, 208505.76953125 6559398.58984375 -999999)</t>
  </si>
  <si>
    <t>2025-11-22T09:10:40Z</t>
  </si>
  <si>
    <t>['EV18 S29D1 m3746 SD1 m311-352']</t>
  </si>
  <si>
    <t>LINESTRING Z (208615.369140625 6559221.66015625 -999999, 208603.73046875 6559210.75 -999999, 208606.5703125 6559205.44921875 -999999, 208618.58984375 6559209.41015625 -999999, 208614.609375 6559210.06054688 -999999, 208610.119140625 6559211.33007813 -999999, 208610.94921875 6559214.13085937 -999999, 208615.419921875 6559212.58007813 -999999, 208614.609375 6559210.06054688 -999999, 208618.58984375 6559209.41015625 -999999, 208638.609375 6559209.33007813 -999999, 208649.26953125 6559209.38085938 -999999, 208657.259765625 6559218.16992188 -999999, 208658.279296875 6559227.73046875 -999999, 208639.279296875 6559229.58984375 -999999, 208638.669921875 6559222.86914063 -999999, 208638.369140625 6559219.58984375 -999999, 208615.369140625 6559221.66015625 -999999)</t>
  </si>
  <si>
    <t>2025-12-18</t>
  </si>
  <si>
    <t>2025-12-18T11:13:41Z</t>
  </si>
  <si>
    <t>['FV17 S47D1 m62-148']</t>
  </si>
  <si>
    <t>LINESTRING (424163.4530267633 7390545.656400265, 424249.478784245 7390538.993953484)</t>
  </si>
  <si>
    <t>POLYGON ((424249.51739218953 7390539.492460682, 424249.4401763004 7390538.495446286, 424163.4144188187 7390545.157893067, 424163.49163470784 7390546.154907463, 424249.51739218953 7390539.492460682))</t>
  </si>
  <si>
    <t>2018-09-20</t>
  </si>
  <si>
    <t>2025-11-22T09:11:26Z</t>
  </si>
  <si>
    <t>['EV39 S31D1 m27-162']</t>
  </si>
  <si>
    <t>LINESTRING Z (68198.9100341797 6956842.34002686 43.928, 68198.9000244141 6956842.34002686 43.918, 68198.8900146484 6956842.34002686 43.918, 68198.9000244141 6956842.34002686 43.928, 68198.8800048828 6956842.39001465 43.978, 68198.8800048828 6956842.38000488 43.968, 68198.8900146484 6956842.38000488 43.958, 68198.9100341797 6956842.38000488 43.988, 68192.6099853516 6956844.01000977 44.018, 68185.5600585938 6956846.60998535 43.968, 68178.5100097656 6956850.26000977 43.958, 68170.0400390625 6956854.78997803 43.978, 68151.6999511719 6956864.28997803 44.268, 68143.9599609375 6956868.09997559 44.508, 68134.1500244141 6956872.59997559 44.818, 68134.1500244141 6956872.60998535 44.808, 68126.2399902344 6956876.04998779 45.197, 68119.0999755859 6956878.73999023 45.467, 68114.2199707031 6956880.42999268 45.707, 68110.2600097656 6956881.61999512 45.897, 68106.0899658203 6956882.73999024 46.067, 68101.6300048828 6956883.65002441 46.217, 68101.6400146484 6956883.65997314 46.217, 68096.9399414063 6956884.4699707 46.457, 68096.9499511719 6956884.4699707 46.477, 68092.7800292969 6956885.10998535 46.547, 68088.3399658203 6956885.64001465 46.707, 68083.4300537109 6956885.95001221 46.927, 68077.8599853516 6956886.10998535 47.177, 68074.0899658203 6956886.15997314 47.337, 68070.9200439453 6956886.03997803 47.427, 68070.9200439453 6956886.04998779 47.437, 68070.7099609375 6956887.54998779 47.297, 68085.8800048828 6956889.88000488 46.707, 68103.1500244141 6956892.76000977 45.907, 68118.1400146484 6956894.7800293 45.127, 68136.0400390625 6956896.79998779 44.207, 68136.0400390625 6956896.78997803 44.207, 68136.0400390625 6956896.79998779 44.207, 68150.0799560547 6956897.28997803 43.497, 68163.3900146484 6956897.65002441 42.927, 68163.3900146484 6956897.66998291 42.927, 68177.4699707031 6956897.67999268 42.177, 68177.4699707031 6956897.66998291 42.187, 68186.0600585938 6956897.59997559 41.777, 68201.8699951172 6956897.07000732 41.037, 68201.8800048828 6956897.08001709 41.027, 68202.5699462891 6956895.90002442 40.987, 68202.4200439453 6956895.79998779 40.897, 68202.5799560547 6956894.54998779 41.007, 68199.6700439453 6956893.2199707 41.177, 68196.4799804688 6956891.15002441 41.467, 68193.5699462891 6956888.75 41.687, 68191.0500488281 6956886.02001953 41.777, 68189 6956883.27001953 42.077, 68187.1700439453 6956880.10998535 42.307, 68185.9000244141 6956876.78997803 42.457, 68185.0699462891 6956873.2800293 42.647, 68184.7099609375 6956869.83001709 42.847, 68184.6899414063 6956866.01000977 43.037, 68185.0500488281 6956862.89001465 43.148, 68185.0100097656 6956862.89001465 43.158, 68185.8599853516 6956859.04998779 43.268, 68185.8699951172 6956859.04998779 43.278, 68186.9100341797 6956856.19000244 43.328, 68188.4899902344 6956853.28997803 43.568, 68188.5 6956853.2800293 43.568, 68190.4300537109 6956850.55999756 43.588, 68190.4300537109 6956850.54998779 43.608, 68192.5100097656 6956848.22998047 43.658, 68194.9100341797 6956845.88000488 43.698, 68198.9100341797 6956842.34002686 43.928)</t>
  </si>
  <si>
    <t>['EV39 S31D1 m123 KD3 m0-324']</t>
  </si>
  <si>
    <t>LINESTRING Z (68263.81165107747 6956847.009774532 45.478, 68261.73601207882 6956845.479599171 45.428, 68258.93659746187 6956843.593696327 45.348, 68255.86660831369 6956841.6305952035 45.168, 68251.18092442228 6956838.865434689 44.898, 68248.37375946064 6956837.318401207 44.718, 68244.71815173881 6956835.657193909 44.528, 68241.96895109123 6956834.553041709 44.418, 68237.49388072948 6956832.99910496 44.228, 68232.03120836016 6956831.4618323585 43.968, 68226.71444109996 6956830.243317157 43.798, 68222.31857818284 6956829.692575301 43.598, 68216.59109540231 6956829.316151067 43.358, 68210.2267881083 6956829.248331796 43.138, 68205.01048487285 6956829.593324698 42.938, 68200.88421250368 6956829.9082488725 42.788, 68196.80142222077 6956830.555334825 42.658, 68192.37461461668 6956831.360077536 42.508, 68188.09372329671 6956832.483573242 42.418, 68182.40004250879 6956834.355108923 42.398, 68177.26201058051 6956836.491761708 42.378, 68172.39455876715 6956838.70561645 42.358, 68169.94972197822 6956839.92661789 42.338, 68166.22352335212 6956842.103690045 42.318, 68154.45935595955 6956848.9368335055 42.338, 68147.44667853345 6956852.670370869 42.358, 68139.38747819292 6956856.76617687 42.528, 68132.41927653103 6956860.04346143 42.688, 68126.84935936675 6956862.461983009 42.828, 68119.84541352198 6956865.068277328 43.038, 68108.79450005904 6956868.992801084 43.458, 68098.68865399389 6956871.780066158 43.848, 68090.47196129902 6956873.08120666 44.298, 68084.50197412801 6956873.6377055105 44.578, 68078.12998451205 6956873.9090052005 44.868, 68070.62447590107 6956873.878281956 45.098, 68063.05325024936 6956873.743564033 45.428, 68058.19644049747 6956873.253401942 45.688, 68054.39293563017 6956872.850546389 45.798, 68042.23733116867 6956870.72602502 46.338, 68023.95313352847 6956867.151811531 47.158, 68003.36510573089 6956863.091097895 48.218, 67986.66076932708 6956859.6480130665 49.018, 67969.92738336232 6956855.983574972 49.918, 67964.66170604911 6956854.758770661 50.188, 67951.93668023113 6956851.470342784 50.848, 67949.97178782412 6956861.525448273 52.888, 67951.8342485181 6956851.483759665 50.888, 67949.92057212279 6956861.53215675 52.838, 67955.552467653 6956862.371115979 52.648, 67955.6036833381 6956862.36440759 52.658, 67962.53817808873 6956862.8075246 52.348, 67974.9663263486 6956863.4320474835 51.648, 67991.45901580958 6956866.452323673 50.958, 68008.47060556972 6956869.8551857555 50.148, 68036.84731684689 6956875.711344513 48.738, 68053.25963248243 6956878.517194768 47.858, 68061.56142644846 6956879.457156125 47.528, 68061.51021108625 6956879.4638628755 47.528, 68073.89472651976 6956879.756599091 46.988, 68073.94594187051 6956879.749892534 46.978, 68073.89472651976 6956879.756599091 46.958, 68073.9092249024 6956879.867317542 46.968, 68073.89472651976 6956879.756599091 46.968, 68073.89472651976 6956879.756599091 46.948, 68073.9092249024 6956879.867317542 46.948, 68073.96044025157 6956879.860610984 46.948, 68073.94594187051 6956879.749892534 46.968, 68085.93616775936 6956879.418602476 46.478, 68085.93616775936 6956879.418602476 46.458, 68090.06239165337 6956879.10353237 46.278, 68096.8740341686 6956878.211600674 46.037, 68102.60338092752 6956877.010930994 45.738, 68111.23073757126 6956874.867730668 45.478, 68120.4224248397 6956871.862347158 45.098, 68130.05379750521 6956868.236339759 44.898, 68138.3980293434 6956864.328419341 44.628, 68163.07424575917 6956851.074841278 44.178, 68168.79881303647 6956847.847825522 44.218, 68168.79881303647 6956847.847825522 44.198, 68168.8500288321 6956847.841120456 44.188, 68172.92023718136 6956845.506397334 44.158, 68179.07677537808 6956841.99761749 44.158, 68179.09127007663 6956842.108336293 44.168, 68185.38600268221 6956839.25717651 44.258, 68185.43721860234 6956839.250471708 44.248, 68190.05535640381 6956837.519740179 44.248, 68194.87062843668 6956836.101057865 44.358, 68194.8561342925 6956835.990339008 44.358, 68194.87062843668 6956836.101057865 44.348, 68194.90735025855 6956835.983634355 44.338, 68199.62695348175 6956835.027948483 44.368, 68203.19757828931 6956834.447911034 44.438, 68203.19757828931 6956834.447911034 44.398, 68209.30677474506 6956833.760797365 44.538, 68215.34252677736 6956833.308541578 44.628, 68220.42642507987 6956833.543976513 44.718, 68220.42642507987 6956833.543976513 44.698, 68220.42642507987 6956833.543976513 44.728, 68226.0804536739 6956834.155253341 44.848, 68226.13166965137 6956834.148549175 44.848, 68230.87830027565 6956834.991228194 44.948, 68230.82708431367 6956834.997932286 44.958, 68234.67405485181 6956835.733148443 45.008, 68239.71249905252 6956837.213337704 45.088, 68244.77992286929 6956838.914972491 45.248, 68249.7294313488 6956841.307744219 45.398, 68254.3059293013 6956843.636730135 45.348, 68262.66069723206 6956848.962276719 45.558, 68262.66069723206 6956848.962276719 45.538, 68263.82614300307 6956847.120493603 45.528, 68263.77492724766 6956847.12719719 45.528, 68263.81165107747 6956847.009774532 45.478)</t>
  </si>
  <si>
    <t>['EV39 S30D1 m4807-4885']</t>
  </si>
  <si>
    <t>LINESTRING Z (68297.25 6956896.16998291 37.647, 68297.25 6956896.2199707 37.657, 68297.25 6956896.23999024 37.677, 68316.8199462891 6956890.96002197 36.987, 68324 6956888.84002686 36.657, 68334.7299804687 6956884.45001221 36.307, 68349.2600097656 6956877.84997559 35.797, 68353.0500488281 6956875.7199707 35.757, 68367.9799804688 6956870.90997315 35.357, 68372.8800048828 6956885.40997315 41.577, 68345.6500244141 6956895.51000977 42.997, 68338.2399902344 6956898.39001465 43.407, 68330.8699951172 6956901.76000977 43.857, 68323.9300537109 6956905.60998535 44.097, 68317.8800048828 6956910.91998291 44.527, 68314.6500244141 6956913.29998779 44.677, 68311.1400146484 6956915.26000977 44.777, 68307.4000244141 6956916.73999023 44.697, 68299.8599853516 6956918.71002197 44.687, 68297.25 6956896.16998291 37.647)</t>
  </si>
  <si>
    <t>['EV39 S31D1 m0-36', 'EV39 S30D1 m4896-4948']</t>
  </si>
  <si>
    <t>LINESTRING Z (68256.9100341797 6957001.03997803 39.957, 68257 6957001.04998779 39.987, 68257 6957001.03997803 39.997, 68257 6957001.04998779 39.997, 68257.0100097656 6957001.03997803 39.997, 68261.3800048828 6956997.88000488 40.247, 68261.3699951172 6956997.86999512 40.227, 68261.3699951172 6956997.88000488 40.227, 68261.3800048828 6956997.89001465 40.227, 68261.3699951172 6956997.88000488 40.207, 68261.3699951172 6956997.89001465 40.207, 68264.5 6956994.28997803 40.287, 68266.6600341797 6956988.82000733 40.417, 68266.6700439453 6956988.83001709 40.417, 68269.9200439453 6956978.65002441 40.857, 68272.8599853516 6956968.96002197 41.477, 68275.0200195313 6956962.82000733 41.837, 68277.2900390625 6956955.63000488 42.287, 68279.8000488281 6956947.39001465 42.767, 68282.1600341797 6956938.90002441 43.207, 68284.0400390625 6956929.94000244 43.567, 68284.0400390625 6956929.92999268 43.557, 68285.4100341797 6956919.02001953 44.047, 68285.4200439453 6956919.02001953 44.067, 68284.7800292969 6956918.60998535 43.917, 68283.3000488281 6956899.48999023 38.357, 68250.7600097656 6956907.55999756 39.327, 68250.7600097656 6956907.54998779 39.337, 68238.4599609375 6956911.35998535 39.627, 68238.4699707031 6956911.35998535 39.627, 68231.9499511719 6956913.59997559 39.787, 68231.9699707031 6956913.58001709 39.767, 68223.75 6956917.09002686 39.967, 68216.6600341797 6956920.60998535 40.127, 68211.5999755859 6956923.95001221 40.227, 68211.6099853516 6956923.96002197 40.227, 68206.2900390625 6956928.91998291 40.487, 68202.3699951172 6956934.82000733 40.497, 68199.6099853516 6956940.40997314 40.617, 68197.8000488281 6956946.54998779 40.657, 68196.9799804688 6956952.36999512 40.657, 68197.2399902344 6956958.10998535 40.517, 68198.4200439453 6956963.90002442 40.387, 68200.4300537109 6956969.60998535 40.247, 68202.9000244141 6956974.29998779 40.077, 68206.2399902344 6956978.79998779 39.897, 68206.2600097656 6956978.79998779 39.897, 68210.1300048828 6956983.04998779 39.687, 68214.5300292969 6956987.16998291 39.677, 68219.5899658203 6956990.96002197 39.607, 68223.9699707031 6956993.54998779 39.597, 68229.75 6956996.27001953 39.707, 68235.5600585938 6956998.28997803 39.757, 68242.7800292969 6957000.0300293 39.837, 68242.7900390625 6957000.0300293 39.847, 68249.5999755859 6957001.19000244 39.887, 68257.0600585938 6957000.85998535 40.067, 68241.5400390625 6956959.26000977 42.007, 68246.25 6956954.48999023 42.217, 68250.2700195313 6956954.60998535 42.427, 68253.6400146484 6956953.5 42.657, 68253.6300048828 6956953.48999024 42.647, 68257.1600341797 6956949.82000732 42.967, 68254.0799560547 6956946.78997803 42.487, 68254.2600097656 6956942.95001221 42.657, 68255.0400390625 6956941.71002197 42.727, 68255.0500488281 6956941.71002197 42.717, 68253.4100341797 6956931.5300293 43.307, 68253.4200439453 6956931.53997803 43.317, 68254.2099609375 6956930.2800293 43.497, 68254.0899658203 6956927.44000244 43.507, 68250.1400146484 6956927.2800293 43.337, 68249.0699462891 6956929.91998291 42.977, 68238.6400146484 6956929.40002441 42.747, 68233.0699462891 6956934.25 42.637, 68220.9300537109 6956932.23999023 42.427, 68219.3299560547 6956936.5 42.357, 68216.7800292969 6956944.59997559 42.437, 68211.9899902344 6956943.85998535 42.337, 68210.7399902344 6956942.16998291 42.377, 68210.7299804688 6956942.20001221 42.377, 68206.3100585938 6956941.27001953 42.107, 68204.5400390625 6956947.69000244 41.747, 68204.5300292969 6956947.69000244 41.737, 68205.1199951172 6956953.22998047 41.767, 68205.1400146484 6956953.23999023 41.777, 68207.5 6956960.51000977 41.837, 68219.7800292969 6956970.14001465 41.227, 68219.6500244141 6956971.28997803 41.107, 68227.7399902344 6956976.01000977 40.857, 68237.2199707031 6956979.96002197 41.127, 68240.0999755859 6956975.71002197 41.857, 68238.4699707031 6956966.69000244 42.267, 68239.0899658203 6956962.66998291 41.857, 68241.4699707031 6956959.15002441 41.897, 68256.9100341797 6957001.03997803 39.957)</t>
  </si>
  <si>
    <t>['EV39 S31D1 m123 KD1 m65-223']</t>
  </si>
  <si>
    <t>['EV39 S93D1 m3325 KD1 m0-107']</t>
  </si>
  <si>
    <t>LINESTRING Z (-42455 6614195.61999512 26.806, -42454.5300292969 6614195.27000427 26.796, -42456.4699707031 6614197.24000549 26.866, -42459.080078125 6614202.91999817 26.906, -42459.0100097656 6614207.77000427 26.926, -42457.2299804688 6614211.8999939 26.826, -42453.5900878906 6614215.6000061 26.636, -42449.5600585938 6614217.24000549 26.496, -42444.1499023438 6614217.36000061 26.266, -42439.8500976563 6614215.6000061 26.106, -42436.75 6614212.71000671 25.996, -42434.4699707031 6614207.99000549 25.956, -42434.3798828125 6614202.72000122 25.966, -42435.9599609375 6614198.72000122 26.066, -42438.919921875 6614195.27000427 26.226, -42442.75 6614193.22000122 26.396, -42447.0500488281 6614192.58999634 26.556, -42451.7099609375 6614193.66000366 26.706, -42455 6614195.61999512 26.806)</t>
  </si>
  <si>
    <t>2015-11-11</t>
  </si>
  <si>
    <t>['FV500 S3D1 m3230-3740']</t>
  </si>
  <si>
    <t>LINESTRING Z (415.920043945312 6689170.75 27.411, 417.369995117187 6689172.62988281 27.441, 420.079956054687 6689176.20996094 27.551, 422.47998046875 6689179.75 27.591, 425.77001953125 6689184.37011719 27.561, 429.430053710938 6689189.18994141 27.531, 432.47998046875 6689190.76000977 27.581, 433.130004882813 6689191.82006836 27.571, 434.430053710938 6689193.97998047 27.541, 435.7099609375 6689196.15991211 27.501, 436.97998046875 6689198.35009766 27.471, 438.25 6689200.5300293 27.421, 439.5 6689202.73999024 27.381, 440.72998046875 6689204.93994141 27.331, 441.9599609375 6689207.13989258 27.291, 443.170043945312 6689209.36010742 27.241, 444.380004882813 6689211.57006836 27.191, 446.760009765625 6689216.02001953 27.091, 449.109985351563 6689220.47998047 27.001, 451.430053710938 6689224.94995117 26.901, 453.719970703125 6689229.41992188 26.801, 455.989990234375 6689233.90991211 26.701, 458.25 6689238.39990234 26.611, 460.489990234375 6689242.89990234 26.511, 464.93994140625 6689251.88989258 26.321, 469.430053710937 6689260.84008789 26.121, 471.68994140625 6689265.31005859 26.021, 473.949951171875 6689269.76000977 25.921, 476.239990234375 6689274.18994141 25.821, 478.550048828125 6689278.62011719 25.721, 480.890014648438 6689283.01000977 25.621, 482.079956054687 6689285.20996094 25.571, 483.27001953125 6689287.39990234 25.521, 484.4599609375 6689289.57006836 25.461, 485.680053710938 6689291.75 25.411, 486.900024414062 6689293.90991211 25.361, 488.130004882813 6689296.08007813 25.311, 489.369995117188 6689298.22998047 25.261, 490.619995117188 6689300.37011719 25.221, 491.890014648437 6689302.51000977 25.171, 493.170043945312 6689304.62988281 25.121, 494.4599609375 6689306.76000977 25.091, 495.75 6689308.87011719 25.051, 497.06005859375 6689310.97998047 25.021, 498.390014648438 6689313.08007812 24.981, 499.7099609375 6689315.17993164 24.961, 501.050048828125 6689317.27001953 24.941, 502.390014648438 6689319.36010742 24.911, 503.75 6689321.42993164 24.891, 505.130004882813 6689323.51000977 24.871, 506.52001953125 6689325.58007813 24.841, 509.319946289062 6689329.70996094 24.791, 512.170043945313 6689333.82006836 24.741, 513.609985351563 6689335.86010742 24.721, 515.0400390625 6689337.90991211 24.701, 516.47998046875 6689339.9699707 24.671, 517.920043945313 6689342.01000977 24.651, 519.369995117188 6689344.06005859 24.641, 520.81005859375 6689346.11010742 24.621, 522.25 6689348.15991211 24.621, 523.699951171875 6689350.20996094 24.621, 525.140014648438 6689352.26000977 24.621, 526.589965820313 6689354.31005859 24.631, 528.02001953125 6689356.36010742 24.651, 529.469970703125 6689358.40991211 24.671, 530.910034179688 6689360.45996094 24.691, 532.359985351563 6689362.51000977 24.721, 538.130004882813 6689370.70996094 24.871, 543.900024414063 6689378.90991211 25.021, 546.780029296875 6689383.01000977 25.091, 548.22998046875 6689385.06005859 25.121, 549.680053710938 6689387.10009766 25.161, 551.119995117188 6689389.14990234 25.181, 552.56005859375 6689391.20996094 25.211, 554 6689393.25 25.231, 555.449951171875 6689395.30004883 25.251, 556.890014648438 6689397.36010742 25.271, 558.329956054687 6689399.39990234 25.281, 559.780029296875 6689401.44995117 25.291, 561.219970703125 6689403.51000977 25.291, 562.670043945313 6689405.55004883 25.301, 564.109985351563 6689407.59008789 25.301, 565.550048828125 6689409.64990234 25.291, 566.989990234375 6689411.68994141 25.291, 568.43994140625 6689413.72998047 25.271, 569.890014648438 6689415.77001953 25.251, 571.349975585937 6689417.80004883 25.221, 572.800048828125 6689419.84008789 25.201, 574.25 6689421.86010742 25.161, 575.719970703125 6689423.87988281 25.121, 577.18994140625 6689425.89990234 25.081, 578.660034179688 6689427.90991211 25.041, 580.140014648438 6689429.91992188 25.001, 581.630004882812 6689431.91992188 24.961, 583.130004882813 6689433.91992188 24.911, 584.630004882813 6689435.90991211 24.861, 586.140014648438 6689437.88989258 24.821, 587.660034179688 6689439.86010742 24.771, 589.180053710937 6689441.83007812 24.711, 590.7099609375 6689443.79003906 24.661, 592.260009765625 6689445.73999023 24.601, 593.81005859375 6689447.69995117 24.531, 595.369995117187 6689449.63989258 24.471, 596.93994140625 6689451.58007813 24.401, 598.52001953125 6689453.5 24.331, 600.089965820313 6689455.42993164 24.251, 601.68994140625 6689457.35009766 24.181, 603.2900390625 6689459.26000977 24.101, 604.890014648438 6689461.14990234 24.021, 606.510009765625 6689463.05004883 23.941, 608.140014648438 6689464.94995117 23.851, 609.760009765625 6689466.83007813 23.761, 611.400024414062 6689468.70996094 23.671, 613.0400390625 6689470.58007813 23.581, 616.349975585937 6689474.32006836 23.381, 619.68994140625 6689478.0300293 23.191, 623.050048828125 6689481.7199707 23.001, 626.43994140625 6689485.39990234 22.801, 629.829956054687 6689489.06005859 22.611, 633.260009765625 6689492.69995117 22.411, 636.68994140625 6689496.33007812 22.221, 640.140014648438 6689499.95996094 22.011, 641.869995117187 6689501.75 21.921, 643.599975585937 6689503.56005859 21.821, 645.339965820313 6689505.36010742 21.741, 647.069946289063 6689507.16992187 21.651, 648.819946289063 6689508.95996094 21.571, 650.56005859375 6689510.76000977 21.501, 652.31005859375 6689512.55004883 21.421, 654.050048828125 6689514.34008789 21.361, 655.800048828125 6689516.13989258 21.291, 657.550048828125 6689517.92993164 21.231, 659.300048828125 6689519.7199707 21.181, 661.050048828125 6689521.51000977 21.131, 662.800048828125 6689523.30004883 21.081, 664.56005859375 6689525.10009766 21.041, 666.31005859375 6689526.88989258 21.001, 668.069946289063 6689528.67993164 20.961, 669.819946289063 6689530.45996094 20.931, 671.569946289063 6689532.26000977 20.911, 673.329956054688 6689534.05004883 20.891, 675.079956054688 6689535.84008789 20.871, 676.839965820313 6689537.63989258 20.861, 678.589965820313 6689539.41992188 20.841, 685.599975585937 6689546.59008789 20.801, 692.619995117188 6689553.76000977 20.751, 699.630004882813 6689560.91992188 20.711, 706.650024414063 6689568.08007813 20.661, 713.660034179687 6689575.25 20.621, 716.22998046875 6689577.87011719 20.601)</t>
  </si>
  <si>
    <t>POLYGON ((416.97269645451263 6689172.93345965, 419.673419988008 6689176.501334421, 422.0661261074038 6689180.030578987, 422.07269534618445 6689180.040032462, 425.36273440868445 6689184.6601496525, 425.3718177816624 6689184.672500005, 429.0318519613504 6689189.492324225, 429.0603662350398 6689189.526588362, 429.09181892511583 6689189.558176701, 429.12596003365843 6689189.586838166, 429.16251819417727 6689189.612344946, 429.20120282849985 6689189.634494302, 432.126821629181 6689191.140570309, 432.702681598985 6689192.079681663, 434.00025988949903 6689194.2354892, 435.27810016923473 6689196.411900427, 436.5474401839066 6689198.600914131, 436.5479524474525 6689198.601795472, 437.8163652161994 6689200.778969176, 439.0641835725658 6689202.985073038, 441.52222443257466 6689207.381541115, 442.73101777174355 6689209.59938972, 442.7314744299172 6689209.600225683, 443.9402592686225 6689211.808038511, 446.3183794011478 6689216.254465719, 448.666913461331 6689220.711690822, 450.98565635255954 6689225.179107803, 453.27435795387595 6689229.646706042, 455.5435754753603 6689234.135109935, 457.80288489582097 6689238.62370878, 460.04213005670107 6689243.122211974, 464.4918333275619 6689252.1117013935, 464.49302810570487 6689252.114098962, 468.98314041039185 6689261.064294272, 468.98383888784525 6689261.065681178, 471.24372658315826 6689265.535651878, 471.2441405296772 6689265.53646879, 473.5041502953022 6689269.98641997, 473.5057889734852 6689269.989618005, 475.7958280359852 6689274.419549645, 475.79664293295514 6689274.421119199, 478.10670152670514 6689278.851294979, 478.10881768791904 6689278.855308774, 480.44878350823205 6689283.245201354, 480.45022651927536 6689283.247888735, 481.64016792552434 6689285.447839905, 481.6406335263625 6689285.448698697, 482.8306970029255 6689287.638640096, 482.83160058263337 6689287.640295405, 484.02154198888337 6689289.810461425, 484.0236508635919 6689289.814268113, 485.2437436370299 6689291.994199753, 485.2446989904076 6689291.995898897, 486.46466969353156 6689294.155811007, 486.4650322134271 6689294.156451733, 487.6950126821781 6689296.326617752, 487.69688261480104 6689296.329888259, 488.93687284917604 6689298.479790599, 488.93824506963443 6689298.482154807, 490.18824506963443 6689300.622291528, 490.1900199718805 6689300.625306089, 491.46003950312945 6689302.765198669, 491.461991891825 6689302.768459997, 492.7420211887 6689304.888333037, 492.7423499162527 6689304.888876665, 494.0322669084407 6689307.019003626, 494.0333676103343 6689307.020812633, 495.3234066728343 6689309.130920053, 495.3252239703361 6689309.133869583, 496.6352825640861 6689311.243732862, 496.6376394376539 6689311.247491322, 497.9671464494401 6689313.346879901, 499.28664614735715 6689315.446022956, 499.2890477173293 6689315.449805798, 500.629131693615 6689317.539887584, 501.9690902584181 6689319.629964156, 501.97214478193075 6689319.6346702995, 503.33213013349274 6689321.704494519, 503.3333552153985 6689321.706350025, 504.7133600982115 6689323.786428155, 504.71490467497983 6689323.78874229, 506.1049193234168 6689325.858810649, 506.1061655711092 6689325.860657708, 508.9060923289212 6689329.990540518, 508.90906733305366 6689329.99487932, 511.7591649893046 6689334.10498674, 511.7615518851662 6689334.108398443, 513.2007024703631 6689336.147317106, 514.6299715876862 6689338.195997179, 516.0701683791427 6689340.256421483, 516.0714999235803 6689340.258317096, 517.5115634001432 6689342.298356166, 518.9613143528496 6689344.348122267, 520.4009147406908 6689346.397511852, 521.8408607873062 6689348.447323148, 521.8417843541539 6689348.448633405, 523.2912703144094 6689350.498024484, 524.7308707953789 6689352.547414202, 524.731799003272 6689352.548731067, 526.1808119832085 6689354.597453401, 527.609936068978 6689356.64616957, 527.6118200972762 6689356.648851636, 529.0612979752434 6689358.697987228, 530.5008903266289 6689360.747365372, 530.5018185338419 6689360.748682235, 531.9514215946235 6689362.79823888, 543.4909940537442 6689379.197478116, 546.3708797142557 6689383.297406046, 546.3718136517091 6689383.298731067, 547.8217648235841 6689385.348779887, 547.8224442050913 6689385.349738058, 549.271712840963 6689387.388645166, 550.7105246404939 6689389.436841813, 552.1502579062421 6689391.496428035, 552.1515665336033 6689391.498291023, 553.5915079398533 6689393.538330083, 555.0409398800753 6689395.587645181, 556.4802139615991 6689397.646574516, 556.4815388466039 6689397.648460535, 557.921480252853 6689399.688255455, 559.3710180000392 6689401.737547611, 560.8101586128488 6689403.796460552, 560.8124344401532 6689403.799689239, 562.2620287259398 6689405.839054477, 563.7008448456378 6689407.877499286, 565.1402640851232 6689409.936392243, 565.1415567672962 6689409.938232422, 566.5814981735462 6689411.978271492, 566.5824424559264 6689411.979604677, 568.0323936278014 6689414.019643737, 569.4824783854037 6689416.059698999, 569.4840901242703 6689416.061953222, 570.9432420385034 6689418.090857601, 572.3925125651532 6689420.129767358, 572.3938565496103 6689420.131648918, 573.8438077214853 6689422.151668448, 573.8457312978852 6689422.154329813, 575.3156965089487 6689424.174097656, 576.7856557854326 6689426.1941014845, 576.7863644316194 6689426.195072843, 578.2564572050574 6689428.205082613, 578.2574030324488 6689428.206371482, 579.7373835011988 6689430.216381252, 579.7390534637226 6689430.218636004, 581.2290436980967 6689432.218636004, 581.2300048828122 6689432.2199218795, 582.7300048828131 6689434.2199218795, 582.7307290617055 6689434.220885031, 584.2307290617055 6689436.210875262, 584.2324297336726 6689436.213118312, 585.7424394992976 6689438.193098782, 585.744137078106 6689438.195311881, 587.264156609356 6689440.165526721, 588.784194446428 6689442.135521147, 588.7859135340835 6689442.137736244, 590.3158207606465 6689444.0976971835, 590.3185578793824 6689444.101171903, 591.8682189786197 6689446.050635313, 593.4178811995456 6689448.010107407, 593.4204076189445 6689448.0132754715, 594.9803441423816 6689449.9532168815, 594.9813060586075 6689449.954409378, 596.5512523476705 6689451.894594927, 596.5538742763019 6689451.897807844, 598.1330466948828 6689453.816629209, 599.702093493118 6689455.745455106, 599.7058391674962 6689455.750004623, 601.3058147534332 6689457.670170643, 601.3066713882442 6689457.6711959215, 602.9067690444942 6689459.581108032, 602.9084291435282 6689459.583079221, 604.5084047294662 6689461.4729717905, 604.509526688372 6689461.474292402, 606.1295218055591 6689463.374438892, 606.1305312379625 6689463.375619171, 607.7605361207754 6689465.275521511, 607.7612295743044 6689465.27632805, 609.3812246914914 6689467.156455009, 609.3832368413886 6689467.158775807, 611.0232514898256 6689469.038658618, 611.0241011113789 6689469.039629972, 612.6641157598168 6689470.909747161, 612.6656145016012 6689470.911448388, 615.9755510250383 6689474.651438619, 615.9783783698189 6689474.654606114, 619.3183441901318 6689478.3645670535, 619.3202515163206 6689478.366673601, 622.6803589381956 6689482.0566150015, 622.6823002721329 6689482.058734629, 626.0721928502579 6689485.738666269, 626.0731100913227 6689485.739659292, 629.4631247397598 6689489.399815542, 629.4660692997303 6689489.402967367, 632.8961230106682 6689493.042859947, 632.8965770830508 6689493.04334116, 636.3265087236758 6689496.67346811, 636.3275256850307 6689496.674541246, 639.7775989272186 6689500.304424066, 639.7804812565475 6689500.307431429, 641.5094964232662 6689502.096471675, 643.2385170407204 6689503.905525983, 643.2404757125021 6689503.907563757, 644.9794954508344 6689505.7066085925, 646.708511020701 6689507.515413617, 646.7124169545219 6689507.519454094, 648.4614349417918 6689509.308488683, 650.2005709028499 6689511.10752754, 650.202529260209 6689511.1095419945, 651.9520282097927 6689512.89906854, 653.6915187839202 6689514.688593567, 655.4415702719898 6689516.488451219, 655.442519494584 6689516.489424804, 657.192519494584 6689518.279463864, 658.942519494493 6689520.069502925, 660.692519493584 6689521.859541994, 662.442519494584 6689523.649581054, 664.2025514886931 6689525.44965262, 665.9525530925897 6689527.23944918, 665.9535151515696 6689527.240430415, 667.7134028468826 6689529.030469474, 669.4624183592728 6689530.809497395, 671.2114441040841 6689532.608544107, 671.213415002029 6689532.610559968, 672.9729249760917 6689534.400090709, 674.7224267211469 6689536.189620114, 676.4824824167044 6689537.989471778, 676.4834177178105 6689537.990425675, 678.2329292247678 6689539.769958099, 685.242451832892 6689546.939625822, 692.2627267279826 6689554.1098087095, 699.2727312736187 6689561.269715488, 706.2927502954248 6689568.4298713915, 713.302516376054 6689575.599544018, 713.3030797642317 6689575.60011933, 715.8730260532947 6689578.22023652, 716.5869348842053 6689577.51999786, 714.0172706045602 6689574.900168185, 707.007542217696 6689567.730534112, 707.0070543899436 6689567.730035852, 699.9871569265937 6689560.5700041065, 692.9772687263822 6689553.410216162, 685.9573720238582 6689546.240419733, 678.947489573358 6689539.070383947, 678.9465139228154 6689539.0693887845, 677.1969820819421 6689537.2898356775, 675.437464517059 6689535.490534317, 673.687485388229 6689533.700516606, 673.6864873417219 6689533.699498632, 671.9274659008357 6689531.91046476, 670.1784484740418 6689530.111426604, 670.1764943916571 6689530.109427845, 668.4264943916571 6689528.3293985445, 666.667083758266 6689526.539844721, 664.9175640949103 6689524.75054106, 663.1575683308745 6689522.95050655, 661.407578161666 6689521.160477546, 659.657578162666 6689519.370438477, 657.907578161757 6689517.580399415, 656.1580534427072 6689515.790846511, 654.408552197854 6689513.991554771, 652.6685886379548 6689512.201543152, 652.667587927291 6689512.200516606, 650.9185699484401 6689510.411482035, 649.179433979963 6689508.6124431705, 649.177475623604 6689508.610428717, 647.4294399370895 6689506.822398903, 645.7014010886749 6689505.014615674, 645.6994656937479 6689505.012602253, 643.9604576205254 6689503.213569485, 642.2314536624037 6689501.404532607, 642.2295285090775 6689501.402529512, 640.5009954548736 6689499.613988115, 637.0528663639255 6689495.986150771, 633.623669703911 6689492.3568017, 630.1953218741285 6689488.718719361, 626.807232060367 6689485.060641331, 623.4187711248418 6689481.382263825, 620.0605878966172 6689477.694435501, 616.7229932293338 6689473.987108386, 613.4152148572559 6689470.249556711, 611.7763731683884 6689468.380777054, 610.1377923451845 6689466.5025377795, 608.5191469119435 6689464.62397723, 606.8899939551145 6689462.725067878, 605.2710647143895 6689460.826171591, 603.6724815935922 6689458.937923802, 602.0736403913703 6689457.029511423, 600.4759787028329 6689455.1121223625, 598.9078918584449 6689453.184476534, 598.9060866611981 6689453.182270286, 597.3273261686658 6689451.2639494445, 595.7591660083343 6689449.325971245, 594.2009791972074 6689447.3882057825, 592.6521871598294 6689445.429833992, 592.6514128237426 6689445.428857386, 591.102740230697 6689443.48063751, 589.5750565300685 6689441.523525125, 588.0559010316276 6689439.554674227, 586.5367440952731 6689437.585577462, 585.0284335048183 6689435.607825014, 583.5296434098153 6689433.619439916, 582.0304865062016 6689431.620564044, 580.5418139970876 6689429.622332815, 579.0631392843133 6689427.614096435, 577.5938732063456 6689425.605216978, 576.1242563239424 6689423.585683665, 574.6552348664582 6689421.56721256, 573.2069152748431 6689419.549466088, 571.7575118489088 6689417.510369361, 571.7559001101047 6689417.508115138, 570.2967482012624 6689415.479210767, 568.8474824400244 6689413.440307713, 567.398011191046 6689411.40094389, 565.9591893318125 6689409.362490941, 564.5197700945647 6689407.303597987, 564.5184774117097 6689407.301757807, 563.0785360054597 6689405.261718747, 563.0775802082848 6689405.260369361, 561.6286512270569 6689403.221940108, 560.1898413871512 6689401.163500388, 560.1882334832666 6689401.161213673, 558.7382959359932 6689399.111356682, 557.299155082643 6689397.072695811, 555.8597518587138 6689395.013581734, 555.8581668177211 6689395.011327535, 554.4083540050879 6689392.961474327, 552.9692071015622 6689390.922560881, 551.5297958046958 6689388.863435245, 551.5291343292062 6689388.862491301, 550.0891929229562 6689386.812686621, 550.0875899745967 6689386.810418192, 548.6378570037139 6689384.770857834, 547.1887129548026 6689382.721950185, 544.3091739966823 6689378.622515835, 532.768895988712 6689362.222273623, 532.768200997409 6689362.221288475, 531.3187150371535 6689360.171897396, 529.879114556184 6689358.122507678, 529.8781701370988 6689358.121167894, 528.4291653534461 6689356.072701119, 527.000049282585 6689354.02399644, 526.9981814654789 6689354.021337293, 525.5486954127596 6689351.971946093, 524.109095024934 6689349.922556508, 524.1081668177211 6689349.921239645, 522.6586785313402 6689347.871845277, 521.2191992545762 6689345.822698443, 519.7791389702471 6689343.772654158, 519.7782107623539 6689343.771337293, 518.3283918161991 6689341.721475424, 516.8891289791834 6689339.6825705655, 515.4499791990042 6689337.623644519, 514.0200528263767 6689335.574022352, 514.0184774117097 6689335.571777337, 512.579736548851 6689333.533439149, 509.73232417355547 6689329.427204155, 506.93449867746295 6689325.300420699, 505.5458806114125 6689323.2324321885, 504.1672593835955 6689321.154439638, 502.8094249788347 6689319.087889044, 501.47097321814493 6689317.000162794, 500.1320834039726 6689314.9119435, 498.81332943858087 6689312.813986804, 498.8124338045341 6689312.812567268, 497.4836645313957 6689310.714343632, 496.1756898100485 6689308.60783645, 494.88710647620616 6689306.500110156, 493.5979025795805 6689304.371160777, 492.31901978899776 6689302.253186482, 491.0508630001662 6689300.116432491, 489.8024344877109 6689297.9789863285, 488.56406829727666 6689295.831899766, 487.3351981278391 6689293.663692748, 486.1158877284741 6689291.5049496805, 484.8973337485958 6689289.327767393, 483.7088918373413 6689287.160336089, 482.5195117988613 6689284.971652345, 481.33052837408513 6689282.773472281, 478.9923471438228 6689278.386927681, 476.6837463927319 6689273.959547717, 474.3949384637671 6689269.531997625, 472.1359496215527 6689265.084056639, 469.8766188476651 6689260.615187508, 465.38745529221717 6689251.666883352, 460.9380983130631 6689242.6780935265, 460.9376013856563 6689242.677092427, 458.6976111512813 6689238.177092427, 458.69661460286505 6689238.1751015475, 456.43660483724005 6689233.685111318, 456.43620463564827 6689233.684317987, 454.16618510439827 6689229.194327757, 454.16497542691076 6689229.191950838, 451.87505843472377 6689224.721980128, 451.8738373922235 6689224.719612193, 449.5537690328485 6689220.249641493, 449.55233699971006 6689220.246903188, 447.20236141377205 6689215.786942248, 447.20091039185587 6689215.784208933, 444.8209055090439 6689211.334257763, 444.8185743982078 6689211.329950097, 443.6088421528372 6689209.120406857, 442.39898711106844 6689206.90061028, 442.3963823215388 6689206.895891811, 439.9364213840388 6689202.495989471, 439.93520618185335 6689202.493828546, 438.68520618185335 6689200.283867606, 438.6820280212975 6689200.278331487, 437.4122651305785 6689198.09884036, 436.1425012223434 6689195.909095639, 436.14113582949255 6689195.906755612, 434.86122860293057 6689193.726823972, 434.85844086598786 6689193.722134692, 433.55839203786286 6689191.562222582, 433.55624976896814 6689191.558696409, 432.90622535490513 6689190.498637819, 432.88074349565346 6689190.461029844, 432.8519534419872 6689190.425889871, 432.8200928482773 6689190.3935079705, 432.78542471542926 6689190.364151447, 432.74823521985326 6689190.338062631, 432.70883135118817 6689190.315456878, 429.75969696008417 6689188.797275307, 426.17285765396196 6689184.073839921, 422.89060462814234 6689179.464656461, 420.49381041603317 6689175.929381954, 420.47862105946695 6689175.908189149, 417.76866012196695 6689172.328111018, 417.7659111102179 6689172.324513318, 416.3159599383429 6689170.444630508, 415.52412795228105 6689171.055369492, 416.97269645451263 6689172.93345965))</t>
  </si>
  <si>
    <t>['FV500 S3D1 m3034-3116']</t>
  </si>
  <si>
    <t>LINESTRING Z (791.510009765625 6689664.86010742 20.511, 792.680053710937 6689666.79003906 20.501, 793.989990234375 6689668.97998047 20.491, 795.27001953125 6689671.17993164 20.481, 796.530029296875 6689673.38989258 20.471, 796.609985351563 6689673.5300293 20.461, 798.030029296875 6689676.17993164 20.361, 800.4599609375 6689680.83007813 20.391, 802.930053710937 6689686.08007813 20.341, 805.430053710938 6689691.2199707 20.261, 807.400024414063 6689695.37011719 20.191, 809.319946289063 6689699.73999024 20.111, 811.239990234375 6689704.81005859 20.031, 812.930053710937 6689710.05004883 19.961, 814.72998046875 6689715.54003906 19.931, 816.400024414063 6689720.77001953 19.891, 818.030029296875 6689725.51000977 19.831, 820.050048828125 6689731.37988281 19.801, 821.819946289063 6689736.57006836 19.761, 823.5 6689741.97998047 19.731, 824.880004882812 6689746.66992187 19.761, 826.260009765625 6689751.17993164 19.751, 827.839965820312 6689756.30004883 19.771, 829.339965820312 6689761.33007813 19.841, 831.030029296875 6689766.77001953 19.801, 832.989990234375 6689772.15991211 19.731, 835.47998046875 6689778.45996094 19.651, 837.660034179688 6689783.56005859 19.591, 839.910034179688 6689788.98999023 19.521, 842.430053710937 6689794.23999023 19.481, 844.72998046875 6689798.64990234 19.441, 847.510009765625 6689803.91992188 19.501, 850.869995117188 6689810.11010742 19.641)</t>
  </si>
  <si>
    <t>POLYGON ((792.2517223806946 6689667.047981845, 793.5593426942955 6689669.234051034, 794.8367462972157 6689671.429489496, 796.0956687405184 6689673.637543356, 796.172411751329 6689673.772048713, 797.5880904817265 6689676.413805254, 800.0119802356959 6689681.052389419, 802.4776279113163 6689686.292941691, 802.4804193647863 6689686.298776449, 804.9793785195686 6689691.436529086, 806.9451963163948 6689695.577926629, 808.8569541907985 6689699.929217857, 810.7679680367688 6689704.975441325, 812.454192611099 6689710.203529166, 812.4549371460597 6689710.205818691, 814.2542621736545 6689715.693973572, 815.9237185879223 6689720.922114106, 815.9272005367455 6689720.932615905, 817.5572054195576 6689725.672606145, 819.5770337705006 6689731.541923681, 821.3444837277272 6689736.724931981, 823.0213882848582 6689742.124703554, 824.4003390337234 6689746.811062485, 824.401886798188 6689746.816219844, 825.781891681001 6689751.326229613, 825.7822393731904 6689751.327361122, 827.3614954993294 6689756.445210074, 828.8608171351083 6689761.472964579, 828.8624786428397 6689761.478422308, 830.5525421194027 6689766.918363709, 830.5601325851118 6689766.940891062, 832.5200935226118 6689772.330783642, 832.5249915365948 6689772.343695165, 835.0149817709698 6689778.643743995, 835.0202220350708 6689778.656486212, 837.1991836065376 6689783.754028871, 839.4481199423166 6689789.181393567, 839.4592733051578 6689789.206357126, 841.9792928364069 6689794.456357126, 841.9867243141279 6689794.471202353, 844.2866510719408 6689798.881114463, 844.2877406478269 6689798.883191733, 847.0677699447019 6689804.153211272, 847.0705711118615 6689804.158445819, 850.4305564634244 6689810.34863136, 851.3094337709515 6689809.87158348, 847.9508645316945 6689803.684006879, 845.1727675232937 6689798.417650322, 842.877222087316 6689794.01613902, 840.3667131394388 6689788.785952582, 838.1219484170593 6689783.368655253, 838.1197926133672 6689783.363533318, 835.9424468237546 6689778.269770679, 833.4575270978767 6689771.982550996, 831.5039890744304 6689766.61032143, 829.8182993203504 6689761.184458077, 828.3191145055158 6689756.15716238, 828.3177362127467 6689756.152619348, 826.7379546545941 6689751.033067644, 825.3589107339573 6689746.526198406, 823.9796658490886 6689741.838839855, 823.9775041888362 6689741.831691058, 822.2974504778991 6689736.421778949, 822.2931870112459 6689736.408689245, 820.5232895503079 6689731.218503694, 820.5228363702363 6689731.217180812, 818.5028349326504 6689725.34736035, 816.8746473636699 6689720.6126547875, 815.2062862948907 6689715.387944484, 815.2050970336273 6689715.384269198, 813.4055452985064 6689709.895422832, 811.7158513342131 6689704.656578254, 811.707583290794 6689704.632980264, 809.787539345482 6689699.562911914, 809.7777127233308 6689699.538868655, 807.8577908483308 6689695.168995606, 807.851720047655 6689695.155708575, 805.88174934453 6689691.005562085, 805.8796880570887 6689691.001272381, 803.3811026564803 6689685.864288166, 800.9123867371208 6689680.617214568, 800.9031060009717 6689680.598512907, 798.4731743603467 6689675.948366417, 798.4707378897488 6689675.943762344, 797.0506939444367 6689673.293860004, 797.0442697881784 6689673.282245062, 796.9643511936564 6689673.142173998, 795.7043800876066 6689670.932280864, 795.7021887724316 6689670.928476381, 794.4221594755566 6689668.728525211, 794.4190845269165 6689668.723313198, 793.1091480034786 6689666.533371788, 793.1076144811591 6689666.530825272, 791.937570535847 6689664.6008936325, 791.082448995403 6689665.1193212075, 792.2517223806946 6689667.047981845))</t>
  </si>
  <si>
    <t>['FV500 S3D1 m3034-3090', 'FV500 S3D1 m2959-3034']</t>
  </si>
  <si>
    <t>LINESTRING Z (844.349975585937 6689813.48999024 19.721, 844.18994140625 6689813.23999024 19.721, 842.449951171875 6689810.61010742 19.661, 840.369995117188 6689807.37011719 19.591, 838.420043945312 6689804.26000977 19.571, 834.739990234375 6689797.63989258 19.521, 833.5400390625 6689795.12011719 19.561, 831.989990234375 6689791.65991211 19.581, 830.239990234375 6689787.87011719 19.611, 828.420043945312 6689783.62988281 19.621, 826.839965820312 6689779.77001953 19.641, 825.369995117187 6689775.98999023 19.681, 823.869995117188 6689772.06005859 19.651, 822.510009765625 6689768.10009766 19.651, 820.949951171875 6689763.47998047 19.651, 819.77001953125 6689759.84008789 19.611, 818.569946289063 6689755.75 19.631, 817.390014648437 6689751.97998047 19.621, 816.050048828125 6689747.19995117 19.581, 814.719970703125 6689742.31005859 19.601, 813.130004882813 6689736.94995117 19.571, 811.589965820312 6689732.19995117 19.551, 810.430053710938 6689728.44995117 19.561, 809.239990234375 6689724.52001953 19.561, 807.969970703125 6689720.81005859 19.561, 806.5400390625 6689716.63989258 19.551, 805.25 6689712.87011719 19.581, 803.579956054688 6689708.98999024 19.581, 801.569946289063 6689704.23999024 19.611, 799.609985351563 6689699.48999024 19.661, 797.81005859375 6689695.57006836 19.681, 796.280029296875 6689692.29003906 19.681)</t>
  </si>
  <si>
    <t>POLYGON ((844.6110509644994 6689812.970422549, 844.6069347546667 6689812.964097965, 842.8688478426219 6689810.337091893, 840.7921988607856 6689807.102253159, 838.8506623834352 6689804.005566898, 835.1846515649371 6689797.410711728, 833.9939675123878 6689794.910396346, 832.446297924314 6689791.455502491, 832.4439305474019 6689791.450297721, 830.6967778555568 6689787.666668923, 828.8811748155318 6689783.436553739, 827.304368899714 6689779.584683912, 825.8365665792077 6689775.810230607, 824.3401389184976 6689771.889658334, 822.983318667892 6689767.938913441, 821.4246465662334 6689763.322902351, 820.2478176727902 6689759.692581229, 819.0497208263564 6689755.609229288, 819.0471213515572 6689755.600654897, 817.8694307333491 6689751.837795695, 816.5320117480585 6689747.066851662, 815.2024408914525 6689742.178824001, 815.199326235086 6689742.167867613, 813.609360414774 6689736.807760193, 813.6056310257255 6689736.795744256, 812.0666366679951 6689732.048966478, 810.9081638422866 6689728.303619687, 809.7185303060443 6689724.375107834, 809.7130401034135 6689724.358081822, 808.4430205721635 6689720.648120882, 807.0130564166002 6689716.477859847, 805.7230674222566 6689712.708230767, 805.7092662968448 6689712.672444561, 804.0398284735298 6689708.793725855, 802.0312901231448 6689704.047203063, 800.07218455089 6689699.299276056, 800.064372944955 6689699.281347208, 798.2644461871421 6689695.361425328, 798.2631846236555 6689695.358699486, 796.7331553267805 6689692.078670185, 795.8269032669695 6689692.501407934, 797.3562977035399 6689695.780076241, 799.1515166073176 6689699.689745248, 801.1077470897359 6689704.430704424, 801.1094763839513 6689704.434842662, 803.1194861495763 6689709.184842662, 803.1206897578431 6689709.18766287, 804.7831463412492 6689713.050161585, 806.0669716402434 6689716.801779003, 807.4969621844909 6689720.972117091, 808.7640429478816 6689724.673493348, 809.9515136392687 6689728.594862866, 809.9523819125249 6689728.597699785, 811.112294021899 6689732.347699785, 811.1143396773995 6689732.354158084, 812.6524384526456 6689737.098173584, 814.238995439322 6689742.446789112, 815.5675786397975 6689747.331185759, 815.5686075737153 6689747.3349116035, 816.9085733940274 6689752.114940903, 816.9128395859428 6689752.129325572, 818.0914330753538 6689755.8950695535, 819.2902449939565 6689759.980858602, 819.2943861132823 6689759.994272362, 820.4743177539073 6689763.634164942, 820.4762289293121 6689763.63994058, 822.0362875230621 6689768.260057771, 822.0371205503835 6689768.26250391, 823.3971059019465 6689772.22246484, 823.4028653555665 6689772.238355493, 824.9028653555656 6689776.168287133, 824.903991086863 6689776.171209003, 826.373961789988 6689779.951238303, 826.3772361791805 6689779.959443075, 827.9573143041805 6689783.819306354, 827.9605775439513 6689783.827089873, 829.7805238330143 6689788.067324254, 829.7860499213481 6689788.07973158, 831.5348513497759 6689791.866930877, 833.083731372561 6689795.324526809, 833.0886128455843 6689795.335092469, 834.2885640174593 6689797.854867859, 834.3029735680325 6689797.882825561, 837.9830272789695 6689804.502942751, 837.9964207281688 6689804.5256097885, 839.9463719000447 6689807.6357172085, 839.9492349615588 6689807.640229928, 842.0291910162458 6689810.880220158, 842.0329578234583 6689810.885999695, 843.7708660991135 6689813.512735769, 843.9288660276876 6689813.759557931, 844.7710851441865 6689813.220422549, 844.6110509644994 6689812.970422549))</t>
  </si>
  <si>
    <t>['FV500 S3D1 m3116-3220']</t>
  </si>
  <si>
    <t>LINESTRING Z (723.660034179688 6689585.45996094 20.561, 727.68994140625 6689589.57006836 20.541, 734.719970703125 6689596.73999024 20.551, 738.239990234375 6689600.32006836 20.551, 741.75 6689603.90991211 20.551, 745.260009765625 6689607.5300293 20.551, 748.739990234375 6689611.15991211 20.561, 752.2099609375 6689614.83007813 20.561, 753.930053710938 6689616.66992188 20.561, 755.640014648437 6689618.52001953 20.571, 757.359985351563 6689620.37988281 20.571, 759.06005859375 6689622.26000977 20.571, 760.739990234375 6689624.13989258 20.571, 762.420043945313 6689626.0300293 20.571, 764.099975585938 6689627.92993164 20.581, 765.75 6689629.84008789 20.581, 767.400024414063 6689631.77001953 20.581, 769.02001953125 6689633.70996094 20.581, 770.640014648438 6689635.66992188 20.591, 772.25 6689637.63989258 20.591, 773.829956054688 6689639.62988281 20.591, 775.400024414063 6689641.62011719 20.591, 776.9599609375 6689643.62988281 20.591, 778.489990234375 6689645.65991211 20.591, 780.010009765625 6689647.70996094 20.591, 781.5 6689649.77001953 20.591, 782.969970703125 6689651.85009766 20.581, 783.06005859375 6689651.95996094 20.581, 784.420043945313 6689653.93994141 20.571, 785.849975585938 6689656.05004883 20.561, 787.260009765625 6689658.15991211 20.551, 788.650024414062 6689660.30004883 20.531, 790.010009765625 6689662.45996094 20.521, 791.359985351562 6689664.62011719 20.511, 791.510009765625 6689664.86010742 20.511)</t>
  </si>
  <si>
    <t>POLYGON ((727.3329219286447 6689589.920121346, 734.3629515621263 6689597.090043569, 734.3634394160455 6689597.090540438, 737.8829707654185 6689600.670122047, 741.3917600738457 6689604.258717581, 744.9000580018982 6689607.877069233, 748.3778604120106 6689611.504680164, 751.8456763926775 6689615.172567147, 753.5638377712581 6689617.010345041, 755.272828490541 6689618.859392961, 756.9909964395338 6689620.7173068905, 758.6882104515398 6689622.594271802, 760.366721677701 6689624.472565135, 762.045901686587 6689626.3617189, 763.723488209543 6689628.258969052, 765.3707901993504 6689630.165973678, 767.0181021663082 6689632.092732737, 768.6354290111508 6689634.0294788955, 770.2537381683587 6689635.987400066, 771.8606106128992 6689637.953561828, 773.4378847534542 6689639.940174126, 775.0062505202867 6689641.928250283, 776.562804860513 6689643.93365842, 778.0895183814333 6689645.959288379, 779.6066065294829 6689648.005383655, 781.0932550461471 6689650.0608219905, 782.5616422298917 6689652.1386593655, 782.5833368091945 6689652.167137456, 782.6599488173865 6689652.260566734, 784.0070118800583 6689654.221733854, 785.4351594074865 6689656.329208511, 786.8424776588681 6689658.435007892, 788.228788115857 6689660.569441452, 789.5864472117258 6689662.725659031, 790.9359754310208 6689664.88509943, 791.086034848445 6689665.125145662, 791.933984682805 6689664.595069178, 791.7839776095209 6689664.355106688, 790.4340196861663 6689662.194978701, 790.4331225917183 6689662.193548597, 789.0731372401553 6689660.033636487, 789.0693423697294 6689660.027702631, 787.6793277212923 6689657.887565912, 787.6757201224125 6689657.8820904065, 786.2656859427254 6689655.772227126, 786.2638890166859 6689655.769556991, 784.8339573760609 6689653.659449571, 784.8321864578071 6689653.656853881, 783.4722011062441 6689651.676873411, 783.4466924876805 6689651.642921144, 783.3679619719234 6689651.546908321, 781.9083284732333 6689649.481457825, 781.9051369452181 6689649.476993839, 780.4151467108431 6689647.416935249, 780.4116510529692 6689647.412161887, 778.8916315217192 6689645.362113057, 778.8892803363086 6689645.358967905, 777.3592510394336 6689643.328938604, 777.3549430070899 6689643.323306287, 775.7950064836529 6689641.313540667, 775.792577939732 6689641.310437147, 774.222509580357 6689639.320202766, 774.2215431299883 6689639.3189816, 772.6415870753003 6689637.32899137, 772.6371528161885 6689637.323486675, 771.0271674646265 6689635.353515974, 771.0254089100875 6689635.351376336, 769.4054137928996 6689633.391415397, 769.4038013791242 6689633.3894746015, 767.7838062619371 6689631.4495331915, 767.7800613401262 6689631.445101179, 766.1300369260632 6689629.515169539, 766.1283777921332 6689629.513238924, 764.4783533780711 6689627.603082674, 764.4745473554873 6689627.598727791, 762.7946157148623 6689625.698825451, 762.7937552626806 6689625.697854871, 761.1137015517427 6689623.807718151, 761.112814701452 6689623.806723079, 759.432883060827 6689621.926840269, 759.430924015443 6689621.924660939, 757.730850773256 6689620.044533978, 757.7270747025374 6689620.040404668, 756.0071511232499 6689618.180592345, 754.297239868834 6689616.330548449, 754.2952935273355 6689616.328454639, 752.5752007538975 6689614.488610889, 752.5732844842746 6689614.486572671, 749.1033137811496 6689610.816406651, 749.1009176330601 6689610.813889838, 745.6209371643101 6689607.184007027, 745.6189801264179 6689607.181977177, 742.1089703607929 6689603.561859988, 742.1075063053984 6689603.560356333, 738.5974965397734 6689599.970512583, 738.5965215214545 6689599.969518162, 735.0767461989687 6689596.389688417, 728.0469605472487 6689589.220015031, 724.0170536572932 6689585.109907955, 723.3030147020827 6689585.810013926, 727.3329219286447 6689589.920121346))</t>
  </si>
  <si>
    <t>['FV500 S3D1 m3679-3726']</t>
  </si>
  <si>
    <t>LINESTRING Z (419.5 6689185.54003906 27.181, 420.829956054687 6689187.62988281 27.161, 422.150024414062 6689189.72998047 27.151, 423.4599609375 6689191.84008789 27.131, 424.760009765625 6689193.95996094 27.101, 426.0400390625 6689196.08007813 27.071, 427.31005859375 6689198.2199707 27.041, 428.569946289063 6689200.35009766 27.011, 429.829956054687 6689202.5 26.981, 431.06005859375 6689204.64990234 26.941, 432.2900390625 6689206.81005859 26.911, 433.510009765625 6689208.9699707 26.881, 434.7099609375 6689211.14990234 26.851, 435.910034179688 6689213.32006836 26.831, 437.109985351563 6689215.51000977 26.801, 439.449951171875 6689219.89990234 26.751, 441.780029296875 6689224.31005859 26.691, 442.56005859375 6689225.81005859 26.671)</t>
  </si>
  <si>
    <t>POLYGON ((420.4073810662536 6689187.897151077, 421.7259619319086 6689189.994882283, 423.0344416768743 6689192.102643055, 424.3328709264282 6689194.219875204, 425.6110274170408 6689196.336890457, 426.8798911892612 6689198.474835657, 428.1390783482931 6689200.6037782, 429.3972659104555 6689202.75057139, 430.62581539394176 6689204.897759389, 431.8551094795115 6689207.056710177, 433.073307284852 6689209.213483439, 434.2719369045699 6689211.391014236, 434.27240599227406 6689211.391864465, 435.47201037570636 6689213.561182619, 436.6701105255794 6689215.747745867, 439.0082895786953 6689220.134286372, 441.33717762915796 6689224.542190159, 442.11645373959715 6689226.040741778, 443.00366344790285 6689225.579375402, 442.22363415102785 6689224.079375402, 442.2221183598686 6689224.076483633, 439.8920402348686 6689219.666327383, 439.8911823118532 6689219.664710756, 437.5512164915412 6689215.274818187, 437.5484746326423 6689215.269745019, 436.3485234607673 6689213.079803609, 436.34758912491395 6689213.078106236, 435.14775083623516 6689210.908365096, 433.9480337985551 6689208.728858804, 433.9453644861553 6689208.7240718035, 432.7253937830303 6689206.564159693, 432.7245408929952 6689206.562655762, 431.4945604242452 6689204.402499512, 431.4940421058844 6689204.401591424, 430.26393956682136 6689202.251689084, 430.2613293572938 6689202.247181738, 429.0013195916698 6689200.097279398, 429.00030542923867 6689200.095556877, 427.74041773392565 6689197.965429917, 427.74003373857 6689197.9647818, 426.47001420732 6689195.82488923, 426.4680749887087 6689195.821649714, 425.1880456918337 6689193.701532525, 425.1862412379762 6689193.698567115, 423.8861924098512 6689191.578694064, 423.88476165479557 6689191.576375261, 422.57482513135756 6689189.466267841, 422.5733420553776 6689189.463893689, 421.2532736960026 6689187.363796029, 421.2517817256704 6689187.361437093, 419.9218256709834 6689185.271593343, 419.0781743290166 6689185.808484777, 420.4073810662536 6689187.897151077))</t>
  </si>
  <si>
    <t>['FV500 S3D1 m3107-3425']</t>
  </si>
  <si>
    <t>LINESTRING Z (577.569946289062 6689440.29003906 25.321, 578.0400390625 6689440.90991211 25.311, 579.569946289063 6689442.90991211 25.261, 581.109985351562 6689444.91992188 25.211, 582.650024414063 6689446.90991211 25.161, 584.2099609375 6689448.89990234 25.101, 585.77001953125 6689450.88989258 25.051, 587.349975585937 6689452.86010742 24.981, 588.930053710938 6689454.83007813 24.921, 590.52001953125 6689456.80004883 24.851, 592.119995117188 6689458.75 24.781, 593.72998046875 6689460.69995117 24.701, 595.329956054688 6689462.63989258 24.621, 596.9599609375 6689464.58007813 24.541, 598.589965820312 6689466.5 24.451, 600.219970703125 6689468.42993164 24.361, 601.880004882813 6689470.34008789 24.261, 603.52001953125 6689472.25 24.161, 605.180053710937 6689474.15991211 24.061, 606.839965820313 6689476.05004883 23.951, 610.18994140625 6689479.82006836 23.741, 613.550048828125 6689483.57006836 23.521, 616.949951171875 6689487.30004883 23.311, 620.349975585937 6689491.01000977 23.091, 623.780029296875 6689494.69995117 22.871, 627.22998046875 6689498.37011719 22.651, 630.680053710937 6689502.0300293 22.431, 634.160034179687 6689505.66992188 22.201, 635.890014648438 6689507.47998047 22.091, 637.640014648438 6689509.30004883 21.991, 639.390014648438 6689511.10009766 21.891, 641.119995117188 6689512.91992188 21.791, 642.880004882813 6689514.7199707 21.701, 644.619995117188 6689516.52001953 21.611, 646.380004882813 6689518.32006836 21.521, 648.119995117187 6689520.12011719 21.441, 649.880004882812 6689521.90991211 21.371, 651.630004882812 6689523.70996094 21.291, 653.390014648437 6689525.5 21.231, 655.140014648438 6689527.29003906 21.161, 656.900024414063 6689529.09008789 21.101, 658.650024414063 6689530.87988281 21.051, 660.390014648438 6689532.66992188 21.011, 662.150024414063 6689534.4699707 20.971, 663.900024414063 6689536.26000977 20.941, 665.660034179688 6689538.04003906 20.921, 667.410034179688 6689539.84008789 20.891, 669.170043945313 6689541.62988281 20.881, 670.920043945313 6689543.41992188 20.861, 672.670043945313 6689545.2199707 20.851, 679.68994140625 6689552.37988281 20.811, 686.7099609375 6689559.54003906 20.761, 693.719970703125 6689566.70996094 20.711, 700.72998046875 6689573.87011719 20.671, 707.75 6689581.0300293 20.621, 714.77001953125 6689588.19995117 20.581, 721.780029296875 6689595.37011719 20.531, 728.780029296875 6689602.5300293 20.491, 732.260009765625 6689606.12988281 20.461, 735.72998046875 6689609.72998047 20.441, 739.180053710938 6689613.34008789 20.421, 742.609985351563 6689616.95996094 20.391, 746.010009765625 6689620.60009766 20.371, 747.68994140625 6689622.42993164 20.361, 749.369995117187 6689624.27001953 20.351, 751.0400390625 6689626.10009766 20.321, 752.68994140625 6689627.94995117 20.301, 754.339965820312 6689629.80004883 20.271, 755.969970703125 6689631.67993164 20.251, 757.589965820313 6689633.55004883 20.231, 759.18994140625 6689635.42993164 20.201, 760.780029296875 6689637.32006836 20.171, 762.369995117187 6689639.22998047 20.151, 763.920043945313 6689641.13989258 20.121, 765.469970703125 6689643.07006836 20.101, 767 6689645 20.071, 768.510009765625 6689646.95996094 20.051, 770.010009765625 6689648.90991211 20.031, 771.47998046875 6689650.88989258 20.001, 772.93994140625 6689652.87011719 19.981, 774.369995117188 6689654.87011719 19.961, 775.7900390625 6689656.87988281 19.951, 777.18994140625 6689658.89990234 19.941, 778.569946289063 6689660.92993164 19.921, 779.930053710938 6689662.97998047 19.911, 781.27001953125 6689665.05004883 19.901, 782.589965820313 6689667.12011719 19.891, 783.890014648438 6689669.2199707 19.881, 785.170043945313 6689671.31005859 19.871, 786.430053710937 6689673.41992188 19.861, 787.660034179688 6689675.56005859 19.841, 788.260009765625 6689676.59008789 19.841)</t>
  </si>
  <si>
    <t>POLYGON ((577.6416452333063 6689441.212041812, 577.6429076232747 6689441.213699239, 579.1728148498377 6689443.213699239, 580.713089855139 6689445.224017202, 580.7145659347823 6689445.22593411, 582.2546049972832 6689447.21592434, 582.2565170465157 6689447.21837921, 583.8164535699527 6689449.2083694395, 585.3765238830307 6689451.198374629, 585.3799508587259 6689451.202696721, 586.959906913413 6689453.172911561, 588.5400157541274 6689455.1429205695, 588.5409707345619 6689455.144107487, 590.130936554874 6689457.114078187, 590.133484367436 6689457.11720899, 591.733459953374 6689459.06716016, 591.7344323244329 6689459.068341535, 593.344332006591 6689461.018188945, 594.9442229510051 6689462.958027729, 594.9471278224606 6689462.961517431, 596.5771327052727 6689464.9017029805, 596.5788023929719 6689464.90367999, 598.2083923368755 6689466.823113119, 599.8379835365008 6689468.752554957, 599.8425729398726 6689468.757911713, 601.5016332122945 6689470.6669473145, 603.1406806098016 6689472.575732993, 603.1426425253121 6689472.578003956, 604.8026767049992 6689474.487916066, 604.804361180067 6689474.489844107, 606.4642732894429 6689476.379980827, 606.4662044117673 6689476.382166896, 609.8161799977044 6689480.152186426, 609.8175598870467 6689480.153732869, 613.1776673089217 6689483.903732869, 613.1805234502668 6689483.906893234, 616.5804257940168 6689487.636873703, 616.5813358414081 6689487.637869401, 619.9813602554701 6689491.347830341, 619.9837609841945 6689491.35043137, 623.4138146951325 6689495.040372769, 623.4157152203276 6689495.042405917, 626.8656663922026 6689498.712571938, 626.8661509831745 6689498.713086731, 630.3162242253616 6689502.37299884, 630.31865066639 6689502.3755547535, 633.7986037966159 6689506.015418739, 635.5285561032214 6689507.825447863, 635.5295916127839 6689507.826528064, 637.2795916127839 6689509.646596424, 637.2815124634591 6689509.648583166, 639.0295594619836 6689511.44662314, 640.7576095182799 6689513.264416695, 640.7624880130351 6689513.26947684, 642.5214984434033 6689515.068503591, 644.2604952437529 6689516.867524697, 644.262488012131 6689516.86957449, 646.0214984423828 6689518.66860125, 647.760495243752 6689520.467622357, 647.763487734624 6689520.470691699, 649.5224971239757 6689522.259469313, 651.2715026978332 6689524.058495277, 651.2734735957781 6689524.060511138, 653.0329835698608 6689525.850041879, 654.782485314897 6689527.639571284, 656.542517309006 6689529.439642849, 658.2920058133701 6689531.228914642, 660.0314846032362 6689533.018427556, 660.0325075442851 6689533.01947684, 661.7925042595165 6689534.819512313, 663.5424950795219 6689536.609541994, 663.5444773041503 6689536.611558135, 665.303003141647 6689538.390086616, 667.0515319947091 6689540.188622226, 667.053526797125 6689540.190662398, 668.8130247088819 6689541.979936802, 670.5620274804573 6689543.768955828, 672.3115417612354 6689545.568505038, 672.3130168932416 6689545.57001596, 679.3329143541787 6689552.72992807, 686.352686729125 6689559.889832229, 693.3624528992423 6689567.059504958, 700.3727008973675 6689574.219904709, 707.3928532119312 6689581.379952437, 714.4126233750935 6689588.549619615, 721.4225055435803 6689595.719655123, 728.4215206990697 6689602.878559889, 731.9002659406866 6689606.477135623, 735.3692416265214 6689610.076200951, 738.8178410668115 6689613.684766206, 742.2458073816895 6689617.302565096, 745.6431443934998 6689620.939824627, 747.3211591519344 6689622.767570679, 749.0007059858227 6689624.607103409, 750.668788412024 6689626.435032055, 752.3167969953727 6689628.2827623, 753.9644866794312 6689630.130242134, 755.5921263547424 6689632.0073971525, 757.2106165817802 6689633.875777103, 758.8082493279459 6689635.752907205, 760.3965830044554 6689637.640958693, 761.9837285476357 6689639.547483005, 763.5309936695588 6689641.453965137, 765.0791307099613 6689643.381912122, 766.6060353505783 6689645.307902417, 768.1138142181477 6689647.264967699, 769.6110982597352 6689649.211388211, 771.078028319218 6689651.187273079, 772.5353350875191 6689653.163897694, 773.9624542433693 6689655.159793575, 775.3803748886216 6689657.166554122, 776.7777017443407 6689659.182857296, 778.1548606246397 6689661.208700039, 779.5118501996368 6689663.254049432, 780.8493516669326 6689665.320310696, 782.1665932036385 6689667.3861372005, 783.4642568016778 6689669.48213806, 784.7421973016532 6689671.56881527, 785.9986328248613 6689673.672693557, 787.2265286815498 6689675.809203092, 787.2279851054919 6689675.811720262, 787.827960691429 6689676.841749562, 788.692058839821 6689676.338426217, 788.0928151248213 6689675.309653383, 786.8635592090752 6689673.170777378, 786.8593295977115 6689673.16355844, 785.5993198320874 6689671.053695151, 785.5964347397279 6689671.048924735, 784.3164054428529 6689668.958836845, 784.3151345806809 6689668.956772974, 783.0150857525559 6689666.856919464, 783.0115537806457 6689666.851298308, 781.6916074915828 6689664.781229948, 781.6897574547456 6689664.778350329, 780.3497916344336 6689662.708281969, 780.3466961411176 6689662.703558536, 778.9865887192426 6689660.653509706, 778.9834488466488 6689660.648834442, 777.6034439638358 6689658.618805142, 777.6009015611442 6689658.615101092, 776.2009992173942 6689656.595081561, 776.1983902877184 6689656.591353302, 774.7783463424064 6689654.5815876825, 774.7767192308619 6689654.579298526, 773.3466655199239 6689652.579298526, 773.3423870000717 6689652.573405977, 771.8824260625717 6689650.593181367, 771.8814370055709 6689650.591844515, 770.4114663024459 6689648.611864045, 770.4063180708499 6689648.605051934, 768.9063180708499 6689646.655100764, 767.3960826185398 6689644.694846663, 767.3918087439398 6689644.689378191, 765.8617794470648 6689642.759446551, 765.8598343582372 6689642.757008732, 764.3099076004252 6689640.826832952, 764.3082754560078 6689640.824811172, 762.7582266278819 6689638.914899061, 762.7542667600126 6689638.910081572, 761.1643009397005 6689637.0001694625, 761.1626450458256 6689636.998190762, 759.5725571552006 6689635.108054041, 759.5707035710157 6689635.105863477, 757.9707279850786 6689633.225980667, 757.9678876753567 6689633.22267279, 756.3478925581687 6689631.3525556, 754.7177334601811 6689629.472494849, 754.7131198182396 6689629.467248448, 753.0630954041776 6689627.617150788, 751.4131834733773 6689625.76728653, 751.4093719315259 6689625.76306171, 749.739327986213 6689623.93298358, 748.0591868047791 6689622.092799862, 748.0582593067617 6689622.091786812, 746.3783276661367 6689620.261952832, 746.3754090178205 6689620.258801035, 742.9753846037585 6689616.618664315, 742.9729327466542 6689616.616058064, 739.5430011060292 6689612.996185013, 739.541528298611 6689612.994637282, 736.091455056423 6689609.384529862, 736.0899801560356 6689609.382993114, 732.6200094529106 6689605.782895454, 732.6194978617409 6689605.782365459, 729.1395173929909 6689602.182511949, 729.1375526730383 6689602.180490982, 722.1375526730383 6689595.020578872, 715.1275432845447 6689587.850413238, 708.1072683889555 6689580.68023036, 701.087132718681 6689573.520199623, 694.0773696099019 6689566.360295313, 687.0674787413827 6689559.190495042, 687.0669909133807 6689559.189996782, 680.0469713821307 6689552.029840532, 673.0278101981728 6689544.870679385, 671.2785461293905 6689543.071387542, 671.277573279854 6689543.070389656, 669.527573279854 6689541.280350586, 669.526551327876 6689541.279308301, 667.7675419385243 6689539.490530687, 666.0185363646668 6689537.691504723, 666.0155812896006 6689537.688490695, 664.2565655258544 6689535.909466715, 662.507553748604 6689534.120438477, 660.7480339943786 6689532.320890814, 659.0085544592647 6689530.531377133, 659.0075299152232 6689530.53032621, 657.2575299152232 6689528.74053129, 655.4975341502936 6689526.940496779, 653.747543981978 6689525.150467776, 653.746545935471 6689525.149449802, 651.9875244945848 6689523.36041593, 650.2385070677909 6689521.561377774, 650.236512265375 6689521.559337602, 648.4780053630775 6689519.771070979, 646.739504756248 6689517.972563193, 646.7375119878699 6689517.970513401, 644.978501557618 6689516.17148664, 643.239504756248 6689514.372465533, 643.2375119869658 6689514.37041574, 641.4799592445289 6689512.572879838, 639.752400247346 6689510.755602845, 639.7485168334168 6689510.751563324, 637.9994799431471 6689508.952505148, 636.2509562453091 6689507.1339722, 634.5214927249036 6689505.324454486, 631.0426745247318 6689501.685777574, 627.5940524452642 6689498.027404889, 624.1452964048469 6689494.3585102875, 620.7173951711565 6689490.670884454, 617.3190222664415 6689486.9627255695, 613.9210089951918 6689483.234817572, 610.563014504809 6689479.487175679, 607.2146959715969 6689475.719020975, 605.5565908865793 6689473.830941908, 603.8983809312939 6689471.923128615, 602.2593438042613 6689470.014354897, 602.2574026460653 6689470.0121078165, 600.5996820670894 6689468.104613764, 598.9719529869362 6689466.177376683, 598.9711243648402 6689466.176398139, 597.3419568661875 6689464.257462593, 595.7142446545523 6689462.320005996, 594.1157135724328 6689460.381816021, 592.5060450688436 6689458.432248493, 590.9078348949457 6689456.484448898, 589.3196151058718 6689454.516641534, 587.7400291057327 6689452.547284383, 586.1618135993373 6689450.579240018, 584.603462602135 6689448.591427965, 583.0444916570619 6689446.602669511, 581.5061451312332 6689444.614866324, 579.9669595519487 6689442.6059704935, 578.4378034272665 6689440.606952385, 577.9683401182557 6689439.987909358, 577.1715524598684 6689440.592168761, 577.6416452333063 6689441.212041812))</t>
  </si>
  <si>
    <t>['FV500 S3D1 m3438-3671']</t>
  </si>
  <si>
    <t>LINESTRING Z (446.22998046875 6689232.94995117 26.591, 446.349975585937 6689233.16992188 26.581, 448.599975585937 6689237.62988281 26.531, 450.839965820312 6689242.11010742 26.481, 453.079956054687 6689246.58007813 26.421, 457.52001953125 6689255.55004883 26.321, 461.9599609375 6689264.56005859 26.211, 464.2099609375 6689269.07006836 26.161, 466.4599609375 6689273.57006836 26.111, 468.72998046875 6689278.06005859 26.061, 471.0400390625 6689282.54003906 26.011, 473.369995117188 6689287.02001953 25.961, 474.56005859375 6689289.25 25.941, 475.75 6689291.47998047 25.911, 476.949951171875 6689293.69995117 25.891, 478.170043945313 6689295.91992188 25.861, 479.400024414063 6689298.12988281 25.841, 480.640014648437 6689300.34008789 25.811, 481.900024414063 6689302.55004883 25.781, 483.170043945313 6689304.73999023 25.761, 484.43994140625 6689306.91992188 25.731, 485.739990234375 6689309.10009766 25.701, 487.06005859375 6689311.2800293 25.661, 488.390014648438 6689313.42993164 25.621, 489.72998046875 6689315.58007813 25.581, 491.099975585938 6689317.72998047 25.541, 492.47998046875 6689319.84008789 25.491, 493.880004882813 6689321.95996094 25.441, 495.2900390625 6689324.07006836 25.381, 496.7099609375 6689326.15991211 25.331, 498.140014648437 6689328.25 25.281, 499.579956054688 6689330.32006836 25.231, 502.47998046875 6689334.45996094 25.121, 505.369995117188 6689338.56005859 25.021, 506.819946289063 6689340.62988281 24.971, 508.280029296875 6689342.67993164 24.931, 509.7099609375 6689344.7199707 24.891, 511.160034179688 6689346.7800293 24.851, 512.599975585938 6689348.83007813 24.821, 514.050048828125 6689350.87011719 24.801, 515.47998046875 6689352.92993164 24.781, 516.930053710938 6689354.9699707 24.771, 518.380004882813 6689357.02001953 24.761, 519.819946289063 6689359.08007813 24.761, 521.27001953125 6689361.12011719 24.761, 522.699951171875 6689363.16992188 24.771, 524.150024414063 6689365.22998047 24.781, 525.589965820313 6689367.27001953 24.801, 531.369995117188 6689375.4699707 24.891, 537.140014648438 6689383.65991211 25.031, 540.02001953125 6689387.77001953 25.131, 541.469970703125 6689389.81005859 25.171, 542.910034179688 6689391.87011719 25.221, 544.359985351563 6689393.91992188 25.261, 545.7900390625 6689395.95996094 25.301, 547.239990234375 6689398.02001953 25.331, 548.680053710938 6689400.07006836 25.361, 550.130004882813 6689402.11010742 25.391, 551.569946289063 6689404.16992188 25.421, 553.010009765625 6689406.2199707 25.441, 554.4599609375 6689408.26000977 25.461, 555.900024414063 6689410.32006836 25.481, 557.349975585938 6689412.37011719 25.491, 558.7900390625 6689414.41992188 25.501, 560.239990234375 6689416.4699707 25.501, 561.68994140625 6689418.52001953 25.511, 563.150024414063 6689420.57006836 25.511, 564.619995117187 6689422.61010742 25.511, 566.069946289063 6689424.65991211 25.501, 567.550048828125 6689426.69995117 25.491, 569.02001953125 6689428.73999023 25.481, 570.109985351563 6689430.22998047 25.471)</t>
  </si>
  <si>
    <t>POLYGON ((445.9071873141219 6689233.402307707, 448.15316027939133 6689237.854286229, 450.39274735084956 6689242.33370447, 452.6323929249329 6689246.802987868, 457.07171451741135 6689255.771459788, 461.51145935203834 6689264.781070644, 461.5125489160945 6689264.783268095, 463.7625489160945 6689269.293277865, 466.01274734200007 6689273.793675158, 466.01374653624555 6689273.795662483, 468.28376606749555 6689278.285652713, 468.2855816594936 6689278.289208537, 470.5956402532436 6689282.769189007, 470.5964455051326 6689282.770743971, 472.9264015598206 6689287.250724441, 472.92887948810204 6689287.25542769, 474.1189383273568 6689289.485399471, 475.3088743412144 6689291.715369835, 475.31014400888154 6689291.717733928, 476.51009518075654 6689293.937704628, 476.5117689660076 6689293.940775493, 477.7318617394456 6689296.160746203, 477.7331521208877 6689296.163079306, 478.9631325896377 6689298.373040236, 478.9639629196245 6689298.374526168, 480.2039531539985 6689300.584731248, 480.20565409208047 6689300.587738666, 481.4656638577065 6689302.797699606, 481.4674962639104 6689302.800886226, 482.7375157951604 6689304.990827626, 482.7380054008434 6689304.991669979, 484.0079028617804 6689307.171601629, 484.01049639541543 6689307.176001911, 485.31054522354043 6689309.356177691, 485.312295484539 6689309.359090325, 486.632363843914 6689311.539021965, 486.6348432017466 6689311.543072776, 487.9647992564346 6689313.692975116, 487.96567207945554 6689313.694380849, 489.30563789976753 6689315.844527339, 489.3083164135277 6689315.848777636, 490.6783115307157 6689317.998679976, 490.68151978058484 6689318.003649501, 492.0615246633968 6689320.113756921, 492.06275796102426 6689320.115633492, 493.4627823750873 6689322.235506543, 493.4642796764119 6689322.237760424, 494.87431385609887 6689324.347867844, 494.8764680067274 6689324.35106477, 496.2963898817274 6689326.44090852, 496.2973067157824 6689326.442253204, 497.7273604267194 6689328.532341094, 497.7295521808652 6689328.53551806, 499.1694935871162 6689330.605586421, 499.17043769219157 6689330.606938907, 502.07046210625356 6689334.746831487, 502.0713007162759 6689334.7480249265, 504.9608963288089 6689338.847528085, 506.410430202184 6689340.916756606, 506.41268176661623 6689340.919944198, 507.8716731022709 6689342.968460252, 509.30052461135836 6689345.006958322, 509.3010953171504 6689345.007770812, 510.7510236207684 6689347.0676235035, 512.1908202737606 6689349.117466248, 512.1924393229036 6689349.119757598, 513.6409024455024 6689351.157531458, 515.0692492422536 6689353.215062942, 515.0724442057158 6689353.219611108, 516.5221773117628 6689355.259171648, 517.9709878113863 6689357.30760771, 519.4101341988476 6689359.366528912, 519.4124100260286 6689359.369757598, 520.8612039765646 6689361.407996885, 522.2898722376907 6689363.455990521, 522.2910855521378 6689363.457721992, 523.7411587943258 6689365.517780582, 523.7415323538543 6689365.518310552, 525.1813815808665 6689367.558219018, 530.9612850663165 6689375.757991703, 536.7309020975891 6689383.947361806, 539.6105407412083 6689388.05694656, 539.6124717528014 6689388.059682798, 541.0612902362814 6689390.098128198, 542.5002334921802 6689392.156584285, 542.5018347457761 6689392.158861406, 543.9511713815785 6689394.207797322, 545.3806142514576 6689396.246964989, 545.3811620391486 6689396.247744852, 546.8309796511435 6689398.307613683, 548.2709098578789 6689400.357472792, 548.2725059324894 6689400.359731628, 549.7213267134118 6689402.39818026, 551.1601501413126 6689404.456395469, 551.1608024366179 6689404.457326313, 552.60086591318 6689406.507375133, 552.6024619864895 6689406.509633967, 554.0512804732324 6689408.548079382, 555.4902237272241 6689410.606535456, 555.4918087682169 6689410.608789655, 556.9413027908992 6689412.6581921335, 558.3809113103626 6689414.7073492315, 558.3818234172722 6689414.708643176, 559.8317745891472 6689416.758691996, 561.2817257604039 6689418.808740825, 561.2826768838033 6689418.8100809185, 562.7427598916163 6689420.8601297485, 562.7443650057342 6689420.8623703355, 564.2130579315877 6689422.900636084, 565.6617468550893 6689424.948656326, 565.6652423619047 6689424.953535562, 567.1448660826372 6689426.992914663, 568.6143601229213 6689429.032292205, 568.616469400471 6689429.035197431, 569.706435220784 6689430.525187671, 570.5135354823419 6689429.934773268, 569.4246295483448 6689428.4462319, 567.9557082364537 6689426.407649195, 567.9547527552833 6689426.406327718, 566.4764126041775 6689424.368717774, 565.0281945511607 6689422.321363204, 565.0256545255158 6689422.317805445, 563.5564894548876 6689420.278884449, 562.0976825200866 6689418.230627307, 560.6482058802211 6689416.181249405, 559.1987118512484 6689414.131846927, 557.7591033380753 6689412.0826898385, 557.758191231784 6689412.081395895, 556.3090357058627 6689410.032472009, 554.8697616243388 6689407.973542674, 554.8675087166355 6689407.970346504, 553.4183586912683 6689405.931434624, 551.9794167868395 6689403.882982453, 550.5398010305634 6689401.823633831, 550.5375526612615 6689401.820444153, 549.0884026352201 6689399.781532282, 547.649134087434 6689397.732615098, 546.1991903777287 6689395.672566737, 544.7694101626054 6689393.632917831, 544.7681847854748 6689393.631177664, 543.3190374006529 6689391.582509293, 541.8797713906328 6689389.523591495, 541.8775184815736 6689389.520395323, 540.4285373622099 6689387.481721099, 537.5494934384797 6689383.372985081, 537.5487597765541 6689383.371940896, 531.7787402453041 6689375.181999486, 525.9986415341951 6689366.981949815, 524.5587034281546 6689364.941915254, 523.1094252875565 6689362.882986232, 521.6800984654343 6689360.834048549, 521.6775557942843 6689360.830437722, 520.2286268447714 6689358.792008512, 518.7898169730283 6689356.7335687475, 518.788220528659 6689356.731298235, 517.338269356784 6689354.681249405, 517.3375899739722 6689354.680291232, 515.8891268513772 6689352.642517372, 514.4607800546214 6689350.584985888, 514.4575850911593 6689350.580437722, 513.0083245488037 6689348.541542009, 511.56918949186536 6689346.492641182, 511.5688998000376 6689346.492229188, 510.1191123443201 6689344.432576593, 508.68946562301664 6689342.392944018, 508.6872938193218 6689342.3898702515, 507.2283428219987 6689340.341410836, 505.77951120406703 6689338.273184794, 505.7786748696621 6689338.271994604, 502.8890802995526 6689334.172492924, 499.98994764942785 6689330.03387337, 498.55157910966324 6689327.966066172, 497.1230747149204 6689325.878242678, 495.70469335775306 6689323.790666265, 494.29648177839476 6689321.683286355, 492.89782169642746 6689319.565479133, 491.52005022996326 6689317.458786736, 490.1529944483665 6689315.313497029, 488.81479479608123 6689313.166184582, 487.4865232724263 6689311.019005322, 486.16856506453075 6689308.842558339, 484.87069443509773 6689306.666035389, 483.60232764542286 6689304.48873132, 482.33347462032054 6689302.300801369, 481.0752308688845 6689300.093937883, 479.83650236973705 6689297.885981767, 478.607584083531 6689295.677929308, 477.38897562045435 6689293.460659316, 476.1904940032754 6689291.243407366, 475.0011842525356 6689289.014610635, 473.8123622185651 6689286.786956421, 471.48403657186697 6689282.310110858, 469.175294190587 6689277.832682966, 466.906677134232 6689273.345466765, 464.65727381143785 6689268.8466601195, 462.40792045158395 6689264.337946506, 457.96852111671166 6689255.329036776, 457.96812717760145 6689255.328239143, 453.52806370103843 6689246.358268443, 453.52696926852724 6689246.356071017, 451.28708179931476 6689241.886305378, 449.0471940553994 6689237.40628576, 449.04638478522463 6689237.404674402, 446.79638478522463 6689232.944713472, 446.7889140661012 6689232.9304787535, 446.6689189489142 6689232.710508044, 445.7910419885858 6689233.189394296, 445.9071873141219 6689233.402307707))</t>
  </si>
  <si>
    <t>2014-01-02</t>
  </si>
  <si>
    <t>['EV6 S201D1 m13944-13990']</t>
  </si>
  <si>
    <t>LINESTRING Z (802976.549804687 7789395.37011719 5.297, 802988.389648438 7789399.09960938 4.187, 803005 7789390.74023438 3.497, 803017.219726563 7789379.20996094 2.357, 803015.940429688 7789369.25 3.177, 802995.490234375 7789361.44042969 4.177, 802973.25 7789345.45996094 4.207, 802973.419921875 7789361.46972656 3.837, 802971.16015625 7789375.33984375 3.947, 802972.879882813 7789381.84960938 4.047, 802970.759765625 7789385.94042969 4.837, 802976.549804687 7789395.37011719 5.297)</t>
  </si>
  <si>
    <t>POLYGON Z ((802976.549804687 7789395.37011719 5.297, 802988.389648438 7789399.09960938 4.187, 803005 7789390.74023438 3.497, 803017.219726563 7789379.20996094 2.357, 803015.940429688 7789369.25 3.177, 802995.490234375 7789361.44042969 4.177, 802973.25 7789345.45996094 4.207, 802973.419921875 7789361.46972656 3.837, 802971.16015625 7789375.33984375 3.947, 802972.879882813 7789381.84960938 4.047, 802970.759765625 7789385.94042969 4.837, 802976.549804687 7789395.37011719 5.297))</t>
  </si>
  <si>
    <t>['EV6 S201D1 m13941-14020']</t>
  </si>
  <si>
    <t>LINESTRING Z (803005.379882812 7789427.12011719 4.107, 803002.259765625 7789428.20996094 4.307, 802999.150390625 7789429.30957031 4.497, 802991.599609375 7789424.33984375 4.877, 802999.6796875 7789419.6796875 4.527, 802996.150390625 7789411.51953125 3.897, 803006.360351563 7789404.79003906 3.447, 803026.030273437 7789393.80957031 3.317, 803038.709960937 7789391.00976562 3.117, 803046.559570313 7789390.21972656 3.537, 803055.01953125 7789386.63964844 3.317, 803068.01953125 7789399.9296875 3.047, 803068.030273437 7789399.99023437 3.047, 803067.740234375 7789415.19042969 3.217, 803064.509765625 7789422.25 3.347, 803058.790039063 7789435.37988281 3.197, 803062.639648438 7789447.54003906 3.407, 803056.650390625 7789446.09960938 2.847, 803043.879882812 7789442.80957031 3.627, 803026.990234375 7789438.16992188 3.647, 803014.540039063 7789434.44042969 3.907, 803005.379882812 7789427.12011719 4.107)</t>
  </si>
  <si>
    <t>POLYGON Z ((803005.379882812 7789427.12011719 4.107, 803002.259765625 7789428.20996094 4.307, 802999.150390625 7789429.30957031 4.497, 802991.599609375 7789424.33984375 4.877, 802999.6796875 7789419.6796875 4.527, 802996.150390625 7789411.51953125 3.897, 803006.360351563 7789404.79003906 3.447, 803026.030273437 7789393.80957031 3.317, 803038.709960937 7789391.00976562 3.117, 803046.559570313 7789390.21972656 3.537, 803055.01953125 7789386.63964844 3.317, 803068.01953125 7789399.9296875 3.047, 803068.030273437 7789399.99023437 3.047, 803067.740234375 7789415.19042969 3.217, 803064.509765625 7789422.25 3.347, 803058.790039063 7789435.37988281 3.197, 803062.639648438 7789447.54003906 3.407, 803056.650390625 7789446.09960938 2.847, 803043.879882812 7789442.80957031 3.627, 803026.990234375 7789438.16992188 3.647, 803014.540039063 7789434.44042969 3.907, 803005.379882812 7789427.12011719 4.107))</t>
  </si>
  <si>
    <t>['EV6 S201D1 m12965-12996']</t>
  </si>
  <si>
    <t>LINESTRING Z (802493.740234375 7790113.45019531 7.316, 802497.259765625 7790113.13964844 7.496, 802499.370117188 7790112.51953125 7.746, 802501.830078125 7790110.95019531 7.996, 802503.879882812 7790109.41992188 8.336, 802506.780273438 7790107.16992188 8.766, 802509.870117187 7790105 9.276, 802513.849609375 7790102.38964844 9.966, 802518.150390625 7790099.66015625 10.816, 802521.719726563 7790097.3203125 11.546, 802524.509765625 7790095.66015625 11.976, 802526.120117188 7790093.45019531 12.266, 802525.830078125 7790092.21972656 12.266, 802524.9296875 7790090.29003906 12.206, 802523.559570313 7790089.03027344 12.286, 802521.190429688 7790087.78027344 12.206, 802518.26953125 7790086.51953125 12.116, 802514.459960938 7790085.41015625 12.026, 802510.66015625 7790083.91992188 12.096, 802509.759765625 7790087.08984375 10.096, 802508.75 7790088.1796875 9.736, 802506.389648438 7790093.54003906 9.316, 802504.26953125 7790097.96972656 9.096, 802501.889648438 7790103.94042969 8.546, 802500.650390625 7790106.29003906 8.276, 802499.530273438 7790108.16015625 8.236, 802498.25 7790110.74023438 7.956, 802496.559570313 7790110.41992188 7.966, 802495.299804688 7790111.63964844 7.886, 802493.990234375 7790112.00976563 7.916, 802493.740234375 7790113.45019531 7.316)</t>
  </si>
  <si>
    <t>POLYGON Z ((802493.740234375 7790113.45019531 7.316, 802497.259765625 7790113.13964844 7.496, 802499.370117188 7790112.51953125 7.746, 802501.830078125 7790110.95019531 7.996, 802503.879882812 7790109.41992188 8.336, 802506.780273438 7790107.16992188 8.766, 802509.870117187 7790105 9.276, 802513.849609375 7790102.38964844 9.966, 802518.150390625 7790099.66015625 10.816, 802521.719726563 7790097.3203125 11.546, 802524.509765625 7790095.66015625 11.976, 802526.120117188 7790093.45019531 12.266, 802525.830078125 7790092.21972656 12.266, 802524.9296875 7790090.29003906 12.206, 802523.559570313 7790089.03027344 12.286, 802521.190429688 7790087.78027344 12.206, 802518.26953125 7790086.51953125 12.116, 802514.459960938 7790085.41015625 12.026, 802510.66015625 7790083.91992188 12.096, 802509.759765625 7790087.08984375 10.096, 802508.75 7790088.1796875 9.736, 802506.389648438 7790093.54003906 9.316, 802504.26953125 7790097.96972656 9.096, 802501.889648438 7790103.94042969 8.546, 802500.650390625 7790106.29003906 8.276, 802499.530273438 7790108.16015625 8.236, 802498.25 7790110.74023438 7.956, 802496.559570313 7790110.41992188 7.966, 802495.299804688 7790111.63964844 7.886, 802493.990234375 7790112.00976563 7.916, 802493.740234375 7790113.45019531 7.316))</t>
  </si>
  <si>
    <t>['EV6 S201D1 m13035-13085']</t>
  </si>
  <si>
    <t>LINESTRING Z (802560.740234375 7790121.87988281 7.996, 802562.490234375 7790120.41015625 7.826, 802564.540039063 7790118.66992187 7.686, 802567.25 7790116.29980469 7.826, 802570.370117188 7790116.58984375 7.756, 802573.629882813 7790117.04980469 7.726, 802576.75 7790117.30957031 7.776, 802581.719726563 7790117.69042969 7.916, 802586.099609375 7790117.8203125 8.136, 802590.330078125 7790117.54003906 8.256, 802594.83984375 7790117.05957031 8.516, 802600.080078125 7790116.05957031 8.626, 802604.900390625 7790115.08984375 8.926, 802607.25 7790114.45019531 9.046, 802607.530273438 7790115.75976563 9.116, 802607.280273438 7790115.95996094 9.126, 802607.580078125 7790116.98046875 9.336, 802605.98046875 7790117.83007812 9.116, 802603.870117187 7790118.65039063 9.026, 802602.040039063 7790120.04003906 9.016, 802599.690429687 7790120.45019531 8.986, 802595.709960938 7790121.25976563 8.716, 802587.759765625 7790122.09960938 8.316, 802583.280273438 7790123 8.116, 802576.490234375 7790123.25976563 7.956, 802572.620117188 7790123.33007813 7.906, 802569.48046875 7790123.29980469 7.986, 802560.740234375 7790121.87988281 7.996)</t>
  </si>
  <si>
    <t>POLYGON Z ((802560.740234375 7790121.87988281 7.996, 802562.490234375 7790120.41015625 7.826, 802564.540039063 7790118.66992187 7.686, 802567.25 7790116.29980469 7.826, 802570.370117188 7790116.58984375 7.756, 802573.629882813 7790117.04980469 7.726, 802576.75 7790117.30957031 7.776, 802581.719726563 7790117.69042969 7.916, 802586.099609375 7790117.8203125 8.136, 802590.330078125 7790117.54003906 8.256, 802594.83984375 7790117.05957031 8.516, 802600.080078125 7790116.05957031 8.626, 802604.900390625 7790115.08984375 8.926, 802607.25 7790114.45019531 9.046, 802607.530273438 7790115.75976563 9.116, 802607.280273438 7790115.95996094 9.126, 802607.580078125 7790116.98046875 9.336, 802605.98046875 7790117.83007812 9.116, 802603.870117187 7790118.65039063 9.026, 802602.040039063 7790120.04003906 9.016, 802599.690429687 7790120.45019531 8.986, 802595.709960938 7790121.25976563 8.716, 802587.759765625 7790122.09960938 8.316, 802583.280273438 7790123 8.116, 802576.490234375 7790123.25976563 7.956, 802572.620117188 7790123.33007813 7.906, 802569.48046875 7790123.29980469 7.986, 802560.740234375 7790121.87988281 7.996))</t>
  </si>
  <si>
    <t>['EV6 S201D1 m12973-13086']</t>
  </si>
  <si>
    <t>LINESTRING Z (802501 7790118.91992188 7.176, 802501.549804687 7790117.09960938 7.416, 802502.830078125 7790115.65039063 7.656, 802505.349609375 7790113.66992188 8.116, 802509.370117187 7790110.51953125 8.826, 802513.709960938 7790107.0703125 9.496, 802517.469726562 7790104.55957031 10.286, 802520.629882813 7790102.50976563 10.966, 802524.040039062 7790100.86035156 11.646, 802527.51953125 7790099.95996094 12.136, 802530.370117188 7790100.09960938 12.266, 802533.8203125 7790101.08007813 12.496, 802536.969726563 7790101.91992188 12.496, 802538.51953125 7790100.34960938 12.476, 802539.809570313 7790100.1796875 12.506, 802542.459960938 7790100.46972656 12.656, 802544.639648438 7790101.70019531 12.816, 802544.98046875 7790102.29003906 12.676, 802546.280273438 7790103.91015625 12.446, 802549.290039063 7790105.08007813 12.606, 802553.530273438 7790105.16015625 12.936, 802557.41015625 7790104.87988281 13.146, 802559.48046875 7790104.95996094 13.186, 802560.490234375 7790104.66015625 13.346, 802561.33984375 7790102.87988281 13.586, 802560.200195312 7790101.54003906 14.336, 802560.169921875 7790100.30957031 14.526, 802561.91015625 7790098.80957031 14.926, 802563.879882812 7790096.58984375 15.366, 802567.190429688 7790096.80957031 15.616, 802568.849609375 7790097.54980469 15.626, 802570.009765625 7790098.13964844 15.896, 802573 7790099.91015625 16.016, 802576.25 7790101.38964844 16.036, 802580.009765625 7790103.48046875 16.216, 802583.58984375 7790105.96972656 16.166, 802587.25 7790107.48046875 16.226, 802591.190429687 7790108.83984375 16.276, 802594.639648438 7790110.0703125 16.126, 802597.280273438 7790110.75 16.096, 802600.719726562 7790111.62988281 16.036, 802604.120117188 7790112.41992188 16.076, 802606.139648438 7790112.59960938 16.166, 802607.8203125 7790113.04003906 15.996, 802606.98046875 7790113.24023438 15.896, 802605.669921875 7790113.62988281 15.696, 802604.030273438 7790113.87988281 15.586, 802602.91015625 7790114.23046875 15.166, 802601.280273438 7790114.58984375 14.756, 802599.610351563 7790114.94042969 14.476, 802597.8203125 7790115.4296875 13.806, 802596.009765625 7790115.95019531 13.266, 802593.400390625 7790116.37011719 12.826, 802590.48046875 7790116.62988281 12.286, 802587 7790116.98046875 11.586, 802584.200195313 7790117.04980469 11.096, 802579.83984375 7790116.87011719 10.716, 802576.83984375 7790116.6796875 10.216, 802573.5703125 7790116.37011719 9.786, 802568.440429688 7790115.91992187 9.546, 802566.6796875 7790115.69042969 9.416, 802565.440429688 7790116.91992188 9.916, 802562.419921875 7790119.0703125 10.886, 802561.139648437 7790119.99023438 11.476, 802559.440429687 7790120.95019531 11.446, 802559.309570313 7790116.37988281 7.936, 802539.389648438 7790116.36035156 7.906, 802539.01953125 7790121.4296875 11.616, 802537.879882813 7790120.54003906 11.616, 802536.969726563 7790119.53027344 11.396, 802534.620117188 7790117.99023438 10.476, 802531.530273438 7790116.01953125 9.136, 802531.240234375 7790116.46972656 8.266, 802531.919921875 7790117.05957031 7.906, 802534.200195312 7790118.94042969 7.716, 802538.150390625 7790122.05957031 7.786, 802534.740234375 7790121.88964844 7.706, 802529.849609375 7790121.51953125 7.326, 802526.940429688 7790121.53027344 7.166, 802523.830078125 7790121.8203125 7.066, 802520.860351563 7790121.98046875 6.856, 802511.51953125 7790124.58007812 7.046, 802507.870117188 7790124.4296875 7.026, 802503.469726563 7790123.55957031 6.906, 802501.830078125 7790123.34960938 6.876, 802501 7790118.91992188 7.176)</t>
  </si>
  <si>
    <t>POLYGON Z ((802501 7790118.91992188 7.176, 802501.549804687 7790117.09960938 7.416, 802502.830078125 7790115.65039063 7.656, 802505.349609375 7790113.66992188 8.116, 802509.370117187 7790110.51953125 8.826, 802513.709960938 7790107.0703125 9.496, 802517.469726562 7790104.55957031 10.286, 802520.629882813 7790102.50976563 10.966, 802524.040039062 7790100.86035156 11.646, 802527.51953125 7790099.95996094 12.136, 802530.370117188 7790100.09960938 12.266, 802533.8203125 7790101.08007813 12.496, 802536.969726563 7790101.91992188 12.496, 802538.51953125 7790100.34960938 12.476, 802539.809570313 7790100.1796875 12.506, 802542.459960938 7790100.46972656 12.656, 802544.639648438 7790101.70019531 12.816, 802544.98046875 7790102.29003906 12.676, 802546.280273438 7790103.91015625 12.446, 802549.290039063 7790105.08007813 12.606, 802553.530273438 7790105.16015625 12.936, 802557.41015625 7790104.87988281 13.146, 802559.48046875 7790104.95996094 13.186, 802560.490234375 7790104.66015625 13.346, 802561.33984375 7790102.87988281 13.586, 802560.200195312 7790101.54003906 14.336, 802560.169921875 7790100.30957031 14.526, 802561.91015625 7790098.80957031 14.926, 802563.879882812 7790096.58984375 15.366, 802567.190429688 7790096.80957031 15.616, 802568.849609375 7790097.54980469 15.626, 802570.009765625 7790098.13964844 15.896, 802573 7790099.91015625 16.016, 802576.25 7790101.38964844 16.036, 802580.009765625 7790103.48046875 16.216, 802583.58984375 7790105.96972656 16.166, 802587.25 7790107.48046875 16.226, 802591.190429687 7790108.83984375 16.276, 802594.639648438 7790110.0703125 16.126, 802597.280273438 7790110.75 16.096, 802600.719726562 7790111.62988281 16.036, 802604.120117188 7790112.41992188 16.076, 802606.139648438 7790112.59960938 16.166, 802607.8203125 7790113.04003906 15.996, 802606.98046875 7790113.24023438 15.896, 802605.669921875 7790113.62988281 15.696, 802604.030273438 7790113.87988281 15.586, 802602.91015625 7790114.23046875 15.166, 802601.280273438 7790114.58984375 14.756, 802599.610351563 7790114.94042969 14.476, 802597.8203125 7790115.4296875 13.806, 802596.009765625 7790115.95019531 13.266, 802593.400390625 7790116.37011719 12.826, 802590.48046875 7790116.62988281 12.286, 802587 7790116.98046875 11.586, 802584.200195313 7790117.04980469 11.096, 802579.83984375 7790116.87011719 10.716, 802576.83984375 7790116.6796875 10.216, 802573.5703125 7790116.37011719 9.786, 802568.440429688 7790115.91992187 9.546, 802566.6796875 7790115.69042969 9.416, 802565.440429688 7790116.91992188 9.916, 802562.419921875 7790119.0703125 10.886, 802561.139648437 7790119.99023438 11.476, 802559.440429687 7790120.95019531 11.446, 802559.309570313 7790116.37988281 7.936, 802539.389648438 7790116.36035156 7.906, 802539.01953125 7790121.4296875 11.616, 802537.879882813 7790120.54003906 11.616, 802536.969726563 7790119.53027344 11.396, 802534.620117188 7790117.99023438 10.476, 802531.530273438 7790116.01953125 9.136, 802531.240234375 7790116.46972656 8.266, 802531.919921875 7790117.05957031 7.906, 802534.200195312 7790118.94042969 7.716, 802538.150390625 7790122.05957031 7.786, 802534.740234375 7790121.88964844 7.706, 802529.849609375 7790121.51953125 7.326, 802526.940429688 7790121.53027344 7.166, 802523.830078125 7790121.8203125 7.066, 802520.860351563 7790121.98046875 6.856, 802511.51953125 7790124.58007812 7.046, 802507.870117188 7790124.4296875 7.026, 802503.469726563 7790123.55957031 6.906, 802501.830078125 7790123.34960938 6.876, 802501 7790118.91992188 7.176))</t>
  </si>
  <si>
    <t>2025-11-22T09:11:34Z</t>
  </si>
  <si>
    <t>['EV6 S201D1 m13043-13086']</t>
  </si>
  <si>
    <t>LINESTRING Z (802613.969726563 7790142.55957031 6.336, 802613.580078125 7790139.91015625 6.326, 802614 7790137.1796875 6.356, 802610.400390625 7790136.66992187 6.376, 802606.040039063 7790136.04980469 6.436, 802603.200195312 7790135.58984375 6.426, 802597.490234375 7790134.34960938 8.996, 802598.440429688 7790134.3203125 9.316, 802603.73046875 7790135.16992188 9.296, 802609.309570312 7790135.91992188 9.216, 802613.990234375 7790136.69042969 9.076, 802613.950195312 7790135.91992188 9.286, 802613.509765625 7790134.33984375 9.526, 802612.709960938 7790131.96972656 9.886, 802612.360351563 7790131.96972656 9.866, 802612.01953125 7790131 10.006, 802610.110351563 7790129.23046875 9.956, 802607 7790130.08007813 9.806, 802603.490234375 7790131.16015625 9.716, 802598.23046875 7790132.4296875 9.426, 802597.870117188 7790132.91015625 9.396, 802593.8203125 7790136.09960938 8.956, 802589.66015625 7790137.19042969 8.746, 802584.940429687 7790137.73046875 8.706, 802581.469726562 7790137.95996094 8.716, 802576.23046875 7790138.38964844 8.616, 802572.809570313 7790138.62011719 8.656, 802569.73046875 7790138.99023438 8.546, 802570.959960938 7790140.04980469 8.206, 802572.169921875 7790140.61035156 7.986, 802573.830078125 7790141.26953125 7.976, 802575.120117188 7790141.5703125 7.916, 802577.610351562 7790142.44042969 7.606, 802582.809570313 7790143.63964844 7.196, 802588.549804688 7790144.66992188 6.766, 802593.690429688 7790145.16992188 6.376, 802595.719726563 7790145.45019531 6.196, 802595.849609375 7790145.03027344 6.216, 802596.150390625 7790144.5703125 6.256, 802597.099609375 7790143.69042969 6.406, 802598.450195313 7790142.29980469 6.536, 802599.900390625 7790140.41015625 6.586, 802601.540039063 7790138.23046875 6.636, 802601.9296875 7790136.69042969 6.596, 802602.8203125 7790136.88964844 6.456, 802605.780273438 7790137.30957031 6.416, 802608.709960938 7790137.91992188 6.356, 802611.469726562 7790138.40039063 6.386, 802611.650390625 7790139.59960938 6.396, 802613.969726563 7790142.55957031 6.336)</t>
  </si>
  <si>
    <t>POLYGON Z ((802613.969726563 7790142.55957031 6.336, 802613.580078125 7790139.91015625 6.326, 802614 7790137.1796875 6.356, 802610.400390625 7790136.66992187 6.376, 802606.040039063 7790136.04980469 6.436, 802603.200195312 7790135.58984375 6.426, 802597.490234375 7790134.34960938 8.996, 802598.440429688 7790134.3203125 9.316, 802603.73046875 7790135.16992188 9.296, 802609.309570312 7790135.91992188 9.216, 802613.990234375 7790136.69042969 9.076, 802613.950195312 7790135.91992188 9.286, 802613.509765625 7790134.33984375 9.526, 802612.709960938 7790131.96972656 9.886, 802612.360351563 7790131.96972656 9.866, 802612.01953125 7790131 10.006, 802610.110351563 7790129.23046875 9.956, 802607 7790130.08007813 9.806, 802603.490234375 7790131.16015625 9.716, 802598.23046875 7790132.4296875 9.426, 802597.870117188 7790132.91015625 9.396, 802593.8203125 7790136.09960938 8.956, 802589.66015625 7790137.19042969 8.746, 802584.940429687 7790137.73046875 8.706, 802581.469726562 7790137.95996094 8.716, 802576.23046875 7790138.38964844 8.616, 802572.809570313 7790138.62011719 8.656, 802569.73046875 7790138.99023438 8.546, 802570.959960938 7790140.04980469 8.206, 802572.169921875 7790140.61035156 7.986, 802573.830078125 7790141.26953125 7.976, 802575.120117188 7790141.5703125 7.916, 802577.610351562 7790142.44042969 7.606, 802582.809570313 7790143.63964844 7.196, 802588.549804688 7790144.66992188 6.766, 802593.690429688 7790145.16992188 6.376, 802595.719726563 7790145.45019531 6.196, 802595.849609375 7790145.03027344 6.216, 802596.150390625 7790144.5703125 6.256, 802597.099609375 7790143.69042969 6.406, 802598.450195313 7790142.29980469 6.536, 802599.900390625 7790140.41015625 6.586, 802601.540039063 7790138.23046875 6.636, 802601.9296875 7790136.69042969 6.596, 802602.8203125 7790136.88964844 6.456, 802605.780273438 7790137.30957031 6.416, 802608.709960938 7790137.91992188 6.356, 802611.469726562 7790138.40039063 6.386, 802611.650390625 7790139.59960938 6.396, 802613.969726563 7790142.55957031 6.336))</t>
  </si>
  <si>
    <t>['EV6 S201D1 m12977-13068']</t>
  </si>
  <si>
    <t>LINESTRING Z (802598.809570313 7790154.36035156 6.576, 802598.099609375 7790155.26953125 6.306, 802597.219726563 7790155.4296875 6.116, 802594.330078125 7790156.15039062 5.726, 802591.950195312 7790155.12988281 6.056, 802590.009765625 7790154.12011719 6.446, 802589.209960937 7790154.51953125 6.266, 802588.030273438 7790154.61035156 6.136, 802584.809570313 7790153.87011719 6.436, 802581.76953125 7790153.11035156 6.696, 802578.459960937 7790152.5703125 7.026, 802574.759765625 7790152.05957031 7.416, 802571 7790150.99023438 7.796, 802568.080078125 7790150.25976563 8.036, 802565.469726563 7790149.78027344 7.986, 802562.740234375 7790149.08984375 7.916, 802561.080078125 7790149.0703125 7.676, 802554.650390625 7790143.19042969 7.896, 802553.330078125 7790141.86035156 7.946, 802552.990234375 7790140.5703125 8.096, 802551.66015625 7790139.51953125 8.206, 802550.540039063 7790138.99023438 8.236, 802550.309570313 7790140.94042969 7.866, 802548.059570313 7790141.01953125 7.866, 802543.08984375 7790139.28027344 7.936, 802538.599609375 7790139.26953125 7.896, 802534.1796875 7790139.54003906 7.746, 802531.450195313 7790139.73046875 7.636, 802526.650390625 7790138.58984375 7.576, 802522.549804687 7790138.15039063 7.456, 802520.450195313 7790137.99023437 7.456, 802518.349609375 7790138.34960938 7.216, 802515.580078125 7790137.91992188 7.206, 802515.080078125 7790137.04980469 7.286, 802510.030273438 7790135.70996094 7.096, 802505.629882813 7790134.48046875 6.956, 802501.099609375 7790133.16992188 6.796, 802502.080078125 7790131.36035156 7.326, 802508.48046875 7790132.78027344 7.496, 802516.740234375 7790134.41015625 7.766, 802525.129882813 7790135.41015625 7.966, 802528.139648438 7790135.8203125 8.066, 802533.4296875 7790136.37011719 8.126, 802538.830078125 7790136.70019531 8.256, 802542.290039063 7790137.01953125 8.246, 802546.030273437 7790137.03027344 8.386, 802550.580078125 7790137.45019531 8.456, 802552.450195313 7790137.99023437 8.456, 802554.209960937 7790139.13964844 8.516, 802556.51953125 7790141.30957031 8.656, 802558.400390625 7790143.11035156 8.736, 802561.219726563 7790145.28027344 8.716, 802563.900390625 7790146.94042969 8.746, 802566.759765625 7790147.87011719 8.756, 802570.849609375 7790148.95019531 8.606, 802574.530273438 7790149.99023438 8.326, 802578.669921875 7790150.80957031 7.956, 802583.139648438 7790151.62988281 7.516, 802587.580078125 7790152.33007813 7.156, 802591.610351563 7790153.05957031 6.886, 802595.5703125 7790153.91992188 6.696, 802598.809570313 7790154.36035156 6.576)</t>
  </si>
  <si>
    <t>POLYGON Z ((802598.809570313 7790154.36035156 6.576, 802598.099609375 7790155.26953125 6.306, 802597.219726563 7790155.4296875 6.116, 802594.330078125 7790156.15039062 5.726, 802591.950195312 7790155.12988281 6.056, 802590.009765625 7790154.12011719 6.446, 802589.209960937 7790154.51953125 6.266, 802588.030273438 7790154.61035156 6.136, 802584.809570313 7790153.87011719 6.436, 802581.76953125 7790153.11035156 6.696, 802578.459960937 7790152.5703125 7.026, 802574.759765625 7790152.05957031 7.416, 802571 7790150.99023438 7.796, 802568.080078125 7790150.25976563 8.036, 802565.469726563 7790149.78027344 7.986, 802562.740234375 7790149.08984375 7.916, 802561.080078125 7790149.0703125 7.676, 802554.650390625 7790143.19042969 7.896, 802553.330078125 7790141.86035156 7.946, 802552.990234375 7790140.5703125 8.096, 802551.66015625 7790139.51953125 8.206, 802550.540039063 7790138.99023438 8.236, 802550.309570313 7790140.94042969 7.866, 802548.059570313 7790141.01953125 7.866, 802543.08984375 7790139.28027344 7.936, 802538.599609375 7790139.26953125 7.896, 802534.1796875 7790139.54003906 7.746, 802531.450195313 7790139.73046875 7.636, 802526.650390625 7790138.58984375 7.576, 802522.549804687 7790138.15039063 7.456, 802520.450195313 7790137.99023437 7.456, 802518.349609375 7790138.34960938 7.216, 802515.580078125 7790137.91992188 7.206, 802515.080078125 7790137.04980469 7.286, 802510.030273438 7790135.70996094 7.096, 802505.629882813 7790134.48046875 6.956, 802501.099609375 7790133.16992188 6.796, 802502.080078125 7790131.36035156 7.326, 802508.48046875 7790132.78027344 7.496, 802516.740234375 7790134.41015625 7.766, 802525.129882813 7790135.41015625 7.966, 802528.139648438 7790135.8203125 8.066, 802533.4296875 7790136.37011719 8.126, 802538.830078125 7790136.70019531 8.256, 802542.290039063 7790137.01953125 8.246, 802546.030273437 7790137.03027344 8.386, 802550.580078125 7790137.45019531 8.456, 802552.450195313 7790137.99023437 8.456, 802554.209960937 7790139.13964844 8.516, 802556.51953125 7790141.30957031 8.656, 802558.400390625 7790143.11035156 8.736, 802561.219726563 7790145.28027344 8.716, 802563.900390625 7790146.94042969 8.746, 802566.759765625 7790147.87011719 8.756, 802570.849609375 7790148.95019531 8.606, 802574.530273438 7790149.99023438 8.326, 802578.669921875 7790150.80957031 7.956, 802583.139648438 7790151.62988281 7.516, 802587.580078125 7790152.33007813 7.156, 802591.610351563 7790153.05957031 6.886, 802595.5703125 7790153.91992188 6.696, 802598.809570313 7790154.36035156 6.576))</t>
  </si>
  <si>
    <t>2025-11-22T09:11:39Z</t>
  </si>
  <si>
    <t>['EV6 S74D1 m2715-2833']</t>
  </si>
  <si>
    <t>LINESTRING Z (268688.859985352 7034397.75 139.397, 268689.739990234 7034399.30004883 139.367, 268692.880004883 7034397.91992188 139.537, 268699.400024414 7034394.92993164 139.757, 268706.5 7034391.48999023 140.027, 268714.180053711 7034387.72998047 140.297, 268722.510009766 7034383.63989258 140.567, 268730.810058594 7034379.7199707 140.817, 268738.390014648 7034376.0300293 141.057, 268747.530029297 7034371.65991211 141.317, 268754.290039063 7034368.70996094 141.517, 268762.670043945 7034365.41992188 141.767, 268770.41003418 7034362.47998047 141.977, 268774.800048828 7034360.86010742 142.107, 268780.030029297 7034359.0300293 142.307, 268781.479980469 7034358.40991211 142.357, 268786.689941406 7034356.64990234 142.567, 268794.209960938 7034354.20996094 142.797, 268799.640014648 7034352.52001953 142.967, 268804.83996582 7034350.92993164 143.087, 268809.040039063 7034349.65991211 143.237, 268809.290039062 7034349.57006836 143.257, 268814.459960938 7034348.10009766 143.377, 268817.040039063 7034347.2800293 143.437, 268819.030029297 7034346.61010742 143.467, 268817.420043945 7034341.51000977 145.507, 268816.869995117 7034339.64990234 146.337, 268815.83996582 7034336.62988281 147.647, 268815.280029297 7034334.94995117 148.277, 268814.5 7034332.37988281 148.577, 268813.989990234 7034329.63989258 148.677, 268812.689941406 7034328.48999023 148.697, 268808.989990234 7034323.7800293 148.887, 268807.5 7034320.02001953 149.007, 268806.140014648 7034315.48999023 149.167, 268805.729980469 7034314.2800293 149.177, 268804.290039063 7034309.11010742 149.347, 268801.729980469 7034300.33007813 149.537, 268799.010009766 7034291.07006836 149.717, 268796.609985352 7034282.95996094 149.917, 268794.619995117 7034276.12988281 150.037, 268792.599975586 7034269.30004883 150.177, 268791.439941406 7034265.39990234 150.207, 268790.859985352 7034263.47998047 150.027, 268790.859985352 7034263.4699707 150.027, 268789.329956055 7034263.87011719 150.127, 268787.58996582 7034264.97998047 150.197, 268785.880004883 7034267.29003906 150.257, 268785.020019531 7034269.10009766 150.327, 268784.400024414 7034271.09008789 150.437, 268784.33996582 7034274.08007813 150.577, 268784.83996582 7034276.02001953 150.637, 268785.41003418 7034277.89990234 150.677, 268786.329956055 7034279.82006836 150.717, 268787.680053711 7034282.68994141 150.767, 268789.349975586 7034286.31005859 150.787, 268792.699951172 7034293.62011719 150.807, 268795.869995117 7034301 150.807, 268801.229980469 7034314.38989258 150.637, 268802.380004883 7034317.2199707 150.567, 268803.219970703 7034319.04003906 150.547, 268804.469970703 7034321.19995117 150.457, 268805.619995117 7034323.34008789 150.137, 268807.150024414 7034327.25 150.027, 268808.709960938 7034331.16992187 149.877, 268809.920043945 7034334.25 149.637, 268810.479980469 7034335.57006836 149.147, 268811.130004883 7034337.07006836 148.037, 268805.099975586 7034339.22998047 148.847, 268803.880004883 7034336.09008789 149.777, 268802 7034331.4699707 149.817, 268799.959960938 7034325.61010742 149.997, 268797.790039063 7034320.0300293 150.227, 268794.790039063 7034312.63989258 150.327, 268793.239990234 7034308.93994141 150.297, 268791.83996582 7034305.16992188 150.487, 268790.310058594 7034301.5 150.537, 268787.780029297 7034296.09008789 150.417, 268786.790039062 7034294.31005859 150.457, 268785.900024414 7034292.5300293 150.547, 268784.91003418 7034290.86010742 150.357, 268783.930053711 7034289.05004883 150.347, 268783.810058594 7034286.62988281 150.557, 268781.300048828 7034282.43994141 150.587, 268776.020019531 7034274.18994141 150.407, 268770.780029297 7034265.15991211 150.197, 268766.550048828 7034257.45996094 150.027, 268762.900024414 7034250.89990234 149.887, 268761.369995117 7034248.17993164 149.817, 268760.849975586 7034247.27001953 149.777, 268760.25 7034246.2199707 149.707, 268759.930053711 7034246.38989258 149.767, 268758.550048828 7034247.30004883 149.697, 268757.069946289 7034248.43994141 149.677, 268755.199951172 7034249.72998047 149.577, 268754.459960938 7034251.12988281 149.517, 268754.239990234 7034252.84008789 149.487, 268755.219970703 7034255.85009766 149.367, 268757.819946289 7034261.89990234 149.157, 268762.170043945 7034271.55004883 148.717, 268766.680053711 7034281 148.197, 268771.949951172 7034292.43994141 147.577, 268773.119995117 7034295.23999023 147.437, 268777.609985352 7034304.29003906 146.927, 268783.619995117 7034317.54003906 146.257, 268788.380004883 7034327.58007813 145.677, 268792.359985352 7034336.09008789 145.307, 268794.130004883 7034342.2800293 145.127, 268794.239990234 7034343.73999024 145.087, 268794.099975586 7034345.16992188 145.077, 268793.199951172 7034347.69995117 144.957, 268792.349975586 7034349.08007813 144.897, 268791.280029297 7034350.17993164 144.817, 268788.859985352 7034351.60009766 144.637, 268784.599975586 7034353.23999024 144.397, 268780.5 7034354.80004883 144.157, 268776.229980469 7034356.44995117 143.917, 268771.109985352 7034358.41992188 143.647, 268769.030029297 7034359.2199707 143.537, 268765.800048828 7034360.45996094 143.367, 268759.300048828 7034363.04003906 143.027, 268751.719970703 7034365.91992188 142.627, 268745.729980469 7034368.26000977 142.317, 268740.739990234 7034370.37011719 142.087, 268734.869995117 7034373.06005859 141.737, 268730.699951172 7034375.09008789 141.527, 268726.050048828 7034377.52001953 141.257, 268719.280029297 7034381.18994141 140.887, 268710.060058594 7034386.15991211 140.367, 268700.949951172 7034391.11010742 139.907, 268694.08996582 7034394.81005859 139.587, 268688.859985352 7034397.75 139.397)</t>
  </si>
  <si>
    <t>POLYGON Z ((268688.859985352 7034397.75 139.397, 268689.739990234 7034399.30004883 139.367, 268692.880004883 7034397.91992188 139.537, 268699.400024414 7034394.92993164 139.757, 268706.5 7034391.48999023 140.027, 268714.180053711 7034387.72998047 140.297, 268722.510009766 7034383.63989258 140.567, 268730.810058594 7034379.7199707 140.817, 268738.390014648 7034376.0300293 141.057, 268747.530029297 7034371.65991211 141.317, 268754.290039063 7034368.70996094 141.517, 268762.670043945 7034365.41992188 141.767, 268770.41003418 7034362.47998047 141.977, 268774.800048828 7034360.86010742 142.107, 268780.030029297 7034359.0300293 142.307, 268781.479980469 7034358.40991211 142.357, 268786.689941406 7034356.64990234 142.567, 268794.209960938 7034354.20996094 142.797, 268799.640014648 7034352.52001953 142.967, 268804.83996582 7034350.92993164 143.087, 268809.040039063 7034349.65991211 143.237, 268809.290039062 7034349.57006836 143.257, 268814.459960938 7034348.10009766 143.377, 268817.040039063 7034347.2800293 143.437, 268819.030029297 7034346.61010742 143.467, 268817.420043945 7034341.51000977 145.507, 268816.869995117 7034339.64990234 146.337, 268815.83996582 7034336.62988281 147.647, 268815.280029297 7034334.94995117 148.277, 268814.5 7034332.37988281 148.577, 268813.989990234 7034329.63989258 148.677, 268812.689941406 7034328.48999023 148.697, 268808.989990234 7034323.7800293 148.887, 268807.5 7034320.02001953 149.007, 268806.140014648 7034315.48999023 149.167, 268805.729980469 7034314.2800293 149.177, 268804.290039063 7034309.11010742 149.347, 268801.729980469 7034300.33007813 149.537, 268799.010009766 7034291.07006836 149.717, 268796.609985352 7034282.95996094 149.917, 268794.619995117 7034276.12988281 150.037, 268792.599975586 7034269.30004883 150.177, 268791.439941406 7034265.39990234 150.207, 268790.859985352 7034263.47998047 150.027, 268790.859985352 7034263.4699707 150.027, 268789.329956055 7034263.87011719 150.127, 268787.58996582 7034264.97998047 150.197, 268785.880004883 7034267.29003906 150.257, 268785.020019531 7034269.10009766 150.327, 268784.400024414 7034271.09008789 150.437, 268784.33996582 7034274.08007813 150.577, 268784.83996582 7034276.02001953 150.637, 268785.41003418 7034277.89990234 150.677, 268786.329956055 7034279.82006836 150.717, 268787.680053711 7034282.68994141 150.767, 268789.349975586 7034286.31005859 150.787, 268792.699951172 7034293.62011719 150.807, 268795.869995117 7034301 150.807, 268801.229980469 7034314.38989258 150.637, 268802.380004883 7034317.2199707 150.567, 268803.219970703 7034319.04003906 150.547, 268804.469970703 7034321.19995117 150.457, 268805.619995117 7034323.34008789 150.137, 268807.150024414 7034327.25 150.027, 268808.709960938 7034331.16992187 149.877, 268809.920043945 7034334.25 149.637, 268810.479980469 7034335.57006836 149.147, 268811.130004883 7034337.07006836 148.037, 268805.099975586 7034339.22998047 148.847, 268803.880004883 7034336.09008789 149.777, 268802 7034331.4699707 149.817, 268799.959960938 7034325.61010742 149.997, 268797.790039063 7034320.0300293 150.227, 268794.790039063 7034312.63989258 150.327, 268793.239990234 7034308.93994141 150.297, 268791.83996582 7034305.16992188 150.487, 268790.310058594 7034301.5 150.537, 268787.780029297 7034296.09008789 150.417, 268786.790039062 7034294.31005859 150.457, 268785.900024414 7034292.5300293 150.547, 268784.91003418 7034290.86010742 150.357, 268783.930053711 7034289.05004883 150.347, 268783.810058594 7034286.62988281 150.557, 268781.300048828 7034282.43994141 150.587, 268776.020019531 7034274.18994141 150.407, 268770.780029297 7034265.15991211 150.197, 268766.550048828 7034257.45996094 150.027, 268762.900024414 7034250.89990234 149.887, 268761.369995117 7034248.17993164 149.817, 268760.849975586 7034247.27001953 149.777, 268760.25 7034246.2199707 149.707, 268759.930053711 7034246.38989258 149.767, 268758.550048828 7034247.30004883 149.697, 268757.069946289 7034248.43994141 149.677, 268755.199951172 7034249.72998047 149.577, 268754.459960938 7034251.12988281 149.517, 268754.239990234 7034252.84008789 149.487, 268755.219970703 7034255.85009766 149.367, 268757.819946289 7034261.89990234 149.157, 268762.170043945 7034271.55004883 148.717, 268766.680053711 7034281 148.197, 268771.949951172 7034292.43994141 147.577, 268773.119995117 7034295.23999023 147.437, 268777.609985352 7034304.29003906 146.927, 268783.619995117 7034317.54003906 146.257, 268788.380004883 7034327.58007813 145.677, 268792.359985352 7034336.09008789 145.307, 268794.130004883 7034342.2800293 145.127, 268794.239990234 7034343.73999024 145.087, 268794.099975586 7034345.16992188 145.077, 268793.199951172 7034347.69995117 144.957, 268792.349975586 7034349.08007813 144.897, 268791.280029297 7034350.17993164 144.817, 268788.859985352 7034351.60009766 144.637, 268784.599975586 7034353.23999024 144.397, 268780.5 7034354.80004883 144.157, 268776.229980469 7034356.44995117 143.917, 268771.109985352 7034358.41992188 143.647, 268769.030029297 7034359.2199707 143.537, 268765.800048828 7034360.45996094 143.367, 268759.300048828 7034363.04003906 143.027, 268751.719970703 7034365.91992188 142.627, 268745.729980469 7034368.26000977 142.317, 268740.739990234 7034370.37011719 142.087, 268734.869995117 7034373.06005859 141.737, 268730.699951172 7034375.09008789 141.527, 268726.050048828 7034377.52001953 141.257, 268719.280029297 7034381.18994141 140.887, 268710.060058594 7034386.15991211 140.367, 268700.949951172 7034391.11010742 139.907, 268694.08996582 7034394.81005859 139.587, 268688.859985352 7034397.75 139.397))</t>
  </si>
  <si>
    <t>2014-04-22</t>
  </si>
  <si>
    <t>['EV6 S203D1 m3449-3825']</t>
  </si>
  <si>
    <t>LINESTRING Z (810082.850097656 7778436.88085937 71.84, 810082.570068359 7778437.8203125 72.04, 810083.530029297 7778438.83007813 72.45, 810084.919921875 7778438.9296875 72.44, 810086.399902344 7778439.18945313 72.36, 810087.760009766 7778440.66992188 72.28, 810088.550048828 7778442 72.33, 810089.040039063 7778443.2890625 72.19, 810089.479980469 7778444.69921875 71.95, 810089.419921875 7778446.44921875 71.56, 810089.469970703 7778448.22070313 70.92, 810089.070068359 7778450.00976563 70.42, 810089.010009766 7778451.48046875 69.77, 810089.5 7778453.08984375 69.11, 810090.229980469 7778453.890625 68.47, 810091.489990234 7778454.0703125 68.27, 810092.580078125 7778455.48046875 67.83, 810094.070068359 7778454.97070312 67.88, 810094.760009766 7778455.9609375 67.84, 810096.629882812 7778455.23046875 67.48, 810098.379882812 7778455.75976562 67.31, 810099.850097656 7778456.4296875 67.32, 810101.149902344 7778459.56054688 67.23, 810103.020019531 7778462.7890625 66.69, 810106.010009766 7778465.94921875 66.6, 810109.909912109 7778469.109375 66.54, 810114.100097656 7778469.1796875 66.82, 810117.449951172 7778471.41015625 66.78, 810119.310058594 7778472.55078125 66.77, 810119.260009766 7778475.25 66.55, 810117.090087891 7778478.41992188 66.12, 810116.050048828 7778482.15039063 65.92, 810114.209960937 7778483.80078125 65.77, 810113.449951172 7778486.109375 65.64, 810116.189941406 7778488.30078125 65.49, 810116.840087891 7778491.94921875 65.19, 810117.639892578 7778495.65039063 64.97, 810115.419921875 7778497.66015625 64.75, 810113.120117188 7778499.25 64.36, 810112.179931641 7778501.08984375 63.96, 810111.389892578 7778502.2109375 63.5, 810110.899902344 7778503.47070313 63.7, 810111.159912109 7778504.58007813 64.02, 810113.530029297 7778504.34960938 64.03, 810116.5 7778503.94921875 63.97, 810120.389892578 7778504.16015625 63.97, 810122.659912109 7778504.2109375 63.91, 810125.790039063 7778504.52929688 63.75, 810128.850097656 7778504.94921875 63.62, 810130.860107422 7778505.22070313 63.49, 810132.739990234 7778505.84960938 63.46, 810133.590087891 7778506.00976563 63.37, 810133.979980469 7778505.00976563 63.12, 810134.149902344 7778504.25976563 63.2, 810133.979980469 7778503.140625 63.58, 810131.770019531 7778502.859375 63.63, 810130.149902344 7778502.02929687 64.01, 810128.489990234 7778501.08984375 64.25, 810127.830078125 7778500.16015625 64.64, 810127.479980469 7778498.40039063 64.83, 810129.389892578 7778493.390625 65.77, 810128.320068359 7778491.75976563 65.84, 810127.489990234 7778489.47070313 66.08, 810128.199951172 7778486.41992188 66.37, 810129.810058594 7778482.33007813 66.65, 810129.939941406 7778480.7890625 66.73, 810130.699951172 7778479.26953125 66.76, 810131.830078125 7778478.0390625 67, 810134.080078125 7778478.5 66.95, 810135.209960938 7778479.75 66.99, 810138.840087891 7778481.47070313 67.14, 810142.219970703 7778483.52929688 66.97, 810146.899902344 7778487 66.84, 810151.050048828 7778490.23046875 66.64, 810155.280029297 7778493.4296875 66.31, 810158.360107422 7778495.01953125 66.34, 810160.830078125 7778497.16992188 66.18, 810164.429931641 7778499.55078125 66.23, 810168.199951172 7778501.58007813 66.29, 810172.120117188 7778502.69921875 66.33, 810175.149902344 7778503.56054688 66.43, 810178.639892578 7778504.58007813 66.48, 810182.139892578 7778505.5 66.61, 810187.030029297 7778506.83007813 66.92, 810191.310058594 7778508.19921875 66.9, 810194.129882813 7778509.06054688 67.08, 810197.290039062 7778510.77929688 67.11, 810200.260009766 7778512.09960938 67, 810203.330078125 7778512.93945313 67.04, 810206.580078125 7778515.359375 67.06, 810210.760009766 7778516.49023438 67.53, 810213.780029297 7778518.97070313 67.19, 810215.929931641 7778521.3203125 66.87, 810217.580078125 7778524.16992187 66.43, 810218.060058594 7778526.359375 66.01, 810216.100097656 7778529.19921875 65.16, 810214.5 7778531.15039063 64.42, 810214.060058594 7778532.98046875 64.01, 810214 7778534.73046875 63.42, 810215.179931641 7778534.58007812 63.9, 810217.560058594 7778534.98046875 64.07, 810219.350097656 7778542.72070313 60.09, 810221.290039063 7778546.01953125 59.09, 810222.280029297 7778547.2109375 58.49, 810224.189941406 7778549.25976563 57.98, 810225.159912109 7778551.75 57, 810227.699951172 7778552.0703125 57.71, 810229.050048828 7778551.75 58.46, 810231.219970703 7778551.41992188 59.6, 810232.030029297 7778551.09960938 59.97, 810234.429931641 7778550.93945313 61.07, 810237.379882813 7778551.66015625 61.37, 810238.280029297 7778551.25976563 61.57, 810239.060058594 7778550.90039063 61.97, 810239.830078125 7778550.88085937 61.97, 810240.209960938 7778552.91015625 61.27, 810240.739990234 7778554.49023438 60.77, 810241.510009766 7778556.84960938 59.9, 810242.629882813 7778558.1796875 59.54, 810243.090087891 7778559.8203125 58.86, 810243.030029297 7778561.25976563 58.01, 810243.100097656 7778562.58984375 57.61, 810244.75 7778563.83007813 57.68, 810246.520019531 7778565.140625 57.77, 810248.199951172 7778566.91992188 57.43, 810249.520019531 7778568.609375 56.89, 810251.030029297 7778569.98046875 56.84, 810252.090087891 7778572.13085938 55.95, 810252.280029297 7778573.08984375 55.47, 810253.780029297 7778576.08007813 54.41, 810253.850097656 7778576.22070313 54.46, 810252.899902344 7778576.84960938 53.77, 810255.129882812 7778579.11914063 53.7, 810257.850097656 7778582.5703125 53.39, 810260.659912109 7778586.36914063 52.96, 810261.969970703 7778587.58007812 53.13, 810262.159912109 7778587.11914063 53.48, 810264.649902344 7778584.24023438 55.9, 810265.919921875 7778583.52929687 57.02, 810266.449951172 7778582.6796875 57.85, 810267.510009766 7778581.76953125 58.91, 810268.189941406 7778581.66015625 59.54, 810269.159912109 7778581.58007813 60.33, 810269.820068359 7778582.22070313 60.87, 810270.689941406 7778583.75976563 61.11, 810271.870117188 7778586.0703125 60.97, 810272.810058594 7778587.72070313 61.18, 810274.120117188 7778589.65039063 61.47, 810274.879882813 7778590.84960938 61.61, 810276.739990234 7778590.25976563 62.57, 810278.100097656 7778589.31054688 63.45, 810278.550048828 7778588.30078125 64.22, 810279.219970703 7778587.6796875 65.16, 810280.419921875 7778588 65.82, 810280.739990234 7778588.31054688 66.61, 810281.739990234 7778590.00976563 67.1, 810283.449951172 7778590.58984375 67.55, 810284 7778592.9609375 67.34, 810284.780029297 7778594.640625 67.55, 810285.399902344 7778597.73046875 67.43, 810285.889892578 7778598.9296875 67.73, 810287.550048828 7778598.05078125 68.54, 810288.949951172 7778597.48046875 69.4, 810291.510009766 7778598.390625 70.67, 810295.010009766 7778599.56054688 73.89, 810295.689941406 7778599.66992188 74.69, 810296.449951172 7778603.4609375 74.8, 810296.879882813 7778608.109375 74.54, 810297.189941406 7778611.1796875 74.61, 810297.689941406 7778613.8203125 74.51, 810297.610107422 7778615.01953125 74.63, 810298.350097656 7778618.7890625 74.43, 810299.510009766 7778620 74.47, 810301.760009766 7778622.09960938 74.51, 810305.229980469 7778623.359375 74.47, 810308.949951172 7778625.36914063 74.52, 810312.629882813 7778627.609375 74.75, 810315.090087891 7778628.41992188 74.7, 810317.120117188 7778629.2109375 74.53, 810317.590087891 7778631.38085937 73.48, 810314.429931641 7778630.77929688 72.5, 810309.760009766 7778630.41015625 70.25, 810308.080078125 7778629.5 70.07, 810305.239990234 7778628.75 68.77, 810304.860107422 7778629.55078125 68.19, 810305.469970703 7778632.7890625 66.67, 810304.169921875 7778633.44921875 65.34, 810302.040039062 7778633.74023438 63.7, 810300.270019531 7778634.3203125 62.15, 810298.560058594 7778635.41015625 60.87, 810296.780029297 7778634.84960938 59.65, 810295.25 7778634.55078125 58.63, 810294.570068359 7778632.73046875 58.49, 810291.850097656 7778634.3203125 56.14, 810290.540039063 7778633.390625 55.57, 810288.010009766 7778631.50976563 54.73, 810285.580078125 7778629.7109375 54.1, 810283.939941406 7778628.77929688 53.42, 810281.919921875 7778627.0703125 53.06, 810281.090087891 7778626.77929688 52.77, 810278.350097656 7778624.68945313 50.91, 810277.699951172 7778624.4609375 50.56, 810277.409912109 7778624.2890625 50.46, 810277.080078125 7778624.18945313 50.19, 810277 7778624.91992188 49.92, 810277.139892578 7778628.88085938 49.49, 810277.629882813 7778632.73046875 49.29, 810278.449951172 7778637.68945313 48.83, 810278.909912109 7778642.81054688 48.33, 810279.280029297 7778647.05078125 48.07, 810279.790039063 7778651.76953125 47.57, 810280.169921875 7778656.08984375 47.1, 810280.169921875 7778656.41992188 47.26, 810280.870117188 7778656.23046875 48.01, 810287.350097656 7778653.80078125 53.26, 810289.919921875 7778655.48046875 54.34, 810290.699951172 7778657.22070313 54.49, 810292.25 7778660.52929688 54.53, 810294.530029297 7778660.49023438 55.48, 810296.020019531 7778660.19921875 56.12, 810297.850097656 7778659.91015625 56.65, 810299.310058594 7778658.66992188 57.87, 810302.840087891 7778657.97070312 60.32, 810304.669921875 7778659.01953125 61.41, 810306.689941406 7778659.38085938 61.85, 810308.050048828 7778658.5703125 62.58, 810310.219970703 7778657.66992188 64.12, 810310.979980469 7778657.44921875 64.18, 810311.239990234 7778656.93945312 64.54, 810311.610107422 7778655.76953125 65.29, 810312.179931641 7778655.65039063 65.6, 810313.810058594 7778655.63085938 66.36, 810314.989990234 7778655.05078125 66.98, 810315.929931641 7778654.41992188 67.77, 810316.280029297 7778653.859375 67.92, 810317.350097656 7778653.91992187 68.79, 810319 7778655.40039063 69.31, 810321.290039062 7778655.25976562 70.25, 810322.610107422 7778655.59960938 70.71, 810323.790039063 7778656.8203125 71.31, 810324.820068359 7778658.5390625 72.26, 810324.919921875 7778660.7109375 73.08, 810326.280029297 7778662.16015625 74.14, 810328.510009766 7778663.97070313 75, 810329.620117188 7778665.9296875 76.04, 810330.550048828 7778667.01953125 77.05, 810330.820068359 7778667.859375 77.45, 810331.5 7778669.68945313 78.06, 810330.570068359 7778672.19921875 77.98, 810331.100097656 7778672.77929688 78.09, 810332.340087891 7778672.890625 78.67, 810333.699951172 7778673.81054688 79.39, 810335.709960938 7778672.93945313 79.96, 810336.399902344 7778671.66992188 79.56, 810336.080078125 7778670.16992188 78.81, 810337.219970703 7778669.18945313 78.56, 810337.179931641 7778667.109375 77.64, 810337.209960937 7778665.43945313 76.99, 810337.070068359 7778664.41015625 76.41, 810337.5 7778664.109375 76.13, 810337.860107422 7778665.76953125 76.26, 810338.090087891 7778667.55078125 76.51, 810338.820068359 7778669.66015625 76.58, 810339.310058594 7778670.81054688 76.65, 810340.030029297 7778671.98046875 76.69, 810340.5 7778673.69921875 76.83, 810341.290039063 7778676.15039063 77.09, 810342.290039062 7778678.15039063 77.07, 810342.850097656 7778679.56054688 77.3, 810344.320068359 7778680.25 77.03, 810345.139892578 7778679.81054688 76.36, 810345.620117187 7778679.52929688 76.15, 810346.020019531 7778679.390625 76.32, 810345.929931641 7778679.01953125 76, 810347.110107422 7778678.48046875 76.23, 810347.209960938 7778677.86914063 76.09, 810347.570068359 7778676.5703125 76.07, 810346.370117188 7778673.52929688 75.93, 810345.989990234 7778672.19921875 76.1, 810345.060058594 7778670.38085938 75.93, 810344.439941406 7778668.98046875 75.84, 810345.110107422 7778668.97070313 76.05, 810343.310058594 7778664.890625 75.99, 810339.909912109 7778657.59960938 75.87, 810336.409912109 7778650.4609375 75.8, 810331.830078125 7778641.55078125 75.71, 810327.969970703 7778634.609375 75.66, 810323.919921875 7778627.59960938 75.55, 810318.510009766 7778618.63085938 75.46, 810313.159912109 7778610.08007813 75.33, 810307.629882813 7778601.76953125 75.21, 810301.909912109 7778593.56054688 75.06, 810295.669921875 7778585.08007813 74.92, 810289.860107422 7778577.56054688 74.79, 810283.580078125 7778569.72070313 74.7, 810277.169921875 7778562.0390625 74.58, 810273.179931641 7778557.49023438 74.43, 810269.169921875 7778553.02929688 74.36, 810265.179931641 7778548.6796875 74.29, 810259.629882813 7778542.97070313 74.17, 810253.959960937 7778537.25 74.08, 810248.239990234 7778531.66992188 73.98, 810242.320068359 7778526.22070313 73.84, 810236.280029297 7778520.77929688 73.73, 810228.840087891 7778514.33984375 73.58, 810221.070068359 7778507.9609375 73.42, 810214.810058594 7778502.98046875 73.33, 810206.820068359 7778496.88085938 73.21, 810200.370117188 7778492.15039063 73.11, 810193.729980469 7778487.609375 73.01, 810185.489990234 7778482.08007813 72.89, 810177.050048828 7778476.72070313 72.74, 810168.510009766 7778471.5390625 72.61, 810159.830078125 7778466.5703125 72.47, 810150.979980469 7778461.75976563 72.34, 810142.060058594 7778457.23046875 72.23, 810133.159912109 7778452.890625 72.09, 810125.739990234 7778449.5 72, 810118.449951172 7778446.33984375 71.88, 810111.070068359 7778443.27929688 71.79, 810105.520019531 7778441.08984375 71.69, 810099.830078125 7778438.88085938 71.63, 810096.090087891 7778437.61914063 71.54, 810093.370117188 7778436.65039063 71.49, 810093.389892578 7778436.75976563 71.46, 810093.429931641 7778436.97070313 71.44, 810093.290039063 7778437.15039063 71.42, 810092.939941406 7778437.11914063 71.51, 810092.290039063 7778436.86914063 71.57, 810089.209960937 7778435.6796875 71.57, 810086.689941406 7778434.74023438 71.69, 810086.580078125 7778434.76953125 71.57, 810084.709960937 7778435.40039063 71.57, 810083.689941406 7778435.41015625 71.75, 810083.389892578 7778436.390625 71.54, 810083.070068359 7778436.38085938 71.67, 810082.850097656 7778436.88085937 71.84)</t>
  </si>
  <si>
    <t>POLYGON Z ((810082.850097656 7778436.88085937 71.84, 810082.570068359 7778437.8203125 72.04, 810083.530029297 7778438.83007813 72.45, 810084.919921875 7778438.9296875 72.44, 810086.399902344 7778439.18945313 72.36, 810087.760009766 7778440.66992188 72.28, 810088.550048828 7778442 72.33, 810089.040039063 7778443.2890625 72.19, 810089.479980469 7778444.69921875 71.95, 810089.419921875 7778446.44921875 71.56, 810089.469970703 7778448.22070313 70.92, 810089.070068359 7778450.00976563 70.42, 810089.010009766 7778451.48046875 69.77, 810089.5 7778453.08984375 69.11, 810090.229980469 7778453.890625 68.47, 810091.489990234 7778454.0703125 68.27, 810092.580078125 7778455.48046875 67.83, 810094.070068359 7778454.97070312 67.88, 810094.760009766 7778455.9609375 67.84, 810096.629882812 7778455.23046875 67.48, 810098.379882812 7778455.75976562 67.31, 810099.850097656 7778456.4296875 67.32, 810101.149902344 7778459.56054688 67.23, 810103.020019531 7778462.7890625 66.69, 810106.010009766 7778465.94921875 66.6, 810109.909912109 7778469.109375 66.54, 810114.100097656 7778469.1796875 66.82, 810117.449951172 7778471.41015625 66.78, 810119.310058594 7778472.55078125 66.77, 810119.260009766 7778475.25 66.55, 810117.090087891 7778478.41992188 66.12, 810116.050048828 7778482.15039063 65.92, 810114.209960937 7778483.80078125 65.77, 810113.449951172 7778486.109375 65.64, 810116.189941406 7778488.30078125 65.49, 810116.840087891 7778491.94921875 65.19, 810117.639892578 7778495.65039063 64.97, 810115.419921875 7778497.66015625 64.75, 810113.120117188 7778499.25 64.36, 810112.179931641 7778501.08984375 63.96, 810111.389892578 7778502.2109375 63.5, 810110.899902344 7778503.47070313 63.7, 810111.159912109 7778504.58007813 64.02, 810113.530029297 7778504.34960938 64.03, 810116.5 7778503.94921875 63.97, 810120.389892578 7778504.16015625 63.97, 810122.659912109 7778504.2109375 63.91, 810125.790039063 7778504.52929688 63.75, 810128.850097656 7778504.94921875 63.62, 810130.860107422 7778505.22070313 63.49, 810132.739990234 7778505.84960938 63.46, 810133.590087891 7778506.00976563 63.37, 810133.979980469 7778505.00976563 63.12, 810134.149902344 7778504.25976563 63.2, 810133.979980469 7778503.140625 63.58, 810131.770019531 7778502.859375 63.63, 810130.149902344 7778502.02929687 64.01, 810128.489990234 7778501.08984375 64.25, 810127.830078125 7778500.16015625 64.64, 810127.479980469 7778498.40039063 64.83, 810129.389892578 7778493.390625 65.77, 810128.320068359 7778491.75976563 65.84, 810127.489990234 7778489.47070313 66.08, 810128.199951172 7778486.41992188 66.37, 810129.810058594 7778482.33007813 66.65, 810129.939941406 7778480.7890625 66.73, 810130.699951172 7778479.26953125 66.76, 810131.830078125 7778478.0390625 67, 810134.080078125 7778478.5 66.95, 810135.209960938 7778479.75 66.99, 810138.840087891 7778481.47070313 67.14, 810142.219970703 7778483.52929688 66.97, 810146.899902344 7778487 66.84, 810151.050048828 7778490.23046875 66.64, 810155.280029297 7778493.4296875 66.31, 810158.360107422 7778495.01953125 66.34, 810160.830078125 7778497.16992188 66.18, 810164.429931641 7778499.55078125 66.23, 810168.199951172 7778501.58007813 66.29, 810172.120117188 7778502.69921875 66.33, 810175.149902344 7778503.56054688 66.43, 810178.639892578 7778504.58007813 66.48, 810182.139892578 7778505.5 66.61, 810187.030029297 7778506.83007813 66.92, 810191.310058594 7778508.19921875 66.9, 810194.129882813 7778509.06054688 67.08, 810197.290039062 7778510.77929688 67.11, 810200.260009766 7778512.09960938 67, 810203.330078125 7778512.93945313 67.04, 810206.580078125 7778515.359375 67.06, 810210.760009766 7778516.49023438 67.53, 810213.780029297 7778518.97070313 67.19, 810215.929931641 7778521.3203125 66.87, 810217.580078125 7778524.16992187 66.43, 810218.060058594 7778526.359375 66.01, 810216.100097656 7778529.19921875 65.16, 810214.5 7778531.15039063 64.42, 810214.060058594 7778532.98046875 64.01, 810214 7778534.73046875 63.42, 810215.179931641 7778534.58007812 63.9, 810217.560058594 7778534.98046875 64.07, 810219.350097656 7778542.72070313 60.09, 810221.290039063 7778546.01953125 59.09, 810222.280029297 7778547.2109375 58.49, 810224.189941406 7778549.25976563 57.98, 810225.159912109 7778551.75 57, 810227.699951172 7778552.0703125 57.71, 810229.050048828 7778551.75 58.46, 810231.219970703 7778551.41992188 59.6, 810232.030029297 7778551.09960938 59.97, 810234.429931641 7778550.93945313 61.07, 810237.379882813 7778551.66015625 61.37, 810238.280029297 7778551.25976563 61.57, 810239.060058594 7778550.90039063 61.97, 810239.830078125 7778550.88085937 61.97, 810240.209960938 7778552.91015625 61.27, 810240.739990234 7778554.49023438 60.77, 810241.510009766 7778556.84960938 59.9, 810242.629882813 7778558.1796875 59.54, 810243.090087891 7778559.8203125 58.86, 810243.030029297 7778561.25976563 58.01, 810243.100097656 7778562.58984375 57.61, 810244.75 7778563.83007813 57.68, 810246.520019531 7778565.140625 57.77, 810248.199951172 7778566.91992188 57.43, 810249.520019531 7778568.609375 56.89, 810251.030029297 7778569.98046875 56.84, 810252.090087891 7778572.13085938 55.95, 810252.280029297 7778573.08984375 55.47, 810253.780029297 7778576.08007813 54.41, 810253.850097656 7778576.22070313 54.46, 810252.899902344 7778576.84960938 53.77, 810255.129882812 7778579.11914063 53.7, 810257.850097656 7778582.5703125 53.39, 810260.659912109 7778586.36914063 52.96, 810261.969970703 7778587.58007812 53.13, 810262.159912109 7778587.11914063 53.48, 810264.649902344 7778584.24023438 55.9, 810265.919921875 7778583.52929687 57.02, 810266.449951172 7778582.6796875 57.85, 810267.510009766 7778581.76953125 58.91, 810268.189941406 7778581.66015625 59.54, 810269.159912109 7778581.58007813 60.33, 810269.820068359 7778582.22070313 60.87, 810270.689941406 7778583.75976563 61.11, 810271.870117188 7778586.0703125 60.97, 810272.810058594 7778587.72070313 61.18, 810274.120117188 7778589.65039063 61.47, 810274.879882813 7778590.84960938 61.61, 810276.739990234 7778590.25976563 62.57, 810278.100097656 7778589.31054688 63.45, 810278.550048828 7778588.30078125 64.22, 810279.219970703 7778587.6796875 65.16, 810280.419921875 7778588 65.82, 810280.739990234 7778588.31054688 66.61, 810281.739990234 7778590.00976563 67.1, 810283.449951172 7778590.58984375 67.55, 810284 7778592.9609375 67.34, 810284.780029297 7778594.640625 67.55, 810285.399902344 7778597.73046875 67.43, 810285.889892578 7778598.9296875 67.73, 810287.550048828 7778598.05078125 68.54, 810288.949951172 7778597.48046875 69.4, 810291.510009766 7778598.390625 70.67, 810295.010009766 7778599.56054688 73.89, 810295.689941406 7778599.66992188 74.69, 810296.449951172 7778603.4609375 74.8, 810296.879882813 7778608.109375 74.54, 810297.189941406 7778611.1796875 74.61, 810297.689941406 7778613.8203125 74.51, 810297.610107422 7778615.01953125 74.63, 810298.350097656 7778618.7890625 74.43, 810299.510009766 7778620 74.47, 810301.760009766 7778622.09960938 74.51, 810305.229980469 7778623.359375 74.47, 810308.949951172 7778625.36914063 74.52, 810312.629882813 7778627.609375 74.75, 810315.090087891 7778628.41992188 74.7, 810317.120117188 7778629.2109375 74.53, 810317.590087891 7778631.38085937 73.48, 810314.429931641 7778630.77929688 72.5, 810309.760009766 7778630.41015625 70.25, 810308.080078125 7778629.5 70.07, 810305.239990234 7778628.75 68.77, 810304.860107422 7778629.55078125 68.19, 810305.469970703 7778632.7890625 66.67, 810304.169921875 7778633.44921875 65.34, 810302.040039062 7778633.74023438 63.7, 810300.270019531 7778634.3203125 62.15, 810298.560058594 7778635.41015625 60.87, 810296.780029297 7778634.84960938 59.65, 810295.25 7778634.55078125 58.63, 810294.570068359 7778632.73046875 58.49, 810291.850097656 7778634.3203125 56.14, 810290.540039063 7778633.390625 55.57, 810288.010009766 7778631.50976563 54.73, 810285.580078125 7778629.7109375 54.1, 810283.939941406 7778628.77929688 53.42, 810281.919921875 7778627.0703125 53.06, 810281.090087891 7778626.77929688 52.77, 810278.350097656 7778624.68945313 50.91, 810277.699951172 7778624.4609375 50.56, 810277.409912109 7778624.2890625 50.46, 810277.080078125 7778624.18945313 50.19, 810277 7778624.91992188 49.92, 810277.139892578 7778628.88085938 49.49, 810277.629882813 7778632.73046875 49.29, 810278.449951172 7778637.68945313 48.83, 810278.909912109 7778642.81054688 48.33, 810279.280029297 7778647.05078125 48.07, 810279.790039063 7778651.76953125 47.57, 810280.169921875 7778656.08984375 47.1, 810280.169921875 7778656.41992188 47.26, 810280.870117188 7778656.23046875 48.01, 810287.350097656 7778653.80078125 53.26, 810289.919921875 7778655.48046875 54.34, 810290.699951172 7778657.22070313 54.49, 810292.25 7778660.52929688 54.53, 810294.530029297 7778660.49023438 55.48, 810296.020019531 7778660.19921875 56.12, 810297.850097656 7778659.91015625 56.65, 810299.310058594 7778658.66992188 57.87, 810302.840087891 7778657.97070312 60.32, 810304.669921875 7778659.01953125 61.41, 810306.689941406 7778659.38085938 61.85, 810308.050048828 7778658.5703125 62.58, 810310.219970703 7778657.66992188 64.12, 810310.979980469 7778657.44921875 64.18, 810311.239990234 7778656.93945312 64.54, 810311.610107422 7778655.76953125 65.29, 810312.179931641 7778655.65039063 65.6, 810313.810058594 7778655.63085938 66.36, 810314.989990234 7778655.05078125 66.98, 810315.929931641 7778654.41992188 67.77, 810316.280029297 7778653.859375 67.92, 810317.350097656 7778653.91992187 68.79, 810319 7778655.40039063 69.31, 810321.290039062 7778655.25976562 70.25, 810322.610107422 7778655.59960938 70.71, 810323.790039063 7778656.8203125 71.31, 810324.820068359 7778658.5390625 72.26, 810324.919921875 7778660.7109375 73.08, 810326.280029297 7778662.16015625 74.14, 810328.510009766 7778663.97070313 75, 810329.620117188 7778665.9296875 76.04, 810330.550048828 7778667.01953125 77.05, 810330.820068359 7778667.859375 77.45, 810331.5 7778669.68945313 78.06, 810330.570068359 7778672.19921875 77.98, 810331.100097656 7778672.77929688 78.09, 810332.340087891 7778672.890625 78.67, 810333.699951172 7778673.81054688 79.39, 810335.709960938 7778672.93945313 79.96, 810336.399902344 7778671.66992188 79.56, 810336.080078125 7778670.16992188 78.81, 810337.219970703 7778669.18945313 78.56, 810337.179931641 7778667.109375 77.64, 810337.209960937 7778665.43945313 76.99, 810337.070068359 7778664.41015625 76.41, 810337.5 7778664.109375 76.13, 810337.860107422 7778665.76953125 76.26, 810338.090087891 7778667.55078125 76.51, 810338.820068359 7778669.66015625 76.58, 810339.310058594 7778670.81054688 76.65, 810340.030029297 7778671.98046875 76.69, 810340.5 7778673.69921875 76.83, 810341.290039063 7778676.15039063 77.09, 810342.290039062 7778678.15039063 77.07, 810342.850097656 7778679.56054688 77.3, 810344.320068359 7778680.25 77.03, 810345.139892578 7778679.81054688 76.36, 810345.620117187 7778679.52929688 76.15, 810346.020019531 7778679.390625 76.32, 810345.929931641 7778679.01953125 76, 810347.110107422 7778678.48046875 76.23, 810347.209960938 7778677.86914063 76.09, 810347.570068359 7778676.5703125 76.07, 810346.370117188 7778673.52929688 75.93, 810345.989990234 7778672.19921875 76.1, 810345.060058594 7778670.38085938 75.93, 810344.439941406 7778668.98046875 75.84, 810345.110107422 7778668.97070313 76.05, 810343.310058594 7778664.890625 75.99, 810339.909912109 7778657.59960938 75.87, 810336.409912109 7778650.4609375 75.8, 810331.830078125 7778641.55078125 75.71, 810327.969970703 7778634.609375 75.66, 810323.919921875 7778627.59960938 75.55, 810318.510009766 7778618.63085938 75.46, 810313.159912109 7778610.08007813 75.33, 810307.629882813 7778601.76953125 75.21, 810301.909912109 7778593.56054688 75.06, 810295.669921875 7778585.08007813 74.92, 810289.860107422 7778577.56054688 74.79, 810283.580078125 7778569.72070313 74.7, 810277.169921875 7778562.0390625 74.58, 810273.179931641 7778557.49023438 74.43, 810269.169921875 7778553.02929688 74.36, 810265.179931641 7778548.6796875 74.29, 810259.629882813 7778542.97070313 74.17, 810253.959960937 7778537.25 74.08, 810248.239990234 7778531.66992188 73.98, 810242.320068359 7778526.22070313 73.84, 810236.280029297 7778520.77929688 73.73, 810228.840087891 7778514.33984375 73.58, 810221.070068359 7778507.9609375 73.42, 810214.810058594 7778502.98046875 73.33, 810206.820068359 7778496.88085938 73.21, 810200.370117188 7778492.15039063 73.11, 810193.729980469 7778487.609375 73.01, 810185.489990234 7778482.08007813 72.89, 810177.050048828 7778476.72070313 72.74, 810168.510009766 7778471.5390625 72.61, 810159.830078125 7778466.5703125 72.47, 810150.979980469 7778461.75976563 72.34, 810142.060058594 7778457.23046875 72.23, 810133.159912109 7778452.890625 72.09, 810125.739990234 7778449.5 72, 810118.449951172 7778446.33984375 71.88, 810111.070068359 7778443.27929688 71.79, 810105.520019531 7778441.08984375 71.69, 810099.830078125 7778438.88085938 71.63, 810096.090087891 7778437.61914063 71.54, 810093.370117188 7778436.65039063 71.49, 810093.389892578 7778436.75976563 71.46, 810093.429931641 7778436.97070313 71.44, 810093.290039063 7778437.15039063 71.42, 810092.939941406 7778437.11914063 71.51, 810092.290039063 7778436.86914063 71.57, 810089.209960937 7778435.6796875 71.57, 810086.689941406 7778434.74023438 71.69, 810086.580078125 7778434.76953125 71.57, 810084.709960937 7778435.40039063 71.57, 810083.689941406 7778435.41015625 71.75, 810083.389892578 7778436.390625 71.54, 810083.070068359 7778436.38085938 71.67, 810082.850097656 7778436.88085937 71.84))</t>
  </si>
  <si>
    <t>['EV6 S203D1 m2884-3118']</t>
  </si>
  <si>
    <t>LINESTRING Z (809753.959960938 7778428.640625 59.09, 809749.669921875 7778425.890625 59.47, 809749.280029297 7778426.09960938 59.56, 809749.570068359 7778426.7890625 59.64, 809749.629882812 7778427 59.62, 809747.679931641 7778428.5390625 60.87, 809746.260009766 7778429.109375 61.42, 809745.129882812 7778430.44921875 62.07, 809743.310058594 7778430.86914063 63.17, 809742.120117187 7778431.69921875 63.7, 809739.639892578 7778432.49023438 64.2, 809736.919921875 7778433.66992187 64.31, 809733.199951172 7778434.109375 64.89, 809730.800048828 7778434.02929687 65.6, 809729.060058594 7778433.00976563 66.19, 809726.280029297 7778433.19921875 66.59, 809724.050048828 7778432.22070313 66.7, 809723.439941406 7778434.05078125 66.88, 809722.899902344 7778438.0390625 66.91, 809722.179931641 7778442.48046875 66.89, 809718.550048828 7778445.890625 66.87, 809715.540039062 7778445.25 66.86, 809711.100097656 7778443.63085938 66.57, 809709.040039063 7778445.09960938 65.92, 809709.149902344 7778446.16015625 65.78, 809709.060058594 7778446.58984375 65.65, 809708.209960937 7778447.61914063 64.77, 809706.179931641 7778447.73046875 64.22, 809702.399902344 7778447.640625 63.63, 809698.219970703 7778447.56054688 63.58, 809695.139892578 7778447.52929688 63.41, 809692.659912109 7778446.61914062 63.54, 809690.290039063 7778444.63085937 63.55, 809688.050048828 7778443.38085938 63.49, 809685.169921875 7778444.0703125 63.18, 809683.350097656 7778445.25 63.46, 809681.189941406 7778445.00976563 63.78, 809679.199951172 7778444.609375 64.06, 809678.090087891 7778443.3203125 64.6, 809676.320068359 7778441.66015625 65.43, 809673.610107422 7778440.81054688 66.53, 809671.5 7778439.9296875 67, 809667.659912109 7778441.09960938 66.97, 809662.989990234 7778441.93945313 66.85, 809661.899902344 7778440.91015625 66.8, 809660.840087891 7778441.80078125 66.75, 809660.560058594 7778442.02929688 66.79, 809657.25 7778442.56054688 66.42, 809654.159912109 7778443.890625 66.15, 809651.409912109 7778445.61914063 65.77, 809648.800048828 7778448.30078125 64.97, 809645.959960937 7778450.63085938 64.77, 809643.110107422 7778453.7109375 64.61, 809639.770019531 7778456.48046875 64.68, 809636.840087891 7778459.640625 64.68, 809635.75 7778462.68945313 64.34, 809633.070068359 7778466.65039062 64.11, 809630.290039063 7778470.30078125 64.21, 809628.530029297 7778473.27929688 63.95, 809625.129882812 7778475.609375 64.71, 809620.919921875 7778479.16015625 64.63, 809617.479980469 7778477.4609375 65.56, 809613.280029297 7778477.9609375 66.39, 809612.830078125 7778477.56054688 66.32, 809611.310058594 7778479.68945313 66.34, 809610.209960938 7778480.55078125 66.39, 809608 7778483.50976563 66.42, 809607.459960937 7778484.16015625 66.42, 809606.649902344 7778484.55078125 66.43, 809605.729980469 7778484.5703125 66.43, 809603.989990234 7778483.97070313 66.43, 809601.419921875 7778482.50976563 66.36, 809599.899902344 7778481.48046875 66.29, 809599.530029297 7778481.02929688 66.26, 809599.219970703 7778480.3203125 66.25, 809599.139892578 7778479.58007813 66.25, 809599.280029297 7778478.90039063 66.24, 809598.919921875 7778479.49023438 66.19, 809597.75 7778479.66015625 65.83, 809596.870117188 7778480.18945313 65.89, 809594.959960938 7778481.69921875 65.87, 809594.729980469 7778482.99023438 65.78, 809593.810058594 7778486.00976563 65.55, 809591.439941406 7778486.6796875 65.62, 809588.800048828 7778489.05078125 65.71, 809584.459960938 7778492.73046875 65.81, 809580.510009766 7778495.91992188 65.89, 809577.899902344 7778498.24023438 65.91, 809574.629882813 7778500.52929688 65.96, 809571.600097656 7778502.00976563 66.12, 809568.129882813 7778503.58984375 66.05, 809564.5 7778505.140625 66.05, 809560.939941406 7778506.2109375 66.09, 809557.050048828 7778507.22070313 66.08, 809552.979980469 7778509.24023438 66.23, 809545.070068359 7778512.72070313 66.23, 809541.070068359 7778514.84960938 66.15, 809538.590087891 7778516.40039063 65.48, 809540 7778519.140625 65.12, 809540.350097656 7778520.83984375 65.52, 809542.020019531 7778520.83984375 65.61, 809545.580078125 7778520.0703125 65.62, 809548.540039062 7778519.23046875 65.64, 809549.75 7778518.65039063 65.64, 809552.350097656 7778517.51953125 65.61, 809559.040039063 7778514.74023438 65.53, 809562.129882813 7778513.4296875 65.55, 809570.739990234 7778509.8203125 65.53, 809579.719970703 7778506.18945313 65.48, 809583.199951172 7778504.8203125 65.44, 809591.399902344 7778501.50976563 65.39, 809599.649902344 7778498.25976563 65.33, 809608.020019531 7778495.08984375 65.34, 809616.469970703 7778492.16015625 65.36, 809626.139892578 7778488.65039063 65.39, 809635.909912109 7778485.25 65.47, 809644.260009766 7778482.3203125 65.54, 809653.989990234 7778478.859375 65.65, 809663.159912109 7778475.51953125 65.79, 809671.590087891 7778472.52929688 65.92, 809680.489990234 7778469.27929688 66.05, 809690.489990234 7778465.61914063 66.19, 809698.510009766 7778462.66015625 66.3, 809707.100097656 7778459.47070313 66.42, 809716.320068359 7778456.05078125 66.54, 809725.439941406 7778452.73046875 66.68, 809732.330078125 7778450.27929687 66.75, 809737.25 7778448.66992188 66.88, 809738.709960938 7778446.41015625 64.38, 809740.989990234 7778445.26953125 64.08, 809743.739990234 7778443.81054688 63.22, 809746.580078125 7778442.98046875 62.18, 809751.969970703 7778441.09960938 60.16, 809755.560058594 7778439.74023438 58.94, 809760.219970703 7778438.02929688 57.91, 809759.820068359 7778436.6796875 57.97, 809759.120117187 7778435.4609375 58.39, 809758.010009766 7778433.26953125 58.49, 809756.709960938 7778431.22070313 58.69, 809753.959960938 7778428.640625 59.09)</t>
  </si>
  <si>
    <t>POLYGON Z ((809753.959960938 7778428.640625 59.09, 809749.669921875 7778425.890625 59.47, 809749.280029297 7778426.09960938 59.56, 809749.570068359 7778426.7890625 59.64, 809749.629882812 7778427 59.62, 809747.679931641 7778428.5390625 60.87, 809746.260009766 7778429.109375 61.42, 809745.129882812 7778430.44921875 62.07, 809743.310058594 7778430.86914063 63.17, 809742.120117187 7778431.69921875 63.7, 809739.639892578 7778432.49023438 64.2, 809736.919921875 7778433.66992187 64.31, 809733.199951172 7778434.109375 64.89, 809730.800048828 7778434.02929687 65.6, 809729.060058594 7778433.00976563 66.19, 809726.280029297 7778433.19921875 66.59, 809724.050048828 7778432.22070313 66.7, 809723.439941406 7778434.05078125 66.88, 809722.899902344 7778438.0390625 66.91, 809722.179931641 7778442.48046875 66.89, 809718.550048828 7778445.890625 66.87, 809715.540039062 7778445.25 66.86, 809711.100097656 7778443.63085938 66.57, 809709.040039063 7778445.09960938 65.92, 809709.149902344 7778446.16015625 65.78, 809709.060058594 7778446.58984375 65.65, 809708.209960937 7778447.61914063 64.77, 809706.179931641 7778447.73046875 64.22, 809702.399902344 7778447.640625 63.63, 809698.219970703 7778447.56054688 63.58, 809695.139892578 7778447.52929688 63.41, 809692.659912109 7778446.61914062 63.54, 809690.290039063 7778444.63085937 63.55, 809688.050048828 7778443.38085938 63.49, 809685.169921875 7778444.0703125 63.18, 809683.350097656 7778445.25 63.46, 809681.189941406 7778445.00976563 63.78, 809679.199951172 7778444.609375 64.06, 809678.090087891 7778443.3203125 64.6, 809676.320068359 7778441.66015625 65.43, 809673.610107422 7778440.81054688 66.53, 809671.5 7778439.9296875 67, 809667.659912109 7778441.09960938 66.97, 809662.989990234 7778441.93945313 66.85, 809661.899902344 7778440.91015625 66.8, 809660.840087891 7778441.80078125 66.75, 809660.560058594 7778442.02929688 66.79, 809657.25 7778442.56054688 66.42, 809654.159912109 7778443.890625 66.15, 809651.409912109 7778445.61914063 65.77, 809648.800048828 7778448.30078125 64.97, 809645.959960937 7778450.63085938 64.77, 809643.110107422 7778453.7109375 64.61, 809639.770019531 7778456.48046875 64.68, 809636.840087891 7778459.640625 64.68, 809635.75 7778462.68945313 64.34, 809633.070068359 7778466.65039062 64.11, 809630.290039063 7778470.30078125 64.21, 809628.530029297 7778473.27929688 63.95, 809625.129882812 7778475.609375 64.71, 809620.919921875 7778479.16015625 64.63, 809617.479980469 7778477.4609375 65.56, 809613.280029297 7778477.9609375 66.39, 809612.830078125 7778477.56054688 66.32, 809611.310058594 7778479.68945313 66.34, 809610.209960938 7778480.55078125 66.39, 809608 7778483.50976563 66.42, 809607.459960937 7778484.16015625 66.42, 809606.649902344 7778484.55078125 66.43, 809605.729980469 7778484.5703125 66.43, 809603.989990234 7778483.97070313 66.43, 809601.419921875 7778482.50976563 66.36, 809599.899902344 7778481.48046875 66.29, 809599.530029297 7778481.02929688 66.26, 809599.219970703 7778480.3203125 66.25, 809599.139892578 7778479.58007813 66.25, 809599.280029297 7778478.90039063 66.24, 809598.919921875 7778479.49023438 66.19, 809597.75 7778479.66015625 65.83, 809596.870117188 7778480.18945313 65.89, 809594.959960938 7778481.69921875 65.87, 809594.729980469 7778482.99023438 65.78, 809593.810058594 7778486.00976563 65.55, 809591.439941406 7778486.6796875 65.62, 809588.800048828 7778489.05078125 65.71, 809584.459960938 7778492.73046875 65.81, 809580.510009766 7778495.91992188 65.89, 809577.899902344 7778498.24023438 65.91, 809574.629882813 7778500.52929688 65.96, 809571.600097656 7778502.00976563 66.12, 809568.129882813 7778503.58984375 66.05, 809564.5 7778505.140625 66.05, 809560.939941406 7778506.2109375 66.09, 809557.050048828 7778507.22070313 66.08, 809552.979980469 7778509.24023438 66.23, 809545.070068359 7778512.72070313 66.23, 809541.070068359 7778514.84960938 66.15, 809538.590087891 7778516.40039063 65.48, 809540 7778519.140625 65.12, 809540.350097656 7778520.83984375 65.52, 809542.020019531 7778520.83984375 65.61, 809545.580078125 7778520.0703125 65.62, 809548.540039062 7778519.23046875 65.64, 809549.75 7778518.65039063 65.64, 809552.350097656 7778517.51953125 65.61, 809559.040039063 7778514.74023438 65.53, 809562.129882813 7778513.4296875 65.55, 809570.739990234 7778509.8203125 65.53, 809579.719970703 7778506.18945313 65.48, 809583.199951172 7778504.8203125 65.44, 809591.399902344 7778501.50976563 65.39, 809599.649902344 7778498.25976563 65.33, 809608.020019531 7778495.08984375 65.34, 809616.469970703 7778492.16015625 65.36, 809626.139892578 7778488.65039063 65.39, 809635.909912109 7778485.25 65.47, 809644.260009766 7778482.3203125 65.54, 809653.989990234 7778478.859375 65.65, 809663.159912109 7778475.51953125 65.79, 809671.590087891 7778472.52929688 65.92, 809680.489990234 7778469.27929688 66.05, 809690.489990234 7778465.61914063 66.19, 809698.510009766 7778462.66015625 66.3, 809707.100097656 7778459.47070313 66.42, 809716.320068359 7778456.05078125 66.54, 809725.439941406 7778452.73046875 66.68, 809732.330078125 7778450.27929687 66.75, 809737.25 7778448.66992188 66.88, 809738.709960938 7778446.41015625 64.38, 809740.989990234 7778445.26953125 64.08, 809743.739990234 7778443.81054688 63.22, 809746.580078125 7778442.98046875 62.18, 809751.969970703 7778441.09960938 60.16, 809755.560058594 7778439.74023438 58.94, 809760.219970703 7778438.02929688 57.91, 809759.820068359 7778436.6796875 57.97, 809759.120117187 7778435.4609375 58.39, 809758.010009766 7778433.26953125 58.49, 809756.709960938 7778431.22070313 58.69, 809753.959960938 7778428.640625 59.09))</t>
  </si>
  <si>
    <t>['EV6 S203D1 m2867-3094']</t>
  </si>
  <si>
    <t>LINESTRING Z (809719.659912109 7778521.63085937 47.74, 809719.610107422 7778520 48.17, 809721.310058594 7778501.47070313 54.56, 809721.659912109 7778498.47070313 55.49, 809722.040039063 7778493.73046875 57.8, 809721.370117188 7778487.91992188 61.16, 809721.100097656 7778486.4296875 62.15, 809720.459960938 7778484.390625 63.11, 809719.590087891 7778482.61914063 64.39, 809719.620117188 7778481.48046875 64.83, 809720.080078125 7778478.50976563 65.61, 809720.110107422 7778475.4296875 66.63, 809719.620117188 7778473.99023438 67.19, 809718.689941406 7778471.1796875 67.36, 809719.699951172 7778470.80078125 67.28, 809720.969970703 7778469.81054688 67.03, 809723.689941406 7778468.75 66.8, 809725.699951172 7778467.61914063 66.64, 809726.219970703 7778468.15039063 66.43, 809727.310058594 7778467.890625 66.35, 809727.969970703 7778468.97070313 65.67, 809730.179931641 7778467.68945313 65.53, 809729.389892578 7778466.66992188 66.34, 809729.600097656 7778466.11914063 66.33, 809730.689941406 7778465.08007813 66.07, 809732.989990234 7778464.16015625 65.85, 809735.020019531 7778463.83984375 65.64, 809737.550048828 7778463.66015625 64.89, 809738.860107422 7778463.55078125 64.51, 809739.929931641 7778462.2109375 64.68, 809740.780029297 7778461.75 64.5, 809740.909912109 7778460.90039063 64.43, 809740.780029297 7778458.26953125 66.15, 809741.169921875 7778457.51953125 66.26, 809741.239990234 7778457.0390625 66.35, 809740.040039063 7778456.73046875 66.86, 809736.469970703 7778458.09960938 66.79, 809729.139892578 7778460.72070313 66.72, 809721.570068359 7778463.5 66.62, 809714.040039063 7778466.33007813 66.49, 809706.560058594 7778469.02929688 66.4, 809699.080078125 7778471.72070313 66.31, 809691.560058594 7778474.609375 66.2, 809684.110107422 7778477.5 66.1, 809676.639892578 7778480.40039063 66, 809669.179931641 7778483.31054687 65.86, 809661.770019531 7778486.34960938 65.76, 809654.419921875 7778489.47070313 65.68, 809646.989990234 7778492.5390625 65.58, 809639.560058594 7778495.58007813 65.54, 809632.25 7778498.73046875 65.47, 809624.5 7778502.11914063 65.44, 809616.850097656 7778505.56054688 65.39, 809613.469970703 7778507.0390625 65.4, 809608.629882812 7778509.2109375 65.4, 809601.169921875 7778512.51953125 65.43, 809593.929931641 7778515.73046875 65.44, 809586.540039062 7778518.9609375 65.45, 809579.169921875 7778522.16015625 65.48, 809571.850097656 7778525.31054688 65.53, 809564.479980469 7778528.44921875 65.55, 809557.090087891 7778531.59960938 65.58, 809549.760009766 7778534.75976563 65.64, 809542.360107422 7778537.91992188 65.66, 809535.020019531 7778541.0390625 65.71, 809532.449951172 7778542.15039063 65.72, 809532.870117188 7778543.15039063 65.56, 809534.060058594 7778545.88085938 64.41, 809534.429931641 7778549.01953125 65.84, 809535.270019531 7778549.41015625 65.73, 809540.060058594 7778550.7109375 64.77, 809540.75 7778553.4609375 64.53, 809540.429931641 7778555.52929688 64.78, 809540.520019531 7778558.09960938 64.66, 809540.320068359 7778561.48046875 64.39, 809541.770019531 7778562.640625 64.04, 809543.629882813 7778563.74023438 63.56, 809545.340087891 7778565.23046875 63.12, 809547.889892578 7778567.19921875 62.46, 809550.760009766 7778569.109375 61.87, 809553.659912109 7778570.63085938 61.24, 809557.229980469 7778572.2109375 60.54, 809559.340087891 7778571.56054688 60.18, 809561.969970703 7778569.97070313 59.95, 809563.570068359 7778571.5390625 59.49, 809566.179931641 7778573.48046875 58.71, 809568.5 7778575.61914063 57.91, 809570.899902344 7778577.41015625 57.01, 809572.389892578 7778580.34960938 56.17, 809572.889892578 7778583.22070313 55.47, 809572.179931641 7778584.91992188 55.36, 809570.899902344 7778587.33007813 54.87, 809569.419921875 7778589.33984375 54.58, 809567.610107422 7778591.63085938 53.96, 809571.120117187 7778594.30078125 51.92, 809576.510009766 7778591.2890625 51.62, 809580.600097656 7778589.09960938 51.19, 809585.949951172 7778585.66015625 51.05, 809590.020019531 7778582.97070313 50.92, 809594.610107422 7778579.9609375 50.46, 809597.709960938 7778577.6796875 50.23, 809602.110107422 7778575.2109375 49.86, 809606.620117188 7778572.74023438 49.71, 809610.439941406 7778569.90039063 49.52, 809617.5 7778566.19921875 49.16, 809623.489990234 7778563.48046875 48.96, 809628.439941406 7778560.68945313 48.64, 809633.449951172 7778557.43945312 48.41, 809637.770019531 7778554.390625 48.25, 809641.110107422 7778553.00976563 48.08, 809643.800048828 7778550.99023438 47.81, 809646.610107422 7778549.41015625 47.6, 809649.870117187 7778548.01953125 47.39, 809652.800048828 7778546.24023438 47.26, 809656.830078125 7778544.48046875 47.13, 809660.530029297 7778542.5390625 46.96, 809664.149902344 7778540.94921875 46.88, 809668.850097656 7778539.16992188 46.77, 809673.439941406 7778537.609375 46.74, 809676.75 7778536.91992188 46.64, 809680.379882813 7778536.359375 46.51, 809684.800048828 7778535.890625 46.31, 809688.909912109 7778535.84960938 46.14, 809693.100097656 7778536.30078125 45.86, 809696.360107422 7778537.22070313 45.79, 809699.5 7778537.90039063 45.64, 809703.860107422 7778539.4296875 45.54, 809707.060058594 7778540.91015625 45.32, 809710.659912109 7778542.9609375 45.12, 809713.290039062 7778544.83007813 44.88, 809715.189941406 7778546.41015625 44.52, 809717.189941406 7778544.81054688 44.91, 809717.610107422 7778544.48046875 45.17, 809719.760009766 7778542.75 45.49, 809720.540039063 7778542.13085938 44.83, 809718.989990234 7778541.4609375 45.69, 809717.629882813 7778538.27929688 45.94, 809717.870117188 7778534.38085938 46.39, 809718.600097656 7778530.34960938 46.67, 809719.659912109 7778521.63085937 47.74)</t>
  </si>
  <si>
    <t>POLYGON Z ((809719.659912109 7778521.63085937 47.74, 809719.610107422 7778520 48.17, 809721.310058594 7778501.47070313 54.56, 809721.659912109 7778498.47070313 55.49, 809722.040039063 7778493.73046875 57.8, 809721.370117188 7778487.91992188 61.16, 809721.100097656 7778486.4296875 62.15, 809720.459960938 7778484.390625 63.11, 809719.590087891 7778482.61914063 64.39, 809719.620117188 7778481.48046875 64.83, 809720.080078125 7778478.50976563 65.61, 809720.110107422 7778475.4296875 66.63, 809719.620117188 7778473.99023438 67.19, 809718.689941406 7778471.1796875 67.36, 809719.699951172 7778470.80078125 67.28, 809720.969970703 7778469.81054688 67.03, 809723.689941406 7778468.75 66.8, 809725.699951172 7778467.61914063 66.64, 809726.219970703 7778468.15039063 66.43, 809727.310058594 7778467.890625 66.35, 809727.969970703 7778468.97070313 65.67, 809730.179931641 7778467.68945313 65.53, 809729.389892578 7778466.66992188 66.34, 809729.600097656 7778466.11914063 66.33, 809730.689941406 7778465.08007813 66.07, 809732.989990234 7778464.16015625 65.85, 809735.020019531 7778463.83984375 65.64, 809737.550048828 7778463.66015625 64.89, 809738.860107422 7778463.55078125 64.51, 809739.929931641 7778462.2109375 64.68, 809740.780029297 7778461.75 64.5, 809740.909912109 7778460.90039063 64.43, 809740.780029297 7778458.26953125 66.15, 809741.169921875 7778457.51953125 66.26, 809741.239990234 7778457.0390625 66.35, 809740.040039063 7778456.73046875 66.86, 809736.469970703 7778458.09960938 66.79, 809729.139892578 7778460.72070313 66.72, 809721.570068359 7778463.5 66.62, 809714.040039063 7778466.33007813 66.49, 809706.560058594 7778469.02929688 66.4, 809699.080078125 7778471.72070313 66.31, 809691.560058594 7778474.609375 66.2, 809684.110107422 7778477.5 66.1, 809676.639892578 7778480.40039063 66, 809669.179931641 7778483.31054687 65.86, 809661.770019531 7778486.34960938 65.76, 809654.419921875 7778489.47070313 65.68, 809646.989990234 7778492.5390625 65.58, 809639.560058594 7778495.58007813 65.54, 809632.25 7778498.73046875 65.47, 809624.5 7778502.11914063 65.44, 809616.850097656 7778505.56054688 65.39, 809613.469970703 7778507.0390625 65.4, 809608.629882812 7778509.2109375 65.4, 809601.169921875 7778512.51953125 65.43, 809593.929931641 7778515.73046875 65.44, 809586.540039062 7778518.9609375 65.45, 809579.169921875 7778522.16015625 65.48, 809571.850097656 7778525.31054688 65.53, 809564.479980469 7778528.44921875 65.55, 809557.090087891 7778531.59960938 65.58, 809549.760009766 7778534.75976563 65.64, 809542.360107422 7778537.91992188 65.66, 809535.020019531 7778541.0390625 65.71, 809532.449951172 7778542.15039063 65.72, 809532.870117188 7778543.15039063 65.56, 809534.060058594 7778545.88085938 64.41, 809534.429931641 7778549.01953125 65.84, 809535.270019531 7778549.41015625 65.73, 809540.060058594 7778550.7109375 64.77, 809540.75 7778553.4609375 64.53, 809540.429931641 7778555.52929688 64.78, 809540.520019531 7778558.09960938 64.66, 809540.320068359 7778561.48046875 64.39, 809541.770019531 7778562.640625 64.04, 809543.629882813 7778563.74023438 63.56, 809545.340087891 7778565.23046875 63.12, 809547.889892578 7778567.19921875 62.46, 809550.760009766 7778569.109375 61.87, 809553.659912109 7778570.63085938 61.24, 809557.229980469 7778572.2109375 60.54, 809559.340087891 7778571.56054688 60.18, 809561.969970703 7778569.97070313 59.95, 809563.570068359 7778571.5390625 59.49, 809566.179931641 7778573.48046875 58.71, 809568.5 7778575.61914063 57.91, 809570.899902344 7778577.41015625 57.01, 809572.389892578 7778580.34960938 56.17, 809572.889892578 7778583.22070313 55.47, 809572.179931641 7778584.91992188 55.36, 809570.899902344 7778587.33007813 54.87, 809569.419921875 7778589.33984375 54.58, 809567.610107422 7778591.63085938 53.96, 809571.120117187 7778594.30078125 51.92, 809576.510009766 7778591.2890625 51.62, 809580.600097656 7778589.09960938 51.19, 809585.949951172 7778585.66015625 51.05, 809590.020019531 7778582.97070313 50.92, 809594.610107422 7778579.9609375 50.46, 809597.709960938 7778577.6796875 50.23, 809602.110107422 7778575.2109375 49.86, 809606.620117188 7778572.74023438 49.71, 809610.439941406 7778569.90039063 49.52, 809617.5 7778566.19921875 49.16, 809623.489990234 7778563.48046875 48.96, 809628.439941406 7778560.68945313 48.64, 809633.449951172 7778557.43945312 48.41, 809637.770019531 7778554.390625 48.25, 809641.110107422 7778553.00976563 48.08, 809643.800048828 7778550.99023438 47.81, 809646.610107422 7778549.41015625 47.6, 809649.870117187 7778548.01953125 47.39, 809652.800048828 7778546.24023438 47.26, 809656.830078125 7778544.48046875 47.13, 809660.530029297 7778542.5390625 46.96, 809664.149902344 7778540.94921875 46.88, 809668.850097656 7778539.16992188 46.77, 809673.439941406 7778537.609375 46.74, 809676.75 7778536.91992188 46.64, 809680.379882813 7778536.359375 46.51, 809684.800048828 7778535.890625 46.31, 809688.909912109 7778535.84960938 46.14, 809693.100097656 7778536.30078125 45.86, 809696.360107422 7778537.22070313 45.79, 809699.5 7778537.90039063 45.64, 809703.860107422 7778539.4296875 45.54, 809707.060058594 7778540.91015625 45.32, 809710.659912109 7778542.9609375 45.12, 809713.290039062 7778544.83007813 44.88, 809715.189941406 7778546.41015625 44.52, 809717.189941406 7778544.81054688 44.91, 809717.610107422 7778544.48046875 45.17, 809719.760009766 7778542.75 45.49, 809720.540039063 7778542.13085938 44.83, 809718.989990234 7778541.4609375 45.69, 809717.629882813 7778538.27929688 45.94, 809717.870117188 7778534.38085938 46.39, 809718.600097656 7778530.34960938 46.67, 809719.659912109 7778521.63085937 47.74))</t>
  </si>
  <si>
    <t>2014-01-01</t>
  </si>
  <si>
    <t>[1560]</t>
  </si>
  <si>
    <t>['FV1560 S1D1 m630-651']</t>
  </si>
  <si>
    <t>LINESTRING Z (287847.669921875 6678335.49023438 219.273, 287848.989990234 6678335.5703125 219.283, 287848.850097656 6678336.28027344 219.283, 287846.030029297 6678338.11035156 219.233, 287843.629882813 6678340.12011719 219.143, 287838 6678343.37011719 219.053, 287835.139892578 6678344.73046875 219.063, 287832.760009766 6678344.83984375 219.063, 287830.550048828 6678344.76953125 219.093, 287829.909912109 6678343.63964844 218.983, 287831.870117188 6678341.25976563 218.973, 287833.379882813 6678339.70996094 218.973, 287836.389892578 6678338.49023438 219.033, 287842.510009766 6678336.46972656 219.193, 287847.350097656 6678335.58984375 219.263, 287848.949951172 6678335.54003906 219.283, 287847.669921875 6678335.49023438 219.273)</t>
  </si>
  <si>
    <t>2014-06-04</t>
  </si>
  <si>
    <t>[225]</t>
  </si>
  <si>
    <t>['FV225 S1D1 m1783-1791']</t>
  </si>
  <si>
    <t>LINESTRING (291553.7735463488 6746530.323193019, 291551.7575054021 6746529.091251206, 291549.457539067 6746528.342889511, 291547.42660431867 6746528.126726571, 291544.2354811193 6746528.490960285, 291538.1695908296 6746529.337695627, 291533.3251527522 6746530.077548757, 291527.3709110901 6746530.303931952, 291526.00403874734 6746530.259761815, 291526.26755321736 6746533.86362744, 291534.4851080015 6746536.779454103, 291541.03178832785 6746545.526456059, 291544.20009053824 6746552.1702628005, 291550.2675726595 6746548.967077751, 291549.4913333133 6746547.264115014, 291548.04555178597 6746543.806301033, 291546.5343085949 6746540.480127337, 291545.12348759477 6746537.933238665, 291543.5765682888 6746535.248228925, 291542.39815083204 6746533.235536189, 291540.9443472123 6746530.892011074, 291541.0966835219 6746530.682250139, 291545.44154714723 6746529.296149142, 291545.99032982555 6746529.6109979525, 291547.9070990414 6746532.365688941, 291549.8761341367 6746535.701627352, 291551.0501495782 6746537.951951311, 291553.78753048484 6746530.342042741)</t>
  </si>
  <si>
    <t>POLYGON ((291553.7735463488 6746530.323193019, 291551.7575054021 6746529.091251206, 291549.457539067 6746528.342889511, 291547.42660431867 6746528.126726571, 291544.2354811193 6746528.490960285, 291538.1695908296 6746529.337695627, 291533.3251527522 6746530.077548757, 291527.3709110901 6746530.303931952, 291526.00403874734 6746530.259761815, 291526.26755321736 6746533.86362744, 291534.4851080015 6746536.779454103, 291541.03178832785 6746545.526456059, 291544.20009053824 6746552.1702628005, 291550.2675726595 6746548.967077751, 291549.4913333133 6746547.264115014, 291548.04555178597 6746543.806301033, 291546.5343085949 6746540.480127337, 291545.12348759477 6746537.933238665, 291543.5765682888 6746535.248228925, 291542.39815083204 6746533.235536189, 291540.9443472123 6746530.892011074, 291541.0966835219 6746530.682250139, 291545.44154714723 6746529.296149142, 291545.99032982555 6746529.6109979525, 291547.9070990414 6746532.365688941, 291549.8761341367 6746535.701627352, 291551.0501495782 6746537.951951311, 291553.78753048484 6746530.342042741, 291553.7735463488 6746530.323193019))</t>
  </si>
  <si>
    <t>2025-11-22T09:11:47Z</t>
  </si>
  <si>
    <t>['EV6 S72D1 m6792-7003']</t>
  </si>
  <si>
    <t>LINESTRING Z (263755.85 7027472.81 15.838, 263755.23 7027473.41 15.508, 263753.11 7027474.42 14.298, 263750.74 7027474.93 12.858, 263748.26 7027473.5 11.368, 263746.94 7027472.55 11.188, 263744.59 7027472.16 11.118, 263740.51 7027470.65 10.698, 263737.12 7027466.77 10.538, 263733.21 7027461.78 10.348, 263728.15 7027456.15 10.138, 263722.52 7027448.9 10.068, 263716.85 7027441.43 10.008, 263711.54 7027435.08 9.818, 263706.22 7027427.98 9.618, 263699.69 7027420.33 9.588, 263694.02 7027413.94 9.528, 263687.79 7027407.5 9.448, 263681.21 7027400.77 9.278, 263674.15 7027393.46 9.148, 263667.46 7027386 9.068, 263661.95 7027380.21 8.818, 263661.91 7027376.73 9.948, 263663.03 7027374.38 11.098, 263666.75 7027371.13 13.398, 263662.13 7027366.96 13.158, 263657.42 7027363.47 12.648, 263654.24 7027360.45 12.388, 263649.16 7027358.39 11.228, 263645.09 7027355.81 10.828, 263641.4 7027353.2 10.288, 263637.66 7027352.29 9.178, 263633 7027351.47 8.058, 263628.15 7027347.01 7.898, 263621.79 7027340.55 7.768, 263615.91 7027335.22 7.598, 263609.07 7027329.17 7.618, 263603.21 7027323.49 7.458, 263598.32 7027318.59 7.418, 263598.75 7027317.61 7.408, 263599.38 7027316.9 7.288, 263605.27 7027319.71 7.328, 263611.21 7027322.96 7.548, 263615.85 7027325.82 7.788, 263622.3 7027330.42 8.208, 263629.76 7027335.38 8.748, 263635.92 7027339.18 9.388, 263642.93 7027343.34 10.068, 263650.08 7027347.6 10.708, 263657.82 7027351.54 11.298, 263663.23 7027353.33 11.658, 263670.95 7027354.84 12.298, 263676.58 7027355.19 12.588, 263681.99 7027354.93 13.058, 263686.28 7027354.01 13.518, 263688.49 7027353.96 13.708, 263689.59 7027355.56 14.118, 263689.86 7027357.06 14.168, 263687.55 7027359.49 14.238, 263684.71 7027361.39 14.138, 263679.94 7027362.28 14.048, 263675.04 7027362.41 14.118, 263670.39 7027362.04 14.078, 263667.67 7027361.53 14.128, 263666.64 7027361.75 14.168, 263666.2 7027362.26 14.228, 263666.67 7027363.04 14.198, 263668.68 7027364.66 14.238, 263671.47 7027367.4 14.368, 263673.26 7027369.88 14.468, 263673.47 7027371.7 14.518, 263672.9 7027372.77 14.618, 263671.99 7027373.62 14.528, 263671.26 7027373.7 14.538, 263670.93 7027374.05 14.498, 263673.51 7027377.47 14.498, 263677.77 7027382.17 14.708, 263682.7 7027387.62 14.808, 263687.92 7027393.24 14.838, 263694.63 7027400.44 14.848, 263700.25 7027406.62 14.698, 263705.07 7027412.65 14.518, 263708.72 7027417.63 14.388, 263712.16 7027421.97 14.258, 263716.2 7027427.14 14.128, 263719.94 7027432.5 14.028, 263724.58 7027439.22 13.958, 263728.56 7027445.19 13.858, 263730.82 7027447.86 13.728, 263732.61 7027448.08 13.888, 263734.46 7027448.51 14.468, 263736.91 7027446.2 13.608, 263743.8 7027449.57 13.658, 263749.8 7027452.13 13.718, 263749.45 7027451.83 13.688, 263749.09 7027449.43 13.688, 263747 7027438.3 13.858, 263746 7027430.64 13.968, 263745.75 7027425.31 14.028, 263747.69 7027430.18 13.548, 263749.25 7027435.69 13.298, 263751.7 7027444.39 13.548, 263754.08 7027454.53 14.168, 263754.26 7027455.8 14.238, 263754.94 7027459.18 14.428, 263755.71 7027463.72 14.668, 263755.87 7027467.69 15.038, 263756.51 7027470.44 15.158)</t>
  </si>
  <si>
    <t>POLYGON Z ((263755.85 7027472.81 15.838, 263755.23 7027473.41 15.508, 263753.11 7027474.42 14.298, 263750.74 7027474.93 12.858, 263748.26 7027473.5 11.368, 263746.94 7027472.55 11.188, 263744.59 7027472.16 11.118, 263740.51 7027470.65 10.698, 263737.12 7027466.77 10.538, 263733.21 7027461.78 10.348, 263728.15 7027456.15 10.138, 263722.52 7027448.9 10.068, 263716.85 7027441.43 10.008, 263711.54 7027435.08 9.818, 263706.22 7027427.98 9.618, 263699.69 7027420.33 9.588, 263694.02 7027413.94 9.528, 263687.79 7027407.5 9.448, 263681.21 7027400.77 9.278, 263674.15 7027393.46 9.148, 263667.46 7027386 9.068, 263661.95 7027380.21 8.818, 263661.91 7027376.73 9.948, 263663.03 7027374.38 11.098, 263666.75 7027371.13 13.398, 263662.13 7027366.96 13.158, 263657.42 7027363.47 12.648, 263654.24 7027360.45 12.388, 263649.16 7027358.39 11.228, 263645.09 7027355.81 10.828, 263641.4 7027353.2 10.288, 263637.66 7027352.29 9.178, 263633 7027351.47 8.058, 263628.15 7027347.01 7.898, 263621.79 7027340.55 7.768, 263615.91 7027335.22 7.598, 263609.07 7027329.17 7.618, 263603.21 7027323.49 7.458, 263598.32 7027318.59 7.418, 263598.75 7027317.61 7.408, 263599.38 7027316.9 7.288, 263605.27 7027319.71 7.328, 263611.21 7027322.96 7.548, 263615.85 7027325.82 7.788, 263622.3 7027330.42 8.208, 263629.76 7027335.38 8.748, 263635.92 7027339.18 9.388, 263642.93 7027343.34 10.068, 263650.08 7027347.6 10.708, 263657.82 7027351.54 11.298, 263663.23 7027353.33 11.658, 263670.95 7027354.84 12.298, 263676.58 7027355.19 12.588, 263681.99 7027354.93 13.058, 263686.28 7027354.01 13.518, 263688.49 7027353.96 13.708, 263689.59 7027355.56 14.118, 263689.86 7027357.06 14.168, 263687.55 7027359.49 14.238, 263684.71 7027361.39 14.138, 263679.94 7027362.28 14.048, 263675.04 7027362.41 14.118, 263670.39 7027362.04 14.078, 263667.67 7027361.53 14.128, 263666.64 7027361.75 14.168, 263666.2 7027362.26 14.228, 263666.67 7027363.04 14.198, 263668.68 7027364.66 14.238, 263671.47 7027367.4 14.368, 263673.26 7027369.88 14.468, 263673.47 7027371.7 14.518, 263672.9 7027372.77 14.618, 263671.99 7027373.62 14.528, 263671.26 7027373.7 14.538, 263670.93 7027374.05 14.498, 263673.51 7027377.47 14.498, 263677.77 7027382.17 14.708, 263682.7 7027387.62 14.808, 263687.92 7027393.24 14.838, 263694.63 7027400.44 14.848, 263700.25 7027406.62 14.698, 263705.07 7027412.65 14.518, 263708.72 7027417.63 14.388, 263712.16 7027421.97 14.258, 263716.2 7027427.14 14.128, 263719.94 7027432.5 14.028, 263724.58 7027439.22 13.958, 263728.56 7027445.19 13.858, 263730.82 7027447.86 13.728, 263732.61 7027448.08 13.888, 263734.46 7027448.51 14.468, 263736.91 7027446.2 13.608, 263743.8 7027449.57 13.658, 263749.8 7027452.13 13.718, 263749.45 7027451.83 13.688, 263749.09 7027449.43 13.688, 263747 7027438.3 13.858, 263746 7027430.64 13.968, 263745.75 7027425.31 14.028, 263747.69 7027430.18 13.548, 263749.25 7027435.69 13.298, 263751.7 7027444.39 13.548, 263754.08 7027454.53 14.168, 263754.26 7027455.8 14.238, 263754.94 7027459.18 14.428, 263755.71 7027463.72 14.668, 263755.87 7027467.69 15.038, 263756.51 7027470.44 15.158, 263755.85 7027472.81 15.838))</t>
  </si>
  <si>
    <t>2014-02-02</t>
  </si>
  <si>
    <t>['FV6612 S1D1 m5809-5882']</t>
  </si>
  <si>
    <t>LINESTRING Z (263765.23 7027472.15 16.148, 263765.32 7027466.19 16.598, 263764.52 7027462.56 16.708, 263764.14 7027454.88 16.778, 263763.07 7027449.07 16.578, 263761.32 7027442.22 16.348, 263760.41 7027437.49 16.368, 263758.29 7027429.99 16.418, 263754.83 7027421.5 16.138, 263752 7027415.06 16.078, 263749.26 7027408.8 16.008, 263746.67 7027403.46 15.808, 263748.15 7027413.24 14.708, 263748.78 7027417.98 14.288, 263750.48 7027424.36 13.758, 263752.05 7027427.13 14.618, 263752.71 7027428.94 14.678, 263756.33 7027430.28 16.298, 263757.78 7027433.6 16.298, 263755.98 7027437.25 14.758, 263755.81 7027442.18 13.508, 263757.7 7027451.04 13.978, 263759.18 7027459.91 14.518, 263760.25 7027466.83 14.918, 263761.48 7027471.53 15.248)</t>
  </si>
  <si>
    <t>POLYGON Z ((263765.23 7027472.15 16.148, 263765.32 7027466.19 16.598, 263764.52 7027462.56 16.708, 263764.14 7027454.88 16.778, 263763.07 7027449.07 16.578, 263761.32 7027442.22 16.348, 263760.41 7027437.49 16.368, 263758.29 7027429.99 16.418, 263754.83 7027421.5 16.138, 263752 7027415.06 16.078, 263749.26 7027408.8 16.008, 263746.67 7027403.46 15.808, 263748.15 7027413.24 14.708, 263748.78 7027417.98 14.288, 263750.48 7027424.36 13.758, 263752.05 7027427.13 14.618, 263752.71 7027428.94 14.678, 263756.33 7027430.28 16.298, 263757.78 7027433.6 16.298, 263755.98 7027437.25 14.758, 263755.81 7027442.18 13.508, 263757.7 7027451.04 13.978, 263759.18 7027459.91 14.518, 263760.25 7027466.83 14.918, 263761.48 7027471.53 15.248, 263765.23 7027472.15 16.148))</t>
  </si>
  <si>
    <t>2013-10-26</t>
  </si>
  <si>
    <t>['EV6 S201D1 m12697-12707']</t>
  </si>
  <si>
    <t>LINESTRING Z (802231.17 7790090.19 3.715, 802232.78 7790089.29 3.695, 802235.99 7790087.76 3.675, 802239.03 7790086.16 3.645, 802239.4 7790085.09 3.635, 802239.36 7790084.14 3.665, 802238.89 7790083.18 3.665, 802238.82 7790083.03 3.665, 802238.81 7790083.03 3.665, 802237.71 7790082.91 3.695, 802237 7790083.31 3.685, 802230.35 7790087.2 3.855, 802229.06 7790087.96 3.875, 802231.17 7790090.19 3.715)</t>
  </si>
  <si>
    <t>POLYGON Z ((802231.17 7790090.19 3.715, 802232.78 7790089.29 3.695, 802235.99 7790087.76 3.675, 802239.03 7790086.16 3.645, 802239.4 7790085.09 3.635, 802239.36 7790084.14 3.665, 802238.89 7790083.18 3.665, 802238.82 7790083.03 3.665, 802238.81 7790083.03 3.665, 802237.71 7790082.91 3.695, 802237 7790083.31 3.685, 802230.35 7790087.2 3.855, 802229.06 7790087.96 3.875, 802231.17 7790090.19 3.715))</t>
  </si>
  <si>
    <t>['EV6 S201D1 m12782-12810']</t>
  </si>
  <si>
    <t>LINESTRING Z (802321.3 7790072.31 3.645, 802320.33 7790071.46 3.635, 802318.27 7790069.26 3.655, 802316.69 7790067.19 3.665, 802315.84 7790064.88 3.685, 802315.66 7790063.17 3.695, 802315.56 7790062.25 3.705, 802315.85 7790061.04 3.755, 802316.57 7790060.31 3.765, 802317.54 7790060.04 3.805, 802319.88 7790060.33 3.775, 802323.88 7790061.46 3.765, 802326.99 7790062.95 3.775, 802330.44 7790065.27 3.765, 802333.87 7790068.01 3.805, 802337.16 7790070.9 3.815, 802340.4 7790073.54 3.855, 802342.6 7790075.41 3.815, 802343.01 7790076.39 3.785, 802342.42 7790077.68 3.745, 802334.76 7790075.84 3.665, 802327.85 7790074.38 3.625, 802324.71 7790073.92 3.635, 802321.95 7790072.87 3.655, 802321.3 7790072.31 3.645)</t>
  </si>
  <si>
    <t>POLYGON Z ((802321.3 7790072.31 3.645, 802320.33 7790071.46 3.635, 802318.27 7790069.26 3.655, 802316.69 7790067.19 3.665, 802315.84 7790064.88 3.685, 802315.66 7790063.17 3.695, 802315.56 7790062.25 3.705, 802315.85 7790061.04 3.755, 802316.57 7790060.31 3.765, 802317.54 7790060.04 3.805, 802319.88 7790060.33 3.775, 802323.88 7790061.46 3.765, 802326.99 7790062.95 3.775, 802330.44 7790065.27 3.765, 802333.87 7790068.01 3.805, 802337.16 7790070.9 3.815, 802340.4 7790073.54 3.855, 802342.6 7790075.41 3.815, 802343.01 7790076.39 3.785, 802342.42 7790077.68 3.745, 802334.76 7790075.84 3.665, 802327.85 7790074.38 3.625, 802324.71 7790073.92 3.635, 802321.95 7790072.87 3.655, 802321.3 7790072.31 3.645))</t>
  </si>
  <si>
    <t>['EV6 S201D1 m12714-12770']</t>
  </si>
  <si>
    <t>LINESTRING Z (802295.49 7790071.77 3.475, 802293.72 7790072.17 3.465, 802286.6 7790072.69 3.455, 802279.72 7790073.58 3.475, 802272.15 7790075.02 3.495, 802263.46 7790077.1 3.535, 802257.03 7790078.87 3.565, 802250.1 7790081.25 3.585, 802246.73 7790082.5 3.605, 802245.76 7790081.74 3.605, 802245.45 7790080.67 3.615, 802245.99 7790079.77 3.635, 802246.42 7790079.39 3.665, 802248.94 7790078.3 3.645, 802250.81 7790077.46 3.625, 802255.66 7790075.8 3.665, 802261.48 7790073.83 3.675, 802268.22 7790071.48 3.685, 802275.05 7790069.03 3.705, 802281.35 7790066.54 3.745, 802287.36 7790063.68 3.745, 802293.16 7790060.63 3.805, 802297.95 7790058.42 3.825, 802300.2 7790057.92 3.815, 802301.49 7790058.41 3.815, 802302.53 7790059.45 3.795, 802302.47 7790060.21 3.775, 802302.43 7790060.73 3.765, 802302.05 7790063.37 3.675, 802300.9 7790066.19 3.575, 802299.36 7790068.42 3.525, 802297.63 7790070.31 3.515, 802296.75 7790071 3.505, 802295.49 7790071.77 3.475)</t>
  </si>
  <si>
    <t>POLYGON Z ((802295.49 7790071.77 3.475, 802293.72 7790072.17 3.465, 802286.6 7790072.69 3.455, 802279.72 7790073.58 3.475, 802272.15 7790075.02 3.495, 802263.46 7790077.1 3.535, 802257.03 7790078.87 3.565, 802250.1 7790081.25 3.585, 802246.73 7790082.5 3.605, 802245.76 7790081.74 3.605, 802245.45 7790080.67 3.615, 802245.99 7790079.77 3.635, 802246.42 7790079.39 3.665, 802248.94 7790078.3 3.645, 802250.81 7790077.46 3.625, 802255.66 7790075.8 3.665, 802261.48 7790073.83 3.675, 802268.22 7790071.48 3.685, 802275.05 7790069.03 3.705, 802281.35 7790066.54 3.745, 802287.36 7790063.68 3.745, 802293.16 7790060.63 3.805, 802297.95 7790058.42 3.825, 802300.2 7790057.92 3.815, 802301.49 7790058.41 3.815, 802302.53 7790059.45 3.795, 802302.47 7790060.21 3.775, 802302.43 7790060.73 3.765, 802302.05 7790063.37 3.675, 802300.9 7790066.19 3.575, 802299.36 7790068.42 3.525, 802297.63 7790070.31 3.515, 802296.75 7790071 3.505, 802295.49 7790071.77 3.475))</t>
  </si>
  <si>
    <t>[15929]</t>
  </si>
  <si>
    <t>['KV15929 S1D1 m42-80']</t>
  </si>
  <si>
    <t>LINESTRING Z (265832.330078125 6650785.7199707 -999999, 265834.449951172 6650785.61999512 -999999, 265836.600097656 6650785.83996582 -999999, 265838.260009766 6650786.66003418 -999999, 265838.909912109 6650787.32995605 -999999, 265839.530029297 6650788.30004883 -999999, 265839.209960938 6650790.06005859 -999999, 265838.090087891 6650791.85998535 -999999, 265836.840087891 6650793.35998535 -999999, 265835.600097656 6650794.57995606 -999999, 265834.350097656 6650795.43005371 -999999, 265832.550048828 6650796.05004883 -999999, 265830.449951172 6650796.79003906 -999999, 265827.310058594 6650797.35998535 -999999, 265826.060058594 6650797.56005859 -999999, 265823.879882813 6650797.7800293 -999999, 265822.469970703 6650797.63000488 -999999, 265821.320068359 6650797.15002441 -999999, 265821.050048828 6650796.19995117 -999999, 265821.179931641 6650794.94995117 -999999, 265821.870117188 6650793.92004395 -999999, 265823.149902344 6650792.0300293 -999999, 265824.570068359 6650790.90002441 -999999, 265827.929931641 6650788.33996582 -999999, 265830.550048828 6650786.56005859 -999999, 265827.040039063 6650782.98999023 -999999, 265824.370117188 6650786.20996094 -999999, 265820.879882813 6650790.72998047 -999999, 265818.189941406 6650793.95996094 -999999, 265815.350097656 6650797.22998047 -999999, 265812.399902344 6650800.11999512 -999999, 265810.310058594 6650802.13000488 -999999, 265807.520019531 6650804.98999023 -999999, 265811.530029297 6650805.13000488 -999999, 265816.969970703 6650804.39001465 -999999, 265826.419921875 6650803.07995605 -999999, 265834.149902344 6650801.68005371 -999999, 265841.060058594 6650796.88000488 -999999, 265843.629882813 6650792.40002441 -999999, 265844.350097656 6650788.4699707 -999999, 265843.469970703 6650783.67004395 -999999, 265839.530029297 6650777.52001953 -999999, 265837.159912109 6650777.42004395 -999999, 265834.090087891 6650778.08996582 -999999, 265832.889892578 6650778.43994141 -999999, 265829.409912109 6650780.43994141 -999999, 265827.040039063 6650782.98999023 -999999, 265830.550048828 6650786.56005859 -999999, 265832.330078125 6650785.7199707 -999999)</t>
  </si>
  <si>
    <t>2009-10-27</t>
  </si>
  <si>
    <t>2025-11-22T09:11:52Z</t>
  </si>
  <si>
    <t>[479]</t>
  </si>
  <si>
    <t>['FV479 S1D1 m77-126']</t>
  </si>
  <si>
    <t>LINESTRING Z (75249.1899414063 6460295.76000977 3.451, 75249.8399658203 6460296.60998535 3.451, 75250.0999755859 6460296.94995117 3.451, 75252.8800048828 6460300.59997559 3.471, 75255.9200439453 6460304.57995606 3.481, 75258.9599609375 6460308.56994629 3.501, 75262 6460312.55004883 3.511, 75265.0400390625 6460316.54003906 3.561, 75268.0799560547 6460320.52001953 3.602, 75268.7399902344 6460321.40002441 3.612, 75271.1099853516 6460324.5 3.652, 75274.1500244141 6460328.47998047 3.702, 75277.1899414063 6460332.45996094 3.742, 75277.5899658203 6460332.98999023 3.742, 75249.1899414063 6460295.76000977 3.451, 75249.5600585938 6460295.5 3.451, 75250.1899414063 6460296.33996582 3.461, 75250.4599609375 6460296.68005371 3.461, 75253.2399902344 6460300.31994629 3.481, 75256.2800292969 6460304.31005859 3.491, 75259.3199462891 6460308.29003906 3.501, 75262.3499755859 6460312.2800293 3.521, 75265.4000244141 6460316.26000977 3.561, 75268.4399414063 6460320.25 3.602, 75269.0999755859 6460321.11999512 3.612, 75271.4699707031 6460324.2199707 3.652, 75274.5100097656 6460328.20996094 3.702, 75277.5500488281 6460332.18994141 3.742, 75278.0200195313 6460332.81005859 3.752, 75277.5899658203 6460332.98999023 3.742, 75277.1899414063 6460332.45996094 3.742, 75274.1500244141 6460328.47998047 3.702, 75271.1099853516 6460324.5 3.652, 75268.7399902344 6460321.40002441 3.612, 75268.0799560547 6460320.52001953 3.602, 75265.0400390625 6460316.54003906 3.561, 75262 6460312.55004883 3.511, 75258.9599609375 6460308.56994629 3.501, 75255.9200439453 6460304.57995606 3.481, 75252.8800048828 6460300.59997559 3.471, 75250.0999755859 6460296.94995117 3.451, 75249.8399658203 6460296.60998535 3.451, 75249.1899414063 6460295.76000977 3.451)</t>
  </si>
  <si>
    <t>2024-08-30</t>
  </si>
  <si>
    <t>2025-11-22T09:11:57Z</t>
  </si>
  <si>
    <t>['EV6 S76D1 m1195-1236']</t>
  </si>
  <si>
    <t>LINESTRING Z (270390.15 7038588.49 270390.289, 270391.29 7038588.22 270391.429, 270391.28 7038586.5 270391.419, 270391.34 7038585.03 270391.479, 270391.52 7038583.6 270391.659, 270391.73 7038582.11 270391.869, 270392.06 7038580.81 270392.199, 270392.93 7038578.15 270393.069, 270393.72 7038576.81 270393.859, 270395.37 7038573.98 270395.509, 270397.93 7038571.1 270398.069, 270399.67 7038569.67 270399.809, 270402.45 7038568.05 270402.589, 270405.66 7038566.58 270405.799, 270407.77 7038565.98 270407.909, 270407.88 7038565.51 270408.019, 270407.48 7038564.99 270407.619, 270406.65 7038564.72 270406.789, 270371.75 7038554.83 270371.889, 270371.05 7038554.8 270371.189, 270370.94 7038555.22 270371.079, 270371.03 7038555.71 270371.169, 270373.01 7038557.4 270373.149, 270375.7 7038560.18 270375.839, 270377.44 7038561.94 270377.579, 270379.87 7038565.2 270380.009, 270382.27 7038568.73 270382.409, 270383.8 7038571.52 270383.939, 270385.07 7038574.18 270385.209, 270386.01 7038576.22 270386.149, 270387.05 7038579.16 270387.189, 270388.24 7038583.2 270388.379, 270389.66 7038587.06 270389.799, 270390.15 7038588.49 270390.289)</t>
  </si>
  <si>
    <t>POLYGON Z ((270390.15 7038588.49 270390.289, 270391.29 7038588.22 270391.429, 270391.28 7038586.5 270391.419, 270391.34 7038585.03 270391.479, 270391.52 7038583.6 270391.659, 270391.73 7038582.11 270391.869, 270392.06 7038580.81 270392.199, 270392.93 7038578.15 270393.069, 270393.72 7038576.81 270393.859, 270395.37 7038573.98 270395.509, 270397.93 7038571.1 270398.069, 270399.67 7038569.67 270399.809, 270402.45 7038568.05 270402.589, 270405.66 7038566.58 270405.799, 270407.77 7038565.98 270407.909, 270407.88 7038565.51 270408.019, 270407.48 7038564.99 270407.619, 270406.65 7038564.72 270406.789, 270371.75 7038554.83 270371.889, 270371.05 7038554.8 270371.189, 270370.94 7038555.22 270371.079, 270371.03 7038555.71 270371.169, 270373.01 7038557.4 270373.149, 270375.7 7038560.18 270375.839, 270377.44 7038561.94 270377.579, 270379.87 7038565.2 270380.009, 270382.27 7038568.73 270382.409, 270383.8 7038571.52 270383.939, 270385.07 7038574.18 270385.209, 270386.01 7038576.22 270386.149, 270387.05 7038579.16 270387.189, 270388.24 7038583.2 270388.379, 270389.66 7038587.06 270389.799, 270390.15 7038588.49 270390.289))</t>
  </si>
  <si>
    <t>['EV6 S76D1 m1252 KD6 m117-174']</t>
  </si>
  <si>
    <t>LINESTRING Z (270421.25 7038572.45 270421.389, 270422.28 7038574.73 270422.419, 270419.11 7038574.56 270419.249, 270413.4 7038576.68 270413.539, 270412.41 7038583.76 270412.549, 270416.13 7038587.11 270416.269, 270417.05 7038589.4 270417.189, 270414.88 7038592.43 270415.019, 270411.18 7038594.68 270411.319, 270406.36 7038593.73 270406.499, 270403.79 7038592.59 270403.929, 270401.74 7038595.41 270401.879, 270400.26 7038592.93 270400.399, 270399.42 7038590.26 270399.559, 270398.94 7038588.22 270399.079, 270398.94 7038585.52 270399.079, 270399.13 7038583.22 270399.269, 270399.98 7038580.81 270400.119, 270401.35 7038578.43 270401.489, 270403.07 7038576.48 270403.209, 270404.94 7038575.02 270405.079, 270407.23 7038573.77 270407.369, 270410.09 7038572.84 270410.229, 270414.04 7038572.33 270414.179, 270417.49 7038572.38 270417.629, 270419.98 7038572.32 270420.119, 270421.29 7038572.45 270421.429)</t>
  </si>
  <si>
    <t>POLYGON Z ((270421.25 7038572.45 270421.389, 270422.28 7038574.73 270422.419, 270419.11 7038574.56 270419.249, 270413.4 7038576.68 270413.539, 270412.41 7038583.76 270412.549, 270416.13 7038587.11 270416.269, 270417.05 7038589.4 270417.189, 270414.88 7038592.43 270415.019, 270411.18 7038594.68 270411.319, 270406.36 7038593.73 270406.499, 270403.79 7038592.59 270403.929, 270401.74 7038595.41 270401.879, 270400.26 7038592.93 270400.399, 270399.42 7038590.26 270399.559, 270398.94 7038588.22 270399.079, 270398.94 7038585.52 270399.079, 270399.13 7038583.22 270399.269, 270399.98 7038580.81 270400.119, 270401.35 7038578.43 270401.489, 270403.07 7038576.48 270403.209, 270404.94 7038575.02 270405.079, 270407.23 7038573.77 270407.369, 270410.09 7038572.84 270410.229, 270414.04 7038572.33 270414.179, 270417.49 7038572.38 270417.629, 270419.98 7038572.32 270420.119, 270421.29 7038572.45 270421.429, 270421.25 7038572.45 270421.389))</t>
  </si>
  <si>
    <t>['EV6 S76D1 m1252 KD1 m92-194']</t>
  </si>
  <si>
    <t>LINESTRING Z (270447.51 7038542.66 270447.649, 270454.18 7038527.42 270454.319, 270454.05 7038526.73 270454.189, 270453.78 7038526.5 270453.919, 270452.92 7038526.83 270453.059, 270451.16 7038527.76 270451.299, 270448.32 7038528.86 270448.459, 270444.34 7038530 270444.479, 270437.07 7038531.45 270437.209, 270430.52 7038532.39 270430.659, 270423.39 7038533.25 270423.529, 270418.27 7038533.86 270418.409, 270410.65 7038534.25 270410.789, 270404.04 7038534.55 270404.179, 270397.21 7038534.49 270397.349, 270390.88 7038534.45 270391.019, 270384.78 7038534 270384.919, 270376.23 7038533.41 270376.369, 270367.84 7038532.46 270367.979, 270361.32 7038531.74 270361.459, 270357.32 7038531.15 270357.459, 270356.82 7038531.27 270356.959, 270356.27 7038531.51 270356.409, 270356.57 7038532.12 270356.709, 270361.04 7038533.49 270361.179, 270364.47 7038534.63 270364.609, 270369.73 7038536.25 270369.869, 270378.25 7038538.63 270378.389, 270385.94 7038540.98 270386.079, 270419.58 7038550.4 270419.719, 270419.95 7038541.55 270420.089, 270428.04 7038537.21 270428.179, 270447.5 7038542.54 270447.639)</t>
  </si>
  <si>
    <t>POLYGON Z ((270447.51 7038542.66 270447.649, 270454.18 7038527.42 270454.319, 270454.05 7038526.73 270454.189, 270453.78 7038526.5 270453.919, 270452.92 7038526.83 270453.059, 270451.16 7038527.76 270451.299, 270448.32 7038528.86 270448.459, 270444.34 7038530 270444.479, 270437.07 7038531.45 270437.209, 270430.52 7038532.39 270430.659, 270423.39 7038533.25 270423.529, 270418.27 7038533.86 270418.409, 270410.65 7038534.25 270410.789, 270404.04 7038534.55 270404.179, 270397.21 7038534.49 270397.349, 270390.88 7038534.45 270391.019, 270384.78 7038534 270384.919, 270376.23 7038533.41 270376.369, 270367.84 7038532.46 270367.979, 270361.32 7038531.74 270361.459, 270357.32 7038531.15 270357.459, 270356.82 7038531.27 270356.959, 270356.27 7038531.51 270356.409, 270356.57 7038532.12 270356.709, 270361.04 7038533.49 270361.179, 270364.47 7038534.63 270364.609, 270369.73 7038536.25 270369.869, 270378.25 7038538.63 270378.389, 270385.94 7038540.98 270386.079, 270419.58 7038550.4 270419.719, 270419.95 7038541.55 270420.089, 270428.04 7038537.21 270428.179, 270447.5 7038542.54 270447.639, 270447.51 7038542.66 270447.649))</t>
  </si>
  <si>
    <t>['EV6 S76D1 m1252 KD6 m185-198']</t>
  </si>
  <si>
    <t>LINESTRING Z (270417.33 7038615.35 270417.469, 270419.48 7038611.41 270419.619, 270421.58 7038607.47 270421.719, 270421.63 7038607.02 270421.769, 270421.27 7038606.49 270421.409, 270420.63 7038606.48 270420.769, 270420.11 7038606.56 270420.249, 270419.47 7038606.87 270419.609, 270418.59 7038607.19 270418.729, 270417.35 7038607.45 270417.489, 270415.75 7038607.78 270415.889, 270414.19 7038608 270414.329, 270412.42 7038607.95 270412.559, 270410.8 7038607.96 270410.939, 270409 7038608.2 270409.139, 270408.62 7038608.51 270408.759, 270408.6 7038609.26 270408.739, 270409.27 7038609.97 270409.409, 270412.42 7038612.45 270412.559, 270414.88 7038614.19 270415.019, 270416.28 7038615.27 270416.419, 270416.95 7038615.66 270417.089, 270417.33 7038615.35 270417.469)</t>
  </si>
  <si>
    <t>POLYGON Z ((270417.33 7038615.35 270417.469, 270419.48 7038611.41 270419.619, 270421.58 7038607.47 270421.719, 270421.63 7038607.02 270421.769, 270421.27 7038606.49 270421.409, 270420.63 7038606.48 270420.769, 270420.11 7038606.56 270420.249, 270419.47 7038606.87 270419.609, 270418.59 7038607.19 270418.729, 270417.35 7038607.45 270417.489, 270415.75 7038607.78 270415.889, 270414.19 7038608 270414.329, 270412.42 7038607.95 270412.559, 270410.8 7038607.96 270410.939, 270409 7038608.2 270409.139, 270408.62 7038608.51 270408.759, 270408.6 7038609.26 270408.739, 270409.27 7038609.97 270409.409, 270412.42 7038612.45 270412.559, 270414.88 7038614.19 270415.019, 270416.28 7038615.27 270416.419, 270416.95 7038615.66 270417.089, 270417.33 7038615.35 270417.469))</t>
  </si>
  <si>
    <t>['EV6 S76D1 m1252 KD4 m16-30']</t>
  </si>
  <si>
    <t>LINESTRING Z (270402.53 7038624.06 270402.669, 270404.09 7038625.02 270404.229, 270406.09 7038626.63 270406.229, 270408.33 7038627.94 270408.469, 270409.38 7038628.57 270409.519, 270409.7 7038628.81 270409.839, 270407.41 7038632.62 270407.549, 270405.85 7038635.11 270405.989, 270404.51 7038637.22 270404.649, 270404.23 7038637.24 270404.369, 270403.92 7038636.99 270404.059, 270403.86 7038636.47 270403.999, 270403.81 7038635.9 270403.949, 270403.63 7038633.03 270403.769, 270403.36 7038630.71 270403.499, 270403.05 7038628.31 270403.189, 270402.55 7038626.33 270402.689, 270402.15 7038624.84 270402.289, 270402.19 7038624.23 270402.329, 270402.46 7038624.13 270402.599, 270402.75 7038624.19 270402.889)</t>
  </si>
  <si>
    <t>2014-12-02</t>
  </si>
  <si>
    <t>2025-11-22T09:12:03Z</t>
  </si>
  <si>
    <t>[1547]</t>
  </si>
  <si>
    <t>['FV1547 S1D1 m66-94']</t>
  </si>
  <si>
    <t>LINESTRING Z (270690.070922852 6664578.39031982 -999999, 270696.262451172 6664579.39904785 -999999, 270701.920654297 6664581.09185791 -999999, 270705.399047852 6664582.66873169 -999999, 270706.223754883 6664582.31463623 -999999, 270706.488891602 6664581.82232666 -999999, 270707.138183594 6664581.21942139 -999999, 270707.973022461 6664580.98751831 -999999, 270709.271606445 6664581.40493774 -999999, 270712.610839844 6664583.12091065 -999999, 270713.584838867 6664583.53833008 -999999, 270714.837036133 6664583.5847168 -999999, 270715.810913086 6664583.2600708 -999999, 270716.506591797 6664582.47161865 -999999, 270717.619750977 6664580.10632324 -999999, 270718.640014648 6664578.57583618 -999999, 270719.474853516 6664578.39031982 -999999, 270720.216918945 6664578.57583618 -999999, 270720.958984375 6664579.27151489 -999999, 270721.237182617 6664579.78167725 -999999, 270721.237182617 6664580.52374268 -999999, 270721.051757812 6664581.9151001 -999999, 270720.495117188 6664583.02816773 -999999, 270719.567626953 6664584.51226807 -999999, 270718.686401367 6664585.71810913 -999999, 270716.970458984 6664586.9239502 -999999, 270715.579101563 6664587.57324219 -999999, 270714.002197266 6664587.29498291 -999999, 270710.848510742 6664585.53259277 -999999, 270706.223754883 6664582.31463623 -999999, 270705.399047852 6664582.66873169 -999999, 270707.022216797 6664583.48034668 -999999, 270711.010742188 6664586.10073853 -999999, 270713.260131836 6664588.12979126 -999999, 270713.932617188 6664588.53561401 -999999, 270715.208007813 6664588.90661621 -999999, 270716.04284668 6664588.79067993 -999999, 270716.622558594 6664588.60516358 -999999, 270719.3125 6664586.7036438 -999999, 270720.03137207 6664585.75289917 -999999, 270721.422729492 6664583.21368408 -999999, 270722.211181641 6664582.05422974 -999999, 270723.950317383 6664578.9468689 -999999, 270724.321411133 6664576.72070313 -999999, 270722.443115234 6664575.50326538 -999999, 270721.190795898 6664575.19021606 -999999, 270714.164550781 6664576.29171753 -999999, 270704.401855469 6664576.66271973 -999999, 270695.358032227 6664576.81347656 -999999, 270688.865112305 6664576.9989624 -999999, 270688.609985352 6664577.19607544 -999999, 270688.494018555 6664577.5439148 -999999, 270688.795532227 6664577.91494751 -999999, 270689.02746582 6664578.17004395 -999999, 270690.070922852 6664578.39031982 -999999)</t>
  </si>
  <si>
    <t>['FV120 S17D1 m254-322']</t>
  </si>
  <si>
    <t>LINESTRING Z (279178.590576172 6673307.72851563 -999999, 279175.442749023 6673314.25439453 -999999, 279173.75378418 6673318.63049316 -999999, 279172.909301758 6673322.69958496 -999999, 279172.602172852 6673326.46142578 -999999, 279173.062744141 6673329.83959961 -999999, 279174.367919922 6673332.75695801 -999999, 279185.423461914 6673349.49377442 -999999, 279189.338989258 6673355.36694336 -999999, 279189.876342773 6673356.59533691 -999999, 279190.644042969 6673359.58959961 -999999, 279190.797607422 6673360.35729981 -999999, 279191.565429688 6673360.43408203 -999999, 279191.94921875 6673359.74316406 -999999, 279194.713134766 6673352.98693848 -999999, 279198.014404297 6673346.46118164 -999999, 279202.544067383 6673336.01989746 -999999, 279204.15637207 6673332.25793457 -999999, 279209.530517578 6673317.05664063 -999999, 279212.678344727 6673307.6517334 -999999, 279215.365356445 6673297.67114258 -999999, 279207.534423828 6673300.89562988 -999999, 279185.653808594 6673293.64050293 -999999, 279181.200805664 6673303.04528809 -999999, 279184.809204102 6673304.65759277 -999999, 279187.573120117 6673300.51171875 -999999, 279190.413818359 6673299.16821289 -999999, 279192.793823242 6673298.97631836 -999999, 279195.711181641 6673299.5904541 -999999, 279198.782226563 6673300.51171875 -999999, 279203.618896484 6673301.81689453 -999999, 279206.306030273 6673304.65759277 -999999, 279206.997070313 6673307.03759766 -999999, 279206.997070313 6673308.95690918 -999999, 279205.538330078 6673311.26013184 -999999, 279203.158325195 6673313.79370117 -999999, 279200.471191406 6673315.86657715 -999999, 279198.551879883 6673317.40209961 -999999, 279196.786010742 6673320.0892334 -999999, 279196.095092773 6673323.69763184 -999999, 279196.939575195 6673326.84533691 -999999, 279199.089233398 6673330.06982422 -999999, 279199.549926758 6673333.83178711 -999999, 279198.858886719 6673336.05822754 -999999, 279196.786010742 6673339.01403809 -999999, 279195.480834961 6673340.12731934 -999999, 279193.331176758 6673341.01025391 -999999, 279190.720825195 6673341.89306641 -999999, 279188.264038086 6673342.00830078 -999999, 279186.191162109 6673341.6628418 -999999, 279183.734375 6673340.16564941 -999999, 279180.740234375 6673335.02185059 -999999, 279178.437011719 6673329.80114746 -999999, 279177.51574707 6673327.15246582 -999999, 279177.362182617 6673324.0814209 -999999, 279177.976318359 6673321.20239258 -999999, 279180.740234375 6673313.75537109 -999999, 279182.813110352 6673308.95690918 -999999, 279184.809204102 6673304.65759277 -999999, 279181.200805664 6673303.04528809 -999999, 279178.590576172 6673307.72851563 -999999)</t>
  </si>
  <si>
    <t>[1603]</t>
  </si>
  <si>
    <t>['FV1603 S1D1 m129 SD1 m10-65']</t>
  </si>
  <si>
    <t>LINESTRING Z (279150.857421875 6673320.69140625 -999999, 279149.049804688 6673322.89648438 -999999, 279145.610351563 6673326.07226563 -999999, 279145.389648438 6673326.203125 -999999, 279143.272460938 6673326.8203125 -999999, 279140.450195313 6673326.55664062 -999999, 279136.266601563 6673324.49804687 -999999, 279136.822265625 6673322.6171875 -999999, 279144.728515625 6673309.13867188 -999999, 279147.814453125 6673304.46484375 -999999, 279153.723632813 6673295.16015625 -999999, 279157.163085938 6673290.35351563 -999999, 279157.913085938 6673289.95507813 -999999, 279159.500976562 6673289.95507813 -999999, 279163.866210937 6673291.89648437 -999999, 279164.130859375 6673292.20507813 -999999, 279164.262695313 6673293.26367187 -999999, 279162.455078125 6673296.5703125 -999999, 279162.201171875 6673296.37109375 -999999, 279163.05078125 6673294.80664063 -999999, 279163.20703125 6673294.2734375 -999999, 279163.129882813 6673293.95703125 -999999, 279163.014648438 6673293.82226563 -999999, 279162.68359375 6673293.59179688 -999999, 279162.146484375 6673293.36132812 -999999, 279161.541992188 6673293.43945313 -999999, 279161.165039063 6673293.74804688 -999999, 279159.6875 6673296.53710938 -999999, 279159.564453125 6673296.98046875 -999999, 279159.666015625 6673297.38671875 -999999, 279159.977539063 6673297.77734375 -999999, 279160.327148438 6673298.015625 -999999, 279160.79296875 6673298.03515625 -999999, 279161.16796875 6673297.99804688 -999999, 279161.446289063 6673297.796875 -999999, 279161.647460938 6673297.5078125 -999999, 279162.201171875 6673296.37109375 -999999, 279162.455078125 6673296.5703125 -999999, 279160.856445313 6673299.44726563 -999999, 279158.9609375 6673302.7109375 -999999, 279156.237304688 6673307.4453125 -999999, 279153.3046875 6673312.69921875 -999999, 279152.32421875 6673314.55078125 -999999, 279152.158203125 6673315.26757813 -999999, 279152.301757813 6673315.86914063 -999999, 279153.856445313 6673316.70703125 -999999, 279153.216796875 6673317.609375 -999999, 279152.00390625 6673319.2421875 -999999, 279151.618164063 6673319.77148438 -999999, 279150.857421875 6673320.69140625 -999999)</t>
  </si>
  <si>
    <t>[180]</t>
  </si>
  <si>
    <t>['FV180 S1D1 m7175-7304']</t>
  </si>
  <si>
    <t>LINESTRING Z (283225.912597656 6698042.77539063 -999999, 283223.638916016 6698027.47851563 -999999, 283225.84375 6698014.52539063 -999999, 283232.389404297 6697990.546875 -999999, 283235.696777344 6697980.66015625 -999999, 283238.280517578 6697974.0625 -999999, 283245.549560547 6697958.47265625 -999999, 283248.788085938 6697952.75390625 -999999, 283250.992919922 6697951.46289063 -999999, 283252.853271484 6697950.6015625 -999999, 283255.126953125 6697949.671875 -999999, 283257.262939453 6697949.06835938 -999999, 283265.255615234 6697947.36328125 -999999, 283272.249023438 6697946.12304688 -999999, 283268.666259766 6697967.12109375 -999999, 283268.252929688 6697968.11914063 -999999, 283266.599121094 6697969.25585938 -999999, 283264.118652344 6697970.703125 -999999, 283257.262939453 6697974.11328125 -999999, 283250.992919922 6697977.3359375 -999999, 283247.513427734 6697978.78320313 -999999, 283245.136230469 6697979.40234375 -999999, 283242.862548828 6697979.78125 -999999, 283239.865234375 6697979.97070313 -999999, 283238.211669922 6697984.69140625 -999999, 283241.036621094 6697986.03515625 -999999, 283243.482666016 6697987.75585938 -999999, 283242.885986328 6697989.7265625 -999999, 283242.340576172 6697989.0546875 -999999, 283241.634765625 6697988.55664063 -999999, 283240.820800781 6697988.26757813 -999999, 283239.958740234 6697988.20898438 -999999, 283239.112792969 6697988.38476563 -999999, 283238.345703125 6697988.78320313 -999999, 283237.714355469 6697989.37109375 -999999, 283237.265380859 6697990.109375 -999999, 283237.032470703 6697990.94140625 -999999, 283237.265380859 6697992.63867188 -999999, 283237.714355469 6697993.37695313 -999999, 283238.345703125 6697993.96679688 -999999, 283239.958740234 6697994.5390625 -999999, 283240.820800781 6697994.48046875 -999999, 283241.634765625 6697994.19140625 -999999, 283242.885986328 6697993.0234375 -999999, 283243.230224609 6697992.23046875 -999999, 283243.230224609 6697990.51757813 -999999, 283242.885986328 6697989.7265625 -999999, 283243.482666016 6697987.75585938 -999999, 283244.447265625 6697989.203125 -999999, 283244.998535156 6697990.92578125 -999999, 283244.791748047 6697993.35546875 -999999, 283244.102783203 6697995.75 -999999, 283242.552490234 6698000.17578125 -999999, 283241.656738281 6697999.83203125 -999999, 283239.176269531 6697996.83398438 -999999, 283235.145507813 6698000.34960938 -999999, 283240.623046875 6698007.359375 -999999, 283240.933105469 6698008.1171875 -999999, 283238.762695313 6698016.97070313 -999999, 283238.004882813 6698017.00585938 -999999, 283235.696777344 6698013.62890625 -999999, 283231.252441406 6698016.6953125 -999999, 283234.835449219 6698021.19140625 -999999, 283233.824951172 6698022.13085938 -999999, 283233.286865234 6698021.46875 -999999, 283232.590087891 6698020.9765625 -999999, 283230.935546875 6698020.6328125 -999999, 283230.100341797 6698020.80664063 -999999, 283229.343017578 6698021.19921875 -999999, 283228.276611328 6698022.50976563 -999999, 283228.046386719 6698023.33203125 -999999, 283228.276611328 6698025.00585938 -999999, 283229.343017578 6698026.31640625 -999999, 283230.100341797 6698026.70898438 -999999, 283230.935546875 6698026.8828125 -999999, 283232.590087891 6698026.5390625 -999999, 283233.286865234 6698026.046875 -999999, 283234.164794922 6698024.60351563 -999999, 283234.164794922 6698022.9140625 -999999, 283233.824951172 6698022.13085938 -999999, 283234.835449219 6698021.19140625 -999999, 283237.212402344 6698023.98242188 -999999, 283234.731933594 6698034.78320313 -999999, 283234.284179688 6698035.16210938 -999999, 283233.732910156 6698035.09179688 -999999, 283230.253417969 6698031.95703125 -999999, 283226.050292969 6698036.98632813 -999999, 283233.078369141 6698043.41210938 -999999, 283234.077392578 6698044.2734375 -999999, 283234.490966797 6698045.37695313 -999999, 283234.697509766 6698047.09765625 -999999, 283234.697509766 6698048.54492188 -999999, 283234.697509766 6698050.578125 -999999, 283234.249755859 6698053.765625 -999999, 283233.112792969 6698058.53710938 -999999, 283230.735839844 6698067.40820312 -999999, 283230.460205078 6698068.02734375 -999999, 283227.910644531 6698054.59179688 -999999, 283225.912597656 6698042.77539063 -999999)</t>
  </si>
  <si>
    <t>2015-01-16</t>
  </si>
  <si>
    <t>['EV39 S75D1 m9237 KD6 m334-343']</t>
  </si>
  <si>
    <t>LINESTRING Z (-29131.29 6743386.94 -0.093, -29122.03 6743384.09 -29122.03, -29116.05 6743382 -29116.05, -29112.91 6743380.83 -0.093, -29104.59 6743376.88 -29104.59, -29096.86 6743371.89 -29096.86, -29091.43 6743367.44 -29091.43, -29089.84 6743365.94 -29089.84, -29083.66 6743359.12 -29083.66, -29078.42 6743351.55 -29078.42, -29076.08 6743347.33 -0.093, -29074.99 6743343.92 -29074.99, -29075.07 6743340.36 -29075.07, -29075.11 6743340.22 -29075.11, -29076.35 6743337.02 -29076.35, -29078.64 6743334.29 -29078.64, -29078.86 6743334.11 -0.093, -29076.32 6743331.65 -0.093, -29073.62 6743334.77 -29073.62, -29071.92 6743338.52 -29071.92, -29071.64 6743339.7 -29071.64, -29071.37 6743342.61 -29071.37, -29072.03 6743346.68 -29072.03, -29072.95 6743348.92 -0.093, -29077.75 6743357.03 -29077.75, -29083.56 6743364.47 -29083.56, -29089.07 6743370.04 -29089.07, -29090.25 6743371.1 -29090.25, -29097.74 6743376.82 -29097.74, -29105.9 6743381.56 -29105.9, -29111.61 6743384.09 -0.093, -29121.11 6743387.48 -29121.11, -29124.13 6743388.4 -29124.13, -29130.82 6743390.21 -0.093)</t>
  </si>
  <si>
    <t>POLYGON Z ((-29131.29 6743386.94 -0.093, -29122.03 6743384.09 -29122.03, -29116.05 6743382 -29116.05, -29112.91 6743380.83 -0.093, -29104.59 6743376.88 -29104.59, -29096.86 6743371.89 -29096.86, -29091.43 6743367.44 -29091.43, -29089.84 6743365.94 -29089.84, -29083.66 6743359.12 -29083.66, -29078.42 6743351.55 -29078.42, -29076.08 6743347.33 -0.093, -29074.99 6743343.92 -29074.99, -29075.07 6743340.36 -29075.07, -29075.11 6743340.22 -29075.11, -29076.35 6743337.02 -29076.35, -29078.64 6743334.29 -29078.64, -29078.86 6743334.11 -0.093, -29076.32 6743331.65 -0.093, -29073.62 6743334.77 -29073.62, -29071.92 6743338.52 -29071.92, -29071.64 6743339.7 -29071.64, -29071.37 6743342.61 -29071.37, -29072.03 6743346.68 -29072.03, -29072.95 6743348.92 -0.093, -29077.75 6743357.03 -29077.75, -29083.56 6743364.47 -29083.56, -29089.07 6743370.04 -29089.07, -29090.25 6743371.1 -29090.25, -29097.74 6743376.82 -29097.74, -29105.9 6743381.56 -29105.9, -29111.61 6743384.09 -0.093, -29121.11 6743387.48 -29121.11, -29124.13 6743388.4 -29124.13, -29130.82 6743390.21 -0.093, -29131.29 6743386.94 -0.093))</t>
  </si>
  <si>
    <t>['EV39 S75D1 m7505 KD1 m53-92']</t>
  </si>
  <si>
    <t>LINESTRING Z (-27899.46 6743862.99 -0.092, -27898.12 6743862.88 -27898.12, -27897.52 6743862.28 -27897.52, -27897.35 6743861.79 -27897.35, -27897.7 6743860.5 -27897.7, -27897.95 6743860.26 -0.092, -27915.39 6743847.94 -0.092, -27918.87 6743846.59 -27918.87, -27919.48 6743846.47 -27919.48, -27922.61 6743846.4 -27922.61, -27923.82 6743846.6 -0.092, -27925.15 6743847.3 -27925.15, -27925.55 6743848.1 -27925.55, -27925.6 6743848.75 -27925.6, -27924.9 6743850.1 -27924.9, -27924.71 6743850.23 -0.092)</t>
  </si>
  <si>
    <t>POLYGON ((-27898.079092822823 6743863.378323793, -27898.029302501283 6743863.37170516, -27897.98042745622 6743863.360124468, -27897.932960911636 6743863.343698586, -27897.887381877572 6743863.322593277, -27897.84415031621 6743863.297021524, -27897.80370250014 6743863.267241387, -27897.766446609516 6743863.233553391, -27897.166446609517 6743862.633553391, -27897.136007586632 6743862.600234019, -27897.10869689556 6743862.564305745, -27897.08473703283 6743862.526061272, -27897.06432319606 6743862.485812173, -27897.04762169402 6743862.443886351, -27896.877621694017 6743861.953886351, -27896.86364183574 6743861.905998862, -27896.854503474617 6743861.856956652, -27896.85029757919 6743861.807247917, -27896.85106601742 6743861.757367485, -27896.856801139827 6743861.707811897, -27896.867445855696 6743861.659074457, -27897.2174458557 6743860.369074457, -27897.23119129984 6743860.326165589, -27897.248743673743 6743860.28466833, -27897.26996044444 6743860.244919659, -27897.294669322564 6743860.207242349, -27897.322669661324 6743860.17194236, -27897.353734085737 6743860.139306339, -27897.603734085737 6743859.899306339, -27897.63172834606 6743859.87437952, -27897.661511324513 6743859.851619926, -27915.101511324512 6743847.531619927, -27915.153566802237 6743847.499432931, -27915.209164782456 6743847.473846995, -27918.689164782456 6743846.123846995, -27918.73078936312 6743846.109770473, -27918.773489069765 6743846.099402771, -27919.383489069765 6743845.979402771, -27919.42595542188 6743845.972929398, -27919.468820686838 6743845.970124993, -27922.59882068684 6743845.900124993, -27922.645332454475 6743845.901249945, -27922.691538298168 6743845.906693295, -27923.901538298167 6743846.106693294, -27923.953702093153 6743846.118207772, -27924.004339735046 6743846.135221706, -27924.052873216464 6743846.1575408885, -27925.382873216466 6743846.857540889, -27925.42745567236 6743846.884045254, -27925.469052619967 6743846.915025421, -27925.50721646337 6743846.950148034, -27925.5415365479 6743846.98903516, -27925.57164357889 6743847.031268364, -27925.59721359548 6743847.076393202, -27925.997213595478 6743847.876393202, -27926.016716791695 6743847.920624872, -27926.031857464128 6743847.966533209, -27926.042494088924 6743848.013689094, -27926.04852724275 6743848.0616517505, -27926.09852724275 6743848.711651751, -27926.09993799487 6743848.757874089, -27926.09707228777 6743848.804029073, -27926.08995463466 6743848.849721893, -27926.0786459198 6743848.894561694, -27926.063242877706 6743848.938164918, -27926.043877265696 6743848.980158582, -27925.3438772657 6743850.330158582, -27925.31909752175 6743850.372685289, -27925.290256628025 6743850.412569615, -27925.257634059286 6743850.44942507, -27925.221545935605 6743850.482894517, -27925.182341959007 6743850.512653629, -27924.992341959005 6743850.64265363, -27924.427658040993 6743849.817346371, -27924.513960367727 6743849.75829741, -27925.09054669859 6743848.646309487, -27925.05898468944 6743848.236003367, -27924.77474319601 6743847.667520381, -27923.658682628335 6743847.080120082, -27922.574513917825 6743846.900918643, -27919.53424477589 6743846.968911882, -27919.00975028287 6743847.072091126, -27915.628217819667 6743848.383892513, -27898.269168532894 6743860.646707146, -27898.146258551078 6743860.764700729, -27897.872974183636 6743861.7719488265, -27897.954743427083 6743862.007636646, -27898.34379627188 6743862.39668949, -27899.500907177175 6743862.491676207, -27899.419092822824 6743863.488323794, -27898.079092822823 6743863.378323793))</t>
  </si>
  <si>
    <t>['EV39 S75D1 m7505 KD1 m9-101']</t>
  </si>
  <si>
    <t>LINESTRING Z (-27932.22 6743841.93 -0.092, -27933.38 6743844.08 -27933.38, -27933.53 6743845.7 -27933.53, -27933.4 6743846.52 -27933.4, -27932.26 6743848.68 -27932.26, -27931.66 6743849.25 -0.092, -27929.79 6743850.57 -0.092, -27924.03 6743854.06 -27924.03, -27919.78 6743856.34 -27919.78, -27918.06 6743857.2 -0.092, -27864.39 6743883.67 -0.092, -27855.05 6743888.95 -27855.05, -27853.32 6743890.09 -27853.32, -27846.36 6743895.24 -27846.36, -27843.2 6743897.92 -0.092, -27911.59 6743844.47 -0.092, -27916.42 6743841.52 -27916.42, -27916.49 6743841.48 -27916.49, -27921.74 6743839.62 -0.092, -27924.83 6743839.24 -27924.83, -27925.97 6743839.26 -27925.97, -27927.94 6743839.5 -0.092, -27930.27 6743840.38 -27930.27, -27930.8 6743840.71 -27930.8, -27932.22 6743841.93 -0.092)</t>
  </si>
  <si>
    <t>[181]</t>
  </si>
  <si>
    <t>['FV181 S1D1 m652-815', 'FV181 S1D1 m815-988']</t>
  </si>
  <si>
    <t>LINESTRING Z (290611.779418945 6694068.25170898 -999999, 290597.92175293 6694063.86108398 -999999, 290587.631347656 6694060.4309082 -999999, 290581.594360352 6694058.37304688 -999999, 290578.850219727 6694057.41259766 -999999, 290572.676025391 6694054.94287109 -999999, 290568.422729492 6694051.92456055 -999999, 290563.208984375 6694047.12219238 -999999, 290560.190429688 6694042.32006836 -999999, 290556.623168945 6694035.11682129 -999999, 290551.546508789 6694020.29870605 -999999, 290547.293212891 6694010.96887207 -999999, 290538.923706055 6693999.58081055 -999999, 290532.749511719 6693985.99755859 -999999, 290525.614868164 6693979.68615723 -999999, 290513.437988281 6693970.63061523 -999999, 290508.875854492 6693968.12670899 -999999, 290506.920776367 6693967.06335449 -999999, 290506.509155273 6693966.41162109 -999999, 290506.474853516 6693965.38256836 -999999, 290507.02355957 6693964.31921387 -999999, 290507.743896484 6693963.49597168 -999999, 290508.670043945 6693962.87854004 -999999, 290509.939208984 6693962.5012207 -999999, 290511.139770508 6693962.29541016 -999999, 290520.023803711 6693969.05273438 -999999, 290551.134887695 6693991.21130371 -999999, 290604.644775391 6694026.67871094 -999999, 290602.312255859 6694030.24609375 -999999, 290584.612915039 6694018.99523926 -999999, 290576.655029297 6694013.64428711 -999999, 290572.950439453 6694011.72351074 -999999, 290570.34362793 6694011.58630371 -999999, 290567.462280273 6694012.95825195 -999999, 290564.992553711 6694015.83947754 -999999, 290563.346191406 6694020.36730957 -999999, 290562.934570313 6694026.67871094 -999999, 290564.580932617 6694033.26452637 -999999, 290567.325073242 6694038.61560059 -999999, 290572.127197266 6694044.92700195 -999999, 290578.713012695 6694049.86645508 -999999, 290586.670898438 6694053.15942383 -999999, 290600.940185547 6694057.54980469 -999999, 290607.526000977 6694059.60791016 -999999, 290612.465454102 6694060.70556641 -999999, 290618.228027344 6694061.52856445 -999999, 290625.225463867 6694061.94042969 -999999, 290628.518432617 6694061.39135742 -999999, 290631.536865234 6694060.4309082 -999999, 290633.046142578 6694058.37304688 -999999, 290634.281005859 6694055.62890625 -999999, 290634.006591797 6694051.78735352 -999999, 290632.771728516 6694049.31738281 -999999, 290602.312255859 6694030.24609375 -999999, 290604.644775391 6694026.67871094 -999999, 290650.333862305 6694058.37304688 -999999, 290666.38684082 6694069.28076172 -999999, 290665.014770508 6694073.53417969 -999999, 290651.98034668 6694067.77148438 -999999, 290648.413085938 6694074.49462891 -999999, 290667.072875977 6694082.72680664 -999999, 290670.77746582 6694076.14086914 -999999, 290665.014770508 6694073.53417969 -999999, 290666.38684082 6694069.28076172 -999999, 290701.236816406 6694092.87988281 -999999, 290698.760620117 6694095.61474609 -999999, 290689.242919922 6694088.87915039 -999999, 290685.595581055 6694093.703125 -999999, 290703.157714844 6694106.05151367 -999999, 290706.804931641 6694101.31054688 -999999, 290698.760620117 6694095.61474609 -999999, 290701.236816406 6694092.87988281 -999999, 290734.852050781 6694115.10717774 -999999, 290730.049804688 6694116.66113281 -999999, 290722.527587891 6694111.21948242 -999999, 290718.799072266 6694116.54785156 -999999, 290733.891601562 6694127.38696289 -999999, 290737.560791016 6694122.34179688 -999999, 290730.049804688 6694116.66113281 -999999, 290734.852050781 6694115.10717774 -999999, 290762.018554688 6694133.69848633 -999999, 290760.372070313 6694136.16796875 -999999, 290755.27746582 6694133.02001953 -999999, 290751.453735352 6694138.50048828 -999999, 290768.604370117 6694150.57446289 -999999, 290772.994873047 6694144.67480469 -999999, 290760.372070313 6694136.16796875 -999999, 290762.018554688 6694133.69848633 -999999, 290802.219482422 6694160.86474609 -999999, 290799.887084961 6694162.51147461 -999999, 290791.929199219 6694157.29760742 -999999, 290787.264160156 6694164.02050781 -999999, 290802.493896484 6694173.76220703 -999999, 290807.021728516 6694167.24511719 -999999, 290799.887084961 6694162.51147461 -999999, 290802.219482422 6694160.86474609 -999999, 290830.483642578 6694179.38745117 -999999, 290840.499633789 6694185.42456055 -999999, 290847.771484375 6694188.44311523 -999999, 290854.220092773 6694190.63818359 -999999, 290859.982666016 6694191.32421875 -999999, 290866.980102539 6694191.73583984 -999999, 290883.880249023 6694192.28393555 -999999, 290883.439208984 6694194.48876953 -999999, 290875.501708984 6694194.15795898 -999999, 290872.194458008 6694195.15014649 -999999, 290870.210083008 6694196.36279297 -999999, 290864.697875977 6694200.11108399 -999999, 290859.185791016 6694200.55200195 -999999, 290852.130249023 6694199.44970703 -999999, 290846.177124023 6694197.46533203 -999999, 290832.506958008 6694191.953125 -999999, 290822.93737793 6694188.16870117 -999999, 290815.802734375 6694185.08154297 -999999, 290803.317138672 6694178.90722656 -999999, 290792.228149414 6694172.4375 -999999, 290783.422485352 6694167.24511719 -999999, 290773.132080078 6694160.79638672 -999999, 290758.313964844 6694151.4663086 -999999, 290741.712280273 6694140.07836914 -999999, 290719.896728516 6694125.46606445 -999999, 290701.374023438 6694112.84326172 -999999, 290667.072875977 6694092.1940918 -999999, 290644.434082031 6694081.35498047 -999999, 290631.399658203 6694075.59228516 -999999, 290611.779418945 6694068.25170898 -999999)</t>
  </si>
  <si>
    <t>['FV181 S1D130 m686-736']</t>
  </si>
  <si>
    <t>LINESTRING Z (293638.196533203 6693738.45239258 -999999, 293643.149902344 6693746.67285156 -999999, 293645.2578125 6693749.04418945 -999999, 293646.733154297 6693749.8873291 -999999, 293648.419433594 6693749.94006348 -999999, 293650.421875 6693749.72924805 -999999, 293656.218505859 6693747.09448242 -999999, 293658.537109375 6693745.88244629 -999999, 293659.590820313 6693744.5123291 -999999, 293656.956054688 6693741.06079102 -999999, 293649.526123047 6693733.41992188 -999999, 293643.676757813 6693726.83300781 -999999, 293642.584472656 6693727.82470703 -999999, 293647.181396484 6693733.51391602 -999999, 293650.290771484 6693737.36242676 -999999, 293651.815917969 6693739.24987793 -999999, 293652.923095703 6693740.80273438 -999999, 293653.537353516 6693741.76403809 -999999, 293653.799316406 6693742.42895508 -999999, 293654.139648437 6693743.29296875 -999999, 293653.109619141 6693744.49450684 -999999, 293652.109863281 6693745.19055176 -999999, 293650.969726563 6693745.71618652 -999999, 293649.8046875 6693746.03759766 -999999, 293648.598876953 6693746.27868652 -999999, 293648.118164063 6693746.22631836 -999999, 293646.778564453 6693744.29650879 -999999, 293645.170654297 6693741.98046875 -999999, 293643.085693359 6693738.97717285 -999999, 293641.116455078 6693736.140625 -999999, 293639.666259766 6693734.05187988 -999999, 293638.955566406 6693732.90942383 -999999, 293637.592529297 6693730.54199219 -999999, 293636.389160156 6693728.45166016 -999999, 293635.06640625 6693725.81604004 -999999, 293634.234375 6693723.82519531 -999999, 293633.739013672 6693722.53271484 -999999, 293633.656738281 6693721.80407715 -999999, 293634.018310547 6693720.83972168 -999999, 293634.476806641 6693720.43432617 -999999, 293634.959228516 6693720.07763672 -999999, 293635.555419922 6693720.40002441 -999999, 293636.720458984 6693721.02966309 -999999, 293639.036376953 6693723.37561035 -999999, 293642.584472656 6693727.82470703 -999999, 293643.676757813 6693726.83300781 -999999, 293636.720947266 6693719.24487305 -999999, 293634.297119141 6693716.0567627 -999999, 293630.239501953 6693709.6015625 -999999, 293628.500488281 6693705.64929199 -999999, 293628.078857422 6693706.25537109 -999999, 293627.973632813 6693708.89013672 -999999, 293629.1328125 6693714.84472656 -999999, 293631.978515625 6693724.43530273 -999999, 293635.034667969 6693731.2857666 -999999, 293638.196533203 6693738.45239258 -999999)</t>
  </si>
  <si>
    <t>2025-11-22T09:12:11Z</t>
  </si>
  <si>
    <t>[1602]</t>
  </si>
  <si>
    <t>['KV1602 S1D1 m238-245']</t>
  </si>
  <si>
    <t>LINESTRING Z (272066.051025391 6894014.50799561 -999999, 272062.559082031 6894010.565979 -999999, 272066.434082031 6894009.44897461 -999999, 272067.842041016 6894009.32000733 -999999, 272070.712890625 6894009.62097168 -999999, 272071.4140625 6894010.02697754 -999999, 272071.895019531 6894011.12097168 -999999, 272071.784912109 6894011.98400879 -999999, 272070.597900391 6894012.47698975 -999999, 272065.657958984 6894014.35498047 -999999, 272066.051025391 6894014.50799561 -999999)</t>
  </si>
  <si>
    <t>2025-10-01</t>
  </si>
  <si>
    <t>[2222]</t>
  </si>
  <si>
    <t>['FV2222 S4D1 m1327-1350']</t>
  </si>
  <si>
    <t>LINESTRING Z (280585.078125 6911682.0546875 -999999, 280579.9765625 6911677.984375 493.451, 280574.87109375 6911673.7421875 493.444, 280570.39453125 6911670 493.495, 280568.591796875 6911668.29296875 493.526, 280568.826171875 6911667.37109375 493.494, 280569.455078125 6911666.76171875 493.492, 280570.193359375 6911666.703125 493.482, 280574.087890625 6911669.92578125 493.476, 280580.146484375 6911675.35546875 493.455, 280583.896484375 6911678.671875 493.444, 280585.796875 6911680.7265625 493.432, 280585.76171875 6911681.4765625 493.431, 280585 6911682.06152344 493.393, 280585.078125 6911682.0546875 -999999)</t>
  </si>
  <si>
    <t>[30]</t>
  </si>
  <si>
    <t>['FV30 S20D1 m548-591']</t>
  </si>
  <si>
    <t>LINESTRING Z (280784.927734375 6912432.29296875 -999999, 280790.36328125 6912430.58984375 -999999, 280792.8828125 6912429.0234375 -999999, 280794.09375 6912427.7109375 -999999, 280794.833984375 6912425.64453125 -999999, 280795.009765625 6912423.2265625 -999999, 280795.11328125 6912421.48828125 -999999, 280797.7890625 6912415.34375 482.414, 280802.5546875 6912404.2734375 482.386, 280807.203125 6912394.36328125 482.681, 280805.82421875 6912393.7265625 482.816, 280805.271484375 6912393.47265625 482.871, 280803.28515625 6912393.8046875 482.907, 280801.33984375 6912397.87109375 482.886, 280798.76953125 6912403.84765625 482.867, 280795.8984375 6912411.1640625 482.861, 280792.416015625 6912418.0234375 482.88, 280787.1484375 6912426.34375 482.881, 280785.23828125 6912429.62109375 482.879, 280785.107421875 6912431.734375 482.863, 280785.041015625 6912432.38671875 482.84, 280784.927734375 6912432.29296875 -999999)</t>
  </si>
  <si>
    <t>['FV30 S16D1 m1098-1129']</t>
  </si>
  <si>
    <t>LINESTRING Z (305642.55078125 6935165.78125 -999999, 305642.2578125 6935165.2890625 -999999, 305642.272949219 6935164.56152344 -999999, 305644.102050781 6935164.3515625 -999999, 305647.094238281 6935164.1171875 -999999, 305650.53515625 6935163.9140625 -999999, 305654.796875 6935163.4765625 -999999, 305658.776855469 6935163.06152344 -999999, 305662.604980469 6935162.7109375 -999999, 305666.30078125 6935162.2421875 -999999, 305669.57421875 6935161.9765625 -999999, 305672.2421875 6935161.734375 -999999, 305673.87109375 6935161.5 -999999, 305673.858886719 6935161.78125 -999999, 305673.770019531 6935162.15625 -999999, 305671.272949219 6935162.5078125 -999999, 305668.125 6935162.8359375 -999999, 305664.312011719 6935163.31152344 -999999, 305660.4921875 6935163.75 -999999, 305656.78515625 6935164.1328125 -999999, 305653.21484375 6935164.625 -999999, 305650.62109375 6935164.8671875 -999999, 305647.7578125 6935165.171875 -999999, 305645.444824219 6935165.390625 -999999, 305643.854980469 6935165.5859375 -999999, 305642.46484375 6935165.75 -999999, 305642.55078125 6935165.78125 -999999)</t>
  </si>
  <si>
    <t>2014-08-01</t>
  </si>
  <si>
    <t>['RV2 S8D1 m9403-9509']</t>
  </si>
  <si>
    <t>LINESTRING Z (338936.090087891 6708509.453125 -999999, 338952.238037109 6708531.55859375 155.95, 338950.590087891 6708526.10546875 155.692, 338950.312011719 6708525.21875 155.676, 338948.95703125 6708521.703125 155.583, 338947.190917969 6708517.5546875 155.554, 338944.926025391 6708512.23046875 155.516, 338943.062011719 6708507.859375 155.485, 338942.229980469 6708505.8046875 155.473, 338940.440917969 6708506.33203125 155.473, 338940.5390625 6708507.28515625 155.473, 338936.597900391 6708508.6328125 155.473, 338935.386962891 6708505.5078125 155.473, 338939.116943359 6708504.10546875 155.473, 338939.565917969 6708504.95703125 155.473, 338941.979980469 6708504.14453125 155.473, 338941.679931641 6708499.10546875 155.471, 338941.516113281 6708495.4375 155.464, 338941.25390625 6708489.609375 155.453, 338936.37109375 6708489.5859375 155.363, 338936.375 6708495.45703125 155.333, 338929.827880859 6708495.421875 155.303, 338929.641113281 6708488.30859375 155.163, 338935.375 6708488.1015625 155.307, 338939.429931641 6708487.953125 155.409, 338941.179931641 6708487.890625 155.453, 338940.797119141 6708480.51171875 155.373, 338938.315917969 6708480.62109375 155.295, 338935.727050781 6708480.73828125 155.213, 338935.633056641 6708482.359375 155.213, 338931.258056641 6708482.30078125 155.213, 338931.190917969 6708478.5 155.213, 338935.551025391 6708478.39453125 155.213, 338935.602050781 6708479.19921875 155.213, 338940.715087891 6708479.0859375 155.353, 338940.516113281 6708474.9921875 155.303, 338940.323974609 6708470.75390625 155.258, 338940.0859375 6708465.52734375 155.203, 338939.988037109 6708463.1171875 155.183, 338937.902099609 6708463.171875 155.203, 338937.952880859 6708464.00390625 155.203, 338933.827880859 6708464.2578125 155.183, 338933.647949219 6708460.328125 155.183, 338937.58203125 6708460.29296875 155.183, 338937.6640625 6708461.5 155.183, 338939.922119141 6708461.46875 155.183, 338939.784912109 6708458.0703125 155.169, 338939.590087891 6708453.84375 155.163, 338939.448974609 6708451.171875 155.163, 338939.077880859 6708446.1796875 155.262, 338938.718994141 6708442.63671875 155.413, 338938.488037109 6708440.30078125 155.513, 338936.202880859 6708440.3515625 -999999, 338935.948974609 6708436.40625 -999999, 338939.125 6708436.28125 -999999, 338939.233886719 6708437.3203125 155.593, 338943.097900391 6708437.1875 155.669, 338944.258056641 6708434.40625 155.13, 338945.073974609 6708431.875 155.124, 338945.320068359 6708430.98046875 155.123, 338946.270019531 6708426.7734375 155.123, 338937.434082031 6708427.5546875 -999999, 338934.198974609 6708431.9296875 -999999, 338931.343994141 6708469.73828125 -999999, 338929.641113281 6708488.30859375 155.163, 338929.827880859 6708495.421875 155.303, 338935.772949219 6708509.0625 -999999, 338936.090087891 6708509.453125 -999999)</t>
  </si>
  <si>
    <t>2023-11-01</t>
  </si>
  <si>
    <t>['RV2 S10D1 m7101-7169']</t>
  </si>
  <si>
    <t>LINESTRING (338089.1914271214 6723120.070865841, 338089.7437851954 6723111.427365828, 338088.9754629547 6723110.69127277, 338087.86587045155 6723112.1725094775, 338086.4009452211 6723110.660395727, 338085.83913259977 6723110.428796391, 338087.21479560935 6723107.94769065, 338081.5605210447 6723103.997728196, 338080.2451073455 6723105.707554047, 338077.31149345683 6723103.620268397, 338079.4248083365 6723100.881925379, 338089.11722497665 6723107.308543602, 338094.78721089195 6723099.346364844, 338094.3280187977 6723097.311866524, 338089.8630915703 6723094.4452440655, 338088.4053452782 6723095.916116271, 338085.08129571815 6723093.8017931115, 338087.5371554275 6723090.635383181, 338096.2793120699 6723096.563420369, 338101.03510106885 6723089.523182073, 338098.6103026414 6723086.244541156, 338097.44141873234 6723087.434739874, 338095.0003434231 6723085.815981548, 338097.2767232938 6723082.802644674, 338101.91368766676 6723086.073510076, 338104.64997129247 6723083.268296627, 338105.6111915546 6723081.75703505, 338109.2727427144 6723082.1064306265, 338110.38133011496 6723080.550912598, 338111.46456853306 6723079.041146828, 338113.1693584201 6723077.090751441, 338115.0393187506 6723075.2779059885, 338115.834853842 6723074.561780141, 338118.7449031114 6723073.081305147, 338121.90958001686 6723071.533607005, 338124.2841520831 6723070.579111693, 338125.92621124396 6723069.914103142, 338127.93427763064 6723069.098787854, 338124.1194118288 6723065.7016608445, 338120.1865857974 6723068.086927711, 338117.7793502734 6723069.533613344, 338114.8176775193 6723071.3286875775, 338112.22055098484 6723073.062742352, 338109.06510318 6723075.424178494, 338106.3591484191 6723077.4196485905, 338103.1771503738 6723079.191194269, 338099.3744440662 6723080.934925317, 338094.29223053873 6723083.238138806, 338090.03169326653 6723085.649348451, 338088.5449186374 6723086.597351852, 338086.60155943036 6723088.971150627, 338084.4599168241 6723091.811138187, 338082.2923851604 6723094.563071573, 338080.2048726209 6723097.1441132855, 338077.72313139564 6723100.222472923, 338076.4250905247 6723101.831143846, 338075.5729829677 6723102.87325419, 338084.04566073546 6723113.7782489, 338086.6391584462 6723120.486906981, 338089.1914271214 6723120.070865841)</t>
  </si>
  <si>
    <t>POLYGON ((338089.1914271214 6723120.070865841, 338089.7437851954 6723111.427365828, 338088.9754629547 6723110.69127277, 338087.86587045155 6723112.1725094775, 338086.4009452211 6723110.660395727, 338085.83913259977 6723110.428796391, 338087.21479560935 6723107.94769065, 338081.5605210447 6723103.997728196, 338080.2451073455 6723105.707554047, 338077.31149345683 6723103.620268397, 338079.4248083365 6723100.881925379, 338089.11722497665 6723107.308543602, 338094.78721089195 6723099.346364844, 338094.3280187977 6723097.311866524, 338089.8630915703 6723094.4452440655, 338088.4053452782 6723095.916116271, 338085.08129571815 6723093.8017931115, 338087.5371554275 6723090.635383181, 338096.2793120699 6723096.563420369, 338101.03510106885 6723089.523182073, 338098.6103026414 6723086.244541156, 338097.44141873234 6723087.434739874, 338095.0003434231 6723085.815981548, 338097.2767232938 6723082.802644674, 338101.91368766676 6723086.073510076, 338104.64997129247 6723083.268296627, 338105.6111915546 6723081.75703505, 338109.2727427144 6723082.1064306265, 338110.38133011496 6723080.550912598, 338111.46456853306 6723079.041146828, 338113.1693584201 6723077.090751441, 338115.0393187506 6723075.2779059885, 338115.834853842 6723074.561780141, 338118.7449031114 6723073.081305147, 338121.90958001686 6723071.533607005, 338124.2841520831 6723070.579111693, 338125.92621124396 6723069.914103142, 338127.93427763064 6723069.098787854, 338124.1194118288 6723065.7016608445, 338120.1865857974 6723068.086927711, 338117.7793502734 6723069.533613344, 338114.8176775193 6723071.3286875775, 338112.22055098484 6723073.062742352, 338109.06510318 6723075.424178494, 338106.3591484191 6723077.4196485905, 338103.1771503738 6723079.191194269, 338099.3744440662 6723080.934925317, 338094.29223053873 6723083.238138806, 338090.03169326653 6723085.649348451, 338088.5449186374 6723086.597351852, 338086.60155943036 6723088.971150627, 338084.4599168241 6723091.811138187, 338082.2923851604 6723094.563071573, 338080.2048726209 6723097.1441132855, 338077.72313139564 6723100.222472923, 338076.4250905247 6723101.831143846, 338075.5729829677 6723102.87325419, 338084.04566073546 6723113.7782489, 338086.6391584462 6723120.486906981, 338089.1914271214 6723120.070865841))</t>
  </si>
  <si>
    <t>['FV222 S1D1 m127 KD1 m0-87']</t>
  </si>
  <si>
    <t>LINESTRING Z (297557.363037109 6727605.37109375 -999999, 297557.588989258 6727605.45898438 -999999, 297558.234985352 6727605.83789062 -999999, 297559.180053711 6727606.62304688 -999999, 297560.157958984 6727607.77709961 -999999, 297560.96496582 6727609.18798828 -999999, 297561.473022461 6727610.69091797 -999999, 297561.829956055 6727612.44702149 -999999, 297561.760986328 6727614.07006836 -999999, 297561.46496582 6727615.60205078 -999999, 297560.892944336 6727616.98608398 -999999, 297560.155029297 6727618.23193359 -999999, 297559.269042969 6727619.27294922 -999999, 297558.218994141 6727620.19897461 -999999, 297557.077026367 6727620.85009766 -999999, 297555.946044922 6727621.36694336 -999999, 297554.347045898 6727621.77490234 -999999, 297552.807983398 6727621.89599609 -999999, 297551.616943359 6727621.76391602 -999999, 297550.076049805 6727621.38110352 -999999, 297548.712036133 6727620.78491211 -999999, 297547.671020508 6727620.13891602 -999999, 297546.62902832 6727619.25195313 -999999, 297545.864990234 6727618.29492188 -999999, 297545.109985352 6727616.96704102 -999999, 297544.579956055 6727615.70703125 -999999, 297544.29699707 6727614.27099609 -999999, 297544.140014648 6727612.80102539 -999999, 297544.270019531 6727611.83007812 -999999, 297544.604003906 6727610.48803711 -999999, 297545.022949219 6727609.33789063 -999999, 297545.791015625 6727607.95703125 -999999, 297546.697998047 6727606.89306641 -999999, 297547.725952148 6727605.94702149 -999999, 297548.568969727 6727605.39111328 -999999, 297549.447998047 6727604.98193359 -999999, 297550.926025391 6727604.43188477 -999999, 297551.760009766 6727604.24609375 -999999, 297552.894042969 6727604.22998047 -999999, 297553.677001953 6727604.20092773 -999999, 297554.469970703 6727604.28295898 -999999, 297555.404052734 6727604.47998047 -999999, 297556.37097168 6727604.78491211 -999999, 297557.000976563 6727605.22998047 -999999, 297555.270996094 6727608.875 -999999, 297554.973999023 6727608.70092773 -999999, 297554.531982422 6727608.58789063 -999999, 297554.105957031 6727608.47705078 -999999, 297553.642944336 6727608.37109375 -999999, 297553.16394043 6727608.38110352 -999999, 297552.484008789 6727608.39599609 -999999, 297551.782958984 6727608.57592773 -999999, 297551.048950195 6727608.81811524 -999999, 297550.426025391 6727609.21704102 -999999, 297550.009033203 6727609.48388672 -999999, 297549.478027344 6727610.06811523 -999999, 297549.161987305 6727610.41992188 -999999, 297548.831054687 6727611.04711914 -999999, 297548.623046875 6727611.47509766 -999999, 297548.451049805 6727612.08203125 -999999, 297548.328979492 6727612.74389649 -999999, 297548.302001953 6727613.11889649 -999999, 297548.363037109 6727613.7890625 -999999, 297548.421020508 6727614.32006836 -999999, 297548.541015625 6727614.63500977 -999999, 297548.762939453 6727615.21704102 -999999, 297548.952026367 6727615.61694336 -999999, 297549.251953125 6727616.02099609 -999999, 297549.637939453 6727616.54296875 -999999, 297549.951049805 6727616.80297852 -999999, 297550.203979492 6727617 -999999, 297551.327026367 6727617.64306641 -999999, 297552.015991211 6727617.89794922 -999999, 297552.494995117 6727617.95288086 -999999, 297553.041015625 6727618.01611328 -999999, 297553.16796875 6727618.03100586 -999999, 297553.54296875 6727617.98999023 -999999, 297554.125976563 6727617.89794922 -999999, 297554.733032227 6727617.74389649 -999999, 297555.161987305 6727617.54711914 -999999, 297555.473999023 6727617.40209961 -999999, 297556.011962891 6727617.05102539 -999999, 297556.29699707 6727616.80908203 -999999, 297556.510009766 6727616.62695313 -999999, 297556.781982422 6727616.375 -999999, 297557.011962891 6727616.03491211 -999999, 297557.225952148 6727615.71704102 -999999, 297557.443969727 6727615.39306641 -999999, 297557.569946289 6727615.08203125 -999999, 297557.698974609 6727614.69091797 -999999, 297557.812011719 6727614.34790039 -999999, 297557.909057617 6727613.97998047 -999999, 297557.918945313 6727613.75610352 -999999, 297557.933959961 6727613.42602539 -999999, 297557.958984375 6727612.88305664 -999999, 297557.890991211 6727612.42797852 -999999, 297557.769042969 6727611.89794922 -999999, 297557.562011719 6727611.26806641 -999999, 297557.29296875 6727610.77905274 -999999, 297557.104980469 6727610.43603516 -999999, 297556.883056641 6727610.14794922 -999999, 297555.902954102 6727609.23803711 -999999, 297555.602050781 6727609.06396484 -999999, 297555.303955078 6727608.89306641 -999999, 297557 6727605.22998047 -999999, 297557.208007813 6727605.34008789 -999999, 297557.363037109 6727605.37109375 -999999)</t>
  </si>
  <si>
    <t>['FV222 S1D1 m0 KD1 m0-88']</t>
  </si>
  <si>
    <t>LINESTRING Z (297698.610961914 6727651.30493164 -999999, 297699.536010742 6727650.90600586 -999999, 297700.099975586 6727650.79907227 -999999, 297701.176025391 6727650.64599609 -999999, 297702.146972656 6727650.55688477 -999999, 297702.838989258 6727650.64111328 -999999, 297703.677001953 6727650.7109375 -999999, 297704.380004883 6727650.92602539 -999999, 297705.41394043 6727651.31103516 -999999, 297706.246948242 6727651.73193359 -999999, 297707.156005859 6727652.36889648 -999999, 297708.159057617 6727653.23999023 -999999, 297709.218994141 6727654.51000977 -999999, 297709.916992188 6727655.68603516 -999999, 297710.479003906 6727657.16601563 -999999, 297710.687988281 6727658.4609375 -999999, 297710.786987305 6727659.94702148 -999999, 297710.635986328 6727661.31201172 -999999, 297710.203979492 6727662.6640625 -999999, 297709.448974609 6727664.10009766 -999999, 297708.66394043 6727665.20898438 -999999, 297707.655029297 6727666.11303711 -999999, 297706.358032227 6727667.08007813 -999999, 297705.139038086 6727667.69311523 -999999, 297703.75402832 6727668.11303711 -999999, 297702.125 6727668.28295898 -999999, 297700.71105957 6727668.16992188 -999999, 297699.319946289 6727667.92993164 -999999, 297698.048950195 6727667.36108399 -999999, 297696.881958008 6727666.72998047 -999999, 297695.635986328 6727665.64111328 -999999, 297694.699951172 6727664.50805664 -999999, 297693.963989258 6727663.11499023 -999999, 297693.485961914 6727661.73608399 -999999, 297693.192993164 6727660.15405274 -999999, 297693.193969727 6727658.54711914 -999999, 297693.483032227 6727657.06103516 -999999, 297694.005004883 6727655.70092773 -999999, 297694.67199707 6727654.49389648 -999999, 297695.686035156 6727653.25610352 -999999, 297696.656005859 6727652.35205078 -999999, 297697.687988281 6727651.70507813 -999999, 297699.869995117 6727655.40991211 -999999, 297699.071044922 6727655.92407227 -999999, 297698.597045898 6727656.45507813 -999999, 297698.274047852 6727656.83203125 -999999, 297698.068969727 6727657.25 -999999, 297697.854003906 6727657.69091797 -999999, 297697.723999023 6727658.125 -999999, 297697.635986328 6727658.60009766 -999999, 297697.573974609 6727659.14501953 -999999, 297697.645996094 6727659.93408203 -999999, 297697.811035156 6727660.54907227 -999999, 297697.965942383 6727660.95507813 -999999, 297698.140991211 6727661.34594727 -999999, 297698.478027344 6727661.79907227 -999999, 297698.729003906 6727662.13891602 -999999, 297699.098999023 6727662.45898438 -999999, 297699.541015625 6727662.80297852 -999999, 297699.883056641 6727663.00390625 -999999, 297700.270996094 6727663.16210938 -999999, 297700.583984375 6727663.2890625 -999999, 297701.201049805 6727663.42407227 -999999, 297701.671020508 6727663.47705078 -999999, 297702.206054688 6727663.47290039 -999999, 297702.532958984 6727663.41796875 -999999, 297703.062011719 6727663.33398437 -999999, 297703.394042969 6727663.19897461 -999999, 297703.916015625 6727662.95898438 -999999, 297704.540039063 6727662.53491211 -999999, 297704.864013672 6727662.25805664 -999999, 297705.21496582 6727661.87695313 -999999, 297705.563964844 6727661.35498047 -999999, 297705.764038086 6727661.02001953 -999999, 297705.926025391 6727660.52709961 -999999, 297706.110961914 6727659.84399414 -999999, 297706.135986328 6727659.3359375 -999999, 297706.156982422 6727658.85205078 -999999, 297706.027954102 6727658.24389649 -999999, 297705.92199707 6727657.78710938 -999999, 297705.592041016 6727657.11499023 -999999, 297705.313964844 6727656.62304688 -999999, 297704.683959961 6727655.97705078 -999999, 297704.387939453 6727655.72900391 -999999, 297704.024047852 6727655.52001953 -999999, 297703.126953125 6727655.11694336 -999999, 297702.657958984 6727654.99804688 -999999, 297702.343017578 6727654.92211914 -999999, 297701.753051758 6727654.93408203 -999999, 297701.364013672 6727654.94311523 -999999, 297700.95300293 6727655.01806641 -999999, 297700.53503418 6727655.14501953 -999999, 297700.196044922 6727655.24804688 -999999, 297699.848999023 6727655.42407227 -999999, 297697.687988281 6727651.70507813 -999999, 297698.241943359 6727651.50390625 -999999, 297698.610961914 6727651.30493164 -999999)</t>
  </si>
  <si>
    <t>[1902]</t>
  </si>
  <si>
    <t>['FV1902 S1D1 m169 KD1 m0-13', 'FV1902 S1D1 m169 KD1 m57-88']</t>
  </si>
  <si>
    <t>LINESTRING Z (296711.260986328 6734117.5759964 186.551, 296712.593994141 6734122.66500092 -999999, 296712.156982422 6734122.79299927 -999999, 296711.744995117 6734122.9469986 -999999, 296711.411010742 6734123.11599731 -999999, 296710.741943359 6734123.53399658 -999999, 296710.437988281 6734123.78900147 -999999, 296709.987060547 6734124.23500061 -999999, 296709.553955078 6734124.79699707 -999999, 296709.218994141 6734125.37400055 -999999, 296709.063964844 6734125.70999908 -999999, 296708.864990234 6734126.29699707 -999999, 296708.79699707 6734126.59899902 -999999, 296708.702026367 6734127.27100372 -999999, 296708.692993164 6734127.84899902 -999999, 296708.734008789 6734128.33000183 -999999, 296708.798950195 6734128.73899841 -999999, 296709.081054688 6734129.60899353 -999999, 296709.29699707 6734130.07099915 -999999, 296709.568969727 6734130.53100586 -999999, 296709.876953125 6734130.92900086 -999999, 296710.395996094 6734131.47399902 -999999, 296710.755004883 6734131.75700378 -999999, 296710.999023438 6734131.93099976 -999999, 296711.37097168 6734132.1519928 -999999, 296711.767944336 6734132.34100342 -999999, 296712.16003418 6734132.4980011 -999999, 296712.465942383 6734132.58799744 -999999, 296712.793945313 6734132.66900635 -999999, 296713.083984375 6734132.71499634 -999999, 296713.750976563 6734132.76800537 -999999, 296714.08605957 6734132.76400757 -999999, 296714.527954102 6734132.72399902 -999999, 296715.092041016 6734132.60800171 -999999, 296715.593994141 6734132.44799805 -999999, 296715.892944336 6734132.33399963 -999999, 296716.454956055 6734132.04200745 -999999, 296716.685058594 6734131.88800049 -999999, 296716.939941406 6734131.71499634 -999999, 296717.176025391 6734131.51100159 -999999, 296717.385009766 6734131.32699585 -999999, 296717.614990234 6734131.07899475 -999999, 296717.781005859 6734130.89199829 -999999, 296717.938964844 6734130.68699646 -999999, 296718.097045898 6734130.45700073 -999999, 296718.301025391 6734130.12199402 -999999, 296718.505981445 6734129.72200012 -999999, 296718.604003906 6734129.46200562 -999999, 296718.770019531 6734128.95599365 -999999, 296718.87097168 6734128.50900269 -999999, 296718.923950195 6734128.03100586 -999999, 296718.937988281 6734127.56999969 -999999, 296718.927978516 6734127.2440033 -999999, 296718.858032227 6734126.74099731 -999999, 296718.748046875 6734126.26399994 -999999, 296718.560058594 6734125.71099854 -999999, 296718.37097168 6734125.28700256 -999999, 296718.255981445 6734125.09200287 -999999, 296718.102050781 6734124.82700348 -999999, 296717.833007813 6734124.46499634 -999999, 296717.675048828 6734124.26000214 -999999, 296717.280029297 6734123.86299896 -999999, 296716.942993164 6734123.58599854 -999999, 296716.727050781 6734123.41799927 -999999, 296716.58605957 6734123.33000183 -999999, 296716.260986328 6734123.13700104 -999999, 296715.943969727 6734122.98200226 -999999, 296715.687988281 6734122.8710022 -999999, 296715.125 6734122.68800354 -999999, 296714.645019531 6734122.58699799 -999999, 296714.255981445 6734122.53099823 -999999, 296713.760009766 6734122.51599884 -999999, 296713.444946289 6734122.53199768 -999999, 296713.12097168 6734122.56199646 -999999, 296712.933959961 6734122.59100342 -999999, 296712.510986328 6734122.68399811 -999999, 296711.260986328 6734117.5759964 186.551, 296714.135009766 6734117.26200104 186.641, 296716.775024414 6734117.68399811 186.741, 296719.001953125 6734118.625 186.831, 296720.949951172 6734120.05599976 186.921, 296722.676025391 6734122.10600281 187.021, 296723.87902832 6734124.72799683 187.111, 296724.33203125 6734127.6989975 187.181, 296723.932006836 6734130.67900086 187.221, 296722.760009766 6734133.32899475 187.231, 296721.071044922 6734135.41400147 187.221, 296719.145019531 6734136.86599732 187.181, 296716.935058594 6734137.84199524 187.121, 296714.296020508 6734138.31399536 187.041, 296711.41796875 6734138.04400635 186.941, 296708.616943359 6734136.95500183 186.831, 296706.237060547 6734135.11300659 186.711, 296704.536010742 6734132.7769928 186.611, 296703.584960938 6734130.27400208 186.531, 296703.28503418 6734127.8809967 186.481, 296703.547973633 6734125.47599793 186.441, 296704.46105957 6734122.96299744 186.421, 296706.134033203 6734120.59700012 186.431, 296708.473022461 6734118.71499634 186.481, 296711.260986328 6734117.5759964 186.551)</t>
  </si>
  <si>
    <t>[224]</t>
  </si>
  <si>
    <t>['FV224 S2D1 m2121-2145']</t>
  </si>
  <si>
    <t>LINESTRING Z (289437.95703125 6747085.73339844 148.925, 289438.282958984 6747087.19042969 148.886, 289438.295898438 6747088.74707031 148.896, 289438.04296875 6747090.45996094 148.903, 289437.553955078 6747091.90136719 148.862, 289437.12109375 6747092.66308594 148.859, 289435.506103516 6747094.9140625 148.945, 289432.424072266 6747099.16308594 149.109, 289430.354980469 6747102.00195312 149.22, 289428.782958984 6747104.15820313 149.304, 289426.910888672 6747106.578125 149.414, 289426.056884766 6747106.97753906 149.51, 289425.298095703 6747106.53710938 149.641, 289424.802001953 6747106.03222656 149.612, 289424.780029297 6747105.70507813 149.586, 289425.420898438 6747104.48730469 149.617, 289426.670898438 6747102.15234375 149.679, 289428.24609375 6747099.34375 149.723, 289428.493896484 6747098.93164063 149.722, 289429.12109375 6747099.32421875 -999999, 289430.426025391 6747100.20019531 -999999, 289431.769042969 6747098.29101563 -999999, 289433.990966797 6747095.13476563 -999999, 289435.443115234 6747093.07324219 -999999, 289435.489990234 6747093.00683594 -999999, 289434.635986328 6747092.43164062 -999999, 289433.978027344 6747091.98828125 -999999, 289431.923095703 6747095.08007813 -999999, 289430.331054687 6747097.47363281 -999999, 289429.448974609 6747098.80078125 -999999, 289429.106933594 6747099.31542969 -999999, 289428.490966797 6747098.93652344 149.722, 289429.892089844 6747096.60742188 149.718, 289432.165039062 6747092.828125 149.71, 289433.375976563 6747090.60058594 149.643, 289434.2109375 6747089.01660156 149.582, 289435.105957031 6747087.20605469 149.442, 289435.553955078 6747086.39648438 149.394, 289435.797119141 6747086.34570313 149.364, 289436.357910156 6747086.22167969 149.239, 289437.229980469 6747085.95507813 149.068, 289437.95703125 6747085.73339844 148.925)</t>
  </si>
  <si>
    <t>[1846]</t>
  </si>
  <si>
    <t>['FV1846 S1D1 m1086-1117']</t>
  </si>
  <si>
    <t>LINESTRING Z (301599.358886719 6748889.63397217 -999999, 301600.428222656 6748893.10198975 -999999, 301603.41015625 6748891.51397705 -999999, 301601.744140625 6748888.35101318 -999999, 301599.358886719 6748889.63397217 -999999, 301598.970214844 6748888.59100342 236.107, 301602.12890625 6748886.72802734 236.16, 301606.690917969 6748883.92401123 236.239, 301609.229980469 6748882.27001953 236.287, 301613.553222656 6748888.86199951 236.292, 301610.541992187 6748889.97198486 236.199, 301606.191894531 6748891.46502686 236.103, 301603.538085938 6748892.3460083 236.055, 301598.238769531 6748893.95898438 236.014, 301594.684082031 6748895.03399658 235.989, 301591.146972656 6748895.95898438 235.955, 301588.337890625 6748896.61901855 235.924, 301586.327148438 6748897.09197998 235.902, 301584.856933594 6748897.43701172 235.885, 301584.312011719 6748894.92498779 235.95, 301585.42578125 6748894.62799072 235.954, 301587.145996094 6748894.15899658 235.959, 301589.395996094 6748893.32299805 235.959, 301591.088867188 6748892.69299316 235.959, 301593.262207031 6748891.70202637 235.988, 301595.490234375 6748890.54400635 236.04, 301597.544921875 6748889.45098877 236.085, 301598.400878906 6748888.940979 236.099, 301598.963867188 6748888.60797119 236.108, 301599.358886719 6748889.63397217 -999999)</t>
  </si>
  <si>
    <t>['RV3 S1D1 m1069-1167']</t>
  </si>
  <si>
    <t>LINESTRING Z (297023.87109375 6736244.26800537 -999999, 297019.604003906 6736250.29699707 174.658, 297015.650878906 6736255.84399414 -999999, 297012.470947266 6736257.35498047 -999999, 297014.748046875 6736266.88299561 174.73, 297017.482910156 6736278.32598877 174.572, 297020.174072266 6736288.95098877 174.591, 297022.343017578 6736293.44299316 174.535, 297025.616943359 6736298.98400879 174.41, 297029.854980469 6736304.94897461 174.261, 297031.846923828 6736306.41400147 174.301, 297043.145996094 6736313.54302979 174.825, 297051.936035156 6736319.20202637 174.977, 297062.126953125 6736325.83502197 174.861, 297069.933105469 6736331.02398682 174.609, 297071.12109375 6736332.07299805 174.519, 297075.479980469 6736327.60900879 -999999, 297073.195068359 6736321.26397705 173.621, 297070.158935547 6736315.89202881 173.621, 297067.717041016 6736313.00097656 173.602, 297064.615966797 6736310.48297119 173.659, 297055.729003906 6736304.21899414 173.832, 297046.427978516 6736297.63702393 173.871, 297044.627929688 6736295.93902588 173.825, 297042.554931641 6736292.75799561 173.749, 297036.980957031 6736279.59802246 173.671, 297032.224121094 6736266.81799316 173.651, 297025.885009766 6736249.68902588 173.542, 297023.502929688 6736244.62701416 174.563, 297023.87109375 6736244.26800537 -999999)</t>
  </si>
  <si>
    <t>['RV3 S1D1 m1527 KD1 m260-271']</t>
  </si>
  <si>
    <t>LINESTRING Z (297255.004882813 6736630.83700561 -999999, 297255.527832031 6736630.63400269 171.829, 297255.606933594 6736630.45001221 171.819, 297255.613769531 6736630.10800171 171.813, 297255.568847656 6736629.91699219 171.816, 297255.401855469 6736629.22900391 171.824, 297255.306152344 6736628.83401489 171.829, 297255.287109375 6736628.75500488 171.83, 297254.763183594 6736627.25500488 171.838, 297254.658203125 6736626.96099854 171.84, 297254.583007813 6736626.75100708 171.841, 297254.228027344 6736625.75900269 171.846, 297253.833984375 6736624.71398926 171.853, 297253.318847656 6736623.73400879 171.87, 297252.907226563 6736622.98400879 171.883, 297252.570800781 6736622.56799316 171.895, 297251.743164063 6736621.54199219 171.924, 297251.477050781 6736621.28799439 171.937, 297251.312988281 6736621.23901367 171.949, 297251.057128906 6736621.1619873 171.968, 297250.937988281 6736621.12600708 171.977, 297250.853027344 6736621.1289978 171.981, 297250.509765625 6736621.3380127 171.981, 297250.308105469 6736621.66400146 171.934, 297250.163085938 6736622.26998901 171.84, 297250.7578125 6736623.88101196 171.825, 297251.573242188 6736626.08200073 171.805, 297252.228027344 6736627.47900391 171.822, 297252.67578125 6736628.35501099 171.84, 297253.478027344 6736629.60598755 171.851, 297253.818847656 6736630.07598877 171.851, 297254.163085938 6736630.47198486 171.844, 297254.321777344 6736630.625 171.839, 297254.375 6736630.67700195 171.837, 297254.498046875 6736630.79501343 171.832, 297254.608886719 6736630.84799194 171.831, 297254.723144531 6736630.87200928 171.831, 297254.603027344 6736630.84698486 171.831, 297255.004882813 6736630.83700561 -999999)</t>
  </si>
  <si>
    <t>2015-02-04</t>
  </si>
  <si>
    <t>['FV6692 S2D1 m1779-1831']</t>
  </si>
  <si>
    <t>LINESTRING Z (273238.32 7042291.07 273238.454, 273238.84 7042291.58 273238.974, 273274.99 7042255.68 273275.124, 273274.7 7042255.07 273274.834, 273254.45 7042273.51 273254.584, 273241.73 7042287.49 273241.864, 273238.32 7042291.07 273238.454)</t>
  </si>
  <si>
    <t>POLYGON Z ((273238.32 7042291.07 273238.454, 273238.84 7042291.58 273238.974, 273274.99 7042255.68 273275.124, 273274.7 7042255.07 273274.834, 273254.45 7042273.51 273254.584, 273241.73 7042287.49 273241.864, 273238.32 7042291.07 273238.454))</t>
  </si>
  <si>
    <t>['FV6692 S2D1 m1743-1775']</t>
  </si>
  <si>
    <t>LINESTRING Z (273212.95 7042317.08 273213.084, 273235.52 7042294.38 273235.654, 273235.75 7042295.13 273235.884, 273234.64 7042296.57 273234.774, 273222.52 7042308.62 273222.654, 273213.17 7042317.84 273213.304, 273212.95 7042317.08 273213.084)</t>
  </si>
  <si>
    <t>POLYGON Z ((273212.95 7042317.08 273213.084, 273235.52 7042294.38 273235.654, 273235.75 7042295.13 273235.884, 273234.64 7042296.57 273234.774, 273222.52 7042308.62 273222.654, 273213.17 7042317.84 273213.304, 273212.95 7042317.08 273213.084))</t>
  </si>
  <si>
    <t>['FV6692 S2D1 m1598-1738']</t>
  </si>
  <si>
    <t>LINESTRING Z (273152.17 7042363.46 273152.304, 273149.72 7042364.2 273149.854, 273137.6 7042366.8 273137.734, 273132.73 7042365.17 273132.864, 273130 7042365.43 273130.134, 273123.38 7042366.73 273123.514, 273110.56 7042369.68 273110.694, 273099.78 7042372.15 273099.913, 273095.54 7042373.11 273095.673, 273092.52 7042373.34 273092.653, 273090.25 7042373.61 273090.383, 273087.52 7042372.74 273087.653, 273089.61 7042372.32 273089.743, 273104.05 7042369.17 273104.183, 273129.35 7042363.3 273129.484, 273150.15 7042361.07 273150.284, 273157.2 7042360.1 273157.334, 273169.59 7042353.02 273169.724, 273197.19 7042334.01 273197.324, 273209.63 7042320.11 273209.764, 273210.21 7042323.56 273210.344, 273199.69 7042333.21 273199.824, 273188.57 7042342.06 273188.704, 273185.49 7042344.39 273185.624, 273168.94 7042355.64 273169.074, 273164.78 7042358.28 273164.914, 273152.07 7042363.47 273152.204)</t>
  </si>
  <si>
    <t>POLYGON Z ((273152.17 7042363.46 273152.304, 273149.72 7042364.2 273149.854, 273137.6 7042366.8 273137.734, 273132.73 7042365.17 273132.864, 273130 7042365.43 273130.134, 273123.38 7042366.73 273123.514, 273110.56 7042369.68 273110.694, 273099.78 7042372.15 273099.913, 273095.54 7042373.11 273095.673, 273092.52 7042373.34 273092.653, 273090.25 7042373.61 273090.383, 273087.52 7042372.74 273087.653, 273089.61 7042372.32 273089.743, 273104.05 7042369.17 273104.183, 273129.35 7042363.3 273129.484, 273150.15 7042361.07 273150.284, 273157.2 7042360.1 273157.334, 273169.59 7042353.02 273169.724, 273197.19 7042334.01 273197.324, 273209.63 7042320.11 273209.764, 273210.21 7042323.56 273210.344, 273199.69 7042333.21 273199.824, 273188.57 7042342.06 273188.704, 273185.49 7042344.39 273185.624, 273168.94 7042355.64 273169.074, 273164.78 7042358.28 273164.914, 273152.07 7042363.47 273152.204, 273152.17 7042363.46 273152.304))</t>
  </si>
  <si>
    <t>['FV6692 S2D1 m1594-1646']</t>
  </si>
  <si>
    <t>LINESTRING Z (273097.83 7042412.25 273097.963, 273095.64 7042410.81 273095.773, 273094.14 7042409.31 273094.273, 273093.75 7042406.74 273093.883, 273093.83 7042403.17 273093.963, 273095.54 7042400.95 273095.673, 273099.3 7042398.68 273099.433, 273108.41 7042396.45 273108.543, 273128.81 7042391.79 273128.944, 273138.13 7042389 273138.264, 273144.11 7042389.81 273144.244, 273144.62 7042390.86 273144.754, 273112.92 7042400.69 273113.053, 273101.98 7042403.91 273102.113, 273099.03 7042407.48 273099.163, 273098.34 7042410.28 273098.473, 273097.83 7042412.25 273097.963)</t>
  </si>
  <si>
    <t>POLYGON Z ((273097.83 7042412.25 273097.963, 273095.64 7042410.81 273095.773, 273094.14 7042409.31 273094.273, 273093.75 7042406.74 273093.883, 273093.83 7042403.17 273093.963, 273095.54 7042400.95 273095.673, 273099.3 7042398.68 273099.433, 273108.41 7042396.45 273108.543, 273128.81 7042391.79 273128.944, 273138.13 7042389 273138.264, 273144.11 7042389.81 273144.244, 273144.62 7042390.86 273144.754, 273112.92 7042400.69 273113.053, 273101.98 7042403.91 273102.113, 273099.03 7042407.48 273099.163, 273098.34 7042410.28 273098.473, 273097.83 7042412.25 273097.963))</t>
  </si>
  <si>
    <t>['FV6692 S2D1 m1208-1240']</t>
  </si>
  <si>
    <t>LINESTRING Z (272742.43 7042450.53 272742.563, 272741.25 7042451.4 272741.383, 272729.58 7042453.35 272729.713, 272719.87 7042454.66 272720.003, 272713.64 7042453.89 272713.773, 272711.83 7042452.29 272711.963, 272714.54 7042452.64 272714.673, 272718.94 7042453.34 272719.073, 272731.54 7042452.21 272731.673, 272740.61 7042450.54 272740.743, 272742.43 7042450.53 272742.563)</t>
  </si>
  <si>
    <t>POLYGON Z ((272742.43 7042450.53 272742.563, 272741.25 7042451.4 272741.383, 272729.58 7042453.35 272729.713, 272719.87 7042454.66 272720.003, 272713.64 7042453.89 272713.773, 272711.83 7042452.29 272711.963, 272714.54 7042452.64 272714.673, 272718.94 7042453.34 272719.073, 272731.54 7042452.21 272731.673, 272740.61 7042450.54 272740.743, 272742.43 7042450.53 272742.563))</t>
  </si>
  <si>
    <t>['FV6692 S2D1 m1290-1568']</t>
  </si>
  <si>
    <t>LINESTRING Z (272845.51 7042434.54 272845.643, 272801.32 7042445.27 272801.453, 272789.66 7042431.39 272789.793, 272787.81 7042429.57 272787.943, 272786.93 7042431.29 272787.063, 272788 7042433.46 272788.133, 272791.28 7042437.86 272791.413, 272796.99 7042447.04 272797.123, 272800.05 7042448.67 272800.183, 272803.19 7042448.77 272803.323, 272816.92 7042445.62 272817.053, 272837.72 7042440.49 272837.853, 272845.89 7042438.55 272846.023, 272918.4 7042420.6 272918.533, 272952.6 7042412.58 272952.733, 273005.15 7042400.96 273005.283, 273053.12 7042389.91 273053.253, 273060.6 7042388.14 273060.733, 273061.41 7042387.74 273061.543, 273061.31 7042386.17 273061.443, 273060.84 7042385.37 273060.973, 273018 7042394.85 273018.133, 272996.11 7042399.99 272996.243, 272993.45 7042400.68 272993.583, 272993.78 7042401.62 272993.913, 272890.07 7042426.36 272890.203, 272889.63 7042424.23 272889.763, 272845.51 7042434.54 272845.643)</t>
  </si>
  <si>
    <t>POLYGON Z ((272845.51 7042434.54 272845.643, 272801.32 7042445.27 272801.453, 272789.66 7042431.39 272789.793, 272787.81 7042429.57 272787.943, 272786.93 7042431.29 272787.063, 272788 7042433.46 272788.133, 272791.28 7042437.86 272791.413, 272796.99 7042447.04 272797.123, 272800.05 7042448.67 272800.183, 272803.19 7042448.77 272803.323, 272816.92 7042445.62 272817.053, 272837.72 7042440.49 272837.853, 272845.89 7042438.55 272846.023, 272918.4 7042420.6 272918.533, 272952.6 7042412.58 272952.733, 273005.15 7042400.96 273005.283, 273053.12 7042389.91 273053.253, 273060.6 7042388.14 273060.733, 273061.41 7042387.74 273061.543, 273061.31 7042386.17 273061.443, 273060.84 7042385.37 273060.973, 273018 7042394.85 273018.133, 272996.11 7042399.99 272996.243, 272993.45 7042400.68 272993.583, 272993.78 7042401.62 272993.913, 272890.07 7042426.36 272890.203, 272889.63 7042424.23 272889.763, 272845.51 7042434.54 272845.643))</t>
  </si>
  <si>
    <t>['FV6692 S2D1 m1542-1553']</t>
  </si>
  <si>
    <t>LINESTRING Z (273046.91 7042422.8 273047.043, 273051.83 7042411.3 273051.963, 273051.53 7042410.37 273051.663, 273042.17 7042412.52 273042.303, 273041.39 7042413.22 273041.523, 273040.9 7042414.74 273041.033, 273041.22 7042415.87 273041.353, 273042.88 7042417.92 273043.013, 273044.06 7042420.34 273044.193, 273044.83 7042421.94 273044.963, 273045.22 7042423.81 273045.353, 273045.57 7042424.09 273045.703, 273046.08 7042424.04 273046.213, 273046.91 7042422.8 273047.043)</t>
  </si>
  <si>
    <t>POLYGON Z ((273046.91 7042422.8 273047.043, 273051.83 7042411.3 273051.963, 273051.53 7042410.37 273051.663, 273042.17 7042412.52 273042.303, 273041.39 7042413.22 273041.523, 273040.9 7042414.74 273041.033, 273041.22 7042415.87 273041.353, 273042.88 7042417.92 273043.013, 273044.06 7042420.34 273044.193, 273044.83 7042421.94 273044.963, 273045.22 7042423.81 273045.353, 273045.57 7042424.09 273045.703, 273046.08 7042424.04 273046.213, 273046.91 7042422.8 273047.043))</t>
  </si>
  <si>
    <t>['FV6692 S2D1 m1556-1575']</t>
  </si>
  <si>
    <t>LINESTRING Z (273070.98 7042450.42 273071.113, 273054.53 7042408.62 273054.663, 273055.38 7042406.54 273055.513, 273069.31 7042403.66 273069.443, 273071.56 7042405.23 273071.693, 273073.43 7042407.16 273073.563, 273076.63 7042414.33 273076.763, 273082.9 7042432.99 273083.033, 273083.6 7042437.02 273083.733, 273082.87 7042441.62 273083.003, 273082.02 7042443.7 273082.153, 273080.37 7042445.22 273080.503, 273078.52 7042446.77 273078.653, 273072.58 7042449.64 273072.713, 273070.98 7042450.42 273071.113)</t>
  </si>
  <si>
    <t>POLYGON Z ((273070.98 7042450.42 273071.113, 273054.53 7042408.62 273054.663, 273055.38 7042406.54 273055.513, 273069.31 7042403.66 273069.443, 273071.56 7042405.23 273071.693, 273073.43 7042407.16 273073.563, 273076.63 7042414.33 273076.763, 273082.9 7042432.99 273083.033, 273083.6 7042437.02 273083.733, 273082.87 7042441.62 273083.003, 273082.02 7042443.7 273082.153, 273080.37 7042445.22 273080.503, 273078.52 7042446.77 273078.653, 273072.58 7042449.64 273072.713, 273070.98 7042450.42 273071.113))</t>
  </si>
  <si>
    <t>['RV706 S2D1 m5179-5210']</t>
  </si>
  <si>
    <t>LINESTRING Z (271484.94 7042538.38 4.253, 271490.35 7042540.33 4.003, 271494.48 7042532.87 3.633, 271499.91 7042522.77 3.553, 271505.35 7042512.89 3.663, 271506.76 7042510.3 3.673, 271511.81 7042511.83 3.733, 271512.91 7042511.89 3.803, 271513.13 7042511.47 3.873, 271511.42 7042510.15 4.473, 271509.44 7042508.08 5.123, 271507.89 7042507.39 5.543, 271506.55 7042506.31 5.873, 271505.51 7042505.56 5.963, 271503.08 7042504.73 6.093, 271499.89 7042504.03 6.113, 271498.15 7042503.86 6.143, 271497.47 7042503.8 6.153, 271496.89 7042503.75 6.163, 271496.05 7042506.26 6.543, 271496.33 7042506.74 6.463, 271496.13 7042509.26 4.183, 271495.66 7042510.65 3.753, 271494.79 7042510.61 3.663, 271493.68 7042513.79 3.683, 271494.74 7042514.35 3.743, 271493.82 7042516.71 3.643, 271495.05 7042518 3.623, 271494.88 7042518.33 3.563, 271493.73 7042518.54 3.363, 271491.94 7042517.61 2.553, 271490.6 7042521.27 2.843, 271490.09 7042522.67 2.963, 271488.63 7042527.03 3.373, 271487.37 7042530.8 3.703, 271486.06 7042534.75 4.023, 271484.94 7042538.38 4.253)</t>
  </si>
  <si>
    <t>POLYGON Z ((271484.94 7042538.38 4.253, 271490.35 7042540.33 4.003, 271494.48 7042532.87 3.633, 271499.91 7042522.77 3.553, 271505.35 7042512.89 3.663, 271506.76 7042510.3 3.673, 271511.81 7042511.83 3.733, 271512.91 7042511.89 3.803, 271513.13 7042511.47 3.873, 271511.42 7042510.15 4.473, 271509.44 7042508.08 5.123, 271507.89 7042507.39 5.543, 271506.55 7042506.31 5.873, 271505.51 7042505.56 5.963, 271503.08 7042504.73 6.093, 271499.89 7042504.03 6.113, 271498.15 7042503.86 6.143, 271497.47 7042503.8 6.153, 271496.89 7042503.75 6.163, 271496.05 7042506.26 6.543, 271496.33 7042506.74 6.463, 271496.13 7042509.26 4.183, 271495.66 7042510.65 3.753, 271494.79 7042510.61 3.663, 271493.68 7042513.79 3.683, 271494.74 7042514.35 3.743, 271493.82 7042516.71 3.643, 271495.05 7042518 3.623, 271494.88 7042518.33 3.563, 271493.73 7042518.54 3.363, 271491.94 7042517.61 2.553, 271490.6 7042521.27 2.843, 271490.09 7042522.67 2.963, 271488.63 7042527.03 3.373, 271487.37 7042530.8 3.703, 271486.06 7042534.75 4.023, 271484.94 7042538.38 4.253))</t>
  </si>
  <si>
    <t>['RV706 S1D1 m8897 KD1 m2-16']</t>
  </si>
  <si>
    <t>LINESTRING Z (271150.06 7042501.99 1.903, 271150.1 7042502.07 1.913, 271150.13 7042502.17 1.913, 271150.16 7042502.27 1.923, 271150.19 7042502.36 1.923, 271150.23 7042502.45 1.933, 271150.26 7042502.54 1.933, 271150.29 7042502.64 1.943, 271150.32 7042502.72 1.953, 271150.35 7042502.82 1.953, 271150.38 7042502.92 1.963, 271150.42 7042503.01 1.963, 271150.45 7042503.1 1.973, 271150.48 7042503.19 1.973, 271150.52 7042503.29 1.983, 271150.55 7042503.38 1.983, 271150.58 7042503.47 1.993, 271150.6 7042503.57 2.003, 271150.64 7042503.66 2.003, 271150.67 7042503.76 2.013, 271150.7 7042503.84 2.013, 271150.74 7042503.94 2.023, 271150.77 7042504.04 2.023, 271150.8 7042504.13 2.033, 271150.84 7042504.22 2.033, 271150.88 7042504.31 2.043, 271150.89 7042504.41 2.053, 271150.93 7042504.5 2.053, 271150.96 7042504.59 2.063, 271150.99 7042504.69 2.063, 271151.03 7042504.78 2.073, 271151.06 7042504.88 2.073, 271151.09 7042504.96 2.083, 271151.12 7042505.06 2.083, 271151.16 7042505.15 2.093, 271151.18 7042505.25 2.103, 271151.22 7042505.34 2.103, 271151.25 7042505.43 2.113, 271151.29 7042505.53 2.123, 271151.32 7042505.63 2.133, 271151.36 7042505.71 2.143, 271151.39 7042505.81 2.153, 271151.43 7042505.91 2.163, 271151.46 7042506 2.163, 271151.49 7042506.09 2.173, 271151.52 7042506.19 2.183, 271151.56 7042506.28 2.193, 271151.59 7042506.37 2.203, 271151.63 7042506.47 2.213, 271151.66 7042506.56 2.223, 271151.7 7042506.66 2.223, 271151.73 7042506.75 2.233, 271151.77 7042506.84 2.243, 271151.8 7042506.94 2.253, 271151.83 7042507.02 2.263, 271151.86 7042507.12 2.273, 271151.9 7042507.22 2.283, 271151.93 7042507.32 2.283, 271151.97 7042507.4 2.293, 271152 7042507.5 2.303, 271152.04 7042507.6 2.313, 271152.08 7042507.69 2.323, 271152.11 7042507.78 2.333, 271152.15 7042507.88 2.343, 271152.17 7042507.97 2.343, 271152.21 7042508.06 2.353, 271152.24 7042508.16 2.363, 271152.28 7042508.25 2.373, 271152.31 7042508.35 2.383, 271152.35 7042508.44 2.393, 271152.38 7042508.53 2.403, 271152.42 7042508.63 2.403, 271152.45 7042508.73 2.413, 271152.48 7042508.81 2.423, 271152.51 7042508.91 2.433, 271152.55 7042509.01 2.443, 271152.58 7042509.1 2.453, 271152.62 7042509.19 2.463, 271152.65 7042509.29 2.463, 271152.69 7042509.38 2.473, 271152.72 7042509.47 2.483, 271152.76 7042509.57 2.493, 271152.78 7042509.66 2.503, 271152.82 7042509.76 2.513, 271152.85 7042509.85 2.523, 271152.89 7042509.94 2.523, 271152.92 7042510.04 2.533, 271152.96 7042510.13 2.543, 271152.99 7042510.22 2.553, 271153.03 7042510.32 2.563, 271153.06 7042510.42 2.573, 271153.11 7042510.5 2.583, 271153.13 7042510.6 2.583, 271153.16 7042510.7 2.593, 271153.2 7042510.79 2.603, 271153.23 7042510.88 2.613, 271153.27 7042510.98 2.623, 271153.3 7042511.07 2.633, 271153.35 7042511.16 2.633, 271153.39 7042511.25 2.643, 271153.42 7042511.34 2.653, 271153.47 7042511.43 2.653, 271153.51 7042511.52 2.663, 271153.56 7042511.61 2.663, 271153.6 7042511.7 2.673, 271153.64 7042511.79 2.683, 271153.69 7042511.89 2.683, 271153.73 7042511.97 2.693, 271153.77 7042512.06 2.693, 271153.81 7042512.16 2.703, 271153.86 7042512.24 2.713, 271153.9 7042512.33 2.713, 271153.94 7042512.42 2.723, 271153.99 7042512.51 2.733, 271154.03 7042512.6 2.733, 271154.07 7042512.69 2.743, 271154.11 7042512.78 2.743, 271154.16 7042512.88 2.753, 271154.2 7042512.96 2.763, 271154.24 7042513.05 2.763, 271154.29 7042513.15 2.773, 271154.33 7042513.23 2.773, 271154.37 7042513.32 2.783, 271154.41 7042513.42 2.793, 271154.45 7042513.5 2.793, 271154.5 7042513.59 2.803, 271154.54 7042513.68 2.813, 271154.59 7042513.77 2.813, 271154.63 7042513.87 2.823, 271154.68 7042513.95 2.823, 271154.71 7042514.04 2.833, 271154.75 7042514.14 2.843, 271154.8 7042514.22 2.843, 271154.84 7042514.31 2.853, 271154.89 7042514.41 2.853, 271154.93 7042514.49 2.863, 271154.98 7042514.58 2.873, 271155 7042514.68 2.873, 271155.05 7042514.76 2.883, 271155.1 7042514.86 2.883, 271155.14 7042514.94 2.893, 271155.19 7042515.03 2.903, 271155.23 7042515.13 2.903, 271155.27 7042515.21 2.913, 271155.31 7042515.3 2.923, 271155.35 7042515.4 2.923, 271155.4 7042515.48 2.933, 271155.44 7042515.57 2.933, 271155.49 7042515.67 2.943, 271155.53 7042515.75 2.953, 271155.57 7042515.84 2.953, 271155.62 7042515.95 2.963, 271155.65 7042516.02 2.963, 271155.7 7042516.12 2.973, 271155.74 7042516.2 2.983, 271155.78 7042516.29 2.983, 271155.83 7042516.39 2.983, 271155.87 7042516.47 2.993, 271155.92 7042516.56 2.993, 271155.95 7042516.65 2.993, 271156 7042516.74 2.993, 271156.04 7042516.83 2.993, 271156.09 7042516.92 3.003, 271156.13 7042517 3.003, 271156.18 7042517.1 3.003, 271156.22 7042517.19 3.003, 271156.26 7042517.27 3.003, 271156.3 7042517.37 3.003, 271156.35 7042517.45 3.013, 271156.39 7042517.54 3.013, 271156.44 7042517.63 3.013, 271156.48 7042517.72 3.013, 271156.53 7042517.81 3.013, 271156.56 7042517.9 3.023, 271156.61 7042517.98 3.023, 271156.65 7042518.08 3.023, 271156.7 7042518.17 3.023, 271156.74 7042518.25 3.023, 271156.79 7042518.35 3.023, 271156.84 7042518.43 3.033, 271156.87 7042518.52 3.033, 271156.91 7042518.61 3.033, 271156.96 7042518.7 3.033, 271157 7042518.79 3.033, 271157.05 7042518.88 3.033, 271157.09 7042518.97 3.043, 271157.14 7042519.06 3.043, 271157.17 7042519.15 3.043, 271157.22 7042519.23 3.043, 271157.26 7042519.33 3.043, 271157.31 7042519.41 3.053, 271157.35 7042519.5 3.053, 271157.4 7042519.59 3.053, 271157.45 7042519.68 3.053, 271157.48 7042519.77 3.053, 271157.52 7042519.86 3.053, 271158.5 7042519.15 3.143, 271157.96 7042518.12 3.043, 271157.55 7042516.79 3.103, 271157.62 7042516.16 3.183, 271157.97 7042515.52 3.213, 271158.49 7042515.22 3.263, 271159.24 7042515.19 3.293, 271159.9 7042515.56 3.303, 271160.35 7042516.18 3.333, 271160.67 7042516.99 3.343, 271161.08 7042517.78 3.333, 271161.49 7042518.26 3.333, 271161.98 7042518.59 3.363, 271162.53 7042518.8 3.373, 271163 7042518.85 3.383, 271163.85 7042519.02 3.423, 271164.45 7042519.34 3.453, 271164.74 7042519.63 3.463, 271164.91 7042520.02 3.463, 271164.96 7042520.55 3.443, 271164.86 7042521.11 3.413, 271164.48 7042521.63 3.373, 271163.68 7042521.93 3.323, 271162.77 7042521.88 3.233, 271161.13 7042521.42 3.203, 271160.33 7042521.06 3.183, 271159.15 7042520.05 3.183, 271158.5 7042519.15 3.143, 271157.52 7042519.86 3.053, 271157.57 7042519.94 3.063, 271157.66 7042520 3.063, 271157.73 7042520.06 3.063, 271157.82 7042520.11 3.063, 271157.9 7042520.16 3.063, 271157.99 7042520.21 3.063, 271158.07 7042520.27 3.063, 271158.41 7042520.49 3.073, 271158.49 7042520.54 3.073, 271158.58 7042520.59 3.073, 271158.66 7042520.64 3.073, 271158.75 7042520.71 3.073, 271158.82 7042520.76 3.073, 271158.91 7042520.81 3.073, 271158.99 7042520.86 3.073, 271159.08 7042520.92 3.073, 271159.16 7042520.97 3.083, 271159.25 7042521.02 3.083, 271159.33 7042521.08 3.083, 271159.41 7042521.14 3.083, 271159.5 7042521.19 3.083, 271159.58 7042521.24 3.083, 271159.67 7042521.29 3.083, 271159.75 7042521.35 3.083, 271159.84 7042521.41 3.083, 271159.91 7042521.46 3.083, 271160 7042521.51 3.093, 271160.08 7042521.57 3.093, 271160.17 7042521.62 3.093, 271160.26 7042521.67 3.093, 271160.34 7042521.72 3.093, 271160.42 7042521.79 3.093, 271160.5 7042521.84 3.093, 271160.59 7042521.89 3.093, 271160.67 7042521.94 3.093, 271160.76 7042521.99 3.093, 271160.84 7042522.05 3.103, 271160.93 7042522.1 3.103, 271161 7042522.16 3.103, 271161.09 7042522.21 3.103, 271161.18 7042522.27 3.103, 271161.26 7042522.32 3.103, 271161.35 7042522.37 3.103, 271161.43 7042522.42 3.103, 271161.51 7042522.49 3.103, 271161.59 7042522.54 3.103, 271161.76 7042522.64 3.113, 271161.85 7042522.7 3.113, 271161.93 7042522.75 3.113, 271162.01 7042522.8 3.113, 271162.1 7042522.86 3.113, 271162.18 7042522.92 3.113, 271162.27 7042522.97 3.113, 271162.35 7042523.02 3.113, 271162.44 7042523.07 3.113, 271162.52 7042523.13 3.123, 271162.6 7042523.18 3.123, 271162.68 7042523.24 3.123, 271162.77 7042523.29 3.123, 271162.85 7042523.35 3.123, 271162.94 7042523.4 3.123, 271163.03 7042523.45 3.123, 271163.1 7042523.5 3.123, 271163.19 7042523.57 3.123, 271163.27 7042523.62 3.123, 271163.36 7042523.67 3.133, 271163.44 7042523.72 3.133, 271163.53 7042523.77 3.133, 271163.61 7042523.83 3.133, 271163.69 7042523.88 3.133, 271163.76 7042523.81 3.143, 271163.84 7042523.75 3.143, 271163.9 7042523.68 3.153, 271163.98 7042523.61 3.153, 271164.04 7042523.55 3.163, 271164.11 7042523.48 3.173, 271164.18 7042523.41 3.173, 271164.25 7042523.34 3.183, 271164.32 7042523.28 3.193, 271164.39 7042523.21 3.193, 271164.46 7042523.13 3.203, 271164.53 7042523.07 3.203, 271164.6 7042523 3.213, 271164.67 7042522.93 3.223, 271164.74 7042522.87 3.223, 271164.8 7042522.8 3.233, 271164.88 7042522.73 3.233, 271164.94 7042522.67 3.243, 271165.02 7042522.6 3.253, 271165.09 7042522.53 3.253, 271165.15 7042522.47 3.263, 271165.23 7042522.39 3.263, 271165.29 7042522.32 3.273, 271165.37 7042522.27 3.283, 271165.43 7042522.19 3.283, 271165.5 7042522.12 3.293, 271165.57 7042522.07 3.303, 271165.64 7042521.99 3.303, 271165.72 7042521.92 3.313, 271165.78 7042521.85 3.313, 271165.85 7042521.79 3.323, 271165.92 7042521.72 3.333, 271166 7042521.66 3.333, 271166.08 7042521.61 3.343, 271166.16 7042521.54 3.343, 271166.24 7042521.48 3.353, 271166.32 7042521.42 3.353, 271166.4 7042521.36 3.363, 271166.48 7042521.31 3.363, 271166.57 7042521.28 3.363, 271166.67 7042521.24 3.373, 271166.75 7042521.21 3.373, 271166.85 7042521.17 3.383, 271166.95 7042521.14 3.383, 271167.04 7042521.1 3.393, 271167.13 7042521.06 3.393, 271167.22 7042521.04 3.403, 271167.32 7042521 3.403, 271167.4 7042520.97 3.413, 271167.5 7042520.93 3.413, 271167.6 7042520.9 3.423, 271167.69 7042520.86 3.423, 271167.78 7042520.83 3.433, 271167.87 7042520.79 3.433, 271167.97 7042520.75 3.433, 271168.06 7042520.73 3.443, 271168.15 7042520.69 3.443, 271168.25 7042520.66 3.453, 271168.34 7042520.62 3.453, 271168.43 7042520.59 3.463, 271168.52 7042520.55 3.463, 271168.62 7042520.52 3.473, 271168.72 7042520.48 3.473, 271168.8 7042520.44 3.483, 271168.9 7042520.42 3.483, 271168.99 7042520.38 3.493, 271169.09 7042520.35 3.493, 271169.17 7042520.31 3.493, 271169.27 7042520.28 3.503, 271169.37 7042520.24 3.503, 271169.45 7042520.21 3.513, 271169.55 7042520.17 3.513, 271169.64 7042520.15 3.523, 271169.74 7042520.11 3.523, 271169.83 7042520.07 3.533, 271169.92 7042520.04 3.533, 271170.02 7042520 3.543, 271170.1 7042519.97 3.543, 271170.2 7042519.93 3.553, 271170.3 7042519.9 3.553, 271170.39 7042519.87 3.563, 271170.48 7042519.83 3.563, 271170.57 7042519.81 3.573, 271170.67 7042519.78 3.573, 271170.77 7042519.74 3.583, 271170.85 7042519.71 3.583, 271170.95 7042519.68 3.593, 271171.05 7042519.64 3.593, 271171.14 7042519.61 3.603, 271171.23 7042519.58 3.613, 271171.32 7042519.54 3.613, 271171.42 7042519.52 3.623, 271171.52 7042519.49 3.623, 271171.6 7042519.45 3.633, 271171.7 7042519.42 3.633, 271171.8 7042519.39 3.643, 271171.89 7042519.35 3.643, 271171.98 7042519.32 3.653, 271172.07 7042519.29 3.653, 271172.17 7042519.25 3.663, 271172.27 7042519.22 3.663, 271172.35 7042519.2 3.673, 271172.45 7042519.16 3.683, 271172.55 7042519.13 3.683, 271172.64 7042519.1 3.693, 271172.73 7042519.06 3.693, 271172.82 7042519.03 3.703, 271172.92 7042519 3.703, 271173.02 7042518.97 3.713, 271173.1 7042518.94 3.713, 271173.2 7042518.91 3.723, 271173.3 7042518.88 3.723, 271173.39 7042518.84 3.733, 271173.48 7042518.81 3.733, 271173.57 7042518.78 3.743, 271173.67 7042518.74 3.753, 271173.77 7042518.71 3.753, 271173.85 7042518.68 3.763, 271173.95 7042518.64 3.763, 271174.05 7042518.63 3.773, 271174.14 7042518.59 3.773, 271174.23 7042518.55 3.783, 271174.33 7042518.52 3.783, 271174.42 7042518.49 3.793, 271174.51 7042518.45 3.793, 271174.6 7042518.42 3.803, 271174.7 7042518.39 3.803, 271174.8 7042518.35 3.813, 271174.87 7042518.33 3.823, 271174.98 7042518.3 3.823, 271175.08 7042518.26 3.833, 271175.17 7042518.23 3.833, 271175.26 7042518.2 3.843, 271175.35 7042518.16 3.843, 271175.45 7042518.13 3.853, 271175.55 7042518.1 3.853, 271175.63 7042518.06 3.863, 271175.73 7042518.03 3.863, 271175.83 7042518.01 3.873, 271175.92 7042517.98 3.873, 271176.01 7042517.94 3.883, 271176.11 7042517.94 3.893, 271176.21 7042517.94 3.893, 271176.31 7042517.94 3.903, 271176.41 7042517.94 3.903, 271176.51 7042517.94 3.913, 271176.61 7042517.94 3.913, 271176.7 7042517.94 3.923, 271176.8 7042517.94 3.923, 271176.9 7042517.95 3.933, 271177 7042517.95 3.933, 271177.09 7042517.95 3.943, 271177.19 7042517.95 3.943, 271177.29 7042517.95 3.953, 271177.39 7042517.95 3.953, 271177.49 7042517.95 3.963, 271177.58 7042517.95 3.963, 271177.68 7042517.95 3.973, 271177.78 7042517.95 3.973, 271177.88 7042517.95 3.983, 271177.99 7042517.95 3.983, 271178.08 7042517.97 3.993, 271178.18 7042517.96 4.003, 271178.28 7042517.96 4.003, 271178.38 7042517.96 4.013, 271178.48 7042517.96 4.013, 271178.57 7042517.96 4.023, 271178.67 7042517.96 4.023, 271178.77 7042517.96 4.033, 271178.87 7042517.96 4.033, 271178.96 7042517.96 4.043, 271179.06 7042517.96 4.043, 271179.16 7042517.96 4.053, 271179.26 7042517.96 4.053, 271179.36 7042517.95 4.063, 271179.45 7042517.97 4.063, 271179.55 7042517.97 4.073, 271179.65 7042517.97 4.073, 271179.76 7042517.97 4.083, 271179.86 7042517.97 4.083, 271179.95 7042517.97 4.093, 271180.05 7042517.97 4.093, 271180.15 7042517.97 4.103, 271180.24 7042517.99 4.103, 271180.34 7042518.02 4.113, 271180.44 7042518.05 4.113, 271180.54 7042518.07 4.113, 271180.63 7042518.09 4.123, 271180.72 7042518.12 4.123, 271180.83 7042518.14 4.133, 271180.92 7042518.16 4.133, 271181.02 7042518.18 4.133, 271181.13 7042518.21 4.143, 271181.22 7042518.23 4.143, 271181.31 7042518.25 4.143, 271181.41 7042518.26 4.153, 271181.51 7042518.31 4.153, 271181.6 7042518.33 4.153, 271181.7 7042518.35 4.163, 271181.79 7042518.37 4.163, 271181.9 7042518.4 4.163, 271181.99 7042518.42 4.173, 271182.09 7042518.44 4.173, 271182.18 7042518.47 4.183, 271182.28 7042518.5 4.183, 271182.38 7042518.52 4.183, 271182.47 7042518.54 4.193, 271182.58 7042518.57 4.193, 271182.67 7042518.59 4.193, 271182.77 7042518.61 4.203, 271182.86 7042518.63 4.203, 271182.96 7042518.66 4.203, 271183.06 7042518.68 4.213, 271183.15 7042518.7 4.213, 271183.25 7042518.71 4.223, 271183.33 7042518.78 4.223, 271183.41 7042518.83 4.223, 271183.5 7042518.87 4.233, 271183.58 7042518.92 4.233, 271183.67 7042518.98 4.243, 271183.74 7042519.03 4.243, 271183.83 7042519.07 4.243, 271183.91 7042519.13 4.253, 271184 7042519.18 4.253, 271184.08 7042519.22 4.263, 271184.16 7042519.27 4.263, 271184.23 7042519.33 4.263, 271184.33 7042519.37 4.273, 271184.41 7042519.42 4.273, 271184.5 7042519.47 4.283, 271184.58 7042519.54 4.283, 271184.66 7042519.57 4.283, 271184.74 7042519.62 4.293, 271184.83 7042519.67 4.293, 271184.91 7042519.71 4.303, 271184.99 7042519.77 4.303, 271185.08 7042519.82 4.303, 271185.16 7042519.86 4.313, 271185.24 7042519.9 4.313, 271185.33 7042519.97 4.323, 271185.4 7042520.03 4.323, 271185.47 7042520.1 4.323, 271185.54 7042520.17 4.333, 271185.62 7042520.24 4.333, 271185.68 7042520.31 4.343, 271185.76 7042520.37 4.343, 271185.83 7042520.44 4.343, 271185.9 7042520.51 4.353, 271185.97 7042520.58 4.353, 271186.05 7042520.64 4.363, 271186.11 7042520.71 4.363, 271186.19 7042520.78 4.363, 271186.26 7042520.84 4.373, 271186.33 7042520.92 4.373, 271186.4 7042520.98 4.383, 271186.48 7042521.06 4.383, 271186.54 7042521.12 4.383, 271186.62 7042521.18 4.393, 271186.69 7042521.26 4.393, 271186.76 7042521.32 4.403, 271186.83 7042521.39 4.403, 271186.91 7042521.46 4.403, 271186.97 7042521.52 4.413, 271187.05 7042521.59 4.413, 271187.12 7042521.66 4.423, 271187.19 7042521.73 4.423, 271187.26 7042521.8 4.433, 271187.34 7042521.86 4.433, 271187.4 7042521.93 4.433, 271187.48 7042522 4.443, 271187.55 7042522.07 4.443, 271187.62 7042522.13 4.453, 271187.69 7042522.21 4.453, 271187.77 7042522.27 4.453, 271187.83 7042522.33 4.463, 271187.91 7042522.41 4.463, 271187.98 7042522.47 4.473, 271188.03 7042522.56 4.473, 271188.08 7042522.64 4.473, 271188.13 7042522.73 4.483, 271188.18 7042522.81 4.483, 271188.23 7042522.9 4.493, 271188.28 7042522.99 4.493, 271188.34 7042523.07 4.493, 271188.38 7042523.16 4.503, 271188.43 7042523.24 4.503, 271188.48 7042523.33 4.513, 271188.53 7042523.41 4.513, 271188.59 7042523.5 4.513, 271188.63 7042523.59 4.523, 271188.68 7042523.67 4.523, 271188.73 7042523.76 4.533, 271188.78 7042523.84 4.533, 271188.83 7042523.93 4.543, 271188.89 7042524.01 4.543, 271188.93 7042524.1 4.543, 271188.98 7042524.19 4.553, 271189.03 7042524.27 4.553, 271189.08 7042524.37 4.563, 271189.14 7042524.45 4.563, 271189.19 7042524.54 4.563, 271189.25 7042524.62 4.573, 271189.28 7042524.71 4.573, 271189.33 7042524.8 4.583, 271189.39 7042524.88 4.583, 271189.44 7042524.97 4.583, 271189.49 7042525.05 4.593, 271189.53 7042525.14 4.593, 271189.58 7042525.23 4.603, 271189.64 7042525.31 4.603, 271189.69 7042525.4 4.603, 271189.74 7042525.48 4.613, 271189.79 7042525.57 4.613, 271189.83 7042525.65 4.623, 271189.89 7042525.74 4.623, 271189.94 7042525.82 4.623, 271189.99 7042525.91 4.633, 271190.04 7042526 4.633, 271190.09 7042526.08 4.643, 271190.14 7042526.17 4.643, 271190.18 7042526.25 4.653, 271190.23 7042526.34 4.653, 271190.27 7042526.44 4.653, 271190.32 7042526.52 4.663, 271190.37 7042526.61 4.663, 271190.41 7042526.71 4.673, 271190.45 7042526.79 4.673, 271190.5 7042526.88 4.683, 271190.54 7042526.96 4.683, 271190.59 7042527.06 4.693, 271190.63 7042527.15 4.693, 271190.68 7042527.23 4.703, 271190.73 7042527.33 4.703, 271190.76 7042527.42 4.713, 271190.81 7042527.5 4.713, 271190.86 7042527.6 4.713, 271190.9 7042527.68 4.723, 271190.95 7042527.77 4.723, 271191 7042527.86 4.733, 271191.05 7042527.95 4.733, 271191.08 7042528.04 4.743, 271191.12 7042528.13 4.743, 271191.17 7042528.22 4.753, 271191.22 7042528.31 4.753, 271191.26 7042528.39 4.763, 271191.31 7042528.49 4.763, 271191.36 7042528.58 4.773, 271191.39 7042528.66 4.773, 271191.44 7042528.75 4.773, 271191.48 7042528.85 4.783, 271191.53 7042528.93 4.783, 271191.58 7042529.02 4.793, 271191.62 7042529.11 4.793, 271191.67 7042529.2 4.803, 271191.71 7042529.29 4.803, 271191.75 7042529.38 4.813, 271191.8 7042529.47 4.813, 271191.85 7042529.55 4.823, 271191.89 7042529.64 4.823, 271191.94 7042529.74 4.833, 271191.97 7042529.82 4.833, 271192.02 7042529.91 4.833, 271192.07 7042530.01 4.843, 271192.11 7042530.09 4.843, 271192.16 7042530.18 4.853, 271192.21 7042530.27 4.853, 271192.28 7042530.33 4.863, 271192.37 7042530.38 4.863, 271192.46 7042530.44 4.873, 271192.53 7042530.5 4.883, 271192.62 7042530.56 4.883, 271192.69 7042530.61 4.893, 271192.78 7042530.67 4.893, 271192.85 7042530.73 4.903, 271192.94 7042530.78 4.913, 271193.03 7042530.84 4.913, 271193.1 7042530.89 4.923, 271193.19 7042530.96 4.923, 271193.26 7042531.01 4.933, 271193.35 7042531.07 4.933, 271193.43 7042531.12 4.943, 271193.51 7042531.18 4.953, 271193.6 7042531.24 4.953, 271193.67 7042531.29 4.963, 271193.77 7042531.33 4.963, 271193.86 7042531.37 4.963, 271193.94 7042531.41 4.973, 271194.04 7042531.44 4.973, 271194.12 7042531.47 4.973, 271194.21 7042531.51 4.973, 271194.31 7042531.54 4.973, 271194.39 7042531.59 4.983, 271194.49 7042531.62 4.983, 271194.57 7042531.65 4.983, 271194.66 7042531.69 4.983, 271194.76 7042531.72 4.993, 271194.84 7042531.77 4.993, 271194.93 7042531.8 4.993, 271195.02 7042531.83 4.993, 271195.11 7042531.87 5.003, 271195.22 7042531.9 5.003, 271195.29 7042531.95 5.003, 271195.38 7042531.98 5.003, 271195.47 7042532.01 5.013, 271195.56 7042532.05 5.013, 271195.65 7042532.08 5.013, 271195.74 7042532.12 5.013, 271195.83 7042532.16 5.013, 271195.92 7042532.17 5.013, 271196.02 7042532.18 5.013, 271196.13 7042532.19 5.013, 271196.22 7042532.21 5.013, 271196.32 7042532.22 5.013, 271196.42 7042532.23 5.013, 271196.51 7042532.24 5.003, 271196.62 7042532.25 5.003, 271196.72 7042532.26 5.003, 271196.81 7042532.28 5.003, 271196.91 7042532.3 5.003, 271197.01 7042532.31 5.003, 271197.1 7042532.32 4.993, 271197.2 7042532.33 4.993, 271197.31 7042532.34 4.993, 271197.4 7042532.35 4.993, 271197.5 7042532.37 4.993, 271197.6 7042532.38 4.993, 271197.69 7042532.39 4.993, 271197.79 7042532.4 4.983, 271197.9 7042532.41 4.983, 271197.99 7042532.44 4.983, 271198.09 7042532.45 4.983, 271198.18 7042532.46 4.983, 271198.28 7042532.47 4.983, 271198.38 7042532.48 4.973, 271198.48 7042532.49 4.973, 271198.58 7042532.5 4.973, 271198.68 7042532.51 4.973, 271198.77 7042532.53 4.973, 271198.87 7042532.54 4.973, 271198.97 7042532.55 4.973, 271199.07 7042532.57 4.963, 271199.17 7042532.56 4.963, 271199.26 7042532.55 4.973, 271199.34 7042532.53 4.973, 271199.43 7042532.52 4.973, 271199.52 7042532.51 4.973, 271199.62 7042532.5 4.973, 271199.71 7042532.48 4.973, 271199.8 7042532.45 4.973, 271199.89 7042532.4 4.973, 271199.98 7042532.36 4.963, 271200.07 7042532.31 4.963, 271200.15 7042532.27 4.963, 271200.25 7042532.22 4.963, 271200.34 7042532.18 4.963, 271200.42 7042532.14 4.963, 271200.52 7042532.1 4.953, 271200.61 7042532.05 4.953, 271200.69 7042532.01 4.953, 271200.79 7042531.96 4.953, 271200.89 7042531.92 4.953, 271200.96 7042531.87 4.953, 271201.06 7042531.85 4.953, 271201.13 7042531.8 4.943, 271201.23 7042531.75 4.943, 271201.32 7042531.71 4.943, 271201.41 7042531.66 4.943, 271201.5 7042531.62 4.943, 271201.59 7042531.57 4.943, 271201.68 7042531.54 4.933, 271201.77 7042531.49 4.933, 271201.86 7042531.45 4.933, 271201.95 7042531.4 4.933, 271202.04 7042531.36 4.933, 271202.12 7042531.31 4.933, 271202.22 7042531.27 4.933, 271202.31 7042531.23 4.923, 271202.39 7042531.19 4.923, 271202.49 7042531.14 4.923, 271202.58 7042531.1 4.923, 271202.66 7042531.05 4.923, 271202.75 7042531.01 4.923, 271202.86 7042530.96 4.923, 271202.93 7042530.93 4.913, 271203.02 7042530.88 4.913, 271203.11 7042530.84 4.913, 271203.2 7042530.79 4.913, 271203.29 7042530.75 4.913, 271203.38 7042530.7 4.913, 271203.47 7042530.66 4.903, 271203.56 7042530.62 4.903, 271203.65 7042530.58 4.903, 271203.74 7042530.53 4.903, 271203.83 7042530.49 4.903, 271203.92 7042530.44 4.903, 271204.01 7042530.4 4.903, 271204.09 7042530.35 4.893, 271204.18 7042530.32 4.893, 271204.28 7042530.27 4.893, 271204.36 7042530.23 4.893, 271204.45 7042530.19 4.893, 271204.55 7042530.14 4.893, 271204.63 7042530.1 4.883, 271204.72 7042530.05 4.883, 271204.82 7042530.01 4.883, 271204.9 7042529.97 4.883, 271204.99 7042529.93 4.883, 271205.09 7042529.88 4.883, 271205.17 7042529.84 4.883, 271205.26 7042529.79 4.873, 271205.34 7042529.75 4.873, 271205.44 7042529.7 4.873, 271205.53 7042529.67 4.873, 271205.61 7042529.62 4.873, 271205.71 7042529.58 4.873, 271205.8 7042529.53 4.873, 271205.88 7042529.49 4.863, 271205.98 7042529.44 4.863, 271206.07 7042529.4 4.863, 271206.15 7042529.36 4.863, 271206.25 7042529.32 4.863, 271206.33 7042529.27 4.863, 271206.42 7042529.23 4.853, 271206.52 7042529.19 4.853, 271206.6 7042529.14 4.853, 271206.69 7042529.1 4.853, 271206.79 7042529.06 4.853, 271203.63 7042522.39 4.923, 271203.26 7042522.37 4.903, 271196.47 7042520.36 4.763, 271196.33 7042520.12 4.763, 271196.24 7042519.79 4.753, 271196.43 7042519.44 4.733, 271196.79 7042519.16 4.733, 271198.56 7042518.73 4.743, 271200.46 7042518.31 4.743, 271200.65 7042518.22 4.743, 271200.94 7042518.28 4.773, 271201.14 7042518.35 4.783, 271201.39 7042518.53 4.803, 271202.62 7042519.68 4.833, 271203.68 7042520.71 4.853, 271204.03 7042521.06 4.853, 271204.28 7042521.35 4.873, 271204.27 7042521.67 4.883, 271204.2 7042522.07 4.893, 271203.86 7042522.25 4.913, 271203.63 7042522.39 4.923, 271206.79 7042529.06 4.853, 271206.87 7042529.02 4.853, 271206.96 7042528.98 4.843, 271207.06 7042528.93 4.843, 271207.14 7042528.89 4.843, 271207.23 7042528.85 4.843, 271207.33 7042528.8 4.843, 271207.41 7042528.77 4.833, 271207.5 7042528.72 4.833, 271207.6 7042528.68 4.833, 271207.68 7042528.64 4.833, 271207.77 7042528.59 4.833, 271207.86 7042528.55 4.833, 271207.95 7042528.5 4.823, 271208.04 7042528.47 4.823, 271208.13 7042528.43 4.823, 271208.22 7042528.38 4.823, 271208.32 7042528.34 4.823, 271208.4 7042528.3 4.823, 271208.49 7042528.25 4.813, 271208.59 7042528.21 4.813, 271208.67 7042528.16 4.813, 271208.76 7042528.13 4.813, 271208.86 7042528.09 4.813, 271208.94 7042528.04 4.813, 271209.03 7042528 4.803, 271209.13 7042527.96 4.803, 271209.21 7042527.91 4.803, 271209.3 7042527.87 4.803, 271209.39 7042527.83 4.803, 271209.48 7042527.79 4.793, 271209.57 7042527.75 4.793, 271209.66 7042527.7 4.793, 271209.75 7042527.66 4.793, 271209.84 7042527.62 4.793, 271209.93 7042527.57 4.793, 271210.02 7042527.54 4.783, 271210.11 7042527.49 4.783, 271210.2 7042527.45 4.783, 271210.29 7042527.41 4.783, 271210.38 7042527.36 4.783, 271210.47 7042527.32 4.783, 271210.56 7042527.28 4.773, 271210.67 7042527.23 4.773, 271210.74 7042527.2 4.773, 271210.83 7042527.15 4.773, 271210.93 7042527.11 4.773, 271211.01 7042527.07 4.763, 271211.1 7042527.02 4.763, 271211.19 7042526.98 4.763, 271211.28 7042526.94 4.763, 271211.37 7042526.9 4.763, 271211.46 7042526.86 4.763, 271211.55 7042526.81 4.753, 271211.64 7042526.77 4.753, 271211.73 7042526.73 4.753, 271211.82 7042526.68 4.753, 271211.91 7042526.65 4.753, 271212 7042526.6 4.753, 271212.09 7042526.56 4.743, 271212.18 7042526.52 4.743, 271212.27 7042526.47 4.743, 271212.36 7042526.43 4.743, 271212.45 7042526.39 4.743, 271212.54 7042526.34 4.733, 271212.63 7042526.31 4.733, 271212.71 7042526.26 4.733, 271212.81 7042526.22 4.733, 271212.9 7042526.18 4.733, 271212.99 7042526.13 4.733, 271213.08 7042526.09 4.723, 271213.17 7042526.05 4.723, 271213.26 7042526 4.723, 271213.35 7042525.97 4.723, 271213.44 7042525.92 4.723, 271213.53 7042525.88 4.723, 271213.62 7042525.84 4.713, 271213.71 7042525.79 4.713, 271213.8 7042525.75 4.713, 271213.89 7042525.72 4.713, 271213.98 7042525.67 4.713, 271214.07 7042525.63 4.713, 271214.16 7042525.58 4.703, 271214.24 7042525.54 4.703, 271214.34 7042525.5 4.703, 271214.43 7042525.45 4.703, 271214.51 7042525.41 4.703, 271214.61 7042525.37 4.693, 271214.7 7042525.33 4.693, 271214.78 7042525.29 4.693, 271214.88 7042525.24 4.693, 271214.97 7042525.2 4.693, 271215.05 7042525.16 4.693, 271215.15 7042525.11 4.683, 271215.24 7042525.08 4.683, 271215.33 7042525.03 4.683, 271215.42 7042524.99 4.683, 271215.51 7042524.95 4.683, 271215.59 7042524.9 4.683, 271215.69 7042524.85 4.673, 271215.77 7042524.8 4.673, 271215.86 7042524.77 4.673, 271215.95 7042524.72 4.673, 271216.03 7042524.67 4.673, 271216.13 7042524.62 4.673, 271216.22 7042524.58 4.673, 271216.3 7042524.53 4.673, 271216.39 7042524.49 4.673, 271216.47 7042524.44 4.663, 271216.56 7042524.4 4.663, 271216.66 7042524.35 4.663, 271216.74 7042524.3 4.663, 271216.83 7042524.25 4.663, 271216.91 7042524.2 4.663, 271217 7042524.17 4.663, 271217.1 7042524.12 4.663, 271217.18 7042524.07 4.653, 271217.27 7042524.03 4.653, 271217.35 7042523.98 4.653, 271217.44 7042523.93 4.653, 271217.54 7042523.88 4.653, 271217.62 7042523.85 4.653, 271217.71 7042523.8 4.653, 271217.8 7042523.75 4.653, 271217.88 7042523.7 4.653, 271217.97 7042523.66 4.643, 271218.06 7042523.61 4.643, 271218.15 7042523.57 4.643, 271218.24 7042523.52 4.643, 271218.32 7042523.48 4.643, 271218.41 7042523.43 4.643, 271218.5 7042523.38 4.643, 271218.59 7042523.33 4.643, 271218.68 7042523.31 4.633, 271218.76 7042523.25 4.633, 271218.85 7042523.2 4.633, 271218.93 7042523.15 4.633, 271219.03 7042523.1 4.633, 271219.12 7042523.06 4.633, 271219.2 7042523.01 4.633, 271219.29 7042522.97 4.633, 271219.38 7042522.92 4.633, 271219.47 7042522.88 4.623, 271219.56 7042522.83 4.623, 271219.64 7042522.78 4.623, 271219.73 7042522.73 4.623, 271219.82 7042522.7 4.623, 271219.91 7042522.65 4.623, 271220 7042522.6 4.623, 271220.08 7042522.55 4.623, 271220.17 7042522.51 4.623, 271220.26 7042522.46 4.613, 271220.35 7042522.41 4.613, 271220.44 7042522.37 4.613, 271220.53 7042522.33 4.613, 271220.61 7042522.28 4.613, 271220.7 7042522.23 4.613, 271220.78 7042522.18 4.613, 271220.88 7042522.14 4.613, 271220.97 7042522.11 4.603, 271221.05 7042522.05 4.603, 271221.14 7042522 4.603, 271221.22 7042521.96 4.603, 271221.32 7042521.91 4.603, 271221.41 7042521.86 4.603, 271221.49 7042521.81 4.603, 271221.58 7042521.78 4.603, 271221.67 7042521.73 4.603, 271221.75 7042521.68 4.593, 271221.85 7042521.63 4.593, 271221.93 7042521.59 4.593, 271222.02 7042521.54 4.593, 271222.11 7042521.5 4.593, 271222.19 7042521.45 4.593, 271222.29 7042521.41 4.593, 271222.37 7042521.36 4.593, 271222.46 7042521.31 4.583, 271222.55 7042521.26 4.583, 271222.63 7042521.23 4.583, 271222.73 7042521.18 4.583, 271222.81 7042521.13 4.583, 271222.9 7042521.08 4.583, 271222.99 7042521.04 4.583, 271223.07 7042520.99 4.583, 271223.16 7042520.94 4.583, 271223.26 7042520.91 4.573, 271223.34 7042520.85 4.573, 271223.43 7042520.81 4.573, 271223.51 7042520.76 4.573, 271223.6 7042520.71 4.573, 271223.7 7042520.66 4.573, 271223.78 7042520.62 4.573, 271223.87 7042520.59 4.573, 271223.97 7042520.54 4.563, 271224.05 7042520.5 4.563, 271224.15 7042520.46 4.563, 271224.24 7042520.42 4.563, 271224.32 7042520.38 4.563, 271224.42 7042520.34 4.553, 271224.51 7042520.31 4.553, 271224.6 7042520.26 4.553, 271224.69 7042520.22 4.553, 271224.79 7042520.18 4.553, 271224.87 7042520.14 4.543, 271224.97 7042520.1 4.543, 271225.06 7042520.05 4.543, 271225.14 7042520.01 4.543, 271225.24 7042519.98 4.543, 271225.33 7042519.94 4.533, 271225.42 7042519.9 4.533, 271225.51 7042519.86 4.533, 271225.61 7042519.81 4.533, 271225.69 7042519.77 4.533, 271225.79 7042519.73 4.523, 271225.88 7042519.69 4.523, 271225.96 7042519.66 4.523, 271226.06 7042519.62 4.523, 271226.15 7042519.57 4.523, 271226.24 7042519.53 4.513, 271226.33 7042519.49 4.513, 271226.43 7042519.45 4.513, 271226.51 7042519.41 4.513, 271226.61 7042519.37 4.513, 271226.7 7042519.33 4.503, 271226.78 7042519.29 4.503, 271226.88 7042519.25 4.503, 271226.97 7042519.21 4.503, 271227.06 7042519.17 4.503, 271227.15 7042519.13 4.493, 271227.25 7042519.08 4.493, 271227.33 7042519.03 4.493, 271227.43 7042519.01 4.493, 271227.52 7042518.97 4.493, 271227.6 7042518.93 4.483, 271227.7 7042518.89 4.483, 271227.79 7042518.84 4.483, 271227.88 7042518.8 4.483, 271227.97 7042518.76 4.483, 271228.07 7042518.72 4.473, 271228.15 7042518.69 4.473, 271228.24 7042518.65 4.473, 271228.34 7042518.6 4.473, 271228.42 7042518.56 4.473, 271228.52 7042518.52 4.463, 271228.61 7042518.48 4.463, 271228.7 7042518.44 4.463, 271228.79 7042518.41 4.463, 271228.89 7042518.36 4.463, 271228.97 7042518.32 4.453, 271229.06 7042518.28 4.453, 271229.16 7042518.24 4.453, 271229.24 7042518.2 4.453, 271229.34 7042518.16 4.453, 271229.43 7042518.11 4.443, 271229.52 7042518.08 4.443, 271229.61 7042518.04 4.443, 271229.71 7042518 4.443, 271229.79 7042517.96 4.443, 271229.88 7042517.92 4.433, 271229.98 7042517.87 4.433, 271230.06 7042517.83 4.433, 271230.16 7042517.79 4.433, 271230.25 7042517.76 4.433, 271230.34 7042517.72 4.423, 271230.43 7042517.68 4.423, 271230.53 7042517.64 4.423, 271230.61 7042517.59 4.423, 271230.7 7042517.55 4.423, 271230.8 7042517.51 4.413, 271230.88 7042517.47 4.413, 271230.98 7042517.44 4.413, 271231.07 7042517.4 4.413, 271231.16 7042517.35 4.413, 271231.25 7042517.31 4.403, 271231.35 7042517.27 4.403, 271231.43 7042517.23 4.403, 271231.52 7042517.19 4.403, 271231.62 7042517.15 4.403, 271231.7 7042517.11 4.393, 271231.8 7042517.07 4.393, 271231.89 7042517.03 4.393, 271231.98 7042516.99 4.393, 271232.07 7042516.95 4.393, 271232.17 7042516.91 4.393, 271232.25 7042516.88 4.393, 271232.35 7042516.85 4.393, 271232.45 7042516.83 4.393, 271232.54 7042516.79 4.383, 271232.62 7042516.76 4.383, 271232.73 7042516.73 4.383, 271232.82 7042516.69 4.383, 271232.92 7042516.66 4.383, 271233.02 7042516.63 4.383, 271233.1 7042516.6 4.383, 271233.2 7042516.56 4.383, 271233.3 7042516.53 4.383, 271233.39 7042516.51 4.383, 271233.48 7042516.47 4.383, 271233.58 7042516.44 4.383, 271233.67 7042516.41 4.383, 271233.77 7042516.38 4.383, 271233.86 7042516.34 4.383, 271233.95 7042516.31 4.383, 271234.05 7042516.28 4.383, 271234.15 7042516.25 4.383, 271234.23 7042516.22 4.383, 271234.33 7042516.19 4.383, 271234.42 7042516.16 4.383, 271234.51 7042516.12 4.383, 271234.61 7042516.09 4.383, 271234.7 7042516.06 4.383, 271234.8 7042516.03 4.383, 271234.89 7042515.99 4.373, 271234.98 7042515.96 4.373, 271235.08 7042515.93 4.373, 271235.18 7042515.9 4.373, 271235.26 7042515.87 4.373, 271235.36 7042515.84 4.373, 271235.46 7042515.81 4.373, 271235.55 7042515.77 4.373, 271235.64 7042515.74 4.373, 271235.74 7042515.71 4.373, 271235.83 7042515.67 4.373, 271235.93 7042515.64 4.373, 271236.02 7042515.61 4.373, 271236.11 7042515.59 4.373, 271236.21 7042515.55 4.373, 271236.31 7042515.52 4.373, 271236.4 7042515.49 4.373, 271236.49 7042515.46 4.373, 271236.59 7042515.42 4.373, 271236.68 7042515.39 4.373, 271236.79 7042515.36 4.373, 271236.86 7042515.33 4.373, 271236.96 7042515.3 4.373, 271237.06 7042515.27 4.373, 271237.15 7042515.24 4.373, 271237</t>
  </si>
  <si>
    <t>2015-02-10</t>
  </si>
  <si>
    <t>[6668]</t>
  </si>
  <si>
    <t>['FV6668 S1D135 m30-95']</t>
  </si>
  <si>
    <t>LINESTRING Z (274175.44 7041751.08 -999999, 274170.74 7041752.18 -999999, 274165.32 7041753.57 -999999, 274158.75 7041755.44 -999999, 274151.5 7041757.58 -999999, 274151.76 7041758.74 -999999, 274157.04 7041757.81 -999999, 274164.74 7041756.8 -999999, 274173.84 7041755.77 -999999, 274179.82 7041755.31 -999999, 274187.53 7041754.96 -999999, 274193.8 7041754.96 -999999, 274199.83 7041755.24 -999999, 274205.79 7041755.73 -999999, 274205.84 7041756.1 -999999, 274206.66 7041756.73 -999999, 274216.08 7041758.6 -999999, 274218.26 7041760.33 -999999, 274219.11 7041759.53 -999999, 274218.12 7041758.25 -999999, 274217.78 7041754.83 -999999, 274217.73 7041751.06 -999999, 274216.01 7041752.18 -999999, 274214.26 7041752.65 -999999, 274210.89 7041753.03 -999999, 274206.52 7041752.9 -999999, 274202.16 7041752.34 -999999, 274193.94 7041751.95 -999999, 274185.47 7041752.41 -999999, 274178.28 7041752.59 -999999, 274178.18 7041752.6 -999999, 274177.1 7041751.95 -999999, 274177.52 7041751.38 -999999, 274186.98 7041749.73 -999999, 274192.99 7041749.12 -999999, 274201.6 7041748.1 -999999, 274209.71 7041746.96 -999999, 274216.1 7041745.92 -999999, 274219.69 7041745.16 -999999, 274219.53 7041744.39 -999999, 274215.95 7041745.16 -999999, 274209.56 7041746.17 -999999, 274201.46 7041747.28 -999999, 274192.98 7041748.26 -999999, 274186.91 7041748.94 -999999, 274181.83 7041749.75 -999999, 274177.33 7041750.64 -999999, 274175.44 7041751.08 -999999)</t>
  </si>
  <si>
    <t>POLYGON Z ((274175.44 7041751.08 -999999, 274170.74 7041752.18 -999999, 274165.32 7041753.57 -999999, 274158.75 7041755.44 -999999, 274151.5 7041757.58 -999999, 274151.76 7041758.74 -999999, 274157.04 7041757.81 -999999, 274164.74 7041756.8 -999999, 274173.84 7041755.77 -999999, 274179.82 7041755.31 -999999, 274187.53 7041754.96 -999999, 274193.8 7041754.96 -999999, 274199.83 7041755.24 -999999, 274205.79 7041755.73 -999999, 274205.84 7041756.1 -999999, 274206.66 7041756.73 -999999, 274216.08 7041758.6 -999999, 274218.26 7041760.33 -999999, 274219.11 7041759.53 -999999, 274218.12 7041758.25 -999999, 274217.78 7041754.83 -999999, 274217.73 7041751.06 -999999, 274216.01 7041752.18 -999999, 274214.26 7041752.65 -999999, 274210.89 7041753.03 -999999, 274206.52 7041752.9 -999999, 274202.16 7041752.34 -999999, 274193.94 7041751.95 -999999, 274185.47 7041752.41 -999999, 274178.28 7041752.59 -999999, 274178.18 7041752.6 -999999, 274177.1 7041751.95 -999999, 274177.52 7041751.38 -999999, 274186.98 7041749.73 -999999, 274192.99 7041749.12 -999999, 274201.6 7041748.1 -999999, 274209.71 7041746.96 -999999, 274216.1 7041745.92 -999999, 274219.69 7041745.16 -999999, 274219.53 7041744.39 -999999, 274215.95 7041745.16 -999999, 274209.56 7041746.17 -999999, 274201.46 7041747.28 -999999, 274192.98 7041748.26 -999999, 274186.91 7041748.94 -999999, 274181.83 7041749.75 -999999, 274177.33 7041750.64 -999999, 274175.44 7041751.08 -999999))</t>
  </si>
  <si>
    <t>['RV706 S2D110 m380-390']</t>
  </si>
  <si>
    <t>LINESTRING Z (273835.75 7041964.58 40.485, 273836.74 7041966.91 40.325, 273838.96 7041965.85 40.345, 273839.52 7041962.62 40.415, 273843.59 7041951.24 40.625, 273842.65 7041948.15 40.765, 273840.15 7041946.98 41.125, 273838.31 7041949.52 41.135, 273836.63 7041953.03 41.155, 273835.56 7041956.41 40.915, 273835.16 7041959.31 40.855, 273835.2 7041961.37 40.695, 273835.75 7041964.58 40.485)</t>
  </si>
  <si>
    <t>POLYGON Z ((273835.75 7041964.58 40.485, 273836.74 7041966.91 40.325, 273838.96 7041965.85 40.345, 273839.52 7041962.62 40.415, 273843.59 7041951.24 40.625, 273842.65 7041948.15 40.765, 273840.15 7041946.98 41.125, 273838.31 7041949.52 41.135, 273836.63 7041953.03 41.155, 273835.56 7041956.41 40.915, 273835.16 7041959.31 40.855, 273835.2 7041961.37 40.695, 273835.75 7041964.58 40.485))</t>
  </si>
  <si>
    <t>['RV706 S2D110 m364-401']</t>
  </si>
  <si>
    <t>LINESTRING Z (273838.06 7041924.36 38.305, 273836.65 7041924.56 38.205, 273835.6 7041924.9 38.175, 273834.57 7041925.32 38.175, 273831.71 7041926.82 38.125, 273828.96 7041928.24 38.105, 273825.01 7041930 37.965, 273820.74 7041931.66 37.815, 273816.81 7041932.89 37.695, 273812.85 7041933.87 37.575, 273809.56 7041934.49 37.525, 273805.66 7041935.06 37.505, 273806.34 7041936.77 37.965, 273807.41 7041938.43 38.795, 273809.31 7041940.26 39.615, 273811.33 7041941.54 40.365, 273814.11 7041942.3 40.935, 273816.84 7041942.15 41.215, 273816.81 7041941.93 41.125, 273821.97 7041940.44 41.275, 273827.05 7041938.64 41.265, 273831.53 7041936.55 41.185, 273835.67 7041934.27 41.195, 273839.21 7041932.32 41.135, 273842.96 7041930.37 41.175, 273846.34 7041928.68 41.195, 273845.72 7041927.18 41.075, 273845.22 7041925.97 40.675, 273844.9 7041925.06 40.315, 273840.91 7041924.87 40.315, 273839.76 7041924.83 40.315, 273838.63 7041924.91 40.295, 273837.91 7041925.1 40.285, 273837.1 7041925.58 40.265, 273836.29 7041926.28 40.275, 273835.03 7041927.51 40.105, 273834.58 7041927.92 40.115, 273834.15 7041928.48 40.105, 273833.83 7041928.94 39.975, 273833.55 7041929.68 39.975, 273833.33 7041930.43 39.955, 273832.96 7041930.35 39.515, 273833.15 7041929.35 39.075, 273833.45 7041928.64 38.975, 273833.69 7041928.24 38.925, 273834.07 7041927.72 38.795, 273834.62 7041927.1 38.585, 273835.48 7041926.26 38.345, 273836.22 7041925.49 38.335, 273836.72 7041925.05 38.275, 273837.25 7041924.71 38.215, 273837.72 7041924.48 38.205, 273838.05 7041924.36 38.305)</t>
  </si>
  <si>
    <t>['RV706 S2D110 m362-437']</t>
  </si>
  <si>
    <t>LINESTRING Z (273862.27 7041890.85 38.025, 273860.62 7041888.74 37.905, 273856.49 7041891.37 37.995, 273850.68 7041895.05 38.275, 273843.09 7041899.85 38.755, 273835.5 7041904.6 39.415, 273827.32 7041909.79 40.115, 273819.75 7041914.57 40.745, 273813.53 7041918.77 41.235, 273813.49 7041918.94 41.055, 273811.31 7041920.53 40.275, 273809.34 7041922.01 39.565, 273807.49 7041924.22 39.045, 273806.01 7041926.49 37.865, 273805.33 7041928.32 37.465, 273805.05 7041929.83 37.095, 273807.38 7041929.55 37.175, 273811.9 7041928.67 37.335, 273816.21 7041927.59 37.485, 273821.21 7041925.93 37.665, 273825.28 7041924.22 37.805, 273829.62 7041921.96 37.965, 273832.9 7041920.08 38.065, 273836.74 7041917.37 38.095, 273840.14 7041914.64 38.265, 273843.14 7041911.88 38.295, 273846.09 7041908.86 38.275, 273849.69 7041904.66 38.245, 273852.87 7041900.96 38.145, 273855.63 7041897.84 38.125, 273857.98 7041895.26 38.095, 273860.38 7041892.74 38.045, 273862.27 7041890.85 38.025)</t>
  </si>
  <si>
    <t>POLYGON Z ((273862.27 7041890.85 38.025, 273860.62 7041888.74 37.905, 273856.49 7041891.37 37.995, 273850.68 7041895.05 38.275, 273843.09 7041899.85 38.755, 273835.5 7041904.6 39.415, 273827.32 7041909.79 40.115, 273819.75 7041914.57 40.745, 273813.53 7041918.77 41.235, 273813.49 7041918.94 41.055, 273811.31 7041920.53 40.275, 273809.34 7041922.01 39.565, 273807.49 7041924.22 39.045, 273806.01 7041926.49 37.865, 273805.33 7041928.32 37.465, 273805.05 7041929.83 37.095, 273807.38 7041929.55 37.175, 273811.9 7041928.67 37.335, 273816.21 7041927.59 37.485, 273821.21 7041925.93 37.665, 273825.28 7041924.22 37.805, 273829.62 7041921.96 37.965, 273832.9 7041920.08 38.065, 273836.74 7041917.37 38.095, 273840.14 7041914.64 38.265, 273843.14 7041911.88 38.295, 273846.09 7041908.86 38.275, 273849.69 7041904.66 38.245, 273852.87 7041900.96 38.145, 273855.63 7041897.84 38.125, 273857.98 7041895.26 38.095, 273860.38 7041892.74 38.045, 273862.27 7041890.85 38.025))</t>
  </si>
  <si>
    <t>['RV706 S2D110 m406-501']</t>
  </si>
  <si>
    <t>LINESTRING Z (273954.98 7041881.39 41.385, 273954.04 7041879.2 40.765, 273959.94 7041876.86 40.545, 273960.71 7041879.26 41.305, 273962.74 7041878.6 41.335, 273966.6 7041877.14 41.305, 273965.91 7041874.79 40.335, 273960.82 7041875.66 40.265, 273953.4 7041878.37 40.345, 273945.43 7041880.28 40.725, 273944.5 7041882.4 40.825, 273933.29 7041886.42 41.065, 273919.15 7041891.83 41.225, 273906.1 7041897.25 41.395, 273895.77 7041900.97 41.115, 273884.66 7041904.94 41.145, 273884.53 7041904.97 41.155, 273878.93 7041906.63 41.545, 273871.46 7041909 41.365, 273866.15 7041910.79 41.415, 273863.3 7041907.51 41.405, 273865.49 7041904.37 41.275, 273870.44 7041899.09 41.235, 273877.55 7041892.43 41.045, 273883.37 7041887.26 40.885, 273891.32 7041880.53 40.885, 273898.7 7041873.89 40.695, 273905.33 7041869.18 40.795, 273910.27 7041865.7 40.495, 273915.25 7041861.67 39.745, 273918.54 7041859.12 39.585, 273917.94 7041857.91 39.185, 273917.75 7041857.74 39.205, 273908.66 7041862.91 39.095, 273901.63 7041867.28 38.885, 273893.33 7041872.87 38.665, 273886.15 7041878.17 38.455, 273879.87 7041882.93 38.295, 273876.15 7041885.73 38.245, 273871.86 7041889.13 38.255, 273869.25 7041891.46 38.285, 273864.85 7041895.74 38.345, 273858.96 7041901.98 38.425, 273853.07 7041908.85 38.495, 273848.78 7041913.66 38.535, 273846.29 7041916.45 38.435, 273845.99 7041917.56 38.435, 273846.21 7041918.54 38.485, 273846.74 7041919.5 38.535, 273847.55 7041920.13 38.615, 273848.32 7041920.45 38.655, 273849.22 7041920.47 38.705, 273849.99 7041920.28 38.725, 273859.74 7041916.74 39.375, 273869.73 7041913.03 39.855, 273878.82 7041909.67 40.325, 273885.08 7041907.33 40.705, 273885.18 7041907.3 40.695, 273893.21 7041904.32 41.115, 273899.82 7041901.9 41.385, 273908.82 7041898.52 41.405, 273919.03 7041894.77 41.395, 273931.51 7041890.18 41.335, 273954.98 7041881.39 41.385)</t>
  </si>
  <si>
    <t>POLYGON Z ((273954.98 7041881.39 41.385, 273954.04 7041879.2 40.765, 273959.94 7041876.86 40.545, 273960.71 7041879.26 41.305, 273962.74 7041878.6 41.335, 273966.6 7041877.14 41.305, 273965.91 7041874.79 40.335, 273960.82 7041875.66 40.265, 273953.4 7041878.37 40.345, 273945.43 7041880.28 40.725, 273944.5 7041882.4 40.825, 273933.29 7041886.42 41.065, 273919.15 7041891.83 41.225, 273906.1 7041897.25 41.395, 273895.77 7041900.97 41.115, 273884.66 7041904.94 41.145, 273884.53 7041904.97 41.155, 273878.93 7041906.63 41.545, 273871.46 7041909 41.365, 273866.15 7041910.79 41.415, 273863.3 7041907.51 41.405, 273865.49 7041904.37 41.275, 273870.44 7041899.09 41.235, 273877.55 7041892.43 41.045, 273883.37 7041887.26 40.885, 273891.32 7041880.53 40.885, 273898.7 7041873.89 40.695, 273905.33 7041869.18 40.795, 273910.27 7041865.7 40.495, 273915.25 7041861.67 39.745, 273918.54 7041859.12 39.585, 273917.94 7041857.91 39.185, 273917.75 7041857.74 39.205, 273908.66 7041862.91 39.095, 273901.63 7041867.28 38.885, 273893.33 7041872.87 38.665, 273886.15 7041878.17 38.455, 273879.87 7041882.93 38.295, 273876.15 7041885.73 38.245, 273871.86 7041889.13 38.255, 273869.25 7041891.46 38.285, 273864.85 7041895.74 38.345, 273858.96 7041901.98 38.425, 273853.07 7041908.85 38.495, 273848.78 7041913.66 38.535, 273846.29 7041916.45 38.435, 273845.99 7041917.56 38.435, 273846.21 7041918.54 38.485, 273846.74 7041919.5 38.535, 273847.55 7041920.13 38.615, 273848.32 7041920.45 38.655, 273849.22 7041920.47 38.705, 273849.99 7041920.28 38.725, 273859.74 7041916.74 39.375, 273869.73 7041913.03 39.855, 273878.82 7041909.67 40.325, 273885.08 7041907.33 40.705, 273885.18 7041907.3 40.695, 273893.21 7041904.32 41.115, 273899.82 7041901.9 41.385, 273908.82 7041898.52 41.405, 273919.03 7041894.77 41.395, 273931.51 7041890.18 41.335, 273954.98 7041881.39 41.385))</t>
  </si>
  <si>
    <t>2014-08-11</t>
  </si>
  <si>
    <t>2025-11-22T09:12:24Z</t>
  </si>
  <si>
    <t>['FV456 S1D100 m1288-1312']</t>
  </si>
  <si>
    <t>LINESTRING Z (86023.9000244141 6464515.36010742 9.325, 86023.7900390625 6464515.37011719 9.345, 86025.5 6464514.87011719 8.495, 86024.7800292969 6464512.4699707 8.485, 86023.7199707031 6464508.92993164 8.655, 86021.9899902344 6464503.43994141 9.025, 86021.0699462891 6464500.41992188 9.515, 86019.4799804688 6464494.77001953 10.415, 86018.75 6464492.18994141 10.585, 86018.2800292969 6464492.08007813 10.595, 86018.1899414063 6464491.95996094 10.585, 86016.7600097656 6464492.44995117 10.585, 86017.5899658203 6464493.98999024 10.505, 86016.9699707031 6464494.51000977 10.495, 86019.0999755859 6464500.94995117 10.225, 86021.8199462891 6464509.16992188 9.765, 86023.9000244141 6464515.36010742 9.325)</t>
  </si>
  <si>
    <t>[14895]</t>
  </si>
  <si>
    <t>['PV14895 S2D1 m7-35']</t>
  </si>
  <si>
    <t>LINESTRING Z (85965.0400390625 6464526.22998047 12.515, 85965.0400390625 6464526.31005859 12.475, 85964.5600585938 6464526.5 12.495, 85962.8599853516 6464531.94995117 12.115, 85962.0500488281 6464535.62988281 12.015, 85960.9499511719 6464539.98999023 12.225, 85958.9399414063 6464543.79003906 12.475, 85955.4699707031 6464549.68994141 13.035, 85956.4200439453 6464550.97998047 13.435, 85957.7299804688 6464549.2800293 13.355, 85960.0600585938 6464545.43994141 12.825, 85962.5699462891 6464539.90991211 12.415, 85963.9000244141 6464535.79003906 12.205, 85964.7700195313 6464530.72998047 12.315, 85965.0400390625 6464526.22998047 12.515)</t>
  </si>
  <si>
    <t>['E', 'F']</t>
  </si>
  <si>
    <t>[456, 39]</t>
  </si>
  <si>
    <t>['FV456 S1D1 m819 KD2 m0-50', 'EV39 S128D1 m228 KD1 m177-249', 'EV39 S128D1 m228 KD6 m12-19']</t>
  </si>
  <si>
    <t>LINESTRING Z (86019.8499755859 6465463.64990235 5.564, 86022.9000244141 6465464.08007813 5.914, 86024.4100341797 6465469.45996094 6.584, 86024.75 6465471.05004883 7.204, 86023.5200195313 6465492.23999024 8.644, 86017.2199707031 6465502.25 8.554, 86015.1899414063 6465505.19995117 8.214, 86014.6899414062 6465505.93994141 8.234, 86013.1999511719 6465508.11010742 8.514)</t>
  </si>
  <si>
    <t>POLYGON ((86022.50686659732 6465464.529576063, 86023.92437898822 6465469.579908, 86024.24692524564 6465471.088521124, 86023.02831602887 6465492.082560103, 86016.80226542124 6465501.97499571, 86014.77804680358 6465504.916503051, 86014.7756486347 6465504.920019929, 86014.27669021396 6465505.6584686525, 86012.78775304508 6465507.827100876, 86013.61214929873 6465508.393113964, 86015.10213953303 6465506.222947954, 86015.1042341778 6465506.219872651, 86015.60304260298 6465505.481645918, 86017.63186530581 6465502.533448119, 86017.6431357193 6465502.5163294375, 86023.9431845475 6465492.506319677, 86023.96782638802 6465492.462406559, 86023.98792642425 6465492.416237622, 86024.0032807948 6465492.368281125, 86024.01373377063 6465492.31902346, 86024.0191793342 6465492.268964214, 86025.2491598029 6465471.079022804, 86025.24975105927 6465471.034272938, 86025.24633850985 6465470.9896494625, 86025.23894949458 6465470.945509882, 86024.89898367428 6465469.355421992, 86024.89143146595 6465469.324843759, 86023.38142170035 6465463.944960948, 86023.36617780432 6465463.899243905, 86023.34660348423 6465463.855206757, 86023.32288057964 6465463.813258597, 86023.29522946915 6465463.773789109, 86023.26390702323 6465463.737164953, 86023.22920421792 6465463.703726357, 86023.19144343179 6465463.673783955, 86023.1509754511 6465463.647615904, 86023.1081762112 6465463.625465295, 86023.06344330404 6465463.607537902, 86023.01719228482 6465463.594000265, 86022.96985281156 6465463.584978145, 86019.91980398334 6465463.154802365, 86019.78014718844 6465464.145002335, 86022.50686659732 6465464.529576063))</t>
  </si>
  <si>
    <t>[18470]</t>
  </si>
  <si>
    <t>['KV18470 S1D1 m39-42', 'KV18470 S10D10 m16-18']</t>
  </si>
  <si>
    <t>LINESTRING Z (86202.9499511719 6466001.68994141 24.504, 86203.7099609375 6466002.33007813 24.164, 86206.2977571837 6466004.63622106 24.174)</t>
  </si>
  <si>
    <t>2015-03-18</t>
  </si>
  <si>
    <t>[6658]</t>
  </si>
  <si>
    <t>['FV6658 S1D120 m211-381']</t>
  </si>
  <si>
    <t>LINESTRING Z (271641.099975586 7038591.4699707 -999999, 271648.58996582 7038595.80999756 -999999, 271646.959960938 7038596.13000488 -999999, 271641.949951172 7038592.86999512 -999999, 271636.400024414 7038588.40002441 -999999, 271612.560058594 7038565.2199707 -999999, 271592.859985352 7038545.63000488 -999999, 271570.989990234 7038524.84002686 -999999, 271560.650024414 7038514.40997315 -999999, 271544.349975586 7038498.38000488 -999999, 271533.800048828 7038486 -999999, 271528.319946289 7038478.70001221 -999999, 271528.979980469 7038478.57000732 -999999, 271534.969970703 7038485.86999512 -999999, 271545.790039062 7038498.25 -999999, 271561.300048828 7038514.02001953 -999999, 271571.719970703 7038524.32000733 -999999, 271622.939941406 7038574.42999268 -999999, 271641.130004883 7038591.48999023 -999999)</t>
  </si>
  <si>
    <t>['FV6658 S1D100 m1661-1686']</t>
  </si>
  <si>
    <t>LINESTRING Z (271555.369995117 7038538.08001709 -999999, 271569.66003418 7038553.13000488 -999999, 271569.550048828 7038553.23999023 -999999, 271554.390014648 7038537.75 -999999, 271555.369995117 7038538.08001709 -999999)</t>
  </si>
  <si>
    <t>POLYGON Z ((271555.369995117 7038538.08001709 -999999, 271569.66003418 7038553.13000488 -999999, 271569.550048828 7038553.23999023 -999999, 271554.390014648 7038537.75 -999999, 271555.369995117 7038538.08001709 -999999))</t>
  </si>
  <si>
    <t>['FV6658 S1D100 m1768-1792']</t>
  </si>
  <si>
    <t>LINESTRING Z (271491.349975586 7038450.57000732 -999999, 271503.199951172 7038474.1499939 -999999, 271502.989990234 7038474.61999512 -999999, 271490.680053711 7038450.45999146 -999999, 271491.349975586 7038450.57000732 -999999)</t>
  </si>
  <si>
    <t>POLYGON Z ((271491.349975586 7038450.57000732 -999999, 271503.199951172 7038474.1499939 -999999, 271502.989990234 7038474.61999512 -999999, 271490.680053711 7038450.45999146 -999999, 271491.349975586 7038450.57000732 -999999))</t>
  </si>
  <si>
    <t>['FV6658 S1D120 m410-532']</t>
  </si>
  <si>
    <t>LINESTRING Z (271495.780029297 7038413.44000244 -999999, 271499.319946289 7038425.79998779 -999999, 271502.020019531 7038432.79998779 -999999, 271505.569946289 7038440.6000061 -999999, 271511.020019531 7038451.5 -999999, 271512.390014648 7038454.25 -999999, 271513.280029297 7038454.39001465 -999999, 271505.920043945 7038440.20001221 -999999, 271502.290039063 7038432.26998901 -999999, 271499.849975586 7038425.35998535 -999999, 271496.099975586 7038412.89001465 -999999, 271491.939941406 7038398.13000488 -999999, 271489.729980469 7038389.64001465 -999999, 271485.859985352 7038373.20999146 -999999, 271483.920043945 7038363.33999634 -999999, 271479.300048828 7038338.33999634 -999999, 271479.119995117 7038339.17001343 -999999, 271481.699951172 7038353.47000122 -999999, 271483.550048828 7038363.61999512 -999999, 271484.66003418 7038369.61999512 -999999, 271486.959960937 7038379.57998657 -999999, 271490.099975586 7038392.41000366 -999999, 271492.5 7038402.36999512 -999999, 271494.900024414 7038410.48999023 -999999, 271495.780029297 7038413.44000244 -999999)</t>
  </si>
  <si>
    <t>POLYGON Z ((271495.780029297 7038413.44000244 -999999, 271499.319946289 7038425.79998779 -999999, 271502.020019531 7038432.79998779 -999999, 271505.569946289 7038440.6000061 -999999, 271511.020019531 7038451.5 -999999, 271512.390014648 7038454.25 -999999, 271513.280029297 7038454.39001465 -999999, 271505.920043945 7038440.20001221 -999999, 271502.290039063 7038432.26998901 -999999, 271499.849975586 7038425.35998535 -999999, 271496.099975586 7038412.89001465 -999999, 271491.939941406 7038398.13000488 -999999, 271489.729980469 7038389.64001465 -999999, 271485.859985352 7038373.20999146 -999999, 271483.920043945 7038363.33999634 -999999, 271479.300048828 7038338.33999634 -999999, 271479.119995117 7038339.17001343 -999999, 271481.699951172 7038353.47000122 -999999, 271483.550048828 7038363.61999512 -999999, 271484.66003418 7038369.61999512 -999999, 271486.959960937 7038379.57998657 -999999, 271490.099975586 7038392.41000366 -999999, 271492.5 7038402.36999512 -999999, 271494.900024414 7038410.48999023 -999999, 271495.780029297 7038413.44000244 -999999))</t>
  </si>
  <si>
    <t>['FV6658 S1D120 m1008-1098']</t>
  </si>
  <si>
    <t>LINESTRING Z (271467.650024414 7037786.46000671 -999999, 271464.959960938 7037785.52999878 -999999, 271460.709960938 7037785.94000244 -999999, 271456.670043945 7037787.6000061 -999999, 271454.599975586 7037789.36000061 -999999, 271450.25 7037801.78999329 -999999, 271444.560058594 7037822.71000671 -999999, 271443.420043945 7037830.36999512 -999999, 271434.510009766 7037870.55999756 -999999, 271436.579956055 7037870.66000366 -999999, 271445.069946289 7037829.75 -999999, 271446.209960938 7037822.08999634 -999999, 271451.489990234 7037801.69000244 -999999, 271455.739990234 7037789.66999817 -999999, 271457.599975586 7037788.22000122 -999999, 271460.5 7037787.08000183 -999999, 271464.439941406 7037786.36000061 -999999, 271466.719970703 7037786.57000732 -999999, 271467.650024414 7037786.46000671 -999999)</t>
  </si>
  <si>
    <t>POLYGON Z ((271467.650024414 7037786.46000671 -999999, 271464.959960938 7037785.52999878 -999999, 271460.709960938 7037785.94000244 -999999, 271456.670043945 7037787.6000061 -999999, 271454.599975586 7037789.36000061 -999999, 271450.25 7037801.78999329 -999999, 271444.560058594 7037822.71000671 -999999, 271443.420043945 7037830.36999512 -999999, 271434.510009766 7037870.55999756 -999999, 271436.579956055 7037870.66000366 -999999, 271445.069946289 7037829.75 -999999, 271446.209960938 7037822.08999634 -999999, 271451.489990234 7037801.69000244 -999999, 271455.739990234 7037789.66999817 -999999, 271457.599975586 7037788.22000122 -999999, 271460.5 7037787.08000183 -999999, 271464.439941406 7037786.36000061 -999999, 271466.719970703 7037786.57000732 -999999, 271467.650024414 7037786.46000671 -999999))</t>
  </si>
  <si>
    <t>['FV6658 S1D120 m847-1005']</t>
  </si>
  <si>
    <t>LINESTRING Z (271422.91003418 7037960.45000076 -999999, 271422.699951172 7037991.3199997 -999999, 271423.739990234 7038017.42000008 -999999, 271425.079956055 7038029.73999977 -999999, 271426.020019531 7038030.46999931 -999999, 271423.949951172 7038029.43000031 -999999, 271423.119995117 7038023.53000069 -999999, 271421.560058594 7037995.55999994 -999999, 271421.770019531 7037974.32999992 -999999, 271422.180053711 7037960.86999893 -999999, 271423.109985352 7037942.04000092 -999999, 271425.989990234 7037912.23999786 -999999, 271428.349975586 7037894.87999725 -999999, 271432.670043945 7037873.40000153 -999999, 271433.699951172 7037873.08999634 -999999, 271431.849975586 7037880.29000092 -999999, 271428.770019531 7037895.69999695 -999999, 271426.609985352 7037912.65000153 -999999, 271423.939941406 7037942.25 -999999, 271422.91003418 7037960.45000076 -999999)</t>
  </si>
  <si>
    <t>POLYGON Z ((271422.91003418 7037960.45000076 -999999, 271422.699951172 7037991.3199997 -999999, 271423.739990234 7038017.42000008 -999999, 271425.079956055 7038029.73999977 -999999, 271426.020019531 7038030.46999931 -999999, 271423.949951172 7038029.43000031 -999999, 271423.119995117 7038023.53000069 -999999, 271421.560058594 7037995.55999994 -999999, 271421.770019531 7037974.32999992 -999999, 271422.180053711 7037960.86999893 -999999, 271423.109985352 7037942.04000092 -999999, 271425.989990234 7037912.23999786 -999999, 271428.349975586 7037894.87999725 -999999, 271432.670043945 7037873.40000153 -999999, 271433.699951172 7037873.08999634 -999999, 271431.849975586 7037880.29000092 -999999, 271428.770019531 7037895.69999695 -999999, 271426.609985352 7037912.65000153 -999999, 271423.939941406 7037942.25 -999999, 271422.91003418 7037960.45000076 -999999))</t>
  </si>
  <si>
    <t>2025-11-22T09:12:31Z</t>
  </si>
  <si>
    <t>['FV6658 S1D120 m382-409']</t>
  </si>
  <si>
    <t>LINESTRING Z (271513.449951172 7038455.76998901 -999999, 271516.329956055 7038460.82000732 -999999, 271523.130004883 7038471.32000733 -999999, 271527.510009766 7038477.70999146 -999999, 271527.810058594 7038477.70999146 -999999, 271523.180053711 7038470.75 -999999, 271516.689941406 7038460.51000977 -999999, 271513.91003418 7038455.66000366 -999999, 271513.449951172 7038455.76998901 -999999)</t>
  </si>
  <si>
    <t>POLYGON Z ((271513.449951172 7038455.76998901 -999999, 271516.329956055 7038460.82000732 -999999, 271523.130004883 7038471.32000733 -999999, 271527.510009766 7038477.70999146 -999999, 271527.810058594 7038477.70999146 -999999, 271523.180053711 7038470.75 -999999, 271516.689941406 7038460.51000977 -999999, 271513.91003418 7038455.66000366 -999999, 271513.449951172 7038455.76998901 -999999))</t>
  </si>
  <si>
    <t>['FV6658 S1D120 m546-830']</t>
  </si>
  <si>
    <t>LINESTRING Z (271462.699951172 7038254.82000732 -999999, 271467.390014648 7038278.82000732 -999999, 271469.859985352 7038293.8999939 -999999, 271473.469970703 7038310.97000122 -999999, 271475.859985352 7038323.27999878 -999999, 271477.699951172 7038325.66000366 -999999, 271478.010009766 7038325.51000977 -999999, 271476.16003418 7038323.20001221 -999999, 271473.930053711 7038310.27999878 -999999, 271470.239990234 7038293.35998535 -999999, 271467.930053711 7038278.42999268 -999999, 271463.16003418 7038254.50999451 -999999, 271459.349975586 7038234.99000549 -999999, 271456.140014648 7038217.8500061 -999999, 271448.949951172 7038179.13999939 -999999, 271442.829956055 7038148.22999573 -999999, 271438.540039063 7038126.34999847 -999999, 271435.849975586 7038112.23999786 -999999, 271432.079956055 7038091.54000092 -999999, 271425.989990234 7038046.04999924 -999999, 271425.329956055 7038046.15999985 -999999, 271429.08996582 7038077.48999786 -999999, 271431.969970703 7038094.75 -999999, 271436.290039063 7038117.44000244 -999999, 271439.939941406 7038136.1499939 -999999, 271442.280029297 7038148.66000366 -999999, 271447.479980469 7038174.92999268 -999999, 271452.41003418 7038201.21000671 -999999, 271456.099975586 7038222.28999329 -999999, 271462.699951172 7038254.82000732 -999999)</t>
  </si>
  <si>
    <t>POLYGON Z ((271462.699951172 7038254.82000732 -999999, 271467.390014648 7038278.82000732 -999999, 271469.859985352 7038293.8999939 -999999, 271473.469970703 7038310.97000122 -999999, 271475.859985352 7038323.27999878 -999999, 271477.699951172 7038325.66000366 -999999, 271478.010009766 7038325.51000977 -999999, 271476.16003418 7038323.20001221 -999999, 271473.930053711 7038310.27999878 -999999, 271470.239990234 7038293.35998535 -999999, 271467.930053711 7038278.42999268 -999999, 271463.16003418 7038254.50999451 -999999, 271459.349975586 7038234.99000549 -999999, 271456.140014648 7038217.8500061 -999999, 271448.949951172 7038179.13999939 -999999, 271442.829956055 7038148.22999573 -999999, 271438.540039063 7038126.34999847 -999999, 271435.849975586 7038112.23999786 -999999, 271432.079956055 7038091.54000092 -999999, 271425.989990234 7038046.04999924 -999999, 271425.329956055 7038046.15999985 -999999, 271429.08996582 7038077.48999786 -999999, 271431.969970703 7038094.75 -999999, 271436.290039063 7038117.44000244 -999999, 271439.939941406 7038136.1499939 -999999, 271442.280029297 7038148.66000366 -999999, 271447.479980469 7038174.92999268 -999999, 271452.41003418 7038201.21000671 -999999, 271456.099975586 7038222.28999329 -999999, 271462.699951172 7038254.82000732 -999999))</t>
  </si>
  <si>
    <t>['EV6 S76D1 m2522-2543']</t>
  </si>
  <si>
    <t>LINESTRING Z (271534.739990234 7039148.2800293 -999999, 271535.25 7039146.80004883 -999999, 271535.979980469 7039146.37011719 -999999, 271536.530029297 7039146.33007813 -999999, 271540.739990234 7039149.30004883 -999999, 271545.070068359 7039151.51000977 -999999, 271553.610107422 7039154.90991211 -999999, 271553.399902344 7039155.25 -999999, 271545.919921875 7039153.63989258 -999999, 271542.780029297 7039152.75 -999999, 271539.840087891 7039151.67993164 -999999, 271537.459960938 7039150.48999024 -999999, 271534.739990234 7039148.2800293 -999999)</t>
  </si>
  <si>
    <t>POLYGON Z ((271534.739990234 7039148.2800293 -999999, 271535.25 7039146.80004883 -999999, 271535.979980469 7039146.37011719 -999999, 271536.530029297 7039146.33007813 -999999, 271540.739990234 7039149.30004883 -999999, 271545.070068359 7039151.51000977 -999999, 271553.610107422 7039154.90991211 -999999, 271553.399902344 7039155.25 -999999, 271545.919921875 7039153.63989258 -999999, 271542.780029297 7039152.75 -999999, 271539.840087891 7039151.67993164 -999999, 271537.459960938 7039150.48999024 -999999, 271534.739990234 7039148.2800293 -999999))</t>
  </si>
  <si>
    <t>['EV6 S76D1 m2564-2899']</t>
  </si>
  <si>
    <t>LINESTRING Z (271684.929931641 7039189.47998047 -999999, 271668.350097656 7039188.45996094 -999999, 271657.469970703 7039187.02001953 -999999, 271644.040039063 7039184.20996094 -999999, 271630.360107422 7039180.13989258 -999999, 271613.959960938 7039174.43994141 -999999, 271600.530029297 7039170.5300293 -999999, 271585.399902344 7039166.62011719 -999999, 271574.270019531 7039161.94995117 -999999, 271574.010009766 7039158.37988281 -999999, 271577.070068359 7039156 -999999, 271607.580078125 7039165.26000977 -999999, 271623.729980469 7039170.44995117 -999999, 271623.389892578 7039171.63989258 -999999, 271661.719970703 7039185.65991211 -999999, 271682.969970703 7039187.61010742 -999999, 271699.260009766 7039187.65991211 -999999, 271719.479980469 7039187.37011719 -999999, 271735.610107422 7039185.65991211 -999999, 271754.310058594 7039183.19995117 -999999, 271773.669921875 7039180.62988281 -999999, 271797.110107422 7039178.44995117 -999999, 271814.010009766 7039173.70996094 -999999, 271877.989990234 7039153.80004883 -999999, 271890.939941406 7039149.13989258 -999999, 271845.229980469 7039165.7199707 -999999, 271801.459960938 7039179.05004883 -999999, 271772.840087891 7039182.29003906 -999999, 271756.459960938 7039184.70996094 -999999, 271740.560058594 7039186.94995117 -999999, 271722.070068359 7039188.47998047 -999999, 271710.280029297 7039189.30004883 -999999, 271695.909912109 7039189.41992188 -999999, 271684.929931641 7039189.47998047 -999999)</t>
  </si>
  <si>
    <t>POLYGON Z ((271684.929931641 7039189.47998047 -999999, 271668.350097656 7039188.45996094 -999999, 271657.469970703 7039187.02001953 -999999, 271644.040039063 7039184.20996094 -999999, 271630.360107422 7039180.13989258 -999999, 271613.959960938 7039174.43994141 -999999, 271600.530029297 7039170.5300293 -999999, 271585.399902344 7039166.62011719 -999999, 271574.270019531 7039161.94995117 -999999, 271574.010009766 7039158.37988281 -999999, 271577.070068359 7039156 -999999, 271607.580078125 7039165.26000977 -999999, 271623.729980469 7039170.44995117 -999999, 271623.389892578 7039171.63989258 -999999, 271661.719970703 7039185.65991211 -999999, 271682.969970703 7039187.61010742 -999999, 271699.260009766 7039187.65991211 -999999, 271719.479980469 7039187.37011719 -999999, 271735.610107422 7039185.65991211 -999999, 271754.310058594 7039183.19995117 -999999, 271773.669921875 7039180.62988281 -999999, 271797.110107422 7039178.44995117 -999999, 271814.010009766 7039173.70996094 -999999, 271877.989990234 7039153.80004883 -999999, 271890.939941406 7039149.13989258 -999999, 271845.229980469 7039165.7199707 -999999, 271801.459960938 7039179.05004883 -999999, 271772.840087891 7039182.29003906 -999999, 271756.459960938 7039184.70996094 -999999, 271740.560058594 7039186.94995117 -999999, 271722.070068359 7039188.47998047 -999999, 271710.280029297 7039189.30004883 -999999, 271695.909912109 7039189.41992188 -999999, 271684.929931641 7039189.47998047 -999999))</t>
  </si>
  <si>
    <t>['EV6 S76D1 m2866-2904']</t>
  </si>
  <si>
    <t>LINESTRING Z (271866.350097656 7039179.36010742 -999999, 271867.489990234 7039180.15991211 -999999, 271883.860107422 7039174.43994141 -999999, 271883.510009766 7039173.63989258 -999999, 271888.889892578 7039171.35009766 -999999, 271900.449951172 7039169.62988281 -999999, 271899.530029297 7039167.80004883 -999999, 271902.389892578 7039167 -999999, 271901.590087891 7039164.60009766 -999999, 271874.820068359 7039174.32006836 -999999, 271867.040039063 7039177.5300293 -999999, 271866.350097656 7039179.36010742 -999999)</t>
  </si>
  <si>
    <t>POLYGON Z ((271866.350097656 7039179.36010742 -999999, 271867.489990234 7039180.15991211 -999999, 271883.860107422 7039174.43994141 -999999, 271883.510009766 7039173.63989258 -999999, 271888.889892578 7039171.35009766 -999999, 271900.449951172 7039169.62988281 -999999, 271899.530029297 7039167.80004883 -999999, 271902.389892578 7039167 -999999, 271901.590087891 7039164.60009766 -999999, 271874.820068359 7039174.32006836 -999999, 271867.040039063 7039177.5300293 -999999, 271866.350097656 7039179.36010742 -999999))</t>
  </si>
  <si>
    <t>['EV6 S76D1 m3490-3530']</t>
  </si>
  <si>
    <t>LINESTRING Z (272434.800048828 7039224.37011719 -999999, 272461.320068359 7039249.94995117 -999999, 272462.050048828 7039250.79003906 -999999, 272462.770019531 7039250.79003906 -999999, 272463.090087891 7039250.58007813 -999999, 272462.25 7039248.18994141 -999999, 272461.629882813 7039245.47998047 -999999, 272461.209960938 7039242.57006836 -999999, 272460.800048828 7039240.07006836 -999999, 272460.800048828 7039236.63989258 -999999, 272461.209960938 7039233.52001953 -999999, 272462.050048828 7039230.09008789 -999999, 272463.189941406 7039227.07006836 -999999, 272464.129882813 7039224.4699707 -999999, 272465.060058594 7039222.29003906 -999999, 272465.370117188 7039221.04003906 -999999, 272464.959960938 7039220.93994141 -999999, 272463.290039063 7039221.65991211 -999999, 272459.649902344 7039223.02001953 -999999, 272455.699951172 7039224.4699707 -999999, 272451.229980469 7039225.10009766 -999999, 272447.689941406 7039225.51000977 -999999, 272443.010009766 7039224.88989258 -999999, 272437.810058594 7039224.15991211 -999999, 272435.419921875 7039223.33007813 -999999, 272434.479980469 7039223.2199707 -999999, 272434.280029297 7039223.85009766 -999999, 272446.340087891 7039235.5 -999999, 272456.219970703 7039245.16992187 -999999, 272434.800048828 7039224.37011719 -999999)</t>
  </si>
  <si>
    <t>['EV6 S76D1 m3463-3502']</t>
  </si>
  <si>
    <t>LINESTRING Z (272404.139892578 7039220.87011719 -999999, 272428.969970703 7039243.55004883 -999999, 272429.719970703 7039244.30004883 -999999, 272429.909912109 7039244.86010742 -999999, 272429.389892578 7039245.23999023 -999999, 272428.550048828 7039245.10009766 -999999, 272426.199951172 7039244.38989258 -999999, 272423.580078125 7039243.63989258 -999999, 272419.409912109 7039243.2199707 -999999, 272417.300048828 7039243.08007813 -999999, 272414.820068359 7039243.12988281 -999999, 272412.290039063 7039243.55004883 -999999, 272409.100097656 7039244.25 -999999, 272406.429931641 7039245 -999999, 272403.760009766 7039246.12988281 -999999, 272401.419921875 7039247.19995117 -999999, 272398.989990234 7039248.69995117 -999999, 272396.919921875 7039250.25 -999999, 272394.909912109 7039251.97998047 -999999, 272392.709960938 7039254.22998047 -999999, 272390.600097656 7039256.85009766 -999999, 272389.659912109 7039257.92993164 -999999, 272389.050048828 7039258.26000977 -999999, 272388.159912109 7039258.0300293 -999999, 272388.070068359 7039257.2800293 -999999, 272388.540039063 7039256.5300293 -999999, 272389.620117188 7039254.69995117 -999999, 272393.270019531 7039249.44995117 -999999, 272397.350097656 7039244.86010742 -999999, 272398.379882813 7039243.16992188 -999999, 272399.780029297 7039240.83007813 -999999, 272401 7039238.48999023 -999999, 272401.510009766 7039236.47998047 -999999, 272402.449951172 7039233.42993164 -999999, 272402.969970703 7039230.81005859 -999999, 272403.060058594 7039227.94995117 -999999, 272402.729980469 7039224.81005859 -999999, 272402.219970703 7039222.84008789 -999999, 272401.560058594 7039221.25 -999999, 272401.229980469 7039219.69995117 -999999, 272401.280029297 7039219.22998047 -999999, 272401.610107422 7039218.94995117 -999999, 272401.939941406 7039219 -999999, 272402.360107422 7039219.22998047 -999999, 272403.300048828 7039220.08007813 -999999, 272404.139892578 7039220.87011719 -999999)</t>
  </si>
  <si>
    <t>POLYGON Z ((272404.139892578 7039220.87011719 -999999, 272428.969970703 7039243.55004883 -999999, 272429.719970703 7039244.30004883 -999999, 272429.909912109 7039244.86010742 -999999, 272429.389892578 7039245.23999023 -999999, 272428.550048828 7039245.10009766 -999999, 272426.199951172 7039244.38989258 -999999, 272423.580078125 7039243.63989258 -999999, 272419.409912109 7039243.2199707 -999999, 272417.300048828 7039243.08007813 -999999, 272414.820068359 7039243.12988281 -999999, 272412.290039063 7039243.55004883 -999999, 272409.100097656 7039244.25 -999999, 272406.429931641 7039245 -999999, 272403.760009766 7039246.12988281 -999999, 272401.419921875 7039247.19995117 -999999, 272398.989990234 7039248.69995117 -999999, 272396.919921875 7039250.25 -999999, 272394.909912109 7039251.97998047 -999999, 272392.709960938 7039254.22998047 -999999, 272390.600097656 7039256.85009766 -999999, 272389.659912109 7039257.92993164 -999999, 272389.050048828 7039258.26000977 -999999, 272388.159912109 7039258.0300293 -999999, 272388.070068359 7039257.2800293 -999999, 272388.540039063 7039256.5300293 -999999, 272389.620117188 7039254.69995117 -999999, 272393.270019531 7039249.44995117 -999999, 272397.350097656 7039244.86010742 -999999, 272398.379882813 7039243.16992188 -999999, 272399.780029297 7039240.83007813 -999999, 272401 7039238.48999023 -999999, 272401.510009766 7039236.47998047 -999999, 272402.449951172 7039233.42993164 -999999, 272402.969970703 7039230.81005859 -999999, 272403.060058594 7039227.94995117 -999999, 272402.729980469 7039224.81005859 -999999, 272402.219970703 7039222.84008789 -999999, 272401.560058594 7039221.25 -999999, 272401.229980469 7039219.69995117 -999999, 272401.280029297 7039219.22998047 -999999, 272401.610107422 7039218.94995117 -999999, 272401.939941406 7039219 -999999, 272402.360107422 7039219.22998047 -999999, 272403.300048828 7039220.08007813 -999999, 272404.139892578 7039220.87011719 -999999))</t>
  </si>
  <si>
    <t>['EV6 S76D1 m3516-3559']</t>
  </si>
  <si>
    <t>LINESTRING Z (272504.969970703 7039246.30004883 -999999, 272486.899902344 7039249.36010742 -999999, 272483.149902344 7039245.89990234 -999999, 272482.550048828 7039240.4699707 -999999, 272484.030029297 7039235.34008789 -999999, 272488.770019531 7039226.75 -999999, 272493.510009766 7039222.5 -999999, 272506.949951172 7039215.29003906 -999999, 272512.479980469 7039214.30004883 -999999, 272517.909912109 7039215.38989258 -999999, 272522.939941406 7039219.63989258 -999999, 272524.229980469 7039224.37988281 -999999, 272520.770019531 7039235.04003906 -999999, 272525.310058594 7039231.38989258 -999999, 272530.050048828 7039226.55004883 -999999, 272532.620117187 7039222.19995117 -999999, 272533.610107422 7039218.25 -999999, 272533.510009766 7039215.09008789 -999999, 272532.520019531 7039211.34008789 -999999, 272530.550048828 7039208.2800293 -999999, 272527.580078125 7039205.02001953 -999999, 272524.030029297 7039202.75 -999999, 272519.290039063 7039200.9699707 -999999, 272515.340087891 7039200.58007813 -999999, 272509.020019531 7039200.58007813 -999999, 272504.280029297 7039201.37011719 -999999, 272495.489990234 7039203.92993164 -999999, 272486.110107422 7039209.37011719 -999999, 272478.409912109 7039215.48999023 -999999, 272472.379882813 7039222.11010742 -999999, 272469.120117188 7039230.10009766 -999999, 272467.840087891 7039237.02001953 -999999, 272468.040039063 7039243.83007813 -999999, 272470.510009766 7039251.23999024 -999999, 272474.550048828 7039257.65991211 -999999, 272480.479980469 7039264.07006836 -999999, 272492.919921875 7039256.37011719 -999999, 272499.439941406 7039251.34008789 -999999, 272504.969970703 7039246.30004883 -999999)</t>
  </si>
  <si>
    <t>POLYGON Z ((272504.969970703 7039246.30004883 -999999, 272486.899902344 7039249.36010742 -999999, 272483.149902344 7039245.89990234 -999999, 272482.550048828 7039240.4699707 -999999, 272484.030029297 7039235.34008789 -999999, 272488.770019531 7039226.75 -999999, 272493.510009766 7039222.5 -999999, 272506.949951172 7039215.29003906 -999999, 272512.479980469 7039214.30004883 -999999, 272517.909912109 7039215.38989258 -999999, 272522.939941406 7039219.63989258 -999999, 272524.229980469 7039224.37988281 -999999, 272520.770019531 7039235.04003906 -999999, 272525.310058594 7039231.38989258 -999999, 272530.050048828 7039226.55004883 -999999, 272532.620117187 7039222.19995117 -999999, 272533.610107422 7039218.25 -999999, 272533.510009766 7039215.09008789 -999999, 272532.520019531 7039211.34008789 -999999, 272530.550048828 7039208.2800293 -999999, 272527.580078125 7039205.02001953 -999999, 272524.030029297 7039202.75 -999999, 272519.290039063 7039200.9699707 -999999, 272515.340087891 7039200.58007813 -999999, 272509.020019531 7039200.58007813 -999999, 272504.280029297 7039201.37011719 -999999, 272495.489990234 7039203.92993164 -999999, 272486.110107422 7039209.37011719 -999999, 272478.409912109 7039215.48999023 -999999, 272472.379882813 7039222.11010742 -999999, 272469.120117188 7039230.10009766 -999999, 272467.840087891 7039237.02001953 -999999, 272468.040039063 7039243.83007813 -999999, 272470.510009766 7039251.23999024 -999999, 272474.550048828 7039257.65991211 -999999, 272480.479980469 7039264.07006836 -999999, 272492.919921875 7039256.37011719 -999999, 272499.439941406 7039251.34008789 -999999, 272504.969970703 7039246.30004883 -999999))</t>
  </si>
  <si>
    <t>['EV6 S76D1 m3545-3553']</t>
  </si>
  <si>
    <t>LINESTRING Z (272542.100097656 7039206.39990235 -999999, 272538.840087891 7039209.65991211 -999999, 272538.25 7039209.37011719 -999999, 272536.370117188 7039206.11010742 -999999, 272534.5 7039203.73999023 -999999, 272533.610107422 7039202.75 -999999, 272532.820068359 7039201.86010742 -999999, 272533.510009766 7039201.27001953 -999999, 272534.600097656 7039201.76000977 -999999, 272539.530029297 7039204.62988281 -999999, 272541.310058594 7039205.61010742 -999999, 272542.100097656 7039206.39990235 -999999)</t>
  </si>
  <si>
    <t>POLYGON Z ((272542.100097656 7039206.39990235 -999999, 272538.840087891 7039209.65991211 -999999, 272538.25 7039209.37011719 -999999, 272536.370117188 7039206.11010742 -999999, 272534.5 7039203.73999023 -999999, 272533.610107422 7039202.75 -999999, 272532.820068359 7039201.86010742 -999999, 272533.510009766 7039201.27001953 -999999, 272534.600097656 7039201.76000977 -999999, 272539.530029297 7039204.62988281 -999999, 272541.310058594 7039205.61010742 -999999, 272542.100097656 7039206.39990235 -999999))</t>
  </si>
  <si>
    <t>['EV6 S76D1 m3487-3544']</t>
  </si>
  <si>
    <t>LINESTRING Z (272420.540039063 7039292.48999023 -999999, 272413.860107422 7039294.32006836 -999999, 272409.489990234 7039294.56005859 -999999, 272405.280029297 7039294.23999023 -999999, 272401.860107422 7039293.05004883 -999999, 272398.770019531 7039291.2199707 -999999, 272395.030029297 7039287.88989258 -999999, 272392.570068359 7039284.14990234 -999999, 272390.659912109 7039278.66992188 -999999, 272390.179931641 7039273.97998047 -999999, 272390.979980469 7039268.82006836 -999999, 272392.169921875 7039265.87988281 -999999, 272394.399902344 7039262.06005859 -999999, 272396.540039063 7039259.12011719 -999999, 272399.639892578 7039256.34008789 -999999, 272403.770019531 7039253.56005859 -999999, 272407.429931641 7039252.05004883 -999999, 272411.159912109 7039250.86010742 -999999, 272415.290039063 7039250.06005859 -999999, 272419.419921875 7039250.13989258 -999999, 272424.270019531 7039250.93994141 -999999, 272427.929931641 7039252.12988281 -999999, 272434.840087891 7039255.7800293 -999999, 272439.770019531 7039258.95996094 -999999, 272449.300048828 7039268.26000977 -999999, 272457.879882813 7039276.52001953 -999999, 272448.820068359 7039281.20996094 -999999, 272432.850097656 7039287.81005859 -999999, 272426.810058594 7039290.59008789 -999999, 272425.699951172 7039286.85009766 -999999, 272435.239990234 7039282.47998047 -999999, 272439.209960938 7039279.93994141 -999999, 272439.370117188 7039277.15991211 -999999, 272437.540039063 7039273.97998047 -999999, 272435.790039063 7039271.52001953 -999999, 272433.409912109 7039268.5 -999999, 272430.229980469 7039266.35009766 -999999, 272426.260009766 7039264.52001953 -999999, 272421.010009766 7039263.9699707 -999999, 272416.800048828 7039264.76000977 -999999, 272407.739990234 7039266.83007813 -999999, 272404.489990234 7039268.26000977 -999999, 272400.199951172 7039271.76000977 -999999, 272398.290039063 7039275.48999023 -999999, 272398.050048828 7039278.35009766 -999999, 272399.560058594 7039281.37011719 -999999, 272401.860107422 7039283.83007813 -999999, 272404.25 7039286.30004883 -999999, 272406.709960938 7039287.81005859 -999999, 272411.080078125 7039289.94995117 -999999, 272414.739990234 7039290.66992188 -999999, 272418.629882813 7039289.32006836 -999999, 272420.540039063 7039292.48999023 -999999)</t>
  </si>
  <si>
    <t>POLYGON Z ((272420.540039063 7039292.48999023 -999999, 272413.860107422 7039294.32006836 -999999, 272409.489990234 7039294.56005859 -999999, 272405.280029297 7039294.23999023 -999999, 272401.860107422 7039293.05004883 -999999, 272398.770019531 7039291.2199707 -999999, 272395.030029297 7039287.88989258 -999999, 272392.570068359 7039284.14990234 -999999, 272390.659912109 7039278.66992188 -999999, 272390.179931641 7039273.97998047 -999999, 272390.979980469 7039268.82006836 -999999, 272392.169921875 7039265.87988281 -999999, 272394.399902344 7039262.06005859 -999999, 272396.540039063 7039259.12011719 -999999, 272399.639892578 7039256.34008789 -999999, 272403.770019531 7039253.56005859 -999999, 272407.429931641 7039252.05004883 -999999, 272411.159912109 7039250.86010742 -999999, 272415.290039063 7039250.06005859 -999999, 272419.419921875 7039250.13989258 -999999, 272424.270019531 7039250.93994141 -999999, 272427.929931641 7039252.12988281 -999999, 272434.840087891 7039255.7800293 -999999, 272439.770019531 7039258.95996094 -999999, 272449.300048828 7039268.26000977 -999999, 272457.879882813 7039276.52001953 -999999, 272448.820068359 7039281.20996094 -999999, 272432.850097656 7039287.81005859 -999999, 272426.810058594 7039290.59008789 -999999, 272425.699951172 7039286.85009766 -999999, 272435.239990234 7039282.47998047 -999999, 272439.209960938 7039279.93994141 -999999, 272439.370117188 7039277.15991211 -999999, 272437.540039063 7039273.97998047 -999999, 272435.790039063 7039271.52001953 -999999, 272433.409912109 7039268.5 -999999, 272430.229980469 7039266.35009766 -999999, 272426.260009766 7039264.52001953 -999999, 272421.010009766 7039263.9699707 -999999, 272416.800048828 7039264.76000977 -999999, 272407.739990234 7039266.83007813 -999999, 272404.489990234 7039268.26000977 -999999, 272400.199951172 7039271.76000977 -999999, 272398.290039063 7039275.48999023 -999999, 272398.050048828 7039278.35009766 -999999, 272399.560058594 7039281.37011719 -999999, 272401.860107422 7039283.83007813 -999999, 272404.25 7039286.30004883 -999999, 272406.709960938 7039287.81005859 -999999, 272411.080078125 7039289.94995117 -999999, 272414.739990234 7039290.66992188 -999999, 272418.629882813 7039289.32006836 -999999, 272420.540039063 7039292.48999023 -999999))</t>
  </si>
  <si>
    <t>['EV6 S76D1 m3552-3773']</t>
  </si>
  <si>
    <t>LINESTRING Z (272543.030029297 7039321.81005859 -999999, 272531.260009766 7039309.89990234 -999999, 272532.709960938 7039308.06005859 -999999, 272491.560058594 7039257.84008789 -999999, 272480.909912109 7039264.40991211 -999999, 272558.209960937 7039345.26000977 -999999, 272584.370117188 7039373.26000977 -999999, 272609.870117188 7039402.95996094 -999999, 272615.639892578 7039408.11010742 -999999, 272621.409912109 7039412.89990234 -999999, 272634.419921875 7039421.97998047 -999999, 272636.75 7039420.02001953 -999999, 272638.219970703 7039418.79003906 -999999, 272632.949951172 7039414.62011719 -999999, 272580.780029297 7039360.48999023 -999999, 272564.949951172 7039343.80004883 -999999, 272563.360107422 7039342.44995117 -999999, 272544.699951172 7039323.55004883 -999999, 272543.030029297 7039321.82006836 -999999)</t>
  </si>
  <si>
    <t>POLYGON Z ((272543.030029297 7039321.81005859 -999999, 272531.260009766 7039309.89990234 -999999, 272532.709960938 7039308.06005859 -999999, 272491.560058594 7039257.84008789 -999999, 272480.909912109 7039264.40991211 -999999, 272558.209960937 7039345.26000977 -999999, 272584.370117188 7039373.26000977 -999999, 272609.870117188 7039402.95996094 -999999, 272615.639892578 7039408.11010742 -999999, 272621.409912109 7039412.89990234 -999999, 272634.419921875 7039421.97998047 -999999, 272636.75 7039420.02001953 -999999, 272638.219970703 7039418.79003906 -999999, 272632.949951172 7039414.62011719 -999999, 272580.780029297 7039360.48999023 -999999, 272564.949951172 7039343.80004883 -999999, 272563.360107422 7039342.44995117 -999999, 272544.699951172 7039323.55004883 -999999, 272543.030029297 7039321.82006836 -999999, 272543.030029297 7039321.81005859 -999999))</t>
  </si>
  <si>
    <t>['EV6 S76D1 m3541-3838']</t>
  </si>
  <si>
    <t>LINESTRING Z (272635.510009766 7039455.20996094 -999999, 272541.550048828 7039360.2199707 -999999, 272512.149902344 7039329.30004883 -999999, 272509.260009766 7039326.40991211 -999999, 272499.75 7039318.08007813 -999999, 272492.100097656 7039311.95996094 -999999, 272485.810058594 7039306.02001953 -999999, 272472.899902344 7039292.25 -999999, 272458.320068359 7039276.68994141 -999999, 272448.659912109 7039281.19995117 -999999, 272475.699951172 7039307.59008789 -999999, 272478.270019531 7039305.65991211 -999999, 272517.959960938 7039340.62988281 -999999, 272633.830078125 7039456.70996094 -999999, 272662.600097656 7039487.12988281 -999999, 272664.419921875 7039485.09008789 -999999, 272643.800048828 7039462.86010742 -999999, 272635.510009766 7039455.20996094 -999999)</t>
  </si>
  <si>
    <t>POLYGON Z ((272635.510009766 7039455.20996094 -999999, 272541.550048828 7039360.2199707 -999999, 272512.149902344 7039329.30004883 -999999, 272509.260009766 7039326.40991211 -999999, 272499.75 7039318.08007813 -999999, 272492.100097656 7039311.95996094 -999999, 272485.810058594 7039306.02001953 -999999, 272472.899902344 7039292.25 -999999, 272458.320068359 7039276.68994141 -999999, 272448.659912109 7039281.19995117 -999999, 272475.699951172 7039307.59008789 -999999, 272478.270019531 7039305.65991211 -999999, 272517.959960938 7039340.62988281 -999999, 272633.830078125 7039456.70996094 -999999, 272662.600097656 7039487.12988281 -999999, 272664.419921875 7039485.09008789 -999999, 272643.800048828 7039462.86010742 -999999, 272635.510009766 7039455.20996094 -999999))</t>
  </si>
  <si>
    <t>['EV6 S76D1 m3856-4755']</t>
  </si>
  <si>
    <t>LINESTRING Z (272780.689941406 7039564.97998047 -999999, 272716.179931641 7039500.37988281 -999999, 272712.370117187 7039501.40991211 -999999, 272692.850097656 7039481.97998047 -999999, 272691.090087891 7039483.92993164 -999999, 272737.75 7039531.14990234 -999999, 272772.139892578 7039564.97998047 -999999, 272864.510009766 7039657.12011719 -999999, 272925.169921875 7039718.5 -999999, 273032.050048828 7039826.81005859 -999999, 273099.450195313 7039890.30004883 -999999, 273177.399902344 7039959.61010742 -999999, 273189.220214844 7039969.16992187 -999999, 273193.870117188 7039971.95996094 -999999, 273209.799804688 7039981.25 -999999, 273213.779785156 7039984.16992188 -999999, 273242.600097656 7040009.54003906 -999999, 273258.379882813 7040023.59008789 -999999, 273270.5 7040041.08007813 -999999, 273281.240234375 7040050.42993164 -999999, 273305.66015625 7040072.25 -999999, 273318.299804688 7040083.5 -999999, 273333.020019531 7040094.07006836 -999999, 273342.890136719 7040100.4699707 -999999, 273345.83984375 7040096.84008789 -999999, 273282.629882813 7040044.18994141 -999999, 273266.350097656 7040031.55004883 -999999, 273268.080078125 7040028.7800293 -999999, 273245.049804688 7040008.35009766 -999999, 273222.069824219 7039987.79003906 -999999, 273187.529785156 7039957.81005859 -999999, 273185.569824219 7039959.12011719 -999999, 273154.620117188 7039932.7199707 -999999, 273105.41015625 7039888.40991211 -999999, 273048.389892578 7039834.9699707 -999999, 272982.239990234 7039767.85009766 -999999, 272903.709960938 7039688.34008789 -999999, 272834.020019531 7039617.56005859 -999999, 272791.570068359 7039575.79003906 -999999, 272780.689941406 7039564.97998047 -999999)</t>
  </si>
  <si>
    <t>POLYGON Z ((272780.689941406 7039564.97998047 -999999, 272716.179931641 7039500.37988281 -999999, 272712.370117187 7039501.40991211 -999999, 272692.850097656 7039481.97998047 -999999, 272691.090087891 7039483.92993164 -999999, 272737.75 7039531.14990234 -999999, 272772.139892578 7039564.97998047 -999999, 272864.510009766 7039657.12011719 -999999, 272925.169921875 7039718.5 -999999, 273032.050048828 7039826.81005859 -999999, 273099.450195313 7039890.30004883 -999999, 273177.399902344 7039959.61010742 -999999, 273189.220214844 7039969.16992187 -999999, 273193.870117188 7039971.95996094 -999999, 273209.799804688 7039981.25 -999999, 273213.779785156 7039984.16992188 -999999, 273242.600097656 7040009.54003906 -999999, 273258.379882813 7040023.59008789 -999999, 273270.5 7040041.08007813 -999999, 273281.240234375 7040050.42993164 -999999, 273305.66015625 7040072.25 -999999, 273318.299804688 7040083.5 -999999, 273333.020019531 7040094.07006836 -999999, 273342.890136719 7040100.4699707 -999999, 273345.83984375 7040096.84008789 -999999, 273282.629882813 7040044.18994141 -999999, 273266.350097656 7040031.55004883 -999999, 273268.080078125 7040028.7800293 -999999, 273245.049804688 7040008.35009766 -999999, 273222.069824219 7039987.79003906 -999999, 273187.529785156 7039957.81005859 -999999, 273185.569824219 7039959.12011719 -999999, 273154.620117188 7039932.7199707 -999999, 273105.41015625 7039888.40991211 -999999, 273048.389892578 7039834.9699707 -999999, 272982.239990234 7039767.85009766 -999999, 272903.709960938 7039688.34008789 -999999, 272834.020019531 7039617.56005859 -999999, 272791.570068359 7039575.79003906 -999999, 272780.689941406 7039564.97998047 -999999))</t>
  </si>
  <si>
    <t>['EV6 S76D1 m3907-4466']</t>
  </si>
  <si>
    <t>LINESTRING Z (272816.479980469 7039637.07006836 -999999, 272781.979980469 7039601 -999999, 272747.689941406 7039566.38989258 -999999, 272729.909912109 7039549.04003906 -999999, 272723.5 7039544.10009766 -999999, 272712.139892578 7039535.58007812 -999999, 272709.189941406 7039538.20996094 -999999, 272709.929931641 7039541.26000977 -999999, 272722.969970703 7039549.66992188 -999999, 272739.280029297 7039564.91992188 -999999, 272751.689941406 7039575.33007813 -999999, 272805.540039062 7039629.08007813 -999999, 272872.810058594 7039698.27001953 -999999, 272905.879882813 7039731.51000977 -999999, 272905.010009766 7039732.19995117 -999999, 272941.879882813 7039769.93994141 -999999, 272976.679931641 7039804.89990234 -999999, 273040.050048828 7039868.10009766 -999999, 273068.419921875 7039894.75 -999999, 273096.569824219 7039920.11010742 -999999, 273093.780029297 7039924.40991211 -999999, 273104.740234375 7039933.86010742 -999999, 273106.029785156 7039931.5 -999999, 273097.859863281 7039922.04003906 -999999, 273089.909912109 7039908.5 -999999, 273047.139892578 7039869.82006836 -999999, 272997.280029297 7039820.81005859 -999999, 272978.360107422 7039801.68994141 -999999, 272909.709960938 7039731.40991211 -999999, 272833 7039653.65991211 -999999, 272816.479980469 7039637.07006836 -999999)</t>
  </si>
  <si>
    <t>POLYGON Z ((272816.479980469 7039637.07006836 -999999, 272781.979980469 7039601 -999999, 272747.689941406 7039566.38989258 -999999, 272729.909912109 7039549.04003906 -999999, 272723.5 7039544.10009766 -999999, 272712.139892578 7039535.58007812 -999999, 272709.189941406 7039538.20996094 -999999, 272709.929931641 7039541.26000977 -999999, 272722.969970703 7039549.66992188 -999999, 272739.280029297 7039564.91992188 -999999, 272751.689941406 7039575.33007813 -999999, 272805.540039062 7039629.08007813 -999999, 272872.810058594 7039698.27001953 -999999, 272905.879882813 7039731.51000977 -999999, 272905.010009766 7039732.19995117 -999999, 272941.879882813 7039769.93994141 -999999, 272976.679931641 7039804.89990234 -999999, 273040.050048828 7039868.10009766 -999999, 273068.419921875 7039894.75 -999999, 273096.569824219 7039920.11010742 -999999, 273093.780029297 7039924.40991211 -999999, 273104.740234375 7039933.86010742 -999999, 273106.029785156 7039931.5 -999999, 273097.859863281 7039922.04003906 -999999, 273089.909912109 7039908.5 -999999, 273047.139892578 7039869.82006836 -999999, 272997.280029297 7039820.81005859 -999999, 272978.360107422 7039801.68994141 -999999, 272909.709960938 7039731.40991211 -999999, 272833 7039653.65991211 -999999, 272816.479980469 7039637.07006836 -999999))</t>
  </si>
  <si>
    <t>['EV6 S76D1 m4513-4917']</t>
  </si>
  <si>
    <t>LINESTRING Z (273444.919921875 7040229.80004883 -999999, 273429.569824219 7040210.47998047 -999999, 273423.220214844 7040203.87011719 -999999, 273390.140136719 7040173.95996094 -999999, 273334.560058594 7040124.73999023 -999999, 273262.83984375 7040061.76000977 -999999, 273186.359863281 7039994.54003906 -999999, 273173.399902344 7039983.41992188 -999999, 273162.279785156 7039976.2800293 -999999, 273149.310058594 7039968.87011719 -999999, 273142.700195313 7039963.84008789 -999999, 273140.049804688 7039965.42993164 -999999, 273164.399902344 7039986.86010742 -999999, 273166.779785156 7039984.2199707 -999999, 273233.470214844 7040041.63989258 -999999, 273309.16015625 7040108.86010742 -999999, 273365.790039063 7040158.35009766 -999999, 273392.25 7040182.16992188 -999999, 273393.580078125 7040190.63989258 -999999, 273399.66015625 7040196.45996094 -999999, 273380.080078125 7040203.87011719 -999999, 273379.290039063 7040204.92993164 -999999, 273383.259765625 7040204.92993164 -999999, 273397.279785156 7040204.65991211 -999999, 273406.279785156 7040204.65991211 -999999, 273411.83984375 7040206.25 -999999, 273421.100097656 7040210.75 -999999, 273428.509765625 7040216.57006836 -999999, 273440.950195313 7040226.88989258 -999999, 273444.919921875 7040229.80004883 -999999)</t>
  </si>
  <si>
    <t>POLYGON Z ((273444.919921875 7040229.80004883 -999999, 273429.569824219 7040210.47998047 -999999, 273423.220214844 7040203.87011719 -999999, 273390.140136719 7040173.95996094 -999999, 273334.560058594 7040124.73999023 -999999, 273262.83984375 7040061.76000977 -999999, 273186.359863281 7039994.54003906 -999999, 273173.399902344 7039983.41992188 -999999, 273162.279785156 7039976.2800293 -999999, 273149.310058594 7039968.87011719 -999999, 273142.700195313 7039963.84008789 -999999, 273140.049804688 7039965.42993164 -999999, 273164.399902344 7039986.86010742 -999999, 273166.779785156 7039984.2199707 -999999, 273233.470214844 7040041.63989258 -999999, 273309.16015625 7040108.86010742 -999999, 273365.790039063 7040158.35009766 -999999, 273392.25 7040182.16992188 -999999, 273393.580078125 7040190.63989258 -999999, 273399.66015625 7040196.45996094 -999999, 273380.080078125 7040203.87011719 -999999, 273379.290039063 7040204.92993164 -999999, 273383.259765625 7040204.92993164 -999999, 273397.279785156 7040204.65991211 -999999, 273406.279785156 7040204.65991211 -999999, 273411.83984375 7040206.25 -999999, 273421.100097656 7040210.75 -999999, 273428.509765625 7040216.57006836 -999999, 273440.950195313 7040226.88989258 -999999, 273444.919921875 7040229.80004883 -999999))</t>
  </si>
  <si>
    <t>['EV6 S76D1 m4807-4998']</t>
  </si>
  <si>
    <t>LINESTRING Z (273525.189941406 7040259.39990234 -999999, 273503.470214844 7040240.80004883 -999999, 273476.009765625 7040217.4699707 -999999, 273461.040039063 7040206.72998047 -999999, 273449.549804688 7040197.75 -999999, 273421.470214844 7040174.0300293 -999999, 273407 7040160.67993164 -999999, 273395.390136719 7040148.69995117 -999999, 273381.779785156 7040134.9699707 -999999, 273382.279785156 7040134.2199707 -999999, 273398.379882812 7040144.19995117 -999999, 273401.629882813 7040144.58007813 -999999, 273404.25 7040144.08007813 -999999, 273406.870117188 7040144.69995117 -999999, 273409.240234375 7040145.83007813 -999999, 273430.580078125 7040164.80004883 -999999, 273432.209960938 7040166.79003906 -999999, 273429.709960938 7040170.04003906 -999999, 273433.580078125 7040173.15991211 -999999, 273445.930175781 7040161.17993164 -999999, 273453.299804688 7040152.43994141 -999999, 273464.529785156 7040139.59008789 -999999, 273465.649902344 7040141.70996094 -999999, 273453.299804688 7040154.43994141 -999999, 273454.669921875 7040156.18994141 -999999, 273435.580078125 7040178.64990234 -999999, 273435.950195313 7040179.0300293 -999999, 273437.819824219 7040177.0300293 -999999, 273452.799804688 7040189.76000977 -999999, 273465.029785156 7040198.87011719 -999999, 273503.350097656 7040230.19995117 -999999, 273504.220214844 7040231.68994141 -999999, 273519.700195313 7040245.16992188 -999999, 273518.950195313 7040249.66992188 -999999, 273527.680175781 7040258.0300293 -999999, 273525.189941406 7040259.39990234 -999999)</t>
  </si>
  <si>
    <t>POLYGON Z ((273525.189941406 7040259.39990234 -999999, 273503.470214844 7040240.80004883 -999999, 273476.009765625 7040217.4699707 -999999, 273461.040039063 7040206.72998047 -999999, 273449.549804688 7040197.75 -999999, 273421.470214844 7040174.0300293 -999999, 273407 7040160.67993164 -999999, 273395.390136719 7040148.69995117 -999999, 273381.779785156 7040134.9699707 -999999, 273382.279785156 7040134.2199707 -999999, 273398.379882812 7040144.19995117 -999999, 273401.629882813 7040144.58007813 -999999, 273404.25 7040144.08007813 -999999, 273406.870117188 7040144.69995117 -999999, 273409.240234375 7040145.83007813 -999999, 273430.580078125 7040164.80004883 -999999, 273432.209960938 7040166.79003906 -999999, 273429.709960938 7040170.04003906 -999999, 273433.580078125 7040173.15991211 -999999, 273445.930175781 7040161.17993164 -999999, 273453.299804688 7040152.43994141 -999999, 273464.529785156 7040139.59008789 -999999, 273465.649902344 7040141.70996094 -999999, 273453.299804688 7040154.43994141 -999999, 273454.669921875 7040156.18994141 -999999, 273435.580078125 7040178.64990234 -999999, 273435.950195313 7040179.0300293 -999999, 273437.819824219 7040177.0300293 -999999, 273452.799804688 7040189.76000977 -999999, 273465.029785156 7040198.87011719 -999999, 273503.350097656 7040230.19995117 -999999, 273504.220214844 7040231.68994141 -999999, 273519.700195313 7040245.16992188 -999999, 273518.950195313 7040249.66992188 -999999, 273527.680175781 7040258.0300293 -999999, 273525.189941406 7040259.39990234 -999999))</t>
  </si>
  <si>
    <t>['EV6 S76D1 m5059-5126']</t>
  </si>
  <si>
    <t>LINESTRING Z (273555.029785156 7040319.11010742 -999999, 273568.640136719 7040330.12988281 -999999, 273597.930175781 7040356.17993164 -999999, 273603.890136719 7040361.48999023 -999999, 273604.799804688 7040363.43994141 -999999, 273604.279785156 7040365.12011719 -999999, 273603.109863281 7040365.89990235 -999999, 273602.600097656 7040366.29003906 -999999, 273596.240234375 7040364.98999023 -999999, 273590.669921875 7040364.4699707 -999999, 273585.490234375 7040364.86010742 -999999, 273579.009765625 7040366.15991211 -999999, 273573.040039063 7040367.9699707 -999999, 273566.560058594 7040370.94995117 -999999, 273560.729980469 7040375.10009766 -999999, 273554.379882813 7040381.06005859 -999999, 273550.100097656 7040386.51000977 -999999, 273545.819824219 7040394.66992188 -999999, 273536.359863281 7040417.75 -999999, 273527.549804688 7040439.90991211 -999999, 273525.33984375 7040444.84008789 -999999, 273524.439941406 7040445.47998047 -999999, 273524.439941406 7040444.70996094 -999999, 273524.180175781 7040442.88989258 -999999, 273525.08984375 7040437.18994141 -999999, 273527.939941406 7040429.80004883 -999999, 273540.640136719 7040398.94995117 -999999, 273546.729980469 7040383.13989258 -999999, 273552.560058594 7040368.62011719 -999999, 273556.580078125 7040358.89990234 -999999, 273558.66015625 7040353.19995117 -999999, 273559.950195312 7040347.48999023 -999999, 273560.080078125 7040343.09008789 -999999, 273559.819824219 7040335.83007813 -999999, 273558.790039063 7040329.35009766 -999999, 273556.060058594 7040322.35009766 -999999, 273554.770019531 7040319.5 -999999, 273555.029785156 7040319.11010742 -999999)</t>
  </si>
  <si>
    <t>POLYGON Z ((273555.029785156 7040319.11010742 -999999, 273568.640136719 7040330.12988281 -999999, 273597.930175781 7040356.17993164 -999999, 273603.890136719 7040361.48999023 -999999, 273604.799804688 7040363.43994141 -999999, 273604.279785156 7040365.12011719 -999999, 273603.109863281 7040365.89990235 -999999, 273602.600097656 7040366.29003906 -999999, 273596.240234375 7040364.98999023 -999999, 273590.669921875 7040364.4699707 -999999, 273585.490234375 7040364.86010742 -999999, 273579.009765625 7040366.15991211 -999999, 273573.040039063 7040367.9699707 -999999, 273566.560058594 7040370.94995117 -999999, 273560.729980469 7040375.10009766 -999999, 273554.379882813 7040381.06005859 -999999, 273550.100097656 7040386.51000977 -999999, 273545.819824219 7040394.66992188 -999999, 273536.359863281 7040417.75 -999999, 273527.549804688 7040439.90991211 -999999, 273525.33984375 7040444.84008789 -999999, 273524.439941406 7040445.47998047 -999999, 273524.439941406 7040444.70996094 -999999, 273524.180175781 7040442.88989258 -999999, 273525.08984375 7040437.18994141 -999999, 273527.939941406 7040429.80004883 -999999, 273540.640136719 7040398.94995117 -999999, 273546.729980469 7040383.13989258 -999999, 273552.560058594 7040368.62011719 -999999, 273556.580078125 7040358.89990234 -999999, 273558.66015625 7040353.19995117 -999999, 273559.950195312 7040347.48999023 -999999, 273560.080078125 7040343.09008789 -999999, 273559.819824219 7040335.83007813 -999999, 273558.790039063 7040329.35009766 -999999, 273556.060058594 7040322.35009766 -999999, 273554.770019531 7040319.5 -999999, 273555.029785156 7040319.11010742 -999999))</t>
  </si>
  <si>
    <t>['EV6 S76D1 m5106-5626']</t>
  </si>
  <si>
    <t>LINESTRING Z (273693.41015625 7040447.04003906 -999999, 273643.200195313 7040407.2800293 -999999, 273617.109863281 7040384.30004883 -999999, 273611.939941406 7040380.62011719 -999999, 273603.560058594 7040377.29003906 -999999, 273598.83984375 7040376.37011719 -999999, 273588.5 7040376.13989258 -999999, 273579.770019531 7040377.75 -999999, 273571.959960938 7040381.54003906 -999999, 273564.950195313 7040385.90991211 -999999, 273557.020019531 7040393.7199707 -999999, 273552.189941406 7040402.2199707 -999999, 273548.399902344 7040408.42993164 -999999, 273533.120117188 7040446.91992187 -999999, 273530.470214844 7040446.22998047 -999999, 273543.459960938 7040414.06005859 -999999, 273551.270019531 7040396.93994141 -999999, 273558.740234375 7040387.06005859 -999999, 273565.870117188 7040380.15991211 -999999, 273572.299804688 7040376.25 -999999, 273580.109863281 7040373.14990234 -999999, 273589.080078125 7040371.42993164 -999999, 273599.990234375 7040372.22998047 -999999, 273609.299804688 7040375.33007812 -999999, 273619.299804688 7040381.31005859 -999999, 273629.41015625 7040388.88989258 -999999, 273650.899902344 7040407.9699707 -999999, 273671.700195313 7040425.55004883 -999999, 273679.850097656 7040431.75 -999999, 273692.609863281 7040440.7199707 -999999, 273699.759765625 7040445.98999023 -999999, 273712.990234375 7040457.80004883 -999999, 273755.569824219 7040495.47998047 -999999, 273786.419921875 7040522.16992187 -999999, 273834.549804688 7040564.80004883 -999999, 273878.399902344 7040603.2199707 -999999, 273934.430175781 7040652.77001953 -999999, 273980.5 7040693.9699707 -999999, 273977 7040697.66992188 -999999, 273971.649902344 7040691.90991211 -999999, 273964.229980469 7040682.85009766 -999999, 273941.379882813 7040662.45996094 -999999, 273885.979980469 7040612.84008789 -999999, 273853.040039063 7040584.01000977 -999999, 273757.959960937 7040502.66992188 -999999, 273693.41015625 7040447.04003906 -999999)</t>
  </si>
  <si>
    <t>POLYGON Z ((273693.41015625 7040447.04003906 -999999, 273643.200195313 7040407.2800293 -999999, 273617.109863281 7040384.30004883 -999999, 273611.939941406 7040380.62011719 -999999, 273603.560058594 7040377.29003906 -999999, 273598.83984375 7040376.37011719 -999999, 273588.5 7040376.13989258 -999999, 273579.770019531 7040377.75 -999999, 273571.959960938 7040381.54003906 -999999, 273564.950195313 7040385.90991211 -999999, 273557.020019531 7040393.7199707 -999999, 273552.189941406 7040402.2199707 -999999, 273548.399902344 7040408.42993164 -999999, 273533.120117188 7040446.91992187 -999999, 273530.470214844 7040446.22998047 -999999, 273543.459960938 7040414.06005859 -999999, 273551.270019531 7040396.93994141 -999999, 273558.740234375 7040387.06005859 -999999, 273565.870117188 7040380.15991211 -999999, 273572.299804688 7040376.25 -999999, 273580.109863281 7040373.14990234 -999999, 273589.080078125 7040371.42993164 -999999, 273599.990234375 7040372.22998047 -999999, 273609.299804688 7040375.33007812 -999999, 273619.299804688 7040381.31005859 -999999, 273629.41015625 7040388.88989258 -999999, 273650.899902344 7040407.9699707 -999999, 273671.700195313 7040425.55004883 -999999, 273679.850097656 7040431.75 -999999, 273692.609863281 7040440.7199707 -999999, 273699.759765625 7040445.98999023 -999999, 273712.990234375 7040457.80004883 -999999, 273755.569824219 7040495.47998047 -999999, 273786.419921875 7040522.16992187 -999999, 273834.549804688 7040564.80004883 -999999, 273878.399902344 7040603.2199707 -999999, 273934.430175781 7040652.77001953 -999999, 273980.5 7040693.9699707 -999999, 273977 7040697.66992188 -999999, 273971.649902344 7040691.90991211 -999999, 273964.229980469 7040682.85009766 -999999, 273941.379882813 7040662.45996094 -999999, 273885.979980469 7040612.84008789 -999999, 273853.040039063 7040584.01000977 -999999, 273757.959960937 7040502.66992188 -999999, 273693.41015625 7040447.04003906 -999999))</t>
  </si>
  <si>
    <t>['EV6 S76D1 m4999-5187']</t>
  </si>
  <si>
    <t>LINESTRING Z (273528.129882813 7040261.44995117 -999999, 273530.640136719 7040256.95996094 -999999, 273588.370117188 7040301.62011719 -999999, 273638.83984375 7040338.61010742 -999999, 273682.299804688 7040364.62988281 -999999, 273684.149902344 7040365.82006836 -999999, 273682.700195313 7040366.62011719 -999999, 273679.259765625 7040367.2800293 -999999, 273675.700195313 7040366.35009766 -999999, 273671.600097656 7040364.5 -999999, 273648.740234375 7040347.45996094 -999999, 273636.459960938 7040340.98999024 -999999, 273610.040039063 7040321.56005859 -999999, 273531.689941406 7040264.88989258 -999999, 273528.129882813 7040261.44995117 -999999)</t>
  </si>
  <si>
    <t>POLYGON Z ((273528.129882813 7040261.44995117 -999999, 273530.640136719 7040256.95996094 -999999, 273588.370117188 7040301.62011719 -999999, 273638.83984375 7040338.61010742 -999999, 273682.299804688 7040364.62988281 -999999, 273684.149902344 7040365.82006836 -999999, 273682.700195313 7040366.62011719 -999999, 273679.259765625 7040367.2800293 -999999, 273675.700195313 7040366.35009766 -999999, 273671.600097656 7040364.5 -999999, 273648.740234375 7040347.45996094 -999999, 273636.459960938 7040340.98999024 -999999, 273610.040039063 7040321.56005859 -999999, 273531.689941406 7040264.88989258 -999999, 273528.129882813 7040261.44995117 -999999))</t>
  </si>
  <si>
    <t>['EV6 S76D1 m5431-6062']</t>
  </si>
  <si>
    <t>LINESTRING Z (273917.600097656 7040605.5 -999999, 273911.859863281 7040600.59008789 -999999, 273904.890136719 7040594.68994141 -999999, 273888.620117188 7040580.26000977 -999999, 273851.930175781 7040547.93994141 -999999, 273851.540039063 7040545.95996094 -999999, 273852.990234375 7040544.23999023 -999999, 273907.16015625 7040592.86010742 -999999, 273956.439941406 7040637.25 -999999, 273979.16015625 7040657.59008789 -999999, 273995.009765625 7040673.97998047 -999999, 274009.279785156 7040686.92993164 -999999, 274044.25 7040718.18994141 -999999, 274079.959960938 7040750.76000977 -999999, 274119.180175781 7040786.09008789 -999999, 274200.399902344 7040856.20996094 -999999, 274245.310058594 7040897.19995117 -999999, 274294 7040940.12988281 -999999, 274318.870117188 7040964.73999024 -999999, 274316.770019531 7040971.92993164 -999999, 274277.770019531 7040935.67993164 -999999, 274227.779785156 7040894.45996094 -999999, 274207.75 7040875.47998047 -999999, 274180.140136719 7040849.04003906 -999999, 274055.430175781 7040733.48999023 -999999, 273982.240234375 7040667.97998047 -999999, 273957.290039063 7040641.10009766 -999999, 273939.950195312 7040625.18994141 -999999, 273925.899902344 7040613.17993164 -999999, 273917.479980469 7040605.43994141 -999999)</t>
  </si>
  <si>
    <t>POLYGON Z ((273917.600097656 7040605.5 -999999, 273911.859863281 7040600.59008789 -999999, 273904.890136719 7040594.68994141 -999999, 273888.620117188 7040580.26000977 -999999, 273851.930175781 7040547.93994141 -999999, 273851.540039063 7040545.95996094 -999999, 273852.990234375 7040544.23999023 -999999, 273907.16015625 7040592.86010742 -999999, 273956.439941406 7040637.25 -999999, 273979.16015625 7040657.59008789 -999999, 273995.009765625 7040673.97998047 -999999, 274009.279785156 7040686.92993164 -999999, 274044.25 7040718.18994141 -999999, 274079.959960938 7040750.76000977 -999999, 274119.180175781 7040786.09008789 -999999, 274200.399902344 7040856.20996094 -999999, 274245.310058594 7040897.19995117 -999999, 274294 7040940.12988281 -999999, 274318.870117188 7040964.73999024 -999999, 274316.770019531 7040971.92993164 -999999, 274277.770019531 7040935.67993164 -999999, 274227.779785156 7040894.45996094 -999999, 274207.75 7040875.47998047 -999999, 274180.140136719 7040849.04003906 -999999, 274055.430175781 7040733.48999023 -999999, 273982.240234375 7040667.97998047 -999999, 273957.290039063 7040641.10009766 -999999, 273939.950195312 7040625.18994141 -999999, 273925.899902344 7040613.17993164 -999999, 273917.479980469 7040605.43994141 -999999, 273917.600097656 7040605.5 -999999))</t>
  </si>
  <si>
    <t>['EV6 S76D1 m6109 KD4 m47-238']</t>
  </si>
  <si>
    <t>LINESTRING Z (274295.040039063 7041000.75 -999999, 274307.550048828 7041018.65002441 -999999, 274323.380004883 7041044.61999512 -999999, 274336.170043945 7041066.0300293 -999999, 274330.670043945 7041043.29003906 -999999, 274327.640014648 7041036.36999512 -999999, 274323.380004883 7041014.77001953 -999999, 274322.900024414 7041010.59997559 -999999, 274322.520019531 7041007.18994141 -999999, 274323 7040999.60998535 -999999, 274323.560058594 7040995.5300293 -999999, 274324.699951172 7040986.33996582 -999999, 274325.650024414 7040979.14001465 -999999, 274328.849975586 7040967.25 -999999, 274332.550048828 7040958.68994141 -999999, 274334.08996582 7040955.33996582 -999999, 274340.560058594 7040945.79003906 -999999, 274342.719970703 7040943.31994629 -999999, 274333.780029297 7040936.68994141 -999999, 274328.390014648 7040945.93994141 -999999, 274325.770019531 7040953.65002441 -999999, 274323.609985352 7040958.89001465 -999999, 274320.219970703 7040973.98999023 -999999, 274315.439941406 7040988.31994629 -999999, 274314.520019531 7040990.64001465 -999999, 274307.430053711 7040995.88000488 -999999, 274300.030029297 7041001.11999512 -999999, 274306.5 7041002.81005859 -999999, 274300.180053711 7041002.9699707 -999999, 274296.790039063 7040999.42004395 -999999, 274297.869995117 7040992.48999023 -999999, 274298.489990234 7040992.64001465 -999999, 274297.719970703 7040998.65002441 -999999, 274305.109985352 7040993.56005859 -999999, 274225.58996582 7040920.9699707 -999999, 274219.119995117 7040915.27001953 -999999, 274226.359985352 7040924.82995605 -999999, 274264.430053711 7040965.81994629 -999999, 274278.449951172 7040980.77001953 -999999, 274287.390014648 7040990.79003906 -999999, 274296.640014648 7041002.9699707 -999999, 274295.040039063 7041000.75 -999999)</t>
  </si>
  <si>
    <t>['RV706 S2D120 m240-286', 'RV706 S2D110 m1546-1642']</t>
  </si>
  <si>
    <t>LINESTRING Z (274916.609985352 7041574.93005371 55.497, 274904.619995117 7041572.59997559 55.887, 274892.479980469 7041571.19995117 56.237, 274876.619995117 7041569 56.687, 274869.280029297 7041569.19995117 56.967, 274876.430053711 7041573.45996094 56.867, 274890.050048828 7041577.70996094 56.867, 274890.260009766 7041577.69995117 56.867, 274898.209960938 7041583.45996094 57.077, 274909.069946289 7041590.69995117 57.337, 274922.920043945 7041594.82995605 57.187, 274932.08996582 7041598.72998047 57.117, 274940.130004883 7041602.42004395 57.077, 274948.319946289 7041604.93005371 56.927, 274958.709960937 7041606.14001465 56.877, 274968.140014648 7041606.16003418 56.827, 274978.199951172 7041605.18005371 56.747, 274983.709960938 7041604.14001465 56.887, 274995.08996582 7041599.58996582 53.477, 275000.780029297 7041598.45996094 51.717, 274994.91003418 7041596.09997559 52.217, 274983.920043945 7041593.5300293 52.637, 274975.050048828 7041590.02001953 53.067, 274962.930053711 7041586.95996094 53.607, 274960.229980469 7041586.68005371 53.717, 274956.540039062 7041585.41003418 53.897, 274944.319946289 7041581.45996094 54.527, 274927.880004883 7041577.23999023 55.087, 274916.469970703 7041575.10998535 55.497, 274916.420043945 7041575.11999512 55.497, 274916.609985352 7041574.93005371 55.497)</t>
  </si>
  <si>
    <t>POLYGON Z ((274916.609985352 7041574.93005371 55.497, 274904.619995117 7041572.59997559 55.887, 274892.479980469 7041571.19995117 56.237, 274876.619995117 7041569 56.687, 274869.280029297 7041569.19995117 56.967, 274876.430053711 7041573.45996094 56.867, 274890.050048828 7041577.70996094 56.867, 274890.260009766 7041577.69995117 56.867, 274898.209960938 7041583.45996094 57.077, 274909.069946289 7041590.69995117 57.337, 274922.920043945 7041594.82995605 57.187, 274932.08996582 7041598.72998047 57.117, 274940.130004883 7041602.42004395 57.077, 274948.319946289 7041604.93005371 56.927, 274958.709960937 7041606.14001465 56.877, 274968.140014648 7041606.16003418 56.827, 274978.199951172 7041605.18005371 56.747, 274983.709960938 7041604.14001465 56.887, 274995.08996582 7041599.58996582 53.477, 275000.780029297 7041598.45996094 51.717, 274994.91003418 7041596.09997559 52.217, 274983.920043945 7041593.5300293 52.637, 274975.050048828 7041590.02001953 53.067, 274962.930053711 7041586.95996094 53.607, 274960.229980469 7041586.68005371 53.717, 274956.540039062 7041585.41003418 53.897, 274944.319946289 7041581.45996094 54.527, 274927.880004883 7041577.23999023 55.087, 274916.469970703 7041575.10998535 55.497, 274916.420043945 7041575.11999512 55.497, 274916.609985352 7041574.93005371 55.497))</t>
  </si>
  <si>
    <t>['RV706 S2D110 m1404-1546']</t>
  </si>
  <si>
    <t>LINESTRING Z (274779.359985352 7041567.45996094 54.947, 274784.560058594 7041567.72998047 55.697, 274796.16003418 7041568.2800293 55.797, 274805.040039063 7041568.65002441 55.867, 274812.300048828 7041569.05004883 55.957, 274819.5 7041569.44995117 56.257, 274826.239990234 7041569.66003418 56.547, 274826.290039063 7041569.15002442 56.587, 274836.959960938 7041570.15002441 56.747, 274845.130004883 7041571.34997559 56.817, 274853.979980469 7041573 56.847, 274865.280029297 7041576.10998535 56.927, 274874.739990234 7041579.47998047 57.027, 274881.569946289 7041582.31005859 57.097, 274881.540039063 7041582.31994629 57.067, 274871.780029297 7041580.15002441 56.577, 274859.390014648 7041577.91003418 55.977, 274847.219970703 7041576.18005371 55.507, 274835.280029297 7041574.95996094 54.897, 274824.099975586 7041574.32995606 54.357, 274814.439941406 7041574.11999512 53.867, 274803.380004883 7041574.23999023 53.367, 274792.010009766 7041574.7199707 52.787, 274782.449951172 7041575.08996582 52.327, 274777.91003418 7041573.81994629 52.007, 274774.66003418 7041571.41003418 51.717, 274772.800048828 7041568.97998047 51.657, 274772.290039063 7041567.11999512 51.417, 274779.359985352 7041567.45996094 54.947)</t>
  </si>
  <si>
    <t>POLYGON Z ((274779.359985352 7041567.45996094 54.947, 274784.560058594 7041567.72998047 55.697, 274796.16003418 7041568.2800293 55.797, 274805.040039063 7041568.65002441 55.867, 274812.300048828 7041569.05004883 55.957, 274819.5 7041569.44995117 56.257, 274826.239990234 7041569.66003418 56.547, 274826.290039063 7041569.15002442 56.587, 274836.959960938 7041570.15002441 56.747, 274845.130004883 7041571.34997559 56.817, 274853.979980469 7041573 56.847, 274865.280029297 7041576.10998535 56.927, 274874.739990234 7041579.47998047 57.027, 274881.569946289 7041582.31005859 57.097, 274881.540039063 7041582.31994629 57.067, 274871.780029297 7041580.15002441 56.577, 274859.390014648 7041577.91003418 55.977, 274847.219970703 7041576.18005371 55.507, 274835.280029297 7041574.95996094 54.897, 274824.099975586 7041574.32995606 54.357, 274814.439941406 7041574.11999512 53.867, 274803.380004883 7041574.23999023 53.367, 274792.010009766 7041574.7199707 52.787, 274782.449951172 7041575.08996582 52.327, 274777.91003418 7041573.81994629 52.007, 274774.66003418 7041571.41003418 51.717, 274772.800048828 7041568.97998047 51.657, 274772.290039063 7041567.11999512 51.417, 274779.359985352 7041567.45996094 54.947))</t>
  </si>
  <si>
    <t>['RV706 S2D110 m1326-1404']</t>
  </si>
  <si>
    <t>LINESTRING Z (274757.020019531 7041569.0300293 54.737, 274753.709960938 7041569.41003418 55.307, 274746.66003418 7041570.54003906 55.267, 274740.369995117 7041571.59997559 55.307, 274732.140014648 7041573.08996582 55.137, 274725.579956055 7041574.44995117 55.007, 274715.670043945 7041576.06005859 55.537, 274715.83996582 7041576.5300293 55.287, 274706.920043945 7041578.08996582 55.417, 274698.880004883 7041580.19995117 55.247, 274691.619995117 7041582.29003906 55.037, 274691.619995117 7041582.31994629 55.037, 274702.079956055 7041580.64001465 54.937, 274711.180053711 7041579.43994141 54.517, 274721.819946289 7041578.31005859 53.917, 274730.890014648 7041577.57995605 53.477, 274740.680053711 7041576.97998047 52.967, 274753.180053711 7041576.44995117 52.377, 274757.829956055 7041575.81005859 52.157, 274761.520019531 7041573.88000488 51.927, 274764.540039063 7041570.5 51.637, 274765.729980469 7041567.76000977 51.117, 274757.020019531 7041569.0300293 54.737)</t>
  </si>
  <si>
    <t>POLYGON Z ((274757.020019531 7041569.0300293 54.737, 274753.709960938 7041569.41003418 55.307, 274746.66003418 7041570.54003906 55.267, 274740.369995117 7041571.59997559 55.307, 274732.140014648 7041573.08996582 55.137, 274725.579956055 7041574.44995117 55.007, 274715.670043945 7041576.06005859 55.537, 274715.83996582 7041576.5300293 55.287, 274706.920043945 7041578.08996582 55.417, 274698.880004883 7041580.19995117 55.247, 274691.619995117 7041582.29003906 55.037, 274691.619995117 7041582.31994629 55.037, 274702.079956055 7041580.64001465 54.937, 274711.180053711 7041579.43994141 54.517, 274721.819946289 7041578.31005859 53.917, 274730.890014648 7041577.57995605 53.477, 274740.680053711 7041576.97998047 52.967, 274753.180053711 7041576.44995117 52.377, 274757.829956055 7041575.81005859 52.157, 274761.520019531 7041573.88000488 51.927, 274764.540039063 7041570.5 51.637, 274765.729980469 7041567.76000977 51.117, 274757.020019531 7041569.0300293 54.737))</t>
  </si>
  <si>
    <t>['EV6 S76D20 m63-198']</t>
  </si>
  <si>
    <t>LINESTRING Z (274764.719970703 7041400.15002442 53.537, 274771.849975586 7041406.25 58.157, 274770.33996582 7041422.16003418 58.317, 274769.560058594 7041444.09997559 58.347, 274771.869995117 7041465.10998535 57.837, 274772.459960937 7041486.68005371 56.957, 274773.719970703 7041505.31994629 56.387, 274776.920043945 7041525.47998047 56.047, 274778.199951172 7041532.31005859 55.677, 274770.989990234 7041535.43994141 51.677, 274769.829956055 7041527.07995606 52.127, 274769.349975586 7041511.5300293 53.287, 274768.790039063 7041498.63000488 54.267, 274767.890014648 7041485.31994629 55.427, 274768.540039063 7041478.06005859 56.067, 274768.420043945 7041473.51000977 56.217, 274768.270019531 7041469.04003906 56.357, 274767.780029297 7041461.29003906 56.917, 274767.010009766 7041454.43994141 57.187, 274767.079956055 7041441.81005859 57.007, 274765.829956055 7041426.40002441 56.047, 274764.770019531 7041412.55004883 54.727, 274764.5 7041405.45996094 54.107, 274764.719970703 7041400.15002442 53.537)</t>
  </si>
  <si>
    <t>POLYGON Z ((274764.719970703 7041400.15002442 53.537, 274771.849975586 7041406.25 58.157, 274770.33996582 7041422.16003418 58.317, 274769.560058594 7041444.09997559 58.347, 274771.869995117 7041465.10998535 57.837, 274772.459960937 7041486.68005371 56.957, 274773.719970703 7041505.31994629 56.387, 274776.920043945 7041525.47998047 56.047, 274778.199951172 7041532.31005859 55.677, 274770.989990234 7041535.43994141 51.677, 274769.829956055 7041527.07995606 52.127, 274769.349975586 7041511.5300293 53.287, 274768.790039063 7041498.63000488 54.267, 274767.890014648 7041485.31994629 55.427, 274768.540039063 7041478.06005859 56.067, 274768.420043945 7041473.51000977 56.217, 274768.270019531 7041469.04003906 56.357, 274767.780029297 7041461.29003906 56.917, 274767.010009766 7041454.43994141 57.187, 274767.079956055 7041441.81005859 57.007, 274765.829956055 7041426.40002441 56.047, 274764.770019531 7041412.55004883 54.727, 274764.5 7041405.45996094 54.107, 274764.719970703 7041400.15002442 53.537))</t>
  </si>
  <si>
    <t>['RV706 S2D110 m916-1402']</t>
  </si>
  <si>
    <t>LINESTRING Z (274302.25 7041705.59997559 54.296, 274304.459960938 7041704.91003418 54.376, 274319.010009766 7041700.57995606 54.986, 274332.949951172 7041697.34997559 55.366, 274350.489990234 7041694.84997559 55.706, 274368.5 7041692.5 55.936, 274374.540039063 7041691.73999023 56.026, 274380.010009766 7041690.77001953 56.076, 274399.819946289 7041684.63000488 56.076, 274423.939941406 7041677.04003906 55.846, 274436.069946289 7041673.08996582 55.726, 274441.75 7041670.70996094 55.706, 274462.449951172 7041660.68005371 55.446, 274480.880004883 7041652.01000977 55.206, 274493.770019531 7041647.08996582 55.126, 274520.630004883 7041638.64001465 54.906, 274543.239990234 7041631.54003906 54.816, 274569.030029297 7041623.34997559 54.817, 274597.859985352 7041614.2800293 54.887, 274628.310058594 7041604.65002442 54.817, 274649.08996582 7041598.07995606 54.927, 274666.829956055 7041593.15002441 55.037, 274686.099975586 7041588.85998535 55.177, 274702.599975586 7041585.93994141 54.927, 274719.790039063 7041583.79003906 54.137, 274741.569946289 7041582.31994629 53.057, 274763.829956055 7041581.5 52.067, 274765.859985352 7041582.93994141 52.127, 274767.469970703 7041585.25 52.357, 274767.930053711 7041587.22998047 52.587, 274768.479980469 7041600.97998047 54.367, 274768.869995117 7041610.09997559 55.527, 274765.58996582 7041608.33996582 55.257, 274765.880004883 7041602.94995117 55.367, 274763.810058594 7041594.31005859 55.357, 274761.790039062 7041588.83996582 55.327, 274759.040039063 7041588.08996582 55.257, 274752.510009766 7041588.01000977 55.317, 274743.939941406 7041587.61999512 55.157, 274735.489990234 7041586.73999023 54.947, 274723.229980469 7041586 54.537, 274675.369995117 7041592.16003418 54.897, 274663.599975586 7041595.27001953 54.767, 274653.170043945 7041598.81005859 54.377, 274640.979980469 7041602.35998535 54.337, 274626.420043945 7041607.20996094 54.347, 274617.109985352 7041610.47998047 54.237, 274612.150024414 7041611.82995605 54.407, 274601.560058594 7041615.18005371 54.337, 274579.670043945 7041622.67004395 53.737, 274570.510009766 7041626.15002441 53.937, 274568.469970703 7041627.15002442 54.417, 274560.58996582 7041630.06005859 53.726, 274541.010009766 7041635.75 54.026, 274529.069946289 7041639.94995117 54.436, 274514.170043945 7041645.14001465 54.166, 274500.16003418 7041650.07995605 53.926, 274495.199951172 7041651.63000488 53.976, 274482.760009766 7041658.43005371 53.826, 274470.349975586 7041664.11999512 54.016, 274459.930053711 7041669.34997559 53.996, 274452.760009766 7041672.94995117 54.036, 274446.180053711 7041675.18005371 54.736, 274437.75 7041678.58996582 55.026, 274424.319946289 7041679.59997559 55.606, 274418.130004883 7041681 55.676, 274409.400024414 7041684.69995117 55.596, 274400.979980469 7041686.32995606 55.816, 274398.739990234 7041686.58996582 55.796, 274386.930053711 7041690.01000977 55.896, 274386.770019531 7041690.06994629 56.076, 274380.319946289 7041692.06005859 56.076, 274374.739990234 7041693.05004883 56.026, 274368.670043945 7041693.81005859 55.936, 274350.680053711 7041696.17004395 55.706, 274333.189941406 7041698.65002441 55.366, 274319.349975586 7041701.85998535 54.986, 274304.849975586 7041706.17004395 54.376, 274302.650024414 7041706.85998535 54.296, 274302.25 7041705.59997559 54.296)</t>
  </si>
  <si>
    <t>POLYGON Z ((274302.25 7041705.59997559 54.296, 274304.459960938 7041704.91003418 54.376, 274319.010009766 7041700.57995606 54.986, 274332.949951172 7041697.34997559 55.366, 274350.489990234 7041694.84997559 55.706, 274368.5 7041692.5 55.936, 274374.540039063 7041691.73999023 56.026, 274380.010009766 7041690.77001953 56.076, 274399.819946289 7041684.63000488 56.076, 274423.939941406 7041677.04003906 55.846, 274436.069946289 7041673.08996582 55.726, 274441.75 7041670.70996094 55.706, 274462.449951172 7041660.68005371 55.446, 274480.880004883 7041652.01000977 55.206, 274493.770019531 7041647.08996582 55.126, 274520.630004883 7041638.64001465 54.906, 274543.239990234 7041631.54003906 54.816, 274569.030029297 7041623.34997559 54.817, 274597.859985352 7041614.2800293 54.887, 274628.310058594 7041604.65002442 54.817, 274649.08996582 7041598.07995606 54.927, 274666.829956055 7041593.15002441 55.037, 274686.099975586 7041588.85998535 55.177, 274702.599975586 7041585.93994141 54.927, 274719.790039063 7041583.79003906 54.137, 274741.569946289 7041582.31994629 53.057, 274763.829956055 7041581.5 52.067, 274765.859985352 7041582.93994141 52.127, 274767.469970703 7041585.25 52.357, 274767.930053711 7041587.22998047 52.587, 274768.479980469 7041600.97998047 54.367, 274768.869995117 7041610.09997559 55.527, 274765.58996582 7041608.33996582 55.257, 274765.880004883 7041602.94995117 55.367, 274763.810058594 7041594.31005859 55.357, 274761.790039062 7041588.83996582 55.327, 274759.040039063 7041588.08996582 55.257, 274752.510009766 7041588.01000977 55.317, 274743.939941406 7041587.61999512 55.157, 274735.489990234 7041586.73999023 54.947, 274723.229980469 7041586 54.537, 274675.369995117 7041592.16003418 54.897, 274663.599975586 7041595.27001953 54.767, 274653.170043945 7041598.81005859 54.377, 274640.979980469 7041602.35998535 54.337, 274626.420043945 7041607.20996094 54.347, 274617.109985352 7041610.47998047 54.237, 274612.150024414 7041611.82995605 54.407, 274601.560058594 7041615.18005371 54.337, 274579.670043945 7041622.67004395 53.737, 274570.510009766 7041626.15002441 53.937, 274568.469970703 7041627.15002442 54.417, 274560.58996582 7041630.06005859 53.726, 274541.010009766 7041635.75 54.026, 274529.069946289 7041639.94995117 54.436, 274514.170043945 7041645.14001465 54.166, 274500.16003418 7041650.07995605 53.926, 274495.199951172 7041651.63000488 53.976, 274482.760009766 7041658.43005371 53.826, 274470.349975586 7041664.11999512 54.016, 274459.930053711 7041669.34997559 53.996, 274452.760009766 7041672.94995117 54.036, 274446.180053711 7041675.18005371 54.736, 274437.75 7041678.58996582 55.026, 274424.319946289 7041679.59997559 55.606, 274418.130004883 7041681 55.676, 274409.400024414 7041684.69995117 55.596, 274400.979980469 7041686.32995606 55.816, 274398.739990234 7041686.58996582 55.796, 274386.930053711 7041690.01000977 55.896, 274386.770019531 7041690.06994629 56.076, 274380.319946289 7041692.06005859 56.076, 274374.739990234 7041693.05004883 56.026, 274368.670043945 7041693.81005859 55.936, 274350.680053711 7041696.17004395 55.706, 274333.189941406 7041698.65002441 55.366, 274319.349975586 7041701.85998535 54.986, 274304.849975586 7041706.17004395 54.376, 274302.650024414 7041706.85998535 54.296, 274302.25 7041705.59997559 54.296))</t>
  </si>
  <si>
    <t>['EV6 S76D1 m6959 KD4 m0-167']</t>
  </si>
  <si>
    <t>LINESTRING Z (274778.199951172 7041532.31005859 -999999, 274770.989990234 7041535.43994141 -999999, 274770.300048828 7041537.39001465 -999999, 274781.579956055 7041535.57995606 -999999, 274815.069946289 7041528.93994141 -999999, 274853.680053711 7041519.68005371 -999999, 274866.530029297 7041514.32995606 -999999, 274868.739990234 7041511.44995117 -999999, 274869.819946289 7041506.11999512 -999999, 274868.609985352 7041499.70996094 -999999, 274863.959960938 7041493.52001953 -999999, 274843.430053711 7041473.11999512 -999999, 274819.520019531 7041450.14001465 -999999, 274774.989990234 7041405.41003418 -999999, 274764.520019531 7041395.65002442 -999999, 274764.719970703 7041400.15002442 -999999, 274771.849975586 7041406.25 -999999, 274839.760009766 7041477.89001465 -999999, 274864.540039062 7041503.57995606 -999999, 274854.180053711 7041517 -999999, 274816.550048828 7041523.68005371 -999999, 274778.199951172 7041532.31005859 -999999)</t>
  </si>
  <si>
    <t>POLYGON Z ((274778.199951172 7041532.31005859 -999999, 274770.989990234 7041535.43994141 -999999, 274770.300048828 7041537.39001465 -999999, 274781.579956055 7041535.57995606 -999999, 274815.069946289 7041528.93994141 -999999, 274853.680053711 7041519.68005371 -999999, 274866.530029297 7041514.32995606 -999999, 274868.739990234 7041511.44995117 -999999, 274869.819946289 7041506.11999512 -999999, 274868.609985352 7041499.70996094 -999999, 274863.959960938 7041493.52001953 -999999, 274843.430053711 7041473.11999512 -999999, 274819.520019531 7041450.14001465 -999999, 274774.989990234 7041405.41003418 -999999, 274764.520019531 7041395.65002442 -999999, 274764.719970703 7041400.15002442 -999999, 274771.849975586 7041406.25 -999999, 274839.760009766 7041477.89001465 -999999, 274864.540039062 7041503.57995606 -999999, 274854.180053711 7041517 -999999, 274816.550048828 7041523.68005371 -999999, 274778.199951172 7041532.31005859 -999999))</t>
  </si>
  <si>
    <t>2015-04-15</t>
  </si>
  <si>
    <t>['FV165 S1D1 m1949-2019']</t>
  </si>
  <si>
    <t>LINESTRING Z (247030.0078125 6642759.34765625 -999999, 247030.0078125 6642754.82769775 -999999, 247023.732421875 6642728.30554199 -999999, 247023.096191406 6642728.47302246 -999999, 247022.337524414 6642728.84448242 -999999, 247021.944458008 6642729.13360596 -999999, 247021.122436523 6642729.93499756 -999999, 247020.79699707 6642730.33551025 -999999, 247020.208007813 6642730.99053955 -999999, 247019.922363281 6642731.30413818 -999999, 247019.429199219 6642731.48028565 -999999, 247019.032226563 6642731.50170899 -999999, 247018.337402344 6642731.24176025 -999999, 247017.552612305 6642730.1105957 -999999, 247016.865112305 6642729.11541748 -999999, 247016.338867188 6642728.10968018 -999999, 247016.154785156 6642727.24945068 -999999, 247016.399414063 6642726.43707275 -999999, 247016.813598633 6642725.77252197 -999999, 247017.627319336 6642724.98150635 -999999, 247018.511230469 6642724.21331787 -999999, 247019.223999023 6642723.79644775 -999999, 247019.901977539 6642723.39984131 -999999, 247020.794677734 6642722.99627686 -999999, 247021.960449219 6642722.69360352 -999999, 247022.462402344 6642722.59051514 -999999, 247022.235717773 6642721.75476074 -999999, 247019.479614258 6642722.52648926 -999999, 247017.440063477 6642723.24304199 -999999, 247016.062011719 6642724.84155273 -999999, 247015.676269531 6642725.99914551 -999999, 247015.676269531 6642735.70050049 -999999, 247015.345458984 6642755.434021 -999999, 247015.483276367 6642759.66461182 -999999, 247016.475463867 6642759.05828858 -999999, 247020.692260742 6642759.12719727 -999999, 247025.267333984 6642758.34167481 -999999, 247024.936645508 6642757.3770752 -999999, 247024.798828125 6642756.52270508 -999999, 247026.314697266 6642755.98522949 -999999, 247027.306884766 6642758.300354 -999999, 247025.405151367 6642759.03070068 -999999, 247025.267333984 6642758.34167481 -999999, 247020.692260742 6642759.12719727 -999999, 247016.475463867 6642759.05828858 -999999, 247015.483276367 6642759.66461182 -999999, 247015.345458984 6642763.371521 -999999, 247014.904541016 6642765.16296387 -999999, 247013.140625 6642781.14819336 -999999, 247011.762573242 6642792.31030273 -999999, 247011.101074219 6642797.16101074 -999999, 247013.085449219 6642798.42883301 -999999, 247014.573730469 6642798.70440674 -999999, 247017.164550781 6642798.9800415 -999999, 247020.857666016 6642799.090271 -999999, 247025.212280273 6642798.9800415 -999999, 247027.802978516 6642798.37371826 -999999, 247029.181030273 6642797.16101074 -999999, 247030.062988281 6642794.95617676 -999999, 247030.448730469 6642792.64105225 -999999, 247030.393676758 6642783.65625 -999999, 247031.881958008 6642780.51434326 -999999, 247029.869995117 6642773.62414551 -999999, 247030.889770508 6642772.96264649 -999999, 247031.165405273 6642771.52954102 -999999, 247029.621948242 6642771.86022949 -999999, 247028.436889648 6642767.80883789 -999999, 247027.666259766 6642768.59191895 -999999, 247027.884277344 6642769.69744873 -999999, 247028.107177734 6642771.08392334 -999999, 247028.117675781 6642771.75976563 -999999, 247027.790527344 6642772.25335693 -999999, 247027.139526367 6642772.45892334 -999999, 247026.755981445 6642772.45959473 -999999, 247026.061645508 6642772.27349854 -999999, 247025.617797852 6642771.66662598 -999999, 247025.255981445 6642770.44683838 -999999, 247024.91003418 6642768.54479981 -999999, 247024.785888672 6642767.26763916 -999999, 247024.702758789 6642766.0423584 -999999, 247024.818847656 6642765.29827881 -999999, 247025.314575195 6642764.2401123 -999999, 247025.926147461 6642763.29919434 -999999, 247026.488525391 6642762.52520752 -999999, 247027.697631836 6642761.10119629 -999999, 247029.071899414 6642760.96496582 -999999, 247029.533813477 6642761.34301758 -999999, 247029.758789063 6642761.88665772 -999999, 247029.790283203 6642762.42614746 -999999, 247029.501342773 6642763.30578613 -999999, 247029.170288086 6642763.70019531 -999999, 247028.770874023 6642764.17608643 -999999, 247027.606811523 6642765.58880615 -999999, 247027.283447266 6642766.08978272 -999999, 247027.246582031 6642766.69976807 -999999, 247027.431518555 6642767.43640137 -999999, 247027.666259766 6642768.59191895 -999999, 247028.436889648 6642767.80883789 -999999, 247027.913208008 6642766.237854 -999999, 247028.51953125 6642765.355896 -999999, 247030.393676758 6642762.8203125 -999999, 247030.0078125 6642759.34765625 -999999)</t>
  </si>
  <si>
    <t>2025-11-22T09:12:38Z</t>
  </si>
  <si>
    <t>['RV706 S1D1 m3675 KD1 m0-12', 'RV706 S1D1 m3675 KD1 m60-94']</t>
  </si>
  <si>
    <t>LINESTRING Z (269596.01 7040041.64 269596.146, 269596.88 7040042.68 269597.016, 269598.03 7040044.23 269598.166, 269598.82 7040045.63 269598.956, 269599.21 7040047.15 269599.346, 269599.35 7040049.09 269599.486, 269599.04 7040050.91 269599.176, 269598.34 7040052.6 269598.476, 269597.5 7040053.97 269597.636, 269596.09 7040055.43 269596.226, 269594.46 7040056.7 269594.596, 269592.22 7040057.46 269592.356, 269590.42 7040057.46 269590.556, 269587.97 7040057.26 269588.106, 269586.63 7040056.7 269586.766, 269584.91 7040055.58 269585.046, 269583.56 7040054.37 269583.696, 269582.36 7040052.71 269582.496, 269581.82 7040050.77 269581.956, 269581.51 7040048.97 269581.646, 269581.71 7040046.87 269581.846, 269582.38 7040044.9 269582.516, 269583.56 7040043.13 269583.696, 269584.97 7040041.73 269585.106, 269586.43 7040040.83 269586.566, 269588.42 7040040.12 269588.556, 269590.64 7040039.84 269590.776, 269592.58 7040040.04 269592.716, 269594.15 7040040.57 269594.286, 269595.25 7040041.25 269595.386, 269596.01 7040041.64 269596.146)</t>
  </si>
  <si>
    <t>POLYGON Z ((269596.01 7040041.64 269596.146, 269596.88 7040042.68 269597.016, 269598.03 7040044.23 269598.166, 269598.82 7040045.63 269598.956, 269599.21 7040047.15 269599.346, 269599.35 7040049.09 269599.486, 269599.04 7040050.91 269599.176, 269598.34 7040052.6 269598.476, 269597.5 7040053.97 269597.636, 269596.09 7040055.43 269596.226, 269594.46 7040056.7 269594.596, 269592.22 7040057.46 269592.356, 269590.42 7040057.46 269590.556, 269587.97 7040057.26 269588.106, 269586.63 7040056.7 269586.766, 269584.91 7040055.58 269585.046, 269583.56 7040054.37 269583.696, 269582.36 7040052.71 269582.496, 269581.82 7040050.77 269581.956, 269581.51 7040048.97 269581.646, 269581.71 7040046.87 269581.846, 269582.38 7040044.9 269582.516, 269583.56 7040043.13 269583.696, 269584.97 7040041.73 269585.106, 269586.43 7040040.83 269586.566, 269588.42 7040040.12 269588.556, 269590.64 7040039.84 269590.776, 269592.58 7040040.04 269592.716, 269594.15 7040040.57 269594.286, 269595.25 7040041.25 269595.386, 269596.01 7040041.64 269596.146))</t>
  </si>
  <si>
    <t>2015-04-24</t>
  </si>
  <si>
    <t>[715]</t>
  </si>
  <si>
    <t>['FV715 S2D1 m4151-4443']</t>
  </si>
  <si>
    <t>LINESTRING Z (260580.26 7044667.72 -999999, 260572.68 7044660.02 -999999, 260564.79 7044649.95 -999999, 260557.14 7044640.14 -999999, 260545.09 7044623.49 -999999, 260541.74 7044619.02 -999999, 260534.9 7044610.26 -999999, 260532.17 7044606.9 -999999, 260529.31 7044604.79 -999999, 260526.39 7044604.17 -999999, 260522.73 7044604.1 -999999, 260518.19 7044605.97 -999999, 260516.64 7044607.27 -999999, 260515.46 7044610.69 -999999, 260515.21 7044611.68 -999999, 260519.25 7044612.8 -999999, 260524.59 7044617.59 -999999, 260530 7044622.49 -999999, 260539.44 7044632.31 -999999, 260547.27 7044640.2 -999999, 260556.09 7044649.46 -999999, 260562.67 7044656.54 -999999, 260569.65 7044663.38 -999999, 260570.25 7044662.69 -999999, 260567.34 7044659.76 -999999, 260566.69 7044658.55 -999999, 260566.52 7044657.49 -999999, 260566.55 7044656.35 -999999, 260567.13 7044655.44 -999999, 260567.52 7044655.14 -999999, 260568.22 7044655.32 -999999, 260569.31 7044656.29 -999999, 260572.84 7044660.97 -999999, 260575.19 7044663.41 -999999, 260579.11 7044667.32 -999999, 260582.73 7044670.44 -999999, 260587.29 7044674.03 -999999, 260588.55 7044675 -999999, 260589.02 7044675.94 -999999, 260588.93 7044676.73 -999999, 260588.23 7044676.97 -999999, 260587.49 7044677.23 -999999, 260584.52 7044675.2 -999999, 260581.31 7044672.85 -999999, 260579.4 7044671.26 -999999, 260572.46 7044665 -999999, 260570.24 7044662.7 -999999, 260569.66 7044663.38 -999999, 260572.64 7044666.03 -999999, 260576.67 7044669.82 -999999, 260581.87 7044673.79 -999999, 260587.43 7044677.59 -999999, 260590.99 7044679.85 -999999, 260600.87 7044685.43 -999999, 260606.08 7044688.35 -999999, 260608.09 7044689.38 -999999, 260618.69 7044694.19 -999999, 260633.88 7044700.55 -999999, 260646.6 7044705.65 -999999, 260666.43 7044713.85 -999999, 260682.65 7044720.72 -999999, 260696.08 7044726.41 -999999, 260709.46 7044732.05 -999999, 260724.37 7044738.32 -999999, 260737.55 7044743.82 -999999, 260749.58 7044748.81 -999999, 260750.41 7044746.76 -999999, 260735.7 7044741.13 -999999, 260695 7044724.05 -999999, 260690.65 7044722.51 -999999, 260691.29 7044720.14 -999999, 260689.3 7044719.76 -999999, 260689.49 7044718.54 -999999, 260688.85 7044717.84 -999999, 260688.85 7044715.98 -999999, 260689.56 7044714.83 -999999, 260689.3 7044712.98 -999999, 260688.92 7044712.4 -999999, 260688.02 7044711.7 -999999, 260686.23 7044711.25 -999999, 260685.46 7044711.38 -999999, 260684.95 7044713.49 -999999, 260683.29 7044713.49 -999999, 260681.62 7044713.1 -999999, 260679.83 7044712.53 -999999, 260678.93 7044711.38 -999999, 260678.29 7044710.74 -999999, 260678.04 7044710.29 -999999, 260673.43 7044710.03 -999999, 260668.82 7044709.01 -999999, 260661.08 7044706.7 -999999, 260652.44 7044703.25 -999999, 260629.1 7044694.39 -999999, 260617.2 7044689.76 -999999, 260607.46 7044685.81 -999999, 260594.94 7044678.33 -999999, 260590.32 7044675.4 -999999, 260582.01 7044669.35 -999999, 260581.13 7044668.66 -999999, 260580.26 7044667.72 -999999)</t>
  </si>
  <si>
    <t>['RV706 S1D1 m5853-5882']</t>
  </si>
  <si>
    <t>LINESTRING Z (268645.849975586 7041954.25 -999999, 268637.770019531 7041952.60998535 -999999, 268631.579956055 7041951.80004883 -999999, 268628.020019531 7041951.59997559 -999999, 268625.849975586 7041951.94995117 -999999, 268623.75 7041952.68994141 -999999, 268621.75 7041953.7199707 -999999, 268619.810058594 7041955.31005859 -999999, 268618.390014648 7041957.01000977 -999999, 268617.58996582 7041958.80004883 -999999, 268616.800048828 7041961.75 -999999, 268616.550048828 7041963.02001953 -999999, 268631.199951172 7041963.52001953 -999999, 268631.329956055 7041959.88000488 -999999, 268641.180053711 7041956.97998047 -999999, 268647.290039063 7041956.19995117 -999999, 268648.050048828 7041956.25 -999999, 268647.489990234 7041955.52001953 -999999, 268646.510009766 7041955.33996582 -999999, 268646.050048828 7041954.72998047 -999999, 268645.849975586 7041954.25 -999999)</t>
  </si>
  <si>
    <t>POLYGON Z ((268645.849975586 7041954.25 -999999, 268637.770019531 7041952.60998535 -999999, 268631.579956055 7041951.80004883 -999999, 268628.020019531 7041951.59997559 -999999, 268625.849975586 7041951.94995117 -999999, 268623.75 7041952.68994141 -999999, 268621.75 7041953.7199707 -999999, 268619.810058594 7041955.31005859 -999999, 268618.390014648 7041957.01000977 -999999, 268617.58996582 7041958.80004883 -999999, 268616.800048828 7041961.75 -999999, 268616.550048828 7041963.02001953 -999999, 268631.199951172 7041963.52001953 -999999, 268631.329956055 7041959.88000488 -999999, 268641.180053711 7041956.97998047 -999999, 268647.290039063 7041956.19995117 -999999, 268648.050048828 7041956.25 -999999, 268647.489990234 7041955.52001953 -999999, 268646.510009766 7041955.33996582 -999999, 268646.050048828 7041954.72998047 -999999, 268645.849975586 7041954.25 -999999))</t>
  </si>
  <si>
    <t>['EV6 S76D1 m475-1081', 'EV6 S77D1 m0-768', 'EV6 S76D1 m8756-9146']</t>
  </si>
  <si>
    <t>LINESTRING Z (276976.53 7040437.34 276976.672, 276950.77 7040443.46 276950.912, 276897.96 7040458.6 276898.102, 276848.69 7040475.02 276848.832, 276792.33 7040496.28 276792.472, 276759.16 7040510.77 276759.302, 276719.55 7040528.8 276719.692, 276682.84 7040548.45 276682.982, 276648.06 7040568.73 276648.201, 276600.39 7040599.01 276600.531, 276549.51 7040634.75 276549.651, 276509.26 7040667.28 276509.401, 276492.83 7040680.8 276492.971, 276497.66 7040669.21 276497.801, 276499.27 7040665.99 276499.411, 276506.68 7040660.84 276506.821, 276529.22 7040641.84 276529.361, 276560.78 7040618.33 276560.921, 276584.94 7040601.9 276585.081, 276615.53 7040581.94 276615.671, 276649.02 7040560.68 276649.161, 276680.9 7040542.97 276681.042, 276726.95 7040518.17 276727.092, 276784.28 7040493.06 276784.422, 276846.75 7040468.9 276846.892, 276900.53 7040450.55 276900.672, 276958.82 7040434.12 276958.962, 276984.91 7040427.68 276985.052, 277052.34 7040412.89 277052.482, 277087.58 7040406.16 277087.722, 277146.78 7040396.66 277146.922, 277198.45 7040392.3 277198.593, 277233.5 7040390.52 277233.643, 277281.79 7040389.97 277281.933, 277308.8 7040390.83 277308.943, 277337.76 7040392.35 277337.903, 277378.61 7040396.24 277378.753, 277404.33 7040399.91 277404.473, 277456.85 7040409.85 277456.993, 277494.67 7040418.5 277494.813, 277516.72 7040424.33 277516.863, 277575.94 7040440.43 277576.083, 277549.56 7040436.78 277549.703, 277476.86 7040419.38 277477.003, 277429.15 7040410.4 277429.293, 277386.49 7040404.5 277386.633, 277350 7040400.57 277350.143, 277300.89 7040398.05 277301.033, 277248.12 7040396.92 277248.263, 277213.6 7040398.33 277213.743, 277189.46 7040400.57 277189.603, 277164.49 7040402.61 277164.633, 277117.66 7040407.71 277117.802, 277062.42 7040417.92 277062.562, 277018.89 7040426.63 277019.032, 276954.95 7040442.54 276955.092, 276976.53 7040437.34 276976.672)</t>
  </si>
  <si>
    <t>['EV6 S76D1 m8774 KD2 m29-209', 'EV6 S76D1 m8774 KD2 m209-359', 'EV6 S77D1 m283 KD1 m18-505']</t>
  </si>
  <si>
    <t>LINESTRING (276538.365588727 7040615.762678654, 276520.147728345 7040624.824520135, 276517.18558816885 7040623.757961856, 276510.7341250779 7040619.851208258, 276526.032431155 7040608.183988985, 276524.4421587143 7040605.613058106, 276538.10895750485 7040598.021161409, 276547.5064040477 7040592.221569812, 276572.2871434086 7040575.866671084, 276604.35890007624 7040553.513649777, 276644.03862631315 7040527.610563531, 276671.0767248094 7040511.087266124, 276701.1959800483 7040494.7285136115, 276739.41780830733 7040475.947622364, 276748.97944169806 7040471.411309097, 276755.4567340125 7040469.952071946, 276761.1185771893 7040468.002274431, 276763.96650968085 7040470.0605955245, 276768.90992254467 7040466.931684226, 276780.5863450293 7040461.990407665, 276790.79672239255 7040459.353528221, 276797.70613134064 7040458.702374006, 276802.1477066208 7040456.558632787, 276802.8055290623 7040452.936140966, 276801.8171611127 7040449.473547786, 276800.5056409569 7040447.832974278, 276801.1668249491 7040446.691416409, 276805.60645074485 7040448.16898388, 276805.60630897 7040447.666054111, 276801.8177020792 7040446.69057669, 276797.2174500811 7040448.498951185, 276796.0577482381 7040453.106562194, 276796.8887829074 7040453.104290848, 276797.3790464818 7040449.806463102, 276798.198550771 7040450.140292226, 276799.34827809467 7040452.11630324, 276799.3480804465 7040453.759253696, 276798.6952989102 7040455.235517373, 276797.21944581845 7040455.897614986, 276781.2458510924 7040458.535438003, 276780.5848644972 7040458.034049538, 276789.1458797452 7040451.790837118, 276800.0058604019 7040445.69971769, 276806.9258209296 7040441.907268911, 276813.6657779158 7040438.619194751, 276821.56572036515 7040437.954669439, 276829.1474789763 7040439.111831316, 276833.74690176523 7040439.4382612435, 276838.02502065134 7040437.462480444, 276842.9676224184 7040434.17728093, 276846.58499698166 7040430.057160617, 276851.6855335634 7040422.659179955, 276857.12810968456 7040417.215507934, 276866.1771358474 7040409.64191988, 276879.50533938414 7040402.897848227, 276888.72481658775 7040400.766497524, 276906.49955985823 7040398.461499742, 276925.0961804538 7040398.457344413, 276939.2552665224 7040398.294206581, 276956.0484435252 7040397.634000407, 276972.66946706886 7040396.158867212, 276984.35486206354 7040394.347141798, 277007.2250509794 7040389.149420867, 277017.73515126924 7040385.710000522, 277028.24827598897 7040381.812174086, 277037.677202172 7040377.73311288, 277051.2675685802 7040371.295587079, 277068.39728122856 7040361.6937293345, 277097.0271014876 7040346.191906287, 277108.6295986022 7040340.396494175, 277117.32852454414 7040336.759868494, 277125.6586757699 7040334.724898154, 277136.59748345206 7040333.189445456, 277145.39529727696 7040333.18947497, 277154.3148804833 7040337.584494657, 277159.4256012081 7040344.36912601, 277159.3074092278 7040348.76967932, 277158.3589093203 7040352.32295642, 277153.36931889947 7040354.58269111, 277147.065252636 7040356.375453006, 277069.99820856255 7040373.8534787325, 277025.64932373015 7040385.749108798, 276993.7788486441 7040395.8564780755, 276935.095677139 7040416.143213131, 276909.24758730165 7040426.512075246, 276906.30674746336 7040429.925391157, 276896.39760040736 7040433.792574861, 276858.15793791995 7040449.901554312, 276798.2492336993 7040472.187862261, 276767.2862183596 7040484.726465906, 276732.49544153985 7040500.3050875645, 276701.87486588553 7040514.653339933, 276676.397283479 7040528.150042717, 276640.84967051505 7040548.711563313, 276588.5969526025 7040582.111868429, 276550.9066992727 7040607.809302934, 276543.5391580892 7040612.494313125, 276538.365588727 7040615.762678654)</t>
  </si>
  <si>
    <t>['EV6 S80D1 m1873-1882']</t>
  </si>
  <si>
    <t>LINESTRING Z (295101.739990234 7046810.61010742 0.147, 295102.930053711 7046810.22998047 0.147, 295102.979980469 7046809.9699707 0.147, 295106.369995117 7046806.39990234 31.947, 295108.58996582 7046805.23999023 0.147, 295110.030029297 7046804.86010742 0.147, 295110.069946289 7046803.37011719 29.817, 295108.489990234 7046803.55004883 0.147, 295105.83996582 7046804.87988281 0.147, 295104.219970703 7046806.48999023 0.147, 295102.479980469 7046808.5300293 0.147, 295101.739990234 7046810.61010742 0.147)</t>
  </si>
  <si>
    <t>POLYGON Z ((295101.739990234 7046810.61010742 0.147, 295102.930053711 7046810.22998047 0.147, 295102.979980469 7046809.9699707 0.147, 295106.369995117 7046806.39990234 31.947, 295108.58996582 7046805.23999023 0.147, 295110.030029297 7046804.86010742 0.147, 295110.069946289 7046803.37011719 29.817, 295108.489990234 7046803.55004883 0.147, 295105.83996582 7046804.87988281 0.147, 295104.219970703 7046806.48999023 0.147, 295102.479980469 7046808.5300293 0.147, 295101.739990234 7046810.61010742 0.147))</t>
  </si>
  <si>
    <t>['EV6 S80D1 m1885-1892']</t>
  </si>
  <si>
    <t>LINESTRING Z (295078.130004883 7046819.38989258 30.187, 295084.959960938 7046816.73999024 0.147, 295089.709960938 7046814.87011719 0.147, 295088.25 7046813.72998047 30.187, 295085.290039063 7046812.69995117 30.187, 295083.060058594 7046812.66992188 30.267, 295072.489990234 7046818.61010742 30.187, 295073.540039063 7046818.86010742 30.187, 295076.08996582 7046818.65991211 30.187, 295078.130004883 7046819.38989258 30.187)</t>
  </si>
  <si>
    <t>POLYGON Z ((295078.130004883 7046819.38989258 30.187, 295084.959960938 7046816.73999024 0.147, 295089.709960938 7046814.87011719 0.147, 295088.25 7046813.72998047 30.187, 295085.290039063 7046812.69995117 30.187, 295083.060058594 7046812.66992188 30.267, 295072.489990234 7046818.61010742 30.187, 295073.540039063 7046818.86010742 30.187, 295076.08996582 7046818.65991211 30.187, 295078.130004883 7046819.38989258 30.187))</t>
  </si>
  <si>
    <t>['EV6 S80D1 m1910-1913']</t>
  </si>
  <si>
    <t>LINESTRING Z (295019.090026855 7046833.11010742 31.937, 295007.630004883 7046832.22998047 31.936, 295005.590026855 7046832.87988281 31.936, 295003.140014648 7046833.95996094 31.936, 295005.900024414 7046834.58007813 31.936, 295012.030029297 7046835.10009766 31.937, 295017.640014648 7046835.37988281 31.947, 295018.179992676 7046834.40991211 31.947, 295019.090026855 7046833.11010742 31.937)</t>
  </si>
  <si>
    <t>POLYGON Z ((295019.090026855 7046833.11010742 31.937, 295007.630004883 7046832.22998047 31.936, 295005.590026855 7046832.87988281 31.936, 295003.140014648 7046833.95996094 31.936, 295005.900024414 7046834.58007813 31.936, 295012.030029297 7046835.10009766 31.937, 295017.640014648 7046835.37988281 31.947, 295018.179992676 7046834.40991211 31.947, 295019.090026855 7046833.11010742 31.937))</t>
  </si>
  <si>
    <t>['EV6 S80D1 m1889-1930']</t>
  </si>
  <si>
    <t>LINESTRING Z (295000.390014648 7046838.11010742 0.146, 294999.710021973 7046840.75 0.146, 294999.599975586 7046844.2800293 0.146, 295000.940002441 7046847.55004883 0.146, 295003.770019531 7046851.72998047 0.146, 295005.340026855 7046852.01000977 0.146, 295005.299987793 7046849.43994141 0.146, 295011.140014648 7046849.9699707 0.146, 295014.280029297 7046848.33007813 0.146, 295018.059997559 7046847.0300293 0.146, 295020.809997559 7046846.86010742 32.156, 295021.260009766 7046846.77001953 32.146, 295023.380004883 7046846.65991211 32.126, 295023.590026855 7046846.44995117 32.116, 295024.599975586 7046845.81005859 32.136, 295025.359985352 7046845.44995117 32.166, 295026.189941406 7046845.22998047 32.137, 295027.099975586 7046845.17993164 32.147, 295029.040039063 7046845.37988281 32.117, 295029.810058594 7046845.36010742 32.077, 295030.479980469 7046845.16992188 32.087, 295031.380004883 7046844.7800293 32.067, 295033.079956055 7046843.64990234 32.047, 295034.709960937 7046842.4699707 32.057, 295035.66003418 7046841.94995117 32.057, 295037.33996582 7046841.26000977 32.017, 295038.869995117 7046840.94995117 31.927, 295039.489990234 7046840.87011719 31.927, 295040.109985352 7046840.62011719 31.907, 295041.739990234 7046840.34008789 31.897, 295042.880004883 7046840.44995117 31.887, 295044.079956055 7046840.67993164 31.877, 295045.010009766 7046841.01000977 31.867, 295046.709960938 7046841.76000977 31.867, 295048.489990234 7046843.16992188 0.147, 295049.770019531 7046843.87011719 0.147, 295052.040039063 7046844.63989258 0.147, 295054.459960938 7046844.80004883 0.147, 295057.020019531 7046844.35009766 0.147, 295058.650024414 7046843.57006836 0.147, 295061.099975586 7046841.76000977 0.147, 295061.449951172 7046841.20996094 0.147, 295062.010009766 7046839.4699707 31.707, 295062.800048828 7046837.87011719 31.707, 295063.930053711 7046836.27001953 31.707, 295066.010009766 7046834.14990234 0.147, 295067.829956055 7046833.06005859 0.147, 295070.709960938 7046832.06005859 31.677, 295072.709960938 7046831.95996094 0.147, 295074.560058594 7046832.20996094 31.587, 295077.300048828 7046833.54003906 31.527, 295077.83996582 7046834.13989258 31.497, 295077.890014648 7046834.32006836 31.497, 295079.079956055 7046834.82006836 0.147, 295080.140014648 7046835.34008789 31.447, 295080.449951172 7046835.31005859 31.447, 295083.050048828 7046835.87011719 31.427, 295084.760009766 7046835.87988281 0.147, 295085.630004883 7046835.77001953 0.147, 295087.319946289 7046835.33007813 31.277, 295089.010009766 7046834.62988281 0.147, 295090.650024414 7046833.5 0.147, 295092.300048828 7046831.80004883 30.897, 295093.260009766 7046830.15991211 30.807, 295094.130004883 7046827.65991211 30.697, 295094.420043945 7046825.2199707 0.147, 295094.400024414 7046822.84008789 0.147, 295093.510009766 7046817.9699707 0.147, 295090.949951172 7046818.83007813 30.497, 295081.430053711 7046822.36010742 0.147, 295070.969970703 7046827.05004883 0.147, 295064.550048828 7046829.84008789 0.147, 295058.670043945 7046832.12988281 31.467, 295053.91003418 7046833.79003906 0.147, 295049.319946289 7046835.38989258 0.147, 295039.75 7046837.55004883 0.147, 295030.060058594 7046838.9699707 0.147, 295020.219970703 7046839.2199707 32.067, 295010.58001709 7046839.07006836 0.146, 295000.390014648 7046838.11010742 0.146)</t>
  </si>
  <si>
    <t>POLYGON Z ((295000.390014648 7046838.11010742 0.146, 294999.710021973 7046840.75 0.146, 294999.599975586 7046844.2800293 0.146, 295000.940002441 7046847.55004883 0.146, 295003.770019531 7046851.72998047 0.146, 295005.340026855 7046852.01000977 0.146, 295005.299987793 7046849.43994141 0.146, 295011.140014648 7046849.9699707 0.146, 295014.280029297 7046848.33007813 0.146, 295018.059997559 7046847.0300293 0.146, 295020.809997559 7046846.86010742 32.156, 295021.260009766 7046846.77001953 32.146, 295023.380004883 7046846.65991211 32.126, 295023.590026855 7046846.44995117 32.116, 295024.599975586 7046845.81005859 32.136, 295025.359985352 7046845.44995117 32.166, 295026.189941406 7046845.22998047 32.137, 295027.099975586 7046845.17993164 32.147, 295029.040039063 7046845.37988281 32.117, 295029.810058594 7046845.36010742 32.077, 295030.479980469 7046845.16992188 32.087, 295031.380004883 7046844.7800293 32.067, 295033.079956055 7046843.64990234 32.047, 295034.709960937 7046842.4699707 32.057, 295035.66003418 7046841.94995117 32.057, 295037.33996582 7046841.26000977 32.017, 295038.869995117 7046840.94995117 31.927, 295039.489990234 7046840.87011719 31.927, 295040.109985352 7046840.62011719 31.907, 295041.739990234 7046840.34008789 31.897, 295042.880004883 7046840.44995117 31.887, 295044.079956055 7046840.67993164 31.877, 295045.010009766 7046841.01000977 31.867, 295046.709960938 7046841.76000977 31.867, 295048.489990234 7046843.16992188 0.147, 295049.770019531 7046843.87011719 0.147, 295052.040039063 7046844.63989258 0.147, 295054.459960938 7046844.80004883 0.147, 295057.020019531 7046844.35009766 0.147, 295058.650024414 7046843.57006836 0.147, 295061.099975586 7046841.76000977 0.147, 295061.449951172 7046841.20996094 0.147, 295062.010009766 7046839.4699707 31.707, 295062.800048828 7046837.87011719 31.707, 295063.930053711 7046836.27001953 31.707, 295066.010009766 7046834.14990234 0.147, 295067.829956055 7046833.06005859 0.147, 295070.709960938 7046832.06005859 31.677, 295072.709960938 7046831.95996094 0.147, 295074.560058594 7046832.20996094 31.587, 295077.300048828 7046833.54003906 31.527, 295077.83996582 7046834.13989258 31.497, 295077.890014648 7046834.32006836 31.497, 295079.079956055 7046834.82006836 0.147, 295080.140014648 7046835.34008789 31.447, 295080.449951172 7046835.31005859 31.447, 295083.050048828 7046835.87011719 31.427, 295084.760009766 7046835.87988281 0.147, 295085.630004883 7046835.77001953 0.147, 295087.319946289 7046835.33007813 31.277, 295089.010009766 7046834.62988281 0.147, 295090.650024414 7046833.5 0.147, 295092.300048828 7046831.80004883 30.897, 295093.260009766 7046830.15991211 30.807, 295094.130004883 7046827.65991211 30.697, 295094.420043945 7046825.2199707 0.147, 295094.400024414 7046822.84008789 0.147, 295093.510009766 7046817.9699707 0.147, 295090.949951172 7046818.83007813 30.497, 295081.430053711 7046822.36010742 0.147, 295070.969970703 7046827.05004883 0.147, 295064.550048828 7046829.84008789 0.147, 295058.670043945 7046832.12988281 31.467, 295053.91003418 7046833.79003906 0.147, 295049.319946289 7046835.38989258 0.147, 295039.75 7046837.55004883 0.147, 295030.060058594 7046838.9699707 0.147, 295020.219970703 7046839.2199707 32.067, 295010.58001709 7046839.07006836 0.146, 295000.390014648 7046838.11010742 0.146))</t>
  </si>
  <si>
    <t>['EV6 S80D1 m517-825']</t>
  </si>
  <si>
    <t>LINESTRING Z (295720.890014648 7045618.47998047 0.149, 295729.41003418 7045660.47998047 0.149, 295719.729980469 7045678.2199707 0.149, 295703.199951172 7045706.01000977 3.509, 295688.319946289 7045727.58996582 0.149, 295670.760009766 7045753.38000488 0.149, 295654.650024414 7045775.9699707 0.149, 295628.939941406 7045808.34997559 0.149, 295594.75 7045851.42004395 4.088, 295570.949951172 7045878.11999512 0.148, 295574.780029297 7045878.72998047 0.148, 295591.469970703 7045859.43005371 0.148, 295626.760009766 7045816.42004395 0.149, 295649.900024414 7045786.69995117 0.149, 295660.270019531 7045773.02001953 0.149, 295664.680053711 7045766.43994141 0.149, 295691 7045729.73999023 0.149, 295711.25 7045698.97998047 0.149, 295723.130004883 7045679.69995117 0.149, 295750.869995117 7045631.66003418 0.149, 295741.020019531 7045626.33996582 9.759, 295729.400024414 7045620.09997559 0.149, 295723.020019531 7045615.7800293 0.149, 295720.819946289 7045618.33996582 0.149, 295723.030029297 7045615.84997559 0.149)</t>
  </si>
  <si>
    <t>POLYGON Z ((295720.890014648 7045618.47998047 0.149, 295729.41003418 7045660.47998047 0.149, 295719.729980469 7045678.2199707 0.149, 295703.199951172 7045706.01000977 3.509, 295688.319946289 7045727.58996582 0.149, 295670.760009766 7045753.38000488 0.149, 295654.650024414 7045775.9699707 0.149, 295628.939941406 7045808.34997559 0.149, 295594.75 7045851.42004395 4.088, 295570.949951172 7045878.11999512 0.148, 295574.780029297 7045878.72998047 0.148, 295591.469970703 7045859.43005371 0.148, 295626.760009766 7045816.42004395 0.149, 295649.900024414 7045786.69995117 0.149, 295660.270019531 7045773.02001953 0.149, 295664.680053711 7045766.43994141 0.149, 295691 7045729.73999023 0.149, 295711.25 7045698.97998047 0.149, 295723.130004883 7045679.69995117 0.149, 295750.869995117 7045631.66003418 0.149, 295741.020019531 7045626.33996582 9.759, 295729.400024414 7045620.09997559 0.149, 295723.020019531 7045615.7800293 0.149, 295720.819946289 7045618.33996582 0.149, 295723.030029297 7045615.84997559 0.149, 295720.890014648 7045618.47998047 0.149))</t>
  </si>
  <si>
    <t>['EV6 S80D1 m867-926']</t>
  </si>
  <si>
    <t>LINESTRING Z (295435.770019531 7045888.27001953 6.708, 295435.439941406 7045886.30004883 5.708, 295461.729980469 7045881.5300293 5.648, 295474.890014648 7045879.68005371 5.658, 295487.329956055 7045880.11999512 0.148, 295503.16003418 7045881.64001465 0.148, 295513.359985352 7045886.41003418 7.108, 295523.16003418 7045891.92004395 7.748, 295528.859985352 7045896.32995606 7.948, 295535.099975586 7045901.39001465 1.818, 295528.58996582 7045901.33996582 0.148, 295528.66003418 7045901.34997559 4.658, 295522.540039063 7045896.34997559 0.148, 295517.630004883 7045892.89001465 0.148, 295512.41003418 7045890.0300293 0.148, 295506.430053711 7045887.44995117 0.148, 295500.530029297 7045885.40002441 0.148, 295493.050048828 7045883.56005859 0.148, 295487.640014648 7045882.86999512 0.148, 295478.790039063 7045881.95996094 0.148, 295471.83996582 7045882.33996582 0.148, 295460.270019531 7045884.07995606 0.148, 295435.770019531 7045888.27001953 6.708)</t>
  </si>
  <si>
    <t>['EV6 S78D1 m6638 KD2 m9-30']</t>
  </si>
  <si>
    <t>LINESTRING Z (291442.180053711 7038383.15002441 -999999, 291432.819946289 7038390.23999023 -999999, 291431.109985352 7038390.33996582 -999999, 291430.640014648 7038390.33996582 -999999, 291424.300048828 7038384.60998535 -999999, 291423.209960938 7038385.79003906 -999999, 291419.239990234 7038381.77001953 -999999, 291418.719970703 7038380.44995117 -999999, 291418.430053711 7038378.45996094 -999999, 291419.329956055 7038376.09997559 -999999, 291421.650024414 7038373.9699707 -999999, 291425.670043945 7038372.31005859 -999999, 291429.359985352 7038372.35998535 -999999, 291432.579956055 7038373.68005371 -999999, 291436.170043945 7038376.4699707 -999999, 291439.790039063 7038380.06994629 -999999, 291437.790039062 7038380.7199707 -999999, 291437.439941406 7038379.42004395 -999999, 291433.239990234 7038376.14001465 -999999, 291428.130004883 7038374.39001465 -999999, 291424.579956055 7038374.81994629 -999999, 291422.880004883 7038376.09997559 -999999, 291423.920043945 7038380.44995117 -999999, 291426.760009766 7038385.31994629 -999999, 291430.359985352 7038388.06994629 -999999, 291434.569946289 7038387.44995117 -999999, 291436.739990234 7038385.45996094 -999999, 291438.400024414 7038383.09997559 -999999, 291437.780029297 7038380.72998047 -999999, 291439.770019531 7038380.06994629 -999999, 291442.180053711 7038383.15002441 -999999)</t>
  </si>
  <si>
    <t>['EV6 S78D1 m6638 KD2 m60-108']</t>
  </si>
  <si>
    <t>LINESTRING Z (291488.459960938 7038442.67004395 -999999, 291489.880004883 7038445.17004395 -999999, 291481.209960938 7038449.67004395 -999999, 291465.260009766 7038431.11999512 -999999, 291463.83996582 7038428.18005371 -999999, 291461.829956055 7038425 -999999, 291459.329956055 7038421.18005371 -999999, 291462.520019531 7038417.76000977 -999999, 291462.270019531 7038416.7800293 -999999, 291457.920043945 7038412.32995606 -999999, 291459.329956055 7038408.26000977 -999999, 291463.050048828 7038405.07995606 -999999, 291465.400024414 7038406.83996582 -999999, 291466.770019531 7038409.14001465 -999999, 291466.869995117 7038412.2800293 -999999, 291466.079956055 7038410.69995117 -999999, 291466.439941406 7038410.13000488 -999999, 291464.699951172 7038407.31994629 -999999, 291461.099975586 7038409.69995117 -999999, 291464.760009766 7038412.70996094 -999999, 291466.08996582 7038410.68005371 -999999, 291466.869995117 7038412.2800293 -999999, 291466.239990234 7038417.94995117 -999999, 291474.209960938 7038429.5 -999999, 291480.719970703 7038437.81994629 -999999, 291480.140014648 7038438.06994629 -999999, 291485.319946289 7038444.18994141 -999999, 291488.060058594 7038442.81994629 -999999, 291488.459960938 7038442.67004395 -999999)</t>
  </si>
  <si>
    <t>2025-11-22T09:12:44Z</t>
  </si>
  <si>
    <t>['EV6 S73D1 m3096 KD2 m104-199']</t>
  </si>
  <si>
    <t>LINESTRING Z (267615.28 7031119.41 267615.412, 267639.16 7031163.14 267639.293, 267654.85 7031191.69 267654.983, 267655.27 7031192.18 267655.403, 267655.2 7031191.55 267655.333, 267652.16 7031177.63 267652.293, 267647.78 7031160.46 267647.913, 267646.86 7031153.67 267646.993, 267646.58 7031147.95 267646.713, 267646.79 7031143.57 267646.923, 267647.14 7031137.85 267647.273, 267648.77 7031131.77 267648.903, 267650.82 7031126.33 267650.953, 267653.57 7031121.38 267653.703, 267654.63 7031119.55 267654.763, 267658.14 7031114.5 267658.272, 267661.8 7031110.53 267661.932, 267667.19 7031105.24 267667.322, 267670.74 7031101.79 267670.872, 267670.54 7031101.38 267670.672, 267665.36 7031103.11 267665.492, 267653.36 7031105.85 267653.492, 267644.62 7031106.57 267644.752, 267634.35 7031105.75 267634.482, 267626.32 7031103.82 267626.452, 267616.05 7031099.45 267616.182, 267610.96 7031095.89 267611.092, 267604.36 7031090.5 267604.492, 267600.09 7031086.13 267600.222, 267594.29 7031079.12 267594.422, 267590.02 7031073.52 267590.152, 267587.99 7031070.37 267588.122, 267587.78 7031070.58 267587.912, 267593.58 7031081.35 267593.712, 267610.96 7031111.95 267611.092, 267615.28 7031119.41 267615.412)</t>
  </si>
  <si>
    <t>POLYGON Z ((267615.28 7031119.41 267615.412, 267639.16 7031163.14 267639.293, 267654.85 7031191.69 267654.983, 267655.27 7031192.18 267655.403, 267655.2 7031191.55 267655.333, 267652.16 7031177.63 267652.293, 267647.78 7031160.46 267647.913, 267646.86 7031153.67 267646.993, 267646.58 7031147.95 267646.713, 267646.79 7031143.57 267646.923, 267647.14 7031137.85 267647.273, 267648.77 7031131.77 267648.903, 267650.82 7031126.33 267650.953, 267653.57 7031121.38 267653.703, 267654.63 7031119.55 267654.763, 267658.14 7031114.5 267658.272, 267661.8 7031110.53 267661.932, 267667.19 7031105.24 267667.322, 267670.74 7031101.79 267670.872, 267670.54 7031101.38 267670.672, 267665.36 7031103.11 267665.492, 267653.36 7031105.85 267653.492, 267644.62 7031106.57 267644.752, 267634.35 7031105.75 267634.482, 267626.32 7031103.82 267626.452, 267616.05 7031099.45 267616.182, 267610.96 7031095.89 267611.092, 267604.36 7031090.5 267604.492, 267600.09 7031086.13 267600.222, 267594.29 7031079.12 267594.422, 267590.02 7031073.52 267590.152, 267587.99 7031070.37 267588.122, 267587.78 7031070.58 267587.912, 267593.58 7031081.35 267593.712, 267610.96 7031111.95 267611.092, 267615.28 7031119.41 267615.412))</t>
  </si>
  <si>
    <t>['EV6 S75D1 m229 KD3 m222-537', 'EV6 S75D1 m229 KD4 m0-258']</t>
  </si>
  <si>
    <t>LINESTRING Z (269022.479980469 7035357.32000732 -999999, 268999.010009766 7035337.29000855 -999999, 268995.650024414 7035333.94000244 -999999, 268989.880004883 7035329.27999878 -999999, 268979.260009766 7035317.92001343 -999999, 268971.900024414 7035307.57998657 -999999, 268966.780029297 7035299.01000977 -999999, 268965.099975586 7035294.3500061 -999999, 268965.289978027 7035290.72000122 -999999, 268967.429992676 7035289.88000488 -999999, 268969.200012207 7035289.88000488 -999999, 268974.140014648 7035297.60998535 -999999, 268980.289978027 7035304.6000061 -999999, 268986.619995117 7035309.72000122 -999999, 268993.140014648 7035313.45001221 -999999, 268999.659973145 7035316.51998901 -999999, 269008.599975586 7035318.39001465 -999999, 269015.590026855 7035319.32000732 -999999, 269024.25 7035318.8500061 -999999, 269032.630004883 7035317.26998901 -999999, 269040.459960937 7035314.38000488 -999999, 269048.739990234 7035310.19000244 -999999, 269054.609985352 7035306 -999999, 269060.849975586 7035300.77999878 -999999, 269066.16003418 7035294.82000732 -999999, 269070.630004883 7035288.29998779 -999999, 269075.099975586 7035280.20001221 -999999, 269078.359985352 7035272.47000122 -999999, 269080.790039063 7035264.82998657 -999999, 269080.969970703 7035290.44000244 -999999, 269080.130004883 7035316.70999145 -999999, 269079.579956055 7035327.04998779 -999999, 269078.359985352 7035346.98001099 -999999, 269076.959960938 7035363.27999878 -999999, 269073.75 7035391.6499939 -999999, 269069.699951172 7035419.17999268 -999999, 269065.310058594 7035444.01000977 -999999, 269062.270019531 7035456.5 -999999, 269062.270019531 7035444.33999634 -999999, 269061.760009766 7035435.22000122 -999999, 269059.400024414 7035423.57000732 -999999, 269055.849975586 7035410.73001099 -999999, 269051.969970703 7035400.42999268 -999999, 269046.560058594 7035389.11999512 -999999, 269039.300048828 7035377.29000854 -999999, 269033.219970703 7035369.19000244 -999999, 269027.650024414 7035362.94000244 -999999, 269022.479980469 7035357.32000732 -999999)</t>
  </si>
  <si>
    <t>POLYGON Z ((269022.479980469 7035357.32000732 -999999, 268999.010009766 7035337.29000855 -999999, 268995.650024414 7035333.94000244 -999999, 268989.880004883 7035329.27999878 -999999, 268979.260009766 7035317.92001343 -999999, 268971.900024414 7035307.57998657 -999999, 268966.780029297 7035299.01000977 -999999, 268965.099975586 7035294.3500061 -999999, 268965.289978027 7035290.72000122 -999999, 268967.429992676 7035289.88000488 -999999, 268969.200012207 7035289.88000488 -999999, 268974.140014648 7035297.60998535 -999999, 268980.289978027 7035304.6000061 -999999, 268986.619995117 7035309.72000122 -999999, 268993.140014648 7035313.45001221 -999999, 268999.659973145 7035316.51998901 -999999, 269008.599975586 7035318.39001465 -999999, 269015.590026855 7035319.32000732 -999999, 269024.25 7035318.8500061 -999999, 269032.630004883 7035317.26998901 -999999, 269040.459960937 7035314.38000488 -999999, 269048.739990234 7035310.19000244 -999999, 269054.609985352 7035306 -999999, 269060.849975586 7035300.77999878 -999999, 269066.16003418 7035294.82000732 -999999, 269070.630004883 7035288.29998779 -999999, 269075.099975586 7035280.20001221 -999999, 269078.359985352 7035272.47000122 -999999, 269080.790039063 7035264.82998657 -999999, 269080.969970703 7035290.44000244 -999999, 269080.130004883 7035316.70999145 -999999, 269079.579956055 7035327.04998779 -999999, 269078.359985352 7035346.98001099 -999999, 269076.959960938 7035363.27999878 -999999, 269073.75 7035391.6499939 -999999, 269069.699951172 7035419.17999268 -999999, 269065.310058594 7035444.01000977 -999999, 269062.270019531 7035456.5 -999999, 269062.270019531 7035444.33999634 -999999, 269061.760009766 7035435.22000122 -999999, 269059.400024414 7035423.57000732 -999999, 269055.849975586 7035410.73001099 -999999, 269051.969970703 7035400.42999268 -999999, 269046.560058594 7035389.11999512 -999999, 269039.300048828 7035377.29000854 -999999, 269033.219970703 7035369.19000244 -999999, 269027.650024414 7035362.94000244 -999999, 269022.479980469 7035357.32000732 -999999))</t>
  </si>
  <si>
    <t>['EV6 S75D1 m229 KD1 m195-307', 'EV6 S75D1 m229 KD4 m0-16']</t>
  </si>
  <si>
    <t>LINESTRING Z (268982.73 7035186.62 268982.868, 269070.86 7035189.81 269070.999, 269107.57 7035193.18 269107.709, 269150.48 7035202.93 269150.619, 269172.46 7035211.44 269172.599, 269188.42 7035221.37 269188.559, 269198 7035228.64 269198.139, 269206.51 7035239.28 269206.649, 269211.47 7035248.86 269211.609, 269215.38 7035260.03 269215.519, 269215.38 7035272.26 269215.519, 269213.07 7035285.03 269213.209, 269206.51 7035297.62 269206.649, 269200.66 7035303.82 269200.799, 269192.5 7035310.56 269192.639, 269182.22 7035315.53 269182.359, 269171.05 7035317.48 269171.189, 269161.29 7035317.83 269161.429, 269148.88 7035315.35 269149.019, 269139.84 7035311.45 269139.979, 269131.33 7035306.31 269131.469, 269123.7 7035299.39 269123.839, 269117.14 7035290.88 269117.279, 269108.98 7035273.68 269109.119, 269106.15 7035263.22 269106.289, 269103.49 7035252.22 269103.629, 269099.05 7035228.46 269099.189, 269097.1 7035211.44 269097.239, 269078.31 7035209.49 269078.449, 269078.84 7035219.95 269078.979, 269079.02 7035232.9 269079.159, 269078.31 7035246.91 269078.449, 269076.18 7035260.56 269076.319, 269072.28 7035271.73 269072.419, 269067.14 7035282.37 269067.279, 269063.06 7035289.64 269063.199, 269055.26 7035297.62 269055.399, 269047.45 7035304.36 269047.589, 269036.99 7035309.5 269037.129, 269027.77 7035312.69 269027.909, 269017.49 7035313.05 269017.629, 269008.09 7035312.34 269008.229, 268997.27 7035309.32 268997.409, 268986.28 7035302.05 268986.419, 268978.3 7035293.89 268978.439, 268972.45 7035284.5 268972.589, 268967.48 7035272.97 268967.619, 268963.4 7035255.24 268963.539, 268958.08 7035227.93 268958.218, 268954.72 7035200.62 268954.858, 268955.07 7035194.24 268955.208, 268957.91 7035190.34 268958.048, 268961.45 7035188.04 268961.588, 268966.77 7035186.62 268966.908, 268975.64 7035186.26 268975.778, 268982.73 7035186.62 268982.868)</t>
  </si>
  <si>
    <t>POLYGON Z ((268982.73 7035186.62 268982.868, 269070.86 7035189.81 269070.999, 269107.57 7035193.18 269107.709, 269150.48 7035202.93 269150.619, 269172.46 7035211.44 269172.599, 269188.42 7035221.37 269188.559, 269198 7035228.64 269198.139, 269206.51 7035239.28 269206.649, 269211.47 7035248.86 269211.609, 269215.38 7035260.03 269215.519, 269215.38 7035272.26 269215.519, 269213.07 7035285.03 269213.209, 269206.51 7035297.62 269206.649, 269200.66 7035303.82 269200.799, 269192.5 7035310.56 269192.639, 269182.22 7035315.53 269182.359, 269171.05 7035317.48 269171.189, 269161.29 7035317.83 269161.429, 269148.88 7035315.35 269149.019, 269139.84 7035311.45 269139.979, 269131.33 7035306.31 269131.469, 269123.7 7035299.39 269123.839, 269117.14 7035290.88 269117.279, 269108.98 7035273.68 269109.119, 269106.15 7035263.22 269106.289, 269103.49 7035252.22 269103.629, 269099.05 7035228.46 269099.189, 269097.1 7035211.44 269097.239, 269078.31 7035209.49 269078.449, 269078.84 7035219.95 269078.979, 269079.02 7035232.9 269079.159, 269078.31 7035246.91 269078.449, 269076.18 7035260.56 269076.319, 269072.28 7035271.73 269072.419, 269067.14 7035282.37 269067.279, 269063.06 7035289.64 269063.199, 269055.26 7035297.62 269055.399, 269047.45 7035304.36 269047.589, 269036.99 7035309.5 269037.129, 269027.77 7035312.69 269027.909, 269017.49 7035313.05 269017.629, 269008.09 7035312.34 269008.229, 268997.27 7035309.32 268997.409, 268986.28 7035302.05 268986.419, 268978.3 7035293.89 268978.439, 268972.45 7035284.5 268972.589, 268967.48 7035272.97 268967.619, 268963.4 7035255.24 268963.539, 268958.08 7035227.93 268958.218, 268954.72 7035200.62 268954.858, 268955.07 7035194.24 268955.208, 268957.91 7035190.34 268958.048, 268961.45 7035188.04 268961.588, 268966.77 7035186.62 268966.908, 268975.64 7035186.26 268975.778, 268982.73 7035186.62 268982.868))</t>
  </si>
  <si>
    <t>['EV6 S78D1 m6638 KD1 m117-450']</t>
  </si>
  <si>
    <t>LINESTRING Z (291208.170043945 7038201.58996582 -999999, 291229.239990234 7038232.02001953 -999999, 291248.66003418 7038255.66003418 -999999, 291265.75 7038274.16003418 -999999, 291287.520019531 7038294.05004883 -999999, 291307.880004883 7038310.19995117 -999999, 291333.400024414 7038327.29003906 -999999, 291379.739990234 7038354.91003418 -999999, 291394.020019531 7038362.17004395 -999999, 291396.599975586 7038365.68005371 -999999, 291397.770019531 7038368.7199707 -999999, 291398 7038373.17004395 -999999, 291396.829956055 7038377.15002441 -999999, 291390.510009766 7038383.93005371 -999999, 291377.640014648 7038401.48999023 -999999, 291365.229980469 7038417.86999512 -999999, 291361.719970703 7038418.10998535 -999999, 291356.569946289 7038417.41003418 -999999, 291298.75 7038362.40002441 -999999, 291280.030029297 7038343.43994141 -999999, 291262.239990234 7038325.18005371 -999999, 291239.069946289 7038294.75 -999999, 291222.449951172 7038270.88000488 -999999, 291201.380004883 7038234.35998535 -999999, 291195.530029297 7038220.31994629 -999999, 291203.959960938 7038232.95996094 -999999, 291218.939941406 7038255.19995117 -999999, 291236.959960938 7038277.19995117 -999999, 291253.109985352 7038295.2199707 -999999, 291266.920043945 7038308.80004883 -999999, 291294.069946289 7038332.91003418 -999999, 291321.229980469 7038354.43994141 -999999, 291347.209960938 7038374.33996582 -999999, 291370.609985352 7038392.35998535 -999999, 291382.319946289 7038377.60998535 -999999, 291328.719970703 7038338.06005859 -999999, 291303.670043945 7038317.93005371 -999999, 291282.599975586 7038299.19995117 -999999, 291263.41003418 7038280.23999024 -999999, 291254.520019531 7038270.88000488 -999999, 291243.050048828 7038257.54003906 -999999, 291230.170043945 7038239.97998047 -999999, 291213.790039063 7038214 -999999, 291208.640014648 7038203.93005371 -999999, 291208.170043945 7038201.58996582 -999999)</t>
  </si>
  <si>
    <t>POLYGON Z ((291208.170043945 7038201.58996582 -999999, 291229.239990234 7038232.02001953 -999999, 291248.66003418 7038255.66003418 -999999, 291265.75 7038274.16003418 -999999, 291287.520019531 7038294.05004883 -999999, 291307.880004883 7038310.19995117 -999999, 291333.400024414 7038327.29003906 -999999, 291379.739990234 7038354.91003418 -999999, 291394.020019531 7038362.17004395 -999999, 291396.599975586 7038365.68005371 -999999, 291397.770019531 7038368.7199707 -999999, 291398 7038373.17004395 -999999, 291396.829956055 7038377.15002441 -999999, 291390.510009766 7038383.93005371 -999999, 291377.640014648 7038401.48999023 -999999, 291365.229980469 7038417.86999512 -999999, 291361.719970703 7038418.10998535 -999999, 291356.569946289 7038417.41003418 -999999, 291298.75 7038362.40002441 -999999, 291280.030029297 7038343.43994141 -999999, 291262.239990234 7038325.18005371 -999999, 291239.069946289 7038294.75 -999999, 291222.449951172 7038270.88000488 -999999, 291201.380004883 7038234.35998535 -999999, 291195.530029297 7038220.31994629 -999999, 291203.959960938 7038232.95996094 -999999, 291218.939941406 7038255.19995117 -999999, 291236.959960938 7038277.19995117 -999999, 291253.109985352 7038295.2199707 -999999, 291266.920043945 7038308.80004883 -999999, 291294.069946289 7038332.91003418 -999999, 291321.229980469 7038354.43994141 -999999, 291347.209960938 7038374.33996582 -999999, 291370.609985352 7038392.35998535 -999999, 291382.319946289 7038377.60998535 -999999, 291328.719970703 7038338.06005859 -999999, 291303.670043945 7038317.93005371 -999999, 291282.599975586 7038299.19995117 -999999, 291263.41003418 7038280.23999024 -999999, 291254.520019531 7038270.88000488 -999999, 291243.050048828 7038257.54003906 -999999, 291230.170043945 7038239.97998047 -999999, 291213.790039063 7038214 -999999, 291208.640014648 7038203.93005371 -999999, 291208.170043945 7038201.58996582 -999999))</t>
  </si>
  <si>
    <t>['EV6 S78D1 m6638 KD1 m387-431', 'EV6 S78D1 m6638 KD2 m0-134']</t>
  </si>
  <si>
    <t>LINESTRING Z (291394.229980469 7038410.82995605 -999999, 291463.630004883 7038463.56994629 -999999, 291470.859985352 7038469.66003418 -999999, 291469.949951172 7038471.04003906 -999999, 291466.380004883 7038469.19995117 -999999, 291461.900024414 7038467.58996582 -999999, 291455.349975586 7038464.26000977 -999999, 291433.180053711 7038450.58996582 -999999, 291427.780029297 7038448.17004395 -999999, 291401.119995117 7038433.4699707 -999999, 291384 7038423.4699707 -999999, 291384.579956055 7038421.06005859 -999999, 291385.150024414 7038414.61999512 -999999, 291385.729980469 7038410.14001465 -999999, 291388.140014648 7038406.01000977 -999999, 291400.780029297 7038389.92004395 -999999, 291405.599975586 7038386.25 -999999, 291408.25 7038385.90002441 -999999, 291411.119995117 7038385.90002441 -999999, 291413.420043945 7038386.81994629 -999999, 291419.969970703 7038393.36999512 -999999, 291422.030029297 7038391.98999023 -999999, 291471.670043945 7038446.91003418 -999999, 291495.219970703 7038474.0300293 -999999, 291494.650024414 7038474.93994141 -999999, 291493.609985352 7038474.82995605 -999999, 291475.349975586 7038457.02001953 -999999, 291458.109985352 7038440.81994629 -999999, 291434.560058594 7038419.33996582 -999999, 291405.719970703 7038396.35998535 -999999, 291394.229980469 7038410.82995605 -999999)</t>
  </si>
  <si>
    <t>POLYGON Z ((291394.229980469 7038410.82995605 -999999, 291463.630004883 7038463.56994629 -999999, 291470.859985352 7038469.66003418 -999999, 291469.949951172 7038471.04003906 -999999, 291466.380004883 7038469.19995117 -999999, 291461.900024414 7038467.58996582 -999999, 291455.349975586 7038464.26000977 -999999, 291433.180053711 7038450.58996582 -999999, 291427.780029297 7038448.17004395 -999999, 291401.119995117 7038433.4699707 -999999, 291384 7038423.4699707 -999999, 291384.579956055 7038421.06005859 -999999, 291385.150024414 7038414.61999512 -999999, 291385.729980469 7038410.14001465 -999999, 291388.140014648 7038406.01000977 -999999, 291400.780029297 7038389.92004395 -999999, 291405.599975586 7038386.25 -999999, 291408.25 7038385.90002441 -999999, 291411.119995117 7038385.90002441 -999999, 291413.420043945 7038386.81994629 -999999, 291419.969970703 7038393.36999512 -999999, 291422.030029297 7038391.98999023 -999999, 291471.670043945 7038446.91003418 -999999, 291495.219970703 7038474.0300293 -999999, 291494.650024414 7038474.93994141 -999999, 291493.609985352 7038474.82995605 -999999, 291475.349975586 7038457.02001953 -999999, 291458.109985352 7038440.81994629 -999999, 291434.560058594 7038419.33996582 -999999, 291405.719970703 7038396.35998535 -999999, 291394.229980469 7038410.82995605 -999999))</t>
  </si>
  <si>
    <t>['EV6 S75D1 m3137-3356']</t>
  </si>
  <si>
    <t>LINESTRING (269928.5953441905 7038122.218366655, 269928.5578553779 7038122.254603626, 269921.75368331687 7038126.727956284, 269922.6124329309 7038124.652100363, 269922.8698058161 7038123.55943493, 269921.7131608194 7038122.4344052095, 269919.12400274014 7038122.419596614, 269918.32048134215 7038120.597794817, 269916.2302308533 7038120.043540519, 269916.74307322013 7038118.764630701, 269918.8044466475 7038118.918171792, 269919.3630132268 7038118.273725832, 269917.9650799071 7038117.065384896, 269917.656412903 7038116.04707487, 269918.7759534456 7038114.791574302, 269918.8846299075 7038112.568366663, 269917.1852460403 7038110.441890439, 269927.3456672318 7038119.692659105, 269927.8752310589 7038118.972610192, 269916.14720813726 7038097.080764419, 269902.6761051052 7038074.722111758, 269882.84676554834 7038043.085303844, 269871.1577286188 7038026.053407701, 269860.4750348401 7038009.910355789, 269857.67924585164 7038005.338664034, 269851.06775295653 7037996.3023402495, 269837.0890088212 7037979.916265414, 269823.3660785514 7037964.160150505, 269811.38756926486 7037949.239670468, 269815.19712696364 7037957.02472514, 269818.3490123614 7037964.309449637, 269821.48658895213 7037969.448935268, 269830.26818196825 7037981.536997086, 269854.11960436485 7038014.99636394, 269874.8268582636 7038046.636825778, 269895.1991100281 7038079.754734606, 269905.30557876755 7038097.157851476, 269910.1088223298 7038106.425180353, 269911.7687615908 7038111.235261235, 269912.19170658203 7038112.043713406, 269914.5987377448 7038110.930387963, 269917.2400896468 7038110.270106394)</t>
  </si>
  <si>
    <t>POLYGON ((269916.8897719245 7038110.873063957, 269918.37599459506 7038112.73280691, 269918.2851766265 7038114.590681173, 269917.2832311933 7038115.714305564, 269917.251213057 7038115.754136166, 269917.223427862 7038115.797026967, 269917.2001658675 7038115.842529905, 269917.1816700811 7038115.8901696345, 269917.16813372006 7038115.939448481, 269917.15969819267 7038115.989851654, 269917.156451621 7038116.040852611, 269917.1584279206 7038116.091918569, 269917.165606446 7038116.142516065, 269917.17791220616 7038116.192116531, 269917.48657921026 7038117.210426556, 269917.50229608204 7038117.2546760235, 269917.5220947726 7038117.297255917, 269917.545800655 7038117.337790675, 269917.5732046398 7038117.375922776, 269917.60406502004 7038117.411315887, 269917.6381096027 7038117.44365784, 269918.6572587187 7038118.324586551, 269918.59111752524 7038118.4008969255, 269916.78021276277 7038118.266011955, 269916.73164122493 7038118.264761409, 269916.68317763985 7038118.268231145, 269916.6352796506 7038118.276388398, 269916.5883995596 7038118.28915614, 269916.542980057 7038118.306413803, 269916.4994500407 7038118.327998423, 269916.458220566 7038118.353706176, 269916.41968096414 7038118.383294303, 269916.384195166 7038118.416483401, 269916.35209826496 7038118.4529600665, 269916.3236933532 7038118.492379848, 269916.29924865917 7038118.534370502, 269916.27899501513 7038118.578535512, 269915.7661526483 7038119.857445329, 269915.7499500625 7038119.904506846, 269915.7385066948 7038119.952946083, 269915.73193594016 7038120.0022830395, 269915.7303029099 7038120.052028828, 269915.73362378596 7038120.101690503, 269915.7418656611 7038120.150775956, 269915.7549468645 7038120.198798788, 269915.7727377714 7038120.245283127, 269915.7950620874 7038120.28976835, 269915.82169859554 7038120.331813644, 269915.8523833482 7038120.371002369, 269915.8868122828 7038120.406946195, 269915.92464423465 7038120.439288947, 269915.96550431795 7038120.467710133, 269916.0089876402 7038120.491928119, 269916.0546633148 7038120.511702926, 269916.10207873036 7038120.526838598, 269917.95999931893 7038121.019487913, 269918.66652393225 7038122.621371589, 269918.68792380544 7038122.664208884, 269918.7133233746 7038122.704802608, 269918.742489676 7038122.742780435, 269918.77515519765 7038122.777794035, 269918.81102033285 7038122.809522265, 269918.84975612833 7038122.837674114, 269918.8910073011 7038122.861991377, 269918.93439549726 7038122.882251014, 269918.97952276235 7038122.898267207, 269919.02597519115 7038122.9098930545, 269919.0733267241 7038122.9170219265, 269919.12114305515 7038122.919588436, 269921.50890797237 7038122.933245171, 269922.31820330716 7038123.7204195475, 269922.13499513234 7038124.498221916, 269921.29165719025 7038126.536823194, 269921.2751917704 7038126.58288444, 269921.26330599026 7038126.630334168, 269921.2561136085 7038126.678718236, 269921.2536834633 7038126.727573562, 269921.2560388137 7038126.7764325505, 269921.2631571165 7038126.824827573, 269921.2749702425 7038126.872295441, 269921.2913651284 7038126.918381841, 269921.31218485883 7038126.962645678, 269921.3372301683 7038127.004663304, 269921.3662613482 7038127.044032569, 269921.3990005414 7038127.080376671, 269921.43513440125 7038127.113347758, 269921.4743170908 7038127.142630266, 269921.51617359277 7038127.167943932, 269921.5603032989 7038127.18904648, 269921.60628384387 7038127.205735935, 269921.6536751484 7038127.2178525645, 269921.7020236304 7038127.2252804, 269921.750866547 7038127.22794835, 269921.79973642284 7038127.225830878, 269921.8481655247 7038127.218948252, 269921.89569033793 7038127.2073663445, 269921.94185600284 7038127.191196006, 269921.9862206682 7038127.1705920035, 269922.0283597198 7038127.145751537, 269928.8325317808 7038122.672398879, 269928.87030591216 7038122.644955601, 269928.9053554513 7038122.614108423, 269928.94284426386 7038122.577871451, 269928.2478441171 7038121.858861858, 269928.24403658236 7038121.86254225, 269922.8369345726 7038125.417401523, 269923.07445905753 7038124.843233453, 269923.08832617564 7038124.805480999, 269923.0991141791 7038124.766736145, 269923.3564870643 7038123.674070712, 269923.36569809204 7038123.623394689, 269923.36964690435 7038123.572039948, 269923.3682915981 7038123.520551449, 269923.3616465553 7038123.4694755655, 269923.3497822905 7038123.419354296, 269923.33282470267 7038123.370719507, 269923.3109537391 7038123.324087293, 269923.28440148593 7038123.279952496, 269923.2534497053 7038123.238783458, 269923.2184268454 7038123.201017048, 269922.06178184866 7038122.075987328, 269922.02592749015 7038122.0443064915, 269921.9872091767 7038122.016197728, 269921.9459814459 7038121.991918423, 269921.90262181347 7038121.971690901, 269921.8575273167 7038121.955700379, 269921.8111108788 7038121.944093282, 269921.76379752776 7038121.9369758945, 269921.71602050436 7038121.934413387, 269919.45076752396 7038121.921457356, 269918.77796015004 7038120.3960198425, 269918.7556346227 7038120.351539619, 269918.72899773676 7038120.309499213, 269918.69831340207 7038120.270315146, 269918.66388562904 7038120.234375644, 269918.62605551694 7038120.20203678, 269918.58519787446 7038120.17361896, 269918.5417175058 7038120.149403738, 269918.49604520056 7038120.129631029, 269918.4486334651 7038120.114496738, 269916.90465098334 7038119.7050917735, 269917.070927804 7038119.29043598, 269918.7673071049 7038119.4167905385, 269918.8189936904 7038119.417960131, 269918.8705247464 7038119.413786244, 269918.9213493295 7038119.404313503, 269918.97092404944 7038119.389643186, 269919.01871887885 7038119.369932139, 269919.06422282004 7038119.345391104, 269919.1069493684 7038119.3162824605, 269919.1464417136 7038119.282917422, 269919.18227762415 7038119.245652713, 269919.7408442034 7038118.6012067525, 269919.7711479708 7038118.5625614785, 269919.7975144209 7038118.521129778, 269919.81968919357 7038118.477311346, 269919.8374583666 7038118.431528904, 269919.85065051884 7038118.384224119, 269919.8591383844 7038118.335853346, 269919.8628400799 7038118.286883223, 269919.86171989463 7038118.237786168, 269919.8557886353 7038118.189035828, 269919.84510352125 7038118.141102501, 269919.82976763294 7038118.094448605, 269919.80992891715 7038118.049524213, 269919.7857787601 7038118.006762719, 269919.7575501408 7038117.966576644, 269919.7255153836 7038117.929353669, 269919.6899835312 7038117.895452888, 269918.4015825028 7038116.781789108, 269918.2162848895 7038116.170481728, 269919.14913515525 7038115.1243436085, 269919.1796245805 7038115.086616019, 269919.20631469146 7038115.046111525, 269919.22895428364 7038115.003211352, 269919.2473302753 7038114.95831927, 269919.26126971346 7038114.9118578015, 269919.2706414014 7038114.864264235, 269919.2753571337 7038114.815986519, 269919.3593589125 7038113.097551881, 269927.00905157113 7038120.062375073, 269927.0470588153 7038120.09369902, 269927.0879634452 7038120.121131693, 269927.13136856497 7038120.144406913, 269927.1768530163 7038120.163298841, 269927.2239754654 7038120.17762417, 269927.272278685 7038120.187243902, 269927.3212939908 7038120.192064697, 269927.3705457892 7038120.192039779, 269927.41955619195 7038120.18716939, 269927.467849653 7038120.177500786, 269927.51495758275 7038120.163127784, 269927.56042289484 7038120.144189841, 269927.60380444105 7038120.120870713, 269927.644681292 7038120.093396665, 269927.68265682115 7038120.062034275, 269927.7173625534 7038120.027087854, 269927.7484617405 7038119.988896483, 269928.2780255676 7038119.26884757, 269928.3061868522 7038119.226139489, 269928.32983682584 7038119.180777425, 269928.34872791707 7038119.133236234, 269928.3626623709 7038119.084013586, 269928.37149431946 7038119.03362475, 269928.37513130857 7038118.982597204, 269928.3735352656 7038118.931465113, 269928.36672289827 7038118.880763734, 269928.3547655194 7038118.831023819, 269928.33778830065 7038118.782766051, 269928.31596896227 7038118.7364956, 269916.5879460406 7038096.844649827, 269916.5754813916 7038096.8227295, 269903.10437835957 7038074.464076838, 269903.0997648554 7038074.456570017, 269883.27042529854 7038042.819762103, 269883.25901679567 7038042.802374685, 269871.57236807566 7038025.773958362, 269860.8969331569 7038009.641875607, 269858.1058046568 7038005.077804713, 269858.08277061925 7038005.043422164, 269851.47127772414 7037996.00709838, 269851.44814258115 7037995.977834882, 269837.4693984458 7037979.591760047, 269837.46605124936 7037979.587876913, 269823.749702209 7037963.839318306, 269811.77746611566 7037948.926652184, 269811.7451991087 7037948.890241083, 269811.7095461656 7037948.857138279, 269811.6708448379 7037948.827657179, 269811.6294615387 7037948.802076903, 269811.5857880731 7037948.780639636, 269811.5402379289 7037948.763548342, 269811.4932423618 7037948.750964833, 269811.44524631224 7037948.74300825, 269811.396704193 7037948.7397539215, 269811.3480755869 7037948.741232659, 269811.29982089554 7037948.747430461, 269811.2523969805 7037948.758288651, 269811.2062528377 7037948.7737044245, 269811.16182534664 7037948.79353183, 269811.11953513394 7037948.817583148, 269811.0797825912 7037948.845630668, 269811.04294408404 7037948.877408843, 269811.00936838886 7037948.912616806, 269810.9793733906 7037948.95092122, 269810.95324307337 7037948.9919594275, 269810.9312248314 7037949.035342893, 269810.91352712706 7037949.080660871, 269810.90031751717 7037949.127484309, 269810.8917210665 7037949.17536989, 269810.88781916373 7037949.223864253, 269810.888648751 7037949.272508264, 269810.894201974 7037949.320841376, 269810.9044262564 7037949.368405985, 269810.91922479763 7037949.414751763, 269810.93845748954 7037949.459439922, 269814.7428787227 7037957.233997926, 269817.8901236521 7037964.507997245, 269817.9222525156 7037964.569979931, 269821.0598291064 7037969.709465562, 269821.0820661656 7037969.742808226, 269829.86234063987 7037981.829055041, 269853.70668507286 7038015.2784927515, 269874.40465379093 7038046.904766933, 269894.7699140305 7038080.011310072, 269904.86717875424 7038097.398577829, 269909.6480932149 7038106.622825167, 269911.2961141988 7038111.3983699195, 269911.3096348295 7038111.433257743, 269911.3257265109 7038111.467036812, 269911.7486715021 7038112.275488982, 269911.7726892575 7038112.316521913, 269911.80049585825 7038112.3550880505, 269911.83183987095 7038112.3908386715, 269911.8664378762 7038112.423450511, 269911.9039770313 7038112.452628685, 269911.9441178992 7038112.478109359, 269911.9864975175 7038112.499662131, 269912.0307326805 7038112.517092115, 269912.07642340433 7038112.530241708, 269912.1231565435 7038112.538992006, 269912.170509527 7038112.543263889, 269912.21805417875 7038112.543018728, 269912.2653605899 7038112.53825874, 269912.3120010056 7038112.529026966, 269912.3575536931 7038112.515406882, 269912.40160675533 7038112.497521644, 269914.765792787 7038111.404013383, 269916.8897719245 7038110.873063957), (269917.15824328054 7038109.942692961, 269917.1188315838 7038109.785032706, 269914.47747968184 7038110.445314275, 269914.4324223023 7038110.458859413, 269914.3888375715 7038110.476579724, 269912.41400359647 7038111.390000765, 269912.2291774874 7038111.036708795, 269910.5814697218 7038106.262071669, 269910.5527394838 7038106.195098715, 269905.7494959216 7038096.927769838, 269905.7379577784 7038096.906757089, 269895.63148903893 7038079.503640219, 269895.62498509727 7038079.492760512, 269875.25273333275 7038046.374851684, 269875.2452263896 7038046.363022726, 269854.5379724909 7038014.722560888, 269854.5267478904 7038014.70613274, 269830.6753254938 7037981.246765886, 269830.6727047548 7037981.243124129, 269821.9028989552 7037969.171287682, 269818.79400558746 7037964.078786406, 269815.6560156729 7037956.826177533, 269815.64623873896 7037956.8049556855, 269813.8140621106 7037953.060795248, 269822.9761817006 7037964.4731687885, 269822.9890361232 7037964.488539006, 269836.7102828582 7037980.2427209485, 269850.6752495584 7037996.612645686, 269857.2634919915 7038005.61719167, 269860.04847603495 7038010.17121511, 269860.05806626205 7038010.186285499, 269870.74076004076 7038026.329337411, 269870.7454773715 7038026.3363368595, 269882.42862921313 7038043.359657941, 269902.25010552857 7038074.983920412, 269915.7124260931 7038097.32799638, 269927.2854816104 7038118.930575792, 269927.2717860486 7038118.949197672, 269917.521861701 7038110.072174471, 269917.48348955304 7038110.04057908, 269917.4421699355 7038110.012949753, 269917.3983112003 7038109.989559545, 269917.3523467929 7038109.970639615, 269917.3047309685 7038109.956376946, 269917.255934303 7038109.946912491, 269917.20643904223 7038109.9423397845, 269917.15824328054 7038109.942692961))</t>
  </si>
  <si>
    <t>['RV706 S1D1 m3945-3965']</t>
  </si>
  <si>
    <t>LINESTRING Z (269459.24621582 7040327.12023926 -999999, 269460.781860352 7040324.26831055 -999999, 269462.668579102 7040321.13110352 -999999, 269461.549682617 7040320.7142334 -999999, 269461.308349609 7040322.07446289 -999999, 269459.970092773 7040322.84228516 -999999, 269458.280883789 7040323.56628418 -999999, 269456.7890625 7040322.86425781 -999999, 269456.394165039 7040321.52600098 -999999, 269456.854858398 7040319.35400391 -999999, 269457.92980957 7040316.45812988 -999999, 269458.544067383 7040315.09790039 -999999, 269459.509399414 7040314.83459473 -999999, 269460.869628906 7040315.31726074 -999999, 269462.734375 7040316.58972168 -999999, 269463.217041016 7040317.09436035 -999999, 269463.073608398 7040318.75170898 -999999, 269462.142089844 7040319.72692871 -999999, 269461.544067383 7040320.71838379 -999999, 269462.674194336 7040321.11767578 -999999, 269464.708862305 7040317.99377441 -999999, 269466.155273438 7040315.91113281 -999999, 269464.459960938 7040315.04467773 -999999, 269464.264038086 7040315.34606934 -999999, 269462.668579102 7040315.36120606 -999999, 269461.352294922 7040314.35205078 -999999, 269461.264526367 7040314.17651367 -999999, 269461.483886719 7040312.68469238 -999999, 269461.966552734 7040311.60961914 -999999, 269462.580810547 7040310.44689942 -999999, 269463.787475586 7040309.98620606 -999999, 269464.599243164 7040310.55664062 -999999, 269465.059936523 7040311.67553711 -999999, 269465.125732422 7040312.75048828 -999999, 269465.103759766 7040313.18920898 -999999, 269464.818603516 7040314.52746582 -999999, 269464.445556641 7040315.03210449 -999999, 269466.134887695 7040315.90966797 -999999, 269469.008911133 7040312.75048828 -999999, 269471.246582031 7040310.51269531 -999999, 269471.773071289 7040310.03015137 -999999, 269471.707275391 7040307.00256348 -999999, 269469.337890625 7040307.46325684 -999999, 269466.639526367 7040305.70812988 -999999, 269466.332397461 7040305.31323242 -999999, 269457.973754883 7040310.88574219 -999999, 269454.61706543 7040327.03259277 -999999, 269450.657226563 7040343.29650879 -999999, 269450.455200195 7040344.60961914 -999999, 269451.036010742 7040343.82678223 -999999, 269454.82409668 7040335.77087402 -999999, 269458.511108398 7040328.34631348 -999999, 269459.24621582 7040327.12023926 -999999)</t>
  </si>
  <si>
    <t>['EV6 S78D1 m490-562']</t>
  </si>
  <si>
    <t>LINESTRING Z (286950.48 7039830.58 286950.63, 286961.66 7039833.42 286961.81, 286969.36 7039835.57 286969.51, 286974.54 7039836.64 286974.69, 286979.21 7039837.34 286979.36, 286981.91 7039837.57 286982.06, 286981.29 7039840.15 286981.44, 286976.62 7039839.23 286976.77, 286971.44 7039838.54 286971.59, 286967.4 7039838.54 286967.55, 286965.89 7039841.13 286966.04, 286966.83 7039842.83 286966.98, 286971.13 7039848.26 286971.28, 286973.65 7039850.16 286973.8, 286976.05 7039851.74 286976.2, 286979.02 7039852.18 286979.17, 286983.25 7039852.24 286983.4, 286987.8 7039850.22 286987.95, 286989.63 7039848.14 286989.78, 286990.58 7039846.31 286990.73, 286991.59 7039843.34 286991.74, 286990.07 7039841.25 286990.22, 286987.48 7039839.86 286987.63, 286985.33 7039839.85 286985.48, 286983.76 7039840.09 286983.91, 286983.59 7039844.42 286983.74, 286985.65 7039844.54 286985.8, 286985.02 7039845.86 286985.17, 286983 7039846.81 286983.15, 286980.6 7039847.38 286980.75, 286977.82 7039847.57 286977.97, 286976.12 7039847.44 286976.27, 286974.79 7039846.49 286974.94, 286973.53 7039844.54 286973.68, 286972.71 7039843.27 286972.86, 286972.55 7039842.48 286972.7, 286974.03 7039842.58 286974.18, 286975.67 7039843.65 286975.82, 286978.01 7039844.41 286978.16, 286979.08 7039844.41 286979.23, 286981.67 7039844.41 286981.82, 286983.57 7039844.41 286983.72, 286983.76 7039840.05 286983.91, 286981.29 7039840.12 286981.44, 286981.92 7039837.59 286982.07, 286984.58 7039837.78 286984.73, 286988.43 7039837.65 286988.58, 286992.66 7039836.83 286992.81, 286997.46 7039835.76 286997.61, 287002.45 7039833.99 287002.6, 287006.61 7039832.41 287006.76, 287011.22 7039829.51 287011.37, 287016.21 7039826.35 287016.36, 287013.43 7039830.27 287013.58, 287008.51 7039837.28 287008.66, 286998.47 7039850.73 286998.62, 286991.96 7039858.37 286992.11, 286981.42 7039870.62 286981.57, 286971.57 7039881.35 286971.72, 286971.25 7039881.29 286971.4, 286972.33 7039878.19 286972.48, 286973.15 7039871.88 286973.3, 286973.46 7039867.52 286973.61, 286973.02 7039861.46 286973.17, 286971.76 7039855.15 286971.91, 286969.11 7039848.58 286969.26, 286966.39 7039844.6 286966.54, 286963.17 7039840.56 286963.32, 286960.77 7039838.41 286960.92, 286959.13 7039836.77 286959.28, 286953.19 7039833.17 286953.34, 286949.97 7039831.53 286950.12, 286950.48 7039830.58 286950.63)</t>
  </si>
  <si>
    <t>['EV6 S78D1 m215-564']</t>
  </si>
  <si>
    <t>LINESTRING Z (286841.49 7040006.08 286841.639, 286804.82 7040025.89 286804.969, 286786.07 7040034.22 286786.219, 286768.65 7040041.8 286768.799, 286756.22 7040046.66 286756.369, 286755.21 7040047.16 286755.359, 286754.77 7040047.79 286754.919, 286754.89 7040048.43 286755.039, 286756.09 7040048.43 286756.239, 286770.8 7040045.14 286770.949, 286789.23 7040039.46 286789.379, 286804.76 7040033.97 286804.909, 286820.85 7040026.78 286820.999, 286834.04 7040020.65 286834.189, 286848.49 7040013.02 286848.639, 286855.68 7040008.97 286855.829, 286853.38 7040005.7 286853.529, 286850.14 7040007.53 286850.289, 286843.16 7040012.3 286843.309, 286839.32 7040015.09 286839.469, 286838.28 7040016.26 286838.429, 286836.42 7040016.6 286836.569, 286834.55 7040014.86 286834.699, 286833.86 7040013.7 286834.009, 286835.72 7040011.95 286835.869, 286845.02 7040006.25 286845.169, 286849.1 7040003.23 286849.249, 286857.35 7039998.34 286857.499, 286864.22 7039994.27 286864.369, 286868.87 7039992.18 286869.019, 286870.03 7039993.22 286870.179, 286870.38 7039996.01 286870.529, 286870.15 7039997.41 286870.299, 286866.08 7039999.5 286866.229, 286853.39 7040005.7 286853.539, 286855.7 7040008.96 286855.849, 286874.34 7039998.22 286874.489, 286883.76 7039991.83 286883.909, 286905.17 7039977.17 286905.32, 286917.93 7039967.58 286918.08, 286916.8 7039965.65 286916.95, 286907.61 7039971.93 286907.76, 286902.49 7039974.96 286902.64, 286899.81 7039975.19 286899.96, 286899.35 7039974.38 286899.5, 286899.23 7039973.1 286899.38, 286900.98 7039971.12 286901.13, 286906.56 7039967.4 286906.71, 286911.8 7039962.86 286911.95, 286918.43 7039957.28 286918.58, 286921.8 7039954.25 286921.95, 286923.89 7039955.3 286924.04, 286924.59 7039957.98 286924.74, 286923.89 7039960.07 286924.04, 286919.33 7039964.29 286919.48, 286916.81 7039965.65 286916.96, 286917.93 7039967.57 286918.08, 286950.77 7039940.88 286950.92, 286970.19 7039924.01 286970.34, 286994.97 7039901.55 286995.12, 287005.01 7039891.5 287005.16, 287007.86 7039887.7 287008.01, 287015.87 7039872.1 287016.02, 287021.29 7039859.75 287021.44, 287025.23 7039848.35 287025.38, 287027.67 7039841.84 287027.82, 287030.93 7039835.6 287031.08, 287030.93 7039833.97 287031.08, 287029.71 7039834.38 287029.86, 287028.89 7039835.6 287029.04, 287020.48 7039847.27 287020.63, 287007.45 7039864.36 287007.6, 286997.19 7039876.69 286997.34, 286999.21 7039877.78 286999.36, 287004.22 7039871.68 287004.37, 287009.68 7039865.43 287009.83, 287012.83 7039860.14 287012.98, 287016.32 7039855.41 287016.47, 287019.25 7039851.36 287019.4, 287021.67 7039847.92 287021.82, 287023.3 7039849.28 287023.45, 287022.63 7039853.05 287022.78, 287018.91 7039861.44 287019.06, 287014.8 7039869.71 287014.95, 287011.26 7039875.23 287011.41, 287005.97 7039882.54 287006.12, 287002.14 7039886.49 287002.29, 286997.3 7039891.78 286997.45, 286992.85 7039896.11 286993, 286987.61 7039900.84 286987.76, 286984.24 7039902.81 286984.39, 286983 7039902.3 286983.15, 286982.77 7039899.99 286982.92, 286984.46 7039896.28 286984.61, 286993.86 7039884.35 286994.01, 286997.86 7039879.34 286998.01, 286999.27 7039880.57 286999.42, 286992.01 7039889.02 286992.16, 286988.23 7039893.92 286988.38, 286985.93 7039897.52 286986.08, 286984.8 7039899.97 286984.95, 286984.8 7039901.12 286984.95, 286985.59 7039901.01 286985.74, 286989.08 7039897.57 286989.23, 286997.18 7039889.75 286997.33, 287001.8 7039884.97 287001.95, 287005.51 7039880.57 287005.66, 287009.96 7039874.5 287010.11, 287013.45 7039869.2 287013.6, 287016.38 7039863.07 287016.53, 287019.14 7039857.55 287019.29, 287020.88 7039853.5 287021.03, 287021.05 7039851.75 287021.2, 287019.76 7039852.77 287019.91, 287017.73 7039857.05 287017.88, 287014.92 7039861.21 287015.07, 287010.09 7039868.66 287010.24, 287005.09 7039874.17 287005.24, 287000.19 7039879.73 287000.34, 286999.28 7039880.57 286999.43, 286997.86 7039879.33 286998.01, 286999.21 7039877.76 286999.36, 286997.24 7039876.63 286997.39, 286983.62 7039891.72 286983.77, 286972.75 7039903.82 286972.9, 286945.06 7039930.16 286945.21, 286926.22 7039947.09 286926.37, 286899.19 7039967.76 286899.34, 286891.89 7039973.44 286892.04, 286879.1 7039982.29 286879.249, 286863.04 7039992.86 286863.189, 286853.52 7039998.73 286853.669, 286842.21 7040005.47 286842.359, 286841.49 7040006.08 286841.639)</t>
  </si>
  <si>
    <t>['EV6 S78D1 m184-356']</t>
  </si>
  <si>
    <t>LINESTRING Z (286824.16 7039997.33 286824.309, 286829.1 7039994.93 286829.249, 286834.92 7039991.45 286835.069, 286841.6 7039987.44 286841.749, 286848.35 7039983.37 286848.499, 286854.23 7039979.62 286854.379, 286858.98 7039976.15 286859.129, 286863.46 7039972.54 286863.61, 286870.01 7039967.46 286870.16, 286859.78 7039951.62 286859.93, 286857.98 7039948.54 286858.13, 286858.04 7039948.21 286858.19, 286856.57 7039945.8 286856.72, 286854.76 7039944.48 286854.91, 286846.7 7039945.41 286846.85, 286846.45 7039947.61 286846.6, 286845.81 7039951.45 286845.96, 286844.37 7039953.62 286844.52, 286841.59 7039956.63 286841.74, 286836.47 7039959.64 286836.62, 286831.07 7039962.61 286831.22, 286830.49 7039962.9 286830.64, 286826.66 7039966.67 286826.809, 286822.47 7039969.07 286822.619, 286821.35 7039969.74 286821.499, 286814.51 7039972.74 286814.659, 286811.28 7039974.13 286811.429, 286800.95 7039977.78 286801.099, 286799.22 7039977.71 286799.369, 286795.86 7039974.99 286796.009, 286794.77 7039976.69 286794.919, 286791.56 7039978.5 286791.709, 286786.59 7039980.65 286786.739, 286781.57 7039982.5 286781.719, 286779.35 7039982.61 286779.499, 286779.35 7039982.72 286779.499, 286776.67 7039982.38 286776.819, 286776.74 7039982.31 286776.889, 286775.03 7039993.43 286775.179, 286771.37 7039997.97 286771.519, 286759.01 7040004.66 286759.159, 286750.44 7040007.94 286750.589, 286742.49 7040008.31 286742.639, 286732.66 7040011.72 286732.809, 286726.98 7040011.21 286727.129, 286724.37 7040017.59 286724.519, 286719.99 7040042.92 286720.139, 286739.45 7040036.14 286739.599, 286760.72 7040027.99 286760.869, 286775.95 7040021.05 286776.099, 286797.07 7040011.85 286797.219, 286813.36 7040002.65 286813.509, 286818.49 7040000.24 286818.639, 286824.16 7039997.33 286824.309)</t>
  </si>
  <si>
    <t>2015-12-01</t>
  </si>
  <si>
    <t>LINESTRING Z (274228.46 7042206.61 274228.595, 274222.44 7042219.29 274222.575, 274215.03 7042229.5 274215.165, 274206.75 7042239.39 274206.885, 274192.99 7042251.85 274193.125, 274174.29 7042265.93 274174.425, 274147.75 7042285.28 274147.885, 274115.07 7042306.35 274115.205, 274115.07 7042307.1 274115.205, 274117.87 7042307.21 274118.005, 274139.47 7042293.45 274139.605, 274151.61 7042285.39 274151.745, 274172.79 7042270.45 274172.925, 274193.1 7042255.19 274193.235, 274206.54 7042243.26 274206.675, 274218.04 7042230.79 274218.175, 274229.32 7042216.28 274229.455, 274235.23 7042206.71 274235.365, 274243.43 7042191.51 274243.565, 274251.6 7042174.09 274251.735, 274254.5 7042164.1 274254.635, 274259.59 7042142.68 274259.725, 274261.4 7042130.15 274261.535, 274261.76 7042113.45 274261.895, 274261.58 7042108.73 274261.715, 274258.5 7042108.55 274258.635, 274258.5 7042105.83 274258.635, 274254.32 7042105.46 274254.455, 274249.96 7042118.71 274250.095, 274244.34 7042135.96 274244.475, 274246.88 7042144.49 274247.015, 274253.59 7042151.03 274253.725, 274255.23 7042152.12 274255.365, 274249.42 7042173.18 274249.555, 274245.06 7042172.63 274245.195, 274230.9 7042201.5 274231.035, 274228.46 7042206.61 274228.595)</t>
  </si>
  <si>
    <t>POLYGON Z ((274228.46 7042206.61 274228.595, 274222.44 7042219.29 274222.575, 274215.03 7042229.5 274215.165, 274206.75 7042239.39 274206.885, 274192.99 7042251.85 274193.125, 274174.29 7042265.93 274174.425, 274147.75 7042285.28 274147.885, 274115.07 7042306.35 274115.205, 274115.07 7042307.1 274115.205, 274117.87 7042307.21 274118.005, 274139.47 7042293.45 274139.605, 274151.61 7042285.39 274151.745, 274172.79 7042270.45 274172.925, 274193.1 7042255.19 274193.235, 274206.54 7042243.26 274206.675, 274218.04 7042230.79 274218.175, 274229.32 7042216.28 274229.455, 274235.23 7042206.71 274235.365, 274243.43 7042191.51 274243.565, 274251.6 7042174.09 274251.735, 274254.5 7042164.1 274254.635, 274259.59 7042142.68 274259.725, 274261.4 7042130.15 274261.535, 274261.76 7042113.45 274261.895, 274261.58 7042108.73 274261.715, 274258.5 7042108.55 274258.635, 274258.5 7042105.83 274258.635, 274254.32 7042105.46 274254.455, 274249.96 7042118.71 274250.095, 274244.34 7042135.96 274244.475, 274246.88 7042144.49 274247.015, 274253.59 7042151.03 274253.725, 274255.23 7042152.12 274255.365, 274249.42 7042173.18 274249.555, 274245.06 7042172.63 274245.195, 274230.9 7042201.5 274231.035, 274228.46 7042206.61 274228.595))</t>
  </si>
  <si>
    <t>['RV706 S2D1 m5896 KD1 m136-163']</t>
  </si>
  <si>
    <t>LINESTRING Z (274251.26 7041658.9 -999999, 274250.99 7041666.53 -999999, 274250.85 7041668.07 -999999, 274250.39 7041668.94 -999999, 274249.11 7041669.95 -999999, 274246.84 7041671.29 -999999, 274241.95 7041674.03 -999999, 274239.67 7041675.7 -999999, 274237.46 7041677.91 -999999, 274234.65 7041681.4 -999999, 274232.44 7041684.48 -999999, 274230.63 7041688.16 -999999, 274229.83 7041691.1 -999999, 274229.7 7041693.05 -999999, 274230.1 7041694.72 -999999, 274230.83 7041696.19 -999999, 274232.04 7041697.67 -999999, 274233.51 7041698.74 -999999, 274236.26 7041699.88 -999999, 274237.86 7041699.94 -999999, 274221.13 7041705.3 -999999, 274220.59 7041704.29 -999999, 274223.2 7041701.42 -999999, 274225.08 7041698.94 -999999, 274226.55 7041696.59 -999999, 274227.75 7041693.98 -999999, 274228.89 7041690.23 -999999, 274230.37 7041684.81 -999999, 274230.97 7041680.99 -999999, 274230.7 7041677.51 -999999, 274231.17 7041676.98 -999999, 274232.31 7041676.91 -999999, 274234.05 7041676.64 -999999, 274236.46 7041675.84 -999999, 274238.8 7041674.7 -999999, 274240.41 7041673.63 -999999, 274242.15 7041672.29 -999999, 274244.02 7041670.08 -999999, 274245.5 7041667.67 -999999, 274246.37 7041665.8 -999999, 274246.84 7041663.52 -999999, 274246.97 7041658.5 -999999, 274247.17 7041657.89 -999999, 274248.91 7041658.23 -999999, 274250.18 7041658.43 -999999, 274251.26 7041658.9 -999999)</t>
  </si>
  <si>
    <t>POLYGON Z ((274251.26 7041658.9 -999999, 274250.99 7041666.53 -999999, 274250.85 7041668.07 -999999, 274250.39 7041668.94 -999999, 274249.11 7041669.95 -999999, 274246.84 7041671.29 -999999, 274241.95 7041674.03 -999999, 274239.67 7041675.7 -999999, 274237.46 7041677.91 -999999, 274234.65 7041681.4 -999999, 274232.44 7041684.48 -999999, 274230.63 7041688.16 -999999, 274229.83 7041691.1 -999999, 274229.7 7041693.05 -999999, 274230.1 7041694.72 -999999, 274230.83 7041696.19 -999999, 274232.04 7041697.67 -999999, 274233.51 7041698.74 -999999, 274236.26 7041699.88 -999999, 274237.86 7041699.94 -999999, 274221.13 7041705.3 -999999, 274220.59 7041704.29 -999999, 274223.2 7041701.42 -999999, 274225.08 7041698.94 -999999, 274226.55 7041696.59 -999999, 274227.75 7041693.98 -999999, 274228.89 7041690.23 -999999, 274230.37 7041684.81 -999999, 274230.97 7041680.99 -999999, 274230.7 7041677.51 -999999, 274231.17 7041676.98 -999999, 274232.31 7041676.91 -999999, 274234.05 7041676.64 -999999, 274236.46 7041675.84 -999999, 274238.8 7041674.7 -999999, 274240.41 7041673.63 -999999, 274242.15 7041672.29 -999999, 274244.02 7041670.08 -999999, 274245.5 7041667.67 -999999, 274246.37 7041665.8 -999999, 274246.84 7041663.52 -999999, 274246.97 7041658.5 -999999, 274247.17 7041657.89 -999999, 274248.91 7041658.23 -999999, 274250.18 7041658.43 -999999, 274251.26 7041658.9 -999999))</t>
  </si>
  <si>
    <t>2015-07-01</t>
  </si>
  <si>
    <t>2025-11-22T09:12:52Z</t>
  </si>
  <si>
    <t>[69]</t>
  </si>
  <si>
    <t>['EV69 S4D1 m792-828']</t>
  </si>
  <si>
    <t>LINESTRING Z (895827.86 7912462.64 30.678, 895829.85 7912464.9 30.688, 895832 7912467 30.688, 895838.02 7912473.21 30.638, 895843.82 7912479.95 30.578, 895850.1 7912488.1 30.458, 895852.12 7912489.23 30.438, 895853.35 7912489.26 30.408, 895855.82 7912486.88 30.308, 895853.84 7912482.54 30.318, 895851.82 7912479.71 30.348, 895849.04 7912476.36 30.368, 895845.23 7912472.26 30.398, 895841.64 7912468.57 30.438, 895838.44 7912465.15 30.458, 895833.29 7912460.61 30.528)</t>
  </si>
  <si>
    <t>POLYGON Z ((895827.86 7912462.64 30.678, 895829.85 7912464.9 30.688, 895832 7912467 30.688, 895838.02 7912473.21 30.638, 895843.82 7912479.95 30.578, 895850.1 7912488.1 30.458, 895852.12 7912489.23 30.438, 895853.35 7912489.26 30.408, 895855.82 7912486.88 30.308, 895853.84 7912482.54 30.318, 895851.82 7912479.71 30.348, 895849.04 7912476.36 30.368, 895845.23 7912472.26 30.398, 895841.64 7912468.57 30.438, 895838.44 7912465.15 30.458, 895833.29 7912460.61 30.528, 895827.86 7912462.64 30.678))</t>
  </si>
  <si>
    <t>2016-01-25</t>
  </si>
  <si>
    <t>LINESTRING Z (-38145.06 6566006.8 3.263, -38144.62 6566006.04 3.283, -38143.73 6566004.31 3.303, -38140.82 6565999.26 3.363, -38139.32 6565996.53 3.383, -38136.72 6565992.36 3.423, -38131.21 6565983.86 3.543, -38124.2 6565972.96 3.643, -38117.37 6565962 3.833, -38111.44 6565952.58 4.003, -38107.03 6565944.9 4.193, -38105.42 6565941.97 4.303, -38102.27 6565936.03 4.423, -38100.37 6565931.91 4.573, -38096.63 6565923.95 4.823, -38092.74 6565914.93 5.123, -38089.88 6565908 5.253, -38086.94 6565899.81 5.463, -38084.05 6565890.87 5.693, -38081.29 6565882 5.833, -38079.42 6565875.82 5.863, -38076.5 6565866.29 5.953, -38074.37 6565859.15 5.963, -38072.21 6565851.47 5.983, -38070.21 6565845.04 5.993, -38067.22 6565835.18 5.983, -38063.43 6565822.25 6.003, -38060.75 6565812.32 6.013, -38057.59 6565799.36 6.013, -38054.73 6565786.13 6.023, -38053.05 6565777.15 6.033, -38050.06 6565759.92 6.053, -38048.24 6565749.54 6.053, -38045.45 6565733.24 6.033, -38042.48 6565716.11 6.063, -38039.57 6565699.1 6.093, -38036.66 6565681.83 6.093, -38034.04 6565666.5 6.093, -38031.01 6565648.78 6.133, -38027.98 6565631.12 6.173, -38026.46 6565622.4 6.173, -38025.52 6565615.73 6.213, -38024.7 6565608.84 6.363, -38024.21 6565602.16 6.553, -38023.95 6565595.24 6.733, -38023.68 6565585.93 6.973, -38023.61 6565577.78 7.093, -38023.47 6565568.93 7.103, -38023.28 6565560.57 7.113, -38023.16 6565557.26 7.113, -38022.96 6565554.78 7.103, -38022.72 6565553.41 7.083, -38022.04 6565550.31 7.063, -38020.89 6565545.84 6.913, -38019.71 6565541.87 6.843, -38020.03 6565541.25 6.833, -38022.32 6565547.42 6.993, -38023.44 6565552.21 7.123, -38024.3 6565556.13 7.063, -38024.37 6565558.87 7.073, -38023.75 6565562.53 7.083, -38023.84 6565572.36 7.053, -38024.05 6565583.1 6.943, -38024 6565590.67 6.733, -38024.3 6565597.62 6.633, -38025.09 6565608.28 6.373, -38026.29 6565616.1 6.213, -38027.46 6565624.68 6.203, -38029.87 6565637.57 6.193, -38032.45 6565653.99 6.123, -38034.46 6565666.58 6.123, -38035.57 6565673.05 6.083, -38035.7 6565673.26 6.063, -38036.58 6565676.24 5.903, -38037.21 6565679.99 5.843, -38037.86 6565686.13 5.933, -38038.47 6565688.73 6.023, -38038.33 6565689.72 6.083, -38038.96 6565692.95 6.083, -38040.73 6565703.42 6.073, -38041.14 6565703.88 6.143, -38042.85 6565714.21 6.293, -38044.6 6565724.08 6.353, -38046.53 6565733.08 6.363, -38046.97 6565737.72 6.303, -38047.11 6565741.08 6.153, -38049.48 6565753.75 6.063, -38051.52 6565765.89 6.053, -38053.76 6565778.22 6.073, -38055.52 6565787.34 6.043, -38057.22 6565795.47 6.033, -38059.69 6565806.67 5.953, -38062.47 6565816.65 5.923, -38065.22 6565826.27 5.893, -38068.08 6565836.14 5.893, -38069.71 6565842.45 5.763, -38071.77 6565849.16 5.833, -38072.48 6565851.39 5.873, -38074.93 6565858.76 5.843, -38077.32 6565867.06 5.753, -38079.97 6565875.86 5.803, -38081.48 6565881.07 5.783, -38083.81 6565886.1 5.753, -38084.3 6565887.89 5.743, -38085.63 6565892.72 5.623, -38087.7 6565896.94 5.463, -38087.92 6565900.46 5.383, -38088.85 6565904.45 5.243, -38091.38 6565911.04 5.083, -38092.5 6565913.43 5.053, -38095.42 6565919.85 4.873, -38097.88 6565925.75 4.643, -38099.98 6565929.24 4.563, -38104.34 6565936.97 4.383, -38110.02 6565946.34 4.123, -38115.06 6565954.16 3.953, -38119.35 6565961.29 3.813, -38122.97 6565966.89 3.733, -38127.22 6565973.14 3.593, -38131.67 6565980.12 3.553, -38136.37 6565987.08 3.483, -38141.37 6565994.5 3.443, -38143.47 6565999.18 3.333, -38146.56 6566004.7 3.373, -38145.06 6566006.8 3.263)</t>
  </si>
  <si>
    <t>POLYGON Z ((-38145.06 6566006.8 3.263, -38144.62 6566006.04 3.283, -38143.73 6566004.31 3.303, -38140.82 6565999.26 3.363, -38139.32 6565996.53 3.383, -38136.72 6565992.36 3.423, -38131.21 6565983.86 3.543, -38124.2 6565972.96 3.643, -38117.37 6565962 3.833, -38111.44 6565952.58 4.003, -38107.03 6565944.9 4.193, -38105.42 6565941.97 4.303, -38102.27 6565936.03 4.423, -38100.37 6565931.91 4.573, -38096.63 6565923.95 4.823, -38092.74 6565914.93 5.123, -38089.88 6565908 5.253, -38086.94 6565899.81 5.463, -38084.05 6565890.87 5.693, -38081.29 6565882 5.833, -38079.42 6565875.82 5.863, -38076.5 6565866.29 5.953, -38074.37 6565859.15 5.963, -38072.21 6565851.47 5.983, -38070.21 6565845.04 5.993, -38067.22 6565835.18 5.983, -38063.43 6565822.25 6.003, -38060.75 6565812.32 6.013, -38057.59 6565799.36 6.013, -38054.73 6565786.13 6.023, -38053.05 6565777.15 6.033, -38050.06 6565759.92 6.053, -38048.24 6565749.54 6.053, -38045.45 6565733.24 6.033, -38042.48 6565716.11 6.063, -38039.57 6565699.1 6.093, -38036.66 6565681.83 6.093, -38034.04 6565666.5 6.093, -38031.01 6565648.78 6.133, -38027.98 6565631.12 6.173, -38026.46 6565622.4 6.173, -38025.52 6565615.73 6.213, -38024.7 6565608.84 6.363, -38024.21 6565602.16 6.553, -38023.95 6565595.24 6.733, -38023.68 6565585.93 6.973, -38023.61 6565577.78 7.093, -38023.47 6565568.93 7.103, -38023.28 6565560.57 7.113, -38023.16 6565557.26 7.113, -38022.96 6565554.78 7.103, -38022.72 6565553.41 7.083, -38022.04 6565550.31 7.063, -38020.89 6565545.84 6.913, -38019.71 6565541.87 6.843, -38020.03 6565541.25 6.833, -38022.32 6565547.42 6.993, -38023.44 6565552.21 7.123, -38024.3 6565556.13 7.063, -38024.37 6565558.87 7.073, -38023.75 6565562.53 7.083, -38023.84 6565572.36 7.053, -38024.05 6565583.1 6.943, -38024 6565590.67 6.733, -38024.3 6565597.62 6.633, -38025.09 6565608.28 6.373, -38026.29 6565616.1 6.213, -38027.46 6565624.68 6.203, -38029.87 6565637.57 6.193, -38032.45 6565653.99 6.123, -38034.46 6565666.58 6.123, -38035.57 6565673.05 6.083, -38035.7 6565673.26 6.063, -38036.58 6565676.24 5.903, -38037.21 6565679.99 5.843, -38037.86 6565686.13 5.933, -38038.47 6565688.73 6.023, -38038.33 6565689.72 6.083, -38038.96 6565692.95 6.083, -38040.73 6565703.42 6.073, -38041.14 6565703.88 6.143, -38042.85 6565714.21 6.293, -38044.6 6565724.08 6.353, -38046.53 6565733.08 6.363, -38046.97 6565737.72 6.303, -38047.11 6565741.08 6.153, -38049.48 6565753.75 6.063, -38051.52 6565765.89 6.053, -38053.76 6565778.22 6.073, -38055.52 6565787.34 6.043, -38057.22 6565795.47 6.033, -38059.69 6565806.67 5.953, -38062.47 6565816.65 5.923, -38065.22 6565826.27 5.893, -38068.08 6565836.14 5.893, -38069.71 6565842.45 5.763, -38071.77 6565849.16 5.833, -38072.48 6565851.39 5.873, -38074.93 6565858.76 5.843, -38077.32 6565867.06 5.753, -38079.97 6565875.86 5.803, -38081.48 6565881.07 5.783, -38083.81 6565886.1 5.753, -38084.3 6565887.89 5.743, -38085.63 6565892.72 5.623, -38087.7 6565896.94 5.463, -38087.92 6565900.46 5.383, -38088.85 6565904.45 5.243, -38091.38 6565911.04 5.083, -38092.5 6565913.43 5.053, -38095.42 6565919.85 4.873, -38097.88 6565925.75 4.643, -38099.98 6565929.24 4.563, -38104.34 6565936.97 4.383, -38110.02 6565946.34 4.123, -38115.06 6565954.16 3.953, -38119.35 6565961.29 3.813, -38122.97 6565966.89 3.733, -38127.22 6565973.14 3.593, -38131.67 6565980.12 3.553, -38136.37 6565987.08 3.483, -38141.37 6565994.5 3.443, -38143.47 6565999.18 3.333, -38146.56 6566004.7 3.373, -38145.06 6566006.8 3.263))</t>
  </si>
  <si>
    <t>2015-08-07</t>
  </si>
  <si>
    <t>['KV555 S1D1 m2-77']</t>
  </si>
  <si>
    <t>LINESTRING Z (-35980.81 6732989.08 36.265, -35980.72 6732989.12 36.285, -35980.62 6732989.14 36.315, -35980.54 6732989.18 36.345, -35980.44 6732989.22 36.365, -35980.34 6732989.26 36.395, -35980.25 6732989.29 36.415, -35980.16 6732989.33 36.445, -35980.06 6732989.37 36.465, -35979.97 6732989.41 36.495, -35979.87 6732989.44 36.515, -35979.79 6732989.47 36.545, -35979.69 6732989.51 36.565, -35979.59 6732989.55 36.595, -35979.51 6732989.59 36.625, -35979.41 6732989.63 36.645, -35979.32 6732989.66 36.655, -35979.22 6732989.7 36.645, -35979.13 6732989.74 36.635, -35979.04 6732989.77 36.625, -35978.94 6732989.8 36.615, -35978.85 6732989.84 36.605, -35978.76 6732989.88 36.605, -35978.66 6732989.92 36.595, -35978.57 6732989.96 36.585, -35978.48 6732989.99 36.575, -35978.38 6732990.03 36.565, -35978.29 6732990.06 36.555, -35978.19 6732990.1 36.545, -35978.11 6732990.14 36.535, -35978.01 6732990.17 36.525, -35977.91 6732990.21 36.515, -35977.82 6732990.25 36.505, -35977.73 6732990.29 36.495, -35977.64 6732990.32 36.485, -35977.54 6732990.35 36.475, -35977.44 6732990.39 36.465, -35977.36 6732990.43 36.455, -35977.26 6732990.47 36.445, -35977.17 6732990.5 36.435, -35977.08 6732990.54 36.425, -35976.98 6732990.58 36.425, -35976.9 6732990.63 36.415, -35976.81 6732990.69 36.415, -35976.73 6732990.74 36.415, -35976.64 6732990.79 36.405, -35976.55 6732990.83 36.415, -35976.47 6732990.88 36.425, -35976.38 6732990.93 36.435, -35976.29 6732990.99 36.455, -35976.2 6732991.04 36.465, -35976.11 6732991.09 36.485, -35976.04 6732991.14 36.495, -35975.95 6732991.19 36.475, -35975.86 6732991.24 36.465, -35975.77 6732991.28 36.455, -35975.69 6732991.33 36.445, -35975.6 6732991.39 36.425, -35975.51 6732991.44 36.415, -35975.42 6732991.49 36.405, -35975.33 6732991.54 36.385, -35975.25 6732991.59 36.385, -35975.16 6732991.63 36.395, -35975.07 6732991.68 36.405, -35974.98 6732991.73 36.415, -35974.9 6732991.78 36.425, -35974.81 6732991.83 36.425, -35974.72 6732991.88 36.435, -35974.63 6732991.93 36.445, -35974.54 6732991.98 36.455, -35974.46 6732992.02 36.465, -35974.37 6732992.07 36.465, -35974.28 6732992.12 36.475, -35974.19 6732992.17 36.485, -35974.11 6732992.22 36.495, -35974.02 6732992.27 36.495, -35973.93 6732992.32 36.505, -35973.84 6732992.37 36.515, -35973.76 6732992.4 36.515, -35973.67 6732992.45 36.525, -35973.58 6732992.5 36.535, -35973.49 6732992.55 36.545, -35973.41 6732992.6 36.545, -35973.33 6732992.65 36.555, -35973.24 6732992.7 36.565, -35973.15 6732992.75 36.575, -35973.06 6732992.81 36.585, -35972.98 6732992.85 36.595, -35972.89 6732992.9 36.595, -35972.8 6732992.95 36.595, -35972.71 6732993 36.595, -35972.63 6732993.05 36.595, -35972.54 6732993.1 36.595, -35972.45 6732993.15 36.595, -35972.36 6732993.2 36.595, -35972.28 6732993.24 36.595, -35972.2 6732993.3 36.595, -35972.11 6732993.35 36.595, -35972.02 6732993.4 36.595, -35971.93 6732993.45 36.595, -35971.85 6732993.5 36.595, -35971.76 6732993.55 36.595, -35971.67 6732993.6 36.595, -35971.58 6732993.65 36.595, -35971.49 6732993.69 36.595, -35971.41 6732993.74 36.595, -35971.32 6732993.79 36.595, -35971.23 6732993.84 36.595, -35971.15 6732993.88 36.595, -35971.05 6732993.93 36.615, -35970.96 6732993.98 36.635, -35970.87 6732994.02 36.655, -35970.78 6732994.07 36.675, -35970.7 6732994.12 36.695, -35970.61 6732994.17 36.715, -35970.52 6732994.22 36.745, -35970.43 6732994.27 36.765, -35970.35 6732994.32 36.785, -35970.26 6732994.37 36.805, -35970.17 6732994.4 36.825, -35970.08 6732994.45 36.845, -35970 6732994.5 36.875, -35969.9 6732994.55 36.895, -35969.81 6732994.6 36.915, -35969.72 6732994.65 36.915, -35969.64 6732994.7 36.885, -35969.55 6732994.73 36.865, -35969.46 6732994.78 36.845, -35969.37 6732994.83 36.825, -35969.29 6732994.88 36.795, -35969.19 6732994.93 36.775, -35969.1 6732994.97 36.755, -35969.03 6732995.02 36.735, -35968.94 6732995.08 36.715, -35968.86 6732995.13 36.695, -35968.77 6732995.18 36.675, -35968.69 6732995.23 36.655, -35968.6 6732995.29 36.635, -35968.53 6732995.34 36.615, -35968.44 6732995.4 36.595, -35968.35 6732995.45 36.575, -35968.27 6732995.51 36.555, -35968.18 6732995.56 36.535, -35968.09 6732995.62 36.515, -35968.01 6732995.67 36.505, -35967.93 6732995.73 36.495, -35967.84 6732995.78 36.495, -35967.76 6732995.83 36.495, -35967.67 6732995.88 36.485, -35967.58 6732995.93 36.485, -35967.5 6732995.99 36.475, -35967.42 6732996.04 36.475, -35967.33 6732996.09 36.465, -35967.25 6732996.15 36.465, -35967.16 6732996.2 36.455, -35967.07 6732996.26 36.455, -35967 6732996.31 36.445, -35966.91 6732996.36 36.445, -35966.82 6732996.42 36.435, -35966.73 6732996.46 36.435, -35966.65 6732996.52 36.435, -35966.56 6732996.57 36.445, -35966.48 6732996.62 36.445, -35966.39 6732996.67 36.455, -35966.31 6732996.73 36.455, -35966.22 6732996.78 36.465, -35966.13 6732996.83 36.465, -35966.05 6732996.88 36.475, -35965.97 6732996.94 36.475, -35965.88 6732996.99 36.485, -35965.79 6732997.03 36.485, -35965.71 6732997.08 36.485, -35965.62 6732997.14 36.495, -35965.53 6732997.19 36.515, -35965.45 6732997.24 36.535, -35965.36 6732997.29 36.555, -35965.27 6732997.35 36.575, -35965.19 6732997.4 36.605, -35965.1 6732997.45 36.625, -35965.01 6732997.49 36.645, -35964.93 6732997.55 36.665, -35964.85 6732997.59 36.685, -35964.77 6732997.65 36.715, -35964.69 6732997.71 36.735, -35964.61 6732997.77 36.765, -35964.53 6732997.83 36.785, -35964.44 6732997.89 36.815, -35964.36 6732997.95 36.835, -35964.28 6732998.01 36.865, -35964.19 6732998.06 36.885, -35964.12 6732998.12 36.915, -35964.04 6732998.18 36.935, -35963.96 6732998.24 36.965, -35963.87 6732998.3 36.985, -35963.79 6732998.36 37.005, -35963.71 6732998.41 37.015, -35963.62 6732998.47 36.995, -35963.54 6732998.53 36.975, -35963.46 6732998.59 36.955, -35963.37 6732998.65 36.925, -35963.3 6732998.7 36.905, -35963.22 6732998.76 36.885, -35963.13 6732998.82 36.865, -35963.05 6732998.88 36.835, -35962.96 6732998.93 36.815, -35962.88 6732998.99 36.795, -35962.8 6732999.05 36.765, -35962.72 6732999.1 36.745, -35962.64 6732999.15 36.725, -35962.55 6732999.21 36.705, -35962.47 6732999.27 36.675, -35962.39 6732999.32 36.655, -35962.3 6732999.38 36.635, -35962.22 6732999.44 36.615, -35962.14 6732999.49 36.585, -35962.06 6732999.55 36.565, -35961.97 6732999.61 36.545, -35961.89 6732999.66 36.515, -35961.8 6732999.72 36.495, -35961.72 6732999.78 36.475, -35961.63 6732999.83 36.455, -35961.55 6732999.89 36.435, -35961.47 6732999.95 36.415, -35961.39 6733000 36.395, -35961.3 6733000.05 36.375, -35961.22 6733000.1 36.355, -35961.13 6733000.16 36.335, -35961.05 6733000.22 36.315, -35960.97 6733000.27 36.295, -35960.89 6733000.33 36.275, -35960.8 6733000.38 36.245, -35960.73 6733000.44 36.265, -35960.65 6733000.51 36.275, -35960.57 6733000.57 36.295, -35960.49 6733000.63 36.315, -35960.42 6733000.69 36.325, -35960.34 6733000.75 36.345, -35960.26 6733000.82 36.355, -35960.18 6733000.88 36.375, -35960.1 6733000.94 36.395, -35960.03 6733001 36.405, -35959.95 6733001.06 36.425, -35959.87 6733001.13 36.455, -35959.79 6733001.19 36.475, -35959.71 6733001.25 36.495, -35959.63 6733001.31 36.525, -35959.55 6733001.37 36.545, -35959.47 6733001.43 36.565, -35959.39 6733001.5 36.585, -35959.31 6733001.56 36.615, -35959.23 6733001.62 36.635, -35959.15 6733001.68 36.655, -35959.07 6733001.74 36.675, -35958.99 6733001.8 36.705, -35958.92 6733001.86 36.725, -35958.84 6733001.92 36.745, -35958.76 6733001.99 36.765, -35958.68 6733002.05 36.795, -35958.6 6733002.11 36.815, -35958.52 6733002.17 36.835, -35958.44 6733002.23 36.855, -35958.36 6733002.29 36.885, -35958.27 6733002.35 36.905, -35958.19 6733002.41 36.925, -35958.11 6733002.47 36.945, -35958.03 6733002.53 36.975, -35957.95 6733002.59 36.975, -35957.88 6733002.65 36.955, -35957.8 6733002.71 36.935, -35957.72 6733002.77 36.925, -35957.63 6733002.83 36.905, -35957.55 6733002.89 36.885, -35957.47 6733002.95 36.865, -35957.39 6733003.01 36.855, -35957.31 6733003.07 36.835, -35957.23 6733003.13 36.815, -35957.14 6733003.19 36.795, -35957.06 6733003.25 36.785, -35956.99 6733003.31 36.765, -35956.91 6733003.37 36.745, -35956.83 6733003.43 36.735, -35956.75 6733003.49 36.715, -35956.67 6733003.55 36.695, -35956.59 6733003.61 36.685, -35956.51 6733003.67 36.665, -35956.43 6733003.73 36.645, -35956.35 6733003.8 36.635, -35956.27 6733003.86 36.615, -35956.19 6733003.92 36.595, -35956.11 6733003.98 36.585, -35956.03 6733004.05 36.565, -35955.95 6733004.11 36.545, -35955.89 6733004.17 36.525, -35955.81 6733004.23 36.505, -35955.73 6733004.29 36.485, -35955.65 6733004.36 36.465, -35955.57 6733004.42 36.445, -35955.49 6733004.48 36.425, -35955.41 6733004.55 36.405, -35955.33 6733004.61 36.385, -35955.26 6733004.67 36.365, -35955.18 6733004.73 36.345, -35955.1 6733004.8 36.335, -35955.02 6733004.86 36.315, -35954.94 6733004.92 36.295, -35954.86 6733004.99 36.285, -35954.79 6733005.06 36.265, -35954.71 6733005.12 36.255, -35954.63 6733005.19 36.235, -35954.55 6733005.25 36.225, -35954.48 6733005.31 36.205, -35954.4 6733005.38 36.185, -35954.33 6733005.44 36.175, -35954.24 6733005.51 36.175, -35954.18 6733005.57 36.175, -35954.1 6733005.63 36.185, -35954.02 6733005.7 36.185, -35953.94 6733005.76 36.185, -35953.87 6733005.83 36.185, -35953.79 6733005.89 36.185, -35953.71 6733005.95 36.185, -35953.64 6733006.02 36.185, -35953.56 6733006.08 36.185, -35953.48 6733006.15 36.185, -35953.41 6733006.21 36.185, -35953.33 6733006.28 36.195, -35953.25 6733006.34 36.195, -35953.18 6733006.41 36.195, -35953.1 6733006.47 36.195, -35953.02 6733006.54 36.195, -35952.95 6733006.61 36.195, -35952.87 6733006.68 36.195, -35952.79 6733006.74 36.195, -35952.72 6733006.81 36.195, -35952.64 6733006.87 36.195, -35952.57 6733006.94 36.195, -35952.49 6733007 36.205, -35952.42 6733007.07 36.205, -35952.34 6733007.13 36.215, -35952.26 6733007.2 36.215, -35952.19 6733007.26 36.225, -35952.11 6733007.33 36.225, -35952.04 6733007.4 36.235, -35951.97 6733007.47 36.235, -35951.91 6733007.55 36.245, -35951.84 6733007.62 36.245, -35951.77 6733007.69 36.255, -35951.7 6733007.76 36.255, -35951.63 6733007.83 36.265, -35951.56 6733007.9 36.275, -35951.49 6733007.98 36.275, -35951.42 6733008.05 36.285, -35951.34 6733008.13 36.285, -35951.27 6733008.2 36.295, -35951.2 6733008.27 36.295, -35951.13 6733008.34 36.305, -35951.06 6733008.41 36.305, -35950.99 6733008.48 36.315, -35950.92 6733008.56 36.315, -35950.85 6733008.63 36.315, -35950.78 6733008.7 36.315, -35950.71 6733008.77 36.315, -35950.64 6733008.84 36.325, -35950.57 6733008.91 36.325, -35950.5 6733008.98 36.325, -35950.43 6733009.05 36.325, -35950.36 6733009.12 36.325, -35950.29 6733009.19 36.325, -35950.22 6733009.26 36.325, -35950.15 6733009.33 36.325, -35950.08 6733009.4 36.335, -35950.01 6733009.47 36.335, -35949.94 6733009.54 36.335, -35949.86 6733009.61 36.325, -35949.78 6733009.69 36.315, -35949.71 6733009.76 36.305, -35949.64 6733009.83 36.305, -35949.57 6733009.9 36.295, -35949.5 6733009.96 36.285, -35949.44 6733010.03 36.275, -35949.37 6733010.12 36.275, -35949.31 6733010.19 36.265, -35949.24 6733010.26 36.255, -35949.17 6733010.33 36.245, -35949.1 6733010.4 36.235, -35949.03 6733010.48 36.235, -35948.97 6733010.56 36.225, -35948.9 6733010.63 36.215, -35948.83 6733010.7 36.205, -35948.76 6733010.77 36.195, -35948.7 6733010.84 36.195, -35948.62 6733010.91 36.185, -35948.55 6733011 36.175, -35948.48 6733011.07 36.165, -35948.41 6733011.14 36.165, -35948.34 6733011.21 36.155, -35948.28 6733011.28 36.145, -35948.21 6733011.35 36.145, -35948.14 6733011.42 36.135, -35948.07 6733011.5 36.125, -35948 6733011.57 36.125, -35947.93 6733011.65 36.115, -35947.86 6733011.72 36.105, -35947.79 6733011.79 36.105, -35947.72 6733011.86 36.095, -35947.65 6733011.94 36.085, -35947.58 6733012.01 36.085, -35947.51 6733012.08 36.075, -35947.44 6733012.15 36.075, -35947.37 6733012.22 36.075, -35947.3 6733012.29 36.085, -35947.23 6733012.36 36.095, -35947.16 6733012.44 36.105, -35947.09 6733012.51 36.105, -35947.02 6733012.58 36.115, -35946.95 6733012.65 36.125, -35946.88 6733012.72 36.135, -35946.81 6733012.79 36.135, -35946.74 6733012.86 36.145, -35946.67 6733012.93 36.155, -35946.6 6733013.01 36.155, -35946.53 6733013.08 36.165, -35946.46 6733013.15 36.165, -35946.38 6733013.22 36.175, -35946.3 6733013.29 36.175, -35946.23 6733013.36 36.185, -35946.16 6733013.43 36.185, -35946.09 6733013.49 36.195, -35946.04 6733013.58 36.195, -35945.97 6733013.65 36.205, -35945.91 6733013.73 36.205, -35945.85 6733013.8 36.205, -35945.78 6733013.88 36.215, -35945.72 6733013.96 36.215, -35945.66 6733014.03 36.225, -35945.58 6733014.11 36.225, -35945.52 6733014.19 36.235, -35945.45 6733014.27 36.235, -35945.39 6733014.34 36.245, -35945.33 6733014.42 36.245, -35945.26 6733014.49 36.245, -35945.2 6733014.57 36.255, -35945.13 6733014.65 36.255, -35945.07 6733014.72 36.265, -35945 6733014.8 36.265, -35944.93 6733014.87 36.265, -35944.87 6733014.95 36.265, -35944.8 6733015.03 36.265, -35944.74 6733015.1 36.255, -35944.67 6733015.17 36.255, -35944.61 6733015.25 36.255, -35944.54 6733015.33 36.255, -35944.48 6733015.41 36.255, -35944.41 6733015.48 36.255, -35944.34 6733015.55 36.255, -35944.27 6733015.63 36.245, -35944.21 6733015.71 36.245, -35944.14 6733015.78 36.245, -35944.08 6733015.86 36.245, -35944.01 6733015.93 36.245, -35943.95 6733016 36.245, -35943.88 6733016.08 36.245, -35943.81 6733016.16 36.235, -35943.75 6733016.23 36.235, -35943.68 6733016.3 36.235, -35943.61 6733016.38 36.235, -35943.54 6733016.46 36.235, -35943.47 6733016.53 36.235, -35943.41 6733016.6 36.235, -35943.34 6733016.68 36.225, -35943.28 6733016.75 36.225, -35943.21 6733016.82 36.225, -35943.14 6733016.9 36.225, -35943.08 6733016.98 36.225, -35943.01 6733017.05 36.225, -35942.94 6733017.12 36.225, -35942.86 6733017.19 36.215, -35942.8 6733017.28 36.215, -35942.74 6733017.35 36.215, -35942.68 6733017.43 36.215, -35942.61 6733017.5 36.215, -35942.55 6733017.58 36.215, -35942.49 6733017.66 36.215, -35942.43 6733017.74 36.215, -35942.35 6733017.81 36.215, -35942.29 6733017.89 36.225, -35942.23 6733017.97 36.225, -35942.17 6733018.05 36.225, -35942.11 6733018.13 36.225, -35942.06 6733018.22 36.225, -35941.99 6733018.3 36.225, -35941.94 6733018.38 36.225, -35941.89 6733018.47 36.225, -35941.84 6733018.55 36.225, -35941.8 6733018.64 36.225, -35941.74 6733018.73 36.225, -35941.7 6733018.82 36.225, -35941.66 6733018.91 36.225, -35941.62 6733019 36.225, -35941.57 6733019.09 36.235, -35941.53 6733019.18 36.235, -35941.5 6733019.27 36.235, -35941.45 6733019.37 36.235, -35941.42 6733019.47 36.235, -35941.39 6733019.55 36.235, -35941.36 6733019.65 36.235, -35941.33 6733019.75 36.235, -35941.31 6733019.84 36.235, -35941.28 6733019.94 36.235, -35941.26 6733020.04 36.235, -35941.24 6733020.14 36.235, -35941.21 6733020.24 36.235, -35941.2 6733020.34 36.245, -35941.18 6733020.43 36.245, -35941.16 6733020.53 36.245, -35941.15 6733020.63 36.245, -35941.14 6733020.73 36.245, -35941.13 6733020.83 36.245, -35941.13 6733020.93 36.245, -35941.12 6733021.03 36.245, -35941.12 6733021.14 36.245, -35941.12 6733021.24 36.245, -35941.12 6733021.34 36.245, -35941.12 6733021.43 36.245, -35941.13 6733021.53 36.255, -35941.13 6733021.63 36.255, -35941.14 6733021.74 36.255, -35941.15 6733021.84 36.255, -35941.16 6733021.93 36.255, -35941.18 6733022.03 36.255, -35941.19 6733022.13 36.255, -35941.21 6733022.23 36.255, -35941.23 6733022.32 36.255, -35941.25 6733022.43 36.255, -35941.27 6733022.52 36.255, -35941.29 6733022.62 36.255, -35941.32 6733022.72 36.255, -35941.35 6733022.82 36.245, -35941.38 6733022.91 36.245, -35941.41 6733023.01 36.245, -35941.45 6733023.1 36.245, -35941.49 6733023.19 36.245, -35941.51 6733023.28 36.245, -35941.56 6733023.38 36.245, -35941.6 6733023.47 36.235, -35941.64 6733023.57 36.235, -35941.69 6733023.65 36.235, -35941.73 6733023.74 36.235, -35941.8 6733023.82 36.235, -35941.87 6733023.88 36.235, -35941.95 6733023.95 36.225, -35942.02 6733024.01 36.225, -35942.09 6733024.07 36.225, -35942.18 6733024.15 36.225, -35942.25 6733024.21 36.215, -35942.33 6733024.28 36.215, -35942.4 6733024.34 36.215, -35942.47 6733024.41 36.215, -35942.56 6733024.47 36.205, -35942.63 6733024.53 36.205, -35942.71 6733024.6 36.205, -35942.78 6733024.66 36.205, -35942.85 6733024.73 36.195, -35942.94 6733024.8 36.195, -35943.01 6733024.87 36.195, -35943.09 6733024.93 36.195, -35943.16 6733024.99 36.185, -35943.24 6733025.06 36.185, -35943.32 6733025.12 36.185, -35943.39 6733025.19 36.185, -35943.47 6733025.25 36.175, -35943.54 6733025.32 36.175, -35943.62 6733025.39 36.175, -35943.7 6733025.45 36.175, -35943.77 6733025.52 36.165, -35943.85 6733025.58 36.165, -35943.92 6733025.65 36.165, -35944 6733025.71 36.165, -35944.08 6733025.78 36.155, -35944.15 6733025.84 36.155, -35944.23 6733025.9 36.155, -35944.3 6733025.98 36.155, -35944.38 6733026.04 36.145, -35944.46 6733026.11 36.145, -35944.53 6733026.17 36.145, -35943.89 6733025.61 36.885, -35945.19 6733024.83 37.055, -35950.51 6733018 37.445, -35955.82 6733011.99 37.745, -35960.5 6733007.53 38.085, -35964.79 6733003.8 38.325, -35970.78 6733000.01 38.685, -35971.75 6732998.4 38.475, -35973.21 6732997.32 38.425, -35973.23 6732995.43 37.465, -35974.08 6732994.86 37.265, -35974.72 6732996.83 38.645, -35978.98 6732995.82 39.305, -35983.08 6732994.71 39.415, -35987.61 6732993.29 39.635, -35989.91 6732992.28 39.625, -35990.36 6732990.32 39.055, -35988.8 6732989.02 38.165, -35988.13 6732989.07 37.995, -35986.7 6732990.42 38.995, -35983.52 6732990.57 39.035, -35981.12 6732992.08 39.065, -35980.26 6732989.86 36.265, -35980.89 6732989.03 35.975, -35980.81 6732989.08 36.265)</t>
  </si>
  <si>
    <t>2015-07-22</t>
  </si>
  <si>
    <t>2025-11-22T09:12:59Z</t>
  </si>
  <si>
    <t>[1504]</t>
  </si>
  <si>
    <t>['FV1504 S1D1 m41-175', 'FV1504 S1D1 m107 KD1 m38-63']</t>
  </si>
  <si>
    <t>LINESTRING Z (277474.775878906 6651423.37402344 -999999, 277493.810546875 6651399.78759766 -999999, 277480.320800781 6651389.44238281 -999999, 277476.265380859 6651392.00805664 -999999, 277472.955078125 6651394.98730469 -999999, 277465.754882813 6651403.76000977 -999999, 277462.775634766 6651408.31176758 -999999, 277455.989257813 6651421.01538086 -999999, 277445.975341797 6651440.21582031 -999999, 277436.209716797 6651456.47802734 -999999, 277434.719970703 6651460.94702149 -999999, 277430.499267578 6651477.41625977 -999999, 277429.671630859 6651476.17504883 -999999, 277429.671630859 6651474.68530273 -999999, 277431.243896484 6651466.07836914 -999999, 277434.306152344 6651456.14697266 -999999, 277443.740722656 6651439.84326172 -999999, 277451.851318359 6651424.69824219 -999999, 277462.941162109 6651404.71166992 -999999, 277469.562011719 6651395.69091797 -999999, 277479.162109375 6651387.82861328 -999999, 277485.700195313 6651383.69067383 -999999, 277505.314208984 6651365.64892578 -999999, 277506.803955078 6651367.46972656 -999999, 277499.272705078 6651374.0078125 -999999, 277487.189697266 6651384.76660156 -999999, 277481.313720703 6651388.73901367 -999999, 277480.320800781 6651389.44238281 -999999, 277493.810546875 6651399.78759766 -999999, 277494.638183594 6651398.75292969 -999999, 277505.810791016 6651385.18041992 -999999, 277511.272949219 6651378.39404297 -999999, 277511.024658203 6651376.65600586 -999999, 277510.610839844 6651375.49755859 -999999, 277507.879882812 6651372.68359375 -999999, 277507.631591797 6651372.10424805 -999999, 277507.383300781 6651371.27661133 -999999, 277507.466064453 6651370.28344727 -999999, 277508.541748047 6651368.62841797 -999999, 277509.369384766 6651366.76635742 -999999, 277508.872802734 6651364.94555664 -999999, 277508.376220703 6651363.53857422 -999999, 277507.383300781 6651362.62817383 -999999, 277506.88671875 6651362.46264648 -999999, 277489.755371094 6651377.52514648 -999999, 277490.9140625 6651378.76635742 -999999, 277487.355224609 6651381.74584961 -999999, 277486.610351562 6651380.50439453 -999999, 277483.465576172 6651382.98730469 -999999, 277483.217285156 6651382.98730469 -999999, 277481.975830078 6651381.16650391 -999999, 277478.168945313 6651383.73217774 -999999, 277471.961914062 6651387.66308594 -999999, 277465.092773438 6651395.93920899 -999999, 277460.458251953 6651402.47729492 -999999, 277453.754638672 6651414.31176758 -999999, 277448.375244141 6651423.91210938 -999999, 277441.423583984 6651437.27783203 -999999, 277438.361328125 6651443.15380859 -999999, 277431.906005859 6651453.66430664 -999999, 277423.878417969 6651468.43701172 -999999, 277422.057617188 6651472.98876953 -999999, 277421.892089844 6651474.7265625 -999999, 277422.223144531 6651476.96118164 -999999, 277423.961181641 6651479.52685547 -999999, 277425.698974609 6651481.01635742 -999999, 277431.657714844 6651482.42333984 -999999, 277434.802734375 6651482.8371582 -999999, 277436.788818359 6651482.75439453 -999999, 277438.195800781 6651482.42333984 -999999, 277440.595947266 6651479.19580078 -999999, 277443.90625 6651472.16113281 -999999, 277444.899414063 6651469.76098633 -999999, 277451.354736328 6651458.42285156 -999999, 277459.713378906 6651444.51928711 -999999, 277461.865234375 6651441.0847168 -999999, 277465.589355469 6651435.37426758 -999999, 277472.044677734 6651427.18115234 -999999, 277474.775878906 6651423.37402344 -999999)</t>
  </si>
  <si>
    <t>[1504, 1516]</t>
  </si>
  <si>
    <t>['FV1504 S1D1 m0-34', 'FV1516 S1D1 m4590 KD1 m7-29', 'FV1516 S1D1 m4590-4618']</t>
  </si>
  <si>
    <t>LINESTRING Z (277423.133544922 6651546.97607422 -999999, 277423.795654297 6651545.07275391 -999999, 277425.450927734 6651539.94165039 -999999, 277428.099121094 6651529.59667969 -999999, 277431.823242188 6651514.36865234 -999999, 277433.478515625 6651506.83764648 -999999, 277434.140625 6651501.95483398 -999999, 277434.719970703 6651498.47875977 -999999, 277433.892333984 6651497.40283203 -999999, 277428.430175781 6651492.76831055 -999999, 277423.961181641 6651488.96142578 -999999, 277422.140380859 6651487.88549805 -999999, 277421.064453125 6651487.30615234 -999999, 277419.823242187 6651487.22338867 -999999, 277417.505859375 6651487.7199707 -999999, 277414.857421875 6651489.04418945 -999999, 277413.367919922 6651490.45117187 -999999, 277409.3125 6651499.80297852 -999999, 277406.333251953 6651507.99609375 -999999, 277406.084960938 6651508.7409668 -999999, 277409.064453125 6651509.40307617 -999999, 277409.146972656 6651508.82373047 -999999, 277413.781738281 6651496.32714844 -999999, 277417.340332031 6651490.20288086 -999999, 277419.326660156 6651490.28564453 -999999, 277416.181640625 6651497.65112305 -999999, 277412.457519531 6651506.5065918 -999999, 277409.726318359 6651514.86523438 -999999, 277406.995361328 6651529.34838867 -999999, 277405.671142578 6651541.8449707 -999999, 277405.75390625 6651546.81054688 -999999, 277404.015869141 6651547.55541992 -999999, 277403.105712891 6651544.07958984 -999999, 277403.271240234 6651539.6105957 -999999, 277404.926269531 6651527.94140625 -999999, 277407.078125 6651515.69287109 -999999, 277409.064453125 6651509.40307617 -999999, 277406.084960938 6651508.7409668 -999999, 277404.264160156 6651514.53417969 -999999, 277402.360839844 6651523.30688477 -999999, 277400.87109375 6651533.40356445 -999999, 277400.457275391 6651540.27270508 -999999, 277400.705566406 6651549.12792969 -999999, 277401.036621094 6651552.02441406 -999999, 277402.112548828 6651552.27270508 -999999, 277403.188476563 6651552.27270508 -999999, 277406.250488281 6651551.69335938 -999999, 277416.016113281 6651550.36938477 -999999, 277420.236816406 6651549.54174805 -999999, 277421.7265625 6651549.12792969 -999999, 277422.554199219 6651548.54858399 -999999, 277423.133544922 6651546.97607422 -999999)</t>
  </si>
  <si>
    <t>['FV1504 S1D1 m170-272']</t>
  </si>
  <si>
    <t>LINESTRING Z (277517.314453125 6651369.91113281 -999999, 277531.218017578 6651351.12451172 -999999, 277543.218261719 6651335.48291016 -999999, 277545.866699219 6651331.8828125 -999999, 277537.176757812 6651333.82788086 -999999, 277538.087158203 6651335.31738281 -999999, 277524.762695313 6651347.97973633 -999999, 277518.555908203 6651354.02124023 -999999, 277514.00390625 6651359.48339844 -999999, 277511.355712891 6651359.64892578 -999999, 277511.024658203 6651359.15234375 -999999, 277515.493652344 6651354.18676758 -999999, 277522.693847656 6651346.82104492 -999999, 277530.307617188 6651339.62109375 -999999, 277537.176757812 6651333.82788086 -999999, 277545.866699219 6651331.8828125 -999999, 277550.749511719 6651325.67602539 -999999, 277556.625488281 6651317.73095703 -999999, 277561.756591797 6651310.61352539 -999999, 277566.722167969 6651302.33764648 -999999, 277572.846435547 6651290.7512207 -999999, 277573.549804688 6651289.09594727 -999999, 277573.715332031 6651287.89599609 -999999, 277573.260253906 6651287.10986328 -999999, 277571.480957031 6651286.32348633 -999999, 277567.384277344 6651294.55810547 -999999, 277559.273681641 6651308.95849609 -999999, 277554.473632813 6651315.49633789 -999999, 277551.577148438 6651318.64135742 -999999, 277538.583740234 6651329.89672852 -999999, 277529.06640625 6651337.84155273 -999999, 277516.735107422 6651347.77294922 -999999, 277512.266113281 6651351.49707031 -999999, 277513.424804688 6651353.31787109 -999999, 277513.342041016 6651353.64868164 -999999, 277510.114257813 6651357.95239258 -999999, 277509.534912109 6651359.11083984 -999999, 277509.369384766 6651359.60742188 -999999, 277509.369384766 6651360.18676758 -999999, 277509.948730469 6651361.09716797 -999999, 277512.266113281 6651364.73852539 -999999, 277512.266113281 6651365.56616211 -999999, 277512.266113281 6651366.39379883 -999999, 277512.100585938 6651367.38696289 -999999, 277510.941894531 6651369.08349609 -999999, 277510.279785156 6651370.2421875 -999999, 277510.4453125 6651371.06982422 -999999, 277510.941894531 6651371.98022461 -999999, 277511.686767578 6651372.89038086 -999999, 277512.845458984 6651373.63525391 -999999, 277514.748779297 6651373.63525391 -999999, 277517.314453125 6651369.91113281 -999999)</t>
  </si>
  <si>
    <t>2015-09-29</t>
  </si>
  <si>
    <t>['EV18 S1D1 m6041-6086', 'EV18 S1D1 m5912 KD3 m0-102']</t>
  </si>
  <si>
    <t>LINESTRING Z (89757.94 6468014.49 9.767, 89758.71 6468014.5 9.767, 89775.01 6468016.7 10.127, 89781.65 6468017.52 10.317, 89790.48 6468018.6 10.507, 89791.08 6468018.47 10.517, 89791.84 6468017.49 10.477, 89792.07 6468016.34 10.397, 89792.11 6468016.17 10.407, 89792.07 6468016.34 10.407, 89792.11 6468016.17 10.397, 89787.04 6468014.99 10.407, 89782.84 6468013.63 10.067, 89784.14 6468008.47 10.027, 89786.48 6468001.15 9.937, 89787.92 6467999.82 9.927, 89794.12 6468001.22 9.887, 89796.04 6468001.89 9.777, 89796.27 6468001.69 9.617, 89798.85 6467999.71 9.527, 89802.31 6467998.02 9.297, 89807.6 6467997.68 9.007, 89814.48 6467998.24 8.667, 89820.88 6467999.54 8.477, 89820.65 6467999.86 8.517, 89821.02 6467999.53 8.477, 89821.39 6467998.39 8.457, 89821.94 6467995.94 8.407, 89821.11 6467995.69 8.297, 89820.17 6467995.26 8.217, 89817.58 6467994.53 8.127, 89812.83 6467992.56 8.077, 89805.45 6467989.58 8.037, 89797.99 6467987.22 8.067, 89790.94 6467985.12 8.037, 89785.29 6467983.69 -0.083, 89780.73 6467981.33 -0.083, 89776.16 6467979.43 -0.083, 89775.59 6467979.27 -0.083, 89771.25 6467977.94 -0.083, 89761.58 6467975.27 -0.083, 89751.89 6467972.56 -0.083, 89742.12 6467969.79 -0.083, 89739.84 6467969.35 -0.083, 89731.39 6467967.69 -0.083, 89727.35 6467966.98 -0.083, 89725.76 6467966.68 -0.083, 89721.76 6467966.38 -0.083, 89719.04 6467966.56 -0.083, 89715.06 6467967.4 -0.083, 89710.21 6467969.46 -0.083, 89706.88 6467971.69 -0.083, 89704.18 6467974.38 -0.083, 89702.19 6467978.06 -0.083, 89700.97 6467981.78 -0.083, 89700.67 6467985.67 -0.083, 89700.69 6467988.68 -0.083, 89701.05 6467991.66 -0.083, 89701.93 6467995.55 -0.083, 89702.77 6467998.22 -0.083, 89703.29 6467999.45 -0.083, 89703.79 6468000.91 -0.083, 89704.77 6468002.85 -0.083, 89706.13 6468004.2 -0.083, 89707.3 6468004.98 -0.083, 89709.04 6468005.97 -0.083, 89710.57 6468006.58 -0.083, 89714.54 6468007.66 -0.083, 89729.04 6468011.27 -0.083, 89741.16 6468013.02 -0.083, 89757.94 6468014.49 9.767)</t>
  </si>
  <si>
    <t>2025-11-22T09:13:06Z</t>
  </si>
  <si>
    <t>[174]</t>
  </si>
  <si>
    <t>['FV174 S2D140 m86-233', 'FV174 S2D140 m233-236']</t>
  </si>
  <si>
    <t>LINESTRING Z (288403.172119141 6673372.25170898 -999999, 288404.23046875 6673350.99682617 -999999, 288405.817993164 6673334.94543457 -999999, 288407.317260742 6673323.74475098 -999999, 288407.581787109 6673321.45178223 -999999, 288407.405395508 6673319.68786621 -999999, 288406.611694336 6673318.1003418 -999999, 288405.90612793 6673316.16003418 -999999, 288404.406860352 6673313.69067383 -999999, 288403.524902344 6673312.72045899 -999999, 288403.613037109 6673317.30664063 -999999, 288403.260253906 6673326.7434082 -999999, 288402.55480957 6673338.1204834 -999999, 288401.320068359 6673352.40795899 -999999, 288400.26171875 6673370.13500977 -999999, 288399.467895508 6673390.90490723 -999999, 288398.938842773 6673411.98327637 -999999, 288397.792236328 6673440.77880859 -999999, 288396.998535156 6673458.41772461 -999999, 288396.822143555 6673461.19580078 -999999, 288396.91027832 6673462.07775879 -999999, 288397.439453125 6673462.51879883 -999999, 288399.732543945 6673462.87158203 -999999, 288400.614501953 6673451.7590332 -999999, 288401.760986328 6673422.52258301 -999999, 288402.819335938 6673388.4354248 -999999, 288403.260253906 6673369.82641602 -999999, 288403.172119141 6673372.25170898 -999999)</t>
  </si>
  <si>
    <t>2015-10-07</t>
  </si>
  <si>
    <t>[97880]</t>
  </si>
  <si>
    <t>['PV97880 S1D1 m43-198']</t>
  </si>
  <si>
    <t>LINESTRING Z (293167.61 6704244.64 -999999, 293166.81 6704245.39 -999999, 293165.97 6704246.19 -999999, 293165.27 6704247.2 -999999, 293164.56 6704248.24 -999999, 293163.48 6704249.81 -999999, 293162.76 6704250.85 -999999, 293162.7 6704250.93 -999999, 293161.9 6704252 -999999, 293161.69 6704252.29 -999999, 293161.58 6704252.44 -999999, 293161.08 6704253.12 -999999, 293160.32 6704254.15 -999999, 293159.56 6704254.93 -999999, 293158.3 6704256.21 -999999, 293158.09 6704256.31 -999999, 293157.45 6704256.61 -999999, 293157.27 6704256.69 -999999, 293156.97 6704256.83 -999999, 293155.85 6704257.34 -999999, 293155.26 6704257.62 -999999, 293155.09 6704257.69 -999999, 293154.2 6704257.87 -999999, 293151.76 6704258.35 -999999, 293150.95 6704258.51 -999999, 293149.12 6704259.18 -999999, 293148.5 6704259.41 -999999, 293148.32 6704259.48 -999999, 293147.98 6704259.6 -999999, 293145.83 6704260.39 -999999, 293144.8 6704260.93 -999999, 293143.09 6704261.81 -999999, 293142.93 6704261.98 -999999, 293142.79 6704262.11 -999999, 293142.43 6704262.46 -999999, 293142.09 6704262.79 -999999, 293139.81 6704265.02 -999999, 293138.96 6704265.85 -999999, 293138.34 6704266.46 -999999, 293137.95 6704266.84 -999999, 293137.37 6704267.41 -999999, 293137.22 6704267.55 -999999, 293136.77 6704268 -999999, 293136.59 6704268.18 -999999, 293136.33 6704268.43 -999999, 293135.34 6704269.42 -999999, 293134.11 6704270.64 -999999, 293133.96 6704270.98 -999999, 293133.53 6704271.95 -999999, 293133.23 6704272.61 -999999, 293133.27 6704273.71 -999999, 293133.29 6704274.04 -999999, 293133.3 6704274.36 -999999, 293133.31 6704274.75 -999999, 293133.37 6704276.19 -999999, 293133.29 6704276.56 -999999, 293133.07 6704277.58 -999999, 293132.94 6704278.22 -999999, 293132.61 6704279.76 -999999, 293132.34 6704281.03 -999999, 293132.16 6704281.88 -999999, 293132.12 6704282.08 -999999, 293131.98 6704282.62 -999999, 293131.53 6704284.48 -999999, 293131.32 6704285.37 -999999, 293131.76 6704286.2 -999999, 293133.24 6704289.25 -999999, 293135.09 6704293.56 -999999, 293136 6704296.29 -999999, 293136.71 6704298.4 -999999, 293137.14 6704299.66 -999999, 293137.9 6704302.93 -999999, 293138.52 6704306.02 -999999, 293139.18 6704309.44 -999999, 293139.45 6704312.76 -999999, 293139.52 6704314.4 -999999, 293143.39 6704312.97 -999999, 293154.52 6704305.32 -999999, 293155.87 6704325.36 -999999, 293161.03 6704331.06 -999999, 293168.4 6704329.17 -999999, 293175.17 6704302.12 -999999, 293192.03 6704285.55 -999999, 293212.78 6704261.49 -999999, 293208.67 6704257.95 -999999, 293217.22 6704243.33 -999999, 293205.39 6704229.26 -999999, 293196.39 6704223.62 -999999, 293194.11 6704221.93 -999999, 293180.73 6704217.09 -999999, 293169.48 6704229.57 -999999, 293162.83 6704242.12 -999999, 293167.61 6704244.64 -999999, 293166.81 6704245.39 -999999, 293165.97 6704246.19 -999999)</t>
  </si>
  <si>
    <t>[1508]</t>
  </si>
  <si>
    <t>['FV1508 S1D1 m575-616']</t>
  </si>
  <si>
    <t>LINESTRING Z (280019.38684082 6651190.171875 -999999, 280021.150695801 6651188.67260742 -999999, 280022.561828613 6651186.203125 -999999, 280023.135070801 6651185.32104492 -999999, 280024.237548828 6651182.76342773 -999999, 280024.766723633 6651179.58862305 -999999, 280024.854858398 6651176.76635742 -999999, 280024.325683594 6651173.41479492 -999999, 280021.415283203 6651166.359375 -999999, 280019.38684082 6651161.06762695 -999999, 280017.799316406 6651156.39331055 -999999, 280016.829162598 6651150.74902344 -999999, 280015.682678223 6651144.66357422 -999999, 280015.32989502 6651139.63647461 -999999, 280015.065307617 6651135.22680664 -999999, 280013.742370605 6651134.43286133 -999999, 280012.066711426 6651134.9621582 -999999, 280009.773620605 6651136.90234375 -999999, 280008.450744629 6651143.07592773 -999999, 280004.834777832 6651156.83422852 -999999, 280001.130554199 6651168.56420898 -999999, 279999.807678223 6651173.76757813 -999999, 279999.366699219 6651177.82470703 -999999, 279999.102111816 6651184.35107422 -999999, 279999.190307617 6651185.67382813 -999999, 279999.38873291 6651186.33544922 -999999, 279999.807678223 6651186.99682617 -999999, 280000.579345703 6651187.39379883 -999999, 280001.483337402 6651187.61425781 -999999, 280002.982666016 6651187.70239258 -999999, 280003.005432129 6651186.43994141 -999999, 280002.710571289 6651181.77197266 -999999, 280003.201965332 6651180.6418457 -999999, 280009.024536133 6651180.17504883 -999999, 280009.442138672 6651180.6418457 -999999, 280009.46673584 6651181.37890625 -999999, 280009.491271973 6651186.390625 -999999, 280009.098205566 6651186.51342773 -999999, 280008.606872559 6651186.43994141 -999999, 280008.361206055 6651181.47705078 -999999, 280003.791564941 6651181.87036133 -999999, 280003.889831543 6651186.53808594 -999999, 280003.545898438 6651186.68554688 -999999, 280003.005432129 6651186.43994141 -999999, 280002.982666016 6651187.70239258 -999999, 280004.371704102 6651187.70239258 -999999, 280006.223815918 6651187.68041992 -999999, 280009.200378418 6651187.87890625 -999999, 280011.052429199 6651188.25366211 -999999, 280012.992736816 6651188.62841797 -999999, 280013.004516602 6651188.0859375 -999999, 280011.702392578 6651187.79101562 -999999, 280011.014526367 6651187.34887695 -999999, 280010.670532227 6651186.68554688 -999999, 280010.670532227 6651186.34155274 -999999, 280011.063659668 6651185.99755859 -999999, 280012.635986328 6651185.70288086 -999999, 280013.54498291 6651185.65356445 -999999, 280014.576843262 6651185.72729492 -999999, 280015.387573242 6651185.85009766 -999999, 280016.64050293 6651186.31689453 -999999, 280016.910766602 6651186.66088867 -999999, 280016.959899902 6651187.20141602 -999999, 280016.321166992 6651188.01220703 -999999, 280015.485839844 6651188.2578125 -999999, 280014.429443359 6651188.2578125 -999999, 280013.004516602 6651188.0859375 -999999, 280012.992736816 6651188.62841797 -999999, 280018.328491211 6651190.39233398 -999999, 280018.54901123 6651190.171875 -999999, 280019.276611328 6651190.37036133 -999999, 280019.38684082 6651190.171875 -999999)</t>
  </si>
  <si>
    <t>2023-08-22</t>
  </si>
  <si>
    <t>2025-11-22T09:13:22Z</t>
  </si>
  <si>
    <t>['FV42 S1D1 m7293-7309', 'FV42 S1D1 m7326-7340']</t>
  </si>
  <si>
    <t>LINESTRING Z (130030.99548938213 6502392.885537867 -0.0461521595716476, 130084.43924570852 6502362.716138976 -0.0462061502039433, 130178.10295539611 6502449.240451646 -0.0464283861219883, 130158.52129847865 6502491.5757533675 -0.0464371927082539, 130136.5620713972 6502504.5385341635 -0.0464152656495571, 130067.50346658227 6502471.201206691 -0.0462788306176662, 130054.80896276014 6502446.068216968 -0.0462366081774235, 130030.99548938213 6502392.885537867 -0.0461521595716476)</t>
  </si>
  <si>
    <t>2025-11-22T09:13:29Z</t>
  </si>
  <si>
    <t>[90029]</t>
  </si>
  <si>
    <t>['KV90029 S1D1 m150-169']</t>
  </si>
  <si>
    <t>LINESTRING Z (268741.819946289 7033103.72853982 -999999, 268752.400756836 7033103.48596191 -999999, 268733.035910332 7033106.36995449 -999999)</t>
  </si>
  <si>
    <t>POLYGON Z ((268741.819946289 7033103.72853982 -999999, 268752.400756836 7033103.48596191 -999999, 268733.035910332 7033106.36995449 -999999, 268741.819946289 7033103.72853982 -999999))</t>
  </si>
  <si>
    <t>2016-06-01</t>
  </si>
  <si>
    <t>2025-11-22T09:13:47Z</t>
  </si>
  <si>
    <t>['FV1603 S1D100 m64-84']</t>
  </si>
  <si>
    <t>LINESTRING Z (279125.176025391 6673333.41796875 195.326, 279125.895996094 6673332.85498047 195.252, 279126.66394043 6673332.42004395 195.226, 279127.692993164 6673331.88098145 195.164, 279128.732055664 6673331.28405762 195.128, 279129.998046875 6673330.73596191 195.076, 279130.293945313 6673330.5670166 195.084, 279129.817016602 6673331.62097168 195.079, 279128.555053711 6673334.03405762 195.107, 279126.78894043 6673337.68200684 195.185, 279125.296020508 6673340.96203613 195.262, 279123.406005859 6673345.22302246 195.379, 279121.907958984 6673348.80603027 195.49, 279121.135986328 6673348.2409668 195.459, 279120.04699707 6673344.55297852 195.481)</t>
  </si>
  <si>
    <t>POLYGON Z ((279125.176025391 6673333.41796875 195.326, 279125.895996094 6673332.85498047 195.252, 279126.66394043 6673332.42004395 195.226, 279127.692993164 6673331.88098145 195.164, 279128.732055664 6673331.28405762 195.128, 279129.998046875 6673330.73596191 195.076, 279130.293945313 6673330.5670166 195.084, 279129.817016602 6673331.62097168 195.079, 279128.555053711 6673334.03405762 195.107, 279126.78894043 6673337.68200684 195.185, 279125.296020508 6673340.96203613 195.262, 279123.406005859 6673345.22302246 195.379, 279121.907958984 6673348.80603027 195.49, 279121.135986328 6673348.2409668 195.459, 279120.04699707 6673344.55297852 195.481, 279125.176025391 6673333.41796875 195.326))</t>
  </si>
  <si>
    <t>2016-06-27</t>
  </si>
  <si>
    <t>['FV175 S3D1 m8649 KD1 m37-73']</t>
  </si>
  <si>
    <t>LINESTRING Z (303541.76550293 6670294.19433594 -999999, 303539.501464844 6670296.62207031 -999999, 303537.019287109 6670298.39501953 -999999, 303535.191650391 6670298.91333008 -999999, 303533.500366211 6670298.80419922 -999999, 303531.836425781 6670298.42236328 -999999, 303530.254394531 6670297.33129883 -999999, 303529.054199219 6670295.8581543 -999999, 303528.344970703 6670293.92163086 -999999, 303528.208496094 6670291.93017578 -999999, 303528.754150391 6670288.60229492 -999999, 303529.927001953 6670285.92919922 -999999, 303531.672851562 6670283.36499023 -999999, 303534.509643555 6670280.74633789 -999999, 303536.255493164 6670279.95532227 -999999, 303537.864868164 6670279.57348633 -999999, 303539.719726563 6670279.70996094 -999999, 303541.547363281 6670280.55541992 -999999, 303542.802124023 6670281.53735352 -999999, 303543.647705078 6670282.79223633 -999999, 303544.247802734 6670284.23803711 -999999, 303544.547851562 6670286.31103516 -999999, 303543.838623047 6670289.69360352 -999999, 303543.047607422 6670291.57568359 -999999, 303538.110351563 6670291.61645508 -999999, 303538.164916992 6670290.41625977 -999999, 303537.892089844 6670289.27075195 -999999, 303537.291992188 6670288.71142578 -999999, 303536.637329102 6670288.24780273 -999999, 303535.2734375 6670288.125 -999999, 303534.018676758 6670288.56152344 -999999, 303533.200317383 6670289.54345703 -999999, 303532.600219727 6670290.79833984 -999999, 303532.436645508 6670292.32568359 -999999, 303532.654785156 6670293.25317383 -999999, 303532.927612305 6670294.28979492 -999999, 303533.800415039 6670294.78076172 -999999, 303535.164306641 6670294.95800781 -999999, 303536.555541992 6670294.63085938 -999999, 303537.537475586 6670293.73046875 -999999, 303537.837524414 6670292.98046875 -999999, 303538.110351563 6670291.61645508 -999999, 303543.047607422 6670291.57568359 -999999, 303541.76550293 6670294.19433594 -999999)</t>
  </si>
  <si>
    <t>2016-10-03</t>
  </si>
  <si>
    <t>2025-11-22T09:13:52Z</t>
  </si>
  <si>
    <t>[7936]</t>
  </si>
  <si>
    <t>['FV7936 S1D1 m261 SD1 m3-110']</t>
  </si>
  <si>
    <t>LINESTRING Z (727622.040039062 7720342.7199707 10.113, 727622.430053711 7720344.57995606 10.153, 727622.189941406 7720346.80004883 10.163, 727621.229980469 7720348.76000977 10.133, 727619.790039062 7720350.41003418 10.133, 727617.280029297 7720352.43005371 10.163, 727612.949951172 7720355.66003418 10.173, 727608.729980469 7720358.75 10.103, 727606.770019531 7720359.66003418 10.003, 727604.510009766 7720360.02001953 10.053, 727602.5 7720359.9699707 10.013, 727601.300048828 7720359.66003418 10.033, 727599.5 7720358.72998047 10.053, 727596.810058594 7720356.92004395 10.063, 727594.540039063 7720354.66003418 10.063, 727593.209960937 7720353.0300293 10.033, 727592 7720351.22998047 10.023, 727591.280029297 7720349.33996582 10.063, 727590.75 7720347.18994141 10.023, 727590.430053711 7720345.68005371 9.963, 727589.760009766 7720341.31005859 9.953, 727588.939941406 7720335.93994141 9.893, 727588.530029297 7720332.54003906 9.863, 727588.430053711 7720330.44995117 9.783, 727588.530029297 7720328.31005859 9.753, 727588.849975586 7720327.2800293 9.763, 727589.199951172 7720326.27001953 9.823, 727589.790039062 7720325.23999024 9.843, 727590.670043945 7720324.07995605 9.823, 727591.619995117 7720323.01000977 9.923, 727592.469970703 7720322.38000488 9.913, 727595.130004883 7720320.93994141 9.833, 727598.130004883 7720319.38000488 9.823, 727601.239990234 7720317.79003906 9.883, 727603.040039063 7720317.26000977 9.903, 727604.030029297 7720317.08996582 9.883, 727605.199951172 7720317.0300293 9.793, 727606.319946289 7720317.19995117 9.843, 727607.689941406 7720317.63000488 9.853, 727608.869995117 7720318.2199707 9.913, 727609.609985352 7720318.67004395 9.953, 727610.459960938 7720319.18994141 10.023, 727610.880004883 7720319.63000488 10.013, 727611.420043945 7720320.30004883 9.993, 727613.479980469 7720325.10998535 9.993, 727614.939941406 7720328.52001953 10.033, 727616.260009766 7720331.42004395 10.083, 727618.069946289 7720335.16003418 10.113, 727619.859985352 7720338.48999023 10.133, 727621.08996582 7720340.88000488 10.163, 727622.040039062 7720342.7199707 10.113)</t>
  </si>
  <si>
    <t>POLYGON Z ((727622.040039062 7720342.7199707 10.113, 727622.430053711 7720344.57995606 10.153, 727622.189941406 7720346.80004883 10.163, 727621.229980469 7720348.76000977 10.133, 727619.790039062 7720350.41003418 10.133, 727617.280029297 7720352.43005371 10.163, 727612.949951172 7720355.66003418 10.173, 727608.729980469 7720358.75 10.103, 727606.770019531 7720359.66003418 10.003, 727604.510009766 7720360.02001953 10.053, 727602.5 7720359.9699707 10.013, 727601.300048828 7720359.66003418 10.033, 727599.5 7720358.72998047 10.053, 727596.810058594 7720356.92004395 10.063, 727594.540039063 7720354.66003418 10.063, 727593.209960937 7720353.0300293 10.033, 727592 7720351.22998047 10.023, 727591.280029297 7720349.33996582 10.063, 727590.75 7720347.18994141 10.023, 727590.430053711 7720345.68005371 9.963, 727589.760009766 7720341.31005859 9.953, 727588.939941406 7720335.93994141 9.893, 727588.530029297 7720332.54003906 9.863, 727588.430053711 7720330.44995117 9.783, 727588.530029297 7720328.31005859 9.753, 727588.849975586 7720327.2800293 9.763, 727589.199951172 7720326.27001953 9.823, 727589.790039062 7720325.23999024 9.843, 727590.670043945 7720324.07995605 9.823, 727591.619995117 7720323.01000977 9.923, 727592.469970703 7720322.38000488 9.913, 727595.130004883 7720320.93994141 9.833, 727598.130004883 7720319.38000488 9.823, 727601.239990234 7720317.79003906 9.883, 727603.040039063 7720317.26000977 9.903, 727604.030029297 7720317.08996582 9.883, 727605.199951172 7720317.0300293 9.793, 727606.319946289 7720317.19995117 9.843, 727607.689941406 7720317.63000488 9.853, 727608.869995117 7720318.2199707 9.913, 727609.609985352 7720318.67004395 9.953, 727610.459960938 7720319.18994141 10.023, 727610.880004883 7720319.63000488 10.013, 727611.420043945 7720320.30004883 9.993, 727613.479980469 7720325.10998535 9.993, 727614.939941406 7720328.52001953 10.033, 727616.260009766 7720331.42004395 10.083, 727618.069946289 7720335.16003418 10.113, 727619.859985352 7720338.48999023 10.133, 727621.08996582 7720340.88000488 10.163, 727622.040039062 7720342.7199707 10.113))</t>
  </si>
  <si>
    <t>2017-08-29</t>
  </si>
  <si>
    <t>2025-11-22T09:13:57Z</t>
  </si>
  <si>
    <t>[868]</t>
  </si>
  <si>
    <t>['FV868 S1D1 m8-18']</t>
  </si>
  <si>
    <t>LINESTRING Z (692882.929688 7690551.189941 23.114, 692882.070313 7690552.540039 23.064, 692881.209961 7690553.839844 22.994, 692880.280273 7690555.410156 22.904, 692879.419922 7690556.75 22.844, 692878.830078 7690557.640137 22.804, 692878.410156 7690557.859863 22.804, 692877.94043 7690557.540039 22.814, 692877.679688 7690556.879883 22.844, 692877.849609 7690555.799805 22.914, 692878.509766 7690553.700195 22.984, 692879.429688 7690551.339844 23.114, 692880.049805 7690549.939941 23.174, 692880.769531 7690548.890137 23.234, 692881.629883 7690547.930176 23.304, 692882.330078 7690547.509766 23.344, 692882.790039 7690547.620117 23.344, 692883.259766 7690548.080078 23.324, 692883.30957 7690549 23.264, 692883.160156 7690550.169922 23.174, 692882.929688 7690551.189941 23.114)</t>
  </si>
  <si>
    <t>POLYGON Z ((692882.929688 7690551.189941 23.114, 692882.070313 7690552.540039 23.064, 692881.209961 7690553.839844 22.994, 692880.280273 7690555.410156 22.904, 692879.419922 7690556.75 22.844, 692878.830078 7690557.640137 22.804, 692878.410156 7690557.859863 22.804, 692877.94043 7690557.540039 22.814, 692877.679688 7690556.879883 22.844, 692877.849609 7690555.799805 22.914, 692878.509766 7690553.700195 22.984, 692879.429688 7690551.339844 23.114, 692880.049805 7690549.939941 23.174, 692880.769531 7690548.890137 23.234, 692881.629883 7690547.930176 23.304, 692882.330078 7690547.509766 23.344, 692882.790039 7690547.620117 23.344, 692883.259766 7690548.080078 23.324, 692883.30957 7690549 23.264, 692883.160156 7690550.169922 23.174, 692882.929688 7690551.189941 23.114))</t>
  </si>
  <si>
    <t>2016-10-24</t>
  </si>
  <si>
    <t>2025-11-22T09:14:01Z</t>
  </si>
  <si>
    <t>['EV6 S204D1 m7782-7790']</t>
  </si>
  <si>
    <t>LINESTRING Z (818483.63 7784856.59 3.473, 818483.29 7784856.73 3.483, 818483.02 7784856.88 3.493, 818482.96 7784857.24 3.513, 818483.07 7784857.45 3.523, 818483.27 7784857.85 3.533, 818483.58 7784857.89 3.543, 818490.92 7784858.34 3.553, 818491.27 7784858.2 3.563, 818491.61 7784858.06 3.543, 818491.63 7784857.88 3.523, 818491.56 7784857.49 3.513, 818491.36 7784857.09 3.483, 818490.91 7784857.03 3.453, 818483.89 7784856.62 3.493)</t>
  </si>
  <si>
    <t>POLYGON Z ((818483.63 7784856.59 3.473, 818483.29 7784856.73 3.483, 818483.02 7784856.88 3.493, 818482.96 7784857.24 3.513, 818483.07 7784857.45 3.523, 818483.27 7784857.85 3.533, 818483.58 7784857.89 3.543, 818490.92 7784858.34 3.553, 818491.27 7784858.2 3.563, 818491.61 7784858.06 3.543, 818491.63 7784857.88 3.523, 818491.56 7784857.49 3.513, 818491.36 7784857.09 3.483, 818490.91 7784857.03 3.453, 818483.89 7784856.62 3.493, 818483.63 7784856.59 3.473))</t>
  </si>
  <si>
    <t>2025-11-22T09:14:05Z</t>
  </si>
  <si>
    <t>['EV6 S204D1 m7783-7841']</t>
  </si>
  <si>
    <t>LINESTRING Z (818485.8 7784853.5 3.453, 818543.04 7784857.65 3.533, 818543.05 7784857.08 3.523, 818542.92 7784856.69 3.523, 818542.65 7784856.28 3.523, 818542.33 7784856.23 3.533, 818541.45 7784856.11 3.533, 818486.73 7784852.32 3.533, 818486.2 7784852.43 3.523, 818485.43 7784852.89 3.443, 818485.19 7784853.23 3.453, 818485.42 7784853.45 3.463, 818485.74 7784853.49 3.433)</t>
  </si>
  <si>
    <t>POLYGON Z ((818485.8 7784853.5 3.453, 818543.04 7784857.65 3.533, 818543.05 7784857.08 3.523, 818542.92 7784856.69 3.523, 818542.65 7784856.28 3.523, 818542.33 7784856.23 3.533, 818541.45 7784856.11 3.533, 818486.73 7784852.32 3.533, 818486.2 7784852.43 3.523, 818485.43 7784852.89 3.443, 818485.19 7784853.23 3.453, 818485.42 7784853.45 3.463, 818485.74 7784853.49 3.433, 818485.8 7784853.5 3.453))</t>
  </si>
  <si>
    <t>['EV6 S201D1 m4178-4179']</t>
  </si>
  <si>
    <t>LINESTRING Z (802639.73 7797423.89 22.933, 802650.33 7797447.25 22.473, 802647.86 7797476.58 22.013, 802643.03 7797486.08 21.763, 802632.93 7797500.13 21.793, 802639.67 7797423.88 23.013)</t>
  </si>
  <si>
    <t>POLYGON Z ((802639.73 7797423.89 22.933, 802650.33 7797447.25 22.473, 802647.86 7797476.58 22.013, 802643.03 7797486.08 21.763, 802632.93 7797500.13 21.793, 802639.67 7797423.88 23.013, 802639.73 7797423.89 22.933))</t>
  </si>
  <si>
    <t>2016-10-31</t>
  </si>
  <si>
    <t>['EV6 S204D1 m1070-1071']</t>
  </si>
  <si>
    <t>LINESTRING Z (813197.75 7781648.12 60.369, 813231.06 7781697.52 59.169, 813225.15 7781701.22 59.139, 813199.48 7781663.38 60.059, 813190.89 7781653.58 60.619, 813197.81 7781648.13 60.369)</t>
  </si>
  <si>
    <t>['EV6 S204D1 m1176-1177']</t>
  </si>
  <si>
    <t>LINESTRING Z (813294.76 7781807.93 51.769, 813296.6 7781804.8 51.789, 813296.77 7781800.69 51.949, 813237.46 7781707.4 58.899, 813234.85 7781705.73 58.959, 813232.86 7781705.65 59.009, 813229.89 7781706.19 59.069, 813276.21 7781778.94 53.339, 813293.78 7781807.05 51.819, 813294.7 7781807.92 51.769)</t>
  </si>
  <si>
    <t>POLYGON Z ((813294.76 7781807.93 51.769, 813296.6 7781804.8 51.789, 813296.77 7781800.69 51.949, 813237.46 7781707.4 58.899, 813234.85 7781705.73 58.959, 813232.86 7781705.65 59.009, 813229.89 7781706.19 59.069, 813276.21 7781778.94 53.339, 813293.78 7781807.05 51.819, 813294.7 7781807.92 51.769, 813294.76 7781807.93 51.769))</t>
  </si>
  <si>
    <t>['EV6 S201D1 m11839-11889']</t>
  </si>
  <si>
    <t>LINESTRING Z (802274.65 7790781.24 15.275, 802274.33 7790781.3 15.255, 802273.48 7790782.17 15.245, 802272.98 7790782.97 15.245, 802272.85 7790783.53 15.255, 802274.44 7790784.59 15.365, 802282 7790789.5 16.065, 802289.73 7790794.4 16.625, 802298.12 7790799.78 17.265, 802302.39 7790802.3 17.595, 802306.21 7790804.3 17.855, 802307.16 7790804.69 17.915, 802316.37 7790808.48 18.545, 802316.67 7790807.99 18.565, 802311.74 7790804.88 18.205, 802305.27 7790800.8 17.715, 802297.68 7790795.97 17.095, 802291.26 7790791.86 16.605, 802282.99 7790786.62 15.935, 802277.9 7790783.42 15.475, 802274.65 7790781.24 15.275)</t>
  </si>
  <si>
    <t>POLYGON Z ((802274.65 7790781.24 15.275, 802274.33 7790781.3 15.255, 802273.48 7790782.17 15.245, 802272.98 7790782.97 15.245, 802272.85 7790783.53 15.255, 802274.44 7790784.59 15.365, 802282 7790789.5 16.065, 802289.73 7790794.4 16.625, 802298.12 7790799.78 17.265, 802302.39 7790802.3 17.595, 802306.21 7790804.3 17.855, 802307.16 7790804.69 17.915, 802316.37 7790808.48 18.545, 802316.67 7790807.99 18.565, 802311.74 7790804.88 18.205, 802305.27 7790800.8 17.715, 802297.68 7790795.97 17.095, 802291.26 7790791.86 16.605, 802282.99 7790786.62 15.935, 802277.9 7790783.42 15.475, 802274.65 7790781.24 15.275))</t>
  </si>
  <si>
    <t>['EV6 S201D1 m12640-12676']</t>
  </si>
  <si>
    <t>LINESTRING Z (802185.82 7790125.79 4.205, 802192.01 7790119.79 3.995, 802198.57 7790113.96 3.815, 802202.94 7790110.01 3.815, 802208.56 7790105.49 3.705, 802213.03 7790102.07 3.595, 802209.68 7790100.72 3.765, 802208.61 7790101.36 3.775, 802203.8 7790105.08 3.805, 802198.96 7790109.22 3.905, 802192.29 7790114.97 4.075, 802185.37 7790121.34 4.255, 802183.58 7790123.24 4.345, 802185.82 7790125.79 4.205)</t>
  </si>
  <si>
    <t>POLYGON Z ((802185.82 7790125.79 4.205, 802192.01 7790119.79 3.995, 802198.57 7790113.96 3.815, 802202.94 7790110.01 3.815, 802208.56 7790105.49 3.705, 802213.03 7790102.07 3.595, 802209.68 7790100.72 3.765, 802208.61 7790101.36 3.775, 802203.8 7790105.08 3.805, 802198.96 7790109.22 3.905, 802192.29 7790114.97 4.075, 802185.37 7790121.34 4.255, 802183.58 7790123.24 4.345, 802185.82 7790125.79 4.205))</t>
  </si>
  <si>
    <t>['EV6 S201D1 m12602-12637']</t>
  </si>
  <si>
    <t>LINESTRING Z (802157.95 7790152.25 5.675, 802158.78 7790152.83 5.635, 802159.36 7790153.14 5.605, 802160.39 7790153.26 5.555, 802160.84 7790153.07 5.535, 802161.15 7790153.27 5.535, 802165.47 7790147.73 5.275, 802167.09 7790145.82 5.205, 802173.52 7790138.35 4.825, 802176.62 7790134.9 4.615, 802182.2 7790129.18 4.355, 802183.56 7790127.98 4.305, 802182.45 7790126.78 4.355, 802181.79 7790126.18 4.395, 802181.01 7790125.78 4.445, 802178.97 7790127.65 4.515, 802174.57 7790132.25 4.735, 802168.18 7790139.24 5.125, 802165.01 7790143 5.265, 802159.97 7790149.26 5.505, 802158.58 7790151.17 5.615, 802157.95 7790152.25 5.675)</t>
  </si>
  <si>
    <t>POLYGON Z ((802157.95 7790152.25 5.675, 802158.78 7790152.83 5.635, 802159.36 7790153.14 5.605, 802160.39 7790153.26 5.555, 802160.84 7790153.07 5.535, 802161.15 7790153.27 5.535, 802165.47 7790147.73 5.275, 802167.09 7790145.82 5.205, 802173.52 7790138.35 4.825, 802176.62 7790134.9 4.615, 802182.2 7790129.18 4.355, 802183.56 7790127.98 4.305, 802182.45 7790126.78 4.355, 802181.79 7790126.18 4.395, 802181.01 7790125.78 4.445, 802178.97 7790127.65 4.515, 802174.57 7790132.25 4.735, 802168.18 7790139.24 5.125, 802165.01 7790143 5.265, 802159.97 7790149.26 5.505, 802158.58 7790151.17 5.615, 802157.95 7790152.25 5.675))</t>
  </si>
  <si>
    <t>['EV6 S201D1 m12573-12596']</t>
  </si>
  <si>
    <t>LINESTRING Z (802144.29 7790177.62 6.865, 802147.69 7790172.07 6.605, 802151.6 7790166.19 6.235, 802156.05 7790160.06 5.905, 802155.7 7790159.76 5.905, 802155.95 7790159.48 5.895, 802156.01 7790158.7 5.885, 802155.77 7790157.65 5.875, 802154.6 7790156.66 5.895, 802148.9 7790164.64 6.345, 802147.69 7790166.35 6.455, 802143 7790173.72 6.805, 802142.2 7790175.12 6.885, 802142.2 7790175.49 6.895, 802142.31 7790175.91 6.895, 802142.74 7790176.44 6.875, 802143.47 7790177.05 6.865, 802144.29 7790177.62 6.865)</t>
  </si>
  <si>
    <t>POLYGON Z ((802144.29 7790177.62 6.865, 802147.69 7790172.07 6.605, 802151.6 7790166.19 6.235, 802156.05 7790160.06 5.905, 802155.7 7790159.76 5.905, 802155.95 7790159.48 5.895, 802156.01 7790158.7 5.885, 802155.77 7790157.65 5.875, 802154.6 7790156.66 5.895, 802148.9 7790164.64 6.345, 802147.69 7790166.35 6.455, 802143 7790173.72 6.805, 802142.2 7790175.12 6.885, 802142.2 7790175.49 6.895, 802142.31 7790175.91 6.895, 802142.74 7790176.44 6.875, 802143.47 7790177.05 6.865, 802144.29 7790177.62 6.865))</t>
  </si>
  <si>
    <t>['EV6 S201D1 m12400-12570']</t>
  </si>
  <si>
    <t>LINESTRING Z (802096.08 7790336.81 8.315, 802097.07 7790332.28 8.375, 802098.99 7790322.48 8.475, 802100.87 7790312.77 8.615, 802102.65 7790303.57 8.715, 802104.36 7790294.49 8.885, 802106 7790285.94 8.995, 802107.93 7790276.13 9.115, 802109.69 7790267.81 9.215, 802111.82 7790258.49 9.215, 802114.05 7790249.29 9.135, 802116.63 7790239.82 9.055, 802118.26 7790234.53 8.965, 802121.04 7790226.27 8.795, 802124.31 7790217.7 8.605, 802127.33 7790210.19 8.345, 802130.76 7790202.75 8.105, 802135.05 7790194.14 7.715, 802137.26 7790189.84 7.515, 802141.92 7790181.53 7.055, 802142.64 7790180.28 7.005, 802141.23 7790179.47 7.055, 802140.85 7790179.36 7.065, 802140.18 7790179.36 7.095, 802139.63 7790179.55 7.125, 802138.22 7790181.68 7.215, 802134.25 7790188.83 7.605, 802132.43 7790192.11 7.765, 802129.06 7790198.74 8.055, 802125.52 7790206.14 8.335, 802122 7790214.35 8.595, 802118.45 7790223.6 8.835, 802115.93 7790230.76 8.985, 802113.38 7790239.05 9.185, 802111.54 7790245.5 9.245, 802109.53 7790253.57 9.285, 802107.27 7790263.07 9.315, 802106.54 7790266.22 9.315, 802104.71 7790275.7 9.195, 802102.96 7790284.93 9.035, 802101.4 7790292.66 8.945, 802099.4 7790302.47 8.825, 802097.84 7790310.2 8.685, 802096.01 7790319.82 8.605, 802094.13 7790329.48 8.465, 802092.61 7790337.34 8.325, 802091.66 7790342.18 8.285, 802092.14 7790342 8.285, 802092.82 7790341.59 8.275, 802093.72 7790340.81 8.275, 802094.42 7790340.04 8.275, 802095.35 7790338.59 8.295, 802095.78 7790337.62 8.305, 802096.08 7790336.81 8.315)</t>
  </si>
  <si>
    <t>POLYGON Z ((802096.08 7790336.81 8.315, 802097.07 7790332.28 8.375, 802098.99 7790322.48 8.475, 802100.87 7790312.77 8.615, 802102.65 7790303.57 8.715, 802104.36 7790294.49 8.885, 802106 7790285.94 8.995, 802107.93 7790276.13 9.115, 802109.69 7790267.81 9.215, 802111.82 7790258.49 9.215, 802114.05 7790249.29 9.135, 802116.63 7790239.82 9.055, 802118.26 7790234.53 8.965, 802121.04 7790226.27 8.795, 802124.31 7790217.7 8.605, 802127.33 7790210.19 8.345, 802130.76 7790202.75 8.105, 802135.05 7790194.14 7.715, 802137.26 7790189.84 7.515, 802141.92 7790181.53 7.055, 802142.64 7790180.28 7.005, 802141.23 7790179.47 7.055, 802140.85 7790179.36 7.065, 802140.18 7790179.36 7.095, 802139.63 7790179.55 7.125, 802138.22 7790181.68 7.215, 802134.25 7790188.83 7.605, 802132.43 7790192.11 7.765, 802129.06 7790198.74 8.055, 802125.52 7790206.14 8.335, 802122 7790214.35 8.595, 802118.45 7790223.6 8.835, 802115.93 7790230.76 8.985, 802113.38 7790239.05 9.185, 802111.54 7790245.5 9.245, 802109.53 7790253.57 9.285, 802107.27 7790263.07 9.315, 802106.54 7790266.22 9.315, 802104.71 7790275.7 9.195, 802102.96 7790284.93 9.035, 802101.4 7790292.66 8.945, 802099.4 7790302.47 8.825, 802097.84 7790310.2 8.685, 802096.01 7790319.82 8.605, 802094.13 7790329.48 8.465, 802092.61 7790337.34 8.325, 802091.66 7790342.18 8.285, 802092.14 7790342 8.285, 802092.82 7790341.59 8.275, 802093.72 7790340.81 8.275, 802094.42 7790340.04 8.275, 802095.35 7790338.59 8.295, 802095.78 7790337.62 8.305, 802096.08 7790336.81 8.315))</t>
  </si>
  <si>
    <t>['EV6 S201D1 m12382-12390']</t>
  </si>
  <si>
    <t>LINESTRING Z (802089.57 7790352.6 8.225, 802088.13 7790359.54 8.245, 802088.3 7790360 8.245, 802088.4 7790360.13 8.245, 802088.78 7790360.31 8.235, 802090.38 7790360.69 8.195, 802091.44 7790360.89 8.165, 802091.75 7790359.09 8.185, 802091.82 7790358.27 8.185, 802091.76 7790357.07 8.175, 802091.48 7790355.7 8.185, 802091.27 7790355.02 8.195, 802090.77 7790354.02 8.205, 802089.94 7790352.76 8.215, 802089.57 7790352.6 8.225)</t>
  </si>
  <si>
    <t>POLYGON Z ((802089.57 7790352.6 8.225, 802088.13 7790359.54 8.245, 802088.3 7790360 8.245, 802088.4 7790360.13 8.245, 802088.78 7790360.31 8.235, 802090.38 7790360.69 8.195, 802091.44 7790360.89 8.165, 802091.75 7790359.09 8.185, 802091.82 7790358.27 8.185, 802091.76 7790357.07 8.175, 802091.48 7790355.7 8.185, 802091.27 7790355.02 8.195, 802090.77 7790354.02 8.205, 802089.94 7790352.76 8.215, 802089.57 7790352.6 8.225))</t>
  </si>
  <si>
    <t>['EV6 S201D1 m12326-12379']</t>
  </si>
  <si>
    <t>LINESTRING Z (802077.61 7790415.79 8.585, 802079.28 7790415.85 8.445, 802079.8 7790415.6 8.405, 802080.32 7790415.14 8.365, 802080.47 7790414.85 8.365, 802080.8 7790414.91 8.355, 802082.38 7790406.94 8.315, 802083.88 7790399.31 8.265, 802085.74 7790389.89 8.205, 802087.26 7790382.12 8.165, 802089.2 7790372.37 8.165, 802090.92 7790363.45 8.135, 802088.12 7790363.12 8.235, 802087.44 7790363.29 8.255, 802085.94 7790371.22 8.425, 802084.81 7790377.12 8.515, 802084.97 7790377.56 8.485, 802085.01 7790378.08 8.475, 802084.7 7790378.43 8.505, 802084.5 7790378.82 8.505, 802082.99 7790386.68 8.565, 802081.47 7790394.61 8.565, 802079.72 7790403.45 8.605, 802078.69 7790408.62 8.575, 802077.56 7790414.89 8.595, 802077.61 7790415.79 8.585)</t>
  </si>
  <si>
    <t>POLYGON Z ((802077.61 7790415.79 8.585, 802079.28 7790415.85 8.445, 802079.8 7790415.6 8.405, 802080.32 7790415.14 8.365, 802080.47 7790414.85 8.365, 802080.8 7790414.91 8.355, 802082.38 7790406.94 8.315, 802083.88 7790399.31 8.265, 802085.74 7790389.89 8.205, 802087.26 7790382.12 8.165, 802089.2 7790372.37 8.165, 802090.92 7790363.45 8.135, 802088.12 7790363.12 8.235, 802087.44 7790363.29 8.255, 802085.94 7790371.22 8.425, 802084.81 7790377.12 8.515, 802084.97 7790377.56 8.485, 802085.01 7790378.08 8.475, 802084.7 7790378.43 8.505, 802084.5 7790378.82 8.505, 802082.99 7790386.68 8.565, 802081.47 7790394.61 8.565, 802079.72 7790403.45 8.605, 802078.69 7790408.62 8.575, 802077.56 7790414.89 8.595, 802077.61 7790415.79 8.585))</t>
  </si>
  <si>
    <t>['EV6 S201D1 m12294-12317']</t>
  </si>
  <si>
    <t>LINESTRING Z (802071.92 7790446.94 8.865, 802072.03 7790446.46 8.855, 802072.43 7790445.01 8.825, 802075.56 7790435.81 8.635, 802077.82 7790429.13 8.455, 802078.49 7790426.66 8.425, 802078.87 7790424.77 8.445, 802078.18 7790424.65 8.455, 802077.47 7790424.59 8.485, 802076.32 7790424.72 8.525, 802075.96 7790424.91 8.535, 802075.67 7790425.18 8.545, 802073.93 7790431.81 8.645, 802072.41 7790439.41 8.775, 802071.62 7790444.13 8.855, 802071.43 7790446.13 8.895, 802071.55 7790446.85 8.885, 802071.92 7790446.94 8.865)</t>
  </si>
  <si>
    <t>POLYGON Z ((802071.92 7790446.94 8.865, 802072.03 7790446.46 8.855, 802072.43 7790445.01 8.825, 802075.56 7790435.81 8.635, 802077.82 7790429.13 8.455, 802078.49 7790426.66 8.425, 802078.87 7790424.77 8.445, 802078.18 7790424.65 8.455, 802077.47 7790424.59 8.485, 802076.32 7790424.72 8.525, 802075.96 7790424.91 8.535, 802075.67 7790425.18 8.545, 802073.93 7790431.81 8.645, 802072.41 7790439.41 8.775, 802071.62 7790444.13 8.855, 802071.43 7790446.13 8.895, 802071.55 7790446.85 8.885, 802071.92 7790446.94 8.865))</t>
  </si>
  <si>
    <t>['EV6 S201D1 m12190-12211']</t>
  </si>
  <si>
    <t>LINESTRING Z (802085.21 7790547.43 8.225, 802082.06 7790538.18 8.375, 802080.21 7790531.93 8.485, 802080.12 7790531.57 8.485, 802079.75 7790531.7 8.515, 802080.77 7790540.56 8.445, 802081.55 7790544.73 8.325, 802083.16 7790551.11 8.225, 802083.88 7790553.26 8.175, 802084.18 7790552.91 8.175, 802084.64 7790551.9 8.205, 802085.17 7790549.94 8.215, 802085.33 7790548.91 8.215, 802085.34 7790548.1 8.215, 802085.21 7790547.43 8.225)</t>
  </si>
  <si>
    <t>POLYGON Z ((802085.21 7790547.43 8.225, 802082.06 7790538.18 8.375, 802080.21 7790531.93 8.485, 802080.12 7790531.57 8.485, 802079.75 7790531.7 8.515, 802080.77 7790540.56 8.445, 802081.55 7790544.73 8.325, 802083.16 7790551.11 8.225, 802083.88 7790553.26 8.175, 802084.18 7790552.91 8.175, 802084.64 7790551.9 8.205, 802085.17 7790549.94 8.215, 802085.33 7790548.91 8.215, 802085.34 7790548.1 8.215, 802085.21 7790547.43 8.225))</t>
  </si>
  <si>
    <t>['EV6 S201D1 m11486-11509']</t>
  </si>
  <si>
    <t>LINESTRING Z (802606.69 7790967.81 33.466, 802608.78 7790968.54 33.566, 802611.71 7790969.34 33.766, 802611.68 7790969.45 33.766, 802621.09 7790970.41 34.316, 802627.23 7790970.98 34.626, 802627.66 7790970.61 34.666, 802626.59 7790970.11 34.606, 802623.93 7790969.56 34.456, 802619.85 7790968.52 34.236, 802618.16 7790967.85 34.176, 802613.34 7790965.44 33.846, 802607.89 7790962.27 33.386, 802606.86 7790961.85 33.296, 802606.17 7790962.07 33.256, 802606.54 7790966.82 33.406, 802606.69 7790967.81 33.466)</t>
  </si>
  <si>
    <t>POLYGON Z ((802606.69 7790967.81 33.466, 802608.78 7790968.54 33.566, 802611.71 7790969.34 33.766, 802611.68 7790969.45 33.766, 802621.09 7790970.41 34.316, 802627.23 7790970.98 34.626, 802627.66 7790970.61 34.666, 802626.59 7790970.11 34.606, 802623.93 7790969.56 34.456, 802619.85 7790968.52 34.236, 802618.16 7790967.85 34.176, 802613.34 7790965.44 33.846, 802607.89 7790962.27 33.386, 802606.86 7790961.85 33.296, 802606.17 7790962.07 33.256, 802606.54 7790966.82 33.406, 802606.69 7790967.81 33.466))</t>
  </si>
  <si>
    <t>['EV6 S201D1 m11518-11525']</t>
  </si>
  <si>
    <t>LINESTRING Z (802591.89 7790963 32.756, 802594.16 7790961.56 32.726, 802595.97 7790960.25 32.746, 802597.7 7790958.67 32.756, 802598.92 7790957.43 32.816, 802597.86 7790956.98 32.736, 802596.26 7790956.43 32.596, 802595.04 7790956.33 32.526, 802593.91 7790956.59 32.476, 802592.54 7790957.11 32.416, 802591.28 7790957.83 32.386, 802590.33 7790958.73 32.406, 802589.72 7790959.62 32.436, 802588.72 7790961.9 32.596, 802591.89 7790963 32.756)</t>
  </si>
  <si>
    <t>POLYGON Z ((802591.89 7790963 32.756, 802594.16 7790961.56 32.726, 802595.97 7790960.25 32.746, 802597.7 7790958.67 32.756, 802598.92 7790957.43 32.816, 802597.86 7790956.98 32.736, 802596.26 7790956.43 32.596, 802595.04 7790956.33 32.526, 802593.91 7790956.59 32.476, 802592.54 7790957.11 32.416, 802591.28 7790957.83 32.386, 802590.33 7790958.73 32.406, 802589.72 7790959.62 32.436, 802588.72 7790961.9 32.596, 802591.89 7790963 32.756))</t>
  </si>
  <si>
    <t>['EV6 S201D1 m11587-11743']</t>
  </si>
  <si>
    <t>LINESTRING Z (802397.72 7790859.86 22.595, 802397.92 7790860.22 22.605, 802404.04 7790864.78 22.865, 802411.73 7790870.99 23.155, 802419.14 7790876.63 23.515, 802423.03 7790879.68 23.765, 802431.16 7790885.35 24.215, 802437.59 7790889.57 24.635, 802445.54 7790894.64 25.046, 802453.94 7790900.01 25.496, 802457.52 7790902.29 25.726, 802465.15 7790907.19 26.206, 802473.36 7790912.29 26.636, 802481.63 7790917.65 27.076, 802490.03 7790923.09 27.616, 802498.15 7790928.29 28.126, 802506.39 7790933.15 28.676, 802514.38 7790937.84 29.306, 802522.05 7790942.23 29.836, 802528.4 7790945.76 30.216, 802528.86 7790946.06 30.256, 802529.05 7790945.68 30.226, 802526.49 7790943.68 29.986, 802524.79 7790942.2 29.846, 802517.4 7790935.77 29.266, 802515.85 7790934.62 29.116, 802511.86 7790932.34 28.786, 802505.98 7790928.86 28.426, 802499.07 7790924.63 28.056, 802492.07 7790920.29 27.616, 802483.77 7790915.09 27.136, 802475.76 7790910.09 26.656, 802468.78 7790905.62 26.276, 802460.54 7790900.37 25.786, 802453.44 7790895.84 25.396, 802446.24 7790891.21 24.966, 802438.03 7790885.96 24.485, 802429.63 7790880.55 24.015, 802421.48 7790875.34 23.565, 802413.67 7790870.37 23.195, 802405.62 7790865.08 22.895, 802397.72 7790859.86 22.595)</t>
  </si>
  <si>
    <t>POLYGON Z ((802397.72 7790859.86 22.595, 802397.92 7790860.22 22.605, 802404.04 7790864.78 22.865, 802411.73 7790870.99 23.155, 802419.14 7790876.63 23.515, 802423.03 7790879.68 23.765, 802431.16 7790885.35 24.215, 802437.59 7790889.57 24.635, 802445.54 7790894.64 25.046, 802453.94 7790900.01 25.496, 802457.52 7790902.29 25.726, 802465.15 7790907.19 26.206, 802473.36 7790912.29 26.636, 802481.63 7790917.65 27.076, 802490.03 7790923.09 27.616, 802498.15 7790928.29 28.126, 802506.39 7790933.15 28.676, 802514.38 7790937.84 29.306, 802522.05 7790942.23 29.836, 802528.4 7790945.76 30.216, 802528.86 7790946.06 30.256, 802529.05 7790945.68 30.226, 802526.49 7790943.68 29.986, 802524.79 7790942.2 29.846, 802517.4 7790935.77 29.266, 802515.85 7790934.62 29.116, 802511.86 7790932.34 28.786, 802505.98 7790928.86 28.426, 802499.07 7790924.63 28.056, 802492.07 7790920.29 27.616, 802483.77 7790915.09 27.136, 802475.76 7790910.09 26.656, 802468.78 7790905.62 26.276, 802460.54 7790900.37 25.786, 802453.44 7790895.84 25.396, 802446.24 7790891.21 24.966, 802438.03 7790885.96 24.485, 802429.63 7790880.55 24.015, 802421.48 7790875.34 23.565, 802413.67 7790870.37 23.195, 802405.62 7790865.08 22.895, 802397.72 7790859.86 22.595))</t>
  </si>
  <si>
    <t>['EV6 S201D1 m11894-11911']</t>
  </si>
  <si>
    <t>LINESTRING Z (802255.81 7790769.55 13.885, 802263.3 7790776.02 14.415, 802266.58 7790778.99 14.685, 802268.95 7790780.88 14.895, 802269.49 7790780.59 14.895, 802269.95 7790779.76 14.885, 802270.33 7790779.17 14.915, 802270.57 7790778.64 14.935, 802262.33 7790773.42 14.295, 802259.02 7790771.27 14.115, 802255.77 7790769.03 13.855, 802255.81 7790769.55 13.885)</t>
  </si>
  <si>
    <t>POLYGON Z ((802255.81 7790769.55 13.885, 802263.3 7790776.02 14.415, 802266.58 7790778.99 14.685, 802268.95 7790780.88 14.895, 802269.49 7790780.59 14.895, 802269.95 7790779.76 14.885, 802270.33 7790779.17 14.915, 802270.57 7790778.64 14.935, 802262.33 7790773.42 14.295, 802259.02 7790771.27 14.115, 802255.77 7790769.03 13.855, 802255.81 7790769.55 13.885))</t>
  </si>
  <si>
    <t>['EV6 S201D1 m11957-12082']</t>
  </si>
  <si>
    <t>LINESTRING Z (802134.28 7790650.43 8.295, 802133.93 7790650.19 8.305, 802133.35 7790650.13 8.305, 802132.3 7790650.77 8.325, 802131.98 7790651.6 8.325, 802132.05 7790652.23 8.315, 802133.17 7790654.1 8.285, 802133.47 7790654.74 8.285, 802134.54 7790656.53 8.295, 802139.06 7790664.04 8.335, 802144.33 7790672.07 8.375, 802147.06 7790675.88 8.375, 802152.93 7790683.94 8.415, 802158.72 7790691.09 8.515, 802165.04 7790698.55 8.695, 802170.96 7790705.13 8.905, 802176.45 7790710.98 9.115, 802180.79 7790715.34 9.265, 802187.77 7790721.9 9.545, 802194.64 7790728.14 9.925, 802198.92 7790731.69 10.125, 802201.21 7790733.42 10.225, 802205.09 7790736.08 10.405, 802212.32 7790740.52 10.925, 802217.5 7790743.34 11.155, 802217.58 7790743.17 11.155, 802217.62 7790742.75 11.125, 802210.2 7790736.99 10.575, 802203.65 7790731.68 10.215, 802196.4 7790725.49 9.815, 802192.69 7790722.27 9.635, 802185.46 7790715.52 9.305, 802183.49 7790713.63 9.215, 802177.57 7790707.55 9.025, 802171.29 7790700.87 8.785, 802166.17 7790695.15 8.625, 802160.87 7790688.69 8.495, 802155.7 7790682.12 8.465, 802150.35 7790674.94 8.365, 802145.47 7790668.03 8.345, 802140.35 7790660.34 8.305, 802135.38 7790652.27 8.245, 802134.28 7790650.43 8.295)</t>
  </si>
  <si>
    <t>POLYGON Z ((802134.28 7790650.43 8.295, 802133.93 7790650.19 8.305, 802133.35 7790650.13 8.305, 802132.3 7790650.77 8.325, 802131.98 7790651.6 8.325, 802132.05 7790652.23 8.315, 802133.17 7790654.1 8.285, 802133.47 7790654.74 8.285, 802134.54 7790656.53 8.295, 802139.06 7790664.04 8.335, 802144.33 7790672.07 8.375, 802147.06 7790675.88 8.375, 802152.93 7790683.94 8.415, 802158.72 7790691.09 8.515, 802165.04 7790698.55 8.695, 802170.96 7790705.13 8.905, 802176.45 7790710.98 9.115, 802180.79 7790715.34 9.265, 802187.77 7790721.9 9.545, 802194.64 7790728.14 9.925, 802198.92 7790731.69 10.125, 802201.21 7790733.42 10.225, 802205.09 7790736.08 10.405, 802212.32 7790740.52 10.925, 802217.5 7790743.34 11.155, 802217.58 7790743.17 11.155, 802217.62 7790742.75 11.125, 802210.2 7790736.99 10.575, 802203.65 7790731.68 10.215, 802196.4 7790725.49 9.815, 802192.69 7790722.27 9.635, 802185.46 7790715.52 9.305, 802183.49 7790713.63 9.215, 802177.57 7790707.55 9.025, 802171.29 7790700.87 8.785, 802166.17 7790695.15 8.625, 802160.87 7790688.69 8.495, 802155.7 7790682.12 8.465, 802150.35 7790674.94 8.365, 802145.47 7790668.03 8.345, 802140.35 7790660.34 8.305, 802135.38 7790652.27 8.245, 802134.28 7790650.43 8.295))</t>
  </si>
  <si>
    <t>['EV6 S201D1 m12090-12182']</t>
  </si>
  <si>
    <t>LINESTRING Z (802127.1 7790643.96 8.235, 802127.55 7790644.33 8.245, 802127.97 7790644.21 8.255, 802128.89 7790643.79 8.255, 802129.67 7790643.26 8.255, 802129.93 7790642.71 8.235, 802125.27 7790634.16 8.155, 802121.16 7790626.4 8.125, 802117.11 7790618.28 8.065, 802112.77 7790609.33 8.045, 802109.37 7790602.17 8.095, 802105.17 7790593.33 8.065, 802101.29 7790585.1 8.035, 802097.31 7790576.58 8.055, 802093.52 7790568.18 7.995, 802091.27 7790563.29 8.015, 802090.69 7790562.5 8.025, 802089.84 7790561.82 8.015, 802087.92 7790560.95 8.055, 802087.39 7790561.09 8.075, 802088.82 7790564.87 8.035, 802091.64 7790571.62 8.035, 802095.22 7790579.43 8.055, 802099.33 7790588.18 8.115, 802103.11 7790596.09 8.115, 802106.8 7790603.86 8.125, 802110.81 7790612.19 8.095, 802113.53 7790617.74 8.085, 802114.02 7790618.51 8.095, 802114.34 7790618.73 8.095, 802114.97 7790619.97 8.105, 802114.94 7790620.55 8.105, 802115.72 7790622.22 8.125, 802119.36 7790629.3 8.195, 802123.03 7790636.39 8.165, 802127.1 7790643.96 8.235)</t>
  </si>
  <si>
    <t>POLYGON Z ((802127.1 7790643.96 8.235, 802127.55 7790644.33 8.245, 802127.97 7790644.21 8.255, 802128.89 7790643.79 8.255, 802129.67 7790643.26 8.255, 802129.93 7790642.71 8.235, 802125.27 7790634.16 8.155, 802121.16 7790626.4 8.125, 802117.11 7790618.28 8.065, 802112.77 7790609.33 8.045, 802109.37 7790602.17 8.095, 802105.17 7790593.33 8.065, 802101.29 7790585.1 8.035, 802097.31 7790576.58 8.055, 802093.52 7790568.18 7.995, 802091.27 7790563.29 8.015, 802090.69 7790562.5 8.025, 802089.84 7790561.82 8.015, 802087.92 7790560.95 8.055, 802087.39 7790561.09 8.075, 802088.82 7790564.87 8.035, 802091.64 7790571.62 8.035, 802095.22 7790579.43 8.055, 802099.33 7790588.18 8.115, 802103.11 7790596.09 8.115, 802106.8 7790603.86 8.125, 802110.81 7790612.19 8.095, 802113.53 7790617.74 8.085, 802114.02 7790618.51 8.095, 802114.34 7790618.73 8.095, 802114.97 7790619.97 8.105, 802114.94 7790620.55 8.105, 802115.72 7790622.22 8.125, 802119.36 7790629.3 8.195, 802123.03 7790636.39 8.165, 802127.1 7790643.96 8.235))</t>
  </si>
  <si>
    <t>2016-10-28</t>
  </si>
  <si>
    <t>['EV6 S204D1 m7847-7848']</t>
  </si>
  <si>
    <t>LINESTRING Z (818547.63 7784878 3.513, 818545.34 7784877.88 3.503, 818545.64 7784876.6 3.513, 818545.94 7784876.27 3.513, 818546.22 7784876.12 3.523, 818546.66 7784876.18 3.523, 818547.02 7784876.42 3.523, 818547.32 7784877.02 3.543, 818547.7 7784878.01 3.513)</t>
  </si>
  <si>
    <t>POLYGON Z ((818547.63 7784878 3.513, 818545.34 7784877.88 3.503, 818545.64 7784876.6 3.513, 818545.94 7784876.27 3.513, 818546.22 7784876.12 3.523, 818546.66 7784876.18 3.523, 818547.02 7784876.42 3.523, 818547.32 7784877.02 3.543, 818547.7 7784878.01 3.513, 818547.63 7784878 3.513))</t>
  </si>
  <si>
    <t>2025-08-14</t>
  </si>
  <si>
    <t>[93496]</t>
  </si>
  <si>
    <t>['PV93496 S1D40 m31-40']</t>
  </si>
  <si>
    <t>LINESTRING Z (262937.709960938 6648124.31005859 3.558, 262939.579956055 6648121.55004883 3.558, 262943.300048828 6648117.72998047 3.558)</t>
  </si>
  <si>
    <t>2017-02-22</t>
  </si>
  <si>
    <t>2025-11-22T09:14:10Z</t>
  </si>
  <si>
    <t>[658]</t>
  </si>
  <si>
    <t>['RV658 S3D1 m3413-3496']</t>
  </si>
  <si>
    <t>LINESTRING Z (44319.05 6965002.52 5.381, 44318.66 6965002.54 5.331, 44319.05 6965002.52 5.381, 44323.49 6964997.38 5.511, 44326.95 6964992.78 5.431, 44319.29 6964991.35 5.491, 44316.14 6964994.06 5.271, 44312.34 6964994.72 4.971, 44310.04 6964993.89 4.811, 44311.22 6964989.42 2.861, 44306.81 6964985.63 2.711, 44302.16 6964981.75 2.661, 44295.4 6964977.73 2.751, 44290.1 6964973.5 2.801, 44286.45 6964970.96 2.601, 44284.68 6964970.87 2.661, 44263.69 6964954.75 2.911, 44259.94 6964951.47 2.861, 44255.99 6964951.08 2.901, 44252.33 6964954.03 2.741, 44254.45 6964955.48 3.881, 44261.49 6964959.47 4.381, 44266.32 6964962.47 4.631, 44271.81 6964966.09 4.761, 44277.86 6964970.77 4.871, 44283.3 6964975.24 4.921, 44286.98 6964978.24 4.921, 44291.79 6964982.21 5.021, 44297.08 6964986.73 5.051, 44299.71 6964988.8 5.161, 44304.68 6964992.58 5.211, 44308.39 6964995.53 5.171, 44309.24 6964995.46 5.151, 44309.83 6964995.91 5.161, 44310.14 6964997.21 5.251, 44314.29 6965000.54 5.291, 44316.88 6965002.57 5.361, 44319.05 6965002.52 5.381)</t>
  </si>
  <si>
    <t>2018-09-04</t>
  </si>
  <si>
    <t>['EV105 S1D1 m169-618']</t>
  </si>
  <si>
    <t>LINESTRING Z (1076354.46 7802135.02 65.507, 1076354.52 7802135.01 65.507, 1076359.73 7802131.2 65.547, 1076375.02 7802121.46 65.556, 1076391.12 7802113.09 65.466, 1076407.26 7802106.11 65.376, 1076423.27 7802099.43 65.316, 1076440.9 7802092.01 65.406, 1076454.91 7802086.15 65.636, 1076468.25 7802080.59 65.996, 1076484.57 7802073.74 66.566, 1076516.06 7802060.51 67.696, 1076532.17 7802053.76 68.196, 1076548.05 7802047.11 68.576, 1076564.4 7802040.28 68.846, 1076581.54 7802033.12 69.056, 1076597.2 7802026.56 69.126, 1076599.87 7802025.45 69.126, 1076617.07 7802018.21 69.056, 1076634 7802011.11 68.876, 1076650.15 7802004.34 68.586, 1076667.64 7801997.06 68.156, 1076672.25 7801995.12 68.026, 1076681.98 7801991.02 67.726, 1076688.82 7801988.16 67.476, 1076702.07 7801982.62 66.916, 1076716.58 7801976.52 66.245, 1076733.32 7801969.5 65.455, 1076750.02 7801962.48 64.675, 1076765.67 7801955.92 63.955, 1076765.12 7801954.88 63.955, 1076748.39 7801961.94 64.715, 1076731.36 7801969.05 65.535, 1076714.3 7801976.2 66.345, 1076697.61 7801983.2 67.086, 1076679.93 7801990.59 67.776, 1076665.81 7801996.51 68.176, 1076649.03 7802003.59 68.596, 1076631.48 7802010.96 68.916, 1076614.45 7802018.08 69.076, 1076596.79 7802025.49 69.106, 1076581.11 7802032.08 69.056, 1076563.96 7802039.25 68.856, 1076547.62 7802046.08 68.576, 1076531.61 7802052.8 68.186, 1076515.56 7802059.52 67.686, 1076502.92 7802064.81 67.246, 1076484.17 7802072.66 66.576, 1076467.74 7802079.58 65.996, 1076454.38 7802085.16 65.626, 1076440.44 7802091.02 65.386, 1076422.78 7802098.42 65.306, 1076406.6 7802105.15 65.376, 1076390.59 7802112.19 65.456, 1076374.44 7802120.46 65.546, 1076359.07 7802130.28 65.527, 1076353.75 7802134.23 65.497, 1076353.47 7802134.74 65.517, 1076353.7 7802135.1 65.517, 1076354.13 7802135.18 65.507, 1076354.46 7802135.02 65.507)</t>
  </si>
  <si>
    <t>POLYGON Z ((1076354.46 7802135.02 65.507, 1076354.52 7802135.01 65.507, 1076359.73 7802131.2 65.547, 1076375.02 7802121.46 65.556, 1076391.12 7802113.09 65.466, 1076407.26 7802106.11 65.376, 1076423.27 7802099.43 65.316, 1076440.9 7802092.01 65.406, 1076454.91 7802086.15 65.636, 1076468.25 7802080.59 65.996, 1076484.57 7802073.74 66.566, 1076516.06 7802060.51 67.696, 1076532.17 7802053.76 68.196, 1076548.05 7802047.11 68.576, 1076564.4 7802040.28 68.846, 1076581.54 7802033.12 69.056, 1076597.2 7802026.56 69.126, 1076599.87 7802025.45 69.126, 1076617.07 7802018.21 69.056, 1076634 7802011.11 68.876, 1076650.15 7802004.34 68.586, 1076667.64 7801997.06 68.156, 1076672.25 7801995.12 68.026, 1076681.98 7801991.02 67.726, 1076688.82 7801988.16 67.476, 1076702.07 7801982.62 66.916, 1076716.58 7801976.52 66.245, 1076733.32 7801969.5 65.455, 1076750.02 7801962.48 64.675, 1076765.67 7801955.92 63.955, 1076765.12 7801954.88 63.955, 1076748.39 7801961.94 64.715, 1076731.36 7801969.05 65.535, 1076714.3 7801976.2 66.345, 1076697.61 7801983.2 67.086, 1076679.93 7801990.59 67.776, 1076665.81 7801996.51 68.176, 1076649.03 7802003.59 68.596, 1076631.48 7802010.96 68.916, 1076614.45 7802018.08 69.076, 1076596.79 7802025.49 69.106, 1076581.11 7802032.08 69.056, 1076563.96 7802039.25 68.856, 1076547.62 7802046.08 68.576, 1076531.61 7802052.8 68.186, 1076515.56 7802059.52 67.686, 1076502.92 7802064.81 67.246, 1076484.17 7802072.66 66.576, 1076467.74 7802079.58 65.996, 1076454.38 7802085.16 65.626, 1076440.44 7802091.02 65.386, 1076422.78 7802098.42 65.306, 1076406.6 7802105.15 65.376, 1076390.59 7802112.19 65.456, 1076374.44 7802120.46 65.546, 1076359.07 7802130.28 65.527, 1076353.75 7802134.23 65.497, 1076353.47 7802134.74 65.517, 1076353.7 7802135.1 65.517, 1076354.13 7802135.18 65.507, 1076354.46 7802135.02 65.507))</t>
  </si>
  <si>
    <t>2017-03-16</t>
  </si>
  <si>
    <t>[105, 6]</t>
  </si>
  <si>
    <t>['EV6 S243D1 m7268 KD1 m0-19', 'EV6 S243D1 m7268 KD1 m107-114', 'EV105 S1D1 m0-161', 'EV6 S243D1 m7234-7268']</t>
  </si>
  <si>
    <t>LINESTRING Z (1076206.57 7802252.16 60.727, 1076214.91 7802255.96 60.667, 1076223.55 7802259.86 60.637, 1076226.35 7802261.02 60.667, 1076229.16 7802262.12 60.687, 1076232 7802263.17 60.697, 1076234.85 7802264.06 60.707, 1076235.85 7802264.3 60.707, 1076236.87 7802264.51 60.727, 1076237.91 7802264.64 60.727, 1076238.95 7802264.69 60.737, 1076239.86 7802264.6 60.737, 1076240.87 7802264.43 60.747, 1076241.91 7802264.25 60.767, 1076243 7802264.09 60.777, 1076244.02 7802263.98 60.787, 1076245.08 7802263.93 60.787, 1076246.17 7802263.93 60.797, 1076247.28 7802263.96 60.807, 1076248.31 7802264.08 60.807, 1076249.41 7802264.22 60.827, 1076250.38 7802264.46 60.827, 1076251.37 7802264.65 60.837, 1076252.38 7802264.68 60.847, 1076255.38 7802264.3 60.877, 1076258.41 7802263.56 60.917, 1076261.5 7802262.45 60.957, 1076264.29 7802261.09 60.977, 1076266.85 7802259.57 61.007, 1076269.3 7802257.81 61.047, 1076271.66 7802255.69 61.087, 1076273.92 7802253.29 61.157, 1076275.93 7802250.87 61.237, 1076278.99 7802246.52 61.457, 1076280.69 7802243.74 61.627, 1076282.2 7802241.09 61.787, 1076283.68 7802238.22 61.947, 1076286.85 7802231.35 62.297, 1076290.39 7802223.45 62.687, 1076294.03 7802215.24 63.087, 1076296.75 7802209.16 63.387, 1076300.58 7802201.09 63.727, 1076304.77 7802193 64.077, 1076309.66 7802184.58 64.367, 1076310.6 7802183.11 64.407, 1076314.23 7802177.57 64.577, 1076318.62 7802171.48 64.767, 1076322.58 7802166.36 64.917, 1076327.72 7802160.08 65.067, 1076332.19 7802155.16 65.167, 1076342.38 7802145.33 65.367, 1076346.79 7802141.37 65.417, 1076346.94 7802141.16 65.427, 1076347 7802140.82 65.437, 1076346.87 7802140.51 65.437, 1076346.61 7802140.32 65.447, 1076346.36 7802140.31 65.437, 1076346 7802140.46 65.437, 1076344.04 7802142.19 65.397, 1076338.79 7802146.94 65.317, 1076333.99 7802151.58 65.227, 1076329.65 7802156.17 65.127, 1076325.37 7802161.13 65.027, 1076320.86 7802166.65 64.877, 1076316.81 7802171.91 64.737, 1076312.37 7802178.13 64.547, 1076308.69 7802183.9 64.367, 1076303.63 7802192.53 64.067, 1076299.62 7802200.31 63.747, 1076295.66 7802208.71 63.367, 1076292.07 7802216.79 62.987, 1076288.07 7802225.74 62.557, 1076284.91 7802232.79 62.187, 1076282.72 7802237.4 61.967, 1076280.8 7802240.69 61.797, 1076278.88 7802243.27 61.667, 1076275.92 7802246.64 61.497, 1076273.56 7802248.92 61.377, 1076270.92 7802251.04 61.277, 1076268.31 7802252.8 61.187, 1076265.88 7802254.16 61.127, 1076263.22 7802255.45 61.057, 1076260.19 7802256.76 60.997, 1076257.06 7802257.84 60.937, 1076253.93 7802258.68 60.877, 1076250.6 7802259.23 60.817, 1076247.09 7802259.51 60.777, 1076243.86 7802259.49 60.747, 1076240.6 7802259.17 60.727, 1076237.43 7802258.7 60.727, 1076234.25 7802257.96 60.737, 1076232.12 7802257.35 60.747, 1076230.06 7802256.67 60.767, 1076227.96 7802255.85 60.767, 1076225.35 7802254.56 60.787, 1076219.45 7802251.58 60.817, 1076213.98 7802248.79 60.817, 1076209.85 7802246.66 60.827, 1076206.57 7802252.16 60.727)</t>
  </si>
  <si>
    <t>POLYGON Z ((1076206.57 7802252.16 60.727, 1076214.91 7802255.96 60.667, 1076223.55 7802259.86 60.637, 1076226.35 7802261.02 60.667, 1076229.16 7802262.12 60.687, 1076232 7802263.17 60.697, 1076234.85 7802264.06 60.707, 1076235.85 7802264.3 60.707, 1076236.87 7802264.51 60.727, 1076237.91 7802264.64 60.727, 1076238.95 7802264.69 60.737, 1076239.86 7802264.6 60.737, 1076240.87 7802264.43 60.747, 1076241.91 7802264.25 60.767, 1076243 7802264.09 60.777, 1076244.02 7802263.98 60.787, 1076245.08 7802263.93 60.787, 1076246.17 7802263.93 60.797, 1076247.28 7802263.96 60.807, 1076248.31 7802264.08 60.807, 1076249.41 7802264.22 60.827, 1076250.38 7802264.46 60.827, 1076251.37 7802264.65 60.837, 1076252.38 7802264.68 60.847, 1076255.38 7802264.3 60.877, 1076258.41 7802263.56 60.917, 1076261.5 7802262.45 60.957, 1076264.29 7802261.09 60.977, 1076266.85 7802259.57 61.007, 1076269.3 7802257.81 61.047, 1076271.66 7802255.69 61.087, 1076273.92 7802253.29 61.157, 1076275.93 7802250.87 61.237, 1076278.99 7802246.52 61.457, 1076280.69 7802243.74 61.627, 1076282.2 7802241.09 61.787, 1076283.68 7802238.22 61.947, 1076286.85 7802231.35 62.297, 1076290.39 7802223.45 62.687, 1076294.03 7802215.24 63.087, 1076296.75 7802209.16 63.387, 1076300.58 7802201.09 63.727, 1076304.77 7802193 64.077, 1076309.66 7802184.58 64.367, 1076310.6 7802183.11 64.407, 1076314.23 7802177.57 64.577, 1076318.62 7802171.48 64.767, 1076322.58 7802166.36 64.917, 1076327.72 7802160.08 65.067, 1076332.19 7802155.16 65.167, 1076342.38 7802145.33 65.367, 1076346.79 7802141.37 65.417, 1076346.94 7802141.16 65.427, 1076347 7802140.82 65.437, 1076346.87 7802140.51 65.437, 1076346.61 7802140.32 65.447, 1076346.36 7802140.31 65.437, 1076346 7802140.46 65.437, 1076344.04 7802142.19 65.397, 1076338.79 7802146.94 65.317, 1076333.99 7802151.58 65.227, 1076329.65 7802156.17 65.127, 1076325.37 7802161.13 65.027, 1076320.86 7802166.65 64.877, 1076316.81 7802171.91 64.737, 1076312.37 7802178.13 64.547, 1076308.69 7802183.9 64.367, 1076303.63 7802192.53 64.067, 1076299.62 7802200.31 63.747, 1076295.66 7802208.71 63.367, 1076292.07 7802216.79 62.987, 1076288.07 7802225.74 62.557, 1076284.91 7802232.79 62.187, 1076282.72 7802237.4 61.967, 1076280.8 7802240.69 61.797, 1076278.88 7802243.27 61.667, 1076275.92 7802246.64 61.497, 1076273.56 7802248.92 61.377, 1076270.92 7802251.04 61.277, 1076268.31 7802252.8 61.187, 1076265.88 7802254.16 61.127, 1076263.22 7802255.45 61.057, 1076260.19 7802256.76 60.997, 1076257.06 7802257.84 60.937, 1076253.93 7802258.68 60.877, 1076250.6 7802259.23 60.817, 1076247.09 7802259.51 60.777, 1076243.86 7802259.49 60.747, 1076240.6 7802259.17 60.727, 1076237.43 7802258.7 60.727, 1076234.25 7802257.96 60.737, 1076232.12 7802257.35 60.747, 1076230.06 7802256.67 60.767, 1076227.96 7802255.85 60.767, 1076225.35 7802254.56 60.787, 1076219.45 7802251.58 60.817, 1076213.98 7802248.79 60.817, 1076209.85 7802246.66 60.827, 1076206.57 7802252.16 60.727))</t>
  </si>
  <si>
    <t>['EV6 S243D1 m7268 KD1 m0-107']</t>
  </si>
  <si>
    <t>LINESTRING Z (1076246.6 7802280.88 60.657, 1076248.46 7802281.58 60.637, 1076249.95 7802282.9 60.627, 1076250.84 7802284.7 60.627, 1076251.03 7802286.67 60.607, 1076250.65 7802288.29 60.567, 1076249.38 7802290.1 60.517, 1076247.5 7802291.26 60.477, 1076245.31 7802291.53 60.457, 1076243.18 7802290.94 60.487, 1076241.74 7802289.86 60.537, 1076240.76 7802288.35 60.557, 1076240.32 7802286.61 60.577, 1076240.47 7802284.81 60.597, 1076241.27 7802283.08 60.617, 1076242.63 7802281.74 60.637, 1076244.53 7802280.93 60.657, 1076246.6 7802280.88 60.657)</t>
  </si>
  <si>
    <t>POLYGON Z ((1076246.6 7802280.88 60.657, 1076248.46 7802281.58 60.637, 1076249.95 7802282.9 60.627, 1076250.84 7802284.7 60.627, 1076251.03 7802286.67 60.607, 1076250.65 7802288.29 60.567, 1076249.38 7802290.1 60.517, 1076247.5 7802291.26 60.477, 1076245.31 7802291.53 60.457, 1076243.18 7802290.94 60.487, 1076241.74 7802289.86 60.537, 1076240.76 7802288.35 60.557, 1076240.32 7802286.61 60.577, 1076240.47 7802284.81 60.597, 1076241.27 7802283.08 60.617, 1076242.63 7802281.74 60.637, 1076244.53 7802280.93 60.657, 1076246.6 7802280.88 60.657))</t>
  </si>
  <si>
    <t>2022-05-25</t>
  </si>
  <si>
    <t>['EV6 S243D1 m7268 KD1 m0-114']</t>
  </si>
  <si>
    <t>LINESTRING Z (1076233.592325156 7802282.749165637 60.497, 1076233.2318544881 7802284.598114657 60.447, 1076233.142612536 7802286.469060504 60.407, 1076233.3524498625 7802288.426728878 60.367, 1076233.8953192125 7802290.479654565 60.327, 1076234.8014882468 7802292.427636413 60.287, 1076236.0650977618 7802294.246112224 60.247, 1076237.5240135053 7802295.686517736 60.237, 1076239.2433253166 7802296.984569559 60.227, 1076240.1953757033 7802297.489418561 60.217, 1076242.0956359399 7802298.163347516 60.217, 1076243.0737828517 7802298.420767657 60.207, 1076245.0743933525 7802298.727393991 60.217, 1076246.0230916794 7802298.734967789 60.227, 1076247.0049446817 7802298.6585159665 60.247, 1076247.934225623 7802298.488034356 60.267, 1076248.8737815842 7802298.308590895 60.287, 1076249.806680432 7802298.012024198 60.307, 1076250.655139945 7802297.636507055 60.337, 1076251.615579829 7802297.150598672 60.367, 1076252.5238472985 7802296.616940803 60.397, 1076253.3658948988 7802296.043547259 60.427, 1076254.1834656112 7802295.360095898 60.447, 1076254.8752533142 7802294.714296332 60.477, 1076255.5130268566 7802293.916378894 60.507, 1076256.065472932 7802293.154737565 60.527, 1076256.6245109001 7802292.1753979 60.557, 1076257.4835644134 7802290.0823370665 60.617, 1076257.9833315858 7802288.014411296 60.667, 1076258.1641123379 7802285.8432107 60.727, 1076257.9841393798 7802284.181667391 60.757, 1076257.6337536997 7802282.511922158 60.797, 1076257.3126375047 7802281.50760079 60.817, 1076256.3245197895 7802279.5505527975 60.857, 1076254.9640186597 7802277.846249723 60.877, 1076253.6232446295 7802276.574072266 60.887, 1076252.725777413 7802275.852040307 60.897, 1076250.8019956811 7802274.745029883 60.917, 1076248.7024088197 7802273.9863598645 60.927, 1076246.883507588 7802273.690777176 60.917, 1076244.7745808705 7802273.703278304 60.887, 1076242.5632186197 7802274.059472363 60.837, 1076241.452756556 7802274.392225727 60.797, 1076239.5224831393 7802275.257787774 60.737, 1076238.5741585004 7802275.839107558 60.707, 1076236.863725523 7802277.31409054 60.657, 1076235.453818441 7802278.933885125 60.597, 1076234.8134781707 7802279.869701293 60.577, 1076234.2949054986 7802280.847670313 60.547, 1076233.595054673 7802282.73830675 60.497)</t>
  </si>
  <si>
    <t>POLYGON Z ((1076233.592325156 7802282.749165637 60.497, 1076233.2318544881 7802284.598114657 60.447, 1076233.142612536 7802286.469060504 60.407, 1076233.3524498625 7802288.426728878 60.367, 1076233.8953192125 7802290.479654565 60.327, 1076234.8014882468 7802292.427636413 60.287, 1076236.0650977618 7802294.246112224 60.247, 1076237.5240135053 7802295.686517736 60.237, 1076239.2433253166 7802296.984569559 60.227, 1076240.1953757033 7802297.489418561 60.217, 1076242.0956359399 7802298.163347516 60.217, 1076243.0737828517 7802298.420767657 60.207, 1076245.0743933525 7802298.727393991 60.217, 1076246.0230916794 7802298.734967789 60.227, 1076247.0049446817 7802298.6585159665 60.247, 1076247.934225623 7802298.488034356 60.267, 1076248.8737815842 7802298.308590895 60.287, 1076249.806680432 7802298.012024198 60.307, 1076250.655139945 7802297.636507055 60.337, 1076251.615579829 7802297.150598672 60.367, 1076252.5238472985 7802296.616940803 60.397, 1076253.3658948988 7802296.043547259 60.427, 1076254.1834656112 7802295.360095898 60.447, 1076254.8752533142 7802294.714296332 60.477, 1076255.5130268566 7802293.916378894 60.507, 1076256.065472932 7802293.154737565 60.527, 1076256.6245109001 7802292.1753979 60.557, 1076257.4835644134 7802290.0823370665 60.617, 1076257.9833315858 7802288.014411296 60.667, 1076258.1641123379 7802285.8432107 60.727, 1076257.9841393798 7802284.181667391 60.757, 1076257.6337536997 7802282.511922158 60.797, 1076257.3126375047 7802281.50760079 60.817, 1076256.3245197895 7802279.5505527975 60.857, 1076254.9640186597 7802277.846249723 60.877, 1076253.6232446295 7802276.574072266 60.887, 1076252.725777413 7802275.852040307 60.897, 1076250.8019956811 7802274.745029883 60.917, 1076248.7024088197 7802273.9863598645 60.927, 1076246.883507588 7802273.690777176 60.917, 1076244.7745808705 7802273.703278304 60.887, 1076242.5632186197 7802274.059472363 60.837, 1076241.452756556 7802274.392225727 60.797, 1076239.5224831393 7802275.257787774 60.737, 1076238.5741585004 7802275.839107558 60.707, 1076236.863725523 7802277.31409054 60.657, 1076235.453818441 7802278.933885125 60.597, 1076234.8134781707 7802279.869701293 60.577, 1076234.2949054986 7802280.847670313 60.547, 1076233.595054673 7802282.73830675 60.497, 1076233.592325156 7802282.749165637 60.497))</t>
  </si>
  <si>
    <t>['P', 'F']</t>
  </si>
  <si>
    <t>[98957, 4590]</t>
  </si>
  <si>
    <t>['FV4590 S3D104 m1931-1938', 'PV98957 S1D1 m11-39']</t>
  </si>
  <si>
    <t>LINESTRING Z (-39111.6 6581883.91 2.711, -39112.32 6581882.07 2.881, -39113.41 6581878.46 3.181, -39114.47 6581874.63 3.331, -39115.48 6581871.51 3.431, -39116.82 6581867.82 3.721, -39117.3 6581864.95 3.871, -39117.74 6581863.2 3.881, -39118.86 6581860.97 4.021, -39119.65 6581858.46 4.181, -39120.82 6581856.56 4.201, -39122.9 6581856.57 4.201, -39126.1 6581856.63 4.041, -39129.1 6581856.68 4.041, -39131.97 6581857.25 3.891, -39134.46 6581857.06 3.861, -39145.08 6581859.21 3.48, -39147.04 6581859.73 3.46)</t>
  </si>
  <si>
    <t>POLYGON ((-39111.84710927887 6581881.9063775055, -39112.929664270014 6581878.321034828, -39113.988115080305 6581874.496632372, -39113.99430401442 6581874.476008671, -39115.00430401442 6581871.356008671, -39115.01002895997 6581871.33933301, -39116.334401721986 6581867.692366226, -39116.806849557186 6581864.867521877, -39116.81509218231 6581864.828080321, -39117.255092182306 6581863.078080321, -39117.27133009194 6581863.025791742, -39117.29318785101 6581862.975592105, -39118.395138720494 6581860.781529212, -39119.17306529697 6581858.309889077, -39119.18702754578 6581858.271170694, -39119.20412700244 6581858.233731862, -39119.224247797356 6581858.197826276, -39120.394247797354 6581856.297826275, -39120.4232672246 6581856.255692417, -39120.45644026831 6581856.216744524, -39120.493419621256 6581856.181390364, -39120.533818126 6581856.150000079, -39120.57721282811 6581856.122902311, -39120.62314940429 6581856.1003807625, -39120.67114691895 6581856.082671224, -39120.720702859384 6581856.069959106, -39120.77129839687 6581856.0623774985, -39120.82240381854 6581856.0600057775, -39122.902403818545 6581856.070005778, -39122.90937335242 6581856.070087868, -39126.108852814 6581856.130078107, -39129.10833217613 6581856.18006943, -39129.15307984083 6581856.182825453, -39129.197400754456 6581856.189578657, -39132.00023603951 6581856.746239324, -39134.42195797832 6581856.561449296, -39134.467905206424 6581856.560062496, -39134.51378561752 6581856.56290131, -39134.559211417276 6581856.569941743, -39145.17921141728 6581858.719941744, -39145.208217349624 6581858.726719221, -39147.16821734962 6581859.246719222, -39146.91178265038 6581860.213280779, -39144.96618462962 6581859.697101712, -39134.4288257771 6581857.563832264, -39132.008042021684 6581857.748550704, -39131.96271029225 6581857.749946857, -39131.917438540026 6581857.747229618, -39131.872599245544 6581857.740421343, -39129.04670591999 6581857.179181204, -39126.091667823865 6581857.12993057, -39126.09062664758 6581857.129912132, -39122.89411116332 6581857.069977468, -39121.0984732994 6581857.061344593, -39120.10829939312 6581858.669319312, -39119.33693470303 6581861.1201109225, -39119.323364944335 6581861.157864122, -39119.306812148985 6581861.194407895, -39118.211496781005 6581863.37525903, -39117.789824398205 6581865.052365098, -39117.31315044282 6581867.902478123, -39117.3035752959 6581867.947102059, -39117.28997104003 6581867.99066699, -39115.952980540635 6581871.672379633, -39114.94901254213 6581874.7737461245, -39113.8918849197 6581878.593367628, -39113.888656933246 6581878.604525223, -39112.79865693324 6581882.214525224, -39112.78562138985 6581882.252199675, -39112.06562138985 6581884.092199675, -39111.13437861015 6581883.7278003255, -39111.84710927887 6581881.9063775055))</t>
  </si>
  <si>
    <t>['P', 'F', 'K']</t>
  </si>
  <si>
    <t>[4600, 99498, 98957, 4590]</t>
  </si>
  <si>
    <t>['KV4600 S2D1 m23-58', 'FV4590 S3D104 m1938-1970', 'PV99498 S1D1 m0-45', 'PV98957 S1D1 m11-39']</t>
  </si>
  <si>
    <t>LINESTRING Z (-39082.39 6581913.33 1.251, -39080.03 6581909.74 1.321, -39078.25 6581907.09 1.391, -39080.61 6581905.5 1.491, -39083.22 6581903.86 1.541, -39085.11 6581902.8 1.601, -39087.02 6581901.77 1.641, -39088.67 6581900.97 1.661, -39088.81 6581900.87 1.671, -39091.05 6581899.85 1.721, -39093.11 6581899.04 1.781, -39095.2 6581898.26 1.861, -39098.3 6581897.09 1.961, -39100.5 6581896.39 2.021, -39100.56 6581896.31 2.041, -39100.39 6581895.68 2.071, -39099.82 6581893.56 2.131, -39099.28 6581891.63 2.181, -39101.89 6581890.89 2.211, -39105.14 6581890.12 2.261, -39107.37 6581889.73 2.281, -39109.6 6581889.41 2.331, -39111.76 6581889.09 2.381, -39112.52 6581889 2.411, -39112.56 6581888.94 2.431, -39112.4 6581887.13 2.531, -39112.32 6581886.03 2.581)</t>
  </si>
  <si>
    <t>POLYGON ((-39112.02403820492 6581888.555238637, -39111.90194216739 6581887.174027212, -39111.90131709152 6581887.166267848, -39111.82131709152 6581886.066267848, -39112.81868290848 6581885.9937321525, -39112.89840057266 6581887.089850035, -39113.05805783261 6581888.895972788, -39113.05998224536 6581888.944213589, -39113.057245067335 6581888.992415103, -39113.04987181862 6581889.040127926, -39113.0379312438 6581889.086907203, -39113.021534670974 6581889.13231679, -39113.000834973784 6581889.175933309, -39112.97602514629 6581889.2173501, -39112.936025146286 6581889.2773501, -39112.90749248672 6581889.3159898305, -39112.875383827435 6581889.351713427, -39112.839995485156 6581889.384191215, -39112.80165404351 6581889.413123468, -39112.760713339034 6581889.438243184, -39112.717551195696 6581889.459318544, -39112.67256593816 6581889.476155053, -39112.62617271585 6581889.488597333, -39112.57879967167 6581889.496530562, -39111.82605108302 6581889.585671842, -39109.67327433061 6581889.904601731, -39109.6710213828 6581889.904930261, -39107.44859739805 6581890.22384312, -39105.24079272352 6581890.609961426, -39102.0158884652 6581891.374015666, -39099.89576528809 6581891.975123386, -39100.301507911965 6581893.425277579, -39100.30285183292 6581893.43017663, -39100.87279289126 6581895.549957409, -39101.04273381886 6581896.179738493, -39101.0533903726 6581896.22896951, -39101.05903949721 6581896.279022908, -39101.059623859546 6581896.3293906925, -39101.05513752891 6581896.37956168, -39101.04562603715 6581896.429026686, -39101.03118591662 6581896.477283686, -39101.01196372038 6581896.523842922, -39100.98815453491 6581896.568231861, -39100.96000000014 6581896.609999999, -39100.90000000014 6581896.6899999995, -39100.86696436588 6581896.729613242, -39100.83002340569 6581896.765612235, -39100.78957025445 6581896.79761387, -39100.74603542464 6581896.825277577, -39100.69988222475 6581896.8483089525, -39100.65160182868 6581896.86646289, -39098.46419225151 6581897.562456846, -39095.37655354875 6581898.727791454, -39095.374824624036 6581898.728440339, -39093.288908850765 6581899.506916082, -39091.245222091864 6581900.310501652, -39089.06124449446 6581901.304991451, -39088.96061909614 6581901.3768667355, -39088.925286595564 6581901.399917148, -39088.888136753216 6581901.419907053, -39087.24783656339 6581902.215204114, -39085.35097023215 6581903.238121561, -39083.47545982522 6581904.289995123, -39080.88276602851 6581905.919120726, -39078.94346349366 6581907.225684722, -39080.44505878295 6581909.461205799, -39080.44780695141 6581909.465341391, -39082.80780695141 6581913.055341391, -39081.97219304859 6581913.604658609, -39079.613556844095 6581910.016733197, -39077.83494121705 6581907.368794201, -39077.8096339179 6581907.326807334, -39077.78856004534 6581907.282543939, -39077.77192219134 6581907.236429536, -39077.75988030269 6581907.188907443, -39077.752550143174 6581907.140434511, -39077.75000218074 6581907.091476731, -39077.75226091003 6581907.042504755, -39077.75930461692 6581906.99398937, -39077.77106558726 6581906.946396977, -39077.78743075784 6581906.9001851, -39077.808242803316 6581906.855797995, -39077.83330164863 6581906.813662373, -39077.86236639246 6581906.774183302, -39077.89515762305 6581906.737740312, -39077.93136010435 6581906.704683744, -39077.970625806316 6581906.675331385, -39080.33062580632 6581905.085331385, -39080.34398067005 6581905.076639969, -39082.95398067005 6581903.436639969, -39082.97541732062 6581903.423904468, -39084.865417320616 6581902.363904468, -39084.87267533096 6581902.359912507, -39086.78267533096 6581901.329912507, -39086.80186324678 6581901.320092946, -39088.41380148787 6581900.538547132, -39088.519380903854 6581900.463133264, -39088.55992381064 6581900.437031295, -39088.60279246619 6581900.414956004, -39090.842792466196 6581899.394956004, -39090.86703404866 6581899.384679185, -39092.927034048655 6581898.574679186, -39092.93517537596 6581898.571559661, -39095.02431041396 6581897.791882469, -39098.12344645125 6581896.622208546, -39098.148398171325 6581896.613537109, -39099.967810886956 6581896.034633064, -39099.90726618114 6581895.810261507, -39099.3378076853 6581893.692276315, -39098.79849208803 6581891.764722421, -39098.78762436085 6581891.716984078, -39098.78147764318 6581891.668411713, -39098.780110871114 6581891.619471048, -39098.783537149604 6581891.570631336, -39098.791723626695 6581891.522360865, -39098.80459180859 6581891.475122463, -39098.82201831224 6581891.429369061, -39098.84383604836 6581891.385539354, -39098.86983582355 6581891.344053592, -39098.89976834605 6581891.305309548, -39098.93334661604 6581891.269678711, -39098.970248677426 6581891.237502716, -39099.01012070488 6581891.209090074, -39099.052580396325 6581891.184713212, -39099.0972206386 6581891.164605861, -39099.14361341087 6581891.148960814, -39101.753613410874 6581890.408960814, -39101.77472950568 6581890.403468692, -39105.02472950568 6581889.633468692, -39105.05386340973 6581889.627475394, -39107.283863409735 6581889.237475394, -39107.298978617204 6581889.23506974, -39109.52785173954 6581888.915231444, -39111.68672566939 6581888.595398269, -39111.70120032833 6581888.593469438, -39112.02403820492 6581888.555238637))</t>
  </si>
  <si>
    <t>2017-03-29</t>
  </si>
  <si>
    <t>2025-11-22T09:14:16Z</t>
  </si>
  <si>
    <t>[171]</t>
  </si>
  <si>
    <t>['FV171 S3D1 m1187-1213']</t>
  </si>
  <si>
    <t>LINESTRING Z (289957.69 6659209.12 126.533, 289958.84 6659204.73 126.533, 289961.89 6659195.35 126.713, 289964.2 6659186.14 126.893, 289964.95 6659183.32 126.973)</t>
  </si>
  <si>
    <t>POLYGON ((289959.3199931706 6659204.8707771, 289962.36549467774 6659195.504611809, 289962.3749781822 6659195.471639479, 289964.68411482166 6659186.265081708, 289965.4332026826 6659183.448511352, 289964.46679731744 6659183.191488649, 289963.71679731744 6659186.011488648, 289963.7150218178 6659186.018360521, 289961.40919761226 6659195.211711574, 289958.3645053223 6659204.575388191, 289958.3563203184 6659204.603295756, 289957.2063203184 6659208.993295755, 289958.1736796816 6659209.246704245, 289959.3199931706 6659204.8707771))</t>
  </si>
  <si>
    <t>2017-04-11</t>
  </si>
  <si>
    <t>['FV165 S1D1 m2306-2346']</t>
  </si>
  <si>
    <t>LINESTRING Z (246911.3046875 6642445.91894531 -999999, 246909.629394531 6642443.50878906 -999999, 246906.278320313 6642438.07324219 -999999, 246903.94921875 6642434.02832031 -999999, 246900.84375 6642427.77636719 -999999, 246898.514648438 6642422.25976562 -999999, 246898.963867188 6642421.93261719 -999999, 246899.454101563 6642421.83007812 -999999, 246905.767578125 6642428.40917969 -999999, 246911.263671875 6642434.43652344 -999999, 246915.043457031 6642438.68652344 -999999, 246917.516113281 6642441.29199219 -999999, 246917.27734375 6642441.78515625 -999999, 246916.984863281 6642441.61816406 -999999, 246916.00390625 6642440.55566406 -999999, 246915.0234375 6642439.41210938 -999999, 246913.715820313 6642438.18554688 -999999, 246912.571289063 6642437.45019531 -999999, 246911.263671875 6642437.28710937 -999999, 246910.364746094 6642437.77734375 -999999, 246909.629394531 6642438.59472656 -999999, 246909.629394531 6642439.8203125 -999999, 246910.038085938 6642441.046875 -999999, 246912.081054687 6642443.58007813 -999999, 246915.922363281 6642445.78613281 -999999, 246916.494140625 6642446.84863281 -999999, 246916.657714844 6642447.50292969 -999999, 246917.720214844 6642448.72851562 -999999, 246919.518066406 6642448.89257813 -999999, 246920.335449219 6642447.91113281 -999999, 246920.907714844 6642447.42089844 -999999, 246921.397949219 6642446.84863281 -999999, 246921.724609375 6642445.78613281 -999999, 246921.643066406 6642444.96972656 -999999, 246920.989257813 6642443.98828125 -999999, 246917.27734375 6642441.78515625 -999999, 246917.516113281 6642441.29199219 -999999, 246918.230957031 6642441.88378906 -999999, 246921.234375 6642443.47753906 -999999, 246922.03125 6642444.21289063 -999999, 246922.541992188 6642444.98925781 -999999, 246922.705566406 6642446.70605469 -999999, 246922.317382813 6642447.64550781 -999999, 246920.51953125 6642448.99414062 -999999, 246920.090332031 6642449.62792969 -999999, 246921.479492188 6642450.87402344 -999999, 246922.153808594 6642451.05761719 -999999, 246923.318359375 6642450.7109375 -999999, 246924.830566406 6642449.15820313 -999999, 246925.361816406 6642447.97265625 -999999, 246926.403808594 6642446.48144531 -999999, 246927.588867187 6642445.23535156 -999999, 246930.71484375 6642443.8046875 -999999, 246932.001953125 6642443.47753906 -999999, 246932.982421875 6642443.47753906 -999999, 246933.779296875 6642444.36621094 -999999, 246934.698730469 6642445.89941406 -999999, 246935.127929688 6642447.37011719 -999999, 246935.005371094 6642448.57519531 -999999, 246934.535644531 6642449.63769531 -999999, 246931.1640625 6642451.35449219 -999999, 246930.387695313 6642451.7421875 -999999, 246929.611328125 6642450.06738281 -999999, 246931.348144531 6642449.18847656 -999999, 246932.022460938 6642448.75976563 -999999, 246932.594238281 6642447.90136719 -999999, 246932.696777344 6642447.26757812 -999999, 246932.512695313 6642446.63476563 -999999, 246932.022460938 6642445.85839844 -999999, 246931.1640625 6642445.65332031 -999999, 246930.3671875 6642445.69433594 -999999, 246929.774902344 6642445.89941406 -999999, 246928.385742188 6642446.67578125 -999999, 246927.220703125 6642447.51269531 -999999, 246926.260742188 6642448.47363281 -999999, 246925.770507812 6642449.12695313 -999999, 246925.443359375 6642449.74023438 -999999, 246925.40234375 6642450.20996094 -999999, 246925.565917969 6642450.80273438 -999999, 246926.076660156 6642451.06835938 -999999, 246926.771484375 6642451.16992188 -999999, 246927.649902344 6642451.00683594 -999999, 246929.611328125 6642450.06738281 -999999, 246930.387695313 6642451.7421875 -999999, 246925.443359375 6642453.09082031 -999999, 246923.216308594 6642453.29492188 -999999, 246920.927734375 6642453.0703125 -999999, 246917.536132813 6642451.53808594 -999999, 246915.063964844 6642450.12792969 -999999, 246913.409179688 6642448.69824219 -999999, 246911.979003906 6642446.71582031 -999999, 246911.3046875 6642445.91894531 -999999)</t>
  </si>
  <si>
    <t>2017-05-10</t>
  </si>
  <si>
    <t>['EV39 S127D140 m2377-2406']</t>
  </si>
  <si>
    <t>LINESTRING Z (85673.24 6465725.15 -999999, 85673.09 6465725.56 -999999, 85673.19 6465725.78 -999999, 85681.29 6465726.04 -999999, 85686.29 6465725.87 -999999, 85691.78 6465726.14 -999999, 85694.8 6465726.12 -999999, 85700.09 6465725.78 -999999, 85701.71 6465725.54 -999999, 85702.94 6465725.1 -999999, 85703.23 6465724.62 -999999, 85703.4 6465723.6 -999999, 85703.43 6465720.94 -999999, 85703.31 6465717.83 -999999, 85697.24 6465718.7 -999999, 85694.17 6465719.42 -999999, 85682.54 6465722.73 -999999, 85674.98 6465724.5 -999999, 85673.96 6465724.79 -999999, 85673.21 6465725.2 -999999, 85673.24 6465725.15 -999999)</t>
  </si>
  <si>
    <t>2017-08-17</t>
  </si>
  <si>
    <t>2025-11-22T09:14:36Z</t>
  </si>
  <si>
    <t>['RV9 S13D1 m2573-2663']</t>
  </si>
  <si>
    <t>LINESTRING Z (79720.5400390625 6556840.70996094 -999999, 79719.3901367188 6556841.86035156 -999999, 79720.9702148438 6556839.83984375 -999999, 79720.5400390625 6556840.70996094 -999999, 79721.5400390625 6556839.71972656 -999999, 79721.7700195313 6556838.37988281 -999999, 79719.8999023438 6556828.99023438 -999999, 79718.1401367188 6556820.15039063 -999999, 79715.75 6556804.66015625 -999999, 79716.240234375 6556792.08984375 -999999, 79716.41015625 6556784.80957031 -999999, 79717.3999023438 6556775.71972656 -999999, 79719.2797851562 6556762.38964844 -999999, 79720.8701171875 6556752.90039063 -999999, 79716.080078125 6556759.6796875 -999999, 79715.6899414063 6556764.75976563 -999999, 79713.3901367188 6556771.20996094 -999999, 79712.16015625 6556775.5 -999999, 79710.8999023438 6556780.1796875 -999999, 79709.91015625 6556785.91992188 -999999, 79709.7998046875 6556789.6796875 -999999, 79709.8798828125 6556793.01953125 -999999, 79710.3500976563 6556797.3203125 -999999, 79710.8198242188 6556801.59960938 -999999, 79711.9799804688 6556807.55957031 -999999, 79711.6098632813 6556814.08007812 -999999, 79712.4399414063 6556821.86035156 -999999, 79713.1000976563 6556828.96972656 -999999, 79714.759765625 6556833.59960938 -999999, 79714.58984375 6556837.0703125 -999999, 79715.75 6556837.90039063 -999999, 79715.419921875 6556839.21972656 -999999, 79717.0698242188 6556841.37011719 -999999, 79717.3999023438 6556841.53027344 -999999, 79718.7202148438 6556844.34960938 -999999, 79720.5400390625 6556840.70996094 -999999)</t>
  </si>
  <si>
    <t>['FV42 S8D1 m22314-22316']</t>
  </si>
  <si>
    <t>LINESTRING Z (82668.330078125 6516712.0390625 -999999, 82668.3601074219 6516712.0703125 -999999, 82668.3601074219 6516711.90039063 -999999, 82668.330078125 6516712.0390625 -999999)</t>
  </si>
  <si>
    <t>POLYGON Z ((82668.330078125 6516712.0390625 -999999, 82668.3601074219 6516712.0703125 -999999, 82668.3601074219 6516711.90039063 -999999, 82668.330078125 6516712.0390625 -999999))</t>
  </si>
  <si>
    <t>2020-11-03</t>
  </si>
  <si>
    <t>[578, 51973]</t>
  </si>
  <si>
    <t>['FV578 S2D110 m9-165', 'PV51973 S9D1 m0-12']</t>
  </si>
  <si>
    <t>LINESTRING Z (-30292.871 6743220.502 93.172, -30292.255 6743218.105 93.263, -30292.251 6743217.724 93.277, -30292.667 6743215.665 93.355, -30292.992 6743214.975 93.383)</t>
  </si>
  <si>
    <t>2017-09-06</t>
  </si>
  <si>
    <t>['FV578 S2D110 m10-11']</t>
  </si>
  <si>
    <t>LINESTRING Z (-30293.969 6743222.551 92.985, -30292.871 6743220.502 93.172)</t>
  </si>
  <si>
    <t>['FV578 S2D110 m8-11']</t>
  </si>
  <si>
    <t>LINESTRING Z (-30297.825 6743225.065 93.056, -30295.897 6743224.708 93.028, -30295.468 6743224.467 93.021, -30294.411 6743223.43 92.999, -30293.969 6743222.551 92.985)</t>
  </si>
  <si>
    <t>POLYGON Z ((-30297.825 6743225.065 93.056, -30295.897 6743224.708 93.028, -30295.468 6743224.467 93.021, -30294.411 6743223.43 92.999, -30293.969 6743222.551 92.985, -30297.825 6743225.065 93.056))</t>
  </si>
  <si>
    <t>['FV578 S2D105 m13-40']</t>
  </si>
  <si>
    <t>LINESTRING Z (-30309.429 6743200.584 93.57, -30308.668 6743204.963 93.502, -30305.574 6743205.237 93.907, -30305.439 6743207.523 93.84, -30304.728 6743214.218 93.71, -30302.041 6743218.68 93.83, -30299.565 6743220.497 93.905, -30296.879 6743221.518 93.731, -30297.825 6743225.065 93.056)</t>
  </si>
  <si>
    <t>POLYGON ((-30309.160616607038 6743205.048608869, -30309.149501279062 6743205.097746125, -30309.133497710616 6743205.145515428, -30309.11276837128 6743205.191431819, -30309.087523707003 6743205.235029152, -30309.05802000369 6743205.275864822, -30309.02455678535 6743205.313524263, -30308.987473773315 6743205.347625153, -30308.947147437368 6743205.377821297, -30308.903987173766 6743205.403806142, -30308.858431149045 6743205.425315886, -30308.8109418517 6743205.442132161, -30308.762001396968 6743205.454084247, -30308.712106632316 6743205.461050806, -30306.04770539846 6743205.697006183, -30305.938130397153 6743207.552476205, -30305.936204088815 6743207.575802406, -30305.225204088816 6743214.270802407, -30305.21650314889 6743214.324605223, -30305.201997913424 6743214.377141378, -30305.181860730645 6743214.427786647, -30305.15633086648 6743214.475939274, -30302.469330866483 6743218.937939273, -30302.44176301818 6743218.978979938, -30302.410276793787 6743219.017097388, -30302.37518004325 6743219.051918941, -30302.336815917577 6743219.083104134, -30299.860815917575 6743220.900104134, -30299.823412467864 6743220.9250455545, -30299.783919916074 6743220.946526496, -30299.74265753459 6743220.964373299, -30297.478374383667 6743221.825070654, -30298.308112948238 6743224.936151721, -30297.341887051763 6743225.19384828, -30296.395887051764 6743221.64684828, -30296.385607986973 6743221.599020501, -30296.38005197777 6743221.550417142, -30296.3792722097 6743221.501503468, -30296.383276147193 6743221.452747707, -30296.392025462068 6743221.404616582, -30296.40543640043 6743221.357570834, -30296.42338058443 6743221.312060814, -30296.445686241168 6743221.268522172, -30296.472139847003 6743221.227371688, -30296.502488171554 6743221.1890032785, -30296.53644070176 6743221.15378423, -30296.57367242286 6743221.122051682, -30296.613826929643 6743221.094109397, -30296.65651983816 6743221.070224859, -30296.70134246541 6743221.050626702, -30299.323901333635 6743220.05374189, -30301.664376493656 6743218.336196104, -30304.242499110536 6743214.054996582, -30304.940559700295 6743207.481838145, -30305.074869602846 6743205.207523795, -30305.080439350415 6743205.157013219, -30305.091107264423 6743205.1073288545, -30305.10676315214 6743205.058983911, -30305.12724529824 6743205.012477759, -30305.152342135236 6743204.96829078, -30305.181794428816 6743204.926879394, -30305.215297955587 6743204.888671357, -30305.252506645505 6743204.8540613325, -30305.293036156556 6743204.823406819, -30305.33646784476 6743204.7970244605, -30305.382353088506 6743204.775186768, -30305.43021792251 6743204.758119311, -30305.479567933595 6743204.745998386, -30305.529893367686 6743204.738949195, -30308.24116904404 6743204.498842687, -30308.936383392964 6743200.498391131, -30309.921616607036 6743200.669608869, -30309.160616607038 6743205.048608869))</t>
  </si>
  <si>
    <t>2017-09-11</t>
  </si>
  <si>
    <t>[5730]</t>
  </si>
  <si>
    <t>['KV5730 S1D1 m363-376']</t>
  </si>
  <si>
    <t>LINESTRING Z (277736.37 7039996.67 135.964, 277734.2 7039996.77 135.914, 277733.7 7039996.52 135.914, 277733.5 7039996.13 135.954, 277733.28 7039991.23 136.164, 277733.42 7039983.85 136.404, 277733.67 7039983.41 136.414, 277734.1 7039983.23 136.454, 277735.65 7039983.3 136.524, 277735.95 7039983.65 136.514, 277736.1 7039985.27 136.414, 277736.23 7039990.4 136.204)</t>
  </si>
  <si>
    <t>POLYGON Z ((277736.37 7039996.67 135.964, 277734.2 7039996.77 135.914, 277733.7 7039996.52 135.914, 277733.5 7039996.13 135.954, 277733.28 7039991.23 136.164, 277733.42 7039983.85 136.404, 277733.67 7039983.41 136.414, 277734.1 7039983.23 136.454, 277735.65 7039983.3 136.524, 277735.95 7039983.65 136.514, 277736.1 7039985.27 136.414, 277736.23 7039990.4 136.204, 277736.37 7039996.67 135.964))</t>
  </si>
  <si>
    <t>['KV5730 S1D1 m318-360']</t>
  </si>
  <si>
    <t>LINESTRING Z (277738.29 7040041.19 134.614, 277736.53 7040041.29 134.504, 277736.04 7040041.24 134.474, 277735.73 7040040.81 134.484, 277735.24 7040032.08 134.854, 277734.71 7040021.12 135.164, 277734.14 7040010.23 135.494, 277733.67 7040000 135.804, 277733.88 7039999.55 135.814, 277734.28 7039999.36 135.834, 277736.47 7039999.27 135.874, 277736.98 7040008.53 135.594, 277737.37 7040018.04 135.264, 277737.79 7040027.69 134.994, 277738.25 7040037.15 134.714)</t>
  </si>
  <si>
    <t>POLYGON Z ((277738.29 7040041.19 134.614, 277736.53 7040041.29 134.504, 277736.04 7040041.24 134.474, 277735.73 7040040.81 134.484, 277735.24 7040032.08 134.854, 277734.71 7040021.12 135.164, 277734.14 7040010.23 135.494, 277733.67 7040000 135.804, 277733.88 7039999.55 135.814, 277734.28 7039999.36 135.834, 277736.47 7039999.27 135.874, 277736.98 7040008.53 135.594, 277737.37 7040018.04 135.264, 277737.79 7040027.69 134.994, 277738.25 7040037.15 134.714, 277738.29 7040041.19 134.614))</t>
  </si>
  <si>
    <t>['KV5730 S1D10 m240-246']</t>
  </si>
  <si>
    <t>LINESTRING Z (277745.61 7039934.88 138.434, 277745.03 7039934.98 138.434, 277743.42 7039934.44 138.434, 277743.1 7039934.22 138.434, 277742.9 7039933.65 138.464, 277743.64 7039931.79 138.554, 277744.86 7039928.91 138.634, 277745.14 7039928.53 138.644, 277745.84 7039928.41 138.644, 277747.25 7039928.98 138.564, 277747.8 7039929.21 138.554)</t>
  </si>
  <si>
    <t>POLYGON Z ((277745.61 7039934.88 138.434, 277745.03 7039934.98 138.434, 277743.42 7039934.44 138.434, 277743.1 7039934.22 138.434, 277742.9 7039933.65 138.464, 277743.64 7039931.79 138.554, 277744.86 7039928.91 138.634, 277745.14 7039928.53 138.644, 277745.84 7039928.41 138.644, 277747.25 7039928.98 138.564, 277747.8 7039929.21 138.554, 277745.61 7039934.88 138.434))</t>
  </si>
  <si>
    <t>2021-01-08</t>
  </si>
  <si>
    <t>['RV5 S20D1 m6133-6168']</t>
  </si>
  <si>
    <t>LINESTRING Z (-27311.998830079683 6870060.869589492 -0.0112543040886521, -27276.52805641084 6870057.810338587 -0.0111983623355627)</t>
  </si>
  <si>
    <t>POLYGON ((-27276.485092366554 6870058.3084892575, -27276.571020455125 6870057.312187916, -27312.04179412397 6870060.371438821, -27311.955866035398 6870061.367740163, -27276.485092366554 6870058.3084892575))</t>
  </si>
  <si>
    <t>['RV5 S20D1 m5960-6028']</t>
  </si>
  <si>
    <t>LINESTRING Z (-27172.59620909358 6870044.498463025 -0.0110380640253425, -27154.57143366337 6870042.679448974 -0.0110098570585251, -27138.365672265063 6870042.348719146 -0.0109834112226963, -27120.17553191865 6870043.837003369 -0.0109521821141243, -27112.072651215713 6870046.813571816 -0.0109363459050655, -27101.32393192104 6870046.813571816 -0.0109186237677932, -27096.859079292626 6870045.325287592 -0.0109124993905425)</t>
  </si>
  <si>
    <t>POLYGON ((-27154.54118224035 6870043.17893571, -27138.380997570453 6870042.849136019, -27120.284095194984 6870044.329791681, -27112.245059948375 6870047.282906695, -27112.20313928129 6870047.296244443, -27112.16020851233 6870047.3058458455, -27112.116599966594 6870047.311636578, -27112.072651215713 6870047.313571816, -27101.32393192104 6870047.313571816, -27101.270409573717 6870047.310698921, -27101.217502282772 6870047.30211325, -27101.16581803658 6870047.287913465, -27096.700965408167 6870045.79962924, -27097.017193177086 6870044.850945943, -27101.40507075218 6870046.313571816, -27111.98371975627 6870046.313571816, -27120.003123185987 6870043.36766849, -27120.046069783828 6870043.354054556, -27120.09006748456 6870043.344361683, -27120.13475907087 6870043.338668567, -27138.324899417283 6870041.850384344, -27138.37587422251 6870041.848823237, -27154.581635620816 6870042.179553065, -27154.62163738146 6870042.181975773, -27172.64641281167 6870044.000989824, -27172.546005375487 6870044.995936227, -27154.54118224035 6870043.17893571))</t>
  </si>
  <si>
    <t>['RV5 S20D1 m5898-6095']</t>
  </si>
  <si>
    <t>LINESTRING Z (-27238.246079227072 6870061.0349544035 -0.0111325597390532, -27218.071559937554 6870059.050575439 -0.0111009450629354, -27207.984300293145 6870058.389115783 -0.0110848620533943, -27200.212149418192 6870058.719845609 -0.0110717723146081, -27191.943903807434 6870058.223750868 -0.0110585521906614, -27161.020665227203 6870052.932073628 -0.0110119646415114, -27142.49979505746 6870053.758898197 -0.0109807392582297, -27123.978924883995 6870057.066196472 -0.0109474519267678, -27114.718489794992 6870060.208129832 -0.0109295696020126, -27106.780974000576 6870066.988091293 -0.0109108444303274, -27102.316121360753 6870075.58706681 -0.0203438606113195, -27100.49710731872 6870081.374838792 -0.0203279610723257, -27099.339552922407 6870090.800638876 -0.020306721329689, -27097.520538872457 6870103.368372326 -0.0202776920050383, -27096.032254648744 6870115.109281199 -0.0202511139214039, -27095.866889732657 6870117.920484736 -0.0202452391386032)</t>
  </si>
  <si>
    <t>2017-10-11</t>
  </si>
  <si>
    <t>2025-11-22T09:14:41Z</t>
  </si>
  <si>
    <t>[83]</t>
  </si>
  <si>
    <t>['RV83 S2D1 m10063-10214']</t>
  </si>
  <si>
    <t>LINESTRING Z (563173.65 7630813.21 31.08, 563173.56 7630809.48 31.131, 563172.68 7630803.65 31.251, 563171.23 7630798.71 31.341, 563169.54 7630794.58 31.461, 563166.89 7630790.1 31.571, 563165.06 7630787.67 31.621, 563162.93 7630785.33 31.681, 563160.29 7630782.83 31.771, 563157.22 7630780.58 31.891, 563153.63 7630778.2 31.991, 563149.78 7630775.98 32.111, 563146.18 7630773.85 32.241, 563142.59 7630771.16 32.321, 563147.51 7630777.87 31.881, 563146.97 7630778.05 31.971, 563144.99 7630778.75 32.451, 563145.96 7630782.21 32.501, 563147.81 7630784.42 32.191, 563149.93 7630783.91 31.891, 563150.81 7630783.54 31.721, 563154.17 7630787.55 31.221, 563155.56 7630792.32 31.391, 563157.32 7630797.6 31.321, 563158.69 7630802.61 31.061, 563159.58 7630805.81 30.92, 563160.13 7630806.21 30.61, 563160.92 7630805.72 30.41, 563160.96 7630810.19 30.33, 563161.06 7630813.22 30.21, 563161.14 7630816.25 30.3, 563160.92 7630818.92 30.21, 563160.42 7630820.72 30.16, 563158.46 7630821.1 30.61, 563157.48 7630829 30.31, 563156.25 7630837.01 30.17, 563155.11 7630844.04 30.1, 563153.19 7630850.74 30.15, 563152.17 7630856.23 30.24, 563150.47 7630861.89 30.76, 563151.73 7630869.47 30.67, 563153.43 7630873.81 30.15, 563152.97 7630877.97 29.97, 563154.28 7630879.92 28.9, 563150.6 7630887.1 29.04, 563148.33 7630894.59 28.68, 563146.36 7630902.13 27.97, 563144.63 7630908.1 27.75, 563142.01 7630912.94 27.52, 563144.92 7630914.29 27.56, 563147.63 7630907.79 27.85, 563150.2 7630901.28 28.16, 563153.08 7630893.24 28.53, 563155.48 7630885.18 28.91, 563157.77 7630877.25 29.3, 563159.66 7630870.08 29.6, 563161.6 7630862.07 29.87, 563163.59 7630853.8 30.18, 563165.06 7630847.04 30.35, 563167.01 7630839.62 30.52, 563169.06 7630832.19 30.67, 563171.6 7630824.04 30.83, 563173.29 7630816.9 30.97, 563173.65 7630813.21 31.08)</t>
  </si>
  <si>
    <t>POLYGON Z ((563173.65 7630813.21 31.08, 563173.56 7630809.48 31.131, 563172.68 7630803.65 31.251, 563171.23 7630798.71 31.341, 563169.54 7630794.58 31.461, 563166.89 7630790.1 31.571, 563165.06 7630787.67 31.621, 563162.93 7630785.33 31.681, 563160.29 7630782.83 31.771, 563157.22 7630780.58 31.891, 563153.63 7630778.2 31.991, 563149.78 7630775.98 32.111, 563146.18 7630773.85 32.241, 563142.59 7630771.16 32.321, 563147.51 7630777.87 31.881, 563146.97 7630778.05 31.971, 563144.99 7630778.75 32.451, 563145.96 7630782.21 32.501, 563147.81 7630784.42 32.191, 563149.93 7630783.91 31.891, 563150.81 7630783.54 31.721, 563154.17 7630787.55 31.221, 563155.56 7630792.32 31.391, 563157.32 7630797.6 31.321, 563158.69 7630802.61 31.061, 563159.58 7630805.81 30.92, 563160.13 7630806.21 30.61, 563160.92 7630805.72 30.41, 563160.96 7630810.19 30.33, 563161.06 7630813.22 30.21, 563161.14 7630816.25 30.3, 563160.92 7630818.92 30.21, 563160.42 7630820.72 30.16, 563158.46 7630821.1 30.61, 563157.48 7630829 30.31, 563156.25 7630837.01 30.17, 563155.11 7630844.04 30.1, 563153.19 7630850.74 30.15, 563152.17 7630856.23 30.24, 563150.47 7630861.89 30.76, 563151.73 7630869.47 30.67, 563153.43 7630873.81 30.15, 563152.97 7630877.97 29.97, 563154.28 7630879.92 28.9, 563150.6 7630887.1 29.04, 563148.33 7630894.59 28.68, 563146.36 7630902.13 27.97, 563144.63 7630908.1 27.75, 563142.01 7630912.94 27.52, 563144.92 7630914.29 27.56, 563147.63 7630907.79 27.85, 563150.2 7630901.28 28.16, 563153.08 7630893.24 28.53, 563155.48 7630885.18 28.91, 563157.77 7630877.25 29.3, 563159.66 7630870.08 29.6, 563161.6 7630862.07 29.87, 563163.59 7630853.8 30.18, 563165.06 7630847.04 30.35, 563167.01 7630839.62 30.52, 563169.06 7630832.19 30.67, 563171.6 7630824.04 30.83, 563173.29 7630816.9 30.97, 563173.65 7630813.21 31.08))</t>
  </si>
  <si>
    <t>['RV83 S2D1 m9780-10010']</t>
  </si>
  <si>
    <t>LINESTRING Z (563192.04 7630684.89 29.941, 563190.26 7630679.02 29.911, 563188.94 7630674.75 30.091, 563187.93 7630670.68 30.241, 563185.75 7630661.55 30.411, 563184.83 7630657.66 30.451, 563183.81 7630652.92 30.431, 563183.06 7630648.96 30.391, 563182.33 7630644.92 30.431, 563181.59 7630639.91 30.431, 563180.49 7630631.53 30.461, 563180.27 7630627.34 30.501, 563179.24 7630618.74 30.421, 563179.06 7630614.65 30.421, 563178.9 7630610.52 30.451, 563178.44 7630606.93 30.421, 563178.21 7630601.52 30.421, 563177.9 7630595.83 30.441, 563177.42 7630587.97 30.501, 563177.27 7630582.32 30.541, 563176.66 7630574.42 30.551, 563176.28 7630568.21 30.641, 563175.86 7630561.96 30.761, 563175.58 7630557.02 30.941, 563175.2 7630552.01 31.171, 563174.95 7630546.36 31.411, 563174.62 7630540.34 31.661, 563174.68 7630532.96 32.091, 563174.69 7630524.53 32.491, 563174.64 7630517.06 32.881, 563174.69 7630511.4 33.201, 563174.73 7630503.3 33.661, 563174.42 7630496.66 34.161, 563174.51 7630490.9 34.681, 563173.74 7630481.09 35.291, 563173.02 7630480.78 34.851, 563172.94 7630480.97 34.701, 563173.02 7630480.78 34.851, 563172.79 7630485.63 34.361, 563172.62 7630492.29 33.881, 563172.27 7630497.92 33.381, 563171.95 7630502.46 32.701, 563171.7 7630507.7 32.121, 563171.54 7630512.38 31.671, 563171.4 7630515.31 31.351, 563171.23 7630513.86 31.071, 563170.98 7630513.76 31.071, 563170.97 7630507.91 31.101, 563171.08 7630500.56 31.101, 563171.05 7630499.67 31.171, 563171.16 7630492.02 31.291, 563171.36 7630484.82 31.461, 563170.65 7630471.51 31.271, 563173.16 7630470.33 32.081, 563173.01 7630463.81 31.011, 563172.67 7630459.89 31.361, 563171.04 7630458.88 31.151, 563169.6 7630464.75 30.971, 563168.33 7630470.72 31.031, 563167.82 7630474.73 31.061, 563167.9 7630488.28 30.991, 563168.02 7630497.06 30.771, 563168.34 7630508.27 30.761, 563168.54 7630520.45 30.671, 563168.84 7630531.8 30.561, 563168.87 7630544.44 30.451, 563169.06 7630555.42 30.391, 563169.2 7630565.4 30.281, 563169.48 7630575.42 30.281, 563169.69 7630585.54 30.301, 563170.11 7630595.79 30.421, 563170.81 7630607.48 30.501, 563171.97 7630619.41 30.621, 563173.44 7630628.24 30.721, 563175.6 7630638.49 30.861, 563178.51 7630650.53 31.121, 563181.55 7630662.82 31.301, 563184.26 7630673.51 31.341, 563185.67 7630680.2 31.361, 563186.25 7630682.44 31.321, 563186.95 7630684.51 31.281, 563190.3 7630685.17 29.941, 563192.04 7630684.89 29.941)</t>
  </si>
  <si>
    <t>['RV83 S2D1 m9830-9988']</t>
  </si>
  <si>
    <t>LINESTRING Z (563192.7 7630661.69 30.411, 563196.6 7630659.41 30.691, 563193.81 7630652.27 30.691, 563191.41 7630646.46 30.751, 563190.66 7630638.65 30.851, 563189.56 7630630.17 30.861, 563188.5 7630624.01 30.801, 563187.63 7630613.42 30.571, 563187.3 7630604.87 30.651, 563187.29 7630593.23 30.661, 563186.81 7630582.48 30.701, 563185.47 7630572.49 30.671, 563183.87 7630562.24 30.681, 563182.73 7630552.28 30.821, 563182.06 7630545.01 30.871, 563182.23 7630536.26 31.051, 563183.04 7630521.94 31.541, 563183.25 7630512.83 31.751, 563183.43 7630507.91 31.951, 563179.53 7630507.81 33.511, 563179.47 7630511.5 33.201, 563179.52 7630516.61 32.951, 563179.48 7630520.84 32.771, 563179.55 7630525.62 32.531, 563179.49 7630530.46 32.281, 563179.5 7630534.75 32.031, 563179.49 7630539.67 31.851, 563179.7 7630544.53 31.541, 563179.98 7630550.08 31.301, 563180.32 7630554.76 31.061, 563180.68 7630560.92 30.871, 563181.5 7630572.29 30.651, 563181.88 7630577.99 30.651, 563182.27 7630584.64 30.631, 563182.66 7630591.42 30.521, 563183 7630596.14 30.521, 563183.31 7630602.49 30.521, 563183.53 7630607.36 30.531, 563183.89 7630613.01 30.521, 563184.28 7630617.83 30.491, 563184.8 7630623.65 30.481, 563185.4 7630630.1 30.561, 563186.17 7630635.62 30.511, 563186.91 7630640.61 30.481, 563187.94 7630647.03 30.461, 563190.31 7630658.39 30.381, 563190.88 7630661.16 30.371, 563191.35 7630661.75 30.381, 563192.7 7630661.69 30.411)</t>
  </si>
  <si>
    <t>POLYGON Z ((563192.7 7630661.69 30.411, 563196.6 7630659.41 30.691, 563193.81 7630652.27 30.691, 563191.41 7630646.46 30.751, 563190.66 7630638.65 30.851, 563189.56 7630630.17 30.861, 563188.5 7630624.01 30.801, 563187.63 7630613.42 30.571, 563187.3 7630604.87 30.651, 563187.29 7630593.23 30.661, 563186.81 7630582.48 30.701, 563185.47 7630572.49 30.671, 563183.87 7630562.24 30.681, 563182.73 7630552.28 30.821, 563182.06 7630545.01 30.871, 563182.23 7630536.26 31.051, 563183.04 7630521.94 31.541, 563183.25 7630512.83 31.751, 563183.43 7630507.91 31.951, 563179.53 7630507.81 33.511, 563179.47 7630511.5 33.201, 563179.52 7630516.61 32.951, 563179.48 7630520.84 32.771, 563179.55 7630525.62 32.531, 563179.49 7630530.46 32.281, 563179.5 7630534.75 32.031, 563179.49 7630539.67 31.851, 563179.7 7630544.53 31.541, 563179.98 7630550.08 31.301, 563180.32 7630554.76 31.061, 563180.68 7630560.92 30.871, 563181.5 7630572.29 30.651, 563181.88 7630577.99 30.651, 563182.27 7630584.64 30.631, 563182.66 7630591.42 30.521, 563183 7630596.14 30.521, 563183.31 7630602.49 30.521, 563183.53 7630607.36 30.531, 563183.89 7630613.01 30.521, 563184.28 7630617.83 30.491, 563184.8 7630623.65 30.481, 563185.4 7630630.1 30.561, 563186.17 7630635.62 30.511, 563186.91 7630640.61 30.481, 563187.94 7630647.03 30.461, 563190.31 7630658.39 30.381, 563190.88 7630661.16 30.371, 563191.35 7630661.75 30.381, 563192.7 7630661.69 30.411))</t>
  </si>
  <si>
    <t>['RV83 S2D1 m9782-9828']</t>
  </si>
  <si>
    <t>LINESTRING Z (563182.91 7630459.95 34.181, 563182.44 7630462.5 34.331, 563181.74 7630465.34 34.521, 563180.97 7630468.39 34.751, 563180.3 7630471.06 34.951, 563179.74 7630474.42 35.281, 563179.47 7630478 35.341, 563179.41 7630481.72 35.311, 563179.38 7630485.05 35.141, 563179.65 7630489.26 34.801, 563179.69 7630493.43 34.451, 563179.72 7630498.98 34.011, 563179.6 7630503.04 33.751, 563179.75 7630505.97 33.571, 563183.72 7630505.78 31.971, 563183.63 7630498.06 32.361, 563183.49 7630490.33 32.941, 563182.95 7630480.08 33.901, 563182.83 7630470.95 34.021, 563183.29 7630463.61 33.991, 563182.91 7630459.95 34.181)</t>
  </si>
  <si>
    <t>POLYGON Z ((563182.91 7630459.95 34.181, 563182.44 7630462.5 34.331, 563181.74 7630465.34 34.521, 563180.97 7630468.39 34.751, 563180.3 7630471.06 34.951, 563179.74 7630474.42 35.281, 563179.47 7630478 35.341, 563179.41 7630481.72 35.311, 563179.38 7630485.05 35.141, 563179.65 7630489.26 34.801, 563179.69 7630493.43 34.451, 563179.72 7630498.98 34.011, 563179.6 7630503.04 33.751, 563179.75 7630505.97 33.571, 563183.72 7630505.78 31.971, 563183.63 7630498.06 32.361, 563183.49 7630490.33 32.941, 563182.95 7630480.08 33.901, 563182.83 7630470.95 34.021, 563183.29 7630463.61 33.991, 563182.91 7630459.95 34.181))</t>
  </si>
  <si>
    <t>['RV83 S2D1 m9805-9835']</t>
  </si>
  <si>
    <t>LINESTRING Z (563150.1 7630506.45 31.001, 563149.9 7630504.58 31.171, 563149.87 7630500.89 31.101, 563151.74 7630500.79 30.981, 563153.94 7630498.01 30.821, 563154.62 7630494.35 30.921, 563151.01 7630494.96 31.681, 563151.01 7630493.06 31.831, 563149.84 7630491.38 32.691, 563148.83 7630488.47 33.791, 563147.29 7630485.24 34.681, 563145.78 7630484.15 35.001, 563143.93 7630484.97 34.931, 563142.57 7630485.97 34.911, 563141.9 7630487.49 34.911, 563141.88 7630490.57 34.891, 563142.25 7630496.95 34.651, 563142.87 7630503.64 34.441, 563143.31 7630509.15 34.161, 563143.42 7630513.3 33.831, 563151.66 7630513.09 31.041, 563151.43 7630510.76 31.101, 563150.74 7630507.37 30.921, 563150.1 7630506.45 31.001)</t>
  </si>
  <si>
    <t>POLYGON Z ((563150.1 7630506.45 31.001, 563149.9 7630504.58 31.171, 563149.87 7630500.89 31.101, 563151.74 7630500.79 30.981, 563153.94 7630498.01 30.821, 563154.62 7630494.35 30.921, 563151.01 7630494.96 31.681, 563151.01 7630493.06 31.831, 563149.84 7630491.38 32.691, 563148.83 7630488.47 33.791, 563147.29 7630485.24 34.681, 563145.78 7630484.15 35.001, 563143.93 7630484.97 34.931, 563142.57 7630485.97 34.911, 563141.9 7630487.49 34.911, 563141.88 7630490.57 34.891, 563142.25 7630496.95 34.651, 563142.87 7630503.64 34.441, 563143.31 7630509.15 34.161, 563143.42 7630513.3 33.831, 563151.66 7630513.09 31.041, 563151.43 7630510.76 31.101, 563150.74 7630507.37 30.921, 563150.1 7630506.45 31.001))</t>
  </si>
  <si>
    <t>['RV83 S2D1 m9836-9860']</t>
  </si>
  <si>
    <t>LINESTRING Z (563151.54 7630534.54 32.751, 563151.55 7630528.93 30.841, 563151.49 7630522.03 30.901, 563151.54 7630515.05 31.071, 563143.99 7630515.1 33.781, 563143.95 7630515.25 33.711, 563144.65 7630520.74 33.171, 563145.46 7630525.44 32.781, 563146.52 7630530.9 32.511, 563147.6 7630537.05 31.981, 563148.9 7630538.39 31.611, 563151.05 7630537.03 31.071, 563151.54 7630534.54 32.751)</t>
  </si>
  <si>
    <t>POLYGON Z ((563151.54 7630534.54 32.751, 563151.55 7630528.93 30.841, 563151.49 7630522.03 30.901, 563151.54 7630515.05 31.071, 563143.99 7630515.1 33.781, 563143.95 7630515.25 33.711, 563144.65 7630520.74 33.171, 563145.46 7630525.44 32.781, 563146.52 7630530.9 32.511, 563147.6 7630537.05 31.981, 563148.9 7630538.39 31.611, 563151.05 7630537.03 31.071, 563151.54 7630534.54 32.751))</t>
  </si>
  <si>
    <t>['RV83 S2D1 m9859-10057']</t>
  </si>
  <si>
    <t>LINESTRING Z (563169.72 7630687.6 31.691, 563168.11 7630678.66 31.641, 563166.52 7630670.31 31.701, 563164.83 7630662.08 31.671, 563163.5 7630655.02 31.691, 563162.23 7630647.9 31.691, 563160.82 7630639.78 31.661, 563159.38 7630629.93 31.651, 563158.32 7630622.85 31.591, 563157.48 7630614.79 31.541, 563156.75 7630606.3 31.391, 563156.1 7630596.45 31.151, 563155.78 7630588.6 30.971, 563155.71 7630580.15 30.791, 563156.08 7630571.66 30.661, 563156.7 7630563.2 30.601, 563157.04 7630555.62 30.611, 563156.99 7630548.71 30.621, 563156.25 7630541.7 30.631, 563155.79 7630537.09 30.701, 563155.58 7630537.2 30.761, 563154.56 7630538.03 31.041, 563153.5 7630540.82 31.371, 563152.56 7630543.22 31.451, 563150.41 7630545.07 31.641, 563147.58 7630545.33 31.721, 563145.09 7630544.66 31.781, 563145.08 7630545.83 31.901, 563147.11 7630547.44 31.701, 563148.63 7630552.33 31.481, 563147.32 7630557.61 31.731, 563147.08 7630566.23 31.651, 563147.89 7630576.02 31.471, 563149.03 7630582.86 31.441, 563150.37 7630584.15 31.151, 563150.68 7630587.27 31.121, 563149.56 7630590.04 31.421, 563148.23 7630591.46 31.661, 563149.03 7630596.59 31.371, 563150.09 7630603.03 31.381, 563150.6 7630609.39 31.071, 563148.45 7630616.66 31.121, 563146.91 7630620.5 31.401, 563142.82 7630624.72 31.601, 563136.36 7630627.95 31.631, 563129.03 7630629.61 31.941, 563122.2 7630628.62 32.251, 563115.05 7630626.46 32.691, 563107.65 7630623.19 33.221, 563103.83 7630630.04 38.331, 563106.26 7630631.39 38.101, 563113.67 7630636.21 37.571, 563121.21 7630641.09 37.051, 563128.64 7630646.04 36.601, 563135.81 7630651 36.131, 563141.61 7630655.3 35.811, 563146.67 7630660.24 35.551, 563150.57 7630665.09 35.301, 563153.36 7630669.65 35.011, 563156.2 7630675.45 34.711, 563157.97 7630680.78 34.441, 563159.93 7630691.35 33.991, 563160.05 7630696.65 33.881, 563159.82 7630700.59 33.771, 563158.81 7630706.08 33.631, 563157.78 7630710.63 33.461, 563156.29 7630714.96 33.341, 563153.8 7630719.83 33.231, 563150.48 7630724.75 33.111, 563146.09 7630730.67 32.921, 563142.78 7630735.29 32.851, 563140.8 7630738.83 32.711, 563139.91 7630742.74 32.621, 563140.34 7630746.75 32.461, 563141.84 7630750.75 32.301, 563143.77 7630753.04 32.221, 563146.09 7630754.62 32.131, 563149.44 7630756 31.941, 563149.69 7630756.54 32.071, 563151.42 7630756.76 32.041, 563155.51 7630756.13 31.961, 563158.07 7630755.04 31.951, 563161.58 7630752.68 31.961, 563165.63 7630749.67 32.041, 563166.62 7630748.72 32.031, 563166.99 7630747.95 32.061, 563167.94 7630743.6 32.111, 563169.23 7630739.86 32.151, 563171.21 7630735.89 32.171, 563173.88 7630731.93 32.221, 563174.09 7630731.3 32.211, 563174.56 7630727.65 32.171, 563174.7 7630723.64 32.111, 563174.77 7630719.75 32.081, 563174.56 7630715.38 32.051, 563174.12 7630711.15 32.031, 563172.74 7630702.98 31.931, 563171.26 7630695.43 31.791, 563169.72 7630687.6 31.691)</t>
  </si>
  <si>
    <t>POLYGON Z ((563169.72 7630687.6 31.691, 563168.11 7630678.66 31.641, 563166.52 7630670.31 31.701, 563164.83 7630662.08 31.671, 563163.5 7630655.02 31.691, 563162.23 7630647.9 31.691, 563160.82 7630639.78 31.661, 563159.38 7630629.93 31.651, 563158.32 7630622.85 31.591, 563157.48 7630614.79 31.541, 563156.75 7630606.3 31.391, 563156.1 7630596.45 31.151, 563155.78 7630588.6 30.971, 563155.71 7630580.15 30.791, 563156.08 7630571.66 30.661, 563156.7 7630563.2 30.601, 563157.04 7630555.62 30.611, 563156.99 7630548.71 30.621, 563156.25 7630541.7 30.631, 563155.79 7630537.09 30.701, 563155.58 7630537.2 30.761, 563154.56 7630538.03 31.041, 563153.5 7630540.82 31.371, 563152.56 7630543.22 31.451, 563150.41 7630545.07 31.641, 563147.58 7630545.33 31.721, 563145.09 7630544.66 31.781, 563145.08 7630545.83 31.901, 563147.11 7630547.44 31.701, 563148.63 7630552.33 31.481, 563147.32 7630557.61 31.731, 563147.08 7630566.23 31.651, 563147.89 7630576.02 31.471, 563149.03 7630582.86 31.441, 563150.37 7630584.15 31.151, 563150.68 7630587.27 31.121, 563149.56 7630590.04 31.421, 563148.23 7630591.46 31.661, 563149.03 7630596.59 31.371, 563150.09 7630603.03 31.381, 563150.6 7630609.39 31.071, 563148.45 7630616.66 31.121, 563146.91 7630620.5 31.401, 563142.82 7630624.72 31.601, 563136.36 7630627.95 31.631, 563129.03 7630629.61 31.941, 563122.2 7630628.62 32.251, 563115.05 7630626.46 32.691, 563107.65 7630623.19 33.221, 563103.83 7630630.04 38.331, 563106.26 7630631.39 38.101, 563113.67 7630636.21 37.571, 563121.21 7630641.09 37.051, 563128.64 7630646.04 36.601, 563135.81 7630651 36.131, 563141.61 7630655.3 35.811, 563146.67 7630660.24 35.551, 563150.57 7630665.09 35.301, 563153.36 7630669.65 35.011, 563156.2 7630675.45 34.711, 563157.97 7630680.78 34.441, 563159.93 7630691.35 33.991, 563160.05 7630696.65 33.881, 563159.82 7630700.59 33.771, 563158.81 7630706.08 33.631, 563157.78 7630710.63 33.461, 563156.29 7630714.96 33.341, 563153.8 7630719.83 33.231, 563150.48 7630724.75 33.111, 563146.09 7630730.67 32.921, 563142.78 7630735.29 32.851, 563140.8 7630738.83 32.711, 563139.91 7630742.74 32.621, 563140.34 7630746.75 32.461, 563141.84 7630750.75 32.301, 563143.77 7630753.04 32.221, 563146.09 7630754.62 32.131, 563149.44 7630756 31.941, 563149.69 7630756.54 32.071, 563151.42 7630756.76 32.041, 563155.51 7630756.13 31.961, 563158.07 7630755.04 31.951, 563161.58 7630752.68 31.961, 563165.63 7630749.67 32.041, 563166.62 7630748.72 32.031, 563166.99 7630747.95 32.061, 563167.94 7630743.6 32.111, 563169.23 7630739.86 32.151, 563171.21 7630735.89 32.171, 563173.88 7630731.93 32.221, 563174.09 7630731.3 32.211, 563174.56 7630727.65 32.171, 563174.7 7630723.64 32.111, 563174.77 7630719.75 32.081, 563174.56 7630715.38 32.051, 563174.12 7630711.15 32.031, 563172.74 7630702.98 31.931, 563171.26 7630695.43 31.791, 563169.72 7630687.6 31.691))</t>
  </si>
  <si>
    <t>['FV848 S6D1 m1515-1524']</t>
  </si>
  <si>
    <t>LINESTRING Z (563237.33 7630729.99 32.431, 563237.32 7630730.16 32.101, 563236.55 7630727.31 32.101, 563238.78 7630726.69 32.431, 563238.41 7630722.82 32.391, 563235.55 7630721.94 31.881, 563231.73 7630720.64 31.551, 563228.44 7630719.49 31.631, 563229.88 7630723.31 31.461, 563231.09 7630726.29 31.331, 563232.06 7630728.37 31.361, 563237.33 7630729.99 32.431)</t>
  </si>
  <si>
    <t>[848, 83]</t>
  </si>
  <si>
    <t>['RV83 S2D1 m9991-10057', 'FV848 S6D1 m1495-1550']</t>
  </si>
  <si>
    <t>LINESTRING Z (563243.89 7630718.42 32.621, 563257 7630712.35 31.741, 563252.82 7630713.35 31.541, 563247.1 7630713.75 31.091, 563240.71 7630713.77 31.091, 563236.13 7630712.17 31.401, 563228.75 7630709.58 31.281, 563221.18 7630705.08 31.011, 563213.84 7630697.18 30.841, 563209.51 7630690.28 30.691, 563206.06 7630681.97 30.511, 563201.73 7630671.67 30.421, 563198.4 7630664.36 30.641, 563193.81 7630666.71 30.481, 563192.5 7630668.19 30.291, 563193.68 7630672.3 30.171, 563194.89 7630671.98 30.171, 563195.56 7630674.49 30.081, 563194.32 7630674.83 30.111, 563194.34 7630674.94 30.091, 563195.25 7630678.56 29.881, 563196.14 7630679.25 29.901, 563197.45 7630679.34 29.841, 563198.89 7630679.7 29.831, 563199.92 7630680.49 29.811, 563201.85 7630683.21 29.851, 563203.71 7630686.85 30.001, 563205.74 7630690.64 30.181, 563207.83 7630694.12 30.351, 563210.13 7630697.58 30.611, 563213.07 7630701.32 30.841, 563216.79 7630704.98 31.061, 563220.72 7630708.19 31.371, 563224.72 7630711.05 31.641, 563228.47 7630713.17 31.801, 563235.48 7630716.09 32.181, 563238.45 7630717.04 32.331, 563241.47 7630717.82 32.511, 563243.89 7630718.42 32.621)</t>
  </si>
  <si>
    <t>POLYGON Z ((563243.89 7630718.42 32.621, 563257 7630712.35 31.741, 563252.82 7630713.35 31.541, 563247.1 7630713.75 31.091, 563240.71 7630713.77 31.091, 563236.13 7630712.17 31.401, 563228.75 7630709.58 31.281, 563221.18 7630705.08 31.011, 563213.84 7630697.18 30.841, 563209.51 7630690.28 30.691, 563206.06 7630681.97 30.511, 563201.73 7630671.67 30.421, 563198.4 7630664.36 30.641, 563193.81 7630666.71 30.481, 563192.5 7630668.19 30.291, 563193.68 7630672.3 30.171, 563194.89 7630671.98 30.171, 563195.56 7630674.49 30.081, 563194.32 7630674.83 30.111, 563194.34 7630674.94 30.091, 563195.25 7630678.56 29.881, 563196.14 7630679.25 29.901, 563197.45 7630679.34 29.841, 563198.89 7630679.7 29.831, 563199.92 7630680.49 29.811, 563201.85 7630683.21 29.851, 563203.71 7630686.85 30.001, 563205.74 7630690.64 30.181, 563207.83 7630694.12 30.351, 563210.13 7630697.58 30.611, 563213.07 7630701.32 30.841, 563216.79 7630704.98 31.061, 563220.72 7630708.19 31.371, 563224.72 7630711.05 31.641, 563228.47 7630713.17 31.801, 563235.48 7630716.09 32.181, 563238.45 7630717.04 32.331, 563241.47 7630717.82 32.511, 563243.89 7630718.42 32.621))</t>
  </si>
  <si>
    <t>['FV848 S6D1 m1457-1505']</t>
  </si>
  <si>
    <t>LINESTRING Z (563249.36 7630719.07 32.791, 563249.43 7630717.8 32.481, 563252.24 7630717.09 32.231, 563255.57 7630716.4 31.881, 563258.92 7630716.03 31.541, 563259.87 7630715.89 31.511, 563259.82 7630717.06 32.071, 563260.1 7630718.75 33.041, 563261.1 7630718.66 33.061, 563265.09 7630718.11 33.021, 563269.36 7630717.51 33.041, 563273.83 7630716.94 33.081, 563278.44 7630716.36 33.091, 563283.26 7630715.58 33.081, 563287.44 7630714.82 33.101, 563291.13 7630713.6 33.101, 563294.24 7630712.28 33.121, 563297.91 7630709.87 33.111, 563300.56 7630708.13 33.151, 563301.89 7630707.02 33.171, 563298.76 7630705.47 32.431, 563292.56 7630707.79 31.631, 563287.12 7630709.67 31.331, 563284.86 7630707.75 31.271, 563278.11 7630709.06 31.351, 563273.93 7630709.96 31.311, 563268.24 7630710.69 31.211, 563262.39 7630711.5 31.131, 563247.67 7630718.68 32.741, 563249.36 7630719.07 32.791)</t>
  </si>
  <si>
    <t>['FV848 S6D1 m1457-1492']</t>
  </si>
  <si>
    <t>LINESTRING Z (563263.95 7630729.46 32.921, 563266.66 7630729.27 32.931, 563270.72 7630728.77 32.951, 563274.78 7630728.18 32.971, 563278.02 7630727.61 33.021, 563283.45 7630726.93 33.081, 563288.2 7630725.9 33.181, 563292.82 7630724.84 33.251, 563297.05 7630723.34 33.321, 563300.17 7630720.8 33.351, 563303.05 7630718.72 33.351, 563306.15 7630715.95 33.361, 563308.65 7630712.9 33.351, 563311.36 7630708.91 33.321, 563313.11 7630705.07 33.271, 563313.49 7630704.08 33.261, 563312.47 7630703.65 33.201, 563311.18 7630703.36 33.221, 563310.27 7630703.91 33.201, 563309.28 7630704.99 33.221, 563307.07 7630707.67 33.231, 563304.09 7630710.39 33.211, 563300.76 7630713.01 33.151, 563297.46 7630715.05 33.151, 563293.9 7630716.78 33.211, 563290.35 7630718.21 33.161, 563286.84 7630719.37 33.171, 563283.43 7630719.91 33.121, 563279.23 7630720.66 33.081, 563274.22 7630721.08 33.141, 563270.15 7630721.53 33.141, 563265.89 7630721.98 33.151, 563261.27 7630722.58 33.071, 563263.95 7630729.46 32.921)</t>
  </si>
  <si>
    <t>POLYGON Z ((563263.95 7630729.46 32.921, 563266.66 7630729.27 32.931, 563270.72 7630728.77 32.951, 563274.78 7630728.18 32.971, 563278.02 7630727.61 33.021, 563283.45 7630726.93 33.081, 563288.2 7630725.9 33.181, 563292.82 7630724.84 33.251, 563297.05 7630723.34 33.321, 563300.17 7630720.8 33.351, 563303.05 7630718.72 33.351, 563306.15 7630715.95 33.361, 563308.65 7630712.9 33.351, 563311.36 7630708.91 33.321, 563313.11 7630705.07 33.271, 563313.49 7630704.08 33.261, 563312.47 7630703.65 33.201, 563311.18 7630703.36 33.221, 563310.27 7630703.91 33.201, 563309.28 7630704.99 33.221, 563307.07 7630707.67 33.231, 563304.09 7630710.39 33.211, 563300.76 7630713.01 33.151, 563297.46 7630715.05 33.151, 563293.9 7630716.78 33.211, 563290.35 7630718.21 33.161, 563286.84 7630719.37 33.171, 563283.43 7630719.91 33.121, 563279.23 7630720.66 33.081, 563274.22 7630721.08 33.141, 563270.15 7630721.53 33.141, 563265.89 7630721.98 33.151, 563261.27 7630722.58 33.071, 563263.95 7630729.46 32.921))</t>
  </si>
  <si>
    <t>['FV848 S6D1 m1457-1530']</t>
  </si>
  <si>
    <t>LINESTRING Z (563296.6 7630758.79 33.601, 563296.19 7630754.99 33.561, 563295.09 7630751.79 33.461, 563294.23 7630750.54 33.421, 563292.94 7630749.11 33.371, 563291.7 7630747.91 33.311, 563289.87 7630747.07 33.281, 563287.59 7630746.56 33.201, 563281.13 7630746.59 33.041, 563275.96 7630747.05 32.911, 563272.06 7630747.63 32.821, 563266.43 7630748.42 32.731, 563260.99 7630749.3 32.661, 563258.25 7630749.81 32.641, 563252.22 7630750.99 32.541, 563245.89 7630752.68 32.461, 563241.86 7630753.84 32.411, 563239.29 7630754.82 32.351, 563234.98 7630756.47 32.291, 563231.22 7630758.06 32.301, 563228.34 7630759.37 32.311, 563228.32 7630762.44 29.281, 563232.3 7630760.14 31.661, 563234.92 7630759.01 31.921, 563234.83 7630762.23 31.531, 563234.84 7630766.1 31.401, 563234.91 7630768.89 30.661, 563237.04 7630768.03 30.381, 563239.26 7630766.18 30.541, 563241.53 7630764.38 30.901, 563242.15 7630765.8 30.071, 563239.09 7630768.3 29.851, 563236.01 7630770.81 29.681, 563233.12 7630773.83 29.371, 563231.84 7630775.19 29.331, 563232.73 7630775.1 29.351, 563233.42 7630774.58 29.451, 563236.11 7630772.01 29.721, 563238.5 7630769.92 29.931, 563241.34 7630767.81 30.121, 563243.6 7630766.24 30.291, 563246.79 7630764.44 30.541, 563249.06 7630763.27 30.711, 563252.38 7630761.92 30.921, 563256.58 7630760.46 31.221, 563259.72 7630759.5 31.401, 563262.63 7630758.93 31.631, 563265.28 7630758.44 31.841, 563268.42 7630758.15 32.021, 563271.52 7630757.9 32.211, 563274.34 7630757.97 32.431, 563277.91 7630758.11 32.581, 563282.89 7630758.55 32.931, 563288.18 7630758.96 33.251, 563291.28 7630759.14 33.471, 563294.42 7630759.39 33.591, 563295.51 7630759.31 33.661, 563296.29 7630759.08 33.551, 563296.53 7630758.81 33.551, 563296.6 7630758.79 33.601)</t>
  </si>
  <si>
    <t>POLYGON Z ((563296.6 7630758.79 33.601, 563296.19 7630754.99 33.561, 563295.09 7630751.79 33.461, 563294.23 7630750.54 33.421, 563292.94 7630749.11 33.371, 563291.7 7630747.91 33.311, 563289.87 7630747.07 33.281, 563287.59 7630746.56 33.201, 563281.13 7630746.59 33.041, 563275.96 7630747.05 32.911, 563272.06 7630747.63 32.821, 563266.43 7630748.42 32.731, 563260.99 7630749.3 32.661, 563258.25 7630749.81 32.641, 563252.22 7630750.99 32.541, 563245.89 7630752.68 32.461, 563241.86 7630753.84 32.411, 563239.29 7630754.82 32.351, 563234.98 7630756.47 32.291, 563231.22 7630758.06 32.301, 563228.34 7630759.37 32.311, 563228.32 7630762.44 29.281, 563232.3 7630760.14 31.661, 563234.92 7630759.01 31.921, 563234.83 7630762.23 31.531, 563234.84 7630766.1 31.401, 563234.91 7630768.89 30.661, 563237.04 7630768.03 30.381, 563239.26 7630766.18 30.541, 563241.53 7630764.38 30.901, 563242.15 7630765.8 30.071, 563239.09 7630768.3 29.851, 563236.01 7630770.81 29.681, 563233.12 7630773.83 29.371, 563231.84 7630775.19 29.331, 563232.73 7630775.1 29.351, 563233.42 7630774.58 29.451, 563236.11 7630772.01 29.721, 563238.5 7630769.92 29.931, 563241.34 7630767.81 30.121, 563243.6 7630766.24 30.291, 563246.79 7630764.44 30.541, 563249.06 7630763.27 30.711, 563252.38 7630761.92 30.921, 563256.58 7630760.46 31.221, 563259.72 7630759.5 31.401, 563262.63 7630758.93 31.631, 563265.28 7630758.44 31.841, 563268.42 7630758.15 32.021, 563271.52 7630757.9 32.211, 563274.34 7630757.97 32.431, 563277.91 7630758.11 32.581, 563282.89 7630758.55 32.931, 563288.18 7630758.96 33.251, 563291.28 7630759.14 33.471, 563294.42 7630759.39 33.591, 563295.51 7630759.31 33.661, 563296.29 7630759.08 33.551, 563296.53 7630758.81 33.551, 563296.6 7630758.79 33.601))</t>
  </si>
  <si>
    <t>['FV848 S6D1 m1457-1550', 'RV83 S2D1 m10057-10122']</t>
  </si>
  <si>
    <t>LINESTRING Z (563290.43 7630855.75 33.251, 563289.51 7630850.14 33.371, 563289.01 7630841.1 33.521, 563289.3 7630836.42 33.581, 563289.78 7630831.26 33.641, 563290.34 7630826.02 33.711, 563291.18 7630820.13 33.771, 563291.87 7630814.58 33.831, 563292.55 7630808.27 33.851, 563293.29 7630802.35 33.851, 563293.92 7630796.83 33.841, 563294.58 7630791.61 33.801, 563295.25 7630786.23 33.751, 563295.79 7630780.08 33.731, 563296.63 7630773.24 33.671, 563297.01 7630767.78 33.651, 563297.06 7630765.44 33.641, 563297.08 7630763.98 33.641, 563293.97 7630763.93 33.581, 563293.74 7630764.33 33.601, 563293.44 7630768.77 33.591, 563293.09 7630773.49 33.631, 563292.84 7630777.92 33.651, 563292.46 7630782.16 33.711, 563291.93 7630786.41 33.761, 563291.51 7630790.82 33.821, 563290.75 7630795.8 33.851, 563289.97 7630800.5 33.891, 563289.44 7630804.66 33.971, 563288.83 7630809.04 33.931, 563288.43 7630813.09 33.911, 563287.84 7630817.97 33.871, 563287.37 7630823.47 33.791, 563286.81 7630828.17 33.751, 563286.24 7630832.74 33.781, 563286.06 7630836.99 33.661, 563286.21 7630839.85 33.621, 563286.44 7630845.23 33.461, 563286.81 7630848.46 33.391, 563287.36 7630851.94 33.251, 563287.86 7630854.68 33.131, 563288.9 7630858.26 32.941, 563289.62 7630861.35 32.821, 563290.01 7630862.85 32.801, 563290.43 7630855.75 33.251)</t>
  </si>
  <si>
    <t>POLYGON Z ((563290.43 7630855.75 33.251, 563289.51 7630850.14 33.371, 563289.01 7630841.1 33.521, 563289.3 7630836.42 33.581, 563289.78 7630831.26 33.641, 563290.34 7630826.02 33.711, 563291.18 7630820.13 33.771, 563291.87 7630814.58 33.831, 563292.55 7630808.27 33.851, 563293.29 7630802.35 33.851, 563293.92 7630796.83 33.841, 563294.58 7630791.61 33.801, 563295.25 7630786.23 33.751, 563295.79 7630780.08 33.731, 563296.63 7630773.24 33.671, 563297.01 7630767.78 33.651, 563297.06 7630765.44 33.641, 563297.08 7630763.98 33.641, 563293.97 7630763.93 33.581, 563293.74 7630764.33 33.601, 563293.44 7630768.77 33.591, 563293.09 7630773.49 33.631, 563292.84 7630777.92 33.651, 563292.46 7630782.16 33.711, 563291.93 7630786.41 33.761, 563291.51 7630790.82 33.821, 563290.75 7630795.8 33.851, 563289.97 7630800.5 33.891, 563289.44 7630804.66 33.971, 563288.83 7630809.04 33.931, 563288.43 7630813.09 33.911, 563287.84 7630817.97 33.871, 563287.37 7630823.47 33.791, 563286.81 7630828.17 33.751, 563286.24 7630832.74 33.781, 563286.06 7630836.99 33.661, 563286.21 7630839.85 33.621, 563286.44 7630845.23 33.461, 563286.81 7630848.46 33.391, 563287.36 7630851.94 33.251, 563287.86 7630854.68 33.131, 563288.9 7630858.26 32.941, 563289.62 7630861.35 32.821, 563290.01 7630862.85 32.801, 563290.43 7630855.75 33.251))</t>
  </si>
  <si>
    <t>['FV848 S6D1 m1457-1550', 'RV83 S2D1 m10057-10153']</t>
  </si>
  <si>
    <t>LINESTRING Z (563266.73 7630762.37 32.001, 563266.64 7630762.36 31.881, 563262.91 7630763.01 31.601, 563259.01 7630763.91 31.391, 563254.39 7630765.37 31.031, 563250.59 7630767.03 30.751, 563246.09 7630769.47 30.391, 563242.55 7630771.95 30.131, 563240.22 7630773.88 29.921, 563239.47 7630774.49 29.851, 563235.99 7630778.12 29.481, 563232.49 7630782.09 29.111, 563229.2 7630786.15 28.801, 563225.95 7630790.06 28.491, 563223.5 7630792.38 28.361, 563221.06 7630793.47 28.281, 563216.56 7630794.35 28.221, 563215.24 7630795.95 28.281, 563213.76 7630801.28 28.571, 563212.43 7630806.13 28.801, 563211.09 7630810.84 29.071, 563209.59 7630816.11 29.291, 563208.02 7630820.97 29.471, 563206.31 7630825.48 29.681, 563204.55 7630830.2 29.88, 563202.56 7630834.69 30.1, 563200.35 7630839.26 30.28, 563198.28 7630843.78 30.43, 563197.86 7630843.68 30.47, 563196.75 7630845.99 30.48, 563197.19 7630846.23 30.44, 563195.09 7630850.7 30.41, 563193.45 7630854.29 30.35, 563192.45 7630856.37 30.26, 563192.89 7630857.48 30.28, 563194.37 7630858.94 30.31, 563195.36 7630861.57 30.35, 563195.43 7630863.83 30.36, 563195.04 7630865.89 30.4, 563194.9 7630866.02 30.46, 563195.35 7630866.8 30.44, 563196.78 7630868.02 30.38, 563198.01 7630868.83 30.38, 563200.23 7630869.55 30.37, 563201.14 7630869.78 30.36, 563201.75 7630867.75 30.36, 563204.15 7630868.44 30.34, 563203.64 7630870.43 30.33, 563203.86 7630870.49 30.33, 563205.8 7630870.84 30.29, 563207.79 7630868.5 30.25, 563209.15 7630866.73 30.26, 563210.1 7630865.3 30.3, 563210.96 7630863.5 30.27, 563212.03 7630860.6 30.34, 563212.15 7630859.54 30.36, 563211.39 7630857.27 30.31, 563210.29 7630852.81 30.26, 563209.35 7630847.67 30.28, 563208.84 7630842.47 30.34, 563208.69 7630838.15 30.28, 563209.3 7630833.98 30.24, 563210.27 7630829.83 30.281, 563211.67 7630825.24 30.181, 563212.65 7630821.12 30.121, 563213.67 7630815.6 30.111, 563214.72 7630811.82 30.031, 563215.95 7630808.02 30.091, 563217.18 7630804.42 30.061, 563218.35 7630801.85 30.081, 563219.89 7630799.43 30.101, 563221.67 7630796.9 30.141, 563222.07 7630795.12 30.191, 563217.58 7630795.78 28.391, 563217.19 7630795.1 28.141, 563219.08 7630794.54 28.151, 563221.6 7630793.91 28.211, 563224.03 7630792.74 28.271, 563225.89 7630791.17 28.331, 563228.2 7630788.39 28.521, 563230.83 7630785.61 28.771, 563233.24 7630783.08 28.851, 563235.1 7630780.76 29.021, 563237.81 7630777.83 29.351, 563240.38 7630775.5 29.531, 563241.03 7630774.99 30.031, 563241.54 7630775.67 30.141, 563239.31 7630777.8 30.271, 563239.89 7630779.03 30.501, 563241.32 7630777.73 30.611, 563242.24 7630779.33 30.461, 563245.36 7630778.67 30.511, 563250.44 7630777.96 30.611, 563255 7630778.56 30.581, 563256.65 7630774.51 31.581, 563261.7 7630773.25 31.751, 563268.5 7630771.75 32.201, 563276.27 7630771.76 32.441, 563277.45 7630774.47 32.591, 563283.8 7630776.95 32.671, 563285.3 7630779.3 32.781, 563285.13 7630785.74 33.361, 563284.73 7630792.35 33.331, 563281.09 7630792.95 32.471, 563279.64 7630797.66 32.281, 563279.19 7630803.12 32.151, 563282.55 7630809.3 33.031, 563282.16 7630816.04 33.251, 563280.61 7630823.89 33.041, 563278.6 7630829.47 32.651, 563278.88 7630837.1 32.791, 563276.86 7630842.36 32.201, 563276.89 7630846.26 32.091, 563277.21 7630849.99 32.031, 563276.88 7630855.57 31.931, 563277.35 7630860.96 31.881, 563279.13 7630866.61 32.141, 563284.95 7630866.38 32.441, 563285.62 7630864.67 32.511, 563285.86 7630863.17 32.611, 563285.13 7630860.79 32.761, 563284.24 7630857.26 33.021, 563283.38 7630853.47 33.201, 563282.83 7630849.39 33.381, 563282.27 7630845.94 33.461, 563282.16 7630842.25 33.541, 563281.95 7630838.47 33.591, 563282.19 7630833.7 33.681, 563282.61 7630829.33 33.711, 563283.05 7630825.05 33.801, 563283.6 7630820.05 33.801, 563284.01 7630815.4 33.811, 563284.59 7630811.02 33.771, 563285.04 7630806.46 33.721, 563285.71 7630801.45 33.751, 563286.53 7630796.34 33.721, 563287.38 7630791.04 33.661, 563287.97 7630786.24 33.591, 563288.85 7630778.12 33.571, 563289.19 7630774.16 33.601, 563289.51 7630770.26 33.541, 563289.71 7630766.88 33.491, 563289.67 7630765.15 33.451, 563289.05 7630764.26 33.401, 563288.19 7630763.42 33.421, 563286.44 7630762.87 33.261, 563282.86 7630762.6 33.031, 563279.52 7630762.3 32.851, 563275.32 7630761.9 32.531, 563271.66 7630762.01 32.261, 563271.68 7630763.32 32.281, 563266.85 7630763.64 31.961, 563266.73 7630762.37 32.001)</t>
  </si>
  <si>
    <t>POLYGON Z ((563266.73 7630762.37 32.001, 563266.64 7630762.36 31.881, 563262.91 7630763.01 31.601, 563259.01 7630763.91 31.391, 563254.39 7630765.37 31.031, 563250.59 7630767.03 30.751, 563246.09 7630769.47 30.391, 563242.55 7630771.95 30.131, 563240.22 7630773.88 29.921, 563239.47 7630774.49 29.851, 563235.99 7630778.12 29.481, 563232.49 7630782.09 29.111, 563229.2 7630786.15 28.801, 563225.95 7630790.06 28.491, 563223.5 7630792.38 28.361, 563221.06 7630793.47 28.281, 563216.56 7630794.35 28.221, 563215.24 7630795.95 28.281, 563213.76 7630801.28 28.571, 563212.43 7630806.13 28.801, 563211.09 7630810.84 29.071, 563209.59 7630816.11 29.291, 563208.02 7630820.97 29.471, 563206.31 7630825.48 29.681, 563204.55 7630830.2 29.88, 563202.56 7630834.69 30.1, 563200.35 7630839.26 30.28, 563198.28 7630843.78 30.43, 563197.86 7630843.68 30.47, 563196.75 7630845.99 30.48, 563197.19 7630846.23 30.44, 563195.09 7630850.7 30.41, 563193.45 7630854.29 30.35, 563192.45 7630856.37 30.26, 563192.89 7630857.48 30.28, 563194.37 7630858.94 30.31, 563195.36 7630861.57 30.35, 563195.43 7630863.83 30.36, 563195.04 7630865.89 30.4, 563194.9 7630866.02 30.46, 563195.35 7630866.8 30.44, 563196.78 7630868.02 30.38, 563198.01 7630868.83 30.38, 563200.23 7630869.55 30.37, 563201.14 7630869.78 30.36, 563201.75 7630867.75 30.36, 563204.15 7630868.44 30.34, 563203.64 7630870.43 30.33, 563203.86 7630870.49 30.33, 563205.8 7630870.84 30.29, 563207.79 7630868.5 30.25, 563209.15 7630866.73 30.26, 563210.1 7630865.3 30.3, 563210.96 7630863.5 30.27, 563212.03 7630860.6 30.34, 563212.15 7630859.54 30.36, 563211.39 7630857.27 30.31, 563210.29 7630852.81 30.26, 563209.35 7630847.67 30.28, 563208.84 7630842.47 30.34, 563208.69 7630838.15 30.28, 563209.3 7630833.98 30.24, 563210.27 7630829.83 30.281, 563211.67 7630825.24 30.181, 563212.65 7630821.12 30.121, 563213.67 7630815.6 30.111, 563214.72 7630811.82 30.031, 563215.95 7630808.02 30.091, 563217.18 7630804.42 30.061, 563218.35 7630801.85 30.081, 563219.89 7630799.43 30.101, 563221.67 7630796.9 30.141, 563222.07 7630795.12 30.191, 563217.58 7630795.78 28.391, 563217.19 7630795.1 28.141, 563219.08 7630794.54 28.151, 563221.6 7630793.91 28.211, 563224.03 7630792.74 28.271, 563225.89 7630791.17 28.331, 563228.2 7630788.39 28.521, 563230.83 7630785.61 28.771, 563233.24 7630783.08 28.851, 563235.1 7630780.76 29.021, 563237.81 7630777.83 29.351, 563240.38 7630775.5 29.531, 563241.03 7630774.99 30.031, 563241.54 7630775.67 30.141, 563239.31 7630777.8 30.271, 563239.89 7630779.03 30.501, 563241.32 7630777.73 30.611, 563242.24 7630779.33 30.461, 563245.36 7630778.67 30.511, 563250.44 7630777.96 30.611, 563255 7630778.56 30.581, 563256.65 7630774.51 31.581, 563261.7 7630773.25 31.751, 563268.5 7630771.75 32.201, 563276.27 7630771.76 32.441, 563277.45 7630774.47 32.591, 563283.8 7630776.95 32.671, 563285.3 7630779.3 32.781, 563285.13 7630785.74 33.361, 563284.73 7630792.35 33.331, 563281.09 7630792.95 32.471, 563279.64 7630797.66 32.281, 563279.19 7630803.12 32.151, 563282.55 7630809.3 33.031, 563282.16 7630816.04 33.251, 563280.61 7630823.89 33.041, 563278.6 7630829.47 32.651, 563278.88 7630837.1 32.791, 563276.86 7630842.36 32.201, 563276.89 7630846.26 32.091, 563277.21 7630849.99 32.031, 563276.88 7630855.57 31.931, 563277.35 7630860.96 31.881, 563279.13 7630866.61 32.141, 563284.95 7630866.38 32.441, 563285.62 7630864.67 32.511, 563285.86 7630863.17 32.611, 563285.13 7630860.79 32.761, 563284.24 7630857.26 33.021, 563283.38 7630853.47 33.201, 563282.83 7630849.39 33.381, 563282.27 7630845.94 33.461, 563282.16 7630842.25 33.541, 563281.95 7630838.47 33.591, 563282.19 7630833.7 33.681, 563282.61 7630829.33 33.711, 563283.05 7630825.05 33.801, 563283.6 7630820.05 33.801, 563284.01 7630815.4 33.811, 563284.59 7630811.02 33.771, 563285.04 7630806.46 33.721, 563285.71 7630801.45 33.751, 563286.53 7630796.34 33.721, 563287.38 7630791.04 33.661, 563287.97 7630786.24 33.591, 563288.85 7630778.12 33.571, 563289.19 7630774.16 33.601, 563289.51 7630770.26 33.541, 563289.71 7630766.88 33.491, 563289.67 7630765.15 33.451, 563289.05 7630764.26 33.401, 563288.19 7630763.42 33.421, 563286.44 7630762.87 33.261, 563282.86 7630762.6 33.031, 563279.52 7630762.3 32.851, 563275.32 7630761.9 32.531, 563271.66 7630762.01 32.261, 563271.68 7630763.32 32.281, 563266.85 7630763.64 31.961, 563266.73 7630762.37 32.001))</t>
  </si>
  <si>
    <t>2017-10-24</t>
  </si>
  <si>
    <t>['FV17 S39D1 m33-86']</t>
  </si>
  <si>
    <t>LINESTRING Z (382522.535675143 7302530.88568677 -999999, 382531.538601186 7302519.32787631 -999999, 382538.594948626 7302509.47332213 -999999, 382544.678006763 7302499.61876794 -999999, 382552.220998854 7302487.57431283 -999999)</t>
  </si>
  <si>
    <t>POLYGON ((382531.93305361376 7302519.63513399, 382531.94512853265 7302519.618969966, 382539.00147597265 7302509.764415786, 382539.0204166812 7302509.735956731, 382545.10262446955 7302499.882780107, 382552.64475736016 7302487.839696946, 382551.7972403479 7302487.308928715, 382544.25424825685 7302499.353383825, 382544.2525387078 7302499.356133339, 382538.1784641946 7302509.196134058, 382531.1379481978 7302519.0285788085, 382522.14122271526 7302530.57842909, 382522.93012757075 7302531.19294445, 382531.93305361376 7302519.63513399))</t>
  </si>
  <si>
    <t>2017-08-07</t>
  </si>
  <si>
    <t>2025-11-22T09:14:47Z</t>
  </si>
  <si>
    <t>['FV546 S1D110 m117-148']</t>
  </si>
  <si>
    <t>LINESTRING Z (-32950.2799987793 6719855.11999512 36.503, -32950.0200004578 6719855.19000244 36.503, -32949.8400001526 6719855.04998779 36.503, -32949.8199996948 6719854.78997803 36.503, -32950.5999984741 6719852.04998779 36.503, -32951.1800003052 6719850.16998291 36.503, -32951.3800010681 6719849.16998291 36.503, -32951.3699989319 6719847.80999756 36.503, -32951.4900016785 6719844.7199707 36.503, -32951.4700012207 6719843.39001465 36.503, -32951.5600013733 6719841.19000244 36.503, -32951.7099990845 6719839.80999756 36.503, -32951.7999992371 6719839.54998779 36.503, -32952.2099990845 6719838.78997803 36.503, -32953.5499992371 6719837.35998535 36.503, -32954.7900009155 6719836.09997559 36.503, -32955.0499992371 6719834.76000977 36.503, -32955.3899993897 6719832.90997315 36.503, -32955.5099983215 6719832.65002441 36.503, -32957.5600013733 6719831.04998779 36.503, -32960.2200012207 6719829.17999268 36.503, -32961.7200012207 6719828.11999512 36.503, -32962.5 6719827.80999756 36.503, -32962.9799995422 6719827.86999512 36.503, -32963.4399986267 6719828.19000244 38.163, -32963.4399986267 6719828.20001221 38.163, -32963.4700012207 6719828.30999756 38.143, -32963.5099983215 6719828.42999268 38.133, -32963.5299987793 6719828.5300293 38.123, -32963.5400009155 6719828.57000732 38.113, -32963.5499992371 6719828.65002442 38.103, -32963.5499992371 6719828.75 38.093, -32963.5600013733 6719828.85998535 38.083, -32963.5499992371 6719828.96002197 38.073, -32963.5499992371 6719829.05999756 38.063, -32963.5299987793 6719829.15997315 38.043, -32963.5099983215 6719829.26000977 38.033, -32963.4799995422 6719829.35998535 38.023, -32963.4599990845 6719829.44000244 38.013, -32963.4399986267 6719829.47998047 38.003, -32963.4300003052 6719829.5300293 38.003, -32963.4000015259 6719829.60998535 38.003, -32963.3600006104 6719829.67999268 37.993, -32963.3300018311 6719829.76000977 37.993, -32963.3100013733 6719829.84002686 37.983, -32963.2799987793 6719829.90997314 37.983, -32963.25 6719829.98999024 37.983, -32963.2200012207 6719830.07000732 37.973, -32963.2000007629 6719830.11999512 37.973, -32963.2000007629 6719830.14001465 37.973, -32963.1699981689 6719830.19000244 37.963, -32963.1699981689 6719830.21002197 37.963, -32963.1300010681 6719830.28997803 37.963, -32962.8499984741 6719831.05999756 37.913, -32962.8199996948 6719831.13000488 37.913, -32962.5600013733 6719831.82000732 37.943, -32962.4099998474 6719832.21002197 37.913, -32962.3499984741 6719832.36999512 37.903, -32962.3199996948 6719832.44000244 37.903, -32962.2599983215 6719832.59002686 37.893, -32961.9399986267 6719833.41998291 37.823, -32961.9399986267 6719833.44000244 37.823, -32961.6800003052 6719834.08001709 37.773, -32961.6199989319 6719834.22998047 37.753, -32961.6100006104 6719834.25 37.753, -32961.5699996948 6719834.34002686 37.753, -32961.5299987793 6719834.45001221 37.743, -32961.4799995422 6719834.57000732 37.733, -32961.4099998474 6719834.73999023 37.713, -32961.3699989319 6719834.84002686 37.703, -32961.3400001526 6719834.90002441 37.703, -32961.2599983215 6719835.09997559 37.683, -32961.1199989319 6719835.44000244 37.653, -32961.0200004578 6719835.69000244 37.633, -32960.9000015259 6719835.9699707 37.623, -32960.8699989319 6719836.0300293 37.613, -32960.7799987793 6719836.25 37.603, -32960.6199989319 6719836.60998535 37.583, -32960.3699989319 6719837.19000244 37.553, -32960.2799987793 6719837.39001465 37.543, -32960.1100006104 6719837.7800293 37.523, -32959.8600006104 6719838.34002686 37.483, -32959.8400001526 6719838.35998535 37.483, -32959.7700004578 6719838.5300293 37.473, -32959.6199989319 6719838.83001709 37.463, -32959.4199981689 6719839.27001953 37.433, -32959.3600006104 6719839.40002441 37.423, -32959.2099990845 6719839.70001221 37.413, -32959.1800003052 6719839.76000977 37.403, -32959.0200004578 6719840.09997559 37.383, -32959.0099983215 6719840.14001465 37.383, -32958.9399986267 6719840.2800293 37.373, -32958.8300018311 6719840.48999023 37.363, -32958.6599998474 6719840.84002686 37.343, -32958.5900001526 6719840.97998047 37.333, -32958.4900016785 6719841.17999268 37.323, -32958.4000015259 6719841.35998535 37.313, -32958.2099990845 6719841.75 37.293, -32958.1500015259 6719841.88000488 37.283, -32958.0499992371 6719842.08001709 37.273, -32957.9900016785 6719842.16998291 37.263, -32957.8499984741 6719842.45001221 37.253, -32957.7000007629 6719842.73999023 37.233, -32957.6899986267 6719842.76000977 37.233, -32957.5400009155 6719843.0300293 37.213, -32957.3899993897 6719843.34002686 37.203, -32957.3199996948 6719843.45001221 37.193, -32957.3199996948 6719843.46002197 37.193, -32957.2900009155 6719843.51000977 37.193, -32957.25 6719843.58001709 37.183, -32957.25 6719843.59002686 37.183, -32957.2200012207 6719843.65997315 37.183, -32957.1500015259 6719843.77001953 37.173, -32957.1399993897 6719843.78997803 37.173, -32957.0400009155 6719843.97998047 37.163, -32956.9399986267 6719844.16998291 37.153, -32956.8400001526 6719844.34997559 37.143, -32956.8199996948 6719844.40002441 37.133, -32956.6100006104 6719844.77001953 37.113, -32956.4199981689 6719845.09997559 37.093, -32956.3800010681 6719845.19000244 37.093, -32956.1399993896 6719845.61999512 37.063, -32955.9000015259 6719846.03997803 37.043, -32955.7200012207 6719846.34997559 37.023, -32955.3600006104 6719846.97998047 36.983, -32954.7999992371 6719847.90997314 36.933, -32954.3899993896 6719848.59002686 36.883, -32954.2400016785 6719848.84002686 36.873, -32953.6899986267 6719849.71002197 36.823, -32953.6500015259 6719849.77001953 36.813, -32953.1399993897 6719850.59002686 36.773, -32952.7299995422 6719851.22998047 36.733, -32952.6800003052 6719851.29998779 36.723, -32952.6100006104 6719851.40997315 36.723, -32952.5499992371 6719851.5300293 36.713, -32952.4799995422 6719851.64001465 36.703, -32952.4500007629 6719851.67999268 36.703, -32952.4199981689 6719851.73999023 36.703, -32952.4000015259 6719851.75 36.703, -32952.3600006104 6719851.82000733 36.693, -32952.2999992371 6719851.91998291 36.693, -32952.2299995422 6719852.03997803 36.683, -32952.1399993896 6719852.16998291 36.673, -32952.0499992371 6719852.30999756 36.663, -32951.9399986267 6719852.4699707 36.653, -32951.8400001526 6719852.65002441 36.643, -32951.7200012207 6719852.84002686 36.633, -32951.5900001526 6719853.04998779 36.623, -32951.4399986267 6719853.27001953 36.613, -32951.4399986267 6719853.2800293 36.613, -32951.2999992371 6719853.5 36.593, -32951.1500015259 6719853.73999023 36.583, -32950.9900016785 6719853.98999023 36.563, -32950.8300018311 6719854.25 36.553, -32950.6599998474 6719854.52001953 36.533, -32950.4900016785 6719854.78997803 36.523, -32950.3499984741 6719855.01000977 36.503, -32950.3100013733 6719855.05999756 36.503, -32950.2400016785 6719855.16998291 36.493, -32950.2799987793 6719855.11999512 36.503)</t>
  </si>
  <si>
    <t>[9000, 31510]</t>
  </si>
  <si>
    <t>['PV31510 S45D1 m17-43', 'PV9000 S1D1 m0-7']</t>
  </si>
  <si>
    <t>LINESTRING Z (-32927.5399780273 6719909.28997803 40.093, -32927.4099731445 6719909.46002197 40.093, -32927.3300170898 6719909.55999756 40.093, -32927.25 6719909.65997314 40.093, -32926.9799804688 6719910.02001953 40.093, -32926.6300048828 6719910.45001221 40.093, -32926.4600219727 6719910.67999268 40.093, -32926.3599853516 6719910.80999756 40.093, -32925.9099731445 6719911.39001465 40.093, -32925.8300170898 6719911.47998047 40.093, -32925.7399902344 6719911.59997559 40.093, -32925.1199951172 6719912.39001465 40.083, -32925.0300292969 6719912.51000977 40.083, -32924.7700195313 6719912.84002686 40.083, -32924.5100097656 6719913.17999268 40.083, -32924.2399902344 6719913.5300293 40.083, -32924.0800170898 6719913.72998047 40.083, -32923.8900146484 6719913.97998047 40.083, -32923.8300170898 6719914.05999756 40.083, -32923.8300170898 6719914.07000732 40.083, -32923.450012207 6719914.53997803 40.083, -32923.2800292969 6719914.77001953 40.083, -32922.6699829102 6719915.5300293 40.083, -32922.6599731445 6719915.55999756 40.083, -32922.4400024414 6719915.83001709 40.083, -32922.0399780273 6719916.34997559 40.083, -32921.9099731445 6719916.52001953 40.083, -32921.6300048828 6719916.86999512 40.083, -32921.5700073242 6719916.95001221 40.083, -32921.4600219727 6719917.09997559 40.083, -32921.4199829102 6719917.14001465 40.083, -32921.1599731445 6719917.47998047 40.083, -32920.9000244141 6719917.79998779 40.083, -32920.8099975586 6719917.92999268 40.083, -32920.7899780273 6719917.95001221 40.083, -32920.4299926758 6719918.41998291 40.083, -32920.1900024414 6719918.7199707 40.083, -32919.700012207 6719919.34002686 40.083, -32919.5800170898 6719919.51000977 40.083, -32919.5100097656 6719919.59002686 40.083, -32919.450012207 6719919.66998291 40.083, -32919.3900146484 6719919.75 40.083, -32919.3300170898 6719919.83001709 40.083, -32919.2700195313 6719919.90997314 40.083, -32919.200012207 6719919.98999024 40.083, -32919.1400146484 6719920.07000732 40.083, -32919.0800170898 6719920.15002441 40.083, -32919.0200195313 6719920.2199707 40.083, -32919.0200195313 6719920.22998047 40.083, -32918.9600219727 6719920.29998779 40.083, -32918.8900146484 6719920.39001465 40.083, -32918.8300170898 6719920.46002197 40.083, -32918.7700195313 6719920.53997803 40.083, -32918.7100219727 6719920.61999512 40.083, -32918.6500244141 6719920.69000244 40.083, -32918.5800170898 6719920.7800293 40.083, -32918.5200195313 6719920.85998535 40.083, -32918.4600219727 6719920.92999268 40.083, -32918.4000244141 6719921.01000977 40.083, -32918.3499755859 6719921.09002686 40.083, -32918.3400268555 6719921.09997559 40.083, -32918.2800292969 6719921.17999268 40.083, -32918.2199707031 6719921.25 40.083, -32918.1599731445 6719921.33001709 40.083, -32918.0900268555 6719921.41998291 40.083, -32918.0300292969 6719921.48999023 40.083, -32917.9699707031 6719921.57000733 40.083, -32917.9099731445 6719921.65002441 40.083, -32917.8499755859 6719921.7199707 40.083, -32917.7800292969 6719921.80999756 40.083, -32917.7199707031 6719921.89001465 40.083, -32917.700012207 6719921.91998291 40.083, -32917.6599731445 6719921.96002197 40.083, -32917.5999755859 6719922.03997803 40.083, -32917.5399780273 6719922.11999512 40.083, -32917.4699707031 6719922.20001221 40.083, -32917.4099731445 6719922.2800293 40.083, -32917.3499755859 6719922.35998535 40.083, -32917.2899780273 6719922.44000244 40.083, -32917.2299804687 6719922.52001953 40.083, -32917.1599731445 6719922.59997559 40.083, -32917.0999755859 6719922.67999268 40.083, -32917.0800170898 6719922.71002197 40.083, -32917.049987793 6719922.75 40.083, -32916.9899902344 6719922.84002686 40.083, -32916.9199829102 6719922.91998291 40.083, -32916.8599853516 6719922.98999023 40.083, -32916.799987793 6719923.07000732 40.083, -32916.7399902344 6719923.15002441 40.083, -32916.6799926758 6719923.22998047 40.083, -32916.6099853516 6719923.30999756 40.083, -32916.549987793 6719923.39001465 40.083, -32916.4899902344 6719923.46002197 40.083, -32916.4299926758 6719923.53997803 40.083, -32916.3599853516 6719923.63000488 40.083, -32916.299987793 6719923.71002197 40.083, -32916.2399902344 6719923.7800293 40.083, -32916.1799926758 6719923.85998535 40.083, -32916.1199951172 6719923.95001221 40.083, -32916.049987793 6719924.02001953 40.083, -32915.9899902344 6719924.09997559 40.083, -32915.9299926758 6719924.17999268 40.083, -32915.8699951172 6719924.25 40.083, -32915.8200073242 6719924.34002686 40.083, -32915.7899780273 6719924.34997559 40.083, -32915.75 6719924.41998291 40.083, -32915.6900024414 6719924.48999023 40.083, -32915.6300048828 6719924.57000732 40.083, -32915.5700073242 6719924.65997315 40.083, -32915.5 6719924.73999023 40.083, -32915.4400024414 6719924.80999756 40.083, -32915.4099731445 6719924.85998535 40.083, -32915.3800048828 6719924.89001465 40.083, -32915.3200073242 6719924.9699707 40.083, -32915.2600097656 6719925.04998779 40.083, -32915.2100219727 6719925.10998535 40.083, -32915.200012207 6719925.11999512 40.093, -32915.1900024414 6719925.13000488 40.093, -32915.1599731445 6719925.16998291 40.093, -32915.1300048828 6719925.21002197 40.093, -32915.0700073242 6719925.2800293 40.093, -32915.0100097656 6719925.35998535 40.093, -32914.950012207 6719925.42999268 40.093, -32914.8699951172 6719925.51000977 40.093, -32914.8099975586 6719925.58001709 40.093, -32914.7399902344 6719925.65002441 40.093, -32914.6699829102 6719925.7199707 40.093, -32914.6099853516 6719925.7800293 40.093, -32914.5300292969 6719925.84997559 40.093, -32914.4600219727 6719925.91998291 40.093, -32914.3900146484 6719925.98999023 40.093, -32914.3099975586 6719926.04998779 40.093, -32914.2399902344 6719926.11999512 40.093, -32914.1599731445 6719926.19000244 40.093, -32914.0800170898 6719926.23999024 40.093, -32914 6719926.29998779 40.093, -32913.9099731445 6719926.35998535 40.093, -32913.8300170898 6719926.41998291 40.093, -32913.8200073242 6719926.42999268 40.093, -32913.799987793 6719926.44000244 40.093, -32913.7399902344 6719926.47998047 40.093, -32913.6500244141 6719926.53997803 40.093, -32913.5599975586 6719926.59002686 40.093, -32913.4699707031 6719926.64001465 40.093, -32913.3900146484 6719926.69000244 40.093, -32913.2899780273 6719926.75 40.093, -32913.200012207 6719926.79998779 40.093, -32913.0999755859 6719926.84002686 40.093, -32913 6719926.89001465 40.093, -32912.8900146484 6719926.92999268 40.093, -32912.799987793 6719926.97998047 40.093, -32912.6900024414 6719927.0300293 40.093, -32912.5800170898 6719927.05999756 40.093, -32912.4699707031 6719927.10998535 40.093, -32912.3699951172 6719927.14001465 40.093, -32912.25 6719927.16998291 40.093, -32912.200012207 6719927.20001221 40.093, -32912.1300048828 6719927.21002197 40.093, -32912.0200195312 6719927.23999023 40.093, -32911.9000244141 6719927.2800293 40.093, -32911.7800292969 6719927.29998779 40.093, -32911.6500244141 6719927.33001709 40.093, -32911.5300292969 6719927.34997559 40.093, -32911.3900146484 6719927.36999512 40.093, -32911.2600097656 6719927.40002441 40.093, -32911.1099853516 6719927.40002441 40.103, -32910.9699707031 6719927.41998291 40.103, -32910.8200073242 6719927.42999268 40.103, -32910.6699829102 6719927.42999268 40.103, -32910.5200195313 6719927.44000244 40.103, -32910.3599853516 6719927.44000244 40.103, -32910.1900024414 6719927.41998291 40.103, -32910.0100097656 6719927.41998291 40.103, -32909.8300170898 6719927.39001465 40.113, -32909.6400146484 6719927.36999512 40.113, -32909.4299926758 6719927.33001709 40.113, -32909.2100219727 6719927.28997803 40.113, -32908.9799804688 6719927.22998047 40.123, -32908.7199707031 6719927.15002441 40.123, -32908.4299926758 6719927.04998779 40.123, -32908.1099853516 6719926.91998291 40.133, -32908 6719926.83001709 40.133, -32908.0300292969 6719926.76000977 40.133, -32908.0900268555 6719926.66998291 40.133, -32908.1300048828 6719926.58001709 40.133, -32908.1799926758 6719926.47998047 40.133, -32908.2199707031 6719926.40002441 40.133, -32908.2600097656 6719926.29998779 40.133, -32908.3099975586 6719926.21002197 40.133, -32908.3499755859 6719926.10998535 40.133, -32908.4000244141 6719926.0300293 40.133, -32908.450012207 6719925.92999268 40.143, -32908.4899902344 6719925.84002686 40.143, -32908.5300292969 6719925.75 40.143, -32908.5800170898 6719925.65997315 40.143, -32908.6199951172 6719925.55999756 40.143, -32908.6699829102 6719925.4699707 40.143, -32908.7100219727 6719925.38000488 40.153, -32908.7600097656 6719925.28997803 40.153, -32908.8099975586 6719925.19000244 40.153, -32908.8499755859 6719925.10998535 40.153, -32908.9000244141 6719925.01000977 40.163, -32908.9400024414 6719924.91998291 40.163, -32908.9799804688 6719924.82000732 40.163, -32909.0100097656 6719924.7800293 40.163, -32909.0300292969 6719924.73999023 40.163, -32909.0800170898 6719924.65002441 40.173, -32909.1199951172 6719924.54998779 40.173, -32909.1699829102 6719924.46002197 40.173, -32909.2100219727 6719924.36999512 40.173, -32909.2600097656 6719924.2800293 40.183, -32909.299987793 6719924.17999268 40.183, -32909.3400268555 6719924.09997559 40.183, -32909.4000244141 6719924 40.183, -32909.4400024414 6719923.90997315 40.193, -32909.4899902344 6719923.80999756 40.193, -32909.5300292969 6719923.72998047 40.193, -32909.5700073242 6719923.63000488 40.203, -32909.6199951172 6719923.53997803 40.203, -32909.6599731445 6719923.45001221 40.203, -32909.700012207 6719923.35998535 40.203, -32909.7399902344 6719923.28997803 40.203, -32909.7399902344 6719923.2800293 40.203, -32909.7600097656 6719923.26000977 40.213, -32909.799987793 6719923.16998291 40.213, -32909.8400268555 6719923.08001709 40.213, -32909.8900146484 6719922.98999023 40.213, -32909.9299926758 6719922.90002441 40.223, -32909.9799804688 6719922.79998779 40.223, -32910.0200195312 6719922.7199707 40.223, -32910.0700073242 6719922.61999512 40.223, -32910.1199951172 6719922.5300293 40.233, -32910.1599731445 6719922.44000244 40.233, -32910.2100219727 6719922.34997559 40.233, -32910.25 6719922.25 40.233, -32910.2899780273 6719922.15997314 40.243, -32910.3400268555 6719922.07000732 40.243, -32910.3900146484 6719921.97998047 40.243, -32910.4299926758 6719921.88000488 40.243, -32910.4799804688 6719921.79998779 40.253, -32910.5200195313 6719921.70001221 40.253, -32910.5700073242 6719921.60998535 40.253, -32910.5800170898 6719921.57000733 40.253, -32910.6099853516 6719921.52001953 40.253, -32910.8400268555 6719921.26000977 40.083, -32910.7199707031 6719921.15002441 40.083, -32911.7199707031 6719921.69000244 40.163, -32918.9099731445 6719912.46002197 40.083, -32918.9600219727 6719912.36999512 39.803, -32919.2800292969 6719912.13000488 39.813, -32919.5999755859 6719911.88000488 39.833, -32919.9099731445 6719911.61999512 39.843, -32920.2199707031 6719911.38000488 39.863, -32920.3699951172 6719911.25 39.873, -32920.5200195313 6719911.11999512 39.883, -32920.5999755859 6719911.03997803 39.883, -32920.6799926758 6719910.97998047 39.883, -32920.7199707031 6719910.94000244 39.893, -32920.7600097656 6719910.90997314 39.893, -32920.8300170898 6719910.84997559 39.893, -32920.9799804687 6719910.71002197 39.903, -32921.1199951172 6719910.57000732 39.913, -32921.4099731445 6719910.28997803 39.923, -32921.700012207 6719910.01000977 39.943, -32921.9799804688 6719909.72998047 39.963, -32922.2600097656 6719909.42999268 39.973, -32922.5300292969 6719909.14001465 39.993, -32922.6699829102 6719908.98999023 40.003, -32922.799987793 6719908.84002686 40.003, -32922.8400268555 6719908.80999756 40.013, -32922.8599853516 6719908.76000977 40.013, -32922.9400024414 6719908.67999268 40.013, -32923 6719908.60998535 40.013, -32923.0599975586 6719908.5300293 40.023, -32923.1300048828 6719908.45001221 40.023, -32923.1900024414 6719908.38000488 40.033, -32923.3200073242 6719908.22998047 40.043, -32923.5599975586 6719907.90997314 40.053, -32923.6900024414 6719907.75 40.063, -32923.8099975586 6719907.59997559 40.073, -32923.8699951172 6719907.52001953 40.073, -32924.1199951172 6719907.2800293 40.093, -32924.2299804688 6719907.15002441 40.103)</t>
  </si>
  <si>
    <t>POLYGON Z ((-32927.5399780273 6719909.28997803 40.093, -32927.4099731445 6719909.46002197 40.093, -32927.3300170898 6719909.55999756 40.093, -32927.25 6719909.65997314 40.093, -32926.9799804688 6719910.02001953 40.093, -32926.6300048828 6719910.45001221 40.093, -32926.4600219727 6719910.67999268 40.093, -32926.3599853516 6719910.80999756 40.093, -32925.9099731445 6719911.39001465 40.093, -32925.8300170898 6719911.47998047 40.093, -32925.7399902344 6719911.59997559 40.093, -32925.1199951172 6719912.39001465 40.083, -32925.0300292969 6719912.51000977 40.083, -32924.7700195313 6719912.84002686 40.083, -32924.5100097656 6719913.17999268 40.083, -32924.2399902344 6719913.5300293 40.083, -32924.0800170898 6719913.72998047 40.083, -32923.8900146484 6719913.97998047 40.083, -32923.8300170898 6719914.05999756 40.083, -32923.8300170898 6719914.07000732 40.083, -32923.450012207 6719914.53997803 40.083, -32923.2800292969 6719914.77001953 40.083, -32922.6699829102 6719915.5300293 40.083, -32922.6599731445 6719915.55999756 40.083, -32922.4400024414 6719915.83001709 40.083, -32922.0399780273 6719916.34997559 40.083, -32921.9099731445 6719916.52001953 40.083, -32921.6300048828 6719916.86999512 40.083, -32921.5700073242 6719916.95001221 40.083, -32921.4600219727 6719917.09997559 40.083, -32921.4199829102 6719917.14001465 40.083, -32921.1599731445 6719917.47998047 40.083, -32920.9000244141 6719917.79998779 40.083, -32920.8099975586 6719917.92999268 40.083, -32920.7899780273 6719917.95001221 40.083, -32920.4299926758 6719918.41998291 40.083, -32920.1900024414 6719918.7199707 40.083, -32919.700012207 6719919.34002686 40.083, -32919.5800170898 6719919.51000977 40.083, -32919.5100097656 6719919.59002686 40.083, -32919.450012207 6719919.66998291 40.083, -32919.3900146484 6719919.75 40.083, -32919.3300170898 6719919.83001709 40.083, -32919.2700195313 6719919.90997314 40.083, -32919.200012207 6719919.98999024 40.083, -32919.1400146484 6719920.07000732 40.083, -32919.0800170898 6719920.15002441 40.083, -32919.0200195313 6719920.2199707 40.083, -32919.0200195313 6719920.22998047 40.083, -32918.9600219727 6719920.29998779 40.083, -32918.8900146484 6719920.39001465 40.083, -32918.8300170898 6719920.46002197 40.083, -32918.7700195313 6719920.53997803 40.083, -32918.7100219727 6719920.61999512 40.083, -32918.6500244141 6719920.69000244 40.083, -32918.5800170898 6719920.7800293 40.083, -32918.5200195313 6719920.85998535 40.083, -32918.4600219727 6719920.92999268 40.083, -32918.4000244141 6719921.01000977 40.083, -32918.3499755859 6719921.09002686 40.083, -32918.3400268555 6719921.09997559 40.083, -32918.2800292969 6719921.17999268 40.083, -32918.2199707031 6719921.25 40.083, -32918.1599731445 6719921.33001709 40.083, -32918.0900268555 6719921.41998291 40.083, -32918.0300292969 6719921.48999023 40.083, -32917.9699707031 6719921.57000733 40.083, -32917.9099731445 6719921.65002441 40.083, -32917.8499755859 6719921.7199707 40.083, -32917.7800292969 6719921.80999756 40.083, -32917.7199707031 6719921.89001465 40.083, -32917.700012207 6719921.91998291 40.083, -32917.6599731445 6719921.96002197 40.083, -32917.5999755859 6719922.03997803 40.083, -32917.5399780273 6719922.11999512 40.083, -32917.4699707031 6719922.20001221 40.083, -32917.4099731445 6719922.2800293 40.083, -32917.3499755859 6719922.35998535 40.083, -32917.2899780273 6719922.44000244 40.083, -32917.2299804687 6719922.52001953 40.083, -32917.1599731445 6719922.59997559 40.083, -32917.0999755859 6719922.67999268 40.083, -32917.0800170898 6719922.71002197 40.083, -32917.049987793 6719922.75 40.083, -32916.9899902344 6719922.84002686 40.083, -32916.9199829102 6719922.91998291 40.083, -32916.8599853516 6719922.98999023 40.083, -32916.799987793 6719923.07000732 40.083, -32916.7399902344 6719923.15002441 40.083, -32916.6799926758 6719923.22998047 40.083, -32916.6099853516 6719923.30999756 40.083, -32916.549987793 6719923.39001465 40.083, -32916.4899902344 6719923.46002197 40.083, -32916.4299926758 6719923.53997803 40.083, -32916.3599853516 6719923.63000488 40.083, -32916.299987793 6719923.71002197 40.083, -32916.2399902344 6719923.7800293 40.083, -32916.1799926758 6719923.85998535 40.083, -32916.1199951172 6719923.95001221 40.083, -32916.049987793 6719924.02001953 40.083, -32915.9899902344 6719924.09997559 40.083, -32915.9299926758 6719924.17999268 40.083, -32915.8699951172 6719924.25 40.083, -32915.8200073242 6719924.34002686 40.083, -32915.7899780273 6719924.34997559 40.083, -32915.75 6719924.41998291 40.083, -32915.6900024414 6719924.48999023 40.083, -32915.6300048828 6719924.57000732 40.083, -32915.5700073242 6719924.65997315 40.083, -32915.5 6719924.73999023 40.083, -32915.4400024414 6719924.80999756 40.083, -32915.4099731445 6719924.85998535 40.083, -32915.3800048828 6719924.89001465 40.083, -32915.3200073242 6719924.9699707 40.083, -32915.2600097656 6719925.04998779 40.083, -32915.2100219727 6719925.10998535 40.083, -32915.200012207 6719925.11999512 40.093, -32915.1900024414 6719925.13000488 40.093, -32915.1599731445 6719925.16998291 40.093, -32915.1300048828 6719925.21002197 40.093, -32915.0700073242 6719925.2800293 40.093, -32915.0100097656 6719925.35998535 40.093, -32914.950012207 6719925.42999268 40.093, -32914.8699951172 6719925.51000977 40.093, -32914.8099975586 6719925.58001709 40.093, -32914.7399902344 6719925.65002441 40.093, -32914.6699829102 6719925.7199707 40.093, -32914.6099853516 6719925.7800293 40.093, -32914.5300292969 6719925.84997559 40.093, -32914.4600219727 6719925.91998291 40.093, -32914.3900146484 6719925.98999023 40.093, -32914.3099975586 6719926.04998779 40.093, -32914.2399902344 6719926.11999512 40.093, -32914.1599731445 6719926.19000244 40.093, -32914.0800170898 6719926.23999024 40.093, -32914 6719926.29998779 40.093, -32913.9099731445 6719926.35998535 40.093, -32913.8300170898 6719926.41998291 40.093, -32913.8200073242 6719926.42999268 40.093, -32913.799987793 6719926.44000244 40.093, -32913.7399902344 6719926.47998047 40.093, -32913.6500244141 6719926.53997803 40.093, -32913.5599975586 6719926.59002686 40.093, -32913.4699707031 6719926.64001465 40.093, -32913.3900146484 6719926.69000244 40.093, -32913.2899780273 6719926.75 40.093, -32913.200012207 6719926.79998779 40.093, -32913.0999755859 6719926.84002686 40.093, -32913 6719926.89001465 40.093, -32912.8900146484 6719926.92999268 40.093, -32912.799987793 6719926.97998047 40.093, -32912.6900024414 6719927.0300293 40.093, -32912.5800170898 6719927.05999756 40.093, -32912.4699707031 6719927.10998535 40.093, -32912.3699951172 6719927.14001465 40.093, -32912.25 6719927.16998291 40.093, -32912.200012207 6719927.20001221 40.093, -32912.1300048828 6719927.21002197 40.093, -32912.0200195312 6719927.23999023 40.093, -32911.9000244141 6719927.2800293 40.093, -32911.7800292969 6719927.29998779 40.093, -32911.6500244141 6719927.33001709 40.093, -32911.5300292969 6719927.34997559 40.093, -32911.3900146484 6719927.36999512 40.093, -32911.2600097656 6719927.40002441 40.093, -32911.1099853516 6719927.40002441 40.103, -32910.9699707031 6719927.41998291 40.103, -32910.8200073242 6719927.42999268 40.103, -32910.6699829102 6719927.42999268 40.103, -32910.5200195313 6719927.44000244 40.103, -32910.3599853516 6719927.44000244 40.103, -32910.1900024414 6719927.41998291 40.103, -32910.0100097656 6719927.41998291 40.103, -32909.8300170898 6719927.39001465 40.113, -32909.6400146484 6719927.36999512 40.113, -32909.4299926758 6719927.33001709 40.113, -32909.2100219727 6719927.28997803 40.113, -32908.9799804688 6719927.22998047 40.123, -32908.7199707031 6719927.15002441 40.123, -32908.4299926758 6719927.04998779 40.123, -32908.1099853516 6719926.91998291 40.133, -32908 6719926.83001709 40.133, -32908.0300292969 6719926.76000977 40.133, -32908.0900268555 6719926.66998291 40.133, -32908.1300048828 6719926.58001709 40.133, -32908.1799926758 6719926.47998047 40.133, -32908.2199707031 6719926.40002441 40.133, -32908.2600097656 6719926.29998779 40.133, -32908.3099975586 6719926.21002197 40.133, -32908.3499755859 6719926.10998535 40.133, -32908.4000244141 6719926.0300293 40.133, -32908.450012207 6719925.92999268 40.143, -32908.4899902344 6719925.84002686 40.143, -32908.5300292969 6719925.75 40.143, -32908.5800170898 6719925.65997315 40.143, -32908.6199951172 6719925.55999756 40.143, -32908.6699829102 6719925.4699707 40.143, -32908.7100219727 6719925.38000488 40.153, -32908.7600097656 6719925.28997803 40.153, -32908.8099975586 6719925.19000244 40.153, -32908.8499755859 6719925.10998535 40.153, -32908.9000244141 6719925.01000977 40.163, -32908.9400024414 6719924.91998291 40.163, -32908.9799804688 6719924.82000732 40.163, -32909.0100097656 6719924.7800293 40.163, -32909.0300292969 6719924.73999023 40.163, -32909.0800170898 6719924.65002441 40.173, -32909.1199951172 6719924.54998779 40.173, -32909.1699829102 6719924.46002197 40.173, -32909.2100219727 6719924.36999512 40.173, -32909.2600097656 6719924.2800293 40.183, -32909.299987793 6719924.17999268 40.183, -32909.3400268555 6719924.09997559 40.183, -32909.4000244141 6719924 40.183, -32909.4400024414 6719923.90997315 40.193, -32909.4899902344 6719923.80999756 40.193, -32909.5300292969 6719923.72998047 40.193, -32909.5700073242 6719923.63000488 40.203, -32909.6199951172 6719923.53997803 40.203, -32909.6599731445 6719923.45001221 40.203, -32909.700012207 6719923.35998535 40.203, -32909.7399902344 6719923.28997803 40.203, -32909.7399902344 6719923.2800293 40.203, -32909.7600097656 6719923.26000977 40.213, -32909.799987793 6719923.16998291 40.213, -32909.8400268555 6719923.08001709 40.213, -32909.8900146484 6719922.98999023 40.213, -32909.9299926758 6719922.90002441 40.223, -32909.9799804688 6719922.79998779 40.223, -32910.0200195312 6719922.7199707 40.223, -32910.0700073242 6719922.61999512 40.223, -32910.1199951172 6719922.5300293 40.233, -32910.1599731445 6719922.44000244 40.233, -32910.2100219727 6719922.34997559 40.233, -32910.25 6719922.25 40.233, -32910.2899780273 6719922.15997314 40.243, -32910.3400268555 6719922.07000732 40.243, -32910.3900146484 6719921.97998047 40.243, -32910.4299926758 6719921.88000488 40.243, -32910.4799804688 6719921.79998779 40.253, -32910.5200195313 6719921.70001221 40.253, -32910.5700073242 6719921.60998535 40.253, -32910.5800170898 6719921.57000733 40.253, -32910.6099853516 6719921.52001953 40.253, -32910.8400268555 6719921.26000977 40.083, -32910.7199707031 6719921.15002441 40.083, -32911.7199707031 6719921.69000244 40.163, -32918.9099731445 6719912.46002197 40.083, -32918.9600219727 6719912.36999512 39.803, -32919.2800292969 6719912.13000488 39.813, -32919.5999755859 6719911.88000488 39.833, -32919.9099731445 6719911.61999512 39.843, -32920.2199707031 6719911.38000488 39.863, -32920.3699951172 6719911.25 39.873, -32920.5200195313 6719911.11999512 39.883, -32920.5999755859 6719911.03997803 39.883, -32920.6799926758 6719910.97998047 39.883, -32920.7199707031 6719910.94000244 39.893, -32920.7600097656 6719910.90997314 39.893, -32920.8300170898 6719910.84997559 39.893, -32920.9799804687 6719910.71002197 39.903, -32921.1199951172 6719910.57000732 39.913, -32921.4099731445 6719910.28997803 39.923, -32921.700012207 6719910.01000977 39.943, -32921.9799804688 6719909.72998047 39.963, -32922.2600097656 6719909.42999268 39.973, -32922.5300292969 6719909.14001465 39.993, -32922.6699829102 6719908.98999023 40.003, -32922.799987793 6719908.84002686 40.003, -32922.8400268555 6719908.80999756 40.013, -32922.8599853516 6719908.76000977 40.013, -32922.9400024414 6719908.67999268 40.013, -32923 6719908.60998535 40.013, -32923.0599975586 6719908.5300293 40.023, -32923.1300048828 6719908.45001221 40.023, -32923.1900024414 6719908.38000488 40.033, -32923.3200073242 6719908.22998047 40.043, -32923.5599975586 6719907.90997314 40.053, -32923.6900024414 6719907.75 40.063, -32923.8099975586 6719907.59997559 40.073, -32923.8699951172 6719907.52001953 40.073, -32924.1199951172 6719907.2800293 40.093, -32924.2299804688 6719907.15002441 40.103, -32927.5399780273 6719909.28997803 40.093))</t>
  </si>
  <si>
    <t>[31510]</t>
  </si>
  <si>
    <t>['PV31510 S45D1 m17-18']</t>
  </si>
  <si>
    <t>LINESTRING Z (-32921.4899902344 6719905.48999023 36.613, -32921.6699829102 6719905.54998779 36.613, -32921.7399902344 6719905.5300293 36.613)</t>
  </si>
  <si>
    <t>['PV31510 S45D1 m18-24']</t>
  </si>
  <si>
    <t>LINESTRING Z (-32916.4799804688 6719902.11999512 36.753, -32916.3099975586 6719902.40997314 36.753, -32915.8900146484 6719902.84002686 36.753, -32915.799987793 6719902.80999756 36.753, -32915.4400024414 6719902.63000488 36.753, -32914.9000244141 6719902.59002686 36.753, -32914.7199707031 6719902.79998779 36.753, -32914.4299926758 6719903.15002441 36.753, -32914.3599853516 6719903.60998535 36.753, -32914.5300292969 6719903.96002197 36.753, -32914.200012207 6719904.42999268 36.753, -32913.4099731445 6719905.20001221 36.753, -32912.6799926758 6719905.82000733 36.753, -32912.6500244141 6719905.79998779 36.763, -32912.5900268555 6719905.73999024 36.763, -32912.5700073242 6719905.71002197 36.773, -32912.5399780273 6719905.67999268 36.773, -32912.5200195313 6719905.65002442 36.773, -32912.4799804688 6719905.60998535 36.773, -32912.4400024414 6719905.55999756 36.783, -32912.4199829102 6719905.51000977 36.783, -32912.3699951172 6719905.40997314 36.793, -32912.299987793 6719905.22998047 36.803, -32912.200012207 6719904.94000244 36.823, -32912.1199951172 6719904.71002197 36.843, -32912.3300170898 6719904.34997559 36.873, -32912.8699951172 6719903.47998047 36.913, -32914.3699951172 6719900.76000977 37.053)</t>
  </si>
  <si>
    <t>POLYGON Z ((-32916.4799804688 6719902.11999512 36.753, -32916.3099975586 6719902.40997314 36.753, -32915.8900146484 6719902.84002686 36.753, -32915.799987793 6719902.80999756 36.753, -32915.4400024414 6719902.63000488 36.753, -32914.9000244141 6719902.59002686 36.753, -32914.7199707031 6719902.79998779 36.753, -32914.4299926758 6719903.15002441 36.753, -32914.3599853516 6719903.60998535 36.753, -32914.5300292969 6719903.96002197 36.753, -32914.200012207 6719904.42999268 36.753, -32913.4099731445 6719905.20001221 36.753, -32912.6799926758 6719905.82000733 36.753, -32912.6500244141 6719905.79998779 36.763, -32912.5900268555 6719905.73999024 36.763, -32912.5700073242 6719905.71002197 36.773, -32912.5399780273 6719905.67999268 36.773, -32912.5200195313 6719905.65002442 36.773, -32912.4799804688 6719905.60998535 36.773, -32912.4400024414 6719905.55999756 36.783, -32912.4199829102 6719905.51000977 36.783, -32912.3699951172 6719905.40997314 36.793, -32912.299987793 6719905.22998047 36.803, -32912.200012207 6719904.94000244 36.823, -32912.1199951172 6719904.71002197 36.843, -32912.3300170898 6719904.34997559 36.873, -32912.8699951172 6719903.47998047 36.913, -32914.3699951172 6719900.76000977 37.053, -32916.4799804688 6719902.11999512 36.753))</t>
  </si>
  <si>
    <t>2021-09-18</t>
  </si>
  <si>
    <t>[9000, 99998, 31510]</t>
  </si>
  <si>
    <t>['PV31510 S45D1 m20-40', 'PV99998 S1D150 m0-22', 'PV31510 S6D10 m0-15', 'PV9000 S1D1 m16-58']</t>
  </si>
  <si>
    <t>LINESTRING Z (-32901.8300170898 6719892.55999756 41.083, -32899.8900146484 6719895.78997803 37.033, -32902.7700195313 6719897.55999756 37.033, -32906.3599853516 6719899.67999268 37.033, -32909.9099731445 6719901.88000488 37.033, -32908.3900146484 6719904.44000244 37.033, -32908.9899902344 6719905.97998047 37.033, -32908.5800170898 6719906.30999756 37.033, -32907.3400268555 6719907.27001953 37.033, -32906.0700073242 6719907.88000488 37.033, -32905.9099731445 6719907.90002442 37.043, -32905.7399902344 6719907.91998291 37.053, -32905.7100219727 6719907.92999268 37.053, -32905.700012207 6719907.92999268 37.053, -32905.6500244141 6719907.92999268 37.063, -32905.5900268555 6719907.94000244 37.063, -32905.4199829102 6719907.96002197 37.073, -32905.2600097656 6719907.9699707 37.083, -32905.1599731445 6719907.97998047 37.093, -32905.0999755859 6719907.97998047 37.093, -32904.9400024414 6719908 37.103, -32904.7800292969 6719908.01000977 37.113, -32904.700012207 6719908.01000977 37.123, -32904.6099853516 6719908.02001953 37.123, -32904.450012207 6719908.0300293 37.133, -32904.4299926758 6719908.0300293 37.133, -32904.2899780273 6719908.03997803 37.143, -32904.1300048828 6719908.0300293 37.153, -32903.9600219727 6719908.03997803 37.163, -32903.799987793 6719908.03997803 37.173, -32903.700012207 6719908.03997803 37.183, -32903.6400146484 6719908.03997803 37.183, -32903.4799804688 6719908.03997803 37.193, -32903.4699707031 6719908.03997803 37.193, -32903.299987793 6719908.03997803 37.203, -32903.2100219727 6719908.0300293 37.213, -32903.1400146484 6719908.0300293 37.213, -32902.9799804688 6719908.02001953 37.223, -32902.9400024414 6719908.02001953 37.223, -32902.8200073242 6719908.02001953 37.233, -32902.6599731445 6719908 37.243, -32902.4899902344 6719907.98999023 37.253, -32902.3300170898 6719907.9699707 37.263, -32902.1699829102 6719907.96002197 37.273, -32902.0100097656 6719907.95001221 37.283, -32901.8499755859 6719907.92999268 37.293, -32901.6799926758 6719907.90002442 37.303, -32901.5900268555 6719907.90002442 37.313, -32901.5200195313 6719907.89001465 37.313, -32901.3800048828 6719907.86999512 37.323, -32901.3599853516 6719907.85998535 37.323, -32901.200012207 6719907.84002686 37.333, -32901.0399780273 6719907.80999756 37.343, -32900.8800048828 6719907.7800293 37.353, -32900.7199707031 6719907.75 37.363, -32900.6400146484 6719907.73999023 37.373, -32900.5599975586 6719907.7199707 37.373, -32900.4000244141 6719907.67999268 37.383, -32900.2399902344 6719907.65002441 37.393, -32900.0800170898 6719907.61999512 37.403, -32899.9199829102 6719907.57000732 37.413, -32899.7700195313 6719907.53997803 37.423, -32899.5999755859 6719907.5 37.433, -32899.450012207 6719907.45001221 37.443, -32899.2899780273 6719907.40997314 37.453, -32899.1300048828 6719907.36999512 37.463, -32899.0599975586 6719907.34997559 37.473, -32898.9799804688 6719907.32000732 37.473, -32898.8200073242 6719907.27001953 37.483, -32898.6699829102 6719907.2199707 37.493, -32898.5100097656 6719907.16998291 37.503, -32898.3599853516 6719907.10998535 37.513, -32898.2100219727 6719907.05999756 37.523, -32898.049987793 6719907.01000977 37.533, -32897.9000244141 6719906.95001221 37.543, -32897.75 6719906.88000488 37.553, -32897.5999755859 6719906.83001709 37.563, -32897.450012207 6719906.77001953 37.573, -32897.299987793 6719906.70001221 37.583, -32897.1500244141 6719906.63000488 37.593, -32897 6719906.57000732 37.603, -32896.8499755859 6719906.5 37.613, -32896.7700195312 6719906.46002197 37.623, -32896.7100219727 6719906.42999268 37.623, -32896.549987793 6719906.34997559 37.633, -32896.4099731445 6719906.2800293 37.643, -32896.4000244141 6719906.2800293 37.643, -32896.2800292969 6719906.21002197 37.653, -32896.2600097656 6719906.21002197 37.653, -32896.0800170898 6719906.10998535 37.663, -32896.0700073242 6719906.10998535 37.663, -32895.9199829102 6719906.0300293 37.673, -32895.9000244141 6719906.0300293 37.673, -32895.7299804688 6719905.92999268 37.683, -32895.549987793 6719905.84002685 37.693, -32895.3800048828 6719905.75 37.703, -32895.200012207 6719905.65002442 37.713, -32895.0200195313 6719905.55999756 37.723, -32894.8900146484 6719905.51000977 37.733, -32894.8400268555 6719905.4699707 37.733, -32894.6599731445 6719905.38000488 37.743, -32894.4799804688 6719905.2800293 37.753, -32894.299987793 6719905.20001221 37.763, -32894.1199951172 6719905.09997559 37.773, -32893.950012207 6719905.01000977 37.783, -32893.7700195313 6719904.91998291 37.793, -32893.5900268555 6719904.83001709 37.803, -32893.4099731445 6719904.72998047 37.813, -32893.2299804688 6719904.65002441 37.823, -32893.0599975586 6719904.54998779 37.833, -32892.8800048828 6719904.45001221 37.843, -32892.700012207 6719904.36999512 37.853, -32892.5200195313 6719904.27001953 37.863, -32892.3400268555 6719904.17999268 37.873, -32892.1699829102 6719904.09002686 37.883, -32891.9899902344 6719904 37.893, -32891.8099975586 6719903.90002441 37.903, -32891.6300048828 6719903.80999756 37.913, -32891.450012207 6719903.7199707 37.923, -32891.2700195313 6719903.63000488 37.933, -32891.0999755859 6719903.5300293 37.943, -32890.9199829102 6719903.45001221 37.953, -32890.7399902344 6719903.34997559 37.963, -32890.5599975586 6719903.25 37.973, -32890.3800048828 6719903.16998291 37.983, -32890.3200073242 6719903.14001465 37.993, -32890.3099975586 6719903.13000488 37.993, -32890.2100219727 6719903.07000732 37.993, -32890.0300292969 6719902.97998047 38.003, -32889.8499755859 6719902.89001465 38.013, -32889.6699829102 6719902.79998779 38.023, -32889.4899902344 6719902.70001221 38.033, -32889.3099975586 6719902.61999512 38.043, -32889.1300048828 6719902.52001953 38.053, -32888.950012207 6719902.42999268 38.063, -32888.7800292969 6719902.34002686 38.073, -32888.6400146484 6719902.27001953 38.083, -32888.5999755859 6719902.25 38.083, -32888.4299926758 6719902.15002441 38.093, -32888.25 6719902.05999756 38.103, -32888.0700073242 6719901.9699707 38.113, -32887.8900146484 6719901.86999512 38.123, -32887.7100219727 6719901.78997803 38.133, -32887.5300292969 6719901.69000244 38.143, -32887.3499755859 6719901.59997559 38.153, -32887.1699829102 6719901.5 38.163, -32886.9899902344 6719901.41998291 38.173, -32886.8200073242 6719901.32000732 38.183, -32886.6500244141 6719901.23999023 38.193, -32886.4699707031 6719901.14001465 38.203, -32886.2899780273 6719901.04998779 38.213, -32886.1099853516 6719900.95001221 38.223, -32885.9299926758 6719900.85998535 38.233, -32885.75 6719900.77001953 38.243, -32885.5700073242 6719900.66998291 38.253, -32885.3900146484 6719900.59002686 38.263, -32885.2100219727 6719900.48999023 38.273, -32885.0300292969 6719900.40002441 38.283, -32884.8599853516 6719900.30999756 38.293, -32884.6799926758 6719900.2199707 38.303, -32884.5100097656 6719900.11999512 38.313, -32884.3300170898 6719900.03997803 38.323, -32884.1500244141 6719899.94000244 38.333, -32883.9699707031 6719899.84997559 38.343, -32883.8200073242 6719899.77001953 38.353, -32883.7899780273 6719899.76000977 38.353, -32883.6099853516 6719899.65997314 38.363, -32883.4299926758 6719899.57000732 38.373, -32883.25 6719899.47998047 38.383, -32883.0800170898 6719899.39001465 38.393, -32882.9000244141 6719899.28997803 38.403, -32882.7199707031 6719899.21002197 38.413, -32882.549987793 6719899.10998535 38.423, -32882.3699951172 6719899.02001953 38.433, -32882.1900024414 6719898.92999268 38.443, -32882.0100097656 6719898.84002686 38.453, -32881.8300170898 6719898.73999023 38.463, -32881.6500244141 6719898.64001465 38.473, -32881.4699707031 6719898.55999756 38.483, -32881.299987793 6719898.46002197 38.493, -32881.1199951172 6719898.36999512 38.503, -32880.9400024414 6719898.2800293 38.513, -32880.7600097656 6719898.19000244 38.523, -32880.7100219727 6719898.15997315 38.533, -32880.4000244141 6719898.01000977 38.543, -32879.5200195312 6719897.53997803 38.593, -32878.6199951172 6719897.08001709 38.643, -32877.7399902344 6719896.63000488 38.693, -32876.8400268555 6719896.15997314 38.743, -32875.9600219727 6719895.70001221 38.793, -32875.0599975586 6719895.23999024 38.843, -32874.6699829102 6719895.03997803 38.873, -32874.6599731445 6719895.0300293 38.873, -32874.6500244141 6719895.0300293 38.873, -32874.5700073242 6719894.97998047 38.873, -32874.5200195313 6719894.96002197 38.883, -32874.4799804688 6719894.94000244 38.883, -32874.3900146484 6719894.89001465 38.883, -32874.3400268555 6719894.86999512 38.893, -32874.299987793 6719894.84997559 38.893, -32874.2100219727 6719894.79998779 38.893, -32874.1699829102 6719894.7800293 38.903, -32874.1199951172 6719894.75 38.903, -32874.0300292969 6719894.71002197 38.903, -32873.9899902344 6719894.67999268 38.913, -32873.950012207 6719894.66998291 38.913, -32873.9199829102 6719894.65002441 38.913, -32873.8499755859 6719894.60998535 38.913, -32873.8099975586 6719894.59997559 38.923, -32873.7700195312 6719894.57000733 38.923, -32873.7199707031 6719894.53997803 38.923, -32873.6699829102 6719894.5300293 38.923, -32873.6400146484 6719894.5 38.933, -32873.5900268555 6719894.4699707 38.933, -32873.4899902344 6719894.42999268 38.933, -32873.4600219727 6719894.40997314 38.943, -32873.4099731445 6719894.39001465 38.943, -32873.3099975586 6719894.34002686 38.943, -32873.299987793 6719894.33001709 38.943, -32873.2800292969 6719894.32000732 38.953, -32872.5100097656 6719893.76000977 40.933, -32871.9299926758 6719893.23999023 40.933, -32870.9899902344 6719892.16998291 40.933, -32870.5100097656 6719891.03997803 40.933, -32870.1500244141 6719890.07000732 40.933, -32870.1900024414 6719889.33001709 40.933, -32870.3900146484 6719888.65997315 40.933, -32871.2299804688 6719887.5 40.933, -32872.4099731445 6719886.22998047 40.933, -32873.3400268555 6719885.89001465 40.933, -32874.0399780273 6719885.84997559 40.933, -32874.7899780273 6719885.96002197 40.933, -32875.4899902344 6719886.16998291 40.933, -32876.0599975586 6719886.40997315 40.933, -32876.450012207 6719886.67999268 40.933, -32876.9299926758 6719887.02001953 40.933, -32878.049987793 6719887.7800293 40.933, -32879.2800292969 6719888.61999512 40.933, -32880.0800170898 6719889.10998535 40.933, -32880.6799926758 6719889.5 40.933, -32881.2299804688 6719889.83001709 40.933, -32882.0800170898 6719890.40997315 40.933, -32882.3900146484 6719890.67999268 40.933, -32882.7700195313 6719890.98999023 40.933, -32882.8499755859 6719890.9699707 40.933, -32885.950012207 6719887.90002441 40.933, -32886.1199951172 6719887.65002441 40.933, -32886.4899902344 6719887.28997803 40.933, -32886.0300292969 6719886.53997803 40.933, -32885.6300048828 6719885.67999268 40.933, -32885.1400146484 6719885 40.933, -32884.8300170898 6719884.69000244 40.933, -32884.8599853516 6719884.44000244 40.933, -32884.4299926758 6719883.44000244 40.933, -32884.3099975586 6719883.09997559 40.933, -32884.0800170898 6719882.85998535 40.933, -32883.4000244141 6719882.0300293 40.933, -32883.4600219727 6719881.89001465 40.933, -32882.7700195313 6719880.25 40.933, -32882.5700073242 6719879.84002686 40.933)</t>
  </si>
  <si>
    <t>POLYGON ((-32905.84245667311 6719908.4113866, -32905.816650604844 6719908.41849072, -32905.76364556891 6719908.427108874, -32905.7100219727 6719908.42999268, -32905.691447176505 6719908.42999268, -32905.67230765467 6719908.433185844, -32905.64848884216 6719908.436572874, -32905.478444896864 6719908.456592404, -32905.451017954496 6719908.459057867, -32905.3004325536 6719908.468422773, -32905.20975507655 6719908.477496057, -32905.1599731445 6719908.47998047, -32905.13113981317 6719908.47998047, -32905.0020896971 6719908.496130197, -32904.97122715894 6719908.499024064, -32904.811254014436 6719908.509033835, -32904.7800292969 6719908.51000977, -32904.72772342364 6719908.51000977, -32904.66523806165 6719908.516957291, -32904.64121006623 6719908.5190435955, -32904.48123692163 6719908.529053365, -32904.450012207 6719908.5300293, -32904.4477340449 6719908.5300293, -32904.32541614284 6719908.538720589, -32904.25894298298 6719908.539013927, -32904.129091 6719908.530938432, -32903.989235893074 6719908.539123847, -32903.9600219727 6719908.53997803, -32903.299987793 6719908.53997803, -32903.24503107332 6719908.536948612, -32903.18246011433 6719908.5300293, -32903.1400146484 6719908.5300293, -32903.108801796065 6719908.529054106, -32902.96435881334 6719908.52001953, -32902.8200073242 6719908.52001953, -32902.75794338295 6719908.5161526445, -32902.61419562198 6719908.498170469, -32902.46059769136 6719908.48912556, -32902.42790298158 6719908.486120427, -32902.28341648078 6719908.468038944, -32902.1389596567 6719908.4590586, -32901.97878507991 6719908.449036276, -32901.9479458272 6719908.446145325, -32901.7879116475 6719908.426125796, -32901.7631636129 6719908.422398693, -32901.636254543664 6719908.40002442, -32901.5900268555 6719908.40002442, -32901.51925573772 6719908.394990529, -32901.449248413526 6719908.38498076, -32901.30923379412 6719908.364961233, -32901.2566766167 6719908.354546602, -32901.237634450954 6719908.348597, -32901.13811135323 6719908.336180349, -32901.10780003541 6719908.3314502165, -32900.94784117368 6719908.30143505, -32900.78793986667 6719908.271480246, -32900.64273762081 6719908.244234079, -32900.57790402961 6719908.236117503, -32900.51865979326 6719908.225039711, -32900.43870662088 6719908.205036174, -32900.293301436526 6719908.168698753, -32900.14795911338 6719908.141481705, -32899.987770961096 6719908.111412103, -32899.93094175934 6719908.097254531, -32899.79601649143 6719908.055109676, -32899.6718463712 6719908.030245336, -32899.655587497866 6719908.0267072255, -32899.485543552466 6719907.986729195, -32899.44186171084 6719907.974341651, -32899.310072693894 6719907.930411981, -32899.1686885529 6719907.895038978, -32899.008780639124 6719907.85507726, -32898.99253361749 6719907.8507254515, -32898.922526293296 6719907.830705921, -32898.88463151465 6719907.81821351, -32898.81760892834 6719907.793111986, -32898.670880205646 6719907.747262762, -32898.66177766274 6719907.744322571, -32898.51629046697 6719907.695787378, -32898.36088264451 6719907.647226142, -32898.32434698727 6719907.634234278, -32898.18794893802 6719907.579686156, -32898.056413521634 6719907.53584102, -32897.900912490455 6719907.48726919, -32897.864259874455 6719907.474235082, -32897.71429649556 6719907.414237522, -32897.68859175902 6719907.403108482, -32897.56464377568 6719907.345269447, -32897.44191960802 6719907.304378036, -32897.41424766985 6719907.294242403, -32897.26428429095 6719907.234244843, -32897.238579574914 6719907.223115814, -32897.08855516091 6719907.153108493, -32896.95128378831 6719907.089026174, -32896.81433722177 6719907.034258688, -32896.78856737033 6719907.023103604, -32896.63854295623 6719906.9530962845, -32896.62636877568 6719906.947213589, -32896.54641272098 6719906.907235559, -32896.486325480975 6719906.877161429, -32896.32645828432 6719906.79722783, -32896.23520539006 6719906.751641161, -32896.194998819585 6719906.736060555, -32896.14806157024 6719906.711902806, -32896.097216376176 6719906.682238797, -32896.062625004466 6719906.669412062, -32896.01711280816 6719906.647058659, -32895.887906488075 6719906.575248162, -32895.87911367606 6719906.572110457, -32895.8348436703 6719906.551231376, -32895.752441292665 6719906.507314733, -32895.743186076375 6719906.504794227, -32895.69367413834 6719906.4854626795, -32895.64649407442 6719906.46098448, -32895.491164147104 6719906.369604097, -32895.32644164077 6719906.287270763, -32895.31597105163 6719906.281882216, -32895.14598814143 6719906.191855366, -32895.13722118255 6719906.187099617, -32894.966677627315 6719906.09237248, -32894.81799110149 6719906.018004004, -32894.710569164905 6719905.976699515, -32894.66364651622 6719905.955832009, -32894.61911176877 6719905.930261635, -32894.57743470831 6719905.9002581285, -32894.56896097385 6719905.893470863, -32894.43648764974 6719905.827279107, -32894.41718944415 6719905.817104497, -32894.256593401704 6719905.727902631, -32894.09687543623 6719905.656898815, -32894.057090835544 6719905.637048899, -32893.88157520835 6719905.53950054, -32893.72120181165 6719905.45462069, -32893.54641307369 6719905.367196681, -32893.366480723635 6719905.277261013, -32893.34719281219 6719905.26708874, -32893.18662172198 6719905.177876532, -32893.02699748962 6719905.10696851, -32892.97638250842 6719905.080939801, -32892.81176822194 6719904.984062669, -32892.6566178163 6719904.897885541, -32892.49689985024 6719904.826881725, -32892.45722848937 6719904.807094727, -32892.28668496263 6719904.712367596, -32892.11635941535 6719904.6271759495, -32892.1061996212 6719904.621948362, -32891.94120568127 6719904.534654369, -32891.76632277389 6719904.447183259, -32891.74720651686 6719904.437099607, -32891.57666299093 6719904.342372477, -32891.40633744265 6719904.2571808295, -32891.22640603903 6719904.1671846155, -32891.046473399336 6719904.077248803, -32891.016604140386 6719904.061027663, -32890.87097907628 6719903.975408912, -32890.71687055334 6719903.906898815, -32890.67708595275 6719903.887048899, -32890.49714959066 6719903.787043577, -32890.336610488805 6719903.69787333, -32890.17689252603 6719903.6268695155, -32890.1565801308 6719903.617287482, -32890.0965825722 6719903.587319222, -32890.04992761826 6719903.560796009, -32890.018860501325 6719903.538413699, -32889.96919080249 6719903.508605814, -32889.806453516365 6719903.427209584, -32889.62649009299 6719903.337288878, -32889.44631544959 6719903.247171049, -32889.42719920996 6719903.237087407, -32889.2666031679 6719903.147885541, -32889.106885201836 6719903.076881725, -32889.067213841074 6719903.057094727, -32888.89667031526 6719902.962367597, -32888.726344766845 6719902.8771759495, -32888.71611938289 6719902.871913654, -32888.551248865995 6719902.7846536385, -32888.41640783645 6719902.717233119, -32888.376368796475 6719902.697213599, -32888.34649256772 6719902.680983015, -32888.19114242927 6719902.589613702, -32888.02633255985 6719902.5071808295, -32887.84633986369 6719902.417153959, -32887.82722362395 6719902.407070317, -32887.6666275822 6719902.317868452, -32887.50690961584 6719902.2468646355, -32887.46723825345 6719902.227077636, -32887.2967243896 6719902.13236698, -32887.12636879931 6719902.047189191, -32887.10719186827 6719902.037075196, -32886.94659583988 6719901.94787333, -32886.78687787763 6719901.8768695155, -32886.73650721457 6719901.850965925, -32886.58629823508 6719901.762620388, -32886.43707113864 6719901.6923738085, -32886.407303618485 6719901.677124781, -32886.23666831451 6719901.582378811, -32886.06631056679 6719901.497171049, -32886.04719432695 6719901.487087407, -32885.87665076907 6719901.392360268, -32885.70638638104 6719901.307199202, -32885.526453869985 6719901.217263455, -32885.50710304255 6719901.20705622, -32885.346622956145 6719901.117864338, -32885.187031689056 6719901.046970968, -32885.14711767185 6719901.027063539, -32884.97668873412 6719900.932342259, -32884.80648316688 6719900.847268335, -32884.796078160514 6719900.841914516, -32884.63114544971 6719900.754593722, -32884.45632521529 6719900.667153959, -32884.42650967528 6719900.650953726, -32884.280977303686 6719900.565358749, -32884.126904733035 6719900.4968646355, -32884.08723337044 6719900.477077636, -32883.91671950565 6719900.38236698, -32883.746363916514 6719900.297189191, -32883.73473249849 6719900.291181876, -32883.61840876547 6719900.229161486, -32883.58860690947 6719900.21766649, -32883.54708105075 6719900.197046449, -32883.376652112034 6719900.102325168, -32883.20644654393 6719900.017251243, -32883.02633255985 6719899.927163739, -32883.01610717788 6719899.921901444, -32882.84612426768 6719899.831935625, -32882.83712013225 6719899.82705134, -32882.676667573425 6719899.7378747575, -32882.51704519458 6719899.666991594, -32882.46637274262 6719899.640937361, -32882.3111363579 6719899.549579216, -32882.14644898718 6719899.467263455, -32881.966395972115 6719899.377206446, -32881.78646363373 6719899.287270783, -32881.76711278915 6719899.277063539, -32881.58717747895 6719899.177058792, -32881.42666490509 6719899.087903288, -32881.26691584105 6719899.016909721, -32881.216487683174 6719898.990980575, -32881.06113754451 6719898.899611261, -32880.896388626454 6719898.817208874, -32880.716456309536 6719898.727273223, -32880.53634230509 6719898.637185698, -32880.50253109068 6719898.618610339, -32880.4719272621 6719898.6002256265, -32880.18228564452 6719898.460109568, -32880.164458850064 6719898.451041362, -32879.28845007533 6719897.983144039, -32878.39245980187 6719897.525244762, -32877.51234168148 6719897.075174664, -32877.50851927042 6719897.073199186, -32876.60855589152 6719896.603167445, -32875.73043226424 6719896.144189838, -32874.832438306024 6719895.685205678, -32874.83183499168 6719895.684896795, -32874.44182034328 6719895.484884585, -32874.435616193994 6719895.481288746, -32874.425462228144 6719895.476763924, -32874.38487962808 6719895.453937595, -32874.342918348484 6719895.427691789, -32874.33461746494 6719895.424377517, -32874.296412741875 6719895.407235569, -32874.256373679375 6719895.387216039, -32874.237133841736 6719895.377067098, -32874.17478976605 6719895.342426804, -32874.1541361134 6719895.334155256, -32874.11642006607 6719895.317208719, -32874.07638100357 6719895.297189189, -32874.05714112769 6719895.287040227, -32873.9769516422 6719895.242484462, -32873.94692204373 6719895.227515444, -32873.91250417109 6719895.208637161, -32873.888865295245 6719895.194436517, -32873.82698881395 6719895.1669405205, -32873.77690413168 6719895.141215256, -32873.768080787864 6719895.135343683, -32873.72230299525 6719895.115121669, -32873.673248298015 6719895.086398254, -32873.657189281585 6719895.075724881, -32873.65623608372 6719895.075179722, -32873.640985102815 6719895.070544171, -32873.59508582941 6719895.051432065, -32873.55131161687 6719895.027855927, -32873.52013026338 6719895.006819078, -32873.47845172843 6719894.991890541, -32873.43403677021 6719894.970857406, -32873.391901128445 6719894.945565728, -32873.35245184712 6719894.916259832, -32873.34697688821 6719894.911288221, -32873.30444145975 6719894.894289625, -32873.25707784844 6719894.872431174, -32873.231100915975 6719894.856974216, -32873.22476622197 6719894.854448064, -32873.186366356684 6719894.837228251, -32873.08639077078 6719894.7872404605, -32873.03980368977 6719894.760734922, -32873.02367764635 6719894.749111925, -32873.02003986147 6719894.747096881, -32872.98594916874 6719894.724379522, -32872.215929637445 6719894.1643819725, -32872.1762357566 6719894.132293145, -32871.5962186668 6719893.612273605, -32871.55435678696 6719893.569986713, -32870.614354345555 6719892.499979394, -32870.58143874467 6719892.458228778, -32870.55314230975 6719892.413219196, -32870.52978496607 6719892.365459535, -32870.04980449728 6719891.235454655, -32870.04125148284 6719891.21394835, -32869.68126613134 6719890.24397764, -32869.66594612529 6719890.195180042, -32869.6556913367 6719890.145072682, -32869.650609067896 6719890.094179866, -32869.65075249786 6719890.043034117, -32869.69073052516 6719889.303043887, -32869.6973827202 6719889.244426142, -32869.710892756484 6719889.186999924, -32869.910904963486 6719888.516955984, -32869.929933587846 6719888.4642043635, -32869.95474970427 6719888.413915375, -32869.98504114363 6719888.366721619, -32870.82500696403 6719887.206748469, -32870.86368280161 6719887.159667782, -32872.04367547731 6719885.889648251, -32872.077362257674 6719885.856657556, -32872.11400686045 6719885.8269867245, -32872.15328341462 6719885.800899612, -32872.19484264398 6719885.778628204, -32872.23831497293 6719885.760370554, -32873.168368683924 6719885.420404735, -32873.21502834317 6719885.405891348, -32873.262881869174 6719885.396001846, -32873.311472210684 6719885.3908306835, -32874.011423382486 6719885.350791623, -32874.06210793064 6719885.350465562, -32874.11256506923 6719885.355272526, -32874.86256506923 6719885.465318906, -32874.93362515461 6719885.481100784, -32875.63363736171 6719885.691061724, -32875.6840099144 6719885.709161509, -32876.25401723861 6719885.949151749, -32876.300601509436 6719885.9716699, -32876.344609238025 6719885.998881686, -32876.73462388643 6719886.268901216, -32876.73904390552 6719886.271996752, -32877.21491443353 6719886.609112046, -32878.33074181129 6719887.366293658, -32878.331954302856 6719887.367119034, -32879.551757105575 6719888.2000930905, -32880.34117224046 6719888.683607598, -32880.352526255694 6719888.690773286, -32880.94496384301 6719889.075887853, -32881.487242340314 6719889.401279024, -32881.51177678156 6719889.416990653, -32882.36181340256 6719889.996946713, -32882.40842243961 6719890.032945397, -32882.71233109072 6719890.297661261, -32882.770432227335 6719890.3450585725, -32885.56377052195 6719887.578833659, -32885.706518723746 6719887.368888727, -32885.736955454595 6719887.328651392, -32885.77129219988 6719887.291686197, -32885.85471340585 6719887.2105080895, -32885.60380047386 6719886.801376175, -32885.57667503625 6719886.75085694, -32885.19664064572 6719885.933846786, -32884.757939964984 6719885.325032097, -32884.47646369815 6719885.043555829, -32884.44276825583 6719885.006290821, -32884.41298257642 6719884.965832486, -32884.38740738354 6719884.9225893, -32884.36630089084 6719884.876997859, -32884.34987619486 6719884.829518463, -32884.33829912348 6719884.78063048, -32884.33168656179 6719884.730827492, -32884.33010527187 6719884.680612323, -32884.33357121878 6719884.63049196, -32884.34753637671 6719884.513992394, -32883.97065686113 6719883.6375134755, -32883.958491260244 6719883.606394793, -32883.874383258655 6719883.368060271, -32883.71901533933 6719883.20593005, -32883.693252694975 6719883.176865932, -32883.013260019274 6719882.346909882, -32882.983777305235 6719882.307046167, -32882.95838770901 6719882.264458437, -32882.93734089649 6719882.219565477, -32882.92084382909 6719882.172808735, -32882.90905872882 6719882.124647986, -32882.90210148311 6719882.0755568165, -32882.90004050523 6719882.026017957, -32882.90289606157 6719881.9765185425, -32882.91064007235 6719881.92754532, -32882.91935477357 6719881.894254929, -32882.314544915534 6719880.456728091, -32882.12063403342 6719880.059261085, -32883.01938061498 6719879.620792635, -32883.21939282208 6719880.030765775, -32883.23089047329 6719880.056098028, -32883.92089291469 6719881.696112678, -32883.938005035496 6719881.743276136, -32883.950304409016 6719881.791917084, -32883.95766719461 6719881.8415457625, -32883.96001925739 6719881.891662468, -32883.958364824226 6719881.92256355, -32884.45446499747 6719882.528072042, -32884.67099930907 6719882.754030889, -32884.705639398024 6719882.794250984, -32884.7358204581 6719882.837916707, -32884.76120233781 6719882.884535929, -32884.78149897416 6719882.933583236, -32884.895931453946 6719883.257847394, -32885.31932116627 6719884.242491404, -32885.33750370768 6719884.291758656, -32885.3504185208 6719884.342661253, -32885.35792313632 6719884.394637668, -32885.35993476733 6719884.447114522, -32885.356431222615 6719884.499512919, -32885.355382549234 6719884.508261119, -32885.49356804005 6719884.646446611, -32885.52085214982 6719884.6760203745, -32885.54566990986 6719884.70769227, -32886.035660144255 6719885.387684951, -32886.06143506589 6719885.427271496, -32886.08335914344 6719885.469113771, -32886.471271637274 6719886.303060525, -32886.916219057435 6719887.028579885, -32886.93939289841 6719887.070804022, -32886.95839645381 6719887.115062011, -32886.973053378075 6719887.160943154, -32886.98322766053 6719887.208021691, -32886.98882488771 6719887.255860752, -32886.98979311948 6719887.3040164085, -32886.986123371025 6719887.352041794, -32886.97784969621 6719887.3994912505, -32886.96504887158 6719887.445924467, -32886.947839683904 6719887.49091056, -32886.926381827885 6719887.534032076, -32886.90087442425 6719887.574888863, -32886.87155417199 6719887.613101786, -32886.838693151716 6719887.648316244, -32886.504994766234 6719887.973041869, -32886.36348860046 6719888.181160093, -32886.3344541961 6719888.219718572, -32886.301837172534 6719888.255297817, -32883.20180055143 6719891.325244107, -32883.16183235054 6719891.360797207, -32883.11829466212 6719891.391876938, -32883.07168581503 6719891.418127564, -32883.022539290425 6719891.439248622, -32882.97141761544 6719891.454998363, -32882.89146156084 6719891.475017892, -32882.84080415663 6719891.484954407, -32882.78939221464 6719891.4896147875, -32882.73777376706 6719891.488949357, -32882.686499047326 6719891.482965208, -32882.63611462486 6719891.471726128, -32882.58715757884 6719891.455351924, -32882.54014977316 6719891.434017137, -32882.49559229352 6719891.407949189, -32882.45396010628 6719891.377425953, -32882.07395522338 6719891.0674284035, -32882.061609298595 6719891.057020433, -32881.77385438885 6719890.806375086, -32880.96022240902 6719890.251256888, -32880.42273080429 6719889.928738066, -32880.40748350991 6719889.919212064, -32879.81313682643 6719889.532856487, -32879.01887414623 6719889.046372872, -32878.99806278704 6719889.032905386, -32877.768626924764 6719888.1933531435, -32876.64923865751 6719887.433755172, -32876.64096097728 6719887.428015458, -32876.16318218315 6719887.089548315, -32875.818098400676 6719886.85063585, -32875.3206717304 6719886.64120425, -32874.68128502276 6719886.449427259, -32874.01773383444 6719886.352065384, -32873.44231750076 6719886.384980722, -32872.69448460836 6719886.658338722, -32871.61705302857 6719887.817972317, -32870.84482108515 6719888.884406568, -32870.68607511788 6719889.416207976, -32870.65489542254 6719889.993341753, -32870.97474048607 6719890.855155553, -32871.41873559221 6719891.9004410785, -32872.285957953296 6719892.887602637, -32872.82475684834 6719893.370667634, -32873.548234306545 6719893.896817409, -32873.570524505776 6719893.909529412, -32873.578391056995 6719893.915206614, -32873.614742659025 6719893.933382413, -32873.645228895235 6719893.945539726, -32873.69277148778 6719893.967448945, -32873.719077660775 6719893.983095255, -32873.77557563014 6719894.005673756, -32873.81225820379 6719894.02207202, -32873.84750559497 6719894.041362839, -32873.89749338787 6719894.0713921385, -32873.902119947 6719894.074435679, -32873.93944523318 6719894.090722055, -32873.97721859853 6719894.111231578, -32874.02726742662 6719894.141260877, -32874.033443918684 6719894.145412846, -32874.057559356945 6719894.155112864, -32874.0982080331 6719894.17595695, -32874.15414586021 6719894.207949288, -32874.15903150651 6719894.20943445, -32874.20495714596 6719894.228562479, -32874.24875457356 6719894.252159749, -32874.28307113303 6719894.2753224755, -32874.32303560015 6719894.293081449, -32874.377473856315 6719894.3213921385, -32874.41062353949 6719894.341306236, -32874.43308283917 6719894.352501646, -32874.45286863801 6719894.362923153, -32874.533324936085 6719894.407627167, -32874.545126276855 6719894.413527837, -32874.5759053905 6719894.425854514, -32874.632861275466 6719894.452949991, -32874.7133175954 6719894.497654009, -32874.724883172385 6719894.503436796, -32874.75540939056 6719894.515624923, -32874.79618670334 6719894.5340624405, -32874.835152110216 6719894.556072175, -32874.86391770184 6719894.574064383, -32874.894828269964 6719894.588618981, -32874.93680401295 6719894.613658467, -32874.942308495505 6719894.617719709, -32875.28785832582 6719894.794928912, -32876.18758122528 6719895.254796771, -32876.19163261636 6719895.256890884, -32877.07156861855 6719895.716815812, -32877.96955416723 6719896.1858145725, -32878.847588455224 6719896.63481907, -32879.74755484653 6719897.094750358, -32879.755585095234 6719897.098946438, -32880.62676728878 6719897.564265768, -32880.92776074228 6719897.709873352, -32880.967500647625 6719897.73136525, -32881.00094139614 6719897.751454193, -32881.16360875946 6719897.832815459, -32881.343541249065 6719897.922751197, -32881.523655233155 6719898.012838701, -32881.55347081293 6719898.029038955, -32881.698975972045 6719898.114617936, -32881.85307927615 6719898.183102489, -32881.892808112716 6719898.202915032, -32882.07280078842 6719898.302890612, -32882.2433430041 6719898.397674831, -32882.41354857327 6719898.482748757, -32882.59360156319 6719898.572805754, -32882.77353392302 6719898.662741425, -32882.80358575348 6719898.679069959, -32882.948975909145 6719898.7646335, -32883.10294992262 6719898.833008406, -32883.14292137165 6719898.852941341, -32883.31843700069 6719898.950489701, -32883.47881038486 6719899.035369545, -32883.65359914509 6719899.122793554, -32883.83353148347 6719899.212729217, -32883.85288232815 6719899.222936461, -32883.99603395872 6719899.302497514, -32884.01737991357 6719899.310624209, -32884.05524552881 6719899.328813244, -32884.19943252636 6719899.405689507, -32884.37363120069 6719899.492788838, -32884.39280813346 6719899.502902834, -32884.5534041613 6719899.5921047, -32884.71312212237 6719899.663108515, -32884.76349276613 6719899.689012094, -32884.91884292205 6719899.7803814085, -32885.083652812114 6719899.862814302, -32885.09393648798 6719899.868107455, -32885.25880924188 6719899.955396506, -32885.433568102715 6719900.0427463055, -32885.45291894925 6719900.052953551, -32885.61339902982 6719900.142145438, -32885.77299028354 6719900.213038802, -32885.81290428164 6719900.232946221, -32885.9833332221 6719900.327667492, -32886.15353880582 6719900.412741425, -32886.333652812114 6719900.502828951, -32886.35276905195 6719900.512912593, -32886.5233126099 6719900.607639732, -32886.69363816361 6719900.6928313915, -32886.71269149872 6719900.702880099, -32886.87811660682 6719900.794733086, -32887.03296059966 6719900.867623741, -32887.073490344024 6719900.889024305, -32887.21902270782 6719900.974619286, -32887.373095266965 6719901.043113395, -32887.41276662783 6719901.062900393, -32887.58328049291 6719901.157611048, -32887.753636083486 6719901.242788838, -32887.77281301615 6719901.252902834, -32887.93340904326 6719901.3421047, -32888.09312700526 6719901.413108515, -32888.13279834865 6719901.432895503, -32888.30334190572 6719901.527622641, -32888.47366746051 6719901.612814302, -32888.65366011595 6719901.702841141, -32888.683475693986 6719901.719041395, -32888.83879657427 6719901.810393499, -32888.86362143783 6719901.822805931, -32889.00363610885 6719901.892813272, -32889.01392212101 6719901.898105887, -32889.17882259701 6719901.985381758, -32889.353672322955 6719902.072836261, -32889.372788600325 6719902.082919924, -32889.533384628354 6719902.17212179, -32889.69310259116 6719902.243125604, -32889.73277393464 6719902.262912593, -32889.903317490774 6719902.357639731, -32890.07355135495 6719902.44278553, -32890.25351478981 6719902.532706242, -32890.43368941285 6719902.6228240505, -32890.46730834589 6719902.641283956, -32890.56728393179 6719902.701281517, -32890.58513930265 6719902.713542476, -32890.59338107173 6719902.717659168, -32890.763109915366 6719902.793113395, -32890.802781276136 6719902.812900393, -32890.98277395193 6719902.912875983, -32891.14342928481 6719903.002165244, -32891.30308794276 6719903.073142694, -32891.353390976816 6719903.099006517, -32891.508776122384 6719903.190363607, -32891.67355833897 6719903.272726777, -32891.85367234331 6719903.362814302, -32892.03366499875 6719903.452841141, -32892.052781276136 6719903.462924804, -32892.223324813145 6719903.55765194, -32892.39365037071 6719903.642843601, -32892.4038101445 6719903.648071178, -32892.568804072216 6719903.735365165, -32892.74368697145 6719903.822836261, -32892.76280324893 6719903.832919924, -32892.92339927732 6719903.92212179, -32893.08311723956 6719903.993125604, -32893.12278858304 6719904.012912593, -32893.30278125884 6719904.112888173, -32893.31359551898 6719904.119072399, -32893.45901285723 6719904.204651938, -32893.61295612368 6719904.27303637, -32893.65280718781 6719904.292908819, -32893.823327878614 6719904.387648958, -32893.993565663164 6719904.472738987, -32894.17367966761 6719904.562826511, -32894.183905029124 6719904.568088796, -32894.35388793932 6719904.658054615, -32894.362892074656 6719904.6629389, -32894.52343416798 6719904.752165244, -32894.683092825566 6719904.823142694, -32894.72276416915 6719904.842929683, -32894.893218755526 6719904.937607403, -32895.06351235026 6719905.022696474, -32895.10957188881 6719905.048846639, -32895.1392959724 6719905.0701723965, -32895.1994650148 6719905.0933078155, -32895.243686990056 6719905.112814301, -32895.42367966576 6719905.20284116, -32895.44279590725 6719905.212924803, -32895.61842883267 6719905.3104787925, -32895.778800971 6719905.395415557, -32895.95352662103 6719905.482748767, -32895.98351080848 6719905.4990375005, -32896.084683389236 6719905.558557191, -32896.110876558334 6719905.567904192, -32896.155146564095 6719905.5887832735, -32896.25677596759 6719905.642947029, -32896.27740185094 6719905.650595258, -32896.32291404725 6719905.67294866, -32896.433063262484 6719905.734167569, -32896.43583226085 6719905.73491626, -32896.48505489141 6719905.753990714, -32896.53199214076 6719905.778148464, -32896.600764468065 6719905.818271488, -32896.63342394436 6719905.832737739, -32896.773438592856 6719905.902684029, -32896.93362877252 6719905.982779086, -32896.993716786434 6719906.012853603, -32897.06753507964 6719906.049762752, -32897.19870438251 6719906.110971532, -32897.33568719233 6719906.165753512, -32897.36152772709 6719906.176941586, -32897.51145527799 6719906.24693219, -32897.64874841318 6719906.3109985925, -32897.77201694471 6719906.36031604, -32897.90805597788 6719906.405643933, -32897.96143265508 6719906.426908608, -32898.098760625595 6719906.490991274, -32898.21764311828 6719906.538553949, -32898.35909727524 6719906.582738141, -32898.36813584511 6719906.585655908, -32898.518099224006 6719906.635643697, -32898.54564812993 6719906.645733981, -32898.677656795095 6719906.698526708, -32898.81911003129 6719906.742727469, -32898.82821257166 6719906.74566766, -32898.973699803726 6719906.794202865, -32899.12910758735 6719906.842764088, -32899.15534651275 6719906.851769399, -32899.21666563227 6719906.874734842, -32899.259389252846 6719906.886952233, -32899.411202270974 6719906.924891, -32899.57136709395 6719906.964962737, -32899.608126082065 6719906.975670558, -32899.736530053415 6719907.01847188, -32899.87635155452 6719907.051344489, -32900.0181560703 6719907.079740014, -32900.06905824066 6719907.092747908, -32900.20109311158 6719907.133989927, -32900.33212891045 6719907.158587256, -32900.49205553511 6719907.188535386, -32900.52124865777 6719907.19491054, -32900.681221802275 6719907.23488856, -32900.732081831906 6719907.247613246, -32900.78208132189 6719907.253872727, -32900.8121828747 6719907.258576644, -32900.97214174082 6719907.288591811, -32901.13204304343 6719907.318546614, -32901.27714130413 6719907.345773269, -32901.42188620537 6719907.363831861, -32901.47752300093 6719907.373996768, -32901.50794010727 6719907.383202432, -32901.59079061998 6719907.395048537, -32901.62559144582 6719907.40002442, -32901.6799926758 6719907.40002442, -32901.72356441924 6719907.401926534, -32901.7668046488 6719907.407618407, -32901.92446018372 6719907.435413332, -32902.0566988849 6719907.451955777, -32902.20110579802 6719907.460991534, -32902.3610403433 6719907.470934071, -32902.392104342616 6719907.473840503, -32902.53577949324 6719907.491820452, -32902.68936568754 6719907.50086467, -32902.72203708575 6719907.503866886, -32902.85115975626 6719907.52001953, -32902.9799804688 6719907.52001953, -32903.01119332114 6719907.520994724, -32903.15563630386 6719907.5300293, -32903.2100219727 6719907.5300293, -32903.26497869238 6719907.533058718, -32903.32754965137 6719907.53997803, -32903.94540252853 6719907.53997803, -32904.100790962424 6719907.530883483, -32904.161039927116 6719907.530993403, -32904.28776672059 6719907.538874542, -32904.39455456026 6719907.531286741, -32904.4299926758 6719907.5300293, -32904.43438459073 6719907.5300293, -32904.56672147492 6719907.521748775, -32904.64475949695 6719907.513072009, -32904.700012207 6719907.51000977, -32904.764401691136 6719907.51000977, -32904.89330157671 6719907.501944303, -32905.037888330204 6719907.483850272, -32905.0999755859 6719907.47998047, -32905.135020183 6719907.47998047, -32905.21022783356 6719907.472455113, -32905.22897472131 6719907.470934804, -32905.37520043503 6719907.461841026, -32905.519614710094 6719907.444838915, -32905.56774361493 6719907.436809276, -32905.60874307482 6719907.4316997435, -32905.64052290831 6719907.430385586, -32905.68168342911 6719907.423394231, -32905.84978689919 6719907.403656415, -32905.92703453621 6719907.393993091, -32907.07581207579 6719906.842239789, -32908.27017951719 6719905.917539777, -32908.39112556829 6719905.820181537, -32907.92412432998 6719904.621513352, -32907.908222253376 6719904.573703928, -32907.8972125222 6719904.524536837, -32907.89120693447 6719904.474511345, -32907.89026647374 6719904.424135433, -32907.89440068989 6719904.373920641, -32907.903567602145 6719904.324376875, -32907.9176741254 6719904.276007225, -32907.93657701541 6719904.22930286, -32907.96008432348 6719904.184738036, -32909.22958208467 6719902.046580199, -32906.10114088276 6719900.107810487, -32902.515774736225 6719897.990531629, -32902.508216663235 6719897.98597791, -32899.628211780335 6719896.21595838, -32899.58797301097 6719896.18843863, -32899.55060544349 6719896.157131121, -32899.51646429343 6719896.1223334605, -32899.48587410593 6719896.084376437, -32899.45912567071 6719896.043620868, -32899.436473257905 6719896.000454174, -32899.41813220091 6719895.955286698, -32899.40427684946 6719895.908547802, -32899.39503891226 6719895.8606817825, -32899.390506204974 6719895.8121436555, -32899.39072181543 6719895.763394822, -32899.39568369403 6719895.714898689, -32899.40534467326 6719895.667116257, -32899.41961291603 6719895.620501748, -32899.4383527887 6719895.575498277, -32899.461386150564 6719895.532533647, -32901.40138859196 6719892.302553177, -32902.25864558764 6719892.817441944, -32900.57347493433 6719895.623143721, -32903.02806347182 6719897.1317070145, -32906.614230146675 6719899.249458612, -32906.62337041251 6719899.254988787, -32910.173358205415 6719901.455000986, -32910.21327586646 6719901.482503359, -32910.2503427243 6719901.513741929, -32910.28421038012 6719901.548423078, -32910.314560505045 6719901.586220831, -32910.34110783214 6719901.626779919, -32910.36360283775 6719901.669719119, -32910.3818340868 6719901.714634837, -32910.395630220126 6719901.761104901, -32910.404861565105 6719901.808692531, -32910.40944135446 6719901.8569504395, -32910.409326541834 6719901.905425041, -32910.40451820638 6719901.9536607135, -32910.39506154261 6719902.00120408, -32910.38104543559 6719902.04760827, -32910.36260162554 6719902.092437124, -32910.33990346942 6719902.135269283, -32908.94440425123 6719904.485645693, -32909.45588055282 6719905.798469557, -32909.47130633763 6719905.844574382, -32909.482181549014 6719905.891959393, -32909.48840336788 6719905.940176596, -32909.48991297045 6719905.988770122, -32909.486696084256 6719906.037280546, -32909.47878312316 6719906.08524923, -32909.466248899764 6719906.132222657, -32909.44921191811 6719906.17775672, -32909.4278332533 6719906.2214209195, -32909.402315028594 6719906.262802435, -32909.37289850449 6719906.301510028, -32909.3398617977 6719906.337177739, -32909.30351725195 6719906.369468351, -32908.893544107355 6719906.699485442, -32908.88610957321 6719906.705354856, -32907.64611933891 6719907.665376826, -32907.60277177014 6719907.695419472, -32907.55650082529 6719907.720728993, -32906.28648129399 6719908.330714343, -32906.2367461608 6719908.351383879, -32906.18507631464 6719908.366583885, -32906.13207129387 6719908.3761379905, -32905.972037114174 6719908.39615753, -32905.96827994979 6719908.396613099, -32905.84245667311 6719908.4113866))</t>
  </si>
  <si>
    <t>['PV31510 S45D1 m14-17']</t>
  </si>
  <si>
    <t>LINESTRING Z (-32937.0200195313 6719915.57000732 39.933, -32936.6400146484 6719916.05999756 39.933, -32936.5599975586 6719916.32000733 39.933, -32937.8599853516 6719917.35998535 39.933, -32938.1400146484 6719917.4699707 39.933)</t>
  </si>
  <si>
    <t>POLYGON Z ((-32937.0200195313 6719915.57000732 39.933, -32936.6400146484 6719916.05999756 39.933, -32936.5599975586 6719916.32000733 39.933, -32937.8599853516 6719917.35998535 39.933, -32938.1400146484 6719917.4699707 39.933, -32937.0200195313 6719915.57000732 39.933))</t>
  </si>
  <si>
    <t>['PV31510 S45D1 m18-40', 'PV9000 S1D1 m2-23']</t>
  </si>
  <si>
    <t>LINESTRING Z (-32923.75 6719906.84002686 40.333, -32923.7100219727 6719906.89001465 40.323, -32923.700012207 6719906.90997314 40.323, -32923.5599975586 6719907.09002686 40.313, -32923.4199829102 6719907.2800293 40.303, -32923.2700195312 6719907.47998047 40.293, -32923.2600097656 6719907.48999024 40.293, -32923.1500244141 6719907.61999512 40.283, -32923.1099853516 6719907.67999268 40.283, -32922.9600219727 6719907.86999512 40.273, -32922.950012207 6719907.89001465 40.273, -32922.9400024414 6719907.89001465 40.273, -32922.799987793 6719908.07000733 40.263, -32922.6300048828 6719908.26000977 40.253, -32922.4699707031 6719908.45001221 40.243, -32922.3800048828 6719908.55999756 40.243, -32922.299987793 6719908.64001465 40.233, -32922.1400146484 6719908.83001709 40.223, -32921.9699707031 6719909.02001953 40.213, -32921.8900146484 6719909.09997559 40.213, -32921.799987793 6719909.19000244 40.203, -32921.6300048828 6719909.38000488 40.193, -32921.450012207 6719909.55999756 40.183, -32921.2700195313 6719909.72998047 40.173, -32921.0900268555 6719909.90997315 40.163, -32921.0599975586 6719909.95001221 40.163, -32920.9199829102 6719910.08001709 40.153, -32920.7299804688 6719910.25 40.143, -32920.5399780273 6719910.41998291 40.133, -32920.4299926758 6719910.5300293 40.123, -32920.4099731445 6719910.53997803 40.123, -32920.3599853516 6719910.59002686 40.123, -32920.2800292969 6719910.65997315 40.123, -32920.2700195313 6719910.66998291 40.113, -32920.1699829102 6719910.76000977 40.113, -32919.9799804688 6719910.92999268 40.103, -32919.7899780273 6719911.08001709 40.093, -32919.5900268555 6719911.23999023 40.083, -32919.4000244141 6719911.40002441 40.073, -32919.200012207 6719911.54998779 40.063, -32919 6719911.70001221 40.053, -32918.950012207 6719911.75 40.053, -32918.799987793 6719911.85998535 40.043, -32918.5999755859 6719912.01000977 40.033, -32918.5700073242 6719912.03997803 40.033, -32918.5599975586 6719912.03997803 40.033, -32918.4000244141 6719912.15002441 40.023, -32918.2899780273 6719912.22998047 40.013, -32918.2800292969 6719912.22998047 40.013, -32918.1900024414 6719912.29998779 40.013, -32917.9799804688 6719912.44000244 40.003, -32917.7800292969 6719912.58001709 39.993, -32917.5599975586 6719912.7199707 39.983, -32917.3499755859 6719912.84997559 39.973, -32917.1799926758 6719912.96002197 39.963, -32917.1699829102 6719912.9699707 39.963, -32917.1599731445 6719912.97998047 39.963, -32917.1400146484 6719912.98999023 39.963, -32917.0900268555 6719913.02001953 39.953, -32917.0300292969 6719913.04998779 39.953, -32916.9699707031 6719913.09002686 39.953, -32916.9299926758 6719913.11999512 39.953, -32916.7100219727 6719913.25 39.943, -32916.6400146484 6719913.28997803 39.933, -32916.5100097656 6719913.35998535 39.933, -32916.5 6719913.38000488 39.933, -32916.2800292969 6719913.5 39.923, -32916.1199951172 6719913.59002686 39.913, -32916.0900268555 6719913.59997559 39.913, -32916.0599975586 6719913.61999512 39.903, -32915.9400024414 6719913.67999268 39.903, -32915.8300170898 6719913.73999024 39.893, -32915.7700195312 6719913.77001953 39.893, -32915.6500244141 6719913.83001709 39.893, -32915.6099853516 6719913.85998535 39.883, -32915.5100097656 6719913.90002442 39.883, -32915.3900146484 6719913.9699707 39.873, -32915.3400268555 6719913.98999023 39.873, -32915.1900024414 6719914.07000732 39.873, -32915.1699829102 6719914.08001709 39.863, -32914.9400024414 6719914.19000244 39.853, -32914.9400024414 6719914.20001221 39.853, -32914.9099731445 6719914.20001221 39.853, -32914.7100219727 6719914.28997803 39.843, -32914.4799804688 6719914.40002441 39.833, -32914.25 6719914.5 39.823, -32914.0300292969 6719914.59997559 39.813, -32913.7899780273 6719914.70001221 39.803, -32913.5599975586 6719914.79998779 39.793, -32913.3300170898 6719914.88000488 39.783, -32913.0900268555 6719914.9699707 39.773, -32912.8599853516 6719915.05999756 39.763, -32912.6199951172 6719915.15002441 39.753, -32912.3900146484 6719915.2199707 39.743, -32912.1500244141 6719915.29998779 39.733, -32912.0999755859 6719915.32000732 39.733, -32911.9099731445 6719915.38000488 39.723, -32911.6699829102 6719915.45001221 39.713, -32911.4899902344 6719915.51000977 39.703, -32911.4299926758 6719915.52001953 39.703, -32911.3099975586 6719915.54998779 39.703, -32911.1900024414 6719915.59002686 39.693, -32910.950012207 6719915.65002442 39.683, -32910.7100219727 6719915.7199707 39.673, -32910.4899902344 6719915.7800293 39.663, -32910.4699707031 6719915.78997803 39.663, -32910.3200073242 6719915.82000732 39.653, -32910.2199707031 6719915.84002686 39.653, -32909.9799804688 6719915.90002441 39.643, -32909.7399902344 6719915.94000244 39.633, -32909.5 6719916 39.623, -32909.4000244141 6719916.02001953 39.623, -32909.25 6719916.03997803 39.613, -32909.200012207 6719916.04998779 39.613, -32909.0100097656 6719916.09002686 39.603, -32908.9600219727 6719916.09002686 39.603, -32908.7600097656 6719916.13000488 39.593, -32908.5100097656 6719916.16998291 39.583, -32908.4000244141 6719916.19000244 39.573, -32908.2600097656 6719916.21002197 39.573, -32908.0200195313 6719916.23999023 39.563, -32907.9099731445 6719916.26000977 39.553, -32907.7700195313 6719916.27001953 39.553, -32907.5300292969 6719916.29998779 39.543, -32907.2800292969 6719916.33001709 39.533, -32907.0300292969 6719916.34997559 39.523, -32906.7800292969 6719916.35998535 39.513, -32906.7100219727 6719916.38000488 39.503, -32906.6199951172 6719916.38000488 39.503, -32906.5300292969 6719916.39001465 39.503, -32906.2800292969 6719916.40002441 39.493, -32906.0399780273 6719916.40997314 39.483, -32905.8900146484 6719916.41998291 39.473, -32905.7800292969 6719916.41998291 39.473, -32905.5399780273 6719916.42999268 39.463, -32905.299987793 6719916.42999268 39.453, -32905.1699829102 6719916.44000244 39.443, -32905.0399780273 6719916.44000244 39.443, -32904.799987793 6719916.42999268 39.433, -32904.7700195313 6719916.44000244 39.423, -32904.549987793 6719916.42999268 39.423, -32904.3099975586 6719916.41998291 39.413, -32904.049987793 6719916.41998291 39.403, -32903.8099975586 6719916.40002441 39.393, -32903.6599731445 6719916.40002441 39.383, -32903.5599975586 6719916.38000488 39.383, -32903.3300170898 6719916.36999512 39.373, -32903.3200073242 6719916.36999512 39.373, -32903.0700073242 6719916.34997559 39.373, -32902.9299926758 6719916.34002686 39.373, -32902.8300170898 6719916.34002686 39.373, -32902.5800170898 6719916.30999756 39.373, -32902.549987793 6719916.30999756 39.373, -32901.3900146484 6719915.90002441 39.373, -32897.6199951172 6719913.89001465 39.373, -32897.7199707031 6719913.34002686 37.693, -32897.8300170898 6719913.35998535 37.683, -32898.0399780273 6719913.41998291 37.673, -32898.2600097656 6719913.47998047 37.663, -32898.4699707031 6719913.53997803 37.653, -32898.700012207 6719913.59002686 37.643, -32898.9099731445 6719913.64001465 37.633, -32899.1300048828 6719913.67999268 37.623, -32899.3599853516 6719913.72998047 37.613, -32899.4600219727 6719913.75 37.613, -32899.5700073242 6719913.7800293 37.603, -32899.7899780273 6719913.80999756 37.593, -32900.0200195313 6719913.84997559 37.583, -32900.2299804688 6719913.88000488 37.573, -32900.450012207 6719913.92999268 37.563, -32900.4799804688 6719913.92999268 37.563, -32900.6799926758 6719913.96002197 37.553, -32900.7700195313 6719913.9699707 37.553, -32900.9000244141 6719913.97998047 37.543, -32901.1199951172 6719914.01000977 37.533, -32901.3499755859 6719914.03997803 37.523, -32901.5700073242 6719914.05999756 37.513, -32901.7899780273 6719914.08001709 37.503, -32902.0200195313 6719914.09997559 37.493, -32902.2399902344 6719914.10998535 37.483, -32902.4600219727 6719914.13000488 37.473, -32902.6300048828 6719914.14001465 37.463, -32902.6900024414 6719914.14001465 37.463, -32902.9099731445 6719914.15002441 37.453, -32903 6719914.15002441 37.453, -32903.1300048828 6719914.15997314 37.443, -32903.3599853516 6719914.15997314 37.433, -32903.3800048828 6719914.16998291 37.433, -32903.5800170898 6719914.16998291 37.423, -32903.6699829102 6719914.16998291 37.423, -32903.8099975586 6719914.16998291 37.413, -32904.0300292969 6719914.16998291 37.403, -32904.2600097656 6719914.15997314 37.393, -32904.4799804688 6719914.15997314 37.383, -32904.6799926758 6719914.15002441 37.373, -32904.7100219727 6719914.15002441 37.373, -32904.9299926758 6719914.14001465 37.363, -32905.0399780273 6719914.14001465 37.363, -32905.1599731445 6719914.11999512 37.353, -32905.3699951172 6719914.10998535 37.343, -32905.5999755859 6719914.09997559 37.333, -32905.6900024414 6719914.09002686 37.333, -32905.8200073242 6719914.08001709 37.323, -32906.049987793 6719914.04998779 37.313, -32906.2600097656 6719914.0300293 37.303, -32906.3499755859 6719914.02001953 37.303, -32906.4299926758 6719914.01000977 37.293, -32906.4400024414 6719914.01000977 37.293, -32906.4899902344 6719914 37.293, -32906.7199707031 6719913.9699707 37.283, -32906.9400024414 6719913.95001221 37.273, -32907.1500244141 6719913.91998291 37.263, -32907.3800048828 6719913.88000488 37.253, -32907.5 6719913.84997559 37.253, -32907.5999755859 6719913.84002686 37.243, -32907.8200073242 6719913.79998779 37.233, -32907.950012207 6719913.7800293 37.233, -32908.0399780273 6719913.76000977 37.223, -32908.2700195312 6719913.71002197 37.213, -32908.4400024414 6719913.67999268 37.203, -32908.4899902344 6719913.66998291 37.203, -32908.6599731445 6719913.63000488 37.193, -32908.700012207 6719913.61999512 37.193, -32908.8400268555 6719913.58001709 37.193, -32908.9199829102 6719913.57000732 37.183, -32909.1400146484 6719913.51000977 37.173, -32909.3599853516 6719913.4699707 37.163, -32909.5700073242 6719913.40997315 37.153, -32909.6599731445 6719913.38000488 37.153, -32909.7899780273 6719913.34997559 37.143, -32909.8099975586 6719913.34002686 37.143, -32910 6719913.28997803 37.133, -32910.2199707031 6719913.22998047 37.123, -32910.4400024414 6719913.15997315 37.113, -32910.5399780273 6719913.11999512 37.113, -32910.6500244141 6719913.09002686 37.103, -32910.700012207 6719913.07000733 37.103, -32910.8599853516 6719913.02001953 37.093, -32911.0700073242 6719912.95001221 37.083, -32911.2399902344 6719912.89001465 37.073, -32911.2899780273 6719912.86999512 37.073, -32911.4899902344 6719912.78997803 37.063, -32911.7100219727 6719912.7199707 37.053, -32911.9199829102 6719912.64001465 37.043, -32912.1199951172 6719912.55999756 37.033, -32912.3300170898 6719912.4699707 37.023, -32912.5300292969 6719912.39001465 37.013, -32912.7399902344 6719912.29998779 37.003, -32912.950012207 6719912.20001221 36.993, -32913.1500244141 6719912.10998535 36.983, -32913.3599853516 6719912.02001953 36.973, -32913.5599975586 6719911.91998291 36.963, -32913.7299804688 6719911.83001709 36.953, -32913.75 6719911.82000732 36.953, -32913.7600097656 6719911.83001709 36.953, -32913.9600219727 6719911.7199707 36.943, -32913.9799804688 6719911.71002197 36.943, -32914.1099853516 6719911.64001465 36.933, -32914.1599731445 6719911.61999512 36.933, -32914.2700195313 6719911.55999756 36.933, -32914.3499755859 6719911.52001953 36.923, -32914.3900146484 6719911.48999023 36.923, -32914.5 6719911.44000244 36.913, -32914.549987793 6719911.40002441 36.913, -32914.6500244141 6719911.35998535 36.913, -32914.75 6719911.29998779 36.903, -32914.7800292969 6719911.2800293 36.903, -32914.8099975586 6719911.27001953 36.903, -32914.950012207 6719911.19000244 36.893, -32915.1400146484 6719911.07000732 36.883, -32915.1599731445 6719911.07000732 36.883, -32915.2700195313 6719911 36.883, -32915.3400268555 6719910.96002197 36.873, -32915.5300292969 6719910.84997559 36.863, -32915.5700073242 6719910.80999756 36.863, -32915.6199951172 6719910.78997803 36.863, -32915.6699829102 6719910.75 36.863, -32915.7199707031 6719910.7199707 36.853, -32915.7299804688 6719910.71002197 36.853, -32915.7399902344 6719910.70001221 36.853, -32915.75 6719910.71002197 36.853, -32915.9000244141 6719910.60998535 36.843, -32916.0999755859 6719910.47998047 36.833, -32916.2800292969 6719910.35998535 36.833, -32916.4699707031 6719910.22998047 36.823, -32916.6500244141 6719910.10998535 36.813, -32916.7399902344 6719910.03997803 36.803, -32916.8300170898 6719909.9699707 36.803, -32916.9699707031 6719909.86999512 36.793, -32916.9899902344 6719909.85998535 36.793, -32917.0100097656 6719909.84002686 36.793, -32917.1900024414 6719909.71002197 36.783, -32917.3300170898 6719909.60998535 36.783, -32917.3699951172 6719909.57000732 36.773, -32917.549987793 6719909.44000244 36.773, -32917.7299804688 6719909.29998779 36.763, -32917.9000244141 6719909.15002441 36.753, -32918.0700073242 6719909.02001953 36.743, -32918.25 6719908.86999512 36.743, -32918.4199829102 6719908.7199707 36.733, -32918.5100097656 6719908.65002441 36.723, -32918.5100097656 6719908.64001465 36.723, -32918.5800170898 6719908.58001709 36.723, -32918.5900268555 6719908.58001709 36.723, -32918.6400146484 6719908.53997803 36.723, -32918.6500244141 6719908.52001953 36.723, -32918.7600097656 6719908.42999268 36.713, -32918.9199829102 6719908.2800293 36.713, -32919.0800170898 6719908.13000488 36.703, -32919.2199707031 6719908.01000977 36.693, -32919.25 6719907.9699707 36.693, -32919.4099731445 6719907.82000732 36.693, -32919.5700073242 6719907.65997315 36.683, -32919.7299804688 6719907.5 36.673, -32919.8900146484 6719907.34002686 36.673, -32919.9699707031 6719907.25 36.663, -32920.0399780273 6719907.17999268 36.663, -32920.200012207 6719907.01000977 36.653, -32920.3400268555 6719906.84997559 36.653, -32920.4099731445 6719906.7800293 36.653, -32920.5 6719906.67999268 36.643, -32920.6500244141 6719906.51000977 36.643, -32920.7899780273 6719906.34997559 36.633, -32920.9299926758 6719906.19000244 36.633, -32920.9400024414 6719906.17999268 36.633, -32921.0800170898 6719906.01000977 36.623, -32921.1099853516 6719905.96002197 36.623, -32921.2199707031 6719905.83001709 36.623, -32921.2199707031 6719905.82000733 36.623, -32921.3599853516 6719905.65002442 36.613, -32921.4899902344 6719905.48999023 36.613)</t>
  </si>
  <si>
    <t>POLYGON Z ((-32923.75 6719906.84002686 40.333, -32923.7100219727 6719906.89001465 40.323, -32923.700012207 6719906.90997314 40.323, -32923.5599975586 6719907.09002686 40.313, -32923.4199829102 6719907.2800293 40.303, -32923.2700195312 6719907.47998047 40.293, -32923.2600097656 6719907.48999024 40.293, -32923.1500244141 6719907.61999512 40.283, -32923.1099853516 6719907.67999268 40.283, -32922.9600219727 6719907.86999512 40.273, -32922.950012207 6719907.89001465 40.273, -32922.9400024414 6719907.89001465 40.273, -32922.799987793 6719908.07000733 40.263, -32922.6300048828 6719908.26000977 40.253, -32922.4699707031 6719908.45001221 40.243, -32922.3800048828 6719908.55999756 40.243, -32922.299987793 6719908.64001465 40.233, -32922.1400146484 6719908.83001709 40.223, -32921.9699707031 6719909.02001953 40.213, -32921.8900146484 6719909.09997559 40.213, -32921.799987793 6719909.19000244 40.203, -32921.6300048828 6719909.38000488 40.193, -32921.450012207 6719909.55999756 40.183, -32921.2700195313 6719909.72998047 40.173, -32921.0900268555 6719909.90997315 40.163, -32921.0599975586 6719909.95001221 40.163, -32920.9199829102 6719910.08001709 40.153, -32920.7299804688 6719910.25 40.143, -32920.5399780273 6719910.41998291 40.133, -32920.4299926758 6719910.5300293 40.123, -32920.4099731445 6719910.53997803 40.123, -32920.3599853516 6719910.59002686 40.123, -32920.2800292969 6719910.65997315 40.123, -32920.2700195313 6719910.66998291 40.113, -32920.1699829102 6719910.76000977 40.113, -32919.9799804688 6719910.92999268 40.103, -32919.7899780273 6719911.08001709 40.093, -32919.5900268555 6719911.23999023 40.083, -32919.4000244141 6719911.40002441 40.073, -32919.200012207 6719911.54998779 40.063, -32919 6719911.70001221 40.053, -32918.950012207 6719911.75 40.053, -32918.799987793 6719911.85998535 40.043, -32918.5999755859 6719912.01000977 40.033, -32918.5700073242 6719912.03997803 40.033, -32918.5599975586 6719912.03997803 40.033, -32918.4000244141 6719912.15002441 40.023, -32918.2899780273 6719912.22998047 40.013, -32918.2800292969 6719912.22998047 40.013, -32918.1900024414 6719912.29998779 40.013, -32917.9799804688 6719912.44000244 40.003, -32917.7800292969 6719912.58001709 39.993, -32917.5599975586 6719912.7199707 39.983, -32917.3499755859 6719912.84997559 39.973, -32917.1799926758 6719912.96002197 39.963, -32917.1699829102 6719912.9699707 39.963, -32917.1599731445 6719912.97998047 39.963, -32917.1400146484 6719912.98999023 39.963, -32917.0900268555 6719913.02001953 39.953, -32917.0300292969 6719913.04998779 39.953, -32916.9699707031 6719913.09002686 39.953, -32916.9299926758 6719913.11999512 39.953, -32916.7100219727 6719913.25 39.943, -32916.6400146484 6719913.28997803 39.933, -32916.5100097656 6719913.35998535 39.933, -32916.5 6719913.38000488 39.933, -32916.2800292969 6719913.5 39.923, -32916.1199951172 6719913.59002686 39.913, -32916.0900268555 6719913.59997559 39.913, -32916.0599975586 6719913.61999512 39.903, -32915.9400024414 6719913.67999268 39.903, -32915.8300170898 6719913.73999024 39.893, -32915.7700195312 6719913.77001953 39.893, -32915.6500244141 6719913.83001709 39.893, -32915.6099853516 6719913.85998535 39.883, -32915.5100097656 6719913.90002442 39.883, -32915.3900146484 6719913.9699707 39.873, -32915.3400268555 6719913.98999023 39.873, -32915.1900024414 6719914.07000732 39.873, -32915.1699829102 6719914.08001709 39.863, -32914.9400024414 6719914.19000244 39.853, -32914.9400024414 6719914.20001221 39.853, -32914.9099731445 6719914.20001221 39.853, -32914.7100219727 6719914.28997803 39.843, -32914.4799804688 6719914.40002441 39.833, -32914.25 6719914.5 39.823, -32914.0300292969 6719914.59997559 39.813, -32913.7899780273 6719914.70001221 39.803, -32913.5599975586 6719914.79998779 39.793, -32913.3300170898 6719914.88000488 39.783, -32913.0900268555 6719914.9699707 39.773, -32912.8599853516 6719915.05999756 39.763, -32912.6199951172 6719915.15002441 39.753, -32912.3900146484 6719915.2199707 39.743, -32912.1500244141 6719915.29998779 39.733, -32912.0999755859 6719915.32000732 39.733, -32911.9099731445 6719915.38000488 39.723, -32911.6699829102 6719915.45001221 39.713, -32911.4899902344 6719915.51000977 39.703, -32911.4299926758 6719915.52001953 39.703, -32911.3099975586 6719915.54998779 39.703, -32911.1900024414 6719915.59002686 39.693, -32910.950012207 6719915.65002442 39.683, -32910.7100219727 6719915.7199707 39.673, -32910.4899902344 6719915.7800293 39.663, -32910.4699707031 6719915.78997803 39.663, -32910.3200073242 6719915.82000732 39.653, -32910.2199707031 6719915.84002686 39.653, -32909.9799804688 6719915.90002441 39.643, -32909.7399902344 6719915.94000244 39.633, -32909.5 6719916 39.623, -32909.4000244141 6719916.02001953 39.623, -32909.25 6719916.03997803 39.613, -32909.200012207 6719916.04998779 39.613, -32909.0100097656 6719916.09002686 39.603, -32908.9600219727 6719916.09002686 39.603, -32908.7600097656 6719916.13000488 39.593, -32908.5100097656 6719916.16998291 39.583, -32908.4000244141 6719916.19000244 39.573, -32908.2600097656 6719916.21002197 39.573, -32908.0200195313 6719916.23999023 39.563, -32907.9099731445 6719916.26000977 39.553, -32907.7700195313 6719916.27001953 39.553, -32907.5300292969 6719916.29998779 39.543, -32907.2800292969 6719916.33001709 39.533, -32907.0300292969 6719916.34997559 39.523, -32906.7800292969 6719916.35998535 39.513, -32906.7100219727 6719916.38000488 39.503, -32906.6199951172 6719916.38000488 39.503, -32906.5300292969 6719916.39001465 39.503, -32906.2800292969 6719916.40002441 39.493, -32906.0399780273 6719916.40997314 39.483, -32905.8900146484 6719916.41998291 39.473, -32905.7800292969 6719916.41998291 39.473, -32905.5399780273 6719916.42999268 39.463, -32905.299987793 6719916.42999268 39.453, -32905.1699829102 6719916.44000244 39.443, -32905.0399780273 6719916.44000244 39.443, -32904.799987793 6719916.42999268 39.433, -32904.7700195313 6719916.44000244 39.423, -32904.549987793 6719916.42999268 39.423, -32904.3099975586 6719916.41998291 39.413, -32904.049987793 6719916.41998291 39.403, -32903.8099975586 6719916.40002441 39.393, -32903.6599731445 6719916.40002441 39.383, -32903.5599975586 6719916.38000488 39.383, -32903.3300170898 6719916.36999512 39.373, -32903.3200073242 6719916.36999512 39.373, -32903.0700073242 6719916.34997559 39.373, -32902.9299926758 6719916.34002686 39.373, -32902.8300170898 6719916.34002686 39.373, -32902.5800170898 6719916.30999756 39.373, -32902.549987793 6719916.30999756 39.373, -32901.3900146484 6719915.90002441 39.373, -32897.6199951172 6719913.89001465 39.373, -32897.7199707031 6719913.34002686 37.693, -32897.8300170898 6719913.35998535 37.683, -32898.0399780273 6719913.41998291 37.673, -32898.2600097656 6719913.47998047 37.663, -32898.4699707031 6719913.53997803 37.653, -32898.700012207 6719913.59002686 37.643, -32898.9099731445 6719913.64001465 37.633, -32899.1300048828 6719913.67999268 37.623, -32899.3599853516 6719913.72998047 37.613, -32899.4600219727 6719913.75 37.613, -32899.5700073242 6719913.7800293 37.603, -32899.7899780273 6719913.80999756 37.593, -32900.0200195313 6719913.84997559 37.583, -32900.2299804688 6719913.88000488 37.573, -32900.450012207 6719913.92999268 37.563, -32900.4799804688 6719913.92999268 37.563, -32900.6799926758 6719913.96002197 37.553, -32900.7700195313 6719913.9699707 37.553, -32900.9000244141 6719913.97998047 37.543, -32901.1199951172 6719914.01000977 37.533, -32901.3499755859 6719914.03997803 37.523, -32901.5700073242 6719914.05999756 37.513, -32901.7899780273 6719914.08001709 37.503, -32902.0200195313 6719914.09997559 37.493, -32902.2399902344 6719914.10998535 37.483, -32902.4600219727 6719914.13000488 37.473, -32902.6300048828 6719914.14001465 37.463, -32902.6900024414 6719914.14001465 37.463, -32902.9099731445 6719914.15002441 37.453, -32903 6719914.15002441 37.453, -32903.1300048828 6719914.15997314 37.443, -32903.3599853516 6719914.15997314 37.433, -32903.3800048828 6719914.16998291 37.433, -32903.5800170898 6719914.16998291 37.423, -32903.6699829102 6719914.16998291 37.423, -32903.8099975586 6719914.16998291 37.413, -32904.0300292969 6719914.16998291 37.403, -32904.2600097656 6719914.15997314 37.393, -32904.4799804688 6719914.15997314 37.383, -32904.6799926758 6719914.15002441 37.373, -32904.7100219727 6719914.15002441 37.373, -32904.9299926758 6719914.14001465 37.363, -32905.0399780273 6719914.14001465 37.363, -32905.1599731445 6719914.11999512 37.353, -32905.3699951172 6719914.10998535 37.343, -32905.5999755859 6719914.09997559 37.333, -32905.6900024414 6719914.09002686 37.333, -32905.8200073242 6719914.08001709 37.323, -32906.049987793 6719914.04998779 37.313, -32906.2600097656 6719914.0300293 37.303, -32906.3499755859 6719914.02001953 37.303, -32906.4299926758 6719914.01000977 37.293, -32906.4400024414 6719914.01000977 37.293, -32906.4899902344 6719914 37.293, -32906.7199707031 6719913.9699707 37.283, -32906.9400024414 6719913.95001221 37.273, -32907.1500244141 6719913.91998291 37.263, -32907.3800048828 6719913.88000488 37.253, -32907.5 6719913.84997559 37.253, -32907.5999755859 6719913.84002686 37.243, -32907.8200073242 6719913.79998779 37.233, -32907.950012207 6719913.7800293 37.233, -32908.0399780273 6719913.76000977 37.223, -32908.2700195312 6719913.71002197 37.213, -32908.4400024414 6719913.67999268 37.203, -32908.4899902344 6719913.66998291 37.203, -32908.6599731445 6719913.63000488 37.193, -32908.700012207 6719913.61999512 37.193, -32908.8400268555 6719913.58001709 37.193, -32908.9199829102 6719913.57000732 37.183, -32909.1400146484 6719913.51000977 37.173, -32909.3599853516 6719913.4699707 37.163, -32909.5700073242 6719913.40997315 37.153, -32909.6599731445 6719913.38000488 37.153, -32909.7899780273 6719913.34997559 37.143, -32909.8099975586 6719913.34002686 37.143, -32910 6719913.28997803 37.133, -32910.2199707031 6719913.22998047 37.123, -32910.4400024414 6719913.15997315 37.113, -32910.5399780273 6719913.11999512 37.113, -32910.6500244141 6719913.09002686 37.103, -32910.700012207 6719913.07000733 37.103, -32910.8599853516 6719913.02001953 37.093, -32911.0700073242 6719912.95001221 37.083, -32911.2399902344 6719912.89001465 37.073, -32911.2899780273 6719912.86999512 37.073, -32911.4899902344 6719912.78997803 37.063, -32911.7100219727 6719912.7199707 37.053, -32911.9199829102 6719912.64001465 37.043, -32912.1199951172 6719912.55999756 37.033, -32912.3300170898 6719912.4699707 37.023, -32912.5300292969 6719912.39001465 37.013, -32912.7399902344 6719912.29998779 37.003, -32912.950012207 6719912.20001221 36.993, -32913.1500244141 6719912.10998535 36.983, -32913.3599853516 6719912.02001953 36.973, -32913.5599975586 6719911.91998291 36.963, -32913.7299804688 6719911.83001709 36.953, -32913.75 6719911.82000732 36.953, -32913.7600097656 6719911.83001709 36.953, -32913.9600219727 6719911.7199707 36.943, -32913.9799804688 6719911.71002197 36.943, -32914.1099853516 6719911.64001465 36.933, -32914.1599731445 6719911.61999512 36.933, -32914.2700195313 6719911.55999756 36.933, -32914.3499755859 6719911.52001953 36.923, -32914.3900146484 6719911.48999023 36.923, -32914.5 6719911.44000244 36.913, -32914.549987793 6719911.40002441 36.913, -32914.6500244141 6719911.35998535 36.913, -32914.75 6719911.29998779 36.903, -32914.7800292969 6719911.2800293 36.903, -32914.8099975586 6719911.27001953 36.903, -32914.950012207 6719911.19000244 36.893, -32915.1400146484 6719911.07000732 36.883, -32915.1599731445 6719911.07000732 36.883, -32915.2700195313 6719911 36.883, -32915.3400268555 6719910.96002197 36.873, -32915.5300292969 6719910.84997559 36.863, -32915.5700073242 6719910.80999756 36.863, -32915.6199951172 6719910.78997803 36.863, -32915.6699829102 6719910.75 36.863, -32915.7199707031 6719910.7199707 36.853, -32915.7299804688 6719910.71002197 36.853, -32915.7399902344 6719910.70001221 36.853, -32915.75 6719910.71002197 36.853, -32915.9000244141 6719910.60998535 36.843, -32916.0999755859 6719910.47998047 36.833, -32916.2800292969 6719910.35998535 36.833, -32916.4699707031 6719910.22998047 36.823, -32916.6500244141 6719910.10998535 36.813, -32916.7399902344 6719910.03997803 36.803, -32916.8300170898 6719909.9699707 36.803, -32916.9699707031 6719909.86999512 36.793, -32916.9899902344 6719909.85998535 36.793, -32917.0100097656 6719909.84002686 36.793, -32917.1900024414 6719909.71002197 36.783, -32917.3300170898 6719909.60998535 36.783, -32917.3699951172 6719909.57000732 36.773, -32917.549987793 6719909.44000244 36.773, -32917.7299804688 6719909.29998779 36.763, -32917.9000244141 6719909.15002441 36.753, -32918.0700073242 6719909.02001953 36.743, -32918.25 6719908.86999512 36.743, -32918.4199829102 6719908.7199707 36.733, -32918.5100097656 6719908.65002441 36.723, -32918.5100097656 6719908.64001465 36.723, -32918.5800170898 6719908.58001709 36.723, -32918.5900268555 6719908.58001709 36.723, -32918.6400146484 6719908.53997803 36.723, -32918.6500244141 6719908.52001953 36.723, -32918.7600097656 6719908.42999268 36.713, -32918.9199829102 6719908.2800293 36.713, -32919.0800170898 6719908.13000488 36.703, -32919.2199707031 6719908.01000977 36.693, -32919.25 6719907.9699707 36.693, -32919.4099731445 6719907.82000732 36.693, -32919.5700073242 6719907.65997315 36.683, -32919.7299804688 6719907.5 36.673, -32919.8900146484 6719907.34002686 36.673, -32919.9699707031 6719907.25 36.663, -32920.0399780273 6719907.17999268 36.663, -32920.200012207 6719907.01000977 36.653, -32920.3400268555 6719906.84997559 36.653, -32920.4099731445 6719906.7800293 36.653, -32920.5 6719906.67999268 36.643, -32920.6500244141 6719906.51000977 36.643, -32920.7899780273 6719906.34997559 36.633, -32920.9299926758 6719906.19000244 36.633, -32920.9400024414 6719906.17999268 36.633, -32921.0800170898 6719906.01000977 36.623, -32921.1099853516 6719905.96002197 36.623, -32921.2199707031 6719905.83001709 36.623, -32921.2199707031 6719905.82000733 36.623, -32921.3599853516 6719905.65002442 36.613, -32921.4899902344 6719905.48999023 36.613, -32923.75 6719906.84002686 40.333))</t>
  </si>
  <si>
    <t>[99998]</t>
  </si>
  <si>
    <t>['PV99998 S1D150 m20-22']</t>
  </si>
  <si>
    <t>LINESTRING Z (-32888.7800292969 6719883.91998291 41.093, -32888.8200073242 6719883.96002197 41.093, -32888.8800048828 6719884.01000977 41.093, -32888.9000244141 6719884.03997803 41.093, -32889.0599975586 6719884.17999268 41.093, -32889.2199707031 6719884.32000733 41.103, -32889.2299804688 6719884.33001709 41.103, -32889.4000244141 6719884.4699707 41.103, -32889.5599975586 6719884.61999512 41.103, -32889.6900024414 6719884.72998047 41.103, -32889.7299804688 6719884.76000977 41.113, -32889.8900146484 6719884.90002442 41.113, -32890.0599975586 6719885.04998779 41.113, -32890.1799926758 6719885.14001465 41.113, -32890.2199707031 6719885.17999268 41.113, -32890.4000244141 6719885.32000732 41.113, -32890.5700073242 6719885.46002197 41.123, -32890.6599731445 6719885.5300293 41.123, -32890.7399902344 6719885.59002686 41.123, -32890.8800048828 6719885.70001221 41.123, -32890.9199829102 6719885.72998047 41.123, -32891.0900268555 6719885.86999512 41.123, -32891.1500244141 6719885.91998291 41.123, -32891.2600097656 6719885.98999023 41.123, -32891.4400024414 6719886.13000488 41.133, -32891.6199951172 6719886.26000977 41.133, -32891.6599731445 6719886.28997803 41.133, -32891.7899780273 6719886.38000488 41.133, -32891.8300170898 6719886.41998291 41.133, -32891.9699707031 6719886.51000977 41.133, -32892.1500244141 6719886.64001465 41.133, -32892.1599731445 6719886.65002441 41.133, -32892.3300170898 6719886.77001953 41.133, -32892.5100097656 6719886.89001465 41.143, -32892.6300048828 6719886.9699707 41.143, -32892.6799926758 6719887.01000977 41.143, -32892.700012207 6719887.01000977 41.143, -32892.8699951172 6719887.14001465 41.143, -32893.0599975586 6719887.26000977 41.143, -32893.200012207 6719887.34997559 41.143, -32893.2399902344 6719887.36999512 41.143, -32893.4299926758 6719887.48999023 41.143, -32893.6099853516 6719887.60998535 41.143, -32893.7199707031 6719887.69000244 41.143, -32893.799987793 6719887.72998047 41.143, -32893.9799804688 6719887.84997559 41.143, -32894.1699829102 6719887.96002197 41.143, -32894.25 6719888 41.143, -32894.3499755859 6719888.05999756 41.143, -32894.3900146484 6719888.09002686 41.143, -32894.5100097656 6719888.16998291 41.143, -32894.6699829102 6719888.26000977 41.143, -32894.6799926758 6719888.26000977 41.143, -32894.8599853516 6719888.36999512 41.143, -32895.0300292969 6719888.47998047 41.143, -32895.0999755859 6719888.52001953 41.143, -32895.2100219727 6719888.57000732 41.143, -32895.3699951172 6719888.67999268 41.143, -32895.5300292969 6719888.77001953 41.143, -32895.549987793 6719888.7800293 41.143, -32895.7199707031 6719888.89001465 41.143, -32895.8699951172 6719888.9699707 41.143, -32895.9000244141 6719888.98999023 41.143, -32895.950012207 6719889.0300293 41.143, -32896.0599975586 6719889.09002686 41.143, -32896.2399902344 6719889.20001221 41.143, -32896.3800048828 6719889.2800293 41.143, -32896.4099731445 6719889.28997803 41.143, -32896.5800170898 6719889.40002441 41.143, -32896.75 6719889.51000977 41.143, -32896.799987793 6719889.5300293 41.143, -32896.9199829102 6719889.60998535 41.143, -32897.0999755859 6719889.71002197 41.143, -32897.2199707031 6719889.78997803 41.143, -32897.2700195313 6719889.80999756 41.143, -32897.3200073242 6719889.84997559 41.143, -32897.4400024414 6719889.91998291 41.143, -32897.6099853516 6719890.02001953 41.143, -32897.6400146484 6719890.0300293 41.143, -32897.7899780273 6719890.11999512 41.133, -32897.9600219727 6719890.22998047 41.133, -32898.049987793 6719890.2800293 41.133, -32898.1199951172 6719890.33001709 41.133, -32898.299987793 6719890.42999268 41.133, -32898.4600219727 6719890.5300293 41.133, -32898.4699707031 6719890.53997803 41.133, -32898.6500244141 6719890.64001465 41.133, -32898.7399902344 6719890.70001221 41.133, -32898.8099975586 6719890.75 41.133, -32898.8599853516 6719890.7800293 41.133, -32898.9899902344 6719890.84997559 41.123, -32899.1599731445 6719890.95001221 41.123, -32899.2600097656 6719891.02001953 41.123, -32899.3400268555 6719891.05999756 41.123, -32899.5 6719891.15002441 41.123, -32899.6599731445 6719891.25 41.123, -32899.6799926758 6719891.26000977 41.123, -32899.8499755859 6719891.36999512 41.113, -32900.0100097656 6719891.4699707 41.113, -32900.049987793 6719891.48999023 41.113, -32900.1199951172 6719891.5300293 41.113, -32900.1900024414 6719891.57000732 41.113, -32900.3599853516 6719891.66998291 41.113, -32900.450012207 6719891.7199707 41.113, -32900.5399780273 6719891.7800293 41.103, -32900.7100219727 6719891.88000488 41.103, -32900.8300170898 6719891.95001221 41.103, -32900.8800048828 6719891.97998047 41.103, -32901.049987793 6719892.09002686 41.103, -32901.200012207 6719892.16998291 41.093, -32901.2299804688 6719892.19000244 41.093, -32901.4000244141 6719892.28997803 41.093, -32901.4199829102 6719892.30999756 41.093, -32901.5700073242 6719892.40002441 41.093, -32901.7399902344 6719892.5 41.083, -32901.8300170898 6719892.55999756 41.083)</t>
  </si>
  <si>
    <t>['PV31510 S45D1 m14-60']</t>
  </si>
  <si>
    <t>LINESTRING Z (-32949.2700195313 6719938.25 39.113, -32948.8200073242 6719938.13000488 39.113, -32947.9000244141 6719938.59997559 39.113, -32946.7600097656 6719938.83001709 39.113, -32946.4199829102 6719939.21002197 39.113, -32945.6799926758 6719939.16998291 39.113, -32945.3499755859 6719939.94000244 39.113, -32944.549987793 6719939.85998535 39.113, -32943.7700195313 6719939.32000732 39.113, -32942.7399902344 6719938.84002686 39.113, -32941.6799926758 6719938.72998047 39.113, -32941.2899780273 6719939.41998291 39.113, -32940.9099731445 6719939.40002442 39.113, -32940.3200073242 6719938.5300293 39.113, -32939.8900146484 6719938.03997803 39.113, -32938.8699951172 6719937.9699707 39.113, -32937.7299804688 6719938.51000977 39.113, -32937.3200073242 6719939.09002686 39.113, -32935.6900024414 6719940.0300293 39.113, -32933.2800292969 6719942.7199707 39.113, -32932.5100097656 6719942.77001953 39.113, -32931.6099853516 6719943.04998779 39.113, -32931.4099731445 6719944.09002686 39.113, -32931.3499755859 6719944.84997559 39.113, -32930.6300048828 6719944.75 39.113, -32929.8900146484 6719944.92999268 39.113, -32929.2899780273 6719945.45001221 39.113, -32928.8800048828 6719946.27001953 39.113, -32928.8200073242 6719946.79998779 39.113, -32928.0599975586 6719947.32000732 39.113, -32927.1799926758 6719947.36999512 39.113, -32926.8099975586 6719947.85998535 39.113, -32926.299987793 6719948.73999024 39.113, -32926.3800048828 6719949.2800293 39.113, -32926.3900146484 6719949.59997559 39.113, -32926.3099975586 6719949.97998047 39.113, -32925.9699707031 6719950.55999756 39.113, -32925.5599975586 6719950.92999268 39.113, -32925.0300292969 6719951.08001709 39.113, -32924.1400146484 6719951.33001709 39.113, -32923.4000244141 6719951.5 39.113, -32922.4600219727 6719951.90997314 39.113, -32922.2399902344 6719951.57000732 39.113, -32922.3800048828 6719950.79998779 39.113, -32922.75 6719950.14001465 39.113, -32923.9899902344 6719948.76000977 39.113, -32927.0700073242 6719945.53997803 39.113, -32930.3400268555 6719942.03997803 39.113, -32933.5300292969 6719938.75 39.113, -32935.6500244141 6719936.21002197 39.113, -32939.2199707031 6719932.23999023 39.113, -32941.549987793 6719929.15002441 39.113, -32942.5 6719928.05999756 39.113, -32941.5700073242 6719926.94000244 39.113, -32939.8499755859 6719924.69000244 39.113, -32937.6900024414 6719921.92999268 39.113, -32935.3099975586 6719919.15002442 39.113, -32933.1599731445 6719916.7800293 39.113, -32935.1300048828 6719914.21002197 39.783)</t>
  </si>
  <si>
    <t>POLYGON ((-32948.876590653446 6719938.662562906, -32948.12748677423 6719939.045240538, -32948.0860555977 6719939.064079456, -32948.04308300591 6719939.079072907, -32947.99892506076 6719939.090096658, -32947.02180727312 6719939.287267494, -32946.7925926089 6719939.543431646, -32946.757653935 6719939.578774298, -32946.719379322574 6719939.610473949, -32946.67814689644 6719939.638217435, -32946.634364002275 6719939.661730668, -32946.58846318248 6719939.680781354, -32946.540897902996 6719939.695181289, -32946.49213807338 6719939.70478821, -32946.44266540446 6719939.709507209, -32946.3929686494 6719939.709291666, -32946.001908775936 6719939.688132374, -32945.809546216515 6719940.1369664855, -32945.78822540526 6719940.180703698, -32945.76275433178 6719940.2221614495, -32945.73337420932 6719940.260947132, -32945.700363270065 6719940.296693441, -32945.664034130365 6719940.329061857, -32945.62473083018 6719940.357745849, -32945.58282557504 6719940.382473775, -32945.538715211165 6719940.403011461, -32945.49281746738 6719940.419164413, -32945.445566999115 6719940.430779662, -32945.397411272235 6719940.437747209, -32945.34880632547 6719940.440001072, -32945.3002124517 6719940.437519907, -32944.5002246588 6719940.357502817, -32944.45023076335 6719940.349932832, -32944.40125706082 6719940.337352263, -32944.35380439432 6719940.319889768, -32944.3083580517 6719940.297723934, -32944.26538280258 6719940.271081445, -32943.52033354087 6719939.755278107, -32942.6048768518 6719939.328687015, -32941.9541152874 6719939.261126519, -32941.72525586092 6719939.6660178825, -32941.69828793111 6719939.70857089, -32941.667174793925 6719939.748194122, -32941.63223231332 6719939.784485316, -32941.59381522924 6719939.817076041, -32941.552313556174 6719939.845635433, -32941.508148623725 6719939.8698735535, -32941.46176879918 6719939.889544334, -32941.41364493565 6719939.904448075, -32941.36426559196 6719939.914433472, -32941.31413207267 6719939.919399152, -32941.26375333885 6719939.919294702, -32940.88374845605 6719939.899336211, -32940.832800096345 6719939.894032842, -32940.7826617021 6719939.883544633, -32940.73385949801 6719939.867981665, -32940.6869056849 6719939.8475072775, -32940.64229306391 6719939.822336359, -32940.60048986431 6719939.792733089, -32940.56193482925 6719939.759008167, -32940.52703261098 6719939.721515551, -32940.496149523715 6719939.680648743, -32939.92364966918 6719938.83640987, -32939.65013322696 6719938.524690421, -32938.96603639066 6719938.477738582, -32938.062572910676 6719938.905720431, -32937.72830899238 6719939.378626493, -32937.694788754714 6719939.420993444, -32937.65689322159 6719939.459496604, -32937.61506479512 6719939.49368648, -32937.569791791255 6719939.523163929, -32936.00905067042 6719940.423222865, -32933.652430865935 6719943.053612831, -32933.61839835202 6719943.088082616, -32933.581190071156 6719943.119097482, -32933.541155242136 6719943.146366339, -32933.49866961234 6719943.169633254, -32933.454131931154 6719943.188679856, -32933.40796020755 6719943.203327382, -32933.3605877868 6719943.213438358, -32933.31245928334 6719943.218917888, -32932.60176074273 6719943.265111041, -32932.04443628093 6719943.438476516, -32931.90623176155 6719944.157123152, -32931.84842457757 6719944.889327879, -32931.84236775262 6719944.936866062, -32931.83178768727 6719944.983606046, -32931.81678157271 6719945.029118467, -32931.797487258955 6719945.0729852365, -32931.7740819885 6719945.114803381, -32931.74678076815 6719945.15418875, -32931.7158343939 6719945.19077954, -32931.68152714706 6719945.224239618, -32931.64417418278 6719945.254261609, -32931.60411863493 6719945.280569727, -32931.56172846403 6719945.302922295, -32931.517393077025 6719945.321113981, -32931.47151975012 6719945.334977668, -32931.424529887445 6719945.344386002, -32931.37685514987 6719945.3492525555, -32931.328933489756 6719945.349532624, -32931.28120512772 6719945.345223633, -32930.65560287762 6719945.258352106, -32930.12591509063 6719945.387191542, -32929.6926762425 6719945.762656396, -32929.36686078604 6719946.4143358115, -32929.31683368766 6719946.856233364, -32929.309223692515 6719946.90327063, -32929.29717079791 6719946.949369916, -32929.28078446418 6719946.994112562, -32929.260213506546 6719947.037092233, -32929.23564474355 6719947.077918601, -32929.20730130051 6719947.116220894, -32929.175440583065 6719947.151651263, -32929.14035193961 6719947.183887943, -32929.10235403334 6719947.2126381695, -32928.342344267745 6719947.732657699, -32928.30387172397 6719947.756499463, -32928.26340081041 6719947.776764494, -32928.22126315662 6719947.793286737, -32928.17780404972 6719947.805930802, -32928.13337960517 6719947.81459308, -32928.08835384864 6719947.819202593, -32927.439496887426 6719947.856060266, -32927.227345792475 6719948.137015226, -32926.820196407 6719948.839537952, -32926.87460511316 6719949.206744839, -32926.879760362455 6719949.264394065, -32926.88977012806 6719949.584340355, -32926.88807415568 6719949.643983853, -32926.87928537138 6719949.703000633, -32926.79926828158 6719950.083005513, -32926.785379698165 6719950.134937952, -32926.76599594247 6719950.185079163, -32926.74134108082 6719950.232849538, -32926.401314225324 6719950.812866629, -32926.373287741626 6719950.855523137, -32926.341058595266 6719950.895100196, -32926.304962621834 6719950.931185403, -32925.89498947733 6719951.301180523, -32925.85960595516 6719951.330286084, -32925.82170676831 6719951.356030577, -32925.78161013765 6719951.3781978395, -32925.739652734934 6719951.396601743, -32925.69618685587 6719951.41108776, -32925.16621859417 6719951.561112169, -32925.16524338499 6719951.561387166, -32924.27522873649 6719951.811387166, -32924.25195411713 6719951.817325571, -32923.557285937364 6719951.976897567, -32922.65990829214 6719952.368280306, -32922.61289526141 6719952.386029605, -32922.56433804972 6719952.398970232, -32922.51472713606 6719952.406971475, -32922.464563642774 6719952.409952513, -32922.41435427385 6719952.407883233, -32922.364606196665 6719952.400784539, -32922.31582191906 6719952.388728134, -32922.26849421349 6719952.371835801, -32922.2231011395 6719952.350278169, -32922.18010121483 6719952.324272994, -32922.13992878389 6719952.294082955, -32922.10298963044 6719952.260013004, -32922.06965687874 6719952.222407282, -32922.040267224525 6719952.181645648, -32921.82023548622 6719951.841679827, -32921.79652302142 6719951.800954999, -32921.7767499513 6719951.758178625, -32921.76109192347 6719951.713730692, -32921.74968803088 6719951.66800604, -32921.74263957623 6719951.621410849, -32921.74000917215 6719951.574359031, -32921.741820184965 6719951.527268557, -32921.7480565272 6719951.480557738, -32921.8880711756 6719950.7105382085, -32921.900916138264 6719950.6569004925, -32921.919590648395 6719950.605003861, -32921.94386747472 6719950.555479792, -32922.313862591924 6719949.895506652, -32922.34349255931 6719949.848893197, -32922.378083135605 6719949.805832296, -32923.61807337 6719948.425827416, -32923.62866856202 6719948.414399225, -32926.70665747179 6719945.1964878645, -32929.97467385059 6719941.6986318985, -32929.98106143012 6719941.691920817, -32933.15810047711 6719938.415312458, -32935.26616263894 6719935.889631368, -32935.278233846075 6719935.875699111, -32938.83374647235 6719931.921718621, -32941.15076698179 6719928.848988293, -32941.17305559379 6719928.821509392, -32941.843586137424 6719928.052154755, -32941.185333680085 6719927.2594178235, -32941.172781005254 6719927.243665496, -32939.454472246 6719924.9959193515, -32937.303028239454 6719922.246808109, -32934.93485011926 6719919.480654116, -32932.78965203765 6719917.115979115, -32932.75815900488 6719917.077595086, -32932.73062809197 6719917.036276887, -32932.70733076989 6719916.992431938, -32932.68849676371 6719916.946492576, -32932.67431178765 6719916.89891179, -32932.66491571378 6719916.850158754, -32932.66040119283 6719916.8007142, -32932.6608127406 6719916.751065682, -32932.66614629898 6719916.701702761, -32932.67634927599 6719916.653112186, -32932.69132106439 6719916.605773087, -32932.71091403366 6719916.560152255, -32932.73493498579 6719916.516699538, -32932.76314706029 6719916.475843404, -32934.73317879858 6719913.905836075, -32935.526830967014 6719914.514207865, -32933.81062307942 6719916.753088978, -32935.68031866545 6719918.814074605, -32935.68981651362 6719918.824851294, -32938.06982139642 6719921.604819555, -32938.08375733024 6719921.621841601, -32940.243730474744 6719924.38185136, -32940.247201904844 6719924.386339383, -32941.96111598471 6719926.62833678, -32942.88467364411 6719927.7405821765, -32942.914836690914 6719927.780873001, -32942.940796347015 6719927.823992093, -32942.962289572584 6719927.869502544, -32942.97909858452 6719927.916943213, -32942.99105306314 6719927.965833399, -32942.99803187804 6719928.0156777175, -32942.9999643154 6719928.065971113, -32942.996830794524 6719928.1162039805, -32942.98866306625 6719928.165867328, -32942.975543891225 6719928.214457936, -32942.95760620133 6719928.261483452, -32942.935031752706 6719928.306467384, -32942.9080492841 6719928.348953927, -32942.87693219921 6719928.388512579, -32941.938550730614 6719929.46519453, -32939.61919151431 6719932.541026347, -32939.59176127113 6719932.574313088, -32936.02797901939 6719936.537489985, -32933.91389107206 6719939.070390602, -32933.88899472228 6719939.098057213, -32930.7022171413 6719942.384709315, -32927.4353603291 6719945.881324162, -32927.43132899657 6719945.885588575, -32924.35669857101 6719949.099988778, -32923.15900297104 6719950.432923286, -32922.85699371094 6719950.971627692, -32922.81359929533 6719951.21027806, -32923.20013809466 6719951.041692833, -32923.24343865609 6719951.025151708, -32923.28808494537 6719951.012691519, -32924.01636652621 6719950.8453982, -32924.89432753833 6719950.598783997, -32925.31158852723 6719950.480664974, -32925.57766903706 6719950.240530976, -32925.83749573467 6719949.797319145, -32925.888383302125 6719949.555651721, -32925.881155878706 6719949.324638588, -32925.805387562636 6719948.8132747, -32925.800639153524 6719948.765503692, -32925.80049397304 6719948.717497489, -32925.804953359504 6719948.669698635, -32925.81397620423 6719948.6225477625, -32925.82747933041 6719948.576479528, -32925.84533825994 6719948.531918612, -32925.867388360944 6719948.489275798, -32926.37739812655 6719947.609270908, -32926.410977851134 6719947.558682723, -32926.780972968336 6719947.068692493, -32926.811814586225 6719947.03169807, -32926.84607259176 6719946.997842762, -32926.8834290989 6719946.96744072, -32926.923537470226 6719946.94077405, -32926.966025533286 6719946.918090194, -32927.01049903408 6719946.8995996425, -32927.05654529538 6719946.88547397, -32927.10373704605 6719946.875844253, -32927.151636385766 6719946.870799847, -32927.892592717864 6719946.828710561, -32928.34890848325 6719946.5164867975, -32928.38317851933 6719946.2137739565, -32928.390016521065 6719946.170463489, -32928.400622640824 6719946.127918629, -32928.41491531523 6719946.086466556, -32928.43278463036 6719946.046426047, -32928.84275777486 6719945.226418726, -32928.8668539158 6719945.183617791, -32928.89503327883 6719945.143387609, -32928.927023928256 6719945.1061164085, -32928.962517148495 6719945.072163863, -32929.562553769596 6719944.552144334, -32929.599910722936 6719944.522758458, -32929.63988913837 6719944.4970524665, -32929.68212775964 6719944.4752586465, -32929.726244906444 6719944.457573934, -32929.77184192354 6719944.444158133, -32930.511832157936 6719944.264165453, -32930.55802699082 6719944.25520794, -32930.60485931732 6719944.2506327, -32930.65191435303 6719944.250480255, -32930.69877534098 6719944.254751957, -32930.89327999912 6719944.281760997, -32930.911524152834 6719944.050674571, -32930.91897033195 6719943.995601026, -32931.11898253905 6719942.955561956, -32931.13059318641 6719942.90792037, -32931.14681468112 6719942.861645203, -32931.167491003056 6719942.817181537, -32931.192423285036 6719942.774957027, -32931.221371725595 6719942.735377794, -32931.25405789539 6719942.698824515, -32931.29016741521 6719942.665648763, -32931.32935297964 6719942.636169627, -32931.37123769757 6719942.610670641, -32931.41541871708 6719942.589397056, -32931.46147110027 6719942.572553484, -32932.36149551428 6719942.292585224, -32932.41890046139 6719942.278390509, -32932.47757977916 6719942.271072343, -32933.043863973624 6719942.234265665, -32935.31760087236 6719939.696387169, -32935.35488438849 6719939.65895533, -32935.39590943482 6719939.625666463, -32935.44021797434 6719939.596892231, -32936.97509166048 6719938.711750705, -32937.32167880062 6719938.221410138, -32937.353391223856 6719938.181101667, -32937.389066044554 6719938.144253902, -32937.42832789948 6719938.111254548, -32937.47076368314 6719938.082450817, -32937.51592689466 6719938.058145778, -32938.65594154306 6719937.518106708, -32938.70315134964 6719937.4986288315, -32938.75210177291 6719937.484068283, -32938.80228213194 6719937.474576967, -32938.85316891441 6719937.470253902, -32938.90423123818 6719937.471144189, -32939.92425076938 6719937.541151519, -32939.97277357418 6719937.546874633, -32940.020506125074 6719937.557306325, -32940.06699263028 6719937.572346985, -32940.111789196366 6719937.591852992, -32940.1544680669 6719937.615638085, -32940.19462170705 6719937.643475142, -32940.231866695074 6719937.675098354, -32940.26584738349 6719937.710205752, -32940.695840059285 6719938.200257022, -32940.733830944984 6719938.249404976, -32941.08476899786 6719938.766916979, -32941.244714842185 6719938.483945497, -32941.27048801038 6719938.443090371, -32941.300083327296 6719938.404912958, -32941.33322456244 6719938.369769593, -32941.369602389095 6719938.337988289, -32941.40887727153 6719938.309865679, -32941.45068263408 6719938.285664248, -32941.49462828262 6719938.265609883, -32941.540304046466 6719938.249889763, -32941.58728360676 6719938.2386506125, -32941.635128475515 6719938.2319973335, -32941.683392088344 6719938.2299920255, -32941.731623972395 6719938.2326534055, -32942.79162153099 6719938.342699796, -32942.84633224797 6719938.351466346, -32942.89973703609 6719938.366232644, -32942.95118005999 6719938.386817353, -32943.98120935689 6719938.866797812, -32944.0188096231 6719938.886298327, -32944.05462452172 6719938.908911224, -32944.72834016512 6719939.37532975, -32945.03485867684 6719939.405988616, -32945.22042204519 6719938.973018864, -32945.24278427172 6719938.927395171, -32945.26966127073 6719938.884276526, -32945.30077550052 6719938.8441081885, -32945.335805664276 6719938.807304952, -32945.37439002784 6719938.774246859, -32945.41613015509 6719938.745275281, -32945.460595022356 6719938.720689387, -32945.50732546928 6719938.7007430615, -32945.55583894036 6719938.685642276, -32945.6056344679 6719938.675542967, -32945.656197845245 6719938.670549425, -32945.7070069366 6719938.670713214, -32946.20738497508 6719938.697787445, -32946.3874000669 6719938.4966074135, -32946.41948854702 6719938.463895116, -32946.45443708535 6719938.434257899, -32946.49195214691 6719938.407944688, -32946.53171864046 6719938.385176486, -32946.57340256482 6719938.36614453, -32946.616653814235 6719938.351008665, -32946.66110911894 6719938.339896021, -32947.73376034396 6719938.123447665, -32948.59254496406 6719937.6847399315, -32948.640322882755 6719937.663407085, -32948.69006857609 6719937.647184083, -32948.74123726495 6719937.636248586, -32948.79326858673 6719937.630720352, -32948.84559273189 6719937.630659922, -32948.897636684094 6719937.636067959, -32948.94883049554 6719937.646885236, -32949.39884270264 6719937.766880356, -32949.14119635996 6719938.733119644, -32948.876590653446 6719938.662562906))</t>
  </si>
  <si>
    <t>2017-11-02</t>
  </si>
  <si>
    <t>[864]</t>
  </si>
  <si>
    <t>['FV864 S2D1 m2010-2025']</t>
  </si>
  <si>
    <t>LINESTRING Z (658077.12 7737892.72 9.914, 658076.49 7737894.07 9.844, 658073.75 7737893.4 8.914, 658072.19 7737879.48 9.274, 658074.27 7737880.52 9.954, 658076.44 7737889.25 9.974, 658077.18 7737892.58 9.954, 658077.12 7737892.72 9.914)</t>
  </si>
  <si>
    <t>POLYGON Z ((658077.12 7737892.72 9.914, 658076.49 7737894.07 9.844, 658073.75 7737893.4 8.914, 658072.19 7737879.48 9.274, 658074.27 7737880.52 9.954, 658076.44 7737889.25 9.974, 658077.18 7737892.58 9.954, 658077.12 7737892.72 9.914))</t>
  </si>
  <si>
    <t>['FV864 S2D100 m2097-2106']</t>
  </si>
  <si>
    <t>LINESTRING Z (658092.74 7737897.13 10.854, 658097.97 7737897.54 11.554, 658100.02 7737895.16 11.844, 658099.13 7737891.02 11.834, 658096.98 7737888.4 11.534, 658090.91 7737889.81 11.064, 658092.74 7737897.13 10.854)</t>
  </si>
  <si>
    <t>POLYGON Z ((658092.74 7737897.13 10.854, 658097.97 7737897.54 11.554, 658100.02 7737895.16 11.844, 658099.13 7737891.02 11.834, 658096.98 7737888.4 11.534, 658090.91 7737889.81 11.064, 658092.74 7737897.13 10.854))</t>
  </si>
  <si>
    <t>['F', 'P']</t>
  </si>
  <si>
    <t>[864, 62771]</t>
  </si>
  <si>
    <t>['PV62771 S1D1 m5-9', 'FV864 S2D100 m2036-2041', 'FV864 S2D100 m2041-2130']</t>
  </si>
  <si>
    <t>LINESTRING Z (658097.62 7737922.79 10.314, 658095.26 7737922.75 10.134, 658092.64 7737913.32 10.234, 658090.2 7737902.39 10.314, 658087.63 7737890.59 10.344, 658085.03 7737878.27 10.404, 658084.46 7737863 10.554, 658081.2 7737847.37 10.584, 658075.33 7737831.11 10.644, 658077.51 7737830.61 10.974, 658078.23 7737830.42 11.164, 658079.76 7737836.04 10.854, 658083.33 7737846.89 10.904, 658084.85 7737855.02 10.414, 658086.19 7737861.4 10.474, 658085.66 7737866.46 10.324, 658085.36 7737868 10.264, 658086.65 7737870.82 10.574, 658086.46 7737873.43 10.484, 658087.59 7737874.21 10.714, 658088.85 7737872.12 11.144, 658091.11 7737872.99 11.174, 658091.04 7737874.28 11.054, 658091 7737876.13 10.734, 658088.39 7737875.8 10.094, 658086.52 7737877.12 9.304, 658086.21 7737877.28 9.474, 658086.42 7737877.84 9.494, 658090.07 7737878.45 10.344, 658089.32 7737880.71 10.574, 658089.29 7737886.1 10.704, 658090.36 7737889.84 10.864, 658092.71 7737897.15 10.864, 658092.42 7737899.89 10.914, 658091 7737900.34 10.294, 658095.06 7737913.02 10.464, 658094.53 7737915.09 10.214, 658095.51 7737918.77 10.344, 658097.62 7737922.79 10.314)</t>
  </si>
  <si>
    <t>POLYGON Z ((658097.62 7737922.79 10.314, 658095.26 7737922.75 10.134, 658092.64 7737913.32 10.234, 658090.2 7737902.39 10.314, 658087.63 7737890.59 10.344, 658085.03 7737878.27 10.404, 658084.46 7737863 10.554, 658081.2 7737847.37 10.584, 658075.33 7737831.11 10.644, 658077.51 7737830.61 10.974, 658078.23 7737830.42 11.164, 658079.76 7737836.04 10.854, 658083.33 7737846.89 10.904, 658084.85 7737855.02 10.414, 658086.19 7737861.4 10.474, 658085.66 7737866.46 10.324, 658085.36 7737868 10.264, 658086.65 7737870.82 10.574, 658086.46 7737873.43 10.484, 658087.59 7737874.21 10.714, 658088.85 7737872.12 11.144, 658091.11 7737872.99 11.174, 658091.04 7737874.28 11.054, 658091 7737876.13 10.734, 658088.39 7737875.8 10.094, 658086.52 7737877.12 9.304, 658086.21 7737877.28 9.474, 658086.42 7737877.84 9.494, 658090.07 7737878.45 10.344, 658089.32 7737880.71 10.574, 658089.29 7737886.1 10.704, 658090.36 7737889.84 10.864, 658092.71 7737897.15 10.864, 658092.42 7737899.89 10.914, 658091 7737900.34 10.294, 658095.06 7737913.02 10.464, 658094.53 7737915.09 10.214, 658095.51 7737918.77 10.344, 658097.62 7737922.79 10.314))</t>
  </si>
  <si>
    <t>[864, 98542]</t>
  </si>
  <si>
    <t>['PV98542 S1D1 m5-7', 'FV864 S2D100 m2139-2292']</t>
  </si>
  <si>
    <t>LINESTRING Z (658118.58 7738022.37 9.884, 658118.51 7738025.79 9.884, 658130.81 7738079.53 9.685, 658131.07 7738079.53 9.715, 658131.54 7738080.48 9.725, 658130.56 7738080.12 9.655, 658130.12 7738079.59 9.615, 658126.09 7738061.08 9.675, 658122.04 7738043.14 9.705, 658117.94 7738024.98 9.774, 658117.63 7738023.17 9.804, 658113.78 7738006.74 9.824, 658108.07 7737981.72 9.974, 658103.41 7737960.78 10.054, 658098.56 7737939.37 10.184, 658096.86 7737931.53 10.164, 658099.27 7737932.13 10.444, 658099.63 7737939.31 10.254, 658118.58 7738022.37 9.884)</t>
  </si>
  <si>
    <t>POLYGON Z ((658118.58 7738022.37 9.884, 658118.51 7738025.79 9.884, 658130.81 7738079.53 9.685, 658131.07 7738079.53 9.715, 658131.54 7738080.48 9.725, 658130.56 7738080.12 9.655, 658130.12 7738079.59 9.615, 658126.09 7738061.08 9.675, 658122.04 7738043.14 9.705, 658117.94 7738024.98 9.774, 658117.63 7738023.17 9.804, 658113.78 7738006.74 9.824, 658108.07 7737981.72 9.974, 658103.41 7737960.78 10.054, 658098.56 7737939.37 10.184, 658096.86 7737931.53 10.164, 658099.27 7737932.13 10.444, 658099.63 7737939.31 10.254, 658118.58 7738022.37 9.884))</t>
  </si>
  <si>
    <t>2021-06-01</t>
  </si>
  <si>
    <t>['FV864 S2D100 m2297-2368']</t>
  </si>
  <si>
    <t>LINESTRING Z (658148.68 7738156.03 9.245, 658142.27 7738126.74 9.535, 658140.65 7738123.21 9.365, 658136.9 7738106.16 9.545, 658132.38 7738086.37 9.635, 658132.33 7738085.63 9.665, 658131.78 7738085.57 9.605, 658131.64 7738086.74 9.575, 658131.95 7738088.43 9.535, 658141.27 7738129.73 9.355, 658145.18 7738147.24 9.285, 658147.48 7738157.17 9.205, 658148.68 7738156.03 9.245)</t>
  </si>
  <si>
    <t>POLYGON Z ((658148.68 7738156.03 9.245, 658142.27 7738126.74 9.535, 658140.65 7738123.21 9.365, 658136.9 7738106.16 9.545, 658132.38 7738086.37 9.635, 658132.33 7738085.63 9.665, 658131.78 7738085.57 9.605, 658131.64 7738086.74 9.575, 658131.95 7738088.43 9.535, 658141.27 7738129.73 9.355, 658145.18 7738147.24 9.285, 658147.48 7738157.17 9.205, 658148.68 7738156.03 9.245))</t>
  </si>
  <si>
    <t>['FV864 S2D1 m2032-2297']</t>
  </si>
  <si>
    <t>LINESTRING Z (658137.23 7738159.49 8.765, 658136.64 7738159.8 8.655, 658135.72 7738160.09 8.605, 658129.63 7738137.06 8.605, 658129.18 7738135.82 7.555, 658128.68 7738134.49 7.505, 658127.21 7738134.28 6.805, 658126.91 7738132.97 7.125, 658127.82 7738131.83 7.325, 658124.47 7738118.15 7.265, 658121.91 7738104.43 7.285, 658118.56 7738093.74 7.135, 658117.33 7738085.58 7.935, 658114.32 7738085.09 7.285, 658114.02 7738081 7.295, 658115.89 7738079.88 7.775, 658114.55 7738073.76 7.745, 658109.67 7738074.54 6.835, 658108.56 7738073.32 6.685, 658108.04 7738070.56 6.675, 658106.5 7738070.08 6.455, 658106.37 7738067.48 6.495, 658110.66 7738064.93 6.545, 658111.68 7738064.52 7.325, 658111.27 7738064 7.235, 658109.77 7738064.19 6.475, 658111.18 7738060.76 7.745, 658107.75 7738046.61 7.605, 658107.51 7738043.88 8.055, 658108.25 7738041.69 8.485, 658106.58 7738035.69 8.545, 658105.08 7738027.47 8.655, 658105.19 7738022.91 9.004, 658104.39 7738020.13 9.074, 658101.47 7738013.83 9.184, 658101.39 7738012.1 8.914, 658099.91 7738010.88 7.944, 658098.54 7738010.22 7.294, 658101.58 7738009.74 8.544, 658101.59 7738009.02 8.634, 658099.49 7738009.3 7.704, 658098.6 7738008.77 7.204, 658098.44 7738006.55 7.404, 658098.47 7738003.43 7.934, 658098.56 7737998.3 8.544, 658094.76 7737988.3 8.304, 658092.98 7737982.47 8.034, 658092.29 7737976.28 7.994, 658091.16 7737976.05 7.794, 658091.1 7737974.54 7.634, 658093.25 7737973.77 8.414, 658093.04 7737973.11 8.384, 658091.65 7737973.2 7.814, 658091.16 7737970.12 8.224, 658089 7737966.65 8.214, 658086.58 7737964.51 7.734, 658085.08 7737960.37 7.734, 658084.27 7737954.69 8.124, 658080.93 7737945.43 8.164, 658078.32 7737939.81 8.184, 658078.18 7737936.86 8.334, 658076.89 7737934.84 8.144, 658075.23 7737928.12 8.304, 658077.54 7737900.78 9.554, 658079.18 7737901.42 9.884, 658079.48 7737901.89 9.944, 658079.95 7737904.92 9.954, 658079.8 7737916.51 9.984, 658078.38 7737920.16 10.254, 658078.33 7737921.98 10.344, 658078.49 7737923.87 10.414, 658077.43 7737924.13 10.294, 658077.99 7737926.5 10.254, 658078.73 7737926.33 10.264, 658080.78 7737934.34 10.254, 658088.07 7737953.47 10.094, 658090.27 7737962.38 9.934, 658091.42 7737965.74 9.724, 658092.5 7737967.42 9.674, 658095.05 7737970.43 9.644, 658098.29 7737985.17 9.554, 658104.36 7738012.15 9.444, 658108.3 7738029.45 9.365, 658112.76 7738048.89 9.345, 658117.02 7738067.76 9.275, 658121.59 7738088.04 9.125, 658128.11 7738117 9.075, 658130.41 7738127.24 9.065, 658132.95 7738139.48 8.945, 658136.72 7738156.45 8.815, 658137.23 7738159.49 8.765)</t>
  </si>
  <si>
    <t>POLYGON Z ((658137.23 7738159.49 8.765, 658136.64 7738159.8 8.655, 658135.72 7738160.09 8.605, 658129.63 7738137.06 8.605, 658129.18 7738135.82 7.555, 658128.68 7738134.49 7.505, 658127.21 7738134.28 6.805, 658126.91 7738132.97 7.125, 658127.82 7738131.83 7.325, 658124.47 7738118.15 7.265, 658121.91 7738104.43 7.285, 658118.56 7738093.74 7.135, 658117.33 7738085.58 7.935, 658114.32 7738085.09 7.285, 658114.02 7738081 7.295, 658115.89 7738079.88 7.775, 658114.55 7738073.76 7.745, 658109.67 7738074.54 6.835, 658108.56 7738073.32 6.685, 658108.04 7738070.56 6.675, 658106.5 7738070.08 6.455, 658106.37 7738067.48 6.495, 658110.66 7738064.93 6.545, 658111.68 7738064.52 7.325, 658111.27 7738064 7.235, 658109.77 7738064.19 6.475, 658111.18 7738060.76 7.745, 658107.75 7738046.61 7.605, 658107.51 7738043.88 8.055, 658108.25 7738041.69 8.485, 658106.58 7738035.69 8.545, 658105.08 7738027.47 8.655, 658105.19 7738022.91 9.004, 658104.39 7738020.13 9.074, 658101.47 7738013.83 9.184, 658101.39 7738012.1 8.914, 658099.91 7738010.88 7.944, 658098.54 7738010.22 7.294, 658101.58 7738009.74 8.544, 658101.59 7738009.02 8.634, 658099.49 7738009.3 7.704, 658098.6 7738008.77 7.204, 658098.44 7738006.55 7.404, 658098.47 7738003.43 7.934, 658098.56 7737998.3 8.544, 658094.76 7737988.3 8.304, 658092.98 7737982.47 8.034, 658092.29 7737976.28 7.994, 658091.16 7737976.05 7.794, 658091.1 7737974.54 7.634, 658093.25 7737973.77 8.414, 658093.04 7737973.11 8.384, 658091.65 7737973.2 7.814, 658091.16 7737970.12 8.224, 658089 7737966.65 8.214, 658086.58 7737964.51 7.734, 658085.08 7737960.37 7.734, 658084.27 7737954.69 8.124, 658080.93 7737945.43 8.164, 658078.32 7737939.81 8.184, 658078.18 7737936.86 8.334, 658076.89 7737934.84 8.144, 658075.23 7737928.12 8.304, 658077.54 7737900.78 9.554, 658079.18 7737901.42 9.884, 658079.48 7737901.89 9.944, 658079.95 7737904.92 9.954, 658079.8 7737916.51 9.984, 658078.38 7737920.16 10.254, 658078.33 7737921.98 10.344, 658078.49 7737923.87 10.414, 658077.43 7737924.13 10.294, 658077.99 7737926.5 10.254, 658078.73 7737926.33 10.264, 658080.78 7737934.34 10.254, 658088.07 7737953.47 10.094, 658090.27 7737962.38 9.934, 658091.42 7737965.74 9.724, 658092.5 7737967.42 9.674, 658095.05 7737970.43 9.644, 658098.29 7737985.17 9.554, 658104.36 7738012.15 9.444, 658108.3 7738029.45 9.365, 658112.76 7738048.89 9.345, 658117.02 7738067.76 9.275, 658121.59 7738088.04 9.125, 658128.11 7738117 9.075, 658130.41 7738127.24 9.065, 658132.95 7738139.48 8.945, 658136.72 7738156.45 8.815, 658137.23 7738159.49 8.765))</t>
  </si>
  <si>
    <t>['FV864 S2D1 m2305-2314']</t>
  </si>
  <si>
    <t>LINESTRING Z (658140.98 7738176.17 8.755, 658139.59 7738176.42 8.665, 658137.49 7738167.7 8.645, 658138.99 7738167.44 8.695, 658140.98 7738176.17 8.755)</t>
  </si>
  <si>
    <t>POLYGON Z ((658140.98 7738176.17 8.755, 658139.59 7738176.42 8.665, 658137.49 7738167.7 8.645, 658138.99 7738167.44 8.695, 658140.98 7738176.17 8.755))</t>
  </si>
  <si>
    <t>['FV864 S2D1 m2325-2346']</t>
  </si>
  <si>
    <t>LINESTRING Z (658135.11 7738210.21 7.345, 658134.39 7738208.3 6.345, 658139.89 7738197.24 7.005, 658139.77 7738195.1 7.275, 658140.91 7738194.48 7.675, 658140.4 7738189.7 7.835, 658143.17 7738186.66 8.705, 658145.32 7738195.45 8.765, 658145.92 7738199.67 8.695, 658143.77 7738202.84 8.505, 658140.16 7738206.77 8.215, 658135.11 7738210.21 7.345)</t>
  </si>
  <si>
    <t>POLYGON Z ((658135.11 7738210.21 7.345, 658134.39 7738208.3 6.345, 658139.89 7738197.24 7.005, 658139.77 7738195.1 7.275, 658140.91 7738194.48 7.675, 658140.4 7738189.7 7.835, 658143.17 7738186.66 8.705, 658145.32 7738195.45 8.765, 658145.92 7738199.67 8.695, 658143.77 7738202.84 8.505, 658140.16 7738206.77 8.215, 658135.11 7738210.21 7.345))</t>
  </si>
  <si>
    <t>[98544, 864]</t>
  </si>
  <si>
    <t>['PV98544 S1D1 m4-12', 'FV864 S2D100 m2398-2426']</t>
  </si>
  <si>
    <t>LINESTRING Z (658153.05 7738181.61 8.965, 658154.94 7738182.44 9.125, 658155.14 7738185.84 9.105, 658155.22 7738190.49 9.055, 658156.6 7738198.79 9.135, 658158.49 7738208.96 9.145, 658157.6 7738209.78 9.025, 658156.09 7738209.18 8.885, 658153.35 7738197.35 8.885, 658150.37 7738183.19 8.875, 658152.48 7738181.63 8.955, 658153.05 7738181.61 8.965)</t>
  </si>
  <si>
    <t>POLYGON Z ((658153.05 7738181.61 8.965, 658154.94 7738182.44 9.125, 658155.14 7738185.84 9.105, 658155.22 7738190.49 9.055, 658156.6 7738198.79 9.135, 658158.49 7738208.96 9.145, 658157.6 7738209.78 9.025, 658156.09 7738209.18 8.885, 658153.35 7738197.35 8.885, 658150.37 7738183.19 8.875, 658152.48 7738181.63 8.955, 658153.05 7738181.61 8.965))</t>
  </si>
  <si>
    <t>[98544, 98545, 864]</t>
  </si>
  <si>
    <t>['PV98544 S1D1 m12-21', 'PV98545 S1D1 m8-13', 'FV864 S2D100 m2394-2431']</t>
  </si>
  <si>
    <t>LINESTRING Z (658166.44 7738177.22 9.945, 658166.59 7738179.5 10.425, 658166.82 7738180.25 10.375, 658165.37 7738180.99 10.195, 658164.71 7738180.66 10.095, 658163 7738182.25 9.975, 658162.24 7738184.95 9.855, 658162.21 7738190.92 9.775, 658163.82 7738192.93 9.525, 658161.72 7738192.46 9.295, 658161.45 7738184.92 9.585, 658161.12 7738184.95 9.255, 658161.07 7738189.96 9.305, 658162.18 7738199.88 9.095, 658163.83 7738207.29 9.105, 658164.15 7738207.22 9.465, 658162.15 7738196.29 8.565, 658163.54 7738196.17 9.275, 658164.45 7738195.93 9.605, 658163.63 7738200.12 9.755, 658165.61 7738205.62 9.955, 658165.73 7738209.76 9.455, 658163.25 7738209.89 9.265, 658162.26 7738207.76 9.245, 658159.89 7738195.38 9.265, 658159.39 7738183.17 9.235, 658160.23 7738181.07 9.305, 658162.45 7738179.3 9.535, 658166.44 7738177.22 9.945)</t>
  </si>
  <si>
    <t>POLYGON Z ((658166.44 7738177.22 9.945, 658166.59 7738179.5 10.425, 658166.82 7738180.25 10.375, 658165.37 7738180.99 10.195, 658164.71 7738180.66 10.095, 658163 7738182.25 9.975, 658162.24 7738184.95 9.855, 658162.21 7738190.92 9.775, 658163.82 7738192.93 9.525, 658161.72 7738192.46 9.295, 658161.45 7738184.92 9.585, 658161.12 7738184.95 9.255, 658161.07 7738189.96 9.305, 658162.18 7738199.88 9.095, 658163.83 7738207.29 9.105, 658164.15 7738207.22 9.465, 658162.15 7738196.29 8.565, 658163.54 7738196.17 9.275, 658164.45 7738195.93 9.605, 658163.63 7738200.12 9.755, 658165.61 7738205.62 9.955, 658165.73 7738209.76 9.455, 658163.25 7738209.89 9.265, 658162.26 7738207.76 9.245, 658159.89 7738195.38 9.265, 658159.39 7738183.17 9.235, 658160.23 7738181.07 9.305, 658162.45 7738179.3 9.535, 658166.44 7738177.22 9.945))</t>
  </si>
  <si>
    <t>[864, 98545]</t>
  </si>
  <si>
    <t>['PV98545 S1D1 m4-8', 'FV864 S2D100 m2431-2477']</t>
  </si>
  <si>
    <t>LINESTRING Z (658170 7738259.25 8.185, 658170.21 7738258.35 8.255, 658166.73 7738245.09 8.785, 658163.11 7738229.87 9.115, 658160.83 7738219.6 9.155, 658160.09 7738217.05 9.125, 658159.04 7738217.02 8.905, 658158.21 7738218.26 8.745, 658160.62 7738229.16 8.665, 658164.47 7738244.96 8.305, 658165.48 7738247.71 8.325, 658170 7738259.25 8.185)</t>
  </si>
  <si>
    <t>POLYGON Z ((658170 7738259.25 8.185, 658170.21 7738258.35 8.255, 658166.73 7738245.09 8.785, 658163.11 7738229.87 9.115, 658160.83 7738219.6 9.155, 658160.09 7738217.05 9.125, 658159.04 7738217.02 8.905, 658158.21 7738218.26 8.745, 658160.62 7738229.16 8.665, 658164.47 7738244.96 8.305, 658165.48 7738247.71 8.325, 658170 7738259.25 8.185))</t>
  </si>
  <si>
    <t>['PV98545 S1D1 m8-12', 'FV864 S2D100 m2431-2572']</t>
  </si>
  <si>
    <t>LINESTRING Z (658196.05 7738350.32 6.595, 658198.2 7738350.56 6.845, 658202.32 7738349.03 8.965, 658199.91 7738343.09 8.775, 658197.34 7738333.75 8.505, 658195.01 7738323.59 8.745, 658191.56 7738309.67 9.005, 658188.8 7738299.41 9.075, 658188.65 7738292.2 9.985, 658188.11 7738283.65 10.575, 658185.34 7738272.11 10.545, 658184.18 7738263.15 11.135, 658180.83 7738256.1 10.695, 658179.71 7738254.93 10.235, 658175.89 7738255.54 7.945, 658174.74 7738255.64 7.925, 658174.29 7738254.25 7.835, 658175.73 7738252.71 8.595, 658179.13 7738251.43 10.675, 658174.68 7738241.32 10.365, 658172.79 7738233.69 10.185, 658171.38 7738227.5 10.565, 658168.89 7738218.87 10.205, 658168.16 7738215.55 9.965, 658166.03 7738215.64 9.255, 658174.47 7738252.52 8.195, 658174.2 7738252.46 8.225, 658165.73 7738215.79 9.165, 658164.05 7738216.1 9.295, 658167.7 7738232.51 9.205, 658173.21 7738254.3 8.465, 658175.28 7738262.63 8.135, 658177.72 7738273.28 7.755, 658180.37 7738286.95 7.475, 658184.44 7738303.27 7.225, 658188.59 7738320.06 6.995, 658191.54 7738331.53 6.935, 658193.54 7738339.49 6.815, 658195.86 7738350.36 6.635, 658196.05 7738350.32 6.595)</t>
  </si>
  <si>
    <t>POLYGON Z ((658196.05 7738350.32 6.595, 658198.2 7738350.56 6.845, 658202.32 7738349.03 8.965, 658199.91 7738343.09 8.775, 658197.34 7738333.75 8.505, 658195.01 7738323.59 8.745, 658191.56 7738309.67 9.005, 658188.8 7738299.41 9.075, 658188.65 7738292.2 9.985, 658188.11 7738283.65 10.575, 658185.34 7738272.11 10.545, 658184.18 7738263.15 11.135, 658180.83 7738256.1 10.695, 658179.71 7738254.93 10.235, 658175.89 7738255.54 7.945, 658174.74 7738255.64 7.925, 658174.29 7738254.25 7.835, 658175.73 7738252.71 8.595, 658179.13 7738251.43 10.675, 658174.68 7738241.32 10.365, 658172.79 7738233.69 10.185, 658171.38 7738227.5 10.565, 658168.89 7738218.87 10.205, 658168.16 7738215.55 9.965, 658166.03 7738215.64 9.255, 658174.47 7738252.52 8.195, 658174.2 7738252.46 8.225, 658165.73 7738215.79 9.165, 658164.05 7738216.1 9.295, 658167.7 7738232.51 9.205, 658173.21 7738254.3 8.465, 658175.28 7738262.63 8.135, 658177.72 7738273.28 7.755, 658180.37 7738286.95 7.475, 658184.44 7738303.27 7.225, 658188.59 7738320.06 6.995, 658191.54 7738331.53 6.935, 658193.54 7738339.49 6.815, 658195.86 7738350.36 6.635, 658196.05 7738350.32 6.595))</t>
  </si>
  <si>
    <t>['FV864 S2D100 m2497-2573']</t>
  </si>
  <si>
    <t>LINESTRING Z (658191.7 7738352.19 6.365, 658190.43 7738353.02 6.135, 658188.32 7738351.99 6.045, 658182.88 7738328.06 6.225, 658178.94 7738310.9 6.495, 658175.42 7738294.99 6.895, 658174.57 7738287.7 7.135, 658174.4 7738278.97 7.585, 658174.6 7738279.09 7.615, 658176.54 7738287.23 7.525, 658178.6 7738296.41 7.375, 658183.28 7738315.22 6.985, 658185.83 7738325 6.895, 658188.42 7738334.79 6.875, 658190.48 7738344.4 6.685, 658191.7 7738352.19 6.365)</t>
  </si>
  <si>
    <t>POLYGON Z ((658191.7 7738352.19 6.365, 658190.43 7738353.02 6.135, 658188.32 7738351.99 6.045, 658182.88 7738328.06 6.225, 658178.94 7738310.9 6.495, 658175.42 7738294.99 6.895, 658174.57 7738287.7 7.135, 658174.4 7738278.97 7.585, 658174.6 7738279.09 7.615, 658176.54 7738287.23 7.525, 658178.6 7738296.41 7.375, 658183.28 7738315.22 6.985, 658185.83 7738325 6.895, 658188.42 7738334.79 6.875, 658190.48 7738344.4 6.685, 658191.7 7738352.19 6.365))</t>
  </si>
  <si>
    <t>['FV864 S2D1 m2360-2495']</t>
  </si>
  <si>
    <t>LINESTRING Z (658180.58 7738352.27 5.855, 658178.66 7738354.65 5.455, 658177.02 7738351.51 4.775, 658177.28 7738349.9 4.745, 658175.8 7738345.94 4.675, 658172.56 7738337.63 4.535, 658171.54 7738333.31 4.365, 658172.11 7738333.05 4.795, 658172.21 7738332.79 4.975, 658172.07 7738332.36 4.865, 658171.59 7738332.3 4.515, 658171.82 7738329.3 4.935, 658168.8 7738318.85 4.835, 658166.99 7738311.67 5.035, 658163.64 7738298.44 5.125, 658160.66 7738295.92 5.095, 658160.51 7738292.58 4.645, 658164 7738291.71 5.245, 658164.44 7738291.39 5.815, 658164.25 7738290.92 5.765, 658162.96 7738290.99 5.075, 658163.33 7738289.62 5.395, 658160.5 7738281.18 5.375, 658157.7 7738272.38 5.535, 658155.42 7738269.52 5.555, 658153.85 7738268.95 5.415, 658153.44 7738262.57 5.525, 658156.42 7738261.23 6.445, 658156.48 7738260.95 6.605, 658156.25 7738260.52 6.565, 658153.81 7738261.08 5.785, 658152.35 7738257.16 6.025, 658151.04 7738253 6.495, 658148.3 7738249.09 6.365, 658147.08 7738245.73 6.755, 658146.67 7738242.82 8.185, 658144.35 7738234.52 8.215, 658142.7 7738225.09 8.435, 658143.85 7738222.89 8.535, 658145.21 7738222.59 8.975, 658147.9 7738230.64 8.975, 658153.64 7738245.84 8.625, 658155.14 7738251.91 8.495, 658159.94 7738260.02 8.055, 658163.13 7738273.72 7.545, 658167.73 7738294.55 6.925, 658172.69 7738316.41 6.325, 658176.9 7738335.48 6.065, 658180.58 7738352.27 5.855)</t>
  </si>
  <si>
    <t>POLYGON Z ((658180.58 7738352.27 5.855, 658178.66 7738354.65 5.455, 658177.02 7738351.51 4.775, 658177.28 7738349.9 4.745, 658175.8 7738345.94 4.675, 658172.56 7738337.63 4.535, 658171.54 7738333.31 4.365, 658172.11 7738333.05 4.795, 658172.21 7738332.79 4.975, 658172.07 7738332.36 4.865, 658171.59 7738332.3 4.515, 658171.82 7738329.3 4.935, 658168.8 7738318.85 4.835, 658166.99 7738311.67 5.035, 658163.64 7738298.44 5.125, 658160.66 7738295.92 5.095, 658160.51 7738292.58 4.645, 658164 7738291.71 5.245, 658164.44 7738291.39 5.815, 658164.25 7738290.92 5.765, 658162.96 7738290.99 5.075, 658163.33 7738289.62 5.395, 658160.5 7738281.18 5.375, 658157.7 7738272.38 5.535, 658155.42 7738269.52 5.555, 658153.85 7738268.95 5.415, 658153.44 7738262.57 5.525, 658156.42 7738261.23 6.445, 658156.48 7738260.95 6.605, 658156.25 7738260.52 6.565, 658153.81 7738261.08 5.785, 658152.35 7738257.16 6.025, 658151.04 7738253 6.495, 658148.3 7738249.09 6.365, 658147.08 7738245.73 6.755, 658146.67 7738242.82 8.185, 658144.35 7738234.52 8.215, 658142.7 7738225.09 8.435, 658143.85 7738222.89 8.535, 658145.21 7738222.59 8.975, 658147.9 7738230.64 8.975, 658153.64 7738245.84 8.625, 658155.14 7738251.91 8.495, 658159.94 7738260.02 8.055, 658163.13 7738273.72 7.545, 658167.73 7738294.55 6.925, 658172.69 7738316.41 6.325, 658176.9 7738335.48 6.065, 658180.58 7738352.27 5.855))</t>
  </si>
  <si>
    <t>[864, 98547]</t>
  </si>
  <si>
    <t>['PV98547 S1D1 m10-16', 'FV864 S2D100 m2586-2722']</t>
  </si>
  <si>
    <t>LINESTRING Z (658229.7 7738489.79 5.426, 658230.26 7738490.1 5.676, 658231.14 7738492.52 5.566, 658229.21 7738492.85 5.386, 658228.35 7738491.58 5.426, 658222.81 7738470.02 5.546, 658218.57 7738454.01 5.606, 658212.09 7738427.69 5.786, 658209.23 7738414.39 5.876, 658203.93 7738386.81 6.365, 658200.36 7738368.39 6.625, 658199.64 7738364.02 6.805, 658200.53 7738363.8 7.045, 658204.42 7738368.47 7.835, 658206.56 7738373.98 8.215, 658207.97 7738382.27 7.965, 658208.44 7738387.9 7.575, 658209.64 7738392.7 7.546, 658212.06 7738395.78 7.816, 658209.52 7738396.33 6.986, 658207.66 7738397.24 5.536, 658207.8 7738399.15 5.136, 658208.65 7738400.56 5.176, 658210.1 7738401.84 6.186, 658210.56 7738402.22 6.646, 658213.4 7738400.51 7.836, 658212.47 7738403.18 7.666, 658213.69 7738413.07 7.286, 658214.96 7738418.5 7.176, 658216.05 7738428.44 6.826, 658217.52 7738434.63 6.736, 658219.24 7738444.23 6.366, 658223.47 7738462.41 5.986, 658224.51 7738466.03 6.016, 658227.09 7738471.84 5.676, 658225.34 7738471.7 5.426, 658216.07 7738435.91 5.866, 658215.84 7738435.98 5.806, 658229.7 7738489.79 5.426)</t>
  </si>
  <si>
    <t>POLYGON Z ((658229.7 7738489.79 5.426, 658230.26 7738490.1 5.676, 658231.14 7738492.52 5.566, 658229.21 7738492.85 5.386, 658228.35 7738491.58 5.426, 658222.81 7738470.02 5.546, 658218.57 7738454.01 5.606, 658212.09 7738427.69 5.786, 658209.23 7738414.39 5.876, 658203.93 7738386.81 6.365, 658200.36 7738368.39 6.625, 658199.64 7738364.02 6.805, 658200.53 7738363.8 7.045, 658204.42 7738368.47 7.835, 658206.56 7738373.98 8.215, 658207.97 7738382.27 7.965, 658208.44 7738387.9 7.575, 658209.64 7738392.7 7.546, 658212.06 7738395.78 7.816, 658209.52 7738396.33 6.986, 658207.66 7738397.24 5.536, 658207.8 7738399.15 5.136, 658208.65 7738400.56 5.176, 658210.1 7738401.84 6.186, 658210.56 7738402.22 6.646, 658213.4 7738400.51 7.836, 658212.47 7738403.18 7.666, 658213.69 7738413.07 7.286, 658214.96 7738418.5 7.176, 658216.05 7738428.44 6.826, 658217.52 7738434.63 6.736, 658219.24 7738444.23 6.366, 658223.47 7738462.41 5.986, 658224.51 7738466.03 6.016, 658227.09 7738471.84 5.676, 658225.34 7738471.7 5.426, 658216.07 7738435.91 5.866, 658215.84 7738435.98 5.806, 658229.7 7738489.79 5.426))</t>
  </si>
  <si>
    <t>[864, 98546, 98547]</t>
  </si>
  <si>
    <t>['PV98547 S1D1 m6-10', 'FV864 S2D100 m2578-2722', 'PV98546 S1D1 m4-40']</t>
  </si>
  <si>
    <t>LINESTRING Z (658224.5 7738494.03 5.126, 658223.35 7738494.76 4.936, 658221.84 7738494.63 4.776, 658220.45 7738493.84 4.646, 658214.69 7738468.46 4.886, 658210.24 7738448.91 5.046, 658206.88 7738434.18 5.216, 658203.58 7738419.93 5.356, 658198.09 7738395.69 5.556, 658194.58 7738380.32 5.685, 658190.74 7738362.93 5.955, 658191.52 7738361.56 6.015, 658192.82 7738361.29 6.175, 658193.9 7738362.26 6.315, 658196.32 7738368.89 6.515, 658197.75 7738374.85 6.515, 658200.23 7738388.08 6.216, 658204.13 7738407.8 5.886, 658207.35 7738424.73 5.656, 658209.76 7738434.44 5.626, 658213.43 7738449.05 5.546, 658218.37 7738468.31 5.486, 658221.31 7738477.94 5.466, 658224.61 7738491.25 5.276, 658225 7738493.73 5.236, 658224.5 7738494.03 5.126)</t>
  </si>
  <si>
    <t>POLYGON Z ((658224.5 7738494.03 5.126, 658223.35 7738494.76 4.936, 658221.84 7738494.63 4.776, 658220.45 7738493.84 4.646, 658214.69 7738468.46 4.886, 658210.24 7738448.91 5.046, 658206.88 7738434.18 5.216, 658203.58 7738419.93 5.356, 658198.09 7738395.69 5.556, 658194.58 7738380.32 5.685, 658190.74 7738362.93 5.955, 658191.52 7738361.56 6.015, 658192.82 7738361.29 6.175, 658193.9 7738362.26 6.315, 658196.32 7738368.89 6.515, 658197.75 7738374.85 6.515, 658200.23 7738388.08 6.216, 658204.13 7738407.8 5.886, 658207.35 7738424.73 5.656, 658209.76 7738434.44 5.626, 658213.43 7738449.05 5.546, 658218.37 7738468.31 5.486, 658221.31 7738477.94 5.466, 658224.61 7738491.25 5.276, 658225 7738493.73 5.236, 658224.5 7738494.03 5.126))</t>
  </si>
  <si>
    <t>['FV864 S2D1 m2514-2627']</t>
  </si>
  <si>
    <t>LINESTRING Z (658203.68 7738482.25 4.226, 658202.71 7738481.68 3.796, 658202.4 7738480.59 3.706, 658201.91 7738480.29 3.526, 658200.58 7738473.3 3.476, 658200.6 7738465.98 3.696, 658201.53 7738452.69 4.456, 658199.1 7738444.52 4.356, 658195.67 7738433.33 4.226, 658192.83 7738421.9 4.326, 658189.96 7738410.18 4.126, 658188.49 7738406.62 3.566, 658186.33 7738400.51 3.936, 658183.79 7738388.31 4.166, 658186.81 7738387.08 4.856, 658186.46 7738385.37 5.006, 658183.75 7738385.27 4.556, 658182.46 7738378.01 4.815, 658181.51 7738372.63 5.655, 658185.91 7738375.6 5.625, 658189.85 7738392 5.586, 658193.26 7738407.69 5.426, 658197.15 7738424.15 5.286, 658202.59 7738448.15 5.066, 658208.91 7738475.49 4.826, 658207.62 7738479.01 4.596, 658207.9 7738482.48 4.556, 658203.68 7738482.25 4.226)</t>
  </si>
  <si>
    <t>POLYGON Z ((658203.68 7738482.25 4.226, 658202.71 7738481.68 3.796, 658202.4 7738480.59 3.706, 658201.91 7738480.29 3.526, 658200.58 7738473.3 3.476, 658200.6 7738465.98 3.696, 658201.53 7738452.69 4.456, 658199.1 7738444.52 4.356, 658195.67 7738433.33 4.226, 658192.83 7738421.9 4.326, 658189.96 7738410.18 4.126, 658188.49 7738406.62 3.566, 658186.33 7738400.51 3.936, 658183.79 7738388.31 4.166, 658186.81 7738387.08 4.856, 658186.46 7738385.37 5.006, 658183.75 7738385.27 4.556, 658182.46 7738378.01 4.815, 658181.51 7738372.63 5.655, 658185.91 7738375.6 5.625, 658189.85 7738392 5.586, 658193.26 7738407.69 5.426, 658197.15 7738424.15 5.286, 658202.59 7738448.15 5.066, 658208.91 7738475.49 4.826, 658207.62 7738479.01 4.596, 658207.9 7738482.48 4.556, 658203.68 7738482.25 4.226))</t>
  </si>
  <si>
    <t>[864, 66002, 98547]</t>
  </si>
  <si>
    <t>['PV98547 S1D1 m5-10', 'PV66002 S1D1 m7-12', 'FV864 S2D100 m2722-2814']</t>
  </si>
  <si>
    <t>LINESTRING Z (658245.87 7738582.78 4.436, 658244.33 7738583.79 4.136, 658241.72 7738583.12 3.906, 658240.36 7738581.61 3.956, 658235.83 7738562.63 4.096, 658231.8 7738544.66 4.206, 658228.25 7738529.01 4.336, 658222.92 7738505.1 4.606, 658223 7738503.42 4.636, 658224.62 7738502.2 4.836, 658226.35 7738502.48 5.046, 658226.87 7738503.31 5.086, 658230.66 7738521.17 4.926, 658233.66 7738537.12 4.766, 658236.41 7738551.41 4.756, 658238.93 7738563.71 4.676, 658240.89 7738570.83 4.636, 658245.87 7738582.78 4.436)</t>
  </si>
  <si>
    <t>POLYGON Z ((658245.87 7738582.78 4.436, 658244.33 7738583.79 4.136, 658241.72 7738583.12 3.906, 658240.36 7738581.61 3.956, 658235.83 7738562.63 4.096, 658231.8 7738544.66 4.206, 658228.25 7738529.01 4.336, 658222.92 7738505.1 4.606, 658223 7738503.42 4.636, 658224.62 7738502.2 4.836, 658226.35 7738502.48 5.046, 658226.87 7738503.31 5.086, 658230.66 7738521.17 4.926, 658233.66 7738537.12 4.766, 658236.41 7738551.41 4.756, 658238.93 7738563.71 4.676, 658240.89 7738570.83 4.636, 658245.87 7738582.78 4.436))</t>
  </si>
  <si>
    <t>[864, 98549]</t>
  </si>
  <si>
    <t>['PV98549 S1D1 m0-12', 'FV864 S2D1 m2647-2738']</t>
  </si>
  <si>
    <t>LINESTRING Z (658232.42 7738588.05 3.416, 658230.94 7738583.27 3.096, 658228.71 7738571.62 3.306, 658225.37 7738556.93 3.316, 658221.03 7738539.25 3.206, 658218.14 7738529.18 3.046, 658215.32 7738520.79 3.066, 658213.07 7738514.88 3.176, 658216.76 7738516.77 4.396, 658218.76 7738520.31 4.386, 658222.77 7738537.57 4.206, 658226.16 7738552.87 4.076, 658230.1 7738570.06 3.966, 658233.82 7738587.78 3.836, 658232.42 7738588.05 3.416)</t>
  </si>
  <si>
    <t>POLYGON Z ((658232.42 7738588.05 3.416, 658230.94 7738583.27 3.096, 658228.71 7738571.62 3.306, 658225.37 7738556.93 3.316, 658221.03 7738539.25 3.206, 658218.14 7738529.18 3.046, 658215.32 7738520.79 3.066, 658213.07 7738514.88 3.176, 658216.76 7738516.77 4.396, 658218.76 7738520.31 4.386, 658222.77 7738537.57 4.206, 658226.16 7738552.87 4.076, 658230.1 7738570.06 3.966, 658233.82 7738587.78 3.836, 658232.42 7738588.05 3.416))</t>
  </si>
  <si>
    <t>['FV864 S2D1 m2760-2849']</t>
  </si>
  <si>
    <t>LINESTRING Z (658252.67 7738698.51 2.646, 658250.99 7738685.34 2.596, 658249.72 7738671.08 3.036, 658247.03 7738658.95 2.986, 658243.35 7738641.99 2.886, 658242.26 7738638.47 2.706, 658241.35 7738637.05 2.516, 658242.28 7738636.69 2.836, 658242.21 7738636.21 2.876, 658241.59 7738636.03 2.556, 658240.22 7738627.06 2.766, 658238 7738616.26 2.726, 658238.25 7738614.83 2.956, 658237.71 7738611.25 3.336, 658239.16 7738611.08 3.816, 658241.56 7738621.5 3.826, 658244.46 7738634.23 3.866, 658248.03 7738650.02 3.896, 658251.75 7738667.36 3.976, 658256.63 7738693.17 4.106, 658257.53 7738698.1 4.096, 658252.67 7738698.51 2.646)</t>
  </si>
  <si>
    <t>POLYGON Z ((658252.67 7738698.51 2.646, 658250.99 7738685.34 2.596, 658249.72 7738671.08 3.036, 658247.03 7738658.95 2.986, 658243.35 7738641.99 2.886, 658242.26 7738638.47 2.706, 658241.35 7738637.05 2.516, 658242.28 7738636.69 2.836, 658242.21 7738636.21 2.876, 658241.59 7738636.03 2.556, 658240.22 7738627.06 2.766, 658238 7738616.26 2.726, 658238.25 7738614.83 2.956, 658237.71 7738611.25 3.336, 658239.16 7738611.08 3.816, 658241.56 7738621.5 3.826, 658244.46 7738634.23 3.866, 658248.03 7738650.02 3.896, 658251.75 7738667.36 3.976, 658256.63 7738693.17 4.106, 658257.53 7738698.1 4.096, 658252.67 7738698.51 2.646))</t>
  </si>
  <si>
    <t>[864, 66002]</t>
  </si>
  <si>
    <t>['PV66002 S1D1 m8-12', 'FV864 S2D100 m2814-2927']</t>
  </si>
  <si>
    <t>LINESTRING Z (658266.58 7738692.1 4.106, 658261.36 7738664.57 4.236, 658256.67 7738642.21 4.256, 658254.58 7738632.86 4.256, 658250 7738612.58 4.366, 658249.31 7738608.55 4.406, 658248.34 7738597 4.526, 658247.92 7738592.64 4.486, 658246.9 7738590.9 4.376, 658245.14 7738590.37 4.106, 658243.46 7738591.28 4.016, 658242.78 7738592.03 3.976, 658245.65 7738605.33 3.956, 658249.74 7738623.81 3.916, 658251.68 7738632.21 3.936, 658254.1 7738643.25 3.936, 658257.32 7738658.08 3.996, 658260.7 7738674.39 4.076, 658262.56 7738684.03 4.136, 658264.04 7738691.56 4.106, 658264.67 7738692.49 4.076, 658265.76 7738692.73 4.156, 658266.58 7738692.1 4.106)</t>
  </si>
  <si>
    <t>POLYGON Z ((658266.58 7738692.1 4.106, 658261.36 7738664.57 4.236, 658256.67 7738642.21 4.256, 658254.58 7738632.86 4.256, 658250 7738612.58 4.366, 658249.31 7738608.55 4.406, 658248.34 7738597 4.526, 658247.92 7738592.64 4.486, 658246.9 7738590.9 4.376, 658245.14 7738590.37 4.106, 658243.46 7738591.28 4.016, 658242.78 7738592.03 3.976, 658245.65 7738605.33 3.956, 658249.74 7738623.81 3.916, 658251.68 7738632.21 3.936, 658254.1 7738643.25 3.936, 658257.32 7738658.08 3.996, 658260.7 7738674.39 4.076, 658262.56 7738684.03 4.136, 658264.04 7738691.56 4.106, 658264.67 7738692.49 4.076, 658265.76 7738692.73 4.156, 658266.58 7738692.1 4.106))</t>
  </si>
  <si>
    <t>['FV864 S2D100 m2821-2920']</t>
  </si>
  <si>
    <t>LINESTRING Z (658270.38 7738691.04 4.406, 658270.25 7738689.59 4.476, 658268.39 7738680.04 4.486, 658266.8 7738671.81 4.506, 658264.83 7738662.11 4.486, 658262.57 7738651.36 4.436, 658260.77 7738642.98 4.436, 658259.12 7738635.88 4.436, 658256.91 7738626.02 4.476, 658254.98 7738617.6 4.526, 658253.68 7738611.04 4.576, 658252.96 7738605.65 4.596, 658252.47 7738598.35 4.666, 658252.27 7738594.83 4.706, 658252.45 7738594.02 4.656, 658252.84 7738593.77 4.656, 658253.52 7738593.92 4.716, 658254.46 7738594.32 4.766, 658255.61 7738595.01 4.836, 658256.84 7738596.34 4.956, 658258.55 7738598.32 5.006, 658260.45 7738600.99 5.026, 658261.41 7738603.23 5.026, 658257.74 7738604.48 4.786, 658257.18 7738605.53 4.736, 658258.08 7738609.15 4.706, 658255.33 7738609.88 4.636, 658255.2 7738609.3 4.706, 658255.09 7738605.14 4.706, 658255.02 7738600.61 4.846, 658254.78 7738596.62 4.846, 658254.47 7738596.62 4.736, 658254.73 7738609.27 4.556, 658258.14 7738624.15 4.336, 658261.11 7738637.76 4.246, 658264.73 7738653.95 4.386, 658267.46 7738667.37 4.396, 658271.23 7738685.88 4.416, 658272.42 7738690.83 4.656, 658270.38 7738691.04 4.406)</t>
  </si>
  <si>
    <t>POLYGON Z ((658270.38 7738691.04 4.406, 658270.25 7738689.59 4.476, 658268.39 7738680.04 4.486, 658266.8 7738671.81 4.506, 658264.83 7738662.11 4.486, 658262.57 7738651.36 4.436, 658260.77 7738642.98 4.436, 658259.12 7738635.88 4.436, 658256.91 7738626.02 4.476, 658254.98 7738617.6 4.526, 658253.68 7738611.04 4.576, 658252.96 7738605.65 4.596, 658252.47 7738598.35 4.666, 658252.27 7738594.83 4.706, 658252.45 7738594.02 4.656, 658252.84 7738593.77 4.656, 658253.52 7738593.92 4.716, 658254.46 7738594.32 4.766, 658255.61 7738595.01 4.836, 658256.84 7738596.34 4.956, 658258.55 7738598.32 5.006, 658260.45 7738600.99 5.026, 658261.41 7738603.23 5.026, 658257.74 7738604.48 4.786, 658257.18 7738605.53 4.736, 658258.08 7738609.15 4.706, 658255.33 7738609.88 4.636, 658255.2 7738609.3 4.706, 658255.09 7738605.14 4.706, 658255.02 7738600.61 4.846, 658254.78 7738596.62 4.846, 658254.47 7738596.62 4.736, 658254.73 7738609.27 4.556, 658258.14 7738624.15 4.336, 658261.11 7738637.76 4.246, 658264.73 7738653.95 4.386, 658267.46 7738667.37 4.396, 658271.23 7738685.88 4.416, 658272.42 7738690.83 4.656, 658270.38 7738691.04 4.406))</t>
  </si>
  <si>
    <t>2021-05-25</t>
  </si>
  <si>
    <t>[1632]</t>
  </si>
  <si>
    <t>['FV1632 S1D1 m2677-2760', 'FV1632 S1D10 m0-9', 'FV1632 S1D1 m2677 KD1 m35-46']</t>
  </si>
  <si>
    <t>LINESTRING (255348.602539063 6651414.97265625, 255356.17578125 6651443.44921875, 255356.983398438 6651446.47851563, 255357.775390625 6651448.49316406, 255358.700195313 6651449.56054688, 255359.91015625 6651450.20117188, 255361.689453125 6651450.12988281, 255363.967773438 6651449.84570313, 255365.747070313 6651449.20507813, 255366.814453125 6651447.92382813, 255367.59765625 6651446.00195312, 255367.485351563 6651444.0546875, 255365.970703125 6651426.68652344, 255366.677734375 6651411.84277344, 255362.739257813 6651411.13574219, 255363.6484375 6651406.1875, 255367.182617188 6651406.28808594, 255369.909179688 6651390.93945313, 255368.797851563 6651389.02050781, 255367.283203125 6651388.71777344, 255365.869140625 6651389.42480469, 255358.557617188 6651393.61328125, 255353.005859375 6651396.88671875, 255349.915039063 6651400.43164063, 255348.602539063 6651402.55175781, 255347.895507813 6651405.37988281, 255347.592773438 6651408.10644531, 255347.693359375 6651411.23632813, 255350.217773438 6651410.83203125, 255350.419921875 6651406.59179688, 255351.833007813 6651403.4609375, 255353.853515625 6651400.8359375, 255356.579101562 6651398.71484375, 255360.517578125 6651396.19042969, 255365.970703125 6651392.85839844, 255368.192382813 6651392.05078125, 255365.56640625 6651404.97558594, 255362.638671875 6651405.17773438, 255361.224609375 6651412.75097656, 255363.749023438 6651413.66015625, 255363.344726563 6651420.52636719, 255364.354492188 6651428.30175781, 255365.66796875 6651443.85253906, 255365.465820313 6651445.56933594, 255364.556640625 6651446.78125, 255362.83984375 6651447.69042969, 255360.719726563 6651447.48828125, 255359.002929688 6651444.66015625, 255350.217773438 6651410.83203125, 255347.693359375 6651411.23632813, 255348.602539063 6651414.97265625)</t>
  </si>
  <si>
    <t>2017-10-05</t>
  </si>
  <si>
    <t>[1428]</t>
  </si>
  <si>
    <t>['FV1428 S2D1 m5-62']</t>
  </si>
  <si>
    <t>LINESTRING Z (251957.119140625 6649971.86328125 -999999, 251965.232421875 6649999.73242188 -999999, 251969.686523438 6650017.79003906 -999999, 251968.671875 6650018.93652344 -999999, 251968.1875 6650019.02441406 -999999, 251966.467773438 6650015.54101563 -999999, 251959.235351563 6650000.01855469 -999999, 251956.986328125 6649995.32226563 -999999, 251958.84375 6649994.47265625 -999999, 251961.26953125 6650000.37011719 -999999, 251961.661132813 6650000.83496094 -999999, 251962.586914062 6650001.01074219 -999999, 251963.380859375 6650000.74609375 -999999, 251963.821289063 6650000.12890625 -999999, 251963.940429688 6649999.40039062 -999999, 251956.509765625 6649977.3203125 -999999, 251952.400390625 6649978.52148438 -999999, 251952.400390625 6649979.62402344 -999999, 251952.62109375 6649981.16699219 -999999, 251952.973632813 6649982.18164063 -999999, 251958.84375 6649994.47265625 -999999, 251956.986328125 6649995.32226563 -999999, 251952.532226563 6649986.45898438 -999999, 251950.328125 6649982.09375 -999999, 251948.431640625 6649977.86035156 -999999, 251947.15234375 6649974.33203125 -999999, 251946.359375 6649971.35546875 -999999, 251945.609375 6649966.37304688 -999999, 251944.815429688 6649960.5078125 -999999, 251944.286132813 6649953.01171875 -999999, 251947.858398437 6649954.86328125 -999999, 251950.1953125 6649956.80371094 -999999, 251951.958984375 6649959.18457031 -999999, 251953.811523438 6649962.09570313 -999999, 251955.751953125 6649966.68164062 -999999, 251954.344726563 6649966.8125 -999999, 251954.516601563 6649966.19628906 -999999, 251953.061523438 6649962.4921875 -999999, 251951.474609375 6649959.890625 -999999, 251949.754882813 6649957.7734375 -999999, 251947.505859375 6649955.74511719 -999999, 251945.212890625 6649954.51074219 -999999, 251946.270507812 6649964.69726563 -999999, 251946.755859375 6649967.51953125 -999999, 251955.751953125 6649966.68164062 -999999, 251957.119140625 6649971.86328125 -999999)</t>
  </si>
  <si>
    <t>2017-12-20</t>
  </si>
  <si>
    <t>2025-11-22T09:14:52Z</t>
  </si>
  <si>
    <t>['E', 'R']</t>
  </si>
  <si>
    <t>[94, 6]</t>
  </si>
  <si>
    <t>['EV6 S210D1 m13492-13515', 'RV94 S1D1 m0-33']</t>
  </si>
  <si>
    <t>LINESTRING Z (853901.79 7841823.43 64.645, 853901.5 7841823.34 64.645, 853900.9 7841823.27 64.645, 853900.35 7841823.43 64.655, 853900.08 7841823.6 64.655, 853899.74 7841824.23 64.655, 853899.65 7841825.52 64.655, 853899.63 7841827.23 64.665, 853899.55 7841829.92 64.715, 853899.27 7841832.17 64.735, 853898.45 7841834.44 64.775, 853897.24 7841837.04 64.845, 853895.89 7841839 64.855, 853893.93 7841841.05 64.855, 853891.39 7841842.86 64.725, 853889.07 7841844.03 64.685, 853886.11 7841845.12 64.875, 853883.34 7841846.05 64.965, 853882.35 7841846.47 64.885, 853881.97 7841846.76 64.825, 853881.68 7841847.36 64.705, 853881.49 7841847.82 64.605, 853881.5 7841848.51 64.455, 853881.91 7841849.03 64.455, 853882.75 7841849.35 64.585, 853886.13 7841847.95 64.905, 853890.04 7841846.34 64.905, 853894.2 7841844.56 64.895, 853896.52 7841842.87 64.895, 853898.11 7841841.57 64.895, 853899.02 7841840.51 64.895, 853900.2 7841838.94 64.895, 853901.26 7841836.14 64.855, 853901.91 7841832.91 64.795, 853902.39 7841829.44 64.755, 853902.57 7841827.19 64.705, 853902.54 7841824.56 64.645, 853902.42 7841824.07 64.645, 853902.13 7841823.54 64.645, 853901.79 7841823.43 64.645)</t>
  </si>
  <si>
    <t>POLYGON Z ((853901.79 7841823.43 64.645, 853901.5 7841823.34 64.645, 853900.9 7841823.27 64.645, 853900.35 7841823.43 64.655, 853900.08 7841823.6 64.655, 853899.74 7841824.23 64.655, 853899.65 7841825.52 64.655, 853899.63 7841827.23 64.665, 853899.55 7841829.92 64.715, 853899.27 7841832.17 64.735, 853898.45 7841834.44 64.775, 853897.24 7841837.04 64.845, 853895.89 7841839 64.855, 853893.93 7841841.05 64.855, 853891.39 7841842.86 64.725, 853889.07 7841844.03 64.685, 853886.11 7841845.12 64.875, 853883.34 7841846.05 64.965, 853882.35 7841846.47 64.885, 853881.97 7841846.76 64.825, 853881.68 7841847.36 64.705, 853881.49 7841847.82 64.605, 853881.5 7841848.51 64.455, 853881.91 7841849.03 64.455, 853882.75 7841849.35 64.585, 853886.13 7841847.95 64.905, 853890.04 7841846.34 64.905, 853894.2 7841844.56 64.895, 853896.52 7841842.87 64.895, 853898.11 7841841.57 64.895, 853899.02 7841840.51 64.895, 853900.2 7841838.94 64.895, 853901.26 7841836.14 64.855, 853901.91 7841832.91 64.795, 853902.39 7841829.44 64.755, 853902.57 7841827.19 64.705, 853902.54 7841824.56 64.645, 853902.42 7841824.07 64.645, 853902.13 7841823.54 64.645, 853901.79 7841823.43 64.645))</t>
  </si>
  <si>
    <t>['EV6 S210D1 m13515-13550', 'RV94 S1D1 m0-535']</t>
  </si>
  <si>
    <t>LINESTRING Z (853444.83 7842097.01 58.645, 853453.27 7842092.07 58.835, 853461.87 7842087.14 59.005, 853470.59 7842082.33 59.155, 853478.37 7842078.08 59.275, 853484.63 7842074.64 59.365, 853493 7842070.1 59.485, 853501.34 7842065.62 59.615, 853509.14 7842061.45 59.725, 853517.6 7842056.93 59.845, 853525.63 7842052.61 59.965, 853533.21 7842048.48 60.075, 853540.47 7842044.57 60.185, 853547.01 7842041.11 60.285, 853554.8 7842037.03 60.395, 853563.42 7842032.32 60.525, 853571.88 7842027.71 60.645, 853580.6 7842022.96 60.775, 853588.86 7842018.48 60.895, 853592.58 7842016.47 60.945, 853599.16 7842012.96 61.045, 853607.35 7842008.59 61.165, 853615.95 7842003.97 61.295, 853624.75 7841999.18 61.425, 853631.02 7841995.79 61.515, 853637.57 7841992.29 61.605, 853645.55 7841987.92 61.725, 853652.91 7841983.94 61.835, 853659.99 7841980.18 61.935, 853668.68 7841975.48 62.065, 853673.14 7841973.06 62.125, 853679.62 7841969.54 62.225, 853686.74 7841965.7 62.325, 853695.42 7841961.08 62.455, 853704.05 7841956.41 62.585, 853712.75 7841951.7 62.705, 853720.68 7841947.36 62.825, 853724.03 7841945.5 62.875, 853730.64 7841941.84 62.965, 853739.21 7841937.24 63.095, 853744.84 7841934.23 63.175, 853753.18 7841929.72 63.295, 853761.3 7841925.32 63.415, 853770.04 7841920.59 63.535, 853778.29 7841916.15 63.635, 853783.41 7841913.41 63.695, 853792.11 7841908.81 63.805, 853800.95 7841904.16 63.915, 853809.77 7841899.52 64.015, 853818.6 7841894.92 64.095, 853827.5 7841890.37 64.175, 853836.36 7841886.05 64.265, 853845.27 7841881.74 64.355, 853854.33 7841877.67 64.465, 853863.42 7841873.6 64.565, 853872.44 7841869.73 64.675, 853881.61 7841866.01 64.785, 853890.81 7841862.34 64.885, 853900.05 7841858.81 64.995, 853909.42 7841855.42 65.095, 853918.68 7841852.16 65.145, 853927.79 7841849.08 65.185, 853937.1 7841845.86 65.225, 853944.51 7841843.45 65.265, 853950.8 7841841.48 65.295, 853950 7841840.79 65.315, 853948.8 7841840.16 65.345, 853947.19 7841839.55 65.385, 853939.96 7841841.68 65.285, 853932.26 7841844.07 65.185, 853923.58 7841846.85 65.065, 853914.84 7841849.94 64.945, 853906.91 7841852.78 64.895, 853898.92 7841855.74 64.845, 853889.63 7841859.3 64.775, 853880.38 7841862.95 64.665, 853871.16 7841866.69 64.585, 853861.99 7841870.56 64.525, 853852.89 7841874.58 64.435, 853843.86 7841878.75 64.335, 853834.89 7841883.04 64.245, 853825.93 7841887.39 64.175, 853819.78 7841890.38 64.125, 853811.32 7841894.89 64.045, 853802.84 7841899.41 63.945, 853794.26 7841903.97 63.845, 853785.57 7841908.57 63.745, 853777.68 7841912.8 63.655, 853769.33 7841917.36 63.545, 853761.51 7841921.6 63.445, 853754.97 7841925.1 63.345, 853746.36 7841929.72 63.225, 853737.68 7841934.41 63.095, 853730.2 7841938.46 62.985, 853722.08 7841942.84 62.865, 853713.63 7841947.41 62.745, 853706.32 7841951.37 62.635, 853699.62 7841955.01 62.535, 853692.86 7841958.68 62.435, 853684.86 7841963.01 62.315, 853676.19 7841967.71 62.175, 853667.47 7841972.42 62.045, 853665.02 7841973.75 62.005, 853657.92 7841977.58 61.895, 853649.23 7841982.24 61.785, 853640.54 7841986.9 61.665, 853631.75 7841991.6 61.545, 853622.96 7841996.32 61.415, 853614.37 7842001.03 61.285, 853606.05 7842005.58 61.115, 853600.82 7842008.43 61.025, 853592.02 7842013.19 60.885, 853583.26 7842017.92 60.755, 853574.52 7842022.62 60.635, 853566.6 7842026.86 60.535, 853559.49 7842030.66 60.455, 853552.39 7842034.46 60.375, 853543.88 7842039.05 60.245, 853535.28 7842043.71 60.105, 853531.14 7842045.96 60.035, 853524 7842049.89 59.885, 853516.86 7842053.82 59.735, 853508.09 7842058.48 59.645, 853499.31 7842063.14 59.555, 853490.61 7842067.87 59.415, 853481.9 7842072.58 59.275, 853473.12 7842077.38 59.135, 853464.36 7842082.18 59.025, 853456.01 7842086.86 58.865, 853447.33 7842091.73 58.735, 853446.34 7842092.28 58.715, 853445.31 7842093.61 58.685, 853444.88 7842094.32 58.675, 853444.83 7842097.01 58.645)</t>
  </si>
  <si>
    <t>POLYGON Z ((853444.83 7842097.01 58.645, 853453.27 7842092.07 58.835, 853461.87 7842087.14 59.005, 853470.59 7842082.33 59.155, 853478.37 7842078.08 59.275, 853484.63 7842074.64 59.365, 853493 7842070.1 59.485, 853501.34 7842065.62 59.615, 853509.14 7842061.45 59.725, 853517.6 7842056.93 59.845, 853525.63 7842052.61 59.965, 853533.21 7842048.48 60.075, 853540.47 7842044.57 60.185, 853547.01 7842041.11 60.285, 853554.8 7842037.03 60.395, 853563.42 7842032.32 60.525, 853571.88 7842027.71 60.645, 853580.6 7842022.96 60.775, 853588.86 7842018.48 60.895, 853592.58 7842016.47 60.945, 853599.16 7842012.96 61.045, 853607.35 7842008.59 61.165, 853615.95 7842003.97 61.295, 853624.75 7841999.18 61.425, 853631.02 7841995.79 61.515, 853637.57 7841992.29 61.605, 853645.55 7841987.92 61.725, 853652.91 7841983.94 61.835, 853659.99 7841980.18 61.935, 853668.68 7841975.48 62.065, 853673.14 7841973.06 62.125, 853679.62 7841969.54 62.225, 853686.74 7841965.7 62.325, 853695.42 7841961.08 62.455, 853704.05 7841956.41 62.585, 853712.75 7841951.7 62.705, 853720.68 7841947.36 62.825, 853724.03 7841945.5 62.875, 853730.64 7841941.84 62.965, 853739.21 7841937.24 63.095, 853744.84 7841934.23 63.175, 853753.18 7841929.72 63.295, 853761.3 7841925.32 63.415, 853770.04 7841920.59 63.535, 853778.29 7841916.15 63.635, 853783.41 7841913.41 63.695, 853792.11 7841908.81 63.805, 853800.95 7841904.16 63.915, 853809.77 7841899.52 64.015, 853818.6 7841894.92 64.095, 853827.5 7841890.37 64.175, 853836.36 7841886.05 64.265, 853845.27 7841881.74 64.355, 853854.33 7841877.67 64.465, 853863.42 7841873.6 64.565, 853872.44 7841869.73 64.675, 853881.61 7841866.01 64.785, 853890.81 7841862.34 64.885, 853900.05 7841858.81 64.995, 853909.42 7841855.42 65.095, 853918.68 7841852.16 65.145, 853927.79 7841849.08 65.185, 853937.1 7841845.86 65.225, 853944.51 7841843.45 65.265, 853950.8 7841841.48 65.295, 853950 7841840.79 65.315, 853948.8 7841840.16 65.345, 853947.19 7841839.55 65.385, 853939.96 7841841.68 65.285, 853932.26 7841844.07 65.185, 853923.58 7841846.85 65.065, 853914.84 7841849.94 64.945, 853906.91 7841852.78 64.895, 853898.92 7841855.74 64.845, 853889.63 7841859.3 64.775, 853880.38 7841862.95 64.665, 853871.16 7841866.69 64.585, 853861.99 7841870.56 64.525, 853852.89 7841874.58 64.435, 853843.86 7841878.75 64.335, 853834.89 7841883.04 64.245, 853825.93 7841887.39 64.175, 853819.78 7841890.38 64.125, 853811.32 7841894.89 64.045, 853802.84 7841899.41 63.945, 853794.26 7841903.97 63.845, 853785.57 7841908.57 63.745, 853777.68 7841912.8 63.655, 853769.33 7841917.36 63.545, 853761.51 7841921.6 63.445, 853754.97 7841925.1 63.345, 853746.36 7841929.72 63.225, 853737.68 7841934.41 63.095, 853730.2 7841938.46 62.985, 853722.08 7841942.84 62.865, 853713.63 7841947.41 62.745, 853706.32 7841951.37 62.635, 853699.62 7841955.01 62.535, 853692.86 7841958.68 62.435, 853684.86 7841963.01 62.315, 853676.19 7841967.71 62.175, 853667.47 7841972.42 62.045, 853665.02 7841973.75 62.005, 853657.92 7841977.58 61.895, 853649.23 7841982.24 61.785, 853640.54 7841986.9 61.665, 853631.75 7841991.6 61.545, 853622.96 7841996.32 61.415, 853614.37 7842001.03 61.285, 853606.05 7842005.58 61.115, 853600.82 7842008.43 61.025, 853592.02 7842013.19 60.885, 853583.26 7842017.92 60.755, 853574.52 7842022.62 60.635, 853566.6 7842026.86 60.535, 853559.49 7842030.66 60.455, 853552.39 7842034.46 60.375, 853543.88 7842039.05 60.245, 853535.28 7842043.71 60.105, 853531.14 7842045.96 60.035, 853524 7842049.89 59.885, 853516.86 7842053.82 59.735, 853508.09 7842058.48 59.645, 853499.31 7842063.14 59.555, 853490.61 7842067.87 59.415, 853481.9 7842072.58 59.275, 853473.12 7842077.38 59.135, 853464.36 7842082.18 59.025, 853456.01 7842086.86 58.865, 853447.33 7842091.73 58.735, 853446.34 7842092.28 58.715, 853445.31 7842093.61 58.685, 853444.88 7842094.32 58.675, 853444.83 7842097.01 58.645))</t>
  </si>
  <si>
    <t>2018-01-18</t>
  </si>
  <si>
    <t>['RV83 S3D10 m1949-1975']</t>
  </si>
  <si>
    <t>LINESTRING Z (561889.7499650447 7633447.591480412 43.331, 561881.9299650491 7633450.311480405 43.621, 561875.129965053 7633452.931480403 43.871, 561869.5599650563 7633455.141480397 44.081, 561867.7499650574 7633455.981480398 44.151, 561866.4799650578 7633456.591480395 44.201, 561866.3899650584 7633456.701480398 44.211, 561866.1199650579 7633457.221480397 44.231, 561866.1799650579 7633457.741480396 44.231, 561866.3299650581 7633457.9814803945 44.231, 561866.8199650577 7633458.281480394 44.221, 561867.0499650576 7633458.311480395 44.211, 561870.0599650561 7633457.411480397 44.101, 561875.2099650531 7633455.871480396 43.911, 561878.6799650511 7633454.8214804 43.781, 561879.7399650506 7633454.461480399 43.751, 561880.7299650498 7633454.0914804 43.711, 561882.369965049 7633453.421480403 43.641, 561883.859965048 7633452.741480404 43.591, 561885.679965047 7633451.821480405 43.511, 561887.189965046 7633450.991480404 43.451, 561888.9299650451 7633450.0314804055 43.381, 561890.1199650447 7633449.371480408 43.341, 561890.2399650445 7633449.251480408 43.331, 561890.5199650442 7633448.791480408 43.321, 561890.5099650442 7633448.24148041 43.311, 561890.1899650444 7633447.781480409 43.321, 561889.7499650447 7633447.591480412 43.331)</t>
  </si>
  <si>
    <t>POLYGON Z ((561889.7499650447 7633447.591480412 43.331, 561881.9299650491 7633450.311480405 43.621, 561875.129965053 7633452.931480403 43.871, 561869.5599650563 7633455.141480397 44.081, 561867.7499650574 7633455.981480398 44.151, 561866.4799650578 7633456.591480395 44.201, 561866.3899650584 7633456.701480398 44.211, 561866.1199650579 7633457.221480397 44.231, 561866.1799650579 7633457.741480396 44.231, 561866.3299650581 7633457.9814803945 44.231, 561866.8199650577 7633458.281480394 44.221, 561867.0499650576 7633458.311480395 44.211, 561870.0599650561 7633457.411480397 44.101, 561875.2099650531 7633455.871480396 43.911, 561878.6799650511 7633454.8214804 43.781, 561879.7399650506 7633454.461480399 43.751, 561880.7299650498 7633454.0914804 43.711, 561882.369965049 7633453.421480403 43.641, 561883.859965048 7633452.741480404 43.591, 561885.679965047 7633451.821480405 43.511, 561887.189965046 7633450.991480404 43.451, 561888.9299650451 7633450.0314804055 43.381, 561890.1199650447 7633449.371480408 43.341, 561890.2399650445 7633449.251480408 43.331, 561890.5199650442 7633448.791480408 43.321, 561890.5099650442 7633448.24148041 43.311, 561890.1899650444 7633447.781480409 43.321, 561889.7499650447 7633447.591480412 43.331))</t>
  </si>
  <si>
    <t>['RV83 S3D10 m1872-1888']</t>
  </si>
  <si>
    <t>LINESTRING Z (561950.6199650101 7633437.631480426 41.731, 561965.2199650017 7633434.821480431 41.241, 561965.5199650015 7633434.3714804305 41.221, 561965.5699650013 7633434.061480431 41.211, 561965.4399650014 7633433.511480434 41.201, 561965.2399650017 7633433.251480434 41.211, 561965.0799650017 7633433.121480432 41.221, 561964.9099650016 7633433.071480434 41.231, 561958.0899650058 7633433.471480429 41.501, 561951.7799650094 7633433.851480431 41.701, 561949.9299650101 7633433.961480433 41.751, 561950.6199650101 7633437.631480426 41.731)</t>
  </si>
  <si>
    <t>POLYGON Z ((561950.6199650101 7633437.631480426 41.731, 561965.2199650017 7633434.821480431 41.241, 561965.5199650015 7633434.3714804305 41.221, 561965.5699650013 7633434.061480431 41.211, 561965.4399650014 7633433.511480434 41.201, 561965.2399650017 7633433.251480434 41.211, 561965.0799650017 7633433.121480432 41.221, 561964.9099650016 7633433.071480434 41.231, 561958.0899650058 7633433.471480429 41.501, 561951.7799650094 7633433.851480431 41.701, 561949.9299650101 7633433.961480433 41.751, 561950.6199650101 7633437.631480426 41.731))</t>
  </si>
  <si>
    <t>['RV83 S3D10 m1952-1992']</t>
  </si>
  <si>
    <t>LINESTRING Z (561843.8699650706 7633450.481480406 41.151, 561844.1099650704 7633450.531480406 41.111, 561846.5199650694 7633449.061480406 41.231, 561848.6899650679 7633447.871480407 41.351, 561850.7499650666 7633446.87148041 41.441, 561852.5399650657 7633446.071480416 41.521, 561855.6699650638 7633444.711480412 41.651, 561859.4499650619 7633443.081480414 41.831, 561863.2799650594 7633441.44148042 42.001, 561867.2199650573 7633439.761480421 42.191, 561871.4199650547 7633437.9414804205 42.391, 561875.4099650524 7633436.2114804275 42.541, 561876.8899650517 7633435.611480429 42.561, 561878.9099650506 7633434.911480429 42.571, 561881.0999650494 7633434.251480434 42.581, 561882.8699650482 7633433.75148043 42.641, 561882.6299650484 7633433.441480431 42.721, 561882.2199650486 7633432.951480432 42.761, 561881.7799650488 7633432.471480434 42.811, 561881.3199650492 7633432.001480436 42.851, 561880.8399650494 7633431.541480433 42.901, 561880.3299650496 7633431.091480433 42.951, 561879.7999650496 7633430.641480437 43.011, 561879.3999650502 7633430.331480432 43.041, 561879.2399650504 7633430.211480432 43.061, 561878.6499650506 7633429.791480437 43.121, 561878.4399650508 7633429.651480438 43.141, 561878.0299650511 7633429.381480437 43.171, 561877.6499650511 7633429.151480438 43.211, 561876.9499650515 7633428.7614804385 43.251, 561876.2399650519 7633428.3814804405 43.301, 561875.2299650525 7633427.86148044 43.361, 561874.2299650529 7633427.321480442 43.421, 561872.9299650537 7633426.631480439 43.531, 561872.2699650541 7633426.281480441 43.581, 561871.2799650546 7633425.81148044 43.671, 561870.3099650553 7633425.331480442 43.751, 561869.3199650558 7633424.891480447 43.831, 561868.3299650563 7633424.471480443 43.921, 561867.349965057 7633424.041480445 44.011, 561866.3699650572 7633423.591480445 44.101, 561865.3799650578 7633423.161480448 44.201, 561864.4099650584 7633422.711480448 44.301, 561863.5399650589 7633422.291480444 44.391, 561862.6799650595 7633421.861480448 44.481, 561862.4699650597 7633421.751480448 44.501, 561861.5199650602 7633421.251480449 44.591, 561860.5799650606 7633420.731480449 44.681, 561860.2199650608 7633420.531480449 44.711, 561859.6499650611 7633420.191480449 44.771, 561858.7199650618 7633419.641480449 44.861, 561857.8099650622 7633419.071480451 44.951, 561856.9099650626 7633418.481480451 45.041, 561856.0199650633 7633417.871480454 45.141, 561855.1399650635 7633417.251480455 45.231, 561854.2699650641 7633416.611480452 45.321, 561853.4199650649 7633415.961480454 45.411, 561852.579965065 7633415.291480455 45.501, 561851.7499650654 7633414.611480457 45.591, 561851.7399650656 7633414.601480457 45.601, 561850.919965066 7633413.9014804615 45.691, 561850.1199650666 7633413.191480458 45.781, 561849.3299650669 7633412.46148046 45.871, 561848.869965067 7633411.931480464 45.941, 561848.6799650673 7633412.2814804595 45.971, 561849.0099650669 7633412.991480461 45.921, 561849.6999650667 7633414.901480456 45.741, 561850.2499650663 7633417.041480456 45.561, 561850.5299650664 7633419.26148045 45.321, 561850.5899650662 7633421.431480447 45.151, 561850.3699650667 7633423.341480443 44.971, 561849.9899650669 7633424.99148044 44.811, 561849.4899650672 7633426.471480443 44.631, 561848.5499650675 7633428.09148044 44.371, 561847.3799650683 7633429.871480433 44.111, 561845.7999650692 7633432.081480431 43.781, 561844.2199650703 7633434.561480428 43.381, 561843.059965071 7633436.3514804235 43.081, 561842.3899650713 7633437.551480419 42.871, 561841.7199650715 7633438.9814804215 42.641, 561841.309965072 7633440.241480419 42.441, 561841.119965072 7633441.021480416 42.321, 561840.8799650724 7633442.681480413 42.111, 561840.8699650724 7633444.441480416 41.861, 561841.0799650721 7633446.221480412 41.631, 561841.4399650719 7633448.001480414 41.411, 561841.7299650719 7633448.8214804055 41.301, 561842.1999650713 7633449.511480406 41.211, 561843.019965071 7633450.121480407 41.151, 561843.8699650706 7633450.481480406 41.151)</t>
  </si>
  <si>
    <t>POLYGON Z ((561843.8699650706 7633450.481480406 41.151, 561844.1099650704 7633450.531480406 41.111, 561846.5199650694 7633449.061480406 41.231, 561848.6899650679 7633447.871480407 41.351, 561850.7499650666 7633446.87148041 41.441, 561852.5399650657 7633446.071480416 41.521, 561855.6699650638 7633444.711480412 41.651, 561859.4499650619 7633443.081480414 41.831, 561863.2799650594 7633441.44148042 42.001, 561867.2199650573 7633439.761480421 42.191, 561871.4199650547 7633437.9414804205 42.391, 561875.4099650524 7633436.2114804275 42.541, 561876.8899650517 7633435.611480429 42.561, 561878.9099650506 7633434.911480429 42.571, 561881.0999650494 7633434.251480434 42.581, 561882.8699650482 7633433.75148043 42.641, 561882.6299650484 7633433.441480431 42.721, 561882.2199650486 7633432.951480432 42.761, 561881.7799650488 7633432.471480434 42.811, 561881.3199650492 7633432.001480436 42.851, 561880.8399650494 7633431.541480433 42.901, 561880.3299650496 7633431.091480433 42.951, 561879.7999650496 7633430.641480437 43.011, 561879.3999650502 7633430.331480432 43.041, 561879.2399650504 7633430.211480432 43.061, 561878.6499650506 7633429.791480437 43.121, 561878.4399650508 7633429.651480438 43.141, 561878.0299650511 7633429.381480437 43.171, 561877.6499650511 7633429.151480438 43.211, 561876.9499650515 7633428.7614804385 43.251, 561876.2399650519 7633428.3814804405 43.301, 561875.2299650525 7633427.86148044 43.361, 561874.2299650529 7633427.321480442 43.421, 561872.9299650537 7633426.631480439 43.531, 561872.2699650541 7633426.281480441 43.581, 561871.2799650546 7633425.81148044 43.671, 561870.3099650553 7633425.331480442 43.751, 561869.3199650558 7633424.891480447 43.831, 561868.3299650563 7633424.471480443 43.921, 561867.349965057 7633424.041480445 44.011, 561866.3699650572 7633423.591480445 44.101, 561865.3799650578 7633423.161480448 44.201, 561864.4099650584 7633422.711480448 44.301, 561863.5399650589 7633422.291480444 44.391, 561862.6799650595 7633421.861480448 44.481, 561862.4699650597 7633421.751480448 44.501, 561861.5199650602 7633421.251480449 44.591, 561860.5799650606 7633420.731480449 44.681, 561860.2199650608 7633420.531480449 44.711, 561859.6499650611 7633420.191480449 44.771, 561858.7199650618 7633419.641480449 44.861, 561857.8099650622 7633419.071480451 44.951, 561856.9099650626 7633418.481480451 45.041, 561856.0199650633 7633417.871480454 45.141, 561855.1399650635 7633417.251480455 45.231, 561854.2699650641 7633416.611480452 45.321, 561853.4199650649 7633415.961480454 45.411, 561852.579965065 7633415.291480455 45.501, 561851.7499650654 7633414.611480457 45.591, 561851.7399650656 7633414.601480457 45.601, 561850.919965066 7633413.9014804615 45.691, 561850.1199650666 7633413.191480458 45.781, 561849.3299650669 7633412.46148046 45.871, 561848.869965067 7633411.931480464 45.941, 561848.6799650673 7633412.2814804595 45.971, 561849.0099650669 7633412.991480461 45.921, 561849.6999650667 7633414.901480456 45.741, 561850.2499650663 7633417.041480456 45.561, 561850.5299650664 7633419.26148045 45.321, 561850.5899650662 7633421.431480447 45.151, 561850.3699650667 7633423.341480443 44.971, 561849.9899650669 7633424.99148044 44.811, 561849.4899650672 7633426.471480443 44.631, 561848.5499650675 7633428.09148044 44.371, 561847.3799650683 7633429.871480433 44.111, 561845.7999650692 7633432.081480431 43.781, 561844.2199650703 7633434.561480428 43.381, 561843.059965071 7633436.3514804235 43.081, 561842.3899650713 7633437.551480419 42.871, 561841.7199650715 7633438.9814804215 42.641, 561841.309965072 7633440.241480419 42.441, 561841.119965072 7633441.021480416 42.321, 561840.8799650724 7633442.681480413 42.111, 561840.8699650724 7633444.441480416 41.861, 561841.0799650721 7633446.221480412 41.631, 561841.4399650719 7633448.001480414 41.411, 561841.7299650719 7633448.8214804055 41.301, 561842.1999650713 7633449.511480406 41.211, 561843.019965071 7633450.121480407 41.151, 561843.8699650706 7633450.481480406 41.151))</t>
  </si>
  <si>
    <t>['RV83 S3D1 m3630-3650']</t>
  </si>
  <si>
    <t>LINESTRING Z (561771.8799651116 7633468.281480378 46.191, 561782.7099651055 7633467.921480377 46.191, 561782.8099651056 7633471.461480374 46.191, 561783.959965105 7633471.441480375 46.221, 561786.2099651035 7633471.391480374 46.161, 561787.3499651031 7633471.311480371 46.131, 561788.5599651025 7633471.151480369 46.101, 561789.5499651018 7633470.991480373 46.071, 561791.2199651008 7633470.701480376 46.021, 561792.6399651 7633470.401480376 45.991, 561793.3399650994 7633470.251480379 45.971, 561793.2699651 7633469.571480377 45.931, 561793.1399650999 7633468.121480377 45.881, 561792.9599650998 7633466.93148038 45.841, 561792.5899650999 7633465.911480381 45.791, 561792.1399651002 7633465.0214803815 45.761, 561792.0499651001 7633464.871480387 45.761, 561791.9099651003 7633464.781480383 45.761, 561791.7699651005 7633464.741480383 45.761, 561791.6399651004 7633464.751480385 45.761, 561790.479965101 7633464.97148038 45.781, 561785.0399651042 7633465.941480381 45.901, 561779.9299651074 7633466.861480379 46.011, 561775.5199651096 7633467.631480379 46.101, 561771.8799651116 7633468.281480378 46.191)</t>
  </si>
  <si>
    <t>POLYGON Z ((561771.8799651116 7633468.281480378 46.191, 561782.7099651055 7633467.921480377 46.191, 561782.8099651056 7633471.461480374 46.191, 561783.959965105 7633471.441480375 46.221, 561786.2099651035 7633471.391480374 46.161, 561787.3499651031 7633471.311480371 46.131, 561788.5599651025 7633471.151480369 46.101, 561789.5499651018 7633470.991480373 46.071, 561791.2199651008 7633470.701480376 46.021, 561792.6399651 7633470.401480376 45.991, 561793.3399650994 7633470.251480379 45.971, 561793.2699651 7633469.571480377 45.931, 561793.1399650999 7633468.121480377 45.881, 561792.9599650998 7633466.93148038 45.841, 561792.5899650999 7633465.911480381 45.791, 561792.1399651002 7633465.0214803815 45.761, 561792.0499651001 7633464.871480387 45.761, 561791.9099651003 7633464.781480383 45.761, 561791.7699651005 7633464.741480383 45.761, 561791.6399651004 7633464.751480385 45.761, 561790.479965101 7633464.97148038 45.781, 561785.0399651042 7633465.941480381 45.901, 561779.9299651074 7633466.861480379 46.011, 561775.5199651096 7633467.631480379 46.101, 561771.8799651116 7633468.281480378 46.191))</t>
  </si>
  <si>
    <t>['RV83 S3D10 m2007-2015']</t>
  </si>
  <si>
    <t>LINESTRING Z (561847.4899650693 7633496.611480341 42.231, 561848.319965069 7633490.961480348 42.861, 561848.3499650687 7633490.761480347 42.881, 561848.3499650686 7633490.721480344 42.891, 561848.359965069 7633490.651480346 42.901, 561848.3599650689 7633490.591480348 42.921, 561848.3599650688 7633490.521480346 42.931, 561848.3399650689 7633490.421480347 42.941, 561848.319965069 7633490.331480347 42.961, 561848.2899650689 7633490.261480349 42.971, 561848.269965069 7633490.191480349 42.991, 561848.2299650694 7633490.121480346 43.001, 561848.179965069 7633490.041480345 43.011, 561848.1199650692 7633489.971480345 43.031, 561848.079965069 7633489.921480351 43.041, 561848.0099650688 7633489.851480349 43.061, 561847.9399650692 7633489.8014803445 43.071, 561847.8799650694 7633489.761480349 43.081, 561847.8099650692 7633489.721480348 43.101, 561847.7399650693 7633489.691480349 43.111, 561847.6599650691 7633489.661480349 43.131, 561847.5799650693 7633489.641480348 43.141, 561847.4899650695 7633489.6214803485 43.151, 561847.4199650696 7633489.621480349 43.171, 561847.3299650695 7633489.621480349 43.181, 561847.2499650696 7633489.621480351 43.191, 561847.1699650699 7633489.631480348 43.211, 561847.0999650697 7633489.651480347 43.221, 561847.0199650696 7633489.681480345 43.231, 561846.90996507 7633489.721480348 43.251, 561846.7199650698 7633489.821480348 43.271, 561846.28996507 7633490.041480345 43.321, 561845.7799650704 7633490.301480345 43.391, 561845.3399650706 7633490.491480343 43.441, 561844.899965071 7633490.681480348 43.491, 561844.4099650714 7633490.871480347 43.551, 561844.0099650715 7633491.021480344 43.601, 561843.5099650715 7633491.201480348 43.661, 561843.0899650719 7633491.341480342 43.701, 561842.5999650722 7633491.481480349 43.761, 561842.1599650724 7633491.611480346 43.811, 561841.6499650726 7633491.731480345 43.871, 561841.2199650729 7633491.831480347 43.921, 561840.6899650733 7633491.951480347 43.981, 561840.2699650737 7633492.021480344 44.021, 561839.7199650737 7633492.121480344 44.091, 561839.319965074 7633492.171480343 44.131, 561838.6899650745 7633492.251480341 44.201, 561838.1399650748 7633492.541480343 44.311, 561838.0399650747 7633492.801480345 44.311, 561837.9299650749 7633493.061480343 44.311, 561837.8199650749 7633493.321480342 44.321, 561837.6999650749 7633493.571480343 44.321, 561837.5899650751 7633493.831480343 44.321, 561837.4699650751 7633494.081480343 44.321, 561837.3399650751 7633494.331480339 44.321, 561837.2199650753 7633494.581480342 44.321, 561837.0899650755 7633494.831480339 44.321, 561836.9599650754 7633495.081480338 44.321, 561836.8199650756 7633495.321480342 44.321, 561836.6799650757 7633495.571480339 44.331, 561836.5399650758 7633495.811480341 44.331, 561836.3999650758 7633496.051480337 44.331, 561835.929965076 7633496.221480336 45.061, 561835.8499650761 7633496.341480335 45.061, 561835.7199650763 7633496.551480338 45.061, 561835.6899650762 7633496.591480338 45.061, 561835.5299650762 7633496.831480339 45.061, 561835.3699650763 7633497.061480336 45.061, 561835.2799650764 7633497.201480338 45.061, 561835.1999650765 7633497.311480336 45.061, 561835.0299650767 7633497.541480334 45.061, 561834.8599650767 7633497.771480338 45.071, 561834.6799650769 7633498.001480334 45.071, 561834.659965077 7633498.031480335 45.071, 561834.4999650769 7633498.231480337 45.071, 561834.3199650771 7633498.451480335 45.071, 561834.139965077 7633498.681480331 45.071, 561834.0099650772 7633498.821480336 45.071, 561833.9499650771 7633498.901480334 45.071, 561833.7599650775 7633499.1214803355 45.071, 561833.5699650774 7633499.3414803315 45.07, 561833.3699650776 7633499.551480329 45.07, 561833.3299650777 7633499.5914803315 45.08, 561833.1699650779 7633499.761480332 45.08, 561832.9699650777 7633499.971480333 45.08, 561832.7699650779 7633500.171480332 45.08, 561832.6099650781 7633500.3314803345 45.08, 561832.5699650779 7633500.371480331 45.08, 561832.3599650781 7633500.571480335 45.08, 561832.1399650786 7633500.781480334 45.08, 561831.9299650784 7633500.97148033 45.08, 561831.8599650784 7633501.041480331 45.08, 561831.7099650783 7633501.171480332 45.08, 561831.4999650787 7633501.351480332 45.08, 561831.2799650792 7633501.541480329 45.09, 561831.0799650789 7633501.701480331 45.09, 561831.0499650788 7633501.721480331 45.09, 561830.829965079 7633501.911480329 45.09, 561830.5999650792 7633502.08148033 45.09, 561830.3699650794 7633502.261480328 45.09, 561830.2699650795 7633502.341480329 45.09, 561830.1299650795 7633502.441480328 45.09, 561829.8999650795 7633502.611480332 45.09, 561829.6699650799 7633502.771480328 45.09, 561829.4299650796 7633502.941480329 45.09, 561829.1899650795 7633503.1014803285 45.1, 561828.9499650801 7633503.25148033 45.1, 561828.6999650802 7633503.411480327 45.1, 561828.5599650803 7633503.491480328 45.1, 561828.4499650804 7633503.561480324 45.1, 561828.1999650805 7633503.711480324 45.1, 561827.9499650806 7633503.861480326 45.1, 561827.6999650808 7633504.001480326 45.1, 561827.679965081 7633504.011480326 45.1, 561827.4499650808 7633504.141480327 45.1, 561827.1999650811 7633504.271480324 45.1, 561826.9399650812 7633504.401480324 45.11, 561826.7699650815 7633504.4914803235 45.11, 561826.6799650814 7633504.531480326 45.11, 561826.4099650816 7633504.661480326 45.11, 561826.1499650818 7633504.781480326 45.11, 561825.8899650819 7633504.901480323 45.11, 561825.8299650819 7633504.931480324 45.11, 561825.6299650823 7633505.021480325 45.11, 561825.3599650823 7633505.131480327 45.11, 561825.0999650824 7633505.241480325 45.11, 561824.8999650825 7633505.331480323 45.11, 561824.8399650825 7633505.351480323 45.11, 561824.5799650826 7633505.471480327 45.12, 561824.3099650829 7633505.591480323 45.12, 561824.049965083 7633505.711480328 45.12, 561823.9699650831 7633505.751480322 45.12, 561823.7899650831 7633505.831480327 45.12, 561823.5299650833 7633505.951480326 45.12, 561823.2599650836 7633506.071480325 45.12, 561823.0299650838 7633506.181480323 45.12, 561822.9999650836 7633506.201480325 45.12, 561822.7299650838 7633506.321480322 45.12, 561822.4699650842 7633506.451480324 45.12, 561822.1899650841 7633506.581480323 45.12, 561822.0799650841 7633506.631480322 45.12, 561822.0499650841 7633506.651480322 45.12, 561821.9299650842 7633506.711480322 45.12, 561821.6599650843 7633506.841480323 45.12, 561821.3899650845 7633506.97148032 45.12, 561821.1199650845 7633507.101480323 45.12, 561820.979965085 7633507.171480321 45.12, 561820.7999650848 7633507.611480322 45.09, 561820.3599650853 7633508.39148032 45.07, 561820.3499650848 7633508.411480319 45.07, 561819.9499650853 7633509.191480318 45.04, 561819.599965086 7633509.951480318 45.01, 561819.5799650854 7633509.981480317 45.01, 561819.2499650858 7633510.781480318 44.97, 561818.9399650858 7633511.601480317 44.94, 561818.8099650859 7633511.991480314 44.93, 561818.6699650862 7633512.4314803155 44.91, 561818.5599650863 7633512.801480313 44.9, 561818.4299650865 7633513.271480312 44.88, 561818.2299650864 7633514.121480314 44.85, 561818.1499650865 7633514.471480313 44.84, 561818.0599650865 7633514.971480311 44.82, 561817.9199650865 7633515.831480312 44.79, 561817.8199650868 7633516.701480308 44.76, 561817.7499650869 7633517.571480307 44.72, 561817.7199650868 7633518.441480305 44.69, 561817.7199650866 7633519.3114803005 44.66, 561817.7599650872 7633520.191480303 44.62, 561817.8299650869 7633521.061480299 44.59, 561819.5999650857 7633522.941480299 44.45, 561821.2099650848 7633523.751480299 44.33, 561821.9699650845 7633523.971480299 44.28, 561821.9799650846 7633523.981480298 44.28, 561822.0199650844 7633523.991480297 44.28, 561822.0299650846 7633523.991480296 44.28, 561822.5499650841 7633524.091480299 44.24, 561822.949965084 7633524.141480295 44.21, 561823.1999650837 7633524.171480295 44.19, 561823.5299650837 7633524.191480297 44.17, 561824.3799650831 7633524.171480297 44.09, 561824.669965083 7633524.141480298 44.07, 561825.2099650826 7633524.051480298 44.02, 561826.0099650823 7633523.841480301 43.95, 561826.7799650818 7633523.551480298 43.89, 561827.1499650816 7633523.3614802975 43.86, 561827.5099650812 7633523.161480301 43.83, 561827.8499650812 7633522.9314803 43.8, 561828.1799650814 7633522.701480298 43.76, 561828.4899650806 7633522.431480299 43.73, 561828.7999650807 7633522.1614803 43.7, 561829.0799650804 7633521.871480302 43.66, 561829.3499650804 7633521.561480303 43.63, 561829.7499650801 7633521.021480304 43.57, 561829.81996508 7633520.901480302 43.56, 561830.1499650799 7633520.3914803015 43.5, 561830.2699650798 7633520.201480303 43.48, 561830.6499650794 7633519.551480303 43.43, 561830.7499650791 7633519.371480305 43.42, 561830.8299650796 7633519.231480304 43.41, 561831.1499650795 7633518.691480305 43.36, 561831.419965079 7633518.251480303 43.33, 561831.6399650789 7633517.921480308 43.3, 561832.0499650786 7633517.301480305 43.24, 561832.3799650787 7633516.83148031 43.2, 561832.7199650783 7633516.3714803085 43.16, 561833.069965078 7633515.921480308 43.12, 561833.4299650779 7633515.47148031 43.07, 561833.7999650777 7633515.041480311 43.03, 561834.1799650774 7633514.611480311 42.99, 561834.5599650773 7633514.181480313 42.95, 561834.9599650769 7633513.771480309 42.9, 561835.3599650767 7633513.361480313 42.86, 561835.7699650765 7633512.961480313 42.82, 561836.189965076 7633512.571480314 42.78, 561836.6199650761 7633512.191480314 42.74, 561837.0599650759 7633511.821480312 42.69, 561837.4999650755 7633511.461480315 42.65, 561837.9499650754 7633511.1014803145 42.61, 561838.4099650751 7633510.7614803165 42.57, 561838.4199650751 7633510.751480319 42.56, 561838.8799650748 7633510.421480315 42.52, 561839.3499650746 7633510.101480317 42.48, 561839.8299650738 7633509.781480321 42.44, 561840.3099650741 7633509.481480316 42.4, 561840.8099650741 7633509.181480317 42.35, 561841.2999650734 7633508.901480319 42.31, 561841.809965073 7633508.62148032 42.27, 561842.3199650724 7633508.361480321 42.23, 561842.8299650722 7633508.101480321 42.18, 561843.3499650722 7633507.861480322 42.14, 561843.879965072 7633507.631480325 42.1, 561844.4099650715 7633507.4114803225 42.06, 561844.9399650712 7633507.201480319 42.01, 561845.469965071 7633507.001480322 41.97, 561845.479965071 7633507.0014803205 41.97, 561845.4899650713 7633506.9914803235 41.97, 561846.0299650704 7633506.861480325 41.92, 561846.6499650702 7633503.33148033 41.751, 561847.01996507 7633500.9714803295 42.231, 561846.9999650697 7633499.951480333 42.231, 561847.4899650693 7633496.611480341 42.231)</t>
  </si>
  <si>
    <t>POLYGON Z ((561847.4899650693 7633496.611480341 42.231, 561848.319965069 7633490.961480348 42.861, 561848.3499650687 7633490.761480347 42.881, 561848.3499650686 7633490.721480344 42.891, 561848.359965069 7633490.651480346 42.901, 561848.3599650689 7633490.591480348 42.921, 561848.3599650688 7633490.521480346 42.931, 561848.3399650689 7633490.421480347 42.941, 561848.319965069 7633490.331480347 42.961, 561848.2899650689 7633490.261480349 42.971, 561848.269965069 7633490.191480349 42.991, 561848.2299650694 7633490.121480346 43.001, 561848.179965069 7633490.041480345 43.011, 561848.1199650692 7633489.971480345 43.031, 561848.079965069 7633489.921480351 43.041, 561848.0099650688 7633489.851480349 43.061, 561847.9399650692 7633489.8014803445 43.071, 561847.8799650694 7633489.761480349 43.081, 561847.8099650692 7633489.721480348 43.101, 561847.7399650693 7633489.691480349 43.111, 561847.6599650691 7633489.661480349 43.131, 561847.5799650693 7633489.641480348 43.141, 561847.4899650695 7633489.6214803485 43.151, 561847.4199650696 7633489.621480349 43.171, 561847.3299650695 7633489.621480349 43.181, 561847.2499650696 7633489.621480351 43.191, 561847.1699650699 7633489.631480348 43.211, 561847.0999650697 7633489.651480347 43.221, 561847.0199650696 7633489.681480345 43.231, 561846.90996507 7633489.721480348 43.251, 561846.7199650698 7633489.821480348 43.271, 561846.28996507 7633490.041480345 43.321, 561845.7799650704 7633490.301480345 43.391, 561845.3399650706 7633490.491480343 43.441, 561844.899965071 7633490.681480348 43.491, 561844.4099650714 7633490.871480347 43.551, 561844.0099650715 7633491.021480344 43.601, 561843.5099650715 7633491.201480348 43.661, 561843.0899650719 7633491.341480342 43.701, 561842.5999650722 7633491.481480349 43.761, 561842.1599650724 7633491.611480346 43.811, 561841.6499650726 7633491.731480345 43.871, 561841.2199650729 7633491.831480347 43.921, 561840.6899650733 7633491.951480347 43.981, 561840.2699650737 7633492.021480344 44.021, 561839.7199650737 7633492.121480344 44.091, 561839.319965074 7633492.171480343 44.131, 561838.6899650745 7633492.251480341 44.201, 561838.1399650748 7633492.541480343 44.311, 561838.0399650747 7633492.801480345 44.311, 561837.9299650749 7633493.061480343 44.311, 561837.8199650749 7633493.321480342 44.321, 561837.6999650749 7633493.571480343 44.321, 561837.5899650751 7633493.831480343 44.321, 561837.4699650751 7633494.081480343 44.321, 561837.3399650751 7633494.331480339 44.321, 561837.2199650753 7633494.581480342 44.321, 561837.0899650755 7633494.831480339 44.321, 561836.9599650754 7633495.081480338 44.321, 561836.8199650756 7633495.321480342 44.321, 561836.6799650757 7633495.571480339 44.331, 561836.5399650758 7633495.811480341 44.331, 561836.3999650758 7633496.051480337 44.331, 561835.929965076 7633496.221480336 45.061, 561835.8499650761 7633496.341480335 45.061, 561835.7199650763 7633496.551480338 45.061, 561835.6899650762 7633496.591480338 45.061, 561835.5299650762 7633496.831480339 45.061, 561835.3699650763 7633497.061480336 45.061, 561835.2799650764 7633497.201480338 45.061, 561835.1999650765 7633497.311480336 45.061, 561835.0299650767 7633497.541480334 45.061, 561834.8599650767 7633497.771480338 45.071, 561834.6799650769 7633498.001480334 45.071, 561834.659965077 7633498.031480335 45.071, 561834.4999650769 7633498.231480337 45.071, 561834.3199650771 7633498.451480335 45.071, 561834.139965077 7633498.681480331 45.071, 561834.0099650772 7633498.821480336 45.071, 561833.9499650771 7633498.901480334 45.071, 561833.7599650775 7633499.1214803355 45.071, 561833.5699650774 7633499.3414803315 45.07, 561833.3699650776 7633499.551480329 45.07, 561833.3299650777 7633499.5914803315 45.08, 561833.1699650779 7633499.761480332 45.08, 561832.9699650777 7633499.971480333 45.08, 561832.7699650779 7633500.171480332 45.08, 561832.6099650781 7633500.3314803345 45.08, 561832.5699650779 7633500.371480331 45.08, 561832.3599650781 7633500.571480335 45.08, 561832.1399650786 7633500.781480334 45.08, 561831.9299650784 7633500.97148033 45.08, 561831.8599650784 7633501.041480331 45.08, 561831.7099650783 7633501.171480332 45.08, 561831.4999650787 7633501.351480332 45.08, 561831.2799650792 7633501.541480329 45.09, 561831.0799650789 7633501.701480331 45.09, 561831.0499650788 7633501.721480331 45.09, 561830.829965079 7633501.911480329 45.09, 561830.5999650792 7633502.08148033 45.09, 561830.3699650794 7633502.261480328 45.09, 561830.2699650795 7633502.341480329 45.09, 561830.1299650795 7633502.441480328 45.09, 561829.8999650795 7633502.611480332 45.09, 561829.6699650799 7633502.771480328 45.09, 561829.4299650796 7633502.941480329 45.09, 561829.1899650795 7633503.1014803285 45.1, 561828.9499650801 7633503.25148033 45.1, 561828.6999650802 7633503.411480327 45.1, 561828.5599650803 7633503.491480328 45.1, 561828.4499650804 7633503.561480324 45.1, 561828.1999650805 7633503.711480324 45.1, 561827.9499650806 7633503.861480326 45.1, 561827.6999650808 7633504.001480326 45.1, 561827.679965081 7633504.011480326 45.1, 561827.4499650808 7633504.141480327 45.1, 561827.1999650811 7633504.271480324 45.1, 561826.9399650812 7633504.401480324 45.11, 561826.7699650815 7633504.4914803235 45.11, 561826.6799650814 7633504.531480326 45.11, 561826.4099650816 7633504.661480326 45.11, 561826.1499650818 7633504.781480326 45.11, 561825.8899650819 7633504.901480323 45.11, 561825.8299650819 7633504.931480324 45.11, 561825.6299650823 7633505.021480325 45.11, 561825.3599650823 7633505.131480327 45.11, 561825.0999650824 7633505.241480325 45.11, 561824.8999650825 7633505.331480323 45.11, 561824.8399650825 7633505.351480323 45.11, 561824.5799650826 7633505.471480327 45.12, 561824.3099650829 7633505.591480323 45.12, 561824.049965083 7633505.711480328 45.12, 561823.9699650831 7633505.751480322 45.12, 561823.7899650831 7633505.831480327 45.12, 561823.5299650833 7633505.951480326 45.12, 561823.2599650836 7633506.071480325 45.12, 561823.0299650838 7633506.181480323 45.12, 561822.9999650836 7633506.201480325 45.12, 561822.7299650838 7633506.321480322 45.12, 561822.4699650842 7633506.451480324 45.12, 561822.1899650841 7633506.581480323 45.12, 561822.0799650841 7633506.631480322 45.12, 561822.0499650841 7633506.651480322 45.12, 561821.9299650842 7633506.711480322 45.12, 561821.6599650843 7633506.841480323 45.12, 561821.3899650845 7633506.97148032 45.12, 561821.1199650845 7633507.101480323 45.12, 561820.979965085 7633507.171480321 45.12, 561820.7999650848 7633507.611480322 45.09, 561820.3599650853 7633508.39148032 45.07, 561820.3499650848 7633508.411480319 45.07, 561819.9499650853 7633509.191480318 45.04, 561819.599965086 7633509.951480318 45.01, 561819.5799650854 7633509.981480317 45.01, 561819.2499650858 7633510.781480318 44.97, 561818.9399650858 7633511.601480317 44.94, 561818.8099650859 7633511.991480314 44.93, 561818.6699650862 7633512.4314803155 44.91, 561818.5599650863 7633512.801480313 44.9, 561818.4299650865 7633513.271480312 44.88, 561818.2299650864 7633514.121480314 44.85, 561818.1499650865 7633514.471480313 44.84, 561818.0599650865 7633514.971480311 44.82, 561817.9199650865 7633515.831480312 44.79, 561817.8199650868 7633516.701480308 44.76, 561817.7499650869 7633517.571480307 44.72, 561817.7199650868 7633518.441480305 44.69, 561817.7199650866 7633519.3114803005 44.66, 561817.7599650872 7633520.191480303 44.62, 561817.8299650869 7633521.061480299 44.59, 561819.5999650857 7633522.941480299 44.45, 561821.2099650848 7633523.751480299 44.33, 561821.9699650845 7633523.971480299 44.28, 561821.9799650846 7633523.981480298 44.28, 561822.0199650844 7633523.991480297 44.28, 561822.0299650846 7633523.991480296 44.28, 561822.5499650841 7633524.091480299 44.24, 561822.949965084 7633524.141480295 44.21, 561823.1999650837 7633524.171480295 44.19, 561823.5299650837 7633524.191480297 44.17, 561824.3799650831 7633524.171480297 44.09, 561824.669965083 7633524.141480298 44.07, 561825.2099650826 7633524.051480298 44.02, 561826.0099650823 7633523.841480301 43.95, 561826.7799650818 7633523.551480298 43.89, 561827.1499650816 7633523.3614802975 43.86, 561827.5099650812 7633523.161480301 43.83, 561827.8499650812 7633522.9314803 43.8, 561828.1799650814 7633522.701480298 43.76, 561828.4899650806 7633522.431480299 43.73, 561828.7999650807 7633522.1614803 43.7, 561829.0799650804 7633521.871480302 43.66, 561829.3499650804 7633521.561480303 43.63, 561829.7499650801 7633521.021480304 43.57, 561829.81996508 7633520.901480302 43.56, 561830.1499650799 7633520.3914803015 43.5, 561830.2699650798 7633520.201480303 43.48, 561830.6499650794 7633519.551480303 43.43, 561830.7499650791 7633519.371480305 43.42, 561830.8299650796 7633519.231480304 43.41, 561831.1499650795 7633518.691480305 43.36, 561831.419965079 7633518.251480303 43.33, 561831.6399650789 7633517.921480308 43.3, 561832.0499650786 7633517.301480305 43.24, 561832.3799650787 7633516.83148031 43.2, 561832.7199650783 7633516.3714803085 43.16, 561833.069965078 7633515.921480308 43.12, 561833.4299650779 7633515.47148031 43.07, 561833.7999650777 7633515.041480311 43.03, 561834.1799650774 7633514.611480311 42.99, 561834.5599650773 7633514.181480313 42.95, 561834.9599650769 7633513.771480309 42.9, 561835.3599650767 7633513.361480313 42.86, 561835.7699650765 7633512.961480313 42.82, 561836.189965076 7633512.571480314 42.78, 561836.6199650761 7633512.191480314 42.74, 561837.0599650759 7633511.821480312 42.69, 561837.4999650755 7633511.461480315 42.65, 561837.9499650754 7633511.1014803145 42.61, 561838.4099650751 7633510.7614803165 42.57, 561838.4199650751 7633510.751480319 42.56, 561838.8799650748 7633510.421480315 42.52, 561839.3499650746 7633510.101480317 42.48, 561839.8299650738 7633509.781480321 42.44, 561840.3099650741 7633509.481480316 42.4, 561840.8099650741 7633509.181480317 42.35, 561841.2999650734 7633508.901480319 42.31, 561841.809965073 7633508.62148032 42.27, 561842.3199650724 7633508.361480321 42.23, 561842.8299650722 7633508.101480321 42.18, 561843.3499650722 7633507.861480322 42.14, 561843.879965072 7633507.631480325 42.1, 561844.4099650715 7633507.4114803225 42.06, 561844.9399650712 7633507.201480319 42.01, 561845.469965071 7633507.001480322 41.97, 561845.479965071 7633507.0014803205 41.97, 561845.4899650713 7633506.9914803235 41.97, 561846.0299650704 7633506.861480325 41.92, 561846.6499650702 7633503.33148033 41.751, 561847.01996507 7633500.9714803295 42.231, 561846.9999650697 7633499.951480333 42.231, 561847.4899650693 7633496.611480341 42.231))</t>
  </si>
  <si>
    <t>['RV83 S3D10 m1893-1969']</t>
  </si>
  <si>
    <t>LINESTRING Z (561898.9199650391 7633429.941480437 42.871, 561900.5099650382 7633429.391480437 42.811, 561903.0799650367 7633429.201480439 42.731, 561906.3699650349 7633429.531480437 42.641, 561909.8999650328 7633429.711480438 42.491, 561913.099965031 7633429.8914804375 42.371, 561915.0799650298 7633430.0614804365 42.301, 561916.2999650293 7633430.001480435 42.261, 561917.7599650285 7633429.891480436 42.211, 561919.7499650272 7633429.49148044 42.181, 561921.639965026 7633429.111480438 42.141, 561927.9899650228 7633427.851480441 42.021, 561932.9299650199 7633426.851480441 41.951, 561935.2599650185 7633426.401480443 41.911, 561935.8399650181 7633426.131480445 41.901, 561936.229965018 7633425.571480444 41.931, 561936.5299650178 7633424.751480445 41.961, 561936.6199650178 7633423.921480445 41.981, 561936.7699650173 7633419.5514804525 42.221, 561936.8799650173 7633414.091480459 42.621, 561936.949965017 7633408.63148047 42.961, 561937.0799650169 7633402.571480477 43.281, 561937.1299650169 7633398.561480485 43.471, 561937.0299650169 7633395.601480486 43.591, 561936.3899650172 7633397.211480483 44.211, 561936.0799650174 7633399.921480481 44.321, 561935.5999650179 7633402.591480478 44.371, 561935.139965018 7633406.291480472 44.181, 561935.6699650179 7633408.511480469 43.721, 561935.8199650176 7633411.111480464 43.361, 561934.2799650189 7633417.071480457 43.361, 561932.9999650199 7633422.3614804465 42.891, 561921.3899650263 7633424.661480443 42.891, 561917.9899650282 7633424.171480443 43.211, 561915.3599650296 7633423.171480447 43.521, 561912.3999650313 7633421.101480448 43.911, 561909.7399650328 7633421.481480447 43.471, 561907.1599650342 7633421.651480448 43.111, 561905.0499650354 7633421.351480448 43.061, 561903.4999650364 7633420.421480451 43.511, 561902.7699650365 7633419.131480454 44.241, 561901.5699650372 7633417.9214804545 44.651, 561899.7799650383 7633416.83148046 44.991, 561898.5099650391 7633416.141480457 44.941, 561894.7599650413 7633415.671480456 44.811, 561892.4799650424 7633415.391480459 44.811, 561889.9299650439 7633415.0314804595 44.801, 561887.4999650454 7633414.711480459 44.651, 561884.6599650467 7633413.721480457 44.801, 561883.1099650478 7633413.261480461 45.311, 561881.7399650483 7633412.381480461 45.701, 561880.6799650493 7633412.471480461 45.981, 561878.8399650501 7633411.111480466 46.581, 561875.9299650517 7633409.981480465 47.131, 561874.0299650528 7633409.111480468 47.521, 561870.8999650547 7633408.551480467 48.241, 561868.6499650559 7633407.951480466 48.531, 561866.9999650568 7633406.481480469 48.951, 561864.0599650582 7633404.601480472 49.261, 561861.5199650597 7633403.791480472 49.251, 561858.8399650613 7633401.881480477 49.401, 561856.5999650625 7633400.331480482 49.421, 561854.2899650637 7633398.671480484 49.401, 561851.4199650651 7633395.981480485 49.041, 561849.5599650663 7633393.401480491 48.991, 561847.6999650674 7633390.201480491 48.911, 561846.1799650679 7633387.071480498 48.901, 561845.0099650684 7633383.781480504 48.791, 561844.1999650692 7633381.861480502 48.661, 561843.8399650693 7633378.89148051 48.641, 561843.4699650696 7633377.86148051 48.521, 561843.1599650696 7633378.481480509 48.481, 561843.2299650696 7633379.051480511 48.601, 561843.7399650693 7633381.091480505 48.651, 561844.399965069 7633383.611480504 48.631, 561845.4499650684 7633386.391480499 48.711, 561846.1499650683 7633388.081480497 48.721, 561847.1899650675 7633390.421480494 48.751, 561848.7599650668 7633393.421480487 48.721, 561849.7999650661 7633395.001480487 48.791, 561851.8399650651 7633397.50148048 48.851, 561853.2499650642 7633399.34148048 48.911, 561854.9299650637 7633401.0314804735 48.951, 561856.7299650626 7633402.881480476 48.901, 561858.5699650613 7633404.531480472 48.801, 561859.7999650608 7633405.421480471 48.721, 561860.1399650605 7633405.68148047 48.401, 561860.65996506 7633406.231480471 48.371, 561862.1399650596 7633407.461480469 48.231, 561862.4699650593 7633407.681480467 47.961, 561863.2999650589 7633408.331480463 47.961, 561864.6699650582 7633409.141480466 47.841, 561865.0999650579 7633409.411480467 47.551, 561865.9299650575 7633409.951480462 47.511, 561867.6799650566 7633410.9814804625 47.411, 561869.5999650551 7633411.891480464 47.341, 561870.039965055 7633412.201480462 46.901, 561870.9999650543 7633412.601480463 46.811, 561872.359965054 7633413.09148046 46.721, 561873.2799650534 7633413.411480458 46.681, 561873.629965053 7633413.61148046 46.471, 561874.7499650525 7633414.2414804585 46.421, 561875.6999650521 7633414.581480458 46.431, 561876.2799650518 7633414.851480458 45.901, 561877.9399650506 7633415.391480455 45.861, 561878.2099650508 7633415.541480456 45.411, 561878.5399650504 7633415.691480456 45.421, 561878.8299650501 7633415.771480457 45.021, 561879.7899650496 7633416.101480457 45.041, 561880.8899650489 7633416.291480455 45.031, 561881.6899650488 7633416.511480455 45.001, 561882.1699650484 7633416.621480454 44.701, 561882.7999650481 7633416.761480455 44.651, 561883.1599650477 7633416.851480457 44.301, 561883.5899650475 7633416.961480456 44.311, 561884.0299650473 7633417.111480456 43.971, 561884.2999650469 7633417.241480455 43.621, 561885.1299650464 7633417.411480454 43.621, 561885.1099650468 7633417.8414804535 43.131, 561883.4899650476 7633417.551480454 43.111, 561880.6599650492 7633416.951480454 43.101, 561877.6299650508 7633416.101480457 43.261, 561873.899965053 7633414.841480457 43.481, 561870.299965055 7633413.42148046 43.761, 561867.0299650567 7633411.821480461 43.961, 561863.6399650585 7633410.051480468 44.361, 561860.6899650601 7633407.821480467 44.801, 561857.9699650619 7633405.651480471 45.131, 561854.9099650637 7633402.601480475 45.631, 561852.4399650649 7633399.831480476 46.081, 561850.4399650658 7633397.061480484 46.331, 561848.2099650672 7633393.971480487 46.661, 561846.7799650676 7633391.201480493 46.991, 561845.4899650685 7633388.231480495 47.291, 561844.5599650688 7633385.4514805 47.551, 561843.6699650694 7633382.641480505 47.701, 561842.9199650699 7633379.871480506 47.771, 561842.66996507 7633378.511480511 47.821, 561843.3599650696 7633377.2914805105 48.521, 561842.9399650696 7633375.461480515 48.541, 561839.6199650716 7633375.691480516 48.111, 561839.7299650712 7633376.611480515 48.071, 561839.8599650713 7633377.521480512 48.031, 561840.0099650712 7633378.431480511 48.001, 561840.0099650713 7633378.44148051 48.001, 561840.1699650716 7633379.351480505 47.961, 561840.3499650712 7633380.251480508 47.911, 561840.549965071 7633381.151480509 47.871, 561840.759965071 7633382.051480505 47.821, 561840.9899650711 7633382.941480503 47.781, 561841.2299650706 7633383.831480501 47.731, 561841.4999650709 7633384.721480498 47.671, 561841.7799650707 7633385.601480501 47.621, 561842.0699650701 7633386.4714805 47.561, 561842.37996507 7633387.341480495 47.501, 561842.70996507 7633388.2014804995 47.441, 561843.04996507 7633389.061480492 47.381, 561843.4099650695 7633389.911480496 47.321, 561843.7899650696 7633390.751480493 47.251, 561844.1799650694 7633391.591480489 47.181, 561844.5799650691 7633392.421480489 47.111, 561845.0099650689 7633393.241480489 47.041, 561845.4399650685 7633394.051480486 46.971, 561845.8899650683 7633394.851480485 46.891, 561845.8899650685 7633394.861480487 46.891, 561846.3599650679 7633395.661480486 46.811, 561846.839965068 7633396.441480487 46.731, 561847.3399650676 7633397.221480483 46.651, 561847.3399650677 7633397.231480483 46.651, 561847.8499650677 7633398.0014804825 46.561, 561848.3699650671 7633398.75148048 46.481, 561848.9099650668 7633399.501480479 46.391, 561849.4599650666 7633400.241480483 46.301, 561849.5899650664 7633400.421480476 46.281, 561850.0199650665 7633400.9714804785 46.211, 561850.599965066 7633401.691480475 46.121, 561851.1999650653 7633402.401480475 46.021, 561851.7999650653 7633403.101480476 45.931, 561852.4099650651 7633403.781480474 45.841, 561853.0399650644 7633404.451480475 45.751, 561853.0499650644 7633404.461480473 45.751, 561853.6899650642 7633405.121480471 45.661, 561854.3499650637 7633405.77148047 45.561, 561855.0099650637 7633406.411480469 45.471, 561855.689965063 7633407.041480468 45.381, 561856.3799650628 7633407.651480466 45.291, 561857.0799650623 7633408.251480467 45.201, 561857.0899650623 7633408.26148047 45.191, 561857.7999650622 7633408.841480467 45.101, 561858.5199650616 7633409.411480465 45.011, 561859.2499650612 7633409.971480465 44.921, 561859.9899650607 7633410.521480466 44.831, 561860.7499650603 7633411.051480464 44.741, 561861.5099650599 7633411.571480462 44.641, 561862.2799650596 7633412.08148046 44.551, 561863.0699650588 7633412.571480462 44.461, 561863.8599650585 7633413.041480463 44.371, 561864.3499650584 7633413.331480461 44.311, 561864.6599650581 7633413.501480461 44.281, 561865.4699650577 7633413.9514804585 44.191, 561866.2799650574 7633414.381480459 44.101, 561866.4499650568 7633414.471480459 44.081, 561867.1899650568 7633414.841480458 44.021, 561867.9399650563 7633415.2014804585 43.971, 561868.7799650559 7633415.581480458 43.901, 561869.6199650554 7633415.951480456 43.851, 561870.479965055 7633416.301480454 43.791, 561871.3299650546 7633416.641480455 43.741, 561872.1999650539 7633416.961480454 43.691, 561873.0699650533 7633417.271480452 43.641, 561873.9499650528 7633417.561480455 43.591, 561874.8299650524 7633417.831480456 43.551, 561875.4399650521 7633418.011480454 43.521, 561876.5899650516 7633418.411480453 43.471, 561877.479965051 7633418.631480454 43.421, 561878.3899650506 7633418.841480451 43.381, 561879.01996505 7633418.9714804515 43.341, 561879.64996505 7633419.09148045 43.321, 561880.3499650495 7633419.221480451 43.291, 561881.1099650488 7633419.351480451 43.271, 561881.5299650488 7633419.42148045 43.261, 561882.1199650484 7633419.511480451 43.241, 561882.7199650481 7633419.621480451 43.221, 561883.059965048 7633419.671480452 43.211, 561883.9199650475 7633419.831480451 43.191, 561884.5299650473 7633419.9714804515 43.181, 561885.1299650469 7633420.121480449 43.171, 561885.7199650462 7633420.301480452 43.151, 561886.319965046 7633420.481480449 43.141, 561886.8999650457 7633420.701480452 43.131, 561887.4899650454 7633420.921480452 43.121, 561888.0599650453 7633421.171480448 43.111, 561888.6299650449 7633421.431480448 43.101, 561889.1899650445 7633421.711480448 43.101, 561889.7499650442 7633422.011480446 43.091, 561890.289965044 7633422.321480449 43.081, 561890.8299650435 7633422.6514804475 43.081, 561891.3599650431 7633423.011480442 43.071, 561891.879965043 7633423.371480446 43.071, 561892.3799650428 7633423.751480445 43.061, 561892.8799650422 7633424.151480446 43.061, 561893.3599650422 7633424.561480445 43.041, 561893.829965042 7633424.9914804455 43.021, 561894.0499650418 7633425.201480442 43.011, 561894.7299650414 7633425.861480441 42.991, 561894.7399650412 7633425.871480443 42.991, 561895.1999650411 7633426.31148044 42.971, 561895.6399650408 7633426.771480442 42.961, 561896.0899650404 7633427.221480439 42.951, 561896.5299650403 7633427.671480436 42.931, 561896.5399650405 7633427.6814804375 42.931, 561896.98996504 7633428.141480438 42.921, 561897.4299650398 7633428.611480439 42.901, 561897.4399650398 7633428.621480439 42.901, 561897.8999650397 7633429.091480439 42.891, 561898.3499650398 7633429.571480436 42.871, 561898.7399650393 7633429.991480433 42.861, 561898.9199650391 7633429.941480437 42.871)</t>
  </si>
  <si>
    <t>POLYGON Z ((561898.9199650391 7633429.941480437 42.871, 561900.5099650382 7633429.391480437 42.811, 561903.0799650367 7633429.201480439 42.731, 561906.3699650349 7633429.531480437 42.641, 561909.8999650328 7633429.711480438 42.491, 561913.099965031 7633429.8914804375 42.371, 561915.0799650298 7633430.0614804365 42.301, 561916.2999650293 7633430.001480435 42.261, 561917.7599650285 7633429.891480436 42.211, 561919.7499650272 7633429.49148044 42.181, 561921.639965026 7633429.111480438 42.141, 561927.9899650228 7633427.851480441 42.021, 561932.9299650199 7633426.851480441 41.951, 561935.2599650185 7633426.401480443 41.911, 561935.8399650181 7633426.131480445 41.901, 561936.229965018 7633425.571480444 41.931, 561936.5299650178 7633424.751480445 41.961, 561936.6199650178 7633423.921480445 41.981, 561936.7699650173 7633419.5514804525 42.221, 561936.8799650173 7633414.091480459 42.621, 561936.949965017 7633408.63148047 42.961, 561937.0799650169 7633402.571480477 43.281, 561937.1299650169 7633398.561480485 43.471, 561937.0299650169 7633395.601480486 43.591, 561936.3899650172 7633397.211480483 44.211, 561936.0799650174 7633399.921480481 44.321, 561935.5999650179 7633402.591480478 44.371, 561935.139965018 7633406.291480472 44.181, 561935.6699650179 7633408.511480469 43.721, 561935.8199650176 7633411.111480464 43.361, 561934.2799650189 7633417.071480457 43.361, 561932.9999650199 7633422.3614804465 42.891, 561921.3899650263 7633424.661480443 42.891, 561917.9899650282 7633424.171480443 43.211, 561915.3599650296 7633423.171480447 43.521, 561912.3999650313 7633421.101480448 43.911, 561909.7399650328 7633421.481480447 43.471, 561907.1599650342 7633421.651480448 43.111, 561905.0499650354 7633421.351480448 43.061, 561903.4999650364 7633420.421480451 43.511, 561902.7699650365 7633419.131480454 44.241, 561901.5699650372 7633417.9214804545 44.651, 561899.7799650383 7633416.83148046 44.991, 561898.5099650391 7633416.141480457 44.941, 561894.7599650413 7633415.671480456 44.811, 561892.4799650424 7633415.391480459 44.811, 561889.9299650439 7633415.0314804595 44.801, 561887.4999650454 7633414.711480459 44.651, 561884.6599650467 7633413.721480457 44.801, 561883.1099650478 7633413.261480461 45.311, 561881.7399650483 7633412.381480461 45.701, 561880.6799650493 7633412.471480461 45.981, 561878.8399650501 7633411.111480466 46.581, 561875.9299650517 7633409.981480465 47.131, 561874.0299650528 7633409.111480468 47.521, 561870.8999650547 7633408.551480467 48.241, 561868.6499650559 7633407.951480466 48.531, 561866.9999650568 7633406.481480469 48.951, 561864.0599650582 7633404.601480472 49.261, 561861.5199650597 7633403.791480472 49.251, 561858.8399650613 7633401.881480477 49.401, 561856.5999650625 7633400.331480482 49.421, 561854.2899650637 7633398.671480484 49.401, 561851.4199650651 7633395.981480485 49.041, 561849.5599650663 7633393.401480491 48.991, 561847.6999650674 7633390.201480491 48.911, 561846.1799650679 7633387.071480498 48.901, 561845.0099650684 7633383.781480504 48.791, 561844.1999650692 7633381.861480502 48.661, 561843.8399650693 7633378.89148051 48.641, 561843.4699650696 7633377.86148051 48.521, 561843.1599650696 7633378.481480509 48.481, 561843.2299650696 7633379.051480511 48.601, 561843.7399650693 7633381.091480505 48.651, 561844.399965069 7633383.611480504 48.631, 561845.4499650684 7633386.391480499 48.711, 561846.1499650683 7633388.081480497 48.721, 561847.1899650675 7633390.421480494 48.751, 561848.7599650668 7633393.421480487 48.721, 561849.7999650661 7633395.001480487 48.791, 561851.8399650651 7633397.50148048 48.851, 561853.2499650642 7633399.34148048 48.911, 561854.9299650637 7633401.0314804735 48.951, 561856.7299650626 7633402.881480476 48.901, 561858.5699650613 7633404.531480472 48.801, 561859.7999650608 7633405.421480471 48.721, 561860.1399650605 7633405.68148047 48.401, 561860.65996506 7633406.231480471 48.371, 561862.1399650596 7633407.461480469 48.231, 561862.4699650593 7633407.681480467 47.961, 561863.2999650589 7633408.331480463 47.961, 561864.6699650582 7633409.141480466 47.841, 561865.0999650579 7633409.411480467 47.551, 561865.9299650575 7633409.951480462 47.511, 561867.6799650566 7633410.9814804625 47.411, 561869.5999650551 7633411.891480464 47.341, 561870.039965055 7633412.201480462 46.901, 561870.9999650543 7633412.601480463 46.811, 561872.359965054 7633413.09148046 46.721, 561873.2799650534 7633413.411480458 46.681, 561873.629965053 7633413.61148046 46.471, 561874.7499650525 7633414.2414804585 46.421, 561875.6999650521 7633414.581480458 46.431, 561876.2799650518 7633414.851480458 45.901, 561877.9399650506 7633415.391480455 45.861, 561878.2099650508 7633415.541480456 45.411, 561878.5399650504 7633415.691480456 45.421, 561878.8299650501 7633415.771480457 45.021, 561879.7899650496 7633416.101480457 45.041, 561880.8899650489 7633416.291480455 45.031, 561881.6899650488 7633416.511480455 45.001, 561882.1699650484 7633416.621480454 44.701, 561882.7999650481 7633416.761480455 44.651, 561883.1599650477 7633416.851480457 44.301, 561883.5899650475 7633416.961480456 44.311, 561884.0299650473 7633417.111480456 43.971, 561884.2999650469 7633417.241480455 43.621, 561885.1299650464 7633417.411480454 43.621, 561885.1099650468 7633417.8414804535 43.131, 561883.4899650476 7633417.551480454 43.111, 561880.6599650492 7633416.951480454 43.101, 561877.6299650508 7633416.101480457 43.261, 561873.899965053 7633414.841480457 43.481, 561870.299965055 7633413.42148046 43.761, 561867.0299650567 7633411.821480461 43.961, 561863.6399650585 7633410.051480468 44.361, 561860.6899650601 7633407.821480467 44.801, 561857.9699650619 7633405.651480471 45.131, 561854.9099650637 7633402.601480475 45.631, 561852.4399650649 7633399.831480476 46.081, 561850.4399650658 7633397.061480484 46.331, 561848.2099650672 7633393.971480487 46.661, 561846.7799650676 7633391.201480493 46.991, 561845.4899650685 7633388.231480495 47.291, 561844.5599650688 7633385.4514805 47.551, 561843.6699650694 7633382.641480505 47.701, 561842.9199650699 7633379.871480506 47.771, 561842.66996507 7633378.511480511 47.821, 561843.3599650696 7633377.2914805105 48.521, 561842.9399650696 7633375.461480515 48.541, 561839.6199650716 7633375.691480516 48.111, 561839.7299650712 7633376.611480515 48.071, 561839.8599650713 7633377.521480512 48.031, 561840.0099650712 7633378.431480511 48.001, 561840.0099650713 7633378.44148051 48.001, 561840.1699650716 7633379.351480505 47.961, 561840.3499650712 7633380.251480508 47.911, 561840.549965071 7633381.151480509 47.871, 561840.759965071 7633382.051480505 47.821, 561840.9899650711 7633382.941480503 47.781, 561841.2299650706 7633383.831480501 47.731, 561841.4999650709 7633384.721480498 47.671, 561841.7799650707 7633385.601480501 47.621, 561842.0699650701 7633386.4714805 47.561, 561842.37996507 7633387.341480495 47.501, 561842.70996507 7633388.2014804995 47.441, 561843.04996507 7633389.061480492 47.381, 561843.4099650695 7633389.911480496 47.321, 561843.7899650696 7633390.751480493 47.251, 561844.1799650694 7633391.591480489 47.181, 561844.5799650691 7633392.421480489 47.111, 561845.0099650689 7633393.241480489 47.041, 561845.4399650685 7633394.051480486 46.971, 561845.8899650683 7633394.851480485 46.891, 561845.8899650685 7633394.861480487 46.891, 561846.3599650679 7633395.661480486 46.811, 561846.839965068 7633396.441480487 46.731, 561847.3399650676 7633397.221480483 46.651, 561847.3399650677 7633397.231480483 46.651, 561847.8499650677 7633398.0014804825 46.561, 561848.3699650671 7633398.75148048 46.481, 561848.9099650668 7633399.501480479 46.391, 561849.4599650666 7633400.241480483 46.301, 561849.5899650664 7633400.421480476 46.281, 561850.0199650665 7633400.9714804785 46.211, 561850.599965066 7633401.691480475 46.121, 561851.1999650653 7633402.401480475 46.021, 561851.7999650653 7633403.101480476 45.931, 561852.4099650651 7633403.781480474 45.841, 561853.0399650644 7633404.451480475 45.751, 561853.0499650644 7633404.461480473 45.751, 561853.6899650642 7633405.121480471 45.661, 561854.3499650637 7633405.77148047 45.561, 561855.0099650637 7633406.411480469 45.471, 561855.689965063 7633407.041480468 45.381, 561856.3799650628 7633407.651480466 45.291, 561857.0799650623 7633408.251480467 45.201, 561857.0899650623 7633408.26148047 45.191, 561857.7999650622 7633408.841480467 45.101, 561858.5199650616 7633409.411480465 45.011, 561859.2499650612 7633409.971480465 44.921, 561859.9899650607 7633410.521480466 44.831, 561860.7499650603 7633411.051480464 44.741, 561861.5099650599 7633411.571480462 44.641, 561862.2799650596 7633412.08148046 44.551, 561863.0699650588 7633412.571480462 44.461, 561863.8599650585 7633413.041480463 44.371, 561864.3499650584 7633413.331480461 44.311, 561864.6599650581 7633413.501480461 44.281, 561865.4699650577 7633413.9514804585 44.191, 561866.2799650574 7633414.381480459 44.101, 561866.4499650568 7633414.471480459 44.081, 561867.1899650568 7633414.841480458 44.021, 561867.9399650563 7633415.2014804585 43.971, 561868.7799650559 7633415.581480458 43.901, 561869.6199650554 7633415.951480456 43.851, 561870.479965055 7633416.301480454 43.791, 561871.3299650546 7633416.641480455 43.741, 561872.1999650539 7633416.961480454 43.691, 561873.0699650533 7633417.271480452 43.641, 561873.9499650528 7633417.561480455 43.591, 561874.8299650524 7633417.831480456 43.551, 561875.4399650521 7633418.011480454 43.521, 561876.5899650516 7633418.411480453 43.471, 561877.479965051 7633418.631480454 43.421, 561878.3899650506 7633418.841480451 43.381, 561879.01996505 7633418.9714804515 43.341, 561879.64996505 7633419.09148045 43.321, 561880.3499650495 7633419.221480451 43.291, 561881.1099650488 7633419.351480451 43.271, 561881.5299650488 7633419.42148045 43.261, 561882.1199650484 7633419.511480451 43.241, 561882.7199650481 7633419.621480451 43.221, 561883.059965048 7633419.671480452 43.211, 561883.9199650475 7633419.831480451 43.191, 561884.5299650473 7633419.9714804515 43.181, 561885.1299650469 7633420.121480449 43.171, 561885.7199650462 7633420.301480452 43.151, 561886.319965046 7633420.481480449 43.141, 561886.8999650457 7633420.701480452 43.131, 561887.4899650454 7633420.921480452 43.121, 561888.0599650453 7633421.171480448 43.111, 561888.6299650449 7633421.431480448 43.101, 561889.1899650445 7633421.711480448 43.101, 561889.7499650442 7633422.011480446 43.091, 561890.289965044 7633422.321480449 43.081, 561890.8299650435 7633422.6514804475 43.081, 561891.3599650431 7633423.011480442 43.071, 561891.879965043 7633423.371480446 43.071, 561892.3799650428 7633423.751480445 43.061, 561892.8799650422 7633424.151480446 43.061, 561893.3599650422 7633424.561480445 43.041, 561893.829965042 7633424.9914804455 43.021, 561894.0499650418 7633425.201480442 43.011, 561894.7299650414 7633425.861480441 42.991, 561894.7399650412 7633425.871480443 42.991, 561895.1999650411 7633426.31148044 42.971, 561895.6399650408 7633426.771480442 42.961, 561896.0899650404 7633427.221480439 42.951, 561896.5299650403 7633427.671480436 42.931, 561896.5399650405 7633427.6814804375 42.931, 561896.98996504 7633428.141480438 42.921, 561897.4299650398 7633428.611480439 42.901, 561897.4399650398 7633428.621480439 42.901, 561897.8999650397 7633429.091480439 42.891, 561898.3499650398 7633429.571480436 42.871, 561898.7399650393 7633429.991480433 42.861, 561898.9199650391 7633429.941480437 42.871))</t>
  </si>
  <si>
    <t>['RV83 S3D10 m1892-1899']</t>
  </si>
  <si>
    <t>LINESTRING Z (561945.6599650129 7633434.681480427 41.761, 561938.8999650166 7633436.011480426 41.961, 561938.8199650167 7633436.151480429 41.961, 561938.6999650169 7633436.481480427 41.961, 561938.6899650169 7633436.791480427 41.961, 561938.7899650167 7633437.181480427 41.951, 561939.0399650164 7633437.551480424 41.941, 561939.3899650164 7633437.831480428 41.931, 561941.2099650153 7633438.521480425 41.891, 561942.029965015 7633438.811480422 41.871, 561942.6799650147 7633438.941480422 41.861, 561943.609965014 7633438.951480422 41.851, 561946.3699650124 7633438.421480423 41.811, 561945.6599650129 7633434.681480427 41.761)</t>
  </si>
  <si>
    <t>POLYGON Z ((561945.6599650129 7633434.681480427 41.761, 561938.8999650166 7633436.011480426 41.961, 561938.8199650167 7633436.151480429 41.961, 561938.6999650169 7633436.481480427 41.961, 561938.6899650169 7633436.791480427 41.961, 561938.7899650167 7633437.181480427 41.951, 561939.0399650164 7633437.551480424 41.941, 561939.3899650164 7633437.831480428 41.931, 561941.2099650153 7633438.521480425 41.891, 561942.029965015 7633438.811480422 41.871, 561942.6799650147 7633438.941480422 41.861, 561943.609965014 7633438.951480422 41.851, 561946.3699650124 7633438.421480423 41.811, 561945.6599650129 7633434.681480427 41.761))</t>
  </si>
  <si>
    <t>['RV83 S3D1 m3668-3686']</t>
  </si>
  <si>
    <t>LINESTRING Z (561735.8899651323 7633480.471480359 48.22, 561735.4199651325 7633480.83148036 48.21, 561735.2299651328 7633481.231480356 48.23, 561735.2599651326 7633481.6814803565 48.23, 561735.4199651326 7633481.991480353 48.22, 561735.7799651326 7633482.281480356 48.21, 561735.9899651323 7633482.371480354 48.21, 561740.05996513 7633481.881480359 47.97, 561747.0599651262 7633481.161480356 47.58, 561752.4399651231 7633480.711480358 47.29, 561753.2399651227 7633480.651480361 47.24, 561753.6399651226 7633480.22148036 47.22, 561753.7499651224 7633479.791480362 47.21, 561753.5999651221 7633479.281480362 47.22, 561753.1299651227 7633478.8714803625 47.26, 561751.999965123 7633478.591480364 47.33, 561750.239965124 7633478.161480365 47.43, 561749.6099651246 7633478.081480364 47.47, 561748.9899651249 7633478.081480366 47.5, 561746.7199651258 7633478.421480363 47.62, 561739.7599651301 7633479.711480362 47.98, 561735.8899651323 7633480.471480359 48.22)</t>
  </si>
  <si>
    <t>POLYGON Z ((561735.8899651323 7633480.471480359 48.22, 561735.4199651325 7633480.83148036 48.21, 561735.2299651328 7633481.231480356 48.23, 561735.2599651326 7633481.6814803565 48.23, 561735.4199651326 7633481.991480353 48.22, 561735.7799651326 7633482.281480356 48.21, 561735.9899651323 7633482.371480354 48.21, 561740.05996513 7633481.881480359 47.97, 561747.0599651262 7633481.161480356 47.58, 561752.4399651231 7633480.711480358 47.29, 561753.2399651227 7633480.651480361 47.24, 561753.6399651226 7633480.22148036 47.22, 561753.7499651224 7633479.791480362 47.21, 561753.5999651221 7633479.281480362 47.22, 561753.1299651227 7633478.8714803625 47.26, 561751.999965123 7633478.591480364 47.33, 561750.239965124 7633478.161480365 47.43, 561749.6099651246 7633478.081480364 47.47, 561748.9899651249 7633478.081480366 47.5, 561746.7199651258 7633478.421480363 47.62, 561739.7599651301 7633479.711480362 47.98, 561735.8899651323 7633480.471480359 48.22))</t>
  </si>
  <si>
    <t>2018-01-30</t>
  </si>
  <si>
    <t>[1076]</t>
  </si>
  <si>
    <t>['KV1076 S1D1 m18-42']</t>
  </si>
  <si>
    <t>LINESTRING Z (271585.3101941595 7039953.322359013 83.447, 271583.7901941624 7039956.5923590055 83.317, 271581.84019416606 7039955.742359004 83.037, 271572.36019418354 7039964.012358972 81.357, 271570.35019418696 7039964.682358964 81.167, 271568.8101941899 7039964.862358964 81.027, 271566.4701941938 7039965.212358957 80.817, 271566.37019419414 7039965.132358958 80.807, 271566.0001941948 7039964.06235896 80.707, 271565.8701941952 7039962.942358965 80.607, 271566.1101941946 7039961.212358964 80.447, 271565.87019419495 7039960.272358963 80.367, 271565.4801941955 7039959.112358965 80.257, 271564.83019419684 7039958.472358967 80.177, 271563.78019419883 7039957.8723589685 80.067, 271562.5801942007 7039956.732358966 79.917, 271561.7601942023 7039955.002358968 79.747, 271561.2301942032 7039954.022358968 79.647, 271560.3301942048 7039952.942358971 79.517, 271559.3901942066 7039951.512358973 79.367, 271557.67019420967 7039950.29235897 79.177, 271556.3301942119 7039948.922358966 79.007, 271555.29019421386 7039948.052358968 78.887, 271554.2201942158 7039946.5323589705 78.727, 271552.36019421904 7039945.142358968 78.517, 271551.21019422123 7039943.84235897 78.357, 271549.86019422376 7039942.222358969 78.177, 271549.81019422377 7039942.05235897 78.157, 271549.61019422405 7039941.3523589745 78.097, 271549.00019422517 7039939.942358973 77.957, 271546.69019422936 7039940.612358965 78.057, 271545.4901942314 7039939.702358964 77.707, 271545.52019423153 7039937.672358967 77.557, 271545.33019423176 7039936.512358971 77.677, 271545.59019423125 7039936.222358971 77.727, 271543.8901942342 7039936.672358967 77.507, 271541.7301942382 7039936.972358963 77.397, 271539.74019424175 7039936.622358957 77.137, 271537.96019424475 7039934.922358957 77.077, 271536.81019424717 7039933.612358958 76.957, 271536.06019424816 7039932.962358961 76.927, 271535.4001942497 7039932.602358957 76.597, 271534.6001942507 7039931.752358957 76.347, 271533.6801942527 7039931.762358957 76.237, 271532.8401942544 7039930.702358957 76.077, 271531.68019425636 7039930.342358955 76.007, 271530.60019425815 7039929.7923589535 75.577, 271530.3601942586 7039929.462358955 75.627, 271530.60019425815 7039929.7923589535 75.577, 271530.1201942591 7039929.132358953 75.687, 271529.84019425965 7039927.792358956 75.307, 271529.5701942601 7039927.312358959 75.117, 271527.9501942629 7039924.532358958 74.367, 271527.35019426385 7039923.352358959 73.957, 271526.43019426544 7039922.382358959 73.597, 271526.06019426615 7039921.882358958 73.387, 271526.0601942663 7039921.872358964 73.387, 271525.8501942666 7039919.342358964 73.637, 271523.9301942701 7039916.352358966 73.207, 271522.7301942721 7039914.2123589665 73.187, 271522.82019427174 7039907.882358978 71.397, 271524.78019426827 7039903.142358989 69.947, 271527.52019426296 7039897.192359004 68.097, 271521.7501942731 7039891.592359002 67.017, 271520.5101942755 7039892.072359001 67.257, 271518.3101942798 7039895.202358994 67.877, 271516.2201942834 7039897.822358985 68.207, 271515.1401942854 7039900.112358979 68.517, 271514.6601942864 7039902.52235897 68.807, 271514.86019428633 7039906.802358966 69.407, 271515.3501942852 7039912.922358955 70.297, 271516.12019428395 7039919.132358945 71.537, 271517.0301942827 7039924.25235894 72.647, 271517.87019428133 7039927.082358936 73.237, 271519.7301942778 7039930.222358935 73.827, 271522.5901942727 7039933.272358933 74.497, 271527.4201942644 7039938.282358935 75.557, 271532.3001942552 7039942.932358933 76.367, 271538.00019424525 7039948.582358936 77.007, 271542.75019423664 7039952.832358935 77.447, 271546.81019422936 7039956.332358939 77.827, 271551.6201942208 7039960.492358941 78.327, 271555.4701942139 7039963.6623589415 78.807, 271560.3701942052 7039967.452358942 79.267, 271564.47019419784 7039970.392358948 79.727, 271569.1501941894 7039973.332358947 80.447, 271573.28019418183 7039975.522358954 80.817, 271575.2201941783 7039976.4623589525 80.877, 271576.99019417516 7039976.782358959 80.937, 271578.0701941732 7039976.472358959 81.077, 271579.1901941713 7039975.632358965 81.187, 271581.37019416696 7039971.772358973 81.747, 271583.4101941633 7039968.452358986 82.257, 271585.4301941596 7039965.072358997 82.667, 271588.0601941549 7039961.882359006 83.107, 271590.16019415064 7039959.172359012 83.347, 271590.12019415095 7039957.992359016 83.447, 271589.3201941524 7039956.602359016 83.547, 271588.59019415354 7039955.462359019 83.587, 271587.5601941556 7039954.812359015 83.717, 271585.3101941595 7039953.322359013 83.447)</t>
  </si>
  <si>
    <t>2018-02-12</t>
  </si>
  <si>
    <t>['EV136 S1D1 m978-1023']</t>
  </si>
  <si>
    <t>LINESTRING Z (44898.3730174218 6957868.47589283 -999999, 44885.0380174218 6957863.23714283 -999999, 44873.9255174218 6957859.42714283 -999999, 44854.7961424218 6957853.79151783 -999999)</t>
  </si>
  <si>
    <t>POLYGON ((44885.220843607996 6957862.771767084, 44885.20017958398 6957862.764169857, 44874.08767958398 6957858.954169856, 44874.06681606042 6957858.947523507, 44854.93744106042 6957853.311898508, 44854.65484378318 6957854.271137153, 44873.773714224146 6957859.903667448, 44884.86543960393 6957863.7065447215, 44898.190191235604 6957868.941268576, 44898.555843607995 6957868.010517083, 44885.220843607996 6957862.771767084))</t>
  </si>
  <si>
    <t>2018-02-21</t>
  </si>
  <si>
    <t>['EV105 S2D1 m3711-3919']</t>
  </si>
  <si>
    <t>LINESTRING Z (1083908.9967150944 7801627.263373193 19.331, 1083909.9614255715 7801627.046474808 19.331, 1083910.8276832078 7801626.809918349 19.331, 1083911.6742821443 7801626.671817138 19.331, 1083912.5405397955 7801626.435260674 19.331, 1083913.5052503094 7801626.21836227 19.331, 1083914.3715079778 7801625.981805802 19.331, 1083915.3558772171 7801625.666452142 19.331, 1083916.222134902 7801625.429895659 19.331, 1083917.1080513024 7801625.094883921 19.331, 1083918.0727618618 7801624.877985498 19.331, 1083918.9586782793 7801624.542973743 19.231, 1083919.923388859 7801624.32607531 19.231, 1083920.7896465852 7801624.089518802 19.231, 1083921.7740158897 7801623.774165103 19.231, 1083922.6402736334 7801623.537608587 19.231, 1083923.6246429572 7801623.222254872 19.231, 1083924.4909007165 7801622.9856983535 19.231, 1083925.475270059 7801622.670344625 19.231, 1083926.341527836 7801622.433788092 19.231, 1083927.3258971968 7801622.118434353 19.231, 1083928.3102665693 7801621.803080606 19.231, 1083929.274977244 7801621.586182122 19.231, 1083930.2593466348 7801621.270828366 19.231, 1083931.2437160355 7801620.955474607 19.231, 1083932.1099738646 7801620.718918039 19.231, 1083933.0943432846 7801620.403564269 19.231, 1083934.078712714 7801620.08821049 19.231, 1083935.0434234478 7801619.871311971 19.131, 1083936.0277928975 7801619.5559581835 19.131, 1083937.0121623576 7801619.240604381 19.131, 1083937.9768731217 7801619.023705853 19.131, 1083938.862789717 7801618.688693976 19.131, 1083939.8471592055 7801618.373340159 19.131, 1083940.8118699982 7801618.156441614 19.131, 1083941.7962395076 7801617.841087783 19.131, 1083942.780609026 7801617.525733944 19.131, 1083943.745319847 7801617.308835386 19.131, 1083944.6312364945 7801616.9738234775 19.131, 1083945.615606043 7801616.658469617 19.131, 1083946.580316894 7801616.441571049 19.131, 1083947.5646864614 7801616.126217179 19.131, 1083948.549056038 7801615.810863307 19.131, 1083949.5137669197 7801615.593964716 19.131, 1083950.3996836198 7801615.258952764 19.131, 1083951.3840532247 7801614.943598876 19.131, 1083952.3487641355 7801614.72670027 19.131, 1083953.3331337604 7801614.41134637 19.131, 1083954.317503396 7801614.095992458 19.131, 1083955.282214336 7801613.879093839 19.131, 1083956.1681310884 7801613.54408185 19.131, 1083957.1525007524 7801613.228727921 19.131, 1083958.1172117214 7801613.01182929 19.131, 1083960.0662923953 7801612.479576703 19.131, 1083961.050662098 7801612.164222758 19.131, 1083962.015373108 7801611.9473241 19.131, 1083962.9997428316 7801611.631970136 19.131, 1083963.8660009485 7801611.395413406 19.131, 1083964.8503706905 7801611.080059437 19.131, 1083965.8150817389 7801610.863160759 19.131, 1083966.7797927968 7801610.646262082 19.131, 1083967.7641625707 7801610.330908088 19.131, 1083968.728873647 7801610.114009403 19.131, 1083969.7132434398 7801609.798655398 19.131, 1083970.6779545373 7801609.581756703 19.131, 1083971.662324351 7801609.266402683 19.131, 1083972.5285825464 7801609.029845912 19.131, 1083974.4776635133 7801608.497593171 19.131, 1083975.4423746597 7801608.280694449 19.131, 1083976.4070858173 7801608.063795725 19.031, 1083977.3717969824 7801607.846897002 19.031, 1083978.3561668647 7801607.53154294 19.031, 1083979.3208780512 7801607.314644201 19.031, 1083980.2855892465 7801607.097745462 19.031, 1083981.2503004544 7801606.880846715 19.031, 1083982.2346703745 7801606.565492634 19.031, 1083984.1640928378 7801606.131695119 19.031, 1083985.1288040834 7801605.914796357 18.931, 1083986.0935153402 7801605.697897583 18.931, 1083987.1566795446 7801605.50065688 18.931, 1083988.1213908228 7801605.283758101 18.931, 1083989.086102109 7801605.066859321 18.931, 1083990.0704721112 7801604.751505197 18.831, 1083991.035183419 7801604.534606402 18.831, 1083991.999894736 7801604.31770761 18.831, 1083992.9646060625 7801604.100808812 18.831, 1083993.8308644525 7801603.864251946 18.831, 1083994.7759170937 7801603.745808481 18.731, 1083995.6421755007 7801603.509251606 18.731, 1083996.5084339166 7801603.272694726 18.731, 1083997.3746923385 7801603.036137846 18.731, 1083998.3394037215 7801602.819239021 18.731, 1083999.186003455 7801602.681137484 18.731, 1084000.0522619025 7801602.444580587 18.631, 1084001.016973313 7801602.2276817495 18.631, 1084001.883231778 7801601.991124841 18.631, 1084002.7494902506 7801601.754567937 18.631, 1084003.61574873 7801601.518011024 18.631, 1084004.580460177 7801601.301112172 18.631, 1084005.4467186737 7801601.064555253 18.531, 1084006.3129771783 7801600.827998329 18.531, 1084007.159576985 7801600.689896758 18.531, 1084008.025835505 7801600.453339828 18.531, 1084008.9905469976 7801600.236440955 18.531, 1084009.8568055353 7801599.999884014 18.531, 1084010.72306408 7801599.763327066 18.431, 1084011.5893226336 7801599.526770117 18.431, 1084012.5540341623 7801599.309871228 18.431, 1084013.4202927325 7801599.073314271 18.431, 1084014.2865513097 7801598.836757306 18.431, 1084015.152809895 7801598.600200344 18.431, 1084016.0190684882 7801598.363643372 18.331, 1084016.9049857957 7801598.028631023 18.331, 1084017.7712444053 7801597.792074042 18.331, 1084018.735955997 7801597.57517512 18.331, 1084019.6022146232 7801597.338618132 18.331, 1084020.4684732566 7801597.10206114 18.331, 1084021.334731899 7801596.865504141 18.231, 1084022.2009905484 7801596.628947139 18.231, 1084023.0672492052 7801596.392390138 18.231, 1084023.933507872 7801596.155833122 18.231, 1084024.81942525 7801595.820820732 18.231, 1084025.6856839308 7801595.58426371 18.231, 1084026.55194262 7801595.347706687 18.231, 1084027.5166543017 7801595.130807722 18.231, 1084028.4025717126 7801594.795795306 18.231, 1084029.268830426 7801594.559238267 18.231, 1084030.1350891483 7801594.322681222 18.231, 1084031.0013478776 7801594.086124177 18.131, 1084031.8676066138 7801593.849567128 18.131, 1084032.753524065 7801593.514554685 18.131, 1084033.6197828176 7801593.277997621 18.131, 1084034.505700284 7801592.942985165 18.131, 1084035.3719590516 7801592.706428099 18.131, 1084036.2382178297 7801592.46987102 18.131, 1084037.1241353173 7801592.134858552 18.131, 1084037.9903941113 7801591.898301464 18.131, 1084038.8566529113 7801591.661744378 18.131, 1084039.742570423 7801591.326731888 18.131, 1084040.6088292394 7801591.090174794 18.131, 1084041.4750880627 7801590.8536176905 18.131, 1084042.3610056 7801590.518605182 18.131, 1084043.2272644385 7801590.282048072 18.131, 1084044.113181991 7801589.947035552 18.031, 1084044.979440847 7801589.710478433 18.031, 1084045.766905407 7801589.355807844 18.031, 1084046.6331642787 7801589.119250707 18.031, 1084047.5190818596 7801588.78423817 18.031, 1084048.385340747 7801588.547681025 18.031, 1084049.271258344 7801588.212668474 18.031, 1084050.1375172457 7801587.976111326 18.031, 1084051.0234348588 7801587.64109876 18.031, 1084051.8896937747 7801587.404541604 18.031, 1084052.7756114053 7801587.069529019 18.031, 1084053.6418703375 7801586.832971858 18.031, 1084054.429334966 7801586.478301209 18.031, 1084055.315252617 7801586.143288613 18.031, 1084056.1815115726 7801585.906731432 18.031, 1084057.0674292399 7801585.571718822 18.031, 1084057.9533469146 7801585.236706209 18.031, 1084058.8196058949 7801585.000149009 18.031, 1084059.6070705615 7801584.645478329 17.931, 1084060.4733295562 7801584.408921123 17.931, 1084061.3592472612 7801584.073908487 17.931, 1084062.245164972 7801583.738895845 17.931, 1084063.131082693 7801583.403883195 17.931, 1084063.8988886918 7801583.147667906 17.931, 1084064.7848064266 7801582.812655249 17.931, 1084065.6707241694 7801582.477642581 17.931, 1084066.5566419202 7801582.1426299075 17.931, 1084067.3244479431 7801581.886414605 17.931, 1084068.2103657098 7801581.551401915 17.931, 1084069.096283482 7801581.2163892295 17.931, 1084069.9822012624 7801580.881376529 17.931, 1084070.7500073137 7801580.625161197 17.931, 1084071.6359251086 7801580.290148496 17.931, 1084072.5218429118 7801579.955135777 17.931, 1084073.3093076833 7801579.6004650025 17.931, 1084074.1952255014 7801579.26545227 17.931, 1084075.0811433257 7801578.930439537 17.831, 1084075.868608116 7801578.575768744 17.831, 1084076.7545259562 7801578.240755992 17.831, 1084077.6207851034 7801578.0041986825 17.831, 1084078.408249913 7801577.649527869 17.831, 1084079.2941677757 7801577.314515102 17.831, 1084080.1800856448 7801576.979502331 17.831, 1084080.9675504745 7801576.624831501 17.831, 1084081.8534683576 7801576.289818717 17.831, 1084082.6409331998 7801575.93514787 17.831, 1084083.5268510992 7801575.600135074 17.831, 1084084.4127690047 7801575.265122271 17.831, 1084085.2002338667 7801574.910451407 17.831, 1084086.0861517866 7801574.575438593 17.831, 1084086.873616661 7801574.220767717 17.831, 1084087.7595345955 7801573.885754887 17.831, 1084088.6454525385 7801573.550742055 17.831, 1084089.4329174315 7801573.196071165 17.731, 1084090.3188353889 7801572.861058314 17.731, 1084091.1259589922 7801572.407931947 17.731, 1084092.0118769633 7801572.072919089 17.731, 1084092.799341881 7801571.718248167 17.731, 1084093.6852598672 7801571.383235293 17.731, 1084094.4727247977 7801571.028564361 17.731, 1084095.3586427988 7801570.693551473 17.731, 1084096.1461077416 7801570.338880528 17.731, 1084097.0320257568 7801570.003867628 17.731, 1084097.8391494076 7801569.550741208 17.731, 1084098.7250674367 7801569.215728294 17.731, 1084099.5125324042 7801568.861057326 17.731, 1084100.3984504477 7801568.526044403 17.731, 1084101.2055741255 7801568.072917944 17.731, 1084101.9930391102 7801567.7182469545 17.731, 1084102.8789571756 7801567.383234012 17.731, 1084103.6664221734 7801567.028563009 17.731, 1084104.5719989473 7801566.595094577 17.631, 1084105.3594639585 7801566.240423563 17.631, 1084106.2453820521 7801565.905410589 17.631, 1084107.0328470743 7801565.550739563 17.631, 1084106.0877932871 7801565.669183529 17.631, 1084105.1427395106 7801565.787627492 17.531, 1084104.1976857423 7801565.906071455 17.531, 1084103.331426364 7801566.142628944 17.431, 1084102.5636200667 7801566.3988444805 17.431, 1084101.7170193982 7801566.536946485 17.431, 1084100.9492131136 7801566.793162015 17.431, 1084100.0829537658 7801567.029719481 17.431, 1084099.1970357304 7801567.364732423 17.431, 1084098.291459007 7801567.798200822 17.431, 1084097.4055409865 7801568.133213748 17.431, 1084096.4999642777 7801568.566682129 17.431, 1084095.6140462728 7801568.901695046 17.431, 1084094.7084695797 7801569.335163411 17.431, 1084093.9210046532 7801569.689834359 17.431, 1084093.03508667 7801570.024847253 17.431, 1084092.129509998 7801570.458315597 17.431, 1084091.3420450906 7801570.812986528 17.431, 1084090.456127131 7801571.147999396 17.431, 1084088.7827442894 7801571.837683172 17.531, 1084087.896826351 7801572.172696024 17.531, 1084087.109361474 7801572.527366925 17.531, 1084086.2234435491 7801572.862379767 17.531, 1084085.4163199894 7801573.315506104 17.531, 1084084.5304020792 7801573.650518929 17.531, 1084083.742937229 7801574.005189802 17.631, 1084081.9711014456 7801574.675215422 17.631, 1084081.085183564 7801575.010228222 17.631, 1084080.1796069944 7801575.443696463 17.631, 1084079.1952360838 7801575.759051193 17.631, 1084069.961904433 7801578.932091039 17.631, 1084069.0956453588 7801579.168648322 17.631, 1084068.1309332591 7801579.385547545 17.631, 1084067.1465624697 7801579.700902197 17.631, 1084066.2803034212 7801579.937459463 17.631, 1084065.2959326503 7801580.252814104 17.631, 1084064.4100149195 7801580.58782679 17.631, 1084063.445302867 7801580.804725983 17.531, 1084062.5593851525 7801581.13973866 17.531, 1084061.6931261453 7801581.3762959065 17.531, 1084060.708755421 7801581.691650512 17.531, 1084059.822837731 7801582.026663166 17.531, 1084058.9565787474 7801582.263220402 17.531, 1084057.9722080505 7801582.57857499 17.531, 1084057.0862903842 7801582.91358763 17.531, 1084056.2200314263 7801583.150144843 17.531, 1084055.3144550747 7801583.58361289 17.531, 1084054.3300844152 7801583.89896745 17.531, 1084053.444166781 7801584.233980067 17.531, 1084052.5582491541 7801584.568992674 17.531, 1084051.6723315357 7801584.904005274 17.531, 1084050.6879609115 7801585.219359811 17.531, 1084049.7823846082 7801585.652827812 17.531, 1084040.8245965189 7801588.471360219 17.431, 1084039.938679004 7801588.806372741 17.431, 1084039.0724202 7801589.042929861 17.431, 1084038.1077084045 7801589.259828914 17.431, 1084037.2414496166 7801589.496386021 17.431, 1084036.375190836 7801589.7329431325 17.431, 1084035.5089320648 7801589.96950023 17.431, 1084034.524561604 7801590.284854662 17.431, 1084033.540191153 7801590.600209085 17.431, 1084032.6739324064 7801590.836766173 17.431, 1084031.6895619752 7801591.152120583 17.431, 1084030.7051915545 7801591.467474985 17.431, 1084029.81927413 7801591.802487448 17.431, 1084020.0935227636 7801594.365298822 17.231, 1084019.1288111627 7801594.582197782 17.231, 1084018.1837582742 7801594.700641364 17.231, 1084017.2190466933 7801594.917540315 17.131, 1084016.1558821495 7801595.114781203 17.131, 1084015.1911705895 7801595.331680146 17.131, 1084014.2461177409 7801595.450123719 17.131, 1084013.2814062005 7801595.667022654 17.131, 1084012.4151476398 7801595.903579641 17.131, 1084011.4504361195 7801596.120478567 17.131, 1084010.485724607 7801596.337377496 17.031, 1084009.5210131055 7801596.554276413 17.031, 1084008.556301615 7801596.771175329 17.031, 1084007.6112488355 7801596.889618878 17.031, 1084006.6465373638 7801597.106517783 17.031, 1084005.7802788648 7801597.343074746 17.031, 1084004.8155674115 7801597.559973646 17.031, 1084003.850855969 7801597.776872534 17.031, 1084002.8861445365 7801597.993771429 17.031, 1084001.921433114 7801598.210670316 16.931, 1084000.9763804022 7801598.329113844 17.031, 1084000.0116689992 7801598.546012725 17.031, 1083999.0469576064 7801598.762911598 17.031, 1083998.0822462244 7801598.979810465 17.031, 1083997.1175348512 7801599.19670933 17.031, 1083996.152823488 7801599.413608194 17.031, 1083995.2077708365 7801599.532051703 17.031, 1083994.243059494 7801599.748950553 17.131, 1083993.2783481614 7801599.965849402 17.131, 1083992.313636838 7801600.182748251 17.131, 1083991.3489255249 7801600.399647092 17.131, 1083990.38421422 7801600.616545932 17.131, 1083989.321049986 7801600.813786701 17.131, 1083988.3759974034 7801600.932230197 17.131, 1083987.4112861315 7801601.149129021 17.231, 1083986.4465748696 7801601.366027843 17.231, 1083985.4818636184 7801601.582926656 17.231, 1083984.536811076 7801601.701370135 17.231, 1083983.6705527802 7801601.937927001 17.231, 1083982.8830887266 7801602.292597258 17.331, 1083982.0168304448 7801602.529154117 17.331, 1083981.1505721714 7801602.765710976 17.331, 1083980.166202274 7801603.0810650885 17.431, 1083979.2014910853 7801603.297963876 17.531, 1083978.315574137 7801603.632976042 17.531, 1083977.3508629678 7801603.849874818 17.631, 1083968.1368809012 7801605.900583949 18.031, 1083967.270622755 7801606.137140739 18.031, 1083966.483158832 7801606.491810896 18.131, 1083965.6169007018 7801606.728367675 18.131, 1083964.8294367916 7801607.083037822 18.231, 1083963.9631786752 7801607.319594593 18.231, 1083963.0772618644 7801607.654606667 18.231, 1083962.2897979752 7801608.0092768 18.331, 1083961.4235398816 7801608.2458335515 18.331, 1083960.5376230944 7801608.580845609 18.331, 1083959.651706315 7801608.9158576615 18.331, 1083958.765789542 7801609.25086971 18.331, 1083957.8798727791 7801609.585881745 18.331, 1083956.974297321 7801610.019349081 18.331, 1083947.799953413 7801612.89701564 18.331, 1083946.933695449 7801613.13357231 18.331, 1083945.9689845997 7801613.35047092 18.331, 1083945.0042737615 7801613.567369524 18.331, 1083944.1183571192 7801613.902381483 18.331, 1083943.1536462998 7801614.119280074 18.331, 1083942.1889354894 7801614.336178668 18.331, 1083940.2595138988 7801614.76997584 18.431, 1083939.294803118 7801614.986874419 18.431, 1083938.330092348 7801615.203772996 18.431, 1083937.3653815866 7801615.420671567 18.431, 1083936.4006708374 7801615.637570131 18.431, 1083935.4359600958 7801615.854468692 18.431, 1083934.4712493662 7801616.071367252 18.431, 1083933.4868799443 7801616.386721075 18.431, 1083932.4237163549 7801616.583961567 18.431, 1083931.459005656 7801616.800860109 18.431, 1083930.4942949652 7801617.017758653 18.431, 1083929.5295842867 7801617.234657183 18.431, 1083928.6633264897 7801617.47121378 18.531, 1083927.6986158295 7801617.6881123055 18.531, 1083926.8323580495 7801617.924668887 18.531, 1083925.9661002774 7801618.16122547 18.531, 1083925.0998425132 7801618.397782043 18.531, 1083924.135131889 7801618.614680555 18.531, 1083923.2492154397 7801618.949692381 18.531, 1083922.3829577006 7801619.186248943 18.531, 1083921.4182471037 7801619.403147439 18.531, 1083920.5519893821 7801619.639703991 18.531, 1083919.6857316664 7801619.876260537 18.531, 1083918.7210210986 7801620.093159022 18.531, 1083917.9138988568 7801620.546284132 18.631, 1083917.1067766196 7801620.99940924 18.631, 1083916.1815428275 7801621.531331531 18.731, 1083915.3744206023 7801621.9844566155 18.731, 1083914.5672983835 7801622.437581694 18.831, 1083913.7601761695 7801622.890706764 18.831, 1083912.8349424012 7801623.422629017 18.931, 1083912.0278201988 7801623.875754068 18.931, 1083911.2206980018 7801624.32887911 19.031, 1083910.3151229583 7801624.762346086 19.131, 1083909.5080007724 7801625.215471114 19.131, 1083909.370389834 7801625.904657834 19.231, 1083909.232778892 7801626.593844545 19.231, 1083908.9967150944 7801627.263373193 19.331)</t>
  </si>
  <si>
    <t>POLYGON Z ((1083908.9967150944 7801627.263373193 19.331, 1083909.9614255715 7801627.046474808 19.331, 1083910.8276832078 7801626.809918349 19.331, 1083911.6742821443 7801626.671817138 19.331, 1083912.5405397955 7801626.435260674 19.331, 1083913.5052503094 7801626.21836227 19.331, 1083914.3715079778 7801625.981805802 19.331, 1083915.3558772171 7801625.666452142 19.331, 1083916.222134902 7801625.429895659 19.331, 1083917.1080513024 7801625.094883921 19.331, 1083918.0727618618 7801624.877985498 19.331, 1083918.9586782793 7801624.542973743 19.231, 1083919.923388859 7801624.32607531 19.231, 1083920.7896465852 7801624.089518802 19.231, 1083921.7740158897 7801623.774165103 19.231, 1083922.6402736334 7801623.537608587 19.231, 1083923.6246429572 7801623.222254872 19.231, 1083924.4909007165 7801622.9856983535 19.231, 1083925.475270059 7801622.670344625 19.231, 1083926.341527836 7801622.433788092 19.231, 1083927.3258971968 7801622.118434353 19.231, 1083928.3102665693 7801621.803080606 19.231, 1083929.274977244 7801621.586182122 19.231, 1083930.2593466348 7801621.270828366 19.231, 1083931.2437160355 7801620.955474607 19.231, 1083932.1099738646 7801620.718918039 19.231, 1083933.0943432846 7801620.403564269 19.231, 1083934.078712714 7801620.08821049 19.231, 1083935.0434234478 7801619.871311971 19.131, 1083936.0277928975 7801619.5559581835 19.131, 1083937.0121623576 7801619.240604381 19.131, 1083937.9768731217 7801619.023705853 19.131, 1083938.862789717 7801618.688693976 19.131, 1083939.8471592055 7801618.373340159 19.131, 1083940.8118699982 7801618.156441614 19.131, 1083941.7962395076 7801617.841087783 19.131, 1083942.780609026 7801617.525733944 19.131, 1083943.745319847 7801617.308835386 19.131, 1083944.6312364945 7801616.9738234775 19.131, 1083945.615606043 7801616.658469617 19.131, 1083946.580316894 7801616.441571049 19.131, 1083947.5646864614 7801616.126217179 19.131, 1083948.549056038 7801615.810863307 19.131, 1083949.5137669197 7801615.593964716 19.131, 1083950.3996836198 7801615.258952764 19.131, 1083951.3840532247 7801614.943598876 19.131, 1083952.3487641355 7801614.72670027 19.131, 1083953.3331337604 7801614.41134637 19.131, 1083954.317503396 7801614.095992458 19.131, 1083955.282214336 7801613.879093839 19.131, 1083956.1681310884 7801613.54408185 19.131, 1083957.1525007524 7801613.228727921 19.131, 1083958.1172117214 7801613.01182929 19.131, 1083960.0662923953 7801612.479576703 19.131, 1083961.050662098 7801612.164222758 19.131, 1083962.015373108 7801611.9473241 19.131, 1083962.9997428316 7801611.631970136 19.131, 1083963.8660009485 7801611.395413406 19.131, 1083964.8503706905 7801611.080059437 19.131, 1083965.8150817389 7801610.863160759 19.131, 1083966.7797927968 7801610.646262082 19.131, 1083967.7641625707 7801610.330908088 19.131, 1083968.728873647 7801610.114009403 19.131, 1083969.7132434398 7801609.798655398 19.131, 1083970.6779545373 7801609.581756703 19.131, 1083971.662324351 7801609.266402683 19.131, 1083972.5285825464 7801609.029845912 19.131, 1083974.4776635133 7801608.497593171 19.131, 1083975.4423746597 7801608.280694449 19.131, 1083976.4070858173 7801608.063795725 19.031, 1083977.3717969824 7801607.846897002 19.031, 1083978.3561668647 7801607.53154294 19.031, 1083979.3208780512 7801607.314644201 19.031, 1083980.2855892465 7801607.097745462 19.031, 1083981.2503004544 7801606.880846715 19.031, 1083982.2346703745 7801606.565492634 19.031, 1083984.1640928378 7801606.131695119 19.031, 1083985.1288040834 7801605.914796357 18.931, 1083986.0935153402 7801605.697897583 18.931, 1083987.1566795446 7801605.50065688 18.931, 1083988.1213908228 7801605.283758101 18.931, 1083989.086102109 7801605.066859321 18.931, 1083990.0704721112 7801604.751505197 18.831, 1083991.035183419 7801604.534606402 18.831, 1083991.999894736 7801604.31770761 18.831, 1083992.9646060625 7801604.100808812 18.831, 1083993.8308644525 7801603.864251946 18.831, 1083994.7759170937 7801603.745808481 18.731, 1083995.6421755007 7801603.509251606 18.731, 1083996.5084339166 7801603.272694726 18.731, 1083997.3746923385 7801603.036137846 18.731, 1083998.3394037215 7801602.819239021 18.731, 1083999.186003455 7801602.681137484 18.731, 1084000.0522619025 7801602.444580587 18.631, 1084001.016973313 7801602.2276817495 18.631, 1084001.883231778 7801601.991124841 18.631, 1084002.7494902506 7801601.754567937 18.631, 1084003.61574873 7801601.518011024 18.631, 1084004.580460177 7801601.301112172 18.631, 1084005.4467186737 7801601.064555253 18.531, 1084006.3129771783 7801600.827998329 18.531, 1084007.159576985 7801600.689896758 18.531, 1084008.025835505 7801600.453339828 18.531, 1084008.9905469976 7801600.236440955 18.531, 1084009.8568055353 7801599.999884014 18.531, 1084010.72306408 7801599.763327066 18.431, 1084011.5893226336 7801599.526770117 18.431, 1084012.5540341623 7801599.309871228 18.431, 1084013.4202927325 7801599.073314271 18.431, 1084014.2865513097 7801598.836757306 18.431, 1084015.152809895 7801598.600200344 18.431, 1084016.0190684882 7801598.363643372 18.331, 1084016.9049857957 7801598.028631023 18.331, 1084017.7712444053 7801597.792074042 18.331, 1084018.735955997 7801597.57517512 18.331, 1084019.6022146232 7801597.338618132 18.331, 1084020.4684732566 7801597.10206114 18.331, 1084021.334731899 7801596.865504141 18.231, 1084022.2009905484 7801596.628947139 18.231, 1084023.0672492052 7801596.392390138 18.231, 1084023.933507872 7801596.155833122 18.231, 1084024.81942525 7801595.820820732 18.231, 1084025.6856839308 7801595.58426371 18.231, 1084026.55194262 7801595.347706687 18.231, 1084027.5166543017 7801595.130807722 18.231, 1084028.4025717126 7801594.795795306 18.231, 1084029.268830426 7801594.559238267 18.231, 1084030.1350891483 7801594.322681222 18.231, 1084031.0013478776 7801594.086124177 18.131, 1084031.8676066138 7801593.849567128 18.131, 1084032.753524065 7801593.514554685 18.131, 1084033.6197828176 7801593.277997621 18.131, 1084034.505700284 7801592.942985165 18.131, 1084035.3719590516 7801592.706428099 18.131, 1084036.2382178297 7801592.46987102 18.131, 1084037.1241353173 7801592.134858552 18.131, 1084037.9903941113 7801591.898301464 18.131, 1084038.8566529113 7801591.661744378 18.131, 1084039.742570423 7801591.326731888 18.131, 1084040.6088292394 7801591.090174794 18.131, 1084041.4750880627 7801590.8536176905 18.131, 1084042.3610056 7801590.518605182 18.131, 1084043.2272644385 7801590.282048072 18.131, 1084044.113181991 7801589.947035552 18.031, 1084044.979440847 7801589.710478433 18.031, 1084045.766905407 7801589.355807844 18.031, 1084046.6331642787 7801589.119250707 18.031, 1084047.5190818596 7801588.78423817 18.031, 1084048.385340747 7801588.547681025 18.031, 1084049.271258344 7801588.212668474 18.031, 1084050.1375172457 7801587.976111326 18.031, 1084051.0234348588 7801587.64109876 18.031, 1084051.8896937747 7801587.404541604 18.031, 1084052.7756114053 7801587.069529019 18.031, 1084053.6418703375 7801586.832971858 18.031, 1084054.429334966 7801586.478301209 18.031, 1084055.315252617 7801586.143288613 18.031, 1084056.1815115726 7801585.906731432 18.031, 1084057.0674292399 7801585.571718822 18.031, 1084057.9533469146 7801585.236706209 18.031, 1084058.8196058949 7801585.000149009 18.031, 1084059.6070705615 7801584.645478329 17.931, 1084060.4733295562 7801584.408921123 17.931, 1084061.3592472612 7801584.073908487 17.931, 1084062.245164972 7801583.738895845 17.931, 1084063.131082693 7801583.403883195 17.931, 1084063.8988886918 7801583.147667906 17.931, 1084064.7848064266 7801582.812655249 17.931, 1084065.6707241694 7801582.477642581 17.931, 1084066.5566419202 7801582.1426299075 17.931, 1084067.3244479431 7801581.886414605 17.931, 1084068.2103657098 7801581.551401915 17.931, 1084069.096283482 7801581.2163892295 17.931, 1084069.9822012624 7801580.881376529 17.931, 1084070.7500073137 7801580.625161197 17.931, 1084071.6359251086 7801580.290148496 17.931, 1084072.5218429118 7801579.955135777 17.931, 1084073.3093076833 7801579.6004650025 17.931, 1084074.1952255014 7801579.26545227 17.931, 1084075.0811433257 7801578.930439537 17.831, 1084075.868608116 7801578.575768744 17.831, 1084076.7545259562 7801578.240755992 17.831, 1084077.6207851034 7801578.0041986825 17.831, 1084078.408249913 7801577.649527869 17.831, 1084079.2941677757 7801577.314515102 17.831, 1084080.1800856448 7801576.979502331 17.831, 1084080.9675504745 7801576.624831501 17.831, 1084081.8534683576 7801576.289818717 17.831, 1084082.6409331998 7801575.93514787 17.831, 1084083.5268510992 7801575.600135074 17.831, 1084084.4127690047 7801575.265122271 17.831, 1084085.2002338667 7801574.910451407 17.831, 1084086.0861517866 7801574.575438593 17.831, 1084086.873616661 7801574.220767717 17.831, 1084087.7595345955 7801573.885754887 17.831, 1084088.6454525385 7801573.550742055 17.831, 1084089.4329174315 7801573.196071165 17.731, 1084090.3188353889 7801572.861058314 17.731, 1084091.1259589922 7801572.407931947 17.731, 1084092.0118769633 7801572.072919089 17.731, 1084092.799341881 7801571.718248167 17.731, 1084093.6852598672 7801571.383235293 17.731, 1084094.4727247977 7801571.028564361 17.731, 1084095.3586427988 7801570.693551473 17.731, 1084096.1461077416 7801570.338880528 17.731, 1084097.0320257568 7801570.003867628 17.731, 1084097.8391494076 7801569.550741208 17.731, 1084098.7250674367 7801569.215728294 17.731, 1084099.5125324042 7801568.861057326 17.731, 1084100.3984504477 7801568.526044403 17.731, 1084101.2055741255 7801568.072917944 17.731, 1084101.9930391102 7801567.7182469545 17.731, 1084102.8789571756 7801567.383234012 17.731, 1084103.6664221734 7801567.028563009 17.731, 1084104.5719989473 7801566.595094577 17.631, 1084105.3594639585 7801566.240423563 17.631, 1084106.2453820521 7801565.905410589 17.631, 1084107.0328470743 7801565.550739563 17.631, 1084106.0877932871 7801565.669183529 17.631, 1084105.1427395106 7801565.787627492 17.531, 1084104.1976857423 7801565.906071455 17.531, 1084103.331426364 7801566.142628944 17.431, 1084102.5636200667 7801566.3988444805 17.431, 1084101.7170193982 7801566.536946485 17.431, 1084100.9492131136 7801566.793162015 17.431, 1084100.0829537658 7801567.029719481 17.431, 1084099.1970357304 7801567.364732423 17.431, 1084098.291459007 7801567.798200822 17.431, 1084097.4055409865 7801568.133213748 17.431, 1084096.4999642777 7801568.566682129 17.431, 1084095.6140462728 7801568.901695046 17.431, 1084094.7084695797 7801569.335163411 17.431, 1084093.9210046532 7801569.689834359 17.431, 1084093.03508667 7801570.024847253 17.431, 1084092.129509998 7801570.458315597 17.431, 1084091.3420450906 7801570.812986528 17.431, 1084090.456127131 7801571.147999396 17.431, 1084088.7827442894 7801571.837683172 17.531, 1084087.896826351 7801572.172696024 17.531, 1084087.109361474 7801572.527366925 17.531, 1084086.2234435491 7801572.862379767 17.531, 1084085.4163199894 7801573.315506104 17.531, 1084084.5304020792 7801573.650518929 17.531, 1084083.742937229 7801574.005189802 17.631, 1084081.9711014456 7801574.675215422 17.631, 1084081.085183564 7801575.010228222 17.631, 1084080.1796069944 7801575.443696463 17.631, 1084079.1952360838 7801575.759051193 17.631, 1084069.961904433 7801578.932091039 17.631, 1084069.0956453588 7801579.168648322 17.631, 1084068.1309332591 7801579.385547545 17.631, 1084067.1465624697 7801579.700902197 17.631, 1084066.2803034212 7801579.937459463 17.631, 1084065.2959326503 7801580.252814104 17.631, 1084064.4100149195 7801580.58782679 17.631, 1084063.445302867 7801580.804725983 17.531, 1084062.5593851525 7801581.13973866 17.531, 1084061.6931261453 7801581.3762959065 17.531, 1084060.708755421 7801581.691650512 17.531, 1084059.822837731 7801582.026663166 17.531, 1084058.9565787474 7801582.263220402 17.531, 1084057.9722080505 7801582.57857499 17.531, 1084057.0862903842 7801582.91358763 17.531, 1084056.2200314263 7801583.150144843 17.531, 1084055.3144550747 7801583.58361289 17.531, 1084054.3300844152 7801583.89896745 17.531, 1084053.444166781 7801584.233980067 17.531, 1084052.5582491541 7801584.568992674 17.531, 1084051.6723315357 7801584.904005274 17.531, 1084050.6879609115 7801585.219359811 17.531, 1084049.7823846082 7801585.652827812 17.531, 1084040.8245965189 7801588.471360219 17.431, 1084039.938679004 7801588.806372741 17.431, 1084039.0724202 7801589.042929861 17.431, 1084038.1077084045 7801589.259828914 17.431, 1084037.2414496166 7801589.496386021 17.431, 1084036.375190836 7801589.7329431325 17.431, 1084035.5089320648 7801589.96950023 17.431, 1084034.524561604 7801590.284854662 17.431, 1084033.540191153 7801590.600209085 17.431, 1084032.6739324064 7801590.836766173 17.431, 1084031.6895619752 7801591.152120583 17.431, 1084030.7051915545 7801591.467474985 17.431, 1084029.81927413 7801591.802487448 17.431, 1084020.0935227636 7801594.365298822 17.231, 1084019.1288111627 7801594.582197782 17.231, 1084018.1837582742 7801594.700641364 17.231, 1084017.2190466933 7801594.917540315 17.131, 1084016.1558821495 7801595.114781203 17.131, 1084015.1911705895 7801595.331680146 17.131, 1084014.2461177409 7801595.450123719 17.131, 1084013.2814062005 7801595.667022654 17.131, 1084012.4151476398 7801595.903579641 17.131, 1084011.4504361195 7801596.120478567 17.131, 1084010.485724607 7801596.337377496 17.031, 1084009.5210131055 7801596.554276413 17.031, 1084008.556301615 7801596.771175329 17.031, 1084007.6112488355 7801596.889618878 17.031, 1084006.6465373638 7801597.106517783 17.031, 1084005.7802788648 7801597.343074746 17.031, 1084004.8155674115 7801597.559973646 17.031, 1084003.850855969 7801597.776872534 17.031, 1084002.8861445365 7801597.993771429 17.031, 1084001.921433114 7801598.210670316 16.931, 1084000.9763804022 7801598.329113844 17.031, 1084000.0116689992 7801598.546012725 17.031, 1083999.0469576064 7801598.762911598 17.031, 1083998.0822462244 7801598.979810465 17.031, 1083997.1175348512 7801599.19670933 17.031, 1083996.152823488 7801599.413608194 17.031, 1083995.2077708365 7801599.532051703 17.031, 1083994.243059494 7801599.748950553 17.131, 1083993.2783481614 7801599.965849402 17.131, 1083992.313636838 7801600.182748251 17.131, 1083991.3489255249 7801600.399647092 17.131, 1083990.38421422 7801600.616545932 17.131, 1083989.321049986 7801600.813786701 17.131, 1083988.3759974034 7801600.932230197 17.131, 1083987.4112861315 7801601.149129021 17.231, 1083986.4465748696 7801601.366027843 17.231, 1083985.4818636184 7801601.582926656 17.231, 1083984.536811076 7801601.701370135 17.231, 1083983.6705527802 7801601.937927001 17.231, 1083982.8830887266 7801602.292597258 17.331, 1083982.0168304448 7801602.529154117 17.331, 1083981.1505721714 7801602.765710976 17.331, 1083980.166202274 7801603.0810650885 17.431, 1083979.2014910853 7801603.297963876 17.531, 1083978.315574137 7801603.632976042 17.531, 1083977.3508629678 7801603.849874818 17.631, 1083968.1368809012 7801605.900583949 18.031, 1083967.270622755 7801606.137140739 18.031, 1083966.483158832 7801606.491810896 18.131, 1083965.6169007018 7801606.728367675 18.131, 1083964.8294367916 7801607.083037822 18.231, 1083963.9631786752 7801607.319594593 18.231, 1083963.0772618644 7801607.654606667 18.231, 1083962.2897979752 7801608.0092768 18.331, 1083961.4235398816 7801608.2458335515 18.331, 1083960.5376230944 7801608.580845609 18.331, 1083959.651706315 7801608.9158576615 18.331, 1083958.765789542 7801609.25086971 18.331, 1083957.8798727791 7801609.585881745 18.331, 1083956.974297321 7801610.019349081 18.331, 1083947.799953413 7801612.89701564 18.331, 1083946.933695449 7801613.13357231 18.331, 1083945.9689845997 7801613.35047092 18.331, 1083945.0042737615 7801613.567369524 18.331, 1083944.1183571192 7801613.902381483 18.331, 1083943.1536462998 7801614.119280074 18.331, 1083942.1889354894 7801614.336178668 18.331, 1083940.2595138988 7801614.76997584 18.431, 1083939.294803118 7801614.986874419 18.431, 1083938.330092348 7801615.203772996 18.431, 1083937.3653815866 7801615.420671567 18.431, 1083936.4006708374 7801615.637570131 18.431, 1083935.4359600958 7801615.854468692 18.431, 1083934.4712493662 7801616.071367252 18.431, 1083933.4868799443 7801616.386721075 18.431, 1083932.4237163549 7801616.583961567 18.431, 1083931.459005656 7801616.800860109 18.431, 1083930.4942949652 7801617.017758653 18.431, 1083929.5295842867 7801617.234657183 18.431, 1083928.6633264897 7801617.47121378 18.531, 1083927.6986158295 7801617.6881123055 18.531, 1083926.8323580495 7801617.924668887 18.531, 1083925.9661002774 7801618.16122547 18.531, 1083925.0998425132 7801618.397782043 18.531, 1083924.135131889 7801618.614680555 18.531, 1083923.2492154397 7801618.949692381 18.531, 1083922.3829577006 7801619.186248943 18.531, 1083921.4182471037 7801619.403147439 18.531, 1083920.5519893821 7801619.639703991 18.531, 1083919.6857316664 7801619.876260537 18.531, 1083918.7210210986 7801620.093159022 18.531, 1083917.9138988568 7801620.546284132 18.631, 1083917.1067766196 7801620.99940924 18.631, 1083916.1815428275 7801621.531331531 18.731, 1083915.3744206023 7801621.9844566155 18.731, 1083914.5672983835 7801622.437581694 18.831, 1083913.7601761695 7801622.890706764 18.831, 1083912.8349424012 7801623.422629017 18.931, 1083912.0278201988 7801623.875754068 18.931, 1083911.2206980018 7801624.32887911 19.031, 1083910.3151229583 7801624.762346086 19.131, 1083909.5080007724 7801625.215471114 19.131, 1083909.370389834 7801625.904657834 19.231, 1083909.232778892 7801626.593844545 19.231, 1083908.9967150944 7801627.263373193 19.331))</t>
  </si>
  <si>
    <t>['EV105 S2D1 m3782-4105']</t>
  </si>
  <si>
    <t>LINESTRING Z (1083980.070299829 7801611.252362287 19.331, 1083979.9326888584 7801611.941549572 19.331, 1083979.7950778836 7801612.630736862 19.331, 1083979.7559198332 7801613.3395822095 19.331, 1083979.7955559916 7801614.166540962 19.431, 1083979.854850857 7801614.89504438 19.531, 1083987.7889460803 7801612.588781052 19.431, 1083989.6199157443 7801612.135325571 19.431, 1083990.584627059 7801611.9184268685 19.431, 1083991.4508854435 7801611.681870081 19.431, 1083992.4155967778 7801611.464971363 19.431, 1083993.3803081224 7801611.248072644 19.431, 1083994.2465665326 7801611.011515844 19.431, 1083995.211277894 7801610.794617119 19.431, 1083996.0775363212 7801610.558060309 19.431, 1083997.0422477017 7801610.341161575 19.431, 1083998.0266178078 7801610.025807486 19.431, 1083998.9913292099 7801609.808908737 19.431, 1083999.8575876704 7801609.572351912 19.431, 1084000.8222990916 7801609.355453155 19.331, 1084001.7870105226 7801609.138554393 19.331, 1084002.771380676 7801608.823200278 19.331, 1084003.7360921279 7801608.606301502 19.331, 1084004.6023506317 7801608.369744658 19.331, 1084005.5670621013 7801608.152845879 19.231, 1084006.551432295 7801607.837491738 19.231, 1084007.5161437835 7801607.620592952 19.231, 1084008.4020610359 7801607.285580724 19.231, 1084009.3667725448 7801607.068681923 19.231, 1084010.3511427764 7801606.753327763 19.231, 1084011.315854305 7801606.536428953 19.231, 1084012.201771591 7801606.201416708 19.131, 1084013.1664831387 7801605.984517886 19.131, 1084014.150853408 7801605.669163702 19.131, 1084015.0171120074 7801605.4326067995 19.131, 1084015.883370613 7801605.196049901 19.131, 1084016.8480821992 7801604.979151062 19.131, 1084017.7339995345 7801604.64413878 19.131, 1084018.698711139 7801604.427239936 19.131, 1084019.5649697788 7801604.190683015 19.131, 1084020.4312284263 7801603.954126091 19.131, 1084022.2818574356 7801603.402214923 19.131, 1084023.2465690854 7801603.185316056 19.131, 1084024.1128277676 7801602.948759112 19.131, 1084025.0971981494 7801602.633404857 19.131, 1084025.9634568472 7801602.396847905 19.131, 1084026.9281685355 7801602.179949016 19.131, 1084027.8928802344 7801601.963050123 19.031, 1084028.7787976703 7801601.62803778 19.031, 1084029.7435093867 7801601.411138876 19.031, 1084030.6097681276 7801601.174581903 19.031, 1084031.5941385757 7801600.85922761 19.031, 1084032.4603973336 7801600.622670621 19.031, 1084033.425109089 7801600.405771702 19.031, 1084034.4094795666 7801600.090417387 19.031, 1084035.2757383492 7801599.853860389 19.031, 1084036.2601088458 7801599.538506065 19.031, 1084037.224820639 7801599.32160713 19.031, 1084038.1107381596 7801598.986594722 19.031, 1084039.0754499736 7801598.769695773 19.031, 1084039.941708798 7801598.533138753 19.031, 1084040.807967631 7801598.296581726 18.931, 1084041.6938851825 7801597.9615693055 18.931, 1084042.5601440328 7801597.7250122605 18.931, 1084043.4264028906 7801597.488455218 18.931, 1084044.3123204673 7801597.15344277 18.931, 1084045.1785793384 7801596.916885726 18.931, 1084046.1432912238 7801596.699986738 18.931, 1084047.0095501123 7801596.463429681 18.931, 1084047.895467722 7801596.128417212 18.931, 1084048.761726627 7801595.891860147 18.931, 1084049.6476442507 7801595.55684767 18.931, 1084050.513903172 7801595.320290588 18.931, 1084051.3998208125 7801594.985278096 18.931, 1084052.3645327613 7801594.76837908 18.931, 1084053.2504504183 7801594.433366573 18.831, 1084054.136368082 7801594.098354068 18.831, 1084057.8376274318 7801592.9945309395 18.831, 1084058.723545139 7801592.659518397 18.831, 1084059.6882571615 7801592.44261934 18.831, 1084060.672627905 7801592.127264858 18.831, 1084061.5585456372 7801591.792252299 18.831, 1084062.5232576875 7801591.575353226 18.831, 1084063.50762846 7801591.259998726 18.731, 1084064.3935462176 7801590.924986148 18.731, 1084065.279463982 7801590.589973566 18.731, 1084066.2441760704 7801590.373074477 18.731, 1084067.130093852 7801590.0380618805 18.731, 1084068.0160116418 7801589.703049279 18.731, 1084069.000382468 7801589.387694743 18.731, 1084069.8666415638 7801589.151137559 18.731, 1084070.8510124097 7801588.835783011 18.731, 1084071.736930232 7801588.5007703835 18.731, 1084072.6228480628 7801588.165757751 18.731, 1084073.6072189375 7801587.85040318 18.731, 1084074.3750250342 7801587.59418791 18.731, 1084075.260942889 7801587.259175257 18.731, 1084076.1468607502 7801586.924162599 18.731, 1084077.013119908 7801586.687605383 18.731, 1084077.8005847433 7801586.332934649 18.731, 1084078.6865026276 7801585.997921973 18.631, 1084079.5527618078 7801585.761364737 18.631, 1084080.4386797082 7801585.426352047 18.631, 1084081.2261445676 7801585.071681297 18.631, 1084082.1120624824 7801584.736668592 18.631, 1084082.9783216938 7801584.500111341 18.631, 1084083.8642396226 7801584.165098631 18.631, 1084084.7501575598 7801583.830085916 18.631, 1084085.6360755046 7801583.495073193 18.631, 1084086.423540405 7801583.140402399 18.631, 1084087.309458364 7801582.805389663 18.631, 1084088.1953763305 7801582.470376923 18.631, 1084089.0616355971 7801582.233819627 18.631, 1084089.9475535792 7801581.898806873 18.631, 1084090.8334715692 7801581.563794116 18.631, 1084091.7193895672 7801581.228781352 18.631, 1084092.6249662815 7801580.795313117 18.631, 1084093.5108842943 7801580.460300338 18.631, 1084094.3968023155 7801580.125287554 18.631, 1084095.3023790517 7801579.691819303 18.631, 1084096.2867501504 7801579.37646457 18.631, 1084097.1726681958 7801579.041451761 18.531, 1084098.0782449555 7801578.607983481 18.531, 1084098.964163016 7801578.272970666 18.531, 1084099.8500810848 7801577.937957834 18.531, 1084100.7359991618 7801577.602945003 18.531, 1084101.6219172445 7801577.267932165 18.531, 1084102.527494043 7801576.834463847 18.531, 1084103.413412142 7801576.4994509965 18.531, 1084104.2008771761 7801576.144780075 18.531, 1084105.086795289 7801575.809767212 18.531, 1084105.9727134109 7801575.474754341 18.531, 1084106.8586315394 7801575.139741464 18.531, 1084107.6460966002 7801574.785070518 18.531, 1084108.5320147444 7801574.450057623 18.531, 1084109.4179328952 7801574.11504473 18.531, 1084110.22505668 7801573.661918284 18.531, 1084111.1109748464 7801573.326905371 18.531, 1084111.9968930187 7801572.991892454 18.531, 1084112.7843581182 7801572.637221466 18.531, 1084113.68993501 7801572.203753058 18.531, 1084114.5758532053 7801571.868740118 18.531, 1084115.3633183232 7801571.514069117 18.431, 1084116.249236532 7801571.17905617 18.431, 1084117.1548134543 7801570.745587724 18.431, 1084117.9422785915 7801570.390916697 18.431, 1084118.8281968231 7801570.055903729 18.431, 1084119.6156619717 7801569.701232694 18.431, 1084120.5015802186 7801569.3662197115 18.431, 1084121.3087040824 7801568.913093169 18.431, 1084122.0961692496 7801568.558422116 18.431, 1084122.9820875176 7801568.2234091135 18.431, 1084123.7695526965 7801567.868738046 18.431, 1084124.6554709785 7801567.533725034 18.431, 1084125.4429361708 7801567.179053953 18.431, 1084126.3485131692 7801566.745585423 18.431, 1084127.2540901746 7801566.31211689 18.431, 1084128.1596671888 7801565.878648348 18.431, 1084128.966791107 7801565.425521735 18.431, 1084129.8527094338 7801565.090508674 18.431, 1084130.758286468 7801564.657040108 18.431, 1084131.6638635104 7801564.223571531 18.431, 1084132.56944056 7801563.790102942 18.431, 1084133.3765645092 7801563.336976297 18.431, 1084134.2624828725 7801563.001963201 18.431, 1084135.1680599432 7801562.568494592 18.431, 1084136.0736370217 7801562.135025976 18.431, 1084136.9988728072 7801561.603101834 18.431, 1084137.8059967859 7801561.149975145 18.331, 1084138.7115738858 7801560.716506497 18.331, 1084139.617150993 7801560.283037842 18.331, 1084140.522728106 7801559.849569184 18.331, 1084141.4479639265 7801559.317644989 18.331, 1084143.1606650716 7801558.431049569 18.331, 1084143.9481303962 7801558.076378342 18.331, 1084144.7552544242 7801557.623251582 18.331, 1084145.5623784573 7801557.170124816 18.331, 1084146.4482969218 7801556.835111623 18.331, 1084147.255420967 7801556.38198484 18.331, 1084148.0625450178 7801555.928858048 18.231, 1084148.869669072 7801555.475731253 18.231, 1084149.7752462607 7801555.042262501 18.231, 1084150.5823703287 7801554.589135682 18.231, 1084151.5076062256 7801554.057211383 18.231, 1084152.3147303043 7801553.604084555 18.231, 1084153.2399662142 7801553.072160232 18.231, 1084158.161505278 7801550.471512612 18.231, 1084159.0670825404 7801550.0380437635 18.231, 1084159.8545479777 7801549.683372399 18.231, 1084160.6616721116 7801549.23024549 18.231, 1084161.4491375596 7801548.875574116 18.231, 1084162.256261706 7801548.42244719 18.231, 1084163.0437271656 7801548.067775803 18.231, 1084163.8508513225 7801547.61464886 18.231, 1084164.6579754855 7801547.161521911 18.231, 1084165.4650996523 7801546.708394955 18.231, 1084166.2722238265 7801546.255267987 18.231, 1084166.9808948557 7801545.7824829705 18.231, 1084167.788019039 7801545.329355987 18.231, 1084168.5951432267 7801544.876228996 18.131, 1084169.4022674195 7801544.423102001 18.131, 1084170.2093916186 7801543.969974996 18.131, 1084171.0165158221 7801543.516847983 18.131, 1084171.8432987202 7801542.9652654035 18.131, 1084172.7685347786 7801542.43334086 18.131, 1084173.5756589985 7801541.980213817 18.131, 1084174.5008950694 7801541.448289257 18.131, 1084175.3080193012 7801540.9951622 18.131, 1084176.2332553843 7801540.463237621 18.131, 1084177.0600383147 7801539.91165498 18.131, 1084177.965615725 7801539.478185938 18.131, 1084178.7923986649 7801538.926603282 18.131, 1084179.5995229254 7801538.473476177 18.131, 1084180.426305876 7801537.9218935 18.131, 1084181.1349769805 7801537.449108339 18.131, 1084181.9617599389 7801536.897525648 18.131, 1084182.7688842183 7801536.444398512 18.131, 1084183.5956671864 7801535.8928158 18.131, 1084184.4027914766 7801535.439688646 18.131, 1084185.111462602 7801534.966903443 18.131, 1084186.7453698884 7801533.962193526 18.131, 1084187.5524941983 7801533.5090663405 18.031, 1084188.261165339 7801533.036281104 18.031, 1084189.0682896583 7801532.583153908 18.031, 1084189.796619488 7801532.0119130835 18.031, 1084190.6037438158 7801531.558785867 18.031, 1084191.4108681506 7801531.105658641 18.031, 1084192.11953931 7801530.632873373 18.031, 1084193.7337880027 7801529.726618881 18.031, 1084194.5605710386 7801529.175036035 18.031, 1084195.367695397 7801528.721908773 18.031, 1084196.2929316259 7801528.189983945 18.031, 1084197.100055997 7801527.736856661 18.031, 1084197.9071803726 7801527.283729373 18.031, 1084198.7339634332 7801526.732146478 18.031, 1084199.5410878188 7801526.279019175 18.031, 1084200.3482122114 7801525.825891855 18.031, 1084201.174995286 7801525.274308933 18.031, 1084201.8836664965 7801524.801523568 18.031, 1084202.71044958 7801524.24994063 18.031, 1084203.4191207981 7801523.777155246 18.031, 1084204.24590389 7801523.225572292 18.031, 1084204.9545751153 7801522.752786893 18.031, 1084205.781358217 7801522.201203914 18.031, 1084206.4900294498 7801521.728418501 18.031, 1084207.316812559 7801521.176835506 18.031, 1084208.0254837992 7801520.704050077 18.031, 1084208.852266918 7801520.152467064 18.031, 1084209.5805968384 7801519.5812260145 18.031, 1084210.4073799658 7801519.029642979 18.031, 1084211.2145044245 7801518.576515543 18.031, 1084211.9428343563 7801518.005274459 18.031, 1084212.7696174972 7801517.453691397 18.031, 1084213.5767419694 7801517.000563937 18.031, 1084214.3050719108 7801516.429322833 18.031, 1084215.1318550645 7801515.877739739 18.031, 1084215.958638223 7801515.326156641 18.031, 1084216.6869681752 7801514.754915503 18.031, 1084217.5137513422 7801514.20333238 18.031, 1084218.2420813004 7801513.632091223 18.031, 1084219.068864474 7801513.080508089 17.931, 1084219.7971944395 7801512.509266911 17.931, 1084220.623977623 7801511.957683749 17.931, 1084221.3523075934 7801511.386442555 17.931, 1084222.1790907849 7801510.834859377 17.931, 1084222.9074207628 7801510.263618164 17.931, 1084223.7342039617 7801509.712034968 17.931, 1084224.4625339461 7801509.140793734 17.931, 1084225.1908639339 7801508.56955249 17.931, 1084226.0176471455 7801508.017969258 17.931, 1084226.7263184735 7801507.545183631 17.931, 1084227.5531016933 7801506.993600379 17.931, 1084228.2814316922 7801506.422359104 17.931, 1084229.0097616958 7801505.851117812 17.931, 1084229.8365449277 7801505.299534539 17.931, 1084230.5648749368 7801504.728293233 17.931, 1084231.19475172 7801504.137393892 17.931, 1084231.9230817324 7801503.56615257 17.931, 1084232.6514117494 7801502.994911233 17.931, 1084233.3797417667 7801502.423669894 17.931, 1084234.1080717891 7801501.852428538 17.931, 1084234.8364018132 7801501.281187179 17.931, 1084235.564731839 7801500.70994581 17.931, 1084236.1946086339 7801500.119046409 17.931, 1084236.922938665 7801499.547805019 17.931, 1084237.6512686983 7801498.976563621 17.931, 1084238.3992573945 7801498.306866568 17.931, 1084239.127587433 7801497.735625151 17.931, 1084239.8755761324 7801497.065928077 17.931, 1084240.6235648333 7801496.396230994 17.931, 1084241.3715535346 7801495.726533904 17.931, 1084242.198336827 7801495.1749504525 17.931, 1084242.946325535 7801494.5052533345 17.931, 1084243.6943142442 7801493.835556204 17.931, 1084244.4423029553 7801493.165859066 17.931, 1084245.170633014 7801492.594617567 17.931, 1084245.8201684817 7801491.905262393 17.931, 1084246.5878158507 7801491.137109571 17.831, 1084247.2373513165 7801490.447754381 17.831, 1084247.985340035 7801489.778057184 17.831, 1084248.6348755027 7801489.08870197 17.831, 1084249.2844109705 7801488.3993467465 17.831, 1084250.032399692 7801487.7296495205 17.831, 1084250.68193516 7801487.040294275 17.831, 1084251.4495825327 7801486.272141364 17.831, 1084252.099118001 7801485.582786095 17.731, 1084252.74865347 7801484.893430821 17.731, 1084253.299735679 7801484.18441753 17.731, 1084253.9492711467 7801483.495062233 17.731, 1084254.598806613 7801482.805706929 17.731, 1084255.2483420796 7801482.11635162 17.631, 1084255.897877547 7801481.426996286 17.631, 1084256.547413013 7801480.737640952 17.631, 1084257.1969484792 7801480.048285606 17.631, 1084257.7480306812 7801479.33927225 17.631, 1084258.2991128815 7801478.630258881 17.631, 1084258.948648345 7801477.940903507 17.531, 1084259.4800719018 7801477.3303457955 17.531, 1084260.0311540966 7801476.621332405 17.531, 1084260.680689559 7801475.931977003 17.531, 1084261.2317717522 7801475.222963591 17.531, 1084261.7828539438 7801474.513950171 17.531, 1084262.0977123152 7801473.962532109 17.531, 1084262.4125706851 7801473.411114042 17.431, 1084262.057914792 7801472.623634343 17.431, 1084261.3884005346 7801472.387572721 17.331, 1084260.7188862804 7801472.151511106 17.231, 1084260.0493720325 7801471.915449491 17.231, 1084259.3210419726 7801472.486691254 17.131, 1084258.4942586473 7801473.03827502 17.131, 1084257.9628351252 7801473.648832756 17.131, 1084257.4510702412 7801474.1609348105 17.131, 1084256.9393053558 7801474.673036857 17.131, 1084256.4078818322 7801475.283594573 17.131, 1084255.7583464072 7801475.972949946 17.131, 1084255.207264244 7801476.681963311 17.231, 1084254.5577288182 7801477.371318668 17.231, 1084253.888534751 7801478.159129682 17.231, 1084253.2389993235 7801478.848485014 17.231, 1084252.5894638961 7801479.537840344 17.231, 1084251.939928469 7801480.227195659 17.231, 1084245.228009039 7801487.179887914 17.331, 1084244.5981322606 7801487.7707874635 17.331, 1084243.2202668088 7801489.031384185 17.331, 1084242.4722781382 7801489.701081349 17.331, 1084241.7242894678 7801490.3707785085 17.331, 1084240.9763007998 7801491.040475652 17.331, 1084240.2283121347 7801491.7101727845 17.331, 1084232.8270601965 7801498.013320957 17.431, 1084232.0002769767 7801498.564904325 17.431, 1084226.0948426155 7801503.016721366 17.431, 1084223.1420455528 7801504.986661593 17.531, 1084222.4333742666 7801505.45944723 17.531, 1084221.7247029836 7801505.9322328605 17.531, 1084220.9963730413 7801506.503474105 17.531, 1084212.8464936926 7801511.428572131 17.531, 1084212.1378224576 7801511.901357664 17.531, 1084211.350356687 7801512.256029562 17.531, 1084210.5432322563 7801512.709157057 17.531, 1084209.7361078316 7801513.162284542 17.531, 1084209.0274366143 7801513.635070042 17.531, 1084208.2203121986 7801514.088197513 17.531, 1084207.39352912 7801514.639780587 17.531, 1084206.5864047145 7801515.092908039 17.531, 1084205.7792803159 7801515.546035483 17.531, 1084205.0902677863 7801515.9203653475 17.531, 1084199.3026266363 7801519.269510365 17.531, 1084198.4955022847 7801519.722637735 17.531, 1084197.8064897973 7801520.096967537 17.531, 1084197.0190241258 7801520.451639306 17.531, 1084196.211899789 7801520.904766654 17.531, 1084195.5228873156 7801521.279096437 17.531, 1084194.7157629896 7801521.73222377 17.531, 1084194.0267505224 7801522.106553544 17.531, 1084193.219626206 7801522.559680865 17.531, 1084192.4125018942 7801523.012808178 17.531, 1084191.6053775877 7801523.465935485 17.631, 1084190.7982532892 7801523.919062778 17.631, 1084189.9911289914 7801524.372190073 17.631, 1084189.1840047017 7801524.825317353 17.631, 1084187.5697561372 7801525.731571891 17.631, 1084186.861085037 7801526.204357184 17.631, 1084186.073619443 7801526.559028854 17.631, 1084185.266495178 7801527.012156098 17.631, 1084184.577482767 7801527.386485786 17.631, 1084183.7703585122 7801527.839613018 17.631, 1084182.9632342635 7801528.292740235 17.631, 1084182.0379981734 7801528.824664989 17.631, 1084181.21121526 7801529.376247761 17.631, 1084180.404091027 7801529.829374954 17.631, 1084179.5773081225 7801530.380957711 17.631, 1084178.7701839015 7801530.834084884 17.631, 1084177.8449478424 7801531.366009588 17.631, 1084172.9825439767 7801534.183227983 17.531, 1084172.1754197981 7801534.636355093 17.531, 1084171.269842468 7801535.069824159 17.531, 1084170.4430596216 7801535.621406807 17.531, 1084169.5374823033 7801536.054875859 17.531, 1084168.710699466 7801536.6064584935 17.531, 1084167.8051221645 7801537.039927516 17.431, 1084166.9783393391 7801537.591510127 17.431, 1084166.0531033669 7801538.123434697 17.431, 1084165.2459792336 7801538.576561734 17.431, 1084164.4191964227 7801539.128144317 17.431, 1084163.493960471 7801539.66006885 17.431, 1084162.6868363526 7801540.113195865 17.431, 1084161.7616004136 7801540.645120377 17.431, 1084160.9544763076 7801541.0982473735 17.431, 1084160.0292403807 7801541.63017187 17.431, 1084159.2221162862 7801542.083298848 17.431, 1084158.2968803714 7801542.615223323 17.431, 1084157.4897562903 7801543.068350282 17.431, 1084156.5645203888 7801543.600274734 17.431, 1084155.757396317 7801544.053401681 17.431, 1084154.832160429 7801544.585326115 17.431, 1084153.099800494 7801545.570377452 17.431, 1084152.2926764449 7801546.023504361 17.431, 1084151.3870992702 7801546.456973217 17.431, 1084150.560316545 7801547.008555645 17.431, 1084149.654739383 7801547.442024487 17.531, 1084148.8476153577 7801547.895151363 17.531, 1084147.9223795214 7801548.427075719 17.531, 1084147.1152555067 7801548.8802025765 17.531, 1084146.2096783724 7801549.313671383 17.531, 1084144.4773185593 7801550.298722538 17.531, 1084143.5717414455 7801550.732191321 17.531, 1084142.7646174605 7801551.185318136 17.531, 1084141.8393816722 7801551.717242415 17.531, 1084140.9338045795 7801552.150711169 17.531, 1084140.1266806116 7801552.603837961 17.531, 1084139.2014448415 7801553.135762213 17.531, 1084138.2958677697 7801553.569230947 17.531, 1084137.390290706 7801554.002699663 17.531, 1084135.6579310196 7801554.987750634 17.531, 1084134.7523539779 7801555.421219319 17.531, 1084133.84677694 7801555.85468801 17.531, 1084132.9411999122 7801556.288156684 17.531, 1084132.035622891 7801556.721625343 17.631, 1084131.2284989837 7801557.174752054 17.631, 1084130.322921976 7801557.608220704 17.631, 1084129.3976862838 7801558.140144846 17.631, 1084128.4921092908 7801558.573613481 17.631, 1084127.5865323064 7801559.007082095 17.631, 1084126.6809553269 7801559.440550716 17.631, 1084125.8738314565 7801559.8936773725 17.631, 1084124.9682544922 7801560.327145968 17.631, 1084121.3459467096 7801562.06102027 17.631, 1084120.4403697823 7801562.494488822 17.631, 1084119.5347928633 7801562.927957369 17.631, 1084118.6292159501 7801563.361425908 17.631, 1084117.723639045 7801563.794894437 17.631, 1084116.8180621471 7801564.228362955 17.631, 1084115.9124852577 7801564.661831463 17.631, 1084115.0069083748 7801565.0952999685 17.731, 1084114.1013314994 7801565.528768464 17.731, 1084113.1957546314 7801565.96223695 17.731, 1084112.2901777704 7801566.395705424 17.731, 1084111.3846009183 7801566.829173894 17.731, 1084110.4790240722 7801567.262642358 17.731, 1084108.6875291015 7801568.0311237695 17.731, 1084107.7819522778 7801568.464592204 17.731, 1084106.8763754624 7801568.898060631 17.731, 1084105.970798655 7801569.331529046 17.731, 1084105.0848805523 7801569.666541983 17.731, 1084104.1793037592 7801570.100010385 17.731, 1084103.1752738997 7801570.513820722 17.731, 1084102.2696971225 7801570.947289109 17.831, 1084101.383779052 7801571.282302012 17.831, 1084099.5726255346 7801572.149238743 17.831, 1084098.6867074873 7801572.48425163 17.831, 1084097.682677681 7801572.898061916 17.831, 1084096.7771009507 7801573.331530246 17.831, 1084095.8911829272 7801573.666543116 17.831, 1084094.9856062112 7801574.100011432 17.831, 1084094.0012351407 7801574.415366225 17.831, 1084093.0956584408 7801574.848834527 17.831, 1084092.1900817472 7801575.282302823 17.831, 1084091.3041637633 7801575.617315655 17.831, 1084090.3985870853 7801576.050783934 17.831, 1084089.4142160618 7801576.366138681 17.831, 1084088.5086393997 7801576.799606947 17.831, 1084087.6030627452 7801577.233075203 17.831, 1084085.7131151091 7801577.981898174 17.931, 1084084.827197182 7801578.316910952 17.931, 1084083.823167509 7801578.730721112 17.931, 1084082.9372495972 7801579.065733882 17.931, 1084082.0513316935 7801579.400746638 17.931, 1084081.0473020482 7801579.814556776 17.931, 1084080.1613841597 7801580.1495695235 17.931, 1084079.2558075772 7801580.583037703 17.931, 1084078.2714366624 7801580.898392372 17.931, 1084076.4799422396 7801581.666873254 17.931, 1084075.4955713525 7801581.982227903 17.931, 1084074.5899948082 7801582.415696046 17.931, 1084073.6056239395 7801582.731050682 17.931, 1084072.719706118 7801583.066063373 17.931, 1084071.7353352676 7801583.381417991 18.031, 1084070.8297587559 7801583.814886107 18.031, 1084069.845387924 7801584.130240716 18.031, 1084068.9594701356 7801584.465253375 18.031, 1084067.0695228435 7801585.214076049 18.031, 1084066.0851520495 7801585.52943063 18.031, 1084065.1992342928 7801585.86444327 18.031, 1084064.2148635169 7801586.1797978375 18.031, 1084063.328945777 7801586.514810459 18.031, 1084062.3249163136 7801586.92862044 18.031, 1084061.4389985907 7801587.263633047 18.031, 1084060.4546278524 7801587.578987586 18.031, 1084059.5687101458 7801587.914000182 18.031, 1084057.6984217358 7801588.564367295 18.031, 1084056.7140510348 7801588.879721807 18.131, 1084055.729680344 7801589.195076317 18.131, 1084054.8437626795 7801589.53008888 18.131, 1084053.8593920069 7801589.845443374 18.131, 1084052.875021345 7801590.1607978605 18.131, 1084051.9891037052 7801590.495810407 18.131, 1084051.0047330623 7801590.811164882 18.131, 1084050.118815438 7801591.146177417 18.131, 1084048.1500741984 7801591.776886331 18.131, 1084047.2641566016 7801592.111898841 18.131, 1084046.279786005 7801592.4272532845 18.131, 1084045.2954154194 7801592.742607717 18.131, 1084044.311044842 7801593.057962149 18.131, 1084043.425127279 7801593.392974637 18.131, 1084042.460415429 7801593.609873652 18.231, 1084041.4760448812 7801593.925228066 18.231, 1084040.5901273424 7801594.260240536 18.231, 1084038.6213862954 7801594.890949324 18.231, 1084037.656674494 7801595.107848315 18.231, 1084036.7707569906 7801595.442860756 18.231, 1084035.7863865015 7801595.7582151275 18.231, 1084034.80201602 7801596.073569496 18.231, 1084033.8373042587 7801596.290468466 18.231, 1084032.852933798 7801596.605822818 18.231, 1084031.967016338 7801596.940835227 18.231, 1084030.9826458963 7801597.256189569 18.231, 1084029.0335637508 7801597.788442847 18.231, 1084028.0688520488 7801598.005341786 18.231, 1084027.1829346314 7801598.340354167 18.331, 1084026.1985642384 7801598.655708482 18.331, 1084025.2338525644 7801598.872607406 18.331, 1084024.2494821912 7801599.187961705 18.331, 1084023.2847705365 7801599.404860619 18.331, 1084022.3004001838 7801599.720214907 18.331, 1084021.335688549 7801599.937113812 18.331, 1084019.485059577 7801600.489025044 18.431, 1084018.5006892616 7801600.804379314 18.431, 1084017.5359776677 7801601.021278194 18.431, 1084016.551607374 7801601.336632443 18.431, 1084015.5868957979 7801601.55353132 18.431, 1084014.6025255234 7801601.868885558 18.431, 1084013.6378139677 7801602.085784426 18.531, 1084012.673102423 7801602.302683284 18.531, 1084011.6887321789 7801602.618037508 18.531, 1084009.7396504292 7801603.150290568 18.531, 1084008.7749389228 7801603.367189411 18.531, 1084007.8102274276 7801603.584088249 18.631, 1084006.8455159422 7801603.800987084 18.631, 1084005.8611457576 7801604.11634127 18.631, 1084004.8964342913 7801604.333240097 18.631, 1084003.931722836 7801604.550138918 18.731, 1084002.9473526813 7801604.865493085 18.731, 1084001.982641247 7801605.0823918935 18.731, 1084000.0532184052 7801605.516189501 18.731, 1083999.0885069994 7801605.7330883 18.831, 1083998.1041368935 7801606.048442444 18.831, 1083997.139425508 7801606.265341232 18.831, 1083996.1747141331 7801606.482240016 18.831, 1083995.210002767 7801606.699138791 18.831, 1083994.2452914123 7801606.916037565 18.931, 1083993.1821271204 7801607.11327827 18.931, 1083992.2174157854 7801607.330177038 18.931, 1083991.25270446 7801607.547075801 18.931, 1083990.3864460876 7801607.783632625 18.931, 1083989.5201877225 7801608.020189444 19.031, 1083988.6539293649 7801608.256746263 19.031, 1083987.6892180764 7801608.47364501 19.031, 1083986.8229597355 7801608.710201814 19.031, 1083985.9763601124 7801608.848303285 19.031, 1083985.011648851 7801609.065202019 19.031, 1083984.1453905355 7801609.301758814 19.131, 1083983.279132227 7801609.538315606 19.131, 1083982.412873926 7801609.774872393 19.131, 1083981.4481627033 7801609.991771107 19.131, 1083980.7001754465 7801610.661465332 19.231, 1083980.070299829 7801611.252362287 19.331)</t>
  </si>
  <si>
    <t>POLYGON Z ((1083980.070299829 7801611.252362287 19.331, 1083979.9326888584 7801611.941549572 19.331, 1083979.7950778836 7801612.630736862 19.331, 1083979.7559198332 7801613.3395822095 19.331, 1083979.7955559916 7801614.166540962 19.431, 1083979.854850857 7801614.89504438 19.531, 1083987.7889460803 7801612.588781052 19.431, 1083989.6199157443 7801612.135325571 19.431, 1083990.584627059 7801611.9184268685 19.431, 1083991.4508854435 7801611.681870081 19.431, 1083992.4155967778 7801611.464971363 19.431, 1083993.3803081224 7801611.248072644 19.431, 1083994.2465665326 7801611.011515844 19.431, 1083995.211277894 7801610.794617119 19.431, 1083996.0775363212 7801610.558060309 19.431, 1083997.0422477017 7801610.341161575 19.431, 1083998.0266178078 7801610.025807486 19.431, 1083998.9913292099 7801609.808908737 19.431, 1083999.8575876704 7801609.572351912 19.431, 1084000.8222990916 7801609.355453155 19.331, 1084001.7870105226 7801609.138554393 19.331, 1084002.771380676 7801608.823200278 19.331, 1084003.7360921279 7801608.606301502 19.331, 1084004.6023506317 7801608.369744658 19.331, 1084005.5670621013 7801608.152845879 19.231, 1084006.551432295 7801607.837491738 19.231, 1084007.5161437835 7801607.620592952 19.231, 1084008.4020610359 7801607.285580724 19.231, 1084009.3667725448 7801607.068681923 19.231, 1084010.3511427764 7801606.753327763 19.231, 1084011.315854305 7801606.536428953 19.231, 1084012.201771591 7801606.201416708 19.131, 1084013.1664831387 7801605.984517886 19.131, 1084014.150853408 7801605.669163702 19.131, 1084015.0171120074 7801605.4326067995 19.131, 1084015.883370613 7801605.196049901 19.131, 1084016.8480821992 7801604.979151062 19.131, 1084017.7339995345 7801604.64413878 19.131, 1084018.698711139 7801604.427239936 19.131, 1084019.5649697788 7801604.190683015 19.131, 1084020.4312284263 7801603.954126091 19.131, 1084022.2818574356 7801603.402214923 19.131, 1084023.2465690854 7801603.185316056 19.131, 1084024.1128277676 7801602.948759112 19.131, 1084025.0971981494 7801602.633404857 19.131, 1084025.9634568472 7801602.396847905 19.131, 1084026.9281685355 7801602.179949016 19.131, 1084027.8928802344 7801601.963050123 19.031, 1084028.7787976703 7801601.62803778 19.031, 1084029.7435093867 7801601.411138876 19.031, 1084030.6097681276 7801601.174581903 19.031, 1084031.5941385757 7801600.85922761 19.031, 1084032.4603973336 7801600.622670621 19.031, 1084033.425109089 7801600.405771702 19.031, 1084034.4094795666 7801600.090417387 19.031, 1084035.2757383492 7801599.853860389 19.031, 1084036.2601088458 7801599.538506065 19.031, 1084037.224820639 7801599.32160713 19.031, 1084038.1107381596 7801598.986594722 19.031, 1084039.0754499736 7801598.769695773 19.031, 1084039.941708798 7801598.533138753 19.031, 1084040.807967631 7801598.296581726 18.931, 1084041.6938851825 7801597.9615693055 18.931, 1084042.5601440328 7801597.7250122605 18.931, 1084043.4264028906 7801597.488455218 18.931, 1084044.3123204673 7801597.15344277 18.931, 1084045.1785793384 7801596.916885726 18.931, 1084046.1432912238 7801596.699986738 18.931, 1084047.0095501123 7801596.463429681 18.931, 1084047.895467722 7801596.128417212 18.931, 1084048.761726627 7801595.891860147 18.931, 1084049.6476442507 7801595.55684767 18.931, 1084050.513903172 7801595.320290588 18.931, 1084051.3998208125 7801594.985278096 18.931, 1084052.3645327613 7801594.76837908 18.931, 1084053.2504504183 7801594.433366573 18.831, 1084054.136368082 7801594.098354068 18.831, 1084057.8376274318 7801592.9945309395 18.831, 1084058.723545139 7801592.659518397 18.831, 1084059.6882571615 7801592.44261934 18.831, 1084060.672627905 7801592.127264858 18.831, 1084061.5585456372 7801591.792252299 18.831, 1084062.5232576875 7801591.575353226 18.831, 1084063.50762846 7801591.259998726 18.731, 1084064.3935462176 7801590.924986148 18.731, 1084065.279463982 7801590.589973566 18.731, 1084066.2441760704 7801590.373074477 18.731, 1084067.130093852 7801590.0380618805 18.731, 1084068.0160116418 7801589.703049279 18.731, 1084069.000382468 7801589.387694743 18.731, 1084069.8666415638 7801589.151137559 18.731, 1084070.8510124097 7801588.835783011 18.731, 1084071.736930232 7801588.5007703835 18.731, 1084072.6228480628 7801588.165757751 18.731, 1084073.6072189375 7801587.85040318 18.731, 1084074.3750250342 7801587.59418791 18.731, 1084075.260942889 7801587.259175257 18.731, 1084076.1468607502 7801586.924162599 18.731, 1084077.013119908 7801586.687605383 18.731, 1084077.8005847433 7801586.332934649 18.731, 1084078.6865026276 7801585.997921973 18.631, 1084079.5527618078 7801585.761364737 18.631, 1084080.4386797082 7801585.426352047 18.631, 1084081.2261445676 7801585.071681297 18.631, 1084082.1120624824 7801584.736668592 18.631, 1084082.9783216938 7801584.500111341 18.631, 1084083.8642396226 7801584.165098631 18.631, 1084084.7501575598 7801583.830085916 18.631, 1084085.6360755046 7801583.495073193 18.631, 1084086.423540405 7801583.140402399 18.631, 1084087.309458364 7801582.805389663 18.631, 1084088.1953763305 7801582.470376923 18.631, 1084089.0616355971 7801582.233819627 18.631, 1084089.9475535792 7801581.898806873 18.631, 1084090.8334715692 7801581.563794116 18.631, 1084091.7193895672 7801581.228781352 18.631, 1084092.6249662815 7801580.795313117 18.631, 1084093.5108842943 7801580.460300338 18.631, 1084094.3968023155 7801580.125287554 18.631, 1084095.3023790517 7801579.691819303 18.631, 1084096.2867501504 7801579.37646457 18.631, 1084097.1726681958 7801579.041451761 18.531, 1084098.0782449555 7801578.607983481 18.531, 1084098.964163016 7801578.272970666 18.531, 1084099.8500810848 7801577.937957834 18.531, 1084100.7359991618 7801577.602945003 18.531, 1084101.6219172445 7801577.267932165 18.531, 1084102.527494043 7801576.834463847 18.531, 1084103.413412142 7801576.4994509965 18.531, 1084104.2008771761 7801576.144780075 18.531, 1084105.086795289 7801575.809767212 18.531, 1084105.9727134109 7801575.474754341 18.531, 1084106.8586315394 7801575.139741464 18.531, 1084107.6460966002 7801574.785070518 18.531, 1084108.5320147444 7801574.450057623 18.531, 1084109.4179328952 7801574.11504473 18.531, 1084110.22505668 7801573.661918284 18.531, 1084111.1109748464 7801573.326905371 18.531, 1084111.9968930187 7801572.991892454 18.531, 1084112.7843581182 7801572.637221466 18.531, 1084113.68993501 7801572.203753058 18.531, 1084114.5758532053 7801571.868740118 18.531, 1084115.3633183232 7801571.514069117 18.431, 1084116.249236532 7801571.17905617 18.431, 1084117.1548134543 7801570.745587724 18.431, 1084117.9422785915 7801570.390916697 18.431, 1084118.8281968231 7801570.055903729 18.431, 1084119.6156619717 7801569.701232694 18.431, 1084120.5015802186 7801569.3662197115 18.431, 1084121.3087040824 7801568.913093169 18.431, 1084122.0961692496 7801568.558422116 18.431, 1084122.9820875176 7801568.2234091135 18.431, 1084123.7695526965 7801567.868738046 18.431, 1084124.6554709785 7801567.533725034 18.431, 1084125.4429361708 7801567.179053953 18.431, 1084126.3485131692 7801566.745585423 18.431, 1084127.2540901746 7801566.31211689 18.431, 1084128.1596671888 7801565.878648348 18.431, 1084128.966791107 7801565.425521735 18.431, 1084129.8527094338 7801565.090508674 18.431, 1084130.758286468 7801564.657040108 18.431, 1084131.6638635104 7801564.223571531 18.431, 1084132.56944056 7801563.790102942 18.431, 1084133.3765645092 7801563.336976297 18.431, 1084134.2624828725 7801563.001963201 18.431, 1084135.1680599432 7801562.568494592 18.431, 1084136.0736370217 7801562.135025976 18.431, 1084136.9988728072 7801561.603101834 18.431, 1084137.8059967859 7801561.149975145 18.331, 1084138.7115738858 7801560.716506497 18.331, 1084139.617150993 7801560.283037842 18.331, 1084140.522728106 7801559.849569184 18.331, 1084141.4479639265 7801559.317644989 18.331, 1084143.1606650716 7801558.431049569 18.331, 1084143.9481303962 7801558.076378342 18.331, 1084144.7552544242 7801557.623251582 18.331, 1084145.5623784573 7801557.170124816 18.331, 1084146.4482969218 7801556.835111623 18.331, 1084147.255420967 7801556.38198484 18.331, 1084148.0625450178 7801555.928858048 18.231, 1084148.869669072 7801555.475731253 18.231, 1084149.7752462607 7801555.042262501 18.231, 1084150.5823703287 7801554.589135682 18.231, 1084151.5076062256 7801554.057211383 18.231, 1084152.3147303043 7801553.604084555 18.231, 1084153.2399662142 7801553.072160232 18.231, 1084158.161505278 7801550.471512612 18.231, 1084159.0670825404 7801550.0380437635 18.231, 1084159.8545479777 7801549.683372399 18.231, 1084160.6616721116 7801549.23024549 18.231, 1084161.4491375596 7801548.875574116 18.231, 1084162.256261706 7801548.42244719 18.231, 1084163.0437271656 7801548.067775803 18.231, 1084163.8508513225 7801547.61464886 18.231, 1084164.6579754855 7801547.161521911 18.231, 1084165.4650996523 7801546.708394955 18.231, 1084166.2722238265 7801546.255267987 18.231, 1084166.9808948557 7801545.7824829705 18.231, 1084167.788019039 7801545.329355987 18.231, 1084168.5951432267 7801544.876228996 18.131, 1084169.4022674195 7801544.423102001 18.131, 1084170.2093916186 7801543.969974996 18.131, 1084171.0165158221 7801543.516847983 18.131, 1084171.8432987202 7801542.9652654035 18.131, 1084172.7685347786 7801542.43334086 18.131, 1084173.5756589985 7801541.980213817 18.131, 1084174.5008950694 7801541.448289257 18.131, 1084175.3080193012 7801540.9951622 18.131, 1084176.2332553843 7801540.463237621 18.131, 1084177.0600383147 7801539.91165498 18.131, 1084177.965615725 7801539.478185938 18.131, 1084178.7923986649 7801538.926603282 18.131, 1084179.5995229254 7801538.473476177 18.131, 1084180.426305876 7801537.9218935 18.131, 1084181.1349769805 7801537.449108339 18.131, 1084181.9617599389 7801536.897525648 18.131, 1084182.7688842183 7801536.444398512 18.131, 1084183.5956671864 7801535.8928158 18.131, 1084184.4027914766 7801535.439688646 18.131, 1084185.111462602 7801534.966903443 18.131, 1084186.7453698884 7801533.962193526 18.131, 1084187.5524941983 7801533.5090663405 18.031, 1084188.261165339 7801533.036281104 18.031, 1084189.0682896583 7801532.583153908 18.031, 1084189.796619488 7801532.0119130835 18.031, 1084190.6037438158 7801531.558785867 18.031, 1084191.4108681506 7801531.105658641 18.031, 1084192.11953931 7801530.632873373 18.031, 1084193.7337880027 7801529.726618881 18.031, 1084194.5605710386 7801529.175036035 18.031, 1084195.367695397 7801528.721908773 18.031, 1084196.2929316259 7801528.189983945 18.031, 1084197.100055997 7801527.736856661 18.031, 1084197.9071803726 7801527.283729373 18.031, 1084198.7339634332 7801526.732146478 18.031, 1084199.5410878188 7801526.279019175 18.031, 1084200.3482122114 7801525.825891855 18.031, 1084201.174995286 7801525.274308933 18.031, 1084201.8836664965 7801524.801523568 18.031, 1084202.71044958 7801524.24994063 18.031, 1084203.4191207981 7801523.777155246 18.031, 1084204.24590389 7801523.225572292 18.031, 1084204.9545751153 7801522.752786893 18.031, 1084205.781358217 7801522.201203914 18.031, 1084206.4900294498 7801521.728418501 18.031, 1084207.316812559 7801521.176835506 18.031, 1084208.0254837992 7801520.704050077 18.031, 1084208.852266918 7801520.152467064 18.031, 1084209.5805968384 7801519.5812260145 18.031, 1084210.4073799658 7801519.029642979 18.031, 1084211.2145044245 7801518.576515543 18.031, 1084211.9428343563 7801518.005274459 18.031, 1084212.7696174972 7801517.453691397 18.031, 1084213.5767419694 7801517.000563937 18.031, 1084214.3050719108 7801516.429322833 18.031, 1084215.1318550645 7801515.877739739 18.031, 1084215.958638223 7801515.326156641 18.031, 1084216.6869681752 7801514.754915503 18.031, 1084217.5137513422 7801514.20333238 18.031, 1084218.2420813004 7801513.632091223 18.031, 1084219.068864474 7801513.080508089 17.931, 1084219.7971944395 7801512.509266911 17.931, 1084220.623977623 7801511.957683749 17.931, 1084221.3523075934 7801511.386442555 17.931, 1084222.1790907849 7801510.834859377 17.931, 1084222.9074207628 7801510.263618164 17.931, 1084223.7342039617 7801509.712034968 17.931, 1084224.4625339461 7801509.140793734 17.931, 1084225.1908639339 7801508.56955249 17.931, 1084226.0176471455 7801508.017969258 17.931, 1084226.7263184735 7801507.545183631 17.931, 1084227.5531016933 7801506.993600379 17.931, 1084228.2814316922 7801506.422359104 17.931, 1084229.0097616958 7801505.851117812 17.931, 1084229.8365449277 7801505.299534539 17.931, 1084230.5648749368 7801504.728293233 17.931, 1084231.19475172 7801504.137393892 17.931, 1084231.9230817324 7801503.56615257 17.931, 1084232.6514117494 7801502.994911233 17.931, 1084233.3797417667 7801502.423669894 17.931, 1084234.1080717891 7801501.852428538 17.931, 1084234.8364018132 7801501.281187179 17.931, 1084235.564731839 7801500.70994581 17.931, 1084236.1946086339 7801500.119046409 17.931, 1084236.922938665 7801499.547805019 17.931, 1084237.6512686983 7801498.976563621 17.931, 1084238.3992573945 7801498.306866568 17.931, 1084239.127587433 7801497.735625151 17.931, 1084239.8755761324 7801497.065928077 17.931, 1084240.6235648333 7801496.396230994 17.931, 1084241.3715535346 7801495.726533904 17.931, 1084242.198336827 7801495.1749504525 17.931, 1084242.946325535 7801494.5052533345 17.931, 1084243.6943142442 7801493.835556204 17.931, 1084244.4423029553 7801493.165859066 17.931, 1084245.170633014 7801492.594617567 17.931, 1084245.8201684817 7801491.905262393 17.931, 1084246.5878158507 7801491.137109571 17.831, 1084247.2373513165 7801490.447754381 17.831, 1084247.985340035 7801489.778057184 17.831, 1084248.6348755027 7801489.08870197 17.831, 1084249.2844109705 7801488.3993467465 17.831, 1084250.032399692 7801487.7296495205 17.831, 1084250.68193516 7801487.040294275 17.831, 1084251.4495825327 7801486.272141364 17.831, 1084252.099118001 7801485.582786095 17.731, 1084252.74865347 7801484.893430821 17.731, 1084253.299735679 7801484.18441753 17.731, 1084253.9492711467 7801483.495062233 17.731, 1084254.598806613 7801482.805706929 17.731, 1084255.2483420796 7801482.11635162 17.631, 1084255.897877547 7801481.426996286 17.631, 1084256.547413013 7801480.737640952 17.631, 1084257.1969484792 7801480.048285606 17.631, 1084257.7480306812 7801479.33927225 17.631, 1084258.2991128815 7801478.630258881 17.631, 1084258.948648345 7801477.940903507 17.531, 1084259.4800719018 7801477.3303457955 17.531, 1084260.0311540966 7801476.621332405 17.531, 1084260.680689559 7801475.931977003 17.531, 1084261.2317717522 7801475.222963591 17.531, 1084261.7828539438 7801474.513950171 17.531, 1084262.0977123152 7801473.962532109 17.531, 1084262.4125706851 7801473.411114042 17.431, 1084262.057914792 7801472.623634343 17.431, 1084261.3884005346 7801472.387572721 17.331, 1084260.7188862804 7801472.151511106 17.231, 1084260.0493720325 7801471.915449491 17.231, 1084259.3210419726 7801472.486691254 17.131, 1084258.4942586473 7801473.03827502 17.131, 1084257.9628351252 7801473.648832756 17.131, 1084257.4510702412 7801474.1609348105 17.131, 1084256.9393053558 7801474.673036857 17.131, 1084256.4078818322 7801475.283594573 17.131, 1084255.7583464072 7801475.972949946 17.131, 1084255.207264244 7801476.681963311 17.231, 1084254.5577288182 7801477.371318668 17.231, 1084253.888534751 7801478.159129682 17.231, 1084253.2389993235 7801478.848485014 17.231, 1084252.5894638961 7801479.537840344 17.231, 1084251.939928469 7801480.227195659 17.231, 1084245.228009039 7801487.179887914 17.331, 1084244.5981322606 7801487.7707874635 17.331, 1084243.2202668088 7801489.031384185 17.331, 1084242.4722781382 7801489.701081349 17.331, 1084241.7242894678 7801490.3707785085 17.331, 1084240.9763007998 7801491.040475652 17.331, 1084240.2283121347 7801491.7101727845 17.331, 1084232.8270601965 7801498.013320957 17.431, 1084232.0002769767 7801498.564904325 17.431, 1084226.0948426155 7801503.016721366 17.431, 1084223.1420455528 7801504.986661593 17.531, 1084222.4333742666 7801505.45944723 17.531, 1084221.7247029836 7801505.9322328605 17.531, 1084220.9963730413 7801506.503474105 17.531, 1084212.8464936926 7801511.428572131 17.531, 1084212.1378224576 7801511.901357664 17.531, 1084211.350356687 7801512.256029562 17.531, 1084210.5432322563 7801512.709157057 17.531, 1084209.7361078316 7801513.162284542 17.531, 1084209.0274366143 7801513.635070042 17.531, 1084208.2203121986 7801514.088197513 17.531, 1084207.39352912 7801514.639780587 17.531, 1084206.5864047145 7801515.092908039 17.531, 1084205.7792803159 7801515.546035483 17.531, 1084205.0902677863 7801515.9203653475 17.531, 1084199.3026266363 7801519.269510365 17.531, 1084198.4955022847 7801519.722637735 17.531, 1084197.8064897973 7801520.096967537 17.531, 1084197.0190241258 7801520.451639306 17.531, 1084196.211899789 7801520.904766654 17.531, 1084195.5228873156 7801521.279096437 17.531, 1084194.7157629896 7801521.73222377 17.531, 1084194.0267505224 7801522.106553544 17.531, 1084193.219626206 7801522.559680865 17.531, 1084192.4125018942 7801523.012808178 17.531, 1084191.6053775877 7801523.465935485 17.631, 1084190.7982532892 7801523.919062778 17.631, 1084189.9911289914 7801524.372190073 17.631, 1084189.1840047017 7801524.825317353 17.631, 1084187.5697561372 7801525.731571891 17.631, 1084186.861085037 7801526.204357184 17.631, 1084186.073619443 7801526.559028854 17.631, 1084185.266495178 7801527.012156098 17.631, 1084184.577482767 7801527.386485786 17.631, 1084183.7703585122 7801527.839613018 17.631, 1084182.9632342635 7801528.292740235 17.631, 1084182.0379981734 7801528.824664989 17.631, 1084181.21121526 7801529.376247761 17.631, 1084180.404091027 7801529.829374954 17.631, 1084179.5773081225 7801530.380957711 17.631, 1084178.7701839015 7801530.834084884 17.631, 1084177.8449478424 7801531.366009588 17.631, 1084172.9825439767 7801534.183227983 17.531, 1084172.1754197981 7801534.636355093 17.531, 1084171.269842468 7801535.069824159 17.531, 1084170.4430596216 7801535.621406807 17.531, 1084169.5374823033 7801536.054875859 17.531, 1084168.710699466 7801536.6064584935 17.531, 1084167.8051221645 7801537.039927516 17.431, 1084166.9783393391 7801537.591510127 17.431, 1084166.0531033669 7801538.123434697 17.431, 1084165.2459792336 7801538.576561734 17.431, 1084164.4191964227 7801539.128144317 17.431, 1084163.493960471 7801539.66006885 17.431, 1084162.6868363526 7801540.113195865 17.431, 1084161.7616004136 7801540.645120377 17.431, 1084160.9544763076 7801541.0982473735 17.431, 1084160.0292403807 7801541.63017187 17.431, 1084159.2221162862 7801542.083298848 17.431, 1084158.2968803714 7801542.615223323 17.431, 1084157.4897562903 7801543.068350282 17.431, 1084156.5645203888 7801543.600274734 17.431, 1084155.757396317 7801544.053401681 17.431, 1084154.832160429 7801544.585326115 17.431, 1084153.099800494 7801545.570377452 17.431, 1084152.2926764449 7801546.023504361 17.431, 1084151.3870992702 7801546.456973217 17.431, 1084150.560316545 7801547.008555645 17.431, 1084149.654739383 7801547.442024487 17.531, 1084148.8476153577 7801547.895151363 17.531, 1084147.9223795214 7801548.427075719 17.531, 1084147.1152555067 7801548.8802025765 17.531, 1084146.2096783724 7801549.313671383 17.531, 1084144.4773185593 7801550.298722538 17.531, 1084143.5717414455 7801550.732191321 17.531, 1084142.7646174605 7801551.185318136 17.531, 1084141.8393816722 7801551.717242415 17.531, 1084140.9338045795 7801552.150711169 17.531, 1084140.1266806116 7801552.603837961 17.531, 1084139.2014448415 7801553.135762213 17.531, 1084138.2958677697 7801553.569230947 17.531, 1084137.390290706 7801554.002699663 17.531, 1084135.6579310196 7801554.987750634 17.531, 1084134.7523539779 7801555.421219319 17.531, 1084133.84677694 7801555.85468801 17.531, 1084132.9411999122 7801556.288156684 17.531, 1084132.035622891 7801556.721625343 17.631, 1084131.2284989837 7801557.174752054 17.631, 1084130.322921976 7801557.608220704 17.631, 1084129.3976862838 7801558.140144846 17.631, 1084128.4921092908 7801558.573613481 17.631, 1084127.5865323064 7801559.007082095 17.631, 1084126.6809553269 7801559.440550716 17.631, 1084125.8738314565 7801559.8936773725 17.631, 1084124.9682544922 7801560.327145968 17.631, 1084121.3459467096 7801562.06102027 17.631, 1084120.4403697823 7801562.494488822 17.631, 1084119.5347928633 7801562.927957369 17.631, 1084118.6292159501 7801563.361425908 17.631, 1084117.723639045 7801563.794894437 17.631, 1084116.8180621471 7801564.228362955 17.631, 1084115.9124852577 7801564.661831463 17.631, 1084115.0069083748 7801565.0952999685 17.731, 1084114.1013314994 7801565.528768464 17.731, 1084113.1957546314 7801565.96223695 17.731, 1084112.2901777704 7801566.395705424 17.731, 1084111.3846009183 7801566.829173894 17.731, 1084110.4790240722 7801567.262642358 17.731, 1084108.6875291015 7801568.0311237695 17.731, 1084107.7819522778 7801568.464592204 17.731, 1084106.8763754624 7801568.898060631 17.731, 1084105.970798655 7801569.331529046 17.731, 1084105.0848805523 7801569.666541983 17.731, 1084104.1793037592 7801570.100010385 17.731, 1084103.1752738997 7801570.513820722 17.731, 1084102.2696971225 7801570.947289109 17.831, 1084101.383779052 7801571.282302012 17.831, 1084099.5726255346 7801572.149238743 17.831, 1084098.6867074873 7801572.48425163 17.831, 1084097.682677681 7801572.898061916 17.831, 1084096.7771009507 7801573.331530246 17.831, 1084095.8911829272 7801573.666543116 17.831, 1084094.9856062112 7801574.100011432 17.831, 1084094.0012351407 7801574.415366225 17.831, 1084093.0956584408 7801574.848834527 17.831, 1084092.1900817472 7801575.282302823 17.831, 1084091.3041637633 7801575.617315655 17.831, 1084090.3985870853 7801576.050783934 17.831, 1084089.4142160618 7801576.366138681 17.831, 1084088.5086393997 7801576.799606947 17.831, 1084087.6030627452 7801577.233075203 17.831, 1084085.7131151091 7801577.981898174 17.931, 1084084.827197182 7801578.316910952 17.931, 1084083.823167509 7801578.730721112 17.931, 1084082.9372495972 7801579.065733882 17.931, 1084082.0513316935 7801579.400746638 17.931, 1084081.0473020482 7801579.814556776 17.931, 1084080.1613841597 7801580.1495695235 17.931, 1084079.2558075772 7801580.583037703 17.931, 1084078.2714366624 7801580.898392372 17.931, 1084076.4799422396 7801581.666873254 17.931, 1084075.4955713525 7801581.982227903 17.931, 1084074.5899948082 7801582.415696046 17.931, 1084073.6056239395 7801582.731050682 17.931, 1084072.719706118 7801583.066063373 17.931, 1084071.7353352676 7801583.381417991 18.031, 1084070.8297587559 7801583.814886107 18.031, 1084069.845387924 7801584.130240716 18.031, 1084068.9594701356 7801584.465253375 18.031, 1084067.0695228435 7801585.214076049 18.031, 1084066.0851520495 7801585.52943063 18.031, 1084065.1992342928 7801585.86444327 18.031, 1084064.2148635169 7801586.1797978375 18.031, 1084063.328945777 7801586.514810459 18.031, 1084062.3249163136 7801586.92862044 18.031, 1084061.4389985907 7801587.263633047 18.031, 1084060.4546278524 7801587.578987586 18.031, 1084059.5687101458 7801587.914000182 18.031, 1084057.6984217358 7801588.564367295 18.031, 1084056.7140510348 7801588.879721807 18.131, 1084055.729680344 7801589.195076317 18.131, 1084054.8437626795 7801589.53008888 18.131, 1084053.8593920069 7801589.845443374 18.131, 1084052.875021345 7801590.1607978605 18.131, 1084051.9891037052 7801590.495810407 18.131, 1084051.0047330623 7801590.811164882 18.131, 1084050.118815438 7801591.146177417 18.131, 1084048.1500741984 7801591.776886331 18.131, 1084047.2641566016 7801592.111898841 18.131, 1084046.279786005 7801592.4272532845 18.131, 1084045.2954154194 7801592.742607717 18.131, 1084044.311044842 7801593.057962149 18.131, 1084043.425127279 7801593.392974637 18.131, 1084042.460415429 7801593.609873652 18.231, 1084041.4760448812 7801593.925228066 18.231, 1084040.5901273424 7801594.260240536 18.231, 1084038.6213862954 7801594.890949324 18.231, 1084037.656674494 7801595.107848315 18.231, 1084036.7707569906 7801595.442860756 18.231, 1084035.7863865015 7801595.7582151275 18.231, 1084034.80201602 7801596.073569496 18.231, 1084033.8373042587 7801596.290468466 18.231, 1084032.852933798 7801596.605822818 18.231, 1084031.967016338 7801596.940835227 18.231, 1084030.9826458963 7801597.256189569 18.231, 1084029.0335637508 7801597.788442847 18.231, 1084028.0688520488 7801598.005341786 18.231, 1084027.1829346314 7801598.340354167 18.331, 1084026.1985642384 7801598.655708482 18.331, 1084025.2338525644 7801598.872607406 18.331, 1084024.2494821912 7801599.187961705 18.331, 1084023.2847705365 7801599.404860619 18.331, 1084022.3004001838 7801599.720214907 18.331, 1084021.335688549 7801599.937113812 18.331, 1084019.485059577 7801600.489025044 18.431, 1084018.5006892616 7801600.804379314 18.431, 1084017.5359776677 7801601.021278194 18.431, 1084016.551607374 7801601.336632443 18.431, 1084015.5868957979 7801601.55353132 18.431, 1084014.6025255234 7801601.868885558 18.431, 1084013.6378139677 7801602.085784426 18.531, 1084012.673102423 7801602.302683284 18.531, 1084011.6887321789 7801602.618037508 18.531, 1084009.7396504292 7801603.150290568 18.531, 1084008.7749389228 7801603.367189411 18.531, 1084007.8102274276 7801603.584088249 18.631, 1084006.8455159422 7801603.800987084 18.631, 1084005.8611457576 7801604.11634127 18.631, 1084004.8964342913 7801604.333240097 18.631, 1084003.931722836 7801604.550138918 18.731, 1084002.9473526813 7801604.865493085 18.731, 1084001.982641247 7801605.0823918935 18.731, 1084000.0532184052 7801605.516189501 18.731, 1083999.0885069994 7801605.7330883 18.831, 1083998.1041368935 7801606.048442444 18.831, 1083997.139425508 7801606.265341232 18.831, 1083996.1747141331 7801606.482240016 18.831, 1083995.210002767 7801606.699138791 18.831, 1083994.2452914123 7801606.916037565 18.931, 1083993.1821271204 7801607.11327827 18.931, 1083992.2174157854 7801607.330177038 18.931, 1083991.25270446 7801607.547075801 18.931, 1083990.3864460876 7801607.783632625 18.931, 1083989.5201877225 7801608.020189444 19.031, 1083988.6539293649 7801608.256746263 19.031, 1083987.6892180764 7801608.47364501 19.031, 1083986.8229597355 7801608.710201814 19.031, 1083985.9763601124 7801608.848303285 19.031, 1083985.011648851 7801609.065202019 19.031, 1083984.1453905355 7801609.301758814 19.131, 1083983.279132227 7801609.538315606 19.131, 1083982.412873926 7801609.774872393 19.131, 1083981.4481627033 7801609.991771107 19.131, 1083980.7001754465 7801610.661465332 19.231, 1083980.070299829 7801611.252362287 19.331))</t>
  </si>
  <si>
    <t>['EV105 S2D1 m3657-3779']</t>
  </si>
  <si>
    <t>LINESTRING Z (1083976.448316 7801614.010101 19.531, 1083976.389021 7801613.281598 19.331, 1083974.498438 7801611.982681 19.231, 1083972.962668 7801611.983176 19.231, 1083969.596088 7801612.949061 19.231, 1083964.930121 7801614.26978 19.231, 1083955.283171 7801616.950701 19.231, 1083940.911279 7801621.247707 19.231, 1083926.440937 7801625.525052 19.331, 1083916.853125 7801628.42254 19.431, 1083907.166862 7801631.300368 19.431, 1083897.638188 7801634.414422 19.631, 1083893.5826 7801635.754634 19.731, 1083882.833495 7801639.853569 19.831, 1083878.423573 7801641.430171 20.231, 1083869.525095 7801644.977196 20.231, 1083858.323205 7801649.292862 20.231, 1083858.79597 7801650.001542 20.231, 1083860.981908 7801651.359432 20.231, 1083865.214582 7801649.645059 20.231, 1083870.411967 7801647.713788 20.331, 1083875.727463 7801645.70372 20.231, 1083881.456429 7801643.673829 20.231, 1083886.02378 7801641.821519 20.231, 1083890.925807 7801639.831273 20.131, 1083894.882942 7801638.471404 20.031, 1083900.493798 7801636.520309 20.031, 1083907.640423 7801634.568719 20.031, 1083912.877287 7801632.95247 20.031, 1083918.015697 7801631.316563 20.031, 1083923.351014 7801629.719972 20.031, 1083929.670701 7801627.808027 19.931, 1083935.419488 7801626.191613 19.931, 1083941.050165 7801624.653995 19.931, 1083945.71613 7801623.333276 19.831, 1083949.791538 7801622.406543 19.831, 1083953.886605 7801621.381354 19.831, 1083958.040649 7801620.0608 19.731, 1083962.903521 7801618.779397 19.631, 1083966.821341 7801617.616436 19.631, 1083970.837615 7801616.473134 19.531, 1083975.208383 7801615.605374 19.531, 1083976.448316 7801614.010101 19.531)</t>
  </si>
  <si>
    <t>POLYGON Z ((1083976.448316 7801614.010101 19.531, 1083976.389021 7801613.281598 19.331, 1083974.498438 7801611.982681 19.231, 1083972.962668 7801611.983176 19.231, 1083969.596088 7801612.949061 19.231, 1083964.930121 7801614.26978 19.231, 1083955.283171 7801616.950701 19.231, 1083940.911279 7801621.247707 19.231, 1083926.440937 7801625.525052 19.331, 1083916.853125 7801628.42254 19.431, 1083907.166862 7801631.300368 19.431, 1083897.638188 7801634.414422 19.631, 1083893.5826 7801635.754634 19.731, 1083882.833495 7801639.853569 19.831, 1083878.423573 7801641.430171 20.231, 1083869.525095 7801644.977196 20.231, 1083858.323205 7801649.292862 20.231, 1083858.79597 7801650.001542 20.231, 1083860.981908 7801651.359432 20.231, 1083865.214582 7801649.645059 20.231, 1083870.411967 7801647.713788 20.331, 1083875.727463 7801645.70372 20.231, 1083881.456429 7801643.673829 20.231, 1083886.02378 7801641.821519 20.231, 1083890.925807 7801639.831273 20.131, 1083894.882942 7801638.471404 20.031, 1083900.493798 7801636.520309 20.031, 1083907.640423 7801634.568719 20.031, 1083912.877287 7801632.95247 20.031, 1083918.015697 7801631.316563 20.031, 1083923.351014 7801629.719972 20.031, 1083929.670701 7801627.808027 19.931, 1083935.419488 7801626.191613 19.931, 1083941.050165 7801624.653995 19.931, 1083945.71613 7801623.333276 19.831, 1083949.791538 7801622.406543 19.831, 1083953.886605 7801621.381354 19.831, 1083958.040649 7801620.0608 19.731, 1083962.903521 7801618.779397 19.631, 1083966.821341 7801617.616436 19.631, 1083970.837615 7801616.473134 19.531, 1083975.208383 7801615.605374 19.531, 1083976.448316 7801614.010101 19.531))</t>
  </si>
  <si>
    <t>2018-02-26</t>
  </si>
  <si>
    <t>2025-11-22T09:14:58Z</t>
  </si>
  <si>
    <t>['FV120 S13D1 m1196-1240']</t>
  </si>
  <si>
    <t>LINESTRING Z (278765.985839844 6659115.42663574 -999999, 278774.099731445 6659116.66125488 -999999, 278777.539306641 6659116.22033691 -999999, 278779.567871094 6659115.16198731 -999999, 278782.478271484 6659112.51611328 -999999, 278785.829589844 6659106.43078613 -999999, 278786.358764648 6659104.31408691 -999999, 278786.358764648 6659102.46203613 -999999, 278785.212280273 6659099.99255371 -999999, 278780.097045898 6659090.73217773 -999999, 278777.848022461 6659084.3380127 -999999, 278776.172363281 6659078.51721192 -999999, 278775.466796875 6659071.99084473 -999999, 278768.433227539 6659103.98339844 -999999, 278771.177856445 6659104.34667969 -999999, 278771.384887695 6659103.27502441 -999999, 278774.033691406 6659089.56359863 -999999, 278774.342285156 6659089.07849121 -999999, 278774.606933594 6659089.03442383 -999999, 278775.091918945 6659089.21081543 -999999, 278779.58984375 6659095.73718262 -999999, 278781.816772461 6659099.94848633 -999999, 278782.169555664 6659101.13903809 -999999, 278782.323852539 6659102.35180664 -999999, 278782.103393555 6659104.51257324 -999999, 278781.706542969 6659107.02612305 -999999, 278781.089233398 6659108.17260742 -999999, 278779.634033203 6659109.8482666 -999999, 278777.826049805 6659110.99487305 -999999, 278775.577026367 6659111.92089844 -999999, 278771.431884766 6659112.80285645 -999999, 278769.535766602 6659112.84692383 -999999, 278771.177856445 6659104.34667969 -999999, 278768.433227539 6659103.98339844 -999999, 278765.985839844 6659115.42663574 -999999)</t>
  </si>
  <si>
    <t>2018-03-22</t>
  </si>
  <si>
    <t>['FV6612 S1D1 m5980 KD1 m0-78']</t>
  </si>
  <si>
    <t>LINESTRING Z (263790.51 7027576.46 20.818, 263792.82 7027576.23 20.848, 263793.2 7027574.12 20.868, 263794.22 7027572.24 20.908, 263795.4 7027571.72 20.868, 263797.28 7027571.9 20.928, 263799.05 7027573.2 20.838, 263799.49 7027575.37 20.858, 263798.44 7027577.64 20.838, 263796.25 7027578.51 20.838, 263794.17 7027577.73 20.878, 263792.83 7027576.22 20.848, 263790.51 7027576.46 20.818, 263791.46 7027578.52 20.848, 263792.97 7027579.98 20.858, 263795.01 7027580.74 20.818, 263797.08 7027580.8 20.818, 263799.13 7027580.12 20.838, 263800.84 7027578.6 20.828, 263801.81 7027576.54 20.838, 263801.92 7027574.24 20.818, 263801.23 7027572.17 20.818, 263799.67 7027570.4 20.818, 263797.44 7027569.38 20.808, 263795.08 7027569.35 20.818, 263793.09 7027570.19 20.788, 263792.08 7027570.96 20.758, 263790.98 7027572.52 20.758, 263790.4 7027574.39 20.828, 263790.51 7027576.46 20.818)</t>
  </si>
  <si>
    <t>2016-12-01</t>
  </si>
  <si>
    <t>2025-11-22T09:15:05Z</t>
  </si>
  <si>
    <t>['EV18 S31D1 m5501-5690']</t>
  </si>
  <si>
    <t>LINESTRING Z (216523.489990234 6559456.81005859 57.043, 216523.739990234 6559456.48999023 57.243, 216523.989990234 6559456.17993164 57.443, 216524.229980469 6559455.87011719 57.643, 216524.479980469 6559455.55004883 57.843, 216524.719970703 6559455.22998047 58.043, 216524.929931641 6559454.88989258 58.243, 216525.139892578 6559454.54003906 58.443, 216525.350097656 6559454.19995117 58.643, 216525.540039062 6559453.84008789 58.843, 216525.75 6559453.5 59.043, 216525.909912109 6559453.13989258 59.243, 216526.060058594 6559452.77001953 59.443, 216526.219970703 6559452.38989258 59.643, 216526.370117188 6559452.0300293 59.843, 216526.520019531 6559451.65991211 60.043, 216526.139892578 6559451.36010742 60.043, 216525.75 6559451.04003906 60.043, 216525.360107422 6559450.73999024 60.043, 216524.969970703 6559450.42993164 60.043, 216524.590087891 6559450.12011719 60.043, 216524.199951172 6559449.81005859 60.043, 216523.820068359 6559449.5 60.043, 216523.419921875 6559449.18994141 60.043, 216523.040039063 6559448.88989258 60.043, 216522.649902344 6559448.57006836 60.043, 216522.270019531 6559448.27001953 60.043, 216521.879882813 6559447.94995117 60.043, 216521.489990234 6559447.64990234 60.043, 216521.100097656 6559447.34008789 60.043, 216520.719970703 6559447.0300293 60.043, 216520.330078125 6559446.7199707 60.043, 216519.949951172 6559446.40991211 60.043, 216519.560058594 6559446.10009766 60.043, 216519.169921875 6559445.80004883 60.043, 216518.780029297 6559445.47998047 60.043, 216518.399902344 6559445.17993164 60.043, 216518.010009766 6559444.87988281 60.043, 216517.629882813 6559444.56005859 60.043, 216517.229980469 6559444.26000977 60.043, 216516.850097656 6559443.93994141 60.043, 216516.459960938 6559443.63989258 60.043, 216516.080078125 6559443.33007813 60.043, 216515.689941406 6559443.02001953 60.043, 216515.300048828 6559442.70996094 60.043, 216514.909912109 6559442.39990234 60.043, 216514.530029297 6559442.09008789 60.043, 216514.139892578 6559441.79003906 60.043, 216513.760009766 6559441.4699707 60.043, 216513.370117188 6559441.16992188 60.043, 216512.979980469 6559440.86010742 60.043, 216512.590087891 6559440.55004883 60.043, 216512.199951172 6559440.23999023 60.043, 216511.820068359 6559439.92993164 60.043, 216511.429931641 6559439.62011719 60.043, 216511.300048828 6559439.14990234 60.043, 216511.179931641 6559438.67993164 60.043, 216511.050048828 6559438.19995117 60.043, 216510.929931641 6559437.7199707 60.043, 216510.790039063 6559437.25 60.043, 216510.669921875 6559436.7800293 60.043, 216510.550048828 6559436.30004883 60.043, 216510.419921875 6559435.83007813 60.043, 216510.300048828 6559435.36010742 60.043, 216510.159912109 6559434.88989258 60.043, 216510.040039063 6559434.40991211 60.043, 216509.919921875 6559433.92993164 60.043, 216509.790039063 6559433.45996094 60.043, 216509.659912109 6559432.97998047 60.043, 216509.530029297 6559432.51000977 60.043, 216509.409912109 6559432.04003906 60.043, 216509.290039063 6559431.56005859 60.043, 216509.149902344 6559431.09008789 60.043, 216509.030029297 6559430.61010742 60.043, 216508.899902344 6559430.13989258 60.043, 216508.780029297 6559429.65991211 60.043, 216508.659912109 6559429.18994141 60.043, 216508.520019531 6559428.7199707 60.043, 216508.169921875 6559428.37011719 60.043, 216507.820068359 6559428.0300293 60.043, 216507.459960938 6559427.68994141 60.043, 216507.110107422 6559427.35009766 60.043, 216506.739990234 6559427 60.043, 216506.389892578 6559426.66992188 60.043, 216506.030029297 6559426.32006836 60.043, 216505.679931641 6559425.97998047 60.043, 216505.330078125 6559425.62988281 60.043, 216504.969970703 6559425.30004883 60.043, 216504.620117188 6559424.94995117 60.043, 216504.25 6559424.61010742 60.043, 216503.899902344 6559424.27001953 60.043, 216503.550048828 6559423.92993164 60.043, 216503.189941406 6559423.58007813 60.043, 216502.840087891 6559423.25 60.043, 216502.479980469 6559422.89990234 60.043, 216502.120117188 6559422.56005859 60.043, 216501.770019531 6559422.20996094 60.043, 216501.409912109 6559421.87988281 60.043, 216501.060058594 6559421.5300293 60.043, 216500.699951172 6559421.18994141 60.043, 216500.879882812 6559420.72998047 60.013, 216501.070068359 6559420.27001953 59.973, 216501.260009766 6559419.80004883 59.943, 216501.449951172 6559419.35009766 59.903, 216501.629882813 6559418.87988281 59.873, 216501.820068359 6559418.41992188 59.843, 216502.010009766 6559417.95996094 59.803, 216502.189941406 6559417.5 59.773, 216502.379882813 6559417.04003906 59.743, 216502.570068359 6559416.57006836 59.703, 216502.760009766 6559416.11010742 59.673, 216502.939941406 6559415.65991211 59.633, 216503.129882813 6559415.18994141 59.603, 216503.320068359 6559414.72998047 59.573, 216503.5 6559414.27001953 59.533, 216503.689941406 6559413.81005859 59.503, 216503.870117188 6559413.35009766 59.473, 216504.060058594 6559412.87988281 59.433, 216504.239990234 6559412.42993164 59.403, 216504.429931641 6559411.9699707 59.363, 216504.620117188 6559411.5 59.333, 216504.800048828 6559411.04003906 59.303, 216504.989990234 6559410.58007813 59.263, 216505.179931641 6559410.12011719 59.233, 216505.370117188 6559409.65991211 59.193, 216505.550048828 6559409.18994141 59.163, 216505.739990234 6559408.73999023 59.133, 216505.929931641 6559408.27001953 59.093, 216506.110107422 6559407.81005859 59.063, 216506.300048828 6559407.35009766 59.033, 216506.489990234 6559406.88989258 58.993, 216506.669921875 6559406.42993164 58.963, 216506.860107422 6559405.9699707 58.923, 216507.050048828 6559405.5 58.893, 216507.239990234 6559405.05004883 58.863, 216507.409912109 6559404.58007812 58.823, 216507.600097656 6559404.12011719 58.793, 216507.790039063 6559403.65991211 58.763, 216507.969970703 6559403.19995117 58.723, 216508.159912109 6559402.73999023 58.693, 216508.350097656 6559402.27001953 58.653, 216508.540039063 6559401.81005859 58.623, 216508.719970703 6559401.36010742 58.593, 216508.909912109 6559400.88989258 58.553, 216509.100097656 6559400.42993164 58.523, 216509.280029297 6559399.9699707 58.493, 216509.469970703 6559399.51000977 58.453, 216509.659912109 6559399.05004883 58.423, 216509.850097656 6559398.58007812 58.383, 216510.030029297 6559398.12011719 58.353, 216510.219970703 6559397.66992188 58.323, 216510.409912109 6559397.19995117 58.283, 216510.590087891 6559396.73999023 58.253, 216510.770019531 6559396.27001953 58.213, 216510.959960938 6559395.82006836 58.183, 216511.149902344 6559395.36010742 58.153, 216511.330078125 6559394.88989258 58.113, 216511.520019531 6559394.42993164 58.083, 216511.709960938 6559393.9699707 58.053, 216511.889892578 6559393.51000977 58.013, 216512.080078125 6559393.05004883 57.983, 216512.270019531 6559392.59008789 57.943, 216512.449951172 6559392.12988281 57.913, 216512.639892578 6559391.66992188 57.883, 216512.830078125 6559391.19995117 57.843, 216513.020019531 6559390.75 57.813, 216513.199951172 6559390.2800293 57.783, 216513.389892578 6559389.82006836 57.743, 216513.580078125 6559389.36010742 57.713, 216513.760009766 6559388.89990234 57.673, 216513.949951172 6559388.43994141 57.643, 216514.139892578 6559387.9699707 57.613, 216514.320068359 6559387.51000977 57.573, 216514.5 6559387.06005859 57.543, 216514.689941406 6559386.59008789 57.503, 216514.879882813 6559386.12988281 57.473, 216515.060058594 6559385.66992188 57.443, 216515.25 6559385.20996094 57.403, 216515.439941406 6559384.75 57.373, 216515.629882813 6559384.2800293 57.343, 216515.810058594 6559383.82006836 57.303, 216516 6559383.37011719 57.273, 216516.189941406 6559382.89990234 57.233, 216516.370117188 6559382.43994141 57.203, 216516.560058594 6559381.9699707 57.173, 216516.75 6559381.52001953 57.133, 216516.939941406 6559381.06005859 57.103, 216516.550048828 6559380.91992188 57.233, 216516.159912109 6559380.80004883 57.373, 216515.770019531 6559380.65991211 57.503, 216515.389892578 6559380.54003906 57.633, 216515.159912109 6559380.91992188 57.633, 216514.939941406 6559381.30004883 57.633, 216514.709960937 6559381.68994141 57.633, 216514.489990234 6559382.07006836 57.643, 216514.260009766 6559382.45996094 57.643, 216514.040039063 6559382.84008789 57.643, 216513.810058594 6559383.2199707 57.643, 216513.590087891 6559383.61010742 57.643, 216513.370117188 6559383.98999023 57.643, 216513.159912109 6559384.34008789 57.643, 216512.959960938 6559384.67993164 57.643, 216512.760009766 6559385.0300293 57.643, 216512.560058594 6559385.37011719 57.643, 216512.360107422 6559385.7199707 57.643, 216512.149902344 6559386.06005859 57.653, 216511.949951172 6559386.40991211 57.653, 216511.75 6559386.75 57.653, 216511.550048828 6559387.10009766 57.653, 216511.340087891 6559387.44995117 57.653, 216511.169921875 6559387.72998047 57.653, 216511.010009766 6559388.02001953 57.653, 216510.840087891 6559388.31005859 57.653, 216510.669921875 6559388.60009766 57.653, 216510.510009766 6559388.87988281 57.603, 216510.340087891 6559389.16992188 57.553, 216510.110107422 6559389.56005859 57.553, 216509.879882813 6559389.94995117 57.553, 216509.639892578 6559390.32006836 57.553, 216509.399902344 6559390.69995117 57.553, 216509.139892578 6559391.07006836 57.553, 216508.889892578 6559391.41992187 57.553, 216508.689941406 6559391.68994141 57.553, 216508.449951172 6559392 57.553, 216508.219970703 6559392.30004883 57.563, 216507.979980469 6559392.60009766 57.563, 216507.729980469 6559392.88989258 57.563, 216507.479980469 6559393.18994141 57.563, 216507.219970703 6559393.4699707 57.563, 216506.949951172 6559393.73999023 57.563, 216506.689941406 6559394.02001953 57.563, 216506.419921875 6559394.30004883 57.563, 216506.139892578 6559394.56005859 57.563, 216505.860107422 6559394.83007813 57.563, 216505.580078125 6559395.09008789 57.563, 216505.290039063 6559395.34008789 57.563, 216504.989990234 6559395.59008789 57.563, 216504.699951172 6559395.83007813 57.563, 216504.389892578 6559396.07006836 57.572, 216504.100097656 6559396.30004883 57.572, 216503.780029297 6559396.54003906 57.572, 216503.439941406 6559396.7800293 57.572, 216503.080078125 6559397.02001953 57.572, 216502.75 6559397.25 57.572, 216502.469970703 6559397.42993164 57.572, 216502.189941406 6559397.60009766 57.572, 216501.840087891 6559397.79003906 57.572, 216501.489990234 6559397.98999023 57.572, 216501.149902344 6559398.18994141 57.572, 216500.810058594 6559398.37988281 57.572, 216500.479980469 6559398.5300293 57.572, 216500.159912109 6559398.69995117 57.572, 216499.919921875 6559398.81005859 57.572, 216499.689941406 6559398.91992188 57.583, 216499.399902344 6559399.04003906 57.583, 216499.110107422 6559399.16992187 57.583, 216498.760009766 6559399.31005859 57.583, 216498.389892578 6559399.44995117 57.582, 216498.030029297 6559399.58007813 57.582, 216497.679931641 6559399.70996094 57.582, 216497.320068359 6559399.82006836 57.582, 216496.959960938 6559399.93994141 57.582, 216496.520019531 6559400.06005859 57.582, 216496.090087891 6559400.17993164 57.582, 216495.639892578 6559400.30004883 57.582, 216495.280029297 6559400.38989258 57.582, 216494.899902344 6559400.4699707 57.582, 216494.590087891 6559400.54003906 57.592, 216494.260009766 6559400.60009766 57.592, 216493.860107422 6559400.65991211 57.592, 216493.449951172 6559400.70996094 57.592, 216493.060058594 6559400.77001953 57.592, 216492.659912109 6559400.83007813 57.592, 216492.270019531 6559400.86010742 57.592, 216491.879882813 6559400.88989258 57.592, 216491.659912109 6559400.90991211 57.592, 216491.409912109 6559400.91992187 57.592, 216491.159912109 6559400.92993164 57.592, 216490.780029297 6559400.93994141 57.592, 216490.5 6559400.94995117 57.592, 216490.540039063 6559400.97998047 57.882, 216490.590087891 6559401.01000977 58.162, 216490.169921875 6559400.97998047 57.972, 216489.760009766 6559400.95996094 57.782, 216489.360107422 6559400.93994141 57.602, 216488.969970703 6559400.91992187 57.702, 216488.580078125 6559400.88989258 57.652, 216488.199951172 6559400.87011719 57.602, 216487.850097656 6559400.83007813 57.652, 216487.479980469 6559400.79003906 57.702, 216487.120117188 6559400.75 57.702, 216486.689941406 6559400.70996094 57.712, 216486.439941406 6559400.68994141 57.652, 216486.189941406 6559400.66992188 57.602, 216485.729980469 6559400.64990234 57.602, 216485.429931641 6559400.63989258 57.602, 216485.159912109 6559400.63989258 57.602, 216484.879882812 6559400.64990234 57.612, 216484.580078125 6559400.64990234 57.612, 216484.320068359 6559400.66992188 57.612, 216484.050048828 6559400.67993164 57.612, 216483.699951172 6559400.69995117 57.612, 216483.209960938 6559400.75 57.612, 216482.820068359 6559400.80004883 57.612, 216482.379882813 6559400.87988281 57.612, 216481.959960938 6559400.94995117 57.612, 216481.639892578 6559401.02001953 57.612, 216481.229980469 6559401.11010742 57.612, 216480.979980469 6559401.16992188 57.622, 216480.729980469 6559401.23999024 57.622, 216480.409912109 6559401.32006836 57.622, 216480.010009766 6559401.44995117 57.622, 216479.600097656 6559401.58007813 57.622, 216479.199951172 6559401.72998047 57.622, 216478.800048828 6559401.87988281 57.622, 216478.419921875 6559402.05004883 57.622, 216478.030029297 6559402.22998047 57.622, 216477.649902344 6559402.39990234 57.622, 216477.270019531 6559402.59008789 57.632, 216476.899902344 6559402.80004883 57.632, 216476.530029297 6559403.01000977 57.632, 216476.199951172 6559403.20996094 57.632, 216475.840087891 6559403.43994141 57.632, 216475.739990234 6559403.5 57.632, 216475.419921875 6559403.72998047 57.632, 216475.070068359 6559403.97998047 57.632, 216474.75 6559404.22998047 57.632, 216474.409912109 6559404.48999023 57.632, 216474.090087891 6559404.77001953 57.642, 216473.760009766 6559405.05004883 57.642, 216473.469970703 6559405.33007813 57.642, 216473.159912109 6559405.62988281 57.642, 216472.899902344 6559405.90991211 57.642, 216472.590087891 6559406.22998047 57.642, 216472.330078125 6559406.5300293 57.642, 216472.030029297 6559406.87988281 57.642, 216471.760009766 6559407.22998047 57.642, 216471.469970703 6559407.60009766 57.642, 216471.189941406 6559407.97998047 57.652, 216470.909912109 6559408.36010742 57.652, 216470.620117188 6559408.72998047 57.652, 216470.469970703 6559408.93994141 57.652, 216470.320068359 6559409.13989258 57.652, 216469.949951172 6559408.90991211 57.822, 216469.580078125 6559408.66992188 57.982, 216469.219970703 6559408.43994141 58.152, 216469.060058594 6559408.64990234 58.152, 216468.899902344 6559408.86010742 58.152, 216468.649902344 6559409.20996094 58.152, 216468.350097656 6559409.61010742 58.152, 216468.189941406 6559409.82006836 58.152, 216468.020019531 6559410.0300293 58.152, 216467.729980469 6559410.41992187 58.152, 216467.439941406 6559410.81005859 58.162, 216467.149902344 6559411.19995117 58.162, 216466.860107422 6559411.59008789 58.162, 216466.699951172 6559411.80004883 58.162, 216466.560058594 6559412 58.162, 216466.409912109 6559412.19995117 58.162, 216466.25 6559412.39990234 58.162, 216466.110107422 6559412.60009766 58.162, 216465.949951172 6559412.80004883 58.162, 216465.800048828 6559413 58.162, 216465.659912109 6559413.19995117 58.162, 216465.5 6559413.39990234 58.162, 216465.350097656 6559413.60009766 58.162, 216465.050048828 6559414 58.162, 216464.899902344 6559414.19995117 58.162, 216464.75 6559414.39990234 58.172, 216464.449951172 6559414.81005859 58.172, 216464.169921875 6559415.18994141 58.172, 216463.889892578 6559415.55004883 58.172, 216463.610107422 6559415.91992188 58.172, 216463.350097656 6559416.2800293 58.172, 216463.080078125 6559416.62988281 58.172, 216462.790039063 6559417.01000977 58.172, 216462.510009766 6559417.38989258 58.172, 216462.229980469 6559417.76000977 58.172, 216461.989990234 6559418.09008789 58.182, 216461.75 6559418.41992188 58.182, 216461.479980469 6559418.7800293 58.182, 216461.790039063 6559419 58.172, 216461.879882813 6559419.07006836 58.162, 216461.709960938 6559419.30004883 58.162, 216461.530029297 6559419.54003906 58.162, 216461.239990234 6559419.92993164 58.162, 216461.080078125 6559420.12988281 58.162, 216460.919921875 6559420.34008789 58.172, 216460.649902344 6559420.7199707 58.172, 216460.489990234 6559420.91992188 58.172, 216460.340087891 6559421.12011719 58.172, 216460.179931641 6559421.33007813 58.172, 216460.020019531 6559421.54003906 58.172, 216459.729980469 6559421.93994141 58.172, 216459.419921875 6559422.35009766 58.172, 216459.280029297 6559422.55004883 58.172, 216459.120117187 6559422.75 58.172, 216458.969970703 6559422.94995117 58.172, 216458.830078125 6559423.14990234 58.172, 216458.540039063 6559423.5300293 58.172, 216458.389892578 6559423.73999024 58.172, 216458.229980469 6559423.93994141 58.172, 216458.080078125 6559424.13989258 58.182, 216457.919921875 6559424.34008789 58.182, 216457.679931641 6559424.68994141 58.182, 216457.489990234 6559424.91992188 58.182, 216457.320068359 6559425.15991211 58.182, 216457.159912109 6559425.37988281 58.182, 216457 6559425.59008789 58.182, 216456.709960938 6559425.9699707 58.182, 216456.550048828 6559426.17993164 58.182, 216456.399902344 6559426.37988281 58.182, 216456.110107422 6559426.77001953 58.182, 216455.860107422 6559427.10009766 58.182, 216455.610107422 6559427.43994141 58.182, 216455.360107422 6559427.7800293 58.192, 216455.100097656 6559428.11010742 58.192, 216454.850097656 6559428.44995117 58.192, 216454.600097656 6559428.79003906 58.192, 216454.370117188 6559429.09008789 58.192, 216454.139892578 6559429.38989258 58.192, 216453.919921875 6559429.69995117 58.192, 216453.689941406 6559429.98999023 58.192, 216453.389892578 6559430.39990234 58.192, 216453.100097656 6559430.80004883 58.192, 216452.800048828 6559431.19995117 58.192, 216452.5 6559431.59008789 58.202, 216452.199951172 6559431.98999023 58.202, 216452.030029297 6559432.2199707 58.202, 216451.850097656 6559432.44995117 58.202, 216451.600097656 6559432.7800293 58.202, 216451.449951172 6559432.98999023 58.202, 216451.290039063 6559433.19995117 58.202, 216451.149902344 6559433.39990234 58.202, 216450.989990234 6559433.61010742 58.202, 216450.699951172 6559433.98999023 58.202, 216450.550048828 6559434.19995117 58.202, 216450.399902344 6559434.39990234 58.202, 216450.229980469 6559434.62011719 58.202, 216450.070068359 6559434.84008789 58.202, 216449.780029297 6559435.2199707 58.212, 216449.5 6559435.60009766 58.212, 216449.330078125 6559435.81005859 58.212, 216449.169921875 6559436.04003906 58.212, 216448.909912109 6559436.37988281 58.212, 216448.629882813 6559436.75 58.212, 216448.330078125 6559437.15991211 58.212, 216448.040039063 6559437.5300293 58.212, 216447.879882813 6559437.76000977 58.212, 216447.699951172 6559437.98999023 58.212, 216447.409912109 6559438.37988281 58.212, 216447.139892578 6559438.73999023 58.212, 216446.979980469 6559438.95996094 58.222, 216446.800048828 6559439.18994141 58.222, 216446.520019531 6559439.57006836 58.222, 216446.229980469 6559439.94995117 58.222, 216445.939941406 6559440.35009766 58.222, 216445.649902344 6559440.72998047 58.222, 216445.370117188 6559441.12011719 58.222, 216445.070068359 6559441.5 58.222, 216444.790039063 6559441.88989258 58.222, 216444.489990234 6559442.27001953 58.222, 216444.199951172 6559442.66992188 58.232, 216444.040039062 6559442.87988281 58.232, 216443.879882813 6559443.09008789 58.232, 216443.600097656 6559443.4699707 58.232, 216443.300048828 6559443.87011719 58.232, 216442.989990234 6559444.27001953 58.232, 216442.699951172 6559444.67993164 58.232, 216442.399902344 6559445.07006836 58.232, 216442.100097656 6559445.4699707 58.232, 216441.800048828 6559445.87011719 58.232, 216441.489990234 6559446.27001953 58.232, 216441.199951172 6559446.66992188 58.242, 216440.899902344 6559447.07006836 58.242, 216440.600097656 6559447.4699707 58.242, 216440.300048828 6559447.87988281 58.242, 216440 6559448.2800293 58.242, 216439.699951172 6559448.67993164 58.242, 216439.399902344 6559449.07006836 58.242, 216439.100097656 6559449.4699707 58.242, 216438.800048828 6559449.87011719 58.242, 216438.5 6559450.27001953 58.252, 216438.199951172 6559450.67993164 58.252, 216438.040039063 6559450.88989258 58.252, 216437.879882813 6559451.10009766 58.252, 216437.659912109 6559451.38989258 58.252, 216437.439941406 6559451.68994141 58.252, 216437.219970703 6559452 58.252, 216437 6559452.2800293 58.252, 216436.699951172 6559452.67993164 58.252, 216436.399902344 6559453.07006836 58.252, 216436.100097656 6559453.4699707 58.252, 216435.800048828 6559453.87988281 58.262, 216435.5 6559454.2800293 58.262, 216435.280029297 6559454.56005859 58.262, 216435.070068359 6559454.85009766 58.262, 216434.879882813 6559455.10009766 58.262, 216434.699951172 6559455.36010742 58.262, 216434.5 6559455.61010742 58.262, 216434.340087891 6559455.82006836 58.262, 216434.179931641 6559456.04003906 58.262, 216434 6559456.2800293 58.262, 216433.699951172 6559456.68994141 58.262, 216433.5 6559456.94995117 58.262, 216433.219970703 6559457.32006836 58.262, 216433.010009766 6559457.60009766 58.272, 216432.800048828 6559457.87988281 58.272, 216432.5 6559458.2800293 58.272, 216432.199951172 6559458.67993164 58.272, 216432.040039063 6559458.88989258 58.272, 216431.879882813 6559459.12011719 58.272, 216431.649902344 6559459 58.282, 216431.889892578 6559459.12011719 59.292, 216431.439941406 6559458.89990234 59.302, 216430.600097656 6559460.02001953 59.322, 216430.239990234 6559460.4699707 58.292, 216429.989990234 6559460.80004883 58.292, 216429.699951172 6559461.17993164 58.292, 216429.560058594 6559461.37988281 58.292, 216429.399902344 6559461.58007813 58.292, 216429.239990234 6559461.79003906 58.292, 216428.959960938 6559462.16992187 58.292, 216428.800048828 6559462.37988281 58.292, 216428.659912109 6559462.58007813 58.292, 216428.5 6559462.79003906 58.292, 216428.340087891 6559463 58.302, 216428.080078125 6559463.33007813 58.302, 216427.889892578 6559463.60009766 58.302, 216427.709960938 6559463.85009766 58.302, 216427.459960938 6559464.17993164 58.302, 216427.290039063 6559464.38989258 58.302, 216427.030029297 6559464.76000977 58.302, 216426.75 6559465.12988281 58.302, 216426.590087891 6559465.35009766 58.302, 216426.429931641 6559465.58007813 58.302, 216426.719970703 6559465.2199707 59.432, 216426.179931641 6559465.97998047 59.452, 216425.679931641 6559466.76000977 59.472, 216425.199951172 6559467.57006836 59.482, 216424.760009766 6559468.38989258 59.502, 216424.340087891 6559469.22998047 59.522, 216423.959960938 6559470.08007813 59.542, 216423.600097656 6559470.94995117 59.552, 216423.290039063 6559471.82006836 59.572, 216423 6559472.70996094 59.592, 216422.75 6559473.61010742 59.602, 216422.540039063 6559474.52001953 59.622, 216422.340087891 6559475.42993164 59.632, 216422.209960938 6559476.36010742 59.662, 216422.100097656 6559477.29003906 59.672, 216422.020019531 6559478.20996094 59.692, 216421.979980469 6559479.14990234 59.712, 216421.979980469 6559480.08007813 59.722, 216422 6559481.01000977 59.742, 216422.060058594 6559481.94995117 59.762, 216422.159912109 6559482.87988281 59.772, 216422.300048828 6559483.80004883 59.792, 216422.469970703 6559484.7199707 59.812, 216422.669921875 6559485.62988281 59.832, 216422.899902344 6559486.54003906 59.842, 216423.169921875 6559487.42993164 59.862, 216423.479980469 6559488.31005859 59.882, 216423.820068359 6559489.17993164 59.892, 216424.179931641 6559490.04003906 59.912, 216424.580078125 6559490.88989258 59.932, 216425.030029297 6559491.70996094 59.942, 216425.479980469 6559492.52001953 59.962, 216425.989990234 6559493.31005859 59.982, 216426.510009766 6559494.09008789 60.002, 216427.060058594 6559494.84008789 60.012, 216427.639892578 6559495.56005859 60.032, 216428.25 6559496.2800293 60.052, 216428.889892578 6559496.95996094 60.062, 216429.550048828 6559497.62011719 60.082, 216430.219970703 6559498.27001953 60.102, 216430.939941406 6559498.87011719 60.112, 216431.669921875 6559499.44995117 60.122, 216432.419921875 6559500.01000977 60.152, 216433.189941406 6559500.52001953 60.172, 216436.090087891 6559500.87988281 59.702, 216436.570068359 6559500.89990234 59.712, 216437.050048828 6559500.91992187 59.722, 216437.530029297 6559500.91992187 59.722, 216438.020019531 6559500.93994141 59.732, 216438.439941406 6559500.94995117 59.732, 216438.850097656 6559500.9699707 59.742, 216439.260009766 6559500.97998047 59.742, 216439.669921875 6559500.97998047 59.752, 216440.050048828 6559500.98999023 59.752, 216440.419921875 6559501.01000977 59.762, 216440.800048828 6559501.01000977 59.762, 216441.169921875 6559501.0300293 59.772, 216441.639892578 6559501.04003906 59.772, 216442.120117187 6559501.06005859 59.782, 216442.580078125 6559501.06005859 59.782, 216443.050048828 6559501.08007813 59.792, 216443.520019531 6559501.09008789 59.802, 216444.010009766 6559501.11010742 59.802, 216444.510009766 6559501.12011719 59.812, 216445.010009766 6559501.12988281 59.812, 216445.5 6559501.14990234 59.822, 216445.989990234 6559501.15991211 59.832, 216446.5 6559501.16992188 59.832, 216446.989990234 6559501.18994141 59.842, 216447.479980469 6559501.19995117 59.842, 216447.979980469 6559501.20996094 59.852, 216448.469970703 6559501.22998047 59.862, 216448.969970703 6559501.23999023 59.862, 216449.469970703 6559501.26000977 59.872, 216449.959960938 6559501.27001953 59.882, 216450.449951172 6559501.2800293 59.882, 216450.949951172 6559501.30004883 59.892, 216451.449951172 6559501.31005859 59.892, 216451.939941406 6559501.32006836 59.902, 216452.429931641 6559501.34008789 59.912, 216452.939941406 6559501.36010742 59.912, 216453.429931641 6559501.36010742 59.922, 216453.919921875 6559501.37988281 59.922, 216454.419921875 6559501.39990235 59.932, 216454.909912109 6559501.39990235 59.942, 216455.409912109 6559501.41992188 59.942, 216455.909912109 6559501.43994141 59.952, 216456.399902344 6559501.44995117 59.952, 216456.889892578 6559501.45996094 59.962, 216457.399902344 6559501.47998047 59.972, 216457.889892578 6559501.48999023 59.972, 216458.379882813 6559501.5 59.982, 216458.870117188 6559501.52001953 59.992, 216459.379882813 6559501.5300293 59.992, 216459.870117188 6559501.55004883 60.002, 216460.360107422 6559501.56005859 60.002, 216460.860107422 6559501.57006836 60.012, 216461.360107422 6559501.59008789 60.022, 216461.850097656 6559501.60009766 60.022, 216462.350097656 6559501.61010742 60.032, 216462.840087891 6559501.62988281 60.032, 216463.340087891 6559501.64990234 60.042, 216463.800048828 6559501.81005859 59.992, 216464.260009766 6559501.97998047 59.942, 216464.719970703 6559502.14990234 59.902, 216465.179931641 6559502.31005859 59.852, 216465.649902344 6559502.47998047 59.802, 216466.110107422 6559502.63989258 59.752, 216466.570068359 6559502.80004883 59.712, 216467.030029297 6559502.9699707 59.662, 216467.489990234 6559503.13989258 59.612, 216467.949951172 6559503.30004883 59.562, 216468.409912109 6559503.4699707 59.522, 216468.879882813 6559503.63989258 59.472, 216469.340087891 6559503.80004883 59.423, 216469.800048828 6559503.9699707 59.373, 216470.260009766 6559504.13989258 59.333, 216470.719970703 6559504.30004883 59.283, 216471.189941406 6559504.4699707 59.232, 216471.639892578 6559504.63989258 59.182, 216472.100097656 6559504.80004883 59.142, 216472.570068359 6559504.9699707 59.092, 216473.030029297 6559505.13989258 59.043, 216473.489990234 6559505.30004883 58.993, 216473.949951172 6559505.45996094 58.943, 216474.419921875 6559505.62988281 58.903, 216474.879882813 6559505.79003906 58.853, 216475.340087891 6559505.95996094 58.803, 216475.800048828 6559506.12988281 58.753, 216476.25 6559506.29003906 58.713, 216476.719970703 6559506.45996094 58.663, 216477.179931641 6559506.62988281 58.613, 216477.639892578 6559506.79003906 58.563, 216478.110107422 6559506.95996094 58.523, 216478.570068359 6559507.12988281 58.473, 216479.030029297 6559507.29003906 58.423, 216479.489990234 6559507.45996094 58.373, 216479.959960938 6559507.62988281 58.333, 216480.419921875 6559507.79003906 58.283, 216480.870117188 6559507.95996094 58.233, 216481.330078125 6559508.12988281 58.183, 216481.790039063 6559508.2800293 58.143, 216482.260009766 6559508.44995117 58.093, 216482.719970703 6559508.62011719 58.043, 216482.929931641 6559508.31005859 57.793, 216483.149902344 6559507.98999024 57.543, 216483.360107422 6559507.68994141 57.293, 216483.570068359 6559507.37011719 57.043, 216483.780029297 6559507.07006836 56.793, 216483.989990234 6559506.75 56.543, 216484.209960938 6559506.43994141 56.293, 216484.419921875 6559506.12988281 56.043, 216484.649902344 6559505.84008789 55.793, 216484.879882812 6559505.5300293 55.543, 216485.110107422 6559505.22998047 55.293, 216485.340087891 6559504.93994141 55.043, 216485.580078125 6559504.64990234 54.793, 216485.820068359 6559504.37011719 54.543, 216486.419921875 6559503.52001953 55.783, 216486.040039063 6559503.19995117 55.673, 216485.669921875 6559502.89990234 55.563, 216485.290039063 6559502.59008789 55.453, 216484.919921875 6559502.2800293 55.343, 216484.550048828 6559501.9699707 55.223, 216484.169921875 6559501.66992188 55.113, 216483.790039062 6559501.35009766 55.003, 216483.419921875 6559501.04003906 54.893, 216483.040039063 6559500.72998047 54.783, 216482.669921875 6559500.41992187 54.673, 216482.300048828 6559500.12011719 54.553, 216481.919921875 6559499.79003906 54.443, 216481.919921875 6559499.63989258 54.413, 216481.800048828 6559497.87988281 53.953, 216481.840087891 6559496.75 53.713, 216481.689941406 6559496.12011719 53.493, 216481.320068359 6559492.59008789 52.723, 216480.949951172 6559492.26000977 52.753, 216479.870117188 6559491.22998047 52.953, 216476.620117188 6559488.16992188 53.153, 216474.449951172 6559486.12011719 53.353, 216474.100097656 6559485.77001953 53.382, 216473.729980469 6559485.42993164 53.302, 216469.830078125 6559481.57006836 52.332, 216469.659912109 6559481.42993164 52.302, 216469.330078125 6559481.10009766 52.212, 216469 6559480.77001953 52.132, 216468.649902344 6559480.43994141 52.052, 216468.320068359 6559480.11010742 51.972, 216467.989990234 6559479.7800293 51.882, 216467.649902344 6559479.44995117 51.802, 216467.310058594 6559479.12988281 51.722, 216466.979980469 6559478.80004883 51.642, 216466.669921875 6559478.44995117 51.572, 216466.370117188 6559478.11010742 51.502, 216466.060058594 6559477.77001953 51.442, 216465.770019531 6559477.42993164 51.372, 216465.469970703 6559477.08007812 51.312, 216465.159912109 6559476.73999023 51.242, 216464.860107422 6559476.39990234 51.172, 216464.560058594 6559476.06005859 51.112, 216464.25 6559475.7199707 51.042, 216463.909912109 6559475.43994141 50.992, 216463.560058594 6559475.16992187 50.932, 216463.209960938 6559474.87988281 50.882, 216462.860107422 6559474.60009766 50.822, 216462.520019531 6559474.33007812 50.772, 216462.169921875 6559474.05004883 50.722, 216461.820068359 6559473.76000977 50.662, 216461.479980469 6559473.47998047 50.612, 216461.139892578 6559473.15991211 50.522, 216460.860107422 6559472.85009766 50.442, 216460.590087891 6559472.55004883 50.362, 216460.310058594 6559472.23999023 50.282, 216460.040039063 6559471.93994141 50.202, 216459.75 6559471.62988281 50.122, 216459.479980469 6559471.33007813 50.042, 216459.110107422 6559471.08007813 49.982, 216458.739990234 6559470.82006836 49.932, 216458.350097656 6559470.5300293 49.892, 216457.949951172 6559470.2199707 49.862, 216457.550048828 6559469.92993164 49.822, 216457.159912109 6559469.62011719 49.792, 216456.770019531 6559469.33007812 49.752, 216456.370117188 6559469.0300293 49.722, 216455.979980469 6559468.72998047 49.682, 216455.590087891 6559468.43994141 49.652, 216455.189941406 6559468.12988281 49.612, 216454.790039062 6559467.84008789 49.582, 216454.399902344 6559467.5300293 49.542, 216454 6559467.23999023 49.502, 216453.610107422 6559466.92993164 49.472, 216453.219970703 6559466.63989258 49.432, 216452.820068359 6559466.34008789 49.402, 216452.429931641 6559466.04003906 49.362, 216452.030029297 6559465.73999023 49.332, 216451.669921875 6559465.41992188 49.302, 216451.310058594 6559465.10009766 49.282, 216448.010009766 6559461.95996094 50.232, 216447.659912109 6559461.63989258 50.232, 216447.510009766 6559461.08007813 50.232, 216475.560058594 6559424.02001953 50.232, 216476.590087891 6559424.97998047 49.682, 216477.429931641 6559425.5300293 50.022, 216480.780029297 6559427.79003906 51.612, 216481.389892578 6559427.01000977 51.942, 216484.820068359 6559429.61010742 52.562, 216488.25 6559432.18994141 53.172, 216489.419921875 6559433.15991211 52.842, 216491.860107422 6559435.09008789 52.682, 216494.300048828 6559437.0300293 52.533, 216495.879882813 6559438.16992188 53.333, 216497.459960938 6559439.29003906 54.133, 216500.739990234 6559441.66992188 55.753, 216503.179931641 6559443.47998047 56.713, 216505.620117188 6559445.2800293 57.683, 216508.820068359 6559447.76000977 58.023, 216511.989990234 6559450.27001953 58.363, 216513.570068359 6559451.55004883 58.093, 216514.5400390</t>
  </si>
  <si>
    <t>2018-06-22</t>
  </si>
  <si>
    <t>2025-11-22T09:15:11Z</t>
  </si>
  <si>
    <t>[5336]</t>
  </si>
  <si>
    <t>['FV5336 S1D100 m5-36']</t>
  </si>
  <si>
    <t>LINESTRING Z (-45982.5100002289 6730704.57000732 46.382, -45973.4899997711 6730705.83001709 47.362, -45963.3600006104 6730708.66998291 49.532, -45951.7999992371 6730713.53997803 51.612)</t>
  </si>
  <si>
    <t>POLYGON ((-45973.59253598505 6730706.32054854, -45963.52519374302 6730709.142948366, -45951.99411664726 6730714.000758272, -45951.60588182693 6730713.079197789, -45963.165883200236 6730708.209202669, -45963.22502849587 6730708.188544931, -45973.35502765657 6730705.348579111, -45973.420826092544 6730705.334825206, -45982.44082655034 6730704.074815435, -45982.579173907456 6730705.065199204, -45973.59253598505 6730706.32054854))</t>
  </si>
  <si>
    <t>['FV5336 S1D10 m493-561']</t>
  </si>
  <si>
    <t>LINESTRING Z (-45560.7699890137 6731127.65002441 80.202, -45558.9400024414 6731126.08996582 80.772, -45562.4800109863 6731120.88000488 80.712, -45568.3200073242 6731112.88000488 80.262, -45577.3399963379 6731104.69995117 79.872, -45582.8800048828 6731100.26000977 79.722, -45592.4599914551 6731094.70996094 79.482, -45608.9599914551 6731080.79003906 78.592, -45594.0199890137 6731095.70996094 79.362, -45585.8999938965 6731101.18994141 79.652, -45574.5599975586 6731110.56994629 79.882, -45568.0299987793 6731117.18994141 80.102, -45563.6900024414 6731121.48999024 80.162, -45564.4899902344 6731123.5300293 80.042)</t>
  </si>
  <si>
    <t>POLYGON Z ((-45560.7699890137 6731127.65002441 80.202, -45558.9400024414 6731126.08996582 80.772, -45562.4800109863 6731120.88000488 80.712, -45568.3200073242 6731112.88000488 80.262, -45577.3399963379 6731104.69995117 79.872, -45582.8800048828 6731100.26000977 79.722, -45592.4599914551 6731094.70996094 79.482, -45608.9599914551 6731080.79003906 78.592, -45594.0199890137 6731095.70996094 79.362, -45585.8999938965 6731101.18994141 79.652, -45574.5599975586 6731110.56994629 79.882, -45568.0299987793 6731117.18994141 80.102, -45563.6900024414 6731121.48999024 80.162, -45564.4899902344 6731123.5300293 80.042, -45560.7699890137 6731127.65002441 80.202))</t>
  </si>
  <si>
    <t>[258]</t>
  </si>
  <si>
    <t>['KV258 S2D1 m8-40']</t>
  </si>
  <si>
    <t>LINESTRING Z (-45220.8300170898 6731470.91003418 63.252, -45206.6900024414 6731460.2199707 64.252, -45191.9600219727 6731457.56994629 63.622)</t>
  </si>
  <si>
    <t>POLYGON ((-45206.483822513714 6731460.690904702, -45191.87148987364 6731458.062045942, -45192.04855407176 6731457.077846638, -45206.778534540455 6731459.727871048, -45206.82426909688 6731459.738335501, -45206.86882148676 6731459.753040567, -45206.9117994433 6731459.7718567755, -45206.95282456204 6731459.794618455, -45206.99153563243 6731459.821125198, -45221.13155028083 6731470.5111886775, -45220.52848389877 6731471.308879682, -45206.483822513714 6731460.690904702))</t>
  </si>
  <si>
    <t>['FV5336 S1D100 m6-41']</t>
  </si>
  <si>
    <t>LINESTRING Z (-45977.4799995422 6730693.83001709 49.272, -45977.1299991608 6730697.11999512 48.062, -45965.0299987793 6730701.4699707 49.562, -45957.8400001526 6730704.73999023 50.262, -45951.4599990845 6730707.40002441 51.212, -45951.0900001526 6730705.5300293 51.482, -45962.0699996948 6730698.19000244 50.532, -45971.1900005341 6730694.46002197 49.732)</t>
  </si>
  <si>
    <t>POLYGON Z ((-45977.4799995422 6730693.83001709 49.272, -45977.1299991608 6730697.11999512 48.062, -45965.0299987793 6730701.4699707 49.562, -45957.8400001526 6730704.73999023 50.262, -45951.4599990845 6730707.40002441 51.212, -45951.0900001526 6730705.5300293 51.482, -45962.0699996948 6730698.19000244 50.532, -45971.1900005341 6730694.46002197 49.732, -45977.4799995422 6730693.83001709 49.272))</t>
  </si>
  <si>
    <t>['FV5336 S1D10 m574-609']</t>
  </si>
  <si>
    <t>LINESTRING Z (-45654.1900024414 6731057.2800293 78.252, -45654.8399963379 6731057.82995606 78.132, -45650.4200134277 6731062.88000488 78.202, -45645.4100036621 6731069.63000488 78.352, -45643.0599975586 6731075.22998047 78.672, -45640.9800109863 6731083.48999023 79.412, -45633.1300048828 6731083.17004395 79.102, -45629.2200012207 6731080.95996094 78.892, -45644.5 6731065.0300293 78.542)</t>
  </si>
  <si>
    <t>POLYGON Z ((-45654.1900024414 6731057.2800293 78.252, -45654.8399963379 6731057.82995606 78.132, -45650.4200134277 6731062.88000488 78.202, -45645.4100036621 6731069.63000488 78.352, -45643.0599975586 6731075.22998047 78.672, -45640.9800109863 6731083.48999023 79.412, -45633.1300048828 6731083.17004395 79.102, -45629.2200012207 6731080.95996094 78.892, -45644.5 6731065.0300293 78.542, -45654.1900024414 6731057.2800293 78.252))</t>
  </si>
  <si>
    <t>['FV5336 S1D10 m205-218']</t>
  </si>
  <si>
    <t>LINESTRING Z (-45385.3900146484 6731357.41003418 82.972, -45377.9199829102 6731349.42004395 82.322, -45384.2399902344 6731343.32995606 82.682, -45385.0800170898 6731340.97998047 82.822, -45387.5100097656 6731341.42004395 82.942, -45390.9799804688 6731344.10998535 83.092, -45391.5900268555 6731349.9699707 83.152, -45388.9099731445 6731355.02001953 83.132)</t>
  </si>
  <si>
    <t>POLYGON Z ((-45385.3900146484 6731357.41003418 82.972, -45377.9199829102 6731349.42004395 82.322, -45384.2399902344 6731343.32995606 82.682, -45385.0800170898 6731340.97998047 82.822, -45387.5100097656 6731341.42004395 82.942, -45390.9799804688 6731344.10998535 83.092, -45391.5900268555 6731349.9699707 83.152, -45388.9099731445 6731355.02001953 83.132, -45385.3900146484 6731357.41003418 82.972))</t>
  </si>
  <si>
    <t>2021-09-23</t>
  </si>
  <si>
    <t>['EV16 S10D1 m10408 KD1 m24-138']</t>
  </si>
  <si>
    <t>LINESTRING Z (32493.5065831684 6753480.38501841 -999999, 32490.4849727799 6753478.54835327 -999999, 32487.8188459665 6753475.88222646 -999999, 32485.8044390409 6753472.74212155 -999999, 32484.4417520029 6753469.48352211 -999999, 32483.8492793777 6753465.57320278 -999999, 32484.2047629529 6753461.66288345 -999999, 32485.1527191532 6753457.93030591 -999999, 32487.2263733413 6753454.3162229 -999999, 32489.7147583671 6753451.65009609 -999999, 32493.0918523307 6753449.22095832 -999999, 32496.3504517693 6753447.97676581 -999999, 32499.6682984703 6753447.26579866 -999999, 32503.0453924339 6753447.26579866 -999999, 32507.0742062852 6753448.1545076 -999999, 32510.2143111987 6753449.51719464 -999999, 32512.9396852746 6753451.59084883 -999999, 32515.1318339878 6753453.90149206 -999999, 32517.1462409135 6753456.98234971 -999999, 32518.3311861639 6753460.12245463 -999999, 32518.7459170015 6753463.55879585 -999999, 32518.6274224765 6753467.23212613 -999999, 32517.7979608012 6753470.37223104 -999999, 32516.5537682883 6753473.39384143 -999999, 32514.4801141001 6753476.23771003 -999999, 32511.9324818118 6753478.54835327 -999999, 32509.1478604734 6753480.38501841 -999999, 32505.7707665098 6753481.68845818 -999999, 32502.5121670713 6753482.28093081 -999999, 32498.9573313201 6753482.04394176 -999999, 32495.8172264066 6753481.39222187 -999999, 32493.6843249559 6753480.5627602 -999999, 32497.002171657 6753476.05996825 -999999, 32496.6466880819 6753470.78696188 -999999, 32491.9661543429 6753470.96470367 -999999, 32493.4473359058 6753468.95029674 -999999, 32489.4777693171 6753469.48352211 -999999, 32492.2623906555 6753465.63245004 -999999, 32488.8260494293 6753462.43309787 -999999, 32492.7956160181 6753461.8998725 -999999, 32491.3144344551 6753460.35944368 -999999, 32495.8172264066 6753460.24094915 -999999, 32495.3432483064 6753455.20493184 -999999, 32497.120666182 6753456.62686614 -999999, 32496.7059353444 6753452.71654681 -999999, 32500.4385128831 6753455.67890994 -999999, 32503.5193705341 6753452.24256871 -999999, 32504.1118431593 6753455.91589899 -999999, 32505.5337774597 6753454.49396469 -999999, 32505.8300137723 6753459.17449843 -999999, 32510.5697947739 6753458.81901485 -999999, 32509.444096786 6753460.4779382 -999999, 32513.1174270622 6753460.30019642 -999999, 32510.5105475113 6753463.7957849 -999999, 32514.0653832625 6753466.99513708 -999999, 32510.3328057238 6753467.52836244 -999999, 32511.3400091866 6753468.65406043 -999999, 32506.8964644977 6753469.42427484 -999999, 32507.4889371229 6753474.4010449 -999999, 32505.8300137723 6753472.97911059 -999999, 32506.0077555599 6753476.7709354 -999999, 32502.2159307587 6753473.80857227 -999999, 32498.8980840576 6753477.2449135 -999999, 32498.7795895326 6753473.98631406 -999999, 32497.002171657 6753476.00072098 -999999)</t>
  </si>
  <si>
    <t>POLYGON ((32493.249147308954 6753480.80854192, 32493.25138196282 6753480.812880901, 32493.277517344766 6753480.853462053, 32493.307443991667 6753480.891333995, 32493.340883000565 6753480.926143777, 32493.37752273485 6753480.957566985, 32493.417021728594 6753480.985310771, 32493.45901186884 6753481.009116574, 32493.50310182641 6753481.028762536, 32495.63600327711 6753481.858224206, 32495.675320745242 6753481.871661942, 32495.71561817776 6753481.881788788, 32498.85572309126 6753482.533508679, 32498.924071814956 6753482.54283434, 32502.478907566157 6753482.779823389, 32502.519952952287 6753482.780870186, 32502.560945836038 6753482.778545753, 32502.60160979105 6753482.772865765, 32505.860209229548 6753482.180393135, 32505.90610741466 6753482.169792616, 32505.950804306158 6753482.154919745, 32509.32789826976 6753480.8514799755, 32509.376846550786 6753480.829501679, 32509.423157846562 6753480.802404749, 32512.207779184962 6753478.965739609, 32512.23898747304 6753478.943390331, 32512.268389281176 6753478.918712787, 32514.816021569477 6753476.608069547, 32514.852004624398 6753476.571921696, 32514.88411786517 6753476.532296109, 32516.95777205337 6753473.688427509, 32516.99006229496 6753473.638069888, 32517.01610733756 6753473.584216332, 32518.26029985046 6753470.562605943, 32518.28137971225 6753470.499926602, 32519.11084138755 6753467.359821691, 32519.122157384903 6753467.304495809, 32519.12716253367 6753467.248246777, 32519.24565705867 6753463.574916497, 32519.24543459751 6753463.536837451, 32519.24231480799 6753463.498885769, 32518.827583970393 6753460.06254455, 32518.81679890897 6753460.003373725, 32518.798987023507 6753459.945926004, 32517.614041773104 6753456.8058210835, 32517.592035127895 6753456.755926393, 32517.56472572042 6753456.708725028, 32515.55031879472 6753453.627867378, 32515.524029887038 6753453.591359223, 32515.494565836485 6753453.557361844, 32513.302417123283 6753451.246718613, 32513.273516576737 6753451.21861683, 32513.242446190983 6753451.192934482, 32510.517072115083 6753449.119280293, 32510.46704737348 6753449.085773238, 32510.413357757978 6753449.058522134, 32507.27325284448 6753447.695835094, 32507.22829387805 6753447.678842788, 32507.181911113385 6753447.666245713, 32503.153097262086 6753446.777536773, 32503.09956372083 6753446.768741851, 32503.0453924339 6753446.76579866, 32499.6682984703 6753446.76579866, 32499.615623065853 6753446.7685811, 32499.563533926023 6753446.776897453, 32496.245687225022 6753447.487864602, 32496.20847538028 6753447.497346677, 32496.172100986743 6753447.5096566165, 32492.913501548144 6753448.753849127, 32492.873914894673 6753448.7709546825, 32492.835949436983 6753448.79140773, 32492.79988759314 6753448.815056126, 32489.42279362954 6753451.244193895, 32489.38442221878 6753451.274758869, 32489.34923073319 6753451.308936964, 32486.86084570739 6753453.975063774, 32486.8241103536 6753454.019264167, 32486.792689957103 6753454.06738817, 32484.719035769005 6753457.681471181, 32484.69827307797 6753457.721790288, 32484.681249059606 6753457.763824828, 32484.668103768574 6753457.807228987, 32483.720147568274 6753461.539806527, 32483.711943942497 6753461.578447539, 32483.706816349662 6753461.617615577, 32483.351332774462 6753465.527934907, 32483.349502202902 6753465.5881284475, 32483.35492162558 6753465.64810547, 32483.94739425078 6753469.5584248, 32483.955179362525 6753469.598618007, 32483.966226655528 6753469.638039565, 32483.980462064286 6753469.676425175, 32485.34314910229 6753472.935024615, 32485.361690213682 6753472.974443474, 32485.383591999926 6753473.012098897, 32487.397998925524 6753476.152203807, 32487.42939732314 6753476.195802215, 32487.46529257613 6753476.235779851, 32490.13141938953 6753478.901906661, 32490.176135480644 6753478.94157016, 32490.22526513078 6753478.97561424, 32493.24687551928 6753480.812279381, 32493.249147308954 6753480.80854192), (32490.796032741102 6753478.15230645, 32488.21055609267 6753475.566829804, 32486.248874607434 6753472.508914552, 32484.926861006228 6753469.347577678, 32484.352708034687 6753465.558168063, 32484.699124794875 6753461.747583698, 32485.62047958343 6753458.119749216, 32487.631311480884 6753454.615156484, 32490.046692169908 6753452.027248606, 32493.330992838226 6753449.664856891, 32496.49284812095 6753448.457603058, 32499.72126864824 6753447.76579866, 32502.99090038511 6753447.76579866, 32506.919403487893 6753448.6323802285, 32509.959729204027 6753449.9517668625, 32512.604765517885 6753451.964294494, 32514.738044063302 6753454.212885385, 32516.697779454225 6753457.210127747, 32517.842034401903 6753460.242403365, 32518.24494652777 6753463.580818116, 32518.129511889292 6753467.159291914, 32517.32300480985 6753470.212497283, 32516.114329172684 6753473.147852402, 32514.10627854849 6753475.901750401, 32511.62507023788 6753478.152148638, 32508.91754826935 6753479.937961002, 32505.6348222811 6753481.204978045, 32502.483644654858 6753481.777919436, 32499.025087603095 6753481.547348967, 32495.959623746367 6753480.911120616, 32494.47432514413 6753480.333504497, 32497.404699575647 6753476.356567769, 32497.432384374257 6753476.314756433, 32497.455741859543 6753476.270382297, 32497.474537089038 6753476.223891703, 32497.475757113414 6753476.219709733, 32498.325455575443 6753475.256718145, 32498.398414308627 6753477.263083309, 32498.40254891518 6753477.311583753, 32498.41137998185 6753477.359452326, 32498.424823811747 6753477.406235351, 32498.44275299027 6753477.45148944, 32498.464997592702 6753477.494785695, 32498.491346794657 6753477.535713773, 32498.521550870206 6753477.573885776, 32498.55532355865 6753477.608939928, 32498.59234477757 6753477.640544, 32498.632263656444 6753477.668398463, 32498.674701862015 6753477.6922393255, 32498.719257183977 6753477.711840634, 32498.765507346947 6753477.727016618, 32498.813014012598 6753477.737623442, 32498.861326934028 6753477.743560583, 32498.909988223015 6753477.74477177, 32498.95853668965 6753477.741245525, 32499.00651221332 6753477.733015267, 32499.053460103496 6753477.720158999, 32499.098935409107 6753477.702798567, 32499.14250713557 6753477.681098505, 32499.183762329583 6753477.655264477, 32499.222309992896 6753477.6255413275, 32499.257784788097 6753477.592210757, 32502.262902678714 6753474.479767224, 32505.699933538624 6753477.164947587, 32505.740454852938 6753477.193487565, 32505.783602671752 6753477.217875534, 32505.828953023367 6753477.2378718555, 32505.876060293904 6753477.253280045, 32505.924461605955 6753477.263948704, 32505.973681366817 6753477.269772999, 32506.023235941695 6753477.2706957, 32506.07263840589 6753477.2667077435, 32506.121403329355 6753477.257848313, 32506.169051546527 6753477.244204462, 32506.215114864648 6753477.225910256, 32506.25914066421 6753477.203145453, 32506.300696346425 6753477.176133742, 32506.339373583953 6753477.14514054, 32506.374792333132 6753477.110470387, 32506.406604568303 6753477.072463954, 32506.43449770152 6753477.031494692, 32506.458197654043 6753476.9879651675, 32506.477471549446 6753476.942303102, 32506.49213000188 6753476.894957173, 32506.502028976956 6753476.846392602, 32506.507071207066 6753476.797086585, 32506.507207147086 6753476.747523608, 32506.383677203536 6753474.11221814, 32507.163541435 6753474.780673199, 32507.203030969897 6753474.811237137, 32507.245372221798 6753474.8377096895, 32507.290142865677 6753474.8598268125, 32507.33689634523 6753474.877367902, 32507.38516632673 6753474.890157997, 32507.434471350385 6753474.898069526, 32507.484319632575 6753474.901023578, 32507.534213971045 6753474.898990687, 32507.58365670417 6753474.89199113, 32507.632154674768 6753474.880094723, 32507.679224149015 6753474.863420123, 32507.72439564135 6753474.842133651, 32507.767218597288 6753474.816447621, 32507.807265887357 6753474.7866182355, 32507.844138067445 6753474.752943022, 32507.877467362974 6753474.715757868, 32507.906921337202 6753474.675433668, 32507.932206207035 6753474.632372631, 32507.95306977333 6753474.587004257, 32507.9693039364 6753474.539781068, 32507.980746771653 6753474.491174081, 32507.987284144696 6753474.441668118, 32507.988850849746 6753474.391756966, 32507.985431260007 6753474.341938455, 32507.449004861945 6753469.835956704, 32511.425402548124 6753469.146714441, 32511.472605589413 6753469.136158132, 32511.518567760344 6753469.121090231, 32511.56285893531 6753469.10165175, 32511.605064626387 6753469.078024596, 32511.644789862108 6753469.050429879, 32511.681662883755 6753469.019125837, 32511.715338624326 6753468.984405421, 32511.745501937792 6753468.946593554, 32511.771870548288 6753468.906044088, 32511.794197691743 6753468.863136497, 32511.812274425138 6753468.818272319, 32511.825931581865 6753468.771871405, 32511.83504135482 6753468.7243679855, 32511.83951849247 6753468.676206611, 32511.839321096628 6753468.627837987, 32511.834451014573 6753468.579714759, 32511.824953821764 6753468.532287276, 32511.810918395306 6753468.485999378, 32511.79247608225 6753468.4412842365, 32511.76979947039 6753468.398560309, 32511.74310077315 6753468.358227415, 32511.71262984367 6753468.320663, 32511.32838517619 6753467.891213077, 32514.136093940313 6753467.490111827, 32514.184456550684 6753467.480751692, 32514.231663409962 6753467.466678077, 32514.27725631808 6753467.448027583, 32514.320792740386 6753467.4249812355, 32514.361850102927 6753467.397762728, 32514.40002989404 6753467.366636248, 32514.4349615324 6753467.331903917, 32514.466305963942 6753467.2939028535, 32514.49375895283 6753467.253001904, 32514.517054034393 6753467.209598064, 32514.53596510152 6753467.164112618, 32514.550308599297 6753467.11698706, 32514.559945306624 6753467.068678799, 32514.56478168753 6753467.019656726, 32514.564770799054 6753466.97039666, 32514.559912746878 6753466.92137673, 32514.550254684316 6753466.873072735, 32514.53589035461 6753466.825953522, 32514.516959181066 6753466.780476441, 32514.493644913753 6753466.737082903, 32514.46617384601 6753466.696194095, 32514.434812617965 6753466.658206892, 32514.39986562852 6753466.623490007, 32511.183956322642 6753463.729171628, 32513.51824079937 6753460.599108361, 32513.545630701312 6753460.558346848, 32513.568889795308 6753460.515095003, 32513.587793704857 6753460.469770066, 32513.60216006714 6753460.422809282, 32513.611850292302 6753460.374665673, 32513.616770900382 6753460.325803671, 32513.616874423107 6753460.27669464, 32513.612159861812 6753460.2278123265, 32513.60267269707 6753460.179628291, 32513.588504449952 6753460.132607356, 32513.56979179913 6753460.087203123, 32513.546715262386 6753460.0438536005, 32513.51949745515 6753460.0029769745, 32513.48840094299 6753459.964967574, 32513.453725708696 6753459.930192068, 32513.41580625837 6753459.898985933, 32513.375008394523 6753459.871650207, 32513.331725687232 6753459.848448593, 32513.28637567743 6753459.829604914, 32513.239395848985 6753459.815300953, 32513.191239408327 6753459.8056746945, 32513.14237091248 6753459.800819004, 32513.09326178752 6753459.800780722, 32510.42007202079 6753459.930128608, 32510.98353266107 6753459.09976556, 32511.00889081252 6753459.05816892, 32511.03008050896 6753459.014301926, 32511.046900590798 6753458.968581021, 32511.05919138054 6753458.921440245, 32511.066836198454 6753458.8733271165, 32511.069762470255 6753458.824698388, 32511.067942416073 6753458.776015704, 32511.06139331416 6753458.727741222, 32511.05017733688 6753458.680333225, 32511.034400960485 6753458.634241769, 32511.0142139543 6753458.589904414, 32510.989807958922 6753458.547742064, 32510.96141466695 6753458.508154979, 32510.929303623434 6753458.471518969, 32510.89377966703 6753458.438181831, 32510.855180036076 6753458.40846004, 32510.81387116712 6753458.382635755, 32510.770245216205 6753458.360954134, 32510.724716336063 6753458.343621003, 32510.677716744427 6753458.330800913, 32510.629692620892 6753458.322615568, 32510.581099871208 6753458.319142671, 32510.532399799227 6753458.320415195, 32506.297062760794 6753458.638065478, 32506.032779016274 6753454.462382313, 32506.02715785676 6753454.412873483, 32506.016636992455 6753454.364169961, 32506.001320904878 6753454.316755416, 32505.981361696355 6753454.271100716, 32505.95695757952 6753454.2276592525, 32505.9283509089 6753454.186862438, 32505.89582577409 6753454.149115421, 32505.859705178515 6753454.114793063, 32505.820347831715 6753454.084236217, 32505.778144587046 6753454.057748336, 32505.73351456014 6753454.035592471, 32505.68690096673 6753454.017988649, 32505.63876672114 6753454.005111691, 32505.58958983909 6753453.997089475, 32505.539858690634 6753453.994001673, 32505.490067150164 6753453.995878945, 32505.44070969182 6753454.002702652, 32505.392276478924 6753454.014405024, 32505.34524849623 6753454.030869851, 32505.300092773294 6753454.051933619, 32505.257257746485 6753454.0773871485, 32505.217168805597 6753454.106977661, 32505.180224069143 6753454.140411299, 32504.449753841734 6753454.870881526, 32504.01299109447 6753452.16295249, 32504.00285060791 6753452.115104918, 32503.98808375933 6753452.068477032, 32503.968831850852 6753452.023515007, 32503.945279101645 6753451.980649081, 32503.917650885105 6753451.940289432, 32503.88621157228 6753451.902822256, 32503.851262002136 6753451.868606074, 32503.813136602857 6753451.837968294, 32503.772200191765 6753451.811202086, 32503.728844484394 6753451.788563573, 32503.68348434625 6753451.77026938, 32503.636553822977 6753451.756494562, 32503.588501987047 6753451.7473709285, 32503.539788640646 6753451.742985783, 32503.490879915866 6753451.743381085, 32503.44224381435 6753451.7485530535, 32503.394345729044 6753451.758452197, 32503.347643990903 6753451.772983793, 32503.30258548319 6753451.792008789, 32503.25960136529 6753451.815345139, 32503.219102947 6753451.84276954, 32503.181477752772 6753451.874019571, 32503.147085813598 6753451.908796202, 32500.380536442208 6753454.994562812, 32497.01676427441 6753452.324902358, 32496.977035058033 6753452.296421894, 32496.934714619303 6753452.271957063, 32496.890207464807 6753452.251741705, 32496.843939002374 6753452.235969043, 32496.796351474768 6753452.224789835, 32496.74789973261 6753452.218310933, 32496.699046886857 6753452.216594263, 32496.65025988229 6753452.219656236, 32496.60200503437 6753452.227467583, 32496.55474357209 6753452.239953642, 32496.508927229494 6753452.256995069, 32496.464993927882 6753452.278428979, 32496.4233635901 6753452.304050502, 32496.384434126823 6753452.333614744, 32496.348577633256 6753452.366839123, 32496.31613683258 6753452.403406075, 32496.28742180012 6753452.442966085, 32496.26270699962 6753452.485141031, 32496.242228659834 6753452.529527798, 32496.226182516624 6753452.575702129, 32496.21472194208 6753452.62322268, 32496.207956478545 6753452.671635239, 32496.205950791606 6753452.720477073, 32496.208724052045 6753452.769281341, 32496.497035818335 6753455.487649426, 32495.655595830125 6753454.814497435, 32495.616116159035 6753454.785953159, 32495.574045967776 6753454.761386533, 32495.52978465726 6753454.741030784, 32495.48375243023 6753454.725079164, 32495.436386301943 6753454.713683112, 32495.38813595128 6753454.706950817, 32495.339459451665 6753454.704946196, 32495.290818922225 6753454.7076882785, 32495.242676140606 6753454.715151032, 32495.19548815899 6753454.727263609, 32495.14970296501 6753454.743911016, 32495.105755228655 6753454.764935207, 32495.0640621757 6753454.790136584, 32495.025019626668 6753454.819275896, 32494.988998239038 6753454.852076502, 32494.956339988363 6753454.888227004, 32494.927354921638 6753454.9273842005, 32494.902318213823 6753454.9691763455, 32494.881467555424 6753455.0132066775, 32494.865000895927 6753455.059057187, 32494.85307456454 6753455.106292585, 32494.845801786043 6753455.154464431, 32494.843251605867 6753455.203115399, 32494.845448234577 6753455.251783612, 32495.26929873737 6753459.7551952, 32491.301281113483 6753459.859616721, 32491.25330211562 6753459.8631949155, 32491.20588915132 6753459.871367952, 32491.159481224357 6753459.884060155, 32491.114508032733 6753459.901154006, 32491.07138599001 6753459.92249123, 32491.03051436969 6753459.947874263, 32490.992271608262 6753459.97706808, 32490.95701180123 6753460.009802369, 32490.925061424463 6753460.045774041, 32490.89671631132 6753460.084650027, 32490.87223891348 6753460.126070368, 32490.851855870857 6753460.169651548, 32490.835755913122 6753460.214990043, 32490.824088112215 6753460.261666055, 32490.816960502056 6753460.309247405, 32490.814439078265 6753460.35729353, 32490.816547187093 6753460.405359563, 32490.823265309235 6753460.453000455, 32490.834531240584 6753460.49977509, 32490.850240668184 6753460.545250376, 32490.870248136078 6753460.58900525, 32490.8943683921 6753460.630634578, 32490.92237810316 6753460.669752908, 32490.95401792326 6753460.705998039, 32491.751718540134 6753461.535606678, 32488.759483129088 6753461.937548753, 32488.711224060597 6753461.946461317, 32488.6640711607 6753461.960061888, 32488.61847867618 6753461.978219444, 32488.5748858216 6753462.000759065, 32488.53371254811 6753462.027463616, 32488.495355497864 6753462.058075839, 32488.460184182968 6753462.092300831, 32488.428537425792 6753462.129808887, 32488.400720094924 6753462.170238674, 32488.37700016823 6753462.21320071, 32488.3576061513 6753462.258281122, 32488.342724876115 6753462.30504563, 32488.332499701235 6753462.353043727, 32488.327029130734 6753462.401813024, 32488.32636586528 6753462.450883703, 32488.330516294434 6753462.499783043, 32488.339440435087 6753462.548039972, 32488.353052316663 6753462.595189608, 32488.37122080929 6753462.640777735, 32488.393770887047 6753462.684365182, 32488.420485314076 6753462.725532048, 32488.45110673732 6753462.763881754, 32488.48534016567 6753462.799044858, 32491.598401128347 6753465.697411955, 32489.072594137866 6753469.190549288, 32489.04610003263 6753469.231209548, 32489.02367258751 6753469.274246789, 32489.005523086602 6753469.319255564, 32488.991822512307 6753469.36581186, 32488.98269993469 6753469.413477077, 32488.97824129552 6753469.4618021725, 32488.97848859865 6753469.510331888, 32488.983439514283 6753469.558609033, 32488.993047400952 6753469.6061788015, 32489.007221744898 6753469.652593048, 32489.02582901277 6753469.697414516, 32489.048693909655 6753469.74022095, 32489.075601030436 6753469.780609082, 32489.106296889124 6753469.818198424, 32489.14049230687 6753469.852634855, 32489.177865136247 6753469.883593956, 32489.218063296154 6753469.91078407, 32489.260708088674 6753469.933949044, 32489.305397766708 6753469.9528706465, 32489.35171131875 6753469.96737062, 32489.399212435135 6753469.977312365, 32489.447453618417 6753469.982602222, 32489.495980399148 6753469.983190356, 32489.544335617313 6753469.979071227, 32492.347099327748 6753469.602580574, 32491.56332883628 6753470.668508445, 32491.536405637806 6753470.709133619, 32491.513565504883 6753470.752186979, 32491.495025442855 6753470.797259471, 32491.480961601843 6753470.84392286, 32491.47150760316 6753470.891733794, 32491.466753269753 6753470.940238018, 32491.466743772806 6753470.988974691, 32491.47147920254 6753471.037480764, 32491.480914567393 6753471.085295379, 32491.49496022145 6753471.131964245, 32491.513482716196 6753471.177043959, 32491.536306068414 6753471.220106216, 32491.563213432208 6753471.260741881, 32491.593949159265 6753471.298564871, 32491.62822122779 6753471.333215826, 32491.66570401702 6753471.364365529, 32491.706041400954 6753471.3917180225, 32491.74885013194 6753471.41501343, 32491.793723481922 6753471.43403042, 32491.840235106785 6753471.448588311, 32491.887943097085 6753471.458548788, 32491.93639417664 6753471.463817216, 32491.985128009142 6753471.46434354, 32496.180478848957 6753471.305026418, 32496.490982930733 6753475.9108369695, 32493.58861828829 6753479.849760411, 32490.796032741102 6753478.15230645), (32497.41669370024 6753474.775210397, 32497.145555720104 6753470.753330354, 32497.14000737035 6753470.705499743, 32497.129883875943 6753470.65842463, 32497.115279124268 6753470.612541597, 32497.096328562795 6753470.568276173, 32497.073207942936 6753470.526038887, 32497.04613169008 6753470.486221453, 32497.015350914968 6753470.449193149, 32496.98115108485 6753470.415297381, 32496.94384937598 6753470.384848506, 32496.903791732097 6753470.358128913, 32496.861349656032 6753470.335386406, 32496.816916764335 6753470.316831903, 32496.770905136793 6753470.302637481, 32496.723741494712 6753470.292934784, 32496.675863243418 6753470.287813796, 32496.627714415656 6753470.287322009, 32492.9830776087 6753470.425725941, 32493.850161412418 6753469.246491965, 32493.87706395759 6753469.205901516, 32493.899890392146 6753469.162886573, 32493.91842419991 6753469.117855146, 32493.932489581675 6753469.0712343715, 32493.94195312271 6753469.023466466, 32493.946725058242 6753468.97500452, 32493.94676012491 6753468.926308215, 32493.942057990094 6753468.877839447, 32493.932663255076 6753468.830057961, 32493.91866503198 6753468.783416978, 32493.90019609851 6753468.738358906, 32493.877431638524 6753468.695311131, 32493.850587580342 6753468.654681979, 32493.819918548605 6753468.616856829, 32493.785715449074 6753468.582194465, 32493.748302709297 6753468.551023671, 32493.7080352013 6753468.523640113, 32493.66529487552 6753468.500303532, 32493.62048713788 6753468.4812352825, 32493.57403700437 6753468.466616235, 32493.526385069654 6753468.456585053, 32493.47798332785 6753468.451236889, 32493.429290885262 6753468.450622469, 32493.38076960559 6753468.454747623, 32490.56519328416 6753468.832959373, 32492.667565834738 6753465.925422862, 32492.693902772615 6753465.885031301, 32492.716226453613 6753465.842290618, 32492.734329257324 6753465.797598326, 32492.748042819527 6753465.751370079, 32492.757239597915 6753465.704035822, 32492.76183405831 6753465.656035786, 32492.76178347016 6753465.607816392, 32492.757088303955 6753465.559826101, 32492.74779222686 6753465.512511246, 32492.733981696576 6753465.466311875, 32492.715785157252 6753465.421657665, 32492.693371844896 6753465.3789639175, 32492.66695021341 6753465.338627706, 32492.636765995863 6753465.301024174, 32492.60309991913 6753465.266503053, 32489.94083387034 6753462.787841563, 32492.86218231831 6753462.395421618, 32492.911389784596 6753462.386284296, 32492.959437260066 6753462.37227339, 32493.005843334908 6753462.353529282, 32493.05014304523 6753462.3302397765, 32493.0918925318 6753462.302638223, 32493.130673487234 6753462.271001174, 32493.16609734725 6753462.2356456155, 32493.197809183835 6753462.196925791, 32493.225491261466 6753462.155229652, 32493.248866220634 6753462.110974973, 32493.267699856835 6753462.064605161, 32493.28180346717 6753462.0165848145, 32493.291035741062 6753461.967395076, 32493.295304176096 6753461.917528795, 32493.294566004854 6753461.867485609, 32493.288828623412 6753461.8177669225, 32493.278149517242 6753461.768870889, 32493.26263568524 6753461.721287421, 32493.242442567647 6753461.6754932795, 32493.21777248863 6753461.631947298, 32493.188872629096 6753461.591085781, 32493.156032549938 6753461.553318142, 32492.460024406177 6753460.829469675, 32495.83037974822 6753460.7407761095, 32495.878413621584 6753460.737191153, 32495.925879651906 6753460.729000861, 32495.97233733452 6753460.7162812445, 32496.017355522632 6753460.699150347, 32496.060516428563 6753460.67776715, 32496.101419501 6753460.652330099, 32496.139685142258 6753460.62307526, 32496.174958231135 6753460.59027413, 32496.20691141856 6753460.554231118, 32496.23524816555 6753460.515280718, 32496.2597054952 6753460.473784406, 32496.280056433225 6753460.4301272845, 32496.296112114378 6753460.38471451, 32496.307723535207 6753460.337967535, 32496.31478293685 6753460.290320186, 32496.317224805098 6753460.242214655, 32496.315026478424 6753460.194097378, 32495.95152209365 6753456.331863293, 32496.808318658273 6753457.017300545, 32496.84800478572 6753457.045979207, 32496.890305686164 6753457.070638652, 32496.934815701727 6753457.0910423985, 32496.98110798948 6753457.106994781, 32497.02873861483 6753457.118342816, 32497.077250808776 6753457.12497768, 32497.12617934823 6753457.126835745, 32497.175055017422 6753457.123899193, 32497.22340910761 6753457.1161961835, 32497.27077791189 6753457.103800589, 32497.31670717207 6753457.086831281, 32497.360756434937 6753457.065450991, 32497.402503276087 6753457.0398647515, 32497.441547350936 6753457.010317931, 32497.477514233935 6753456.977093877, 32497.510059009233 6753456.940511204, 32497.538869578377 6753456.900920732, 32497.563669653264 6753456.858702127, 32497.58422140571 6753456.8142602565, 32497.600327748147 6753456.76802131, 32497.6118342237 6753456.720428712, 32497.618630487363 6753456.671938866, 32497.62065136421 6753456.62301678, 32497.617877474353 6753456.57413161, 32497.32887804664 6753453.84927986, 32500.12768395309 6753456.0705543915, 32500.168637509847 6753456.099822381, 32500.21232631699 6753456.124824323, 32500.25830757836 6753456.145306818, 32500.30611526302 6753456.16106227, 32500.355264828806 6753456.171930996, 32500.405258133265 6753456.177802836, 32500.455588482462 6753456.178618278, 32500.50574576643 6753456.1743690595, 32500.55522162926 6753456.165098245, 32500.603514621405 6753456.150899798, 32500.650135281994 6753456.131917622, 32500.69461109963 6753456.108344106, 32500.736491301403 6753456.080418174, 32500.775351421587 6753456.048422861, 32500.810797603604 6753456.012682447, 32503.19251819992 6753453.356147933, 32503.61822259893 6753455.99551521, 32503.62861529195 6753456.044315609, 32503.643819943085 6753456.091837243, 32503.663685145264 6753456.137606894, 32503.688013081835 6753456.181168787, 32503.716561496454 6753456.222089139, 32503.749046105484 6753456.259960463, 32503.78514342886 6753456.294405643, 32503.824494011304 6753456.325081672, 32503.866706001743 6753456.351683081, 32503.91135905535 6753456.3739449745, 32503.958008519327 6753456.39164567, 32504.00618986071 6753456.404608904, 32504.055423292193 6753456.412705591, 32504.1052185498 6753456.415855102, 32504.15507977493 6753456.414026077, 32504.20451045207 6753456.407236728, 32504.25301835309 6753456.395554663, 32504.30012043881 6753456.379096212, 32504.345347669092 6753456.358025266, 32504.38824967351 6753456.33255165, 32504.428399236116 6753456.302929028, 32504.465396549855 6753456.269452381, 32505.104688162693 6753455.6301607685, 32505.331012215727 6753459.206080807, 32505.336569303206 6753459.255198839, 32505.346949242397 6753459.303528117, 32505.362050581338 6753459.350596278, 32505.381725721825 6753459.395943286, 32505.405782362006 6753459.439125924, 32505.433985375912 6753459.479722134, 32505.46605911155 6753459.517335134, 32505.501690085064 6753459.551597299, 32505.54053004471 6753459.582173756, 32505.58219937458 6753459.608765657, 32505.626290804947 6753459.631113096, 32505.672373392823 6753459.648997651, 32505.71999673396 6753459.662244524, 32505.768695365008 6753459.670724239, 32505.81799331291 6753459.674353918, 32505.867408746974 6753459.673098085, 32509.57466379999 6753459.395053952, 32509.030358898828 6753460.197187491, 32509.005276694883 6753460.238278176, 32508.984262460617 6753460.281590567, 32508.967511003302 6753460.326723149, 32508.955177613065 6753460.373257532, 32508.947376623448 6753460.42076233, 32508.944180351547 6753460.468797163, 32508.94561842758 6753460.516916735, 32508.951677520232 6753460.564674967, 32508.96230146023 6753460.6116291275, 32508.97739176104 6753460.657343941, 32508.99680853188 6753460.701395619, 32509.020371774517 6753460.743375791, 32509.047863051914 6753460.782895292, 32509.07902751319 6753460.819587766, 32509.11357625615 6753460.8531130655, 32509.151189005468 6753460.883160401, 32509.19151708174 6753460.909451228, 32509.234186633807 6753460.931741823, 32509.278802104458 6753460.949825548, 32509.324949897342 6753460.96353476, 32509.3722022111 6753460.972742374, 32509.420121005198 6753460.977363031, 32509.46826206068 6753460.977353899, 32512.08305262503 6753460.850831781, 32510.10973377413 6753463.49687296, 32510.082259601575 6753463.537774307, 32510.058944533495 6753463.581181195, 32510.040014982522 6753463.626672099, 32510.025654773544 6753463.673805259, 32510.016003358574 6753463.722122963, 32510.011154462514 6753463.771155998, 32510.011155172997 6753463.820428204, 32510.01600548313 6753463.8694611, 32510.025658291535 6753463.917778525, 32510.04001985979 6753463.96491127, 32510.058950722676 6753464.010401629, 32510.082267042562 6753464.053807844, 32510.109742394638 6753464.094708399, 32510.141109965723 6753464.132706108, 32510.176065145282 6753464.167431973, 32512.93602677968 6753466.651397447, 32510.262095045986 6753467.033387693, 32510.213942619564 6753467.042696338, 32510.166933802135 6753467.056677688, 32510.121520876313 6753467.075197224, 32510.078140770223 6753467.098076765, 32510.037210853767 6753467.125096184, 32509.999124923008 6753467.15599552, 32509.964249411376 6753467.190477482, 32509.93291986413 6753467.228210313, 32509.905437709993 6753467.268830976, 32509.882067361043 6753467.3119486505, 32509.863033668735 6753467.357148491, 32509.84851976057 6753467.40399562, 32509.838665278166 6753467.452039311, 32509.833565033754 6753467.500817324, 32509.833268097944 6753467.549860355, 32509.837777327626 6753467.598696549, 32509.84704933847 6753467.6468560435, 32509.860994922346 6753467.693875483, 32509.879479905605 6753467.739302485, 32509.902326440013 6753467.782699984, 32509.92931471384 6753467.823650443, 32509.960185066728 6753467.861759869, 32510.366089408773 6753468.315417664, 32506.811071136173 6753468.93162083, 32506.761747481178 6753468.942765417, 32506.71380172509 6753468.958834928, 32506.66772426193 6753468.9796650065, 32506.623986376544 6753469.005042598, 32506.58303542436 6753469.034708138, 32506.545290255766 6753469.068358204, 32506.511136932088 6753469.105648622, 32506.480924776897 6753469.146197979, 32506.45496280311 6753469.189591535, 32506.433516552363 6753469.235385455, 32506.416805379034 6753469.283111354, 32506.40500020666 6753469.3322810875, 32506.398221779713 6753469.3823917415, 32506.39653942861 6753469.432930781, 32506.39997036059 6753469.483381285, 32506.84088082318 6753473.187029176, 32506.155409460203 6753472.59948229, 32506.117143231288 6753472.56977372, 32506.076181541663 6753472.543907845, 32506.032908924066 6753472.522127486, 32505.987731605128 6753472.504637108, 32505.94107369207 6753472.491600904, 32505.893373191368 6753472.483141253, 32505.845077896905 6753472.479337569, 32505.796641186258 6753472.480225563, 32505.74851776456 6753472.485796896, 32505.70115939592 6753472.495999268, 32505.65501066241 6753472.510736902, 32505.610504790522 6753472.529871448, 32505.568059584202 6753472.553223277, 32505.528073502654 6753472.580573172, 32505.490921919773 6753472.611664383, 32505.45695360027 6753472.646205036, 32505.426487425622 6753472.683870878, 32505.399809400504 6753472.724308317, 32505.37716996792 6753472.767137741, 32505.35878165812 6753472.811957085, 32505.344817093457 6753472.8583456, 32505.335407367875 6753472.905867811, 32505.33064081624 6753472.954077597, 32505.330562185114 6753473.002522383, 32505.457306394135 6753475.7063988475, 32502.523752779973 6753473.414560083, 32502.48383294114 6753473.38640119, 32502.44135569009 6753473.362272371, 32502.396726517505 6753473.3424039595, 32502.350371456458 6753473.326985623, 32502.302733015476 6753473.316164545, 32502.25426595432 6753473.310044023, 32502.20543294281 6753473.308682486, 32502.156700144158 6753473.312092931, 32502.10853276493 6753473.320242801, 32502.06139061417 6753473.333054296, 32502.01572371401 6753473.3504051175, 32501.971968003745 6753473.372129634, 32501.930541178335 6753473.398020461, 32501.89183870103 6753473.427830444, 32501.856230028203 6753473.461275013, 32499.35502875971 6753476.051804901, 32499.279259281575 6753473.968144251, 32499.27499914446 6753473.918717341, 32499.26586186176 6753473.869955898, 32499.251937387035 6753473.822339963, 32499.233362802177 6753473.7763383, 32499.2103209679 6753473.732403779, 32499.183038723528 6753473.690968922, 32499.151784653834 6753473.652441642, 32499.11686644491 6753473.617201226, 32499.078627855102 6753473.585594605, 32499.03744533082 6753473.557932937, 32498.993724300544 6753473.534488539, 32498.94789518352 6753473.515492217, 32498.900409152408 6753473.501130982, 32498.85173369166 6753473.4915462155, 32498.80234799526 6753473.486832276, 32498.752738249244 6753473.4870355725, 32498.703392845327 6753473.492154102, 32498.654797572875 6753473.502137474, 32498.607430836448 6753473.516887406, 32498.561758946074 6753473.536258691, 32498.518231526577 6753473.560060623, 32498.477277091162 6753473.5880588805, 32498.439298822854 6753473.619977831, 32498.404670605425 6753473.655503241, 32497.41669370024 6753474.775210397))</t>
  </si>
  <si>
    <t>2025-04-07</t>
  </si>
  <si>
    <t>2025-11-22T09:15:17Z</t>
  </si>
  <si>
    <t>['EV16 S10D1 m7789 KD1 m0-74']</t>
  </si>
  <si>
    <t>LINESTRING Z (30361.9246101386 6752070.73160515 -999999, 30360.1671225868 6752069.30109203 -999999, 30358.7366094633 6752067.46186087 -999999, 30357.6330707679 6752065.66350151 -999999, 30356.9382501079 6752063.29293691 -999999, 30356.5295320726 6752060.55452607 -999999, 30356.5704038762 6752058.26570507 -999999, 30357.2243527326 6752055.77252506 -999999, 30358.2461478209 6752053.52457587 -999999, 30359.9627635692 6752051.27662667 -999999, 30362.0880973527 6752049.35565191 -999999, 30364.8265081893 6752048.00688239 -999999, 30367.4423036152 6752047.31206173 -999999, 30370.2215862553 6752047.10770271 -999999, 30372.59215086 6752047.51642075 -999999, 30375.0035872683 6752048.37472862 -999999, 30377.0880492483 6752049.56001092 -999999, 30378.9681522107 6752051.27662667 -999999, 30380.6030243519 6752053.40196045 -999999, 30381.7474348508 6752055.81339686 -999999, 30382.4013837073 6752058.34744868 -999999, 30382.4831273143 6752060.8815005 -999999, 30382.1152810825 6752063.33380871 -999999, 30381.2569732084 6752065.58175791 -999999, 30379.6629728707 6752068.11580972 -999999, 30377.8237417119 6752070.07765629 -999999, 30375.5757925177 6752071.54904122 -999999, 30373.0826125024 6752072.61170811 -999999, 30370.50768888 6752073.14304156 -999999, 30368.1779960787 6752073.06129795 -999999, 30365.3169698316 6752072.61170811 -999999, 30363.804713101 6752071.91688745 -999999, 30361.9654819421 6752070.89509236 -999999, 30365.0308672069 6752071.3038104 -999999, 30364.7038927787 6752065.90873233 -999999, 30360.0853789798 6752065.86786053 -999999, 30361.2297894786 6752064.3964756 -999999, 30357.5921989644 6752064.72345003 -999999, 30360.3714816045 6752060.96324411 -999999, 30357.1426091256 6752057.89785884 -999999, 30360.4940970151 6752057.3665254 -999999, 30359.2679429092 6752056.18124309 -999999, 30363.9682003151 6752055.60903784 -999999, 30363.3551232622 6752050.58180601 -999999, 30365.194354421 6752052.05319094 -999999, 30364.9899954034 6752048.49734403 -999999, 30368.5458423105 6752050.99052405 -999999, 30371.6520993788 6752047.80252337 -999999, 30372.1425610212 6752051.11313946 -999999, 30373.5730741447 6752049.88698535 -999999, 30373.9409203765 6752054.62811456 -999999, 30378.9681522107 6752054.38288374 -999999, 30377.6602544978 6752055.81339686 -999999, 30381.2161014049 6752055.52729424 -999999, 30378.4776905684 6752059.28750016 -999999, 30381.8700502614 6752062.51637264 -999999, 30378.3550751578 6752062.80247527 -999999, 30380.071690906 6752064.3964756 -999999, 30374.8401000542 6752064.68257823 -999999, 30375.8210233389 6752070.20027171 -999999, 30373.8183049659 6752068.64714317 -999999, 30374.0226639836 6752071.95775926 -999999, 30370.1398426482 6752069.17847662 -999999, 30367.115329187 6752072.32560549 -999999, 30366.7066111517 6752069.17847662 -999999, 30364.9899954034 6752071.3038104 -999999)</t>
  </si>
  <si>
    <t>2018-08-24</t>
  </si>
  <si>
    <t>['RV94 S6D1 m5648 KD1 m0-95']</t>
  </si>
  <si>
    <t>LINESTRING Z (819301.01 7861448.9 -999999, 819302.25 7861450.82 -999999, 819303.83 7861452.29 -999999, 819305.98 7861453.48 -999999, 819308.42 7861454.1 -999999, 819311.11 7861453.99 -999999, 819314.05 7861452.91 -999999, 819316.08 7861451.35 -999999, 819317.72 7861449.17 -999999, 819318.45 7861447.43 -999999, 819318.79 7861445.46 -999999, 819318.69 7861443.19 -999999, 819318.04 7861440.97 -999999, 819316.49 7861438.55 -999999, 819314.8 7861437.05 -999999, 819312.46 7861435.84 -999999, 819310.15 7861435.37 -999999, 819307.24 7861435.61 -999999, 819304.75 7861436.59 -999999, 819303.08 7861437.79 -999999, 819301.78 7861439.29 -999999, 819300.83 7861441 -999999, 819300.25 7861442.61 -999999, 819300.2 7861443.04 -999999, 819300.04 7861444.93 -999999, 819300.37 7861447.22 -999999, 819301.01 7861448.9 -999999, 819302.25 7861450.82 -999999, 819303.83 7861452.29 -999999, 819305.98 7861453.48 -999999, 819308.42 7861454.1 -999999, 819311.11 7861453.99 -999999, 819314.05 7861452.91 -999999, 819316.08 7861451.35 -999999, 819317.72 7861449.17 -999999, 819318.45 7861447.43 -999999, 819318.79 7861445.46 -999999, 819318.69 7861443.19 -999999, 819318.04 7861440.97 -999999, 819316.49 7861438.55 -999999, 819314.8 7861437.05 -999999, 819312.46 7861435.84 -999999, 819310.15 7861435.37 -999999, 819307.24 7861435.61 -999999, 819304.75 7861436.59 -999999, 819303.08 7861437.79 -999999, 819301.78 7861439.29 -999999, 819300.83 7861441 -999999, 819300.25 7861442.61 -999999, 819300.2 7861443.04 -999999, 819300.04 7861444.93 -999999, 819300.37 7861447.22 -999999, 819301.01 7861448.9 -999999)</t>
  </si>
  <si>
    <t>2018-10-24</t>
  </si>
  <si>
    <t>2025-11-22T09:15:32Z</t>
  </si>
  <si>
    <t>['FV5050 S1D1 m267-349']</t>
  </si>
  <si>
    <t>LINESTRING Z (-32069.4 6665436.45 26.174, -32065.86 6665436.38 27.584, -32064.2 6665437.16 27.704, -32063.69 6665437.21 27.674, -32062.41 6665437.27 27.474, -32062.44 6665436.77 27.204, -32061.48 6665436.29 26.654, -32058.23 6665437.23 26.494, -32053.5 6665440.14 26.514, -32052.65 6665441.62 26.614, -32052.65 6665442.11 26.624, -32050.04 6665443.31 26.654, -32048.89 6665444.8 26.734, -32045.28 6665448.15 26.834, -32042 6665450.51 26.854, -32040.68 6665452.13 26.934, -32040.04 6665452.51 26.964, -32038.93 6665452.75 26.874, -32037.79 6665454.04 26.894, -32037.54 6665455.13 26.964, -32034.84 6665456.78 26.854, -32033.41 6665458.75 26.934, -32032.6 6665459.06 26.844, -32031.27 6665460.41 26.854, -32027.88 6665463.83 26.814, -32024.61 6665467.43 26.734, -32021.62 6665473.03 26.674, -32018.84 6665477.52 26.544, -32018.22 6665478.41 26.434)</t>
  </si>
  <si>
    <t>POLYGON ((-32065.9669089689 6665436.882211762, -32064.412635911693 6665437.612532837, -32064.35985201279 6665437.63375873, -32064.304998555443 6665437.6488510035, -32064.248785711836 6665437.657614263, -32063.738785711834 6665437.707614263, -32063.71341179299 6665437.709451587, -32062.43341179299 6665437.7694515865, -32062.384091811185 6665437.769328314, -32062.335023913543 6665437.764346626, -32062.286685525964 6665437.754554992, -32062.23954697628 6665437.740048685, -32062.19406691802 6665437.72096885, -32062.150687867746 6665437.697501131, -32062.109831899423 6665437.669873869, -32062.07189653766 6665437.638355872, -32062.03725088986 6665437.603253808, -32062.006232054828 6665437.564909217, -32061.979141842818 6665437.523695188, -32061.956243838977 6665437.480012729, -32061.93776083866 6665437.434286866, -32061.923872679676 6665437.386962508, -32061.914714492465 6665437.338500117, -32061.9103753853 6665437.289371225, -32061.910897577265 6665437.240053854, -32061.92112600859 6665437.069579999, -32061.431188708313 6665436.824611349, -32058.43415786665 6665437.691444885, -32053.870269698557 6665440.499249233, -32053.15 6665441.753365885, -32053.15 6665442.11, -32053.14774604971 6665442.157422253, -32053.141004520014 6665442.204416955, -32053.129836191194 6665442.250560413, -32053.11434175469 6665442.295436607, -32053.09466090525 6665442.33864094, -32053.07097108151 6665442.379783893, -32053.04348586621 6665442.418494527, -32053.01245306058 6665442.454423836, -32052.978152450225 6665442.487247889, -32052.94089328263 6665442.5166707495, -32052.901011479044 6665442.542427147, -32052.85886660571 6665442.564284868, -32050.360647461846 6665443.71289137, -32049.28581770249 6665445.105496884, -32049.259225438844 6665445.137153638, -32049.230108709147 6665445.166505205, -32045.620108709147 6665448.516505206, -32045.572021959888 6665448.55586103, -32042.345782018907 6665450.877180011, -32041.06761749277 6665452.445836475, -32041.038422979524 6665452.478615788, -32041.00646602428 6665452.508708245, -32040.97199292623 6665452.535881918, -32040.935269377023 6665452.559927372, -32040.295269377024 6665452.939927372, -32040.24761105508 6665452.964860033, -32040.197550297034 6665452.984529139, -32040.145666396358 6665452.998707082, -32039.196022996362 6665453.204035385, -32038.248906424462 6665454.2757725585, -32038.027345870116 6665455.241776575, -32038.01381627243 6665455.28968137, -32037.995590360602 6665455.336003454, -32037.97284878405 6665455.380283699, -32037.945816949956 6665455.422083213, -32037.914762789133 6665455.460987692, -32037.879994100407 6665455.496611527, -32037.84185549981 6665455.528601627, -32037.80072500477 6665455.5566409165, -32035.185956816553 6665457.154554809, -32033.8146343386 6665459.043719342, -32033.784540837773 6665459.081238828, -32033.750981589703 6665459.115693253, -32033.714267129068 6665459.146763802, -32033.67473718661 6665459.174162966, -32033.632757545627 6665459.197637214, -32033.588716657418 6665459.216969332, -32032.88004129868 6665459.488190765, -32031.626181930755 6665460.7609051615, -32031.625107448825 6665460.761992471, -32028.24278082689 6665464.174251188, -32025.021837024826 6665467.720244363, -32022.061067410046 6665473.265498492, -32022.045112394408 6665473.293209901, -32019.26511239441 6665477.7832099, -32019.250264600163 6665477.805802305, -32018.630264600164 6665478.695802306, -32017.80973539984 6665478.1241976945, -32018.422006005072 6665477.245293115, -32021.18646681677 6665472.780390582, -32024.168932589953 6665467.194501508, -32024.189792319128 6665467.15902859, -32024.213498461744 6665467.125391184, -32024.23989043651 6665467.0938171465, -32027.50989043651 6665463.493817147, -32027.524892551177 6665463.478007529, -32030.914354454686 6665460.058550388, -32032.243818069244 6665458.709094838, -32032.28326673784 6665458.673114951, -32032.326327115432 6665458.641546714, -32032.37250818462 6665458.614750099, -32032.42128334258 6665458.593030668, -32033.092597659976 6665458.336107905, -32034.4353656614 6665456.486280658, -32034.466241217247 6665456.44787898, -32034.500746701888 6665456.412702845, -32034.538546999458 6665456.381093886, -32034.57927499523 6665456.353359084, -32037.09970108635 6665454.813098694, -32037.302654129886 6665453.928223425, -32037.316193206396 6665453.880290506, -32037.33443409754 6665453.833942463, -32037.357195790053 6665453.789639229, -32037.38425240862 6665453.747820445, -32037.415335457255 6665453.708901102, -32038.555335457255 6665452.418901102, -32038.59235296706 6665452.381225704, -32038.633138255213 6665452.347665432, -32038.677236201722 6665452.318594782, -32038.72415472085 6665452.294338151, -32038.773370252296 6665452.275166216, -32038.824333603643 6665452.261292918, -32039.854745865825 6665452.038501077, -32040.348432909057 6665451.7453743955, -32041.61238250723 6665450.194163525, -32041.64156870798 6665450.161392759, -32041.673515915805 6665450.131307323, -32041.70797804011 6665450.10413897, -32044.962709541185 6665447.762319964, -32048.519507997353 6665444.461689817, -32049.64418229751 6665443.004503115, -32049.675460751732 6665442.967784955, -32049.710131702865 6665442.934251538, -32049.74787249407 6665442.904214933, -32049.788331899737 6665442.877954669, -32049.83113339429 6665442.855715132, -32052.15 6665441.789569567, -32052.15 6665441.62, -32052.152715350283 6665441.567961772, -32052.160831908615 6665441.516488752, -32052.17426151781 6665441.46614001, -32052.192858313483 6665441.417462403, -32052.21642030853 6665441.370984637, -32053.06642030853 6665439.890984637, -32053.093326165268 6665439.849111031, -32053.12426187354 6665439.81011993, -32053.15892088212 6665439.7743977085, -32053.196959744626 6665439.742298348, -32053.238001522517 6665439.714139931, -32057.968001522517 6665436.804139932, -32058.007335988368 6665436.782316253, -32058.04847267263 6665436.764116078, -32058.091078619556 6665436.749686717, -32061.341078619556 6665435.809686717, -32061.386357109855 6665435.798847265, -32061.432447534688 6665435.7922663735, -32061.478950265147 6665435.790001102, -32061.52546209738 6665435.792071092, -32061.5715797486 6665435.798458395, -32061.616903353806 6665435.80910763, -32061.66103993279 6665435.823926462, -32061.703606797568 6665435.842786404, -32062.663606797567 6665436.322786404, -32062.705975955887 6665436.346612717, -32062.74583128105 6665436.374440614, -32062.782796086158 6665436.406007083, -32062.816521003722 6665436.441013779, -32062.84668728756 6665436.47912984, -32062.87300982542 6665436.519995017, -32062.89523983364 6665436.563223082, -32062.913167208524 6665436.608405467, -32062.926622512077 6665436.655115141, -32062.935478573454 6665436.702910632, -32062.939075253984 6665436.744650583, -32063.653877863773 6665436.711144211, -32064.0654021068 6665436.670798697, -32065.64736408831 6665435.927467163, -32065.6897467795 6665435.909878908, -32065.73356343826 6665435.896250276, -32065.778445016156 6665435.886696053, -32065.824013495538 6665435.88129671, -32065.86988507329 6665435.8800977245, -32069.40988507329 6665435.950097725, -32069.39011492671 6665436.949902276, -32065.9669089689 6665436.882211762))</t>
  </si>
  <si>
    <t>2025-11-22T09:15:39Z</t>
  </si>
  <si>
    <t>['FV5050 S1D1 m278-316']</t>
  </si>
  <si>
    <t>LINESTRING Z (-32055.28 6665414.06 27.684, -32056.44 6665415.79 26.994, -32056.76 6665417.4 26.634, -32056.52 6665418.52 26.284, -32055.63 6665419.95 26.214, -32053.5 6665422.07 26.294, -32053.09 6665421.94 26.374, -32051.84 6665422.97 26.394, -32050.9 6665422.61 26.464, -32049.49 6665424.18 26.594, -32045.83 6665426.68 26.694, -32045.53 6665427.4 26.594, -32044.79 6665427.68 26.634, -32043.85 6665428.25 26.684, -32042.09 6665427.21 26.744, -32041.27 6665428.04 26.784, -32040.54 6665427.92 26.804, -32035.73 6665431.36 26.974, -32033.1 6665433.17 26.994, -32030.64 6665435.52 26.914, -32027.93 6665438.31 26.854, -32027.31 6665438.02 26.804, -32026.67 6665438.26 26.864, -32026.16 6665438.97 26.824, -32027.78 6665440.96 26.754)</t>
  </si>
  <si>
    <t>POLYGON ((-32056.855285059122 6665415.511542967, -32056.880683231877 6665415.553783385, -32056.90179916187 6665415.598319187, -32056.91842765984 6665415.644717605, -32056.930407142045 6665415.692527773, -32057.250407142044 6665417.302527773, -32057.257774884598 6665417.352881381, -32057.259986138375 6665417.403723095, -32057.25701799678 6665417.454526241, -32057.248901207022 6665417.504764545, -32057.008901207024 6665418.624764544, -32056.998036469147 6665418.666564437, -32056.98360505615 6665418.707270798, -32056.965714642174 6665418.746579914, -32056.944498709163 6665418.7841984965, -32056.054498709163 6665420.214198497, -32056.021217080142 6665420.261366659, -32055.982720523883 6665420.3043843005, -32053.852720523882 6665422.424384301, -32053.815928229917 6665422.457542712, -32053.776035854804 6665422.486898318, -32053.73343484678 6665422.512163061, -32053.68854323304 6665422.53308903, -32053.641801517588 6665422.549470886, -32053.593668358775 6665422.561147879, -32053.544616068644 6665422.568005429, -32053.495125978316 6665422.569976243, -32053.445683714875 6665422.567040985, -32053.3967744361 6665422.5592284575, -32053.34887806975 6665422.546615319, -32053.19809517402 6665422.498806109, -32052.15796181822 6665423.355875993, -32052.119550048366 6665423.384550082, -32052.078569026446 6665423.409414178, -32052.03539539541 6665423.430239763, -32051.990425949843 6665423.446835436, -32051.94407398906 6665423.459048673, -32051.896765518624 6665423.4667672245, -32051.848935335056 6665423.469920153, -32051.801023029773 6665423.46847848, -32051.75346894895 6665423.462455457, -32051.706710146434 6665423.451906438, -32051.661176366953 6665423.436928376, -32051.042262017992 6665423.199897349, -32049.86200031626 6665424.514089456, -32049.819373478527 6665424.556182285, -32049.77201834809 6665424.592874861, -32046.2344927015 6665427.0092175165, -32045.9915384616 6665427.592307692, -32045.969609575437 6665427.638208777, -32045.943130227904 6665427.681644129, -32045.91237451055 6665427.722164141, -32045.877660780185 6665427.759349387, -32045.839348363577 6665427.792814957, -32045.797833838 6665427.822214442, -32045.75354692623 6665427.847243527, -32045.706946048336 6665427.867643129, -32045.009942551056 6665428.131374181, -32044.109251652193 6665428.677537812, -32044.066142938562 6665428.700868307, -32044.020956941447 6665428.719865644, -32043.974127929698 6665428.734347248, -32043.926105962557 6665428.744173939, -32043.877352564392 6665428.749251276, -32043.828336289138 6665428.7495304635, -32043.77952821715 6665428.745008816, -32043.731397427815 6665428.735729791, -32043.68440649136 6665428.721782566, -32043.639007023234 6665428.703301185, -32043.59563534393 6665428.680463264, -32042.17150550717 6665427.838931996, -32041.625689606084 6665428.391404189, -32041.590584329526 6665428.423699997, -32041.552561223103 6665428.452503522, -32041.51196635785 6665428.477552605, -32041.469169211945 6665428.498619259, -32041.42455930782 6665428.515511746, -32041.378542666916 6665428.528076315, -32041.33153811423 6665428.5361986095, -32041.283973466332 6665428.5398047045, -32041.236281637553 6665428.538861777, -32041.18889669978 6665428.533378409, -32040.662789077498 6665428.446894964, -32036.0208589913 6665431.766695276, -32036.013463775347 6665431.771883829, -32033.416435594005 6665433.5591921965, -32030.99214104191 6665435.875083333, -32028.288658046687 6665438.658373944, -32028.253923207336 6665438.690885489, -32028.21625555481 6665438.719948481, -32028.175996133534 6665438.745299784, -32028.13350945385 6665438.766709866, -32028.089180191782 6665438.78398488, -32028.043409706166 6665438.796968416, -32027.996612404728 6665438.805542922, -32027.94921199203 6665438.809630763, -32027.90163763322 6665438.809194928, -32027.854320068363 6665438.8042393625, -32027.807687712506 6665438.794808935, -32027.76216277678 6665438.780989029, -32027.718157445528 6665438.762904772, -32027.288650421953 6665438.562006325, -32026.987595273695 6665438.674902006, -32026.789267597844 6665438.951005241, -32028.16775881523 6665440.644337045, -32027.392241184767 6665441.275662955, -32025.772241184768 6665439.285662955, -32025.742533985627 6665439.245176537, -32025.717037628765 6665439.201914505, -32025.696009287465 6665439.1563132275, -32025.67966106768 6665439.108832669, -32025.668157868524 6665439.0599517515, -32025.66161571897 6665439.01016352, -32025.660100607536 6665438.959970173, -32025.663627816644 6665438.909877994, -32025.672161768503 6665438.860392245, -32025.685616383947 6665438.812012074, -32025.703855950702 6665438.765225474, -32025.726696492267 6665438.720504368, -32025.753907623744 6665438.678299842, -32026.263907623743 6665437.968299842, -32026.2944584247 6665437.92989619, -32026.328626730592 6665437.894672351, -32026.366083405937 6665437.862967628, -32026.406467639274 6665437.835087427, -32026.44939041866 6665437.811300308, -32026.49443827906 6665437.791835411, -32027.134438279063 6665437.551835411, -32027.181829108315 6665437.536706897, -32027.230488707835 6665437.526362527, -32027.27993539365 6665437.520904698, -32027.32967969052 6665437.52038744, -32027.379229177142 6665437.524815871, -32027.428093360642 6665437.534146155, -32027.475788532 6665437.54828593, -32027.521842554474 6665437.567095228, -32027.819379922166 6665437.706265932, -32030.281341953312 6665435.171626055, -32030.29462233312 6665435.158455718, -32032.75462233312 6665432.808455719, -32032.784573451703 6665432.782048853, -32032.81653622465 6665432.758116172, -32035.442815175014 6665430.950677047, -32040.2491410087 6665427.513304724, -32040.29031627914 6665427.486804849, -32040.33388616262 6665427.464459567, -32040.379432798454 6665427.4464831855, -32040.42651936773 6665427.433048107, -32040.4746942827 6665427.424283182, -32040.523495517726 6665427.420272472, -32040.572455040394 6665427.4210544415, -32040.621103300222 6665427.426621591, -32041.096003124454 6665427.504687316, -32041.734310393917 6665426.858595811, -32041.7719154718 6665426.824225153, -32041.812822882934 6665426.793859584, -32041.856607929196 6665426.767814359, -32041.902816037033 6665426.746359876, -32041.95096747682 6665426.729718877, -32042.000562343386 6665426.718064125, -32042.05108574599 6665426.71151662, -32042.102013153893 6665426.710144336, -32042.152815842 6665426.713961524, -32042.20296638005 6665426.72292855, -32042.251944108353 6665426.736952322, -32042.299240543263 6665426.755887244, -32042.34436465607 6665426.779536736, -32043.846680885348 6665427.667269054, -32044.530748347806 6665427.252462188, -32044.57098123909 6665427.230521655, -32044.613053951663 6665427.212356871, -32045.151390915024 6665427.008661805, -32045.3684615384 6665426.487692308, -32045.389048898352 6665426.444283802, -32045.413707361928 6665426.403051558, -32045.442209268556 6665426.364376254, -32045.47429147292 6665426.328614963, -32045.50965777444 6665426.296097852, -32045.547981651915 6665426.267125138, -32049.158245283365 6665423.801098067, -32050.52799968374 6665422.275910544, -32050.56335882316 6665422.240307266, -32050.602108426938 6665422.208427329, -32050.64385823042 6665422.1805918105, -32050.688187752603 6665422.1570810545, -32050.734650530976 6665422.138131849, -32050.78277861805 6665422.123935038, -32050.83208729426 6665422.114633606, -32050.882079949806 6665422.110321232, -32050.932253086215 6665422.111041347, -32050.982101387322 6665422.116786697, -32051.03112280852 6665422.127499421, -32051.078823633048 6665422.143071624, -32051.746823122143 6665422.398901216, -32052.77203818178 6665421.554124007, -32052.81199414003 6665421.524412775, -32052.854707066628 6665421.498822899, -32052.89975337997 6665421.47760815, -32052.946686358315 6665421.460978915, -32052.995040569964 6665421.449100106, -32053.044336488918 6665421.442089523, -32053.09408525034 6665421.44001669, -32053.143793498562 6665421.442902164, -32053.192968279698 6665421.450717328, -32053.24112193025 6665421.463384681, -32053.36214582646 6665421.501758112, -32055.236157961877 6665419.636544155, -32056.049385443835 6665418.329897751, -32056.249463887827 6665417.396198346, -32055.969070768886 6665415.985470466, -32054.864714940875 6665414.338457033, -32055.695285059122 6665413.781542966, -32056.855285059122 6665415.511542967))</t>
  </si>
  <si>
    <t>[1115]</t>
  </si>
  <si>
    <t>['PV1115 S1D1 m0-23']</t>
  </si>
  <si>
    <t>LINESTRING Z (-32206.34 6665574.31 16.874, -32205.59 6665571.21 16.724, -32205.06 6665570.54 16.604, -32203.4 6665570.24 16.604, -32201.73 6665569.91 16.754, -32200.09 6665569.32 16.734, -32197.56 6665568.22 16.694, -32195.07 6665566.92 16.634, -32192.89 6665565.58 16.684, -32190.05 6665563.65 16.684, -32187.2 6665561.1 16.684, -32185.95 6665559.74 16.694, -32184.74 6665558.14 16.684, -32183.57 6665556.23 16.654, -32182.43 6665553.84 16.624, -32181.56 6665551.46 16.534, -32181.05 6665549.07 16.464, -32180.79 6665546.58 16.364, -32180.84 6665543.9 16.264, -32181.06 6665541.93 16.164, -32181.44 6665539.56 16.034, -32182.4 6665536.65 15.914, -32183.57 6665533.65 15.754, -32185.86 6665529.05 15.524, -32188.85 6665523.44 15.154, -32191.06 6665518.99 14.784, -32191.77 6665517.54 14.624, -32192.64 6665515.38 14.544, -32192.72 6665514.13 14.514, -32192.44 6665513.05 14.504, -32192.07 6665512.15 14.504, -32191.48 6665511.38 14.524, -32190.33 6665510.58 14.654, -32188.14 6665509.22 14.974, -32186.39 6665508.26 15.294, -32184.35 6665507.86 15.784, -32184.21 6665509.27 15.884, -32184.13 6665510.04 15.924, -32184.2 6665510.65 16.004, -32184.5 6665511.23 16.034, -32185.12 6665511.74 16.004, -32186.62 6665512.84 15.994, -32187.64 6665513.78 15.944, -32187.98 6665514.16 15.944, -32187.93 6665514.94 15.954, -32187.77 6665516.38 16.084, -32187.41 6665518.19 16.214, -32186.92 6665520.06 16.294, -32186.39 6665521.49 16.374, -32185.89 6665522.48 16.414, -32185.14 6665523.42 16.484, -32184.02 6665524.2 16.574, -32183 6665524.51 16.644, -32181.84 6665524.59 16.734, -32178.49 6665524.37 17.064, -32178.52 6665522.28 16.934, -32178.57 6665520.79 16.864, -32178.67 6665519.24 16.784, -32178.81 6665517.35 16.704, -32179.02 6665515.42 16.644, -32179.27 6665513.44 16.574, -32179.58 6665511.56 16.514, -32179.94 6665509.54 16.414, -32180.46 6665507.09 16.364, -32180.58 6665506.1 16.394, -32179.54 6665506.15 16.364, -32176.95 6665506.25 16.364, -32176.05 6665510.94 17.504, -32175.52 6665513.69 17.794, -32174.38 6665522.56 18.764)</t>
  </si>
  <si>
    <t>POLYGON ((-32205.12981217863 6665571.434180796, -32204.78510580908 6665570.998419914, -32203.311079001105 6665570.732029527, -32203.30307189095 6665570.730514976, -32201.63307189095 6665570.400514976, -32201.596530423783 6665570.391856693, -32201.560741855617 6665570.380480266, -32199.920741855618 6665569.790480266, -32199.89063694421 6665569.778535028, -32197.36063694421 6665568.678535027, -32197.32859533875 6665568.663228928, -32194.838595338748 6665567.363228928, -32194.808169359996 6665567.34596328, -32192.628169359996 6665566.00596328, -32192.608964487597 6665565.9935444845, -32189.768964487597 6665564.063544485, -32189.71660257021 6665564.022620657, -32186.86660257021 6665561.472620657, -32186.831872690083 6665561.438352306, -32185.581872690083 6665560.078352307, -32185.551199582053 6665560.041592816, -32184.341199582053 6665558.441592815, -32184.313635221417 6665558.40117633, -32183.143635221415 6665556.4911763305, -32183.11870944723 6665556.44525993, -32181.97870944723 6665554.055259929, -32181.96039200599 6665554.011663427, -32181.09039200599 6665551.631663427, -32181.071009148855 6665551.564345328, -32180.561009148852 6665549.1743453285, -32180.552703673748 6665549.121926525, -32180.29270367375 6665546.631926524, -32180.29008699556 6665546.570673265, -32180.34008699556 6665543.890673265, -32180.343088970643 6665543.844507398, -32180.563088970644 6665541.874507397, -32180.566305708886 6665541.850842265, -32180.946305708883 6665539.480842265, -32180.954191044766 6665539.441722111, -32180.965171109947 6665539.403355417, -32181.92517110995 6665536.493355418, -32181.93417272245 6665536.468327362, -32183.104172722447 6665533.468327362, -32183.12239786273 6665533.42717198, -32185.412397862732 6665528.8271719795, -32185.418758229283 6665528.81482836, -32188.4053794814 6665523.211167751, -32190.61156041282 6665518.768857731, -32191.312976173474 6665517.336388923, -32192.146157850846 6665515.267799931, -32192.21590679211 6665514.177972724, -32191.96457101332 6665513.208534719, -32191.632773728496 6665512.401460243, -32191.130504643494 6665511.745956522, -32190.055158560426 6665510.997889682, -32187.887688074567 6665509.651880613, -32186.217597458442 6665508.735716618, -32184.79323856427 6665508.456430561, -32184.70755341052 6665509.319402466, -32184.707323052542 6665509.321669927, -32184.63297170807 6665510.037301618, -32184.686276192475 6665510.501812125, -32184.896934790115 6665510.909085413, -32185.42689574933 6665511.345021041, -32186.915681831746 6665512.4367975015, -32186.958840508007 6665512.472322002, -32187.978840508007 6665513.412322002, -32188.012620656715 6665513.446602571, -32188.352620656715 6665513.826602571, -32188.38381915163 6665513.865160904, -32188.411043918717 6665513.906620561, -32188.434027056515 6665513.9505735645, -32188.452542402574 6665513.9965874, -32188.46640775914 6665514.044209275, -32188.475486686046 6665514.092970574, -32188.479689843345 6665514.142391467, -32188.478975870457 6665514.191985633, -32188.428975870458 6665514.9719856335, -32188.426941867336 6665514.995215763, -32188.266941867336 6665516.435215763, -32188.260394267178 6665516.477536981, -32187.900394267177 6665518.2875369815, -32187.89367101475 6665518.316737325, -32187.40367101475 6665520.186737324, -32187.38883481979 6665520.233763954, -32186.85883481979 6665521.663763954, -32186.836308326932 6665521.715408246, -32186.336308326932 6665522.705408246, -32186.310799042745 6665522.750052154, -32186.28083972117 6665522.791840204, -32185.53083972117 6665523.7318402035, -32185.49903006787 6665523.767990532, -32185.463890482253 6665523.800913317, -32185.425746876943 6665523.830303208, -32184.305746876944 6665524.610303208, -32184.26142232808 6665524.6378530115, -32184.2144675726 6665524.660632568, -32184.16539416499 6665524.678393705, -32183.14539416499 6665524.988393704, -32183.0904756236 6665525.001746033, -32183.03440104584 6665525.008815164, -32181.87440104584 6665525.088815164, -32181.807234757514 6665525.088925283, -32178.457234757516 6665524.868925284, -32178.406945626746 6665524.86305372, -32178.357508126213 6665524.852126439, -32178.309429182482 6665524.836255488, -32178.263201791637 6665524.815603605, -32178.219299964156 6665524.790382553, -32178.17817386445 6665524.7608509455, -32178.14024519493 6665524.727311595, -32178.105902871906 6665524.690108413, -32178.07549903771 6665524.649622875, -32178.04934544984 6665524.606270116, -32178.027710284252 6665524.560494669, -32178.010815385507 6665524.5127659105, -32177.998833991995 6665524.463573247, -32177.99188895958 6665524.413421094, -32177.990051501853 6665524.362823706, -32178.02005150185 6665522.272823706, -32178.020281281315 6665522.263230916, -32178.070281281314 6665520.773230916, -32178.071037345515 6665520.757808861, -32178.171037345513 6665519.2078088615, -32178.17136612277 6665519.203064158, -32178.311366122773 6665517.313064157, -32178.312933786197 6665517.295915075, -32178.522933786197 6665515.365915075, -32178.52393853296 6665515.357365976, -32178.77393853296 6665513.377365977, -32178.77666192706 6665513.358651701, -32179.08666192706 6665511.478651701, -32179.08775611939 6665511.472273367, -32179.447756119385 6665509.452273368, -32179.45089522068 6665509.436190006, -32179.966297710896 6665507.00785135, -32180.012356289488 6665506.627868077, -32179.564010728827 6665506.649423152, -32179.559290645968 6665506.649627733, -32177.366186228355 6665506.734303579, -32176.541040524426 6665511.034229525, -32176.013926229887 6665513.769257371, -32174.875920917744 6665522.623737299, -32173.884079082258 6665522.4962627, -32175.024079082257 6665513.626262701, -32175.02903501913 6665513.5953776585, -32175.558997175125 6665510.845574019, -32176.458959475574 6665506.155770475, -32176.470238642123 6665506.109184378, -32176.485926784964 6665506.063892367, -32176.505879731074 6665506.020310674, -32176.529914114148 6665505.97883981, -32176.557809059734 6665505.939860892, -32176.58930821506 6665505.903732132, -32176.624122104902 6665505.870785552, -32176.661930791826 6665505.841323929, -32176.70238681641 6665505.815618012, -32176.745118390372 6665505.793904038, -32176.789732813264 6665505.776381558, -32176.83582008139 6665505.7632116005, -32176.882956655685 6665505.754515197, -32176.930709354034 6665505.750372267, -32179.51834889152 6665505.650463405, -32180.555989271175 6665505.600576848, -32180.604288801685 6665505.600590294, -32180.65236168419 6665505.605263921, -32180.699759332372 6665505.614554119, -32180.7460394608 6665505.6283741975, -32180.790770212032 6665505.646595194, -32180.833534186466 6665505.669047083, -32180.87393233724 6665505.695520357, -32180.911587693878 6665505.725767984, -32180.946148879964 6665505.759507712, -32180.977293391967 6665505.796424703, -32181.00473060863 6665505.83617447, -32181.028204502873 6665505.878386093, -32181.047496030886 6665505.92266568, -32181.062425176107 6665505.968600039, -32181.072852629015 6665506.015760543, -32181.078681087092 6665506.063707116, -32181.079856162785 6665506.111992353, -32181.07636689102 6665506.160165683, -32180.956366891016 6665507.150165684, -32180.949104779316 6665507.193809994, -32180.430806125594 6665509.635794035, -32180.072811615708 6665511.6445410075, -32179.764876758407 6665513.512016917, -32179.516600636798 6665515.478363799, -32179.30799772597 6665517.395523884, -32179.16880954902 6665519.274564274, -32179.06945976348 6665520.814485949, -32179.01987963455 6665522.291973792, -32178.996766294567 6665523.902203144, -32181.83917839119 6665524.088869013, -32182.908942641447 6665524.015092168, -32183.799052680875 6665523.744568529, -32184.794542087046 6665523.051281263, -32185.466964111467 6665522.208512327, -32185.930971204907 6665521.289778281, -32186.44258619561 6665519.909383117, -32186.922529677817 6665518.077762074, -32187.275424903473 6665516.3034833, -32187.431770205567 6665514.896375582, -32187.467615392732 6665514.337190662, -32187.28344354299 6665514.131351535, -32186.301744391465 6665513.226648395, -32184.824318168252 6665512.143202499, -32184.80236473052 6665512.126144838, -32184.18236473052 6665511.616144838, -32184.14495295896 6665511.582053403, -32184.111179520038 6665511.544354314, -32184.081390505828 6665511.503433889, -32184.05589117841 6665511.459711459, -32183.75589117841 6665510.879711459, -32183.73689666215 6665510.838508086, -32183.721715356718 6665510.79575253, -32183.710472265408 6665510.751796843, -32183.703259964233 6665510.7070029555, -32183.633259964234 6665510.097002955, -32183.630007195326 6665510.042682401, -32183.632676947458 6665509.988330073, -32183.712559184703 6665509.219463538, -32183.852446589477 6665507.810597534, -32183.859664470816 6665507.762168161, -32183.871584673874 6665507.714676996, -32183.88809288379 6665507.668579479, -32183.909030786686 6665507.624317687, -32183.93419758791 6665507.58231609, -32183.963351937637 6665507.542977484, -32183.99621424541 6665507.506679127, -32184.032469361435 6665507.473769119, -32184.071769598857 6665507.444563069, -32184.113738068078 6665507.419341062, -32184.157972291137 6665507.398344979, -32184.204048061485 6665507.38177617, -32184.2515235121 6665507.369793532, -32184.299943353035 6665507.3625119785, -32184.348843237618 6665507.360001339, -32184.397754215563 6665507.362285689, -32184.44620723023 6665507.369343125, -32186.48620723023 6665507.769343125, -32186.536006028644 6665507.781792681, -32186.584265975078 6665507.799282374, -32186.630478426774 6665507.821627867, -32188.380478426774 6665508.781627867, -32188.403777985113 6665508.795239862, -32190.593777985116 6665510.155239862, -32190.615532244057 6665510.1695473995, -32191.765532244055 6665510.969547399, -32191.806244161133 6665511.00110061, -32191.84349388976 6665511.036674801, -32191.876886126378 6665511.075892448, -32192.466886126378 6665511.845892449, -32192.4920560412 6665511.881916622, -32192.513965546877 6665511.920011755, -32192.532445391094 6665511.959883561, -32192.902445391093 6665512.859883561, -32192.923998449085 6665512.9245189205, -32193.203998449088 6665514.004518921, -32193.214547856485 6665514.056362933, -32193.21956012486 6665514.109031413, -32193.21897913503 6665514.1619346645, -32193.138979135027 6665515.4119346645, -32193.132771943645 6665515.464710162, -32193.120998829374 6665515.516528848, -32193.103792771013 6665515.566805421, -32192.233792771014 6665517.7268054215, -32192.219056318045 6665517.759882749, -32191.509056318046 6665519.209882749, -32191.507815761626 6665519.212398389, -32189.297815761623 6665523.66239839, -32189.291241770716 6665523.67517164, -32186.30450765955 6665529.279044001, -32184.027641854074 6665533.852660904, -32182.870661045607 6665536.819278361, -32181.92736126407 6665539.678655824, -32181.555585335187 6665541.997363591, -32181.339481055777 6665543.932479184, -32181.29048589613 6665546.558619741, -32181.544536555775 6665548.991643366, -32182.041663146505 6665551.321315036, -32182.891481230334 6665553.646104737, -32184.010028774217 6665555.991129851, -32185.15357239508 6665557.857940377, -32186.33434482065 6665559.419292345, -32187.551599343045 6665560.743665265, -32190.35857932369 6665563.255173669, -32193.161575125272 6665565.16002645, -32195.316919836467 6665566.484871364, -32197.775655794885 6665567.768548772, -32200.274504136298 6665568.855004573, -32201.863847091732 6665569.426780392, -32203.492930742974 6665569.748695126, -32205.148920998898 6665570.047970473, -32205.199159055763 6665570.059755524, -32205.24791492959 6665570.076655658, -32205.29466932167 6665570.098490872, -32205.33892425101 6665570.125028601, -32205.380208358398 6665570.155986189, -32205.418081926844 6665570.191033907, -32205.452141564794 6665570.229798464, -32205.982141564793 6665570.899798464, -32206.013285662204 6665570.943862351, -32206.039500037536 6665570.991025764, -32206.060479389893 6665571.040739421, -32206.07597938702 6665571.0924243415, -32206.82597938702 6665574.192424341, -32205.85402061298 6665574.427575658, -32205.12981217863 6665571.434180796))</t>
  </si>
  <si>
    <t>['FV5050 S1D1 m273-274']</t>
  </si>
  <si>
    <t>LINESTRING Z (-32068.96 6665425.79 25.494, -32069.62 6665426.01 25.464, -32070.61 6665426.53 25.434, -32071.29 6665427.06 25.424, -32072.1 6665428.07 25.484, -32072.91 6665429.9 25.654, -32073.46 6665431.45 25.814)</t>
  </si>
  <si>
    <t>POLYGON Z ((-32068.96 6665425.79 25.494, -32069.62 6665426.01 25.464, -32070.61 6665426.53 25.434, -32071.29 6665427.06 25.424, -32072.1 6665428.07 25.484, -32072.91 6665429.9 25.654, -32073.46 6665431.45 25.814, -32068.96 6665425.79 25.494))</t>
  </si>
  <si>
    <t>['FV5050 S1D1 m264-266']</t>
  </si>
  <si>
    <t>LINESTRING Z (-32080.47 6665425.63 25.434, -32079.89 6665425.58 25.344, -32079.13 6665425.36 25.314, -32078.26 6665424.84 25.244, -32077.56 6665424.1 25.214, -32077.23 6665423.07 25.124, -32077.11 6665422.17 25.064, -32077.2 6665421.4 25.004)</t>
  </si>
  <si>
    <t>POLYGON Z ((-32080.47 6665425.63 25.434, -32079.89 6665425.58 25.344, -32079.13 6665425.36 25.314, -32078.26 6665424.84 25.244, -32077.56 6665424.1 25.214, -32077.23 6665423.07 25.124, -32077.11 6665422.17 25.064, -32077.2 6665421.4 25.004, -32080.47 6665425.63 25.434))</t>
  </si>
  <si>
    <t>['FV5050 S1D1 m408-445']</t>
  </si>
  <si>
    <t>LINESTRING Z (-31967.7 6665523.09 22.274, -31967.4 6665523.02 22.274, -31962.68 6665526.05 21.824, -31959.43 6665528.27 21.654, -31955.72 6665530.83 21.365, -31949.71 6665535.04 20.845, -31945.99 6665537.82 20.615, -31943.54 6665539.62 20.595, -31943.39 6665539.75 20.535, -31942.56 6665538.74 20.515, -31947.11 6665534.81 20.705, -31951.69 6665530.86 21.035, -31956.86 6665526.53 21.505, -31962.02 6665521.89 21.994, -31965.98 6665518.38 22.564, -31967.44 6665519.98 22.544, -31968.17 6665519.44 22.674, -31969.58 6665518.5 22.964, -31970.82 6665517.9 23.134, -31971.97 6665517.86 23.314, -31973.21 6665518.03 23.494, -31974.11 6665518.53 23.634, -31975.08 6665519.38 23.874, -31975.65 6665520.28 24.044, -31976.14 6665521.57 24.214, -31976.13 6665522.09 24.224, -31976.01 6665523 24.284)</t>
  </si>
  <si>
    <t>POLYGON Z ((-31967.7 6665523.09 22.274, -31967.4 6665523.02 22.274, -31962.68 6665526.05 21.824, -31959.43 6665528.27 21.654, -31955.72 6665530.83 21.365, -31949.71 6665535.04 20.845, -31945.99 6665537.82 20.615, -31943.54 6665539.62 20.595, -31943.39 6665539.75 20.535, -31942.56 6665538.74 20.515, -31947.11 6665534.81 20.705, -31951.69 6665530.86 21.035, -31956.86 6665526.53 21.505, -31962.02 6665521.89 21.994, -31965.98 6665518.38 22.564, -31967.44 6665519.98 22.544, -31968.17 6665519.44 22.674, -31969.58 6665518.5 22.964, -31970.82 6665517.9 23.134, -31971.97 6665517.86 23.314, -31973.21 6665518.03 23.494, -31974.11 6665518.53 23.634, -31975.08 6665519.38 23.874, -31975.65 6665520.28 24.044, -31976.14 6665521.57 24.214, -31976.13 6665522.09 24.224, -31976.01 6665523 24.284, -31967.7 6665523.09 22.274))</t>
  </si>
  <si>
    <t>['FV5050 S1D1 m257-316']</t>
  </si>
  <si>
    <t>LINESTRING Z (-32076.6 6665404.89 25.674, -32076.45 6665405.39 25.644, -32076.87 6665407.28 25.184, -32075.01 6665408.16 25.284, -32072.99 6665409.17 25.384, -32070.77 6665410.38 25.524, -32068.46 6665411.64 25.674, -32066.23 6665412.99 25.814, -32064.12 6665414.32 25.904, -32061.89 6665415.77 25.964, -32059.76 6665417.31 26.074, -32058.01 6665418.69 26.214, -32056.55 6665419.87 26.194, -32054.38 6665421.66 26.234, -32052.19 6665423.55 26.334, -32050.96 6665424.57 26.384, -32045.35 6665428.42 26.604, -32038.45 6665432.92 26.694, -32031.8 6665437.3 26.704, -32031.57 6665437.2 26.754, -32027.78 6665440.96 26.754)</t>
  </si>
  <si>
    <t>POLYGON ((-32076.96637496158 6665405.408801212, -32077.3580935301 6665407.171534771, -32077.366258309816 6665407.218945189, -32077.369828906067 6665407.266920831, -32077.368772263475 6665407.315017556, -32077.36309816406 6665407.3627901, -32077.352859136627 6665407.409796203, -32077.338149970463 6665407.4556006985, -32077.31910683781 6665407.499779545, -32077.295906033247 6665407.54192375, -32077.268762341595 6665407.581643159, -32077.237927049526 6665407.618570061, -32077.20368561925 6665407.652362603, -32077.16635504579 6665407.682707943, -32077.126280922363 6665407.709325155, -32077.08383424107 6665407.731967828, -32075.228746355067 6665408.609643817, -32073.22151960108 6665409.613257194, -32071.009356907707 6665410.818985509, -32068.709308467838 6665412.073557385, -32066.492800202544 6665413.415389744, -32064.389603185995 6665414.741101607, -32062.172929964327 6665416.182436212, -32060.061409962214 6665417.709075087, -32058.321959435387 6665419.080756075, -32056.866236670397 6665420.257299131, -32054.702459956923 6665422.042165637, -32052.51667491203 6665423.928528072, -32052.509167934884 6665423.93487898, -32051.279167934885 6665424.95487898, -32051.24292124844 6665424.982256677, -32045.632921248438 6665428.832256677, -32045.623133890273 6665428.838805298, -32038.724082011784 6665433.338186958, -32032.07502733112 6665437.717564327, -32032.03229607769 6665437.742762388, -32031.987278192424 6665437.763602069, -32031.940416813817 6665437.779878233, -32031.892173226963 6665437.791430662, -32031.843022322886 6665437.798145641, -32031.793447923872 6665437.799957069, -32031.743938020933 6665437.796847113, -32031.69497997021 6665437.78884639, -32031.688212423414 6665437.787037061, -32028.132145762705 6665441.314955437, -32027.427854237292 6665440.605044563, -32031.217854237293 6665436.8450445635, -32031.254776601952 6665436.811883768, -32031.294804420457 6665436.782546538, -32031.33754335501 6665436.757321891, -32031.38257235883 6665436.73645833, -32031.429447824306 6665436.720161396, -32031.477707953225 6665436.708591638, -32031.526877306227 6665436.701863037, -32031.576471486645 6665436.700041882, -32031.626001912584 6665436.703146112, -32031.67498063023 6665436.711145147, -32031.722925120972 6665436.723960184, -32031.75005418937 6665436.734186491, -32038.17497266888 6665432.502435673, -32038.176866109727 6665432.5011947015, -32045.07193385777 6665428.004411387, -32050.658332963954 6665424.17060808, -32051.86704735394 6665423.168259561, -32054.05332508797 6665421.281471928, -32054.061834963784 6665421.274291549, -32056.231834963783 6665419.484291549, -32056.235707468022 6665419.481129579, -32057.69570746802 6665418.30112958, -32057.70039612851 6665418.297386396, -32059.45039612851 6665416.917386395, -32059.467046396658 6665416.904810925, -32061.59704639666 6665415.364810925, -32061.617439756978 6665415.350821143, -32063.847439756977 6665413.900821144, -32063.853380724075 6665413.89701754, -32065.963380724075 6665412.56701754, -32065.9710617193 6665412.562272322, -32068.2010617193 6665411.212272322, -32068.22057393469 6665411.201052213, -32070.53057393469 6665409.941052213, -32072.75071250334 6665408.730976659, -32072.76639320229 6665408.722786404, -32074.78639320229 6665407.712786404, -32074.796165758926 6665407.708032172, -32076.29530567944 6665406.9987616725, -32075.9619064699 6665405.498465229, -32075.953397589066 6665405.448189736, -32075.950053425284 6665405.397309065, -32075.95190875827 6665405.346352378, -32075.95894429237 6665405.295849631, -32075.97108685739 6665405.246326057, -32076.121086857387 6665404.746326057, -32077.07891314261 6665405.033673942, -32076.96637496158 6665405.408801212))</t>
  </si>
  <si>
    <t>['FV5050 S1D1 m241-257']</t>
  </si>
  <si>
    <t>LINESTRING Z (-32077.9 6665405.66 25.274, -32080.31 6665404.69 25.074, -32086.23 6665402.64 24.634, -32089.89 6665401.73 24.374, -32094.45 6665400.66 23.854, -32094.93 6665401.13 23.984)</t>
  </si>
  <si>
    <t>['FV5050 S1D1 m77-265']</t>
  </si>
  <si>
    <t>LINESTRING Z (-32191.56 6665499.57 14.644, -32192.32 6665499.66 14.434, -32192.88 6665499.6 14.364, -32193.44 6665499.49 14.244, -32193.99 6665499.26 14.164, -32194.42 6665499.01 14.084, -32194.88 6665498.7 14.024, -32195.32 6665498.22 13.964, -32195.7 6665497.61 13.894, -32196.05 6665496.84 13.834, -32196.23 6665495.99 13.804, -32196.34 6665494.75 13.764, -32196.38 6665493.56 13.744, -32196.43 6665491.55 13.674, -32196.36 6665489.7 13.634, -32196.24 6665487.54 13.644, -32196.06 6665485.3 13.614, -32195.83 6665483.03 13.594, -32195.54 6665480.81 13.584, -32195.2 6665478.75 13.614, -32194.71 6665476.13 13.624, -32194.15 6665473.63 13.654, -32193.58 6665471.37 13.694, -32192.97 6665469.29 13.734, -32192.35 6665467.3 13.764, -32191.59 6665465.06 13.854, -32190.72 6665462.77 13.924, -32189.8 6665460.49 14.024, -32188.88 6665458.44 14.104, -32187.8 6665456.24 14.214, -32186.75 6665454.25 14.314, -32185.58 6665452.13 14.494, -32184.48 6665450.32 14.554, -32183.2 6665448.36 14.674, -32181.99 6665446.5 14.834, -32180.68 6665444.67 15.004, -32179.25 6665442.7 15.184, -32177.98 6665441.11 15.344, -32176.46 6665439.34 15.514, -32174.88 6665437.57 15.694, -32173.24 6665435.8 15.914, -32171.53 6665434.13 16.144, -32169.85 6665432.56 16.384, -32168.08 6665430.96 16.584, -32166.24 6665429.44 16.804, -32164.36 6665427.97 17.044, -32162.41 6665426.55 17.254, -32160.41 6665425.14 17.504, -32158.38 6665423.88 17.724, -32156.3 6665422.59 17.974, -32154.27 6665421.44 18.204, -32151.97 6665420.23 18.434, -32149.92 6665419.22 18.664, -32147.28 6665418.02 18.934, -32145.04 6665417.07 19.184, -32142.63 6665416.17 19.414, -32140.63 6665415.49 19.584, -32138.69 6665414.86 19.784, -32136.64 6665414.26 19.974, -32134.55 6665413.73 20.204, -32132.36 6665413.2 20.404, -32130.42 6665412.81 20.604, -32127.99 6665412.37 20.844, -32125.69 6665411.99 21.064, -32123.29 6665411.73 21.294, -32120.91 6665411.55 21.514, -32118.61 6665411.42 21.734, -32116.01 6665411.37 22.014, -32113.76 6665411.41 22.184, -32111.54 6665411.42 22.424, -32109.11 6665411.57 22.644, -32106.93 6665411.78 22.844, -32104.81 6665411.98 23.014, -32102.84 6665412.27 23.204, -32101.27 6665412.47 23.354, -32099.55 6665412.77 23.514, -32097.2 6665413.27 23.724, -32094.93 6665413.86 23.914, -32092.84 6665414.43 24.064, -32089.11 6665415.57 24.364, -32086.89 6665416.35 24.524, -32084.79 6665417.08 24.704, -32082.62 6665418.01 24.844, -32081.12 6665418.73 24.924, -32080.03 6665419.37 24.974, -32079.14 6665419.97 25.004, -32078.17 6665420.66 25.044, -32077.72 6665421.01 25.084, -32077.2 6665421.4 25.004)</t>
  </si>
  <si>
    <t>POLYGON ((-32192.322801743783 6665499.156838105, -32192.805037907387 6665499.105169944, -32193.29387478507 6665499.009148415, -32193.76694436048 6665498.8113193195, -32194.154339030603 6665498.58608986, -32194.551450463143 6665498.318471286, -32194.92011140454 6665497.916295714, -32195.25833595133 6665497.37335631, -32195.572180441282 6665496.682898432, -32195.734614397854 6665495.915849193, -32195.840743235764 6665494.719487747, -32195.880208903836 6665493.545384121, -32195.929764755278 6665491.553238894, -32195.860524657455 6665489.723322023, -32195.74111217882 6665487.573897407, -32195.562022913142 6665485.34523099, -32195.333275749817 6665483.087595943, -32195.045302963405 6665480.883114613, -32194.707541921867 6665478.836680067, -32194.220152066384 6665476.23063635, -32193.66354984256 6665473.745804993, -32193.097518599727 6665471.501540768, -32192.491386079666 6665469.434728241, -32191.874496671273 6665467.454712235, -32191.119400427466 6665465.229165412, -32190.254411006044 6665462.952354176, -32189.339909234503 6665460.685980221, -32188.427364005543 6665458.652591396, -32187.35437941457 6665456.4668820435, -32186.309972928306 6665454.487483083, -32185.147290929064 6665452.380743051, -32184.05693034237 6665450.586604267, -32182.781364747723 6665448.633394451, -32182.78088118573 6665448.632652562, -32181.576952725154 6665446.781985672, -32180.274395251556 6665444.962382483, -32178.852134632296 6665443.003044428, -32177.594878324006 6665441.428999129, -32176.083799476255 6665439.669387575, -32174.51008229685 6665437.906425925, -32172.88172147248 6665436.148987718, -32171.1845900249 6665434.491555252, -32169.511635027902 6665432.928138974, -32167.752971403723 6665431.338386546, -32165.926730943618 6665429.829753123, -32164.058753413567 6665428.369153671, -32162.11876630328 6665426.956445108, -32160.133872018523 6665425.557094637, -32158.116395431174 6665424.304867791, -32156.04490890546 6665423.020147782, -32154.030318904053 6665421.878877585, -32151.743074399048 6665420.675588084, -32149.70600861709 6665419.671960552, -32147.078905454942 6665418.477822751, -32144.854839223823 6665417.534580377, -32142.462026079837 6665416.640998704, -32140.472300788217 6665415.964492105, -32138.54252764387 6665415.337813198, -32136.508279730166 6665414.742423564, -32134.429739694515 6665414.21532968, -32132.25188205607 6665413.688268242, -32130.326176160477 6665413.3011417985, -32127.904699873496 6665412.862685188, -32125.622269557298 6665412.485588005, -32123.24420844999 6665412.227964719, -32120.877035411395 6665412.048934824, -32118.59107871279 6665411.919728576, -32116.009636809787 6665411.870085463, -32113.768887484566 6665411.909921006, -32113.76225222935 6665411.909994927, -32111.55654240755 6665411.919930557, -32109.14938600584 6665412.068520458, -32106.977943206253 6665412.277696141, -32106.976961297343 6665412.277789752, -32104.869930941564 6665412.476566201, -32102.91281928412 6665412.764668931, -32102.903183663584 6665412.765991759, -32101.344587371597 6665412.964539057, -32099.645015499074 6665413.260976012, -32097.31497268538 6665413.756729801, -32095.058672499577 6665414.343169058, -32092.978882249216 6665414.91038458, -32089.26600883498 6665416.045150181, -32087.055742997378 6665416.82173007, -32087.054173082495 6665416.82227873, -32084.97078990301 6665417.546502407, -32082.82675649739 6665418.465373866, -32081.35517360713 6665419.171733654, -32080.296588468686 6665419.79328823, -32079.42470507286 6665420.381074789, -32078.468533446623 6665421.061238111, -32078.026970306557 6665421.404676109, -32078.020000000295 6665421.409999999, -32077.500000000295 6665421.8, -32076.899999999707 6665421.000000001, -32077.416491485812 6665420.612631386, -32077.863029693443 6665420.265323891, -32077.88017611741 6665420.252566426, -32078.850176117412 6665419.562566426, -32078.860503633587 6665419.555413723, -32079.750503633586 6665418.955413723, -32079.776835760047 6665418.938829654, -32080.866835760047 6665418.298829654, -32080.90363446604 6665418.279238472, -32082.40363446604 6665417.559238471, -32082.423040350764 6665417.550427484, -32084.593040350766 6665416.620427485, -32084.625826917505 6665416.60772127, -32086.725041372756 6665415.87799434, -32088.944257002622 6665415.09826993, -32088.963858163625 6665415.091834168, -32092.693858163624 6665413.951834167, -32092.70844129724 6665413.947618089, -32094.79844129724 6665413.377618089, -32094.804223010946 6665413.376078365, -32097.074223010946 6665412.786078365, -32097.095946177767 6665412.780947035, -32099.445946177766 6665412.280947035, -32099.46408771258 6665412.277436218, -32101.18408771258 6665411.977436218, -32101.206816336417 6665411.974008241, -32102.771992103742 6665411.774622792, -32104.73718071588 6665411.485331069, -32104.76303870266 6665411.482210249, -32106.882548110614 6665411.282256531, -32109.062056793748 6665411.0723038595, -32109.07919443727 6665411.070949885, -32111.50919443727 6665410.920949885, -32111.53774777065 6665410.920005073, -32113.754429888453 6665410.910020019, -32116.00111251543 6665410.870078994, -32116.019613607077 6665410.87009243, -32118.61961360708 6665410.92009243, -32118.638215834817 6665410.920796768, -32120.938215834816 6665411.050796768, -32120.947707437907 6665411.051423878, -32123.327707437908 6665411.231423879, -32123.343851584297 6665411.232908453, -32125.743851584295 6665411.492908453, -32125.771503789198 6665411.496687592, -32128.0715037892 6665411.876687592, -32128.07908635013 6665411.878000384, -32130.50908635013 6665412.318000384, -32130.5185439364 6665412.319807086, -32132.458543936402 6665412.709807087, -32132.477609469886 6665412.714028794, -32134.667609469885 6665413.244028795, -32134.672904023428 6665413.2453407375, -32136.762904023428 6665413.775340737, -32136.780449376754 6665413.780131296, -32138.830449376754 6665414.380131297, -32138.844432175894 6665414.384446951, -32140.784432175897 6665415.0144469505, -32140.790951366558 6665415.016613628, -32142.790951366558 6665415.6966136275, -32142.804922570773 6665415.7015962275, -32145.214922570773 6665416.601596228, -32145.23522214847 6665416.609686724, -32147.475222148467 6665417.559686723, -32147.486901472177 6665417.564816761, -32150.126901472177 6665418.764816761, -32150.140977469586 6665418.771481373, -32152.19097746959 6665419.781481374, -32152.202793918925 6665419.787499162, -32154.502793918924 6665420.997499162, -32154.516452211767 6665421.00495827, -32156.546452211765 6665422.15495827, -32156.563528857012 6665422.165085253, -32158.643528857014 6665423.455085253, -32160.673681430857 6665424.7151799165, -32160.698100886642 6665424.73134626, -32162.698100886642 6665426.14134626, -32162.704332284873 6665426.145811299, -32164.654332284874 6665427.565811299, -32164.667984624986 6665427.576114901, -32166.547984624987 6665429.046114902, -32166.558440723446 6665429.054519124, -32168.398440723446 6665430.574519124, -32168.41529201388 6665430.58908321, -32170.185292013877 6665432.189083209, -32170.191391481567 6665432.19468937, -32171.871391481567 6665433.76468937, -32171.879344864577 6665433.772287593, -32173.58934486458 6665435.442287593, -32173.606765538327 6665435.460172043, -32175.246765538326 6665437.230172044, -32175.25300621983 6665437.237033996, -32176.83300621983 6665439.007033995, -32176.83932558432 6665439.014251475, -32178.35932558432 6665440.784251476, -32178.370674003792 6665440.797952211, -32179.640674003793 6665442.387952211, -32179.6546343386 6665442.406280658, -32181.0846343386 6665444.376280658, -32181.086566292324 6665444.378960742, -32182.396566292326 6665446.208960742, -32182.409118814274 6665446.227347438, -32183.618877325305 6665448.086976225, -32184.898635252277 6665450.04660555, -32184.90728151424 6665450.060326152, -32186.00728151424 6665451.870326151, -32186.017758721577 6665451.888406743, -32187.187758721575 6665454.008406743, -32187.19221785467 6665454.016668972, -32188.24221785467 6665456.006668972, -32188.248833805286 6665456.019663405, -32189.328833805288 6665458.219663405, -32189.336168697915 6665458.23528039, -32190.256168697913 6665460.28528039, -32190.26367521626 6665460.3029029835, -32191.183675216264 6665462.582902983, -32191.18740534376 6665462.59242679, -32192.05740534376 6665464.88242679, -32192.063489350163 6665464.899351827, -32192.82348935016 6665467.139351827, -32192.827367864717 6665467.151272323, -32193.44736786472 6665469.141272323, -32193.449792796968 6665469.149291536, -32194.05979279697 6665471.229291536, -32194.064817821756 6665471.247722939, -32194.634817821756 6665473.507722938, -32194.637909146757 6665473.520708351, -32195.197909146755 6665476.020708351, -32195.201478513838 6665476.0380822625, -32195.69147851384 6665478.658082263, -32195.69332579821 6665478.668577296, -32196.03332579821 6665480.728577295, -32196.03578774318 6665480.745234934, -32196.325787743182 6665482.965234934, -32196.32745307752 6665482.979597266, -32196.55745307752 6665485.249597265, -32196.558393458632 6665485.259950525, -32196.738393458632 6665487.499950525, -32196.739230176605 6665487.51226499, -32196.859230176604 6665489.67226499, -32196.85964245838 6665489.68109461, -32196.92964245838 6665491.53109461, -32196.92984537262 6665491.562433965, -32196.87984537262 6665493.572433964, -32196.87971777321 6665493.576797236, -32196.839717773208 6665494.766797236, -32196.838044184078 6665494.7941813385, -32196.728044184078 6665496.034181339, -32196.719152432266 6665496.093585221, -32196.539152432266 6665496.943585221, -32196.52498529119 6665496.996169693, -32196.50518323878 6665497.046901472, -32196.15518323878 6665497.816901472, -32196.12438954495 6665497.874373815, -32195.74438954495 6665498.484373814, -32195.718182311557 6665498.52240841, -32195.688577070257 6665498.557862313, -32195.24857707026 6665499.037862314, -32195.20626779558 6665499.078879039, -32195.15942673078 6665499.114633214, -32194.69942673078 6665499.424633213, -32194.67131022869 6665499.442253593, -32194.241310228692 6665499.692253593, -32194.182903065543 6665499.721289938, -32193.63290306554 6665499.951289939, -32193.585379633827 6665499.968398121, -32193.536372651513 6665499.98062441, -32192.976372651516 6665500.09062441, -32192.933266562275 6665500.097154576, -32192.373266562274 6665500.157154577, -32192.317215907045 6665500.159992249, -32192.26120032833 6665500.156530562, -32191.50120032833 6665500.066530562, -32191.618799671673 6665499.073469439, -32192.322801743783 6665499.156838105))</t>
  </si>
  <si>
    <t>2018-10-26</t>
  </si>
  <si>
    <t>['EV134 S5D200 m1060-1061']</t>
  </si>
  <si>
    <t>LINESTRING Z (-8634.19 6648307.85 9.584, -8634.3 6648307.51 9.654, -8634.88000000001 6648305.87 9.804)</t>
  </si>
  <si>
    <t>2019-03-12</t>
  </si>
  <si>
    <t>[565]</t>
  </si>
  <si>
    <t>['FV565 S6D1 m136-156']</t>
  </si>
  <si>
    <t>LINESTRING Z (-43701.64 6782597 16.266, -43702.2 6782596.19 16.236, -43704.55 6782594.47 16.156, -43707.94 6782592.02 16.056, -43708.34 6782591.75 16.046, -43710.77 6782590.11 15.996, -43714.15 6782588.34 15.936, -43717.26 6782586.99 15.936, -43718.71 6782586.44 15.896, -43719.05 6782587.35 15.936, -43718.98 6782588.22 15.986, -43718.74 6782589.76 16.066, -43718.48 6782590.81 16.116, -43717.85 6782591.77 16.116, -43714.96 6782593.33 16.186, -43711.19 6782594.37 16.206, -43705.94 6782595.76 16.266, -43703.68 6782596.41 16.266)</t>
  </si>
  <si>
    <t>POLYGON Z ((-43701.64 6782597 16.266, -43702.2 6782596.19 16.236, -43704.55 6782594.47 16.156, -43707.94 6782592.02 16.056, -43708.34 6782591.75 16.046, -43710.77 6782590.11 15.996, -43714.15 6782588.34 15.936, -43717.26 6782586.99 15.936, -43718.71 6782586.44 15.896, -43719.05 6782587.35 15.936, -43718.98 6782588.22 15.986, -43718.74 6782589.76 16.066, -43718.48 6782590.81 16.116, -43717.85 6782591.77 16.116, -43714.96 6782593.33 16.186, -43711.19 6782594.37 16.206, -43705.94 6782595.76 16.266, -43703.68 6782596.41 16.266, -43701.64 6782597 16.266))</t>
  </si>
  <si>
    <t>2018-11-08</t>
  </si>
  <si>
    <t>[471]</t>
  </si>
  <si>
    <t>['FV471 S1D105 m276-325']</t>
  </si>
  <si>
    <t>LINESTRING Z (89120.81 6468049.65 20.256, 89121.56 6468048.99 20.256, 89120.16 6468047.38 20.206, 89120.13 6468046.94 20.286, 89120.19 6468046.38 20.316, 89120.47 6468045.67 20.356, 89120.66 6468045.49 20.276, 89121.07 6468045.34 20.216, 89121.21 6468045.35 20.246, 89122.02 6468045.59 20.276, 89135.24 6468050.19 20.406, 89134.85 6468051.01 20.336, 89134.09 6468053.12 20.396, 89133.17 6468055.76 20.336, 89131.8 6468058.99 20.596, 89132.4 6468059.84 20.516, 89132.1 6468059.86 20.496, 89131.2 6468063.99 20.516, 89129.93 6468067.6 20.446, 89127.31 6468070.31 20.246, 89127.42 6468070.96 20.876, 89126.69 6468075.42 20.626, 89124.72 6468073.17 20.526, 89123.78 6468072.78 20.516, 89123.25 6468075.2 20.556, 89121.53 6468074.24 20.446, 89121.26 6468074.14 20.366, 89119.13 6468073.89 22.516, 89117.55 6468071.71 22.506, 89117.08 6468074.74 20.316, 89108.23 6468072.17 20.356, 89107.34 6468071.36 20.416, 89104.22 6468070.01 20.286, 89104.47 6468068.73 20.336, 89101.91 6468068.08 20.296, 89101.4 6468069.44 20.276, 89100.9 6468071.18 20.336, 89101.68 6468074.64 20.416, 89102.88 6468077.51 20.546, 89105.21 6468080.57 20.686, 89110 6468085.05 20.826, 89116.04 6468090.64 20.956, 89116.89 6468091.15 20.936, 89117.45 6468091.17 20.896, 89117.49 6468091.1 20.936, 89117.55 6468091.11 20.816, 89120.81 6468087.93 20.676, 89124.75 6468084.06 20.656, 89128.16 6468080.24 20.726, 89128.66 6468079.74 20.766, 89131.17 6468076.55 20.666, 89131.79 6468075 20.596, 89132.05 6468074.26 20.616, 89133.37 6468069.55 20.586, 89133.55 6468069 20.646, 89136.34 6468059.37 20.456, 89136.26 6468059.26 20.476, 89136.28 6468059.5 20.676, 89138.45 6468051.72 20.476, 89138.37 6468050.89 20.446, 89138.1 6468050.48 20.416, 89137.95 6468050.41 20.416, 89136.46 6468049.65 20.416, 89136.46 6468049.55 20.416, 89122.33 6468044.65 20.276, 89121.43 6468044.36 20.246, 89120.94 6468044.31 20.216, 89120.13 6468044.63 20.276, 89119.62 6468045.09 20.356, 89119.21 6468046.15 20.316, 89119.13 6468046.9 20.286, 89119.15 6468047.6 20.356, 89119.33 6468047.95 20.206, 89120.81 6468049.65 20.256)</t>
  </si>
  <si>
    <t>2018-11-29</t>
  </si>
  <si>
    <t>[5410]</t>
  </si>
  <si>
    <t>['KV5410 S1D1 m1220-1224']</t>
  </si>
  <si>
    <t>LINESTRING Z (266661.88 7037302.42 164.21, 266661.82 7037303.29 164.27, 266661.82 7037304.4 164.34, 266661.97 7037305.36 164.42, 266662.14 7037305.84 164.46, 266662.58 7037306.71 164.51, 266663.17 7037307.5 164.6, 266663.91 7037308.18 164.71, 266664.72 7037308.67 164.76, 266665.74 7037309.14 164.83, 266667.92 7037310.09 164.96, 266668.63 7037310.34 266668.77)</t>
  </si>
  <si>
    <t>POLYGON Z ((266661.88 7037302.42 164.21, 266661.82 7037303.29 164.27, 266661.82 7037304.4 164.34, 266661.97 7037305.36 164.42, 266662.14 7037305.84 164.46, 266662.58 7037306.71 164.51, 266663.17 7037307.5 164.6, 266663.91 7037308.18 164.71, 266664.72 7037308.67 164.76, 266665.74 7037309.14 164.83, 266667.92 7037310.09 164.96, 266668.63 7037310.34 266668.77, 266661.88 7037302.42 164.21))</t>
  </si>
  <si>
    <t>['KV5410 S1D1 m1224-1225']</t>
  </si>
  <si>
    <t>LINESTRING Z (266661.72 7037302.14 266661.86, 266661.89 7037302.22 164.19, 266661.88 7037302.42 164.21)</t>
  </si>
  <si>
    <t>POLYGON Z ((266661.72 7037302.14 266661.86, 266661.89 7037302.22 164.19, 266661.88 7037302.42 164.21, 266661.72 7037302.14 266661.86))</t>
  </si>
  <si>
    <t>2018-12-20</t>
  </si>
  <si>
    <t>[5105]</t>
  </si>
  <si>
    <t>['KV5105 S1D1 m12-24']</t>
  </si>
  <si>
    <t>LINESTRING Z (496388.71464622807 7608165.439868708 26.067, 496387.6730697329 7608165.198423449 25.817, 496387.2407538563 7608162.43296146 25.607, 496385.76230681693 7608160.095843121 25.267, 496383.28551416955 7608157.9167801775 24.867, 496381.59317253396 7608156.321125584 24.587, 496381.27916614566 7608155.813865541 24.537, 496385.244436468 7608154.1822426105 25.147, 496385.80394853465 7608154.147708029 25.197, 496386.3474485387 7608154.603122094 25.297, 496387.5918472826 7608157.661875322 25.517, 496388.3285057354 7608159.745116516 25.647, 496388.55709906074 7608160.812863128 25.727, 496388.73571420024 7608161.881015778 25.787, 496388.85296797636 7608164.009274442 25.907, 496388.6051002596 7608165.4907401875 26.037, 496388.71464622807 7608165.439868708 26.067)</t>
  </si>
  <si>
    <t>2019-01-08</t>
  </si>
  <si>
    <t>2025-11-22T09:15:46Z</t>
  </si>
  <si>
    <t>[45]</t>
  </si>
  <si>
    <t>['EV45 S1D1 m3162-3456']</t>
  </si>
  <si>
    <t>LINESTRING Z (815233.4074338006 7779777.031862865 21.706, 815235.9544324542 7779774.438351464 21.666, 815242.1930862907 7779767.936487103 21.636, 815248.4317400985 7779761.434622101 21.636, 815254.7583742468 7779755.025956181 21.576, 815261.1190875898 7779748.6624983 21.486, 815267.4911030981 7779742.290519979 21.366, 815273.8631186048 7779735.918541009 21.216, 815280.2351341092 7779729.546561396 21.036, 815286.5958474401 7779723.183100947 20.856, 815293.6738167945 7779716.101711756 20.646, 815300.0444411093 7779709.739641128 20.436, 815306.8346369127 7779703.052425883 20.196, 815313.6389172568 7779696.336868123 19.946, 815320.043275358 7779689.878467924 19.716, 815326.3808661399 7779683.3197387 19.486, 815332.8153119516 7779676.430990934 19.256, 815339.3558327839 7779668.9305432 18.946, 815345.2378724751 7779661.8732979 18.656, 815350.9568171164 7779654.681989807 18.366, 815356.511275487 7779647.366529921 18.086, 815361.8913365485 7779639.925527076 17.816, 815367.1168222451 7779632.3617636515 17.576, 815372.2487624506 7779624.744443854 17.376, 815377.4090442156 7779617.141207955 17.226, 815382.6472225265 7779609.559011833 17.116, 815388.3750491319 7779601.368425119 16.826, 815391.0371602105 7779598.386814073 16.696, 815391.4436928044 7779597.93856402 16.676, 815393.5905958677 7779595.531436325 16.576, 815397.3041454952 7779592.4750738535 16.416, 815405.6058406087 7779586.899469606 16.096, 815413.9430064991 7779581.359162312 15.756, 815419.5963476177 7779577.443177763 15.526, 815423.1807089788 7779574.227192536 15.366, 815426.338033367 7779570.5975458175 15.206, 815429.0118098529 7779566.596836777 15.156, 815433.103110967 7779557.681324622 15.326, 815434.7790040228 7779553.661821266 15.416, 815430.7610653725 7779552.046785504 15.556, 815422.2529339609 7779549.013188863 15.906, 815420.1545842842 7779548.698438861 15.976, 815417.9720731972 7779548.695276243 16.036, 815415.6177656859 7779549.052037637 16.096, 815414.366015886 7779549.401860496 16.136, 815413.1276506685 7779550.01632523 16.176, 815411.7795645276 7779550.908470786 16.216, 815409.2709925855 7779553.588234172 16.276, 815408.5907712933 7779554.402318716 16.296, 815407.434286171 7779556.089435341 16.326, 815404.551143622 7779561.293721267 16.426, 815400.4928768976 7779570.405887309 16.596, 815396.6170171704 7779578.866536351 16.756, 815392.6330088326 7779587.089666476 16.916, 815387.9108855214 7779595.603334088 17.026, 815387.4822669525 7779596.280928269 17.026, 815382.6347916265 7779603.887648015 17.086, 815376.9452179244 7779612.093709937 17.166, 815371.7847637162 7779619.626177855 17.296, 815366.6909038788 7779627.188205375 17.476, 815361.5601821668 7779634.72484559 17.706, 815356.2919247153 7779642.161329584 17.956, 815350.8492699398 7779649.472270646 18.246, 815345.2506486936 7779656.6703621065 18.526, 815339.4903235608 7779663.724479789 18.816, 815333.5754232199 7779670.655836864 19.106, 815327.4718684652 7779677.419224633 19.356, 815321.2107835041 7779684.008905628 19.586, 815314.863109226 7779690.495475245 19.816, 815308.293392343 7779697.051939339 20.056, 815301.3154061539 7779703.925026891 20.316, 815294.9178314684 7779710.263102352 20.536, 815287.8398623725 7779717.344491943 20.756, 815281.4565449365 7779723.724992362 20.926, 815274.3912691872 7779730.787949644 21.136, 815267.3133000827 7779737.869336928 21.316, 815260.952586976 7779744.232795665 21.446, 815254.5805716977 7779750.604773557 21.546, 815248.2085564168 7779756.976750805 21.626, 815243.9493366001 7779762.624563651 21.636, 815238.4739916369 7779769.880373325 21.636, 815233.4074338006 7779777.031862865 21.706)</t>
  </si>
  <si>
    <t>POLYGON Z ((815233.4074338006 7779777.031862865 21.706, 815235.9544324542 7779774.438351464 21.666, 815242.1930862907 7779767.936487103 21.636, 815248.4317400985 7779761.434622101 21.636, 815254.7583742468 7779755.025956181 21.576, 815261.1190875898 7779748.6624983 21.486, 815267.4911030981 7779742.290519979 21.366, 815273.8631186048 7779735.918541009 21.216, 815280.2351341092 7779729.546561396 21.036, 815286.5958474401 7779723.183100947 20.856, 815293.6738167945 7779716.101711756 20.646, 815300.0444411093 7779709.739641128 20.436, 815306.8346369127 7779703.052425883 20.196, 815313.6389172568 7779696.336868123 19.946, 815320.043275358 7779689.878467924 19.716, 815326.3808661399 7779683.3197387 19.486, 815332.8153119516 7779676.430990934 19.256, 815339.3558327839 7779668.9305432 18.946, 815345.2378724751 7779661.8732979 18.656, 815350.9568171164 7779654.681989807 18.366, 815356.511275487 7779647.366529921 18.086, 815361.8913365485 7779639.925527076 17.816, 815367.1168222451 7779632.3617636515 17.576, 815372.2487624506 7779624.744443854 17.376, 815377.4090442156 7779617.141207955 17.226, 815382.6472225265 7779609.559011833 17.116, 815388.3750491319 7779601.368425119 16.826, 815391.0371602105 7779598.386814073 16.696, 815391.4436928044 7779597.93856402 16.676, 815393.5905958677 7779595.531436325 16.576, 815397.3041454952 7779592.4750738535 16.416, 815405.6058406087 7779586.899469606 16.096, 815413.9430064991 7779581.359162312 15.756, 815419.5963476177 7779577.443177763 15.526, 815423.1807089788 7779574.227192536 15.366, 815426.338033367 7779570.5975458175 15.206, 815429.0118098529 7779566.596836777 15.156, 815433.103110967 7779557.681324622 15.326, 815434.7790040228 7779553.661821266 15.416, 815430.7610653725 7779552.046785504 15.556, 815422.2529339609 7779549.013188863 15.906, 815420.1545842842 7779548.698438861 15.976, 815417.9720731972 7779548.695276243 16.036, 815415.6177656859 7779549.052037637 16.096, 815414.366015886 7779549.401860496 16.136, 815413.1276506685 7779550.01632523 16.176, 815411.7795645276 7779550.908470786 16.216, 815409.2709925855 7779553.588234172 16.276, 815408.5907712933 7779554.402318716 16.296, 815407.434286171 7779556.089435341 16.326, 815404.551143622 7779561.293721267 16.426, 815400.4928768976 7779570.405887309 16.596, 815396.6170171704 7779578.866536351 16.756, 815392.6330088326 7779587.089666476 16.916, 815387.9108855214 7779595.603334088 17.026, 815387.4822669525 7779596.280928269 17.026, 815382.6347916265 7779603.887648015 17.086, 815376.9452179244 7779612.093709937 17.166, 815371.7847637162 7779619.626177855 17.296, 815366.6909038788 7779627.188205375 17.476, 815361.5601821668 7779634.72484559 17.706, 815356.2919247153 7779642.161329584 17.956, 815350.8492699398 7779649.472270646 18.246, 815345.2506486936 7779656.6703621065 18.526, 815339.4903235608 7779663.724479789 18.816, 815333.5754232199 7779670.655836864 19.106, 815327.4718684652 7779677.419224633 19.356, 815321.2107835041 7779684.008905628 19.586, 815314.863109226 7779690.495475245 19.816, 815308.293392343 7779697.051939339 20.056, 815301.3154061539 7779703.925026891 20.316, 815294.9178314684 7779710.263102352 20.536, 815287.8398623725 7779717.344491943 20.756, 815281.4565449365 7779723.724992362 20.926, 815274.3912691872 7779730.787949644 21.136, 815267.3133000827 7779737.869336928 21.316, 815260.952586976 7779744.232795665 21.446, 815254.5805716977 7779750.604773557 21.546, 815248.2085564168 7779756.976750805 21.626, 815243.9493366001 7779762.624563651 21.636, 815238.4739916369 7779769.880373325 21.636, 815233.4074338006 7779777.031862865 21.706))</t>
  </si>
  <si>
    <t>['EV45 S1D1 m3466-3560']</t>
  </si>
  <si>
    <t>LINESTRING Z (815448.8563690708 7779526.450880247 14.946, 815449.57763417 7779525.056392382 14.886, 815449.9214084574 7779523.831255711 14.846, 815450.0038587893 7779521.659873098 14.746, 815449.7376700346 7779520.460287389 14.706, 815447.0848820974 7779516.247540979 14.436, 815445.2675734356 7779512.202598976 14.176, 815444.2831430419 7779507.839994933 13.926, 815444.1971230574 7779504.492849449 13.726, 815444.8685296283 7779500.069586481 13.476, 815446.4180146193 7779495.870638431 13.246, 815451.21681189 7779487.458682675 12.676, 815456.1399326352 7779478.9530080315 12.096, 815460.7472920305 7779470.392904471 11.486, 815461.7405500031 7779465.620672931 11.196, 815461.6248041737 7779461.693296893 11.046, 815460.4664930374 7779457.417455143 10.946, 815458.355498812 7779453.664797682 10.936, 815455.0689145622 7779450.151379225 10.966, 815452.3609797937 7779447.699492123 10.976, 815451.0645068586 7779450.599926425 15.216, 815447.3933109504 7779458.826546171 15.286, 815443.5743138416 7779467.386138959 15.356, 815439.5160526752 7779476.498310828 15.436, 815435.5675117881 7779485.33280116 15.516, 815431.7514599501 7779494.519395032 15.586, 815428.6580464682 7779503.453702556 15.646, 815425.6247897476 7779512.679429383 15.686, 815422.4013223497 7779521.100273578 15.746, 815421.6254390748 7779523.891866788 15.756, 815421.2232185957 7779526.685378181 15.756, 815421.1946609103 7779529.480807768 15.806, 815421.4244976895 7779531.443367547 15.806, 815421.7379773951 7779532.882035407 15.796, 815422.3394031797 7779533.997295242 15.786, 815423.6815358233 7779535.883539405 15.766, 815425.195464896 7779537.409859546 15.736, 815432.990505809 7779541.707708873 15.576, 815438.4615166265 7779544.850628713 15.476, 815440.0445552574 7779541.060642079 15.466, 815442.5276112792 7779535.466688506 15.276, 815444.6079365888 7779531.87788545 15.156, 815447.0313190432 7779528.50904258 15.026, 815448.8563690708 7779526.450880247 14.946)</t>
  </si>
  <si>
    <t>POLYGON Z ((815448.8563690708 7779526.450880247 14.946, 815449.57763417 7779525.056392382 14.886, 815449.9214084574 7779523.831255711 14.846, 815450.0038587893 7779521.659873098 14.746, 815449.7376700346 7779520.460287389 14.706, 815447.0848820974 7779516.247540979 14.436, 815445.2675734356 7779512.202598976 14.176, 815444.2831430419 7779507.839994933 13.926, 815444.1971230574 7779504.492849449 13.726, 815444.8685296283 7779500.069586481 13.476, 815446.4180146193 7779495.870638431 13.246, 815451.21681189 7779487.458682675 12.676, 815456.1399326352 7779478.9530080315 12.096, 815460.7472920305 7779470.392904471 11.486, 815461.7405500031 7779465.620672931 11.196, 815461.6248041737 7779461.693296893 11.046, 815460.4664930374 7779457.417455143 10.946, 815458.355498812 7779453.664797682 10.936, 815455.0689145622 7779450.151379225 10.966, 815452.3609797937 7779447.699492123 10.976, 815451.0645068586 7779450.599926425 15.216, 815447.3933109504 7779458.826546171 15.286, 815443.5743138416 7779467.386138959 15.356, 815439.5160526752 7779476.498310828 15.436, 815435.5675117881 7779485.33280116 15.516, 815431.7514599501 7779494.519395032 15.586, 815428.6580464682 7779503.453702556 15.646, 815425.6247897476 7779512.679429383 15.686, 815422.4013223497 7779521.100273578 15.746, 815421.6254390748 7779523.891866788 15.756, 815421.2232185957 7779526.685378181 15.756, 815421.1946609103 7779529.480807768 15.806, 815421.4244976895 7779531.443367547 15.806, 815421.7379773951 7779532.882035407 15.796, 815422.3394031797 7779533.997295242 15.786, 815423.6815358233 7779535.883539405 15.766, 815425.195464896 7779537.409859546 15.736, 815432.990505809 7779541.707708873 15.576, 815438.4615166265 7779544.850628713 15.476, 815440.0445552574 7779541.060642079 15.466, 815442.5276112792 7779535.466688506 15.276, 815444.6079365888 7779531.87788545 15.156, 815447.0313190432 7779528.50904258 15.026, 815448.8563690708 7779526.450880247 14.946))</t>
  </si>
  <si>
    <t>['EV45 S1D1 m2611-2723']</t>
  </si>
  <si>
    <t>LINESTRING Z (814873.6397791761 7780181.767428345 17.287, 814874.9498187251 7780179.202423519 17.297, 814879.0376500654 7780171.175828724 17.227, 814883.1340007633 7780163.160535576 17.157, 814887.2317422947 7780155.135330958 17.087, 814891.7774077985 7780146.223014932 17.007, 814895.8751485273 7780138.197809214 16.937, 814899.9728888767 7780130.172602978 16.867, 814904.0692376357 7780122.157307175 16.797, 814908.643243057 7780113.259073359 16.727, 814913.2527182039 7780104.3961366005 16.647, 814917.8962718807 7780095.578407849 16.567, 814922.5923348034 7780086.818580476 16.487, 814925.1456330698 7780082.164292744 16.427, 814924.7248543121 7780081.994059135 16.417, 814923.6516887306 7780081.863630754 16.427, 814922.3982060895 7780082.081822096 16.447, 814921.041429139 7780082.891888412 16.457, 814919.7239175279 7780085.29414625 16.487, 814915.0151614473 7780094.072404189 16.567, 814910.3688255654 7780102.909954699 16.647, 814905.7494396742 7780111.771500101 16.727, 814901.1655235084 7780120.668342558 16.797, 814897.077694681 7780128.6949403845 16.867, 814892.979954519 7780136.720146493 16.937, 814888.8822139777 7780144.74535207 17.007, 814884.3365486825 7780153.657667937 17.087, 814880.2388073393 7780161.682872421 17.157, 814876.1424568286 7780169.698165436 17.227, 814872.9504746718 7780175.95053881 17.277, 814872.7628100964 7780178.511393097 17.287, 814873.0343721593 7780180.176617007 17.287, 814873.4961624263 7780181.494612703 17.287, 814873.6397791761 7780181.767428345 17.287)</t>
  </si>
  <si>
    <t>POLYGON Z ((814873.6397791761 7780181.767428345 17.287, 814874.9498187251 7780179.202423519 17.297, 814879.0376500654 7780171.175828724 17.227, 814883.1340007633 7780163.160535576 17.157, 814887.2317422947 7780155.135330958 17.087, 814891.7774077985 7780146.223014932 17.007, 814895.8751485273 7780138.197809214 16.937, 814899.9728888767 7780130.172602978 16.867, 814904.0692376357 7780122.157307175 16.797, 814908.643243057 7780113.259073359 16.727, 814913.2527182039 7780104.3961366005 16.647, 814917.8962718807 7780095.578407849 16.567, 814922.5923348034 7780086.818580476 16.487, 814925.1456330698 7780082.164292744 16.427, 814924.7248543121 7780081.994059135 16.417, 814923.6516887306 7780081.863630754 16.427, 814922.3982060895 7780082.081822096 16.447, 814921.041429139 7780082.891888412 16.457, 814919.7239175279 7780085.29414625 16.487, 814915.0151614473 7780094.072404189 16.567, 814910.3688255654 7780102.909954699 16.647, 814905.7494396742 7780111.771500101 16.727, 814901.1655235084 7780120.668342558 16.797, 814897.077694681 7780128.6949403845 16.867, 814892.979954519 7780136.720146493 16.937, 814888.8822139777 7780144.74535207 17.007, 814884.3365486825 7780153.657667937 17.087, 814880.2388073393 7780161.682872421 17.157, 814876.1424568286 7780169.698165436 17.227, 814872.9504746718 7780175.95053881 17.277, 814872.7628100964 7780178.511393097 17.287, 814873.0343721593 7780180.176617007 17.287, 814873.4961624263 7780181.494612703 17.287, 814873.6397791761 7780181.767428345 17.287))</t>
  </si>
  <si>
    <t>['EV45 S1D1 m3437-3517']</t>
  </si>
  <si>
    <t>LINESTRING Z (815400.2087376299 7779537.510508859 15.946, 815402.6566678626 7779532.022795656 15.896, 815406.3278672663 7779523.796180947 15.826, 815410.0174970707 7779515.5822591 15.746, 815414.059921774 7779507.518919948 15.686, 815418.6149442521 7779498.971686466 15.636, 815419.5537408385 7779496.819443434 15.616, 815420.099571059 7779494.874804473 15.586, 815420.3988445613 7779492.814707176 15.556, 815420.4218283368 7779490.634978065 15.516, 815420.311260188 7779489.406705169 15.486, 815419.714568138 7779485.593734857 15.396, 815418.6643813914 7779483.283581982 15.326, 815417.2673012 7779481.500794825 15.256, 815415.7365047242 7779480.022639292 15.196, 815414.0888588028 7779478.800951539 15.126, 815408.7602479836 7779476.011530336 14.906, 815401.5953284602 7779472.4085097425 14.646, 815396.5263137259 7779469.857652831 14.536, 815394.7937067309 7779476.153212418 14.436, 815394.2770745982 7779479.0418327255 14.396, 815394.4272448441 7779483.155951675 14.386, 815395.3982994138 7779486.67785563 14.456, 815398.422469341 7779492.276756998 14.656, 815400.157016285 7779496.047317209 14.786, 815401.5069438497 7779499.966015571 14.906, 815402.4552123444 7779504.010247726 15.026, 815402.9988665835 7779508.129067458 15.156, 815403.1236492239 7779512.280048397 15.276, 815402.8450359309 7779516.424937666 15.396, 815402.140249549 7779520.510006725 15.526, 815401.0418054231 7779524.519607028 15.646, 815399.53405508 7779528.421223206 15.766, 815395.4658798992 7779537.531998765 16.046, 815391.7960710801 7779545.7487013675 16.126, 815388.1248706602 7779553.975314485 16.166, 815393.6848894749 7779546.6202040175 15.966, 815399.0253021544 7779539.173630017 15.946, 815400.2087376299 7779537.510508859 15.946)</t>
  </si>
  <si>
    <t>POLYGON Z ((815400.2087376299 7779537.510508859 15.946, 815402.6566678626 7779532.022795656 15.896, 815406.3278672663 7779523.796180947 15.826, 815410.0174970707 7779515.5822591 15.746, 815414.059921774 7779507.518919948 15.686, 815418.6149442521 7779498.971686466 15.636, 815419.5537408385 7779496.819443434 15.616, 815420.099571059 7779494.874804473 15.586, 815420.3988445613 7779492.814707176 15.556, 815420.4218283368 7779490.634978065 15.516, 815420.311260188 7779489.406705169 15.486, 815419.714568138 7779485.593734857 15.396, 815418.6643813914 7779483.283581982 15.326, 815417.2673012 7779481.500794825 15.256, 815415.7365047242 7779480.022639292 15.196, 815414.0888588028 7779478.800951539 15.126, 815408.7602479836 7779476.011530336 14.906, 815401.5953284602 7779472.4085097425 14.646, 815396.5263137259 7779469.857652831 14.536, 815394.7937067309 7779476.153212418 14.436, 815394.2770745982 7779479.0418327255 14.396, 815394.4272448441 7779483.155951675 14.386, 815395.3982994138 7779486.67785563 14.456, 815398.422469341 7779492.276756998 14.656, 815400.157016285 7779496.047317209 14.786, 815401.5069438497 7779499.966015571 14.906, 815402.4552123444 7779504.010247726 15.026, 815402.9988665835 7779508.129067458 15.156, 815403.1236492239 7779512.280048397 15.276, 815402.8450359309 7779516.424937666 15.396, 815402.140249549 7779520.510006725 15.526, 815401.0418054231 7779524.519607028 15.646, 815399.53405508 7779528.421223206 15.766, 815395.4658798992 7779537.531998765 16.046, 815391.7960710801 7779545.7487013675 16.126, 815388.1248706602 7779553.975314485 16.166, 815393.6848894749 7779546.6202040175 15.966, 815399.0253021544 7779539.173630017 15.946, 815400.2087376299 7779537.510508859 15.946))</t>
  </si>
  <si>
    <t>['EV45 S1D1 m3497-3620']</t>
  </si>
  <si>
    <t>LINESTRING Z (815459.5633352604 7779484.01167987 12.706, 815454.870801927 7779490.730591322 12.846, 815450.2093671728 7779499.171934535 13.436, 815449.1072683155 7779503.42357416 13.736, 815448.9693444467 7779506.062165137 13.906, 815449.7520641736 7779511.285808382 14.236, 815451.5154715842 7779515.282759493 14.516, 815452.5308959323 7779516.688575155 14.606, 815453.6880380367 7779517.588756779 14.666, 815454.9787237281 7779518.113538575 14.696, 815455.4899223845 7779518.215612311 14.706, 815457.3554548413 7779518.245025233 14.576, 815459.5656513652 7779515.674972502 14.466, 815462.2309069672 7779511.66295907 14.396, 815464.361840956 7779507.353606829 14.426, 815465.9501062715 7779502.806381852 14.456, 815467.8641195383 7779493.130466245 14.526, 815469.6503345037 7779483.28501778 14.596, 815471.2492683798 7779474.41380285 14.656, 815472.8468104864 7779465.552498703 14.716, 815474.1737830967 7779457.754800127 14.766, 815474.4337991619 7779452.950390142 14.806, 815474.0866342578 7779448.151709463 14.836, 815472.940184393 7779441.199368749 14.886, 815472.70359595 7779437.052904824 14.906, 815472.9966533518 7779431.869094272 14.946, 815473.6915262394 7779427.782631268 14.956, 815474.7998789134 7779423.774418979 14.936, 815476.2935424149 7779419.901141088 14.896, 815478.166952129 7779416.202441594 14.846, 815480.4074147622 7779412.696751329 14.796, 815483.9780590918 7779407.922467949 14.716, 815486.4193591997 7779403.777953568 14.646, 815488.7586099671 7779398.416467712 14.476, 815486.1986149712 7779398.006602583 14.536, 815482.9836211127 7779397.727136661 14.606, 815480.67556686 7779397.898374223 14.656, 815478.3050833871 7779398.586375352 14.706, 815476.1034248245 7779400.015619269 14.686, 815475.1399584753 7779400.759628442 14.716, 815473.7294434616 7779402.168539584 14.746, 815471.2347689712 7779405.901310533 14.806, 815467.0753186296 7779414.726412952 14.896, 815463.1099144164 7779423.609071009 14.976, 815459.1585941879 7779432.463386666 15.046, 815455.1453708496 7779441.470713204 15.126, 815454.0839880181 7779443.848300925 11.076, 815455.1677530077 7779444.839244966 11.066, 815460.1449291396 7779449.7723983275 11.036, 815463.3164752633 7779448.489400371 11.106, 815470.0455783082 7779445.765354961 14.616, 815471.2175217278 7779445.192096984 14.636, 815471.9479562243 7779446.972266848 14.606, 815470.8719947841 7779447.4377220245 14.606, 815465.0273994114 7779450.700279055 12.546, 815465.7819690936 7779454.828493002 12.986, 815466.275897338 7779458.869590565 13.426, 815466.936575656 7779462.802712527 13.616, 815467.0709334805 7779466.237493611 13.786, 815466.7695610562 7779469.176543236 13.756, 815465.8029246028 7779472.679120709 13.606, 815464.8131819011 7779474.834319895 13.506, 815462.4953311068 7779479.107329561 13.106, 815461.0279420335 7779481.56941575 12.876, 815459.5633352604 7779484.01167987 12.706)</t>
  </si>
  <si>
    <t>POLYGON Z ((815459.5633352604 7779484.01167987 12.706, 815454.870801927 7779490.730591322 12.846, 815450.2093671728 7779499.171934535 13.436, 815449.1072683155 7779503.42357416 13.736, 815448.9693444467 7779506.062165137 13.906, 815449.7520641736 7779511.285808382 14.236, 815451.5154715842 7779515.282759493 14.516, 815452.5308959323 7779516.688575155 14.606, 815453.6880380367 7779517.588756779 14.666, 815454.9787237281 7779518.113538575 14.696, 815455.4899223845 7779518.215612311 14.706, 815457.3554548413 7779518.245025233 14.576, 815459.5656513652 7779515.674972502 14.466, 815462.2309069672 7779511.66295907 14.396, 815464.361840956 7779507.353606829 14.426, 815465.9501062715 7779502.806381852 14.456, 815467.8641195383 7779493.130466245 14.526, 815469.6503345037 7779483.28501778 14.596, 815471.2492683798 7779474.41380285 14.656, 815472.8468104864 7779465.552498703 14.716, 815474.1737830967 7779457.754800127 14.766, 815474.4337991619 7779452.950390142 14.806, 815474.0866342578 7779448.151709463 14.836, 815472.940184393 7779441.199368749 14.886, 815472.70359595 7779437.052904824 14.906, 815472.9966533518 7779431.869094272 14.946, 815473.6915262394 7779427.782631268 14.956, 815474.7998789134 7779423.774418979 14.936, 815476.2935424149 7779419.901141088 14.896, 815478.166952129 7779416.202441594 14.846, 815480.4074147622 7779412.696751329 14.796, 815483.9780590918 7779407.922467949 14.716, 815486.4193591997 7779403.777953568 14.646, 815488.7586099671 7779398.416467712 14.476, 815486.1986149712 7779398.006602583 14.536, 815482.9836211127 7779397.727136661 14.606, 815480.67556686 7779397.898374223 14.656, 815478.3050833871 7779398.586375352 14.706, 815476.1034248245 7779400.015619269 14.686, 815475.1399584753 7779400.759628442 14.716, 815473.7294434616 7779402.168539584 14.746, 815471.2347689712 7779405.901310533 14.806, 815467.0753186296 7779414.726412952 14.896, 815463.1099144164 7779423.609071009 14.976, 815459.1585941879 7779432.463386666 15.046, 815455.1453708496 7779441.470713204 15.126, 815454.0839880181 7779443.848300925 11.076, 815455.1677530077 7779444.839244966 11.066, 815460.1449291396 7779449.7723983275 11.036, 815463.3164752633 7779448.489400371 11.106, 815470.0455783082 7779445.765354961 14.616, 815471.2175217278 7779445.192096984 14.636, 815471.9479562243 7779446.972266848 14.606, 815470.8719947841 7779447.4377220245 14.606, 815465.0273994114 7779450.700279055 12.546, 815465.7819690936 7779454.828493002 12.986, 815466.275897338 7779458.869590565 13.426, 815466.936575656 7779462.802712527 13.616, 815467.0709334805 7779466.237493611 13.786, 815466.7695610562 7779469.176543236 13.756, 815465.8029246028 7779472.679120709 13.606, 815464.8131819011 7779474.834319895 13.506, 815462.4953311068 7779479.107329561 13.106, 815461.0279420335 7779481.56941575 12.876, 815459.5633352604 7779484.01167987 12.706))</t>
  </si>
  <si>
    <t>['EV45 S1D1 m2829-3132']</t>
  </si>
  <si>
    <t>LINESTRING Z (814983.078089466 7779992.215192914 15.377, 814982.9605276587 7779993.340696472 15.397, 814983.1237728153 7779994.697635516 15.407, 814983.5485314296 7779995.919477012 15.407, 814983.783083667 7779996.336438394 15.417, 814989.531925856 7779989.796162135 15.337, 814996.1863321058 7779982.564393181 15.317, 815002.9925302617 7779975.475205411 15.327, 815009.9675599011 7779968.551203154 15.367, 815017.0844705831 7779961.7683908865 15.447, 815024.3589106916 7779955.159283899 15.557, 815031.7738407445 7779948.701277866 15.707, 815039.3094388596 7779942.3915904015 15.906, 815046.9542303266 7779936.167973314 16.196, 815054.7365568844 7779930.044511153 16.516, 815062.6195570929 7779923.995817209 16.846, 815070.5663694981 7779917.996504753 17.176, 815078.5811677063 7779912.01684087 17.496, 815085.8501958759 7779906.67024952 17.796, 815093.1120956552 7779901.302444408 18.086, 815100.3696494268 7779895.893603589 18.376, 815107.5945154636 7779890.429642509 18.666, 815114.7894761384 7779884.890739214 18.936, 815121.9333182978 7779879.284022286 19.166, 815129.026041926 7779873.60949171 19.406, 815136.0492162465 7779867.854454131 19.636, 815143.021271995 7779862.031602902 19.866, 815149.9422091544 7779856.14093802 20.096, 815157.0563291716 7779849.953989058 20.336, 815164.3325079139 7779843.476493363 20.586, 815171.0604452919 7779837.376822671 20.816, 815177.7273530248 7779831.207947118 21.046, 815184.3332310927 7779824.969866714 21.276, 815190.8653861182 7779818.681012224 21.476, 815197.3422488545 7779812.354077005 21.616, 815203.8603193758 7779806.093562966 21.746, 815210.476281207 7779799.927639201 21.866, 815212.0591126538 7779798.37111656 21.866, 815206.517414274 7779801.635742283 21.826, 815198.6386043334 7779806.50260698 21.666, 815195.0606714406 7779810.032776223 21.616, 815188.6050220847 7779816.352582841 21.476, 815182.0855606487 7779822.623006568 21.276, 815175.5036783396 7779828.834136423 21.046, 815168.8706773422 7779834.977452621 20.816, 815162.1653445314 7779841.060083766 20.586, 815154.9032505865 7779847.5092377495 20.336, 815147.8117351445 7779853.67914716 20.096, 815140.9247047158 7779859.544252729 19.866, 815133.975253531 7779865.350064424 19.636, 815126.976074965 7779871.078151505 19.406, 815119.9158668715 7779876.737033756 19.166, 815112.7946292696 7779882.32671118 18.936, 815105.6222731514 7779887.848574973 18.666, 815098.4200116697 7779893.295496557 18.376, 815091.1737602875 7779898.695817655 18.086, 815083.9231628958 7779904.055103057 17.796, 815076.6555261422 7779909.391783514 17.496, 815068.6407281822 7779915.371447467 17.176, 815060.6713116961 7779921.387799548 16.846, 815052.765707409 7779927.4535331065 16.516, 815044.9494746109 7779933.602554641 16.196, 815037.2580835451 7779939.870161839 15.907, 815029.6659748674 7779946.222448198 15.707, 815022.1945342552 7779952.723053111 15.557, 815014.8721033563 7779959.386061126 15.447, 815007.6986821187 7779966.211472243 15.367, 815000.6742704902 7779973.19928646 15.327, 814993.8101705809 7779980.340984002 15.317, 814987.1077735389 7779987.626653912 15.337, 814983.078089466 7779992.215192914 15.377)</t>
  </si>
  <si>
    <t>POLYGON Z ((814983.078089466 7779992.215192914 15.377, 814982.9605276587 7779993.340696472 15.397, 814983.1237728153 7779994.697635516 15.407, 814983.5485314296 7779995.919477012 15.407, 814983.783083667 7779996.336438394 15.417, 814989.531925856 7779989.796162135 15.337, 814996.1863321058 7779982.564393181 15.317, 815002.9925302617 7779975.475205411 15.327, 815009.9675599011 7779968.551203154 15.367, 815017.0844705831 7779961.7683908865 15.447, 815024.3589106916 7779955.159283899 15.557, 815031.7738407445 7779948.701277866 15.707, 815039.3094388596 7779942.3915904015 15.906, 815046.9542303266 7779936.167973314 16.196, 815054.7365568844 7779930.044511153 16.516, 815062.6195570929 7779923.995817209 16.846, 815070.5663694981 7779917.996504753 17.176, 815078.5811677063 7779912.01684087 17.496, 815085.8501958759 7779906.67024952 17.796, 815093.1120956552 7779901.302444408 18.086, 815100.3696494268 7779895.893603589 18.376, 815107.5945154636 7779890.429642509 18.666, 815114.7894761384 7779884.890739214 18.936, 815121.9333182978 7779879.284022286 19.166, 815129.026041926 7779873.60949171 19.406, 815136.0492162465 7779867.854454131 19.636, 815143.021271995 7779862.031602902 19.866, 815149.9422091544 7779856.14093802 20.096, 815157.0563291716 7779849.953989058 20.336, 815164.3325079139 7779843.476493363 20.586, 815171.0604452919 7779837.376822671 20.816, 815177.7273530248 7779831.207947118 21.046, 815184.3332310927 7779824.969866714 21.276, 815190.8653861182 7779818.681012224 21.476, 815197.3422488545 7779812.354077005 21.616, 815203.8603193758 7779806.093562966 21.746, 815210.476281207 7779799.927639201 21.866, 815212.0591126538 7779798.37111656 21.866, 815206.517414274 7779801.635742283 21.826, 815198.6386043334 7779806.50260698 21.666, 815195.0606714406 7779810.032776223 21.616, 815188.6050220847 7779816.352582841 21.476, 815182.0855606487 7779822.623006568 21.276, 815175.5036783396 7779828.834136423 21.046, 815168.8706773422 7779834.977452621 20.816, 815162.1653445314 7779841.060083766 20.586, 815154.9032505865 7779847.5092377495 20.336, 815147.8117351445 7779853.67914716 20.096, 815140.9247047158 7779859.544252729 19.866, 815133.975253531 7779865.350064424 19.636, 815126.976074965 7779871.078151505 19.406, 815119.9158668715 7779876.737033756 19.166, 815112.7946292696 7779882.32671118 18.936, 815105.6222731514 7779887.848574973 18.666, 815098.4200116697 7779893.295496557 18.376, 815091.1737602875 7779898.695817655 18.086, 815083.9231628958 7779904.055103057 17.796, 815076.6555261422 7779909.391783514 17.496, 815068.6407281822 7779915.371447467 17.176, 815060.6713116961 7779921.387799548 16.846, 815052.765707409 7779927.4535331065 16.516, 815044.9494746109 7779933.602554641 16.196, 815037.2580835451 7779939.870161839 15.907, 815029.6659748674 7779946.222448198 15.707, 815022.1945342552 7779952.723053111 15.557, 815014.8721033563 7779959.386061126 15.447, 815007.6986821187 7779966.211472243 15.367, 815000.6742704902 7779973.19928646 15.327, 814993.8101705809 7779980.340984002 15.317, 814987.1077735389 7779987.626653912 15.337, 814983.078089466 7779992.215192914 15.377))</t>
  </si>
  <si>
    <t>['EV45 S1D1 m2727-2825']</t>
  </si>
  <si>
    <t>LINESTRING Z (814927.1395493164 7780078.54317066 16.427, 814927.3692486505 7780078.130739046 16.387, 814932.2468353566 7780069.51766597 16.237, 814937.2506542045 7780061.013267714 16.087, 814942.3991359381 7780052.630237645 15.937, 814947.6681125447 7780044.324758291 15.857, 814953.1213959462 7780036.146211907 15.777, 814958.7589861914 7780028.094598466 15.707, 814964.5709723707 7780020.168526743 15.627, 814970.5573545303 7780012.367996742 15.547, 814976.7068305588 7780004.701528186 15.477, 814981.0479390377 7779999.550329688 15.437, 814980.587516139 7779999.374531485 15.447, 814979.3173494365 7779999.135600847 15.447, 814977.9545007166 7779999.196954033 15.457, 814976.7806504723 7779999.567811761 15.437, 814974.1966076104 7780002.6412130315 15.477, 814967.9991407824 7780010.361582491 15.547, 814961.9647678185 7780018.216013392 15.627, 814956.1147017905 7780026.197377185 15.707, 814950.4376404874 7780034.314193651 15.777, 814944.9448860209 7780042.557943045 15.857, 814939.6378295457 7780050.91871443 15.937, 814934.4512679381 7780059.35703652 16.087, 814929.4093692121 7780067.916726772 16.237, 814925.5662115256 7780074.704285965 16.347, 814925.579917725 7780076.262571081 16.407, 814926.0810080736 7780077.444595955 16.417, 814926.7624154787 7780078.278001104 16.427, 814927.1395493164 7780078.54317066 16.427)</t>
  </si>
  <si>
    <t>POLYGON Z ((814927.1395493164 7780078.54317066 16.427, 814927.3692486505 7780078.130739046 16.387, 814932.2468353566 7780069.51766597 16.237, 814937.2506542045 7780061.013267714 16.087, 814942.3991359381 7780052.630237645 15.937, 814947.6681125447 7780044.324758291 15.857, 814953.1213959462 7780036.146211907 15.777, 814958.7589861914 7780028.094598466 15.707, 814964.5709723707 7780020.168526743 15.627, 814970.5573545303 7780012.367996742 15.547, 814976.7068305588 7780004.701528186 15.477, 814981.0479390377 7779999.550329688 15.437, 814980.587516139 7779999.374531485 15.447, 814979.3173494365 7779999.135600847 15.447, 814977.9545007166 7779999.196954033 15.457, 814976.7806504723 7779999.567811761 15.437, 814974.1966076104 7780002.6412130315 15.477, 814967.9991407824 7780010.361582491 15.547, 814961.9647678185 7780018.216013392 15.627, 814956.1147017905 7780026.197377185 15.707, 814950.4376404874 7780034.314193651 15.777, 814944.9448860209 7780042.557943045 15.857, 814939.6378295457 7780050.91871443 15.937, 814934.4512679381 7780059.35703652 16.087, 814929.4093692121 7780067.916726772 16.237, 814925.5662115256 7780074.704285965 16.347, 814925.579917725 7780076.262571081 16.407, 814926.0810080736 7780077.444595955 16.417, 814926.7624154787 7780078.278001104 16.427, 814927.1395493164 7780078.54317066 16.427))</t>
  </si>
  <si>
    <t>['EV45 S1D1 m3525-3566']</t>
  </si>
  <si>
    <t>LINESTRING Z (815398.6545127322 7779462.111786042 14.776, 815401.3518602649 7779463.127095842 14.796, 815408.8461151243 7779465.967841362 14.916, 815417.9283858961 7779469.375103268 15.116, 815420.2086074846 7779469.9781436 15.166, 815422.268704514 7779470.277416632 15.206, 815424.4188731938 7779470.366994589 15.236, 815426.716324108 7779469.91129453 15.266, 815429.6933044973 7779468.358436587 15.296, 815432.9498922229 7779465.965579875 15.326, 815436.0199327464 7779461.94974675 15.326, 815440.1503438266 7779453.403547339 15.256, 815444.001501254 7779445.262826011 15.186, 815445.6768640438 7779441.607072803 15.156, 815440.9971829336 7779437.362479902 11.056, 815438.0858092669 7779435.063950532 11.146, 815434.0297972021 7779432.92815455 11.426, 815431.4134736549 7779432.055599791 11.606, 815428.7215088347 7779431.505934708 11.786, 815425.9949379195 7779431.274812914 11.966, 815423.2521917556 7779431.374927716 12.146, 815420.5442165104 7779431.803323886 12.326, 815417.9134385036 7779432.54574405 12.506, 815415.3995017295 7779433.607752826 12.686, 815413.0277928188 7779434.95248851 12.866, 815410.8393469163 7779436.575604734 13.046, 815408.8595506486 7779438.440239812 13.226, 815407.12091932 7779440.530745205 13.406, 815404.7241367056 7779444.358104211 13.716, 815403.5582524606 7779446.832191514 13.896, 815401.347827666 7779453.363870676 14.346, 815398.6545127322 7779462.111786042 14.776)</t>
  </si>
  <si>
    <t>POLYGON Z ((815398.6545127322 7779462.111786042 14.776, 815401.3518602649 7779463.127095842 14.796, 815408.8461151243 7779465.967841362 14.916, 815417.9283858961 7779469.375103268 15.116, 815420.2086074846 7779469.9781436 15.166, 815422.268704514 7779470.277416632 15.206, 815424.4188731938 7779470.366994589 15.236, 815426.716324108 7779469.91129453 15.266, 815429.6933044973 7779468.358436587 15.296, 815432.9498922229 7779465.965579875 15.326, 815436.0199327464 7779461.94974675 15.326, 815440.1503438266 7779453.403547339 15.256, 815444.001501254 7779445.262826011 15.186, 815445.6768640438 7779441.607072803 15.156, 815440.9971829336 7779437.362479902 11.056, 815438.0858092669 7779435.063950532 11.146, 815434.0297972021 7779432.92815455 11.426, 815431.4134736549 7779432.055599791 11.606, 815428.7215088347 7779431.505934708 11.786, 815425.9949379195 7779431.274812914 11.966, 815423.2521917556 7779431.374927716 12.146, 815420.5442165104 7779431.803323886 12.326, 815417.9134385036 7779432.54574405 12.506, 815415.3995017295 7779433.607752826 12.686, 815413.0277928188 7779434.95248851 12.866, 815410.8393469163 7779436.575604734 13.046, 815408.8595506486 7779438.440239812 13.226, 815407.12091932 7779440.530745205 13.406, 815404.7241367056 7779444.358104211 13.716, 815403.5582524606 7779446.832191514 13.896, 815401.347827666 7779453.363870676 14.346, 815398.6545127322 7779462.111786042 14.776))</t>
  </si>
  <si>
    <t>2019-01-23</t>
  </si>
  <si>
    <t>[545]</t>
  </si>
  <si>
    <t>['FV545 S2D1 m10664-10671']</t>
  </si>
  <si>
    <t>LINESTRING Z (-39381.68 6680615.4 46.18, -39381.56 6680615.44 46.18, -39381.54 6680615.36 46.18, -39381.75 6680616.34 46.21, -39381.89 6680617.01 46.22, -39381.76 6680619.68 46.3, -39381.33 6680622.5 46.33, -39380.99 6680620.57 46.27, -39380.98 6680620.5 46.29, -39380.79 6680619.62 46.27, -39380.59 6680618.63 46.25, -39380.38 6680617.66 46.23, -39380.17 6680616.67 46.21, -39379.97 6680615.7 46.18, -39379.98 6680615.76 46.18, -39381.68 6680615.4 46.18)</t>
  </si>
  <si>
    <t>['FV545 S2D1 m9501-9753']</t>
  </si>
  <si>
    <t>LINESTRING Z (-39390.4 6679480.33 16.76, -39390.3 6679480.23 16.76, -39390.27 6679480.28 16.77, -39389.72 6679480.99 16.81, -39389.68 6679481.05 16.82, -39389.04 6679481.88 16.87, -39388.42 6679482.68 16.93, -39387.8 6679483.48 16.98, -39387.2 6679484.28 17.03, -39386.66 6679485 17.08, -39386.59 6679485.09 17.09, -39385.97 6679485.89 17.14, -39385.36 6679486.7 17.2, -39384.76 6679487.51 17.26, -39384.16 6679488.32 17.31, -39383.85 6679488.73 17.34, -39383.55 6679489.13 17.37, -39382.95 6679489.95 17.43, -39382.35 6679490.76 17.48, -39381.76 6679491.58 17.54, -39381.16 6679492.39 17.6, -39380.56 6679493.21 17.66, -39379.97 6679494.03 17.72, -39379.38 6679494.86 17.78, -39378.79 6679495.68 17.84, -39378.2 6679496.5 17.91, -39377.63 6679497.33 17.97, -39377.04 6679498.16 18.03, -39376.46 6679498.99 18.09, -39375.89 6679499.83 18.16, -39375.31 6679500.66 18.22, -39374.74 6679501.49 18.28, -39374.17 6679502.33 18.35, -39373.6 6679503.17 18.41, -39373.03 6679504.02 18.48, -39372.47 6679504.85 18.55, -39371.91 6679505.7 18.61, -39371.35 6679506.55 18.68, -39370.8 6679507.4 18.75, -39370.24 6679508.26 18.82, -39370.21 6679508.3 18.82, -39370.08 6679508.5 18.84, -39369.69 6679509.1 18.89, -39369.27 6679509.77 18.94, -39369.15 6679509.96 18.95, -39368.61 6679510.83 19.02, -39368.07 6679511.68 19.08, -39367.54 6679512.54 19.15, -39367 6679513.41 19.21, -39366.47 6679514.28 19.28, -39365.95 6679515.15 19.35, -39365.42 6679516.01 19.42, -39364.9 6679516.88 19.48, -39364.38 6679517.76 19.55, -39363.87 6679518.63 19.62, -39363.36 6679519.51 19.69, -39363.01 6679520.1 19.74, -39362.84 6679520.39 19.76, -39362.34 6679521.26 19.83, -39361.84 6679522.15 19.9, -39361.33 6679523.04 19.97, -39360.84 6679523.92 20.04, -39360.34 6679524.81 20.11, -39359.85 6679525.69 20.18, -39359.36 6679526.58 20.25, -39358.87 6679527.47 20.32, -39358.39 6679528.37 20.39, -39357.91 6679529.26 20.46, -39357.44 6679530.15 20.53, -39356.96 6679531.06 20.6, -39356.49 6679531.95 20.67, -39356.03 6679532.86 20.74, -39355.56 6679533.76 20.81, -39355.09 6679534.66 20.88, -39354.64 6679535.57 20.95, -39354.18 6679536.47 21.02, -39353.73 6679537.39 21.09, -39353.28 6679538.3 21.16, -39352.84 6679539.21 21.23, -39352.39 6679540.12 21.3, -39351.95 6679541.03 21.37, -39351.51 6679541.95 21.44, -39351.07 6679542.87 21.51, -39350.65 6679543.79 21.58, -39350.22 6679544.7 21.65, -39349.79 6679545.63 21.72, -39349.37 6679546.55 21.79, -39348.95 6679547.48 21.86, -39348.53 6679548.41 21.93, -39348.12 6679549.33 22, -39347.71 6679550.26 22.07, -39347.3 6679551.19 22.14, -39346.9 6679552.13 22.21, -39346.5 6679553.06 22.28, -39346.1 6679553.99 22.35, -39345.7 6679554.93 22.42, -39345.32 6679555.86 22.49, -39344.93 6679556.8 22.56, -39344.54 6679557.74 22.63, -39344.16 6679558.68 22.7, -39343.78 6679559.62 22.77, -39343.41 6679560.56 22.84, -39343.04 6679561.51 22.91, -39342.66 6679562.46 22.98, -39342.3 6679563.4 23.05, -39341.93 6679564.35 23.12, -39341.57 6679565.3 23.19, -39341.22 6679566.25 23.26, -39340.87 6679567.2 23.33, -39340.52 6679568.15 23.4, -39340.17 6679569.11 23.47, -39339.82 6679570.06 23.54, -39339.48 6679571.02 23.61, -39339.14 6679571.98 23.68, -39338.81 6679572.93 23.75, -39338.48 6679573.9 23.82, -39338.15 6679574.86 23.89, -39337.83 6679575.82 23.96, -39337.51 6679576.78 24.03, -39337.19 6679577.75 24.1, -39336.88 6679578.71 24.17, -39336.56 6679579.68 24.24, -39336.25 6679580.65 24.31, -39335.95 6679581.62 24.38, -39335.65 6679582.59 24.45, -39335.35 6679583.56 24.52, -39335.29 6679583.7 24.53, -39335.05 6679584.53 24.59, -39334.76 6679585.5 24.66, -39334.47 6679586.47 24.73, -39334.18 6679587.44 24.8, -39334.1 6679587.73 24.82, -39333.9 6679588.42 24.87, -39333.62 6679589.39 24.93, -39333.6 6679589.46 24.94, -39333.35 6679590.37 25, -39333.32 6679590.47 25.01, -39333.08 6679591.34 25.07, -39333.03 6679591.49 25.08, -39332.8 6679592.33 25.13, -39332.75 6679592.51 25.14, -39332.55 6679593.27 25.2, -39332.47 6679593.53 25.21, -39332.27 6679594.28 25.26, -39332.21 6679594.55 25.28, -39332.01 6679595.27 25.33, -39331.94 6679595.57 25.35, -39331.79 6679596.12 25.38, -39331.76 6679596.25 25.39, -39331.67 6679596.6 25.41, -39331.51 6679597.24 25.45, -39331.42 6679597.62 25.48, -39331.26 6679598.22 25.52, -39331.16 6679598.65 25.54, -39331.02 6679599.21 25.58, -39330.94 6679599.51 25.6, -39330.91 6679599.68 25.61, -39330.78 6679600.19 25.64, -39330.65 6679600.71 25.67, -39330.55 6679601.18 25.7, -39330.53 6679601.23 25.71, -39330.5 6679601.36 25.71, -39330.41 6679601.74 25.73, -39330.31 6679602.17 25.76, -39330.17 6679602.78 25.79, -39330.08 6679603.16 25.81, -39329.92 6679603.81 25.85, -39329.85 6679604.15 25.87, -39329.69 6679604.85 25.91, -39329.62 6679605.13 25.92, -39329.46 6679605.87 25.96, -39329.4 6679606.13 25.98, -39329.26 6679606.8 26.01, -39329.23 6679606.91 26.02, -39329.19 6679607.12 26.03, -39329 6679607.95 26.07, -39328.97 6679608.1 26.08, -39328.79 6679608.98 26.13, -39328.76 6679609.1 26.13, -39328.56 6679610.01 26.18, -39328.55 6679610.09 26.19, -39328.35 6679611.05 26.24, -39328.14 6679612.08 26.29, -39327.94 6679613.07 26.34, -39327.93 6679613.12 26.34, -39327.74 6679614.07 26.39, -39327.72 6679614.16 26.39, -39327.55 6679615.06 26.44, -39327.53 6679615.19 26.44, -39327.36 6679616.06 26.49, -39327.32 6679616.22 26.5, -39327.26 6679616.55 26.51, -39327.24 6679616.65 26.52, -39327.22 6679616.75 26.52, -39327.18 6679616.97 26.53, -39327.17 6679617.05 26.54, -39327.13 6679617.26 26.55, -39327.05 6679617.71 26.57, -39326.98 6679618.05 26.58, -39326.93 6679618.29 26.6, -39326.79 6679619.04 26.63, -39326.75 6679619.32 26.64, -39326.61 6679620.03 26.68, -39326.55 6679620.36 26.69, -39326.43 6679621.03 26.72, -39326.41 6679621.13 26.73, -39326.37 6679621.39 26.74, -39326.26 6679622.02 26.77, -39326.18 6679622.43 26.79, -39326.08 6679623.02 26.82, -39326.01 6679623.46 26.84, -39325.91 6679624.01 26.86, -39325.83 6679624.49 26.88, -39325.75 6679625.01 26.91, -39325.72 6679625.14 26.91, -39325.66 6679625.53 26.93, -39325.57 6679626.01 26.95, -39325.48 6679626.56 26.97, -39325.41 6679627.01 26.99, -39325.31 6679627.6 27.02, -39325.24 6679628 27.04, -39325.14 6679628.65 27.07, -39325.08 6679629 27.08, -39324.98 6679629.68 27.11, -39324.93 6679630 27.12, -39324.81 6679630.72 27.15, -39324.77 6679631 27.16, -39324.65 6679631.75 27.2, -39324.62 6679631.99 27.21, -39324.49 6679632.79 27.24, -39324.47 6679632.9 27.24, -39324.45 6679632.99 27.25, -39324.33 6679633.83 27.28, -39324.3 6679633.99 27.29, -39324.17 6679634.86 27.32, -39324.15 6679634.99 27.33, -39324.02 6679635.9 27.36, -39324.01 6679635.99 27.37, -39323.87 6679636.93 27.4, -39323.86 6679636.98 27.41, -39323.72 6679637.95 27.44, -39323.58 6679638.98 27.48, -39323.43 6679639.98 27.52, -39323.29 6679640.98 27.56, -39323.29 6679641.05 27.56, -39323.15 6679641.98 27.59, -39323.14 6679642.07 27.6, -39323.02 6679642.98 27.63, -39323 6679643.1 27.64, -39322.88 6679643.97 27.67, -39322.85 6679644.13 27.67, -39322.78 6679644.77 27.7, -39322.75 6679644.98 27.7, -39322.72 6679645.15 27.71, -39322.62 6679645.97 27.74, -39322.59 6679646.18 27.74, -39322.53 6679646.64 27.76, -39322.49 6679646.97 27.77, -39322.45 6679647.2 27.78, -39322.35 6679647.97 27.81, -39322.32 6679648.22 27.81, -39322.29 6679648.49 27.82, -39322.22 6679648.97 27.84, -39322.19 6679649.25 27.85, -39322.09 6679649.96 27.87, -39322.05 6679650.26 27.88, -39321.96 6679650.96 27.9, -39321.92 6679651.29 27.92, -39321.85 6679651.84 27.93, -39321.84 6679651.96 27.94, -39321.8 6679652.3 27.95, -39321.71 6679652.96 27.97, -39321.67 6679653.31 27.98, -39321.59 6679653.95 28, -39321.54 6679654.32 28.01, -39321.46 6679654.95 28.03, -39321.42 6679655.33 28.04, -39321.36 6679655.73 28.05, -39321.34 6679655.96 28.06, -39321.29 6679656.33 28.07, -39321.21 6679656.95 28.09, -39321.17 6679657.35 28.1, -39321.09 6679657.95 28.12, -39321.04 6679658.36 28.13, -39320.97 6679658.94 28.15, -39320.92 6679659.36 28.16, -39320.85 6679659.94 28.18, -39320.8 6679660.37 28.19, -39320.74 6679660.94 28.2, -39320.68 6679661.37 28.22, -39320.62 6679661.94 28.23, -39320.56 6679662.37 28.24, -39320.49 6679662.94 28.26, -39320.44 6679663.38 28.27, -39320.37 6679663.94 28.29, -39320.32 6679664.37 28.3, -39320.25 6679664.93 28.31, -39320.2 6679665.38 28.32, -39320.14 6679665.93 28.34, -39320.14 6679665.98 28.34, -39320.1 6679666.24 28.34, -39320.1 6679666.32 28.35, -39320.02 6679666.93 28.36, -39320 6679667.17 28.37, -39319.91 6679667.92 28.39, -39319.89 6679668.01 28.39, -39319.8 6679668.82 28.41, -39319.79 6679668.92 28.41, -39319.7 6679669.7 28.43, -39319.67 6679669.92 28.43, -39319.6 6679670.52 28.45, -39319.56 6679670.91 28.46, -39319.53 6679671.04 28.46, -39319.52 6679671.17 28.46, -39319.51 6679671.34 28.47, -39319.44 6679671.91 28.49, -39319.42 6679672.13 28.49, -39319.33 6679672.9 28.51, -39319.25 6679673.53 28.53, -39319.24 6679673.64 28.53, -39319.2 6679673.9 28.54, -39319.15 6679674.36 28.55, -39319.08 6679674.9 28.57, -39319.07 6679675.05 28.57, -39319.03 6679675.4 28.58, -39318.99 6679675.71 28.59, -39318.97 6679675.9 28.59, -39318.95 6679675.99 28.59, -39318.95 6679676.06 28.6, -39318.85 6679676.89 28.62, -39318.73 6679677.89 28.64, -39318.61 6679678.88 28.67, -39318.49 6679679.88 28.69, -39318.37 6679680.88 28.71, -39318.24 6679681.87 28.74, -39318.12 6679682.86 28.76, -39318.01 6679683.86 28.78, -39317.89 6679684.85 28.8, -39317.77 6679685.85 28.82, -39317.65 6679686.84 28.84, -39317.53 6679687.84 28.86, -39317.41 6679688.84 28.88, -39317.29 6679689.83 28.9, -39317.17 6679690.83 28.92, -39317.05 6679691.82 28.94, -39316.93 6679692.82 28.96, -39316.81 6679693.82 28.98, -39316.69 6679694.81 28.99, -39316.57 6679695.81 29.01, -39316.45 6679696.81 29.02, -39316.33 6679697.8 29.04, -39316.21 6679698.8 29.06, -39316.09 6679699.8 29.07, -39315.97 6679700.79 29.08, -39315.84 6679701.79 29.1, -39315.73 6679702.78 29.11, -39315.61 6679703.78 29.12, -39315.49 6679704.78 29.13, -39315.37 6679705.77 29.15, -39315.25 6679706.76 29.16, -39315.13 6679707.76 29.17, -39315.01 6679708.75 29.18, -39314.89 6679709.75 29.19, -39314.77 6679710.74 29.2, -39314.65 6679711.74 29.21, -39314.53 6679712.74 29.21, -39314.41 6679713.73 29.22, -39314.33 6679714.41 29.23, -39314.08 6679715.13 29.28, -39313.35 6679716.3 29.28, -39312.22 6679717.5 29.28, -39311.97 6679717.7 29.28, -39312 6679717.48 29.25, -39312.12 6679716.49 29.24, -39312.24 6679715.49 29.24, -39312.35 6679714.5 29.23, -39312.47 6679713.51 29.22, -39312.59 6679712.51 29.21, -39312.71 6679711.51 29.21, -39312.83 6679710.52 29.2, -39312.95 6679709.52 29.19, -39313.07 6679708.52 29.18, -39313.2 6679707.53 29.17, -39313.32 6679706.53 29.16, -39313.43 6679705.54 29.15, -39313.55 6679704.54 29.13, -39313.67 6679703.54 29.12, -39313.79 6679702.55 29.11, -39313.91 6679701.55 29.1, -39314.03 6679700.55 29.08, -39314.15 6679699.56 29.07, -39314.28 6679698.56 29.06, -39314.4 6679697.57 29.04, -39314.52 6679696.57 29.02, -39314.63 6679695.57 29.01, -39314.75 6679694.58 28.99, -39314.87 6679693.58 28.98, -39314.99 6679692.58 28.96, -39315.11 6679691.59 28.94, -39315.23 6679690.6 28.92, -39315.35 6679689.61 28.9, -39315.47 6679688.61 28.88, -39315.6 6679687.61 28.86, -39315.72 6679686.62 28.84, -39315.83 6679685.62 28.82, -39315.95 6679684.62 28.8, -39316.07 6679683.63 28.78, -39316.19 6679682.63 28.76, -39316.31 6679681.64 28.74, -39316.43 6679680.64 28.71, -39316.55 6679679.64 28.69, -39316.68 6679678.65 28.67, -39316.8 6679677.65 28.64, -39316.91 6679676.65 28.62, -39317.01 6679675.83 28.6, -39317.02 6679675.76 28.59, -39317.03 6679675.67 28.59, -39317.06 6679675.47 28.59, -39317.09 6679675.16 28.58, -39317.14 6679674.82 28.57, -39317.15 6679674.66 28.57, -39317.21 6679674.13 28.55, -39317.27 6679673.67 28.54, -39317.29 6679673.42 28.53, -39317.3 6679673.31 28.53, -39317.38 6679672.67 28.51, -39317.47 6679671.89 28.49, -39317.5 6679671.67 28.49, -39317.56 6679671.1 28.47, -39317.59 6679670.93 28.46, -39317.6 6679670.81 28.46, -39317.61 6679670.67 28.46, -39317.66 6679670.29 28.45, -39317.73 6679669.68 28.43, -39317.75 6679669.47 28.43, -39317.86 6679668.68 28.41, -39317.86 6679668.62 28.41, -39317.96 6679667.79 28.39, -39317.97 6679667.69 28.39, -39318.06 6679666.93 28.37, -39318.09 6679666.69 28.36, -39318.15 6679666.08 28.35, -39318.17 6679666 28.34, -39318.19 6679665.74 28.34, -39318.2 6679665.69 28.34, -39318.27 6679665.14 28.32, -39318.32 6679664.7 28.31, -39318.39 6679664.14 28.3, -39318.44 6679663.7 28.29, -39318.5 6679663.14 28.27, -39318.56 6679662.7 28.26, -39318.62 6679662.14 28.24, -39318.67 6679661.7 28.23, -39318.75 6679661.13 28.22, -39318.8 6679660.7 28.2, -39318.87 6679660.12 28.19, -39318.92 6679659.7 28.18, -39318.99 6679659.12 28.16, -39319.04 6679658.71 28.15, -39319.11 6679658.11 28.13, -39319.16 6679657.7 28.12, -39319.23 6679657.1 28.1, -39319.28 6679656.71 28.09, -39319.36 6679656.1 28.07, -39319.4 6679655.71 28.06, -39319.43 6679655.48 28.05, -39319.48 6679655.08 28.04, -39319.52 6679654.71 28.03, -39319.6 6679654.08 28.01, -39319.65 6679653.71 28, -39319.73 6679653.06 27.98, -39319.78 6679652.71 27.97, -39319.86 6679652.04 27.95, -39319.9 6679651.71 27.94, -39319.92 6679651.59 27.93, -39319.99 6679651.03 27.92, -39320.03 6679650.71 27.9, -39320.12 6679650 27.88, -39320.16 6679649.71 27.87, -39320.25 6679648.99 27.85, -39320.28 6679648.71 27.84, -39320.35 6679648.23 27.82, -39320.38 6679647.96 27.81, -39320.41 6679647.7 27.81, -39320.51 6679646.94 27.78, -39320.54 6679646.71 27.77, -39320.6 6679646.37 27.76, -39320.65 6679645.91 27.74, -39320.68 6679645.7 27.74, -39320.79 6679644.89 27.71, -39320.82 6679644.71 27.7, -39320.84 6679644.5 27.7, -39320.92 6679643.86 27.67, -39320.95 6679643.7 27.67, -39321.07 6679642.83 27.64, -39321.08 6679642.7 27.63, -39321.2 6679641.8 27.6, -39321.22 6679641.7 27.59, -39321.35 6679640.77 27.56, -39321.36 6679640.7 27.56, -39321.49 6679639.73 27.52, -39321.65 6679638.71 27.48, -39321.79 6679637.7 27.45, -39321.93 6679636.69 27.41, -39321.94 6679636.63 27.4, -39322.08 6679635.7 27.37, -39322.09 6679635.6 27.36, -39322.22 6679634.69 27.33, -39322.25 6679634.57 27.32, -39322.38 6679633.69 27.29, -39322.4 6679633.52 27.28, -39322.53 6679632.69 27.25, -39322.55 6679632.6 27.24, -39322.57 6679632.49 27.24, -39322.69 6679631.69 27.21, -39322.72 6679631.45 27.2, -39322.84 6679630.69 27.16, -39322.89 6679630.41 27.15, -39323 6679629.69 27.12, -39323.05 6679629.37 27.11, -39323.15 6679628.69 27.08, -39323.22 6679628.33 27.07, -39323.32 6679627.68 27.04, -39323.38 6679627.29 27.02, -39323.49 6679626.68 26.99, -39323.56 6679626.24 26.97, -39323.65 6679625.68 26.95, -39323.73 6679625.19 26.93, -39323.8 6679624.81 26.91, -39323.82 6679624.68 26.91, -39323.91 6679624.16 26.88, -39323.99 6679623.68 26.86, -39324.09 6679623.12 26.84, -39324.17 6679622.67 26.82, -39324.27 6679622.08 26.79, -39324.34 6679621.68 26.77, -39324.45 6679621.05 26.74, -39324.5 6679620.78 26.73, -39324.52 6679620.68 26.72, -39324.64 6679620.01 26.69, -39324.7 6679619.68 26.68, -39324.83 6679618.97 26.64, -39324.88 6679618.68 26.63, -39325.01 6679617.96 26.6, -39325.06 6679617.68 26.58, -39325.13 6679617.34 26.57, -39325.21 6679616.89 26.55, -39325.26 6679616.68 26.54, -39325.26 6679616.6 26.53, -39325.3 6679616.38 26.52, -39325.32 6679616.27 26.52, -39325.34 6679616.17 26.51, -39325.41 6679615.85 26.5, -39325.44 6679615.68 26.49, -39325.61 6679614.81 26.44, -39325.64 6679614.68 26.44, -39325.81 6679613.77 26.39, -39325.83 6679613.68 26.39, -39326.02 6679612.73 26.34, -39326.03 6679612.68 26.34, -39326.23 6679611.69 26.29, -39326.44 6679610.68 26.24, -39326.64 6679609.69 26.19, -39326.66 6679609.61 26.18, -39326.85 6679608.69 26.13, -39326.88 6679608.57 26.13, -39327.06 6679607.69 26.08, -39327.1 6679607.53 26.07, -39327.29 6679606.69 26.03, -39327.32 6679606.48 26.02, -39327.35 6679606.38 26.01, -39327.51 6679605.7 25.98, -39327.56 6679605.45 25.96, -39327.73 6679604.7 25.92, -39327.8 6679604.41 25.91, -39327.95 6679603.71 25.87, -39328.03 6679603.37 25.85, -39328.18 6679602.71 25.81, -39328.27 6679602.33 25.79, -39328.41 6679601.72 25.76, -39328.51 6679601.28 25.73, -39328.61 6679600.9 25.71, -39328.63 6679600.77 25.71, -39328.65 6679600.72 25.7, -39328.76 6679600.25 25.67, -39328.89 6679599.73 25.64, -39329.01 6679599.22 25.61, -39329.05 6679599.05 25.6, -39329.13 6679598.74 25.58, -39329.27 6679598.17 25.54, -39329.37 6679597.75 25.52, -39329.53 6679597.14 25.48, -39329.62 6679596.75 25.45, -39329.79 6679596.1 25.41, -39329.87 6679595.77 25.39, -39329.9 6679595.64 25.38, -39330.06 6679595.08 25.35, -39330.13 6679594.77 25.33, -39330.32 6679594.05 25.28, -39330.39 6679593.79 25.26, -39330.6 6679593.02 25.21, -39330.65 6679592.8 25.2, -39330.87 6679591.99 25.14, -39330.92 6679591.81 25.13, -39331.15 6679590.97 25.08, -39331.19 6679590.83 25.07, -39331.43 6679589.95 25.01, -39331.46 6679589.84 25, -39331.73 6679588.93 24.94, -39331.74 6679588.86 24.93, -39332.02 6679587.92 24.87, -39332.23 6679587.19 24.82, -39332.31 6679586.9 24.8, -39332.59 6679585.91 24.73, -39332.89 6679584.93 24.66, -39333.19 6679583.96 24.59, -39333.43 6679583.13 24.53, -39333.48 6679582.98 24.52, -39333.78 6679582 24.45, -39334.09 6679581.03 24.38, -39334.4 6679580.06 24.31, -39334.71 6679579.09 24.24, -39335.02 6679578.11 24.17, -39335.34 6679577.14 24.1, -39335.66 6679576.17 24.03, -39335.98 6679575.2 23.96, -39336.31 6679574.23 23.89, -39336.64 6679573.26 23.82, -39336.97 6679572.3 23.75, -39337.31 6679571.34 23.68, -39337.65 6679570.37 23.61, -39337.99 6679569.4 23.54, -39338.34 6679568.45 23.47, -39338.69 6679567.48 23.4, -39339.04 6679566.53 23.33, -39339.4 6679565.56 23.26, -39339.75 6679564.61 23.19, -39340.11 6679563.66 23.12, -39340.48 6679562.7 23.05, -39340.85 6679561.75 22.98, -39341.22 6679560.79 22.91, -39341.59 6679559.84 22.84, -39341.97 6679558.9 22.77, -39342.36 6679557.95 22.7, -39342.73 6679557 22.63, -39343.12 6679556.05 22.56, -39343.51 6679555.11 22.49, -39343.91 6679554.17 22.42, -39344.31 6679553.23 22.35, -39344.7 6679552.29 22.28, -39345.11 6679551.35 22.21, -39345.51 6679550.41 22.14, -39345.93 6679549.48 22.07, -39346.34 6679548.54 22, -39346.75 6679547.61 21.93, -39347.17 6679546.67 21.86, -39347.6 6679545.74 21.79, -39348.02 6679544.82 21.72, -39348.44 6679543.89 21.65, -39348.88 6679542.96 21.58, -39349.32 6679542.03 21.51, -39349.75 6679541.12 21.44, -39350.19 6679540.19 21.37, -39350.64 6679539.27 21.3, -39351.08 6679538.35 21.23, -39351.53 6679537.43 21.16, -39351.98 6679536.52 21.09, -39352.44 6679535.6 21.02, -39352.9 6679534.69 20.95, -39353.36 6679533.78 20.88, -39353.82 6679532.87 20.81, -39354.29 6679531.96 20.74, -39354.76 6679531.06 20.67, -39355.23 6679530.14 20.6, -39355.71 6679529.24 20.53, -39356.19 6679528.35 20.46, -39356.68 6679527.45 20.39, -39357.16 6679526.54 20.32, -39357.65 6679525.65 20.25, -39358.14 6679524.75 20.18, -39358.64 6679523.86 20.11, -39359.13 6679522.97 20.04, -39359.64 6679522.07 19.97, -39360.14 6679521.18 19.9, -39360.65 6679520.29 19.83, -39361.16 6679519.41 19.76, -39361.33 6679519.12 19.74, -39361.67 6679518.53 19.69, -39362.19 6679517.64 19.62, -39362.7 6679516.76 19.55, -39363.22 6679515.89 19.48, -39363.75 6679515.01 19.42, -39364.28 6679514.14 19.35, -39364.8 6679513.26 19.28, -39365.34 6679512.39 19.21, -39365.88 6679511.52 19.15, -39366.42 6679510.66 19.08, -39366.95 6679509.79 19.02, -39367.5 6679508.92 18.95, -39367.62 6679508.72 18.94, -39368.05 6679508.06 18.89, -39368.44 6679507.45 18.84, -39368.56 6679507.25 18.82, -39368.6 6679507.2 18.82, -39369.16 6679506.34 18.75, -39369.71 6679505.49 18.68, -39370.27 6679504.63 18.61, -39370.84 6679503.79 18.55, -39371.4 6679502.93 18.48, -39371.97 6679502.09 18.41, -39372.55 6679501.24 18.35, -39373.13 6679500.4 18.28, -39373.7 6679499.56 18.22, -39374.28 6679498.72 18.16, -39374.92 6679497.95 18.09, -39375.58 6679497.16 18.03, -39376.24 6679496.38 17.97, -39376.9 6679495.6 17.91, -39377.56 6679494.82 17.84, -39378.23 6679494.05 17.78, -39378.89 6679493.27 17.72, -39379.56 6679492.51 17.66, -39380.23 6679491.74 17.6, -39380.9 6679490.97 17.54, -39381.57 6679490.2 17.48, -39382.24 6679489.44 17.43, -39382.92 6679488.68 17.37, -39383.25 6679488.3 17.34, -39383.59 6679487.92 17.31, -39384.27 6679487.17 17.26, -39384.95 6679486.41 17.2, -39385.63 6679485.66 17.14, -39386.31 6679484.9 17.09, -39386.38 6679484.83 17.08, -39387 6679484.15 17, -39387.68 6679483.41 16.96, -39388.37 6679482.65 16.92, -39389.05 6679481.91 16.88, -39390.4 6679480.33 16.76)</t>
  </si>
  <si>
    <t>2019-02-14</t>
  </si>
  <si>
    <t>[2263]</t>
  </si>
  <si>
    <t>['PV2263 S1D1 m17-48']</t>
  </si>
  <si>
    <t>LINESTRING Z (-48744.23 6720164.53 12.125, -48741.31 6720166.01 11.755, -48737.99 6720168.32 11.565, -48735.86 6720170.16 11.295, -48733.55 6720172.14 10.925, -48731.59 6720173.78 10.355, -48729.73 6720175.6 9.625, -48727.79 6720177.65 8.985, -48727.56 6720177.36 8.725, -48726.07 6720179.28 8.355, -48724.99 6720182.79 8.045, -48725.15 6720186.44 7.995)</t>
  </si>
  <si>
    <t>POLYGON ((-48741.56704348214 6720166.440274604, -48738.29705125979 6720168.715480036, -48736.18685618199 6720170.538371558, -48736.18539568668 6720170.539628302, -48733.875395686686 6720172.519628301, -48733.870861316405 6720172.523468402, -48731.92578321736 6720174.150982731, -48730.08655777407 6720175.950654938, -48728.15316249282 6720177.993675726, -48728.116743323604 6720178.028469022, -48728.077008455635 6720178.059421722, -48728.03436110693 6720178.086219726, -48727.98923405075 6720178.1085910965, -48727.9420852237 6720178.126308813, -48727.89339307876 6720178.139193082, -48727.843651730065 6720178.147113158, -48727.79336593877 6720178.149988671, -48727.74304599089 6720178.147790439, -48727.69320251902 6720178.140540771, -48727.644341320636 6720178.128313234, -48727.60707946382 6720178.114880555, -48726.521021141 6720179.514365106, -48725.493305034375 6720182.854442452, -48725.6495203009 6720186.41810322, -48724.6504796991 6720186.461896781, -48724.490479699096 6720182.8118967805, -48724.49123482397 6720182.754881641, -48724.49847648253 6720182.698323221, -48724.51211049564 6720182.6429570755, -48725.59211049564 6720179.132957076, -48725.607329884195 6720179.090431111, -48725.6263248228 6720179.049452093, -48725.648940306135 6720179.010354429, -48725.67499178398 6720178.973457166, -48727.164991783975 6720177.053457166, -48727.197781078095 6720177.0153299365, -48727.234234323 6720176.980689147, -48727.27398278339 6720176.949885197, -48727.31662439191 6720176.923229679, -48727.36172781618 6720176.900992221, -48727.4088368218 6720176.883397762, -48727.45747488736 6720176.870624274, -48727.50715002454 6720176.862800966, -48727.55735975474 6720176.860006971, -48727.6075961918 6720176.862270554, -48727.657351179405 6720176.8695688145, -48727.70612143124 6720176.881827932, -48727.75341362189 6720176.898923899, -48727.793960349816 6720176.918385189, -48729.36683750719 6720175.256324274, -48729.380310237975 6720175.2426247485, -48731.24031023797 6720173.422624749, -48731.269138683594 6720173.396531598, -48733.22686007844 6720171.758438185, -48735.533872966116 6720169.780998567, -48737.66314381801 6720167.941628442, -48737.7044315363 6720167.909572598, -48741.0244315363 6720165.599572597, -48741.08395278709 6720165.564014958, -48744.0039527871 6720164.084014959, -48744.45604721291 6720164.975985042, -48741.56704348214 6720166.440274604))</t>
  </si>
  <si>
    <t>[5224]</t>
  </si>
  <si>
    <t>['FV5224 S1D1 m276-295']</t>
  </si>
  <si>
    <t>LINESTRING Z (-48928.66 6720136.11 16.705, -48929.72 6720136.68 16.685, -48930.46 6720137.84 16.715, -48931.19 6720139.27 16.805, -48931.17 6720141.13 16.705, -48929.01 6720143.61 16.415, -48925.87 6720146.57 16.015, -48922.13 6720149.58 15.515, -48921.31 6720149.96 15.425, -48920.3 6720150.89 13.945)</t>
  </si>
  <si>
    <t>POLYGON Z ((-48928.66 6720136.11 16.705, -48929.72 6720136.68 16.685, -48930.46 6720137.84 16.715, -48931.19 6720139.27 16.805, -48931.17 6720141.13 16.705, -48929.01 6720143.61 16.415, -48925.87 6720146.57 16.015, -48922.13 6720149.58 15.515, -48921.31 6720149.96 15.425, -48920.3 6720150.89 13.945, -48928.66 6720136.11 16.705))</t>
  </si>
  <si>
    <t>['FV5224 S1D1 m322-333']</t>
  </si>
  <si>
    <t>LINESTRING Z (-48966.4 6720117.91 20.155, -48963.41 6720121.34 19.715, -48961.28 6720124.18 19.375, -48959.57 6720126.15 19.045, -48959.55 6720126.49 18.935)</t>
  </si>
  <si>
    <t>['FV5224 S1D1 m306-349']</t>
  </si>
  <si>
    <t>LINESTRING Z (-48964.62 6720096.83 21.955, -48961.9 6720101.55 21.435, -48957.63 6720107.4 20.665, -48953.57 6720112.75 19.985, -48948.98 6720119.31 19.345, -48944.53 6720125.16 18.585, -48940.12 6720130.8 17.875, -48939.48 6720131.21 17.695, -48938.61 6720131.12 17.345)</t>
  </si>
  <si>
    <t>POLYGON ((-48962.33321498248 6720101.799649312, -48962.303859932996 6720101.844783233, -48958.03385993299 6720107.694783233, -48958.028296185475 6720107.702258414, -48953.974136225734 6720113.044562793, -48949.38967462991 6720119.59664734, -48949.37794997583 6720119.612714084, -48944.92794997583 6720125.462714084, -48944.9238850985 6720125.467984625, -48940.5138850985 6720131.107984625, -48940.47682880009 6720131.150247351, -48940.43526317435 6720131.1880839225, -48940.38971349541 6720131.221016187, -48939.74971349541 6720131.631016187, -48939.70806283864 6720131.654957686, -48939.664306730614 6720131.674791383, -48939.61884912311 6720131.690334177, -48939.572109675755 6720131.701442578, -48939.524519882 6720131.708014036, -48939.47651908558 6720131.709987883, -48939.42855042454 6720131.707345897, -48938.55855042454 6720131.6173458975, -48938.66144957546 6720130.622654103, -48939.357521299076 6720130.694661522, -48939.77857429988 6720130.4249244435, -48944.134064920756 6720124.854637119, -48948.57602788259 6720119.015202663, -48953.160325370096 6720112.46335266, -48953.17170381452 6720112.447741587, -48957.22888711051 6720107.101453254, -48961.48024576087 6720101.276992339, -48964.186785017526 6720096.580350688, -48965.05321498248 6720097.079649312, -48962.33321498248 6720101.799649312))</t>
  </si>
  <si>
    <t>['FV5224 S1D1 m378-389']</t>
  </si>
  <si>
    <t>LINESTRING Z (-48983.37 6720062.22 25.105, -48985.64 6720065.07 24.895, -48986.09 6720068.15 24.715, -48983.92 6720070.73 24.435, -48981.7 6720073.82 24.125, -48980.49 6720073.87 24.315, -48979.38 6720073.13 24.985)</t>
  </si>
  <si>
    <t>POLYGON Z ((-48983.37 6720062.22 25.105, -48985.64 6720065.07 24.895, -48986.09 6720068.15 24.715, -48983.92 6720070.73 24.435, -48981.7 6720073.82 24.125, -48980.49 6720073.87 24.315, -48979.38 6720073.13 24.985, -48983.37 6720062.22 25.105))</t>
  </si>
  <si>
    <t>['FV5224 S1D1 m398-459']</t>
  </si>
  <si>
    <t>LINESTRING Z (-49032.54 6720008.95 29.775, -49030.36 6720012.47 29.705, -49026.53 6720015.38 29.495, -49022.49 6720019.2 29.225, -49018.46 6720023.53 28.865, -49014.3 6720028.02 28.335, -49012.25 6720025.75 28.105, -49009.6 6720028.12 28.005, -49008.8 6720029.7 28.065, -49009.17 6720030.67 28.115, -49009.28 6720033.29 27.965, -49005.94 6720039.2 27.365, -49002.66 6720044.92 26.885, -48999.78 6720049.88 26.485, -48996.64 6720054.07 26.015, -48993.45 6720057.16 25.595, -48992.01 6720057.09 25.465)</t>
  </si>
  <si>
    <t>POLYGON ((-49030.78508109301 6720012.733260449, -49030.75920637488 6720012.771055261, -49030.72998159837 6720012.806323678, -49030.69765201199 6720012.838769737, -49030.662488919115 6720012.868121155, -49026.85394401983 6720015.761819759, -49022.84512589157 6720019.552335911, -49018.82639038747 6720023.870232867, -49014.666774741505 6720028.359818023, -49014.6319021951 6720028.393953116, -49014.59386821506 6720028.424526231, -49014.55303508261 6720028.451246155, -49014.50979174135 6720028.473858375, -49014.4645500926 6720028.492147505, -49014.41774107193 6720028.505939337, -49014.36981054444 6720028.515102502, -49014.32121505783 6720028.519549718, -49014.27241749362 6720028.519238626, -49014.2238826582 6720028.514172186, -49014.1760728554 6720028.504398661, -49014.12944348297 6720028.490011143, -49014.084438694816 6720028.471146676, -49014.0414871704 6720028.447984949, -49014.0009980314 6720028.420746582, -49013.96335694481 6720028.389691024, -49013.92892244961 6720028.3551140865, -49012.212419435156 6720026.454400993, -49010.00352785216 6720028.429900258, -49009.34601017664 6720029.728497667, -49009.63716752892 6720030.491802077, -49009.65358795402 6720030.5429461105, -49009.66442711135 6720030.595556521, -49009.66955990229 6720030.649026111, -49009.779559902294 6720033.269026111, -49009.77935584545 6720033.315372025, -49009.77486135251 6720033.361499943, -49009.76611503988 6720033.407013537, -49009.75319205537 6720033.451521759, -49009.73620343249 6720033.494642195, -49009.71529513648 6720033.536004358, -49006.37529513648 6720039.446004358, -49006.37374776242 6720039.448722493, -49003.093747762425 6720045.168722493, -49003.09239447331 6720045.171067758, -49000.2123944733 6720050.131067758, -49000.180114562114 6720050.179847189, -48997.040114562114 6720054.36984719, -48997.01517010083 6720054.400525938, -48996.98787945817 6720054.429137694, -48993.797879458165 6720057.519137694, -48993.75940221996 6720057.552772538, -48993.71769259433 6720057.582304008, -48993.67318632997 6720057.607423582, -48993.626348392856 6720057.627868832, -48993.57766810839 6720057.643426162, -48993.52765404935 6720057.653933041, -48993.47682872274 6720057.659279701, -48993.425723111046 6720057.659410285, -48991.98572311105 6720057.5894102845, -48992.03427688895 6720056.590589715, -48993.257796607606 6720056.650066368, -48996.26365313097 6720053.738437322, -48999.36231640839 6720049.603596834, -49002.22692571932 6720044.670103021, -49005.50547428601 6720038.952634179, -49008.774450321864 6720033.1683083195, -49008.67385119304 6720030.772219978, -49008.33283247108 6720029.878197923, -49008.316839654784 6720029.828670435, -49008.306081865994 6720029.777748806, -49008.300675664905 6720029.725984773, -49008.30067962754 6720029.673939194, -49008.306093710955 6720029.622175983, -49008.31685925374 6720029.571255993, -49008.33285961156 6720029.521730941, -49008.35392142092 6720029.474137428, -49009.15392142092 6720027.894137428, -49009.1768519663 6720027.853643582, -49009.203447923945 6720027.81545698, -49009.23347891322 6720027.779908406, -49009.266684798284 6720027.747305787, -49011.916684798285 6720025.377305787, -49011.95469822752 6720025.346519067, -49011.99553809974 6720025.319594213, -49012.0388135214 6720025.296788933, -49012.08411028734 6720025.278321505, -49012.13099484538 6720025.264368686, -49012.17901844599 6720025.2550640255, -49012.22772143743 6720025.250496581, -49012.27663766528 6720025.250710069, -49012.325298934134 6720025.255702447, -49012.3732394889 6720025.265425931, -49012.42000047271 6720025.279787453, -49012.46513431881 6720025.298649554, -49012.50820903438 6720025.3218316985, -49012.5488123353 6720025.349112, -49012.586555592294 6720025.38022935, -49012.62107755039 6720025.414885913, -49014.30472263325 6720027.279214858, -49018.0932252585 6720023.190181977, -49018.09399487163 6720023.189353195, -49022.12399487163 6720018.859353195, -49022.146477042596 6720018.836692998, -49026.1864770426 6720015.016692998, -49026.227511080884 6720014.981878845, -49029.98371625947 6720012.127947495, -49032.11491890699 6720008.686739551, -49032.96508109301 6720009.2132604495, -49030.78508109301 6720012.733260449))</t>
  </si>
  <si>
    <t>['FV5224 S1D1 m559-594']</t>
  </si>
  <si>
    <t>LINESTRING Z (-49154.88 6719957.83 32.885, -49149.64 6719957.79 32.835, -49146.19 6719958.14 32.735, -49142.82 6719958.6 32.675, -49137.75 6719960.11 32.585, -49132.61 6719961.86 32.475, -49127.44 6719964.01 32.335, -49122.35 6719966.2 32.365)</t>
  </si>
  <si>
    <t>POLYGON ((-49149.663393536466 6719958.290193145, -49146.24906154233 6719958.636574651, -49142.92579545234 6719959.090195541, -49137.90199152127 6719960.58643695, -49132.78676214899 6719962.32800337, -49127.6348090125 6719964.470498388, -49122.54761287022 6719966.659292013, -49122.152387129776 6719965.740707987, -49127.24238712978 6719963.550707987, -49127.24800938728 6719963.54832955, -49132.41800938728 6719961.39832955, -49132.44885054334 6719961.386681025, -49137.58885054334 6719959.636681025, -49137.60728017773 6719959.630801657, -49142.67728017773 6719958.1208016565, -49142.71451722912 6719958.11125325, -49142.75237779772 6719958.104593866, -49146.12237779772 6719957.644593866, -49146.13953439249 6719957.642553297, -49149.589534392486 6719957.292553297, -49149.64381668269 6719957.290014567, -49154.88381668269 6719957.330014567, -49154.876183317305 6719958.329985433, -49149.663393536466 6719958.290193145))</t>
  </si>
  <si>
    <t>[201]</t>
  </si>
  <si>
    <t>['KV201 S2D1 m8-94']</t>
  </si>
  <si>
    <t>LINESTRING Z (-49178.06 6719948.71 34.185, -49171.73 6719947.6 33.885, -49164.34 6719946.83 33.635, -49157.26 6719946.45 33.425, -49150.75 6719946.17 33.385, -49142.79 6719946.9 33.265, -49136.37 6719947.69 33.075, -49128.96 6719949.24 32.895, -49122.26 6719950.96 32.815, -49115.65 6719952.72 32.715, -49109.02 6719954.98 32.565, -49103.32 6719957.38 32.435, -49097.47 6719959.97 32.235, -49093.89 6719961.51 32.135, -49092.71 6719960.98 31.785)</t>
  </si>
  <si>
    <t>POLYGON ((-49171.66082738936 6719948.095499385, -49164.30066797364 6719947.328608621, -49157.23585780941 6719946.949423894, -49150.76214335057 6719946.6709845625, -49142.84337709466 6719947.397203077, -49136.45186281617 6719948.183697824, -49129.07340738141 6719949.727099434, -49122.38649060899 6719951.443740753, -49115.795155080625 6719953.19877109, -49109.197893288474 6719955.44761146, -49103.518239035526 6719957.83904483, -49097.67241640759 6719960.427195361, -49097.66757883983 6719960.429306653, -49094.087578839826 6719961.969306653, -49094.03904494252 6719961.987268902, -49093.988914367525 6719962.000118299, -49093.93772414999 6719962.007717194, -49093.8860226767 6719962.00998418, -49093.83436381138 6719962.006894973, -49093.78330096133 6719961.998482666, -49093.733381148864 6719961.984837377, -49093.68513915112 6719961.966105287, -49092.50513915112 6719961.436105288, -49092.914860848876 6719960.523894713, -49093.894344708504 6719960.963832378, -49097.269996775016 6719959.511736238, -49103.11758359241 6719956.922804639, -49103.12597150001 6719956.919182313, -49108.82597150001 6719954.519182313, -49108.858677570104 6719954.506739952, -49115.48867757011 6719952.246739951, -49115.521350666146 6719952.236834035, -49122.131350666146 6719950.4768340355, -49122.135673204146 6719950.47570376, -49128.83567320414 6719948.75570376, -49128.85762728415 6719948.750592371, -49136.267627284156 6719947.200592372, -49136.308934113986 6719947.193743053, -49142.728934113984 6719946.403743053, -49142.744337348435 6719946.402089444, -49150.704337348434 6719945.672089444, -49150.771485512254 6719945.67046184, -49157.281485512256 6719945.95046184, -49157.2867975878 6719945.950718627, -49164.3667975878 6719946.330718627, -49164.39181691131 6719946.33269224, -49171.781816911316 6719947.10269224, -49171.81636001313 6719947.107514519, -49178.146360013125 6719948.21751452, -49177.97363998687 6719949.20248548, -49171.66082738936 6719948.095499385))</t>
  </si>
  <si>
    <t>['KV201 S2D1 m257-280']</t>
  </si>
  <si>
    <t>LINESTRING Z (-49354.94 6719995.05 42.846, -49354.37 6719996.46 42.946, -49353.79 6719997.39 42.976, -49352.84 6719998.48 42.996, -49351.72 6719999.17 43.056, -49350.4 6719999.52 43.096, -49348 6719999.62 43.106, -49344.76 6719999.51 43.106, -49338.95 6719999.33 43.146, -49333.34 6719999.13 43.026)</t>
  </si>
  <si>
    <t>POLYGON ((-49354.83355503286 6719996.647394587, -49354.81557998764 6719996.686844604, -49354.794255239314 6719996.724589289, -49354.21425523931 6719997.654589289, -49354.1918659663 6719997.6874957895, -49354.16693028198 6719997.718517218, -49353.216930281975 6719998.808517219, -49353.18203567083 6719998.844707554, -49353.14368325109 6719998.877210881, -49353.10226074648 6719998.905698604, -49351.98226074648 6719999.595698603, -49351.93950555757 6719999.619240816, -49351.89465870739 6719999.638502226, -49351.84814754005 6719999.653299294, -49350.52814754005 6720000.003299294, -49350.474924199494 6720000.014354493, -49350.420815272475 6720000.019566536, -49348.02081527247 6720000.1195665365, -49347.9830344661 6720000.119712088, -49344.74377556163 6720000.0097372485, -49338.93451689523 6719999.829760216, -49338.932186004946 6719999.829682561, -49333.322186004945 6719999.62968256, -49333.35781399505 6719998.630317439, -49338.96664855881 6719998.830275891, -49344.77548310477 6719999.010239784, -49344.7769655339 6719999.010287912, -49347.99807238613 6719999.1196464775, -49350.32463037388 6719999.022706561, -49351.52054666428 6719998.705607546, -49352.51301684966 6719998.094175021, -49353.386856781384 6719997.091558677, -49353.9227388423 6719996.232299511, -49354.47644496714 6719994.8626054125, -49355.40355503286 6719995.237394587, -49354.83355503286 6719996.647394587))</t>
  </si>
  <si>
    <t>['KV201 S2D1 m221-237']</t>
  </si>
  <si>
    <t>LINESTRING Z (-49312.65 6719993.36 42.506, -49306.02 6719992.55 42.366, -49299.59 6719991.48 42.176, -49298.14 6719988.54 42.196, -49298.17 6719985.98 42.436)</t>
  </si>
  <si>
    <t>POLYGON Z ((-49312.65 6719993.36 42.506, -49306.02 6719992.55 42.366, -49299.59 6719991.48 42.176, -49298.14 6719988.54 42.196, -49298.17 6719985.98 42.436, -49312.65 6719993.36 42.506))</t>
  </si>
  <si>
    <t>['KV201 S2D1 m292-311']</t>
  </si>
  <si>
    <t>LINESTRING Z (-49385.04 6719997.04 42.026, -49383.47 6719997.4 42.166, -49381.07 6719997.87 42.256, -49376.34 6719998.8 42.486, -49373.41 6719999.32 42.536, -49371.52 6719999.35 42.626, -49369.43 6719998.41 42.666, -49367.87 6719997.09 42.676, -49366.72 6719995.7 42.706)</t>
  </si>
  <si>
    <t>POLYGON Z ((-49385.04 6719997.04 42.026, -49383.47 6719997.4 42.166, -49381.07 6719997.87 42.256, -49376.34 6719998.8 42.486, -49373.41 6719999.32 42.536, -49371.52 6719999.35 42.626, -49369.43 6719998.41 42.666, -49367.87 6719997.09 42.676, -49366.72 6719995.7 42.706, -49385.04 6719997.04 42.026))</t>
  </si>
  <si>
    <t>['KV201 S2D1 m307-317']</t>
  </si>
  <si>
    <t>LINESTRING Z (-49391.1 6719992.12 41.656, -49389.82 6719992.73 41.746, -49388.44 6719992.75 41.756, -49388.09 6719993.36 41.926, -49384.32 6719993.16 42.056, -49381.48 6719992.64 42.026)</t>
  </si>
  <si>
    <t>POLYGON Z ((-49391.1 6719992.12 41.656, -49389.82 6719992.73 41.746, -49388.44 6719992.75 41.756, -49388.09 6719993.36 41.926, -49384.32 6719993.16 42.056, -49381.48 6719992.64 42.026, -49391.1 6719992.12 41.656))</t>
  </si>
  <si>
    <t>['FV5224 S1D1 m642-877']</t>
  </si>
  <si>
    <t>LINESTRING Z (-49428.79 6720016.13 39.406, -49426.79 6720014.77 39.496, -49423.21 6720011.7 39.716, -49418.89 6720008.98 39.896, -49415.06 6720006.21 40.136, -49410.86 6720006.36 40.436, -49408.08 6720006.37 40.616, -49405.19 6720006.46 40.776, -49399.16 6720006.61 41.156, -49393.27 6720006.79 41.566, -49387.44 6720006.87 41.826, -49381.73 6720006.82 42.026, -49377.74 6720006.96 42.286, -49377.27 6720006.95 42.266, -49371.37 6720006.89 42.406, -49365.83 6720006.91 42.576, -49360.49 6720007.05 42.656, -49354.66 6720007.03 42.806, -49349.45 6720007.17 42.866, -49345.24 6720007.21 42.916, -49342.73 6720007.31 42.896, -49339.6 6720007.13 42.956, -49336.92 6720007 42.976, -49332.53 6720006.87 42.966, -49326.76 6720006.4 43.046, -49320.95 6720005.75 43.026, -49315.03 6720005.41 42.936, -49311.01 6720005.33 42.846, -49305.67 6720004.91 42.736, -49300.27 6720004.25 42.566, -49294.65 6720003.28 42.296, -49288.87 6720002.16 41.946, -49283.23 6720001.12 41.536, -49279.65 6720000.27 41.276, -49277.34 6719999.73 41.096, -49273.22 6719998.35 40.906, -49267.67 6719996.64 40.456, -49262.23 6719994.91 39.926, -49256.4 6719992.91 39.425, -49250.84 6719991.01 38.955, -49245.43 6719988.91 38.545, -49238.19 6719986.06 37.965, -49232.69 6719983.56 37.485, -49227.5 6719981.25 37.065, -49223.05 6719979.15 36.725, -49222.06 6719978.72 36.565, -49216.91 6719976.35 36.225, -49212.03 6719974.07 35.875, -49207.22 6719971.72 35.475, -49206.29 6719971.39 35.435, -49202.53 6719969.72 35.125, -49199.21 6719968.09 34.875)</t>
  </si>
  <si>
    <t>POLYGON ((-49426.50884498925 6720015.18346325, -49426.4645170109 6720015.149553453, -49422.91245207678 6720012.103508943, -49418.62359336518 6720009.403116421, -49418.59698443307 6720009.385144268, -49414.90617553614 6720006.715812507, -49410.8778457653 6720006.8596814275, -49410.86179854948 6720006.859996766, -49408.08868259667 6720006.869972003, -49405.20556338925 6720006.959757722, -49405.20243396453 6720006.9598453725, -49399.17385353529 6720007.10981006, -49393.2852730055 6720007.28976668, -49393.2768604176 6720007.289952933, -49387.44686041761 6720007.369952933, -49387.43562188416 6720007.369980832, -49381.73658064069 6720007.3200767925, -49377.75753307002 6720007.459692497, -49377.72936410949 6720007.459886865, -49377.262139596976 6720007.449945918, -49371.368360228866 6720007.390009178, -49365.83745551809 6720007.409976344, -49360.50310411146 6720007.549828253, -49360.488284744264 6720007.549997058, -49354.66585913666 6720007.530023042, -49349.4634308524 6720007.669819579, -49349.45475037942 6720007.669977433, -49345.252330286414 6720007.709905415, -49342.749904527926 6720007.809603652, -49342.70129343598 6720007.809175253, -49339.57353354 6720007.6293040775, -49336.900485709346 6720007.4996413095, -49332.515200109585 6720007.369780916, -49332.4894065442 6720007.368349447, -49326.7194065442 6720006.898349447, -49326.70440877727 6720006.896900007, -49320.9078391161 6720006.24840254, -49315.010684598674 6720005.909714611, -49311.00005172095 6720005.829901022, -49310.97079523242 6720005.828460617, -49305.63079523241 6720005.408460617, -49305.609340285 6720005.406306759, -49300.209340285 6720004.746306759, -49300.18495846649 6720004.742714864, -49294.56495846649 6720003.772714864, -49294.5548834244 6720003.770869471, -49288.77710482517 6720002.651299915, -49283.13933002743 6720001.611710236, -49283.11449594266 6720001.606475912, -49279.53534019377 6720000.756676362, -49277.22618531666 6720000.216873924, -49277.1811958315 6720000.204110996, -49273.06696308022 6719998.826042743, -49267.5227755862 6719997.117833624, -49267.518470479525 6719997.116485891, -49262.07847047953 6719995.386485891, -49262.067754880816 6719995.382944522, -49256.2380355956 6719993.383040822, -49250.6783165501 6719991.483136832, -49250.659067948305 6719991.476115428, -49245.24906794831 6719989.376115428, -49245.24685574607 6719989.375250666, -49238.00685574607 6719986.525250666, -49237.98309852785 6719986.515183238, -49232.484888957544 6719984.01599707, -49227.29668580654 6719981.706796824, -49227.28661225099 6719981.702178801, -49222.843659203005 6719979.605504329, -49221.86080634627 6719979.178608644, -49221.850974405184 6719979.174211735, -49216.70097440519 6719976.804211735, -49216.69835401746 6719976.802996664, -49211.81835401746 6719974.522996665, -49211.810512202115 6719974.519249493, -49207.02602984048 6719972.181716531, -49206.12279507738 6719971.861213872, -49206.08704353372 6719971.846955876, -49202.32704353372 6719970.176955876, -49202.30964359846 6719970.168824081, -49198.98964359846 6719968.538824081, -49199.430356401535 6719967.641175918, -49202.74173453685 6719969.266942894, -49206.47535529359 6719970.925226581, -49207.38720492262 6719971.248786127, -49207.439487797885 6719971.270750507, -49212.24558318514 6719973.618842849, -49217.120337619985 6719975.896392051, -49222.264133283985 6719978.263536852, -49223.24919365373 6719978.691391356, -49223.263387749015 6719978.697821199, -49227.70837656829 6719980.795456371, -49232.89331419346 6719983.103203176, -49232.89690147215 6719983.104816761, -49238.38515278402 6719985.599476448, -49245.6120392824 6719988.444314366, -49251.011379695155 6719990.540176633, -49256.5616834499 6719992.436863168, -49256.56224511919 6719992.437055478, -49262.38690729174 6719994.435224319, -49267.819379997694 6719996.162830529, -49273.3672244138 6719997.872166376, -49273.3788041685 6719997.875889004, -49277.47660818151 6719999.248454426, -49279.76381468334 6719999.783126076, -49279.765504057345 6719999.783524088, -49283.33315345421 6720000.630591682, -49288.96066997258 6720001.668289764, -49288.96511657561 6720001.669130529, -49294.740088532926 6720002.788156237, -49300.34289488817 6720003.75518865, -49305.71995546687 6720004.412384944, -49311.03459763762 6720004.830390507, -49315.03994827905 6720004.910098978, -49315.05866897305 6720004.910822587, -49320.978668973046 6720005.250822587, -49321.00559122273 6720005.253099994, -49326.80810327425 6720005.902262272, -49332.557715156494 6720006.370601541, -49336.93479989041 6720006.500219084, -49336.94422524738 6720006.500587207, -49339.62422524738 6720006.630587207, -49339.62870656402 6720006.630824747, -49342.73441144976 6720006.809427584, -49345.220095472076 6720006.710396348, -49345.23524962058 6720006.710022567, -49349.44090869046 6720006.67006381, -49354.646569147604 6720006.530180421, -49354.66171525574 6720006.530002942, -49360.48430431732 6720006.549977519, -49365.816895888536 6720006.410171747, -49365.82819495757 6720006.410003258, -49371.36819495757 6720006.390003257, -49371.375084482905 6720006.390025852, -49377.2750844829 6720006.450025853, -49377.28063589051 6720006.450113135, -49377.73654866826 6720006.459813407, -49381.71246692998 6720006.320307503, -49381.73437811585 6720006.320019169, -49387.438758666525 6720006.369969961, -49393.25893255336 6720006.290104796, -49399.1447269945 6720006.11023332, -49399.14756603548 6720006.110154628, -49405.17600120072 6720005.960193554, -49408.06443661075 6720005.870242278, -49408.078201450524 6720005.870003235, -49410.85017532211 6720005.860032106, -49415.042154234696 6720005.710318573, -49415.08940854215 6720005.710865611, -49415.136400140895 6720005.715871455, -49415.18270925142 6720005.725291387, -49415.22792219096 6720005.739041257, -49415.27163506893 6720005.756998236, -49415.313457394885 6720005.779001915, -49415.35301556693 6720005.804855732, -49419.16999978811 6720008.565442232, -49423.47640663482 6720011.27688358, -49423.5354829891 6720011.320446547, -49427.09426674436 6720014.372252728, -49429.07115501075 6720015.716536749, -49428.50884498925 6720016.543463251, -49426.50884498925 6720015.18346325))</t>
  </si>
  <si>
    <t>['KV201 S2D1 m325-329']</t>
  </si>
  <si>
    <t>LINESTRING Z (-49402.77 6719992.12 41.176, -49400.54 6719991.15 41.346, -49398.66 6719990.59 41.446)</t>
  </si>
  <si>
    <t>['FV5224 S1D1 m881-923']</t>
  </si>
  <si>
    <t>LINESTRING Z (-49472.33 6720003.57 36.846, -49465.77 6720003.74 37.296, -49459.47 6720004 37.646, -49453.36 6720004.21 38.036, -49447.31 6720004.69 38.306, -49441.47 6720004.96 38.616, -49436.12 6720005.35 38.866, -49432.2 6720005.61 39.016)</t>
  </si>
  <si>
    <t>POLYGON ((-49465.7867861584 6720004.239732857, -49459.490617370335 6720004.499574743, -49459.48717480151 6720004.499704939, -49453.38837422598 6720004.709320016, -49447.34954515527 6720005.188433728, -49447.3330917724 6720005.189466486, -49441.499727211085 6720005.4591597095, -49436.15635213842 6720005.848676771, -49436.153090559135 6720005.8489038125, -49432.23309055913 6720006.108903813, -49432.166909440864 6720005.1110961875, -49436.08527818405 6720004.851204382, -49441.43364786158 6720004.461323229, -49441.4469082276 6720004.460533515, -49447.27867301147 6720004.190914253, -49453.320454844725 6720003.711566272, -49453.342825198495 6720003.710295061, -49459.45110371399 6720003.500354228, -49465.74938262966 6720003.240425257, -49465.7570470316 6720003.240167808, -49472.3170470316 6720003.070167808, -49472.3429529684 6720004.069832193, -49465.7867861584 6720004.239732857))</t>
  </si>
  <si>
    <t>['FV5224 S1D1 m986-1051']</t>
  </si>
  <si>
    <t>LINESTRING Z (-49581.32 6720056.98 25.936, -49579.89 6720054.84 26.166, -49578.55 6720053.19 26.266, -49575.77 6720049.83 26.596, -49571.9 6720046.44 26.876, -49568.07 6720042.92 27.336, -49563.27 6720039.18 27.776, -49559.91 6720036.64 28.166, -49556.15 6720033.65 28.536, -49554.27 6720032.25 28.696, -49550.13 6720029.24 29.246, -49546.71 6720026.72 29.586, -49542.06 6720023.69 30.166, -49537.94 6720020.88 30.716, -49534.47 6720018.88 31.136, -49530.84 6720016.7 31.436)</t>
  </si>
  <si>
    <t>POLYGON ((-49579.48720203539 6720055.137145146, -49578.16330944487 6720053.506978896, -49575.41035000593 6720050.179661013, -49571.570541334055 6720046.816107681, -49571.561659186606 6720046.808137874, -49567.746639303536 6720043.301905501, -49562.965569332264 6720039.576655148, -49559.60848270724 6720037.038857521, -49559.59879617168 6720037.03134662, -49555.84500480114 6720034.046283802, -49553.97365988546 6720032.652729077, -49549.835972236375 6720029.64441028, -49549.83340048094 6720029.642527919, -49546.42498007096 6720027.131060248, -49541.7870310149 6720024.1089127995, -49541.77826937024 6720024.1030712435, -49537.67391306009 6720021.303740847, -49534.22031891995 6720019.313196674, -49534.21257849156 6720019.3086422365, -49530.58257849156 6720017.128642237, -49531.097421508435 6720016.271357764, -49534.72357173901 6720018.44904578, -49538.18968108005 6720020.446803326, -49538.22173062976 6720020.466928757, -49542.33738054801 6720023.273961833, -49546.982968985096 6720026.301087201, -49547.00659951906 6720026.317472081, -49550.42531670217 6720028.836526847, -49554.56402776362 6720031.845589721, -49554.568633073046 6720031.848978445, -49556.44863307305 6720033.248978445, -49556.46120382832 6720033.25865338, -49560.21640660387 6720036.244838566, -49563.57151729276 6720038.781142479, -49563.57731150875 6720038.785589507, -49568.37731150875 6720042.525589507, -49568.408340813396 6720042.551862126, -49572.23394729994 6720046.067824224, -49576.09945866594 6720049.453892319, -49576.12849681434 6720049.48146014, -49576.1552359959 6720049.511263075, -49578.93523599591 6720052.871263076, -49578.93812894251 6720052.874792253, -49580.278128942504 6720054.524792252, -49580.30572603719 6720054.56220176, -49581.735726037194 6720056.70220176, -49580.904273962806 6720057.2577982405, -49579.48720203539 6720055.137145146))</t>
  </si>
  <si>
    <t>[5226]</t>
  </si>
  <si>
    <t>['FV5226 S1D1 m12-17']</t>
  </si>
  <si>
    <t>LINESTRING Z (-49869.2 6719838.99 3.626, -49870.39 6719840.27 3.636, -49871.6 6719841.27 3.596)</t>
  </si>
  <si>
    <t>['FV5224 S1D10 m240-294']</t>
  </si>
  <si>
    <t>LINESTRING Z (-49816.62 6719825.03 2.626, -49816.25 6719825.65 2.766, -49810.54 6719830.43 2.836, -49804.29 6719834.88 2.906, -49798.29 6719838.92 3.016, -49791.79 6719842.17 2.986, -49785.03 6719845.21 3.106, -49778.11 6719847.99 3.226, -49773.14 6719849.91 3.116)</t>
  </si>
  <si>
    <t>POLYGON ((-49816.679356291745 6719825.906228755, -49816.64805085028 6719825.952581428, -49816.61176403943 6719825.995147476, -49816.57094996722 6719826.033394208, -49810.860949967224 6719830.8133942075, -49810.83000229924 6719830.8373066, -49804.58000229924 6719835.2873066, -49804.56926136811 6719835.294744606, -49798.56926136811 6719839.334744606, -49798.51360679775 6719839.367213596, -49792.01360679775 6719842.617213596, -49791.99507013739 6719842.626011226, -49785.23507013739 6719845.666011226, -49785.21638871336 6719845.673960394, -49778.29638871336 6719848.4539603945, -49778.29018108147 6719848.456406238, -49773.32018108147 6719850.3764062375, -49772.95981891853 6719849.443593763, -49777.92670697304 6719847.524795963, -49784.834189866066 6719844.749824512, -49791.57557124876 6719841.718197381, -49798.03751769523 6719838.487224158, -49804.00531956932 6719834.468904229, -49810.23405590889 6719830.034043955, -49815.864070569885 6719825.321001911, -49816.19064370826 6719824.773771246, -49817.04935629175 6719825.286228755, -49816.679356291745 6719825.906228755))</t>
  </si>
  <si>
    <t>['KV201 S1D1 m147-154']</t>
  </si>
  <si>
    <t>LINESTRING Z (-49838.85 6719588.95 13.875, -49838.19 6719590.29 13.715, -49837.35 6719594.99 13.585, -49838.35 6719595.47 13.955)</t>
  </si>
  <si>
    <t>POLYGON Z ((-49838.85 6719588.95 13.875, -49838.19 6719590.29 13.715, -49837.35 6719594.99 13.585, -49838.35 6719595.47 13.955, -49838.85 6719588.95 13.875))</t>
  </si>
  <si>
    <t>['KV201 S1D1 m156-162']</t>
  </si>
  <si>
    <t>LINESTRING Z (-49841.17 6719581.59 14.365, -49839.24 6719585.62 13.965, -49839.11 6719587.26 13.985)</t>
  </si>
  <si>
    <t>['KV201 S1D1 m357-395']</t>
  </si>
  <si>
    <t>LINESTRING Z (-49909.11 6719360.74 25.195, -49906.62 6719365.35 25.025, -49904 6719370.45 24.915, -49901.29 6719375.81 24.825, -49898.38 6719381.27 24.665, -49895.61 6719386.79 24.555, -49893.13 6719391.64 24.395, -49891.81 6719394.81 24.255)</t>
  </si>
  <si>
    <t>POLYGON ((-49907.06238420806 6719365.583072753, -49904.445482315095 6719370.677042087, -49901.736210154515 6719376.035602522, -49901.731243564485 6719376.045168273, -49898.8241334893 6719381.49974594, -49896.0568892937 6719387.014254229, -49896.0551760036 6719387.0176363895, -49893.58407103259 6719391.8502408685, -49892.27158152963 6719395.002204296, -49891.34841847036 6719394.617795703, -49892.66841847036 6719391.447795703, -49892.684823996395 6719391.41236361, -49895.16396093278 6719386.564051457, -49897.9331107063 6719381.04574577, -49897.93875643551 6719381.034831726, -49900.846221585154 6719375.579587837, -49903.553789845486 6719370.224397478, -49903.55525480686 6719370.221523058, -49906.17525480686 6719365.121523057, -49906.180071242 6719365.112381212, -49908.670071242 6719360.502381213, -49909.549928758 6719360.977618787, -49907.06238420806 6719365.583072753))</t>
  </si>
  <si>
    <t>['KV201 S1D1 m420-432']</t>
  </si>
  <si>
    <t>LINESTRING Z (-49926.03 6719328.13 26.305, -49923.43 6719333.17 26.145, -49920.72 6719338.48 25.935)</t>
  </si>
  <si>
    <t>['KV201 S1D1 m435-456']</t>
  </si>
  <si>
    <t>LINESTRING Z (-49936.9 6719306.91 27.445, -49934.54 6719311.79 27.085, -49931.53 6719317.43 26.895, -49929.03 6719322.27 26.675, -49927.45 6719325.45 26.475)</t>
  </si>
  <si>
    <t>POLYGON ((-49934.990126279285 6719312.00768402, -49934.98111150325 6719312.025415891, -49931.97269473069 6719317.662449311, -49929.476033989165 6719322.495984507, -49927.89777541629 6719325.67247961, -49927.0022245837 6719325.22752039, -49928.582224583704 6719322.04752039, -49928.585762095674 6719322.040538272, -49931.085762095674 6719317.200538272, -49931.08888849675 6719317.194584109, -49934.094204713554 6719311.563360367, -49936.44987372072 6719306.69231598, -49937.350126279285 6719307.12768402, -49934.990126279285 6719312.00768402))</t>
  </si>
  <si>
    <t>['KV201 S1D1 m566-571']</t>
  </si>
  <si>
    <t>LINESTRING Z (-50000.14 6719209.7 30.215, -49999.28 6719212.47 29.965, -49998.27 6719214.69 29.865)</t>
  </si>
  <si>
    <t>['KV201 S1D1 m604-662']</t>
  </si>
  <si>
    <t>LINESTRING Z (-50035.02 6719124.63 32.525, -50032.64 6719124.43 32.485, -50030.66 6719124.71 32.635, -50029.5 6719124.79 33.105, -50027.12 6719130.66 32.725, -50024.61 6719136.12 32.475, -50022.99 6719139.79 32.295, -50022.89 6719139.96 32.265, -50020.32 6719145.41 31.965, -50017.71 6719150.6 31.715, -50015 6719155.88 31.475, -50011.79 6719161.9 31.285, -50009.1 6719167.32 31.175, -50006.64 6719172.17 31.125, -50004.9 6719175.73 31.045)</t>
  </si>
  <si>
    <t>POLYGON ((-50032.65424913454 6719124.932959712, -50030.73001050243 6719125.2050742665, -50030.69440104585 6719125.208815164, -50029.846002444996 6719125.2673254125, -50027.58336220552 6719130.847870877, -50027.574295756465 6719130.868842921, -50025.06588335785 6719136.325389414, -50023.4474182784 6719139.991912155, -50023.42096710753 6719140.043510064, -50023.33252076821 6719140.19386884, -50020.77223995754 6719145.623258108, -50020.766695991304 6719145.634639025, -50018.1566959913 6719150.824639024, -50018.154829763334 6719150.828312245, -50015.444829763335 6719156.108312245, -50015.44119675643 6719156.115256078, -50012.23462937463 6719162.128818583, -50009.54787270786 6719167.542283688, -50009.54591899689 6719167.546177471, -50007.0875911133 6719172.392880819, -50005.34921430688 6719175.949559802, -50004.45078569312 6719175.510440199, -50006.19078569312 6719171.950440198, -50006.19408100311 6719171.943822529, -50008.65309566171 6719167.095765174, -50011.34212729214 6719161.677716313, -50011.34880324357 6719161.664743923, -50014.55695953546 6719155.648201593, -50017.26422954531 6719150.37352054, -50019.8704599843 6719145.191016334, -50022.437760042456 6719139.746741892, -50022.45903289247 6719139.706489936, -50022.54430889039 6719139.56152074, -50024.152581721595 6719135.918087845, -50024.15570424354 6719135.911157079, -50026.66093137404 6719130.461539497, -50029.03663779448 6719124.602129123, -50029.05806391302 6719124.556135734, -50029.08404103721 6719124.512550651, -50029.114301657595 6719124.471822709, -50029.14853415387 6719124.434371319, -50029.18638600386 6719124.400582151, -50029.227467413664 6719124.3708031615, -50029.27135533181 6719124.345341012, -50029.3175978057 6719124.324457908, -50029.365718635796 6719124.308368902, -50029.4152222795 6719124.297239675, -50029.46559895416 6719124.291184836, -50030.607727209244 6719124.21241737, -50032.56998949757 6719123.934925733, -50032.62584039669 6719123.930200534, -50032.68186923393 6719123.931756116, -50035.06186923393 6719124.131756117, -50034.97813076607 6719125.128243883, -50032.65424913454 6719124.932959712))</t>
  </si>
  <si>
    <t>['KV201 S1D1 m663-686']</t>
  </si>
  <si>
    <t>LINESTRING Z (-50037.09 6719099.75 34.855, -50035.47 6719105.43 34.425, -50033.6 6719112.05 34.055, -50031.7 6719117.99 33.635, -50030.37 6719122.07 33.305)</t>
  </si>
  <si>
    <t>POLYGON ((-50035.95099929238 6719105.566528681, -50034.08117123888 6719112.185919972, -50034.07623068799 6719112.202329681, -50032.17623068799 6719118.142329682, -50032.17537984893 6719118.14496451, -50030.845379848935 6719122.22496451, -50029.89462015107 6719121.915035491, -50031.224191079265 6719117.836351741, -50033.12115840695 6719111.905832832, -50034.98882876112 6719105.294080027, -50034.989174189555 6719105.292863061, -50036.60917418955 6719099.612863061, -50037.57082581044 6719099.887136939, -50035.95099929238 6719105.566528681))</t>
  </si>
  <si>
    <t>['KV201 S1D1 m684-687']</t>
  </si>
  <si>
    <t>LINESTRING Z (-50040.07 6719099.21 34.445, -50039.72 6719100.41 34.225, -50039.85 6719101.8 34.015, -50040.9 6719103.67 33.425)</t>
  </si>
  <si>
    <t>POLYGON Z ((-50040.07 6719099.21 34.445, -50039.72 6719100.41 34.225, -50039.85 6719101.8 34.015, -50040.9 6719103.67 33.425, -50040.07 6719099.21 34.445))</t>
  </si>
  <si>
    <t>['KV201 S1D1 m772-797']</t>
  </si>
  <si>
    <t>LINESTRING Z (-50035.79 6718989.57 43.095, -50036.77 6718996.11 42.715, -50037.81 6719002.34 42.325, -50038.66 6719008.25 41.935, -50039.69 6719013.79 41.505)</t>
  </si>
  <si>
    <t>POLYGON ((-50037.26386171005 6718996.031782501, -50038.30317555023 6719002.257672139, -50038.304907532125 6719002.268820406, -50039.1534489552 6719008.168679006, -50040.181576153205 6719013.698605877, -50039.1984238468 6719013.881394123, -50038.1684238468 6719008.341394123, -50038.165092467876 6719008.321179594, -50037.31589556748 6719002.416763498, -50036.276824449764 6718996.192327861, -50036.275520737385 6718996.184096281, -50035.29552073739 6718989.644096281, -50036.28447926261 6718989.495903719, -50037.26386171005 6718996.031782501))</t>
  </si>
  <si>
    <t>['KV201 S1D1 m801-871']</t>
  </si>
  <si>
    <t>LINESTRING Z (-50023.93 6718915.68 46.265, -50023.73 6718920.98 46.335, -50024.95 6718928.42 46.105, -50026.07 6718935.29 45.835, -50027.34 6718942.5 45.605, -50028.84 6718949.45 45.345, -50029.86 6718956.96 45.105, -50031.16 6718964.05 44.685, -50032.47 6718971.68 44.205, -50033.61 6718978.25 43.795, -50035.13 6718984.49 43.335)</t>
  </si>
  <si>
    <t>POLYGON ((-50024.23153852209 6718920.948659771, -50025.44341036083 6718928.339091312, -50026.562972200685 6718935.206402336, -50027.83076190021 6718942.403854094, -50029.32874630828 6718949.344515186, -50029.335451143976 6718949.382708367, -50030.35389139369 6718956.881224323, -50031.651801227985 6718963.959824881, -50031.65278959991 6718963.965392611, -50032.962714626345 6718971.594955932, -50034.09976857751 6718978.147977388, -50035.61579511815 6718984.371665292, -50034.64420488184 6718984.608334708, -50033.124204881846 6718978.368334708, -50033.117361139106 6718978.335480715, -50031.97736113911 6718971.765480715, -50031.977210400095 6718971.7646073885, -50030.66768884294 6718964.137394045, -50029.36819877202 6718957.050175119, -50029.36454885602 6718957.027291633, -50028.34716020346 6718949.536518319, -50026.85125369171 6718942.605484814, -50026.84758074322 6718942.586736818, -50025.57758074322 6718935.376736818, -50025.57651492277 6718935.370451716, -50024.456552160984 6718928.500680132, -50023.23658963917 6718921.060908688, -50023.23097334354 6718921.011183267, -50023.23035561883 6718920.961145495, -50023.430355618824 6718915.661145494, -50024.429644381176 6718915.698854505, -50024.23153852209 6718920.948659771))</t>
  </si>
  <si>
    <t>['FV560 S2D1 m2967 KD1 m9-40']</t>
  </si>
  <si>
    <t>LINESTRING Z (-48664.75 6720195.1 7.235, -48667.33 6720194.79 7.285, -48669.24 6720195.84 7.325, -48670.18 6720198.01 7.305, -48669.76 6720200.14 7.265, -48668.27 6720201.65 7.255, -48666.02 6720202.06 7.215, -48664.06 6720201.11 7.195, -48662.86 6720199.04 7.235, -48663.21 6720196.64 7.245)</t>
  </si>
  <si>
    <t>POLYGON Z ((-48664.75 6720195.1 7.235, -48667.33 6720194.79 7.285, -48669.24 6720195.84 7.325, -48670.18 6720198.01 7.305, -48669.76 6720200.14 7.265, -48668.27 6720201.65 7.255, -48666.02 6720202.06 7.215, -48664.06 6720201.11 7.195, -48662.86 6720199.04 7.235, -48663.21 6720196.64 7.245, -48664.75 6720195.1 7.235))</t>
  </si>
  <si>
    <t>2025-11-22T09:15:52Z</t>
  </si>
  <si>
    <t>['FV560 S2D1 m3009 SD1 m4-53']</t>
  </si>
  <si>
    <t>LINESTRING Z (-48660.62 6720173.48 6.885, -48660.64 6720177.08 6.955, -48660.07 6720181.09 6.975, -48658.77 6720184.36 6.965, -48656.55 6720187.67 7.005, -48653.85 6720190.06 7.115, -48651.11 6720191.39 7.225, -48648.96 6720191.29 7.295, -48646.91 6720190.39 7.335, -48645.58 6720188.82 7.365, -48645.1 6720187.62 7.345)</t>
  </si>
  <si>
    <t>POLYGON ((-48661.13999228413 6720177.077222265, -48661.135024005096 6720177.150365008, -48660.565024005096 6720181.160365008, -48660.55322105404 6720181.218442255, -48660.53462927941 6720181.274715004, -48659.23462927941 6720184.544715004, -48659.212432807944 6720184.592923186, -48659.18525151308 6720184.638507058, -48656.96525151309 6720187.9485070575, -48656.94006177982 6720187.982812736, -48656.91204581161 6720188.014851896, -48656.88140660085 6720188.044392394, -48654.181406600845 6720190.434392394, -48654.14605713182 6720190.462927009, -48654.10826364087 6720190.488135366, -48654.0683381222 6720190.509809364, -48651.3283381222 6720191.839809364, -48651.282493506864 6720191.859303729, -48651.23493654209 6720191.874139299, -48651.18613932774 6720191.8841688, -48651.13658627554 6720191.8892926695, -48651.08676930041 6720191.889460043, -48648.93676930041 6720191.789460043, -48648.89107968471 6720191.78522721, -48648.84597050427 6720191.7768236585, -48648.80182166102 6720191.764320159, -48648.75900496891 6720191.747822016, -48646.709004968914 6720190.847822015, -48646.66829536585 6720190.827697235, -48646.62957961177 6720190.80396184, -48646.59317707749 6720190.776811628, -48646.5593880517 6720190.746470562, -48646.52849126377 6720190.7131889295, -48645.19849126377 6720189.14318893, -48645.1660343142 6720189.100414713, -48645.138351361245 6720189.054406655, -48645.115761654546 6720189.005695338, -48644.63576165454 6720187.805695338, -48645.564238345454 6720187.434304662, -48646.01404974684 6720188.558833166, -48647.21681063921 6720189.978633617, -48649.07597889241 6720190.794853826, -48651.00612877074 6720190.884628239, -48653.56995458314 6720189.640143447, -48656.17051417625 6720187.3381666215, -48658.325060660696 6720184.125757224, -48659.583360521385 6720180.960649112, -48660.139803527105 6720177.046023757, -48660.12000771587 6720173.482777735, -48661.11999228413 6720173.477222266, -48661.13999228413 6720177.077222265))</t>
  </si>
  <si>
    <t>['FV560 S2D1 m3009 SD1 m39-71']</t>
  </si>
  <si>
    <t>LINESTRING Z (-48659.67 6720168.72 6.955, -48658.92 6720167.54 6.975, -48657.23 6720165.89 6.985, -48654.8 6720164.54 6.955, -48653.13 6720164.15 7.035, -48650.04 6720164.17 7.135, -48647.84 6720164.8 7.225, -48645.96 6720166.11 7.295, -48643.98 6720168.51 7.365, -48642.99 6720171.01 7.435)</t>
  </si>
  <si>
    <t>POLYGON Z ((-48659.67 6720168.72 6.955, -48658.92 6720167.54 6.975, -48657.23 6720165.89 6.985, -48654.8 6720164.54 6.955, -48653.13 6720164.15 7.035, -48650.04 6720164.17 7.135, -48647.84 6720164.8 7.225, -48645.96 6720166.11 7.295, -48643.98 6720168.51 7.365, -48642.99 6720171.01 7.435, -48659.67 6720168.72 6.955))</t>
  </si>
  <si>
    <t>['FV5224 S1D1 m258-272']</t>
  </si>
  <si>
    <t>LINESTRING Z (-48923.27 6720166.05 15.106, -48922.23 6720165.42 15.036, -48921.24 6720164.97 15.046, -48919.53 6720165.93 13.626, -48917.8 6720166.44 12.866, -48916.22 6720166.79 12.086, -48915.52 6720166.92 12.176, -48912.29 6720167.51 11.686, -48909.19 6720167.49 12.836, -48906.75 6720167.51 13.686)</t>
  </si>
  <si>
    <t>['FV5224 S1D1 m277-304']</t>
  </si>
  <si>
    <t>LINESTRING Z (-48948 6720141.49 17.575, -48945.83 6720143.75 17.655, -48944.08 6720145.85 18.306, -48941.7 6720148.35 18.586, -48939.17 6720151.02 18.616, -48936.72 6720153.84 18.566, -48933.6 6720157.88 17.796, -48932.8 6720161.55 17.206)</t>
  </si>
  <si>
    <t>POLYGON ((-48946.20284729217 6720144.083608218, -48944.464110639776 6720146.1700922, -48944.44213785491 6720146.194755238, -48942.06253977564 6720148.694333052, -48939.54036629677 6720151.356073443, -48937.10690964454 6720154.157031712, -48934.064547859234 6720158.096500178, -48933.288528034376 6720161.656491124, -48932.31147196563 6720161.443508876, -48933.111471965625 6720157.773508876, -48933.12281036707 6720157.73070146, -48933.13789190944 6720157.689065161, -48933.15659829097 6720157.648926582, -48933.17878277623 6720157.610600575, -48933.20427134711 6720157.574387773, -48936.32427134711 6720153.534387773, -48936.342553199516 6720153.512076361, -48938.79255319951 6720150.692076361, -48938.80705937958 6720150.676089973, -48941.33705937958 6720148.006089973, -48941.33786214509 6720148.005244762, -48943.70646820117 6720145.51721319, -48945.44588936023 6720143.4299078, -48945.46933823143 6720143.403700869, -48947.63933823143 6720141.143700869, -48948.36066176857 6720141.836299132, -48946.20284729217 6720144.083608218))</t>
  </si>
  <si>
    <t>['FV5224 S1D1 m425-499']</t>
  </si>
  <si>
    <t>LINESTRING Z (-49075.06 6720001.09 31.525, -49074.37 6719998.03 31.315, -49073.31 6719996.07 31.165, -49071.56 6719995.19 31.025, -49069.84 6719995.47 30.865, -49065.95 6719997.09 30.705, -49060.94 6720000.47 30.505, -49056.84 6720004.04 30.325, -49053.18 6720007.26 30.175, -49048.67 6720011.27 29.965, -49043.76 6720015.99 29.605, -49039.65 6720019.92 29.375, -49034.92 6720024.64 28.985, -49029.84 6720030.1 28.465, -49025.15 6720035.1 27.985, -49020.75 6720040.04 27.575, -49018.61 6720042.86 27.385)</t>
  </si>
  <si>
    <t>POLYGON ((-49073.89740823199 6719998.207223181, -49072.94496138943 6719996.446095057, -49071.48026497409 6719995.709562003, -49069.97815089386 6719995.954092201, -49066.18827911674 6719997.532393558, -49061.24513910015 6720000.867286423, -49057.16930588203 6720004.416243641, -49053.51125284623 6720007.634530737, -49049.00950019586 6720011.637197727, -49044.1065103415 6720016.350458851, -49044.10555142747 6720016.351378211, -49039.99940495858 6720020.277693448, -49035.27974440872 6720024.987375856, -49030.20606226549 6720030.440585404, -49030.2046776093 6720030.442067597, -49025.51908551976 6720035.437368332, -49021.1364297509 6720040.357895492, -49019.008298728106 6720043.162255064, -49018.211701271895 6720042.557744937, -49020.351701271895 6720039.737744937, -49020.376629128645 6720039.707442949, -49024.776629128646 6720034.767442948, -49024.7853223907 6720034.757932402, -49029.474628601965 6720029.758672049, -49034.553937734505 6720024.299414596, -49034.56682093773 6720024.286072677, -49039.296820937736 6720019.566072677, -49039.30444857253 6720019.558621789, -49043.413968556255 6720015.629080784, -49048.3234896585 6720010.909541149, -49048.33776665885 6720010.896341055, -49052.84776665885 6720006.886341055, -49052.84973229836 6720006.88460255, -49056.50973229836 6720003.664602551, -49056.51166024231 6720003.662915125, -49060.61166024231 6720000.092915124, -49060.66036304468 6720000.055508536, -49065.67036304467 6719996.675508536, -49065.71289825349 6719996.649792365, -49065.75777656398 6719996.628426441, -49069.64777656398 6719995.008426441, -49069.70278742979 6719994.989195767, -49069.75966219914 6719994.976496365, -49071.47966219914 6719994.696496366, -49071.53160321786 6719994.690807029, -49071.5838543565 6719994.690569355, -49071.635844982855 6719994.695785939, -49071.6870073098 6719994.7063998105, -49071.73678259603 6719994.722295057, -49071.78462724789 6719994.743298087, -49073.53462724789 6719995.623298087, -49073.57874065666 6719995.648362171, -49073.62008689531 6719995.677767777, -49073.65824022983 6719995.711212121, -49073.6928078028 6719995.7483508345, -49073.72343367869 6719995.788801506, -49073.74980250872 6719995.832147623, -49074.809802508724 6719997.792147623, -49074.8296620343 6719997.83324936, -49074.84569027017 6719997.875991018, -49074.85775362082 6719997.920016341, -49075.54775362081 6720000.9800163405, -49074.57224637918 6720001.199983659, -49073.89740823199 6719998.207223181))</t>
  </si>
  <si>
    <t>['FV5224 S1D1 m487-523']</t>
  </si>
  <si>
    <t>LINESTRING Z (-49082.91 6719968.75 31.935, -49083.23 6719969.56 31.975, -49082.45 6719971.21 31.885, -49078.09 6719974.32 31.905, -49072.86 6719978.35 31.665, -49067.58 6719982.46 31.455, -49062.57 6719986.51 31.325, -49058.23 6719990.1 31.125, -49055.64 6719991.98 30.945, -49055.23 6719992.06 30.875)</t>
  </si>
  <si>
    <t>POLYGON ((-49083.69502599495 6719969.376286026, -49083.71134641148 6719969.424701692, -49083.72264073847 6719969.4745301055, -49083.72879104358 6719969.525250973, -49083.72973310697 6719969.57633468, -49083.725457091874 6719969.627247825, -49083.71600764729 6719969.677458787, -49083.701483441764 6719969.726443276, -49083.68203613327 6719969.773689808, -49082.902036133266 6719971.423689809, -49082.877948488385 6719971.468573184, -49082.84941919711 6719971.510772846, -49082.8167443628 6719971.549850809, -49082.78026311517 6719971.585401485, -49082.74035409062 6719971.617055896, -49078.387870913175 6719974.721694126, -49073.16615690167 6719978.745309319, -49067.89075456735 6719982.851730455, -49062.88652213887 6719986.897068047, -49058.548693008335 6719990.485272327, -49058.5237141485 6719990.504638108, -49055.933714148494 6719992.384638109, -49055.88804216683 6719992.414137172, -49055.83943721104 6719992.43850278, -49055.78847401027 6719992.457446823, -49055.73575517872 6719992.470745296, -49055.325755178725 6719992.550745295, -49055.13424482128 6719991.569254704, -49055.43574668103 6719991.510425073, -49057.92349022508 6719989.704649836, -49062.25130699167 6719986.124727672, -49062.25566888346 6719986.121160767, -49067.26566888346 6719982.071160767, -49067.27287451599 6719982.065444633, -49072.55287451599 6719977.955444633, -49072.554815349446 6719977.953941507, -49077.78481534944 6719973.923941508, -49077.79964590937 6719973.9129441045, -49082.053622414955 6719970.878570954, -49082.68536257456 6719969.5421975395, -49082.444974005055 6719968.9337139735, -49083.37502599495 6719968.5662860265, -49083.69502599495 6719969.376286026))</t>
  </si>
  <si>
    <t>['KV201 S2D1 m335-360']</t>
  </si>
  <si>
    <t>LINESTRING Z (-49433.99 6719991.44 39.196, -49432.19 6719993 39.236, -49432.11 6719993.88 39.186, -49428.97 6719994.06 39.526, -49425.17 6719993.58 39.736, -49421.1 6719993.02 40.046, -49417.74 6719992.54 40.076, -49415.32 6719992.38 40.346, -49412.17 6719992.01 40.536, -49409.13 6719991.99 40.766)</t>
  </si>
  <si>
    <t>POLYGON ((-49432.66970717773 6719993.245901554, -49432.60794660323 6719993.925267873, -49432.600784227194 6719993.975555441, -49432.58855668489 6719994.0248568235, -49432.571390171324 6719994.072663203, -49432.549461854476 6719994.118481191, -49432.52299804677 6719994.161837921, -49432.49227186943 6719994.202285926, -49432.4576004337 6719994.239407761, -49432.41934156809 6719994.272820308, -49432.37789012538 6719994.30217873, -49432.33367390752 6719994.3271800345, -49432.28714925048 6719994.347566191, -49432.23879631461 6719994.363126804, -49432.18911412911 6719994.373701281, -49432.13861544176 6719994.379180484, -49428.998615441764 6719994.559180484, -49428.95290629185 6719994.559707719, -49428.90734001832 6719994.556058188, -49425.107340018316 6719994.076058188, -49425.10184603801 6719994.075333259, -49421.03184603801 6719993.515333259, -49421.02928932195 6719993.514974747, -49417.68807704043 6719993.037658707, -49415.28701416538 6719992.878910748, -49415.26167084437 6719992.876586054, -49412.13909674731 6719992.509807509, -49409.12671059757 6719992.48998918, -49409.13328940242 6719991.49001082, -49412.173289402424 6719991.51001082, -49412.22832915563 6719991.513413945, -49415.365687082776 6719991.881929004, -49417.77298583462 6719992.041089252, -49417.810710678044 6719992.045025253, -49421.16943286992 6719992.524842708, -49425.2354090197 6719993.084289059, -49428.987165445484 6719993.558195133, -49431.65107568985 6719993.405486902, -49431.69205339677 6719992.954732127, -49431.698662564944 6719992.907331101, -49431.70977344207 6719992.8607791215, -49431.7252842286 6719992.815502705, -49431.74505281236 6719992.771916682, -49431.76889807052 6719992.730420392, -49431.79660152918 6719992.691394033, -49431.827909365005 6719992.655195168, -49431.86253473084 6719992.622155459, -49433.662534730836 6719991.062155459, -49434.31746526916 6719991.817844542, -49432.66970717773 6719993.245901554))</t>
  </si>
  <si>
    <t>['KV201 S2D1 m402-427']</t>
  </si>
  <si>
    <t>LINESTRING Z (-49501.18 6719993.71 35.376, -49495.21 6719992.87 35.896, -49489.85 6719991.92 36.286, -49484.32 6719991.3 36.546, -49481.2 6719991.04 36.716, -49479.65 6719989.95 36.776, -49480.44 6719986.42 36.476, -49482.99 6719983.22 35.896, -49486.49 6719980.12 35.116, -49489.32 6719978.97 34.606)</t>
  </si>
  <si>
    <t>POLYGON Z ((-49501.18 6719993.71 35.376, -49495.21 6719992.87 35.896, -49489.85 6719991.92 36.286, -49484.32 6719991.3 36.546, -49481.2 6719991.04 36.716, -49479.65 6719989.95 36.776, -49480.44 6719986.42 36.476, -49482.99 6719983.22 35.896, -49486.49 6719980.12 35.116, -49489.32 6719978.97 34.606, -49501.18 6719993.71 35.376))</t>
  </si>
  <si>
    <t>['FV5224 S1D1 m1185-1237']</t>
  </si>
  <si>
    <t>LINESTRING Z (-49700.64 6720003.05 11.606, -49700.3 6720006.6 13.736, -49699.4 6720013.6 14.126, -49698.48 6720020.28 14.486, -49697.56 6720026.71 14.826, -49696.65 6720033.53 15.096, -49695.59 6720039.86 15.296, -49693.86 6720045.71 15.516, -49693.03 6720047.98 15.596, -49692.47 6720048.59 15.596, -49691.74 6720048.83 15.566, -49691.04 6720048.75 15.536)</t>
  </si>
  <si>
    <t>POLYGON ((-49700.79772246082 6720006.647669193, -49700.795917887655 6720006.663760871, -49699.895917887654 6720013.663760871, -49699.89532439816 6720013.66821833, -49698.97532439816 6720020.34821833, -49698.97495933979 6720020.350818444, -49698.055294568294 6720026.778475488, -49697.14560760136 6720033.59612946, -49697.14313365072 6720033.612578463, -49696.08313365072 6720039.942578463, -49696.06947340684 6720040.001792991, -49694.33947340684 6720045.85179299, -49694.32959397844 6720045.881701763, -49693.499593978435 6720048.151701763, -49693.48053277166 6720048.196841467, -49693.457144787826 6720048.239898693, -49693.42965463792 6720048.280459932, -49693.39832632889 6720048.318135647, -49692.83832632889 6720048.9281356465, -49692.80194660819 6720048.963913692, -49692.7621099257 6720048.995797722, -49692.71923114895 6720049.023455689, -49692.67375682654 6720049.046599557, -49692.626160537606 6720049.064988301, -49691.8961605376 6720049.304988301, -49691.84412163628 6720049.319038531, -49691.79087265149 6720049.32740524, -49691.73703243365 6720049.3299911935, -49691.683226704365 6720049.326766336, -49690.98322670437 6720049.246766336, -49691.096773295634 6720048.253233664, -49691.68792034457 6720048.320793327, -49692.18990230696 6720048.155758161, -49692.59451068657 6720047.715024034, -49693.384995036955 6720045.553096954, -49695.10189391378 6720039.747398441, -49696.15549254844 6720033.455625461, -49697.06439239864 6720026.64387054, -49697.065040660214 6720026.639181556, -49697.98485471945 6720020.210481121, -49698.90436883453 6720013.534009067, -49699.803049525864 6720006.544270357, -49700.142277539184 6720003.002330806, -49701.137722460815 6720003.0976691935, -49700.79772246082 6720006.647669193))</t>
  </si>
  <si>
    <t>['FV5224 S1D1 m1175-1200']</t>
  </si>
  <si>
    <t>LINESTRING Z (-49707.05 6720041.25 15.666, -49706.09 6720042.87 15.596, -49705.02 6720047.54 15.836, -49704.14 6720050.1 15.786, -49703.63 6720055.04 15.846, -49701.94 6720059.63 16.176, -49700.8 6720063.45 16.326, -49700.03 6720065.72 16.396, -49699.46 6720066.29 16.546, -49699.3 6720067.85 16.626, -49700.68 6720069.37 16.646, -49702.16 6720070.84 16.476)</t>
  </si>
  <si>
    <t>POLYGON ((-49706.55993846148 6720043.057751023, -49705.507370892774 6720047.651667421, -49705.49284329964 6720047.7025398845, -49704.631471787055 6720050.20834792, -49704.127356546414 6720055.0913465265, -49704.1213593388 6720055.132552689, -49704.11195423131 6720055.173116937, -49704.09920645447 6720055.212757932, -49702.41463052625 6720059.788026282, -49701.279119767205 6720063.5929833865, -49701.273500682175 6720063.610614769, -49700.50350068217 6720065.880614769, -49700.48680878851 6720065.923287311, -49700.46628049564 6720065.964252593, -49700.44208820549 6720066.003166578, -49700.41443509121 6720066.039702456, -49700.38355339068 6720066.07355339, -49699.9392533903 6720066.51785339, -49699.82015298492 6720067.679082342, -49701.04151246259 6720069.024347855, -49702.51235288007 6720070.485250161, -49701.80764711994 6720071.194749839, -49700.327647119935 6720069.724749839, -49700.309809638806 6720069.70609388, -49698.92980963881 6720068.18609388, -49698.900118741876 6720068.150158257, -49698.87390348237 6720068.111613756, -49698.851391714634 6720068.0707953945, -49698.83277910363 6720068.028057951, -49698.818227424075 6720067.983772886, -49698.80786315443 6720067.938325111, -49698.80177637753 6720067.892109643, -49698.80001999765 6720067.8455281705, -49698.8026092807 6720067.798985567, -49698.962609280694 6720066.238985567, -49698.96994739934 6720066.19076065, -49698.98194982028 6720066.143480289, -49698.99850230492 6720066.097594498, -49699.019447307335 6720066.053540014, -49699.04458547377 6720066.011736148, -49699.0736775401 6720065.972580787, -49699.106446609316 6720065.93644661, -49699.59396820038 6720065.448925018, -49700.32352661141 6720063.2981489245, -49701.4608802328 6720059.487016614, -49701.47079354553 6720059.457242068, -49703.13909316648 6720054.926179784, -49703.64264345358 6720050.048653473, -49703.65172453882 6720049.992356728, -49703.66715670036 6720049.937460115, -49704.53854528406 6720047.402511508, -49705.60262910722 6720042.758332579, -49705.61673223429 6720042.708700211, -49705.635875228014 6720042.660785537, -49705.65985423317 6720042.615098805, -49706.61985423318 6720040.995098805, -49707.48014576683 6720041.504901195, -49706.55993846148 6720043.057751023))</t>
  </si>
  <si>
    <t>['FV5224 S1D1 m1378-1473']</t>
  </si>
  <si>
    <t>LINESTRING Z (-49830.3 6719823.39 3.246, -49830.69 6719824.43 3.336, -49829.5 6719829.66 3.446, -49827.11 6719837.38 3.596, -49822.62 6719841.36 3.936, -49817.92 6719844.4 4.226, -49812.95 6719846.79 4.496, -49807.18 6719847.91 4.716, -49801.77 6719848.69 4.956, -49797.09 6719849.8 5.116, -49791.68 6719852.03 5.406, -49786.25 6719854.51 5.686, -49781.04 6719857.04 6.016, -49780.2 6719855.42 6.056, -49777.29 6719856.86 6.046, -49777.89 6719858.38 6.076, -49773.54 6719860.25 6.066, -49768.38 6719862.91 5.936, -49763.63 6719865.16 5.586, -49758.09 6719867.76 5.136, -49753.75 6719869.76 4.786, -49750.37 6719871.23 4.346)</t>
  </si>
  <si>
    <t>POLYGON ((-49831.158164588785 6719824.254438279, -49831.17297730681 6719824.300644207, -49831.18324152919 6719824.348068358, -49831.18886059151 6719824.39626411, -49831.189781575595 6719824.444777574, -49831.18599580795 6719824.493151868, -49831.1775389415 6719824.540931422, -49829.987538941496 6719829.770931423, -49829.97763462274 6719829.80786875, -49827.58763462274 6719837.52786875, -49827.57224275237 6719837.570608598, -49827.55303533734 6719837.611775084, -49827.53017092368 6719837.651028402, -49827.50383824382 6719837.688044539, -49827.47425465869 6719837.722517947, -49827.44166436347 6719837.754164068, -49822.95166436347 6719841.7341640685, -49822.92247111483 6719841.758134682, -49822.89155155949 6719841.779833004, -49818.19155155949 6719844.819833004, -49818.136689702966 6719844.850605784, -49813.166689702965 6719847.240605784, -49813.12741579641 6719847.257465117, -49813.08684556437 6719847.270908819, -49813.045275441815 6719847.28083866, -49807.27527544182 6719848.40083866, -49807.25135094799 6719848.404882858, -49801.86355777519 6719849.181681134, -49797.24392760709 6719850.2773626475, -49791.879204007535 6719852.488699732, -49786.46309653949 6719854.962354708, -49781.25841206625 6719857.489773464, -49781.21404518242 6719857.508730493, -49781.16805773652 6719857.523323097, -49781.1208779249 6719857.533415404, -49781.07294504621 6719857.538913444, -49781.024705411015 6719857.539766021, -49780.976608186145 6719857.535965199, -49780.929101212416 6719857.527546366, -49780.88262683473 6719857.514587913, -49780.83761778332 6719857.497210497, -49780.79449314453 6719857.475575922, -49780.75365445867 6719857.449885632, -49780.71548198114 6719857.420378831, -49780.680331141884 6719857.387330265, -49780.64852923591 6719857.351047651, -49780.62037237573 6719857.311868823, -49780.59612273427 6719857.270158582, -49779.98198613959 6719856.085752293, -49777.92392858209 6719857.104172528, -49778.35507761065 6719858.196416733, -49778.370574162735 6719858.24198379, -49778.38161771478 6719858.288829706, -49778.38810593739 6719858.3365204055, -49778.38997871067 6719858.384613987, -49778.38721868152 6719858.432664815, -49778.37985142437 6719858.480227651, -49778.36794520421 6719858.5268617775, -49778.35161034408 6719858.572135083, -49778.33099820278 6719858.615628066, -49778.30629977239 6719858.656937717, -49778.27774390856 6719858.695681266, -49778.24559520991 6719858.731499711, -49778.21015156626 6719858.764061159, -49778.171741398386 6719858.793063899, -49778.13072061488 6719858.818239188, -49778.08746931429 6719858.839353752, -49773.753546956825 6719860.702442214, -49768.609102041126 6719863.354423508, -49768.594043172365 6719863.36186892, -49763.844043172365 6719865.61186892, -49763.84242624101 6719865.612631299, -49758.30242624101 6719868.212631298, -49758.29926364537 6719868.21410211, -49753.959263645374 6719870.21410211, -49753.94941265815 6719870.218513458, -49750.56941265815 6719871.688513459, -49750.170587341854 6719870.771486542, -49753.54563803753 6719869.30363905, -49757.87915242399 6719867.306627812, -49763.416764617476 6719864.707748443, -49768.15836486212 6719862.461727275, -49773.31089795887 6719859.805576492, -49773.34253068571 6719859.790646248, -49777.246772775616 6719858.112270912, -49776.82492238935 6719857.043583267, -49776.809034143516 6719856.99664496, -49776.797870215894 6719856.948364448, -49776.79154026475 6719856.899215971, -49776.79010646644 6719856.849682292, -49776.79358290454 6719856.80024996, -49776.801935431504 6719856.751404527, -49776.81508200411 6719856.703625779, -49776.8328934893 6719856.657383027, -49776.855194932614 6719856.613130494, -49776.88176727668 6719856.571302852, -49776.91234951295 6719856.532310956, -49776.94664124544 6719856.496537807, -49776.9843056414 6719856.46433479, -49777.02497273987 6719856.436018218, -49777.068243085545 6719856.411866236, -49779.97824308554 6719854.971866235, -49780.02268517462 6719854.952496574, -49780.068794223684 6719854.9375219755, -49780.11613675558 6719854.927083216, -49780.16426769693 6719854.921278432, -49780.212734562374 6719854.920162195, -49780.261081708515 6719854.923745, -49780.30885461745 6719854.931993163, -49780.35560416974 6719854.944829144, -49780.400890866666 6719854.962132269, -49780.44428896202 6719854.983739868, -49780.485390464564 6719855.009448806, -49780.523808973645 6719855.03901739, -49780.55918331179 6719855.072167643, -49780.59118092015 6719855.108587913, -49780.61950098501 6719855.14793581, -49780.64387726573 6719855.189841418, -49781.259690783634 6719856.3774817735, -49786.03158793375 6719854.060226535, -49786.04227848786 6719854.055190398, -49791.47227848786 6719851.575190399, -49791.48945320531 6719851.567731768, -49796.899453205304 6719849.337731767, -49796.93655309709 6719849.324128118, -49796.9746113947 6719849.313496691, -49801.6546113947 6719848.203496692, -49801.69864905201 6719848.195117143, -49807.096637736 6719847.4168489035, -49812.79142309359 6719846.311448626, -49817.67490959313 6719843.963051698, -49822.31666326382 6719840.960725919, -49826.67371227919 6719837.098575567, -49829.01670641952 6719829.530410394, -49830.16920692591 6719824.465219093, -49829.83183541122 6719823.56556172, -49830.768164588786 6719823.214438279, -49831.158164588785 6719824.254438279))</t>
  </si>
  <si>
    <t>['FV5224 S1D1 m1479-1505']</t>
  </si>
  <si>
    <t>LINESTRING Z (-49847.98 6719791.37 4.196, -49847.5 6719796.91 4.046, -49846.72 6719802.47 3.876, -49845.14 6719808.37 3.676, -49843.75 6719808.35 3.756, -49842.67 6719809.45 3.746, -49839.86 6719815.32 3.636, -49838.23 6719815.84 3.496, -49836.72 6719815.56 3.356, -49833.91 6719814.16 3.016)</t>
  </si>
  <si>
    <t>POLYGON ((-49847.99813376573 6719796.953159604, -49847.99515128855 6719796.97946367, -49847.215151288554 6719802.53946367, -49847.20298133185 6719802.599340763, -49845.62298133185 6719808.499340763, -49845.60733497333 6719808.547758327, -49845.5868487648 6719808.594334976, -49845.56173486715 6719808.63858835, -49845.532253366844 6719808.680060149, -49845.49870958242 6719808.71832088, -49845.46145090257 6719808.752974303, -49845.420863188476 6719808.78366154, -49845.37736677769 6719808.810064782, -49845.331412131054 6719808.831910593, -49845.28347516756 6719808.84897273, -49845.23405233565 6719808.861074493, -49845.18365547179 6719808.868090554, -49845.132806499816 6719808.869948251, -49843.95682630929 6719808.8530276725, -49843.08506721436 6719809.740930455, -49840.310989069854 6719815.535890849, -49840.286678098055 6719815.580664153, -49840.25793706035 6719815.622731063, -49840.225064366154 6719815.6616548095, -49840.1884013224 6719815.6970312605, -49840.14832859004 6719815.728493114, -49840.10526223179 6719815.755713711, -49840.0596493922 6719815.778410428, -49840.01196365524 6719815.7963476125, -49838.38196365524 6719816.316347612, -49838.33441588014 6719816.32897579, -49838.285857250026 6719816.336870172, -49838.23675786323 6719816.339954329, -49838.18759305325 6719816.338198405, -49838.13883878691 6719816.331619399, -49836.628838786906 6719816.051619398, -49836.583598021214 6719816.041034821, -49836.539535092124 6719816.02629649, -49836.49703048495 6719816.007531669, -49833.68703048495 6719814.60753167, -49834.132969515056 6719813.712468331, -49836.88015918299 6719815.081174926, -49838.19768086667 6719815.325483583, -49839.50226904076 6719814.909295945, -49842.219010930145 6719809.234109151, -49842.24541539877 6719809.18593956, -49842.27694461311 6719809.140957183, -49842.31321801472 6719809.09970496, -49843.393218014724 6719807.99970496, -49843.43040203956 6719807.965478032, -49843.47085124888 6719807.9351795865, -49843.5141523918 6719807.90911917, -49843.55986308058 6719807.887563029, -49843.60751631027 6719807.870731392, -49843.65662522987 6719807.858796221, -49843.70668811629 6719807.851879451, -49843.75719350018 6719807.850051749, -49844.75776663231 6719807.864448485, -49846.22910097993 6719802.370225287, -49847.00300918228 6719796.853648871, -49847.48186623427 6719791.326840396, -49848.47813376573 6719791.413159604, -49847.99813376573 6719796.953159604))</t>
  </si>
  <si>
    <t>['FV5224 S1D1 m2585-2643']</t>
  </si>
  <si>
    <t>LINESTRING Z (-49997.02 6718713.31 42.385, -49996.98 6718715.77 42.655, -49996.86 6718721.36 43.035, -49996.93 6718728.24 43.305, -49997.13 6718735.08 43.565, -49997.43 6718742.28 43.885, -49997.93 6718748.87 44.025, -49998.2 6718751.33 44.115, -49998.77 6718753.42 44.325, -49999.54 6718755.97 44.385, -50000.62 6718759.08 44.435, -50001.75 6718762.02 44.495, -50002.17 6718762.86 44.525, -50002.56 6718763.22 44.455)</t>
  </si>
  <si>
    <t>POLYGON ((-49997.47993391489 6718715.778129007, -49997.4798848328 6718715.7807309795, -49997.3600545986 6718721.362822724, -49997.42992564893 6718728.230148814, -49997.62969570884 6718735.062284863, -49997.92921175933 6718742.2506700745, -49998.42793162963 6718748.8237979645, -49998.69272613408 6718751.2363701165, -49999.250605587506 6718753.281928112, -50000.0156918918 6718755.815655483, -50001.08964759869 6718758.908250158, -50002.20803360913 6718761.818033229, -50002.57632420339 6718762.554614418, -50002.899140051064 6718762.852598277, -50002.22085994893 6718763.587401723, -50001.83085994893 6718763.227401723, -50001.79906602883 6718763.195273007, -50001.7703035409 6718763.160404296, -50001.74480754471 6718763.123080551, -50001.72278640442 6718763.083606798, -50001.30278640442 6718762.243606797, -50001.283286295075 6718762.199383158, -50000.15328629508 6718759.259383159, -50000.147669704435 6718759.244024669, -49999.06766970443 6718756.1340246685, -49999.06134594447 6718756.114534753, -49998.29134594447 6718753.564534754, -49998.28761808938 6718753.551558703, -49997.71761808938 6718751.461558703, -49997.70878995313 6718751.42334179, -49997.70298466132 6718751.384550464, -49997.432984661325 6718748.924550464, -49997.43143297647 6718748.907827544, -49996.93143297647 6718742.317827544, -49996.93043346345 6718742.300815273, -49996.63043346345 6718735.100815273, -49996.63021360402 6718735.094613638, -49996.43021360402 6718728.254613638, -49996.43002587769 6718728.2450869465, -49996.36002587769 6718721.365086947, -49996.360115167205 6718721.34926902, -49996.48008724034 6718715.760569946, -49996.52006608511 6718713.301870992, -49997.51993391488 6718713.318129007, -49997.47993391489 6718715.778129007))</t>
  </si>
  <si>
    <t>['FV5224 S1D1 m2639-2651']</t>
  </si>
  <si>
    <t>LINESTRING Z (-49982.82 6718698.51 41.895, -49983.53 6718701.07 42.095, -49984.32 6718705.01 42.215, -49984.9 6718708.48 42.335, -49984.14 6718710.41 42.455)</t>
  </si>
  <si>
    <t>[2116]</t>
  </si>
  <si>
    <t>['PV2116 S20D1 m12-93']</t>
  </si>
  <si>
    <t>LINESTRING Z (-49820.46 6719748.86 2.206, -49821.48 6719749.1 2.376, -49822.8 6719750.18 2.586, -49824.95 6719753.07 3.096, -49827.75 6719756.78 3.786, -49830.92 6719761.25 4.586, -49833.34 6719763.88 5.096, -49837.78 6719767.29 5.396, -49839.5 6719769.19 5.296, -49840.45 6719771.18 5.256, -49841.9 6719775.84 4.906, -49842.78 6719780.87 4.616, -49842.97 6719785.09 4.316, -49842.31 6719789.43 4.026, -49841.17 6719793.6 3.756, -49839.39 6719797.54 3.506, -49836.72 6719800.37 3.276, -49832.52 6719803.68 3.096, -49828.64 6719807.16 2.956, -49827.18 6719809.79 2.976, -49826.63 6719814.55 2.966, -49825.47 6719815.68 2.896, -49821.13 6719818.4 2.656, -49815.82 6719819.91 2.466, -49811.04 6719820.68 2.226)</t>
  </si>
  <si>
    <t>POLYGON ((-49821.59451966655 6719748.613291415, -49821.63824094447 6719748.625700723, -49821.680654809716 6719748.6420287695, -49821.72141083197 6719748.66214065, -49821.760172278264 6719748.685870196, -49821.79661889515 6719748.71302135, -49823.11661889515 6719749.79302135, -49823.147186049595 6719749.82019193, -49823.175430402494 6719749.849769757, -49823.20116298881 6719749.881556946, -49825.350133539614 6719752.770173175, -49828.149094575165 6719756.478796547, -49828.15785078972 6719756.490763534, -49831.30946207491 6719760.934833705, -49833.67874531055 6719763.5097159, -49838.08455315907 6719766.893455711, -49838.118988526956 6719766.922458467, -49838.150675437755 6719766.954441182, -49839.870675437756 6719768.854441183, -49839.9013636989 6719768.891826928, -49839.928296057675 6719768.932002933, -49839.951220484836 6719768.974593236, -49840.90122048483 6719770.964593235, -49840.927421929744 6719771.031445966, -49842.37742192975 6719775.691445966, -49842.392519389556 6719775.753833585, -49843.27251938955 6719780.783833586, -49843.27949398587 6719780.847510935, -49843.469493985875 6719785.067510935, -49843.46929891896 6719785.116468651, -49843.46431678152 6719785.165172598, -49842.80431678152 6719789.505172598, -49842.79230174903 6719789.561852276, -49841.65230174903 6719793.731852276, -49841.64043693643 6719793.769378536, -49841.62565730795 6719793.805855332, -49839.84565730795 6719797.745855332, -49839.82013633088 6719797.794917118, -49839.78935327417 6719797.840860371, -49839.75368472295 6719797.883123043, -49837.08368472295 6719800.713123043, -49837.02948855588 6719800.762704512, -49832.84199336597 6719804.06284953, -49829.036383535335 6719807.4761284515, -49827.665308110765 6719809.945942401, -49827.12669532167 6719814.607391266, -49827.11873505359 6719814.655536948, -49827.10611934461 6719814.702677338, -49827.08896836552 6719814.748363403, -49827.0674454878 6719814.792159958, -49827.04175572741 6719814.833649821, -49827.01214379191 6719814.872437781, -49826.9788917494 6719814.908154362, -49825.818891749404 6719816.038154362, -49825.77895029447 6719816.073128115, -49825.73552575436 6719816.103669769, -49821.39552575436 6719818.82366977, -49821.354470220205 6719818.846780842, -49821.311421679005 6719818.865925075, -49821.266762346655 6719818.880932491, -49815.95676234666 6719820.390932491, -49815.89951881193 6719820.403636262, -49811.11951881193 6719821.173636261, -49810.96048118807 6719820.186363738, -49815.71148632824 6719819.421034459, -49820.924780489804 6719817.938534613, -49825.159298290186 6719815.284643272, -49826.153717921916 6719814.315941389, -49826.68330467833 6719809.732608734, -49826.69129636388 6719809.684317664, -49826.70397157863 6719809.63703941, -49826.7212088487 6719809.591227066, -49826.74284297935 6719809.547319677, -49828.20284297935 6719806.917319677, -49828.23240753903 6719806.87039961, -49828.26698639215 6719806.827042272, -49828.30615414199 6719806.787781055, -49832.186154141986 6719803.307781055, -49832.210511444115 6719803.287295488, -49836.381587437965 6719800.00009036, -49838.9688304751 6719797.257806541, -49840.69810112679 6719793.430095098, -49841.82004598491 6719789.326138907, -49842.46829601636 6719785.063403851, -49842.28194958752 6719780.92455159, -49841.41302292224 6719775.957845764, -49839.983272437596 6719771.362923517, -49839.0802695914 6719769.471370188, -49837.4396316483 6719767.659037576, -49833.03544684093 6719764.276544289, -49833.00250696549 6719764.248915236, -49832.97206237843 6719764.218558572, -49830.55206237843 6719761.588558572, -49830.51214921028 6719761.539236466, -49827.34643857923 6719757.075284882, -49824.55090542483 6719753.371203453, -49824.54883701119 6719753.368443054, -49822.4356487978 6719750.527924944, -49821.252896075006 6719749.56021817, -49820.34548033345 6719749.346708585, -49820.574519666545 6719748.373291416, -49821.59451966655 6719748.613291415))</t>
  </si>
  <si>
    <t>['KV201 S1D1 m960-974']</t>
  </si>
  <si>
    <t>LINESTRING Z (-50005.8 6718776.96 44.955, -50005.93 6718782.86 45.105, -50005.88 6718789.15 45.385, -50006.19 6718796.77 45.665, -50006.32 6718803.85 46.015, -50006.29 6718809.36 46.225, -50006.97 6718814.97 46.425, -50006.89 6718819.13 46.575, -50007.34 6718824.27 46.875, -50008.3 6718828.81 46.905)</t>
  </si>
  <si>
    <t>POLYGON ((-50006.429878671006 6718782.848985724, -50006.4299842036 6718782.863974437, -50006.380080819225 6718789.1418201905, -50006.68958674818 6718796.7496756045, -50006.68991573439 6718796.760820756, -50006.819915734384 6718803.840820756, -50006.819992589124 6718803.8527222825, -50006.790164413476 6718809.331163877, -50007.466366891014 6718814.909834316, -50007.46990757002 6718814.979613607, -50007.39042024114 6718819.112954709, -50007.835452003506 6718824.196206394, -50008.789183241075 6718828.706560371, -50007.81081675893 6718828.913439628, -50006.850816758924 6718824.373439628, -50006.841905245536 6718824.313607517, -50006.39190524554 6718819.173607517, -50006.39009242998 6718819.120386393, -50006.46941909075 6718814.995400033, -50005.79363310899 6718809.420165684, -50005.79000741088 6718809.357277717, -50005.819975008584 6718803.853228938, -50005.69018662059 6718796.784753652, -50005.38041325182 6718789.170324395, -50005.3800157964 6718789.146025564, -50005.42995621653 6718782.863520711, -50005.300121329 6718776.971014276, -50006.29987867101 6718776.948985724, -50006.429878671006 6718782.848985724))</t>
  </si>
  <si>
    <t>2019-05-07</t>
  </si>
  <si>
    <t>2025-05-16T14:51:47Z</t>
  </si>
  <si>
    <t>[8265]</t>
  </si>
  <si>
    <t>['PV8265 S2D1 m66-88']</t>
  </si>
  <si>
    <t>LINESTRING Z (-38464.39 6526124.91 4.038, -38468.3 6526120.49 4.058, -38474.42 6526114.56 4.018, -38477.87 6526111.52 3.938, -38481.95 6526110.67 2.338)</t>
  </si>
  <si>
    <t>POLYGON ((-38467.92550171876 6526120.1587130595, -38467.95206455903 6526120.130916543, -38474.072064559026 6526114.200916543, -38474.0894410001 6526114.184859029, -38477.5394410001 6526111.144859029, -38477.57991988834 6526111.112748813, -38477.62349637527 6526111.084987398, -38477.66970513277 6526111.061871233, -38477.71805272408 6526111.043647163, -38477.76802287299 6526111.0305097895, -38481.84802287298 6526110.18050979, -38482.05197712701 6526111.15949021, -38478.10138327338 6526111.982530596, -38474.75943723068 6526114.9273178335, -38468.66175161011 6526120.835696221, -38464.76449828124 6526125.241286941, -38464.01550171876 6526124.578713059, -38467.92550171876 6526120.1587130595))</t>
  </si>
  <si>
    <t>2025-11-22T09:15:58Z</t>
  </si>
  <si>
    <t>[8014]</t>
  </si>
  <si>
    <t>['KV8014 S2D10 m0-107', 'KV8014 S2D10 m117-185', 'KV8014 S2D10 m189-257']</t>
  </si>
  <si>
    <t>LINESTRING Z (-38293.41 6526181.85 3.008, -38293.27 6526182.48 3.008, -38292.12 6526186.4 3.068, -38290.52 6526191.11 3.198, -38288.89 6526194.72 3.288, -38286.59 6526198.94 3.398, -38283.62 6526203.53 3.518, -38274.55 6526216.18 3.908, -38264.57 6526229.72 4.368, -38255.33 6526241.8 4.738, -38247.14 6526252.79 5.048, -38238.74 6526264.26 5.218, -38231.53 6526274.09 5.339, -38224.45 6526283.73 5.439, -38222.66 6526286.11 5.469, -38221.99 6526286.86 5.479, -38220.36 6526288.47 5.529, -38219.2 6526289.45 5.549, -38214.74 6526293.43 5.659, -38209.38 6526298.04 5.839, -38207.12 6526299.89 5.889, -38205.66 6526301.57 5.929, -38203.49 6526304.51 5.969, -38200.51 6526309.06 6.009, -38197.18 6526314.52 6.019, -38195.91 6526316.63 5.999, -38194.93 6526318.73 5.979, -38193.94 6526321.5 5.949, -38192.84 6526325.41 5.899, -38191.3 6526331.07 5.929, -38190.49 6526333.96 5.919, -38189.67 6526336.61 5.959, -38188.62 6526338.81 5.989, -38183.66 6526347.67 6.159, -38177.49 6526358.59 6.349, -38171.05 6526370.54 6.549, -38168.18 6526375.8 6.659, -38167.44 6526376.63 6.679, -38164.56 6526378.51 6.719, -38161.61 6526379.67 6.739, -38158.19 6526380.26 6.699, -38156.6 6526380.11 6.699, -38156.34 6526379.92 6.639, -38156.21 6526379.51 6.629, -38156.29 6526379.17 6.619, -38156.64 6526378.66 6.599, -38156.89 6526378.32 6.599, -38159.23 6526375.9 6.589, -38160.6 6526374.68 6.579, -38160.48 6526374.57 6.579, -38161.02 6526375 6.599, -38161.76 6526375.09 6.579, -38162.42 6526374.65 6.569, -38162.62 6526373.72 6.559, -38162.35 6526372.98 6.569, -38162.38 6526373.07 6.559, -38166.68 6526369.21 6.519, -38173.48 6526360.97 6.439, -38178.31 6526352.29 6.339, -38183.03 6526342.92 6.229, -38185.99 6526333.32 6.029, -38188.76 6526323.7 5.879, -38192.15 6526314.56 5.729, -38197.35 6526306.15 5.549, -38202.88 6526298.31 5.429, -38209.72 6526291.64 5.339, -38217.21 6526284.71 5.239, -38223.88 6526276.7 5.119, -38229.91 6526268.5 5.029, -38235.58 6526260.79 4.908, -38241.63 6526252.52 4.798, -38247.73 6526244.23 4.688, -38253.65 6526236.21 4.568, -38259.59 6526228.08 4.398, -38265.42 6526220.1 4.208, -38271.36 6526212.1 4.008, -38277.32 6526204.02 3.788, -38282.87 6526194.6 3.568, -38284.56 6526189.92 3.458, -38286 6526185.68 3.338, -38287.92 6526180.29 3.148, -38288.55 6526180.1 3.098, -38290.14 6526180.11 3.028, -38291.92 6526180.75 3.008, -38293.41 6526181.85 3.008)</t>
  </si>
  <si>
    <t>2019-09-09</t>
  </si>
  <si>
    <t>2025-11-22T09:16:29Z</t>
  </si>
  <si>
    <t>['EV6 S202D1 m9502 SD1 m145-169', 'EV6 S202D1 m9502 SD1 m294-377']</t>
  </si>
  <si>
    <t>LINESTRING Z (809173.19 7783375.36 65.119, 809177.95 7783369.57 65.509, 809177.9 7783366.17 65.509, 809181.22 7783361.85 65.669, 809183.51 7783358.46 65.849, 809187.22 7783352.34 66.129, 809190.98 7783344.92 66.409, 809194.05 7783338.3 66.669, 809196 7783333.43 66.809, 809198.09 7783326.6 66.699, 809198.33 7783329.55 66.619, 809198.47 7783333.44 66.489, 809198.46 7783338.36 66.359, 809198.24 7783344.47 66.189, 809197.89 7783349.66 66.029, 809197.39 7783354.57 65.879, 809197.13 7783356.37 65.729, 809187.76 7783369.06 65.399, 809186.74 7783370.34 65.489, 809184.99 7783372.46 65.379, 809183.39 7783374.16 65.279, 809181.45 7783375.89 65.199, 809180.07 7783376.98 65.149, 809178.71 7783378.06 65.219, 809177.29 7783378.96 65.049, 809174.72 7783380.33 64.949, 809173.04 7783380.95 64.849, 809171.64 7783381.16 64.849, 809170.77 7783380.94 64.839, 809170.12 7783380.59 64.839, 809169.9 7783380.36 64.809, 809169.78 7783379.62 64.899, 809169.93 7783379.21 64.839, 809170.5 7783378.55 64.879, 809173.19 7783375.36 65.119)</t>
  </si>
  <si>
    <t>POLYGON Z ((809173.19 7783375.36 65.119, 809177.95 7783369.57 65.509, 809177.9 7783366.17 65.509, 809181.22 7783361.85 65.669, 809183.51 7783358.46 65.849, 809187.22 7783352.34 66.129, 809190.98 7783344.92 66.409, 809194.05 7783338.3 66.669, 809196 7783333.43 66.809, 809198.09 7783326.6 66.699, 809198.33 7783329.55 66.619, 809198.47 7783333.44 66.489, 809198.46 7783338.36 66.359, 809198.24 7783344.47 66.189, 809197.89 7783349.66 66.029, 809197.39 7783354.57 65.879, 809197.13 7783356.37 65.729, 809187.76 7783369.06 65.399, 809186.74 7783370.34 65.489, 809184.99 7783372.46 65.379, 809183.39 7783374.16 65.279, 809181.45 7783375.89 65.199, 809180.07 7783376.98 65.149, 809178.71 7783378.06 65.219, 809177.29 7783378.96 65.049, 809174.72 7783380.33 64.949, 809173.04 7783380.95 64.849, 809171.64 7783381.16 64.849, 809170.77 7783380.94 64.839, 809170.12 7783380.59 64.839, 809169.9 7783380.36 64.809, 809169.78 7783379.62 64.899, 809169.93 7783379.21 64.839, 809170.5 7783378.55 64.879, 809173.19 7783375.36 65.119))</t>
  </si>
  <si>
    <t>['EV6 S202D1 m9502 SD1 m204-271']</t>
  </si>
  <si>
    <t>LINESTRING Z (809172.44 7783383.14 64.739, 809172.41 7783385.66 64.709, 809170.71 7783386.49 64.579, 809171.64 7783387.8 64.529, 809172.94 7783389.09 64.569, 809173.75 7783389.7 64.629, 809174.66 7783390.14 64.619, 809175.88 7783390.55 64.639, 809177.49 7783390.87 64.719, 809178.92 7783390.94 64.819, 809180.39 7783390.67 64.799, 809182.14 7783389.91 64.819, 809183.89 7783389.04 64.839, 809185.28 7783388.08 64.879, 809186.16 7783387.33 64.889, 809186.76 7783386.76 64.999, 809187.78 7783385.16 64.989, 809188.68 7783381.79 65.099, 809190.05 7783377.06 65.229, 809191.09 7783373.33 65.349, 809192.04 7783369.91 65.449, 809193.49 7783368.93 65.459, 809195.2 7783367.72 65.489, 809196.2 7783362.85 65.619, 809196.51 7783360.69 65.569, 809188.78 7783371.01 65.409, 809186.69 7783373.37 65.299, 809185.15 7783375.11 65.329, 809182.5 7783377.45 65.199, 809180.16 7783379.26 65.109, 809177.45 7783380.96 64.999, 809175.52 7783381.99 64.939, 809174.1 7783382.61 64.819, 809172.44 7783383.14 64.739)</t>
  </si>
  <si>
    <t>POLYGON Z ((809172.44 7783383.14 64.739, 809172.41 7783385.66 64.709, 809170.71 7783386.49 64.579, 809171.64 7783387.8 64.529, 809172.94 7783389.09 64.569, 809173.75 7783389.7 64.629, 809174.66 7783390.14 64.619, 809175.88 7783390.55 64.639, 809177.49 7783390.87 64.719, 809178.92 7783390.94 64.819, 809180.39 7783390.67 64.799, 809182.14 7783389.91 64.819, 809183.89 7783389.04 64.839, 809185.28 7783388.08 64.879, 809186.16 7783387.33 64.889, 809186.76 7783386.76 64.999, 809187.78 7783385.16 64.989, 809188.68 7783381.79 65.099, 809190.05 7783377.06 65.229, 809191.09 7783373.33 65.349, 809192.04 7783369.91 65.449, 809193.49 7783368.93 65.459, 809195.2 7783367.72 65.489, 809196.2 7783362.85 65.619, 809196.51 7783360.69 65.569, 809188.78 7783371.01 65.409, 809186.69 7783373.37 65.299, 809185.15 7783375.11 65.329, 809182.5 7783377.45 65.199, 809180.16 7783379.26 65.109, 809177.45 7783380.96 64.999, 809175.52 7783381.99 64.939, 809174.1 7783382.61 64.819, 809172.44 7783383.14 64.739))</t>
  </si>
  <si>
    <t>['EV6 S202D1 m9502 SD1 m308-366']</t>
  </si>
  <si>
    <t>LINESTRING Z (809148.23 7783343.66 65.959, 809149.21 7783347.47 66.049, 809152.01 7783349.92 66.269, 809154.88 7783350.49 66.299, 809158.69 7783349.52 66.319, 809161.24 7783346.58 66.489, 809163.79 7783343.63 66.619, 809165.72 7783340.23 66.809, 809167.66 7783336.86 66.969, 809169.36 7783332.53 67.119, 809171.06 7783328.21 67.249, 809172.76 7783323.89 67.459, 809175.2 7783319.98 67.639, 809177.62 7783316.06 67.799, 809179.12 7783313.3 67.839, 809180.61 7783310.52 67.869, 809180.25 7783307.62 67.969, 809177.4 7783306.9 67.999, 809172.66 7783307.05 67.519, 809169.74 7783309.86 67.349, 809166.83 7783312.64 67.129, 809164.67 7783315.57 67.029, 809162.52 7783318.49 66.939, 809160.36 7783321.42 66.809, 809158.26 7783324.14 66.679, 809156.14 7783326.86 66.549, 809154.03 7783329.57 66.359, 809152.02 7783332.95 66.209, 809150.01 7783336.32 66.049, 809149.12 7783339.99 66.039, 809148.23 7783343.66 65.959)</t>
  </si>
  <si>
    <t>POLYGON Z ((809148.23 7783343.66 65.959, 809149.21 7783347.47 66.049, 809152.01 7783349.92 66.269, 809154.88 7783350.49 66.299, 809158.69 7783349.52 66.319, 809161.24 7783346.58 66.489, 809163.79 7783343.63 66.619, 809165.72 7783340.23 66.809, 809167.66 7783336.86 66.969, 809169.36 7783332.53 67.119, 809171.06 7783328.21 67.249, 809172.76 7783323.89 67.459, 809175.2 7783319.98 67.639, 809177.62 7783316.06 67.799, 809179.12 7783313.3 67.839, 809180.61 7783310.52 67.869, 809180.25 7783307.62 67.969, 809177.4 7783306.9 67.999, 809172.66 7783307.05 67.519, 809169.74 7783309.86 67.349, 809166.83 7783312.64 67.129, 809164.67 7783315.57 67.029, 809162.52 7783318.49 66.939, 809160.36 7783321.42 66.809, 809158.26 7783324.14 66.679, 809156.14 7783326.86 66.549, 809154.03 7783329.57 66.359, 809152.02 7783332.95 66.209, 809150.01 7783336.32 66.049, 809149.12 7783339.99 66.039, 809148.23 7783343.66 65.959))</t>
  </si>
  <si>
    <t>['EV6 S202D1 m9502 SD1 m267-275']</t>
  </si>
  <si>
    <t>LINESTRING Z (809139.57 7783422.73 63.509, 809140.48 7783422.65 63.529, 809143.27 7783422.36 63.539, 809145.87 7783422.04 63.569, 809145.19 7783419.54 63.639, 809144.52 7783416.98 63.709, 809146.92 7783416.32 63.729, 809149.39 7783415.64 63.739, 809148.76 7783414.13 63.769, 809148.12 7783412.61 63.829, 809140.67 7783407.63 63.929, 809135.88 7783404.4 64.009, 809134.12 7783406.2 63.959, 809132.41 7783408 63.909, 809135.84 7783415.17 63.719, 809139.57 7783422.73 63.509)</t>
  </si>
  <si>
    <t>POLYGON Z ((809139.57 7783422.73 63.509, 809140.48 7783422.65 63.529, 809143.27 7783422.36 63.539, 809145.87 7783422.04 63.569, 809145.19 7783419.54 63.639, 809144.52 7783416.98 63.709, 809146.92 7783416.32 63.729, 809149.39 7783415.64 63.739, 809148.76 7783414.13 63.769, 809148.12 7783412.61 63.829, 809140.67 7783407.63 63.929, 809135.88 7783404.4 64.009, 809134.12 7783406.2 63.959, 809132.41 7783408 63.909, 809135.84 7783415.17 63.719, 809139.57 7783422.73 63.509))</t>
  </si>
  <si>
    <t>['EV6 S202D1 m9502 SD1 m256-278']</t>
  </si>
  <si>
    <t>LINESTRING Z (809146.42 7783397.4 64.149, 809144.14 7783399.5 64.109, 809142.01 7783401.37 64.089, 809140.62 7783402.74 64.099, 809144.26 7783405.45 64.069, 809146.64 7783407.18 64.049, 809147.68 7783406.46 64.049, 809148.59 7783405.8 64.009, 809151.21 7783407.52 63.989, 809153.6 7783409.09 63.979, 809154.2 7783410.81 63.919, 809155.05 7783413.29 63.859, 809158.67 7783416.01 63.759, 809161.82 7783418.35 63.689, 809161.97 7783418.4 63.689, 809164.95 7783417.85 63.699, 809167.65 7783417.15 63.739, 809170.48 7783416.24 63.799, 809173.31 7783415.2 63.889, 809173.72 7783414.93 63.909, 809174.03 7783414.58 63.929, 809174.46 7783413.56 63.989, 809174.45 7783413 64.029, 809174.27 7783412.57 64.059, 809173.73 7783411.78 64.109, 809173.38 7783411.45 64.139, 809173.02 7783411.22 64.169, 809172.08 7783410.93 64.209, 809170.05 7783410.46 64.289, 809168.04 7783410.14 64.329, 809165.7 7783409.52 64.469, 809162.67 7783408.56 64.509, 809159.58 7783407.08 64.499, 809156.32 7783404.51 64.509, 809154.41 7783402.46 64.489, 809152.68 7783400.07 64.399, 809150.54 7783395.68 64.319, 809149.85 7783394.34 64.299, 809146.42 7783397.4 64.149)</t>
  </si>
  <si>
    <t>POLYGON Z ((809146.42 7783397.4 64.149, 809144.14 7783399.5 64.109, 809142.01 7783401.37 64.089, 809140.62 7783402.74 64.099, 809144.26 7783405.45 64.069, 809146.64 7783407.18 64.049, 809147.68 7783406.46 64.049, 809148.59 7783405.8 64.009, 809151.21 7783407.52 63.989, 809153.6 7783409.09 63.979, 809154.2 7783410.81 63.919, 809155.05 7783413.29 63.859, 809158.67 7783416.01 63.759, 809161.82 7783418.35 63.689, 809161.97 7783418.4 63.689, 809164.95 7783417.85 63.699, 809167.65 7783417.15 63.739, 809170.48 7783416.24 63.799, 809173.31 7783415.2 63.889, 809173.72 7783414.93 63.909, 809174.03 7783414.58 63.929, 809174.46 7783413.56 63.989, 809174.45 7783413 64.029, 809174.27 7783412.57 64.059, 809173.73 7783411.78 64.109, 809173.38 7783411.45 64.139, 809173.02 7783411.22 64.169, 809172.08 7783410.93 64.209, 809170.05 7783410.46 64.289, 809168.04 7783410.14 64.329, 809165.7 7783409.52 64.469, 809162.67 7783408.56 64.509, 809159.58 7783407.08 64.499, 809156.32 7783404.51 64.509, 809154.41 7783402.46 64.489, 809152.68 7783400.07 64.399, 809150.54 7783395.68 64.319, 809149.85 7783394.34 64.299, 809146.42 7783397.4 64.149))</t>
  </si>
  <si>
    <t>2019-09-20</t>
  </si>
  <si>
    <t>['EV6 S200D1 m8699-8792']</t>
  </si>
  <si>
    <t>LINESTRING Z (793512.5850468667 7794397.959413564 20.103, 793514.4226517783 7794394.3259561965 20.003, 793515.1563651746 7794388.247509091 20.183, 793514.6781568339 7794384.76407099 20.393, 793509.3830990947 7794379.594589426 20.863, 793501.1792591834 7794373.864887675 20.513, 793492.6184545552 7794368.7476510815 20.633, 793484.5363552665 7794363.174913978 20.593, 793482.1668916449 7794361.548801069 20.553, 793476.2708011961 7794355.096006329 20.192, 793475.3985219938 7794347.45200543 20.263, 793476.7583327426 7794341.457719297 20.093, 793479.2416247829 7794337.810283601 19.963, 793481.8226925429 7794338.478568247 20.013, 793489.1731374072 7794345.109416898 19.863, 793496.558881473 7794351.665674667 19.933, 793503.8503493017 7794358.029633778 20.083, 793511.6245541403 7794364.224630491 20.243, 793517.1410307817 7794368.438242264 20.323, 793519.0494606451 7794365.2679315675 20.373, 793519.0842085916 7794363.713538902 20.393, 793515.251927743 7794360.264714285 20.333, 793512.630596868 7794356.884129914 20.403, 793511.5436127989 7794352.4117683 20.533, 793509.4261866653 7794347.733717685 20.543, 793500.7262569128 7794343.211202968 20.583, 793491.8850557568 7794338.782946525 20.363, 793483.2088058386 7794334.601917007 20.493, 793474.104784573 7794330.621232863 20.203, 793465.0791978356 7794326.452110678 20.293, 793456.090812708 7794322.0455009015 20.232, 793449.6780940843 7794319.612306244 20.292, 793445.3867006052 7794321.786503363 20.492, 793444.1964443517 7794324.579725455 19.802, 793451.6272605571 7794330.961290312 20.242, 793458.962050799 7794337.721673657 21.542, 793465.3270320175 7794343.717005645 21.292, 793467.5683458471 7794349.0524786245 21.882, 793468.3440473443 7794355.595496518 21.532, 793474.9763568239 7794362.705487494 21.802, 793482.5327547682 7794369.020282517 21.672, 793485.6326370856 7794371.537144071 22.362, 793488.1289359154 7794376.464303299 22.962, 793494.7749770465 7794383.556628863 23.012, 793496.5498539526 7794385.400812486 22.913, 793502.7218897324 7794389.75548826 22.763, 793507.3422516291 7794396.106706604 21.833, 793510.3793338691 7794398.631443535 20.703, 793512.3024645513 7794398.045873118 20.163, 793512.5850468667 7794397.959413564 20.103)</t>
  </si>
  <si>
    <t>POLYGON Z ((793512.5850468667 7794397.959413564 20.103, 793514.4226517783 7794394.3259561965 20.003, 793515.1563651746 7794388.247509091 20.183, 793514.6781568339 7794384.76407099 20.393, 793509.3830990947 7794379.594589426 20.863, 793501.1792591834 7794373.864887675 20.513, 793492.6184545552 7794368.7476510815 20.633, 793484.5363552665 7794363.174913978 20.593, 793482.1668916449 7794361.548801069 20.553, 793476.2708011961 7794355.096006329 20.192, 793475.3985219938 7794347.45200543 20.263, 793476.7583327426 7794341.457719297 20.093, 793479.2416247829 7794337.810283601 19.963, 793481.8226925429 7794338.478568247 20.013, 793489.1731374072 7794345.109416898 19.863, 793496.558881473 7794351.665674667 19.933, 793503.8503493017 7794358.029633778 20.083, 793511.6245541403 7794364.224630491 20.243, 793517.1410307817 7794368.438242264 20.323, 793519.0494606451 7794365.2679315675 20.373, 793519.0842085916 7794363.713538902 20.393, 793515.251927743 7794360.264714285 20.333, 793512.630596868 7794356.884129914 20.403, 793511.5436127989 7794352.4117683 20.533, 793509.4261866653 7794347.733717685 20.543, 793500.7262569128 7794343.211202968 20.583, 793491.8850557568 7794338.782946525 20.363, 793483.2088058386 7794334.601917007 20.493, 793474.104784573 7794330.621232863 20.203, 793465.0791978356 7794326.452110678 20.293, 793456.090812708 7794322.0455009015 20.232, 793449.6780940843 7794319.612306244 20.292, 793445.3867006052 7794321.786503363 20.492, 793444.1964443517 7794324.579725455 19.802, 793451.6272605571 7794330.961290312 20.242, 793458.962050799 7794337.721673657 21.542, 793465.3270320175 7794343.717005645 21.292, 793467.5683458471 7794349.0524786245 21.882, 793468.3440473443 7794355.595496518 21.532, 793474.9763568239 7794362.705487494 21.802, 793482.5327547682 7794369.020282517 21.672, 793485.6326370856 7794371.537144071 22.362, 793488.1289359154 7794376.464303299 22.962, 793494.7749770465 7794383.556628863 23.012, 793496.5498539526 7794385.400812486 22.913, 793502.7218897324 7794389.75548826 22.763, 793507.3422516291 7794396.106706604 21.833, 793510.3793338691 7794398.631443535 20.703, 793512.3024645513 7794398.045873118 20.163, 793512.5850468667 7794397.959413564 20.103))</t>
  </si>
  <si>
    <t>['EV6 S200D1 m8885-8911']</t>
  </si>
  <si>
    <t>LINESTRING Z (793636.5371052553 7794424.365260653 17.103, 793628.5168000984 7794426.66252591 17.453, 793623.4723981195 7794430.564093626 17.413, 793618.0705126098 7794438.9660422765 17.413, 793611.8341551467 7794446.3850360075 17.503, 793606.3156287128 7794452.508444289 17.393, 793603.0729298273 7794451.218256426 17.543, 793601.2877831804 7794448.147446602 17.563, 793600.2774418655 7794449.221365581 17.643, 793599.77992377 7794451.867138651 17.613, 793603.5986441432 7794455.792887848 17.233, 793608.7873581166 7794454.695828099 16.833, 793610.7292278092 7794451.715875709 17.233, 793612.6207522822 7794450.572938142 16.943, 793614.2849240485 7794450.262228606 16.493, 793617.2589111968 7794446.712737598 17.213, 793619.4353624543 7794441.22841622 17.143, 793621.828664067 7794438.338575165 16.983, 793623.7539270315 7794438.202439992 16.583, 793630.6851583247 7794431.085427272 16.223, 793634.9012882435 7794427.038934555 16.763, 793636.5371052553 7794424.365260653 17.103)</t>
  </si>
  <si>
    <t>POLYGON Z ((793636.5371052553 7794424.365260653 17.103, 793628.5168000984 7794426.66252591 17.453, 793623.4723981195 7794430.564093626 17.413, 793618.0705126098 7794438.9660422765 17.413, 793611.8341551467 7794446.3850360075 17.503, 793606.3156287128 7794452.508444289 17.393, 793603.0729298273 7794451.218256426 17.543, 793601.2877831804 7794448.147446602 17.563, 793600.2774418655 7794449.221365581 17.643, 793599.77992377 7794451.867138651 17.613, 793603.5986441432 7794455.792887848 17.233, 793608.7873581166 7794454.695828099 16.833, 793610.7292278092 7794451.715875709 17.233, 793612.6207522822 7794450.572938142 16.943, 793614.2849240485 7794450.262228606 16.493, 793617.2589111968 7794446.712737598 17.213, 793619.4353624543 7794441.22841622 17.143, 793621.828664067 7794438.338575165 16.983, 793623.7539270315 7794438.202439992 16.583, 793630.6851583247 7794431.085427272 16.223, 793634.9012882435 7794427.038934555 16.763, 793636.5371052553 7794424.365260653 17.103))</t>
  </si>
  <si>
    <t>['EV6 S200D1 m8833 SD1 m20-42']</t>
  </si>
  <si>
    <t>LINESTRING Z (793511.1672265709 7794401.023560482 20.523, 793504.1961061241 7794406.397790977 19.252, 793504.2071534137 7794409.71654415 17.802, 793509.7238932967 7794414.644545025 17.202, 793517.2244917492 7794418.682750792 17.613, 793518.3642505788 7794422.583977272 17.062, 793520.7262058796 7794419.8511588955 18.073, 793528.7984397628 7794420.003203131 19.793, 793530.2501133715 7794418.25202332 19.553, 793530.0328450997 7794414.534937856 18.973, 793521.4957558234 7794409.861234763 18.943, 793512.8743943479 7794405.507467758 19.233, 793511.6671914964 7794404.960351218 19.413, 793510.8773019786 7794402.475992732 20.153, 793511.1672265709 7794401.023560482 20.523)</t>
  </si>
  <si>
    <t>POLYGON Z ((793511.1672265709 7794401.023560482 20.523, 793504.1961061241 7794406.397790977 19.252, 793504.2071534137 7794409.71654415 17.802, 793509.7238932967 7794414.644545025 17.202, 793517.2244917492 7794418.682750792 17.613, 793518.3642505788 7794422.583977272 17.062, 793520.7262058796 7794419.8511588955 18.073, 793528.7984397628 7794420.003203131 19.793, 793530.2501133715 7794418.25202332 19.553, 793530.0328450997 7794414.534937856 18.973, 793521.4957558234 7794409.861234763 18.943, 793512.8743943479 7794405.507467758 19.233, 793511.6671914964 7794404.960351218 19.413, 793510.8773019786 7794402.475992732 20.153, 793511.1672265709 7794401.023560482 20.523))</t>
  </si>
  <si>
    <t>['EV6 S200D1 m8833 SD1 m19-118']</t>
  </si>
  <si>
    <t>LINESTRING Z (793522.3925178085 7794372.547935358 20.133, 793530.44133701 7794378.338536534 19.663, 793539.0609893114 7794383.3654744085 18.963, 793547.9532779634 7794387.946801238 18.383, 793556.7864570341 7794391.904043638 17.963, 793566.09048739 7794395.394012348 17.843, 793575.4198900452 7794398.501264905 17.733, 793584.839405345 7794401.157086022 17.633, 793594.327560818 7794403.673537331 17.623, 793604.029603668 7794406.089816799 17.633, 793613.8785499552 7794407.719038356 17.623, 793623.7313203062 7794409.073494351 17.533, 793633.4858783565 7794410.204250337 17.563, 793643.3737791256 7794411.024865556 17.553, 793650.0663933789 7794411.391345445 17.573, 793650.8117406716 7794415.479171467 17.593, 793649.8734777668 7794420.384066792 17.323, 793655.5083755248 7794421.090471165 17.363, 793656.5723721408 7794416.527021815 17.463, 793656.5039835728 7794412.064086396 17.453, 793647.7020625073 7794407.745707605 17.703, 793640.6627174299 7794403.850596135 17.813, 793637.2120070755 7794402.631140774 17.843, 793635.052052777 7794399.699815205 17.963, 793636.3621133715 7794397.12439225 18.143, 793628.0417318733 7794394.687972913 18.463, 793618.5082479048 7794396.948514119 18.543, 793613.280374282 7794398.292879809 18.653, 793607.4614706256 7794398.866162401 18.723, 793602.1839023279 7794398.51682029 18.823, 793592.8683424196 7794395.6980643915 18.883, 793583.5349629768 7794392.457356198 19.053, 793574.4036410907 7794388.971248171 19.493, 793565.1839774097 7794385.41648262 19.503, 793556.028997866 7794381.639919689 19.603, 793547.0212061838 7794377.841714061 20.013, 793537.960333732 7794373.798203763 19.993, 793529.0229707058 7794369.391567074 20.243, 793527.1562123408 7794368.518904801 20.273, 793525.4820197988 7794368.266352711 20.273, 793522.4807844097 7794372.412483045 20.143, 793522.3925178085 7794372.547935358 20.133)</t>
  </si>
  <si>
    <t>POLYGON Z ((793522.3925178085 7794372.547935358 20.133, 793530.44133701 7794378.338536534 19.663, 793539.0609893114 7794383.3654744085 18.963, 793547.9532779634 7794387.946801238 18.383, 793556.7864570341 7794391.904043638 17.963, 793566.09048739 7794395.394012348 17.843, 793575.4198900452 7794398.501264905 17.733, 793584.839405345 7794401.157086022 17.633, 793594.327560818 7794403.673537331 17.623, 793604.029603668 7794406.089816799 17.633, 793613.8785499552 7794407.719038356 17.623, 793623.7313203062 7794409.073494351 17.533, 793633.4858783565 7794410.204250337 17.563, 793643.3737791256 7794411.024865556 17.553, 793650.0663933789 7794411.391345445 17.573, 793650.8117406716 7794415.479171467 17.593, 793649.8734777668 7794420.384066792 17.323, 793655.5083755248 7794421.090471165 17.363, 793656.5723721408 7794416.527021815 17.463, 793656.5039835728 7794412.064086396 17.453, 793647.7020625073 7794407.745707605 17.703, 793640.6627174299 7794403.850596135 17.813, 793637.2120070755 7794402.631140774 17.843, 793635.052052777 7794399.699815205 17.963, 793636.3621133715 7794397.12439225 18.143, 793628.0417318733 7794394.687972913 18.463, 793618.5082479048 7794396.948514119 18.543, 793613.280374282 7794398.292879809 18.653, 793607.4614706256 7794398.866162401 18.723, 793602.1839023279 7794398.51682029 18.823, 793592.8683424196 7794395.6980643915 18.883, 793583.5349629768 7794392.457356198 19.053, 793574.4036410907 7794388.971248171 19.493, 793565.1839774097 7794385.41648262 19.503, 793556.028997866 7794381.639919689 19.603, 793547.0212061838 7794377.841714061 20.013, 793537.960333732 7794373.798203763 19.993, 793529.0229707058 7794369.391567074 20.243, 793527.1562123408 7794368.518904801 20.273, 793525.4820197988 7794368.266352711 20.273, 793522.4807844097 7794372.412483045 20.143, 793522.3925178085 7794372.547935358 20.133))</t>
  </si>
  <si>
    <t>2025-11-22T09:16:37Z</t>
  </si>
  <si>
    <t>['EV6 S29D1 m10812-11454']</t>
  </si>
  <si>
    <t>LINESTRING Z (294774.9332045992 6737413.958638974 199.61, 294778.19312272593 6737409.357926609 199.79, 294786.77187956474 6737400.827852673 199.83, 294795.1241059421 6737390.867653651 199.85, 294806.57476663124 6737378.348477323 200.29, 294807.3166951904 6737376.486098848 200.82, 294807.3467230274 6737372.919029384 203.5, 294805.8167001602 6737371.648585713 203.86, 294811.5348515746 6737366.005325733 203.4, 294819.00574291695 6737358.485820507 202.48, 294831.13364367886 6737345.519885746 201.6, 294839.21280877467 6737338.13819051 201.13, 294850.0868924312 6737325.699857768 200.21, 294862.6311841465 6737312.8419112405 199.95, 294874.27543647465 6737299.070510703 199.45, 294884.34712355566 6737287.736618623 199.64, 294894.1671429228 6737276.566384763 199.85, 294904.292371572 6737265.86060554 198.91, 294914.50242761755 6737255.430731548 198.53, 294927.590466763 6737245.818803508 198.45, 294937.27456254396 6737236.418527407 198.73, 294944.22120210616 6737228.646570796 198.2, 294948.7974412212 6737226.379321871 198.23, 294957.113081938 6737218.173775541 198.22, 294964.99395678216 6737209.891271606 197.69, 294968.8347331113 6737198.719553559 197.29, 294967.86671427765 6737193.903738335 197.47, 294973.7154621435 6737186.390664905 198.03, 294982.88769783656 6737177.157916688 198.93, 294995.18121252675 6737162.039881978 197.21, 295008.4186767633 6737146.030199281 196.5, 295022.6506102605 6737132.140793237 196.28, 295034.2899468789 6737118.840396555 195.92, 295043.86252396984 6737105.660279666 196.8, 295051.5733494846 6737097.0062724 197.81, 295062.5442839791 6737086.946449581 197.18, 295071.01744872046 6737078.502156167 198.46, 295079.090006853 6737066.303451117 198.92, 295096.7680585095 6737050.177057739 198.26, 295107.22731605486 6737035.407280315 198.61, 295120.8549545251 6737020.328255615 197.91, 295125.1328245892 6737020.540705196 197.83, 295126.623897642 6737018.07750463 197.92, 295129.16586179193 6737007.716226023 197.01, 295126.53400998464 6737001.937568663 197.01, 295122.1371379898 6736996.3031519605 197.05, 295119.1246048816 6736983.764416858 196.55, 295116.5942698625 6736972.942625749 196.54, 295112.4335900125 6736965.352630884 196.6, 295113.328100267 6736962.22018323 196.5, 295118.0046042772 6736959.767316471 196.4, 295119.395685051 6736957.870310042 196.28, 295118.96095631004 6736951.974435476 196.12, 295120.41360640124 6736945.0364272315 195.92, 295117.20069355157 6736941.882742158 195.69, 295120.0965278897 6736935.338461351 195.4, 295121.29117887444 6736932.200016832 195.58, 295121.8485633272 6736922.936134998 195.47, 295121.20541150845 6736915.198541505 194.75, 295113.85842340335 6736910.7731218785 194.59, 295107.9219071886 6736909.50740936 195.05, 295104.2246654624 6736912.669197756 195.75, 295101.6083030078 6736917.505975951 196.15, 295097.6525672134 6736910.5660585 196.23, 295093.9347216482 6736899.637358093 195.91, 295093.93003821536 6736898.235459877 195.75, 295094.57730476384 6736897.03914858 195.57, 295096.87468034786 6736895.985157401 195.08, 295102.4123891184 6736897.472453482 194.77, 295109.9527970995 6736898.201908823 194.44, 295120.1718176701 6736898.077371657 193.88, 295126.06480473396 6736900.216741411 193.67, 295134.46618117014 6736898.686873657 193.5, 295138.5844592406 6736894.781519209 192.31, 295147.5178424857 6736895.526797749 191.75, 295154.82403937937 6736897.3103434285 191.22, 295159.6181922336 6736899.127752345 190.9, 295166.4871324515 6736903.228138152 190.38, 295174.2689084924 6736909.2328153765 189.77, 295186.30295337236 6736921.5406357115 188.9, 295196.38937668543 6736931.508617351 188.45, 295211.6578432579 6736943.243265567 188.32)</t>
  </si>
  <si>
    <t>POLYGON ((294778.57619860506 6737409.6821279, 294787.1244254976 6737401.182410658, 294787.15500353376 6737401.149125181, 294795.5003158525 6737391.197171315, 294806.9437141556 6737378.68593506, 294806.97268316173 6737378.651235369, 294806.9983999613 6737378.614061211, 294807.0206543687 6737378.574716412, 294807.0392644967 6737378.533522542, 294807.78119305585 6737376.671144067, 294807.79632389906 6737376.627365624, 294807.8073385792 6737376.582374832, 294807.81414256856 6737376.536557801, 294807.81667747535 6737376.490307733, 294807.8467053124 6737372.923238269, 294807.84469698387 6737372.874063412, 294807.8378638852 6737372.82532422, 294807.82627222105 6737372.777492919, 294807.8100343006 6737372.731032937, 294807.7893074498 6737372.686394415, 294807.76429248706 6737372.644009846, 294807.73523177736 6737372.604289887, 294807.702406884 6737372.567619375, 294807.66613584076 6737372.5343536055, 294806.5608974842 6737371.61662675, 294811.886066804 6737366.361201922, 294811.8895496743 6737366.357730696, 294819.3604410167 6737358.83822547, 294819.3709000084 6737358.82737621, 294831.48539380677 6737345.87577483, 294839.5500696718 6737338.507317977, 294839.5892389301 6737338.467280677, 294850.45432761963 6737326.039236838, 294862.9890757657 6737313.191072505, 294863.012993076 6737313.164745472, 294874.65327404946 6737299.398041769, 294884.72087542975 6737288.068747418, 294884.72264343296 6737288.066747116, 294894.5366579327 6737276.90334377, 294904.6526803658 6737266.207298619, 294914.83122678136 6737255.809612646, 294927.8864295016 6737246.221799857, 294927.93872365484 6737246.177575214, 294937.6228194358 6737236.777299113, 294937.64735515724 6737236.75173255, 294944.5296673749 6737229.051745893, 294949.01941188576 6737226.827349799, 294949.06567247026 6737226.801283952, 294949.1089079747 6737226.770459266, 294949.1486307945 6737226.73522338, 294957.4642715113 6737218.529677049, 294957.47530864796 6737218.518437419, 294965.3561834921 6737210.2359334845, 294965.3910282316 6737210.195137142, 294965.42130109435 6737210.150842095, 294965.4466535192 6737210.103558356, 294965.46679359843 6737210.05383035, 294969.3075699276 6737198.882112303, 294969.32210384804 6737198.8312216615, 294969.33117708686 6737198.779079849, 294969.33468798414 6737198.726271082, 294969.3325972026 6737198.67338705, 294969.3249281681 6737198.621020284, 294968.40208940476 6737194.029972247, 294974.09145659633 6737186.721633016, 294983.24241173465 6737177.510305749, 294983.27562782157 6737177.473369263, 294995.56785305304 6737162.356920274, 295008.7870033969 6737146.369386804, 295022.9998313465 6737132.498626485, 295023.0268777243 6737132.470069407, 295034.6662143427 6737119.169672725, 295034.6945040975 6737119.134222111, 295044.2524256028 6737105.974283939, 295051.92987069185 6737097.357740165, 295062.8822034742 6737087.314974227, 295062.89723348164 6737087.30060583, 295071.370398223 6737078.8563124165, 295071.40438929736 6737078.81882159, 295071.4344166218 6737078.7780869, 295079.47276890755 6737066.631071417, 295097.1050286463 6737050.546450656, 295097.142731722 6737050.508146827, 295097.17610551574 6737050.466017323, 295107.6181923714 6737035.720487055, 295121.0669452635 6737020.839399809, 295125.1080239206 6737021.040089744, 295125.15691720403 6737021.040124404, 295125.20558010857 6737021.0353835095, 295125.25354730897 6737021.025912394, 295125.30036013253 6737021.011801621, 295125.3455709448 6737020.993186122, 295125.3887474301 6737020.970243901, 295125.42947672564 6737020.943194338, 295125.4673693689 6737020.912296087, 295125.5020630222 6737020.877844603, 295125.5332259374 6737020.840169318, 295125.56056012795 6737020.799630492, 295127.05163318076 6737018.336429927, 295127.0756143512 6737018.29186884, 295127.0949685208 6737018.245111991, 295127.1094974418 6737018.196638313, 295129.6514615917 6737007.835359706, 295129.6606032083 6737007.788551197, 295129.6652434585 6737007.741084645, 295129.6653401234 6737007.693391917, 295129.66089232353 6737007.645906945, 295129.6519405268 6737007.599061764, 295129.6385661805 6737007.553282593, 295129.6208909699 6737007.508985952, 295126.9890391626 6737001.730328592, 295126.96157085436 6737001.678355039, 295126.92819235835 6737001.629964605, 295122.5979878114 6736996.0809795875, 295119.6111261224 6736983.649093809, 295117.08113814495 6736972.828786935, 295117.0688441183 6736972.785211405, 295117.05265863985 6736972.7429266535, 295117.03271442885 6736972.70227941, 295112.97077449586 6736965.292407865, 295113.7500584881 6736962.5634661885, 295118.2368506511 6736960.210104932, 295118.2761283124 6736960.187167276, 295118.313158981 6736960.160755151, 295118.34763621027 6736960.131087131, 295118.3792746847 6736960.098408733, 295118.40781258035 6736960.062990386, 295119.79889335413 6736958.165983957, 295119.826626605 6736958.1238635415, 295119.84997586557 6736958.079163712, 295119.8687036027 6736958.032339205, 295119.8826192982 6736957.983866367, 295119.8915813869 6736957.934238315, 295119.8954986972 6736957.883959916, 295119.89433137793 6736957.833542657, 295119.4647838795 6736952.007937096, 295120.9029945158 6736945.138893194, 295120.9107849515 6736945.089469565, 295120.9135968681 6736945.039514795, 295120.91140210826 6736944.989529108, 295120.9042226494 6736944.940013036, 295120.89213038323 6736944.891462413, 295120.87524639623 6736944.844363401, 295120.853739757 6736944.799187629, 295120.8278258231 6736944.756387466, 295120.7977640849 6736944.716391493, 295120.763855567 6736944.679600212, 295117.798032141 6736941.768449644, 295120.5537632808 6736935.540787318, 295120.5638186447 6736935.516335886, 295121.7584696294 6736932.377891367, 295121.7740498815 6736932.329768866, 295121.78468839446 6736932.2803184735, 295121.79027629277 6736932.230046268, 295122.34766074555 6736922.966164433, 295122.3468449762 6736922.894717631, 295121.7036931574 6736915.157124138, 295121.697555407 6736915.1102557015, 295121.6870192241 6736915.064176301, 295121.6721787737 6736915.01929776, 295121.6531666891 6736914.976021173, 295121.63015288685 6736914.934733314, 295121.603343048 6736914.895803186, 295121.5729767799 6736914.8595787175, 295121.5393254745 6736914.826383658, 295121.5026898834 6736914.796514681, 295121.46339742956 6736914.770238733, 295114.11640932446 6736910.344819106, 295114.0675170172 6736910.318941451, 295114.01606531156 6736910.298623165, 295113.9626839991 6736910.2841129545, 295108.02616778435 6736909.018400436, 295107.9758580931 6736909.0103285825, 295107.9249881282 6736909.007418852, 295107.87408616807 6736909.009701464, 295107.82368082344 6736909.017152712, 295107.7742955478 6736909.029695217, 295107.72644320125 6736909.047198724, 295107.6806207246 6736909.069481464, 295107.6373039789 6736909.096312032, 295107.596942803 6736909.127411797, 295103.8997010768 6736912.289200192, 295103.86621263326 6736912.32061266, 295103.8357469778 6736912.354964701, 295103.8085610236 6736912.391966632, 295103.78488402657 6736912.431306418, 295101.596865554 6736916.476220004, 295098.1105690044 6736910.359883746, 295094.43444537616 6736899.553826021, 295094.4304613101 6736898.36127019, 295094.93759228237 6736897.423964666, 295096.9192110218 6736896.514836579, 295102.2826971828 6736897.955340635, 295102.32316369715 6736897.964427897, 295102.36424412415 6736897.970130144, 295109.90465210524 6736898.699585484, 295109.95889004733 6736898.701871698, 295120.0868222394 6736898.578444608, 295125.8941822036 6736900.686728594, 295125.9447065243 6736900.7021035645, 295125.9965707071 6736900.712063647, 295126.0491961351 6736900.716497723, 295126.10199569864 6736900.715356325, 295126.1543803454 6736900.708652185, 295134.5557567816 6736899.178784431, 295134.6027152315 6736899.167871006, 295134.6484043521 6736899.1524858475, 295134.692399381 6736899.1327719875, 295134.7342913056 6736899.108912702, 295134.773690665 6736899.081129805, 295134.8102311716 6736899.04968159, 295138.76603186625 6736895.298404097, 295147.4372801754 6736896.021813706, 295154.6755734765 6736897.788783161, 295159.39974859473 6736899.579664312, 295166.20526739355 6736903.642190961, 295173.935812061 6736909.607336354, 295185.94544614165 6736921.890190543, 295185.951494204 6736921.896270992, 295196.03791751707 6736931.864252632, 295196.08468977566 6736931.905058881, 295211.3531563481 6736943.639707098, 295211.96253016766 6736942.846824037, 295196.7187186104 6736931.131124542, 295186.6574626497 6736921.188014723, 295174.6264157231 6736908.883260545, 295174.57436101435 6736908.836963438, 295166.79258497345 6736902.8322862135, 295166.74341556756 6736902.798814306, 295159.8744753497 6736898.6984284995, 295159.83579232905 6736898.677585489, 295159.7954287332 6736898.6602192195, 295155.001275879 6736896.842810303, 295154.9426145059 6736896.824606936, 295147.6364176122 6736895.041061257, 295147.59815922374 6736895.033290686, 295147.5594111968 6736895.028528703, 295138.6260279517 6736894.283250163, 295138.57929270016 6736894.281545903, 295138.5326026473 6736894.284215585, 295138.4863662543 6736894.291235856, 295138.4409880133 6736894.302545299, 295138.3968649092 6736894.318044974, 295138.35438294656 6736894.337599285, 295138.3139137726 6736894.361037165, 295138.2758114258 6736894.38815357, 295138.24040923914 6736894.418711276, 295134.2301495457 6736898.221632123, 295126.108293413 6736899.700599992, 295120.34244020045 6736897.607384474, 295120.29945623176 6736897.593937693, 295120.2554366357 6736897.584413374, 295120.21073857625 6736897.578888795, 295120.16572472226 6736897.577408782, 295109.9738852648 6736897.701614697, 295102.5019225597 6736896.978780719, 295097.00437228347 6736895.502270249, 295096.9560435851 6736895.491821792, 295096.9069192086 6736895.486197828, 295096.8574795575 6736895.485453356, 295096.80820811866 6736895.489595656, 295096.75958673394 6736895.498584221, 295096.71209088806 6736895.512331146, 295096.6661850585 6736895.530701997, 295094.36880947446 6736896.584693176, 295094.3278958609 6736896.605795146, 295094.28909645334 6736896.630570595, 295094.25274014956 6736896.658809506, 295094.2191351371 6736896.690272502, 295094.1885662811 6736896.724692873, 295094.1612927098 6736896.761778844, 295094.1375456176 6736896.801216041, 295093.4902790691 6736897.997527338, 295093.4687498755 6736898.042552989, 295093.4518166183 6736898.089500622, 295093.43964800815 6736898.137902485, 295093.43236528395 6736898.187276339, 295093.43004100554 6736898.237130257, 295093.4347244384 6736899.639028473, 295093.43782818434 6736899.693007761, 295093.44674239727 6736899.746336305, 295093.46136283793 6736899.798390502, 295097.1792084031 6736910.727090909, 295097.1966340128 6736910.771302054, 295097.21817811637 6736910.813659212, 295101.17391391075 6736917.753576663, 295101.19985255244 6736917.794364969, 295101.22960857034 6736917.832457992, 295101.262903865 6736917.867499716, 295101.2994272587 6736917.89916264, 295101.338837404 6736917.927150842, 295101.38076597365 6736917.951202746, 295101.42482110363 6736917.9710935615, 295101.47059105476 6736917.986637389, 295101.5176480612 6736917.9976889575, 295101.5655523285 6736918.004144979, 295101.61385614343 6736918.0059451135, 295101.6621080588 6736918.003072538, 295101.7098571124 6736917.995554101, 295101.75665704167 6736917.983460067, 295101.80207045475 6736917.9669034695, 295101.845672918 6736917.946039044, 295101.887056923 6736917.9210617915, 295101.92583569506 6736917.892205148, 295101.96164680785 6736917.859738808, 295101.9941555708 6736917.823966202, 295102.02305815724 6736917.7852216605, 295102.0480844436 6736917.743867289, 295104.6202415695 6736912.988809946, 295108.05918086215 6736910.047915313, 295113.6722135006 6736911.244658558, 295120.7283178298 6736915.494865873, 295121.34731476376 6736922.941858182, 295120.7966755778 6736932.093631839, 295119.6339414757 6736935.148228132, 295116.7434581605 6736941.680416191, 295116.72539717704 6736941.727521811, 295116.7121749742 6736941.776207658, 295116.70392616105 6736941.825978087, 295116.70073471515 6736941.876326405, 295116.70263312716 6736941.92674004, 295116.70960207016 6736941.976705751, 295116.72157059656 6736942.025714862, 295116.73841686 6736942.07326843, 295116.7599693563 6736942.118882337, 295116.786008669 6736942.162092204, 295116.81626970356 6736942.202458134, 295116.8504443858 6736942.239569178, 295119.86816801556 6736945.201663206, 295118.4715681955 6736951.871969514, 295118.46414868196 6736951.9180246545, 295118.46105363086 6736951.964570824, 295118.4623099831 6736952.011202861, 295118.883485545 6736957.723266614, 295117.6698476439 6736959.378295527, 295113.0958538931 6736961.777394769, 295113.05230970174 6736961.803122606, 295113.0115874198 6736961.833117838, 295112.97410372033 6736961.867073552, 295112.9402421393 6736961.904642309, 295112.9103491509 6736961.945439704, 295112.8847306223 6736961.989048295, 295112.8636486842 6736962.035021875, 295112.8473190485 6736962.08289004, 295111.952808794 6736965.215337695, 295111.9417317578 6736965.262767336, 295111.9353220071 6736965.311049701, 295111.9336403647 6736965.359726633, 295111.93670278776 6736965.408336233, 295111.9444802167 6736965.45641724, 295111.9568988509 6736965.50351341, 295111.97384084883 6736965.549177842, 295111.99514544616 6736965.592977223, 295116.1229654692 6736973.123028538, 295118.6377365992 6736983.878255672, 295118.6384397238 6736983.881221992, 295121.650972832 6736996.419957095, 295121.66617970436 6736996.471075435, 295121.6867448268 6736996.520283254, 295121.712434223 6736996.5670206975, 295121.7429556161 6736996.610756018, 295126.10347345524 6737002.198586315, 295128.63892570726 6737007.765582821, 295126.15653198824 6737017.884046898, 295124.8596077771 6737020.026520364, 295120.87975519366 6737019.828871067, 295120.83057859296 6737019.828850155, 295120.78163778933 6737019.833660169, 295120.73340620444 6737019.843254578, 295120.68635039945 6737019.857540575, 295120.64092556183 6737019.876379966, 295120.5975711022 6737019.899590509, 295120.55670640344 6737019.926947681, 295120.51872676436 6737019.958186847, 295120.4839995753 6737019.99300582, 295106.8563611051 6737035.072030519, 295106.81926904863 6737035.118320731, 295096.3912080769 6737049.844044699, 295078.7530367162 6737065.934058201, 295078.7238363879 6737065.962982043, 295078.6971102703 6737065.994206432, 295078.67303895165 6737066.027520385, 295070.6285160663 6737078.183860461, 295062.19870006555 6737086.58495284, 295051.2354299895 6737096.637747753, 295051.2000386702 6737096.673647933, 295043.48921315547 6737105.327655199, 295043.45796675124 6737105.3664541105, 295033.8987297817 6737118.528203495, 295022.2873039443 6737131.796706223, 295008.0694556773 6737145.672366033, 295008.0333386211 6737145.711585853, 294994.7958743845 6737161.7212685505, 294994.79328254174 6737161.724429403, 294982.51545734674 6737176.823169848, 294973.3607482454 6737186.038275844, 294973.3209195863 6737186.083522966, 294967.47217172047 6737193.596596396, 294967.4446718093 6737193.635633589, 294967.4210211744 6737193.677116055, 294967.4014355236 6737193.72066545, 294967.38609348965 6737193.765884578, 294967.37513500097 6737193.812361014, 294967.3686600054 6737193.859670864, 294967.3667275588 6737193.907382637, 294967.36935528606 6737193.955061171, 294967.3765192209 6737194.00227161, 294968.31782424316 6737198.685187789, 294964.55656931293 6737209.625600867, 294956.75628526625 6737217.823406896, 294948.5034571704 6737225.966972209, 294943.9992314416 6737228.198542869, 294943.9575828127 6737228.221712152, 294943.9183293487 6737228.248741571, 294943.88182769436 6737228.279385545, 294943.8484094929 6737228.313365653, 294936.9135845282 6737236.072103996, 294927.2668389743 6737245.436124524, 294914.206464879 6737255.027735199, 294914.17471451586 6737255.053101937, 294914.1451291 6737255.0809633825, 294903.93507305445 6737265.510837374, 294903.9291058605 6737265.517038919, 294893.8038772113 6737276.222818143, 294893.7916230455 6737276.236256271, 294883.97248498024 6737287.405487653, 294873.90168460057 6737298.738381908, 294873.89362754516 6737298.747676471, 294862.2608653614 6737312.505487869, 294849.729000812 6737325.350696503, 294849.7104622758 6737325.370767601, 294838.85484022397 6737337.787983016, 294830.7963827817 6737345.150758279, 294830.7684865874 6737345.178330042, 294818.6457335656 6737358.138761356, 294811.18188635353 6737365.651176615, 294805.4654849308 6737371.292709523, 294805.4322782845 6737371.328867366, 294805.4027775744 6737371.368107384, 294805.3772671954 6737371.410051293, 294805.3559930749 6737371.454294741, 294805.33916030143 6737371.50041121, 294805.3269311477 6737371.547956123, 294805.3194235062 6737371.596471134, 294805.3167097528 6737371.645488543, 294805.31881604873 6737371.6945358105, 294805.32572208875 6737371.743140106, 294805.33736129676 6737371.790832871, 294805.35362146737 6737371.837154332, 294805.374345848 6737371.8816579385, 294805.39933464973 6737371.923914663, 294805.4283469734 6737371.963517137, 294805.46110313194 6737372.000083583, 294805.49728734687 6737372.033261491, 294806.84474320675 6737373.152111938, 294806.8175020553 6737376.3881452, 294806.14410806453 6737378.078489179, 294794.75515841774 6737390.530195914, 294794.74098197307 6737390.546381143, 294786.4032916082 6737400.4892456755, 294777.84057679307 6737409.003368624, 294777.8114591436 6737409.0349205565, 294777.7851556706 6737409.068854158, 294774.52523754386 6737413.669566523, 294775.3411716545 6737414.247711426, 294778.57619860506 6737409.6821279))</t>
  </si>
  <si>
    <t>['EV6 S29D1 m9322-10803']</t>
  </si>
  <si>
    <t>LINESTRING Z (296153.10510730336 6735800.999856962 179.881, 296140.69217680185 6735809.3737934595 180.251, 296134.3071400522 6735813.029462113 181.341, 296127.3135550799 6735815.415605718 181.981, 296119.11327485123 6735816.584162662 182.201, 296113.6640525288 6735818.256959655 182.511, 296107.31725445134 6735823.943693736 183.821, 296100.2503358775 6735829.648812141 184.121, 296093.2550588997 6735835.570445696 183.731, 296087.70216237847 6735842.246405694 183.111, 296080.7191641779 6735850.6511780815 182.711, 296074.4280252639 6735856.254822512 182.701, 296064.1774325864 6735862.920983679 182.221, 296053.71807987336 6735872.432610516 181.881, 296043.3990674408 6735881.1956199 182.171, 296021.1616315321 6735883.3834034465 182.031, 296015.17376656947 6735883.782947938 181.901, 296003.6376375775 6735888.504614056 182.131, 295988.8591912744 6735901.161098746 182.171, 295987.77972184576 6735905.144680313 182.261, 295978.49708550563 6735914.373203936 182.361, 295968.458987297 6735919.014959886 182.701, 295957.79613906925 6735926.2138993675 182.971, 295948.1320052468 6735935.6130057415 182.931, 295946.76811767987 6735940.272770477 182.551, 295947.9805551056 6735953.98914717 182.441, 295943.5275250464 6735958.753611355 183.161, 295932.67381588864 6735962.186966381 183.191, 295922.17776489153 6735965.190614948 183.521, 295906.70046245656 6735963.432308014 183.381, 295898.0551802061 6735966.397318955 183.951, 295888.45970776665 6735971.82670658 184.651, 295878.7276782511 6735982.581506034 186.181, 295877.41757235414 6735985.996505846 186.511, 295879.31937859516 6735988.97976702 186.761, 295874.37049829034 6735996.464801743 187.661, 295870.72663992125 6735998.562092906 188.891, 295870.19662223605 6736005.711248742 189.121, 295871.3892792469 6736013.0489361845 188.901, 295873.5260037739 6736018.182971223 188.481, 295868.52625073574 6736025.089833013 188.411, 295864.23124948004 6736027.372089907 188.591, 295863.25772007124 6736037.65966544 187.431, 295853.49310532294 6736051.370722772 186.381, 295846.0241289068 6736063.807558585 186.811, 295834.9021164556 6736068.406993472 187.241, 295835.6147089638 6736073.316541182 188.381, 295835.97761567996 6736077.30330431 188.531, 295831.5196556936 6736081.787607983 188.761, 295822.76678288175 6736084.988716268 187.991, 295809.26856817555 6736090.66636758 188.301, 295798.3304826021 6736098.150417006 187.861, 295785.8201427932 6736112.208260903 187.541, 295775.5440193488 6736122.150811286 187.871, 295760.382475667 6736134.9479460325 188.431, 295746.7094043215 6736149.738847695 187.711, 295734.24816642836 6736161.150036348 187.761, 295724.3125270163 6736170.904167619 188.861, 295708.33449875563 6736187.170102332 189.001, 295683.1339975267 6736210.788515576 190.391, 295671.56346235506 6736222.5628231885 190.311, 295656.76734565373 6736238.455240062 187.171, 295649.48051638366 6736239.474932394 186.941, 295646.16265029524 6736243.177320448 187.141, 295643.40388480644 6736244.406145356 187.121, 295643.9001984664 6736246.763313938 187.541, 295646.0055075948 6736252.059273456 188.211, 295643.8345163077 6736254.168136466 188.461, 295630.03063192044 6736255.054757299 187.071, 295623.01368943497 6736254.187188425 186.451, 295618.12344276113 6736254.698449665 186.481, 295615.1310075802 6736257.742497514 186.481, 295608.6202596794 6736261.294725944 185.201, 295602.1001377252 6736270.866660844 185.811, 295606.4585212639 6736288.170977018 186.811, 295605.6436673375 6736293.923178137 187.501, 295592.5177352637 6736307.89370238 187.441, 295576.2112902256 6736320.631754362 186.481, 295564.98030990385 6736332.387959593 187.081, 295561.0097534597 6736340.001098586 187.831, 295557.13955776184 6736344.6143031195 188.481, 295549.50927323947 6736352.713122876 190.151, 295548.0760788494 6736361.893506326 190.331, 295540.9391848946 6736372.670142784 190.391, 295533.99869679444 6736383.185919221 191.101, 295526.5289347192 6736395.983379141 190.191, 295517.94013913756 6736411.083969707 188.631, 295509.6231518204 6736418.88892156 188.181, 295506.20833385875 6736431.09949621 188.471, 295506.5006921385 6736436.392020808 188.781, 295500.08802803967 6736445.5375896655 188.761, 295489.90837889013 6736450.717743993 189.001, 295481.67700884136 6736448.863358438 189.071, 295475.8427268996 6736453.831729088 188.681, 295464.0782235364 6736468.540884057 187.401, 295445.6093333692 6736485.049911448 187.201, 295437.3987767226 6736495.413114525 188.161, 295428.2263133988 6736508.020990624 188.431, 295421.25199133134 6736517.527034083 188.781, 295411.8861620027 6736528.763112581 190.091, 295409.88080687466 6736539.045667144 190.311, 295410.74966002983 6736556.646323029 191.191, 295415.2112501622 6736572.693228379 191.451, 295410.68955834897 6736589.499804487 192.06, 295403.7398707274 6736607.727888183 193.18, 295391.2613156362 6736627.262477605 192.57, 295383.3608567386 6736644.189217085 192.79, 295381.3390019046 6736654.91332909 194.78, 295380.0240972669 6736657.487309688 194.87, 295374.9511456948 6736657.577668381 193.42, 295369.083686528 6736669.808931484 193.9, 295370.54927969 6736672.875557714 194.55, 295368.8063103308 6736678.126437675 194.74, 295362.6140774208 6736681.641659979 192.12, 295357.140620086 6736692.810310625 191.55, 295343.8097140192 6736711.949706858 190.11, 295336.9259063555 6736727.470146495 190.15, 295329.3115345831 6736739.434057825 190.01, 295318.6540266314 6736756.307585895 190.24, 295311.11646691826 6736766.895300859 190.16, 295304.0775839829 6736777.256105955 190.68, 295295.5396531957 6736799.504963127 190.93, 295286.640613786 6736814.421831793 192.05, 295275.97921987 6736829.5328755705 193.03, 295267.30856680026 6736845.539249499 193.86, 295250.8867727112 6736855.739620751 193.73, 295233.80141877284 6736864.202679539 192.84, 295217.6676086164 6736872.104192963 192.8, 295209.55378539313 6736877.334408757 193.89, 295204.18392092927 6736887.81650309 193.78, 295195.69140016416 6736893.457521391 194.23, 295188.68979249895 6736894.942757433 194.03, 295184.0650580443 6736895.5500377035 193.12, 295180.3197920994 6736893.306103626 193.22, 295178.1502908077 6736888.684590239 193.83, 295177.5554013088 6736884.479838799 193.34, 295172.92289831885 6736882.313284227 192.57, 295161.7148787413 6736880.607699497 192.59, 295144.02986042935 6736878.206064367 193.02, 295146.46433745604 6736882.162445089 192.7, 295152.56080374576 6736885.112217363 191.68, 295163.17110768764 6736888.942895952 191.1, 295172.8783631284 6736894.99508018 190.34, 295180.34349395975 6736901.447310021 189.75, 295190.2115426557 6736911.827556639 188.93, 295197.21116663347 6736919.316169254 188.32, 295205.82202914776 6736927.72035591 187.93, 295216.8222915429 6736935.856853006 187.86)</t>
  </si>
  <si>
    <t>POLYGON ((296140.4277906568 6735808.949013586, 296134.1003119554 6735812.571728137, 296127.196534941 6735814.927230136, 296119.0427364209 6735816.089163339, 296119.00430733577 6735816.096181022, 296118.966543407 6735816.106177429, 296113.51732108457 6735817.778974422, 296113.46656731307 6735817.797612739, 296113.4181228012 6735817.82162235, 296113.3725540264 6735817.850722504, 296113.33039383957 6735817.884572922, 296106.99317289254 6735823.5627258895, 296099.9362598659 6735829.259766824, 296099.9272835976 6735829.267187687, 296092.93200661975 6735835.188821241, 296092.8999794047 6735835.218425026, 296092.87065381405 6735835.250707162, 296087.3177572928 6735841.926667159, 296080.35857016564 6735850.302780298, 296074.12371642387 6735855.856290389, 296063.9048442478 6735862.501823092, 296063.8719460334 6735862.525158002, 296063.84103569423 6735862.551068647, 296053.38796164765 6735872.05698573, 296043.1945589405 6735880.713326069, 296021.1204994214 6735882.885036171, 296015.14047774253 6735883.2840573145, 296015.0872465381 6735883.290490544, 296015.0350102958 6735883.302586932, 296014.9843697218 6735883.3202073695, 296003.4482407298 6735888.041873488, 296003.40009364876 6735888.064644873, 296003.3546419098 6735888.0924084615, 296003.3124012406 6735888.124849227, 295988.5339549375 6735900.781333917, 295988.4977837089 6735900.81557802, 295988.46519911266 6735900.853251094, 295988.4365245205 6735900.893979268, 295988.412044501 6735900.937358353, 295988.3920019953 6735900.982957853, 295988.3765959067 6735901.030325235, 295987.33217399963 6735904.884570429, 295978.20714127837 6735913.956409177, 295968.24913074065 6735918.5611314755, 295968.213377961 6735918.579441741, 295968.1792103705 6735918.600562888, 295957.51636214275 6735925.79950237, 295957.4807048605 6735925.825954448, 295957.4475346562 6735925.855465325, 295947.7834008338 6735935.254571699, 295947.7484232148 6735935.292280275, 295947.71750446246 6735935.333382603, 295947.6909717428 6735935.377443758, 295947.66910581134 6735935.423997507, 295947.65213804215 6735935.472551244, 295946.2882504752 6735940.13231598, 295946.27725916385 6735940.177597387, 295946.27053088945 6735940.223705358, 295946.26812408597 6735940.270239453, 295946.2700596563 6735940.316795529, 295947.4628422999 6735953.810816502, 295943.2517432811 6735958.316429576, 295932.5296069031 6735961.70816417, 295922.1356056682 6735964.682609218, 295906.75690217083 6735962.935503667, 295906.7126702572 6735962.932457066, 295906.66834235395 6735962.933340781, 295906.62426701025 6735962.938147863, 295906.5807907895 6735962.946840515, 295906.53825554415 6735962.959350386, 295897.89297329367 6735965.924361327, 295897.8500894902 6735965.941316983, 295897.8089502003 6735965.962151418, 295888.2134777609 6735971.391539044, 295888.16849771736 6735971.420262602, 295888.1268354265 6735971.453616772, 295888.0889655464 6735971.491221549, 295878.35693603085 6735982.246021003, 295878.327592917 6735982.281619847, 295878.30165580334 6735982.319771676, 295878.2793454971 6735982.360151699, 295878.2608519302 6735982.402416152, 295876.9507460332 6735985.817415964, 295876.9360800858 6735985.861727526, 295876.9256100636 6735985.907213603, 295876.9194272065 6735985.95347781, 295876.91758539464 6735986.000116982, 295876.9201006782 6735986.046724684, 295876.9269511381 6735986.092894758, 295876.9380770765 6735986.13822486, 295876.95338153734 6735986.182319962, 295876.9727311511 6735986.2247958025, 295876.9959572973 6735986.265282229, 295878.723255858 6735988.974802589, 295874.0186182266 6735996.09042751, 295870.47721914225 6735998.1287463065, 295870.4362383571 6735998.155070878, 295870.3980133756 6735998.185257938, 295870.3629069388 6735998.219021022, 295870.33125219384 6735998.256039732, 295870.3033495326 6735998.295962774, 295870.279463741 6735998.338411293, 295870.2598214864 6735998.382982468, 295870.24460916664 6735998.429253335, 295870.23397114093 6735998.4767848, 295870.22800836025 6735998.525125808, 295869.69799067505 6736005.674281645, 295869.69709661364 6736005.733023787, 295869.7030988805 6736005.7914653085, 295870.89575589134 6736013.129152751, 295870.90844271966 6736013.186035543, 295870.92766240024 6736013.241055644, 295872.9568023423 6736018.116590805, 295868.1892275043 6736024.702712205, 295863.9966287762 6736026.930554941, 295863.95421965496 6736026.955851422, 295863.91451262217 6736026.985207802, 295863.87789497164 6736027.018337745, 295863.84472386393 6736027.05491811, 295863.8153228428 6736027.0945921, 295863.78997867944 6736027.136972743, 295863.7689385753 6736027.181646667, 295863.7524077509 6736027.228178133, 295863.7405474443 6736027.276113284, 295863.73347333836 6736027.324984569, 295862.7725884457 6736037.478941731, 295853.08583159343 6736051.080674311, 295853.0644634313 6736051.113300689, 295845.6804860331 6736063.40860187, 295834.7110390703 6736067.944944305, 295834.6650929799 6736067.966743688, 295834.62159890356 6736067.993097467, 295834.58100678836 6736068.0237330105, 295834.5437365608 6736068.058333392, 295834.5101737823 6736068.096540673, 295834.4806656607 6736068.137959594, 295834.4555174582 6736068.182161679, 295834.4349893337 6736068.228689653, 295834.419293651 6736068.277062185, 295834.40859278245 6736068.32677886, 295834.4029974288 6736068.377325356, 295834.4025654741 6736068.4281787705, 295834.407301387 6736068.478813022, 295835.11797729676 6736073.375155946, 295835.45852269663 6736077.116265668, 295831.2434710424 6736081.356225575, 295822.5950471102 6736084.519134725, 295822.57292282797 6736084.527827692, 295809.07470812177 6736090.205479004, 295809.02924753196 6736090.227362308, 295808.9862237474 6736090.25371564, 295798.04813817394 6736097.737765065, 295798.0001075811 6736097.775114001, 295797.9569690241 6736097.818020244, 295785.4590462762 6736111.861911115, 295775.2085451753 6736121.77967088, 295760.05997274665 6736134.565857212, 295760.0153206297 6736134.608538934, 295746.3563783211 6736149.3841564525, 295733.91049089015 6736160.7812881535, 295733.8978871165 6736160.793238921, 295723.9622477044 6736170.547370192, 295723.9558309652 6736170.5537850745, 295707.9850434625 6736186.8123485595, 295682.79208133655 6736210.423696006, 295682.7773716254 6736210.438061633, 295671.20683645376 6736222.2123692455, 295671.19751225086 6736222.222117272, 295656.52231325407 6736237.984657193, 295649.4112233709 6736238.979757194, 295649.3620593457 6736238.9891670905, 295649.3140825669 6736239.003445613, 295649.267773886 6736239.0224496545, 295649.2235974359 6736239.045988745, 295649.1819959791 6736239.073826961, 295649.14338647 6736239.105685294, 295649.1081558756 6736239.141244438, 295645.86160008743 6736242.764057729, 295643.2004414093 6736243.94940606, 295643.15712383366 6736243.971278684, 295643.1161305728 6736243.997247445, 295643.07784775423 6736244.027067738, 295643.04263597523 6736244.060458674, 295643.0108269059 6736244.097105736, 295642.9827201653 6736244.136663733, 295642.95858049917 6736244.178760057, 295642.9386352861 6736244.222998192, 295642.9230723961 6736244.268961443, 295642.91203842044 6736244.316216869, 295642.90563729155 6736244.36431936, 295642.9039293035 6736244.412815821, 295642.9069305444 6736244.461249452, 295642.9146127446 6736244.509164041, 295643.4109264045 6736246.866332623, 295643.4215003919 6736246.907702834, 295643.43556562695 6736246.948019987, 295645.4174323843 6736251.933457031, 295643.61842027353 6736253.680985968, 295630.0454127549 6736254.552777623, 295623.0750418572 6736253.690966821, 295623.0184009064 6736253.687210623, 295622.96169922844 6736253.689898753, 295618.0714525546 6736254.201159992, 295618.0227811513 6736254.208687232, 295617.97508639307 6736254.220966275, 295617.9288310268 6736254.2378779845, 295617.884463834 6736254.2592582805, 295617.8424152768 6736254.284899725, 295617.8030933211 6736254.314553537, 295617.76687947876 6736254.347932011, 295614.82643315825 6736257.339094311, 295608.3807862624 6736260.855803989, 295608.34036665165 6736260.880407356, 295608.3024538417 6736260.908721476, 295608.2673873906 6736260.940492761, 295608.23548136326 6736260.9754366595, 295608.2070215193 6736261.013240202, 295601.6868995651 6736270.585175102, 295601.66233776405 6736270.625142327, 295601.64162976056 6736270.667235553, 295601.6249578397 6736270.71108425, 295601.61246875854 6736270.756302432, 295601.60427245393 6736270.802492061, 295601.60044107505 6736270.849246543, 295601.6010083482 6736270.896154318, 295601.6059692799 6736270.942802473, 295601.61528020067 6736270.988780379, 295605.9497051565 6736288.197972549, 295605.17082390096 6736293.696236084, 295592.17965094594 6736307.5233300915, 295575.90348858543 6736320.237726253, 295575.849752996 6736320.2863693135, 295564.61877267424 6736332.042574544, 295564.5879686726 6736332.078010633, 295564.56062449724 6736332.116179978, 295564.53698128054 6736332.156745987, 295560.5916462758 6736339.72152543, 295556.7657599393 6736344.281913991, 295549.14534969634 6736352.370253142, 295549.1128996202 6736352.408347624, 295549.0844199347 6736352.449494977, 295549.0601959148 6736352.493283033, 295549.04047020734 6736352.539273179, 295549.0254404006 6736352.587004741, 295549.015257045 6736352.635999601, 295547.59890762315 6736361.708481939, 295540.5223131042 6736372.394066869, 295540.5218815715 6736372.394719589, 295533.58139347134 6736382.910496025, 295533.56687457894 6736382.933868484, 295526.0971125037 6736395.7313284045, 295526.0943166879 6736395.736180503, 295517.54288232944 6736410.771083565, 295509.2809998664 6736418.524323096, 295509.24936846044 6736418.5568282, 295509.220812735 6736418.592065938, 295509.19556766097 6736418.629746355, 295509.1738409677 6736418.669559399, 295509.1558114335 6736418.711177466, 295509.1416274145 6736418.754258103, 295505.72680945287 6736430.964832753, 295505.7149940281 6736431.018158571, 295505.7090656218 6736431.072454991, 295505.70909497765 6736431.127074093, 295505.99190381315 6736436.24672632, 295499.7501891178 6736445.148491742, 295489.8423382275 6736450.190335121, 295481.7868962006 6736448.375583112, 295481.73616199876 6736448.366869864, 295481.6848008019 6736448.3634191565, 295481.633357014 6736448.365267565, 295481.58237591444 6736448.372395498, 295481.53239787853 6736448.384727401, 295481.48395264935 6736448.402132564, 295481.43755372305 6736448.4244265, 295481.393692906 6736448.451372904, 295481.3528351018 6736448.4826861555, 295475.51855316 6736453.451056805, 295475.48377303313 6736453.483659955, 295475.45225597254 6736453.519427222, 295463.71385081584 6736468.195951612, 295445.2761127477 6736484.67713267, 295445.24543527846 6736484.7070147, 295445.2174274279 6736484.73941228, 295437.0068707813 6736495.102615357, 295436.9944559574 6736495.118963682, 295427.8225827637 6736507.726028626, 295420.8580105607 6736517.21878296, 295411.5020922259 6736528.4429713525, 295411.4719236546 6736528.483100812, 295411.44593146135 6736528.526053368, 295411.42437770095 6736528.571395971, 295411.4074796798 6736528.618671473, 295411.3954077649 6736528.66740324, 295409.39005263685 6736538.949957802, 295409.38208944455 6736539.009877132, 295409.38141498476 6736539.070319532, 295410.25026813993 6736556.670975418, 295410.25606670766 6736556.726107942, 295410.2679329561 6736556.78025968, 295414.69288692594 6736572.695396531, 295410.2133213791 6736589.345394454, 295403.2909256238 6736607.501895303, 295390.8399491378 6736626.993311719, 295390.80823754345 6736627.051005995, 295382.9077786458 6736643.977745475, 295382.89172880177 6736644.01624605, 295382.8789438852 6736644.055950428, 295382.8695128734 6736644.096582285, 295380.8609929979 6736654.749964391, 295379.71528738196 6736656.992730856, 295374.94224117824 6736657.077747677, 295374.8921194899 6736657.081164698, 295374.84259369696 6736657.089594141, 295374.79416378407 6736657.102950907, 295374.7473186724 6736657.121100155, 295374.70253128395 6736657.143858659, 295374.6602537671 6736657.170996663, 295374.6209129318 6736657.202240196, 295374.58490594116 6736657.237273841, 295374.5525963015 6736657.2757439185, 295374.5243101928 6736657.317262055, 295374.5003331756 6736657.361409109, 295368.6328740088 6736669.592672212, 295368.61366670625 6736669.638398886, 295368.59908411495 6736669.685803496, 295368.58926971897 6736669.734419613, 295368.584320086 6736669.783768881, 295368.5842839175 6736669.833365734, 295368.58916156925 6736669.882722169, 295368.5989050482 6736669.931352547, 295368.6134184844 6736669.978778377, 295368.63255907415 6736670.024533016, 295370.0112471949 6736672.909318005, 295368.3923214814 6736677.786503334, 295362.3672368608 6736681.206838477, 295362.3251416559 6736681.233596107, 295362.28592191316 6736681.26441475, 295362.2499679438 6736681.2989877025, 295362.2176375584 6736681.336970898, 295362.18925250607 6736681.377986332, 295362.16509527236 6736681.421625822, 295356.7084713163 6736692.555927771, 295343.39942773856 6736711.663935677, 295343.37405711965 6736711.704343727, 295343.3526535557 6736711.746986033, 295336.4840097451 6736727.233236792, 295328.8897193887 6736739.165595646, 295328.88879627205 6736739.167051608, 295318.2386781475 6736756.028879714, 295310.7091440807 6736766.605321366, 295310.70288371376 6736766.614322331, 295303.6640007784 6736776.975127427, 295303.6344526862 6736777.024514388, 295303.61077548395 6736777.076969624, 295295.0882416526 6736799.285704115, 295286.2210275065 6736814.149226205, 295275.57066939154 6736829.244628269, 295275.53958002775 6736829.2947226595, 295266.93209247134 6736845.184490513, 295250.6433347869 6736855.302226413, 295233.5804919686 6736863.754134544, 295217.44769197307 6736871.655153243, 295217.396710102 6736871.683938284, 295209.2828868787 6736876.914154079, 295209.2403493344 6736876.944847675, 295209.20126151684 6736876.979828842, 295209.16605363286 6736877.018712571, 295209.13511318585 6736877.061070902, 295209.10878071154 6736877.106437634, 295203.79847032716 6736887.472281084, 295195.4942660008 6736892.988213265, 295188.6052363835 6736894.449568367, 295184.17263761326 6736895.031619035, 295180.7075943099 6736892.95557721, 295178.6348336985 6736888.540142681, 295178.0504710335 6736884.409796185, 295178.0410909659 6736884.3610719815, 295178.0269277612 6736884.313517409, 295178.0081209004 6736884.267600792, 295177.9848555961 6736884.223774324, 295177.95736096805 6736884.182469614, 295177.92590778705 6736884.144093434, 295177.89080580836 6736884.109023721, 295177.85240072093 6736884.0776058445, 295177.8110707433 6736884.050149213, 295177.76722289855 6736884.026924222, 295173.1347199086 6736881.86036965, 295173.0905754536 6736881.842238179, 295173.0449034712 6736881.828397907, 295172.99812003004 6736881.818974917, 295161.7901004525 6736880.113390187, 295161.7821614416 6736880.112247139, 295144.0971431296 6736877.710612009, 295144.04827008775 6736877.706403397, 295143.99921985023 6736877.7070040945, 295143.9504645328 6736877.712408321, 295143.9024734125 6736877.722564058, 295143.8557084109 6736877.737373558, 295143.810619648 6736877.756694274, 295143.76764110976 6736877.780340244, 295143.72718647093 6736877.808083871, 295143.68964511325 6736877.839658119, 295143.6553783779 6736877.87475908, 295143.6247160871 6736877.913048903, 295143.59795337 6736877.954159043, 295143.5753478217 6736877.997693809, 295143.5571170238 6736878.043234171, 295143.5434364504 6736878.090341799, 295143.53443777916 6736878.138563273, 295143.5302076235 6736878.187434454, 295143.5307866993 6736878.236484952, 295143.536169433 6736878.285242647, 295143.54630401474 6736878.333238239, 295143.5610928979 6736878.380009765, 295143.58039373724 6736878.42510704, 295143.6040207595 6736878.468095997, 295146.0384977862 6736882.424476719, 295146.0652001057 6736882.463591856, 295146.0954834981 6736882.500005095, 295146.12907625973 6736882.533389735, 295146.1656769953 6736882.563446247, 295146.20495732175 6736882.589904965, 295146.24656481476 6736882.6125285, 295152.3430311045 6736885.562300774, 295152.3910136692 6736885.582505924, 295162.95151061815 6736889.395202504, 295172.5808291108 6736895.398795369, 295179.99799705955 6736901.809570137, 295189.84770663606 6736912.17052575, 295196.8458885431 6736919.657595552, 295196.86193349457 6736919.673990738, 295205.47279600886 6736928.078177394, 295205.5246949506 6736928.122341451, 295216.52495734574 6736936.258838547, 295217.11962574004 6736935.454867465, 295206.14682113705 6736927.338679907, 295197.5686103576 6736918.966361286, 295190.57682074606 6736911.486130341, 295190.5739235596 6736911.483056885, 295180.70587486366 6736901.102810267, 295180.6704510666 6736901.06902567, 295173.2053202352 6736894.616795829, 295173.1750012024 6736894.592580672, 295173.14289567556 6736894.570789558, 295163.4356402348 6736888.51860533, 295163.3894834828 6736888.493104876, 295163.3408977642 6736888.472607391, 295152.755111791 6736884.650780618, 295146.81361626124 6736881.775990872, 295145.0092655899 6736878.843657507, 295161.64362198877 6736881.102612176, 295172.7763918846 6736882.796745756, 295177.0982686084 6736884.818024921, 295177.655221083 6736888.754632853, 295177.6646215508 6736888.803440452, 295177.67882150016 6736888.851073547, 295177.6976806045 6736888.8970614225, 295179.86718189623 6736893.51857481, 295179.8903178238 6736893.562134575, 295179.9176329216 6736893.603202929, 295179.94886138896 6736893.64138024, 295179.9836993449 6736893.676295009, 295180.0218077849 6736893.707607484, 295180.0628158795 6736893.735012967, 295183.80808182433 6736895.978947044, 295183.85027073254 6736896.0015533855, 295183.8944279091 6736896.020022126, 295183.9401487065 6736896.034184022, 295183.98701414844 6736896.043909296, 295184.0345947692 6736896.049108829, 295184.0824545493 6736896.049734973, 295184.1301549114 6736896.0457819905, 295188.7548893661 6736895.43850172, 295188.7935477141 6736895.431873836, 295195.79515537934 6736893.946637793, 295195.8407601304 6736893.934691802, 295195.8850370712 6736893.918503764, 295195.9275925799 6736893.898217593, 295195.968048338 6736893.8740136335, 295204.46056910313 6736888.232995332, 295204.50162084715 6736888.202594739, 295204.53935651353 6736888.168164213, 295204.57338222617 6736888.130063129, 295204.60334283265 6736888.088689179, 295204.62892561086 6736888.044474213, 295209.9375595921 6736877.681903139, 295217.9138602775 6736872.540335141, 295234.0213354162 6736864.651719259, 295234.0233536877 6736864.650725177, 295251.10870762606 6736856.187666388, 295251.1505947856 6736856.164353506, 295267.57238887466 6736845.963982254, 295267.6149393173 6736845.93438983, 295267.6541977851 6736845.90055162, 295267.68974244554 6736845.862831216, 295267.72119137103 6736845.821633925, 295267.7482066425 6736845.77740241, 295276.40479432466 6736829.796993752, 295287.04916426446 6736814.710079094, 295287.07000760455 6736814.677997654, 295295.96904701425 6736799.761128988, 295295.9894065011 6736799.723416702, 295296.00646169466 6736799.684099458, 295304.5236702989 6736777.489241891, 295311.5269692907 6736767.180814182, 295319.06134946895 6736756.597565387, 295319.07676494244 6736756.574592113, 295329.73381257476 6736739.701792845, 295337.3477215499 6736727.738608674, 295337.3665718601 6736727.706396178, 295337.382966819 6736727.67286732, 295344.24736351863 6736712.196192225, 295357.5509063666 6736693.096081805, 295357.5715097441 6736693.063952306, 295357.5896022344 6736693.0303447815, 295362.99513917527 6736682.000286456, 295369.0531508908 6736678.561259177, 295369.09730483184 6736678.533036003, 295369.138262352 6736678.500346562, 295369.17557355436 6736678.463549929, 295369.2088285952 6736678.423050296, 295369.2376621854 6736678.37929253, 295369.2617576032 6736678.332757287, 295369.28085017315 6736678.283955731, 295371.02381953236 6736673.03307577, 295371.03670966986 6736672.986966936, 295371.0451306979 6736672.939836622, 295371.04900540644 6736672.892116953, 295371.04829826934 6736672.844245456, 295371.04301577015 6736672.796661053, 295371.0332063426 6736672.749800031, 295371.0189599267 6736672.704092046, 295371.0004071439 6736672.659956182, 295369.6380468504 6736669.809335751, 295375.2685187072 6736658.072094687, 295380.0330017835 6736657.987230391, 295380.0819948342 6736657.983946247, 295380.1304294965 6736657.975872331, 295380.1778386463 6736657.963086514, 295380.2237650499 6736657.945712105, 295380.26776577387 6736657.923916672, 295380.30941645673 6736657.897910418, 295380.348315402 6736657.86794416, 295380.38408745185 6736657.834306902, 295380.4163876057 6736657.797323058, 295380.44490434736 6736657.757349316, 295380.4693626495 6736657.714771199, 295381.7842672872 6736655.140790601, 295381.80389355915 6736655.097382749, 295381.8192996708 6736655.052304109, 295381.83034576976 6736655.00596389, 295383.8405443478 6736644.343677784, 295391.70044121356 6736627.50384249, 295404.1612372258 6736607.997054068, 295404.1864777216 6736607.952704092, 295404.2070663535 6736607.906012429, 295411.1567539751 6736589.677928734, 295411.17238897865 6736589.629706693, 295415.6940807919 6736572.823130584, 295415.70517703576 6736572.770921645, 295415.71064468654 6736572.717827344, 295415.71042143705 6736572.664452723, 295415.70450983144 6736572.611406018, 295415.69297723594 6736572.559291728, 295411.2463059549 6736556.56604469, 295410.3831954982 6736539.081720615, 295412.35236246994 6736528.984722558, 295421.63606110815 6736517.847175312, 295421.65512862767 6736517.822804806, 295428.6294506951 6736508.3167613465, 295428.63063416403 6736508.315141467, 295437.79705790454 6736495.71556699, 295445.9745711848 6736485.394070599, 295464.4114441578 6736468.913662835, 295464.4413305847 6736468.884618361, 295464.46869446343 6736468.853185923, 295476.2033197497 6736454.181387505, 295481.8109177594 6736449.406056856, 295489.7984915309 6736451.205519319, 295489.8471912225 6736451.2139859395, 295489.896488924 6736451.217602601, 295489.94590283063 6736451.216333958, 295489.9949500017 6736451.210192409, 295490.04315108096 6736451.199237977, 295490.090034981 6736451.183577724, 295490.13514348824 6736451.163364703, 295500.3147926378 6736445.9832103755, 295500.35718416126 6736445.958962401, 295500.39700792945 6736445.930694521, 295500.43388402264 6736445.898676413, 295500.4674606421 6736445.863213529, 295500.49741746625 6736445.824644186, 295506.9100815651 6736436.679075328, 295506.93552469515 6736436.638841892, 295506.95702636 6736436.596371189, 295506.9743916614 6736436.552048187, 295506.9874631945 6736436.506274643, 295506.9961224747 6736436.459465466, 295507.0002910114 6736436.412044948, 295506.9999310196 6736436.364442925, 295506.71213477093 6736431.154504193, 295510.0670839822 6736419.1580059165, 295518.2822910916 6736411.448568171, 295518.3169815637 6736411.4125877, 295518.3479065913 6736411.373323648, 295518.3747571689 6736411.331168345, 295526.9621684394 6736396.233011639, 295534.4235812294 6736383.4498560075, 295541.3562726067 6736372.945892659, 295548.4929506398 6736362.16958224, 295548.5201697412 6736362.123252446, 295548.5422598962 6736362.074269242, 295548.5589659783 6736362.0231983485, 295548.57009504386 6736361.970629601, 295549.97940053314 6736352.9432674525, 295557.503481305 6736344.957172854, 295557.52261034073 6736344.935660742, 295561.3928060386 6736340.322456209, 295561.42539508286 6736340.27902311, 295561.453082083 6736340.232312192, 295565.39084052574 6736332.682060038, 295576.5477271869 6736321.003413511, 295592.82553690387 6736308.287730489, 295592.85482552566 6736308.26298568, 295592.882131883 6736308.236069295, 295606.0080639568 6736294.265545052, 295606.0411075408 6736294.226561204, 295606.06999927555 6736294.184408071, 295606.0944373442 6736294.139526008, 295606.11416645505 6736294.092383871, 295606.1289805084 6736294.043474131, 295606.1387247497 6736293.993307722, 295606.9535786761 6736288.241106602, 295606.9580404458 6736288.19289931, 295606.9578190226 6736288.144486488, 295606.95291648235 6736288.096322024, 295606.9433787884 6736288.048857482, 295602.63987591537 6736270.96243686, 295608.9656025374 6736261.675886112, 295615.3704809972 6736258.181419469, 295615.4123454937 6736258.155836332, 295615.45150111924 6736258.126273349, 295615.4875708626 6736258.093015168, 295618.3540832818 6736255.17706196, 295623.0089474035 6736254.69040929, 295629.9692794982 6736255.550978903, 295630.015915754 6736255.554540686, 295630.0626807838 6736255.553729112, 295643.86656517105 6736254.66710828, 295643.91669411387 6736254.661337042, 295643.9659860863 6736254.650542621, 295644.01393905573 6736254.634834953, 295644.06006462744 6736254.614374021, 295644.10389301827 6736254.589368217, 295644.1449778417 6736254.560072221, 295644.1829006542 6736254.52678441, 295646.3538919413 6736252.4179214, 295646.3873732025 6736252.382040644, 295646.41717568744 6736252.343050449, 295646.4430122881 6736252.301326432, 295646.4646341024 6736252.257270552, 295646.48183283256 6736252.211307229, 295646.4944427912 6736252.163879258, 295646.5023424979 6736252.115443546, 295646.5054558492 6736252.0664667105, 295646.5037528521 6736252.017420576, 295646.49724991276 6736251.96877764, 295646.48600967845 6736251.921006513, 295646.4701404342 6736251.874567407, 295644.38064855366 6736246.618396585, 295643.97640249296 6736244.6984894965, 295646.36609369237 6736243.634059743, 295646.41295894515 6736243.610154804, 295646.4570529826 6736243.581457872, 295646.49788763135 6736243.548286657, 295646.5350108033 6736243.511008404, 295649.73086643446 6736239.9447711315, 295656.8366386665 6736238.950415262, 295656.88448303676 6736238.941325274, 295656.9312161426 6736238.927623872, 295656.9763946342 6736238.909441035, 295657.0195899103 6736238.886949264, 295657.06039218383 6736238.860361935, 295657.09841436986 6736238.829931276, 295657.1332957579 6736238.795945979, 295671.92481612426 6736222.908465999, 295683.48341628065 6736211.146303594, 295708.6764149458 6736187.534921902, 295708.6911948067 6736187.520484876, 295724.6660437959 6736171.257786721, 295734.5922476572 6736161.512918629, 295747.0470798597 6736150.10759589, 295747.0765593588 6736150.078254794, 295760.7286253918 6736135.310075715, 295775.86652226915 6736122.532900106, 295775.89169240766 6736122.510148793, 295786.16781585204 6736112.567598411, 295786.1936563712 6736112.540657665, 295798.6633218862 6736098.52851939, 295809.5091134571 6736091.107619304, 295822.9496841315 6736085.454214362, 295831.69139146514 6736082.257189525, 295831.7416495303 6736082.23562443, 295831.78925172664 6736082.208699397, 295831.8336285553 6736082.17673655, 295831.874249105 6736082.140118284, 295836.33220909134 6736077.655814611, 295836.3646902035 6736077.61980599, 295836.39353027055 6736077.580820171, 295836.4184580062 6736077.53922388, 295836.439238926 6736077.495408393, 295836.4556775525 6736077.449785865, 295836.46761925466 6736077.402785447, 295836.474951702 6736077.354849254, 295836.4776059212 6736077.306428198, 295836.4755569452 6736077.257977758, 295836.112650229 6736073.2712146295, 295836.1095240324 6736073.2447216315, 295835.45283272443 6736068.72031635, 295846.2152062921 6736064.269607752, 295846.263154317 6736064.246724674, 295846.308403603 6736064.218883149, 295846.350443259 6736064.186397526, 295846.3887986323 6736064.149634588, 295846.423036668 6736064.1090094065, 295846.4527707984 6736064.064980668, 295853.9116998485 6736051.644875051, 295863.66499380075 6736037.949713901, 295863.6931252015 6736037.905475067, 295863.7164698452 6736037.858533851, 295863.7347710855 6736037.809406316, 295863.74782772205 6736037.758632559, 295863.7554962129 6736037.706770778, 295864.7036572157 6736027.687270755, 295868.7608714396 6736025.531367978, 295868.80009099655 6736025.508176785, 295868.83703657857 6736025.481511656, 295868.87140138855 6736025.451594021, 295868.9029000605 6736025.418672314, 295868.93127102894 6736025.3830199195, 295873.9310240671 6736018.47615813, 295873.95879620995 6736018.433352347, 295873.98206103273 6736018.387938969, 295874.0005762437 6736018.340390951, 295874.01414901594 6736018.291203486, 295874.0226379958 6736018.240888834, 295874.02595477464 6736018.189970999, 295874.02406480996 6736018.138980265, 295874.0169877847 6736018.088447675, 295874.00479740265 6736018.038899502, 295873.9876206206 6736017.990851764, 295871.8734045415 6736012.910899111, 295870.6996199902 6736005.689322342, 295871.2056832808 6735998.8632759135, 295874.61991906934 6735996.898148342, 295874.6590310744 6735996.873150653, 295874.69565635006 6735996.844633595, 295874.72947924 6735996.812842944, 295874.7602082406 6735996.778052688, 295874.78757851303 6735996.740562668, 295879.73645881785 6735989.255527945, 295879.7609653156 6735989.2142902985, 295879.78140725166 6735989.170893995, 295879.79759646906 6735989.125738473, 295879.809383955 6735989.079239364, 295879.8166612123 6735989.031824668, 295879.8193612577 6735988.983930809, 295879.81745923887 6735988.935998625, 295879.81097266276 6735988.888469305, 295879.79996123473 6735988.84178033, 295879.784526309 6735988.796361446, 295879.7648099554 6735988.75263071, 295879.740993652 6735988.710990638, 295877.97467848286 6735985.940267022, 295879.16106397886 6735982.847764152, 295888.7762465927 6735972.222091412, 295898.261146905 6735966.855268599, 295906.7560343472 6735963.941837496, 295922.12132517726 6735965.687419294, 295922.1701850304 6735965.69055749, 295922.21911756333 6735965.68890197, 295922.2676535847 6735965.682468608, 295922.31532770523 6735965.67131909, 295932.81137870235 6735962.667670523, 295932.8246159146 6735962.663683647, 295943.67832507234 6735959.230328621, 295943.7263393252 6735959.212384592, 295943.77226415393 6735959.189619118, 295943.81561691494 6735959.162271452, 295943.8559419955 6735959.130629004, 295943.89281560207 6735959.095024316, 295948.3458456613 6735954.330560131, 295948.3760675337 6735954.295039176, 295948.4028482899 6735954.256856839, 295948.42595492676 6735954.21634532, 295948.4451864074 6735954.173857087, 295948.4603754103 6735954.129761804, 295948.47138978494 6735954.0844431175, 295948.47813370195 6735954.038295318, 295948.4805484866 6735953.991719911, 295948.4786131292 6735953.945122119, 295947.2744807572 6735940.322700993, 295948.5749174045 6735935.879718319, 295958.11282173754 6735926.603379739, 295968.7053917937 6735919.451888021, 295978.706942062 6735914.827032346, 295978.7457275966 6735914.806997794, 295978.78261778125 6735914.783656515, 295978.8173314094 6735914.757186437, 295978.8496038657 6735914.727789336, 295988.1322402058 6735905.499265713, 295988.1673795272 6735905.46046746, 295988.1982700019 6735905.418208083, 295988.22457306104 6735905.372950758, 295988.24600041495 6735905.32519152, 295988.26231721346 6735905.275453824, 295989.3014793992 6735901.440618655, 296003.90164337563 6735888.936817643, 296015.28804364504 6735884.276434564, 296021.194920359 6735883.88229407, 296021.2105866322 6735883.881001073, 296043.44802254095 6735881.693217526, 296043.49794240034 6735881.685746151, 296043.5468545997 6735881.673279774, 296043.5942606625 6735881.655945444, 296043.63967746135 6735881.633919817, 296043.682642142 6735881.607427365, 296043.72271684033 6735881.576738078, 296054.04172927287 6735872.813728695, 296054.0544767655 6735872.802525548, 296064.48391632095 6735863.318101426, 296074.7006136025 6735856.673983099, 296074.73146645614 6735856.652218338, 296074.7605889625 6735856.628187463, 296081.05172787653 6735851.024543032, 296081.07874626917 6735850.998598172, 296081.1037465012 6735850.970703412, 296088.08665606094 6735842.566037713, 296093.6114943664 6735835.923810655, 296100.568943229 6735830.034199311, 296107.631330463 6735824.332739053, 296107.65091314056 6735824.316080469, 296113.9158538323 6735818.702690645, 296119.22257596155 6735817.073638222, 296127.3840935103 6735815.910605041, 296127.4300626824 6735815.901842264, 296127.4750112708 6735815.88882015, 296134.46859624307 6735813.502676545, 296134.51302396815 6735813.485106506, 296134.555571949 6735813.463376381, 296140.94060869864 6735809.807707728, 296140.971803299 6735809.788291979, 296153.3847338005 6735801.414355481, 296152.82548080623 6735800.585358443, 296140.4277906568 6735808.949013586))</t>
  </si>
  <si>
    <t>2019-11-13</t>
  </si>
  <si>
    <t>2025-11-22T09:16:45Z</t>
  </si>
  <si>
    <t>[4566]</t>
  </si>
  <si>
    <t>['KV4566 S1D110 m0-23', 'KV4566 S1D101 m635-791']</t>
  </si>
  <si>
    <t>LINESTRING Z (-32043.4547892371 6576684.62902553 -999999, -32040.5680632611 6576682.25172178 -999999, -32038.1907595161 6576681.06306991 -999999, -32034.7946113089 6576680.04422545 -999999, -32031.9078853329 6576679.02538098 -999999, -32027.4928926636 6576676.81788465 -999999, -32023.417514815 6576675.79904019 -999999, -32021.7194407114 6576674.78019572 -999999, -32021.3798258907 6576666.28982521 -999999, -32019.1723295561 6576655.25234353 -999999, -32016.4554109904 6576642.85640258 -999999, -32012.8894553729 6576631.13969126 -999999, -32008.4744627036 6576620.272017 -999999, -32003.2104329825 6576609.23453533 -999999, -31998.6256329029 6576599.72532035 -999999, -31992.8521809507 6576590.55572019 -999999, -31985.380654895 6576578.83900887 -999999, -31976.8902843772 6576568.31094943 -999999, -31966.1924175247 6576557.10366035 -999999, -31959.9095433414 6576550.65097875 -999999, -31951.0795580029 6576543.1794527 -999999, -31951.2493654132 6576541.31157118 -999999, -31953.2870543375 6576540.46253413 -999999, -31962.6264619072 6576548.95290465 -999999, -31979.6072029429 6576566.61287533 -999999, -31994.5502550543 6576585.29169047 -999999, -32002.7010107514 6576601.25358704 -999999, -32007.6254256518 6576610.76280202 -999999, -32012.8894553729 6576623.66816521 -999999, -32019.5119443768 6576642.85640258 -999999, -32021.2100184804 6576653.89388425 -999999, -32022.9080925839 6576661.53521772 -999999, -32024.0967444564 6576666.28982521 -999999, -32030.2098112293 6576673.93115867 -999999, -32043.6245966475 6576684.11960329 -999999)</t>
  </si>
  <si>
    <t>POLYGON Z ((-32043.4547892371 6576684.62902553 -999999, -32040.5680632611 6576682.25172178 -999999, -32038.1907595161 6576681.06306991 -999999, -32034.7946113089 6576680.04422545 -999999, -32031.9078853329 6576679.02538098 -999999, -32027.4928926636 6576676.81788465 -999999, -32023.417514815 6576675.79904019 -999999, -32021.7194407114 6576674.78019572 -999999, -32021.3798258907 6576666.28982521 -999999, -32019.1723295561 6576655.25234353 -999999, -32016.4554109904 6576642.85640258 -999999, -32012.8894553729 6576631.13969126 -999999, -32008.4744627036 6576620.272017 -999999, -32003.2104329825 6576609.23453533 -999999, -31998.6256329029 6576599.72532035 -999999, -31992.8521809507 6576590.55572019 -999999, -31985.380654895 6576578.83900887 -999999, -31976.8902843772 6576568.31094943 -999999, -31966.1924175247 6576557.10366035 -999999, -31959.9095433414 6576550.65097875 -999999, -31951.0795580029 6576543.1794527 -999999, -31951.2493654132 6576541.31157118 -999999, -31953.2870543375 6576540.46253413 -999999, -31962.6264619072 6576548.95290465 -999999, -31979.6072029429 6576566.61287533 -999999, -31994.5502550543 6576585.29169047 -999999, -32002.7010107514 6576601.25358704 -999999, -32007.6254256518 6576610.76280202 -999999, -32012.8894553729 6576623.66816521 -999999, -32019.5119443768 6576642.85640258 -999999, -32021.2100184804 6576653.89388425 -999999, -32022.9080925839 6576661.53521772 -999999, -32024.0967444564 6576666.28982521 -999999, -32030.2098112293 6576673.93115867 -999999, -32043.6245966475 6576684.11960329 -999999, -32043.4547892371 6576684.62902553 -999999))</t>
  </si>
  <si>
    <t>2019-12-03</t>
  </si>
  <si>
    <t>['RV83 S3D1 m3538-3613']</t>
  </si>
  <si>
    <t>LINESTRING Z (561795.97 7633460.07 -0.009, 561801.05 7633459.43 -0.009, 561802.31 7633455.72 -0.009, 561803.18 7633452.23 -0.009, 561803.55 7633448.25 -0.009, 561803.58 7633444.21 -0.009, 561801 7633440.76 -0.009, 561799.56 7633436.8 -0.009, 561798.71 7633433.73 -0.009, 561797.73 7633430.31 -0.009, 561796.55 7633426.24 45.151, 561796 7633424.4 -0.009, 561792.97 7633425.17 -0.009, 561791.21 7633418.76 -0.009, 561794.11 7633417.91 -0.009, 561792.28 7633401.24 -0.009, 561791.77 7633400.72 -0.009, 561786.71 7633391.45 -0.009, 561782.98 7633393.1 -0.009, 561786.13 7633398.79 -0.009, 561787.31 7633398.86 -0.009, 561787.61 7633417.22 -0.009, 561790.39 7633417.96 -0.009, 561796.63 7633437.69 -0.009, 561798.45 7633445.12 -0.009, 561798.2 7633449.53 -0.009, 561796.01 7633459.04 -0.009, 561795.63 7633460 -0.009, 561795.97 7633460.07 -0.009)</t>
  </si>
  <si>
    <t>POLYGON Z ((561795.97 7633460.07 -0.009, 561801.05 7633459.43 -0.009, 561802.31 7633455.72 -0.009, 561803.18 7633452.23 -0.009, 561803.55 7633448.25 -0.009, 561803.58 7633444.21 -0.009, 561801 7633440.76 -0.009, 561799.56 7633436.8 -0.009, 561798.71 7633433.73 -0.009, 561797.73 7633430.31 -0.009, 561796.55 7633426.24 45.151, 561796 7633424.4 -0.009, 561792.97 7633425.17 -0.009, 561791.21 7633418.76 -0.009, 561794.11 7633417.91 -0.009, 561792.28 7633401.24 -0.009, 561791.77 7633400.72 -0.009, 561786.71 7633391.45 -0.009, 561782.98 7633393.1 -0.009, 561786.13 7633398.79 -0.009, 561787.31 7633398.86 -0.009, 561787.61 7633417.22 -0.009, 561790.39 7633417.96 -0.009, 561796.63 7633437.69 -0.009, 561798.45 7633445.12 -0.009, 561798.2 7633449.53 -0.009, 561796.01 7633459.04 -0.009, 561795.63 7633460 -0.009, 561795.97 7633460.07 -0.009))</t>
  </si>
  <si>
    <t>['RV83 S3D1 m3525-3615']</t>
  </si>
  <si>
    <t>LINESTRING Z (561802.43 7633384.55 -0.009, 561805.72 7633395.64 -0.009, 561809.37 7633406.07 -0.009, 561819.31 7633424.68 -0.009, 561824.1 7633444.42 -0.009, 561824.35 7633448.66 -0.009, 561824.96 7633451.41 -0.009, 561825.52 7633453.24 -0.009, 561826.52 7633455.58 -0.009, 561827.94 7633457.43 -0.009, 561828.44 7633458.13 -0.009, 561829.76 7633459.24 -0.009, 561842.46 7633447.53 -0.009, 561841.19 7633445.64 -0.009, 561840.2 7633443.64 -0.009, 561839.44 7633441.56 -0.009, 561838.61 7633438.09 -0.009, 561838.61 7633435.81 -0.009, 561838.81 7633433.5 -0.009, 561839.41 7633430.62 -0.009, 561840.2 7633428.58 -0.009, 561841.65 7633425.87 -0.009, 561845.08 7633420.29 -0.009, 561847.39 7633416.5 -0.009, 561848.87 7633411.95 -0.009, 561849.21 7633410.6 -0.009, 561849 7633407.33 -0.009, 561848.59 7633404.57 -0.009, 561847.5 7633401.96 -0.009, 561846.29 7633400.09 -0.009, 561844.83 7633398.48 -0.009, 561838.94 7633391.64 -0.009, 561831.98 7633397.87 -0.009, 561815.01 7633402.3 -0.009, 561809.48 7633382.07 -0.009, 561804.84 7633374.78 -0.009, 561797.13 7633374.26 -0.009, 561793.25 7633373.77 44.191, 561789.53 7633375.7 -0.009, 561784.35 7633378.33 -0.009, 561781.64 7633379.68 -0.009, 561777.03 7633385.82 -0.009, 561776.44 7633386.91 -0.009, 561777.22 7633389.2 -0.009, 561787.41 7633384.94 -0.009, 561805.03 7633377.96 -0.009, 561807.04 7633382.38 -0.009, 561802.43 7633384.55 -0.009)</t>
  </si>
  <si>
    <t>POLYGON Z ((561802.43 7633384.55 -0.009, 561805.72 7633395.64 -0.009, 561809.37 7633406.07 -0.009, 561819.31 7633424.68 -0.009, 561824.1 7633444.42 -0.009, 561824.35 7633448.66 -0.009, 561824.96 7633451.41 -0.009, 561825.52 7633453.24 -0.009, 561826.52 7633455.58 -0.009, 561827.94 7633457.43 -0.009, 561828.44 7633458.13 -0.009, 561829.76 7633459.24 -0.009, 561842.46 7633447.53 -0.009, 561841.19 7633445.64 -0.009, 561840.2 7633443.64 -0.009, 561839.44 7633441.56 -0.009, 561838.61 7633438.09 -0.009, 561838.61 7633435.81 -0.009, 561838.81 7633433.5 -0.009, 561839.41 7633430.62 -0.009, 561840.2 7633428.58 -0.009, 561841.65 7633425.87 -0.009, 561845.08 7633420.29 -0.009, 561847.39 7633416.5 -0.009, 561848.87 7633411.95 -0.009, 561849.21 7633410.6 -0.009, 561849 7633407.33 -0.009, 561848.59 7633404.57 -0.009, 561847.5 7633401.96 -0.009, 561846.29 7633400.09 -0.009, 561844.83 7633398.48 -0.009, 561838.94 7633391.64 -0.009, 561831.98 7633397.87 -0.009, 561815.01 7633402.3 -0.009, 561809.48 7633382.07 -0.009, 561804.84 7633374.78 -0.009, 561797.13 7633374.26 -0.009, 561793.25 7633373.77 44.191, 561789.53 7633375.7 -0.009, 561784.35 7633378.33 -0.009, 561781.64 7633379.68 -0.009, 561777.03 7633385.82 -0.009, 561776.44 7633386.91 -0.009, 561777.22 7633389.2 -0.009, 561787.41 7633384.94 -0.009, 561805.03 7633377.96 -0.009, 561807.04 7633382.38 -0.009, 561802.43 7633384.55 -0.009))</t>
  </si>
  <si>
    <t>['RV83 S3D1 m2068-2148']</t>
  </si>
  <si>
    <t>LINESTRING Z (561930.56 7632130.74 -0.014, 561935.02 7632128.48 -0.014, 561942.2 7632124.5 -0.014, 561946.57 7632122.11 -0.014, 561948.69 7632122.36 -0.014, 561949.63 7632122.32 -0.014, 561951.01 7632120.76 -0.014, 561952.42 7632118.31 -0.014, 561953.03 7632114.27 -0.004, 561952.62 7632113.56 -0.004, 561963.96 7632119.28 -0.014, 561999.86 7632101.25 -0.014, 561999.49 7632102.82 -0.014, 561997.52 7632105.93 -0.014, 561995.39 7632107.8 -0.014, 561992.56 7632109.5 -0.014, 561968.58 7632120.06 -0.014, 561960.46 7632123.74 -0.014, 561949.8 7632128.4 -0.014, 561945.95 7632129.25 -0.014, 561940.71 7632130.55 -0.014, 561936.07 7632131.03 -0.014, 561931.45 7632130.83 -0.014, 561930.56 7632130.74 -0.014)</t>
  </si>
  <si>
    <t>POLYGON Z ((561930.56 7632130.74 -0.014, 561935.02 7632128.48 -0.014, 561942.2 7632124.5 -0.014, 561946.57 7632122.11 -0.014, 561948.69 7632122.36 -0.014, 561949.63 7632122.32 -0.014, 561951.01 7632120.76 -0.014, 561952.42 7632118.31 -0.014, 561953.03 7632114.27 -0.004, 561952.62 7632113.56 -0.004, 561963.96 7632119.28 -0.014, 561999.86 7632101.25 -0.014, 561999.49 7632102.82 -0.014, 561997.52 7632105.93 -0.014, 561995.39 7632107.8 -0.014, 561992.56 7632109.5 -0.014, 561968.58 7632120.06 -0.014, 561960.46 7632123.74 -0.014, 561949.8 7632128.4 -0.014, 561945.95 7632129.25 -0.014, 561940.71 7632130.55 -0.014, 561936.07 7632131.03 -0.014, 561931.45 7632130.83 -0.014, 561930.56 7632130.74 -0.014))</t>
  </si>
  <si>
    <t>['RV83 S3D1 m2037-2148']</t>
  </si>
  <si>
    <t>LINESTRING Z (561922.93 7632119.53 -0.004, 561924.66 7632122.48 -0.004, 561932.79 7632117.95 -0.004, 561944.15 7632113.16 -0.004, 561945.9 7632112.21 -0.004, 561948.39 7632112.23 -0.004, 561951.22 7632109.26 -0.004, 561952.44 7632107.46 -0.004, 561970.83 7632097.74 -0.004, 561985.47 7632090.35 -0.004, 561996.32 7632085.13 -0.004, 561999.01 7632084.3 -0.004, 561999.98 7632084.39 -0.004, 562000.97 7632084.95 -0.004, 562001.46 7632085.5 -0.004, 562004.43 7632083.66 -0.004, 562009.11 7632082.23 -0.004, 562012.33 7632082.27 -0.004, 562015.09 7632082.94 -0.004, 562017.31 7632084 -0.004, 562019.52 7632085.55 -0.004, 562021.22 7632087.37 -0.004, 562022.62 7632089.61 -0.004, 562023.78 7632092.6 -0.014, 562023.83 7632095.25 -0.014, 562023.01 7632098.43 -0.014, 562021.82 7632101.68 -0.014, 562020.9 7632103.26 -0.014, 562026.42 7632104.7 -0.014, 562027.69 7632100.18 -0.014, 562028.43 7632095.79 -0.014, 562027.95 7632088.39 -0.004, 562026.88 7632081.97 -0.004, 562025.31 7632078.17 -0.004, 562022.12 7632075.49 -0.004, 562018.35 7632074.6 -0.004, 562014.16 7632075.09 -0.004, 562011.69 7632076.09 -0.004, 562009.18 7632077.07 -0.004, 561989.49 7632083.11 -0.004, 561984.28 7632085.45 -0.004, 561979.06 7632088.61 -0.004, 561970.61 7632093.5 -0.004, 561954.2 7632102.86 -0.004, 561955.46 7632105.06 -0.004, 561950.1 7632108.22 -0.004, 561948.61 7632105.89 -0.004, 561930.9 7632114.7 -0.004, 561922.93 7632119.53 -0.004)</t>
  </si>
  <si>
    <t>POLYGON Z ((561922.93 7632119.53 -0.004, 561924.66 7632122.48 -0.004, 561932.79 7632117.95 -0.004, 561944.15 7632113.16 -0.004, 561945.9 7632112.21 -0.004, 561948.39 7632112.23 -0.004, 561951.22 7632109.26 -0.004, 561952.44 7632107.46 -0.004, 561970.83 7632097.74 -0.004, 561985.47 7632090.35 -0.004, 561996.32 7632085.13 -0.004, 561999.01 7632084.3 -0.004, 561999.98 7632084.39 -0.004, 562000.97 7632084.95 -0.004, 562001.46 7632085.5 -0.004, 562004.43 7632083.66 -0.004, 562009.11 7632082.23 -0.004, 562012.33 7632082.27 -0.004, 562015.09 7632082.94 -0.004, 562017.31 7632084 -0.004, 562019.52 7632085.55 -0.004, 562021.22 7632087.37 -0.004, 562022.62 7632089.61 -0.004, 562023.78 7632092.6 -0.014, 562023.83 7632095.25 -0.014, 562023.01 7632098.43 -0.014, 562021.82 7632101.68 -0.014, 562020.9 7632103.26 -0.014, 562026.42 7632104.7 -0.014, 562027.69 7632100.18 -0.014, 562028.43 7632095.79 -0.014, 562027.95 7632088.39 -0.004, 562026.88 7632081.97 -0.004, 562025.31 7632078.17 -0.004, 562022.12 7632075.49 -0.004, 562018.35 7632074.6 -0.004, 562014.16 7632075.09 -0.004, 562011.69 7632076.09 -0.004, 562009.18 7632077.07 -0.004, 561989.49 7632083.11 -0.004, 561984.28 7632085.45 -0.004, 561979.06 7632088.61 -0.004, 561970.61 7632093.5 -0.004, 561954.2 7632102.86 -0.004, 561955.46 7632105.06 -0.004, 561950.1 7632108.22 -0.004, 561948.61 7632105.89 -0.004, 561930.9 7632114.7 -0.004, 561922.93 7632119.53 -0.004))</t>
  </si>
  <si>
    <t>['RV83 S3D1 m2031-2148']</t>
  </si>
  <si>
    <t>LINESTRING Z (561983.17 7632062.32 -0.004, 561957.38 7632074.43 -0.004, 561940.82 7632083.71 -0.004, 561912.31 7632103.52 -0.004, 561914.57 7632106.82 -0.004, 561916.81 7632105.35 -0.004, 561921.62 7632102.65 -0.004, 561925.24 7632099.78 -0.004, 561932.98 7632094.35 -0.004, 561940.22 7632089.29 -0.004, 561945.97 7632085.5 -0.004, 561950.5 7632082.98 -0.004, 561955.84 7632080.32 -0.004, 561964.95 7632075.32 -0.004, 561976.32 7632069.82 -0.004, 561987.77 7632064.74 -0.004, 561995.07 7632061.42 -0.004, 562003.6 7632057.1 -0.004, 562007.48 7632055.09 -0.004, 562011.03 7632053.38 -0.004, 562013.99 7632051.48 -0.004, 562017.01 7632048.63 -0.004, 562018.46 7632045.53 -0.004, 562020.17 7632042.72 -0.004, 562023.91 7632038.63 -0.004, 562026.2 7632036.84 -0.004, 562027.4 7632034.5 -0.004, 562029.44 7632029.14 -0.004, 562031.4 7632020.45 -0.004, 562032.34 7632013.29 -0.004, 562022.63 7632012.01 -0.004, 561986.43 7632008.41 -0.004, 561987 7632017.36 -0.004, 561987.3 7632023.39 -0.004, 561985.28 7632023.58 -0.004, 561982.66 7632023.83 -0.004, 561979.91 7632024.17 -0.004, 561976.36 7632027.01 -0.004, 561975.89 7632028.88 -0.004, 561975.51 7632031.14 -0.004, 561971.42 7632038 -0.004, 561974.87 7632046.06 -0.004, 561979.35 7632054.29 -0.004, 561982.72 7632052.46 -0.004, 561988.28 7632049.46 -0.004, 561993.84 7632047.23 -0.004, 561995.93 7632048.67 -0.004, 561997.18 7632049.72 -0.004, 561998.35 7632050.84 -0.004, 561998.6 7632051.58 -0.004, 561981.77 7632059.35 -0.004, 561983.17 7632062.32 -0.004)</t>
  </si>
  <si>
    <t>POLYGON Z ((561983.17 7632062.32 -0.004, 561957.38 7632074.43 -0.004, 561940.82 7632083.71 -0.004, 561912.31 7632103.52 -0.004, 561914.57 7632106.82 -0.004, 561916.81 7632105.35 -0.004, 561921.62 7632102.65 -0.004, 561925.24 7632099.78 -0.004, 561932.98 7632094.35 -0.004, 561940.22 7632089.29 -0.004, 561945.97 7632085.5 -0.004, 561950.5 7632082.98 -0.004, 561955.84 7632080.32 -0.004, 561964.95 7632075.32 -0.004, 561976.32 7632069.82 -0.004, 561987.77 7632064.74 -0.004, 561995.07 7632061.42 -0.004, 562003.6 7632057.1 -0.004, 562007.48 7632055.09 -0.004, 562011.03 7632053.38 -0.004, 562013.99 7632051.48 -0.004, 562017.01 7632048.63 -0.004, 562018.46 7632045.53 -0.004, 562020.17 7632042.72 -0.004, 562023.91 7632038.63 -0.004, 562026.2 7632036.84 -0.004, 562027.4 7632034.5 -0.004, 562029.44 7632029.14 -0.004, 562031.4 7632020.45 -0.004, 562032.34 7632013.29 -0.004, 562022.63 7632012.01 -0.004, 561986.43 7632008.41 -0.004, 561987 7632017.36 -0.004, 561987.3 7632023.39 -0.004, 561985.28 7632023.58 -0.004, 561982.66 7632023.83 -0.004, 561979.91 7632024.17 -0.004, 561976.36 7632027.01 -0.004, 561975.89 7632028.88 -0.004, 561975.51 7632031.14 -0.004, 561971.42 7632038 -0.004, 561974.87 7632046.06 -0.004, 561979.35 7632054.29 -0.004, 561982.72 7632052.46 -0.004, 561988.28 7632049.46 -0.004, 561993.84 7632047.23 -0.004, 561995.93 7632048.67 -0.004, 561997.18 7632049.72 -0.004, 561998.35 7632050.84 -0.004, 561998.6 7632051.58 -0.004, 561981.77 7632059.35 -0.004, 561983.17 7632062.32 -0.004))</t>
  </si>
  <si>
    <t>['RV83 S3D1 m2120-2168']</t>
  </si>
  <si>
    <t>LINESTRING Z (561926.66 7632069.21 -0.004, 561929.5 7632075.74 -0.004, 561929.03 7632075.95 -0.004, 561924.43 7632078.22 -0.004, 561921.49 7632079.41 -0.004, 561917.7 7632081.43 -0.004, 561912.94 7632084.43 -0.004, 561907.23 7632087.94 -0.004, 561904.05 7632088.31 -0.004, 561902.51 7632087.92 -0.004, 561900.08 7632089.5 -0.004, 561899.01 7632090.64 -0.004, 561898.21 7632092.35 -0.004, 561896.62 7632094.09 -0.004, 561895.14 7632095.81 -0.004, 561893.8 7632097.9 -0.004, 561893.87 7632100.48 -0.004, 561894.58 7632103.24 -0.004, 561905.23 7632117.17 -0.004, 561907.33 7632117.42 -0.004, 561911.42 7632122.93 -0.004, 561914.34 7632121.49 -0.004, 561923.98 7632129.64 -0.014, 561925.07 7632130.15 -0.014, 561913.06 7632126.85 -0.004, 561913.45 7632125.85 -0.004, 561909.55 7632124.17 -0.004, 561903.57 7632120.13 -0.004, 561894.61 7632112.52 -0.004, 561891.57 7632108.76 -0.004, 561888.76 7632104.58 -0.004, 561885.58 7632098.36 -0.004, 561883.22 7632092.97 -0.004, 561882.34 7632089.85 -0.004, 561882.71 7632086.56 -0.004, 561883.2 7632085.09 -0.004, 561884.97 7632083.16 -0.004, 561887.22 7632081.71 -0.004, 561888.59 7632086.69 -0.004, 561922.04 7632076.41 -0.004, 561920.6 7632071.41 -0.004, 561926.66 7632069.21 -0.004)</t>
  </si>
  <si>
    <t>POLYGON Z ((561926.66 7632069.21 -0.004, 561929.5 7632075.74 -0.004, 561929.03 7632075.95 -0.004, 561924.43 7632078.22 -0.004, 561921.49 7632079.41 -0.004, 561917.7 7632081.43 -0.004, 561912.94 7632084.43 -0.004, 561907.23 7632087.94 -0.004, 561904.05 7632088.31 -0.004, 561902.51 7632087.92 -0.004, 561900.08 7632089.5 -0.004, 561899.01 7632090.64 -0.004, 561898.21 7632092.35 -0.004, 561896.62 7632094.09 -0.004, 561895.14 7632095.81 -0.004, 561893.8 7632097.9 -0.004, 561893.87 7632100.48 -0.004, 561894.58 7632103.24 -0.004, 561905.23 7632117.17 -0.004, 561907.33 7632117.42 -0.004, 561911.42 7632122.93 -0.004, 561914.34 7632121.49 -0.004, 561923.98 7632129.64 -0.014, 561925.07 7632130.15 -0.014, 561913.06 7632126.85 -0.004, 561913.45 7632125.85 -0.004, 561909.55 7632124.17 -0.004, 561903.57 7632120.13 -0.004, 561894.61 7632112.52 -0.004, 561891.57 7632108.76 -0.004, 561888.76 7632104.58 -0.004, 561885.58 7632098.36 -0.004, 561883.22 7632092.97 -0.004, 561882.34 7632089.85 -0.004, 561882.71 7632086.56 -0.004, 561883.2 7632085.09 -0.004, 561884.97 7632083.16 -0.004, 561887.22 7632081.71 -0.004, 561888.59 7632086.69 -0.004, 561922.04 7632076.41 -0.004, 561920.6 7632071.41 -0.004, 561926.66 7632069.21 -0.004))</t>
  </si>
  <si>
    <t>2019-12-16</t>
  </si>
  <si>
    <t>[95866]</t>
  </si>
  <si>
    <t>['PV95866 S1D1 m0-32']</t>
  </si>
  <si>
    <t>LINESTRING Z (654539.87 7735404.44 6.631, 654540 7735406.91 6.771, 654542.93 7735407.69 6.891, 654545.4 7735407.61 6.841, 654548.59 7735407.89 6.801, 654550.72 7735408.79 6.821, 654552.46 7735409.94 6.811, 654553.96 7735411.61 6.811, 654555.03 7735413.11 6.781, 654555.94 7735414.82 6.751, 654556.61 7735416.59 6.651, 654557.46 7735417.69 6.641, 654559.55 7735419.03 6.511, 654560.63 7735419.32 6.381, 654561.95 7735419.28 6.271, 654563.37 7735419.08 6.101, 654564.97 7735418.26 5.881, 654567.4 7735416.41 5.511, 654573.13 7735411.23 4.691, 654576.76 7735407.56 4.141, 654577.68 7735406.61 3.951, 654577.97 7735405.71 3.701, 654577.18 7735405.33 3.521, 654576.05 7735405.53 3.271, 654574.49 7735407.35 3.271, 654571.07 7735410.12 3.501, 654570.69 7735410.77 3.851, 654569.9 7735409.97 3.741, 654569.01 7735409.39 3.621, 654566.28 7735411.3 3.761, 654566.36 7735412.42 3.821, 654566.88 7735412.92 3.931, 654563.04 7735416.16 4.131, 654562.09 7735415.9 4.271, 654560.83 7735414.53 4.391, 654558.48 7735410.88 4.321, 654554.8 7735405.75 4.181, 654553.16 7735403.95 4.161, 654551.41 7735403.11 4.651, 654548.87 7735402.42 4.971, 654546.66 7735402.57 5.151, 654544.33 7735403.55 5.451, 654541.39 7735404.3 6.291, 654539.87 7735404.44 6.631)</t>
  </si>
  <si>
    <t>POLYGON Z ((654539.87 7735404.44 6.631, 654540 7735406.91 6.771, 654542.93 7735407.69 6.891, 654545.4 7735407.61 6.841, 654548.59 7735407.89 6.801, 654550.72 7735408.79 6.821, 654552.46 7735409.94 6.811, 654553.96 7735411.61 6.811, 654555.03 7735413.11 6.781, 654555.94 7735414.82 6.751, 654556.61 7735416.59 6.651, 654557.46 7735417.69 6.641, 654559.55 7735419.03 6.511, 654560.63 7735419.32 6.381, 654561.95 7735419.28 6.271, 654563.37 7735419.08 6.101, 654564.97 7735418.26 5.881, 654567.4 7735416.41 5.511, 654573.13 7735411.23 4.691, 654576.76 7735407.56 4.141, 654577.68 7735406.61 3.951, 654577.97 7735405.71 3.701, 654577.18 7735405.33 3.521, 654576.05 7735405.53 3.271, 654574.49 7735407.35 3.271, 654571.07 7735410.12 3.501, 654570.69 7735410.77 3.851, 654569.9 7735409.97 3.741, 654569.01 7735409.39 3.621, 654566.28 7735411.3 3.761, 654566.36 7735412.42 3.821, 654566.88 7735412.92 3.931, 654563.04 7735416.16 4.131, 654562.09 7735415.9 4.271, 654560.83 7735414.53 4.391, 654558.48 7735410.88 4.321, 654554.8 7735405.75 4.181, 654553.16 7735403.95 4.161, 654551.41 7735403.11 4.651, 654548.87 7735402.42 4.971, 654546.66 7735402.57 5.151, 654544.33 7735403.55 5.451, 654541.39 7735404.3 6.291, 654539.87 7735404.44 6.631))</t>
  </si>
  <si>
    <t>[24100]</t>
  </si>
  <si>
    <t>['KV24100 S1D1 m115-141']</t>
  </si>
  <si>
    <t>LINESTRING Z (654648.81 7735568.04 11.751, 654667.17 7735586.6 11.051, 654667.81 7735585.87 10.911, 654655.39 7735572.96 11.331, 654653.12 7735569.15 11.131, 654649.74 7735567.2 11.651, 654648.81 7735568.04 11.751)</t>
  </si>
  <si>
    <t>POLYGON Z ((654648.81 7735568.04 11.751, 654667.17 7735586.6 11.051, 654667.81 7735585.87 10.911, 654655.39 7735572.96 11.331, 654653.12 7735569.15 11.131, 654649.74 7735567.2 11.651, 654648.81 7735568.04 11.751))</t>
  </si>
  <si>
    <t>['KV24100 S1D1 m147-174']</t>
  </si>
  <si>
    <t>LINESTRING Z (654672.31 7735590.66 10.881, 654674.05 7735593.79 11.011, 654682.91 7735603.07 10.821, 654690.18 7735609.28 10.562, 654691.13 7735608.96 10.441, 654691.31 7735606.19 10.161, 654685.27 7735600.31 10.221, 654677.09 7735591.64 10.081, 654674.32 7735588.85 10.141, 654673.02 7735589.58 10.741, 654672.31 7735590.66 10.881)</t>
  </si>
  <si>
    <t>POLYGON Z ((654672.31 7735590.66 10.881, 654674.05 7735593.79 11.011, 654682.91 7735603.07 10.821, 654690.18 7735609.28 10.562, 654691.13 7735608.96 10.441, 654691.31 7735606.19 10.161, 654685.27 7735600.31 10.221, 654677.09 7735591.64 10.081, 654674.32 7735588.85 10.141, 654673.02 7735589.58 10.741, 654672.31 7735590.66 10.881))</t>
  </si>
  <si>
    <t>[44006]</t>
  </si>
  <si>
    <t>['PV44006 S3D1 m6-63']</t>
  </si>
  <si>
    <t>LINESTRING Z (654854.07 7735557.03 2.181, 654848.93 7735554.81 2.481, 654843.34 7735551.92 2.721, 654835.82 7735548.67 3.041, 654827.41 7735545.72 3.331, 654818.24 7735543.22 3.441, 654808.5 7735541.38 3.371, 654804.71 7735540.64 3.341, 654799.78 7735539.21 3.301, 654799.28 7735539.3 3.271, 654798.69 7735543.5 3.291, 654799.29 7735543.71 3.291, 654803.3 7735543.53 3.331, 654807.87 7735543.62 3.361, 654815.78 7735544.79 3.411, 654825.92 7735547.4 3.321, 654835 7735550.52 3.021, 654843.32 7735554.21 2.651, 654850.66 7735558.07 2.441, 654853.03 7735559.12 2.441, 654854.07 7735557.03 2.181)</t>
  </si>
  <si>
    <t>POLYGON Z ((654854.07 7735557.03 2.181, 654848.93 7735554.81 2.481, 654843.34 7735551.92 2.721, 654835.82 7735548.67 3.041, 654827.41 7735545.72 3.331, 654818.24 7735543.22 3.441, 654808.5 7735541.38 3.371, 654804.71 7735540.64 3.341, 654799.78 7735539.21 3.301, 654799.28 7735539.3 3.271, 654798.69 7735543.5 3.291, 654799.29 7735543.71 3.291, 654803.3 7735543.53 3.331, 654807.87 7735543.62 3.361, 654815.78 7735544.79 3.411, 654825.92 7735547.4 3.321, 654835 7735550.52 3.021, 654843.32 7735554.21 2.651, 654850.66 7735558.07 2.441, 654853.03 7735559.12 2.441, 654854.07 7735557.03 2.181))</t>
  </si>
  <si>
    <t>['PV44006 S2D1 m174-209']</t>
  </si>
  <si>
    <t>LINESTRING Z (654798.89 7735485.71 2.541, 654794.64 7735501.22 2.821, 654792.75 7735508.5 2.821, 654791.91 7735513.65 2.971, 654792.35 7735518.56 3.011, 654794.01 7735522.49 2.961, 654796.33 7735525.14 3.031, 654798.77 7735526.86 2.851, 654801.54 7735528.65 2.551, 654801.59 7735522.86 2.611, 654801.7 7735517.61 2.611, 654801.38 7735513.2 2.581, 654800.29 7735502.06 2.591, 654799.88 7735493 2.491, 654799.88 7735485.79 2.411, 654798.89 7735485.71 2.541)</t>
  </si>
  <si>
    <t>POLYGON Z ((654798.89 7735485.71 2.541, 654794.64 7735501.22 2.821, 654792.75 7735508.5 2.821, 654791.91 7735513.65 2.971, 654792.35 7735518.56 3.011, 654794.01 7735522.49 2.961, 654796.33 7735525.14 3.031, 654798.77 7735526.86 2.851, 654801.54 7735528.65 2.551, 654801.59 7735522.86 2.611, 654801.7 7735517.61 2.611, 654801.38 7735513.2 2.581, 654800.29 7735502.06 2.591, 654799.88 7735493 2.491, 654799.88 7735485.79 2.411, 654798.89 7735485.71 2.541))</t>
  </si>
  <si>
    <t>[95864]</t>
  </si>
  <si>
    <t>['PV95864 S1D1 m12-41']</t>
  </si>
  <si>
    <t>LINESTRING Z (654631.66 7735493.84 6.851, 654618.46 7735505.86 9.111, 654609.71 7735513.49 10.541, 654611.12 7735515.23 9.831, 654614.63 7735514.13 9.481, 654615.24 7735512.69 9.301, 654615.46 7735511.45 9.161, 654616.59 7735509.98 8.941, 654621.74 7735505.6 7.981, 654622.96 7735505.59 7.821, 654625.9 7735502.45 7.461, 654625.76 7735501.74 7.421, 654629.01 7735498.31 7.031, 654631.88 7735494.72 6.711, 654631.66 7735493.84 6.851)</t>
  </si>
  <si>
    <t>POLYGON Z ((654631.66 7735493.84 6.851, 654618.46 7735505.86 9.111, 654609.71 7735513.49 10.541, 654611.12 7735515.23 9.831, 654614.63 7735514.13 9.481, 654615.24 7735512.69 9.301, 654615.46 7735511.45 9.161, 654616.59 7735509.98 8.941, 654621.74 7735505.6 7.981, 654622.96 7735505.59 7.821, 654625.9 7735502.45 7.461, 654625.76 7735501.74 7.421, 654629.01 7735498.31 7.031, 654631.88 7735494.72 6.711, 654631.66 7735493.84 6.851))</t>
  </si>
  <si>
    <t>['KV24100 S1D1 m33-43']</t>
  </si>
  <si>
    <t>LINESTRING Z (654591.86 7735508.77 11.341, 654598.89 7735515.62 11.241, 654600.05 7735514.21 11.111, 654597.15 7735511.18 11.061, 654594.43 7735507.9 11.011, 654594.25 7735506.93 10.971, 654591.86 7735508.77 11.341)</t>
  </si>
  <si>
    <t>POLYGON Z ((654591.86 7735508.77 11.341, 654598.89 7735515.62 11.241, 654600.05 7735514.21 11.111, 654597.15 7735511.18 11.061, 654594.43 7735507.9 11.011, 654594.25 7735506.93 10.971, 654591.86 7735508.77 11.341))</t>
  </si>
  <si>
    <t>['KV24100 S1D1 m6-12']</t>
  </si>
  <si>
    <t>LINESTRING Z (654596.06 7735470.7 7.201, 654594.83 7735471.58 7.371, 654594.9 7735473.18 7.471, 654595.58 7735474.73 7.471, 654597.06 7735474.8 7.341, 654597.7 7735473.73 7.231, 654597.36 7735472.25 7.231, 654596.95 7735471.46 7.181, 654596.06 7735470.7 7.201)</t>
  </si>
  <si>
    <t>POLYGON Z ((654596.06 7735470.7 7.201, 654594.83 7735471.58 7.371, 654594.9 7735473.18 7.471, 654595.58 7735474.73 7.471, 654597.06 7735474.8 7.341, 654597.7 7735473.73 7.231, 654597.36 7735472.25 7.231, 654596.95 7735471.46 7.181, 654596.06 7735470.7 7.201))</t>
  </si>
  <si>
    <t>[7772]</t>
  </si>
  <si>
    <t>['FV7772 S1D1 m58-74']</t>
  </si>
  <si>
    <t>LINESTRING Z (654820.06 7735617.16 3.631, 654816.06 7735619.95 3.501, 654807.39 7735611.66 3.551, 654806.62 7735611.68 3.541, 654803.23 7735615.01 3.661, 654800.47 7735617.64 3.621, 654800.33 7735618.19 3.611, 654800.47 7735618.66 3.611, 654804.3 7735622.71 3.591, 654803.72 7735623.29 3.651, 654798.74 7735618.02 3.711, 654798.63 7735617.65 3.711, 654798.64 7735617.08 3.761, 654802.9 7735612.57 3.611, 654807.66 7735608.49 3.501, 654810.1 7735607.44 3.621, 654815.8 7735612.94 3.621, 654817.49 7735615.18 3.621, 654820.06 7735617.16 3.631)</t>
  </si>
  <si>
    <t>POLYGON Z ((654820.06 7735617.16 3.631, 654816.06 7735619.95 3.501, 654807.39 7735611.66 3.551, 654806.62 7735611.68 3.541, 654803.23 7735615.01 3.661, 654800.47 7735617.64 3.621, 654800.33 7735618.19 3.611, 654800.47 7735618.66 3.611, 654804.3 7735622.71 3.591, 654803.72 7735623.29 3.651, 654798.74 7735618.02 3.711, 654798.63 7735617.65 3.711, 654798.64 7735617.08 3.761, 654802.9 7735612.57 3.611, 654807.66 7735608.49 3.501, 654810.1 7735607.44 3.621, 654815.8 7735612.94 3.621, 654817.49 7735615.18 3.621, 654820.06 7735617.16 3.631))</t>
  </si>
  <si>
    <t>['PV95864 S1D1 m29-59']</t>
  </si>
  <si>
    <t>LINESTRING Z (654619.77 7735480.19 6.421, 654625.82 7735486.22 6.521, 654626.76 7735488.18 6.651, 654627.36 7735489.95 6.821, 654627.23 7735491.38 7.011, 654625.58 7735493.84 7.431, 654623.47 7735496.14 7.881, 654621.73 7735497.28 7.991, 654619.1 7735499.32 8.391, 654618.47 7735497.11 8.701, 654618.8 7735495.69 8.701, 654620.05 7735493.76 7.671, 654621.04 7735492.73 7.001, 654622.08 7735489.14 6.781, 654621.4 7735484.54 6.531, 654621.86 7735483.9 6.491, 654619.15 7735481.11 6.571, 654619.77 7735480.19 6.421)</t>
  </si>
  <si>
    <t>POLYGON Z ((654619.77 7735480.19 6.421, 654625.82 7735486.22 6.521, 654626.76 7735488.18 6.651, 654627.36 7735489.95 6.821, 654627.23 7735491.38 7.011, 654625.58 7735493.84 7.431, 654623.47 7735496.14 7.881, 654621.73 7735497.28 7.991, 654619.1 7735499.32 8.391, 654618.47 7735497.11 8.701, 654618.8 7735495.69 8.701, 654620.05 7735493.76 7.671, 654621.04 7735492.73 7.001, 654622.08 7735489.14 6.781, 654621.4 7735484.54 6.531, 654621.86 7735483.9 6.491, 654619.15 7735481.11 6.571, 654619.77 7735480.19 6.421))</t>
  </si>
  <si>
    <t>2025-11-22T09:16:53Z</t>
  </si>
  <si>
    <t>['KV24100 S2D1 m12-38']</t>
  </si>
  <si>
    <t>LINESTRING Z (654563.83 7735474.21 10.111, 654562.04 7735475.08 10.151, 654560.43 7735472.82 9.991, 654558.22 7735468.62 9.701, 654554.19 7735460.81 9.191, 654550.61 7735452.92 8.631, 654552.26 7735452.73 8.551, 654553.77 7735454.7 8.651, 654556.65 7735460.36 9.051, 654559.01 7735464.84 9.301, 654559.89 7735465.69 9.351, 654561.49 7735468.62 9.551, 654562.95 7735471.11 9.741, 654563.79 7735474.11 10.111, 654563.83 7735474.21 10.111)</t>
  </si>
  <si>
    <t>POLYGON Z ((654563.83 7735474.21 10.111, 654562.04 7735475.08 10.151, 654560.43 7735472.82 9.991, 654558.22 7735468.62 9.701, 654554.19 7735460.81 9.191, 654550.61 7735452.92 8.631, 654552.26 7735452.73 8.551, 654553.77 7735454.7 8.651, 654556.65 7735460.36 9.051, 654559.01 7735464.84 9.301, 654559.89 7735465.69 9.351, 654561.49 7735468.62 9.551, 654562.95 7735471.11 9.741, 654563.79 7735474.11 10.111, 654563.83 7735474.21 10.111))</t>
  </si>
  <si>
    <t>[11050]</t>
  </si>
  <si>
    <t>['KV11050 S1D70 m28-76']</t>
  </si>
  <si>
    <t>LINESTRING Z (654730.36 7735575.25 5.371, 654733.65 7735579.15 5.051, 654721.13 7735589.47 6.881, 654706.7 7735601.13 8.831, 654700.39 7735605.93 9.801, 654698.89 7735606.94 9.951, 654697.29 7735607.42 10.091, 654695.7 7735607.57 10.151, 654695.49 7735606.96 10.091, 654696.98 7735606.36 9.981, 654698.8 7735603.48 9.441, 654703.17 7735600.12 8.791, 654708.76 7735595.34 7.671, 654710.23 7735595.09 7.551, 654717.25 7735589.93 6.641, 654718.41 7735587.04 6.401, 654720.46 7735583.98 6.361, 654725.86 7735579.5 5.931, 654730.36 7735575.25 5.371)</t>
  </si>
  <si>
    <t>POLYGON Z ((654730.36 7735575.25 5.371, 654733.65 7735579.15 5.051, 654721.13 7735589.47 6.881, 654706.7 7735601.13 8.831, 654700.39 7735605.93 9.801, 654698.89 7735606.94 9.951, 654697.29 7735607.42 10.091, 654695.7 7735607.57 10.151, 654695.49 7735606.96 10.091, 654696.98 7735606.36 9.981, 654698.8 7735603.48 9.441, 654703.17 7735600.12 8.791, 654708.76 7735595.34 7.671, 654710.23 7735595.09 7.551, 654717.25 7735589.93 6.641, 654718.41 7735587.04 6.401, 654720.46 7735583.98 6.361, 654725.86 7735579.5 5.931, 654730.36 7735575.25 5.371))</t>
  </si>
  <si>
    <t>['KV24100 S2D1 m102-108']</t>
  </si>
  <si>
    <t>LINESTRING Z (654554.04 7735430.81 7.421, 654559.77 7735428.53 6.781, 654563.7 7735429.25 6.971, 654567.17 7735428.52 6.721, 654568.31 7735428.61 6.661, 654569.21 7735427.9 6.621, 654569.69 7735426.88 6.501, 654568.78 7735422.88 5.901, 654567.46 7735422.65 6.001, 654565.8 7735423.08 6.121, 654563.18 7735424.44 6.421, 654558.42 7735424.99 6.501, 654554.86 7735424.63 6.751, 654551.93 7735426.27 7.031, 654553.16 7735427.6 6.781, 654554.04 7735430.81 7.421)</t>
  </si>
  <si>
    <t>POLYGON Z ((654554.04 7735430.81 7.421, 654559.77 7735428.53 6.781, 654563.7 7735429.25 6.971, 654567.17 7735428.52 6.721, 654568.31 7735428.61 6.661, 654569.21 7735427.9 6.621, 654569.69 7735426.88 6.501, 654568.78 7735422.88 5.901, 654567.46 7735422.65 6.001, 654565.8 7735423.08 6.121, 654563.18 7735424.44 6.421, 654558.42 7735424.99 6.501, 654554.86 7735424.63 6.751, 654551.93 7735426.27 7.031, 654553.16 7735427.6 6.781, 654554.04 7735430.81 7.421))</t>
  </si>
  <si>
    <t>2020-01-09</t>
  </si>
  <si>
    <t>[99660]</t>
  </si>
  <si>
    <t>['PV99660 S1D1 m0-39']</t>
  </si>
  <si>
    <t>LINESTRING Z (145687.5514990643 6624097.805365006 158.44, 145690.19680688035 6624096.368451598 158.49, 145691.3493344601 6624095.81257644 158.51, 145692.36024371686 6624095.351094143 158.53, 145693.76888206042 6624094.73987349 158.45, 145695.26131651376 6624094.060061093 158.38, 145696.43181271182 6624093.482301114 158.32, 145698.16175591387 6624092.557838984 158.23, 145698.94857546093 6624092.068078984 158.18, 145699.58600238326 6624090.979364176 158.2, 145699.6879400249 6624090.788274679 158.21, 145699.64255790482 6624090.531184857 158.21, 145699.51942683582 6624090.301854216 158.21, 145699.07827374124 6624090.214429497 158.22, 145698.16936027864 6624089.871181609 158.24, 145696.99926791294 6624089.634075179 158.26, 145696.034836074 6624089.135329378 158.28, 145695.06550896866 6624088.5867666565 158.29, 145693.97207173606 6624087.798909891 158.32, 145692.72400090483 6624086.563507086 158.34, 145690.0200111373 6624083.308358453 158.41, 145686.3602862822 6624079.131106393 158.5, 145681.92992516415 6624075.301189484 158.6, 145674.93932184437 6624069.781353192 158.75, 145672.7090232683 6624067.968475862 158.79, 145671.16665678337 6624068.140155443 158.82, 145666.64540931414 6624070.244267655 158.9, 145666.2362754661 6624071.813528999 158.93, 145665.78423627524 6624072.843788513 158.95, 145663.92655362753 6624073.901517941 158.98, 145660.69259729353 6624077.025928417 159.05, 145657.7882970273 6624079.614965835 159.12, 145655.7703923451 6624082.318093596 159.17, 145655.23876084108 6624083.869213603 159.2, 145654.43650402682 6624086.965925074 159.25, 145654.1276375556 6624088.736585336 159.28, 145654.00957307656 6624090.196768261 159.31, 145654.3251751889 6624091.463443033 159.33, 145655.14309233899 6624093.747074575 159.37, 145656.36985405092 6624095.789339094 159.41, 145658.29336135188 6624098.165521473 159.46, 145660.0692031486 6624100.676929251 159.51, 145663.5161280724 6624104.6336623775 159.59, 145665.2997455587 6624106.09810833 159.63, 145666.26636550226 6624107.642836665 159.66, 145668.5172249914 6624109.664944376 159.71, 145669.06434576825 6624111.854470297 159.75, 145669.10005225713 6624112.524954207 159.76, 145666.19794087583 6624116.1599749 159.75, 145664.96150107996 6624118.011723776 159.75, 145663.37501811283 6624120.08900204 159.77, 145661.92854104558 6624121.850734882 159.77, 145660.21564409853 6624123.870018231 159.78, 145658.61954344454 6624125.747049914 159.79, 145657.00057886122 6624127.596149607 159.8, 145654.1569811494 6624130.802918332 159.81, 145653.4184808563 6624131.579658868 159.82, 145652.6102368642 6624132.363252812 159.82, 145652.17017755052 6624132.798819554 159.82, 145650.6999154096 6624133.909016439 159.83, 145650.21919631585 6624134.237923119 159.83, 145649.67967596225 6624134.582667528 159.82, 145648.46212690393 6624135.295826535 159.82, 145647.81496741239 6624135.67126735 159.82, 145647.31253624533 6624135.881592472 159.82, 145646.75130381645 6624136.107755324 159.83, 145646.17112366977 6624136.345839678 159.83, 145645.34479603532 6624136.638290608 159.83, 145643.9075918413 6624137.061186772 159.82, 145643.3564956023 6624137.1857576575 159.82, 145642.88314833812 6624137.2825693125 159.82, 145641.86475198553 6624137.463119259 159.82, 145641.37850415858 6624137.531019821 159.82, 145638.8636416701 6624137.838501531 159.84, 145637.18374551792 6624138.043815698 159.84, 145635.7220647991 6624138.217627232 159.85, 145633.90366023593 6624138.446611597 159.86, 145632.94913317205 6624138.560527846 159.86, 145632.21380062262 6624138.652904841 159.86, 145631.2891637067 6624138.76388392 159.87, 145630.3674639545 6624138.904753166 159.87, 145629.53935091186 6624139.07666445 159.87, 145628.82181418472 6624139.247769495 159.87, 145628.11815706966 6624139.457749034 159.88, 145627.4662750039 6624139.68276007 159.88, 145626.82631443703 6624139.926718824 159.88, 145626.22718647547 6624140.1767247375 159.88, 145625.7745721594 6624140.382154639 159.88, 145624.9709355167 6624140.803150641 159.89, 145624.38061906327 6624141.142827058 159.88, 145623.80222411075 6624141.501451197 159.88, 145623.20781860972 6624141.901887011 159.88, 145622.17842181394 6624142.687093728 159.87, 145621.78835217492 6624143.017152404 159.87, 145621.14378410135 6624143.623709398 159.86, 145620.64883966488 6624144.114967596 159.85, 145620.18476445175 6624144.613252016 159.84, 145619.75155846163 6624145.118562652 159.83, 145619.16953508137 6624145.8497484345 159.82, 145618.8888899043 6624146.269650435 159.81, 145618.5473125293 6624146.786076339 159.82, 145618.30358373444 6624147.172171949 159.83, 145617.81808426348 6624147.964289947 159.85, 145617.51014048274 6624148.618245189 159.87, 145617.06921705639 6624149.556876855 159.89, 145616.9262740197 6624149.842532338 159.9, 145616.67569182452 6624150.158884238 159.91, 145616.2557320221 6624150.49188013 159.92, 145615.9935739342 6624150.588058422 159.92, 145610.89462305966 6624149.167726825 159.97, 145606.07349501376 6624147.810631036 160.02, 145601.25334583333 6624146.463498515 160.06, 145596.4331964617 6624145.116365881 160.11, 145591.61304689775 6624143.769233129 160.16, 145586.79289714177 6624142.422100255 160.2, 145581.97176813666 6624141.065003881 160.25, 145572.33146766556 6624138.370737555 160.34, 145567.51131714182 6624137.023604214 160.39, 145570.90578801697 6624123.964650525 160.37, 145571.58468236297 6624121.3528598845 160, 145567.71330021496 6624120.3450576225 160.37, 145556.2578190774 6624116.581767744 160.09, 145555.95909008366 6624116.510526416 160.1, 145555.43235491012 6624116.3711537635 160.11, 145554.91460407333 6624116.220838661 160.12, 145554.12703536346 6624115.98638166 160.13, 145553.3484509876 6624115.7409822075 160.15, 145552.8287420306 6624115.5707403105 160.16, 145552.30805401562 6624115.390535013 160.17, 145551.5392601848 6624115.244769501 160.18, 145550.85115256306 6624115.101134934 160.2, 145550.20157378417 6624115.144846763 160.2, 145549.55493216868 6624115.218448776 160.2, 145549.03764184582 6624115.379936069 160.21, 145548.53227302775 6624115.560371101 160.21, 145548.10350136296 6624115.803696508 160.21, 145547.68567214813 6624116.056006256 160.21, 145547.33251858223 6624116.352258651 160.21, 145546.99128652242 6624116.667458777 160.21, 145546.62194955192 6624117.106135876 160.21, 145546.6039808732 6624117.128020778 160.21, 145546.44519993197 6624117.354875082 160.2, 145546.24034540192 6624117.7270912565 160.2, 145546.03646992892 6624118.10927083 160.2, 145545.8953119964 6624118.515466251 160.2, 145545.76313840406 6624118.910719222 160.19, 145545.6936823532 6624119.3299880475 160.19, 145545.63418969925 6624119.748277813 160.18, 145545.6291215843 6624119.799073846 160.18, 145545.63188591815 6624119.929577041 160.18, 145545.6133987375 6624120.253300971 160.18, 145545.60585400934 6624120.586009241 160.17, 145545.6061417315 6624120.998424672 160.17, 145545.61737190664 6624121.419824441 160.16, 145545.63856547873 6624121.840245156 160.16, 145545.66972244775 6624122.259686814 160.15, 145545.71084281354 6624122.678149414 160.15, 145545.76094751968 6624123.085669564 160.14, 145545.82199467887 6624123.50217405 160.14, 145545.89300523512 6624123.91769948 160.13, 145545.9730001315 6624124.322282462 160.13, 145546.06295842427 6624124.725886379 160.12, 145546.17382256535 6624125.137495582 160.12, 145546.28370765154 6624125.5391413905 160.11, 145546.40257707745 6624125.929844744 160.11, 145546.54235235183 6624126.3285533795 160.11, 145546.6811485706 6624126.717298619 160.1, 145546.82990818535 6624127.105064799 160.1, 145546.98863119673 6624127.491851923 160.09, 145547.15633854753 6624127.8676965935 160.09, 145547.34397268912 6624128.241583149 160.09, 145547.53160683165 6624128.615469702 160.08, 145547.7282253137 6624128.9784138035 160.08, 145547.9348071913 6624129.340378846 160.08, 145548.1503734078 6624129.691401435 160.07, 145548.3759030198 6624130.041444967 160.07, 145548.6004535756 6624130.381525103 160.06, 145548.84493092156 6624130.719647122 160.06, 145549.08842921111 6624131.047805744 160.06, 145549.35185429122 6624131.374006255 160.05, 145549.6143003141 6624131.690243366 160.05, 145549.886709732 6624132.005501417 160.05, 145550.1571610358 6624132.3008326795 160.04, 145550.44851818663 6624132.604169218 160.04, 145550.73791722307 6624132.88757897 160.04, 145551.04724304884 6624133.169030603 160.03, 145551.34660547954 6624133.451461292 160.03, 145551.66393658507 6624133.712007074 160.02, 145551.98126769054 6624133.972552859 160.02, 145552.30758313264 6624134.222156187 160.02, 145552.64386196894 6624134.470780456 160.01, 145552.97818269004 6624134.699477937 160.01, 145553.32246680488 6624134.927196355 160.01, 145553.66577186214 6624135.144951381 160, 145554.02802465006 6624135.350784897 160, 145554.38031404285 6624135.557597469 160, 145554.7406087143 6624135.743504191 159.99, 145555.1108667791 6624135.9284318555 159.99, 145555.48014578567 6624136.103396124 159.99, 145555.85840912763 6624136.26741794 159.98, 145556.2356934116 6624136.42147636 159.98, 145556.62196203065 6624136.564592326 159.97, 145557.00725159142 6624136.697744901 159.97, 145557.40250454517 6624136.829918416 159.97, 145557.76493014285 6624136.93513892 159.96, 145557.93021879275 6624136.979254364 159.96, 145557.97203048394 6624136.995264923 159.96, 145558.34441947402 6624137.099506367 159.96, 145558.7168084628 6624137.203747812 159.96, 145562.08023081935 6624138.160868511 159.93, 145566.9033187647 6624139.537892048 159.9, 145571.71546406765 6624140.905931126 159.87, 145577.1046218648 6624142.720249639 159.83, 145578.8958437083 6624143.238346687 159.78, 145578.98943046865 6624143.269388733 159.78, 145579.23736340023 6624143.335561872 159.77, 145583.81447586237 6624144.666338622 159.8, 145584.0624087837 6624144.732511755 159.8, 145592.6262015595 6624147.220713233 159.86, 145593.67166635627 6624147.520363992 159.87, 145594.08586691617 6624147.640615919 159.87, 145594.91426803166 6624147.881119766 159.88, 145595.7217633021 6624148.113618336 159.88, 145596.5919760851 6624148.370132725 159.89, 145596.88172065828 6624148.452316388 159.89, 145599.8119937004 6624149.301106012 159.91, 145600.21525179106 6624149.412373594 159.91, 145602.54317168036 6624150.068863803 159.93, 145602.88469130552 6624150.166078945 159.93, 145603.01911066577 6624150.203168137 159.93, 145606.15354664408 6624151.082193448 159.95, 145608.19270093198 6624151.6664633285 159.97, 145611.60593886743 6624152.61868787 159.98, 145613.2261700823 6624152.932275919 159.99, 145613.73395730928 6624153.08356983 159.99, 145616.11267294007 6624153.745127977 160, 145617.72449593572 6624153.154178556 159.99, 145618.72596065066 6624152.391835665 159.96, 145618.82772545668 6624152.301358914 159.96, 145619.48767059238 6624151.44180091 159.94, 145619.85948372056 6624150.721211938 159.91, 145619.99050524598 6624150.4166087415 159.9, 145620.48337651894 6624149.392395642 159.87, 145620.8530587327 6624148.752492845 159.85, 145621.06182925304 6624148.420130413 159.84, 145621.7139419425 6624147.480865346 159.81, 145622.4326883693 6624146.605469657 159.79, 145623.21708947397 6624145.783979965 159.77, 145623.7807985503 6624145.275904979 159.77, 145624.068124311 6624145.026359651 159.76, 145624.96586610196 6624144.334566838 159.75, 145625.92125728965 6624143.717585849 159.72, 145626.91437109612 6624143.177374802 159.68, 145627.9551709062 6624142.712954635 159.69, 145629.02372994332 6624142.326283466 159.7, 145630.82059531682 6624141.878104503 159.7, 145631.69247812452 6624141.742130522 159.69, 145631.78214861103 6624141.733319004 159.69, 145634.26712108759 6624141.42877436 159.68, 145636.75209350907 6624141.1242297245 159.69, 145639.23706587637 6624140.819685106 159.7, 145641.72203818854 6624140.515140495 159.71, 145644.01689986518 6624140.11862168 159.72, 145646.24938964052 6624139.4968612315 159.74, 145648.41950752173 6624138.6498591555 159.75, 145650.4983424176 6624137.590516026 159.76, 145652.44701985252 6624136.332711458 159.78, 145654.27648228325 6624134.885429792 159.79, 145655.93789185217 6624133.2635296965 159.8, 145656.90508938878 6624132.152468759 159.81, 145657.48907077347 6624131.441210069 159.81, 145659.04940685682 6624129.507335145 159.82, 145660.59880051122 6624127.564475945 159.84, 145662.12533024105 6624125.593684759 159.85, 145663.64189660008 6624123.623872678 159.86, 145663.93544229993 6624123.232882 159.85, 145665.1365780934 6624121.636091992 159.82, 145666.6203171629 6624119.6393270325 159.79, 145668.08217136952 6624117.6245934665 159.75, 145669.53308315412 6624115.600875622 159.71, 145670.96211007994 6624113.559189175 159.68, 145671.7380452759 6624112.446803822 159.64, 145672.31125711062 6624111.625948105 159.6, 145673.99656773533 6624109.428303308 159.47, 145671.14162610786 6624109.960334546 159.76, 145670.75524308084 6624109.304190768 159.82, 145668.12047726824 6624106.344027359 159.81, 145665.0104642071 6624102.847107749 159.8, 145661.90045116906 6624099.350187943 159.79, 145658.79043815442 6624095.85326794 159.8, 145657.23592189216 6624093.239634764 159.8, 145656.64762310934 6624091.24528716 159.8, 145656.46488601388 6624089.180908234 159.79, 145656.6935849244 6624087.106278315 159.79, 145657.3345260261 6624085.131973724 159.78, 145658.3537300746 6624083.321690996 159.78, 145659.27502736705 6624082.255379321 159.77, 145661.0896899068 6624080.145619944 159.76, 145663.51920336112 6624077.331628503 159.75, 145665.93973249895 6624074.528579617 159.74, 145669.8741124975 6624079.453432181 157.18, 145665.93973249895 6624074.528579617 159.74, 145669.8741124975 6624079.453432181 158.37, 145674.58241829672 6624076.898375959 158.37, 145674.80000038998 6624076.65568428 158.37, 145675.39014389814 6624076.416621246 158.37, 145676.7070958136 6624076.407926162 158.37, 145677.48878926696 6624076.582602876 158.37, 145677.95914109726 6624077.069542072 158.37, 145679.58518725884 6624078.056552043 158.37, 145680.44543584058 6624078.314045832 158.37, 145683.01351041324 6624080.0836716965 158.37, 145685.81183652993 6624082.353770476 158.37, 145687.28935278516 6624083.979070123 158.37, 145688.18133329257 6624085.480834788 158.37, 145688.87813522934 6624086.941421119 158.37, 145689.00898247142 6624088.477740165 158.37, 145688.87035793153 6624089.728691596 158.37, 145688.11106651777 6624091.010454121 158.37, 145685.87074345793 6624093.292815455 158.37, 145683.54195994308 6624094.879698162 158.37, 145681.20891448075 6624096.627953173 158.37, 145683.39377182123 6624100.537689811 158.37, 145684.13584264 6624100.002028987 158.38, 145686.2501540584 6624098.587115146 158.42, 145687.5514990643 6624097.805365006 158.44)</t>
  </si>
  <si>
    <t>2020-02-04</t>
  </si>
  <si>
    <t>2025-04-30T11:55:34Z</t>
  </si>
  <si>
    <t>[16762]</t>
  </si>
  <si>
    <t>['KV16762 S1D1 m1548-1563']</t>
  </si>
  <si>
    <t>LINESTRING (261671.50198829148 6653024.864713369, 261676.07102129637 6653038.529167533)</t>
  </si>
  <si>
    <t>2020-02-10</t>
  </si>
  <si>
    <t>2025-11-22T09:16:59Z</t>
  </si>
  <si>
    <t>[8474]</t>
  </si>
  <si>
    <t>['KV8474 S1D1 m30-219', 'KV8474 S1D1 m22-30']</t>
  </si>
  <si>
    <t>LINESTRING Z (273766.86577212636 7040273.928115552 98.107, 273782.9078206812 7040238.55343325 98.907, 273796.7177841632 7040201.669983368 101.548, 273807.0985208716 7040162.515921422 104.778, 273813.70931939944 7040123.454782141 107.808, 273816.23395065544 7040083.260064201 110.898)</t>
  </si>
  <si>
    <t>POLYGON ((273783.3631848778 7040238.759936152, 273783.3760742392 7040238.728757536, 273797.18603772117 7040201.845307655, 273797.2010865831 7040201.79811912, 273807.5818232915 7040162.644057174, 273807.591510376 7040162.599356119, 273814.20230890386 7040123.538216838, 273814.2083360333 7040123.486125389, 273816.7329672893 7040083.291407449, 273815.7349340216 7040083.228720954, 273813.2119486376 7040123.397234924, 273806.60935155547 7040162.409914429, 273796.24083611276 7040201.517880206, 273782.44548555615 7040238.362302098, 273766.4104079298 7040273.72161265, 273767.3211363229 7040274.134618455, 273783.3631848778 7040238.759936152))</t>
  </si>
  <si>
    <t>['EV6 S140D130 m210-319']</t>
  </si>
  <si>
    <t>LINESTRING Z (518224.97 7458522.78 32.50031830370426, 518223.35 7458520.03 32.50031732022762, 518222.69 7458516.32 31.90031651556492, 518218.65 7458509.99 32.78031416118145, 518217.29 7458508.09 32.78031340867281, 518216.17 7458506.45 32.78031277537346, 518215.13 7458504.94 32.770312194228175, 518214.09 7458503.28 33.100311590731145, 518212.46 7458501.17 33.02031071901322, 518210.98 7458498.46 33.0103098025918, 518209.82 7458496.25 34.020309064984325, 518208.77 7458493.79 34.020308334827426, 518207.45 7458492.03 33.56030762702227, 518206.1 7458490.32 33.56030691921711, 518204.47 7458487.76 33.780305980443956, 518203.28 7458486.55 33.78030539929867, 518200.77 7458482.48 33.75030394643545, 518199.89 7458480.08 33.65030328333378, 518199 7458478.42 33.600302731990816, 518197.82 7458476.01 33.79030197203159, 518197.08 7458474.36 33.9803014728427, 518196.43 7458473.02 33.60030105561018, 518195.31 7458471.04 33.60030038505793, 518194.29 7458468.79 0.0002996996045113, 518193.08 7458466.32 0.0002989247441292, 518191.91 7458463.91 0.0002981722354889, 518191.63 7458462.32 33.40029783695936, 518190.75 7458460.66 33.44029730051756, 518189.56 7458458.85 33.570296629965306, 518188.11 7458455.63 32.92029566884041, 518186.46 7458452.38 32.92029464066029, 518184.07 7458448.41 32.78029326230288, 518183.07 7458446.44 32.640292636454106, 518182.14 7458444.36 32.6402920255065, 518180.97 7458442.41 32.64029134005308, 518181.41 7458440.47 32.64029118359089, 518181.62 7458438.26 32.64029091536999, 518183.18 7458439.96 32.64029166787863, 518185.15 7458442.58 32.64029270350933, 518186.35 7458443.75 32.640293262302876, 518187.83 7458445.64 32.42029402971268, 518189.37 7458448.58 32.420294975936415, 518190.74 7458451.47 32.420295862555506, 518191.55 7458453.47 32.42029642879963, 518193.03 7458456.78 32.550297419726846, 518194.79 7458460.69 32.61029859691858, 518196.27 7458464 32.490299587845804, 518197.74 7458467.31 32.76030057877302, 518198.77 7458469.42 32.83030124187469, 518200.1 7458471.98 32.90030207633972, 518200.99 7458473.79 33.00030265003443, 518202.17 7458475.45 33.19030329078436, 518203.36 7458476.96 33.37030391663313, 518204.85 7458478.77 33.55030468404293, 518206.89 7458481.24 34.3803057345748, 518208.7 7458483.38 34.38030666589737, 518210.43 7458485.4 34.38030754506588, 518212.47 7458487.69 34.380308573246005, 518213.85 7458489.3 34.38030928105116, 518214.8 7458490.54 34.38030978024006, 518215.68 7458492.05 34.35031030923128, 518215.52 7458493.92 34.28031056255102, 518215.56 7458495.9 34.28031089037657, 518215.94 7458497 34.28031118839979, 518216.37 7458498.15 32.620311508774755, 518217.41 7458499.73 32.6203121048212, 518218.24 7458500.4 32.62031248480081, 518219.54 7458501.4 32.62031307339668, 518221.06 7458502.75 32.62031378865242, 518222.55 7458506.07 32.62031481683254, 518224.02 7458509.25 32.62031580775976, 518225.56 7458512.12 32.62031677633524, 518226.33 7458513.67 32.62031728297472, 518227.22 7458515.61 32.620317886471746, 518228.44 7458518.23 32.62031872093677, 518229.25 7458520.05 32.62031927973032, 518229.88 7458521.77 32.59031977146864, 518230.57 7458523.81 32.59032033026219, 518231.58 7458526.37 29.700321075320243, 518232.41 7458528.78 29.700321738421916, 518233.64 7458531.95 29.70032266974449, 518234.3 7458533.7 29.70032317638397, 518235.39 7458536.22 29.700323943793773, 518236.66 7458538.72 29.70032478570938, 518238.24 7458541.69 29.70032579153776, 518240.57 7458546.11 29.70032729655504, 518241.94 7458548.58 29.70032816827297, 518242.86 7458550.38 29.70032877177, 518246.37 7458556.45 29.700330947339534, 518247.97 7458559.22 29.700331945717334, 518250.08 7458562.98 29.70033327937126, 518251.05 7458564.7 29.70033389776945, 518252.3 7458566.77 29.700334665179252, 518253.6 7458568.99 29.700335477292537, 518254.86 7458571.31 29.70033628195524, 518256.81 7458574.73 29.70033751130104, 518258.42 7458577.51 29.70033852458, 518259.66 7458579.52 29.700339284539222, 518260.99 7458582.08 29.590340171158314, 518262.62 7458584.64 29.490341154634955, 518264.1 7458587.2 29.380342093408107, 518265.87 7458590.37 29.26034322589636, 518267.2 7458592.78 29.19034409016371, 518268.24 7458594.44 29.180344723463058, 518269.57 7458596.7 29.040345565378665, 518271.06 7458599.31 28.770346519052982, 518272.68 7458602.12 28.770347554683685, 518274.9 7458605.88 28.640348955392838, 518277.7 7458611.01 28.440350795686246, 518279.77 7458614.47 28.14035209953785, 518281.99 7458618.24 28.140353515148163, 518284.36 7458622.6 27.98035508722067, 518286.28 7458625.92 27.750356324017048, 518288.31 7458629.67 0.0003576800227165, 518290.74 7458634.94 27.44035943835974, 518291.45 7458635.41 27.330359766185286, 518294.41 7458641.13 27.050361792743207, 518297.36 7458646.7 26.870363796949388, 518301.22 7458654.27 26.34036647170782, 518302.97 7458657.54 26.340367663800716, 518306.8 7458665.52 26.030370413064958, 518308.63 7458669.29 25.680371731817722, 518310.78 7458674.1 25.68037334114313, 518312.11 7458676.96 25.54037431716919, 518314.32 7458681.92 25.340375986099243, 518316.09 7458685.84 25.220377304852008, 518318.31 7458690.98 24.410379018485546, 518319.55 7458693.86 24.410379972159863, 518321.62 7458698.56 24.41038155168295, 518322.94 7458701.97 24.410382639467716, 518324.62 7458705.85 24.41038393586874, 518325.86 7458708.9 24.21038492679596, 518327.57 7458712.92 24.210386267900468, 518328.74 7458716.38 24.09038731098175, 518330.06 7458720.14 23.95038845837116, 518330.94 7458722.39 23.88038918852806, 518331.77 7458724.39 23.580389851629736, 518332.94 7458727.43 23.580390820205213, 518334.17 7458730.82 23.58039187818766, 518335.34 7458733.97 23.470392876565455, 518336.66 7458737.88 23.280394068658353, 518337.54 7458740.29 23.150394828617575, 518338.91 7458744.28 22.93039605051279, 518340.47 7458749.16 22.930397503376007, 518339.31 7458746.53 22.940396609306337, 518340.16 7458748.65 22.940397302210332, 518342.11 7458754.86 22.71039914995432, 518344.06 7458761.27 22.52040103495121, 518346.01 7458767.69 22.260402927398683, 518346.88 7458771.09 22.110403873622417, 518348.34 7458775.5 21.930405214726925, 518349.8 7458780.51 21.7204066824913, 518350.77 7458784.02 21.650407688319685, 518351.84 7458788.33 21.480408872962, 518353.29 7458793.74 21.280410407781602, 518354.75 7458799.45 21.06041201710701, 518356.1 7458805.56 20.82041364133358, 518357.75 7458811.87 20.630415429472922, 518358.71 7458816.37 20.46041662156582, 518359.29 7458818.68 20.39041726976633, 518359.77 7458820.68 20.330417821109297, 518360.06 7458822.38 20.30041824579239, 518360.64 7458825.39 20.18041902065277, 518361.11 7458828.09 20.080419698655607, 518361.79 7458830.99 19.98042049586773, 518363.53 7458838.8 19.810422611832617, 518363.81 7458841.3 19.730423178076745, 518364.47 7458845.31 19.530424176454545, 518364.96 7458847.41 19.47042475759983, 518365.14 7458849.31 19.400425182282927, 518365.52 7458851.31 19.340425696372986, 518365.9 7458854.22 19.240426381826403, 518366.37 7458857.72 19.12042721629143, 518367.03 7458862.72 18.920428400933744, 518367.21 7458865.82 18.790429049134254, 518367.68 7458868.73 18.68042976438999, 518367.95 7458872.33 18.540430539250373, 518368.52 7458877.23 18.330431679189207, 518368.98 7458881.63 18.150432677567007, 518369.35 7458885.23 17.990433497130873, 518369.54 7458886.83 17.93043386220932, 518369.91 7458889.34 17.76043447315693, 518370.1 7458891.24 17.760434905290605, 518370.28 7458893.44 17.670435389578344, 518370.47 7458895.24 17.590435799360275, 518370.85 7458898.14 17.48043648481369, 518371.13 7458900.64 17.390437065958977, 518371.5 7458903.74 17.280437796115876, 518371.78 7458906.15 17.16043834745884, 518372.07 7458907.95 17.090438801944256, 518372.44 7458910.75 16.99043947249651, 518372.73 7458912.75 16.92043995678425, 518373.24 7458915.97 16.640440761446953, 518373.87 7458920.16 16.640441797077656, 518374.14 7458923.36 16.500442504882812, 518374.41 7458927.76 16.210443436205388, 518374.49 7458930.36 15.99044395774603, 518374.37 7458932.76 15.780444352626802, 518374.34 7458935.86 15.540444926321507, 518374.23 7458937.35 15.450445164740087, 518374.32 7458938.95 15.360445500016212, 518374.3 7458940.35 15.270445745885372, 518374.39 7458941.75 15.230446051359177, 518374.38 7458943.25 15.22044632703066, 518374.67 7458945.05 15.180446781516075, 518374.85 7458947.56 15.070447325408459, 518374.13 7458949.15 14.81044733285904, 518373.13 7458949.84 14.750447064638138, 518372.03 7458950.33 14.71044670701027, 518370.62 7458951.22 14.670446304678917, 518369.22 7458951.71 14.57044583529234, 518368.01 7458951.99 14.500445403158665, 518367.01 7458952.19 14.500445038080215, 518366.01 7458952.48 14.420444687902927, 518364.11 7458952.87 14.340443994998932, 518362.51 7458953.25 14.230443421304226, 518361.01 7458952.64 14.260442713499069, 518360.12 7458951.73 14.330442184507847, 518359.53 7458950.53 14.450441722571851, 518359.14 7458949.33 14.62044134259224, 518358.65 7458947.62 14.970440828502179, 518358.36 7458946.12 15.070440433621407, 518358.28 7458944.62 15.220440128147603, 518357.79 7458943.02 15.430439643859863, 518356.6 7458941.21 15.770438831746578, 518355.03 7458938.7 16.09043773651123, 518354.24 7458937.19 16.370437140464784, 518353.05 7458936.08 16.60043646246195, 518352.45 7458935.07 17.590436030328274, 518351.57 7458933.47 17.590435389578342, 518351.18 7458932.07 17.59043497979641, 518350.49 7458931.26 17.830434555113317, 518349.5 7458930.16 17.83043395906687, 518349.21 7458928.96 18.27043362379074, 518348.5 7458927.16 18.890433012843133, 518346.15 7458923.43 18.890431396067143, 518345.46 7458922.33 18.990430919229986, 518344.67 7458920.62 19.270430293381214, 518344.09 7458919.02 19.670429771840574, 518343.3 7458917.31 20.0404291459918, 518342.81 7458915.91 20.280428698956968, 518342.42 7458914.81 20.3704283413291, 518341.83 7458913.4 20.540427857041358, 518341.24 7458912.2 20.660427402555943, 518341.05 7458911.1 20.93042712688446, 518340.96 7458909.8 21.310426851212977, 518341.38 7458907.8 22.270426657497882, 518341.39 7458906.2 22.94042636692524, 518341.1 7458905.1 22.990426061451437, 518340.81 7458904.3 23.050425800681115, 518340.02 7458902.49 23.250425152480602, 518339.24 7458900.49 23.36042448937893, 518338.65 7458898.78 23.570423938035965, 518336.58 7458895.07 23.780422455370427, 518335.8 7458892.56 24.050421695411206, 518335.12 7458890.36 24.050421032309533, 518335.04 7458888.06 24.250420585274696, 518335.07 7458884.86 24.47042001903057, 518333.89 7458881.45 24.490418946146967, 518333.23 7458876.55 24.680417798757553, 518332.77 7458872.64 24.750416919589043, 518333.09 7458869.25 25.060416435301306, 518333.62 7458865.65 25.110415988266467, 518333.56 7458861.25 25.420415168702604, 518332.2 7458856.44 25.73041377544403, 518331.24 7458851.04 25.410412434339523, 518332.08 7458845.95 23.450411838293075, 518332.4 7458831.06 24.11040928274393, 518332.3 7458830.85 24.190409208238126, 518332.3 7458830.75 24.250409185886383, 518332.3 7458830.66 24.300409170985223, 518332.3 7458830.56 24.350409156084062, 518332.2 7458830.55 24.31040911138058, 518332.2 7458830.45 24.360409089028835, 518332.11 7458830.05 24.51040899217129, 518331.92 7458828.75 24.840408686697483, 518331.92 7458828.65 24.890408664345742, 518331.92 7458828.55 24.920408649444582, 518331.92 7458828.45 24.950408627092838, 518331.92 7458828.35 25.000408612191677, 518331.92 7458828.25 25.040408589839934, 518331.92 7458828.15 25.070408574938774, 518331.92 7458828.05 25.070408552587033, 518331.82 7458828.05 25.01040851533413, 518331.73 7458827.75 24.920408433377744, 518331.63 7458827.45 24.910408336520195, 518331.53 7458827.15 24.950408247113227, 518331.43 7458826.85 24.84040815025568, 518331.34 7458826.55 24.660408068299294, 518331.24 7458826.25 24.610407971441745, 518331.14 7458825.95 24.66040788203478, 518331.14 7458825.85 24.710407859683038, 518331.14 7458825.75 24.750407844781876, 518331.04 7458825.65 24.740407792627813, 518330.95 7458825.35 24.820407703220845, 518330.65 7458824.34 25.20040740519762, 518330.46 7458823.64 25.540407204031943, 518330.36 7458823.24 25.740407092273237, 518330.36 7458823.14 25.730407084822655, 518330.37 7458823.04 25.720407062470912, 518330.37 7458822.94 25.690407047569753, 518330.27 7458822.94 25.69040701031685, 518330.17 7458822.24 25.390406846404076, 518329.98 7458820.94 25.48040653347969, 518329.89 7458820.24 25.7604063770175, 518329.7 7458818.94 25.990406071543696, 518329.51 7458817.64 26.08040576606989, 518328.83 7458815.63 26.2104051476717, 518329.31 7458817.04 26.110405579805374, 518329.22 7458816.74 26.230405490398407, 518329.22 7458816.64 26.280405475497247, 518329.22 7458816.54 26.310405460596087, 518329.12 7458816.43 26.25040540099144, 518328.83 7458815.63 26.2104051476717, 518328.34 7458814.23 26.330404715538027, 518328.73 7458815.33 26.260405058264734, 518328.73 7458815.23 26.28040503591299, 518328.63 7458815.03 26.240404961407187, 518328.34 7458814.23 26.330404715538027, 518327.75 7458812.52 26.210404186546803, 518326.69 7458807.52 26.5504028826952, 518326.32 7458804.32 26.59040217489004, 518325.94 7458801.41 26.590401504337787, 518325.28 7458796.31 26.840400342047214, 518324.6 7458793.71 26.980399626791478, 518324.03 7458790.8 26.850398889184, 518323.34 7458789 27.010398308038713, 518322.95 7458788.2 27.07039801746607, 518322.85 7458787.99 27.100397942960264, 518322.46 7458787.19 27.05039765238762, 518322.26 7458786.79 27.14039751082659, 518322.26 7458786.69 27.100397495925428, 518322.26 7458786.59 27.070397473573685, 518322.16 7458786.39 27.00039739906788, 518322.07 7458786.09 27.030397309660913, 518321.97 7458785.79 27.090397220253944, 518321.77 7458785.09 27.03039702653885, 518321.68 7458784.79 27.140396937131882, 518321.58 7458784.49 27.200396840274333, 518321.19 7458783.18 27.280396467745305, 518319.92 7458779.57 27.280395342707635, 518318.55 7458775.16 27.20039405375719, 518317.68 7458772.16 27.240393196940424, 518317 7458769.65 27.100392496585847, 518316.43 7458766.35 27.080391699373724, 518315.85 7458764.05 26.990391073524954, 518315.17 7458760.64 27.090390216708183, 518315.37 7458758.36 0.0003898963332176, 518313.46 7458751.64 26.710387988984586, 518311.45 7458747.68 26.71038655847311, 518311.85 7458746.61 0.0003865137696266, 518312.17 7458744.13 26.57038619339466, 518311.58 7458741.68 26.57038554519415, 518311.62 7458737.53 26.560384822487833, 518311.08 7458733.7 26.560383950769904, 518311.39 7458729.28 26.66038328766823, 518310.56 7458720.73 26.680381477177143, 518309.25 7458715.77 26.370380128622056, 518308.82 7458713.22 26.550379525125027, 518308.42 7458710.14 26.550378839671612, 518305.47 7458700.9 26.190376150012018, 518303.53 7458694.96 26.860374406576156, 518302.09 7458692.17 26.100373400747777, 518302.19 7458692.14 0.0003734305500984, 518301.07 7458689.02 26.160372484326363, 518299.44 7458685.85 26.010371351838113, 518297.83 7458681.34 25.88036998838186, 518296.8 7458678.63 25.810369146466257, 518296.37 7458675.93 25.830368520617487, 518295.99 7458675.11 26.100368244946004, 518295.86 7458674.43 26.12036808103323, 518295.69 7458673.15 26.250367797911167, 518295.34 7458671.78 26.2603674402833, 518294.91 7458670.61 26.50036707520485, 518294.81 7458670.31 26.530366993248464, 518294.81 7458670.21 26.55036697089672, 518294.81 7458670.11 26.57036695599556, 518294.71 7458670.01 26.530366903841497, 518294.61 7458669.61 26.58036679953337, 518294.52 7458669.21 26.62036670267582, 518294.52 7458669.11 26.65036668032408, 518294.52 7458669.01 26.670366665422918, 518294.42 7458668.91 26.640366613268853, 518294.32 7458668.71 26.65036654621363, 518294.22 7458668.51 26.66036647170782, 518294.12 7458668.31 26.680366404652595, 518294.03 7458668.11 26.71036633759737, 518293.93 7458667.91 26.700366270542144, 518293.83 7458667.7 26.68036619603634, 518293.83 7458667.6 26.700366181135177, 518293.73 7458667.5 26.680366128981113, 518293.63 7458667.3 26.690366047024728, 518293.44 7458666.8 26.760365898013116, 518293.44 7458666.7 26.780365883111955, 518293.44 7458666.6 26.780365860760213, 518293.44 7458666.5 26.80036584585905, 518293.34 7458666.4 26.780365793704988, 518293.24 7458666 26.87036568939686, 518293.15 7458665.6 26.91036559253931, 518292.95 7458664.7 27.030365361571313, 518292.95 7458664.6 27.080365346670153, 518292.96 7458664.5 27.12036533176899, 518292.96 7458664.4 27.16036531686783, 518292.96 7458664.3 27.19036530196667, 518292.86 7458664.1 27.22036522001028, 518292.86 7458664 27.24036520510912, 518292.86 7458663.9 27.270365190207958, 518292.86 7458663.8 27.31036516785622, 518292.86 7458663.7 27.330365152955057, 518292.86 7458663.6 27.340365138053894, 518292.86 7458663.5 27.340365115702152, 518292.86 7458663.4 27.36036510080099, 518292.76 7458663.4 27.33036506354809, 518292.76 7458663.3 27.35036504864693, 518292.77 7458663.2 27.380365033745765, 518292.77 7458663.1 27.400365018844607, 518292.77 7458663 27.430365003943443, 518292.77 7458662.9 27.4503649815917, 518292.77 7458662.8 27.48036496669054, 518292.77 7458662.7 27.50036495178938, 518292.77 7458662.6 27.53036492943764, 518292.77 7458662.5 27.540364914536475, 518292.77 7458662.4 27.550364899635316, 518292.77 7458662.3 27.550364877283574, 518292.67 7458662.3 27.510364847481252, 518292.57 7458662.2 27.49036479532719, 518292.47 7458662.1 27.480364743173123, 518292.38 7458661.99 27.48036469101906, 518291.2 7458660.69 27.160364050269127, 518290.89 7458660.18 27.38036385655403, 518289.81 7458658.38 27.060363156199458, 518289.71 7458658.17 27.09036308169365, 518289.61 7458657.97 27.090363014638424, 518289.61 7458657.87 27.140362999737263, 518289.61 7458657.77 27.190362977385522, 518289.51 7458657.67 27.19036293268204, 518289.42 7458656.97 27.200362776219844, 518289.42 7458656.87 27.210362761318684, 518289.42 7458656.77 27.230362746417523, 518289.42 7458656.67 27.25036272406578, 518289.42 7458656.57 27.26036270916462, 518289.42 7458656.47 27.270362694263458, 518289.42 7458656.37 27.31036267191172, 518289.42 7458656.27 27.400362657010557, 518289.32 7458656.27 27.310362627208235, 518289.23 7458655.97 27.200362537801265, 518289.13 7458655.57 27.28036243349314, 518289.13 7458655.47 27.300362411141396, 518289.13 7458655.37 27.320362396240235, 518289.13 7458655.27 27.330362381339075, 518289.13 7458655.17 27.330362358987333, 518289.03 7458655.07 27.290362314283847, 518289.03 7458654.97 27.270362291932106, 518289.03 7458654.87 27.260362277030946, 518288.94 7458654.47 27.2403621801734, 518288.75 7458652.97 27.43036184489727, 518288.75 7458652.87 27.44036182999611, 518288.75 7458652.77 27.44036181509495, 518288.75 7458652.67 27.440361792743207, 518288.75 7458652.57 27.440361777842046, 518288.75 7458652.47 27.460361762940884, 518288.75 7458652.37 27.500361748039722, 518288.66 7458652.27 27.48036169588566, 518288.66 7458652.17 27.4903616809845, 518288.66 7458652.07 27.490361666083338, 518288.66 7458651.97 27.480361643731595, 518288.66 7458651.87 27.460361628830434, 518288.66 7458651.77 27.440361613929273, 518288.66 7458651.67 27.41036159157753, 518288.66 7458651.57 27.380361576676368, 518288.56 7458651.37 27.270361509621143, 518288.56 7458651.27 27.27036149471998, 518288.56 7458651.17 27.27036147236824, 518288.56 7458651.07 27.29036145746708, 518288.57 7458650.97 27.340361442565918, 518288.57 7458650.87 27.370361427664758, 518288.57 7458650.77 27.370361412763597, 518288.57 7458650.67 27.370361390411855, 518288.57 7458650.57 27.360361375510692, 518288.47 7458650.37 27.300361301004887, 518288.47 7458650.27 27.310361286103728, 518288.47 7458650.17 27.310361263751986, 518288.47 7458650.07 27.320361248850823, 518288.47 7458649.97 27.32036123394966, 518288.47 7458649.87 27.32036121159792, 518288.48 7458649.77 27.30036120414734, 518288.48 7458649.67 27.270361181795597, 518288.48 7458649.57 27.230361166894436, 518288.38 7458649.47 27.170361114740373, 518288.28 7458648.87 27.05036098062992, 518288.28 7458648.77 27.05036095827818, 518288.28 7458648.67 27.06036094337702, 518288.29 7458648.57 27.06036092847586, 518288.19 7458648.37 26.980360861420632, 518288.09 7458647.87 26.960360734760762, 518288 7458647.27 26.78036060065031, 518288 7458647.17 26.80036058574915, 518288 7458647.07 26.80036057084799, 518288 7458646.97 26.760360548496248, 518288 7458646.87 26.730360533595086, 518288 7458646.77 26.710360518693925, 518287.9 7458646.76 26.63036048144102, 518287.8 7458646.36 26.510360377132894, 518287.71 7458646.06 26.400360295176508, 518287.71 7458645.96 26.400360280275347, 518287.71 7458645.86 26.400360257923605, 518287.61 7458645.66 26.3103601834178, 518287.51 7458645.36 26.12036010146141, 518287.32 7458644.66 25.840359915196895, 518287.32 7458644.56 25.850359900295736, 518287.32 7458644.46 25.870359877943994, 518287.22 7458644.26 25.78035981088877, 518287.22 7458644.16 25.770359795987606, 518287.22 7458644.06 25.750359781086445, 518287.22 7458643.96 25.740359758734705, 518287.1 7458643.86 25.470359699130057, 518287.03 7458643.66 25.590359639525413, 518286.73 7458643.16 25.4403594532609, 518286.65 7458643.04 25.230359401106835, 518285.52 7458642.03 24.67035883486271, 518284.53 7458641.47 24.140358387827874, 518284.3 7458641.33 24.020358283519744, 518283.76 7458640.69 23.73035797804594, 518283.65 7458640.33 23.450357881188392, 518283.56 7458640.03 23.420357799232008, 518283.56 7458639.93 23.440357784330846, 518283.56 7458639.83 23.480357761979104, 518283.46 7458639.73 23.48035771727562, 518283.46 7458639.63 23.51035769492388, 518283.46 7458639.53 23.550357680022717, 518283.45 7458639.42 23.620357657670976, 518283.87 7458638.34 23.88035762041807, 518283.97 7458638.14 23.850357620418073, 518284.07 7458638.14 23.880357650220393, 518284.07 7458638.04 23.870357635319234, 518284.07 7458637.94 23.86035762041807, 518284.37 7458637.74 23.9903576874733, 518284.68 7458637.54 24.150357769429686, 518284.88 7458637.44 24.24035781413317, 518284.98 7458637.34 24.31035783648491, 518285.18 7458637.15 24.47035787373781, 518285.28 7458637.05 24.550357888638974, 518285.38 7458636.95 24.590357903540134, 518285.48 7458636.85 24.670357925891878, 518285.68 7458636.65 24.82035796314478, 518285.78 7458636.55 24.88035797804594, 518286.59 7458635.36 25.51035806000233, 518286.69 7458635.26 25.60035807490349, 518286.69 7458635.16 25.60035806000233, 518286.79 7458635.06 25.67035807490349, 518286.8 7458634.96 25.67035806000233, 518287 7458634.66 25.880358082354068, 518287.09 7458634.53 26.01035808980465, 518287.3 7458634.36 26.11035812705755, 518287.4 7458634.26 26.190358156859876, 518287.5 7458634.17 26.290358171761035, 518287.6 7458634.07 26.37035819411278, 518287.7 7458633.97 26.42035820901394, 518287.8 7458633.97 26.47035823881626, 518288.1 7458633.87 26.680358328223228, 518288.2 7458633.87 26.740358365476133, 518288.3 7458633.87 26.810358402729037, 518288.4 7458633.87 26.860358432531356, 518288.5 7458633.87 26.92035846978426, 518288.6 7458633.87 26.990358499586584, 518288.7 7458633.88 27.060358536839487, 518288.7 7458633.83 27.070358529388905, 518288.77 7458633.44 27.170358484685423, 518288.03 7458632.08 27.300358000397683, 518287.44 7458631.03 27.36035760551691, 518286.7 7458629.52 27.42035709142685, 518285.96 7458628.02 27.44035656988621, 518285.67 7458626.81 27.610356264412403, 518284.93 7458626.06 27.500355884432793, 518284.5 7458624.26 27.770355422496795, 518283.75 7458623.35 27.750355005264282, 518282.56 7458622.14 27.510354386866094, 518281.71 7458621.09 27.710353902578355, 518281.01 7458620.37 27.710353537499905, 518280.86 7458619.55 27.71035335123539, 518280.35 7458617.92 27.710352896749974, 518279.31 7458617.02 27.620352382659913, 518277.82 7458614.75 27.53035147368908, 518277 7458613.49 27.92035098195076, 518275.61 7458610.69 27.920350020825865, 518274.12 7458608.88 27.850349201262, 518272.79 7458606.77 28.080348374247553, 518271.16 7458604.21 28.25034738332033, 518269.39 7458600.74 28.590346183776855, 518267.22 7458596.64 28.6303447458148, 518264.78 7458593.63 28.630343404710292, 518263.6 7458591.27 28.630342607498168, 518262.95 7458591.44 28.630342406332492, 518261.86 7458589.44 29.030341698527337, 518260.68 7458587.86 29.030341027975084, 518258.8 7458585.41 29.03033997744322, 518257.91 7458584.2 29.180339470803737, 518256.32 7458581.66 29.48033850222826, 518255.04 7458579.23 29.480337667763234, 518252.87 7458576.06 29.480336401164532, 518251.89 7458574.47 30.500335797667503, 518250.7 7458572.57 30.500335082411766, 518249.5 7458570.43 30.500334322452545, 518248.25 7458568.05 30.50033350288868, 518247.7 7458567.3 30.500333197414875, 518247.25 7458566.56 30.500332921743393, 518246.88 7458565.68 30.50033264607191, 518246.49 7458564.87 30.50033237785101, 518245.94 7458564.18 30.500332079827785, 518245.39 7458563.47 30.50033177435398, 518244.91 7458562.7 30.50033149123192, 518244.45 7458561.93 30.500331208109856, 518244.05 7458561.2 30.500330947339535, 518243.69 7458560.48 30.500330708920956, 518243.28 7458559.59 30.500330425798893, 518242.73 7458558.78 30.500330112874508, 518242.23 7458557.38 30.500329703092575, 518242.06 7458556.92 30.650329576432707, 518241.87 7458556.34 30.650329412519934, 518241.3 7458555.16 30.650329025089743, 518241.05 7458554.62 30.65032885372639, 518240.76 7458554.07 30.650328674912455, 518240.51 7458553.33 31.050328466296197, 518240.3 7458552.79 31.050328309834004, 518240.36 7458552.04 31.050328198075295, 518240.23 7458551.46 31.050328063964844, 518239.62 7458550.86 31.05032775849104, 518239.27 7458550.84 31.05032763928175, 518239.02 7458550.38 31.050327475368977, 518238.69 7458549.86 31.050327281653882, 518238.4 7458548.65 31.040326991081237, 518237.81 7458547.75 31.13032664090395, 518237.52 7458546.85 31.20032639503479, 518236.92 7458545.94 31.350326044857503, 518235.74 7458544.43 31.48032540410757, 518235.14 7458543.53 31.530325061380864, 518234.75 7458542.75 31.970324800610545, 518234.54 7458542.42 31.970324673950675, 518233.95 7458541.22 31.970324279069903, 518233.27 7458540.31 31.970323913991454, 518233.05 7458539.73 31.9703237426281, 518232.06 7458538.3 31.970323183834555, 518230.8 7458535.59 31.970322319567206, 518230.75 7458535.45 31.970322282314303, 518230.62 7458535.06 31.970322170555594, 518230.4 7458534.71 31.970322043895724, 518229.96 7458534.32 31.970321835279467, 518229.45 7458534.06 31.97032161921263, 518229.23 7458533.82 31.97032150000334, 518228.52 7458532.96 31.97032113492489, 518228.02 7458531.95 31.970320807099345, 518227.59 7458531.63 31.97032060593367, 518227.21 7458531.3 31.970320427119734, 518226.9 7458530.85 31.9703202483058, 518226.83 7458530.78 31.970320211052897, 518226.46 7458529.87 31.970319950282576, 518226.28 7458529.57 31.970319838523867, 518226.2 7458529.42 31.970319786369803, 518226 7458529.15 31.970319682061675, 518225.89 7458528.99 31.97031961500645, 518225.63 7458528.54 31.970319451093676, 518225.56 7458528.33 31.97031939148903, 518225.34 7458527.82 31.97031924247742, 518224.89 7458527.47 31.970319033861163, 518224.72 7458527.43 31.970318974256518, 518224.35 7458527.2 31.970318817794325, 518224.13 7458527.25 31.9703187507391, 518223.99 7458527.07 31.970318668782713, 518223.88 7458526.85 31.970318601727488, 518223.85 7458526.46 31.970318527221682, 518223.75 7458525.68 31.97031837075949, 518223.68 7458525.32 31.970318288803103, 518223.9 7458524.85 31.970318288803103, 518225.51 7458523.87 32.19031866133213, 518224.97 7458522.78 32.50031830370426)</t>
  </si>
  <si>
    <t>2021-11-05</t>
  </si>
  <si>
    <t>2025-11-22T09:17:06Z</t>
  </si>
  <si>
    <t>['KV39 S3D20 m6-18']</t>
  </si>
  <si>
    <t>LINESTRING Z (-32694.73400488682 6572147.666589948 43.594629367887975, -32694.127540960326 6572147.913978904 43.604629643559456, -32694.085778056877 6572147.9303512545 43.60462965846062, -32693.730793375056 6572148.069516268 43.60462982237339, -32694.085778056877 6572147.9303512545 43.60462965846062, -32694.127540960326 6572147.913978904 43.604629643559456, -32694.796649242635 6572147.642031414 43.59462933808565, -32694.838412146666 6572147.62565906 43.59462932318449, -32695.508422251674 6572147.343721756 43.58462901771069, -32695.73811822536 6572147.253673804 43.574628913402556, -32696.02317419811 6572147.108196052 43.57462880164385, -32696.466193792527 6572146.88633724 43.564628615379334, -32696.540631604847 6572146.842700896 43.56462858557701, -32696.624157413607 6572146.809956186 43.56462854832411, -32696.707683222718 6572146.777211475 43.564628511071206, -32696.790307212737 6572146.7544565825 43.56462846636772, -32696.87202938297 6572146.741691504 43.56462842166424, -32696.963741369662 6572146.729828247 43.564628369510174, -32697.054551537032 6572146.727954807 43.56462830990553, -32697.134470068733 6572146.735169363 43.55462825775147, -32697.223476597108 6572146.753275555 43.55462819814682, -32697.311581306392 6572146.781371562 43.55462812364102, -32697.38969619898 6572146.808565751 43.55462806403637, -32697.466909272363 6572146.845749756 43.55462799698115, -32697.543220526306 6572146.89292358 43.55462792992592, -32697.6195317799 6572146.9400974 43.554627855420115, -32697.684951397707 6572146.996359219 43.55462778836489, -32697.74946919619 6572147.062610854 43.54462772130966, -32697.803997177863 6572147.127960672 43.544627654254434, -32697.84763352375 6572147.2023984855 43.54462759464979, -32697.891269869287 6572147.276836301 43.544627535045144, -32697.9340043955 6572147.361263931 43.54462746798992, -32697.95675928844 6572147.443887923 43.544627415835855, -32697.979514181963 6572147.526511912 43.54462736368179, -32698.002269074903 6572147.609135902 43.54462731152773, -32698.00414251536 6572147.699946072 43.534627274274825, -32698.00601595512 6572147.790756244 43.53462722957134, -32697.998801398906 6572147.870674771 43.53462719976902, -32697.98069520609 6572147.959681304 43.5346271699667, -32697.95259919658 6572148.047786012 43.534627147614955, -32697.23333799455 6572149.433112233 43.524626983702184, -32696.4270134907 6572151.001932209 43.49462678998709, -32694.51835254114 6572155.633605216 43.41462591826916, -32693.748868505005 6572158.021520236 43.36462532967329, -32693.034674641094 6572160.243215633 43.324624785780905, -32692.997490628622 6572160.320428699 43.324624770879744, -32692.96030661615 6572160.397641766 43.32462476342916, -32692.948513158713 6572160.416719578 43.32462475597858, -32692.913132787566 6572160.473953012 43.32462475597858, -32692.866860779584 6572160.540274442 43.32462475597858, -32692.799707319355 6572160.614782046 43.32462476342916, -32692.744347316562 6572160.670211836 43.324624778330325, -32692.669007681427 6572160.7238379875 43.32462480068207, -32692.593668046524 6572160.77746414 43.32462482303381, -32692.520132052596 6572160.811110662 43.32462485283613, -32692.435704422533 6572160.853845177 43.324624890089034, -32692.35308043356 6572160.876600059 43.32462493479252, -32692.27045644482 6572160.89935494 43.334624972045425, -32692.17874446069 6572160.91121819 43.33462502419949, -32692.09792411304 6572160.91399344 43.334625076353554, -32692.007113950094 6572160.915866868 43.3346251359582, -32691.918107428122 6572160.897760669 43.33462519556284, -32691.839090722147 6572160.880556288 43.33462525516749, -32691.819111090153 6572160.878752647 43.33462527006865, -32691.750084199826 6572160.862450088 43.33462532222271, -32691.67287113529 6572160.8252660725 43.33462538927794, -32691.585668254877 6572160.787180241 43.34462546378374, -32691.51934682636 6572160.740908235 43.34462552338839, -32691.443937403033 6572160.683744589 43.34462559789419, -32691.378517795354 6572160.627482764 43.35462566494942, -32691.323989824275 6572160.562132946 43.35462572455406, -32691.269461852615 6572160.496783129 43.364625791609285, -32691.215835701907 6572160.421443495 43.36462585866451, -32691.1830910031 6572160.3379176855 43.364625918269155, -32690.81117564824 6572159.549001397 43.41462651431561, -32690.185558656813 6572158.223549893 43.47462750524283, -32686.99358943943 6572153.977406174 43.70463145405054, -32684.434940349194 6572151.75232407 43.84463408410549, -32684.369520740467 6572151.696062254 43.85463415116072, -32684.315894586965 6572151.620722629 43.85463421821594, -32684.261366613908 6572151.555372816 43.85463428527117, -32684.21773027547 6572151.480935007 43.86463434487581, -32684.174995756708 6572151.396507388 43.864634411931036, -32684.142251053243 6572151.312981588 43.874634464085105, -32684.119496164727 6572151.230357607 43.87463451623917, -32684.10673109186 6572151.148635443 43.87463456094265, -32684.09486783843 6572151.056923468 43.884634613096715, -32684.092994400766 6572150.966113305 43.8846346578002, -32684.101110777818 6572150.8762049675 43.88463468760252, -32684.102914416813 6572150.85622534 43.8946346950531, -32684.118315150263 6572150.797188266 43.89463471740484, -32684.136421342613 6572150.708181746 43.894634747207164, -32684.164517350495 6572150.620077049 43.894634762108325, -32684.201701353304 6572150.5428639855 43.894634777009486, -32684.248875171877 6572150.466552742 43.89463478446007, -32684.296048990334 6572150.390241496 43.88463478446007, -32684.352310804417 6572150.324821885 43.88463477700949, -32684.41856243345 6572150.260304097 43.88463476955891, -32684.462128973566 6572150.223952113 43.884634754657746, -32684.483912243624 6572150.2057761215 43.884634747207166, -32684.5592518684 6572150.152149968 43.884634724855424, -32684.612808223814 6572150.116699803 43.88463470995426, -32684.633689674316 6572150.108513625 43.8846346950531, -32684.70722566056 6572150.0748671 43.87463466525078, -32684.790751461638 6572150.042122396 43.87463462799788, -32684.883365258807 6572150.020269326 43.874634575843814, -32684.955097605824 6572150.006602433 43.864634538590906, -32685.077680849237 6572149.987454822 43.86463447153568, -32686.86016770196 6572149.765660265 43.79463343590498, -32687.349598865374 6572149.699059631 43.77463315278292, -32688.154125232715 6572149.600476516 43.74463268339634, -32688.184996499214 6572149.59319216 43.74463266849518, -32688.684417483397 6572149.527493347 43.72463237792254, -32688.97315051942 6572149.45284614 43.72463222891093, -32689.004923605942 6572149.435571967 43.72463222146035, -32689.035794872558 6572149.428287611 43.724632199108605, -32689.82207545929 6572149.197131424 43.70463180422783, -32689.85294672614 6572149.18984707 43.70463178932667, -32690.649217134225 6572148.959592696 43.684631386995314, -32690.680088401306 6572148.95230834 43.68463137209415, -32691.497240265366 6572148.713867797 43.66463095486164, -32691.528111532913 6572148.706583436 43.66463093996048, -32691.548992984463 6572148.698397258 43.6646309325099, -32692.366144854226 6572148.459956708 43.644630515277385, -32692.427887389553 6572148.445387994 43.634630485475064, -32692.45875865745 6572148.438103634 43.6346304705739, -32693.265018897713 6572148.208751079 43.61463006079197, -32693.306781801046 6572148.192378723 43.614630038440225, -32693.720803559176 6572148.068614446 43.60462982982397, -32694.085778056877 6572147.9303512545 43.60462965846062, -32694.127540960326 6572147.913978904 43.604629643559456, -32694.73400488682 6572147.666589948 43.594629367887975)</t>
  </si>
  <si>
    <t>['KV39 S3D30 m336-338']</t>
  </si>
  <si>
    <t>LINESTRING Z (-32687.984917475143 6572273.189366632 35.784577102065086, -32687.973124000826 6572273.208444433 35.784577102065086, -32687.65837720153 6572273.794375517 36.04457704246044, -32687.367217349005 6572274.342151006 36.1945769828558, -32687.113241578336 6572274.812713465 36.344576930701734, -32686.470150832087 6572276.023633047 36.7445767891407, -32686.108230125974 6572276.685875309 36.97457672208548, -32681.879271887243 6572273.997795357 37.19458062618971, -32680.850874493597 6572273.340968157 37.244581579864025, -32680.77456330438 6572273.293794265 37.23458164691925, -32680.402997173718 6572273.058826625 37.19458198964596, -32677.19334843231 6572271.016682444 37.40458495497704, -32676.075944570825 6572270.341749016 37.474585968256, -32675.462540520937 6572269.661958011 37.53458666861057, -32674.489363819594 6572268.728121606 37.604587704241276, -32673.897464292706 6572267.586995555 37.67458859831095, -32673.42245826032 6572266.043501816 37.76458959668875, -32673.27656267362 6572265.093707127 37.82459011822939, -32673.064829371404 6572263.422911931 37.91459100484848, -32673.1665269566 6572261.961693729 37.99459160089493, -32673.587676673196 6572255.8461941 38.34459408193827, -32673.978516802425 6572252.074553822 38.554595534801486, -32674.693884139415 6572247.385514915 38.824597196280955, -32675.23728111689 6572245.047689433 38.954597904086114, -32675.826950096874 6572242.643542541 39.09459861189127, -32677.192626510514 6572238.113922202 39.36459978163242, -32678.91162328585 6572233.6866962025 39.62460068315268, -32678.926122232457 6572233.63764896 39.63460069060326, -32680.63568686042 6572230.095839252 39.824601204693316, -32681.03201614332 6572229.275563488 39.864601316452024, -32683.212278038263 6572224.759051783 40.12460196465254, -32684.302408939577 6572222.500795863 40.25460229247808, -32686.581597235636 6572217.892502174 40.51460291832686, -32686.60518416611 6572217.854346566 40.51460291832686, -32687.650916325976 6572215.753222079 40.63460320144892, -32688.32570983481 6572214.414238183 40.70460337281227, -32688.350198589964 6572214.366092758 40.70460338026285, -32689.54085035913 6572211.663705908 40.84460383474827, -32689.831038368284 6572211.015130266 40.88460394650698, -32691.5714689031 6572206.015778413 41.13460508644581, -32691.826899329084 6572204.971287176 41.18460539937019, -32692.856807116885 6572200.814203628 41.374606613814834, -32693.431413349696 6572196.122527857 41.60460836470127, -32693.5064042178 6572195.514952752 41.63460858821869, -32693.6472776992 6572188.487882258 41.97461166530848, -32693.64991340472 6572188.347123014 41.974611724913125, -32693.6279803589 6572185.243205083 42.134613140523435, -32693.586685153306 6572180.234077336 42.3846154204011, -32693.582798779476 6572179.830877419 42.404615606665615, -32693.60554843617 6572178.4632442435 42.45461621016264, -32693.609155724524 6572178.42328498 42.4646162250638, -32693.664435479208 6572175.35655106 42.62461757361889, -32693.667833439773 6572174.984222406 42.64461773753166, -32693.761483349837 6572173.72370196 42.704618244171144, -32693.908201162587 6572171.652202779 42.82461908608675, -32693.928041236126 6572171.432426829 42.83461917549372, -32693.937961272895 6572171.322538852 42.834619212746624, -32694.042851683218 6572170.60687939 42.86461947351694, -32694.229045573855 6572169.21371608 42.93461998015642, -32694.370078604552 6572168.20925377 42.974620345234875, -32694.477814025362 6572167.685204449 42.994620509147644, -32694.82994833449 6572165.90417216 43.05462109029293, -32695.26088996732 6572163.807974846 43.14462176084518, -32695.31971768418 6572163.49100619 43.15462186515332, -32695.864084749133 6572161.253979823 43.22462252825499, -32696.722366018337 6572158.551801586 43.30462319880724, -32696.800341325346 6572158.357416179 43.304623236060145, -32697.395076142973 6572156.78963766 43.32462356388569, -32697.462159810704 6572156.604340252 43.31462360113859, -32698.96262876969 6572152.701231333 43.424624405801296, -32699.146675380412 6572152.224355801 43.424624502658844, -32701.303487466066 6572147.967577091 43.46462504655123, -32703.589544465416 6572144.175670918 43.45462529987097, -32703.786425934988 6572143.8913073335 43.44462530732155, -32706.547345378553 6572139.971057781 43.40462531477213, -32706.593617381062 6572139.904736333 43.40462531477213, -32709.61337020644 6572136.017923695 43.314625143408776, -32710.718557141256 6572134.596937628 43.27462508380413, -32710.969896783005 6572134.267134015 43.26462506890297, -32711.56241461204 6572133.504853334 43.23462503910065, -32711.574208066682 6572133.485775519 43.23462503910065, -32712.144942621468 6572132.74167083 43.214625009298324, -32712.167627712595 6572132.713505012 43.204625009298326, -32712.68119862862 6572132.044809767 43.184624979496, -32712.72566699295 6572131.998467947 43.18462497204542, -32712.748352083727 6572131.970302135 43.18462497204542, -32713.307293180493 6572131.245275247 43.1546249422431, -32713.329978271504 6572131.2171094315 43.1546249422431, -32713.888017548597 6572130.502072354 43.114624904990194, -32713.910702639725 6572130.473906537 43.114624904990194, -32714.45965391537 6572129.747977818 43.08462488263846, -32714.482339006383 6572129.719812002 43.08462488263846, -32715.04037828045 6572129.00477491 43.054624852836135, -32715.063063371344 6572128.976609094 43.054624845385554, -32715.622004462173 6572128.25158218 43.02462481558323, -32715.643787735025 6572128.233406178 43.02462481558323, -32715.758115007775 6572128.082587267 43.01462480813265, -32716.20272882469 6572127.5083792545 42.98462478578091, -32716.225413915236 6572127.480213439 42.98462478578091, -32716.783453184995 6572126.765176327 42.94462474852801, -32716.806138276006 6572126.737010508 42.94462474852801, -32716.977629183442 6572126.5107821375 42.93462474107742, -32717.000314274337 6572126.482616317 42.92462474107742, -32717.355089543737 6572126.011081755 42.79462472617626, -32717.377774634864 6572125.982915934 42.79462472617626, -32717.935813901597 6572125.26787881 42.75462468892336, -32717.958498992142 6572125.239712992 42.75462468892336, -32718.518341893447 6572124.504696222 42.714624666571616, -32718.5401251663 6572124.4865202205 42.714624659121036, -32718.55191862036 6572124.467442401 42.714624659121036, -32719.121751338476 6572123.733327444 42.68462462931871, -32719.13354479277 6572123.714249623 42.674624629318714, -32719.703377509606 6572122.980134656 42.64462459951639, -32720.28500367899 6572122.226941863 42.61462456226349, -32720.866629846627 6572121.473749062 42.574624532461165, -32721.44825601275 6572120.720556255 42.54462450265884, -32721.89286981814 6572120.146348188 42.514624480307106, -32721.90285963693 6572120.147250006 42.57462447285652, -32722.3635025986 6572120.511113273 42.494624018371105, -32722.626984810806 6572120.716180907 42.44462375760079, -32722.64966990135 6572120.688015083 42.44462375015021, -32723.150545528857 6572120.048387365 42.404623720347885, -32723.241285891156 6572119.935724077 42.404623712897305, -32723.74216151738 6572119.296096353 42.364623683094976, -32723.822010242846 6572119.192521066 42.35462368309498, -32724.33467932162 6572118.533815514 42.324623653292655, -32724.403636410367 6572118.43932823 42.31462365329266, -32724.915403670748 6572117.79061249 42.274623616039754, -32724.984360759147 6572117.696125204 42.274623616039754, -32725.497029835242 6572117.037419637 42.23462358623743, -32725.542400016333 6572116.981087994 42.23462357878685, -32725.598661833326 6572116.915668343 42.23462357878685, -32725.64493383118 6572116.84934688 42.23462357878685, -32725.736576009658 6572116.726693767 42.24462357133627, -32725.781946190284 6572116.6703621205 42.24462357133627, -32725.066908979206 6572116.112322865 42.34462427914143, -32725.038743156125 6572116.089637775 42.34462430149317, -32728.06397646549 6572112.25367482 42.124624107778075, -32731.16905845888 6572108.31413637 41.9046239066124, -32731.180851911893 6572108.295058548 41.9046239066124, -32733.159865589347 6572105.784692712 41.754623779952524, -32733.319563031197 6572105.577542101 41.744623772501946, -32733.34134630405 6572105.559366093 41.744623765051365, -32733.66074118705 6572105.145064872 41.72462375015021, -32734.251455323887 6572104.402763538 41.67462370544672, -32734.27504222968 6572104.364607888 41.67462370544672, -32734.286835682346 6572104.345530066 41.67462370544672, -32734.832179639372 6572103.659560377 41.63462366819382, -32735.41290395346 6572102.916357211 41.5946236383915, -32735.993628266035 6572102.1731540365 41.554623601138594, -32736.58344058122 6572101.440842495 41.51462355643511, -32737.197741616284 6572100.660385473 41.464623519182204, -32737.334753966075 6572100.481400676 41.454623511731626, -32737.346547418623 6572100.462322853 41.454623511731626, -32737.653247027658 6572100.077089248 41.43462348937988, -32738.859164001886 6572098.544340997 41.35462341487408, -32740.527108627488 6572096.69073725 41.23462318390608, -32740.54799008486 6572096.682551059 41.2346231764555, -32742.92014412058 6572094.056606504 41.06462284862995, -32743.055352836614 6572093.897601333 41.05462283372879, -32743.725985523313 6572093.162514409 41.00462273687124, -32743.8484989719 6572093.032576881 41.00462272197008, -32743.860292423866 6572093.013499057 41.00462272197008, -32743.882075696718 6572092.995323046 41.0046227145195, -32744.341258211643 6572092.482857325 40.964622654914855, -32744.956530899275 6572091.803200233 40.92462256550789, -32745.58269522374 6572091.114455124 40.8846224835515, -32746.197967911372 6572090.434798016 40.84462239414454, -32746.813240598305 6572089.7551409025 40.80462231218815, -32747.159899484715 6572089.3735145 40.784622260034084, -32747.17169293668 6572089.35443667 40.784622260034084, -32747.194378024782 6572089.32627084 40.784622260034084, -32747.238846386666 6572089.279928992 40.774622252583505, -32747.42941510002 6572089.065493959 40.764622230231765, -32748.054677607724 6572088.386738645 40.72462213337422, -32748.67085210851 6572087.6970916875 40.684622051417826, -32749.286124794162 6572087.017434544 40.64462196946144, -32749.9113873007 6572086.338679212 40.60462187260389, -32750.493985075736 6572085.686286073 40.56462179809809, -32750.527561800554 6572085.649032231 40.56462179809809, -32751.19188177865 6572084.983873963 40.52462167143822, -32751.85620175756 6572084.318715686 40.47462154477835, -32752.521423551254 6572083.643567583 40.434621425569055, -32753.175753707998 6572082.977507479 40.39462131381035, -32753.840073687723 6572082.312349178 40.35462118715048, -32753.98346859438 6572082.174225441 40.34462115734816, -32754.039730407298 6572082.108805761 40.33462115734816, -32754.505295482115 6572081.637201052 40.30462106794119, -32754.560655480367 6572081.581771193 40.30462106049061, -32757.4629622997 6572078.661262785 40.12462053149939, -32757.72887065506 6572078.393201485 40.10462047934532, -32759.21360079199 6572076.895693375 40.014620211124424, -32760.66121681477 6572075.586188226 39.92461987584829, -32760.673010265455 6572075.567110398 39.92461987584829, -32760.979779726476 6572075.292666517 39.90461980879307, -32761.4081608227 6572074.898274892 39.87461971193552, -32762.142409566324 6572074.239429204 39.83461954057217, -32762.877560126013 6572073.570593681 39.78461937665939, -32763.612710686633 6572072.901758153 39.74461920529604, -32764.336067797616 6572072.252000448 39.69461904138327, -32764.402319433633 6572072.187482569 39.69461902648211, -32764.654630712466 6572071.958478715 39.68461896687746, -32764.73087217158 6572071.894862654 39.6746189519763, -32765.07121836068 6572071.5831649 39.6546188774705, -32765.79547728796 6572070.923417355 39.61461871355772, -32766.13492166414 6572070.621709421 39.594618631601335, -32766.5397158626 6572070.265473432 39.564618534743786, -32767.228594439686 6572069.662959368 39.52461836338043, -32767.92836465512 6572069.051357289 39.48461819946766, -32768.43118358974 6572068.6133292 39.45461807280779, -32768.63812469493 6572068.440657018 39.44461802065373, -32769.29432836454 6572067.865406961 39.404617864191536, -32769.33699309954 6572067.839044744 39.404617849290375, -32770.05584115221 6572067.239236096 39.354617655575275, -32770.185638984665 6572067.140169801 39.35461761832237, -32770.77378739312 6572066.649417262 39.31461746931076, -32771.469950361294 6572066.077774443 39.284617283046245, -32772.252344615874 6572065.4434173545 39.23461706697941, -32773.86160149344 6572064.128361298 39.164616634845736, -32774.960755051 6572063.220462055 39.11461634427309, -32776.09806428233 6572062.336149696 39.05461602389813, -32778.0486390756 6572060.8101957925 38.974615465104584, -32780.027379730716 6572059.306926927 38.884614883959294, -32781.292683196836 6572058.343527831 38.82461451143026, -32782.57616269379 6572057.401911988 38.774614124000074, -32783.79429237172 6572056.514824198 38.71461374402046, -32784.02121313778 6572056.343955597 38.70461367696524, -32788.04681971634 6572053.3637098605 38.53461245507002, -32792.09240601794 6572050.385267546 38.36461122572422, -32792.25487877708 6572050.2589371735 38.354611181020736, -32796.77782372292 6572046.789811801 38.18460986226797, -32799.59522068943 6572044.586765383 38.074609065055846, -32804.66697717167 6572040.17013008 37.87460782080889, -32809.88698030973 6572034.669112283 37.64460697889328, -32813.5364343198 6572029.942798482 37.464606785178184, -32813.70702338801 6572029.726559612 37.484606777727606, -32813.83224227908 6572029.566652462 37.47460677027703, -32814.0364080742 6572029.313159713 37.474606747925286, -32814.49371708406 6572028.709883176 37.46460673302412, -32815.13153507933 6572027.780479655 37.46460674792528, -32815.247665953124 6572027.609680861 37.45460674792528, -32818.4458438945 6572022.973554729 37.354606800079345, -32818.738876501564 6572022.516588236 37.34460682243109, -32819.021919279476 6572022.058719936 37.33460684478283, -32819.3249417129 6572021.602655253 37.32460685968399, -32819.62706233503 6572021.156580394 37.31460686713457, -32819.93917278515 6572020.711407342 37.304606867134574, -32820.251283233636 6572020.266234292 37.29460687458515, -32820.57248169987 6572019.831952876 37.28460685968399, -32820.90366999351 6572019.398573267 37.27460684478283, -32821.23395647667 6572018.975183485 37.26460682988167, -32821.57423278759 6572018.552695509 37.254606800079344, -32821.9244989265 6572018.131109345 37.244606770277024, -32822.273863255046 6572017.719513007 37.23460673302412, -32822.62322758336 6572017.307916663 37.22460669577122, -32822.98167993012 6572016.907211955 37.21460664361715, -32823.35012210475 6572016.507409057 37.20460659146309, -32823.7276522984 6572016.118497792 37.19460652440787, -32824.00625593425 6572015.821368523 37.18460648715496, -32824.304839227116 6572015.526042877 37.184606427550314, -32824.60252071044 6572015.240707053 37.17460636794567, -32824.91019202245 6572014.956273042 37.16460630089045, -32825.216059715254 6572014.6918186825 37.16460622638464, -32825.53281904629 6572014.418276305 37.15460614442826, -32825.84867656836 6572014.154723752 37.144606062471865, -32826.17362210981 6572013.902062837 37.1346059730649, -32826.27164685773 6572013.820270669 37.13460594326258, -32826.49856765079 6572013.649401926 37.124605876207355, -32826.8326012122 6572013.407632647 37.11460577189922, -32827.16573296394 6572013.175853197 37.104605667591095, -32827.5088545453 6572012.944975558 37.09460554838181, -32827.86196595605 6572012.714999726 37.08460542917252, -32828.21327374817 6572012.505003551 37.064605302512646, -32828.48834006942 6572012.358623507 37.05460519075394, -32828.57366956049 6572012.30589901 37.04460516095161, -32828.60544266738 6572012.288624781 37.04460514605045, -32829.133792033535 6572012.014040736 37.004604937434195, -32830.45646907715 6572011.30760095 36.98460441589356, -32830.562680036994 6572011.246690243 37.02460437119007, -32832.03242918127 6572010.472957144 36.984603782594206, -32833.22801381897 6572009.835614245 36.94460331320763, -32833.5557347252 6572009.663773752 36.924603179097176, -32833.59839947219 6572009.637411499 36.924603164196014, -32834.8303362024 6572009.043635146 36.92460265010595, -32835.5874799391 6572008.688992579 36.92460232973099, -32836.20934503549 6572008.38256547 36.92460206896067, -32839.198862524005 6572006.950398097 36.924600809812546, -32839.85527609964 6572006.707517187 36.92460050433874, -32840.886654324364 6572006.327274298 36.924600020051, -32841.76187243732 6572006.003433076 36.92459960281849, -32841.92802238732 6572005.947933212 36.92459952831268, -32844.642753357766 6572005.105305574 36.924598179757595, -32845.761334667564 6572004.7631484335 36.92459762096405, -32847.50469634822 6572004.416964479 36.914596667289736, -32854.29395716963 6572003.287525073 36.90459285259247, -32856.51502726716 6572003.004607588 36.90459156364203, -32862.1150163546 6572002.44258234 36.89458825558424, -32868.81132171489 6572002.231305516 36.87458409070969, -32872.202384049306 6572002.487069741 36.87458181083203, -32878.06336825702 6572003.942711059 36.86457742989063, -32881.817539478536 6572005.419660797 36.85457437515259, -32882.898203967954 6572011.187324964 36.844571081995966, -32875.27095545293 6572008.323403617 36.824577228724955, -32870.018659198424 6572007.265132262 36.8145810508728, -32865.747729742434 6572007.161578416 36.814583815038205, -32860.905856104335 6572007.469760938 36.80458675801754, -32853.590671132086 6572008.400654954 36.7845909973979, -32845.06637469388 6572010.118739296 36.77459564656019, -32831.36126571568 6572016.12276144 36.744601666629315, -32826.51296227577 6572020.630069198 36.73460272461176, -32828.810567112756 6572023.627213506 36.7245999082923, -32831.44247814175 6572025.375489462 36.714597442150115, -32834.852421433665 6572028.211195838 36.70459399998188, -32842.513732909574 6572031.813393041 36.69458749562502, -32850.305688284454 6572038.096262902 36.674579709768295, -32868.39274114696 6572049.820419968 36.63456290870905, -32889.70212265791 6572057.756617026 36.59454577237368, -32934.81167811435 6572054.627860519 36.50451846599579, -32959.24393826374 6572047.94052593 36.46450592666864, -32975.97683093208 6572044.989492945 36.42449660599232, -32976.06854313053 6572044.977629587 36.42449655383825, -32982.787896113005 6572046.742400547 36.41449147999287, -32981.68055445398 6572047.629419947 36.41449178546667, -32981.1351397197 6572048.204601211 36.41449187487364, -32980.45430639817 6572048.6064177845 36.41449212819338, -32979.806840219535 6572048.638610224 36.404492523074154, -32979.13460576511 6572048.275787963 36.40449311167002, -32978.35324511037 6572047.67147577 36.4044938865304, -32977.64465855353 6572047.265086899 36.404494519829754, -32976.76541276905 6572046.964147091 36.40449521273375, -32975.92806974822 6572046.868415004 36.404495786428456, -32974.77847598621 6572046.99627632 36.394496464431285, -32973.575395656284 6572047.270377993 36.394497105181216, -32972.162598565104 6572047.63633162 36.394497842788695, -32971.42716725927 6572047.862008178 36.394498207867144, -32970.210489863995 6572048.175167383 36.394498841166495, -32969.36149318481 6572048.320093279 36.384499318003655, -32968.19642887788 6572048.3962017475 36.38450001835823, -32966.75539607555 6572048.628680164 36.3845008379221, -32965.60691386042 6572049.078921793 36.38450135946274, -32964.643729543546 6572049.596247084 36.37450173944235, -32963.26922804583 6572050.20736771 36.37450234293938, -32961.850950304884 6572050.522470261 36.3745031028986, -32960.81589374738 6572050.8318824 36.37450362443924, -32958.87557869195 6572051.351640206 36.36450462281704, -32957.572530244244 6572051.505933608 36.36450538277626, -32956.19414204778 6572051.713853343 36.36450616508722, -32955.04732379841 6572051.922535133 36.36450680583715, -32953.70244252763 6572051.982410902 36.3545076328516, -32950.966407975066 6572052.168484054 36.35450928688049, -32949.68243747705 6572052.334570907 36.35451003193855, -32948.64647920872 6572052.6539728455 36.344510546028616, -32947.74691118731 6572053.247539613 36.34451085150242, -32946.90173155791 6572053.684876217 36.34451119422913, -32945.72133662284 6572053.930811884 36.34451183497906, -32943.75465955143 6572054.407904783 36.334512870609764, -32942.761436004424 6572054.811734466 36.3345133176446, -32941.75190992397 6572055.284591195 36.334513749778274, -32940.22215021448 6572055.942123451 36.33451442778111, -32939.21165246179 6572056.314179969 36.32451490461826, -32937.82618970738 6572056.823598389 36.324515552818774, -32937.74446737615 6572056.8363635475 36.32451560497284, -32937.16249109665 6572057.035607862 36.32451588064432, -32934.269883967354 6572058.063602558 36.31451725900173, -32933.18404651049 6572058.489285359 36.31451775819063, -32932.06539435894 6572058.720652171 36.31451836913824, -32930.54249991267 6572058.744315519 36.31451933026314, -32929.00864395965 6572058.666276878 36.30452033609152, -32927.86071453057 6572058.552578335 36.304521118402484, -32924.70663156954 6572058.237635358 36.304523271620276, -32923.10638422053 6572058.002534659 36.29452439665794, -32922.082911832025 6572057.960498744 36.294525067210195, -32920.476491564885 6572058.016906938 36.294526065587995, -32919.94890374923 6572058.059921102 36.29452637851238, -32918.93458928459 6572058.139566848 36.29452698945999, -32917.399971416104 6572058.293098084 36.284527898430824, -32915.55386502715 6572058.438652732 36.28452900856733, -32914.148143377504 6572058.503107379 36.28452987283468, -32912.767882178305 6572058.620216647 36.27453069984913, -32911.627377046505 6572058.758969462 36.2745313629508, -32910.60584813589 6572058.918533887 36.27453193664551, -32907.34333825717 6572059.470001188 36.26453376948834, -32906.31362317747 6572059.608684119 36.264534358084205, -32905.37013948895 6572059.684652717 36.26453492432833, -32904.06618981168 6572059.848935826 36.26453568428755, -32903.378834586474 6572059.988310942 36.26453605681658, -32902.26378997555 6572060.1797183575 36.254536682665346, -32900.3279150594 6572060.538736626 36.25453774809837, -32897.348728078534 6572061.075495319 36.254539409577845, -32896.230006392 6572061.196072063 36.24454006522894, -32895.15936038422 6572061.230347555 36.24454072833061, -32894.468258205336 6572061.188102014 36.24454119026661, -32893.98784435855 6572061.154804748 36.244541510641575, -32891.89123042091 6572061.509383785 36.24454268783331, -32891.16114061349 6572061.564331138 36.23454312741757, -32890.40566025616 6572061.677413862 36.23454355210066, -32889.69555012556 6572061.734164844 36.234543984234335, -32887.30721784651 6572061.750200954 36.2345454967022, -32886.47174897371 6572061.745279179 36.22454602569342, -32884.758076596656 6572061.651007888 36.22454715818167, -32884.38755095424 6572061.627630581 36.22454741150141, -32883.077149060206 6572061.6402625255 36.22454823851586, -32881.145504036685 6572061.506171655 36.214549527466296, -32879.10209738207 6572061.271350524 36.21455093562603, -32877.87334796239 6572061.160427348 36.214551762640475, -32876.710850251024 6572060.984986233 36.21455258220434, -32875.65636720485 6572060.728654774 36.204553371965886, -32874.90692014957 6572060.328648781 36.20455402761698, -32874.065481476486 6572059.497346251 36.20455493658781, -32873.18220996915 6572058.571626171 36.20455592006445, -32872.221864999854 6572057.830302031 36.204556866288186, -32871.344283887884 6572057.287802855 36.19455766350031, -32870.30880885094 6572056.932474935 36.19455848306418, -32868.85285906633 6572056.549260668 36.194559585750106, -32867.75834687147 6572056.178532045 36.194560450017455, -32866.2195633807 6572055.485702891 36.18456173896789, -32863.37897707801 6572054.040867705 36.18456419765949, -32862.16534899711 6572053.427747612 36.184565248191355, -32860.9707288912 6572052.715631031 36.17456632852554, -32859.311787956045 6572051.568820376 36.17456790059805, -32858.25515199045 6572050.778518926 36.17456892877817, -32857.20219316671 6572050.059048121 36.16456992715597, -32855.944858776405 6572049.260700267 36.16457108944655, -32854.89287166216 6572048.642029611 36.16457203567028, -32852.7653804248 6572047.553633986 36.15457387596369, -32851.74613814743 6572047.018489258 36.15457477003336, -32850.72141510912 6572046.4324935805 36.15457568645478, -32849.789305989514 6572045.824644732 36.154576550722126, -32848.90797794785 6572045.100525179 36.15457743734122, -32847.70038308448 6572043.974316662 36.144578718841075, -32846.94073663384 6572043.241039227 36.14457953095436, -32846.1402290503 6572042.514144379 36.14458036541939, -32845.321615324356 6572041.876256206 36.14458117753267, -32844.330469052424 6572041.253006718 36.144582086503505, -32842.670766201336 6572040.337766106 36.134583554267884, -32842.50086919777 6572040.211645357 36.13458371818066, -32839.862645481946 6572038.533297713 36.13458615452051, -32837.645868159365 6572036.983636528 36.12458826303482, -32837.25147615431 6572036.555255262 36.12458871006966, -32836.4046965891 6572035.894682084 36.124589544534686, -32836.06955144717 6572035.814071335 36.124589797854426, -32835.44005239627 6572035.535677318 36.12459031939507, -32835.03393684002 6572035.237163848 36.114590714275835, -32834.048271384556 6572034.6647654325 36.114591600894926, -32833.36611775984 6572034.41183186 36.11459215223789, -32832.41153331683 6572034.164518863 36.11459286749363, -32831.93930591352 6572034.152103204 36.11459317296743, -32831.3073111485 6572034.236048492 36.11459353804588, -32830.5618909233 6572034.460823096 36.11459391057491, -32830.06351098989 6572034.7381124785 36.10459410429001, -32829.590661387076 6572035.178846368 36.10459420859814, -32829.28944249812 6572035.614931395 36.104594201147556, -32828.97927539097 6572036.261704636 36.10459411174059, -32828.19188941317 6572037.620740753 36.10459399998188, -32827.87152277643 6572037.934242386 36.104594059586525, -32826.33060027321 6572039.607961504 36.094594283103945, -32825.91422218352 6572040.315645398 36.09459423094988, -32825.54515769228 6572041.16859776 36.09459408193827, -32825.20717417542 6572042.346635502 36.09459376901388, -32825.01806636946 6572043.4374003215 36.09459339648485, -32824.484732209705 6572045.886921587 36.084592629075054, -32824.124965368654 6572047.083135334 36.08459232360125, -32823.464049485745 6572048.826223964 36.074591958522795, -32823.21680628008 6572049.891598226 36.07459163814783, -32823.19266699278 6572050.493693358 36.07459137737751, -32823.2696073394 6572051.537976483 36.07459085583687, -32823.26156759297 6572053.188933694 36.07459011822939, -32823.14932346181 6572053.762932849 36.07458993196487, -32822.463925405056 6572057.00442576 36.06458891123533, -32822.23631238751 6572057.517654008 36.064588821828366, -32821.66120841296 6572058.53328873 36.0645887324214, -32821.280972653185 6572058.952169327 36.06458878457546, -32820.65765328228 6572059.832525389 36.054588784575465, -32820.345682443236 6572060.499278172 36.05458868026734, -32819.22218606109 6572063.127161894 36.05458821088076, -32818.69287149119 6572064.751204362 36.04458781599998, -32818.68052558589 6572065.334221626 36.04458756268024, -32818.540395035525 6572066.328695318 36.04458720505237, -32818.16835196351 6572068.218716111 36.044586594104764, -32817.64021861786 6572070.275928384 36.03458599805832, -32817.060192741104 6572072.127031378 36.03458553612232, -32816.54065829329 6572073.419605838 36.03458528280258, -32816.226261404576 6572074.559487708 36.0245849698782, -32816.1993466866 6572075.080762357 36.02458475381136, -32816.04194184928 6572076.043462904 36.024584418535234, -32815.47607186565 6572078.741827672 36.024583561718465, -32814.954594005714 6572079.83280191 36.014583405256275, -32814.65441653121 6572080.480476762 36.014583300948146, -32814.29242660268 6572081.0319304615 36.014583286046985, -32813.61714477441 6572081.595387188 36.01458345741034, -32812.969126981916 6572082.191518834 36.01458360642195, -32812.69149488676 6572082.589447998 36.01458359897137, -32812.2087252175 6572083.140069722 36.014583658576015, -32811.61502592545 6572083.469181475 36.00458388954401, -32810.16685032775 6572083.892367773 36.00458461970091, -32809.5476207867 6572084.05803503 36.00458494007587, -32808.93206836656 6572084.294532886 36.004585223197935, -32808.28675603459 6572084.860695017 36.00458537966013, -32807.46454183757 6572085.7130247 36.00458552122116, -32806.34367437335 6572086.749889889 35.99458576709032, -32805.44875609374 6572087.515086411 35.99458599060774, -32804.35425084946 6572088.594616312 35.994586199223995, -32803.46481332136 6572089.410663749 35.99458640038967, -32802.79418030032 6572090.145751053 35.98458649724722, -32802.11564048217 6572091.303116488 35.984586407840254, -32801.766415668884 6572091.936292334 35.98458634078503, -32800.857347725425 6572093.304485601 35.984586303532126, -32800.3129751659 6572094.091255781 35.97458629608155, -32799.78317135724 6572094.939768542 35.974586251378064, -32799.5229531473 6572095.591050534 35.97458612471819, -32799.271060815896 6572096.484793793 35.974585886299614, -32798.12675224978 6572099.2316527665 35.96458537220955, -32797.61346048198 6572100.3435082175 35.964585200846194, -32797.280608019675 6572101.018446946 35.96458510398865, -32796.5086222766 6572102.318445104 35.96458501458168, -32795.71297976805 6572103.54580902 35.964584969878196, -32795.2012820947 6572104.305315091 35.954584947526456, -32793.23232700548 6572106.927373926 35.95458502203226, -32792.740539138555 6572107.577893709 35.954585044384004, -32791.55071451608 6572108.7092459 35.944585290253166, -32790.59044636635 6572109.528970203 35.944585528671745, -32789.72459572938 6572110.306861726 35.94458572983742, -32788.87421565526 6572111.136505991 35.944585901200774, -32787.238945021294 6572112.96284623 35.93458611726761, -32785.62913476792 6572114.841840992 35.93458629608154, -32783.46031331702 6572117.335073193 35.92458654940128, -32782.87681338645 6572117.99745616 35.92458662390709, -32782.17079993803 6572118.789776661 35.92458672076464, -32781.52111815929 6572119.627467358 35.92458675801754, -32780.27614298428 6572121.146618813 35.91458686232567, -32780.059211961925 6572121.318389097 35.914586921930315, -32778.41172892181 6572122.499067615 35.91458744347096, -32777.63835252263 6572123.033526106 35.91458768934012, -32774.14232154901 6572120.482112532 35.90459106445313, -32771.9101575996 6572121.892004231 35.89459185421467, -32767.128727107658 6572125.881638179 35.88459309846163, -32763.840213691816 6572128.394645782 35.87459405958653, -32758.60931116494 6572132.454487205 35.86459555715322, -32727.15043753991 6572158.408222264 35.78460389435291, -32725.317034801585 6572159.974965189 35.78460435628891, -32715.830244484474 6572177.710043287 36.00460240423679, -32714.99395002448 6572179.276157823 36.12460222542286, -32716.558201472973 6572182.9221570175 35.754599587917326, -32717.433080520364 6572184.944883236 35.75459812015295, -32721.30278274056 6572195.405731946 35.76459094524384, -32722.744246158167 6572200.188767131 35.76458786815405, -32722.704650353757 6572205.089881475 35.76458568513394, -32722.692727119545 6572207.787894653 35.76458447813988, -32722.66700228746 6572211.642853316 35.76458275705576, -32722.640793922124 6572216.172540718 35.76458073794842, -32722.633997731027 6572216.917198189 35.78458040267229, -32722.504269570927 6572217.127054097 35.81458038777113, -32716.315403521527 6572227.112934319 35.924579828977585, -32716.2446427017 6572227.227401164 35.924579821527004, -32716.232849231455 6572227.246478972 35.924579821527004, -32715.37372956751 6572228.619179302 35.83457975447178, -32713.841480259434 6572231.089304438 35.87457961291075, -32709.82261224347 6572237.564866968 35.90457925528288, -32697.173719540588 6572242.24416215 35.954585200846196, -32693.806049718638 6572244.51838099 35.97458631843329, -32689.568782503717 6572247.388869234 35.99458771914244, -32684.6352823989 6572250.7202088 36.01458936572075, -32682.286085886648 6572252.31088517 36.02459014058113, -32680.107482959284 6572255.135580141 36.04459025233984, -32679.605704995687 6572255.7851968445 36.13459028214216, -32679.783656817977 6572258.611133501 36.04458889633417, -32679.978120275307 6572261.700412638 35.95458737641573, -32680.386817505234 6572267.548405252 35.78458448559046, -32682.01765768614 6572268.783321635 35.79458289116621, -32683.52133578318 6572269.976544827 35.81458139359951, -32685.289327884675 6572271.254056336 35.79457969486713)</t>
  </si>
  <si>
    <t>POLYGON Z ((-32687.984917475143 6572273.189366632 35.784577102065086, -32687.973124000826 6572273.208444433 35.784577102065086, -32687.65837720153 6572273.794375517 36.04457704246044, -32687.367217349005 6572274.342151006 36.1945769828558, -32687.113241578336 6572274.812713465 36.344576930701734, -32686.470150832087 6572276.023633047 36.7445767891407, -32686.108230125974 6572276.685875309 36.97457672208548, -32681.879271887243 6572273.997795357 37.19458062618971, -32680.850874493597 6572273.340968157 37.244581579864025, -32680.77456330438 6572273.293794265 37.23458164691925, -32680.402997173718 6572273.058826625 37.19458198964596, -32677.19334843231 6572271.016682444 37.40458495497704, -32676.075944570825 6572270.341749016 37.474585968256, -32675.462540520937 6572269.661958011 37.53458666861057, -32674.489363819594 6572268.728121606 37.604587704241276, -32673.897464292706 6572267.586995555 37.67458859831095, -32673.42245826032 6572266.043501816 37.76458959668875, -32673.27656267362 6572265.093707127 37.82459011822939, -32673.064829371404 6572263.422911931 37.91459100484848, -32673.1665269566 6572261.961693729 37.99459160089493, -32673.587676673196 6572255.8461941 38.34459408193827, -32673.978516802425 6572252.074553822 38.554595534801486, -32674.693884139415 6572247.385514915 38.824597196280955, -32675.23728111689 6572245.047689433 38.954597904086114, -32675.826950096874 6572242.643542541 39.09459861189127, -32677.192626510514 6572238.113922202 39.36459978163242, -32678.91162328585 6572233.6866962025 39.62460068315268, -32678.926122232457 6572233.63764896 39.63460069060326, -32680.63568686042 6572230.095839252 39.824601204693316, -32681.03201614332 6572229.275563488 39.864601316452024, -32683.212278038263 6572224.759051783 40.12460196465254, -32684.302408939577 6572222.500795863 40.25460229247808, -32686.581597235636 6572217.892502174 40.51460291832686, -32686.60518416611 6572217.854346566 40.51460291832686, -32687.650916325976 6572215.753222079 40.63460320144892, -32688.32570983481 6572214.414238183 40.70460337281227, -32688.350198589964 6572214.366092758 40.70460338026285, -32689.54085035913 6572211.663705908 40.84460383474827, -32689.831038368284 6572211.015130266 40.88460394650698, -32691.5714689031 6572206.015778413 41.13460508644581, -32691.826899329084 6572204.971287176 41.18460539937019, -32692.856807116885 6572200.814203628 41.374606613814834, -32693.431413349696 6572196.122527857 41.60460836470127, -32693.5064042178 6572195.514952752 41.63460858821869, -32693.6472776992 6572188.487882258 41.97461166530848, -32693.64991340472 6572188.347123014 41.974611724913125, -32693.6279803589 6572185.243205083 42.134613140523435, -32693.586685153306 6572180.234077336 42.3846154204011, -32693.582798779476 6572179.830877419 42.404615606665615, -32693.60554843617 6572178.4632442435 42.45461621016264, -32693.609155724524 6572178.42328498 42.4646162250638, -32693.664435479208 6572175.35655106 42.62461757361889, -32693.667833439773 6572174.984222406 42.64461773753166, -32693.761483349837 6572173.72370196 42.704618244171144, -32693.908201162587 6572171.652202779 42.82461908608675, -32693.928041236126 6572171.432426829 42.83461917549372, -32693.937961272895 6572171.322538852 42.834619212746624, -32694.042851683218 6572170.60687939 42.86461947351694, -32694.229045573855 6572169.21371608 42.93461998015642, -32694.370078604552 6572168.20925377 42.974620345234875, -32694.477814025362 6572167.685204449 42.994620509147644, -32694.82994833449 6572165.90417216 43.05462109029293, -32695.26088996732 6572163.807974846 43.14462176084518, -32695.31971768418 6572163.49100619 43.15462186515332, -32695.864084749133 6572161.253979823 43.22462252825499, -32696.722366018337 6572158.551801586 43.30462319880724, -32696.800341325346 6572158.357416179 43.304623236060145, -32697.395076142973 6572156.78963766 43.32462356388569, -32697.462159810704 6572156.604340252 43.31462360113859, -32698.96262876969 6572152.701231333 43.424624405801296, -32699.146675380412 6572152.224355801 43.424624502658844, -32701.303487466066 6572147.967577091 43.46462504655123, -32703.589544465416 6572144.175670918 43.45462529987097, -32703.786425934988 6572143.8913073335 43.44462530732155, -32706.547345378553 6572139.971057781 43.40462531477213, -32706.593617381062 6572139.904736333 43.40462531477213, -32709.61337020644 6572136.017923695 43.314625143408776, -32710.718557141256 6572134.596937628 43.27462508380413, -32710.969896783005 6572134.267134015 43.26462506890297, -32711.56241461204 6572133.504853334 43.23462503910065, -32711.574208066682 6572133.485775519 43.23462503910065, -32712.144942621468 6572132.74167083 43.214625009298324, -32712.167627712595 6572132.713505012 43.204625009298326, -32712.68119862862 6572132.044809767 43.184624979496, -32712.72566699295 6572131.998467947 43.18462497204542, -32712.748352083727 6572131.970302135 43.18462497204542, -32713.307293180493 6572131.245275247 43.1546249422431, -32713.329978271504 6572131.2171094315 43.1546249422431, -32713.888017548597 6572130.502072354 43.114624904990194, -32713.910702639725 6572130.473906537 43.114624904990194, -32714.45965391537 6572129.747977818 43.08462488263846, -32714.482339006383 6572129.719812002 43.08462488263846, -32715.04037828045 6572129.00477491 43.054624852836135, -32715.063063371344 6572128.976609094 43.054624845385554, -32715.622004462173 6572128.25158218 43.02462481558323, -32715.643787735025 6572128.233406178 43.02462481558323, -32715.758115007775 6572128.082587267 43.01462480813265, -32716.20272882469 6572127.5083792545 42.98462478578091, -32716.225413915236 6572127.480213439 42.98462478578091, -32716.783453184995 6572126.765176327 42.94462474852801, -32716.806138276006 6572126.737010508 42.94462474852801, -32716.977629183442 6572126.5107821375 42.93462474107742, -32717.000314274337 6572126.482616317 42.92462474107742, -32717.355089543737 6572126.011081755 42.79462472617626, -32717.377774634864 6572125.982915934 42.79462472617626, -32717.935813901597 6572125.26787881 42.75462468892336, -32717.958498992142 6572125.239712992 42.75462468892336, -32718.518341893447 6572124.504696222 42.714624666571616, -32718.5401251663 6572124.4865202205 42.714624659121036, -32718.55191862036 6572124.467442401 42.714624659121036, -32719.121751338476 6572123.733327444 42.68462462931871, -32719.13354479277 6572123.714249623 42.674624629318714, -32719.703377509606 6572122.980134656 42.64462459951639, -32720.28500367899 6572122.226941863 42.61462456226349, -32720.866629846627 6572121.473749062 42.574624532461165, -32721.44825601275 6572120.720556255 42.54462450265884, -32721.89286981814 6572120.146348188 42.514624480307106, -32721.90285963693 6572120.147250006 42.57462447285652, -32722.3635025986 6572120.511113273 42.494624018371105, -32722.626984810806 6572120.716180907 42.44462375760079, -32722.64966990135 6572120.688015083 42.44462375015021, -32723.150545528857 6572120.048387365 42.404623720347885, -32723.241285891156 6572119.935724077 42.404623712897305, -32723.74216151738 6572119.296096353 42.364623683094976, -32723.822010242846 6572119.192521066 42.35462368309498, -32724.33467932162 6572118.533815514 42.324623653292655, -32724.403636410367 6572118.43932823 42.31462365329266, -32724.915403670748 6572117.79061249 42.274623616039754, -32724.984360759147 6572117.696125204 42.274623616039754, -32725.497029835242 6572117.037419637 42.23462358623743, -32725.542400016333 6572116.981087994 42.23462357878685, -32725.598661833326 6572116.915668343 42.23462357878685, -32725.64493383118 6572116.84934688 42.23462357878685, -32725.736576009658 6572116.726693767 42.24462357133627, -32725.781946190284 6572116.6703621205 42.24462357133627, -32725.066908979206 6572116.112322865 42.34462427914143, -32725.038743156125 6572116.089637775 42.34462430149317, -32728.06397646549 6572112.25367482 42.124624107778075, -32731.16905845888 6572108.31413637 41.9046239066124, -32731.180851911893 6572108.295058548 41.9046239066124, -32733.159865589347 6572105.784692712 41.754623779952524, -32733.319563031197 6572105.577542101 41.744623772501946, -32733.34134630405 6572105.559366093 41.744623765051365, -32733.66074118705 6572105.145064872 41.72462375015021, -32734.251455323887 6572104.402763538 41.67462370544672, -32734.27504222968 6572104.364607888 41.67462370544672, -32734.286835682346 6572104.345530066 41.67462370544672, -32734.832179639372 6572103.659560377 41.63462366819382, -32735.41290395346 6572102.916357211 41.5946236383915, -32735.993628266035 6572102.1731540365 41.554623601138594, -32736.58344058122 6572101.440842495 41.51462355643511, -32737.197741616284 6572100.660385473 41.464623519182204, -32737.334753966075 6572100.481400676 41.454623511731626, -32737.346547418623 6572100.462322853 41.454623511731626, -32737.653247027658 6572100.077089248 41.43462348937988, -32738.859164001886 6572098.544340997 41.35462341487408, -32740.527108627488 6572096.69073725 41.23462318390608, -32740.54799008486 6572096.682551059 41.2346231764555, -32742.92014412058 6572094.056606504 41.06462284862995, -32743.055352836614 6572093.897601333 41.05462283372879, -32743.725985523313 6572093.162514409 41.00462273687124, -32743.8484989719 6572093.032576881 41.00462272197008, -32743.860292423866 6572093.013499057 41.00462272197008, -32743.882075696718 6572092.995323046 41.0046227145195, -32744.341258211643 6572092.482857325 40.964622654914855, -32744.956530899275 6572091.803200233 40.92462256550789, -32745.58269522374 6572091.114455124 40.8846224835515, -32746.197967911372 6572090.434798016 40.84462239414454, -32746.813240598305 6572089.7551409025 40.80462231218815, -32747.159899484715 6572089.3735145 40.784622260034084, -32747.17169293668 6572089.35443667 40.784622260034084, -32747.194378024782 6572089.32627084 40.784622260034084, -32747.238846386666 6572089.279928992 40.774622252583505, -32747.42941510002 6572089.065493959 40.764622230231765, -32748.054677607724 6572088.386738645 40.72462213337422, -32748.67085210851 6572087.6970916875 40.684622051417826, -32749.286124794162 6572087.017434544 40.64462196946144, -32749.9113873007 6572086.338679212 40.60462187260389, -32750.493985075736 6572085.686286073 40.56462179809809, -32750.527561800554 6572085.649032231 40.56462179809809, -32751.19188177865 6572084.983873963 40.52462167143822, -32751.85620175756 6572084.318715686 40.47462154477835, -32752.521423551254 6572083.643567583 40.434621425569055, -32753.175753707998 6572082.977507479 40.39462131381035, -32753.840073687723 6572082.312349178 40.35462118715048, -32753.98346859438 6572082.174225441 40.34462115734816, -32754.039730407298 6572082.108805761 40.33462115734816, -32754.505295482115 6572081.637201052 40.30462106794119, -32754.560655480367 6572081.581771193 40.30462106049061, -32757.4629622997 6572078.661262785 40.12462053149939, -32757.72887065506 6572078.393201485 40.10462047934532, -32759.21360079199 6572076.895693375 40.014620211124424, -32760.66121681477 6572075.586188226 39.92461987584829, -32760.673010265455 6572075.567110398 39.92461987584829, -32760.979779726476 6572075.292666517 39.90461980879307, -32761.4081608227 6572074.898274892 39.87461971193552, -32762.142409566324 6572074.239429204 39.83461954057217, -32762.877560126013 6572073.570593681 39.78461937665939, -32763.612710686633 6572072.901758153 39.74461920529604, -32764.336067797616 6572072.252000448 39.69461904138327, -32764.402319433633 6572072.187482569 39.69461902648211, -32764.654630712466 6572071.958478715 39.68461896687746, -32764.73087217158 6572071.894862654 39.6746189519763, -32765.07121836068 6572071.5831649 39.6546188774705, -32765.79547728796 6572070.923417355 39.61461871355772, -32766.13492166414 6572070.621709421 39.594618631601335, -32766.5397158626 6572070.265473432 39.564618534743786, -32767.228594439686 6572069.662959368 39.52461836338043, -32767.92836465512 6572069.051357289 39.48461819946766, -32768.43118358974 6572068.6133292 39.45461807280779, -32768.63812469493 6572068.440657018 39.44461802065373, -32769.29432836454 6572067.865406961 39.404617864191536, -32769.33699309954 6572067.839044744 39.404617849290375, -32770.05584115221 6572067.239236096 39.354617655575275, -32770.185638984665 6572067.140169801 39.35461761832237, -32770.77378739312 6572066.649417262 39.31461746931076, -32771.469950361294 6572066.077774443 39.284617283046245, -32772.252344615874 6572065.4434173545 39.23461706697941, -32773.86160149344 6572064.128361298 39.164616634845736, -32774.960755051 6572063.220462055 39.11461634427309, -32776.09806428233 6572062.336149696 39.05461602389813, -32778.0486390756 6572060.8101957925 38.974615465104584, -32780.027379730716 6572059.306926927 38.884614883959294, -32781.292683196836 6572058.343527831 38.82461451143026, -32782.57616269379 6572057.401911988 38.774614124000074, -32783.79429237172 6572056.514824198 38.71461374402046, -32784.02121313778 6572056.343955597 38.70461367696524, -32788.04681971634 6572053.3637098605 38.53461245507002, -32792.09240601794 6572050.385267546 38.36461122572422, -32792.25487877708 6572050.2589371735 38.354611181020736, -32796.77782372292 6572046.789811801 38.18460986226797, -32799.59522068943 6572044.586765383 38.074609065055846, -32804.66697717167 6572040.17013008 37.87460782080889, -32809.88698030973 6572034.669112283 37.64460697889328, -32813.5364343198 6572029.942798482 37.464606785178184, -32813.70702338801 6572029.726559612 37.484606777727606, -32813.83224227908 6572029.566652462 37.47460677027703, -32814.0364080742 6572029.313159713 37.474606747925286, -32814.49371708406 6572028.709883176 37.46460673302412, -32815.13153507933 6572027.780479655 37.46460674792528, -32815.247665953124 6572027.609680861 37.45460674792528, -32818.4458438945 6572022.973554729 37.354606800079345, -32818.738876501564 6572022.516588236 37.34460682243109, -32819.021919279476 6572022.058719936 37.33460684478283, -32819.3249417129 6572021.602655253 37.32460685968399, -32819.62706233503 6572021.156580394 37.31460686713457, -32819.93917278515 6572020.711407342 37.304606867134574, -32820.251283233636 6572020.266234292 37.29460687458515, -32820.57248169987 6572019.831952876 37.28460685968399, -32820.90366999351 6572019.398573267 37.27460684478283, -32821.23395647667 6572018.975183485 37.26460682988167, -32821.57423278759 6572018.552695509 37.254606800079344, -32821.9244989265 6572018.131109345 37.244606770277024, -32822.273863255046 6572017.719513007 37.23460673302412, -32822.62322758336 6572017.307916663 37.22460669577122, -32822.98167993012 6572016.907211955 37.21460664361715, -32823.35012210475 6572016.507409057 37.20460659146309, -32823.7276522984 6572016.118497792 37.19460652440787, -32824.00625593425 6572015.821368523 37.18460648715496, -32824.304839227116 6572015.526042877 37.184606427550314, -32824.60252071044 6572015.240707053 37.17460636794567, -32824.91019202245 6572014.956273042 37.16460630089045, -32825.216059715254 6572014.6918186825 37.16460622638464, -32825.53281904629 6572014.418276305 37.15460614442826, -32825.84867656836 6572014.154723752 37.144606062471865, -32826.17362210981 6572013.902062837 37.1346059730649, -32826.27164685773 6572013.820270669 37.13460594326258, -32826.49856765079 6572013.649401926 37.124605876207355, -32826.8326012122 6572013.407632647 37.11460577189922, -32827.16573296394 6572013.175853197 37.104605667591095, -32827.5088545453 6572012.944975558 37.09460554838181, -32827.86196595605 6572012.714999726 37.08460542917252, -32828.21327374817 6572012.505003551 37.064605302512646, -32828.48834006942 6572012.358623507 37.05460519075394, -32828.57366956049 6572012.30589901 37.04460516095161, -32828.60544266738 6572012.288624781 37.04460514605045, -32829.133792033535 6572012.014040736 37.004604937434195, -32830.45646907715 6572011.30760095 36.98460441589356, -32830.562680036994 6572011.246690243 37.02460437119007, -32832.03242918127 6572010.472957144 36.984603782594206, -32833.22801381897 6572009.835614245 36.94460331320763, -32833.5557347252 6572009.663773752 36.924603179097176, -32833.59839947219 6572009.637411499 36.924603164196014, -32834.8303362024 6572009.043635146 36.92460265010595, -32835.5874799391 6572008.688992579 36.92460232973099, -32836.20934503549 6572008.38256547 36.92460206896067, -32839.198862524005 6572006.950398097 36.924600809812546, -32839.85527609964 6572006.707517187 36.92460050433874, -32840.886654324364 6572006.327274298 36.924600020051, -32841.76187243732 6572006.003433076 36.92459960281849, -32841.92802238732 6572005.947933212 36.92459952831268, -32844.642753357766 6572005.105305574 36.924598179757595, -32845.761334667564 6572004.7631484335 36.92459762096405, -32847.50469634822 6572004.416964479 36.914596667289736, -32854.29395716963 6572003.287525073 36.90459285259247, -32856.51502726716 6572003.004607588 36.90459156364203, -32862.1150163546 6572002.44258234 36.89458825558424, -32868.81132171489 6572002.231305516 36.87458409070969, -32872.202384049306 6572002.487069741 36.87458181083203, -32878.06336825702 6572003.942711059 36.86457742989063, -32881.817539478536 6572005.419660797 36.85457437515259, -32882.898203967954 6572011.187324964 36.844571081995966, -32875.27095545293 6572008.323403617 36.824577228724955, -32870.018659198424 6572007.265132262 36.8145810508728, -32865.747729742434 6572007.161578416 36.814583815038205, -32860.905856104335 6572007.469760938 36.80458675801754, -32853.590671132086 6572008.400654954 36.7845909973979, -32845.06637469388 6572010.118739296 36.77459564656019, -32831.36126571568 6572016.12276144 36.744601666629315, -32826.51296227577 6572020.630069198 36.73460272461176, -32828.810567112756 6572023.627213506 36.7245999082923, -32831.44247814175 6572025.375489462 36.714597442150115, -32834.852421433665 6572028.211195838 36.70459399998188, -32842.513732909574 6572031.813393041 36.69458749562502, -32850.305688284454 6572038.096262902 36.674579709768295, -32868.39274114696 6572049.820419968 36.63456290870905, -32889.70212265791 6572057.756617026 36.59454577237368, -32934.81167811435 6572054.627860519 36.50451846599579, -32959.24393826374 6572047.94052593 36.46450592666864, -32975.97683093208 6572044.989492945 36.42449660599232, -32976.06854313053 6572044.977629587 36.42449655383825, -32982.787896113005 6572046.742400547 36.41449147999287, -32981.68055445398 6572047.629419947 36.41449178546667, -32981.1351397197 6572048.204601211 36.41449187487364, -32980.45430639817 6572048.6064177845 36.41449212819338, -32979.806840219535 6572048.638610224 36.404492523074154, -32979.13460576511 6572048.275787963 36.40449311167002, -32978.35324511037 6572047.67147577 36.4044938865304, -32977.64465855353 6572047.265086899 36.404494519829754, -32976.76541276905 6572046.964147091 36.40449521273375, -32975.92806974822 6572046.868415004 36.404495786428456, -32974.77847598621 6572046.99627632 36.394496464431285, -32973.575395656284 6572047.270377993 36.394497105181216, -32972.162598565104 6572047.63633162 36.394497842788695, -32971.42716725927 6572047.862008178 36.394498207867144, -32970.210489863995 6572048.175167383 36.394498841166495, -32969.36149318481 6572048.320093279 36.384499318003655, -32968.19642887788 6572048.3962017475 36.38450001835823, -32966.75539607555 6572048.628680164 36.3845008379221, -32965.60691386042 6572049.078921793 36.38450135946274, -32964.643729543546 6572049.596247084 36.37450173944235, -32963.26922804583 6572050.20736771 36.37450234293938, -32961.850950304884 6572050.522470261 36.3745031028986, -32960.81589374738 6572050.8318824 36.37450362443924, -32958.87557869195 6572051.351640206 36.36450462281704, -32957.572530244244 6572051.505933608 36.36450538277626, -32956.19414204778 6572051.713853343 36.36450616508722, -32955.04732379841 6572051.922535133 36.36450680583715, -32953.70244252763 6572051.982410902 36.3545076328516, -32950.966407975066 6572052.168484054 36.35450928688049, -32949.68243747705 6572052.334570907 36.35451003193855, -32948.64647920872 6572052.6539728455 36.344510546028616, -32947.74691118731 6572053.247539613 36.34451085150242, -32946.90173155791 6572053.684876217 36.34451119422913, -32945.72133662284 6572053.930811884 36.34451183497906, -32943.75465955143 6572054.407904783 36.334512870609764, -32942.761436004424 6572054.811734466 36.3345133176446, -32941.75190992397 6572055.284591195 36.334513749778274, -32940.22215021448 6572055.942123451 36.33451442778111, -32939.21165246179 6572056.314179969 36.32451490461826, -32937.82618970738 6572056.823598389 36.324515552818774, -32937.74446737615 6572056.8363635475 36.32451560497284, -32937.16249109665 6572057.035607862 36.32451588064432, -32934.269883967354 6572058.063602558 36.31451725900173, -32933.18404651049 6572058.489285359 36.31451775819063, -32932.06539435894 6572058.720652171 36.31451836913824, -32930.54249991267 6572058.744315519 36.31451933026314, -32929.00864395965 6572058.666276878 36.30452033609152, -32927.86071453057 6572058.552578335 36.304521118402484, -32924.70663156954 6572058.237635358 36.304523271620276, -32923.10638422053 6572058.002534659 36.29452439665794, -32922.082911832025 6572057.960498744 36.294525067210195, -32920.476491564885 6572058.016906938 36.294526065587995, -32919.94890374923 6572058.059921102 36.29452637851238, -32918.93458928459 6572058.139566848 36.29452698945999, -32917.399971416104 6572058.293098084 36.284527898430824, -32915.55386502715 6572058.438652732 36.28452900856733, -32914.148143377504 6572058.503107379 36.28452987283468, -32912.767882178305 6572058.620216647 36.27453069984913, -32911.627377046505 6572058.758969462 36.2745313629508, -32910.60584813589 6572058.918533887 36.27453193664551, -32907.34333825717 6572059.470001188 36.26453376948834, -32906.31362317747 6572059.608684119 36.264534358084205, -32905.37013948895 6572059.684652717 36.26453492432833, -32904.06618981168 6572059.848935826 36.26453568428755, -32903.378834586474 6572059.988310942 36.26453605681658, -32902.26378997555 6572060.1797183575 36.254536682665346, -32900.3279150594 6572060.538736626 36.25453774809837, -32897.348728078534 6572061.075495319 36.254539409577845, -32896.230006392 6572061.196072063 36.24454006522894, -32895.15936038422 6572061.230347555 36.24454072833061, -32894.468258205336 6572061.188102014 36.24454119026661, -32893.98784435855 6572061.154804748 36.244541510641575, -32891.89123042091 6572061.509383785 36.24454268783331, -32891.16114061349 6572061.564331138 36.23454312741757, -32890.40566025616 6572061.677413862 36.23454355210066, -32889.69555012556 6572061.734164844 36.234543984234335, -32887.30721784651 6572061.750200954 36.2345454967022, -32886.47174897371 6572061.745279179 36.22454602569342, -32884.758076596656 6572061.651007888 36.22454715818167, -32884.38755095424 6572061.627630581 36.22454741150141, -32883.077149060206 6572061.6402625255 36.22454823851586, -32881.145504036685 6572061.506171655 36.214549527466296, -32879.10209738207 6572061.271350524 36.21455093562603, -32877.87334796239 6572061.160427348 36.214551762640475, -32876.710850251024 6572060.984986233 36.21455258220434, -32875.65636720485 6572060.728654774 36.204553371965886, -32874.90692014957 6572060.328648781 36.20455402761698, -32874.065481476486 6572059.497346251 36.20455493658781, -32873.18220996915 6572058.571626171 36.20455592006445, -32872.221864999854 6572057.830302031 36.204556866288186, -32871.344283887884 6572057.287802855 36.19455766350031, -32870.30880885094 6572056.932474935 36.19455848306418, -32868.85285906633 6572056.549260668 36.194559585750106, -32867.75834687147 6572056.178532045 36.194560450017455, -32866.2195633807 6572055.485702891 36.18456173896789, -32863.37897707801 6572054.040867705 36.18456419765949, -32862.16534899711 6572053.427747612 36.184565248191355, -32860.9707288912 6572052.715631031 36.17456632852554, -32859.311787956045 6572051.568820376 36.17456790059805, -32858.25515199045 6572050.778518926 36.17456892877817, -32857.20219316671 6572050.059048121 36.16456992715597, -32855.944858776405 6572049.260700267 36.16457108944655, -32854.89287166216 6572048.642029611 36.16457203567028, -32852.7653804248 6572047.553633986 36.15457387596369, -32851.74613814743 6572047.018489258 36.15457477003336, -32850.72141510912 6572046.4324935805 36.15457568645478, -32849.789305989514 6572045.824644732 36.154576550722126, -32848.90797794785 6572045.100525179 36.15457743734122, -32847.70038308448 6572043.974316662 36.144578718841075, -32846.94073663384 6572043.241039227 36.14457953095436, -32846.1402290503 6572042.514144379 36.14458036541939, -32845.321615324356 6572041.876256206 36.14458117753267, -32844.330469052424 6572041.253006718 36.144582086503505, -32842.670766201336 6572040.337766106 36.134583554267884, -32842.50086919777 6572040.211645357 36.13458371818066, -32839.862645481946 6572038.533297713 36.13458615452051, -32837.645868159365 6572036.983636528 36.12458826303482, -32837.25147615431 6572036.555255262 36.12458871006966, -32836.4046965891 6572035.894682084 36.124589544534686, -32836.06955144717 6572035.814071335 36.124589797854426, -32835.44005239627 6572035.535677318 36.12459031939507, -32835.03393684002 6572035.237163848 36.114590714275835, -32834.048271384556 6572034.6647654325 36.114591600894926, -32833.36611775984 6572034.41183186 36.11459215223789, -32832.41153331683 6572034.164518863 36.11459286749363, -32831.93930591352 6572034.152103204 36.11459317296743, -32831.3073111485 6572034.236048492 36.11459353804588, -32830.5618909233 6572034.460823096 36.11459391057491, -32830.06351098989 6572034.7381124785 36.10459410429001, -32829.590661387076 6572035.178846368 36.10459420859814, -32829.28944249812 6572035.614931395 36.104594201147556, -32828.97927539097 6572036.261704636 36.10459411174059, -32828.19188941317 6572037.620740753 36.10459399998188, -32827.87152277643 6572037.934242386 36.104594059586525, -32826.33060027321 6572039.607961504 36.094594283103945, -32825.91422218352 6572040.315645398 36.09459423094988, -32825.54515769228 6572041.16859776 36.09459408193827, -32825.20717417542 6572042.346635502 36.09459376901388, -32825.01806636946 6572043.4374003215 36.09459339648485, -32824.484732209705 6572045.886921587 36.084592629075054, -32824.124965368654 6572047.083135334 36.08459232360125, -32823.464049485745 6572048.826223964 36.074591958522795, -32823.21680628008 6572049.891598226 36.07459163814783, -32823.19266699278 6572050.493693358 36.07459137737751, -32823.2696073394 6572051.537976483 36.07459085583687, -32823.26156759297 6572053.188933694 36.07459011822939, -32823.14932346181 6572053.762932849 36.07458993196487, -32822.463925405056 6572057.00442576 36.06458891123533, -32822.23631238751 6572057.517654008 36.064588821828366, -32821.66120841296 6572058.53328873 36.0645887324214, -32821.280972653185 6572058.952169327 36.06458878457546, -32820.65765328228 6572059.832525389 36.054588784575465, -32820.345682443236 6572060.499278172 36.05458868026734, -32819.22218606109 6572063.127161894 36.05458821088076, -32818.69287149119 6572064.751204362 36.04458781599998, -32818.68052558589 6572065.334221626 36.04458756268024, -32818.540395035525 6572066.328695318 36.04458720505237, -32818.16835196351 6572068.218716111 36.044586594104764, -32817.64021861786 6572070.275928384 36.03458599805832, -32817.060192741104 6572072.127031378 36.03458553612232, -32816.54065829329 6572073.419605838 36.03458528280258, -32816.226261404576 6572074.559487708 36.0245849698782, -32816.1993466866 6572075.080762357 36.02458475381136, -32816.04194184928 6572076.043462904 36.024584418535234, -32815.47607186565 6572078.741827672 36.024583561718465, -32814.954594005714 6572079.83280191 36.014583405256275, -32814.65441653121 6572080.480476762 36.014583300948146, -32814.29242660268 6572081.0319304615 36.014583286046985, -32813.61714477441 6572081.595387188 36.01458345741034, -32812.969126981916 6572082.191518834 36.01458360642195, -32812.69149488676 6572082.589447998 36.01458359897137, -32812.2087252175 6572083.140069722 36.014583658576015, -32811.61502592545 6572083.469181475 36.00458388954401, -32810.16685032775 6572083.892367773 36.00458461970091, -32809.5476207867 6572084.05803503 36.00458494007587, -32808.93206836656 6572084.294532886 36.004585223197935, -32808.28675603459 6572084.860695017 36.00458537966013, -32807.46454183757 6572085.7130247 36.00458552122116, -32806.34367437335 6572086.749889889 35.99458576709032, -32805.44875609374 6572087.515086411 35.99458599060774, -32804.35425084946 6572088.594616312 35.994586199223995, -32803.46481332136 6572089.410663749 35.99458640038967, -32802.79418030032 6572090.145751053 35.98458649724722, -32802.11564048217 6572091.303116488 35.984586407840254, -32801.766415668884 6572091.936292334 35.98458634078503, -32800.857347725425 6572093.304485601 35.984586303532126, -32800.3129751659 6572094.091255781 35.97458629608155, -32799.78317135724 6572094.939768542 35.974586251378064, -32799.5229531473 6572095.591050534 35.97458612471819, -32799.271060815896 6572096.484793793 35.974585886299614, -32798.12675224978 6572099.2316527665 35.96458537220955, -32797.61346048198 6572100.3435082175 35.964585200846194, -32797.280608019675 6572101.018446946 35.96458510398865, -32796.5086222766 6572102.318445104 35.96458501458168, -32795.71297976805 6572103.54580902 35.964584969878196, -32795.2012820947 6572104.305315091 35.954584947526456, -32793.23232700548 6572106.927373926 35.95458502203226, -32792.740539138555 6572107.577893709 35.954585044384004, -32791.55071451608 6572108.7092459 35.944585290253166, -32790.59044636635 6572109.528970203 35.944585528671745, -32789.72459572938 6572110.306861726 35.94458572983742, -32788.87421565526 6572111.136505991 35.944585901200774, -32787.238945021294 6572112.96284623 35.93458611726761, -32785.62913476792 6572114.841840992 35.93458629608154, -32783.46031331702 6572117.335073193 35.92458654940128, -32782.87681338645 6572117.99745616 35.92458662390709, -32782.17079993803 6572118.789776661 35.92458672076464, -32781.52111815929 6572119.627467358 35.92458675801754, -32780.27614298428 6572121.146618813 35.91458686232567, -32780.059211961925 6572121.318389097 35.914586921930315, -32778.41172892181 6572122.499067615 35.91458744347096, -32777.63835252263 6572123.033526106 35.91458768934012, -32774.14232154901 6572120.482112532 35.90459106445313, -32771.9101575996 6572121.892004231 35.89459185421467, -32767.128727107658 6572125.881638179 35.88459309846163, -32763.840213691816 6572128.394645782 35.87459405958653, -32758.60931116494 6572132.454487205 35.86459555715322, -32727.15043753991 6572158.408222264 35.78460389435291, -32725.317034801585 6572159.974965189 35.78460435628891, -32715.830244484474 6572177.710043287 36.00460240423679, -32714.99395002448 6572179.276157823 36.12460222542286, -32716.558201472973 6572182.9221570175 35.754599587917326, -32717.433080520364 6572184.944883236 35.75459812015295, -32721.30278274056 6572195.405731946 35.76459094524384, -32722.744246158167 6572200.188767131 35.76458786815405, -32722.704650353757 6572205.089881475 35.76458568513394, -32722.692727119545 6572207.787894653 35.76458447813988, -32722.66700228746 6572211.642853316 35.76458275705576, -32722.640793922124 6572216.172540718 35.76458073794842, -32722.633997731027 6572216.917198189 35.78458040267229, -32722.504269570927 6572217.127054097 35.81458038777113, -32716.315403521527 6572227.112934319 35.924579828977585, -32716.2446427017 6572227.227401164 35.924579821527004, -32716.232849231455 6572227.246478972 35.924579821527004, -32715.37372956751 6572228.619179302 35.83457975447178, -32713.841480259434 6572231.089304438 35.87457961291075, -32709.82261224347 6572237.564866968 35.90457925528288, -32697.173719540588 6572242.24416215 35.954585200846196, -32693.806049718638 6572244.51838099 35.97458631843329, -32689.568782503717 6572247.388869234 35.99458771914244, -32684.6352823989 6572250.7202088 36.01458936572075, -32682.286085886648 6572252.31088517 36.02459014058113, -32680.107482959284 6572255.135580141 36.04459025233984, -32679.605704995687 6572255.7851968445 36.13459028214216, -32679.783656817977 6572258.611133501 36.04458889633417, -32679.978120275307 6572261.700412638 35.95458737641573, -32680.386817505234 6572267.548405252 35.78458448559046, -32682.01765768614 6572268.783321635 35.79458289116621, -32683.52133578318 6572269.976544827 35.81458139359951, -32685.289327884675 6572271.254056336 35.79457969486713, -32687.984917475143 6572273.189366632 35.784577102065086))</t>
  </si>
  <si>
    <t>[7875]</t>
  </si>
  <si>
    <t>['KV7875 S1D1 m298-309', 'KV7875 S1D1 m309-329']</t>
  </si>
  <si>
    <t>LINESTRING Z (248376.74 6649451.77 39.83, 248383.42 6649456.6 39.84, 248384.83 6649457.55 39.86, 248384.9 6649457.45 39.88, 248387.7 6649453.3 40.03, 248387.79 6649453.16 40.16, 248388.7 6649451.8 40.8, 248384.67 6649449.03 40.73, 248385.78 6649447.39 40.79, 248384.2 6649446.31 40.76, 248380.9 6649444.05 40.71, 248377.6 6649441.79 40.65, 248374.29 6649439.52 40.59, 248370.17 6649436.7 40.52, 248369.84 6649436.47 40.52, 248369.44 6649436.17 40.51, 248369.36 6649436.11 40.51, 248369.27 6649436.06 40.51, 248369.19 6649436 40.51, 248369.11 6649435.95 40.51, 248368.53 6649435.55 40.5, 248368.45 6649435.49 40.5, 248368.36 6649435.44 40.49, 248368.28 6649435.38 40.49, 248367.71 6649434.98 40.48, 248367.62 6649434.93 40.48, 248367.54 6649434.87 40.48, 248367.46 6649434.81 40.48, 248366.88 6649434.42 40.47, 248366.8 6649434.36 40.47, 248366.71 6649434.31 40.47, 248366.63 6649434.25 40.46, 248366.05 6649433.85 40.45, 248365.97 6649433.8 40.45, 248365.89 6649433.74 40.45, 248365.81 6649433.68 40.45, 248365.72 6649433.63 40.45, 248365.39 6649433.4 40.44, 248365.31 6649433.34 40.44, 248365.23 6649433.29 40.44, 248365.15 6649433.23 40.44, 248365.06 6649433.17 40.44, 248364.98 6649433.12 40.44, 248364.9 6649433.06 40.43, 248364.82 6649433 40.43, 248364.34 6649432.69 40.42, 248362.3 6649435.66 40.12, 248362.57 6649435.89 40.14, 248362.68 6649435.98 40.16, 248367.44 6649439.22 40.18, 248373.85 6649443.59 40.11, 248378.23 6649446.58 40.09, 248374.22 6649449.24 39.92, 248374.28 6649449.27 39.83, 248376.74 6649451.77 39.83, 248379.17 6649453.29 39.74, 248381.05 6649450.43 39.74, 248383.94 6649452.39 39.87, 248382.06 6649455.25 39.87, 248379.17 6649453.29 39.74, 248376.74 6649451.77 39.83)</t>
  </si>
  <si>
    <t>2020-04-06</t>
  </si>
  <si>
    <t>['KV7875 S1D1 m309-329']</t>
  </si>
  <si>
    <t>LINESTRING Z (248376.74 6649451.77 39.830095626711845, 248383.42 6649456.6 39.84009032189846, 248384.83 6649457.55 39.8600893086195, 248384.9 6649457.45 39.880089472532276, 248387.7 6649453.3 40.03009623765946, 248387.71 6649453.28 40.160096267461775, 248387.79 6649453.16 40.16009646117687, 248388.7 6649451.8 40.80009868144989, 248384.67 6649449.03 40.73010167658329, 248385.78 6649447.39 40.790104343891144, 248384.2 6649446.31 40.760105506181716, 248380.9 6649444.05 40.710107949972155, 248377.6 6649441.79 40.65011037886143, 248374.29 6649439.52 40.59011283755302, 248370.17 6649436.7 40.520115877389905, 248369.84 6649436.47 40.520116130709646, 248369.44 6649436.17 40.510116458535194, 248369.36 6649436.11 40.510116533041, 248369.27 6649436.06 40.51011657774448, 248369.19 6649436 40.51011663734913, 248369.11 6649435.95 40.51011669695377, 248368.53 6649435.55 40.50011712908745, 248368.45 6649435.49 40.500117188692094, 248368.36 6649435.44 40.49011724829674, 248368.28 6649435.38 40.490117307901386, 248367.71 6649434.98 40.480117740035055, 248367.62 6649434.93 40.4801177996397, 248367.54 6649434.87 40.480117859244345, 248367.46 6649434.81 40.48011793375015, 248366.88 6649434.42 40.470118350982666, 248366.8 6649434.36 40.47011841058731, 248366.71 6649434.31 40.470118455290795, 248366.63 6649434.25 40.4601185297966, 248366.05 6649433.85 40.45011896193028, 248365.97 6649433.8 40.45011900663376, 248365.89 6649433.74 40.45011908113957, 248365.81 6649433.68 40.450119140744214, 248365.72 6649433.63 40.45011920034886, 248365.39 6649433.4 40.44011943876743, 248365.31 6649433.34 40.44011951327324, 248365.23 6649433.29 40.44011955797672, 248365.15 6649433.23 40.44011963248253, 248365.06 6649433.17 40.44011969208717, 248364.98 6649433.12 40.44011975169182, 248364.9 6649433.06 40.430119811296464, 248364.82 6649433 40.43011988580227, 248364.34 6649432.69 40.42012021362782, 248362.3 6649435.66 40.120115355849265, 248362.57 6649435.89 40.14011508762837, 248362.68 6649435.98 40.160114983320234, 248367.44 6649439.22 40.18011149644852, 248373.85 6649443.59 40.11010678768158, 248378.23 6649446.58 40.09010356903076, 248374.22 6649449.24 39.92009866654873, 248374.28 6649449.27 39.830098636746406, 248376.74 6649451.77 39.830095626711845, 248379.17 6649453.29 39.74009404718876, 248381.05 6649450.43 39.740098696351055, 248383.94 6649452.39 39.87009659528732, 248382.06 6649455.25 39.87009193122387, 248379.17 6649453.29 39.74009404718876, 248376.74 6649451.77 39.830095626711845)</t>
  </si>
  <si>
    <t>2020-04-09</t>
  </si>
  <si>
    <t>['EV6 S190D1 m1214-1231']</t>
  </si>
  <si>
    <t>LINESTRING Z (723273.36572547 7756400.543459806 100.15715381622314, 723259.3051996729 7756400.327112988 99.80715658783913, 723257.5146083281 7756404.915541521 99.80715561926365, 723258.2970257195 7756406.703587362 99.79715495616198, 723262.8636326443 7756404.846650886 99.92715462088586, 723267.3279238335 7756403.010595173 100.03715428560973, 723271.87730906 7756401.121973388 100.15715394288301, 723273.36572547 7756400.543459806 100.15715381622314)</t>
  </si>
  <si>
    <t>POLYGON Z ((723273.36572547 7756400.543459806 100.15715381622314, 723259.3051996729 7756400.327112988 99.80715658783913, 723257.5146083281 7756404.915541521 99.80715561926365, 723258.2970257195 7756406.703587362 99.79715495616198, 723262.8636326443 7756404.846650886 99.92715462088586, 723267.3279238335 7756403.010595173 100.03715428560973, 723271.87730906 7756401.121973388 100.15715394288301, 723273.36572547 7756400.543459806 100.15715381622314))</t>
  </si>
  <si>
    <t>['EV6 S190D1 m1005-1136']</t>
  </si>
  <si>
    <t>LINESTRING Z (723192.6932300855 7756480.303378631 97.62714462965727, 723194.5509863767 7756477.74967854 97.68714511394501, 723196.6957475119 7756473.353949092 97.71714610487223, 723198.2337016796 7756468.782859504 97.69714724481106, 723198.3523768305 7756467.136515645 97.67714772164823, 723197.8497817977 7756465.363718752 97.65714834749699, 723195.9346688688 7756462.107467691 97.65714965134859, 723195.226389042 7756461.832550468 97.69714985251427, 723192.7081100709 7756461.916265906 97.71715024739504, 723191.813665914 7756462.367693215 97.74715025484562, 723189.0315237864 7756465.259643084 97.78714982271195, 723187.6316125101 7756468.859010149 97.78714894354344, 723187.8904003834 7756470.218099489 97.78714848160745, 723189.2468278636 7756473.544368273 97.75714724481107, 723184.8161386697 7756475.5642299 97.83714733421803, 723180.3338414822 7756477.599512567 97.93714741617441, 723175.9493008624 7756479.553245159 97.99714750558138, 723171.4072350196 7756481.583125477 98.02714758008719, 723166.905015142 7756483.61660714 98.07714764714241, 723162.5277351515 7756485.601124236 98.16714769929648, 723160.1964823441 7756481.3933617845 98.10714939057827, 723162.5277351515 7756485.601124236 98.16714769929648, 723160.1964823441 7756481.3933617845 98.10714939057827, 723155.4877154724 7756483.267574818 98.08714952468873, 723156.7143179371 7756487.696865123 97.99714793026448, 723152.0961046717 7756489.569219755 97.90714804202318, 723151.4497385934 7756484.720360038 98.0771496886015, 723146.1469427242 7756486.611181843 97.77714989721775, 723144.412631858 7756486.243527345 98.00715027719737, 723142.6877075691 7756484.772008077 98.04715101480484, 723141.441546667 7756482.781362146 98.12715184926986, 723138.9084210957 7756478.695953885 98.14715356290341, 723138.0379223757 7756476.4379766295 98.23715443462133, 723136.497284585 7756472.371973976 98.26715599924326, 723134.7453676669 7756467.754604201 98.22715778738261, 723134.4550097224 7756466.633690114 98.19715819716454, 723125.1625141081 7756473.998799408 96.24715724349022, 723116.8331394647 7756482.374900902 94.7671557533741, 723113.8095092861 7756485.827507573 94.3871550604701, 723109.8053260122 7756489.573115517 94.2571544122696, 723106.8048752781 7756492.3248178465 93.95715393543243, 723103.3053359027 7756494.820510478 93.80715360760689, 723098.3270746204 7756499.120818548 93.62715288490057, 723094.8086277047 7756501.825701733 93.49715247511864, 723088.3013966752 7756508.819896311 93.26715102225542, 723080.7373308684 7756519.173307189 93.91714852631092, 723090.2276954066 7756516.174637753 94.13714825063944, 723099.7264510052 7756513.638697277 94.48714778870344, 723109.244172133 7756511.00404225 94.82714733421803, 723118.7998813599 7756508.282434853 95.18714687973261, 723128.2902476046 7756505.2837643 95.587146499753, 723137.47541021 7756502.217336347 95.9771461570263, 723146.6541557031 7756498.999685354 96.36714584410191, 723155.8889539762 7756495.606329056 96.68714554607868, 723165.0449037517 7756492.085331549 96.9471452704072, 723174.1473876124 7756488.489201248 97.1971450021863, 723183.3248893195 7756484.61865124 97.43714477866888, 723192.2305581052 7756480.422245894 97.62714466691017, 723192.6932300855 7756480.303378631 97.62714462965727)</t>
  </si>
  <si>
    <t>['EV6 S190D1 m1125-1173']</t>
  </si>
  <si>
    <t>LINESTRING Z (723174.5054869319 7756437.082097168 98.25716102838517, 723181.5411430836 7756446.686273243 98.17715681880713, 723184.2906636533 7756450.710897788 98.12715510517359, 723184.459223316 7756450.957118455 98.13715499341488, 723188.4393852425 7756448.032850688 98.08715523183346, 723187.8558528544 7756445.599953288 98.04715608119965, 723190.8540433523 7756441.984359689 98.04715668469667, 723191.3490707368 7756441.396402829 98.01715677410364, 723196.5562544978 7756435.007783649 98.09715783953666, 723199.6122980027 7756431.196561727 98.16715846538544, 723202.1625098025 7756428.092834274 98.22715896457434, 723206.7567591319 7756427.152296738 98.27715842813254, 723211.0930631857 7756424.7322316915 98.39715838342906, 723215.2862477311 7756422.228930848 98.53715838342906, 723218.2365091932 7756420.476974583 98.63715836852789, 723218.2908183492 7756420.431669015 98.63715837597847, 723217.7890455604 7756416.760847637 98.68715956807137, 723215.2338113612 7756413.697811314 98.71716096132994, 723205.8405485757 7756418.844391629 98.25716111779214, 723190.5849815591 7756427.849837425 98.2571610954404, 723174.5054869319 7756437.082097168 98.25716102838517)</t>
  </si>
  <si>
    <t>POLYGON Z ((723174.5054869319 7756437.082097168 98.25716102838517, 723181.5411430836 7756446.686273243 98.17715681880713, 723184.2906636533 7756450.710897788 98.12715510517359, 723184.459223316 7756450.957118455 98.13715499341488, 723188.4393852425 7756448.032850688 98.08715523183346, 723187.8558528544 7756445.599953288 98.04715608119965, 723190.8540433523 7756441.984359689 98.04715668469667, 723191.3490707368 7756441.396402829 98.01715677410364, 723196.5562544978 7756435.007783649 98.09715783953666, 723199.6122980027 7756431.196561727 98.16715846538544, 723202.1625098025 7756428.092834274 98.22715896457434, 723206.7567591319 7756427.152296738 98.27715842813254, 723211.0930631857 7756424.7322316915 98.39715838342906, 723215.2862477311 7756422.228930848 98.53715838342906, 723218.2365091932 7756420.476974583 98.63715836852789, 723218.2908183492 7756420.431669015 98.63715837597847, 723217.7890455604 7756416.760847637 98.68715956807137, 723215.2338113612 7756413.697811314 98.71716096132994, 723205.8405485757 7756418.844391629 98.25716111779214, 723190.5849815591 7756427.849837425 98.2571610954404, 723174.5054869319 7756437.082097168 98.25716102838517))</t>
  </si>
  <si>
    <t>['EV6 S190D1 m1194-1213']</t>
  </si>
  <si>
    <t>LINESTRING Z (723255.365498687 7756407.914923493 99.68715516477823, 723255.5569297539 7756405.130269928 99.75715592473746, 723254.1939306856 7756403.098934627 99.74715677410364, 723254.5276960158 7756400.628431396 99.84715742230415, 723244.4687731505 7756402.139593179 99.2871589049697, 723238.230382272 7756403.7148699 99.28715962767602, 723240.4760632799 7756405.31379994 99.28715873360635, 723238.7597616339 7756409.96919969 99.28715769797564, 723238.0861180887 7756411.866669147 99.27715726584196, 723239.1497549564 7756412.876704465 99.26715677410364, 723240.1976830126 7756413.282748857 99.26715645372867, 723244.6560739737 7756412.289759876 99.37715591728687, 723249.1728732572 7756410.428321877 99.50715561181308, 723253.6453249399 7756408.613089724 99.6271552914381, 723255.365498687 7756407.914923493 99.68715516477823)</t>
  </si>
  <si>
    <t>POLYGON Z ((723255.365498687 7756407.914923493 99.68715516477823, 723255.5569297539 7756405.130269928 99.75715592473746, 723254.1939306856 7756403.098934627 99.74715677410364, 723254.5276960158 7756400.628431396 99.84715742230415, 723244.4687731505 7756402.139593179 99.2871589049697, 723238.230382272 7756403.7148699 99.28715962767602, 723240.4760632799 7756405.31379994 99.28715873360635, 723238.7597616339 7756409.96919969 99.28715769797564, 723238.0861180887 7756411.866669147 99.27715726584196, 723239.1497549564 7756412.876704465 99.26715677410364, 723240.1976830126 7756413.282748857 99.26715645372867, 723244.6560739737 7756412.289759876 99.37715591728687, 723249.1728732572 7756410.428321877 99.50715561181308, 723253.6453249399 7756408.613089724 99.6271552914381, 723255.365498687 7756407.914923493 99.68715516477823))</t>
  </si>
  <si>
    <t>['EV6 S190D1 m1175-1194']</t>
  </si>
  <si>
    <t>LINESTRING Z (723222.7550511244 7756418.4851375185 98.7571581375599, 723223.1923405146 7756418.313761648 98.74715811520815, 723227.7861300623 7756416.489411278 98.82715780973435, 723232.3165494284 7756414.6995045645 98.94715750426055, 723236.2516565002 7756413.940418997 99.18715699762106, 723236.2346042707 7756409.017880458 99.22715845048428, 723236.2360971177 7756406.667988116 99.2771591359377, 723234.8153026847 7756404.942757612 99.29715991824865, 723230.6024049243 7756406.108578119 98.7571603652835, 723223.3858369839 7756409.061699219 98.75716083467007, 723218.307154318 7756411.806336772 98.75716096132994, 723220.4922808958 7756413.630779182 98.72716000765563, 723220.4218630693 7756417.521040651 98.69715885281563, 723222.7550511244 7756418.4851375185 98.7571581375599)</t>
  </si>
  <si>
    <t>POLYGON Z ((723222.7550511244 7756418.4851375185 98.7571581375599, 723223.1923405146 7756418.313761648 98.74715811520815, 723227.7861300623 7756416.489411278 98.82715780973435, 723232.3165494284 7756414.6995045645 98.94715750426055, 723236.2516565002 7756413.940418997 99.18715699762106, 723236.2346042707 7756409.017880458 99.22715845048428, 723236.2360971177 7756406.667988116 99.2771591359377, 723234.8153026847 7756404.942757612 99.29715991824865, 723230.6024049243 7756406.108578119 98.7571603652835, 723223.3858369839 7756409.061699219 98.75716083467007, 723218.307154318 7756411.806336772 98.75716096132994, 723220.4922808958 7756413.630779182 98.72716000765563, 723220.4218630693 7756417.521040651 98.69715885281563, 723222.7550511244 7756418.4851375185 98.7571581375599))</t>
  </si>
  <si>
    <t>['EV6 S190D1 m1144-1258']</t>
  </si>
  <si>
    <t>LINESTRING Z (723308.0550715744 7756438.1961155515 100.31713702261447, 723310.8180773894 7756435.071448103 100.31713734298944, 723311.4207080354 7756434.181887946 100.31713746964931, 723312.6607182416 7756429.5738230655 100.31713846057653, 723312.8871686667 7756427.957305118 100.31713884800672, 723312.0821647146 7756424.530231756 100.30713990598917, 723311.6034960715 7756423.492725011 100.30714027106762, 723311.103276329 7756422.804770338 100.3171405467391, 723309.8138964705 7756421.2922739815 100.36714118748904, 723306.8325785588 7756419.05441061 100.24714234977961, 723303.8039443465 7756418.117841835 100.08714316934348, 723302.5615183262 7756418.085889146 100.01714341521263, 723299.7708492472 7756418.516571219 99.81714382499456, 723296.5570288387 7756420.184449691 99.67714398145677, 723292.5260998283 7756423.003702742 99.5171439665556, 723288.0337241583 7756424.817134199 99.46714430183172, 723283.4988015944 7756426.656848563 99.28714463710786, 723279.2418425573 7756428.421257789 99.17714493513108, 723274.6661739047 7756430.267332022 99.03714525550605, 723270.0597205585 7756432.120666565 98.907145575881, 723265.6714618752 7756433.893293823 98.75714587390424, 723261.0632079896 7756435.766551146 98.61714617192746, 723256.6351035803 7756437.535576798 98.4771464625001, 723251.9897050585 7756439.375348086 98.3571467679739, 723247.4031751155 7756441.230482915 98.25714704364539, 723242.8374685711 7756443.077456911 98.12714731931686, 723238.3650168201 7756444.892688156 97.9871475726366, 723233.9034269889 7756446.69885821 97.88714782595635, 723229.3060355732 7756448.56305381 97.78714807182551, 723227.2929176675 7756448.391142534 97.77714846670628, 723222.5778271385 7756448.5575008895 97.72714923411608, 723218.0251089195 7756449.260763368 97.64714980781079, 723213.3089080214 7756450.772763299 97.58715015798808, 723209.1973881748 7756453.59477309 97.57715001642704, 723207.7258111768 7756455.209221643 97.68714977800846, 723206.0546794438 7756457.920389936 97.82714924156666, 723205.9992021235 7756459.200860492 97.79714886158705, 723206.3259590621 7756464.141347972 97.75714731931687, 723207.369769345 7756468.815231818 97.83714573979378, 723208.5491890868 7756471.322074149 97.88714480102063, 723210.676691863 7756473.784051346 97.98714371323585, 723211.9975258054 7756474.837419196 98.04714318424463, 723212.5707893766 7756474.939447521 98.05714306503535, 723213.2498552075 7756474.759796047 98.0671430054307, 723217.2484473935 7756474.187221166 98.20714252859354, 723224.938722468 7756471.437603866 98.36714208900929, 723234.1942323187 7756467.815131018 98.58714161962271, 723243.1817406205 7756464.268863169 98.77714114278555, 723252.2724079579 7756460.581276129 98.9771406659484, 723261.6437401597 7756456.788499313 99.19714013695717, 723270.9091554678 7756453.056448853 99.4071395856142, 723280.1121012145 7756449.348880302 99.63713899701834, 723289.0823894502 7756445.770925611 99.85713839352131, 723298.2826348458 7756442.0932407975 100.0871377453208, 723307.4294717854 7756438.450899744 100.29713706731796, 723308.0550715744 7756438.1961155515 100.31713702261447)</t>
  </si>
  <si>
    <t>POLYGON Z ((723308.0550715744 7756438.1961155515 100.31713702261447, 723310.8180773894 7756435.071448103 100.31713734298944, 723311.4207080354 7756434.181887946 100.31713746964931, 723312.6607182416 7756429.5738230655 100.31713846057653, 723312.8871686667 7756427.957305118 100.31713884800672, 723312.0821647146 7756424.530231756 100.30713990598917, 723311.6034960715 7756423.492725011 100.30714027106762, 723311.103276329 7756422.804770338 100.3171405467391, 723309.8138964705 7756421.2922739815 100.36714118748904, 723306.8325785588 7756419.05441061 100.24714234977961, 723303.8039443465 7756418.117841835 100.08714316934348, 723302.5615183262 7756418.085889146 100.01714341521263, 723299.7708492472 7756418.516571219 99.81714382499456, 723296.5570288387 7756420.184449691 99.67714398145677, 723292.5260998283 7756423.003702742 99.5171439665556, 723288.0337241583 7756424.817134199 99.46714430183172, 723283.4988015944 7756426.656848563 99.28714463710786, 723279.2418425573 7756428.421257789 99.17714493513108, 723274.6661739047 7756430.267332022 99.03714525550605, 723270.0597205585 7756432.120666565 98.907145575881, 723265.6714618752 7756433.893293823 98.75714587390424, 723261.0632079896 7756435.766551146 98.61714617192746, 723256.6351035803 7756437.535576798 98.4771464625001, 723251.9897050585 7756439.375348086 98.3571467679739, 723247.4031751155 7756441.230482915 98.25714704364539, 723242.8374685711 7756443.077456911 98.12714731931686, 723238.3650168201 7756444.892688156 97.9871475726366, 723233.9034269889 7756446.69885821 97.88714782595635, 723229.3060355732 7756448.56305381 97.78714807182551, 723227.2929176675 7756448.391142534 97.77714846670628, 723222.5778271385 7756448.5575008895 97.72714923411608, 723218.0251089195 7756449.260763368 97.64714980781079, 723213.3089080214 7756450.772763299 97.58715015798808, 723209.1973881748 7756453.59477309 97.57715001642704, 723207.7258111768 7756455.209221643 97.68714977800846, 723206.0546794438 7756457.920389936 97.82714924156666, 723205.9992021235 7756459.200860492 97.79714886158705, 723206.3259590621 7756464.141347972 97.75714731931687, 723207.369769345 7756468.815231818 97.83714573979378, 723208.5491890868 7756471.322074149 97.88714480102063, 723210.676691863 7756473.784051346 97.98714371323585, 723211.9975258054 7756474.837419196 98.04714318424463, 723212.5707893766 7756474.939447521 98.05714306503535, 723213.2498552075 7756474.759796047 98.0671430054307, 723217.2484473935 7756474.187221166 98.20714252859354, 723224.938722468 7756471.437603866 98.36714208900929, 723234.1942323187 7756467.815131018 98.58714161962271, 723243.1817406205 7756464.268863169 98.77714114278555, 723252.2724079579 7756460.581276129 98.9771406659484, 723261.6437401597 7756456.788499313 99.19714013695717, 723270.9091554678 7756453.056448853 99.4071395856142, 723280.1121012145 7756449.348880302 99.63713899701834, 723289.0823894502 7756445.770925611 99.85713839352131, 723298.2826348458 7756442.0932407975 100.0871377453208, 723307.4294717854 7756438.450899744 100.29713706731796, 723308.0550715744 7756438.1961155515 100.31713702261447))</t>
  </si>
  <si>
    <t>2020-05-05</t>
  </si>
  <si>
    <t>['FV86 S3D1 m7574-7670']</t>
  </si>
  <si>
    <t>LINESTRING Z (621227.4 7677621.37 6.4, 621221.93 7677617.1 5.71, 621216.59 7677613.39 0, 621213.21 7677611.22 0, 621210.53 7677616.15 5.18, 621205.59 7677624.87 5.06, 621200.66 7677633.56 4.95, 621195.73 7677642.26 4.83, 621190.78 7677650.95 4.72, 621185.85 7677659.64 4.71, 621180.92 7677668.34 4.82, 621175.97 7677677.03 4.93, 621171.04 7677685.72 5.04, 621168.66 7677690.05 5.1, 621166.76 7677693.91 5.14, 621166.79 7677694.98 5.14, 621167.41 7677695.49 5.14, 621167.92 7677695.43 5.14, 621170.06 7677694.15 5.14, 621174.29 7677692.06 5.14, 621178.81 7677689.2 5.14, 621179.33 7677686.54 6.25, 621176.55 7677688.97 6.04, 621173.03 7677690.99 0, 621171.62 7677690.21 0, 621176.24 7677681.6 0, 621180.91 7677673.49 0, 621185.06 7677666.17 0, 621187.68 7677661.49 4.05, 621189.34 7677658.34 4.05, 621190.67 7677657.96 4.05, 621191.86 7677656.16 4.02, 621191.48 7677654.79 4.03, 621194.72 7677654.32 4.03, 621196.8 7677650.16 4.03, 621198.15 7677646.77 4.03, 621198.92 7677644.06 4.95, 621201.12 7677639.56 4.8, 621205.03 7677632.93 4.8, 621209.34 7677625.43 4.8, 621213.17 7677618.88 4.8, 621216.13 7677614.12 0, 621220.53 7677617.69 0, 621225.9 7677622.24 0, 621226.37 7677622.61 0, 621227.4 7677621.37 6.4)</t>
  </si>
  <si>
    <t>POLYGON Z ((621227.4 7677621.37 6.4, 621221.93 7677617.1 5.71, 621216.59 7677613.39 0, 621213.21 7677611.22 0, 621210.53 7677616.15 5.18, 621205.59 7677624.87 5.06, 621200.66 7677633.56 4.95, 621195.73 7677642.26 4.83, 621190.78 7677650.95 4.72, 621185.85 7677659.64 4.71, 621180.92 7677668.34 4.82, 621175.97 7677677.03 4.93, 621171.04 7677685.72 5.04, 621168.66 7677690.05 5.1, 621166.76 7677693.91 5.14, 621166.79 7677694.98 5.14, 621167.41 7677695.49 5.14, 621167.92 7677695.43 5.14, 621170.06 7677694.15 5.14, 621174.29 7677692.06 5.14, 621178.81 7677689.2 5.14, 621179.33 7677686.54 6.25, 621176.55 7677688.97 6.04, 621173.03 7677690.99 0, 621171.62 7677690.21 0, 621176.24 7677681.6 0, 621180.91 7677673.49 0, 621185.06 7677666.17 0, 621187.68 7677661.49 4.05, 621189.34 7677658.34 4.05, 621190.67 7677657.96 4.05, 621191.86 7677656.16 4.02, 621191.48 7677654.79 4.03, 621194.72 7677654.32 4.03, 621196.8 7677650.16 4.03, 621198.15 7677646.77 4.03, 621198.92 7677644.06 4.95, 621201.12 7677639.56 4.8, 621205.03 7677632.93 4.8, 621209.34 7677625.43 4.8, 621213.17 7677618.88 4.8, 621216.13 7677614.12 0, 621220.53 7677617.69 0, 621225.9 7677622.24 0, 621226.37 7677622.61 0, 621227.4 7677621.37 6.4))</t>
  </si>
  <si>
    <t>['FV86 S3D1 m7044-7150']</t>
  </si>
  <si>
    <t>LINESTRING Z (621570.63 7677379.98 0, 621569.73 7677368.52 7.26, 621568.67 7677360.72 7.26, 621568.01 7677356.35 7.26, 621566.6 7677353.37 7.26, 621565.71 7677351.35 6.1, 621555 7677350.32 6.1, 621545.34 7677349.31 6.1, 621533.22 7677348.09 6.18, 621523.27 7677347.09 6.31, 621513.36 7677346.36 6.31, 621503.34 7677345.34 0, 621491.33 7677343.88 0, 621478.5 7677342.58 7.02, 621471.56 7677341.86 7.02, 621467.75 7677341.5 4.03, 621466.27 7677341.42 4.03, 621465.48 7677341.42 7.2, 621464.36 7677351.76 7.55, 621465.48 7677351.66 7.55, 621466.07 7677345.76 7.55, 621466.36 7677344.84 7.55, 621469.24 7677345.04 7.55, 621477.33 7677346.07 7.55, 621493.18 7677347.5 7.55, 621515.7 7677349.95 7.55, 621530.84 7677351.77 7.55, 621547.34 7677356.25 7.55, 621551.89 7677366.42 8.07, 621559.03 7677370.5 8.07, 621563.71 7677374.5 8.07, 621568.36 7677381.52 8.07, 621570.11 7677381.32 8.07, 621570.63 7677379.98 0)</t>
  </si>
  <si>
    <t>POLYGON Z ((621570.63 7677379.98 0, 621569.73 7677368.52 7.26, 621568.67 7677360.72 7.26, 621568.01 7677356.35 7.26, 621566.6 7677353.37 7.26, 621565.71 7677351.35 6.1, 621555 7677350.32 6.1, 621545.34 7677349.31 6.1, 621533.22 7677348.09 6.18, 621523.27 7677347.09 6.31, 621513.36 7677346.36 6.31, 621503.34 7677345.34 0, 621491.33 7677343.88 0, 621478.5 7677342.58 7.02, 621471.56 7677341.86 7.02, 621467.75 7677341.5 4.03, 621466.27 7677341.42 4.03, 621465.48 7677341.42 7.2, 621464.36 7677351.76 7.55, 621465.48 7677351.66 7.55, 621466.07 7677345.76 7.55, 621466.36 7677344.84 7.55, 621469.24 7677345.04 7.55, 621477.33 7677346.07 7.55, 621493.18 7677347.5 7.55, 621515.7 7677349.95 7.55, 621530.84 7677351.77 7.55, 621547.34 7677356.25 7.55, 621551.89 7677366.42 8.07, 621559.03 7677370.5 8.07, 621563.71 7677374.5 8.07, 621568.36 7677381.52 8.07, 621570.11 7677381.32 8.07, 621570.63 7677379.98 0))</t>
  </si>
  <si>
    <t>['FV86 S3D1 m6933-7041']</t>
  </si>
  <si>
    <t>LINESTRING Z (621684.33 7677349.44 7.55, 621684.99 7677347.3 0, 621685.18 7677343.63 0, 621682.42 7677344.25 0, 621673.5 7677345.62 0, 621667.74 7677346.22 0, 621660.43 7677346.85 0, 621653.12 7677347.63 8.82, 621646.4 7677348.31 8.82, 621637.11 7677349.24 8.82, 621629.69 7677349.9 8.82, 621619.71 7677350.89 8.82, 621611.12 7677351.71 8.82, 621602.53 7677352.26 8.82, 621592.68 7677352.43 6.53, 621587.89 7677352.45 6.53, 621581.02 7677352.29 6.53, 621575.07 7677352.4 6.21, 621574.87 7677353.6 6.2, 621574.78 7677356.57 6.22, 621574.35 7677364.64 6.78, 621574.99 7677373.16 3.78, 621575.54 7677379.07 0, 621578.34 7677378.54 3.78, 621578.51 7677366.89 6.62, 621581 7677368.37 6.62, 621586.32 7677370.06 6.62, 621587.16 7677370.29 6.62, 621591.47 7677370.23 6.62, 621593.55 7677368.22 6.62, 621594.53 7677363.27 6.62, 621608.11 7677358.95 6.62, 621613.03 7677359.15 6.62, 621625.73 7677356.82 6.62, 621631.76 7677355.51 6.62, 621644.51 7677353.82 7.56, 621650.44 7677352.62 7.56, 621651.44 7677352.36 7.56, 621663.72 7677356.25 7.55, 621668.22 7677352.91 7.55, 621677.32 7677349.36 0, 621684.33 7677349.44 7.55)</t>
  </si>
  <si>
    <t>POLYGON Z ((621684.33 7677349.44 7.55, 621684.99 7677347.3 0, 621685.18 7677343.63 0, 621682.42 7677344.25 0, 621673.5 7677345.62 0, 621667.74 7677346.22 0, 621660.43 7677346.85 0, 621653.12 7677347.63 8.82, 621646.4 7677348.31 8.82, 621637.11 7677349.24 8.82, 621629.69 7677349.9 8.82, 621619.71 7677350.89 8.82, 621611.12 7677351.71 8.82, 621602.53 7677352.26 8.82, 621592.68 7677352.43 6.53, 621587.89 7677352.45 6.53, 621581.02 7677352.29 6.53, 621575.07 7677352.4 6.21, 621574.87 7677353.6 6.2, 621574.78 7677356.57 6.22, 621574.35 7677364.64 6.78, 621574.99 7677373.16 3.78, 621575.54 7677379.07 0, 621578.34 7677378.54 3.78, 621578.51 7677366.89 6.62, 621581 7677368.37 6.62, 621586.32 7677370.06 6.62, 621587.16 7677370.29 6.62, 621591.47 7677370.23 6.62, 621593.55 7677368.22 6.62, 621594.53 7677363.27 6.62, 621608.11 7677358.95 6.62, 621613.03 7677359.15 6.62, 621625.73 7677356.82 6.62, 621631.76 7677355.51 6.62, 621644.51 7677353.82 7.56, 621650.44 7677352.62 7.56, 621651.44 7677352.36 7.56, 621663.72 7677356.25 7.55, 621668.22 7677352.91 7.55, 621677.32 7677349.36 0, 621684.33 7677349.44 7.55))</t>
  </si>
  <si>
    <t>2020-06-25</t>
  </si>
  <si>
    <t>['KV2000 S1D1 m139-147']</t>
  </si>
  <si>
    <t>LINESTRING Z (653463.47 7731691.4 7.801332243084908, 653465.9 7731692.93 7.821328338980675, 653470.13 7731695.56 7.821321633458138, 653473.46 7731697.63 7.821316358447075)</t>
  </si>
  <si>
    <t>[20000]</t>
  </si>
  <si>
    <t>['KV20000 S1D1 m205-211']</t>
  </si>
  <si>
    <t>LINESTRING Z (653454.33 7731661.03 7.061414378285408, 653455.79 7731658.78 6.921420666575432, 653456.95 7731656.98 6.811425703167916, 653456.65 7731655.56 6.731429562568665, 653455.92 7731655.72 6.991429055929184, 653453.78 7731656.27 7.001427357196808, 653450.85 7731656.91 6.931425330638886, 653451.13 7731658.1 7.001422097086906, 653451.77 7731659.15 7.031419280767441, 653452.67 7731660.05 7.0514168965816495, 653454.29 7731661.02 7.041414393186569)</t>
  </si>
  <si>
    <t>POLYGON Z ((653454.33 7731661.03 7.061414378285408, 653455.79 7731658.78 6.921420666575432, 653456.95 7731656.98 6.811425703167916, 653456.65 7731655.56 6.731429562568665, 653455.92 7731655.72 6.991429055929184, 653453.78 7731656.27 7.001427357196808, 653450.85 7731656.91 6.931425330638886, 653451.13 7731658.1 7.001422097086906, 653451.77 7731659.15 7.031419280767441, 653452.67 7731660.05 7.0514168965816495, 653454.29 7731661.02 7.041414393186569, 653454.33 7731661.03 7.061414378285408))</t>
  </si>
  <si>
    <t>['KV20000 S1D1 m204-213']</t>
  </si>
  <si>
    <t>LINESTRING Z (653460.64 7731667.78 7.981396496891975, 653458.35 7731669.55 7.9613914453983305, 653458.01 7731669.75 7.971390864253044, 653457.64 7731669.9 7.981390417218208, 653457.17 7731669.98 7.981390148997306, 653455.18 7731670.4 7.891388807892799, 653452.8 7731670.87 7.831387273073196, 653452.64 7731670.13 7.761389284729958, 653454.46 7731667.28 7.571397271752358, 653455.88 7731665.08 7.46140342593193, 653457.18 7731665.44 7.561402576565743, 653458.7 7731666.07 7.691400997042656, 653459.95 7731666.99 7.8413985979557035, 653460.58 7731667.7 7.891396720409393)</t>
  </si>
  <si>
    <t>POLYGON Z ((653460.64 7731667.78 7.981396496891975, 653458.35 7731669.55 7.9613914453983305, 653458.01 7731669.75 7.971390864253044, 653457.64 7731669.9 7.981390417218208, 653457.17 7731669.98 7.981390148997306, 653455.18 7731670.4 7.891388807892799, 653452.8 7731670.87 7.831387273073196, 653452.64 7731670.13 7.761389284729958, 653454.46 7731667.28 7.571397271752358, 653455.88 7731665.08 7.46140342593193, 653457.18 7731665.44 7.561402576565743, 653458.7 7731666.07 7.691400997042656, 653459.95 7731666.99 7.8413985979557035, 653460.58 7731667.7 7.891396720409393, 653460.64 7731667.78 7.981396496891975))</t>
  </si>
  <si>
    <t>['KV20000 S1D1 m189-200']</t>
  </si>
  <si>
    <t>LINESTRING Z (653473.97 7731659.49 7.88142039835453, 653472.8 7731659.92 7.8814191168546675, 653471.17 7731660.63 7.8914170306921, 653470.31 7731661.07 7.891415749192237, 653469.51 7731659.75 7.721419280767441, 653468.41 7731658.5 7.571422588825226, 653466.8 7731657.5 7.471425181627274, 653465.2 7731656.75 7.321427074074745, 653463.48 7731656.04 7.061428862214089, 653462.56 7731655.67 6.901429786086083, 653462.06 7731655.45 6.821430352330208, 653463.15 7731653.72 6.761435180306435, 653463.3 7731653.99 6.881434450149536, 653463.63 7731653.9 7.011434733271599, 653464.88 7731653.63 7.051435582637787, 653466.68 7731653.18 7.101436968445778, 653469.27 7731652.58 7.091438831090927, 653471.14 7731652.11 7.111440276503563, 653472.46 7731651.8 6.931441245079041, 653473 7731654.45 7.281434062719345, 653473.67 7731657.91 7.671424674987793, 653473.97 7731659.37 7.871420726180077)</t>
  </si>
  <si>
    <t>POLYGON Z ((653473.97 7731659.49 7.88142039835453, 653472.8 7731659.92 7.8814191168546675, 653471.17 7731660.63 7.8914170306921, 653470.31 7731661.07 7.891415749192237, 653469.51 7731659.75 7.721419280767441, 653468.41 7731658.5 7.571422588825226, 653466.8 7731657.5 7.471425181627274, 653465.2 7731656.75 7.321427074074745, 653463.48 7731656.04 7.061428862214089, 653462.56 7731655.67 6.901429786086083, 653462.06 7731655.45 6.821430352330208, 653463.15 7731653.72 6.761435180306435, 653463.3 7731653.99 6.881434450149536, 653463.63 7731653.9 7.011434733271599, 653464.88 7731653.63 7.051435582637787, 653466.68 7731653.18 7.101436968445778, 653469.27 7731652.58 7.091438831090927, 653471.14 7731652.11 7.111440276503563, 653472.46 7731651.8 6.931441245079041, 653473 7731654.45 7.281434062719345, 653473.67 7731657.91 7.671424674987793, 653473.97 7731659.37 7.871420726180077, 653473.97 7731659.49 7.88142039835453))</t>
  </si>
  <si>
    <t>['KV20000 S1D1 m172-180']</t>
  </si>
  <si>
    <t>LINESTRING Z (653486.68 7731657.82 7.841426090598106, 653484.95 7731657.66 7.91142637372017, 653483.69 7731657.67 7.831426239609718, 653482.89 7731657.65 7.871426209807396, 653482.33 7731654.97 7.591433466672897, 653481.69 7731651.95 7.281441632509232, 653481.23 7731649.64 7.021447890996933, 653481.86 7731649.5 7.171448323130607, 653485.41 7731648.61 7.231451050043106, 653487.16 7731648.21 7.1914522868394855, 653488.73 7731647.7 7.191453806757927, 653488.98 7731648.83 7.281450752019882, 653489.09 7731650.03 7.321447488665581, 653488.97 7731653.85 7.371437087655067, 653487.04 7731655.21 7.641433228254319, 653486.78 7731656.71 7.741429115533829, 653486.72 7731657.67 7.83142650783062)</t>
  </si>
  <si>
    <t>POLYGON Z ((653486.68 7731657.82 7.841426090598106, 653484.95 7731657.66 7.91142637372017, 653483.69 7731657.67 7.831426239609718, 653482.89 7731657.65 7.871426209807396, 653482.33 7731654.97 7.591433466672897, 653481.69 7731651.95 7.281441632509232, 653481.23 7731649.64 7.021447890996933, 653481.86 7731649.5 7.171448323130607, 653485.41 7731648.61 7.231451050043106, 653487.16 7731648.21 7.1914522868394855, 653488.73 7731647.7 7.191453806757927, 653488.98 7731648.83 7.281450752019882, 653489.09 7731650.03 7.321447488665581, 653488.97 7731653.85 7.371437087655067, 653487.04 7731655.21 7.641433228254319, 653486.78 7731656.71 7.741429115533829, 653486.72 7731657.67 7.83142650783062, 653486.68 7731657.82 7.841426090598106))</t>
  </si>
  <si>
    <t>['KV20000 S1D1 m141-148']</t>
  </si>
  <si>
    <t>LINESTRING Z (653517.79 7731648.29 7.7414546114206315, 653514.56 7731651.62 7.731445327997208, 653516.15 7731652.33 7.741443554759026, 653517.5 7731653.22 7.691441259980202, 653518.45 7731654.05 7.751439084410667, 653518.89 7731654.74 7.741437266469002, 653519.13 7731655.27 7.751435850858688, 653519.19 7731656.61 7.791432229876518, 653519.53 7731656.62 7.77143224477768, 653520.06 7731656.57 7.781432423591614, 653522.24 7731656.21 7.701433585882187, 653522.28 7731656.17 8.031433690190315, 653522.48 7731656.13 8.071433809399604, 653521.94 7731652.81 7.95144273519516, 653521.27 7731648.84 7.791453404426575, 653517.84 7731648.27 7.7314546710252765)</t>
  </si>
  <si>
    <t>POLYGON Z ((653517.79 7731648.29 7.7414546114206315, 653514.56 7731651.62 7.731445327997208, 653516.15 7731652.33 7.741443554759026, 653517.5 7731653.22 7.691441259980202, 653518.45 7731654.05 7.751439084410667, 653518.89 7731654.74 7.741437266469002, 653519.13 7731655.27 7.751435850858688, 653519.19 7731656.61 7.791432229876518, 653519.53 7731656.62 7.77143224477768, 653520.06 7731656.57 7.781432423591614, 653522.24 7731656.21 7.701433585882187, 653522.28 7731656.17 8.031433690190315, 653522.48 7731656.13 8.071433809399604, 653521.94 7731652.81 7.95144273519516, 653521.27 7731648.84 7.791453404426575, 653517.84 7731648.27 7.7314546710252765, 653517.79 7731648.29 7.7414546114206315))</t>
  </si>
  <si>
    <t>['KV20000 S1D1 m142-149']</t>
  </si>
  <si>
    <t>LINESTRING Z (653517.57 7731640.65 7.261475264430047, 653516.35 7731640.97 7.221474295854569, 653513.56 7731641.61 7.301472343802452, 653512.08 7731641.96 7.251471285820007, 653511.73 7731642.14 7.231470764279366, 653511.57 7731642.4 7.221470049023629, 653511.89 7731643.78 7.321466338634491, 653512.45 7731644.93 7.411463268995285, 653512.93 7731645.63 7.461461406350136, 653514.07 7731646.57 7.6114589625597, 653515.07 7731647.27 7.671457144618034, 653516.24 7731646.08 7.681460467576981, 653517.16 7731645.13 7.641463105082512, 653518.23 7731641.69 7.361472492814064, 653518.05 7731641.65 7.331472597122192, 653517.88 7731641.45 7.311473118662835, 653517.62 7731640.64 7.301475294232368)</t>
  </si>
  <si>
    <t>POLYGON Z ((653517.57 7731640.65 7.261475264430047, 653516.35 7731640.97 7.221474295854569, 653513.56 7731641.61 7.301472343802452, 653512.08 7731641.96 7.251471285820007, 653511.73 7731642.14 7.231470764279366, 653511.57 7731642.4 7.221470049023629, 653511.89 7731643.78 7.321466338634491, 653512.45 7731644.93 7.411463268995285, 653512.93 7731645.63 7.461461406350136, 653514.07 7731646.57 7.6114589625597, 653515.07 7731647.27 7.671457144618034, 653516.24 7731646.08 7.681460467576981, 653517.16 7731645.13 7.641463105082512, 653518.23 7731641.69 7.361472492814064, 653518.05 7731641.65 7.331472597122192, 653517.88 7731641.45 7.311473118662835, 653517.62 7731640.64 7.301475294232368, 653517.57 7731640.65 7.261475264430047))</t>
  </si>
  <si>
    <t>['KV2000 S1D1 m135-145']</t>
  </si>
  <si>
    <t>LINESTRING Z (653476.11 7731690.08 8.011337220072747, 653473.47 7731689.69 8.031337994933128, 653469.22 7731688.6 7.991340513229371, 653465.89 7731687.66 7.9713427186012265, 653464.71 7731687.31 7.921343553066254)</t>
  </si>
  <si>
    <t>['KV20000 S1D1 m142-147']</t>
  </si>
  <si>
    <t>LINESTRING Z (653521.77 7731671.08 8.261393367648125, 653524.93 7731670.62 8.201394917368889, 653524 7731665.17 8.13140953540802, 653522.61 7731656.87 8.011431827545167, 653522.37 7731656.93 8.051431648731231, 653522.33 7731656.88 7.731431782841683, 653520.16 7731657.25 7.7214305907487875, 653519.53 7731657.3 7.751430397033691, 653519.39 7731657.33 7.741430307626724, 653519.31 7731657.84 7.951428921818733, 653519.47 7731657.82 7.92142899632454, 653519.6 7731658.56 8.01142699956894, 653519.88 7731660.17 8.171422678232194, 653520.27 7731662.57 8.221416226029396, 653520.75 7731665.48 8.29140840291977, 653521.67 7731670.65 8.301394529938698)</t>
  </si>
  <si>
    <t>POLYGON Z ((653521.77 7731671.08 8.261393367648125, 653524.93 7731670.62 8.201394917368889, 653524 7731665.17 8.13140953540802, 653522.61 7731656.87 8.011431827545167, 653522.37 7731656.93 8.051431648731231, 653522.33 7731656.88 7.731431782841683, 653520.16 7731657.25 7.7214305907487875, 653519.53 7731657.3 7.751430397033691, 653519.39 7731657.33 7.741430307626724, 653519.31 7731657.84 7.951428921818733, 653519.47 7731657.82 7.92142899632454, 653519.6 7731658.56 8.01142699956894, 653519.88 7731660.17 8.171422678232194, 653520.27 7731662.57 8.221416226029396, 653520.75 7731665.48 8.29140840291977, 653521.67 7731670.65 8.301394529938698, 653521.77 7731671.08 8.261393367648125))</t>
  </si>
  <si>
    <t>['KV2000 S1D1 m144-178']</t>
  </si>
  <si>
    <t>LINESTRING Z (653433.3 7731703.57 7.191295481920243, 653432.52 7731700.98 7.131302500367164, 653435.73 7731696.11 7.191316239237786, 653439.36 7731690.57 7.341331855654716, 653444.2 7731689.59 7.461335089206695, 653448.96 7731688.64 7.591338203549385, 653451.49 7731688.14 7.661339857578278, 653457.42 7731691.84 7.711330380439758, 653463.15 7731695.41 7.741321260929108, 653467.04 7731697.81 7.791315151453018)</t>
  </si>
  <si>
    <t>POLYGON ((653433.0662243682 7731701.059832867, 653436.1474701501 7731696.385170263, 653436.1482186315 7731696.384031342, 653439.6638154273 7731691.018630172, 653444.298542959 7731690.080193605, 653449.0573999425 7731689.130421728, 653451.3930228398 7731688.668836175, 653457.1553221099 7731692.264199969, 653462.885599945 7731695.8343731975, 653462.8874631936 7731695.835528407, 653466.7774631936 7731698.235528407, 653467.3025368064 7731697.3844715925, 653463.4134696568 7731694.985047131, 653457.6845388558 7731691.41571328, 653451.7546778901 7731687.71580003, 653451.7136399071 7731687.69280296, 653451.6706222801 7731687.673764446, 653451.6260057982 7731687.658853013, 653451.5801854032 7731687.648200657, 653451.5335666938 7731687.641901673, 653451.4865623353 7731687.640011817, 653451.4395884066 7731687.64254782, 653451.3930607177 7731687.649487232, 653448.8630607177 7731688.149487232, 653448.8621400375 7731688.149670082, 653444.1021400375 7731689.099670082, 653444.1007739289 7731689.099944711, 653439.260773929 7731690.079944711, 653439.2128849551 7731690.092132693, 653439.1664329426 7731690.1089882925, 653439.1218716163 7731690.130346872, 653439.0796362335 7731690.155999809, 653439.0401393326 7731690.185696535, 653439.0037667038 7731690.219146985, 653438.9708736202 7731690.256024427, 653438.9417813685 7731690.295968658, 653435.3121547727 7731695.835398779, 653432.1025298499 7731700.704829738, 653432.0777832059 7731700.746666961, 653432.0572159524 7731700.790709416, 653432.0410224705 7731700.8365408555, 653432.0293558046 7731700.883728128, 653432.0223262165 7731700.931825264, 653432.0200001426 7731700.980377701, 653432.022399567 7731701.028926568, 653432.0295018124 7731701.07701303, 653432.0412397557 7731701.124182622, 653432.8212397557 7731703.714182622, 653433.7787602444 7731703.425817379, 653433.0662243682 7731701.059832867))</t>
  </si>
  <si>
    <t>['KV20000 S1D1 m211-234']</t>
  </si>
  <si>
    <t>LINESTRING Z (653428.78 7731662.5 6.85140791118145, 653432.71 7731661.48 6.891411100029946, 653443.48 7731658.8 6.931419474482537, 653447.48 7731657.79 7.021422618627549, 653450.81 7731656.95 6.971425226330758)</t>
  </si>
  <si>
    <t>POLYGON ((653432.833176616 7731661.964596572, 653443.6007377238 7731659.285203464, 653443.6024081472 7731659.284784741, 653447.6023506083 7731658.27479927, 653450.9322952314 7731657.434813239, 653450.6877047687 7731656.465186762, 653447.3577047687 7731657.305186762, 653443.3584268042 7731658.3150044335, 653432.5892622762 7731660.994796536, 653432.5843907135 7731660.996034808, 653428.6543907135 7731662.016034808, 653428.9056092865 7731662.983965192, 653432.833176616 7731661.964596572))</t>
  </si>
  <si>
    <t>['KV20000 S1D1 m200-208']</t>
  </si>
  <si>
    <t>LINESTRING Z (653455.9 7731665.09 7.43140341103077, 653457.8 7731662.12 7.271411710977555, 653460.3 7731658.19 7.031422693133354, 653462.05 7731655.45 6.841430352330208)</t>
  </si>
  <si>
    <t>['KV20000 S1D1 m209-237']</t>
  </si>
  <si>
    <t>LINESTRING Z (653454.29 7731661.08 7.051414229273796, 653452.43 7731664 7.211406063437462, 653449.28 7731668.9 7.5213923245668415, 653447.31 7731671.98 7.66138369679451, 653443.49 7731672.73 7.5613812530040745, 653439.29 7731673.56 7.401378540992737, 653436.34 7731674.13 7.311376678347588, 653432.42 7731671.68 7.141383011341095, 653429.84 7731670.04 6.981387273073197, 653427.45 7731668.5 6.851391266584397)</t>
  </si>
  <si>
    <t>POLYGON ((653452.0088476521 7731663.7304971535, 653448.8594107623 7731668.629621205, 653448.858789806 7731668.630589584, 653447.0039496833 7731671.530542669, 653443.3936715149 7731672.239366917, 653443.3930651605 7731672.239486354, 653439.1941043786 7731673.069280984, 653436.4382324897 7731673.601771485, 653432.6866166361 7731671.257011577, 653430.1095271083 7731669.6188616445, 653427.720823054 7731668.079696689, 653427.1791769459 7731668.920303311, 653429.569176946 7731670.460303311, 653429.5717739438 7731670.461965381, 653432.1517739439 7731672.101965381, 653432.1550005301 7731672.103999152, 653436.07500053 7731674.553999152, 653436.1158261981 7731674.576929644, 653436.1586179087 7731674.5959404865, 653436.2030003712 7731674.610864951, 653436.2485843437 7731674.621572149, 653436.2949700472 7731674.627968175, 653436.341750671 7731674.629996935, 653436.3885159411 7731674.627640637, 653436.4348557183 7731674.620919946, 653439.3848557184 7731674.050919945, 653439.3869348395 7731674.050513646, 653443.5866320155 7731673.2205734905, 653447.4063284851 7731672.470633084, 653447.4553007627 7731672.4584220825, 653447.502792488 7731672.441336165, 653447.5483197406 7731672.419549431, 653447.5914186175 7731672.393283876, 653447.6316499596 7731672.362807137, 653447.668603827 7731672.328429757, 653447.7019036756 7731672.290502029, 653447.7312101941 7731672.249410417, 653449.7009003058 7731669.169894912, 653452.8505892378 7731664.270378795, 653452.8517117669 7731664.268624619, 653454.7117117669 7731661.348624619, 653453.8682882332 7731660.811375381, 653452.0088476521 7731663.7304971535))</t>
  </si>
  <si>
    <t>['KV20000 S1D1 m193-204']</t>
  </si>
  <si>
    <t>LINESTRING Z (653470.33 7731661.09 7.911415689587594, 653468.47 7731662.19 7.901412515640258, 653464.41 7731664.91 7.951404707431793, 653460.62 7731667.76 7.95139655649662)</t>
  </si>
  <si>
    <t>['KV20000 S1D1 m149-172']</t>
  </si>
  <si>
    <t>LINESTRING Z (653488.75 7731647.69 7.26145383656025, 653492.39 7731646.79 7.2214565783739095, 653498.61 7731645.36 7.281460974216461, 653505.46 7731643.68 7.251466100215912, 653509.1 7731642.82 7.271468707919121, 653511.57 7731642.38 7.261470108628274)</t>
  </si>
  <si>
    <t>POLYGON ((653492.5060285734 7731647.27636839, 653498.7220292024 7731645.84728786, 653498.7290981471 7731645.845608517, 653505.5770344803 7731644.166114641, 653509.2014062274 7731643.309807031, 653511.6576883831 7731642.872250696, 653511.4823116168 7731641.887749304, 653509.0123116168 7731642.3277493045, 653508.9850333132 7731642.333396814, 653505.3450333131 7731643.193396813, 653505.3409018528 7731643.194391483, 653498.4944302526 7731644.873526124, 653492.2779707976 7731646.302712141, 653492.2699876247 7731646.304616616, 653488.6299876247 7731647.2046166165, 653488.8700123753 7731648.175383384, 653492.5060285734 7731647.27636839))</t>
  </si>
  <si>
    <t>['KV20000 S1D1 m147-176']</t>
  </si>
  <si>
    <t>LINESTRING Z (653515.07 7731647.26 7.701457174420357, 653512.93 7731649.43 7.741451124548912, 653511.37 7731651.02 7.781446684002876, 653510.04 7731652.35 7.821442973613739, 653509.79 7731652.35 7.831442958712578, 653509.2 7731652.48 7.8314425563812256, 653508.71 7731652.78 7.831441692113876, 653506.9 7731654.28 7.861437475085259, 653505.18 7731655.54 7.841433913707733, 653503 7731656.75 7.861430441737175, 653501.01 7731657.67 7.841427774429321, 653499.36 7731658.22 7.88142613530159, 653497.82 7731658.5 7.871425241231918, 653496.32 7731658.67 7.861424645185471, 653494.98 7731658.75 7.891424302458763, 653493.97 7731658.71 7.861424332261086, 653492.43 7731658.58 7.861424540877342, 653490.26 7731658.21 7.861425345540047, 653488.34 7731658 7.861425747871399, 653486.7 7731657.81 7.851426120400429)</t>
  </si>
  <si>
    <t>POLYGON ((653512.573994305 7731649.078916042, 653512.5730956201 7731649.079829665, 653511.014763053 7731650.668130166, 653509.8328932193 7731651.85, 653509.79 7731651.85, 653509.7358877882 7731651.852936756, 653509.6824112339 7731651.861712526, 653509.0924112338 7731651.991712526, 653509.0390634348 7731652.006608596, 653508.9876905725 7731652.027313898, 653508.9389230702 7731652.053574349, 653508.4489230702 7731652.353574349, 653508.3909550362 7731652.395019078, 653506.5924636999 7731653.885481511, 653504.9098723265 7731655.118077517, 653502.7734580814 7731656.303885424, 653500.8254630562 7731657.204466038, 653499.2355965432 7731657.734421543, 653497.7470436866 7731658.005067516, 653496.2769175469 7731658.171681812, 653494.9749820551 7731658.249409304, 653494.0009377279 7731658.2108332915, 653492.4931625229 7731658.083553567, 653490.3440405693 7731657.717113418, 653490.3143632957 7731657.712964154, 653488.3959531776 7731657.503138048, 653486.7575419504 7731657.313322112, 653486.6424580495 7731658.306677887, 653488.2824580495 7731658.496677888, 653488.2856367043 7731658.497035846, 653490.190735869 7731658.705406067, 653492.3459594308 7731659.072886582, 653492.387941795 7731659.078227967, 653493.927941795 7731659.208227967, 653493.9502135309 7731659.2096083425, 653494.9602135309 7731659.249608343, 653495.0097976901 7731659.249111308, 653496.34979769 7731659.169111308, 653496.3763062094 7731659.166819495, 653497.8763062094 7731658.996819495, 653497.9094427191 7731658.991934955, 653499.4494427191 7731658.711934955, 653499.518113883 7731658.694341648, 653501.168113883 7731658.144341649, 653501.2198182973 7731658.1238461, 653503.2098182973 7731657.2038461, 653503.2426511789 7731657.187173198, 653505.4226511789 7731655.977173198, 653505.4754784647 7731655.943351555, 653507.1954784647 7731654.683351555, 653507.2190449638 7731654.664980923, 653509.0015413818 7731653.187773947, 653509.3895230303 7731652.950234162, 653509.8444319179 7731652.85, 653510.04 7731652.85, 653510.0890085703 7731652.847592363, 653510.1375451612 7731652.84039264, 653510.1851423387 7731652.828470168, 653510.2313417164 7731652.811939766, 653510.2756983687 7731652.790960631, 653510.3177851167 7731652.765734806, 653510.3571966423 7731652.736505226, 653510.3935533906 7731652.70355339, 653511.7235533906 7731651.37355339, 653511.7269043799 7731651.370170334, 653513.2864555066 7731649.78062784, 653515.426005695 7731647.611083957, 653514.7139943049 7731646.908916042, 653512.573994305 7731649.078916042))</t>
  </si>
  <si>
    <t>['KV20000 S1D1 m145-151']</t>
  </si>
  <si>
    <t>LINESTRING Z (653519.21 7731656.63 7.801432185173035, 653518.67 7731656.48 7.791432542800903, 653518.22 7731656.27 7.791433064341545, 653515.8 7731655.06 7.821436133980751, 653512.63 7731653.54 7.831439978480339, 653514.51 7731651.61 7.82144535779953)</t>
  </si>
  <si>
    <t>POLYGON Z ((653519.21 7731656.63 7.801432185173035, 653518.67 7731656.48 7.791432542800903, 653518.22 7731656.27 7.791433064341545, 653515.8 7731655.06 7.821436133980751, 653512.63 7731653.54 7.831439978480339, 653514.51 7731651.61 7.82144535779953, 653519.21 7731656.63 7.801432185173035))</t>
  </si>
  <si>
    <t>['KV2000 S1D1 m86-87']</t>
  </si>
  <si>
    <t>LINESTRING Z (653521.77 7731671.12 8.281393263339996, 653522.27 7731674.21 8.261384963393212, 653522.79 7731677.44 8.251376305818559, 653523.29 7731680.49 8.251368110179902, 653523.62 7731680.45 8.261368259191514)</t>
  </si>
  <si>
    <t>['KV2000 S1D1 m86-99']</t>
  </si>
  <si>
    <t>LINESTRING Z (653518.97 7731684.36 7.981357232332229, 653515.23 7731682.48 8.141361941099166, 653510.66 7731680.19 8.231367663145065, 653509.6 7731674.53 8.131382877230644, 653507.73 7731664.31 7.901410384774207, 653506.83 7731659.44 7.871423497796059, 653508.82 7731657.41 7.8614291602373125, 653512.14 7731654.03 7.821438607573509, 653515.55 7731655.71 7.771434360742569, 653518.14 7731656.95 7.771431231498719, 653518.49 7731657.11 7.781430829167366, 653518.92 7731657.23 7.7714305311441425, 653519.17 7731657.3 7.781430367231369, 653519.37 7731657.33 7.761430307626725)</t>
  </si>
  <si>
    <t>POLYGON ((653515.4545618697 7731682.033265217, 653515.453997975 7731682.032982208, 653511.1057896124 7731679.854120687, 653510.0916472726 7731674.438983288, 653508.2218345476 7731664.22000679, 653508.221674444 7731664.219136139, 653507.3688747647 7731659.60454232, 653509.1768795146 7731657.760195765, 653512.2433516844 7731654.638305424, 653515.3290276936 7731656.15852117, 653515.3340874312 7731656.160978672, 653517.9240874312 7731657.400978672, 653517.9321201197 7731657.404737238, 653518.2821201197 7731657.564737238, 653518.3183341386 7731657.579607104, 653518.355600516 7731657.591598151, 653518.7853928985 7731657.711540212, 653519.0351850385 7731657.78148201, 653519.0958297729 7731657.794468177, 653519.2958297728 7731657.824468177, 653519.4441702272 7731656.835531823, 653519.2748960672 7731656.810140699, 653519.0548149616 7731656.74851799, 653518.6621936565 7731656.638949061, 653518.3519128994 7731656.497106428, 653515.7684493415 7731655.260235844, 653512.3609723065 7731653.58147883, 653512.3168147635 7731653.562307217, 653512.2710181904 7731653.547471003, 653512.2240071106 7731653.537107714, 653512.1762173051 7731653.531313418, 653512.1280917742 7731653.530141826, 653512.0800766295 7731653.533603798, 653512.03261696 7731653.541667243, 653511.9861527052 7731653.554257412, 653511.9411145775 7731653.5712576015, 653511.8979200694 7731653.592510221, 653511.8569695835 7731653.617818264, 653511.818642721 7731653.646947132, 653511.7832947626 7731653.6796268085, 653508.4632947625 7731657.059626808, 653506.4729463402 7731659.089981881, 653506.4410970589 7731659.12574771, 653506.4128156841 7731659.1643965775, 653506.388361677 7731659.20557391, 653506.3679593856 7731659.248901934, 653506.3517959864 7731659.2939831475, 653506.3400197669 7731659.34040396, 653506.3327387657 7731659.387738495, 653506.3300197807 7731659.435552492, 653506.3318877565 7731659.483407292, 653506.3383255559 7731659.530863861, 653507.2382451233 7731664.40042863, 653509.1081654524 7731674.61999321, 653509.1085442582 7731674.622039415, 653510.1685442582 7731680.282039415, 653510.1805197658 7731680.331769902, 653510.197513579 7731680.380016606, 653510.2193478383 7731680.426274571, 653510.2457940233 7731680.470059653, 653510.2765753445 7731680.510913593, 653510.3113696405 7731680.548408806, 653510.3498127494 7731680.582152866, 653510.3915023205 7731680.611792599, 653510.436002025 7731680.637017793, 653515.0057198576 7731682.926876401, 653518.7454381302 7731684.806734784, 653519.1945618697 7731683.913265217, 653515.4545618697 7731682.033265217))</t>
  </si>
  <si>
    <t>['KV2000 S1D1 m83-91']</t>
  </si>
  <si>
    <t>LINESTRING Z (653526.5 7731680.02 8.19136970460415, 653523.62 7731680.47 8.291368199586868, 653522.32 7731681.48 8.241365353465081, 653520.18 7731683.29 8.06136024236679, 653518.99 7731684.35 7.981357262134551, 653520.08 7731684.91 7.9613558614254, 653521.43 7731685.61 7.901354103088378, 653524.26 7731685.18 7.7613555634021765, 653527.27 7731684.75 7.671357023715973, 653526.99 7731683.02 8.011361657977105, 653526.77 7731681.74 8.231365085244178, 653526.53 7731680.18 8.181369272470475)</t>
  </si>
  <si>
    <t>POLYGON Z ((653526.5 7731680.02 8.19136970460415, 653523.62 7731680.47 8.291368199586868, 653522.32 7731681.48 8.241365353465081, 653520.18 7731683.29 8.06136024236679, 653518.99 7731684.35 7.981357262134551, 653520.08 7731684.91 7.9613558614254, 653521.43 7731685.61 7.901354103088378, 653524.26 7731685.18 7.7613555634021765, 653527.27 7731684.75 7.671357023715973, 653526.99 7731683.02 8.011361657977105, 653526.77 7731681.74 8.231365085244178, 653526.53 7731680.18 8.181369272470475, 653526.5 7731680.02 8.19136970460415))</t>
  </si>
  <si>
    <t>['KV2000 S1D1 m93-122']</t>
  </si>
  <si>
    <t>LINESTRING Z (653489.94 7731694.35 7.861327102184296, 653488.75 7731688.29 8.061343448758125, 653493.49 7731686.42 8.081349021792413, 653497.35 7731684.99 8.081353313326836, 653500.59 7731684 8.111356323361397, 653503.53 7731683.27 8.12135860323906, 653507.23 7731682.46 8.211361181139946, 653509.11 7731682.11 8.221362313628196, 653509.71 7731682.06 8.221362507343292, 653510.19 7731682.09 8.22136247754097, 653510.74 7731682.17 8.231362313628196, 653511.32 7731682.44 8.191361643075943, 653513.58 7731683.54 8.161358901262284, 653515.94 7731684.74 8.081355891227723, 653517.9 7731685.71 7.99135347723961)</t>
  </si>
  <si>
    <t>POLYGON ((653489.3208726123 7731688.602286255, 653493.6686149824 7731686.887037682, 653497.5100386951 7731685.463919572, 653500.7233943453 7731684.482060901, 653503.643731125 7731683.756943264, 653507.329244487 7731682.950114664, 653509.1766873972 7731682.606175825, 653509.7151942636 7731682.561300252, 653510.1383336177 7731682.587746462, 653510.5954643121 7731682.654238199, 653511.1050666537 7731682.891466876, 653513.3572614971 7731683.987667905, 653515.7133766618 7731685.1856925655, 653515.7182241516 7731685.188124395, 653517.6782241517 7731686.158124395, 653518.1217758483 7731685.261875605, 653516.1642061961 7731684.29307838, 653513.8066233381 7731683.094307435, 653513.798819805 7731683.090424764, 653511.538819805 7731681.990424764, 653511.5310147904 7731681.98670897, 653510.9510147905 7731681.716708969, 653510.9060846062 7731681.698390094, 653510.8595903683 7731681.684512468, 653510.8119699229 7731681.67520678, 653510.2619699228 7731681.59520678, 653510.2211891433 7731681.590973711, 653509.7411891433 7731681.56097371, 653509.6684772595 7731681.561727121, 653509.0684772595 7731681.611727121, 653509.0184872712 7731681.618445913, 653507.1384872711 7731681.968445913, 653507.1230728242 7731681.971567222, 653503.4230728243 7731682.7815672215, 653503.4095090773 7731682.784735188, 653500.4695090773 7731683.514735188, 653500.4438907321 7731683.521824215, 653497.2038907321 7731684.511824215, 653497.1763032619 7731684.521140274, 653493.3163032619 7731685.951140273, 653493.3065061009 7731685.954887122, 653488.5665061009 7731687.824887122, 653488.5213405215 7731687.845348627, 653488.4784236734 7731687.870183017, 653488.4381776185 7731687.89914606, 653488.400998153 7731687.931952921, 653488.3672509153 7731687.968280964, 653488.3372677893 7731688.007772924, 653488.3113436416 7731688.050040422, 653488.2897334208 7731688.09466778, 653488.2726496508 7731688.141216116, 653488.2602603403 7731688.189227654, 653488.252687331 7731688.238230228, 653488.2500050989 7731688.287741928, 653488.2522400222 7731688.337275835, 653488.2593701218 7731688.386344811, 653489.4493701217 7731694.446344811, 653490.4306298782 7731694.253655189, 653489.3208726123 7731688.602286255))</t>
  </si>
  <si>
    <t>['KV2000 S1D1 m94-117']</t>
  </si>
  <si>
    <t>LINESTRING Z (653517.97 7731692.8 7.451334329247475, 653508.33 7731694.41 7.6713289499282835, 653495.75 7731696.51 7.961321886777878)</t>
  </si>
  <si>
    <t>POLYGON ((653508.247650078 7731693.916828133, 653495.6676733637 7731696.016824245, 653495.8323266363 7731697.003175754, 653508.4123266363 7731694.9031757545, 653518.0523654089 7731693.2931692805, 653517.8876345911 7731692.306830719, 653508.247650078 7731693.916828133))</t>
  </si>
  <si>
    <t>['KV2000 S1D1 m117-122']</t>
  </si>
  <si>
    <t>LINESTRING Z (653489.93 7731694.38 7.80132702767849, 653490.34 7731696.5 7.801321320533753, 653490.78 7731698.78 7.711315166354179, 653493.36 7731698.36 7.911316596865655, 653495.41 7731698.02 8.031317744255066, 653495.7 7731696.69 8.031321395039559, 653495.62 7731695.86 7.981323630213737, 653495.31 7731694.83 7.991326386928559, 653494.43 7731693.98 7.971328607201576, 653493.34 7731693.69 7.96132927775383, 653492.02 7731693.85 7.891328696608543, 653490.01 7731694.33 7.841327176690101)</t>
  </si>
  <si>
    <t>POLYGON Z ((653489.93 7731694.38 7.80132702767849, 653490.34 7731696.5 7.801321320533753, 653490.78 7731698.78 7.711315166354179, 653493.36 7731698.36 7.911316596865655, 653495.41 7731698.02 8.031317744255066, 653495.7 7731696.69 8.031321395039559, 653495.62 7731695.86 7.981323630213737, 653495.31 7731694.83 7.991326386928559, 653494.43 7731693.98 7.971328607201576, 653493.34 7731693.69 7.96132927775383, 653492.02 7731693.85 7.891328696608543, 653490.01 7731694.33 7.841327176690101, 653489.93 7731694.38 7.80132702767849))</t>
  </si>
  <si>
    <t>['KV2000 S1D1 m131-139']</t>
  </si>
  <si>
    <t>LINESTRING Z (653473.45 7731697.61 7.79131641805172, 653474.41 7731698.23 7.8513148385286335, 653477.75 7731697.67 7.8813167309761045, 653481.07 7731697.09 7.891318683028221, 653480.43 7731693.67 7.971327921748161, 653479.7 7731689.97 8.07133790552616, 653478.31 7731690.1 8.06133739888668, 653476.97 7731690.09 8.051337294578552, 653476.12 7731690.09 8.011337190270424, 653476.21 7731691.55 7.911333226561547, 653476.03 7731693.34 7.891328338980674, 653475.42 7731695.2 7.861323198080063, 653474.47 7731696.69 7.85131904065609, 653473.57 7731697.56 7.841316567063331)</t>
  </si>
  <si>
    <t>POLYGON Z ((653473.45 7731697.61 7.79131641805172, 653474.41 7731698.23 7.8513148385286335, 653477.75 7731697.67 7.8813167309761045, 653481.07 7731697.09 7.891318683028221, 653480.43 7731693.67 7.971327921748161, 653479.7 7731689.97 8.07133790552616, 653478.31 7731690.1 8.06133739888668, 653476.97 7731690.09 8.051337294578552, 653476.12 7731690.09 8.011337190270424, 653476.21 7731691.55 7.911333226561547, 653476.03 7731693.34 7.891328338980674, 653475.42 7731695.2 7.861323198080063, 653474.47 7731696.69 7.85131904065609, 653473.57 7731697.56 7.841316567063331, 653473.45 7731697.61 7.79131641805172))</t>
  </si>
  <si>
    <t>['KV2000 S1D1 m145-153']</t>
  </si>
  <si>
    <t>LINESTRING Z (653463.45 7731691.4 7.821332243084908, 653460.32 7731689.44 7.83133726477623, 653456.56 7731687.09 7.7613432699441915, 653459.74 7731686.48 7.861345281600952, 653460.42 7731686.36 7.911345683932305, 653460.97 7731686.32 7.881345847845077, 653461.63 7731686.43 7.9113456243276605, 653462.55 7731686.67 7.941345072984696, 653464.75 7731687.33 7.901343493461608, 653464.72 7731688.83 7.89133939564228, 653464.47 7731689.9 7.861336460113526, 653463.71 7731691.14 7.801332988142968, 653463.53 7731691.31 7.811332496404648)</t>
  </si>
  <si>
    <t>POLYGON Z ((653463.45 7731691.4 7.821332243084908, 653460.32 7731689.44 7.83133726477623, 653456.56 7731687.09 7.7613432699441915, 653459.74 7731686.48 7.861345281600952, 653460.42 7731686.36 7.911345683932305, 653460.97 7731686.32 7.881345847845077, 653461.63 7731686.43 7.9113456243276605, 653462.55 7731686.67 7.941345072984696, 653464.75 7731687.33 7.901343493461608, 653464.72 7731688.83 7.89133939564228, 653464.47 7731689.9 7.861336460113526, 653463.71 7731691.14 7.801332988142968, 653463.53 7731691.31 7.811332496404648, 653463.45 7731691.4 7.821332243084908))</t>
  </si>
  <si>
    <t>['KV2000 S1D1 m143-152']</t>
  </si>
  <si>
    <t>LINESTRING Z (653460.94 7731703.85 7.641297955513001, 653465.47 7731703.13 7.68130044400692, 653470.27 7731702.3 7.751303260326385, 653469.79 7731699.56 7.78131068110466, 653467.03 7731697.81 7.751315151453018, 653464.85 7731698.05 7.751314242482185, 653463.27 7731698.58 7.701312618255615, 653462.11 7731699.47 7.69131005525589, 653461.39 7731700.66 7.6613067173957825, 653460.99 7731702.23 7.631302381157875, 653460.93 7731703.5 7.641298909187317, 653460.94 7731703.82 7.631298044919967)</t>
  </si>
  <si>
    <t>POLYGON Z ((653460.94 7731703.85 7.641297955513001, 653465.47 7731703.13 7.68130044400692, 653470.27 7731702.3 7.751303260326385, 653469.79 7731699.56 7.78131068110466, 653467.03 7731697.81 7.751315151453018, 653464.85 7731698.05 7.751314242482185, 653463.27 7731698.58 7.701312618255615, 653462.11 7731699.47 7.69131005525589, 653461.39 7731700.66 7.6613067173957825, 653460.99 7731702.23 7.631302381157875, 653460.93 7731703.5 7.641298909187317, 653460.94 7731703.82 7.631298044919967, 653460.94 7731703.85 7.641297955513001))</t>
  </si>
  <si>
    <t>['KV2000 S1D1 m167-178']</t>
  </si>
  <si>
    <t>LINESTRING Z (653433.29 7731703.58 7.20129545211792, 653433.98 7731705.88 7.26128920853138, 653434.7 7731708.25 7.291282786130905, 653440.14 7731707.37 7.421285855770111, 653445.7 7731706.41 7.451289163827896, 653445.64 7731705.4 7.421291920542717, 653445.32 7731704.37 7.42129470705986, 653444.81 7731703.64 7.431296644210816, 653444.15 7731703.08 7.351298104524613, 653442.88 7731702.43 7.371299728751183, 653441.35 7731702.33 7.331299833059311, 653439.49 7731702.52 7.271299088001252, 653435.93 7731703.12 7.221297016739846, 653433.32 7731703.54 7.131295556426048)</t>
  </si>
  <si>
    <t>POLYGON Z ((653433.29 7731703.58 7.20129545211792, 653433.98 7731705.88 7.26128920853138, 653434.7 7731708.25 7.291282786130905, 653440.14 7731707.37 7.421285855770111, 653445.7 7731706.41 7.451289163827896, 653445.64 7731705.4 7.421291920542717, 653445.32 7731704.37 7.42129470705986, 653444.81 7731703.64 7.431296644210816, 653444.15 7731703.08 7.351298104524613, 653442.88 7731702.43 7.371299728751183, 653441.35 7731702.33 7.331299833059311, 653439.49 7731702.52 7.271299088001252, 653435.93 7731703.12 7.221297016739846, 653433.32 7731703.54 7.131295556426048, 653433.29 7731703.58 7.20129545211792))</t>
  </si>
  <si>
    <t>[38500]</t>
  </si>
  <si>
    <t>['KV38500 S1D1 m451-462']</t>
  </si>
  <si>
    <t>LINESTRING Z (653433.39 7731687.18 7.19134051322937, 653432.99 7731687.07 7.191340766549111, 653432.64 7731687.08 7.191340706944466, 653429.97 7731687.61 7.081338963508606, 653425.23 7731688.54 6.861335878968239, 653426.23 7731691.8 6.951327012777329, 653427.56 7731696.04 6.981315509080887, 653428.3 7731698.47 7.051308907866478, 653430.34 7731697.82 7.1213109344244, 653432.42 7731694.6 7.151320024132729, 653434.53 7731691.45 7.2113289052248, 653434.22 7731689.9 7.211333137154579, 653433.8 7731687.8 7.221338859200478, 653433.67 7731687.45 7.251339797973633)</t>
  </si>
  <si>
    <t>POLYGON Z ((653433.39 7731687.18 7.19134051322937, 653432.99 7731687.07 7.191340766549111, 653432.64 7731687.08 7.191340706944466, 653429.97 7731687.61 7.081338963508606, 653425.23 7731688.54 6.861335878968239, 653426.23 7731691.8 6.951327012777329, 653427.56 7731696.04 6.981315509080887, 653428.3 7731698.47 7.051308907866478, 653430.34 7731697.82 7.1213109344244, 653432.42 7731694.6 7.151320024132729, 653434.53 7731691.45 7.2113289052248, 653434.22 7731689.9 7.211333137154579, 653433.8 7731687.8 7.221338859200478, 653433.67 7731687.45 7.251339797973633, 653433.39 7731687.18 7.19134051322937))</t>
  </si>
  <si>
    <t>['KV38500 S1D1 m437-445']</t>
  </si>
  <si>
    <t>LINESTRING Z (653426.7 7731672.34 6.9713806271553045, 653424.28 7731673.09 6.891378317475319, 653420.81 7731674.13 6.75137508392334, 653421.92 7731677.78 6.7913651448488235, 653423.03 7731681.38 6.831355354785919, 653428.2 7731680.39 7.071358633041382, 653431.28 7731679.77 7.161360659599304, 653431.6 7731679.59 7.191361181139946, 653431.92 7731679.16 7.191362403035164, 653432 7731678.8 7.201363401412964, 653431.31 7731675.2 7.201373221278191, 653429.18 7731673.89 7.091376603841781, 653426.78 7731672.4 6.981380463242531)</t>
  </si>
  <si>
    <t>POLYGON Z ((653426.7 7731672.34 6.9713806271553045, 653424.28 7731673.09 6.891378317475319, 653420.81 7731674.13 6.75137508392334, 653421.92 7731677.78 6.7913651448488235, 653423.03 7731681.38 6.831355354785919, 653428.2 7731680.39 7.071358633041382, 653431.28 7731679.77 7.161360659599304, 653431.6 7731679.59 7.191361181139946, 653431.92 7731679.16 7.191362403035164, 653432 7731678.8 7.201363401412964, 653431.31 7731675.2 7.201373221278191, 653429.18 7731673.89 7.091376603841781, 653426.78 7731672.4 6.981380463242531, 653426.7 7731672.34 6.9713806271553045))</t>
  </si>
  <si>
    <t>['KV20000 S1D1 m234-242']</t>
  </si>
  <si>
    <t>LINESTRING Z (653428.74 7731662.61 6.791407613158226, 653421.36 7731664.35 6.601402099728585, 653421.52 7731664.8 6.571400877833367, 653424.13 7731666.45 6.731396586298943, 653427.43 7731668.53 6.89139117717743, 653428.25 7731667.33 6.881394574642181, 653428.9 7731665.75 6.831398985385895, 653428.98 7731663.97 6.811403887867928, 653428.81 7731662.73 6.8014072853326795)</t>
  </si>
  <si>
    <t>POLYGON Z ((653428.74 7731662.61 6.791407613158226, 653421.36 7731664.35 6.601402099728585, 653421.52 7731664.8 6.571400877833367, 653424.13 7731666.45 6.731396586298943, 653427.43 7731668.53 6.89139117717743, 653428.25 7731667.33 6.881394574642181, 653428.9 7731665.75 6.831398985385895, 653428.98 7731663.97 6.811403887867928, 653428.81 7731662.73 6.8014072853326795, 653428.74 7731662.61 6.791407613158226))</t>
  </si>
  <si>
    <t>['KV2000 S1D1 m79-94']</t>
  </si>
  <si>
    <t>LINESTRING Z (653532.2 7731689.04 7.071345967054367, 653526.22 7731689.92 7.411342971920967, 653517.91 7731685.74 8.031353402733803, 653517.23 7731687.6 7.981348306536674, 653517 7731689.02 7.921344447135926, 653517.11 7731690.71 7.7813398873806, 653517.38 7731691.7 7.6213372349739075, 653517.65 7731692.39 7.521335402131081, 653517.93 7731692.85 7.411334195137024, 653532.44 7731690.45 7.1013421970605854, 653532.19 7731689.11 7.061345773339272)</t>
  </si>
  <si>
    <t>POLYGON Z ((653532.2 7731689.04 7.071345967054367, 653526.22 7731689.92 7.411342971920967, 653517.91 7731685.74 8.031353402733803, 653517.23 7731687.6 7.981348306536674, 653517 7731689.02 7.921344447135926, 653517.11 7731690.71 7.7813398873806, 653517.38 7731691.7 7.6213372349739075, 653517.65 7731692.39 7.521335402131081, 653517.93 7731692.85 7.411334195137024, 653532.44 7731690.45 7.1013421970605854, 653532.19 7731689.11 7.061345773339272, 653532.2 7731689.04 7.071345967054367))</t>
  </si>
  <si>
    <t>2025-11-22T09:17:16Z</t>
  </si>
  <si>
    <t>['EV6 S73D1 m8 KD3 m227-702']</t>
  </si>
  <si>
    <t>LINESTRING (264801.78 7030069.05, 264803.19 7030070.61, 264804.8 7030072.16, 264806.23 7030074.65, 264806.87 7030077.09, 264807.57 7030080.03, 264808.77 7030085.11, 264809.63 7030087.81, 264810.53 7030089.33, 264811.92 7030091.2, 264813.38 7030093.48, 264814.47 7030095.08, 264823.1 7030103.97, 264827.06 7030107.97, 264831.49 7030112.28, 264835.76 7030117.17, 264840.81 7030122.64, 264847.82 7030128.08, 264850.54 7030131.52, 264854.46 7030136.27, 264856.77 7030141.42, 264857.57 7030145.73, 264857.33 7030150.15, 264855.84 7030154.48, 264855.14 7030156.12, 264860.42 7030157.12, 264861.7 7030156.95, 264865.11 7030155.33, 264873.12 7030150.04, 264881.3 7030143.06, 264892.24 7030133.6, 264908.44 7030118.38, 264913.58 7030113.6, 264916.95 7030111.09, 264919.3 7030108.88, 264927.09 7030101.24, 264930.56 7030096.34, 264934.71 7030093.16, 264938.45 7030089.42, 264941.68 7030084.86, 264945.25 7030080.52, 264949.31 7030077.31, 264954.78 7030072.01, 264958.93 7030067.55, 264963.78 7030061.48, 264968.71 7030054.6, 264971.41 7030051.45, 264979.8 7030042.4, 264985.55 7030036.45, 264993.14 7030029.99, 264995.77 7030026.27, 264999.51 7030021.24, 265003.21 7030017.21, 265007.02 7030013.52, 265011.03 7030009.64, 265014.17 7030007.56, 265017.79 7030005.31, 265021.09 7030003.6, 265016.7 7029999.29, 265011.98 7029995.43, 265005.62 7029990.63, 264998.09 7029986.78, 264991.07 7029984.81, 264977.47 7029981.2, 264967.51 7029978.24, 264943.95 7029971.53, 264937.92 7029969.93, 264924.32 7029964.99, 264904.99 7029957.68, 264893.76 7029952.15, 264885.02 7029946.57, 264869.15 7029937.62, 264857.27 7029930.89, 264843.59 7029924.13, 264836.19 7029918.92, 264820.86 7029910.27, 264815.26 7029906.86, 264812.23 7029916.86, 264809.42 7029928.85, 264806.42 7029940.94, 264801.92 7029956.53, 264798.34 7029967.8, 264796.49 7029976.26, 264794.9 7029988.1, 264794.83 7029994.78, 264794.31 7029998.46, 264794.67 7030008.52, 264795.12 7030011.02, 264794.88 7030016.11, 264795.29 7030021.35, 264796.63 7030026.49, 264798.91 7030029.45, 264802.23 7030032.65, 264807.61 7030033.31, 264812.53 7030033.31, 264821.77 7030033.25, 264822.43 7030041.05, 264820.44 7030041.25, 264818.44 7030041.39, 264817.44 7030041.44, 264816.44 7030041.47, 264814.43 7030041.48, 264813.23 7030041.46, 264812.41 7030041.43, 264809.98 7030041.29, 264808.86 7030041.19, 264807.12 7030041, 264805.9 7030040.84, 264804.67 7030040.65, 264803.58 7030040.43, 264802.39 7030040.1, 264801.53 7030039.8, 264800.71 7030039.45, 264800.07 7030039.15, 264799.62 7030038.91, 264799.27 7030038.72, 264798.46 7030038.21, 264797.02 7030037.14, 264795.72 7030035.97, 264794.41 7030034.87, 264793.16 7030033.59, 264791.95 7030032.04, 264791.47 7030031.3, 264791.11 7030030.71, 264790.44 7030029.49, 264789.74 7030028.09, 264789.14 7030026.81, 264788.77 7030025.82, 264788.17 7030024.12, 264787.63 7030022.25, 264787.19 7030020.35, 264786.87 7030018.45, 264786.64 7030016.53, 264786.45 7030014.6, 264786.2 7030011.34, 264786.07 7030008.81, 264785.99 7030005.5, 264786.02 7030001.5, 264786.28 7029996.16, 264786.45 7029993.86, 264786.86 7029989.46, 264787.25 7029985.99, 264787.72 7029982.39, 264788.12 7029979.57, 264788.65 7029976.19, 264789.53 7029971, 264790.42 7029966.13, 264791.56 7029960.29, 264792.75 7029954.43, 264794.81 7029944.63, 264796.44 7029936.75, 264798.33 7029926.78, 264799.34 7029920.78, 264800.57 7029912.7, 264801.38 7029906.58, 264801.81 7029902.48, 264801.99 7029900.42, 264802.11 7029898.9, 264803.82 7029898.97, 264803.53 7029897.86, 264803.64 7029896.76, 264803.39 7029894.69, 264803.38 7029892.03, 264803.35 7029887.76, 264802.72 7029880.39, 264804.87 7029881.77, 264807.02 7029883.15, 264809.18 7029884.53, 264811.34 7029885.9, 264813.51 7029887.26, 264815.68 7029888.62, 264815.55 7029888.83, 264817.95 7029890.33, 264820.35 7029891.81, 264822.76 7029893.3, 264825.17 7029894.77, 264827.58 7029896.24, 264830 7029897.7, 264832.43 7029899.15, 264834.86 7029900.6, 264837.29 7029902.04, 264839.72 7029903.47, 264842.16 7029904.89, 264844.61 7029906.31, 264847.05 7029907.73, 264849.51 7029909.13, 264851.96 7029910.53, 264854.42 7029911.92, 264856.88 7029913.31, 264859.32 7029914.67, 264861.76 7029916.02, 264864.21 7029917.37, 264866.66 7029918.71, 264869.11 7029920.05, 264871.56 7029921.38, 264874.13 7029922.75, 264876.69 7029924.12, 264879.26 7029925.49, 264881.83 7029926.84, 264884.41 7029928.19, 264886.99 7029929.53, 264889.57 7029930.86, 264892.16 7029932.19, 264894.75 7029933.51, 264897.34 7029934.82, 264899.94 7029936.13, 264902.54 7029937.43, 264905.15 7029938.72, 264907.76 7029940, 264910.37 7029941.28, 264912.99 7029942.55, 264915.6 7029943.81, 264918.23 7029945.07, 264920.85 7029946.32, 264923.48 7029947.56, 264926.11 7029948.79, 264928.75 7029950.02, 264931.39 7029951.24, 264934.03 7029952.45, 264936.68 7029953.66, 264939.33 7029954.86, 264941.98 7029956.05, 264944.64 7029957.23, 264947.3 7029958.41, 264949.96 7029959.57, 264952.63 7029960.74, 264955.3 7029961.89, 264957.97 7029963.04, 264960.64 7029964.17, 264963.32 7029965.31, 264966 7029966.43, 264968.69 7029967.55, 264971.37 7029968.66, 264974.06 7029969.76, 264976.76 7029970.86, 264979.46 7029971.94, 264982.16 7029973.02, 264984.86 7029974.1, 264987.56 7029975.16, 264990.27 7029976.22, 264992.98 7029977.27, 264995.7 7029978.31, 264998.41 7029979.35, 265001.13 7029980.38, 265003.86 7029981.4, 265006.58 7029982.41, 265009.31 7029983.42, 265012.04 7029984.41, 265014.77 7029985.41, 265017.51 7029986.39, 265020.25 7029987.36, 265022.99 7029988.33, 265025.74 7029989.29, 265028.48 7029990.25, 265031.23 7029991.19, 265033.99 7029992.13, 265036.74 7029993.06, 265039.5 7029993.98, 265042.26 7029994.9, 265045.02 7029995.81, 265047.78 7029996.71, 265050.55 7029997.6, 265053.32 7029998.48, 265056.09 7029999.36, 265058.87 7030000.23, 265061.65 7030001.09, 265064.43 7030001.95, 265067.21 7030002.79, 265069.99 7030003.63, 265072.78 7030004.47, 265075.57 7030005.29, 265078.36 7030006.11, 265081.15 7030006.91, 265083.94 7030007.72, 265086.74 7030008.51, 265089.54 7030009.29, 265092.34 7030010.07, 265095.15 7030010.84, 265097.95 7030011.6, 265100.76 7030012.36, 265103.65 7030013.13, 265106.54 7030013.89, 265109.43 7030014.64, 265112.32 7030015.38, 265115.21 7030016.12, 265118.1 7030016.85, 265121 7030017.58, 265123.89 7030018.3, 265126.79 7030019.01, 265129.68 7030019.72, 265132.58 7030020.42, 265135.47 7030021.12, 265139.33 7030022.04, 265143.19 7030022.96, 265147.05 7030023.87, 265150.91 7030024.77, 265154.77 7030025.67, 265158.63 7030026.57, 265164.41 7030027.91, 265170.19 7030029.25, 265179.05 7030031.3, 265187.91 7030033.36, 265192.33 7030034.39, 265196.75 7030035.43, 265201.16 7030036.48, 265205.58 7030037.52, 265209.11 7030038.37, 265212.63 7030039.22, 265216.15 7030040.07, 265219.68 7030040.94, 265223.19 7030041.8, 265226.12 7030042.53, 265229.05 7030043.27, 265231.97 7030044.01, 265234.9 7030044.75, 265237.82 7030045.5, 265240.74 7030046.26, 265243.82 7030047.07, 265246.9 7030047.88, 265249.97 7030048.7, 265253.05 7030049.53, 265256.12 7030050.37, 265259.19 7030051.22, 265262.26 7030052.07, 265265.33 7030052.93, 265268.39 7030053.79, 265271.45 7030054.67, 265274.51 7030055.55, 265277.57 7030056.44, 265280.63 7030057.34, 265283.68 7030058.24, 265286.73 7030059.15, 265289.78 7030060.07, 265292.83 7030061, 265295.87 7030061.94, 265298.91 7030062.88, 265301.95 7030063.83, 265301.76 7030063.78, 265300.79 7030063.55, 265299.81 7030063.32, 265298.84 7030063.09, 265297.86 7030062.87, 265296.89 7030062.64, 265295.91 7030062.42, 265294.93 7030062.2, 265293.96 7030061.98, 265292.98 7030061.77, 265292 7030061.55, 265291.02 7030061.34, 265290.04 7030061.13, 265289.06 7030060.92, 265288.08 7030060.72, 265287.1 7030060.51, 265286.12 7030060.31, 265285.14 7030060.11, 265284.16 7030059.91, 265283.17 7030059.71, 265282.19 7030059.52, 265281.21 7030059.33, 265280.22 7030059.14, 265279.24 7030058.95, 265278.26 7030058.76, 265277.27 7030058.58, 265276.29 7030058.39, 265275.3 7030058.21, 265274.32 7030058.03, 265273.33 7030057.86, 265272.34 7030057.68, 265271.36 7030057.51, 265270.37 7030057.34, 265269.38 7030057.17, 265268.4 7030057, 265267.41 7030056.84, 265266.42 7030056.68, 265265.43 7030056.51, 265264.44 7030056.36, 265263.45 7030056.2, 265262.46 7030056.04, 265261.47 7030055.89, 265260.48 7030055.74, 265259.49 7030055.59, 265258.5 7030055.44, 265257.51 7030055.3, 265256.52 7030055.16, 265255.53 7030055.01, 265254.54 7030054.88, 265253.54 7030054.74, 265252.55 7030054.6, 265251.56 7030054.47, 265250.57 7030054.34, 265249.57 7030054.21, 265248.58 7030054.08, 265247.59 7030053.96, 265246.59 7030053.83, 265245.6 7030053.71, 265244.6 7030053.59, 265243.61 7030053.48, 265242.61 7030053.36, 265241.62 7030053.25, 265240.62 7030053.14, 265239.63 7030053.03, 265238.63 7030052.92, 265237.64 7030052.81, 265236.64 7030052.71, 265235.64 7030052.61, 265234.65 7030052.51, 265233.65 7030052.41, 265232.65 7030052.32, 265231.65 7030052.22, 265230.66 7030052.13, 265229.66 7030052.04, 265228.66 7030051.96, 265227.66 7030051.87, 265226.67 7030051.79, 265225.67 7030051.71, 265224.67 7030051.63, 265223.67 7030051.55, 265222.67 7030051.47, 265221.67 7030051.4, 265220.67 7030051.33, 265219.67 7030051.26, 265218.67 7030051.19, 265217.67 7030051.13, 265216.67 7030051.06, 265215.68 7030051, 265214.68 7030050.94, 265213.68 7030050.89, 265212.68 7030050.83, 265211.68 7030050.78, 265210.68 7030050.72, 265209.67 7030050.67, 265208.67 7030050.63, 265207.67 7030050.58, 265206.67 7030050.54, 265205.67 7030050.5, 265204.67 7030050.46, 265203.67 7030050.42, 265202.67 7030050.38, 265201.67 7030050.35, 265200.67 7030050.32, 265199.67 7030050.29, 265198.67 7030050.26, 265197.66 7030050.24, 265196.66 7030050.22, 265195.66 7030050.19, 265194.66 7030050.17, 265193.66 7030050.16, 265192.66 7030050.14, 265191.65 7030050.13, 265190.65 7030050.12, 265189.65 7030050.11, 265188.65 7030050.1, 265187.65 7030050.09, 265186.65 7030050.09, 265185.64 7030050.09, 265184.64 7030050.09, 265183.64 7030050.09, 265182.64 7030050.1, 265181.64 7030050.1, 265180.64 7030050.11, 265179.64 7030050.12, 265178.63 7030050.14, 265177.63 7030050.15, 265176.63 7030050.17, 265175.63 7030050.19, 265174.63 7030050.21, 265173.63 7030050.23, 265172.63 7030050.25, 265171.62 7030050.28, 265170.62 7030050.31, 265169.62 7030050.34, 265168.62 7030050.37, 265167.62 7030050.41, 265166.62 7030050.44, 265165.62 7030050.48, 265164.62 7030050.52, 265163.62 7030050.57, 265162.62 7030050.61, 265161.62 7030050.66, 265160.61 7030050.71, 265159.61 7030050.76, 265158.61 7030050.81, 265157.61 7030050.86, 265156.61 7030050.92, 265155.61 7030050.98, 265154.61 7030051.04, 265153.61 7030051.1, 265152.62 7030051.17, 265151.62 7030051.24, 265150.62 7030051.3, 265149.62 7030051.37, 265148.62 7030051.45, 265147.62 7030051.52, 265146.62 7030051.6, 265145.62 7030051.68, 265144.62 7030051.76, 265143.63 7030051.84, 265142.63 7030051.93, 265141.63 7030052.01, 265140.63 7030052.1, 265139.63 7030052.19, 265138.64 7030052.28, 265137.64 7030052.38, 265136.64 7030052.47, 265135.65 7030052.57, 265134.65 7030052.67, 265133.65 7030052.78, 265132.66 7030052.88, 265131.66 7030052.99, 265130.67 7030053.1, 265129.67 7030053.21, 265128.67 7030053.32, 265127.68 7030053.43, 265126.68 7030053.55, 265125.69 7030053.67, 265124.7 7030053.79, 265123.7 7030053.91, 265122.71 7030054.04, 265121.72 7030054.16, 265120.72 7030054.29, 265119.73 7030054.42, 265118.74 7030054.55, 265117.74 7030054.69, 265116.75 7030054.83, 265115.76 7030054.96, 265114.77 7030055.1, 265113.78 7030055.25, 265112.78 7030055.39, 265111.79 7030055.54, 265110.8 7030055.69, 265109.81 7030055.84, 265108.82 7030055.99, 265107.83 7030056.14, 265106.84 7030056.3, 265105.85 7030056.46, 265104.87 7030056.62, 265103.88 7030056.78, 265102.89 7030056.94, 265101.9 7030057.11, 265100.91 7030057.28, 265099.93 7030057.45, 265098.94 7030057.62, 265097.95 7030057.79, 265096.97 7030057.97, 265095.98 7030058.15, 265095 7030058.33, 265094.01 7030058.51, 265093.03 7030058.69, 265092.04 7030058.88, 265091.06 7030059.07, 265090.08 7030059.26, 265089.09 7030059.45, 265088.11 7030059.64, 265087.13 7030059.84, 265086.15 7030060.04, 265085.16 7030060.24, 265084.18 7030060.44, 265083.2 7030060.64, 265082.22 7030060.85, 265081.24 7030061.05, 265080.26 7030061.26, 265079.28 7030061.47, 265078.3 7030061.69, 265077.33 7030061.9, 265076.35 7030062.12, 265075.37 7030062.34, 265074.39 7030062.56, 265073.42 7030062.78, 265072.44 7030063.01, 265071.47 7030063.24, 265070.49 7030063.47, 265069.52 7030063.7, 265068.54 7030063.93, 265067.57 7030064.16, 265066.6 7030064.4, 265065.62 7030064.64, 265064.65 7030064.88, 265063.68 7030065.12, 265062.71 7030065.37, 265061.74 7030065.61, 265060.77 7030065.86, 265059.8 7030066.11, 265058.83 7030066.37, 265057.86 7030066.62, 265056.89 7030066.88, 265055.92 7030067.13, 265054.96 7030067.39, 265053.99 7030067.66, 265053.02 7030067.92, 265052.06 7030068.19, 265051.09 7030068.45, 265050.13 7030068.72, 265049.16 7030069, 265048.49 7030069.19, 265048.2 7030069.27, 265047.24 7030069.54, 265046.27 7030069.82, 265045.31 7030070.1, 265044.35 7030070.38, 265043.39 7030070.67, 265042.43 7030070.95, 265041.47 7030071.24, 265040.51 7030071.53, 265039.55 7030071.82, 265038.59 7030072.11, 265037.64 7030072.41, 265037.34 7030072.5, 265036.68 7030072.71, 265035.73 7030073.01, 265034.77 7030073.31, 265033.82 7030073.62, 265032.86 7030073.92, 265031.91 7030074.23, 265030.96 7030074.55, 265030.01 7030074.86, 265029.34 7030075.08, 265029.06 7030075.18, 265028.11 7030075.5, 265027.16 7030075.82, 265026.21 7030076.14, 265025.26 7030076.47, 265024.32 7030076.79, 265023.37 7030077.13, 265022.42 7030077.46, 265021.48 7030077.79, 265020.54 7030078.13, 265019.6 7030078.47, 265018.65 7030078.82, 265017.71 7030079.16, 265016.77 7030079.51, 265015.83 7030079.86, 265014.9 7030080.21, 265013.96 7030080.56, 265013.02 7030080.92, 265012.09 7030081.28, 265011.15 7030081.64, 265010.22 7030082, 265009.29 7030082.37, 265008.36 7030082.74, 265007.43 7030083.11, 265006.5 7030083.48, 265005.57 7030083.86, 265004.64 7030084.24, 265003.71 7030084.62, 265002.79 7030085, 265001.86 7030085.38, 265000.94 7030085.77, 265000.01 7030086.16, 264999.09 7030086.55, 264998.17 7030086.95, 264997.25 7030087.34, 264996.33 7030087.74, 264995.41 7030088.14, 264994.49 7030088.54, 264993.58 7030088.95, 264992.66 7030089.36, 264991.75 7030089.77, 264990.84 7030090.18, 264989.92 7030090.59, 264989.01 7030091.01, 264988.1 7030091.43, 264987.19 7030091.85, 264986.29 7030092.27, 264985.38 7030092.7, 264984.47 7030093.13, 264983.57 7030093.56, 264982.67 7030093.99, 264981.76 7030094.43, 264980.86 7030094.86, 264979.96 7030095.3, 264979.06 7030095.74, 264978.16 7030096.19, 264977.27 7030096.63, 264976.37 7030097.08, 264975.48 7030097.53, 264974.58 7030097.99, 264973.69 7030098.44, 264972.8 7030098.9, 264971.91 7030099.36, 264971.02 7030099.82, 264970.13 7030100.28, 264969.24 7030100.75, 264968.36 7030101.22, 264967.47 7030101.69, 264966.59 7030102.16, 264965.71 7030102.64, 264964.83 7030103.11, 264963.95 7030103.59, 264963.07 7030104.08, 264962.19 7030104.56, 264961.32 7030105.05, 264960.44 7030105.53, 264959.57 7030106.02, 264958.7 7030106.52, 264957.82 7030107.01, 264956.95 7030107.51, 264956.09 7030108.01, 264955.22 7030108.51, 264954.35 7030109.01, 264953.49 7030109.52, 264952.62 7030110.03, 264952.21 7030110.27, 264951.76 7030110.54, 264950.9 7030111.05, 264950.04 7030111.56, 264949.18 7030112.08, 264948.32 7030112.6, 264947.47 7030113.12, 264946.61 7030113.64, 264945.76 7030114.17, 264944.91 7030114.69, 264944.06 7030115.22, 264943.21 7030115.75, 264942.36 7030116.29, 264941.51 7030116.82, 264940.67 7030117.36, 264939.82 7030117.9, 264938.98 7030118.44, 264938.14 7030118.99, 264937.3 7030119.53, 264936.46 7030120.08, 264935.62 7030120.63, 264934.79 7030121.18, 264933.95 7030121.74, 264933.12 7030122.29, 264932.29 7030122.85, 264931.46 7030123.41, 264930.63 7030123.98, 264929.8 7030124.54, 264928.98 7030125.11, 264928.15 7030125.68, 264927.33 7030126.25, 264926.51 7030126.82, 264925.69 7030127.4, 264924.87 7030127.97, 264924.05 7030128.55, 264923.24 7030129.14, 264922.42 7030129.72, 264921.61 7030130.3, 264920.8 7030130.89, 264919.99 7030131.48, 264919.18 7030132.07, 264918.37 7030132.67, 264917.56 7030133.26, 264917.4 7030133.38, 264916.76 7030133.86, 264915.96 7030134.46, 264915.57 7030134.75, 264915.16 7030135.06, 264914.36 7030135.66, 264913.56 7030136.27, 264912.76 7030136.87, 264911.97 7030137.48, 264911.17 7030138.09, 264910.38 7030138.71, 264909.59 7030139.32, 264908.8 7030139.93, 264908.01 7030140.55, 264907.22 7030141.17, 264906.43 7030141.78, 264905.64 7030142.41, 264904.86 7030143.03, 264904.07 7030143.65, 264903.29 7030144.27, 264902.51 7030144.9, 264901.73 7030145.52, 264900.94 7030146.15, 264900.16 7030146.78, 264899.38 7030147.4, 264898.61 7030148.03, 264897.83 7030148.66, 264897.05 7030149.29, 264896.27 7030149.93, 264895.5 7030150.56, 264894.72 7030151.19, 264893.96 7030151.81, 264893.17 7030152.46, 264892.4 7030153.09, 264891.62 7030153.72, 264890.58 7030154.58, 264888.8 7030152.65, 264890.24 7030151.3, 264891.81 7030149.84, 264893.89 7030147.91, 264897.56 7030144.49, 264904.1 7030138.29, 264907.97 7030134.56, 264910.34 7030132.29, 264913.37 7030129.31, 264918.01 7030124.8, 264921.47 7030121.44, 264924.98 7030117.94, 264930.82 7030112.12, 264935.21 7030107.76, 264937.17 7030105.8, 264940.31 7030102.65, 264942.34 7030100.63, 264945.62 7030097.33, 264948.11 7030094.84, 264951.55 7030091.4, 264953.42 7030089.52, 264956.43 7030086.49, 264959.43 7030083.48, 264963.1 7030079.82, 264966.19 7030076.73, 264971.62 7030071.31, 264974.43 7030068.47, 264975.91 7030067.11, 264978.14 7030065.1, 264981.87 7030061.75, 264986.35 7030057.75, 264989.34 7030055.11, 264992.35 7030052.48, 264993.12 7030051.82, 264993.94 7030051.24, 264995.59 7030050.09, 264997.24 7030048.94, 265000.16 7030046.24, 265001.63 7030044.89, 265003.85 7030042.9, 265005.07 7030041.8, 265008.32 7030038.96, 265012.1 7030035.74, 265015.16 7030033.21, 265016.7 7030031.97, 265018.25 7030030.73, 265021.37 7030028.3, 265022.96 7030027.1, 265023.75 7030026.51, 265026.14 7030024.75, 265027.75 7030023.6, 265029.37 7030022.46, 265031.66 7030020.9, 265034.24 7030019.18, 265034.46 7030019.32, 265034.52 7030019.35, 265034.59 7030019.38, 265034.66 7030019.4, 265034.73 7030019.41, 265034.8 7030019.42, 265034.87 7030019.42, 265034.95 7030019.41, 265035.01 7030019.4, 265035.08 7030019.37, 265035.15 7030019.34, 265035.21 7030019.31, 265036.23 7030018.65, 265037.25 7030018, 265038.28 7030017.35, 265039.31 7030016.71, 265040.34 7030016.08, 265041.38 7030015.45, 265042.42 7030014.83, 265043.47 7030014.22, 265044.52 7030013.61, 265045.57 7030013.01, 265046.63 7030012.42, 265047.69 7030011.83, 265048.75 7030011.25, 265049.82 7030010.68, 265050.89 7030010.11, 265051.97 7030009.55, 265053.05 7030008.99, 265054.13 7030008.45, 265055.21 7030007.91, 265056.3 7030007.37, 265057.4 7030006.85, 265058.49 7030006.32, 265059.59 7030005.81, 265060.69 7030005.3, 265061.79 7030004.8, 265059.79 7030004.19, 265058.45 7030003.77, 265057.85 7030003.58, 265057.34 7030003.42, 265056.88 7030003.28, 265055.92 7030002.98, 265053.98 7030002.37, 265052.04 7030001.75, 265050.11 7030001.14, 265048.18 7030000.51, 265047.21 7030000.2, 265046.94 7030000.11, 265046.25 7029999.89, 265044.31 7029999.26, 265043.62 7029999.03, 265042.5 7029999.63, 265041.39 7030000.24, 265040.28 7030000.86, 265039.17 7030001.48, 265038.06 7030002.11, 265036.96 7030002.74, 265035.87 7030003.38, 265034.77 7030004.03, 265033.69 7030004.68, 265032.6 7030005.35, 265031.52 7030006.01, 265030.44 7030006.69, 265029.37 7030007.37, 265028.3 7030008.06, 265028.2 7030007.94, 265025.61 7030009.65, 265022.19 7030012.17, 265019.19 7030014.48, 265017.23 7030016.03, 265010.82 7030021.35, 265004.49 7030026.68, 265000.58 7030030.04, 264997.24 7030033, 264995.22 7030034.81, 264993.7 7030036.19, 264990.7 7030038.97, 264989.21 7030040.37, 264988.89 7030040.79, 264986.11 7030044.51, 264982.73 7030048.29, 264978.06 7030053.62, 264973.44 7030058.96, 264968.85 7030064.3, 264962.06 7030072.22, 264956.86 7030078.21, 264952.84 7030082.31, 264947.92 7030087.24, 264943.37 7030091.79, 264940.22 7030094.96, 264931.11 7030104.08, 264926.39 7030108.8, 264922.5 7030112.64, 264919.45 7030115.67, 264916.69 7030118.39, 264914.56 7030120.49, 264911.67 7030123.34, 264907.13 7030127.74, 264904.18 7030130.59, 264900.5 7030134.12, 264897.15 7030137.32, 264893.91 7030140.37, 264891.08 7030143.04, 264888.38 7030145.52, 264885.79 7030147.89, 264883.16 7030150.15, 264881.2 7030151.73, 264878.82 7030153.55, 264875.54 7030155.86, 264873.87 7030156.97, 264870.44 7030159.09, 264867.07 7030161, 264865.09 7030162.03, 264863.23 7030162.92, 264861.72 7030163.45, 264859.88 7030163.9, 264859.35 7030163.98, 264859.23 7030164, 264859.02 7030164.03, 264858.63 7030164.07, 264858.44 7030164.09, 264858.25 7030164.1, 264858.06 7030164.12, 264857.88 7030164.13, 264857.7 7030164.14, 264857.52 7030164.15, 264857.34 7030164.15, 264857.16 7030164.15, 264856.98 7030164.16, 264856.81 7030164.15, 264855.11 7030164.05, 264853.47 7030163.82, 264851.83 7030163.67, 264851.14 7030163.6, 264851.16 7030163.28, 264850.36 7030163.17, 264849.76 7030163.05, 264849.29 7030162.92, 264848.58 7030162.75, 264847.59 7030162.47, 264846.79 7030162.19, 264846.41 7030162.04, 264844.8 7030161.24, 264842.94 7030160.02, 264841.32 7030158.67, 264841.27 7030158.62, 264840.85 7030158.19, 264840.73 7030158.04, 264839.98 7030156.97, 264840.42 7030156.71, 264840.8 7030156.47, 264840.91 7030156.4, 264841.79 7030155.8, 264842.01 7030155.64, 264842.86 7030154.95, 264843.79 7030154.08, 264844.65 7030153.14, 264844.73 7030153.05, 264845.43 7030152.14, 264846.13 7030151.09, 264846.75 7030149.99, 264847.27 7030148.86, 264847.76 7030147.7, 264848.16 7030146.52, 264848.47 7030145.31, 264848.68 7030144.07, 264848.8 7030142.83, 264848.82 7030141.58, 264848.74 7030140.33, 264848.57 7030139.09, 264848.3 7030137.87, 264847.94 7030136.67, 264847.49 7030135.51, 264846.96 7030134.38, 264846.33 7030133.29, 264845.63 7030132.26, 264844.84 7030131.28, 264844.3 7030130.68, 264844.06 7030130.43, 264843.52 7030129.88, 264843.36 7030129.71, 264842.67 7030128.99, 264842.43 7030128.73, 264841.98 7030128.26, 264841.65 7030127.92, 264841.29 7030127.54, 264840.88 7030127.12, 264840.59 7030126.82, 264840.25 7030126.47, 264839.9 7030126.1, 264839.55 7030125.74, 264839.21 7030125.37, 264838.89 7030125.04, 264838.33 7030124.46, 264837.82 7030123.93, 264837.63 7030123.73, 264837.13 7030123.21, 264836.83 7030122.89, 264836.44 7030122.49, 264835.75 7030121.76, 264835.53 7030121.53, 264835.05 7030121.04, 264834.13 7030120.07, 264833.67 7030119.6, 264832.79 7030118.68, 264832.29 7030118.15, 264831.46 7030117.29, 264830.9 7030116.71, 264830.12 7030115.9, 264829.52 7030115.26, 264828.82 7030114.54, 264828.13 7030113.82, 264827.49 7030113.14, 264826.76 7030112.38, 264826.13 7030111.73, 264826.03 7030111.63, 264825.53 7030111.11, 264825.36 7030110.93, 264824.79 7030110.33, 264824.67 7030110.2, 264823.98 7030109.48, 264823.46 7030108.95, 264823.28 7030108.76, 264822.59 7030108.04, 264822.13 7030107.55, 264821.81 7030107.22, 264821.21 7030106.59, 264820.8 7030106.17, 264819.84 7030105.17, 264819.13 7030104.42, 264818.44 7030103.7, 264817.75 7030102.98, 264817.05 7030102.26, 264816.36 7030101.53, 264815.67 7030100.81, 264814.98 7030100.09, 264814.28 7030099.37, 264813.87 7030098.93, 264813.53 7030098.58, 264812.84 7030097.86, 264812.18 7030097.17, 264812.12 7030097.11, 264811.45 7030096.38, 264810.79 7030095.61, 264810.46 7030095.2, 264810.16 7030094.81, 264809.56 7030094, 264809 7030093.17, 264808.47 7030092.31, 264807.97 7030091.44, 264807.8 7030091.14, 264807.5 7030090.56, 264807.07 7030089.65, 264806.68 7030088.74, 264806.55 7030088.43, 264806.31 7030087.8, 264806 7030086.89, 264805.43 7030085.02, 264804.88 7030083.14, 264804.12 7030080.3, 264803.41 7030077.45, 264803.07 7030076.16, 264802.78 7030075.5, 264802.53 7030075.02, 264802.06 7030074.34, 264801.35 7030073.59, 264800.9 7030073.21, 264800.52 7030072.95, 264799.6 7030072.47, 264799.01 7030072.26, 264798.41 7030072.1, 264798 7030072.03, 264797.58 7030071.99, 264797.17 7030071.98, 264796.96 7030071.98, 264796.54 7030072.01, 264796.13 7030072.06, 264795.72 7030072.14, 264795.51 7030072.2, 264795.51 7030072.01, 264795.51 7030071.93, 264795.5 7030071.73, 264795.5 7030071.53, 264795.5 7030071.42, 264795.51 7030071.15, 264795.52 7030070.78, 264795.54 7030070.43, 264795.56 7030070.05, 264795.6 7030069.59, 264795.65 7030069.17, 264795.7 7030068.79, 264795.75 7030068.49, 264795.8 7030068.15, 264795.82 7030068.05, 264795.89 7030067.69, 264795.95 7030067.4, 264796.05 7030066.94, 264796.16 7030066.54, 264796.29 7030066.06, 264796.38 7030065.77, 264796.49 7030065.42, 264796.58 7030065.15, 264796.81 7030064.51, 264797.04 7030063.95, 264797.19 7030063.6, 264797.43 7030063.1, 264797.76 7030062.43, 264798.27 7030061.53, 264798.65 7030060.92, 264799.01 7030060.38, 264799.55 7030059.49, 264800.1 7030058.65, 264800.7 7030057.88, 264801.23 7030057.28, 264802.05 7030056.45, 264802.3 7030056.23, 264803.26 7030055.41, 264804.69 7030054.44, 264805.75 7030053.87, 264806.7 7030053.43, 264807.9 7030052.95, 264809.22 7030052.51, 264810 7030052.29, 264810.78 7030052.09, 264811.37 7030051.96, 264813.55 7030051.61, 264814.35 7030051.52, 264815.54 7030051.39, 264816.48 7030051.28, 264817.53 7030051.17, 264819.52 7030050.94, 264823.49 7030050.5, 264824.4 7030058.66, 264819.5 7030058.17, 264817.14 7030058.23, 264811.62 7030058.65, 264808.04 7030059.57, 264806.8 7030060.12, 264806.18 7030060.82, 264802.78 7030066.62, 264801.78 7030069.05)</t>
  </si>
  <si>
    <t>POLYGON ((264801.78 7030069.05, 264803.19 7030070.61, 264804.8 7030072.16, 264806.23 7030074.65, 264806.87 7030077.09, 264807.57 7030080.03, 264808.77 7030085.11, 264809.63 7030087.81, 264810.53 7030089.33, 264811.92 7030091.2, 264813.38 7030093.48, 264814.47 7030095.08, 264823.1 7030103.97, 264827.06 7030107.97, 264831.49 7030112.28, 264835.76 7030117.17, 264840.81 7030122.64, 264847.82 7030128.08, 264850.54 7030131.52, 264854.46 7030136.27, 264856.77 7030141.42, 264857.57 7030145.73, 264857.33 7030150.15, 264855.84 7030154.48, 264855.14 7030156.12, 264860.42 7030157.12, 264861.7 7030156.95, 264865.11 7030155.33, 264873.12 7030150.04, 264881.3 7030143.06, 264892.24 7030133.6, 264908.44 7030118.38, 264913.58 7030113.6, 264916.95 7030111.09, 264919.3 7030108.88, 264927.09 7030101.24, 264930.56 7030096.34, 264934.71 7030093.16, 264938.45 7030089.42, 264941.68 7030084.86, 264945.25 7030080.52, 264949.31 7030077.31, 264954.78 7030072.01, 264958.93 7030067.55, 264963.78 7030061.48, 264968.71 7030054.6, 264971.41 7030051.45, 264979.8 7030042.4, 264985.55 7030036.45, 264993.14 7030029.99, 264995.77 7030026.27, 264999.51 7030021.24, 265003.21 7030017.21, 265007.02 7030013.52, 265011.03 7030009.64, 265014.17 7030007.56, 265017.79 7030005.31, 265021.09 7030003.6, 265016.7 7029999.29, 265011.98 7029995.43, 265005.62 7029990.63, 264998.09 7029986.78, 264991.07 7029984.81, 264977.47 7029981.2, 264967.51 7029978.24, 264943.95 7029971.53, 264937.92 7029969.93, 264924.32 7029964.99, 264904.99 7029957.68, 264893.76 7029952.15, 264885.02 7029946.57, 264869.15 7029937.62, 264857.27 7029930.89, 264843.59 7029924.13, 264836.19 7029918.92, 264820.86 7029910.27, 264815.26 7029906.86, 264812.23 7029916.86, 264809.42 7029928.85, 264806.42 7029940.94, 264801.92 7029956.53, 264798.34 7029967.8, 264796.49 7029976.26, 264794.9 7029988.1, 264794.83 7029994.78, 264794.31 7029998.46, 264794.67 7030008.52, 264795.12 7030011.02, 264794.88 7030016.11, 264795.29 7030021.35, 264796.63 7030026.49, 264798.91 7030029.45, 264802.23 7030032.65, 264807.61 7030033.31, 264812.53 7030033.31, 264821.77 7030033.25, 264822.43 7030041.05, 264820.44 7030041.25, 264818.44 7030041.39, 264817.44 7030041.44, 264816.44 7030041.47, 264814.43 7030041.48, 264813.23 7030041.46, 264812.41 7030041.43, 264809.98 7030041.29, 264808.86 7030041.19, 264807.12 7030041, 264805.9 7030040.84, 264804.67 7030040.65, 264803.58 7030040.43, 264802.39 7030040.1, 264801.53 7030039.8, 264800.71 7030039.45, 264800.07 7030039.15, 264799.62 7030038.91, 264799.27 7030038.72, 264798.46 7030038.21, 264797.02 7030037.14, 264795.72 7030035.97, 264794.41 7030034.87, 264793.16 7030033.59, 264791.95 7030032.04, 264791.47 7030031.3, 264791.11 7030030.71, 264790.44 7030029.49, 264789.74 7030028.09, 264789.14 7030026.81, 264788.77 7030025.82, 264788.17 7030024.12, 264787.63 7030022.25, 264787.19 7030020.35, 264786.87 7030018.45, 264786.64 7030016.53, 264786.45 7030014.6, 264786.2 7030011.34, 264786.07 7030008.81, 264785.99 7030005.5, 264786.02 7030001.5, 264786.28 7029996.16, 264786.45 7029993.86, 264786.86 7029989.46, 264787.25 7029985.99, 264787.72 7029982.39, 264788.12 7029979.57, 264788.65 7029976.19, 264789.53 7029971, 264790.42 7029966.13, 264791.56 7029960.29, 264792.75 7029954.43, 264794.81 7029944.63, 264796.44 7029936.75, 264798.33 7029926.78, 264799.34 7029920.78, 264800.57 7029912.7, 264801.38 7029906.58, 264801.81 7029902.48, 264801.99 7029900.42, 264802.11 7029898.9, 264803.82 7029898.97, 264803.53 7029897.86, 264803.64 7029896.76, 264803.39 7029894.69, 264803.38 7029892.03, 264803.35 7029887.76, 264802.72 7029880.39, 264804.87 7029881.77, 264807.02 7029883.15, 264809.18 7029884.53, 264811.34 7029885.9, 264813.51 7029887.26, 264815.68 7029888.62, 264815.55 7029888.83, 264817.95 7029890.33, 264820.35 7029891.81, 264822.76 7029893.3, 264825.17 7029894.77, 264827.58 7029896.24, 264830 7029897.7, 264832.43 7029899.15, 264834.86 7029900.6, 264837.29 7029902.04, 264839.72 7029903.47, 264842.16 7029904.89, 264844.61 7029906.31, 264847.05 7029907.73, 264849.51 7029909.13, 264851.96 7029910.53, 264854.42 7029911.92, 264856.88 7029913.31, 264859.32 7029914.67, 264861.76 7029916.02, 264864.21 7029917.37, 264866.66 7029918.71, 264869.11 7029920.05, 264871.56 7029921.38, 264874.13 7029922.75, 264876.69 7029924.12, 264879.26 7029925.49, 264881.83 7029926.84, 264884.41 7029928.19, 264886.99 7029929.53, 264889.57 7029930.86, 264892.16 7029932.19, 264894.75 7029933.51, 264897.34 7029934.82, 264899.94 7029936.13, 264902.54 7029937.43, 264905.15 7029938.72, 264907.76 7029940, 264910.37 7029941.28, 264912.99 7029942.55, 264915.6 7029943.81, 264918.23 7029945.07, 264920.85 7029946.32, 264923.48 7029947.56, 264926.11 7029948.79, 264928.75 7029950.02, 264931.39 7029951.24, 264934.03 7029952.45, 264936.68 7029953.66, 264939.33 7029954.86, 264941.98 7029956.05, 264944.64 7029957.23, 264947.3 7029958.41, 264949.96 7029959.57, 264952.63 7029960.74, 264955.3 7029961.89, 264957.97 7029963.04, 264960.64 7029964.17, 264963.32 7029965.31, 264966 7029966.43, 264968.69 7029967.55, 264971.37 7029968.66, 264974.06 7029969.76, 264976.76 7029970.86, 264979.46 7029971.94, 264982.16 7029973.02, 264984.86 7029974.1, 264987.56 7029975.16, 264990.27 7029976.22, 264992.98 7029977.27, 264995.7 7029978.31, 264998.41 7029979.35, 265001.13 7029980.38, 265003.86 7029981.4, 265006.58 7029982.41, 265009.31 7029983.42, 265012.04 7029984.41, 265014.77 7029985.41, 265017.51 7029986.39, 265020.25 7029987.36, 265022.99 7029988.33, 265025.74 7029989.29, 265028.48 7029990.25, 265031.23 7029991.19, 265033.99 7029992.13, 265036.74 7029993.06, 265039.5 7029993.98, 265042.26 7029994.9, 265045.02 7029995.81, 265047.78 7029996.71, 265050.55 7029997.6, 265053.32 7029998.48, 265056.09 7029999.36, 265058.87 7030000.23, 265061.65 7030001.09, 265064.43 7030001.95, 265067.21 7030002.79, 265069.99 7030003.63, 265072.78 7030004.47, 265075.57 7030005.29, 265078.36 7030006.11, 265081.15 7030006.91, 265083.94 7030007.72, 265086.74 7030008.51, 265089.54 7030009.29, 265092.34 7030010.07, 265095.15 7030010.84, 265097.95 7030011.6, 265100.76 7030012.36, 265103.65 7030013.13, 265106.54 7030013.89, 265109.43 7030014.64, 265112.32 7030015.38, 265115.21 7030016.12, 265118.1 7030016.85, 265121 7030017.58, 265123.89 7030018.3, 265126.79 7030019.01, 265129.68 7030019.72, 265132.58 7030020.42, 265135.47 7030021.12, 265139.33 7030022.04, 265143.19 7030022.96, 265147.05 7030023.87, 265150.91 7030024.77, 265154.77 7030025.67, 265158.63 7030026.57, 265164.41 7030027.91, 265170.19 7030029.25, 265179.05 7030031.3, 265187.91 7030033.36, 265192.33 7030034.39, 265196.75 7030035.43, 265201.16 7030036.48, 265205.58 7030037.52, 265209.11 7030038.37, 265212.63 7030039.22, 265216.15 7030040.07, 265219.68 7030040.94, 265223.19 7030041.8, 265226.12 7030042.53, 265229.05 7030043.27, 265231.97 7030044.01, 265234.9 7030044.75, 265237.82 7030045.5, 265240.74 7030046.26, 265243.82 7030047.07, 265246.9 7030047.88, 265249.97 7030048.7, 265253.05 7030049.53, 265256.12 7030050.37, 265259.19 7030051.22, 265262.26 7030052.07, 265265.33 7030052.93, 265268.39 7030053.79, 265271.45 7030054.67, 265274.51 7030055.55, 265277.57 7030056.44, 265280.63 7030057.34, 265283.68 7030058.24, 265286.73 7030059.15, 265289.78 7030060.07, 265292.83 7030061, 265295.87 7030061.94, 265298.91 7030062.88, 265301.95 7030063.83, 265301.76 7030063.78, 265300.79 7030063.55, 265299.81 7030063.32, 265298.84 7030063.09, 265297.86 7030062.87, 265296.89 7030062.64, 265295.91 7030062.42, 265294.93 7030062.2, 265293.96 7030061.98, 265292.98 7030061.77, 265292 7030061.55, 265291.02 7030061.34, 265290.04 7030061.13, 265289.06 7030060.92, 265288.08 7030060.72, 265287.1 7030060.51, 265286.12 7030060.31, 265285.14 7030060.11, 265284.16 7030059.91, 265283.17 7030059.71, 265282.19 7030059.52, 265281.21 7030059.33, 265280.22 7030059.14, 265279.24 7030058.95, 265278.26 7030058.76, 265277.27 7030058.58, 265276.29 7030058.39, 265275.3 7030058.21, 265274.32 7030058.03, 265273.33 7030057.86, 265272.34 7030057.68, 265271.36 7030057.51, 265270.37 7030057.34, 265269.38 7030057.17, 265268.4 7030057, 265267.41 7030056.84, 265266.42 7030056.68, 265265.43 7030056.51, 265264.44 7030056.36, 265263.45 7030056.2, 265262.46 7030056.04, 265261.47 7030055.89, 265260.48 7030055.74, 265259.49 7030055.59, 265258.5 7030055.44, 265257.51 7030055.3, 265256.52 7030055.16, 265255.53 7030055.01, 265254.54 7030054.88, 265253.54 7030054.74, 265252.55 7030054.6, 265251.56 7030054.47, 265250.57 7030054.34, 265249.57 7030054.21, 265248.58 7030054.08, 265247.59 7030053.96, 265246.59 7030053.83, 265245.6 7030053.71, 265244.6 7030053.59, 265243.61 7030053.48, 265242.61 7030053.36, 265241.62 7030053.25, 265240.62 7030053.14, 265239.63 7030053.03, 265238.63 7030052.92, 265237.64 7030052.81, 265236.64 7030052.71, 265235.64 7030052.61, 265234.65 7030052.51, 265233.65 7030052.41, 265232.65 7030052.32, 265231.65 7030052.22, 265230.66 7030052.13, 265229.66 7030052.04, 265228.66 7030051.96, 265227.66 7030051.87, 265226.67 7030051.79, 265225.67 7030051.71, 265224.67 7030051.63, 265223.67 7030051.55, 265222.67 7030051.47, 265221.67 7030051.4, 265220.67 7030051.33, 265219.67 7030051.26, 265218.67 7030051.19, 265217.67 7030051.13, 265216.67 7030051.06, 265215.68 7030051, 265214.68 7030050.94, 265213.68 7030050.89, 265212.68 7030050.83, 265211.68 7030050.78, 265210.68 7030050.72, 265209.67 7030050.67, 265208.67 7030050.63, 265207.67 7030050.58, 265206.67 7030050.54, 265205.67 7030050.5, 265204.67 7030050.46, 265203.67 7030050.42, 265202.67 7030050.38, 265201.67 7030050.35, 265200.67 7030050.32, 265199.67 7030050.29, 265198.67 7030050.26, 265197.66 7030050.24, 265196.66 7030050.22, 265195.66 7030050.19, 265194.66 7030050.17, 265193.66 7030050.16, 265192.66 7030050.14, 265191.65 7030050.13, 265190.65 7030050.12, 265189.65 7030050.11, 265188.65 7030050.1, 265187.65 7030050.09, 265186.65 7030050.09, 265185.64 7030050.09, 265184.64 7030050.09, 265183.64 7030050.09, 265182.64 7030050.1, 265181.64 7030050.1, 265180.64 7030050.11, 265179.64 7030050.12, 265178.63 7030050.14, 265177.63 7030050.15, 265176.63 7030050.17, 265175.63 7030050.19, 265174.63 7030050.21, 265173.63 7030050.23, 265172.63 7030050.25, 265171.62 7030050.28, 265170.62 7030050.31, 265169.62 7030050.34, 265168.62 7030050.37, 265167.62 7030050.41, 265166.62 7030050.44, 265165.62 7030050.48, 265164.62 7030050.52, 265163.62 7030050.57, 265162.62 7030050.61, 265161.62 7030050.66, 265160.61 7030050.71, 265159.61 7030050.76, 265158.61 7030050.81, 265157.61 7030050.86, 265156.61 7030050.92, 265155.61 7030050.98, 265154.61 7030051.04, 265153.61 7030051.1, 265152.62 7030051.17, 265151.62 7030051.24, 265150.62 7030051.3, 265149.62 7030051.37, 265148.62 7030051.45, 265147.62 7030051.52, 265146.62 7030051.6, 265145.62 7030051.68, 265144.62 7030051.76, 265143.63 7030051.84, 265142.63 7030051.93, 265141.63 7030052.01, 265140.63 7030052.1, 265139.63 7030052.19, 265138.64 7030052.28, 265137.64 7030052.38, 265136.64 7030052.47, 265135.65 7030052.57, 265134.65 7030052.67, 265133.65 7030052.78, 265132.66 7030052.88, 265131.66 7030052.99, 265130.67 7030053.1, 265129.67 7030053.21, 265128.67 7030053.32, 265127.68 7030053.43, 265126.68 7030053.55, 265125.69 7030053.67, 265124.7 7030053.79, 265123.7 7030053.91, 265122.71 7030054.04, 265121.72 7030054.16, 265120.72 7030054.29, 265119.73 7030054.42, 265118.74 7030054.55, 265117.74 7030054.69, 265116.75 7030054.83, 265115.76 7030054.96, 265114.77 7030055.1, 265113.78 7030055.25, 265112.78 7030055.39, 265111.79 7030055.54, 265110.8 7030055.69, 265109.81 7030055.84, 265108.82 7030055.99, 265107.83 7030056.14, 265106.84 7030056.3, 265105.85 7030056.46, 265104.87 7030056.62, 265103.88 7030056.78, 265102.89 7030056.94, 265101.9 7030057.11, 265100.91 7030057.28, 265099.93 7030057.45, 265098.94 7030057.62, 265097.95 7030057.79, 265096.97 7030057.97, 265095.98 7030058.15, 265095 7030058.33, 265094.01 7030058.51, 265093.03 7030058.69, 265092.04 7030058.88, 265091.06 7030059.07, 265090.08 7030059.26, 265089.09 7030059.45, 265088.11 7030059.64, 265087.13 7030059.84, 265086.15 7030060.04, 265085.16 7030060.24, 265084.18 7030060.44, 265083.2 7030060.64, 265082.22 7030060.85, 265081.24 7030061.05, 265080.26 7030061.26, 265079.28 7030061.47, 265078.3 7030061.69, 265077.33 7030061.9, 265076.35 7030062.12, 265075.37 7030062.34, 265074.39 7030062.56, 265073.42 7030062.78, 265072.44 7030063.01, 265071.47 7030063.24, 265070.49 7030063.47, 265069.52 7030063.7, 265068.54 7030063.93, 265067.57 7030064.16, 265066.6 7030064.4, 265065.62 7030064.64, 265064.65 7030064.88, 265063.68 7030065.12, 265062.71 7030065.37, 265061.74 7030065.61, 265060.77 7030065.86, 265059.8 7030066.11, 265058.83 7030066.37, 265057.86 7030066.62, 265056.89 7030066.88, 265055.92 7030067.13, 265054.96 7030067.39, 265053.99 7030067.66, 265053.02 7030067.92, 265052.06 7030068.19, 265051.09 7030068.45, 265050.13 7030068.72, 265049.16 7030069, 265048.49 7030069.19, 265048.2 7030069.27, 265047.24 7030069.54, 265046.27 7030069.82, 265045.31 7030070.1, 265044.35 7030070.38, 265043.39 7030070.67, 265042.43 7030070.95, 265041.47 7030071.24, 265040.51 7030071.53, 265039.55 7030071.82, 265038.59 7030072.11, 265037.64 7030072.41, 265037.34 7030072.5, 265036.68 7030072.71, 265035.73 7030073.01, 265034.77 7030073.31, 265033.82 7030073.62, 265032.86 7030073.92, 265031.91 7030074.23, 265030.96 7030074.55, 265030.01 7030074.86, 265029.34 7030075.08, 265029.06 7030075.18, 265028.11 7030075.5, 265027.16 7030075.82, 265026.21 7030076.14, 265025.26 7030076.47, 265024.32 7030076.79, 265023.37 7030077.13, 265022.42 7030077.46, 265021.48 7030077.79, 265020.54 7030078.13, 265019.6 7030078.47, 265018.65 7030078.82, 265017.71 7030079.16, 265016.77 7030079.51, 265015.83 7030079.86, 265014.9 7030080.21, 265013.96 7030080.56, 265013.02 7030080.92, 265012.09 7030081.28, 265011.15 7030081.64, 265010.22 7030082, 265009.29 7030082.37, 265008.36 7030082.74, 265007.43 7030083.11, 265006.5 7030083.48, 265005.57 7030083.86, 265004.64 7030084.24, 265003.71 7030084.62, 265002.79 7030085, 265001.86 7030085.38, 265000.94 7030085.77, 265000.01 7030086.16, 264999.09 7030086.55, 264998.17 7030086.95, 264997.25 7030087.34, 264996.33 7030087.74, 264995.41 7030088.14, 264994.49 7030088.54, 264993.58 7030088.95, 264992.66 7030089.36, 264991.75 7030089.77, 264990.84 7030090.18, 264989.92 7030090.59, 264989.01 7030091.01, 264988.1 7030091.43, 264987.19 7030091.85, 264986.29 7030092.27, 264985.38 7030092.7, 264984.47 7030093.13, 264983.57 7030093.56, 264982.67 7030093.99, 264981.76 7030094.43, 264980.86 7030094.86, 264979.96 7030095.3, 264979.06 7030095.74, 264978.16 7030096.19, 264977.27 7030096.63, 264976.37 7030097.08, 264975.48 7030097.53, 264974.58 7030097.99, 264973.69 7030098.44, 264972.8 7030098.9, 264971.91 7030099.36, 264971.02 7030099.82, 264970.13 7030100.28, 264969.24 7030100.75, 264968.36 7030101.22, 264967.47 7030101.69, 264966.59 7030102.16, 264965.71 7030102.64, 264964.83 7030103.11, 264963.95 7030103.59, 264963.07 7030104.08, 264962.19 7030104.56, 264961.32 7030105.05, 264960.44 7030105.53, 264959.57 7030106.02, 264958.7 7030106.52, 264957.82 7030107.01, 264956.95 7030107.51, 264956.09 7030108.01, 264955.22 7030108.51, 264954.35 7030109.01, 264953.49 7030109.52, 264952.62 7030110.03, 264952.21 7030110.27, 264951.76 7030110.54, 264950.9 7030111.05, 264950.04 7030111.56, 264949.18 7030112.08, 264948.32 7030112.6, 264947.47 7030113.12, 264946.61 7030113.64, 264945.76 7030114.17, 264944.91 7030114.69, 264944.06 7030115.22, 264943.21 7030115.75, 264942.36 7030116.29, 264941.51 7030116.82, 264940.67 7030117.36, 264939.82 7030117.9, 264938.98 7030118.44, 264938.14 7030118.99, 264937.3 7030119.53, 264936.46 7030120.08, 264935.62 7030120.63, 264934.79 7030121.18, 264933.95 7030121.74, 264933.12 7030122.29, 264932.29 7030122.85, 264931.46 7030123.41, 264930.63 7030123.98, 264929.8 7030124.54, 264928.98 7030125.11, 264928.15 7030125.68, 264927.33 7030126.25, 264926.51 7030126.82, 264925.69 7030127.4, 264924.87 7030127.97, 264924.05 7030128.55, 264923.24 7030129.14, 264922.42 7030129.72, 264921.61 7030130.3, 264920.8 7030130.89, 264919.99 7030131.48, 264919.18 7030132.07, 264918.37 7030132.67, 264917.56 7030133.26, 264917.4 7030133.38, 264916.76 7030133.86, 264915.96 7030134.46, 264915.57 7030134.75, 264915.16 7030135.06, 264914.36 7030135.66, 264913.56 7030136.27, 264912.76 7030136.87, 264911.97 7030137.48, 264911.17 7030138.09, 264910.38 7030138.71, 264909.59 7030139.32, 264908.8 7030139.93, 264908.01 7030140.55, 264907.22 7030141.17, 264906.43 7030141.78, 264905.64 7030142.41, 264904.86 7030143.03, 264904.07 7030143.65, 264903.29 7030144.27, 264902.51 7030144.9, 264901.73 7030145.52, 264900.94 7030146.15, 264900.16 7030146.78, 264899.38 7030147.4, 264898.61 7030148.03, 264897.83 7030148.66, 264897.05 7030149.29, 264896.27 7030149.93, 264895.5 7030150.56, 264894.72 7030151.19, 264893.96 7030151.81, 264893.17 7030152.46, 264892.4 7030153.09, 264891.62 7030153.72, 264890.58 7030154.58, 264888.8 7030152.65, 264890.24 7030151.3, 264891.81 7030149.84, 264893.89 7030147.91, 264897.56 7030144.49, 264904.1 7030138.29, 264907.97 7030134.56, 264910.34 7030132.29, 264913.37 7030129.31, 264918.01 7030124.8, 264921.47 7030121.44, 264924.98 7030117.94, 264930.82 7030112.12, 264935.21 7030107.76, 264937.17 7030105.8, 264940.31 7030102.65, 264942.34 7030100.63, 264945.62 7030097.33, 264948.11 7030094.84, 264951.55 7030091.4, 264953.42 7030089.52, 264956.43 7030086.49, 264959.43 7030083.48, 264963.1 7030079.82, 264966.19 7030076.73, 264971.62 7030071.31, 264974.43 7030068.47, 264975.91 7030067.11, 264978.14 7030065.1, 264981.87 7030061.75, 264986.35 7030057.75, 264989.34 7030055.11, 264992.35 7030052.48, 264993.12 7030051.82, 264993.94 7030051.24, 264995.59 7030050.09, 264997.24 7030048.94, 265000.16 7030046.24, 265001.63 7030044.89, 265003.85 7030042.9, 265005.07 7030041.8, 265008.32 7030038.96, 265012.1 7030035.74, 265015.16 7030033.21, 265016.7 7030031.97, 265018.25 7030030.73, 265021.37 7030028.3, 265022.96 7030027.1, 265023.75 7030026.51, 265026.14 7030024.75, 265027.75 7030023.6, 265029.37 7030022.46, 265031.66 7030020.9, 265034.24 7030019.18, 265034.46 7030019.32, 265034.52 7030019.35, 265034.59 7030019.38, 265034.66 7030019.4, 265034.73 7030019.41, 265034.8 7030019.42, 265034.87 7030019.42, 265034.95 7030019.41, 265035.01 7030019.4, 265035.08 7030019.37, 265035.15 7030019.34, 265035.21 7030019.31, 265036.23 7030018.65, 265037.25 7030018, 265038.28 7030017.35, 265039.31 7030016.71, 265040.34 7030016.08, 265041.38 7030015.45, 265042.42 7030014.83, 265043.47 7030014.22, 265044.52 7030013.61, 265045.57 7030013.01, 265046.63 7030012.42, 265047.69 7030011.83, 265048.75 7030011.25, 265049.82 7030010.68, 265050.89 7030010.11, 265051.97 7030009.55, 265053.05 7030008.99, 265054.13 7030008.45, 265055.21 7030007.91, 265056.3 7030007.37, 265057.4 7030006.85, 265058.49 7030006.32, 265059.59 7030005.81, 265060.69 7030005.3, 265061.79 7030004.8, 265059.79 7030004.19, 265058.45 7030003.77, 265057.85 7030003.58, 265057.34 7030003.42, 265056.88 7030003.28, 265055.92 7030002.98, 265053.98 7030002.37, 265052.04 7030001.75, 265050.11 7030001.14, 265048.18 7030000.51, 265047.21 7030000.2, 265046.94 7030000.11, 265046.25 7029999.89, 265044.31 7029999.26, 265043.62 7029999.03, 265042.5 7029999.63, 265041.39 7030000.24, 265040.28 7030000.86, 265039.17 7030001.48, 265038.06 7030002.11, 265036.96 7030002.74, 265035.87 7030003.38, 265034.77 7030004.03, 265033.69 7030004.68, 265032.6 7030005.35, 265031.52 7030006.01, 265030.44 7030006.69, 265029.37 7030007.37, 265028.3 7030008.06, 265028.2 7030007.94, 265025.61 7030009.65, 265022.19 7030012.17, 265019.19 7030014.48, 265017.23 7030016.03, 265010.82 7030021.35, 265004.49 7030026.68, 265000.58 7030030.04, 264997.24 7030033, 264995.22 7030034.81, 264993.7 7030036.19, 264990.7 7030038.97, 264989.21 7030040.37, 264988.89 7030040.79, 264986.11 7030044.51, 264982.73 7030048.29, 264978.06 7030053.62, 264973.44 7030058.96, 264968.85 7030064.3, 264962.06 7030072.22, 264956.86 7030078.21, 264952.84 7030082.31, 264947.92 7030087.24, 264943.37 7030091.79, 264940.22 7030094.96, 264931.11 7030104.08, 264926.39 7030108.8, 264922.5 7030112.64, 264919.45 7030115.67, 264916.69 7030118.39, 264914.56 7030120.49, 264911.67 7030123.34, 264907.13 7030127.74, 264904.18 7030130.59, 264900.5 7030134.12, 264897.15 7030137.32, 264893.91 7030140.37, 264891.08 7030143.04, 264888.38 7030145.52, 264885.79 7030147.89, 264883.16 7030150.15, 264881.2 7030151.73, 264878.82 7030153.55, 264875.54 7030155.86, 264873.87 7030156.97, 264870.44 7030159.09, 264867.07 7030161, 264865.09 7030162.03, 264863.23 7030162.92, 264861.72 7030163.45, 264859.88 7030163.9, 264859.35 7030163.98, 264859.23 7030164, 264859.02 7030164.03, 264858.63 7030164.07, 264858.44 7030164.09, 264858.25 7030164.1, 264858.06 7030164.12, 264857.88 7030164.13, 264857.7 7030164.14, 264857.52 7030164.15, 264857.34 7030164.15, 264857.16 7030164.15, 264856.98 7030164.16, 264856.81 7030164.15, 264855.11 7030164.05, 264853.47 7030163.82, 264851.83 7030163.67, 264851.14 7030163.6, 264851.16 7030163.28, 264850.36 7030163.17, 264849.76 7030163.05, 264849.29 7030162.92, 264848.58 7030162.75, 264847.59 7030162.47, 264846.79 7030162.19, 264846.41 7030162.04, 264844.8 7030161.24, 264842.94 7030160.02, 264841.32 7030158.67, 264841.27 7030158.62, 264840.85 7030158.19, 264840.73 7030158.04, 264839.98 7030156.97, 264840.42 7030156.71, 264840.8 7030156.47, 264840.91 7030156.4, 264841.79 7030155.8, 264842.01 7030155.64, 264842.86 7030154.95, 264843.79 7030154.08, 264844.65 7030153.14, 264844.73 7030153.05, 264845.43 7030152.14, 264846.13 7030151.09, 264846.75 7030149.99, 264847.27 7030148.86, 264847.76 7030147.7, 264848.16 7030146.52, 264848.47 7030145.31, 264848.68 7030144.07, 264848.8 7030142.83, 264848.82 7030141.58, 264848.74 7030140.33, 264848.57 7030139.09, 264848.3 7030137.87, 264847.94 7030136.67, 264847.49 7030135.51, 264846.96 7030134.38, 264846.33 7030133.29, 264845.63 7030132.26, 264844.84 7030131.28, 264844.3 7030130.68, 264844.06 7030130.43, 264843.52 7030129.88, 264843.36 7030129.71, 264842.67 7030128.99, 264842.43 7030128.73, 264841.98 7030128.26, 264841.65 7030127.92, 264841.29 7030127.54, 264840.88 7030127.12, 264840.59 7030126.82, 264840.25 7030126.47, 264839.9 7030126.1, 264839.55 7030125.74, 264839.21 7030125.37, 264838.89 7030125.04, 264838.33 7030124.46, 264837.82 7030123.93, 264837.63 7030123.73, 264837.13 7030123.21, 264836.83 7030122.89, 264836.44 7030122.49, 264835.75 7030121.76, 264835.53 7030121.53, 264835.05 7030121.04, 264834.13 7030120.07, 264833.67 7030119.6, 264832.79 7030118.68, 264832.29 7030118.15, 264831.46 7030117.29, 264830.9 7030116.71, 264830.12 7030115.9, 264829.52 7030115.26, 264828.82 7030114.54, 264828.13 7030113.82, 264827.49 7030113.14, 264826.76 7030112.38, 264826.13 7030111.73, 264826.03 7030111.63, 264825.53 7030111.11, 264825.36 7030110.93, 264824.79 7030110.33, 264824.67 7030110.2, 264823.98 7030109.48, 264823.46 7030108.95, 264823.28 7030108.76, 264822.59 7030108.04, 264822.13 7030107.55, 264821.81 7030107.22, 264821.21 7030106.59, 264820.8 7030106.17, 264819.84 7030105.17, 264819.13 7030104.42, 264818.44 7030103.7, 264817.75 7030102.98, 264817.05 7030102.26, 264816.36 7030101.53, 264815.67 7030100.81, 264814.98 7030100.09, 264814.28 7030099.37, 264813.87 7030098.93, 264813.53 7030098.58, 264812.84 7030097.86, 264812.18 7030097.17, 264812.12 7030097.11, 264811.45 7030096.38, 264810.79 7030095.61, 264810.46 7030095.2, 264810.16 7030094.81, 264809.56 7030094, 264809 7030093.17, 264808.47 7030092.31, 264807.97 7030091.44, 264807.8 7030091.14, 264807.5 7030090.56, 264807.07 7030089.65, 264806.68 7030088.74, 264806.55 7030088.43, 264806.31 7030087.8, 264806 7030086.89, 264805.43 7030085.02, 264804.88 7030083.14, 264804.12 7030080.3, 264803.41 7030077.45, 264803.07 7030076.16, 264802.78 7030075.5, 264802.53 7030075.02, 264802.06 7030074.34, 264801.35 7030073.59, 264800.9 7030073.21, 264800.52 7030072.95, 264799.6 7030072.47, 264799.01 7030072.26, 264798.41 7030072.1, 264798 7030072.03, 264797.58 7030071.99, 264797.17 7030071.98, 264796.96 7030071.98, 264796.54 7030072.01, 264796.13 7030072.06, 264795.72 7030072.14, 264795.51 7030072.2, 264795.51 7030072.01, 264795.51 7030071.93, 264795.5 7030071.73, 264795.5 7030071.53, 264795.5 7030071.42, 264795.51 7030071.15, 264795.52 7030070.78, 264795.54 7030070.43, 264795.56 7030070.05, 264795.6 7030069.59, 264795.65 7030069.17, 264795.7 7030068.79, 264795.75 7030068.49, 264795.8 7030068.15, 264795.82 7030068.05, 264795.89 7030067.69, 264795.95 7030067.4, 264796.05 7030066.94, 264796.16 7030066.54, 264796.29 7030066.06, 264796.38 7030065.77, 264796.49 7030065.42, 264796.58 7030065.15, 264796.81 7030064.51, 264797.04 7030063.95, 264797.19 7030063.6, 264797.43 7030063.1, 264797.76 7030062.43, 264798.27 7030061.53, 264798.65 7030060.92, 264799.01 7030060.38, 264799.55 7030059.49, 264800.1 7030058.65, 264800.7 7030057.88, 264801.23 7030057.28, 264802.05 7030056.45, 264802.3 7030056.23, 264803.26 7030055.41, 264804.69 7030054.44, 264805.75 7030053.87, 264806.7 7030053.43, 264807.9 7030052.95, 264809.22 7030052.51, 264810 7030052.29, 264810.78 7030052.09, 264811.37 7030051.96, 264813.55 7030051.61, 264814.35 7030051.52, 264815.54 7030051.39, 264816.48 7030051.28, 264817.53 7030051.17, 264819.52 7030050.94, 264823.49 7030050.5, 264824.4 7030058.66, 264819.5 7030058.17, 264817.14 7030058.23, 264811.62 7030058.65, 264808.04 7030059.57, 264806.8 7030060.12, 264806.18 7030060.82, 264802.78 7030066.62, 264801.78 7030069.05))</t>
  </si>
  <si>
    <t>2022-06-15</t>
  </si>
  <si>
    <t>['EV39 S1D1 m97-355']</t>
  </si>
  <si>
    <t>LINESTRING (264514.89 7030295.03, 264514.92 7030294.86, 264514.95 7030294.75, 264514.99 7030294.64, 264515.03 7030294.53, 264515.08 7030294.43, 264515.14 7030294.33, 264515.2 7030294.23, 264515.27 7030294.14, 264515.34 7030294.05, 264515.42 7030293.97, 264515.51 7030293.89, 264515.6 7030293.82, 264515.69 7030293.76, 264515.79 7030293.7, 264515.89 7030293.65, 264516 7030293.6, 264516.1 7030293.57, 264516.21 7030293.54, 264516.33 7030293.51, 264516.44 7030293.49, 264516.55 7030293.49, 264516.67 7030293.48, 264516.78 7030293.49, 264516.9 7030293.5, 264517.01 7030293.52, 264517.12 7030293.55, 264517.23 7030293.59, 264517.33 7030293.63, 264517.44 7030293.68, 264517.54 7030293.74, 264517.63 7030293.8, 264521.2 7030296.28, 264521.38 7030296.41, 264521.76 7030296.67, 264522.14 7030296.92, 264522.52 7030297.16, 264522.91 7030297.4, 264523.3 7030297.63, 264523.7 7030297.85, 264524.1 7030298.07, 264524.5 7030298.28, 264524.91 7030298.49, 264525.32 7030298.68, 264525.73 7030298.87, 264526.15 7030299.05, 264526.57 7030299.23, 264526.99 7030299.4, 264527.42 7030299.56, 264527.84 7030299.71, 264528.27 7030299.86, 264528.71 7030300, 264529.14 7030300.13, 264529.58 7030300.26, 264530.02 7030300.37, 264530.46 7030300.48, 264530.9 7030300.58, 264531.35 7030300.68, 264531.8 7030300.77, 264532.24 7030300.85, 264532.69 7030300.92, 264533.14 7030300.98, 264533.6 7030301.04, 264534.05 7030301.09, 264534.5 7030301.13, 264534.96 7030301.16, 264535.41 7030301.19, 264535.86 7030301.2, 264536.32 7030301.21, 264536.77 7030301.22, 264537.23 7030301.21, 264537.68 7030301.2, 264538.14 7030301.18, 264538.59 7030301.15, 264540.57 7030301, 264542.56 7030300.85, 264544.54 7030300.69, 264546.52 7030300.52, 264548.5 7030300.34, 264550.48 7030300.16, 264552.46 7030299.96, 264554.44 7030299.76, 264556.41 7030299.56, 264558.39 7030299.34, 264560.37 7030299.11, 264562.34 7030298.88, 264564.31 7030298.64, 264566.29 7030298.4, 264568.26 7030298.14, 264570.23 7030297.88, 264572.2 7030297.61, 264574.17 7030297.33, 264576.13 7030297.04, 264578.1 7030296.75, 264580.07 7030296.45, 264582.03 7030296.14, 264583.99 7030295.82, 264585.95 7030295.49, 264587.91 7030295.16, 264589.87 7030294.82, 264591.83 7030294.47, 264593.79 7030294.11, 264595.74 7030293.75, 264597.69 7030293.38, 264599.65 7030293, 264601.6 7030292.61, 264603.54 7030292.22, 264605.49 7030291.81, 264607.44 7030291.4, 264609.38 7030290.98, 264611.32 7030290.56, 264613.26 7030290.13, 264615.2 7030289.68, 264617.14 7030289.24, 264619.07 7030288.78, 264621.01 7030288.31, 264622.94 7030287.84, 264624.87 7030287.36, 264626.79 7030286.88, 264628.72 7030286.38, 264630.64 7030285.88, 264632.57 7030285.37, 264634.48 7030284.85, 264636.4 7030284.33, 264638.32 7030283.79, 264640.23 7030283.25, 264642.14 7030282.7, 264644.05 7030282.15, 264645.96 7030281.59, 264647.86 7030281.02, 264649.76 7030280.44, 264651.66 7030279.85, 264653.56 7030279.26, 264655.46 7030278.66, 264657.35 7030278.05, 264659.24 7030277.43, 264661.1 7030276.82, 264662.96 7030276.2, 264664.81 7030275.57, 264666.67 7030274.94, 264668.52 7030274.29, 264670.36 7030273.64, 264672.21 7030272.98, 264674.05 7030272.32, 264675.89 7030271.65, 264677.73 7030270.97, 264679.56 7030270.28, 264681.39 7030269.59, 264683.22 7030268.89, 264685.05 7030268.18, 264686.88 7030267.47, 264688.7 7030266.75, 264690.51 7030266.02, 264692.33 7030265.28, 264694.14 7030264.54, 264695.95 7030263.79, 264697.76 7030263.03, 264698.57 7030262.69, 264699.39 7030262.36, 264700.21 7030262.04, 264701.03 7030261.72, 264701.85 7030261.41, 264702.68 7030261.11, 264703.51 7030260.82, 264704.34 7030260.53, 264705.18 7030260.25, 264706.02 7030259.98, 264706.86 7030259.72, 264707.7 7030259.46, 264708.55 7030259.21, 264709.39 7030258.97, 264710.24 7030258.73, 264711.09 7030258.51, 264711.95 7030258.29, 264712.8 7030258.08, 264713.66 7030257.88, 264714.52 7030257.68, 264715.38 7030257.49, 264716.24 7030257.31, 264717.07 7030257.14, 264717.9 7030256.96, 264718.72 7030256.77, 264719.54 7030256.57, 264720.36 7030256.37, 264721.18 7030256.16, 264722 7030255.94, 264722.82 7030255.71, 264723.63 7030255.48, 264724.44 7030255.24, 264725.25 7030254.99, 264726.05 7030254.73, 264726.86 7030254.47, 264727.66 7030254.2, 264728.46 7030253.92, 264729.25 7030253.64, 264730.05 7030253.34, 264730.84 7030253.04, 264731.63 7030252.74, 264732.41 7030252.42, 264733.19 7030252.1, 264733.97 7030251.77, 264734.75 7030251.43, 264735.52 7030251.09, 264736.29 7030250.74, 264737.06 7030250.38, 264737.82 7030250.02, 264738.58 7030249.65, 264739.34 7030249.27, 264740.09 7030248.88, 264740.84 7030248.49, 264741.58 7030248.09, 264742.33 7030247.68, 264743.06 7030247.27, 264743.8 7030246.85, 264744.53 7030246.42, 264745.26 7030245.99, 264745.98 7030245.55, 264746.7 7030245.1, 264747.41 7030244.65, 264747.78 7030244.41, 264754.36 7030240.2, 264754.45 7030240.14, 264754.56 7030240.09, 264754.66 7030240.04, 264754.77 7030240, 264754.88 7030239.97, 264755 7030239.95, 264755.11 7030239.93, 264755.23 7030239.92, 264755.34 7030239.92, 264755.46 7030239.93, 264755.57 7030239.94, 264755.68 7030239.96, 264755.8 7030239.99, 264755.91 7030240.03, 264756.01 7030240.07, 264756.12 7030240.12, 264756.22 7030240.18, 264756.31 7030240.24, 264756.41 7030240.31, 264756.49 7030240.39, 264756.57 7030240.47, 264756.65 7030240.56, 264756.72 7030240.65, 264756.77 7030240.72, 264756.81 7030240.81, 264756.81 7030240.89, 264756.79 7030240.98, 264756.73 7030241.04, 264748.58 7030246.28, 264749.74 7030248.33, 264744.84 7030251.78, 264738.56 7030256.23, 264735.17 7030258.67, 264734.79 7030258.92, 264733.34 7030259.8, 264732.31 7030260.36, 264729.92 7030261.65, 264729.15 7030262.07, 264724.82 7030264.36, 264723.04 7030265.21, 264721.26 7030266.06, 264720.36 7030266.48, 264719.47 7030266.89, 264717.68 7030267.72, 264715.88 7030268.55, 264714.09 7030269.36, 264712.28 7030270.17, 264710.48 7030270.97, 264708.67 7030271.76, 264707.55 7030272.25, 264706.86 7030272.54, 264705.45 7030273.15, 264705.04 7030273.32, 264703.23 7030274.09, 264701.41 7030274.85, 264699.58 7030275.61, 264697.76 7030276.36, 264695.93 7030277.1, 264694.09 7030277.84, 264692.26 7030278.57, 264690.42 7030279.29, 264688.58 7030280, 264686.74 7030280.71, 264684.89 7030281.41, 264683.04 7030282.11, 264681.19 7030282.79, 264679.34 7030283.47, 264677.48 7030284.15, 264675.62 7030284.81, 264673.76 7030285.47, 264671.9 7030286.13, 264670.03 7030286.77, 264668.16 7030287.41, 264666.29 7030288.04, 264665.35 7030288.35, 264664.42 7030288.67, 264662.54 7030289.28, 264660.66 7030289.89, 264658.78 7030290.5, 264658.34 7030290.64, 264656.9 7030291.09, 264655.01 7030291.68, 264653.75 7030292.07, 264653.12 7030292.27, 264651.23 7030292.84, 264649.33 7030293.41, 264647.44 7030293.97, 264646.49 7030294.25, 264645.54 7030294.53, 264643.64 7030295.09, 264641.74 7030295.64, 264639.83 7030296.18, 264637.92 7030296.71, 264636.01 7030297.24, 264634.1 7030297.76, 264632.18 7030298.28, 264630.26 7030298.78, 264628.34 7030299.28, 264626.42 7030299.78, 264624.49 7030300.26, 264623.53 7030300.5, 264622.56 7030300.74, 264620.63 7030301.21, 264618.7 7030301.67, 264616.77 7030302.13, 264614.83 7030302.58, 264612.89 7030303.02, 264610.95 7030303.46, 264609 7030303.88, 264608.86 7030303.92, 264607.06 7030304.31, 264605.11 7030304.72, 264603.16 7030305.12, 264601.21 7030305.52, 264601.1 7030305.55, 264600.63 7030305.64, 264600.24 7030305.71, 264594.06 7030296.57, 264578.63 7030299.15, 264567.62 7030300.63, 264559.6 7030301.5, 264553.57 7030302.1, 264540.24 7030303.2, 264536.17 7030303.48, 264531.52 7030303.12, 264527.79 7030302.09, 264522.63 7030300.42, 264521.49 7030299.7, 264518.65 7030297.26, 264515.53 7030296.06, 264515.13 7030296.04, 264514.6 7030296.09, 264514.29 7030296.18, 264513.96 7030296.36, 264513.38 7030296.86, 264514.69 7030294.98, 264514.89 7030295.03)</t>
  </si>
  <si>
    <t>POLYGON ((264514.89 7030295.03, 264514.92 7030294.86, 264514.95 7030294.75, 264514.99 7030294.64, 264515.03 7030294.53, 264515.08 7030294.43, 264515.14 7030294.33, 264515.2 7030294.23, 264515.27 7030294.14, 264515.34 7030294.05, 264515.42 7030293.97, 264515.51 7030293.89, 264515.6 7030293.82, 264515.69 7030293.76, 264515.79 7030293.7, 264515.89 7030293.65, 264516 7030293.6, 264516.1 7030293.57, 264516.21 7030293.54, 264516.33 7030293.51, 264516.44 7030293.49, 264516.55 7030293.49, 264516.67 7030293.48, 264516.78 7030293.49, 264516.9 7030293.5, 264517.01 7030293.52, 264517.12 7030293.55, 264517.23 7030293.59, 264517.33 7030293.63, 264517.44 7030293.68, 264517.54 7030293.74, 264517.63 7030293.8, 264521.2 7030296.28, 264521.38 7030296.41, 264521.76 7030296.67, 264522.14 7030296.92, 264522.52 7030297.16, 264522.91 7030297.4, 264523.3 7030297.63, 264523.7 7030297.85, 264524.1 7030298.07, 264524.5 7030298.28, 264524.91 7030298.49, 264525.32 7030298.68, 264525.73 7030298.87, 264526.15 7030299.05, 264526.57 7030299.23, 264526.99 7030299.4, 264527.42 7030299.56, 264527.84 7030299.71, 264528.27 7030299.86, 264528.71 7030300, 264529.14 7030300.13, 264529.58 7030300.26, 264530.02 7030300.37, 264530.46 7030300.48, 264530.9 7030300.58, 264531.35 7030300.68, 264531.8 7030300.77, 264532.24 7030300.85, 264532.69 7030300.92, 264533.14 7030300.98, 264533.6 7030301.04, 264534.05 7030301.09, 264534.5 7030301.13, 264534.96 7030301.16, 264535.41 7030301.19, 264535.86 7030301.2, 264536.32 7030301.21, 264536.77 7030301.22, 264537.23 7030301.21, 264537.68 7030301.2, 264538.14 7030301.18, 264538.59 7030301.15, 264540.57 7030301, 264542.56 7030300.85, 264544.54 7030300.69, 264546.52 7030300.52, 264548.5 7030300.34, 264550.48 7030300.16, 264552.46 7030299.96, 264554.44 7030299.76, 264556.41 7030299.56, 264558.39 7030299.34, 264560.37 7030299.11, 264562.34 7030298.88, 264564.31 7030298.64, 264566.29 7030298.4, 264568.26 7030298.14, 264570.23 7030297.88, 264572.2 7030297.61, 264574.17 7030297.33, 264576.13 7030297.04, 264578.1 7030296.75, 264580.07 7030296.45, 264582.03 7030296.14, 264583.99 7030295.82, 264585.95 7030295.49, 264587.91 7030295.16, 264589.87 7030294.82, 264591.83 7030294.47, 264593.79 7030294.11, 264595.74 7030293.75, 264597.69 7030293.38, 264599.65 7030293, 264601.6 7030292.61, 264603.54 7030292.22, 264605.49 7030291.81, 264607.44 7030291.4, 264609.38 7030290.98, 264611.32 7030290.56, 264613.26 7030290.13, 264615.2 7030289.68, 264617.14 7030289.24, 264619.07 7030288.78, 264621.01 7030288.31, 264622.94 7030287.84, 264624.87 7030287.36, 264626.79 7030286.88, 264628.72 7030286.38, 264630.64 7030285.88, 264632.57 7030285.37, 264634.48 7030284.85, 264636.4 7030284.33, 264638.32 7030283.79, 264640.23 7030283.25, 264642.14 7030282.7, 264644.05 7030282.15, 264645.96 7030281.59, 264647.86 7030281.02, 264649.76 7030280.44, 264651.66 7030279.85, 264653.56 7030279.26, 264655.46 7030278.66, 264657.35 7030278.05, 264659.24 7030277.43, 264661.1 7030276.82, 264662.96 7030276.2, 264664.81 7030275.57, 264666.67 7030274.94, 264668.52 7030274.29, 264670.36 7030273.64, 264672.21 7030272.98, 264674.05 7030272.32, 264675.89 7030271.65, 264677.73 7030270.97, 264679.56 7030270.28, 264681.39 7030269.59, 264683.22 7030268.89, 264685.05 7030268.18, 264686.88 7030267.47, 264688.7 7030266.75, 264690.51 7030266.02, 264692.33 7030265.28, 264694.14 7030264.54, 264695.95 7030263.79, 264697.76 7030263.03, 264698.57 7030262.69, 264699.39 7030262.36, 264700.21 7030262.04, 264701.03 7030261.72, 264701.85 7030261.41, 264702.68 7030261.11, 264703.51 7030260.82, 264704.34 7030260.53, 264705.18 7030260.25, 264706.02 7030259.98, 264706.86 7030259.72, 264707.7 7030259.46, 264708.55 7030259.21, 264709.39 7030258.97, 264710.24 7030258.73, 264711.09 7030258.51, 264711.95 7030258.29, 264712.8 7030258.08, 264713.66 7030257.88, 264714.52 7030257.68, 264715.38 7030257.49, 264716.24 7030257.31, 264717.07 7030257.14, 264717.9 7030256.96, 264718.72 7030256.77, 264719.54 7030256.57, 264720.36 7030256.37, 264721.18 7030256.16, 264722 7030255.94, 264722.82 7030255.71, 264723.63 7030255.48, 264724.44 7030255.24, 264725.25 7030254.99, 264726.05 7030254.73, 264726.86 7030254.47, 264727.66 7030254.2, 264728.46 7030253.92, 264729.25 7030253.64, 264730.05 7030253.34, 264730.84 7030253.04, 264731.63 7030252.74, 264732.41 7030252.42, 264733.19 7030252.1, 264733.97 7030251.77, 264734.75 7030251.43, 264735.52 7030251.09, 264736.29 7030250.74, 264737.06 7030250.38, 264737.82 7030250.02, 264738.58 7030249.65, 264739.34 7030249.27, 264740.09 7030248.88, 264740.84 7030248.49, 264741.58 7030248.09, 264742.33 7030247.68, 264743.06 7030247.27, 264743.8 7030246.85, 264744.53 7030246.42, 264745.26 7030245.99, 264745.98 7030245.55, 264746.7 7030245.1, 264747.41 7030244.65, 264747.78 7030244.41, 264754.36 7030240.2, 264754.45 7030240.14, 264754.56 7030240.09, 264754.66 7030240.04, 264754.77 7030240, 264754.88 7030239.97, 264755 7030239.95, 264755.11 7030239.93, 264755.23 7030239.92, 264755.34 7030239.92, 264755.46 7030239.93, 264755.57 7030239.94, 264755.68 7030239.96, 264755.8 7030239.99, 264755.91 7030240.03, 264756.01 7030240.07, 264756.12 7030240.12, 264756.22 7030240.18, 264756.31 7030240.24, 264756.41 7030240.31, 264756.49 7030240.39, 264756.57 7030240.47, 264756.65 7030240.56, 264756.72 7030240.65, 264756.77 7030240.72, 264756.81 7030240.81, 264756.81 7030240.89, 264756.79 7030240.98, 264756.73 7030241.04, 264748.58 7030246.28, 264749.74 7030248.33, 264744.84 7030251.78, 264738.56 7030256.23, 264735.17 7030258.67, 264734.79 7030258.92, 264733.34 7030259.8, 264732.31 7030260.36, 264729.92 7030261.65, 264729.15 7030262.07, 264724.82 7030264.36, 264723.04 7030265.21, 264721.26 7030266.06, 264720.36 7030266.48, 264719.47 7030266.89, 264717.68 7030267.72, 264715.88 7030268.55, 264714.09 7030269.36, 264712.28 7030270.17, 264710.48 7030270.97, 264708.67 7030271.76, 264707.55 7030272.25, 264706.86 7030272.54, 264705.45 7030273.15, 264705.04 7030273.32, 264703.23 7030274.09, 264701.41 7030274.85, 264699.58 7030275.61, 264697.76 7030276.36, 264695.93 7030277.1, 264694.09 7030277.84, 264692.26 7030278.57, 264690.42 7030279.29, 264688.58 7030280, 264686.74 7030280.71, 264684.89 7030281.41, 264683.04 7030282.11, 264681.19 7030282.79, 264679.34 7030283.47, 264677.48 7030284.15, 264675.62 7030284.81, 264673.76 7030285.47, 264671.9 7030286.13, 264670.03 7030286.77, 264668.16 7030287.41, 264666.29 7030288.04, 264665.35 7030288.35, 264664.42 7030288.67, 264662.54 7030289.28, 264660.66 7030289.89, 264658.78 7030290.5, 264658.34 7030290.64, 264656.9 7030291.09, 264655.01 7030291.68, 264653.75 7030292.07, 264653.12 7030292.27, 264651.23 7030292.84, 264649.33 7030293.41, 264647.44 7030293.97, 264646.49 7030294.25, 264645.54 7030294.53, 264643.64 7030295.09, 264641.74 7030295.64, 264639.83 7030296.18, 264637.92 7030296.71, 264636.01 7030297.24, 264634.1 7030297.76, 264632.18 7030298.28, 264630.26 7030298.78, 264628.34 7030299.28, 264626.42 7030299.78, 264624.49 7030300.26, 264623.53 7030300.5, 264622.56 7030300.74, 264620.63 7030301.21, 264618.7 7030301.67, 264616.77 7030302.13, 264614.83 7030302.58, 264612.89 7030303.02, 264610.95 7030303.46, 264609 7030303.88, 264608.86 7030303.92, 264607.06 7030304.31, 264605.11 7030304.72, 264603.16 7030305.12, 264601.21 7030305.52, 264601.1 7030305.55, 264600.63 7030305.64, 264600.24 7030305.71, 264594.06 7030296.57, 264578.63 7030299.15, 264567.62 7030300.63, 264559.6 7030301.5, 264553.57 7030302.1, 264540.24 7030303.2, 264536.17 7030303.48, 264531.52 7030303.12, 264527.79 7030302.09, 264522.63 7030300.42, 264521.49 7030299.7, 264518.65 7030297.26, 264515.53 7030296.06, 264515.13 7030296.04, 264514.6 7030296.09, 264514.29 7030296.18, 264513.96 7030296.36, 264513.38 7030296.86, 264514.69 7030294.98, 264514.89 7030295.03))</t>
  </si>
  <si>
    <t>['EV6 S73D1 m8 KD4 m22-73']</t>
  </si>
  <si>
    <t>LINESTRING (264814.86 7030106.95, 264815.38 7030106.47, 264815.45 7030106.41, 264815.7 7030106.33, 264816.08 7030106.38, 264816.33 7030106.57, 264816.6 7030106.85, 264816.94 7030107.2, 264817.29 7030107.57, 264817.98 7030108.28, 264818.27 7030108.59, 264818.68 7030109.01, 264819.28 7030109.64, 264819.37 7030109.74, 264819.6 7030109.98, 264820.06 7030110.46, 264820.76 7030111.18, 264820.94 7030111.37, 264821.45 7030111.9, 264822.14 7030112.63, 264822.27 7030112.76, 264822.83 7030113.35, 264823.01 7030113.53, 264823.5 7030114.05, 264823.6 7030114.15, 264824.23 7030114.81, 264824.91 7030115.52, 264825.59 7030116.25, 264825.68 7030116.33, 264826.26 7030116.94, 264826.4 7030117.09, 264826.98 7030117.69, 264827.13 7030117.85, 264827.59 7030118.33, 264827.85 7030118.6, 264828.36 7030119.14, 264828.57 7030119.35, 264828.93 7030119.72, 264829.06 7030119.86, 264829.75 7030120.58, 264830.01 7030120.85, 264830.25 7030121.11, 264830.44 7030121.3, 264831.13 7030122.03, 264831.42 7030122.33, 264831.59 7030122.5, 264831.83 7030122.75, 264832.52 7030123.47, 264832.89 7030123.86, 264832.99 7030123.96, 264833.21 7030124.19, 264833.9 7030124.92, 264834.29 7030125.32, 264834.6 7030125.64, 264835.09 7030126.16, 264835.29 7030126.36, 264835.79 7030126.89, 264835.98 7030127.08, 264836.35 7030127.47, 264836.67 7030127.8, 264837.02 7030128.17, 264837.19 7030128.35, 264837.36 7030128.53, 264837.72 7030128.9, 264838.06 7030129.25, 264838.35 7030129.55, 264838.56 7030129.77, 264838.75 7030129.97, 264839.11 7030130.35, 264839.44 7030130.69, 264839.59 7030130.85, 264839.89 7030131.16, 264840.13 7030131.42, 264840.83 7030132.14, 264840.99 7030132.31, 264841.52 7030132.86, 264841.76 7030133.12, 264842.19 7030133.59, 264842.8 7030134.35, 264843.36 7030135.16, 264843.85 7030136.01, 264844.27 7030136.89, 264844.62 7030137.81, 264844.9 7030138.75, 264845.11 7030139.71, 264845.24 7030140.68, 264845.3 7030141.66, 264845.29 7030142.64, 264845.2 7030143.61, 264845.03 7030144.58, 264844.79 7030145.53, 264844.48 7030146.46, 264844.1 7030147.36, 264843.6 7030148.21, 264843.05 7030149.01, 264842.43 7030149.76, 264841.83 7030150.41, 264841.77 7030150.47, 264841.05 7030151.11, 264840.29 7030151.7, 264839.6 7030152.15, 264839.49 7030152.22, 264839.43 7030152.26, 264838.74 7030152.64, 264838.65 7030152.68, 264838.35 7030152.83, 264837.89 7030153.05, 264837.7 7030153.14, 264837.59 7030153.19, 264837 7030152.03, 264836.54 7030151.03, 264835.79 7030149.18, 264835.19 7030147.25, 264834.61 7030145.31, 264834.39 7030143.93, 264834.21 7030143.13, 264833.72 7030143.24, 264833.52 7030142.34, 264833.41 7030141.83, 264833.39 7030141.78, 264833.28 7030141.55, 264832.92 7030140.89, 264832.57 7030140.23, 264832.46 7030140.02, 264833.87 7030139.26, 264831.54 7030134.88, 264830.1 7030135.58, 264825.99 7030127.86, 264814.86 7030106.95)</t>
  </si>
  <si>
    <t>POLYGON ((264814.86 7030106.95, 264815.38 7030106.47, 264815.45 7030106.41, 264815.7 7030106.33, 264816.08 7030106.38, 264816.33 7030106.57, 264816.6 7030106.85, 264816.94 7030107.2, 264817.29 7030107.57, 264817.98 7030108.28, 264818.27 7030108.59, 264818.68 7030109.01, 264819.28 7030109.64, 264819.37 7030109.74, 264819.6 7030109.98, 264820.06 7030110.46, 264820.76 7030111.18, 264820.94 7030111.37, 264821.45 7030111.9, 264822.14 7030112.63, 264822.27 7030112.76, 264822.83 7030113.35, 264823.01 7030113.53, 264823.5 7030114.05, 264823.6 7030114.15, 264824.23 7030114.81, 264824.91 7030115.52, 264825.59 7030116.25, 264825.68 7030116.33, 264826.26 7030116.94, 264826.4 7030117.09, 264826.98 7030117.69, 264827.13 7030117.85, 264827.59 7030118.33, 264827.85 7030118.6, 264828.36 7030119.14, 264828.57 7030119.35, 264828.93 7030119.72, 264829.06 7030119.86, 264829.75 7030120.58, 264830.01 7030120.85, 264830.25 7030121.11, 264830.44 7030121.3, 264831.13 7030122.03, 264831.42 7030122.33, 264831.59 7030122.5, 264831.83 7030122.75, 264832.52 7030123.47, 264832.89 7030123.86, 264832.99 7030123.96, 264833.21 7030124.19, 264833.9 7030124.92, 264834.29 7030125.32, 264834.6 7030125.64, 264835.09 7030126.16, 264835.29 7030126.36, 264835.79 7030126.89, 264835.98 7030127.08, 264836.35 7030127.47, 264836.67 7030127.8, 264837.02 7030128.17, 264837.19 7030128.35, 264837.36 7030128.53, 264837.72 7030128.9, 264838.06 7030129.25, 264838.35 7030129.55, 264838.56 7030129.77, 264838.75 7030129.97, 264839.11 7030130.35, 264839.44 7030130.69, 264839.59 7030130.85, 264839.89 7030131.16, 264840.13 7030131.42, 264840.83 7030132.14, 264840.99 7030132.31, 264841.52 7030132.86, 264841.76 7030133.12, 264842.19 7030133.59, 264842.8 7030134.35, 264843.36 7030135.16, 264843.85 7030136.01, 264844.27 7030136.89, 264844.62 7030137.81, 264844.9 7030138.75, 264845.11 7030139.71, 264845.24 7030140.68, 264845.3 7030141.66, 264845.29 7030142.64, 264845.2 7030143.61, 264845.03 7030144.58, 264844.79 7030145.53, 264844.48 7030146.46, 264844.1 7030147.36, 264843.6 7030148.21, 264843.05 7030149.01, 264842.43 7030149.76, 264841.83 7030150.41, 264841.77 7030150.47, 264841.05 7030151.11, 264840.29 7030151.7, 264839.6 7030152.15, 264839.49 7030152.22, 264839.43 7030152.26, 264838.74 7030152.64, 264838.65 7030152.68, 264838.35 7030152.83, 264837.89 7030153.05, 264837.7 7030153.14, 264837.59 7030153.19, 264837 7030152.03, 264836.54 7030151.03, 264835.79 7030149.18, 264835.19 7030147.25, 264834.61 7030145.31, 264834.39 7030143.93, 264834.21 7030143.13, 264833.72 7030143.24, 264833.52 7030142.34, 264833.41 7030141.83, 264833.39 7030141.78, 264833.28 7030141.55, 264832.92 7030140.89, 264832.57 7030140.23, 264832.46 7030140.02, 264833.87 7030139.26, 264831.54 7030134.88, 264830.1 7030135.58, 264825.99 7030127.86, 264814.86 7030106.95))</t>
  </si>
  <si>
    <t>['EV39 S1D1 m19-91']</t>
  </si>
  <si>
    <t>LINESTRING (264829.91 7030213.83, 264830.4 7030214.45, 264831.11 7030215.16, 264831.83 7030215.86, 264832.56 7030216.56, 264833.29 7030217.25, 264834.04 7030217.94, 264834.71 7030218.68, 264835.39 7030219.42, 264836.08 7030220.15, 264836.58 7030220.66, 264837.05 7030221.15, 264837.15 7030221.25, 264837.24 7030221.37, 264837.33 7030221.48, 264837.41 7030221.61, 264837.48 7030221.73, 264837.55 7030221.86, 264837.61 7030221.99, 264837.66 7030222.13, 264837.71 7030222.27, 264837.75 7030222.41, 264837.78 7030222.55, 264837.81 7030222.7, 264837.82 7030222.84, 264837.83 7030222.99, 264837.83 7030223.14, 264837.82 7030223.28, 264837.81 7030223.43, 264837.79 7030223.57, 264837.76 7030223.72, 264837.72 7030223.86, 264837.67 7030224, 264837.62 7030224.13, 264837.56 7030224.27, 264837.49 7030224.4, 264837.42 7030224.52, 264837.34 7030224.64, 264837.25 7030224.76, 264837.16 7030224.88, 264837.06 7030224.98, 264823.35 7030239.18, 264822.92 7030239.62, 264822.48 7030240.06, 264822.03 7030240.5, 264821.58 7030240.93, 264821.12 7030241.35, 264820.65 7030241.77, 264820.19 7030242.18, 264819.71 7030242.59, 264819.23 7030242.99, 264818.75 7030243.38, 264818.26 7030243.77, 264817.77 7030244.15, 264817.27 7030244.53, 264816.77 7030244.9, 264816.26 7030245.26, 264815.75 7030245.62, 264815.23 7030245.97, 264814.71 7030246.32, 264814.18 7030246.65, 264813.65 7030246.98, 264813.12 7030247.31, 264812.58 7030247.62, 264812.04 7030247.93, 264811.5 7030248.24, 264810.95 7030248.54, 264810.4 7030248.83, 264809.84 7030249.11, 264809.28 7030249.38, 264808.72 7030249.65, 264808.15 7030249.92, 264807.58 7030250.17, 264807.01 7030250.42, 264806.43 7030250.66, 264805.85 7030250.89, 264805.27 7030251.12, 264804.69 7030251.34, 264804.1 7030251.55, 264803.51 7030251.75, 264802.92 7030251.95, 264802.32 7030252.14, 264801.72 7030252.32, 264801.12 7030252.49, 264800.52 7030252.66, 264799.92 7030252.82, 264799.31 7030252.97, 264798.71 7030253.11, 264775.37 7030258.48, 264775.29 7030258.5, 264775.21 7030258.5, 264775.13 7030258.5, 264775.05 7030258.49, 264774.97 7030258.47, 264774.9 7030258.45, 264774.83 7030258.42, 264774.76 7030258.38, 264774.69 7030258.33, 264774.64 7030258.28, 264774.58 7030258.22, 264774.53 7030258.16, 264774.49 7030258.09, 264774.46 7030258.02, 264774.43 7030257.94, 264774.41 7030257.87, 264774.4 7030257.79, 264774.4 7030257.71, 264774.4 7030257.63, 264774.41 7030257.55, 264774.43 7030257.48, 264774.46 7030257.4, 264774.49 7030257.33, 264774.54 7030257.26, 264774.58 7030257.2, 264774.64 7030257.14, 264774.7 7030257.09, 264774.76 7030257.05, 264775.46 7030256.6, 264775.58 7030256.52, 264777.31 7030255.42, 264779.03 7030254.31, 264780.76 7030253.21, 264782.49 7030252.1, 264784.22 7030251, 264785.94 7030249.89, 264787.67 7030248.79, 264789.4 7030247.68, 264791.13 7030246.58, 264792.85 7030245.47, 264793.15 7030245.29, 264793.37 7030245.14, 264794.58 7030244.37, 264795.96 7030243.48, 264796.31 7030243.26, 264797.61 7030242.43, 264798.04 7030242.15, 264798.44 7030241.9, 264799.77 7030241.05, 264801.23 7030240.11, 264799.59 7030237.78, 264801.47 7030236.41, 264802.81 7030235.21, 264803.34 7030234.68, 264803.44 7030234.57, 264803.55 7030234.45, 264803.76 7030234.22, 264803.85 7030234.13, 264803.99 7030233.98, 264804.13 7030233.83, 264804.16 7030233.79, 264804.45 7030233.48, 264804.71 7030233.2, 264804.97 7030232.93, 264805.02 7030232.87, 264805.28 7030232.59, 264805.58 7030232.27, 264806.01 7030231.81, 264806.78 7030230.98, 264807.82 7030229.86, 264808.51 7030229.12, 264809.11 7030228.48, 264809.55 7030228, 264809.86 7030227.67, 264810.21 7030227.25, 264810.66 7030226.77, 264811.03 7030226.39, 264811.44 7030225.98, 264811.68 7030225.7, 264812.06 7030225.3, 264813.04 7030224.53, 264814.5 7030223.39, 264815.64 7030222.49, 264816.22 7030222.05, 264816.53 7030221.8, 264816.88 7030221.53, 264817.52 7030221.03, 264818.55 7030220.22, 264820.49 7030218.74, 264820.62 7030218.9, 264821.03 7030218.62, 264822.86 7030217.47, 264824.45 7030216.56, 264826.66 7030215.42, 264828.69 7030214.4, 264829.91 7030213.83)</t>
  </si>
  <si>
    <t>POLYGON ((264829.91 7030213.83, 264830.4 7030214.45, 264831.11 7030215.16, 264831.83 7030215.86, 264832.56 7030216.56, 264833.29 7030217.25, 264834.04 7030217.94, 264834.71 7030218.68, 264835.39 7030219.42, 264836.08 7030220.15, 264836.58 7030220.66, 264837.05 7030221.15, 264837.15 7030221.25, 264837.24 7030221.37, 264837.33 7030221.48, 264837.41 7030221.61, 264837.48 7030221.73, 264837.55 7030221.86, 264837.61 7030221.99, 264837.66 7030222.13, 264837.71 7030222.27, 264837.75 7030222.41, 264837.78 7030222.55, 264837.81 7030222.7, 264837.82 7030222.84, 264837.83 7030222.99, 264837.83 7030223.14, 264837.82 7030223.28, 264837.81 7030223.43, 264837.79 7030223.57, 264837.76 7030223.72, 264837.72 7030223.86, 264837.67 7030224, 264837.62 7030224.13, 264837.56 7030224.27, 264837.49 7030224.4, 264837.42 7030224.52, 264837.34 7030224.64, 264837.25 7030224.76, 264837.16 7030224.88, 264837.06 7030224.98, 264823.35 7030239.18, 264822.92 7030239.62, 264822.48 7030240.06, 264822.03 7030240.5, 264821.58 7030240.93, 264821.12 7030241.35, 264820.65 7030241.77, 264820.19 7030242.18, 264819.71 7030242.59, 264819.23 7030242.99, 264818.75 7030243.38, 264818.26 7030243.77, 264817.77 7030244.15, 264817.27 7030244.53, 264816.77 7030244.9, 264816.26 7030245.26, 264815.75 7030245.62, 264815.23 7030245.97, 264814.71 7030246.32, 264814.18 7030246.65, 264813.65 7030246.98, 264813.12 7030247.31, 264812.58 7030247.62, 264812.04 7030247.93, 264811.5 7030248.24, 264810.95 7030248.54, 264810.4 7030248.83, 264809.84 7030249.11, 264809.28 7030249.38, 264808.72 7030249.65, 264808.15 7030249.92, 264807.58 7030250.17, 264807.01 7030250.42, 264806.43 7030250.66, 264805.85 7030250.89, 264805.27 7030251.12, 264804.69 7030251.34, 264804.1 7030251.55, 264803.51 7030251.75, 264802.92 7030251.95, 264802.32 7030252.14, 264801.72 7030252.32, 264801.12 7030252.49, 264800.52 7030252.66, 264799.92 7030252.82, 264799.31 7030252.97, 264798.71 7030253.11, 264775.37 7030258.48, 264775.29 7030258.5, 264775.21 7030258.5, 264775.13 7030258.5, 264775.05 7030258.49, 264774.97 7030258.47, 264774.9 7030258.45, 264774.83 7030258.42, 264774.76 7030258.38, 264774.69 7030258.33, 264774.64 7030258.28, 264774.58 7030258.22, 264774.53 7030258.16, 264774.49 7030258.09, 264774.46 7030258.02, 264774.43 7030257.94, 264774.41 7030257.87, 264774.4 7030257.79, 264774.4 7030257.71, 264774.4 7030257.63, 264774.41 7030257.55, 264774.43 7030257.48, 264774.46 7030257.4, 264774.49 7030257.33, 264774.54 7030257.26, 264774.58 7030257.2, 264774.64 7030257.14, 264774.7 7030257.09, 264774.76 7030257.05, 264775.46 7030256.6, 264775.58 7030256.52, 264777.31 7030255.42, 264779.03 7030254.31, 264780.76 7030253.21, 264782.49 7030252.1, 264784.22 7030251, 264785.94 7030249.89, 264787.67 7030248.79, 264789.4 7030247.68, 264791.13 7030246.58, 264792.85 7030245.47, 264793.15 7030245.29, 264793.37 7030245.14, 264794.58 7030244.37, 264795.96 7030243.48, 264796.31 7030243.26, 264797.61 7030242.43, 264798.04 7030242.15, 264798.44 7030241.9, 264799.77 7030241.05, 264801.23 7030240.11, 264799.59 7030237.78, 264801.47 7030236.41, 264802.81 7030235.21, 264803.34 7030234.68, 264803.44 7030234.57, 264803.55 7030234.45, 264803.76 7030234.22, 264803.85 7030234.13, 264803.99 7030233.98, 264804.13 7030233.83, 264804.16 7030233.79, 264804.45 7030233.48, 264804.71 7030233.2, 264804.97 7030232.93, 264805.02 7030232.87, 264805.28 7030232.59, 264805.58 7030232.27, 264806.01 7030231.81, 264806.78 7030230.98, 264807.82 7030229.86, 264808.51 7030229.12, 264809.11 7030228.48, 264809.55 7030228, 264809.86 7030227.67, 264810.21 7030227.25, 264810.66 7030226.77, 264811.03 7030226.39, 264811.44 7030225.98, 264811.68 7030225.7, 264812.06 7030225.3, 264813.04 7030224.53, 264814.5 7030223.39, 264815.64 7030222.49, 264816.22 7030222.05, 264816.53 7030221.8, 264816.88 7030221.53, 264817.52 7030221.03, 264818.55 7030220.22, 264820.49 7030218.74, 264820.62 7030218.9, 264821.03 7030218.62, 264822.86 7030217.47, 264824.45 7030216.56, 264826.66 7030215.42, 264828.69 7030214.4, 264829.91 7030213.83))</t>
  </si>
  <si>
    <t>['EV39 S1D1 m20-93']</t>
  </si>
  <si>
    <t>LINESTRING (264819.65 7030200.91, 264818.19 7030202.67, 264817.02 7030204, 264815.66 7030205.45, 264813.04 7030208.11, 264812.43 7030208.6, 264812.67 7030208.89, 264808.46 7030212.05, 264804.85 7030214.51, 264800.99 7030216.85, 264796.17 7030219.49, 264793.26 7030221.08, 264792.09 7030221.77, 264790.42 7030219.46, 264789.66 7030219.95, 264788.98 7030220.38, 264788.04 7030219.09, 264787.17 7030219.65, 264786.94 7030219.79, 264786.78 7030219.89, 264786.6 7030220.01, 264785.44 7030220.75, 264783.94 7030221.71, 264784.85 7030223.03, 264784.72 7030223.11, 264784.31 7030223.38, 264783.08 7030224.17, 264782.75 7030224.38, 264781.43 7030225.22, 264780.28 7030225.95, 264780.07 7030226.09, 264779.79 7030226.27, 264778.15 7030227.32, 264776.51 7030228.37, 264774.87 7030229.43, 264773.22 7030230.48, 264771.58 7030231.53, 264769.94 7030232.58, 264768.3 7030233.63, 264766.66 7030234.69, 264765.02 7030235.74, 264763.38 7030236.79, 264761.73 7030237.84, 264760.65 7030238.53, 264760.59 7030238.57, 264760.52 7030238.6, 264760.45 7030238.63, 264760.38 7030238.64, 264760.31 7030238.65, 264760.23 7030238.65, 264760.16 7030238.65, 264760.09 7030238.64, 264760.02 7030238.62, 264759.95 7030238.59, 264759.88 7030238.56, 264759.82 7030238.52, 264759.76 7030238.47, 264759.71 7030238.42, 264759.66 7030238.36, 264759.62 7030238.3, 264759.58 7030238.24, 264759.55 7030238.17, 264759.53 7030238.1, 264759.51 7030238.03, 264759.49 7030237.89, 264759.48 7030237.74, 264759.47 7030237.59, 264759.47 7030237.45, 264759.48 7030237.3, 264759.5 7030237.16, 264759.53 7030237.01, 264759.56 7030236.87, 264759.6 7030236.73, 264759.65 7030236.59, 264759.7 7030236.46, 264759.77 7030236.32, 264759.84 7030236.19, 264759.91 7030236.07, 264759.99 7030235.95, 264760.08 7030235.83, 264760.18 7030235.72, 264760.28 7030235.62, 264760.38 7030235.52, 264760.84 7030235.1, 264761.3 7030234.68, 264761.75 7030234.25, 264762.19 7030233.82, 264762.63 7030233.38, 264763.06 7030232.94, 264763.49 7030232.49, 264763.92 7030232.04, 264764.33 7030231.59, 264764.75 7030231.12, 264765.15 7030230.66, 264765.55 7030230.19, 264765.95 7030229.71, 264766.34 7030229.23, 264766.73 7030228.75, 264767.11 7030228.26, 264767.48 7030227.76, 264778.81 7030212.63, 264779.17 7030212.14, 264779.54 7030211.67, 264779.92 7030211.2, 264780.3 7030210.73, 264780.69 7030210.27, 264781.09 7030209.82, 264781.49 7030209.36, 264781.89 7030208.92, 264782.3 7030208.48, 264782.72 7030208.04, 264783.14 7030207.62, 264783.57 7030207.19, 264784.01 7030206.77, 264784.45 7030206.36, 264784.89 7030205.95, 264785.34 7030205.55, 264785.79 7030205.16, 264786.25 7030204.77, 264786.72 7030204.38, 264787.19 7030204, 264787.66 7030203.63, 264788.14 7030203.27, 264788.63 7030202.91, 264789.12 7030202.56, 264789.61 7030202.21, 264790.11 7030201.87, 264809 7030189.13, 264809.12 7030189.05, 264809.25 7030188.98, 264809.38 7030188.91, 264809.51 7030188.86, 264809.65 7030188.81, 264809.79 7030188.76, 264809.93 7030188.73, 264810.07 7030188.7, 264810.21 7030188.68, 264810.36 7030188.66, 264810.5 7030188.66, 264810.65 7030188.66, 264810.79 7030188.67, 264810.94 7030188.69, 264811.08 7030188.71, 264811.22 7030188.74, 264811.36 7030188.78, 264811.5 7030188.83, 264811.63 7030188.89, 264811.76 7030188.95, 264811.89 7030189.01, 264812.02 7030189.09, 264812.14 7030189.17, 264812.25 7030189.26, 264812.36 7030189.35, 264812.47 7030189.45, 264812.57 7030189.56, 264812.67 7030189.67, 264812.76 7030189.78, 264812.84 7030189.9, 264812.92 7030190.02, 264812.98 7030190.15, 264813.27 7030190.69, 264813.55 7030191.22, 264813.85 7030191.76, 264814.15 7030192.28, 264814.45 7030192.81, 264814.77 7030193.33, 264815.09 7030193.85, 264815.41 7030194.36, 264815.62 7030194.69, 264815.96 7030195.2, 264816.53 7030196.03, 264817.04 7030196.91, 264817.55 7030197.76, 264818.08 7030198.6, 264819.18 7030200.32, 264819.65 7030200.91)</t>
  </si>
  <si>
    <t>POLYGON ((264819.65 7030200.91, 264818.19 7030202.67, 264817.02 7030204, 264815.66 7030205.45, 264813.04 7030208.11, 264812.43 7030208.6, 264812.67 7030208.89, 264808.46 7030212.05, 264804.85 7030214.51, 264800.99 7030216.85, 264796.17 7030219.49, 264793.26 7030221.08, 264792.09 7030221.77, 264790.42 7030219.46, 264789.66 7030219.95, 264788.98 7030220.38, 264788.04 7030219.09, 264787.17 7030219.65, 264786.94 7030219.79, 264786.78 7030219.89, 264786.6 7030220.01, 264785.44 7030220.75, 264783.94 7030221.71, 264784.85 7030223.03, 264784.72 7030223.11, 264784.31 7030223.38, 264783.08 7030224.17, 264782.75 7030224.38, 264781.43 7030225.22, 264780.28 7030225.95, 264780.07 7030226.09, 264779.79 7030226.27, 264778.15 7030227.32, 264776.51 7030228.37, 264774.87 7030229.43, 264773.22 7030230.48, 264771.58 7030231.53, 264769.94 7030232.58, 264768.3 7030233.63, 264766.66 7030234.69, 264765.02 7030235.74, 264763.38 7030236.79, 264761.73 7030237.84, 264760.65 7030238.53, 264760.59 7030238.57, 264760.52 7030238.6, 264760.45 7030238.63, 264760.38 7030238.64, 264760.31 7030238.65, 264760.23 7030238.65, 264760.16 7030238.65, 264760.09 7030238.64, 264760.02 7030238.62, 264759.95 7030238.59, 264759.88 7030238.56, 264759.82 7030238.52, 264759.76 7030238.47, 264759.71 7030238.42, 264759.66 7030238.36, 264759.62 7030238.3, 264759.58 7030238.24, 264759.55 7030238.17, 264759.53 7030238.1, 264759.51 7030238.03, 264759.49 7030237.89, 264759.48 7030237.74, 264759.47 7030237.59, 264759.47 7030237.45, 264759.48 7030237.3, 264759.5 7030237.16, 264759.53 7030237.01, 264759.56 7030236.87, 264759.6 7030236.73, 264759.65 7030236.59, 264759.7 7030236.46, 264759.77 7030236.32, 264759.84 7030236.19, 264759.91 7030236.07, 264759.99 7030235.95, 264760.08 7030235.83, 264760.18 7030235.72, 264760.28 7030235.62, 264760.38 7030235.52, 264760.84 7030235.1, 264761.3 7030234.68, 264761.75 7030234.25, 264762.19 7030233.82, 264762.63 7030233.38, 264763.06 7030232.94, 264763.49 7030232.49, 264763.92 7030232.04, 264764.33 7030231.59, 264764.75 7030231.12, 264765.15 7030230.66, 264765.55 7030230.19, 264765.95 7030229.71, 264766.34 7030229.23, 264766.73 7030228.75, 264767.11 7030228.26, 264767.48 7030227.76, 264778.81 7030212.63, 264779.17 7030212.14, 264779.54 7030211.67, 264779.92 7030211.2, 264780.3 7030210.73, 264780.69 7030210.27, 264781.09 7030209.82, 264781.49 7030209.36, 264781.89 7030208.92, 264782.3 7030208.48, 264782.72 7030208.04, 264783.14 7030207.62, 264783.57 7030207.19, 264784.01 7030206.77, 264784.45 7030206.36, 264784.89 7030205.95, 264785.34 7030205.55, 264785.79 7030205.16, 264786.25 7030204.77, 264786.72 7030204.38, 264787.19 7030204, 264787.66 7030203.63, 264788.14 7030203.27, 264788.63 7030202.91, 264789.12 7030202.56, 264789.61 7030202.21, 264790.11 7030201.87, 264809 7030189.13, 264809.12 7030189.05, 264809.25 7030188.98, 264809.38 7030188.91, 264809.51 7030188.86, 264809.65 7030188.81, 264809.79 7030188.76, 264809.93 7030188.73, 264810.07 7030188.7, 264810.21 7030188.68, 264810.36 7030188.66, 264810.5 7030188.66, 264810.65 7030188.66, 264810.79 7030188.67, 264810.94 7030188.69, 264811.08 7030188.71, 264811.22 7030188.74, 264811.36 7030188.78, 264811.5 7030188.83, 264811.63 7030188.89, 264811.76 7030188.95, 264811.89 7030189.01, 264812.02 7030189.09, 264812.14 7030189.17, 264812.25 7030189.26, 264812.36 7030189.35, 264812.47 7030189.45, 264812.57 7030189.56, 264812.67 7030189.67, 264812.76 7030189.78, 264812.84 7030189.9, 264812.92 7030190.02, 264812.98 7030190.15, 264813.27 7030190.69, 264813.55 7030191.22, 264813.85 7030191.76, 264814.15 7030192.28, 264814.45 7030192.81, 264814.77 7030193.33, 264815.09 7030193.85, 264815.41 7030194.36, 264815.62 7030194.69, 264815.96 7030195.2, 264816.53 7030196.03, 264817.04 7030196.91, 264817.55 7030197.76, 264818.08 7030198.6, 264819.18 7030200.32, 264819.65 7030200.91))</t>
  </si>
  <si>
    <t>2020-07-20</t>
  </si>
  <si>
    <t>['FV707 S2D1 m10862-11062']</t>
  </si>
  <si>
    <t>LINESTRING (264841.16 7030227.03, 264841.29 7030227, 264841.42 7030226.99, 264841.55 7030226.98, 264841.68 7030226.97, 264841.81 7030226.98, 264841.94 7030226.99, 264842.07 7030227.01, 264842.2 7030227.04, 264842.33 7030227.08, 264842.45 7030227.12, 264842.57 7030227.17, 264842.69 7030227.22, 264842.8 7030227.29, 264842.91 7030227.36, 264843.02 7030227.43, 264843.12 7030227.51, 264843.84 7030228.13, 264844.89 7030228.99, 264845.35 7030229.37, 264846.14 7030230, 264846.93 7030230.62, 264847.73 7030231.23, 264848.53 7030231.84, 264849.35 7030232.44, 264850.16 7030233.03, 264850.99 7030233.61, 264851.82 7030234.18, 264852.65 7030234.74, 264853.49 7030235.3, 264854.34 7030235.85, 264855.19 7030236.39, 264856.05 7030236.92, 264856.91 7030237.44, 264857.78 7030237.96, 264858.65 7030238.46, 264859.53 7030238.96, 264860.41 7030239.44, 264861.3 7030239.92, 264862.19 7030240.39, 264863.09 7030240.85, 264863.27 7030240.94, 264865.77 7030242.21, 264870.23 7030244.46, 264874.7 7030246.72, 264875.87 7030247.31, 264879.17 7030248.97, 264883.63 7030251.23, 264888.1 7030253.48, 264892.27 7030255.59, 264892.56 7030255.74, 264897.03 7030257.99, 264901.5 7030260.24, 264905.96 7030262.5, 264910.43 7030264.75, 264914.9 7030267.01, 264919.36 7030269.26, 264923.83 7030271.52, 264925.12 7030272.17, 264926.42 7030272.83, 264928.3 7030273.77, 264929.2 7030274.21, 264931.01 7030275.09, 264932.83 7030275.94, 264935.2 7030277.04, 264938.76 7030278.62, 264942 7030280.01, 264948.27 7030282.18, 264951.51 7030283.23, 264951.86 7030283.35, 264955.39 7030284.62, 264957.4 7030285.31, 264959.43 7030285.98, 264961.16 7030286.53, 264961.46 7030286.62, 264963.47 7030287.24, 264965.46 7030287.83, 264967.42 7030288.41, 264968.65 7030288.76, 264969.34 7030288.97, 264971.24 7030289.52, 264973.09 7030290.07, 264974.92 7030290.62, 264975.68 7030290.86, 264976.7 7030291.19, 264978.48 7030291.77, 264982.02 7030292.99, 264983.86 7030293.67, 264985.7 7030294.36, 264987.53 7030295.08, 264989.35 7030295.81, 264991.17 7030296.57, 264992.97 7030297.35, 264994.77 7030298.14, 264995.82 7030298.62, 264996.5 7030298.95, 264997.05 7030299.22, 264997.6 7030299.5, 264998.14 7030299.79, 264998.67 7030300.08, 264999.2 7030300.39, 264999.73 7030300.71, 265000.25 7030301.03, 265000.76 7030301.37, 265001.27 7030301.71, 265001.64 7030301.97, 265002.88 7030302.83, 265003.8 7030303.48, 265004.51 7030303.99, 265006.15 7030305.14, 265007.47 7030306.06, 265007.79 7030306.29, 265009.43 7030307.44, 265011.06 7030308.59, 265011.88 7030309.16, 265012.7 7030309.74, 265014.34 7030310.89, 265016.81 7030312.37, 265015.46 7030315.18, 265009.79 7030312.13, 265009.1 7030311.44, 265007.56 7030310.28, 265005.99 7030309.01, 265004.2 7030307.55, 265002.67 7030306.37, 264999.98 7030304.25, 264997.26 7030302.88, 264995.23 7030301.98, 264992.13 7030300.56, 264986.86 7030298.99, 264979.26 7030296.4, 264977.15 7030295.56, 264973.67 7030294.79, 264971.85 7030294.17, 264969.86 7030293.68, 264967.72 7030293.13, 264964 7030292.6, 264958.92 7030290.75, 264951.9 7030288.93, 264946.52 7030285.78, 264944.05 7030285.43, 264940.17 7030284.03, 264938.87 7030283.14, 264932.89 7030279.92, 264929.83 7030278.16, 264924.31 7030275.28, 264922.37 7030273.36, 264918.33 7030271.32, 264913.86 7030269.06, 264909.39 7030266.81, 264904.93 7030264.55, 264900.46 7030262.3, 264895.99 7030260.04, 264891.53 7030257.79, 264891.23 7030257.64, 264887.06 7030255.53, 264882.6 7030253.28, 264878.13 7030251.02, 264874.83 7030249.36, 264873.66 7030248.77, 264869.2 7030246.52, 264864.73 7030244.26, 264862.23 7030243, 264862.05 7030242.9, 264861.13 7030242.43, 264860.22 7030241.95, 264859.31 7030241.46, 264858.41 7030240.96, 264857.51 7030240.46, 264856.62 7030239.94, 264855.73 7030239.42, 264854.85 7030238.88, 264853.97 7030238.34, 264853.1 7030237.79, 264852.23 7030237.23, 264851.37 7030236.66, 264850.52 7030236.08, 264849.67 7030235.49, 264848.83 7030234.9, 264847.99 7030234.3, 264847.16 7030233.68, 264846.34 7030233.07, 264845.52 7030232.44, 264844.71 7030231.8, 264843.9 7030231.16, 264843.43 7030230.77, 264843.1 7030230.5, 264843 7030230.45, 264842.89 7030230.39, 264842.78 7030230.35, 264842.67 7030230.31, 264842.55 7030230.28, 264842.43 7030230.26, 264842.31 7030230.25, 264842.19 7030230.24, 264842.08 7030230.25, 264841.96 7030230.26, 264841.84 7030230.28, 264841.72 7030230.3, 264841.16 7030227.03)</t>
  </si>
  <si>
    <t>POLYGON ((264841.16 7030227.03, 264841.29 7030227, 264841.42 7030226.99, 264841.55 7030226.98, 264841.68 7030226.97, 264841.81 7030226.98, 264841.94 7030226.99, 264842.07 7030227.01, 264842.2 7030227.04, 264842.33 7030227.08, 264842.45 7030227.12, 264842.57 7030227.17, 264842.69 7030227.22, 264842.8 7030227.29, 264842.91 7030227.36, 264843.02 7030227.43, 264843.12 7030227.51, 264843.84 7030228.13, 264844.89 7030228.99, 264845.35 7030229.37, 264846.14 7030230, 264846.93 7030230.62, 264847.73 7030231.23, 264848.53 7030231.84, 264849.35 7030232.44, 264850.16 7030233.03, 264850.99 7030233.61, 264851.82 7030234.18, 264852.65 7030234.74, 264853.49 7030235.3, 264854.34 7030235.85, 264855.19 7030236.39, 264856.05 7030236.92, 264856.91 7030237.44, 264857.78 7030237.96, 264858.65 7030238.46, 264859.53 7030238.96, 264860.41 7030239.44, 264861.3 7030239.92, 264862.19 7030240.39, 264863.09 7030240.85, 264863.27 7030240.94, 264865.77 7030242.21, 264870.23 7030244.46, 264874.7 7030246.72, 264875.87 7030247.31, 264879.17 7030248.97, 264883.63 7030251.23, 264888.1 7030253.48, 264892.27 7030255.59, 264892.56 7030255.74, 264897.03 7030257.99, 264901.5 7030260.24, 264905.96 7030262.5, 264910.43 7030264.75, 264914.9 7030267.01, 264919.36 7030269.26, 264923.83 7030271.52, 264925.12 7030272.17, 264926.42 7030272.83, 264928.3 7030273.77, 264929.2 7030274.21, 264931.01 7030275.09, 264932.83 7030275.94, 264935.2 7030277.04, 264938.76 7030278.62, 264942 7030280.01, 264948.27 7030282.18, 264951.51 7030283.23, 264951.86 7030283.35, 264955.39 7030284.62, 264957.4 7030285.31, 264959.43 7030285.98, 264961.16 7030286.53, 264961.46 7030286.62, 264963.47 7030287.24, 264965.46 7030287.83, 264967.42 7030288.41, 264968.65 7030288.76, 264969.34 7030288.97, 264971.24 7030289.52, 264973.09 7030290.07, 264974.92 7030290.62, 264975.68 7030290.86, 264976.7 7030291.19, 264978.48 7030291.77, 264982.02 7030292.99, 264983.86 7030293.67, 264985.7 7030294.36, 264987.53 7030295.08, 264989.35 7030295.81, 264991.17 7030296.57, 264992.97 7030297.35, 264994.77 7030298.14, 264995.82 7030298.62, 264996.5 7030298.95, 264997.05 7030299.22, 264997.6 7030299.5, 264998.14 7030299.79, 264998.67 7030300.08, 264999.2 7030300.39, 264999.73 7030300.71, 265000.25 7030301.03, 265000.76 7030301.37, 265001.27 7030301.71, 265001.64 7030301.97, 265002.88 7030302.83, 265003.8 7030303.48, 265004.51 7030303.99, 265006.15 7030305.14, 265007.47 7030306.06, 265007.79 7030306.29, 265009.43 7030307.44, 265011.06 7030308.59, 265011.88 7030309.16, 265012.7 7030309.74, 265014.34 7030310.89, 265016.81 7030312.37, 265015.46 7030315.18, 265009.79 7030312.13, 265009.1 7030311.44, 265007.56 7030310.28, 265005.99 7030309.01, 265004.2 7030307.55, 265002.67 7030306.37, 264999.98 7030304.25, 264997.26 7030302.88, 264995.23 7030301.98, 264992.13 7030300.56, 264986.86 7030298.99, 264979.26 7030296.4, 264977.15 7030295.56, 264973.67 7030294.79, 264971.85 7030294.17, 264969.86 7030293.68, 264967.72 7030293.13, 264964 7030292.6, 264958.92 7030290.75, 264951.9 7030288.93, 264946.52 7030285.78, 264944.05 7030285.43, 264940.17 7030284.03, 264938.87 7030283.14, 264932.89 7030279.92, 264929.83 7030278.16, 264924.31 7030275.28, 264922.37 7030273.36, 264918.33 7030271.32, 264913.86 7030269.06, 264909.39 7030266.81, 264904.93 7030264.55, 264900.46 7030262.3, 264895.99 7030260.04, 264891.53 7030257.79, 264891.23 7030257.64, 264887.06 7030255.53, 264882.6 7030253.28, 264878.13 7030251.02, 264874.83 7030249.36, 264873.66 7030248.77, 264869.2 7030246.52, 264864.73 7030244.26, 264862.23 7030243, 264862.05 7030242.9, 264861.13 7030242.43, 264860.22 7030241.95, 264859.31 7030241.46, 264858.41 7030240.96, 264857.51 7030240.46, 264856.62 7030239.94, 264855.73 7030239.42, 264854.85 7030238.88, 264853.97 7030238.34, 264853.1 7030237.79, 264852.23 7030237.23, 264851.37 7030236.66, 264850.52 7030236.08, 264849.67 7030235.49, 264848.83 7030234.9, 264847.99 7030234.3, 264847.16 7030233.68, 264846.34 7030233.07, 264845.52 7030232.44, 264844.71 7030231.8, 264843.9 7030231.16, 264843.43 7030230.77, 264843.1 7030230.5, 264843 7030230.45, 264842.89 7030230.39, 264842.78 7030230.35, 264842.67 7030230.31, 264842.55 7030230.28, 264842.43 7030230.26, 264842.31 7030230.25, 264842.19 7030230.24, 264842.08 7030230.25, 264841.96 7030230.26, 264841.84 7030230.28, 264841.72 7030230.3, 264841.16 7030227.03))</t>
  </si>
  <si>
    <t>[461]</t>
  </si>
  <si>
    <t>['FV461 S2D1 m3065-3123']</t>
  </si>
  <si>
    <t>LINESTRING Z (69804.87508451816 6481287.868025799 249.56, 69808.88928506052 6481284.192610281 249.4, 69810.6205038568 6481282.547089172 249.24, 69812.84769521508 6481281.279536607 249.18, 69817.02240836475 6481279.037854994 248.9, 69821.05550130579 6481276.791866018 248.76000000000002, 69823.71913405572 6481274.8302507475 248.6, 69824.5704793501 6481274.150225144 248.55, 69825.73761690466 6481274.039721609 248.65, 69827.35859608359 6481274.201009263 248.62, 69829.62423356553 6481275.257926765 248.57, 69831.4049323026 6481273.24394088 248.49, 69831.41473766859 6481273.061380232 248.74, 69830.97448009852 6481271.830347416 248.44, 69830.74026682676 6481270.908929022 248.45000000000002, 69833.3643570983 6481267.963776429 248.20000000000002, 69838.10743987793 6481262.694570743 247.92000000000002, 69842.12519214011 6481257.970307796 247.6, 69846.81188017206 6481252.737660563 247.17000000000002, 69846.82502958173 6481252.584969383 247.18, 69848.91711903136 6481249.840515255 246.98000000000002, 69849.70046953321 6481248.553144902 246.86, 69853.27510839707 6481251.126924115 245.81, 69852.94945379155 6481252.0001278315 246.04, 69851.25643612625 6481254.347059748 246.02, 69850.1922260772 6481255.827173836 246.20000000000002, 69848.81996955344 6481258.067626469 246.3, 69846.48059336853 6481260.13407668 246.44, 69842.01769057935 6481264.394031202 246.76000000000002, 69837.7892845897 6481268.58740813 247.13, 69834.34169734921 6481271.110609776 247.29, 69834.23774942709 6481271.172653548 247.35, 69833.16728609282 6481271.786478821 247.39000000000001, 69832.8013523544 6481272.119803552 247.62, 69832.43133771594 6481272.866917309 248.14000000000001, 69831.87898910686 6481273.876394673 248.33, 69831.01553361438 6481274.628344921 248.47, 69829.62423356553 6481275.257926765 248.57, 69827.72923390038 6481275.530567809 247.68, 69826.00721617584 6481276.267743872 247.94, 69824.06995323318 6481277.603650142 247.98000000000002, 69820.94713219965 6481279.515860897 248.27, 69815.51011870673 6481283.179184307 248.49, 69809.65470608766 6481286.617155361 248.98000000000002, 69806.2068160004 6481288.777466384 249.17000000000002, 69804.87508451816 6481287.868025799 249.56)</t>
  </si>
  <si>
    <t>2020-08-27</t>
  </si>
  <si>
    <t>2025-11-22T09:17:24Z</t>
  </si>
  <si>
    <t>[8390]</t>
  </si>
  <si>
    <t>['KV8390 S2D1 m3-18']</t>
  </si>
  <si>
    <t>LINESTRING Z (273148.26518450724 7043778.752836427 0, 273144.1157918614 7043768.991546926 37.284)</t>
  </si>
  <si>
    <t>2020-09-08</t>
  </si>
  <si>
    <t>['EV134 S4D1 m9804-9868']</t>
  </si>
  <si>
    <t>LINESTRING Z (-20229.323706316703 6643086.742838947 4.5920000000000005, -20261.332226452767 6643079.897141714 3.588, -20271.52944307431 6643077.980849708 3.588, -20285.08308632567 6643076.829763084 3.267, -20294.081472554884 6643076.835740865 3.1510000000000002)</t>
  </si>
  <si>
    <t>POLYGON ((-20261.227655741837 6643079.408199011, -20261.239881369165 6643079.405743316, -20271.437097990707 6643077.489451311, -20271.487131289683 6643077.482643212, -20285.040774541045 6643076.3315565875, -20285.083418484126 6643076.329763194, -20294.08180471334 6643076.335740975, -20294.08114039643 6643077.335740755, -20285.104114441234 6643077.329777163, -20271.596943611756 6643078.476916969, -20261.43069965669 6643080.387388497, -20229.428277027633 6643087.231781649, -20229.219135605774 6643086.253896245, -20261.227655741837 6643079.408199011))</t>
  </si>
  <si>
    <t>['RV5 S5D600 m196-201', 'RV5 S5D605 m0-206', 'RV5 S5D610 m0-2']</t>
  </si>
  <si>
    <t>LINESTRING (77766.60891998128 6814019.025842695, 77772.74645668751 6814015.087953223, 77777.40783204668 6814010.966195267, 77781.73733923776 6814004.707274468, 77783.11031824729 6813996.847225152, 77782.68556311092 6813990.947118244, 77783.15773826017 6813982.252733028, 77788.21554213145 6813968.211860981, 77793.43596001272 6813956.110931363, 77803.22861651581 6813942.149048631)</t>
  </si>
  <si>
    <t>POLYGON ((77773.01646326558 6814015.50878151, 77773.04795216108 6814015.4868272375, 77773.07766399307 6814015.462521936, 77777.73903935224 6814011.34076398, 77777.78176401499 6814011.2981212875, 77777.81903855027 6814011.250640712, 77782.14854574135 6814004.991719913, 77782.17682364631 6814004.945714093, 77782.19997509659 6814004.896926945, 77782.21773003762 6814004.845927558, 77782.22988136335 6814004.793310824, 77783.60286037288 6813996.933261508, 77783.60967998365 6813996.872480968, 77783.60902758267 6813996.811322522, 77783.1865395055 6813990.942706444, 77783.65302250734 6813982.353133441, 77788.68073768406 6813968.3957900405, 77793.87475055343 6813956.356067245, 77803.63796592841 6813942.43616021, 77802.81926710322 6813941.861937053, 77793.02661060012 6813955.823819784, 77792.99945836808 6813955.867074204, 77792.97686005034 6813955.912872724, 77787.75644216908 6813968.013802342, 77787.74513142656 6813968.042409605, 77782.68732755528 6813982.083281652, 77782.6731075177 6813982.129716592, 77782.66345931815 6813982.177312026, 77782.65847397436 6813982.225618956, 77782.18629882511 6813990.920004172, 77782.18685377554 6813990.983020874, 77782.60719234316 6813996.821778959, 77781.26368554456 6814004.5131053515, 77777.03115501037 6814010.631832547, 77772.44407005518 6814014.687900221, 77766.33891340322 6814018.605014407, 77766.87892655935 6814019.446670982, 77773.01646326558 6814015.50878151))</t>
  </si>
  <si>
    <t>[65]</t>
  </si>
  <si>
    <t>['FV65 S3D1 m570-611']</t>
  </si>
  <si>
    <t>LINESTRING (234731.74 7015158.46, 234734.49 7015155.75, 234732.37 7015153.61, 234729.62 7015156.33, 234725.17 7015151.85, 234727.92 7015149.14, 234725.82 7015147.04, 234723.06 7015149.76, 234718.52 7015145.24, 234721.26 7015142.54, 234719.15 7015140.38, 234716.38 7015143.16, 234715.92 7015142.92, 234710.93 7015137.86, 234706.71 7015133.81, 234703.85 7015131.99, 234702.22 7015130.56, 234705.72 7015130.25, 234710.09 7015130.85, 234714.55 7015133.45, 234717.96 7015136.71, 234720.92 7015139.83, 234725.83 7015143.93, 234729.02 7015148.15, 234735.29 7015154.52, 234734.54 7015155.66, 234731.74 7015158.46)</t>
  </si>
  <si>
    <t>2020-11-09</t>
  </si>
  <si>
    <t>[30500]</t>
  </si>
  <si>
    <t>['KV30500 S1D1 m30-113']</t>
  </si>
  <si>
    <t>LINESTRING Z (653566.56 7732408.25 19.25770191371441, 653567.65 7732407.69 19.087702524662017, 653568.75 7732407.05 18.757703463435174, 653567.93 7732404.72 19.307714967131616, 653566.84 7732401.43 19.727731097638607, 653565.71 7732398.12 20.137747384607792, 653564.7 7732395.13 20.39776207715273, 653564.02 7732392.32 20.41777543604374, 653563.1 7732387.86 20.5077963796258, 653562.56 7732385.26 20.547808591127396, 653562.12 7732382.93 20.857819461524485, 653561.15 7732378.25 20.907841448187828, 653560.28 7732374.05 20.90786117732525, 653559.48 7732370.24 20.927879095971583, 653558.81 7732366.87 21.14789488375187, 653558.24 7732365.18 21.607903191149234, 653556.74 7732362.74 22.05791632652283, 653555.35 7732360.55 22.677928195297717, 653554.81 7732359.64 22.68793306797743, 653553.7 7732356.08 22.96795042783022, 653552.56 7732352.18 23.327969315052034, 653551.41 7732348.38 23.597987792491914, 653550.35 7732344.59 23.73800606876612, 653550.44 7732342.24 23.698016149401663, 653551.67 7732338.78 23.298029128313065, 653553.04 7732336.56 23.188036482036114, 653556.73 7732332.41 21.0880483135581, 653555.47 7732327.57 21.08807149976492, 653546.78 7732329.54 25.178077601790427, 653544.38 7732330.22 25.428078697025775, 653544.81 7732333.82 25.26806229829788, 653545.11 7732336.25 25.098051211833955, 653545.36 7732338.18 24.978042390346527, 653545.52 7732339.18 24.928037763535976, 653545.72 7732340.09 24.85803346455097, 653546 7732341.09 24.778028636574746, 653546.63 7732343.2 24.598018392026425, 653547.99 7732347.72 24.197996427714827, 653549.1 7732351.41 23.887978494167328, 653550.35 7732355.53 23.567958459556102, 653551.68 7732359.89 23.177937247753142, 653552.74 7732363.44 22.717920014560224, 653553.23 7732365.1 22.567911967933178, 653554.89 7732370.51 22.36788563758135, 653556.55 7732375.8 22.08785982877016, 653558.11 7732380.94 21.837834854424, 653559.04 7732384.04 21.677819804251193, 653559.73 7732386.23 21.407809120118618, 653560.4 7732388.39 21.087798599898814, 653561.01 7732390.45 20.837788616120815, 653561.98 7732393.54 20.57777355104685, 653562.9 7732396.59 20.317758746743202, 653564.13 7732400.53 19.987739554047586, 653565.01 7732403.3 19.757726031243802, 653565.88 7732406.1 19.52771239668131, 653566.41 7732407.76 19.3877042979002, 653566.56 7732408.25 19.25770191371441)</t>
  </si>
  <si>
    <t>POLYGON Z ((653566.56 7732408.25 19.25770191371441, 653567.65 7732407.69 19.087702524662017, 653568.75 7732407.05 18.757703463435174, 653567.93 7732404.72 19.307714967131616, 653566.84 7732401.43 19.727731097638607, 653565.71 7732398.12 20.137747384607792, 653564.7 7732395.13 20.39776207715273, 653564.02 7732392.32 20.41777543604374, 653563.1 7732387.86 20.5077963796258, 653562.56 7732385.26 20.547808591127396, 653562.12 7732382.93 20.857819461524485, 653561.15 7732378.25 20.907841448187828, 653560.28 7732374.05 20.90786117732525, 653559.48 7732370.24 20.927879095971583, 653558.81 7732366.87 21.14789488375187, 653558.24 7732365.18 21.607903191149234, 653556.74 7732362.74 22.05791632652283, 653555.35 7732360.55 22.677928195297717, 653554.81 7732359.64 22.68793306797743, 653553.7 7732356.08 22.96795042783022, 653552.56 7732352.18 23.327969315052034, 653551.41 7732348.38 23.597987792491914, 653550.35 7732344.59 23.73800606876612, 653550.44 7732342.24 23.698016149401663, 653551.67 7732338.78 23.298029128313065, 653553.04 7732336.56 23.188036482036114, 653556.73 7732332.41 21.0880483135581, 653555.47 7732327.57 21.08807149976492, 653546.78 7732329.54 25.178077601790427, 653544.38 7732330.22 25.428078697025775, 653544.81 7732333.82 25.26806229829788, 653545.11 7732336.25 25.098051211833955, 653545.36 7732338.18 24.978042390346527, 653545.52 7732339.18 24.928037763535976, 653545.72 7732340.09 24.85803346455097, 653546 7732341.09 24.778028636574746, 653546.63 7732343.2 24.598018392026425, 653547.99 7732347.72 24.197996427714827, 653549.1 7732351.41 23.887978494167328, 653550.35 7732355.53 23.567958459556102, 653551.68 7732359.89 23.177937247753142, 653552.74 7732363.44 22.717920014560224, 653553.23 7732365.1 22.567911967933178, 653554.89 7732370.51 22.36788563758135, 653556.55 7732375.8 22.08785982877016, 653558.11 7732380.94 21.837834854424, 653559.04 7732384.04 21.677819804251193, 653559.73 7732386.23 21.407809120118618, 653560.4 7732388.39 21.087798599898814, 653561.01 7732390.45 20.837788616120815, 653561.98 7732393.54 20.57777355104685, 653562.9 7732396.59 20.317758746743202, 653564.13 7732400.53 19.987739554047586, 653565.01 7732403.3 19.757726031243802, 653565.88 7732406.1 19.52771239668131, 653566.41 7732407.76 19.3877042979002, 653566.56 7732408.25 19.25770191371441))</t>
  </si>
  <si>
    <t>2020-11-24</t>
  </si>
  <si>
    <t>[7350]</t>
  </si>
  <si>
    <t>['KV7350 S1D1 m177-206']</t>
  </si>
  <si>
    <t>LINESTRING (267765.81985725206 7033407.139840436, 267764.6821043991 7033376.840111879)</t>
  </si>
  <si>
    <t>POLYGON ((267765.181752272 7033376.821350133, 267764.18245652615 7033376.858873624, 267765.32020937913 7033407.158602182, 267766.319505125 7033407.1210786905, 267765.181752272 7033376.821350133))</t>
  </si>
  <si>
    <t>['KV7350 S1D1 m142-158']</t>
  </si>
  <si>
    <t>LINESTRING (267764.33100346895 7033354.857856065, 267764.31284278206 7033344.99225298)</t>
  </si>
  <si>
    <t>['KV7350 S1D1 m166-197']</t>
  </si>
  <si>
    <t>LINESTRING (267777.0300063423 7033395.631047292, 267778.22268560884 7033365.2897180645)</t>
  </si>
  <si>
    <t>POLYGON ((267778.7222997618 7033365.309357265, 267777.7230714559 7033365.270078864, 267776.53039218934 7033395.611408091, 267777.5296204952 7033395.650686492, 267778.7222997618 7033365.309357265))</t>
  </si>
  <si>
    <t>2025-11-22T09:17:29Z</t>
  </si>
  <si>
    <t>['KV7350 S2D1 m7-63']</t>
  </si>
  <si>
    <t>LINESTRING Z (267780.7272830306 7033356.192226629 141.56300000000002, 267836.6408050522 7033354.242356986 141.56300000000002)</t>
  </si>
  <si>
    <t>POLYGON ((267836.65823093604 7033354.742053232, 267836.62337916833 7033353.742660739, 267780.7098571467 7033355.692530382, 267780.7447089144 7033356.691922875, 267836.65823093604 7033354.742053232))</t>
  </si>
  <si>
    <t>['FV889 S5D1 m13262-13633']</t>
  </si>
  <si>
    <t>LINESTRING Z (850730.821570552 7903599.437477189 12.26, 850737.5936957604 7903600.965055481 13.01, 850737.5109612586 7903600.911423031 13.01, 850740.6607550675 7903595.865620672 12.88, 850744.7074002164 7903588.802839427 12.8, 850748.5448925057 7903581.524525524 12.700000000000001, 850752.342391919 7903573.986494218 12.65, 850755.6478730757 7903567.059835182 12.63, 850758.9269403568 7903559.723573646 12.700000000000001, 850761.8947844036 7903552.3684772495 12.72, 850764.627319836 7903545.219404219 12.74, 850767.2084660274 7903537.874073591 12.780000000000001, 850769.6626316668 7903530.4985164935 12.790000000000001, 850772.4727514482 7903521.577856599 12.9, 850774.8167654092 7903513.617278753 12.89, 850777.0113949279 7903505.704014394 12.89, 850779.2352475738 7903497.541984045 12.950000000000001, 850781.272730524 7903489.532906826 12.94, 850782.2628708698 7903485.452893901 12.950000000000001, 850784.226443314 7903477.462529163 12.97, 850786.0984558081 7903469.346186499 12.99, 850788.049572182 7903461.242359291 13.01, 850789.9758992016 7903452.526475208 13.01, 850791.63081361 7903444.629172711 13.030000000000001, 850793.3121251636 7903435.540048552 13.030000000000001, 850794.638667044 7903427.540113663 13.07, 850795.9884769544 7903418.368133229 13.07, 850797.1659972069 7903409.260113704 13.040000000000001, 850798.0194753187 7903401.175196183 13.09, 850798.6455882285 7903392.861729647 13.120000000000001, 850799.327580248 7903383.938833988 13.19, 850799.6809580253 7903375.683571917 13.21, 850799.8459004062 7903367.530258728 13.290000000000001, 850799.846678015 7903358.428634593 13.33, 850799.6586397425 7903348.982933904 13.36, 850799.4510236426 7903340.557828955 13.36, 850799.0649206534 7903332.043671112 13.370000000000001, 850798.6177855384 7903322.313723675 13.32, 850798.1587742053 7903313.940064487 13.24, 850797.734802357 7903305.024628225 13.15, 850797.2665421143 7903297.926588457 13.1, 850796.5812876845 7903289.06103356 12.98, 850796.2279137068 7903280.724359681 12.89, 850794.8560368742 7903264.0268629715 12.61, 850793.6104556527 7903247.876398811 12.74, 850788.9855343692 7903246.871002921 12, 850785.7439342769 7903250.959680977 11.81, 850788.7725581387 7903262.182565055 12.24, 850789.9943133398 7903274.639910455 12.200000000000001, 850789.1363080929 7903285.572207006 12.31, 850789.0880829529 7903293.308155564 12.27, 850790.0056004087 7903298.399481842 12.27, 850791.1653598249 7903307.725262654 12.59, 850792.0114179223 7903324.927430485 12.58, 850792.9920165547 7903341.27922603 12.530000000000001, 850792.5567277588 7903350.180340062 12.450000000000001, 850791.1129000593 7903357.127889627 12.370000000000001, 850792.4072931393 7903368.61357951 12.23, 850791.8503627426 7903385.330247801 12.18, 850790.1128120106 7903396.184199676 12.15, 850788.6984538208 7903408.710978073 12.3, 850786.5162250474 7903416.93027331 12.23, 850783.0806479449 7903430.444748791 12.280000000000001, 850780.6662712056 7903442.053138059 12.450000000000001, 850777.111763698 7903459.714517102 12.32, 850775.8852003703 7903484.058681029 12.05, 850774.5158974568 7903490.663275181 12.08, 850771.6932642122 7903499.663040358 12, 850766.6078625096 7903511.497500623 12, 850760.8758027039 7903517.553725175 12.01, 850757.9559125116 7903526.335389637 11.85, 850753.6067341757 7903545.431911595 11.75, 850749.168107528 7903556.0612113485 11.790000000000001, 850744.5492616876 7903568.79046694 11.77, 850740.687071874 7903578.4670042265 11.9, 850738.7572136662 7903585.155210528 12, 850736.2498246424 7903589.664112338 12.280000000000001, 850734.2325237461 7903594.726927052 12.35, 850732.7995304476 7903596.993551671 12.32, 850730.821570552 7903599.437477189 12.26)</t>
  </si>
  <si>
    <t>POLYGON Z ((850730.821570552 7903599.437477189 12.26, 850737.5936957604 7903600.965055481 13.01, 850737.5109612586 7903600.911423031 13.01, 850740.6607550675 7903595.865620672 12.88, 850744.7074002164 7903588.802839427 12.8, 850748.5448925057 7903581.524525524 12.700000000000001, 850752.342391919 7903573.986494218 12.65, 850755.6478730757 7903567.059835182 12.63, 850758.9269403568 7903559.723573646 12.700000000000001, 850761.8947844036 7903552.3684772495 12.72, 850764.627319836 7903545.219404219 12.74, 850767.2084660274 7903537.874073591 12.780000000000001, 850769.6626316668 7903530.4985164935 12.790000000000001, 850772.4727514482 7903521.577856599 12.9, 850774.8167654092 7903513.617278753 12.89, 850777.0113949279 7903505.704014394 12.89, 850779.2352475738 7903497.541984045 12.950000000000001, 850781.272730524 7903489.532906826 12.94, 850782.2628708698 7903485.452893901 12.950000000000001, 850784.226443314 7903477.462529163 12.97, 850786.0984558081 7903469.346186499 12.99, 850788.049572182 7903461.242359291 13.01, 850789.9758992016 7903452.526475208 13.01, 850791.63081361 7903444.629172711 13.030000000000001, 850793.3121251636 7903435.540048552 13.030000000000001, 850794.638667044 7903427.540113663 13.07, 850795.9884769544 7903418.368133229 13.07, 850797.1659972069 7903409.260113704 13.040000000000001, 850798.0194753187 7903401.175196183 13.09, 850798.6455882285 7903392.861729647 13.120000000000001, 850799.327580248 7903383.938833988 13.19, 850799.6809580253 7903375.683571917 13.21, 850799.8459004062 7903367.530258728 13.290000000000001, 850799.846678015 7903358.428634593 13.33, 850799.6586397425 7903348.982933904 13.36, 850799.4510236426 7903340.557828955 13.36, 850799.0649206534 7903332.043671112 13.370000000000001, 850798.6177855384 7903322.313723675 13.32, 850798.1587742053 7903313.940064487 13.24, 850797.734802357 7903305.024628225 13.15, 850797.2665421143 7903297.926588457 13.1, 850796.5812876845 7903289.06103356 12.98, 850796.2279137068 7903280.724359681 12.89, 850794.8560368742 7903264.0268629715 12.61, 850793.6104556527 7903247.876398811 12.74, 850788.9855343692 7903246.871002921 12, 850785.7439342769 7903250.959680977 11.81, 850788.7725581387 7903262.182565055 12.24, 850789.9943133398 7903274.639910455 12.200000000000001, 850789.1363080929 7903285.572207006 12.31, 850789.0880829529 7903293.308155564 12.27, 850790.0056004087 7903298.399481842 12.27, 850791.1653598249 7903307.725262654 12.59, 850792.0114179223 7903324.927430485 12.58, 850792.9920165547 7903341.27922603 12.530000000000001, 850792.5567277588 7903350.180340062 12.450000000000001, 850791.1129000593 7903357.127889627 12.370000000000001, 850792.4072931393 7903368.61357951 12.23, 850791.8503627426 7903385.330247801 12.18, 850790.1128120106 7903396.184199676 12.15, 850788.6984538208 7903408.710978073 12.3, 850786.5162250474 7903416.93027331 12.23, 850783.0806479449 7903430.444748791 12.280000000000001, 850780.6662712056 7903442.053138059 12.450000000000001, 850777.111763698 7903459.714517102 12.32, 850775.8852003703 7903484.058681029 12.05, 850774.5158974568 7903490.663275181 12.08, 850771.6932642122 7903499.663040358 12, 850766.6078625096 7903511.497500623 12, 850760.8758027039 7903517.553725175 12.01, 850757.9559125116 7903526.335389637 11.85, 850753.6067341757 7903545.431911595 11.75, 850749.168107528 7903556.0612113485 11.790000000000001, 850744.5492616876 7903568.79046694 11.77, 850740.687071874 7903578.4670042265 11.9, 850738.7572136662 7903585.155210528 12, 850736.2498246424 7903589.664112338 12.280000000000001, 850734.2325237461 7903594.726927052 12.35, 850732.7995304476 7903596.993551671 12.32, 850730.821570552 7903599.437477189 12.26))</t>
  </si>
  <si>
    <t>['FV889 S5D1 m12322-13111']</t>
  </si>
  <si>
    <t>LINESTRING Z (850740.9259207183 7903066.131442524 11.25, 850738.4962287399 7903066.882214261 11.25, 850750.0162521959 7903102.33466016 11.09, 850755.9974792657 7903099.9565104935 11.450000000000001, 850744.0313478317 7903063.09558777 11.05, 850741.2124427981 7903053.557993595 10.99, 850738.5157040656 7903044.4654221935 11.13, 850735.8101395866 7903035.30050598 11.15, 850733.0505008721 7903025.964865943 11.13, 850730.2638246869 7903016.543864221 10.84, 850727.5228978046 7903007.282134685 10.790000000000001, 850724.8479978675 7902998.243698902 10.78, 850722.0410420584 7902988.758676892 10.75, 850719.3744644618 7902979.731694413 10.77, 850716.6470533703 7902970.512647617 10.67, 850714.1707952535 7902962.012419821 10.620000000000001, 850711.6149904742 7902953.246218062 10.65, 850708.8813796409 7902943.874158452 10.71, 850706.1358141222 7902934.449530175 10.73, 850703.8238407539 7902926.512481015 10.73, 850701.1832925978 7902917.449077931 10.76, 850698.59005833 7902908.535058875 10.74, 850695.9240364552 7902899.376406469 10.75, 850693.3292365293 7902890.472276247 10.790000000000001, 850690.5394813978 7902880.878490727 10.98, 850687.8442949875 7902871.776039034 10.89, 850685.0455938878 7902862.495041592 11.06, 850682.3955951143 7902853.683535835 10.93, 850679.8183828421 7902845.116664135 10.870000000000001, 850677.1870961722 7902836.379068729 10.91, 850674.4154294769 7902827.183434977 10.790000000000001, 850671.6115303792 7902817.871211066 10.89, 850668.7249554008 7902808.312789565 10.92, 850666.0635005082 7902799.5096098585 10.93, 850663.3510999386 7902790.515930413 10.92, 850660.4915599097 7902781.042872249 11.120000000000001, 850657.6939151343 7902771.691098312 10.92, 850655.0184971844 7902762.591780396 10.97, 850652.2479475626 7902753.132803191 10.98, 850649.5044342291 7902743.759188421 10.96, 850646.7510321699 7902734.384009678 10.99, 850643.9518791002 7902724.849559838 11, 850641.3523740042 7902715.975101429 11.08, 850638.532941829 7902706.376630972 11.08, 850635.867909006 7902697.339773066 11.09, 850633.0525481743 7902688.035878866 11.08, 850630.1680297318 7902678.528468228 11.200000000000001, 850627.472769783 7902669.618591807 11.24, 850624.6236106844 7902660.207996464 11.23, 850621.9387392167 7902651.36057794 11.200000000000001, 850619.1556070191 7902642.173276398 11.15, 850616.3247169564 7902632.58313312 11.200000000000001, 850613.6394012143 7902623.482257088 11.17, 850610.9504543504 7902614.340264883 11.19, 850608.1382756433 7902604.824032425 11.19, 850605.4004481954 7902595.542545728 11.19, 850602.6766403406 7902586.364633092 11.33, 850599.9164084266 7902577.160687229 11.34, 850597.1244456088 7902567.901044012 11.700000000000001, 850594.3626480044 7902558.706987052 11.36, 850591.6720730185 7902549.76745187 11.46, 850588.9763025264 7902540.796688569 11.41, 850586.3190209633 7902531.902963909 11.370000000000001, 850583.8219545267 7902523.27784041 11.370000000000001, 850581.2572946956 7902514.439312534 11.47, 850578.4981794239 7902504.97202327 11.44, 850576.0130653814 7902496.39946989 11.44, 850573.3464535768 7902487.3725094525 11.46, 850570.5269454466 7902477.966615867 11.450000000000001, 850567.6601216114 7902468.411339442 11.72, 850565.0522162894 7902459.718005868 11.53, 850562.3340955478 7902450.632220595 11.44, 850559.5520117758 7902441.374147631 11.42, 850556.9818266091 7902431.865804208 11.6, 850554.6888898532 7902422.84728827 11.52, 850552.467677796 7902414.144186508 11.620000000000001, 850550.2106024609 7902405.283378158 11.68, 850547.7819759729 7902395.777161368 11.74, 850545.3580418847 7902386.241280835 11.81, 850543.0313053612 7902377.11606435 11.84, 850540.8542765684 7902368.582123589 11.88, 850538.5971980493 7902359.721316962 11.92, 850536.2959324848 7902350.691351384 11.93, 850534.3060375485 7902342.896505709 11.950000000000001, 850532.0670305879 7902343.018647391 12, 850534.3890764178 7902352.173526505 11.9, 850536.7397231825 7902361.403879759 11.88, 850539.1085221075 7902370.839816114 11.89, 850541.3509008457 7902380.113854663 11.71, 850543.523619689 7902389.123484366 11.64, 850545.660475198 7902397.975407493 11.68, 850548.0573122043 7902407.6184924105 11.72, 850550.3486856178 7902416.646895598 11.53, 850552.7830072066 7902426.245234164 11.5, 850555.1866603459 7902435.717094708 11.58, 850555.3805547256 7902436.477529572 11.58, 850550.9797848739 7902437.707042356 11.53, 850551.6144504813 7902442.023837695 12, 850553.0364104976 7902443.414391687 12.68, 850556.1191791866 7902454.807957138 12.66, 850559.9515196306 7902467.48569985 12.6, 850562.6359607067 7902476.079650997 12.73, 850566.2249057206 7902488.181704163 12.76, 850567.9797810621 7902495.219749821 12.57, 850571.4542000174 7902507.405040743 12.450000000000001, 850571.9262280564 7902509.162220494 12, 850574.1022150421 7902515.972959999 12, 850574.8449098344 7902517.620928695 12.52, 850580.6354870962 7902536.051276487 12.68, 850587.8310156204 7902560.400080992 12.67, 850593.8051185203 7902581.129832152 12.6, 850594.2188207168 7902582.999411522 12.38, 850594.5110337253 7902583.907164132 12, 850594.7524162221 7902587.63469278 12, 850600.2676466679 7902585.831472873 11.96, 850603.1449108379 7902595.256645734 11.88, 850605.9487665384 7902604.761425129 11.81, 850608.7557503239 7902614.24642888 11.73, 850611.585077299 7902623.846459158 11.66, 850614.3244670667 7902633.118058937 11.58, 850617.0181057394 7902642.230387679 11.51, 850617.1563604148 7902642.829987421 11.51, 850616.8240616509 7902643.6490716245 11.5, 850611.9839625136 7902645.092866929 12, 850613.1066793522 7902648.118582269 12, 850614.2981701121 7902650.901789667 12.41, 850617.6344979284 7902661.909791851 12.32, 850625.4963371402 7902687.42826582 12.450000000000001, 850625.7510303233 7902690.174753476 12, 850626.3443659532 7902693.471460166 11.540000000000001, 850631.6403791918 7902692.028848211 11.18, 850633.2884619457 7902694.296432427 11, 850635.9722082983 7902703.407199599 11.19, 850638.7157245094 7902712.780812378 10.98, 850641.4961650835 7902722.241351975 10.99, 850644.0769563756 7902731.041900984 11.02, 850646.869349706 7902740.555010481 11.03, 850649.3128888479 7902748.877745646 11, 850643.4630244396 7902750.617880976 12, 850645.330794398 7902754.379743284 12, 850645.7373521957 7902755.781958621 12.18, 850650.6694977938 7902773.103507014 12.18, 850659.7901818277 7902803.990296844 12.17, 850663.9569633829 7902818.910260104 11.4, 850663.379528062 7902819.741238569 11, 850665.3300801323 7902826.759578357 11, 850667.2229136643 7902828.569245635 12, 850674.1482812078 7902852.8956224285 12, 850685.0158108624 7902888.052211005 12.030000000000001, 850684.7398765797 7902891.718169605 11, 850685.6769003175 7902894.380037514 11, 850690.5732049296 7902892.965414074 11, 850691.4879808694 7902893.525701216 11, 850694.3621537071 7902902.778098598 11.18, 850697.2987232616 7902912.21267303 11.18, 850700.204063569 7902921.652442726 11.06, 850703.0256055361 7902931.109361689 11.13, 850705.6542584966 7902939.927629895 10.870000000000001, 850708.1019765802 7902948.159816367 10.93, 850710.909998202 7902957.574055534 10.870000000000001, 850713.7315375584 7902967.03097619 10.76, 850716.5769842088 7902976.593035496 10.9, 850719.1988748806 7902985.389965183 10.9, 850721.8919873494 7902994.441417151 10.96, 850724.6714043892 7903003.780184437 10.85, 850727.5132179889 7903013.301128859 10.84, 850730.3009573008 7903022.651349501 10.86, 850733.0465763286 7903031.883415449 11.27, 850735.9086654591 7903041.468382807 11.450000000000001, 850738.7593014035 7903051.061674245 10.86, 850741.337001549 7903059.689447362 11, 850740.0478472624 7903063.032933324 11.23, 850740.9259207183 7903066.131442524 11.25)</t>
  </si>
  <si>
    <t>POLYGON Z ((850740.9259207183 7903066.131442524 11.25, 850738.4962287399 7903066.882214261 11.25, 850750.0162521959 7903102.33466016 11.09, 850755.9974792657 7903099.9565104935 11.450000000000001, 850744.0313478317 7903063.09558777 11.05, 850741.2124427981 7903053.557993595 10.99, 850738.5157040656 7903044.4654221935 11.13, 850735.8101395866 7903035.30050598 11.15, 850733.0505008721 7903025.964865943 11.13, 850730.2638246869 7903016.543864221 10.84, 850727.5228978046 7903007.282134685 10.790000000000001, 850724.8479978675 7902998.243698902 10.78, 850722.0410420584 7902988.758676892 10.75, 850719.3744644618 7902979.731694413 10.77, 850716.6470533703 7902970.512647617 10.67, 850714.1707952535 7902962.012419821 10.620000000000001, 850711.6149904742 7902953.246218062 10.65, 850708.8813796409 7902943.874158452 10.71, 850706.1358141222 7902934.449530175 10.73, 850703.8238407539 7902926.512481015 10.73, 850701.1832925978 7902917.449077931 10.76, 850698.59005833 7902908.535058875 10.74, 850695.9240364552 7902899.376406469 10.75, 850693.3292365293 7902890.472276247 10.790000000000001, 850690.5394813978 7902880.878490727 10.98, 850687.8442949875 7902871.776039034 10.89, 850685.0455938878 7902862.495041592 11.06, 850682.3955951143 7902853.683535835 10.93, 850679.8183828421 7902845.116664135 10.870000000000001, 850677.1870961722 7902836.379068729 10.91, 850674.4154294769 7902827.183434977 10.790000000000001, 850671.6115303792 7902817.871211066 10.89, 850668.7249554008 7902808.312789565 10.92, 850666.0635005082 7902799.5096098585 10.93, 850663.3510999386 7902790.515930413 10.92, 850660.4915599097 7902781.042872249 11.120000000000001, 850657.6939151343 7902771.691098312 10.92, 850655.0184971844 7902762.591780396 10.97, 850652.2479475626 7902753.132803191 10.98, 850649.5044342291 7902743.759188421 10.96, 850646.7510321699 7902734.384009678 10.99, 850643.9518791002 7902724.849559838 11, 850641.3523740042 7902715.975101429 11.08, 850638.532941829 7902706.376630972 11.08, 850635.867909006 7902697.339773066 11.09, 850633.0525481743 7902688.035878866 11.08, 850630.1680297318 7902678.528468228 11.200000000000001, 850627.472769783 7902669.618591807 11.24, 850624.6236106844 7902660.207996464 11.23, 850621.9387392167 7902651.36057794 11.200000000000001, 850619.1556070191 7902642.173276398 11.15, 850616.3247169564 7902632.58313312 11.200000000000001, 850613.6394012143 7902623.482257088 11.17, 850610.9504543504 7902614.340264883 11.19, 850608.1382756433 7902604.824032425 11.19, 850605.4004481954 7902595.542545728 11.19, 850602.6766403406 7902586.364633092 11.33, 850599.9164084266 7902577.160687229 11.34, 850597.1244456088 7902567.901044012 11.700000000000001, 850594.3626480044 7902558.706987052 11.36, 850591.6720730185 7902549.76745187 11.46, 850588.9763025264 7902540.796688569 11.41, 850586.3190209633 7902531.902963909 11.370000000000001, 850583.8219545267 7902523.27784041 11.370000000000001, 850581.2572946956 7902514.439312534 11.47, 850578.4981794239 7902504.97202327 11.44, 850576.0130653814 7902496.39946989 11.44, 850573.3464535768 7902487.3725094525 11.46, 850570.5269454466 7902477.966615867 11.450000000000001, 850567.6601216114 7902468.411339442 11.72, 850565.0522162894 7902459.718005868 11.53, 850562.3340955478 7902450.632220595 11.44, 850559.5520117758 7902441.374147631 11.42, 850556.9818266091 7902431.865804208 11.6, 850554.6888898532 7902422.84728827 11.52, 850552.467677796 7902414.144186508 11.620000000000001, 850550.2106024609 7902405.283378158 11.68, 850547.7819759729 7902395.777161368 11.74, 850545.3580418847 7902386.241280835 11.81, 850543.0313053612 7902377.11606435 11.84, 850540.8542765684 7902368.582123589 11.88, 850538.5971980493 7902359.721316962 11.92, 850536.2959324848 7902350.691351384 11.93, 850534.3060375485 7902342.896505709 11.950000000000001, 850532.0670305879 7902343.018647391 12, 850534.3890764178 7902352.173526505 11.9, 850536.7397231825 7902361.403879759 11.88, 850539.1085221075 7902370.839816114 11.89, 850541.3509008457 7902380.113854663 11.71, 850543.523619689 7902389.123484366 11.64, 850545.660475198 7902397.975407493 11.68, 850548.0573122043 7902407.6184924105 11.72, 850550.3486856178 7902416.646895598 11.53, 850552.7830072066 7902426.245234164 11.5, 850555.1866603459 7902435.717094708 11.58, 850555.3805547256 7902436.477529572 11.58, 850550.9797848739 7902437.707042356 11.53, 850551.6144504813 7902442.023837695 12, 850553.0364104976 7902443.414391687 12.68, 850556.1191791866 7902454.807957138 12.66, 850559.9515196306 7902467.48569985 12.6, 850562.6359607067 7902476.079650997 12.73, 850566.2249057206 7902488.181704163 12.76, 850567.9797810621 7902495.219749821 12.57, 850571.4542000174 7902507.405040743 12.450000000000001, 850571.9262280564 7902509.162220494 12, 850574.1022150421 7902515.972959999 12, 850574.8449098344 7902517.620928695 12.52, 850580.6354870962 7902536.051276487 12.68, 850587.8310156204 7902560.400080992 12.67, 850593.8051185203 7902581.129832152 12.6, 850594.2188207168 7902582.999411522 12.38, 850594.5110337253 7902583.907164132 12, 850594.7524162221 7902587.63469278 12, 850600.2676466679 7902585.831472873 11.96, 850603.1449108379 7902595.256645734 11.88, 850605.9487665384 7902604.761425129 11.81, 850608.7557503239 7902614.24642888 11.73, 850611.585077299 7902623.846459158 11.66, 850614.3244670667 7902633.118058937 11.58, 850617.0181057394 7902642.230387679 11.51, 850617.1563604148 7902642.829987421 11.51, 850616.8240616509 7902643.6490716245 11.5, 850611.9839625136 7902645.092866929 12, 850613.1066793522 7902648.118582269 12, 850614.2981701121 7902650.901789667 12.41, 850617.6344979284 7902661.909791851 12.32, 850625.4963371402 7902687.42826582 12.450000000000001, 850625.7510303233 7902690.174753476 12, 850626.3443659532 7902693.471460166 11.540000000000001, 850631.6403791918 7902692.028848211 11.18, 850633.2884619457 7902694.296432427 11, 850635.9722082983 7902703.407199599 11.19, 850638.7157245094 7902712.780812378 10.98, 850641.4961650835 7902722.241351975 10.99, 850644.0769563756 7902731.041900984 11.02, 850646.869349706 7902740.555010481 11.03, 850649.3128888479 7902748.877745646 11, 850643.4630244396 7902750.617880976 12, 850645.330794398 7902754.379743284 12, 850645.7373521957 7902755.781958621 12.18, 850650.6694977938 7902773.103507014 12.18, 850659.7901818277 7902803.990296844 12.17, 850663.9569633829 7902818.910260104 11.4, 850663.379528062 7902819.741238569 11, 850665.3300801323 7902826.759578357 11, 850667.2229136643 7902828.569245635 12, 850674.1482812078 7902852.8956224285 12, 850685.0158108624 7902888.052211005 12.030000000000001, 850684.7398765797 7902891.718169605 11, 850685.6769003175 7902894.380037514 11, 850690.5732049296 7902892.965414074 11, 850691.4879808694 7902893.525701216 11, 850694.3621537071 7902902.778098598 11.18, 850697.2987232616 7902912.21267303 11.18, 850700.204063569 7902921.652442726 11.06, 850703.0256055361 7902931.109361689 11.13, 850705.6542584966 7902939.927629895 10.870000000000001, 850708.1019765802 7902948.159816367 10.93, 850710.909998202 7902957.574055534 10.870000000000001, 850713.7315375584 7902967.03097619 10.76, 850716.5769842088 7902976.593035496 10.9, 850719.1988748806 7902985.389965183 10.9, 850721.8919873494 7902994.441417151 10.96, 850724.6714043892 7903003.780184437 10.85, 850727.5132179889 7903013.301128859 10.84, 850730.3009573008 7903022.651349501 10.86, 850733.0465763286 7903031.883415449 11.27, 850735.9086654591 7903041.468382807 11.450000000000001, 850738.7593014035 7903051.061674245 10.86, 850741.337001549 7903059.689447362 11, 850740.0478472624 7903063.032933324 11.23, 850740.9259207183 7903066.131442524 11.25))</t>
  </si>
  <si>
    <t>2021-02-22</t>
  </si>
  <si>
    <t>2025-11-22T09:17:34Z</t>
  </si>
  <si>
    <t>['EV18 S3D1 m1037 KD1 m201-415']</t>
  </si>
  <si>
    <t>LINESTRING Z (93851.11522953265 6467957.280481474 11.48, 93849.17889225186 6467950.584870768 15.23, 93847.47995118075 6467945.093960365 18.32, 93846.8215886387 6467937.046929637 18.76, 93846.69394560251 6467930.739727402 18.73, 93852.06963338872 6467920.05562641 18.66, 93854.24207308213 6467913.807493547 18.67, 93854.29287175724 6467913.500685388 18.67, 93854.39606835687 6467912.69571734 18.650000000000002, 93854.46324782819 6467911.93448846 18.64, 93854.474499617 6467911.8428321155 18.64, 93854.49474142859 6467911.428289549 18.64, 93854.51659675158 6467911.134346689 18.63, 93854.60018554993 6467910.542599952 18.62, 93854.66899280192 6467910.213922209 18.62, 93854.70436168171 6467910.059552875 18.61, 93854.79600377183 6467909.758853241 18.6, 93854.8423074439 6467909.613488191 18.59, 93855.02013135771 6467909.16356249 18.57, 93855.20278154215 6467908.763484479 18.55, 93855.40826656355 6467908.391384575 18.54, 93855.63562116865 6467908.0372932395 18.52, 93855.86587153532 6467907.71311052 18.5, 93856.1289262753 6467907.41594065 18.48, 93856.39294626919 6467907.128740319 18.46, 93856.69684441353 6467906.83767898 18.44, 93856.6788358455 6467906.859548561 18.44, 93857.04865973757 6467906.5218523005 18.42, 93857.31750599894 6467906.284499659 18.41, 93857.42941842001 6467906.193160321 18.400000000000002, 93857.79924231145 6467905.855464061 18.38, 93858.17903573991 6467905.516802548 18.36, 93858.55882916838 6467905.178141043 18.34, 93858.9296183124 6467904.850414326 18.32, 93859.30941174016 6467904.5117528215 18.3, 93859.67923563061 6467904.174056576 18.28, 93860.05902905768 6467903.835395076 18.26, 93860.43978773797 6467903.506703116 18.240000000000002, 93860.80961162772 6467903.169006879 18.23, 93861.1894050542 6467902.830345387 18.21, 93861.56019419635 6467902.502618688 18.19, 93861.65313279507 6467902.423179396 18.18, 93861.77308424562 6467902.310935734 18.18, 93861.93098333833 6467902.174891989 18.17, 93862.2918029431 6467901.848130548 18.150000000000002, 93862.66452259052 6467901.540342928 18.13, 93863.02630744781 6467901.22355103 18.11, 93863.39999234735 6467900.925732952 18.09, 93863.76370770973 6467900.62888013 18.080000000000002, 93863.71772103687 6467900.673584542 18.080000000000002, 93863.67977339565 6467900.69738463 18.080000000000002, 93863.77367724682 6467900.627914879 18.07, 93864.15636642918 6467900.319162015 18.05, 93864.54098611721 6467900.030348228 18.04, 93864.91563626769 6467899.742499696 18.02, 93865.31022549106 6467899.45272066 18, 93865.69581043022 6467899.173876419 17.98, 93866.09136490489 6467898.894066924 17.96, 93866.47791509517 6467898.625192219 17.94, 93866.87443482131 6467898.355352268 17.92, 93867.28092408326 6467898.084547062 17.89, 93867.68837859656 6467897.823711395 17.87, 93867.7932172353 6467897.7632459365 17.87, 93868.08682882547 6467897.573810521 17.85, 93868.49524858972 6467897.322944395 17.830000000000002, 93868.91363788955 6467897.071113021 17.81, 93869.322057652 6467896.820246898 17.78, 93869.74237745447 6467896.588354598 17.76, 93870.24856207299 6467896.307896886 17.740000000000002, 93870.16173200356 6467896.346492766 17.740000000000002, 93870.20064489654 6467896.33266222 17.73, 93870.51516080718 6467896.151265845 17.71, 93870.83160722273 6467895.989808545 17.69, 93870.86955486261 6467895.966008461 17.69, 93871.23295320099 6467895.7698162915 17.66, 93871.50148243841 6467895.633124326 17.64, 93871.57834297081 6467895.595493701 17.64, 93871.94270655984 6467895.409271069 17.61, 93872.1922619763 6467895.284479149 17.59, 93872.29806586413 6467895.233983228 17.580000000000002, 93872.66339470341 6467895.057730135 17.56, 93872.8750024786 6467894.956738297 17.54, 93873.01971925813 6467894.892411833 17.53, 93873.38504809554 6467894.716158741 17.5, 93873.55870823044 6467894.638966986 17.490000000000002, 93873.74137264857 6467894.550840443 17.48, 93874.1186015245 6467894.393561172 17.45, 93874.25334876665 6467894.330199962 17.44, 93874.47589132743 6467894.238212409 17.42, 93874.8431506654 6467894.081898397 17.39, 93874.94895455171 6467894.03140248 17.39, 93875.21041000262 6467893.925584383 17.37, 93875.57863459084 6467893.779239911 17.34, 93875.64649083704 6467893.752544071 17.330000000000002, 93875.94685917773 6467893.632895434 17.31, 93876.31604901567 6467893.496520495 17.28, 93876.35496190662 6467893.482689951 17.28, 93876.68523885275 6467893.36014556 17.25, 93877.05442868877 6467893.223770622 17.22, 93877.43358805904 6467893.086430435 17.19, 93877.77479979 6467892.972890329 17.16, 93877.80374314461 6467892.960025036 17.16, 93878.18386776466 6467892.832654386 17.13, 93878.48616660357 6467892.732944823 17.11, 93878.55498810031 6467892.716218527 17.1, 93878.93607797008 6467892.598817412 17.07, 93879.20943345246 6467892.511973145 17.05, 93879.30719830334 6467892.482381554 17.04, 93879.68828817055 6467892.364980442 17.01, 93879.92369601328 6467892.301936255 16.990000000000002, 93880.06037375308 6467892.25851412 16.98, 93880.20702102833 6467892.214126735 16.97, 93880.44242887007 6467892.151082546 16.95, 93880.63892382156 6467892.101868902 16.93, 93880.80551016709 6467892.055551015 16.92, 93881.1885305334 6467891.958088976 16.88, 93881.35608212964 6467891.921740623 16.87, 93881.56254661508 6467891.871561728 16.85, 93881.94653223082 6467891.784069226 16.82, 93882.0642361496 6467891.752547133 16.81, 93882.31154402666 6467891.708476768 16.79, 93882.69649489142 6467891.630953804 16.75, 93882.78525545623 6467891.612297001 16.740000000000002, 93883.07147621998 6467891.554396091 16.72, 93883.4573923343 6467891.486842664 16.68, 93883.50724000984 6467891.482016405 16.68, 93883.8442736991 6467891.429258773 16.65, 93883.8841518393 6467891.425397765 16.65, 93884.22118552739 6467891.372640131 16.62, 93884.2411245972 6467891.370709628 16.61, 93884.59906260617 6467891.325991028 16.580000000000002, 93884.97693968355 6467891.279341922 16.55, 93885.3747558298 6467891.230762315 16.52, 93885.71372001688 6467891.197943755 16.5, 93885.74362862139 6467891.195048 16.490000000000002, 93886.14337526809 6467891.166407459 16.46, 93886.44246131356 6467891.137449906 16.44, 93886.52318284387 6467891.139697429 16.43, 93886.91295995342 6467891.112022146 16.4, 93887.17313310894 6467891.096895132 16.38, 93887.29373277794 6467891.0952816475 16.37, 93887.68447513593 6467891.077575896 16.34, 93887.90573540312 6467891.076279428 16.32, 93888.0662132097 6467891.070804931 16.31, 93888.4588860686 6467891.073038254 16.28, 93888.63930294366 6467891.065633256 16.26, 93888.84062413953 6467891.066267289 16.240000000000002, 93888.94128473732 6467891.066584308 16.240000000000002, 93889.22429271275 6467891.079435398 16.21, 93889.37576623465 6467891.084895689 16.2, 93889.61793081905 6467891.091638252 16.18, 93889.65780895716 6467891.087777244 16.17, 93890.00159938936 6467891.104806358 16.15, 93890.11222952051 6467891.104158122 16.14, 93890.38623321027 6467891.127943998 16.11, 93890.77086702961 6467891.151081639 16.080000000000002, 93890.84161902242 6467891.154294413 16.07, 93891.1555008475 6467891.174219278 16.05, 93891.54206516733 6467891.217295986 16.02, 93891.57197377057 6467891.21440023 16.01, 93891.91769470001 6467891.251368412 15.98, 93892.3151938038 6467891.3034494035 15.950000000000001, 93892.69178858516 6467891.347491363 15.92, 93893.04844429722 6467891.393463827 15.89, 93893.06934861746 6467891.401502858 15.89, 93893.4578434343 6467891.464518635 15.85, 93893.77462100703 6467891.514352103 15.83, 93893.82543392963 6467891.519495377 15.82, 93894.21489399514 6467891.592480684 15.790000000000001, 93894.49179342983 6467891.646175159 15.77, 93894.59438452579 6467891.666431246 15.76, 93894.97387505474 6467891.740381805 15.72, 93895.21089635097 6467891.797937284 15.700000000000001, 93895.34436130046 6467891.82526715 15.69, 93895.72578233032 6467891.919156776 15.66, 93895.93096451985 6467891.959668943 15.64, 93896.09626857343 6467892.00404212 15.63, 93896.47865485272 6467892.10790128 15.59, 93896.64299365366 6467892.142304921 15.58, 93896.85010634514 6467892.202756155 15.56, 93897.22252308804 6467892.307580564 15.530000000000001, 93897.34698375268 6467892.34584521 15.52, 93897.58593554783 6467892.423339758 15.5, 93897.95931754023 6467892.538133699 15.46, 93898.04293481744 6467892.57028982 15.46, 93898.32272999763 6467892.653892893 15.43, 93898.69707723969 6467892.778656365 15.4, 93898.73985112965 6467892.804703957 15.39, 93899.05148541322 6467892.905350342 15.370000000000001, 93899.42776315653 6467893.050052883 15.33, 93899.78217132756 6467893.1767468555 15.3, 93900.12854046811 6467893.324345147 15.27, 93900.49484867492 6467893.4700129405 15.24, 93900.80937870924 6467893.600567916 15.21, 93900.84121781326 6467893.617611228 15.200000000000001, 93901.20945652167 6467893.783218081 15.17, 93901.48314316868 6467893.907664534 15.15, 93901.54682137677 6467893.941751157 15.14, 93901.90509054973 6467894.108323258 15.11, 93902.13696855819 6467894.216691648 15.08, 93902.24245540297 6467894.2668563295 15.07, 93902.60168982635 6467894.443397963 15.040000000000001, 93902.7936897006 6467894.555627363 15.02, 93902.93101564859 6467894.622835351 15.01, 93903.28124578844 6467894.810311769 14.98, 93903.44044130662 6467894.895528324 14.96, 93903.61057160946 6467894.989749155 14.94, 93903.96176700003 6467895.187195105 14.91, 93904.08912341372 6467895.255368343 14.9, 93904.2820885384 6467895.377567274 14.88, 93904.62331439444 6467895.575978472 14.85, 93904.71979695611 6467895.637077932 14.84, 93904.94460118329 6467895.776320172 14.81, 93905.2768227568 6467895.985666148 14.780000000000001, 93905.34146621515 6467896.029722303 14.77, 93905.59907479677 6467896.195977383 14.75, 93905.92229208804 6467896.416258142 14.72, 93905.944161658 6467896.434266702 14.71, 93906.23457459378 6467896.6275346195 14.68, 93906.5587571364 6467896.857784915 14.65, 93906.86203536042 6467897.079996178 14.620000000000001, 93907.15437879914 6467897.293203157 14.59, 93907.1662788362 6467897.31217697 14.59, 93907.48049184465 6467897.543392512 14.55, 93907.73199189943 6467897.750490967 14.530000000000001, 93907.77573103894 6467897.786508086 14.52, 93908.09090929886 6467898.027693159 14.49, 93908.29963546555 6467898.20874402 14.47, 93908.37617896002 6467898.271773985 14.46, 93908.68235293863 6467898.523893838 14.42, 93908.85924000217 6467898.687901387 14.4, 93908.96858785191 6467898.777944194 14.39, 93909.25482276449 6467899.031994547 14.36, 93909.40984025801 6467899.177993536 14.34, 93909.54202292941 6467899.296014434 14.33, 93909.82922309445 6467899.560034318 14.290000000000001, 93909.95143623283 6467899.6790204635 14.280000000000001, 93910.09648419404 6467899.825984704 14.26, 93910.38464961131 6467900.09997412 14.23, 93910.47405839502 6467900.191947425 14.22, 93910.65191071079 6467900.3659245055 14.200000000000001, 93910.92110231507 6467900.65181395 14.16, 93910.97770674451 6467900.716774418 14.16, 93911.17935913504 6467900.928699121 14.13, 93911.44951599173 6467901.224558097 14.1, 93911.48328559892 6467901.261540468 14.09, 93911.69780327938 6467901.502408515 14.07, 93911.9579906044 6467901.799232743 14.030000000000001, 93912.20724314469 6467902.087052688 14, 93912.44652615284 6467902.375837886 13.97, 93912.69770919881 6467902.683596896 13.94, 93912.9051531055 6467902.9553387845 13.91, 93912.92798792804 6467902.983316876 13.9, 93913.17016669462 6467903.302010664 13.870000000000001, 93913.35381052695 6467903.535804928 13.85, 93913.40044542472 6467903.601730642 13.84, 93913.63265466032 6467903.921389685 13.81, 93913.78349413822 6467904.128171106 13.780000000000001, 93913.85392911133 6467904.2320444435 13.77, 93914.07616881543 6467904.5526687335 13.74, 93914.13470375113 6467904.63756826 13.73, 93914.20513872453 6467904.741441598 13.72, 93914.28747373552 6467904.864288744 13.71, 93914.50070916134 6467905.195847815 13.68, 93914.59687471628 6467905.357607839 13.66, 93914.7030098032 6467905.518402607 13.64, 93914.91624523036 6467905.849961678 13.61, 93914.98861071031 6467905.973774078 13.6, 93915.10857634142 6467906.173481721 13.58, 93915.30283795879 6467906.516940827 13.55, 93915.3623381484 6467906.611809883 13.540000000000001, 93915.4951690709 6467906.840460867 13.51, 93915.68943068985 6467907.18391997 13.48, 93915.71612652467 6467907.251776188 13.47, 93915.8627879924 6467907.519340046 13.450000000000001, 93916.04804533394 6467907.873733931 13.42, 93916.06091062503 6467907.902677273 13.41, 93916.22140263818 6467908.209154005 13.38, 93916.38672091754 6467908.565478394 13.35, 93916.55107394466 6467908.911833249 13.32, 93916.70352693438 6467909.239214294 13.290000000000001, 93916.71542697278 6467909.258188106 13.290000000000001, 93916.8707757229 6467909.615477743 13.25, 93917.00039389147 6467909.9148807 13.23, 93917.02515922097 6467909.96279785 13.22, 93917.17150369473 6467910.331022274 13.19, 93917.27732178784 6467910.592477605 13.16, 93917.31591766287 6467910.679307631 13.16, 93917.45229260676 6467911.048497303 13.120000000000001, 93917.54524540954 6467911.281009295 13.1, 93917.58673704509 6467911.397747913 13.09, 93917.7240772447 6467911.776907116 13.06, 93917.79322997143 6467911.971471483 13.040000000000001, 93917.8385826213 6467912.1280882275 13.030000000000001, 93917.96595329174 6467912.5082126865 12.99, 93918.02224072756 6467912.673833713 12.98, 93918.08142392407 6467912.869363328 12.96, 93918.18789027963 6467913.241448758 12.93, 93918.23131242458 6467913.378126442 12.92, 93918.29435663653 6467913.613534188 12.9, 93918.40082299488 6467913.985619616 12.86, 93918.43041459407 6467914.083384424 12.86, 93918.49731982197 6467914.358670294 12.83, 93918.59478190483 6467914.741690508 12.8, 93918.59864291939 6467914.781568632 12.790000000000001, 93918.68034394918 6467915.105736906 12.77, 93918.76783650229 6467915.489722367 12.73, 93918.78842382535 6467915.598421964 12.72, 93918.84439427179 6467915.864703554 12.700000000000001, 93918.89039518737 6467916.131950399 12.68, 93918.90808674949 6467916.2107414 12.67, 93918.9119477644 6467916.250619525 12.67, 93918.92384780373 6467916.269593334 12.67, 93919.0023360835 6467916.664513582 12.64, 93919.06120229414 6467916.960703764 12.61, 93919.06892432494 6467917.0404600175 12.61, 93919.1364778222 6467917.426375988 12.58, 93919.18054823356 6467917.673683769 12.56, 93919.20306606631 6467917.802322423 12.55, 93919.26065003418 6467918.189203642 12.51, 93919.28992464591 6467918.38762902 12.5, 93919.31823400373 6467918.576084866 12.48, 93919.36584844306 6467918.963931341 12.450000000000001, 93919.37936200021 6467919.103504781 12.44, 93919.40349335218 6467919.352743068 12.42, 93919.45110779436 6467919.740589541 12.4, 93919.45882982737 6467919.820345796 12.39, 93919.47878317465 6467920.130366522 12.370000000000001, 93919.5173933424 6467920.529147784 12.34, 93919.53413394018 6467920.909920488 12.31, 93919.55601779907 6467921.239880279 12.280000000000001, 93919.55794830748 6467921.25981934 12.280000000000001, 93919.56180932483 6467921.299697469 12.280000000000001, 93919.58048043365 6467921.700409234 12.25, 93919.58467272908 6467921.95157803 12.23, 93919.58725150418 6467922.082147193 12.22, 93919.595953085 6467922.483824214 12.200000000000001, 93919.59242334677 6467922.6552367555 12.18, 93919.5943538557 6467922.675175821 12.18, 93919.59918012761 6467922.725023477 12.18, 93919.60111063626 6467922.7449625395 12.18, 93919.59371988103 6467922.876496956 12.17, 93919.5975808992 6467922.916375086 12.16, 93919.59565038985 6467922.896436022 12.16, 93919.59951140749 6467922.936314145 12.16, 93919.59148667852 6467923.2691697 12.14, 93919.59021873225 6467923.6718119765 12.11, 93919.57801600127 6467924.065449975 12.09, 93919.55584374041 6467924.460053226 12.06, 93919.54460626713 6467924.863660758 12.030000000000001, 93919.51246447803 6467925.259229268 12.01, 93919.4803226901 6467925.654797775 11.98, 93919.44818090345 6467926.050366281 11.950000000000001, 93919.41603911854 6467926.445934788 11.93, 93919.36395827221 6467926.843433809 11.9, 93919.32184695877 6467927.239967574 11.88, 93919.26976611547 6467927.637466593 11.85, 93919.20771574223 6467928.035930867 11.83, 93919.14566537016 6467928.434395142 11.8, 93919.0836149996 6467928.8328594165 11.78, 93919.01159509912 6467929.232288948 11.76, 93918.93860994535 6467929.621748949 11.73, 93918.85662051616 6467930.022143733 11.71, 93918.7746310886 6467930.422538523 11.68, 93918.68170687568 6467930.8139290335 11.66, 93918.58878266462 6467931.205319546 11.64, 93918.49585845426 6467931.596710061 11.620000000000001, 93918.3939299697 6467931.999035362 11.59, 93918.29103623104 6467932.391391131 11.57, 93918.17720770667 6467932.774742625 11.55, 93918.0643444389 6467933.168063651 11.53, 93917.94151164143 6467933.562349936 11.51, 93917.81867884484 6467933.95663622 11.48, 93917.69488079433 6467934.340952975 11.46, 93917.5611132136 6467934.726234983 11.44, 93917.42734563415 6467935.111516994 11.42, 93917.28457377967 6467935.507733793 11.4, 93917.13987141522 6467935.88401153 11.38, 93916.99613430782 6467936.270258799 11.36, 93916.84242766985 6467936.657471324 11.34, 93916.6877557775 6467937.034714323 11.32, 93916.52407961048 6467937.422892108 11.3, 93916.40059854405 6467937.706548294 11.290000000000001, 93916.39352477976 6467937.737422147 11.290000000000001, 93916.38548575988 6467937.7583264625 11.28, 93916.20090527588 6467938.138465232 11.26, 93916.02532906854 6467938.507669211 11.25, 93915.83978333086 6467938.87783845 11.23, 93915.6542375937 6467939.248007689 11.21, 93915.46869185811 6467939.61817693 11.19, 93915.27317659144 6467939.989311424 11.17, 93915.0766960698 6467940.350476394 11.15, 93914.8802155485 6467940.711641361 11.14, 93914.67376549676 6467941.0737715885 11.120000000000001, 93914.46635018982 6467941.425932286 11.1, 93914.24896535173 6467941.779058238 11.08, 93914.04155004601 6467942.131218938 11.07, 93913.81419567752 6467942.4853101475 11.05, 93913.59681084164 6467942.838436107 11.03, 93913.36849121825 6467943.1825577915 11.02, 93913.29935278388 6467943.2999446895 11.01, 93913.14017159521 6467943.526679471 11, 93912.91185197327 6467943.87080116 10.98, 93912.67259756319 6467944.205918572 10.97, 93912.43430841062 6467944.55100552 10.950000000000001, 93912.1950540017 6467944.886122932 10.94, 93911.94486480509 6467945.212236077 10.92, 93911.69564086507 6467945.548318747 10.91, 93911.44545166945 6467945.874431895 10.89, 93911.18529294187 6467946.201510298 10.88, 93910.93413849018 6467946.517653913 10.870000000000001, 93910.67301450664 6467946.834762788 10.85, 93910.1308274765 6467947.470911053 10.83, 93909.58767519059 6467948.097089795 10.8, 93909.03262285923 6467948.704294733 10.77, 93908.45666620799 6467949.303460666 10.75, 93907.87974429887 6467949.892657065 10.73, 93907.28095281159 6467950.4638449205 10.71, 93906.67122653459 6467951.026028512 10.68, 93906.0605349997 6467951.578242574 10.66, 93905.42893914203 6467952.122417624 10.64, 93904.79541276878 6467952.646653619 10.63, 93904.14001681434 6467953.152881066 10.61, 93903.48462085851 6467953.659108522 10.59, 93902.81732485339 6467954.146362176 10.57, 93902.12912452308 6467954.625576817 10.56, 93901.92137789266 6467954.766446875 10.56, 93901.65670983883 6467954.943017082 10.55, 93901.41101559222 6467955.107687237 10.55, 93900.72184999945 6467955.57693236 10.540000000000001, 93900.02078435634 6467956.027203678 10.540000000000001, 93899.30878391949 6467956.468470728 10.53, 93898.58584868925 6467956.900733508 10.53, 93898.54790107254 6467956.9245336065 10.53, 93897.86098294012 6467957.31305723 10.53, 93897.4596371894 6467957.533049656 10.53, 93897.47861099802 6467957.521149606 10.53, 93897.52652814786 6467957.496384252 10.53, 93897.11521286325 6467957.717341937 10.53, 93896.74184519483 6467957.91449953 10.53, 93896.36751226714 6467958.101687585 10.53, 93895.99414459645 6467958.298845176 10.53, 93895.60984213359 6467958.486998496 10.53, 93895.22457441193 6467958.665182283 10.53, 93894.86921528913 6467958.840470295 10.53, 93894.79138953786 6467958.868131424 10.53, 93894.76244619564 6467958.880996735 10.53, 93894.84927622223 6467958.842400812 10.53, 93894.45500422287 6467959.0315193925 10.53, 93894.11668839079 6467959.17496829 10.53, 93894.06877123954 6467959.199733649 10.53, 93893.27636620298 6467959.538092683 10.53, 93892.48299590335 6467959.866482188 10.540000000000001, 93891.68866034062 6467960.184902165 10.540000000000001, 93890.87245518883 6467960.485313593 10.55, 93890.06525430764 6467960.774790237 10.55, 93889.23714909499 6467961.056227867 10.56, 93888.40711335983 6467961.317726433 10.57, 93887.57611236081 6467961.569255469 10.58, 93886.73417656339 6467961.811780233 10.59, 93885.8813059674 6467962.045300725 10.6, 93885.25290836097 6467962.206772607 10.61, 93877.73198941693 6467962.270796654 10.74, 93876.91415618866 6467962.138657099 10.76, 93875.92297982331 6467961.983048795 10.78, 93875.34023744217 6467961.888525502 10.790000000000001, 93874.93180344894 6467961.82744049 10.8, 93873.9406270659 6467961.6718321815 10.82, 93872.95942020911 6467961.515258612 10.84, 93871.96824380814 6467961.359650297 10.86, 93870.97706739762 6467961.20404198 10.88, 93870.89441533748 6467961.18185544 10.89, 93870.16244684544 6467961.0011503985 10.9, 93869.1735178873 6467960.764820532 10.93, 93868.19552371476 6467960.537494941 10.950000000000001, 93867.21656427498 6467960.300199803 10.97, 93866.23857008573 6467960.072874202 11, 93865.25961062912 6467959.835579059 11.02, 93864.28161642258 6467959.608253447 11.05, 93863.46796108066 6467959.415331381 11.07, 93863.48886541167 6467959.423370399 11.07, 93863.46796108066 6467959.415331381 11.07, 93863.3036222076 6467959.380927831 11.08, 93862.32466272562 6467959.1436326755 11.1, 93861.27495122119 6467958.903124788 11.13, 93860.21109218377 6467958.724364632 11.17, 93859.21991566842 6467958.568756273 11.200000000000001, 93858.23870868044 6467958.412182656 11.23, 93857.24753214692 6467958.256574293 11.27, 93856.98156737874 6467958.211884247 11.28, 93856.64485059294 6467958.163981477 11.290000000000001, 93856.32807288005 6467958.11414819 11.3, 93856.26632514142 6467958.100000664 11.31, 93855.26517905272 6467957.945357553 11.35, 93854.27400249237 6467957.789749183 11.39, 93853.58866884914 6467957.674969818 11.41, 93853.5577949789 6467957.6678960575 11.41, 93853.29279546032 6467957.63317555 11.43, 93852.51580545824 6467957.507144436 11.46, 93852.49490112491 6467957.499105415 11.46, 93852.37237090181 6467957.480779902 11.46, 93852.3006536233 6467957.4675976345 11.47, 93851.11522953265 6467957.280481474 11.48)</t>
  </si>
  <si>
    <t>['EV18 S3D100 m853-944']</t>
  </si>
  <si>
    <t>LINESTRING Z (93791.80275266763 6467924.944770786 15.120000000000001, 93790.81993158086 6467924.667596988 15.31, 93789.01067513769 6467926.040267054 16.02, 93788.194655155 6467930.396049596 16.35, 93787.73063886462 6467931.5277799275 16.52, 93786.58712305216 6467933.540402816 17.01, 93786.39677944832 6467934.484628029 17.05, 93787.05453835055 6467936.393291521 16.44, 93788.0074652076 6467936.9853126155 16.19, 93787.75501387363 6467937.080196105 16.29, 93782.38079753809 6467930.838194322 19.82, 93781.86717888707 6467930.314332102 19.81, 93781.13486422267 6467929.610384116 19.78, 93780.41541487147 6467928.935379501 19.76, 93780.39354527008 6467928.917370923 19.75, 93780.36074086791 6467928.890358059 19.75, 93780.283232007 6467928.8173585 19.75, 93779.98606187542 6467928.554303631 19.740000000000002, 93779.68985700002 6467928.3012183085 19.73, 93779.62328293978 6467928.237223037 19.73, 93779.5467393347 6467928.174193018 19.72, 93779.2177300569 6467927.894094829 19.71, 93779.08747770457 6467927.796012916 19.71, 93778.90062083572 6467927.632970467 19.7, 93778.83597728761 6467927.588914284 19.7, 93778.6282160735 6467927.417832804 19.69, 93778.06153694686 6467926.9695489 19.67, 93778.03966734535 6467926.951540324 19.67, 93777.64891028567 6467926.65729457 19.650000000000002, 93777.22534882341 6467926.336035951 19.63, 93777.1279008725 6467926.2649669 19.63, 93776.5978871691 6467925.883574027 19.61, 93776.39302172186 6467925.742401178 19.6, 93776.05886917585 6467925.513115949 19.59, 93775.9186472767 6467925.415999286 19.580000000000002, 93775.55265558371 6467925.1696707355 19.57, 93775.50988163648 6467925.143623126 19.56, 93774.95092455018 6467924.775095549 19.54, 93774.69428086444 6467924.618809889 19.53, 93774.37299362855 6467924.418468033 19.52, 93773.81789756281 6467924.089818633 19.490000000000002, 93773.7960279609 6467924.0718100555 19.490000000000002, 93773.41202768532 6467923.847351098 19.47, 93773.21005800198 6467923.736086872 19.46, 93772.93347522331 6467923.581731715 19.45, 93772.61411849584 6467923.401328945 19.44, 93772.32756617054 6467923.247939039 19.42, 93772.04101384542 6467923.094549138 19.41, 93771.98827035201 6467923.069466781 19.41, 93771.36338746076 6467922.747574157 19.38, 93771.13054388325 6467922.6292361505 19.37, 93771.0141220945 6467922.57006715 19.37, 93770.74043507903 6467922.445620621 19.35, 93770.34936101787 6467922.252035544 19.34, 93770.21300013707 6467922.194797048 19.330000000000002, 93770.01296096144 6467922.103471912 19.32, 93769.67559564847 6467921.944938734 19.31, 93769.33919559018 6467921.796375101 19.29, 93769.27648255025 6467921.772257999 19.29, 93768.98575220781 6467921.679650616 19.28, 93768.6233045343 6467921.57386093 19.26, 93768.30170029757 6467921.474179766 19.25, 93768.27082640526 6467921.467105987 19.25, 93767.91834827507 6467921.360351045 19.240000000000002, 93767.55686585436 6467921.264530904 19.22, 93767.31887900311 6467921.197005876 19.21, 93767.20535297773 6467921.167745507 19.21, 93766.84387055453 6467921.071925363 19.19, 93766.48335338593 6467920.986074763 19.18, 93766.32898392103 6467920.95070587 19.17, 93766.12283621595 6467920.900224166 19.17, 93765.76231904514 6467920.814373568 19.150000000000002, 93765.40276712843 6467920.738492509 19.14, 93765.33104979648 6467920.725310212 19.13, 93765.03324566514 6467920.663576713 19.12, 93764.78625451849 6467920.606986483 19.11, 93764.67369374656 6467920.587695659 19.11, 93764.34598097578 6467920.528857931 19.1, 93764.21155059984 6467920.491558522 19.09, 93763.96262893989 6467920.415029198 19.080000000000002, 93763.3940335408 6467920.258757797 19.06, 93763.37312919274 6467920.250718761 19.06, 93763.09526414872 6467920.1870547505 19.04, 93762.96083377145 6467920.149755345 19.04, 93762.5376035468 6467920.039787636 19.02, 93762.39416887832 6467920.013423028 19.01, 93762.32148628833 6467919.990271181 19.01, 93762.22886460618 6467919.969049844 19.01, 93761.9410300132 6467919.906351088 19, 93761.40620426508 6467919.787062099 18.97, 93761.36536082439 6467919.780953574 18.97, 93761.34445647657 6467919.772914539 18.97, 93760.70800475136 6467919.643339012 18.95, 93760.48288319889 6467919.604757358 18.94, 93760.42113541008 6467919.590609802 18.93, 93760.06254873204 6467919.5246982835 18.92, 93759.59236653126 6467919.449465488 18.900000000000002, 93759.42899276654 6467919.425031392 18.89, 93759.40808841743 6467919.416992355 18.89, 93758.76456290216 6467919.318290718 18.87, 93758.7037803678 6467919.314112708 18.86, 93758.42784582335 6467919.2703877855 18.85, 93758.1120330919 6467919.230523883 18.84, 93757.79622035968 6467919.190659982 18.830000000000002, 93757.73543782462 6467919.186481971 18.82, 93757.46046853316 6467919.152726592 18.81, 93757.43055989343 6467919.15562236 18.81, 93756.881586564 6467919.098081152 18.79, 93756.79989967961 6467919.085864104 18.79, 93756.42426966334 6467919.051791734 18.77, 93756.15123087988 6467919.037975453 18.76, 93755.9479789228 6467919.017402376 18.75, 93755.49259252951 6467918.991052054 18.73, 93755.4218404466 6467918.987839298 18.73, 93755.00633223803 6467918.957627949 18.71, 93754.82494988386 6467918.955063458 18.71, 93754.41040692903 6467918.93482166 18.69, 93754.14830294286 6467918.930009666 18.68, 93754.0576117651 6467918.928727419 18.68, 93753.48259080015 6467918.9139601635 18.650000000000002, 93753.4028344244 6467918.921682208 18.650000000000002, 93753.0899174452 6467918.911726946 18.64, 93752.80883961765 6467918.918815009 18.62, 93752.39622716629 6467918.918512305 18.61, 93752.14505797793 6467918.922704603 18.6, 93752.12511888373 6467918.924635111 18.6, 93751.48320684576 6467918.946533291 18.57, 93751.39251566574 6467918.945251043 18.57, 93751.15228127775 6467918.958447631 18.56, 93750.82232096483 6467918.980331524 18.54, 93750.38173037517 6467919.002863677 18.53, 93750.17236988287 6467919.023134047 18.52, 93749.95207458694 6467919.034400124 18.51, 93749.52241879702 6467919.065936575 18.490000000000002, 93749.38284513418 6467919.079450154 18.490000000000002, 93749.19342373463 6467919.097790014 18.48, 93748.87439821864 6467919.128678195 18.47, 93748.37688610348 6467919.186910529 18.45, 93748.23731243925 6467919.20042411 18.44, 93747.60119191225 6467919.282139571 18.41, 93747.37285757554 6467919.314310004 18.41, 93747.24421871302 6467919.336827874 18.400000000000002, 93746.97600618511 6467919.37285933 18.39, 93746.92712370283 6467919.387655155 18.39, 93746.55021140631 6467919.444273969 18.37, 93746.39166389994 6467919.469687606 18.36, 93746.2421206857 6467919.484166445 18.36, 93746.13342091785 6467919.504753809 18.35, 93745.71663042752 6467919.565233646 18.34, 93745.39857015706 6467919.606091377 18.32, 93745.30980948353 6467919.624748229 18.32, 93745.2300531019 6467919.632470278 18.32, 93744.89205373428 6467919.675258518 18.3, 93744.47526323964 6467919.73573836 18.29, 93744.40547640476 6467919.742495151 18.28, 93744.21605499642 6467919.760835013 18.28, 93744.05750748725 6467919.786248653 18.27, 93743.63975173322 6467919.836758943 18.25, 93743.41045213188 6467919.8589598285 18.240000000000002, 93743.2419350734 6467919.885338728 18.240000000000002, 93743.20205688156 6467919.889199749 18.23, 93742.85312270431 6467919.922983705 18.22, 93742.4553060417 6467919.971563488 18.2, 93742.42539739783 6467919.974459255 18.2, 93742.19609779405 6467919.99666014 18.19, 93742.06649366982 6467920.009208466 18.19, 93741.66771174857 6467920.047818703 18.17, 93741.42844259483 6467920.070984843 18.16, 93741.26892982569 6467920.086428937 18.150000000000002, 93741.18917344091 6467920.094150984 18.150000000000002, 93740.87014790147 6467920.125039174 18.14, 93740.73057422746 6467920.138552754 18.13, 93740.58103100525 6467920.153031594 18.13, 93740.47136597557 6467920.16364941 18.12, 93740.43148778286 6467920.16751043 18.12, 93740.38164004206 6467920.172336713 18.12, 93740.2919141085 6467920.181024015 18.11, 93740.17227953015 6467920.192607086 18.11, 93740.07258404844 6467920.202259645 18.11, 93739.96195376193 6467920.202907909 18.1, 93739.75259324955 6467920.223178285 18.09, 93739.54323273635 6467920.243448658 18.080000000000002, 93739.43356770556 6467920.254066475 18.080000000000002, 93739.33290696703 6467920.253749485 18.080000000000002, 93739.13351600152 6467920.2730546035 18.07, 93738.92319023132 6467920.283355431 18.06, 93738.71382971684 6467920.303625805 18.05, 93738.50350394577 6467920.313926632 18.04, 93738.44368665572 6467920.319718167 18.04, 93738.30411297863 6467920.33323175 18.03, 93738.21342178725 6467920.331949502 18.03, 93738.18351314217 6467920.334845272 18.03, 93738.10375675518 6467920.342567318 18.03, 93738.18351314217 6467920.334845272 18.03, 93740.64913289109 6467918.465916165 17.56, 93743.05470402201 6467918.575149935 17.53, 93746.21022439358 6467918.219316143 17.51, 93749.84459993656 6467917.716489369 17.54, 93758.12090885168 6467916.412023696 17.59, 93765.54502229491 6467916.075612255 17.59, 93788.48837178707 6467918.463082605 17.94, 93799.52318541647 6467920.39346124 18.150000000000002, 93817.1351709938 6467925.400280769 18.490000000000002, 93824.09163207636 6467931.14694494 18.62, 93830.44878181064 6467940.161729852 18.39, 93832.61535472109 6467946.221207557 18.27, 93835.5062465007 6467953.941391273 16.54, 93834.5616759574 6467953.227805605 16.52, 93833.90944916004 6467952.7274269 16.5, 93832.73847498192 6467952.065950761 16.31, 93831.97979598003 6467951.505437842 16.25, 93830.88761284557 6467950.826270077 16.11, 93829.44519922684 6467949.959625938 15.860000000000001, 93827.79598970094 6467948.931869956 15.610000000000001, 93826.56551520264 6467948.175524627 15.52, 93824.81661024888 6467947.157421169 15.3, 93823.78907059692 6467946.522309466 15.120000000000001, 93822.67243900744 6467945.694563754 14.950000000000001, 93821.67159522633 6467945.127308296 14.780000000000001, 93820.30990310962 6467944.2629114855 14.61, 93819.15340769372 6467943.750978282 14.51, 93818.16383000981 6467943.40401794 14.450000000000001, 93817.28810961754 6467943.297608795 14.290000000000001, 93816.15672521747 6467943.35683517 14.07, 93815.09094959515 6467943.470087244 13.88, 93814.1287304028 6467943.613564914 13.73, 93813.07968110353 6467943.795638528 13.450000000000001, 93811.95538478444 6467944.135942577 13.17, 93811.52026903117 6467944.318952742 12.85, 93815.87567626918 6467943.987826374 12.790000000000001, 93819.21357061743 6467944.268429136 12.66, 93826.05423037743 6467949.442650195 12.26, 93835.24837825011 6467955.12360281 12.17, 93835.19563478068 6467955.098520484 12.17, 93824.91967646067 6467950.508483208 12.57, 93825.26631976053 6467949.619566218 12.280000000000001, 93824.23074107396 6467949.005358882 12.25, 93822.65980359231 6467950.656844718 12.82, 93821.66862673935 6467950.501236233 12.97, 93822.1300207604 6467948.303082334 13.01, 93820.21101398434 6467947.814661069 13.07, 93820.49170284095 6467946.348475958 12.59, 93814.87330502947 6467945.171680374 12.82, 93813.78213009553 6467945.438336615 12.86, 93813.51809573919 6467945.413585608 12.870000000000001, 93803.71339782939 6467943.404361299 13.3, 93793.06706509384 6467941.225049157 13.3, 93793.40371033928 6467939.713193977 14.19, 93796.93135800771 6467940.186747955 14.16, 93797.0407060067 6467940.276790809 13.950000000000001, 93798.56573064515 6467933.266171453 14.07, 93795.90155794367 6467932.356810164 13.94, 93798.21223218337 6467924.938044954 14.58, 93801.84906801785 6467929.033770342 16.46, 93802.38998777803 6467928.800264237 16.91, 93798.60098715202 6467923.6525936145 17.900000000000002, 93792.53650917578 6467922.025899206 17.96, 93787.09295010549 6467925.461154089 17.05, 93792.06220628507 6467923.259255396 15.860000000000001, 93791.83201302675 6467924.831244788 15.4)</t>
  </si>
  <si>
    <t>[13305]</t>
  </si>
  <si>
    <t>['KV13305 S4D1 m53-69']</t>
  </si>
  <si>
    <t>LINESTRING Z (93856.62696558231 6468050.584253921 13.030000000000001, 93856.21391935885 6468048.189000986 13.1, 93848.10610177345 6468041.879601235 13.41, 93848.62026655657 6468040.330432667 14.540000000000001, 93858.88868013036 6468048.584120943 13.61, 93859.5193544823 6468048.965829782 13.41, 93859.81073308474 6468049.1690669 13.38, 93860.68197308923 6468049.74886965 13.31, 93861.56221735856 6468050.317737587 13.24, 93862.4424616234 6468050.886605514 13.16, 93863.32270588429 6468051.455473434 13.09, 93864.21195440891 6468052.013406539 13.02, 93865.10023766203 6468052.561370102 12.94, 93865.98852091056 6468053.109333654 12.870000000000001, 93866.88580842235 6468053.646362394 12.790000000000001, 93867.7930654643 6468054.182425861 12.72, 93868.68938769912 6468054.70948505 12.65, 93869.6046837311 6468055.224644159 12.57, 93870.51001022296 6468055.740768526 12.5, 93871.42530624435 6468056.25592762 12.43, 93872.34864126018 6468056.750182366 12.35, 93873.2629720032 6468057.255371909 12.280000000000001, 93874.19531127444 6468057.738691836 12.21, 93874.45002437814 6468057.875037968 12.19, 93875.11768100556 6468058.222977024 12.13, 93875.2131984189 6468058.274106824 12.13, 93875.30871583213 6468058.325236624 12.120000000000001, 93875.39329844352 6468058.367362154 12.11, 93875.4888158568 6468058.41849195 12.1, 93875.58433326974 6468058.469621749 12.1, 93875.67888541531 6468058.510782013 12.09, 93875.7744028283 6468058.561911811 12.08, 93875.85898543947 6468058.604037341 12.07, 93875.95450285234 6468058.655167139 12.07, 93878.52256756386 6468060.650570083 12.120000000000001, 93878.52835917019 6468060.71038729 12.120000000000001, 93878.53994238196 6468060.830021693 12.120000000000001, 93878.54059079284 6468060.940651838 12.120000000000001, 93878.5412392036 6468061.051281978 12.120000000000001, 93878.53288334823 6468061.172846921 12.120000000000001, 93878.53353175923 6468061.283477062 12.120000000000001, 93878.52131483331 6468061.365163868 12.120000000000001, 93878.52324536885 6468061.385102936 12.120000000000001, 93878.50395471224 6468061.497663612 12.120000000000001, 93878.49366832175 6468061.599289486 12.120000000000001, 93878.47437766544 6468061.711850164 12.120000000000001, 93878.45412174147 6468061.8144413065 12.120000000000001, 93878.43386581755 6468061.9170324495 12.120000000000001, 93878.41360989376 6468062.019623592 12.120000000000001, 93878.38241916843 6468062.113210471 12.120000000000001, 93878.35219371069 6468062.216766881 12.120000000000001, 93878.32100298518 6468062.310353756 12.13, 93878.30685552448 6468062.372101497 12.13, 93878.28981225996 6468062.403940634 12.13, 93878.25958680263 6468062.507497043 12.13, 93878.22646554187 6468062.581144853 12.13, 93878.21842654346 6468062.60204919 12.13, 93878.19334428111 6468062.654792664 12.13, 93878.16022302024 6468062.728440472 12.13, 93878.00683364196 6468063.014992708 12.14, 93877.98175137956 6468063.067736184 12.14, 93877.76115421328 6468063.4916145075 12.15, 93877.47238399187 6468064.042849387 12.17, 93877.29487762251 6468064.392114637 12.17, 93876.82763576903 6468065.282645241 12.200000000000001, 93876.37132872344 6468066.182180118 12.23, 93875.90505214938 6468067.082680272 12.26, 93875.44777984644 6468067.972245628 12.3, 93875.43170185189 6468068.014054301 12.3, 93874.53516579466 6468069.771315434 12.38, 93873.62255176582 6468071.5703852745 12.450000000000001, 93872.72087256279 6468073.378459411 12.530000000000001, 93871.8291629171 6468075.185568306 12.61, 93870.93745329481 6468076.992677228 12.69, 93870.05667849991 6468078.808790449 12.76, 93869.18587326346 6468080.623938428 12.84, 93868.31506805099 6468082.439086438 12.92, 93867.44522813236 6468084.264204015 13, 93866.59532730747 6468086.087391076 13.08, 93865.73545697262 6468087.911543438 13.16, 93864.89649100223 6468089.743734825 13.24, 93864.05752505694 6468091.575926239 13.32, 93863.75042958895 6468092.249691497 13.34, 93863.48449436121 6468092.828904586 13.370000000000001, 93863.2294939427 6468093.417121948 13.39, 93862.84715173201 6468094.249117676 13.42, 93862.47477906197 6468095.080148145 13.44, 93862.40146285383 6468095.258317683 13.450000000000001, 93861.98696468346 6468096.173930792 13.47, 93861.60751830362 6468097.03583515 13.48, 93861.51715884177 6468097.245843837 13.49, 93861.54930000991 6468096.850275066 13.450000000000001, 93861.58240645111 6468096.464675833 13.4, 93861.62258661486 6468096.0482027205 13.36, 93861.66276678047 6468095.63172961 13.31, 93861.59617787407 6468095.255783086 13.290000000000001, 93861.53055423964 6468094.889806096 13.280000000000001, 93861.45496107149 6468094.5247943755 13.27, 93861.37840263371 6468094.149813124 13.27, 93861.33047070587 6468093.862627145 13.27, 93861.2896125011 6468093.544567286 13.26, 93861.27899452124 6468093.4349024 13.26, 93861.19791176944 6468092.597461441 13.26, 93861.05859595293 6468091.2625089865 13.24, 93860.90383582411 6468089.768043962 13.22, 93860.74907571555 6468088.273578934 13.200000000000001, 93860.59431562811 6468086.7791139055 13.17, 93860.44952509645 6468085.2836836 13.14, 93860.42218069837 6468085.10519723 13.13, 93860.1303523258 6468082.19505816 13.040000000000001, 93860.07338664861 6468081.294904158 13.02, 93860.11643317249 6468080.284436837 12.99, 93860.26914459566 6468079.2633515475 12.97, 93860.53152091854 6468078.231648299 12.950000000000001, 93860.93347074697 6468077.186431286 12.93, 93861.49396788073 6468076.115800436 12.92, 93861.54606293875 6468076.030252535 12.92, 93862.31495505344 6468074.929381508 12.92, 93862.43104524404 6468074.777259516 12.92, 93863.37392896478 6468073.810487229 12.94, 93863.92352078075 6468073.35475495 12.94, 93866.62906693126 6468071.885239641 13, 93867.53885883762 6468071.61601801 13.02, 93868.45680049201 6468066.857912052 12.74, 93868.75427285087 6468066.708354318 12.74)</t>
  </si>
  <si>
    <t>POLYGON ((93856.70664695108 6468048.104033228, 93856.69671277594 6468048.058960544, 93856.68266474767 6468048.014995927, 93856.66462256867 6468047.972513996, 93856.64273997527 6468047.931876738, 93856.6172034277 6468047.893430419, 93856.5882305213 6468047.857502639, 93856.55606813244 6468047.8243995365, 93856.52099031468 6468047.7944031805, 93848.69189855136 6468041.701904292, 93848.86806696102 6468041.171112275, 93858.57543189538 6468048.973833072, 93858.6297862917 6468049.011875522, 93859.24659986571 6468049.385195275, 93859.52468988528 6468049.579163582, 93859.53372175299 6468049.585317693, 93860.40496175748 6468050.165120442, 93860.41058351993 6468050.1688073855, 93861.29082778926 6468050.737675322, 93862.17107205626 6468051.3065432515, 93863.05131631879 6468051.875411172, 93863.05696949165 6468051.879011118, 93863.94621801627 6468052.436944223, 93863.949444501 6468052.438951541, 93864.83772775413 6468052.986915103, 93865.72601100523 6468053.534878657, 93865.73174562256 6468053.538363317, 93866.62903313435 6468054.075392057, 93866.63145887696 6468054.076834586, 93867.53871591891 6468054.612898054, 93867.53962298963 6468054.613432719, 93868.43594522445 6468055.140491908, 93868.44414675793 6468055.145210745, 93869.3582446466 6468055.659695499, 93870.26237673717 6468056.17513894, 93870.26476928467 6468056.176494222, 93871.18006530605 6468056.691653317, 93871.18933985803 6468056.696744889, 93872.10974400076 6468057.189430758, 93873.02116506458 6468057.693012634, 93873.03285666749 6468057.699271596, 93873.96226022708 6468058.181069665, 93874.21405799451 6468058.315855239, 93874.21895205224 6468058.318440246, 93874.88415451073 6468058.665100349, 93874.97723203214 6468058.714924092, 93875.07274944514 6468058.766053893, 93875.08581106522 6468058.772800547, 93875.16381327585 6468058.811648773, 93875.2528494833 6468058.859309226, 93875.34836688888 6468058.91043902, 93875.38476375493 6468058.928066957, 93875.46076072656 6468058.961149817, 93875.53843644755 6468059.002729083, 93875.5514980609 6468059.009475733, 93875.62950026711 6468059.048323957, 93875.68118059199 6468059.075988071, 93878.04039736421 6468060.909114812, 93878.04059938065 6468060.9435823215, 93878.04113859682 6468061.03558197, 93878.03406032953 6468061.138559955, 93878.03289193605 6468061.1757774055, 93878.03331378284 6468061.2477517715, 93878.02681464853 6468061.291207345, 93878.0214834138 6468061.352181108, 93878.02150295833 6468061.352734921, 93878.01113960496 6468061.413204923, 93878.00649648046 6468061.447311773, 93877.99794430056 6468061.5318042645, 93877.98262699376 6468061.62118051, 93877.96359169742 6468061.717589482, 93877.94333577329 6468061.820180627, 93877.92922691633 6468061.891638426, 93877.90807006725 6468061.955118947, 93877.9024459694 6468061.973118615, 93877.87486281557 6468062.067622143, 93877.84665388663 6468062.152262223, 93877.83363156207 6468062.19868865, 93877.8327591086 6468062.2024965435, 93877.82692808787 6468062.214895022, 93877.80983906043 6468062.263848779, 93877.78934033615 6468062.334080116, 93877.77045787263 6468062.376066805, 93877.7597842778 6468062.401677313, 93877.75863769784 6468062.404658841, 93877.74180216655 6468062.440060927, 93877.7373366131 6468062.449714613, 93877.71127861927 6468062.507656675, 93877.56601636016 6468062.779026346, 93877.55529152465 6468062.800260978, 93877.534070101 6468062.844885806, 93877.31793462977 6468063.260190965, 93877.02947751855 6468063.8108281465, 93877.02664702521 6468063.816313393, 93876.85061160967 6468064.162684364, 93876.38487816366 6468065.050340048, 93876.38172639546 6468065.056448799, 93875.9263622764 6468065.954124849, 93875.46104410029 6468066.85277409, 93875.46036384237 6468066.854092631, 93875.00309153943 6468067.743657987, 93874.98109857521 6468067.792778107, 93874.97441883078 6468067.810147889, 93874.08978221827 6468069.54408544, 93874.0892564104 6468069.545119013, 93873.17664238156 6468071.344188853, 93873.17510501221 6468071.347245402, 93872.27342580918 6468073.155319538, 93872.27248956666 6468073.157206865, 93871.38077992098 6468074.96431576, 93870.48907029508 6468076.771424689, 93870.48756910134 6468076.774493332, 93869.60679430644 6468078.5906065535, 93869.60587185084 6468078.5925189415, 93868.73506661439 6468080.407666921, 93867.86426139816 6468082.222814938, 93867.86370849896 6468082.223971225, 93866.99386858034 6468084.049088802, 93866.99204898748 6468084.052949044, 93866.14260006938 6468085.875166685, 93865.28318581179 6468087.698351513, 93865.28085049456 6468087.703377759, 93864.44188452417 6468089.535569146, 93863.6029185754 6468091.367760567, 93863.60255536638 6468091.368555603, 93863.29574646098 6468092.041692144, 93863.03009949591 6468092.620277391, 93863.02574677866 6468092.63003112, 93862.77290481912 6468093.213269497, 93862.39282862114 6468094.040334269, 93862.39086464683 6468094.044662068, 93862.03099476986 6468094.847789839, 93862.02270492831 6468094.801558153, 93862.02016487924 6468094.788408752, 93861.94471432552 6468094.424085664, 93861.87009813228 6468094.058617475, 93861.82519717235 6468093.789591657, 93861.78653250578 6468093.488607351, 93861.77666724366 6468093.386716703, 93861.69558449212 6468092.549275747, 93861.69521105038 6468092.545563221, 93861.55591589182 6468091.210808716, 93861.40117625815 6468089.716541606, 93861.24641615029 6468088.2220765855, 93861.09182773612 6468086.729269346, 93860.94719782227 6468085.2354979385, 93860.94375872311 6468085.207966216, 93860.91838621946 6468085.042351085, 93860.62877383438 6468082.154310044, 93860.57406011135 6468081.2897407245, 93860.61485238696 6468080.332189272, 93860.75992249954 6468079.362196623, 93861.00881137847 6468078.383528037, 93861.38980687274 6468077.39279998, 93861.92943232942 6468076.362037062, 93861.96495735581 6468076.303699639, 93862.71883240537 6468075.224329486, 93862.81014559473 6468075.104674721, 93863.71342703771 6468074.178508062, 93864.20508268135 6468073.77081759, 93866.8214380005 6468072.349746212, 93867.68073520657 6468072.095466752, 93867.72757621719 6468072.079036099, 93867.77255719402 6468072.058041854, 93867.81523479629 6468072.032690939, 93867.85518838555 6468072.003233218, 93867.89202417182 6468071.969959032, 93867.9253790947 6468071.933196337, 93867.95492440184 6468071.8933074735, 93867.9803688892 6468071.850685593, 93868.00146177116 6468071.805750785, 93868.01799515236 6468071.758945935, 93868.02980607674 6468071.710732362, 93868.90115373186 6468067.194144135, 93868.97886609839 6468067.155073327, 93868.52967960335 6468066.261635308, 93868.2322072445 6468066.411193043, 93868.18805863538 6468066.436274988, 93868.14668151108 6468066.465705196, 93868.1085025863 6468066.499180162, 93868.07391559322 6468066.536354664, 93868.04327722109 6468066.576845326, 93868.01690343775 6468066.620234579, 93867.99506623113 6468066.666074954, 93867.9779908043 6468066.71389371, 93867.9658532529 6468066.7631977005, 93867.10549457702 6468071.222825088, 93866.48719056231 6468071.4057909, 93866.43775395244 6468071.423287973, 93866.39042188188 6468071.445866747, 93863.68487573137 6468072.915382056, 93863.64329252271 6468072.940663024, 93863.60436396171 6468072.969866752, 93863.05477214574 6468073.425599031, 93863.01598085467 6468073.461383877, 93862.07309713394 6468074.428156164, 93862.0335659551 6468074.47392766, 93861.91747576451 6468074.626049653, 93861.90503885341 6468074.643079729, 93861.13614673872 6468075.743950755, 93861.11901338247 6468075.770197393, 93861.06691832445 6468075.855745294, 93861.05099948977 6468075.883897428, 93860.49050235601 6468076.954528279, 93860.46678945994 6468077.006963806, 93860.06483963151 6468078.052180819, 93860.04694550231 6468078.108414107, 93859.78456917944 6468079.140117356, 93859.77464439793 6468079.189395111, 93859.62193297475 6468080.2104804, 93859.61688625887 6468080.263155834, 93859.57383973499 6468081.273623155, 93859.57438487906 6468081.3264831705, 93859.63135055624 6468082.2266371725, 93859.63284753569 6468082.244947877, 93859.92467590826 6468085.155086947, 93859.92794707172 6468085.180914614, 93859.95318982979 6468085.345682851, 93860.0966429023 6468086.827299567, 93860.09697519265 6468086.830616248, 93860.25173528008 6468088.325081277, 93860.40649538937 6468089.819546311, 93860.56125551889 6468091.314011343, 93860.70041884157 6468092.647504096, 93860.78132179857 6468093.483088094, 93860.79193977869 6468093.592752983, 93860.79368767345 6468093.608274156, 93860.83454587821 6468093.926334015, 93860.8372925814 6468093.944939584, 93860.88522450924 6468094.232125563, 93860.88850870756 6468094.249832828, 93860.96506714534 6468094.624814079, 93860.96535043188 6468094.62619172, 93861.03958551631 6468094.984645752, 93861.10393362821 6468095.34350927, 93861.15851953572 6468095.651689465, 93861.1248974588 6468096.000187057, 93861.08471729481 6468096.416660171, 93861.08423918631 6468096.4219046235, 93861.05113274511 6468096.807503857, 93861.05094239645 6468096.809781991, 93861.01880122832 6468097.205350762, 93861.0172231642 6468097.253863706, 93861.02035648594 6468097.302301071, 93861.02817166515 6468097.3502063835, 93861.0405950517 6468097.397128185, 93861.05750956779 6468097.442624286, 93861.0787558113 6468097.48626593, 93861.10413355796 6468097.527641841, 93861.13340364832 6468097.566362091, 93861.16629024147 6468097.602061783, 93861.20248341472 6468097.634404483, 93861.24164208416 6468097.663085394, 93861.28339721913 6468097.687834226, 93861.3273553199 6468097.708417748, 93861.37310212602 6468097.724641981, 93861.42020652033 6468097.736354028, 93861.46822459178 6468097.743443514, 93861.51670381881 6468097.74584363, 93861.56518733397 6468097.743531755, 93861.6132182294 6468097.736529677, 93861.66034386268 6468097.724903384, 93861.7061201226 6468097.708762442, 93861.75011561444 6468097.688258961, 93861.79191572538 6468097.663586168, 93861.83112653183 6468097.634976577, 93861.86737851179 6468097.602699806, 93861.90033002717 6468097.56706003, 93861.92967054341 6468097.528393118, 93861.95512355598 6468097.487063466, 93861.97644919608 6468097.443460563, 93862.06597989607 6468097.23537804, 93862.44353503652 6468096.377769593, 93862.85696220344 6468095.464522296, 93862.8638454916 6468095.448586693, 93862.93422346185 6468095.27755752, 93863.30246711166 6468094.455741856, 93863.68381705356 6468093.6259053545, 93863.68824152525 6468093.615995414, 93863.94111767327 6468093.032678172, 93864.20482445425 6468092.458318692, 93864.20539927951 6468092.457062133, 93864.51231351549 6468091.783694496, 93865.35109748377 6468089.951900497, 93866.1889097139 6468088.122228727, 93867.0475984683 6468086.300583001, 93867.04850645235 6468086.298646047, 93867.89750572662 6468084.4773929715, 93868.76615189659 6468082.654780145, 93869.63667991628 6468080.840209928, 93870.50702595143 6468079.02601913, 93871.3865921125 6468077.21239805, 93872.27754591683 6468075.406820844, 93873.16878943272 6468073.600656592, 93874.06923507349 6468071.795056032, 93874.98081283383 6468069.998029026, 93875.87708542828 6468068.241284295, 93875.89838312312 6468068.193521822, 93875.90478834894 6468068.17686589, 93876.34940131969 6468067.31192766, 93876.81533677253 6468066.4120863, 93876.81723809702 6468066.408376561, 93877.27199026092 6468065.51190688, 93877.73763522788 6468064.624419831, 93877.74061458917 6468064.618650631, 93877.91672262963 6468064.272136762, 93878.2040606866 6468063.723635748, 93878.20468530775 6468063.722439481, 93878.42528247403 6468063.298561158, 93878.43329349687 6468063.282467915, 93878.45326599007 6468063.240469363, 93878.60104030205 6468062.964406834, 93878.61623068825 6468062.933518522, 93878.64717051524 6468062.864721309, 93878.66996865803 6468062.816780927, 93878.68510780753 6468062.781516729, 93878.6881654349 6468062.773565779, 93878.71559447187 6468062.712575091, 93878.73956000216 6468062.647588898, 93878.75641934195 6468062.589826574, 93878.76685254936 6468062.56806766, 93878.78241142139 6468062.526524905, 93878.79422694759 6468062.483766603, 93878.80298384855 6468062.445546398, 93878.82654280923 6468062.374858414, 93878.8321669097 6468062.356858737, 93878.85975006582 6468062.262355202, 93878.88795899494 6468062.177715116, 93878.90413993796 6468062.116475415, 93878.92439586176 6468062.013884273, 93878.94465178573 6468061.911293129, 93878.96490770948 6468061.808701989, 93878.96719277329 6468061.79630885, 93878.9864834296 6468061.683748172, 93878.99112655353 6468061.649641325, 93878.9996787334 6468061.565148833, 93879.01606047613 6468061.469561624, 93879.02160680531 6468061.4255489325, 93879.0228267144 6468061.392237642, 93879.028031944 6468061.357433585, 93879.03226143257 6468061.319096059, 93879.03352317141 6468061.280546578, 93879.03298395504 6468061.1885469295, 93879.0400622223 6468061.085568944, 93879.04123061578 6468061.048351495, 93879.04058220502 6468060.937721354, 93879.03993379415 6468060.82709121, 93879.03761511922 6468060.78183615, 93879.02603190744 6468060.662201747, 93879.02024030121 6468060.602384541, 93879.0127754139 6468060.552100475, 93879.00024332282 6468060.502834274, 93878.98277357033 6468060.455095196, 93878.96054673857 6468060.409376712, 93878.93379258292 6468060.366151406, 93878.90278765702 6468060.325866094, 93878.86785245402 6468060.288937197, 93878.8293480938 6468060.255746444, 93876.26128338228 6468058.2603434995, 93876.22684896653 6468058.235849128, 93876.19046923332 6468058.214349868, 93876.09495182044 6468058.163220069, 93876.08189020687 6468058.156473419, 93876.00388802242 6468058.117625205, 93875.91485179607 6468058.06996474, 93875.87845493012 6468058.052336805, 93875.80245794977 6468058.01925394, 93875.72478223767 6468057.977674679, 93875.62926481703 6468057.926544878, 93875.61620321043 6468057.919798231, 93875.53820100026 6468057.880950005, 93875.44916480589 6468057.833289555, 93875.35364739233 6468057.782159755, 93875.34875333146 6468057.779574745, 93874.68355088412 6468057.432914648, 93874.43127765806 6468057.297874565, 93874.42542661015 6468057.294792148, 93873.4989746496 6468056.814524173, 93872.5904481988 6468056.31254164, 93872.5846076465 6468056.309365097, 93871.6659368668 6468055.817607084, 93870.75644927396 6468055.305717167, 93869.8523172169 6468054.790273745, 93869.8499246723 6468054.788918464, 93868.93875171553 6468054.27607996, 93868.04696171918 6468053.751685837, 93867.14137298305 6468053.216608108, 93866.24817519015 6468052.6820270745, 93865.36274756736 6468052.1358250985, 93864.47608136183 6468051.58885906, 93863.59128095103 6468051.033716794, 93862.7138511889 6468050.466667776, 93861.8336069257 6468049.8977998495, 93860.95618593844 6468049.330756492, 93860.0922939915 6468048.755843811, 93859.80539768176 6468048.5557331005, 93859.77824832096 6468048.538075203, 93859.17601591485 6468048.173580545, 93848.93351479154 6468039.940720539, 93848.8945631021 6468039.912387927, 93848.85306597255 6468039.887934722, 93848.80940849143 6468039.867587847, 93848.7639957951 6468039.851536117, 93848.71724930812 6468039.839928492, 93848.66960283244 6468039.832872689, 93848.62149852184 6468039.830434185, 93848.57338277875 6468039.832635609, 93848.52570211168 6468039.839456532, 93848.47889899169 6468039.850833656, 93848.4334077463 6468039.866661403, 93848.389650529 6468039.886792894, 93848.34803340168 6468039.911041312, 93848.30894256645 6468039.939181631, 93848.27274078176 6468039.970952716, 93848.23976399592 6468040.006059731, 93848.21031822971 6468040.044176891, 93848.18467673643 6468040.084950471, 93848.16307746615 6468040.128002098, 93848.14572085754 6468040.172932256, 93847.63155607443 6468041.722100823, 93847.6187992178 6468041.767635975, 93847.61040116062 6468041.814172629, 93847.60643702146 6468041.861294525, 93847.60694225854 6468041.90858017, 93847.61191235264 6468041.955606605, 93847.62130284752 6468042.001953192, 93847.63502974754 6468042.047205371, 93847.65297026903 6468042.090958373, 93847.6749639385 6468042.132820837, 93847.70081402807 6468042.172418317, 93847.73028931518 6468042.20939662, 93847.76312615072 6468042.2434249865, 93847.79903081762 6468042.27419904, 93855.7540857634 6468048.464720862, 93856.13423799009 6468050.669221679, 93857.11969317454 6468050.499286164, 93856.70664695108 6468048.104033228))</t>
  </si>
  <si>
    <t>[401]</t>
  </si>
  <si>
    <t>['FV401 S3D1 m1158-1206']</t>
  </si>
  <si>
    <t>LINESTRING Z (93831.87661740958 6467861.1597872665 17.43, 93831.8586088281 6467861.181656846 17.43, 93831.74927504559 6467861.403565434 17.43, 93831.68110171845 6467861.530921915 17.43, 93831.62900647358 6467861.616469734 17.43, 93831.49683786242 6467861.810400201 17.44, 93831.35373446153 6467861.99532638 17.44, 93831.20870056166 6467862.16031348 17.44, 93831.05369712127 6467862.326265824 17.45, 93830.89772843162 6467862.482248632 17.46, 93830.87875460071 6467862.494148673 17.46, 93830.82279835764 6467862.539818332 17.46, 93830.73082495166 6467862.629227148 17.46, 93830.56392147212 6467862.776205668 17.47, 93830.39701799228 6467862.923184188 17.48, 93829.97927666747 6467863.285645716 17.5, 93829.57247013232 6467863.657111535 17.51, 93829.17659838754 6467864.0375816515 17.53, 93828.77075710183 6467864.419017019 17.55, 93828.3858201474 6467864.808491432 17.57, 93828.00184844242 6467865.207935386 17.59, 93827.62784627842 6467865.6064140955 17.61, 93827.25577461446 6467866.024831886 17.63, 93826.89367249142 6467866.442284431 17.650000000000002, 93826.54153990978 6467866.85877173 17.67, 93826.24536357197 6467867.229589367 17.69, 93825.8610748297 6467867.729693992 17.72, 93825.53177708184 6467868.174159423 17.740000000000002, 93825.21341412561 6467868.627629142 17.76, 93824.90502071148 6467869.080133618 17.78, 93824.59759254835 6467869.5426076315 17.8, 93824.3101034683 6467870.0031511495 17.82, 93824.02357963973 6467870.473664211 17.84, 93823.73802106321 6467870.954146816 17.87, 93823.47240156995 6467871.432698924 17.89, 93823.21771686937 6467871.920255324 17.91, 93822.9639974215 6467872.417781266 17.93, 93822.72024751583 6467872.914341959 17.95, 93822.48646715307 6467873.409937404 17.97, 93822.26362158405 6467873.914537142 17.990000000000002, 93822.05171080882 6467874.428141174 18.01, 93821.84976957634 6467874.940779954 18.04, 93821.65779788728 6467875.452453487 18.06, 93821.47676099226 6467875.97313131 18.080000000000002, 93821.29668935033 6467876.5037786765 18.1, 93821.13559154223 6467877.022526004 18.12, 93820.97545898712 6467877.55124287 18.14, 93820.83623076807 6467878.087998782 18.16, 93820.69700255123 6467878.624754688 18.18, 93820.56774387852 6467879.160545347 18.21, 93820.45842428989 6467879.694405507 18.23, 93820.35006995575 6467880.238235209 18.25, 93820.25168516504 6467880.781099658 18.27, 93820.16423516994 6467881.332968398 18.29, 93820.08578946674 6467881.873902349 18.31, 93820.02824810048 6467882.4228753345 18.330000000000002, 93819.97070673667 6467882.971848324 18.36, 93819.9324562304 6467883.408260604 18.37, 93819.88649789308 6467884.076868088 18.38, 93819.86883470218 6467884.621980068 18.400000000000002, 93819.85213676584 6467885.177061592 18.41, 93819.84540837392 6467885.7311778655 18.43, 93819.84864952561 6467886.284328885 18.44, 93819.87182976218 6467886.835549398 18.46, 93819.89501000202 6467887.386769916 18.47, 93819.91850726429 6467887.837329769 18.48, 93819.9384463465 6467887.8353992645 18.48, 93819.92815978557 6467887.93702518 18.48, 93819.98028340179 6467888.4753803965 18.5, 93819.98382739135 6467888.615919223 18.5, 93820.03433752531 6467889.033674696 18.51, 93820.09739594057 6467889.581034203 18.53, 93820.13149678905 6467889.829307477 18.53, 93820.18039344042 6467890.126463201 18.54, 93820.26339094294 6467890.6718922 18.56, 93820.35635798919 6467891.216355946 18.57, 93820.38981060544 6467891.353999014 18.57, 93820.46733361535 6467891.738950105 18.580000000000002, 93820.46926411992 6467891.758889185 18.580000000000002, 93820.56223117188 6467892.303352929 18.59, 93820.57574470731 6467892.442926503 18.6, 93820.61532006244 6467892.851677682 18.61, 93820.64043083804 6467893.422837274 18.62, 93820.626628706 6467894.007827419 18.63, 93820.56394412502 6467894.607613367 18.64, 93820.46331188927 6467895.231199412 18.64, 93820.29578862869 6467895.891450846 18.650000000000002, 93820.05237005628 6467896.599302469 18.650000000000002, 93819.71311709005 6467897.356684796 18.650000000000002, 93819.22110824345 6467898.199297959 18.64, 93818.45253100106 6467899.199507504 18.63, 93816.7047054402 6467900.686985015 18.62, 93816.64778395294 6467900.722685159 18.61, 93816.37025029678 6467900.870312002 18.650000000000002, 93810.41401014186 6467903.167769256 18.52, 93804.23423326871 6467904.923341715 18.37, 93797.05328101158 6467905.900367513 18.23, 93789.98196476628 6467906.242872415 18.2, 93782.23560055299 6467906.3689716505 18.080000000000002, 93776.0730969368 6467906.120334975 17.96, 93770.8634770693 6467905.527864719 17.8, 93769.80056822667 6467905.047121758 17.73, 93768.5603411572 6467902.007418302 17.45, 93768.83204071363 6467900.864119084 17.36, 93777.07888888195 6467895.305857799 16.4, 93781.3177764503 6467892.731902788 16.04, 93786.69166367647 6467891.799019153 15.55, 93791.44265528029 6467891.811988402 15.25, 93794.54483942688 6467892.568249387 15.15, 93797.05243753077 6467894.458819142 15.040000000000001, 93798.79307170474 6467897.470198301 15.040000000000001, 93799.048532604 6467899.900836266 14.59, 93798.6215838517 6467902.870506258 14.450000000000001, 93797.7548818636 6467903.065113558 14.540000000000001, 93792.9792998673 6467899.7840508325 16.8, 93792.65514542849 6467900.177703523 17.1, 93797.71121387451 6467904.588854372 18.02, 93803.71542885661 6467903.514437714 18.080000000000002, 93803.78685763566 6467904.252183853 18.240000000000002, 93808.26551889768 6467898.6461776355 16.27, 93807.60653541994 6467898.0760116745 15.43, 93804.05947962636 6467902.1829998195 14.52, 93805.08847615874 6467899.507244524 14.3, 93805.07336334093 6467899.559022744 14.290000000000001, 93805.10455422982 6467899.4654358495 14.3, 93805.1347798658 6467899.361879412 14.31, 93805.16597075533 6467899.2682925165 14.31, 93805.19716164476 6467899.174705623 14.32, 93805.228352534 6467899.081118728 14.33, 93805.25954342366 6467898.987531833 14.34, 93805.30070385546 6467898.892979686 14.34, 93805.3309294922 6467898.789423253 14.35, 93805.36212038179 6467898.695836356 14.36, 93805.39331127162 6467898.602249464 14.370000000000001, 93805.4245021615 6467898.5086625675 14.370000000000001, 93805.45569305174 6467898.415075676 14.38, 93805.48688394157 6467898.321488782 14.39, 93805.51807483181 6467898.227901887 14.4, 93805.5483004686 6467898.124345451 14.4, 93805.57949135889 6467898.030758556 14.41, 93805.6106822493 6467897.937171663 14.42, 93805.64187313977 6467897.84358477 14.42, 93805.6730640303 6467897.749997877 14.43, 93805.70425492094 6467897.656410984 14.44, 93805.7354458117 6467897.56282409 14.450000000000001, 93805.7656714493 6467897.459267654 14.450000000000001, 93805.79686234012 6467897.365680761 14.46, 93805.82805323089 6467897.272093866 14.47, 93805.85924412217 6467897.178506974 14.48, 93805.89043501299 6467897.084920082 14.48, 93805.92162590427 6467896.9913331885 14.49, 93805.95281679509 6467896.897746293 14.5, 93805.98304243351 6467896.79418986 14.51, 93806.02420286706 6467896.699637713 14.51, 93806.05539375846 6467896.606050821 14.52, 93806.08658464998 6467896.512463929 14.530000000000001, 93806.11777554161 6467896.418877034 14.530000000000001, 93806.14896643325 6467896.3252901435 14.540000000000001, 93806.18015732517 6467896.231703252 14.55, 93806.21038296388 6467896.128146816 14.56, 93806.24157385551 6467896.034559922 14.56, 93806.27276474767 6467895.940973032 14.57, 93806.3039556396 6467895.847386136 14.58, 93806.3351465317 6467895.753799247 14.59, 93806.35829838738 6467895.68111669 14.59, 93806.36633742409 6467895.660212357 14.59, 93806.39045453252 6467895.597499338 14.6, 93806.39752831601 6467895.56662546 14.6, 93806.42871920828 6467895.473038568 14.61, 93806.45991010073 6467895.379451676 14.620000000000001, 93806.49206624634 6467895.29583433 14.620000000000001, 93806.52325713873 6467895.202247435 14.63, 93806.5544480313 6467895.108660543 14.64, 93806.58563892386 6467895.015073651 14.64, 93806.61779506947 6467894.931456299 14.65, 93806.64898596244 6467894.837869412 14.66, 93806.68017685524 6467894.744282518 14.67, 93806.71233300131 6467894.66066517 14.67, 93806.743523894 6467894.567078276 14.68, 93806.77471478703 6467894.4734913865 14.69, 93806.80687093339 6467894.389874036 14.69, 93806.84803136846 6467894.295321891 14.700000000000001, 93806.87922226195 6467894.201734998 14.71, 93806.91137840808 6467894.11811765 14.72, 93806.94256930146 6467894.024530758 14.72, 93806.97376019508 6467893.930943869 14.73, 93807.01588588348 6467893.846361266 14.74, 93807.04707677715 6467893.752774375 14.74, 93807.07923292386 6467893.669157027 14.75, 93807.12039335974 6467893.574604883 14.76, 93807.15158425341 6467893.481017991 14.76, 93807.18374040007 6467893.397400641 14.77, 93807.22490083636 6467893.302848498 14.780000000000001, 93807.2570569833 6467893.219231153 14.780000000000001, 93807.29821741948 6467893.124679007 14.790000000000001, 93807.33037356636 6467893.041061658 14.8, 93807.36156446079 6467892.947474767 14.8, 93807.40369015001 6467892.862892167 14.81, 93807.43488104438 6467892.769305276 14.82, 93807.47700673359 6467892.684722675 14.82, 93807.50819762831 6467892.591135786 14.83, 93807.55032331776 6467892.506553183 14.84, 93807.59148375457 6467892.412001041 14.84, 93807.6165661178 6467892.359257573 14.85, 93807.62460515444 6467892.338353235 14.85, 93807.66480033897 6467892.233831551 14.86, 93807.69888699148 6467892.170153286 14.86, 93807.69695648656 6467892.150214204 14.86, 93807.73908217606 6467892.065631601 14.870000000000001, 93807.78024261305 6467891.971079457 14.870000000000001, 93807.81239876105 6467891.887462112 14.88, 93807.85355919809 6467891.792909969 14.89, 93807.89568488818 6467891.708327369 14.89, 93807.93781057815 6467891.623744768 14.9, 93807.96900147334 6467891.530157877 14.91, 93808.01112716348 6467891.445575277 14.91, 93808.05325285363 6467891.360992678 14.92, 93808.09441329143 6467891.266440538 14.92, 93808.13653898175 6467891.181857936 14.93, 93808.16869512992 6467891.09824059 14.94, 93808.21082082018 6467891.013657992 14.94, 93808.25198125822 6467890.919105849 14.950000000000001, 93808.26902458491 6467890.887266717 14.950000000000001, 93808.29410694866 6467890.834523248 14.950000000000001, 93808.33623263921 6467890.749940649 14.96, 93808.3773930773 6467890.655388507 14.97, 93808.41951876809 6467890.570805909 14.97, 93808.46164445864 6467890.486223309 14.98, 93808.5037701496 6467890.4016407095 14.98, 93808.54589584016 6467890.317058111 14.99, 93808.58705627866 6467890.22250597 15, 93808.59509531595 6467890.201601634 15, 93808.62114293233 6467890.158827707 15, 93808.6291819695 6467890.137923369 15, 93808.6713076604 6467890.053340771 15.01, 93808.71343335166 6467889.968758173 15.01, 93808.75555904245 6467889.8841755735 15.02, 93808.79768473364 6467889.7995929755 15.030000000000001, 93808.84977996664 6467889.714045122 15.030000000000001, 93808.89094040584 6467889.619492983 15.040000000000001, 93808.93306609709 6467889.5349103855 15.040000000000001, 93808.97519178817 6467889.450327786 15.05, 93809.01731747971 6467889.365745187 15.06, 93809.06941271317 6467889.2801973345 15.06, 93809.11153840466 6467889.195614737 15.07, 93809.15366409614 6467889.111032139 15.07, 93809.19578978774 6467889.026449542 15.08, 93809.24788502138 6467888.94090169 15.09, 93809.29001071298 6467888.856319093 15.09, 93809.33213640476 6467888.771736495 15.1, 93809.38423163851 6467888.686188645 15.11, 93809.8463319795 6467887.8464712035 15.17, 93810.06178670231 6467887.473405928 15.19, 93810.33930620278 6467887.013827552 15.23, 93810.84321522457 6467886.190188202 15.290000000000001, 93811.35902429599 6467885.38552269 15.36, 93811.89670295885 6467884.598865767 15.43, 93812.06392346014 6467884.351226515 15.450000000000001, 93812.18805301603 6467884.1782003185 15.46, 93812.4803683263 6467883.767504423 15.5, 93812.91996505664 6467883.1110997815 15.56, 93813.05213365168 6467882.917169253 15.57, 93813.10519414046 6467882.841590952 15.58, 93813.32450988103 6467882.5084038675 15.610000000000001, 93813.54286037071 6467882.165247239 15.64, 93813.62293372955 6467882.056864557 15.65, 93813.77118040272 6467881.821125361 15.67, 93814.00753947411 6467881.4560991535 15.700000000000001, 93814.17379472795 6467881.19849037 15.72, 93814.23392900405 6467881.092038191 15.73, 93814.46932282532 6467880.717042443 15.76, 93814.71275568573 6467880.32114236 15.8, 93814.75681188528 6467880.256498856 15.8, 93814.94814950868 6467879.946146614 15.83, 93815.24174710683 6467879.44475961 15.870000000000001, 93815.42408044141 6467879.1453421675 15.9, 93815.75980373961 6467878.559372582 15.94, 93815.89711562474 6467878.314629107 15.96, 93816.26692558476 6467877.66498127 16.02, 93816.37722459994 6467877.453042174 16.04, 93816.42031554924 6467877.378429128 16.04, 93816.75314310024 6467876.762550927 16.09, 93816.85540307779 6467876.571516166 16.1, 93817.2284258292 6467875.8511163 16.16, 93817.33165105915 6467875.670051085 16.17, 93817.7037085641 6467874.939681685 16.23, 93817.79599900247 6467874.74961218 16.25, 93818.15808697062 6467874.020208036 16.3, 93818.2494121599 6467873.820168991 16.32, 93818.5915610501 6467873.092695355 16.37, 93818.70089482167 6467872.870786727 16.39, 93819.02503513591 6467872.165182682 16.44, 93819.13147315726 6467871.91336543 16.46, 93819.4366396445 6467871.219661433 16.51, 93819.55208195781 6467870.956909394 16.54, 93819.83923986868 6467870.285074986 16.59, 93819.96175597416 6467869.991449074 16.61, 93820.22994005814 6467869.331514714 16.66, 93820.35149091529 6467869.027919262 16.68, 93820.4711112727 6467868.704384731 16.7, 93820.60070117202 6467868.379884947 16.73, 93820.71228249051 6467868.077254749 16.75, 93820.72032153083 6467868.056350414 16.75, 93820.94027138018 6467867.521842057 16.79, 93820.9483104209 6467867.500937726 16.79, 93821.06375274243 6467867.238185694 16.81, 93821.19720364612 6467866.953564081 16.82, 93821.21328172751 6467866.911755414 16.830000000000002, 93821.30460692744 6467866.711716381 16.84, 93821.33161980059 6467866.678912007 16.84, 93821.50816166052 6467866.319677358 16.86, 93821.52520499221 6467866.287838231 16.86, 93821.60238261119 6467866.149546946 16.87, 93821.61942594335 6467866.117707825 16.87, 93821.7467683084 6467865.873929626 16.88, 93821.85899784206 6467865.681929638 16.89, 93821.87700642418 6467865.660060056 16.89, 93822.03232691338 6467865.393447028 16.9, 93822.21562552598 6467865.103999167 16.9, 93822.24971219042 6467865.04032092 16.91, 93822.26772077271 6467865.01845134 16.91, 93822.50504513277 6467864.663394735 16.91, 93822.69027424656 6467864.393885961 16.92, 93822.70828282897 6467864.37201638 16.92, 93822.7163218701 6467864.351112045 16.92, 93822.88643815194 6467864.133381479 16.92, 93823.00156343688 6467863.971290114 16.92, 93823.02053726895 6467863.959390074 16.92, 93823.14466684539 6467863.786363922 16.92, 93823.16364067729 6467863.774463878 16.92, 93823.27072692144 6467863.633276846 16.92, 93823.43280416232 6467863.436450614 16.92, 93823.58684236213 6467863.260528713 16.91, 93823.59488140338 6467863.239624378 16.91, 93823.85890159692 6467862.952424073 16.91, 93824.04895696137 6467862.732763007 16.91, 93824.47988064477 6467862.298584173 16.9, 93824.54387593293 6467862.232010182 16.9, 93824.94071295124 6467861.861509599 16.89, 93825.06066448556 6467861.749265944 16.89, 93825.14459885523 6467861.680761452 16.89, 93825.60929215961 6467861.283565044 16.88, 93825.83311714517 6467861.100886403 16.88, 93826.03893354797 6467860.940077341 16.88, 93831.87661740958 6467861.1597872665 17.43, 93826.10485933506 6467860.8934424305 16.88)</t>
  </si>
  <si>
    <t>2021-04-30</t>
  </si>
  <si>
    <t>['RV15 S22D1 m454-526']</t>
  </si>
  <si>
    <t>LINESTRING (22231.18348283571 6899442.948336011, 22236.18775845261 6899442.02581859, 22240.883397685713 6899440.43490303, 22243.910253277805 6899439.650079947, 22248.13418181776 6899439.763880883, 22254.404753392562 6899440.228693901, 22259.997330749815 6899439.935004623, 22267.637245756807 6899439.493754091, 22283.575980056426 6899438.73161374, 22296.868492150854 6899437.917073254, 22301.223054966715 6899437.442737878, 22306.287367358746 6899436.440611206)</t>
  </si>
  <si>
    <t>POLYGON ((22236.278404021323 6899442.517533326, 22236.348203324203 6899442.499376869, 22241.02655734261 6899440.914317661, 22243.967384461466 6899440.151800608, 22248.10895398886 6899440.26338263, 22254.367791749497 6899440.727325866, 22254.43097432225 6899440.72800589, 22260.023551679504 6899440.434316612, 22260.02616067901 6899440.434172766, 22267.66360203041 6899439.993065103, 22283.59986120434 6899439.231043105, 22283.60656176552 6899439.230677623, 22296.899073859946 6899438.4161371365, 22296.922636057643 6899438.414133046, 22301.277198873504 6899437.939797671, 22301.32011303681 6899437.933227155, 22306.38442542884 6899436.931100483, 22306.19030928865 6899435.950121929, 22301.147311215165 6899436.948030922, 22296.82610565074 6899437.4187327465, 22283.54874735074 6899438.232344637, 22267.613364608893 6899438.994324726, 22267.60841582761 6899438.994585947, 22259.96980499405 6899439.435761156, 22254.4101452784 6899439.727721793, 22248.171143460826 6899439.265248918, 22248.14764791401 6899439.264062252, 22243.923719374056 6899439.1502613155, 22243.876973098297 6899439.151188747, 22243.83051783434 6899439.156478631, 22243.78475980087 6899439.166084712, 22240.75790420878 6899439.950907796, 22240.722952814118 6899439.9613447515, 22236.061556782188 6899441.540658474, 22231.092837266995 6899442.456621275, 22231.274128404424 6899443.440050746, 22236.278404021323 6899442.517533326))</t>
  </si>
  <si>
    <t>['RV15 S22D600 m528-639']</t>
  </si>
  <si>
    <t>LINESTRING Z (9225.767 6900409.495 17.185, 9225.6 6900409.5 17.171, 9218.7 6900409.4 16.771, 9212 6900410.2 16.471, 9204.7 6900411.3 15.971, 9196 6900413 15.571, 9184.7 6900415.1 14.871, 9171.1 6900417.6 14.071, 9159.3 6900419.6 13.271, 9146.8 6900421.8 12.671, 9127.2 6900425.4 11.571, 9116.189 6900427.143 11.112)</t>
  </si>
  <si>
    <t>POLYGON ((9225.596139237043 6900408.999891539, 9218.707245615891 6900408.900052502, 9218.640719594452 6900408.903526604, 9211.940719594451 6900409.703526604, 9211.925498599261 6900409.705581613, 9204.625498599262 6900410.8055816125, 9204.604112297367 6900410.809280581, 9195.90637611089 6900412.508838227, 9184.609123182801 6900414.608327708, 9171.013020201852 6900417.107611345, 9159.216445884946 6900419.10703072, 9159.213332075875 6900419.107568612, 9146.713332075875 6900421.3075686125, 9146.70967423982 6900421.308226417, 9127.115736954343 6900424.907112857, 9116.110825255219 6900426.649149102, 9116.267174744782 6900427.636850898, 9127.278174744783 6900425.893850898, 9127.29032576018 6900425.891773583, 9146.888498012648 6900422.292109292, 9159.38511185706 6900420.092705254, 9171.183554115054 6900418.092969279, 9171.190397144548 6900418.091760466, 9184.790397144548 6900415.591760466, 9184.791356171303 6900415.591583207, 9196.091356171302 6900413.491583208, 9196.095887702633 6900413.490719419, 9204.785234685227 6900411.792801043, 9212.066906712369 6900410.695562793, 9218.726133364156 6900409.900431252, 9225.59275438411 6900409.999947499, 9225.614963354392 6900409.999776048, 9225.781963354391 6900409.994776048, 9225.752036645608 6900408.995223952, 9225.596139237043 6900408.999891539))</t>
  </si>
  <si>
    <t>2021-07-06</t>
  </si>
  <si>
    <t>2025-11-22T09:17:40Z</t>
  </si>
  <si>
    <t>['FV55 S9D1 m10006 SD1 m34-105']</t>
  </si>
  <si>
    <t>LINESTRING (92672.19994053687 6829452.224267373, 92677.43283614842 6829434.026866722, 92679.98227792117 6829424.3585280515, 92681.24619767163 6829415.234474551, 92679.00969905069 6829407.220149578, 92676.4974769773 6829401.026913624, 92673.6587176384 6829396.700851982, 92670.30944059987 6829393.429461116, 92662.1728163198 6829388.114670104)</t>
  </si>
  <si>
    <t>POLYGON ((92677.91336278514 6829434.1650483105, 92677.91631007238 6829434.154353838, 92680.46575184513 6829424.486015168, 92680.47754850797 6829424.427135966, 92681.74146825843 6829415.303082465, 92681.74588789501 6829415.252072296, 92681.74506763907 6829415.200877593, 92681.73901609196 6829415.150035197, 92681.72779671199 6829415.100078255, 92679.49129809104 6829407.085753282, 92679.4730308861 6829407.032203813, 92676.96080881271 6829400.83896786, 92676.94027052072 6829400.794676939, 92676.91551062254 6829400.75260017, 92674.07675128365 6829396.426538528, 92674.04467735733 6829396.3829918, 92674.00808761851 6829396.343164106, 92670.65881057997 6829393.071773239, 92670.6223285252 6829393.039459647, 92670.58287389921 6829393.010851237, 92662.44624961914 6829387.696060225, 92661.89938302046 6829388.533279983, 92669.99505929479 6829393.821324019, 92673.27048672708 6829397.020582624, 92676.05256251978 6829401.260262687, 92678.53571628201 6829407.381838212, 92680.73666960871 6829415.26878929, 92679.49113464146 6829424.260125705, 92676.95077654674 6829433.894016021, 92671.71941390015 6829452.086085784, 92672.68046717359 6829452.3624489615, 92677.91336278514 6829434.1650483105))</t>
  </si>
  <si>
    <t>2025-11-22T09:17:45Z</t>
  </si>
  <si>
    <t>[4544]</t>
  </si>
  <si>
    <t>['FV4544 S1D1 m502-544']</t>
  </si>
  <si>
    <t>LINESTRING Z (-34712.872757347184 6570287.526095825 60.58, -34712.7268440756 6570286.576286298 60.59, -34712.576422361075 6570285.676426812 60.59, -34712.45445309277 6570285.2424194915 60.59, -34712.22050455911 6570284.375306544 60.57, -34711.96928106446 6570283.476420201 60.57, -34711.64257448225 6570282.409578561 60.56, -34711.27313134633 6570281.258308428 60.550000000000004, -34710.67626580456 6570279.502370634 60.53, -34709.875636051875 6570277.214400306 60.51, -34708.79208076338 6570274.155610434 60.480000000000004, -34708.04792714445 6570272.134593856 60.46, -34707.655870307935 6570271.122282209 60.45, -34707.32292328845 6570270.236162451 60.45, -34706.975406361395 6570269.2882992895 60.45, -34706.5243111446 6570268.260587534 60.43, -34706.051432534354 6570267.251052434 60.43, -34705.547682210105 6570266.248802289 60.42, -34704.54288659594 6570264.214332011 60.410000000000004, -34704.005488017225 6570263.138545098 60.410000000000004, -34703.55356254359 6570262.231615166 60.4, -34703.05709713767 6570261.260236769 60.4, -34702.55154340307 6570260.27796669 60.39, -34702.066871360876 6570259.2875099825 60.39, -34701.57949425839 6570258.327023302 60.38, -34701.06665555108 6570257.313881541 60.38, -34700.57837675128 6570256.363384886 60.38, -34700.09918626817 6570255.423779927 60.370000000000005, -34699.59453417978 6570254.431519884 60.370000000000005, -34699.08898040012 6570253.449249865 60.370000000000005, -34698.598898208 6570252.51873325 60.370000000000005, -34698.57163323939 6570252.486058178 60.370000000000005)</t>
  </si>
  <si>
    <t>POLYGON ((-34712.23314272544 6570286.655468769, -34712.08773474597 6570285.785602672, -34711.973100087394 6570285.377694339, -34711.971714467676 6570285.372663186, -34711.73835217997 6570284.507723115, -34711.4893926253 6570283.6169372285, -34711.16546717858 6570282.559177226, -34710.798353250044 6570281.415165442, -34710.20358712561 6570279.665403991, -34709.40401345326 6570277.380451638, -34708.32180966769 6570274.32547695, -34707.580165556756 6570272.311275843, -34707.18961638705 6570271.302857072, -34707.187819059305 6570271.2981458735, -34706.85487203982 6570270.412026116, -34706.85347986441 6570270.408275413, -34706.51131713996 6570269.475016005, -34706.068930170055 6570268.467143891, -34705.601579979695 6570267.469411258, -34705.10093766801 6570266.473344744, -34705.099377548875 6570266.470213515, -34704.09508403285 6570264.436759864, -34703.558192146964 6570263.36198727, -34703.10718219327 6570262.456895166, -34702.61219962862 6570261.488418079, -34702.10697062626 6570260.5067789415, -34702.10243154429 6570260.497735974, -34701.61935141316 6570259.510532433, -34701.13361317621 6570258.553275508, -34700.62122541109 6570257.541025148, -34700.133628598865 6570256.591856068, -34700.132957479385 6570256.5905449, -34699.65376699628 6570255.650939941, -34699.6535142254 6570255.650443622, -34699.149409179045 6570254.659259187, -34698.64548756844 6570253.680160404, -34698.156505071136 6570252.751731775, -34698.161966714804 6570252.74885525, -34698.19592259113 6570252.799561364, -34698.95553727095 6570252.165718211, -34698.98280223956 6570252.1983932825, -34699.01434842696 6570252.24052269, -34699.04129134487 6570252.285734725, -34699.531373536985 6570253.21625134, -34699.53355316298 6570253.220437586, -34700.03910694264 6570254.202707605, -34700.04020622255 6570254.204856189, -34700.54473221866 6570255.196868307, -34701.023461370365 6570256.135568678, -34701.511403703495 6570257.085410358, -34701.512759762605 6570257.0880696, -34702.025487034596 6570258.100991215, -34702.51275244306 6570259.061257777, -34702.51598321965 6570259.067740698, -34702.99843146691 6570260.053652946, -34703.50166991448 6570261.031424518, -34703.50231761514 6570261.032687375, -34703.99878302105 6570262.0040657725, -34704.00107958602 6570262.008616295, -34704.45289453023 6570262.915324414, -34704.9901824662 6570263.990889838, -34704.99119125717 6570263.992920785, -34705.995212295195 6570266.025822733, -34706.49817707645 6570267.026509979, -34706.50422075639 6570267.038960882, -34706.97709936664 6570268.048495983, -34706.98214878694 6570268.059628102, -34707.43324400373 6570269.087339858, -34707.44484978543 6570269.116186327, -34707.79167813938 6570270.062171385, -34708.12303476713 6570270.944058404, -34708.51418106534 6570271.954018992, -34708.517131186556 6570271.961829372, -34709.261284805485 6570273.98284595, -34709.26338303464 6570273.9886548435, -34710.346938323135 6570277.047444716, -34710.347575510794 6570277.0492544705, -34711.14820526348 6570279.337224798, -34711.14966477214 6570279.341456317, -34711.74653031391 6570281.097394112, -34711.749218818084 6570281.105531731, -34712.118661954 6570282.256801863, -34712.12065910406 6570282.263171271, -34712.447365686276 6570283.330012912, -34712.45082765385 6570283.341836093, -34712.702051148495 6570284.2407224355, -34712.7032431842 6570284.2450628495, -34712.93651203737 6570285.109656611, -34713.05777536645 6570285.541151965, -34713.06957970639 6570285.593989971, -34713.220001420916 6570286.493849457, -34713.221046433726 6570286.500365094, -34713.36695970531 6570287.450174621, -34712.37855498906 6570287.602017029, -34712.23314272544 6570286.655468769))</t>
  </si>
  <si>
    <t>['FV4544 S1D1 m540-551']</t>
  </si>
  <si>
    <t>LINESTRING Z (-34698.224545085104 6570252.202945694 60.38, -34696.56857917458 6570252.919620204 60.42, -34695.25851381745 6570253.486230149 60.46, -34694.36968915409 6570253.849147292 60.480000000000004, -34694.23260559561 6570253.917345451 60.480000000000004)</t>
  </si>
  <si>
    <t>['KV390 S1D105 m564-588']</t>
  </si>
  <si>
    <t>LINESTRING Z (-34711.52702572034 6570287.706773349 60.63, -34711.56788743776 6570287.700390089 60.63, -34712.85007227026 6570287.554262475 60.58)</t>
  </si>
  <si>
    <t>['KV390 S1D105 m590-625', 'KV390 S1D122 m0-4']</t>
  </si>
  <si>
    <t>LINESTRING Z (-34694.23260559561 6570253.917345451 60.480000000000004, -34694.639919695095 6570254.649035064 60.480000000000004, -34694.830774464295 6570254.877760573 60.47, -34695.71082427597 6570256.397401643 60.49, -34696.81537707406 6570258.2193050375 60.49, -34697.41084086476 6570259.209690222 60.49, -34698.35263404704 6570260.714761449 60.5, -34699.07443264639 6570261.867620351 60.5, -34700.164415483014 6570263.627780433 60.51, -34700.9871587588 6570265.001249739 60.51, -34701.97619687044 6570266.540799505 60.51, -34702.468010865734 6570267.340544416 60.52, -34702.96891317831 6570268.151181029 60.52, -34703.432560515124 6570268.928240886 60.51, -34703.83266106341 6570269.739850663 60.52, -34704.260026571574 6570270.584135523 60.52, -34704.59477695264 6570271.450275241 60.53, -34704.946802285034 6570272.348188357 60.53, -34705.24159262597 6570273.210721339 60.54, -34705.55365791742 6570274.105027718 60.56, -34705.85933993966 6570274.95847239 60.56, -34706.19867018249 6570275.88545386 60.57, -34706.76459259284 6570277.537884753 60.58, -34707.269530338584 6570278.973312015 60.59, -34707.736239956575 6570280.2743607545 60.6, -34708.30126062443 6570281.936781694 60.61, -34708.758881891845 6570283.226938766 60.620000000000005, -34709.08829352015 6570284.263810362 60.620000000000005, -34709.42228502594 6570285.361523696 60.63, -34709.656233547605 6570286.228636625 60.64)</t>
  </si>
  <si>
    <t>POLYGON ((-34695.0539324509 6570254.364778205, -34695.21467851076 6570254.557420624, -34695.24055461942 6570254.591264108, -34695.26345579859 6570254.627187504, -34696.14098861074 6570256.142482302, -34697.24293760941 6570257.960090863, -34697.24388805828 6570257.961665102, -34697.837058554214 6570258.948236041, -34698.7764580377 6570260.449481919, -34699.498223203365 6570261.602287421, -34699.49952631221 6570261.604380203, -34700.589509148835 6570263.364540285, -34700.59334622541 6570263.370839938, -34701.41206476081 6570264.737590432, -34702.39686966815 6570266.270550736, -34702.40210604954 6570266.278880871, -34702.89364013395 6570267.078170615, -34703.394261733774 6570267.888352936, -34703.39828939133 6570267.894985659, -34703.86193672814 6570268.672045516, -34703.88102780935 6570268.707159258, -34704.27995932909 6570269.516397644, -34704.706130806764 6570270.358323629, -34704.72640654051 6570270.403886461, -34705.0607215288 6570271.268899635, -34705.412306055034 6570272.165688384, -34705.41993242618 6570272.186485329, -34705.71420454686 6570273.047502039, -34706.025066339935 6570273.938359472, -34706.32946924721 6570274.7882329365, -34706.668200436994 6570275.713577916, -34706.67169804633 6570275.723451884, -34707.23694891913 6570277.3739219615, -34707.74068693104 6570278.805938643, -34708.20687564478 6570280.105535256, -34708.209643896604 6570280.113461067, -34708.77360034024 6570281.7727508135, -34709.23011606729 6570283.059791071, -34709.235411403395 6570283.075546479, -34709.5648230317 6570284.112418074, -34709.5666420097 6570284.118267507, -34709.900633515485 6570285.215980842, -34709.905023652005 6570285.231280006, -34710.13897217367 6570286.098392935, -34709.17349492154 6570286.358880316, -34708.94161969636 6570285.499451907, -34708.61083660773 6570284.412283518, -34708.284869090734 6570283.38625277, -34707.83002644899 6570282.103929389, -34707.8278566844 6570282.097681382, -34707.26418687448 6570280.439234978, -34706.79889465038 6570279.1421375135, -34706.79786179957 6570279.139230034, -34706.29292405382 6570277.703802773, -34706.291564729 6570277.699886729, -34705.727339404875 6570276.05241114, -34705.38980968516 6570275.130348334, -34705.38862297761 6570275.127071149, -34705.08294095537 6570274.2736264765, -34705.08157390906 6570274.269759892, -34704.76950861761 6570273.375453513, -34704.768462484826 6570273.372424368, -34704.47725493544 6570272.520374348, -34704.12927318264 6570271.6327752145, -34704.1283969837 6570271.630524304, -34703.8026469321 6570270.787672215, -34703.38655682822 6570269.965662557, -34703.38419376918 6570269.96093229, -34702.992936486284 6570269.167261206, -34702.541525063774 6570268.410708397, -34702.04266231027 6570267.603372509, -34702.04210168663 6570267.60246305, -34701.552864899735 6570266.80690897, -34700.56648596109 6570265.271498508, -34700.5582280164 6570265.258190234, -34699.737380046514 6570263.887884909, -34698.64998794443 6570262.131908478, -34697.928843490066 6570260.980094379, -34696.98698399657 6570259.47491721, -34696.98232988054 6570259.467330157, -34696.387339873676 6570258.477732978, -34695.283263740625 6570256.656615818, -34695.27814294168 6570256.647974712, -34694.419501425364 6570255.165300783, -34694.25601564863 6570254.969375012, -34694.22772362586 6570254.932044605, -34694.203049032556 6570254.892230508, -34693.79573493307 6570254.160540896, -34694.66947625815 6570253.674150007, -34695.0539324509 6570254.364778205))</t>
  </si>
  <si>
    <t>['FV4544 S1D1 m643-667']</t>
  </si>
  <si>
    <t>LINESTRING Z (-34698.224545085104 6570252.202945694 60.38, -34698.3707169703 6570252.145639224 60.38, -34698.57163323939 6570252.486058178 60.370000000000005)</t>
  </si>
  <si>
    <t>POLYGON Z ((-34698.224545085104 6570252.202945694 60.38, -34698.3707169703 6570252.145639224 60.38, -34698.57163323939 6570252.486058178 60.370000000000005, -34698.224545085104 6570252.202945694 60.38))</t>
  </si>
  <si>
    <t>2021-08-11</t>
  </si>
  <si>
    <t>['EV6 S234D1 m678 SD1 m35-38']</t>
  </si>
  <si>
    <t>LINESTRING Z (995745.55 7841919.14 12.16, 995745.69 7841919.37 12.07, 995746.06 7841919.47 12.13, 995747.26 7841918.95 12.120000000000001, 995748.06 7841918.83 12.23, 995748.96 7841918.85 12.13, 995750.14 7841919.42 12.11, 995751.38 7841921.14 12.08, 995751.58 7841922.04 12.11, 995751.5 7841923.46 12.06, 995751 7841925.23 12.1, 995749.92 7841926.12 12.1, 995746.25 7841926.27 12.17, 995745.64 7841926.42 12.13, 995745.52 7841926.79 12.16, 995745.57 7841929.67 12.09, 995746 7841933.98 12.02, 995747.64 7841934.63 12.06, 995748.29 7841934.47 12.11, 995749.43 7841934.36 12.07, 995751.63 7841935.48 12.040000000000001, 995752.06 7841936.72 12.01, 995752.07 7841938.4 12.14, 995750.96 7841940.25 12.030000000000001, 995752.6 7841941.68 12.1, 995771.07 7841947.35 12.34, 995781.72 7841950.33 12.48, 995786.86 7841951.45 12.55, 995789.55 7841951.44 12.58, 995790.04 7841947.69 12.68, 995789.72 7841943.89 12.64, 995788.51 7841939.47 12.68, 995788.02 7841936.87 12.69, 995787.58 7841935.23 12.780000000000001, 995787.85 7841932.39 12.91, 995788.85 7841928.03 13.17, 995789.5 7841927.55 13.21, 995790.28 7841926.59 13.3, 995790.7 7841925.79 13.280000000000001, 995791.57 7841923.81 13.27, 995791.72 7841923.08 13.32, 995791.63 7841922.29 13.32, 995791.28 7841921.56 13.26, 995790.07 7841919.83 13.14, 995767.01 7841913.19 12.51, 995755.98 7841909.9 12.35, 995753.77 7841908.75 12.26, 995752.5 7841906.87 12.200000000000001, 995752.35 7841907.2 12.66, 995751.88 7841907.99 12.13, 995751.14 7841910.43 12.23, 995750.08 7841911.18 12.23, 995748.02 7841911.64 12.17, 995745.36 7841911.13 12.14, 995745.55 7841919.14 12.16)</t>
  </si>
  <si>
    <t>POLYGON Z ((995745.55 7841919.14 12.16, 995745.69 7841919.37 12.07, 995746.06 7841919.47 12.13, 995747.26 7841918.95 12.120000000000001, 995748.06 7841918.83 12.23, 995748.96 7841918.85 12.13, 995750.14 7841919.42 12.11, 995751.38 7841921.14 12.08, 995751.58 7841922.04 12.11, 995751.5 7841923.46 12.06, 995751 7841925.23 12.1, 995749.92 7841926.12 12.1, 995746.25 7841926.27 12.17, 995745.64 7841926.42 12.13, 995745.52 7841926.79 12.16, 995745.57 7841929.67 12.09, 995746 7841933.98 12.02, 995747.64 7841934.63 12.06, 995748.29 7841934.47 12.11, 995749.43 7841934.36 12.07, 995751.63 7841935.48 12.040000000000001, 995752.06 7841936.72 12.01, 995752.07 7841938.4 12.14, 995750.96 7841940.25 12.030000000000001, 995752.6 7841941.68 12.1, 995771.07 7841947.35 12.34, 995781.72 7841950.33 12.48, 995786.86 7841951.45 12.55, 995789.55 7841951.44 12.58, 995790.04 7841947.69 12.68, 995789.72 7841943.89 12.64, 995788.51 7841939.47 12.68, 995788.02 7841936.87 12.69, 995787.58 7841935.23 12.780000000000001, 995787.85 7841932.39 12.91, 995788.85 7841928.03 13.17, 995789.5 7841927.55 13.21, 995790.28 7841926.59 13.3, 995790.7 7841925.79 13.280000000000001, 995791.57 7841923.81 13.27, 995791.72 7841923.08 13.32, 995791.63 7841922.29 13.32, 995791.28 7841921.56 13.26, 995790.07 7841919.83 13.14, 995767.01 7841913.19 12.51, 995755.98 7841909.9 12.35, 995753.77 7841908.75 12.26, 995752.5 7841906.87 12.200000000000001, 995752.35 7841907.2 12.66, 995751.88 7841907.99 12.13, 995751.14 7841910.43 12.23, 995750.08 7841911.18 12.23, 995748.02 7841911.64 12.17, 995745.36 7841911.13 12.14, 995745.55 7841919.14 12.16))</t>
  </si>
  <si>
    <t>['FV98 S13D1 m15585-15669']</t>
  </si>
  <si>
    <t>LINESTRING Z (995408.5 7841958.99 23.12, 995405.27 7841959.12 23.11, 995400.93 7841959.99 23.22, 995399.18 7841960.42 23.26, 995395.75 7841961.94 23.330000000000002, 995393.35 7841963.59 23.34, 995389.38 7841966.43 23.330000000000002, 995385.64 7841968.05 23.330000000000002, 995382.39 7841968.82 23.32, 995377.95 7841969.03 23.32, 995373.99 7841968.71 23.330000000000002, 995369.89 7841967.75 23.32, 995365.27 7841967.07 23.22, 995360.86 7841967.47 23.31, 995356.07 7841968.63 23.06, 995350.85 7841970.42 23.150000000000002, 995348.12 7841971.51 23.150000000000002, 995331.54 7841980.4 23.2, 995290.44 7842005.35 23.52, 995291.9 7842007.69 23.57, 995292.29 7842008.04 23.57, 995292.56 7842008.18 23.54, 995293.26 7842008.19 23.54, 995339.54 7841980.2 23.12, 995342.93 7841978.18 23.1, 995344.26 7841977.52 23.09, 995345.6 7841976.86 23.09, 995348.08 7841975.8 23.06, 995350.35 7841974.9 23, 995355.12 7841973.51 23.01, 995360.32 7841972.39 23.02, 995366.62 7841971.73 23.17, 995370.53 7841971.6 23.31, 995373.63 7841971.73 23.3, 995375.65 7841971.83 23.31, 995378.06 7841971.82 23.28, 995381.01 7841971.63 23.28, 995384.53 7841971.17 23.26, 995386.19 7841970.78 23.29, 995387.61 7841970.37 23.3, 995389.9 7841969.52 23.31, 995392.6 7841968.43 23.31, 995395.21 7841967.09 23.330000000000002, 995398.32 7841965.62 23.29, 995400.63 7841964.74 23.25, 995404.46 7841963.38 23.19, 995407.14 7841962.45 23.12, 995407.65 7841961.93 23.12, 995407.85 7841961.57 23.12, 995408.11 7841960.76 23.12, 995408.5 7841958.99 23.12)</t>
  </si>
  <si>
    <t>POLYGON Z ((995408.5 7841958.99 23.12, 995405.27 7841959.12 23.11, 995400.93 7841959.99 23.22, 995399.18 7841960.42 23.26, 995395.75 7841961.94 23.330000000000002, 995393.35 7841963.59 23.34, 995389.38 7841966.43 23.330000000000002, 995385.64 7841968.05 23.330000000000002, 995382.39 7841968.82 23.32, 995377.95 7841969.03 23.32, 995373.99 7841968.71 23.330000000000002, 995369.89 7841967.75 23.32, 995365.27 7841967.07 23.22, 995360.86 7841967.47 23.31, 995356.07 7841968.63 23.06, 995350.85 7841970.42 23.150000000000002, 995348.12 7841971.51 23.150000000000002, 995331.54 7841980.4 23.2, 995290.44 7842005.35 23.52, 995291.9 7842007.69 23.57, 995292.29 7842008.04 23.57, 995292.56 7842008.18 23.54, 995293.26 7842008.19 23.54, 995339.54 7841980.2 23.12, 995342.93 7841978.18 23.1, 995344.26 7841977.52 23.09, 995345.6 7841976.86 23.09, 995348.08 7841975.8 23.06, 995350.35 7841974.9 23, 995355.12 7841973.51 23.01, 995360.32 7841972.39 23.02, 995366.62 7841971.73 23.17, 995370.53 7841971.6 23.31, 995373.63 7841971.73 23.3, 995375.65 7841971.83 23.31, 995378.06 7841971.82 23.28, 995381.01 7841971.63 23.28, 995384.53 7841971.17 23.26, 995386.19 7841970.78 23.29, 995387.61 7841970.37 23.3, 995389.9 7841969.52 23.31, 995392.6 7841968.43 23.31, 995395.21 7841967.09 23.330000000000002, 995398.32 7841965.62 23.29, 995400.63 7841964.74 23.25, 995404.46 7841963.38 23.19, 995407.14 7841962.45 23.12, 995407.65 7841961.93 23.12, 995407.85 7841961.57 23.12, 995408.11 7841960.76 23.12, 995408.5 7841958.99 23.12))</t>
  </si>
  <si>
    <t>['EV6 S234D1 m601 KD1 m47-102']</t>
  </si>
  <si>
    <t>LINESTRING Z (995777.1 7842015.17 16.3, 995777.01 7842016.38 16.27, 995777.03 7842017.81 16.28, 995777.09 7842019.35 16.31, 995777.43 7842020.87 16.26, 995778.04 7842022.09 16.21, 995779.04 7842023.85 16.15, 995780.48 7842025.77 16.09, 995781.79 7842026.9 16.05, 995782.88 7842027.49 16.12, 995783.82 7842028.14 15.99, 995784.81 7842028.55 15.98, 995785.93 7842028.92 15.950000000000001, 995787.19 7842029.13 15.94, 995788.55 7842029.25 15.89, 995789.57 7842029.31 15.84, 995791.58 7842029.09 15.83, 995793.29 7842028.58 15.8, 995795.39 7842027.52 15.870000000000001, 995796.66 7842026.75 15.75, 995797.58 7842025.77 15.84, 995798.43 7842024.95 15.72, 995799.36 7842023.65 15.71, 995800.17 7842022.37 15.71, 995800.67 7842021.35 15.74, 995800.86 7842020.48 15.72, 995801 7842019.89 15.73, 995801.15 7842019.28 15.69, 995797.16 7842018.53 15.780000000000001, 995797.07 7842019.41 15.97, 995796.7 7842020.46 15.9, 995795.63 7842022.14 15.93, 995794.79 7842023.24 15.870000000000001, 995793.67 7842024.12 15.91, 995792.53 7842024.65 15.92, 995790.85 7842025.17 15.93, 995789.43 7842025.36 15.97, 995788.13 7842025.35 16.01, 995786.74 7842025.04 16.04, 995784.99 7842024.19 16.12, 995783.86 7842023.39 16.17, 995782.79 7842022.49 16.16, 995781.97 7842021.33 16.19, 995781.45 7842020.08 16.25, 995781.13 7842018.92 16.28, 995780.87 7842017.64 16.240000000000002, 995780.87 7842016.88 16.25, 995780.93 7842016.32 16.38, 995781 7842015.93 16.25, 995781.02 7842015.84 16.25, 995781.04 7842015.75 16.19, 995777.1 7842015.17 16.3)</t>
  </si>
  <si>
    <t>POLYGON Z ((995777.1 7842015.17 16.3, 995777.01 7842016.38 16.27, 995777.03 7842017.81 16.28, 995777.09 7842019.35 16.31, 995777.43 7842020.87 16.26, 995778.04 7842022.09 16.21, 995779.04 7842023.85 16.15, 995780.48 7842025.77 16.09, 995781.79 7842026.9 16.05, 995782.88 7842027.49 16.12, 995783.82 7842028.14 15.99, 995784.81 7842028.55 15.98, 995785.93 7842028.92 15.950000000000001, 995787.19 7842029.13 15.94, 995788.55 7842029.25 15.89, 995789.57 7842029.31 15.84, 995791.58 7842029.09 15.83, 995793.29 7842028.58 15.8, 995795.39 7842027.52 15.870000000000001, 995796.66 7842026.75 15.75, 995797.58 7842025.77 15.84, 995798.43 7842024.95 15.72, 995799.36 7842023.65 15.71, 995800.17 7842022.37 15.71, 995800.67 7842021.35 15.74, 995800.86 7842020.48 15.72, 995801 7842019.89 15.73, 995801.15 7842019.28 15.69, 995797.16 7842018.53 15.780000000000001, 995797.07 7842019.41 15.97, 995796.7 7842020.46 15.9, 995795.63 7842022.14 15.93, 995794.79 7842023.24 15.870000000000001, 995793.67 7842024.12 15.91, 995792.53 7842024.65 15.92, 995790.85 7842025.17 15.93, 995789.43 7842025.36 15.97, 995788.13 7842025.35 16.01, 995786.74 7842025.04 16.04, 995784.99 7842024.19 16.12, 995783.86 7842023.39 16.17, 995782.79 7842022.49 16.16, 995781.97 7842021.33 16.19, 995781.45 7842020.08 16.25, 995781.13 7842018.92 16.28, 995780.87 7842017.64 16.240000000000002, 995780.87 7842016.88 16.25, 995780.93 7842016.32 16.38, 995781 7842015.93 16.25, 995781.02 7842015.84 16.25, 995781.04 7842015.75 16.19, 995777.1 7842015.17 16.3))</t>
  </si>
  <si>
    <t>LINESTRING Z (995785.36 7842016.47 16.41, 995785.32 7842017.26 16.42, 995785.36 7842017.71 16.41, 995785.62 7842018.48 16.4, 995785.98 7842019.29 16.38, 995786.34 7842019.85 16.37, 995787.12 7842020.4 16.32, 995788.11 7842020.71 16.29, 995789.03 7842020.88 16.26, 995789.79 7842020.76 16.23, 995790.44 7842020.66 16.22, 995790.98 7842020.47 16.2, 995791.57 7842020.08 16.21, 995792.06 7842019.49 16.23, 995792.56 7842019.04 16.19, 995792.82 7842018.4 16.21, 995792.91 7842017.79 16.18, 995789.92 7842017.31 16.37, 995789.72 7842017.61 16.38, 995789.43 7842017.75 16.41, 995789.19 7842017.8 16.41, 995788.86 7842017.68 16.41, 995788.59 7842017.4 16.41, 995788.39 7842017.04 16.44, 995785.36 7842016.47 16.41)</t>
  </si>
  <si>
    <t>POLYGON Z ((995785.36 7842016.47 16.41, 995785.32 7842017.26 16.42, 995785.36 7842017.71 16.41, 995785.62 7842018.48 16.4, 995785.98 7842019.29 16.38, 995786.34 7842019.85 16.37, 995787.12 7842020.4 16.32, 995788.11 7842020.71 16.29, 995789.03 7842020.88 16.26, 995789.79 7842020.76 16.23, 995790.44 7842020.66 16.22, 995790.98 7842020.47 16.2, 995791.57 7842020.08 16.21, 995792.06 7842019.49 16.23, 995792.56 7842019.04 16.19, 995792.82 7842018.4 16.21, 995792.91 7842017.79 16.18, 995789.92 7842017.31 16.37, 995789.72 7842017.61 16.38, 995789.43 7842017.75 16.41, 995789.19 7842017.8 16.41, 995788.86 7842017.68 16.41, 995788.59 7842017.4 16.41, 995788.39 7842017.04 16.44, 995785.36 7842016.47 16.41))</t>
  </si>
  <si>
    <t>['EV6 S234D1 m601 KD1 m0-46', 'EV6 S234D1 m601 KD1 m102-111']</t>
  </si>
  <si>
    <t>LINESTRING Z (995797.07 7842018.1 15.97, 995797.15 7842016.49 15.97, 995796.93 7842015.23 16.03, 995796.72 7842014.4 16.15, 995796.19 7842013.3 16.03, 995795.55 7842012.43 16.04, 995794.8 7842011.52 16.06, 995793.98 7842010.91 16.09, 995793.36 7842010.39 16.11, 995792.49 7842009.88 16.16, 995791.68 7842009.5 16.16, 995790.78 7842009.29 16.22, 995790.12 7842009.14 16.19, 995788.72 7842009.15 16.27, 995787.77 7842009.35 16.27, 995786.88 7842009.57 16.28, 995785.81 7842010.04 16.29, 995785.27 7842010.34 16.4, 995784.41 7842010.79 16.330000000000002, 995783.53 7842011.52 16.36, 995782.98 7842012.09 16.34, 995782.38 7842012.91 16.330000000000002, 995781.76 7842013.78 16.36, 995781.44 7842014.67 16.330000000000002, 995781.31 7842015.3 16.330000000000002, 995781.25 7842015.52 16.31, 995785.24 7842016.21 16.26, 995785.38 7842015.64 16.35, 995785.5 7842015.16 16.31, 995786.08 7842014.51 16.36, 995786.36 7842014.19 16.34, 995786.9 7842013.66 16.31, 995787.56 7842013.27 16.26, 995788.27 7842013.01 16.44, 995788.73 7842012.92 16.26, 995789.46 7842012.9 16.240000000000002, 995790.51 7842013.24 16.240000000000002, 995791.3 7842013.54 16.18, 995792.14 7842014.14 16.14, 995792.64 7842014.89 16.23, 995792.96 7842015.55 16.13, 995793.24 7842016.45 16.13, 995793.13 7842017.54 16.01, 995797.04 7842018.24 15.92, 995797.07 7842018.1 15.97)</t>
  </si>
  <si>
    <t>POLYGON Z ((995797.07 7842018.1 15.97, 995797.15 7842016.49 15.97, 995796.93 7842015.23 16.03, 995796.72 7842014.4 16.15, 995796.19 7842013.3 16.03, 995795.55 7842012.43 16.04, 995794.8 7842011.52 16.06, 995793.98 7842010.91 16.09, 995793.36 7842010.39 16.11, 995792.49 7842009.88 16.16, 995791.68 7842009.5 16.16, 995790.78 7842009.29 16.22, 995790.12 7842009.14 16.19, 995788.72 7842009.15 16.27, 995787.77 7842009.35 16.27, 995786.88 7842009.57 16.28, 995785.81 7842010.04 16.29, 995785.27 7842010.34 16.4, 995784.41 7842010.79 16.330000000000002, 995783.53 7842011.52 16.36, 995782.98 7842012.09 16.34, 995782.38 7842012.91 16.330000000000002, 995781.76 7842013.78 16.36, 995781.44 7842014.67 16.330000000000002, 995781.31 7842015.3 16.330000000000002, 995781.25 7842015.52 16.31, 995785.24 7842016.21 16.26, 995785.38 7842015.64 16.35, 995785.5 7842015.16 16.31, 995786.08 7842014.51 16.36, 995786.36 7842014.19 16.34, 995786.9 7842013.66 16.31, 995787.56 7842013.27 16.26, 995788.27 7842013.01 16.44, 995788.73 7842012.92 16.26, 995789.46 7842012.9 16.240000000000002, 995790.51 7842013.24 16.240000000000002, 995791.3 7842013.54 16.18, 995792.14 7842014.14 16.14, 995792.64 7842014.89 16.23, 995792.96 7842015.55 16.13, 995793.24 7842016.45 16.13, 995793.13 7842017.54 16.01, 995797.04 7842018.24 15.92, 995797.07 7842018.1 15.97))</t>
  </si>
  <si>
    <t>['EV6 S234D1 m221 KD1 m0-2', 'EV6 S234D1 m221 KD1 m20-111']</t>
  </si>
  <si>
    <t>LINESTRING Z (995371.31 7841951.1 24.14, 995370.87 7841949.94 24.13, 995370.6 7841948.93 24.150000000000002, 995370.45 7841947.67 24.150000000000002, 995370.5 7841946.24 24.12, 995370.68 7841945.17 24.11, 995371.25 7841943.81 24.09, 995371.87 7841942.71 24.1, 995372.74 7841941.65 24.11, 995373.57 7841940.87 24.1, 995374.85 7841940.05 24.12, 995376.56 7841939.36 24.12, 995377.33 7841939.19 24.11, 995378.28 7841939.09 24.12, 995379.44 7841939.13 24.12, 995380.72 7841934.93 24.12, 995378.68 7841934.76 23.85, 995377.68 7841934.8 23.85, 995374.69 7841935.4 23.86, 995372.63 7841936.27 23.86, 995371.71 7841936.88 23.86, 995370.15 7841938.09 23.84, 995369.4 7841938.83 23.84, 995368.13 7841940.52 23.82, 995367.38 7841941.73 23.82, 995366.93 7841942.72 23.84, 995366.54 7841944.07 23.830000000000002, 995366.1 7841946.55 23.85, 995366.15 7841949.03 23.84, 995366.4 7841950.41 23.830000000000002, 995366.79 7841951.65 23.85, 995367.27 7841952.72 23.85, 995367.71 7841953.59 23.85, 995368.33 7841954.58 23.85, 995369.16 7841955.68 23.84, 995370.24 7841956.76 23.84, 995371.4 7841957.63 23.85, 995372.47 7841958.35 23.85, 995374.25 7841959.15 23.86, 995376.33 7841959.77 23.86, 995378.54 7841959.96 23.85, 995380.77 7841959.81 23.86, 995382.02 7841959.51 23.86, 995383.18 7841959.08 23.88, 995385.69 7841957.75 23.86, 995387.02 7841956.71 23.85, 995388.07 7841955.65 23.85, 995389.35 7841953.89 23.85, 995390.36 7841951.77 23.87, 995390.89 7841950.14 23.85, 995391.18 7841948 23.85, 995391.15 7841946.04 23.85, 995390.66 7841943.82 23.85, 995389.9 7841941.8 23.87, 995389.06 7841940.3 23.86, 995388.37 7841939.43 23.86, 995386.27 7841937.42 23.85, 995385.23 7841936.64 23.85, 995384.3 7841936.13 23.85, 995383.4 7841935.7 23.85, 995382.42 7841935.34 23.86, 995380.91 7841934.96 23.86, 995379.6 7841939.13 24.11, 995380.3 7841939.28 24.11, 995381 7841939.44 24.11, 995382.04 7841939.83 24.12, 995383.39 7841940.53 24.12, 995384.81 7841941.8 24.12, 995385.43 7841942.58 24.11, 995385.94 7841943.42 24.1, 995386.31 7841944.22 24.11, 995386.69 7841945.47 24.1, 995386.89 7841946.75 24.09, 995386.95 7841948.15 24.1, 995386.73 7841949.34 24.11, 995386.33 7841950.51 24.14, 995385.35 7841952.22 24.13, 995384.89 7841952.82 24.14, 995383.37 7841954.18 24.12, 995381.71 7841954.97 24.13, 995380.09 7841955.46 24.14, 995378.8 7841955.57 24.150000000000002, 995377.84 7841955.59 24.14, 995376.51 7841955.25 24.150000000000002, 995375.14 7841954.79 24.14, 995374.17 7841954.22 24.13, 995372.99 7841953.28 24.13, 995372.06 7841952.32 24.12, 995371.31 7841951.1 24.14)</t>
  </si>
  <si>
    <t>POLYGON Z ((995371.31 7841951.1 24.14, 995370.87 7841949.94 24.13, 995370.6 7841948.93 24.150000000000002, 995370.45 7841947.67 24.150000000000002, 995370.5 7841946.24 24.12, 995370.68 7841945.17 24.11, 995371.25 7841943.81 24.09, 995371.87 7841942.71 24.1, 995372.74 7841941.65 24.11, 995373.57 7841940.87 24.1, 995374.85 7841940.05 24.12, 995376.56 7841939.36 24.12, 995377.33 7841939.19 24.11, 995378.28 7841939.09 24.12, 995379.44 7841939.13 24.12, 995380.72 7841934.93 24.12, 995378.68 7841934.76 23.85, 995377.68 7841934.8 23.85, 995374.69 7841935.4 23.86, 995372.63 7841936.27 23.86, 995371.71 7841936.88 23.86, 995370.15 7841938.09 23.84, 995369.4 7841938.83 23.84, 995368.13 7841940.52 23.82, 995367.38 7841941.73 23.82, 995366.93 7841942.72 23.84, 995366.54 7841944.07 23.830000000000002, 995366.1 7841946.55 23.85, 995366.15 7841949.03 23.84, 995366.4 7841950.41 23.830000000000002, 995366.79 7841951.65 23.85, 995367.27 7841952.72 23.85, 995367.71 7841953.59 23.85, 995368.33 7841954.58 23.85, 995369.16 7841955.68 23.84, 995370.24 7841956.76 23.84, 995371.4 7841957.63 23.85, 995372.47 7841958.35 23.85, 995374.25 7841959.15 23.86, 995376.33 7841959.77 23.86, 995378.54 7841959.96 23.85, 995380.77 7841959.81 23.86, 995382.02 7841959.51 23.86, 995383.18 7841959.08 23.88, 995385.69 7841957.75 23.86, 995387.02 7841956.71 23.85, 995388.07 7841955.65 23.85, 995389.35 7841953.89 23.85, 995390.36 7841951.77 23.87, 995390.89 7841950.14 23.85, 995391.18 7841948 23.85, 995391.15 7841946.04 23.85, 995390.66 7841943.82 23.85, 995389.9 7841941.8 23.87, 995389.06 7841940.3 23.86, 995388.37 7841939.43 23.86, 995386.27 7841937.42 23.85, 995385.23 7841936.64 23.85, 995384.3 7841936.13 23.85, 995383.4 7841935.7 23.85, 995382.42 7841935.34 23.86, 995380.91 7841934.96 23.86, 995379.6 7841939.13 24.11, 995380.3 7841939.28 24.11, 995381 7841939.44 24.11, 995382.04 7841939.83 24.12, 995383.39 7841940.53 24.12, 995384.81 7841941.8 24.12, 995385.43 7841942.58 24.11, 995385.94 7841943.42 24.1, 995386.31 7841944.22 24.11, 995386.69 7841945.47 24.1, 995386.89 7841946.75 24.09, 995386.95 7841948.15 24.1, 995386.73 7841949.34 24.11, 995386.33 7841950.51 24.14, 995385.35 7841952.22 24.13, 995384.89 7841952.82 24.14, 995383.37 7841954.18 24.12, 995381.71 7841954.97 24.13, 995380.09 7841955.46 24.14, 995378.8 7841955.57 24.150000000000002, 995377.84 7841955.59 24.14, 995376.51 7841955.25 24.150000000000002, 995375.14 7841954.79 24.14, 995374.17 7841954.22 24.13, 995372.99 7841953.28 24.13, 995372.06 7841952.32 24.12, 995371.31 7841951.1 24.14))</t>
  </si>
  <si>
    <t>['EV6 S234D1 m678 SD1 m31-38']</t>
  </si>
  <si>
    <t>LINESTRING Z (995765.12 7841898.9 12.52, 995776.95 7841902.33 12.6, 995776.6 7841903.49 12.71, 995790.87 7841907.97 12.94, 995789.63 7841904.72 12.85, 995788.27 7841900.09 12.620000000000001, 995774.81 7841896.38 12.450000000000001, 995763.41 7841893.19 12.35, 995745.67 7841887.98 12.14, 995743.8 7841887.94 12.13, 995741.69 7841890.23 12.08, 995740.31 7841903.39 11.950000000000001, 995741.62 7841946.02 11.81, 995743.77 7841947.97 11.790000000000001, 995766.25 7841951.94 12.36, 995767.16 7841948.66 12.38, 995759.84 7841946.28 12.280000000000001, 995747.83 7841942.66 11.98, 995745.57 7841940.79 11.96, 995744.4 7841938.4 12.01, 995744.24 7841935.11 11.99, 995743.48 7841905.59 12.1, 995744.78 7841903.68 12.15, 995746.74 7841902.45 12.09, 995749.15 7841901.88 12.14, 995751.39 7841903.01 12.200000000000001, 995752.93 7841904.12 12.200000000000001, 995755.04 7841907.42 12.26, 995757.4 7841908.51 12.39, 995758.37 7841908.5 12.44, 995759.39 7841905.33 12.6, 995760.53 7841900.76 12.530000000000001, 995764.53 7841901.37 12.530000000000001, 995765.12 7841898.9 12.52)</t>
  </si>
  <si>
    <t>POLYGON Z ((995765.12 7841898.9 12.52, 995776.95 7841902.33 12.6, 995776.6 7841903.49 12.71, 995790.87 7841907.97 12.94, 995789.63 7841904.72 12.85, 995788.27 7841900.09 12.620000000000001, 995774.81 7841896.38 12.450000000000001, 995763.41 7841893.19 12.35, 995745.67 7841887.98 12.14, 995743.8 7841887.94 12.13, 995741.69 7841890.23 12.08, 995740.31 7841903.39 11.950000000000001, 995741.62 7841946.02 11.81, 995743.77 7841947.97 11.790000000000001, 995766.25 7841951.94 12.36, 995767.16 7841948.66 12.38, 995759.84 7841946.28 12.280000000000001, 995747.83 7841942.66 11.98, 995745.57 7841940.79 11.96, 995744.4 7841938.4 12.01, 995744.24 7841935.11 11.99, 995743.48 7841905.59 12.1, 995744.78 7841903.68 12.15, 995746.74 7841902.45 12.09, 995749.15 7841901.88 12.14, 995751.39 7841903.01 12.200000000000001, 995752.93 7841904.12 12.200000000000001, 995755.04 7841907.42 12.26, 995757.4 7841908.51 12.39, 995758.37 7841908.5 12.44, 995759.39 7841905.33 12.6, 995760.53 7841900.76 12.530000000000001, 995764.53 7841901.37 12.530000000000001, 995765.12 7841898.9 12.52))</t>
  </si>
  <si>
    <t>['EV6 S234D1 m221 KD1 m0-8', 'EV6 S234D1 m221 KD1 m8-111']</t>
  </si>
  <si>
    <t>LINESTRING Z (995380.72 7841943.78 24.36, 995379.72 7841943.39 24.36, 995378.73 7841943.25 24.36, 995377.92 7841943.31 24.37, 995377.13 7841943.53 24.37, 995376.36 7841943.88 24.36, 995375.8 7841944.4 24.36, 995375.17 7841945.19 24.36, 995374.78 7841945.96 24.34, 995374.51 7841946.97 24.34, 995374.59 7841948.05 24.35, 995374.87 7841949 24.35, 995375.28 7841949.76 24.37, 995375.79 7841950.39 24.38, 995376.42 7841950.89 24.37, 995377.17 7841951.26 24.39, 995378.01 7841951.48 24.39, 995378.75 7841951.52 24.400000000000002, 995379.4 7841951.46 24.400000000000002, 995379.97 7841951.29 24.41, 995380.52 7841950.99 24.39, 995381.28 7841950.47 24.400000000000002, 995382.46 7841949.03 24.400000000000002, 995382.72 7841948.42 24.39, 995382.84 7841947.53 24.36, 995382.74 7841946.54 24.38, 995382.4 7841945.47 24.37, 995381.62 7841944.44 24.36, 995380.87 7841943.87 24.580000000000002, 995379.24 7841946.95 24.580000000000002, 995379.37 7841947.3 24.6, 995379.23 7841947.65 24.580000000000002, 995378.98 7841947.94 24.6, 995378.59 7841948.03 24.61, 995378.14 7841947.83 24.59, 995377.96 7841947.46 24.6, 995377.95 7841947.05 24.59, 995378.15 7841946.84 24.59, 995378.5 7841946.63 24.6, 995378.75 7841946.59 24.59, 995379.17 7841946.78 24.580000000000002, 995380.72 7841943.78 24.36, 995379.72 7841943.39 24.36, 995380.72 7841943.78 24.36)</t>
  </si>
  <si>
    <t>2021-09-08</t>
  </si>
  <si>
    <t>[97730]</t>
  </si>
  <si>
    <t>['PV97730 S10D10 m19-94']</t>
  </si>
  <si>
    <t>LINESTRING Z (652535.21 7729951.31 3.010251913666725, 652537.31 7729950.07 3.0202501180768015, 652541.53 7729949.61 3.0602395606040957, 652549.45 7729948.81 2.96021951854229, 652555.62 7729948.68 2.990202233195305, 652562.05 7729947.86 2.940186542272568, 652569.81 7729947.16 3.060166634321213, 652575 7729946.44 3.1201541769504546, 652580.69 7729945.05 3.040142568945885, 652587.03 7729943.1 2.980131013095379, 652586.49 7729941.57 2.150137793123722, 652578.5 7729943.93 2.450152694284916, 652572.21 7729944.89 2.4301674911379814, 652566.31 7729945.17 2.3601835024356843, 652561.27 7729944.89 1.7501989474892616, 652558.59 7729944 1.350209698677063, 652553.17 7729942.01 1.2802320802211762, 652550.14 7729940.08 1.2302473911643028, 652547.16 7729937.25 1.2302656376361847, 652545.39 7729933.73 1.1902827590703964, 652543.35 7729936.72 1.4202783930301666, 652539.71 7729942.5 2.560269102156162, 652538.23 7729944.81 2.7102654588222506, 652533.95 7729948.25 2.740266002714634, 652535.14 7729951.09 2.9502528673410415, 652535.21 7729951.31 3.010251913666725)</t>
  </si>
  <si>
    <t>POLYGON Z ((652535.21 7729951.31 3.010251913666725, 652537.31 7729950.07 3.0202501180768015, 652541.53 7729949.61 3.0602395606040957, 652549.45 7729948.81 2.96021951854229, 652555.62 7729948.68 2.990202233195305, 652562.05 7729947.86 2.940186542272568, 652569.81 7729947.16 3.060166634321213, 652575 7729946.44 3.1201541769504546, 652580.69 7729945.05 3.040142568945885, 652587.03 7729943.1 2.980131013095379, 652586.49 7729941.57 2.150137793123722, 652578.5 7729943.93 2.450152694284916, 652572.21 7729944.89 2.4301674911379814, 652566.31 7729945.17 2.3601835024356843, 652561.27 7729944.89 1.7501989474892616, 652558.59 7729944 1.350209698677063, 652553.17 7729942.01 1.2802320802211762, 652550.14 7729940.08 1.2302473911643028, 652547.16 7729937.25 1.2302656376361847, 652545.39 7729933.73 1.1902827590703964, 652543.35 7729936.72 1.4202783930301666, 652539.71 7729942.5 2.560269102156162, 652538.23 7729944.81 2.7102654588222506, 652533.95 7729948.25 2.740266002714634, 652535.14 7729951.09 2.9502528673410415, 652535.21 7729951.31 3.010251913666725))</t>
  </si>
  <si>
    <t>LINESTRING Z (652573.19 7729967.64 3.190086890757084, 652573.19 7729967.91 3.20008596688509, 652574.31 7729966.84 3.180086406469345, 652574.54 7729965.56 3.1700901168584825, 652573.88 7729957.63 3.1301191368699075, 652573.08 7729950.94 3.1201443049311637, 652571.55 7729949.77 3.090152709186077, 652569.99 7729949.39 3.0501584908366204, 652565.4 7729949.83 2.970170180797577, 652555.64 7729950.77 3.0101950284838677, 652549.15 7729951.06 3.050212693810463, 652548.98 7729951.49 3.050211717784405, 652542.81 7729951.88 3.0702281165122987, 652542.56 7729951.63 3.0802296885848044, 652538.58 7729952.15 3.040239351987839, 652537.16 7729952.99 2.9902405589818954, 652536.66 7729953.88 3.0102389645576477, 652536.7 7729953.9 2.980238778293133, 652544.22 7729959.61 2.970197628736496, 652548.06 7729961.4 3.0001804700493815, 652556.08 7729964.25 2.960147672593594, 652565.12 7729966.32 3.0301146069169045, 652573.19 7729967.64 3.190086890757084)</t>
  </si>
  <si>
    <t>POLYGON Z ((652573.19 7729967.64 3.190086890757084, 652573.19 7729967.91 3.20008596688509, 652574.31 7729966.84 3.180086406469345, 652574.54 7729965.56 3.1700901168584825, 652573.88 7729957.63 3.1301191368699075, 652573.08 7729950.94 3.1201443049311637, 652571.55 7729949.77 3.090152709186077, 652569.99 7729949.39 3.0501584908366204, 652565.4 7729949.83 2.970170180797577, 652555.64 7729950.77 3.0101950284838677, 652549.15 7729951.06 3.050212693810463, 652548.98 7729951.49 3.050211717784405, 652542.81 7729951.88 3.0702281165122987, 652542.56 7729951.63 3.0802296885848044, 652538.58 7729952.15 3.040239351987839, 652537.16 7729952.99 2.9902405589818954, 652536.66 7729953.88 3.0102389645576477, 652536.7 7729953.9 2.980238778293133, 652544.22 7729959.61 2.970197628736496, 652548.06 7729961.4 3.0001804700493815, 652556.08 7729964.25 2.960147672593594, 652565.12 7729966.32 3.0301146069169045, 652573.19 7729967.64 3.190086890757084))</t>
  </si>
  <si>
    <t>LINESTRING Z (652655.9 7730004.97 2.9997214695811274, 652661.32 7730005.25 3.0397049292922023, 652667.17 7730005.22 3.049688217639923, 652671.1 7730004.93 2.969677906036377, 652671.88 7730004.07 3.049678606390953, 652668.59 7729999.84 3.03970253020525, 652663.86 7729994.23 3.1097353053092958, 652662.87 7729993.83 3.0997395223379134, 652661.65 7729994 3.119742450416088, 652659.48 7729995.36 3.1097440373897554, 652657.25 7729997.65 3.1097426143288613, 652655.76 7730000.47 3.089737257361412, 652655.06 7730003.66 3.0697283613681794, 652655.9 7730004.97 2.9997214695811274)</t>
  </si>
  <si>
    <t>POLYGON Z ((652655.9 7730004.97 2.9997214695811274, 652661.32 7730005.25 3.0397049292922023, 652667.17 7730005.22 3.049688217639923, 652671.1 7730004.93 2.969677906036377, 652671.88 7730004.07 3.049678606390953, 652668.59 7729999.84 3.03970253020525, 652663.86 7729994.23 3.1097353053092958, 652662.87 7729993.83 3.0997395223379134, 652661.65 7729994 3.119742450416088, 652659.48 7729995.36 3.1097440373897554, 652657.25 7729997.65 3.1097426143288613, 652655.76 7730000.47 3.089737257361412, 652655.06 7730003.66 3.0697283613681794, 652655.9 7730004.97 2.9997214695811274))</t>
  </si>
  <si>
    <t>['PV97730 S10D10 m95-96']</t>
  </si>
  <si>
    <t>LINESTRING Z (652579.19 7729968.64 3.150066222846508, 652578.74 7729968.2 3.110069016814232, 652583.32 7729968.89 3.040053489804268, 652589.97 7729970.24 3.000029759705067, 652596.04 7729972.02 3.070006223320961, 652603.91 7729975.22 3.009972658455372, 652609.53 7729977.79 3.0199477139115336, 652612.07 7729979.72 3.0299338111281395, 652614.07 7729983.02 3.029916779100895, 652615 7729984.57 3.0899087995290757, 652617.2 7729987.76 3.1098915737867356, 652620.22 7729991.29 3.089870823919773, 652624.36 7729994.99 3.059846266806126, 652630.61 7729998.6 3.0598159578442576, 652637.13 7730001.18 3.049788390696049, 652643.16 7730003.09 3.039764526486397, 652652.07 7730004.74 3.049733263850212, 652652.62 7730004.1 3.079733874797821, 652652.83 7730003.75 3.0897344633936883, 652654.01 7729999.41 3.109745914936066, 652655.42 7729996.72 3.1097510632872583, 652657.37 7729994.63 3.099752598106861, 652660.18 7729992.37 3.099752247929573, 652660.85 7729990.87 3.0797554516792296, 652660.31 7729989.74 3.089760868251324, 652652.8 7729979.99 3.1098157939314843, 652646.78 7729972.7 3.1098580312728883, 652642.43 7729967.18 3.029889405667782, 652642.09 7729967.24 3.019890180528164, 652640.15 7729964.68 3.0199045154452326, 652640.34 7729964.44 3.0399047911167147, 652633.49 7729956.11 3.1099529665708543, 652627.13 7729948 3.09999897390604, 652624.44 7729945.54 3.090015119314194, 652620.52 7729942.72 3.1100360330939294, 652617.45 7729941.38 3.0800494441390036, 652612.94 7729940.37 3.060065857768059, 652609.14 7729939.92 3.0700783225893975, 652605.32 7729940.17 3.0300884479284287, 652601.67 7729940.96 3.0400962412357333, 652596.57 7729942.63 2.9801051968336107, 652588.7 7729945.16 3.04011916667223, 652587.78 7729945.17 3.0501217743754387, 652578.94 7729948.15 3.0801370033621787, 652577.18 7729948.93 3.1401393949985503, 652575.85 7729949.96 3.1501396930217744, 652575.44 7729951.26 3.170136429667473, 652576.42 7729959.58 3.1701051595807077, 652576.94 7729966.22 3.1400809600949287, 652577.54 7729967.4 3.130075208246708, 652579.19 7729968.64 3.150066222846508)</t>
  </si>
  <si>
    <t>POLYGON Z ((652579.19 7729968.64 3.150066222846508, 652578.74 7729968.2 3.110069016814232, 652583.32 7729968.89 3.040053489804268, 652589.97 7729970.24 3.000029759705067, 652596.04 7729972.02 3.070006223320961, 652603.91 7729975.22 3.009972658455372, 652609.53 7729977.79 3.0199477139115336, 652612.07 7729979.72 3.0299338111281395, 652614.07 7729983.02 3.029916779100895, 652615 7729984.57 3.0899087995290757, 652617.2 7729987.76 3.1098915737867356, 652620.22 7729991.29 3.089870823919773, 652624.36 7729994.99 3.059846266806126, 652630.61 7729998.6 3.0598159578442576, 652637.13 7730001.18 3.049788390696049, 652643.16 7730003.09 3.039764526486397, 652652.07 7730004.74 3.049733263850212, 652652.62 7730004.1 3.079733874797821, 652652.83 7730003.75 3.0897344633936883, 652654.01 7729999.41 3.109745914936066, 652655.42 7729996.72 3.1097510632872583, 652657.37 7729994.63 3.099752598106861, 652660.18 7729992.37 3.099752247929573, 652660.85 7729990.87 3.0797554516792296, 652660.31 7729989.74 3.089760868251324, 652652.8 7729979.99 3.1098157939314843, 652646.78 7729972.7 3.1098580312728883, 652642.43 7729967.18 3.029889405667782, 652642.09 7729967.24 3.019890180528164, 652640.15 7729964.68 3.0199045154452326, 652640.34 7729964.44 3.0399047911167147, 652633.49 7729956.11 3.1099529665708543, 652627.13 7729948 3.09999897390604, 652624.44 7729945.54 3.090015119314194, 652620.52 7729942.72 3.1100360330939294, 652617.45 7729941.38 3.0800494441390036, 652612.94 7729940.37 3.060065857768059, 652609.14 7729939.92 3.0700783225893975, 652605.32 7729940.17 3.0300884479284287, 652601.67 7729940.96 3.0400962412357333, 652596.57 7729942.63 2.9801051968336107, 652588.7 7729945.16 3.04011916667223, 652587.78 7729945.17 3.0501217743754387, 652578.94 7729948.15 3.0801370033621787, 652577.18 7729948.93 3.1401393949985503, 652575.85 7729949.96 3.1501396930217744, 652575.44 7729951.26 3.170136429667473, 652576.42 7729959.58 3.1701051595807077, 652576.94 7729966.22 3.1400809600949287, 652577.54 7729967.4 3.130075208246708, 652579.19 7729968.64 3.150066222846508))</t>
  </si>
  <si>
    <t>LINESTRING Z (652606.28 7730059.78 3.0796767064929007, 652605.82 7730059.5 3.1296789863705636, 652602.9 7730058.78 3.329689841866493, 652602.34 7730057.96 3.3396942526102067, 652599.8 7730057.03 3.3097047355771068, 652596.27 7730055.68 3.2797195026278496, 652595.63 7730056.19 3.2397195994853973, 652594.76 7730056.79 2.679720046520233, 652597.55 7730061.65 2.8796954074501993, 652600.25 7730065.89 3.0796731451153754, 652604.06 7730062.49 3.08967382311821, 652606.28 7730059.78 3.0796767064929007)</t>
  </si>
  <si>
    <t>POLYGON Z ((652606.28 7730059.78 3.0796767064929007, 652605.82 7730059.5 3.1296789863705636, 652602.9 7730058.78 3.329689841866493, 652602.34 7730057.96 3.3396942526102067, 652599.8 7730057.03 3.3097047355771068, 652596.27 7730055.68 3.2797195026278496, 652595.63 7730056.19 3.2397195994853973, 652594.76 7730056.79 2.679720046520233, 652597.55 7730061.65 2.8796954074501993, 652600.25 7730065.89 3.0796731451153754, 652604.06 7730062.49 3.08967382311821, 652606.28 7730059.78 3.0796767064929007))</t>
  </si>
  <si>
    <t>LINESTRING Z (652604.37 7730055.58 3.359696554839611, 652608.07 7730056.99 3.0596810948848727, 652610.5 7730051.84 3.099691726863384, 652612.57 7730049.2 3.0596947965025905, 652618.19 7730043.82 3.1196970391273497, 652625.94 7730036.78 3.159698827266693, 652625.57 7730036.17 3.289701978862286, 652623.64 7730034.14 3.4397144660353662, 652622.43 7730035.65 3.409712782204151, 652623.64 7730037 3.369704690873623, 652617.47 7730042.7 3.359702932536602, 652608.66 7730050.56 3.3497013902664183, 652607.11 7730049.11 3.3697108003497123, 652604.35 7730051.55 3.38971039801836, 652604.2 7730051.47 3.369711098372936, 652600.19 7730049.57 3.3297291287779807, 652599.45 7730053.46 3.399717945456505, 652604.02 7730055.24 3.3496987229585646, 652604.37 7730055.58 3.359696554839611)</t>
  </si>
  <si>
    <t>POLYGON Z ((652604.37 7730055.58 3.359696554839611, 652608.07 7730056.99 3.0596810948848727, 652610.5 7730051.84 3.099691726863384, 652612.57 7730049.2 3.0596947965025905, 652618.19 7730043.82 3.1196970391273497, 652625.94 7730036.78 3.159698827266693, 652625.57 7730036.17 3.289701978862286, 652623.64 7730034.14 3.4397144660353662, 652622.43 7730035.65 3.409712782204151, 652623.64 7730037 3.369704690873623, 652617.47 7730042.7 3.359702932536602, 652608.66 7730050.56 3.3497013902664183, 652607.11 7730049.11 3.3697108003497123, 652604.35 7730051.55 3.38971039801836, 652604.2 7730051.47 3.369711098372936, 652600.19 7730049.57 3.3297291287779807, 652599.45 7730053.46 3.399717945456505, 652604.02 7730055.24 3.3496987229585646, 652604.37 7730055.58 3.359696554839611))</t>
  </si>
  <si>
    <t>[40500]</t>
  </si>
  <si>
    <t>['KV40500 S10D10 m233-271']</t>
  </si>
  <si>
    <t>LINESTRING Z (652527.95 7730125.05 2.909678733050823, 652526.45 7730126.56 2.9296778762340545, 652530.22 7730129.44 2.8896571934223174, 652528.45 7730131.92 2.6496537959575654, 652531.1 7730134.45 2.5496375313401223, 652532.54 7730133.97 2.5496350279450417, 652539.15 7730127.91 2.6096367490291597, 652545.94 7730121.37 2.639639587700367, 652551.75 7730116.14 2.659640764892101, 652557.86 7730110.63 2.6796420389413833, 652559.73 7730108.58 2.679643670618534, 652559.9 7730106.75 2.749649444818497, 652558.62 7730105.18 2.809658489823341, 652562.89 7730100.9 2.8796608516573907, 652568.91 7730095.56 2.9296617978811264, 652570.84 7730097.68 2.819648997783661, 652577.58 7730091.82 2.869649660885334, 652583.64 7730085.88 2.899652544260025, 652588.48 7730081.47 2.899653714001179, 652588.83 7730080.27 2.949656813442707, 652587.01 7730077.34 3.0996720573306082, 652584.65 7730073.49 3.229692009985447, 652582.2 7730075.15 3.2696933734416964, 652576.31 7730078.5 3.7796988570690155, 652572 7730080.92 4.209702969789505, 652567.92 7730083.34 4.639706426858902, 652562.95 7730086.38 4.699710323512554, 652555.3 7730090.92 4.629716790616512, 652554.27 7730090.12 4.729722490310669, 652551.73 7730092.64 4.779721179008484, 652550.05 7730094.41 4.749719957113266, 652549.02 7730099.97 4.35970390111208, 652549.46 7730100.53 4.289700727164745, 652545.24 7730105.54 3.899695727825165, 652540.17 7730111.25 3.4196907806396486, 652535.61 7730116.48 3.0996860048174857, 652531.78 7730120.87 3.0796820113062857, 652528.54 7730124.25 3.0596797686815265, 652527.95 7730125.05 2.909678733050823)</t>
  </si>
  <si>
    <t>POLYGON Z ((652527.95 7730125.05 2.909678733050823, 652526.45 7730126.56 2.9296778762340545, 652530.22 7730129.44 2.8896571934223174, 652528.45 7730131.92 2.6496537959575654, 652531.1 7730134.45 2.5496375313401223, 652532.54 7730133.97 2.5496350279450417, 652539.15 7730127.91 2.6096367490291597, 652545.94 7730121.37 2.639639587700367, 652551.75 7730116.14 2.659640764892101, 652557.86 7730110.63 2.6796420389413833, 652559.73 7730108.58 2.679643670618534, 652559.9 7730106.75 2.749649444818497, 652558.62 7730105.18 2.809658489823341, 652562.89 7730100.9 2.8796608516573907, 652568.91 7730095.56 2.9296617978811264, 652570.84 7730097.68 2.819648997783661, 652577.58 7730091.82 2.869649660885334, 652583.64 7730085.88 2.899652544260025, 652588.48 7730081.47 2.899653714001179, 652588.83 7730080.27 2.949656813442707, 652587.01 7730077.34 3.0996720573306082, 652584.65 7730073.49 3.229692009985447, 652582.2 7730075.15 3.2696933734416964, 652576.31 7730078.5 3.7796988570690155, 652572 7730080.92 4.209702969789505, 652567.92 7730083.34 4.639706426858902, 652562.95 7730086.38 4.699710323512554, 652555.3 7730090.92 4.629716790616512, 652554.27 7730090.12 4.729722490310669, 652551.73 7730092.64 4.779721179008484, 652550.05 7730094.41 4.749719957113266, 652549.02 7730099.97 4.35970390111208, 652549.46 7730100.53 4.289700727164745, 652545.24 7730105.54 3.899695727825165, 652540.17 7730111.25 3.4196907806396486, 652535.61 7730116.48 3.0996860048174857, 652531.78 7730120.87 3.0796820113062857, 652528.54 7730124.25 3.0596797686815265, 652527.95 7730125.05 2.909678733050823))</t>
  </si>
  <si>
    <t>2021-09-20</t>
  </si>
  <si>
    <t>[630]</t>
  </si>
  <si>
    <t>['FV630 S1D1 m10967-11049']</t>
  </si>
  <si>
    <t>LINESTRING (107614.75319127837 6790696.348186452, 107617.81613712764 6790688.894204503, 107621.16561764712 6790684.681323563, 107630.75075796974 6790674.864064795, 107636.57458229287 6790667.969500944, 107638.5702216471 6790663.835029075, 107638.82842741226 6790661.374280399, 107639.9747621112 6790657.677248687, 107639.84475914639 6790653.683121093, 107639.13061736885 6790651.21195921, 107638.20822044986 6790648.836952095, 107635.1423993968 6790642.741385301, 107631.76969014126 6790637.166004102, 107628.05009031587 6790632.188164922, 107624.2502302719 6790626.927747951, 107618.4171405352 6790619.586498648, 107610.66581381654 6790610.5402887575)</t>
  </si>
  <si>
    <t>POLYGON ((107618.25165563515 6790689.149850197, 107621.54115504654 6790685.012411782, 107631.10851545635 6790675.213363494, 107631.13272518179 6790675.186711737, 107636.95654950492 6790668.292147886, 107636.98224517882 6790668.25900219, 107637.00507269206 6790668.223819674, 107637.02487143877 6790668.186847867, 107639.020510793 6790664.052375998, 107639.0375666197 6790664.01276111, 107639.0511449502 6790663.971823726, 107639.06114474857 6790663.929868457, 107639.06749160678 6790663.887207492, 107639.32056425672 6790661.475378353, 107640.45233146205 6790657.825328108, 107640.46580195856 6790657.771481739, 107640.4732211045 6790657.716474086, 107640.47449746983 6790657.660983037, 107640.34449450501 6790653.666855443, 107640.34142971286 6790653.625515985, 107640.33495111766 6790653.584572469, 107640.32510324914 6790653.544306314, 107639.6109614716 6790651.073144431, 107639.5967003329 6790651.030943546, 107638.6743034139 6790648.655936431, 107638.65490407484 6790648.612288482, 107635.58908302178 6790642.516721687, 107635.57021276833 6790642.4825886255, 107632.19750351278 6790636.907207427, 107632.17022170888 6790636.86671417, 107628.4530399669 6790631.892111046, 107624.65554538151 6790626.634968747, 107624.64170065455 6790626.61669982, 107618.80861091785 6790619.275450517, 107618.79682207755 6790619.261165086, 107611.04549535889 6790610.214955196, 107610.28613227418 6790610.865622319, 107618.03143225561 6790619.904798687, 107623.85162808682 6790627.229820334, 107627.64477520625 6790632.480944126, 107627.64955874825 6790632.487454854, 107631.35452792405 6790637.445714233, 107634.70448476322 6790642.983483713, 107637.7507935464 6790649.040255567, 107638.65646297345 6790651.372192382, 107639.34705764444 6790653.761873648, 107639.47229149587 6790657.609478066, 107638.35085806141 6790661.226200977, 107638.33865484156 6790661.273668128, 107638.33115745257 6790661.322101981, 107638.08204687852 6790663.696171805, 107636.15179264886 6790667.695181845, 107630.38041549803 6790674.5276558455, 107620.80786016051 6790684.332024864, 107620.77424133188 6790684.37015708, 107617.4247608124 6790688.58303802, 107617.39729659552 6790688.621124646, 107617.37352634124 6790688.661619698, 107617.35365969146 6790688.7041660305, 107614.2907138422 6790696.1581479795, 107615.21566871455 6790696.538224924, 107618.25165563515 6790689.149850197))</t>
  </si>
  <si>
    <t>2021-09-22</t>
  </si>
  <si>
    <t>[2004]</t>
  </si>
  <si>
    <t>['KV2004 S1D1 m79-81']</t>
  </si>
  <si>
    <t>LINESTRING Z (716191.571 7724574.495 4.701653720974922, 716192.074 7724574.574 4.725653873711824, 716192.661 7724574.748 4.731653996646404, 716193.375 7724575.079 4.74265406370163, 716193.948 7724575.474 4.7486540338993075, 716194.601 7724576.23 4.756653795480728, 716195.043 7724577.028 4.77965344157815, 716195.465 7724579.016 4.815652286738158, 716195.882 7724581.078 4.831651079744101, 716196.397 7724583.441 4.867649712562561, 716196.74 7724585.174 4.78564869555831, 716197.021 7724586.012 4.673648248523474, 716197.786 7724587.712 4.630647417783737, 716198.33 7724588.937 4.495646818011999, 716198.909 7724589.338 4.3676467844843865, 716199.698 7724589.312 4.168647116035223, 716200.208 7724589.17 4.082647417783737, 716200.45 7724588.59 4.088647902071476, 716200.269 7724588.032 4.2016482000946995, 716199.686 7724586.301 4.250649123966694, 716198.82 7724583.876 4.338650398015976, 716197.956 7724581.538 4.422651612460613, 716197.156 7724579.212 4.4996528418064115, 716196.482 7724577.312 4.575653836458922, 716195.9 7724575.956 4.618654503285885, 716194.877 7724574.837 4.685654834836722, 716193.859 7724574.334 4.713654756605625, 716192.692 7724574.249 4.722654339373112, 716191.571 7724574.495 4.701653720974922)</t>
  </si>
  <si>
    <t>POLYGON Z ((716191.571 7724574.495 4.701653720974922, 716192.074 7724574.574 4.725653873711824, 716192.661 7724574.748 4.731653996646404, 716193.375 7724575.079 4.74265406370163, 716193.948 7724575.474 4.7486540338993075, 716194.601 7724576.23 4.756653795480728, 716195.043 7724577.028 4.77965344157815, 716195.465 7724579.016 4.815652286738158, 716195.882 7724581.078 4.831651079744101, 716196.397 7724583.441 4.867649712562561, 716196.74 7724585.174 4.78564869555831, 716197.021 7724586.012 4.673648248523474, 716197.786 7724587.712 4.630647417783737, 716198.33 7724588.937 4.495646818011999, 716198.909 7724589.338 4.3676467844843865, 716199.698 7724589.312 4.168647116035223, 716200.208 7724589.17 4.082647417783737, 716200.45 7724588.59 4.088647902071476, 716200.269 7724588.032 4.2016482000946995, 716199.686 7724586.301 4.250649123966694, 716198.82 7724583.876 4.338650398015976, 716197.956 7724581.538 4.422651612460613, 716197.156 7724579.212 4.4996528418064115, 716196.482 7724577.312 4.575653836458922, 716195.9 7724575.956 4.618654503285885, 716194.877 7724574.837 4.685654834836722, 716193.859 7724574.334 4.713654756605625, 716192.692 7724574.249 4.722654339373112, 716191.571 7724574.495 4.701653720974922))</t>
  </si>
  <si>
    <t>['KV2004 S1D1 m151-197']</t>
  </si>
  <si>
    <t>LINESTRING Z (716095.049 7724567.701 4.4556191614568235, 716096.148 7724569.417 3.5686185244321824, 716096.706 7724570.387 3.1356181370019915, 716097.264 7724571.221 2.782617831528187, 716097.864 7724571.998 2.6636175819337367, 716098.717 7724572.915 2.588617347240448, 716099.548 7724573.139 2.5436175372302534, 716100.691 7724573.171 2.5886179730892183, 716102.467 7724573.324 2.6546185877621173, 716104.402 7724573.643 2.7296191614568235, 716106.726 7724574.08 2.7816198133826258, 716109.752 7724574.715 2.6956206217706202, 716111.087 7724575.001 2.3846209719479083, 716111.602 7724575.688 2.0546207409799098, 716114 7724576.079 2.248621452510357, 716117.478 7724576.89 2.492622324228287, 716121.757 7724577.912 2.8906233822107317, 716126.382 7724579.134 3.2966244476437567, 716131.113 7724580.246 3.7076256211102008, 716135.72 7724581.087 3.997626921236515, 716139.335 7724581.471 4.255628117054701, 716139.01 7724578.814 4.266629704028368, 716139.403 7724577.373 4.278630795538426, 716139.521 7724576.696 4.299631279826165, 716135.634 7724575.994 4.350630173414945, 716131.27 7724575.121 4.403628981322051, 716126.892 7724574.253 4.444627781778574, 716122.318 7724573.338 4.491626533806324, 716117.976 7724572.485 4.467625334262848, 716114.505 7724571.785 4.508624388039112, 716111.982 7724571.23 4.566623728662729, 716109.531 7724570.76 4.574623043209314, 716105.837 7724570.009 4.643622037380934, 716102.39 7724569.291 4.686621106058359, 716099.079 7724568.507 4.718620271593332, 716096.877 7724567.962 4.748619731426239, 716095.049 7724567.701 4.4556191614568235)</t>
  </si>
  <si>
    <t>POLYGON Z ((716095.049 7724567.701 4.4556191614568235, 716096.148 7724569.417 3.5686185244321824, 716096.706 7724570.387 3.1356181370019915, 716097.264 7724571.221 2.782617831528187, 716097.864 7724571.998 2.6636175819337367, 716098.717 7724572.915 2.588617347240448, 716099.548 7724573.139 2.5436175372302534, 716100.691 7724573.171 2.5886179730892183, 716102.467 7724573.324 2.6546185877621173, 716104.402 7724573.643 2.7296191614568235, 716106.726 7724574.08 2.7816198133826258, 716109.752 7724574.715 2.6956206217706202, 716111.087 7724575.001 2.3846209719479083, 716111.602 7724575.688 2.0546207409799098, 716114 7724576.079 2.248621452510357, 716117.478 7724576.89 2.492622324228287, 716121.757 7724577.912 2.8906233822107317, 716126.382 7724579.134 3.2966244476437567, 716131.113 7724580.246 3.7076256211102008, 716135.72 7724581.087 3.997626921236515, 716139.335 7724581.471 4.255628117054701, 716139.01 7724578.814 4.266629704028368, 716139.403 7724577.373 4.278630795538426, 716139.521 7724576.696 4.299631279826165, 716135.634 7724575.994 4.350630173414945, 716131.27 7724575.121 4.403628981322051, 716126.892 7724574.253 4.444627781778574, 716122.318 7724573.338 4.491626533806324, 716117.976 7724572.485 4.467625334262848, 716114.505 7724571.785 4.508624388039112, 716111.982 7724571.23 4.566623728662729, 716109.531 7724570.76 4.574623043209314, 716105.837 7724570.009 4.643622037380934, 716102.39 7724569.291 4.686621106058359, 716099.079 7724568.507 4.718620271593332, 716096.877 7724567.962 4.748619731426239, 716095.049 7724567.701 4.4556191614568235))</t>
  </si>
  <si>
    <t>['KV2004 S1D1 m173-192']</t>
  </si>
  <si>
    <t>LINESTRING Z (716104.427 7724552.057 4.659632825821638, 716106.311 7724554.435 4.553632091939449, 716107.736 7724556.856 4.468631138265133, 716107.928 7724558.754 4.494630013227463, 716111.292 7724560.092 4.675630527317524, 716115.257 7724560.867 4.650631644904614, 716119.456 7724561.199 4.575633135020733, 716119.991 7724560.269 4.5026339434087275, 716120.716 7724557.903 4.4476357501745225, 716121.237 7724554.498 4.324638134360313, 716122.974 7724554.389 4.260638912945986, 716123.297 7724551.58 4.1746408389210705, 716123.761 7724549.415 4.169642410993577, 716124.357 7724546.41 4.180644575387239, 716124.538 7724539.423 4.293649112790823, 716124.3 7724531.805 4.353653873711824, 716124.173 7724524.472 4.4596584967970845, 716124.831 7724521.651 4.718660571783781, 716120.549 7724522.307 4.8196583552360535, 716120.048 7724524.823 4.704656544744968, 716117.728 7724527.636 4.708653788030148, 716118.893 7724530.322 4.65365256613493, 716117.871 7724532.372 4.659650837600231, 716115.919 7724535.033 4.569648337930441, 716111.413 7724535.433 4.649646214514971, 716107.044 7724534.771 4.71664482498169, 716105.886 7724542.868 4.776639229595661, 716105.061 7724550.604 4.710634003013372, 716104.427 7724552.057 4.659632825821638)</t>
  </si>
  <si>
    <t>POLYGON Z ((716104.427 7724552.057 4.659632825821638, 716106.311 7724554.435 4.553632091939449, 716107.736 7724556.856 4.468631138265133, 716107.928 7724558.754 4.494630013227463, 716111.292 7724560.092 4.675630527317524, 716115.257 7724560.867 4.650631644904614, 716119.456 7724561.199 4.575633135020733, 716119.991 7724560.269 4.5026339434087275, 716120.716 7724557.903 4.4476357501745225, 716121.237 7724554.498 4.324638134360313, 716122.974 7724554.389 4.260638912945986, 716123.297 7724551.58 4.1746408389210705, 716123.761 7724549.415 4.169642410993577, 716124.357 7724546.41 4.180644575387239, 716124.538 7724539.423 4.293649112790823, 716124.3 7724531.805 4.353653873711824, 716124.173 7724524.472 4.4596584967970845, 716124.831 7724521.651 4.718660571783781, 716120.549 7724522.307 4.8196583552360535, 716120.048 7724524.823 4.704656544744968, 716117.728 7724527.636 4.708653788030148, 716118.893 7724530.322 4.65365256613493, 716117.871 7724532.372 4.659650837600231, 716115.919 7724535.033 4.569648337930441, 716111.413 7724535.433 4.649646214514971, 716107.044 7724534.771 4.71664482498169, 716105.886 7724542.868 4.776639229595661, 716105.061 7724550.604 4.710634003013372, 716104.427 7724552.057 4.659632825821638))</t>
  </si>
  <si>
    <t>['KV2004 S1D1 m214-225']</t>
  </si>
  <si>
    <t>LINESTRING Z (716073.987 7724539.407 5.365628292143345, 716074.424 7724543.788 5.171625751495362, 716074.19 7724546.173 5.068624175697566, 716076.751 7724546.651 4.983624924480915, 716079.6 7724546.982 4.958625881880522, 716081.468 7724547.334 4.9346264257729056, 716082.223 7724544.346 4.891628593891859, 716083.042 7724539.734 4.8946318050920965, 716083.302 7724534.125 4.910635411173105, 716083.957 7724531.018 4.957637616544962, 716080.838 7724529.777 5.580637098729611, 716079.87 7724527.606 5.584638044953346, 716077.859 7724524.939 5.577638864517212, 716076.45 7724524.992 5.683638246119022, 716074.993 7724525.363 5.728637411653995, 716074.956 7724528.247 5.708635608613491, 716074.702 7724531.757 5.568633328735829, 716074.159 7724534.521 5.483631391584873, 716073.987 7724539.407 5.365628292143345)</t>
  </si>
  <si>
    <t>POLYGON Z ((716073.987 7724539.407 5.365628292143345, 716074.424 7724543.788 5.171625751495362, 716074.19 7724546.173 5.068624175697566, 716076.751 7724546.651 4.983624924480915, 716079.6 7724546.982 4.958625881880522, 716081.468 7724547.334 4.9346264257729056, 716082.223 7724544.346 4.891628593891859, 716083.042 7724539.734 4.8946318050920965, 716083.302 7724534.125 4.910635411173105, 716083.957 7724531.018 4.957637616544962, 716080.838 7724529.777 5.580637098729611, 716079.87 7724527.606 5.584638044953346, 716077.859 7724524.939 5.577638864517212, 716076.45 7724524.992 5.683638246119022, 716074.993 7724525.363 5.728637411653995, 716074.956 7724528.247 5.708635608613491, 716074.702 7724531.757 5.568633328735829, 716074.159 7724534.521 5.483631391584873, 716073.987 7724539.407 5.365628292143345))</t>
  </si>
  <si>
    <t>['KV2004 S1D1 m262-293']</t>
  </si>
  <si>
    <t>LINESTRING Z (716002.558 7724539.054 5.759599354088307, 716007.335 7724539.682 5.837600918710232, 716012.449 7724540.341 5.858602602541446, 716017.293 7724541.069 5.840604133635759, 716022.562 7724541.785 5.818605843544007, 716028.208 7724542.687 5.807607590705157, 716033.676 7724543.639 5.713609237283468, 716034.321 7724538.375 5.999612690627575, 716034.54 7724533.833 5.991615529298782, 716034.181 7724530.32 5.967617507427931, 716029.881 7724528.773 6.064616676688194, 716025.031 7724528.101 6.098615085989237, 716018.46 7724527.413 5.887612794935704, 716013.828 7724527.328 5.893610943466425, 716009.293 7724527.611 5.874608913183212, 716004.747 7724527.863 5.788606897801161, 716003.884 7724530.812 5.717604793012142, 716003.006 7724535.258 5.666601794153452, 716002.558 7724539.054 5.759599354088307)</t>
  </si>
  <si>
    <t>POLYGON Z ((716002.558 7724539.054 5.759599354088307, 716007.335 7724539.682 5.837600918710232, 716012.449 7724540.341 5.858602602541446, 716017.293 7724541.069 5.840604133635759, 716022.562 7724541.785 5.818605843544007, 716028.208 7724542.687 5.807607590705157, 716033.676 7724543.639 5.713609237283468, 716034.321 7724538.375 5.999612690627575, 716034.54 7724533.833 5.991615529298782, 716034.181 7724530.32 5.967617507427931, 716029.881 7724528.773 6.064616676688194, 716025.031 7724528.101 6.098615085989237, 716018.46 7724527.413 5.887612794935704, 716013.828 7724527.328 5.893610943466425, 716009.293 7724527.611 5.874608913183212, 716004.747 7724527.863 5.788606897801161, 716003.884 7724530.812 5.717604793012142, 716003.006 7724535.258 5.666601794153452, 716002.558 7724539.054 5.759599354088307))</t>
  </si>
  <si>
    <t>2023-04-13</t>
  </si>
  <si>
    <t>['EV6 S185D1 m4510 SD1 m53-58']</t>
  </si>
  <si>
    <t>LINESTRING Z (709552.9903644513 7723628.163861995 -0.0527159757912159, 709555.1919659524 7723653.055001814 -0.0526749454438686, 709557.9903695841 7723672.5553653175 -0.0526414103806019, 709560.5911075717 7723691.052665881 -0.0526097305119038, 709562.0889988361 7723699.3499004515 -0.0525950901210308, 709565.0877234987 7723698.449525244 -0.0525924302637577, 709565.4875493671 7723694.049408065 -0.0525985769927502, 709563.5869569957 7723682.054106614 -0.0526193827390671, 709563.7878248609 7723673.156261523 -0.0526326559484005, 709562.7897854547 7723657.858027378 -0.0526573024690151, 709561.6876534059 7723654.759106777 -0.0526635199785233, 709562.0901652994 7723645.263021758 -0.0526774525642395, 709560.9879438807 7723634.166973556 -0.0526958778500557, 709558.5906148964 7723630.068996487 -0.0527054145932198, 709555.6149012685 7723628.504242619 -0.0527106933295727, 709552.9903644513 7723628.163861995 -0.0527159757912159)</t>
  </si>
  <si>
    <t>POLYGON Z ((709552.9903644513 7723628.163861995 -0.0527159757912159, 709555.1919659524 7723653.055001814 -0.0526749454438686, 709557.9903695841 7723672.5553653175 -0.0526414103806019, 709560.5911075717 7723691.052665881 -0.0526097305119038, 709562.0889988361 7723699.3499004515 -0.0525950901210308, 709565.0877234987 7723698.449525244 -0.0525924302637577, 709565.4875493671 7723694.049408065 -0.0525985769927502, 709563.5869569957 7723682.054106614 -0.0526193827390671, 709563.7878248609 7723673.156261523 -0.0526326559484005, 709562.7897854547 7723657.858027378 -0.0526573024690151, 709561.6876534059 7723654.759106777 -0.0526635199785233, 709562.0901652994 7723645.263021758 -0.0526774525642395, 709560.9879438807 7723634.166973556 -0.0526958778500557, 709558.5906148964 7723630.068996487 -0.0527054145932198, 709555.6149012685 7723628.504242619 -0.0527106933295727, 709552.9903644513 7723628.163861995 -0.0527159757912159))</t>
  </si>
  <si>
    <t>['EV6 S185D1 m4510 SD2 m3-34']</t>
  </si>
  <si>
    <t>LINESTRING Z (709566.6625458451 7723537.873145902 4.673164863348007, 709566.597420386 7723537.856202082 4.681164751589298, 709568.7374311362 7723537.585710717 4.681167336940765, 709570.6706569165 7723536.904968932 4.681169009596109, 709573.595451489 7723534.978823447 4.681170164436102, 709576.0662679787 7723533.001442858 4.681170618921518, 709577.2418067902 7723531.447450705 4.6811698962152, 709579.4311101302 7723528.885222743 4.681169054299593, 709580.1886496238 7723524.561456138 4.68116352596879, 709580.8861263836 7723519.941180617 4.681157457470894, 709581.1056577573 7723517.496442535 4.681154030203819, 709581.8230292591 7723512.250696315 4.6811470490098, 709582.1190481994 7723508.894266928 4.681142336517572, 709583.2536461053 7723500.739598871 4.681131507098675, 709585.3588667318 7723486.6894931225 4.681113052010536, 709586.267238328 7723480.833366997 4.681105403989553, 709588.1463018632 7723466.281696195 4.681085857391357, 709589.2825678841 7723457.175137155 4.681073590010405, 709591.3197132489 7723443.186230985 4.391055157274008, 709591.7300839531 7723440.3551078625 4.391051428258419, 709593.6509153086 7723427.24077942 4.391034154087305, 709595.2779293198 7723415.769405253 4.39101898470521, 709596.8349042085 7723405.714311697 4.391005890309811, 709594.7145060315 7723405.583303391 4.391002604603767, 709594.5305987755 7723408.512802721 4.391006829082966, 709590.4202972988 7723414.769762611 4.391010435163975, 709587.9153566338 7723423.531604211 4.391020214051008, 709583.46361065 7723434.193836756 4.391030108422041, 709577.9082968098 7723443.638705388 4.391036571800709, 709576.3997644316 7723448.56827012 4.391041969746351, 709575.8084752155 7723451.5402451465 4.391045668959618, 709575.3109542467 7723455.2709194925 4.391050664573908, 709571.9055548673 7723456.157848778 4.391047159075737, 709570.9705193293 7723458.539487783 4.391049465030432, 709569.9116825671 7723460.014173748 4.391050224989653, 709569.4899884339 7723462.3962815935 4.3910532573759555, 709568.6835055423 7723464.475645382 4.391055295109749, 709567.8756942977 7723467.058912136 4.391058111429214, 709567.9625385159 7723467.9850070365 4.391059661149979, 709568.9822889193 7723468.153339002 4.391061374783516, 709567.9488759085 7723469.428659416 4.391061847895384, 709567.3174130478 7723472.85631065 4.391066213935614, 709565.5523575052 7723476.251197043 4.391068899869919, 709564.2742417686 7723479.857032073 4.391072617709637, 709563.2962532288 7723482.503695417 4.39107528501749, 709560.7664070933 7723486.79437868 4.391078283876181, 709559.9627813556 7723488.974799981 4.391080492973328, 709557.1080410273 7723490.772738537 4.391079196572304, 709558.2123503189 7723492.3373781275 4.391083167731762, 709556.7854395601 7723494.653243975 4.3910846988260746, 709557.0563460897 7723496.5140056005 4.391087947279215, 709555.8584884491 7723498.010037446 4.391088535875082, 709555.5496422388 7723498.934839813 4.391089523077011, 709554.5847565122 7723499.566581601 4.39108913564682, 709553.6577775815 7723501.590520831 4.391090942412615, 709552.3470598438 7723504.588660906 4.391093684226274, 709551.8634803699 7723505.139641223 4.3910938593149185, 709550.4768895472 7723506.820640123 4.391094481438398, 709549.6014478438 7723508.8379245475 4.3910963440835475, 709549.3202368682 7723510.560395323 4.391098597884178, 709549.1669066644 7723511.543713445 4.391099901735783, 709548.7413425562 7723512.547827526 4.3911008367836475, 709548.1515737849 7723514.79191092 4.391103451937437, 709547.6463117353 7723517.144250142 4.391106376290321, 709547.4435067954 7723519.355253636 4.3911094869077205, 709545.9845314313 7723523.057150168 4.391113126516342, 709545.516355252 7723525.211151929 4.391115778923035, 709544.424240433 7723529.819032663 4.39112133333087, 709547.3040318736 7723529.647356726 4.451125118225813, 709547.1073885356 7723527.255523892 4.425121150791645, 709546.9077095296 7723525.031430008 4.40311745902896, 709546.7659798563 7723523.350067148 4.404114672511816, 709547.9424197848 7723523.252198435 4.4201161775290965, 709547.8238641466 7723521.796887714 4.413113767266274, 709547.6897853987 7723520.295406436 4.408111275047064, 709549.5613997818 7723520.135634547 4.4461136592328545, 709549.4640896907 7723518.883805023 4.4411116065979, 709549.3380729449 7723516.979818749 4.40910848852992, 709549.2051953996 7723515.153630595 4.384105497121811, 709550.2377612209 7723515.043075635 4.406106786072255, 709550.1549619524 7723513.893329623 4.395104897350073, 709550.0645432237 7723512.518902979 4.381102665901184, 709551.0854444078 7723512.407319665 4.389103936225176, 709551.2030826354 7723512.40649277 4.387104100137949, 709553.5792739184 7723512.257616588 4.457107218205929, 709555.1446120823 7723512.149243215 4.499109241038561, 709556.5659796484 7723510.78492604 4.514109162807465, 709558.0146007568 7723509.378211123 4.5141090473234655, 709558.131674743 7723507.42845802 4.488106219828129, 709558.2349957494 7723505.679100058 4.467103682905436, 709558.2612994135 7723505.603016545 4.464103593498469, 709559.1740243121 7723503.118603731 4.434101086378098, 709559.1638174942 7723501.05682243 4.3970979012548925, 709559.1610387892 7723499.4885156145 4.3720954835414885, 709561.0129140278 7723498.397373591 4.394096433490515, 709562.965958933 7723497.225551039 4.412097409516573, 709563.1439511785 7723497.118042605 4.42809749519825, 709562.6707769311 7723495.32904619 4.384094064205885, 709562.4110363815 7723492.808442096 4.322089847177267, 709562.1763329669 7723490.626059287 4.271086151689291, 709561.9406803871 7723488.409991539 4.220082415223121, 709561.7561789769 7723486.724855417 4.192079584002495, 709562.6107048733 7723485.4337580735 4.185078809142113, 709563.3299501822 7723484.343539541 4.19007814976573, 709564.3187790066 7723482.86267827 4.189077289223671, 709564.7363214326 7723482.216272686 4.1870768943428995, 709564.775021659 7723481.110841661 4.180075251489877, 709564.848846742 7723479.829301075 4.162073396295309, 709565.5934817595 7723478.584515797 4.166072543203831, 709566.5532599604 7723476.944287025 4.187071384638548, 709567.5558464078 7723475.263031887 4.178070229798555, 709567.9734542554 7723474.527028885 4.176069704532623, 709569.2616212191 7723473.206972149 4.190069510817528, 709569.2113922007 7723471.376870112 4.1760666348934175, 709569.1822167574 7723470.019043424 4.148064511477948, 709569.7170265996 7723468.531746128 4.150062995284796, 709570.4193682355 7723466.6112053655 4.13706105068326, 709571.1012235557 7723464.789662078 4.127059236466884, 709571.7850399152 7723462.945890936 4.130057388722896, 709572.9037719129 7723464.747018041 4.176061743587256, 709573.6583284651 7723465.967207597 4.2120646940171715, 709574.641112972 7723467.532337772 4.259068490087986, 709575.515108808 7723468.9534690315 4.29207191735506, 709574.2270638077 7723470.094326566 4.282071824222803, 709574.128803011 7723470.186465001 4.283071827948094, 709572.7191346863 7723471.462203111 4.254071772068739, 709572.2125240632 7723472.940786296 4.259073318064213, 709571.626937428 7723474.737217666 4.272075229138136, 709572.6885038436 7723476.253292786 4.325079062461853, 709573.8880046555 7723477.938339179 4.386083350270987, 709574.9660708206 7723479.4894720735 4.43408725810051, 709572.8175295626 7723480.744850083 4.390086118161679, 709570.9316182828 7723481.821782765 4.363085089981556, 709569.0009732981 7723482.917172686 4.320084028273821, 709566.7483612912 7723484.241780844 4.279082847356796, 709565.772113771 7723485.802153831 4.279083860635757, 709565.6719519922 7723487.204576787 4.296085864841938, 709565.587281175 7723488.697969392 4.325088044136763, 709566.8262379076 7723489.580059981 4.374091151028872, 709568.4927851087 7723490.723868555 4.436095274925232, 709570.2438688002 7723491.93113586 4.491099592536688, 709570.4148008836 7723493.547873976 4.537102326899767, 709570.6213593965 7723495.649373199 4.591105824947357, 709570.8281087198 7723497.482078607 4.627108931839466, 709570.9641693728 7723498.916534441 4.658111319750548, 709569.3520617764 7723499.15517923 4.619109404951334, 709566.6217671777 7723499.586426066 4.563106193751096, 709566.2804844221 7723499.634732271 4.5581057951450346, 709565.6533649864 7723501.0578868855 4.557107076644898, 709571.169288727 7723503.033987402 4.844117906063795, 709573.348321707 7723505.3430414535 4.844124514728785, 709572.3490317194 7723506.498163231 4.840124876081943, 709572.3460273163 7723506.621103199 4.840125069797039, 709571.1404180027 7723508.071642529 4.845125576436519, 709571.6437105935 7723509.874498195 4.891129044681787, 709572.2506944819 7723512.145717025 4.942133377194405, 709572.55712631 7723513.247984472 4.979135493159294, 709575.0531938421 7723514.0505392365 5.044140242904425, 709576.8591453166 7723514.635427219 5.11814368134737, 709578.3521117615 7723515.125510748 5.166146531194449, 709577.6407239721 7723517.459667706 5.181149101644754, 709576.756053901 7723520.114556029 5.203151899337769, 709575.9434365139 7723522.618992718 5.229154592722654, 709575.153267976 7723525.002204412 5.205157111018896, 709574.3114404932 7723527.571267967 5.206159856557846, 709573.4355652005 7723530.170930278 5.202162602096796, 709572.9815355755 7723531.542145239 5.2051640437841415, 709572.5408898803 7723531.872898809 5.192163946926594, 709570.0321634182 7723531.125230654 5.12115927168727, 709568.3175574564 7723530.615605105 5.077156082838774, 709567.0050190677 7723530.7014611345 5.039154380381108, 709565.4348227603 7723530.820597631 4.992152350097895, 709565.1088653354 7723532.5615223795 4.9811545591950415, 709564.8228697833 7723534.160365522 4.979156596928835, 709564.7867967162 7723534.302790092 4.98215677946806)</t>
  </si>
  <si>
    <t>POLYGON ((709569.4146542995 7723467.902779645, 709569.3916267697 7723467.86621094, 709569.3611002499 7723467.826992597, 709569.3268311548 7723467.790998489, 709569.2891580557 7723467.7585842265, 709569.2484531548 7723467.730070057, 709569.205118608 7723467.705737695, 709569.1595825512 7723467.685827539, 709569.1122948712 7723467.670536296, 709569.0637227601 7723467.660015042, 709568.4243590591 7723467.554474168, 709568.3828901247 7723467.112255106, 709569.1557225166 7723464.6408458045, 709569.9561540508 7723462.577084297, 709569.971525525 7723462.530899683, 709569.9823333743 7723462.483439265, 709570.3841938993 7723460.213369482, 709571.3766697313 7723458.831107142, 709571.3994137228 7723458.796488949, 709571.4192142832 7723458.7601069985, 709571.4359355246 7723458.722210975, 709572.2779358417 7723456.577542976, 709575.4369741814 7723455.754777918, 709575.4840023206 7723455.740019017, 709575.5293487983 7723455.720701462, 709575.5725729433 7723455.697012977, 709575.6132547081 7723455.669183766, 709575.6509987521 7723455.637484267, 709575.6854382829 7723455.602222536, 709575.7162386214 7723455.56374124, 709575.7431004533 7723455.522414336, 709575.7657627384 7723455.478643434, 709575.7840052474 7723455.432853895, 709575.7976507016 7723455.385490696, 709575.8065664961 7723455.337014108, 709576.3019778929 7723451.622158445, 709576.8852424932 7723448.690517247, 709578.3691606958 7723443.841386434, 709583.8945875533 7723434.447330166, 709583.9250084257 7723434.386481747, 709588.3767544095 7723423.724249202, 709588.39609603 7723423.669043772, 709590.8800708211 7723414.980537109, 709594.9484948847 7723408.787325656, 709594.9746681992 7723408.742590333, 709594.9960699141 7723408.695385905, 709595.0124700643 7723408.64621959, 709595.0236924277 7723408.595619689, 709595.029616418 7723408.544129905, 709595.1822274603 7723406.11315488, 709596.2569054153 7723406.179553607, 709594.7838178348 7723415.692894859, 709594.7828838102 7723415.699191697, 709593.1560292298 7723427.1694417875, 709591.235362404 7723440.282646915, 709591.2352552168 7723440.283382541, 709590.8249082392 7723443.114341975, 709588.7877867394 7723457.103084265, 709588.7864151855 7723457.113229968, 709587.6502818567 7723466.218725553, 709585.7721710412 7723480.76301839, 709584.8647754645 7723486.612852274, 709584.8643867115 7723486.6154018985, 709582.759166085 7723500.665507647, 709582.7584165756 7723500.670695222, 709581.6238186697 7723508.825363278, 709581.6209815001 7723508.850340135, 709581.3260157518 7723512.194827841, 709580.6102685316 7723517.428696575, 709580.6076615449 7723517.451723719, 709580.3894782118 7723519.881449796, 709579.6951325607 7723524.480984002, 709578.9621970898 7723528.664319578, 709576.8616737075 7723531.122644857, 709576.8430473924 7723531.145803655, 709575.7051441217 7723532.650043869, 709573.3011121141 7723534.573977211, 709570.446812083 7723536.453697985, 709568.6217416544 7723537.096355307, 709566.5347206553 7723537.360148915, 709566.4861842813 7723537.368732566, 709566.4387288813 7723537.382053364, 709566.3928156191 7723537.399981862, 709566.3488906722 7723537.4223438315, 709566.307380896 7723537.4489219645, 709566.2686896755 7723537.479457977, 709566.2331930058 7723537.513655128, 709566.2012358375 7723537.551181093, 709566.1731287251 7723537.591671201, 709566.149144809 7723537.634731978, 709566.1295171607 7723537.679944963, 709566.1144365186 7723537.726870786, 709566.104049434 7723537.77505343, 709566.0984568466 7723537.824024663, 709566.0977131043 7723537.873308591, 709566.1018254348 7723537.92242628, 709566.1107538752 7723537.970900414, 709566.1244116601 7723538.018259927, 709566.1426660657 7723538.06404459, 709566.1653396985 7723538.107809474, 709566.19221222 7723538.149129278, 709566.2230224876 7723538.187602464, 709566.2574710919 7723538.222855157, 709566.2952232673 7723538.254544775, 709566.3359121443 7723538.282363365, 709566.3791423151 7723538.306040591, 709566.4244936762 7723538.325346359, 709566.4715255104 7723538.340093061, 709566.5366509695 7723538.357036881, 709566.698845785 7723537.733623039, 709566.659346046 7723538.346131137, 709566.6601201168 7723538.352255248, 709568.8001308669 7723538.081763884, 709568.8524661459 7723538.072297757, 709568.9034998778 7723538.05732621, 709570.836725658 7723537.376584425, 709570.892840702 7723537.352891209, 709570.9456583012 7723537.322550347, 709573.8704528738 7723535.3964048615, 709573.9078690843 7723535.369201784, 709576.378685574 7723533.391821195, 709576.4098835818 7723533.364662237, 709576.438729988 7723533.335017514, 709576.4650273765 7723533.303089908, 709577.631597327 7723531.760954054, 709579.8112432129 7723529.210028592, 709579.8436798044 7723529.167687368, 709579.8714214984 7723529.122131796, 709579.8941526045 7723529.073880282, 709579.9116144507 7723529.023481913, 709579.9236083275 7723528.971510203, 709580.6811478211 7723524.647743598, 709580.6830479561 7723524.636090507, 709581.3805247159 7723520.015814985, 709581.3841225959 7723519.985899433, 709581.6026173662 7723517.55270514, 709582.3184184848 7723512.318442276, 709582.3210959584 7723512.294623108, 709582.6160103407 7723508.950717819, 709583.7485144762 7723500.811098268, 709585.853155662 7723486.764859669, 709586.7613295952 7723480.910007845, 709586.7631210802 7723480.897400551, 709588.6421846155 7723466.345729749, 709588.6424545618 7723466.343603382, 709589.7780867447 7723457.242124211, 709591.8144943935 7723443.258283875, 709592.2248593698 7723440.427201034, 709594.1456368577 7723427.313240368, 709594.1459608182 7723427.310992977, 709595.7725278598 7723415.842770198, 709597.3290156935 7723405.790822091, 709597.3341255091 7723405.742206015, 709597.3344635019 7723405.69332331, 709597.3300264413 7723405.644641224, 709597.3208567387 7723405.596625085, 709597.3070420433 7723405.549733858, 709597.2887144032 7723405.504415752, 709597.2660490038 7723405.461103945, 709597.239262493 7723405.420212432, 709597.2086109106 7723405.382132075, 709597.1743872407 7723405.347226868, 709597.1369186112 7723405.315830454, 709597.0965631674 7723405.288242935, 709597.0537066481 7723405.264728009, 709597.0087586985 7723405.245510442, 709596.9621489553 7723405.230773928, 709596.914322939 7723405.220659324, 709596.8657377963 7723405.215263313, 709594.7453396192 7723405.084255007, 709594.6963067406 7723405.083634715, 709594.6474489106 7723405.087820453, 709594.5992360649 7723405.096771958, 709594.5521319356 7723405.1104031345, 709594.5065895905 7723405.128582869, 709594.4630470754 7723405.151136301, 709594.4219232012 7723405.177846503, 709594.383613515 7723405.208456566, 709594.3484864958 7723405.242672066, 709594.3168800105 7723405.280163906, 709594.2890980642 7723405.320571472, 709594.2654078752 7723405.363506107, 709594.2460373063 7723405.408554847, 709594.2311726718 7723405.455284394, 709594.2209569463 7723405.503245284, 709594.215488389 7723405.551976207, 709594.0398901349 7723408.349119609, 709590.0024011896 7723414.495239676, 709589.9768697729 7723414.53873874, 709589.9558507133 7723414.584588721, 709589.9395579026 7723414.63232305, 709587.4426706403 7723423.365995265, 709583.0153487726 7723433.9697304005, 709577.4773199065 7723443.385211978, 709577.4506030343 7723443.437418508, 709577.430182771 7723443.492394192, 709575.9216503928 7723448.421958924, 709575.9093757898 7723448.47070486, 709575.3180865736 7723451.442679887, 709575.312862966 7723451.474150531, 709574.8597604476 7723454.871751933, 709571.7795349326 7723455.673990353, 709571.7345864297 7723455.687987316, 709571.6911535845 7723455.706149664, 709571.6496214349 7723455.728316383, 709571.610358169 7723455.754290964, 709571.5737118605 7723455.783843138, 709571.540007384 7723455.816710921, 709571.5095435341 7723455.852602936, 709571.4825903767 7723455.891200996, 709571.4593868552 7723455.932162924, 709571.440138672 7723455.975125586, 709570.5279331224 7723458.298614083, 709569.505532165 7723459.722554388, 709569.4810926766 7723459.7600235045, 709569.4601000143 7723459.799527066, 709569.442722222 7723459.840748851, 709569.429098407 7723459.883358885, 709569.4193376267 7723459.927016077, 709569.0061586662 7723462.261022566, 709568.2173399255 7723464.294842678, 709568.2062939822 7723464.326416943, 709567.3984827376 7723466.909683697, 709567.3860553061 7723466.957651788, 709567.3784368715 7723467.00661441, 709567.3757022584 7723467.056090675, 709567.377878325 7723467.105594651, 709567.4647225431 7723468.031689552, 709567.4719716122 7723468.081671989, 709567.4842260196 7723468.130668136, 709567.5013607317 7723468.1781780785, 709567.52320092 7723468.223717063, 709567.5495237453 7723468.266820448, 709567.5800606313 7723468.307048444, 709567.6145000049 7723468.343990594, 709567.6524904753 7723468.377269974, 709567.6936444191 7723468.406547029, 709567.7375419356 7723468.431523037, 709567.7837351309 7723468.451943167, 709567.8317526879 7723468.467599066, 709567.8811046751 7723468.478330997, 709568.0524729826 7723468.50661906, 709567.5604040876 7723469.1138743395, 709567.530983731 7723469.154130496, 709567.5057190873 7723469.197116694, 709567.4848613999 7723469.242405461, 709567.468618087 7723469.289546423, 709567.4571506797 7723469.338070788, 709566.8392524866 7723472.692091485, 709565.1087338412 7723476.020550029, 709565.0810870598 7723476.084151638, 709563.8040834443 7723479.686849139, 709562.8427829321 7723482.288350818, 709560.3356996864 7723486.540427642, 709560.3146576562 7723486.580083448, 709560.2972573591 7723486.621466775, 709559.5524364592 7723488.642337038, 709556.8415803257 7723490.349656164, 709556.802455027 7723490.376989631, 709556.7661141149 7723490.407929016, 709556.7328887142 7723490.44219241, 709556.7030815624 7723490.479467618, 709556.6769642513 7723490.519415002, 709556.6547747522 7723490.561670576, 709556.6367152476 7723490.605849324, 709556.6229502889 7723490.651548704, 709556.6136052975 7723490.698352321, 709556.6087654213 7723490.745833718, 709556.6084747596 7723490.793560261, 709556.6127359609 7723490.841097085, 709556.6215101983 7723490.88801105, 709556.6347175246 7723490.933874696, 709556.6522375994 7723490.978270128, 709556.6739107863 7723491.020792833, 709556.6995396072 7723491.0610553585, 709557.6135467371 7723492.356065509, 709556.3597550745 7723494.390960314, 709556.3357975924 7723494.434561326, 709556.3162915825 7723494.4803273035, 709556.3014301547 7723494.527805163, 709556.2913604378 7723494.576524871, 709556.2861821222 7723494.626004101, 709556.2859464736 7723494.675753007, 709556.2906558247 7723494.725279072, 709556.530265009 7723496.371070246, 709555.4681854367 7723497.697525753, 709555.4421714654 7723497.733125603, 709555.4193949014 7723497.770878804, 709555.4000328623 7723497.810491775, 709555.3842359135 7723497.851656474, 709555.1304178687 7723498.6116837, 709554.3108722286 7723499.148266649, 709554.2729733923 7723499.175696341, 709554.237804167 7723499.206548172, 709554.2056724537 7723499.240552037, 709554.1768595605 7723499.277410239, 709554.1516177396 7723499.31680009, 709554.1301679789 7723499.358376737, 709553.2031890482 7723501.382315966, 709553.1996445836 7723501.390235644, 709551.9200376021 7723504.317212873, 709551.4876898886 7723504.809820795, 709551.4777674571 7723504.821481595, 709550.0911766344 7723506.502480496, 709550.0631780111 7723506.539850585, 709550.0387876914 7723506.579669661, 709550.0182184023 7723506.621590429, 709549.1427766989 7723508.638874853, 709549.1279277804 7723508.677366927, 709549.1163028328 7723508.716952161, 709549.1079810051 7723508.757361038, 709548.8267700295 7723510.479831813, 709548.8262068704 7723510.483360517, 709548.6824072727 7723511.405558145, 709548.280981856 7723512.352717235, 709548.2577639726 7723512.420737977, 709547.6679952013 7723514.664821371, 709547.6627232739 7723514.686910073, 709547.1574612242 7723517.039249295, 709547.1484019372 7723517.098579221, 709546.9521251417 7723519.238412111, 709545.5193552007 7723522.873816935, 709545.5060901374 7723522.911912679, 709545.495939244 7723522.950953772, 709545.0287556673 7723525.100388731, 709543.937718638 7723529.703722025, 709543.9287669521 7723529.751905696, 709543.9245753764 7723529.8007342685, 709543.9251841805 7723529.849738637, 709543.9305875155 7723529.898448007, 709543.9407334701 7723529.946394418, 709543.9555245707 7723529.993117241, 709543.974818716 7723530.038167599, 709543.9984305433 7723530.081112685, 709544.0261332095 7723530.121539916, 709544.0576605693 7723530.159060902, 709544.0927097335 7723530.19331517, 709544.1309439777 7723530.223973633, 709544.1719959783 7723530.250741749, 709544.2154713406 7723530.273362352, 709544.2609523883 7723530.29161812, 709544.308002176 7723530.305333667, 709544.3561686873 7723530.314377227, 709544.4049891772 7723530.318661914, 709544.4539946178 7723530.318146566, 709547.3337860584 7723530.14647063, 709547.3832584037 7723530.1410399815, 709547.4319457711 7723530.130717911, 709547.4793657651 7723530.115606688, 709547.5250485474 7723530.095856035, 709547.5685414923 7723530.071661642, 709547.6094136706 7723530.043263228, 709547.6472601201 7723530.010942164, 709547.6817058575 7723529.975018689, 709547.7124095936 7723529.9358487325, 709547.7390671152 7723529.893820392, 709547.7614142993 7723529.849350085, 709547.7792297292 7723529.802878423, 709547.7923368895 7723529.754865848, 709547.8006059142 7723529.705788072, 709547.8039548735 7723529.656131357, 709547.802350586 7723529.606387703, 709547.6057072481 7723527.214554869, 709547.6053855271 7723527.210813754, 709547.4058282264 7723524.988075464, 709547.3062572547 7723523.806848346, 709547.9838718808 7723523.750477197, 709548.0324594256 7723523.744024485, 709548.0801817302 7723523.732845548, 709548.1265802048 7723523.717047809, 709548.171208981 7723523.696783077, 709548.2136391964 7723523.672246088, 709548.2534631158 7723523.643672631, 709548.2902980495 7723523.611337285, 709548.3237900302 7723523.575550776, 709548.3536172153 7723523.536656997, 709548.3794929789 7723523.4950297, 709548.4011686668 7723523.451068904, 709548.4184359851 7723523.405197053, 709548.4311290031 7723523.357854955, 709548.4391257463 7723523.309497545, 709548.4423493696 7723523.260589516, 709548.4407688957 7723523.211600853, 709548.3222132574 7723521.756290132, 709548.3218824727 7723521.752415849, 709548.232449462 7723520.7508999985, 709549.6039280125 7723520.633822613, 709549.652321249 7723520.627298341, 709549.6998472868 7723520.616084636, 709549.7460528282 7723520.6002884535, 709549.7904971698 7723520.580060454, 709549.8327564067 7723520.555593572, 709549.8724274752 7723520.527121168, 709549.909131997 7723520.494914809, 709549.9425198886 7723520.459281676, 709549.9722727003 7723520.420561634, 709549.9981066529 7723520.37912399, 709550.0197753451 7723520.335363971, 709550.0370721037 7723520.2896989565, 709550.049831954 7723520.242564493, 709550.0579331939 7723520.194410143, 709550.0612985549 7723520.145695199, 709550.0598959385 7723520.096884297, 709549.9628084488 7723518.847918392, 709549.8369813917 7723516.946798123, 709549.8367545914 7723516.943533555, 709549.7389480826 7723515.599340391, 709550.2909910853 7723515.540234143, 709550.3384007164 7723515.532842612, 709550.3848835351 7723515.520940704, 709550.4300114705 7723515.504638027, 709550.4733689287 7723515.484084714, 709550.514556621 7723515.459470048, 709550.5531952404 7723515.431020708, 709550.5889289551 7723515.398998692, 709550.6214286848 7723515.363698899, 709550.650395132 7723515.325446411, 709550.6755615382 7723515.284593507, 709550.6966961399 7723515.241516408, 709550.7136043037 7723515.196611822, 709550.7261303185 7723515.150293285, 709550.7341588292 7723515.102987357, 709550.7376158995 7723515.055129688, 709550.7364696926 7723515.00716101, 709550.653781748 7723513.858960837, 709550.5948996982 7723512.963913324, 709551.1144397047 7723512.907128205, 709551.2065971171 7723512.906480418, 709551.2343479714 7723512.9055142915, 709553.6105392544 7723512.75663811, 709553.6138078535 7723512.75642257, 709555.1791460174 7723512.648049197, 709555.2284751409 7723512.642160031, 709555.2769763531 7723512.631404703, 709555.3241708417 7723512.615889389, 709555.3695926942 7723512.595767261, 709555.4127934978 7723512.571236969, 709555.4533467665 7723512.542540679, 709555.4908521512 7723512.509961685, 709556.9122197173 7723511.14564451, 709556.9143066185 7723511.143629708, 709558.3629277269 7723509.736914791, 709558.3945754596 7723509.703202238, 709558.4229734734 7723509.666710212, 709558.4478788957 7723509.627750808, 709558.4690787235 7723509.586657226, 709558.4863916463 7723509.543780916, 709558.4996695961 7723509.499488578, 709558.5087990137 7723509.454159019, 709558.51370182 7723509.408179918, 709558.6307758063 7723507.458426815, 709558.7300637962 7723505.777357097, 709558.7322858978 7723505.770929653, 709559.6433540888 7723503.291026353, 709559.6568551796 7723503.248505052, 709559.6665122792 7723503.20494956, 709559.6722485038 7723503.160706637, 709559.6740181854 7723503.116128518, 709559.6638153015 7723501.055141887, 709559.6615453034 7723499.773950281, 709561.2667357324 7723498.828157228, 709561.2701611966 7723498.826120479, 709563.2232061018 7723497.654297927, 709563.2244664633 7723497.653539189, 709563.4024587088 7723497.546030755, 709563.4434639858 7723497.518407537, 709563.4815406564 7723497.486869589, 709563.516316411 7723497.451725289, 709563.5474512156 7723497.413318273, 709563.5746406373 7723497.372024081, 709563.5976188206 7723497.328246484, 709563.6161610872 7723497.282413534, 709563.6300861326 7723497.234973381, 709563.6392577991 7723497.186389891, 709563.6435864072 7723497.137138109, 709563.643029632 7723497.087699612, 709563.6375929178 7723497.038557806, 709563.627329424 7723496.990193195, 709563.1641403702 7723495.238949205, 709562.9084026697 7723492.75719002, 709562.9081697653 7723492.754978102, 709562.6734982324 7723490.572891744, 709562.4378771869 7723488.357120544, 709562.4377101841 7723488.355572969, 709562.2728797059 7723486.850100503, 709563.0276526585 7723485.709719202, 709563.0280621785 7723485.709099461, 709563.746541679 7723484.620041726, 709564.7345982407 7723483.140336989, 709564.7387773285 7723483.133974067, 709565.1563197545 7723482.487568483, 709565.1830494677 7723482.44084798, 709565.2046019908 7723482.391524844, 709565.2207275486 7723482.340170688, 709565.2312392599 7723482.287380661, 709565.2360153034 7723482.233766555, 709565.2745182951 7723481.133969331, 709565.3409585068 7723479.980623822, 709566.0225679138 7723478.841196673, 709566.0250297913 7723478.8370356895, 709566.9837612541 7723477.198595758, 709567.9852862175 7723475.519120641, 709567.9907207089 7723475.509779414, 709568.3764372298 7723474.829982521, 709569.6194706277 7723473.556176675, 709569.6525689707 7723473.518676906, 709569.6817551261 7723473.478057929, 709569.7067370302 7723473.434726216, 709569.7272646907 7723473.389115383, 709569.7431326887 7723473.341681855, 709569.7541822343 7723473.292900296, 709569.7603027554 7723473.24325886, 709569.7614330044 7723473.193254305, 709569.711244835 7723471.364640608, 709569.684092942 7723470.100990056, 709570.1870753219 7723468.702204404, 709570.888301305 7723466.784714375, 709571.5694914623 7723464.964948038, 709571.5700201995 7723464.963529001, 709571.8988859353 7723464.076809716, 709572.4787746074 7723465.010414196, 709573.2330713323 7723466.2301835865, 709573.234886925 7723466.233097164, 709574.2164318528 7723467.796253252, 709574.8691901593 7723468.857648737, 709573.8955433065 7723469.720035026, 709573.885055832 7723469.72959304, 709573.7900207806 7723469.818706717, 709572.383631186 7723471.091477604, 709572.3479523463 7723471.127205095, 709572.3160587248 7723471.166348807, 709572.2882755643 7723471.208509561, 709572.2648861902 7723471.253257414, 709572.2461291209 7723471.300136041, 709571.7395184978 7723472.778719226, 709571.7371430628 7723472.785825319, 709571.1515564276 7723474.582256689, 709571.1381550652 7723474.631900042, 709571.1299231807 7723474.682657259, 709571.1269478361 7723474.73399152, 709571.1292604995 7723474.785359901, 709571.1368367117 7723474.836219119, 709571.1495963446 7723474.886031274, 709571.1674044495 7723474.934269541, 709571.1900726837 7723474.980423741, 709571.2173613028 7723475.024005736, 709572.2789277184 7723476.5400808565, 709572.2811684383 7723476.543254624, 709573.4790367455 7723478.226007692, 709574.2467850735 7723479.33065203, 709572.5674298134 7723480.31188786, 709570.6842775312 7723481.387245041, 709568.7542355467 7723482.482292838, 709568.7475283035 7723482.48616731, 709566.4949162967 7723483.810775467, 709566.4547576101 7723483.837062573, 709566.4173044604 7723483.867079129, 709566.3829019758 7723483.9005485345, 709566.3518671724 7723483.937162371, 709566.3244860339 7723483.976583245, 709565.3482385136 7723485.536956233, 709565.3244239319 7723485.5795020675, 709565.3048664908 7723485.624165126, 709565.2897521645 7723485.670520702, 709565.2792246771 7723485.718127995, 709565.2733841357 7723485.7665343005, 709565.1732223569 7723487.168957256, 709565.1727536961 7723487.176273762, 709565.0880828789 7723488.669666368, 709565.0877703013 7723488.720080182, 709565.0925360515 7723488.770269204, 709565.1023316784 7723488.819723183, 709565.1170575934 7723488.86793934, 709565.1365640842 7723488.914427481, 709565.1606528361 7723488.958714978, 709565.1890789482 7723489.000351578, 709565.2215534237 7723489.03891398, 709565.2577461074 7723489.074010134, 709565.2972890431 7723489.105283231, 709566.5362457758 7723489.98737382, 709566.5432998916 7723489.992305149, 709568.2094123563 7723491.135815349, 709569.7708090579 7723492.212304838, 709569.9173787653 7723493.598614697, 709570.1237573168 7723495.698283018, 709570.1245109278 7723495.70542317, 709570.3307623118 7723497.533714653, 709570.4216007933 7723498.491403644, 709569.2788432771 7723498.66056923, 709569.2740544244 7723498.661301863, 709566.5477222055 7723499.091922847, 709566.2104113501 7723499.139666856, 709566.1606026712 7723499.149316608, 709566.1120283055 7723499.163964242, 709566.065188379 7723499.183458946, 709566.0205651596 7723499.207599999, 709565.978618092 7723499.236138845, 709565.939779067 7723499.268781644, 709565.9044479744 7723499.305192303, 709565.8729885867 7723499.344995935, 709565.845724812 7723499.387782718, 709565.8229373612 7723499.433112116, 709565.1958179255 7723500.85626673, 709565.1785081415 7723500.901327066, 709565.1656241423 7723500.947846579, 709565.1572860096 7723500.995391696, 709565.153571457 7723501.043519282, 709565.1545151052 7723501.091780779, 709565.160108159 7723501.139726375, 709565.1702984896 7723501.186909208, 709565.1849911208 7723501.23288952, 709565.2040491136 7723501.277238764, 709565.2272948426 7723501.319543593, 709565.2545116519 7723501.359409716, 709565.2854458741 7723501.396465572, 709565.3198091943 7723501.430365789, 709565.357281338 7723501.46079441, 709565.3975130552 7723501.487467832, 709565.4401293765 7723501.510137452, 709565.484733107 7723501.528591983, 709570.8878714207 7723503.464286694, 709572.6745842028 7723505.357611131, 709571.9708931794 7723506.171037499, 709571.9405868013 7723506.20976637, 709571.9142315595 7723506.251285081, 709571.892082404 7723506.295191993, 709571.8743535973 7723506.341062371, 709571.8612166407 7723506.38845248, 709571.8538106275 7723506.431079079, 709570.7558939522 7723507.752047075, 709570.7268707509 7723507.790611089, 709570.7017010315 7723507.831793787, 709570.6806193286 7723507.875211423, 709570.6638220836 7723507.920459429, 709570.6514658156 7723507.967116175, 709570.6436656613 7723508.014746911, 709570.6404943039 7723508.062907807, 709570.6419812943 7723508.111150093, 709570.6481127765 7723508.159024244, 709570.6588316166 7723508.206084162, 709571.1613789727 7723510.006270306, 709571.7676472706 7723512.274811531, 709571.7689633104 7723512.279638937, 709572.0753951385 7723513.381906384, 709572.090964404 7723513.428796743, 709572.1110854755 7723513.473921574, 709572.1355618822 7723513.516840257, 709572.1641546256 7723513.5571337165, 709572.1965845142 7723513.594408509, 709572.2325348884 7723513.628300668, 709572.2716547133 7723513.658479256, 709572.313562006 7723513.684649595, 709572.3578475656 7723513.706556148, 709572.4040789688 7723513.723985009, 709574.8996421414 7723514.526377608, 709576.7041451441 7723515.110796479, 709577.731143877 7723515.447920708, 709577.1643257613 7723517.307725542, 709576.2816965649 7723519.956489216, 709576.2804629839 7723519.96024051, 709575.4683391538 7723522.463156086, 709574.6786739049 7723524.84484982, 709574.6781264693 7723524.846510646, 709573.8369467718 7723527.41359731, 709572.9617356961 7723530.011288175, 709572.9609085917 7723530.01376443, 709572.5561125167 7723531.236289137, 709572.4422374653 7723531.32176502, 709570.1749697675 7723530.64605809, 709568.4600112139 7723530.136327599, 709568.4170649356 7723530.125606879, 709568.3733387907 7723530.118726404, 709568.3291754726 7723530.115740101, 709568.2849211011 7723530.116671373, 709566.9723827123 7723530.202527403, 709566.9671909801 7723530.202894152, 709565.3969946727 7723530.322030649, 709565.3470321613 7723530.328365155, 709565.2979603307 7723530.339693612, 709565.2502770397 7723530.355901088, 709565.20446606 7723530.37682315, 709565.1609921674 7723530.40224753, 709565.1202964269 7723530.431916289, 709565.0827917178 7723530.465528419, 709565.0488585446 7723530.502742909, 709565.0188411766 7723530.543182199, 709564.9930441558 7723530.58643601, 709564.9717292059 7723530.632065512, 709564.9551125782 7723530.679607769, 709564.9433628569 7723530.72858044, 709564.6174054319 7723532.469505189, 709564.616677558 7723532.473481526, 709564.3338112951 7723534.054830542, 709564.3021016595 7723534.180027304, 709565.2714917728 7723534.42555288, 709565.30756484 7723534.28312831, 709565.3150575606 7723534.248406376, 709565.6006972138 7723532.651552867, 709565.8556036188 7723531.290108596, 709567.0402522327 7723531.200225003, 709568.2608896202 7723531.12038042, 709569.8895343367 7723531.604456048, 709572.3980835311 7723532.352071373, 709572.4433729788 7723532.363297069, 709572.4895116625 7723532.370252082, 709572.5360977786 7723532.372875844, 709572.5827256272 7723532.3711455045, 709572.628989145 7723532.365076134, 709572.6744854414 7723532.354720587, 709572.7188183073 7723532.340169046, 709572.7616016655 7723532.321548236, 709572.8024629327 7723532.2990203155, 709572.8410462644 7723532.272781473, 709573.2816919596 7723531.942027903, 709573.3205523762 7723531.909660693, 709573.355944287 7723531.873533405, 709573.387505595 7723531.834015661, 709573.414913394 7723531.791511769, 709573.4378872729 7723531.7464565905, 709573.4561921842 7723531.699311087, 709573.9098114808 7723530.329335358, 709574.7852699977 7723527.730910069, 709574.786582 7723527.726961733, 709575.6281372452 7723525.158728983, 709576.418030585 7723522.776347309, 709576.419027431 7723522.773308237, 709577.2310354313 7723520.270749642, 709578.1150813083 7723517.61773452, 709578.1190042461 7723517.605434573, 709578.8303920354 7723515.271277615, 709578.842245189 7723515.224350128, 709578.8495054273 7723515.176496443, 709578.8521047165 7723515.128164985, 709578.8500186992 7723515.079808654, 709578.8432669231 7723515.0318805855, 709578.8319126572 7723514.984829902, 709578.8160622997 7723514.939097502, 709578.79586438 7723514.895111933, 709578.7715081677 7723514.853285373, 709578.7432218987 7723514.814009768, 709578.7112706364 7723514.777653158, 709578.675953788 7723514.744556233, 709578.6376022984 7723514.715029136, 709578.59657555 7723514.689348557, 709578.5532579938 7723514.667755144, 709578.5080555475 7723514.65045124, 709577.0150891027 7723514.160367711, 709577.013200794 7723514.159752004, 709575.2072493194 7723513.5748640215, 709575.2062411832 7723513.574538699, 709572.966687705 7723512.854460299, 709572.7330957484 7723512.014205514, 709572.1267578048 7723509.745403688, 709572.1252969796 7723509.740056562, 709571.6924821072 7723508.18966071, 709572.7305513668 7723506.940698653, 709572.7592948269 7723506.902545848, 709572.7842662734 7723506.861824234, 709572.805237785 7723506.818905488, 709572.8220179485 7723506.774181343, 709572.8344536064 7723506.728060009, 709572.8400951092 7723506.694754329, 709573.726460247 7723505.670167185, 709573.7566457622 7723505.631609411, 709573.7829148497 7723505.590283846, 709573.8050155505 7723505.546586862, 709573.8227358862 7723505.500937579, 709573.835905893 7723505.45377384, 709573.844399251 7723505.405548016, 709573.8481344965 7723505.356722661, 709573.847075803 7723505.307766084, 709573.841233325 7723505.259147849, 709573.8306631002 7723505.211334277, 709573.8154665128 7723505.16478397, 709573.7957893204 7723505.119943415, 709573.7718202561 7723505.077242698, 709573.7437892186 7723505.03709138, 709573.7119650665 7723504.999874574, 709571.5329320865 7723502.690820523, 709571.4990900727 7723502.658180174, 709571.4623317256 7723502.628862975, 709571.422982088 7723502.603128169, 709571.381389117 7723502.58120332, 709571.3379206064 7723502.563282304, 709566.3273906178 7723500.768241009, 709566.6258968712 7723500.090825308, 709566.6918402497 7723500.081491481, 709566.6997745298 7723500.080303432, 709569.427676435 7723499.649434519, 709571.0373878721 7723499.41114444, 709571.0869953121 7723499.401213498, 709571.1353452496 7723499.386320369, 709571.1819426734 7723499.366617532, 709571.2263105154 7723499.342306705, 709571.2679945335 7723499.313636784, 709571.3065679633 7723499.280901296, 709571.3416358866 7723499.244435388, 709571.3728392749 7723499.2046124, 709571.3998586653 7723499.161840047, 709571.4224174308 7723499.116556233, 709571.4402846129 7723499.069224578, 709571.4532772858 7723499.020329669, 709571.4612624295 7723498.970372095, 709571.4641582912 7723498.9198633265, 709571.461935223 7723498.869320476, 709571.32587457 7723497.434864643, 709571.3249571885 7723497.426028636, 709571.1186103036 7723495.596890598, 709570.9124029633 7723493.498964157, 709570.9120295717 7723493.49530372, 709570.7410974883 7723491.878565605, 709570.7337928095 7723491.831263617, 709570.7219987878 7723491.784876793, 709570.7058234958 7723491.73983019, 709570.685415153 7723491.6965365885, 709570.6609607686 7723491.655392701, 709570.6326844263 7723491.616775543, 709570.6008452318 7723491.581038978, 709570.5657349391 7723491.54851047, 709570.5276752757 7723491.5194880925, 709568.7765915842 7723490.312220788, 709568.7757231247 7723490.311623387, 709567.112724201 7723489.170250117, 709566.1021021578 7723488.450725238, 709566.1709427789 7723487.236539785, 709566.2619799555 7723485.9618756585, 709567.1073162627 7723484.610742968, 709569.2510796633 7723483.350141284, 709571.1783560342 7723482.256662613, 709571.1795608865 7723482.255976806, 709573.0654721663 7723481.179044125, 709573.0697741823 7723481.176559073, 709575.2183154402 7723479.921181063, 709575.2589489005 7723479.894715741, 709575.2968275597 7723479.864438712, 709575.3315951324 7723479.830634758, 709575.3629245961 7723479.793621841, 709575.3905212668 7723479.753748101, 709575.4141255714 7723479.71138859, 709575.4335154884 7723479.66694174, 709575.448508637 7723479.620825617, 709575.4589639923 7723479.573473986, 709575.4647832114 7723479.525332237, 709575.465911559 7723479.476853187, 709575.4623384218 7723479.428492831, 709575.4540974087 7723479.380706044, 709575.4412660345 7723479.333942305, 709575.4239649904 7723479.288641475, 709575.4023570097 7723479.24522965, 709575.3766453359 7723479.204115162, 709574.2985791708 7723477.652982268, 709574.2953400608 7723477.648377341, 709573.0969657532 7723475.964913449, 709572.1796711747 7723474.654880024, 709572.6867439687 7723473.099309217, 709573.1503142993 7723471.746342531, 709574.4643065113 7723470.557190508, 709574.4708109867 7723470.551198526, 709574.5638958747 7723470.463913503, 709575.8466293091 7723469.327760572, 709575.8822744068 7723469.2928647045, 709575.9142650398 7723469.254590772, 709575.9422827997 7723469.213319721, 709575.9660488208 7723469.16946233, 709575.9853265557 7723469.123455118, 709575.9999241295 7723469.075756006, 709576.00969625 7723469.026839749, 709576.0145456537 7723468.9771932205, 709576.0144240735 7723468.92731056, 709576.0093327195 7723468.877688261, 709575.9993222669 7723468.82882022, 709575.9844923515 7723468.781192832, 709575.9649905781 7723468.735280138, 709575.9410110512 7723468.691539119, 709575.0670152153 7723467.270407859, 709575.0645545122 7723467.266448204, 709574.0826828245 7723465.702771736, 709573.3290290456 7723464.484042051, 709573.3285083921 7723464.483201963, 709572.2097763944 7723462.682074858, 709572.1822346393 7723462.642186555, 709572.1509598495 7723462.605152617, 709572.1162459612 7723462.571321109, 709572.0784192329 7723462.541009995, 709572.037835179 7723462.514504155, 709571.994875229 7723462.492052704, 709571.9499431417 7723462.473866651, 709571.9034612114 7723462.460116918, 709571.8558662985 7723462.450932733, 709571.807605724 7723462.446</t>
  </si>
  <si>
    <t>['KV2004 S1D1 m348-438']</t>
  </si>
  <si>
    <t>LINESTRING Z (715856.459 7724521.669 5.253550180256367, 715857.841 7724533.034 5.319544584870338, 715858.765 7724532.937 5.331545005828143, 715878.992 7724532.961 5.328553067356348, 715890.882 7724533.105 5.234557746320963, 715909.356 7724533.478 5.25556494730711, 715927.49 7724533.963 5.314571965754032, 715941.785 7724534.465 5.347577441930771, 715945.095 7724534.526 5.295578742057085, 715946.348 7724534.549 5.275579233795405, 715947.107 7724530.428 5.203581904828549, 715912.179 7724529.209 5.057568475157023, 715894.477 7724529.283 3.952561303973198, 715881.969 7724528.405 4.773556762844324, 715870.338 7724529.795 4.86555133882165, 715863.187 7724528.27 4.6835493048131465, 715857.465 7724521.375 4.873550746500492, 715856.807 7724521.326 4.873550508081913, 715856.459 7724521.669 5.253550180256367)</t>
  </si>
  <si>
    <t>POLYGON Z ((715856.459 7724521.669 5.253550180256367, 715857.841 7724533.034 5.319544584870338, 715858.765 7724532.937 5.331545005828143, 715878.992 7724532.961 5.328553067356348, 715890.882 7724533.105 5.234557746320963, 715909.356 7724533.478 5.25556494730711, 715927.49 7724533.963 5.314571965754032, 715941.785 7724534.465 5.347577441930771, 715945.095 7724534.526 5.295578742057085, 715946.348 7724534.549 5.275579233795405, 715947.107 7724530.428 5.203581904828549, 715912.179 7724529.209 5.057568475157023, 715894.477 7724529.283 3.952561303973198, 715881.969 7724528.405 4.773556762844324, 715870.338 7724529.795 4.86555133882165, 715863.187 7724528.27 4.6835493048131465, 715857.465 7724521.375 4.873550746500492, 715856.807 7724521.326 4.873550508081913, 715856.459 7724521.669 5.253550180256367))</t>
  </si>
  <si>
    <t>['EV6 S185D10 m16-18']</t>
  </si>
  <si>
    <t>LINESTRING Z (709564.79 7723534.309 4.98215677946806, 709564.791 7723534.338 4.9791568278968334, 709564.613 7723535.301 4.926158049792051)</t>
  </si>
  <si>
    <t>['EV6 S185D1 m4510 SD1 m8-56']</t>
  </si>
  <si>
    <t>LINESTRING Z (709549.1687482168 7723565.339582534 4.617182532399893, 709549.1459610581 7723563.198289053 4.548179216891527, 709549.263632624 7723561.775009378 4.507177201509476, 709549.586701748 7723559.977826886 4.454174880653619, 709549.8830870413 7723558.79431554 4.438173479944467, 709550.729656449 7723556.348869761 4.477170909494162, 709551.9049515268 7723553.730804454 4.614168529033661, 709552.050252245 7723553.105192499 4.63816777279973, 709552.0107679401 7723552.575289911 4.6681669010818005, 709551.7242818547 7723552.135610204 4.683165828198194, 709551.3024545431 7723551.9864075715 4.7011650198102, 709551.0360418666 7723552.030117039 4.704164703160524, 709550.5808921629 7723552.258791021 4.705164431214333, 709550.2695868064 7723552.54495147 4.714164431214333, 709549.607837151 7723553.472235152 4.708164926677942, 709548.5000419614 7723555.502630367 4.688166502475738, 709547.6954904472 7723557.649370103 4.664168674319983, 709547.1786594132 7723559.866283504 4.652171360254288, 709546.9631420412 7723562.176970015 4.631174597531557, 709546.999556993 7723564.297064117 4.603177913039922, 709547.315401895 7723568.581082937 4.614184931486845, 709547.6130357826 7723572.493881587 4.613191342711449, 709548.0002252032 7723577.613024819 4.609199739515781, 709548.8359174519 7723589.1111686 4.605218529880047, 709549.2209436467 7723594.5213336805 4.619227347642183, 709549.427742173 7723597.642092467 4.627232417762279, 709549.5615914373 7723598.079512707 4.638233274579048, 709549.8608119867 7723598.37471 4.647234142571688, 709550.1523830886 7723598.490025697 4.651234712541103, 709550.4898589184 7723598.306977597 4.657234898805618, 709550.6971190536 7723598.045243795 4.663234775871039, 709550.7703068946 7723597.659682388 4.6662342990338805, 709550.7423394297 7723595.977149702 4.6652316689789295, 709550.7599021627 7723593.156187008 4.699227384895086, 709550.7241570905 7723591.472968497 4.724224754840136, 709550.6990014892 7723589.936289587 4.7392223594784735, 709550.6373033687 7723587.836366101 4.760219058871269, 709550.5701702058 7723585.175941275 4.777214890271425, 709550.4379757504 7723582.408975131 4.795210472077131, 709550.334196145 7723580.697356296 4.80720770418644, 709550.0420052644 7723577.345058647 4.810202164679766, 709549.719467694 7723572.914842774 4.7741949115395546, 709549.4316380874 7723568.890903676 4.706188336402178, 709549.1687482168 7723565.339582534 4.617182532399893)</t>
  </si>
  <si>
    <t>POLYGON Z ((709549.1687482168 7723565.339582534 4.617182532399893, 709549.1459610581 7723563.198289053 4.548179216891527, 709549.263632624 7723561.775009378 4.507177201509476, 709549.586701748 7723559.977826886 4.454174880653619, 709549.8830870413 7723558.79431554 4.438173479944467, 709550.729656449 7723556.348869761 4.477170909494162, 709551.9049515268 7723553.730804454 4.614168529033661, 709552.050252245 7723553.105192499 4.63816777279973, 709552.0107679401 7723552.575289911 4.6681669010818005, 709551.7242818547 7723552.135610204 4.683165828198194, 709551.3024545431 7723551.9864075715 4.7011650198102, 709551.0360418666 7723552.030117039 4.704164703160524, 709550.5808921629 7723552.258791021 4.705164431214333, 709550.2695868064 7723552.54495147 4.714164431214333, 709549.607837151 7723553.472235152 4.708164926677942, 709548.5000419614 7723555.502630367 4.688166502475738, 709547.6954904472 7723557.649370103 4.664168674319983, 709547.1786594132 7723559.866283504 4.652171360254288, 709546.9631420412 7723562.176970015 4.631174597531557, 709546.999556993 7723564.297064117 4.603177913039922, 709547.315401895 7723568.581082937 4.614184931486845, 709547.6130357826 7723572.493881587 4.613191342711449, 709548.0002252032 7723577.613024819 4.609199739515781, 709548.8359174519 7723589.1111686 4.605218529880047, 709549.2209436467 7723594.5213336805 4.619227347642183, 709549.427742173 7723597.642092467 4.627232417762279, 709549.5615914373 7723598.079512707 4.638233274579048, 709549.8608119867 7723598.37471 4.647234142571688, 709550.1523830886 7723598.490025697 4.651234712541103, 709550.4898589184 7723598.306977597 4.657234898805618, 709550.6971190536 7723598.045243795 4.663234775871039, 709550.7703068946 7723597.659682388 4.6662342990338805, 709550.7423394297 7723595.977149702 4.6652316689789295, 709550.7599021627 7723593.156187008 4.699227384895086, 709550.7241570905 7723591.472968497 4.724224754840136, 709550.6990014892 7723589.936289587 4.7392223594784735, 709550.6373033687 7723587.836366101 4.760219058871269, 709550.5701702058 7723585.175941275 4.777214890271425, 709550.4379757504 7723582.408975131 4.795210472077131, 709550.334196145 7723580.697356296 4.80720770418644, 709550.0420052644 7723577.345058647 4.810202164679766, 709549.719467694 7723572.914842774 4.7741949115395546, 709549.4316380874 7723568.890903676 4.706188336402178, 709549.1687482168 7723565.339582534 4.617182532399893))</t>
  </si>
  <si>
    <t>['KV2004 S1D1 m2-67']</t>
  </si>
  <si>
    <t>LINESTRING Z (716211.757 7724568.985 4.508665623277426, 716212.624 7724569.654 4.356665530145168, 716213.813 7724570.041 4.266665753662586, 716215.073 7724569.577 4.322666580677033, 716217.875 7724568.374 4.32266854017973, 716222.255 7724566.779 4.19267141237855, 716226.127 7724565.163 4.046674094587565, 716230.074 7724564.116 4.006676426619292, 716234.654 7724563.107 4.121679000794888, 716239.601 7724562.011 4.103681791037321, 716243.773 7724561.065 4.077684700489044, 716248.421 7724560.481 3.982688563615084, 716252.543 7724560.541 3.8446916183531283, 716256.723 7724561.287 3.890694267034531, 716261.181 7724562.284 3.8576969566941264, 716266.345 7724562.926 3.936700410038233, 716270.248 7724563.681 3.996702842652798, 716273.349 7724565.942 4.158703680843115, 716276.196 7724568.536 4.271704109251499, 716277.687 7724571.296 4.428703408896923, 716278.733 7724573.337 4.557702850103379, 716279.756 7724574.08 4.53970312577486, 716281.24 7724573.813 4.416704414725304, 716281.238 7724572.644 4.399705182135105, 716281.209 7724571.793 4.419705722302199, 716281.857 7724571.348 4.361706500887871, 716282.571 7724570.763 3.8957074210345746, 716283.496 7724569.955 4.580708646655083, 716284.226 7724569.834 4.722709272503853, 716284.575 7724569.357 4.761709849923849, 716284.416 7724567.015 4.857711276710034, 716283.522 7724563.454 4.905712953090668, 716282.18 7724561.077 4.906713511884212, 716280.474 7724558.933 4.884713642269373, 716278.267 7724557.251 4.965713090926409, 716275.456 7724555.797 5.002711936086416, 716271.669 7724555.07 4.956709566801787, 716267.641 7724554.471 4.968706929296255, 716263.512 7724553.963 4.988704161405564, 716259.389 7724553.688 4.9957012407779695, 716255.48 7724553.51 4.983698420733213, 716251.428 7724553.625 4.975695298939943, 716247.062 7724554.07 4.988691730111838, 716242.548 7724555.001 4.995687792479992, 716238.174 7724556.465 4.960684976160526, 716233.855 7724558.16 4.9446820331811905, 716229.506 7724559.817 4.932679108828307, 716224.744 7724561.72 4.884675852924586, 716219.684 7724563.643 4.8626724703609945, 716215.39 7724565.347 4.805669557183981, 716213.546 7724566.063 4.786668320387602, 716212.579 7724566.901 4.771667362987995, 716211.86 7724567.917 4.749666383236646, 716211.757 7724568.985 4.508665623277426)</t>
  </si>
  <si>
    <t>POLYGON Z ((716211.757 7724568.985 4.508665623277426, 716212.624 7724569.654 4.356665530145168, 716213.813 7724570.041 4.266665753662586, 716215.073 7724569.577 4.322666580677033, 716217.875 7724568.374 4.32266854017973, 716222.255 7724566.779 4.19267141237855, 716226.127 7724565.163 4.046674094587565, 716230.074 7724564.116 4.006676426619292, 716234.654 7724563.107 4.121679000794888, 716239.601 7724562.011 4.103681791037321, 716243.773 7724561.065 4.077684700489044, 716248.421 7724560.481 3.982688563615084, 716252.543 7724560.541 3.8446916183531283, 716256.723 7724561.287 3.890694267034531, 716261.181 7724562.284 3.8576969566941264, 716266.345 7724562.926 3.936700410038233, 716270.248 7724563.681 3.996702842652798, 716273.349 7724565.942 4.158703680843115, 716276.196 7724568.536 4.271704109251499, 716277.687 7724571.296 4.428703408896923, 716278.733 7724573.337 4.557702850103379, 716279.756 7724574.08 4.53970312577486, 716281.24 7724573.813 4.416704414725304, 716281.238 7724572.644 4.399705182135105, 716281.209 7724571.793 4.419705722302199, 716281.857 7724571.348 4.361706500887871, 716282.571 7724570.763 3.8957074210345746, 716283.496 7724569.955 4.580708646655083, 716284.226 7724569.834 4.722709272503853, 716284.575 7724569.357 4.761709849923849, 716284.416 7724567.015 4.857711276710034, 716283.522 7724563.454 4.905712953090668, 716282.18 7724561.077 4.906713511884212, 716280.474 7724558.933 4.884713642269373, 716278.267 7724557.251 4.965713090926409, 716275.456 7724555.797 5.002711936086416, 716271.669 7724555.07 4.956709566801787, 716267.641 7724554.471 4.968706929296255, 716263.512 7724553.963 4.988704161405564, 716259.389 7724553.688 4.9957012407779695, 716255.48 7724553.51 4.983698420733213, 716251.428 7724553.625 4.975695298939943, 716247.062 7724554.07 4.988691730111838, 716242.548 7724555.001 4.995687792479992, 716238.174 7724556.465 4.960684976160526, 716233.855 7724558.16 4.9446820331811905, 716229.506 7724559.817 4.932679108828307, 716224.744 7724561.72 4.884675852924586, 716219.684 7724563.643 4.8626724703609945, 716215.39 7724565.347 4.805669557183981, 716213.546 7724566.063 4.786668320387602, 716212.579 7724566.901 4.771667362987995, 716211.86 7724567.917 4.749666383236646, 716211.757 7724568.985 4.508665623277426))</t>
  </si>
  <si>
    <t>['EV6 S185D1 m11750-11858', 'EV6 S186D1 m0-9']</t>
  </si>
  <si>
    <t>LINESTRING Z (716403.568 7724847.272 6.779608719468117, 716396.103 7724838.071 6.541609807252884, 716390.346 7724830.765 6.369610772103071, 716383.592 7724822.328 6.101611792832613, 716375.486 7724812.08 5.869613070607185, 716373.933 7724810.229 5.806613238245249, 716366.222 7724800.978 5.608614080160856, 716359.505 7724792.223 5.435615268528462, 716351.67 7724782.133 5.208616542577744, 716343.188 7724772.096 5.002617287635803, 716335.249 7724763.331 4.737617529779673, 716328.458 7724754.966 4.508618304640055, 716331.901 7724760.702 3.976616907656193, 716334.976 7724764.553 4.034616509050131, 716337.12 7724767.402 4.05561612161994, 716338.383 7724767.128 4.6856172094047075, 716341.401 7724770.606 4.791617015689612, 716344.822 7724774.911 4.866616550028324, 716346.225 7724776.545 4.796616445720196, 716348.301 7724780.326 4.201615361660719, 716349.847 7724784.19 3.7976138454675676, 716353.947 7724789.981 3.5316128359138967, 716357.738 7724795.905 3.32761150598526, 716357.967 7724797.45 3.2866106156408788, 716360.875 7724801.456 3.294609956264496, 716364.698 7724806.248 3.3766094049215316, 716370.192 7724813.696 3.3496082165539267, 716374.71 7724819.876 3.3256071883738043, 716377.465 7724822.548 3.4776073075830936, 716379.587 7724822.403 3.711608909457922, 716378.634 7724824.1 3.5056070728898048, 716382.851 7724829.493 3.545606353908777, 716391.414 7724840.755 3.593604655176401, 716392.983 7724841.018 3.734605579048395, 716399.622 7724848.815 3.9506048786938193, 716403.568 7724847.272 6.779608719468117)</t>
  </si>
  <si>
    <t>POLYGON Z ((716403.568 7724847.272 6.779608719468117, 716396.103 7724838.071 6.541609807252884, 716390.346 7724830.765 6.369610772103071, 716383.592 7724822.328 6.101611792832613, 716375.486 7724812.08 5.869613070607185, 716373.933 7724810.229 5.806613238245249, 716366.222 7724800.978 5.608614080160856, 716359.505 7724792.223 5.435615268528462, 716351.67 7724782.133 5.208616542577744, 716343.188 7724772.096 5.002617287635803, 716335.249 7724763.331 4.737617529779673, 716328.458 7724754.966 4.508618304640055, 716331.901 7724760.702 3.976616907656193, 716334.976 7724764.553 4.034616509050131, 716337.12 7724767.402 4.05561612161994, 716338.383 7724767.128 4.6856172094047075, 716341.401 7724770.606 4.791617015689612, 716344.822 7724774.911 4.866616550028324, 716346.225 7724776.545 4.796616445720196, 716348.301 7724780.326 4.201615361660719, 716349.847 7724784.19 3.7976138454675676, 716353.947 7724789.981 3.5316128359138967, 716357.738 7724795.905 3.32761150598526, 716357.967 7724797.45 3.2866106156408788, 716360.875 7724801.456 3.294609956264496, 716364.698 7724806.248 3.3766094049215316, 716370.192 7724813.696 3.3496082165539267, 716374.71 7724819.876 3.3256071883738043, 716377.465 7724822.548 3.4776073075830936, 716379.587 7724822.403 3.711608909457922, 716378.634 7724824.1 3.5056070728898048, 716382.851 7724829.493 3.545606353908777, 716391.414 7724840.755 3.593604655176401, 716392.983 7724841.018 3.734605579048395, 716399.622 7724848.815 3.9506048786938193, 716403.568 7724847.272 6.779608719468117))</t>
  </si>
  <si>
    <t>['EV6 S185D1 m11226-11444']</t>
  </si>
  <si>
    <t>LINESTRING Z (716081.482 7724585.307 4.679602710574866, 716075.267 7724583.496 4.7136013918221, 716066.615 7724580.711 4.7335997079908845, 716059.053 7724578.391 4.788598154544831, 716049.357 7724576.043 4.811595766633749, 716040.231 7724573.698 4.878593591064215, 716030.173 7724571.697 4.883590826898813, 716021.419 7724569.691 4.849588573098183, 716003.897 7724565.971 4.966583864331246, 715990.235 7724563.821 4.988579729259015, 715974.54 7724561.808 5.098574700117111, 715971.856 7724561.58 5.116573772519827, 715966.452 7724560.973 5.163571988105774, 715958.049 7724560.213 5.226569108456373, 715948.754 7724559.752 5.25556570354104, 715938.011 7724559.342 5.30956170257926, 715928.212 7724559.528 5.330557738870382, 715920.86 7724559.201 5.393555030584335, 715908.473 7724559.674 5.432549900859595, 715899.38 7724560.176 5.474546060085297, 715894.555 7724560.374 5.474544059604407, 715887.211 7724560.56 5.506541090548039, 715880.352 7724561.192 5.539538065612316, 715878.314 7724562.122 5.5195367580354215, 715874.8 7724564.896 5.49253386721015, 715873.27 7724567.753 5.411531702816487, 715872.642 7724570.949 5.338529702335596, 715872.182 7724576.076 5.1975267109274865, 715871.818 7724583.555 4.9205224566459655, 715871.855 7724589.887 4.673518988400698, 715871.699 7724595.109 4.361516052871942, 715872.215 7724604.033 4.0495113292038445, 715872.383 7724605.032 4.0285108411908155, 715873.057 7724612.369 3.7125070413947108, 715873.896 7724616.629 3.486504996210337, 715874.87 7724619.483 3.4065037780404093, 715875.499 7724620.513 3.325503439038992, 715877.627 7724622.417 3.2235031670928, 715876.577 7724620.77 2.8515036923587322, 715875.682 7724619.032 2.747504325658083, 715875.112 7724616.894 2.8935053016841414, 715873.972 7724613.54 3.0055067321956157, 715873.488 7724608.074 3.2355095745921134, 715873.498 7724605.802 3.3145108337402345, 715875.445 7724598.557 3.0805155611336232, 715875.369 7724591.523 3.2605194168090823, 715878.224 7724587.432 3.4445227583944797, 715879.219 7724582.058 3.831526107430458, 715879.976 7724578.141 3.956528562396765, 715881.294 7724572.794 4.211532023191452, 715884.023 7724569.123 4.451535107731819, 715890.019 7724565.943 4.852539198100567, 715894.596 7724565.066 4.9105414630770685, 715904.907 7724564.741 4.835545665204525, 715910.46 7724564.527 4.807547952532769, 715919.002 7724564.577 4.601551260590553, 715925.877 7724565.103 4.420553652226925, 715930.761 7724565.487 4.31355534350872, 715935.214 7724565.55 4.241557053416967, 715953.539 7724565.07 4.363564518898726, 715958.039 7724565.717 4.169565915882588, 715968.361 7724566.273 4.163569652348757, 715974.43 7724567.133 4.082571537345648, 715986.569 7724568.258 3.9265756612420084, 715995.623 7724569.108 3.904578727155924, 716002.074 7724569.862 3.896580824494362, 716010.547 7724572.526 3.625582571655512, 716019.596 7724574.689 3.6425848403573036, 716023.623 7724575.41 3.628585991472006, 716026.264 7724575.925 3.5205867216289044, 716030.043 7724575.669 3.625588364481926, 716034.656 7724576.168 3.2935898806750776, 716039.927 7724576.708 3.350591631561518, 716045.849 7724577.876 3.514593255788088, 716052.052 7724579.307 3.4745948241353037, 716058.75 7724580.774 3.436596563845873, 716061.404 7724580.784 3.8015976032018663, 716063.493 7724581.475 3.6155980018079283, 716068.246 7724583.041 3.7145989070534706, 716072.719 7724584.366 3.750599845826626, 716076.039 7724585.57 3.5346004008948806, 716081.482 7724585.307 4.679602710574866)</t>
  </si>
  <si>
    <t>POLYGON Z ((716081.482 7724585.307 4.679602710574866, 716075.267 7724583.496 4.7136013918221, 716066.615 7724580.711 4.7335997079908845, 716059.053 7724578.391 4.788598154544831, 716049.357 7724576.043 4.811595766633749, 716040.231 7724573.698 4.878593591064215, 716030.173 7724571.697 4.883590826898813, 716021.419 7724569.691 4.849588573098183, 716003.897 7724565.971 4.966583864331246, 715990.235 7724563.821 4.988579729259015, 715974.54 7724561.808 5.098574700117111, 715971.856 7724561.58 5.116573772519827, 715966.452 7724560.973 5.163571988105774, 715958.049 7724560.213 5.226569108456373, 715948.754 7724559.752 5.25556570354104, 715938.011 7724559.342 5.30956170257926, 715928.212 7724559.528 5.330557738870382, 715920.86 7724559.201 5.393555030584335, 715908.473 7724559.674 5.432549900859595, 715899.38 7724560.176 5.474546060085297, 715894.555 7724560.374 5.474544059604407, 715887.211 7724560.56 5.506541090548039, 715880.352 7724561.192 5.539538065612316, 715878.314 7724562.122 5.5195367580354215, 715874.8 7724564.896 5.49253386721015, 715873.27 7724567.753 5.411531702816487, 715872.642 7724570.949 5.338529702335596, 715872.182 7724576.076 5.1975267109274865, 715871.818 7724583.555 4.9205224566459655, 715871.855 7724589.887 4.673518988400698, 715871.699 7724595.109 4.361516052871942, 715872.215 7724604.033 4.0495113292038445, 715872.383 7724605.032 4.0285108411908155, 715873.057 7724612.369 3.7125070413947108, 715873.896 7724616.629 3.486504996210337, 715874.87 7724619.483 3.4065037780404093, 715875.499 7724620.513 3.325503439038992, 715877.627 7724622.417 3.2235031670928, 715876.577 7724620.77 2.8515036923587322, 715875.682 7724619.032 2.747504325658083, 715875.112 7724616.894 2.8935053016841414, 715873.972 7724613.54 3.0055067321956157, 715873.488 7724608.074 3.2355095745921134, 715873.498 7724605.802 3.3145108337402345, 715875.445 7724598.557 3.0805155611336232, 715875.369 7724591.523 3.2605194168090823, 715878.224 7724587.432 3.4445227583944797, 715879.219 7724582.058 3.831526107430458, 715879.976 7724578.141 3.956528562396765, 715881.294 7724572.794 4.211532023191452, 715884.023 7724569.123 4.451535107731819, 715890.019 7724565.943 4.852539198100567, 715894.596 7724565.066 4.9105414630770685, 715904.907 7724564.741 4.835545665204525, 715910.46 7724564.527 4.807547952532769, 715919.002 7724564.577 4.601551260590553, 715925.877 7724565.103 4.420553652226925, 715930.761 7724565.487 4.31355534350872, 715935.214 7724565.55 4.241557053416967, 715953.539 7724565.07 4.363564518898726, 715958.039 7724565.717 4.169565915882588, 715968.361 7724566.273 4.163569652348757, 715974.43 7724567.133 4.082571537345648, 715986.569 7724568.258 3.9265756612420084, 715995.623 7724569.108 3.904578727155924, 716002.074 7724569.862 3.896580824494362, 716010.547 7724572.526 3.625582571655512, 716019.596 7724574.689 3.6425848403573036, 716023.623 7724575.41 3.628585991472006, 716026.264 7724575.925 3.5205867216289044, 716030.043 7724575.669 3.625588364481926, 716034.656 7724576.168 3.2935898806750776, 716039.927 7724576.708 3.350591631561518, 716045.849 7724577.876 3.514593255788088, 716052.052 7724579.307 3.4745948241353037, 716058.75 7724580.774 3.436596563845873, 716061.404 7724580.784 3.8015976032018663, 716063.493 7724581.475 3.6155980018079283, 716068.246 7724583.041 3.7145989070534706, 716072.719 7724584.366 3.750599845826626, 716076.039 7724585.57 3.5346004008948806, 716081.482 7724585.307 4.679602710574866))</t>
  </si>
  <si>
    <t>['EV6 S185D1 m10918-11215']</t>
  </si>
  <si>
    <t>LINESTRING Z (715569.828 7724627.018 7.890391192317009, 715571.123 7724632.213 7.8903893296718595, 715578.802 7724629.1 7.491393360435963, 715586.481 7724625.987 7.091397413551808, 715594.16 7724622.874 6.692401489019394, 715603.258 7724620.497 6.599405743300915, 715612.356 7724618.12 6.507410019934177, 715621.455 7724615.742 6.414414315193891, 715630.553 7724613.365 6.3224186328053475, 715639.652 7724610.988 6.229422972768545, 715648.75 7724608.611 6.137427331358195, 715657.806 7724606.292 6.064431667596102, 715667.367 7724603.848 5.97843626832962, 715673.01 7724602.39 5.94043899896741, 715678.652 7724600.931 5.902441740781069, 715684.607 7724599.4 5.868444635331631, 715690.561 7724597.869 5.8354475410580635, 715695.848 7724596.552 5.8044501077830795, 715701.135 7724595.236 5.7744526819586754, 715706.193 7724593.885 5.750455192804337, 715711.251 7724592.534 5.726457711100578, 715719.49 7724590.484 5.687461756765843, 715728.28 7724588.284 5.63646609300375, 715736.747 7724586.134 5.589470302581788, 715746.287 7724583.708 5.55747507095337, 715754.64 7724581.875 5.484479116618633, 715763.307 7724579.995 5.44148332247138, 715770.948 7724578.597 5.388486906200647, 715780.298 7724577.354 5.34249106734991, 715788.074 7724576.434 5.304494479715824, 715793.745 7724575.774 5.256496971935034, 715799.416 7724575.114 5.209499464154243, 715804.651 7724574.506 5.161501770108939, 715809.887 7724573.899 5.113504079788924, 715815.104 7724573.406 5.096506326138973, 715823.514 7724573.137 4.128509675174952, 715825.017 7724572.834 4.39951040905714, 715828.658 7724572.644 4.40651190289855, 715833.762 7724572.082 4.47851415297389, 715838.187 7724571.797 4.465516000717878, 715843.093 7724571.41 4.392518090605736, 715845.792 7724572.489 4.053518541365862, 715848.38 7724573.37 3.4405190591812134, 715852.527 7724573.2 3.8575207392871382, 715854.898 7724574.605 4.0905208845734595, 715855.701 7724577.885 3.8295194093585017, 715856.926 7724583.393 3.522516879886389, 715857.485 7724588.439 3.4085143429636955, 715857.939 7724592.629 2.738512226998806, 715858.618 7724598.322 2.6275093734264376, 715860.002 7724602.588 2.9205075629353523, 715861.894 7724608.11 3.4425052420794966, 715862.294 7724614.126 2.956502090483904, 715860.705 7724621.447 3.3304974897503854, 715862.019 7724619.187 3.4404992145597935, 715862.961 7724616.049 3.565501282095909, 715862.466 7724611.853 3.678503401786089, 715861.738 7724604.114 4.042507372945547, 715861.242 7724596.858 4.35051116156578, 715860.642 7724591.053 4.572514108270407, 715859.553 7724584.895 4.827517058700323, 715858.677 7724578.57 5.126520173043013, 715857.053 7724574.191 5.2895219351053235, 715853.287 7724571.319 5.342522050589323, 715849.869 7724569.534 5.368521704137326, 715846.89 7724569.339 5.361520664781332, 715839.754 7724569.746 5.516517703175545, 715832.896 7724570.387 5.531514730393886, 715828.379 7724570.519 5.556512927353382, 715822.44 7724571.222 5.666510282397271, 715821.07 7724571.25 5.754509745955468, 715811.669 7724572.261 5.804505622059107, 715804.775 7724573.068 5.879502571046353, 715797.882 7724573.874 5.955499531209469, 715788.297 7724575.093 5.982495262026787, 715782.45 7724575.743 6.061492713928223, 715776.602 7724576.393 6.1404901695549485, 715771.666 7724577.261 6.161487863600255, 715766.73 7724578.13 6.18248556137085, 715761.373 7724579.162 6.220483020722866, 715756.015 7724580.194 6.258480487525463, 715748.368 7724582.059 6.294476680278779, 715739.732 7724583.954 6.321472507953644, 715733.47 7724585.596 6.368469356358052, 715727.207 7724587.237 6.414466215938329, 715717.82 7724589.58 6.4354615891277795, 715712.921 7724590.843 6.458459160238505, 715708.022 7724592.106 6.48145673879981, 715698.75 7724594.428 6.5304522051215175, 715689.42 7724596.843 6.57144762301445, 715679.828 7724599.348 6.636442929148674, 715674.66 7724600.666 6.677440422028304, 715669.493 7724601.985 6.718437922358513, 715664.211 7724603.344 6.7584353705346585, 715658.929 7724604.703 6.798432826161385, 715650.74 7724606.808 6.88442889225483, 715642.094 7724609.111 6.911424719929696, 715633.657 7724611.243 6.974420722693205, 715624.462 7724613.526 7.0954164013564585, 715615.477 7724615.907 7.150412132173777, 715606.927 7724617.971 7.30040817964077, 715598.377 7724620.036 7.449404245734215, 715589.828 7724622.1 7.599400326728821, 715581.278 7724624.164 7.748396426349879, 715575.553 7724625.591 7.819393803745508, 715569.828 7724627.018 7.890391192317009)</t>
  </si>
  <si>
    <t>POLYGON Z ((715569.828 7724627.018 7.890391192317009, 715571.123 7724632.213 7.8903893296718595, 715578.802 7724629.1 7.491393360435963, 715586.481 7724625.987 7.091397413551808, 715594.16 7724622.874 6.692401489019394, 715603.258 7724620.497 6.599405743300915, 715612.356 7724618.12 6.507410019934177, 715621.455 7724615.742 6.414414315193891, 715630.553 7724613.365 6.3224186328053475, 715639.652 7724610.988 6.229422972768545, 715648.75 7724608.611 6.137427331358195, 715657.806 7724606.292 6.064431667596102, 715667.367 7724603.848 5.97843626832962, 715673.01 7724602.39 5.94043899896741, 715678.652 7724600.931 5.902441740781069, 715684.607 7724599.4 5.868444635331631, 715690.561 7724597.869 5.8354475410580635, 715695.848 7724596.552 5.8044501077830795, 715701.135 7724595.236 5.7744526819586754, 715706.193 7724593.885 5.750455192804337, 715711.251 7724592.534 5.726457711100578, 715719.49 7724590.484 5.687461756765843, 715728.28 7724588.284 5.63646609300375, 715736.747 7724586.134 5.589470302581788, 715746.287 7724583.708 5.55747507095337, 715754.64 7724581.875 5.484479116618633, 715763.307 7724579.995 5.44148332247138, 715770.948 7724578.597 5.388486906200647, 715780.298 7724577.354 5.34249106734991, 715788.074 7724576.434 5.304494479715824, 715793.745 7724575.774 5.256496971935034, 715799.416 7724575.114 5.209499464154243, 715804.651 7724574.506 5.161501770108939, 715809.887 7724573.899 5.113504079788924, 715815.104 7724573.406 5.096506326138973, 715823.514 7724573.137 4.128509675174952, 715825.017 7724572.834 4.39951040905714, 715828.658 7724572.644 4.40651190289855, 715833.762 7724572.082 4.47851415297389, 715838.187 7724571.797 4.465516000717878, 715843.093 7724571.41 4.392518090605736, 715845.792 7724572.489 4.053518541365862, 715848.38 7724573.37 3.4405190591812134, 715852.527 7724573.2 3.8575207392871382, 715854.898 7724574.605 4.0905208845734595, 715855.701 7724577.885 3.8295194093585017, 715856.926 7724583.393 3.522516879886389, 715857.485 7724588.439 3.4085143429636955, 715857.939 7724592.629 2.738512226998806, 715858.618 7724598.322 2.6275093734264376, 715860.002 7724602.588 2.9205075629353523, 715861.894 7724608.11 3.4425052420794966, 715862.294 7724614.126 2.956502090483904, 715860.705 7724621.447 3.3304974897503854, 715862.019 7724619.187 3.4404992145597935, 715862.961 7724616.049 3.565501282095909, 715862.466 7724611.853 3.678503401786089, 715861.738 7724604.114 4.042507372945547, 715861.242 7724596.858 4.35051116156578, 715860.642 7724591.053 4.572514108270407, 715859.553 7724584.895 4.827517058700323, 715858.677 7724578.57 5.126520173043013, 715857.053 7724574.191 5.2895219351053235, 715853.287 7724571.319 5.342522050589323, 715849.869 7724569.534 5.368521704137326, 715846.89 7724569.339 5.361520664781332, 715839.754 7724569.746 5.516517703175545, 715832.896 7724570.387 5.531514730393886, 715828.379 7724570.519 5.556512927353382, 715822.44 7724571.222 5.666510282397271, 715821.07 7724571.25 5.754509745955468, 715811.669 7724572.261 5.804505622059107, 715804.775 7724573.068 5.879502571046353, 715797.882 7724573.874 5.955499531209469, 715788.297 7724575.093 5.982495262026787, 715782.45 7724575.743 6.061492713928223, 715776.602 7724576.393 6.1404901695549485, 715771.666 7724577.261 6.161487863600255, 715766.73 7724578.13 6.18248556137085, 715761.373 7724579.162 6.220483020722866, 715756.015 7724580.194 6.258480487525463, 715748.368 7724582.059 6.294476680278779, 715739.732 7724583.954 6.321472507953644, 715733.47 7724585.596 6.368469356358052, 715727.207 7724587.237 6.414466215938329, 715717.82 7724589.58 6.4354615891277795, 715712.921 7724590.843 6.458459160238505, 715708.022 7724592.106 6.48145673879981, 715698.75 7724594.428 6.5304522051215175, 715689.42 7724596.843 6.57144762301445, 715679.828 7724599.348 6.636442929148674, 715674.66 7724600.666 6.677440422028304, 715669.493 7724601.985 6.718437922358513, 715664.211 7724603.344 6.7584353705346585, 715658.929 7724604.703 6.798432826161385, 715650.74 7724606.808 6.88442889225483, 715642.094 7724609.111 6.911424719929696, 715633.657 7724611.243 6.974420722693205, 715624.462 7724613.526 7.0954164013564585, 715615.477 7724615.907 7.150412132173777, 715606.927 7724617.971 7.30040817964077, 715598.377 7724620.036 7.449404245734215, 715589.828 7724622.1 7.599400326728821, 715581.278 7724624.164 7.748396426349879, 715575.553 7724625.591 7.819393803745508, 715569.828 7724627.018 7.890391192317009))</t>
  </si>
  <si>
    <t>2025-12-30T08:32:48Z</t>
  </si>
  <si>
    <t>['EV6 S185D10 m12743-12799']</t>
  </si>
  <si>
    <t>LINESTRING Z (715451.755 7726258.045 3.9481198590993882, 715451.249 7726252.589 5.604117847442627, 715445.692 7726258.651 5.797111678361893, 715442.257 7726261.581 6.094107673674822, 715440.741 7726266.936 6.24710689881444, 715437.104 7726274.11 6.81710365781188, 715432.557 7726287.043 7.965100588172675, 715428.718 7726297.046 9.01409778675437, 715425.181 7726306.038 9.765095156699418, 715423.262 7726311.797 9.951093949705362, 715428.314 7726313.111 7.18710115814209, 715432.052 7726304.017 6.331104037791491, 715434.174 7726297.955 5.880105457127095, 715436.195 7726293.206 5.150107062727213, 715438.822 7726296.136 4.1151113654375076, 715440.236 7726295.126 4.208113052994013, 715438.518 7726290.68 5.126109625726938, 715439.529 7726280.576 6.010108552843333, 715440.341 7726272.723 6.010107755631209, 715443.267 7726274.009 4.181112080693245, 715444.581 7726265.825 4.53011189442873, 715447.814 7726260.268 4.555114986419678, 715451.755 7726258.045 3.9481198590993882)</t>
  </si>
  <si>
    <t>POLYGON Z ((715451.755 7726258.045 3.9481198590993882, 715451.249 7726252.589 5.604117847442627, 715445.692 7726258.651 5.797111678361893, 715442.257 7726261.581 6.094107673674822, 715440.741 7726266.936 6.24710689881444, 715437.104 7726274.11 6.81710365781188, 715432.557 7726287.043 7.965100588172675, 715428.718 7726297.046 9.01409778675437, 715425.181 7726306.038 9.765095156699418, 715423.262 7726311.797 9.951093949705362, 715428.314 7726313.111 7.18710115814209, 715432.052 7726304.017 6.331104037791491, 715434.174 7726297.955 5.880105457127095, 715436.195 7726293.206 5.150107062727213, 715438.822 7726296.136 4.1151113654375076, 715440.236 7726295.126 4.208113052994013, 715438.518 7726290.68 5.126109625726938, 715439.529 7726280.576 6.010108552843333, 715440.341 7726272.723 6.010107755631209, 715443.267 7726274.009 4.181112080693245, 715444.581 7726265.825 4.53011189442873, 715447.814 7726260.268 4.555114986419678, 715451.755 7726258.045 3.9481198590993882))</t>
  </si>
  <si>
    <t>['EV6 S185D10 m12746-12799']</t>
  </si>
  <si>
    <t>LINESTRING Z (715435.107 7726254.06 5.953096020966768, 715433.669 7726259.055 6.813095268458128, 715428.516 7726271.382 7.704091222792864, 715424.171 7726279.162 8.28008718457818, 715419.018 7726287.144 11.469082099556923, 715416.607 7726310.894 11.380084658831358, 715420.571 7726298.364 8.820086983412505, 715424.373 7726291.388 8.174090462833643, 715430.233 7726277.444 7.088095059841871, 715434.477 7726265.522 6.2580979618430135, 715438.216 7726253.983 5.442100275248289, 715435.107 7726254.06 5.953096020966768)</t>
  </si>
  <si>
    <t>POLYGON Z ((715435.107 7726254.06 5.953096020966768, 715433.669 7726259.055 6.813095268458128, 715428.516 7726271.382 7.704091222792864, 715424.171 7726279.162 8.28008718457818, 715419.018 7726287.144 11.469082099556923, 715416.607 7726310.894 11.380084658831358, 715420.571 7726298.364 8.820086983412505, 715424.373 7726291.388 8.174090462833643, 715430.233 7726277.444 7.088095059841871, 715434.477 7726265.522 6.2580979618430135, 715438.216 7726253.983 5.442100275248289, 715435.107 7726254.06 5.953096020966768))</t>
  </si>
  <si>
    <t>['KV2004 S1D1 m443-692']</t>
  </si>
  <si>
    <t>LINESTRING Z (715851.34 7724512.31 5.3675531604886055, 715851.415 7724512.298 5.3835531977415085, 715851.474 7724512.289 5.411553223818541, 715851.396 7724513.184 5.38755271345377, 715851.095 7724516.611 5.350550746500492, 715850.788 7724523.19 5.291547080814839, 715850.399 7724528.491 5.239544070780277, 715850.291 7724530.422 5.318542986720801, 715850.221 7724531.686 5.365542278915644, 715849.592 7724533.028 5.396541306614876, 715846.049 7724533.349 5.432539723366499, 715841.624 7724533.635 5.542537812292576, 715832.08 7724534.18 5.61053373682499, 715822.778 7724534.833 5.637529709786177, 715812.859 7724535.684 5.701525343745947, 715804.108 7724536.545 5.757521443367004, 715795.475 7724537.511 5.807517546713353, 715786.213 7724538.713 5.861513292431831, 715776.817 7724540.034 5.925508941292763, 715768.118 7724541.431 6.000504832297564, 715760.223 7724542.744 6.024501095831394, 715752.566 7724544.198 6.087497392892837, 715747.636 7724545.157 6.115495001256466, 715742.706 7724546.115 6.143492617070675, 715732.99 7724548.207 6.203487826347351, 715723.79 7724550.311 6.256483251690865, 715714.945 7724552.492 6.318478792518378, 715705.926 7724554.784 6.332474232763052, 715697.021 7724557.245 6.342469654381276, 715687.934 7724559.904 6.333464934438467, 715680.132 7724562.286 6.2994608515203, 715674.186 7724564.177 6.268457711100578, 715666.253 7724566.777 6.227453505247832, 715657.836 7724569.373 6.163449142932892, 715649.554 7724571.99 6.198444836497307, 715642.013 7724574.416 6.150440913766623, 715633.679 7724577.138 6.146436577528715, 715625.23 7724579.887 6.1054322077631955, 715616.668 7724582.649 6.002427811920643, 715608.581 7724585.27 6.010423676848411, 715608.57 7724585.258 6.007423676848411, 715608.548 7724585.234 5.998423680573702, 715608.517 7724585.202 5.9774236842989925, 715608.342 7724585.014 5.936423706650734, 715608.308 7724584.977 5.924423710376025, 715608.147 7724584.805 5.980423729002476, 715607.781 7724584.412 6.047423777431249, 715607.478 7724584.088 6.053423814684153, 715607.389 7724583.993 6.072423825860024, 715606.715 7724582.275 6.138424358576536, 715606.471 7724581.379 6.140424678951502, 715606.539 7724581.357 6.118424712479115, 715602.915 7724572.581 6.118427364885807, 715607.385 7724571.407 6.118429536730051, 715740.383 7724515.988 6.118506754547358, 715848.652 7724483.95 6.118567271888256, 715851.474 7724512.289 5.411553223818541, 715851.34 7724512.31 5.3675531604886055)</t>
  </si>
  <si>
    <t>[1136]</t>
  </si>
  <si>
    <t>['KV1136 S1D1 m464-827']</t>
  </si>
  <si>
    <t>LINESTRING Z (715480.016 7725967.324 5.163088540583849, 715476.633 7725975.148 6.5800856423079965, 715474.301 7725985.795 6.947084945678711, 715474.534 7725995.044 6.12508755710721, 715473.526 7726014.022 5.63509079065919, 715472.542 7726016.983 5.472090123832226, 715467.775 7726033.997 6.723087557107211, 715468.261 7726038.712 5.512089404851198, 715467.571 7726058.672 4.0320933313071725, 715464.489 7726062.356 5.050089892864228, 715463.712 7726072.227 4.204091222792864, 715463.906 7726075.218 2.8520922323465348, 715460.681 7726082.953 4.5730895948410035, 715457.805 7726089.559 5.0610871808528906, 715456.424 7726103.235 3.9860886076390747, 715453.522 7726118.261 4.182088238835335, 715449.594 7726136.362 4.435087203204632, 715446.862 7726161.633 4.9020896097421645, 715446.691 7726174.099 4.392092429786921, 715444.166 7726184.373 5.533091446310282, 715444.057 7726187.339 4.7310920237302785, 715443.012 7726188.856 5.550090947121382, 715440.963 7726198.76 6.96209054106474, 715442.5 7726201.322 6.6030932977795604, 715439.768 7726224.203 7.165095130622387, 715437.672 7726232.92 7.122094374388457, 715436.35 7726247.532 5.964096132725477, 715435.107 7726254.06 5.953096020966768, 715438.216 7726253.983 5.442100275248289, 715441.869 7726240.148 5.569101921826602, 715442.801 7726228.412 5.3681003423035145, 715444.511 7726227.479 5.567102469444275, 715446.352 7726215.002 5.286101966530085, 715449.213 7726192.229 4.563100364655257, 715449.949 7726183.951 4.242099362552166, 715451.131 7726172.391 4.160098177909851, 715453.18 7726157.023 4.000097268939018, 715455.912 7726139.777 3.932096855431795, 715459.327 7726120.823 3.5040969858169557, 715461.889 7726106.309 3.2950970193445683, 715464.8 7726092.979 3.479097838908434, 715466.898 7726079.611 3.575097514808178, 715467.987 7726074.17 3.586097715973854, 715470.858 7726058.423 3.8350979059636594, 715473.024 7726046.209 3.9280979730188847, 715474.381 7726034.307 4.032096978366375, 715476.79 7726022.571 4.224097514808178, 715477.631 7726017.5 4.187097466379404, 715478.094 7726014.833 4.178097470104694, 715479.044 7726008.115 4.592097172081471, 715480.13 7725994.734 4.701095436096192, 715481.063 7725987.505 4.875094989061355, 715481.996 7725978.801 5.017094184398651, 715482.581 7725967.635 5.033092277050018, 715483.747 7725956.677 5.344091248869896, 715484.136 7725945.795 5.349089129179716, 715484.758 7725935.536 5.427087493777275, 715485.212 7725929.087 5.4940865587294105, 715485.445 7725921.392 5.386084994107485, 715485.445 7725914.164 5.395083209693432, 715485.678 7725907.325 5.651081857413054, 715485.911 7725898.231 5.95407994261384, 715485.523 7725888.672 5.997077018260956, 715482.88 7725890.459 6.942073654323816, 715481.403 7725902.351 7.405074477612972, 715480.471 7725912.144 7.19907556539774, 715479.538 7725917.74 6.575075610101223, 715479.46 7725918.983 6.264075807541609, 715478.683 7725921.082 6.979075211495161, 715479.305 7725926.289 7.330077394515276, 715479.616 7725929.009 7.096078512102365, 715481.105 7725939.733 6.126083299100399, 715480.405 7725955.744 5.804086245805025, 715480.016 7725967.324 5.163088540583849)</t>
  </si>
  <si>
    <t>POLYGON Z ((715480.016 7725967.324 5.163088540583849, 715476.633 7725975.148 6.5800856423079965, 715474.301 7725985.795 6.947084945678711, 715474.534 7725995.044 6.12508755710721, 715473.526 7726014.022 5.63509079065919, 715472.542 7726016.983 5.472090123832226, 715467.775 7726033.997 6.723087557107211, 715468.261 7726038.712 5.512089404851198, 715467.571 7726058.672 4.0320933313071725, 715464.489 7726062.356 5.050089892864228, 715463.712 7726072.227 4.204091222792864, 715463.906 7726075.218 2.8520922323465348, 715460.681 7726082.953 4.5730895948410035, 715457.805 7726089.559 5.0610871808528906, 715456.424 7726103.235 3.9860886076390747, 715453.522 7726118.261 4.182088238835335, 715449.594 7726136.362 4.435087203204632, 715446.862 7726161.633 4.9020896097421645, 715446.691 7726174.099 4.392092429786921, 715444.166 7726184.373 5.533091446310282, 715444.057 7726187.339 4.7310920237302785, 715443.012 7726188.856 5.550090947121382, 715440.963 7726198.76 6.96209054106474, 715442.5 7726201.322 6.6030932977795604, 715439.768 7726224.203 7.165095130622387, 715437.672 7726232.92 7.122094374388457, 715436.35 7726247.532 5.964096132725477, 715435.107 7726254.06 5.953096020966768, 715438.216 7726253.983 5.442100275248289, 715441.869 7726240.148 5.569101921826602, 715442.801 7726228.412 5.3681003423035145, 715444.511 7726227.479 5.567102469444275, 715446.352 7726215.002 5.286101966530085, 715449.213 7726192.229 4.563100364655257, 715449.949 7726183.951 4.242099362552166, 715451.131 7726172.391 4.160098177909851, 715453.18 7726157.023 4.000097268939018, 715455.912 7726139.777 3.932096855431795, 715459.327 7726120.823 3.5040969858169557, 715461.889 7726106.309 3.2950970193445683, 715464.8 7726092.979 3.479097838908434, 715466.898 7726079.611 3.575097514808178, 715467.987 7726074.17 3.586097715973854, 715470.858 7726058.423 3.8350979059636594, 715473.024 7726046.209 3.9280979730188847, 715474.381 7726034.307 4.032096978366375, 715476.79 7726022.571 4.224097514808178, 715477.631 7726017.5 4.187097466379404, 715478.094 7726014.833 4.178097470104694, 715479.044 7726008.115 4.592097172081471, 715480.13 7725994.734 4.701095436096192, 715481.063 7725987.505 4.875094989061355, 715481.996 7725978.801 5.017094184398651, 715482.581 7725967.635 5.033092277050018, 715483.747 7725956.677 5.344091248869896, 715484.136 7725945.795 5.349089129179716, 715484.758 7725935.536 5.427087493777275, 715485.212 7725929.087 5.4940865587294105, 715485.445 7725921.392 5.386084994107485, 715485.445 7725914.164 5.395083209693432, 715485.678 7725907.325 5.651081857413054, 715485.911 7725898.231 5.95407994261384, 715485.523 7725888.672 5.997077018260956, 715482.88 7725890.459 6.942073654323816, 715481.403 7725902.351 7.405074477612972, 715480.471 7725912.144 7.19907556539774, 715479.538 7725917.74 6.575075610101223, 715479.46 7725918.983 6.264075807541609, 715478.683 7725921.082 6.979075211495161, 715479.305 7725926.289 7.330077394515276, 715479.616 7725929.009 7.096078512102365, 715481.105 7725939.733 6.126083299100399, 715480.405 7725955.744 5.804086245805025, 715480.016 7725967.324 5.163088540583849))</t>
  </si>
  <si>
    <t>['KV1136 S1D1 m563-576']</t>
  </si>
  <si>
    <t>LINESTRING Z (715486.192 7725989.448 4.7661027674674985, 715485.884 7725998.633 4.662104570508004, 715488.76 7726000.887 4.477109208494425, 715489.071 7725995.99 3.6381084559857846, 715489.69 7725987.972 3.362107383102179, 715486.192 7725989.448 4.7661027674674985)</t>
  </si>
  <si>
    <t>POLYGON Z ((715486.192 7725989.448 4.7661027674674985, 715485.884 7725998.633 4.662104570508004, 715488.76 7726000.887 4.477109208494425, 715489.071 7725995.99 3.6381084559857846, 715489.69 7725987.972 3.362107383102179, 715486.192 7725989.448 4.7661027674674985))</t>
  </si>
  <si>
    <t>['KV1136 S1D1 m536-564']</t>
  </si>
  <si>
    <t>LINESTRING Z (715488.913 7725960.924 5.192099671751261, 715487.358 7725974.604 5.0871008005142215, 715486.192 7725989.448 4.7661027674674985, 715489.69 7725987.972 3.362107383102179, 715489.612 7725980.277 4.120105397522449, 715489.768 7725972.583 4.385103743493557, 715491.788 7725961.702 4.252103967010975, 715488.913 7725960.924 5.192099671751261)</t>
  </si>
  <si>
    <t>POLYGON Z ((715488.913 7725960.924 5.192099671751261, 715487.358 7725974.604 5.0871008005142215, 715486.192 7725989.448 4.7661027674674985, 715489.69 7725987.972 3.362107383102179, 715489.612 7725980.277 4.120105397522449, 715489.768 7725972.583 4.385103743493557, 715491.788 7725961.702 4.252103967010975, 715488.913 7725960.924 5.192099671751261))</t>
  </si>
  <si>
    <t>['KV1136 S1D1 m474-482']</t>
  </si>
  <si>
    <t>LINESTRING Z (715491.974 7725900.408 5.489089207410813, 715492.207 7725906.703 5.146091092407704, 715496.948 7725903.827 4.5310972056090835, 715496.637 7725898.853 3.91609554040432, 715491.974 7725900.408 5.489089207410813)</t>
  </si>
  <si>
    <t>POLYGON Z ((715491.974 7725900.408 5.489089207410813, 715492.207 7725906.703 5.146091092407704, 715496.948 7725903.827 4.5310972056090835, 715496.637 7725898.853 3.91609554040432, 715491.974 7725900.408 5.489089207410813))</t>
  </si>
  <si>
    <t>['KV1136 S1D1 m1006-1040']</t>
  </si>
  <si>
    <t>LINESTRING Z (715481.766 7725879.473 6.991069318085909, 715485.743 7725877.306 6.330074518591165, 715485.898 7725872.866 6.215073643147946, 715486.286 7725861.363 6.125071344643831, 715486.208 7725851.803 6.155068856149912, 715486.286 7725846.051 6.287067537397147, 715481.234 7725845.197 7.458060004860163, 715480.535 7725858.409 7.805062292188406, 715480.69 7725866.57 7.588064553439617, 715479.602 7725873.176 7.827064627945424, 715481.766 7725879.473 6.991069318085909)</t>
  </si>
  <si>
    <t>POLYGON Z ((715481.766 7725879.473 6.991069318085909, 715485.743 7725877.306 6.330074518591165, 715485.898 7725872.866 6.215073643147946, 715486.286 7725861.363 6.125071344643831, 715486.208 7725851.803 6.155068856149912, 715486.286 7725846.051 6.287067537397147, 715481.234 7725845.197 7.458060004860163, 715480.535 7725858.409 7.805062292188406, 715480.69 7725866.57 7.588064553439617, 715479.602 7725873.176 7.827064627945424, 715481.766 7725879.473 6.991069318085909))</t>
  </si>
  <si>
    <t>['KV1136 S1D1 m978-1003']</t>
  </si>
  <si>
    <t>LINESTRING Z (715485.983 7725816.837 6.395059811145067, 715483.487 7725817.506 6.9500563466250895, 715480.345 7725819.308 7.84605223017931, 715480.67 7725829.812 8.15005533707142, 715481.208 7725835.671 6.586057583421469, 715479.29 7725841.585 7.316056283295155, 715485.735 7725837.734 6.350064665198326, 715486.443 7725836.392 6.279065358102322, 715486.55 7725821.9 6.259061901032925, 715486.242 7725820.696 6.298061152249574, 715485.983 7725816.837 6.395059811145067)</t>
  </si>
  <si>
    <t>POLYGON Z ((715485.983 7725816.837 6.395059811145067, 715483.487 7725817.506 6.9500563466250895, 715480.345 7725819.308 7.84605223017931, 715480.67 7725829.812 8.15005533707142, 715481.208 7725835.671 6.586057583421469, 715479.29 7725841.585 7.316056283295155, 715485.735 7725837.734 6.350064665198326, 715486.443 7725836.392 6.279065358102322, 715486.55 7725821.9 6.259061901032925, 715486.242 7725820.696 6.298061152249574, 715485.983 7725816.837 6.395059811145067))</t>
  </si>
  <si>
    <t>['KV1136 S1D1 m342-455']</t>
  </si>
  <si>
    <t>LINESTRING Z (715484.047 7725783.58 6.317048650175333, 715480.522 7725790.382 7.669045219182968, 715479.077 7725806.276 7.79204711163044, 715481.31 7725810.873 6.623051518648863, 715482.355 7725812.311 6.635053399920464, 715485.861 7725810.791 6.176058119863272, 715486.147 7725808.259 5.836057903796434, 715486.086 7725801.132 5.9110560299754145, 715485.952 7725781.661 5.971050952404737, 715486.428 7725776.711 5.771050404787064, 715486.606 7725767.619 5.540048378229141, 715487.121 7725751.35 5.153045036643744, 715487.564 7725738.36 4.8930424103140835, 715487.997 7725730.29 4.907041013330221, 715488.495 7725720.69 5.019039318323135, 715488.824 7725714.577 5.1200382566154, 715489.223 7725706.98 5.353036922961474, 715489.794 7725700.88 5.532036222606897, 715489.933 7725699.16 5.564035991638899, 715489.357 7725698.334 5.551034933656454, 715486 7725697.966 6.1510298858881, 715484.574 7725706.52 6.271029956668616, 715483.885 7725716.822 6.825031554818153, 715484.023 7725720.685 5.823032735735178, 715484.105 7725733.437 5.3570360884964465, 715483.185 7725738.354 5.956035980463028, 715482.733 7725751.348 6.040038603067398, 715482.632 7725762.665 6.398041315078736, 715482.127 7725771.455 6.758042794018984, 715483.946 7725776.709 5.996046776354313, 715484.047 7725783.58 6.317048650175333)</t>
  </si>
  <si>
    <t>POLYGON Z ((715484.047 7725783.58 6.317048650175333, 715480.522 7725790.382 7.669045219182968, 715479.077 7725806.276 7.79204711163044, 715481.31 7725810.873 6.623051518648863, 715482.355 7725812.311 6.635053399920464, 715485.861 7725810.791 6.176058119863272, 715486.147 7725808.259 5.836057903796434, 715486.086 7725801.132 5.9110560299754145, 715485.952 7725781.661 5.971050952404737, 715486.428 7725776.711 5.771050404787064, 715486.606 7725767.619 5.540048378229141, 715487.121 7725751.35 5.153045036643744, 715487.564 7725738.36 4.8930424103140835, 715487.997 7725730.29 4.907041013330221, 715488.495 7725720.69 5.019039318323135, 715488.824 7725714.577 5.1200382566154, 715489.223 7725706.98 5.353036922961474, 715489.794 7725700.88 5.532036222606897, 715489.933 7725699.16 5.564035991638899, 715489.357 7725698.334 5.551034933656454, 715486 7725697.966 6.1510298858881, 715484.574 7725706.52 6.271029956668616, 715483.885 7725716.822 6.825031554818153, 715484.023 7725720.685 5.823032735735178, 715484.105 7725733.437 5.3570360884964465, 715483.185 7725738.354 5.956035980463028, 715482.733 7725751.348 6.040038603067398, 715482.632 7725762.665 6.398041315078736, 715482.127 7725771.455 6.758042794018984, 715483.946 7725776.709 5.996046776354313, 715484.047 7725783.58 6.317048650175333))</t>
  </si>
  <si>
    <t>['KV1136 S1D1 m341-371']</t>
  </si>
  <si>
    <t>LINESTRING Z (715496.256 7725698.978 5.399045278787613, 715495.034 7725698.825 5.509043434768915, 715494.288 7725705.725 5.356044075518847, 715493.836 7725711.06 5.198044753521681, 715493.453 7725719.022 4.950046195209026, 715492.992 7725727.807 4.865047730028629, 715496.31 7725727.954 3.801052643686533, 715495.638 7725725.831 4.420051123768092, 715497.619 7725723.815 3.738053530305624, 715498.072 7725719.845 3.8330532024800776, 715499.807 7725715.949 5.2870547782778745, 715497.129 7725712.867 4.146050062060357, 715494.554 7725711.027 5.0450458040535455, 715494.83 7725705.922 5.287044924885035, 715496.256 7725698.978 5.399045278787613)</t>
  </si>
  <si>
    <t>POLYGON Z ((715496.256 7725698.978 5.399045278787613, 715495.034 7725698.825 5.509043434768915, 715494.288 7725705.725 5.356044075518847, 715493.836 7725711.06 5.198044753521681, 715493.453 7725719.022 4.950046195209026, 715492.992 7725727.807 4.865047730028629, 715496.31 7725727.954 3.801052643686533, 715495.638 7725725.831 4.420051123768092, 715497.619 7725723.815 3.738053530305624, 715498.072 7725719.845 3.8330532024800776, 715499.807 7725715.949 5.2870547782778745, 715497.129 7725712.867 4.146050062060357, 715494.554 7725711.027 5.0450458040535455, 715494.83 7725705.922 5.287044924885035, 715496.256 7725698.978 5.399045278787613))</t>
  </si>
  <si>
    <t>['KV1136 S1D1 m318-337']</t>
  </si>
  <si>
    <t>LINESTRING Z (715489.548 7725674.331 6.449029125928879, 715487.575 7725675.945 6.521026618808508, 715487.635 7725678.934 4.981027468174696, 715487.455 7725681.266 6.680027792274952, 715486.917 7725684.494 7.510027818351984, 715485.841 7725691.848 6.668028097748756, 715486.319 7725693.462 6.116029215335846, 715490.086 7725690.951 5.50303414016962, 715491.282 7725688.62 5.566035317361355, 715492.537 7725680.25 5.540035049140453, 715492.776 7725675.706 5.564034251928329, 715489.548 7725674.331 6.449029125928879)</t>
  </si>
  <si>
    <t>POLYGON Z ((715489.548 7725674.331 6.449029125928879, 715487.575 7725675.945 6.521026618808508, 715487.635 7725678.934 4.981027468174696, 715487.455 7725681.266 6.680027792274952, 715486.917 7725684.494 7.510027818351984, 715485.841 7725691.848 6.668028097748756, 715486.319 7725693.462 6.116029215335846, 715490.086 7725690.951 5.50303414016962, 715491.282 7725688.62 5.566035317361355, 715492.537 7725680.25 5.540035049140453, 715492.776 7725675.706 5.564034251928329, 715489.548 7725674.331 6.449029125928879))</t>
  </si>
  <si>
    <t>['KV1136 S1D1 m317-331']</t>
  </si>
  <si>
    <t>LINESTRING Z (715499.353 7725675.108 5.281043837100268, 715497.978 7725681.864 5.463043505549431, 715498.277 7725688.56 5.388045636415482, 715506.587 7725684.315 5.14705685326457, 715508.679 7725679.891 4.2810588388443, 715507.543 7725677.081 3.591056454658508, 715503.837 7725676.961 3.705050941228867, 715499.353 7725675.108 5.281043837100268)</t>
  </si>
  <si>
    <t>POLYGON Z ((715499.353 7725675.108 5.281043837100268, 715497.978 7725681.864 5.463043505549431, 715498.277 7725688.56 5.388045636415482, 715506.587 7725684.315 5.14705685326457, 715508.679 7725679.891 4.2810588388443, 715507.543 7725677.081 3.591056454658508, 715503.837 7725676.961 3.705050941228867, 715499.353 7725675.108 5.281043837100268))</t>
  </si>
  <si>
    <t>['EV6 S185D1 m11457-11634']</t>
  </si>
  <si>
    <t>LINESTRING Z (716097.423 7724580.165 3.31061225476861, 716098.892 7724578.989 3.2536135809719564, 716101.6 7724578.323 3.2946150785386563, 716113.39 7724580.535 2.21361836796999, 716119.805 7724581.653 2.7256202119886876, 716129.345 7724584.636 3.5756220932602885, 716138.674 7724586.457 4.374624630182981, 716163.737 7724586.674 4.41463447612524, 716163.782 7724592.465 4.403630698680878, 716186.699 7724592.477 4.649639810740948, 716186.729 7724585.141 4.558644694596529, 716194.123 7724585.304 4.758647555619478, 716194.649 7724585.439 4.6906476785540585, 716197.664 7724595.466 3.9356421874761582, 716204.084 7724605.619 3.6496379331946374, 716211.98 7724612.453 3.5876364468038084, 716223.209 7724618.632 3.796636670321226, 716231.243 7724622.89 3.8846369124650955, 716232.78 7724624.155 3.897636651694775, 716236.79 7724629.491 3.691634859830141, 716239.092 7724631.968 3.4996349380612375, 716249.001 7724638.197 3.6206381567120554, 716258.509 7724642.567 3.564642284333706, 716264.542 7724643.063 3.4026463970541956, 716267.1 7724643.314 3.378648114413023, 716268.762 7724643.914 3.469648941427469, 716269.48 7724644.517 3.57964907181263, 716269.082 7724645.436 3.6326481702923776, 716266.224 7724649.039 3.7566436962187293, 716262.494 7724652.162 3.827638901770115, 716260.312 7724653.478 3.914636431902647, 716257.61 7724654.385 3.9206338540017605, 716255.231 7724654.86 3.8396317976415157, 716251.28 7724655.138 3.832628716826439, 716247.687 7724654.725 3.72862635499239, 716245.506 7724654.197 3.7486251032948497, 716242.606 7724653.147 3.7656236653327944, 716237.718 7724650.907 3.7026215456426144, 716231.794 7724647.458 3.6746203386485576, 716218.867 7724639.348 3.632620916068554, 716211.33 7724635.107 3.669620893716812, 716185.637 7724620.041 3.9246210613548755, 716164.864 7724609.09 4.136620204538107, 716147.659 7724600.347 4.344619172632695, 716130.625 7724593.111 4.512617146074772, 716126.681 7724592.204 4.579616173774004, 716122.557 7724590.626 4.594615555375815, 716104.062 7724583.319 4.792612891793251, 716100.12 7724581.232 3.2906126496493817, 716097.423 7724580.165 3.31061225476861)</t>
  </si>
  <si>
    <t>POLYGON Z ((716097.423 7724580.165 3.31061225476861, 716098.892 7724578.989 3.2536135809719564, 716101.6 7724578.323 3.2946150785386563, 716113.39 7724580.535 2.21361836796999, 716119.805 7724581.653 2.7256202119886876, 716129.345 7724584.636 3.5756220932602885, 716138.674 7724586.457 4.374624630182981, 716163.737 7724586.674 4.41463447612524, 716163.782 7724592.465 4.403630698680878, 716186.699 7724592.477 4.649639810740948, 716186.729 7724585.141 4.558644694596529, 716194.123 7724585.304 4.758647555619478, 716194.649 7724585.439 4.6906476785540585, 716197.664 7724595.466 3.9356421874761582, 716204.084 7724605.619 3.6496379331946374, 716211.98 7724612.453 3.5876364468038084, 716223.209 7724618.632 3.796636670321226, 716231.243 7724622.89 3.8846369124650955, 716232.78 7724624.155 3.897636651694775, 716236.79 7724629.491 3.691634859830141, 716239.092 7724631.968 3.4996349380612375, 716249.001 7724638.197 3.6206381567120554, 716258.509 7724642.567 3.564642284333706, 716264.542 7724643.063 3.4026463970541956, 716267.1 7724643.314 3.378648114413023, 716268.762 7724643.914 3.469648941427469, 716269.48 7724644.517 3.57964907181263, 716269.082 7724645.436 3.6326481702923776, 716266.224 7724649.039 3.7566436962187293, 716262.494 7724652.162 3.827638901770115, 716260.312 7724653.478 3.914636431902647, 716257.61 7724654.385 3.9206338540017605, 716255.231 7724654.86 3.8396317976415157, 716251.28 7724655.138 3.832628716826439, 716247.687 7724654.725 3.72862635499239, 716245.506 7724654.197 3.7486251032948497, 716242.606 7724653.147 3.7656236653327944, 716237.718 7724650.907 3.7026215456426144, 716231.794 7724647.458 3.6746203386485576, 716218.867 7724639.348 3.632620916068554, 716211.33 7724635.107 3.669620893716812, 716185.637 7724620.041 3.9246210613548755, 716164.864 7724609.09 4.136620204538107, 716147.659 7724600.347 4.344619172632695, 716130.625 7724593.111 4.512617146074772, 716126.681 7724592.204 4.579616173774004, 716122.557 7724590.626 4.594615555375815, 716104.062 7724583.319 4.792612891793251, 716100.12 7724581.232 3.2906126496493817, 716097.423 7724580.165 3.31061225476861))</t>
  </si>
  <si>
    <t>['KV1136 S1D1 m221-313']</t>
  </si>
  <si>
    <t>LINESTRING Z (715499.483 7725629.798 3.1830325680971145, 715500.015 7725619.149 3.2510306570231915, 715499.108 7725610.348 3.460027065843344, 715497.381 7725601.002 3.8710221074819566, 715496.131 7725594.068 4.239018471598626, 715494.678 7725586.77 4.616014429658652, 715492.886 7725580.598 5.19001016792655, 715491.828 7725586.806 5.932010175377131, 715491.138 7725592.325 6.713010559082031, 715493.07 7725597.292 6.0830147202312945, 715493.53 7725601.247 5.872016418963671, 715492.583 7725610.3 5.248017320483923, 715489.176 7725614.904 6.58601341637969, 715492.285 7725618.85 4.432019060194492, 715494.257 7725620.045 3.0060223049223422, 715495.214 7725626.562 3.9990253894627097, 715495.555 7725643.618 3.9350302323400976, 715493.456 7725656.364 5.171030355274677, 715489.259 7725664.37 6.231026168048382, 715488.914 7725668.989 6.387026831150055, 715490.937 7725669.817 6.009030038625002, 715493.421 7725669.219 5.378033562749624, 715494.996 7725667.065 5.201035350888968, 715496.393 7725656.906 4.5840348479747774, 715498.132 7725642.712 3.7270338309705258, 715499.483 7725629.798 3.1830325680971145)</t>
  </si>
  <si>
    <t>POLYGON Z ((715499.483 7725629.798 3.1830325680971145, 715500.015 7725619.149 3.2510306570231915, 715499.108 7725610.348 3.460027065843344, 715497.381 7725601.002 3.8710221074819566, 715496.131 7725594.068 4.239018471598626, 715494.678 7725586.77 4.616014429658652, 715492.886 7725580.598 5.19001016792655, 715491.828 7725586.806 5.932010175377131, 715491.138 7725592.325 6.713010559082031, 715493.07 7725597.292 6.0830147202312945, 715493.53 7725601.247 5.872016418963671, 715492.583 7725610.3 5.248017320483923, 715489.176 7725614.904 6.58601341637969, 715492.285 7725618.85 4.432019060194492, 715494.257 7725620.045 3.0060223049223422, 715495.214 7725626.562 3.9990253894627097, 715495.555 7725643.618 3.9350302323400976, 715493.456 7725656.364 5.171030355274677, 715489.259 7725664.37 6.231026168048382, 715488.914 7725668.989 6.387026831150055, 715490.937 7725669.817 6.009030038625002, 715493.421 7725669.219 5.378033562749624, 715494.996 7725667.065 5.201035350888968, 715496.393 7725656.906 4.5840348479747774, 715498.132 7725642.712 3.7270338309705258, 715499.483 7725629.798 3.1830325680971145))</t>
  </si>
  <si>
    <t>['KV1136 S1D1 m186-204']</t>
  </si>
  <si>
    <t>LINESTRING Z (715495.607 7725561.632 5.890009378165007, 715497.319 7725561.726 5.758011970967054, 715499.602 7725561.699 5.578015390783548, 715504.77 7725557.772 3.992022144734859, 715503.036 7725555.508 4.906018963336945, 715501.975 7725554.482 4.474017108142376, 715499.003 7725554.058 5.261012533485889, 715498.46 7725552.03 5.4900111998319625, 715498.52 7725545.633 5.607009646385908, 715497.982 7725543.54 6.252008301556111, 715493.488 7725544.437 6.536001774847508, 715494.176 7725552.152 6.290004796057939, 715495.607 7725561.632 5.890009378165007)</t>
  </si>
  <si>
    <t>POLYGON Z ((715495.607 7725561.632 5.890009378165007, 715497.319 7725561.726 5.758011970967054, 715499.602 7725561.699 5.578015390783548, 715504.77 7725557.772 3.992022144734859, 715503.036 7725555.508 4.906018963336945, 715501.975 7725554.482 4.474017108142376, 715499.003 7725554.058 5.261012533485889, 715498.46 7725552.03 5.4900111998319625, 715498.52 7725545.633 5.607009646385908, 715497.982 7725543.54 6.252008301556111, 715493.488 7725544.437 6.536001774847508, 715494.176 7725552.152 6.290004796057939, 715495.607 7725561.632 5.890009378165007))</t>
  </si>
  <si>
    <t>LINESTRING Z (715569.828 7724627.018 7.890391192317009, 715571.123 7724632.213 7.8903893296718595, 715578.802 7724629.1 7.491393360435963, 715586.481 7724625.987 7.091397413551808, 715594.16 7724622.874 6.692401489019394, 715603.258 7724620.497 6.599405743300915, 715612.356 7724618.12 6.507410019934177, 715621.455 7724615.742 6.414414315193891, 715630.553 7724613.365 6.3224186328053475, 715639.652 7724610.988 6.230422972768546, 715648.75 7724608.611 6.137427331358195, 715657.806 7724606.292 6.064431667596102, 715667.367 7724603.848 5.97843626832962, 715673.01 7724602.39 5.94043899896741, 715678.652 7724600.931 5.902441740781069, 715684.606 7724599.4 5.868444635331631, 715690.561 7724597.869 5.8354475410580635, 715695.848 7724596.552 5.8044501077830795, 715701.135 7724595.236 5.7744526819586754, 715706.193 7724593.885 5.750455192804337, 715711.251 7724592.534 5.726457711100578, 715719.49 7724590.485 5.6874617530405525, 715728.28 7724588.284 5.63646609300375, 715736.747 7724586.134 5.589470302581788, 715746.286 7724583.708 5.55747507095337, 715754.64 7724581.875 5.484479116618633, 715763.307 7724579.995 5.44148332247138, 715770.948 7724578.597 5.388486906200647, 715780.298 7724577.354 5.34249106734991, 715788.074 7724576.435 5.304494479715824, 715793.745 7724575.774 5.2574969719350335, 715799.416 7724575.114 5.209499464154243, 715804.651 7724574.506 5.161501770108939, 715809.887 7724573.899 5.113504079788924, 715815.104 7724573.406 5.096506326138973, 715823.514 7724573.137 4.129509675174952, 715825.017 7724572.834 4.39951040905714, 715828.658 7724572.643 4.40651190289855, 715833.762 7724572.082 4.47851415297389, 715838.187 7724571.797 4.465516000717878, 715843.093 7724571.41 4.392518090605736, 715845.792 7724572.489 4.053518541365862, 715848.38 7724573.37 3.4405190591812134, 715852.527 7724573.2 3.8575207392871382, 715854.898 7724574.605 4.0905208845734595, 715855.701 7724577.885 3.8295194093585017, 715856.926 7724583.393 3.522516879886389, 715857.485 7724588.439 3.4085143429636955, 715857.939 7724592.629 2.738512226998806, 715858.618 7724598.322 2.6275093734264376, 715860.002 7724602.588 2.9205075629353523, 715861.894 7724608.11 3.4425052420794966, 715862.294 7724614.126 2.956502090483904, 715860.705 7724621.447 3.3304974897503854, 715862.019 7724619.187 3.4404992145597935, 715862.961 7724616.049 3.565501282095909, 715862.466 7724611.853 3.678503401786089, 715861.738 7724604.113 4.042507372945547, 715861.242 7724596.858 4.35051116156578, 715860.642 7724591.053 4.572514108270407, 715859.553 7724584.895 4.827517058700323, 715858.676 7724578.57 5.126520173043013, 715857.053 7724574.191 5.2895219351053235, 715853.287 7724571.319 5.343522050589323, 715849.869 7724569.534 5.368521704137326, 715846.89 7724569.339 5.361520664781332, 715839.754 7724569.746 5.516517703175545, 715832.896 7724570.388 5.531514730393886, 715828.379 7724570.519 5.556512927353382, 715822.44 7724571.222 5.666510282397271, 715821.07 7724571.249 5.754509745955468, 715811.669 7724572.261 5.804505622059107, 715804.775 7724573.068 5.879502571046353, 715797.882 7724573.874 5.955499531209469, 715788.297 7724575.093 5.982495262026787, 715782.45 7724575.743 6.061492713928223, 715776.602 7724576.393 6.141490169554949, 715771.666 7724577.261 6.161487863600255, 715766.73 7724578.13 6.18248556137085, 715761.373 7724579.162 6.220483020722866, 715756.015 7724580.194 6.258480487525463, 715748.368 7724582.059 6.294476680278779, 715739.732 7724583.954 6.321472507953644, 715733.47 7724585.596 6.368469356358052, 715727.207 7724587.237 6.414466215938329, 715717.82 7724589.58 6.4354615891277795, 715712.921 7724590.843 6.458459160238505, 715708.022 7724592.106 6.48145673879981, 715698.75 7724594.428 6.5304522051215175, 715689.42 7724596.843 6.57144762301445, 715679.828 7724599.348 6.636442929148674, 715674.66 7724600.667 6.677440422028304, 715669.493 7724601.985 6.718437922358513, 715664.211 7724603.344 6.7584353705346585, 715658.929 7724604.703 6.798432826161385, 715650.74 7724606.808 6.88442889225483, 715642.094 7724609.111 6.911424719929696, 715633.657 7724611.243 6.974420722693205, 715624.462 7724613.526 7.0954164013564585, 715615.477 7724615.907 7.150412132173777, 715606.927 7724617.971 7.30040817964077, 715598.377 7724620.036 7.449404245734215, 715589.828 7724622.1 7.599400326728821, 715581.278 7724624.164 7.748396426349879, 715575.553 7724625.591 7.819393803745508, 715569.828 7724627.018 7.890391192317009)</t>
  </si>
  <si>
    <t>POLYGON Z ((715569.828 7724627.018 7.890391192317009, 715571.123 7724632.213 7.8903893296718595, 715578.802 7724629.1 7.491393360435963, 715586.481 7724625.987 7.091397413551808, 715594.16 7724622.874 6.692401489019394, 715603.258 7724620.497 6.599405743300915, 715612.356 7724618.12 6.507410019934177, 715621.455 7724615.742 6.414414315193891, 715630.553 7724613.365 6.3224186328053475, 715639.652 7724610.988 6.230422972768546, 715648.75 7724608.611 6.137427331358195, 715657.806 7724606.292 6.064431667596102, 715667.367 7724603.848 5.97843626832962, 715673.01 7724602.39 5.94043899896741, 715678.652 7724600.931 5.902441740781069, 715684.606 7724599.4 5.868444635331631, 715690.561 7724597.869 5.8354475410580635, 715695.848 7724596.552 5.8044501077830795, 715701.135 7724595.236 5.7744526819586754, 715706.193 7724593.885 5.750455192804337, 715711.251 7724592.534 5.726457711100578, 715719.49 7724590.485 5.6874617530405525, 715728.28 7724588.284 5.63646609300375, 715736.747 7724586.134 5.589470302581788, 715746.286 7724583.708 5.55747507095337, 715754.64 7724581.875 5.484479116618633, 715763.307 7724579.995 5.44148332247138, 715770.948 7724578.597 5.388486906200647, 715780.298 7724577.354 5.34249106734991, 715788.074 7724576.435 5.304494479715824, 715793.745 7724575.774 5.2574969719350335, 715799.416 7724575.114 5.209499464154243, 715804.651 7724574.506 5.161501770108939, 715809.887 7724573.899 5.113504079788924, 715815.104 7724573.406 5.096506326138973, 715823.514 7724573.137 4.129509675174952, 715825.017 7724572.834 4.39951040905714, 715828.658 7724572.643 4.40651190289855, 715833.762 7724572.082 4.47851415297389, 715838.187 7724571.797 4.465516000717878, 715843.093 7724571.41 4.392518090605736, 715845.792 7724572.489 4.053518541365862, 715848.38 7724573.37 3.4405190591812134, 715852.527 7724573.2 3.8575207392871382, 715854.898 7724574.605 4.0905208845734595, 715855.701 7724577.885 3.8295194093585017, 715856.926 7724583.393 3.522516879886389, 715857.485 7724588.439 3.4085143429636955, 715857.939 7724592.629 2.738512226998806, 715858.618 7724598.322 2.6275093734264376, 715860.002 7724602.588 2.9205075629353523, 715861.894 7724608.11 3.4425052420794966, 715862.294 7724614.126 2.956502090483904, 715860.705 7724621.447 3.3304974897503854, 715862.019 7724619.187 3.4404992145597935, 715862.961 7724616.049 3.565501282095909, 715862.466 7724611.853 3.678503401786089, 715861.738 7724604.113 4.042507372945547, 715861.242 7724596.858 4.35051116156578, 715860.642 7724591.053 4.572514108270407, 715859.553 7724584.895 4.827517058700323, 715858.676 7724578.57 5.126520173043013, 715857.053 7724574.191 5.2895219351053235, 715853.287 7724571.319 5.343522050589323, 715849.869 7724569.534 5.368521704137326, 715846.89 7724569.339 5.361520664781332, 715839.754 7724569.746 5.516517703175545, 715832.896 7724570.388 5.531514730393886, 715828.379 7724570.519 5.556512927353382, 715822.44 7724571.222 5.666510282397271, 715821.07 7724571.249 5.754509745955468, 715811.669 7724572.261 5.804505622059107, 715804.775 7724573.068 5.879502571046353, 715797.882 7724573.874 5.955499531209469, 715788.297 7724575.093 5.982495262026787, 715782.45 7724575.743 6.061492713928223, 715776.602 7724576.393 6.141490169554949, 715771.666 7724577.261 6.161487863600255, 715766.73 7724578.13 6.18248556137085, 715761.373 7724579.162 6.220483020722866, 715756.015 7724580.194 6.258480487525463, 715748.368 7724582.059 6.294476680278779, 715739.732 7724583.954 6.321472507953644, 715733.47 7724585.596 6.368469356358052, 715727.207 7724587.237 6.414466215938329, 715717.82 7724589.58 6.4354615891277795, 715712.921 7724590.843 6.458459160238505, 715708.022 7724592.106 6.48145673879981, 715698.75 7724594.428 6.5304522051215175, 715689.42 7724596.843 6.57144762301445, 715679.828 7724599.348 6.636442929148674, 715674.66 7724600.667 6.677440422028304, 715669.493 7724601.985 6.718437922358513, 715664.211 7724603.344 6.7584353705346585, 715658.929 7724604.703 6.798432826161385, 715650.74 7724606.808 6.88442889225483, 715642.094 7724609.111 6.911424719929696, 715633.657 7724611.243 6.974420722693205, 715624.462 7724613.526 7.0954164013564585, 715615.477 7724615.907 7.150412132173777, 715606.927 7724617.971 7.30040817964077, 715598.377 7724620.036 7.449404245734215, 715589.828 7724622.1 7.599400326728821, 715581.278 7724624.164 7.748396426349879, 715575.553 7724625.591 7.819393803745508, 715569.828 7724627.018 7.890391192317009))</t>
  </si>
  <si>
    <t>['KV2004 S1D1 m5-39']</t>
  </si>
  <si>
    <t>LINESTRING Z (716276.102 7724543.455 4.640720534056425, 716277.103 7724545.156 4.426720172703266, 716277.897 7724545.121 4.131720791101456, 716278.843 7724544.6 4.1937218490839, 716279.888 7724543.81 4.468723156660795, 716280.536 7724542.735 4.344724352478981, 716280.815 7724540.814 4.342725827693939, 716281.508 7724538.878 4.273727623283863, 716282.388 7724537.552 4.545729161828756, 716282.936 7724536.801 4.859730070799589, 716283.688 7724537.242 5.130730346471071, 716284.068 7724538.479 5.167729821205139, 716284.209 7724540.076 5.236728874981403, 716284.072 7724541.596 5.167727768570185, 716283.225 7724543.454 5.143725905925035, 716282.031 7724545.122 5.1337239091694356, 716280.649 7724546.344 5.081722061425448, 716279.05 7724547.32 5.00672021368146, 716277.406 7724547.812 5.021718652784824, 716274.645 7724548.033 5.023716428786516, 716268.927 7724547.71 5.004712334692479, 716263.973 7724547.336 5.054708847820759, 716257.999 7724547.013 5.109704563736916, 716254.421 7724546.528 5.113702187001706, 716251.445 7724544.679 5.139701155096293, 716249.819 7724542.489 5.160701359987259, 716249.094 7724539.791 5.145702570706606, 716248.361 7724535.594 5.032704757452011, 716247.618 7724531.123 5.09070711183548, 716248.861 7724530.425 4.925708505094051, 716250.645 7724529.7 4.782710323035717, 716252.465 7724528.644 4.646712390571833, 716256.552 7724528.587 4.684715516090393, 716259.625 7724528.877 4.672717650681734, 716259.625 7724531.584 4.5517158811688425, 716259.512 7724534.529 4.514713869512081, 716264.183 7724536.439 4.330716145664454, 716267.939 7724537.184 4.220718492597341, 716271.245 7724537.501 4.2577207799255845, 716273.932 7724538.784 4.37672196829319, 716275.159 7724541.119 4.661721357345582, 716275.969 7724543.188 4.6587206085622315, 716276.102 7724543.455 4.640720534056425)</t>
  </si>
  <si>
    <t>POLYGON Z ((716276.102 7724543.455 4.640720534056425, 716277.103 7724545.156 4.426720172703266, 716277.897 7724545.121 4.131720791101456, 716278.843 7724544.6 4.1937218490839, 716279.888 7724543.81 4.468723156660795, 716280.536 7724542.735 4.344724352478981, 716280.815 7724540.814 4.342725827693939, 716281.508 7724538.878 4.273727623283863, 716282.388 7724537.552 4.545729161828756, 716282.936 7724536.801 4.859730070799589, 716283.688 7724537.242 5.130730346471071, 716284.068 7724538.479 5.167729821205139, 716284.209 7724540.076 5.236728874981403, 716284.072 7724541.596 5.167727768570185, 716283.225 7724543.454 5.143725905925035, 716282.031 7724545.122 5.1337239091694356, 716280.649 7724546.344 5.081722061425448, 716279.05 7724547.32 5.00672021368146, 716277.406 7724547.812 5.021718652784824, 716274.645 7724548.033 5.023716428786516, 716268.927 7724547.71 5.004712334692479, 716263.973 7724547.336 5.054708847820759, 716257.999 7724547.013 5.109704563736916, 716254.421 7724546.528 5.113702187001706, 716251.445 7724544.679 5.139701155096293, 716249.819 7724542.489 5.160701359987259, 716249.094 7724539.791 5.145702570706606, 716248.361 7724535.594 5.032704757452011, 716247.618 7724531.123 5.09070711183548, 716248.861 7724530.425 4.925708505094051, 716250.645 7724529.7 4.782710323035717, 716252.465 7724528.644 4.646712390571833, 716256.552 7724528.587 4.684715516090393, 716259.625 7724528.877 4.672717650681734, 716259.625 7724531.584 4.5517158811688425, 716259.512 7724534.529 4.514713869512081, 716264.183 7724536.439 4.330716145664454, 716267.939 7724537.184 4.220718492597341, 716271.245 7724537.501 4.2577207799255845, 716273.932 7724538.784 4.37672196829319, 716275.159 7724541.119 4.661721357345582, 716275.969 7724543.188 4.6587206085622315, 716276.102 7724543.455 4.640720534056425))</t>
  </si>
  <si>
    <t>['EV6 S185D1 m11642-11858', 'EV6 S186D1 m0-9']</t>
  </si>
  <si>
    <t>LINESTRING Z (716271.148 7724666.595 4.00063572409749, 716271.159 7724671.111 3.952632751315832, 716271.791 7724674.393 3.916631041407585, 716272.57 7724676.746 3.8806300579309463, 716273.905 7724679.098 3.78562947678566, 716276.96 7724682.159 3.709629677951336, 716282.542 7724687.657 3.78763010263443, 716291.136 7724695.878 3.8456308961212637, 716296.768 7724701.715 3.95463110473752, 716304.67 7724709.623 4.037631562948227, 716313.136 7724718.98 4.159631436288357, 716321.203 7724727.831 4.376631331980229, 716326.752 7724734.252 4.312631019055844, 716332.124 7724740.859 4.462630445361137, 716339.12 7724749.642 4.633629551291466, 716345.162 7724756.916 4.749628973871469, 716350.05 7724762.973 4.895628377825022, 716357.194 7724772.35 5.035627133578062, 716365.325 7724782.191 5.186626246958971, 716372.157 7724790.909 5.351625174075365, 716377.653 7724797.738 5.537624421566725, 716383.11 7724804.34 5.662623780816793, 716391.372 7724815.961 6.034621672302484, 716395.84 7724821.849 6.163620785683394, 716411.206 7724843.443 6.880616740018129, 716410.035 7724837.376 6.04962011140585, 716409.233 7724836.254 6.029620320022106, 716408.374 7724834.909 6.002620644122362, 716408.039 7724834.438 5.979620733529329, 716405.697 7724831.377 5.906621191740036, 716403.408 7724828.299 5.883621698379517, 716400.27 7724824.427 5.8376221491396425, 716397.386 7724820.574 5.748622760087252, 716397.125 7724820.21 5.741622823417186, 716392.481 7724812.008 6.050625174075365, 716388.166 7724806.448 6.001625930309296, 716381.655 7724798.841 5.903626515179873, 716376.242 7724790.868 5.916628113329411, 716371.561 7724784.357 5.606629223465919, 716367.756 7724778.25 6.0196306688785555, 716367.519 7724778.115 6.011630590647459, 716365.645 7724775.804 5.971630825340748, 716360.289 7724768.711 5.805631819993257, 716356.082 7724763.414 5.544632404863835, 716353.533 7724760.337 5.3896326656341556, 716349.465 7724755.419 5.249633079141378, 716344.613 7724749.665 5.140633488923311, 716339.05 7724742.726 4.973634174376726, 716333.809 7724736.21 4.878634792774916, 716328.069 7724728.965 4.697635526657105, 716324.456 7724724.381 4.607635999768973, 716320.357 7724719.107 4.473636577188969, 716314.537 7724711.819 4.284637244015932, 716308.74 7724704.554 4.124637899667024, 716303.225 7724697.781 3.952638417482376, 716299.745 7724693.47 3.829638760209084, 716298.67 7724692.139 3.795638864517212, 716297.624 7724690.784 3.7606390060782435, 716296.607 7724689.407 3.7266391848921776, 716295.62 7724688.009 3.691639393508434, 716294.664 7724686.59 3.6576396431028844, 716293.739 7724685.15 3.6236399262249472, 716293.193 7724684.194 3.6036401646435263, 716292.683 7724683.218 3.5846404403150083, 716292.211 7724682.224 3.5646407569646836, 716291.777 7724681.212 3.545641114592552, 716291.382 7724680.184 3.5256415094733238, 716291.027 7724679.141 3.5066419416069987, 716290.712 7724678.087 3.487642410993576, 716290.437 7724677.02 3.467642921358347, 716290.203 7724675.944 3.4486434652507305, 716290.01 7724674.86 3.4286440426707268, 716289.829 7724673.32 3.4146449330151083, 716289.686 7724671.775 3.399645853161812, 716289.583 7724670.227 3.3856468068361285, 716289.519 7724668.677 3.371647790312767, 716289.494 7724667.126 3.356648799866438, 716289.509 7724665.575 3.3426498392224313, 716289.562 7724664.024 3.327650908380747, 716289.662 7724662.931 3.338651709318161, 716289.72 7724661.834 3.3506524767279626, 716289.736 7724660.736 3.361653218060732, 716289.711 7724659.638 3.372653929591179, 716289.644 7724658.542 3.3836546075940133, 716289.536 7724657.449 3.394655252069235, 716289.387 7724656.361 3.4056558667421344, 716289.196 7724655.279 3.4166564441621303, 716288.822 7724654.536 3.4136566602289675, 716288.414 7724653.812 3.4106568427681925, 716287.972 7724653.108 3.4076569843292237, 716287.498 7724652.425 3.403657088637352, 716286.992 7724651.765 3.4006571556925773, 716286.455 7724651.13 3.3976571817696097, 716285.935 7724650.602 3.395657148241997, 716285.383 7724650.106 3.393657070010901, 716284.802 7724649.647 3.390656947076321, 716284.193 7724649.224 3.388656779438257, 716283.558 7724648.84 3.3866565670967104, 716282.901 7724648.497 3.3846563100516796, 716282.38 7724648.205 3.3956561200618745, 716281.841 7724647.947 3.4076558965444566, 716281.287 7724647.723 3.418655635774136, 716280.72 7724647.535 3.4306553452014925, 716280.142 7724647.383 3.4416550211012362, 716279.635 7724647.458 3.4646545964181423, 716279.135 7724647.569 3.4876541568338872, 716278.644 7724647.714 3.5106536986231807, 716278.164 7724647.893 3.5336532292366027, 716277.699 7724648.105 3.556652744948864, 716277.512 7724648.492 3.5586523537933825, 716274.308 7724654.849 3.7376457972824575, 716272.834 7724658.581 3.7706422508060933, 716272.186 7724660.512 3.876640503644943, 716271.605 7724662.468 3.9676387862861153, 716271.148 7724666.595 4.00063572409749)</t>
  </si>
  <si>
    <t>POLYGON Z ((716271.148 7724666.595 4.00063572409749, 716271.159 7724671.111 3.952632751315832, 716271.791 7724674.393 3.916631041407585, 716272.57 7724676.746 3.8806300579309463, 716273.905 7724679.098 3.78562947678566, 716276.96 7724682.159 3.709629677951336, 716282.542 7724687.657 3.78763010263443, 716291.136 7724695.878 3.8456308961212637, 716296.768 7724701.715 3.95463110473752, 716304.67 7724709.623 4.037631562948227, 716313.136 7724718.98 4.159631436288357, 716321.203 7724727.831 4.376631331980229, 716326.752 7724734.252 4.312631019055844, 716332.124 7724740.859 4.462630445361137, 716339.12 7724749.642 4.633629551291466, 716345.162 7724756.916 4.749628973871469, 716350.05 7724762.973 4.895628377825022, 716357.194 7724772.35 5.035627133578062, 716365.325 7724782.191 5.186626246958971, 716372.157 7724790.909 5.351625174075365, 716377.653 7724797.738 5.537624421566725, 716383.11 7724804.34 5.662623780816793, 716391.372 7724815.961 6.034621672302484, 716395.84 7724821.849 6.163620785683394, 716411.206 7724843.443 6.880616740018129, 716410.035 7724837.376 6.04962011140585, 716409.233 7724836.254 6.029620320022106, 716408.374 7724834.909 6.002620644122362, 716408.039 7724834.438 5.979620733529329, 716405.697 7724831.377 5.906621191740036, 716403.408 7724828.299 5.883621698379517, 716400.27 7724824.427 5.8376221491396425, 716397.386 7724820.574 5.748622760087252, 716397.125 7724820.21 5.741622823417186, 716392.481 7724812.008 6.050625174075365, 716388.166 7724806.448 6.001625930309296, 716381.655 7724798.841 5.903626515179873, 716376.242 7724790.868 5.916628113329411, 716371.561 7724784.357 5.606629223465919, 716367.756 7724778.25 6.0196306688785555, 716367.519 7724778.115 6.011630590647459, 716365.645 7724775.804 5.971630825340748, 716360.289 7724768.711 5.805631819993257, 716356.082 7724763.414 5.544632404863835, 716353.533 7724760.337 5.3896326656341556, 716349.465 7724755.419 5.249633079141378, 716344.613 7724749.665 5.140633488923311, 716339.05 7724742.726 4.973634174376726, 716333.809 7724736.21 4.878634792774916, 716328.069 7724728.965 4.697635526657105, 716324.456 7724724.381 4.607635999768973, 716320.357 7724719.107 4.473636577188969, 716314.537 7724711.819 4.284637244015932, 716308.74 7724704.554 4.124637899667024, 716303.225 7724697.781 3.952638417482376, 716299.745 7724693.47 3.829638760209084, 716298.67 7724692.139 3.795638864517212, 716297.624 7724690.784 3.7606390060782435, 716296.607 7724689.407 3.7266391848921776, 716295.62 7724688.009 3.691639393508434, 716294.664 7724686.59 3.6576396431028844, 716293.739 7724685.15 3.6236399262249472, 716293.193 7724684.194 3.6036401646435263, 716292.683 7724683.218 3.5846404403150083, 716292.211 7724682.224 3.5646407569646836, 716291.777 7724681.212 3.545641114592552, 716291.382 7724680.184 3.5256415094733238, 716291.027 7724679.141 3.5066419416069987, 716290.712 7724678.087 3.487642410993576, 716290.437 7724677.02 3.467642921358347, 716290.203 7724675.944 3.4486434652507305, 716290.01 7724674.86 3.4286440426707268, 716289.829 7724673.32 3.4146449330151083, 716289.686 7724671.775 3.399645853161812, 716289.583 7724670.227 3.3856468068361285, 716289.519 7724668.677 3.371647790312767, 716289.494 7724667.126 3.356648799866438, 716289.509 7724665.575 3.3426498392224313, 716289.562 7724664.024 3.327650908380747, 716289.662 7724662.931 3.338651709318161, 716289.72 7724661.834 3.3506524767279626, 716289.736 7724660.736 3.361653218060732, 716289.711 7724659.638 3.372653929591179, 716289.644 7724658.542 3.3836546075940133, 716289.536 7724657.449 3.394655252069235, 716289.387 7724656.361 3.4056558667421344, 716289.196 7724655.279 3.4166564441621303, 716288.822 7724654.536 3.4136566602289675, 716288.414 7724653.812 3.4106568427681925, 716287.972 7724653.108 3.4076569843292237, 716287.498 7724652.425 3.403657088637352, 716286.992 7724651.765 3.4006571556925773, 716286.455 7724651.13 3.3976571817696097, 716285.935 7724650.602 3.395657148241997, 716285.383 7724650.106 3.393657070010901, 716284.802 7724649.647 3.390656947076321, 716284.193 7724649.224 3.388656779438257, 716283.558 7724648.84 3.3866565670967104, 716282.901 7724648.497 3.3846563100516796, 716282.38 7724648.205 3.3956561200618745, 716281.841 7724647.947 3.4076558965444566, 716281.287 7724647.723 3.418655635774136, 716280.72 7724647.535 3.4306553452014925, 716280.142 7724647.383 3.4416550211012362, 716279.635 7724647.458 3.4646545964181423, 716279.135 7724647.569 3.4876541568338872, 716278.644 7724647.714 3.5106536986231807, 716278.164 7724647.893 3.5336532292366027, 716277.699 7724648.105 3.556652744948864, 716277.512 7724648.492 3.5586523537933825, 716274.308 7724654.849 3.7376457972824575, 716272.834 7724658.581 3.7706422508060933, 716272.186 7724660.512 3.876640503644943, 716271.605 7724662.468 3.9676387862861153, 716271.148 7724666.595 4.00063572409749))</t>
  </si>
  <si>
    <t>['EV6 S185D1 m11657-11726']</t>
  </si>
  <si>
    <t>LINESTRING Z (716293.425 7724665.705 3.347652622014284, 716293.438 7724667.112 3.35665169814229, 716293.486 7724668.518 3.3656508003473284, 716293.57 7724669.922 3.3756499286293984, 716293.689 7724671.323 3.3846490829885005, 716293.843 7724672.721 3.3936482671499255, 716294.032 7724674.115 3.402647477388382, 716294.229 7724675.145 3.426646937221289, 716294.468 7724676.167 3.449646430581808, 716294.748 7724677.178 3.4736459649205207, 716295.069 7724678.176 3.4976455365121364, 716295.43 7724679.161 3.520645141631365, 716295.831 7724680.131 3.544644791454077, 716296.272 7724681.083 3.567644478529692, 716296.751 7724682.016 3.5916442065835, 716297.267 7724682.929 3.6146439756155013, 716298.174 7724684.327 3.6546437073946, 716299.112 7724685.705 3.694643472701311, 716300.081 7724687.061 3.7346432752609253, 716301.08 7724688.395 3.7736431150734426, 716302.11 7724689.705 3.813642992138863, 716303.168 7724690.993 3.853642906457186, 716306.635 7724695.427 3.940642470598221, 716311.757 7724702.066 4.105641755342484, 716317.594 7724709.703 4.334640879899263, 716323.289 7724716.981 4.488640127390624, 716327.332 7724722.1 4.608639613300562, 716328.259 7724722.257 4.579640179544687, 716329.528 7724720.972 4.65164196023345, 716324.52 7724713.545 4.592643323689699, 716325.814 7724712.082 4.5226452459394935, 716324.914 7724707.524 4.627647656202316, 716320.907 7724699.686 4.740650003135205, 716321.229 7724698.213 4.694651225030422, 716319.868 7724695.537 4.6126520259678365, 716319.454 7724694.384 4.650652499079705, 716319.414 7724691.888 4.648654141932726, 716319.116 7724688.913 4.709655918896198, 716321.627 7724679.511 5.06566404747963, 716319.651 7724678.401 4.940663347125054, 716317.323 7724677.066 4.770662538737059, 716316.245 7724675.968 4.752662486582994, 716314.683 7724674.375 4.752662408351898, 716312.373 7724671.343 4.765662743628025, 716310.274 7724668.479 4.798663119882345, 716304.544 7724661.456 4.273663600444793, 716303.938 7724660.723 4.218663645148277, 716300.706 7724657.553 4.018663384377956, 716298.9 7724656.178 3.8636629708707333, 716295.703 7724654.593 3.486661678195, 716293.589 7724653.657 3.573660746872425, 716293.673 7724655.177 3.539659796923399, 716293.723 7724656.698 3.5066588246226313, 716293.738 7724658.22 3.472657826244831, 716293.718 7724659.742 3.439656798064709, 716293.663 7724661.263 3.405655747532845, 716293.573 7724662.782 3.3716546746492386, 716293.448 7724664.299 3.3386535756886007, 716293.425 7724665.705 3.347652622014284)</t>
  </si>
  <si>
    <t>POLYGON Z ((716293.425 7724665.705 3.347652622014284, 716293.438 7724667.112 3.35665169814229, 716293.486 7724668.518 3.3656508003473284, 716293.57 7724669.922 3.3756499286293984, 716293.689 7724671.323 3.3846490829885005, 716293.843 7724672.721 3.3936482671499255, 716294.032 7724674.115 3.402647477388382, 716294.229 7724675.145 3.426646937221289, 716294.468 7724676.167 3.449646430581808, 716294.748 7724677.178 3.4736459649205207, 716295.069 7724678.176 3.4976455365121364, 716295.43 7724679.161 3.520645141631365, 716295.831 7724680.131 3.544644791454077, 716296.272 7724681.083 3.567644478529692, 716296.751 7724682.016 3.5916442065835, 716297.267 7724682.929 3.6146439756155013, 716298.174 7724684.327 3.6546437073946, 716299.112 7724685.705 3.694643472701311, 716300.081 7724687.061 3.7346432752609253, 716301.08 7724688.395 3.7736431150734426, 716302.11 7724689.705 3.813642992138863, 716303.168 7724690.993 3.853642906457186, 716306.635 7724695.427 3.940642470598221, 716311.757 7724702.066 4.105641755342484, 716317.594 7724709.703 4.334640879899263, 716323.289 7724716.981 4.488640127390624, 716327.332 7724722.1 4.608639613300562, 716328.259 7724722.257 4.579640179544687, 716329.528 7724720.972 4.65164196023345, 716324.52 7724713.545 4.592643323689699, 716325.814 7724712.082 4.5226452459394935, 716324.914 7724707.524 4.627647656202316, 716320.907 7724699.686 4.740650003135205, 716321.229 7724698.213 4.694651225030422, 716319.868 7724695.537 4.6126520259678365, 716319.454 7724694.384 4.650652499079705, 716319.414 7724691.888 4.648654141932726, 716319.116 7724688.913 4.709655918896198, 716321.627 7724679.511 5.06566404747963, 716319.651 7724678.401 4.940663347125054, 716317.323 7724677.066 4.770662538737059, 716316.245 7724675.968 4.752662486582994, 716314.683 7724674.375 4.752662408351898, 716312.373 7724671.343 4.765662743628025, 716310.274 7724668.479 4.798663119882345, 716304.544 7724661.456 4.273663600444793, 716303.938 7724660.723 4.218663645148277, 716300.706 7724657.553 4.018663384377956, 716298.9 7724656.178 3.8636629708707333, 716295.703 7724654.593 3.486661678195, 716293.589 7724653.657 3.573660746872425, 716293.673 7724655.177 3.539659796923399, 716293.723 7724656.698 3.5066588246226313, 716293.738 7724658.22 3.472657826244831, 716293.718 7724659.742 3.439656798064709, 716293.663 7724661.263 3.405655747532845, 716293.573 7724662.782 3.3716546746492386, 716293.448 7724664.299 3.3386535756886007, 716293.425 7724665.705 3.347652622014284))</t>
  </si>
  <si>
    <t>[7932]</t>
  </si>
  <si>
    <t>['FV7932 S1D1 m40-61']</t>
  </si>
  <si>
    <t>LINESTRING Z (716281.45 7724639.41 3.520661257237196, 716281.472 7724640.288 3.4136606909930705, 716281.95 7724641.583 3.2566601880788806, 716282.732 7724642.67 3.0586600427925585, 716283.946 7724643.746 3.0526602253317834, 716284.59 7724644.307 3.104660329639912, 716286.442 7724645.601 3.308660832554102, 716288.765 7724647.086 3.4026615589857103, 716291.396 7724647.798 3.2916630230247974, 716294.921 7724648.679 3.4956650309562685, 716298.638 7724649.001 3.6336675529778004, 716300.557 7724649.448 3.8486686668395995, 716300.276 7724646.244 3.776670589089394, 716299.486 7724642.353 3.7876725970208645, 716298.799 7724639.64 3.7246738934218886, 716298.314 7724636.392 3.7426756927371025, 716294.899 7724636.72 3.645672954648733, 716294.657 7724635.454 3.1496736177504063, 716294.292 7724634.62 2.842673900872469, 716294.427 7724634.217 2.7856742659509184, 716294.059 7724633.576 3.018674422413111, 716292.547 7724633.385 3.042673431485891, 716290.369 7724633.677 3.006671628445387, 716288.622 7724634.127 2.97167004147172, 716289.196 7724630.213 3.1266730589568614, 716289.445 7724628.94 3.233674087136984, 716290.543 7724627.812 3.2986756443083287, 716291.385 7724625.953 3.372677499502897, 716291.542 7724624.245 3.5366787474751473, 716290.84 7724623.917 3.282678445726633, 716290.164 7724623.821 3.2566780098676684, 716289.74 7724622.457 3.3396785984635353, 716287.032 7724625.685 3.717674459666014, 716286.622 7724627.061 3.6776732452213765, 716285.564 7724629.956 3.6036705443859103, 716284.105 7724633.367 3.560667210251093, 716282.619 7724636.783 3.531663853764534, 716281.45 7724639.41 3.520661257237196)</t>
  </si>
  <si>
    <t>POLYGON Z ((716281.45 7724639.41 3.520661257237196, 716281.472 7724640.288 3.4136606909930705, 716281.95 7724641.583 3.2566601880788806, 716282.732 7724642.67 3.0586600427925585, 716283.946 7724643.746 3.0526602253317834, 716284.59 7724644.307 3.104660329639912, 716286.442 7724645.601 3.308660832554102, 716288.765 7724647.086 3.4026615589857103, 716291.396 7724647.798 3.2916630230247974, 716294.921 7724648.679 3.4956650309562685, 716298.638 7724649.001 3.6336675529778004, 716300.557 7724649.448 3.8486686668395995, 716300.276 7724646.244 3.776670589089394, 716299.486 7724642.353 3.7876725970208645, 716298.799 7724639.64 3.7246738934218886, 716298.314 7724636.392 3.7426756927371025, 716294.899 7724636.72 3.645672954648733, 716294.657 7724635.454 3.1496736177504063, 716294.292 7724634.62 2.842673900872469, 716294.427 7724634.217 2.7856742659509184, 716294.059 7724633.576 3.018674422413111, 716292.547 7724633.385 3.042673431485891, 716290.369 7724633.677 3.006671628445387, 716288.622 7724634.127 2.97167004147172, 716289.196 7724630.213 3.1266730589568614, 716289.445 7724628.94 3.233674087136984, 716290.543 7724627.812 3.2986756443083287, 716291.385 7724625.953 3.372677499502897, 716291.542 7724624.245 3.5366787474751473, 716290.84 7724623.917 3.282678445726633, 716290.164 7724623.821 3.2566780098676684, 716289.74 7724622.457 3.3396785984635353, 716287.032 7724625.685 3.717674459666014, 716286.622 7724627.061 3.6776732452213765, 716285.564 7724629.956 3.6036705443859103, 716284.105 7724633.367 3.560667210251093, 716282.619 7724636.783 3.531663853764534, 716281.45 7724639.41 3.520661257237196))</t>
  </si>
  <si>
    <t>['EV6 S185D1 m11628-11633']</t>
  </si>
  <si>
    <t>LINESTRING Z (716266.334 7724640.106 3.5186496641337874, 716267.04 7724640.364 3.496650010585785, 716267.641 7724640.282 3.491650509774685, 716268.931 7724640.383 3.4596513926684858, 716270.226 7724640.205 3.2176524618268014, 716270.967 7724640.469 3.332652834355831, 716271.78 7724640.395 3.4306534825563433, 716272.277 7724640.636 3.5236536874473097, 716272.967 7724639.543 3.4946549167931082, 716273.851 7724638.063 3.4966565447449685, 716275.433 7724635.147 3.493659636735916, 716277.376 7724631.359 3.4786635706424716, 716279.145 7724627.777 3.4896672437787055, 716280.648 7724624.557 3.489670484781265, 716280.975 7724622.914 3.5526718109846116, 716280.669 7724622.736 3.415671702951193, 716280.073 7724622.591 2.705671356499195, 716279.299 7724622.357 2.652670939266682, 716278.797 7724622.197 2.9826706710457804, 716278.355 7724621.764 3.347670630067587, 716277.701 7724622.079 3.648669940888882, 716276.351 7724624.43 3.586667389065027, 716274.51 7724627.54 3.676663976699114, 716272.772 7724630.921 3.5396604637503626, 716271.093 7724633.976 3.5046572078466416, 716269.489 7724636.987 3.415654041349888, 716269.112 7724637.523 3.3946534117758276, 716268.869 7724638.065 3.2886528753340243, 716268.324 7724638.603 3.427652119100094, 716267.848 7724639.113 3.4336514299213885, 716267.149 7724639.419 3.4826507146656516, 716266.759 7724639.806 3.501650174498558, 716266.334 7724640.106 3.5186496641337874)</t>
  </si>
  <si>
    <t>POLYGON Z ((716266.334 7724640.106 3.5186496641337874, 716267.04 7724640.364 3.496650010585785, 716267.641 7724640.282 3.491650509774685, 716268.931 7724640.383 3.4596513926684858, 716270.226 7724640.205 3.2176524618268014, 716270.967 7724640.469 3.332652834355831, 716271.78 7724640.395 3.4306534825563433, 716272.277 7724640.636 3.5236536874473097, 716272.967 7724639.543 3.4946549167931082, 716273.851 7724638.063 3.4966565447449685, 716275.433 7724635.147 3.493659636735916, 716277.376 7724631.359 3.4786635706424716, 716279.145 7724627.777 3.4896672437787055, 716280.648 7724624.557 3.489670484781265, 716280.975 7724622.914 3.5526718109846116, 716280.669 7724622.736 3.415671702951193, 716280.073 7724622.591 2.705671356499195, 716279.299 7724622.357 2.652670939266682, 716278.797 7724622.197 2.9826706710457804, 716278.355 7724621.764 3.347670630067587, 716277.701 7724622.079 3.648669940888882, 716276.351 7724624.43 3.586667389065027, 716274.51 7724627.54 3.676663976699114, 716272.772 7724630.921 3.5396604637503626, 716271.093 7724633.976 3.5046572078466416, 716269.489 7724636.987 3.415654041349888, 716269.112 7724637.523 3.3946534117758276, 716268.869 7724638.065 3.2886528753340243, 716268.324 7724638.603 3.427652119100094, 716267.848 7724639.113 3.4336514299213885, 716267.149 7724639.419 3.4826507146656516, 716266.759 7724639.806 3.501650174498558, 716266.334 7724640.106 3.5186496641337874))</t>
  </si>
  <si>
    <t>['KV1136 S1D1 m7-12']</t>
  </si>
  <si>
    <t>LINESTRING Z (715447.063 7725156.794 15.451128410339356, 715449.542 7725160.369 15.43812721824646, 715452.409 7725160.122 15.438127739787102, 715456.785 7725157.917 15.38212934166193, 715453.901 7725155.804 15.58112984085083, 715447.063 7725156.794 15.451128410339356)</t>
  </si>
  <si>
    <t>POLYGON Z ((715447.063 7725156.794 15.451128410339356, 715449.542 7725160.369 15.43812721824646, 715452.409 7725160.122 15.438127739787102, 715456.785 7725157.917 15.38212934166193, 715453.901 7725155.804 15.58112984085083, 715447.063 7725156.794 15.451128410339356))</t>
  </si>
  <si>
    <t>['KV2004 S1D1 m42-70']</t>
  </si>
  <si>
    <t>LINESTRING Z (716203.54 7724556.789 4.63367041772604, 716203.877 7724557.466 4.716670104801655, 716204.261 7724558.313 4.753669698745012, 716205.292 7724559.863 4.774669087797403, 716206.02 7724560.686 4.768668834477663, 716207.228 7724561.087 4.791669065445662, 716208.493 7724561.017 4.783669631689787, 716210.145 7724560.491 4.7996706635952, 716213.959 7724558.889 4.839673312276602, 716216.956 7724557.813 4.816675275504589, 716219.154 7724556.894 4.862676802873612, 716223.66 7724555.118 4.905679865062237, 716228.347 7724553.323 4.97868302410841, 716232.636 7724551.764 5.053685866504908, 716236.739 7724550.078 5.093688720077276, 716238.827 7724548.918 5.045690381556749, 716240.125 7724547.892 5.0716916220784185, 716241.108 7724546.67 5.107692866325379, 716241.98 7724544.588 5.142694650739432, 716242.244 7724542.868 5.144695932239294, 716242.444 7724540.295 5.074697768807411, 716242.619 7724538.058 5.0066993669569495, 716240.411 7724538.052 4.710698439359665, 716240.674 7724542.887 4.735695261687041, 716239.952 7724544.807 4.723693652361631, 716238.31 7724546.697 4.722691677957774, 716235.099 7724548.904 4.8116888355612755, 716230.015 7724550.785 4.7406854380965235, 716225.2 7724552.825 4.697682055532932, 716220.408 7724554.511 4.8036789262890816, 716215.754 7724556.277 4.733675811946392, 716212.141 7724557.857 4.715673256397247, 716209.943 7724558.75 4.733671747654676, 716208.331 7724559.258 4.686670745551586, 716207.152 7724558.965 4.666670454978943, 716206.313 7724558.31 4.6416705481112, 716204.536 7724556.145 4.606671259641647, 716203.54 7724556.789 4.63367041772604)</t>
  </si>
  <si>
    <t>POLYGON Z ((716203.54 7724556.789 4.63367041772604, 716203.877 7724557.466 4.716670104801655, 716204.261 7724558.313 4.753669698745012, 716205.292 7724559.863 4.774669087797403, 716206.02 7724560.686 4.768668834477663, 716207.228 7724561.087 4.791669065445662, 716208.493 7724561.017 4.783669631689787, 716210.145 7724560.491 4.7996706635952, 716213.959 7724558.889 4.839673312276602, 716216.956 7724557.813 4.816675275504589, 716219.154 7724556.894 4.862676802873612, 716223.66 7724555.118 4.905679865062237, 716228.347 7724553.323 4.97868302410841, 716232.636 7724551.764 5.053685866504908, 716236.739 7724550.078 5.093688720077276, 716238.827 7724548.918 5.045690381556749, 716240.125 7724547.892 5.0716916220784185, 716241.108 7724546.67 5.107692866325379, 716241.98 7724544.588 5.142694650739432, 716242.244 7724542.868 5.144695932239294, 716242.444 7724540.295 5.074697768807411, 716242.619 7724538.058 5.0066993669569495, 716240.411 7724538.052 4.710698439359665, 716240.674 7724542.887 4.735695261687041, 716239.952 7724544.807 4.723693652361631, 716238.31 7724546.697 4.722691677957774, 716235.099 7724548.904 4.8116888355612755, 716230.015 7724550.785 4.7406854380965235, 716225.2 7724552.825 4.697682055532932, 716220.408 7724554.511 4.8036789262890816, 716215.754 7724556.277 4.733675811946392, 716212.141 7724557.857 4.715673256397247, 716209.943 7724558.75 4.733671747654676, 716208.331 7724559.258 4.686670745551586, 716207.152 7724558.965 4.666670454978943, 716206.313 7724558.31 4.6416705481112, 716204.536 7724556.145 4.606671259641647, 716203.54 7724556.789 4.63367041772604))</t>
  </si>
  <si>
    <t>['EV6 S185D1 m10821-11453']</t>
  </si>
  <si>
    <t>LINESTRING Z (715568.116 7724617.63 7.498394757419825, 715531.681 7724625.979 7.820378515154124, 715510.124 7724628.213 7.820370189130307, 715479.661 7724629.97 7.820359113842249, 715474.01 7724630.074 1.7973571617901325, 715470.587 7724622.467 2.4783591063916686, 715480.761 7724608.868 1.933368162572384, 715494.74 7724605.445 3.0313744247853758, 715499.388 7724602.457 3.266377289533615, 715500.201 7724596.812 3.4883799270391465, 715500.5 7724593.038 3.516381603419781, 715497.846 7724589.588 3.4523820988833904, 715498.311 7724588.306 3.4573827992379664, 715498.729 7724585.168 3.317384248375893, 715503.267 7724576.454 3.4433894973099233, 715508.679 7724568.821 3.3943946307599546, 715511.634 7724569.722 3.55239532366395, 715515.006 7724572.754 3.552395271509886, 715520.241 7724578.458 3.7893947536945345, 715529.674 7724587.085 4.440394470572472, 715535.703 7724592.415 4.269394336462021, 715542.15 7724595.992 4.269395088970661, 715546.446 7724597.749 4.269395848929882, 715548.865 7724598.408 5.9273964226245885, 715548.95 7724596.745 6.460397175133228, 715548.547 7724593.056 6.926398631721735, 715547.316 7724587.498 8.037400602400304, 715546.987 7724584.228 8.854401898801328, 715550.896 7724580.068 9.047405110001565, 715557.384 7724575.273 9.103409543097019, 715568.527 7724567.124 9.13541717621684, 715571.128 7724565.293 8.709418938279152, 715571.327 7724562.315 8.633420320361854, 715574.622 7724561.706 7.302421803027392, 715575.661 7724565.845 7.174420361340046, 715582.234 7724569.45 6.802421177178622, 715588.873 7724571.674 6.4834226188659665, 715594.484 7724571.582 6.483424719929695, 715597.999 7724574.121 6.4834248652160165, 715600.782 7724586.114 6.046420465648175, 715600.105 7724589.6 5.949418643981218, 715598.19 7724590.716 5.924417451888323, 715594.337 7724591.659 5.877415637671947, 715590.016 7724592.031 5.85741391658783, 715584.961 7724591.782 5.903412214130164, 715580.974 7724590.662 6.000411282807589, 715576.323 7724588.962 6.000410366386175, 715573.749 7724586.166 6.23441067931056, 715568.338 7724582.279 6.420410440891981, 715563.044 7724580.76 6.420409196645021, 715557.587 7724581.517 6.752406894415617, 715553.866 7724585.252 6.752403925359249, 715552.499 7724588.962 6.75240182057023, 715551.434 7724593.066 6.651399656176567, 715552.74 7724599.717 6.455397223562002, 715557.516 7724606.008 6.171396161854267, 715562.869 7724608.541 5.946396932989359, 715567.335 7724608.633 5.8323984640836715, 715580.439 7724605.071 5.729404666692019, 715596.702 7724599.444 5.729412974089384, 715653.592 7724580.659 5.890442251145839, 715682.877 7724571.071 6.029457658946514, 715708.003 7724563.847 6.04347058942914, 715733.317 7724557.504 5.951483322471381, 715763.178 7724551.533 5.757497776597738, 715810.397 7724545.099 5.464519427984953, 715839.483 7724542.928 5.28053198966384, 715890.568 7724542.167 5.280552601695061, 715922.09 7724542.941 4.960564720064402, 715952.828 7724544.377 5.17857618650794, 715983.311 7724546.942 5.45958692279458, 716000.705 7724548.914 5.510592745423317, 716023.994 7724552.437 5.367600006014109, 716069.859 7724560.364 5.367613618224859, 716091.131 7724565.076 4.80361923968792, 716090.739 7724567.747 4.6866174031198025, 716094.486 7724574.805 3.1236144638657573, 716092.226 7724578.448 3.1256112712919712, 716086.143 7724576.526 -0.0473899431526661, 716086.089 7724576.251 4.913610209584236, 716081.556 7724574.342 4.948609598636628, 716073.154 7724571.881 5.038607788145542, 716068.205 7724570.283 5.038606804668904, 716062.111 7724568.485 5.084605485916137, 716048.969 7724564.913 5.138602434903383, 716035.188 7724561.588 5.223598955482244, 716025.259 7724559.494 5.274596254646778, 716012.785 7724556.812 5.331592879533768, 716001.559 7724555.129 5.387589392662049, 715989.309 7724553.19 5.4565856450200085, 715978.806 7724551.609 5.459582374215126, 715974.292 7724551.075 5.499580884099006, 715958.773 7724549.401 5.564575661242008, 715943.552 7724547.971 5.6755704123079775, 715931.372 7724546.941 5.727566150575877, 715923.304 7724546.382 5.766563256025314, 715911.895 7724546.25 5.854558793127537, 715890.179 7724546.173 5.9255502286851405, 715881.075 7724546.189 5.986546618878841, 715867.04 7724546.985 6.078540643513203, 715857.036 7724547.851 6.10553623649478, 715846.235 7724549.062 6.161531345188618, 715836.386 7724549.979 6.210526997774839, 715823.491 7724552.114 6.237520832419396, 715817.486 7724553.149 6.297517949044704, 715806.097 7724555.329 6.3825123871862885, 715794.32 7724557.771 6.384506564557553, 715783.375 7724560.426 6.412500984072685, 715771.224 7724563.632 6.475494684606791, 715762.433 7724566.021 6.460490117400885, 715755.653 7724568.403 6.458486332505942, 715750.449 7724569.957 6.393483579516411, 715733.13 7724574.573 6.361474739402532, 715722.393 7724577.502 6.396469263225794, 715710.732 7724580.535 6.441463425695896, 715696.262 7724584.397 6.5424561800062655, 715681.873 7724587.95 6.624449165284633, 715669.711 7724591.077 6.7014432159960275, 715655.768 7724594.626 6.821436458319425, 715643.926 7724597.655 6.918430747449398, 715640.166 7724598.722 6.954428892254829, 715577.981 7724615.171 7.449399298548698, 715567.525 7724617.778 7.642394485473633, 715568.116 7724617.63 7.498394757419825)</t>
  </si>
  <si>
    <t>POLYGON Z ((715568.116 7724617.63 7.498394757419825, 715531.681 7724625.979 7.820378515154124, 715510.124 7724628.213 7.820370189130307, 715479.661 7724629.97 7.820359113842249, 715474.01 7724630.074 1.7973571617901325, 715470.587 7724622.467 2.4783591063916686, 715480.761 7724608.868 1.933368162572384, 715494.74 7724605.445 3.0313744247853758, 715499.388 7724602.457 3.266377289533615, 715500.201 7724596.812 3.4883799270391465, 715500.5 7724593.038 3.516381603419781, 715497.846 7724589.588 3.4523820988833904, 715498.311 7724588.306 3.4573827992379664, 715498.729 7724585.168 3.317384248375893, 715503.267 7724576.454 3.4433894973099233, 715508.679 7724568.821 3.3943946307599546, 715511.634 7724569.722 3.55239532366395, 715515.006 7724572.754 3.552395271509886, 715520.241 7724578.458 3.7893947536945345, 715529.674 7724587.085 4.440394470572472, 715535.703 7724592.415 4.269394336462021, 715542.15 7724595.992 4.269395088970661, 715546.446 7724597.749 4.269395848929882, 715548.865 7724598.408 5.9273964226245885, 715548.95 7724596.745 6.460397175133228, 715548.547 7724593.056 6.926398631721735, 715547.316 7724587.498 8.037400602400304, 715546.987 7724584.228 8.854401898801328, 715550.896 7724580.068 9.047405110001565, 715557.384 7724575.273 9.103409543097019, 715568.527 7724567.124 9.13541717621684, 715571.128 7724565.293 8.709418938279152, 715571.327 7724562.315 8.633420320361854, 715574.622 7724561.706 7.302421803027392, 715575.661 7724565.845 7.174420361340046, 715582.234 7724569.45 6.802421177178622, 715588.873 7724571.674 6.4834226188659665, 715594.484 7724571.582 6.483424719929695, 715597.999 7724574.121 6.4834248652160165, 715600.782 7724586.114 6.046420465648175, 715600.105 7724589.6 5.949418643981218, 715598.19 7724590.716 5.924417451888323, 715594.337 7724591.659 5.877415637671947, 715590.016 7724592.031 5.85741391658783, 715584.961 7724591.782 5.903412214130164, 715580.974 7724590.662 6.000411282807589, 715576.323 7724588.962 6.000410366386175, 715573.749 7724586.166 6.23441067931056, 715568.338 7724582.279 6.420410440891981, 715563.044 7724580.76 6.420409196645021, 715557.587 7724581.517 6.752406894415617, 715553.866 7724585.252 6.752403925359249, 715552.499 7724588.962 6.75240182057023, 715551.434 7724593.066 6.651399656176567, 715552.74 7724599.717 6.455397223562002, 715557.516 7724606.008 6.171396161854267, 715562.869 7724608.541 5.946396932989359, 715567.335 7724608.633 5.8323984640836715, 715580.439 7724605.071 5.729404666692019, 715596.702 7724599.444 5.729412974089384, 715653.592 7724580.659 5.890442251145839, 715682.877 7724571.071 6.029457658946514, 715708.003 7724563.847 6.04347058942914, 715733.317 7724557.504 5.951483322471381, 715763.178 7724551.533 5.757497776597738, 715810.397 7724545.099 5.464519427984953, 715839.483 7724542.928 5.28053198966384, 715890.568 7724542.167 5.280552601695061, 715922.09 7724542.941 4.960564720064402, 715952.828 7724544.377 5.17857618650794, 715983.311 7724546.942 5.45958692279458, 716000.705 7724548.914 5.510592745423317, 716023.994 7724552.437 5.367600006014109, 716069.859 7724560.364 5.367613618224859, 716091.131 7724565.076 4.80361923968792, 716090.739 7724567.747 4.6866174031198025, 716094.486 7724574.805 3.1236144638657573, 716092.226 7724578.448 3.1256112712919712, 716086.143 7724576.526 -0.0473899431526661, 716086.089 7724576.251 4.913610209584236, 716081.556 7724574.342 4.948609598636628, 716073.154 7724571.881 5.038607788145542, 716068.205 7724570.283 5.038606804668904, 716062.111 7724568.485 5.084605485916137, 716048.969 7724564.913 5.138602434903383, 716035.188 7724561.588 5.223598955482244, 716025.259 7724559.494 5.274596254646778, 716012.785 7724556.812 5.331592879533768, 716001.559 7724555.129 5.387589392662049, 715989.309 7724553.19 5.4565856450200085, 715978.806 7724551.609 5.459582374215126, 715974.292 7724551.075 5.499580884099006, 715958.773 7724549.401 5.564575661242008, 715943.552 7724547.971 5.6755704123079775, 715931.372 7724546.941 5.727566150575877, 715923.304 7724546.382 5.766563256025314, 715911.895 7724546.25 5.854558793127537, 715890.179 7724546.173 5.9255502286851405, 715881.075 7724546.189 5.986546618878841, 715867.04 7724546.985 6.078540643513203, 715857.036 7724547.851 6.10553623649478, 715846.235 7724549.062 6.161531345188618, 715836.386 7724549.979 6.210526997774839, 715823.491 7724552.114 6.237520832419396, 715817.486 7724553.149 6.297517949044704, 715806.097 7724555.329 6.3825123871862885, 715794.32 7724557.771 6.384506564557553, 715783.375 7724560.426 6.412500984072685, 715771.224 7724563.632 6.475494684606791, 715762.433 7724566.021 6.460490117400885, 715755.653 7724568.403 6.458486332505942, 715750.449 7724569.957 6.393483579516411, 715733.13 7724574.573 6.361474739402532, 715722.393 7724577.502 6.396469263225794, 715710.732 7724580.535 6.441463425695896, 715696.262 7724584.397 6.5424561800062655, 715681.873 7724587.95 6.624449165284633, 715669.711 7724591.077 6.7014432159960275, 715655.768 7724594.626 6.821436458319425, 715643.926 7724597.655 6.918430747449398, 715640.166 7724598.722 6.954428892254829, 715577.981 7724615.171 7.449399298548698, 715567.525 7724617.778 7.642394485473633, 715568.116 7724617.63 7.498394757419825))</t>
  </si>
  <si>
    <t>2021-09-24</t>
  </si>
  <si>
    <t>['EV6 S202D1 m9502 SD2 m51-77']</t>
  </si>
  <si>
    <t>LINESTRING Z (809106.44 7783419.73 63.65, 809118.19 7783423.1 63.6, 809115.94 7783429.27 63.38, 809125.76 7783431.12 63.480000000000004, 809125.3 7783432.67 63.370000000000005, 809092.46 7783422.29 63.42, 809092.24 7783421.37 63.47, 809106.44 7783419.73 63.65)</t>
  </si>
  <si>
    <t>POLYGON Z ((809106.44 7783419.73 63.65, 809118.19 7783423.1 63.6, 809115.94 7783429.27 63.38, 809125.76 7783431.12 63.480000000000004, 809125.3 7783432.67 63.370000000000005, 809092.46 7783422.29 63.42, 809092.24 7783421.37 63.47, 809106.44 7783419.73 63.65))</t>
  </si>
  <si>
    <t>['EV6 S202D1 m9502 SD2 m52-58']</t>
  </si>
  <si>
    <t>LINESTRING Z (809110.72 7783407.82 64.13, 809109.15 7783407.71 64.12, 809107.5 7783405.88 64.18, 809108.36 7783401.6 64.29, 809111.79 7783403.71 64.22, 809110.72 7783407.82 64.13)</t>
  </si>
  <si>
    <t>POLYGON Z ((809110.72 7783407.82 64.13, 809109.15 7783407.71 64.12, 809107.5 7783405.88 64.18, 809108.36 7783401.6 64.29, 809111.79 7783403.71 64.22, 809110.72 7783407.82 64.13))</t>
  </si>
  <si>
    <t>['EV6 S202D1 m9502 SD2 m43-49']</t>
  </si>
  <si>
    <t>LINESTRING Z (809120.06 7783403.44 64.28, 809115.76 7783405.53 64.2, 809114.33 7783398.07 64.36, 809115.74 7783397.34 64.39, 809119.91 7783400.99 64.3, 809120.06 7783403.44 64.28)</t>
  </si>
  <si>
    <t>POLYGON Z ((809120.06 7783403.44 64.28, 809115.76 7783405.53 64.2, 809114.33 7783398.07 64.36, 809115.74 7783397.34 64.39, 809119.91 7783400.99 64.3, 809120.06 7783403.44 64.28))</t>
  </si>
  <si>
    <t>['EV6 S202D1 m9502 SD2 m0-26', 'EV6 S202D1 m9502 SD1 m257-288']</t>
  </si>
  <si>
    <t>LINESTRING Z (809151.35 7783397.54 64.5, 809151.8 7783398.4 64.51, 809152.22 7783399.27 64.51, 809152.72 7783400.22 64.55, 809153.81 7783401.69 64.6, 809154.38 7783402.49 64.64, 809155.01 7783403.32 64.65, 809155.54 7783404.01 64.63, 809156.37 7783404.62 64.65, 809157.86 7783405.84 64.65, 809158.85 7783406.6 64.65, 809159.63 7783407.1 64.66, 809160.55 7783407.61 64.63, 809161.43 7783408.02 64.65, 809162.3 7783408.4 64.62, 809163.28 7783408.76 64.62, 809165.11 7783409.39 64.6, 809167.08 7783409.92 64.64, 809168.07 7783410.09 64.61, 809172.05 7783410.95 64.52, 809173.02 7783411.25 64.44, 809173.23 7783411.38 64.46000000000001, 809173.44 7783411.55 64.41, 809173.71 7783411.8 64.4, 809174.33 7783412.77 64.33, 809174.43 7783413.18 64.31, 809174.46 7783413.55 64.3, 809174.37 7783413.71 64.28, 809173.94 7783414.68 64.19, 809173.75 7783414.89 64.2, 809173.52 7783415.1 64.19, 809173.31 7783415.21 64.13, 809172.27 7783415.55 64.12, 809167.78 7783417.03 64.02, 809166.76 7783417.3 64.01, 809164.83 7783417.83 63.980000000000004, 809161.96 7783418.38 63.940000000000005, 809155.13 7783413.24 64.09, 809153.72 7783409.06 64.24, 809148.64 7783405.74 64.26, 809146.63 7783407.06 64.3, 809140.74 7783402.71 64.35, 809149.83 7783394.39 64.44, 809151.35 7783397.54 64.5)</t>
  </si>
  <si>
    <t>POLYGON Z ((809151.35 7783397.54 64.5, 809151.8 7783398.4 64.51, 809152.22 7783399.27 64.51, 809152.72 7783400.22 64.55, 809153.81 7783401.69 64.6, 809154.38 7783402.49 64.64, 809155.01 7783403.32 64.65, 809155.54 7783404.01 64.63, 809156.37 7783404.62 64.65, 809157.86 7783405.84 64.65, 809158.85 7783406.6 64.65, 809159.63 7783407.1 64.66, 809160.55 7783407.61 64.63, 809161.43 7783408.02 64.65, 809162.3 7783408.4 64.62, 809163.28 7783408.76 64.62, 809165.11 7783409.39 64.6, 809167.08 7783409.92 64.64, 809168.07 7783410.09 64.61, 809172.05 7783410.95 64.52, 809173.02 7783411.25 64.44, 809173.23 7783411.38 64.46000000000001, 809173.44 7783411.55 64.41, 809173.71 7783411.8 64.4, 809174.33 7783412.77 64.33, 809174.43 7783413.18 64.31, 809174.46 7783413.55 64.3, 809174.37 7783413.71 64.28, 809173.94 7783414.68 64.19, 809173.75 7783414.89 64.2, 809173.52 7783415.1 64.19, 809173.31 7783415.21 64.13, 809172.27 7783415.55 64.12, 809167.78 7783417.03 64.02, 809166.76 7783417.3 64.01, 809164.83 7783417.83 63.980000000000004, 809161.96 7783418.38 63.940000000000005, 809155.13 7783413.24 64.09, 809153.72 7783409.06 64.24, 809148.64 7783405.74 64.26, 809146.63 7783407.06 64.3, 809140.74 7783402.71 64.35, 809149.83 7783394.39 64.44, 809151.35 7783397.54 64.5))</t>
  </si>
  <si>
    <t>['EV6 S202D1 m9502 SD2 m33-39']</t>
  </si>
  <si>
    <t>LINESTRING Z (809124.8 7783398.87 64.39, 809121.77 7783395.45 64.46000000000001, 809122.52 7783393.82 64.48, 809128.61 7783396.03 64.46000000000001, 809128.98 7783396.99 64.48, 809125.93 7783400.1 64.4, 809124.8 7783398.87 64.39)</t>
  </si>
  <si>
    <t>POLYGON Z ((809124.8 7783398.87 64.39, 809121.77 7783395.45 64.46000000000001, 809122.52 7783393.82 64.48, 809128.61 7783396.03 64.46000000000001, 809128.98 7783396.99 64.48, 809125.93 7783400.1 64.4, 809124.8 7783398.87 64.39))</t>
  </si>
  <si>
    <t>['EV6 S202D1 m9502 SD2 m26-37']</t>
  </si>
  <si>
    <t>LINESTRING Z (809148.09 7783412.69 64.06, 809149.28 7783415.6 63.96, 809144.36 7783417.02 63.95, 809145.79 7783422.01 63.81, 809139.64 7783422.69 63.75, 809132.47 7783407.99 64.16, 809135.86 7783404.48 64.26, 809148.09 7783412.69 64.06)</t>
  </si>
  <si>
    <t>POLYGON Z ((809148.09 7783412.69 64.06, 809149.28 7783415.6 63.96, 809144.36 7783417.02 63.95, 809145.79 7783422.01 63.81, 809139.64 7783422.69 63.75, 809132.47 7783407.99 64.16, 809135.86 7783404.48 64.26, 809148.09 7783412.69 64.06))</t>
  </si>
  <si>
    <t>['EV6 S202D1 m9502 SD2 m47-53']</t>
  </si>
  <si>
    <t>LINESTRING Z (809124.32 7783420.88 63.910000000000004, 809121.69 7783412.79 64.08, 809120.31 7783413.26 64.04, 809119.16 7783420.84 63.800000000000004, 809124.66 7783421.85 63.86, 809124.32 7783420.88 63.910000000000004)</t>
  </si>
  <si>
    <t>POLYGON Z ((809124.32 7783420.88 63.910000000000004, 809121.69 7783412.79 64.08, 809120.31 7783413.26 64.04, 809119.16 7783420.84 63.800000000000004, 809124.66 7783421.85 63.86, 809124.32 7783420.88 63.910000000000004))</t>
  </si>
  <si>
    <t>['EV6 S202D1 m9502 SD2 m40-45']</t>
  </si>
  <si>
    <t>LINESTRING Z (809131.24 7783421.96 63.800000000000004, 809127.76 7783417.08 63.92, 809130.78 7783414.16 64.03, 809129.74 7783411.51 64.1, 809125.3 7783410.85 64.09, 809126.22 7783417.8 63.92, 809129.56 7783422.31 63.82, 809131.7 7783422.58 63.78, 809131.24 7783421.96 63.800000000000004)</t>
  </si>
  <si>
    <t>POLYGON Z ((809131.24 7783421.96 63.800000000000004, 809127.76 7783417.08 63.92, 809130.78 7783414.16 64.03, 809129.74 7783411.51 64.1, 809125.3 7783410.85 64.09, 809126.22 7783417.8 63.92, 809129.56 7783422.31 63.82, 809131.7 7783422.58 63.78, 809131.24 7783421.96 63.800000000000004))</t>
  </si>
  <si>
    <t>['EV6 S202D1 m9502 SD2 m0-21', 'EV6 S202D1 m9502 SD1 m125-145', 'EV6 S202D1 m9502 SD1 m288-373']</t>
  </si>
  <si>
    <t>LINESTRING Z (809138.67 7783375.86 64.92, 809139.4 7783370.13 65.04, 809139.41 7783362.43 65.03, 809138.39 7783345.42 64.84, 809154.81 7783318.05 66.09, 809158.25 7783313.09 66.37, 809163.15 7783307.27 66.7, 809167.95 7783302.7 67, 809173.68 7783297.41 67.35, 809188.36 7783284.09 68.16, 809189.75 7783283.21 68.25, 809190.83 7783283.01 68.27, 809191.71 7783283.03 68.28, 809192.3 7783283.18 68.28, 809192.64 7783283.4 68.25, 809193.06 7783283.79 68.25, 809193.31 7783284.27 68.23, 809193.48 7783284.9 68.19, 809193.72 7783286.27 68.16, 809195.17 7783298.97 67.66, 809195.18 7783300.06 67.63, 809195.02 7783300.83 67.6, 809194.48 7783303.04 67.57000000000001, 809193.64 7783305.4 67.51, 809192.67 7783307.69 67.46000000000001, 809191.98 7783307.98 67.46000000000001, 809191.71 7783309.61 67.48, 809188.62 7783314.42 67.3, 809187.64 7783316.41 67.19, 809182.57 7783321.28 67.08, 809181.01 7783326.02 67.02, 809179.29 7783330.12 66.89, 809178.39 7783329.75 66.9, 809176.9 7783333.35 66.75, 809177.72 7783333.84 66.7, 809176.71 7783335.99 66.6, 809175.74 7783337.75 66.53, 809174.53 7783339.89 66.42, 809173.31 7783342.05 66.3, 809171.73 7783344.61 66.18, 809170.05 7783347.14 66.04, 809168.91 7783348.79 65.96000000000001, 809167.43 7783350.82 65.83, 809166.61 7783350.33 65.84, 809164.47 7783353.25 65.64, 809165.17 7783353.86 65.62, 809163.47 7783355.99 65.51, 809162.83 7783356.74 65.47, 809162.24 7783357.44 65.44, 809160.89 7783359 65.34, 809159.61 7783360.41 65.28, 809158.75 7783361.25 65.23, 809157.35 7783362.56 65.15, 809156.58 7783361.99 65.19, 809153.98 7783364.77 65.06, 809154.69 7783365.45 65.05, 809153.16 7783367.07 64.99, 809151.85 7783368.85 64.97, 809150.85 7783370.55 64.93, 809149.97 7783372.48 64.96000000000001, 809149.51 7783373.47 64.93, 809148.87 7783375.3 64.77, 809146.28 7783375.39 64.78, 809145.42 7783378.11 64.75, 809146.53 7783380.41 64.67, 809144.65 7783383.28 64.68, 809144 7783383.97 64.68, 809143.04 7783385.11 64.65, 809141.55 7783386.47 64.65, 809139.9 7783387.82 64.59, 809138.68 7783388.69 64.57000000000001, 809137.63 7783389.43 64.51, 809135.07 7783384.91 64.62, 809134.36 7783384.35 64.59, 809138.67 7783375.86 64.92)</t>
  </si>
  <si>
    <t>POLYGON Z ((809138.67 7783375.86 64.92, 809139.4 7783370.13 65.04, 809139.41 7783362.43 65.03, 809138.39 7783345.42 64.84, 809154.81 7783318.05 66.09, 809158.25 7783313.09 66.37, 809163.15 7783307.27 66.7, 809167.95 7783302.7 67, 809173.68 7783297.41 67.35, 809188.36 7783284.09 68.16, 809189.75 7783283.21 68.25, 809190.83 7783283.01 68.27, 809191.71 7783283.03 68.28, 809192.3 7783283.18 68.28, 809192.64 7783283.4 68.25, 809193.06 7783283.79 68.25, 809193.31 7783284.27 68.23, 809193.48 7783284.9 68.19, 809193.72 7783286.27 68.16, 809195.17 7783298.97 67.66, 809195.18 7783300.06 67.63, 809195.02 7783300.83 67.6, 809194.48 7783303.04 67.57000000000001, 809193.64 7783305.4 67.51, 809192.67 7783307.69 67.46000000000001, 809191.98 7783307.98 67.46000000000001, 809191.71 7783309.61 67.48, 809188.62 7783314.42 67.3, 809187.64 7783316.41 67.19, 809182.57 7783321.28 67.08, 809181.01 7783326.02 67.02, 809179.29 7783330.12 66.89, 809178.39 7783329.75 66.9, 809176.9 7783333.35 66.75, 809177.72 7783333.84 66.7, 809176.71 7783335.99 66.6, 809175.74 7783337.75 66.53, 809174.53 7783339.89 66.42, 809173.31 7783342.05 66.3, 809171.73 7783344.61 66.18, 809170.05 7783347.14 66.04, 809168.91 7783348.79 65.96000000000001, 809167.43 7783350.82 65.83, 809166.61 7783350.33 65.84, 809164.47 7783353.25 65.64, 809165.17 7783353.86 65.62, 809163.47 7783355.99 65.51, 809162.83 7783356.74 65.47, 809162.24 7783357.44 65.44, 809160.89 7783359 65.34, 809159.61 7783360.41 65.28, 809158.75 7783361.25 65.23, 809157.35 7783362.56 65.15, 809156.58 7783361.99 65.19, 809153.98 7783364.77 65.06, 809154.69 7783365.45 65.05, 809153.16 7783367.07 64.99, 809151.85 7783368.85 64.97, 809150.85 7783370.55 64.93, 809149.97 7783372.48 64.96000000000001, 809149.51 7783373.47 64.93, 809148.87 7783375.3 64.77, 809146.28 7783375.39 64.78, 809145.42 7783378.11 64.75, 809146.53 7783380.41 64.67, 809144.65 7783383.28 64.68, 809144 7783383.97 64.68, 809143.04 7783385.11 64.65, 809141.55 7783386.47 64.65, 809139.9 7783387.82 64.59, 809138.68 7783388.69 64.57000000000001, 809137.63 7783389.43 64.51, 809135.07 7783384.91 64.62, 809134.36 7783384.35 64.59, 809138.67 7783375.86 64.92))</t>
  </si>
  <si>
    <t>['EV6 S202D1 m9502 SD1 m204-291']</t>
  </si>
  <si>
    <t>LINESTRING Z (809172.7 7783385.75 64.98, 809172.53 7783383.29 65.13, 809173.59 7783382.91 65.13, 809174.59 7783382.56 65.19, 809175.57 7783382.19 65.24, 809176.56 7783381.71 65.31, 809177.46 7783381.15 65.35, 809179.31 7783380.02 65.43, 809181.06 7783378.82 65.48, 809182.85 7783377.43 65.54, 809184.01 7783376.43 65.63, 809185.26 7783375.26 65.64, 809186 7783374.44 65.67, 809186.78 7783373.58 65.69, 809188.18 7783371.99 65.71000000000001, 809188.86 7783371.17 65.73, 809196.5 7783361 65.95, 809195.14 7783367.71 65.72, 809191.96 7783369.92 65.69, 809187.85 7783384.7 65.21000000000001, 809186.37 7783386.93 65.29, 809185.71 7783387.63 65.27, 809185.27 7783387.95 65.27, 809184.42 7783388.55 65.24, 809182.99 7783389.37 65.21000000000001, 809182.07 7783389.78 65.18, 809180.87 7783390.22 65.16, 809179.86 7783390.53 65.13, 809178.9 7783390.72 65.11, 809177.89 7783390.73 65.08, 809177.03 7783390.64 65.07000000000001, 809176.21 7783390.44 65.04, 809175.3 7783390.1 65.03, 809174.21 7783389.69 65, 809173.36 7783389.16 64.97, 809172.46 7783388.42 64.91, 809171.76 7783387.77 64.9, 809171.14 7783386.99 64.86, 809170.88 7783386.62 64.85, 809172.7 7783385.75 64.98)</t>
  </si>
  <si>
    <t>POLYGON Z ((809172.7 7783385.75 64.98, 809172.53 7783383.29 65.13, 809173.59 7783382.91 65.13, 809174.59 7783382.56 65.19, 809175.57 7783382.19 65.24, 809176.56 7783381.71 65.31, 809177.46 7783381.15 65.35, 809179.31 7783380.02 65.43, 809181.06 7783378.82 65.48, 809182.85 7783377.43 65.54, 809184.01 7783376.43 65.63, 809185.26 7783375.26 65.64, 809186 7783374.44 65.67, 809186.78 7783373.58 65.69, 809188.18 7783371.99 65.71000000000001, 809188.86 7783371.17 65.73, 809196.5 7783361 65.95, 809195.14 7783367.71 65.72, 809191.96 7783369.92 65.69, 809187.85 7783384.7 65.21000000000001, 809186.37 7783386.93 65.29, 809185.71 7783387.63 65.27, 809185.27 7783387.95 65.27, 809184.42 7783388.55 65.24, 809182.99 7783389.37 65.21000000000001, 809182.07 7783389.78 65.18, 809180.87 7783390.22 65.16, 809179.86 7783390.53 65.13, 809178.9 7783390.72 65.11, 809177.89 7783390.73 65.08, 809177.03 7783390.64 65.07000000000001, 809176.21 7783390.44 65.04, 809175.3 7783390.1 65.03, 809174.21 7783389.69 65, 809173.36 7783389.16 64.97, 809172.46 7783388.42 64.91, 809171.76 7783387.77 64.9, 809171.14 7783386.99 64.86, 809170.88 7783386.62 64.85, 809172.7 7783385.75 64.98))</t>
  </si>
  <si>
    <t>['EV6 S202D1 m9502 SD2 m68-85']</t>
  </si>
  <si>
    <t>LINESTRING Z (809095.05 7783413.17 63.81, 809082.99 7783415.91 63.28, 809083.1 7783408.72 63.99, 809097.21 7783408.06 64.05, 809099.12 7783412.25 63.940000000000005, 809095.05 7783413.17 63.81)</t>
  </si>
  <si>
    <t>POLYGON Z ((809095.05 7783413.17 63.81, 809082.99 7783415.91 63.28, 809083.1 7783408.72 63.99, 809097.21 7783408.06 64.05, 809099.12 7783412.25 63.940000000000005, 809095.05 7783413.17 63.81))</t>
  </si>
  <si>
    <t>['EV6 S202D1 m9502 SD1 m242-373']</t>
  </si>
  <si>
    <t>LINESTRING Z (809171.89 7783380.93 65.2, 809171.4 7783380.87 65.21000000000001, 809170.84 7783380.82 65.2, 809170.37 7783380.61 65.21000000000001, 809170.08 7783380.43 65.21000000000001, 809169.93 7783380.1 65.2, 809169.9 7783379.9 65.22, 809170.01 7783379.47 65.26, 809170.2 7783379.11 65.26, 809170.52 7783378.75 65.29, 809171.15 7783378.03 65.33, 809178.09 7783369.64 65.83, 809178 7783366.24 65.88, 809178.14 7783365.91 65.83, 809181.17 7783362.17 66.01, 809181.89 7783361.12 66.04, 809183.07 7783359.37 66.12, 809184.11 7783357.61 66.2, 809186.31 7783354.17 66.38, 809187.31 7783352.44 66.45, 809188.31 7783350.56 66.53, 809189.66 7783347.84 66.61, 809192.86 7783341.24 66.88, 809194.17 7783338.39 67, 809194.87 7783336.66 67.08, 809195.59 7783335.03 67.14, 809196.09 7783333.38 67.18, 809197.56 7783328.72 67.13, 809194.73 7783327.86 67.13, 809193.34 7783324.58 67.17, 809193.68 7783323.18 67.2, 809194.54 7783320.18 67.29, 809195.29 7783317.62 67.33, 809195.79 7783315.47 67.36, 809196.34 7783313.45 67.36, 809196.76 7783313.52 67.35, 809197.82 7783322.4 67.1, 809197.97 7783324.4 67.04, 809198.13 7783326.42 67.01, 809198.38 7783330.26 66.88, 809198.45 7783333.17 66.77, 809198.5 7783336.57 66.69, 809198.39 7783341.5 66.53, 809198.18 7783345.69 66.4, 809197.88 7783349.65 66.25, 809197.17 7783356.06 66.08, 809186.97 7783369.9 65.74, 809185.57 7783371.67 65.71000000000001, 809184.11 7783373.37 65.71000000000001, 809182.43 7783374.88 65.65, 809180.74 7783376.29 65.57000000000001, 809179 7783377.65 65.48, 809177.14 7783378.84 65.41, 809175.32 7783379.91 65.33, 809174.32 7783380.4 65.3, 809173.45 7783380.77 65.28, 809172.44 7783380.95 65.23, 809171.89 7783380.93 65.2)</t>
  </si>
  <si>
    <t>POLYGON Z ((809171.89 7783380.93 65.2, 809171.4 7783380.87 65.21000000000001, 809170.84 7783380.82 65.2, 809170.37 7783380.61 65.21000000000001, 809170.08 7783380.43 65.21000000000001, 809169.93 7783380.1 65.2, 809169.9 7783379.9 65.22, 809170.01 7783379.47 65.26, 809170.2 7783379.11 65.26, 809170.52 7783378.75 65.29, 809171.15 7783378.03 65.33, 809178.09 7783369.64 65.83, 809178 7783366.24 65.88, 809178.14 7783365.91 65.83, 809181.17 7783362.17 66.01, 809181.89 7783361.12 66.04, 809183.07 7783359.37 66.12, 809184.11 7783357.61 66.2, 809186.31 7783354.17 66.38, 809187.31 7783352.44 66.45, 809188.31 7783350.56 66.53, 809189.66 7783347.84 66.61, 809192.86 7783341.24 66.88, 809194.17 7783338.39 67, 809194.87 7783336.66 67.08, 809195.59 7783335.03 67.14, 809196.09 7783333.38 67.18, 809197.56 7783328.72 67.13, 809194.73 7783327.86 67.13, 809193.34 7783324.58 67.17, 809193.68 7783323.18 67.2, 809194.54 7783320.18 67.29, 809195.29 7783317.62 67.33, 809195.79 7783315.47 67.36, 809196.34 7783313.45 67.36, 809196.76 7783313.52 67.35, 809197.82 7783322.4 67.1, 809197.97 7783324.4 67.04, 809198.13 7783326.42 67.01, 809198.38 7783330.26 66.88, 809198.45 7783333.17 66.77, 809198.5 7783336.57 66.69, 809198.39 7783341.5 66.53, 809198.18 7783345.69 66.4, 809197.88 7783349.65 66.25, 809197.17 7783356.06 66.08, 809186.97 7783369.9 65.74, 809185.57 7783371.67 65.71000000000001, 809184.11 7783373.37 65.71000000000001, 809182.43 7783374.88 65.65, 809180.74 7783376.29 65.57000000000001, 809179 7783377.65 65.48, 809177.14 7783378.84 65.41, 809175.32 7783379.91 65.33, 809174.32 7783380.4 65.3, 809173.45 7783380.77 65.28, 809172.44 7783380.95 65.23, 809171.89 7783380.93 65.2))</t>
  </si>
  <si>
    <t>['EV6 S202D1 m9502 SD2 m0-52', 'EV6 S202D1 m9502 SD1 m246-288']</t>
  </si>
  <si>
    <t>LINESTRING Z (809127.71 7783423.91 63.6, 809132.47 7783424.37 63.61, 809135.47 7783424.56 63.63, 809138.61 7783424.61 63.65, 809140.52 7783424.64 63.63, 809143.63 7783424.38 63.63, 809146.68 7783424.03 63.64, 809149.8 7783423.54 63.68, 809153.8 7783422.77 63.7, 809156.34 7783422.26 63.7, 809160.67 7783421.21 63.76, 809163.53 7783420.37 63.76, 809167.11 7783419.3 63.800000000000004, 809175.9 7783416.04 63.95, 809184.25 7783412.76 64.17, 809188.61 7783410.84 64.22, 809188.72 7783410.93 64.22, 809191.02 7783409.91 64.26, 809202.8 7783442.47 65.54, 809193.63 7783446.65 65.3, 809180.86 7783446.62 64.17, 809171.4 7783444.06 63.410000000000004, 809154 7783440.93 62.75, 809145.22 7783438.54 62.92, 809133.11 7783435.97 63.1, 809125.98 7783433.2 63.300000000000004, 809125.01 7783423.61 63.6, 809127.71 7783423.91 63.6)</t>
  </si>
  <si>
    <t>POLYGON Z ((809127.71 7783423.91 63.6, 809132.47 7783424.37 63.61, 809135.47 7783424.56 63.63, 809138.61 7783424.61 63.65, 809140.52 7783424.64 63.63, 809143.63 7783424.38 63.63, 809146.68 7783424.03 63.64, 809149.8 7783423.54 63.68, 809153.8 7783422.77 63.7, 809156.34 7783422.26 63.7, 809160.67 7783421.21 63.76, 809163.53 7783420.37 63.76, 809167.11 7783419.3 63.800000000000004, 809175.9 7783416.04 63.95, 809184.25 7783412.76 64.17, 809188.61 7783410.84 64.22, 809188.72 7783410.93 64.22, 809191.02 7783409.91 64.26, 809202.8 7783442.47 65.54, 809193.63 7783446.65 65.3, 809180.86 7783446.62 64.17, 809171.4 7783444.06 63.410000000000004, 809154 7783440.93 62.75, 809145.22 7783438.54 62.92, 809133.11 7783435.97 63.1, 809125.98 7783433.2 63.300000000000004, 809125.01 7783423.61 63.6, 809127.71 7783423.91 63.6))</t>
  </si>
  <si>
    <t>['EV6 S204D1 m7536 KD1 m63-82', 'EV6 S204D1 m7520-7533', 'EV6 S204D20 m4-213']</t>
  </si>
  <si>
    <t>LINESTRING Z (818209.35 7785082.05 3.53, 818212.27 7785077.95 3.5, 818214.58 7785074.59 3.51, 818218.06 7785068.26 3.48, 818220.7 7785062.31 3.5, 818222.23 7785056.98 3.48, 818223.56 7785049.67 3.51, 818224.01 7785044.02 3.51, 818224.02 7785039.34 3.51, 818223.47 7785032.26 3.53, 818222.27 7785026.4 3.52, 818220.8 7785021.32 3.55, 818218.97 7785016.6 3.53, 818214.52 7785007.89 3.54, 818202.85 7784988.08 3.51, 818198.05 7784978.78 3.48, 818195.26 7784971.32 3.48, 818193.66 7784965.2 3.47, 818192.97 7784961.35 3.46, 818192.34 7784956.72 3.44, 818192.01 7784950.69 3.42, 818192.22 7784945.06 3.42, 818192.61 7784940.73 3.42, 818193.11 7784936.41 3.4, 818193.9 7784932.49 3.4, 818195.55 7784926.66 3.42, 818197.7 7784920.76 3.44, 818199.66 7784916.28 3.46, 818203.12 7784908.59 3.52, 818207.14 7784899.8 3.57, 818209.12 7784893.83 3.62, 818209.83 7784889.64 3.64, 818209.85 7784887.26 3.68, 818209.67 7784884.45 3.72, 818209.14 7784882.08 3.79, 818208.32 7784879.29 3.84, 818207.31 7784877.5 3.87, 818205.03 7784875.73 3.84, 818203.27 7784874.71 3.83, 818198.47 7784873.11 3.74, 818194.42 7784872.24 3.67, 818194.8 7784873.54 3.58, 818196.06 7784875.07 3.55, 818198.7 7784878.16 3.49, 818201.36 7784881.14 3.45, 818203.21 7784883.69 3.48, 818204.08 7784885.3 3.44, 818204.73 7784887.02 3.45, 818205.37 7784889.98 3.38, 818205.26 7784893.11 3.34, 818204.05 7784896.88 3.35, 818200.49 7784906.01 3.24, 818197.59 7784912.7 3.24, 818193.47 7784922.31 3.28, 818191.91 7784927.31 3.27, 818190.62 7784932.36 3.29, 818189.52 7784937.58 3.31, 818188.89 7784944.6 3.33, 818188.66 7784950.07 3.36, 818188.72 7784956.19 3.35, 818189.01 7784958.93 3.34, 818189.5 7784961.85 3.34, 818190.12 7784964.97 3.35, 818190.92 7784968.09 3.35, 818193.47 7784976.3 3.36, 818195.91 7784982.23 3.38, 818199.08 7784988.45 3.42, 818201.02 7784992.08 3.44, 818207.02 7785002.06 3.42, 818212.06 7785010.53 3.46, 818214.81 7785015.69 3.41, 818216.74 7785020.47 3.37, 818219.67 7785030.67 3.39, 818220.1 7785033.16 3.41, 818220.65 7785040.18 3.36, 818220.39 7785046.46 3.32, 818219.72 7785051.96 3.37, 818218.2 7785057.99 3.34, 818216.53 7785062.99 3.36, 818213.83 7785068.68 3.36, 818212.4 7785071.4 3.33, 818209.97 7785075.28 3.32, 818206.57 7785079.87 3.31, 818209.35 7785082.05 3.53)</t>
  </si>
  <si>
    <t>POLYGON Z ((818209.35 7785082.05 3.53, 818212.27 7785077.95 3.5, 818214.58 7785074.59 3.51, 818218.06 7785068.26 3.48, 818220.7 7785062.31 3.5, 818222.23 7785056.98 3.48, 818223.56 7785049.67 3.51, 818224.01 7785044.02 3.51, 818224.02 7785039.34 3.51, 818223.47 7785032.26 3.53, 818222.27 7785026.4 3.52, 818220.8 7785021.32 3.55, 818218.97 7785016.6 3.53, 818214.52 7785007.89 3.54, 818202.85 7784988.08 3.51, 818198.05 7784978.78 3.48, 818195.26 7784971.32 3.48, 818193.66 7784965.2 3.47, 818192.97 7784961.35 3.46, 818192.34 7784956.72 3.44, 818192.01 7784950.69 3.42, 818192.22 7784945.06 3.42, 818192.61 7784940.73 3.42, 818193.11 7784936.41 3.4, 818193.9 7784932.49 3.4, 818195.55 7784926.66 3.42, 818197.7 7784920.76 3.44, 818199.66 7784916.28 3.46, 818203.12 7784908.59 3.52, 818207.14 7784899.8 3.57, 818209.12 7784893.83 3.62, 818209.83 7784889.64 3.64, 818209.85 7784887.26 3.68, 818209.67 7784884.45 3.72, 818209.14 7784882.08 3.79, 818208.32 7784879.29 3.84, 818207.31 7784877.5 3.87, 818205.03 7784875.73 3.84, 818203.27 7784874.71 3.83, 818198.47 7784873.11 3.74, 818194.42 7784872.24 3.67, 818194.8 7784873.54 3.58, 818196.06 7784875.07 3.55, 818198.7 7784878.16 3.49, 818201.36 7784881.14 3.45, 818203.21 7784883.69 3.48, 818204.08 7784885.3 3.44, 818204.73 7784887.02 3.45, 818205.37 7784889.98 3.38, 818205.26 7784893.11 3.34, 818204.05 7784896.88 3.35, 818200.49 7784906.01 3.24, 818197.59 7784912.7 3.24, 818193.47 7784922.31 3.28, 818191.91 7784927.31 3.27, 818190.62 7784932.36 3.29, 818189.52 7784937.58 3.31, 818188.89 7784944.6 3.33, 818188.66 7784950.07 3.36, 818188.72 7784956.19 3.35, 818189.01 7784958.93 3.34, 818189.5 7784961.85 3.34, 818190.12 7784964.97 3.35, 818190.92 7784968.09 3.35, 818193.47 7784976.3 3.36, 818195.91 7784982.23 3.38, 818199.08 7784988.45 3.42, 818201.02 7784992.08 3.44, 818207.02 7785002.06 3.42, 818212.06 7785010.53 3.46, 818214.81 7785015.69 3.41, 818216.74 7785020.47 3.37, 818219.67 7785030.67 3.39, 818220.1 7785033.16 3.41, 818220.65 7785040.18 3.36, 818220.39 7785046.46 3.32, 818219.72 7785051.96 3.37, 818218.2 7785057.99 3.34, 818216.53 7785062.99 3.36, 818213.83 7785068.68 3.36, 818212.4 7785071.4 3.33, 818209.97 7785075.28 3.32, 818206.57 7785079.87 3.31, 818209.35 7785082.05 3.53))</t>
  </si>
  <si>
    <t>['EV45 S1D1 m2829-3455']</t>
  </si>
  <si>
    <t>LINESTRING Z (815440.22 7779556.8 15.5, 815442.22 7779557.72 15.450000000000001, 815444.97 7779559.64 15.34, 815447.39 7779561.18 15.27, 815451.02 7779563.77 15.13, 815457.32 7779568.84 14.99, 815456.69 7779569.63 14.97, 815453.23 7779568.75 14.98, 815425.8 7779605.82 14.59, 815400.34 7779639.02 15.48, 815387.78 7779654.13 15.93, 815376.62 7779664.74 16.59, 815360.4 7779680.19 17.36, 815342.1 7779696.15 18.07, 815327.62 7779710.04 18.84, 815319.96 7779721.81 18.79, 815311.4 7779728.78 19.19, 815287.56 7779754.18 19.87, 815269.92 7779783.14 19.98, 815263.36 7779799.37 19.12, 815252.67 7779807.85 19.75, 815233.6 7779832.87 19.32, 815223.03 7779838.13 19.61, 815212.9 7779839.98 20.21, 815200.62 7779834.44 20.830000000000002, 815198.27 7779833.67 20.75, 815178.72 7779844.33 20.39, 815157.56 7779863.2 19.6, 815133.69 7779883.01 18.87, 815112.25 7779899.75 18.13, 815093.58 7779913.65 17.27, 815068.24 7779932.83 16.21, 815045.18 7779950.65 15.370000000000001, 815036.13 7779959.64 15.11, 814992.22 7780003.26 15.42, 814988.64 7780000.39 15.4, 814993.49 7779994.33 15.31, 815015.46 7779971.18 15.38, 815031.21 7779958.23 15.56, 815043.53 7779942.89 16.12, 815055.67 7779933.19 16.59, 815065.51 7779925.63 17.05, 815080.59 7779914.39 17.66, 815096.4 7779902.67 18.27, 815097.89 7779901.59 18.34, 815109.14 7779893.12 18.740000000000002, 815116.61 7779887.3 19.04, 815129.6 7779877.15 19.47, 815133.62 7779873.94 19.56, 815140.51 7779868.2 19.82, 815150.6 7779859.68 20.150000000000002, 815160.12 7779851.33 20.47, 815166.52 7779845.67 20.7, 815172.06 7779840.66 20.86, 815180.69 7779832.59 21.2, 815206.01 7779808.42 22.04, 815222.07 7779792.9 22.11, 815222.39 7779792.93 22.1, 815222.95 7779793.98 21.94, 815221.08 7779798.65 21.740000000000002, 815224.41 7779801.07 21.69, 815224.08 7779801.39 21.69, 815218.18 7779802.67 21.61, 815216.93 7779807.25 21.47, 815213.93 7779806.84 21.48, 815211.07 7779814.89 21.38, 815206.65 7779819.53 21.48, 815208.67 7779822.06 21.400000000000002, 815211.98 7779821.88 21.52, 815214.15 7779816.95 21.46, 815219.38 7779808.98 21.48, 815228.87 7779801.89 21.71, 815225.42 7779793.48 21.97, 815225.2 7779789.75 22.09, 815225.96 7779788.79 22.01, 815233.23 7779781.58 22, 815241.4 7779773.2 21.89, 815249.94 7779764.48 21.76, 815263.78 7779750.39 21.61, 815271.96 7779742.19 21.45, 815291.99 7779722.27 20.89, 815314.47 7779699.93 20.080000000000002, 815327.53 7779686.61 19.68, 815335.12 7779678.39 19.38, 815340.21 7779672.63 19.150000000000002, 815342.17 7779670.29 19.07, 815348.52 7779662.58 18.78, 815355.78 7779653.51 18.37, 815362.16 7779644.92 18.05, 815366.34 7779639.01 17.87, 815387.98 7779606.88 17.11, 815390.28 7779603.78 16.98, 815393.46 7779600.09 16.81, 815395.98 7779597.65 16.66, 815399.69 7779594.59 16.52, 815402.79 7779592.37 16.39, 815405.41 7779590.69 16.26, 815415.24 7779584.28 15.89, 815421.61 7779579.66 15.65, 815425.75 7779576.05 15.450000000000001, 815429.08 7779572.2 15.32, 815430.65 7779569.88 15.3, 815432.6 7779566.35 15.32, 815437.33 7779555.68 15.57, 815440.22 7779556.8 15.5)</t>
  </si>
  <si>
    <t>POLYGON Z ((815440.22 7779556.8 15.5, 815442.22 7779557.72 15.450000000000001, 815444.97 7779559.64 15.34, 815447.39 7779561.18 15.27, 815451.02 7779563.77 15.13, 815457.32 7779568.84 14.99, 815456.69 7779569.63 14.97, 815453.23 7779568.75 14.98, 815425.8 7779605.82 14.59, 815400.34 7779639.02 15.48, 815387.78 7779654.13 15.93, 815376.62 7779664.74 16.59, 815360.4 7779680.19 17.36, 815342.1 7779696.15 18.07, 815327.62 7779710.04 18.84, 815319.96 7779721.81 18.79, 815311.4 7779728.78 19.19, 815287.56 7779754.18 19.87, 815269.92 7779783.14 19.98, 815263.36 7779799.37 19.12, 815252.67 7779807.85 19.75, 815233.6 7779832.87 19.32, 815223.03 7779838.13 19.61, 815212.9 7779839.98 20.21, 815200.62 7779834.44 20.830000000000002, 815198.27 7779833.67 20.75, 815178.72 7779844.33 20.39, 815157.56 7779863.2 19.6, 815133.69 7779883.01 18.87, 815112.25 7779899.75 18.13, 815093.58 7779913.65 17.27, 815068.24 7779932.83 16.21, 815045.18 7779950.65 15.370000000000001, 815036.13 7779959.64 15.11, 814992.22 7780003.26 15.42, 814988.64 7780000.39 15.4, 814993.49 7779994.33 15.31, 815015.46 7779971.18 15.38, 815031.21 7779958.23 15.56, 815043.53 7779942.89 16.12, 815055.67 7779933.19 16.59, 815065.51 7779925.63 17.05, 815080.59 7779914.39 17.66, 815096.4 7779902.67 18.27, 815097.89 7779901.59 18.34, 815109.14 7779893.12 18.740000000000002, 815116.61 7779887.3 19.04, 815129.6 7779877.15 19.47, 815133.62 7779873.94 19.56, 815140.51 7779868.2 19.82, 815150.6 7779859.68 20.150000000000002, 815160.12 7779851.33 20.47, 815166.52 7779845.67 20.7, 815172.06 7779840.66 20.86, 815180.69 7779832.59 21.2, 815206.01 7779808.42 22.04, 815222.07 7779792.9 22.11, 815222.39 7779792.93 22.1, 815222.95 7779793.98 21.94, 815221.08 7779798.65 21.740000000000002, 815224.41 7779801.07 21.69, 815224.08 7779801.39 21.69, 815218.18 7779802.67 21.61, 815216.93 7779807.25 21.47, 815213.93 7779806.84 21.48, 815211.07 7779814.89 21.38, 815206.65 7779819.53 21.48, 815208.67 7779822.06 21.400000000000002, 815211.98 7779821.88 21.52, 815214.15 7779816.95 21.46, 815219.38 7779808.98 21.48, 815228.87 7779801.89 21.71, 815225.42 7779793.48 21.97, 815225.2 7779789.75 22.09, 815225.96 7779788.79 22.01, 815233.23 7779781.58 22, 815241.4 7779773.2 21.89, 815249.94 7779764.48 21.76, 815263.78 7779750.39 21.61, 815271.96 7779742.19 21.45, 815291.99 7779722.27 20.89, 815314.47 7779699.93 20.080000000000002, 815327.53 7779686.61 19.68, 815335.12 7779678.39 19.38, 815340.21 7779672.63 19.150000000000002, 815342.17 7779670.29 19.07, 815348.52 7779662.58 18.78, 815355.78 7779653.51 18.37, 815362.16 7779644.92 18.05, 815366.34 7779639.01 17.87, 815387.98 7779606.88 17.11, 815390.28 7779603.78 16.98, 815393.46 7779600.09 16.81, 815395.98 7779597.65 16.66, 815399.69 7779594.59 16.52, 815402.79 7779592.37 16.39, 815405.41 7779590.69 16.26, 815415.24 7779584.28 15.89, 815421.61 7779579.66 15.65, 815425.75 7779576.05 15.450000000000001, 815429.08 7779572.2 15.32, 815430.65 7779569.88 15.3, 815432.6 7779566.35 15.32, 815437.33 7779555.68 15.57, 815440.22 7779556.8 15.5))</t>
  </si>
  <si>
    <t>['EV45 S1D1 m3632-3679']</t>
  </si>
  <si>
    <t>LINESTRING Z (815490.41 7779386.38 14.5, 815488.55 7779384.79 14.57, 815487.31 7779383.53 14.61, 815486.29 7779382.18 14.64, 815485.55 7779381.03 14.66, 815485.01 7779379.76 14.69, 815484.23 7779377.23 14.700000000000001, 815484.33 7779376.79 14.700000000000001, 815484.42 7779376.45 14.69, 815492.08 7779359.17 14.59, 815502.15 7779343.22 14.44, 815502.74 7779342.43 14.47, 815503.27 7779341.43 14.5, 815503.75 7779340.92 14.530000000000001, 815503.6 7779342.68 14.49, 815503.51 7779343.38 14.48, 815503.37 7779343.86 14.48, 815503.12 7779344.29 14.48, 815501.83 7779347.08 14.450000000000001, 815500.51 7779349.97 14.46, 815498.31 7779354.87 14.43, 815496.21 7779359.78 14.44, 815494.2 7779364.5 14.39, 815492.38 7779369.16 14.38, 815491.57 7779371.31 14.39, 815490.83 7779374.18 14.4, 815490.58 7779375.8 14.4, 815490.6 7779376.89 14.4, 815490.69 7779377.78 14.39, 815490.83 7779379.04 14.4, 815491.11 7779380.05 14.39, 815491.54 7779381.23 14.39, 815492.2 7779382.37 14.39, 815492.84 7779383.36 14.4, 815493.29 7779384.21 14.38, 815493.46 7779384.99 14.38, 815493.49 7779385.53 14.4, 815493.44 7779386.25 14.41, 815493.24 7779386.77 14.42, 815492.68 7779387.8 14.43, 815490.41 7779386.38 14.5)</t>
  </si>
  <si>
    <t>POLYGON Z ((815490.41 7779386.38 14.5, 815488.55 7779384.79 14.57, 815487.31 7779383.53 14.61, 815486.29 7779382.18 14.64, 815485.55 7779381.03 14.66, 815485.01 7779379.76 14.69, 815484.23 7779377.23 14.700000000000001, 815484.33 7779376.79 14.700000000000001, 815484.42 7779376.45 14.69, 815492.08 7779359.17 14.59, 815502.15 7779343.22 14.44, 815502.74 7779342.43 14.47, 815503.27 7779341.43 14.5, 815503.75 7779340.92 14.530000000000001, 815503.6 7779342.68 14.49, 815503.51 7779343.38 14.48, 815503.37 7779343.86 14.48, 815503.12 7779344.29 14.48, 815501.83 7779347.08 14.450000000000001, 815500.51 7779349.97 14.46, 815498.31 7779354.87 14.43, 815496.21 7779359.78 14.44, 815494.2 7779364.5 14.39, 815492.38 7779369.16 14.38, 815491.57 7779371.31 14.39, 815490.83 7779374.18 14.4, 815490.58 7779375.8 14.4, 815490.6 7779376.89 14.4, 815490.69 7779377.78 14.39, 815490.83 7779379.04 14.4, 815491.11 7779380.05 14.39, 815491.54 7779381.23 14.39, 815492.2 7779382.37 14.39, 815492.84 7779383.36 14.4, 815493.29 7779384.21 14.38, 815493.46 7779384.99 14.38, 815493.49 7779385.53 14.4, 815493.44 7779386.25 14.41, 815493.24 7779386.77 14.42, 815492.68 7779387.8 14.43, 815490.41 7779386.38 14.5))</t>
  </si>
  <si>
    <t>['EV45 S1D1 m3638-3708']</t>
  </si>
  <si>
    <t>LINESTRING Z (815504.07 7779386.01 13.97, 815501.06 7779384.96 14.120000000000001, 815499.81 7779384.47 14.200000000000001, 815498.83 7779383.92 14.25, 815497.15 7779382.92 14.31, 815496.01 7779381.88 14.33, 815495.15 7779380.55 14.31, 815494.5 7779378.87 14.32, 815494.14 7779377.18 14.31, 815494.1 7779375.39 14.31, 815494.18 7779373.86 14.33, 815494.7 7779371.91 14.36, 815495.27 7779370.21 14.35, 815495.99 7779368.45 14.36, 815500.37 7779358.13 14.39, 815503.79 7779350.22 14.41, 815507.59 7779341.93 15.06, 815509.34 7779342.72 14.98, 815511.14 7779337.99 14.35, 815509.5 7779337.29 14.41, 815517.56 7779318.63 14.25, 815522.46 7779318.07 12.39, 815503 7779367.48 14.05, 815502.55 7779379.78 13.84, 815506.04 7779386.54 13.870000000000001, 815504.07 7779386.01 13.97)</t>
  </si>
  <si>
    <t>POLYGON Z ((815504.07 7779386.01 13.97, 815501.06 7779384.96 14.120000000000001, 815499.81 7779384.47 14.200000000000001, 815498.83 7779383.92 14.25, 815497.15 7779382.92 14.31, 815496.01 7779381.88 14.33, 815495.15 7779380.55 14.31, 815494.5 7779378.87 14.32, 815494.14 7779377.18 14.31, 815494.1 7779375.39 14.31, 815494.18 7779373.86 14.33, 815494.7 7779371.91 14.36, 815495.27 7779370.21 14.35, 815495.99 7779368.45 14.36, 815500.37 7779358.13 14.39, 815503.79 7779350.22 14.41, 815507.59 7779341.93 15.06, 815509.34 7779342.72 14.98, 815511.14 7779337.99 14.35, 815509.5 7779337.29 14.41, 815517.56 7779318.63 14.25, 815522.46 7779318.07 12.39, 815503 7779367.48 14.05, 815502.55 7779379.78 13.84, 815506.04 7779386.54 13.870000000000001, 815504.07 7779386.01 13.97))</t>
  </si>
  <si>
    <t>['EV45 S1D1 m3462-3623']</t>
  </si>
  <si>
    <t>LINESTRING Z (815461.04 7779518.87 14.65, 815461.83 7779517.93 14.620000000000001, 815463.07 7779516.3 14.56, 815464.71 7779513.75 14.52, 815465.75 7779512 14.52, 815467.16 7779508.96 14.52, 815468.11 7779506.44 14.540000000000001, 815468.75 7779504.61 14.56, 815469.15 7779503.15 14.56, 815469.65 7779500.66 14.59, 815470.04 7779498.72 14.6, 815473.98 7779477.56 14.76, 815475.42 7779469.66 14.790000000000001, 815476.95 7779460.66 14.84, 815477.2 7779458.23 14.870000000000001, 815477.54 7779455.09 14.88, 815477.58 7779452.59 14.870000000000001, 815477.48 7779449.75 14.89, 815477.06 7779447.05 14.93, 815476.56 7779443.9 14.96, 815476.08 7779439.52 14.99, 815475.92 7779436.73 15.01, 815476.05 7779434.39 15.030000000000001, 815476.34 7779431.93 15.06, 815476.92 7779428.75 15.06, 815477.76 7779425.41 15.05, 815478.78 7779422.27 15.05, 815481.55 7779417.09 14.97, 815484.61 7779412.59 14.88, 815488.21 7779406.93 14.82, 815492.14 7779398.97 14.61, 815497.72 7779399.83 14.38, 815483.87 7779448.72 13.200000000000001, 815480.78 7779475.3 13.55, 815479.69 7779486.19 13.3, 815477.56 7779508.56 13.85, 815475.64 7779520.01 13.91, 815473.39 7779533.16 13.91, 815469.78 7779542.67 13.950000000000001, 815463.12 7779554.51 13.99, 815461.66 7779558.94 15.3, 815455.38 7779552.12 15.41, 815454.5 7779551.34 15.44, 815453.74 7779550.82 15.43, 815448.21 7779547.16 15.52, 815444.27 7779544.74 15.610000000000001, 815443.51 7779544.21 15.610000000000001, 815443.09 7779543.88 15.610000000000001, 815442.81 7779543.02 15.58, 815442.92 7779542.03 15.57, 815443.44 7779540.81 15.51, 815445.21 7779537.76 15.39, 815446.94 7779534.54 15.280000000000001, 815448.27 7779532.57 15.23, 815449.67 7779530.58 15.16, 815451.15 7779528.73 15.07, 815453.14 7779526.63 14.99, 815457.16 7779522.85 14.82, 815458.13 7779523.82 14.780000000000001, 815456.62 7779528.98 14.8, 815460.79 7779531.86 14.73, 815462.57 7779526.05 14.65, 815459.67 7779520.48 14.71, 815461.04 7779518.87 14.65)</t>
  </si>
  <si>
    <t>POLYGON Z ((815461.04 7779518.87 14.65, 815461.83 7779517.93 14.620000000000001, 815463.07 7779516.3 14.56, 815464.71 7779513.75 14.52, 815465.75 7779512 14.52, 815467.16 7779508.96 14.52, 815468.11 7779506.44 14.540000000000001, 815468.75 7779504.61 14.56, 815469.15 7779503.15 14.56, 815469.65 7779500.66 14.59, 815470.04 7779498.72 14.6, 815473.98 7779477.56 14.76, 815475.42 7779469.66 14.790000000000001, 815476.95 7779460.66 14.84, 815477.2 7779458.23 14.870000000000001, 815477.54 7779455.09 14.88, 815477.58 7779452.59 14.870000000000001, 815477.48 7779449.75 14.89, 815477.06 7779447.05 14.93, 815476.56 7779443.9 14.96, 815476.08 7779439.52 14.99, 815475.92 7779436.73 15.01, 815476.05 7779434.39 15.030000000000001, 815476.34 7779431.93 15.06, 815476.92 7779428.75 15.06, 815477.76 7779425.41 15.05, 815478.78 7779422.27 15.05, 815481.55 7779417.09 14.97, 815484.61 7779412.59 14.88, 815488.21 7779406.93 14.82, 815492.14 7779398.97 14.61, 815497.72 7779399.83 14.38, 815483.87 7779448.72 13.200000000000001, 815480.78 7779475.3 13.55, 815479.69 7779486.19 13.3, 815477.56 7779508.56 13.85, 815475.64 7779520.01 13.91, 815473.39 7779533.16 13.91, 815469.78 7779542.67 13.950000000000001, 815463.12 7779554.51 13.99, 815461.66 7779558.94 15.3, 815455.38 7779552.12 15.41, 815454.5 7779551.34 15.44, 815453.74 7779550.82 15.43, 815448.21 7779547.16 15.52, 815444.27 7779544.74 15.610000000000001, 815443.51 7779544.21 15.610000000000001, 815443.09 7779543.88 15.610000000000001, 815442.81 7779543.02 15.58, 815442.92 7779542.03 15.57, 815443.44 7779540.81 15.51, 815445.21 7779537.76 15.39, 815446.94 7779534.54 15.280000000000001, 815448.27 7779532.57 15.23, 815449.67 7779530.58 15.16, 815451.15 7779528.73 15.07, 815453.14 7779526.63 14.99, 815457.16 7779522.85 14.82, 815458.13 7779523.82 14.780000000000001, 815456.62 7779528.98 14.8, 815460.79 7779531.86 14.73, 815462.57 7779526.05 14.65, 815459.67 7779520.48 14.71, 815461.04 7779518.87 14.65))</t>
  </si>
  <si>
    <t>['EV6 S204D20 m94-204']</t>
  </si>
  <si>
    <t>LINESTRING Z (818226.39 7785073.17 3.66, 818226.49 7785069.55 3.69, 818226.72 7785066.65 3.68, 818227.75 7785063.85 3.68, 818228.64 7785060.89 3.69, 818229.84 7785055.88 3.7, 818230.89 7785049.53 3.7, 818231.29 7785042.6 3.71, 818231.13 7785037.88 3.72, 818230.53 7785031.39 3.72, 818229.47 7785025.98 3.7, 818227.97 7785020.13 3.71, 818225.92 7785015.03 3.7, 818222.2 7785007.13 3.62, 818217.24 7784998.68 3.58, 818208.15 7784983.25 3.48, 818203.76 7784973.96 3.46, 818201.54 7784967.29 3.44, 818203.96 7784967.52 3.3200000000000003, 818214.88 7784992.24 5.4, 818226.07 7785004.63 2.79, 818232.45 7785016.77 2.69, 818234.85 7785028.92 2.9, 818235.58 7785038.76 3.19, 818236.27 7785046.78 3.04, 818236.74 7785053.71 2.56, 818234.88 7785057.94 3.23, 818230.52 7785074.54 3.21, 818229.77 7785074.66 3.21, 818226.81 7785075.1 3.64, 818226.39 7785073.17 3.66)</t>
  </si>
  <si>
    <t>POLYGON Z ((818226.39 7785073.17 3.66, 818226.49 7785069.55 3.69, 818226.72 7785066.65 3.68, 818227.75 7785063.85 3.68, 818228.64 7785060.89 3.69, 818229.84 7785055.88 3.7, 818230.89 7785049.53 3.7, 818231.29 7785042.6 3.71, 818231.13 7785037.88 3.72, 818230.53 7785031.39 3.72, 818229.47 7785025.98 3.7, 818227.97 7785020.13 3.71, 818225.92 7785015.03 3.7, 818222.2 7785007.13 3.62, 818217.24 7784998.68 3.58, 818208.15 7784983.25 3.48, 818203.76 7784973.96 3.46, 818201.54 7784967.29 3.44, 818203.96 7784967.52 3.3200000000000003, 818214.88 7784992.24 5.4, 818226.07 7785004.63 2.79, 818232.45 7785016.77 2.69, 818234.85 7785028.92 2.9, 818235.58 7785038.76 3.19, 818236.27 7785046.78 3.04, 818236.74 7785053.71 2.56, 818234.88 7785057.94 3.23, 818230.52 7785074.54 3.21, 818229.77 7785074.66 3.21, 818226.81 7785075.1 3.64, 818226.39 7785073.17 3.66))</t>
  </si>
  <si>
    <t>['EV6 S204D20 m45-213']</t>
  </si>
  <si>
    <t>LINESTRING Z (818203.95 7785078.29 3.29, 818207.54 7785073.58 3.2800000000000002, 818211.07 7785067.53 3.2800000000000002, 818213 7785063.57 3.29, 818214.99 7785058.22 3.29, 818216.38 7785053.33 3.31, 818216.9 7785050.7 3.31, 818217.23 7785047.73 3.29, 818217.6 7785043.98 3.3000000000000003, 818217.67 7785040.6 3.3200000000000003, 818217.48 7785037.35 3.33, 818217.19 7785033.7 3.3200000000000003, 818216.81 7785031.76 3.3000000000000003, 818216.03 7785028.09 3.3000000000000003, 818214.42 7785022.95 3.31, 818212.98 7785019.13 3.34, 818211.45 7785015.61 3.33, 818209.85 7785012.73 3.34, 818205.89 7785006.13 3.33, 818198.48 7784993.78 3.35, 818195.57 7784988.51 3.2800000000000002, 818191.52 7784979.92 3.29, 818190.16 7784975.95 3.31, 818187.76 7784968.14 3.2800000000000002, 818186.33 7784961.22 3.2600000000000002, 818185.76 7784956.77 3.24, 818185.52 7784949.35 3.27, 818185.95 7784943.14 4.7700000000000005, 818186.43 7784937.36 3.3200000000000003, 818187.62 7784931.54 3.23, 818189.27 7784925.09 3.2, 818189.23 7784925.08 3.21, 818190.85 7784920.12 3.2, 818193.27 7784914.28 3.22, 818188.27 7784913.66 2.73, 818185.66 7784929.4 2.7, 818183.15 7784950.31 2.79, 818184.67 7784964.67 2.7600000000000002, 818187.43 7784975.3 2.9, 818200.64 7785001.11 4.9, 818208.16 7785016.7 2.67, 818212.4 7785032.17 2.41, 818212.47 7785053.5 2.5500000000000003, 818210.92 7785059.01 2.63, 818207.69 7785066.71 2.61, 818201.41 7785076.46 2.68, 818203.95 7785078.29 3.29)</t>
  </si>
  <si>
    <t>POLYGON Z ((818203.95 7785078.29 3.29, 818207.54 7785073.58 3.2800000000000002, 818211.07 7785067.53 3.2800000000000002, 818213 7785063.57 3.29, 818214.99 7785058.22 3.29, 818216.38 7785053.33 3.31, 818216.9 7785050.7 3.31, 818217.23 7785047.73 3.29, 818217.6 7785043.98 3.3000000000000003, 818217.67 7785040.6 3.3200000000000003, 818217.48 7785037.35 3.33, 818217.19 7785033.7 3.3200000000000003, 818216.81 7785031.76 3.3000000000000003, 818216.03 7785028.09 3.3000000000000003, 818214.42 7785022.95 3.31, 818212.98 7785019.13 3.34, 818211.45 7785015.61 3.33, 818209.85 7785012.73 3.34, 818205.89 7785006.13 3.33, 818198.48 7784993.78 3.35, 818195.57 7784988.51 3.2800000000000002, 818191.52 7784979.92 3.29, 818190.16 7784975.95 3.31, 818187.76 7784968.14 3.2800000000000002, 818186.33 7784961.22 3.2600000000000002, 818185.76 7784956.77 3.24, 818185.52 7784949.35 3.27, 818185.95 7784943.14 4.7700000000000005, 818186.43 7784937.36 3.3200000000000003, 818187.62 7784931.54 3.23, 818189.27 7784925.09 3.2, 818189.23 7784925.08 3.21, 818190.85 7784920.12 3.2, 818193.27 7784914.28 3.22, 818188.27 7784913.66 2.73, 818185.66 7784929.4 2.7, 818183.15 7784950.31 2.79, 818184.67 7784964.67 2.7600000000000002, 818187.43 7784975.3 2.9, 818200.64 7785001.11 4.9, 818208.16 7785016.7 2.67, 818212.4 7785032.17 2.41, 818212.47 7785053.5 2.5500000000000003, 818210.92 7785059.01 2.63, 818207.69 7785066.71 2.61, 818201.41 7785076.46 2.68, 818203.95 7785078.29 3.29))</t>
  </si>
  <si>
    <t>['EV6 S201D1 m10437 SD1 m9-51', 'EV6 S201D1 m10512 SD1 m4-22']</t>
  </si>
  <si>
    <t>LINESTRING Z (803252.53 7791676.35 18.53, 803244.79 7791685.02 18, 803238.55 7791691.45 17.25, 803234.82 7791695.87 16.830000000000002, 803231.12 7791700.81 16.42, 803230.24 7791701.68 16.38, 803229.27 7791700.81 16.43, 803237.22 7791684.84 17.5, 803239.03 7791681.29 17.740000000000002, 803241.04 7791677.73 17.95, 803242.79 7791674.99 18.150000000000002, 803244.21 7791672.92 18.29, 803246.41 7791670.13 18.51, 803248.67 7791667.72 18.7, 803250.58 7791666.97 18.78, 803252.06 7791667.45 18.79, 803253.58 7791668.34 18.81, 803254.66 7791669.22 18.8, 803255.23 7791670.48 18.76, 803255.07 7791672.59 18.72, 803254.82 7791673.67 18.650000000000002, 803252.53 7791676.35 18.53)</t>
  </si>
  <si>
    <t>POLYGON Z ((803252.53 7791676.35 18.53, 803244.79 7791685.02 18, 803238.55 7791691.45 17.25, 803234.82 7791695.87 16.830000000000002, 803231.12 7791700.81 16.42, 803230.24 7791701.68 16.38, 803229.27 7791700.81 16.43, 803237.22 7791684.84 17.5, 803239.03 7791681.29 17.740000000000002, 803241.04 7791677.73 17.95, 803242.79 7791674.99 18.150000000000002, 803244.21 7791672.92 18.29, 803246.41 7791670.13 18.51, 803248.67 7791667.72 18.7, 803250.58 7791666.97 18.78, 803252.06 7791667.45 18.79, 803253.58 7791668.34 18.81, 803254.66 7791669.22 18.8, 803255.23 7791670.48 18.76, 803255.07 7791672.59 18.72, 803254.82 7791673.67 18.650000000000002, 803252.53 7791676.35 18.53))</t>
  </si>
  <si>
    <t>['EV6 S201D1 m10512 SD1 m4-205', 'EV6 S201D1 m10437-10587']</t>
  </si>
  <si>
    <t>LINESTRING Z (803301.31 7791578.3 23.47, 803301.52 7791565.49 24.21, 803302.69 7791558.66 24.69, 803302.99 7791555.38 24.900000000000002, 803302.79 7791552.22 25.09, 803302.31 7791548.25 25.3, 803301.24 7791541.16 25.68, 803298.8 7791528.42 26.400000000000002, 803297.81 7791525.13 26.6, 803296.7 7791522.81 26.8, 803295.23 7791520.91 26.900000000000002, 803293.41 7791519.26 27.060000000000002, 803291.39 7791518.05 27.19, 803289.33 7791517.42 27.28, 803287.33 7791517.39 27.35, 803285.46 7791517.89 27.39, 803282.85 7791519.32 27.35, 803281.21 7791520.9 27.26, 803279.71 7791522.47 27.09, 803279.33 7791524.35 26.98, 803279.72 7791539.47 26.18, 803279.51 7791548.77 25.68, 803278.79 7791560.49 25.02, 803277.61 7791570.47 24.48, 803275.74 7791582.76 23.78, 803273.52 7791593.65 23.23, 803271.83 7791600.94 22.79, 803267.83 7791615.35 21.94, 803265.37 7791622.99 21.490000000000002, 803261.69 7791632.93 20.86, 803258.08 7791641.36 20.330000000000002, 803254.43 7791649.83 19.75, 803255.17 7791653.37 19.52, 803256.68 7791655.35 19.36, 803258.93 7791657.05 19.05, 803261.3 7791657.73 18.87, 803264.02 7791657.23 18.84, 803267.86 7791655.44 18.91, 803271.91 7791652.59 19.07, 803275.1 7791649.58 19.26, 803278.71 7791644.98 19.55, 803282.6 7791639.29 19.93, 803284.81 7791635.18 20.22, 803285.75 7791632.98 20.3, 803288.72 7791624.28 20.72, 803294.38 7791611.89 21.5, 803296.17 7791607.33 21.78, 803297.98 7791601.71 22.12, 803300.12 7791591.46 22.740000000000002, 803301.09 7791583.63 23.17, 803301.31 7791578.3 23.47)</t>
  </si>
  <si>
    <t>POLYGON Z ((803301.31 7791578.3 23.47, 803301.52 7791565.49 24.21, 803302.69 7791558.66 24.69, 803302.99 7791555.38 24.900000000000002, 803302.79 7791552.22 25.09, 803302.31 7791548.25 25.3, 803301.24 7791541.16 25.68, 803298.8 7791528.42 26.400000000000002, 803297.81 7791525.13 26.6, 803296.7 7791522.81 26.8, 803295.23 7791520.91 26.900000000000002, 803293.41 7791519.26 27.060000000000002, 803291.39 7791518.05 27.19, 803289.33 7791517.42 27.28, 803287.33 7791517.39 27.35, 803285.46 7791517.89 27.39, 803282.85 7791519.32 27.35, 803281.21 7791520.9 27.26, 803279.71 7791522.47 27.09, 803279.33 7791524.35 26.98, 803279.72 7791539.47 26.18, 803279.51 7791548.77 25.68, 803278.79 7791560.49 25.02, 803277.61 7791570.47 24.48, 803275.74 7791582.76 23.78, 803273.52 7791593.65 23.23, 803271.83 7791600.94 22.79, 803267.83 7791615.35 21.94, 803265.37 7791622.99 21.490000000000002, 803261.69 7791632.93 20.86, 803258.08 7791641.36 20.330000000000002, 803254.43 7791649.83 19.75, 803255.17 7791653.37 19.52, 803256.68 7791655.35 19.36, 803258.93 7791657.05 19.05, 803261.3 7791657.73 18.87, 803264.02 7791657.23 18.84, 803267.86 7791655.44 18.91, 803271.91 7791652.59 19.07, 803275.1 7791649.58 19.26, 803278.71 7791644.98 19.55, 803282.6 7791639.29 19.93, 803284.81 7791635.18 20.22, 803285.75 7791632.98 20.3, 803288.72 7791624.28 20.72, 803294.38 7791611.89 21.5, 803296.17 7791607.33 21.78, 803297.98 7791601.71 22.12, 803300.12 7791591.46 22.740000000000002, 803301.09 7791583.63 23.17, 803301.31 7791578.3 23.47))</t>
  </si>
  <si>
    <t>['EV6 S201D1 m4171 SD1 m14-87']</t>
  </si>
  <si>
    <t>LINESTRING Z (802651.33 7797449.99 22.84, 802653.08 7797458.55 22.59, 802651.52 7797464.41 22.66, 802649.93 7797469.89 22.61, 802647.38 7797477.73 22.35, 802643.82 7797484.16 22.31, 802639.86 7797489.98 22.150000000000002, 802632.79 7797501.06 21.75, 802633.81 7797488.23 22.29, 802635.23 7797488.36 22.3, 802635.68 7797488.98 22.31, 802639.18 7797489.31 22.26, 802639.45 7797485.68 22.330000000000002, 802635.88 7797485.4 22.32, 802635.38 7797485.97 22.31, 802633.89 7797485.89 22.32, 802639.75 7797423.58 23.04, 802651.33 7797449.99 22.84)</t>
  </si>
  <si>
    <t>POLYGON Z ((802651.33 7797449.99 22.84, 802653.08 7797458.55 22.59, 802651.52 7797464.41 22.66, 802649.93 7797469.89 22.61, 802647.38 7797477.73 22.35, 802643.82 7797484.16 22.31, 802639.86 7797489.98 22.150000000000002, 802632.79 7797501.06 21.75, 802633.81 7797488.23 22.29, 802635.23 7797488.36 22.3, 802635.68 7797488.98 22.31, 802639.18 7797489.31 22.26, 802639.45 7797485.68 22.330000000000002, 802635.88 7797485.4 22.32, 802635.38 7797485.97 22.31, 802633.89 7797485.89 22.32, 802639.75 7797423.58 23.04, 802651.33 7797449.99 22.84))</t>
  </si>
  <si>
    <t>['EV6 S202D1 m10056-10219']</t>
  </si>
  <si>
    <t>LINESTRING Z (809328.63 7782626.62 57.18, 809328.16 7782616.36 56.47, 809327.69 7782610.17 56.1, 809327 7782601.57 55.53, 809325.92 7782591.44 54.88, 809324.95 7782584.55 54.410000000000004, 809323.96 7782578.15 54.01, 809322.97 7782573.09 53.69, 809319.85 7782559.67 52.77, 809317.38 7782549.88 52.14, 809315.67 7782543.5 51.71, 809314.21 7782538.7 51.36, 809306.38 7782516.87 49.88, 809302 7782506.97 49.2, 809296.85 7782496.24 48.45, 809290.49 7782484.29 47.58, 809288.25 7782485.33 47.03, 809277.95 7782490.05 49.620000000000005, 809280.82 7782496.25 50, 809285.96 7782508.28 50.74, 809291.33 7782521.77 51.59, 809294.67 7782531.4 52.14, 809297.92 7782541.56 52.78, 809301.88 7782555.03 53.54, 809302.95 7782559.09 53.78, 809306.19 7782572.9 54.53, 809308.44 7782583.19 55.17, 809309.99 7782592.49 55.71, 809311.47 7782601.95 56.26, 809312.65 7782611.87 56.78, 809313.46 7782619.33 57.26, 809314.2 7782628.33 57.76, 809314.6 7782636.64 58.22, 809315.03 7782646.38 58.79, 809317.41 7782648.41 58.93, 809319.49 7782649.42 58.95, 809321.7 7782649.69 58.94, 809326.4 7782649.04 58.77, 809327.14 7782648.67 58.71, 809328.49 7782646.01 58.5, 809328.72 7782634.1 57.660000000000004, 809328.63 7782626.62 57.18)</t>
  </si>
  <si>
    <t>POLYGON Z ((809328.63 7782626.62 57.18, 809328.16 7782616.36 56.47, 809327.69 7782610.17 56.1, 809327 7782601.57 55.53, 809325.92 7782591.44 54.88, 809324.95 7782584.55 54.410000000000004, 809323.96 7782578.15 54.01, 809322.97 7782573.09 53.69, 809319.85 7782559.67 52.77, 809317.38 7782549.88 52.14, 809315.67 7782543.5 51.71, 809314.21 7782538.7 51.36, 809306.38 7782516.87 49.88, 809302 7782506.97 49.2, 809296.85 7782496.24 48.45, 809290.49 7782484.29 47.58, 809288.25 7782485.33 47.03, 809277.95 7782490.05 49.620000000000005, 809280.82 7782496.25 50, 809285.96 7782508.28 50.74, 809291.33 7782521.77 51.59, 809294.67 7782531.4 52.14, 809297.92 7782541.56 52.78, 809301.88 7782555.03 53.54, 809302.95 7782559.09 53.78, 809306.19 7782572.9 54.53, 809308.44 7782583.19 55.17, 809309.99 7782592.49 55.71, 809311.47 7782601.95 56.26, 809312.65 7782611.87 56.78, 809313.46 7782619.33 57.26, 809314.2 7782628.33 57.76, 809314.6 7782636.64 58.22, 809315.03 7782646.38 58.79, 809317.41 7782648.41 58.93, 809319.49 7782649.42 58.95, 809321.7 7782649.69 58.94, 809326.4 7782649.04 58.77, 809327.14 7782648.67 58.71, 809328.49 7782646.01 58.5, 809328.72 7782634.1 57.660000000000004, 809328.63 7782626.62 57.18))</t>
  </si>
  <si>
    <t>2022-02-10</t>
  </si>
  <si>
    <t>2025-11-22T09:17:59Z</t>
  </si>
  <si>
    <t>['RV7 S22D1 m11367-11515']</t>
  </si>
  <si>
    <t>LINESTRING (67215.95057256852 6724526.76368555, 67233.28704501945 6724522.148416663, 67267.20792396343 6724520.302274585, 67301.47578739747 6724522.582546087, 67336.21974850219 6724525.103580416, 67369.84070181282 6724524.485234623)</t>
  </si>
  <si>
    <t>POLYGON ((67233.36577624807 6724522.64487169, 67267.20490013948 6724520.803179127, 67301.44109566582 6724523.081343366, 67336.18356345432 6724525.602269339, 67336.228942787 6724525.603495874, 67369.84989609763 6724524.985150081, 67369.83150752801 6724523.985319165, 67336.23327174703 6724524.603247144, 67301.51197244534 6724522.083857164, 67301.50898526213 6724522.0836494025, 67267.24112182809 6724519.8033779, 67267.18075170273 6724519.803013463, 67233.25987275875 6724521.64915554, 67233.2087302906 6724521.654587944, 67233.15841641198 6724521.66524518, 67215.82194396105 6724526.280514067, 67216.07920117598 6724527.246857032, 67233.36577624807 6724522.64487169))</t>
  </si>
  <si>
    <t>2022-02-14</t>
  </si>
  <si>
    <t>['RV7 S23D1 m6339-6404']</t>
  </si>
  <si>
    <t>LINESTRING (64534.40366364294 6729618.616286817, 64559.62060613721 6729634.069945239, 64572.020645503246 6729641.153005913, 64579.408204146835 6729644.048805834, 64587.32181577949 6729646.063122765)</t>
  </si>
  <si>
    <t>POLYGON ((64559.35934829841 6729634.496260078, 64559.37260730549 6729634.504107167, 64571.77264667153 6729641.58716784, 64571.838171750955 6729641.618519962, 64579.225730394544 6729644.514319883, 64579.28486778073 6729644.533355254, 64587.19847941338 6729646.547672185, 64587.4451521456 6729645.578573345, 64579.56170164462 6729643.571933576, 64572.23702351094 6729640.700781767, 64559.87529492327 6729633.639604699, 64534.66492148174 6729618.189971979, 64534.14240580414 6729619.042601655, 64559.35934829841 6729634.496260078))</t>
  </si>
  <si>
    <t>['RV7 S23D1 m6295-6336']</t>
  </si>
  <si>
    <t>LINESTRING (64590.55227847403 6729645.838812945, 64594.04016485397 6729645.434625716, 64597.49755628285 6729644.625274533, 64604.30251340498 6729641.793303118, 64618.76455603872 6729625.804505448)</t>
  </si>
  <si>
    <t>POLYGON ((64594.09772125367 6729645.931301929, 64594.15413037836 6729645.921464354, 64597.61152180724 6729645.112113171, 64597.65111237467 6729645.101111193, 64597.68966585087 6729645.086895497, 64604.494622973005 6729642.254924081, 64604.54426179216 6729642.2309761895, 64604.59096335488 6729642.201710545, 64604.63416023467 6729642.167482728, 64604.67332758701 6729642.1287086075, 64619.13537022074 6729626.139910937, 64618.39374185669 6729625.469099958, 64604.00690188173 6729641.37475584, 64597.343479890136 6729644.14782557, 64593.954121774645 6729644.941250629, 64590.494722074334 6729645.342136732, 64590.60983487373 6729646.3354891585, 64594.09772125367 6729645.931301929))</t>
  </si>
  <si>
    <t>2022-02-16</t>
  </si>
  <si>
    <t>['RV5 S6D100 m255-283']</t>
  </si>
  <si>
    <t>LINESTRING (77556.9000042968 6814120.384701178, 77559.20866241353 6814101.6693269955, 77563.13872976066 6814087.329669473)</t>
  </si>
  <si>
    <t>POLYGON ((77559.70046250809 6814101.766522997, 77563.62094695514 6814087.461830652, 77562.65651256617 6814087.197508293, 77558.72644521904 6814101.537165816, 77558.71242373149 6814101.60811286, 77556.40376561476 6814120.323487042, 77557.39624297884 6814120.445915314, 77559.70046250809 6814101.766522997))</t>
  </si>
  <si>
    <t>['RV5 S6D101 m1-54']</t>
  </si>
  <si>
    <t>LINESTRING (77549.0809743384 6814114.656188021, 77551.94571596809 6814128.679299384, 77563.43173128576 6814125.688785678, 77566.73396574776 6814118.755939218, 77566.69774939341 6814107.075023336, 77569.79009014356 6814089.425792234)</t>
  </si>
  <si>
    <t>POLYGON ((77551.45583367468 6814128.779376048, 77551.4676129061 6814128.825646445, 77551.48375186368 6814128.870582333, 77551.50410337946 6814128.913773949, 77551.528481872 6814128.954827439, 77551.55666503873 6814128.993368444, 77551.58839588301 6814129.029045517, 77551.6233850576 6814129.0615333235, 77551.66131350322 6814129.090535616, 77551.701835358 6814129.115787927, 77551.74458111123 6814129.137059987, 77551.78916097294 6814129.154157819, 77551.83516842833 6814129.166925513, 77551.88218394457 6814129.175246642, 77551.92977879664 6814129.179045326, 77551.97751897658 6814129.178286928, 77552.02496915124 6814129.172978362, 77552.07169663203 6814129.163168036, 77563.5577119497 6814126.17265433, 77563.60390670705 6814126.158206197, 77563.64848804015 6814126.139359212, 77563.69103818547 6814126.1162899835, 77563.7311584134 6814126.089214692, 77563.76847276466 6814126.058387053, 77563.80263157329 6814126.024095947, 77563.83331474337 6814125.98666271, 77563.86023474854 6814125.946438123, 77563.8831393265 6814125.903799121, 77567.1853737885 6814118.970952662, 77567.20278934776 6814118.929733441, 77567.21644995676 6814118.887122251, 77567.22624620341 6814118.843460375, 77567.23209962662 6814118.799097517, 77567.23396334454 6814118.75438899, 77567.19788419391 6814107.117725633, 77570.28258771547 6814089.512083263, 77569.29759257166 6814089.339501205, 77566.2052518215 6814106.988732307, 77566.19956199235 6814107.032487311, 77566.19775179663 6814107.076573565, 77566.23361528025 6814118.643677513, 77563.0804420794 6814125.263578648, 77552.33005154597 6814128.06256414, 77549.5708566318 6814114.556111358, 77548.591092045 6814114.756264685, 77551.45583367468 6814128.779376048))</t>
  </si>
  <si>
    <t>['RV5 S6D102 m1-59']</t>
  </si>
  <si>
    <t>LINESTRING (77576.90509599942 6814141.472899261, 77574.7708023581 6814111.90180596, 77576.02043844934 6814089.250449647, 77573.25743037049 6814081.456739341)</t>
  </si>
  <si>
    <t>POLYGON ((77575.27179674007 6814111.897563022, 77576.51967929734 6814089.2779919, 77576.51995805858 6814089.228537094, 77576.51534980856 6814089.179296668, 77576.50589963171 6814089.13075236, 77576.49169998305 6814089.083379103, 77573.7286919042 6814081.289668797, 77572.78616883678 6814081.623809885, 77575.51567461142 6814089.32301911, 77574.2715615101 6814111.874263707, 77574.27209959971 6814111.937799831, 77576.40639324102 6814141.508893132, 77577.40379875782 6814141.43690539, 77575.27179674007 6814111.897563022))</t>
  </si>
  <si>
    <t>['EV16 S13D1 m2889-2941']</t>
  </si>
  <si>
    <t>LINESTRING (41419.750643012056 6768268.073303887, 41430.08913444955 6768276.64851932, 41440.147760902764 6768285.628499243, 41450.645944127464 6768296.578514513, 41456.33436852094 6768302.881123373, 41458.71192777215 6768303.568371064, 41461.03786983824 6768303.856913414, 41464.49838253646 6768302.9298259085, 41466.32520426507 6768302.21423449, 41467.69983016205 6768300.856966689)</t>
  </si>
  <si>
    <t>POLYGON ((41429.76292816157 6768277.027560373, 41439.80028232172 6768285.988549158, 41450.27981250569 6768296.919108577, 41455.96319259018 6768303.21612849, 41455.995734683696 6768303.248991725, 41456.031174101525 6768303.278707508, 41456.06920762664 6768303.305021592, 41456.109509847236 6768303.327708838, 41456.15173594073 6768303.346575133, 41456.19552462397 6768303.361459061, 41458.57308387518 6768304.048706751, 41458.61141491018 6768304.058164045, 41458.65037262621 6768304.064567561, 41460.9763146923 6768304.353109911, 41461.02430745317 6768304.356729441, 41461.07242587802 6768304.355717865, 41461.120224119586 6768304.350084553, 41461.16725929725 6768304.339881702, 41464.627771995474 6768303.412794197, 41464.680747540544 6768303.39538257, 41466.50756926915 6768302.679791152, 41466.55377041789 6768302.658933842, 41466.59762229646 6768302.633505782, 41466.63867418241 6768302.603768328, 41466.67650413232 6768302.570027131, 41468.0511300293 6768301.21275933, 41467.348530294796 6768300.5011740485, 41466.04708371493 6768301.786186605, 41464.34201908054 6768302.45408408, 41461.00266288112 6768303.348713193, 41458.812754956736 6768303.0770464195, 41456.610084466934 6768302.440351369, 41451.017120058226 6768296.243509396, 41451.00686546777 6768296.232485921, 41440.50868224307 6768285.282470652, 41440.48074946322 6768285.25551316, 41430.42212301 6768276.275533237, 41430.40834279659 6768276.263673857, 41420.0698513591 6768267.688458423, 41419.43143466501 6768268.45814935, 41429.76292816157 6768277.027560373))</t>
  </si>
  <si>
    <t>2022-03-15</t>
  </si>
  <si>
    <t>['RV9 S7D1 m9901-9946']</t>
  </si>
  <si>
    <t>LINESTRING Z (81217.5659753008 6515783.148010359 182.16, 81219.13450824725 6515784.033463061 182.13, 81220.68653670128 6515785.071315019 182.12, 81222.20401716855 6515786.172635061 182.13, 81224.46571461012 6515787.830949242 182.14000000000001, 81226.52933546668 6515789.748510945 182.16, 81227.84515590966 6515791.069155332 182.17000000000002, 81229.22725837614 6515792.343605568 182.18, 81231.05838104582 6515794.473198372 182.19, 81232.17893886211 6515795.972348145 182.20000000000002, 81233.24319544598 6515797.516796158 182.21, 81233.92535701924 6515798.3912570905 182.22, 81235.63633137773 6515800.863653292 182.24, 81236.9353947225 6515802.558065554 182.25, 81238.29984423151 6515804.196302876 182.26, 81239.7296798997 6515805.778365251 182.27, 81240.47274835175 6515806.546747294 182.28, 81241.22490172286 6515807.304252687 182.28, 81242.77463305829 6515808.764880257 182.29, 81244.38975053927 6515810.169332882 182.31, 81246.04939674551 6515811.509421505 182.32, 81247.7726373687 6515812.773373626 182.33, 81248.64199880435 6515813.379501875 182.34, 81250.43702288996 6515814.546460069 182.35, 81252.27478396683 6515815.629092714 182.35, 81254.14709297265 6515816.64825722 182.35, 81256.06303482183 6515817.59307696 182.35, 81258.02171365009 6515818.453571154 182.35, 81259.42005619488 6515819.012218724 182.35, 81261.83772437304 6515819.94218771 182.35, 81263.98463674879 6515821.218417295 182.36, 81263.43544143188 6515821.4890584005 182.36, 81263.16787850898 6515821.422523778 182.36, 81262.19014138012 6515821.17826488 182.36, 81261.42916742829 6515820.995039126 182.36, 81261.20331932709 6515820.944882614 182.36, 81260.22558218241 6515820.700623708 182.36, 81259.24784502998 6515820.456364796 182.36, 81258.88866338925 6515820.377931361 182.36, 81258.45603287005 6515820.265845836 182.36, 81258.26102295361 6515820.222982521 182.36, 81257.38667699293 6515820.009688105 182.36, 81257.28328578547 6515819.978723601 182.36, 81256.32730188366 6515819.752634512 182.36, 81256.29646369291 6515819.745341312 182.36, 81255.31872650958 6515819.501082388 182.36, 81255.25705012819 6515819.486495998 182.36, 81254.78360062878 6515819.3680131305 182.36, 81254.61942889722 6515819.332443005 182.36, 81254.33100854146 6515819.257719319 182.36, 81254.1867983634 6515819.220357478 182.36, 81253.35416720237 6515819.02344116 182.36, 81253.1065658122 6515818.955114811 182.36, 81252.77822234441 6515818.88397456 182.36, 81252.57233578153 6515818.832026321 182.36, 81252.47982120723 6515818.81014673 182.36, 81252.41814482439 6515818.795560337 182.36, 81252.36644921842 6515818.780078081 182.36, 81252.01635247451 6515818.690768001 182.36, 81251.38960786397 6515818.5457999185 182.36, 81250.926139127 6515818.426421185 182.36, 81250.40188986441 6515818.302436834 182.36, 81249.83592576993 6515818.162074365 182.36, 81249.42415263434 6515818.058177885 182.35, 81248.73483576579 6515817.888642625 182.32, 81248.67315938091 6515817.874056228 182.32, 81248.64232118853 6515817.866763032 182.32, 81248.44731125608 6515817.823899706 182.31, 81247.64193480927 6515817.594353462 182.28, 81247.47686720837 6515817.548802558 182.27, 81246.57360101643 6515817.237492049 182.25, 81246.52190540812 6515817.222009793 182.25, 81245.59330249426 6515816.852606335 182.24, 81245.53073024773 6515816.828039161 182.24, 81245.48901541717 6515816.811661046 182.24, 81245.30040281796 6515816.727978748 182.25, 81244.68107768992 6515816.441488038 182.25, 81244.50334172766 6515816.366890659 182.25, 81243.75887210201 6515816.031265595 182.27, 81243.4759531999 6515815.905742145 182.27, 81242.84575142642 6515815.61016651 182.29, 81242.44766880508 6515815.434612847 182.27, 81241.94261152297 6515815.188171556 182.25, 81241.42846932111 6515814.952606904 182.24, 81241.0294908359 6515814.767072457 182.24, 81240.41925060819 6515814.46970509 182.24, 81240.12545506161 6515814.335096712 182.24, 81239.40005111048 6515813.987699128 182.23, 81239.22052342194 6515813.8931401875 182.23, 81238.39991730236 6515813.493920662 182.22, 81238.31559177663 6515813.451183648 182.22, 81237.41066012613 6515813.0092271045 182.21, 81236.51481338893 6515812.556393918 182.19, 81236.39964966691 6515812.506363707 182.18, 81235.9354113384 6515812.266319727 182.18, 81235.73502622888 6515812.163571719 182.18, 81235.61896664649 6515812.103560723 182.18, 81235.41858153668 6515812.000812715 182.19, 81235.09215606493 6515811.838949567 182.19, 81235.01781131595 6515811.795316692 182.19, 81234.72222403926 6515811.640746743 182.19, 81234.43751340022 6515811.495261717 182.19, 81234.15101104171 6515811.32981513 182.19, 81233.83277462696 6515811.147094563 182.19, 81233.48280415591 6515810.9471000135 182.19, 81232.96149504825 6515810.631689095 182.18, 81232.546264745 6515810.377185029 182.18, 81232.09750866599 6515810.0854454255 182.17000000000002, 81231.63608422817 6515809.76465934 182.16, 81231.24990039947 6515809.49748691 182.15, 81230.74407354643 6515809.130380362 182.14000000000001, 81230.52743663557 6515808.958662748 182.14000000000001, 81230.41956610978 6515808.877794331 182.13, 81229.66178484948 6515808.281773065 182.13, 81229.5965250184 6515808.227263549 182.14000000000001, 81228.81251118227 6515807.563168536 182.14000000000001, 81228.78986204579 6515807.535017917 182.14000000000001, 81227.990492273 6515806.81193408 182.14000000000001, 81227.32893536438 6515806.16703108 182.14000000000001, 81227.22925389837 6515806.0653052395 182.14000000000001, 81226.68644415488 6515805.510355573 182.16, 81226.45176372962 6515805.249706793 182.16, 81226.1618042523 6515804.933652626 182.17000000000002, 81225.70152832282 6515804.401478416 182.17000000000002, 81225.6562300502 6515804.345177176 182.17000000000002, 81225.1597407689 6515803.745825079 182.17000000000002, 81224.9776518197 6515803.510639333 182.18, 81224.70496632566 6515803.1628511045 182.18, 81224.67144055077 6515803.125615561 182.18, 81224.43138497282 6515802.805082092 182.18, 81224.56625760027 6515803.074689473 182.18, 81224.19849626679 6515802.564394859 182.19, 81223.85069649364 6515802.05230852 182.19, 81223.48203930329 6515801.5320331175 182.19, 81223.17505851062 6515801.02634412 182.20000000000002, 81222.85899279814 6515800.531531758 182.20000000000002, 81222.58374606498 6515800.043116737 182.20000000000002, 81222.28853777336 6515799.556493433 182.21, 81222.06857009436 6515799.123483794 182.21, 81221.82774499792 6515798.682285088 182.21, 81221.7806550092 6515798.6060222825 182.21, 81221.75531829748 6515798.54792932 182.21, 81221.46023634559 6515797.950621571 182.22, 81221.32357200887 6515797.661052614 182.22, 81221.17423931742 6515797.342437178 182.22, 81220.90641213435 6515796.712499503 182.22, 81220.89374377904 6515796.683453024 182.22, 81220.61862339452 6515796.084353548 182.23, 81220.49373155803 6515795.813850289 182.23, 81220.46839484753 6515795.755757326 182.23, 81220.31995801826 6515795.447122662 182.23, 81220.03127342515 6515794.808995917 182.22, 81220.0195009284 6515794.789930219 182.22, 81219.73631782661 6515794.101003708 182.22, 81219.62230263208 6515793.839585366 182.21, 81219.45223886997 6515793.402096417 182.21, 81219.2396907541 6515792.827564117 182.20000000000002, 81219.18453804462 6515792.661474285 182.20000000000002, 81218.9241304294 6515791.890013951 182.19, 81218.88254193356 6515791.762951381 182.19, 81218.67012016667 6515791.077734634 182.19, 81218.54906445649 6515790.625785603 182.18, 81218.43159217975 6515790.213759695 182.18, 81218.3512291087 6515789.878892455 182.17000000000002, 81218.27444946999 6515789.583948334 182.17000000000002, 81218.23746660945 6515789.396105224 182.17000000000002, 81218.20765061228 6515789.288108357 182.17000000000002, 81217.89180330711 6515786.217611439 182.16, 81217.5659753008 6515783.148010359 182.16, 81217.84663138667 6515786.050625745 182.17000000000002, 81218.13816418167 6515788.962326038 182.16)</t>
  </si>
  <si>
    <t>['RV9 S7D1 m9888-9889']</t>
  </si>
  <si>
    <t>LINESTRING Z (81180.68753701908 6515789.154555005 182.17000000000002, 81181.07947515015 6515789.149558888 182.17000000000002, 81182.16277491051 6515789.112690903 182.18, 81183.16354081983 6515789.053047435 182.19, 81183.27332943637 6515789.043192994 182.19, 81183.74153039226 6515788.991106878 182.19, 81184.38938544423 6515788.922895314 182.19, 81184.94562172779 6515788.842784908 182.18, 81185.52181957522 6515788.760882787 182.17000000000002, 81186.14523376036 6515788.644559025 182.16, 81186.5508624328 6515788.567905713 182.15, 81186.67971675395 6515788.546278775 182.14000000000001, 81186.94651032076 6515788.49214826 182.14000000000001, 81188.38757918315 6515788.181698884 182.14000000000001, 81188.8976213109 6515788.035306438 182.14000000000001, 81189.44579485187 6515787.865368995 182.14000000000001, 81189.99396839057 6515787.695431554 182.16, 81190.51130372047 6515787.518200904 182.17000000000002, 81191.03861983155 6515787.3400744 182.18, 81191.53330601892 6515787.134693125 182.19, 81192.0297839201 6515786.949273413 182.20000000000002, 81192.51359346323 6515786.734807214 182.21, 81192.99919472093 6515786.540302584 182.22, 81193.54020138219 6515786.290518895 182.23, 81193.88786339812 6515786.128517838 182.24, 81193.93597559445 6515786.104076985 182.24, 81194.4080126335 6515785.870545087 182.27, 81194.88094552915 6515785.646993974 182.29, 81195.16053378122 6515785.511225492 182.31, 81195.82322788477 6515785.15996862 182.35, 81196.29168148781 6515784.886513603 182.38, 81196.76192680461 6515784.633020149 182.41, 81197.23767361406 6515784.32872693 182.44, 81197.72519291984 6515784.043499417 182.47, 81198.21821371833 6515783.707472142 182.46, 81198.7121303737 6515783.381425652 182.45000000000002, 81199.22152930417 6515783.003683539 182.43, 81199.73182409105 6515782.635922209 182.42000000000002, 81200.25849701109 6515782.226446043 182.4, 81200.05235767073 6515782.395866635 182.4, 81200.94140536158 6515781.652028576 182.37, 81201.76967250236 6515780.90358489 182.35, 81202.41726336192 6515780.271970318 182.33, 81202.56530972559 6515780.12788644 182.32, 81203.31923210784 6515779.335809867 182.3, 81203.63080711296 6515778.99594649 182.29, 81204.03233550693 6515778.537335948 182.28, 81204.34032708459 6515778.157549452 182.27, 81201.1683451818 6515777.566937122 182.20000000000002, 81197.06431431347 6515777.241085257 182.1, 81192.36284899473 6515777.32099976 182, 81187.758124683 6515777.694066764 181.9, 81187.66919349297 6515777.712110261 181.9, 81187.58115816017 6515777.740134542 181.9, 81187.48224618693 6515777.759073898 181.89000000000001, 81187.39421085373 6515777.787098178 181.89000000000001, 81187.2961947376 6515777.816018316 181.89000000000001, 81187.20905526157 6515777.85402338 181.89000000000001, 81187.12101992813 6515777.882047659 181.88, 81187.10105836188 6515777.8838393735 181.88, 81187.02300381206 6515777.910967799 181.88, 81186.93586433568 6515777.948972863 181.89000000000001, 81186.84872485948 6515777.986977925 181.89000000000001, 81186.76158538304 6515778.024982991 181.89000000000001, 81186.67444590654 6515778.062988053 181.89000000000001, 81186.58730643021 6515778.100993117 181.89000000000001, 81186.50106281112 6515778.148978965 181.89000000000001, 81186.41392333474 6515778.18698403 181.89000000000001, 81186.3276797153 6515778.234969877 181.89000000000001, 81186.25141687912 6515778.282059868 181.89000000000001, 81186.22237038665 6515778.294728221 181.89000000000001, 81186.16517325956 6515778.330045716 181.89000000000001, 81186.10797613248 6515778.365363211 181.89000000000001, 81186.07892964012 6515778.378031563 181.89000000000001, 81186.00266680383 6515778.425121553 181.89000000000001, 81185.94546967652 6515778.460439046 181.89000000000001, 81185.91731904174 6515778.483088186 181.88, 81185.84105620527 6515778.530178176 181.88, 81185.75570844294 6515778.588144808 181.88, 81185.68034146365 6515778.645215581 181.88, 81185.60497448471 6515778.702286356 181.88, 81185.52960750548 6515778.759357132 181.88, 81185.51054179622 6515778.771129628 181.88, 81185.4542405259 6515778.816427903 181.88, 81185.37976940407 6515778.883479461 181.88, 81185.3044024249 6515778.940550236 181.88, 81185.22993130289 6515779.007601794 181.88, 81185.16544096405 6515779.073757494 181.88, 81185.09096984199 6515779.14080905 181.88, 81185.0264795032 6515779.206964752 181.88, 81184.96198916453 6515779.2731204545 181.88, 81184.92475360318 6515779.306646232 181.88, 81184.88751804247 6515779.340172012 181.88, 81184.82392356097 6515779.416308496 181.87, 81184.75943322235 6515779.482464199 181.87, 81184.73307430191 6515779.525074902 181.87, 81184.69583874074 6515779.558600681 181.87, 81184.63224425953 6515779.634737166 181.87, 81184.57863056124 6515779.70997779 181.87, 81184.54229085759 6515779.753484354 181.87, 81184.51414022263 6515779.776133494 181.87, 81184.46142238186 6515779.861354902 181.87, 81184.39782790066 6515779.937491389 181.87, 81184.34421420255 6515780.012732016 181.87, 81184.29060050478 6515780.087972645 181.87, 81184.23788266396 6515780.173194053 181.87, 81184.18516482366 6515780.258415465 181.87, 81184.141531909 6515780.332760236 181.87, 81184.08881406853 6515780.417981646 181.86, 81184.04607701133 6515780.502307202 181.86, 81183.99335917115 6515780.587528612 181.86, 81183.950622114 6515780.671854164 181.86, 81183.90788505727 6515780.75617972 181.86, 81183.86514800036 6515780.840505276 181.86, 81183.82330680097 6515780.934811613 181.86, 81183.79055052745 6515781.018241311 181.86, 81183.74870932812 6515781.112547646 181.86, 81183.71595305484 6515781.195977341 181.86, 81183.69957491802 6515781.23769219 181.86, 81183.68409263896 6515781.289387822 181.86, 81183.64225143986 6515781.383694159 181.85, 81183.61039102421 6515781.477104641 181.86, 81183.59311702987 6515781.508838704 181.86, 81183.5685498254 6515781.571410977 181.86, 81183.53668940975 6515781.664821458 181.87, 81183.50482899416 6515781.758231938 181.87, 81183.47936593182 6515781.810823426 181.87, 81183.46298779541 6515781.852538276 181.88, 81183.43112738006 6515781.945948757 181.88, 81183.39837110718 6515782.029378453 181.89000000000001, 81183.38199297071 6515782.0710933 181.89000000000001, 81183.3574257663 6515782.1336655775 181.89000000000001, 81183.32556535112 6515782.227076056 181.9, 81183.28372415254 6515782.321382396 181.9, 81183.25186373759 6515782.414792873 181.91, 81183.21002253919 6515782.509099213 181.91, 81183.17816212447 6515782.602509693 181.92000000000002, 81183.14630170964 6515782.695920175 181.92000000000002, 81183.10446051153 6515782.790226515 181.93, 81183.07260009664 6515782.883636994 181.93, 81183.0307588987 6515782.977943332 181.94, 81182.99889848428 6515783.071353814 181.94, 81182.97343542252 6515783.123945304 181.95000000000002, 81182.96614221204 6515783.154783513 181.95000000000002, 81182.92430101428 6515783.249089852 181.95000000000002, 81182.89244059986 6515783.342500331 181.96, 81182.85059940227 6515783.436806672 181.96, 81182.81873898796 6515783.530217154 181.97, 81182.79506764183 6515783.60277021 181.97, 81182.66493841243 6515783.946469786 181.99, 81182.55848052987 6515784.217616304 182, 81182.42835130222 6515784.561315881 182.02, 81182.21633139794 6515785.113589708 182.05, 81182.1435256463 6515785.311287314 182.06, 81182.06982403703 6515785.499004136 182.07, 81181.71129677864 6515786.436692397 182.12, 81181.60394304292 6515786.697858136 182.13, 81181.3527695263 6515787.374380659 182.14000000000001, 81180.9933464225 6515788.302088147 182.16, 81180.66667959368 6515789.146365939 182.17000000000002)</t>
  </si>
  <si>
    <t>2022-03-30</t>
  </si>
  <si>
    <t>['FV820 S1D1 m14450-14472']</t>
  </si>
  <si>
    <t>LINESTRING Z (505835.11946413026 7627266.60921008 5.45, 505857.13567279157 7627261.160364865 6.7700000000000005)</t>
  </si>
  <si>
    <t>POLYGON ((505857.255794798 7627261.64572113, 505857.0155507851 7627260.675008601, 505834.9993421238 7627266.123853815, 505835.2395861367 7627267.094566344, 505857.255794798 7627261.64572113))</t>
  </si>
  <si>
    <t>['FV820 S1D1 m14458-14476']</t>
  </si>
  <si>
    <t>LINESTRING Z (505829.59468160383 7627253.928936993 5.17, 505847.1029247911 7627250.8925203085 5.79)</t>
  </si>
  <si>
    <t>['FV820 S1D1 m14493-14512']</t>
  </si>
  <si>
    <t>LINESTRING Z (505793.8596472602 7627259.855977284 5.5, 505813.1856346407 7627257.014279578 5.5)</t>
  </si>
  <si>
    <t>['FV820 S1D1 m14488-14536']</t>
  </si>
  <si>
    <t>LINESTRING Z (505771.382961061 7627272.758323534 4.99, 505818.98273870297 7627269.396878323 4.99)</t>
  </si>
  <si>
    <t>POLYGON ((505819.01796044956 7627269.895636208, 505818.94751695637 7627268.898120437, 505771.3477393144 7627272.259565649, 505771.4181828076 7627273.25708142, 505819.01796044956 7627269.895636208))</t>
  </si>
  <si>
    <t>2022-04-05</t>
  </si>
  <si>
    <t>['FV62 S4D1 m7483-7705']</t>
  </si>
  <si>
    <t>LINESTRING (145206.411355095 6979542.40232827, 145242.776161917 6979546.69063096, 145269.020574388 6979550.12127311, 145294.578858428 6979553.20885105, 145324.768509374 6979556.98255742, 145349.640664984 6979560.58473168, 145363.877829919 6979562.64311697, 145380.516444361 6979564.18690594, 145400.757233064 6979567.10295177, 145426.315517104 6979570.36206182, 145206.411355095 6979542.40232827)</t>
  </si>
  <si>
    <t>['FV62 S4D1 m7968-8075']</t>
  </si>
  <si>
    <t>LINESTRING Z (145689.617302348 6979588.88752944 -999999, 145717.920100111 6979590.2597863 -999999, 145744.336044689 6979591.11744684 -999999, 145768.693603976 6979592.4897037 -999999, 145787.905200032 6979593.00430003 -999999, 145796.653337523 6979593.51889635 -999999)</t>
  </si>
  <si>
    <t>POLYGON ((145717.89588613095 6979590.75919964, 145717.9038748943 6979590.759522974, 145744.31386672793 6979591.616990242, 145768.66547955966 6979592.988912091, 145768.68021592058 6979592.989524428, 145787.88382003954 6979593.503906688, 145796.6239765122 6979594.018033536, 145796.68269853378 6979593.019759163, 145787.93456104278 6979592.5051628435, 145787.9185880874 6979592.504479302, 145768.7143647325 6979591.990080455, 145744.36416910533 6979590.618238449, 145744.35226990568 6979590.617710167, 145717.94032101607 6979589.760179358, 145689.64151632803 6979588.388116101, 145689.59308836795 6979589.38694278, 145717.89588613095 6979590.75919964))</t>
  </si>
  <si>
    <t>2022-04-06</t>
  </si>
  <si>
    <t>2025-11-22T09:18:04Z</t>
  </si>
  <si>
    <t>['EV16 S13D1 m8434-8448']</t>
  </si>
  <si>
    <t>LINESTRING (46099.573611209926 6769837.859527427, 46104.87031951983 6769838.32190434, 46117.64031701087 6769837.236860862, 46121.740975531924 6769835.274930888, 46123.96052240883 6769832.4494746635)</t>
  </si>
  <si>
    <t>POLYGON ((46104.82683731038 6769838.820010049, 46104.86974206391 6769838.821904006, 46104.912651077626 6769838.820109156, 46117.68264856866 6769837.735065678, 46117.72743843961 6769837.729212217, 46117.77151726181 6769837.71934039, 46117.81452528239 6769837.7055307655, 46117.85611148788 6769837.687896053, 46121.95677000894 6769835.725966079, 46121.99718019576 6769835.704301556, 46122.03543587071 6769835.6790263085, 46122.07121532882 6769835.650352886, 46122.10421768847 6769835.618522412, 46122.1341654217 6769835.583802561, 46124.35371229861 6769832.758346337, 46123.56733251905 6769832.14060299, 46121.41988976509 6769834.874271542, 46117.506944133296 6769836.746391661, 46104.87089911796 6769837.8200534405, 46099.61709341938 6769837.361421717, 46099.53012900047 6769838.357633136, 46104.82683731038 6769838.820010049))</t>
  </si>
  <si>
    <t>['EV16 S13D1 m8474-8737']</t>
  </si>
  <si>
    <t>LINESTRING (46132.51313925465 6769830.690041875, 46200.23042792658 6769836.443221687, 46273.10038214747 6769847.870771269, 46338.74437082792 6769858.752729495, 46374.80319515185 6769863.263766218, 46394.8265870827 6769864.674718374, 46415.14611266443 6769864.943138915)</t>
  </si>
  <si>
    <t>POLYGON ((46200.17045743454 6769836.939927922, 46273.02076363514 6769848.364396279, 46338.66260058111 6769859.245997806, 46338.68230355697 6769859.248862193, 46374.7411278809 6769863.759898916, 46374.76804970243 6769863.762529486, 46394.79144163328 6769865.173481642, 46394.819982668574 6769865.174674754, 46415.1395082503 6769865.443095295, 46415.152717078556 6769864.4431825355, 46394.847479065604 6769864.174950733, 46374.85183710458 6769862.765953984, 46338.81631810418 6769858.2578328075, 46273.18215239428 6769847.377502958, 46273.177845975915 6769847.37680836, 46200.30789175502 6769835.949258778, 46200.272754845115 6769835.945016476, 46132.55546617318 6769830.1918366635, 46132.47081233611 6769831.188247086, 46200.17045743454 6769836.939927922))</t>
  </si>
  <si>
    <t>['EV16 S14D1 m99-112']</t>
  </si>
  <si>
    <t>LINESTRING (47925.01238711912 6770295.777355429, 47939.55272010167 6770305.111565521)</t>
  </si>
  <si>
    <t>2022-10-27</t>
  </si>
  <si>
    <t>[580]</t>
  </si>
  <si>
    <t>['RV580 S1D10 m1272-1410']</t>
  </si>
  <si>
    <t>LINESTRING Z (-34527.161461562384 6723280.9180136 33.055001185834406, -34526.50367713021 6723282.932605135 33.10499994903803, -34521.20979181165 6723281.23940253 33.375004546046256, -34517.32410043536 6723279.8966809735 33.545007995665074, -34513.59181989974 6723278.638505063 33.72501129627228, -34511.013388778316 6723277.868678153 33.87501348674297, -34507.34188282513 6723276.716783952 34.06501666069031, -34503.781161058694 6723275.564958671 34.24501976013184, -34500.05429767002 6723274.357638147 34.42502300858498, -34497.46672405873 6723273.687693075 34.595025132000444, -34493.66445804271 6723272.533901756 34.79502838045359, -34489.80141771305 6723271.2738289535 34.9750317555666, -34485.89476773841 6723270.050051798 35.17503512322903, -34483.25457959389 6723269.294715964 35.31503734350205, -34479.243476800504 6723268.111737034 35.53504074841738, -34475.17793077952 6723266.863343579 35.735044235289095, -34472.67307459167 6723266.059964457 35.84504641830921, -34468.77092761616 6723264.897030914 36.025049733817575, -34465.1075823725 6723263.766028152 36.17505288541317, -34462.55363098951 6723263.058873701 36.28505500882864, -34458.82311159116 6723261.891506668 36.40505822747946, -34455.2623222057 6723260.850466394 36.5250612449646, -34451.71328078618 6723259.901148174 36.645064173042776, -34449.36901220342 6723259.323977651 36.735066065490244, -34445.45047781372 6723258.230047435 36.83506934374571, -34443.15340732725 6723257.687412817 36.905071184039116, -34439.18577775743 6723256.689707238 37.005074402689935, -34435.2690722011 6723255.575800893 37.06507769584656, -34432.79390590207 6723255.218301238 37.15507949143648, -34428.80172896094 6723254.268708095 37.235082687735556, -34424.7278183226 6723253.331777167 37.305085928738116, -34420.92717636051 6723252.490363015 37.3650889313221, -34417.42252218246 6723251.716329677 37.40509168803692, -34414.26914454112 6723251.175887583 37.46509404987097, -34410.411247922806 6723250.409807495 37.515097015202045, -34406.40170050936 6723249.649989717 37.54510006994009, -34402.530158882495 6723248.922948102 37.56510302037001, -34398.41243288829 6723248.354665146 37.59510598570108, -34394.5072011312 6723247.775617446 37.62510883182287, -34390.599295498454 6723247.115750263 37.585111744999885, -34386.73120497831 6723246.681108188 37.59511444956064, -34381.62830914103 6723245.982360057 37.57511812269688, -34376.68065264507 6723245.348181091 37.5451216468215, -34373.27096579084 6723245.187151667 37.56512385219336, -34368.29686461156 6723244.731845314 37.54512724965811, -34363.40260005288 6723244.394637133 37.525130498111245, -34358.62453645514 6723244.108352839 37.49513364225626, -34353.99903815391 6723243.805818161 37.45513669699431, -34349.14733195561 6723243.66387062 37.425139766633514, -34345.22536962642 6723243.707745947 37.4351421135664, -34340.444426299655 6723243.672994119 37.405145049095154, -34336.75036320998 6723243.757873961 37.38514723211527, -34331.70684783661 6723243.950883485 37.3751501378417, -34326.97845097969 6723244.112306446 37.32515287965536, -34322.37251730554 6723244.476304044 37.285155390501025, -34317.80660521658 6723244.733174773 37.20515795350075, -34313.13884563593 6723245.222446946 37.13516039729119, -34308.34306882066 6723245.679857298 37.055162937939166, -34303.312079138705 6723246.176168332 36.96516559779644, -34298.44624804112 6723246.848746567 36.88516801178456, -34293.88463294227 6723247.498812092 36.80517025440931, -34289.23847266764 6723248.302288066 36.735172429978846, -34284.449804499396 6723249.012144769 36.67517476201058, -34281.396400211845 6723249.800264796 36.68517597645521, -34276.97996779124 6723250.624768821 36.49517799556256, -34274.023771160864 6723251.341212017 36.50517921000719, -34269.910571664805 6723252.263975322 36.57518096089363, -34269.871670974884 6723252.028762329 36.595181169509885, -34273.10534332204 6723250.481612043 36.65518046170473, -34274.5286444308 6723249.896794185 36.66518007427454, -34277.39072045381 6723248.668143809 36.69517933666706, -34281.713946527336 6723247.321444409 36.775177801847455, -34284.671903054696 6723246.6958086835 36.84517651289701, -34287.69056519086 6723246.287238198 36.81517500787974, -34290.570307590184 6723245.855879783 36.90517360717058, -34293.57898172166 6723245.446394995 36.965172109603884, -34298.22331361135 6723244.662895189 37.04516992658377, -34301.459886826226 6723244.294414842 37.09516825765371, -34306.04591222468 6723243.817804801 37.15516585111618, -34309.09812760027 6723243.482808328 37.19516427159309, -34313.61796211393 6723242.849061833 37.27516203641891, -34316.83540489292 6723242.579548655 37.305160300433634, -34319.98194762261 6723242.424407663 37.355158512294295, -34323.053156568436 6723242.212011762 37.38515681356192, -34325.02461705578 6723242.1306022825 37.38515568107367, -34328.52257383929 6723241.987484393 37.42515367686749, -34333.1347700099 6723241.775137518 37.435151039361955, -34336.187762710266 6723241.651720695 37.475149288475514, -34339.29970132385 6723241.654561587 37.47514738857746, -34342.26273199462 6723241.633700291 37.4851456078887, -34345.326558535104 6723241.611993541 37.495143760144714, -34349.893179489416 6723241.677486414 37.51514092892408, -34352.87520364346 6723241.779225783 37.51513902902603, -34355.79638467706 6723241.885467701 37.52513716638088, -34358.73205647117 6723242.05346709 37.525135244131086, -34363.087029329035 6723242.230520636 37.545132457613946, -34366.189757114975 6723242.444027097 37.55513039380312, -34369.190774890245 6723242.66836719 37.56512838214636, -34372.181873393245 6723242.781009053 37.585126474797725, -34378.762101624045 6723243.625057059 37.57512178838253, -34381.61779989884 6723243.89652638 37.59511982887983, -34384.178356093005 6723244.201410824 37.59511802583933, -34386.89232294937 6723244.590840703 37.605116058886054, -34390.94920537656 6723245.163625992 37.6051131233573, -34393.801246846444 6723245.475048018 37.625111134052275, -34397.947039822466 6723246.176833971 37.60510804206133, -34400.59566122049 6723246.509923273 37.60510615706444, -34404.64614418964 6723247.152625819 37.5851031768322, -34408.652034485014 6723247.952396132 37.54510008484125, -34412.75513249147 6723248.680489673 37.505097000300886, -34416.56301958393 6723249.55278239 37.455093975365166, -34418.73586682649 6723249.802034203 37.46509244799614, -34422.54283982003 6723250.6843151655 37.375089415609835, -34426.91365238174 6723251.678638591 37.29508595108986, -34431.37717016041 6723252.54044203 37.225082531273365, -34434.33332137007 6723253.364986451 37.15508006513119, -34438.57337396173 6723254.35741272 37.055076675117014, -34441.39151962148 6723255.149181121 36.985074320733546, -34445.602453396656 6723256.239660593 36.86507087111473, -34449.83420906821 6723257.432764571 36.72506732463837, -34452.68689080083 6723258.1773351375 36.63506498515606, -34456.69257605693 6723259.309458363 36.48506162494421, -34459.498905380024 6723260.120289068 36.385059263110165, -34463.650893841754 6723261.0845110435 36.2450559476018, -34467.66924156237 6723262.298368329 36.065052520334724, -34470.477399652475 6723263.089222861 35.94505016595125, -34474.74903990107 6723264.396768519 35.74504650771618, -34478.77118270309 6723265.349105242 35.57504328161478, -34483.792505570804 6723267.269153762 35.27503866970539, -34486.68324327574 6723268.148142301 35.12503619611263, -34491.01481299824 6723269.461173976 34.915032493174074, -34493.79659531405 6723270.320117454 34.765030101537704, -34498.136324872845 6723271.654039895 34.54502637624741, -34501.03437705978 6723272.453123332 34.40502396225929, -34503.734425702714 6723273.324729102 34.265021615326404, -34506.56249200099 6723274.2281968035 34.10501915663481, -34509.161813663086 6723274.989863987 33.995016958713535, -34511.90266054962 6723275.965922906 33.84501449257135, -34516.1743020463 6723277.273469524 33.62501083433628, -34516.41760628484 6723277.366243543 33.615010610818864, -34516.32046744437 6723277.3271363 33.61501070022583, -34516.26680066669 6723277.473301701 33.605010610818866, -34527.161461562384 6723280.9180136 33.055001185834406)</t>
  </si>
  <si>
    <t>2022-08-29</t>
  </si>
  <si>
    <t>2025-11-22T09:18:09Z</t>
  </si>
  <si>
    <t>[213]</t>
  </si>
  <si>
    <t>['FV213 S8D1 m571-663']</t>
  </si>
  <si>
    <t>LINESTRING Z (255531.66152318043 6784576.733815555 187.28, 255531.50886267592 6784577.149811226 187.28, 255530.627048849 6784576.849073332 187.28, 255533.7430606005 6784566.26239969 187.05, 255535.85473105387 6784559.395736775 186.92000000000002, 255539.47807503902 6784547.114389816 186.83, 255541.83773551375 6784540.868039475 186.75, 255543.9196320257 6784534.114653375 186.65, 255546.0507597686 6784526.804054092 186.5, 255547.45788084008 6784521.891380015 186.45000000000002, 255549.4082882879 6784515.019455534 186.37, 255551.5737753032 6784507.645403474 186.22, 255553.70936922173 6784500.274101525 186.07, 255555.45043472256 6784494.185144574 186.01, 255556.83579472 6784489.254375493 185.93, 255557.673167087 6784489.508957921 185.93)</t>
  </si>
  <si>
    <t>POLYGON ((255531.60444560912 6784576.712869446, 255531.6682645897 6784576.682418143, 255531.67025711364 6784576.676575729, 255531.24201609756 6784576.530526418, 255534.22186146482 6784566.4064791035, 255536.33264302858 6784559.542706652, 255536.3342954266 6784559.537221801, 255539.95238051406 6784547.273699908, 255542.30547333992 6784541.044735049, 255542.31554676418 6784541.015336485, 255544.39744327613 6784534.261950385, 255544.39965197165 6784534.254584971, 255546.53077971455 6784526.943985688, 255546.53143118185 6784526.941731223, 255547.93855225333 6784522.029057146, 255547.93888243035 6784522.027899135, 255549.88866985738 6784515.158159191, 255552.0535170419 6784507.786285922, 255552.0540261705 6784507.784540473, 255554.18962008902 6784500.4132385235, 255554.19010274892 6784500.411561613, 255555.93116824975 6784494.322604663, 255555.93179627578 6784494.320389002, 255557.1790076334 6784489.881318138, 255557.52772747335 6784489.98733781, 255557.81860670063 6784489.030578031, 255556.98123433365 6784488.775995604, 255556.93299342174 6784488.763914065, 255556.88379096222 6784488.7566844635, 255556.83411369522 6784488.754378319, 255556.78445305792 6784488.757018445, 255556.735300323 6784488.764578722, 255556.6871417386 6784488.776984363, 255556.64045371817 6784488.794112641, 255556.5956981275 6784488.815794114, 255556.55331771556 6784488.841814295, 255556.51373173468 6784488.871915778, 255556.47733179302 6784488.905800781, 255556.4444779805 6784488.943134093, 255556.41549530663 6784488.98354639, 255556.39067048533 6784489.02663789, 255556.37024909855 6784489.071982307, 255556.3544331668 6784489.119131066, 255554.96938463327 6784494.0487915855, 255553.22887555667 6784500.135802576, 255551.09377742052 6784507.505393263, 255548.9285465492 6784514.878573086, 255548.92728669764 6784514.882936414, 255546.97704363993 6784521.754281695, 255545.57041144723 6784526.665248952, 255543.44068811068 6784533.971030573, 255541.3645039512 6784540.7058865875, 255539.01033721285 6784546.937694242, 255538.99851066628 6784546.972904791, 255535.37597717397 6784559.25150458, 255533.2651486258 6784566.115429814, 255533.26340587443 6784566.121221279, 255530.14739412293 6784576.70789492, 255530.13611549075 6784576.754287058, 255530.129313067 6784576.801543432, 255530.12704887456 6784576.849233174, 255530.12934355778 6784576.896921457, 255530.13617619433 6784576.944173473, 255530.14748448587 6784576.99055839, 255530.16316532626 6784577.035653281, 255530.1830757415 6784577.079046982, 255530.2070341933 6784577.120343841, 255530.2348222345 6784577.159167322, 255530.2661865006 6784577.195163444, 255530.30084102004 6784577.228004001, 255530.3384698215 6784577.257389563, 255530.3787298149 6784577.2830521995, 255530.4212539196 6784577.304757924, 255530.4656544113 6784577.322308829, 255531.3474682382 6784577.623046723, 255531.39392965692 6784577.636422366, 255531.44146573197 6784577.645248055, 255531.48963198764 6784577.64944127, 255531.53797805574 6784577.6489628, 255531.58605188676 6784577.643817122, 255531.63340397665 6784577.634052348, 255531.67959156987 6784577.619759781, 255531.7241827993 6784577.601073062, 255531.76676072425 6784577.578166915, 255531.80692722893 6784577.551255521, 255531.84430674513 6784577.520590508, 255531.8785497637 6784577.486458604, 255531.90933610266 6784577.449178951, 255531.93637790097 6784577.409100124, 255531.95942231012 6784577.366596871, 255531.97825385828 6784577.322066612, 255532.1309143628 6784576.906070941, 255531.60444560912 6784576.712869446))</t>
  </si>
  <si>
    <t>['FV213 S8D1 m553-568']</t>
  </si>
  <si>
    <t>LINESTRING Z (255559.1282492299 6784487.083978391 186.13, 255557.66196056452 6784486.656126139 186.11, 255558.1792567262 6784484.960535825 186.09, 255559.4728963906 6784480.671279321 186.02, 255560.7321778977 6784476.445476337 185.96, 255561.50911284113 6784474.404440473 185.95000000000002, 255563.43542406108 6784472.951043732 185.92000000000002, 255565.35455012476 6784472.402701014 185.97, 255567.11930039665 6784472.3609507885 186.01, 255566.7921278341 6784473.938563699 186.01)</t>
  </si>
  <si>
    <t>POLYGON Z ((255559.1282492299 6784487.083978391 186.13, 255557.66196056452 6784486.656126139 186.11, 255558.1792567262 6784484.960535825 186.09, 255559.4728963906 6784480.671279321 186.02, 255560.7321778977 6784476.445476337 185.96, 255561.50911284113 6784474.404440473 185.95000000000002, 255563.43542406108 6784472.951043732 185.92000000000002, 255565.35455012476 6784472.402701014 185.97, 255567.11930039665 6784472.3609507885 186.01, 255566.7921278341 6784473.938563699 186.01, 255559.1282492299 6784487.083978391 186.13))</t>
  </si>
  <si>
    <t>['FV440 S2D1 m870-1018']</t>
  </si>
  <si>
    <t>LINESTRING Z (-34061.908031692146 6574642.614006388 49.77123626322032, -34061.17650296248 6574641.5808247095 49.77123729885101, -34060.86577661056 6574640.9669108605 49.77938578313875, -34060.435925490456 6574639.9150540875 49.11607150584507, -34058.84068987006 6574640.820670692 49.12790190655422, -34058.420921885525 6574640.062651692 49.136969539853574, -34057.915967908106 6574640.383216647 48.40757097198725, -34056.797182887094 6574641.1487746 48.282818925661566, -34056.33915368572 6574640.8144882545 48.15847748445511, -34055.090474871104 6574641.531700932 48.04304757969046, -34053.91206852428 6574642.811635606 48.03469845885897, -34053.16866998165 6574643.74534746 48.01460297294903, -34052.98302410811 6574644.314440995 47.984810017652514, -34053.333104850026 6574644.492515422 47.92348960787058, -34052.739604599075 6574645.793717062 47.91148287609148, -34052.247524125734 6574647.521668939 46.77675892079496, -34051.676344190375 6574647.352593386 46.32014155409431, -34051.40064320958 6574648.041111002 45.750562658402444, -34051.16857453564 6574649.908320057 45.725973405082705, -34051.47883007815 6574651.919701162 45.70522254826594, -34052.170332530164 6574652.696152395 45.64959362439394, -34052.64227783494 6574652.389695024 45.542568222062584, -34053.359641119256 6574653.57897256 44.85707616408014, -34052.844931371044 6574654.142762939 44.856253544059754, -34048.65067775117 6574650.06644162 45.110869960631845, -34042.68505812134 6574643.359072265 45.64271289550018, -34039.35642127483 6574639.607656159 45.93985931369448, -34036.88400509395 6574636.821208818 46.16057159194994, -34036.027784392005 6574635.856240268 46.23700672443819, -34032.699159595184 6574632.104746111 46.5341561351819, -34031.710638700286 6574630.990762453 46.622397439033506, -34031.59270520252 6574630.826077322 46.634398602946284, -34031.47158326849 6574630.45407561 46.6575778264637, -34031.50678220368 6574630.064435028 46.680756893518925, -34031.692610093276 6574629.720158591 46.703935789210796, -34031.73462721496 6574629.673162734 46.70767075940847, -34031.999022604316 6574629.476908992 46.727179535891054, -34032.37647751509 6574629.374017112 46.750358178263184, -34032.76374648453 6574629.428376154 46.77352676103067, -34033.04807737528 6574629.5867420165 46.79280942575455, -34033.20376078773 6574629.712138314 46.80465323203945, -34033.96172728413 6574630.322095674 46.8622952932663, -34035.962111589964 6574631.9321996095 47.01443281967354, -34036.339122677105 6574632.227861479 47.04281835028696, -34037.22282301262 6574632.864029339 47.107330277403356, -34038.13264944404 6574633.445186848 47.17129218961859, -34039.09188361617 6574633.980003763 47.236360057130334, -34040.07114562963 6574634.456174821 47.300872924642086, -34041.07601466705 6574634.875555378 47.36538477725267, -34042.103191221715 6574635.2369088475 47.42989762986326, -34043.14933867182 6574635.5388966035 47.49440846757269, -34044.211006722995 6574635.780814304 47.5589213127327, -34045.28477288247 6574635.961683176 47.6234341578927, -34046.36709370196 6574636.080982839 47.68794601050329, -34047.454485516064 6574636.138088526 47.75245887801504, -34048.54334680352 6574636.133156454 47.81697076042795, -34049.63017325406 6574636.065812787 47.88148465774202, -34050.711371476646 6574635.936737168 47.94599657740784, -34052.31312879198 6574635.620310449 48.04273001278591, -34052.36557449587 6574635.865479437 48.05758389357662, -34052.42714791675 6574636.15332211 47.91077875201559, -34052.48937167518 6574636.444201605 48.05233961045456, -34052.51754878147 6574636.575922034 48.137849550849914, -34052.564983920776 6574636.797668864 48.282695439091206, -34052.685006540036 6574636.7655984 48.2767573273325, -34053.09707659425 6574636.6554918615 48.277496932451726, -34053.202432961436 6574636.627340242 48.275454828143594, -34053.61588595458 6574636.516864074 48.291275433262825, -34053.70572575054 6574636.492857669 48.29420734385586, -34054.113460787456 6574636.358115938 48.294813963876244, -34054.306122055976 6574636.294379615 48.29861277761173, -34054.707855612505 6574636.161477852 48.314002405082704, -34054.833319776575 6574636.119971402 48.31643728587341, -34054.73009128589 6574635.853744236 48.14148046468735, -34054.706274531665 6574635.792320764 48.10137850194025, -34054.59752634284 6574635.511856865 47.951428688204764, -34054.48869302089 6574635.231175796 48.10130087446928, -34054.39806698228 6574634.997448769 48.105863030931474, -34054.90997513407 6574634.812068013 48.11577055409431, -34055.910945729 6574634.383439268 48.135585637672904, -34056.827883441 6574633.929129538 48.15420681065846, -34055.910945729 6574634.383439268 48.1728306376729, -34063.08712444792 6574630.616960782 48.32031225997591, -34067.52001443296 6574628.2712325845 48.411577333519936, -34070.72894521023 6574626.57317974 48.47764249484873, -34071.09310705075 6574626.375380614 48.485184174473765, -34072.02871346113 6574625.818329622 48.50499936236048, -34072.93096891127 6574625.208807766 48.52481360240126, -34074.62382231606 6574623.840152316 48.56442723894501, -34075.40887115442 6574623.085600671 48.58424263544798, -34076.149551161914 6574622.287432076 48.60405809155559, -34076.84343479574 6574621.448271485 48.623872607267856, -34077.488251873176 6574620.570863813 48.64368818258476, -34078.08192115137 6574619.658036492 48.66350382495689, -34078.622481283266 6574618.712806054 48.68331851948309, -34079.10817519552 6574617.738246743 48.70313428851509, -34079.53742289881 6574616.737434701 48.722952117151735, -34079.90881015267 6574615.713919285 48.74276602029419, -34080.22112768411 6574614.670809091 48.76258097559071, -34080.47337886947 6574613.611456528 48.78239900539303, -34080.664702094626 6574612.539614937 48.80221210225058, -34080.794500134536 6574611.458496534 48.82202825871277, -34080.82529525354 6574611.078677541 48.828963333218574, -34080.862349249306 6574610.3716675965 48.841847482230186, -34080.86375008919 6574610.32864841 48.842630497131346, -34080.96171150042 6574608.424281092 48.87733290691328, -34081.040429522865 6574607.454523038 48.89503909317779, -34081.13852614525 6574606.486534927 48.91274524963999, -34081.17890692863 6574606.135785292 48.919170301794054, -34081.3997360894 6574606.421404441 48.92574000377083, -34081.466865275754 6574606.508230097 48.88743290691328, -34081.617193367565 6574606.702662384 48.8029207057476, -34081.66498237569 6574606.764471847 48.77605563869238, -34081.81941805512 6574606.964219062 48.862514430076125, -34081.93241087464 6574607.110363919 48.92575927361393, -34082.2637628112 6574607.538932842 48.924951819128516, -34082.42292590509 6574607.744793205 48.924665603061676, -34082.80305702775 6574608.236452449 48.922048081521034, -34083.10650407197 6574608.628929843 48.92343166428852, -34083.196541463956 6574608.392419565 48.9234166344862, -34083.29317296727 6574608.158526031 48.9234255972333, -34083.31498458434 6574608.109660361 48.92343258978271, -34083.39632259449 6574607.927432717 48.92348855998039, -34083.50590945163 6574607.699321669 48.92348850782633, -34083.575800431776 6574607.563716048 48.92348347057342, -34083.6218478292 6574607.474372472 48.92349144822168, -34083.744045297964 6574607.252761088 48.92349538116646, -34083.871216838364 6574607.036683857 48.92348931411123, -34084.00683152443 6574606.820246054 48.92343623215485, -34084.14721325564 6574606.609683267 48.92343915019846, -34084.202516449615 6574606.531569084 48.92344411294555, -34084.293442293885 6574606.403137178 48.923439053340914, -34084.431800758815 6574606.218885402 48.923441963933946, -34084.44540313457 6574606.200771598 48.92340695648336, -34085.03096575732 6574605.443329227 48.92340656160259, -34085.63039585191 6574604.667949062 48.92333115927124, -34086.229774585576 6574603.892635759 48.923273756939885, -34086.82913752785 6574603.117341162 48.923148354608536, -34087.428496839944 6574602.342053281 48.92304495972776, -34088.0275015349 6574601.567223846 48.922943557396415, -34088.04106575204 6574601.549677641 48.922794549945834, -34088.20461886353 6574601.343417771 48.92257043818712, -34088.37416711857 6574601.142058113 48.92266131897783, -34088.41045606462 6574601.101448912 48.92274528917551, -34088.54956686625 6574600.945773029 48.92236019231796, -34088.73066373938 6574600.754732885 48.92236805820751, -34088.82329515717 6574600.662601069 48.92255499115229, -34088.917301913025 6574600.569101869 48.92220891664648, -34089.10931974859 6574600.389041639 48.92210577508545, -34089.26416370133 6574600.25217458 48.922348655876156, -34089.306551064365 6574600.214708399 48.922128618623255, -34089.5088253147 6574600.046250915 48.92189746216106, -34089.715967956465 6574599.883817594 48.92211629079771, -34089.73443524807 6574599.870193765 48.92210727589655, -34089.92779826885 6574599.727547207 48.92176611943436, -34090.144134709495 6574599.577576454 48.921872940620425, -34090.22475175257 6574599.525132664 48.9220878735652, -34090.36478837591 6574599.434034312 48.921711754355904, -34090.58956882055 6574599.297044576 48.921689560640814, -34090.73956508143 6574599.211578062 48.922007433980944, -34090.75759061449 6574599.201307386 48.91953241907978, -34090.81828204868 6574599.1667257035 48.918116366925716, -34091.05072943331 6574599.0431916835 48.91760015830946, -34091.28671097872 6574598.926549352 48.9187299496932, -34091.52602132887 6574598.816897994 48.917153741076945, -34091.76845231047 6574598.714334636 48.91791151755953, -34091.8433350462 6574598.685221023 48.9185684505043, -34092.013796650106 6574598.618946314 48.91688329404211, -34092.2618403564 6574598.530816427 48.917196070524696, -34092.409090145025 6574598.4833287485 48.918549928963664, -34092.51237006544 6574598.450021392 48.915991832106116, -34092.76516696287 6574598.376631083 48.91572059368753, -34092.989497918985 6574598.318602479 48.91769238507128, -34093.02001386334 6574598.310708478 48.916470355268956, -34093.27668903826 6574598.252311103 48.915418109399795, -34093.5349713912 6574598.201489491 48.91714386353063, -34093.57729663479 6574598.194447294 48.91787681882715, -34093.79463645932 6574598.158286829 48.9154926102109, -34094.05546014244 6574598.1227423 48.91659834944058, -34094.17215540772 6574598.1103226915 48.918465237681865, -34094.317217243486 6574598.094884921 48.916174096120834, -34094.5796799293 6574598.0747394385 48.916484835350516, -34094.77158709697 6574598.06567678 48.91991364163542, -34094.84262208734 6574598.062322702 48.918640567129614, -34095.10581496928 6574598.057647291 48.91810929890871, -34095.369031817536 6574598.060714886 48.92062603068781, -34095.63204505679 6574598.071525082 48.91876676246691, -34095.89462610439 6574598.090066306 48.92076048679542, -34095.97404496709 6574598.098028059 48.92238640483904, -34096.15654764895 6574598.116324074 48.92058521857452, -34096.41758418945 6574598.150274997 48.92165694290304, -34096.61424519948 6574596.350078443 48.06520423347568, -34096.64841788297 6574596.037275015 47.92345828562975, -34096.65487425891 6574595.978175147 47.81880329308033, -34096.67002848128 6574595.839456994 47.57876631543207, -34096.674676775234 6574595.796901235 47.55801132288265, -34096.70314878691 6574595.536278408 47.43168336758614, -34096.70619870233 6574595.5083570285 47.44569636758614, -34096.73627604416 6574595.233033977 47.58468241228962, -34096.763860044884 6574594.980539123 47.571264456993106, -34097.045893150615 6574592.809252481 47.57904176246691, -34100.97210963897 6574593.630123433 47.45621754543829, -34103.209126550704 6574594.395233227 47.39869406439495, -34105.201954923104 6574595.191924952 47.341169821770194, -34107.407750934246 6574596.362104614 45.923447251319885, -34106.50866689312 6574598.426259337 45.747448601497176, -34107.535337050795 6574599.60424313 48.87976623059034, -34107.60148927802 6574599.69536364 48.923446141183376, -34107.783420785214 6574599.945961316 49.04313488786364, -34108.20736730774 6574600.529919875 49.281031291817186, -34108.5362278691 6574600.982902481 49.46555582988119, -34108.77340961201 6574601.309604856 49.598631502055646, -34109.35227874131 6574602.106958023 49.92344368994236, -34109.414977929555 6574602.193322256 49.95862560798597, -34109.4410839366 6574602.229281579 49.97327557073307, -34109.96032436227 6574602.944500781 50.26467384057617, -34110.207092297846 6574603.284406168 50.403142497849466, -34110.57123105961 6574603.785982972 50.605745991209986, -34110.60683891887 6574603.835030921 50.62555593905592, -34110.731057866826 6574604.091525134 50.73613373789024, -34110.941459702095 6574604.525974957 50.92344140261412, -34111.491401354666 6574605.661527816 50.923314530896185, -34111.622205751366 6574605.931620802 50.92330932227993, -34112.32706234162 6574607.38704902 50.923176204692844, -34112.63308223302 6574608.018936415 50.92311771295452, -34113.16021991754 6574609.10740219 50.92297987848949, -34113.239191682194 6574609.2704677945 50.92296375182963, -34113.365705153905 6574609.531699293 50.922937550663946, -34112.37275551213 6574610.922994172 50.923025176512716, -34110.15032400109 6574612.753423256 45.542519934849736, -34108.35387995106 6574613.588552733 50.922302536724565, -34100.596116066095 6574618.430751792 50.92227112303782, -34092.77232065308 6574623.232127869 50.92223180620861, -34079.25200630585 6574631.667435818 50.9222413695097, -34067.10689929314 6574639.843234792 50.92268765131092, -34063.97401758877 6574641.916863325 50.922671326069356, -34061.908031692146 6574642.614006388 49.77123626322031)</t>
  </si>
  <si>
    <t>2023-01-12</t>
  </si>
  <si>
    <t>2025-11-22T09:18:16Z</t>
  </si>
  <si>
    <t>[2404]</t>
  </si>
  <si>
    <t>['FV2404 S1D1 m2604-2628']</t>
  </si>
  <si>
    <t>LINESTRING Z (260972.57797971868 6748161.7830773 243.06, 260971.7001109226 6748162.612750615 243.27, 260969.15644890835 6748164.570704577 243.32, 260968.02837215253 6748165.495356941 243.31, 260966.40499311854 6748166.442058743 243.27, 260964.81294475263 6748167.286121361 243.20000000000002, 260963.5182076801 6748167.842140755 243.19, 260961.7837936484 6748168.51701811 243.17000000000002, 260959.8505344665 6748169.2387462 243.13, 260958.02085432276 6748170.121092483 243.09, 260956.1450332529 6748171.129415173 243.07, 260954.95611491945 6748171.879417599 243.08, 260953.71316973967 6748172.800608682 243.1, 260952.6261259148 6748173.767198091 243.1, 260952.00912928776 6748174.579379116 243.15, 260951.67292478768 6748175.182819896 243.12, 260953.38047902333 6748175.816741316 243.18, 260955.63640232323 6748176.324514747 243.25, 260957.29014216652 6748176.481696124 243.3, 260958.81675383865 6748176.289934331 243.31, 260960.3153404552 6748175.843120825 243.11, 260961.50138048892 6748175.2943904735 243.11, 260961.8031656596 6748175.073071943 243.1, 260962.62135311324 6748174.493159723 243.1, 260963.36217692625 6748173.817897956 243.1, 260964.0379982763 6748173.068799442 243.1, 260964.63943958798 6748172.268835015 243.09, 260965.24482409426 6748171.4462643275 243.09, 260965.85638946903 6748170.634450174 243.09, 260966.46252045222 6748169.823000636 243.08, 260967.06396292173 6748169.023036645 243.08, 260967.67552917646 6748168.211222816 243.08, 260968.28091515845 6748167.388652674 243.07, 260968.88161262093 6748166.577568074 243.07, 260969.4884909405 6748165.777240009 243.07, 260970.1000583713 6748164.965426626 243.07, 260970.69532201116 6748164.154706849 243.06, 260971.30689002905 6748163.342893682 243.06, 260971.92463890446 6748162.541837058 243.06, 260972.57797971868 6748161.7830773 243.06)</t>
  </si>
  <si>
    <t>2023-01-20</t>
  </si>
  <si>
    <t>[4235]</t>
  </si>
  <si>
    <t>['KV4235 S1D1 m11-172']</t>
  </si>
  <si>
    <t>LINESTRING Z (274073.43069443444 7041319.634321431 57.31, 274073.9184835514 7041319.4779401915 57.32, 274075.0546516519 7041318.949094593 57.32, 274076.04573947954 7041318.373583402 57.33, 274076.75509120384 7041317.7943964135 57.35, 274077.6688902626 7041316.824160923 57.38, 274079.174639013 7041315.094826419 57.44, 274086.47306097066 7041306.6707899 57.56, 274093.61617463594 7041298.412092743 57.68, 274101.4461750222 7041289.335128657 57.76, 274108.56033982476 7041281.089203167 57.93, 274115.1952084075 7041273.41089781 58.04, 274122.163090676 7041265.319414617 58.19, 274129.16179422 7041257.235085833 58.31, 274135.9030989994 7041249.406086372 58.4, 274141.96560681873 7041242.374495535 58.51, 274142.70009520603 7041241.421109766 58.53, 274142.739942039 7041241.417365599 58.54, 274144.75560388557 7041238.1628189515 58.58, 274149.03088726796 7041231.148418777 58.67, 274152.9971595466 7041224.695687013 58.800000000000004, 274157.8950220464 7041218.959392752 58.85, 274163.9438245351 7041211.888893627 58.96, 274170.02344826574 7041204.825548719 59.08, 274176.012815402 7041197.871181885 59.19, 274177.1637553675 7041196.5369768655 59.15, 274177.06473962916 7041196.445784149 59.160000000000004, 274174.8307020194 7041194.595522276 59.28, 274173.9925117332 7041193.910507557 59.33, 274173.35830386693 7041193.578163308 59.36, 274172.6027515512 7041193.558710822 59.39, 274172.0352690048 7041193.722579811 59.4, 274171.614738652 7041193.953037916 59.410000000000004, 274171.24341550685 7041194.279368935 59.39, 274164.98140586005 7041201.540744796 59.28, 274158.1037788077 7041209.523244695 59.15, 274151.7244356577 7041216.926292683 59.04, 274144.6382824088 7041225.149480651 58.86, 274137.9392969215 7041232.894104517 58.65, 274131.76660835015 7041240.036544716 58.46, 274124.8619047853 7041248.051741763 58.38, 274117.78290552343 7041256.244111801 58.25, 274111.15706179023 7041263.911518405 58.14, 274103.8956773116 7041272.301921775 58.02, 274096.80049911747 7041280.536013272 57.89, 274089.9599117774 7041288.484891842 57.79, 274082.7094253807 7041296.884323498 57.660000000000004, 274075.5657097957 7041305.243574393 57.550000000000004, 274070.30401304434 7041311.385900506 57.49, 274069.0342023138 7041312.952369898 57.47, 274068.7209141102 7041313.896327709 57.47, 274068.7306777806 7041314.428042702 57.45, 274069.0284634756 7041315.244233569 57.45, 274069.3968488275 7041315.742250846 57.44, 274071.4101948465 7041317.7036967585 57.370000000000005, 274072.70395383146 7041318.958933838 57.34, 274073.43069443444 7041319.634321431 57.31, 274073.32078077743 7041319.5341030685 57.31, 274073.43069443444 7041319.634321431 57.31)</t>
  </si>
  <si>
    <t>['KV4235 S1D1 m195-210']</t>
  </si>
  <si>
    <t>LINESTRING Z (274197.206756821 7041172.835855506 59.61, 274196.8252734126 7041173.695772969 59.620000000000005, 274197.62527894235 7041171.942308784 59.65, 274198.05683752545 7041170.866643278 59.68, 274198.53218567476 7041169.294429929 59.72, 274198.6301292449 7041168.732495632 59.74, 274198.5985706585 7041168.182729811 59.76, 274198.5380629966 7041167.645733801 59.78, 274198.30466082064 7041166.552153066 59.85, 274197.9934370883 7041165.485984024 59.910000000000004, 274197.60158369096 7041164.417341561 59.980000000000004, 274197.1646019571 7041163.403187795 60.04, 274196.7335711343 7041162.559319036 60.02, 274196.668786037 7041162.404611942 59.99, 274196.57852934836 7041162.513589348 60, 274195.54993779067 7041163.866446572 60.03, 274194.3041288431 7041165.5814026855 59.980000000000004, 274193.710040126 7041166.531644876 59.96, 274192.5697991565 7041168.407525697 59.94, 274191.39592894097 7041170.246367832 59.89, 274190.1775317361 7041172.039145627 59.84, 274189.494389037 7041172.897259118 59.83, 274188.093538344 7041174.5664857095 59.78, 274187.9526051576 7041174.991764288 59.77, 274188.1039708734 7041175.319229827 59.76, 274189.692233109 7041176.607092286 59.730000000000004, 274190.07485675294 7041176.721884498 59.7, 274190.42037362 7041176.548723296 59.69, 274191.05310643004 7041175.795843066 59.7, 274191.3198656924 7041175.640131868 59.72, 274191.6218596539 7041175.752450667 59.7, 274192.4600497402 7041176.437465406 59.61, 274193.5379901454 7041177.321044835 59.57, 274193.6460315266 7041177.401339808 59.58, 274196.8252734126 7041173.695772969 59.620000000000005, 274197.206756821 7041172.835855506 59.61)</t>
  </si>
  <si>
    <t>2023-03-14</t>
  </si>
  <si>
    <t>2025-11-22T09:18:21Z</t>
  </si>
  <si>
    <t>['FV456 S2D1 m13489-13682']</t>
  </si>
  <si>
    <t>LINESTRING (76842.52 6461299.23, 76840.63 6461293.48, 76836.73 6461281.88, 76830.6 6461263.21, 76826.02 6461248.64, 76821.7 6461234.23, 76820.65 6461230.52, 76818.9 6461224.54, 76816.2 6461214.77, 76814.66 6461208.85, 76812.35 6461199.88, 76810.82 6461194.3, 76809.54 6461189.31, 76807.18 6461179.98, 76805.97 6461174.44, 76804.34 6461166.46, 76803.18 6461161.2, 76802.37 6461156.63, 76802.09 6461152.94, 76802.02 6461148.99, 76802.45 6461145.29, 76803.09 6461142.06, 76804.02 6461137.55, 76805.02 6461133.37, 76805.99 6461125.94, 76806.47 6461120.76, 76806.18 6461117.76, 76805.16 6461115.79, 76803.35 6461114.32, 76802.15 6461113.81, 76801.66 6461113.75, 76799.78 6461113.52, 76795.98 6461113.64, 76793.62 6461113.81, 76792.36 6461114.39, 76791.4 6461115.2, 76790.95 6461116.1, 76790.8 6461117.06, 76790.73 6461118.49, 76790.94 6461119.91, 76792.29 6461125.99, 76794.61 6461137.22, 76798.38 6461153.46, 76803.77 6461175.82, 76808.8 6461195.87, 76814.4 6461216.54, 76819.45 6461234.34, 76822.78 6461245.06, 76827.98 6461261.4, 76832.5 6461275.51, 76835.93 6461285.74, 76840.23 6461297.98, 76841.25 6461300.55, 76842.52 6461299.23)</t>
  </si>
  <si>
    <t>POLYGON ((76842.52 6461299.23, 76840.63 6461293.48, 76836.73 6461281.88, 76830.6 6461263.21, 76826.02 6461248.64, 76821.7 6461234.23, 76820.65 6461230.52, 76818.9 6461224.54, 76816.2 6461214.77, 76814.66 6461208.85, 76812.35 6461199.88, 76810.82 6461194.3, 76809.54 6461189.31, 76807.18 6461179.98, 76805.97 6461174.44, 76804.34 6461166.46, 76803.18 6461161.2, 76802.37 6461156.63, 76802.09 6461152.94, 76802.02 6461148.99, 76802.45 6461145.29, 76803.09 6461142.06, 76804.02 6461137.55, 76805.02 6461133.37, 76805.99 6461125.94, 76806.47 6461120.76, 76806.18 6461117.76, 76805.16 6461115.79, 76803.35 6461114.32, 76802.15 6461113.81, 76801.66 6461113.75, 76799.78 6461113.52, 76795.98 6461113.64, 76793.62 6461113.81, 76792.36 6461114.39, 76791.4 6461115.2, 76790.95 6461116.1, 76790.8 6461117.06, 76790.73 6461118.49, 76790.94 6461119.91, 76792.29 6461125.99, 76794.61 6461137.22, 76798.38 6461153.46, 76803.77 6461175.82, 76808.8 6461195.87, 76814.4 6461216.54, 76819.45 6461234.34, 76822.78 6461245.06, 76827.98 6461261.4, 76832.5 6461275.51, 76835.93 6461285.74, 76840.23 6461297.98, 76841.25 6461300.55, 76842.52 6461299.23))</t>
  </si>
  <si>
    <t>2023-04-03</t>
  </si>
  <si>
    <t>['EV134 S2D101 m5-42']</t>
  </si>
  <si>
    <t>LINESTRING (-49316.51956299634 6624104.922942185, -49316.08623336232 6624106.556217369, -49313.15346164699 6624107.320597466, -49311.34827470814 6624107.248008627, -49307.81317671854 6624105.802591779, -49294.80796921486 6624098.606581252, -49290.94774801773 6624095.956338617, -49289.276809720905 6624094.70789278, -49287.63710099959 6624093.772583251, -49285.61366249982 6624092.819423123, -49286.819551493274 6624085.66879738, -49287.435371185886 6624084.3708898295, -49289.080267331214 6624083.957079762, -49295.15272735106 6624090.480853219, -49300.74531100807 6624095.275650043, -49306.60016882967 6624099.3376571955, -49311.366966433125 6624102.391193065, -49313.729716904694 6624103.664235284)</t>
  </si>
  <si>
    <t>POLYGON ((-49316.51956299634 6624104.922942185, -49316.08623336232 6624106.556217369, -49313.15346164699 6624107.320597466, -49311.34827470814 6624107.248008627, -49307.81317671854 6624105.802591779, -49294.80796921486 6624098.606581252, -49290.94774801773 6624095.956338617, -49289.276809720905 6624094.70789278, -49287.63710099959 6624093.772583251, -49285.61366249982 6624092.819423123, -49286.819551493274 6624085.66879738, -49287.435371185886 6624084.3708898295, -49289.080267331214 6624083.957079762, -49295.15272735106 6624090.480853219, -49300.74531100807 6624095.275650043, -49306.60016882967 6624099.3376571955, -49311.366966433125 6624102.391193065, -49313.729716904694 6624103.664235284, -49316.51956299634 6624104.922942185))</t>
  </si>
  <si>
    <t>2023-05-09</t>
  </si>
  <si>
    <t>[4614]</t>
  </si>
  <si>
    <t>['FV4614 S1D1 m966-977']</t>
  </si>
  <si>
    <t>LINESTRING Z (-31807.351131530944 6588096.280997507 3.526, -31807.00133974862 6588095.961027247 3.486, -31806.3980633514 6588095.13151618 3.423, -31804.8432725803 6588093.141459212 3.249, -31803.680121742887 6588091.7931975415 3.052, -31802.358013204415 6588090.7498224005 2.867, -31800.817435794044 6588089.980402603 2.696, -31799.16033410863 6588089.544400745 2.532, -31797.444165076246 6588089.404757381 2.384, -31795.15704165341 6588089.6926366305 2.231, -31793.472281791153 6588090.27956445 2.207, -31792.055060458137 6588091.028213682 2.162, -31790.23192471848 6588092.475821486 2.142, -31782.751228974434 6588099.605139681 2.026, -31782.145592743997 6588100.072923379 2.052, -31781.62532230874 6588100.676824776 2.04, -31770.303111365996 6588111.5540683875 1.982, -31747.105500801466 6588133.817629815 2.019, -31746.63868995488 6588133.75202785 2.031, -31746.43588403135 6588133.418868516 2.041, -31746.390421314863 6588133.040119053 2.039, -31767.90978820331 6588112.39121883 1.944, -31790.09868118493 6588091.19332401 2.169, -31791.973025685176 6588089.8770334255 2.246, -31794.05845296115 6588088.917636115 2.277, -31796.336828876636 6588088.402853255 2.342, -31798.675133681274 6588088.370408624 2.495, -31800.94034734438 6588088.8580256915 2.671, -31802.98650879413 6588089.912892503 2.903, -31804.78570840275 6588091.361831099 3.145, -31805.56341043103 6588092.148154379 3.239, -31808.00598116347 6588095.628311216 3.576, -31807.973822403466 6588095.939734509 3.603, -31807.779680547887 6588096.205824306 3.601, -31807.42513892171 6588096.2913989695 3.572)</t>
  </si>
  <si>
    <t>POLYGON Z ((-31807.351131530944 6588096.280997507 3.526, -31807.00133974862 6588095.961027247 3.486, -31806.3980633514 6588095.13151618 3.423, -31804.8432725803 6588093.141459212 3.249, -31803.680121742887 6588091.7931975415 3.052, -31802.358013204415 6588090.7498224005 2.867, -31800.817435794044 6588089.980402603 2.696, -31799.16033410863 6588089.544400745 2.532, -31797.444165076246 6588089.404757381 2.384, -31795.15704165341 6588089.6926366305 2.231, -31793.472281791153 6588090.27956445 2.207, -31792.055060458137 6588091.028213682 2.162, -31790.23192471848 6588092.475821486 2.142, -31782.751228974434 6588099.605139681 2.026, -31782.145592743997 6588100.072923379 2.052, -31781.62532230874 6588100.676824776 2.04, -31770.303111365996 6588111.5540683875 1.982, -31747.105500801466 6588133.817629815 2.019, -31746.63868995488 6588133.75202785 2.031, -31746.43588403135 6588133.418868516 2.041, -31746.390421314863 6588133.040119053 2.039, -31767.90978820331 6588112.39121883 1.944, -31790.09868118493 6588091.19332401 2.169, -31791.973025685176 6588089.8770334255 2.246, -31794.05845296115 6588088.917636115 2.277, -31796.336828876636 6588088.402853255 2.342, -31798.675133681274 6588088.370408624 2.495, -31800.94034734438 6588088.8580256915 2.671, -31802.98650879413 6588089.912892503 2.903, -31804.78570840275 6588091.361831099 3.145, -31805.56341043103 6588092.148154379 3.239, -31808.00598116347 6588095.628311216 3.576, -31807.973822403466 6588095.939734509 3.603, -31807.779680547887 6588096.205824306 3.601, -31807.42513892171 6588096.2913989695 3.572, -31807.351131530944 6588096.280997507 3.526))</t>
  </si>
  <si>
    <t>2023-05-27</t>
  </si>
  <si>
    <t>['FV5613 S1D1 m12-20']</t>
  </si>
  <si>
    <t>LINESTRING Z (76371.51846272923 6814081.966872001 6.54, 76369.03753765265 6814080.162908842 6.57, 76368.19543455262 6814079.324819445 6.57, 76367.57624706498 6814078.285032267 6.58, 76366.17105173558 6814075.5969220605 6.61, 76365.29654238513 6814074.953023153 6.61, 76364.34540154971 6814074.678468877 6.6000000000000005, 76362.8951461559 6814074.9933629045 6.6000000000000005, 76354.18988122593 6814077.496929743 6.65, 76352.90678692563 6814077.987608489 6.66, 76351.61889521312 6814078.971829002 6.66, 76351.19146984041 6814079.574792066 6.66, 76351.03404004313 6814080.5956367515 6.65, 76351.29957901704 6814081.074308907 6.640000000000001, 76351.85463568458 6814081.636974889 6.640000000000001, 76362.2777578694 6814084.338683796 6.7, 76365.15564482455 6814084.445599342 6.68, 76367.96111813019 6814083.985588289 6.63, 76370.58901718882 6814083.018665781 6.57, 76371.51846272923 6814081.966872001 6.54)</t>
  </si>
  <si>
    <t>POLYGON Z ((76371.51846272923 6814081.966872001 6.54, 76369.03753765265 6814080.162908842 6.57, 76368.19543455262 6814079.324819445 6.57, 76367.57624706498 6814078.285032267 6.58, 76366.17105173558 6814075.5969220605 6.61, 76365.29654238513 6814074.953023153 6.61, 76364.34540154971 6814074.678468877 6.6000000000000005, 76362.8951461559 6814074.9933629045 6.6000000000000005, 76354.18988122593 6814077.496929743 6.65, 76352.90678692563 6814077.987608489 6.66, 76351.61889521312 6814078.971829002 6.66, 76351.19146984041 6814079.574792066 6.66, 76351.03404004313 6814080.5956367515 6.65, 76351.29957901704 6814081.074308907 6.640000000000001, 76351.85463568458 6814081.636974889 6.640000000000001, 76362.2777578694 6814084.338683796 6.7, 76365.15564482455 6814084.445599342 6.68, 76367.96111813019 6814083.985588289 6.63, 76370.58901718882 6814083.018665781 6.57, 76371.51846272923 6814081.966872001 6.54))</t>
  </si>
  <si>
    <t>['RV5 S6D105 m408-416']</t>
  </si>
  <si>
    <t>LINESTRING Z (76523.07500212843 6814175.846754208 14.8, 76521.34798781201 6814185.817693222 15.1, 76522.47951347037 6814185.974977031 15.13, 76523.68393846025 6814186.377118292 15.15, 76525.3746365381 6814187.469027022 15.1, 76526.48756064067 6814187.970176504 15.06, 76526.91202853428 6814187.880711722 15.05, 76527.18638616125 6814187.473004745 15.040000000000001, 76527.55045457114 6814186.292217715 15.030000000000001, 76527.8894354534 6814183.966535446 15.02, 76528.00031986617 6814181.349930113 14.97, 76527.58753268013 6814179.274721516 14.97, 76526.96955541731 6814178.466278973 15.05, 76525.89320406178 6814177.488784156 14.94, 76523.07500212843 6814175.846754208 14.8)</t>
  </si>
  <si>
    <t>POLYGON Z ((76523.07500212843 6814175.846754208 14.8, 76521.34798781201 6814185.817693222 15.1, 76522.47951347037 6814185.974977031 15.13, 76523.68393846025 6814186.377118292 15.15, 76525.3746365381 6814187.469027022 15.1, 76526.48756064067 6814187.970176504 15.06, 76526.91202853428 6814187.880711722 15.05, 76527.18638616125 6814187.473004745 15.040000000000001, 76527.55045457114 6814186.292217715 15.030000000000001, 76527.8894354534 6814183.966535446 15.02, 76528.00031986617 6814181.349930113 14.97, 76527.58753268013 6814179.274721516 14.97, 76526.96955541731 6814178.466278973 15.05, 76525.89320406178 6814177.488784156 14.94, 76523.07500212843 6814175.846754208 14.8))</t>
  </si>
  <si>
    <t>['RV5 S6D105 m441-526']</t>
  </si>
  <si>
    <t>LINESTRING Z (76500.57104483951 6814161.961990082 13.59, 76501.62270013161 6814160.707723797 13.56, 76500.08506867953 6814159.420558916 13.450000000000001, 76497.00074769533 6814156.857127723 13.22, 76493.92640504538 6814154.292776107 13, 76489.30445250956 6814150.44217957 12.66, 76481.61813552037 6814144.02631034 12.1, 76475.45947156748 6814138.898526046 11.65, 76470.8375187933 6814135.047928394 11.32, 76464.7015722759 6814129.948237729 10.870000000000001, 76455.34112163557 6814122.620066432 10.19, 76447.31810459692 6814116.808852229 9.63, 76440.76747195318 6814112.341137279 9.18, 76435.77074642549 6814109.118833981 8.85, 76435.6032445915 6814109.375800406 8.85, 76440.43154801411 6814112.845091751 9.19, 76448.25528783532 6814118.89607709 9.77, 76454.34671979211 6814123.949558308 10.23, 76460.39731788932 6814128.996741873 10.68, 76467.98646780453 6814135.341068847 11.24, 76474.14513199037 6814140.4688536115 11.69, 76480.29473800649 6814145.6075365385 12.14, 76487.99195381626 6814152.0324637955 12.700000000000001, 76495.73261916562 6814158.38294025 13.26, 76498.94375305786 6814160.793790175 13.48, 76500.57104483951 6814161.961990082 13.59)</t>
  </si>
  <si>
    <t>POLYGON Z ((76500.57104483951 6814161.961990082 13.59, 76501.62270013161 6814160.707723797 13.56, 76500.08506867953 6814159.420558916 13.450000000000001, 76497.00074769533 6814156.857127723 13.22, 76493.92640504538 6814154.292776107 13, 76489.30445250956 6814150.44217957 12.66, 76481.61813552037 6814144.02631034 12.1, 76475.45947156748 6814138.898526046 11.65, 76470.8375187933 6814135.047928394 11.32, 76464.7015722759 6814129.948237729 10.870000000000001, 76455.34112163557 6814122.620066432 10.19, 76447.31810459692 6814116.808852229 9.63, 76440.76747195318 6814112.341137279 9.18, 76435.77074642549 6814109.118833981 8.85, 76435.6032445915 6814109.375800406 8.85, 76440.43154801411 6814112.845091751 9.19, 76448.25528783532 6814118.89607709 9.77, 76454.34671979211 6814123.949558308 10.23, 76460.39731788932 6814128.996741873 10.68, 76467.98646780453 6814135.341068847 11.24, 76474.14513199037 6814140.4688536115 11.69, 76480.29473800649 6814145.6075365385 12.14, 76487.99195381626 6814152.0324637955 12.700000000000001, 76495.73261916562 6814158.38294025 13.26, 76498.94375305786 6814160.793790175 13.48, 76500.57104483951 6814161.961990082 13.59))</t>
  </si>
  <si>
    <t>['RV5 S6D105 m401-407']</t>
  </si>
  <si>
    <t>LINESTRING Z (76530.262386914 6814186.454689482 14.870000000000001, 76530.56033193856 6814186.739170429 14.870000000000001, 76530.89513956173 6814186.768670614 14.870000000000001, 76533.23937936442 6814185.344873412 14.870000000000001, 76535.30344978819 6814184.047548591 14.870000000000001, 76536.55801247357 6814183.247540459 14.93, 76536.83697160374 6814182.8897253135 14.93, 76537.16403246514 6814181.8532369 15, 76537.22729389818 6814181.666264053 15.030000000000001, 76535.304427305 6814181.330384492 15.19, 76534.99901879404 6814182.2743067965 15.200000000000001, 76532.10093959229 6814181.293754554 15.19, 76532.44442094583 6814180.326194309 15.200000000000001, 76530.84057182405 6814179.739500592 14.97, 76530.47393796814 6814180.346919659 14.97, 76530.380400987 6814180.969404022 14.94, 76530.262386914 6814186.454689482 14.870000000000001)</t>
  </si>
  <si>
    <t>POLYGON Z ((76530.262386914 6814186.454689482 14.870000000000001, 76530.56033193856 6814186.739170429 14.870000000000001, 76530.89513956173 6814186.768670614 14.870000000000001, 76533.23937936442 6814185.344873412 14.870000000000001, 76535.30344978819 6814184.047548591 14.870000000000001, 76536.55801247357 6814183.247540459 14.93, 76536.83697160374 6814182.8897253135 14.93, 76537.16403246514 6814181.8532369 15, 76537.22729389818 6814181.666264053 15.030000000000001, 76535.304427305 6814181.330384492 15.19, 76534.99901879404 6814182.2743067965 15.200000000000001, 76532.10093959229 6814181.293754554 15.19, 76532.44442094583 6814180.326194309 15.200000000000001, 76530.84057182405 6814179.739500592 14.97, 76530.47393796814 6814180.346919659 14.97, 76530.380400987 6814180.969404022 14.94, 76530.262386914 6814186.454689482 14.870000000000001))</t>
  </si>
  <si>
    <t>['FV5613 S1D1 m3-11']</t>
  </si>
  <si>
    <t>LINESTRING Z (76373.3673754459 6814079.864204782 6.5, 76375.28294126893 6814077.393113314 6.47, 76378.0062778492 6814073.096516787 6.49, 76379.62927550368 6814070.290131808 6.5, 76380.55277320271 6814066.773390863 6.51, 76380.56397009658 6814064.9307837 6.49, 76379.38093258027 6814057.995619875 6.4, 76378.62786825583 6814055.176921737 6.3500000000000005, 76376.93122167839 6814051.620062597 6.3500000000000005, 76374.69874247682 6814049.018314933 5.01, 76376.24043020036 6814053.404588986 5.55, 76376.84884632274 6814058.692060625 6.47, 76375.68818521796 6814064.001806714 6.58, 76372.21128103836 6814069.947833936 6.6000000000000005, 76369.03635257 6814073.712475196 6.58, 76370.79379039421 6814077.273790844 6.5200000000000005, 76372.78620982263 6814079.4548956305 6.5, 76373.3673754459 6814079.864204782 6.5)</t>
  </si>
  <si>
    <t>POLYGON Z ((76373.3673754459 6814079.864204782 6.5, 76375.28294126893 6814077.393113314 6.47, 76378.0062778492 6814073.096516787 6.49, 76379.62927550368 6814070.290131808 6.5, 76380.55277320271 6814066.773390863 6.51, 76380.56397009658 6814064.9307837 6.49, 76379.38093258027 6814057.995619875 6.4, 76378.62786825583 6814055.176921737 6.3500000000000005, 76376.93122167839 6814051.620062597 6.3500000000000005, 76374.69874247682 6814049.018314933 5.01, 76376.24043020036 6814053.404588986 5.55, 76376.84884632274 6814058.692060625 6.47, 76375.68818521796 6814064.001806714 6.58, 76372.21128103836 6814069.947833936 6.6000000000000005, 76369.03635257 6814073.712475196 6.58, 76370.79379039421 6814077.273790844 6.5200000000000005, 76372.78620982263 6814079.4548956305 6.5, 76373.3673754459 6814079.864204782 6.5))</t>
  </si>
  <si>
    <t>2023-06-01</t>
  </si>
  <si>
    <t>['RV5 S6D1 m1445 KD1 m1-87']</t>
  </si>
  <si>
    <t>LINESTRING Z (76404.54676146188 6814068.26847023 7.21, 76403.55951664253 6814066.926653831 7.12, 76402.12765144766 6814065.717655547 7.04, 76400.62151413743 6814064.9675214505 6.97, 76398.9875835157 6814064.592798475 6.92, 76397.32336184836 6814064.592869015 6.890000000000001, 76395.29111872124 6814065.1325289 6.87, 76393.19435390783 6814066.478483629 6.9, 76391.98724201933 6814067.9186125025 6.95, 76391.11459078296 6814069.835347076 7.03, 76390.82446065842 6814071.906116379 7.13, 76391.18499805557 6814074.1563653285 7.25, 76392.10207406076 6814076.0352634145 7.36, 76394.19201901514 6814078.063839169 7.5, 76396.50513231347 6814079.030659757 7.59, 76399.0109706219 6814079.175589189 7.65, 76401.2074025987 6814078.559724348 7.66, 76402.47809083248 6814077.820340208 7.65, 76403.9763581049 6814076.3672805345 7.6000000000000005, 76405.13986067369 6814074.16775653 7.5200000000000005, 76405.49544882658 6814072.100270894 7.42, 76405.20166820812 6814069.819408136 7.3, 76404.54676146188 6814068.26847023 7.21)</t>
  </si>
  <si>
    <t>POLYGON Z ((76404.54676146188 6814068.26847023 7.21, 76403.55951664253 6814066.926653831 7.12, 76402.12765144766 6814065.717655547 7.04, 76400.62151413743 6814064.9675214505 6.97, 76398.9875835157 6814064.592798475 6.92, 76397.32336184836 6814064.592869015 6.890000000000001, 76395.29111872124 6814065.1325289 6.87, 76393.19435390783 6814066.478483629 6.9, 76391.98724201933 6814067.9186125025 6.95, 76391.11459078296 6814069.835347076 7.03, 76390.82446065842 6814071.906116379 7.13, 76391.18499805557 6814074.1563653285 7.25, 76392.10207406076 6814076.0352634145 7.36, 76394.19201901514 6814078.063839169 7.5, 76396.50513231347 6814079.030659757 7.59, 76399.0109706219 6814079.175589189 7.65, 76401.2074025987 6814078.559724348 7.66, 76402.47809083248 6814077.820340208 7.65, 76403.9763581049 6814076.3672805345 7.6000000000000005, 76405.13986067369 6814074.16775653 7.5200000000000005, 76405.49544882658 6814072.100270894 7.42, 76405.20166820812 6814069.819408136 7.3, 76404.54676146188 6814068.26847023 7.21))</t>
  </si>
  <si>
    <t>2023-06-21</t>
  </si>
  <si>
    <t>[6260]</t>
  </si>
  <si>
    <t>['KV6260 S1D1 m584-601']</t>
  </si>
  <si>
    <t>LINESTRING Z (268381.87604692136 7041765.021636449 50.54, 268383.02331916767 7041768.139909675 50.120000000000005, 268383.0826399679 7041770.375505546 49.18, 268382.0407761447 7041772.443223984 48.52, 268383.1610288991 7041774.418325843 48.050000000000004, 268385.61586070317 7041774.660006891 47.97, 268391.906169349 7041773.365419203 48.120000000000005, 268399.7935243808 7041776.232250064 45.62, 268400.16567072563 7041776.770135645 45.62, 268399.4332231984 7041777.210814842 45.62, 268397.8603402413 7041776.836009345 45.77, 268395.2015855848 7041776.563239963 45.93, 268392.326945907 7041777.0946635995 46.050000000000004, 268389.1790524959 7041778.033667501 46.1, 268381.1723913277 7041780.635246262 46.6, 268380.30246284395 7041778.757223267 46.85, 268379.30855263036 7041773.634621188 48.230000000000004, 268378.7432215477 7041769.436555448 49.56, 268378.26810299745 7041767.802835809 50.11, 268379.94112857245 7041766.248664165 50.36, 268381.87604692136 7041765.021636449 50.54)</t>
  </si>
  <si>
    <t>POLYGON Z ((268381.87604692136 7041765.021636449 50.54, 268383.02331916767 7041768.139909675 50.120000000000005, 268383.0826399679 7041770.375505546 49.18, 268382.0407761447 7041772.443223984 48.52, 268383.1610288991 7041774.418325843 48.050000000000004, 268385.61586070317 7041774.660006891 47.97, 268391.906169349 7041773.365419203 48.120000000000005, 268399.7935243808 7041776.232250064 45.62, 268400.16567072563 7041776.770135645 45.62, 268399.4332231984 7041777.210814842 45.62, 268397.8603402413 7041776.836009345 45.77, 268395.2015855848 7041776.563239963 45.93, 268392.326945907 7041777.0946635995 46.050000000000004, 268389.1790524959 7041778.033667501 46.1, 268381.1723913277 7041780.635246262 46.6, 268380.30246284395 7041778.757223267 46.85, 268379.30855263036 7041773.634621188 48.230000000000004, 268378.7432215477 7041769.436555448 49.56, 268378.26810299745 7041767.802835809 50.11, 268379.94112857245 7041766.248664165 50.36, 268381.87604692136 7041765.021636449 50.54))</t>
  </si>
  <si>
    <t>[1180]</t>
  </si>
  <si>
    <t>['KV1180 S1D1 m122-165']</t>
  </si>
  <si>
    <t>LINESTRING Z (268366.1320160844 7041786.138933113 47.4, 268362.92726339155 7041783.2642454365 47.9, 268362.1803263222 7041777.1335264 48.46, 268364.6881386115 7041771.842678805 49.13, 268373.05838397186 7041769.046134026 49.59, 268375.8567364201 7041768.451528374 50.02, 268376.89617003745 7041772.454292865 48.75, 268377.9170307242 7041778.3984699985 46.59, 268378.8743526989 7041781.313490318 46.59, 268377.6471972165 7041780.232841731 47.4, 268376.72900604317 7041779.766366463 47.4, 268376.67511586205 7041779.620679004 47.4, 268376.93519481004 7041778.752032554 47.4, 268370.8614882404 7041776.790137814 47.4, 268370.35375484254 7041776.948399005 47.4, 268370.0365730733 7041777.209355723 47.4, 268367.49740678404 7041782.915203226 47.4, 268366.1320160844 7041786.138933113 47.4)</t>
  </si>
  <si>
    <t>POLYGON Z ((268366.1320160844 7041786.138933113 47.4, 268362.92726339155 7041783.2642454365 47.9, 268362.1803263222 7041777.1335264 48.46, 268364.6881386115 7041771.842678805 49.13, 268373.05838397186 7041769.046134026 49.59, 268375.8567364201 7041768.451528374 50.02, 268376.89617003745 7041772.454292865 48.75, 268377.9170307242 7041778.3984699985 46.59, 268378.8743526989 7041781.313490318 46.59, 268377.6471972165 7041780.232841731 47.4, 268376.72900604317 7041779.766366463 47.4, 268376.67511586205 7041779.620679004 47.4, 268376.93519481004 7041778.752032554 47.4, 268370.8614882404 7041776.790137814 47.4, 268370.35375484254 7041776.948399005 47.4, 268370.0365730733 7041777.209355723 47.4, 268367.49740678404 7041782.915203226 47.4, 268366.1320160844 7041786.138933113 47.4))</t>
  </si>
  <si>
    <t>2023-06-23</t>
  </si>
  <si>
    <t>['FV17 S31D1 m7599-7622']</t>
  </si>
  <si>
    <t>LINESTRING Z (366680.09609667846 7240401.710137621 1.67, 366678.6350966807 7240374.82513767 0.893)</t>
  </si>
  <si>
    <t>POLYGON ((366679.13436003315 7240374.798006416, 366678.1358333283 7240374.852268924, 366679.59683332604 7240401.737268874, 366680.5953600309 7240401.683006367, 366679.13436003315 7240374.798006416))</t>
  </si>
  <si>
    <t>['FV17 S31D1 m7598-7599']</t>
  </si>
  <si>
    <t>LINESTRING Z (366678.6350966807 7240374.82513767 0.893, 366704.80309666204 7240356.925137708 0.684)</t>
  </si>
  <si>
    <t>POLYGON ((366705.0853911273 7240357.33782383, 366704.5208021968 7240356.512451586, 366678.3528022155 7240374.4124515485, 366678.91739114595 7240375.237823792, 366705.0853911273 7240357.33782383))</t>
  </si>
  <si>
    <t>['FV17 S31D1 m7622-7625']</t>
  </si>
  <si>
    <t>LINESTRING Z (366717.5020966521 7240381.577137676 1.357, 366680.09609667846 7240401.710137621 1.67)</t>
  </si>
  <si>
    <t>POLYGON ((366679.8591260854 7240401.26985937, 366680.3330672715 7240402.150415871, 366717.73906724516 7240382.017415927, 366717.26512605906 7240381.136859425, 366679.8591260854 7240401.26985937))</t>
  </si>
  <si>
    <t>['FV17 S31D1 m7598-7625']</t>
  </si>
  <si>
    <t>LINESTRING Z (366704.80309666204 7240356.925137708 0.684, 366717.5020966521 7240381.577137676 1.357)</t>
  </si>
  <si>
    <t>POLYGON ((366717.05760559253 7240381.80610863, 366717.9465877117 7240381.348166722, 366705.2475877216 7240356.696166754, 366704.35860560247 7240357.154108662, 366717.05760559253 7240381.80610863))</t>
  </si>
  <si>
    <t>2023-07-04</t>
  </si>
  <si>
    <t>[1390]</t>
  </si>
  <si>
    <t>['FV1390 S1D1 m1923-1958']</t>
  </si>
  <si>
    <t>LINESTRING Z (258057.47141167618 6624952.303733169 93.57000000000001, 258055.94308489913 6624951.632365762 93.56, 258054.19102513648 6624950.819173826 93.57000000000001, 258052.83913687864 6624950.169857965 93.58, 258050.7507548621 6624949.132809205 93.60000000000001, 258047.59533162313 6624947.573137475 93.62, 258043.53749243033 6624945.591835843 93.65, 258039.4916141588 6624943.620929501 93.68, 258036.7941700316 6624942.333064586 93.71000000000001, 258033.79933888538 6624940.986332637 93.73, 258030.75535342772 6624939.665129217 93.75, 258027.92313443136 6624938.475360894 93.77, 258025.21691200833 6624937.400259823 93.79, 258025.15290673188 6624937.370911812 93.78, 258025.31845821647 6624938.007891178 93.81, 258025.51124279454 6624938.542593333 93.82000000000001, 258025.97335071082 6624939.573525828 93.87, 258026.5442839923 6624940.541555178 93.91, 258026.89648975217 6624941.0100696385 93.93, 258028.12908579726 6624942.169667416 93.97, 258029.03382129726 6624942.713990377 93.98, 258030.00312992744 6624943.209450857 93.98, 258031.00818097373 6624943.6467528 93.97, 258035.08444667072 6624945.302982221 93.94, 258039.38083225326 6624947.045436093 93.91, 258043.5330603385 6624948.741413801 93.88, 258047.91665121072 6624950.522886779 93.85000000000001, 258052.38110763903 6624952.332618549 93.82000000000001, 258053.5457277106 6624952.793071403 93.8, 258054.75083716097 6624953.094548707 93.78, 258055.30609918432 6624953.125512653 93.75, 258055.6798685927 6624953.056580454 93.73, 258056.82464836352 6624952.602571304 93.63, 258057.47141167618 6624952.303733169 93.56)</t>
  </si>
  <si>
    <t>POLYGON Z ((258057.47141167618 6624952.303733169 93.57000000000001, 258055.94308489913 6624951.632365762 93.56, 258054.19102513648 6624950.819173826 93.57000000000001, 258052.83913687864 6624950.169857965 93.58, 258050.7507548621 6624949.132809205 93.60000000000001, 258047.59533162313 6624947.573137475 93.62, 258043.53749243033 6624945.591835843 93.65, 258039.4916141588 6624943.620929501 93.68, 258036.7941700316 6624942.333064586 93.71000000000001, 258033.79933888538 6624940.986332637 93.73, 258030.75535342772 6624939.665129217 93.75, 258027.92313443136 6624938.475360894 93.77, 258025.21691200833 6624937.400259823 93.79, 258025.15290673188 6624937.370911812 93.78, 258025.31845821647 6624938.007891178 93.81, 258025.51124279454 6624938.542593333 93.82000000000001, 258025.97335071082 6624939.573525828 93.87, 258026.5442839923 6624940.541555178 93.91, 258026.89648975217 6624941.0100696385 93.93, 258028.12908579726 6624942.169667416 93.97, 258029.03382129726 6624942.713990377 93.98, 258030.00312992744 6624943.209450857 93.98, 258031.00818097373 6624943.6467528 93.97, 258035.08444667072 6624945.302982221 93.94, 258039.38083225326 6624947.045436093 93.91, 258043.5330603385 6624948.741413801 93.88, 258047.91665121072 6624950.522886779 93.85000000000001, 258052.38110763903 6624952.332618549 93.82000000000001, 258053.5457277106 6624952.793071403 93.8, 258054.75083716097 6624953.094548707 93.78, 258055.30609918432 6624953.125512653 93.75, 258055.6798685927 6624953.056580454 93.73, 258056.82464836352 6624952.602571304 93.63, 258057.47141167618 6624952.303733169 93.56, 258057.47141167618 6624952.303733169 93.57000000000001))</t>
  </si>
  <si>
    <t>2023-09-15</t>
  </si>
  <si>
    <t>2025-11-22T09:18:27Z</t>
  </si>
  <si>
    <t>[184]</t>
  </si>
  <si>
    <t>['FV184 S1D1 m1842 KD1 m10-66']</t>
  </si>
  <si>
    <t>LINESTRING Z (286461.997411084 6750167.612323688 172.136, 286459.1085726217 6750168.064667935 172.216, 286456.54540781945 6750169.312486992 172.296, 286454.3393570925 6750171.1529353475 172.326, 286452.75720052567 6750173.581178283 172.316, 286451.72804508766 6750176.233040577 172.226, 286451.43900954386 6750178.684216823 172.156, 286451.68801439437 6750181.382237575 172.066, 286452.43693859293 6750183.782332492 171.956, 286453.6789222434 6750185.951899704 171.886, 286455.3985270385 6750187.7243992295 171.826, 286457.8460504096 6750189.274617004 171.776, 286460.1978090383 6750190.227700594 171.736, 286462.5691858625 6750190.599059616 171.716, 286464.8746227943 6750190.416153598 171.686, 286467.1853888734 6750189.685873232 171.666, 286469.1761134059 6750188.617524384 171.636, 286470.88824228063 6750187.175128024 171.606, 286472.32711228007 6750185.44767907 171.636, 286473.28788051417 6750183.927529979 171.646, 286474.0062564417 6750181.819037571 171.656, 286474.3346567784 6750179.387832708 171.666, 286474.1865709684 6750176.918212964 171.676, 286473.30550790613 6750174.313914212 171.706, 286471.8676386246 6750171.876976562 171.746, 286470.14679630805 6750169.992899327 171.786, 286468.0261703122 6750168.713345081 171.886, 286465.1374117542 6750167.803621207 171.986, 286461.997411084 6750167.612323688 172.136)</t>
  </si>
  <si>
    <t>POLYGON Z ((286461.997411084 6750167.612323688 172.136, 286459.1085726217 6750168.064667935 172.216, 286456.54540781945 6750169.312486992 172.296, 286454.3393570925 6750171.1529353475 172.326, 286452.75720052567 6750173.581178283 172.316, 286451.72804508766 6750176.233040577 172.226, 286451.43900954386 6750178.684216823 172.156, 286451.68801439437 6750181.382237575 172.066, 286452.43693859293 6750183.782332492 171.956, 286453.6789222434 6750185.951899704 171.886, 286455.3985270385 6750187.7243992295 171.826, 286457.8460504096 6750189.274617004 171.776, 286460.1978090383 6750190.227700594 171.736, 286462.5691858625 6750190.599059616 171.716, 286464.8746227943 6750190.416153598 171.686, 286467.1853888734 6750189.685873232 171.666, 286469.1761134059 6750188.617524384 171.636, 286470.88824228063 6750187.175128024 171.606, 286472.32711228007 6750185.44767907 171.636, 286473.28788051417 6750183.927529979 171.646, 286474.0062564417 6750181.819037571 171.656, 286474.3346567784 6750179.387832708 171.666, 286474.1865709684 6750176.918212964 171.676, 286473.30550790613 6750174.313914212 171.706, 286471.8676386246 6750171.876976562 171.746, 286470.14679630805 6750169.992899327 171.786, 286468.0261703122 6750168.713345081 171.886, 286465.1374117542 6750167.803621207 171.986, 286461.997411084 6750167.612323688 172.136))</t>
  </si>
  <si>
    <t>[1568]</t>
  </si>
  <si>
    <t>['KV1568 S1D1 m96-101']</t>
  </si>
  <si>
    <t>LINESTRING Z (255142.84928479133 6649136.1130281305 16.994, 255143.73248302468 6649135.858932825 16.676000000000002, 255145.0038785081 6649135.343484364 16.669, 255145.0396578777 6649131.2709594425 16.571, 255145.58989854978 6649128.027825905 16.438, 255147.04685551496 6649126.24860665 16.346, 255148.3899115269 6649125.670378745 16.385, 255148.40724438976 6649124.2691744855 16.534, 255145.25496340886 6649124.309512508 16.526, 255143.6042051791 6649127.151295058 16.649, 255143.0397216018 6649131.332158334 16.821, 255142.84928479133 6649136.1130281305 16.994)</t>
  </si>
  <si>
    <t>POLYGON Z ((255142.84928479133 6649136.1130281305 16.994, 255143.73248302468 6649135.858932825 16.676000000000002, 255145.0038785081 6649135.343484364 16.669, 255145.0396578777 6649131.2709594425 16.571, 255145.58989854978 6649128.027825905 16.438, 255147.04685551496 6649126.24860665 16.346, 255148.3899115269 6649125.670378745 16.385, 255148.40724438976 6649124.2691744855 16.534, 255145.25496340886 6649124.309512508 16.526, 255143.6042051791 6649127.151295058 16.649, 255143.0397216018 6649131.332158334 16.821, 255142.84928479133 6649136.1130281305 16.994))</t>
  </si>
  <si>
    <t>['EV18 S53D150 m199-252']</t>
  </si>
  <si>
    <t>LINESTRING Z (254107.71757887243 6648870.128907825 17.649, 254108.84410261412 6648870.639431054 17.846, 254117.7114550641 6648873.760146653 18.508, 254119.93933459232 6648874.039952787 17.471, 254122.7928832431 6648873.144589029 16.791, 254133.96183122412 6648869.915992009 16.906, 254135.15537227967 6648867.49353842 16.601, 254134.77215238713 6648863.951397628 16.217, 254134.54595029092 6648855.769039725 14.665000000000001, 254134.0870469077 6648853.837385286 14.415000000000001, 254132.65957995394 6648852.923168402 14.397, 254131.14159120407 6648852.792858607 14.594, 254128.69455770976 6648852.832390553 14.929, 254126.15743728922 6648854.423432022 15.723, 254123.42046737554 6648855.982398607 15.431000000000001, 254120.9878865559 6648857.817140349 15.563, 254118.2802297594 6648861.047384689 15.982000000000001, 254108.6635876065 6648868.984909647 17.137, 254107.71757887243 6648870.128907825 17.649)</t>
  </si>
  <si>
    <t>POLYGON Z ((254107.71757887243 6648870.128907825 17.649, 254108.84410261412 6648870.639431054 17.846, 254117.7114550641 6648873.760146653 18.508, 254119.93933459232 6648874.039952787 17.471, 254122.7928832431 6648873.144589029 16.791, 254133.96183122412 6648869.915992009 16.906, 254135.15537227967 6648867.49353842 16.601, 254134.77215238713 6648863.951397628 16.217, 254134.54595029092 6648855.769039725 14.665000000000001, 254134.0870469077 6648853.837385286 14.415000000000001, 254132.65957995394 6648852.923168402 14.397, 254131.14159120407 6648852.792858607 14.594, 254128.69455770976 6648852.832390553 14.929, 254126.15743728922 6648854.423432022 15.723, 254123.42046737554 6648855.982398607 15.431000000000001, 254120.9878865559 6648857.817140349 15.563, 254118.2802297594 6648861.047384689 15.982000000000001, 254108.6635876065 6648868.984909647 17.137, 254107.71757887243 6648870.128907825 17.649))</t>
  </si>
  <si>
    <t>[1226]</t>
  </si>
  <si>
    <t>['KV1226 S3D1 m129-144']</t>
  </si>
  <si>
    <t>LINESTRING Z (254811.90238306017 6648780.922415145 2.324, 254811.7393125988 6648781.018621441 2.313, 254811.48456033698 6648781.167369722 2.275, 254811.28806044502 6648781.282690431 2.246, 254811.1507188834 6648781.363496463 2.217, 254810.98574593134 6648781.460880431 2.181, 254809.54248185825 6648782.30744132 1.6460000000000001, 254809.00643303688 6648782.622421789 1.444, 254808.66715581683 6648782.825071133 1.278, 254808.25920781458 6648783.0681235 1.141, 254807.49766862887 6648783.52215947 1.104, 254806.91541635687 6648783.87047722 1.097, 254806.53700223166 6648784.09577399 1.093, 254806.486720244 6648784.205843792 1.091, 254806.29202485082 6648784.628457442 1.085, 254805.6857276944 6648786.5473928 1.06, 254807.45948322915 6648785.423623882 1, 254807.31228441498 6648784.776873916 1.061, 254808.34053422025 6648784.173002813 1.332, 254809.38889601952 6648783.55826099 1.584, 254810.26639625127 6648783.042443096 1.7730000000000001, 254811.34238942957 6648782.411123358 2.004, 254811.70866378094 6648782.19597277 2.083, 254812.0100723317 6648782.018869868 2.148, 254812.16643879216 6648781.926287147 2.182, 254812.76298538744 6648782.387512543 2.213, 254813.20670065016 6648782.858608955 2.212, 254813.2812571231 6648782.938242355 2.213, 254813.37257293324 6648783.036447809 2.222, 254813.72062398907 6648783.405714923 2.239, 254813.81456446074 6648783.610186516 2.23, 254813.90841436322 6648783.81366158 2.225, 254814.0762752032 6648784.17921004 2.23, 254814.11124246023 6648784.254403415 2.228, 254814.16885686817 6648784.3797860835 2.242, 254814.20563339707 6648784.563329227 2.249, 254814.39476987266 6648785.50568648 2.319, 254814.19868472288 6648787.217534984 2.282, 254814.11939905107 6648787.903959407 2.253, 254813.94361685522 6648789.197991565 2.197, 254813.8810963489 6648789.659835311 2.177, 254813.5623327313 6648792.000761586 2.199, 254813.2934141256 6648793.563491612 2.064, 254812.82450436178 6648793.48955618 1.921, 254812.35794993435 6648793.419425731 1.599, 254811.6513237207 6648793.316857098 1.397, 254810.78389472267 6648793.1917268615 1.2570000000000001, 254809.94907949268 6648793.060618234 1.133, 254808.90055482605 6648792.910751664 1.191, 254809.03473938935 6648792.253499601 1, 254808.82637964076 6648792.039331775 1.055, 254808.629883453 6648791.9999189405 1.059, 254808.151733724 6648791.901704244 1.07, 254807.7856407814 6648792.107795525 1.079, 254807.5401282088 6648792.291875489 1.086, 254807.00181172887 6648792.725623928 1.065, 254807.0954757587 6648793.126049091 1.059, 254807.27637892446 6648793.624045455 1.054, 254807.55485170716 6648794.101117069 1.052, 254808.15086155367 6648794.280053313 1.063, 254809.90149374388 6648794.0737233125 1.305, 254811.38558984463 6648794.295531453 1.479, 254811.5017301877 6648794.3131093485 1.49, 254811.84399089898 6648794.364393397 1.5250000000000001, 254812.9379025355 6648794.527215899 1.971, 254813.12841980273 6648794.556119747 2.045, 254813.3830769885 6648794.5942656575 2.145, 254813.51851367377 6648794.61410885 2.193, 254813.6794975899 6648794.638663512 2.238, 254813.8505373732 6648794.663309006 2.277, 254813.9025377953 6648794.671644839 2.234, 254814.12868931008 6648793.401168163 2.257, 254814.3060116726 6648792.101972209 2.346, 254814.69155441248 6648789.268672324 2.367, 254814.86434648797 6648787.997016675 2.3770000000000002, 254814.94399470152 6648787.303525981 2.382, 254815.36796975997 6648783.610676721 2.456, 254815.1183034445 6648783.229453642 2.452, 254814.77442071133 6648782.817607727 2.442, 254813.92612099997 6648782.106972623 2.384, 254812.54151111087 6648781.277284895 2.255, 254811.90238306017 6648780.922415145 2.324)</t>
  </si>
  <si>
    <t>POLYGON Z ((254811.90238306017 6648780.922415145 2.324, 254811.7393125988 6648781.018621441 2.313, 254811.48456033698 6648781.167369722 2.275, 254811.28806044502 6648781.282690431 2.246, 254811.1507188834 6648781.363496463 2.217, 254810.98574593134 6648781.460880431 2.181, 254809.54248185825 6648782.30744132 1.6460000000000001, 254809.00643303688 6648782.622421789 1.444, 254808.66715581683 6648782.825071133 1.278, 254808.25920781458 6648783.0681235 1.141, 254807.49766862887 6648783.52215947 1.104, 254806.91541635687 6648783.87047722 1.097, 254806.53700223166 6648784.09577399 1.093, 254806.486720244 6648784.205843792 1.091, 254806.29202485082 6648784.628457442 1.085, 254805.6857276944 6648786.5473928 1.06, 254807.45948322915 6648785.423623882 1, 254807.31228441498 6648784.776873916 1.061, 254808.34053422025 6648784.173002813 1.332, 254809.38889601952 6648783.55826099 1.584, 254810.26639625127 6648783.042443096 1.7730000000000001, 254811.34238942957 6648782.411123358 2.004, 254811.70866378094 6648782.19597277 2.083, 254812.0100723317 6648782.018869868 2.148, 254812.16643879216 6648781.926287147 2.182, 254812.76298538744 6648782.387512543 2.213, 254813.20670065016 6648782.858608955 2.212, 254813.2812571231 6648782.938242355 2.213, 254813.37257293324 6648783.036447809 2.222, 254813.72062398907 6648783.405714923 2.239, 254813.81456446074 6648783.610186516 2.23, 254813.90841436322 6648783.81366158 2.225, 254814.0762752032 6648784.17921004 2.23, 254814.11124246023 6648784.254403415 2.228, 254814.16885686817 6648784.3797860835 2.242, 254814.20563339707 6648784.563329227 2.249, 254814.39476987266 6648785.50568648 2.319, 254814.19868472288 6648787.217534984 2.282, 254814.11939905107 6648787.903959407 2.253, 254813.94361685522 6648789.197991565 2.197, 254813.8810963489 6648789.659835311 2.177, 254813.5623327313 6648792.000761586 2.199, 254813.2934141256 6648793.563491612 2.064, 254812.82450436178 6648793.48955618 1.921, 254812.35794993435 6648793.419425731 1.599, 254811.6513237207 6648793.316857098 1.397, 254810.78389472267 6648793.1917268615 1.2570000000000001, 254809.94907949268 6648793.060618234 1.133, 254808.90055482605 6648792.910751664 1.191, 254809.03473938935 6648792.253499601 1, 254808.82637964076 6648792.039331775 1.055, 254808.629883453 6648791.9999189405 1.059, 254808.151733724 6648791.901704244 1.07, 254807.7856407814 6648792.107795525 1.079, 254807.5401282088 6648792.291875489 1.086, 254807.00181172887 6648792.725623928 1.065, 254807.0954757587 6648793.126049091 1.059, 254807.27637892446 6648793.624045455 1.054, 254807.55485170716 6648794.101117069 1.052, 254808.15086155367 6648794.280053313 1.063, 254809.90149374388 6648794.0737233125 1.305, 254811.38558984463 6648794.295531453 1.479, 254811.5017301877 6648794.3131093485 1.49, 254811.84399089898 6648794.364393397 1.5250000000000001, 254812.9379025355 6648794.527215899 1.971, 254813.12841980273 6648794.556119747 2.045, 254813.3830769885 6648794.5942656575 2.145, 254813.51851367377 6648794.61410885 2.193, 254813.6794975899 6648794.638663512 2.238, 254813.8505373732 6648794.663309006 2.277, 254813.9025377953 6648794.671644839 2.234, 254814.12868931008 6648793.401168163 2.257, 254814.3060116726 6648792.101972209 2.346, 254814.69155441248 6648789.268672324 2.367, 254814.86434648797 6648787.997016675 2.3770000000000002, 254814.94399470152 6648787.303525981 2.382, 254815.36796975997 6648783.610676721 2.456, 254815.1183034445 6648783.229453642 2.452, 254814.77442071133 6648782.817607727 2.442, 254813.92612099997 6648782.106972623 2.384, 254812.54151111087 6648781.277284895 2.255, 254811.90238306017 6648780.922415145 2.324))</t>
  </si>
  <si>
    <t>['KV1568 S1D1 m14-220']</t>
  </si>
  <si>
    <t>LINESTRING Z (255042.49308112758 6649061.040366926 15.835, 255045.39388509508 6649064.855039685 16.219, 255050.67275282738 6649069.087579641 16.322, 255056.58948634847 6649073.373673574 16.449, 255061.1702692387 6649076.359453604 16.521, 255065.92037185607 6649079.295682551 16.598, 255068.81823279205 6649080.94436048 16.608, 255074.11587621257 6649084.090052348 16.629, 255078.24524364626 6649086.564241921 16.604, 255082.38367409867 6649088.861774733 16.579, 255089.78759356198 6649092.751462436 16.501, 255096.26412793194 6649095.801059004 16.454, 255104.21297474985 6649099.230272176 16.395, 255111.9202169659 6649102.289587706 16.333000000000002, 255118.89104313793 6649104.575855438 16.283, 255125.90898707783 6649106.407708454 16.214, 255134.23926185208 6649108.318224011 16.205000000000002, 255141.89137009633 6649109.543840471 16.148, 255151.47800439296 6649110.773483906 16.201, 255162.11508410165 6649111.134995118 16.267, 255170.13683254397 6649111.331299455 16.384, 255178.01155886828 6649111.004425181 16.504, 255185.29626611428 6649109.989664661 16.575, 255193.5713405045 6649108.816568464 16.781, 255200.44167885656 6649107.565170118 17.041, 255206.11709702355 6649106.14506211 17.2, 255214.6612574978 6649103.753856905 17.565, 255220.68954742356 6649101.761117619 17.753, 255223.4190551302 6649100.463066909 17.77, 255225.57305669916 6649097.663966653 17.905, 255226.44433496578 6649095.58731923 17.982, 255220.24630411234 6649096.15466235 17.885, 255212.36402181306 6649098.332987172 17.329, 255205.09660310624 6649100.112806166 17.741, 255192.4188557718 6649102.614446969 18.554000000000002, 255183.54876621303 6649103.7521987725 17.773, 255176.62941874165 6649104.873413649 17.776, 255176.1425172462 6649107.4094680315 17.395, 255169.7870150541 6649108.820049694 16.28, 255162.20391410266 6649108.84009098 16.145, 255151.45786525667 6649107.799219062 16.127, 255142.36351057937 6649106.745880177 16.257, 255131.87763798004 6649101.713568208 17.757, 255127.59694973103 6649100.725105352 17.544, 255102.83629832006 6649091.777502011 16.948, 255092.28384108326 6649086.55430572 16.22, 255063.6902223025 6649067.416143544 13.434000000000001, 255047.62613302562 6649055.089860548 12.714, 255044.3228353729 6649059.084588851 14.815, 255042.49308112758 6649061.040366926 15.835)</t>
  </si>
  <si>
    <t>POLYGON Z ((255042.49308112758 6649061.040366926 15.835, 255045.39388509508 6649064.855039685 16.219, 255050.67275282738 6649069.087579641 16.322, 255056.58948634847 6649073.373673574 16.449, 255061.1702692387 6649076.359453604 16.521, 255065.92037185607 6649079.295682551 16.598, 255068.81823279205 6649080.94436048 16.608, 255074.11587621257 6649084.090052348 16.629, 255078.24524364626 6649086.564241921 16.604, 255082.38367409867 6649088.861774733 16.579, 255089.78759356198 6649092.751462436 16.501, 255096.26412793194 6649095.801059004 16.454, 255104.21297474985 6649099.230272176 16.395, 255111.9202169659 6649102.289587706 16.333000000000002, 255118.89104313793 6649104.575855438 16.283, 255125.90898707783 6649106.407708454 16.214, 255134.23926185208 6649108.318224011 16.205000000000002, 255141.89137009633 6649109.543840471 16.148, 255151.47800439296 6649110.773483906 16.201, 255162.11508410165 6649111.134995118 16.267, 255170.13683254397 6649111.331299455 16.384, 255178.01155886828 6649111.004425181 16.504, 255185.29626611428 6649109.989664661 16.575, 255193.5713405045 6649108.816568464 16.781, 255200.44167885656 6649107.565170118 17.041, 255206.11709702355 6649106.14506211 17.2, 255214.6612574978 6649103.753856905 17.565, 255220.68954742356 6649101.761117619 17.753, 255223.4190551302 6649100.463066909 17.77, 255225.57305669916 6649097.663966653 17.905, 255226.44433496578 6649095.58731923 17.982, 255220.24630411234 6649096.15466235 17.885, 255212.36402181306 6649098.332987172 17.329, 255205.09660310624 6649100.112806166 17.741, 255192.4188557718 6649102.614446969 18.554000000000002, 255183.54876621303 6649103.7521987725 17.773, 255176.62941874165 6649104.873413649 17.776, 255176.1425172462 6649107.4094680315 17.395, 255169.7870150541 6649108.820049694 16.28, 255162.20391410266 6649108.84009098 16.145, 255151.45786525667 6649107.799219062 16.127, 255142.36351057937 6649106.745880177 16.257, 255131.87763798004 6649101.713568208 17.757, 255127.59694973103 6649100.725105352 17.544, 255102.83629832006 6649091.777502011 16.948, 255092.28384108326 6649086.55430572 16.22, 255063.6902223025 6649067.416143544 13.434000000000001, 255047.62613302562 6649055.089860548 12.714, 255044.3228353729 6649059.084588851 14.815, 255042.49308112758 6649061.040366926 15.835))</t>
  </si>
  <si>
    <t>['KV1568 S1D1 m105-224']</t>
  </si>
  <si>
    <t>LINESTRING Z (255041.92050168943 6649083.4503168 16.567, 255028.53254049414 6649074.976207434 16.315, 255023.85057852793 6649075.5092479745 16.240000000000002, 255020.48792186173 6649076.241893924 16.19, 255016.42523988683 6649077.486286238 16.207, 255014.00127742198 6649079.758313375 16.133, 255017.48366728338 6649084.698711081 16.152, 255022.2880435497 6649087.336618333 16.238, 255030.66324137786 6649090.084038492 16.330000000000002, 255037.18212695225 6649091.211701734 16.354, 255044.77642639467 6649093.194135168 16.614, 255050.72772398705 6649095.284701578 16.849, 255057.03220062086 6649099.426034527 17.431, 255062.31489571824 6649102.639398751 18.059, 255069.19511223605 6649105.830148367 18.688, 255074.80613099915 6649108.37765873 19.016000000000002, 255079.8099201609 6649110.125308379 18.994, 255083.8036755235 6649112.334508908 19.109, 255089.5493171636 6649114.7934213355 19.016000000000002, 255091.81829045882 6649115.945633953 19.159, 255092.19553081013 6649115.464229594 19.034, 255094.7445736602 6649114.446831223 17.481, 255096.22639565036 6649114.975292847 17.189, 255100.59032158813 6649116.84640689 17.012, 255105.48557262385 6649118.903338704 17.128, 255109.34452747786 6649120.9780953 17.766000000000002, 255110.4472775272 6649122.918534417 18.171, 255110.98206621848 6649126.403666195 18.456, 255111.51614626634 6649129.129264529 18.788, 255112.37002356633 6649131.70321655 17.154, 255111.1874639686 6649133.914662309 16.05, 255116.67287259674 6649134.372635715 16.084, 255122.66346285577 6649133.203203568 16.139, 255126.40440970546 6649133.603704171 16.163, 255128.01958580347 6649138.385246691 16.596, 255132.15625286766 6649138.341848808 16.603, 255137.50480310494 6649137.426698173 16.853, 255138.05592344896 6649131.119974784 16.542, 255138.3791723607 6649126.230576978 16.229, 255137.6049458329 6649122.753141347 16.574, 255130.93587146653 6649121.166894964 16.574, 255124.72020977808 6649119.859956797 16.589, 255117.1534541157 6649117.92626616 16.637, 255112.48349498503 6649116.52405635 16.67, 255107.17612738704 6649114.863279917 16.71, 255101.94993653963 6649112.945945088 16.708000000000002, 255096.7298203988 6649110.7859109985 16.776, 255092.8576291342 6649109.162488976 16.824, 255086.12679367946 6649106.366095662 16.854, 255079.50820440962 6649103.500219415 16.918, 255071.2894808958 6649099.964915359 16.965, 255064.9557155364 6649097.126403637 16.956, 255059.66875862543 6649094.109354708 16.921, 255053.24405931632 6649090.237171536 16.838, 255048.10277721306 6649087.164682067 16.7, 255041.92050168943 6649083.4503168 16.567)</t>
  </si>
  <si>
    <t>POLYGON Z ((255041.92050168943 6649083.4503168 16.567, 255028.53254049414 6649074.976207434 16.315, 255023.85057852793 6649075.5092479745 16.240000000000002, 255020.48792186173 6649076.241893924 16.19, 255016.42523988683 6649077.486286238 16.207, 255014.00127742198 6649079.758313375 16.133, 255017.48366728338 6649084.698711081 16.152, 255022.2880435497 6649087.336618333 16.238, 255030.66324137786 6649090.084038492 16.330000000000002, 255037.18212695225 6649091.211701734 16.354, 255044.77642639467 6649093.194135168 16.614, 255050.72772398705 6649095.284701578 16.849, 255057.03220062086 6649099.426034527 17.431, 255062.31489571824 6649102.639398751 18.059, 255069.19511223605 6649105.830148367 18.688, 255074.80613099915 6649108.37765873 19.016000000000002, 255079.8099201609 6649110.125308379 18.994, 255083.8036755235 6649112.334508908 19.109, 255089.5493171636 6649114.7934213355 19.016000000000002, 255091.81829045882 6649115.945633953 19.159, 255092.19553081013 6649115.464229594 19.034, 255094.7445736602 6649114.446831223 17.481, 255096.22639565036 6649114.975292847 17.189, 255100.59032158813 6649116.84640689 17.012, 255105.48557262385 6649118.903338704 17.128, 255109.34452747786 6649120.9780953 17.766000000000002, 255110.4472775272 6649122.918534417 18.171, 255110.98206621848 6649126.403666195 18.456, 255111.51614626634 6649129.129264529 18.788, 255112.37002356633 6649131.70321655 17.154, 255111.1874639686 6649133.914662309 16.05, 255116.67287259674 6649134.372635715 16.084, 255122.66346285577 6649133.203203568 16.139, 255126.40440970546 6649133.603704171 16.163, 255128.01958580347 6649138.385246691 16.596, 255132.15625286766 6649138.341848808 16.603, 255137.50480310494 6649137.426698173 16.853, 255138.05592344896 6649131.119974784 16.542, 255138.3791723607 6649126.230576978 16.229, 255137.6049458329 6649122.753141347 16.574, 255130.93587146653 6649121.166894964 16.574, 255124.72020977808 6649119.859956797 16.589, 255117.1534541157 6649117.92626616 16.637, 255112.48349498503 6649116.52405635 16.67, 255107.17612738704 6649114.863279917 16.71, 255101.94993653963 6649112.945945088 16.708000000000002, 255096.7298203988 6649110.7859109985 16.776, 255092.8576291342 6649109.162488976 16.824, 255086.12679367946 6649106.366095662 16.854, 255079.50820440962 6649103.500219415 16.918, 255071.2894808958 6649099.964915359 16.965, 255064.9557155364 6649097.126403637 16.956, 255059.66875862543 6649094.109354708 16.921, 255053.24405931632 6649090.237171536 16.838, 255048.10277721306 6649087.164682067 16.7, 255041.92050168943 6649083.4503168 16.567))</t>
  </si>
  <si>
    <t>[7260]</t>
  </si>
  <si>
    <t>['KV7260 S2D130 m19-86']</t>
  </si>
  <si>
    <t>LINESTRING Z (255161.28625703455 6649282.950714656 15.789, 255133.0858936347 6649272.583577636 15.737, 255125.24675272178 6649269.112252871 15.689, 255123.90962059438 6649272.486188594 15.561, 255123.6398205402 6649273.16581338 15.535, 255123.45808133014 6649273.63145879 15.485000000000001, 255123.89147580398 6649273.801057869 15.484, 255124.35820831291 6649273.983703028 15.483, 255124.82385371986 6649274.165442234 15.482000000000001, 255125.28949912553 6649274.34718144 15.481, 255125.7552351032 6649274.529917172 15.479000000000001, 255126.2208805057 6649274.711656372 15.478, 255126.68652590679 6649274.893395573 15.477, 255127.1532584068 6649275.076040725 15.476, 255127.6189038051 6649275.257779922 15.475, 255127.68032552136 6649275.2813353725 15.474, 255128.0845492015 6649275.439519117 15.473, 255128.55028517035 6649275.622254839 15.469000000000001, 255129.01593056432 6649275.8039940335 15.464, 255129.48257248322 6649275.98564265 15.457, 255129.94830844767 6649276.168378368 15.450000000000001, 255130.413953837 6649276.350117558 15.441, 255130.87959922495 6649276.5318567455 15.431000000000001, 255131.346241138 6649276.713505356 15.418000000000001, 255131.8118865231 6649276.895244542 15.405000000000001, 255132.27762247977 6649277.07798025 15.389000000000001, 255132.74326786195 6649277.259719432 15.372, 255133.20900381583 6649277.442455142 15.353, 255133.6756457216 6649277.6241037445 15.332, 255134.14129109916 6649277.805842924 15.31, 255134.60693647517 6649277.987582099 15.286, 255135.07267242327 6649278.1703178 15.261000000000001, 255135.37054052728 6649278.285920619 15.243, 255135.53831779634 6649278.352056975 15.233, 255136.003963168 6649278.533796145 15.206, 255136.47069563848 6649278.71644127 15.178, 255136.93634100718 6649278.898180437 15.151, 255137.40198637443 6649279.0799196055 15.123000000000001, 255137.8677223136 6649279.262655299 15.096, 255138.33345825115 6649279.445390989 15.068, 255138.79910361386 6649279.627130152 15.041, 255139.00221196606 6649279.706131438 15.028, 255139.26474897543 6649279.808869315 15.012, 255139.73148143536 6649279.9915144285 14.983, 255140.19712679376 6649280.1732535865 14.955, 255140.66277215062 6649280.354992745 14.926, 255141.1285080796 6649280.537728427 14.897, 255141.5941534333 6649280.719467581 14.868, 255141.9264466567 6649280.849022418 14.848, 255142.06079531283 6649280.901116161 14.84, 255142.52653123703 6649281.083851839 14.811, 255142.99208601323 6649281.264594464 14.782, 255143.4578219347 6649281.44733014 14.753, 255143.9235578545 6649281.630065813 14.725, 255144.020401223 6649281.667482717 14.719000000000001, 255144.3892031996 6649281.811804958 14.697000000000001, 255144.85584507033 6649281.993453533 14.67, 255145.32158098585 6649282.176189203 14.647, 255145.7205502633 6649282.331836186 14.628, 255145.78722632618 6649282.357928343 14.625, 255145.99033466855 6649282.436929617 14.616, 255146.2528716654 6649282.539667483 14.605, 255146.71860757668 6649282.722403147 14.587, 255147.18515886617 6649282.903055185 14.572000000000001, 255147.6508947743 6649283.085790848 14.558, 255148.11663068118 6649283.268526511 14.547, 255148.58227601292 6649283.450265643 14.537, 255148.71979539 6649283.504080714 14.535, 255149.04792134318 6649283.632004775 14.530000000000001, 255149.51365724558 6649283.8147404315 14.525, 255149.98029909964 6649283.9963889895 14.522, 255150.09806930658 6649284.042956213 14.521, 255150.44594442545 6649284.178128114 14.521, 255150.4824531828 6649284.192895524 14.521, 255150.90633539608 6649284.357330529 14.522, 255151.23636382437 6649284.484076912 14.524000000000001, 255151.3674511714 6649284.533452786 14.525, 255151.83046942513 6649284.708397369 14.528, 255152.2931253837 6649284.87935584 14.532, 255152.75768382073 6649285.049136644 14.536, 255153.22197053608 6649285.2159278635 14.539, 255153.68806915605 6649285.380544878 14.543000000000001, 255154.1540772012 6649285.544165368 14.547, 255154.62081005142 6649285.704705705 14.55, 255155.08926423255 6649285.862075309 14.554, 255155.55762783872 6649286.018448384 14.557, 255156.02771277662 6649286.171650736 14.561, 255156.4975259924 6649286.321863505 14.565, 255156.96824515957 6649286.470989172 14.568, 255157.35598154727 6649286.591485756 14.571, 255157.44168218493 6649286.616853537 14.572000000000001, 255157.92037356217 6649286.765254614 14.575000000000001, 255158.4000614647 6649286.913565117 14.579, 255158.87884341215 6649287.062962718 14.583, 255159.3575347844 6649287.2113637915 14.586, 255159.83541077538 6649287.361848489 14.59, 255160.31428329129 6649287.512242614 14.593, 255160.79215927905 6649287.662727311 14.597, 255160.9679995239 6649287.718083212 14.598, 255161.2701258386 6649287.814208534 14.601, 255161.74809239645 6649287.965689753 14.606, 255162.226149526 6649288.1181675 14.614, 255162.7032101273 6649288.270735817 14.622, 255163.18135782727 6649288.42421009 14.633000000000001, 255163.65850899878 6649288.577774931 14.645, 255164.13575074222 6649288.7323362995 14.659, 255164.61199595718 6649288.88698824 14.674, 255165.08923769728 6649289.041549605 14.692, 255165.56647943563 6649289.196110968 14.71, 255166.04290579303 6649289.352755958 14.731, 255166.51933214857 6649289.509400947 14.753, 255166.99476197571 6649289.666136507 14.777000000000001, 255167.47127890147 6649289.823778018 14.802, 255167.94679929892 6649289.981510103 14.83, 255168.42241026848 6649290.1402387135 14.859, 255168.89802123647 6649290.298967323 14.889000000000001, 255169.37372277607 6649290.458692456 14.921000000000001, 255169.84833721406 6649290.617511635 14.955, 255170.32412932385 6649290.778233292 14.991, 255170.79892490568 6649290.939045521 15.028, 255171.27381105945 6649291.100854279 15.067, 255171.3359575633 6649291.121329559 15.072000000000001, 255171.74869721147 6649291.262663034 15.107000000000001, 255172.22258683527 6649291.424562357 15.147, 255172.69756355762 6649291.587367635 15.187000000000001, 255173.171543752 6649291.750263488 15.227, 255173.64561451803 6649291.91415586 15.267, 255174.1186887561 6649292.078138809 15.307, 255174.5928500925 6649292.24302771 15.347, 255175.06601490063 6649292.408007179 15.387, 255175.539270281 6649292.573983177 15.427, 255176.01252565955 6649292.739959171 15.467, 255176.48578103675 6649292.905935164 15.507, 255176.95813045913 6649293.072998258 15.547, 255177.4305704537 6649293.241057875 15.587, 255177.90291987295 6649293.408120965 15.627, 255178.3754504378 6649293.577177106 15.667, 255178.84798100116 6649293.746233245 15.707, 255179.31951503624 6649293.915379959 15.747, 255179.79104907002 6649294.084526672 15.787, 255180.262764249 6649294.255666432 15.827, 255180.63573360362 6649294.390566987 15.859, 255180.73438885325 6649294.425809667 15.867, 255181.20610402912 6649294.5969494255 15.905000000000001, 255181.67691325056 6649294.769176285 15.941, 255182.14772247072 6649294.941403146 15.974, 255182.61853168914 6649295.1136300005 16.005, 255183.08943147937 6649295.2868533805 16.033, 255183.55933474182 6649295.460167333 16.058, 255184.03032510262 6649295.634387236 16.082, 255184.5003189357 6649295.8086977145 16.102, 255184.96940681414 6649295.984095289 16.12, 255185.43949121758 6649296.15940229 16.136, 255185.9096661927 6649296.335705815 16.149, 255185.46685182172 6649296.084572885 16.074, 255184.5110157528 6649295.462088531 16.06, 255183.8616523855 6649295.038824543 16.05, 255183.64486575368 6649294.897766736 16.047, 255182.34722611168 6649294.052144693 16.028, 255180.08214737734 6649292.942786891 16.003, 255177.79505314762 6649291.900739325 15.978, 255176.42294155518 6649291.2748947395 15.964, 255175.5078683114 6649290.857695195 15.954, 255173.2206834421 6649289.814651026 15.93, 255170.93349853955 6649288.771606815 15.906, 255170.48488524562 6649288.567219785 15.901, 255168.64631360403 6649287.7285625655 15.884, 255166.35912863526 6649286.685518274 15.864, 255164.0719436337 6649285.642473943 15.843, 255161.78484917257 6649284.600426101 15.823, 255160.869775844 6649284.183226455 15.815, 255160.98130259785 6649283.851567076 15.808, 255161.1485473341 6649283.35910593 15.797, 255161.28625703455 6649282.950714656 15.789)</t>
  </si>
  <si>
    <t>POLYGON Z ((255161.28625703455 6649282.950714656 15.789, 255133.0858936347 6649272.583577636 15.737, 255125.24675272178 6649269.112252871 15.689, 255123.90962059438 6649272.486188594 15.561, 255123.6398205402 6649273.16581338 15.535, 255123.45808133014 6649273.63145879 15.485000000000001, 255123.89147580398 6649273.801057869 15.484, 255124.35820831291 6649273.983703028 15.483, 255124.82385371986 6649274.165442234 15.482000000000001, 255125.28949912553 6649274.34718144 15.481, 255125.7552351032 6649274.529917172 15.479000000000001, 255126.2208805057 6649274.711656372 15.478, 255126.68652590679 6649274.893395573 15.477, 255127.1532584068 6649275.076040725 15.476, 255127.6189038051 6649275.257779922 15.475, 255127.68032552136 6649275.2813353725 15.474, 255128.0845492015 6649275.439519117 15.473, 255128.55028517035 6649275.622254839 15.469000000000001, 255129.01593056432 6649275.8039940335 15.464, 255129.48257248322 6649275.98564265 15.457, 255129.94830844767 6649276.168378368 15.450000000000001, 255130.413953837 6649276.350117558 15.441, 255130.87959922495 6649276.5318567455 15.431000000000001, 255131.346241138 6649276.713505356 15.418000000000001, 255131.8118865231 6649276.895244542 15.405000000000001, 255132.27762247977 6649277.07798025 15.389000000000001, 255132.74326786195 6649277.259719432 15.372, 255133.20900381583 6649277.442455142 15.353, 255133.6756457216 6649277.6241037445 15.332, 255134.14129109916 6649277.805842924 15.31, 255134.60693647517 6649277.987582099 15.286, 255135.07267242327 6649278.1703178 15.261000000000001, 255135.37054052728 6649278.285920619 15.243, 255135.53831779634 6649278.352056975 15.233, 255136.003963168 6649278.533796145 15.206, 255136.47069563848 6649278.71644127 15.178, 255136.93634100718 6649278.898180437 15.151, 255137.40198637443 6649279.0799196055 15.123000000000001, 255137.8677223136 6649279.262655299 15.096, 255138.33345825115 6649279.445390989 15.068, 255138.79910361386 6649279.627130152 15.041, 255139.00221196606 6649279.706131438 15.028, 255139.26474897543 6649279.808869315 15.012, 255139.73148143536 6649279.9915144285 14.983, 255140.19712679376 6649280.1732535865 14.955, 255140.66277215062 6649280.354992745 14.926, 255141.1285080796 6649280.537728427 14.897, 255141.5941534333 6649280.719467581 14.868, 255141.9264466567 6649280.849022418 14.848, 255142.06079531283 6649280.901116161 14.84, 255142.52653123703 6649281.083851839 14.811, 255142.99208601323 6649281.264594464 14.782, 255143.4578219347 6649281.44733014 14.753, 255143.9235578545 6649281.630065813 14.725, 255144.020401223 6649281.667482717 14.719000000000001, 255144.3892031996 6649281.811804958 14.697000000000001, 255144.85584507033 6649281.993453533 14.67, 255145.32158098585 6649282.176189203 14.647, 255145.7205502633 6649282.331836186 14.628, 255145.78722632618 6649282.357928343 14.625, 255145.99033466855 6649282.436929617 14.616, 255146.2528716654 6649282.539667483 14.605, 255146.71860757668 6649282.722403147 14.587, 255147.18515886617 6649282.903055185 14.572000000000001, 255147.6508947743 6649283.085790848 14.558, 255148.11663068118 6649283.268526511 14.547, 255148.58227601292 6649283.450265643 14.537, 255148.71979539 6649283.504080714 14.535, 255149.04792134318 6649283.632004775 14.530000000000001, 255149.51365724558 6649283.8147404315 14.525, 255149.98029909964 6649283.9963889895 14.522, 255150.09806930658 6649284.042956213 14.521, 255150.44594442545 6649284.178128114 14.521, 255150.4824531828 6649284.192895524 14.521, 255150.90633539608 6649284.357330529 14.522, 255151.23636382437 6649284.484076912 14.524000000000001, 255151.3674511714 6649284.533452786 14.525, 255151.83046942513 6649284.708397369 14.528, 255152.2931253837 6649284.87935584 14.532, 255152.75768382073 6649285.049136644 14.536, 255153.22197053608 6649285.2159278635 14.539, 255153.68806915605 6649285.380544878 14.543000000000001, 255154.1540772012 6649285.544165368 14.547, 255154.62081005142 6649285.704705705 14.55, 255155.08926423255 6649285.862075309 14.554, 255155.55762783872 6649286.018448384 14.557, 255156.02771277662 6649286.171650736 14.561, 255156.4975259924 6649286.321863505 14.565, 255156.96824515957 6649286.470989172 14.568, 255157.35598154727 6649286.591485756 14.571, 255157.44168218493 6649286.616853537 14.572000000000001, 255157.92037356217 6649286.765254614 14.575000000000001, 255158.4000614647 6649286.913565117 14.579, 255158.87884341215 6649287.062962718 14.583, 255159.3575347844 6649287.2113637915 14.586, 255159.83541077538 6649287.361848489 14.59, 255160.31428329129 6649287.512242614 14.593, 255160.79215927905 6649287.662727311 14.597, 255160.9679995239 6649287.718083212 14.598, 255161.2701258386 6649287.814208534 14.601, 255161.74809239645 6649287.965689753 14.606, 255162.226149526 6649288.1181675 14.614, 255162.7032101273 6649288.270735817 14.622, 255163.18135782727 6649288.42421009 14.633000000000001, 255163.65850899878 6649288.577774931 14.645, 255164.13575074222 6649288.7323362995 14.659, 255164.61199595718 6649288.88698824 14.674, 255165.08923769728 6649289.041549605 14.692, 255165.56647943563 6649289.196110968 14.71, 255166.04290579303 6649289.352755958 14.731, 255166.51933214857 6649289.509400947 14.753, 255166.99476197571 6649289.666136507 14.777000000000001, 255167.47127890147 6649289.823778018 14.802, 255167.94679929892 6649289.981510103 14.83, 255168.42241026848 6649290.1402387135 14.859, 255168.89802123647 6649290.298967323 14.889000000000001, 255169.37372277607 6649290.458692456 14.921000000000001, 255169.84833721406 6649290.617511635 14.955, 255170.32412932385 6649290.778233292 14.991, 255170.79892490568 6649290.939045521 15.028, 255171.27381105945 6649291.100854279 15.067, 255171.3359575633 6649291.121329559 15.072000000000001, 255171.74869721147 6649291.262663034 15.107000000000001, 255172.22258683527 6649291.424562357 15.147, 255172.69756355762 6649291.587367635 15.187000000000001, 255173.171543752 6649291.750263488 15.227, 255173.64561451803 6649291.91415586 15.267, 255174.1186887561 6649292.078138809 15.307, 255174.5928500925 6649292.24302771 15.347, 255175.06601490063 6649292.408007179 15.387, 255175.539270281 6649292.573983177 15.427, 255176.01252565955 6649292.739959171 15.467, 255176.48578103675 6649292.905935164 15.507, 255176.95813045913 6649293.072998258 15.547, 255177.4305704537 6649293.241057875 15.587, 255177.90291987295 6649293.408120965 15.627, 255178.3754504378 6649293.577177106 15.667, 255178.84798100116 6649293.746233245 15.707, 255179.31951503624 6649293.915379959 15.747, 255179.79104907002 6649294.084526672 15.787, 255180.262764249 6649294.255666432 15.827, 255180.63573360362 6649294.390566987 15.859, 255180.73438885325 6649294.425809667 15.867, 255181.20610402912 6649294.5969494255 15.905000000000001, 255181.67691325056 6649294.769176285 15.941, 255182.14772247072 6649294.941403146 15.974, 255182.61853168914 6649295.1136300005 16.005, 255183.08943147937 6649295.2868533805 16.033, 255183.55933474182 6649295.460167333 16.058, 255184.03032510262 6649295.634387236 16.082, 255184.5003189357 6649295.8086977145 16.102, 255184.96940681414 6649295.984095289 16.12, 255185.43949121758 6649296.15940229 16.136, 255185.9096661927 6649296.335705815 16.149, 255185.46685182172 6649296.084572885 16.074, 255184.5110157528 6649295.462088531 16.06, 255183.8616523855 6649295.038824543 16.05, 255183.64486575368 6649294.897766736 16.047, 255182.34722611168 6649294.052144693 16.028, 255180.08214737734 6649292.942786891 16.003, 255177.79505314762 6649291.900739325 15.978, 255176.42294155518 6649291.2748947395 15.964, 255175.5078683114 6649290.857695195 15.954, 255173.2206834421 6649289.814651026 15.93, 255170.93349853955 6649288.771606815 15.906, 255170.48488524562 6649288.567219785 15.901, 255168.64631360403 6649287.7285625655 15.884, 255166.35912863526 6649286.685518274 15.864, 255164.0719436337 6649285.642473943 15.843, 255161.78484917257 6649284.600426101 15.823, 255160.869775844 6649284.183226455 15.815, 255160.98130259785 6649283.851567076 15.808, 255161.1485473341 6649283.35910593 15.797, 255161.28625703455 6649282.950714656 15.789))</t>
  </si>
  <si>
    <t>['KV7260 S2D130 m97-98']</t>
  </si>
  <si>
    <t>LINESTRING Z (255228.08404027298 6649314.362029802 16.302, 255227.98222296478 6649313.882971402 16.312, 255210.70235785897 6649306.763372618 16.294, 255200.2189144212 6649302.443233348 16.242, 255199.35103904273 6649302.0920773 16.232, 255197.1365978974 6649301.197154769 16.206, 255196.9875648682 6649301.569399059 16.196, 255199.2009189192 6649302.463415631 16.222, 255200.06770720016 6649302.813665725 16.232, 255205.06569016297 6649304.8733081715 16.257, 255204.87462017123 6649305.33578238 16.257, 255202.374714945 6649304.704933346 14.9, 255201.93905571202 6649304.543578424 14.9, 255201.49585220814 6649305.658952443 14.9, 255201.08870653965 6649306.684639973 14.88, 255207.17207910767 6649309.089735114 15.01, 255209.56752258443 6649310.118919989 15, 255210.75636625462 6649310.62979792 15.049, 255214.5843467714 6649312.275315796 15.061, 255218.5036431449 6649314.019038304 15.06, 255222.420855794 6649315.761945315 15.069, 255228.16703960754 6649318.182615002 14.944, 255228.36118966405 6649317.720865664 14.994, 255228.08404027298 6649314.362029802 16.302)</t>
  </si>
  <si>
    <t>POLYGON Z ((255228.08404027298 6649314.362029802 16.302, 255227.98222296478 6649313.882971402 16.312, 255210.70235785897 6649306.763372618 16.294, 255200.2189144212 6649302.443233348 16.242, 255199.35103904273 6649302.0920773 16.232, 255197.1365978974 6649301.197154769 16.206, 255196.9875648682 6649301.569399059 16.196, 255199.2009189192 6649302.463415631 16.222, 255200.06770720016 6649302.813665725 16.232, 255205.06569016297 6649304.8733081715 16.257, 255204.87462017123 6649305.33578238 16.257, 255202.374714945 6649304.704933346 14.9, 255201.93905571202 6649304.543578424 14.9, 255201.49585220814 6649305.658952443 14.9, 255201.08870653965 6649306.684639973 14.88, 255207.17207910767 6649309.089735114 15.01, 255209.56752258443 6649310.118919989 15, 255210.75636625462 6649310.62979792 15.049, 255214.5843467714 6649312.275315796 15.061, 255218.5036431449 6649314.019038304 15.06, 255222.420855794 6649315.761945315 15.069, 255228.16703960754 6649318.182615002 14.944, 255228.36118966405 6649317.720865664 14.994, 255228.08404027298 6649314.362029802 16.302))</t>
  </si>
  <si>
    <t>['KV1226 S3D1 m130-146']</t>
  </si>
  <si>
    <t>LINESTRING Z (254825.6157990515 6648780.120177157 2.523, 254825.13528769655 6648780.283414948 2.4250000000000003, 254824.61681737786 6648780.4601502465 2.418, 254824.0993435867 6648780.636794977 2.511, 254823.58087326415 6648780.81353028 2.513, 254823.11466150623 6648785.34617918 2.363, 254823.09400132604 6648785.550013856 2.352, 254823.085392984 6648785.632181875 2.349, 254822.65879282367 6648789.240869565 2.249, 254822.5472525055 6648790.069887199 2.226, 254822.52595913882 6648790.2335889805 2.222, 254822.50539085772 6648790.38315821 2.219, 254822.27651114645 6648792.087939542 2.201, 254821.893323574 6648794.936096637 2.1710000000000003, 254822.00076684903 6648794.957479247 2.1710000000000003, 254822.3844281379 6648795.0331339035 2.16, 254822.87652922986 6648795.130080603 2.06, 254823.36772435968 6648795.228114402 2.06, 254824.94839073217 6648795.539612278 2.23, 254825.14364293305 6648794.559305662 2.233, 254825.33880457174 6648793.578002522 2.236, 254825.444902237 6648793.042869791 2.238, 254825.53396621777 6648792.596699382 2.239, 254825.72912787157 6648791.615396246 2.242, 254825.77470181102 6648791.387192543 2.242, 254826.3138362439 6648790.84083659 2.407, 254826.96793650746 6648790.1775273 2.445, 254827.31464274766 6648789.95712183 2.387, 254827.30296165182 6648789.729097946 2.33, 254827.2616629856 6648789.230470846 2.33, 254825.27181063915 6648787.899153104 2.298, 254824.82374276957 6648787.601271253 2.2800000000000002, 254825.01919390657 6648785.882447188 2.34, 254825.14668481558 6648784.797775361 2.375, 254825.39976655686 6648782.530137819 2.455, 254825.5397629799 6648781.295624803 2.494, 254825.6157990515 6648780.120177157 2.523)</t>
  </si>
  <si>
    <t>POLYGON Z ((254825.6157990515 6648780.120177157 2.523, 254825.13528769655 6648780.283414948 2.4250000000000003, 254824.61681737786 6648780.4601502465 2.418, 254824.0993435867 6648780.636794977 2.511, 254823.58087326415 6648780.81353028 2.513, 254823.11466150623 6648785.34617918 2.363, 254823.09400132604 6648785.550013856 2.352, 254823.085392984 6648785.632181875 2.349, 254822.65879282367 6648789.240869565 2.249, 254822.5472525055 6648790.069887199 2.226, 254822.52595913882 6648790.2335889805 2.222, 254822.50539085772 6648790.38315821 2.219, 254822.27651114645 6648792.087939542 2.201, 254821.893323574 6648794.936096637 2.1710000000000003, 254822.00076684903 6648794.957479247 2.1710000000000003, 254822.3844281379 6648795.0331339035 2.16, 254822.87652922986 6648795.130080603 2.06, 254823.36772435968 6648795.228114402 2.06, 254824.94839073217 6648795.539612278 2.23, 254825.14364293305 6648794.559305662 2.233, 254825.33880457174 6648793.578002522 2.236, 254825.444902237 6648793.042869791 2.238, 254825.53396621777 6648792.596699382 2.239, 254825.72912787157 6648791.615396246 2.242, 254825.77470181102 6648791.387192543 2.242, 254826.3138362439 6648790.84083659 2.407, 254826.96793650746 6648790.1775273 2.445, 254827.31464274766 6648789.95712183 2.387, 254827.30296165182 6648789.729097946 2.33, 254827.2616629856 6648789.230470846 2.33, 254825.27181063915 6648787.899153104 2.298, 254824.82374276957 6648787.601271253 2.2800000000000002, 254825.01919390657 6648785.882447188 2.34, 254825.14668481558 6648784.797775361 2.375, 254825.39976655686 6648782.530137819 2.455, 254825.5397629799 6648781.295624803 2.494, 254825.6157990515 6648780.120177157 2.523))</t>
  </si>
  <si>
    <t>[1237]</t>
  </si>
  <si>
    <t>['KV1237 S1D1 m0-354']</t>
  </si>
  <si>
    <t>LINESTRING Z (254682.81350520402 6649150.561070808 14.523, 254682.6818892295 6649154.098745049 15.092, 254682.7592042436 6649156.574486414 15.626, 254682.9844573174 6649159.108120133 15.811, 254683.59299044727 6649166.997469607 16.232, 254681.07483752817 6649167.735754316 16.321, 254681.3448618659 6649169.413280201 16.383, 254683.30228912242 6649170.708355355 16.303, 254685.56067228282 6649171.799238934 16.23, 254686.3083233214 6649172.629544091 16.257, 254691.0624281672 6649171.242928047 15.902000000000001, 254693.25775768125 6649168.002987312 15.68, 254693.8501865459 6649166.185784379 15.573, 254693.29920089277 6649161.649121514 15.418000000000001, 254692.99605297094 6649158.368995834 15.315, 254696.9294488447 6649158.045659276 15.021, 254701.35050612406 6649157.880962171 14.759, 254701.78747121114 6649160.654582126 14.804, 254702.82466026896 6649161.420390707 14.778, 254706.84402846106 6649161.125411631 14.594, 254713.75178196936 6649161.16976557 14.405000000000001, 254714.02380152277 6649162.736585802 14.467, 254717.55812870918 6649162.58817685 14.403, 254717.68880481826 6649164.998781893 14.391, 254714.09558831505 6649165.317324277 14.474, 254713.65692758394 6649165.653598195 14.516, 254711.031511831 6649166.427755499 14.648, 254708.9493952296 6649166.723499875 14.738, 254704.83861319613 6649167.261901977 14.912, 254703.3366482277 6649167.993232045 15.019, 254702.9760685398 6649168.834838208 15.024000000000001, 254706.2464060528 6649168.711427376 14.839, 254710.26912393016 6649168.519634135 14.627, 254710.54301489645 6649167.232759162 14.558, 254713.48377052962 6649167.230736801 14.427, 254717.74845537305 6649167.423880415 14.262, 254720.26396111256 6649167.6072034715 14.129, 254726.57514187208 6649168.317678514 13.869, 254732.69779350286 6649169.209064736 13.694, 254738.5831724932 6649170.485739996 13.55, 254744.14133026396 6649171.633403208 13.448, 254745.32628410778 6649172.057224132 13.448, 254750.76819424465 6649173.971033769 13.365, 254756.95323466623 6649176.2563824635 13.345, 254763.34309315 6649179.192286817 13.357000000000001, 254768.63886286935 6649181.709173456 13.290000000000001, 254773.58783682092 6649184.412312841 13.317, 254778.42720469 6649186.528585365 13.319, 254781.09651174984 6649187.928762285 13.313, 254788.31427585502 6649192.168956302 13.355, 254796.656744848 6649197.010260418 13.455, 254805.0499452336 6649201.879105309 13.596, 254813.33569396022 6649207.113401193 13.718, 254822.6950542255 6649212.873069538 13.876, 254830.47168052517 6649217.458342303 14.001, 254839.81511623517 6649222.202637812 14.194, 254848.10614261453 6649226.223704081 14.218, 254857.76023954366 6649230.107820247 14.396, 254869.41483195056 6649233.350937531 14.631, 254885.42553693725 6649235.515900015 14.853, 254889.68917579355 6649237.864347637 14.973, 254892.51385524802 6649238.939929213 15.067, 254899.94231710315 6649239.572964603 15.185, 254907.6897643092 6649239.87959849 15.254, 254913.10497093928 6649240.427344712 15.308, 254914.37227656817 6649240.66282243 15.367, 254921.53294664083 6649241.124268365 15.425, 254930.23841380843 6649241.590999836 15.489, 254938.02118532997 6649242.153650943 15.512, 254949.0905967405 6649242.462797552 15.448, 254959.56979334351 6649242.689945228 15.540000000000001, 254966.15238760097 6649243.015036219 15.516, 254969.49618336427 6649243.180345851 15.567, 254976.2440189501 6649243.521565717 15.611, 254981.79086487138 6649243.560995036 15.803, 254989.31082454475 6649243.995813263 16.006, 255000.10565960096 6649243.483906976 16.31, 255001.19404684493 6649243.508570289 16.383, 255006.64833986986 6649241.833248073 16.48, 255010.25197620073 6649240.999319029 16.641000000000002, 255014.3216256244 6649240.09691092 16.676000000000002, 255017.86074643108 6649239.901844435 16.72, 255022.729501141 6649239.876304804 16.654, 255027.72498846706 6649240.205983924 16.524, 255032.8307104835 6649241.383708766 16.609, 255039.4604633374 6649243.521118596 16.607, 255045.64068890424 6649245.819956318 16.740000000000002, 255046.1815561513 6649244.552024044 16.592, 255047.1885595749 6649241.602962203 16.102, 255047.91054100046 6649239.43136594 15.418000000000001, 255038.12586576972 6649237.9243308 15.207, 255032.79890190755 6649237.40775103 15.302, 255027.36720981792 6649236.999156266 15.246, 255022.05056971117 6649236.651442463 15.187000000000001, 255017.7193974651 6649236.5778837865 15.285, 255013.0483187098 6649236.523161632 15.239, 255006.52269863134 6649236.769624647 15.186, 254998.83566643368 6649237.30451323 15.32, 254989.19561699068 6649238.162599289 15.514000000000001, 254981.00325224717 6649238.797673995 15.791, 254976.54323883486 6649239.517528888 15.843, 254969.3635315422 6649239.841526758 16.099, 254960.47206573063 6649240.036756979 16.421, 254950.91166013072 6649240.1350388555 16.635, 254941.90596944804 6649239.604161255 16.623, 254935.009562006 6649239.109654107 16.612000000000002, 254928.19469418173 6649238.318364762 16.567, 254921.90146242635 6649237.528897732 16.544, 254912.88500840243 6649236.039451293 16.466, 254902.9253063829 6649234.021826232 16.365000000000002, 254894.2966040767 6649231.868156572 16.301000000000002, 254886.43549324136 6649229.990358985 16.238, 254871.35867867956 6649225.188422601 16.104, 254860.7497312088 6649221.1790869925 16.067, 254851.76375796998 6649217.449264411 15.928, 254843.15637587992 6649213.6287650075 15.767, 254834.43902297362 6649209.316884148 15.471, 254825.47435755323 6649204.61653302 15.179, 254817.5819465154 6649200.3492397815 14.935, 254808.16105970633 6649195.2613192415 14.644, 254799.53113222995 6649190.728480196 14.446, 254790.47921824522 6649186.284232165 14.396, 254783.32448835584 6649182.969723026 14.333, 254774.7632131095 6649179.225408996 14.224, 254766.78570901643 6649176.089169843 14.186, 254758.90486422597 6649173.1209831545 14.093, 254752.7588670236 6649170.966723905 14.055, 254748.338029102 6649169.387134744 14.001, 254745.39512058417 6649168.403681315 14.026, 254742.73821407979 6649167.493705102 14.012, 254739.1009108278 6649166.299063709 13.973, 254733.60246564908 6649164.592349056 14.046000000000001, 254726.54826575072 6649162.5276669 14.039, 254725.9857838923 6649161.899570497 14.271, 254722.72489208932 6649160.899803222 14.456, 254717.84700323996 6649159.597872792 14.455, 254712.61634569275 6649158.173271277 14.487, 254707.88820659797 6649156.91600635 14.575000000000001, 254701.8072417741 6649155.311468084 14.574, 254695.9828357948 6649153.788106815 14.554, 254690.8580790289 6649152.467417754 14.555, 254687.7083405347 6649151.662518907 14.566, 254682.81350520402 6649150.561070808 14.523)</t>
  </si>
  <si>
    <t>POLYGON Z ((254682.81350520402 6649150.561070808 14.523, 254682.6818892295 6649154.098745049 15.092, 254682.7592042436 6649156.574486414 15.626, 254682.9844573174 6649159.108120133 15.811, 254683.59299044727 6649166.997469607 16.232, 254681.07483752817 6649167.735754316 16.321, 254681.3448618659 6649169.413280201 16.383, 254683.30228912242 6649170.708355355 16.303, 254685.56067228282 6649171.799238934 16.23, 254686.3083233214 6649172.629544091 16.257, 254691.0624281672 6649171.242928047 15.902000000000001, 254693.25775768125 6649168.002987312 15.68, 254693.8501865459 6649166.185784379 15.573, 254693.29920089277 6649161.649121514 15.418000000000001, 254692.99605297094 6649158.368995834 15.315, 254696.9294488447 6649158.045659276 15.021, 254701.35050612406 6649157.880962171 14.759, 254701.78747121114 6649160.654582126 14.804, 254702.82466026896 6649161.420390707 14.778, 254706.84402846106 6649161.125411631 14.594, 254713.75178196936 6649161.16976557 14.405000000000001, 254714.02380152277 6649162.736585802 14.467, 254717.55812870918 6649162.58817685 14.403, 254717.68880481826 6649164.998781893 14.391, 254714.09558831505 6649165.317324277 14.474, 254713.65692758394 6649165.653598195 14.516, 254711.031511831 6649166.427755499 14.648, 254708.9493952296 6649166.723499875 14.738, 254704.83861319613 6649167.261901977 14.912, 254703.3366482277 6649167.993232045 15.019, 254702.9760685398 6649168.834838208 15.024000000000001, 254706.2464060528 6649168.711427376 14.839, 254710.26912393016 6649168.519634135 14.627, 254710.54301489645 6649167.232759162 14.558, 254713.48377052962 6649167.230736801 14.427, 254717.74845537305 6649167.423880415 14.262, 254720.26396111256 6649167.6072034715 14.129, 254726.57514187208 6649168.317678514 13.869, 254732.69779350286 6649169.209064736 13.694, 254738.5831724932 6649170.485739996 13.55, 254744.14133026396 6649171.633403208 13.448, 254745.32628410778 6649172.057224132 13.448, 254750.76819424465 6649173.971033769 13.365, 254756.95323466623 6649176.2563824635 13.345, 254763.34309315 6649179.192286817 13.357000000000001, 254768.63886286935 6649181.709173456 13.290000000000001, 254773.58783682092 6649184.412312841 13.317, 254778.42720469 6649186.528585365 13.319, 254781.09651174984 6649187.928762285 13.313, 254788.31427585502 6649192.168956302 13.355, 254796.656744848 6649197.010260418 13.455, 254805.0499452336 6649201.879105309 13.596, 254813.33569396022 6649207.113401193 13.718, 254822.6950542255 6649212.873069538 13.876, 254830.47168052517 6649217.458342303 14.001, 254839.81511623517 6649222.202637812 14.194, 254848.10614261453 6649226.223704081 14.218, 254857.76023954366 6649230.107820247 14.396, 254869.41483195056 6649233.350937531 14.631, 254885.42553693725 6649235.515900015 14.853, 254889.68917579355 6649237.864347637 14.973, 254892.51385524802 6649238.939929213 15.067, 254899.94231710315 6649239.572964603 15.185, 254907.6897643092 6649239.87959849 15.254, 254913.10497093928 6649240.427344712 15.308, 254914.37227656817 6649240.66282243 15.367, 254921.53294664083 6649241.124268365 15.425, 254930.23841380843 6649241.590999836 15.489, 254938.02118532997 6649242.153650943 15.512, 254949.0905967405 6649242.462797552 15.448, 254959.56979334351 6649242.689945228 15.540000000000001, 254966.15238760097 6649243.015036219 15.516, 254969.49618336427 6649243.180345851 15.567, 254976.2440189501 6649243.521565717 15.611, 254981.79086487138 6649243.560995036 15.803, 254989.31082454475 6649243.995813263 16.006, 255000.10565960096 6649243.483906976 16.31, 255001.19404684493 6649243.508570289 16.383, 255006.64833986986 6649241.833248073 16.48, 255010.25197620073 6649240.999319029 16.641000000000002, 255014.3216256244 6649240.09691092 16.676000000000002, 255017.86074643108 6649239.901844435 16.72, 255022.729501141 6649239.876304804 16.654, 255027.72498846706 6649240.205983924 16.524, 255032.8307104835 6649241.383708766 16.609, 255039.4604633374 6649243.521118596 16.607, 255045.64068890424 6649245.819956318 16.740000000000002, 255046.1815561513 6649244.552024044 16.592, 255047.1885595749 6649241.602962203 16.102, 255047.91054100046 6649239.43136594 15.418000000000001, 255038.12586576972 6649237.9243308 15.207, 255032.79890190755 6649237.40775103 15.302, 255027.36720981792 6649236.999156266 15.246, 255022.05056971117 6649236.651442463 15.187000000000001, 255017.7193974651 6649236.5778837865 15.285, 255013.0483187098 6649236.523161632 15.239, 255006.52269863134 6649236.769624647 15.186, 254998.83566643368 6649237.30451323 15.32, 254989.19561699068 6649238.162599289 15.514000000000001, 254981.00325224717 6649238.797673995 15.791, 254976.54323883486 6649239.517528888 15.843, 254969.3635315422 6649239.841526758 16.099, 254960.47206573063 6649240.036756979 16.421, 254950.91166013072 6649240.1350388555 16.635, 254941.90596944804 6649239.604161255 16.623, 254935.009562006 6649239.109654107 16.612000000000002, 254928.19469418173 6649238.318364762 16.567, 254921.90146242635 6649237.528897732 16.544, 254912.88500840243 6649236.039451293 16.466, 254902.9253063829 6649234.021826232 16.365000000000002, 254894.2966040767 6649231.868156572 16.301000000000002, 254886.43549324136 6649229.990358985 16.238, 254871.35867867956 6649225.188422601 16.104, 254860.7497312088 6649221.1790869925 16.067, 254851.76375796998 6649217.449264411 15.928, 254843.15637587992 6649213.6287650075 15.767, 254834.43902297362 6649209.316884148 15.471, 254825.47435755323 6649204.61653302 15.179, 254817.5819465154 6649200.3492397815 14.935, 254808.16105970633 6649195.2613192415 14.644, 254799.53113222995 6649190.728480196 14.446, 254790.47921824522 6649186.284232165 14.396, 254783.32448835584 6649182.969723026 14.333, 254774.7632131095 6649179.225408996 14.224, 254766.78570901643 6649176.089169843 14.186, 254758.90486422597 6649173.1209831545 14.093, 254752.7588670236 6649170.966723905 14.055, 254748.338029102 6649169.387134744 14.001, 254745.39512058417 6649168.403681315 14.026, 254742.73821407979 6649167.493705102 14.012, 254739.1009108278 6649166.299063709 13.973, 254733.60246564908 6649164.592349056 14.046000000000001, 254726.54826575072 6649162.5276669 14.039, 254725.9857838923 6649161.899570497 14.271, 254722.72489208932 6649160.899803222 14.456, 254717.84700323996 6649159.597872792 14.455, 254712.61634569275 6649158.173271277 14.487, 254707.88820659797 6649156.91600635 14.575000000000001, 254701.8072417741 6649155.311468084 14.574, 254695.9828357948 6649153.788106815 14.554, 254690.8580790289 6649152.467417754 14.555, 254687.7083405347 6649151.662518907 14.566, 254682.81350520402 6649150.561070808 14.523))</t>
  </si>
  <si>
    <t>2023-11-30</t>
  </si>
  <si>
    <t>2025-11-22T09:18:32Z</t>
  </si>
  <si>
    <t>['FV43 S2D100 m191', 'FV43 S2D100 m198-232']</t>
  </si>
  <si>
    <t>LINESTRING Z (11305.094722585985 6469979.899239043 4.678, 11305.247475394455 6469980.131490459 4.712, 11303.93648214126 6469979.324635315 4.715, 11302.907741518226 6469978.846785836 4.716, 11301.40822763479 6469978.170966625 4.699, 11299.510312792147 6469977.365809608 4.674, 11297.930558692897 6469976.806278957 4.675, 11295.832893807266 6469976.0436423505 4.676, 11293.401281016937 6469975.173808072 4.6850000000000005, 11291.261629551707 6469974.366980337 4.7, 11288.716615503305 6469973.296282473 4.751, 11286.529700617422 6469972.347908422 4.798, 11283.704815878067 6469971.09443407 4.89, 11281.116471729474 6469969.992852703 4.965, 11278.826427561406 6469968.884755465 5.05, 11277.42446155299 6469968.173317657 5.089, 11276.68194504449 6469967.681388975 5.093, 11276.435763908434 6469967.222497171 5.084, 11276.337936153286 6469966.292052548 5.059, 11276.456179149623 6469965.47163312 5.026, 11276.918924793717 6469964.546875272 5.003, 11277.754600183689 6469963.287806545 4.965, 11279.023672981595 6469961.645322784 4.898, 11279.930436218681 6469960.635939848 4.851, 11280.98790385155 6469959.826730299 4.781, 11281.985527089913 6469959.135264172 4.703, 11281.964579561434 6469960.05349171 4.74, 11283.572191911808 6469962.242558409 4.7, 11286.253581364464 6469965.192782348 4.652, 11288.2840804882 6469967.36963322 4.62, 11290.514426487614 6469969.353377355 4.525, 11293.046494295646 6469971.2301257495 4.493, 11295.264713905053 6469972.704063248 4.461, 11297.286000637105 6469972.569914661 4.399, 11298.447470243962 6469972.9389646305 4.388, 11299.501134771272 6469973.175159465 4.347, 11300.334087474039 6469974.228604019 4.438, 11303.529496575822 6469978.108010538 4.594, 11305.094722585985 6469979.899239043 4.678)</t>
  </si>
  <si>
    <t>['FV43 S2D1 m351-357']</t>
  </si>
  <si>
    <t>LINESTRING Z (11237.03 6469955.59 5.8100000000000005, 11237.24 6469955.74 5.8100000000000005, 11240.14 6469957.78 5.68, 11239.050000000001 6469959.57 5.73, 11238.29 6469959.08 5.61, 11237.14 6469960.890000001 5.62, 11236.19 6469962.37 5.62, 11235.94 6469962.71 5.63, 11235.58 6469962.88 5.64, 11235.26 6469963.0600000005 5.64, 11234.61 6469962.65 5.67, 11234.19 6469962.140000001 5.69, 11233.85 6469961.62 5.7, 11233.6 6469961.09 5.72, 11233.45 6469960.51 5.75, 11233.33 6469959.88 5.78, 11233.28 6469959.3100000005 5.8100000000000005, 11233.27 6469958.7 5.82, 11233.68 6469957.61 5.83, 11234 6469956.98 5.84, 11234.41 6469956.5600000005 5.84, 11235.050000000001 6469956.25 5.83, 11236.65 6469955.640000001 5.8100000000000005, 11237.03 6469955.59 5.8100000000000005)</t>
  </si>
  <si>
    <t>['FV43 S2D1 m391-423']</t>
  </si>
  <si>
    <t>LINESTRING Z (11272.874539763317 6469970.337118679 5.175000000000001, 11273.376489174902 6469969.227507018 5.189, 11273.867718026624 6469969.323846634 5.166, 11274.422657434421 6469969.579857206 5.146, 11278.125088385073 6469971.38594351 4.997, 11279.409222054877 6469971.989041146 4.945, 11283.919447027554 6469974.012996415 4.807, 11288.249056573433 6469975.800150199 4.744, 11291.56795335887 6469977.108177679 4.683, 11294.894621010637 6469978.381870625 4.678, 11297.142820042092 6469979.184022593 4.68, 11297.321082454524 6469979.426175117 4.699, 11297.5001684468 6469979.77837451 4.69, 11297.970006796415 6469979.873385435 4.68, 11298.04013766488 6469979.940280616 4.648, 11299.096218930616 6469981.358527265 4.688, 11301.084963263944 6469982.871681986 4.739, 11302.115661447751 6469984.145606561 4.7620000000000005, 11301.523668347567 6469985.111014538 4.692, 11301.284011626674 6469985.55153971 4.75529552653721, 11298.943970536056 6469984.316558665 4.746, 11294.194185571163 6469981.782344618 4.743, 11288.868197206815 6469978.856370303 4.809, 11284.113016056072 6469976.295554954 4.929, 11279.009525192669 6469973.593993893 5.049, 11274.638360329147 6469971.319967343 5.144, 11272.874539763317 6469970.337118679 5.175)</t>
  </si>
  <si>
    <t>['FV43 S2D100 m188-191', 'FV43 S2D100 m191-200', 'FV43 S2D100 m232']</t>
  </si>
  <si>
    <t>LINESTRING Z (11265.657395907678 6469961.7668934995 5.4694, 11266.033655091072 6469962.009859765 5.452, 11268.013865329849 6469963.208802576 5.36, 11269.417530988983 6469963.965500291 5.309, 11271.016678511107 6469964.861109788 5.259, 11272.034701675118 6469965.461586892 5.234, 11272.78967311245 6469965.693231396 5.207, 11273.552015312074 6469965.672310606 5.161, 11274.45414563507 6469965.255705273 5.119, 11275.73921269452 6469963.723364839 5.037, 11276.490239100764 6469962.61752432 5.004, 11278.057776482077 6469960.515771665 4.928, 11278.961622957257 6469959.475431302 4.881, 11280.54614083661 6469957.818193425 4.772, 11278.750188136532 6469957.689304466 4.836, 11276.48703693063 6469955.58239054 4.8629999999999995, 11275.064009317139 6469954.099533112 4.864, 11273.546414876299 6469953.464408327 4.879, 11272.65457929601 6469953.731154727 4.963, 11270.784278838953 6469956.592858827 5.111, 11268.865757085849 6469959.536472797 5.2780000000000005, 11266.68300690921 6469960.859315783 5.414, 11265.730449817725 6469961.714839425 5.446, 11265.657395907678 6469961.7668934995 5.4694)</t>
  </si>
  <si>
    <t>['FV43 S2D1 m418-451']</t>
  </si>
  <si>
    <t>LINESTRING (11301.28 6469985.55, 11313.16 6469992.63, 11321.02 6469996.850000001, 11324.800000000001 6469998.74, 11325.960000000001 6469999.03, 11326.11 6469997.57, 11323.630000000001 6469995.390000001, 11309.23 6469986.37, 11298.04 6469979.94, 11299.1 6469981.36, 11301.08 6469982.87, 11302.12 6469984.15, 11301.28 6469985.55)</t>
  </si>
  <si>
    <t>['FV43 S2D1 m1022-1026']</t>
  </si>
  <si>
    <t>LINESTRING Z (11848.641652483435 6469954.077354209 13.89, 11846.692415136262 6469952.333844763 14.13, 11844.690037587075 6469950.091798739 14.35, 11843.009849270398 6469947.920039942 14.81, 11842.434352082142 6469946.012359291 15.200000000000001, 11842.560679339047 6469944.379443404 15.530000000000001, 11843.175449433329 6469942.613823408 15.870000000000001, 11844.086281353375 6469941.588772366 15.98, 11847.400730878522 6469940.551853129 16.2, 11851.093181216449 6469940.184474454 16.330000000000002, 11858.283769802481 6469940.626401762 16.48, 11869.794482894416 6469941.904727469 16.77, 11870.86042518745 6469944.093777194 16.55, 11874.655149210885 6469943.895323625 16.67, 11875.957343669666 6469942.689251356 16.69, 11877.234303881414 6469941.284269291 16.92, 11891.741803087643 6469940.535208437 17.04, 11908.102352833725 6469939.258003499 16.98, 11908.916024365986 6469940.175439691 16.98, 11907.291789643117 6469941.392049741 16.1, 11903.83231784188 6469942.002722174 16.11, 11899.485250014579 6469942.06913654 15.88, 11898.972090076888 6469942.962892788 15.13, 11893.44915115228 6469943.956609077 15.06, 11892.885739232705 6469946.605001373 15.4, 11890.989042706904 6469947.745015933 15.69, 11887.36851565697 6469947.325142888 14.950000000000001, 11884.268049844599 6469946.384543378 14.98, 11871.789425997064 6469948.230360987 14.71, 11869.411267601477 6469947.885305193 14.9, 11866.670689588704 6469948.586677128 14.77, 11865.475816707534 6469950.001456763 14.24, 11861.09096765588 6469950.486992244 13.94, 11855.659834932769 6469952.04507924 13.870000000000001, 11848.70652052859 6469954.19039158 13.88)</t>
  </si>
  <si>
    <t>['FV43 S2D1 m1000-1005']</t>
  </si>
  <si>
    <t>LINESTRING Z (11821.378868579282 6469940.07357719 16.01, 11825.633535172266 6469940.473635983 16.05, 11827.97999985161 6469941.843374861 15.93, 11832.02446900506 6469944.250789787 15.64, 11835.924133564462 6469947.03026942 15.280000000000001, 11839.36058949551 6469950.141362871 14.790000000000001, 11840.13388698775 6469950.740543853 14.780000000000001, 11839.320142443816 6469949.105621334 14.99, 11838.789922514698 6469946.121007145 15.35, 11839.078053238452 6469943.214474815 15.67, 11840.366669775802 6469940.706507327 15.98, 11843.448667981196 6469937.677965469 16.32, 11834.907565363275 6469938.539190334 16.21, 11821.419764082064 6469939.997650135 16.05)</t>
  </si>
  <si>
    <t>['FV5452 S1D1 m1245-1278']</t>
  </si>
  <si>
    <t>LINESTRING Z (-26179.94668809022 6753890.93349812 34.99, -26181.10173351667 6753892.942978042 35.13, -26184.225202118163 6753894.02528337 35.26, -26186.596065099584 6753894.9680148745 35.42, -26188.68304701452 6753896.589679854 35.550000000000004, -26189.579535211902 6753898.343790231 35.57, -26189.383717860444 6753901.135700169 35.660000000000004, -26188.35481002892 6753902.3606011355 35.63, -26187.96232880419 6753903.674127907 35.58, -26188.081366338767 6753905.6690920545 35.67, -26187.400187561056 6753909.030801868 35.72, -26186.68427249184 6753912.661247593 35.74, -26185.937670945772 6753916.07738032 35.81, -26185.039129049634 6753917.74731058 35.86, -26183.901950075408 6753918.176715634 35.87, -26182.947601870168 6753922.429838269 35.92, -26184.40403989982 6753923.459854556 35.95, -26182.929131683777 6753923.838119764 35.56, -26181.148084806046 6753922.28481858 35.38, -26181.270613637054 6753919.194115722 35.01, -26183.537450690405 6753911.284731774 34.52, -26184.88527945988 6753903.512567593 34.6, -26186.364266116172 6753899.468736927 34.87, -26181.97733082238 6753894.705242156 34.88, -26180.549403922632 6753893.254850016 34.87, -26179.52747453295 6753891.660438116 34.74, -26179.94668809022 6753890.93349812 34.99)</t>
  </si>
  <si>
    <t>POLYGON Z ((-26179.94668809022 6753890.93349812 34.99, -26181.10173351667 6753892.942978042 35.13, -26184.225202118163 6753894.02528337 35.26, -26186.596065099584 6753894.9680148745 35.42, -26188.68304701452 6753896.589679854 35.550000000000004, -26189.579535211902 6753898.343790231 35.57, -26189.383717860444 6753901.135700169 35.660000000000004, -26188.35481002892 6753902.3606011355 35.63, -26187.96232880419 6753903.674127907 35.58, -26188.081366338767 6753905.6690920545 35.67, -26187.400187561056 6753909.030801868 35.72, -26186.68427249184 6753912.661247593 35.74, -26185.937670945772 6753916.07738032 35.81, -26185.039129049634 6753917.74731058 35.86, -26183.901950075408 6753918.176715634 35.87, -26182.947601870168 6753922.429838269 35.92, -26184.40403989982 6753923.459854556 35.95, -26182.929131683777 6753923.838119764 35.56, -26181.148084806046 6753922.28481858 35.38, -26181.270613637054 6753919.194115722 35.01, -26183.537450690405 6753911.284731774 34.52, -26184.88527945988 6753903.512567593 34.6, -26186.364266116172 6753899.468736927 34.87, -26181.97733082238 6753894.705242156 34.88, -26180.549403922632 6753893.254850016 34.87, -26179.52747453295 6753891.660438116 34.74, -26179.94668809022 6753890.93349812 34.99))</t>
  </si>
  <si>
    <t>['EV10 S4D1 m6683 SD1 m164-177']</t>
  </si>
  <si>
    <t>LINESTRING Z (428643.86 7555388.16 2.68, 428640.19 7555389.69 2.68, 428635.32 7555392.49 2.68, 428628.52 7555398.61 2.68, 428626.11 7555400.55 2.68, 428623.38 7555400.98 2.68, 428622.99 7555400.04 2.68, 428627.5 7555396.47 2.68, 428630.26 7555392.3 2.68, 428631.42 7555386.83 2.68, 428632.67 7555385.91 2.68, 428635.83 7555390.4 2.68, 428639.03 7555388.62 2.68, 428643.54000000004 7555387.38 2.68, 428643.86 7555388.16 2.68)</t>
  </si>
  <si>
    <t>POLYGON Z ((428643.86 7555388.16 2.68, 428640.19 7555389.69 2.68, 428635.32 7555392.49 2.68, 428628.52 7555398.61 2.68, 428626.11 7555400.55 2.68, 428623.38 7555400.98 2.68, 428622.99 7555400.04 2.68, 428627.5 7555396.47 2.68, 428630.26 7555392.3 2.68, 428631.42 7555386.83 2.68, 428632.67 7555385.91 2.68, 428635.83 7555390.4 2.68, 428639.03 7555388.62 2.68, 428643.54000000004 7555387.38 2.68, 428643.86 7555388.16 2.68))</t>
  </si>
  <si>
    <t>['EV10 S4D1 m6683 SD1 m165-174']</t>
  </si>
  <si>
    <t>LINESTRING Z (428610.46 7555426.41 2.94, 428609.66000000003 7555420.98 2.94, 428615.21 7555418.82 2.94, 428618.95 7555416.45 2.94, 428623.08 7555412.2 2.94, 428625.8 7555407.32 2.94, 428626.12 7555404.59 2.94, 428626.66000000003 7555403.2 2.94, 428630.35000000003 7555399.67 2.94, 428635.01 7555395.55 2.94, 428637.71 7555393.15 2.94, 428641.02 7555391.5200000005 2.94, 428641.18 7555392.87 2.94, 428638.25 7555397.22 2.94, 428635.39 7555404.13 2.94, 428633.97000000003 7555409.850000001 2.94, 428630.86 7555414.75 2.94, 428624.21 7555420.12 2.94, 428616.59 7555426.69 2.94, 428610.46 7555426.41 2.94)</t>
  </si>
  <si>
    <t>POLYGON Z ((428610.46 7555426.41 2.94, 428609.66000000003 7555420.98 2.94, 428615.21 7555418.82 2.94, 428618.95 7555416.45 2.94, 428623.08 7555412.2 2.94, 428625.8 7555407.32 2.94, 428626.12 7555404.59 2.94, 428626.66000000003 7555403.2 2.94, 428630.35000000003 7555399.67 2.94, 428635.01 7555395.55 2.94, 428637.71 7555393.15 2.94, 428641.02 7555391.5200000005 2.94, 428641.18 7555392.87 2.94, 428638.25 7555397.22 2.94, 428635.39 7555404.13 2.94, 428633.97000000003 7555409.850000001 2.94, 428630.86 7555414.75 2.94, 428624.21 7555420.12 2.94, 428616.59 7555426.69 2.94, 428610.46 7555426.41 2.94))</t>
  </si>
  <si>
    <t>['EV10 S4D1 m6683 SD2 m3-109']</t>
  </si>
  <si>
    <t>LINESTRING Z (428605.68 7555428.82 3.58, 428602.81 7555428.57 3.58, 428600.71 7555428.46 3.58, 428592.69 7555432.44 3.58, 428589.68 7555429.87 3.58, 428597.54000000004 7555426.34 3.58, 428596.22000000003 7555423.57 3.58, 428594.04000000004 7555419.71 3.58, 428585.17 7555418.38 3.58, 428583.73 7555415.8 3.58, 428585.98 7555416.23 3.58, 428587.54000000004 7555416.78 3.58, 428588.49 7555417.54 3.58, 428596.45 7555412.96 3.58, 428598.09 7555417.7700000005 3.58, 428600.87 7555424.2700000005 3.58, 428602.88 7555423.59 3.58, 428604.98 7555422.78 3.58, 428605.68 7555428.82 3.58)</t>
  </si>
  <si>
    <t>POLYGON Z ((428605.68 7555428.82 3.58, 428602.81 7555428.57 3.58, 428600.71 7555428.46 3.58, 428592.69 7555432.44 3.58, 428589.68 7555429.87 3.58, 428597.54000000004 7555426.34 3.58, 428596.22000000003 7555423.57 3.58, 428594.04000000004 7555419.71 3.58, 428585.17 7555418.38 3.58, 428583.73 7555415.8 3.58, 428585.98 7555416.23 3.58, 428587.54000000004 7555416.78 3.58, 428588.49 7555417.54 3.58, 428596.45 7555412.96 3.58, 428598.09 7555417.7700000005 3.58, 428600.87 7555424.2700000005 3.58, 428602.88 7555423.59 3.58, 428604.98 7555422.78 3.58, 428605.68 7555428.82 3.58))</t>
  </si>
  <si>
    <t>['EV10 S4D1 m6683 SD1 m3-31', 'EV10 S4D1 m6597-6612']</t>
  </si>
  <si>
    <t>LINESTRING Z (428493.39 7555433.0200000005 3.08, 428489.08 7555434.73 3.08, 428488.9 7555434.76 3.08, 428488.71 7555434.79 3.08, 428488.52 7555434.8100000005 3.08, 428488.34 7555434.82 3.08, 428488.15 7555434.83 3.08, 428487.96 7555434.83 3.08, 428487.78 7555434.82 3.08, 428487.59 7555434.8 3.08, 428487.4 7555434.78 3.08, 428487.22000000003 7555434.75 3.08, 428487.03 7555434.71 3.08, 428486.85000000003 7555434.66 3.08, 428486.67 7555434.61 3.08, 428486.49 7555434.55 3.08, 428486.32 7555434.48 3.08, 428486.14 7555434.41 3.08, 428485.98 7555434.33 3.08, 428485.81 7555434.24 3.08, 428485.65 7555434.15 3.08, 428485.49 7555434.05 3.08, 428485.33 7555433.95 3.08, 428485.18 7555433.83 3.08, 428484.98 7555433.75 3.08, 428484.79000000004 7555433.67 3.08, 428484.60000000003 7555433.57 3.08, 428484.41000000003 7555433.47 3.08, 428484.23 7555433.36 3.08, 428484.05 7555433.24 3.08, 428483.88 7555433.12 3.08, 428483.71 7555432.99 3.08, 428483.54000000004 7555432.850000001 3.08, 428483.38 7555432.71 3.08, 428483.23 7555432.5600000005 3.08, 428483.08 7555432.41 3.08, 428482.94 7555432.25 3.08, 428482.8 7555432.09 3.08, 428482.67 7555431.92 3.08, 428482.54000000004 7555431.75 3.08, 428482.43 7555431.57 3.08, 428482.31 7555431.390000001 3.08, 428482.21 7555431.2 3.08, 428482.11 7555431.01 3.08, 428482.02 7555430.82 3.08, 428481.94 7555430.62 3.08, 428481.86 7555430.42 3.08, 428481.8 7555430.22 3.08, 428481.73 7555430.0200000005 3.08, 428481.68 7555429.8100000005 3.08, 428481.64 7555429.600000001 3.08, 428481.60000000003 7555429.390000001 3.08, 428481.57 7555429.18 3.08, 428481.55 7555428.97 3.08, 428481.53 7555428.75 3.08, 428481.53 7555428.54 3.08, 428481.51 7555428.29 3.08, 428481.51 7555428.03 3.08, 428481.51 7555427.78 3.08, 428481.52 7555427.5200000005 3.08, 428481.53 7555427.2700000005 3.08, 428481.56 7555427.0200000005 3.08, 428481.59 7555426.7700000005 3.08, 428481.63 7555426.5200000005 3.08, 428481.68 7555426.2700000005 3.08, 428481.73 7555426.0200000005 3.08, 428481.79000000004 7555425.7700000005 3.08, 428481.86 7555425.53 3.08, 428481.94 7555425.29 3.08, 428482.02 7555425.05 3.08, 428482.12 7555424.8100000005 3.08, 428482.21 7555424.58 3.08, 428482.32 7555424.350000001 3.08, 428482.43 7555424.12 3.08, 428482.55 7555423.890000001 3.08, 428482.68 7555423.67 3.08, 428482.81 7555423.46 3.08, 428482.95 7555423.25 3.08, 428483.10000000003 7555423.04 3.08, 428483.25 7555422.84 3.08, 428483.41000000003 7555422.640000001 3.08, 428485.10000000003 7555422.25 3.08, 428493.39 7555433.0200000005 3.08)</t>
  </si>
  <si>
    <t>POLYGON Z ((428493.39 7555433.0200000005 3.08, 428489.08 7555434.73 3.08, 428488.9 7555434.76 3.08, 428488.71 7555434.79 3.08, 428488.52 7555434.8100000005 3.08, 428488.34 7555434.82 3.08, 428488.15 7555434.83 3.08, 428487.96 7555434.83 3.08, 428487.78 7555434.82 3.08, 428487.59 7555434.8 3.08, 428487.4 7555434.78 3.08, 428487.22000000003 7555434.75 3.08, 428487.03 7555434.71 3.08, 428486.85000000003 7555434.66 3.08, 428486.67 7555434.61 3.08, 428486.49 7555434.55 3.08, 428486.32 7555434.48 3.08, 428486.14 7555434.41 3.08, 428485.98 7555434.33 3.08, 428485.81 7555434.24 3.08, 428485.65 7555434.15 3.08, 428485.49 7555434.05 3.08, 428485.33 7555433.95 3.08, 428485.18 7555433.83 3.08, 428484.98 7555433.75 3.08, 428484.79000000004 7555433.67 3.08, 428484.60000000003 7555433.57 3.08, 428484.41000000003 7555433.47 3.08, 428484.23 7555433.36 3.08, 428484.05 7555433.24 3.08, 428483.88 7555433.12 3.08, 428483.71 7555432.99 3.08, 428483.54000000004 7555432.850000001 3.08, 428483.38 7555432.71 3.08, 428483.23 7555432.5600000005 3.08, 428483.08 7555432.41 3.08, 428482.94 7555432.25 3.08, 428482.8 7555432.09 3.08, 428482.67 7555431.92 3.08, 428482.54000000004 7555431.75 3.08, 428482.43 7555431.57 3.08, 428482.31 7555431.390000001 3.08, 428482.21 7555431.2 3.08, 428482.11 7555431.01 3.08, 428482.02 7555430.82 3.08, 428481.94 7555430.62 3.08, 428481.86 7555430.42 3.08, 428481.8 7555430.22 3.08, 428481.73 7555430.0200000005 3.08, 428481.68 7555429.8100000005 3.08, 428481.64 7555429.600000001 3.08, 428481.60000000003 7555429.390000001 3.08, 428481.57 7555429.18 3.08, 428481.55 7555428.97 3.08, 428481.53 7555428.75 3.08, 428481.53 7555428.54 3.08, 428481.51 7555428.29 3.08, 428481.51 7555428.03 3.08, 428481.51 7555427.78 3.08, 428481.52 7555427.5200000005 3.08, 428481.53 7555427.2700000005 3.08, 428481.56 7555427.0200000005 3.08, 428481.59 7555426.7700000005 3.08, 428481.63 7555426.5200000005 3.08, 428481.68 7555426.2700000005 3.08, 428481.73 7555426.0200000005 3.08, 428481.79000000004 7555425.7700000005 3.08, 428481.86 7555425.53 3.08, 428481.94 7555425.29 3.08, 428482.02 7555425.05 3.08, 428482.12 7555424.8100000005 3.08, 428482.21 7555424.58 3.08, 428482.32 7555424.350000001 3.08, 428482.43 7555424.12 3.08, 428482.55 7555423.890000001 3.08, 428482.68 7555423.67 3.08, 428482.81 7555423.46 3.08, 428482.95 7555423.25 3.08, 428483.10000000003 7555423.04 3.08, 428483.25 7555422.84 3.08, 428483.41000000003 7555422.640000001 3.08, 428485.10000000003 7555422.25 3.08, 428493.39 7555433.0200000005 3.08))</t>
  </si>
  <si>
    <t>['EV10 S4D1 m6683 SD1 m152-163']</t>
  </si>
  <si>
    <t>LINESTRING Z (428611.44 7555407.22 4.16, 428615.09 7555416.54 4.16, 428617.74 7555414.73 4.16, 428620.44 7555412.21 4.16, 428623.24 7555408.09 4.16, 428624.04000000004 7555404.84 4.16, 428622.9 7555403.5200000005 4.16, 428620.66000000003 7555403.51 4.16, 428611.44 7555407.22 4.16)</t>
  </si>
  <si>
    <t>POLYGON Z ((428611.44 7555407.22 4.16, 428615.09 7555416.54 4.16, 428617.74 7555414.73 4.16, 428620.44 7555412.21 4.16, 428623.24 7555408.09 4.16, 428624.04000000004 7555404.84 4.16, 428622.9 7555403.5200000005 4.16, 428620.66000000003 7555403.51 4.16, 428611.44 7555407.22 4.16))</t>
  </si>
  <si>
    <t>['FV7868 S1D1 m5744 SD1 m7-41']</t>
  </si>
  <si>
    <t>LINESTRING Z (595238.61 7714338.62 5.71, 595238.26 7714337.98 5.71, 595239.33 7714337.01 5.68, 595239.88 7714337.53 5.69, 595239.92 7714338.61 5.69, 595242.49 7714341.62 5.69, 595240.73 7714344.47 5.69, 595236.6900000001 7714348.2700000005 5.69, 595231.36 7714352.53 5.69, 595227.34 7714355.46 5.25, 595220.7000000001 7714361.62 5.25, 595216.9 7714358.74 5.25, 595215.49 7714360.0600000005 5.62, 595214.43 7714359.74 5.62, 595213.83 7714358.890000001 5.62, 595213.61 7714357.93 5.63, 595213.73 7714356.63 5.6000000000000005, 595216.49 7714357.09 5.68, 595218.04 7714349.01 5.76, 595223.39 7714345.5 5.69, 595224.97 7714347.57 5.71, 595238.59 7714338.63 5.71, 595238.61 7714338.62 5.71)</t>
  </si>
  <si>
    <t>POLYGON Z ((595238.61 7714338.62 5.71, 595238.26 7714337.98 5.71, 595239.33 7714337.01 5.68, 595239.88 7714337.53 5.69, 595239.92 7714338.61 5.69, 595242.49 7714341.62 5.69, 595240.73 7714344.47 5.69, 595236.6900000001 7714348.2700000005 5.69, 595231.36 7714352.53 5.69, 595227.34 7714355.46 5.25, 595220.7000000001 7714361.62 5.25, 595216.9 7714358.74 5.25, 595215.49 7714360.0600000005 5.62, 595214.43 7714359.74 5.62, 595213.83 7714358.890000001 5.62, 595213.61 7714357.93 5.63, 595213.73 7714356.63 5.6000000000000005, 595216.49 7714357.09 5.68, 595218.04 7714349.01 5.76, 595223.39 7714345.5 5.69, 595224.97 7714347.57 5.71, 595238.59 7714338.63 5.71, 595238.61 7714338.62 5.71))</t>
  </si>
  <si>
    <t>['FV7868 S1D1 m5744 SD1 m4-16']</t>
  </si>
  <si>
    <t>LINESTRING Z (595219.8200000001 7714327.84 4.8100000000000005, 595222.9400000001 7714328.37 4.8100000000000005, 595223.23 7714329.51 4.8100000000000005, 595227.96 7714333.75 4.8100000000000005, 595229.14 7714333.47 4.8100000000000005, 595229.84 7714332.86 4.8100000000000005, 595231.29 7714333.0200000005 5.32, 595232.58 7714332.9 5.41, 595233.71 7714331.96 5.41, 595236.27 7714332.46 5.41, 595220.4400000001 7714343.54 5.64, 595217.11 7714342.96 5.5200000000000005, 595219.8200000001 7714327.84 4.8100000000000005)</t>
  </si>
  <si>
    <t>POLYGON Z ((595219.8200000001 7714327.84 4.8100000000000005, 595222.9400000001 7714328.37 4.8100000000000005, 595223.23 7714329.51 4.8100000000000005, 595227.96 7714333.75 4.8100000000000005, 595229.14 7714333.47 4.8100000000000005, 595229.84 7714332.86 4.8100000000000005, 595231.29 7714333.0200000005 5.32, 595232.58 7714332.9 5.41, 595233.71 7714331.96 5.41, 595236.27 7714332.46 5.41, 595220.4400000001 7714343.54 5.64, 595217.11 7714342.96 5.5200000000000005, 595219.8200000001 7714327.84 4.8100000000000005))</t>
  </si>
  <si>
    <t>['FV7868 S1D1 m5744 SD1 m13-16']</t>
  </si>
  <si>
    <t>LINESTRING Z (595208.12 7714341.28 5.65, 595203.41 7714340.51 5.61, 595203.67 7714338.61 5.69, 595205.23 7714338.13 5.59, 595206.58 7714338.11 5.57, 595207.18 7714338.2700000005 5.57, 595207.67 7714338.58 5.57, 595207.99 7714338.93 5.57, 595208.14 7714339.19 5.58, 595208.27 7714339.57 5.6000000000000005, 595208.34 7714339.86 5.61, 595208.36 7714340.18 5.61, 595208.1900000001 7714341.3 5.64, 595208.12 7714341.28 5.65)</t>
  </si>
  <si>
    <t>POLYGON Z ((595208.12 7714341.28 5.65, 595203.41 7714340.51 5.61, 595203.67 7714338.61 5.69, 595205.23 7714338.13 5.59, 595206.58 7714338.11 5.57, 595207.18 7714338.2700000005 5.57, 595207.67 7714338.58 5.57, 595207.99 7714338.93 5.57, 595208.14 7714339.19 5.58, 595208.27 7714339.57 5.6000000000000005, 595208.34 7714339.86 5.61, 595208.36 7714340.18 5.61, 595208.1900000001 7714341.3 5.64, 595208.12 7714341.28 5.65))</t>
  </si>
  <si>
    <t>[558]</t>
  </si>
  <si>
    <t>['FV558 S1D1 m3540-3562']</t>
  </si>
  <si>
    <t>LINESTRING Z (-35186.96474660945 6733413.611570578 15.450000000000001, -35186.50505198422 6733413.63591489 15.46, -35186.381600153865 6733413.648362646 15.49, -35186.289372363244 6733413.655216823 15.51, -35186.0552839319 6733413.661703529 15.530000000000001, -35185.70767024194 6733413.6820823215 15.57, -35185.68637277256 6733413.689120232 15.57, -35185.31890594412 6733413.706610365 15.6, -35185.25790219428 6733413.707870959 15.620000000000001, -35184.879064468434 6733413.733843336 15.69, -35184.705979790655 6733413.739069443 15.71, -35184.429296425544 6733413.759631972 15.73, -35184.22498770978 6733413.770451664 15.77, -35184.16398396075 6733413.771712258 15.790000000000001, -35184.12283335207 6733413.77586151 15.8, -35184.01075242425 6733413.779827028 15.82, -35183.753922201344 6733413.803278214 15.88, -35183.58083752589 6733413.808504326 15.92, -35183.49853630841 6733413.816802832 15.94, -35183.33537820366 6733413.82347327 15.98, -35183.19207323843 6733413.83303237 16.02, -35183.13106949045 6733413.834292962 16.04, -35183.06013917271 6733413.834109228 16.05, -35182.92676077795 6733413.845112655 16.1, -35182.905463309144 6733413.852150565 16.1, -35182.88561016973 6733413.849261908 16.11, -35182.569220531965 6733413.864047118 16.17, -35182.455695277546 6733413.877939202 16.2, -35182.13930564164 6733413.8927244125 16.29, -35181.8328425769 6733413.908953949 16.36, -35181.68953761447 6733413.91851305 16.39, -35181.59730982955 6733413.925367224 16.42, -35181.34192394384 6733413.938891839 16.48, -35181.23976958962 6733413.944301685 16.5, -35181.14754180552 6733413.951155859 16.52, -35181.01416341378 6733413.962159288 16.55, -35180.67792064475 6733413.97405584 16.61, -35180.626843468286 6733413.976760762 16.62, -35180.51331821631 6733413.990652848 16.65, -35180.47361193877 6733413.984875529 16.66, -35180.39131072466 6733413.993174035 16.67, -35180.10470080527 6733414.012292231 16.72, -35179.91031867021 6733414.024556251 16.78, -35179.84931492421 6733414.025816846 16.79, -35179.68615682691 6733414.032487285 16.84, -35179.41940004891 6733414.05449414 16.91, -35179.389620340895 6733414.050161151 16.92, -35179.36832287337 6733414.057199061 16.92, -35179.28746598959 6733414.055570995 16.95, -35179.27501823357 6733413.932119173 16.96, -35179.24597346783 6733413.644064929 16.98, -35179.2391192927 6733413.551837144 17, -35179.23641436908 6733413.500759971 17, -35179.15812977415 6733412.506107499 17.17, -35179.15686917922 6733412.445103754 17.17, -35179.14857067377 6733412.362802539 17.17, -35179.13052933279 6733412.208126681 17.17, -35179.12638007954 6733412.166976076 17.18, -35179.12367515545 6733412.1158989 17.18, -35179.09355352179 6733411.695910594 17.19, -35179.07154665969 6733411.429153814 17.2, -35179.05639397481 6733411.254624819 17.22, -35179.03998069349 6733411.019092081 17.22, -35179.005526067456 6733410.628883482 17.2, -35178.995783231105 6733410.556508838 17.2, -35179.008598457905 6733410.5381000275 17.19, -35179.05697070842 6733410.484317926 17.17, -35179.14089998207 6733410.395162536 17.14, -35179.38420556253 6733410.116325459 17.07, -35179.432577813044 6733410.062543356 17.06, -35179.5535084384 6733409.928088105 17.03, -35179.62751114287 6733409.837488381 17, -35179.724255643436 6733409.729924177 16.97, -35179.79681401886 6733409.649251024 16.95, -35179.84518626891 6733409.595468923 16.93, -35179.95474599651 6733409.469495907 16.89, -35180.06286139495 6733409.353449461 16.86, -35180.16105022421 6733409.235958686 16.830000000000002, -35180.22223770118 6733409.163767774 16.8, -35180.34316832665 6733409.029312517 16.77, -35180.513915531104 6733408.831148584 16.73, -35180.54947255424 6733408.795775292 16.72, -35180.57510300784 6733408.758957673 16.71, -35180.75577678147 6733408.562238069 16.65, -35180.8767074066 6733408.42778281 16.62, -35180.98608340311 6733408.3727401085 16.6, -35181.02867833874 6733408.3586642835 16.580000000000002, -35181.331175874686 6733408.230353801 16.490000000000002, -35181.40643917676 6733408.200757822 16.48, -35181.68763924588 6733408.079485249 16.41, -35181.95891274628 6733407.956768347 16.330000000000002, -35182.09951278183 6733407.896132058 16.3, -35182.35797105613 6733407.791823968 16.240000000000002, -35182.3807128527 6733407.774859486 16.23, -35182.413381219376 6733407.759339332 16.22, -35182.542610357166 6733407.707185283 16.17, -35182.671839494724 6733407.655031238 16.13, -35182.96441046626 6733407.525276419 16.01, -35183.13623454131 6733407.459046545 15.96, -35183.37483967852 6733407.351849795 15.88, -35183.49414224783 6733407.298251418 15.85, -35183.569405551534 6733407.268655438 15.82, -35183.64611318393 6733407.229132887 15.8, -35183.78526889323 6733407.178423166 15.75, -35184.00113223551 6733407.0881908955 15.68, -35184.120434805285 6733407.0345925195 15.65, -35184.218439906486 6733406.988032056 15.620000000000001, -35184.28107171296 6733406.9059145665 15.59, -35184.346592176706 6733406.803943938 15.55, -35184.3608517322 6733406.7756085545 15.540000000000001, -35184.57582193427 6733406.482511894 15.38, -35184.5886371613 6733406.464103082 15.370000000000001, -35184.60289671668 6733406.435767701 15.35, -35184.83212647354 6733406.114335654 15.13, -35184.897646936704 6733406.012365024 15.07, -35185.115505794296 6733405.699415216 14.96, -35185.245102390996 6733405.505400525 14.9, -35185.37181033136 6733405.331238973 14.84, -35185.56548306206 6733405.045180216 14.700000000000001, -35185.57829828898 6733405.026771404 14.69, -35185.807528042584 6733404.705339352 14.57, -35185.836047152756 6733404.648668584 14.55, -35185.91149418522 6733404.5481422795 14.49, -35185.9371246387 6733404.511324653 14.48, -35186.00120077224 6733404.419280592 14.44, -35186.025386897614 6733404.392389537 14.43, -35186.25750530674 6733404.051104339 14.27, -35186.31021054159 6733403.967542517 14.23, -35186.47536416026 6733403.73815452 14.13, -35186.56507074658 6733403.60929283 14.09, -35186.61633165297 6733403.535657582 14.07, -35186.79718915385 6733403.268007628 14.01, -35186.87263618526 6733403.167481321 13.98, -35186.89826663851 6733403.130663694 13.97, -35187.00367710681 6733402.963540049 13.93, -35187.14464459894 6733402.761043105 13.9, -35187.18020162266 6733402.725669807 13.89, -35187.271352536394 6733402.586881544 13.85, -35187.398060473264 6733402.412719983 13.790000000000001, -35187.41232002759 6733402.3843845995 13.77, -35187.52765706589 6733402.218705281 13.74, -35187.56610274548 6733402.163478838 13.73, -35187.76970204071 6733401.878864395 13.66, -35187.796776821604 6733401.832120195 13.64, -35188.09257843718 6733402.098167575 13.65, -35188.11946949293 6733402.122353701 13.65, -35188.14636054891 6733402.146539826 13.65, -35188.27088925848 6733402.266026123 13.64, -35188.48601770587 6733402.459515129 13.67, -35188.558208631584 6733402.520702604 13.67, -35188.69266391161 6733402.641633235 13.67, -35188.89786578866 6733402.833677912 13.63, -35188.93468341546 6733402.859308367 13.63, -35189.12780496944 6733402.786040562 13.63, -35189.247107543866 6733402.732442177 13.61, -35189.376336689806 6733402.6802881155 13.61, -35189.409005058114 6733402.66476796 13.61, -35189.62486841064 6733402.574535669 13.6, -35189.66890767787 6733402.550533269 13.6, -35189.8620292336 6733402.477265463 13.6, -35190.023926748545 6733402.409591245 13.61, -35190.10063438467 6733402.370068686 13.61, -35190.370463577565 6733402.257278322 13.6, -35190.46702435578 6733402.220644419 13.6, -35190.48832182551 6733402.213606506 13.6, -35190.5096192956 6733402.206568589 13.59, -35190.92004853615 6733402.033141919 13.55, -35190.95271690504 6733402.017621761 13.55, -35191.072019482264 6733401.964023371 13.56, -35191.363146147574 6733401.844195089 13.57, -35191.588936075335 6733401.755407126 13.58, -35191.69686775422 6733401.710290978 13.59, -35191.7622044927 6733401.67925066 13.6, -35192.020662791096 6733401.574942532 13.64, -35192.04340458941 6733401.557978048 13.64, -35192.1230008828 6733401.498602346 13.66, -35192.239598529995 6733401.3939267695 13.65, -35192.35475184908 6733401.299177764 13.65, -35192.40167977323 6733401.255322222 13.64, -35192.45853426878 6733401.212911004 13.63, -35192.72439793241 6733400.988039694 13.64, -35192.862293049926 6733400.876326201 13.63, -35192.896405747975 6733400.850879467 13.64, -35192.930518445326 6733400.825432738 13.64, -35192.94333367236 6733400.807023924 13.64, -35193.072930270224 6733400.613009205 13.63, -35193.11282027897 6733400.547856187 13.620000000000001, -35193.189711640705 6733400.4374033 13.63, -35193.29078912886 6733400.300059351 13.63, -35193.39475527243 6733400.142862259 13.61, -35193.52435186948 6733399.948847538 13.5, -35193.64257756749 6733399.7633150555 13.44, -35193.75647028175 6733399.607562292 13.4, -35193.92740121402 6733399.33846798 13.26, -35193.96295823925 6733399.303094675 13.25, -35194.30426893593 6733398.9776970325 13.17, -35194.5531681116 6733398.73008391 13.120000000000001, -35194.695396212395 6733398.588590696 13.1, -35194.78925206093 6733398.5008796 13.1, -35194.8361799852 6733398.457024052 13.09, -35194.991223312216 6733398.297122022 13.120000000000001, -35195.46428437438 6733398.041577815 13.27, -35195.48702617281 6733398.024613325 13.280000000000001, -35195.85071122716 6733397.824111841 13.31, -35196.07235190214 6733397.694173243 13.43, -35196.18172791228 6733397.639130516 13.46, -35196.20880269341 6733397.592386312 13.450000000000001, -35196.32865643769 6733397.325996923 13.34, -35196.592733771075 6733396.695396744 13.35, -35196.66547586897 6733396.543793232 13.42, -35196.67829109554 6733396.525384415 13.43, -35196.74110662099 6733396.372336574 13.47, -35196.75969915732 6733396.31422147 13.49, -35196.92666454229 6733395.933046194 13.46, -35197.00318846258 6733395.964453956 13.57, -35197.343396842014 6733396.064638275 14, -35197.59571040282 6733396.141897073 14.35, -35197.71194061148 6733396.179082145 14.530000000000001, -35197.73179375555 6733396.181970799 14.540000000000001, -35198.02381360473 6733396.265006913 14.72, -35198.100337525946 6733396.296414675 14.790000000000001, -35198.556776119745 6733396.4337840695 15.13, -35198.71271261817 6733396.476746451 15.27, -35198.78075429506 6733396.496783316 15.34, -35198.9749527548 6733396.555449581 15.530000000000001, -35199.305234570056 6733396.654189578 15.82, -35199.35342310346 6733396.671337784 15.860000000000001, -35199.43139135302 6733396.692818979 15.93, -35199.72196688119 6733396.785781665 16, -35199.91616534279 6733396.844447932 16.01, -35199.96579820395 6733396.851669569 16.01, -35200.33434198424 6733396.966113452 15.99, -35200.37260394625 6733396.98181733 15.99, -35200.4902784857 6733397.009075834 15.98, -35200.52854044782 6733397.024779715 15.98, -35200.5583201648 6733397.0291126985 15.98, -35200.664623804856 6733397.064853448 15.99, -35200.56877246115 6733397.375282125 15.97, -35200.46136649477 6733397.765123383 15.98, -35200.42273709108 6733397.891280168 15.97, -35200.36695947626 6733398.065625489 15.97, -35200.31118186121 6733398.239970806 15.96, -35200.266775145545 6733398.405833884 15.96, -35200.23825603502 6733398.462504658 15.96, -35200.0799565973 6733398.784120511 15.93, -35199.97580672498 6733399.012247954 15.91, -35199.901620291756 6733399.173778043 15.89, -35199.84313774132 6733399.2970461715 15.88, -35199.72617264022 6733399.543582428 15.88, -35199.65487486147 6733399.685259374 15.860000000000001, -35199.579244099325 6733399.856716031 15.870000000000001, -35199.37527733366 6733400.28319119 15.870000000000001, -35199.33394299401 6733400.358270782 15.860000000000001, -35199.25831223035 6733400.529727442 15.82, -35199.155606682296 6733400.747928305 15.82, -35199.12564324238 6733400.814525654 15.82, -35199.111383686075 6733400.842861043 15.81, -35198.99441858125 6733401.089397294 15.77, -35198.953084240784 6733401.164476888 15.76, -35198.91030557244 6733401.249483054 15.77, -35198.83341420372 6733401.35993595 15.77, -35198.68107579404 6733401.570915171 15.73, -35198.604184425436 6733401.681368065 15.71, -35198.464661243255 6733401.873938471 15.71, -35198.43903078686 6733401.910756101 15.72, -35198.30095193314 6733402.093399934 15.72, -35198.28669237625 6733402.121735321 15.71, -35198.111612165696 6733402.349679028 15.68, -35197.98201555479 6733402.543693757 15.68, -35197.91234582639 6733402.60451379 15.67, -35197.85404699796 6733402.65685158 15.67, -35197.72318978445 6733402.789862549 15.66, -35197.69900365628 6733402.816753607 15.66, -35197.43873355724 6733403.072848972 15.64, -35197.404620857094 6733403.098295703 15.63, -35197.20409391506 6733403.292126704 15.6, -35197.04905057303 6733403.452028728 15.56, -35196.953750388115 6733403.549666393 15.57, -35196.753223445965 6733403.74349739 15.58, -35196.37798374577 6733404.023411423 15.540000000000001, -35196.33250014577 6733404.0573403975 15.530000000000001, -35196.28701654589 6733404.09126937 15.52, -35196.22871771746 6733404.143607159 15.51, -35195.9458895463 6733404.345736671 15.46, -35195.785252618836 6733404.474414647 15.450000000000001, -35195.684358847444 6733404.540828263 15.450000000000001, -35195.18259492167 6733404.923973536 15.51, -35194.71638802579 6733405.271745501 15.51, -35194.57993722719 6733405.373532417 15.52, -35194.48752569966 6733405.451316932 15.52, -35194.06680240482 6733405.765159921 15.51, -35194.00994790543 6733405.807571135 15.5, -35193.97583520587 6733405.833017863 15.51, -35193.862126207794 6733405.917840291 15.5, -35193.61900432571 6733406.125747103 15.5, -35193.43562560028 6733406.271389557 15.51, -35193.16976191907 6733406.496260856 15.52, -35193.112907419796 6733406.538672068 15.51, -35192.9721236364 6733406.670238694 15.52, -35192.76455878315 6733406.8427722035 15.530000000000001, -35192.68496248487 6733406.902147898 15.530000000000001, -35192.43191403255 6733407.1086103795 15.540000000000001, -35192.373615205404 6733407.160948162 15.530000000000001, -35192.211533951224 6733407.299552701 15.530000000000001, -35192.03808179812 6733407.44663948 15.52, -35191.864629644784 6733407.593726257 15.530000000000001, -35191.78358901793 6733407.663028524 15.530000000000001, -35191.61013686482 6733407.810115302 15.52, -35191.38127454219 6733407.989686717 15.51, -35191.29878958652 6733408.068915555 15.51, -35191.11541086284 6733408.214558001 15.51, -35191.045741136186 6733408.275378025 15.51, -35190.8268053846 6733408.456393769 15.52, -35190.721578629804 6733408.55258709 15.530000000000001, -35190.58368350519 6733408.6643005675 15.52, -35190.514013778535 6733408.725120588 15.52, -35190.445788380806 6733408.776014039 15.52, -35190.296522356686 6733408.896209757 15.530000000000001, -35190.23822352942 6733408.948547539 15.530000000000001, -35189.98373075132 6733409.164936573 15.52, -35189.926876253216 6733409.207347781 15.52, -35189.776165900286 6733409.33747007 15.530000000000001, -35189.61552897724 6733409.466148025 15.530000000000001, -35189.581416278495 6733409.491594752 15.530000000000001, -35189.50037565234 6733409.560897017 15.530000000000001, -35189.46337429574 6733409.606196883 15.52, -35189.308147224365 6733409.837029205 15.52, -35189.28251676704 6733409.873846829 15.530000000000001, -35189.228367195 6733409.9673352195 15.52, -35189.08884400944 6733410.159905587 15.52, -35188.97206262313 6733410.335511468 15.530000000000001, -35188.93361693702 6733410.390737905 15.530000000000001, -35188.843910336844 6733410.519599591 15.530000000000001, -35188.75420373632 6733410.648461278 15.51, -35188.61179189209 6733410.860884781 15.530000000000001, -35188.50927006244 6733411.008155277 15.52, -35188.46938004717 6733411.073308288 15.51, -35188.445193918655 6733411.10019934 15.51, -35188.41667480336 6733411.156870105 15.5, -35188.30278207385 6733411.312622842 15.49, -35188.25152115908 6733411.386258091 15.48, -35188.18311202794 6733411.508081862 15.47, -35188.12751812523 6733411.611496824 15.47, -35188.007848078734 6733411.8069558395 15.47, -35187.872474144795 6733412.04067681 15.49, -35187.85821458674 6733412.069012192 15.49, -35187.804065012955 6733412.162500581 15.48, -35187.68295063602 6733412.36788617 15.47, -35187.640171961626 6733412.452892315 15.47, -35187.598837616504 6733412.527971891 15.47, -35187.51905758458 6733412.658277901 15.46, -35187.42357366497 6733412.826845863 15.44, -35187.28819972859 6733413.060566831 15.44, -35187.235494483495 6733413.144128648 15.43, -35187.04597097181 6733413.471337998 15.44, -35186.96474660945 6733413.611570578 15.450000000000001)</t>
  </si>
  <si>
    <t>POLYGON Z ((-35186.96474660945 6733413.611570578 15.450000000000001, -35186.50505198422 6733413.63591489 15.46, -35186.381600153865 6733413.648362646 15.49, -35186.289372363244 6733413.655216823 15.51, -35186.0552839319 6733413.661703529 15.530000000000001, -35185.70767024194 6733413.6820823215 15.57, -35185.68637277256 6733413.689120232 15.57, -35185.31890594412 6733413.706610365 15.6, -35185.25790219428 6733413.707870959 15.620000000000001, -35184.879064468434 6733413.733843336 15.69, -35184.705979790655 6733413.739069443 15.71, -35184.429296425544 6733413.759631972 15.73, -35184.22498770978 6733413.770451664 15.77, -35184.16398396075 6733413.771712258 15.790000000000001, -35184.12283335207 6733413.77586151 15.8, -35184.01075242425 6733413.779827028 15.82, -35183.753922201344 6733413.803278214 15.88, -35183.58083752589 6733413.808504326 15.92, -35183.49853630841 6733413.816802832 15.94, -35183.33537820366 6733413.82347327 15.98, -35183.19207323843 6733413.83303237 16.02, -35183.13106949045 6733413.834292962 16.04, -35183.06013917271 6733413.834109228 16.05, -35182.92676077795 6733413.845112655 16.1, -35182.905463309144 6733413.852150565 16.1, -35182.88561016973 6733413.849261908 16.11, -35182.569220531965 6733413.864047118 16.17, -35182.455695277546 6733413.877939202 16.2, -35182.13930564164 6733413.8927244125 16.29, -35181.8328425769 6733413.908953949 16.36, -35181.68953761447 6733413.91851305 16.39, -35181.59730982955 6733413.925367224 16.42, -35181.34192394384 6733413.938891839 16.48, -35181.23976958962 6733413.944301685 16.5, -35181.14754180552 6733413.951155859 16.52, -35181.01416341378 6733413.962159288 16.55, -35180.67792064475 6733413.97405584 16.61, -35180.626843468286 6733413.976760762 16.62, -35180.51331821631 6733413.990652848 16.65, -35180.47361193877 6733413.984875529 16.66, -35180.39131072466 6733413.993174035 16.67, -35180.10470080527 6733414.012292231 16.72, -35179.91031867021 6733414.024556251 16.78, -35179.84931492421 6733414.025816846 16.79, -35179.68615682691 6733414.032487285 16.84, -35179.41940004891 6733414.05449414 16.91, -35179.389620340895 6733414.050161151 16.92, -35179.36832287337 6733414.057199061 16.92, -35179.28746598959 6733414.055570995 16.95, -35179.27501823357 6733413.932119173 16.96, -35179.24597346783 6733413.644064929 16.98, -35179.2391192927 6733413.551837144 17, -35179.23641436908 6733413.500759971 17, -35179.15812977415 6733412.506107499 17.17, -35179.15686917922 6733412.445103754 17.17, -35179.14857067377 6733412.362802539 17.17, -35179.13052933279 6733412.208126681 17.17, -35179.12638007954 6733412.166976076 17.18, -35179.12367515545 6733412.1158989 17.18, -35179.09355352179 6733411.695910594 17.19, -35179.07154665969 6733411.429153814 17.2, -35179.05639397481 6733411.254624819 17.22, -35179.03998069349 6733411.019092081 17.22, -35179.005526067456 6733410.628883482 17.2, -35178.995783231105 6733410.556508838 17.2, -35179.008598457905 6733410.5381000275 17.19, -35179.05697070842 6733410.484317926 17.17, -35179.14089998207 6733410.395162536 17.14, -35179.38420556253 6733410.116325459 17.07, -35179.432577813044 6733410.062543356 17.06, -35179.5535084384 6733409.928088105 17.03, -35179.62751114287 6733409.837488381 17, -35179.724255643436 6733409.729924177 16.97, -35179.79681401886 6733409.649251024 16.95, -35179.84518626891 6733409.595468923 16.93, -35179.95474599651 6733409.469495907 16.89, -35180.06286139495 6733409.353449461 16.86, -35180.16105022421 6733409.235958686 16.830000000000002, -35180.22223770118 6733409.163767774 16.8, -35180.34316832665 6733409.029312517 16.77, -35180.513915531104 6733408.831148584 16.73, -35180.54947255424 6733408.795775292 16.72, -35180.57510300784 6733408.758957673 16.71, -35180.75577678147 6733408.562238069 16.65, -35180.8767074066 6733408.42778281 16.62, -35180.98608340311 6733408.3727401085 16.6, -35181.02867833874 6733408.3586642835 16.580000000000002, -35181.331175874686 6733408.230353801 16.490000000000002, -35181.40643917676 6733408.200757822 16.48, -35181.68763924588 6733408.079485249 16.41, -35181.95891274628 6733407.956768347 16.330000000000002, -35182.09951278183 6733407.896132058 16.3, -35182.35797105613 6733407.791823968 16.240000000000002, -35182.3807128527 6733407.774859486 16.23, -35182.413381219376 6733407.759339332 16.22, -35182.542610357166 6733407.707185283 16.17, -35182.671839494724 6733407.655031238 16.13, -35182.96441046626 6733407.525276419 16.01, -35183.13623454131 6733407.459046545 15.96, -35183.37483967852 6733407.351849795 15.88, -35183.49414224783 6733407.298251418 15.85, -35183.569405551534 6733407.268655438 15.82, -35183.64611318393 6733407.229132887 15.8, -35183.78526889323 6733407.178423166 15.75, -35184.00113223551 6733407.0881908955 15.68, -35184.120434805285 6733407.0345925195 15.65, -35184.218439906486 6733406.988032056 15.620000000000001, -35184.28107171296 6733406.9059145665 15.59, -35184.346592176706 6733406.803943938 15.55, -35184.3608517322 6733406.7756085545 15.540000000000001, -35184.57582193427 6733406.482511894 15.38, -35184.5886371613 6733406.464103082 15.370000000000001, -35184.60289671668 6733406.435767701 15.35, -35184.83212647354 6733406.114335654 15.13, -35184.897646936704 6733406.012365024 15.07, -35185.115505794296 6733405.699415216 14.96, -35185.245102390996 6733405.505400525 14.9, -35185.37181033136 6733405.331238973 14.84, -35185.56548306206 6733405.045180216 14.700000000000001, -35185.57829828898 6733405.026771404 14.69, -35185.807528042584 6733404.705339352 14.57, -35185.836047152756 6733404.648668584 14.55, -35185.91149418522 6733404.5481422795 14.49, -35185.9371246387 6733404.511324653 14.48, -35186.00120077224 6733404.419280592 14.44, -35186.025386897614 6733404.392389537 14.43, -35186.25750530674 6733404.051104339 14.27, -35186.31021054159 6733403.967542517 14.23, -35186.47536416026 6733403.73815452 14.13, -35186.56507074658 6733403.60929283 14.09, -35186.61633165297 6733403.535657582 14.07, -35186.79718915385 6733403.268007628 14.01, -35186.87263618526 6733403.167481321 13.98, -35186.89826663851 6733403.130663694 13.97, -35187.00367710681 6733402.963540049 13.93, -35187.14464459894 6733402.761043105 13.9, -35187.18020162266 6733402.725669807 13.89, -35187.271352536394 6733402.586881544 13.85, -35187.398060473264 6733402.412719983 13.790000000000001, -35187.41232002759 6733402.3843845995 13.77, -35187.52765706589 6733402.218705281 13.74, -35187.56610274548 6733402.163478838 13.73, -35187.76970204071 6733401.878864395 13.66, -35187.796776821604 6733401.832120195 13.64, -35188.09257843718 6733402.098167575 13.65, -35188.11946949293 6733402.122353701 13.65, -35188.14636054891 6733402.146539826 13.65, -35188.27088925848 6733402.266026123 13.64, -35188.48601770587 6733402.459515129 13.67, -35188.558208631584 6733402.520702604 13.67, -35188.69266391161 6733402.641633235 13.67, -35188.89786578866 6733402.833677912 13.63, -35188.93468341546 6733402.859308367 13.63, -35189.12780496944 6733402.786040562 13.63, -35189.247107543866 6733402.732442177 13.61, -35189.376336689806 6733402.6802881155 13.61, -35189.409005058114 6733402.66476796 13.61, -35189.62486841064 6733402.574535669 13.6, -35189.66890767787 6733402.550533269 13.6, -35189.8620292336 6733402.477265463 13.6, -35190.023926748545 6733402.409591245 13.61, -35190.10063438467 6733402.370068686 13.61, -35190.370463577565 6733402.257278322 13.6, -35190.46702435578 6733402.220644419 13.6, -35190.48832182551 6733402.213606506 13.6, -35190.5096192956 6733402.206568589 13.59, -35190.92004853615 6733402.033141919 13.55, -35190.95271690504 6733402.017621761 13.55, -35191.072019482264 6733401.964023371 13.56, -35191.363146147574 6733401.844195089 13.57, -35191.588936075335 6733401.755407126 13.58, -35191.69686775422 6733401.710290978 13.59, -35191.7622044927 6733401.67925066 13.6, -35192.020662791096 6733401.574942532 13.64, -35192.04340458941 6733401.557978048 13.64, -35192.1230008828 6733401.498602346 13.66, -35192.239598529995 6733401.3939267695 13.65, -35192.35475184908 6733401.299177764 13.65, -35192.40167977323 6733401.255322222 13.64, -35192.45853426878 6733401.212911004 13.63, -35192.72439793241 6733400.988039694 13.64, -35192.862293049926 6733400.876326201 13.63, -35192.896405747975 6733400.850879467 13.64, -35192.930518445326 6733400.825432738 13.64, -35192.94333367236 6733400.807023924 13.64, -35193.072930270224 6733400.613009205 13.63, -35193.11282027897 6733400.547856187 13.620000000000001, -35193.189711640705 6733400.4374033 13.63, -35193.29078912886 6733400.300059351 13.63, -35193.39475527243 6733400.142862259 13.61, -35193.52435186948 6733399.948847538 13.5, -35193.64257756749 6733399.7633150555 13.44, -35193.75647028175 6733399.607562292 13.4, -35193.92740121402 6733399.33846798 13.26, -35193.96295823925 6733399.303094675 13.25, -35194.30426893593 6733398.9776970325 13.17, -35194.5531681116 6733398.73008391 13.120000000000001, -35194.695396212395 6733398.588590696 13.1, -35194.78925206093 6733398.5008796 13.1, -35194.8361799852 6733398.457024052 13.09, -35194.991223312216 6733398.297122022 13.120000000000001, -35195.46428437438 6733398.041577815 13.27, -35195.48702617281 6733398.024613325 13.280000000000001, -35195.85071122716 6733397.824111841 13.31, -35196.07235190214 6733397.694173243 13.43, -35196.18172791228 6733397.639130516 13.46, -35196.20880269341 6733397.592386312 13.450000000000001, -35196.32865643769 6733397.325996923 13.34, -35196.592733771075 6733396.695396744 13.35, -35196.66547586897 6733396.543793232 13.42, -35196.67829109554 6733396.525384415 13.43, -35196.74110662099 6733396.372336574 13.47, -35196.75969915732 6733396.31422147 13.49, -35196.92666454229 6733395.933046194 13.46, -35197.00318846258 6733395.964453956 13.57, -35197.343396842014 6733396.064638275 14, -35197.59571040282 6733396.141897073 14.35, -35197.71194061148 6733396.179082145 14.530000000000001, -35197.73179375555 6733396.181970799 14.540000000000001, -35198.02381360473 6733396.265006913 14.72, -35198.100337525946 6733396.296414675 14.790000000000001, -35198.556776119745 6733396.4337840695 15.13, -35198.71271261817 6733396.476746451 15.27, -35198.78075429506 6733396.496783316 15.34, -35198.9749527548 6733396.555449581 15.530000000000001, -35199.305234570056 6733396.654189578 15.82, -35199.35342310346 6733396.671337784 15.860000000000001, -35199.43139135302 6733396.692818979 15.93, -35199.72196688119 6733396.785781665 16, -35199.91616534279 6733396.844447932 16.01, -35199.96579820395 6733396.851669569 16.01, -35200.33434198424 6733396.966113452 15.99, -35200.37260394625 6733396.98181733 15.99, -35200.4902784857 6733397.009075834 15.98, -35200.52854044782 6733397.024779715 15.98, -35200.5583201648 6733397.0291126985 15.98, -35200.664623804856 6733397.064853448 15.99, -35200.56877246115 6733397.375282125 15.97, -35200.46136649477 6733397.765123383 15.98, -35200.42273709108 6733397.891280168 15.97, -35200.36695947626 6733398.065625489 15.97, -35200.31118186121 6733398.239970806 15.96, -35200.266775145545 6733398.405833884 15.96, -35200.23825603502 6733398.462504658 15.96, -35200.0799565973 6733398.784120511 15.93, -35199.97580672498 6733399.012247954 15.91, -35199.901620291756 6733399.173778043 15.89, -35199.84313774132 6733399.2970461715 15.88, -35199.72617264022 6733399.543582428 15.88, -35199.65487486147 6733399.685259374 15.860000000000001, -35199.579244099325 6733399.856716031 15.870000000000001, -35199.37527733366 6733400.28319119 15.870000000000001, -35199.33394299401 6733400.358270782 15.860000000000001, -35199.25831223035 6733400.529727442 15.82, -35199.155606682296 6733400.747928305 15.82, -35199.12564324238 6733400.814525654 15.82, -35199.111383686075 6733400.842861043 15.81, -35198.99441858125 6733401.089397294 15.77, -35198.953084240784 6733401.164476888 15.76, -35198.91030557244 6733401.249483054 15.77, -35198.83341420372 6733401.35993595 15.77, -35198.68107579404 6733401.570915171 15.73, -35198.604184425436 6733401.681368065 15.71, -35198.464661243255 6733401.873938471 15.71, -35198.43903078686 6733401.910756101 15.72, -35198.30095193314 6733402.093399934 15.72, -35198.28669237625 6733402.121735321 15.71, -35198.111612165696 6733402.349679028 15.68, -35197.98201555479 6733402.543693757 15.68, -35197.91234582639 6733402.60451379 15.67, -35197.85404699796 6733402.65685158 15.67, -35197.72318978445 6733402.789862549 15.66, -35197.69900365628 6733402.816753607 15.66, -35197.43873355724 6733403.072848972 15.64, -35197.404620857094 6733403.098295703 15.63, -35197.20409391506 6733403.292126704 15.6, -35197.04905057303 6733403.452028728 15.56, -35196.953750388115 6733403.549666393 15.57, -35196.753223445965 6733403.74349739 15.58, -35196.37798374577 6733404.023411423 15.540000000000001, -35196.33250014577 6733404.0573403975 15.530000000000001, -35196.28701654589 6733404.09126937 15.52, -35196.22871771746 6733404.143607159 15.51, -35195.9458895463 6733404.345736671 15.46, -35195.785252618836 6733404.474414647 15.450000000000001, -35195.684358847444 6733404.540828263 15.450000000000001, -35195.18259492167 6733404.923973536 15.51, -35194.71638802579 6733405.271745501 15.51, -35194.57993722719 6733405.373532417 15.52, -35194.48752569966 6733405.451316932 15.52, -35194.06680240482 6733405.765159921 15.51, -35194.00994790543 6733405.807571135 15.5, -35193.97583520587 6733405.833017863 15.51, -35193.862126207794 6733405.917840291 15.5, -35193.61900432571 6733406.125747103 15.5, -35193.43562560028 6733406.271389557 15.51, -35193.16976191907 6733406.496260856 15.52, -35193.112907419796 6733406.538672068 15.51, -35192.9721236364 6733406.670238694 15.52, -35192.76455878315 6733406.8427722035 15.530000000000001, -35192.68496248487 6733406.902147898 15.530000000000001, -35192.43191403255 6733407.1086103795 15.540000000000001, -35192.373615205404 6733407.160948162 15.530000000000001, -35192.211533951224 6733407.299552701 15.530000000000001, -35192.03808179812 6733407.44663948 15.52, -35191.864629644784 6733407.593726257 15.530000000000001, -35191.78358901793 6733407.663028524 15.530000000000001, -35191.61013686482 6733407.810115302 15.52, -35191.38127454219 6733407.989686717 15.51, -35191.29878958652 6733408.068915555 15.51, -35191.11541086284 6733408.214558001 15.51, -35191.045741136186 6733408.275378025 15.51, -35190.8268053846 6733408.456393769 15.52, -35190.721578629804 6733408.55258709 15.530000000000001, -35190.58368350519 6733408.6643005675 15.52, -35190.514013778535 6733408.725120588 15.52, -35190.445788380806 6733408.776014039 15.52, -35190.296522356686 6733408.896209757 15.530000000000001, -35190.23822352942 6733408.948547539 15.530000000000001, -35189.98373075132 6733409.164936573 15.52, -35189.926876253216 6733409.207347781 15.52, -35189.776165900286 6733409.33747007 15.530000000000001, -35189.61552897724 6733409.466148025 15.530000000000001, -35189.581416278495 6733409.491594752 15.530000000000001, -35189.50037565234 6733409.560897017 15.530000000000001, -35189.46337429574 6733409.606196883 15.52, -35189.308147224365 6733409.837029205 15.52, -35189.28251676704 6733409.873846829 15.530000000000001, -35189.228367195 6733409.9673352195 15.52, -35189.08884400944 6733410.159905587 15.52, -35188.97206262313 6733410.335511468 15.530000000000001, -35188.93361693702 6733410.390737905 15.530000000000001, -35188.843910336844 6733410.519599591 15.530000000000001, -35188.75420373632 6733410.648461278 15.51, -35188.61179189209 6733410.860884781 15.530000000000001, -35188.50927006244 6733411.008155277 15.52, -35188.46938004717 6733411.073308288 15.51, -35188.445193918655 6733411.10019934 15.51, -35188.41667480336 6733411.156870105 15.5, -35188.30278207385 6733411.312622842 15.49, -35188.25152115908 6733411.386258091 15.48, -35188.18311202794 6733411.508081862 15.47, -35188.12751812523 6733411.611496824 15.47, -35188.007848078734 6733411.8069558395 15.47, -35187.872474144795 6733412.04067681 15.49, -35187.85821458674 6733412.069012192 15.49, -35187.804065012955 6733412.162500581 15.48, -35187.68295063602 6733412.36788617 15.47, -35187.640171961626 6733412.452892315 15.47, -35187.598837616504 6733412.527971891 15.47, -35187.51905758458 6733412.658277901 15.46, -35187.42357366497 6733412.826845863 15.44, -35187.28819972859 6733413.060566831 15.44, -35187.235494483495 6733413.144128648 15.43, -35187.04597097181 6733413.471337998 15.44, -35186.96474660945 6733413.611570578 15.450000000000001))</t>
  </si>
  <si>
    <t>['FV558 S1D1 m3511-3537']</t>
  </si>
  <si>
    <t>LINESTRING Z (-35212.86233340064 6733443.441227408 15.200000000000001, -35212.91304307396 6733443.580383194 15.22, -35212.96230841323 6733443.729465553 15.23, -35212.99894227483 6733443.826026377 15.23, -35213.10595519142 6733444.135562003 15.27, -35213.12851324142 6733444.189527869 15.280000000000001, -35213.125440810574 6733444.280311361 15.290000000000001, -35213.120740282 6733444.451951773 15.31, -35213.11477918294 6733444.56258841 15.32, -35213.11441165535 6733444.704449102 15.33, -35213.10537812463 6733444.90586923 15.35, -35213.10086135927 6733445.006579295 15.35, -35213.10356626287 6733445.057656492 15.36, -35213.09923326096 6733445.087436215 15.36, -35213.085315434146 6733445.531427098 15.35, -35213.04356193752 6733446.8633997515 15.33, -35213.034344635205 6733447.135750223 15.34, -35212.90834582597 6733447.583706577 15.36, -35212.86827200139 6733447.719789931 15.370000000000001, -35212.819532171125 6733447.915432722 15.36, -35212.75797709916 6733448.129484324 15.36, -35212.73649585224 6733448.207452574 15.36, -35212.6819786838 6733448.442801656 15.36, -35212.60183103138 6733448.714968363 15.36, -35212.52872128226 6733449.0084325485 15.36, -35212.505979468 6733449.025397025 15.36, -35212.0608859855 6733449.437061242 15.31, -35211.85043231852 6733449.629447826 15.280000000000001, -35211.816319596954 6733449.654894542 15.27, -35211.64990522456 6733449.823278743 15.25, -35211.452266799286 6733449.997256513 15.22, -35211.41670974344 6733450.032629802 15.22, -35211.135141964885 6733450.295762954 15.200000000000001, -35211.018544224906 6733450.400438481 15.16, -35210.819461465464 6733450.584342821 15.120000000000001, -35210.60900779918 6733450.776729399 15.07, -35210.57345074322 6733450.812102685 15.07, -35210.47959481715 6733450.899813738 15.07, -35210.46677957568 6733450.918222545 15.07, -35210.16391431808 6733451.188393597 15.05, -35209.97620246606 6733451.363815695 15.030000000000001, -35209.85816039145 6733451.478417793 15.01, -35209.683263781364 6733451.635431078 15.01, -35209.55529513478 6733451.748588838 15.01, -35209.45999487396 6733451.846226459 15.02, -35209.22679939412 6733452.055577505 15.02, -35209.16850052436 6733452.107915266 15.030000000000001, -35209.10875731986 6733452.170179597 15.05, -35209.03060530522 6733452.219628691 15.07, -35208.95100895583 6733452.279004356 15.07, -35208.91689623473 6733452.30445107 15.07, -35208.827373313485 6733452.362382396 15.08, -35208.68099585688 6733452.462724914 15.09, -35208.590028601 6733452.530582813 15.1, -35208.39961185132 6733452.65492771 15.120000000000001, -35208.32001550228 6733452.714303371 15.13, -35208.14096966025 6733452.830166029 15.15, -35208.095486032194 6733452.864094977 15.15, -35208.038631497184 6733452.906506166 15.16, -35207.98177696264 6733452.9489173535 15.17, -35207.73450567911 6733453.115673434 15.200000000000001, -35207.61087003769 6733453.199051471 15.200000000000001, -35207.5199027824 6733453.266909371 15.19, -35207.3067442202 6733453.408218738 15.200000000000001, -35207.17029333708 6733453.510005587 15.21, -35207.14755152364 6733453.526970059 15.21, -35206.92302205507 6733453.676761663 15.200000000000001, -35206.75534712162 6733453.784142078 15.19, -35206.641638053 6733453.868964449 15.21, -35206.43840606441 6733454.011718146 15.23, -35206.38155153033 6733454.05412933 15.24, -35206.17976387672 6733454.186956457 15.26, -35206.111538435915 6733454.237849879 15.27, -35206.04475732974 6733454.27881673 15.280000000000001, -35206.02201551618 6733454.2957812045 15.280000000000001, -35205.80741262168 6733454.447017135 15.370000000000001, -35205.60418063379 6733454.589770831 15.450000000000001, -35205.470618422376 6733454.67170453 15.52, -35205.33416754112 6733454.773491375 15.55, -35205.18779008777 6733454.873833884 15.620000000000001, -35204.984558101394 6733455.016587573 15.71, -35204.96326062258 6733455.023625477 15.72, -35204.839624983724 6733455.107003509 15.780000000000001, -35204.816883170046 6733455.123967986 15.790000000000001, -35204.47720030369 6733455.368508516 15.93, -35204.184445399325 6733455.569193526 16.03, -35203.98121341411 6733455.711947215 16.1, -35203.92580321559 6733455.744431827 16.13, -35203.66445613641 6733455.868592932 16.29, -35203.609045938356 6733455.9010775415 16.32, -35203.48974330549 6733455.95467586 16.37, -35203.413035629084 6733455.994198373 16.39, -35203.043756825384 6733456.163475555 16.59, -35202.9883466278 6733456.195960164 16.63, -35202.74974136404 6733456.303156795 16.740000000000002, -35202.59632601275 6733456.382201818 16.79, -35202.50969176518 6733456.420279997 16.85, -35202.279568739235 6733456.538847529 16.95, -35202.10630024562 6733456.615003883 17.03, -35201.89891903335 6733456.716606944 17.11, -35201.822211358114 6733456.756129456 17.14, -35201.58486665739 6733456.924329844 17.23, -35201.572051415686 6733456.942738653 17.240000000000002, -35201.324780143914 6733457.1094947085 17.34, -35201.198255838244 6733457.212725875 17.37, -35201.051878389786 6733457.313068374 17.43, -35200.92679841933 6733457.40637297 17.43, -35200.71219553251 6733457.557608886 17.5, -35200.61130171025 6733457.624022437 17.52, -35200.486221739906 6733457.717327034 17.57, -35200.14653888438 6733457.96186754 17.64, -35200.06694253953 6733458.021243192 17.68, -35199.88645237335 6733458.147032394 17.76, -35199.863710560836 6733458.163996866 17.77, -35199.8295978416 6733458.189443573 17.77, -35199.68177605909 6733458.299712641 17.79, -35199.602179714944 6733458.3590882905 17.78, -35199.47854408051 6733458.442466314 17.77, -35199.44443136174 6733458.4679130195 17.78, -35199.42168954911 6733458.484877492 17.8, -35199.35201977589 6733458.545697478 17.830000000000002, -35199.307980486075 6733458.569699849 17.84, -35199.192827087594 6733458.664448777 17.84, -35199.033634399646 6733458.783200077 17.86, -35198.9881507745 6733458.817129019 17.87, -35198.91992533661 6733458.868022435 17.88, -35198.70387811726 6733459.029184914 17.96, -35198.68113630521 6733459.046149381 17.96, -35198.60153996106 6733459.105525032 17.97, -35198.42953203223 6733459.2426851345 17.990000000000002, -35198.33856478182 6733459.310543022 18.01, -35198.30445206317 6733459.335989727 18.02, -35198.133888469776 6733459.463223259 18.03, -35197.95195397013 6733459.598939028 18.04, -35197.67905222101 6733459.802512676 18.12, -35197.656310408725 6733459.819477147 18.12, -35197.290997075266 6733460.100835247 18.19, -35197.188658919884 6733460.177175365 18.21, -35196.97261170263 6733460.338337835 18.21, -35196.9370546483 6733460.373711112 18.22, -35196.69448394701 6733460.368826773 18.31, -35196.51147266978 6733460.372608444 18.400000000000002, -35196.25897539873 6733460.366279771 18.490000000000002, -35196.11711474031 6733460.365912214 18.54, -35195.722756812815 6733460.359215982 18.6, -35195.66608606081 6733460.330696827 18.61, -35195.58252426842 6733460.277991528 18.64, -35195.554188892245 6733460.263731952 18.64, -35195.37713873747 6733460.156877013 18.650000000000002, -35194.99470305245 6733459.92890756 18.66, -35194.901214690064 6733459.874757923 18.67, -35194.685902589816 6733459.752199076 18.67, -35194.547114382265 6733459.661048052 18.67, -35194.48051706026 6733459.631084564 18.67, -35194.05133719742 6733459.376040299 18.650000000000002, -35193.90262242034 6733459.283444938 18.66, -35193.55700434977 6733459.081105981 18.66, -35193.52866897464 6733459.066846404 18.66, -35193.49185136426 6733459.041215922 18.66, -35193.47344255913 6733459.02840068 18.66, -35193.296392406686 6733458.92154575 18.66, -35193.13775106042 6733458.827506057 18.66, -35192.92243896355 6733458.704947214 18.66, -35192.848803742905 6733458.653686252 18.66, -35192.74538881215 6733458.598092284 18.64, -35192.69016239699 6733458.559646562 18.64, -35192.578265231336 6733458.492681688 18.64, -35192.104678537 6733458.40350046 18.650000000000002, -35192.05504568643 6733458.396278785 18.650000000000002, -35191.907591471216 6733458.364687184 18.64, -35191.85795862123 6733458.357465507 18.64, -35191.68090847158 6733458.250610582 18.64, -35191.569011307205 6733458.18364571 18.650000000000002, -35191.49393175263 6733458.142311318 18.66, -35191.401887728134 6733458.078235117 18.650000000000002, -35191.094531610725 6733457.89160008 18.63, -35191.02937862661 6733457.85171002 18.62, -35190.83391967369 6733457.732039855 18.59, -35190.77869325946 6733457.6935941335 18.59, -35190.68538867566 6733457.5685141785 18.56, -35190.5765639575 6733457.4107658435 18.55, -35190.51863264851 6733457.321242937 18.53, -35190.351876620436 6733457.073971702 18.52, -35190.2854630762 6733456.97307789 18.52, -35190.23312533181 6733456.914779032 18.53, -35190.13278284762 6733456.768401603 18.53, -35190.13711585244 6733456.738621893 18.54, -35190.12881739228 6733456.656320665 18.54, -35190.08569697966 6733456.325671413 18.56, -35190.0801034146 6733456.294447368 18.56, -35190.07595418452 6733456.2532967515 18.56, -35190.05917348841 6733456.1596246185 18.57, -35190.042576566455 6733455.995022159 18.580000000000002, -35190.02868453984 6733455.881496886 18.580000000000002, -35189.966078531696 6733455.406098316 18.56, -35189.984671110404 6733455.34798323 18.56, -35190.09026546753 6733455.109929324 18.55, -35190.23719421099 6733454.796795864 18.53, -35190.25145378499 6733454.768460489 18.53, -35190.255786789116 6733454.738680777 18.53, -35190.43412334868 6733454.349023424 18.5, -35190.54116203787 6733454.101042948 18.490000000000002, -35190.62816381478 6733453.921104122 18.47, -35190.658127296716 6733453.854506801 18.48, -35190.8279816173 6733453.453478538 18.46, -35190.869316003635 6733453.37839898 18.45, -35190.91642772767 6733453.263613142 18.44, -35191.00487383711 6733453.0737477485 18.41, -35191.15035824012 6733452.770540849 18.35, -35191.164617813774 6733452.742205473 18.35, -35191.312990884646 6733452.41914543 18.330000000000002, -35191.34006569674 6733452.372401248 18.330000000000002, -35191.50125400501 6733452.030932399 18.3, -35191.53266181995 6733451.954408509 18.29, -35191.606848354335 6733451.792878485 18.26, -35191.69385012705 6733451.612939658 18.23, -35191.750888419105 6733451.499598153 18.21, -35191.75377708778 6733451.479745011 18.2, -35191.76659232681 6733451.461336204 18.2, -35191.85937143583 6733451.241691096 18.18, -35191.917854061816 6733451.118423018 18.17, -35192.006300167646 6733450.928557618 18.150000000000002, -35192.113338847994 6733450.680577131 18.13, -35192.130487089395 6733450.632388612 18.13, -35192.19041404885 6733450.4991939645 18.12, -35192.216044525965 6733450.4623763515 18.11, -35192.24745233962 6733450.385852455 18.11, -35192.30593496468 6733450.26258438 18.09, -35192.41152930935 6733450.024530461 18.04, -35192.471456268104 6733449.891335812 18.04, -35192.58986585052 6733449.634873084 18.05, -35192.61134709348 6733449.556904852 18.06, -35192.718385770684 6733449.308924363 18.04, -35192.78264573042 6733449.145950002 18.05, -35192.8940174086 6733448.868189797 18.05, -35192.9140543167 6733448.800148138 18.05, -35193.05864567391 6733448.294076812 18.11, -35193.06153434166 6733448.274223672 18.11, -35193.064423009404 6733448.254370531 18.12, -35193.07868258166 6733448.226035153 18.12, -35193.10016382288 6733448.148066924 18.13, -35193.19764345931 6733447.756781438 18.18, -35193.27634675428 6733447.49454137 18.21, -35193.342234810814 6733447.2507101055 18.18, -35193.3823086241 6733447.114626789 18.18, -35193.39097462664 6733447.055067367 18.16, -35193.49693649472 6733446.675152782 18.23, -35193.51697340107 6733446.607111123 18.23, -35193.51986206835 6733446.587257984 18.23, -35193.57997278718 6733446.383133002 18.26, -35193.584305788274 6733446.353353289 18.26, -35193.618602265604 6733446.256976252 18.27, -35193.664269647095 6733446.152116979 18.28, -35193.69423312403 6733446.085519649 18.28, -35193.70704836189 6733446.06711084 18.28, -35193.89242278936 6733445.698750925 18.240000000000002, -35193.94801674108 6733445.595335985 18.23, -35193.97798021708 6733445.528738657 18.21, -35194.04927807371 6733445.387061761 18.18, -35194.203244689736 6733445.09522574 18.13, -35194.30450602074 6733444.886951523 18.1, -35194.39150778088 6733444.707012679 18.05, -35194.46424996969 6733444.555409214 18.06, -35194.52128825348 6733444.4420676995 18.09, -35194.61821658304 6733444.26357319 18.11, -35194.70377400855 6733444.093560917 18.13, -35194.74221972097 6733444.038334492 18.13, -35194.75503495848 6733444.019925686 18.13, -35194.820555479266 6733443.9179550735 18.12, -35194.92596604559 6733443.750831465 18.11, -35195.00285746995 6733443.640378618 18.09, -35195.06548932369 6733443.558261146 18.07, -35195.07974889455 6733443.529925767 18.06, -35195.11819460662 6733443.474699342 18.06, -35195.170899890014 6733443.391137536 18.05, -35195.20790126838 6733443.345837684 18.03, -35195.35320187954 6733443.113561078 18.02, -35195.46998334874 6733442.937955233 17.990000000000002, -35195.635137100704 6733442.708567292 17.97, -35195.76762247353 6733442.494699493 17.92, -35195.87158870476 6733442.3375024535 17.94, -35196.012556314585 6733442.135005557 17.91, -35196.05244635942 6733442.06985256 17.91, -35196.103707308066 6733441.996217325 17.900000000000002, -35196.24467491743 6733441.793720428 17.900000000000002, -35196.503868326894 6733441.405691109 17.85, -35196.54375837161 6733441.3405381115 17.85, -35196.596463653026 6733441.256976304 17.84, -35196.77732130571 6733440.989326407 17.8, -35196.936881482834 6733440.728714412 17.76, -35196.96395628981 6733440.681970222 17.75, -35196.988142431015 6733440.655079174 17.76, -35197.079293423216 6733440.516290938 17.76, -35197.10492389719 6733440.479473322 17.73, -35197.146258274326 6733440.40439375 17.71, -35197.38126553898 6733440.04325547 17.71, -35197.405451679835 6733440.016364423 17.71, -35197.56356752233 6733439.7656789925 17.67, -35197.64045894402 6733439.655226137 17.650000000000002, -35197.798574785236 6733439.404540708 17.64, -35197.93106015283 6733439.190672898 17.64, -35198.11299461697 6733439.054957083 17.59, -35198.27218727337 6733438.936205745 17.52, -35198.55645987461 6733438.724149781 17.38, -35198.61187006207 6733438.69166516 17.36, -35198.634611870046 6733438.674700684 17.34, -35198.647427106975 6733438.656291874 17.34, -35198.68153981911 6733438.630845158 17.32, -35198.79380452726 6733438.555949341 17.240000000000002, -35199.009851704584 6733438.394786809 17.12, -35199.02266694151 6733438.376377999 17.12, -35199.090892365784 6733438.325484567 17.1, -35199.29556863953 6733438.172804274 17.04, -35199.35242316045 6733438.130393075 17.01, -35199.4775031053 6733438.037088453 16.97, -35199.63669576321 6733437.918337107 16.91, -35199.87404041714 6733437.750136666 16.84, -35200.02330650401 6733437.629940988 16.79, -35200.0801610247 6733437.587529794 16.76, -35200.216611874406 6733437.485742927 16.740000000000002, -35200.48806924198 6733437.292095765 16.61, -35200.51081105042 6733437.275131287 16.6, -35200.569109904114 6733437.2227935195 16.57, -35200.996871265816 6733436.9302481515 16.38, -35201.08639416681 6733436.872316812 16.34, -35201.232771588955 6733436.771974276 16.25, -35201.36777810764 6733436.680113976 16.17, -35201.71594314184 6733436.446944276 15.96, -35201.73868495051 6733436.4299797965 15.950000000000001, -35201.76287109172 6733436.4030887475 15.93, -35201.96465870342 6733436.270261586 15.790000000000001, -35202.12096269848 6733436.171363379 15.67, -35202.18918812461 6733436.12046994 15.64, -35202.268784454325 6733436.061094268 15.610000000000001, -35202.40379097359 6733435.969233966 15.55, -35202.504684780026 6733435.902820385 15.51, -35202.67380401236 6733435.7855133675 15.43, -35202.831552341 6733435.676688584 15.35, -35202.932446147664 6733435.610275002 15.290000000000001, -35203.11293628486 6733435.484485743 15.21, -35203.316168231424 6733435.341732004 15.13, -35203.47247222788 6733435.242833794 15.05, -35203.506584940944 6733435.217387075 15.040000000000001, -35203.56343946315 6733435.174975875 15.02, -35203.890307025984 6733434.948844072 14.9, -35203.92297540698 6733434.9333239235 14.89, -35204.29388225614 6733434.68318973 14.76, -35204.316624065395 6733434.666225249 14.76, -35204.339365874184 6733434.6492607705 14.75, -35204.38177707244 6733434.706115294 14.76, -35204.52038157219 6733434.868196621 14.780000000000001, -35204.588239489705 6733434.959163859 14.780000000000001, -35204.673061886104 6733435.072872903 14.790000000000001, -35204.81166638527 6733435.234954235 14.780000000000001, -35204.90641535388 6733435.350107617 14.780000000000001, -35204.99123775016 6733435.463816662 14.77, -35205.026611041394 6733435.499373709 14.780000000000001, -35205.05205775995 6733435.533486425 14.780000000000001, -35205.15528896835 6733435.660010708 14.8, -35205.24155569705 6733435.763793182 14.8, -35205.481947071035 6733436.062325373 14.790000000000001, -35205.49891154992 6733436.085067184 14.790000000000001, -35205.602142757736 6733436.211591472 14.82, -35205.662962767645 6733436.281261232 14.82, -35205.92880085972 6733436.61390614 14.83, -35205.94576533907 6733436.63664795 14.83, -35206.02354982763 6733436.729059525 14.84, -35206.18615671154 6733436.935180147 14.85, -35206.211603430216 6733436.969292862 14.85, -35206.37746649317 6733437.013699665 14.84, -35206.57310927415 6733437.062439463 14.85, -35206.78860519943 6733437.114067929 14.84, -35206.81838491652 6733437.118400927 14.83, -35206.924688546686 6733437.154141732 14.83, -35207.19974390743 6733437.214436195 14.83, -35207.30604753806 6733437.250177002 14.83, -35207.44357521902 6733437.280324232 14.83, -35207.48328150867 6733437.286101561 14.83, -35207.445912613184 6733437.473262107 14.84, -35207.4056550517 6733437.680275795 14.85, -35207.39410038886 6733437.7596883755 14.86, -35207.388323057676 6733437.799394666 14.86, -35207.34806549526 6733438.006408354 14.870000000000001, -35207.343732496374 6733438.036188073 14.88, -35207.309252265026 6733438.203495472 14.9, -35207.37151660735 6733438.263238663 14.91, -35207.50597186363 6733438.384169384 14.9, -35207.58520068496 6733438.466654389 14.91, -35207.665873839054 6733438.539212818 14.9, -35207.69276489038 6733438.563398965 14.91, -35207.91493120801 6733438.77818559 14.92, -35208.022495413315 6733438.8749301685 14.93, -35208.06635094341 6733438.921858124 14.93, -35208.37911698781 6733439.210647521 14.92, -35208.406008039135 6733439.234833665 14.92, -35208.43145475746 6733439.268946383 14.93, -35208.592801065766 6733439.414063249 14.950000000000001, -35208.67347422021 6733439.486621681 14.94, -35208.914049349725 6733439.714223556 14.96, -35208.939496067935 6733439.748336275 14.96, -35209.00320474338 6733439.798152896 14.97, -35209.24377987336 6733440.025754771 14.99, -35209.36830855778 6733440.145241163 14.99, -35209.45746395143 6733440.229170504 15, -35209.49283724232 6733440.264727553 15, -35209.519728293875 6733440.2889137 15, -35209.68107460253 6733440.43403057 15.01, -35209.849458817625 6733440.600444918 15.01, -35209.91172316007 6733440.660188115 15.02, -35209.94709645072 6733440.695745167 15.02, -35210.090033947374 6733440.8280468015 15.02, -35210.14381605061 6733440.87641909 15.02, -35210.23297144438 6733440.960348434 15.02, -35210.455137762474 6733441.175135076 15.030000000000001, -35210.527328677475 6733441.236322608 15.030000000000001, -35210.57118420745 6733441.283250566 15.030000000000001, -35210.83016815013 6733441.523667689 15.030000000000001, -35210.90939697146 6733441.606152698 15.030000000000001, -35211.08770775888 6733441.774011389 15.05, -35211.27594511956 6733441.943314412 15.06, -35211.346691701445 6733442.014428516 15.07, -35211.40047380468 6733442.06280081 15.07, -35211.47970262577 6733442.1452858215 15.08, -35211.64953117445 6733442.301773606 15.09, -35211.783986432245 6733442.422704338 15.09, -35211.83632420201 6733442.4810032025 15.09, -35211.9085151169 6733442.542190737 15.1, -35211.970779459574 6733442.601933936 15.1, -35212.21983682946 6733442.840906736 15.13, -35212.318918796955 6733442.926280415 15.15, -35212.470338533516 6733443.069952963 15.17, -35212.621758270194 6733443.213625508 15.18, -35212.6740960395 6733443.271924377 15.19, -35212.86233340064 6733443.441227408 15.200000000000001)</t>
  </si>
  <si>
    <t>POLYGON Z ((-35212.86233340064 6733443.441227408 15.200000000000001, -35212.91304307396 6733443.580383194 15.22, -35212.96230841323 6733443.729465553 15.23, -35212.99894227483 6733443.826026377 15.23, -35213.10595519142 6733444.135562003 15.27, -35213.12851324142 6733444.189527869 15.280000000000001, -35213.125440810574 6733444.280311361 15.290000000000001, -35213.120740282 6733444.451951773 15.31, -35213.11477918294 6733444.56258841 15.32, -35213.11441165535 6733444.704449102 15.33, -35213.10537812463 6733444.90586923 15.35, -35213.10086135927 6733445.006579295 15.35, -35213.10356626287 6733445.057656492 15.36, -35213.09923326096 6733445.087436215 15.36, -35213.085315434146 6733445.531427098 15.35, -35213.04356193752 6733446.8633997515 15.33, -35213.034344635205 6733447.135750223 15.34, -35212.90834582597 6733447.583706577 15.36, -35212.86827200139 6733447.719789931 15.370000000000001, -35212.819532171125 6733447.915432722 15.36, -35212.75797709916 6733448.129484324 15.36, -35212.73649585224 6733448.207452574 15.36, -35212.6819786838 6733448.442801656 15.36, -35212.60183103138 6733448.714968363 15.36, -35212.52872128226 6733449.0084325485 15.36, -35212.505979468 6733449.025397025 15.36, -35212.0608859855 6733449.437061242 15.31, -35211.85043231852 6733449.629447826 15.280000000000001, -35211.816319596954 6733449.654894542 15.27, -35211.64990522456 6733449.823278743 15.25, -35211.452266799286 6733449.997256513 15.22, -35211.41670974344 6733450.032629802 15.22, -35211.135141964885 6733450.295762954 15.200000000000001, -35211.018544224906 6733450.400438481 15.16, -35210.819461465464 6733450.584342821 15.120000000000001, -35210.60900779918 6733450.776729399 15.07, -35210.57345074322 6733450.812102685 15.07, -35210.47959481715 6733450.899813738 15.07, -35210.46677957568 6733450.918222545 15.07, -35210.16391431808 6733451.188393597 15.05, -35209.97620246606 6733451.363815695 15.030000000000001, -35209.85816039145 6733451.478417793 15.01, -35209.683263781364 6733451.635431078 15.01, -35209.55529513478 6733451.748588838 15.01, -35209.45999487396 6733451.846226459 15.02, -35209.22679939412 6733452.055577505 15.02, -35209.16850052436 6733452.107915266 15.030000000000001, -35209.10875731986 6733452.170179597 15.05, -35209.03060530522 6733452.219628691 15.07, -35208.95100895583 6733452.279004356 15.07, -35208.91689623473 6733452.30445107 15.07, -35208.827373313485 6733452.362382396 15.08, -35208.68099585688 6733452.462724914 15.09, -35208.590028601 6733452.530582813 15.1, -35208.39961185132 6733452.65492771 15.120000000000001, -35208.32001550228 6733452.714303371 15.13, -35208.14096966025 6733452.830166029 15.15, -35208.095486032194 6733452.864094977 15.15, -35208.038631497184 6733452.906506166 15.16, -35207.98177696264 6733452.9489173535 15.17, -35207.73450567911 6733453.115673434 15.200000000000001, -35207.61087003769 6733453.199051471 15.200000000000001, -35207.5199027824 6733453.266909371 15.19, -35207.3067442202 6733453.408218738 15.200000000000001, -35207.17029333708 6733453.510005587 15.21, -35207.14755152364 6733453.526970059 15.21, -35206.92302205507 6733453.676761663 15.200000000000001, -35206.75534712162 6733453.784142078 15.19, -35206.641638053 6733453.868964449 15.21, -35206.43840606441 6733454.011718146 15.23, -35206.38155153033 6733454.05412933 15.24, -35206.17976387672 6733454.186956457 15.26, -35206.111538435915 6733454.237849879 15.27, -35206.04475732974 6733454.27881673 15.280000000000001, -35206.02201551618 6733454.2957812045 15.280000000000001, -35205.80741262168 6733454.447017135 15.370000000000001, -35205.60418063379 6733454.589770831 15.450000000000001, -35205.470618422376 6733454.67170453 15.52, -35205.33416754112 6733454.773491375 15.55, -35205.18779008777 6733454.873833884 15.620000000000001, -35204.984558101394 6733455.016587573 15.71, -35204.96326062258 6733455.023625477 15.72, -35204.839624983724 6733455.107003509 15.780000000000001, -35204.816883170046 6733455.123967986 15.790000000000001, -35204.47720030369 6733455.368508516 15.93, -35204.184445399325 6733455.569193526 16.03, -35203.98121341411 6733455.711947215 16.1, -35203.92580321559 6733455.744431827 16.13, -35203.66445613641 6733455.868592932 16.29, -35203.609045938356 6733455.9010775415 16.32, -35203.48974330549 6733455.95467586 16.37, -35203.413035629084 6733455.994198373 16.39, -35203.043756825384 6733456.163475555 16.59, -35202.9883466278 6733456.195960164 16.63, -35202.74974136404 6733456.303156795 16.740000000000002, -35202.59632601275 6733456.382201818 16.79, -35202.50969176518 6733456.420279997 16.85, -35202.279568739235 6733456.538847529 16.95, -35202.10630024562 6733456.615003883 17.03, -35201.89891903335 6733456.716606944 17.11, -35201.822211358114 6733456.756129456 17.14, -35201.58486665739 6733456.924329844 17.23, -35201.572051415686 6733456.942738653 17.240000000000002, -35201.324780143914 6733457.1094947085 17.34, -35201.198255838244 6733457.212725875 17.37, -35201.051878389786 6733457.313068374 17.43, -35200.92679841933 6733457.40637297 17.43, -35200.71219553251 6733457.557608886 17.5, -35200.61130171025 6733457.624022437 17.52, -35200.486221739906 6733457.717327034 17.57, -35200.14653888438 6733457.96186754 17.64, -35200.06694253953 6733458.021243192 17.68, -35199.88645237335 6733458.147032394 17.76, -35199.863710560836 6733458.163996866 17.77, -35199.8295978416 6733458.189443573 17.77, -35199.68177605909 6733458.299712641 17.79, -35199.602179714944 6733458.3590882905 17.78, -35199.47854408051 6733458.442466314 17.77, -35199.44443136174 6733458.4679130195 17.78, -35199.42168954911 6733458.484877492 17.8, -35199.35201977589 6733458.545697478 17.830000000000002, -35199.307980486075 6733458.569699849 17.84, -35199.192827087594 6733458.664448777 17.84, -35199.033634399646 6733458.783200077 17.86, -35198.9881507745 6733458.817129019 17.87, -35198.91992533661 6733458.868022435 17.88, -35198.70387811726 6733459.029184914 17.96, -35198.68113630521 6733459.046149381 17.96, -35198.60153996106 6733459.105525032 17.97, -35198.42953203223 6733459.2426851345 17.990000000000002, -35198.33856478182 6733459.310543022 18.01, -35198.30445206317 6733459.335989727 18.02, -35198.133888469776 6733459.463223259 18.03, -35197.95195397013 6733459.598939028 18.04, -35197.67905222101 6733459.802512676 18.12, -35197.656310408725 6733459.819477147 18.12, -35197.290997075266 6733460.100835247 18.19, -35197.188658919884 6733460.177175365 18.21, -35196.97261170263 6733460.338337835 18.21, -35196.9370546483 6733460.373711112 18.22, -35196.69448394701 6733460.368826773 18.31, -35196.51147266978 6733460.372608444 18.400000000000002, -35196.25897539873 6733460.366279771 18.490000000000002, -35196.11711474031 6733460.365912214 18.54, -35195.722756812815 6733460.359215982 18.6, -35195.66608606081 6733460.330696827 18.61, -35195.58252426842 6733460.277991528 18.64, -35195.554188892245 6733460.263731952 18.64, -35195.37713873747 6733460.156877013 18.650000000000002, -35194.99470305245 6733459.92890756 18.66, -35194.901214690064 6733459.874757923 18.67, -35194.685902589816 6733459.752199076 18.67, -35194.547114382265 6733459.661048052 18.67, -35194.48051706026 6733459.631084564 18.67, -35194.05133719742 6733459.376040299 18.650000000000002, -35193.90262242034 6733459.283444938 18.66, -35193.55700434977 6733459.081105981 18.66, -35193.52866897464 6733459.066846404 18.66, -35193.49185136426 6733459.041215922 18.66, -35193.47344255913 6733459.02840068 18.66, -35193.296392406686 6733458.92154575 18.66, -35193.13775106042 6733458.827506057 18.66, -35192.92243896355 6733458.704947214 18.66, -35192.848803742905 6733458.653686252 18.66, -35192.74538881215 6733458.598092284 18.64, -35192.69016239699 6733458.559646562 18.64, -35192.578265231336 6733458.492681688 18.64, -35192.104678537 6733458.40350046 18.650000000000002, -35192.05504568643 6733458.396278785 18.650000000000002, -35191.907591471216 6733458.364687184 18.64, -35191.85795862123 6733458.357465507 18.64, -35191.68090847158 6733458.250610582 18.64, -35191.569011307205 6733458.18364571 18.650000000000002, -35191.49393175263 6733458.142311318 18.66, -35191.401887728134 6733458.078235117 18.650000000000002, -35191.094531610725 6733457.89160008 18.63, -35191.02937862661 6733457.85171002 18.62, -35190.83391967369 6733457.732039855 18.59, -35190.77869325946 6733457.6935941335 18.59, -35190.68538867566 6733457.5685141785 18.56, -35190.5765639575 6733457.4107658435 18.55, -35190.51863264851 6733457.321242937 18.53, -35190.351876620436 6733457.073971702 18.52, -35190.2854630762 6733456.97307789 18.52, -35190.23312533181 6733456.914779032 18.53, -35190.13278284762 6733456.768401603 18.53, -35190.13711585244 6733456.738621893 18.54, -35190.12881739228 6733456.656320665 18.54, -35190.08569697966 6733456.325671413 18.56, -35190.0801034146 6733456.294447368 18.56, -35190.07595418452 6733456.2532967515 18.56, -35190.05917348841 6733456.1596246185 18.57, -35190.042576566455 6733455.995022159 18.580000000000002, -35190.02868453984 6733455.881496886 18.580000000000002, -35189.966078531696 6733455.406098316 18.56, -35189.984671110404 6733455.34798323 18.56, -35190.09026546753 6733455.109929324 18.55, -35190.23719421099 6733454.796795864 18.53, -35190.25145378499 6733454.768460489 18.53, -35190.255786789116 6733454.738680777 18.53, -35190.43412334868 6733454.349023424 18.5, -35190.54116203787 6733454.101042948 18.490000000000002, -35190.62816381478 6733453.921104122 18.47, -35190.658127296716 6733453.854506801 18.48, -35190.8279816173 6733453.453478538 18.46, -35190.869316003635 6733453.37839898 18.45, -35190.91642772767 6733453.263613142 18.44, -35191.00487383711 6733453.0737477485 18.41, -35191.15035824012 6733452.770540849 18.35, -35191.164617813774 6733452.742205473 18.35, -35191.312990884646 6733452.41914543 18.330000000000002, -35191.34006569674 6733452.372401248 18.330000000000002, -35191.50125400501 6733452.030932399 18.3, -35191.53266181995 6733451.954408509 18.29, -35191.606848354335 6733451.792878485 18.26, -35191.69385012705 6733451.612939658 18.23, -35191.750888419105 6733451.499598153 18.21, -35191.75377708778 6733451.479745011 18.2, -35191.76659232681 6733451.461336204 18.2, -35191.85937143583 6733451.241691096 18.18, -35191.917854061816 6733451.118423018 18.17, -35192.006300167646 6733450.928557618 18.150000000000002, -35192.113338847994 6733450.680577131 18.13, -35192.130487089395 6733450.632388612 18.13, -35192.19041404885 6733450.4991939645 18.12, -35192.216044525965 6733450.4623763515 18.11, -35192.24745233962 6733450.385852455 18.11, -35192.30593496468 6733450.26258438 18.09, -35192.41152930935 6733450.024530461 18.04, -35192.471456268104 6733449.891335812 18.04, -35192.58986585052 6733449.634873084 18.05, -35192.61134709348 6733449.556904852 18.06, -35192.718385770684 6733449.308924363 18.04, -35192.78264573042 6733449.145950002 18.05, -35192.8940174086 6733448.868189797 18.05, -35192.9140543167 6733448.800148138 18.05, -35193.05864567391 6733448.294076812 18.11, -35193.06153434166 6733448.274223672 18.11, -35193.064423009404 6733448.254370531 18.12, -35193.07868258166 6733448.226035153 18.12, -35193.10016382288 6733448.148066924 18.13, -35193.19764345931 6733447.756781438 18.18, -35193.27634675428 6733447.49454137 18.21, -35193.342234810814 6733447.2507101055 18.18, -35193.3823086241 6733447.114626789 18.18, -35193.39097462664 6733447.055067367 18.16, -35193.49693649472 6733446.675152782 18.23, -35193.51697340107 6733446.607111123 18.23, -35193.51986206835 6733446.587257984 18.23, -35193.57997278718 6733446.383133002 18.26, -35193.584305788274 6733446.353353289 18.26, -35193.618602265604 6733446.256976252 18.27, -35193.664269647095 6733446.152116979 18.28, -35193.69423312403 6733446.085519649 18.28, -35193.70704836189 6733446.06711084 18.28, -35193.89242278936 6733445.698750925 18.240000000000002, -35193.94801674108 6733445.595335985 18.23, -35193.97798021708 6733445.528738657 18.21, -35194.04927807371 6733445.387061761 18.18, -35194.203244689736 6733445.09522574 18.13, -35194.30450602074 6733444.886951523 18.1, -35194.39150778088 6733444.707012679 18.05, -35194.46424996969 6733444.555409214 18.06, -35194.52128825348 6733444.4420676995 18.09, -35194.61821658304 6733444.26357319 18.11, -35194.70377400855 6733444.093560917 18.13, -35194.74221972097 6733444.038334492 18.13, -35194.75503495848 6733444.019925686 18.13, -35194.820555479266 6733443.9179550735 18.12, -35194.92596604559 6733443.750831465 18.11, -35195.00285746995 6733443.640378618 18.09, -35195.06548932369 6733443.558261146 18.07, -35195.07974889455 6733443.529925767 18.06, -35195.11819460662 6733443.474699342 18.06, -35195.170899890014 6733443.391137536 18.05, -35195.20790126838 6733443.345837684 18.03, -35195.35320187954 6733443.113561078 18.02, -35195.46998334874 6733442.937955233 17.990000000000002, -35195.635137100704 6733442.708567292 17.97, -35195.76762247353 6733442.494699493 17.92, -35195.87158870476 6733442.3375024535 17.94, -35196.012556314585 6733442.135005557 17.91, -35196.05244635942 6733442.06985256 17.91, -35196.103707308066 6733441.996217325 17.900000000000002, -35196.24467491743 6733441.793720428 17.900000000000002, -35196.503868326894 6733441.405691109 17.85, -35196.54375837161 6733441.3405381115 17.85, -35196.596463653026 6733441.256976304 17.84, -35196.77732130571 6733440.989326407 17.8, -35196.936881482834 6733440.728714412 17.76, -35196.96395628981 6733440.681970222 17.75, -35196.988142431015 6733440.655079174 17.76, -35197.079293423216 6733440.516290938 17.76, -35197.10492389719 6733440.479473322 17.73, -35197.146258274326 6733440.40439375 17.71, -35197.38126553898 6733440.04325547 17.71, -35197.405451679835 6733440.016364423 17.71, -35197.56356752233 6733439.7656789925 17.67, -35197.64045894402 6733439.655226137 17.650000000000002, -35197.798574785236 6733439.404540708 17.64, -35197.93106015283 6733439.190672898 17.64, -35198.11299461697 6733439.054957083 17.59, -35198.27218727337 6733438.936205745 17.52, -35198.55645987461 6733438.724149781 17.38, -35198.61187006207 6733438.69166516 17.36, -35198.634611870046 6733438.674700684 17.34, -35198.647427106975 6733438.656291874 17.34, -35198.68153981911 6733438.630845158 17.32, -35198.79380452726 6733438.555949341 17.240000000000002, -35199.009851704584 6733438.394786809 17.12, -35199.02266694151 6733438.376377999 17.12, -35199.090892365784 6733438.325484567 17.1, -35199.29556863953 6733438.172804274 17.04, -35199.35242316045 6733438.130393075 17.01, -35199.4775031053 6733438.037088453 16.97, -35199.63669576321 6733437.918337107 16.91, -35199.87404041714 6733437.750136666 16.84, -35200.02330650401 6733437.629940988 16.79, -35200.0801610247 6733437.587529794 16.76, -35200.216611874406 6733437.485742927 16.740000000000002, -35200.48806924198 6733437.292095765 16.61, -35200.51081105042 6733437.275131287 16.6, -35200.569109904114 6733437.2227935195 16.57, -35200.996871265816 6733436.9302481515 16.38, -35201.08639416681 6733436.872316812 16.34, -35201.232771588955 6733436.771974276 16.25, -35201.36777810764 6733436.680113976 16.17, -35201.71594314184 6733436.446944276 15.96, -35201.73868495051 6733436.4299797965 15.950000000000001, -35201.76287109172 6733436.4030887475 15.93, -35201.96465870342 6733436.270261586 15.790000000000001, -35202.12096269848 6733436.171363379 15.67, -35202.18918812461 6733436.12046994 15.64, -35202.268784454325 6733436.061094268 15.610000000000001, -35202.40379097359 6733435.969233966 15.55, -35202.504684780026 6733435.902820385 15.51, -35202.67380401236 6733435.7855133675 15.43, -35202.831552341 6733435.676688584 15.35, -35202.932446147664 6733435.610275002 15.290000000000001, -35203.11293628486 6733435.484485743 15.21, -35203.316168231424 6733435.341732004 15.13, -35203.47247222788 6733435.242833794 15.05, -35203.506584940944 6733435.217387075 15.040000000000001, -35203.56343946315 6733435.174975875 15.02, -35203.890307025984 6733434.948844072 14.9, -35203.92297540698 6733434.9333239235 14.89, -35204.29388225614 6733434.68318973 14.76, -35204.316624065395 6733434.666225249 14.76, -35204.339365874184 6733434.6492607705 14.75, -35204.38177707244 6733434.706115294 14.76, -35204.52038157219 6733434.868196621 14.780000000000001, -35204.588239489705 6733434.959163859 14.780000000000001, -35204.673061886104 6733435.072872903 14.790000000000001, -35204.81166638527 6733435.234954235 14.780000000000001, -35204.90641535388 6733435.350107617 14.780000000000001, -35204.99123775016 6733435.463816662 14.77, -35205.026611041394 6733435.499373709 14.780000000000001, -35205.05205775995 6733435.533486425 14.780000000000001, -35205.15528896835 6733435.660010708 14.8, -35205.24155569705 6733435.763793182 14.8, -35205.481947071035 6733436.062325373 14.790000000000001, -35205.49891154992 6733436.085067184 14.790000000000001, -35205.602142757736 6733436.211591472 14.82, -35205.662962767645 6733436.281261232 14.82, -35205.92880085972 6733436.61390614 14.83, -35205.94576533907 6733436.63664795 14.83, -35206.02354982763 6733436.729059525 14.84, -35206.18615671154 6733436.935180147 14.85, -35206.211603430216 6733436.969292862 14.85, -35206.37746649317 6733437.013699665 14.84, -35206.57310927415 6733437.062439463 14.85, -35206.78860519943 6733437.114067929 14.84, -35206.81838491652 6733437.118400927 14.83, -35206.924688546686 6733437.154141732 14.83, -35207.19974390743 6733437.214436195 14.83, -35207.30604753806 6733437.250177002 14.83, -35207.44357521902 6733437.280324232 14.83, -35207.48328150867 6733437.286101561 14.83, -35207.445912613184 6733437.473262107 14.84, -35207.4056550517 6733437.680275795 14.85, -35207.39410038886 6733437.7596883755 14.86, -35207.388323057676 6733437.799394666 14.86, -35207.34806549526 6733438.006408354 14.870000000000001, -35207.343732496374 6733438.036188073 14.88, -35207.309252265026 6733438.203495472 14.9, -35207.37151660735 6733438.263238663 14.91, -35207.50597186363 6733438.384169384 14.9, -35207.58520068496 6733438.466654389 14.91, -35207.665873839054 6733438.539212818 14.9, -35207.69276489038 6733438.563398965 14.91, -35207.91493120801 6733438.77818559 14.92, -35208.022495413315 6733438.8749301685 14.93, -35208.06635094341 6733438.921858124 14.93, -35208.37911698781 6733439.210647521 14.92, -35208.406008039135 6733439.234833665 14.92, -35208.43145475746 6733439.268946383 14.93, -35208.592801065766 6733439.414063249 14.950000000000001, -35208.67347422021 6733439.486621681 14.94, -35208.914049349725 6733439.714223556 14.96, -35208.939496067935 6733439.748336275 14.96, -35209.00320474338 6733439.798152896 14.97, -35209.24377987336 6733440.025754771 14.99, -35209.36830855778 6733440.145241163 14.99, -35209.45746395143 6733440.229170504 15, -35209.49283724232 6733440.264727553 15, -35209.519728293875 6733440.2889137 15, -35209.68107460253 6733440.43403057 15.01, -35209.849458817625 6733440.600444918 15.01, -35209.91172316007 6733440.660188115 15.02, -35209.94709645072 6733440.695745167 15.02, -35210.090033947374 6733440.8280468015 15.02, -35210.14381605061 6733440.87641909 15.02, -35210.23297144438 6733440.960348434 15.02, -35210.455137762474 6733441.175135076 15.030000000000001, -35210.527328677475 6733441.236322608 15.030000000000001, -35210.57118420745 6733441.283250566 15.030000000000001, -35210.83016815013 6733441.523667689 15.030000000000001, -35210.90939697146 6733441.606152698 15.030000000000001, -35211.08770775888 6733441.774011389 15.05, -35211.27594511956 6733441.943314412 15.06, -35211.346691701445 6733442.014428516 15.07, -35211.40047380468 6733442.06280081 15.07, -35211.47970262577 6733442.1452858215 15.08, -35211.64953117445 6733442.301773606 15.09, -35211.783986432245 6733442.422704338 15.09, -35211.83632420201 6733442.4810032025 15.09, -35211.9085151169 6733442.542190737 15.1, -35211.970779459574 6733442.601933936 15.1, -35212.21983682946 6733442.840906736 15.13, -35212.318918796955 6733442.926280415 15.15, -35212.470338533516 6733443.069952963 15.17, -35212.621758270194 6733443.213625508 15.18, -35212.6740960395 6733443.271924377 15.19, -35212.86233340064 6733443.441227408 15.200000000000001))</t>
  </si>
  <si>
    <t>['FV558 S1D1 m3544-3584', 'FV558 S1D1 m3588 KD1 m70-76']</t>
  </si>
  <si>
    <t>LINESTRING Z (-35226.64267112559 6733439.648082382 15.73, -35226.4417764988 6733439.983774076 15.69, -35226.38762686483 6733440.077262492 15.68, -35226.15965741989 6733440.459698389 15.69, -35226.12121169432 6733440.51492484 15.69, -35225.931687973905 6733440.842134285 15.69, -35225.84053694701 6733440.980922572 15.69, -35225.692347618286 6733441.23305242 15.700000000000001, -35225.61256749905 6733441.363358466 15.71, -35225.58549268171 6733441.410102672 15.71, -35225.400301959715 6733441.707532392 15.72, -35225.21077823546 6733442.034741836 15.73, -35224.99851269438 6733442.378915755 15.72, -35224.96999354265 6733442.435586535 15.72, -35224.944363058545 6733442.472404166 15.72, -35224.823248544475 6733442.6777898045 15.73, -35224.78335848439 6733442.742942825 15.72, -35224.70357836434 6733442.873248864 15.700000000000001, -35224.57253727503 6733443.077190168 15.71, -35224.410088365665 6733443.357655399 15.700000000000001, -35224.3844578811 6733443.394473031 15.700000000000001, -35224.305229048594 6733443.311988003 15.69, -35224.25144693733 6733443.263615701 15.68, -35224.216073641204 6733443.228058644 15.69, -35224.066098216106 6733443.074459497 15.700000000000001, -35224.00383386412 6733443.01471629 15.71, -35223.81704080943 6733442.835486661 15.71, -35223.720847495366 6733442.730259816 15.72, -35223.67554762459 6733442.693258427 15.72, -35223.60624536616 6733442.612217736 15.72, -35223.543981014285 6733442.552474528 15.71, -35223.367114533554 6733442.374689236 15.71, -35223.17183923803 6733442.184088702 15.68, -35223.04027262761 6733442.0433048075 15.66, -35222.9780082762 6733441.983561596 15.66, -35222.95959946106 6733441.970746356 15.66, -35222.69502190687 6733441.699105137 15.620000000000001, -35222.65964861051 6733441.663548079 15.610000000000001, -35222.482782129664 6733441.485762792 15.59, -35222.42051777814 6733441.426019585 15.59, -35222.34977118601 6733441.354905469 15.58, -35222.19131351996 6733441.189935424 15.58, -35222.022929279716 6733441.023521047 15.58, -35221.88991833571 6733440.892663727 15.58, -35221.802207262255 6733440.798807798 15.6, -35221.51922089292 6733440.514351346 15.63, -35221.26168124541 6733440.264007619 15.65, -35221.12163239438 6733440.111852818 15.65, -35220.96173039463 6733439.956809354 15.66, -35220.678744025296 6733439.672352906 15.66, -35220.60799743305 6733439.601238796 15.68, -35220.57262413716 6733439.565681736 15.68, -35220.456577674486 6733439.457566239 15.68, -35220.22015174944 6733439.271114961 15.68, -35220.18333412032 6733439.245484478 15.68, -35220.15644306503 6733439.221298332 15.68, -35220.08425213932 6733439.160110795 15.67, -35219.782673196634 6733438.933769465 15.65, -35219.717520178994 6733438.893879412 15.65, -35219.657776976586 6733438.956143763 15.64, -35219.63503516209 6733438.973108244 15.64, -35219.610849014716 6733438.9999993 15.64, -35219.36194963218 6733439.247612371 15.6, -35219.23109232029 6733439.380623317 15.6, -35219.04193613981 6733439.565972039 15.59, -35218.80585199711 6733439.795176294 15.55, -35218.71199607372 6733439.882887364 15.540000000000001, -35218.616695816745 6733439.98052501 15.530000000000001, -35218.5583969478 6733440.032862788 15.51, -35218.41472439573 6733440.184282543 15.46, -35218.29668232449 6733440.298884669 15.42, -35218.20301016094 6733440.31566539 15.4, -35218.00573926035 6733440.347782498 15.370000000000001, -35217.798541786615 6733440.378455273 15.35, -35217.579973406275 6733440.4176102895 15.31, -35217.36140502663 6733440.456765304 15.3, -35217.33018097235 6733440.462358877 15.3, -35217.298956918065 6733440.467952451 15.290000000000001, -35217.03923791135 6733440.511256708 15.25, -35216.9554923228 6733440.52948176 15.23, -35216.89304421481 6733440.540668907 15.22, -35216.789445478935 6733440.556005296 15.21, -35216.74558994488 6733440.509077335 15.200000000000001, -35216.59561452875 6733440.3554782085 15.200000000000001, -35216.49942122027 6733440.250251381 15.200000000000001, -35216.34944580414 6733440.096652254 15.18, -35216.2178792014 6733439.955868375 15.18, -35216.11175931909 6733439.849197214 15.17, -35215.94481942244 6733439.672856279 15.16, -35215.75947071193 6733439.483700103 15.15, -35215.71561517753 6733439.436772145 15.15, -35215.548675280996 6733439.260431211 15.14, -35215.521784226876 6733439.236245064 15.14, -35215.48785526643 6733439.190761436 15.14, -35215.41566434491 6733439.129573904 15.14, -35215.240242208005 6733438.941862064 15.14, -35215.1694956196 6733438.870747961 15.14, -35215.04641125735 6733438.741334989 15.13, -35214.84409806598 6733438.529437006 15.14, -35214.800242531695 6733438.482509046 15.14, -35214.491809458355 6733438.163939908 15.14, -35214.456436164444 6733438.128382856 15.14, -35214.3956161493 6733438.058713086 15.14, -35214.36024285515 6733438.023156033 15.14, -35214.21874967893 6733437.880927824 15.13, -35213.99947200739 6733437.646288032 15.13, -35213.8848698847 6733437.528245972 15.13, -35213.64718339918 6733437.280790943 15.13, -35213.5594723305 6733437.186935029 15.13, -35213.54106351687 6733437.174119789 15.14, -35213.28641255107 6733436.90392295 15.11, -35213.24255701667 6733436.856994991 15.11, -35212.994943957776 6733436.608095637 15.13, -35212.90723288886 6733436.514239721 15.120000000000001, -35212.77566628542 6733436.373455853 15.11, -35212.69643745711 6733436.290970845 15.11, -35212.492679932504 6733436.088999449 15.1, -35212.40641319624 6733435.985216963 15.09, -35212.283328832826 6733435.855804002 15.08, -35212.23802896601 6733435.818802618 15.07, -35212.15031789709 6733435.724946704 15.06, -35211.990415907 6733435.569903267 15.06, -35211.70887388673 6733435.275520293 15.040000000000001, -35211.62260715 6733435.1717378115 15.030000000000001, -35211.52496950794 6733435.076437569 15.030000000000001, -35211.3226563161 6733434.864539606 15, -35211.26887420879 6733434.816167316 14.99, -35211.234945247066 6733434.770683695 14.99, -35210.85576558416 6733434.381000487 14.97, -35210.81191004941 6733434.334072536 14.96, -35210.47803025355 6733433.981390712 14.91, -35210.4511391999 6733433.95720457 14.9, -35210.230417194194 6733433.732491373 14.9, -35210.19504390028 6733433.696934326 14.89, -35210.063477296266 6733433.556150466 14.89, -35210.01962176163 6733433.509222509 14.89, -35209.78193527507 6733433.2617675075 14.93, -35209.70270644652 6733433.179282504 14.93, -35209.596586563974 6733433.072611361 14.93, -35209.436868326855 6733432.846637593 14.93, -35209.34356368147 6733432.721557636 14.93, -35209.06509407656 6733432.336391197 14.92, -35209.02268287435 6733432.279536671 14.9, -35208.997236152296 6733432.24542396 14.89, -35208.86152030376 6733432.06348948 14.88, -35208.75269550888 6733431.905741142 14.85, -35208.667873103404 6733431.792032092 14.85, -35208.60849741951 6733431.712435759 14.85, -35208.73791036813 6733431.589351393 14.870000000000001, -35208.83465493459 6733431.481787175 14.89, -35208.92995516886 6733431.384149532 14.89, -35209.144741779426 6733431.161983188 14.9, -35209.275599060114 6733431.028972249 14.91, -35209.43208681443 6733430.859143681 14.93, -35209.622687283205 6733430.663868389 14.93, -35209.68243047118 6733430.601604039 14.93, -35209.73080275406 6733430.547821931 14.97, -35209.837473893655 6733430.441702041 14.950000000000001, -35209.992517315666 6733430.281800045 14.99, -35210.02951869392 6733430.236500176 15.01, -35210.05370483559 6733430.20960912 15.02, -35210.50746419735 6733429.7383853635 15.200000000000001, -35210.54302124365 6733429.703012068 15.200000000000001, -35210.752030526404 6733429.5205520075 15.27, -35210.79751414596 6733429.486623043 15.290000000000001, -35210.810329382424 6733429.468214229 15.290000000000001, -35210.9269270947 6733429.363538668 15.33, -35211.03070957039 6733429.277271925 15.370000000000001, -35211.147307282314 6733429.172596367 15.39, -35211.24116318475 6733429.084885291 15.42, -35211.532657466014 6733428.823196388 15.48, -35211.55684360745 6733428.796305332 15.49, -35211.87107969809 6733428.517651949 15.540000000000001, -35212.007530556875 6733428.415865052 15.56, -35212.07864464971 6733428.345118456 15.56, -35212.18387145747 6733428.248925137 15.59, -35212.35732369451 6733428.101838366 15.610000000000001, -35212.449735265924 6733428.0240538595 15.620000000000001, -35212.50803412241 6733427.971716076 15.63, -35212.54214683699 6733427.946269352 15.64, -35212.71704340575 6733427.78925601 15.67, -35212.96160973655 6733427.571422639 15.67, -35213.07531878608 6733427.486600224 15.67, -35213.08957835438 6733427.458264832 15.68, -35213.494781686575 6733427.111753501 15.77, -35213.57437802141 6733427.05237781 15.780000000000001, -35213.5985641632 6733427.0254867505 15.780000000000001, -35213.91135592433 6733426.756759926 15.81, -35213.982470017276 6733426.68601333 15.82, -35214.02795363753 6733426.65208436 15.83, -35214.09906773036 6733426.58133776 15.84, -35214.340745399124 6733426.38335753 15.89, -35214.411859492306 6733426.312610932 15.9, -35214.5611255893 6733426.1924152095 15.9, -35214.826989399735 6733425.967543922 15.870000000000001, -35214.964884591755 6733425.855830442 15.9, -35215.104224115494 6733425.734190389 15.92, -35215.277676354744 6733425.587103607 15.94, -35215.35871702165 6733425.517801337 15.96, -35215.63595173799 6733425.284447799 16, -35215.694250594825 6733425.232110015 16.02, -35215.90181554982 6733425.059576503 16.04, -35215.948743501445 6733425.015720959 16.04, -35215.98285621649 6733424.990274234 16.05, -35216.179050266626 6733424.826222961 16.080000000000002, -35216.27290617011 6733424.738511875 16.080000000000002, -35216.35250250611 6733424.67913618 16.1, -35216.5273990772 6733424.522122819 16.09, -35216.72359312745 6733424.358071548 16.09, -35216.79181855847 6733424.30717809 16.1, -35217.05768237123 6733424.082306788 16.15, -35217.080424181535 6733424.065342302 16.15, -35217.17428008572 6733423.977631212 16.17, -35217.208392800996 6733423.952184486 16.18, -35217.357658899855 6733423.831988756 16.18, -35217.55529728194 6733423.658010907 16.2, -35217.704563380685 6733423.537815176 16.21, -35217.92494357354 6733423.346872839 16.21, -35217.99461333617 6733423.286052807 16.2, -35218.02872605168 6733423.260606079 16.2, -35218.09839581419 6733423.1997860465 16.21, -35218.39981667546 6733422.939541435 16.28, -35218.941470878315 6733422.491243141 16.27, -35218.954286114895 6733422.472834322 16.27, -35219.15048016689 6733422.30878304 16.28, -35219.34667421901 6733422.144731759 16.32, -35219.5769809871 6733421.955233744 16.37, -35219.74050665472 6733421.806702615 16.4, -35219.820102992 6733421.747326912 16.41, -35219.902587991324 6733421.668098061 16.42, -35219.99499956472 6733421.590313541 16.43, -35220.05185409158 6733421.547902324 16.45, -35220.14426566544 6733421.4701178 16.45, -35220.4343156229 6733421.21835542 16.47, -35220.64188058174 6733421.045821886 16.490000000000002, -35220.919115303666 6733420.8124683155 16.5, -35221.035713019315 6733420.707792734 16.5, -35221.33424522157 6733420.467401249 16.51, -35221.52051270101 6733420.301905626 16.52, -35221.69396494387 6733420.154818823 16.52, -35222.11053919408 6733419.799825172 16.51, -35222.259805295966 6733419.679629426 16.53, -35222.549855255755 6733419.427867029 16.56, -35222.61952501931 6733419.367046991 16.57, -35222.64226683043 6733419.350082503 16.57, -35222.85127612157 6733419.167622386 16.59, -35223.001986554125 6733419.037500066 16.580000000000002, -35223.09439812892 6733418.959715538 16.57, -35223.152696987265 6733418.90737774 16.57, -35223.35033537354 6733418.733399866 16.57, -35223.687313286704 6733418.437781912 16.59, -35223.80391100375 6733418.3331063185 16.59, -35223.89776690933 6733418.245395215 16.6, -35224.02429120091 6733418.142163954 16.6, -35224.14088891796 6733418.037488361 16.6, -35224.20911435119 6733417.986594895 16.6, -35224.31434116245 6733417.890401546 16.61, -35224.47642250161 6733417.751796976 16.6, -35224.51197954919 6733417.716423665 16.6, -35224.57027840766 6733417.66408587 16.59, -35224.62713293533 6733417.621674648 16.59, -35224.72098884138 6733417.5339635415 16.59, -35225.12619219022 6733417.187452106 16.580000000000002, -35225.150378332124 6733417.160561044 16.580000000000002, -35225.545655106194 6733416.812605275 16.61, -35225.63951101224 6733416.724894169 16.62, -35225.67217939871 6733416.709374009 16.62, -35225.76603530464 6733416.621662903 16.61, -35225.9636736922 6733416.447685016 16.6, -35226.13857026852 6733416.290671618 16.59, -35226.20679570257 6733416.239778148 16.59, -35226.40443409025 6733416.065800262 16.6, -35226.474103854736 6733416.004980217 16.61, -35226.695928384666 6733415.804111262 16.63, -35226.932379955426 6733415.433046194 16.67, -35227.12894148694 6733415.127134163 16.66, -35227.3383182541 6733414.802813308 16.67, -35227.403838764294 6733414.70084263 16.67, -35227.496434076806 6733414.552127733 16.67, -35227.614659860614 6733414.366595197 16.65, -35227.681624700665 6733414.254697942 16.64, -35227.6336198902 6733414.166619357 16.64, -35227.57713283447 6733414.067169864 16.63, -35227.50223695813 6733413.954905137 16.62, -35227.4302297415 6733413.822787262 16.62, -35227.3638161103 6733413.721893439 16.62, -35227.23243317718 6733413.510179224 16.63, -35227.125052649295 6733413.342504299 16.64, -35227.084085753304 6733413.275723195 16.65, -35226.90469800774 6733412.975930398 16.68, -35226.8242085455 6733412.832441616 16.7, -35226.72531026194 6733412.676137599 16.71, -35226.315641295514 6733412.008326579 16.73, -35226.27467439871 6733411.941545475 16.73, -35226.2577099083 6733411.918803663 16.73, -35226.3060821885 6733411.865021532 16.73, -35226.33171265898 6733411.8282038905 16.73, -35226.90080912097 6733411.191300539 16.740000000000002, -35226.93636616669 6733411.155927226 16.73, -35227.166856663884 6733410.895498807 16.72, -35227.21667327429 6733410.831790095 16.72, -35227.32478874072 6733410.715743582 16.73, -35227.38453192625 6733410.653479202 16.740000000000002, -35227.57802104822 6733410.438350666 16.78, -35227.77151016996 6733410.223222128 16.79, -35227.88106996589 6733410.0972490385 16.79, -35227.97781452665 6733409.989684768 16.81, -35228.003444996546 6733409.952867125 16.81, -35228.24530639849 6733409.683956449 16.830000000000002, -35228.293678678805 6733409.630174313 16.830000000000002, -35228.525429773144 6733409.430749665 16.830000000000002, -35228.54961591307 6733409.403858598 16.84, -35228.583728628815 6733409.378411859 16.84, -35228.65339839028 6733409.317591809 16.830000000000002, -35228.72306815139 6733409.256771756 16.830000000000002, -35229.108418333344 6733408.907371601 16.84, -35229.17808809469 6733408.84655155 16.85, -35229.39846828394 6733408.655609144 16.84, -35229.51506599644 6733408.550933528 16.86, -35229.60747756844 6733408.473148981 16.85, -35229.746817091596 6733408.351508874 16.85, -35229.80511594715 6733408.29917107 16.84, -35229.955826375866 6733408.1690487135 16.84, -35230.01556956151 6733408.10678433 16.85, -35230.247320657014 6733407.907359672 16.85, -35230.30417518376 6733407.864948439 16.85, -35230.41643990786 6733407.790052554 16.86, -35230.531593291205 6733407.69530351 16.86, -35230.75756706938 6733407.535585156 16.85, -35230.90394450992 6733407.435242525 16.85, -35231.00772698759 6733407.348975731 16.86, -35231.154104429064 6733407.248633099 16.85, -35231.381522537326 6733407.078988167 16.82, -35231.45967454568 6733407.029539015 16.8, -35231.56201269454 6733406.953198796 16.8, -35231.675721748965 6733406.868376328 16.79, -35231.74394718208 6733406.817482845 16.79, -35231.80080170918 6733406.7750716135 16.79, -35232.14192887314 6733406.520604208 16.79, -35232.468796473695 6733406.2944722 16.77, -35232.59387643426 6733406.201167486 16.78, -35232.87670474313 6733405.999037883 16.78, -35232.94637450541 6733405.938217829 16.79, -35233.09419627732 6733405.827948617 16.8, -35233.13823557063 6733405.803946203 16.81, -35233.693598157144 6733405.540103398 16.830000000000002, -35233.737637450104 6733405.516100987 16.84, -35233.76886150846 6733405.510507397 16.84, -35233.856940094964 6733405.462502573 16.85, -35233.94357435196 6733405.424424327 16.86, -35234.108360619866 6733405.3368969215 16.86, -35234.2489607468 6733405.276260592 16.85, -35234.4449710733 6733405.183139598 16.85, -35234.50038127275 6733405.150654937 16.84, -35234.685020693694 6733405.066016192 16.84, -35234.761728374986 6733405.026493615 16.84, -35234.923625985626 6733404.958819364 16.84, -35235.01170457306 6733404.910814536 16.84, -35235.163675607066 6733404.841695955 16.84, -35235.38098341797 6733404.741537043 16.85, -35235.447764523095 6733404.700570136 16.85, -35235.5343987816 6733404.662491888 16.85, -35235.611106463824 6733404.622969308 16.85, -35235.69774072268 6733404.584891057 16.85, -35235.90512195788 6733404.483287813 16.86, -35236.385221206 6733404.249040996 16.87, -35236.406518688775 6733404.242003074 16.87, -35236.91784199909 6733404.0021626605 16.830000000000002, -35237.13659414253 6733403.892077168 16.84, -35237.5271704779 6733403.715761747 16.830000000000002, -35237.778591012 6733403.590156082 16.86, -35237.876596178394 6733403.543595584 16.87, -35238.0399381232 6733403.46599475 16.89, -35238.191909161746 6733403.396876166 16.92, -35238.25869026908 6733403.3559092535 16.92, -35238.32402704703 6733403.324868921 16.93, -35238.694750233204 6733403.1456648335 16.95, -35238.93479986396 6733403.028541415 16.98, -35239.03280503128 6733402.981980916 16.97, -35239.47175365721 6733402.751883337 16.95, -35239.60242721485 6733402.689802666 16.93, -35239.711803289596 6733402.634759916 16.92, -35239.89788704936 6733402.540194583 16.89, -35240.06122899742 6733402.462593744 16.86, -35240.321632005274 6733403.250600641 16.94, -35240.33715217281 6733403.283269029 16.94, -35240.46942830447 6733403.697847798 16.87, -35240.48494847107 6733403.73051619 16.86, -35240.385315245134 6733403.857933639 16.86, -35240.25716288958 6733404.042021892 16.87, -35240.156085334136 6733404.179365917 16.88, -35240.079377647606 6733404.218888501 16.89, -35239.968557242304 6733404.283857825 16.89, -35239.89184955601 6733404.323380407 16.89, -35239.8364393533 6733404.35586507 16.88, -35239.58357448247 6733404.491397313 16.9, -35239.462827500305 6733404.554922309 16.89, -35239.31933870609 6733404.635411798 16.88, -35239.14318152191 6733404.731421457 16.86, -35238.812164638075 6733404.916402852 16.86, -35238.73401262355 6733404.965852008 16.86, -35238.712715140195 6733404.972889929 16.86, -35238.525187050924 6733405.077381831 16.85, -35238.42573755281 6733405.133868909 16.85, -35238.274659657036 6733405.405852017 16.82, -35238.26040009211 6733405.434187422 16.82, -35238.109322195174 6733405.706170529 16.82, -35238.02665346372 6733405.856329787 16.82, -35237.9154656023 6733406.063159844 16.81, -35237.86131600058 6733406.156648297 16.8, -35237.83279687038 6733406.2133191 16.8, -35237.780091598164 6733406.296880973 16.79, -35237.76583203301 6733406.325216374 16.79, -35237.72179273714 6733406.349218789 16.78, -35237.59815709817 6733406.432596932 16.78, -35237.3211060887 6733406.595020235 16.77, -35237.12076276459 6733406.71792096 16.77, -35237.00705370295 6733406.802743431 16.76, -35236.8962332994 6733406.867712752 16.76, -35236.59644047986 6733407.047100543 16.740000000000002, -35236.550956854946 6733407.0810295325 16.740000000000002, -35236.48417574738 6733407.12199644 16.740000000000002, -35236.217051317566 6733407.285864066 16.75, -35236.18438292842 6733407.301384231 16.740000000000002, -35236.10623091506 6733407.350833385 16.740000000000002, -35236.00533708942 6733407.417247031 16.73, -35235.6813581296 6733407.623525894 16.740000000000002, -35235.63731883513 6733407.647528303 16.740000000000002, -35235.581908633816 6733407.680012964 16.740000000000002, -35235.40286279563 6733407.795875762 16.73, -35235.18122199213 6733407.925814396 16.73, -35234.96950776584 6733408.0571973575 16.73, -35234.92402414151 6733408.091126346 16.73, -35234.74497830414 6733408.206989144 16.73, -35234.68956810364 6733408.239473801 16.73, -35234.34429166454 6733408.452790574 16.7, -35234.0984647217 6733408.609620271 16.71, -35233.97627341526 6733408.683071834 16.71, -35233.86400868511 6733408.757967724 16.71, -35233.831340296776 6733408.773487888 16.71, -35233.785856672795 6733408.807416877 16.71, -35233.717631237465 6733408.858310355 16.71, -35233.57125378959 6733408.958652986 16.71, -35233.47035996569 6733409.025066632 16.71, -35233.44906248362 6733409.032104544 16.71, -35233.110823965166 6733409.266718794 16.72, -35233.08952648309 6733409.273756708 16.72, -35233.03122762381 6733409.326094518 16.71, -35232.95307561185 6733409.37554367 16.71, -35232.717175247846 6733409.533817692 16.71, -35232.68306253024 6733409.55926443 16.71, -35232.58216870681 6733409.625678074 16.7, -35232.2993403899 6733409.827807657 16.69, -35232.17570475547 6733409.911185791 16.69, -35232.052069120924 6733409.994563925 16.69, -35231.87302328716 6733410.110426714 16.68, -35231.74938765273 6733410.193804849 16.69, -35231.68116221798 6733410.244698326 16.69, -35231.50067205459 6733410.370487692 16.7, -35231.39833390259 6733410.446827907 16.69, -35231.13969172933 6733410.622066417 16.67, -35231.06153971865 6733410.6715155635 16.67, -35231.02742700151 6733410.696962302 16.67, -35230.949274990824 6733410.746411449 16.67, -35230.87112298072 6733410.795860595 16.67, -35230.846936838934 6733410.8227516655 16.67, -35230.768784829066 6733410.8722008085 16.67, -35230.72474553576 6733410.896203219 16.67, -35230.72185687616 6733410.91605637 16.67, -35230.692235343624 6733411.398309334 16.66, -35230.69349593995 6733411.459313122 16.65, -35230.67886890622 6733411.629509241 16.65, -35230.6624300743 6733411.95149266 16.65, -35230.65484095551 6733412.142986263 16.64, -35230.64599124086 6733412.27347608 16.64, -35230.63406913087 6733412.494749412 16.65, -35230.623958820244 6733412.564235445 16.65, -35230.61510910478 6733412.69472526 16.65, -35230.611852974864 6733412.856439134 16.66, -35230.58404323144 6733413.186904798 16.65, -35230.573381713824 6733413.469181914 16.65, -35230.56904872309 6733413.498961644 16.65, -35230.5629039309 6733413.680528669 16.64, -35230.55857094005 6733413.710308397 16.64, -35230.52028340881 6733414.252120815 16.65, -35230.514322351315 6733414.362757479 16.65, -35230.50980562391 6733414.463467568 16.65, -35230.506733226706 6733414.554251082 16.64, -35230.49355051655 6733414.714520625 16.63, -35230.48577765445 6733414.976944589 16.62, -35230.478556002374 6733415.026577469 16.61, -35230.460672825924 6733415.358487461 16.6, -35230.448934444576 6733415.508830431 16.61, -35230.434123664745 6733415.749956911 16.6, -35230.39278929366 6733415.825036525 16.6, -35230.223302555154 6733416.0842043515 16.580000000000002, -35230.17348593846 6733416.14791306 16.580000000000002, -35230.1335958977 6733416.2130661 16.57, -35230.003999199485 6733416.407080884 16.55, -35229.884329076274 6733416.60254 16.53, -35229.76899194473 6733416.76821939 16.52, -35229.714842336136 6733416.861707824 16.51, -35229.63650658436 6733416.982087323 16.52, -35229.55961516313 6733417.092540247 16.53, -35229.32460790675 6733417.453678748 16.53, -35229.26901396725 6733417.557093755 16.53, -35229.12804636045 6733417.759590784 16.54, -35229.09952722513 6733417.816261575 16.54, -35229.00837623549 6733417.955049893 16.57, -35228.865964297554 6733418.167473494 16.580000000000002, -35228.78618421382 6733418.297779567 16.580000000000002, -35228.68510664825 6733418.435123556 16.56, -35228.64377227565 6733418.510203166 16.55, -35228.53980604815 6733418.667400303 16.54, -35228.39594977861 6733418.889750476 16.55, -35228.22646303382 6733419.148918289 16.53, -35228.09108900768 6733419.382639368 16.5, -35228.02267982904 6733419.504463195 16.490000000000002, -35227.98423411744 6733419.559689654 16.490000000000002, -35227.76763567433 6733419.9336433755 16.46, -35227.673596020555 6733420.0922848405 16.45, -35227.5909272728 6733420.24244406 16.46, -35227.445626669214 6733420.474720804 16.46, -35227.36440225202 6733420.614953448 16.47, -35227.1763229426 6733420.932236373 16.45, -35227.107913762564 6733421.054060196 16.45, -35226.99817020714 6733421.25096363 16.44, -35226.74168171501 6733421.690070377 16.39, -35226.72886647761 6733421.708479194 16.39, -35226.636271152645 6733421.85719408 16.38, -35226.44819183997 6733422.174476999 16.36, -35226.40541313344 6733422.259483183 16.35, -35226.33989261428 6733422.3614538545 16.36, -35226.014994935365 6733422.922384416 16.330000000000002, -35225.97799355385 6733422.967684295 16.330000000000002, -35225.8141003825 6733423.258076147 16.36, -35225.80128514476 6733423.276484965 16.35, -35225.476387461764 6733423.837415516 16.330000000000002, -35225.43649741693 6733423.902568548 16.32, -35225.261233336525 6733424.20144264 16.27, -35225.248418098665 6733424.219851459 16.26, -35225.195712815854 6733424.303413306 16.25, -35225.04752354149 6733424.555543189 16.240000000000002, -35224.90385100769 6733424.706962981 16.22, -35224.84555214411 6733424.759300776 16.21, -35224.5042412068 6733425.084698432 16.14, -35224.42031186749 6733425.173853859 16.12, -35224.28097232827 6733425.295493929 16.09, -35224.26815709041 6733425.313902748 16.09, -35224.24397094606 6733425.340793808 16.09, -35223.88984477124 6733425.684600278 16.05, -35223.73768999381 6733425.824649164 16.05, -35223.59546179115 6733425.966142381 16.02, -35223.548533834284 6733426.009997928 16.01, -35223.30107881117 6733426.247684482 15.99, -35223.136108796345 6733426.406142181 15.99, -35223.111922651995 6733426.433033242 15.98, -35223.0649946949 6733426.47688879 15.98, -35222.87728286744 6733426.652310973 15.98, -35222.75924080901 6733426.766913127 15.97, -35222.663940563565 6733426.8645507945 15.97, -35222.54589850514 6733426.979152949 15.97, -35222.26433076407 6733427.242286222 15.9, -35222.062359366566 6733427.446043797 15.89, -35221.76797638729 6733427.727585886 15.88, -35221.614377278835 6733427.877561337 15.88, -35221.578820227995 6733427.91293464 15.870000000000001, -35221.588563053985 6733427.985309324 15.870000000000001, -35221.626457521925 6733428.142873934 15.870000000000001, -35221.645943172625 6733428.287623305 15.88, -35221.76214773918 6733428.88232469 15.870000000000001, -35221.767741317744 6733428.9135487415 15.870000000000001, -35221.85742232052 6733429.342203277 15.870000000000001, -35221.871314391145 6733429.455728592 15.870000000000001, -35221.89802170021 6733429.550845089 15.860000000000001, -35221.90072661417 6733429.601922294 15.860000000000001, -35221.98336970317 6733430.009279352 15.88, -35222.01981983532 6733430.176770536 15.88, -35222.04219414713 6733430.301666757 15.870000000000001, -35222.09812992497 6733430.613907313 15.81, -35222.14432287915 6733430.853773184 15.82, -35222.15551003406 6733430.916221296 15.82, -35222.16254794411 6733430.937518777 15.82, -35222.201702987426 6733431.156087168 15.8, -35222.23111520719 6733431.30228087 15.8, -35222.242302362225 6733431.3647289835 15.790000000000001, -35222.25782251416 6733431.39739737 15.790000000000001, -35222.31790753268 6733431.750788559 15.77, -35222.411737765535 6733432.220593731 15.780000000000001, -35222.478860690026 6733432.595282405 15.790000000000001, -35222.50701232802 6733432.680472328 15.790000000000001, -35222.54472303379 6733432.908967294 15.790000000000001, -35222.56439242931 6733432.9827863155 15.790000000000001, -35222.6706703871 6733433.576043378 15.8, -35222.701526935445 6733433.712310509 15.81, -35222.74357063649 6733433.911025753 15.790000000000001, -35222.97674040741 6733434.25919088 15.75, -35223.40211307164 6733434.888740024 15.780000000000001, -35223.51093788096 6733435.046488394 15.780000000000001, -35223.835967974504 6733435.529660083 15.77, -35223.88686142466 6733435.597885528 15.77, -35223.91230814927 6733435.631998252 15.77, -35223.987203991506 6733435.7442629915 15.77, -35224.12851343327 6733435.95742157 15.780000000000001, -35224.254302724614 6733436.137911759 15.780000000000001, -35224.28823169111 6733436.183395388 15.780000000000001, -35224.34760738234 6733436.262991741 15.780000000000001, -35224.40553874045 6733436.352514671 15.780000000000001, -35224.56381266448 6733436.588415067 15.77, -35224.66415523051 6733436.734792533 15.77, -35224.68111971347 6733436.757534348 15.77, -35224.69808419666 6733436.7802761635 15.77, -35224.73905107146 6733436.847057277 15.77, -35224.97222083551 6733437.195222421 15.76, -35224.98918531835 6733437.217964236 15.76, -35225.274692863575 6733437.624428255 15.73, -35225.31565973826 6733437.691209366 15.74, -35225.3905555784 6733437.803474114 15.75, -35225.431522452855 6733437.870255226 15.74, -35225.56723831652 6733438.052189754 15.74, -35225.68310103053 6733438.231235617 15.74, -35225.766479111626 6733438.354871274 15.74, -35225.841374951415 6733438.467136021 15.74, -35225.87385958398 6733438.522546227 15.74, -35225.9671642395 6733438.647626218 15.73, -35226.2257807235 6733439.029904096 15.72, -35226.409501367365 6733439.299917225 15.74, -35226.44198599947 6733439.355327434 15.74, -35226.458950482076 6733439.378069251 15.74, -35226.49287944776 6733439.423552884 15.74, -35226.62570664275 6733439.625340567 15.74, -35226.64267112559 6733439.648082382 15.73)</t>
  </si>
  <si>
    <t>POLYGON Z ((-35226.64267112559 6733439.648082382 15.73, -35226.4417764988 6733439.983774076 15.69, -35226.38762686483 6733440.077262492 15.68, -35226.15965741989 6733440.459698389 15.69, -35226.12121169432 6733440.51492484 15.69, -35225.931687973905 6733440.842134285 15.69, -35225.84053694701 6733440.980922572 15.69, -35225.692347618286 6733441.23305242 15.700000000000001, -35225.61256749905 6733441.363358466 15.71, -35225.58549268171 6733441.410102672 15.71, -35225.400301959715 6733441.707532392 15.72, -35225.21077823546 6733442.034741836 15.73, -35224.99851269438 6733442.378915755 15.72, -35224.96999354265 6733442.435586535 15.72, -35224.944363058545 6733442.472404166 15.72, -35224.823248544475 6733442.6777898045 15.73, -35224.78335848439 6733442.742942825 15.72, -35224.70357836434 6733442.873248864 15.700000000000001, -35224.57253727503 6733443.077190168 15.71, -35224.410088365665 6733443.357655399 15.700000000000001, -35224.3844578811 6733443.394473031 15.700000000000001, -35224.305229048594 6733443.311988003 15.69, -35224.25144693733 6733443.263615701 15.68, -35224.216073641204 6733443.228058644 15.69, -35224.066098216106 6733443.074459497 15.700000000000001, -35224.00383386412 6733443.01471629 15.71, -35223.81704080943 6733442.835486661 15.71, -35223.720847495366 6733442.730259816 15.72, -35223.67554762459 6733442.693258427 15.72, -35223.60624536616 6733442.612217736 15.72, -35223.543981014285 6733442.552474528 15.71, -35223.367114533554 6733442.374689236 15.71, -35223.17183923803 6733442.184088702 15.68, -35223.04027262761 6733442.0433048075 15.66, -35222.9780082762 6733441.983561596 15.66, -35222.95959946106 6733441.970746356 15.66, -35222.69502190687 6733441.699105137 15.620000000000001, -35222.65964861051 6733441.663548079 15.610000000000001, -35222.482782129664 6733441.485762792 15.59, -35222.42051777814 6733441.426019585 15.59, -35222.34977118601 6733441.354905469 15.58, -35222.19131351996 6733441.189935424 15.58, -35222.022929279716 6733441.023521047 15.58, -35221.88991833571 6733440.892663727 15.58, -35221.802207262255 6733440.798807798 15.6, -35221.51922089292 6733440.514351346 15.63, -35221.26168124541 6733440.264007619 15.65, -35221.12163239438 6733440.111852818 15.65, -35220.96173039463 6733439.956809354 15.66, -35220.678744025296 6733439.672352906 15.66, -35220.60799743305 6733439.601238796 15.68, -35220.57262413716 6733439.565681736 15.68, -35220.456577674486 6733439.457566239 15.68, -35220.22015174944 6733439.271114961 15.68, -35220.18333412032 6733439.245484478 15.68, -35220.15644306503 6733439.221298332 15.68, -35220.08425213932 6733439.160110795 15.67, -35219.782673196634 6733438.933769465 15.65, -35219.717520178994 6733438.893879412 15.65, -35219.657776976586 6733438.956143763 15.64, -35219.63503516209 6733438.973108244 15.64, -35219.610849014716 6733438.9999993 15.64, -35219.36194963218 6733439.247612371 15.6, -35219.23109232029 6733439.380623317 15.6, -35219.04193613981 6733439.565972039 15.59, -35218.80585199711 6733439.795176294 15.55, -35218.71199607372 6733439.882887364 15.540000000000001, -35218.616695816745 6733439.98052501 15.530000000000001, -35218.5583969478 6733440.032862788 15.51, -35218.41472439573 6733440.184282543 15.46, -35218.29668232449 6733440.298884669 15.42, -35218.20301016094 6733440.31566539 15.4, -35218.00573926035 6733440.347782498 15.370000000000001, -35217.798541786615 6733440.378455273 15.35, -35217.579973406275 6733440.4176102895 15.31, -35217.36140502663 6733440.456765304 15.3, -35217.33018097235 6733440.462358877 15.3, -35217.298956918065 6733440.467952451 15.290000000000001, -35217.03923791135 6733440.511256708 15.25, -35216.9554923228 6733440.52948176 15.23, -35216.89304421481 6733440.540668907 15.22, -35216.789445478935 6733440.556005296 15.21, -35216.74558994488 6733440.509077335 15.200000000000001, -35216.59561452875 6733440.3554782085 15.200000000000001, -35216.49942122027 6733440.250251381 15.200000000000001, -35216.34944580414 6733440.096652254 15.18, -35216.2178792014 6733439.955868375 15.18, -35216.11175931909 6733439.849197214 15.17, -35215.94481942244 6733439.672856279 15.16, -35215.75947071193 6733439.483700103 15.15, -35215.71561517753 6733439.436772145 15.15, -35215.548675280996 6733439.260431211 15.14, -35215.521784226876 6733439.236245064 15.14, -35215.48785526643 6733439.190761436 15.14, -35215.41566434491 6733439.129573904 15.14, -35215.240242208005 6733438.941862064 15.14, -35215.1694956196 6733438.870747961 15.14, -35215.04641125735 6733438.741334989 15.13, -35214.84409806598 6733438.529437006 15.14, -35214.800242531695 6733438.482509046 15.14, -35214.491809458355 6733438.163939908 15.14, -35214.456436164444 6733438.128382856 15.14, -35214.3956161493 6733438.058713086 15.14, -35214.36024285515 6733438.023156033 15.14, -35214.21874967893 6733437.880927824 15.13, -35213.99947200739 6733437.646288032 15.13, -35213.8848698847 6733437.528245972 15.13, -35213.64718339918 6733437.280790943 15.13, -35213.5594723305 6733437.186935029 15.13, -35213.54106351687 6733437.174119789 15.14, -35213.28641255107 6733436.90392295 15.11, -35213.24255701667 6733436.856994991 15.11, -35212.994943957776 6733436.608095637 15.13, -35212.90723288886 6733436.514239721 15.120000000000001, -35212.77566628542 6733436.373455853 15.11, -35212.69643745711 6733436.290970845 15.11, -35212.492679932504 6733436.088999449 15.1, -35212.40641319624 6733435.985216963 15.09, -35212.283328832826 6733435.855804002 15.08, -35212.23802896601 6733435.818802618 15.07, -35212.15031789709 6733435.724946704 15.06, -35211.990415907 6733435.569903267 15.06, -35211.70887388673 6733435.275520293 15.040000000000001, -35211.62260715 6733435.1717378115 15.030000000000001, -35211.52496950794 6733435.076437569 15.030000000000001, -35211.3226563161 6733434.864539606 15, -35211.26887420879 6733434.816167316 14.99, -35211.234945247066 6733434.770683695 14.99, -35210.85576558416 6733434.381000487 14.97, -35210.81191004941 6733434.334072536 14.96, -35210.47803025355 6733433.981390712 14.91, -35210.4511391999 6733433.95720457 14.9, -35210.230417194194 6733433.732491373 14.9, -35210.19504390028 6733433.696934326 14.89, -35210.063477296266 6733433.556150466 14.89, -35210.01962176163 6733433.509222509 14.89, -35209.78193527507 6733433.2617675075 14.93, -35209.70270644652 6733433.179282504 14.93, -35209.596586563974 6733433.072611361 14.93, -35209.436868326855 6733432.846637593 14.93, -35209.34356368147 6733432.721557636 14.93, -35209.06509407656 6733432.336391197 14.92, -35209.02268287435 6733432.279536671 14.9, -35208.997236152296 6733432.24542396 14.89, -35208.86152030376 6733432.06348948 14.88, -35208.75269550888 6733431.905741142 14.85, -35208.667873103404 6733431.792032092 14.85, -35208.60849741951 6733431.712435759 14.85, -35208.73791036813 6733431.589351393 14.870000000000001, -35208.83465493459 6733431.481787175 14.89, -35208.92995516886 6733431.384149532 14.89, -35209.144741779426 6733431.161983188 14.9, -35209.275599060114 6733431.028972249 14.91, -35209.43208681443 6733430.859143681 14.93, -35209.622687283205 6733430.663868389 14.93, -35209.68243047118 6733430.601604039 14.93, -35209.73080275406 6733430.547821931 14.97, -35209.837473893655 6733430.441702041 14.950000000000001, -35209.992517315666 6733430.281800045 14.99, -35210.02951869392 6733430.236500176 15.01, -35210.05370483559 6733430.20960912 15.02, -35210.50746419735 6733429.7383853635 15.200000000000001, -35210.54302124365 6733429.703012068 15.200000000000001, -35210.752030526404 6733429.5205520075 15.27, -35210.79751414596 6733429.486623043 15.290000000000001, -35210.810329382424 6733429.468214229 15.290000000000001, -35210.9269270947 6733429.363538668 15.33, -35211.03070957039 6733429.277271925 15.370000000000001, -35211.147307282314 6733429.172596367 15.39, -35211.24116318475 6733429.084885291 15.42, -35211.532657466014 6733428.823196388 15.48, -35211.55684360745 6733428.796305332 15.49, -35211.87107969809 6733428.517651949 15.540000000000001, -35212.007530556875 6733428.415865052 15.56, -35212.07864464971 6733428.345118456 15.56, -35212.18387145747 6733428.248925137 15.59, -35212.35732369451 6733428.101838366 15.610000000000001, -35212.449735265924 6733428.0240538595 15.620000000000001, -35212.50803412241 6733427.971716076 15.63, -35212.54214683699 6733427.946269352 15.64, -35212.71704340575 6733427.78925601 15.67, -35212.96160973655 6733427.571422639 15.67, -35213.07531878608 6733427.486600224 15.67, -35213.08957835438 6733427.458264832 15.68, -35213.494781686575 6733427.111753501 15.77, -35213.57437802141 6733427.05237781 15.780000000000001, -35213.5985641632 6733427.0254867505 15.780000000000001, -35213.91135592433 6733426.756759926 15.81, -35213.982470017276 6733426.68601333 15.82, -35214.02795363753 6733426.65208436 15.83, -35214.09906773036 6733426.58133776 15.84, -35214.340745399124 6733426.38335753 15.89, -35214.411859492306 6733426.312610932 15.9, -35214.5611255893 6733426.1924152095 15.9, -35214.826989399735 6733425.967543922 15.870000000000001, -35214.964884591755 6733425.855830442 15.9, -35215.104224115494 6733425.734190389 15.92, -35215.277676354744 6733425.587103607 15.94, -35215.35871702165 6733425.517801337 15.96, -35215.63595173799 6733425.284447799 16, -35215.694250594825 6733425.232110015 16.02, -35215.90181554982 6733425.059576503 16.04, -35215.948743501445 6733425.015720959 16.04, -35215.98285621649 6733424.990274234 16.05, -35216.179050266626 6733424.826222961 16.080000000000002, -35216.27290617011 6733424.738511875 16.080000000000002, -35216.35250250611 6733424.67913618 16.1, -35216.5273990772 6733424.522122819 16.09, -35216.72359312745 6733424.358071548 16.09, -35216.79181855847 6733424.30717809 16.1, -35217.05768237123 6733424.082306788 16.15, -35217.080424181535 6733424.065342302 16.15, -35217.17428008572 6733423.977631212 16.17, -35217.208392800996 6733423.952184486 16.18, -35217.357658899855 6733423.831988756 16.18, -35217.55529728194 6733423.658010907 16.2, -35217.704563380685 6733423.537815176 16.21, -35217.92494357354 6733423.346872839 16.21, -35217.99461333617 6733423.286052807 16.2, -35218.02872605168 6733423.260606079 16.2, -35218.09839581419 6733423.1997860465 16.21, -35218.39981667546 6733422.939541435 16.28, -35218.941470878315 6733422.491243141 16.27, -35218.954286114895 6733422.472834322 16.27, -35219.15048016689 6733422.30878304 16.28, -35219.34667421901 6733422.144731759 16.32, -35219.5769809871 6733421.955233744 16.37, -35219.74050665472 6733421.806702615 16.4, -35219.820102992 6733421.747326912 16.41, -35219.902587991324 6733421.668098061 16.42, -35219.99499956472 6733421.590313541 16.43, -35220.05185409158 6733421.547902324 16.45, -35220.14426566544 6733421.4701178 16.45, -35220.4343156229 6733421.21835542 16.47, -35220.64188058174 6733421.045821886 16.490000000000002, -35220.919115303666 6733420.8124683155 16.5, -35221.035713019315 6733420.707792734 16.5, -35221.33424522157 6733420.467401249 16.51, -35221.52051270101 6733420.301905626 16.52, -35221.69396494387 6733420.154818823 16.52, -35222.11053919408 6733419.799825172 16.51, -35222.259805295966 6733419.679629426 16.53, -35222.549855255755 6733419.427867029 16.56, -35222.61952501931 6733419.367046991 16.57, -35222.64226683043 6733419.350082503 16.57, -35222.85127612157 6733419.167622386 16.59, -35223.001986554125 6733419.037500066 16.580000000000002, -35223.09439812892 6733418.959715538 16.57, -35223.152696987265 6733418.90737774 16.57, -35223.35033537354 6733418.733399866 16.57, -35223.687313286704 6733418.437781912 16.59, -35223.80391100375 6733418.3331063185 16.59, -35223.89776690933 6733418.245395215 16.6, -35224.02429120091 6733418.142163954 16.6, -35224.14088891796 6733418.037488361 16.6, -35224.20911435119 6733417.986594895 16.6, -35224.31434116245 6733417.890401546 16.61, -35224.47642250161 6733417.751796976 16.6, -35224.51197954919 6733417.716423665 16.6, -35224.57027840766 6733417.66408587 16.59, -35224.62713293533 6733417.621674648 16.59, -35224.72098884138 6733417.5339635415 16.59, -35225.12619219022 6733417.187452106 16.580000000000002, -35225.150378332124 6733417.160561044 16.580000000000002, -35225.545655106194 6733416.812605275 16.61, -35225.63951101224 6733416.724894169 16.62, -35225.67217939871 6733416.709374009 16.62, -35225.76603530464 6733416.621662903 16.61, -35225.9636736922 6733416.447685016 16.6, -35226.13857026852 6733416.290671618 16.59, -35226.20679570257 6733416.239778148 16.59, -35226.40443409025 6733416.065800262 16.6, -35226.474103854736 6733416.004980217 16.61, -35226.695928384666 6733415.804111262 16.63, -35226.932379955426 6733415.433046194 16.67, -35227.12894148694 6733415.127134163 16.66, -35227.3383182541 6733414.802813308 16.67, -35227.403838764294 6733414.70084263 16.67, -35227.496434076806 6733414.552127733 16.67, -35227.614659860614 6733414.366595197 16.65, -35227.681624700665 6733414.254697942 16.64, -35227.6336198902 6733414.166619357 16.64, -35227.57713283447 6733414.067169864 16.63, -35227.50223695813 6733413.954905137 16.62, -35227.4302297415 6733413.822787262 16.62, -35227.3638161103 6733413.721893439 16.62, -35227.23243317718 6733413.510179224 16.63, -35227.125052649295 6733413.342504299 16.64, -35227.084085753304 6733413.275723195 16.65, -35226.90469800774 6733412.975930398 16.68, -35226.8242085455 6733412.832441616 16.7, -35226.72531026194 6733412.676137599 16.71, -35226.315641295514 6733412.008326579 16.73, -35226.27467439871 6733411.941545475 16.73, -35226.2577099083 6733411.918803663 16.73, -35226.3060821885 6733411.865021532 16.73, -35226.33171265898 6733411.8282038905 16.73, -35226.90080912097 6733411.191300539 16.740000000000002, -35226.93636616669 6733411.155927226 16.73, -35227.166856663884 6733410.895498807 16.72, -35227.21667327429 6733410.831790095 16.72, -35227.32478874072 6733410.715743582 16.73, -35227.38453192625 6733410.653479202 16.740000000000002, -35227.57802104822 6733410.438350666 16.78, -35227.77151016996 6733410.223222128 16.79, -35227.88106996589 6733410.0972490385 16.79, -35227.97781452665 6733409.989684768 16.81, -35228.003444996546 6733409.952867125 16.81, -35228.24530639849 6733409.683956449 16.830000000000002, -35228.293678678805 6733409.630174313 16.830000000000002, -35228.525429773144 6733409.430749665 16.830000000000002, -35228.54961591307 6733409.403858598 16.84, -35228.583728628815 6733409.378411859 16.84, -35228.65339839028 6733409.317591809 16.830000000000002, -35228.72306815139 6733409.256771756 16.830000000000002, -35229.108418333344 6733408.907371601 16.84, -35229.17808809469 6733408.84655155 16.85, -35229.39846828394 6733408.655609144 16.84, -35229.51506599644 6733408.550933528 16.86, -35229.60747756844 6733408.473148981 16.85, -35229.746817091596 6733408.351508874 16.85, -35229.80511594715 6733408.29917107 16.84, -35229.955826375866 6733408.1690487135 16.84, -35230.01556956151 6733408.10678433 16.85, -35230.247320657014 6733407.907359672 16.85, -35230.30417518376 6733407.864948439 16.85, -35230.41643990786 6733407.790052554 16.86, -35230.531593291205 6733407.69530351 16.86, -35230.75756706938 6733407.535585156 16.85, -35230.90394450992 6733407.435242525 16.85, -35231.00772698759 6733407.348975731 16.86, -35231.154104429064 6733407.248633099 16.85, -35231.381522537326 6733407.078988167 16.82, -35231.45967454568 6733407.029539015 16.8, -35231.56201269454 6733406.953198796 16.8, -35231.675721748965 6733406.868376328 16.79, -35231.74394718208 6733406.817482845 16.79, -35231.80080170918 6733406.7750716135 16.79, -35232.14192887314 6733406.520604208 16.79, -35232.468796473695 6733406.2944722 16.77, -35232.59387643426 6733406.201167486 16.78, -35232.87670474313 6733405.999037883 16.78, -35232.94637450541 6733405.938217829 16.79, -35233.09419627732 6733405.827948617 16.8, -35233.13823557063 6733405.803946203 16.81, -35233.693598157144 6733405.540103398 16.830000000000002, -35233.737637450104 6733405.516100987 16.84, -35233.76886150846 6733405.510507397 16.84, -35233.856940094964 6733405.462502573 16.85, -35233.94357435196 6733405.424424327 16.86, -35234.108360619866 6733405.3368969215 16.86, -35234.2489607468 6733405.276260592 16.85, -35234.4449710733 6733405.183139598 16.85, -35234.50038127275 6733405.150654937 16.84, -35234.685020693694 6733405.066016192 16.84, -35234.761728374986 6733405.026493615 16.84, -35234.923625985626 6733404.958819364 16.84, -35235.01170457306 6733404.910814536 16.84, -35235.163675607066 6733404.841695955 16.84, -35235.38098341797 6733404.741537043 16.85, -35235.447764523095 6733404.700570136 16.85, -35235.5343987816 6733404.662491888 16.85, -35235.611106463824 6733404.622969308 16.85, -35235.69774072268 6733404.584891057 16.85, -35235.90512195788 6733404.483287813 16.86, -35236.385221206 6733404.249040996 16.87, -35236.406518688775 6733404.242003074 16.87, -35236.91784199909 6733404.0021626605 16.830000000000002, -35237.13659414253 6733403.892077168 16.84, -35237.5271704779 6733403.715761747 16.830000000000002, -35237.778591012 6733403.590156082 16.86, -35237.876596178394 6733403.543595584 16.87, -35238.0399381232 6733403.46599475 16.89, -35238.191909161746 6733403.396876166 16.92, -35238.25869026908 6733403.3559092535 16.92, -35238.32402704703 6733403.324868921 16.93, -35238.694750233204 6733403.1456648335 16.95, -35238.93479986396 6733403.028541415 16.98, -35239.03280503128 6733402.981980916 16.97, -35239.47175365721 6733402.751883337 16.95, -35239.60242721485 6733402.689802666 16.93, -35239.711803289596 6733402.634759916 16.92, -35239.89788704936 6733402.540194583 16.89, -35240.06122899742 6733402.462593744 16.86, -35240.321632005274 6733403.250600641 16.94, -35240.33715217281 6733403.283269029 16.94, -35240.46942830447 6733403.697847798 16.87, -35240.48494847107 6733403.73051619 16.86, -35240.385315245134 6733403.857933639 16.86, -35240.25716288958 6733404.042021892 16.87, -35240.156085334136 6733404.179365917 16.88, -35240.079377647606 6733404.218888501 16.89, -35239.968557242304 6733404.283857825 16.89, -35239.89184955601 6733404.323380407 16.89, -35239.8364393533 6733404.35586507 16.88, -35239.58357448247 6733404.491397313 16.9, -35239.462827500305 6733404.554922309 16.89, -35239.31933870609 6733404.635411798 16.88, -35239.14318152191 6733404.731421457 16.86, -35238.812164638075 6733404.916402852 16.86, -35238.73401262355 6733404.965852008 16.86, -35238.712715140195 6733404.972889929 16.86, -35238.525187050924 6733405.077381831 16.85, -35238.42573755281 6733405.133868909 16.85, -35238.274659657036 6733405.405852017 16.82, -35238.26040009211 6733405.434187422 16.82, -35238.109322195174 6733405.706170529 16.82, -35238.02665346372 6733405.856329787 16.82, -35237.9154656023 6733406.063159844 16.81, -35237.86131600058 6733406.156648297 16.8, -35237.83279687038 6733406.2133191 16.8, -35237.780091598164 6733406.296880973 16.79, -35237.76583203301 6733406.325216374 16.79, -35237.72179273714 6733406.349218789 16.78, -35237.59815709817 6733406.432596932 16.78, -35237.3211060887 6733406.595020235 16.77, -35237.12076276459 6733406.71792096 16.77, -35237.00705370295 6733406.802743431 16.76, -35236.8962332994 6733406.867712752 16.76, -35236.59644047986 6733407.047100543 16.740000000000002, -35236.550956854946 6733407.0810295325 16.740000000000002, -35236.48417574738 6733407.12199644 16.740000000000002, -35236.217051317566 6733407.285864066 16.75, -35236.18438292842 6733407.301384231 16.740000000000002, -35236.10623091506 6733407.350833385 16.740000000000002, -35236.00533708942 6733407.417247031 16.73, -35235.6813581296 6733407.623525894 16.740000000000002, -35235.63731883513 6733407.647528303 16.740000000000002, -35235.581908633816 6733407.680012964 16.740000000000002, -35235.40286279563 6733407.795875762 16.73, -35235.18122199213 6733407.925814396 16.73, -35234.96950776584 6733408.0571973575 16.73, -35234.92402414151 6733408.091126346 16.73, -35234.74497830414 6733408.206989144 16.73, -35234.68956810364 6733408.239473801 16.73, -35234.34429166454 6733408.452790574 16.7, -35234.0984647217 6733408.609620271 16.71, -35233.97627341526 6733408.683071834 16.71, -35233.86400868511 6733408.757967724 16.71, -35233.831340296776 6733408.773487888 16.71, -35233.785856672795 6733408.807416877 16.71, -35233.717631237465 6733408.858310355 16.71, -35233.57125378959 6733408.958652986 16.71, -35233.47035996569 6733409.025066632 16.71, -35233.44906248362 6733409.032104544 16.71, -35233.110823965166 6733409.266718794 16.72, -35233.08952648309 6733409.273756708 16.72, -35233.03122762381 6733409.326094518 16.71, -35232.95307561185 6733409.37554367 16.71, -35232.717175247846 6733409.533817692 16.71, -35232.68306253024 6733409.55926443 16.71, -35232.58216870681 6733409.625678074 16.7, -35232.2993403899 6733409.827807657 16.69, -35232.17570475547 6733409.911185791 16.69, -35232.052069120924 6733409.994563925 16.69, -35231.87302328716 6733410.110426714 16.68, -35231.74938765273 6733410.193804849 16.69, -35231.68116221798 6733410.244698326 16.69, -35231.50067205459 6733410.370487692 16.7, -35231.39833390259 6733410.446827907 16.69, -35231.13969172933 6733410.622066417 16.67, -35231.06153971865 6733410.6715155635 16.67, -35231.02742700151 6733410.696962302 16.67, -35230.949274990824 6733410.746411449 16.67, -35230.87112298072 6733410.795860595 16.67, -35230.846936838934 6733410.8227516655 16.67, -35230.768784829066 6733410.8722008085 16.67, -35230.72474553576 6733410.896203219 16.67, -35230.72185687616 6733410.91605637 16.67, -35230.692235343624 6733411.398309334 16.66, -35230.69349593995 6733411.459313122 16.65, -35230.67886890622 6733411.629509241 16.65, -35230.6624300743 6733411.95149266 16.65, -35230.65484095551 6733412.142986263 16.64, -35230.64599124086 6733412.27347608 16.64, -35230.63406913087 6733412.494749412 16.65, -35230.623958820244 6733412.564235445 16.65, -35230.61510910478 6733412.69472526 16.65, -35230.611852974864 6733412.856439134 16.66, -35230.58404323144 6733413.186904798 16.65, -35230.573381713824 6733413.469181914 16.65, -35230.56904872309 6733413.498961644 16.65, -35230.5629039309 6733413.680528669 16.64, -35230.55857094005 6733413.710308397 16.64, -35230.52028340881 6733414.252120815 16.65, -35230.514322351315 6733414.362757479 16.65, -35230.50980562391 6733414.463467568 16.65, -35230.506733226706 6733414.554251082 16.64, -35230.49355051655 6733414.714520625 16.63, -35230.48577765445 6733414.976944589 16.62, -35230.478556002374 6733415.026577469 16.61, -35230.460672825924 6733415.358487461 16.6, -35230.448934444576 6733415.508830431 16.61, -35230.434123664745 6733415.749956911 16.6, -35230.39278929366 6733415.825036525 16.6, -35230.223302555154 6733416.0842043515 16.580000000000002, -35230.17348593846 6733416.14791306 16.580000000000002, -35230.1335958977 6733416.2130661 16.57, -35230.003999199485 6733416.407080884 16.55, -35229.884329076274 6733416.60254 16.53, -35229.76899194473 6733416.76821939 16.52, -35229.714842336136 6733416.861707824 16.51, -35229.63650658436 6733416.982087323 16.52, -35229.55961516313 6733417.092540247 16.53, -35229.32460790675 6733417.453678748 16.53, -35229.26901396725 6733417.557093755 16.53, -35229.12804636045 6733417.759590784 16.54, -35229.09952722513 6733417.816261575 16.54, -35229.00837623549 6733417.955049893 16.57, -35228.865964297554 6733418.167473494 16.580000000000002, -35228.78618421382 6733418.297779567 16.580000000000002, -35228.68510664825 6733418.435123556 16.56, -35228.64377227565 6733418.510203166 16.55, -35228.53980604815 6733418.667400303 16.54, -35228.39594977861 6733418.889750476 16.55, -35228.22646303382 6733419.148918289 16.53, -35228.09108900768 6733419.382639368 16.5, -35228.02267982904 6733419.504463195 16.490000000000002, -35227.98423411744 6733419.559689654 16.490000000000002, -35227.76763567433 6733419.9336433755 16.46, -35227.673596020555 6733420.0922848405 16.45, -35227.5909272728 6733420.24244406 16.46, -35227.445626669214 6733420.474720804 16.46, -35227.36440225202 6733420.614953448 16.47, -35227.1763229426 6733420.932236373 16.45, -35227.107913762564 6733421.054060196 16.45, -35226.99817020714 6733421.25096363 16.44, -35226.74168171501 6733421.690070377 16.39, -35226.72886647761 6733421.708479194 16.39, -35226.636271152645 6733421.85719408 16.38, -35226.44819183997 6733422.174476999 16.36, -35226.40541313344 6733422.259483183 16.35, -35226.33989261428 6733422.3614538545 16.36, -35226.014994935365 6733422.922384416 16.330000000000002, -35225.97799355385 6733422.967684295 16.330000000000002, -35225.8141003825 6733423.258076147 16.36, -35225.80128514476 6733423.276484965 16.35, -35225.476387461764 6733423.837415516 16.330000000000002, -35225.43649741693 6733423.902568548 16.32, -35225.261233336525 6733424.20144264 16.27, -35225.248418098665 6733424.219851459 16.26, -35225.195712815854 6733424.303413306 16.25, -35225.04752354149 6733424.555543189 16.240000000000002, -35224.90385100769 6733424.706962981 16.22, -35224.84555214411 6733424.759300776 16.21, -35224.5042412068 6733425.084698432 16.14, -35224.42031186749 6733425.173853859 16.12, -35224.28097232827 6733425.295493929 16.09, -35224.26815709041 6733425.313902748 16.09, -35224.24397094606 6733425.340793808 16.09, -35223.88984477124 6733425.684600278 16.05, -35223.73768999381 6733425.824649164 16.05, -35223.59546179115 6733425.966142381 16.02, -35223.548533834284 6733426.009997928 16.01, -35223.30107881117 6733426.247684482 15.99, -35223.136108796345 6733426.406142181 15.99, -35223.111922651995 6733426.433033242 15.98, -35223.0649946949 6733426.47688879 15.98, -35222.87728286744 6733426.652310973 15.98, -35222.75924080901 6733426.766913127 15.97, -35222.663940563565 6733426.8645507945 15.97, -35222.54589850514 6733426.979152949 15.97, -35222.26433076407 6733427.242286222 15.9, -35222.062359366566 6733427.446043797 15.89, -35221.76797638729 6733427.727585886 15.88, -35221.614377278835 6733427.877561337 15.88, -35221.578820227995 6733427.91293464 15.870000000000001, -35221.588563053985 6733427.985309324 15.870000000000001, -35221.626457521925 6733428.142873934 15.870000000000001, -35221.645943172625 6733428.287623305 15.88, -35221.76214773918 6733428.88232469 15.870000000000001, -35221.767741317744 6733428.9135487415 15.870000000000001, -35221.85742232052 6733429.342203277 15.870000000000001, -35221.871314391145 6733429.455728592 15.870000000000001, -35221.89802170021 6733429.550845089 15.860000000000001, -35221.90072661417 6733429.601922294 15.860000000000001, -35221.98336970317 6733430.009279352 15.88, -35222.01981983532 6733430.176770536 15.88, -35222.04219414713 6733430.301666757 15.870000000000001, -35222.09812992497 6733430.613907313 15.81, -35222.14432287915 6733430.853773184 15.82, -35222.15551003406 6733430.916221296 15.82, -35222.16254794411 6733430.937518777 15.82, -35222.201702987426 6733431.156087168 15.8, -35222.23111520719 6733431.30228087 15.8, -35222.242302362225 6733431.3647289835 15.790000000000001, -35222.25782251416 6733431.39739737 15.790000000000001, -35222.31790753268 6733431.750788559 15.77, -35222.411737765535 6733432.220593731 15.780000000000001, -35222.478860690026 6733432.595282405 15.790000000000001, -35222.50701232802 6733432.680472328 15.790000000000001, -35222.54472303379 6733432.908967294 15.790000000000001, -35222.56439242931 6733432.9827863155 15.790000000000001, -35222.6706703871 6733433.576043378 15.8, -35222.701526935445 6733433.712310509 15.81, -35222.74357063649 6733433.911025753 15.790000000000001, -35222.97674040741 6733434.25919088 15.75, -35223.40211307164 6733434.888740024 15.780000000000001, -35223.51093788096 6733435.046488394 15.780000000000001, -35223.835967974504 6733435.529660083 15.77, -35223.88686142466 6733435.597885528 15.77, -35223.91230814927 6733435.631998252 15.77, -35223.987203991506 6733435.7442629915 15.77, -35224.12851343327 6733435.95742157 15.780000000000001, -35224.254302724614 6733436.137911759 15.780000000000001, -35224.28823169111 6733436.183395388 15.780000000000001, -35224.34760738234 6733436.262991741 15.780000000000001, -35224.40553874045 6733436.352514671 15.780000000000001, -35224.56381266448 6733436.588415067 15.77, -35224.66415523051 6733436.734792533 15.77, -35224.68111971347 6733436.757534348 15.77, -35224.69808419666 6733436.7802761635 15.77, -35224.73905107146 6733436.847057277 15.77, -35224.97222083551 6733437.195222421 15.76, -35224.98918531835 6733437.217964236 15.76, -35225.274692863575 6733437.624428255 15.73, -35225.31565973826 6733437.691209366 15.74, -35225.3905555784 6733437.803474114 15.75, -35225.431522452855 6733437.870255226 15.74, -35225.56723831652 6733438.052189754 15.74, -35225.68310103053 6733438.231235617 15.74, -35225.766479111626 6733438.354871274 15.74, -35225.841374951415 6733438.467136021 15.74, -35225.87385958398 6733438.522546227 15.74, -35225.9671642395 6733438.647626218 15.73, -35226.2257807235 6733439.029904096 15.72, -35226.409501367365 6733439.299917225 15.74, -35226.44198599947 6733439.355327434 15.74, -35226.458950482076 6733439.378069251 15.74, -35226.49287944776 6733439.423552884 15.74, -35226.62570664275 6733439.625340567 15.74, -35226.64267112559 6733439.648082382 15.73))</t>
  </si>
  <si>
    <t>['FV558 S1D1 m3521-3530']</t>
  </si>
  <si>
    <t>LINESTRING Z (-35180.916786650196 6733435.670985341 19.080000000000002, -35180.49464468751 6733435.437238722 19.16, -35180.38130318734 6733435.380200463 19.18, -35180.08242929552 6733435.204936439 19.2, -35179.96060555894 6733435.1365272775 19.21, -35179.913861378096 6733435.109452479 19.21, -35179.65036076715 6733434.969745495 19.17, -35179.36989568302 6733434.807296709 19.16, -35179.28488955891 6733434.764518015 19.16, -35179.16306582303 6733434.696108853 19.17, -35178.90731243265 6733434.851494028 19.19, -35178.82771612739 6733434.910869687 19.2, -35178.76093505439 6733434.951836543 19.21, -35178.738193253404 6733434.968801015 19.21, -35178.60463110788 6733435.050734722 19.22, -35178.41565879132 6733435.1651530415 19.21, -35178.308094621985 6733435.068408505 19.21, -35178.235903731314 6733435.007221009 19.22, -35178.1099307565 6733434.897661239 19.22, -35178.02925762895 6733434.8251028415 19.23, -35177.89480241749 6733434.7041721735 19.23, -35177.831093764165 6733434.654355576 19.22, -35177.49847468734 6733434.362677645 19.16, -35177.45461917133 6733434.31574971 19.14, -35177.266381875146 6733434.146446781 19.09, -35177.10359128937 6733434.011256552 19.080000000000002, -35177.00595368876 6733433.915956355 19.07, -35176.8446074354 6733433.770839555 19.04, -35176.91716583271 6733433.690166429 19.03, -35177.03665216302 6733433.565637784 19.02, -35177.22725255939 6733433.370362579 19.01, -35177.585711551015 6733432.996776641 19, -35177.68101174908 6733432.899139039 19, -35177.82468421175 6733432.747719349 18.990000000000002, -35177.87305647659 6733432.693937264 18.990000000000002, -35178.18314320326 6733432.374133406 19.01, -35178.231515468215 6733432.320351318 19.01, -35178.26707250101 6733432.284978038 19.01, -35178.29270296474 6733432.248160428 19.01, -35178.32681566605 6733432.222713715 19.01, -35178.530231294106 6733432.009029697 19.01, -35178.73364692193 6733431.79534568 19.02, -35178.76920395496 6733431.759972398 19.03, -35178.82894712011 6733431.69770807 19.02, -35178.99536138354 6733431.529323902 19.01, -35179.18740611104 6733431.324122119 19, -35179.36663560651 6733431.137329142 18.98, -35179.46338013571 6733431.029764966 18.98, -35179.52312330087 6733430.96750064 18.990000000000002, -35179.79765299405 6733430.683070051 19.01, -35179.9413254566 6733430.531650352 18.990000000000002, -35180.14474108408 6733430.317966327 19, -35180.286969215376 6733430.176473196 19.01, -35180.55012800789 6733429.90052484 19.04, -35180.69380047056 6733429.749105139 19.04, -35180.71798660292 6733429.722214093 19.04, -35180.94558836252 6733429.481639016 19.02, -35181.07644559292 6733429.348628124 19, -35181.113446956966 6733429.30332827 18.990000000000002, -35181.137633089325 6733429.276437224 18.990000000000002, -35181.18726593547 6733429.28365888 18.98, -35181.30349610385 6733429.320843996 18.97, -35181.38146432652 6733429.342325214 18.96, -35181.646593034384 6733429.401175297 18.94, -35181.96983682772 6733429.478617941 18.89, -35182.12577327469 6733429.5215803785 18.89, -35182.29163629119 6733429.565987148 18.87, -35182.437646168866 6733429.60750526 18.85, -35182.52554096223 6733429.630430811 18.830000000000002, -35182.63328889455 6733429.656245025 18.81, -35182.69140397955 6733429.674837583 18.8, -35182.7211836878 6733429.679170578 18.79, -35182.74951906467 6733429.693430139 18.78, -35182.80763414991 6733429.712022697 18.78, -35183.05091414135 6733429.990701646 18.8, -35183.19800085097 6733430.164153823 18.79, -35183.29274980107 6733430.279307165 18.81, -35183.412945465185 6733430.428573209 18.830000000000002, -35183.536029791925 6733430.557986116 18.830000000000002, -35183.63926098007 6733430.684510356 18.830000000000002, -35183.69700856344 6733430.844963555 18.87, -35183.78146344074 6733431.100533206 18.900000000000002, -35183.87295622402 6733431.377400325 18.92, -35183.91518366197 6733431.505185149 18.93, -35183.93485304969 6733431.57900413 18.93, -35183.90615016897 6733431.706605205 18.94, -35183.79874405509 6733432.096446332 18.97, -35183.794411060284 6733432.1262260415 18.97, -35183.768596841954 6733432.233973973 18.97, -35183.748559950734 6733432.302015629 18.97, -35183.636820839136 6733432.721636463 18.97, -35183.5767101635 6733432.925761429 18.96, -35183.45559573895 6733433.131146974 18.96, -35183.40433480672 6733433.2047822 18.96, -35183.313183843624 6733433.3435704205 18.96, -35183.26192291116 6733433.417205649 18.96, -35183.23340378096 6733433.473876405 18.97, -35183.194958081935 6733433.529102826 18.97, -35183.12943758443 6733433.63107343 18.97, -35183.06247275497 6733433.742970605 18.98, -35182.94424699305 6733433.928503006 18.97, -35182.84172512789 6733434.075773463 18.97, -35182.789019863005 6733434.159335262 18.97, -35182.760500733275 6733434.216006012 18.97, -35182.65816262155 6733434.29234615 18.98, -35182.543009277084 6733434.387095094 18.990000000000002, -35182.29140511784 6733434.583630886 19.02, -35182.2686633151 6733434.600595361 19.02, -35182.234550611814 6733434.626042072 19.02, -35181.867793108686 6733434.917326807 19.03, -35181.84505130607 6733434.934291283 19.03, -35181.68441435741 6733435.062969173 19.04, -35181.489664704655 6733435.217093777 19.080000000000002, -35181.42143929785 6733435.267987199 19.09, -35181.238060546806 6733435.413629563 19.09, -35181.06605269713 6733435.550789689 19.09, -35180.96227025462 6733435.637056393 19.080000000000002, -35180.916786650196 6733435.670985341 19.080000000000002)</t>
  </si>
  <si>
    <t>POLYGON Z ((-35180.916786650196 6733435.670985341 19.080000000000002, -35180.49464468751 6733435.437238722 19.16, -35180.38130318734 6733435.380200463 19.18, -35180.08242929552 6733435.204936439 19.2, -35179.96060555894 6733435.1365272775 19.21, -35179.913861378096 6733435.109452479 19.21, -35179.65036076715 6733434.969745495 19.17, -35179.36989568302 6733434.807296709 19.16, -35179.28488955891 6733434.764518015 19.16, -35179.16306582303 6733434.696108853 19.17, -35178.90731243265 6733434.851494028 19.19, -35178.82771612739 6733434.910869687 19.2, -35178.76093505439 6733434.951836543 19.21, -35178.738193253404 6733434.968801015 19.21, -35178.60463110788 6733435.050734722 19.22, -35178.41565879132 6733435.1651530415 19.21, -35178.308094621985 6733435.068408505 19.21, -35178.235903731314 6733435.007221009 19.22, -35178.1099307565 6733434.897661239 19.22, -35178.02925762895 6733434.8251028415 19.23, -35177.89480241749 6733434.7041721735 19.23, -35177.831093764165 6733434.654355576 19.22, -35177.49847468734 6733434.362677645 19.16, -35177.45461917133 6733434.31574971 19.14, -35177.266381875146 6733434.146446781 19.09, -35177.10359128937 6733434.011256552 19.080000000000002, -35177.00595368876 6733433.915956355 19.07, -35176.8446074354 6733433.770839555 19.04, -35176.91716583271 6733433.690166429 19.03, -35177.03665216302 6733433.565637784 19.02, -35177.22725255939 6733433.370362579 19.01, -35177.585711551015 6733432.996776641 19, -35177.68101174908 6733432.899139039 19, -35177.82468421175 6733432.747719349 18.990000000000002, -35177.87305647659 6733432.693937264 18.990000000000002, -35178.18314320326 6733432.374133406 19.01, -35178.231515468215 6733432.320351318 19.01, -35178.26707250101 6733432.284978038 19.01, -35178.29270296474 6733432.248160428 19.01, -35178.32681566605 6733432.222713715 19.01, -35178.530231294106 6733432.009029697 19.01, -35178.73364692193 6733431.79534568 19.02, -35178.76920395496 6733431.759972398 19.03, -35178.82894712011 6733431.69770807 19.02, -35178.99536138354 6733431.529323902 19.01, -35179.18740611104 6733431.324122119 19, -35179.36663560651 6733431.137329142 18.98, -35179.46338013571 6733431.029764966 18.98, -35179.52312330087 6733430.96750064 18.990000000000002, -35179.79765299405 6733430.683070051 19.01, -35179.9413254566 6733430.531650352 18.990000000000002, -35180.14474108408 6733430.317966327 19, -35180.286969215376 6733430.176473196 19.01, -35180.55012800789 6733429.90052484 19.04, -35180.69380047056 6733429.749105139 19.04, -35180.71798660292 6733429.722214093 19.04, -35180.94558836252 6733429.481639016 19.02, -35181.07644559292 6733429.348628124 19, -35181.113446956966 6733429.30332827 18.990000000000002, -35181.137633089325 6733429.276437224 18.990000000000002, -35181.18726593547 6733429.28365888 18.98, -35181.30349610385 6733429.320843996 18.97, -35181.38146432652 6733429.342325214 18.96, -35181.646593034384 6733429.401175297 18.94, -35181.96983682772 6733429.478617941 18.89, -35182.12577327469 6733429.5215803785 18.89, -35182.29163629119 6733429.565987148 18.87, -35182.437646168866 6733429.60750526 18.85, -35182.52554096223 6733429.630430811 18.830000000000002, -35182.63328889455 6733429.656245025 18.81, -35182.69140397955 6733429.674837583 18.8, -35182.7211836878 6733429.679170578 18.79, -35182.74951906467 6733429.693430139 18.78, -35182.80763414991 6733429.712022697 18.78, -35183.05091414135 6733429.990701646 18.8, -35183.19800085097 6733430.164153823 18.79, -35183.29274980107 6733430.279307165 18.81, -35183.412945465185 6733430.428573209 18.830000000000002, -35183.536029791925 6733430.557986116 18.830000000000002, -35183.63926098007 6733430.684510356 18.830000000000002, -35183.69700856344 6733430.844963555 18.87, -35183.78146344074 6733431.100533206 18.900000000000002, -35183.87295622402 6733431.377400325 18.92, -35183.91518366197 6733431.505185149 18.93, -35183.93485304969 6733431.57900413 18.93, -35183.90615016897 6733431.706605205 18.94, -35183.79874405509 6733432.096446332 18.97, -35183.794411060284 6733432.1262260415 18.97, -35183.768596841954 6733432.233973973 18.97, -35183.748559950734 6733432.302015629 18.97, -35183.636820839136 6733432.721636463 18.97, -35183.5767101635 6733432.925761429 18.96, -35183.45559573895 6733433.131146974 18.96, -35183.40433480672 6733433.2047822 18.96, -35183.313183843624 6733433.3435704205 18.96, -35183.26192291116 6733433.417205649 18.96, -35183.23340378096 6733433.473876405 18.97, -35183.194958081935 6733433.529102826 18.97, -35183.12943758443 6733433.63107343 18.97, -35183.06247275497 6733433.742970605 18.98, -35182.94424699305 6733433.928503006 18.97, -35182.84172512789 6733434.075773463 18.97, -35182.789019863005 6733434.159335262 18.97, -35182.760500733275 6733434.216006012 18.97, -35182.65816262155 6733434.29234615 18.98, -35182.543009277084 6733434.387095094 18.990000000000002, -35182.29140511784 6733434.583630886 19.02, -35182.2686633151 6733434.600595361 19.02, -35182.234550611814 6733434.626042072 19.02, -35181.867793108686 6733434.917326807 19.03, -35181.84505130607 6733434.934291283 19.03, -35181.68441435741 6733435.062969173 19.04, -35181.489664704655 6733435.217093777 19.080000000000002, -35181.42143929785 6733435.267987199 19.09, -35181.238060546806 6733435.413629563 19.09, -35181.06605269713 6733435.550789689 19.09, -35180.96227025462 6733435.637056393 19.080000000000002, -35180.916786650196 6733435.670985341 19.080000000000002))</t>
  </si>
  <si>
    <t>['FV558 S1D1 m3497-3515']</t>
  </si>
  <si>
    <t>LINESTRING Z (-35164.11756182206 6733457.564935231 19.72, -35164.070817658794 6733457.537860423 19.72, -35163.98725589819 6733457.485155144 19.73, -35163.93906740029 6733457.468006903 19.73, -35163.73368194781 6733457.346892448 19.77, -35163.443290400784 6733457.182999279 19.77, -35163.386619671015 6733457.154480139 19.77, -35163.07781932643 6733456.9777717395 19.8, -35163.012666365015 6733456.937881698 19.87, -35162.75061018497 6733456.788248102 20.14, -35162.70386602194 6733456.761173297 20.19, -35162.73094082635 6733456.714429134 20.150000000000002, -35162.772275200696 6733456.639349606 20.06, -35162.89772265765 6733456.404184453 20.05, -35162.964687501895 6733456.292287326 20.05, -35163.00602187624 6733456.217207796 20.05, -35163.01883711119 6733456.198799 20.05, -35163.021725779865 6733456.178945866 20.05, -35163.22695331485 6733455.813474785 20.39, -35163.47207088757 6733455.382850741 20.41, -35163.58181443869 6733455.185947515 20.38, -35163.66592751886 6733455.025861892 20.34, -35163.81700544257 6733454.753879134 20.13, -35163.942452895455 6733454.518713974 19.97, -35164.010862072 6733454.396890279 19.830000000000002, -35164.09353081777 6733454.246731217 19.86, -35164.23179350409 6733453.993157257 19.77, -35164.28305444319 6733453.919522062 19.76, -35164.33864838455 6733453.816107163 19.76, -35164.5738393832 6733453.384038772 19.740000000000002, -35164.58665461803 6733453.36562997 19.740000000000002, -35164.59946985298 6733453.347221172 19.740000000000002, -35164.76336300676 6733453.05682961 19.81, -35164.861735653016 6733452.868408612 19.82, -35164.95721963118 6733452.699840745 19.73, -35165.06407450966 6733452.522790648 19.72, -35165.14818758669 6733452.362705014 19.73, -35165.16100282082 6733452.344296214 19.73, -35165.27363503445 6733452.127539849 19.75, -35165.3947494803 6733451.922154382 19.7, -35165.43463951745 6733451.857001415 19.67, -35165.50593735895 6733451.71532458 19.69, -35165.62705180445 6733451.509939112 19.67, -35165.709720545914 6733451.359780044 19.67, -35165.88642892882 6733451.050979675 19.63, -35165.914948065416 6733450.994308938 19.650000000000002, -35165.94202286773 6733450.947564772 19.67, -35166.1629542876 6733450.54383173 19.650000000000002, -35166.23280779354 6733450.412081461 19.63, -35166.271253496525 6733450.35685506 19.62, -35166.31114353286 6733450.291702091 19.62, -35166.369626137894 6733450.1684340555 19.62, -35166.39381227316 6733450.14154302 19.63, -35166.42233140848 6733450.084872287 19.62, -35166.54633451835 6733449.859633678 19.650000000000002, -35166.5748536539 6733449.802962942 19.64, -35166.61618802347 6733449.727883409 19.650000000000002, -35166.668893293594 6733449.644321638 19.66, -35166.73874679883 6733449.5125713665 19.69, -35166.75156203285 6733449.494162564 19.69, -35166.80426730309 6733449.4106007945 19.69, -35166.94234621152 6733449.22795712 19.67, -35167.18727999239 6733448.86826334 19.64, -35167.2641713965 6733448.757810536 19.64, -35167.32824756706 6733448.665766529 19.63, -35167.392323737266 6733448.573722524 19.62, -35167.44358467311 6733448.500087321 19.62, -35167.52192041068 6733448.379707949 19.63, -35167.7639655231 6733448.039867293 19.61, -35167.78959599114 6733448.003049693 19.61, -35167.93200789788 6733447.790626314 19.62, -35168.021714535425 6733447.661764703 19.61, -35168.07297547092 6733447.588129498 19.61, -35168.15131120791 6733447.467750121 19.61, -35168.21538737719 6733447.375706117 19.6, -35168.329280148726 6733447.219953471 19.59, -35168.406171551906 6733447.109500663 19.59, -35168.44606158673 6733447.0443476895 19.59, -35168.52150865644 6733446.94382145 19.580000000000002, -35168.53576822369 6733446.915486081 19.580000000000002, -35168.61265962676 6733446.805033268 19.57, -35168.817703367095 6733446.510492446 19.54, -35168.830518601 6733446.492083645 19.54, -35168.88033520302 6733446.428375005 19.54, -35169.086823276244 6733446.123907611 19.53, -35169.20216037962 6733445.958228396 19.52, -35169.31894181587 6733445.782622611 19.51, -35169.432834586245 6733445.62686996 19.5, -35169.56243125594 6733445.432855374 19.46, -35169.599432623945 6733445.387555534 19.46, -35169.83010682883 6733445.056197099 19.48, -35169.8699968626 6733444.991044125 19.47, -35169.88281209627 6733444.972635324 19.47, -35169.946888264385 6733444.8805913115 19.46, -35170.06366969948 6733444.7049855245 19.44, -35170.049593896954 6733444.662390587 19.43, -35170.018553624395 6733444.59705385 19.43, -35169.93391504255 6733444.412414538 19.41, -35169.89439253567 6733444.335706898 19.400000000000002, -35169.75471131003 6733444.041691582 19.39, -35169.59247204545 6733443.693710428 19.36, -35169.49231332529 6733443.476402748 19.37, -35169.41615697602 6733443.30313434 19.35, -35169.36959656654 6733443.205129233 19.36, -35169.34559419565 6733443.161089964 19.36, -35169.191837162245 6733442.824479716 19.37, -35169.167834791006 6733442.780440447 19.38, -35169.162241221755 6733442.749216411 19.38, -35169.00703985477 6733442.422532731 19.55, -35168.9929640505 6733442.379937797 19.55, -35168.915363366716 6733442.216595956 19.5, -35168.89280532766 6733442.16263012 19.53, -35168.8971383255 6733442.132850419 19.53, -35168.908692987054 6733442.053437878 19.53, -35168.91898707661 6733441.9130216 19.55, -35168.95076239447 6733441.694637113 19.57, -35168.99698103743 6733441.37698695 19.48, -35169.0013140348 6733441.347207251 19.47, -35169.0361617764 6733441.038039324 19.48, -35169.05493809923 6733440.908993945 19.48, -35169.059271096834 6733440.879214242 19.490000000000002, -35169.06215976202 6733440.859361105 19.490000000000002, -35169.06649275962 6733440.829581403 19.490000000000002, -35169.121561153675 6733440.381441528 19.55, -35169.13456014544 6733440.2921024235 19.55, -35169.20099943632 6733439.835480313 19.52, -35169.203888101154 6733439.815627177 19.52, -35169.24884616304 6733439.436973277 19.66, -35169.25317915995 6733439.407193574 19.66, -35169.25895648927 6733439.367487304 19.66, -35169.279177141725 6733439.228515356 19.63, -35169.31961844582 6733438.9505714625 19.650000000000002, -35169.406462137704 6733438.284047097 19.64, -35169.46008618525 6733437.845833788 19.740000000000002, -35169.49330582388 6733437.617522731 19.7, -35169.49619448802 6733437.597669597 19.7, -35169.55126286391 6733437.149529717 19.73, -35169.572927844594 6733437.000631202 19.72, -35169.59748148895 6733436.831879551 19.72, -35169.60470314883 6733436.7822467135 19.72, -35169.62492379651 6733436.643274766 19.73, -35169.7140791493 6733436.727204058 19.68, -35169.83860777621 6733436.846690385 19.61, -35169.92776312854 6733436.930619678 19.55, -35170.2759023027 6733437.254965959 19.32, -35170.311275577405 6733437.290522992 19.29, -35170.329684380675 6733437.303338222 19.28, -35170.63252371282 6733437.59068314 19.1, -35170.829243221204 6733437.771356967 19.05, -35170.846207692404 6733437.7940987665 19.05, -35170.89150753466 6733437.83110013 19.04, -35170.936807376915 6733437.868101495 19.03, -35171.30191102298 6733438.215189583 18.98, -35171.50711276743 6733438.40723431 19, -35171.525521570584 6733438.420049544 19, -35171.60619468789 6733438.49260794 19, -35171.8651785102 6733438.733024937 19.01, -35171.935925059486 6733438.804139003 19.01, -35171.998189373175 6733438.863882169 19, -35172.068935922114 6733438.934996238 19, -35172.15953560732 6733439.008998967 19.03, -35172.24724662793 6733439.102854834 19.04, -35172.534565821756 6733439.357531398 19.2, -35172.62372117466 6733439.441460697 19.240000000000002, -35172.72984099854 6733439.548131799 19.26, -35173.01571586041 6733439.8127349345 19.31, -35173.08790674247 6733439.873922435 19.32, -35173.14168882044 6733439.922294702 19.330000000000002, -35173.49831023184 6733440.25801191 19.45, -35173.68510317325 6733440.437241413 19.47, -35173.819558368996 6733440.558172084 19.490000000000002, -35173.93560476124 6733440.666287523 19.48, -35174.14080650627 6733440.858332262 19.47, -35174.37289929064 6733441.074563139 19.45, -35174.31171178864 6733441.146754022 19.46, -35174.23626472091 6733441.247280275 19.46, -35174.00703485124 6733441.568712175 19.47, -35173.740803613444 6733441.935443913 19.48, -35173.71806181187 6733441.952408383 19.48, -35173.565723342355 6733442.163387457 19.48, -35173.36212393793 6733442.448001742 19.490000000000002, -35173.34930870426 6733442.466410548 19.490000000000002, -35173.29949210258 6733442.530119195 19.48, -35173.07170656335 6733442.841624518 19.45, -35172.95925812679 6733442.987450609 19.44, -35172.946442893124 6733443.005859412 19.44, -35172.92225675855 6733443.03275045 19.44, -35172.75710305397 6733443.262138324 19.43, -35172.6432102836 6733443.417890985 19.41, -35172.42823997652 6733443.710987498 19.38, -35172.31434720603 6733443.866740157 19.38, -35172.200454435195 6733444.022492815 19.38, -35172.17482396762 6733444.059310421 19.38, -35172.048115963 6733444.2334718825 19.38, -35171.8602204551 6733444.479824217 19.35, -35171.74632768403 6733444.635576874 19.35, -35171.709326315555 6733444.680876712 19.35, -35171.58261831023 6733444.8550381735 19.34, -35171.51998647372 6733444.937155618 19.35, -35171.50283824094 6733444.985344124 19.36, -35171.26042560185 6733445.467045417 19.36, -35171.23190646758 6733445.523716156 19.36, -35171.206275999895 6733445.56053376 19.36, -35171.177756865625 6733445.617204501 19.37, -35170.960974691785 6733446.062088186 19.41, -35170.821267685504 6733446.325588749 19.41, -35170.791304217535 6733446.392186057 19.41, -35170.577410706785 6733446.817216605 19.41, -35170.534632004215 6733446.902222714 19.41, -35170.43481503229 6733447.1005703 19.42, -35170.32073849172 6733447.327253256 19.44, -35170.196735383244 6733447.552491879 19.44, -35170.19240238308 6733447.582271581 19.44, -35170.16677191469 6733447.619089184 19.44, -35170.08121450851 6733447.789101401 19.45, -35169.88176432706 6733448.114866262 19.46, -35169.83050338959 6733448.188501471 19.46, -35169.81479948864 6733448.226763405 19.46, -35169.63105320686 6733448.51426633 19.48, -35169.51138309692 6733448.709725244 19.490000000000002, -35169.3788977518 6733448.923592962 19.490000000000002, -35169.35326728318 6733448.960410564 19.490000000000002, -35169.24785674049 6733449.127534109 19.5, -35169.20941103692 6733449.182760514 19.5, -35169.12818662904 6733449.322993024 19.52, -35169.06122178945 6733449.434890166 19.51, -35168.955811246065 6733449.60201371 19.52, -35168.850400702446 6733449.769137254 19.51, -35168.74499015906 6733449.936260795 19.490000000000002, -35168.73217492446 6733449.954669596 19.490000000000002, -35168.70654445491 6733449.9914872 19.490000000000002, -35168.678025318426 6733450.048157937 19.490000000000002, -35168.42875852622 6733450.437631424 19.5, -35168.30908841314 6733450.633090332 19.51, -35168.2706427091 6733450.688316735 19.52, -35168.25493880722 6733450.7265786715 19.52, -35168.18941829982 6733450.828549243 19.52, -35168.09826732334 6733450.967337414 19.52, -35168.07119252009 6733451.014081584 19.51, -35167.97570854204 6733451.182649456 19.5, -35167.92444760294 6733451.256284661 19.490000000000002, -35167.77481401758 6733451.518340869 19.51, -35167.625180431525 6733451.780397079 19.52, -35167.61236519716 6733451.798805878 19.52, -35167.5183255513 6733451.957447183 19.52, -35167.46417594422 6733452.050935519 19.53, -35167.42573023948 6733452.106161922 19.53, -35167.304615789675 6733452.311547393 19.54, -35167.249021848664 6733452.4149622945 19.54, -35167.07664645882 6733452.693982968 19.54, -35166.968347243266 6733452.880959636 19.54, -35166.941272439086 6733452.927703805 19.55, -35166.87286326231 6733453.049527505 19.55, -35166.65770916361 6733453.413554276 19.580000000000002, -35166.60355955514 6733453.507042611 19.59, -35166.25303143356 6733454.10479021 19.56, -35166.22595662926 6733454.151534378 19.56, -35166.19888182462 6733454.198278544 19.56, -35166.063507802435 6733454.431999375 19.57, -35165.99798729224 6733454.533969939 19.57, -35165.97091248748 6733454.580714107 19.580000000000002, -35165.86694627185 6733454.737911069 19.6, -35165.827056231676 6733454.803064035 19.61, -35165.7344609166 6733454.951778766 19.62, -35165.627606031485 6733455.1288288655 19.63, -35165.573456421844 6733455.222317197 19.64, -35165.42960016534 6733455.4446671195 19.66, -35165.40108102595 6733455.501337854 19.67, -35165.388265790534 6733455.519746656 19.67, -35165.337004849105 6733455.593381851 19.67, -35165.20451949269 6733455.807249545 19.67, -35165.032144095516 6733456.0862702 19.650000000000002, -35164.97943881946 6733456.169831963 19.66, -35164.89965873817 6733456.300137893 19.67, -35164.84839779639 6733456.373773088 19.68, -35164.688837633235 6733456.634384945 19.7, -35164.52927746961 6733456.894996798 19.7, -35164.3056411274 6733457.247652646 19.73, -35164.14752529701 6733457.498337931 19.71, -35164.11756182206 6733457.564935231 19.72)</t>
  </si>
  <si>
    <t>POLYGON Z ((-35164.11756182206 6733457.564935231 19.72, -35164.070817658794 6733457.537860423 19.72, -35163.98725589819 6733457.485155144 19.73, -35163.93906740029 6733457.468006903 19.73, -35163.73368194781 6733457.346892448 19.77, -35163.443290400784 6733457.182999279 19.77, -35163.386619671015 6733457.154480139 19.77, -35163.07781932643 6733456.9777717395 19.8, -35163.012666365015 6733456.937881698 19.87, -35162.75061018497 6733456.788248102 20.14, -35162.70386602194 6733456.761173297 20.19, -35162.73094082635 6733456.714429134 20.150000000000002, -35162.772275200696 6733456.639349606 20.06, -35162.89772265765 6733456.404184453 20.05, -35162.964687501895 6733456.292287326 20.05, -35163.00602187624 6733456.217207796 20.05, -35163.01883711119 6733456.198799 20.05, -35163.021725779865 6733456.178945866 20.05, -35163.22695331485 6733455.813474785 20.39, -35163.47207088757 6733455.382850741 20.41, -35163.58181443869 6733455.185947515 20.38, -35163.66592751886 6733455.025861892 20.34, -35163.81700544257 6733454.753879134 20.13, -35163.942452895455 6733454.518713974 19.97, -35164.010862072 6733454.396890279 19.830000000000002, -35164.09353081777 6733454.246731217 19.86, -35164.23179350409 6733453.993157257 19.77, -35164.28305444319 6733453.919522062 19.76, -35164.33864838455 6733453.816107163 19.76, -35164.5738393832 6733453.384038772 19.740000000000002, -35164.58665461803 6733453.36562997 19.740000000000002, -35164.59946985298 6733453.347221172 19.740000000000002, -35164.76336300676 6733453.05682961 19.81, -35164.861735653016 6733452.868408612 19.82, -35164.95721963118 6733452.699840745 19.73, -35165.06407450966 6733452.522790648 19.72, -35165.14818758669 6733452.362705014 19.73, -35165.16100282082 6733452.344296214 19.73, -35165.27363503445 6733452.127539849 19.75, -35165.3947494803 6733451.922154382 19.7, -35165.43463951745 6733451.857001415 19.67, -35165.50593735895 6733451.71532458 19.69, -35165.62705180445 6733451.509939112 19.67, -35165.709720545914 6733451.359780044 19.67, -35165.88642892882 6733451.050979675 19.63, -35165.914948065416 6733450.994308938 19.650000000000002, -35165.94202286773 6733450.947564772 19.67, -35166.1629542876 6733450.54383173 19.650000000000002, -35166.23280779354 6733450.412081461 19.63, -35166.271253496525 6733450.35685506 19.62, -35166.31114353286 6733450.291702091 19.62, -35166.369626137894 6733450.1684340555 19.62, -35166.39381227316 6733450.14154302 19.63, -35166.42233140848 6733450.084872287 19.62, -35166.54633451835 6733449.859633678 19.650000000000002, -35166.5748536539 6733449.802962942 19.64, -35166.61618802347 6733449.727883409 19.650000000000002, -35166.668893293594 6733449.644321638 19.66, -35166.73874679883 6733449.5125713665 19.69, -35166.75156203285 6733449.494162564 19.69, -35166.80426730309 6733449.4106007945 19.69, -35166.94234621152 6733449.22795712 19.67, -35167.18727999239 6733448.86826334 19.64, -35167.2641713965 6733448.757810536 19.64, -35167.32824756706 6733448.665766529 19.63, -35167.392323737266 6733448.573722524 19.62, -35167.44358467311 6733448.500087321 19.62, -35167.52192041068 6733448.379707949 19.63, -35167.7639655231 6733448.039867293 19.61, -35167.78959599114 6733448.003049693 19.61, -35167.93200789788 6733447.790626314 19.62, -35168.021714535425 6733447.661764703 19.61, -35168.07297547092 6733447.588129498 19.61, -35168.15131120791 6733447.467750121 19.61, -35168.21538737719 6733447.375706117 19.6, -35168.329280148726 6733447.219953471 19.59, -35168.406171551906 6733447.109500663 19.59, -35168.44606158673 6733447.0443476895 19.59, -35168.52150865644 6733446.94382145 19.580000000000002, -35168.53576822369 6733446.915486081 19.580000000000002, -35168.61265962676 6733446.805033268 19.57, -35168.817703367095 6733446.510492446 19.54, -35168.830518601 6733446.492083645 19.54, -35168.88033520302 6733446.428375005 19.54, -35169.086823276244 6733446.123907611 19.53, -35169.20216037962 6733445.958228396 19.52, -35169.31894181587 6733445.782622611 19.51, -35169.432834586245 6733445.62686996 19.5, -35169.56243125594 6733445.432855374 19.46, -35169.599432623945 6733445.387555534 19.46, -35169.83010682883 6733445.056197099 19.48, -35169.8699968626 6733444.991044125 19.47, -35169.88281209627 6733444.972635324 19.47, -35169.946888264385 6733444.8805913115 19.46, -35170.06366969948 6733444.7049855245 19.44, -35170.049593896954 6733444.662390587 19.43, -35170.018553624395 6733444.59705385 19.43, -35169.93391504255 6733444.412414538 19.41, -35169.89439253567 6733444.335706898 19.400000000000002, -35169.75471131003 6733444.041691582 19.39, -35169.59247204545 6733443.693710428 19.36, -35169.49231332529 6733443.476402748 19.37, -35169.41615697602 6733443.30313434 19.35, -35169.36959656654 6733443.205129233 19.36, -35169.34559419565 6733443.161089964 19.36, -35169.191837162245 6733442.824479716 19.37, -35169.167834791006 6733442.780440447 19.38, -35169.162241221755 6733442.749216411 19.38, -35169.00703985477 6733442.422532731 19.55, -35168.9929640505 6733442.379937797 19.55, -35168.915363366716 6733442.216595956 19.5, -35168.89280532766 6733442.16263012 19.53, -35168.8971383255 6733442.132850419 19.53, -35168.908692987054 6733442.053437878 19.53, -35168.91898707661 6733441.9130216 19.55, -35168.95076239447 6733441.694637113 19.57, -35168.99698103743 6733441.37698695 19.48, -35169.0013140348 6733441.347207251 19.47, -35169.0361617764 6733441.038039324 19.48, -35169.05493809923 6733440.908993945 19.48, -35169.059271096834 6733440.879214242 19.490000000000002, -35169.06215976202 6733440.859361105 19.490000000000002, -35169.06649275962 6733440.829581403 19.490000000000002, -35169.121561153675 6733440.381441528 19.55, -35169.13456014544 6733440.2921024235 19.55, -35169.20099943632 6733439.835480313 19.52, -35169.203888101154 6733439.815627177 19.52, -35169.24884616304 6733439.436973277 19.66, -35169.25317915995 6733439.407193574 19.66, -35169.25895648927 6733439.367487304 19.66, -35169.279177141725 6733439.228515356 19.63, -35169.31961844582 6733438.9505714625 19.650000000000002, -35169.406462137704 6733438.284047097 19.64, -35169.46008618525 6733437.845833788 19.740000000000002, -35169.49330582388 6733437.617522731 19.7, -35169.49619448802 6733437.597669597 19.7, -35169.55126286391 6733437.149529717 19.73, -35169.572927844594 6733437.000631202 19.72, -35169.59748148895 6733436.831879551 19.72, -35169.60470314883 6733436.7822467135 19.72, -35169.62492379651 6733436.643274766 19.73, -35169.7140791493 6733436.727204058 19.68, -35169.83860777621 6733436.846690385 19.61, -35169.92776312854 6733436.930619678 19.55, -35170.2759023027 6733437.254965959 19.32, -35170.311275577405 6733437.290522992 19.29, -35170.329684380675 6733437.303338222 19.28, -35170.63252371282 6733437.59068314 19.1, -35170.829243221204 6733437.771356967 19.05, -35170.846207692404 6733437.7940987665 19.05, -35170.89150753466 6733437.83110013 19.04, -35170.936807376915 6733437.868101495 19.03, -35171.30191102298 6733438.215189583 18.98, -35171.50711276743 6733438.40723431 19, -35171.525521570584 6733438.420049544 19, -35171.60619468789 6733438.49260794 19, -35171.8651785102 6733438.733024937 19.01, -35171.935925059486 6733438.804139003 19.01, -35171.998189373175 6733438.863882169 19, -35172.068935922114 6733438.934996238 19, -35172.15953560732 6733439.008998967 19.03, -35172.24724662793 6733439.102854834 19.04, -35172.534565821756 6733439.357531398 19.2, -35172.62372117466 6733439.441460697 19.240000000000002, -35172.72984099854 6733439.548131799 19.26, -35173.01571586041 6733439.8127349345 19.31, -35173.08790674247 6733439.873922435 19.32, -35173.14168882044 6733439.922294702 19.330000000000002, -35173.49831023184 6733440.25801191 19.45, -35173.68510317325 6733440.437241413 19.47, -35173.819558368996 6733440.558172084 19.490000000000002, -35173.93560476124 6733440.666287523 19.48, -35174.14080650627 6733440.858332262 19.47, -35174.37289929064 6733441.074563139 19.45, -35174.31171178864 6733441.146754022 19.46, -35174.23626472091 6733441.247280275 19.46, -35174.00703485124 6733441.568712175 19.47, -35173.740803613444 6733441.935443913 19.48, -35173.71806181187 6733441.952408383 19.48, -35173.565723342355 6733442.163387457 19.48, -35173.36212393793 6733442.448001742 19.490000000000002, -35173.34930870426 6733442.466410548 19.490000000000002, -35173.29949210258 6733442.530119195 19.48, -35173.07170656335 6733442.841624518 19.45, -35172.95925812679 6733442.987450609 19.44, -35172.946442893124 6733443.005859412 19.44, -35172.92225675855 6733443.03275045 19.44, -35172.75710305397 6733443.262138324 19.43, -35172.6432102836 6733443.417890985 19.41, -35172.42823997652 6733443.710987498 19.38, -35172.31434720603 6733443.866740157 19.38, -35172.200454435195 6733444.022492815 19.38, -35172.17482396762 6733444.059310421 19.38, -35172.048115963 6733444.2334718825 19.38, -35171.8602204551 6733444.479824217 19.35, -35171.74632768403 6733444.635576874 19.35, -35171.709326315555 6733444.680876712 19.35, -35171.58261831023 6733444.8550381735 19.34, -35171.51998647372 6733444.937155618 19.35, -35171.50283824094 6733444.985344124 19.36, -35171.26042560185 6733445.467045417 19.36, -35171.23190646758 6733445.523716156 19.36, -35171.206275999895 6733445.56053376 19.36, -35171.177756865625 6733445.617204501 19.37, -35170.960974691785 6733446.062088186 19.41, -35170.821267685504 6733446.325588749 19.41, -35170.791304217535 6733446.392186057 19.41, -35170.577410706785 6733446.817216605 19.41, -35170.534632004215 6733446.902222714 19.41, -35170.43481503229 6733447.1005703 19.42, -35170.32073849172 6733447.327253256 19.44, -35170.196735383244 6733447.552491879 19.44, -35170.19240238308 6733447.582271581 19.44, -35170.16677191469 6733447.619089184 19.44, -35170.08121450851 6733447.789101401 19.45, -35169.88176432706 6733448.114866262 19.46, -35169.83050338959 6733448.188501471 19.46, -35169.81479948864 6733448.226763405 19.46, -35169.63105320686 6733448.51426633 19.48, -35169.51138309692 6733448.709725244 19.490000000000002, -35169.3788977518 6733448.923592962 19.490000000000002, -35169.35326728318 6733448.960410564 19.490000000000002, -35169.24785674049 6733449.127534109 19.5, -35169.20941103692 6733449.182760514 19.5, -35169.12818662904 6733449.322993024 19.52, -35169.06122178945 6733449.434890166 19.51, -35168.955811246065 6733449.60201371 19.52, -35168.850400702446 6733449.769137254 19.51, -35168.74499015906 6733449.936260795 19.490000000000002, -35168.73217492446 6733449.954669596 19.490000000000002, -35168.70654445491 6733449.9914872 19.490000000000002, -35168.678025318426 6733450.048157937 19.490000000000002, -35168.42875852622 6733450.437631424 19.5, -35168.30908841314 6733450.633090332 19.51, -35168.2706427091 6733450.688316735 19.52, -35168.25493880722 6733450.7265786715 19.52, -35168.18941829982 6733450.828549243 19.52, -35168.09826732334 6733450.967337414 19.52, -35168.07119252009 6733451.014081584 19.51, -35167.97570854204 6733451.182649456 19.5, -35167.92444760294 6733451.256284661 19.490000000000002, -35167.77481401758 6733451.518340869 19.51, -35167.625180431525 6733451.780397079 19.52, -35167.61236519716 6733451.798805878 19.52, -35167.5183255513 6733451.957447183 19.52, -35167.46417594422 6733452.050935519 19.53, -35167.42573023948 6733452.106161922 19.53, -35167.304615789675 6733452.311547393 19.54, -35167.249021848664 6733452.4149622945 19.54, -35167.07664645882 6733452.693982968 19.54, -35166.968347243266 6733452.880959636 19.54, -35166.941272439086 6733452.927703805 19.55, -35166.87286326231 6733453.049527505 19.55, -35166.65770916361 6733453.413554276 19.580000000000002, -35166.60355955514 6733453.507042611 19.59, -35166.25303143356 6733454.10479021 19.56, -35166.22595662926 6733454.151534378 19.56, -35166.19888182462 6733454.198278544 19.56, -35166.063507802435 6733454.431999375 19.57, -35165.99798729224 6733454.533969939 19.57, -35165.97091248748 6733454.580714107 19.580000000000002, -35165.86694627185 6733454.737911069 19.6, -35165.827056231676 6733454.803064035 19.61, -35165.7344609166 6733454.951778766 19.62, -35165.627606031485 6733455.1288288655 19.63, -35165.573456421844 6733455.222317197 19.64, -35165.42960016534 6733455.4446671195 19.66, -35165.40108102595 6733455.501337854 19.67, -35165.388265790534 6733455.519746656 19.67, -35165.337004849105 6733455.593381851 19.67, -35165.20451949269 6733455.807249545 19.67, -35165.032144095516 6733456.0862702 19.650000000000002, -35164.97943881946 6733456.169831963 19.66, -35164.89965873817 6733456.300137893 19.67, -35164.84839779639 6733456.373773088 19.68, -35164.688837633235 6733456.634384945 19.7, -35164.52927746961 6733456.894996798 19.7, -35164.3056411274 6733457.247652646 19.73, -35164.14752529701 6733457.498337931 19.71, -35164.11756182206 6733457.564935231 19.72))</t>
  </si>
  <si>
    <t>['FV558 S1D1 m3532-3540']</t>
  </si>
  <si>
    <t>LINESTRING Z (-35188.38578108302 6733423.630680409 18.02, -35188.280370568275 6733423.797804029 18.06, -35188.01973294234 6733424.195759938 18.16, -35187.8744324015 6733424.428036556 18.34, -35187.50982858846 6733424.983189507 18.6, -35187.4044180722 6733425.150313124 18.63, -35187.32608235045 6733425.27069255 18.650000000000002, -35187.24774662824 6733425.391071978 18.66, -35187.089630853035 6733425.6417574 18.68, -35186.88658271311 6733425.713580814 18.66, -35186.85391434131 6733425.729100961 18.650000000000002, -35186.83261687029 6733425.736138871 18.64, -35186.59690035891 6733425.823482432 18.61, -35186.22202812263 6733425.961535679 18.580000000000002, -35186.10416986735 6733426.005207461 18.56, -35186.0729458268 6733426.010801036 18.56, -35185.90112172987 6733426.077030871 18.54, -35185.72966512642 6733426.001400064 18.48, -35185.538355383906 6733425.9228805965 18.41, -35185.433496108744 6733425.877213244 18.37, -35185.14580933051 6733425.764397328 18.35, -35184.89782883192 6733425.657358737 18.34, -35184.53506249003 6733425.503208467 18.32, -35184.40186783741 6733425.443281553 18.32, -35184.36216155859 6733425.437504229 18.330000000000002, -35184.08476884535 6733425.184272007 18.34, -35183.977204655646 6733425.087527482 18.35, -35183.869640465826 6733424.990782955 18.37, -35183.57383894455 6733424.724735505 18.400000000000002, -35183.42945713806 6733424.602360515 18.400000000000002, -35183.38560161274 6733424.555432583 18.400000000000002, -35183.25114637602 6733424.434501925 18.38, -35183.07139128295 6733424.2765699085 18.34, -35182.658099003136 6733423.912333609 18.36, -35182.35237091326 6733423.644841837 18.37, -35182.29155091033 6733423.575172104 18.38, -35182.03112267621 6733423.344681697 18.36, -35181.85136758408 6733423.186749683 18.35, -35181.671612492064 6733423.02881767 18.36, -35181.49185740005 6733422.870885657 18.35, -35181.47489292198 6733422.848143859 18.35, -35181.438075305545 6733422.822513395 18.35, -35181.3489199247 6733422.738584106 18.35, -35181.24135573581 6733422.641839584 18.34, -35181.23450157093 6733422.549611797 18.31, -35181.23198039713 6733422.427604305 18.26, -35181.22657056223 6733422.325449949 18.22, -35181.21396468952 6733421.715412478 17.98, -35181.20892233914 6733421.471397488 17.86, -35181.20332876081 6733421.44017345 17.85, -35181.20225191512 6733421.308239386 17.79, -35181.20154255419 6733421.03444469 17.67, -35181.198837636155 6733420.983367512 17.650000000000002, -35181.18171502068 6733420.474040065 17.490000000000002, -35181.18082191527 6733420.271175685 17.42, -35181.16622047324 6733419.883855735 17.25, -35181.17055346363 6733419.854076026 17.240000000000002, -35181.16425051831 6733419.549057289 17.12, -35181.15343084093 6733419.344748579 17.05, -35181.14928159141 6733419.303597972 17.03, -35181.153614581446 6733419.273818264 17.02, -35181.15090966236 6733419.222741083 17.01, -35181.148388483096 6733419.100733594 16.98, -35181.147127893404 6733419.039729845 16.96, -35181.15020029398 6733418.948946388 16.92, -35181.140824944945 6733418.73471111 16.86, -35181.134154515574 6733418.571553006 16.81, -35181.13307766558 6733418.43961894 16.78, -35181.13470573479 6733418.358762058 16.76, -35181.12533038412 6733418.14452678 16.72, -35181.12695845368 6733418.063669892 16.7, -35181.11361759156 6733417.737353687 16.63, -35181.11650625139 6733417.717500549 16.63, -35181.356188247795 6733417.742237897 16.6, -35181.385967956274 6733417.746570886 16.59, -35181.5150133596 6733417.7653471725 16.56, -35181.912076140405 6733417.823120366 16.45, -35182.051048114314 6733417.843340983 16.4, -35182.18153784855 6733417.8521907 16.37, -35182.380069240346 6733417.881077297 16.3, -35182.449555227766 6733417.891187606 16.27, -35182.67786632897 6733417.924407193 16.17, -35182.876397721935 6733417.953293791 16.11, -35183.006887457916 6733417.962143509 16.06, -35183.06644687592 6733417.970809487 16.05, -35183.30956875649 6733417.762902739 15.97, -35183.49439180922 6733417.607333762 15.92, -35183.60954513471 6733417.5125847915 15.89, -35183.70340099116 6733417.424873732 15.860000000000001, -35183.84129611612 6733417.31316028 15.83, -35183.71713491436 6733417.051813326 15.870000000000001, -35183.61553177261 6733416.844432211 15.92, -35183.52944878035 6733416.669719469 15.950000000000001, -35183.45329235832 6733416.496451051 15.99, -35183.336169064394 6733416.256401571 16, -35183.26705055218 6733416.104430626 16.01, -35183.19793203927 6733415.95245968 16.02, -35183.144333676435 6733415.833157107 16.03, -35183.22807922354 6733415.814932032 16.02, -35183.384199417895 6733415.786964128 15.99, -35183.458018394886 6733415.767294726 15.98, -35183.479315864155 6733415.760256816 15.97, -35183.781629684265 6733415.702876675 15.92, -35184.011568857706 6733415.655239366 15.870000000000001, -35184.03286632663 6733415.648201457 15.870000000000001, -35184.07401693612 6733415.644052202 15.860000000000001, -35184.335180149064 6733415.590821314 15.81, -35184.471447205986 6733415.559964747 15.790000000000001, -35184.61764083302 6733415.530552513 15.76, -35184.82628253871 6733415.4899531165 15.73, -35184.92988122732 6733415.4746167 15.72, -35185.056221714825 6733415.442315806 15.700000000000001, -35185.348608970875 6733415.383491334 15.66, -35185.42098362034 6733415.373748501 15.64, -35185.54732410854 6733415.341447606 15.610000000000001, -35185.73845012486 6733415.490897367 15.57, -35185.820567607414 6733415.553529183 15.55, -35185.84890298825 6733415.567788744 15.55, -35185.904129419825 6733415.606234432 15.540000000000001, -35186.21419054014 6733415.843946474 15.530000000000001, -35186.40531655715 6733415.993396239 15.48, -35186.49736061017 6733416.057472389 15.46, -35186.551142712706 6733416.105844647 15.450000000000001, -35186.633260195376 6733416.168476465 15.44, -35186.78053068044 6733416.270998305 15.42, -35186.84423935332 6733416.32081489 15.42, -35186.916430265876 6733416.3820023835 15.42, -35187.127409423934 6733416.53434081 15.4, -35187.23641795828 6733416.621158762 15.4, -35187.310053201276 6733416.67241968 15.4, -35187.49269697862 6733416.8104985505 15.370000000000001, -35187.55640565138 6733416.8603151385 15.36, -35187.59322327282 6733416.8859456 15.36, -35187.65693194547 6733416.935762189 15.35, -35187.83090974449 6733417.133400481 15.33, -35187.94406752975 6733417.261369046 15.32, -35187.961032010615 6733417.284110849 15.32, -35187.97799649171 6733417.306852645 15.32, -35188.22975878359 6733417.596902477 15.290000000000001, -35188.37973419065 6733417.7505014995 15.3, -35188.52682093787 6733417.923953665 15.3, -35188.66542544414 6733418.086034932 15.3, -35188.69231649558 6733418.110221062 15.3, -35188.74465426768 6733418.1685198955 15.3, -35189.0048987997 6733418.469940628 15.27, -35189.23969661002 6733418.737248664 15.27, -35189.25666109088 6733418.759990465 15.27, -35189.27362557163 6733418.782732267 15.27, -35189.292034382466 6733418.795547496 15.27, -35189.54379667353 6733419.085597331 15.200000000000001, -35189.6569544581 6733419.213565903 15.200000000000001, -35189.80548553448 6733419.377091504 15.21, -35189.92712555954 6733419.516430972 15.24, -35189.979463331634 6733419.574729809 15.24, -35190.13647664827 6733419.749626311 15.25, -35190.21426114137 6733419.842037848 15.24, -35190.3090101151 6733419.957191188 15.23, -35190.34438340622 6733419.992748221 15.24, -35190.19601047062 6733420.315808323 15.33, -35190.151787456474 6733420.410741036 15.370000000000001, -35189.79800333525 6733421.170202755 15.6, -35189.71100163448 6733421.350141614 15.76, -35189.60540738015 6733421.588195565 15.91, -35189.52977657993 6733421.759652181 16, -35189.425626655226 6733421.98777956 16.23, -35189.341513613705 6733422.147865276 16.4, -35189.28736402688 6733422.241353659 16.5, -35189.255956242094 6733422.31787756 16.54, -35189.08773015835 6733422.63804899 17.21, -35189.04350714176 6733422.732981703 17.400000000000002, -35188.91661541315 6733422.978073558 17.69, -35188.84676193248 6733423.109823891 17.7, -35188.732685434516 6733423.336506936 17.87, -35188.58197506063 6733423.466629193 17.86, -35188.44407991832 6733423.57834264 18.04, -35188.38578108302 6733423.630680409 18.02)</t>
  </si>
  <si>
    <t>POLYGON Z ((-35188.38578108302 6733423.630680409 18.02, -35188.280370568275 6733423.797804029 18.06, -35188.01973294234 6733424.195759938 18.16, -35187.8744324015 6733424.428036556 18.34, -35187.50982858846 6733424.983189507 18.6, -35187.4044180722 6733425.150313124 18.63, -35187.32608235045 6733425.27069255 18.650000000000002, -35187.24774662824 6733425.391071978 18.66, -35187.089630853035 6733425.6417574 18.68, -35186.88658271311 6733425.713580814 18.66, -35186.85391434131 6733425.729100961 18.650000000000002, -35186.83261687029 6733425.736138871 18.64, -35186.59690035891 6733425.823482432 18.61, -35186.22202812263 6733425.961535679 18.580000000000002, -35186.10416986735 6733426.005207461 18.56, -35186.0729458268 6733426.010801036 18.56, -35185.90112172987 6733426.077030871 18.54, -35185.72966512642 6733426.001400064 18.48, -35185.538355383906 6733425.9228805965 18.41, -35185.433496108744 6733425.877213244 18.37, -35185.14580933051 6733425.764397328 18.35, -35184.89782883192 6733425.657358737 18.34, -35184.53506249003 6733425.503208467 18.32, -35184.40186783741 6733425.443281553 18.32, -35184.36216155859 6733425.437504229 18.330000000000002, -35184.08476884535 6733425.184272007 18.34, -35183.977204655646 6733425.087527482 18.35, -35183.869640465826 6733424.990782955 18.37, -35183.57383894455 6733424.724735505 18.400000000000002, -35183.42945713806 6733424.602360515 18.400000000000002, -35183.38560161274 6733424.555432583 18.400000000000002, -35183.25114637602 6733424.434501925 18.38, -35183.07139128295 6733424.2765699085 18.34, -35182.658099003136 6733423.912333609 18.36, -35182.35237091326 6733423.644841837 18.37, -35182.29155091033 6733423.575172104 18.38, -35182.03112267621 6733423.344681697 18.36, -35181.85136758408 6733423.186749683 18.35, -35181.671612492064 6733423.02881767 18.36, -35181.49185740005 6733422.870885657 18.35, -35181.47489292198 6733422.848143859 18.35, -35181.438075305545 6733422.822513395 18.35, -35181.3489199247 6733422.738584106 18.35, -35181.24135573581 6733422.641839584 18.34, -35181.23450157093 6733422.549611797 18.31, -35181.23198039713 6733422.427604305 18.26, -35181.22657056223 6733422.325449949 18.22, -35181.21396468952 6733421.715412478 17.98, -35181.20892233914 6733421.471397488 17.86, -35181.20332876081 6733421.44017345 17.85, -35181.20225191512 6733421.308239386 17.79, -35181.20154255419 6733421.03444469 17.67, -35181.198837636155 6733420.983367512 17.650000000000002, -35181.18171502068 6733420.474040065 17.490000000000002, -35181.18082191527 6733420.271175685 17.42, -35181.16622047324 6733419.883855735 17.25, -35181.17055346363 6733419.854076026 17.240000000000002, -35181.16425051831 6733419.549057289 17.12, -35181.15343084093 6733419.344748579 17.05, -35181.14928159141 6733419.303597972 17.03, -35181.153614581446 6733419.273818264 17.02, -35181.15090966236 6733419.222741083 17.01, -35181.148388483096 6733419.100733594 16.98, -35181.147127893404 6733419.039729845 16.96, -35181.15020029398 6733418.948946388 16.92, -35181.140824944945 6733418.73471111 16.86, -35181.134154515574 6733418.571553006 16.81, -35181.13307766558 6733418.43961894 16.78, -35181.13470573479 6733418.358762058 16.76, -35181.12533038412 6733418.14452678 16.72, -35181.12695845368 6733418.063669892 16.7, -35181.11361759156 6733417.737353687 16.63, -35181.11650625139 6733417.717500549 16.63, -35181.356188247795 6733417.742237897 16.6, -35181.385967956274 6733417.746570886 16.59, -35181.5150133596 6733417.7653471725 16.56, -35181.912076140405 6733417.823120366 16.45, -35182.051048114314 6733417.843340983 16.4, -35182.18153784855 6733417.8521907 16.37, -35182.380069240346 6733417.881077297 16.3, -35182.449555227766 6733417.891187606 16.27, -35182.67786632897 6733417.924407193 16.17, -35182.876397721935 6733417.953293791 16.11, -35183.006887457916 6733417.962143509 16.06, -35183.06644687592 6733417.970809487 16.05, -35183.30956875649 6733417.762902739 15.97, -35183.49439180922 6733417.607333762 15.92, -35183.60954513471 6733417.5125847915 15.89, -35183.70340099116 6733417.424873732 15.860000000000001, -35183.84129611612 6733417.31316028 15.83, -35183.71713491436 6733417.051813326 15.870000000000001, -35183.61553177261 6733416.844432211 15.92, -35183.52944878035 6733416.669719469 15.950000000000001, -35183.45329235832 6733416.496451051 15.99, -35183.336169064394 6733416.256401571 16, -35183.26705055218 6733416.104430626 16.01, -35183.19793203927 6733415.95245968 16.02, -35183.144333676435 6733415.833157107 16.03, -35183.22807922354 6733415.814932032 16.02, -35183.384199417895 6733415.786964128 15.99, -35183.458018394886 6733415.767294726 15.98, -35183.479315864155 6733415.760256816 15.97, -35183.781629684265 6733415.702876675 15.92, -35184.011568857706 6733415.655239366 15.870000000000001, -35184.03286632663 6733415.648201457 15.870000000000001, -35184.07401693612 6733415.644052202 15.860000000000001, -35184.335180149064 6733415.590821314 15.81, -35184.471447205986 6733415.559964747 15.790000000000001, -35184.61764083302 6733415.530552513 15.76, -35184.82628253871 6733415.4899531165 15.73, -35184.92988122732 6733415.4746167 15.72, -35185.056221714825 6733415.442315806 15.700000000000001, -35185.348608970875 6733415.383491334 15.66, -35185.42098362034 6733415.373748501 15.64, -35185.54732410854 6733415.341447606 15.610000000000001, -35185.73845012486 6733415.490897367 15.57, -35185.820567607414 6733415.553529183 15.55, -35185.84890298825 6733415.567788744 15.55, -35185.904129419825 6733415.606234432 15.540000000000001, -35186.21419054014 6733415.843946474 15.530000000000001, -35186.40531655715 6733415.993396239 15.48, -35186.49736061017 6733416.057472389 15.46, -35186.551142712706 6733416.105844647 15.450000000000001, -35186.633260195376 6733416.168476465 15.44, -35186.78053068044 6733416.270998305 15.42, -35186.84423935332 6733416.32081489 15.42, -35186.916430265876 6733416.3820023835 15.42, -35187.127409423934 6733416.53434081 15.4, -35187.23641795828 6733416.621158762 15.4, -35187.310053201276 6733416.67241968 15.4, -35187.49269697862 6733416.8104985505 15.370000000000001, -35187.55640565138 6733416.8603151385 15.36, -35187.59322327282 6733416.8859456 15.36, -35187.65693194547 6733416.935762189 15.35, -35187.83090974449 6733417.133400481 15.33, -35187.94406752975 6733417.261369046 15.32, -35187.961032010615 6733417.284110849 15.32, -35187.97799649171 6733417.306852645 15.32, -35188.22975878359 6733417.596902477 15.290000000000001, -35188.37973419065 6733417.7505014995 15.3, -35188.52682093787 6733417.923953665 15.3, -35188.66542544414 6733418.086034932 15.3, -35188.69231649558 6733418.110221062 15.3, -35188.74465426768 6733418.1685198955 15.3, -35189.0048987997 6733418.469940628 15.27, -35189.23969661002 6733418.737248664 15.27, -35189.25666109088 6733418.759990465 15.27, -35189.27362557163 6733418.782732267 15.27, -35189.292034382466 6733418.795547496 15.27, -35189.54379667353 6733419.085597331 15.200000000000001, -35189.6569544581 6733419.213565903 15.200000000000001, -35189.80548553448 6733419.377091504 15.21, -35189.92712555954 6733419.516430972 15.24, -35189.979463331634 6733419.574729809 15.24, -35190.13647664827 6733419.749626311 15.25, -35190.21426114137 6733419.842037848 15.24, -35190.3090101151 6733419.957191188 15.23, -35190.34438340622 6733419.992748221 15.24, -35190.19601047062 6733420.315808323 15.33, -35190.151787456474 6733420.410741036 15.370000000000001, -35189.79800333525 6733421.170202755 15.6, -35189.71100163448 6733421.350141614 15.76, -35189.60540738015 6733421.588195565 15.91, -35189.52977657993 6733421.759652181 16, -35189.425626655226 6733421.98777956 16.23, -35189.341513613705 6733422.147865276 16.4, -35189.28736402688 6733422.241353659 16.5, -35189.255956242094 6733422.31787756 16.54, -35189.08773015835 6733422.63804899 17.21, -35189.04350714176 6733422.732981703 17.400000000000002, -35188.91661541315 6733422.978073558 17.69, -35188.84676193248 6733423.109823891 17.7, -35188.732685434516 6733423.336506936 17.87, -35188.58197506063 6733423.466629193 17.86, -35188.44407991832 6733423.57834264 18.04, -35188.38578108302 6733423.630680409 18.02))</t>
  </si>
  <si>
    <t>['FV558 S1D1 m3470-3514']</t>
  </si>
  <si>
    <t>LINESTRING Z (-35169.82740101218 6733487.711125274 19.71, -35169.94707121956 6733487.515666419 19.67, -35170.1721520524 6733487.153084065 19.62, -35170.38297330204 6733486.818837074 19.6, -35170.42141903273 6733486.763610686 19.59, -35170.71202041884 6733486.299057785 19.46, -35170.75046614907 6733486.243831399 19.45, -35170.79883844603 6733486.190049352 19.41, -35170.832951161545 6733486.164602665 19.400000000000002, -35170.857137310086 6733486.1377116395 19.400000000000002, -35171.16722422617 6733485.817908025 19.27, -35171.3222676845 6733485.658006216 19.22, -35171.34645383293 6733485.631115192 19.21, -35171.59679754684 6733485.37357585 19.1, -35171.96518332686 6733485.001434518 18.98, -35172.05903924478 6733484.913723551 18.94, -35172.08466973109 6733484.876905961 18.92, -35172.105967203504 6733484.869868068 18.91, -35172.35486657894 6733484.62225529 18.77, -35172.472908645286 6733484.507653299 18.7, -35172.50846569927 6733484.472280042 18.67, -35172.54257841455 6733484.446833357 18.66, -35172.98063396418 6733484.013872071 18.44, -35173.14560398902 6733483.855414594 18.37, -35173.16979013756 6733483.82852357 18.36, -35173.19253194798 6733483.811559111 18.35, -35173.239459907054 6733483.767703625 18.34, -35173.441431324114 6733483.563946322 18.3, -35173.52680501272 6733483.46486445 18.29, -35173.77011083509 6733483.18602762 18.13, -35174.08886377816 6733482.806664579 18.05, -35174.137236075476 6733482.752882524 18.04, -35174.3819862348 6733482.464119127 17.95, -35174.455989017966 6733482.373519478 17.92, -35174.663737785886 6733482.1300559 17.81, -35174.7377405687 6733482.039456252 17.77, -35174.8216699193 6733481.95030094 17.76, -35175.02941868664 6733481.70683736 17.69, -35175.085012672236 6733481.603422469 17.68, -35175.11497617175 6733481.536825172 17.68, -35175.129235752625 6733481.508489805 17.67, -35175.31461030233 6733481.140130063 17.68, -35175.42579827248 6733480.933300276 17.68, -35175.440057853004 6733480.904964912 17.68, -35175.536986242165 6733480.72647049 17.68, -35175.74799127481 6733480.321293148 17.68, -35175.777954773745 6733480.254695847 17.68, -35175.89203141723 6733480.028012924 17.66, -35176.09725909715 6733479.662541848 17.63, -35176.16566832352 6733479.540718155 17.64, -35176.24689279264 6733479.400485664 17.63, -35176.37089600193 6733479.175247076 17.61, -35176.4692687256 6733478.986826085 17.61, -35176.57756801683 6733478.799849427 17.63, -35176.64742157981 6733478.668099164 17.64, -35176.838389675715 6733478.330963446 17.63, -35176.91961414297 6733478.1907309545 17.61, -35176.94957764039 6733478.124133652 17.6, -35177.07213650993 6733477.908821628 17.54, -35177.18188013625 6733477.711918403 17.48, -35177.2773641831 6733477.54335054 17.490000000000002, -35177.441257453174 6733477.252958985 17.51, -35177.455517033115 6733477.224623617 17.51, -35177.46977661294 6733477.1962882485 17.51, -35177.57952023845 6733476.999385021 17.53, -35177.6493737991 6733476.867634755 17.52, -35177.811822730466 6733476.587169765 17.490000000000002, -35177.881676290766 6733476.455419498 17.490000000000002, -35177.98004901002 6733476.266998498 17.5, -35178.0313099788 6733476.193363301 17.490000000000002, -35178.04412522132 6733476.1749545 17.490000000000002, -35178.05694046349 6733476.156545703 17.490000000000002, -35178.3944697727 6733475.648137226 17.43, -35178.421544594225 6733475.601393058 17.41, -35178.51413996366 6733475.452678329 17.38, -35178.6821824488 6733475.20343737 17.34, -35178.697886364884 6733475.165175435 17.34, -35178.734887754195 6733475.119875608 17.34, -35178.93000506004 6733474.82389048 17.330000000000002, -35179.00978518638 6733474.693584547 17.31, -35179.06104615494 6733474.619949349 17.31, -35179.11230712291 6733474.546314153 17.3, -35179.25760779611 6733474.314037654 17.240000000000002, -35179.36157406925 6733474.1568406895 17.22, -35179.4783555842 6733473.981234924 17.21, -35179.596581435646 6733473.7957025925 17.19, -35179.857219284866 6733473.397746893 17.12, -35179.90992458945 6733473.314185125 17.11, -35180.025261766394 6733473.148505925 17.07, -35180.039521345054 6733473.120170557 17.07, -35180.24763767759 6733472.734846306 17.01, -35180.30323165469 6733472.631431404 17.04, -35180.36171430594 6733472.508163359 17.06, -35180.43156786158 6733472.376413085 17.05, -35180.554126720876 6733472.161101042 17.03, -35180.652499433025 6733471.972680029 17.02, -35180.75376081804 6733471.764405882 17.01, -35180.94617323065 6733471.417343561 17.01, -35181.18280871364 6733470.975348559 16.88, -35181.211327869445 6733470.918677824 16.88, -35181.46366726456 6733470.438420885 16.91, -35181.49074208422 6733470.391676716 16.92, -35181.5777438879 6733470.211737933 16.92, -35181.7445258135 6733469.901493201 16.94, -35181.82863894384 6733469.7414075555 16.96, -35181.92412297893 6733469.572839673 16.97, -35181.97971695324 6733469.469424766 17.01, -35182.00823610893 6733469.412754024 17.02, -35182.092349238694 6733469.252668376 17.07, -35182.19072194572 6733469.064247357 17.12, -35182.220685437205 6733468.99765005 17.150000000000002, -35182.303354230244 6733468.847490965 17.2, -35182.44306133245 6733468.583990408 17.29, -35182.4602095827 6733468.535801898 17.31, -35182.50154397893 6733468.460722356 17.35, -35182.61128758942 6733468.263819103 17.46, -35182.728252880974 6733468.017283004 17.61, -35182.77103161276 6733467.932276895 17.64, -35182.85496095556 6733467.843121561 17.68, -35182.879147101776 6733467.816230525 17.7, -35183.0527831323 6733467.598213579 17.84, -35183.20078868023 6733467.417014238 17.92, -35183.24916097231 6733467.363232167 17.95, -35183.40998176136 6733467.163624024 18.04, -35183.47261363 6733467.081506585 18.09, -35183.520985922194 6733467.027724517 18.11, -35183.64336098777 6733466.8833427755 18.17, -35183.80273744068 6733466.693661194 18.26, -35183.85255406832 6733466.629952558 18.3, -35183.915185937076 6733466.547835116 18.34, -35184.16138040414 6733466.24914506 18.490000000000002, -35184.30938595091 6733466.067945715 18.55, -35184.32220119191 6733466.049536913 18.56, -35184.344943001866 6733466.0325724445 18.56, -35184.369129147846 6733466.0056814095 18.580000000000002, -35184.62813885487 6733465.688582549 18.71, -35184.764773496776 6733465.515865431 18.76, -35184.89996380231 6733465.353074884 18.8, -35185.02378320333 6733465.198766566 18.830000000000002, -35185.12215590419 6733465.010345535 18.86, -35185.16204596264 6733464.945192558 18.88, -35185.192009451916 6733464.878595244 18.88, -35185.33316088177 6733464.605168099 18.91, -35185.46005273517 6733464.360076322 18.92, -35185.48712755239 6733464.313332147 18.92, -35185.49001622386 6733464.293479009 18.92, -35185.615463740425 6733464.058313802 18.900000000000002, -35185.658242469886 6733463.973307684 18.89, -35185.740911256755 6733463.82314859 18.900000000000002, -35185.81509780965 6733463.661618595 18.91, -35185.8706917793 6733463.558203674 18.91, -35185.923397077015 6733463.474641894 18.91, -35185.9833240537 6733463.341447267 18.900000000000002, -35186.09740066319 6733463.11476429 18.900000000000002, -35186.1215868087 6733463.087873253 18.900000000000002, -35186.36255526694 6733462.616098493 18.830000000000002, -35186.40388965933 6733462.541018943 18.82, -35186.43529748276 6733462.46449506 18.81, -35186.61633896339 6733462.125914926 18.77, -35186.686192507506 6733461.994164629 18.76, -35186.71471165912 6733461.937493885 18.77, -35186.78456520289 6733461.805743591 18.75, -35186.86867832241 6733461.645657924 18.740000000000002, -35186.96849535254 6733461.447310316 18.71, -35187.05260847125 6733461.287224646 18.69, -35187.0953871985 6733461.202218526 18.68, -35187.19664856314 6733460.993944347 18.68, -35187.23942729016 6733460.908938226 18.67, -35187.32209607272 6733460.758779129 18.650000000000002, -35187.334911313024 6733460.740370324 18.650000000000002, -35187.52892591676 6733460.869967063 18.68, -35187.567187859444 6733460.885670973 18.68, -35187.58559666306 6733460.898486212 18.68, -35187.6691584466 6733460.95119151 18.69, -35188.03029661812 6733461.186198845 18.73, -35188.14219377516 6733461.253163719 18.740000000000002, -35188.337652715854 6733461.37283389 18.72, -35188.39287912648 6733461.411279613 18.72, -35188.42121449963 6733461.425539187 18.72, -35188.46795867663 6733461.452614003 18.72, -35188.710161794676 6733461.599358993 18.73, -35188.810688047204 6733461.674806099 18.72, -35188.932511774125 6733461.743215311 18.7, -35189.006146989064 6733461.794476273 18.7, -35189.16478832357 6733461.888515968 18.7, -35189.35032069613 6733462.006741807 18.69, -35189.46221785387 6733462.073706682 18.69, -35189.58259724628 6733462.1520424625 18.7, -35189.722829777864 6733462.233266916 18.69, -35189.74972081545 6733462.257453063 18.69, -35189.90836215124 6733462.351492757 18.68, -35190.214273917605 6733462.54805438 18.67, -35190.31624450663 6733462.613574923 18.67, -35190.37291525409 6733462.642094074 18.67, -35190.40973286168 6733462.667724558 18.67, -35190.57685643202 6733462.77313516 18.67, -35190.78079761122 6733462.904176242 18.67, -35190.84595059254 6733462.944066303 18.66, -35190.87428596604 6733462.9583258815 18.66, -35190.947921181796 6733463.009586845 18.66, -35191.13489789271 6733463.1178861195 18.66, -35191.33035683818 6733463.2375563 18.67, -35191.385583250085 6733463.276002027 18.67, -35191.56118905626 6733463.392783534 18.67, -35191.79346561001 6733463.5380842 18.66, -35191.99885112629 6733463.659198719 18.67, -35192.1744569334 6733463.7759802295 18.67, -35192.35150707606 6733463.882835171 18.67, -35192.63052780973 6733464.05521066 18.69, -35192.64893661393 6733464.068025903 18.69, -35192.69568079221 6733464.095100722 18.69, -35193.011519135325 6733464.293106695 18.7, -35193.06674554793 6733464.331552422 18.7, -35193.23531345802 6733464.427036458 18.69, -35193.410919266404 6733464.543817974 18.650000000000002, -35193.68994000228 6733464.716193468 18.51, -35193.74516641523 6733464.754639193 18.490000000000002, -35193.820245968294 6733464.795973593 18.46, -35193.96896073909 6733464.888568961 18.36, -35194.34995206841 6733465.126465004 18.12, -35194.36836087296 6733465.139280247 18.1, -35194.68438300269 6733465.266355898 17.88, -35194.819021978066 6733465.316356314 17.81, -35195.23142114002 6733465.477728472 17.62, -35195.27816531935 6733465.504803294 17.59, -35195.42273086589 6733465.556248048 17.51, -35195.52759013162 6733465.601915455 17.44, -35195.623967162916 6733465.63621196 17.36, -35195.777014944586 6733465.699027619 17.27, -35196.12137245387 6733465.840362857 17.05, -35196.15963439923 6733465.856066773 17.02, -35196.2107115878 6733465.853361882 17.01, -35196.34120133973 6733465.862211684 16.94, -35196.72563269932 6733465.8674636055 16.73, -35196.83626931126 6733465.873424732 16.69, -35197.06891344255 6733465.876864752 16.62, -35197.270333526074 6733465.885898337 16.53, -35197.31148414465 6733465.881749111 16.51, -35197.392341045546 6733465.88337723 16.490000000000002, -35197.57390798896 6733465.889522139 16.44, -35197.67461803148 6733465.8940389315 16.4, -35197.81503435667 6733465.904333069 16.330000000000002, -35198.11860882165 6733465.907956871 16.25, -35198.21931886475 6733465.912473664 16.21, -35198.29024919635 6733465.912657445 16.19, -35198.3512529562 6733465.911396896 16.17, -35198.37110609771 6733465.914285567 16.16, -35198.54274647264 6733465.918986141 16.03, -35198.67323622876 6733465.927835941 15.97, -35198.83495003334 6733465.931092179 15.88, -35199.0775207415 6733465.935976536 15.8, -35199.22930797597 6733465.937788439 15.76, -35199.39102178207 6733465.941044676 15.68, -35199.66337220417 6733465.950262044 15.57, -35199.69315191696 6733465.954595053 15.55, -35199.748562116525 6733465.922110448 15.540000000000001, -35200.01568654366 6733465.7582431 15.450000000000001, -35200.105209464906 6733465.700311792 15.450000000000001, -35200.31547935656 6733465.578855616 15.450000000000001, -35200.416373185 6733465.512442074 15.44, -35200.540008828626 6733465.429064061 15.43, -35200.584048121 6733465.405061693 15.42, -35200.60678993573 6733465.388097223 15.41, -35200.683497613645 6733465.348574723 15.39, -35200.98473476444 6733465.159260664 15.27, -35201.14103879384 6733465.060362515 15.22, -35201.217746472685 6733465.0208400125 15.19, -35201.34138211643 6733464.937461999 15.14, -35201.396792316926 6733464.904977394 15.11, -35201.73069785512 6733464.7001431985 15, -35201.78610805562 6733464.667658594 14.98, -35201.83014734881 6733464.643656228 14.97, -35201.96370956453 6733464.561722546 14.950000000000001, -35202.38713802735 6733464.298957037 14.91, -35202.5874813518 6733464.176056517 14.84, -35202.610223166645 6733464.159092045 14.83, -35202.677004274796 6733464.118125206 14.81, -35202.978241430596 6733463.928811137 14.75, -35203.10043274006 6733463.85535969 14.76, -35203.25529243576 6733463.766388111 14.790000000000001, -35203.31214697275 6733463.723976933 14.780000000000001, -35203.36755717418 6733463.6914923275 14.790000000000001, -35203.63468160923 6733463.527624961 14.780000000000001, -35203.69242913986 6733463.688078224 14.780000000000001, -35203.79240406572 6733463.97631636 14.8, -35203.805035528145 6733464.02883789 14.8, -35203.97268455394 6733464.478973625 14.790000000000001, -35204.030432082945 6733464.639426888 14.780000000000001, -35204.05010144401 6733464.713245898 14.780000000000001, -35204.107848972664 6733464.873699161 14.790000000000001, -35204.174078736105 6733465.045523331 14.790000000000001, -35204.24445772602 6733465.258498124 14.74, -35204.396586610936 6733465.6759654805 14.73, -35204.44585190283 6733465.825047835 14.73, -35204.46840993571 6733465.879013701 14.74, -35204.568384854705 6733466.167251842 14.74, -35204.62613238057 6733466.32770511 14.75, -35204.631725943065 6733466.35892916 14.75, -35204.627392933355 6733466.388708876 14.74, -35204.607356007094 6733466.45675054 14.74, -35204.56024425547 6733466.571536389 14.74, -35204.53587431915 6733466.669357771 14.74, -35204.46872564056 6733466.852185284 14.75, -35204.428651786875 6733466.988268613 14.76, -35204.357170097996 6733467.20087584 14.76, -35204.305725335726 6733467.345441405 14.77, -35204.28568840865 6733467.413483067 14.76, -35204.15842894581 6733467.800435571 14.77, -35204.105539845885 6733467.954927706 14.77, -35203.96257646277 6733468.380142161 14.780000000000001, -35203.94687254459 6733468.41840411 14.780000000000001, -35203.92972429015 6733468.4665926285 14.780000000000001, -35203.905354352086 6733468.564414007 14.790000000000001, -35203.77034779207 6733468.6562742535 14.780000000000001, -35203.668009619694 6733468.7326143645 14.780000000000001, -35203.42218265345 6733468.889443814 14.76, -35203.285731757176 6733468.99123063 14.76, -35203.12798338174 6733469.1000553435 14.75, -35202.970235006884 6733469.208880055 14.76, -35202.85652592697 6733469.2937024 14.77, -35202.768447336624 6733469.341707135 14.76, -35202.68740664399 6733469.411009347 14.76, -35202.47424806643 6733469.552318661 14.76, -35202.20423494931 6733469.736039146 14.75, -35202.13600950164 6733469.786932554 14.76, -35202.11326768587 6733469.803897021 14.76, -35202.05785748316 6733469.836381623 14.76, -35201.94414840394 6733469.921203966 14.75, -35201.695432766806 6733470.09788655 14.75, -35201.482274190756 6733470.239195861 14.72, -35201.41404874332 6733470.290089265 14.74, -35201.33589672507 6733470.339538333 14.73, -35201.05306836532 6733470.541667619 14.73, -35201.03032654966 6733470.558632088 14.73, -35200.997658163076 6733470.574152218 14.73, -35200.9507301948 6733470.618007726 14.73, -35200.82709454547 6733470.70138573 14.73, -35200.702014559414 6733470.794690304 14.73, -35200.611047296785 6733470.862548179 14.72, -35200.41774186387 6733471.006746156 14.700000000000001, -35200.38362914021 6733471.032192861 14.700000000000001, -35200.259993491694 6733471.115570863 14.700000000000001, -35200.16902622953 6733471.183428733 14.700000000000001, -35200.144840076566 6733471.210319775 14.700000000000001, -35199.83926990372 6733471.429413519 14.67, -35199.78241536475 6733471.471824688 14.67, -35199.7255608259 6733471.514235858 14.67, -35199.46402994753 6733471.709327237 14.67, -35199.11297614465 6733471.962349916 14.66, -35198.95378343668 6733472.081101188 14.65, -35198.65813983639 6733472.301639265 14.65, -35198.60128529812 6733472.344050433 14.65, -35198.55724600435 6733472.368052797 14.65, -35198.47764965077 6733472.427428429 14.64, -35198.07966788241 6733472.724306607 14.59, -35197.97732971364 6733472.800646707 14.59, -35197.603534098715 6733473.0706338445 14.57, -35197.54667956068 6733473.113045011 14.57, -35197.387486854335 6733473.231796275 14.56, -35197.21692324011 6733473.359029779 14.540000000000001, -35197.19418142468 6733473.375994246 14.540000000000001, -35197.12595597969 6733473.426887643 14.52, -35196.99094942561 6733473.518747874 14.51, -35196.87579601281 6733473.613496776 14.49, -35196.75216036674 6733473.696874772 14.48, -35196.50200040045 6733473.8834839035 14.44, -35196.22909861931 6733474.087057499 14.38, -35196.092647728976 6733474.188844298 14.36, -35195.891411439865 6733474.108880363 14.36, -35195.556980516994 6733473.968989428 14.35, -35195.42234154546 6733473.918988996 14.35, -35194.875303429784 6733473.707616364 14.33, -35194.828559253365 6733473.680541539 14.33, -35194.808706113254 6733473.677652864 14.33, -35194.72225565638 6733473.644800689 14.35, -35194.63580519974 6733473.611948514 14.370000000000001, -35194.31130085164 6733473.473501917 14.4, -35194.234776965226 6733473.442094081 14.44, -35193.69766542653 6733473.232165792 14.56, -35193.46809376951 6733473.1379422825 14.620000000000001, -35193.4383140594 6733473.133609273 14.63, -35193.37171674403 6733473.103645773 14.66, -35192.739672522526 6733472.849494408 15, -35192.673075207276 6733472.819530907 15.040000000000001, -35192.6050335553 6733472.79949398 15.05, -35192.43357698317 6733472.723863065 15.08, -35192.347126528504 6733472.6910108905 15.09, -35192.28901144676 6733472.672418297 15.1, -35192.12603710801 6733472.608158289 15.11, -35192.04951322335 6733472.576750455 15.11, -35191.87805665203 6733472.501119541 15.13, -35191.7051557441 6733472.435415195 15.200000000000001, -35191.65696723235 6733472.418266943 15.22, -35191.445804383024 6733472.336858679 15.290000000000001, -35191.25449467369 6733472.258339092 15.34, -35191.111373475636 6733472.196967762 15.38, -35191.07311153412 6733472.181263841 15.38, -35190.78542480245 6733472.068447746 15.42, -35190.65078583837 6733472.018447322 15.42, -35190.334763736 6733471.891371648 15.450000000000001, -35190.276648655534 6733471.872779057 15.47, -35190.10519208724 6733471.797148148 15.450000000000001, -35190.057003576425 6733471.779999891 15.46, -35189.73105490673 6733471.651479883 15.56, -35189.63612222229 6733471.6072568055 15.56, -35189.38669743622 6733471.510144633 15.52, -35189.28002626938 6733471.616264436 15.42, -35189.231653970666 6733471.670046507 15.38, -35188.9784215719 6733471.9474390885 15.200000000000001, -35188.786376713775 6733472.152640799 15.08, -35188.665445967345 6733472.2870959705 15, -35188.53458865115 6733472.420106808 14.93, -35188.49758725858 6733472.465406645 14.91, -35188.473401109455 6733472.492297677 14.89, -35188.41365790472 6733472.554561978 14.84, -35188.305542400805 6733472.670608349 14.83, -35188.039494758006 6733472.966409726 14.77, -35187.77633578854 6733473.242357965 14.72, -35187.705221677665 6733473.313104496 14.700000000000001, -35187.645478472696 6733473.375368797 14.68, -35187.56010478106 6733473.474450701 14.67, -35187.33105853025 6733473.724952238 14.59, -35187.09064137307 6733473.983936006 14.56, -35186.935597907635 6733474.143837867 14.540000000000001, -35186.89715217799 6733474.199064272 14.52, -35186.81466716039 6733474.278293034 14.49, -35186.7776657677 6733474.3235928705 14.48, -35186.65673502046 6733474.458048034 14.47, -35186.490320648416 6733474.626432129 14.43, -35186.39357605041 6733474.733996264 14.44, -35186.29683145264 6733474.841560396 14.44, -35186.164529799484 6733474.984497791 14.450000000000001, -35185.99811542721 6733475.152881883 14.44, -35185.888555585756 6733475.278854818 14.46, -35185.67232457758 6733475.51094754 14.450000000000001, -35185.49165062478 6733475.7076670015 14.41, -35185.44472266291 6733475.751522498 14.4, -35185.359348970815 6733475.850604396 14.41, -35185.22704731731 6733475.993541789 14.41, -35185.16730411223 6733476.055806084 14.4, -35185.035002458375 6733476.198743477 14.39, -35184.914071710664 6733476.333198638 14.41, -35184.807400543476 6733476.439318428 14.42, -35184.61535568442 6733476.644520115 14.47, -35184.56553904817 6733476.708228747 14.48, -35184.40905124438 6733476.87805717 14.530000000000001, -35184.37493852619 6733476.903503865 14.540000000000001, -35184.30238007719 6733476.984176961 14.55, -35184.19426457281 6733477.100223317 14.55, -35184.13452136761 6733477.162487613 14.55, -35183.97803356382 6733477.332316034 14.55, -35183.88128896523 6733477.439880158 14.56, -35183.784544366994 6733477.547444285 14.56, -35183.61668565695 6733477.725754936 14.59, -35183.57968426391 6733477.771054765 14.59, -35183.3990103103 6733477.967774215 14.6, -35183.221225031535 6733478.144640526 14.6, -35183.1842236385 6733478.189940356 14.61, -35182.81006048748 6733478.601788049 14.67, -35182.72757546988 6733478.681016804 14.68, -35182.6792031707 6733478.734798864 14.69, -35182.53553061024 6733478.886218479 14.700000000000001, -35182.33067050646 6733479.109828954 14.73, -35182.24529681378 6733479.208910842 14.73, -35182.114439496654 6733479.341921658 14.75, -35182.04188104754 6733479.422594749 14.77, -35181.93376554246 6733479.5386411 14.81, -35181.90957939299 6733479.56553213 14.81, -35181.874206132255 6733479.529975075 14.83, -35181.85579733306 6733479.51715983 14.83, -35181.763753338135 6733479.453083612 14.870000000000001, -35181.718453509035 6733479.416082217 14.89, -35181.69011814182 6733479.401822636 14.9, -35181.589591915836 6733479.32637551 14.950000000000001, -35181.55277431768 6733479.300745024 14.97, -35181.30497769953 6733479.122775951 15.11, -35181.057181081735 6733478.944806878 15.27, -35180.983545885654 6733478.893545907 15.31, -35180.80938446417 6733478.766837808 15.41, -35180.72726703761 6733478.70420593 15.450000000000001, -35180.65363184188 6733478.652944957 15.52, -35180.48939698911 6733478.527681199 15.620000000000001, -35180.342126598116 6733478.42515925 15.73, -35180.29682676948 6733478.3881578585 15.76, -35180.25008260331 6733478.361083035 15.780000000000001, -35180.167965177214 6733478.298451156 15.85, -35180.078258475405 6733478.427312749 15.85, -35180.00425569166 6733478.517912408 15.860000000000001, -35179.887474165764 6733478.6935181655 15.93, -35179.72232034209 6733478.922905983 15.950000000000001, -35179.565648748656 6733479.163664704 15.96, -35179.374864437734 6733479.42987012 15.96, -35179.36060485698 6733479.458205486 15.96, -35179.27234249166 6733479.577140507 15.96, -35179.23389676155 6733479.632366906 15.97, -35179.02885286929 6733479.926907682 16.02, -35178.835179882124 6733480.212966224 15.97, -35178.772548003006 6733480.295083649 15.99, -35178.68139696156 6733480.4338718075 16, -35178.59169025801 6733480.562733394 16.03, -35178.526169703226 6733480.664703954 16.02, -35178.42653643165 6733480.792121204 16.04, -35178.23141910485 6733481.088106313 16.05, -35178.09189576446 6733481.280676525 16.07, -35178.04207912844 6733481.34438515 16.09, -35177.96229899174 6733481.474691075 16.12, -35177.91103801783 6733481.548326265 16.12, -35177.71880936506 6733481.824458236 16.17, -35177.62910266034 6733481.953319818 16.18, -35177.61628741666 6733481.971728618 16.19, -35177.5023945627 6733482.12748123 16.18, -35177.31016590877 6733482.403613197 16.18, -35177.23183010903 6733482.523992551 16.15, -35177.1036776728 6733482.708080529 16.14, -35177.02678621095 6733482.818533314 16.15, -35176.87444762513 6733483.029512316 16.19, -35176.82318665029 6733483.103147506 16.2, -35176.68077463179 6733483.315570844 16.240000000000002, -35176.62951365672 6733483.389206034 16.27, -35176.41165451298 6733483.702155591 16.31, -35176.34757829446 6733483.794199576 16.32, -35176.166720543406 6733484.0618493045 16.41, -35176.13116348814 6733484.097222561 16.43, -35176.10408866231 6733484.143966723 16.44, -35175.96312098042 6733484.34646349 16.54, -35175.924675248796 6733484.401689882 16.56, -35175.867820720305 6733484.444101028 16.6, -35175.57921506406 6733484.685936467 16.75, -35175.41857804649 6733484.814614247 16.84, -35175.293498084415 6733484.90791877 16.95, -35174.97077971231 6733485.17520089 17.12, -35174.832884506206 6733485.286914208 17.17, -35174.59120681207 6733485.484894156 17.25, -35174.54572318948 6733485.518823074 17.28, -35174.33960255049 6733485.681429764 17.38, -35174.28130368434 6733485.733767477 17.44, -35174.10929576249 6733485.87092748 17.51, -35173.833505352144 6733486.094354111 17.61, -35173.75246467488 6733486.163656281 17.64, -35173.66005309217 6733486.241440679 17.67, -35173.47667426523 6733486.387082909 17.75, -35173.38426268252 6733486.464867307 17.8, -35173.24636747758 6733486.576580622 17.85, -35172.94783525739 6733486.816971703 17.95, -35172.89098072972 6733486.85938285 17.97, -35172.50581428164 6733487.137852057 18.05, -35172.48307247087 6733487.154816514 18.05, -35172.4489597542 6733487.180263201 18.07, -35172.13201873959 6733487.407839037 18.23, -35172.08653511782 6733487.441767951 18.26, -35171.8378195368 6733487.6184504125 18.44, -35171.80515115848 6733487.633970533 18.45, -35171.73692572594 6733487.6848639045 18.490000000000002, -35171.55643557804 6733487.810652992 18.62, -35171.39724290231 6733487.929404189 18.72, -35171.294904753566 6733488.005744244 18.77, -35171.15989822755 6733488.097604419 18.84, -35170.61556519393 6733487.937308927 19.21, -35170.565932359896 6733487.930087235 19.25, -35170.41992253566 6733487.888569023 19.34, -35170.06978782546 6733487.786940004 19.57, -35170.041452464066 6733487.772680421 19.59, -35169.82740101218 6733487.711125274 19.71)</t>
  </si>
  <si>
    <t>POLYGON Z ((-35169.82740101218 6733487.711125274 19.71, -35169.94707121956 6733487.515666419 19.67, -35170.1721520524 6733487.153084065 19.62, -35170.38297330204 6733486.818837074 19.6, -35170.42141903273 6733486.763610686 19.59, -35170.71202041884 6733486.299057785 19.46, -35170.75046614907 6733486.243831399 19.45, -35170.79883844603 6733486.190049352 19.41, -35170.832951161545 6733486.164602665 19.400000000000002, -35170.857137310086 6733486.1377116395 19.400000000000002, -35171.16722422617 6733485.817908025 19.27, -35171.3222676845 6733485.658006216 19.22, -35171.34645383293 6733485.631115192 19.21, -35171.59679754684 6733485.37357585 19.1, -35171.96518332686 6733485.001434518 18.98, -35172.05903924478 6733484.913723551 18.94, -35172.08466973109 6733484.876905961 18.92, -35172.105967203504 6733484.869868068 18.91, -35172.35486657894 6733484.62225529 18.77, -35172.472908645286 6733484.507653299 18.7, -35172.50846569927 6733484.472280042 18.67, -35172.54257841455 6733484.446833357 18.66, -35172.98063396418 6733484.013872071 18.44, -35173.14560398902 6733483.855414594 18.37, -35173.16979013756 6733483.82852357 18.36, -35173.19253194798 6733483.811559111 18.35, -35173.239459907054 6733483.767703625 18.34, -35173.441431324114 6733483.563946322 18.3, -35173.52680501272 6733483.46486445 18.29, -35173.77011083509 6733483.18602762 18.13, -35174.08886377816 6733482.806664579 18.05, -35174.137236075476 6733482.752882524 18.04, -35174.3819862348 6733482.464119127 17.95, -35174.455989017966 6733482.373519478 17.92, -35174.663737785886 6733482.1300559 17.81, -35174.7377405687 6733482.039456252 17.77, -35174.8216699193 6733481.95030094 17.76, -35175.02941868664 6733481.70683736 17.69, -35175.085012672236 6733481.603422469 17.68, -35175.11497617175 6733481.536825172 17.68, -35175.129235752625 6733481.508489805 17.67, -35175.31461030233 6733481.140130063 17.68, -35175.42579827248 6733480.933300276 17.68, -35175.440057853004 6733480.904964912 17.68, -35175.536986242165 6733480.72647049 17.68, -35175.74799127481 6733480.321293148 17.68, -35175.777954773745 6733480.254695847 17.68, -35175.89203141723 6733480.028012924 17.66, -35176.09725909715 6733479.662541848 17.63, -35176.16566832352 6733479.540718155 17.64, -35176.24689279264 6733479.400485664 17.63, -35176.37089600193 6733479.175247076 17.61, -35176.4692687256 6733478.986826085 17.61, -35176.57756801683 6733478.799849427 17.63, -35176.64742157981 6733478.668099164 17.64, -35176.838389675715 6733478.330963446 17.63, -35176.91961414297 6733478.1907309545 17.61, -35176.94957764039 6733478.124133652 17.6, -35177.07213650993 6733477.908821628 17.54, -35177.18188013625 6733477.711918403 17.48, -35177.2773641831 6733477.54335054 17.490000000000002, -35177.441257453174 6733477.252958985 17.51, -35177.455517033115 6733477.224623617 17.51, -35177.46977661294 6733477.1962882485 17.51, -35177.57952023845 6733476.999385021 17.53, -35177.6493737991 6733476.867634755 17.52, -35177.811822730466 6733476.587169765 17.490000000000002, -35177.881676290766 6733476.455419498 17.490000000000002, -35177.98004901002 6733476.266998498 17.5, -35178.0313099788 6733476.193363301 17.490000000000002, -35178.04412522132 6733476.1749545 17.490000000000002, -35178.05694046349 6733476.156545703 17.490000000000002, -35178.3944697727 6733475.648137226 17.43, -35178.421544594225 6733475.601393058 17.41, -35178.51413996366 6733475.452678329 17.38, -35178.6821824488 6733475.20343737 17.34, -35178.697886364884 6733475.165175435 17.34, -35178.734887754195 6733475.119875608 17.34, -35178.93000506004 6733474.82389048 17.330000000000002, -35179.00978518638 6733474.693584547 17.31, -35179.06104615494 6733474.619949349 17.31, -35179.11230712291 6733474.546314153 17.3, -35179.25760779611 6733474.314037654 17.240000000000002, -35179.36157406925 6733474.1568406895 17.22, -35179.4783555842 6733473.981234924 17.21, -35179.596581435646 6733473.7957025925 17.19, -35179.857219284866 6733473.397746893 17.12, -35179.90992458945 6733473.314185125 17.11, -35180.025261766394 6733473.148505925 17.07, -35180.039521345054 6733473.120170557 17.07, -35180.24763767759 6733472.734846306 17.01, -35180.30323165469 6733472.631431404 17.04, -35180.36171430594 6733472.508163359 17.06, -35180.43156786158 6733472.376413085 17.05, -35180.554126720876 6733472.161101042 17.03, -35180.652499433025 6733471.972680029 17.02, -35180.75376081804 6733471.764405882 17.01, -35180.94617323065 6733471.417343561 17.01, -35181.18280871364 6733470.975348559 16.88, -35181.211327869445 6733470.918677824 16.88, -35181.46366726456 6733470.438420885 16.91, -35181.49074208422 6733470.391676716 16.92, -35181.5777438879 6733470.211737933 16.92, -35181.7445258135 6733469.901493201 16.94, -35181.82863894384 6733469.7414075555 16.96, -35181.92412297893 6733469.572839673 16.97, -35181.97971695324 6733469.469424766 17.01, -35182.00823610893 6733469.412754024 17.02, -35182.092349238694 6733469.252668376 17.07, -35182.19072194572 6733469.064247357 17.12, -35182.220685437205 6733468.99765005 17.150000000000002, -35182.303354230244 6733468.847490965 17.2, -35182.44306133245 6733468.583990408 17.29, -35182.4602095827 6733468.535801898 17.31, -35182.50154397893 6733468.460722356 17.35, -35182.61128758942 6733468.263819103 17.46, -35182.728252880974 6733468.017283004 17.61, -35182.77103161276 6733467.932276895 17.64, -35182.85496095556 6733467.843121561 17.68, -35182.879147101776 6733467.816230525 17.7, -35183.0527831323 6733467.598213579 17.84, -35183.20078868023 6733467.417014238 17.92, -35183.24916097231 6733467.363232167 17.95, -35183.40998176136 6733467.163624024 18.04, -35183.47261363 6733467.081506585 18.09, -35183.520985922194 6733467.027724517 18.11, -35183.64336098777 6733466.8833427755 18.17, -35183.80273744068 6733466.693661194 18.26, -35183.85255406832 6733466.629952558 18.3, -35183.915185937076 6733466.547835116 18.34, -35184.16138040414 6733466.24914506 18.490000000000002, -35184.30938595091 6733466.067945715 18.55, -35184.32220119191 6733466.049536913 18.56, -35184.344943001866 6733466.0325724445 18.56, -35184.369129147846 6733466.0056814095 18.580000000000002, -35184.62813885487 6733465.688582549 18.71, -35184.764773496776 6733465.515865431 18.76, -35184.89996380231 6733465.353074884 18.8, -35185.02378320333 6733465.198766566 18.830000000000002, -35185.12215590419 6733465.010345535 18.86, -35185.16204596264 6733464.945192558 18.88, -35185.192009451916 6733464.878595244 18.88, -35185.33316088177 6733464.605168099 18.91, -35185.46005273517 6733464.360076322 18.92, -35185.48712755239 6733464.313332147 18.92, -35185.49001622386 6733464.293479009 18.92, -35185.615463740425 6733464.058313802 18.900000000000002, -35185.658242469886 6733463.973307684 18.89, -35185.740911256755 6733463.82314859 18.900000000000002, -35185.81509780965 6733463.661618595 18.91, -35185.8706917793 6733463.558203674 18.91, -35185.923397077015 6733463.474641894 18.91, -35185.9833240537 6733463.341447267 18.900000000000002, -35186.09740066319 6733463.11476429 18.900000000000002, -35186.1215868087 6733463.087873253 18.900000000000002, -35186.36255526694 6733462.616098493 18.830000000000002, -35186.40388965933 6733462.541018943 18.82, -35186.43529748276 6733462.46449506 18.81, -35186.61633896339 6733462.125914926 18.77, -35186.686192507506 6733461.994164629 18.76, -35186.71471165912 6733461.937493885 18.77, -35186.78456520289 6733461.805743591 18.75, -35186.86867832241 6733461.645657924 18.740000000000002, -35186.96849535254 6733461.447310316 18.71, -35187.05260847125 6733461.287224646 18.69, -35187.0953871985 6733461.202218526 18.68, -35187.19664856314 6733460.993944347 18.68, -35187.23942729016 6733460.908938226 18.67, -35187.32209607272 6733460.758779129 18.650000000000002, -35187.334911313024 6733460.740370324 18.650000000000002, -35187.52892591676 6733460.869967063 18.68, -35187.567187859444 6733460.885670973 18.68, -35187.58559666306 6733460.898486212 18.68, -35187.6691584466 6733460.95119151 18.69, -35188.03029661812 6733461.186198845 18.73, -35188.14219377516 6733461.253163719 18.740000000000002, -35188.337652715854 6733461.37283389 18.72, -35188.39287912648 6733461.411279613 18.72, -35188.42121449963 6733461.425539187 18.72, -35188.46795867663 6733461.452614003 18.72, -35188.710161794676 6733461.599358993 18.73, -35188.810688047204 6733461.674806099 18.72, -35188.932511774125 6733461.743215311 18.7, -35189.006146989064 6733461.794476273 18.7, -35189.16478832357 6733461.888515968 18.7, -35189.35032069613 6733462.006741807 18.69, -35189.46221785387 6733462.073706682 18.69, -35189.58259724628 6733462.1520424625 18.7, -35189.722829777864 6733462.233266916 18.69, -35189.74972081545 6733462.257453063 18.69, -35189.90836215124 6733462.351492757 18.68, -35190.214273917605 6733462.54805438 18.67, -35190.31624450663 6733462.613574923 18.67, -35190.37291525409 6733462.642094074 18.67, -35190.40973286168 6733462.667724558 18.67, -35190.57685643202 6733462.77313516 18.67, -35190.78079761122 6733462.904176242 18.67, -35190.84595059254 6733462.944066303 18.66, -35190.87428596604 6733462.9583258815 18.66, -35190.947921181796 6733463.009586845 18.66, -35191.13489789271 6733463.1178861195 18.66, -35191.33035683818 6733463.2375563 18.67, -35191.385583250085 6733463.276002027 18.67, -35191.56118905626 6733463.392783534 18.67, -35191.79346561001 6733463.5380842 18.66, -35191.99885112629 6733463.659198719 18.67, -35192.1744569334 6733463.7759802295 18.67, -35192.35150707606 6733463.882835171 18.67, -35192.63052780973 6733464.05521066 18.69, -35192.64893661393 6733464.068025903 18.69, -35192.69568079221 6733464.095100722 18.69, -35193.011519135325 6733464.293106695 18.7, -35193.06674554793 6733464.331552422 18.7, -35193.23531345802 6733464.427036458 18.69, -35193.410919266404 6733464.543817974 18.650000000000002, -35193.68994000228 6733464.716193468 18.51, -35193.74516641523 6733464.754639193 18.490000000000002, -35193.820245968294 6733464.795973593 18.46, -35193.96896073909 6733464.888568961 18.36, -35194.34995206841 6733465.126465004 18.12, -35194.36836087296 6733465.139280247 18.1, -35194.68438300269 6733465.266355898 17.88, -35194.819021978066 6733465.316356314 17.81, -35195.23142114002 6733465.477728472 17.62, -35195.27816531935 6733465.504803294 17.59, -35195.42273086589 6733465.556248048 17.51, -35195.52759013162 6733465.601915455 17.44, -35195.623967162916 6733465.63621196 17.36, -35195.777014944586 6733465.699027619 17.27, -35196.12137245387 6733465.840362857 17.05, -35196.15963439923 6733465.856066773 17.02, -35196.2107115878 6733465.853361882 17.01, -35196.34120133973 6733465.862211684 16.94, -35196.72563269932 6733465.8674636055 16.73, -35196.83626931126 6733465.873424732 16.69, -35197.06891344255 6733465.876864752 16.62, -35197.270333526074 6733465.885898337 16.53, -35197.31148414465 6733465.881749111 16.51, -35197.392341045546 6733465.88337723 16.490000000000002, -35197.57390798896 6733465.889522139 16.44, -35197.67461803148 6733465.8940389315 16.4, -35197.81503435667 6733465.904333069 16.330000000000002, -35198.11860882165 6733465.907956871 16.25, -35198.21931886475 6733465.912473664 16.21, -35198.29024919635 6733465.912657445 16.19, -35198.3512529562 6733465.911396896 16.17, -35198.37110609771 6733465.914285567 16.16, -35198.54274647264 6733465.918986141 16.03, -35198.67323622876 6733465.927835941 15.97, -35198.83495003334 6733465.931092179 15.88, -35199.0775207415 6733465.935976536 15.8, -35199.22930797597 6733465.937788439 15.76, -35199.39102178207 6733465.941044676 15.68, -35199.66337220417 6733465.950262044 15.57, -35199.69315191696 6733465.954595053 15.55, -35199.748562116525 6733465.922110448 15.540000000000001, -35200.01568654366 6733465.7582431 15.450000000000001, -35200.105209464906 6733465.700311792 15.450000000000001, -35200.31547935656 6733465.578855616 15.450000000000001, -35200.416373185 6733465.512442074 15.44, -35200.540008828626 6733465.429064061 15.43, -35200.584048121 6733465.405061693 15.42, -35200.60678993573 6733465.388097223 15.41, -35200.683497613645 6733465.348574723 15.39, -35200.98473476444 6733465.159260664 15.27, -35201.14103879384 6733465.060362515 15.22, -35201.217746472685 6733465.0208400125 15.19, -35201.34138211643 6733464.937461999 15.14, -35201.396792316926 6733464.904977394 15.11, -35201.73069785512 6733464.7001431985 15, -35201.78610805562 6733464.667658594 14.98, -35201.83014734881 6733464.643656228 14.97, -35201.96370956453 6733464.561722546 14.950000000000001, -35202.38713802735 6733464.298957037 14.91, -35202.5874813518 6733464.176056517 14.84, -35202.610223166645 6733464.159092045 14.83, -35202.677004274796 6733464.118125206 14.81, -35202.978241430596 6733463.928811137 14.75, -35203.10043274006 6733463.85535969 14.76, -35203.25529243576 6733463.766388111 14.790000000000001, -35203.31214697275 6733463.723976933 14.780000000000001, -35203.36755717418 6733463.6914923275 14.790000000000001, -35203.63468160923 6733463.527624961 14.780000000000001, -35203.69242913986 6733463.688078224 14.780000000000001, -35203.79240406572 6733463.97631636 14.8, -35203.805035528145 6733464.02883789 14.8, -35203.97268455394 6733464.478973625 14.790000000000001, -35204.030432082945 6733464.639426888 14.780000000000001, -35204.05010144401 6733464.713245898 14.780000000000001, -35204.107848972664 6733464.873699161 14.790000000000001, -35204.174078736105 6733465.045523331 14.790000000000001, -35204.24445772602 6733465.258498124 14.74, -35204.396586610936 6733465.6759654805 14.73, -35204.44585190283 6733465.825047835 14.73, -35204.46840993571 6733465.879013701 14.74, -35204.568384854705 6733466.167251842 14.74, -35204.62613238057 6733466.32770511 14.75, -35204.631725943065 6733466.35892916 14.75, -35204.627392933355 6733466.388708876 14.74, -35204.607356007094 6733466.45675054 14.74, -35204.56024425547 6733466.571536389 14.74, -35204.53587431915 6733466.669357771 14.74, -35204.46872564056 6733466.852185284 14.75, -35204.428651786875 6733466.988268613 14.76, -35204.357170097996 6733467.20087584 14.76, -35204.305725335726 6733467.345441405 14.77, -35204.28568840865 6733467.413483067 14.76, -35204.15842894581 6733467.800435571 14.77, -35204.105539845885 6733467.954927706 14.77, -35203.96257646277 6733468.380142161 14.780000000000001, -35203.94687254459 6733468.41840411 14.780000000000001, -35203.92972429015 6733468.4665926285 14.780000000000001, -35203.905354352086 6733468.564414007 14.790000000000001, -35203.77034779207 6733468.6562742535 14.780000000000001, -35203.668009619694 6733468.7326143645 14.780000000000001, -35203.42218265345 6733468.889443814 14.76, -35203.285731757176 6733468.99123063 14.76, -35203.12798338174 6733469.1000553435 14.75, -35202.970235006884 6733469.208880055 14.76, -35202.85652592697 6733469.2937024 14.77, -35202.768447336624 6733469.341707135 14.76, -35202.68740664399 6733469.411009347 14.76, -35202.47424806643 6733469.552318661 14.76, -35202.20423494931 6733469.736039146 14.75, -35202.13600950164 6733469.786932554 14.76, -35202.11326768587 6733469.803897021 14.76, -35202.05785748316 6733469.836381623 14.76, -35201.94414840394 6733469.921203966 14.75, -35201.695432766806 6733470.09788655 14.75, -35201.482274190756 6733470.239195861 14.72, -35201.41404874332 6733470.290089265 14.74, -35201.33589672507 6733470.339538333 14.73, -35201.05306836532 6733470.541667619 14.73, -35201.03032654966 6733470.558632088 14.73, -35200.997658163076 6733470.574152218 14.73, -35200.9507301948 6733470.618007726 14.73, -35200.82709454547 6733470.70138573 14.73, -35200.702014559414 6733470.794690304 14.73, -35200.611047296785 6733470.862548179 14.72, -35200.41774186387 6733471.006746156 14.700000000000001, -35200.38362914021 6733471.032192861 14.700000000000001, -35200.259993491694 6733471.115570863 14.700000000000001, -35200.16902622953 6733471.183428733 14.700000000000001, -35200.144840076566 6733471.210319775 14.700000000000001, -35199.83926990372 6733471.429413519 14.67, -35199.78241536475 6733471.471824688 14.67, -35199.7255608259 6733471.514235858 14.67, -35199.46402994753 6733471.709327237 14.67, -35199.11297614465 6733471.962349916 14.66, -35198.95378343668 6733472.081101188 14.65, -35198.65813983639 6733472.301639265 14.65, -35198.60128529812 6733472.344050433 14.65, -35198.55724600435 6733472.368052797 14.65, -35198.47764965077 6733472.427428429 14.64, -35198.07966788241 6733472.724306607 14.59, -35197.97732971364 6733472.800646707 14.59, -35197.603534098715 6733473.0706338445 14.57, -35197.54667956068 6733473.113045011 14.57, -35197.387486854335 6733473.231796275 14.56, -35197.21692324011 6733473.359029779 14.540000000000001, -35197.19418142468 6733473.375994246 14.540000000000001, -35197.12595597969 6733473.426887643 14.52, -35196.99094942561 6733473.518747874 14.51, -35196.87579601281 6733473.613496776 14.49, -35196.75216036674 6733473.696874772 14.48, -35196.50200040045 6733473.8834839035 14.44, -35196.22909861931 6733474.087057499 14.38, -35196.092647728976 6733474.188844298 14.36, -35195.891411439865 6733474.108880363 14.36, -35195.556980516994 6733473.968989428 14.35, -35195.42234154546 6733473.918988996 14.35, -35194.875303429784 6733473.707616364 14.33, -35194.828559253365 6733473.680541539 14.33, -35194.808706113254 6733473.677652864 14.33, -35194.72225565638 6733473.644800689 14.35, -35194.63580519974 6733473.611948514 14.370000000000001, -35194.31130085164 6733473.473501917 14.4, -35194.234776965226 6733473.442094081 14.44, -35193.69766542653 6733473.232165792 14.56, -35193.46809376951 6733473.1379422825 14.620000000000001, -35193.4383140594 6733473.133609273 14.63, -35193.37171674403 6733473.103645773 14.66, -35192.739672522526 6733472.849494408 15, -35192.673075207276 6733472.819530907 15.040000000000001, -35192.6050335553 6733472.79949398 15.05, -35192.43357698317 6733472.723863065 15.08, -35192.347126528504 6733472.6910108905 15.09, -35192.28901144676 6733472.672418297 15.1, -35192.12603710801 6733472.608158289 15.11, -35192.04951322335 6733472.576750455 15.11, -35191.87805665203 6733472.501119541 15.13, -35191.7051557441 6733472.435415195 15.200000000000001, -35191.65696723235 6733472.418266943 15.22, -35191.445804383024 6733472.336858679 15.290000000000001, -35191.25449467369 6733472.258339092 15.34, -35191.111373475636 6733472.196967762 15.38, -35191.07311153412 6733472.181263841 15.38, -35190.78542480245 6733472.068447746 15.42, -35190.65078583837 6733472.018447322 15.42, -35190.334763736 6733471.891371648 15.450000000000001, -35190.276648655534 6733471.872779057 15.47, -35190.10519208724 6733471.797148148 15.450000000000001, -35190.057003576425 6733471.779999891 15.46, -35189.73105490673 6733471.651479883 15.56, -35189.63612222229 6733471.6072568055 15.56, -35189.38669743622 6733471.510144633 15.52, -35189.28002626938 6733471.616264436 15.42, -35189.231653970666 6733471.670046507 15.38, -35188.9784215719 6733471.9474390885 15.200000000000001, -35188.786376713775 6733472.152640799 15.08, -35188.665445967345 6733472.2870959705 15, -35188.53458865115 6733472.420106808 14.93, -35188.49758725858 6733472.465406645 14.91, -35188.473401109455 6733472.492297677 14.89, -35188.41365790472 6733472.554561978 14.84, -35188.305542400805 6733472.670608349 14.83, -35188.039494758006 6733472.966409726 14.77, -35187.77633578854 6733473.242357965 14.72, -35187.705221677665 6733473.313104496 14.700000000000001, -35187.645478472696 6733473.375368797 14.68, -35187.56010478106 6733473.474450701 14.67, -35187.33105853025 6733473.724952238 14.59, -35187.09064137307 6733473.983936006 14.56, -35186.935597907635 6733474.143837867 14.540000000000001, -35186.89715217799 6733474.199064272 14.52, -35186.81466716039 6733474.278293034 14.49, -35186.7776657677 6733474.3235928705 14.48, -35186.65673502046 6733474.458048034 14.47, -35186.490320648416 6733474.626432129 14.43, -35186.39357605041 6733474.733996264 14.44, -35186.29683145264 6733474.841560396 14.44, -35186.164529799484 6733474.984497791 14.450000000000001, -35185.99811542721 6733475.152881883 14.44, -35185.888555585756 6733475.278854818 14.46, -35185.67232457758 6733475.51094754 14.450000000000001, -35185.49165062478 6733475.7076670015 14.41, -35185.44472266291 6733475.751522498 14.4, -35185.359348970815 6733475.850604396 14.41, -35185.22704731731 6733475.993541789 14.41, -35185.16730411223 6733476.055806084 14.4, -35185.035002458375 6733476.198743477 14.39, -35184.914071710664 6733476.333198638 14.41, -35184.807400543476 6733476.439318428 14.42, -35184.61535568442 6733476.644520115 14.47, -35184.56553904817 6733476.708228747 14.48, -35184.40905124438 6733476.87805717 14.530000000000001, -35184.37493852619 6733476.903503865 14.540000000000001, -35184.30238007719 6733476.984176961 14.55, -35184.19426457281 6733477.100223317 14.55, -35184.13452136761 6733477.162487613 14.55, -35183.97803356382 6733477.332316034 14.55, -35183.88128896523 6733477.439880158 14.56, -35183.784544366994 6733477.547444285 14.56, -35183.61668565695 6733477.725754936 14.59, -35183.57968426391 6733477.771054765 14.59, -35183.3990103103 6733477.967774215 14.6, -35183.221225031535 6733478.144640526 14.6, -35183.1842236385 6733478.189940356 14.61, -35182.81006048748 6733478.601788049 14.67, -35182.72757546988 6733478.681016804 14.68, -35182.6792031707 6733478.734798864 14.69, -35182.53553061024 6733478.886218479 14.700000000000001, -35182.33067050646 6733479.109828954 14.73, -35182.24529681378 6733479.208910842 14.73, -35182.114439496654 6733479.341921658 14.75, -35182.04188104754 6733479.422594749 14.77, -35181.93376554246 6733479.5386411 14.81, -35181.90957939299 6733479.56553213 14.81, -35181.874206132255 6733479.529975075 14.83, -35181.85579733306 6733479.51715983 14.83, -35181.763753338135 6733479.453083612 14.870000000000001, -35181.718453509035 6733479.416082217 14.89, -35181.69011814182 6733479.401822636 14.9, -35181.589591915836 6733479.32637551 14.950000000000001, -35181.55277431768 6733479.300745024 14.97, -35181.30497769953 6733479.122775951 15.11, -35181.057181081735 6733478.944806878 15.27, -35180.983545885654 6733478.893545907 15.31, -35180.80938446417 6733478.766837808 15.41, -35180.72726703761 6733478.70420593 15.450000000000001, -35180.65363184188 6733478.652944957 15.52, -35180.48939698911 6733478.527681199 15.620000000000001, -35180.342126598116 6733478.42515925 15.73, -35180.29682676948 6733478.3881578585 15.76, -35180.25008260331 6733478.361083035 15.780000000000001, -35180.167965177214 6733478.298451156 15.85, -35180.078258475405 6733478.427312749 15.85, -35180.00425569166 6733478.517912408 15.860000000000001, -35179.887474165764 6733478.6935181655 15.93, -35179.72232034209 6733478.922905983 15.950000000000001, -35179.565648748656 6733479.163664704 15.96, -35179.374864437734 6733479.42987012 15.96, -35179.36060485698 6733479.458205486 15.96, -35179.27234249166 6733479.577140507 15.96, -35179.23389676155 6733479.632366906 15.97, -35179.02885286929 6733479.926907682 16.02, -35178.835179882124 6733480.212966224 15.97, -35178.772548003006 6733480.295083649 15.99, -35178.68139696156 6733480.4338718075 16, -35178.59169025801 6733480.562733394 16.03, -35178.526169703226 6733480.664703954 16.02, -35178.42653643165 6733480.792121204 16.04, -35178.23141910485 6733481.088106313 16.05, -35178.09189576446 6733481.280676525 16.07, -35178.04207912844 6733481.34438515 16.09, -35177.96229899174 6733481.474691075 16.12, -35177.91103801783 6733481.548326265 16.12, -35177.71880936506 6733481.824458236 16.17, -35177.62910266034 6733481.953319818 16.18, -35177.61628741666 6733481.971728618 16.19, -35177.5023945627 6733482.12748123 16.18, -35177.31016590877 6733482.403613197 16.18, -35177.23183010903 6733482.523992551 16.15, -35177.1036776728 6733482.708080529 16.14, -35177.02678621095 6733482.818533314 16.15, -35176.87444762513 6733483.029512316 16.19, -35176.82318665029 6733483.103147506 16.2, -35176.68077463179 6733483.315570844 16.240000000000002, -35176.62951365672 6733483.389206034 16.27, -35176.41165451298 6733483.702155591 16.31, -35176.34757829446 6733483.794199576 16.32, -35176.166720543406 6733484.0618493045 16.41, -35176.13116348814 6733484.097222561 16.43, -35176.10408866231 6733484.143966723 16.44, -35175.96312098042 6733484.34646349 16.54, -35175.924675248796 6733484.401689882 16.56, -35175.867820720305 6733484.444101028 16.6, -35175.57921506406 6733484.685936467 16.75, -35175.41857804649 6733484.814614247 16.84, -35175.293498084415 6733484.90791877 16.95, -35174.97077971231 6733485.17520089 17.12, -35174.832884506206 6733485.286914208 17.17, -35174.59120681207 6733485.484894156 17.25, -35174.54572318948 6733485.518823074 17.28, -35174.33960255049 6733485.681429764 17.38, -35174.28130368434 6733485.733767477 17.44, -35174.10929576249 6733485.87092748 17.51, -35173.833505352144 6733486.094354111 17.61, -35173.75246467488 6733486.163656281 17.64, -35173.66005309217 6733486.241440679 17.67, -35173.47667426523 6733486.387082909 17.75, -35173.38426268252 6733486.464867307 17.8, -35173.24636747758 6733486.576580622 17.85, -35172.94783525739 6733486.816971703 17.95, -35172.89098072972 6733486.85938285 17.97, -35172.50581428164 6733487.137852057 18.05, -35172.48307247087 6733487.154816514 18.05, -35172.4489597542 6733487.180263201 18.07, -35172.13201873959 6733487.407839037 18.23, -35172.08653511782 6733487.441767951 18.26, -35171.8378195368 6733487.6184504125 18.44, -35171.80515115848 6733487.633970533 18.45, -35171.73692572594 6733487.6848639045 18.490000000000002, -35171.55643557804 6733487.810652992 18.62, -35171.39724290231 6733487.929404189 18.72, -35171.294904753566 6733488.005744244 18.77, -35171.15989822755 6733488.097604419 18.84, -35170.61556519393 6733487.937308927 19.21, -35170.565932359896 6733487.930087235 19.25, -35170.41992253566 6733487.888569023 19.34, -35170.06978782546 6733487.786940004 19.57, -35170.041452464066 6733487.772680421 19.59, -35169.82740101218 6733487.711125274 19.71))</t>
  </si>
  <si>
    <t>['FV558 S1D1 m3453-3462']</t>
  </si>
  <si>
    <t>LINESTRING Z (-35150.59413318278 6733502.3680706695 20.91, -35150.5657978307 6733502.353811085 20.92, -35150.37593259127 6733502.265364904 20.96, -35150.310779663734 6733502.22547483 20.98, -35150.035908369464 6733502.094249896 21, -35149.86589625839 6733502.008692395 21.02, -35149.81770777912 6733501.991544132 21.02, -35149.65762223257 6733501.907430971 21.05, -35149.62928688107 6733501.893171385 21.06, -35149.700427163276 6733501.264909176 21.06, -35149.69916663808 6733501.203905454 21.06, -35149.70205531758 6733501.184052326 21.080000000000002, -35149.75441917777 6733500.684835448 21.34, -35149.77608427405 6733500.535936984 21.39, -35149.819782092 6733500.096279493 21.19, -35149.837114167516 6733499.977160727 21.17, -35149.843075339566 6733499.866524182 21.12, -35149.89255051245 6733499.387160429 21.22, -35149.91439941898 6733499.167331678 21.21, -35149.94780304027 6733498.868090421 21.18, -35149.95791341679 6733498.798604473 21.17, -35149.98842835834 6733498.519216338 21.12, -35150.00305556506 6733498.349020409 21.19, -35150.02472065657 6733498.2001219485 21.18, -35150.02490446821 6733498.129191661 21.17, -35150.0554194072 6733497.849803529 21.05, -35150.07852883707 6733497.690978501 21.05, -35150.0714909517 6733497.669681035 21.05, -35150.08593434503 6733497.570415397 21.04, -35150.10471075645 6733497.4413700625 21.17, -35150.110671925126 6733497.330733516 21.18, -35150.12222663942 6733497.251321005 21.19, -35150.141186861205 6733497.051345383 21.34, -35150.1599632717 6733496.922300049 21.3, -35150.19788371329 6733496.522348806 21.34, -35150.21377144428 6733496.413156602 21.37, -35150.20962223702 6733496.372006006 21.36, -35150.2675796136 6733495.904013151 21.13, -35150.26198606682 6733495.872789122 21.14, -35150.331681962125 6733495.254453466 21.2, -35150.33457064023 6733495.234600339 21.2, -35150.33890365739 6733495.204820644 21.2, -35150.37375160307 6733494.895652818 21.19, -35150.39289562765 6733494.624746907 21.23, -35150.45103680238 6733494.08582376 21.330000000000002, -35150.45392548002 6733494.065970633 21.3, -35150.458258496714 6733494.036190943 21.29, -35150.516399667365 6733493.497267797 21.39, -35150.52795437793 6733493.417855283 21.38, -35150.53391554067 6733493.307218737 21.43, -35150.5832068664 6733492.898785266 21.39, -35150.5920567062 6733492.768295592 21.27, -35150.74239950732 6733492.780034108 21.09, -35150.78210576391 6733492.785811464 21.080000000000002, -35151.22176326648 6733492.829509238 21, -35151.31110234442 6733492.842508289 20.990000000000002, -35151.66320660501 6733493.278935624 20.92, -35151.68017105607 6733493.30167743 20.92, -35151.715544296545 6733493.337234478 20.92, -35151.83429545269 6733493.496427125 20.900000000000002, -35151.85125990352 6733493.519168932 20.89, -35151.86822435446 6733493.541910737 20.89, -35152.11709756951 6733493.851813803 20.84, -35152.159508696524 6733493.908668321 20.830000000000002, -35152.18495537306 6733493.94278103 20.830000000000002, -35152.238369786995 6733494.1330139 20.82, -35152.29737774783 6733494.354470806 20.82, -35152.38453725318 6733494.661117581 20.8, -35152.43091377942 6733494.830052985 20.76, -35152.48432819126 6733495.020285857 20.740000000000002, -35152.51951762219 6733495.126773196 20.73, -35152.55037403584 6733495.263040229 20.72, -35152.59260135237 6733495.390825039 20.71, -35152.626346444245 6733495.507238941 20.69, -35152.74725103646 6733495.930299624 20.69, -35152.77251390205 6733496.035342626 20.69, -35152.79218322085 6733496.109161595 20.68, -35152.91164347099 6733496.542148842 20.64, -35152.91868135682 6733496.56344631 20.64, -35152.96650221804 6733496.722455155 20.63, -35152.98869259353 6733496.918281575 20.62, -35153.00547323236 6733497.011953672 20.61, -35153.02640307869 6733497.146776369 20.6, -35153.03325715335 6733497.239004127 20.6, -35153.10164023633 6733497.674696247 20.61, -35153.13646204071 6733497.92304417 20.63, -35153.149093472166 6733497.97556567 20.64, -35153.14476045396 6733498.005345364 20.64, -35153.196362895076 6733498.347365386 20.64, -35153.20610564691 6733498.419740018 20.64, -35153.2577080864 6733498.76176004 20.64, -35153.27304438385 6733498.865358704 20.650000000000002, -35153.27015570493 6733498.885211831 20.650000000000002, -35153.286936341436 6733498.978883932 20.64, -35153.33709443873 6733499.330830519 20.63, -35153.35928480781 6733499.5266569415 20.59, -35153.37462110445 6733499.630255605 20.6, -35153.417925127316 6733499.889974435 20.64, -35153.35962626722 6733499.942312122 20.650000000000002, -35153.30132740701 6733499.9946498135 20.66, -35153.23165764287 6733500.055469724 20.67, -35153.09231811494 6733500.17710955 20.7, -35152.83782520681 6733500.393498183 20.7, -35152.77808200719 6733500.455762436 20.7, -35152.661484287004 6733500.560437811 20.71, -35152.48803204717 6733500.707524307 20.76, -35152.33587727521 6733500.847572921 20.78, -35151.964786648285 6733501.168636924 20.82, -35151.81552055653 6733501.2888324065 20.82, -35151.663365784916 6733501.428881016 20.82, -35151.5353971615 6733501.542038612 20.830000000000002, -35151.37187148642 6733501.690569445 20.830000000000002, -35151.30364606273 6733501.741462789 20.830000000000002, -35151.117378579336 6733501.9069580715 20.830000000000002, -35151.01359610411 6733501.993224652 20.830000000000002, -35150.95529724436 6733502.045562338 20.85, -35150.663802946336 6733502.307250761 20.900000000000002, -35150.59413318278 6733502.3680706695 20.91)</t>
  </si>
  <si>
    <t>POLYGON Z ((-35150.59413318278 6733502.3680706695 20.91, -35150.5657978307 6733502.353811085 20.92, -35150.37593259127 6733502.265364904 20.96, -35150.310779663734 6733502.22547483 20.98, -35150.035908369464 6733502.094249896 21, -35149.86589625839 6733502.008692395 21.02, -35149.81770777912 6733501.991544132 21.02, -35149.65762223257 6733501.907430971 21.05, -35149.62928688107 6733501.893171385 21.06, -35149.700427163276 6733501.264909176 21.06, -35149.69916663808 6733501.203905454 21.06, -35149.70205531758 6733501.184052326 21.080000000000002, -35149.75441917777 6733500.684835448 21.34, -35149.77608427405 6733500.535936984 21.39, -35149.819782092 6733500.096279493 21.19, -35149.837114167516 6733499.977160727 21.17, -35149.843075339566 6733499.866524182 21.12, -35149.89255051245 6733499.387160429 21.22, -35149.91439941898 6733499.167331678 21.21, -35149.94780304027 6733498.868090421 21.18, -35149.95791341679 6733498.798604473 21.17, -35149.98842835834 6733498.519216338 21.12, -35150.00305556506 6733498.349020409 21.19, -35150.02472065657 6733498.2001219485 21.18, -35150.02490446821 6733498.129191661 21.17, -35150.0554194072 6733497.849803529 21.05, -35150.07852883707 6733497.690978501 21.05, -35150.0714909517 6733497.669681035 21.05, -35150.08593434503 6733497.570415397 21.04, -35150.10471075645 6733497.4413700625 21.17, -35150.110671925126 6733497.330733516 21.18, -35150.12222663942 6733497.251321005 21.19, -35150.141186861205 6733497.051345383 21.34, -35150.1599632717 6733496.922300049 21.3, -35150.19788371329 6733496.522348806 21.34, -35150.21377144428 6733496.413156602 21.37, -35150.20962223702 6733496.372006006 21.36, -35150.2675796136 6733495.904013151 21.13, -35150.26198606682 6733495.872789122 21.14, -35150.331681962125 6733495.254453466 21.2, -35150.33457064023 6733495.234600339 21.2, -35150.33890365739 6733495.204820644 21.2, -35150.37375160307 6733494.895652818 21.19, -35150.39289562765 6733494.624746907 21.23, -35150.45103680238 6733494.08582376 21.330000000000002, -35150.45392548002 6733494.065970633 21.3, -35150.458258496714 6733494.036190943 21.29, -35150.516399667365 6733493.497267797 21.39, -35150.52795437793 6733493.417855283 21.38, -35150.53391554067 6733493.307218737 21.43, -35150.5832068664 6733492.898785266 21.39, -35150.5920567062 6733492.768295592 21.27, -35150.74239950732 6733492.780034108 21.09, -35150.78210576391 6733492.785811464 21.080000000000002, -35151.22176326648 6733492.829509238 21, -35151.31110234442 6733492.842508289 20.990000000000002, -35151.66320660501 6733493.278935624 20.92, -35151.68017105607 6733493.30167743 20.92, -35151.715544296545 6733493.337234478 20.92, -35151.83429545269 6733493.496427125 20.900000000000002, -35151.85125990352 6733493.519168932 20.89, -35151.86822435446 6733493.541910737 20.89, -35152.11709756951 6733493.851813803 20.84, -35152.159508696524 6733493.908668321 20.830000000000002, -35152.18495537306 6733493.94278103 20.830000000000002, -35152.238369786995 6733494.1330139 20.82, -35152.29737774783 6733494.354470806 20.82, -35152.38453725318 6733494.661117581 20.8, -35152.43091377942 6733494.830052985 20.76, -35152.48432819126 6733495.020285857 20.740000000000002, -35152.51951762219 6733495.126773196 20.73, -35152.55037403584 6733495.263040229 20.72, -35152.59260135237 6733495.390825039 20.71, -35152.626346444245 6733495.507238941 20.69, -35152.74725103646 6733495.930299624 20.69, -35152.77251390205 6733496.035342626 20.69, -35152.79218322085 6733496.109161595 20.68, -35152.91164347099 6733496.542148842 20.64, -35152.91868135682 6733496.56344631 20.64, -35152.96650221804 6733496.722455155 20.63, -35152.98869259353 6733496.918281575 20.62, -35153.00547323236 6733497.011953672 20.61, -35153.02640307869 6733497.146776369 20.6, -35153.03325715335 6733497.239004127 20.6, -35153.10164023633 6733497.674696247 20.61, -35153.13646204071 6733497.92304417 20.63, -35153.149093472166 6733497.97556567 20.64, -35153.14476045396 6733498.005345364 20.64, -35153.196362895076 6733498.347365386 20.64, -35153.20610564691 6733498.419740018 20.64, -35153.2577080864 6733498.76176004 20.64, -35153.27304438385 6733498.865358704 20.650000000000002, -35153.27015570493 6733498.885211831 20.650000000000002, -35153.286936341436 6733498.978883932 20.64, -35153.33709443873 6733499.330830519 20.63, -35153.35928480781 6733499.5266569415 20.59, -35153.37462110445 6733499.630255605 20.6, -35153.417925127316 6733499.889974435 20.64, -35153.35962626722 6733499.942312122 20.650000000000002, -35153.30132740701 6733499.9946498135 20.66, -35153.23165764287 6733500.055469724 20.67, -35153.09231811494 6733500.17710955 20.7, -35152.83782520681 6733500.393498183 20.7, -35152.77808200719 6733500.455762436 20.7, -35152.661484287004 6733500.560437811 20.71, -35152.48803204717 6733500.707524307 20.76, -35152.33587727521 6733500.847572921 20.78, -35151.964786648285 6733501.168636924 20.82, -35151.81552055653 6733501.2888324065 20.82, -35151.663365784916 6733501.428881016 20.82, -35151.5353971615 6733501.542038612 20.830000000000002, -35151.37187148642 6733501.690569445 20.830000000000002, -35151.30364606273 6733501.741462789 20.830000000000002, -35151.117378579336 6733501.9069580715 20.830000000000002, -35151.01359610411 6733501.993224652 20.830000000000002, -35150.95529724436 6733502.045562338 20.85, -35150.663802946336 6733502.307250761 20.900000000000002, -35150.59413318278 6733502.3680706695 20.91))</t>
  </si>
  <si>
    <t>['FV558 S1D1 m3561-3584', 'FV558 S1D1 m3588 KD1 m60-70']</t>
  </si>
  <si>
    <t>LINESTRING Z (-35204.30437441706 6733402.703350325 16.86, -35204.290298584965 6733402.660755378 16.84, -35204.21432583674 6733402.416556593 16.73, -35204.16650475247 6733402.2575477045 16.63, -35204.09612559131 6733402.044572967 16.53, -35204.034228674136 6733401.842969129 16.46, -35203.91602842568 6733401.470985505 16.32, -35203.88083884434 6733401.3644981375 16.29, -35203.86531868344 6733401.331829763 16.29, -35203.83861134632 6733401.236713292 16.25, -35203.85720388789 6733401.178598187 16.25, -35204.00505106163 6733400.510812881 16.19, -35204.01227270195 6733400.461180014 16.19, -35204.032309570815 6733400.393138336 16.18, -35204.03519822692 6733400.373285188 16.18, -35204.11986240966 6733400.000408408 16.16, -35204.17726808251 6733399.745206171 16.16, -35204.25037763873 6733399.451741972 16.14, -35204.29063509742 6733399.244728271 16.13, -35204.30345032632 6733399.226319451 16.13, -35204.42637646687 6733398.869146552 16.14, -35204.49641364266 6733398.666465832 16.12, -35204.58937634062 6733398.3758902885 16.16, -35204.65652485995 6733398.193062713 16.14, -35204.73089501751 6733397.960602273 16.11, -35204.7494875564 6733397.902487166 16.12, -35204.97530295956 6733397.256183038 16.15, -35205.01393236464 6733397.1300262455 16.14, -35205.04967311432 6733397.023722597 16.14, -35205.15689536289 6733396.704811657 16.14, -35205.18974745716 6733396.618361153 16.14, -35205.22693253367 6733396.502130935 16.13, -35205.25689597265 6733396.435533578 16.14, -35205.29841403174 6733396.289523636 16.15, -35205.3312661252 6733396.2030731365 16.17, -35205.439932698384 6733395.874235618 16.17, -35205.462858218816 6733395.786340788 16.17, -35205.49859896698 6733395.68003714 16.17, -35205.59859957348 6733395.410759058 16.19, -35205.707266143756 6733395.081921537 16.22, -35205.7801919654 6733394.859387667 16.22, -35205.81593271252 6733394.753084016 16.23, -35205.831636595074 6733394.714822053 16.240000000000002, -35205.86882166902 6733394.59859183 16.26, -35205.96034002665 6733394.3179428475 16.3, -35205.98182121792 6733394.239974589 16.3, -35206.03182151925 6733394.105335546 16.29, -35206.141932411585 6733393.766571452 16.26, -35206.16196927545 6733393.698529765 16.26, -35206.26630285755 6733393.399471959 16.26, -35206.37063643872 6733393.100414153 16.27, -35206.447895236895 6733392.848100559 16.29, -35206.47785867273 6733392.781503201 16.3, -35206.59934046061 6733392.4342568545 16.36, -35206.65367374034 6733392.269838092 16.35, -35206.77082254528 6733391.95237146 16.31, -35206.823711496894 6733391.79787927 16.31, -35206.85800791299 6733391.701502193 16.31, -35206.95656418067 6733391.442150675 16.330000000000002, -35206.98941626982 6733391.355700169 16.330000000000002, -35207.12804625975 6733390.960265277 16.38, -35207.266676247935 6733390.564830384 16.4, -35207.348084304715 6733390.3536674045 16.38, -35207.41378848092 6733390.180766391 16.39, -35207.482381309965 6733389.98801223 16.38, -35207.519566377974 6733389.871782002 16.38, -35207.688159794896 6733389.409749747 16.4, -35207.72660547553 6733389.354523284 16.4, -35207.74230935541 6733389.316261319 16.41, -35207.88616550318 6733389.09391115 16.41, -35207.993020297145 6733388.916860865 16.42, -35208.16539555078 6733388.63783991 16.44, -35208.20672988426 6733388.5627603 16.45, -35208.48451560328 6733388.116615628 16.46, -35208.85902045539 6733388.120422845 16.51, -35208.92002422339 6733388.11916223 16.51, -35209.010807711864 6733388.122234594 16.56, -35209.08173805312 6733388.122418308 16.580000000000002, -35209.46761380858 6733388.117743275 16.63, -35209.579694771324 6733388.11377772 16.64, -35209.71974370361 6733388.265932404 16.65, -35210.09603493835 6733388.675468531 16.72, -35210.376132802456 6733388.979777901 16.740000000000002, -35210.516181734274 6733389.131932592 16.740000000000002, -35210.681677407 6733389.318199978 16.77, -35210.75242403627 6733389.389314037 16.79, -35210.84013515967 6733389.483169894 16.78, -35211.049486393924 6733389.716365213 16.82, -35211.243317460525 6733389.916892163 16.84, -35211.32958425698 6733390.020674594 16.85, -35211.444186448 6733390.138716582 16.87, -35211.47252184246 6733390.152976138 16.88, -35211.53767487861 6733390.192866147 16.89, -35211.75587578863 6733390.295571683 16.93, -35211.79269342986 6733390.321202141 16.92, -35211.94429697713 6733390.393944241 16.94, -35212.237577498774 6733390.537984114 16.96, -35212.53934026754 6733390.693394892 16.990000000000002, -35212.85102961154 6733390.8502499955 17.02, -35212.93603579642 6733390.893028663 17.03, -35213.25765171542 6733391.051328095 17.06, -35213.36106672161 6733391.10692199 17.07, -35213.50274369703 6733391.1782197645 17.06, -35213.597676456906 6733391.222442757 17.05, -35213.86262158712 6733391.352223084 17.03, -35213.86514281016 6733391.474230629 17.04, -35213.870368971955 6733391.64731537 17.05, -35213.894897133345 6733392.036079808 17.05, -35213.855007120874 6733392.1012328435 17.05, -35213.815117108286 6733392.166385881 17.04, -35213.59725822415 6733392.479335842 17.02, -35213.39077024115 6733392.783803551 17.03, -35213.23698749894 6733393.004709401 17.04, -35213.13302134292 6733393.161906543 17.05, -35212.97634994576 6733393.402665539 17.05, -35212.75849105907 6733393.715615493 17.05, -35212.70867447194 6733393.779324201 17.05, -35212.58629949496 6733393.923706111 17.06, -35212.51374110521 6733394.004379313 17.06, -35212.37999522686 6733394.157243468 17.06, -35212.28180637979 6733394.274734309 17.05, -35212.15943140269 6733394.419116218 17.03, -35212.08687301271 6733394.499789417 17.04, -35211.91757010261 6733394.688026889 17.05, -35211.57607562805 6733395.084354966 17.080000000000002, -35211.47788678028 6733395.201845806 17.080000000000002, -35211.297212969046 6733395.398565516 17.1, -35210.98134895135 6733395.758075948 17.11, -35210.71385719301 6733396.063804248 17.12, -35210.67541150609 6733396.119030709 17.12, -35210.37380704377 6733396.450205743 17.11, -35210.36099181487 6733396.4686145615 17.11, -35210.00957076438 6733396.8634983 17.14, -35209.97401373321 6733396.898871609 17.14, -35209.87726921262 6733397.006435871 17.14, -35209.851638754946 6733397.043253508 17.14, -35209.75489423459 6733397.150817769 17.13, -35209.585591323324 6733397.339055226 17.12, -35209.42621498543 6733397.52873701 17.12, -35209.24554117303 6733397.72545671 17.12, -35209.06342303241 6733397.932102982 17.12, -35209.02786600136 6733397.9674762925 17.12, -35208.9794937406 6733398.021258422 17.12, -35208.95675193833 6733398.038222914 17.12, -35208.86000741762 6733398.145787172 17.13, -35208.575551166316 6733398.428773653 17.12, -35208.42050781206 6733398.5886757085 17.1, -35208.242722655064 6733398.765542258 17.080000000000002, -35208.07486407121 6733398.943853134 17.09, -35207.945451174746 6733399.066937552 17.09, -35207.7292203306 6733399.299030554 17.1, -35207.564250402735 6733399.45748828 17.09, -35207.52869337122 6733399.492861589 17.09, -35207.50306291296 6733399.529679228 17.080000000000002, -35207.39061450679 6733399.675505445 17.07, -35207.24116474099 6733399.866631548 17.06, -35207.12727200624 6733400.022384342 17.03, -35207.053269287455 6733400.112984101 17.04, -35206.86392950558 6733400.36926323 17.05, -35206.71303541097 6733400.5703159 17.02, -35206.56358564412 6733400.761441998 17, -35206.485249940655 6733400.881821478 17.01, -35206.41124722129 6733400.97242124 17.02, -35206.37424586131 6733401.017721122 17.02, -35206.347171074594 6733401.064465331 17.03, -35206.3145026993 6733401.07998549 17.03, -35206.2590925222 6733401.112470141 17.03, -35206.16956964112 6733401.170401528 17.02, -35206.07860243227 6733401.238259488 17.01, -35205.94504027546 6733401.32019328 17, -35205.79866288928 6733401.420535889 16.98, -35205.52016767522 6733401.592885715 16.94, -35205.43768271129 6733401.672114574 16.94, -35205.3324559452 6733401.768307922 16.92, -35205.14618854388 6733401.933803554 16.84, -35204.81913734507 6733402.230865841 16.88, -35204.71391057933 6733402.327059188 16.88, -35204.642796516535 6733402.397805798 16.87, -35204.56031155272 6733402.477034656 16.87, -35204.327116219094 6733402.6863858355 16.87, -35204.30437441706 6733402.703350325 16.86)</t>
  </si>
  <si>
    <t>POLYGON Z ((-35204.30437441706 6733402.703350325 16.86, -35204.290298584965 6733402.660755378 16.84, -35204.21432583674 6733402.416556593 16.73, -35204.16650475247 6733402.2575477045 16.63, -35204.09612559131 6733402.044572967 16.53, -35204.034228674136 6733401.842969129 16.46, -35203.91602842568 6733401.470985505 16.32, -35203.88083884434 6733401.3644981375 16.29, -35203.86531868344 6733401.331829763 16.29, -35203.83861134632 6733401.236713292 16.25, -35203.85720388789 6733401.178598187 16.25, -35204.00505106163 6733400.510812881 16.19, -35204.01227270195 6733400.461180014 16.19, -35204.032309570815 6733400.393138336 16.18, -35204.03519822692 6733400.373285188 16.18, -35204.11986240966 6733400.000408408 16.16, -35204.17726808251 6733399.745206171 16.16, -35204.25037763873 6733399.451741972 16.14, -35204.29063509742 6733399.244728271 16.13, -35204.30345032632 6733399.226319451 16.13, -35204.42637646687 6733398.869146552 16.14, -35204.49641364266 6733398.666465832 16.12, -35204.58937634062 6733398.3758902885 16.16, -35204.65652485995 6733398.193062713 16.14, -35204.73089501751 6733397.960602273 16.11, -35204.7494875564 6733397.902487166 16.12, -35204.97530295956 6733397.256183038 16.15, -35205.01393236464 6733397.1300262455 16.14, -35205.04967311432 6733397.023722597 16.14, -35205.15689536289 6733396.704811657 16.14, -35205.18974745716 6733396.618361153 16.14, -35205.22693253367 6733396.502130935 16.13, -35205.25689597265 6733396.435533578 16.14, -35205.29841403174 6733396.289523636 16.15, -35205.3312661252 6733396.2030731365 16.17, -35205.439932698384 6733395.874235618 16.17, -35205.462858218816 6733395.786340788 16.17, -35205.49859896698 6733395.68003714 16.17, -35205.59859957348 6733395.410759058 16.19, -35205.707266143756 6733395.081921537 16.22, -35205.7801919654 6733394.859387667 16.22, -35205.81593271252 6733394.753084016 16.23, -35205.831636595074 6733394.714822053 16.240000000000002, -35205.86882166902 6733394.59859183 16.26, -35205.96034002665 6733394.3179428475 16.3, -35205.98182121792 6733394.239974589 16.3, -35206.03182151925 6733394.105335546 16.29, -35206.141932411585 6733393.766571452 16.26, -35206.16196927545 6733393.698529765 16.26, -35206.26630285755 6733393.399471959 16.26, -35206.37063643872 6733393.100414153 16.27, -35206.447895236895 6733392.848100559 16.29, -35206.47785867273 6733392.781503201 16.3, -35206.59934046061 6733392.4342568545 16.36, -35206.65367374034 6733392.269838092 16.35, -35206.77082254528 6733391.95237146 16.31, -35206.823711496894 6733391.79787927 16.31, -35206.85800791299 6733391.701502193 16.31, -35206.95656418067 6733391.442150675 16.330000000000002, -35206.98941626982 6733391.355700169 16.330000000000002, -35207.12804625975 6733390.960265277 16.38, -35207.266676247935 6733390.564830384 16.4, -35207.348084304715 6733390.3536674045 16.38, -35207.41378848092 6733390.180766391 16.39, -35207.482381309965 6733389.98801223 16.38, -35207.519566377974 6733389.871782002 16.38, -35207.688159794896 6733389.409749747 16.4, -35207.72660547553 6733389.354523284 16.4, -35207.74230935541 6733389.316261319 16.41, -35207.88616550318 6733389.09391115 16.41, -35207.993020297145 6733388.916860865 16.42, -35208.16539555078 6733388.63783991 16.44, -35208.20672988426 6733388.5627603 16.45, -35208.48451560328 6733388.116615628 16.46, -35208.85902045539 6733388.120422845 16.51, -35208.92002422339 6733388.11916223 16.51, -35209.010807711864 6733388.122234594 16.56, -35209.08173805312 6733388.122418308 16.580000000000002, -35209.46761380858 6733388.117743275 16.63, -35209.579694771324 6733388.11377772 16.64, -35209.71974370361 6733388.265932404 16.65, -35210.09603493835 6733388.675468531 16.72, -35210.376132802456 6733388.979777901 16.740000000000002, -35210.516181734274 6733389.131932592 16.740000000000002, -35210.681677407 6733389.318199978 16.77, -35210.75242403627 6733389.389314037 16.79, -35210.84013515967 6733389.483169894 16.78, -35211.049486393924 6733389.716365213 16.82, -35211.243317460525 6733389.916892163 16.84, -35211.32958425698 6733390.020674594 16.85, -35211.444186448 6733390.138716582 16.87, -35211.47252184246 6733390.152976138 16.88, -35211.53767487861 6733390.192866147 16.89, -35211.75587578863 6733390.295571683 16.93, -35211.79269342986 6733390.321202141 16.92, -35211.94429697713 6733390.393944241 16.94, -35212.237577498774 6733390.537984114 16.96, -35212.53934026754 6733390.693394892 16.990000000000002, -35212.85102961154 6733390.8502499955 17.02, -35212.93603579642 6733390.893028663 17.03, -35213.25765171542 6733391.051328095 17.06, -35213.36106672161 6733391.10692199 17.07, -35213.50274369703 6733391.1782197645 17.06, -35213.597676456906 6733391.222442757 17.05, -35213.86262158712 6733391.352223084 17.03, -35213.86514281016 6733391.474230629 17.04, -35213.870368971955 6733391.64731537 17.05, -35213.894897133345 6733392.036079808 17.05, -35213.855007120874 6733392.1012328435 17.05, -35213.815117108286 6733392.166385881 17.04, -35213.59725822415 6733392.479335842 17.02, -35213.39077024115 6733392.783803551 17.03, -35213.23698749894 6733393.004709401 17.04, -35213.13302134292 6733393.161906543 17.05, -35212.97634994576 6733393.402665539 17.05, -35212.75849105907 6733393.715615493 17.05, -35212.70867447194 6733393.779324201 17.05, -35212.58629949496 6733393.923706111 17.06, -35212.51374110521 6733394.004379313 17.06, -35212.37999522686 6733394.157243468 17.06, -35212.28180637979 6733394.274734309 17.05, -35212.15943140269 6733394.419116218 17.03, -35212.08687301271 6733394.499789417 17.04, -35211.91757010261 6733394.688026889 17.05, -35211.57607562805 6733395.084354966 17.080000000000002, -35211.47788678028 6733395.201845806 17.080000000000002, -35211.297212969046 6733395.398565516 17.1, -35210.98134895135 6733395.758075948 17.11, -35210.71385719301 6733396.063804248 17.12, -35210.67541150609 6733396.119030709 17.12, -35210.37380704377 6733396.450205743 17.11, -35210.36099181487 6733396.4686145615 17.11, -35210.00957076438 6733396.8634983 17.14, -35209.97401373321 6733396.898871609 17.14, -35209.87726921262 6733397.006435871 17.14, -35209.851638754946 6733397.043253508 17.14, -35209.75489423459 6733397.150817769 17.13, -35209.585591323324 6733397.339055226 17.12, -35209.42621498543 6733397.52873701 17.12, -35209.24554117303 6733397.72545671 17.12, -35209.06342303241 6733397.932102982 17.12, -35209.02786600136 6733397.9674762925 17.12, -35208.9794937406 6733398.021258422 17.12, -35208.95675193833 6733398.038222914 17.12, -35208.86000741762 6733398.145787172 17.13, -35208.575551166316 6733398.428773653 17.12, -35208.42050781206 6733398.5886757085 17.1, -35208.242722655064 6733398.765542258 17.080000000000002, -35208.07486407121 6733398.943853134 17.09, -35207.945451174746 6733399.066937552 17.09, -35207.7292203306 6733399.299030554 17.1, -35207.564250402735 6733399.45748828 17.09, -35207.52869337122 6733399.492861589 17.09, -35207.50306291296 6733399.529679228 17.080000000000002, -35207.39061450679 6733399.675505445 17.07, -35207.24116474099 6733399.866631548 17.06, -35207.12727200624 6733400.022384342 17.03, -35207.053269287455 6733400.112984101 17.04, -35206.86392950558 6733400.36926323 17.05, -35206.71303541097 6733400.5703159 17.02, -35206.56358564412 6733400.761441998 17, -35206.485249940655 6733400.881821478 17.01, -35206.41124722129 6733400.97242124 17.02, -35206.37424586131 6733401.017721122 17.02, -35206.347171074594 6733401.064465331 17.03, -35206.3145026993 6733401.07998549 17.03, -35206.2590925222 6733401.112470141 17.03, -35206.16956964112 6733401.170401528 17.02, -35206.07860243227 6733401.238259488 17.01, -35205.94504027546 6733401.32019328 17, -35205.79866288928 6733401.420535889 16.98, -35205.52016767522 6733401.592885715 16.94, -35205.43768271129 6733401.672114574 16.94, -35205.3324559452 6733401.768307922 16.92, -35205.14618854388 6733401.933803554 16.84, -35204.81913734507 6733402.230865841 16.88, -35204.71391057933 6733402.327059188 16.88, -35204.642796516535 6733402.397805798 16.87, -35204.56031155272 6733402.477034656 16.87, -35204.327116219094 6733402.6863858355 16.87, -35204.30437441706 6733402.703350325 16.86))</t>
  </si>
  <si>
    <t>[815]</t>
  </si>
  <si>
    <t>['FV815 S1D150 m12-53']</t>
  </si>
  <si>
    <t>LINESTRING Z (443087.5176385214 7559541.654361314 8.06, 443086.6192713065 7559540.896245945 8.06, 443086.8701143803 7559540.5201738225 8.07, 443090.68413784076 7559541.107434961 8.03, 443103.79608434276 7559542.868631804 7.54, 443110.69828848477 7559543.800811622 7.390000000000001, 443114.5911812741 7559545.576077872 7.09, 443117.7123576557 7559547.690078561 7.13, 443120.99009411386 7559551.720148328 6.82, 443122.8614269997 7559555.894391463 6.9, 443123.2268423507 7559558.175360352 6.91, 443123.1650395206 7559559.746759396 6.97, 443122.5694554081 7559561.161142385 7.04, 443121.4491474564 7559561.968318714 7.09, 443116.92399621697 7559560.098425935 6.93, 443112.0487308005 7559556.5771510145 7.09, 443107.69045268756 7559552.933318623 7.3100000000000005, 443101.49584559124 7559549.024135831 7.41, 443092.7861550967 7559544.076150533 7.76, 443087.5176385214 7559541.654361314 8.06)</t>
  </si>
  <si>
    <t>POLYGON Z ((443087.5176385214 7559541.654361314 8.06, 443086.6192713065 7559540.896245945 8.06, 443086.8701143803 7559540.5201738225 8.07, 443090.68413784076 7559541.107434961 8.03, 443103.79608434276 7559542.868631804 7.54, 443110.69828848477 7559543.800811622 7.390000000000001, 443114.5911812741 7559545.576077872 7.09, 443117.7123576557 7559547.690078561 7.13, 443120.99009411386 7559551.720148328 6.82, 443122.8614269997 7559555.894391463 6.9, 443123.2268423507 7559558.175360352 6.91, 443123.1650395206 7559559.746759396 6.97, 443122.5694554081 7559561.161142385 7.04, 443121.4491474564 7559561.968318714 7.09, 443116.92399621697 7559560.098425935 6.93, 443112.0487308005 7559556.5771510145 7.09, 443107.69045268756 7559552.933318623 7.3100000000000005, 443101.49584559124 7559549.024135831 7.41, 443092.7861550967 7559544.076150533 7.76, 443087.5176385214 7559541.654361314 8.06))</t>
  </si>
  <si>
    <t>2024-02-22</t>
  </si>
  <si>
    <t>2025-11-22T09:18:37Z</t>
  </si>
  <si>
    <t>[2660]</t>
  </si>
  <si>
    <t>['FV2660 S2D10 m3094-3108']</t>
  </si>
  <si>
    <t>LINESTRING (191234.357711698 6897793.335927994, 191235.3144556334 6897792.633015162, 191235.925106538 6897791.803584166, 191236.18348645064 6897791.16463344, 191236.30538687512 6897790.573341755, 191236.04318660393 6897790.017229046, 191235.334927893 6897789.396492299, 191231.60338594316 6897786.714564596, 191228.1909977888 6897784.249521324, 191227.8671525881 6897784.173704521, 191227.41481126257 6897784.232714332, 191226.6404313983 6897784.620074007, 191225.4345732276 6897785.486444617)</t>
  </si>
  <si>
    <t>POLYGON ((191234.357711698 6897793.335927994, 191235.3144556334 6897792.633015162, 191235.925106538 6897791.803584166, 191236.18348645064 6897791.16463344, 191236.30538687512 6897790.573341755, 191236.04318660393 6897790.017229046, 191235.334927893 6897789.396492299, 191231.60338594316 6897786.714564596, 191228.1909977888 6897784.249521324, 191227.8671525881 6897784.173704521, 191227.41481126257 6897784.232714332, 191226.6404313983 6897784.620074007, 191225.4345732276 6897785.486444617, 191234.357711698 6897793.335927994))</t>
  </si>
  <si>
    <t>2024-02-27</t>
  </si>
  <si>
    <t>[5066]</t>
  </si>
  <si>
    <t>['FV5066 S1D1 m4-14']</t>
  </si>
  <si>
    <t>LINESTRING Z (-39189.48361113225 6667135.970538811 25.150000000000002, -39190.33371429634 6667135.373132925 25.13, -39190.97251647711 6667133.003940954 25.16, -39190.69600410783 6667130.178719521 25.18, -39189.17362308549 6667126.877435473 25.310000000000002, -39187.887961921864 6667125.400612935 25.44, -39186.60941463057 6667124.840997492 25.53, -39184.08212345932 6667124.721616767 25.67, -39182.0678121543 6667125.273424656 25.73, -39180.70096242381 6667126.01513725 25.75, -39180.48660342838 6667126.267560567 25.740000000000002, -39180.38938576775 6667126.560868795 25.72, -39180.76950253162 6667128.91206602 25.64, -39181.61105249869 6667130.620387079 25.54, -39182.95297325228 6667132.364207501 25.44, -39184.89513875253 6667134.263416212 25.32, -39186.84920433664 6667135.589600294 25.22, -39188.3184748115 6667136.045721079 25.19, -39189.48361113225 6667135.970538811 25.150000000000002)</t>
  </si>
  <si>
    <t>POLYGON Z ((-39189.48361113225 6667135.970538811 25.150000000000002, -39190.33371429634 6667135.373132925 25.13, -39190.97251647711 6667133.003940954 25.16, -39190.69600410783 6667130.178719521 25.18, -39189.17362308549 6667126.877435473 25.310000000000002, -39187.887961921864 6667125.400612935 25.44, -39186.60941463057 6667124.840997492 25.53, -39184.08212345932 6667124.721616767 25.67, -39182.0678121543 6667125.273424656 25.73, -39180.70096242381 6667126.01513725 25.75, -39180.48660342838 6667126.267560567 25.740000000000002, -39180.38938576775 6667126.560868795 25.72, -39180.76950253162 6667128.91206602 25.64, -39181.61105249869 6667130.620387079 25.54, -39182.95297325228 6667132.364207501 25.44, -39184.89513875253 6667134.263416212 25.32, -39186.84920433664 6667135.589600294 25.22, -39188.3184748115 6667136.045721079 25.19, -39189.48361113225 6667135.970538811 25.150000000000002))</t>
  </si>
  <si>
    <t>['FV540 S1D1 m3905-3914']</t>
  </si>
  <si>
    <t>LINESTRING Z (-34755.01969200908 6729797.117280076 39.168201, -34755.050858868635 6729797.103617724 39.167702, -34755.36962590122 6729796.965116291 39.162701, -34756.31837816094 6729796.567250433 39.149101, -34757.27106623049 6729796.189083077 39.137501, -34758.22750112682 6729795.830500233 39.127998, -34758.70707897132 6729795.658382223 39.124001, -34759.064487295575 6729795.53348978 39.121498, -34759.187612235546 6729795.4911842095 39.120602, -34760.15120412456 6729795.171025446 39.113899, -34760.595679539256 6729795.030236004 39.110802, -34761.11828061321 6729794.8700152375 39.105499, -34762.08865623339 6729794.587946234 39.096199, -34763.06213504274 6729794.324791428 39.087299, -34764.03872491571 6729794.080453841 39.078899, -34765.01823433209 6729793.854814205 39.071098, -34765.11629273184 6729793.833277448 39.070301, -34765.66914819286 6729793.715510903 39.066101, -34766.00056622317 6729793.6478656465 39.063702, -34766.09895936493 6729793.628172489 39.063, -34766.7087803114 6729793.512211 39.047137)</t>
  </si>
  <si>
    <t>['FV540 S1D1 m3897 KD1 m18-19']</t>
  </si>
  <si>
    <t>LINESTRING Z (-34741.72059005441 6729800.302760261 39.560699, -34741.72725862439 6729800.233271672 39.5592, -34741.73535294505 6729800.133898415 39.556999, -34741.73783538246 6729800.099074587 39.556198, -34741.7454082832 6729799.964706124 39.553398, -34741.749253306654 6729799.854566607 39.551102, -34741.75055433239 6729799.795263619 39.5499, -34741.75091358414 6729799.626388878 39.546501, -34741.74649465957 6729799.456877084 39.543301, -34741.74199989473 6729799.365215078 39.541599, -34741.73722221935 6729799.287627808 39.5401, -34741.733945883345 6729799.243112125 39.539299, -34741.728729643044 6729799.179077715 39.5382, -34741.72335952602 6729799.121177089 39.537201, -34741.70426913956 6729798.950221838 39.534199, -34741.69466317899 6729798.878032039 39.533001, -34741.68066374981 6729798.782376214 39.531399, -34741.656070961035 6729798.636297161 39.529099, -34741.652297802735 6729798.615911536 39.528801, -34741.61918401322 6729798.449611291 39.526299, -34741.60764207365 6729798.396381774 39.525501, -34741.581436083885 6729798.284400411 39.523899, -34741.5493421969 6729798.158682587 39.522202, -34741.538861518144 6729798.120258247 39.521702, -34741.53053495113 6729798.090183399 39.521301, -34741.51653140306 6729798.040759195 39.520599, -34741.491724890424 6729797.957507162 39.519501, -34741.48134028737 6729797.923521251 39.5191, -34741.44018248725 6729797.796673125 39.517601, -34741.403695753776 6729797.691403789 39.5163, -34741.38392690616 6729797.636713729 39.515701, -34741.32307175605 6729797.478554927 39.514, -34741.2577362454 6729797.322093812 39.512501, -34741.22035350057 6729797.237593246 39.5117, -34741.19483014045 6729797.181973262 39.5112, -34741.11478453898 6729797.016715699 39.5098, -34741.05867505621 6729796.9079348985 39.508999, -34741.03588698292 6729796.865359761 39.508701, -34741.000340540544 6729796.80036541 39.508202, -34740.95326105424 6729796.717289232 39.507702, -34740.87708906364 6729796.58894842 39.507, -34740.86648452643 6729796.571659691 39.506901, -34740.785007876926 6729796.442931739 39.506302, -34740.74520376674 6729796.382680066 39.506001, -34740.68073909753 6729796.288146179 39.505699, -34740.60504975496 6729796.182005728 39.505402, -34740.58185387007 6729796.150470304 39.505299, -34740.479541910696 6729796.016107467 39.505001, -34740.45680525538 6729795.987233806 39.505001, -34740.37969171954 6729795.892244437 39.505001, -34740.36481240764 6729795.874364756 39.505001, -34740.30062408396 6729795.798785293 39.505001, -34740.26279605832 6729795.755435964 39.505001, -34740.24901494244 6729795.7398726875 39.505001, -34740.21110458439 6729795.697422291 39.5051, -34740.1490122535 6729795.6297931755 39.505199, -34740.031598958885 6729795.507444854 39.5056, -34739.96579938824 6729795.441792726 39.505901, -34739.9218679982 6729795.399090007 39.5061, -34739.787694819155 6729795.273896305 39.506802, -34739.659896660945 6729795.161574199 39.507599, -34739.602865453344 6729795.113442486 39.507999, -34739.52940696722 6729795.053335479 39.508499, -34739.507925884565 6729795.036056758 39.508701, -34739.41158830142 6729794.960760813 39.509499, -34739.259632824454 6729794.848239529 39.510899, -34739.2141434208 6729794.815971615 39.511299, -34739.17703014426 6729794.790111114 39.5117, -34739.120919401874 6729794.751734741 39.512299, -34739.01101039769 6729794.679424991 39.513401, -34738.97903287667 6729794.659072835 39.513802, -34738.834573175525 6729794.570301706 39.515499, -34738.80246867193 6729794.551346982 39.5159, -34738.68771515461 6729794.4857445685 39.5173, -34738.588799775694 6729794.43196278 39.5186, -34738.53845709213 6729794.405398236 39.519199, -34738.48016146885 6729794.375481562 39.52, -34738.3924897149 6729794.331999733 39.521198, -34738.370395440375 6729794.321416043 39.521599, -34738.23390163877 6729794.257849202 39.523499, -34738.14764287183 6729794.2198338825 39.524799, -34738.07840954757 6729794.190528953 39.525902, -34738.01948427467 6729794.166398324 39.526798, -34737.9215925656 6729794.127821153 39.5284, -34737.886070167064 6729794.114293353 39.528999, -34737.77105527627 6729794.072438681 39.530899, -34737.65523205837 6729794.032822487 39.532799, -34737.608677659184 6729794.01768097 39.533699, -34737.45074103691 6729793.969375149 39.536499, -34737.421299429145 6729793.960934621 39.536999, -34737.35589470237 6729793.942656553 39.5382, -34737.290806076955 6729793.925314921 39.539398, -34737.184573279344 6729793.898664379 39.541401, -34737.13035133504 6729793.885841155 39.5424, -34736.96828526992 6729793.850753171 39.545601, -34736.94554214273 6729793.846154192 39.546001, -34736.80600812158 6729793.820180226 39.548801, -34736.727522917325 6729793.80724784 39.5504, -34736.74587409175 6729793.824642768 39.552502, -34736.79143660946 6729793.868197902 39.557598, -34736.835929061985 6729793.911350855 39.562698, -34736.91756616032 6729793.992151296 39.572201, -34736.965595363756 6729794.04066513 39.577801, -34737.0485106312 6729794.126215702 39.5877, -34737.11727152683 6729794.199090669 39.596401, -34737.16430269764 6729794.2497258885 39.6021, -34737.212813925464 6729794.302917954 39.608299, -34737.290721501224 6729794.390326411 39.6185, -34737.33721390716 6729794.443534002 39.624699, -34737.37562914321 6729794.48814775 39.629902, -34737.43106905313 6729794.553653771 39.637199, -34737.4992627115 6729794.636043065 39.646599, -34737.59825029026 6729794.759427231 39.660599, -34737.663038279745 6729794.842711219 39.669998, -34737.70081673795 6729794.892100148 39.675098, -34737.806955790846 6729795.035273891 39.690601, -34737.88818606909 6729795.149074885 39.702702, -34737.93996939564 6729795.223713583 39.708698, -34737.97947944363 6729795.281721494 39.714199, -34738.05416467646 6729795.394415414 39.723801, -34738.10135882604 6729795.467431204 39.728199, -34738.140601019375 6729795.529441328 39.7328, -34738.173172366805 6729795.581776782 39.737099, -34738.20707960718 6729795.637154424 39.741699, -34738.247980358545 6729795.7052598735 39.746498, -34738.32969229354 6729795.845692766 39.755901, -34738.385371293756 6729795.944866846 39.7626, -34738.4506064984 6729796.065055923 39.769901, -34738.51437243342 6729796.187024093 39.775799, -34738.54756245343 6729796.252409952 39.779099, -34738.59582401498 6729796.350093892 39.783798, -34738.642930723494 6729796.448279393 39.788502, -34738.66718740435 6729796.5001564715 39.790798, -34738.72233294393 6729796.621639281 39.796501, -34738.7416110395 6729796.665203295 39.7985, -34738.80697968975 6729796.818036518 39.805302, -34738.825039734715 6729796.861692422 39.807301, -34738.87505993177 6729796.986328664 39.812401, -34738.902663274785 6729797.057749577 39.815399, -34738.932812738465 6729797.137660624 39.818501, -34738.953841138165 6729797.195082718 39.8209, -34738.98646891967 6729797.28640156 39.8241, -34739.02961494087 6729797.412424595 39.828899, -34739.055373198586 6729797.49082756 39.8316, -34739.07774506672 6729797.561062281 39.834, -34739.09811306244 6729797.626783563 39.835999, -34739.12687933794 6729797.722885397 39.8391, -34739.14410061564 6729797.782275338 39.840801, -34739.162481045816 6729797.847714867 39.842602, -34739.19893130788 6729797.983095814 39.8452, -34739.21051734185 6729798.028168116 39.8456, -34739.24149533035 6729798.153984169 39.847599, -34739.26198694564 6729798.241471053 39.849201, -34739.28603851667 6729798.350538701 39.851299, -34739.30885819357 6729798.459893377 39.8535, -34739.34184959694 6729798.633028275 39.857498, -34739.370122012915 6729798.798281795 39.860001, -34739.38530421909 6729798.896463203 39.861698, -34739.39969321631 6729798.996685041 39.863499, -34739.41496775497 6729799.113608625 39.8652, -34739.427411099314 6729799.218589504 39.867001, -34739.43821184873 6729799.320599812 39.8685, -34739.44453461736 6729799.38684865 39.869301, -34739.450418273336 6729799.453460146 39.870201, -34739.459827463725 6729799.57397399 39.871799, -34739.46309772297 6729799.622921756 39.872398, -34739.46886057779 6729799.720543611 39.873699, -34739.475210802164 6729799.856894327 39.875, -34739.47731213528 6729799.917516124 39.875801, -34739.47949288029 6729799.99597647 39.876301, -34739.480508474284 6729800.051968489 39.876701, -34739.48162787175 6729800.168398342 39.8773, -34739.48123211495 6729800.284897914 39.877998, -34739.47931314481 6729800.397123465 39.8787, -34739.47233120201 6729800.597618666 39.878799, -34739.467184667825 6729800.697764494 39.878101, -34739.46000966104 6729800.810215693 39.877602, -34739.44506480626 6729800.994271447 39.877201, -34739.42647302081 6729801.17637966 39.8773, -34739.408201798215 6729801.327495807 39.876598, -34739.39887266478 6729801.396341872 39.875702, -34739.382387388265 6729801.510352571 39.874599, -34739.36430455593 6729801.624221988 39.873501, -34739.344841593644 6729801.737764569 39.872398, -34739.32378795871 6729801.85105772 39.8713, -34739.28584211611 6729802.037739609 39.870499, -34739.26921761606 6729802.1136708455 39.8699, -34739.24403743469 6729802.222555278 39.869202, -34739.21757654671 6729802.331127016 39.868599, -34739.19221935165 6729802.4298256505 39.868301, -34739.16042953136 6729802.547072723 39.868099, -34739.12912841397 6729802.656806611 39.865799, -34739.08544256003 6729802.801668026 39.862598, -34739.06827065267 6729802.85609498 39.861301, -34739.029331987025 6729802.975506421 39.8582, -34739.01039931539 6729803.031585054 39.856701, -34738.972949878545 6729803.139146333 39.853401, -34738.92242433794 6729803.2773421975 39.850399, -34738.89469651296 6729803.350239085 39.848202, -34738.86416828213 6729803.428419027 39.845798, -34738.82832112885 6729803.517397367 39.842899, -34738.77044893312 6729803.655518626 39.838001, -34738.73039647576 6729803.747535245 39.8344, -34738.716706402134 6729803.778209279 39.833099, -34738.65799904661 6729803.9067874765 39.829498, -34738.60944550682 6729804.009101546 39.826801, -34738.58327597135 6729804.06280715 39.824799, -34738.55312562373 6729804.123698049 39.822399, -34738.50703122374 6729804.214557979 39.818501, -34738.46841477719 6729804.2886744095 39.814701, -34738.409507217584 6729804.398500553 39.807598, -34738.353531536995 6729804.499430809 39.801498, -34738.29630196083 6729804.599744641 39.795399, -34738.23774342181 6729804.699128986 39.789299, -34738.1778366497 6729804.797882225 39.783199, -34738.10669568798 6729804.911525165 39.776798, -34738.072978842654 6729804.964036932 39.7738, -34738.015396100935 6729805.051722508 39.768002, -34737.95686489274 6729805.138722945 39.762299, -34737.85387424345 6729805.286712779 39.752899, -34737.897974749794 6729805.278061323 39.750599, -34738.05555593944 6729805.215847965 39.745602, -34738.08560406184 6729805.203392498 39.744598, -34738.19800170348 6729805.155068493 39.741001, -34738.30940021458 6729805.104435149 39.737301, -34738.364684619475 6729805.078177033 39.7355, -34738.51652566891 6729805.002747351 39.7304, -34738.66604808625 6729804.922974832 39.725201, -34738.74397881131 6729804.879246364 39.7225, -34738.79694049759 6729804.848646037 39.7206, -34738.830162600265 6729804.829028072 39.719501, -34738.9540101958 6729804.753550455 39.715, -34739.100372853456 6729804.658780544 39.709599, -34739.158578075 6729804.61929361 39.7075, -34739.239379539504 6729804.562938067 39.704399, -34739.258886009804 6729804.549013505 39.703701, -34739.35755975195 6729804.476770777 39.699902, -34739.376166568254 6729804.462760796 39.6992, -34739.51007331419 6729804.358797582 39.693901, -34739.55053241155 6729804.326144675 39.692299, -34739.60815617908 6729804.278743373 39.689999, -34739.64099928748 6729804.251133899 39.688702, -34739.73716717609 6729804.167784025 39.6847, -34739.76873836783 6729804.139754893 39.683399, -34739.89328649209 6729804.024759907 39.6782, -34739.91712742078 6729804.001966196 39.6772, -34740.01408337394 6729803.906701938 39.673, -34740.09020534961 6729803.828870571 39.669601, -34740.13190526888 6729803.78484734 39.667702, -34740.174016422476 6729803.739655155 39.665798, -34740.24619725102 6729803.659745563 39.662498, -34740.35695958696 6729803.531404698 39.657299, -34740.41417720739 6729803.462012491 39.654598, -34740.463973043836 6729803.399997036 39.652199, -34740.56470221223 6729803.269023006 39.647202, -34740.666282420745 6729803.128757041 39.641998, -34740.69318803528 6729803.090129997 39.640598, -34740.707020503934 6729803.069942765 39.639801, -34740.7616972418 6729802.988737181 39.636902, -34740.841200182214 6729802.865182896 39.632599, -34740.85322680243 6729802.846039901 39.631901, -34740.86611625587 6729802.82516299 39.631199, -34740.9051440726 6729802.760850951 39.629002, -34740.9405605807 6729802.700745539 39.6269, -34740.966887781746 6729802.655215624 39.625401, -34741.02378661209 6729802.553058554 39.622002, -34741.08378404996 6729802.44010822 39.618301, -34741.102532860474 6729802.403653944 39.617199, -34741.15079941123 6729802.306650681 39.614101, -34741.17729877855 6729802.251565218 39.6124, -34741.19183164288 6729802.220464779 39.611401, -34741.24762150587 6729802.097359338 39.607601, -34741.29078893864 6729801.996669071 39.604599, -34741.31359785958 6729801.941144882 39.603001, -34741.355577971786 6729801.834701578 39.5998, -34741.37509761017 6729801.78321107 39.5984, -34741.404022704926 6729801.703873081 39.5961, -34741.42171529378 6729801.6536253 39.5947, -34741.4320229647 6729801.623547945 39.5938, -34741.460642752354 6729801.537635259 39.5914, -34741.47758470918 6729801.484597306 39.59, -34741.48429965007 6729801.4629554525 39.589401, -34741.49943635322 6729801.413176597 39.588001, -34741.53135432815 6729801.303294748 39.585098, -34741.54011356877 6729801.271462053 39.584300999999996, -34741.57534870715 6729801.136403139 39.5807, -34741.59234770294 6729801.066247181 39.578899, -34741.61383190227 6729800.971324307 39.5765, -34741.64357656287 6729800.826899262 39.573002, -34741.64767042303 6729800.805316479 39.572399, -34741.676712654415 6729800.638869364 39.568401, -34741.68491106888 6729800.585634913 39.5672, -34741.70104292687 6729800.471084216 39.564499, -34741.71640408854 6729800.342965592 39.5616)</t>
  </si>
  <si>
    <t>POLYGON Z ((-34741.72059005441 6729800.302760261 39.560699, -34741.72725862439 6729800.233271672 39.5592, -34741.73535294505 6729800.133898415 39.556999, -34741.73783538246 6729800.099074587 39.556198, -34741.7454082832 6729799.964706124 39.553398, -34741.749253306654 6729799.854566607 39.551102, -34741.75055433239 6729799.795263619 39.5499, -34741.75091358414 6729799.626388878 39.546501, -34741.74649465957 6729799.456877084 39.543301, -34741.74199989473 6729799.365215078 39.541599, -34741.73722221935 6729799.287627808 39.5401, -34741.733945883345 6729799.243112125 39.539299, -34741.728729643044 6729799.179077715 39.5382, -34741.72335952602 6729799.121177089 39.537201, -34741.70426913956 6729798.950221838 39.534199, -34741.69466317899 6729798.878032039 39.533001, -34741.68066374981 6729798.782376214 39.531399, -34741.656070961035 6729798.636297161 39.529099, -34741.652297802735 6729798.615911536 39.528801, -34741.61918401322 6729798.449611291 39.526299, -34741.60764207365 6729798.396381774 39.525501, -34741.581436083885 6729798.284400411 39.523899, -34741.5493421969 6729798.158682587 39.522202, -34741.538861518144 6729798.120258247 39.521702, -34741.53053495113 6729798.090183399 39.521301, -34741.51653140306 6729798.040759195 39.520599, -34741.491724890424 6729797.957507162 39.519501, -34741.48134028737 6729797.923521251 39.5191, -34741.44018248725 6729797.796673125 39.517601, -34741.403695753776 6729797.691403789 39.5163, -34741.38392690616 6729797.636713729 39.515701, -34741.32307175605 6729797.478554927 39.514, -34741.2577362454 6729797.322093812 39.512501, -34741.22035350057 6729797.237593246 39.5117, -34741.19483014045 6729797.181973262 39.5112, -34741.11478453898 6729797.016715699 39.5098, -34741.05867505621 6729796.9079348985 39.508999, -34741.03588698292 6729796.865359761 39.508701, -34741.000340540544 6729796.80036541 39.508202, -34740.95326105424 6729796.717289232 39.507702, -34740.87708906364 6729796.58894842 39.507, -34740.86648452643 6729796.571659691 39.506901, -34740.785007876926 6729796.442931739 39.506302, -34740.74520376674 6729796.382680066 39.506001, -34740.68073909753 6729796.288146179 39.505699, -34740.60504975496 6729796.182005728 39.505402, -34740.58185387007 6729796.150470304 39.505299, -34740.479541910696 6729796.016107467 39.505001, -34740.45680525538 6729795.987233806 39.505001, -34740.37969171954 6729795.892244437 39.505001, -34740.36481240764 6729795.874364756 39.505001, -34740.30062408396 6729795.798785293 39.505001, -34740.26279605832 6729795.755435964 39.505001, -34740.24901494244 6729795.7398726875 39.505001, -34740.21110458439 6729795.697422291 39.5051, -34740.1490122535 6729795.6297931755 39.505199, -34740.031598958885 6729795.507444854 39.5056, -34739.96579938824 6729795.441792726 39.505901, -34739.9218679982 6729795.399090007 39.5061, -34739.787694819155 6729795.273896305 39.506802, -34739.659896660945 6729795.161574199 39.507599, -34739.602865453344 6729795.113442486 39.507999, -34739.52940696722 6729795.053335479 39.508499, -34739.507925884565 6729795.036056758 39.508701, -34739.41158830142 6729794.960760813 39.509499, -34739.259632824454 6729794.848239529 39.510899, -34739.2141434208 6729794.815971615 39.511299, -34739.17703014426 6729794.790111114 39.5117, -34739.120919401874 6729794.751734741 39.512299, -34739.01101039769 6729794.679424991 39.513401, -34738.97903287667 6729794.659072835 39.513802, -34738.834573175525 6729794.570301706 39.515499, -34738.80246867193 6729794.551346982 39.5159, -34738.68771515461 6729794.4857445685 39.5173, -34738.588799775694 6729794.43196278 39.5186, -34738.53845709213 6729794.405398236 39.519199, -34738.48016146885 6729794.375481562 39.52, -34738.3924897149 6729794.331999733 39.521198, -34738.370395440375 6729794.321416043 39.521599, -34738.23390163877 6729794.257849202 39.523499, -34738.14764287183 6729794.2198338825 39.524799, -34738.07840954757 6729794.190528953 39.525902, -34738.01948427467 6729794.166398324 39.526798, -34737.9215925656 6729794.127821153 39.5284, -34737.886070167064 6729794.114293353 39.528999, -34737.77105527627 6729794.072438681 39.530899, -34737.65523205837 6729794.032822487 39.532799, -34737.608677659184 6729794.01768097 39.533699, -34737.45074103691 6729793.969375149 39.536499, -34737.421299429145 6729793.960934621 39.536999, -34737.35589470237 6729793.942656553 39.5382, -34737.290806076955 6729793.925314921 39.539398, -34737.184573279344 6729793.898664379 39.541401, -34737.13035133504 6729793.885841155 39.5424, -34736.96828526992 6729793.850753171 39.545601, -34736.94554214273 6729793.846154192 39.546001, -34736.80600812158 6729793.820180226 39.548801, -34736.727522917325 6729793.80724784 39.5504, -34736.74587409175 6729793.824642768 39.552502, -34736.79143660946 6729793.868197902 39.557598, -34736.835929061985 6729793.911350855 39.562698, -34736.91756616032 6729793.992151296 39.572201, -34736.965595363756 6729794.04066513 39.577801, -34737.0485106312 6729794.126215702 39.5877, -34737.11727152683 6729794.199090669 39.596401, -34737.16430269764 6729794.2497258885 39.6021, -34737.212813925464 6729794.302917954 39.608299, -34737.290721501224 6729794.390326411 39.6185, -34737.33721390716 6729794.443534002 39.624699, -34737.37562914321 6729794.48814775 39.629902, -34737.43106905313 6729794.553653771 39.637199, -34737.4992627115 6729794.636043065 39.646599, -34737.59825029026 6729794.759427231 39.660599, -34737.663038279745 6729794.842711219 39.669998, -34737.70081673795 6729794.892100148 39.675098, -34737.806955790846 6729795.035273891 39.690601, -34737.88818606909 6729795.149074885 39.702702, -34737.93996939564 6729795.223713583 39.708698, -34737.97947944363 6729795.281721494 39.714199, -34738.05416467646 6729795.394415414 39.723801, -34738.10135882604 6729795.467431204 39.728199, -34738.140601019375 6729795.529441328 39.7328, -34738.173172366805 6729795.581776782 39.737099, -34738.20707960718 6729795.637154424 39.741699, -34738.247980358545 6729795.7052598735 39.746498, -34738.32969229354 6729795.845692766 39.755901, -34738.385371293756 6729795.944866846 39.7626, -34738.4506064984 6729796.065055923 39.769901, -34738.51437243342 6729796.187024093 39.775799, -34738.54756245343 6729796.252409952 39.779099, -34738.59582401498 6729796.350093892 39.783798, -34738.642930723494 6729796.448279393 39.788502, -34738.66718740435 6729796.5001564715 39.790798, -34738.72233294393 6729796.621639281 39.796501, -34738.7416110395 6729796.665203295 39.7985, -34738.80697968975 6729796.818036518 39.805302, -34738.825039734715 6729796.861692422 39.807301, -34738.87505993177 6729796.986328664 39.812401, -34738.902663274785 6729797.057749577 39.815399, -34738.932812738465 6729797.137660624 39.818501, -34738.953841138165 6729797.195082718 39.8209, -34738.98646891967 6729797.28640156 39.8241, -34739.02961494087 6729797.412424595 39.828899, -34739.055373198586 6729797.49082756 39.8316, -34739.07774506672 6729797.561062281 39.834, -34739.09811306244 6729797.626783563 39.835999, -34739.12687933794 6729797.722885397 39.8391, -34739.14410061564 6729797.782275338 39.840801, -34739.162481045816 6729797.847714867 39.842602, -34739.19893130788 6729797.983095814 39.8452, -34739.21051734185 6729798.028168116 39.8456, -34739.24149533035 6729798.153984169 39.847599, -34739.26198694564 6729798.241471053 39.849201, -34739.28603851667 6729798.350538701 39.851299, -34739.30885819357 6729798.459893377 39.8535, -34739.34184959694 6729798.633028275 39.857498, -34739.370122012915 6729798.798281795 39.860001, -34739.38530421909 6729798.896463203 39.861698, -34739.39969321631 6729798.996685041 39.863499, -34739.41496775497 6729799.113608625 39.8652, -34739.427411099314 6729799.218589504 39.867001, -34739.43821184873 6729799.320599812 39.8685, -34739.44453461736 6729799.38684865 39.869301, -34739.450418273336 6729799.453460146 39.870201, -34739.459827463725 6729799.57397399 39.871799, -34739.46309772297 6729799.622921756 39.872398, -34739.46886057779 6729799.720543611 39.873699, -34739.475210802164 6729799.856894327 39.875, -34739.47731213528 6729799.917516124 39.875801, -34739.47949288029 6729799.99597647 39.876301, -34739.480508474284 6729800.051968489 39.876701, -34739.48162787175 6729800.168398342 39.8773, -34739.48123211495 6729800.284897914 39.877998, -34739.47931314481 6729800.397123465 39.8787, -34739.47233120201 6729800.597618666 39.878799, -34739.467184667825 6729800.697764494 39.878101, -34739.46000966104 6729800.810215693 39.877602, -34739.44506480626 6729800.994271447 39.877201, -34739.42647302081 6729801.17637966 39.8773, -34739.408201798215 6729801.327495807 39.876598, -34739.39887266478 6729801.396341872 39.875702, -34739.382387388265 6729801.510352571 39.874599, -34739.36430455593 6729801.624221988 39.873501, -34739.344841593644 6729801.737764569 39.872398, -34739.32378795871 6729801.85105772 39.8713, -34739.28584211611 6729802.037739609 39.870499, -34739.26921761606 6729802.1136708455 39.8699, -34739.24403743469 6729802.222555278 39.869202, -34739.21757654671 6729802.331127016 39.868599, -34739.19221935165 6729802.4298256505 39.868301, -34739.16042953136 6729802.547072723 39.868099, -34739.12912841397 6729802.656806611 39.865799, -34739.08544256003 6729802.801668026 39.862598, -34739.06827065267 6729802.85609498 39.861301, -34739.029331987025 6729802.975506421 39.8582, -34739.01039931539 6729803.031585054 39.856701, -34738.972949878545 6729803.139146333 39.853401, -34738.92242433794 6729803.2773421975 39.850399, -34738.89469651296 6729803.350239085 39.848202, -34738.86416828213 6729803.428419027 39.845798, -34738.82832112885 6729803.517397367 39.842899, -34738.77044893312 6729803.655518626 39.838001, -34738.73039647576 6729803.747535245 39.8344, -34738.716706402134 6729803.778209279 39.833099, -34738.65799904661 6729803.9067874765 39.829498, -34738.60944550682 6729804.009101546 39.826801, -34738.58327597135 6729804.06280715 39.824799, -34738.55312562373 6729804.123698049 39.822399, -34738.50703122374 6729804.214557979 39.818501, -34738.46841477719 6729804.2886744095 39.814701, -34738.409507217584 6729804.398500553 39.807598, -34738.353531536995 6729804.499430809 39.801498, -34738.29630196083 6729804.599744641 39.795399, -34738.23774342181 6729804.699128986 39.789299, -34738.1778366497 6729804.797882225 39.783199, -34738.10669568798 6729804.911525165 39.776798, -34738.072978842654 6729804.964036932 39.7738, -34738.015396100935 6729805.051722508 39.768002, -34737.95686489274 6729805.138722945 39.762299, -34737.85387424345 6729805.286712779 39.752899, -34737.897974749794 6729805.278061323 39.750599, -34738.05555593944 6729805.215847965 39.745602, -34738.08560406184 6729805.203392498 39.744598, -34738.19800170348 6729805.155068493 39.741001, -34738.30940021458 6729805.104435149 39.737301, -34738.364684619475 6729805.078177033 39.7355, -34738.51652566891 6729805.002747351 39.7304, -34738.66604808625 6729804.922974832 39.725201, -34738.74397881131 6729804.879246364 39.7225, -34738.79694049759 6729804.848646037 39.7206, -34738.830162600265 6729804.829028072 39.719501, -34738.9540101958 6729804.753550455 39.715, -34739.100372853456 6729804.658780544 39.709599, -34739.158578075 6729804.61929361 39.7075, -34739.239379539504 6729804.562938067 39.704399, -34739.258886009804 6729804.549013505 39.703701, -34739.35755975195 6729804.476770777 39.699902, -34739.376166568254 6729804.462760796 39.6992, -34739.51007331419 6729804.358797582 39.693901, -34739.55053241155 6729804.326144675 39.692299, -34739.60815617908 6729804.278743373 39.689999, -34739.64099928748 6729804.251133899 39.688702, -34739.73716717609 6729804.167784025 39.6847, -34739.76873836783 6729804.139754893 39.683399, -34739.89328649209 6729804.024759907 39.6782, -34739.91712742078 6729804.001966196 39.6772, -34740.01408337394 6729803.906701938 39.673, -34740.09020534961 6729803.828870571 39.669601, -34740.13190526888 6729803.78484734 39.667702, -34740.174016422476 6729803.739655155 39.665798, -34740.24619725102 6729803.659745563 39.662498, -34740.35695958696 6729803.531404698 39.657299, -34740.41417720739 6729803.462012491 39.654598, -34740.463973043836 6729803.399997036 39.652199, -34740.56470221223 6729803.269023006 39.647202, -34740.666282420745 6729803.128757041 39.641998, -34740.69318803528 6729803.090129997 39.640598, -34740.707020503934 6729803.069942765 39.639801, -34740.7616972418 6729802.988737181 39.636902, -34740.841200182214 6729802.865182896 39.632599, -34740.85322680243 6729802.846039901 39.631901, -34740.86611625587 6729802.82516299 39.631199, -34740.9051440726 6729802.760850951 39.629002, -34740.9405605807 6729802.700745539 39.6269, -34740.966887781746 6729802.655215624 39.625401, -34741.02378661209 6729802.553058554 39.622002, -34741.08378404996 6729802.44010822 39.618301, -34741.102532860474 6729802.403653944 39.617199, -34741.15079941123 6729802.306650681 39.614101, -34741.17729877855 6729802.251565218 39.6124, -34741.19183164288 6729802.220464779 39.611401, -34741.24762150587 6729802.097359338 39.607601, -34741.29078893864 6729801.996669071 39.604599, -34741.31359785958 6729801.941144882 39.603001, -34741.355577971786 6729801.834701578 39.5998, -34741.37509761017 6729801.78321107 39.5984, -34741.404022704926 6729801.703873081 39.5961, -34741.42171529378 6729801.6536253 39.5947, -34741.4320229647 6729801.623547945 39.5938, -34741.460642752354 6729801.537635259 39.5914, -34741.47758470918 6729801.484597306 39.59, -34741.48429965007 6729801.4629554525 39.589401, -34741.49943635322 6729801.413176597 39.588001, -34741.53135432815 6729801.303294748 39.585098, -34741.54011356877 6729801.271462053 39.584300999999996, -34741.57534870715 6729801.136403139 39.5807, -34741.59234770294 6729801.066247181 39.578899, -34741.61383190227 6729800.971324307 39.5765, -34741.64357656287 6729800.826899262 39.573002, -34741.64767042303 6729800.805316479 39.572399, -34741.676712654415 6729800.638869364 39.568401, -34741.68491106888 6729800.585634913 39.5672, -34741.70104292687 6729800.471084216 39.564499, -34741.71640408854 6729800.342965592 39.5616, -34741.72059005441 6729800.302760261 39.560699))</t>
  </si>
  <si>
    <t>['FV540 S1D199 m129-184']</t>
  </si>
  <si>
    <t>LINESTRING Z (-34793.09510372847 6729809.104650061 41.2673, -34793.21998490754 6729813.191178088 41.2673, -34791.273586864234 6729813.250605696 41.2673, -34784.788039772306 6729813.564581694 41.2673, -34779.54842127662 6729814.0431295 41.2673, -34776.90094865335 6729814.859911663 41.2673, -34772.52448161703 6729816.93091968 41.2673, -34766.49602022837 6729820.515102781 41.2673, -34760.513476990745 6729823.928943203 41.2673, -34752.56649180455 6729830.239525516 41.2673, -34742.34455596015 6729837.664284749 41.2673, -34737.3475511116 6729833.427639128 41.2673, -34741.31065858342 6729829.8699322995 41.2673, -34745.35853465111 6729826.933967678 41.2673, -34748.903289029724 6729824.849534401 41.2673, -34754.16052234231 6729822.118915746 41.2673, -34759.28545897256 6729819.801309484 41.2673, -34765.262271487154 6729817.467252365 41.2673, -34771.877989977715 6729814.861055662 41.2673, -34781.17705317889 6729811.839298494 41.2673, -34788.68246352242 6729809.834195416 41.2673)</t>
  </si>
  <si>
    <t>POLYGON Z ((-34793.09510372847 6729809.104650061 41.2673, -34793.21998490754 6729813.191178088 41.2673, -34791.273586864234 6729813.250605696 41.2673, -34784.788039772306 6729813.564581694 41.2673, -34779.54842127662 6729814.0431295 41.2673, -34776.90094865335 6729814.859911663 41.2673, -34772.52448161703 6729816.93091968 41.2673, -34766.49602022837 6729820.515102781 41.2673, -34760.513476990745 6729823.928943203 41.2673, -34752.56649180455 6729830.239525516 41.2673, -34742.34455596015 6729837.664284749 41.2673, -34737.3475511116 6729833.427639128 41.2673, -34741.31065858342 6729829.8699322995 41.2673, -34745.35853465111 6729826.933967678 41.2673, -34748.903289029724 6729824.849534401 41.2673, -34754.16052234231 6729822.118915746 41.2673, -34759.28545897256 6729819.801309484 41.2673, -34765.262271487154 6729817.467252365 41.2673, -34771.877989977715 6729814.861055662 41.2673, -34781.17705317889 6729811.839298494 41.2673, -34788.68246352242 6729809.834195416 41.2673, -34793.09510372847 6729809.104650061 41.2673))</t>
  </si>
  <si>
    <t>['FV540 S1D1 m3897 KD1 m24-55']</t>
  </si>
  <si>
    <t>LINESTRING Z (-34764.62941935717 6729782.9343057955 38.724998, -34764.59548390214 6729782.934220255 38.728802, -34764.47194292059 6729782.933781902 38.742699, -34763.90494004288 6729782.929994329 38.806301, -34763.80409982358 6729782.929119156 38.8176, -34763.66313179722 6729782.92758827 38.8335, -34763.56644268113 6729782.926487967 38.834, -34762.95314996573 6729782.917855437 38.837299, -34762.87179719983 6729782.916448564 38.8377, -34762.8008055524 6729782.915182888 38.8381, -34762.53737891023 6729782.910193513 38.8395, -34761.924253105535 6729782.8964396 38.8428, -34761.84295513702 6729782.894434439 38.843201, -34761.79562765185 6729782.89322104 38.843399, -34761.508593414794 6729782.885362424 38.845001, -34760.789600890945 6729782.862921492 38.848801, -34760.50057143648 6729782.852665322 38.850399, -34760.47998613096 6729782.851987555 38.850498, -34759.78282081487 6729782.824395717 38.854698, -34759.45176605927 6729782.809986326 38.856998, -34759.238940021605 6729782.800164836 38.858601, -34759.07346753322 6729782.792360848 38.859901, -34758.775378498016 6729782.777650047 38.8624, -34758.42393201939 6729782.759360636 38.865601, -34758.04571950284 6729782.738618734 38.869202, -34757.766291268985 6729782.722493764 38.872101, -34757.63686070277 6729782.714869548 38.873501, -34757.396480405005 6729782.700204836 38.876098999999996, -34757.260872329236 6729782.691815398 38.877602, -34756.755646681064 6729782.6590376245 38.883701, -34756.36959935143 6729782.632543206 38.888599, -34755.74246939807 6729782.586988832 38.897301, -34755.343311448814 6729782.556272057 38.903198, -34754.72784884658 6729782.5064501995 38.912899, -34754.31769816612 6729782.471502597 38.919701, -34753.71090251196 6729782.417237151 38.9305, -34753.36755803181 6729782.3852879945 38.936798, -34753.2927727378 6729782.37813431 38.938301, -34753.16377213225 6729782.365815683 38.940701, -34753.08899961575 6729782.3585664835 38.9422, -34752.90253073326 6729782.340277346 38.9459, -34752.78164585028 6729782.328400875 38.948299, -34752.69162821339 6729782.31935151 38.9501, -34752.57485802332 6729782.307647445 38.952499, -34752.51040088467 6729782.301038847 38.9538, -34752.36910441809 6729782.286587871 38.956699, -34752.26872368925 6729782.276286193 38.958801, -34752.20118762634 6729782.269193157 38.960201, -34752.151001153514 6729782.263994329 38.9613, -34752.11419177696 6729782.2601194 38.962101, -34751.81744204194 6729782.228608474 38.968498, -34751.745828151936 6729782.220940516 38.9701, -34751.52893135871 6729782.197248847 38.974899, -34751.455240077805 6729782.189191197 38.976601, -34751.386741796276 6729782.181607158 38.9781, -34751.32532083755 6729782.174773045 38.9795, -34751.245564346435 6729782.1658567265 38.9813, -34750.960270991316 6729782.133481419 38.987999, -34750.93166191806 6729782.130257836 38.988701, -34750.8887025679 6729782.125317049 38.9897, -34750.665863668546 6729782.0994666265 38.994999, -34750.62191456382 6729782.09433548 38.996101, -34750.43897511123 6729782.072744726 39.0005, -34750.30716893461 6729782.056946128 39.003799, -34750.223381447606 6729782.046954575 39.005901, -34749.97615340166 6729782.016860027 39.0121, -34749.896475339774 6729782.007043412 39.014198, -34749.658465977176 6729781.977489022 39.020302, -34749.62072707107 6729781.972722201 39.021301, -34749.501245672116 6729781.957651558 39.024502, -34749.32462592039 6729781.935229555 39.029099, -34749.20218186744 6729781.919482681 39.032398, -34748.985800706665 6729781.8913048785 39.038101, -34748.90726907505 6729781.881089671 39.040199, -34748.64098328515 6729781.845724481 39.047199, -34748.54715330026 6729781.833201642 39.049702, -34748.515520191635 6729781.82889433 39.050499, -34748.44517671829 6729781.819430077 39.052399, -34748.262638035114 6729781.794552306 39.057201, -34748.18206260807 6729781.783547607 39.059399, -34748.00672133069 6729781.759230336 39.063999, -34747.93839786167 6729781.749748648 39.0658, -34747.57973780541 6729781.699173818 39.075298, -34747.48906517413 6729781.686235123 39.077702, -34747.3648084593 6729781.668307851 39.081001, -34747.21709782968 6729781.646922105 39.0849, -34747.1825150284 6729781.641841038 39.085899, -34747.04605309444 6729781.6218914455 39.0895, -34746.962573897676 6729781.6096115885 39.091702, -34746.85257382237 6729781.593291217 39.094601, -34746.82007819321 6729781.58850405 39.095501, -34746.49947185069 6729781.540303589 39.104, -34746.44860600296 6729781.532625283 39.105301, -34746.4109624814 6729781.526861018 39.1063, -34746.29494375293 6729781.509184658 39.109402, -34746.15361411567 6729781.487376149 39.113201, -34745.95321900782 6729781.4562298525 39.1185, -34745.81390810129 6729781.434406817 39.1222, -34745.78550777922 6729781.42999272 39.122898, -34745.71025324182 6729781.418065294 39.124901, -34745.67470631574 6729781.412492045 39.1259, -34745.63103408564 6729781.405470581 39.126999, -34745.469424842275 6729781.379690593 39.131302, -34745.28857489326 6729781.350637587 39.136101, -34745.15042889584 6729781.328214195 39.139801, -34745.12909259414 6729781.324750248 39.1404, -34744.99502948555 6729781.302802527 39.143902, -34744.96050257061 6729781.297122273 39.144901, -34744.824367313995 6729781.274683618 39.148499, -34744.79391831765 6729781.2695772825 39.1493, -34744.60106583976 6729781.237410598 39.1544, -34744.52497640962 6729781.224701675 39.156399, -34744.49958890956 6729781.220361074 39.157101, -34744.310841702856 6729781.188469669 39.162102, -34744.27534342243 6729781.182398284 39.163101, -34744.238843334024 6729781.176235153 39.164101, -34744.16378324723 6729781.163317337 39.166, -34744.114097699174 6729781.154837647 39.1674, -34744.038047949434 6729781.141728475 39.169399, -34743.891003611614 6729781.116378013 39.173302, -34743.86255548347 6729781.111353211 39.174099, -34743.78958266019 6729781.098728298 39.175999, -34743.606105541694 6729781.066512814 39.180901, -34743.50678290904 6729781.049057293 39.183498, -34743.392315784935 6729781.028702913 39.1866, -34743.30212841276 6729781.012687387 39.188999, -34743.27982989221 6729781.008732437 39.189602, -34743.10048158537 6729780.976491225 39.194401, -34743.04885412054 6729780.967231373 39.195801, -34742.83119937498 6729780.927655401 39.201599, -34742.76740736945 6729780.9159730775 39.2033, -34742.71172970522 6729780.905836668 39.2047, -34742.65200547152 6729780.894828048 39.206299, -34742.37073911971 6729780.84267779 39.213799, -34742.278548722155 6729780.825471619 39.216301, -34742.09169035358 6729780.790530208 39.221401, -34742.01772961498 6729780.776606182 39.2234, -34741.902782221674 6729780.75489746 39.226501, -34741.86881484545 6729780.748562411 39.227402, -34741.75189818209 6729780.7263721805 39.230598, -34741.41729049524 6729780.662791727 39.239601, -34741.374326330144 6729780.654626488 39.240799, -34741.302465091576 6729780.640894757 39.242699, -34741.24149638519 6729780.629166841 39.2444, -34741.147656905116 6729780.611205322 39.246899, -34741.0927261468 6729780.600633725 39.248402, -34740.93695158849 6729780.570553622 39.252602, -34740.89102958108 6729780.561714602 39.253799, -34740.72833262896 6729780.530193726 39.258202, -34740.608593506855 6729780.506940243 39.261501, -34740.415934385266 6729780.46935245 39.266701, -34740.38902487815 6729780.464067706 39.267399, -34740.21636076935 6729780.430325611 39.272099, -34740.09466795216 6729780.40638758 39.275398, -34739.96991722868 6729780.381768622 39.278801, -34739.93301845621 6729780.374460054 39.279701, -34739.702625487 6729780.328784195 39.2859, -34739.63080908195 6729780.314551965 39.2878, -34739.600936830044 6729780.308591984 39.288601, -34739.55702059367 6729780.299835954 39.289799, -34739.49223686068 6729780.286852157 39.2915, -34739.27286150085 6729780.24299114 39.297199, -34739.19018534478 6729780.226353201 39.299301, -34739.09741677041 6729780.2076850245 39.301701, -34739.03966355382 6729780.196050173 39.3032, -34738.87224824133 6729780.162183491 39.3074, -34738.67686204694 6729780.122535001 39.312199, -34738.593210528954 6729780.105505575 39.314301, -34738.5254872503 6729780.091648234 39.316002, -34738.49354684679 6729780.0851976825 39.3167, -34738.166907377425 6729780.018215546 39.3246, -34738.11609991256 6729780.007722459 39.325802, -34737.98758923472 6729779.981246334 39.328899, -34737.712810747675 6729779.924251472 39.335201, -34737.65608269558 6729779.91240937 39.336498, -34737.36344528943 6729779.851361573 39.343201, -34737.27786109364 6729779.833451118 39.3451, -34737.14950800012 6729779.80638712 39.3479, -34737.10572733008 6729779.797239625 39.3489, -34736.99723592994 6729779.774311276 39.3512, -34736.8470533042 6729779.742526515 39.3545, -34736.725727729616 6729779.716811196 39.356998, -34736.6441224789 6729779.6994666 39.358799, -34736.38460849889 6729779.644071241 39.364201, -34736.142996000126 6729779.59223113 39.369099, -34736.11119107134 6729779.585390115 39.369701, -34735.98398050363 6729779.557926164 39.3722, -34735.875637904974 6729779.534505834 39.374401, -34735.6918448162 6729779.494710519 39.377998, -34735.64414923871 6729779.48429799 39.378899, -34735.55369381991 6729779.464633041 39.3806, -34735.48812411481 6729779.450366616 39.381901, -34735.15142757038 6729779.376624688 39.3881, -34735.12664925377 6729779.371131253 39.388599, -34734.87242853816 6729779.315114808 39.3932, -34734.781116117956 6729779.294865757 39.394798, -34734.701647051144 6729779.277312935 39.396198, -34734.6609777204 6729779.268251983 39.3969, -34734.49317627563 6729779.230925494 39.399799, -34734.42171415314 6729779.215013496 39.401001, -34734.252047473565 6729779.177114303 39.4039, -34734.17664390616 6729779.160238006 39.405102, -34734.1250374167 6729779.148560811 39.405998, -34733.96043216658 6729779.111527056 39.408699, -34733.83637986111 6729779.083648342 39.410599, -34733.70948707475 6729779.054903139 39.412601, -34733.624233712326 6729779.035612918 39.414001, -34733.38231566665 6729778.980521822 39.417702, -34733.30793229444 6729778.963536519 39.4188, -34733.20680648903 6729778.940476016 39.4203, -34733.13351066224 6729778.923691043 39.421398, -34732.98179538245 6729778.88884607 39.423599, -34732.96107650525 6729778.884128313 39.423901, -34732.70443353732 6729778.824867439 39.427502, -34732.51624810998 6729778.781344098 39.43, -34732.34583286627 6729778.741764849 39.432301, -34732.221090474166 6729778.712612289 39.433899, -34732.14289098524 6729778.694372006 39.435001, -34732.065680343425 6729778.676320996 39.435902, -34731.69053001248 6729778.58807776 39.440601, -34731.64398692583 6729778.57716748 39.441101, -34731.6093871654 6729778.568961571 39.441502, -34731.413404362625 6729778.52260898 39.443802, -34731.15327520354 6729778.460712276 39.446701, -34731.073144127615 6729778.441590052 39.447601, -34731.020711802295 6729778.429032477 39.4482, -34730.98612109898 6729778.420727684 39.448502, -34730.67567350785 6729778.346264568 39.451801, -34730.53928484232 6729778.313429666 39.453098, -34730.47011258372 6729778.296720208 39.4538, -34730.33364360675 6729778.263673493 39.455101, -34730.19531339046 6729778.23005444 39.456402, -34730.16477306944 6729778.222624214 39.456699, -34729.98299698718 6729778.178379563 39.458302, -34729.833743639174 6729778.1419471335 39.459599, -34729.70539363159 6729778.110450786 39.460701, -34729.626386877964 6729778.091127363 39.4613, -34729.5957518284 6729778.083587746 39.461601, -34729.37364151806 6729778.028899747 39.463299, -34729.203851506696 6729777.986859786 39.4646, -34729.177257782896 6729777.980293616 39.464802, -34729.125950503745 6729777.967537928 39.465199, -34729.01239860454 6729777.939412309 39.466, -34728.97695471207 6729777.930525784 39.466202, -34728.910776887904 6729777.914090578 39.466702, -34728.697689903434 6729777.86093204 39.468102, -34728.59509672958 6729777.835220183 39.4687, -34728.48560951371 6729777.807768998 39.469398, -34728.36038444517 6729777.776254693 39.4701, -34728.23220241838 6729777.743968989 39.470901, -34728.19085605291 6729777.733535677 39.4711, -34727.963070408325 6729777.675909623 39.472301, -34727.828118601115 6729777.641693526 39.473, -34727.494079434546 6729777.5565105975 39.474499, -34727.303955360316 6729777.507772744 39.475201, -34727.205458400305 6729777.482435051 39.475601, -34727.16314175888 6729777.471609711 39.4757, -34727.07065112481 6729777.447729607 39.476101, -34726.81070111494 6729777.380610925 39.476898, -34726.391518612625 6729777.271615497 39.477901, -34726.22124699177 6729777.227114177 39.478298, -34725.62743421772 6729777.070698241 39.479, -34725.30107733607 6729776.984102818 39.479099, -34725.23825447203 6729776.967370578 39.479099, -34725.046641736175 6729776.916180859 39.479099, -34724.340684293886 6729776.726127935 39.478298, -34724.267073772615 6729776.706191852 39.478199, -34724.307836311404 6729776.832902025 39.473499, -34724.602608201676 6729777.605321498 39.445301, -34724.75529809459 6729778.005562205 39.4277, -34724.81068186555 6729778.150836465 39.422001, -34724.876725833165 6729778.323777601 39.4142, -34724.89183670806 6729778.363333047 39.412601, -34724.91660331376 6729778.428348267 39.409599, -34724.97784590791 6729778.588864095 39.403099, -34725.12404043332 6729778.972092714 39.3853, -34725.16733197542 6729779.085541204 39.3806, -34725.28852637636 6729779.403027181 39.3652, -34725.625947190216 6729779.500707833 39.3619, -34725.79667963297 6729779.550085873 39.360298, -34726.21767996426 6729779.670024722 39.355999, -34726.478752624476 6729779.743591519 39.353401, -34726.57173508464 6729779.769733494 39.352501, -34726.61426578974 6729779.7815866405 39.352001, -34726.71325260191 6729779.809284729 39.351002, -34726.90427985834 6729779.862435209 39.349098, -34727.23503557884 6729779.953765444 39.345699, -34727.22919339652 6729779.997747113 39.349701, -34727.36764726625 6729780.024528606 39.348, -34727.60100894875 6729780.069670612 39.3451, -34727.64346446458 6729780.077890991 39.344601, -34727.7747889373 6729780.103314477 39.342999, -34727.89801049058 6729780.127089356 39.341499, -34728.01325478591 6729780.157586803 39.340099, -34728.11649530346 6729780.185072186 39.338902, -34728.33104294154 6729780.242088091 39.336399, -34728.39751051285 6729780.259758459 39.335602, -34728.43329994881 6729780.269281954 39.335201, -34728.54745978548 6729780.299578357 39.333801, -34728.597111990675 6729780.312787771 39.333199, -34728.62592988566 6729780.320362403 39.332901, -34728.79697926401 6729780.3651364 39.330898, -34729.020549954264 6729780.423684757 39.328201, -34729.05144505773 6729780.431651072 39.327801, -34729.131034143385 6729780.452336165 39.3269, -34729.26030803018 6729780.485830794 39.325401, -34729.41058813478 6729780.524270925 39.323601, -34729.593740670476 6729780.571059911 39.3214, -34729.62463477603 6729780.579026132 39.320999, -34729.76399174915 6729780.614652884 39.319302, -34729.90137554868 6729780.649796762 39.317699, -34729.97107690538 6729780.667360437 39.316898, -34730.10939647036 6729780.698863416 39.315102, -34730.42403939797 6729780.7703860495 39.311199, -34730.45924842986 6729780.77743813 39.310799, -34730.51277179213 6729780.78798054 39.310101, -34730.588806234184 6729780.8012897475 39.309101, -34730.861512565636 6729780.84902911 39.305599, -34731.06371009012 6729780.878123658 39.302898, -34731.09939357685 6729780.883305529 39.302399, -34731.147790240124 6729780.8882407155 39.301701, -34731.538222204195 6729780.928432615 39.296299, -34731.61854212382 6729780.936695504 39.2952, -34731.700171391014 6729780.943869688 39.293999, -34731.83167738665 6729780.949771339 39.292099, -34732.01114026876 6729780.957646043 39.289398, -34732.20935708936 6729780.966432648 39.286499, -34732.481901003164 6729780.967526296 39.282398, -34732.5039590043 6729780.967531183 39.282101, -34732.665950333 6729780.963835519 39.279499, -34732.744284257526 6729780.961946349 39.278301, -34732.853173146956 6729780.9551980095 39.2766, -34732.933193148114 6729780.950240264 39.275299, -34733.19342033798 6729780.934088793 39.271099, -34733.28522888885 6729780.927993919 39.269699, -34733.423030530685 6729780.913521639 39.267399, -34733.55757103569 6729780.8994547045 39.265202, -34733.73647441785 6729780.879381041 39.262199, -34733.79243872792 6729780.873125518 39.261299, -34733.87406424526 6729780.864989073 39.259899, -34734.0576236085 6729780.846853634 39.256901, -34734.13470599335 6729780.839912596 39.2556, -34734.31535451207 6729780.824933994 39.252701, -34734.35906399309 6729780.821684531 39.251999, -34734.44435292354 6729780.815293683 39.250599, -34734.542092955555 6729780.8093402 39.249001, -34734.804514444084 6729780.793390708 39.2449, -34734.840559034026 6729780.791352885 39.244301, -34735.19840020116 6729780.77830008 39.238701, -34735.26802427345 6729780.775813613 39.237598, -34735.364024338545 6729780.772318451 39.236099, -34735.414457769715 6729780.771499781 39.235298, -34735.60862353386 6729780.7684334 39.2323, -34735.7227595516 6729780.768209788 39.230598, -34735.855538137606 6729780.767881696 39.2285, -34735.890087896376 6729780.767825083 39.228001, -34736.14307387022 6729780.772463524 39.224201, -34736.41461826605 6729780.777894239 39.2202, -34736.49945511995 6729780.781937755 39.218899, -34736.62561877922 6729780.787852695 39.217098, -34736.78166201431 6729780.795193925 39.214802, -34736.8942867514 6729780.800474168 39.2132, -34736.93981880043 6729780.8026290145 39.212502, -34737.07256197068 6729780.8114631 39.210602, -34737.15484598011 6729780.816987042 39.2094, -34737.462591005606 6729780.84174764 39.205101, -34737.520865565864 6729780.847690272 39.204201, -34737.80267553346 6729780.876321078 39.200298, -34737.919036404346 6729780.888084346 39.1987, -34737.969981965376 6729780.893759603 39.198002, -34738.319388321135 6729780.937644188 39.193199, -34738.3518081489 6729780.9421262825 39.192799, -34738.42071687244 6729780.95185999 39.191898, -34738.50573902065 6729780.9637775645 39.190701, -34738.70385183324 6729780.993505186 39.188099, -34738.87312371866 6729781.021397051 39.185902, -34738.93155939237 6729781.031079019 39.185101, -34739.025223868084 6729781.0465085525 39.183899, -34739.10851238493 6729781.061991932 39.1828, -34739.32925463247 6729781.103058305 39.18, -34739.394517224864 6729781.11517949 39.179199, -34739.438587322715 6729781.123344294 39.1786, -34739.468695021234 6729781.128921958 39.1782, -34739.540796677116 6729781.143382756 39.177299, -34739.771192718064 6729781.19339082 39.1744, -34739.808127335506 6729781.201407701 39.174, -34739.932760385214 6729781.22843314 39.172401, -34740.05443250493 6729781.254785519 39.170898, -34740.22646440205 6729781.295419318 39.1688, -34740.25313889701 6729781.3021923145 39.168499, -34740.444545891834 6729781.350141207 39.166199, -34740.56347324245 6729781.380069512 39.1647, -34740.72461486515 6729781.423029606 39.1628, -34740.770037223934 6729781.435146586 39.1623, -34740.92392537126 6729781.478147376 39.1605, -34740.978237648145 6729781.493294391 39.159901, -34741.07077794208 6729781.519898461 39.158798, -34741.13063423522 6729781.538273666 39.1581, -34741.20137706946 6729781.5598617755 39.157299, -34741.243600581074 6729781.572792678 39.156799, -34741.57259867748 6729781.673427512 39.153099, -34741.687125034514 6729781.710708098 39.151901, -34741.72048008058 6729781.721518409 39.151501, -34741.83270209178 6729781.759798582 39.150299, -34741.904974771314 6729781.784444635 39.149502, -34742.087599074 6729781.846898407 39.147499, -34742.16157105088 6729781.873917926 39.146702, -34742.45230963419 6729781.9799128845 39.1436, -34742.510509703076 6729782.002064436 39.143002, -34742.562782781664 6729782.021859192 39.142502, -34742.62684607983 6729782.047063707 39.1418, -34742.83866869542 6729782.13052257 39.139702, -34742.87610032584 6729782.145231416 39.139301, -34743.062965994 6729782.2218701225 39.137402, -34743.0845778184 6729782.23110129 39.137199, -34743.17193911935 6729782.268108667 39.136398, -34743.28295277094 6729782.3151394185 39.1353, -34743.37898940814 6729782.357475725 39.1343, -34743.55440991244 6729782.434779413 39.132702, -34743.626771161915 6729782.468399578 39.132, -34743.65410131891 6729782.481177056 39.131699, -34743.79581707914 6729782.547133806 39.130402, -34743.8692383396 6729782.581254937 39.1297, -34743.91715009534 6729782.603570086 39.129299, -34743.98960117099 6729782.637298191 39.128601, -34744.024703511386 6729782.654312676 39.1283, -34744.05884572258 6729782.670835343 39.127998, -34744.240164227784 6729782.760764491 39.1264, -34744.2646355161 6729782.772876246 39.126202, -34744.3377567298 6729782.809184704 39.1255, -34744.52273722342 6729782.904185054 39.123901, -34744.55194742 6729782.919550971 39.1236, -34744.6822368165 6729782.988188797 39.122501, -34744.71524290508 6729783.006119198 39.122299, -34744.8435126408 6729783.075881393 39.121201, -34744.86384789925 6729783.087009014 39.120998, -34744.99603894632 6729783.159044017 39.1199, -34745.169628341566 6729783.25088597 39.1115, -34745.32476045168 6729783.3330786275 39.104, -34745.36674553808 6729783.355254842 39.101898, -34745.40114680526 6729783.372204116 39.101501, -34745.47380620497 6729783.408067402 39.100601, -34745.501465447014 6729783.420572864 39.100201, -34745.636969278916 6729783.481730477 39.098099, -34745.8240202436 6729783.566243244 39.095299, -34745.9695862832 6729783.631949328 39.092999, -34746.083144699805 6729783.678709566 39.091, -34746.120227700216 6729783.692782165 39.090199, -34746.17036019068 6729783.711777561 39.089199, -34746.4860221718 6729783.83153518 39.082802, -34746.518350781174 6729783.842555656 39.0821, -34746.627239152906 6729783.879822451 39.079601, -34746.69990602287 6729783.9046073435 39.077999, -34746.826416708645 6729783.945200377 39.075001, -34746.845590885496 6729783.951388151 39.074501, -34746.880088276 6729783.961800501 39.0737, -34747.027301200666 6729784.006204294 39.07, -34747.15195778257 6729784.038471292 39.0667, -34747.242965605226 6729784.062013148 39.064301, -34747.60276006872 6729784.155197288 39.054699, -34747.67155594134 6729784.170561929 39.0527, -34747.84905634716 6729784.205351297 39.047501, -34747.93049203139 6729784.221270294 39.0452, -34748.115212386125 6729784.257528696 39.039799, -34748.186645089765 6729784.269407238 39.037601, -34748.218784823315 6729784.274770151 39.036598, -34748.3144303991 6729784.288363733 39.033699, -34748.585652676295 6729784.327003205 39.025299, -34748.66602068755 6729784.335873809 39.022701, -34748.88618192845 6729784.360168639 39.015701, -34749.01253263967 6729784.372849889 39.0117, -34749.17352306121 6729784.388902169 39.0065, -34749.315543047036 6729784.403118268 39.001999, -34749.35416939389 6729784.406960186 39.000801, -34749.597597543034 6729784.431267888 38.993099, -34749.67919937812 6729784.43874172 38.990601, -34749.932207182865 6729784.461814744 38.9828, -34750.01791438076 6729784.46956285 38.980202, -34750.152760883095 6729784.481813597 38.976101, -34750.33994806302 6729784.498858173 38.970299, -34750.38492017344 6729784.502672954 38.969002, -34750.612899257336 6729784.521941828 38.9622, -34750.65687328216 6729784.525668214 38.960899, -34750.68616587948 6729784.528048935 38.959999, -34750.96553538239 6729784.550313393 38.9519, -34751.0597240699 6729784.557831127 38.9492, -34751.12252047728 6729784.562777841 38.9473, -34751.19265812088 6729784.567891326 38.9454, -34751.268004696816 6729784.573282466 38.943199, -34751.49003524729 6729784.589286101 38.937, -34751.56327626307 6729784.594584108 38.935001, -34751.84902959503 6729784.615317147 38.926899, -34751.90458260488 6729784.61909484 38.9254, -34751.9558415449 6729784.622481257 38.924, -34752.02251780999 6729784.6510473825 38.921501, -34752.1214407658 6729784.693749774 38.917801, -34752.27195847174 6729784.64488736 38.922699, -34752.33795291092 6729784.649018065 38.9207, -34752.45735162217 6729784.656227071 38.8592, -34752.5496052918 6729784.661756655 38.913601, -34752.673235691735 6729784.668949357 38.91, -34752.86392228829 6729784.679665981 38.904598, -34752.9403886887 6729784.683849334 38.902401, -34753.07249658345 6729784.690811291 38.898701, -34753.148973040166 6729784.694895851 38.896599, -34753.50010131195 6729784.712249657 38.8871, -34754.12081880635 6729784.737676247 38.871399, -34754.540053066565 6729784.75482281 38.860802, -34755.16932166461 6729784.772671912 38.8466, -34755.577179807355 6729784.784242178 38.837399, -34756.21803950146 6729784.7942906385 38.824501, -34756.61219329643 6729784.800478277 38.816601, -34757.128181274864 6729784.803723938 38.807201, -34757.26655946742 6729784.803806987 38.807098, -34757.5119933557 6729784.804027148 38.8069, -34757.64407080028 6729784.80363484 38.806801, -34757.92934767029 6729784.800956441 38.806499, -34758.3151255853 6729784.79741296 38.806099, -34758.67349600373 6729784.793977938 38.805801, -34758.977474917774 6729784.788379374 38.805401, -34759.14617045713 6729784.785197029 38.805199, -34759.36309880542 6729784.779886557 38.804901, -34759.70037138846 6729784.771494618 38.804401, -34760.410467091366 6729784.746993449 38.803101, -34760.43148020399 6729784.746299328 38.803101, -34760.72559949034 6729784.736172854 38.802502, -34761.457142346655 6729784.701850887 38.8009, -34761.74896960822 6729784.688190764 38.800201, -34761.79707077856 6729784.685344539 38.800098, -34761.879708092194 6729784.680424061 38.7999, -34762.50272082433 6729784.643412685 38.798199, -34762.770274988376 6729784.627529412 38.797501, -34762.84236075322 6729784.62234756 38.797298, -34762.92488969397 6729784.616410973 38.797001, -34763.54719916184 6729784.571682557 38.795101, -34763.64533858129 6729784.564656738 38.7948, -34763.78829433292 6729784.554382116 38.7943, -34763.890556068975 6729784.54632379 38.793999, -34764.46519516525 6729784.498638351 38.729801, -34764.59029681259 6729784.487535245 38.715801, -34764.62369751255 6729784.484650956 38.712101)</t>
  </si>
  <si>
    <t>POLYGON Z ((-34764.62941935717 6729782.9343057955 38.724998, -34764.59548390214 6729782.934220255 38.728802, -34764.47194292059 6729782.933781902 38.742699, -34763.90494004288 6729782.929994329 38.806301, -34763.80409982358 6729782.929119156 38.8176, -34763.66313179722 6729782.92758827 38.8335, -34763.56644268113 6729782.926487967 38.834, -34762.95314996573 6729782.917855437 38.837299, -34762.87179719983 6729782.916448564 38.8377, -34762.8008055524 6729782.915182888 38.8381, -34762.53737891023 6729782.910193513 38.8395, -34761.924253105535 6729782.8964396 38.8428, -34761.84295513702 6729782.894434439 38.843201, -34761.79562765185 6729782.89322104 38.843399, -34761.508593414794 6729782.885362424 38.845001, -34760.789600890945 6729782.862921492 38.848801, -34760.50057143648 6729782.852665322 38.850399, -34760.47998613096 6729782.851987555 38.850498, -34759.78282081487 6729782.824395717 38.854698, -34759.45176605927 6729782.809986326 38.856998, -34759.238940021605 6729782.800164836 38.858601, -34759.07346753322 6729782.792360848 38.859901, -34758.775378498016 6729782.777650047 38.8624, -34758.42393201939 6729782.759360636 38.865601, -34758.04571950284 6729782.738618734 38.869202, -34757.766291268985 6729782.722493764 38.872101, -34757.63686070277 6729782.714869548 38.873501, -34757.396480405005 6729782.700204836 38.876098999999996, -34757.260872329236 6729782.691815398 38.877602, -34756.755646681064 6729782.6590376245 38.883701, -34756.36959935143 6729782.632543206 38.888599, -34755.74246939807 6729782.586988832 38.897301, -34755.343311448814 6729782.556272057 38.903198, -34754.72784884658 6729782.5064501995 38.912899, -34754.31769816612 6729782.471502597 38.919701, -34753.71090251196 6729782.417237151 38.9305, -34753.36755803181 6729782.3852879945 38.936798, -34753.2927727378 6729782.37813431 38.938301, -34753.16377213225 6729782.365815683 38.940701, -34753.08899961575 6729782.3585664835 38.9422, -34752.90253073326 6729782.340277346 38.9459, -34752.78164585028 6729782.328400875 38.948299, -34752.69162821339 6729782.31935151 38.9501, -34752.57485802332 6729782.307647445 38.952499, -34752.51040088467 6729782.301038847 38.9538, -34752.36910441809 6729782.286587871 38.956699, -34752.26872368925 6729782.276286193 38.958801, -34752.20118762634 6729782.269193157 38.960201, -34752.151001153514 6729782.263994329 38.9613, -34752.11419177696 6729782.2601194 38.962101, -34751.81744204194 6729782.228608474 38.968498, -34751.745828151936 6729782.220940516 38.9701, -34751.52893135871 6729782.197248847 38.974899, -34751.455240077805 6729782.189191197 38.976601, -34751.386741796276 6729782.181607158 38.9781, -34751.32532083755 6729782.174773045 38.9795, -34751.245564346435 6729782.1658567265 38.9813, -34750.960270991316 6729782.133481419 38.987999, -34750.93166191806 6729782.130257836 38.988701, -34750.8887025679 6729782.125317049 38.9897, -34750.665863668546 6729782.0994666265 38.994999, -34750.62191456382 6729782.09433548 38.996101, -34750.43897511123 6729782.072744726 39.0005, -34750.30716893461 6729782.056946128 39.003799, -34750.223381447606 6729782.046954575 39.005901, -34749.97615340166 6729782.016860027 39.0121, -34749.896475339774 6729782.007043412 39.014198, -34749.658465977176 6729781.977489022 39.020302, -34749.62072707107 6729781.972722201 39.021301, -34749.501245672116 6729781.957651558 39.024502, -34749.32462592039 6729781.935229555 39.029099, -34749.20218186744 6729781.919482681 39.032398, -34748.985800706665 6729781.8913048785 39.038101, -34748.90726907505 6729781.881089671 39.040199, -34748.64098328515 6729781.845724481 39.047199, -34748.54715330026 6729781.833201642 39.049702, -34748.515520191635 6729781.82889433 39.050499, -34748.44517671829 6729781.819430077 39.052399, -34748.262638035114 6729781.794552306 39.057201, -34748.18206260807 6729781.783547607 39.059399, -34748.00672133069 6729781.759230336 39.063999, -34747.93839786167 6729781.749748648 39.0658, -34747.57973780541 6729781.699173818 39.075298, -34747.48906517413 6729781.686235123 39.077702, -34747.3648084593 6729781.668307851 39.081001, -34747.21709782968 6729781.646922105 39.0849, -34747.1825150284 6729781.641841038 39.085899, -34747.04605309444 6729781.6218914455 39.0895, -34746.962573897676 6729781.6096115885 39.091702, -34746.85257382237 6729781.593291217 39.094601, -34746.82007819321 6729781.58850405 39.095501, -34746.49947185069 6729781.540303589 39.104, -34746.44860600296 6729781.532625283 39.105301, -34746.4109624814 6729781.526861018 39.1063, -34746.29494375293 6729781.509184658 39.109402, -34746.15361411567 6729781.487376149 39.113201, -34745.95321900782 6729781.4562298525 39.1185, -34745.81390810129 6729781.434406817 39.1222, -34745.78550777922 6729781.42999272 39.122898, -34745.71025324182 6729781.418065294 39.124901, -34745.67470631574 6729781.412492045 39.1259, -34745.63103408564 6729781.405470581 39.126999, -34745.469424842275 6729781.379690593 39.131302, -34745.28857489326 6729781.350637587 39.136101, -34745.15042889584 6729781.328214195 39.139801, -34745.12909259414 6729781.324750248 39.1404, -34744.99502948555 6729781.302802527 39.143902, -34744.96050257061 6729781.297122273 39.144901, -34744.824367313995 6729781.274683618 39.148499, -34744.79391831765 6729781.2695772825 39.1493, -34744.60106583976 6729781.237410598 39.1544, -34744.52497640962 6729781.224701675 39.156399, -34744.49958890956 6729781.220361074 39.157101, -34744.310841702856 6729781.188469669 39.162102, -34744.27534342243 6729781.182398284 39.163101, -34744.238843334024 6729781.176235153 39.164101, -34744.16378324723 6729781.163317337 39.166, -34744.114097699174 6729781.154837647 39.1674, -34744.038047949434 6729781.141728475 39.169399, -34743.891003611614 6729781.116378013 39.173302, -34743.86255548347 6729781.111353211 39.174099, -34743.78958266019 6729781.098728298 39.175999, -34743.606105541694 6729781.066512814 39.180901, -34743.50678290904 6729781.049057293 39.183498, -34743.392315784935 6729781.028702913 39.1866, -34743.30212841276 6729781.012687387 39.188999, -34743.27982989221 6729781.008732437 39.189602, -34743.10048158537 6729780.976491225 39.194401, -34743.04885412054 6729780.967231373 39.195801, -34742.83119937498 6729780.927655401 39.201599, -34742.76740736945 6729780.9159730775 39.2033, -34742.71172970522 6729780.905836668 39.2047, -34742.65200547152 6729780.894828048 39.206299, -34742.37073911971 6729780.84267779 39.213799, -34742.278548722155 6729780.825471619 39.216301, -34742.09169035358 6729780.790530208 39.221401, -34742.01772961498 6729780.776606182 39.2234, -34741.902782221674 6729780.75489746 39.226501, -34741.86881484545 6729780.748562411 39.227402, -34741.75189818209 6729780.7263721805 39.230598, -34741.41729049524 6729780.662791727 39.239601, -34741.374326330144 6729780.654626488 39.240799, -34741.302465091576 6729780.640894757 39.242699, -34741.24149638519 6729780.629166841 39.2444, -34741.147656905116 6729780.611205322 39.246899, -34741.0927261468 6729780.600633725 39.248402, -34740.93695158849 6729780.570553622 39.252602, -34740.89102958108 6729780.561714602 39.253799, -34740.72833262896 6729780.530193726 39.258202, -34740.608593506855 6729780.506940243 39.261501, -34740.415934385266 6729780.46935245 39.266701, -34740.38902487815 6729780.464067706 39.267399, -34740.21636076935 6729780.430325611 39.272099, -34740.09466795216 6729780.40638758 39.275398, -34739.96991722868 6729780.381768622 39.278801, -34739.93301845621 6729780.374460054 39.279701, -34739.702625487 6729780.328784195 39.2859, -34739.63080908195 6729780.314551965 39.2878, -34739.600936830044 6729780.308591984 39.288601, -34739.55702059367 6729780.299835954 39.289799, -34739.49223686068 6729780.286852157 39.2915, -34739.27286150085 6729780.24299114 39.297199, -34739.19018534478 6729780.226353201 39.299301, -34739.09741677041 6729780.2076850245 39.301701, -34739.03966355382 6729780.196050173 39.3032, -34738.87224824133 6729780.162183491 39.3074, -34738.67686204694 6729780.122535001 39.312199, -34738.593210528954 6729780.105505575 39.314301, -34738.5254872503 6729780.091648234 39.316002, -34738.49354684679 6729780.0851976825 39.3167, -34738.166907377425 6729780.018215546 39.3246, -34738.11609991256 6729780.007722459 39.325802, -34737.98758923472 6729779.981246334 39.328899, -34737.712810747675 6729779.924251472 39.335201, -34737.65608269558 6729779.91240937 39.336498, -34737.36344528943 6729779.851361573 39.343201, -34737.27786109364 6729779.833451118 39.3451, -34737.14950800012 6729779.80638712 39.3479, -34737.10572733008 6729779.797239625 39.3489, -34736.99723592994 6729779.774311276 39.3512, -34736.8470533042 6729779.742526515 39.3545, -34736.725727729616 6729779.716811196 39.356998, -34736.6441224789 6729779.6994666 39.358799, -34736.38460849889 6729779.644071241 39.364201, -34736.142996000126 6729779.59223113 39.369099, -34736.11119107134 6729779.585390115 39.369701, -34735.98398050363 6729779.557926164 39.3722, -34735.875637904974 6729779.534505834 39.374401, -34735.6918448162 6729779.494710519 39.377998, -34735.64414923871 6729779.48429799 39.378899, -34735.55369381991 6729779.464633041 39.3806, -34735.48812411481 6729779.450366616 39.381901, -34735.15142757038 6729779.376624688 39.3881, -34735.12664925377 6729779.371131253 39.388599, -34734.87242853816 6729779.315114808 39.3932, -34734.781116117956 6729779.294865757 39.394798, -34734.701647051144 6729779.277312935 39.396198, -34734.6609777204 6729779.268251983 39.3969, -34734.49317627563 6729779.230925494 39.399799, -34734.42171415314 6729779.215013496 39.401001, -34734.252047473565 6729779.177114303 39.4039, -34734.17664390616 6729779.160238006 39.405102, -34734.1250374167 6729779.148560811 39.405998, -34733.96043216658 6729779.111527056 39.408699, -34733.83637986111 6729779.083648342 39.410599, -34733.70948707475 6729779.054903139 39.412601, -34733.624233712326 6729779.035612918 39.414001, -34733.38231566665 6729778.980521822 39.417702, -34733.30793229444 6729778.963536519 39.4188, -34733.20680648903 6729778.940476016 39.4203, -34733.13351066224 6729778.923691043 39.421398, -34732.98179538245 6729778.88884607 39.423599, -34732.96107650525 6729778.884128313 39.423901, -34732.70443353732 6729778.824867439 39.427502, -34732.51624810998 6729778.781344098 39.43, -34732.34583286627 6729778.741764849 39.432301, -34732.221090474166 6729778.712612289 39.433899, -34732.14289098524 6729778.694372006 39.435001, -34732.065680343425 6729778.676320996 39.435902, -34731.69053001248 6729778.58807776 39.440601, -34731.64398692583 6729778.57716748 39.441101, -34731.6093871654 6729778.568961571 39.441502, -34731.413404362625 6729778.52260898 39.443802, -34731.15327520354 6729778.460712276 39.446701, -34731.073144127615 6729778.441590052 39.447601, -34731.020711802295 6729778.429032477 39.4482, -34730.98612109898 6729778.420727684 39.448502, -34730.67567350785 6729778.346264568 39.451801, -34730.53928484232 6729778.313429666 39.453098, -34730.47011258372 6729778.296720208 39.4538, -34730.33364360675 6729778.263673493 39.455101, -34730.19531339046 6729778.23005444 39.456402, -34730.16477306944 6729778.222624214 39.456699, -34729.98299698718 6729778.178379563 39.458302, -34729.833743639174 6729778.1419471335 39.459599, -34729.70539363159 6729778.110450786 39.460701, -34729.626386877964 6729778.091127363 39.4613, -34729.5957518284 6729778.083587746 39.461601, -34729.37364151806 6729778.028899747 39.463299, -34729.203851506696 6729777.986859786 39.4646, -34729.177257782896 6729777.980293616 39.464802, -34729.125950503745 6729777.967537928 39.465199, -34729.01239860454 6729777.939412309 39.466, -34728.97695471207 6729777.930525784 39.466202, -34728.910776887904 6729777.914090578 39.466702, -34728.697689903434 6729777.86093204 39.468102, -34728.59509672958 6729777.835220183 39.4687, -34728.48560951371 6729777.807768998 39.469398, -34728.36038444517 6729777.776254693 39.4701, -34728.23220241838 6729777.743968989 39.470901, -34728.19085605291 6729777.733535677 39.4711, -34727.963070408325 6729777.675909623 39.472301, -34727.828118601115 6729777.641693526 39.473, -34727.494079434546 6729777.5565105975 39.474499, -34727.303955360316 6729777.507772744 39.475201, -34727.205458400305 6729777.482435051 39.475601, -34727.16314175888 6729777.471609711 39.4757, -34727.07065112481 6729777.447729607 39.476101, -34726.81070111494 6729777.380610925 39.476898, -34726.391518612625 6729777.271615497 39.477901, -34726.22124699177 6729777.227114177 39.478298, -34725.62743421772 6729777.070698241 39.479, -34725.30107733607 6729776.984102818 39.479099, -34725.23825447203 6729776.967370578 39.479099, -34725.046641736175 6729776.916180859 39.479099, -34724.340684293886 6729776.726127935 39.478298, -34724.267073772615 6729776.706191852 39.478199, -34724.307836311404 6729776.832902025 39.473499, -34724.602608201676 6729777.605321498 39.445301, -34724.75529809459 6729778.005562205 39.4277, -34724.81068186555 6729778.150836465 39.422001, -34724.876725833165 6729778.323777601 39.4142, -34724.89183670806 6729778.363333047 39.412601, -34724.91660331376 6729778.428348267 39.409599, -34724.97784590791 6729778.588864095 39.403099, -34725.12404043332 6729778.972092714 39.3853, -34725.16733197542 6729779.085541204 39.3806, -34725.28852637636 6729779.403027181 39.3652, -34725.625947190216 6729779.500707833 39.3619, -34725.79667963297 6729779.550085873 39.360298, -34726.21767996426 6729779.670024722 39.355999, -34726.478752624476 6729779.743591519 39.353401, -34726.57173508464 6729779.769733494 39.352501, -34726.61426578974 6729779.7815866405 39.352001, -34726.71325260191 6729779.809284729 39.351002, -34726.90427985834 6729779.862435209 39.349098, -34727.23503557884 6729779.953765444 39.345699, -34727.22919339652 6729779.997747113 39.349701, -34727.36764726625 6729780.024528606 39.348, -34727.60100894875 6729780.069670612 39.3451, -34727.64346446458 6729780.077890991 39.344601, -34727.7747889373 6729780.103314477 39.342999, -34727.89801049058 6729780.127089356 39.341499, -34728.01325478591 6729780.157586803 39.340099, -34728.11649530346 6729780.185072186 39.338902, -34728.33104294154 6729780.242088091 39.336399, -34728.39751051285 6729780.259758459 39.335602, -34728.43329994881 6729780.269281954 39.335201, -34728.54745978548 6729780.299578357 39.333801, -34728.597111990675 6729780.312787771 39.333199, -34728.62592988566 6729780.320362403 39.332901, -34728.79697926401 6729780.3651364 39.330898, -34729.020549954264 6729780.423684757 39.328201, -34729.05144505773 6729780.431651072 39.327801, -34729.131034143385 6729780.452336165 39.3269, -34729.26030803018 6729780.485830794 39.325401, -34729.41058813478 6729780.524270925 39.323601, -34729.593740670476 6729780.571059911 39.3214, -34729.62463477603 6729780.579026132 39.320999, -34729.76399174915 6729780.614652884 39.319302, -34729.90137554868 6729780.649796762 39.317699, -34729.97107690538 6729780.667360437 39.316898, -34730.10939647036 6729780.698863416 39.315102, -34730.42403939797 6729780.7703860495 39.311199, -34730.45924842986 6729780.77743813 39.310799, -34730.51277179213 6729780.78798054 39.310101, -34730.588806234184 6729780.8012897475 39.309101, -34730.861512565636 6729780.84902911 39.305599, -34731.06371009012 6729780.878123658 39.302898, -34731.09939357685 6729780.883305529 39.302399, -34731.147790240124 6729780.8882407155 39.301701, -34731.538222204195 6729780.928432615 39.296299, -34731.61854212382 6729780.936695504 39.2952, -34731.700171391014 6729780.943869688 39.293999, -34731.83167738665 6729780.949771339 39.292099, -34732.01114026876 6729780.957646043 39.289398, -34732.20935708936 6729780.966432648 39.286499, -34732.481901003164 6729780.967526296 39.282398, -34732.5039590043 6729780.967531183 39.282101, -34732.665950333 6729780.963835519 39.279499, -34732.744284257526 6729780.961946349 39.278301, -34732.853173146956 6729780.9551980095 39.2766, -34732.933193148114 6729780.950240264 39.275299, -34733.19342033798 6729780.934088793 39.271099, -34733.28522888885 6729780.927993919 39.269699, -34733.423030530685 6729780.913521639 39.267399, -34733.55757103569 6729780.8994547045 39.265202, -34733.73647441785 6729780.879381041 39.262199, -34733.79243872792 6729780.873125518 39.261299, -34733.87406424526 6729780.864989073 39.259899, -34734.0576236085 6729780.846853634 39.256901, -34734.13470599335 6729780.839912596 39.2556, -34734.31535451207 6729780.824933994 39.252701, -34734.35906399309 6729780.821684531 39.251999, -34734.44435292354 6729780.815293683 39.250599, -34734.542092955555 6729780.8093402 39.249001, -34734.804514444084 6729780.793390708 39.2449, -34734.840559034026 6729780.791352885 39.244301, -34735.19840020116 6729780.77830008 39.238701, -34735.26802427345 6729780.775813613 39.237598, -34735.364024338545 6729780.772318451 39.236099, -34735.414457769715 6729780.771499781 39.235298, -34735.60862353386 6729780.7684334 39.2323, -34735.7227595516 6729780.768209788 39.230598, -34735.855538137606 6729780.767881696 39.2285, -34735.890087896376 6729780.767825083 39.228001, -34736.14307387022 6729780.772463524 39.224201, -34736.41461826605 6729780.777894239 39.2202, -34736.49945511995 6729780.781937755 39.218899, -34736.62561877922 6729780.787852695 39.217098, -34736.78166201431 6729780.795193925 39.214802, -34736.8942867514 6729780.800474168 39.2132, -34736.93981880043 6729780.8026290145 39.212502, -34737.07256197068 6729780.8114631 39.210602, -34737.15484598011 6729780.816987042 39.2094, -34737.462591005606 6729780.84174764 39.205101, -34737.520865565864 6729780.847690272 39.204201, -34737.80267553346 6729780.876321078 39.200298, -34737.919036404346 6729780.888084346 39.1987, -34737.969981965376 6729780.893759603 39.198002, -34738.319388321135 6729780.937644188 39.193199, -34738.3518081489 6729780.9421262825 39.192799, -34738.42071687244 6729780.95185999 39.191898, -34738.50573902065 6729780.9637775645 39.190701, -34738.70385183324 6729780.993505186 39.188099, -34738.87312371866 6729781.021397051 39.185902, -34738.93155939237 6729781.031079019 39.185101, -34739.025223868084 6729781.0465085525 39.183899, -34739.10851238493 6729781.061991932 39.1828, -34739.32925463247 6729781.103058305 39.18, -34739.394517224864 6729781.11517949 39.179199, -34739.438587322715 6729781.123344294 39.1786, -34739.468695021234 6729781.128921958 39.1782, -34739.540796677116 6729781.143382756 39.177299, -34739.771192718064 6729781.19339082 39.1744, -34739.808127335506 6729781.201407701 39.174, -34739.932760385214 6729781.22843314 39.172401, -34740.05443250493 6729781.254785519 39.170898, -34740.22646440205 6729781.295419318 39.1688, -34740.25313889701 6729781.3021923145 39.168499, -34740.444545891834 6729781.350141207 39.166199, -34740.56347324245 6729781.380069512 39.1647, -34740.72461486515 6729781.423029606 39.1628, -34740.770037223934 6729781.435146586 39.1623, -34740.92392537126 6729781.478147376 39.1605, -34740.978237648145 6729781.493294391 39.159901, -34741.07077794208 6729781.519898461 39.158798, -34741.13063423522 6729781.538273666 39.1581, -34741.20137706946 6729781.5598617755 39.157299, -34741.243600581074 6729781.572792678 39.156799, -34741.57259867748 6729781.673427512 39.153099, -34741.687125034514 6729781.710708098 39.151901, -34741.72048008058 6729781.721518409 39.151501, -34741.83270209178 6729781.759798582 39.150299, -34741.904974771314 6729781.784444635 39.149502, -34742.087599074 6729781.846898407 39.147499, -34742.16157105088 6729781.873917926 39.146702, -34742.45230963419 6729781.9799128845 39.1436, -34742.510509703076 6729782.002064436 39.143002, -34742.562782781664 6729782.021859192 39.142502, -34742.62684607983 6729782.047063707 39.1418, -34742.83866869542 6729782.13052257 39.139702, -34742.87610032584 6729782.145231416 39.139301, -34743.062965994 6729782.2218701225 39.137402, -34743.0845778184 6729782.23110129 39.137199, -34743.17193911935 6729782.268108667 39.136398, -34743.28295277094 6729782.3151394185 39.1353, -34743.37898940814 6729782.357475725 39.1343, -34743.55440991244 6729782.434779413 39.132702, -34743.626771161915 6729782.468399578 39.132, -34743.65410131891 6729782.481177056 39.131699, -34743.79581707914 6729782.547133806 39.130402, -34743.8692383396 6729782.581254937 39.1297, -34743.91715009534 6729782.603570086 39.129299, -34743.98960117099 6729782.637298191 39.128601, -34744.024703511386 6729782.654312676 39.1283, -34744.05884572258 6729782.670835343 39.127998, -34744.240164227784 6729782.760764491 39.1264, -34744.2646355161 6729782.772876246 39.126202, -34744.3377567298 6729782.809184704 39.1255, -34744.52273722342 6729782.904185054 39.123901, -34744.55194742 6729782.919550971 39.1236, -34744.6822368165 6729782.988188797 39.122501, -34744.71524290508 6729783.006119198 39.122299, -34744.8435126408 6729783.075881393 39.121201, -34744.86384789925 6729783.087009014 39.120998, -34744.99603894632 6729783.159044017 39.1199, -34745.169628341566 6729783.25088597 39.1115, -34745.32476045168 6729783.3330786275 39.104, -34745.36674553808 6729783.355254842 39.101898, -34745.40114680526 6729783.372204116 39.101501, -34745.47380620497 6729783.408067402 39.100601, -34745.501465447014 6729783.420572864 39.100201, -34745.636969278916 6729783.481730477 39.098099, -34745.8240202436 6729783.566243244 39.095299, -34745.9695862832 6729783.631949328 39.092999, -34746.083144699805 6729783.678709566 39.091, -34746.120227700216 6729783.692782165 39.090199, -34746.17036019068 6729783.711777561 39.089199, -34746.4860221718 6729783.83153518 39.082802, -34746.518350781174 6729783.842555656 39.0821, -34746.627239152906 6729783.879822451 39.079601, -34746.69990602287 6729783.9046073435 39.077999, -34746.826416708645 6729783.945200377 39.075001, -34746.845590885496 6729783.951388151 39.074501, -34746.880088276 6729783.961800501 39.0737, -34747.027301200666 6729784.006204294 39.07, -34747.15195778257 6729784.038471292 39.0667, -34747.242965605226 6729784.062013148 39.064301, -34747.60276006872 6729784.155197288 39.054699, -34747.67155594134 6729784.170561929 39.0527, -34747.84905634716 6729784.205351297 39.047501, -34747.93049203139 6729784.221270294 39.0452, -34748.115212386125 6729784.257528696 39.039799, -34748.186645089765 6729784.269407238 39.037601, -34748.218784823315 6729784.274770151 39.036598, -34748.3144303991 6729784.288363733 39.033699, -34748.585652676295 6729784.327003205 39.025299, -34748.66602068755 6729784.335873809 39.022701, -34748.88618192845 6729784.360168639 39.015701, -34749.01253263967 6729784.372849889 39.0117, -34749.17352306121 6729784.388902169 39.0065, -34749.315543047036 6729784.403118268 39.001999, -34749.35416939389 6729784.406960186 39.000801, -34749.597597543034 6729784.431267888 38.993099, -34749.67919937812 6729784.43874172 38.990601, -34749.932207182865 6729784.461814744 38.9828, -34750.01791438076 6729784.46956285 38.980202, -34750.152760883095 6729784.481813597 38.976101, -34750.33994806302 6729784.498858173 38.970299, -34750.38492017344 6729784.502672954 38.969002, -34750.612899257336 6729784.521941828 38.9622, -34750.65687328216 6729784.525668214 38.960899, -34750.68616587948 6729784.528048935 38.959999, -34750.96553538239 6729784.550313393 38.9519, -34751.0597240699 6729784.557831127 38.9492, -34751.12252047728 6729784.562777841 38.9473, -34751.19265812088 6729784.567891326 38.9454, -34751.268004696816 6729784.573282466 38.943199, -34751.49003524729 6729784.589286101 38.937, -34751.56327626307 6729784.594584108 38.935001, -34751.84902959503 6729784.615317147 38.926899, -34751.90458260488 6729784.61909484 38.9254, -34751.9558415449 6729784.622481257 38.924, -34752.02251780999 6729784.6510473825 38.921501, -34752.1214407658 6729784.693749774 38.917801, -34752.27195847174 6729784.64488736 38.922699, -34752.33795291092 6729784.649018065 38.9207, -34752.45735162217 6729784.656227071 38.8592, -34752.5496052918 6729784.661756655 38.913601, -34752.673235691735 6729784.668949357 38.91, -34752.86392228829 6729784.679665981 38.904598, -34752.9403886887 6729784.683849334 38.902401, -34753.07249658345 6729784.690811291 38.898701, -34753.148973040166 6729784.694895851 38.896599, -34753.50010131195 6729784.712249657 38.8871, -34754.12081880635 6729784.737676247 38.871399, -34754.540053066565 6729784.75482281 38.860802, -34755.16932166461 6729784.772671912 38.8466, -34755.577179807355 6729784.784242178 38.837399, -34756.21803950146 6729784.7942906385 38.824501, -34756.61219329643 6729784.800478277 38.816601, -34757.128181274864 6729784.803723938 38.807201, -34757.26655946742 6729784.803806987 38.807098, -34757.5119933557 6729784.804027148 38.8069, -34757.64407080028 6729784.80363484 38.806801, -34757.92934767029 6729784.800956441 38.806499, -34758.3151255853 6729784.79741296 38.806099, -34758.67349600373 6729784.793977938 38.805801, -34758.977474917774 6729784.788379374 38.805401, -34759.14617045713 6729784.785197029 38.805199, -34759.36309880542 6729784.779886557 38.804901, -34759.70037138846 6729784.771494618 38.804401, -34760.410467091366 6729784.746993449 38.803101, -34760.43148020399 6729784.746299328 38.803101, -34760.72559949034 6729784.736172854 38.802502, -34761.457142346655 6729784.701850887 38.8009, -34761.74896960822 6729784.688190764 38.800201, -34761.79707077856 6729784.685344539 38.800098, -34761.879708092194 6729784.680424061 38.7999, -34762.50272082433 6729784.643412685 38.798199, -34762.770274988376 6729784.627529412 38.797501, -34762.84236075322 6729784.62234756 38.797298, -34762.92488969397 6729784.616410973 38.797001, -34763.54719916184 6729784.571682557 38.795101, -34763.64533858129 6729784.564656738 38.7948, -34763.78829433292 6729784.554382116 38.7943, -34763.890556068975 6729784.54632379 38.793999, -34764.46519516525 6729784.498638351 38.729801, -34764.59029681259 6729784.487535245 38.715801, -34764.62369751255 6729784.484650956 38.712101, -34764.62941935717 6729782.9343057955 38.724998))</t>
  </si>
  <si>
    <t>['FV540 S1D1 m4015-4041']</t>
  </si>
  <si>
    <t>LINESTRING Z (-34893.51262216305 6729799.701629568 40.032001, -34887.086139875 6729799.799535256 40.032001, -34883.03316563612 6729800.055100197 40.032001, -34877.962781302165 6729800.665279172 40.032001, -34874.78429325204 6729801.150205158 40.032001, -34871.384579991456 6729802.420820916 40.032001, -34871.32513468398 6729801.939379251 39.901001, -34871.328170835855 6729801.827052452 39.900299, -34871.39136669331 6729801.337202175 39.897499, -34871.50740423647 6729800.846654098 39.8946, -34871.68163110409 6729800.35307182 39.891602, -34871.77168498491 6729800.149509682 39.890301, -34871.907594581484 6729799.882964821 39.888599, -34872.04272403056 6729799.652407926 39.887299, -34872.15543427493 6729799.4775076695 39.8857, -34872.19533694524 6729799.419017671 39.888, -34872.20761664328 6729799.4015103495 39.888802, -34872.724203509744 6729798.786798952 39.913601, -34872.78573773301 6729798.726361121 39.916302, -34872.82161332632 6729798.69207874 39.917801, -34872.923514775815 6729798.598880847 39.921902, -34873.02466867119 6729798.511656621 39.925701, -34873.125674955314 6729798.429354106 39.929401, -34873.22643890011 6729798.351863906 39.932999, -34873.32701232971 6729798.27868617 39.936401, -34873.42750915128 6729798.209632915 39.939602, -34873.515230513294 6729798.152503038 39.942402, -34873.62795036007 6729798.083056474 39.945801, -34873.72793133883 6729798.025133772 39.9487, -34873.82781001285 6729797.970527433 39.951401, -34873.92760495085 6729797.919034716 39.954102, -34874.027216181275 6729797.870647458 39.956699, -34874.12434568943 6729797.826263106 39.959099, -34874.176437395625 6729797.804040434 39.9604, -34874.221462969785 6729797.786410993 39.961399, -34874.31768616743 6729797.753021715 39.963501, -34874.413069805014 6729797.725499977 39.9655, -34874.496660670964 6729797.705759416 39.966999, -34874.60256428295 6729797.686552676 39.9688, -34874.69498710823 6729797.674873799 39.9701, -34874.928101326106 6729797.6655042255 39.972801, -34883.1744430298 6729797.832984539 40.032001, -34893.51099418593 6729798.089674589 40.032001)</t>
  </si>
  <si>
    <t>POLYGON Z ((-34893.51262216305 6729799.701629568 40.032001, -34887.086139875 6729799.799535256 40.032001, -34883.03316563612 6729800.055100197 40.032001, -34877.962781302165 6729800.665279172 40.032001, -34874.78429325204 6729801.150205158 40.032001, -34871.384579991456 6729802.420820916 40.032001, -34871.32513468398 6729801.939379251 39.901001, -34871.328170835855 6729801.827052452 39.900299, -34871.39136669331 6729801.337202175 39.897499, -34871.50740423647 6729800.846654098 39.8946, -34871.68163110409 6729800.35307182 39.891602, -34871.77168498491 6729800.149509682 39.890301, -34871.907594581484 6729799.882964821 39.888599, -34872.04272403056 6729799.652407926 39.887299, -34872.15543427493 6729799.4775076695 39.8857, -34872.19533694524 6729799.419017671 39.888, -34872.20761664328 6729799.4015103495 39.888802, -34872.724203509744 6729798.786798952 39.913601, -34872.78573773301 6729798.726361121 39.916302, -34872.82161332632 6729798.69207874 39.917801, -34872.923514775815 6729798.598880847 39.921902, -34873.02466867119 6729798.511656621 39.925701, -34873.125674955314 6729798.429354106 39.929401, -34873.22643890011 6729798.351863906 39.932999, -34873.32701232971 6729798.27868617 39.936401, -34873.42750915128 6729798.209632915 39.939602, -34873.515230513294 6729798.152503038 39.942402, -34873.62795036007 6729798.083056474 39.945801, -34873.72793133883 6729798.025133772 39.9487, -34873.82781001285 6729797.970527433 39.951401, -34873.92760495085 6729797.919034716 39.954102, -34874.027216181275 6729797.870647458 39.956699, -34874.12434568943 6729797.826263106 39.959099, -34874.176437395625 6729797.804040434 39.9604, -34874.221462969785 6729797.786410993 39.961399, -34874.31768616743 6729797.753021715 39.963501, -34874.413069805014 6729797.725499977 39.9655, -34874.496660670964 6729797.705759416 39.966999, -34874.60256428295 6729797.686552676 39.9688, -34874.69498710823 6729797.674873799 39.9701, -34874.928101326106 6729797.6655042255 39.972801, -34883.1744430298 6729797.832984539 40.032001, -34893.51099418593 6729798.089674589 40.032001, -34893.51262216305 6729799.701629568 40.032001))</t>
  </si>
  <si>
    <t>['FV540 S1D1 m3897 KD1 m1-24', 'FV540 S1D1 m3905-3910']</t>
  </si>
  <si>
    <t>LINESTRING Z (-34736.64282706776 6729827.235256235 39.793301, -34735.92314780515 6729826.525339495 39.696301, -34736.1797519027 6729826.156138637 39.6968, -34736.45969775878 6729825.753120995 39.696701, -34736.510499072494 6729825.680116548 39.696602, -34737.06529279915 6729824.881367675 39.694901, -34737.43319093133 6729824.351639573 39.693699, -34737.673943868955 6729824.004861326 39.699902, -34738.28607449087 6729823.12333253 39.715698, -34738.39177011617 6729822.971156809 39.718399, -34738.58855570294 6729822.687626819 39.716301, -34738.7870700222 6729822.401739194 39.7141, -34738.90182467527 6729822.236396275 39.7127, -34738.98779429472 6729822.112627526 39.7117, -34739.00264843262 6729822.091226537 39.711498, -34739.136668674415 6729821.916766465 39.700802, -34739.38657955045 6729821.560150767 39.692501, -34739.535565040074 6729821.359766527 39.687698, -34739.87870968622 6729820.897974353 39.676701, -34740.1205054922 6729820.59258334 39.669102, -34740.1940381584 6729820.502323809 39.666901, -34740.235569974524 6729820.451338601 39.6656, -34740.38720551797 6729820.269328492 39.660999, -34740.58581796498 6729820.037331453 39.655102, -34740.866006506025 6729819.721859746 39.646800999999996, -34740.89671220153 6729819.6890175585 39.645901, -34741.26708802045 6729819.292768494 39.6353, -34741.33405905578 6729819.223565579 39.6334, -34741.64006509504 6729818.918714403 39.624901, -34741.792450791225 6729818.766991697 39.620701, -34741.930748482 6729818.634925192 39.616901, -34742.028690937324 6729818.544285666 39.6143, -34742.112546874676 6729818.466655027 39.612, -34742.246579294675 6729818.342658259 39.608398, -34742.41977039527 6729818.189210182 39.603802, -34742.58351859369 6729818.044268128 39.599499, -34742.696773528936 6729817.946973546 39.5965, -34743.14348352479 6729817.5772563405 39.585098, -34743.22922307486 6729817.508762205 39.582901, -34743.5513023549 6729817.258262607 39.574799, -34743.873235440464 6729817.018123662 39.566898, -34744.03469566291 6729816.901472484 39.563, -34744.08805421251 6729816.864361777 39.561699, -34744.483654826414 6729816.589674221 39.5522, -34744.93667304539 6729816.292951677 39.5415, -34744.97288068163 6729816.270384153 39.540699, -34745.17726662778 6729816.142556669 39.5359, -34745.343137327116 6729816.041521018 39.532101, -34745.39526330971 6729816.010137106 39.530998, -34745.44842578552 6729815.978444242 39.529701, -34745.84154287027 6729815.738581417 39.520699, -34745.881888551405 6729815.712665281 39.519798, -34746.30611144414 6729815.437780089 39.5098, -34746.491022748756 6729815.312499844 39.505402, -34746.7474279562 6729815.133537762 39.499298, -34746.76564628212 6729815.120503415 39.498798, -34746.808962689945 6729815.089621984 39.497799, -34747.12257382274 6729814.860101059 39.490101, -34747.18130825716 6729814.815924776 39.488602, -34747.60624114727 6729814.486012361 39.478001, -34747.73445812054 6729814.3826339245 39.474701, -34747.91716459929 6729814.231974026 39.470001, -34748.02148780378 6729814.144235432 39.4673, -34748.32669341331 6729813.880003374 39.459300999999996, -34748.42670227669 6729813.79096216 39.456699, -34748.82201454649 6729813.426005022 39.445999, -34748.897722493624 6729813.353771964 39.444, -34749.20540645183 6729813.051494712 39.435501, -34749.22463449871 6729813.031801649 39.434898, -34749.44647390745 6729812.804652342 39.428699, -34749.579343391466 6729812.664739198 39.4249, -34749.71273536491 6729812.521342701 39.421001, -34749.941814494436 6729812.267965523 39.414299, -34749.9840969434 6729812.219770483 39.413101, -34750.29292903235 6729811.860992327 39.403801, -34750.47498857521 6729811.640374231 39.398201, -34750.632925456506 6729811.443426488 39.393299, -34750.713076919434 6729811.339172939 39.3908, -34750.95206267736 6729811.028184392 39.383202, -34751.11068567773 6729810.809449523 39.377998, -34751.25433820172 6729810.611197513 39.373299, -34751.27452738513 6729810.5832318105 39.3727, -34751.36045098887 6729810.459965436 39.369801, -34751.40414160071 6729810.396384625 39.368301, -34751.57784893515 6729810.138339866 39.3624, -34751.83010888379 6729809.746179 39.3536, -34751.86776473385 6729809.68587178 39.3522, -34751.908553954796 6729809.619912149 39.3508, -34752.03220655641 6729809.414590973 39.346298, -34752.07834902813 6729809.341867866 39.350101, -34752.150524497614 6729809.227915788 39.355999, -34752.24287199078 6729809.088417713 39.353199, -34752.45741679007 6729808.782548145 39.3475, -34752.70755528065 6729808.454249207 39.342201, -34752.790149315726 6729808.351929575 39.340698, -34752.978042293806 6729808.130334965 39.3377, -34753.02342624753 6729808.07687941 39.337002, -34753.11214946688 6729807.978040988 39.3358, -34753.160141108674 6729807.924727577 39.335201, -34753.239034921164 6729807.839692844 39.334202, -34753.30078854691 6729807.776858926 39.333599, -34753.331766784424 6729807.745450757 39.333199, -34753.39851077495 6729807.677638102 39.3325, -34753.56109324051 6729807.51244446 39.330799, -34753.57975609868 6729807.494512579 39.330601, -34753.64218651701 6729807.436374728 39.330101, -34753.7801641206 6729807.307803036 39.328899, -34753.79822776164 6729807.290926193 39.3288, -34753.853281044285 6729807.239666596 39.3283, -34753.8944519778 6729807.203651417 39.327999, -34753.99091799825 6729807.119223953 39.327301, -34754.01852140296 6729807.094960891 39.327099, -34754.034856564016 6729807.081549606 39.3274, -34754.27223195764 6729806.887147799 39.331299, -34754.341707283864 6729806.830157774 39.3325, -34754.422697431175 6729806.767376513 39.333, -34754.51638353628 6729806.695684158 39.333401, -34754.57628351322 6729806.650911602 39.333698, -34754.690338550834 6729806.569096246 39.334202, -34754.743811123655 6729806.530685625 39.334499, -34754.80526146002 6729806.486558659 39.334702, -34754.893002711935 6729806.427011395 39.335098, -34754.98161592195 6729806.366741268 39.335499, -34755.08757940959 6729806.297383023 39.335899, -34755.10676032072 6729806.284835679 39.335999, -34755.218932916294 6729806.2158426745 39.336399, -34755.32564647251 6729806.150380445 39.3368, -34755.42576470622 6729806.088747804 39.3372, -34755.45361762191 6729806.071657631 39.337299, -34755.49585332081 6729805.989915879 39.337601, -34755.65913403453 6729805.949071328 39.3344, -34755.74213566061 6729805.903894646 39.334202, -34755.797618082375 6729805.874330937 39.333199, -34755.886151414365 6729805.82815112 39.332401, -34756.10138108034 6729805.720455384 39.331799, -34756.16881671781 6729805.6879566945 39.331699, -34756.28043479845 6729805.634926199 39.3316, -34756.32350097748 6729805.614496614 39.3316, -34756.665024747956 6729805.454108366 39.3316, -34757.262796695344 6729805.1813208405 39.332401, -34757.30420605489 6729805.162452736 39.332401, -34757.59317223879 6729805.030485006 39.332802, -34758.25565546495 6729804.740659405 39.3349, -34758.298357127 6729804.722010378 39.335098, -34758.52384096489 6729804.623310321 39.3358, -34759.25374971621 6729804.3176027145 39.3395, -34759.4577781976 6729804.232145125 39.340599, -34759.926904290915 6729804.042148089 39.3437, -34760.1214185243 6729803.964886822 39.3452, -34760.25843681081 6729803.910559849 39.346199, -34760.39562759828 6729803.856548815 39.347301, -34761.27029252378 6729803.521997773 39.354, -34761.337089799345 6729803.496490943 39.354599, -34761.77022805542 6729803.336536775 39.3577, -34762.28102851799 6729803.152270311 39.352001, -34763.22797332518 6729802.823636296 39.341202, -34763.31230610446 6729802.795805472 39.340199, -34764.17773097684 6729802.510466448 39.3307, -34764.34217988083 6729802.459055695 39.328999, -34765.13000237162 6729802.212738404 39.320599, -34765.37721816066 6729802.139596976 39.3181, -34766.08552372677 6729801.930111689 39.311001, -34766.18129774742 6729801.90272545 39.310001, -34766.41700368759 6729801.83648664 39.3078, -34766.719284639694 6729801.751566507 39.304798, -34767.044085857226 6729801.662670881 39.301701, -34767.140231303056 6729801.63672772 39.3008, -34767.46197948512 6729801.552585395 39.297901, -34768.004354083096 6729801.410692585 39.2929, -34768.51111264434 6729801.285985692 39.288502, -34768.967072854866 6729801.173746429 39.2845, -34769.536191628315 6729801.041153996 39.279701, -34769.56365684571 6729801.034905957 39.2794, -34769.933149525896 6729800.951811777 39.276402, -34770.62102879805 6729800.80481606 39.271, -34770.90013478475 6729800.745271629 39.268799, -34771.2637378159 6729800.67150948 39.265999, -34771.681003414094 6729800.590274818 39.262901, -34771.86988871195 6729800.553589306 39.261501, -34772.744288948365 6729800.394568094 39.255299, -34772.84210070211 6729800.37683506 39.254601, -34773.81022566231 6729800.216123677 39.248199, -34774.451113652205 6729800.118106393 39.244202, -34774.79103627475 6729800.068662442 39.2421, -34774.87893584161 6729800.056872462 39.2416, -34775.768276834744 6729799.9370869575 39.236401, -34775.949632062344 6729799.915525652 39.2355, -34776.74817676004 6729799.820463029 39.231098, -34777.02181502746 6729799.790936654 39.229698, -34777.1730825227 6729799.774576439 39.229, -34777.728703697096 6729799.716787543 39.2262, -34778.03740405617 6729799.684931931 39.224602, -34778.094234628836 6729799.679159635 39.2244, -34778.70984589169 6729799.616291701 39.221298, -34779.1644455581 6729799.570603754 39.219002, -34779.6912138972 6729799.517729193 39.2164, -34780.23242084286 6729799.46446382 39.213699, -34780.67189048813 6729799.421217447 39.211498, -34781.29846058448 6729799.360762279 39.208302, -34781.654118514154 6729799.326461311 39.206501, -34782.36265478353 6729799.2596161505 39.202999, -34782.635854979744 6729799.233773234 39.201599, -34783.42511347553 6729799.16092372 39.197701, -34783.61719949043 6729799.143165368 39.196701, -34784.486044381745 6729799.064616379 39.192402, -34784.59938712069 6729799.054348949 39.191799, -34785.54553951556 6729798.97078918 39.187099, -34785.58148262277 6729798.967638187 39.186901, -34786.56462155562 6729798.882731181 39.181999, -34786.60369756911 6729798.879464251 39.181801, -34787.54676906427 6729798.799851491 39.177101, -34787.66083748778 6729798.790458292 39.176498, -34788.529032989056 6729798.718999861 39.172199, -34788.717049272615 6729798.703888318 39.1712, -34789.51273986907 6729798.6399885835 39.167198, -34789.772342437296 6729798.619650455 39.165901, -34790.046547437436 6729798.598232496 39.1646, -34790.49585521547 6729798.563037217 39.1623, -34790.826925710426 6729798.537665111 39.160702, -34791.36662636069 6729798.496447757 39.158001, -34791.47838781006 6729798.488049877 39.157398, -34791.871472991304 6729798.458586898 39.1558, -34792.46155479725 6729798.414933577 39.153999, -34792.85567482072 6729798.386268398 39.1534, -34792.93466238596 6729798.380509047 39.153301, -34793.44554706523 6729798.3438035045 39.153099, -34793.838486158755 6729798.3159356285 39.1534, -34793.98810601013 6729798.305468643 39.151699, -34794.428338907775 6729798.274783328 39.145802, -34794.82232189982 6729798.247614365 39.141102, -34795.041339147254 6729798.232726498 39.138699, -34795.412174088764 6729798.207567914 39.134701, -34795.89462384244 6729798.175612539 39.130501, -34796.086761212326 6729798.162792097 39.128799, -34796.39633487165 6729798.142295975 39.126099, -34797.098445686046 6729798.097220905 39.1217, -34797.380711859674 6729798.079062247 39.1199, -34798.1102556336 6729798.033578886 39.117199, -34798.36420727649 6729798.01775611 39.116299, -34799.12217367359 6729797.972055819 39.115398, -34799.34882706846 6729797.95846964 39.115101, -34800.03599708283 6729797.9181689955 39.1157, -34800.13420812995 6729797.912560817 39.115898, -34800.33256474044 6729797.90111675 39.116299, -34801.14634088974 6729797.855291642 39.117802, -34801.31743602676 6729797.845682645 39.118099, -34802.15859052376 6729797.800045538 39.119701, -34802.30131634686 6729797.792270859 39.1199, -34802.860160144046 6729797.763079124 39.120998, -34803.17105654685 6729797.746835642 39.121498, -34803.28643043747 6729797.740784003 39.1217, -34804.18353947182 6729797.695640665 39.123402, -34804.27055328642 6729797.691322474 39.123501, -34805.196130031254 6729797.646569638 39.125198, -34805.25581908226 6729797.643677837 39.125301, -34806.20882785949 6729797.599626554 39.126999, -34806.2401845525 6729797.598165556 39.127102, -34807.22154268052 6729797.55469739 39.128799, -34807.55076242273 6729797.540735431 39.129398, -34808.2100999332 6729797.512892752 39.130501, -34808.234465109184 6729797.511900324 39.1306, -34809.19575081486 6729797.473140473 39.132198, -34809.247393926256 6729797.47122196 39.132301, -34810.18040367111 6729797.43550958 39.1339, -34810.26044143224 6729797.432568849 39.134102, -34811.16619710997 6729797.399699405 39.135601, -34811.27359466674 6729797.3960385015 39.135799, -34812.1509985826 6729797.36591146 39.137299, -34812.2867656186 6729797.361525164 39.137501, -34813.136925796396 6729797.334139268 39.138901, -34813.30004611134 6729797.329136957 39.139198, -34813.84220706555 6729797.31272136 39.140099, -34814.121870916686 6729797.304292516 39.140598, -34814.313331268844 6729797.298864278 39.1409, -34815.106840995606 6729797.276361711 39.1422, -34815.32673302712 6729797.270617663 39.142601, -34816.09293672384 6729797.250447661 39.143799, -34816.34025365685 6729797.244394296 39.144199, -34816.97670148255 6729797.228959707 39.145199, -34817.07805144868 6729797.2264581425 39.145401, -34817.353680977365 6729797.220278489 39.145802, -34818.06418985245 6729797.2044770485 39.146999, -34818.36721683899 6729797.198287727 39.147499, -34818.892231622245 6729797.187654208 39.1483, -34819.04934543837 6729797.184418306 39.148499, -34819.380866396474 6729797.17832175 39.149101, -34820.03461962147 6729797.16638581 39.150101, -34820.292041106615 6729797.162164378 39.150501, -34820.39865733113 6729797.160447303 39.1507, -34821.020419259556 6729797.150314091 39.1516, -34821.45428651094 6729797.14402304 39.152302, -34822.0064423451 6729797.136179519 39.153099, -34822.51000466372 6729797.129926484 39.1539, -34822.991583492956 6729797.123976539 39.154701, -34823.56613327493 6729797.117979599 39.155499, -34823.9781611705 6729797.113717063 39.156101, -34824.62274557294 6729797.108394557 39.157101, -34824.963136175415 6729797.105527623 39.1576, -34825.67996690911 6729797.100979391 39.158699, -34825.948639631155 6729797.09929924 39.1591, -34826.32418979844 6729797.0974377245 39.159599, -34826.737993684015 6729797.095756111 39.1665, -34826.934873274644 6729797.094951676 39.1698, -34827.79692117474 6729797.092828122 39.184601, -34827.838221061975 6729797.092783421 39.185299, -34827.92082399223 6729797.09259359 39.186798, -34828.11794924713 6729797.0924169775 39.190201, -34828.17194284289 6729797.092327265 39.186501, -34828.205885282834 6729797.092314738 39.1833, -34828.31084281101 6729797.092256672 39.173302, -34828.827132971026 6729797.0922063235 39.124599, -34828.856843994115 6729797.092207111 39.121799, -34828.90669572493 6729797.092241642 39.117001, -34829.09230446222 6729797.09242031 39.112301, -34829.089126971085 6729797.442733104 39.146, -34829.08874678402 6729797.47986359 39.149799, -34829.078422831604 6729798.527303031 39.255199, -34829.07569604542 6729799.3840691745 39.3367, -34829.02094645589 6729799.38137225 39.343601, -34828.961989396485 6729799.377382487 39.351002, -34828.94026220881 6729799.375997835 39.353699, -34828.75945326325 6729799.364068755 39.376499, -34828.710891898605 6729799.360931415 39.382599, -34828.68195715395 6729799.3590860525 39.3862, -34828.17858029716 6729799.328091046 39.449501, -34828.076200895826 6729799.322037926 39.462399, -34828.04313840438 6729799.320118675 39.466499, -34827.99033656693 6729799.317093529 39.466499, -34827.798052667174 6729799.306231587 39.466499, -34827.71737291757 6729799.301863765 39.466499, -34827.67708457296 6729799.299683572 39.466499, -34826.83512477693 6729799.257317232 39.466499, -34826.64263971371 6729799.248651677 39.466499, -34826.23810569337 6729799.23154311 39.466499, -34825.870768857654 6729799.217440536 39.466499, -34825.60784266319 6729799.208063314 39.466499, -34824.906004630146 6729799.1863877 39.466499, -34824.572705749306 6729799.177816869 39.466499, -34823.94101022335 6729799.164479208 39.466499, -34823.537223886466 6729799.157912888 39.466499, -34822.973881901824 6729799.151540703 39.466499, -34822.50158959429 6729799.148470729 39.466499, -34822.00764572527 6729799.1475451635 39.466499, -34821.46602020762 6729799.149305832 39.466499, -34821.04036980658 6729799.152724572 39.466499, -34820.43040932773 6729799.160513207 39.466499, -34820.32579796715 6729799.162312181 39.466499, -34820.0693753853 6729799.166624085 39.466499, -34819.41825566185 6729799.178398339 39.466499, -34819.088123800466 6729799.184723839 39.466499, -34818.931736596045 6729799.187724133 39.466499, -34818.40873673267 6729799.198340749 39.466999, -34818.10691050021 6729799.20463803 39.467701, -34817.399341645185 6729799.220208164 39.470402, -34817.12479369517 6729799.226686294 39.471901, -34817.02386036748 6729799.229026594 39.4725, -34816.38993710582 6729799.244389229 39.476501, -34816.143621073104 6729799.250533255 39.478001, -34815.38066049409 6729799.27049467 39.4828, -34815.161547942436 6729799.276514568 39.4841, -34814.371287393966 6729799.298709388 39.489101, -34814.18061794061 6729799.304310783 39.4902, -34813.90198134375 6729799.31253155 39.492001, -34813.36212462257 6729799.329059478 39.4949, -34813.19960468472 6729799.334115763 39.495602, -34812.352987084305 6729799.361322519 39.4977, -34812.21770939999 6729799.365853333 39.497898, -34811.3438480614 6729799.395801231 39.4972, -34811.23684803129 6729799.399498539 39.497002, -34810.33483587543 6729799.432205227 39.493401, -34810.25509448687 6729799.435176125 39.493, -34809.325918904855 6729799.470835777 39.486301, -34809.27446731529 6729799.472873557 39.485802, -34808.31702155864 6729799.511484513 39.4758, -34808.29276677652 6729799.512382304 39.475498, -34807.636070916546 6729799.539963322 39.466801, -34807.312290402595 6729799.553920864 39.4622, -34806.330823153374 6729799.597480744 39.4482, -34806.29957567237 6729799.598849011 39.447701, -34805.350498666754 6729799.64285953 39.4342, -34805.291018617805 6729799.645668743 39.4333, -34804.369174066 6729799.690360513 39.4202, -34804.28246904223 6729799.694606272 39.4189, -34803.38899241062 6729799.739678401 39.4062, -34803.274036249146 6729799.745567865 39.404499, -34802.964565442526 6729799.761641771 39.400101, -34802.40791921236 6729799.791032753 39.392399, -34802.26582021173 6729799.798561671 39.390499, -34801.42798923468 6729799.844201007 39.3801, -34801.25761156122 6729799.8536742795 39.378101, -34800.44715874875 6729799.899503612 39.369301, -34800.249519418925 6729799.910813948 39.367401, -34800.15179862955 6729799.916567745 39.366402, -34799.467371144216 6729799.956615971 39.360199, -34799.24163524946 6729799.970081719 39.358299, -34798.48679242714 6729800.015767945 39.3526, -34798.2337676161 6729800.031368406 39.350899, -34797.50723838713 6729800.076928431 39.3466, -34797.22610722366 6729800.09479118 39.3451, -34796.52691134694 6729800.139930778 39.342098, -34796.218563887756 6729800.1602350315 39.341, -34796.02714389004 6729800.172920741 39.3405, -34795.55391978996 6729800.205318199 39.339298, -34795.19031231478 6729800.231841759 39.3386, -34794.97550716472 6729800.248026913 39.338299, -34794.58939544624 6729800.27832901 39.338001, -34794.15797644912 6729800.313952058 39.337898, -34794.01139718492 6729800.3264107555 39.337898, -34793.62667177478 6729800.360271318 39.3382, -34793.12752227753 6729800.406308605 39.338799, -34793.04918757535 6729800.413737241 39.338902, -34792.663624651614 6729800.451243669 39.339802, -34792.095898935804 6729800.509231261 39.3414, -34791.70257814543 6729800.55116382 39.3428, -34791.59341136308 6729800.563123066 39.3433, -34791.066465988406 6729800.622328727 39.3456, -34790.743541404605 6729800.659931884 39.347301, -34790.3055185884 6729800.7126736045 39.349899, -34790.03820678452 6729800.745704294 39.351501, -34789.78549787088 6729800.777650153 39.3531, -34789.01132117899 6729800.879375258 39.3578, -34788.82865590486 6729800.904243039 39.359001, -34787.98570855777 6729801.023340461 39.364201, -34787.87504981272 6729801.03949297 39.364799, -34786.961569323554 6729801.1776112085 39.370499, -34786.923762551276 6729801.183515383 39.370701, -34785.97388613422 6729801.336326828 39.376598, -34785.93912153551 6729801.342006033 39.376801, -34785.02746346581 6729801.497615853 39.382401, -34784.91834643856 6729801.516729693 39.383099, -34784.08368653199 6729801.667407157 39.388302, -34783.8993536114 6729801.70168546 39.3894, -34783.1434639598 6729801.845677202 39.3941, -34782.88225144299 6729801.896789595 39.395802, -34782.205995694036 6729802.032363782 39.400002, -34781.867140362854 6729802.102045246 39.4021, -34781.271282740636 6729802.227455921 39.4058, -34780.85421995027 6729802.317472715 39.408401, -34780.34147675906 6729802.43055442 39.411598, -34779.843390415306 6729802.54306185 39.4147, -34779.41453502746 6729802.641968737 39.4174, -34778.83496009209 6729802.77874521 39.421001, -34778.7815210846 6729802.791474575 39.421398, -34778.4915921893 6729802.861406972 39.423199, -34777.97054841684 6729802.989239144 39.426498, -34777.82892980368 6729803.0245138 39.427399, -34777.57275727438 6729803.088778383 39.429001, -34776.825308057596 6729803.280274739 39.433701, -34776.65597850317 6729803.324491315 39.434799, -34775.82438553241 6729803.546153345 39.439999, -34775.74248125311 6729803.568362883 39.440498, -34775.42480838229 6729803.6552957175 39.442501, -34774.831139480346 6729803.820591105 39.446301, -34773.92226206546 6729804.081102556 39.452099, -34773.83077443263 6729804.107875196 39.452702, -34773.01470466959 6729804.350294998 39.457802, -34772.83829504228 6729804.403633862 39.459, -34772.44909946539 6729804.522591342 39.461498, -34772.109719570726 6729804.627680841 39.4636, -34771.84883190435 6729804.709336785 39.465302, -34771.207300893264 6729804.913357233 39.469398, -34770.86248634814 6729805.024999296 39.4716, -34770.83684630424 6729805.033324131 39.471802, -34770.30557522818 6729805.207962376 39.475201, -34769.87927758426 6729805.350411646 39.477901, -34769.40661075222 6729805.51087591 39.480999, -34768.89938444062 6729805.685798695 39.484299, -34768.59930779948 6729805.790660622 39.486198, -34768.50938683597 6729805.822310543 39.486801, -34768.20574728749 6729805.929761954 39.488701, -34767.92293633113 6729806.030869138 39.490601, -34767.70274847606 6729806.110212626 39.492001, -34767.61316318391 6729806.142596309 39.492599, -34766.95002126752 6729806.385728728 39.496899, -34766.71897040424 6729806.471532497 39.498402, -34765.98065111879 6729806.750280858 39.503201, -34765.826902209665 6729806.809118622 39.5042, -34765.0150247406 6729807.124542729 39.509499, -34764.936029063305 6729807.155683509 39.510101, -34764.05315209529 6729807.508416555 39.5159, -34763.56610404258 6729807.707145173 39.5191, -34763.15836677095 6729807.875669344 39.521800999999996, -34763.095230498584 6729807.901914362 39.522202, -34762.27072631824 6729808.249620667 39.527599, -34762.15740445943 6729808.298160174 39.5284, -34762.01188793627 6729808.360576095 39.5294, -34761.82828019012 6729808.439743745 39.530602, -34761.38486769656 6729808.6326981615 39.534302, -34761.191354913986 6729808.717708801 39.536098, -34760.500591053045 6729809.024884527 39.543701, -34760.28627865028 6729809.121487487 39.546397999999996, -34760.24572013819 6729809.139830212 39.5452, -34759.61725408363 6729809.426627546 39.527599, -34759.344649535604 6729809.552636588 39.520401, -34759.30425519252 6729809.5713972235 39.5215, -34758.73400864238 6729809.838346095 39.535599, -34758.4083458276 6729809.992732819 39.542801, -34758.36717089324 6729810.012329435 39.543598, -34758.260683015804 6729810.063209091 39.545799, -34758.19621749269 6729810.09407018 39.547199, -34757.98889355047 6729810.193526003 39.551701, -34757.90311724495 6729810.234918357 39.5536, -34757.8490512392 6729810.261091667 39.554798, -34757.76885003946 6729810.299874363 39.556599, -34757.62728155905 6729810.368691993 39.559898, -34757.56856700475 6729810.397255649 39.561298, -34757.535046496196 6729810.413522557 39.562099, -34757.434562758775 6729810.462639625 39.564499, -34757.3276401991 6729810.514988236 39.567101, -34757.21511091222 6729810.57024778 39.569901, -34757.19559791335 6729810.57984486 39.5704, -34757.09813110833 6729810.62792386 39.572899, -34756.99686017784 6729810.677970978 39.5755, -34756.90685772651 6729810.722607179 39.577801, -34756.84375937376 6729810.753892621 39.579498, -34756.78719911701 6729810.782050275 39.581001, -34756.66857491119 6729810.841185238 39.584202, -34756.616749399225 6729810.867056126 39.585602, -34756.50653549051 6729810.922328309 39.588699, -34756.434332012665 6729810.95851979 39.590698, -34756.34553519345 6729811.003166699 39.5933, -34756.08953994687 6729811.132609619 39.6007, -34756.04147581651 6729811.157012073 39.6021, -34755.93531559978 6729811.210945321 39.605301, -34755.8900955345 6729811.233997763 39.606701, -34755.82828242588 6729811.265601347 39.608601, -34755.80799435382 6729811.275930164 39.6092, -34755.653274032986 6729811.35532633 39.613998, -34755.58328296442 6729811.3915220285 39.616199, -34755.56213498674 6729811.40247511 39.616901, -34755.37472621433 6729811.500028346 39.622898, -34755.29875768046 6729811.539905757 39.625401, -34755.26352746098 6729811.558333619 39.626499, -34755.19314735872 6729811.595499862 39.628899, -34755.10168256657 6729811.644027865 39.631901, -34755.045251204865 6729811.674011273 39.633801, -34754.94094042701 6729811.729723399 39.637299, -34754.886600164464 6729811.758891141 39.639198, -34754.66290033236 6729811.8799117375 39.6469, -34754.55996668886 6729811.935950423 39.6506, -34754.24660537508 6729812.108892226 39.6619, -34753.968232552055 6729812.264890777 39.672401, -34753.84532437718 6729812.334510011 39.677101, -34753.74713488028 6729812.390479611 39.680901, -34753.68442473223 6729812.42633497 39.683399, -34753.512171347975 6729812.525579436 39.690201, -34753.456013870775 6729812.558103886 39.692501, -34753.40442453849 6729812.588027179 39.6945, -34753.06337418023 6729812.788344465 39.708599, -34752.84402282641 6729812.919026454 39.717999, -34752.77591727069 6729812.9599282 39.720901, -34752.66387174721 6729813.027522778 39.7258, -34752.6379633334 6729813.043176517 39.727001, -34752.453849799465 6729813.155336661 39.7351, -34752.250641483464 6729813.280247429 39.743999, -34751.95240616135 6729813.466154259 39.756599, -34751.85236630973 6729813.529108456 39.7607, -34751.65892295202 6729813.65189403 39.768501, -34751.438821689575 6729813.792985125 39.777199, -34751.072408764274 6729814.031566169 39.7911, -34751.022671844345 6729814.06437954 39.7929, -34750.756832746905 6729814.240763355 39.802399, -34750.60401883419 6729814.343299046 39.807701, -34750.453274911386 6729814.445216561 39.812801, -34750.20464957366 6729814.615124491 39.8209, -34750.18314591376 6729814.629972023 39.821602, -34749.84476727806 6729814.8648781525 39.8321, -34749.762632098165 6729814.922621314 39.834499, -34749.34946074558 6729815.216446692 39.846199, -34749.235045299516 6729815.298931034 39.8493, -34748.918293448514 6729815.529774803 39.8573, -34748.81146977178 6729815.608524855 39.859901, -34748.62602266972 6729815.746242148 39.864201, -34748.50728537969 6729815.835181559 39.866901, -34748.07787946344 6729816.16115812 39.875801, -34748.02077781095 6729816.205080068 39.8769, -34747.7195671635 6729816.438857014 39.882301, -34747.67844720825 6729816.471049541 39.882999, -34747.661095123505 6729816.484567104 39.883301, -34747.420164842624 6729816.674916695 39.8871, -34747.24870430771 6729816.811702214 39.889599, -34746.8632723192 6729817.123778339 39.894402, -34746.82690115925 6729817.153585672 39.894901, -34746.47939251177 6729817.440933868 39.8983, -34746.43302461365 6729817.479795776 39.898701, -34746.387326214346 6729817.518011953 39.899101, -34746.24206002953 6729817.640376528 39.9002, -34746.06229625188 6729817.793019169 39.901299, -34746.03050565615 6729817.8201227365 39.901501, -34745.629434530274 6729818.166624433 39.903099, -34745.27575981233 6729818.478386175 39.903599, -34745.22827449965 6729818.520672911 39.903599, -34745.0830052644 6729818.650790549 39.9035, -34744.791717372835 6729818.9147875225 39.902699, -34744.504093848635 6729819.179518958 39.901299, -34744.41932726954 6729819.258272805 39.9007, -34744.006817993475 6729819.647139756 39.897301, -34743.90139927401 6729819.747972181 39.896099, -34743.74752665614 6729819.89613527 39.894402, -34743.585449640756 6729820.053621833 39.8922, -34743.45820813079 6729820.1782405805 39.8904, -34743.37883487798 6729820.256380486 39.889301, -34743.28615133872 6729820.347906563 39.887901, -34743.153795386665 6729820.478902744 39.885899, -34743.005243200925 6729820.626148093 39.883701, -34742.70738975122 6729820.922274352 39.879299, -34742.641210582224 6729820.98832981 39.8783, -34742.26966819691 6729821.359893588 39.872898, -34742.23884863185 6729821.390712981 39.872398, -34741.95141240046 6729821.679736834 39.868198, -34741.744116186164 6729821.888880084 39.8652, -34741.583831227385 6729822.0509603955 39.8629, -34741.53943195054 6729822.095842286 39.862201999999996, -34741.46093234094 6729822.175473279 39.861099, -34741.19883925328 6729822.441841007 39.8573, -34740.814516349696 6729822.834191946 39.8517, -34740.64778185694 6729823.005152149 39.8493, -34740.35901549517 6729823.302111683 39.8452, -34740.23466838547 6729823.430318233 39.843399, -34740.21242355264 6729823.453258129 39.843102, -34740.19440569717 6729823.471856418 39.8428, -34740.09472262976 6729823.5749243675 39.8414, -34739.96131237445 6729823.712978044 39.8395, -34739.73091399658 6729823.952233416 39.836201, -34739.50244761119 6729824.190155955 39.833, -34739.37982664816 6729824.318221465 39.8312, -34738.669833581895 6729825.064081701 39.821201, -34738.39068437496 6729825.35940811 39.817299, -34737.964630681556 6729825.812592441 39.811401, -34737.32266472676 6729826.500834473 39.802601, -34737.26399935584 6729826.564050934 39.8018, -34736.94040070067 6729826.913615442 39.797401, -34736.64491490333 6729827.234432214 39.793301)</t>
  </si>
  <si>
    <t>POLYGON Z ((-34736.64282706776 6729827.235256235 39.793301, -34735.92314780515 6729826.525339495 39.696301, -34736.1797519027 6729826.156138637 39.6968, -34736.45969775878 6729825.753120995 39.696701, -34736.510499072494 6729825.680116548 39.696602, -34737.06529279915 6729824.881367675 39.694901, -34737.43319093133 6729824.351639573 39.693699, -34737.673943868955 6729824.004861326 39.699902, -34738.28607449087 6729823.12333253 39.715698, -34738.39177011617 6729822.971156809 39.718399, -34738.58855570294 6729822.687626819 39.716301, -34738.7870700222 6729822.401739194 39.7141, -34738.90182467527 6729822.236396275 39.7127, -34738.98779429472 6729822.112627526 39.7117, -34739.00264843262 6729822.091226537 39.711498, -34739.136668674415 6729821.916766465 39.700802, -34739.38657955045 6729821.560150767 39.692501, -34739.535565040074 6729821.359766527 39.687698, -34739.87870968622 6729820.897974353 39.676701, -34740.1205054922 6729820.59258334 39.669102, -34740.1940381584 6729820.502323809 39.666901, -34740.235569974524 6729820.451338601 39.6656, -34740.38720551797 6729820.269328492 39.660999, -34740.58581796498 6729820.037331453 39.655102, -34740.866006506025 6729819.721859746 39.646800999999996, -34740.89671220153 6729819.6890175585 39.645901, -34741.26708802045 6729819.292768494 39.6353, -34741.33405905578 6729819.223565579 39.6334, -34741.64006509504 6729818.918714403 39.624901, -34741.792450791225 6729818.766991697 39.620701, -34741.930748482 6729818.634925192 39.616901, -34742.028690937324 6729818.544285666 39.6143, -34742.112546874676 6729818.466655027 39.612, -34742.246579294675 6729818.342658259 39.608398, -34742.41977039527 6729818.189210182 39.603802, -34742.58351859369 6729818.044268128 39.599499, -34742.696773528936 6729817.946973546 39.5965, -34743.14348352479 6729817.5772563405 39.585098, -34743.22922307486 6729817.508762205 39.582901, -34743.5513023549 6729817.258262607 39.574799, -34743.873235440464 6729817.018123662 39.566898, -34744.03469566291 6729816.901472484 39.563, -34744.08805421251 6729816.864361777 39.561699, -34744.483654826414 6729816.589674221 39.5522, -34744.93667304539 6729816.292951677 39.5415, -34744.97288068163 6729816.270384153 39.540699, -34745.17726662778 6729816.142556669 39.5359, -34745.343137327116 6729816.041521018 39.532101, -34745.39526330971 6729816.010137106 39.530998, -34745.44842578552 6729815.978444242 39.529701, -34745.84154287027 6729815.738581417 39.520699, -34745.881888551405 6729815.712665281 39.519798, -34746.30611144414 6729815.437780089 39.5098, -34746.491022748756 6729815.312499844 39.505402, -34746.7474279562 6729815.133537762 39.499298, -34746.76564628212 6729815.120503415 39.498798, -34746.808962689945 6729815.089621984 39.497799, -34747.12257382274 6729814.860101059 39.490101, -34747.18130825716 6729814.815924776 39.488602, -34747.60624114727 6729814.486012361 39.478001, -34747.73445812054 6729814.3826339245 39.474701, -34747.91716459929 6729814.231974026 39.470001, -34748.02148780378 6729814.144235432 39.4673, -34748.32669341331 6729813.880003374 39.459300999999996, -34748.42670227669 6729813.79096216 39.456699, -34748.82201454649 6729813.426005022 39.445999, -34748.897722493624 6729813.353771964 39.444, -34749.20540645183 6729813.051494712 39.435501, -34749.22463449871 6729813.031801649 39.434898, -34749.44647390745 6729812.804652342 39.428699, -34749.579343391466 6729812.664739198 39.4249, -34749.71273536491 6729812.521342701 39.421001, -34749.941814494436 6729812.267965523 39.414299, -34749.9840969434 6729812.219770483 39.413101, -34750.29292903235 6729811.860992327 39.403801, -34750.47498857521 6729811.640374231 39.398201, -34750.632925456506 6729811.443426488 39.393299, -34750.713076919434 6729811.339172939 39.3908, -34750.95206267736 6729811.028184392 39.383202, -34751.11068567773 6729810.809449523 39.377998, -34751.25433820172 6729810.611197513 39.373299, -34751.27452738513 6729810.5832318105 39.3727, -34751.36045098887 6729810.459965436 39.369801, -34751.40414160071 6729810.396384625 39.368301, -34751.57784893515 6729810.138339866 39.3624, -34751.83010888379 6729809.746179 39.3536, -34751.86776473385 6729809.68587178 39.3522, -34751.908553954796 6729809.619912149 39.3508, -34752.03220655641 6729809.414590973 39.346298, -34752.07834902813 6729809.341867866 39.350101, -34752.150524497614 6729809.227915788 39.355999, -34752.24287199078 6729809.088417713 39.353199, -34752.45741679007 6729808.782548145 39.3475, -34752.70755528065 6729808.454249207 39.342201, -34752.790149315726 6729808.351929575 39.340698, -34752.978042293806 6729808.130334965 39.3377, -34753.02342624753 6729808.07687941 39.337002, -34753.11214946688 6729807.978040988 39.3358, -34753.160141108674 6729807.924727577 39.335201, -34753.239034921164 6729807.839692844 39.334202, -34753.30078854691 6729807.776858926 39.333599, -34753.331766784424 6729807.745450757 39.333199, -34753.39851077495 6729807.677638102 39.3325, -34753.56109324051 6729807.51244446 39.330799, -34753.57975609868 6729807.494512579 39.330601, -34753.64218651701 6729807.436374728 39.330101, -34753.7801641206 6729807.307803036 39.328899, -34753.79822776164 6729807.290926193 39.3288, -34753.853281044285 6729807.239666596 39.3283, -34753.8944519778 6729807.203651417 39.327999, -34753.99091799825 6729807.119223953 39.327301, -34754.01852140296 6729807.094960891 39.327099, -34754.034856564016 6729807.081549606 39.3274, -34754.27223195764 6729806.887147799 39.331299, -34754.341707283864 6729806.830157774 39.3325, -34754.422697431175 6729806.767376513 39.333, -34754.51638353628 6729806.695684158 39.333401, -34754.57628351322 6729806.650911602 39.333698, -34754.690338550834 6729806.569096246 39.334202, -34754.743811123655 6729806.530685625 39.334499, -34754.80526146002 6729806.486558659 39.334702, -34754.893002711935 6729806.427011395 39.335098, -34754.98161592195 6729806.366741268 39.335499, -34755.08757940959 6729806.297383023 39.335899, -34755.10676032072 6729806.284835679 39.335999, -34755.218932916294 6729806.2158426745 39.336399, -34755.32564647251 6729806.150380445 39.3368, -34755.42576470622 6729806.088747804 39.3372, -34755.45361762191 6729806.071657631 39.337299, -34755.49585332081 6729805.989915879 39.337601, -34755.65913403453 6729805.949071328 39.3344, -34755.74213566061 6729805.903894646 39.334202, -34755.797618082375 6729805.874330937 39.333199, -34755.886151414365 6729805.82815112 39.332401, -34756.10138108034 6729805.720455384 39.331799, -34756.16881671781 6729805.6879566945 39.331699, -34756.28043479845 6729805.634926199 39.3316, -34756.32350097748 6729805.614496614 39.3316, -34756.665024747956 6729805.454108366 39.3316, -34757.262796695344 6729805.1813208405 39.332401, -34757.30420605489 6729805.162452736 39.332401, -34757.59317223879 6729805.030485006 39.332802, -34758.25565546495 6729804.740659405 39.3349, -34758.298357127 6729804.722010378 39.335098, -34758.52384096489 6729804.623310321 39.3358, -34759.25374971621 6729804.3176027145 39.3395, -34759.4577781976 6729804.232145125 39.340599, -34759.926904290915 6729804.042148089 39.3437, -34760.1214185243 6729803.964886822 39.3452, -34760.25843681081 6729803.910559849 39.346199, -34760.39562759828 6729803.856548815 39.347301, -34761.27029252378 6729803.521997773 39.354, -34761.337089799345 6729803.496490943 39.354599, -34761.77022805542 6729803.336536775 39.3577, -34762.28102851799 6729803.152270311 39.352001, -34763.22797332518 6729802.823636296 39.341202, -34763.31230610446 6729802.795805472 39.340199, -34764.17773097684 6729802.510466448 39.3307, -34764.34217988083 6729802.459055695 39.328999, -34765.13000237162 6729802.212738404 39.320599, -34765.37721816066 6729802.139596976 39.3181, -34766.08552372677 6729801.930111689 39.311001, -34766.18129774742 6729801.90272545 39.310001, -34766.41700368759 6729801.83648664 39.3078, -34766.719284639694 6729801.751566507 39.304798, -34767.044085857226 6729801.662670881 39.301701, -34767.140231303056 6729801.63672772 39.3008, -34767.46197948512 6729801.552585395 39.297901, -34768.004354083096 6729801.410692585 39.2929, -34768.51111264434 6729801.285985692 39.288502, -34768.967072854866 6729801.173746429 39.2845, -34769.536191628315 6729801.041153996 39.279701, -34769.56365684571 6729801.034905957 39.2794, -34769.933149525896 6729800.951811777 39.276402, -34770.62102879805 6729800.80481606 39.271, -34770.90013478475 6729800.745271629 39.268799, -34771.2637378159 6729800.67150948 39.265999, -34771.681003414094 6729800.590274818 39.262901, -34771.86988871195 6729800.553589306 39.261501, -34772.744288948365 6729800.394568094 39.255299, -34772.84210070211 6729800.37683506 39.254601, -34773.81022566231 6729800.216123677 39.248199, -34774.451113652205 6729800.118106393 39.244202, -34774.79103627475 6729800.068662442 39.2421, -34774.87893584161 6729800.056872462 39.2416, -34775.768276834744 6729799.9370869575 39.236401, -34775.949632062344 6729799.915525652 39.2355, -34776.74817676004 6729799.820463029 39.231098, -34777.02181502746 6729799.790936654 39.229698, -34777.1730825227 6729799.774576439 39.229, -34777.728703697096 6729799.716787543 39.2262, -34778.03740405617 6729799.684931931 39.224602, -34778.094234628836 6729799.679159635 39.2244, -34778.70984589169 6729799.616291701 39.221298, -34779.1644455581 6729799.570603754 39.219002, -34779.6912138972 6729799.517729193 39.2164, -34780.23242084286 6729799.46446382 39.213699, -34780.67189048813 6729799.421217447 39.211498, -34781.29846058448 6729799.360762279 39.208302, -34781.654118514154 6729799.326461311 39.206501, -34782.36265478353 6729799.2596161505 39.202999, -34782.635854979744 6729799.233773234 39.201599, -34783.42511347553 6729799.16092372 39.197701, -34783.61719949043 6729799.143165368 39.196701, -34784.486044381745 6729799.064616379 39.192402, -34784.59938712069 6729799.054348949 39.191799, -34785.54553951556 6729798.97078918 39.187099, -34785.58148262277 6729798.967638187 39.186901, -34786.56462155562 6729798.882731181 39.181999, -34786.60369756911 6729798.879464251 39.181801, -34787.54676906427 6729798.799851491 39.177101, -34787.66083748778 6729798.790458292 39.176498, -34788.529032989056 6729798.718999861 39.172199, -34788.717049272615 6729798.703888318 39.1712, -34789.51273986907 6729798.6399885835 39.167198, -34789.772342437296 6729798.619650455 39.165901, -34790.046547437436 6729798.598232496 39.1646, -34790.49585521547 6729798.563037217 39.1623, -34790.826925710426 6729798.537665111 39.160702, -34791.36662636069 6729798.496447757 39.158001, -34791.47838781006 6729798.488049877 39.157398, -34791.871472991304 6729798.458586898 39.1558, -34792.46155479725 6729798.414933577 39.153999, -34792.85567482072 6729798.386268398 39.1534, -34792.93466238596 6729798.380509047 39.153301, -34793.44554706523 6729798.3438035045 39.153099, -34793.838486158755 6729798.3159356285 39.1534, -34793.98810601013 6729798.305468643 39.151699, -34794.428338907775 6729798.274783328 39.145802, -34794.82232189982 6729798.247614365 39.141102, -34795.041339147254 6729798.232726498 39.138699, -34795.412174088764 6729798.207567914 39.134701, -34795.89462384244 6729798.175612539 39.130501, -34796.086761212326 6729798.162792097 39.128799, -34796.39633487165 6729798.142295975 39.126099, -34797.098445686046 6729798.097220905 39.1217, -34797.380711859674 6729798.079062247 39.1199, -34798.1102556336 6729798.033578886 39.117199, -34798.36420727649 6729798.01775611 39.116299, -34799.12217367359 6729797.972055819 39.115398, -34799.34882706846 6729797.95846964 39.115101, -34800.03599708283 6729797.9181689955 39.1157, -34800.13420812995 6729797.912560817 39.115898, -34800.33256474044 6729797.90111675 39.116299, -34801.14634088974 6729797.855291642 39.117802, -34801.31743602676 6729797.845682645 39.118099, -34802.15859052376 6729797.800045538 39.119701, -34802.30131634686 6729797.792270859 39.1199, -34802.860160144046 6729797.763079124 39.120998, -34803.17105654685 6729797.746835642 39.121498, -34803.28643043747 6729797.740784003 39.1217, -34804.18353947182 6729797.695640665 39.123402, -34804.27055328642 6729797.691322474 39.123501, -34805.196130031254 6729797.646569638 39.125198, -34805.25581908226 6729797.643677837 39.125301, -34806.20882785949 6729797.599626554 39.126999, -34806.2401845525 6729797.598165556 39.127102, -34807.22154268052 6729797.55469739 39.128799, -34807.55076242273 6729797.540735431 39.129398, -34808.2100999332 6729797.512892752 39.130501, -34808.234465109184 6729797.511900324 39.1306, -34809.19575081486 6729797.473140473 39.132198, -34809.247393926256 6729797.47122196 39.132301, -34810.18040367111 6729797.43550958 39.1339, -34810.26044143224 6729797.432568849 39.134102, -34811.16619710997 6729797.399699405 39.135601, -34811.27359466674 6729797.3960385015 39.135799, -34812.1509985826 6729797.36591146 39.137299, -34812.2867656186 6729797.361525164 39.137501, -34813.136925796396 6729797.334139268 39.138901, -34813.30004611134 6729797.329136957 39.139198, -34813.84220706555 6729797.31272136 39.140099, -34814.121870916686 6729797.304292516 39.140598, -34814.313331268844 6729797.298864278 39.1409, -34815.106840995606 6729797.276361711 39.1422, -34815.32673302712 6729797.270617663 39.142601, -34816.09293672384 6729797.250447661 39.143799, -34816.34025365685 6729797.244394296 39.144199, -34816.97670148255 6729797.228959707 39.145199, -34817.07805144868 6729797.2264581425 39.145401, -34817.353680977365 6729797.220278489 39.145802, -34818.06418985245 6729797.2044770485 39.146999, -34818.36721683899 6729797.198287727 39.147499, -34818.892231622245 6729797.187654208 39.1483, -34819.04934543837 6729797.184418306 39.148499, -34819.380866396474 6729797.17832175 39.149101, -34820.03461962147 6729797.16638581 39.150101, -34820.292041106615 6729797.162164378 39.150501, -34820.39865733113 6729797.160447303 39.1507, -34821.020419259556 6729797.150314091 39.1516, -34821.45428651094 6729797.14402304 39.152302, -34822.0064423451 6729797.136179519 39.153099, -34822.51000466372 6729797.129926484 39.1539, -34822.991583492956 6729797.123976539 39.154701, -34823.56613327493 6729797.117979599 39.155499, -34823.9781611705 6729797.113717063 39.156101, -34824.62274557294 6729797.108394557 39.157101, -34824.963136175415 6729797.105527623 39.1576, -34825.67996690911 6729797.100979391 39.158699, -34825.948639631155 6729797.09929924 39.1591, -34826.32418979844 6729797.0974377245 39.159599, -34826.737993684015 6729797.095756111 39.1665, -34826.934873274644 6729797.094951676 39.1698, -34827.79692117474 6729797.092828122 39.184601, -34827.838221061975 6729797.092783421 39.185299, -34827.92082399223 6729797.09259359 39.186798, -34828.11794924713 6729797.0924169775 39.190201, -34828.17194284289 6729797.092327265 39.186501, -34828.205885282834 6729797.092314738 39.1833, -34828.31084281101 6729797.092256672 39.173302, -34828.827132971026 6729797.0922063235 39.124599, -34828.856843994115 6729797.092207111 39.121799, -34828.90669572493 6729797.092241642 39.117001, -34829.09230446222 6729797.09242031 39.112301, -34829.089126971085 6729797.442733104 39.146, -34829.08874678402 6729797.47986359 39.149799, -34829.078422831604 6729798.527303031 39.255199, -34829.07569604542 6729799.3840691745 39.3367, -34829.02094645589 6729799.38137225 39.343601, -34828.961989396485 6729799.377382487 39.351002, -34828.94026220881 6729799.375997835 39.353699, -34828.75945326325 6729799.364068755 39.376499, -34828.710891898605 6729799.360931415 39.382599, -34828.68195715395 6729799.3590860525 39.3862, -34828.17858029716 6729799.328091046 39.449501, -34828.076200895826 6729799.322037926 39.462399, -34828.04313840438 6729799.320118675 39.466499, -34827.99033656693 6729799.317093529 39.466499, -34827.798052667174 6729799.306231587 39.466499, -34827.71737291757 6729799.301863765 39.466499, -34827.67708457296 6729799.299683572 39.466499, -34826.83512477693 6729799.257317232 39.466499, -34826.64263971371 6729799.248651677 39.466499, -34826.23810569337 6729799.23154311 39.466499, -34825.870768857654 6729799.217440536 39.466499, -34825.60784266319 6729799.208063314 39.466499, -34824.906004630146 6729799.1863877 39.466499, -34824.572705749306 6729799.177816869 39.466499, -34823.94101022335 6729799.164479208 39.466499, -34823.537223886466 6729799.157912888 39.466499, -34822.973881901824 6729799.151540703 39.466499, -34822.50158959429 6729799.148470729 39.466499, -34822.00764572527 6729799.1475451635 39.466499, -34821.46602020762 6729799.149305832 39.466499, -34821.04036980658 6729799.152724572 39.466499, -34820.43040932773 6729799.160513207 39.466499, -34820.32579796715 6729799.162312181 39.466499, -34820.0693753853 6729799.166624085 39.466499, -34819.41825566185 6729799.178398339 39.466499, -34819.088123800466 6729799.184723839 39.466499, -34818.931736596045 6729799.187724133 39.466499, -34818.40873673267 6729799.198340749 39.466999, -34818.10691050021 6729799.20463803 39.467701, -34817.399341645185 6729799.220208164 39.470402, -34817.12479369517 6729799.226686294 39.471901, -34817.02386036748 6729799.229026594 39.4725, -34816.38993710582 6729799.244389229 39.476501, -34816.143621073104 6729799.250533255 39.478001, -34815.38066049409 6729799.27049467 39.4828, -34815.161547942436 6729799.276514568 39.4841, -34814.371287393966 6729799.298709388 39.489101, -34814.18061794061 6729799.304310783 39.4902, -34813.90198134375 6729799.31253155 39.492001, -34813.36212462257 6729799.329059478 39.4949, -34813.19960468472 6729799.334115763 39.495602, -34812.352987084305 6729799.361322519 39.4977, -34812.21770939999 6729799.365853333 39.497898, -34811.3438480614 6729799.395801231 39.4972, -34811.23684803129 6729799.399498539 39.497002, -34810.33483587543 6729799.432205227 39.493401, -34810.25509448687 6729799.435176125 39.493, -34809.325918904855 6729799.470835777 39.486301, -34809.27446731529 6729799.472873557 39.485802, -34808.31702155864 6729799.511484513 39.4758, -34808.29276677652 6729799.512382304 39.475498, -34807.636070916546 6729799.539963322 39.466801, -34807.312290402595 6729799.553920864 39.4622, -34806.330823153374 6729799.597480744 39.4482, -34806.29957567237 6729799.598849011 39.447701, -34805.350498666754 6729799.64285953 39.4342, -34805.291018617805 6729799.645668743 39.4333, -34804.369174066 6729799.690360513 39.4202, -34804.28246904223 6729799.694606272 39.4189, -34803.38899241062 6729799.739678401 39.4062, -34803.274036249146 6729799.745567865 39.404499, -34802.964565442526 6729799.761641771 39.400101, -34802.40791921236 6729799.791032753 39.392399, -34802.26582021173 6729799.798561671 39.390499, -34801.42798923468 6729799.844201007 39.3801, -34801.25761156122 6729799.8536742795 39.378101, -34800.44715874875 6729799.899503612 39.369301, -34800.249519418925 6729799.910813948 39.367401, -34800.15179862955 6729799.916567745 39.366402, -34799.467371144216 6729799.956615971 39.360199, -34799.24163524946 6729799.970081719 39.358299, -34798.48679242714 6729800.015767945 39.3526, -34798.2337676161 6729800.031368406 39.350899, -34797.50723838713 6729800.076928431 39.3466, -34797.22610722366 6729800.09479118 39.3451, -34796.52691134694 6729800.139930778 39.342098, -34796.218563887756 6729800.1602350315 39.341, -34796.02714389004 6729800.172920741 39.3405, -34795.55391978996 6729800.205318199 39.339298, -34795.19031231478 6729800.231841759 39.3386, -34794.97550716472 6729800.248026913 39.338299, -34794.58939544624 6729800.27832901 39.338001, -34794.15797644912 6729800.313952058 39.337898, -34794.01139718492 6729800.3264107555 39.337898, -34793.62667177478 6729800.360271318 39.3382, -34793.12752227753 6729800.406308605 39.338799, -34793.04918757535 6729800.413737241 39.338902, -34792.663624651614 6729800.451243669 39.339802, -34792.095898935804 6729800.509231261 39.3414, -34791.70257814543 6729800.55116382 39.3428, -34791.59341136308 6729800.563123066 39.3433, -34791.066465988406 6729800.622328727 39.3456, -34790.743541404605 6729800.659931884 39.347301, -34790.3055185884 6729800.7126736045 39.349899, -34790.03820678452 6729800.745704294 39.351501, -34789.78549787088 6729800.777650153 39.3531, -34789.01132117899 6729800.879375258 39.3578, -34788.82865590486 6729800.904243039 39.359001, -34787.98570855777 6729801.023340461 39.364201, -34787.87504981272 6729801.03949297 39.364799, -34786.961569323554 6729801.1776112085 39.370499, -34786.923762551276 6729801.183515383 39.370701, -34785.97388613422 6729801.336326828 39.376598, -34785.93912153551 6729801.342006033 39.376801, -34785.02746346581 6729801.497615853 39.382401, -34784.91834643856 6729801.516729693 39.383099, -34784.08368653199 6729801.667407157 39.388302, -34783.8993536114 6729801.70168546 39.3894, -34783.1434639598 6729801.845677202 39.3941, -34782.88225144299 6729801.896789595 39.395802, -34782.205995694036 6729802.032363782 39.400002, -34781.867140362854 6729802.102045246 39.4021, -34781.271282740636 6729802.227455921 39.4058, -34780.85421995027 6729802.317472715 39.408401, -34780.34147675906 6729802.43055442 39.411598, -34779.843390415306 6729802.54306185 39.4147, -34779.41453502746 6729802.641968737 39.4174, -34778.83496009209 6729802.77874521 39.421001, -34778.7815210846 6729802.791474575 39.421398, -34778.4915921893 6729802.861406972 39.423199, -34777.97054841684 6729802.989239144 39.426498, -34777.82892980368 6729803.0245138 39.427399, -34777.57275727438 6729803.088778383 39.429001, -34776.825308057596 6729803.280274739 39.433701, -34776.65597850317 6729803.324491315 39.434799, -34775.82438553241 6729803.546153345 39.439999, -34775.74248125311 6729803.568362883 39.440498, -34775.42480838229 6729803.6552957175 39.442501, -34774.831139480346 6729803.820591105 39.446301, -34773.92226206546 6729804.081102556 39.452099, -34773.83077443263 6729804.107875196 39.452702, -34773.01470466959 6729804.350294998 39.457802, -34772.83829504228 6729804.403633862 39.459, -34772.44909946539 6729804.522591342 39.461498, -34772.109719570726 6729804.627680841 39.4636, -34771.84883190435 6729804.709336785 39.465302, -34771.207300893264 6729804.913357233 39.469398, -34770.86248634814 6729805.024999296 39.4716, -34770.83684630424 6729805.033324131 39.471802, -34770.30557522818 6729805.207962376 39.475201, -34769.87927758426 6729805.350411646 39.477901, -34769.40661075222 6729805.51087591 39.480999, -34768.89938444062 6729805.685798695 39.484299, -34768.59930779948 6729805.790660622 39.486198, -34768.50938683597 6729805.822310543 39.486801, -34768.20574728749 6729805.929761954 39.488701, -34767.92293633113 6729806.030869138 39.490601, -34767.70274847606 6729806.110212626 39.492001, -34767.61316318391 6729806.142596309 39.492599, -34766.95002126752 6729806.385728728 39.496899, -34766.71897040424 6729806.471532497 39.498402, -34765.98065111879 6729806.750280858 39.503201, -34765.826902209665 6729806.809118622 39.5042, -34765.0150247406 6729807.124542729 39.509499, -34764.936029063305 6729807.155683509 39.510101, -34764.05315209529 6729807.508416555 39.5159, -34763.56610404258 6729807.707145173 39.5191, -34763.15836677095 6729807.875669344 39.521800999999996, -34763.095230498584 6729807.901914362 39.522202, -34762.27072631824 6729808.249620667 39.527599, -34762.15740445943 6729808.298160174 39.5284, -34762.01188793627 6729808.360576095 39.5294, -34761.82828019012 6729808.439743745 39.530602, -34761.38486769656 6729808.6326981615 39.534302, -34761.191354913986 6729808.717708801 39.536098, -34760.500591053045 6729809.024884527 39.543701, -34760.28627865028 6729809.121487487 39.546397999999996, -34760.24572013819 6729809.139830212 39.5452, -34759.61725408363 6729809.426627546 39.527599, -34759.344649535604 6729809.552636588 39.520401, -34759.30425519252 6729809.5713972235 39.5215, -34758.73400864238 6729809.838346095 39.535599, -34758.4083458276 6729809.992732819 39.542801, -34758.36717089324 6729810.012329435 39.543598, -34758.260683015804 6729810.063209091 39.545799, -34758.19621749269 6729810.09407018 39.547199, -34757.98889355047 6729810.193526003 39.551701, -34757.90311724495 6729810.234918357 39.5536, -34757.8490512392 6729810.261091667 39.554798, -34757.76885003946 6729810.299874363 39.556599, -34757.62728155905 6729810.368691993 39.559898, -34757.56856700475 6729810.397255649 39.561298, -34757.535046496196 6729810.413522557 39.562099, -34757.434562758775 6729810.462639625 39.564499, -34757.3276401991 6729810.514988236 39.567101, -34757.21511091222 6729810.57024778 39.569901, -34757.19559791335 6729810.57984486 39.5704, -34757.09813110833 6729810.62792386 39.572899, -34756.99686017784 6729810.677970978 39.5755, -34756.90685772651 6729810.722607179 39.577801, -34756.84375937376 6729810.753892621 39.579498, -34756.78719911701 6729810.782050275 39.581001, -34756.66857491119 6729810.841185238 39.584202, -34756.616749399225 6729810.867056126 39.585602, -34756.50653549051 6729810.922328309 39.588699, -34756.434332012665 6729810.95851979 39.590698, -34756.34553519345 6729811.003166699 39.5933, -34756.08953994687 6729811.132609619 39.6007, -34756.04147581651 6729811.157012073 39.6021, -34755.93531559978 6729811.210945321 39.605301, -34755.8900955345 6729811.233997763 39.606701, -34755.82828242588 6729811.265601347 39.608601, -34755.80799435382 6729811.275930164 39.6092, -34755.653274032986 6729811.35532633 39.613998, -34755.58328296442 6729811.3915220285 39.616199, -34755.56213498674 6729811.40247511 39.616901, -34755.37472621433 6729811.500028346 39.622898, -34755.29875768046 6729811.539905757 39.625401, -34755.26352746098 6729811.558333619 39.626499, -34755.19314735872 6729811.595499862 39.628899, -34755.10168256657 6729811.644027865 39.631901, -34755.045251204865 6729811.674011273 39.633801, -34754.94094042701 6729811.729723399 39.637299, -34754.886600164464 6729811.758891141 39.639198, -34754.66290033236 6729811.8799117375 39.6469, -34754.55996668886 6729811.935950423 39.6506, -34754.24660537508 6729812.108892226 39.6619, -34753.968232552055 6729812.264890777 39.672401, -34753.84532437718 6729812.334510011 39.677101, -34753.74713488028 6729812.390479611 39.680901, -34753.68442473223 6729812.42633497 39.683399, -34753.512171347975 6729812.525579436 39.690201, -34753.456013870775 6729812.558103886 39.692501, -34753.40442453849 6729812.588027179 39.6945, -34753.06337418023 6729812.788344465 39.708599, -34752.84402282641 6729812.919026454 39.717999, -34752.77591727069 6729812.9599282 39.720901, -34752.66387174721 6729813.027522778 39.7258, -34752.6379633334 6729813.043176517 39.727001, -34752.453849799465 6729813.155336661 39.7351, -34752.250641483464 6729813.280247429 39.743999, -34751.95240616135 6729813.466154259 39.756599, -34751.85236630973 6729813.529108456 39.7607, -34751.65892295202 6729813.65189403 39.768501, -34751.438821689575 6729813.792985125 39.777199, -34751.072408764274 6729814.031566169 39.7911, -34751.022671844345 6729814.06437954 39.7929, -34750.756832746905 6729814.240763355 39.802399, -34750.60401883419 6729814.343299046 39.807701, -34750.453274911386 6729814.445216561 39.812801, -34750.20464957366 6729814.615124491 39.8209, -34750.18314591376 6729814.629972023 39.821602, -34749.84476727806 6729814.8648781525 39.8321, -34749.762632098165 6729814.922621314 39.834499, -34749.34946074558 6729815.216446692 39.846199, -34749.235045299516 6729815.298931034 39.8493, -34748.918293448514 6729815.529774803 39.8573, -34748.81146977178 6729815.608524855 39.859901, -34748.62602266972 6729815.746242148 39.864201, -34748.50728537969 6729815.835181559 39.866901, -34748.07787946344 6729816.16115812 39.875801, -34748.02077781095 6729816.205080068 39.8769, -34747.7195671635 6729816.438857014 39.882301, -34747.67844720825 6729816.471049541 39.882999, -34747.661095123505 6729816.484567104 39.883301, -34747.420164842624 6729816.674916695 39.8871, -34747.24870430771 6729816.811702214 39.889599, -34746.8632723192 6729817.123778339 39.894402, -34746.82690115925 6729817.153585672 39.894901, -34746.47939251177 6729817.440933868 39.8983, -34746.43302461365 6729817.479795776 39.898701, -34746.387326214346 6729817.518011953 39.899101, -34746.24206002953 6729817.640376528 39.9002, -34746.06229625188 6729817.793019169 39.901299, -34746.03050565615 6729817.8201227365 39.901501, -34745.629434530274 6729818.166624433 39.903099, -34745.27575981233 6729818.478386175 39.903599, -34745.22827449965 6729818.520672911 39.903599, -34745.0830052644 6729818.650790549 39.9035, -34744.791717372835 6729818.9147875225 39.902699, -34744.504093848635 6729819.179518958 39.901299, -34744.41932726954 6729819.258272805 39.9007, -34744.006817993475 6729819.647139756 39.897301, -34743.90139927401 6729819.747972181 39.896099, -34743.74752665614 6729819.89613527 39.894402, -34743.585449640756 6729820.053621833 39.8922, -34743.45820813079 6729820.1782405805 39.8904, -34743.37883487798 6729820.256380486 39.889301, -34743.28615133872 6729820.347906563 39.887901, -34743.153795386665 6729820.478902744 39.885899, -34743.005243200925 6729820.626148093 39.883701, -34742.70738975122 6729820.922274352 39.879299, -34742.641210582224 6729820.98832981 39.8783, -34742.26966819691 6729821.359893588 39.872898, -34742.23884863185 6729821.390712981 39.872398, -34741.95141240046 6729821.679736834 39.868198, -34741.744116186164 6729821.888880084 39.8652, -34741.583831227385 6729822.0509603955 39.8629, -34741.53943195054 6729822.095842286 39.862201999999996, -34741.46093234094 6729822.175473279 39.861099, -34741.19883925328 6729822.441841007 39.8573, -34740.814516349696 6729822.834191946 39.8517, -34740.64778185694 6729823.005152149 39.8493, -34740.35901549517 6729823.302111683 39.8452, -34740.23466838547 6729823.430318233 39.843399, -34740.21242355264 6729823.453258129 39.843102, -34740.19440569717 6729823.471856418 39.8428, -34740.09472262976 6729823.5749243675 39.8414, -34739.96131237445 6729823.712978044 39.8395, -34739.73091399658 6729823.952233416 39.836201, -34739.50244761119 6729824.190155955 39.833, -34739.37982664816 6729824.318221465 39.8312, -34738.669833581895 6729825.064081701 39.821201, -34738.39068437496 6729825.35940811 39.817299, -34737.964630681556 6729825.812592441 39.811401, -34737.32266472676 6729826.500834473 39.802601, -34737.26399935584 6729826.564050934 39.8018, -34736.94040070067 6729826.913615442 39.797401, -34736.64491490333 6729827.234432214 39.793301, -34736.64282706776 6729827.235256235 39.793301))</t>
  </si>
  <si>
    <t>['FV540 S1D1 m3897 KD1 m60-69']</t>
  </si>
  <si>
    <t>LINESTRING Z (-34730.00153179304 6729798.22998627 39.798401, -34729.96793632838 6729798.369125399 39.801998, -34729.94615837501 6729798.468355297 39.804501, -34729.93266844656 6729798.534299281 39.806099, -34729.90188656619 6729798.700990929 39.8102, -34729.875968623324 6729798.868526912 39.814098, -34729.86585652921 6729798.943744249 39.815899, -34729.85472651967 6729799.036695605 39.818001, -34729.84175245126 6729799.165132561 39.820801, -34729.83926975564 6729799.194416821 39.821499, -34729.83010970068 6729799.316455939 39.8241, -34729.82675647852 6729799.373961477 39.825298, -34729.82354482985 6729799.438729726 39.826698, -34729.81991182105 6729799.543244359 39.828899, -34729.817855722504 6729799.683359502 39.831699, -34729.81788219721 6729799.712772854 39.832298, -34729.82069196983 6729799.882236967 39.835602, -34729.82223108271 6729799.928103308 39.836498, -34729.82829659805 6729800.051034334 39.838799, -34729.83392606792 6729800.135849646 39.840302, -34729.83671510406 6729800.172467641 39.841, -34729.84071199747 6729800.220068867 39.841801, -34729.85789880238 6729800.388736674 39.844799, -34729.86113953788 6729800.416024142 39.8452, -34729.87712348788 6729800.537342596 39.847301, -34729.89554823458 6729800.6583820125 39.849201, -34729.90251298796 6729800.700015525 39.849899, -34729.90650078084 6729800.723545105 39.8503, -34729.937979242764 6729800.890094407 39.852798, -34729.97417884914 6729801.055671087 39.855202, -34729.994049464236 6729801.137863703 39.8564, -34730.015106507344 6729801.220265701 39.857498, -34730.03882763407 6729801.3076485135 39.8587, -34730.05792704993 6729801.374057333 39.8596, -34730.11066807655 6729801.5448756255 39.861698, -34730.13141357014 6729801.607607898 39.862499, -34730.165372092626 6729801.705291171 39.863602, -34730.214470458915 6729801.837803799 39.865101, -34730.224651287775 6729801.864117421 39.865398, -34730.288429713226 6729802.021138923 39.867001, -34730.30692224228 6729802.064427535 39.867401, -34730.34906773304 6729802.159641671 39.868301, -34730.40859423939 6729802.28716497 39.8694, -34730.42893592513 6729802.32901346 39.869701, -34730.50584626896 6729802.48008364 39.870899, -34730.51933388412 6729802.5054935105 39.871101, -34730.58700066549 6729802.6288251355 39.871899, -34730.60451329115 6729802.659741324 39.872101, -34730.638862984604 6729802.7190855155 39.872501, -34730.67228727264 6729802.775326403 39.872799, -34730.70187348209 6729802.823965008 39.8731, -34730.761480630725 6729802.918761043 39.873501, -34730.854986574384 6729803.060174428 39.8741, -34730.9037312523 6729803.13061181 39.874401, -34730.952475884 6729803.1988283405 39.874599, -34731.04862563545 6729803.327892994 39.874802, -34731.15900665976 6729803.467627938 39.875, -34731.201431128895 6729803.519052881 39.875, -34731.26761293935 6729803.597026717 39.875, -34731.36207050807 6729803.703878946 39.874802, -34731.38019307086 6729803.723769904 39.874802, -34731.445096957264 6729803.793669903 39.874699, -34731.49629690952 6729803.847207935 39.8745, -34731.53009055869 6729803.881832111 39.874401, -34731.61241419718 6729803.963901038 39.8741, -34731.630805459106 6729803.981902952 39.874001, -34731.66829441674 6729804.017968452 39.873798, -34731.70519588946 6729804.052772528 39.8736, -34731.73878838797 6729804.084050532 39.873402, -34731.864634625614 6729804.196801203 39.8727, -34731.88721417647 6729804.216393329 39.872501, -34731.97613700933 6729804.291313328 39.871899, -34732.02455125889 6729804.202583558 39.886501, -34732.072001291905 6729804.113362605 39.9011, -34732.0815036929 6729804.095398485 39.903999, -34732.13827699411 6729803.984670834 39.9212, -34732.18775184895 6729803.88546071 39.936501, -34732.235973990755 6729803.785632253 39.951698, -34732.28314308962 6729803.685204762 39.966999, -34732.2922118674 6729803.665387983 39.970001, -34732.34086411854 6729803.5575424135 39.9827, -34732.388167678495 6729803.44907073 39.995499, -34732.434105591965 6729803.340070087 40.008202, -34732.478585968725 6729803.230532066 40.020901, -34732.512067305855 6729803.145368824 40.030602, -34732.558907619095 6729803.022149751 40.044102, -34732.5988647223 6729802.912501616 40.056, -34732.62634923868 6729802.834541468 40.0644, -34732.63400079077 6729802.812581518 40.0667, -34732.64472902659 6729802.781233335 40.069302, -34732.694683331996 6729802.630601771 40.083302, -34732.73075539584 6729802.516063443 40.0937, -34732.765356413205 6729802.4010912515 40.104198, -34732.79848774942 6729802.285681283 40.114601, -34732.83014849643 6729802.16983246 40.125099, -34732.84434279357 6729802.116036235 40.1301, -34732.88608868641 6729801.949446326 40.145599, -34732.90772668563 6729801.857253933 40.152802, -34732.913620210835 6729801.831406369 40.1548, -34732.92968690116 6729801.759355112 40.1581, -34732.957396896556 6729801.62833674 40.1633, -34732.98933002865 6729801.464470949 40.169498, -34732.99322212825 6729801.442869694 40.169998, -34732.99903571559 6729801.411274833 40.171398, -34733.00363087829 6729801.385307348 40.172298, -34733.023739673896 6729801.266890709 40.176201, -34733.039361665375 6729801.167804039 40.179401, -34733.05389601912 6729801.068518042 40.182499, -34733.05792001856 6729801.039978253 40.183399, -34733.0609579297 6729801.017795168 40.184101, -34733.06411539833 6729800.994317717 40.184601, -34733.07986278797 6729800.869657907 40.188099, -34733.09394994972 6729800.745552084 40.191502, -34733.096921538236 6729800.71641735 40.191502, -34733.10113705951 6729800.67480064 40.191299, -34733.103257471 6729800.65273798 40.191502, -34733.11080467852 6729800.570335107 40.1912, -34733.116030186415 6729800.508871576 40.190899, -34733.1182287907 6729800.480467767 40.1908, -34733.12038971286 6729800.452464388 40.190601, -34733.129984347266 6729800.308107486 40.189701, -34733.13154089893 6729800.281259394 40.189301, -34733.13294627133 6729800.256006945 40.189098, -34733.1393046584 6729800.117293034 40.188, -34733.143983561895 6729799.963925801 40.1838, -34733.14604987751 6729799.811624604 40.179401, -34733.146158529795 6729799.714743968 40.174198, -34733.146000247565 6729799.692268144 40.173, -34733.14572467271 6729799.657898766 40.1712, -34733.14552271669 6729799.637032459 40.169998, -34733.144352262025 6729799.56843539 40.166199, -34733.14381571731 6729799.542402781 40.1647, -34733.13977358991 6729799.408376556 40.157001, -34733.13704919303 6729799.34135039 40.153099, -34733.13351999188 6729799.267704791 40.1488, -34733.12693095778 6729799.1548994295 40.142101, -34733.11339098448 6729798.971761965 40.131001, -34733.10751348059 6729798.905050315 40.122898, -34733.09756850463 6729798.801405167 40.113201, -34733.08630659641 6729798.697842849 40.1036, -34733.07401462097 6729798.594486336 40.093899, -34733.060508681694 6729798.49122108 40.084202, -34733.05064208014 6729798.420821356 40.077499, -34733.03571499651 6729798.320954121 40.067902, -34733.01976492908 6729798.221292328 40.0583, -34732.99844721251 6729798.097771122 40.0462, -34732.97538884159 6729797.9744943725 40.0341, -34732.95579974784 6729797.876108776 40.0243, -34732.929005275946 6729797.749669709 40.0117, -34732.91352229682 6729797.6800649315 40.004601, -34732.882946638274 6729797.549856115 39.991299, -34732.850513330195 6729797.420080467 39.977901, -34732.8163248169 6729797.290851105 39.9646, -34732.80080769933 6729797.234837238 39.958698, -34732.77230428462 6729797.134732742 39.9482, -34732.74257106602 6729797.034914453 39.937599, -34732.705155185075 6729796.914453199 39.924701999999996, -34732.663410175825 6729796.786340659 39.909, -34732.61978958 6729796.658868125 39.893398, -34732.55454085569 6729796.478344167 39.869999, -34732.50743818947 6729796.354777873 39.853699, -34732.46734242048 6729796.2537123645 39.840302, -34732.42619413475 6729796.153152754 39.826801, -34732.40237646818 6729796.096482386 39.819199, -34732.39217893535 6729796.072583482 39.816002, -34732.361108016106 6729796.000544836 39.806099, -34732.31124004978 6729795.88850939 39.791, -34732.26411794394 6729795.786093298 39.777401, -34732.25559336052 6729795.768088596 39.775002, -34732.20463302219 6729795.661392931 39.7607, -34732.18962502165 6729795.63061146 39.756802, -34732.175696471124 6729795.602340063 39.753201, -34732.162943248986 6729795.576598612 39.749901, -34732.14216834912 6729795.535114328 39.7444, -34732.10031770845 6729795.453220082 39.733501, -34732.07788107917 6729795.410073829 39.727699, -34732.039684284595 6729795.337782389 39.7178, -34731.98892895272 6729795.244199959 39.705101, -34731.97010860103 6729795.209945022 39.700401, -34731.93245212652 6729795.142740018 39.691101, -34731.91051074688 6729795.161278092 39.692001, -34731.843885341426 6729795.219031728 39.694698, -34731.72760938597 6729795.324007427 39.6996, -34731.59580948099 6729795.450021625 39.7052, -34731.551591431606 6729795.494013646 39.707199, -34731.476788685424 6729795.570659523 39.710499, -34731.38267160312 6729795.671217716 39.714699, -34731.36172586284 6729795.694280628 39.715698, -34731.24965668889 6729795.821494607 39.720901, -34731.22120252636 6729795.855046606 39.722198, -34731.143265160965 6729795.949433057 39.725899, -34731.06739420153 6729796.045417826 39.729698, -34731.036857165745 6729796.0852270825 39.731201, -34730.93603860587 6729796.221532031 39.736301, -34730.921477713506 6729796.241952689 39.737, -34730.87547712086 6729796.3076394675 39.739399, -34730.83954678255 6729796.360147926 39.741299, -34730.78379032144 6729796.444377909 39.744301, -34730.746683213045 6729796.502014965 39.746399, -34730.65792151331 6729796.646371775 39.751301, -34730.573265037034 6729796.793225728 39.756302, -34730.53384307702 6729796.865151268 39.758598, -34730.49307247868 6729796.941893549 39.761101, -34730.47678584361 6729796.973436666 39.7621, -34730.422047326574 6729797.082841913 39.765598, -34730.345086242305 6729797.24681282 39.770699, -34730.31921582087 6729797.304972419 39.772499, -34730.27756859793 6729797.402282797 39.775398, -34730.22568676097 6729797.531083252 39.779202, -34730.21460723574 6729797.559679849 39.779999, -34730.156272160006 6729797.718206662 39.784599, -34730.14138020063 6729797.760958611 39.785801, -34730.10228229943 6729797.87884266 39.789101, -34730.06665057968 6729797.994027645 39.792198, -34730.052881134325 6729798.041007853 39.793499, -34730.03291322407 6729798.111699645 39.7953, -34730.00809595024 6729798.204503291 39.797798)</t>
  </si>
  <si>
    <t>POLYGON Z ((-34730.00153179304 6729798.22998627 39.798401, -34729.96793632838 6729798.369125399 39.801998, -34729.94615837501 6729798.468355297 39.804501, -34729.93266844656 6729798.534299281 39.806099, -34729.90188656619 6729798.700990929 39.8102, -34729.875968623324 6729798.868526912 39.814098, -34729.86585652921 6729798.943744249 39.815899, -34729.85472651967 6729799.036695605 39.818001, -34729.84175245126 6729799.165132561 39.820801, -34729.83926975564 6729799.194416821 39.821499, -34729.83010970068 6729799.316455939 39.8241, -34729.82675647852 6729799.373961477 39.825298, -34729.82354482985 6729799.438729726 39.826698, -34729.81991182105 6729799.543244359 39.828899, -34729.817855722504 6729799.683359502 39.831699, -34729.81788219721 6729799.712772854 39.832298, -34729.82069196983 6729799.882236967 39.835602, -34729.82223108271 6729799.928103308 39.836498, -34729.82829659805 6729800.051034334 39.838799, -34729.83392606792 6729800.135849646 39.840302, -34729.83671510406 6729800.172467641 39.841, -34729.84071199747 6729800.220068867 39.841801, -34729.85789880238 6729800.388736674 39.844799, -34729.86113953788 6729800.416024142 39.8452, -34729.87712348788 6729800.537342596 39.847301, -34729.89554823458 6729800.6583820125 39.849201, -34729.90251298796 6729800.700015525 39.849899, -34729.90650078084 6729800.723545105 39.8503, -34729.937979242764 6729800.890094407 39.852798, -34729.97417884914 6729801.055671087 39.855202, -34729.994049464236 6729801.137863703 39.8564, -34730.015106507344 6729801.220265701 39.857498, -34730.03882763407 6729801.3076485135 39.8587, -34730.05792704993 6729801.374057333 39.8596, -34730.11066807655 6729801.5448756255 39.861698, -34730.13141357014 6729801.607607898 39.862499, -34730.165372092626 6729801.705291171 39.863602, -34730.214470458915 6729801.837803799 39.865101, -34730.224651287775 6729801.864117421 39.865398, -34730.288429713226 6729802.021138923 39.867001, -34730.30692224228 6729802.064427535 39.867401, -34730.34906773304 6729802.159641671 39.868301, -34730.40859423939 6729802.28716497 39.8694, -34730.42893592513 6729802.32901346 39.869701, -34730.50584626896 6729802.48008364 39.870899, -34730.51933388412 6729802.5054935105 39.871101, -34730.58700066549 6729802.6288251355 39.871899, -34730.60451329115 6729802.659741324 39.872101, -34730.638862984604 6729802.7190855155 39.872501, -34730.67228727264 6729802.775326403 39.872799, -34730.70187348209 6729802.823965008 39.8731, -34730.761480630725 6729802.918761043 39.873501, -34730.854986574384 6729803.060174428 39.8741, -34730.9037312523 6729803.13061181 39.874401, -34730.952475884 6729803.1988283405 39.874599, -34731.04862563545 6729803.327892994 39.874802, -34731.15900665976 6729803.467627938 39.875, -34731.201431128895 6729803.519052881 39.875, -34731.26761293935 6729803.597026717 39.875, -34731.36207050807 6729803.703878946 39.874802, -34731.38019307086 6729803.723769904 39.874802, -34731.445096957264 6729803.793669903 39.874699, -34731.49629690952 6729803.847207935 39.8745, -34731.53009055869 6729803.881832111 39.874401, -34731.61241419718 6729803.963901038 39.8741, -34731.630805459106 6729803.981902952 39.874001, -34731.66829441674 6729804.017968452 39.873798, -34731.70519588946 6729804.052772528 39.8736, -34731.73878838797 6729804.084050532 39.873402, -34731.864634625614 6729804.196801203 39.8727, -34731.88721417647 6729804.216393329 39.872501, -34731.97613700933 6729804.291313328 39.871899, -34732.02455125889 6729804.202583558 39.886501, -34732.072001291905 6729804.113362605 39.9011, -34732.0815036929 6729804.095398485 39.903999, -34732.13827699411 6729803.984670834 39.9212, -34732.18775184895 6729803.88546071 39.936501, -34732.235973990755 6729803.785632253 39.951698, -34732.28314308962 6729803.685204762 39.966999, -34732.2922118674 6729803.665387983 39.970001, -34732.34086411854 6729803.5575424135 39.9827, -34732.388167678495 6729803.44907073 39.995499, -34732.434105591965 6729803.340070087 40.008202, -34732.478585968725 6729803.230532066 40.020901, -34732.512067305855 6729803.145368824 40.030602, -34732.558907619095 6729803.022149751 40.044102, -34732.5988647223 6729802.912501616 40.056, -34732.62634923868 6729802.834541468 40.0644, -34732.63400079077 6729802.812581518 40.0667, -34732.64472902659 6729802.781233335 40.069302, -34732.694683331996 6729802.630601771 40.083302, -34732.73075539584 6729802.516063443 40.0937, -34732.765356413205 6729802.4010912515 40.104198, -34732.79848774942 6729802.285681283 40.114601, -34732.83014849643 6729802.16983246 40.125099, -34732.84434279357 6729802.116036235 40.1301, -34732.88608868641 6729801.949446326 40.145599, -34732.90772668563 6729801.857253933 40.152802, -34732.913620210835 6729801.831406369 40.1548, -34732.92968690116 6729801.759355112 40.1581, -34732.957396896556 6729801.62833674 40.1633, -34732.98933002865 6729801.464470949 40.169498, -34732.99322212825 6729801.442869694 40.169998, -34732.99903571559 6729801.411274833 40.171398, -34733.00363087829 6729801.385307348 40.172298, -34733.023739673896 6729801.266890709 40.176201, -34733.039361665375 6729801.167804039 40.179401, -34733.05389601912 6729801.068518042 40.182499, -34733.05792001856 6729801.039978253 40.183399, -34733.0609579297 6729801.017795168 40.184101, -34733.06411539833 6729800.994317717 40.184601, -34733.07986278797 6729800.869657907 40.188099, -34733.09394994972 6729800.745552084 40.191502, -34733.096921538236 6729800.71641735 40.191502, -34733.10113705951 6729800.67480064 40.191299, -34733.103257471 6729800.65273798 40.191502, -34733.11080467852 6729800.570335107 40.1912, -34733.116030186415 6729800.508871576 40.190899, -34733.1182287907 6729800.480467767 40.1908, -34733.12038971286 6729800.452464388 40.190601, -34733.129984347266 6729800.308107486 40.189701, -34733.13154089893 6729800.281259394 40.189301, -34733.13294627133 6729800.256006945 40.189098, -34733.1393046584 6729800.117293034 40.188, -34733.143983561895 6729799.963925801 40.1838, -34733.14604987751 6729799.811624604 40.179401, -34733.146158529795 6729799.714743968 40.174198, -34733.146000247565 6729799.692268144 40.173, -34733.14572467271 6729799.657898766 40.1712, -34733.14552271669 6729799.637032459 40.169998, -34733.144352262025 6729799.56843539 40.166199, -34733.14381571731 6729799.542402781 40.1647, -34733.13977358991 6729799.408376556 40.157001, -34733.13704919303 6729799.34135039 40.153099, -34733.13351999188 6729799.267704791 40.1488, -34733.12693095778 6729799.1548994295 40.142101, -34733.11339098448 6729798.971761965 40.131001, -34733.10751348059 6729798.905050315 40.122898, -34733.09756850463 6729798.801405167 40.113201, -34733.08630659641 6729798.697842849 40.1036, -34733.07401462097 6729798.594486336 40.093899, -34733.060508681694 6729798.49122108 40.084202, -34733.05064208014 6729798.420821356 40.077499, -34733.03571499651 6729798.320954121 40.067902, -34733.01976492908 6729798.221292328 40.0583, -34732.99844721251 6729798.097771122 40.0462, -34732.97538884159 6729797.9744943725 40.0341, -34732.95579974784 6729797.876108776 40.0243, -34732.929005275946 6729797.749669709 40.0117, -34732.91352229682 6729797.6800649315 40.004601, -34732.882946638274 6729797.549856115 39.991299, -34732.850513330195 6729797.420080467 39.977901, -34732.8163248169 6729797.290851105 39.9646, -34732.80080769933 6729797.234837238 39.958698, -34732.77230428462 6729797.134732742 39.9482, -34732.74257106602 6729797.034914453 39.937599, -34732.705155185075 6729796.914453199 39.924701999999996, -34732.663410175825 6729796.786340659 39.909, -34732.61978958 6729796.658868125 39.893398, -34732.55454085569 6729796.478344167 39.869999, -34732.50743818947 6729796.354777873 39.853699, -34732.46734242048 6729796.2537123645 39.840302, -34732.42619413475 6729796.153152754 39.826801, -34732.40237646818 6729796.096482386 39.819199, -34732.39217893535 6729796.072583482 39.816002, -34732.361108016106 6729796.000544836 39.806099, -34732.31124004978 6729795.88850939 39.791, -34732.26411794394 6729795.786093298 39.777401, -34732.25559336052 6729795.768088596 39.775002, -34732.20463302219 6729795.661392931 39.7607, -34732.18962502165 6729795.63061146 39.756802, -34732.175696471124 6729795.602340063 39.753201, -34732.162943248986 6729795.576598612 39.749901, -34732.14216834912 6729795.535114328 39.7444, -34732.10031770845 6729795.453220082 39.733501, -34732.07788107917 6729795.410073829 39.727699, -34732.039684284595 6729795.337782389 39.7178, -34731.98892895272 6729795.244199959 39.705101, -34731.97010860103 6729795.209945022 39.700401, -34731.93245212652 6729795.142740018 39.691101, -34731.91051074688 6729795.161278092 39.692001, -34731.843885341426 6729795.219031728 39.694698, -34731.72760938597 6729795.324007427 39.6996, -34731.59580948099 6729795.450021625 39.7052, -34731.551591431606 6729795.494013646 39.707199, -34731.476788685424 6729795.570659523 39.710499, -34731.38267160312 6729795.671217716 39.714699, -34731.36172586284 6729795.694280628 39.715698, -34731.24965668889 6729795.821494607 39.720901, -34731.22120252636 6729795.855046606 39.722198, -34731.143265160965 6729795.949433057 39.725899, -34731.06739420153 6729796.045417826 39.729698, -34731.036857165745 6729796.0852270825 39.731201, -34730.93603860587 6729796.221532031 39.736301, -34730.921477713506 6729796.241952689 39.737, -34730.87547712086 6729796.3076394675 39.739399, -34730.83954678255 6729796.360147926 39.741299, -34730.78379032144 6729796.444377909 39.744301, -34730.746683213045 6729796.502014965 39.746399, -34730.65792151331 6729796.646371775 39.751301, -34730.573265037034 6729796.793225728 39.756302, -34730.53384307702 6729796.865151268 39.758598, -34730.49307247868 6729796.941893549 39.761101, -34730.47678584361 6729796.973436666 39.7621, -34730.422047326574 6729797.082841913 39.765598, -34730.345086242305 6729797.24681282 39.770699, -34730.31921582087 6729797.304972419 39.772499, -34730.27756859793 6729797.402282797 39.775398, -34730.22568676097 6729797.531083252 39.779202, -34730.21460723574 6729797.559679849 39.779999, -34730.156272160006 6729797.718206662 39.784599, -34730.14138020063 6729797.760958611 39.785801, -34730.10228229943 6729797.87884266 39.789101, -34730.06665057968 6729797.994027645 39.792198, -34730.052881134325 6729798.041007853 39.793499, -34730.03291322407 6729798.111699645 39.7953, -34730.00809595024 6729798.204503291 39.797798, -34730.00153179304 6729798.22998627 39.798401))</t>
  </si>
  <si>
    <t>['FV540 S1D1 m3766-3892']</t>
  </si>
  <si>
    <t>LINESTRING Z (-34728.1635568823 6729817.02853032 39.809101, -34728.207658158266 6729817.048484119 39.8088, -34728.22809169849 6729817.057405936 39.808601, -34728.28167112358 6729817.080543357 39.808201, -34728.37674435892 6729817.121279657 39.807499, -34728.863317091134 6729817.3203473 39.803699, -34728.90678373177 6729817.337322128 39.803398, -34728.986052207416 6729817.368050779 39.8027, -34729.11267808126 6729817.416205285 39.801601, -34729.20295408601 6729817.449958502 39.8008, -34729.36167274555 6729817.562293491 39.799999, -34729.44783713273 6729817.780587031 39.8013, -34729.4475496012 6729817.8299129605 39.8018, -34729.434770999826 6729817.994726337 39.803799, -34729.415792498505 6729818.208526581 39.806198, -34729.39412916999 6729818.421982216 39.808399, -34729.36986339814 6729818.635194463 39.8106, -34729.34282397246 6729818.847954254 39.812698, -34729.31310796016 6729819.060268469 39.814701, -34729.28060033952 6729819.272227291 39.816502, -34729.25419450726 6729819.432971422 39.817902, -34729.245522805606 6729819.483642537 39.818298, -34729.207877165056 6729819.694527464 39.819901, -34729.16746275674 6729819.904851609 39.821499, -34729.12437882088 6729820.11463111 39.822899, -34729.108017362305 6729820.190989306 39.823399, -34729.09776385676 6729820.238092104 39.8237, -34729.09293614095 6729820.260011548 39.823799, -34729.07873556798 6729820.323773333 39.8242, -34729.03044135845 6729820.532168152 39.825401, -34728.97958437854 6729820.739930406 39.826599, -34728.92608523101 6729820.9468383 39.827599, -34728.62001367402 6729821.969407401 39.831001, -34728.25116675347 6729822.968094523 39.831799, -34728.10136720282 6729823.325823813 39.831501, -34727.82173142594 6729823.93877207 39.830002, -34727.75733399857 6729824.071160009 39.829498, -34727.33389612741 6729824.877406258 39.826599, -34726.921478044474 6729825.5742768925 39.8242, -34726.90531722072 6729825.600091556 39.8241, -34726.89197171363 6729825.621538055 39.824001, -34726.792241573916 6729825.781203696 39.823399, -34726.76391375088 6729825.8265503645 39.823299, -34726.252511121565 6729826.645287627 39.82, -34725.714664074476 6729827.506424788 39.816299, -34725.177645896096 6729828.3662318215 39.812401, -34724.64109751803 6729829.225275113 39.8083, -34724.488257583114 6729829.469920745 39.806999, -34724.24170078011 6729829.864715906 39.805, -34724.19756311737 6729829.935311112 39.804699, -34724.162512431736 6729829.991422266 39.804401, -34723.637774441624 6729829.682297434 39.816502, -34723.10611020727 6729829.361964762 39.804199, -34723.14311490243 6729829.301091308 39.8046, -34723.18686381832 6729829.229154174 39.805099, -34723.42559910659 6729828.829615909 39.8078, -34723.567700240994 6729828.584587006 39.809399, -34724.0475704415 6729827.71421277 39.8148, -34724.49769601785 6729826.827720643 39.820099, -34724.91735967412 6729825.926344194 39.8255, -34725.28728277667 6729825.057787816 39.8307, -34725.30574907258 6729825.012343688 39.831001, -34725.36982885725 6729824.852632841 39.8321, -34725.37834311556 6729824.831150757 39.832199, -34725.38866737031 6729824.805302099 39.832401, -34725.64699388284 6729824.115971885 39.837002, -34725.90559502924 6729823.335723697 39.8424, -34725.94427929667 6729823.209137931 39.8433, -34726.109764694935 6729822.629549472 39.846699, -34726.19724859472 6729822.293504252 39.848202, -34726.40602868877 6729821.371006204 39.850601, -34726.570869105635 6729820.443274115 39.850399, -34726.598578801844 6729820.257264214 39.850101, -34726.62448530388 6729820.071191893 39.849602, -34726.64869573375 6729819.884965235 39.848999, -34726.65563060867 6729819.828998387 39.848801, -34726.65810832975 6729819.808576932 39.848801, -34726.66307407769 6729819.767533536 39.848598, -34726.67110340134 6729819.69857246 39.8484, -34726.69179788302 6729819.512223205 39.847599, -34726.71079338819 6729819.3257183395 39.846699, -34726.727980612544 6729819.139151598 39.845699, -34726.731798742665 6729819.095286706 39.845501, -34726.74345474283 6729818.952627376 39.844601, -34726.75722480996 6729818.765948091 39.843399, -34726.76927681267 6729818.579409575 39.842098, -34726.779525504564 6729818.392710934 39.840698, -34726.78805204539 6729818.206153698 39.839199, -34726.79487018718 6729818.019543726 39.837502, -34726.79987163213 6729817.832963769 39.8358, -34726.80258140003 6729817.691199299 39.8344, -34726.80325713393 6729817.64644329 39.8339, -34726.80491748813 6729817.460063938 39.832001, -34726.805101617705 6729817.3668130785 39.830898, -34726.80506963446 6729817.340725969 39.830601, -34726.80491625308 6729817.300623779 39.8302, -34726.804801702616 6729817.269994739 39.829899, -34726.802591193584 6729817.058787175 39.827702, -34726.801936477656 6729817.019748992 39.827301, -34726.80146141781 6729816.998554512 39.827099, -34726.81172227475 6729816.894243038 39.818699, -34726.97350776708 6729816.666227556 39.816399, -34727.17671969044 6729816.606180131 39.815701, -34727.34475118399 6729816.645437369 39.816101, -34727.37528808531 6729816.660624663 39.8162, -34727.57214340777 6729816.756811361 39.817101, -34727.76915065665 6729816.85029458 39.817902, -34727.966211566934 6729816.94095956 39.818699, -34728.16244071035 6729817.028631543 39.8195)</t>
  </si>
  <si>
    <t>POLYGON Z ((-34728.1635568823 6729817.02853032 39.809101, -34728.207658158266 6729817.048484119 39.8088, -34728.22809169849 6729817.057405936 39.808601, -34728.28167112358 6729817.080543357 39.808201, -34728.37674435892 6729817.121279657 39.807499, -34728.863317091134 6729817.3203473 39.803699, -34728.90678373177 6729817.337322128 39.803398, -34728.986052207416 6729817.368050779 39.8027, -34729.11267808126 6729817.416205285 39.801601, -34729.20295408601 6729817.449958502 39.8008, -34729.36167274555 6729817.562293491 39.799999, -34729.44783713273 6729817.780587031 39.8013, -34729.4475496012 6729817.8299129605 39.8018, -34729.434770999826 6729817.994726337 39.803799, -34729.415792498505 6729818.208526581 39.806198, -34729.39412916999 6729818.421982216 39.808399, -34729.36986339814 6729818.635194463 39.8106, -34729.34282397246 6729818.847954254 39.812698, -34729.31310796016 6729819.060268469 39.814701, -34729.28060033952 6729819.272227291 39.816502, -34729.25419450726 6729819.432971422 39.817902, -34729.245522805606 6729819.483642537 39.818298, -34729.207877165056 6729819.694527464 39.819901, -34729.16746275674 6729819.904851609 39.821499, -34729.12437882088 6729820.11463111 39.822899, -34729.108017362305 6729820.190989306 39.823399, -34729.09776385676 6729820.238092104 39.8237, -34729.09293614095 6729820.260011548 39.823799, -34729.07873556798 6729820.323773333 39.8242, -34729.03044135845 6729820.532168152 39.825401, -34728.97958437854 6729820.739930406 39.826599, -34728.92608523101 6729820.9468383 39.827599, -34728.62001367402 6729821.969407401 39.831001, -34728.25116675347 6729822.968094523 39.831799, -34728.10136720282 6729823.325823813 39.831501, -34727.82173142594 6729823.93877207 39.830002, -34727.75733399857 6729824.071160009 39.829498, -34727.33389612741 6729824.877406258 39.826599, -34726.921478044474 6729825.5742768925 39.8242, -34726.90531722072 6729825.600091556 39.8241, -34726.89197171363 6729825.621538055 39.824001, -34726.792241573916 6729825.781203696 39.823399, -34726.76391375088 6729825.8265503645 39.823299, -34726.252511121565 6729826.645287627 39.82, -34725.714664074476 6729827.506424788 39.816299, -34725.177645896096 6729828.3662318215 39.812401, -34724.64109751803 6729829.225275113 39.8083, -34724.488257583114 6729829.469920745 39.806999, -34724.24170078011 6729829.864715906 39.805, -34724.19756311737 6729829.935311112 39.804699, -34724.162512431736 6729829.991422266 39.804401, -34723.637774441624 6729829.682297434 39.816502, -34723.10611020727 6729829.361964762 39.804199, -34723.14311490243 6729829.301091308 39.8046, -34723.18686381832 6729829.229154174 39.805099, -34723.42559910659 6729828.829615909 39.8078, -34723.567700240994 6729828.584587006 39.809399, -34724.0475704415 6729827.71421277 39.8148, -34724.49769601785 6729826.827720643 39.820099, -34724.91735967412 6729825.926344194 39.8255, -34725.28728277667 6729825.057787816 39.8307, -34725.30574907258 6729825.012343688 39.831001, -34725.36982885725 6729824.852632841 39.8321, -34725.37834311556 6729824.831150757 39.832199, -34725.38866737031 6729824.805302099 39.832401, -34725.64699388284 6729824.115971885 39.837002, -34725.90559502924 6729823.335723697 39.8424, -34725.94427929667 6729823.209137931 39.8433, -34726.109764694935 6729822.629549472 39.846699, -34726.19724859472 6729822.293504252 39.848202, -34726.40602868877 6729821.371006204 39.850601, -34726.570869105635 6729820.443274115 39.850399, -34726.598578801844 6729820.257264214 39.850101, -34726.62448530388 6729820.071191893 39.849602, -34726.64869573375 6729819.884965235 39.848999, -34726.65563060867 6729819.828998387 39.848801, -34726.65810832975 6729819.808576932 39.848801, -34726.66307407769 6729819.767533536 39.848598, -34726.67110340134 6729819.69857246 39.8484, -34726.69179788302 6729819.512223205 39.847599, -34726.71079338819 6729819.3257183395 39.846699, -34726.727980612544 6729819.139151598 39.845699, -34726.731798742665 6729819.095286706 39.845501, -34726.74345474283 6729818.952627376 39.844601, -34726.75722480996 6729818.765948091 39.843399, -34726.76927681267 6729818.579409575 39.842098, -34726.779525504564 6729818.392710934 39.840698, -34726.78805204539 6729818.206153698 39.839199, -34726.79487018718 6729818.019543726 39.837502, -34726.79987163213 6729817.832963769 39.8358, -34726.80258140003 6729817.691199299 39.8344, -34726.80325713393 6729817.64644329 39.8339, -34726.80491748813 6729817.460063938 39.832001, -34726.805101617705 6729817.3668130785 39.830898, -34726.80506963446 6729817.340725969 39.830601, -34726.80491625308 6729817.300623779 39.8302, -34726.804801702616 6729817.269994739 39.829899, -34726.802591193584 6729817.058787175 39.827702, -34726.801936477656 6729817.019748992 39.827301, -34726.80146141781 6729816.998554512 39.827099, -34726.81172227475 6729816.894243038 39.818699, -34726.97350776708 6729816.666227556 39.816399, -34727.17671969044 6729816.606180131 39.815701, -34727.34475118399 6729816.645437369 39.816101, -34727.37528808531 6729816.660624663 39.8162, -34727.57214340777 6729816.756811361 39.817101, -34727.76915065665 6729816.85029458 39.817902, -34727.966211566934 6729816.94095956 39.818699, -34728.16244071035 6729817.028631543 39.8195, -34728.1635568823 6729817.02853032 39.809101))</t>
  </si>
  <si>
    <t>['FV540 S1D104 m92-93']</t>
  </si>
  <si>
    <t>LINESTRING Z (-34788.54756650259 6729765.429352876 39.026501, -34788.44783941726 6729765.474607224 39, -34788.42627517949 6729765.484617738 38.998001, -34788.39587267721 6729765.498753994 38.995201, -34788.29753403319 6729765.545344131 38.985802, -34788.22744475317 6729765.579313037 38.979099, -34788.18630475167 6729765.599616904 38.976601, -34788.08622014895 6729765.649874449 38.9674, -34787.986543470994 6729765.701176551 38.958199, -34787.8137125629 6729765.7935193265 38.942001, -34787.71759426629 6729765.846658119 38.9328, -34787.621974627604 6729765.900950496 38.9235, -34787.52697182563 6729765.956205832 38.914299, -34787.436964572524 6729766.009702888 38.907501, -34787.347565006814 6729766.064262795 38.9007, -34787.25870069198 6729766.119576753 38.893902, -34787.17035333172 6729766.175844536 38.8871, -34787.08262280724 6729766.233075277 38.880402, -34786.995427533286 6729766.291060079 38.8736, -34786.90884909546 6729766.350007842 38.866798, -34786.822896640864 6729766.409818696 38.860001, -34786.73617108818 6729766.471472399 38.8536, -34786.65007151896 6729766.533989189 38.847099, -34786.56458878552 6729766.597468944 38.840698, -34786.479741184274 6729766.6617119 38.834300999999996, -34786.39561029943 6729766.726926972 38.827801, -34786.31210539851 6729766.793005129 38.8214, -34786.229335510405 6729766.859855637 38.814999, -34786.147291487665 6729766.927578376 38.808498, -34786.065873448155 6729766.996164199 38.802101, -34785.985190421576 6729767.06552238 38.7957, -34785.90523325943 6729767.13575279 38.7892, -34785.82600196265 6729767.206855431 38.782799, -34785.74740579724 6729767.278721277 38.776402, -34785.669644526206 6729767.351368621 38.769901, -34785.59261826752 6729767.424788319 38.7635, -34785.51641775493 6729767.4990893975 38.757099, -34785.43629984907 6729767.578772665 38.750801, -34785.35701683711 6729767.659237434 38.744499, -34785.27865030384 6729767.740692615 38.7383, -34785.20122769405 6729767.822838557 38.731998, -34785.12462168222 6729767.905965762 38.7257, -34785.049050326226 6729767.989892765 38.719501, -34784.974313864484 6729768.074601266 38.7132, -34784.906719182036 6729768.152812827 38.707802, -34784.83985951205 6729768.231796742 38.702301, -34784.773853032035 6729768.311362394 38.6968, -34784.70869059372 6729768.391609668 38.691399, -34784.67537286843 6729768.433176627 38.688598999999996, -34784.60127471096 6729768.527411174 38.682499, -34784.52820206119 6729768.622545394 38.676399, -34784.463725908776 6729768.708495784 38.6712, -34784.40010294563 6729768.795027907 38.666, -34784.33731487661 6729768.882341531 38.660702, -34784.27547987818 6729768.970246043 38.655499, -34784.214597951155 6729769.05874144 38.650299, -34784.154659946915 6729769.1479276 38.645, -34784.09485692228 6729769.238939065 38.640099, -34784.03590708668 6729769.33053227 38.635201, -34783.978001056006 6729769.422825387 38.630299, -34783.92105724395 6729769.515609507 38.625401, -34783.865166383795 6729769.6089936625 38.620499, -34783.81021944643 6729769.703068588 38.615601, -34783.75623472873 6729769.797634511 38.610699, -34783.7179389972 6729769.895752472 38.6068, -34783.67866275052 6729769.993579189 38.603001, -34783.63852416596 6729770.090924053 38.599201, -34783.5975049471 6729770.187986824 38.595299, -34783.55551436171 6729770.284658468 38.591499, -34783.51266143832 6729770.380848254 38.587601, -34783.46883714781 6729770.476646921 38.583801, -34783.42414137139 6729770.57206361 38.579899, -34783.40717278188 6729770.607775489 38.577801, -34783.39075008454 6729770.641925865 38.575802, -34783.37497316103 6729770.674523878 38.573898, -34783.359832862974 6729770.705669417 38.571999, -34783.331162499846 6729770.763575623 38.568401, -34783.317714019795 6729770.790545198 38.5667, -34783.30478398898 6729770.816252906 38.565102, -34783.2805700039 6729770.863991777 38.562, -34783.26926775498 6729770.886222696 38.560501, -34783.258374925004 6729770.907282483 38.559101, -34783.23817130749 6729770.9464246705 38.556499, -34783.18674541148 6729771.043843648 38.5485, -34783.13444802957 6729771.140880651 38.540501, -34783.0812067244 6729771.237226888 38.532501, -34783.026994051994 6729771.3331820015 38.524502, -34782.97192819021 6729771.428555377 38.516499, -34782.91580937628 6729771.523328717 38.508499, -34782.88561858097 6729771.573642462 38.508999, -34782.8298199469 6729771.664919964 38.5172, -34782.773068241775 6729771.7556065805 38.525398, -34782.747406261624 6729771.796061786 38.528702, -34782.70616394759 6729771.860370462 38.534, -34782.647833188064 6729771.949603104 38.541302, -34782.56025312992 6729772.079969584 38.551998, -34782.49148152687 6729772.179828644 38.552799, -34782.43184615229 6729772.264610889 38.552399, -34782.371357587865 6729772.348811394 38.551998, -34782.31021559576 6729772.432448455 38.551498, -34782.24822041381 6729772.515503783 38.551102, -34782.185471922974 6729772.597986518 38.550701, -34782.121979271295 6729772.679796787 38.550301, -34782.05772416282 6729772.761134344 38.549801, -34781.99261586508 6729772.841890162 38.5494, -34781.92686328699 6729772.92198266 38.549, -34781.860366548295 6729773.001402687 38.548599, -34781.793207233655 6729773.080359155 38.5481, -34781.72374075954 6729773.160312936 38.546902, -34781.653530124575 6729773.239594249 38.545601, -34781.582575328415 6729773.318203089 38.544399, -34781.51020390121 6729773.396883622 38.5424, -34781.43708831293 6729773.474891682 38.540501, -34781.36312868295 6729773.552218123 38.538601, -34781.28853392147 6729773.628781363 38.536598, -34781.213194998796 6729773.704672132 38.534698, -34781.13712106354 6729773.779790549 38.532799, -34781.06040284934 6729773.854245638 38.5308, -34780.98294962209 6729773.92792838 38.5289, -34780.90475223365 6729774.000938652 38.526901, -34780.862855375046 6729774.039403322 38.533001, -34780.790583643946 6729774.104898802 38.543201, -34780.66015291645 6729774.2203622665 38.5611, -34780.507809581235 6729774.35073956 38.5812, -34780.46745051863 6729774.384510567 38.586399, -34780.37682064087 6729774.459101571 38.597801, -34780.29862082726 6729774.522241162 38.604801, -34780.21978588193 6729774.584617549 38.611698, -34780.14049727097 6729774.646448792 38.618698, -34780.06058267702 6729774.707416946 38.625599, -34779.98012368393 6729774.76773093 38.632599, -34779.89922932163 6729774.827300005 38.6395, -34779.81769982807 6729774.886105872 38.6465, -34779.73562593572 6729774.944257567 38.6534, -34779.638508268516 6729775.011606912 38.6605, -34779.54056485579 6729775.0780748725 38.667599, -34779.4808236321 6729775.117826048 38.6717, -34779.43194797984 6729775.150011278 38.674999, -34779.37786712218 6729775.18514421 38.6786, -34779.25807812507 6729775.261395476 38.6861, -34777.97614233242 6729775.410788834 38.636799, -34777.86059091939 6729775.4242774295 38.637798, -34777.63478253735 6729775.450631631 38.639801, -34777.30554644123 6729775.48896613 38.6427, -34777.26910290972 6729775.493182229 38.642899, -34776.94128344604 6729775.531445037 38.646099, -34776.89618535794 6729775.536681411 38.643902, -34776.788472903194 6729775.548168559 38.6385, -34776.680667717825 6729775.559546496 38.632999, -34776.572972560185 6729775.570833792 38.627602, -34776.465185671696 6729775.582011962 38.622101, -34776.35740992823 6729775.593090439 38.616699, -34776.24964133592 6729775.604068849 38.611198, -34776.12328446971 6729775.616769227 38.593899, -34776.01381174731 6729775.627692275 38.576401, -34775.90435432363 6729775.638415293 38.558899, -34775.79489790008 6729775.649138395 38.541401, -34775.68536088965 6729775.65965268 38.523899, -34775.57592176285 6729775.670175932 38.506401, -34775.46640304825 6729775.680490458 38.4888, -34775.27683942986 6729775.6981787225 38.489799, -34775.19548177067 6729775.705633661 38.490299, -34775.05949058116 6729775.7179552335 38.4641, -34774.92595142615 6729775.7298970735 38.465199, -34774.82095555263 6729775.7392157735 38.466099, -34774.64327187615 6729775.754769101 38.4478, -34774.52053966932 6729775.765283481 38.449001, -34774.397716729436 6729775.775688832 38.450199, -34774.27490293782 6729775.785994299 38.451401, -34774.1560668404 6729775.795757613 38.445499, -34774.02800434432 6729775.806186672 38.438999, -34773.89986026299 6729775.816406823 38.432499, -34773.79363712249 6729775.824807368 38.426998, -34773.68742412934 6729775.833108122 38.421398, -34773.581220283406 6729775.841309 38.415798, -34773.47492670419 6729775.849400935 38.410198, -34773.36874115502 6729775.857402047 38.404701, -34773.27595131216 6729775.864313525 38.3997, -34773.17495117872 6729775.871782374 38.400398, -34773.07396934158 6729775.879051461 38.401199, -34772.97298550699 6729775.886320363 38.401901, -34772.87202196545 6729775.893389691 38.402699, -34772.771059423336 6729775.900459106 38.4035, -34772.67000514909 6729775.907419404 38.404202, -34772.529737867066 6729775.916932075 38.387001, -34772.38938999851 6729775.926235931 38.369701, -34772.171346720424 6729775.940409303 38.370998, -34772.06932922918 6729775.946878503 38.371799, -34771.96733103297 6729775.95314803 38.372601, -34771.8653328364 6729775.95941756 38.373402, -34771.763333641575 6729775.965686999 38.374199, -34771.73305853456 6729775.967446488 38.374401, -34771.53964188392 6729775.978839436 38.384602, -34771.40356295311 6729775.986620618 38.391701, -34771.27579319617 6729775.9938534815 38.398201, -34771.148141616024 6729776.000895732 38.404701, -34771.02040845074 6729776.007729075 38.411201, -34770.82558406622 6729776.017985898 38.412498, -34770.72044556297 6729776.023363496 38.413101, -34770.61532335798 6729776.02854115 38.413601, -34770.51020315103 6729776.033718986 38.4142, -34770.40509009408 6729776.038796759 38.4147, -34770.36088502954 6729776.04089192 38.415001, -34770.25841661892 6729776.045708317 38.4006, -34770.15585547802 6729776.050415503 38.3862, -34770.03853788623 6729776.055684821 38.386902, -34769.92133032193 6729776.060863498 38.387501, -34769.80394328956 6729776.065824299 38.3881, -34769.686662290245 6729776.070694093 38.388699, -34769.56939143769 6729776.075464096 38.389301, -34769.5189470076 6729776.077491392 38.382, -34769.46365339705 6729776.079678874 38.382301, -34769.339028188144 6729776.084480332 38.370899, -34769.21430924977 6729776.08917249 38.359501, -34769.089611603995 6729776.093665157 38.348099, -34768.98441870918 6729776.097426272 38.348598, -34768.87914422923 6729776.100978477 38.349098, -34768.773970629554 6729776.10453992 38.349602, -34768.66345659387 6729776.1081158295 38.350201, -34768.55295885622 6729776.111491797 38.350899, -34768.48720442911 6729776.113526935 38.3512, -34768.38247709256 6729776.116625658 38.351002, -34768.27785479056 6729776.119633279 38.3507, -34768.17313660274 6729776.122632115 38.350498, -34768.06843371445 6729776.125430918 38.3503, -34767.94738642487 6729776.128545696 38.3508, -34767.82644816465 6729776.131569743 38.351299, -34767.70542831987 6729776.134384874 38.351799, -34767.58431874029 6729776.137091074 38.352299, -34767.463117429405 6729776.13968815 38.359001, -34767.4060971468 6729776.140911735 38.359402, -34767.24930033565 6729776.143975259 38.3601, -34767.138425114565 6729776.146007305 38.367802, -34767.02059206471 6729776.148107127 38.3759, -34766.90277831047 6729776.150007276 38.384102, -34766.758041161345 6729776.15226167 38.384602, -34766.613328459556 6729776.154216147 38.385101, -34766.535180630046 6729776.155216905 38.385502, -34766.42355925171 6729776.156576296 38.3936, -34766.311950017 6729776.157836086 38.4016, -34766.20035608241 6729776.158895837 38.409599, -34766.08876214805 6729776.159955584 38.417599, -34765.97718950594 6729776.160815852 38.425701, -34765.8637069792 6729776.161601909 38.425999, -34765.750333481235 6729776.162297234 38.426399, -34765.63687224663 6729776.162883806 38.4268, -34765.56140980963 6729776.163123326 38.4272, -34765.497228530585 6729776.163388884 38.432301, -34765.39638765447 6729776.163620556 38.440201, -34765.29555592616 6729776.163752345 38.448101, -34765.194725196576 6729776.163884229 38.456001, -34765.09380173718 6729776.163906898 38.463902, -34764.98997357639 6729776.163764249 38.471901, -34764.88615556306 6729776.163521808 38.4799, -34764.78314374876 6729776.163252488 38.480202, -34764.68004219979 6729776.162874233 38.480598, -34764.651456420426 6729776.162673346 38.480598, -34764.61762193707 6729776.162596048 38.480801, -34764.590343759744 6729776.162414204 38.4809, -34764.55491117877 6729776.162190541 38.481098, -34764.45434424828 6729776.161641549 38.490398, -34764.35378446779 6729776.160992497 38.499599, -34764.25324398279 6729776.160143773 38.5089, -34764.25595492893 6729776.77387112 38.810501, -34764.25623395934 6729776.843392743 38.8447, -34764.25650988461 6729776.892065262 38.865898, -34764.256753388676 6729776.949900237 38.8904, -34764.25693982339 6729776.995140114 38.909599, -34764.25700348138 6729777.021937183 38.921001, -34764.25715021882 6729777.0467274785 38.931499, -34764.257551034796 6729777.139123456 38.970699, -34764.257652526605 6729777.1621973915 38.980499, -34763.95641155343 6729777.160995406 38.982201, -34763.86030342744 6729777.160149761 38.9827, -34763.72587431758 6729777.158715189 38.983501, -34763.63370629493 6729777.157726817 38.984001, -34762.97155010188 6729777.14814513 38.987701, -34762.90387373348 6729777.146982667 38.980499, -34762.65272515174 6729777.142109645 38.953701, -34762.08604519663 6729777.129286971 38.883999, -34762.12297089922 6729777.054913939 38.882599, -34762.406507270876 6729776.730380834 38.852901, -34762.95326098241 6729776.314128747 38.723301, -34763.02757077769 6729776.272589615 38.701599, -34763.36592770519 6729776.119263709 38.588001, -34763.5052571554 6729776.0715933805 38.536701, -34763.623513627914 6729776.034079277 38.507, -34764.579818973434 6729775.7318839785 38.266998, -34765.5361253249 6729775.429688761 38.0271, -34766.49243068416 6729775.127493452 37.787102, -34767.185344209895 6729774.907936438 37.613098, -34767.44873804785 6729774.8252983205 37.551201, -34768.405134901055 6729774.5221041925 37.3862, -34769.361442278605 6729774.219909053 37.323601, -34769.50449353794 6729774.175601165 37.322899, -34770.07805831218 6729773.994465398 37.324402, -34769.32137338491 6729771.602481903 37.2356, -34768.74852308363 6729771.783481681 37.237099, -34768.60600907437 6729771.828543809 37.238602, -34767.64960182679 6729772.130729813 37.306198, -34766.69319558423 6729772.432915912 37.4762, -34766.42922915961 6729772.516307343 37.5452, -34765.7368902287 6729772.735111245 37.737, -34764.78047485219 6729773.037397213 38.001999, -34763.824068630696 6729773.339583297 38.266998, -34762.8677612982 6729773.641778436 38.532001, -34762.74910730019 6729773.679256132 38.564899, -34762.48150582798 6729773.763825412 38.621498, -34761.79259106505 6729773.981532848 38.7514, -34761.63370739308 6729774.035973337 38.7771, -34761.01689257566 6729774.335219212 38.852699, -34760.46735135687 6729774.751115279 38.901001, -34760.00894871692 6729775.267214293 38.922699, -34759.91030475963 6729775.410567347 38.924099, -34759.676789649646 6729775.8279116275 38.919399, -34759.66111086344 6729775.86162653 38.918499, -34759.6285539798 6729775.93448604 38.916801, -34759.573496829136 6729776.069342012 38.9132, -34759.437000024365 6729776.5083634015 38.901798, -34759.39267774334 6729776.721756146 38.896198, -34759.35548440681 6729777.029974036 38.899899, -34759.06651108456 6729777.015794982 38.934299, -34758.731404102175 6729776.998397788 38.975101, -34758.5018142733 6729776.985729571 39.003201, -34758.53398346715 6729776.928143832 39.000999, -34758.6853768368 6729776.656370892 38.990898, -34758.843015043414 6729776.373587232 38.9804, -34759.097582551534 6729775.916674924 38.963501, -34759.313562962925 6729775.5291489735 38.9491, -34758.680260562105 6729774.532646453 38.98, -34758.94961899624 6729774.410166337 38.949001, -34759.70651855494 6729774.063822911 38.901001, -34760.52397461131 6729773.689687814 38.852699, -34761.22968794929 6729773.3666561525 38.757, -34762.10284094722 6729772.972744693 38.591499, -34762.48610689759 6729772.799762279 38.4949, -34763.5152777757 6729772.3354356885 38.167801, -34763.60483968246 6729772.294487724 38.153, -34764.33358679118 6729771.960774378 38.0326, -34764.446077419794 6729771.909235842 38.000198, -34764.60240383318 6729771.837640353 38, -34765.636119092815 6729771.3643630985 38, -34765.65756614832 6729771.3545432985 38, -34765.88464365981 6729771.250550312 38, -34766.700823154184 6729770.74959383 38, -34766.860910833115 6729770.651249432 38, -34767.029833526816 6729770.547671088 38, -34767.20186717145 6729770.442061139 38, -34767.3722979771 6729770.337412287 38, -34767.53739010065 6729770.236101799 38, -34767.69426894607 6729770.139780044 38, -34767.84101057972 6729770.049680875 38, -34767.976650038036 6729769.966420948 38, -34768.03651434078 6729769.929702614 38, -34768.10066047113 6729769.890254164 38, -34768.213044876116 6729769.8211808 38, -34768.31431595946 6729769.759046376 38, -34768.40493312839 6729769.703288656 38, -34768.48572187603 6729769.653681086 38, -34768.55743426073 6729769.609688237 38, -34768.62072645489 6729769.57076589 38, -34768.67633122159 6729769.536578277 38, -34768.72510549321 6729769.506599581 38, -34768.76768414967 6729769.480485069 38, -34768.80461133842 6729769.457780981 38, -34768.83641690388 6729769.438233699 38, -34768.86353396799 6729769.421479997 38, -34768.8865821088 6729769.407375206 38, -34770.17314425681 6729768.616926569 38, -34770.306438965956 6729768.535063388 38, -34771.15756859316 6729768.012128179 38.299301, -34771.928444473655 6729767.538446657 38.309898, -34772.28266628203 6729767.320804294 38.5, -34772.30955614033 6729767.304331943 38.5, -34772.413508211845 6729767.240428687 38.5, -34772.70198304742 6729767.063196064 38.5, -34773.32237745903 6729766.68199059 38.5, -34774.4459742005 6729765.991637122 38.5, -34775.88496057759 6729765.545003326 38.5, -34776.84066597407 6729765.248292506 38.5, -34777.18358609022 6729765.141916647 38.5, -34779.2356178459 6729764.505374559 38.5, -34780.078657819424 6729764.2082152795 38.5, -34780.137451386196 6729764.119427893 38.5, -34780.19071714103 6729764.027213373 38.5, -34780.2382187295 6729763.931952951 38.5, -34780.27982882748 6729763.833937111 38.5, -34780.31541096105 6729763.733556236 38.5, -34785.363071922795 6729761.896754095 38.785702, -34786.351968532894 6729762.618833838 38.9715, -34786.45545132586 6729762.67333308 38.989101, -34786.54857766209 6729762.721042087 39.005001, -34786.64231317991 6729762.767598261 39.020901, -34786.736557998345 6729762.812992453 39.0369, -34786.83141199825 6729762.857233811 39.052799, -34786.926766150165 6729762.9004130745 39.068699, -34787.02252972126 6729762.942421204 39.084599, -34787.11890247429 6729762.9832765 39.100498, -34787.21578452794 6729763.022969816 39.116501, -34787.312966971425 6729763.061582737 39.132401, -34787.38536658068 6729763.089263993 39.144199, -34787.395650785766 6729763.10893964 39.144798, -34787.43078391277 6729763.176214698 39.146801, -34787.46145506215 6729763.235023575 39.1637, -34787.486984108924 6729763.283994627 39.177799, -34787.50857728068 6729763.3253534315 39.189701, -34787.52682396886 6729763.360362602 39.199902, -34788.108941416605 6729764.475860195 39.1241, -34788.16043487878 6729764.574547211 39.123699, -34788.20225182397 6729764.654621428 39.123299, -34788.23669567716 6729764.720624731 39.122799, -34788.26566193986 6729764.77605445 39.122299, -34788.29016622482 6729764.82301799 39.1217, -34788.31116085639 6729764.863214068 39.121201, -34788.3208282257 6729764.881926747 39.118801, -34788.345858613146 6729764.92974422 39.114498, -34788.53803860198 6729765.298049179 39.051701, -34788.55183245998 6729765.324492284 39.048698, -34788.57539356919 6729765.369657209 39.043701, -34788.5955357576 6729765.4081637105 39.039101)</t>
  </si>
  <si>
    <t>POLYGON Z ((-34788.54756650259 6729765.429352876 39.026501, -34788.44783941726 6729765.474607224 39, -34788.42627517949 6729765.484617738 38.998001, -34788.39587267721 6729765.498753994 38.995201, -34788.29753403319 6729765.545344131 38.985802, -34788.22744475317 6729765.579313037 38.979099, -34788.18630475167 6729765.599616904 38.976601, -34788.08622014895 6729765.649874449 38.9674, -34787.986543470994 6729765.701176551 38.958199, -34787.8137125629 6729765.7935193265 38.942001, -34787.71759426629 6729765.846658119 38.9328, -34787.621974627604 6729765.900950496 38.9235, -34787.52697182563 6729765.956205832 38.914299, -34787.436964572524 6729766.009702888 38.907501, -34787.347565006814 6729766.064262795 38.9007, -34787.25870069198 6729766.119576753 38.893902, -34787.17035333172 6729766.175844536 38.8871, -34787.08262280724 6729766.233075277 38.880402, -34786.995427533286 6729766.291060079 38.8736, -34786.90884909546 6729766.350007842 38.866798, -34786.822896640864 6729766.409818696 38.860001, -34786.73617108818 6729766.471472399 38.8536, -34786.65007151896 6729766.533989189 38.847099, -34786.56458878552 6729766.597468944 38.840698, -34786.479741184274 6729766.6617119 38.834300999999996, -34786.39561029943 6729766.726926972 38.827801, -34786.31210539851 6729766.793005129 38.8214, -34786.229335510405 6729766.859855637 38.814999, -34786.147291487665 6729766.927578376 38.808498, -34786.065873448155 6729766.996164199 38.802101, -34785.985190421576 6729767.06552238 38.7957, -34785.90523325943 6729767.13575279 38.7892, -34785.82600196265 6729767.206855431 38.782799, -34785.74740579724 6729767.278721277 38.776402, -34785.669644526206 6729767.351368621 38.769901, -34785.59261826752 6729767.424788319 38.7635, -34785.51641775493 6729767.4990893975 38.757099, -34785.43629984907 6729767.578772665 38.750801, -34785.35701683711 6729767.659237434 38.744499, -34785.27865030384 6729767.740692615 38.7383, -34785.20122769405 6729767.822838557 38.731998, -34785.12462168222 6729767.905965762 38.7257, -34785.049050326226 6729767.989892765 38.719501, -34784.974313864484 6729768.074601266 38.7132, -34784.906719182036 6729768.152812827 38.707802, -34784.83985951205 6729768.231796742 38.702301, -34784.773853032035 6729768.311362394 38.6968, -34784.70869059372 6729768.391609668 38.691399, -34784.67537286843 6729768.433176627 38.688598999999996, -34784.60127471096 6729768.527411174 38.682499, -34784.52820206119 6729768.622545394 38.676399, -34784.463725908776 6729768.708495784 38.6712, -34784.40010294563 6729768.795027907 38.666, -34784.33731487661 6729768.882341531 38.660702, -34784.27547987818 6729768.970246043 38.655499, -34784.214597951155 6729769.05874144 38.650299, -34784.154659946915 6729769.1479276 38.645, -34784.09485692228 6729769.238939065 38.640099, -34784.03590708668 6729769.33053227 38.635201, -34783.978001056006 6729769.422825387 38.630299, -34783.92105724395 6729769.515609507 38.625401, -34783.865166383795 6729769.6089936625 38.620499, -34783.81021944643 6729769.703068588 38.615601, -34783.75623472873 6729769.797634511 38.610699, -34783.7179389972 6729769.895752472 38.6068, -34783.67866275052 6729769.993579189 38.603001, -34783.63852416596 6729770.090924053 38.599201, -34783.5975049471 6729770.187986824 38.595299, -34783.55551436171 6729770.284658468 38.591499, -34783.51266143832 6729770.380848254 38.587601, -34783.46883714781 6729770.476646921 38.583801, -34783.42414137139 6729770.57206361 38.579899, -34783.40717278188 6729770.607775489 38.577801, -34783.39075008454 6729770.641925865 38.575802, -34783.37497316103 6729770.674523878 38.573898, -34783.359832862974 6729770.705669417 38.571999, -34783.331162499846 6729770.763575623 38.568401, -34783.317714019795 6729770.790545198 38.5667, -34783.30478398898 6729770.816252906 38.565102, -34783.2805700039 6729770.863991777 38.562, -34783.26926775498 6729770.886222696 38.560501, -34783.258374925004 6729770.907282483 38.559101, -34783.23817130749 6729770.9464246705 38.556499, -34783.18674541148 6729771.043843648 38.5485, -34783.13444802957 6729771.140880651 38.540501, -34783.0812067244 6729771.237226888 38.532501, -34783.026994051994 6729771.3331820015 38.524502, -34782.97192819021 6729771.428555377 38.516499, -34782.91580937628 6729771.523328717 38.508499, -34782.88561858097 6729771.573642462 38.508999, -34782.8298199469 6729771.664919964 38.5172, -34782.773068241775 6729771.7556065805 38.525398, -34782.747406261624 6729771.796061786 38.528702, -34782.70616394759 6729771.860370462 38.534, -34782.647833188064 6729771.949603104 38.541302, -34782.56025312992 6729772.079969584 38.551998, -34782.49148152687 6729772.179828644 38.552799, -34782.43184615229 6729772.264610889 38.552399, -34782.371357587865 6729772.348811394 38.551998, -34782.31021559576 6729772.432448455 38.551498, -34782.24822041381 6729772.515503783 38.551102, -34782.185471922974 6729772.597986518 38.550701, -34782.121979271295 6729772.679796787 38.550301, -34782.05772416282 6729772.761134344 38.549801, -34781.99261586508 6729772.841890162 38.5494, -34781.92686328699 6729772.92198266 38.549, -34781.860366548295 6729773.001402687 38.548599, -34781.793207233655 6729773.080359155 38.5481, -34781.72374075954 6729773.160312936 38.546902, -34781.653530124575 6729773.239594249 38.545601, -34781.582575328415 6729773.318203089 38.544399, -34781.51020390121 6729773.396883622 38.5424, -34781.43708831293 6729773.474891682 38.540501, -34781.36312868295 6729773.552218123 38.538601, -34781.28853392147 6729773.628781363 38.536598, -34781.213194998796 6729773.704672132 38.534698, -34781.13712106354 6729773.779790549 38.532799, -34781.06040284934 6729773.854245638 38.5308, -34780.98294962209 6729773.92792838 38.5289, -34780.90475223365 6729774.000938652 38.526901, -34780.862855375046 6729774.039403322 38.533001, -34780.790583643946 6729774.104898802 38.543201, -34780.66015291645 6729774.2203622665 38.5611, -34780.507809581235 6729774.35073956 38.5812, -34780.46745051863 6729774.384510567 38.586399, -34780.37682064087 6729774.459101571 38.597801, -34780.29862082726 6729774.522241162 38.604801, -34780.21978588193 6729774.584617549 38.611698, -34780.14049727097 6729774.646448792 38.618698, -34780.06058267702 6729774.707416946 38.625599, -34779.98012368393 6729774.76773093 38.632599, -34779.89922932163 6729774.827300005 38.6395, -34779.81769982807 6729774.886105872 38.6465, -34779.73562593572 6729774.944257567 38.6534, -34779.638508268516 6729775.011606912 38.6605, -34779.54056485579 6729775.0780748725 38.667599, -34779.4808236321 6729775.117826048 38.6717, -34779.43194797984 6729775.150011278 38.674999, -34779.37786712218 6729775.18514421 38.6786, -34779.25807812507 6729775.261395476 38.6861, -34777.97614233242 6729775.410788834 38.636799, -34777.86059091939 6729775.4242774295 38.637798, -34777.63478253735 6729775.450631631 38.639801, -34777.30554644123 6729775.48896613 38.6427, -34777.26910290972 6729775.493182229 38.642899, -34776.94128344604 6729775.531445037 38.646099, -34776.89618535794 6729775.536681411 38.643902, -34776.788472903194 6729775.548168559 38.6385, -34776.680667717825 6729775.559546496 38.632999, -34776.572972560185 6729775.570833792 38.627602, -34776.465185671696 6729775.582011962 38.622101, -34776.35740992823 6729775.593090439 38.616699, -34776.24964133592 6729775.604068849 38.611198, -34776.12328446971 6729775.616769227 38.593899, -34776.01381174731 6729775.627692275 38.576401, -34775.90435432363 6729775.638415293 38.558899, -34775.79489790008 6729775.649138395 38.541401, -34775.68536088965 6729775.65965268 38.523899, -34775.57592176285 6729775.670175932 38.506401, -34775.46640304825 6729775.680490458 38.4888, -34775.27683942986 6729775.6981787225 38.489799, -34775.19548177067 6729775.705633661 38.490299, -34775.05949058116 6729775.7179552335 38.4641, -34774.92595142615 6729775.7298970735 38.465199, -34774.82095555263 6729775.7392157735 38.466099, -34774.64327187615 6729775.754769101 38.4478, -34774.52053966932 6729775.765283481 38.449001, -34774.397716729436 6729775.775688832 38.450199, -34774.27490293782 6729775.785994299 38.451401, -34774.1560668404 6729775.795757613 38.445499, -34774.02800434432 6729775.806186672 38.438999, -34773.89986026299 6729775.816406823 38.432499, -34773.79363712249 6729775.824807368 38.426998, -34773.68742412934 6729775.833108122 38.421398, -34773.581220283406 6729775.841309 38.415798, -34773.47492670419 6729775.849400935 38.410198, -34773.36874115502 6729775.857402047 38.404701, -34773.27595131216 6729775.864313525 38.3997, -34773.17495117872 6729775.871782374 38.400398, -34773.07396934158 6729775.879051461 38.401199, -34772.97298550699 6729775.886320363 38.401901, -34772.87202196545 6729775.893389691 38.402699, -34772.771059423336 6729775.900459106 38.4035, -34772.67000514909 6729775.907419404 38.404202, -34772.529737867066 6729775.916932075 38.387001, -34772.38938999851 6729775.926235931 38.369701, -34772.171346720424 6729775.940409303 38.370998, -34772.06932922918 6729775.946878503 38.371799, -34771.96733103297 6729775.95314803 38.372601, -34771.8653328364 6729775.95941756 38.373402, -34771.763333641575 6729775.965686999 38.374199, -34771.73305853456 6729775.967446488 38.374401, -34771.53964188392 6729775.978839436 38.384602, -34771.40356295311 6729775.986620618 38.391701, -34771.27579319617 6729775.9938534815 38.398201, -34771.148141616024 6729776.000895732 38.404701, -34771.02040845074 6729776.007729075 38.411201, -34770.82558406622 6729776.017985898 38.412498, -34770.72044556297 6729776.023363496 38.413101, -34770.61532335798 6729776.02854115 38.413601, -34770.51020315103 6729776.033718986 38.4142, -34770.40509009408 6729776.038796759 38.4147, -34770.36088502954 6729776.04089192 38.415001, -34770.25841661892 6729776.045708317 38.4006, -34770.15585547802 6729776.050415503 38.3862, -34770.03853788623 6729776.055684821 38.386902, -34769.92133032193 6729776.060863498 38.387501, -34769.80394328956 6729776.065824299 38.3881, -34769.686662290245 6729776.070694093 38.388699, -34769.56939143769 6729776.075464096 38.389301, -34769.5189470076 6729776.077491392 38.382, -34769.46365339705 6729776.079678874 38.382301, -34769.339028188144 6729776.084480332 38.370899, -34769.21430924977 6729776.08917249 38.359501, -34769.089611603995 6729776.093665157 38.348099, -34768.98441870918 6729776.097426272 38.348598, -34768.87914422923 6729776.100978477 38.349098, -34768.773970629554 6729776.10453992 38.349602, -34768.66345659387 6729776.1081158295 38.350201, -34768.55295885622 6729776.111491797 38.350899, -34768.48720442911 6729776.113526935 38.3512, -34768.38247709256 6729776.116625658 38.351002, -34768.27785479056 6729776.119633279 38.3507, -34768.17313660274 6729776.122632115 38.350498, -34768.06843371445 6729776.125430918 38.3503, -34767.94738642487 6729776.128545696 38.3508, -34767.82644816465 6729776.131569743 38.351299, -34767.70542831987 6729776.134384874 38.351799, -34767.58431874029 6729776.137091074 38.352299, -34767.463117429405 6729776.13968815 38.359001, -34767.4060971468 6729776.140911735 38.359402, -34767.24930033565 6729776.143975259 38.3601, -34767.138425114565 6729776.146007305 38.367802, -34767.02059206471 6729776.148107127 38.3759, -34766.90277831047 6729776.150007276 38.384102, -34766.758041161345 6729776.15226167 38.384602, -34766.613328459556 6729776.154216147 38.385101, -34766.535180630046 6729776.155216905 38.385502, -34766.42355925171 6729776.156576296 38.3936, -34766.311950017 6729776.157836086 38.4016, -34766.20035608241 6729776.158895837 38.409599, -34766.08876214805 6729776.159955584 38.417599, -34765.97718950594 6729776.160815852 38.425701, -34765.8637069792 6729776.161601909 38.425999, -34765.750333481235 6729776.162297234 38.426399, -34765.63687224663 6729776.162883806 38.4268, -34765.56140980963 6729776.163123326 38.4272, -34765.497228530585 6729776.163388884 38.432301, -34765.39638765447 6729776.163620556 38.440201, -34765.29555592616 6729776.163752345 38.448101, -34765.194725196576 6729776.163884229 38.456001, -34765.09380173718 6729776.163906898 38.463902, -34764.98997357639 6729776.163764249 38.471901, -34764.88615556306 6729776.163521808 38.4799, -34764.78314374876 6729776.163252488 38.480202, -34764.68004219979 6729776.162874233 38.480598, -34764.651456420426 6729776.162673346 38.480598, -34764.61762193707 6729776.162596048 38.480801, -34764.590343759744 6729776.162414204 38.4809, -34764.55491117877 6729776.162190541 38.481098, -34764.45434424828 6729776.161641549 38.490398, -34764.35378446779 6729776.160992497 38.499599, -34764.25324398279 6729776.160143773 38.5089, -34764.25595492893 6729776.77387112 38.810501, -34764.25623395934 6729776.843392743 38.8447, -34764.25650988461 6729776.892065262 38.865898, -34764.256753388676 6729776.949900237 38.8904, -34764.25693982339 6729776.995140114 38.909599, -34764.25700348138 6729777.021937183 38.921001, -34764.25715021882 6729777.0467274785 38.931499, -34764.257551034796 6729777.139123456 38.970699, -34764.257652526605 6729777.1621973915 38.980499, -34763.95641155343 6729777.160995406 38.982201, -34763.86030342744 6729777.160149761 38.9827, -34763.72587431758 6729777.158715189 38.983501, -34763.63370629493 6729777.157726817 38.984001, -34762.97155010188 6729777.14814513 38.987701, -34762.90387373348 6729777.146982667 38.980499, -34762.65272515174 6729777.142109645 38.953701, -34762.08604519663 6729777.129286971 38.883999, -34762.12297089922 6729777.054913939 38.882599, -34762.406507270876 6729776.730380834 38.852901, -34762.95326098241 6729776.314128747 38.723301, -34763.02757077769 6729776.272589615 38.701599, -34763.36592770519 6729776.119263709 38.588001, -34763.5052571554 6729776.0715933805 38.536701, -34763.623513627914 6729776.034079277 38.507, -34764.579818973434 6729775.7318839785 38.266998, -34765.5361253249 6729775.429688761 38.0271, -34766.49243068416 6729775.127493452 37.787102, -34767.185344209895 6729774.907936438 37.613098, -34767.44873804785 6729774.8252983205 37.551201, -34768.405134901055 6729774.5221041925 37.3862, -34769.361442278605 6729774.219909053 37.323601, -34769.50449353794 6729774.175601165 37.322899, -34770.07805831218 6729773.994465398 37.324402, -34769.32137338491 6729771.602481903 37.2356, -34768.74852308363 6729771.783481681 37.237099, -34768.60600907437 6729771.828543809 37.238602, -34767.64960182679 6729772.130729813 37.306198, -34766.69319558423 6729772.432915912 37.4762, -34766.42922915961 6729772.516307343 37.5452, -34765.7368902287 6729772.735111245 37.737, -34764.78047485219 6729773.037397213 38.001999, -34763.824068630696 6729773.339583297 38.266998, -34762.8677612982 6729773.641778436 38.532001, -34762.74910730019 6729773.679256132 38.564899, -34762.48150582798 6729773.763825412 38.621498, -34761.79259106505 6729773.981532848 38.7514, -34761.63370739308 6729774.035973337 38.7771, -34761.01689257566 6729774.335219212 38.852699, -34760.46735135687 6729774.751115279 38.901001, -34760.00894871692 6729775.267214293 38.922699, -34759.91030475963 6729775.410567347 38.924099, -34759.676789649646 6729775.8279116275 38.919399, -34759.66111086344 6729775.86162653 38.918499, -34759.6285539798 6729775.93448604 38.916801, -34759.573496829136 6729776.069342012 38.9132, -34759.437000024365 6729776.5083634015 38.901798, -34759.39267774334 6729776.721756146 38.896198, -34759.35548440681 6729777.029974036 38.899899, -34759.06651108456 6729777.015794982 38.934299, -34758.731404102175 6729776.998397788 38.975101, -34758.5018142733 6729776.985729571 39.003201, -34758.53398346715 6729776.928143832 39.000999, -34758.6853768368 6729776.656370892 38.990898, -34758.843015043414 6729776.373587232 38.9804, -34759.097582551534 6729775.916674924 38.963501, -34759.313562962925 6729775.5291489735 38.9491, -34758.680260562105 6729774.532646453 38.98, -34758.94961899624 6729774.410166337 38.949001, -34759.70651855494 6729774.063822911 38.901001, -34760.52397461131 6729773.689687814 38.852699, -34761.22968794929 6729773.3666561525 38.757, -34762.10284094722 6729772.972744693 38.591499, -34762.48610689759 6729772.799762279 38.4949, -34763.5152777757 6729772.3354356885 38.167801, -34763.60483968246 6729772.294487724 38.153, -34764.33358679118 6729771.960774378 38.0326, -34764.446077419794 6729771.909235842 38.000198, -34764.60240383318 6729771.837640353 38, -34765.636119092815 6729771.3643630985 38, -34765.65756614832 6729771.3545432985 38, -34765.88464365981 6729771.250550312 38, -34766.700823154184 6729770.74959383 38, -34766.860910833115 6729770.651249432 38, -34767.029833526816 6729770.547671088 38, -34767.20186717145 6729770.442061139 38, -34767.3722979771 6729770.337412287 38, -34767.53739010065 6729770.236101799 38, -34767.69426894607 6729770.139780044 38, -34767.84101057972 6729770.049680875 38, -34767.976650038036 6729769.966420948 38, -34768.03651434078 6729769.929702614 38, -34768.10066047113 6729769.890254164 38, -34768.213044876116 6729769.8211808 38, -34768.31431595946 6729769.759046376 38, -34768.40493312839 6729769.703288656 38, -34768.48572187603 6729769.653681086 38, -34768.55743426073 6729769.609688237 38, -34768.62072645489 6729769.57076589 38, -34768.67633122159 6729769.536578277 38, -34768.72510549321 6729769.506599581 38, -34768.76768414967 6729769.480485069 38, -34768.80461133842 6729769.457780981 38, -34768.83641690388 6729769.438233699 38, -34768.86353396799 6729769.421479997 38, -34768.8865821088 6729769.407375206 38, -34770.17314425681 6729768.616926569 38, -34770.306438965956 6729768.535063388 38, -34771.15756859316 6729768.012128179 38.299301, -34771.928444473655 6729767.538446657 38.309898, -34772.28266628203 6729767.320804294 38.5, -34772.30955614033 6729767.304331943 38.5, -34772.413508211845 6729767.240428687 38.5, -34772.70198304742 6729767.063196064 38.5, -34773.32237745903 6729766.68199059 38.5, -34774.4459742005 6729765.991637122 38.5, -34775.88496057759 6729765.545003326 38.5, -34776.84066597407 6729765.248292506 38.5, -34777.18358609022 6729765.141916647 38.5, -34779.2356178459 6729764.505374559 38.5, -34780.078657819424 6729764.2082152795 38.5, -34780.137451386196 6729764.119427893 38.5, -34780.19071714103 6729764.027213373 38.5, -34780.2382187295 6729763.931952951 38.5, -34780.27982882748 6729763.833937111 38.5, -34780.31541096105 6729763.733556236 38.5, -34785.363071922795 6729761.896754095 38.785702, -34786.351968532894 6729762.618833838 38.9715, -34786.45545132586 6729762.67333308 38.989101, -34786.54857766209 6729762.721042087 39.005001, -34786.64231317991 6729762.767598261 39.020901, -34786.736557998345 6729762.812992453 39.0369, -34786.83141199825 6729762.857233811 39.052799, -34786.926766150165 6729762.9004130745 39.068699, -34787.02252972126 6729762.942421204 39.084599, -34787.11890247429 6729762.9832765 39.100498, -34787.21578452794 6729763.022969816 39.116501, -34787.312966971425 6729763.061582737 39.132401, -34787.38536658068 6729763.089263993 39.144199, -34787.395650785766 6729763.10893964 39.144798, -34787.43078391277 6729763.176214698 39.146801, -34787.46145506215 6729763.235023575 39.1637, -34787.486984108924 6729763.283994627 39.177799, -34787.50857728068 6729763.3253534315 39.189701, -34787.52682396886 6729763.360362602 39.199902, -34788.108941416605 6729764.475860195 39.1241, -34788.16043487878 6729764.574547211 39.123699, -34788.20225182397 6729764.654621428 39.123299, -34788.23669567716 6729764.720624731 39.122799, -34788.26566193986 6729764.77605445 39.122299, -34788.29016622482 6729764.82301799 39.1217, -34788.31116085639 6729764.863214068 39.121201, -34788.3208282257 6729764.881926747 39.118801, -34788.345858613146 6729764.92974422 39.114498, -34788.53803860198 6729765.298049179 39.051701, -34788.55183245998 6729765.324492284 39.048698, -34788.57539356919 6729765.369657209 39.043701, -34788.5955357576 6729765.4081637105 39.039101, -34788.54756650259 6729765.429352876 39.026501))</t>
  </si>
  <si>
    <t>[4575]</t>
  </si>
  <si>
    <t>['KV4575 S1D1 m6-9']</t>
  </si>
  <si>
    <t>LINESTRING Z (-34725.28852637636 6729779.403027181 39.3652, -34723.655330866226 6729778.918453446 39.380299, -34722.67292370845 6729778.61817373 39.3867, -34725.28852637636 6729779.403027181 39.3652, -34724.263899961836 6729776.71768528 39.477699, -34723.27556541038 6729776.434891382 39.475399, -34723.14914074447 6729776.399946504 39.474899, -34722.29607453162 6729776.162175628 39.470798, -34722.08556032076 6729776.102909453 39.469501, -34721.31768742856 6729775.8851283295 39.464401, -34721.03032100957 6729775.80280904 39.462101, -34720.340593874454 6729775.6037668735 39.4561, -34719.99398757378 6729775.50292942 39.452801, -34719.36470154603 6729775.31818654 39.446098, -34718.93961899215 6729775.192233568 39.441101, -34718.3901130046 6729775.028191263 39.4342, -34717.90522456146 6729774.88225721 39.427601, -34717.416816671845 6729774.733984432 39.420502, -34716.876206316054 6729774.568544075 39.412102, -34716.706152933184 6729774.516205664 39.409302, -34716.44482959411 6729774.435467903 39.404999, -34715.85353256087 6729774.251584707 39.3946, -34715.678842469 6729774.197009698 39.391499, -34715.4741271009 6729774.132735095 39.3876, -34714.83619864995 6729773.931186376 39.375301, -34714.504833834944 6729773.825700744 39.3685, -34713.825218216516 6729773.607542645 39.354, -34713.53683402634 6729773.514353227 39.3475, -34712.818595955614 6729773.28026932 39.330799, -34712.724821597454 6729773.249522471 39.328499, -34712.570235546795 6729773.198702427 39.324699, -34711.817313380074 6729772.949657737 39.305698, -34711.605125972885 6729772.878957815 39.300098, -34710.820487857796 6729772.615425624 39.278801, -34710.64131900482 6729772.554800152 39.273701, -34709.828020349494 6729772.277664619 39.25, -34709.679011089494 6729772.2264488805 39.245499, -34708.84010062739 6729771.9363921145 39.219299, -34708.71809435589 6729771.893894118 39.215401, -34708.3974874994 6729771.781940607 39.204899, -34707.85555840342 6729771.591299482 39.186798, -34707.758668684284 6729771.55714502 39.183498, -34706.87446843018 6729771.242494284 39.1525, -34706.80074322352 6729771.216101694 39.149799, -34706.76349332044 6729771.202718844 39.148399, -34705.89695256192 6729770.889987681 39.116299, -34705.84441469936 6729770.870873718 39.1143, -34704.922898091376 6729770.533668641 39.078201, -34704.88956924726 6729770.521450667 39.0769, -34703.95239243843 6729770.173847316 39.038399, -34702.984473542194 6729769.809932004 38.9967, -34702.15672697243 6729769.494811566 38.959499, -34702.07606522739 6729769.463855627 38.955799, -34702.034323170665 6729769.447845536 38.953899, -34701.78270985151 6729769.351275774 38.942299, -34701.76092197164 6729769.342834237 38.9412, -34701.47724041983 6729769.233456932 38.895, -34701.37578960578 6729769.194150936 38.878502, -34701.1131760627 6729769.092343486 38.835499, -34701.085744606564 6729769.081672836 38.831001, -34701.053458156646 6729769.069147465 38.825802, -34700.9757542531 6729769.038865312 38.813, -34700.91234149551 6729769.014222977 38.8027, -34700.82044516981 6729768.978410763 38.787601, -34700.145473910845 6729770.708782772 38.8853, -34700.23789933394 6729770.745449202 38.898399, -34700.3017687524 6729770.770636955 38.907501, -34700.37991317734 6729770.80156377 38.918598, -34700.412377937115 6729770.814407632 38.923302, -34700.43998187035 6729770.8252955135 38.9272, -34700.704192012665 6729770.929465015 38.964802, -34700.806171924574 6729770.969625221 38.979301, -34701.09141564008 6729771.081663578 39.019699, -34701.113390978426 6729771.090323726 39.022301, -34701.34918159037 6729771.182624176 39.0336, -34701.40839609527 6729771.205774093 39.036499, -34701.489489213796 6729771.237474573 39.040298, -34702.32062234788 6729771.560761263 39.078899, -34703.27821715514 6729771.929673431 39.120899, -34704.23604257242 6729772.294880126 39.160301, -34704.26961417415 6729772.3077246435 39.161701, -34705.19515954214 6729772.656982114 39.196301, -34705.247931013466 6729772.676822507 39.1982, -34706.118076402345 6729773.001970089 39.228298, -34706.15557721199 6729773.015879514 39.229599, -34706.22960630804 6729773.043407845 39.231998, -34707.11731197219 6729773.371371378 39.259998, -34707.21444261039 6729773.407261139 39.263, -34707.75850671902 6729773.606559208 39.2789, -34708.08024720964 6729773.723752213 39.2878, -34708.20265575545 6729773.768401142 39.291199, -34709.044493544614 6729774.072726962 39.3125, -34709.19403871568 6729774.126811916 39.316299, -34710.010030433186 6729774.418596917 39.334499, -34710.18967915198 6729774.482791501 39.338501, -34710.97678528004 6729774.761153981 39.3535, -34711.189452962135 6729774.836430251 39.357601, -34711.94461586862 6729775.1006862875 39.369801, -34712.09959302575 6729775.15486789 39.3722, -34712.193591188756 6729775.18754789 39.373501, -34712.91398123989 6729775.436635589 39.382599, -34713.20286743436 6729775.536517425 39.386299, -34713.88434878341 6729775.769450658 39.392601, -34714.21640328842 6729775.882856549 39.395699, -34714.85599979793 6729776.099161285 39.3997, -34715.06115678523 6729776.1685112715 39.401001, -34715.23615565058 6729776.227346774 39.401798, -34715.82886087184 6729776.425557292 39.403599, -34716.09077583277 6729776.512998707 39.404301, -34716.26114716218 6729776.569596434 39.404499, -34716.803065955406 6729776.748352826 39.404099, -34717.29238144425 6729776.909699469 39.403702, -34717.778346964624 6729777.068121604 39.401699, -34718.32885578321 6729777.247563028 39.3993, -34718.75492849201 6729777.384687785 39.396099, -34719.38528180029 6729777.587557106 39.3913, -34719.73262128793 6729777.697929296 39.3918, -34720.42348580563 6729777.917521584 39.392799, -34720.71151490393 6729778.00795707 39.392502, -34721.48076103849 6729778.24933249 39.391499, -34721.691618305165 6729778.314673223 39.390701, -34722.5462522835 6729778.579379944 39.387501, -34722.67292370845 6729778.61817373 39.3867)</t>
  </si>
  <si>
    <t>['FV540 S1D1 m3940-3978']</t>
  </si>
  <si>
    <t>LINESTRING Z (-34829.39044833253 6729779.507199311 39.5252, -34829.265844347305 6729779.507369639 39.522999, -34829.16218645335 6729779.507544745 39.534401, -34829.050578908646 6729779.507696774 39.547001, -34828.84628484328 6729779.508122294 39.570099, -34828.68479203887 6729779.508539898 39.588299, -34828.2671937265 6729779.509774334 39.635399, -34828.23031904886 6729779.509922181 39.6348, -34828.141658215434 6729779.51026222 39.633202, -34828.030027381144 6729779.510613557 39.631302, -34827.82569672563 6729779.511438604 39.627701, -34827.74599450221 6729779.511793396 39.626301, -34827.688146447996 6729779.51213542 39.625301, -34827.5945466978 6729779.512526701 39.6236, -34827.52874799352 6729779.512845561 39.622501, -34826.80520500615 6729779.516979557 39.609798, -34826.69153280824 6729779.517647522 39.6078, -34826.17229087709 6729779.521356643 39.598701, -34825.78362225613 6729779.524535686 39.591801, -34825.69492383348 6729779.525275157 39.590302, -34824.76306012203 6729779.534199671 39.573898, -34824.69834081712 6729779.534818826 39.5728, -34824.40626307088 6729779.538081977 39.5676, -34824.1999710541 6729779.540439607 39.563999, -34823.9438690549 6729779.543472579 39.558498, -34823.74260353437 6729779.545988415 39.554699, -34823.7016715745 6729779.546469698 39.554001, -34823.4824534005 6729779.549254938 39.550701, -34823.32997160754 6729779.551303601 39.548698, -34822.72104576952 6729779.559892127 39.538101, -34822.4131385769 6729779.564424886 39.5326, -34822.332444947446 6729779.565696073 39.5312, -34822.20687010535 6729779.567691143 39.528999, -34821.708578446065 6729779.575736333 39.520302, -34820.71216255112 6729779.5933528235 39.5028, -34820.68017905508 6729779.593948651 39.502201, -34819.715660429676 6729779.613076521 39.485298, -34819.658846037 6729779.614218245 39.484299, -34818.830808596336 6729779.632148499 39.4697, -34818.7192741601 6729779.634724484 39.4678, -34818.6385256449 6729779.636594958 39.466301, -34817.72281181032 6729779.658379861 39.448399, -34817.61822905473 6729779.6609882265 39.446201, -34816.726563036675 6729779.684069179 39.4259, -34816.597019904526 6729779.687614454 39.422798, -34815.73022104509 6729779.711865053 39.400398, -34815.57683452533 6729779.716248105 39.396198, -34814.73401088547 6729779.741586666 39.3717, -34814.55573658529 6729779.747114719 39.366299, -34813.73791342217 6729779.773332976 39.34, -34813.53566141799 6729779.779988663 39.333199, -34812.74184091808 6729779.806995232 39.305302, -34812.515699787065 6729779.814988104 39.296902, -34811.74577507691 6729779.842773196 39.267399, -34811.49483474379 6729779.8521206165 39.257401, -34810.749830921064 6729779.880576687 39.226398, -34810.47498432384 6729779.8913604375 39.2146, -34809.75400046026 6729779.920404967 39.1824, -34809.455245442456 6729779.932725571 39.168598, -34808.758193959715 6729779.9621491 39.1353, -34808.434605146875 6729779.976223961 39.119301, -34808.328022283735 6729779.980864961 39.113998, -34807.87203429907 6729780.00104365 39.091099, -34807.76250099484 6729780.006018733 39.085602, -34807.41498662392 6729780.021729597 39.068401, -34806.766923881485 6729780.051812634 39.037498, -34806.39456341264 6729780.069478066 39.020302, -34805.77136857202 6729780.099622911 38.992401, -34805.49171414727 6729780.11349148 38.980301, -34805.37516297377 6729780.119233868 38.975399, -34804.77603482932 6729780.149467857 38.9505, -34804.35596696311 6729780.171123489 38.933701, -34803.7807168978 6729780.201328631 38.911598, -34803.33576965646 6729780.225137224 38.895302, -34802.78551266051 6729780.255214196 38.8759, -34802.316791729536 6729780.281277016 38.8601, -34801.79042211827 6729780.311124553 38.843201, -34801.29781946691 6729780.339532422 38.828098, -34800.79546340811 6729780.368960645 38.813499, -34800.27805981331 6729780.39983081 38.7994, -34799.800502371625 6729780.428911621 38.786999, -34799.25940451678 6729780.462345442 38.773899, -34798.953075621976 6729780.481526286 38.7668, -34798.80578004022 6729780.4907981185 38.763599, -34798.240873062285 6729780.526785074 38.751598, -34797.811163413106 6729780.554708671 38.743198, -34797.22152677155 6729780.593567335 38.732601, -34796.81676835206 6729780.620653901 38.725899, -34796.2032044112 6729780.662256314 38.716801, -34795.82240424317 6729780.68851562 38.7117, -34795.185093312175 6729780.733180455 38.704201, -34794.828237570706 6729780.758510521 38.7005, -34794.51799993741 6729780.780757808 38.697701, -34794.16617069114 6729780.806246091 38.694801, -34793.834102848545 6729780.83042201 38.692501, -34793.5558494546 6729780.850965627 38.6908, -34793.53202162124 6729780.852711299 38.690601, -34793.1482879807 6729780.881219908 38.646198, -34792.840287576546 6729780.904377131 38.610901, -34792.6017456064 6729780.922414022 38.583801, -34792.53815986472 6729780.928273668 38.576599, -34792.47557483881 6729780.933016339 38.576401, -34792.53234033217 6729781.691190392 38.552399, -34792.47568911407 6729780.934033994 38.576401, -34792.53035150468 6729780.929875045 38.576599, -34792.60083578259 6729780.923539319 38.583698, -34792.65940120083 6729781.681778515 38.560398, -34792.89750099473 6729781.6642037155 38.590099, -34793.20516716142 6729781.641418755 38.628399, -34793.58632044366 6729781.613580287 38.6763, -34793.61115514545 6729781.611827123 38.679401, -34793.890072297305 6729781.5917451605 38.6847, -34794.221510071075 6729781.567916426 38.691002, -34794.572961679194 6729781.543197297 38.698299, -34794.88265707146 6729781.521404952 38.7047, -34795.23897497647 6729781.496327788 38.712101, -34795.875374926836 6729781.452888866 38.726799, -34796.25564300129 6729781.426984711 38.735699, -34796.86830535915 6729781.386406627 38.7514, -34797.272427060525 6729781.359563902 38.761799, -34797.86127788969 6729781.32174118 38.778301, -34798.29033951543 6729781.294261831 38.790401, -34798.854365271865 6729781.258999915 38.8074, -34799.0013540599 6729781.249800705 38.811798, -34799.307350714225 6729781.230992311 38.821301, -34799.84767206421 6729781.198393843 38.8381, -34800.32447560853 6729781.169747584 38.852901, -34800.84099582501 6729781.139702984 38.868999, -34801.34273014753 6729781.110519977 38.884499, -34801.83455030003 6729781.082946914 38.899799, -34802.360090263304 6729781.053426269 38.9161, -34802.82812773704 6729781.0281066075 38.930698, -34803.37755608349 6729780.998356622 38.947701, -34803.821738123544 6729780.975182977 38.961498, -34804.396160697564 6729780.945204206 38.979301, -34804.81557023525 6729780.924193314 38.992298, -34805.41385474859 6729780.894284938 39.010899, -34805.53019585414 6729780.888724746 39.0145, -34805.80941815791 6729780.875219479 39.023201, -34806.431678634486 6729780.845291217 39.0425, -34806.80338992237 6729780.828170642 39.054001, -34807.45051714277 6729780.7984048035 39.0741, -34807.797482372844 6729780.783147239 39.084801, -34807.906791625894 6729780.778353075 39.0882, -34808.362167022075 6729780.758319722 39.102402, -34808.468560269335 6729780.753560641 39.105701, -34808.79159179272 6729780.74003905 39.1157, -34809.48761801864 6729780.710823783 39.137299, -34809.785841034725 6729780.698857325 39.1465, -34810.505699760746 6729780.67001191 39.1688, -34810.78020412987 6729780.659599688 39.177299, -34811.52398493176 6729780.631333769 39.200401, -34811.77459102683 6729780.622358615 39.208199, -34812.54328472575 6729780.594762934 39.231998, -34812.76900288288 6729780.587033483 39.238998, -34813.561608511955 6729780.560117084 39.263599, -34813.76352843421 6729780.553733142 39.269798, -34814.58013672556 6729780.527605061 39.295101, -34814.75809508434 6729780.522249506 39.300598, -34815.59958783095 6729780.497091221 39.326698, -34815.75275829004 6729780.492889816 39.331501, -34816.61813752132 6729780.468710638 39.358299, -34816.74747158459 6729780.465347651 39.362301, -34817.637716975645 6729780.442338031 39.3899, -34817.74219170085 6729780.439820489 39.393101, -34818.65640316438 6729780.417998708 39.421398, -34818.73703565856 6729780.416218332 39.423901, -34818.848452916835 6729780.413833049 39.427399, -34819.67520304839 6729780.395684177 39.452999, -34819.731901420746 6729780.394632545 39.4547, -34820.69491767441 6729780.375467806 39.4846, -34820.72669325967 6729780.374953655 39.4855, -34821.71374702547 6729780.357285451 39.516102, -34822.219181137276 6729780.349290123 39.531799, -34822.34454806743 6729780.347376728 39.535599, -34822.425142814405 6729780.346096488 39.538101, -34822.716645306675 6729780.341471304 39.547199, -34823.339475662215 6729780.332846935 39.566399, -34823.492668926134 6729780.330661997 39.571201, -34823.71159975976 6729780.327649005 39.577999, -34823.75244082743 6729780.327159403 39.579201, -34823.9474375383 6729780.324875156 39.5853, -34824.20908888627 6729780.321746134 39.593399, -34824.41507626511 6729780.319360608 39.599701, -34824.70657801477 6729780.315843264 39.608799, -34824.77130646771 6729780.315124227 39.610802, -34825.7016689654 6729780.306062223 39.639599, -34825.79017777275 6729780.305204669 39.6423, -34826.17825325788 6729780.301870588 39.654301, -34826.69670313154 6729780.298088927 39.662899, -34826.81008898816 6729780.297193299 39.664799, -34827.53252613277 6729780.293058739 39.676899, -34827.59722714336 6729780.292639343 39.677898, -34827.69174411951 6729780.292130631 39.679501, -34827.749492292525 6729780.291779466 39.6805, -34827.829088642495 6729780.291414971 39.681801, -34828.03303191741 6729780.290453733 39.6852, -34828.14447413478 6729780.289984399 39.687, -34828.23303608608 6729780.289635306 39.688499, -34828.269910763716 6729780.289487456 39.685101, -34828.68680791068 6729780.288188804 39.647099, -34828.84800822218 6729780.287643692 39.632401, -34829.05200464127 6729780.287190914 39.6138, -34829.16351430281 6729780.287029916 39.6036, -34829.252071101684 6729780.286781072 39.595501, -34829.26585174911 6729779.508377509 39.522999)</t>
  </si>
  <si>
    <t>POLYGON Z ((-34829.39044833253 6729779.507199311 39.5252, -34829.265844347305 6729779.507369639 39.522999, -34829.16218645335 6729779.507544745 39.534401, -34829.050578908646 6729779.507696774 39.547001, -34828.84628484328 6729779.508122294 39.570099, -34828.68479203887 6729779.508539898 39.588299, -34828.2671937265 6729779.509774334 39.635399, -34828.23031904886 6729779.509922181 39.6348, -34828.141658215434 6729779.51026222 39.633202, -34828.030027381144 6729779.510613557 39.631302, -34827.82569672563 6729779.511438604 39.627701, -34827.74599450221 6729779.511793396 39.626301, -34827.688146447996 6729779.51213542 39.625301, -34827.5945466978 6729779.512526701 39.6236, -34827.52874799352 6729779.512845561 39.622501, -34826.80520500615 6729779.516979557 39.609798, -34826.69153280824 6729779.517647522 39.6078, -34826.17229087709 6729779.521356643 39.598701, -34825.78362225613 6729779.524535686 39.591801, -34825.69492383348 6729779.525275157 39.590302, -34824.76306012203 6729779.534199671 39.573898, -34824.69834081712 6729779.534818826 39.5728, -34824.40626307088 6729779.538081977 39.5676, -34824.1999710541 6729779.540439607 39.563999, -34823.9438690549 6729779.543472579 39.558498, -34823.74260353437 6729779.545988415 39.554699, -34823.7016715745 6729779.546469698 39.554001, -34823.4824534005 6729779.549254938 39.550701, -34823.32997160754 6729779.551303601 39.548698, -34822.72104576952 6729779.559892127 39.538101, -34822.4131385769 6729779.564424886 39.5326, -34822.332444947446 6729779.565696073 39.5312, -34822.20687010535 6729779.567691143 39.528999, -34821.708578446065 6729779.575736333 39.520302, -34820.71216255112 6729779.5933528235 39.5028, -34820.68017905508 6729779.593948651 39.502201, -34819.715660429676 6729779.613076521 39.485298, -34819.658846037 6729779.614218245 39.484299, -34818.830808596336 6729779.632148499 39.4697, -34818.7192741601 6729779.634724484 39.4678, -34818.6385256449 6729779.636594958 39.466301, -34817.72281181032 6729779.658379861 39.448399, -34817.61822905473 6729779.6609882265 39.446201, -34816.726563036675 6729779.684069179 39.4259, -34816.597019904526 6729779.687614454 39.422798, -34815.73022104509 6729779.711865053 39.400398, -34815.57683452533 6729779.716248105 39.396198, -34814.73401088547 6729779.741586666 39.3717, -34814.55573658529 6729779.747114719 39.366299, -34813.73791342217 6729779.773332976 39.34, -34813.53566141799 6729779.779988663 39.333199, -34812.74184091808 6729779.806995232 39.305302, -34812.515699787065 6729779.814988104 39.296902, -34811.74577507691 6729779.842773196 39.267399, -34811.49483474379 6729779.8521206165 39.257401, -34810.749830921064 6729779.880576687 39.226398, -34810.47498432384 6729779.8913604375 39.2146, -34809.75400046026 6729779.920404967 39.1824, -34809.455245442456 6729779.932725571 39.168598, -34808.758193959715 6729779.9621491 39.1353, -34808.434605146875 6729779.976223961 39.119301, -34808.328022283735 6729779.980864961 39.113998, -34807.87203429907 6729780.00104365 39.091099, -34807.76250099484 6729780.006018733 39.085602, -34807.41498662392 6729780.021729597 39.068401, -34806.766923881485 6729780.051812634 39.037498, -34806.39456341264 6729780.069478066 39.020302, -34805.77136857202 6729780.099622911 38.992401, -34805.49171414727 6729780.11349148 38.980301, -34805.37516297377 6729780.119233868 38.975399, -34804.77603482932 6729780.149467857 38.9505, -34804.35596696311 6729780.171123489 38.933701, -34803.7807168978 6729780.201328631 38.911598, -34803.33576965646 6729780.225137224 38.895302, -34802.78551266051 6729780.255214196 38.8759, -34802.316791729536 6729780.281277016 38.8601, -34801.79042211827 6729780.311124553 38.843201, -34801.29781946691 6729780.339532422 38.828098, -34800.79546340811 6729780.368960645 38.813499, -34800.27805981331 6729780.39983081 38.7994, -34799.800502371625 6729780.428911621 38.786999, -34799.25940451678 6729780.462345442 38.773899, -34798.953075621976 6729780.481526286 38.7668, -34798.80578004022 6729780.4907981185 38.763599, -34798.240873062285 6729780.526785074 38.751598, -34797.811163413106 6729780.554708671 38.743198, -34797.22152677155 6729780.593567335 38.732601, -34796.81676835206 6729780.620653901 38.725899, -34796.2032044112 6729780.662256314 38.716801, -34795.82240424317 6729780.68851562 38.7117, -34795.185093312175 6729780.733180455 38.704201, -34794.828237570706 6729780.758510521 38.7005, -34794.51799993741 6729780.780757808 38.697701, -34794.16617069114 6729780.806246091 38.694801, -34793.834102848545 6729780.83042201 38.692501, -34793.5558494546 6729780.850965627 38.6908, -34793.53202162124 6729780.852711299 38.690601, -34793.1482879807 6729780.881219908 38.646198, -34792.840287576546 6729780.904377131 38.610901, -34792.6017456064 6729780.922414022 38.583801, -34792.53815986472 6729780.928273668 38.576599, -34792.47557483881 6729780.933016339 38.576401, -34792.53234033217 6729781.691190392 38.552399, -34792.47568911407 6729780.934033994 38.576401, -34792.53035150468 6729780.929875045 38.576599, -34792.60083578259 6729780.923539319 38.583698, -34792.65940120083 6729781.681778515 38.560398, -34792.89750099473 6729781.6642037155 38.590099, -34793.20516716142 6729781.641418755 38.628399, -34793.58632044366 6729781.613580287 38.6763, -34793.61115514545 6729781.611827123 38.679401, -34793.890072297305 6729781.5917451605 38.6847, -34794.221510071075 6729781.567916426 38.691002, -34794.572961679194 6729781.543197297 38.698299, -34794.88265707146 6729781.521404952 38.7047, -34795.23897497647 6729781.496327788 38.712101, -34795.875374926836 6729781.452888866 38.726799, -34796.25564300129 6729781.426984711 38.735699, -34796.86830535915 6729781.386406627 38.7514, -34797.272427060525 6729781.359563902 38.761799, -34797.86127788969 6729781.32174118 38.778301, -34798.29033951543 6729781.294261831 38.790401, -34798.854365271865 6729781.258999915 38.8074, -34799.0013540599 6729781.249800705 38.811798, -34799.307350714225 6729781.230992311 38.821301, -34799.84767206421 6729781.198393843 38.8381, -34800.32447560853 6729781.169747584 38.852901, -34800.84099582501 6729781.139702984 38.868999, -34801.34273014753 6729781.110519977 38.884499, -34801.83455030003 6729781.082946914 38.899799, -34802.360090263304 6729781.053426269 38.9161, -34802.82812773704 6729781.0281066075 38.930698, -34803.37755608349 6729780.998356622 38.947701, -34803.821738123544 6729780.975182977 38.961498, -34804.396160697564 6729780.945204206 38.979301, -34804.81557023525 6729780.924193314 38.992298, -34805.41385474859 6729780.894284938 39.010899, -34805.53019585414 6729780.888724746 39.0145, -34805.80941815791 6729780.875219479 39.023201, -34806.431678634486 6729780.845291217 39.0425, -34806.80338992237 6729780.828170642 39.054001, -34807.45051714277 6729780.7984048035 39.0741, -34807.797482372844 6729780.783147239 39.084801, -34807.906791625894 6729780.778353075 39.0882, -34808.362167022075 6729780.758319722 39.102402, -34808.468560269335 6729780.753560641 39.105701, -34808.79159179272 6729780.74003905 39.1157, -34809.48761801864 6729780.710823783 39.137299, -34809.785841034725 6729780.698857325 39.1465, -34810.505699760746 6729780.67001191 39.1688, -34810.78020412987 6729780.659599688 39.177299, -34811.52398493176 6729780.631333769 39.200401, -34811.77459102683 6729780.622358615 39.208199, -34812.54328472575 6729780.594762934 39.231998, -34812.76900288288 6729780.587033483 39.238998, -34813.561608511955 6729780.560117084 39.263599, -34813.76352843421 6729780.553733142 39.269798, -34814.58013672556 6729780.527605061 39.295101, -34814.75809508434 6729780.522249506 39.300598, -34815.59958783095 6729780.497091221 39.326698, -34815.75275829004 6729780.492889816 39.331501, -34816.61813752132 6729780.468710638 39.358299, -34816.74747158459 6729780.465347651 39.362301, -34817.637716975645 6729780.442338031 39.3899, -34817.74219170085 6729780.439820489 39.393101, -34818.65640316438 6729780.417998708 39.421398, -34818.73703565856 6729780.416218332 39.423901, -34818.848452916835 6729780.413833049 39.427399, -34819.67520304839 6729780.395684177 39.452999, -34819.731901420746 6729780.394632545 39.4547, -34820.69491767441 6729780.375467806 39.4846, -34820.72669325967 6729780.374953655 39.4855, -34821.71374702547 6729780.357285451 39.516102, -34822.219181137276 6729780.349290123 39.531799, -34822.34454806743 6729780.347376728 39.535599, -34822.425142814405 6729780.346096488 39.538101, -34822.716645306675 6729780.341471304 39.547199, -34823.339475662215 6729780.332846935 39.566399, -34823.492668926134 6729780.330661997 39.571201, -34823.71159975976 6729780.327649005 39.577999, -34823.75244082743 6729780.327159403 39.579201, -34823.9474375383 6729780.324875156 39.5853, -34824.20908888627 6729780.321746134 39.593399, -34824.41507626511 6729780.319360608 39.599701, -34824.70657801477 6729780.315843264 39.608799, -34824.77130646771 6729780.315124227 39.610802, -34825.7016689654 6729780.306062223 39.639599, -34825.79017777275 6729780.305204669 39.6423, -34826.17825325788 6729780.301870588 39.654301, -34826.69670313154 6729780.298088927 39.662899, -34826.81008898816 6729780.297193299 39.664799, -34827.53252613277 6729780.293058739 39.676899, -34827.59722714336 6729780.292639343 39.677898, -34827.69174411951 6729780.292130631 39.679501, -34827.749492292525 6729780.291779466 39.6805, -34827.829088642495 6729780.291414971 39.681801, -34828.03303191741 6729780.290453733 39.6852, -34828.14447413478 6729780.289984399 39.687, -34828.23303608608 6729780.289635306 39.688499, -34828.269910763716 6729780.289487456 39.685101, -34828.68680791068 6729780.288188804 39.647099, -34828.84800822218 6729780.287643692 39.632401, -34829.05200464127 6729780.287190914 39.6138, -34829.16351430281 6729780.287029916 39.6036, -34829.252071101684 6729780.286781072 39.595501, -34829.26585174911 6729779.508377509 39.522999, -34829.39044833253 6729779.507199311 39.5252))</t>
  </si>
  <si>
    <t>['KV4575 S1D1 m37-63']</t>
  </si>
  <si>
    <t>LINESTRING Z (-34685.611534801195 6729789.537628508 39.6422, -34685.91258993826 6729789.006411521 39.612202, -34685.63005961699 6729788.837211888 39.514099, -34685.587942225626 6729788.812103725 39.5, -34685.40682015417 6729788.7035575975 39.400002, -34685.13688856433 6729788.541958888 39.300701, -34685.03615222068 6729788.481667071 39.284, -34684.838600568706 6729788.363359239 39.2519, -34684.7866623468 6729788.3322109 39.2435, -34684.68028880155 6729788.268586677 39.2262, -34684.585761044524 6729788.211986792 39.210899, -34684.52446443902 6729788.175247544 39.200001, -34684.49467367132 6729788.157412211 39.198601, -34684.43356740591 6729788.120794134 39.195, -34684.22072994802 6729787.993432668 39.182598, -34683.753818642115 6729787.713879665 39.153702, -34682.34679483285 6729786.871316833 39.0928, -34681.31720118318 6729786.254889764 39.041599, -34680.506553606596 6729785.769507939 39, -34680.41489420959 6729785.714580831 39.007999, -34680.3707799461 6729785.688181866 39.0065, -34680.2000508263 6729785.586027454 39, -34676.27858329867 6729783.237967791 38.804199, -34675.25414413144 6729782.624634584 38.753101, -34674.216916806996 6729782.003580383 38.694099, -34674.14349506784 6729781.959589781 38.690399, -34674.07283871737 6729781.917263538 38.686699, -34674.004852145445 6729781.876589858 38.683102, -34673.93945258518 6729781.837361747 38.6796, -34673.87643085129 6729781.799663788 38.676201, -34673.815895431326 6729781.763400162 38.672901, -34673.757649469655 6729781.72855384 38.669601, -34673.70159905241 6729781.695017523 38.6665, -34673.64775432751 6729781.662691414 38.663399, -34673.187041758094 6729781.386927185 38.637001, -34673.56658673403 6729780.796022717 38.5, -34674.044220851734 6729780.052349638 38.3116, -34666.0404767053 6729775.246928722 37.932899, -34665.87544812099 6729775.553209824 37.9841, -34665.84170756419 6729775.61588898 38, -34665.77773600712 6729775.734819555 38.020901, -34665.32206159923 6729776.580720133 38.200001, -34664.78189474798 6729777.5837589055 38.393799, -34664.44137092575 6729778.2160048 38.5, -34664.23349150794 6729778.601957893 38.5681, -34663.55912645627 6729779.853969281 38.788101, -34662.84967406059 6729781.171256875 39, -34662.22785282659 6729782.325750312 39.1637, -34662.19957550999 6729782.378254646 39.170898, -34662.168744382565 6729782.435560013 39.178799, -34662.13488464791 6729782.498429687 39.1875, -34662.09752659453 6729782.567626395 39.196999, -34662.056256716256 6729782.644321902 39.2075, -34662.01026119187 6729782.729747991 39.2192, -34661.95880939241 6729782.825250838 39.2323, -34661.90079316718 6729782.93304346 39.247101, -34661.83696795092 6729783.051486859 39.263302, -34661.76427733316 6729783.186437898 39.281799, -34661.68053860054 6729783.341933904 39.303001, -34661.583208271186 6729783.52267413 39.327702, -34661.468657979975 6729783.73527284 39.356701, -34661.33176722878 6729783.989439693 39.391399, -34661.165502154385 6729784.298224204 39.433498, -34661.00943838735 6729784.588000705 39.473499, -34660.924264232395 6729784.745983932 39.494701, -34660.90290605475 6729784.785624647 39.5, -34660.65109209076 6729785.253162806 39.5672, -34660.43968399172 6729785.645741276 39.624001, -34660.57956902322 6729785.760277229 39.638401, -34661.35561585566 6729786.395784031 39.718399, -34662.13167501765 6729787.031189229 39.798401, -34662.16737764364 6729787.060343942 39.802101, -34662.46072153002 6729787.30063326 39.832298, -34662.90773318149 6729787.666594349 39.878399, -34663.68379234534 6729788.301999565 39.958401, -34664.17885726527 6729788.707413994 40.009499, -34664.45974926546 6729788.937399458 40.038399, -34665.23580843187 6729789.572804691 40.1185, -34665.62378086627 6729789.890553951 40.158501, -34666.01185518026 6729790.208312535 40.198502, -34666.305960525526 6729790.449074488 40.228802, -34666.39984003396 6729790.5259591965 40.238499, -34666.787914348184 6729790.843717791 40.2785, -34667.175888781785 6729791.161467237 40.308201, -34667.2838254018 6729791.249813036 40.316502, -34667.663569700555 6729791.560660817 40.335201, -34668.43961645255 6729792.196168687 40.367199, -34669.21557574347 6729792.831564815 40.3992, -34669.99163491663 6729793.466970099 40.431301, -34670.76769072877 6729794.102379111 40.463299, -34671.5437499953 6729794.737783414 40.4953, -34671.69112127996 6729794.858545593 40.5014, -34672.04518829542 6729795.148411668 40.5042, -34672.43326261395 6729795.4661702905 40.508499, -34672.821238050354 6729795.783919858 40.512699, -34673.209219912766 6729796.101566279 40.516998, -34673.59729423199 6729796.4193249075 40.521198, -34673.985278726206 6729796.736975598 40.525398, -34674.37335341214 6729797.054730234 40.529701, -34674.76132785098 6729797.372479723 40.533901, -34675.14931134705 6729797.69013033 40.5382, -34675.537386033684 6729798.007884971 40.5424, -34675.92536047369 6729798.325634464 40.5466, -34676.231926404056 6729798.576605422 40.549999, -34676.313344061724 6729798.643284079 40.543301, -34676.701418657554 6729798.961039727 40.5112, -34677.08940224652 6729799.278689346 40.479198, -34677.47747656854 6729799.596447997 40.447102, -34677.86546043272 6729799.9140946185 40.4151, -34678.25343487435 6729800.231844126 40.383099, -34678.6415091973 6729800.5496027805 40.351002, -34679.029493062175 6729800.86724941 40.319, -34679.08382897102 6729800.911807494 40.310001, -34679.13881635503 6729800.959149695 40.310001, -34679.18279193435 6729800.881493368 40.3083, -34679.67736788932 6729800.008940074 40.259102, -34680.17185310717 6729799.1362777455 40.209801, -34680.66642914608 6729798.263723436 40.160599, -34681.16091435647 6729797.391061091 40.111401, -34681.507026798674 6729796.7802745225 40.077, -34681.655390414875 6729796.518498623 40.062199, -34682.14997549949 6729795.645845409 40.008598, -34682.64445164206 6729794.773281925 39.955002, -34683.13893683732 6729793.9006195525 39.901402, -34683.63351276214 6729793.028066198 39.847801, -34684.12799794972 6729792.155403812 39.7943, -34684.62257395859 6729791.282849443 39.7407, -34685.11705913895 6729790.4101870395 39.691502)</t>
  </si>
  <si>
    <t>POLYGON Z ((-34685.611534801195 6729789.537628508 39.6422, -34685.91258993826 6729789.006411521 39.612202, -34685.63005961699 6729788.837211888 39.514099, -34685.587942225626 6729788.812103725 39.5, -34685.40682015417 6729788.7035575975 39.400002, -34685.13688856433 6729788.541958888 39.300701, -34685.03615222068 6729788.481667071 39.284, -34684.838600568706 6729788.363359239 39.2519, -34684.7866623468 6729788.3322109 39.2435, -34684.68028880155 6729788.268586677 39.2262, -34684.585761044524 6729788.211986792 39.210899, -34684.52446443902 6729788.175247544 39.200001, -34684.49467367132 6729788.157412211 39.198601, -34684.43356740591 6729788.120794134 39.195, -34684.22072994802 6729787.993432668 39.182598, -34683.753818642115 6729787.713879665 39.153702, -34682.34679483285 6729786.871316833 39.0928, -34681.31720118318 6729786.254889764 39.041599, -34680.506553606596 6729785.769507939 39, -34680.41489420959 6729785.714580831 39.007999, -34680.3707799461 6729785.688181866 39.0065, -34680.2000508263 6729785.586027454 39, -34676.27858329867 6729783.237967791 38.804199, -34675.25414413144 6729782.624634584 38.753101, -34674.216916806996 6729782.003580383 38.694099, -34674.14349506784 6729781.959589781 38.690399, -34674.07283871737 6729781.917263538 38.686699, -34674.004852145445 6729781.876589858 38.683102, -34673.93945258518 6729781.837361747 38.6796, -34673.87643085129 6729781.799663788 38.676201, -34673.815895431326 6729781.763400162 38.672901, -34673.757649469655 6729781.72855384 38.669601, -34673.70159905241 6729781.695017523 38.6665, -34673.64775432751 6729781.662691414 38.663399, -34673.187041758094 6729781.386927185 38.637001, -34673.56658673403 6729780.796022717 38.5, -34674.044220851734 6729780.052349638 38.3116, -34666.0404767053 6729775.246928722 37.932899, -34665.87544812099 6729775.553209824 37.9841, -34665.84170756419 6729775.61588898 38, -34665.77773600712 6729775.734819555 38.020901, -34665.32206159923 6729776.580720133 38.200001, -34664.78189474798 6729777.5837589055 38.393799, -34664.44137092575 6729778.2160048 38.5, -34664.23349150794 6729778.601957893 38.5681, -34663.55912645627 6729779.853969281 38.788101, -34662.84967406059 6729781.171256875 39, -34662.22785282659 6729782.325750312 39.1637, -34662.19957550999 6729782.378254646 39.170898, -34662.168744382565 6729782.435560013 39.178799, -34662.13488464791 6729782.498429687 39.1875, -34662.09752659453 6729782.567626395 39.196999, -34662.056256716256 6729782.644321902 39.2075, -34662.01026119187 6729782.729747991 39.2192, -34661.95880939241 6729782.825250838 39.2323, -34661.90079316718 6729782.93304346 39.247101, -34661.83696795092 6729783.051486859 39.263302, -34661.76427733316 6729783.186437898 39.281799, -34661.68053860054 6729783.341933904 39.303001, -34661.583208271186 6729783.52267413 39.327702, -34661.468657979975 6729783.73527284 39.356701, -34661.33176722878 6729783.989439693 39.391399, -34661.165502154385 6729784.298224204 39.433498, -34661.00943838735 6729784.588000705 39.473499, -34660.924264232395 6729784.745983932 39.494701, -34660.90290605475 6729784.785624647 39.5, -34660.65109209076 6729785.253162806 39.5672, -34660.43968399172 6729785.645741276 39.624001, -34660.57956902322 6729785.760277229 39.638401, -34661.35561585566 6729786.395784031 39.718399, -34662.13167501765 6729787.031189229 39.798401, -34662.16737764364 6729787.060343942 39.802101, -34662.46072153002 6729787.30063326 39.832298, -34662.90773318149 6729787.666594349 39.878399, -34663.68379234534 6729788.301999565 39.958401, -34664.17885726527 6729788.707413994 40.009499, -34664.45974926546 6729788.937399458 40.038399, -34665.23580843187 6729789.572804691 40.1185, -34665.62378086627 6729789.890553951 40.158501, -34666.01185518026 6729790.208312535 40.198502, -34666.305960525526 6729790.449074488 40.228802, -34666.39984003396 6729790.5259591965 40.238499, -34666.787914348184 6729790.843717791 40.2785, -34667.175888781785 6729791.161467237 40.308201, -34667.2838254018 6729791.249813036 40.316502, -34667.663569700555 6729791.560660817 40.335201, -34668.43961645255 6729792.196168687 40.367199, -34669.21557574347 6729792.831564815 40.3992, -34669.99163491663 6729793.466970099 40.431301, -34670.76769072877 6729794.102379111 40.463299, -34671.5437499953 6729794.737783414 40.4953, -34671.69112127996 6729794.858545593 40.5014, -34672.04518829542 6729795.148411668 40.5042, -34672.43326261395 6729795.4661702905 40.508499, -34672.821238050354 6729795.783919858 40.512699, -34673.209219912766 6729796.101566279 40.516998, -34673.59729423199 6729796.4193249075 40.521198, -34673.985278726206 6729796.736975598 40.525398, -34674.37335341214 6729797.054730234 40.529701, -34674.76132785098 6729797.372479723 40.533901, -34675.14931134705 6729797.69013033 40.5382, -34675.537386033684 6729798.007884971 40.5424, -34675.92536047369 6729798.325634464 40.5466, -34676.231926404056 6729798.576605422 40.549999, -34676.313344061724 6729798.643284079 40.543301, -34676.701418657554 6729798.961039727 40.5112, -34677.08940224652 6729799.278689346 40.479198, -34677.47747656854 6729799.596447997 40.447102, -34677.86546043272 6729799.9140946185 40.4151, -34678.25343487435 6729800.231844126 40.383099, -34678.6415091973 6729800.5496027805 40.351002, -34679.029493062175 6729800.86724941 40.319, -34679.08382897102 6729800.911807494 40.310001, -34679.13881635503 6729800.959149695 40.310001, -34679.18279193435 6729800.881493368 40.3083, -34679.67736788932 6729800.008940074 40.259102, -34680.17185310717 6729799.1362777455 40.209801, -34680.66642914608 6729798.263723436 40.160599, -34681.16091435647 6729797.391061091 40.111401, -34681.507026798674 6729796.7802745225 40.077, -34681.655390414875 6729796.518498623 40.062199, -34682.14997549949 6729795.645845409 40.008598, -34682.64445164206 6729794.773281925 39.955002, -34683.13893683732 6729793.9006195525 39.901402, -34683.63351276214 6729793.028066198 39.847801, -34684.12799794972 6729792.155403812 39.7943, -34684.62257395859 6729791.282849443 39.7407, -34685.11705913895 6729790.4101870395 39.691502, -34685.611534801195 6729789.537628508 39.6422))</t>
  </si>
  <si>
    <t>['KV4575 S1D1 m19-31']</t>
  </si>
  <si>
    <t>LINESTRING Z (-34708.525636476465 6729779.505724263 39.374599, -34708.491464042105 6729779.025487038 39.3661, -34708.471026029205 6729778.737272333 39.361698, -34708.06083819305 6729778.546609946 39.349201, -34707.14423833997 6729778.123842199 39.3186, -34706.22707664466 6729777.70394284 39.285301, -34705.81509377656 6729777.516340059 39.269501, -34705.309010788216 6729777.287284399 39.249298, -34704.38942643686 6729776.8751199525 39.2108, -34704.284424974 6729776.828438431 39.2062, -34704.24667699961 6729776.811685241 39.204601, -34703.85892548249 6729776.640001572 39.187401, -34703.467991349404 6729776.467821956 39.169601, -34702.837740557734 6729776.192343734 39.139999, -34702.5449035418 6729776.0653068125 39.1259, -34701.91248847311 6729775.792652945 39.094501, -34701.619981114985 6729775.667460162 39.079601, -34700.69330808474 6729775.274387401 39.0308, -34699.89868650411 6729774.941754154 38.987, -34699.81689571391 6729774.907773962 38.982399, -34699.67193741875 6729774.8475623885 38.974201, -34699.631958467886 6729774.831007739 38.972, -34699.53802517976 6729774.792088103 38.955502, -34699.39294970606 6729774.73206724 38.93, -34699.24416315055 6729774.670700301 38.903801, -34699.11381010583 6729774.617064794 38.880901, -34698.88763527188 6729774.524234974 38.841, -34698.83453314961 6729774.502550343 38.831699, -34698.75910580822 6729774.471670945 38.818401, -34698.70230990043 6729774.448440392 38.808399, -34698.56067709788 6729774.786273278 38.8009, -34698.411471680854 6729775.147381683 38.812698, -34699.60833167948 6729775.617877549 38.9911, -34700.40259438625 6729775.937988784 39.034698, -34701.323453606106 6729776.328513688 39.083599, -34701.61284601875 6729776.45573771 39.098598, -34702.236530614435 6729776.736959829 39.130299, -34702.524377244874 6729776.870086417 39.144699, -34703.141551372595 6729777.16289924 39.174801, -34703.51920178544 6729777.34705337 39.192902, -34703.89978432888 6729777.536615733 39.210701, -34703.936378067476 6729777.55497443 39.212399, -34704.038116221316 6729777.606494741 39.217201, -34704.92604809825 6729778.067326229 39.257301, -34705.399938732735 6729778.322340761 39.278, -34705.80475225416 6729778.545344267 39.2953, -34706.674240357825 6729779.040344465 39.331001, -34707.53392510873 6729779.552273027 39.364601, -34708.57521868462 6729780.2048229305 39.402802, -34708.544998650905 6729779.779336909 39.385799, -34708.525636476465 6729779.505724263 39.374599)</t>
  </si>
  <si>
    <t>POLYGON Z ((-34708.525636476465 6729779.505724263 39.374599, -34708.491464042105 6729779.025487038 39.3661, -34708.471026029205 6729778.737272333 39.361698, -34708.06083819305 6729778.546609946 39.349201, -34707.14423833997 6729778.123842199 39.3186, -34706.22707664466 6729777.70394284 39.285301, -34705.81509377656 6729777.516340059 39.269501, -34705.309010788216 6729777.287284399 39.249298, -34704.38942643686 6729776.8751199525 39.2108, -34704.284424974 6729776.828438431 39.2062, -34704.24667699961 6729776.811685241 39.204601, -34703.85892548249 6729776.640001572 39.187401, -34703.467991349404 6729776.467821956 39.169601, -34702.837740557734 6729776.192343734 39.139999, -34702.5449035418 6729776.0653068125 39.1259, -34701.91248847311 6729775.792652945 39.094501, -34701.619981114985 6729775.667460162 39.079601, -34700.69330808474 6729775.274387401 39.0308, -34699.89868650411 6729774.941754154 38.987, -34699.81689571391 6729774.907773962 38.982399, -34699.67193741875 6729774.8475623885 38.974201, -34699.631958467886 6729774.831007739 38.972, -34699.53802517976 6729774.792088103 38.955502, -34699.39294970606 6729774.73206724 38.93, -34699.24416315055 6729774.670700301 38.903801, -34699.11381010583 6729774.617064794 38.880901, -34698.88763527188 6729774.524234974 38.841, -34698.83453314961 6729774.502550343 38.831699, -34698.75910580822 6729774.471670945 38.818401, -34698.70230990043 6729774.448440392 38.808399, -34698.56067709788 6729774.786273278 38.8009, -34698.411471680854 6729775.147381683 38.812698, -34699.60833167948 6729775.617877549 38.9911, -34700.40259438625 6729775.937988784 39.034698, -34701.323453606106 6729776.328513688 39.083599, -34701.61284601875 6729776.45573771 39.098598, -34702.236530614435 6729776.736959829 39.130299, -34702.524377244874 6729776.870086417 39.144699, -34703.141551372595 6729777.16289924 39.174801, -34703.51920178544 6729777.34705337 39.192902, -34703.89978432888 6729777.536615733 39.210701, -34703.936378067476 6729777.55497443 39.212399, -34704.038116221316 6729777.606494741 39.217201, -34704.92604809825 6729778.067326229 39.257301, -34705.399938732735 6729778.322340761 39.278, -34705.80475225416 6729778.545344267 39.2953, -34706.674240357825 6729779.040344465 39.331001, -34707.53392510873 6729779.552273027 39.364601, -34708.57521868462 6729780.2048229305 39.402802, -34708.544998650905 6729779.779336909 39.385799, -34708.525636476465 6729779.505724263 39.374599))</t>
  </si>
  <si>
    <t>['FV540 S1D104 m117-118']</t>
  </si>
  <si>
    <t>LINESTRING Z (-34813.88265742548 6729762.922706656 37.093102, -34813.92924028542 6729762.540617139 37.0681, -34813.94016952254 6729761.771318378 37.018101, -34813.84157927532 6729761.009109066 36.968201, -34813.68454406888 6729760.412168825 36.928101, -34813.62284387485 6729760.2225031955 36.920502, -34813.312458398985 6729759.268776144 36.8825, -34813.00208161434 6729758.314943129 36.844501, -34812.69169676537 6729757.36120909 36.806499, -34812.38140289218 6729756.407482387 36.768501, -34812.13995974581 6729755.6654316615 36.738998, -34812.13279906695 6729755.643521097 36.738098, -34812.07102608774 6729755.453649381 36.728401, -34811.97127339011 6729755.147294474 36.714699, -34810.806639723945 6729755.55438753 36.849602, -34810.87267857173 6729755.84064219 36.864899, -34810.90404572466 6729755.976560807 36.879101, -34810.924075290095 6729756.063605558 36.8843, -34811.03539253655 6729756.546075273 37, -34811.079169142526 6729756.735605042 37.007, -34811.090121270856 6729756.783244043 37.0718, -34811.10144117067 6729756.832223055 37.138401, -34811.113055021735 6729756.882534302 37.206902, -34811.12004156143 6729756.912889312 37.248199, -34811.12481244921 6729756.933367335 37.258301, -34811.13129783061 6729756.961562352 37.280399, -34811.146145699546 6729757.025972326 37.331001, -34811.15869033814 6729757.080295858 37.3736, -34811.17123317858 6729757.134726996 37.416302, -34811.18386575312 6729757.189267071 37.459202, -34811.194881603704 6729757.237211042 37.451599, -34811.2059951789 6729757.285264684 37.444, -34811.21709179843 6729757.3334154785 37.436401, -34811.24526862777 6729757.455747999 37.4492, -34811.27786550764 6729757.797055604 37.504902, -34811.28422135406 6729757.862899597 37.498901, -34811.29059286078 6729757.929760268 37.492802, -34811.29697365896 6729757.997520205 37.486599, -34811.306027713 6729758.09222055 37.477901, -34811.33795074688 6729758.426611503 37.521599, -34811.34475836158 6729758.497431095 37.530102, -34811.35158188664 6729758.569165665 37.538601, -34811.35852075217 6729758.641818278 37.547401, -34811.36557471659 6729758.715479557 37.556198, -34811.37264540675 6729758.790057905 37.565102, -34811.37991229922 6729758.865760112 37.5742, -34811.387186684995 6729758.942469193 37.583401, -34811.39483372413 6729759.022840302 37.592899, -34811.4026669102 6729759.1044340655 37.6026, -34811.41050743137 6729759.187135401 37.612499, -34811.43531622796 6729759.44634575 37.646099, -34811.44298860675 6729759.527517882 37.655701, -34811.45059199305 6729759.607177942 37.6651, -34811.45830794831 6729759.687962268 37.6745, -34811.46612392797 6729759.769754885 37.6842, -34811.47403722722 6729759.852662315 37.693901, -34811.47700334969 6729759.882948233 37.697399, -34811.49018231069 6729759.933711028 37.7001, -34811.510905938805 6729760.013166724 37.7043, -34811.531631298014 6729760.092614515 37.7085, -34811.55236480571 6729760.171962341 37.7127, -34811.60648260615 6729760.379467808 37.726101, -34811.62744944915 6729760.459545055 37.7304, -34811.6483077131 6729760.539719123 37.7346, -34811.669184730505 6729760.619688432 37.738899, -34811.69006183953 6729760.699656742 37.743099, -34811.71920916869 6729760.811403957 37.748901, -34811.729866840644 6729760.852261775 37.751598, -34811.75812816864 6729760.96050843 37.757198, -34811.78637308965 6729761.068846248 37.762798, -34811.81931878696 6729761.195249489 37.7714, -34811.91377799504 6729761.557223072 37.751202, -34811.87958613131 6729761.835903176 37.777599, -34811.872927873395 6729761.88998275 37.818802, -34811.867017873796 6729761.937981968 37.8554, -34811.86177908024 6729761.980918074 37.888199, -34811.797037338256 6729762.5084988875 37.9576, -34811.789896506234 6729762.566659711 37.9505, -34811.78313886875 6729762.621736368 37.941898, -34811.77680673648 6729762.673332876 37.932201, -34811.77095116745 6729762.720737797 37.9216, -34811.73472693551 6729763.016153552 37.9212, -34811.232712877216 6729764.036986034 38.097698, -34811.025867477525 6729764.0993255405 38.191399, -34810.89069292857 6729764.140119645 38.2295, -34810.68964185426 6729764.20077705 38.288898, -34810.51230999071 6729764.25433166 38.3368, -34810.37433647644 6729764.295983358 38.372799, -34810.07913200243 6729764.385070864 38.441002, -34809.9409597246 6729764.426704363 38.4743, -34809.86866106116 6729764.448484353 38.490501, -34809.63062143198 6729764.520353234 38.5355, -34809.41797365248 6729764.584473816 38.578899, -34809.289842371596 6729764.623200636 38.599899, -34809.155180349364 6729764.6638422515 38.623699, -34809.134292475646 6729764.794075477 38.586102, -34809.09864029614 6729765.016120493 38.5228, -34809.01485710975 6729765.538329412 38.357498, -34808.981975350296 6729765.743399187 38.295101, -34808.935988313635 6729765.738579945 38.305099, -34808.82145249506 6729765.726683703 38.333801, -34808.636968026636 6729765.707566124 38.370399, -34808.517351322924 6729765.695104818 38.398201, -34808.32190403738 6729765.674783744 38.430901, -34808.198790587834 6729765.662001165 38.457298, -34808.066397958435 6729765.648162242 38.482899, -34807.768185710884 6729765.61722243 38.529999, -34807.63739426795 6729765.603529151 38.552799, -34807.498715121415 6729765.589114452 38.573799, -34807.41161428869 6729765.580130807 38.586899, -34807.199315356556 6729765.557966165 38.613201, -34806.89781309466 6729765.526625311 38.6586, -34806.67233021406 6729765.503260219 38.688801, -34806.32032205199 6729765.650501396 38.6628, -34806.186581035494 6729765.706434925 38.653, -34805.893438250176 6729765.829052255 38.636501, -34805.63128881238 6729765.938802111 38.6175, -34805.38160652912 6729766.043238747 38.5994, -34805.14365738083 6729766.142810604 38.5821, -34805.11454449245 6729766.154951893 38.580502, -34804.7792696933 6729766.677087862 38.4151, -34804.59395376325 6729766.671502269 38.433899, -34804.38893966214 6729766.648998656 38.460999, -34804.09467851452 6729766.616707486 38.504799, -34803.873201303184 6729766.592395894 38.533798, -34803.682152446476 6729766.571370765 38.559898, -34803.442528769956 6729766.545089961 38.591202, -34803.175486157415 6729766.515798326 38.625999, -34802.81103035435 6729766.47577178 38.675701, -34802.38972780423 6729766.429531518 38.7304, -34802.27604926645 6729766.417006749 38.745098, -34802.23912839766 6729766.82012193 38.595699, -34802.232752059004 6729766.889741066 38.570099, -34801.82170581131 6729766.962485817 38.581501, -34801.602406439255 6729767.0013149865 38.586102, -34801.14651441481 6729767.082039649 38.598801, -34800.66707096482 6729767.166946509 38.612099, -34798.74438541371 6729767.507439483 38.6465, -34798.71838567278 6729767.512004784 38.646999, -34798.65285777382 6729767.523629983 38.649399, -34798.576381299295 6729767.537173265 38.651699, -34798.48751669412 6729767.5529016275 38.653599, -34798.18928339251 6729767.605757056 38.662102, -34798.13655790745 6729767.615028642 38.663502, -34798.062024548766 6729767.628250327 38.665298, -34797.96200363943 6729767.645976451 38.671299, -34797.84283205634 6729767.66708928 38.6777, -34797.726935005165 6729767.687595553 38.680599, -34797.67441527615 6729767.696885982 38.681702, -34797.64578106778 6729767.753286736 38.6633, -34797.56272488448 6729767.903606045 38.615501, -34797.50006602693 6729768.00815949 38.582802, -34797.44713577826 6729768.091234292 38.557301, -34797.378852132475 6729768.192352726 38.5289, -34797.3177529322 6729768.2776999045 38.504799, -34797.254486528924 6729768.361449601 38.480701, -34797.1890552016 6729768.443587929 38.4566, -34797.12165796477 6729768.524031382 38.432499, -34797.05210601736 6729768.602663976 38.408401, -34796.98317084485 6729768.676827753 38.389599, -34796.91248448228 6729768.749217626 38.3708, -34796.84003896336 6729768.819931564 38.352001, -34796.77795726154 6729768.877495063 38.336201, -34796.81360624195 6729768.884186575 38.330799, -34797.80974341917 6729768.767340326 38.2808, -34798.805981217185 6729768.650495229 38.230801, -34799.80210935371 6729768.533747859 38.180801, -34800.7982392963 6729768.416892882 38.130798, -34801.79447647813 6729768.3000547765 38.080799, -34802.79060527915 6729768.18330041 38.0308, -34803.786742596305 6729768.06645315 37.980801, -34804.20611548156 6729768.0172395585 37.959801, -34804.78297971049 6729767.949616038 37.923901, -34805.77910862712 6729767.832860668 37.8619, -34806.77524587687 6729767.716014403 37.7999, -34807.77148274798 6729767.599169208 37.7379, -34808.02244485018 6729767.569778665 37.722198, -34808.76762010518 6729767.482321941 37.6702, -34809.18697596027 6729767.433206496 37.636002, -34809.54465963389 6729767.379042847 37.599201, -34809.62710268842 6729767.363025477 37.590199, -34810.36831507075 6729767.157161139 37.507198, -34810.629856803105 6729767.056223923 37.477001, -34811.072770416155 6729766.847812581 37.428299, -34811.726001050556 6729766.441307345 37.368099, -34812.31474138424 6729765.9460128555 37.3181, -34812.581016629236 6729765.668040325 37.293098, -34812.82690451364 6729765.371888087 37.268101, -34812.934052723926 6729765.228001486 37.2565, -34813.05096300924 6729765.05892781 37.243099, -34813.09761537658 6729764.987257531 37.237598, -34813.25204856973 6729764.7306702845 37.218102, -34813.429284243495 6729764.38904756 37.1931, -34813.581708358135 6729764.035586087 37.168098, -34813.70846909133 6729763.672119487 37.143101, -34813.72188424051 6729763.62791887 37.140099, -34813.8089816696 6729763.300501828 37.118099)</t>
  </si>
  <si>
    <t>POLYGON Z ((-34813.88265742548 6729762.922706656 37.093102, -34813.92924028542 6729762.540617139 37.0681, -34813.94016952254 6729761.771318378 37.018101, -34813.84157927532 6729761.009109066 36.968201, -34813.68454406888 6729760.412168825 36.928101, -34813.62284387485 6729760.2225031955 36.920502, -34813.312458398985 6729759.268776144 36.8825, -34813.00208161434 6729758.314943129 36.844501, -34812.69169676537 6729757.36120909 36.806499, -34812.38140289218 6729756.407482387 36.768501, -34812.13995974581 6729755.6654316615 36.738998, -34812.13279906695 6729755.643521097 36.738098, -34812.07102608774 6729755.453649381 36.728401, -34811.97127339011 6729755.147294474 36.714699, -34810.806639723945 6729755.55438753 36.849602, -34810.87267857173 6729755.84064219 36.864899, -34810.90404572466 6729755.976560807 36.879101, -34810.924075290095 6729756.063605558 36.8843, -34811.03539253655 6729756.546075273 37, -34811.079169142526 6729756.735605042 37.007, -34811.090121270856 6729756.783244043 37.0718, -34811.10144117067 6729756.832223055 37.138401, -34811.113055021735 6729756.882534302 37.206902, -34811.12004156143 6729756.912889312 37.248199, -34811.12481244921 6729756.933367335 37.258301, -34811.13129783061 6729756.961562352 37.280399, -34811.146145699546 6729757.025972326 37.331001, -34811.15869033814 6729757.080295858 37.3736, -34811.17123317858 6729757.134726996 37.416302, -34811.18386575312 6729757.189267071 37.459202, -34811.194881603704 6729757.237211042 37.451599, -34811.2059951789 6729757.285264684 37.444, -34811.21709179843 6729757.3334154785 37.436401, -34811.24526862777 6729757.455747999 37.4492, -34811.27786550764 6729757.797055604 37.504902, -34811.28422135406 6729757.862899597 37.498901, -34811.29059286078 6729757.929760268 37.492802, -34811.29697365896 6729757.997520205 37.486599, -34811.306027713 6729758.09222055 37.477901, -34811.33795074688 6729758.426611503 37.521599, -34811.34475836158 6729758.497431095 37.530102, -34811.35158188664 6729758.569165665 37.538601, -34811.35852075217 6729758.641818278 37.547401, -34811.36557471659 6729758.715479557 37.556198, -34811.37264540675 6729758.790057905 37.565102, -34811.37991229922 6729758.865760112 37.5742, -34811.387186684995 6729758.942469193 37.583401, -34811.39483372413 6729759.022840302 37.592899, -34811.4026669102 6729759.1044340655 37.6026, -34811.41050743137 6729759.187135401 37.612499, -34811.43531622796 6729759.44634575 37.646099, -34811.44298860675 6729759.527517882 37.655701, -34811.45059199305 6729759.607177942 37.6651, -34811.45830794831 6729759.687962268 37.6745, -34811.46612392797 6729759.769754885 37.6842, -34811.47403722722 6729759.852662315 37.693901, -34811.47700334969 6729759.882948233 37.697399, -34811.49018231069 6729759.933711028 37.7001, -34811.510905938805 6729760.013166724 37.7043, -34811.531631298014 6729760.092614515 37.7085, -34811.55236480571 6729760.171962341 37.7127, -34811.60648260615 6729760.379467808 37.726101, -34811.62744944915 6729760.459545055 37.7304, -34811.6483077131 6729760.539719123 37.7346, -34811.669184730505 6729760.619688432 37.738899, -34811.69006183953 6729760.699656742 37.743099, -34811.71920916869 6729760.811403957 37.748901, -34811.729866840644 6729760.852261775 37.751598, -34811.75812816864 6729760.96050843 37.757198, -34811.78637308965 6729761.068846248 37.762798, -34811.81931878696 6729761.195249489 37.7714, -34811.91377799504 6729761.557223072 37.751202, -34811.87958613131 6729761.835903176 37.777599, -34811.872927873395 6729761.88998275 37.818802, -34811.867017873796 6729761.937981968 37.8554, -34811.86177908024 6729761.980918074 37.888199, -34811.797037338256 6729762.5084988875 37.9576, -34811.789896506234 6729762.566659711 37.9505, -34811.78313886875 6729762.621736368 37.941898, -34811.77680673648 6729762.673332876 37.932201, -34811.77095116745 6729762.720737797 37.9216, -34811.73472693551 6729763.016153552 37.9212, -34811.232712877216 6729764.036986034 38.097698, -34811.025867477525 6729764.0993255405 38.191399, -34810.89069292857 6729764.140119645 38.2295, -34810.68964185426 6729764.20077705 38.288898, -34810.51230999071 6729764.25433166 38.3368, -34810.37433647644 6729764.295983358 38.372799, -34810.07913200243 6729764.385070864 38.441002, -34809.9409597246 6729764.426704363 38.4743, -34809.86866106116 6729764.448484353 38.490501, -34809.63062143198 6729764.520353234 38.5355, -34809.41797365248 6729764.584473816 38.578899, -34809.289842371596 6729764.623200636 38.599899, -34809.155180349364 6729764.6638422515 38.623699, -34809.134292475646 6729764.794075477 38.586102, -34809.09864029614 6729765.016120493 38.5228, -34809.01485710975 6729765.538329412 38.357498, -34808.981975350296 6729765.743399187 38.295101, -34808.935988313635 6729765.738579945 38.305099, -34808.82145249506 6729765.726683703 38.333801, -34808.636968026636 6729765.707566124 38.370399, -34808.517351322924 6729765.695104818 38.398201, -34808.32190403738 6729765.674783744 38.430901, -34808.198790587834 6729765.662001165 38.457298, -34808.066397958435 6729765.648162242 38.482899, -34807.768185710884 6729765.61722243 38.529999, -34807.63739426795 6729765.603529151 38.552799, -34807.498715121415 6729765.589114452 38.573799, -34807.41161428869 6729765.580130807 38.586899, -34807.199315356556 6729765.557966165 38.613201, -34806.89781309466 6729765.526625311 38.6586, -34806.67233021406 6729765.503260219 38.688801, -34806.32032205199 6729765.650501396 38.6628, -34806.186581035494 6729765.706434925 38.653, -34805.893438250176 6729765.829052255 38.636501, -34805.63128881238 6729765.938802111 38.6175, -34805.38160652912 6729766.043238747 38.5994, -34805.14365738083 6729766.142810604 38.5821, -34805.11454449245 6729766.154951893 38.580502, -34804.7792696933 6729766.677087862 38.4151, -34804.59395376325 6729766.671502269 38.433899, -34804.38893966214 6729766.648998656 38.460999, -34804.09467851452 6729766.616707486 38.504799, -34803.873201303184 6729766.592395894 38.533798, -34803.682152446476 6729766.571370765 38.559898, -34803.442528769956 6729766.545089961 38.591202, -34803.175486157415 6729766.515798326 38.625999, -34802.81103035435 6729766.47577178 38.675701, -34802.38972780423 6729766.429531518 38.7304, -34802.27604926645 6729766.417006749 38.745098, -34802.23912839766 6729766.82012193 38.595699, -34802.232752059004 6729766.889741066 38.570099, -34801.82170581131 6729766.962485817 38.581501, -34801.602406439255 6729767.0013149865 38.586102, -34801.14651441481 6729767.082039649 38.598801, -34800.66707096482 6729767.166946509 38.612099, -34798.74438541371 6729767.507439483 38.6465, -34798.71838567278 6729767.512004784 38.646999, -34798.65285777382 6729767.523629983 38.649399, -34798.576381299295 6729767.537173265 38.651699, -34798.48751669412 6729767.5529016275 38.653599, -34798.18928339251 6729767.605757056 38.662102, -34798.13655790745 6729767.615028642 38.663502, -34798.062024548766 6729767.628250327 38.665298, -34797.96200363943 6729767.645976451 38.671299, -34797.84283205634 6729767.66708928 38.6777, -34797.726935005165 6729767.687595553 38.680599, -34797.67441527615 6729767.696885982 38.681702, -34797.64578106778 6729767.753286736 38.6633, -34797.56272488448 6729767.903606045 38.615501, -34797.50006602693 6729768.00815949 38.582802, -34797.44713577826 6729768.091234292 38.557301, -34797.378852132475 6729768.192352726 38.5289, -34797.3177529322 6729768.2776999045 38.504799, -34797.254486528924 6729768.361449601 38.480701, -34797.1890552016 6729768.443587929 38.4566, -34797.12165796477 6729768.524031382 38.432499, -34797.05210601736 6729768.602663976 38.408401, -34796.98317084485 6729768.676827753 38.389599, -34796.91248448228 6729768.749217626 38.3708, -34796.84003896336 6729768.819931564 38.352001, -34796.77795726154 6729768.877495063 38.336201, -34796.81360624195 6729768.884186575 38.330799, -34797.80974341917 6729768.767340326 38.2808, -34798.805981217185 6729768.650495229 38.230801, -34799.80210935371 6729768.533747859 38.180801, -34800.7982392963 6729768.416892882 38.130798, -34801.79447647813 6729768.3000547765 38.080799, -34802.79060527915 6729768.18330041 38.0308, -34803.786742596305 6729768.06645315 37.980801, -34804.20611548156 6729768.0172395585 37.959801, -34804.78297971049 6729767.949616038 37.923901, -34805.77910862712 6729767.832860668 37.8619, -34806.77524587687 6729767.716014403 37.7999, -34807.77148274798 6729767.599169208 37.7379, -34808.02244485018 6729767.569778665 37.722198, -34808.76762010518 6729767.482321941 37.6702, -34809.18697596027 6729767.433206496 37.636002, -34809.54465963389 6729767.379042847 37.599201, -34809.62710268842 6729767.363025477 37.590199, -34810.36831507075 6729767.157161139 37.507198, -34810.629856803105 6729767.056223923 37.477001, -34811.072770416155 6729766.847812581 37.428299, -34811.726001050556 6729766.441307345 37.368099, -34812.31474138424 6729765.9460128555 37.3181, -34812.581016629236 6729765.668040325 37.293098, -34812.82690451364 6729765.371888087 37.268101, -34812.934052723926 6729765.228001486 37.2565, -34813.05096300924 6729765.05892781 37.243099, -34813.09761537658 6729764.987257531 37.237598, -34813.25204856973 6729764.7306702845 37.218102, -34813.429284243495 6729764.38904756 37.1931, -34813.581708358135 6729764.035586087 37.168098, -34813.70846909133 6729763.672119487 37.143101, -34813.72188424051 6729763.62791887 37.140099, -34813.8089816696 6729763.300501828 37.118099, -34813.88265742548 6729762.922706656 37.093102))</t>
  </si>
  <si>
    <t>['FV540 S1D1 m3905-3977']</t>
  </si>
  <si>
    <t>LINESTRING Z (-34829.08055313979 6729789.566931273 39.3279, -34828.880443684524 6729789.566732852 39.3465, -34828.276023602 6729789.566770017 39.402802, -34828.1659306651 6729789.566858318 39.412998, -34828.07981151005 6729789.566928551 39.411598, -34827.87965522602 6729789.567230443 39.408199, -34827.8015848794 6729789.5673298035 39.406898, -34826.87889091065 6729789.569641889 39.3913, -34826.25843163661 6729789.57213909 39.380901, -34825.8781423145 6729789.574070166 39.375198, -34824.877412526635 6729789.580514542 39.360298, -34823.876600665506 6729789.588965782 39.345501, -34822.87581285671 6729789.599331877 39.330502, -34821.87513440568 6729789.611825102 39.315601, -34820.87438121543 6729789.626223128 39.300701, -34819.87374362629 6729789.642647124 39.285702, -34818.87303392799 6729789.660980198 39.270802, -34817.87243104912 6729789.681435126 39.255798, -34816.87185412808 6729789.703806091 39.240799, -34815.87119404436 6729789.728184828 39.2258, -34814.87075044145 6729789.754598775 39.2108, -34813.87023391388 6729789.782919707 39.195702, -34812.869822116685 6729789.813363308 39.180698, -34811.869439181406 6729789.845724228 39.1656, -34810.86917184747 6729789.880111119 39.150501, -34809.868931653444 6729789.916412136 39.135399, -34808.86869694013 6729789.954830775 39.1203, -34807.86858934024 6729789.995171686 39.105202, -34806.868598065106 6729790.037541662 39.090099, -34805.86863302183 6729790.081824681 39.074902, -34804.8686846972 6729790.128124617 39.0597, -34803.868952944875 6729790.176458765 39.044498, -34802.86923800327 6729790.226808826 39.029301, -34801.869639660115 6729790.279184962 39.014099, -34800.870067367214 6729790.333476129 38.998901, -34799.870711737545 6729790.389800509 38.983601, -34799.56989409542 6729790.407068844 38.979, -34798.87138188316 6729790.448042927 38.969002, -34797.87215984601 6729790.508407299 38.956699, -34796.87317231158 6729790.570610112 38.946899, -34795.87419271271 6729790.634925731 38.939602, -34794.875338770566 6729790.70116853 38.934799, -34794.27605127357 6729790.74196235 38.933102, -34793.87660161103 6729790.769435395 38.888401, -34793.277413161006 6729790.811347205 38.822201, -34792.87808120623 6729790.83973448 38.821899, -34792.27898256481 6729790.8828651495 38.822102, -34791.87958648545 6729790.911952591 38.866798, -34791.28057810897 6729790.956297138 38.934502, -34790.881308519165 6729790.986202921 38.9361, -34790.76751276571 6729790.994818369 38.936699, -34789.88314715284 6729791.062479319 38.941002, -34788.88511144265 6729791.140682892 38.9459, -34787.88719269761 6729791.220908538 38.950901, -34786.889490524656 6729791.303168399 38.955799, -34785.89191400865 6729791.387355437 38.960701, -34784.894563394366 6729791.473474815 38.965599, -34783.89732014132 6729791.561721129 38.970501, -34782.90020272683 6729791.651892632 38.975399, -34781.90331130673 6729791.743995474 38.980301, -34780.90663618443 6729791.838135518 38.985199, -34779.91007784475 6729791.93429963 38.9902, -34778.913736168295 6729792.032496958 38.995098, -34777.91752929613 6729792.132521585 39, -34777.23531583045 6729792.202282267 39.0033, -34776.9216298206 6729792.234688454 39.004902, -34776.37393687107 6729792.291689718 39.007599, -34775.92585627537 6729792.338779512 39.0098, -34774.93030826689 6729792.444806895 39.014702, -34773.934876043 6729792.552858254 39.0196, -34773.58854333393 6729792.590935183 39.021301, -34772.93976326799 6729792.662953248 39.024502, -34771.94477233698 6729792.774973058 39.0294, -34770.950100946706 6729792.889035504 39.034401, -34770.32950705942 6729792.961218863 39.037399, -34769.95574308187 6729793.006250968 39.039299, -34768.963210308226 6729793.138740416 39.044601, -34768.5629051663 6729793.197559405 39.047001, -34767.97309948597 6729793.289884267 39.050499, -34766.98551801441 6729793.4595876 39.056801, -34766.09895936493 6729793.628172489 39.063, -34766.00056622317 6729793.6478656465 39.063702, -34765.67110073019 6729793.7150864275 39.066101, -34765.11629273184 6729793.833277448 39.070301, -34765.01823433209 6729793.854814205 39.071098, -34764.03872491571 6729794.080453841 39.078899, -34763.06213504274 6729794.324791428 39.087299, -34762.08865623339 6729794.587946234 39.096199, -34761.11828061321 6729794.8700152375 39.105499, -34760.595679539256 6729795.030236004 39.110802, -34760.15120412456 6729795.171025446 39.113899, -34759.187612235546 6729795.4911842095 39.120602, -34759.064487295575 6729795.53348978 39.121498, -34758.70707897132 6729795.658382223 39.124001, -34758.22750112682 6729795.830500233 39.127998, -34757.27106623049 6729796.189083077 39.137501, -34756.31837816094 6729796.567250433 39.149101, -34755.36962590122 6729796.965116291 39.162701, -34755.050858868635 6729797.103617724 39.167702, -34755.02063758636 6729797.116864094 39.168201, -34754.9942364007 6729797.12250254 39.109501, -34754.93363098672 6729797.137599125 39.1087, -34754.727601507446 6729797.118429933 39.1059, -34754.60302637203 6729797.03580991 39.104401, -34754.5448925033 6729796.955752036 39.103802, -34753.93025119894 6729794.298391206 39.103199, -34753.90661247901 6729794.21887301 39.102001, -34753.87135863991 6729794.104552171 39.100399, -34753.84721849451 6729794.02609898 39.0993, -34753.810319750686 6729793.911021155 39.097698, -34753.78558483964 6729793.833618381 39.0966, -34753.74714070605 6729793.717796718 39.094898, -34753.72221377841 6729793.642490442 39.0938, -34753.68182050763 6729793.524878761 39.092201, -34753.656289276434 6729793.4506280655 39.091099, -34753.614241861855 6729793.332360279 39.089401, -34753.58883689623 6729793.261140703 39.088402, -34753.54442436132 6729793.140137319 39.0867, -34753.51892598672 6729793.0710263 39.085701, -34753.48747419135 6729792.9459735975 39.0839, -34753.48162001849 6729792.916429361 39.0835, -34753.50584626349 6729792.769585214 39.081501, -34753.52247537975 6729792.737568852 39.0811, -34753.547471117345 6729792.6901030345 39.080601, -34753.58515890152 6729792.643698955 39.080002, -34753.68706667726 6729792.568025815 39.079201, -34753.85450614139 6729792.542268116 39.079201, -34753.884907478 6729792.527022853 39.080399, -34754.071759989485 6729792.530137578 39.077499, -34754.1462851516 6729792.531323004 39.076401, -34754.3166809869 6729792.533736229 39.073799, -34754.35038923286 6729792.534103118 39.073299, -34754.694006856414 6729792.537777315 39.068501, -34755.71211124188 6729792.540678661 39.055801, -34756.72785955691 6729792.531882256 39.045898, -34757.74126466969 6729792.511291583 39.038601, -34758.24720249686 6729792.4966939995 39.035999, -34758.62325027853 6729792.483898682 39.035099, -34758.752510684426 6729792.479117893 39.034901, -34759.76169999712 6729792.435276889 39.032902, -34760.22519401682 6729792.41125338 39.031799, -34760.7688186724 6729792.379964714 39.030399, -34761.77397474146 6729792.313090535 39.0275, -34762.77735745208 6729792.234776436 39.0242, -34763.77897134994 6729792.145016788 39.020599, -34764.77881016652 6729792.043814038 39.016499, -34764.878695455496 6729792.033121811 39.015999, -34765.440804245765 6729791.970490277 39.0135, -34765.777112231706 6729791.931898067 39.012001, -34765.87696285802 6729791.920495624 39.011501, -34766.775145871914 6729791.817436518 39.007401, -34767.773078457685 6729791.702967721 39.002701, -34768.361814092845 6729791.635522139 38.999901, -34768.77090111433 6729791.588588573 38.998001, -34769.76873501635 6729791.474108724 38.993198, -34770.142905172426 6729791.431228914 38.991402, -34770.766557689756 6729791.359729567 38.9883, -34771.76429054537 6729791.245242469 38.983398, -34772.76211523241 6729791.130863494 38.9785, -34773.412639601855 6729791.056284767 38.975201, -34773.759829990566 6729791.016574165 38.9734, -34774.75780696969 6729790.903820637 38.968399, -34775.75600052101 6729790.793101321 38.963402, -34776.18929787574 6729790.745766458 38.961201, -34776.754410644644 6729790.684416219 38.958302, -34777.06893313315 6729790.650574847 38.956699, -34777.753037248505 6729790.577766327 38.9533, -34778.751889846986 6729790.473047772 38.9482, -34779.750849714386 6729790.370457158 38.943199, -34780.750135274255 6729790.269809025 38.938202, -34781.74954667315 6729790.17108608 38.933102, -34782.74916549621 6729790.074497221 38.928101, -34783.74901003996 6729789.979842696 38.923, -34784.74906200706 6729789.887322269 38.917999, -34785.749239722616 6729789.796728021 38.912998, -34786.74963428429 6729789.70816499 38.907902, -34787.75025438273 6729789.621538294 38.902901, -34788.75098202529 6729789.537036537 38.8979, -34789.75182626676 6729789.454560848 38.892799, -34790.638755365275 6729789.383103905 38.888401, -34790.752896320075 6729789.374018493 38.887798, -34791.15342926595 6729789.34241547 38.886101, -34791.75418294559 6729789.295510346 38.818298, -34792.15464271023 6729789.264706375 38.773602, -34792.755586262094 6729789.2190272715 38.7733, -34793.156172608025 6729789.189040645 38.773602, -34793.75710617867 6729789.144570256 38.841499, -34794.157719316194 6729789.115390825 38.887299, -34794.7587428781 6729789.0721373055 38.890701, -34795.760596240754 6729789.001737574 38.898399, -34796.76256629429 6729788.933362907 38.9086, -34797.76466200419 6729788.866915422 38.921299, -34798.76686534879 6729788.802591885 38.936501, -34799.467449860764 6729788.75878602 38.948601, -34799.769194441265 6729788.740194527 38.953999, -34800.77174028859 6729788.679829392 38.972198, -34801.77429370675 6729788.621581052 38.990398, -34802.77697296406 6729788.565257897 39.008598, -34803.77986879321 6729788.510968955 39.026699, -34804.7827814332 6729788.458695929 39.044899, -34805.78580152395 6729788.408548854 39.063099, -34806.78894763754 6729788.36032496 39.081299, -34807.79211056093 6729788.314116988 39.0994, -34808.79549087223 6729788.269945322 39.117599, -34809.79888617911 6729788.2277873885 39.135799, -34810.80239999166 6729788.187656704 39.1539, -34811.80592861702 6729788.149541753 39.1721, -34812.80957502348 6729788.113450963 39.1903, -34813.8132383317 6729788.079375091 39.208401, -34814.817018239875 6729788.047325285 39.226601, -34815.82081595645 6729788.01729149 39.244701, -34816.82472845819 6729787.989281579 39.262901, -34817.8286595844 6729787.963289767 39.280998, -34818.83270540449 6729787.939322838 39.299198, -34819.836760068196 6729787.917469804 39.317299, -34820.8408405073 6729787.897534802 39.335499, -34821.84493793908 6729787.8796137255 39.3536, -34822.84905299661 6729787.863710657 39.371799, -34823.85327487392 6729787.849929442 39.3899, -34824.85742155416 6729787.838058024 39.408001, -34825.861676867586 6729787.828310652 39.426201, -34826.24329483323 6729787.825091194 39.433102, -34826.86585825833 6729787.820470165 39.4436, -34827.78581375303 6729787.815089135 39.459099, -34827.87014828215 6729787.814753724 39.460602, -34828.07096670766 6729787.8138094535 39.464001, -34828.15731597389 6729787.813459146 39.465401, -34828.267845118884 6729787.813006914 39.4552, -34828.87435505225 6729787.811046048 39.398998, -34829.07522671274 6729787.810609242 39.380402, -34829.161656657816 6729787.810466755 39.372398, -34829.16348166519 6729788.4448634125 39.353401)</t>
  </si>
  <si>
    <t>POLYGON Z ((-34829.08055313979 6729789.566931273 39.3279, -34828.880443684524 6729789.566732852 39.3465, -34828.276023602 6729789.566770017 39.402802, -34828.1659306651 6729789.566858318 39.412998, -34828.07981151005 6729789.566928551 39.411598, -34827.87965522602 6729789.567230443 39.408199, -34827.8015848794 6729789.5673298035 39.406898, -34826.87889091065 6729789.569641889 39.3913, -34826.25843163661 6729789.57213909 39.380901, -34825.8781423145 6729789.574070166 39.375198, -34824.877412526635 6729789.580514542 39.360298, -34823.876600665506 6729789.588965782 39.345501, -34822.87581285671 6729789.599331877 39.330502, -34821.87513440568 6729789.611825102 39.315601, -34820.87438121543 6729789.626223128 39.300701, -34819.87374362629 6729789.642647124 39.285702, -34818.87303392799 6729789.660980198 39.270802, -34817.87243104912 6729789.681435126 39.255798, -34816.87185412808 6729789.703806091 39.240799, -34815.87119404436 6729789.728184828 39.2258, -34814.87075044145 6729789.754598775 39.2108, -34813.87023391388 6729789.782919707 39.195702, -34812.869822116685 6729789.813363308 39.180698, -34811.869439181406 6729789.845724228 39.1656, -34810.86917184747 6729789.880111119 39.150501, -34809.868931653444 6729789.916412136 39.135399, -34808.86869694013 6729789.954830775 39.1203, -34807.86858934024 6729789.995171686 39.105202, -34806.868598065106 6729790.037541662 39.090099, -34805.86863302183 6729790.081824681 39.074902, -34804.8686846972 6729790.128124617 39.0597, -34803.868952944875 6729790.176458765 39.044498, -34802.86923800327 6729790.226808826 39.029301, -34801.869639660115 6729790.279184962 39.014099, -34800.870067367214 6729790.333476129 38.998901, -34799.870711737545 6729790.389800509 38.983601, -34799.56989409542 6729790.407068844 38.979, -34798.87138188316 6729790.448042927 38.969002, -34797.87215984601 6729790.508407299 38.956699, -34796.87317231158 6729790.570610112 38.946899, -34795.87419271271 6729790.634925731 38.939602, -34794.875338770566 6729790.70116853 38.934799, -34794.27605127357 6729790.74196235 38.933102, -34793.87660161103 6729790.769435395 38.888401, -34793.277413161006 6729790.811347205 38.822201, -34792.87808120623 6729790.83973448 38.821899, -34792.27898256481 6729790.8828651495 38.822102, -34791.87958648545 6729790.911952591 38.866798, -34791.28057810897 6729790.956297138 38.934502, -34790.881308519165 6729790.986202921 38.9361, -34790.76751276571 6729790.994818369 38.936699, -34789.88314715284 6729791.062479319 38.941002, -34788.88511144265 6729791.140682892 38.9459, -34787.88719269761 6729791.220908538 38.950901, -34786.889490524656 6729791.303168399 38.955799, -34785.89191400865 6729791.387355437 38.960701, -34784.894563394366 6729791.473474815 38.965599, -34783.89732014132 6729791.561721129 38.970501, -34782.90020272683 6729791.651892632 38.975399, -34781.90331130673 6729791.743995474 38.980301, -34780.90663618443 6729791.838135518 38.985199, -34779.91007784475 6729791.93429963 38.9902, -34778.913736168295 6729792.032496958 38.995098, -34777.91752929613 6729792.132521585 39, -34777.23531583045 6729792.202282267 39.0033, -34776.9216298206 6729792.234688454 39.004902, -34776.37393687107 6729792.291689718 39.007599, -34775.92585627537 6729792.338779512 39.0098, -34774.93030826689 6729792.444806895 39.014702, -34773.934876043 6729792.552858254 39.0196, -34773.58854333393 6729792.590935183 39.021301, -34772.93976326799 6729792.662953248 39.024502, -34771.94477233698 6729792.774973058 39.0294, -34770.950100946706 6729792.889035504 39.034401, -34770.32950705942 6729792.961218863 39.037399, -34769.95574308187 6729793.006250968 39.039299, -34768.963210308226 6729793.138740416 39.044601, -34768.5629051663 6729793.197559405 39.047001, -34767.97309948597 6729793.289884267 39.050499, -34766.98551801441 6729793.4595876 39.056801, -34766.09895936493 6729793.628172489 39.063, -34766.00056622317 6729793.6478656465 39.063702, -34765.67110073019 6729793.7150864275 39.066101, -34765.11629273184 6729793.833277448 39.070301, -34765.01823433209 6729793.854814205 39.071098, -34764.03872491571 6729794.080453841 39.078899, -34763.06213504274 6729794.324791428 39.087299, -34762.08865623339 6729794.587946234 39.096199, -34761.11828061321 6729794.8700152375 39.105499, -34760.595679539256 6729795.030236004 39.110802, -34760.15120412456 6729795.171025446 39.113899, -34759.187612235546 6729795.4911842095 39.120602, -34759.064487295575 6729795.53348978 39.121498, -34758.70707897132 6729795.658382223 39.124001, -34758.22750112682 6729795.830500233 39.127998, -34757.27106623049 6729796.189083077 39.137501, -34756.31837816094 6729796.567250433 39.149101, -34755.36962590122 6729796.965116291 39.162701, -34755.050858868635 6729797.103617724 39.167702, -34755.02063758636 6729797.116864094 39.168201, -34754.9942364007 6729797.12250254 39.109501, -34754.93363098672 6729797.137599125 39.1087, -34754.727601507446 6729797.118429933 39.1059, -34754.60302637203 6729797.03580991 39.104401, -34754.5448925033 6729796.955752036 39.103802, -34753.93025119894 6729794.298391206 39.103199, -34753.90661247901 6729794.21887301 39.102001, -34753.87135863991 6729794.104552171 39.100399, -34753.84721849451 6729794.02609898 39.0993, -34753.810319750686 6729793.911021155 39.097698, -34753.78558483964 6729793.833618381 39.0966, -34753.74714070605 6729793.717796718 39.094898, -34753.72221377841 6729793.642490442 39.0938, -34753.68182050763 6729793.524878761 39.092201, -34753.656289276434 6729793.4506280655 39.091099, -34753.614241861855 6729793.332360279 39.089401, -34753.58883689623 6729793.261140703 39.088402, -34753.54442436132 6729793.140137319 39.0867, -34753.51892598672 6729793.0710263 39.085701, -34753.48747419135 6729792.9459735975 39.0839, -34753.48162001849 6729792.916429361 39.0835, -34753.50584626349 6729792.769585214 39.081501, -34753.52247537975 6729792.737568852 39.0811, -34753.547471117345 6729792.6901030345 39.080601, -34753.58515890152 6729792.643698955 39.080002, -34753.68706667726 6729792.568025815 39.079201, -34753.85450614139 6729792.542268116 39.079201, -34753.884907478 6729792.527022853 39.080399, -34754.071759989485 6729792.530137578 39.077499, -34754.1462851516 6729792.531323004 39.076401, -34754.3166809869 6729792.533736229 39.073799, -34754.35038923286 6729792.534103118 39.073299, -34754.694006856414 6729792.537777315 39.068501, -34755.71211124188 6729792.540678661 39.055801, -34756.72785955691 6729792.531882256 39.045898, -34757.74126466969 6729792.511291583 39.038601, -34758.24720249686 6729792.4966939995 39.035999, -34758.62325027853 6729792.483898682 39.035099, -34758.752510684426 6729792.479117893 39.034901, -34759.76169999712 6729792.435276889 39.032902, -34760.22519401682 6729792.41125338 39.031799, -34760.7688186724 6729792.379964714 39.030399, -34761.77397474146 6729792.313090535 39.0275, -34762.77735745208 6729792.234776436 39.0242, -34763.77897134994 6729792.145016788 39.020599, -34764.77881016652 6729792.043814038 39.016499, -34764.878695455496 6729792.033121811 39.015999, -34765.440804245765 6729791.970490277 39.0135, -34765.777112231706 6729791.931898067 39.012001, -34765.87696285802 6729791.920495624 39.011501, -34766.775145871914 6729791.817436518 39.007401, -34767.773078457685 6729791.702967721 39.002701, -34768.361814092845 6729791.635522139 38.999901, -34768.77090111433 6729791.588588573 38.998001, -34769.76873501635 6729791.474108724 38.993198, -34770.142905172426 6729791.431228914 38.991402, -34770.766557689756 6729791.359729567 38.9883, -34771.76429054537 6729791.245242469 38.983398, -34772.76211523241 6729791.130863494 38.9785, -34773.412639601855 6729791.056284767 38.975201, -34773.759829990566 6729791.016574165 38.9734, -34774.75780696969 6729790.903820637 38.968399, -34775.75600052101 6729790.793101321 38.963402, -34776.18929787574 6729790.745766458 38.961201, -34776.754410644644 6729790.684416219 38.958302, -34777.06893313315 6729790.650574847 38.956699, -34777.753037248505 6729790.577766327 38.9533, -34778.751889846986 6729790.473047772 38.9482, -34779.750849714386 6729790.370457158 38.943199, -34780.750135274255 6729790.269809025 38.938202, -34781.74954667315 6729790.17108608 38.933102, -34782.74916549621 6729790.074497221 38.928101, -34783.74901003996 6729789.979842696 38.923, -34784.74906200706 6729789.887322269 38.917999, -34785.749239722616 6729789.796728021 38.912998, -34786.74963428429 6729789.70816499 38.907902, -34787.75025438273 6729789.621538294 38.902901, -34788.75098202529 6729789.537036537 38.8979, -34789.75182626676 6729789.454560848 38.892799, -34790.638755365275 6729789.383103905 38.888401, -34790.752896320075 6729789.374018493 38.887798, -34791.15342926595 6729789.34241547 38.886101, -34791.75418294559 6729789.295510346 38.818298, -34792.15464271023 6729789.264706375 38.773602, -34792.755586262094 6729789.2190272715 38.7733, -34793.156172608025 6729789.189040645 38.773602, -34793.75710617867 6729789.144570256 38.841499, -34794.157719316194 6729789.115390825 38.887299, -34794.7587428781 6729789.0721373055 38.890701, -34795.760596240754 6729789.001737574 38.898399, -34796.76256629429 6729788.933362907 38.9086, -34797.76466200419 6729788.866915422 38.921299, -34798.76686534879 6729788.802591885 38.936501, -34799.467449860764 6729788.75878602 38.948601, -34799.769194441265 6729788.740194527 38.953999, -34800.77174028859 6729788.679829392 38.972198, -34801.77429370675 6729788.621581052 38.990398, -34802.77697296406 6729788.565257897 39.008598, -34803.77986879321 6729788.510968955 39.026699, -34804.7827814332 6729788.458695929 39.044899, -34805.78580152395 6729788.408548854 39.063099, -34806.78894763754 6729788.36032496 39.081299, -34807.79211056093 6729788.314116988 39.0994, -34808.79549087223 6729788.269945322 39.117599, -34809.79888617911 6729788.2277873885 39.135799, -34810.80239999166 6729788.187656704 39.1539, -34811.80592861702 6729788.149541753 39.1721, -34812.80957502348 6729788.113450963 39.1903, -34813.8132383317 6729788.079375091 39.208401, -34814.817018239875 6729788.047325285 39.226601, -34815.82081595645 6729788.01729149 39.244701, -34816.82472845819 6729787.989281579 39.262901, -34817.8286595844 6729787.963289767 39.280998, -34818.83270540449 6729787.939322838 39.299198, -34819.836760068196 6729787.917469804 39.317299, -34820.8408405073 6729787.897534802 39.335499, -34821.84493793908 6729787.8796137255 39.3536, -34822.84905299661 6729787.863710657 39.371799, -34823.85327487392 6729787.849929442 39.3899, -34824.85742155416 6729787.838058024 39.408001, -34825.861676867586 6729787.828310652 39.426201, -34826.24329483323 6729787.825091194 39.433102, -34826.86585825833 6729787.820470165 39.4436, -34827.78581375303 6729787.815089135 39.459099, -34827.87014828215 6729787.814753724 39.460602, -34828.07096670766 6729787.8138094535 39.464001, -34828.15731597389 6729787.813459146 39.465401, -34828.267845118884 6729787.813006914 39.4552, -34828.87435505225 6729787.811046048 39.398998, -34829.07522671274 6729787.810609242 39.380402, -34829.161656657816 6729787.810466755 39.372398, -34829.16348166519 6729788.4448634125 39.353401, -34829.08055313979 6729789.566931273 39.3279))</t>
  </si>
  <si>
    <t>['KV4575 S1D100 m3-17']</t>
  </si>
  <si>
    <t>LINESTRING Z (-34695.928128845524 6729767.00554598 38.553398, -34695.21975401358 6729768.70586588 38.642601, -34695.25767240487 6729768.615166626 38.637798, -34695.29627316061 6729768.522515493 38.632999, -34695.334964649985 6729768.429973386 38.628101, -34695.37356540561 6729768.337322256 38.623199, -34695.41215701355 6729768.244771001 38.618401, -34695.45085765014 6729768.152129016 38.613499, -34695.48944925761 6729768.059577764 38.608601, -34695.52814989444 6729767.966935779 38.603802, -34695.56674150238 6729767.874384524 38.5989, -34695.60534225777 6729767.781733391 38.594002, -34695.64403374621 6729767.689191286 38.589199, -34695.682634501485 6729767.596540151 38.584300999999996, -34695.721325990045 6729767.503998048 38.579399, -34695.7599267452 6729767.411346913 38.5746, -34695.798518352676 6729767.318795659 38.569698, -34695.83721898892 6729767.226153674 38.564899, -34695.87581059616 6729767.133602421 38.560001, -34695.92872738454 6729767.0067087095 38.553299, -34695.21975401358 6729768.70586588 38.642601, -34694.717073350446 6729768.494646973 38.662498, -34694.673625664436 6729768.476365568 38.6642, -34694.50484652212 6729768.404605428 38.670898, -34694.43969328969 6729768.376983557 38.6735, -34694.34352951951 6729768.336046704 38.679401, -34694.27666076005 6729768.307361247 38.6759, -34693.94025605568 6729768.163342304 38.656502, -34693.77468225488 6729768.091775019 38.646999, -34693.75026237115 6729768.081279483 38.645599, -34693.56361964857 6729767.998919257 38.634899, -34692.83689316013 6729767.678245487 38.5933, -34691.91775120469 6729767.257963446 38.540901, -34691.00793310243 6729766.827154137 38.4893, -34690.97842152789 6729766.812868533 38.487598, -34690.95440191531 6729766.801301752 38.486301, -34690.89990850969 6729766.774958364 38.4832, -34690.10377144464 6729766.38407161 38.438999, -34690.05805692822 6729766.3608488 38.4366, -34689.203732172144 6729765.927870316 38.390701, -34689.14375744609 6729765.896492549 38.3876, -34688.30866847269 6729765.459132001 38.344501, -34688.235550525016 6729765.419500143 38.340801, -34687.4187984044 6729764.9776751995 38.300201, -34687.333717510686 6729764.93009879 38.2962, -34686.53345024353 6729764.483136235 38.258099, -34686.43825840426 6729764.428288484 38.2537, -34686.349293540115 6729764.376931902 38.249599, -34685.65368608921 6729763.976015254 38.217899, -34685.54923649377 6729763.9144779015 38.213299, -34685.29962673248 6729763.767430072 38.202301, -34685.215755054145 6729763.717647876 38.198601, -34684.777670744574 6729763.457654958 38.179798, -34684.665624030866 6729763.391090887 38.175098, -34683.90218299895 6729762.937932932 38.143299, -34683.78306527005 6729762.867196071 38.1385, -34683.026513791294 6729762.417992851 38.108398, -34682.901278117206 6729762.343674089 38.1036, -34682.76907130785 6729762.265191693 38.098598, -34683.25420312432 6729761.271414196 38.063999, -34683.39205647912 6729761.338831087 38.069599, -34683.52182171249 6729761.4021834675 38.074902, -34684.30668732 6729761.783073856 38.1078, -34684.43034375622 6729761.842744454 38.113098, -34685.22330047749 6729762.223267996 38.147999, -34685.3398767499 6729762.278865692 38.153198, -34685.795325239655 6729762.495528351 38.174, -34685.88258970028 6729762.536858746 38.178101, -34686.14179606992 6729762.659404361 38.190201, -34686.250311664655 6729762.71063791 38.195301, -34686.970125242835 6729763.048505732 38.2299, -34687.0621649503 6729763.09158283 38.234402, -34687.16078616341 6729763.137579256 38.239201, -34687.984525295324 6729763.519612787 38.2794, -34688.072271612706 6729763.560080848 38.2836, -34688.90866819443 6729763.943575826 38.324402, -34688.983696765266 6729763.977742415 38.327999, -34689.83479341143 6729764.3634902295 38.3694, -34689.895923957345 6729764.391045819 38.372299, -34690.762601301074 6729764.779328567 38.414398, -34690.809053071425 6729764.800000206 38.416599, -34691.61329525907 6729765.156276965 38.455502, -34691.668189683114 6729765.180441267 38.458199, -34691.69239150826 6729765.19111827 38.4594, -34691.72211274027 6729765.204214451 38.4608, -34692.62387353717 6729765.598732024 38.504398, -34693.551518834196 6729765.9998505255 38.549099, -34694.281728845905 6729766.3121815175 38.584202, -34694.467865258455 6729766.3912723595 38.593201, -34694.49219440867 6729766.401658873 38.594398, -34694.65701565042 6729766.471545725 38.602299, -34694.9913517955 6729766.612857231 38.618301, -34695.057875919156 6729766.640906815 38.613701, -34695.153495292296 6729766.681189492 38.607101, -34695.21808583161 6729766.708356948 38.6026, -34695.38597594143 6729766.778827036 38.591, -34695.42903325171 6729766.796971968 38.588001)</t>
  </si>
  <si>
    <t>['KV4575 S1D1 m61-62']</t>
  </si>
  <si>
    <t>LINESTRING Z (-34666.0404767053 6729775.246928722 37.932899, -34662.8097997827 6729773.307302905 37.779999, -34651.31254611316 6729766.404532962 37.639999, -34650.4363665937 6729765.88464697 37.651798, -34650.01766260411 6729766.580941626 37.6553, -34649.98462545243 6729766.635929849 37.655602, -34649.95004485012 6729766.693496116 37.655899, -34649.75923923345 6729767.010709179 37.657501, -34649.50081086904 6729767.440476264 37.6674, -34648.98396321654 6729768.300010268 37.687302, -34648.771615208476 6729768.653322003 37.695499, -34648.5157018099 6729769.078789096 37.705299, -34648.46710123634 6729769.159645678 37.707199, -34647.950249399175 6729770.019181293 37.727001, -34647.74966803065 6729770.352922348 37.734699, -34647.67151513731 6729770.48264233 37.741699, -34647.612842077506 6729770.580000745 37.746899, -34647.38550322584 6729770.955205529 37.7668, -34647.35548344208 6729771.004730141 37.769299, -34647.29871410504 6729771.097831288 37.7743, -34647.149363794364 6729771.342900179 37.788502, -34646.898651683936 6729771.75222201 37.815201, -34646.626668375335 6729772.194747519 37.847, -34646.32463527017 6729772.684980937 37.883701, -34646.25838289759 6729772.792524819 37.8918, -34645.98062705202 6729773.243081716 37.853001, -34645.7828348272 6729773.563986778 37.8297, -34645.73427268071 6729773.643335087 37.824402, -34645.948404839146 6729773.814832229 37.875198, -34646.472756372765 6729774.234810668 38.016499, -34646.513577947975 6729774.267457795 38.028599, -34646.93291278102 6729774.603488376 38.080799, -34647.34740476636 6729774.936354994 38.142601, -34647.729909095215 6729775.244537635 38.209499, -34648.090830452275 6729775.53654317 38.281399, -34648.43867480883 6729775.819593636 38.358299, -34648.47588513978 6729775.8498926135 38.366901, -34648.65663764451 6729775.997685195 38.409199, -34648.866128631635 6729776.169259851 38.430801, -34648.93912417139 6729776.2289225375 38.438301, -34649.40786372626 6729776.612788163 38.486599, -34649.715173076256 6729776.864428396 38.518299, -34650.02707652643 6729777.1198151335 38.550499, -34650.491232037544 6729777.499835475 38.598301, -34651.267187124235 6729778.1352330465 38.678299, -34652.04324627039 6729778.770638145 38.758301, -34652.81930423598 6729779.406045159 38.838299, -34653.59535414539 6729780.04155115 38.918301, -34654.37131350592 6729780.676946125 38.998299, -34654.49395966309 6729780.777316342 39.011002, -34655.14737247408 6729781.312353251 39.0784, -34655.92342663265 6729781.9477579305 39.158401, -34656.69948560279 6729782.583165076 39.2384, -34657.475435636705 6729783.218661964 39.318401, -34658.2514946094 6729783.854069121 39.398399, -34659.02755276777 6729784.489474198 39.478401, -34659.80360974523 6729785.124881192 39.558399, -34660.43968399172 6729785.645741276 39.624001, -34660.65109209076 6729785.253162806 39.5672, -34660.90290605475 6729784.785624647 39.5, -34660.924264232395 6729784.745983932 39.494701, -34661.00943838735 6729784.588000705 39.473499, -34661.165502154385 6729784.298224204 39.433498, -34661.33176722878 6729783.989439693 39.391399, -34661.468657979975 6729783.73527284 39.356701, -34661.583208271186 6729783.52267413 39.327702, -34661.68053860054 6729783.341933904 39.303001, -34661.76427733316 6729783.186437898 39.281799, -34661.83696795092 6729783.051486859 39.263302, -34661.90079316718 6729782.93304346 39.247101, -34661.95880939241 6729782.825250838 39.2323, -34662.01026119187 6729782.729747991 39.2192, -34662.056256716256 6729782.644321902 39.2075, -34662.09752659453 6729782.567626395 39.196999, -34662.13488464791 6729782.498429687 39.1875, -34662.168744382565 6729782.435560013 39.178799, -34662.19957550999 6729782.378254646 39.170898, -34662.22785282659 6729782.325750312 39.1637, -34662.84967406059 6729781.171256875 39, -34663.55912645627 6729779.853969281 38.788101, -34664.23349150794 6729778.601957893 38.5681, -34664.44137092575 6729778.2160048 38.5, -34664.78189474798 6729777.5837589055 38.393799, -34665.32206159923 6729776.580720133 38.200001, -34665.77773600712 6729775.734819555 38.020901, -34665.84170756419 6729775.61588898 38, -34665.87544812099 6729775.553209824 37.9841)</t>
  </si>
  <si>
    <t>POLYGON Z ((-34666.0404767053 6729775.246928722 37.932899, -34662.8097997827 6729773.307302905 37.779999, -34651.31254611316 6729766.404532962 37.639999, -34650.4363665937 6729765.88464697 37.651798, -34650.01766260411 6729766.580941626 37.6553, -34649.98462545243 6729766.635929849 37.655602, -34649.95004485012 6729766.693496116 37.655899, -34649.75923923345 6729767.010709179 37.657501, -34649.50081086904 6729767.440476264 37.6674, -34648.98396321654 6729768.300010268 37.687302, -34648.771615208476 6729768.653322003 37.695499, -34648.5157018099 6729769.078789096 37.705299, -34648.46710123634 6729769.159645678 37.707199, -34647.950249399175 6729770.019181293 37.727001, -34647.74966803065 6729770.352922348 37.734699, -34647.67151513731 6729770.48264233 37.741699, -34647.612842077506 6729770.580000745 37.746899, -34647.38550322584 6729770.955205529 37.7668, -34647.35548344208 6729771.004730141 37.769299, -34647.29871410504 6729771.097831288 37.7743, -34647.149363794364 6729771.342900179 37.788502, -34646.898651683936 6729771.75222201 37.815201, -34646.626668375335 6729772.194747519 37.847, -34646.32463527017 6729772.684980937 37.883701, -34646.25838289759 6729772.792524819 37.8918, -34645.98062705202 6729773.243081716 37.853001, -34645.7828348272 6729773.563986778 37.8297, -34645.73427268071 6729773.643335087 37.824402, -34645.948404839146 6729773.814832229 37.875198, -34646.472756372765 6729774.234810668 38.016499, -34646.513577947975 6729774.267457795 38.028599, -34646.93291278102 6729774.603488376 38.080799, -34647.34740476636 6729774.936354994 38.142601, -34647.729909095215 6729775.244537635 38.209499, -34648.090830452275 6729775.53654317 38.281399, -34648.43867480883 6729775.819593636 38.358299, -34648.47588513978 6729775.8498926135 38.366901, -34648.65663764451 6729775.997685195 38.409199, -34648.866128631635 6729776.169259851 38.430801, -34648.93912417139 6729776.2289225375 38.438301, -34649.40786372626 6729776.612788163 38.486599, -34649.715173076256 6729776.864428396 38.518299, -34650.02707652643 6729777.1198151335 38.550499, -34650.491232037544 6729777.499835475 38.598301, -34651.267187124235 6729778.1352330465 38.678299, -34652.04324627039 6729778.770638145 38.758301, -34652.81930423598 6729779.406045159 38.838299, -34653.59535414539 6729780.04155115 38.918301, -34654.37131350592 6729780.676946125 38.998299, -34654.49395966309 6729780.777316342 39.011002, -34655.14737247408 6729781.312353251 39.0784, -34655.92342663265 6729781.9477579305 39.158401, -34656.69948560279 6729782.583165076 39.2384, -34657.475435636705 6729783.218661964 39.318401, -34658.2514946094 6729783.854069121 39.398399, -34659.02755276777 6729784.489474198 39.478401, -34659.80360974523 6729785.124881192 39.558399, -34660.43968399172 6729785.645741276 39.624001, -34660.65109209076 6729785.253162806 39.5672, -34660.90290605475 6729784.785624647 39.5, -34660.924264232395 6729784.745983932 39.494701, -34661.00943838735 6729784.588000705 39.473499, -34661.165502154385 6729784.298224204 39.433498, -34661.33176722878 6729783.989439693 39.391399, -34661.468657979975 6729783.73527284 39.356701, -34661.583208271186 6729783.52267413 39.327702, -34661.68053860054 6729783.341933904 39.303001, -34661.76427733316 6729783.186437898 39.281799, -34661.83696795092 6729783.051486859 39.263302, -34661.90079316718 6729782.93304346 39.247101, -34661.95880939241 6729782.825250838 39.2323, -34662.01026119187 6729782.729747991 39.2192, -34662.056256716256 6729782.644321902 39.2075, -34662.09752659453 6729782.567626395 39.196999, -34662.13488464791 6729782.498429687 39.1875, -34662.168744382565 6729782.435560013 39.178799, -34662.19957550999 6729782.378254646 39.170898, -34662.22785282659 6729782.325750312 39.1637, -34662.84967406059 6729781.171256875 39, -34663.55912645627 6729779.853969281 38.788101, -34664.23349150794 6729778.601957893 38.5681, -34664.44137092575 6729778.2160048 38.5, -34664.78189474798 6729777.5837589055 38.393799, -34665.32206159923 6729776.580720133 38.200001, -34665.77773600712 6729775.734819555 38.020901, -34665.84170756419 6729775.61588898 38, -34665.87544812099 6729775.553209824 37.9841, -34666.0404767053 6729775.246928722 37.932899))</t>
  </si>
  <si>
    <t>['FV540 S1D104 m127-128']</t>
  </si>
  <si>
    <t>LINESTRING Z (-34824.72165186459 6729761.1399256755 36.996201, -34824.72942156228 6729761.047373527 36.991001, -34824.731686584186 6729760.95451764 36.985802, -34824.72850275424 6729760.861661261 36.980598, -34824.71975038957 6729760.769209386 36.975399, -34824.70570040506 6729760.677371162 36.9702, -34824.686217137496 6729760.586550119 36.965, -34824.66137874161 6729760.497058598 36.959801, -34824.63125112816 6729760.4091886785 36.954601, -34824.596118383226 6729760.323280624 36.949402, -34824.555848437594 6729760.239522765 36.944199, -34824.510815644404 6729760.158248527 36.938999, -34824.46108565596 6729760.079862767 36.933701, -34824.406753376476 6729760.004483962 36.928501, -34824.34808131482 6729759.932534001 36.923302, -34824.285257516545 6729759.864038155 36.918098, -34824.21901105612 6729759.799954568 36.912899, -34824.14710915345 6729759.739379753 36.9109, -34824.087930815294 6729759.692663886 36.912601, -34824.087930815294 6729759.692663886 36.799301, -34824.069901857176 6729759.678425784 36.798901, -34823.99119555042 6729759.616221574 36.7971, -34823.93053460843 6729759.568164313 36.795799, -34823.91259654169 6729759.553934537 36.796101, -34823.83388932806 6729759.491729234 36.7976, -34823.810309921624 6729759.47315646 36.7981, -34823.75519037107 6729759.429532753 36.7985, -34823.67648306547 6729759.367328455 36.799099, -34823.60285206605 6729759.309115261 36.799701999999996, -34823.51916878519 6729759.242935091 36.798599, -34823.44046183815 6729759.180737876 36.797501, -34823.37162625487 6729759.126283587 36.7966, -34823.283712524804 6729759.056796111 36.793098, -34823.20686262753 6729758.99748235 36.790199, -34823.16979469254 6729758.971126434 36.788898, -34823.128459990956 6729758.94185974 36.788601, -34823.104175203014 6729758.925435154 36.787201, -34823.047814938705 6729758.88763822 36.787102, -34823.02012372634 6729758.869994168 36.787102, -34822.96587320941 6729758.835510731 36.786098, -34822.882713907864 6729758.785592296 36.784698, -34822.79815631721 6729758.737766648 36.783501, -34822.71250744641 6729758.692046791 36.782501, -34822.62891161197 6729758.650248627 36.781799, -34822.55417411181 6729758.61510248 36.781502, -34822.44886654173 6729758.568396922 36.7803, -34822.358958896366 6729758.5317535885 36.7794, -34822.26813958131 6729758.497355385 36.778801, -34822.1764985309 6729758.465287084 36.778301, -34822.08404272178 6729758.435571484 36.778099, -34821.99086523231 6729758.408204025 36.780499, -34821.89706306392 6729758.383291284 36.783298, -34821.802637549816 6729758.360741727 36.7864, -34821.70758653304 6729758.34065588 36.789001, -34821.61211692658 6729758.322951972 36.791698, -34821.51621432125 6729758.307721346 36.794601, -34821.419982861495 6729758.2949815905 36.797699, -34821.360867938376 6729758.288360711 36.799701999999996, -34820.65015332436 6729758.289935106 36.830002, -34820.558173578 6729758.290178666 36.834999, -34820.451739590615 6729758.303091267 36.841999, -34820.35574674886 6729758.317459724 36.848499, -34820.26003475231 6729758.334282243 36.855301, -34820.16489662579 6729758.353570548 36.862201999999996, -34820.07024856086 6729758.375315954 36.8694, -34820.00165481586 6729758.39290091 36.874699, -34819.976281664916 6729758.399444315 36.8755, -34819.88280480646 6729758.425931071 36.8787, -34819.79011598928 6729758.454810566 36.881901, -34819.70466671733 6729758.483845501 36.884998, -34819.60710893734 6729758.519732265 36.888199, -34819.5169007068 6729758.5555851115 36.891399, -34819.42759708653 6729758.593734617 36.8946, -34819.33938730322 6729758.634204152 36.897999, -34819.25217202422 6729758.676978572 36.901501, -34819.16607732547 6729758.721869 36.904999, -34819.08118504204 6729758.768982643 36.9086, -34818.99751158105 6729758.818228336 36.912399, -34818.91514847474 6729758.869607416 36.916199, -34818.83411450079 6729758.92301383 36.920101, -34818.754397140816 6729758.978562264 36.924099, -34818.67620701168 6729759.036064523 36.928101, -34818.59944325802 6729759.095610076 36.932301, -34818.52433074673 6729759.157020092 36.936501, -34818.450737116975 6729759.220376122 36.9408, -34818.37879408954 6729759.285603606 36.945099, -34818.30850301124 6729759.352588861 36.949501, -34818.24005294999 6729759.42145596 36.953999, -34818.173264984856 6729759.491981039 36.9585, -34818.10832733521 6729759.564198458 36.9631, -34818.045274409116 6729759.637985465 36.9678, -34817.98418046895 6729759.713366998 36.9725, -34817.92495580495 6729759.790332823 36.9772, -34817.8677148975 6729759.86878767 36.981998, -34817.812549089314 6729759.948745945 36.9869, -34817.75948585465 6729760.02999564 36.991699, -34817.70840995759 6729760.112541304 36.996601, -34817.65952572855 6729760.196494315 37.001598, -34817.612761546974 6729760.281547964 37.0065, -34817.56819915539 6729760.367810467 37.011501, -34817.52584697085 6729760.455189928 37.016499, -34817.48572450259 6729760.543572306 37.021599, -34817.44791984593 6729760.633073442 37.0266, -34817.41235393728 6729760.723379909 37.0317, -34817.3791170537 6729760.814605726 37.036301, -34817.34822614945 6729760.906653744 37.040901, -34817.31978716643 6729760.999433955 37.0457, -34817.29358902061 6729761.093018683 37.050598, -34817.26986100059 6729761.187136835 37.055698, -34817.24849780544 6729761.281871433 37.060902, -34817.22959947493 6729761.377130919 37.0662, -34817.213236487354 6729761.472222765 37.071602, -34817.200976155465 6729761.562043053 37.076801, -34817.20059058687 6729761.583869801 37.077999, -34817.19932937308 6729761.654856853 37.081001, -34817.197600023006 6729761.755115287 37.084999, -34817.19586243201 6729761.855474696 37.0891, -34817.194132990786 6729761.955734128 37.093201, -34817.19239664893 6729762.0559919225 37.097198, -34817.19066820503 6729762.156251455 37.101299, -34817.188929706695 6729762.25660977 37.105301, -34817.18720126408 6729762.35686929 37.109402, -34817.185471821576 6729762.457128727 37.1134, -34817.18374401878 6729762.55738126 37.1175, -34817.182005520095 6729762.657739577 37.121601, -34817.180298734456 6729762.7610287 37.125702, -34817.1790840507 6729762.819433162 37.128101, -34817.17339158291 6729762.866145975 37.130001, -34817.16071134503 6729762.970536086 37.1343, -34817.15153957112 6729763.045340037 37.137299, -34822.512939603184 6729764.170003669 37.264198, -34823.54759445449 6729764.38703838 37.187801, -34823.552392185666 6729764.302775144 37.1838, -34823.56049278984 6729764.19997896 37.178902, -34823.570796680404 6729764.097385573 37.173302, -34823.58349074982 6729763.995109811 37.167599, -34823.598469941295 6729763.893144056 37.1619, -34823.61563446431 6729763.79147817 37.1562, -34823.6350830429 6729763.690221905 37.1506, -34823.65669720131 6729763.589470166 37.144901, -34823.68068514927 6729763.489236994 37.139198, -34823.70684040722 6729763.389500454 37.133598, -34823.73516099516 6729763.290370141 37.127899, -34823.7657304788 6729763.191945365 37.1222, -34823.79834836349 6729763.09421583 37.1166, -34823.83331411716 6729762.99719989 37.110901, -34823.87032811437 6729762.900979883 37.105202, -34823.90948036173 6729762.805661767 37.099602, -34823.95066569443 6729762.711129134 37.093899, -34823.9940862722 6729762.617616036 37.0882, -34824.0394229393 6729762.525077132 37.0825, -34824.08687256987 6729762.433639234 37.0769, -34824.13635151449 6729762.343192953 37.071201, -34824.18784354185 6729762.253838516 37.065498, -34824.24134758522 6729762.165675555 37.059898, -34824.296740816324 6729762.078791516 37.054199, -34824.35474916105 6729761.9919465585 37.0485, -34824.414954200154 6729761.909830113 37.043098, -34824.46992851363 6729761.831874716 37.037899, -34824.51895690535 6729761.752967835 37.0327, -34824.56319728342 6729761.671309916 37.0275, -34824.60253058735 6729761.587189193 37.022301, -34824.63683147309 6729761.500786551 37.017101, -34824.666054551024 6729761.412619573 37.011799, -34824.68989033811 6729761.322845221 37.006599, -34824.7084956445 6729761.231884772 37.0014)</t>
  </si>
  <si>
    <t>POLYGON Z ((-34824.72165186459 6729761.1399256755 36.996201, -34824.72942156228 6729761.047373527 36.991001, -34824.731686584186 6729760.95451764 36.985802, -34824.72850275424 6729760.861661261 36.980598, -34824.71975038957 6729760.769209386 36.975399, -34824.70570040506 6729760.677371162 36.9702, -34824.686217137496 6729760.586550119 36.965, -34824.66137874161 6729760.497058598 36.959801, -34824.63125112816 6729760.4091886785 36.954601, -34824.596118383226 6729760.323280624 36.949402, -34824.555848437594 6729760.239522765 36.944199, -34824.510815644404 6729760.158248527 36.938999, -34824.46108565596 6729760.079862767 36.933701, -34824.406753376476 6729760.004483962 36.928501, -34824.34808131482 6729759.932534001 36.923302, -34824.285257516545 6729759.864038155 36.918098, -34824.21901105612 6729759.799954568 36.912899, -34824.14710915345 6729759.739379753 36.9109, -34824.087930815294 6729759.692663886 36.912601, -34824.087930815294 6729759.692663886 36.799301, -34824.069901857176 6729759.678425784 36.798901, -34823.99119555042 6729759.616221574 36.7971, -34823.93053460843 6729759.568164313 36.795799, -34823.91259654169 6729759.553934537 36.796101, -34823.83388932806 6729759.491729234 36.7976, -34823.810309921624 6729759.47315646 36.7981, -34823.75519037107 6729759.429532753 36.7985, -34823.67648306547 6729759.367328455 36.799099, -34823.60285206605 6729759.309115261 36.799701999999996, -34823.51916878519 6729759.242935091 36.798599, -34823.44046183815 6729759.180737876 36.797501, -34823.37162625487 6729759.126283587 36.7966, -34823.283712524804 6729759.056796111 36.793098, -34823.20686262753 6729758.99748235 36.790199, -34823.16979469254 6729758.971126434 36.788898, -34823.128459990956 6729758.94185974 36.788601, -34823.104175203014 6729758.925435154 36.787201, -34823.047814938705 6729758.88763822 36.787102, -34823.02012372634 6729758.869994168 36.787102, -34822.96587320941 6729758.835510731 36.786098, -34822.882713907864 6729758.785592296 36.784698, -34822.79815631721 6729758.737766648 36.783501, -34822.71250744641 6729758.692046791 36.782501, -34822.62891161197 6729758.650248627 36.781799, -34822.55417411181 6729758.61510248 36.781502, -34822.44886654173 6729758.568396922 36.7803, -34822.358958896366 6729758.5317535885 36.7794, -34822.26813958131 6729758.497355385 36.778801, -34822.1764985309 6729758.465287084 36.778301, -34822.08404272178 6729758.435571484 36.778099, -34821.99086523231 6729758.408204025 36.780499, -34821.89706306392 6729758.383291284 36.783298, -34821.802637549816 6729758.360741727 36.7864, -34821.70758653304 6729758.34065588 36.789001, -34821.61211692658 6729758.322951972 36.791698, -34821.51621432125 6729758.307721346 36.794601, -34821.419982861495 6729758.2949815905 36.797699, -34821.360867938376 6729758.288360711 36.799701999999996, -34820.65015332436 6729758.289935106 36.830002, -34820.558173578 6729758.290178666 36.834999, -34820.451739590615 6729758.303091267 36.841999, -34820.35574674886 6729758.317459724 36.848499, -34820.26003475231 6729758.334282243 36.855301, -34820.16489662579 6729758.353570548 36.862201999999996, -34820.07024856086 6729758.375315954 36.8694, -34820.00165481586 6729758.39290091 36.874699, -34819.976281664916 6729758.399444315 36.8755, -34819.88280480646 6729758.425931071 36.8787, -34819.79011598928 6729758.454810566 36.881901, -34819.70466671733 6729758.483845501 36.884998, -34819.60710893734 6729758.519732265 36.888199, -34819.5169007068 6729758.5555851115 36.891399, -34819.42759708653 6729758.593734617 36.8946, -34819.33938730322 6729758.634204152 36.897999, -34819.25217202422 6729758.676978572 36.901501, -34819.16607732547 6729758.721869 36.904999, -34819.08118504204 6729758.768982643 36.9086, -34818.99751158105 6729758.818228336 36.912399, -34818.91514847474 6729758.869607416 36.916199, -34818.83411450079 6729758.92301383 36.920101, -34818.754397140816 6729758.978562264 36.924099, -34818.67620701168 6729759.036064523 36.928101, -34818.59944325802 6729759.095610076 36.932301, -34818.52433074673 6729759.157020092 36.936501, -34818.450737116975 6729759.220376122 36.9408, -34818.37879408954 6729759.285603606 36.945099, -34818.30850301124 6729759.352588861 36.949501, -34818.24005294999 6729759.42145596 36.953999, -34818.173264984856 6729759.491981039 36.9585, -34818.10832733521 6729759.564198458 36.9631, -34818.045274409116 6729759.637985465 36.9678, -34817.98418046895 6729759.713366998 36.9725, -34817.92495580495 6729759.790332823 36.9772, -34817.8677148975 6729759.86878767 36.981998, -34817.812549089314 6729759.948745945 36.9869, -34817.75948585465 6729760.02999564 36.991699, -34817.70840995759 6729760.112541304 36.996601, -34817.65952572855 6729760.196494315 37.001598, -34817.612761546974 6729760.281547964 37.0065, -34817.56819915539 6729760.367810467 37.011501, -34817.52584697085 6729760.455189928 37.016499, -34817.48572450259 6729760.543572306 37.021599, -34817.44791984593 6729760.633073442 37.0266, -34817.41235393728 6729760.723379909 37.0317, -34817.3791170537 6729760.814605726 37.036301, -34817.34822614945 6729760.906653744 37.040901, -34817.31978716643 6729760.999433955 37.0457, -34817.29358902061 6729761.093018683 37.050598, -34817.26986100059 6729761.187136835 37.055698, -34817.24849780544 6729761.281871433 37.060902, -34817.22959947493 6729761.377130919 37.0662, -34817.213236487354 6729761.472222765 37.071602, -34817.200976155465 6729761.562043053 37.076801, -34817.20059058687 6729761.583869801 37.077999, -34817.19932937308 6729761.654856853 37.081001, -34817.197600023006 6729761.755115287 37.084999, -34817.19586243201 6729761.855474696 37.0891, -34817.194132990786 6729761.955734128 37.093201, -34817.19239664893 6729762.0559919225 37.097198, -34817.19066820503 6729762.156251455 37.101299, -34817.188929706695 6729762.25660977 37.105301, -34817.18720126408 6729762.35686929 37.109402, -34817.185471821576 6729762.457128727 37.1134, -34817.18374401878 6729762.55738126 37.1175, -34817.182005520095 6729762.657739577 37.121601, -34817.180298734456 6729762.7610287 37.125702, -34817.1790840507 6729762.819433162 37.128101, -34817.17339158291 6729762.866145975 37.130001, -34817.16071134503 6729762.970536086 37.1343, -34817.15153957112 6729763.045340037 37.137299, -34822.512939603184 6729764.170003669 37.264198, -34823.54759445449 6729764.38703838 37.187801, -34823.552392185666 6729764.302775144 37.1838, -34823.56049278984 6729764.19997896 37.178902, -34823.570796680404 6729764.097385573 37.173302, -34823.58349074982 6729763.995109811 37.167599, -34823.598469941295 6729763.893144056 37.1619, -34823.61563446431 6729763.79147817 37.1562, -34823.6350830429 6729763.690221905 37.1506, -34823.65669720131 6729763.589470166 37.144901, -34823.68068514927 6729763.489236994 37.139198, -34823.70684040722 6729763.389500454 37.133598, -34823.73516099516 6729763.290370141 37.127899, -34823.7657304788 6729763.191945365 37.1222, -34823.79834836349 6729763.09421583 37.1166, -34823.83331411716 6729762.99719989 37.110901, -34823.87032811437 6729762.900979883 37.105202, -34823.90948036173 6729762.805661767 37.099602, -34823.95066569443 6729762.711129134 37.093899, -34823.9940862722 6729762.617616036 37.0882, -34824.0394229393 6729762.525077132 37.0825, -34824.08687256987 6729762.433639234 37.0769, -34824.13635151449 6729762.343192953 37.071201, -34824.18784354185 6729762.253838516 37.065498, -34824.24134758522 6729762.165675555 37.059898, -34824.296740816324 6729762.078791516 37.054199, -34824.35474916105 6729761.9919465585 37.0485, -34824.414954200154 6729761.909830113 37.043098, -34824.46992851363 6729761.831874716 37.037899, -34824.51895690535 6729761.752967835 37.0327, -34824.56319728342 6729761.671309916 37.0275, -34824.60253058735 6729761.587189193 37.022301, -34824.63683147309 6729761.500786551 37.017101, -34824.666054551024 6729761.412619573 37.011799, -34824.68989033811 6729761.322845221 37.006599, -34824.7084956445 6729761.231884772 37.0014, -34824.72165186459 6729761.1399256755 36.996201))</t>
  </si>
  <si>
    <t>['FV540 S1D1 m3984-4008']</t>
  </si>
  <si>
    <t>LINESTRING Z (-34860.62072085356 6729789.103838599 39.996601, -34860.60029301536 6729789.690871729 39.979, -34860.44272572338 6729789.690238791 39.9762, -34859.941227141884 6729789.6882204795 39.9673, -34859.43963167735 6729789.686193296 39.958401, -34858.93812495028 6729789.6842749575 39.949402, -34857.93503291288 6729789.680229653 39.931599, -34857.232981230016 6729789.67736898 39.919102, -34856.93203876796 6729789.676193307 39.913799, -34856.63512995944 6729789.674986212 39.908501, -34855.929048625636 6729789.672157333 39.896, -34854.92605549528 6729789.668121084 39.878201, -34853.92316025728 6729789.664093794 39.860401, -34852.920260872925 6729789.66016685 39.842602, -34851.917366649024 6729789.656139659 39.824902, -34850.91447143513 6729789.652112374 39.807201, -34849.911581223365 6729789.648085548 39.789501, -34848.908784907544 6729789.644067325 39.771702, -34848.29805035156 6729789.641611488 39.761002, -34848.250928816386 6729789.641426152 39.760101, -34848.20784420415 6729789.64120668 39.759399, -34847.90599350259 6729789.6400505565 39.754101, -34846.90319820237 6729789.636032421 39.736401, -34845.90050578816 6729789.63202371 39.7187, -34844.897713683196 6729789.628003855 39.701099, -34843.895017289324 6729789.62399478 39.683498, -34842.89233395574 6729789.619887189 39.665901, -34842.69681051816 6729789.619102615 39.662399, -34841.89095026662 6729789.615896618 39.6483, -34840.889863049844 6729789.611935213 39.630798, -34839.888986840495 6729789.607891409 39.6133, -34838.88800776156 6729789.603838179 39.595901, -34837.88722239307 6729789.599902407 39.578602, -34836.94242725696 6729789.596059784 39.562199, -34836.88634620793 6729789.595858606 39.555801, -34836.38595646981 6729789.593842138 39.492199, -34835.9416407221 6729789.592125919 39.435699, -34835.94551896048 6729788.47319191 39.4683, -34835.952178439475 6729787.847329678 39.487, -34836.4060744755 6729787.853346779 39.5443, -34836.908211166156 6729787.860460484 39.6077, -34836.95235987182 6729787.861180297 39.6133, -34837.91231925576 6729787.876481672 39.630001, -34838.91633884725 6729787.894612874 39.646999, -34839.92035504698 6729787.914958574 39.663898, -34840.92437266547 6729787.9375212295 39.680801, -34841.92828701041 6729787.962289238 39.697701, -34842.736405405914 6729787.983727728 39.7113, -34842.931911371415 6729787.989145788 39.7146, -34843.934820936294 6729788.018253407 39.731499, -34844.93764246034 6729788.049466046 39.748299, -34845.94036125252 6729788.082889122 39.764999, -34846.94308698212 6729788.118424913 39.7817, -34847.94571325078 6729788.156168419 39.798401, -34848.24548333371 6729788.16791192 39.803398, -34848.29064225231 6729788.169731445 39.8041, -34848.334700480686 6729788.171450162 39.804901, -34848.948274744325 6729788.195718934 39.814999, -34849.950879240525 6729788.235877709 39.8316, -34850.95334926981 6729788.276427039 39.848301, -34851.95586339326 6729788.317583713 39.864899, -34852.9583398418 6729788.359140821 39.8815, -34853.960762318224 6729788.401298306 39.898102, -34854.963148301234 6729788.443854325 39.914799, -34855.96547940443 6729788.487009628 39.9314, -34856.67123336112 6729788.517605957 39.9431, -34856.9678717159 6729788.530574421 39.948002, -34857.268615529174 6729788.543816161 39.952999, -34857.97021432454 6729788.574736958 39.9646, -34858.97250711406 6729788.619399539 39.981201, -34859.47364495462 6729788.641829759 39.989601, -34859.97476331971 6729788.664461645 39.997898, -34860.47587453632 6729788.687193596 40.006199, -34860.63324782089 6729788.694354495 40.008801, -34860.61979597341 6729789.101840227 39.996601)</t>
  </si>
  <si>
    <t>POLYGON Z ((-34860.62072085356 6729789.103838599 39.996601, -34860.60029301536 6729789.690871729 39.979, -34860.44272572338 6729789.690238791 39.9762, -34859.941227141884 6729789.6882204795 39.9673, -34859.43963167735 6729789.686193296 39.958401, -34858.93812495028 6729789.6842749575 39.949402, -34857.93503291288 6729789.680229653 39.931599, -34857.232981230016 6729789.67736898 39.919102, -34856.93203876796 6729789.676193307 39.913799, -34856.63512995944 6729789.674986212 39.908501, -34855.929048625636 6729789.672157333 39.896, -34854.92605549528 6729789.668121084 39.878201, -34853.92316025728 6729789.664093794 39.860401, -34852.920260872925 6729789.66016685 39.842602, -34851.917366649024 6729789.656139659 39.824902, -34850.91447143513 6729789.652112374 39.807201, -34849.911581223365 6729789.648085548 39.789501, -34848.908784907544 6729789.644067325 39.771702, -34848.29805035156 6729789.641611488 39.761002, -34848.250928816386 6729789.641426152 39.760101, -34848.20784420415 6729789.64120668 39.759399, -34847.90599350259 6729789.6400505565 39.754101, -34846.90319820237 6729789.636032421 39.736401, -34845.90050578816 6729789.63202371 39.7187, -34844.897713683196 6729789.628003855 39.701099, -34843.895017289324 6729789.62399478 39.683498, -34842.89233395574 6729789.619887189 39.665901, -34842.69681051816 6729789.619102615 39.662399, -34841.89095026662 6729789.615896618 39.6483, -34840.889863049844 6729789.611935213 39.630798, -34839.888986840495 6729789.607891409 39.6133, -34838.88800776156 6729789.603838179 39.595901, -34837.88722239307 6729789.599902407 39.578602, -34836.94242725696 6729789.596059784 39.562199, -34836.88634620793 6729789.595858606 39.555801, -34836.38595646981 6729789.593842138 39.492199, -34835.9416407221 6729789.592125919 39.435699, -34835.94551896048 6729788.47319191 39.4683, -34835.952178439475 6729787.847329678 39.487, -34836.4060744755 6729787.853346779 39.5443, -34836.908211166156 6729787.860460484 39.6077, -34836.95235987182 6729787.861180297 39.6133, -34837.91231925576 6729787.876481672 39.630001, -34838.91633884725 6729787.894612874 39.646999, -34839.92035504698 6729787.914958574 39.663898, -34840.92437266547 6729787.9375212295 39.680801, -34841.92828701041 6729787.962289238 39.697701, -34842.736405405914 6729787.983727728 39.7113, -34842.931911371415 6729787.989145788 39.7146, -34843.934820936294 6729788.018253407 39.731499, -34844.93764246034 6729788.049466046 39.748299, -34845.94036125252 6729788.082889122 39.764999, -34846.94308698212 6729788.118424913 39.7817, -34847.94571325078 6729788.156168419 39.798401, -34848.24548333371 6729788.16791192 39.803398, -34848.29064225231 6729788.169731445 39.8041, -34848.334700480686 6729788.171450162 39.804901, -34848.948274744325 6729788.195718934 39.814999, -34849.950879240525 6729788.235877709 39.8316, -34850.95334926981 6729788.276427039 39.848301, -34851.95586339326 6729788.317583713 39.864899, -34852.9583398418 6729788.359140821 39.8815, -34853.960762318224 6729788.401298306 39.898102, -34854.963148301234 6729788.443854325 39.914799, -34855.96547940443 6729788.487009628 39.9314, -34856.67123336112 6729788.517605957 39.9431, -34856.9678717159 6729788.530574421 39.948002, -34857.268615529174 6729788.543816161 39.952999, -34857.97021432454 6729788.574736958 39.9646, -34858.97250711406 6729788.619399539 39.981201, -34859.47364495462 6729788.641829759 39.989601, -34859.97476331971 6729788.664461645 39.997898, -34860.47587453632 6729788.687193596 40.006199, -34860.63324782089 6729788.694354495 40.008801, -34860.61979597341 6729789.101840227 39.996601, -34860.62072085356 6729789.103838599 39.996601))</t>
  </si>
  <si>
    <t>['KV4575 S3D500 m15-18']</t>
  </si>
  <si>
    <t>LINESTRING Z (-34875.767952781986 6729807.64451832 39.76, -34873.51520193671 6729807.053643298 39.76, -34872.63619476813 6729806.728489179 39.76, -34871.70718356385 6729805.8045149855 39.76, -34871.65072493174 6729805.275101447 39.76, -34874.764849768486 6729804.476784396 39.76)</t>
  </si>
  <si>
    <t>POLYGON Z ((-34875.767952781986 6729807.64451832 39.76, -34873.51520193671 6729807.053643298 39.76, -34872.63619476813 6729806.728489179 39.76, -34871.70718356385 6729805.8045149855 39.76, -34871.65072493174 6729805.275101447 39.76, -34874.764849768486 6729804.476784396 39.76, -34875.767952781986 6729807.64451832 39.76))</t>
  </si>
  <si>
    <t>['FV540 S1D199 m225-257']</t>
  </si>
  <si>
    <t>LINESTRING Z (-34865.18259394087 6729810.442006483 39.647099, -34865.24377282022 6729809.938977742 39.6506, -34865.23901727598 6729809.452067291 39.652302, -34865.22516099468 6729809.247046649 39.652599, -34865.21500848874 6729809.247926707 39.6703, -34865.16705149633 6729809.252497346 39.669399, -34865.142150288564 6729809.254954487 39.6689, -34865.11116518767 6729809.257856564 39.668301, -34864.957427746966 6729809.2725805 39.665298, -34864.78764551319 6729809.288758775 39.6619, -34864.7098091722 6729809.296233054 39.6604, -34864.640920978156 6729809.302813653 39.659, -34864.56501788122 6729809.310063127 39.657501, -34864.466151090106 6729809.319542306 39.655602, -34864.43618391326 6729809.322338189 39.654701, -34864.341375589254 6729809.331482031 39.651901, -34864.29646810517 6729809.3357256465 39.6506, -34864.166615215596 6729809.348106807 39.646800999999996, -34864.04183771741 6729809.3600463495 39.643101, -34863.978941958165 6729809.366069898 39.6413, -34863.829174250364 6729809.38034965 39.636902, -34863.74229278718 6729809.38870973 39.6343, -34863.711309684324 6729809.39161199 39.6334, -34863.57657907705 6729809.404453883 39.629501, -34863.39184711571 6729809.4221827695 39.624001, -34863.33495330589 6729809.427545391 39.622398, -34862.84164343891 6729809.474723858 39.607899, -34862.59184487141 6729809.497974303 39.600899, -34862.526242266875 6729809.503849645 39.599098, -34861.466617992264 6729809.58809368 39.569801, -34861.43265357241 6729809.590523459 39.568901, -34860.40539749968 6729809.651243973 39.540501, -34860.216431771405 6729809.660225415 39.535198, -34860.160093751736 6729809.662818807 39.533699, -34859.3432038232 6729809.693151121 39.511101, -34858.956435169326 6729809.703153556 39.500401, -34858.28043321718 6729809.71385443 39.4818, -34857.66805985011 6729809.716083919 39.470501, -34857.217396378284 6729809.71328265 39.462101, -34856.36704879918 6729809.697646317 39.4464, -34856.15458565403 6729809.691580588 39.442501, -34855.98034960765 6729809.685996497 39.439301, -34855.09240063699 6729809.648685126 39.422901, -34855.06372666545 6729809.647269543 39.422298, -34854.03135071893 6729809.584642924 39.403198, -34853.76412309299 6729809.565100964 39.3983, -34853.238616367686 6729809.522809881 39.388599, -34852.97174106387 6729809.499377184 39.383701, -34852.47219834186 6729809.451811498 39.375, -34851.914061836665 6729809.393034528 39.365898, -34851.18973445636 6729809.307859472 39.355202, -34850.85871707543 6729809.265558287 39.3507, -34849.919568374055 6729809.134117085 39.339199, -34849.80610778369 6729809.117078864 39.337898, -34848.756624314236 6729808.9476340255 39.327702, -34848.66134311503 6729808.931149914 39.3269, -34847.71076697984 6729808.7572706 39.319901, -34847.41866143572 6729808.700299156 39.318199, -34846.66892951948 6729808.546121338 39.314701, -34846.193257000996 6729808.442529346 39.313099, -34845.63151290582 6729808.314229015 39.311901, -34845.34503753309 6729808.246392999 39.3116, -34845.1290517929 6729808.194079797 39.311501, -34845.02885493147 6729808.169695281 39.311501, -34844.64296029566 6729808.076638487 39.311501, -34844.180000987486 6729807.967257254 39.311501, -34843.69561769604 6729807.855413234 39.311501, -34843.32647747919 6729807.771848777 39.311501, -34842.746102681616 6729807.64355632 39.311501, -34842.46847375482 6729807.583579865 39.311501, -34841.794494681875 6729807.441377168 39.311501, -34841.603911148035 6729807.402063727 39.311501, -34840.840917027555 6729807.248584909 39.311501, -34840.735942088766 6729807.22799398 39.311501, -34840.5659399553 6729807.194899517 39.311501, -34839.885448688525 6729807.065493984 39.311501, -34839.00581071293 6729806.90556205 39.311501, -34838.928198495414 6729806.891905865 39.311501, -34838.13633010187 6729806.75572686 39.311501, -34837.969264714164 6729806.727935306 39.311501, -34837.262538414216 6729806.6133508915 39.311501, -34837.00875147164 6729806.573490119 39.311501, -34836.38463813497 6729806.478455707 39.311501, -34836.046743806335 6729806.428774497 39.311501, -34836.00917160604 6729806.423319917 39.311501, -34835.503609869746 6729806.35133156 39.311501, -34835.08335843973 6729806.293602723 39.311501, -34835.046739310725 6729806.288739029 39.311501, -34835.01779491443 6729806.284777676 39.311501, -34834.92525905266 6729806.272376363 39.311501, -34834.290442144265 6729806.189759263 39.311501, -34834.1185780745 6729806.168174652 39.291901, -34833.40073722962 6729806.081480634 39.2015, -34833.357019069605 6729806.438954984 39.216599, -34833.16202458937 6729808.0323990965 39.973598, -34833.12307055108 6729808.351031394 39.98, -34833.046543764765 6729808.976535644 39.9245, -34833.13899776514 6729808.988731047 39.9314, -34833.63548053731 6729809.055354518 39.9687, -34834.02328173793 6729809.11001055 39.997799, -34834.171371877776 6729809.131630523 39.993099, -34834.66730876826 6729809.204247136 39.977501, -34835.201648331946 6729809.286425171 39.960602, -34835.664171228185 6729809.361015359 39.945999, -34836.20994855801 6729809.450285112 39.928101, -34837.199357952806 6729809.611406668 39.895599, -34838.189769072225 6729809.772620976 39.863098, -34839.179182386026 6729809.933743901 39.830601, -34840.169497770374 6729810.095959655 39.7981, -34841.1589101922 6729810.2570814965 39.765598, -34842.1493223405 6729810.418295908 39.733101, -34843.13873069105 6729810.579418385 39.7006, -34844.12905146589 6729810.741630616 39.668098, -34845.11845983111 6729810.902753101 39.635601, -34845.53530978889 6729810.970139586 39.621899, -34846.13047884952 6729811.069976248 39.6031, -34847.157287890324 6729811.251644452 39.570599, -34847.50094799744 6729811.315351118 39.5597, -34848.18091170257 6729811.446118429 39.538898, -34849.202346741804 6729811.653482388 39.510201, -34850.22068830696 6729811.872650312 39.485001, -34851.236747346 6729812.105709843 39.463001, -34852.24971191236 6729812.350573249 39.444401, -34852.64447305037 6729812.45018211 39.438099, -34853.192127973656 6729812.584944397 39.4291, -34854.09415351169 6729812.787415886 39.417198, -34855.00028263405 6729812.967098863 39.4086, -34855.911422764766 6729813.125082615 39.403301, -34856.82675224356 6729813.259275485 39.401402, -34857.744097203016 6729813.37149578 39.402802, -34858.664634696324 6729813.459833899 39.407501, -34859.124729364994 6729813.4949233085 39.420101, -34859.58618858503 6729813.5261109555 39.433601, -34860.509935198 6729813.568414265 39.463001, -34861.434697848046 6729813.588649425 39.495701, -34861.642098494805 6729813.589517695 39.503502, -34861.91280613805 6729813.5699972585 39.513802, -34861.9638435737 6729813.562584454 39.5158, -34862.35709370347 6729813.480759692 39.5312, -34863.26504556544 6729813.112695133 39.571201, -34863.73653039441 6729812.7902690545 39.5979, -34864.11906402302 6729812.464732954 39.6096, -34864.30571699503 6729812.263266073 39.615501, -34864.35869975528 6729812.20164518 39.617199, -34864.545289141824 6729811.956863297 39.623402, -34864.84547510685 6729811.450548311 39.633801, -34865.05294626474 6729810.944804337 39.641602, -34865.13677467778 6729810.656369201 39.645, -34865.14060100226 6729810.636574838 39.645199)</t>
  </si>
  <si>
    <t>POLYGON Z ((-34865.18259394087 6729810.442006483 39.647099, -34865.24377282022 6729809.938977742 39.6506, -34865.23901727598 6729809.452067291 39.652302, -34865.22516099468 6729809.247046649 39.652599, -34865.21500848874 6729809.247926707 39.6703, -34865.16705149633 6729809.252497346 39.669399, -34865.142150288564 6729809.254954487 39.6689, -34865.11116518767 6729809.257856564 39.668301, -34864.957427746966 6729809.2725805 39.665298, -34864.78764551319 6729809.288758775 39.6619, -34864.7098091722 6729809.296233054 39.6604, -34864.640920978156 6729809.302813653 39.659, -34864.56501788122 6729809.310063127 39.657501, -34864.466151090106 6729809.319542306 39.655602, -34864.43618391326 6729809.322338189 39.654701, -34864.341375589254 6729809.331482031 39.651901, -34864.29646810517 6729809.3357256465 39.6506, -34864.166615215596 6729809.348106807 39.646800999999996, -34864.04183771741 6729809.3600463495 39.643101, -34863.978941958165 6729809.366069898 39.6413, -34863.829174250364 6729809.38034965 39.636902, -34863.74229278718 6729809.38870973 39.6343, -34863.711309684324 6729809.39161199 39.6334, -34863.57657907705 6729809.404453883 39.629501, -34863.39184711571 6729809.4221827695 39.624001, -34863.33495330589 6729809.427545391 39.622398, -34862.84164343891 6729809.474723858 39.607899, -34862.59184487141 6729809.497974303 39.600899, -34862.526242266875 6729809.503849645 39.599098, -34861.466617992264 6729809.58809368 39.569801, -34861.43265357241 6729809.590523459 39.568901, -34860.40539749968 6729809.651243973 39.540501, -34860.216431771405 6729809.660225415 39.535198, -34860.160093751736 6729809.662818807 39.533699, -34859.3432038232 6729809.693151121 39.511101, -34858.956435169326 6729809.703153556 39.500401, -34858.28043321718 6729809.71385443 39.4818, -34857.66805985011 6729809.716083919 39.470501, -34857.217396378284 6729809.71328265 39.462101, -34856.36704879918 6729809.697646317 39.4464, -34856.15458565403 6729809.691580588 39.442501, -34855.98034960765 6729809.685996497 39.439301, -34855.09240063699 6729809.648685126 39.422901, -34855.06372666545 6729809.647269543 39.422298, -34854.03135071893 6729809.584642924 39.403198, -34853.76412309299 6729809.565100964 39.3983, -34853.238616367686 6729809.522809881 39.388599, -34852.97174106387 6729809.499377184 39.383701, -34852.47219834186 6729809.451811498 39.375, -34851.914061836665 6729809.393034528 39.365898, -34851.18973445636 6729809.307859472 39.355202, -34850.85871707543 6729809.265558287 39.3507, -34849.919568374055 6729809.134117085 39.339199, -34849.80610778369 6729809.117078864 39.337898, -34848.756624314236 6729808.9476340255 39.327702, -34848.66134311503 6729808.931149914 39.3269, -34847.71076697984 6729808.7572706 39.319901, -34847.41866143572 6729808.700299156 39.318199, -34846.66892951948 6729808.546121338 39.314701, -34846.193257000996 6729808.442529346 39.313099, -34845.63151290582 6729808.314229015 39.311901, -34845.34503753309 6729808.246392999 39.3116, -34845.1290517929 6729808.194079797 39.311501, -34845.02885493147 6729808.169695281 39.311501, -34844.64296029566 6729808.076638487 39.311501, -34844.180000987486 6729807.967257254 39.311501, -34843.69561769604 6729807.855413234 39.311501, -34843.32647747919 6729807.771848777 39.311501, -34842.746102681616 6729807.64355632 39.311501, -34842.46847375482 6729807.583579865 39.311501, -34841.794494681875 6729807.441377168 39.311501, -34841.603911148035 6729807.402063727 39.311501, -34840.840917027555 6729807.248584909 39.311501, -34840.735942088766 6729807.22799398 39.311501, -34840.5659399553 6729807.194899517 39.311501, -34839.885448688525 6729807.065493984 39.311501, -34839.00581071293 6729806.90556205 39.311501, -34838.928198495414 6729806.891905865 39.311501, -34838.13633010187 6729806.75572686 39.311501, -34837.969264714164 6729806.727935306 39.311501, -34837.262538414216 6729806.6133508915 39.311501, -34837.00875147164 6729806.573490119 39.311501, -34836.38463813497 6729806.478455707 39.311501, -34836.046743806335 6729806.428774497 39.311501, -34836.00917160604 6729806.423319917 39.311501, -34835.503609869746 6729806.35133156 39.311501, -34835.08335843973 6729806.293602723 39.311501, -34835.046739310725 6729806.288739029 39.311501, -34835.01779491443 6729806.284777676 39.311501, -34834.92525905266 6729806.272376363 39.311501, -34834.290442144265 6729806.189759263 39.311501, -34834.1185780745 6729806.168174652 39.291901, -34833.40073722962 6729806.081480634 39.2015, -34833.357019069605 6729806.438954984 39.216599, -34833.16202458937 6729808.0323990965 39.973598, -34833.12307055108 6729808.351031394 39.98, -34833.046543764765 6729808.976535644 39.9245, -34833.13899776514 6729808.988731047 39.9314, -34833.63548053731 6729809.055354518 39.9687, -34834.02328173793 6729809.11001055 39.997799, -34834.171371877776 6729809.131630523 39.993099, -34834.66730876826 6729809.204247136 39.977501, -34835.201648331946 6729809.286425171 39.960602, -34835.664171228185 6729809.361015359 39.945999, -34836.20994855801 6729809.450285112 39.928101, -34837.199357952806 6729809.611406668 39.895599, -34838.189769072225 6729809.772620976 39.863098, -34839.179182386026 6729809.933743901 39.830601, -34840.169497770374 6729810.095959655 39.7981, -34841.1589101922 6729810.2570814965 39.765598, -34842.1493223405 6729810.418295908 39.733101, -34843.13873069105 6729810.579418385 39.7006, -34844.12905146589 6729810.741630616 39.668098, -34845.11845983111 6729810.902753101 39.635601, -34845.53530978889 6729810.970139586 39.621899, -34846.13047884952 6729811.069976248 39.6031, -34847.157287890324 6729811.251644452 39.570599, -34847.50094799744 6729811.315351118 39.5597, -34848.18091170257 6729811.446118429 39.538898, -34849.202346741804 6729811.653482388 39.510201, -34850.22068830696 6729811.872650312 39.485001, -34851.236747346 6729812.105709843 39.463001, -34852.24971191236 6729812.350573249 39.444401, -34852.64447305037 6729812.45018211 39.438099, -34853.192127973656 6729812.584944397 39.4291, -34854.09415351169 6729812.787415886 39.417198, -34855.00028263405 6729812.967098863 39.4086, -34855.911422764766 6729813.125082615 39.403301, -34856.82675224356 6729813.259275485 39.401402, -34857.744097203016 6729813.37149578 39.402802, -34858.664634696324 6729813.459833899 39.407501, -34859.124729364994 6729813.4949233085 39.420101, -34859.58618858503 6729813.5261109555 39.433601, -34860.509935198 6729813.568414265 39.463001, -34861.434697848046 6729813.588649425 39.495701, -34861.642098494805 6729813.589517695 39.503502, -34861.91280613805 6729813.5699972585 39.513802, -34861.9638435737 6729813.562584454 39.5158, -34862.35709370347 6729813.480759692 39.5312, -34863.26504556544 6729813.112695133 39.571201, -34863.73653039441 6729812.7902690545 39.5979, -34864.11906402302 6729812.464732954 39.6096, -34864.30571699503 6729812.263266073 39.615501, -34864.35869975528 6729812.20164518 39.617199, -34864.545289141824 6729811.956863297 39.623402, -34864.84547510685 6729811.450548311 39.633801, -34865.05294626474 6729810.944804337 39.641602, -34865.13677467778 6729810.656369201 39.645, -34865.14060100226 6729810.636574838 39.645199, -34865.18259394087 6729810.442006483 39.647099))</t>
  </si>
  <si>
    <t>['KV4575 S1D1 m5-45']</t>
  </si>
  <si>
    <t>LINESTRING Z (-34722.41495087324 6729785.601358012 39.484746, -34722.553188515245 6729785.699934297 39.485298, -34722.60473584174 6729785.806885152 39.486401, -34722.61723439023 6729785.833108892 39.486698, -34722.624442493776 6729785.981020112 39.4888, -34722.59933484718 6729786.049425201 39.490101, -34722.57365679415 6729786.119791414 39.491501, -34722.51675155014 6729786.191227614 39.493198, -34722.4898549777 6729786.2176705105 39.4939, -34722.46084211301 6729786.246336829 39.494598, -34722.34585890244 6729786.361402108 39.497601, -34722.3179079761 6729786.389459651 39.498299, -34722.20357029617 6729786.50629627 39.501301, -34722.17666283017 6729786.533946793 39.501999, -34722.0630604811 6729786.652563992 39.505001, -34722.03712496988 6729786.679598504 39.505699, -34721.9243649164 6729786.80000507 39.508801, -34721.8988066382 6729786.827275569 39.509499, -34721.78746664699 6729786.948716648 39.512501, -34721.762846046244 6729786.975569437 39.513199, -34721.652265607845 6729787.098691586 39.516201, -34721.62735458091 6729787.126526976 39.516899, -34721.5188614974 6729787.249941024 39.519901, -34721.494230094715 6729787.278000441 39.520599, -34721.43882014649 6729787.341918955 39.522202, -34721.38705707656 6729787.402342149 39.523701, -34721.373397920746 6729787.418415781 39.524101, -34721.346646231366 6729787.4499078905 39.524799, -34720.852375045884 6729788.057397293 39.540401, -34720.82905265549 6729788.087692705 39.5411, -34720.72915790987 6729788.217232366 39.544399, -34720.706798485015 6729788.246910942 39.545101, -34720.60775384214 6729788.378242699 39.548401, -34720.58625850035 6729788.4072953835 39.549099, -34720.48736338911 6729788.541360247 39.552399, -34720.467507728725 6729788.568950599 39.553101, -34720.369455095846 6729788.704802829 39.5564, -34720.35035630409 6729788.731860204 39.557098, -34720.25323570112 6729788.869610737 39.560398, -34720.2351078653 6729788.896052008 39.5611, -34720.138244823785 6729789.036444824 39.564499, -34720.12145993102 6729789.06139759 39.565102, -34720.02563679055 6729789.203698588 39.568501, -34720.00961725786 6729789.227915701 39.569099, -34719.9147269628 6729789.372117094 39.572498, -34719.89946375729 6729789.395796145 39.573002, -34719.805505492026 6729789.54189584 39.5765, -34719.79102659947 6729789.564742268 39.577, -34719.705462868325 6729789.667595646 39.5797, -34719.64002254396 6729789.703601807 39.581001, -34719.575347419595 6729789.738973028 39.582298, -34719.48552877782 6729789.755221318 39.583599, -34719.4283213038 6729789.754112224 39.584300999999996, -34719.3272181293 6729789.723095996 39.5849, -34719.17248695961 6729789.613443803 39.5849, -34719.14730951656 6729789.588071184 39.584599, -34718.92824685259 6729789.315405447 39.585098, -34718.47577333718 6729788.767146324 39.586102, -34718.44444290351 6729788.729831949 39.586201, -34718.27919650846 6729788.534813236 39.586498, -34718.1239294362 6729788.3540014 39.5868, -34717.68824812677 6729787.857742449 39.587002, -34717.64101406408 6729787.804868812 39.587002, -34717.611951644765 6729787.77249393 39.586899, -34716.92711192963 6729787.028608217 39.584801, -34716.22504860489 6729786.303391526 39.580101, -34715.506236178335 6729785.597183443 39.5728, -34714.77998815803 6729784.918297226 39.563099, -34714.02000040363 6729784.24266511 39.550701, -34713.25353049359 6729783.594941749 39.536098, -34712.471936636604 6729782.967188635 39.5191, -34712.340796382865 6729782.864931489 39.515999, -34712.302806441905 6729782.835468569 39.515099, -34711.67675293842 6729782.358029454 39.499699, -34711.539604339865 6729782.255425463 39.496201, -34710.86996053334 6729781.7646271 39.4772, -34710.05202736205 6729781.187227896 39.452301, -34709.223159546615 6729780.625846689 39.425301, -34709.14471643383 6729780.573943983 39.4226, -34709.11042993737 6729780.551364973 39.421501, -34708.57521868462 6729780.2048229305 39.402802, -34708.56530749088 6729780.064519225 39.397202, -34708.544998650905 6729779.779336909 39.385799, -34708.530433031614 6729779.573241353 39.3773, -34708.52573089255 6729779.5080474345 39.374699, -34708.471026029205 6729778.737272333 39.361698, -34709.806181461085 6729779.360533581 39.400002, -34709.89222356747 6729779.400947295 39.402302, -34710.807298859 6729779.832641136 39.424702, -34711.721990778344 6729780.267421145 39.444199, -34712.48001615843 6729780.630142328 39.458302, -34712.63629305677 6729780.70528978 39.460899, -34713.35483383131 6729781.051601296 39.472099, -34713.38405091921 6729781.065759215 39.4725, -34713.55041871709 6729781.14626352 39.4748, -34714.46444859449 6729781.590449483 39.485699, -34715.37829324661 6729782.03784552 39.493698, -34716.29212594859 6729782.488561177 39.4986, -34717.20597037324 6729782.942502931 39.503399, -34718.11989832483 6729783.39997549 39.5056, -34719.034020873485 6729783.860689889 39.505199, -34719.94833463733 6729784.324946969 39.502201, -34719.98758782854 6729784.345060031 39.501999, -34720.05167223967 6729784.377720685 39.501701, -34720.64790853206 6729784.682514111 39.4981, -34720.86292151932 6729784.792754232 39.496601, -34721.09349135659 6729784.911266063 39.494999, -34721.12273405236 6729784.926233088 39.494801, -34721.77926992427 6729785.262233621 39.490101, -34722.09582649043 6729785.4227646 39.487801, -34722.128933201195 6729785.439596307 39.487598, -34722.42410240136 6729785.588500437 39.485401)</t>
  </si>
  <si>
    <t>POLYGON Z ((-34722.41495087324 6729785.601358012 39.484746, -34722.553188515245 6729785.699934297 39.485298, -34722.60473584174 6729785.806885152 39.486401, -34722.61723439023 6729785.833108892 39.486698, -34722.624442493776 6729785.981020112 39.4888, -34722.59933484718 6729786.049425201 39.490101, -34722.57365679415 6729786.119791414 39.491501, -34722.51675155014 6729786.191227614 39.493198, -34722.4898549777 6729786.2176705105 39.4939, -34722.46084211301 6729786.246336829 39.494598, -34722.34585890244 6729786.361402108 39.497601, -34722.3179079761 6729786.389459651 39.498299, -34722.20357029617 6729786.50629627 39.501301, -34722.17666283017 6729786.533946793 39.501999, -34722.0630604811 6729786.652563992 39.505001, -34722.03712496988 6729786.679598504 39.505699, -34721.9243649164 6729786.80000507 39.508801, -34721.8988066382 6729786.827275569 39.509499, -34721.78746664699 6729786.948716648 39.512501, -34721.762846046244 6729786.975569437 39.513199, -34721.652265607845 6729787.098691586 39.516201, -34721.62735458091 6729787.126526976 39.516899, -34721.5188614974 6729787.249941024 39.519901, -34721.494230094715 6729787.278000441 39.520599, -34721.43882014649 6729787.341918955 39.522202, -34721.38705707656 6729787.402342149 39.523701, -34721.373397920746 6729787.418415781 39.524101, -34721.346646231366 6729787.4499078905 39.524799, -34720.852375045884 6729788.057397293 39.540401, -34720.82905265549 6729788.087692705 39.5411, -34720.72915790987 6729788.217232366 39.544399, -34720.706798485015 6729788.246910942 39.545101, -34720.60775384214 6729788.378242699 39.548401, -34720.58625850035 6729788.4072953835 39.549099, -34720.48736338911 6729788.541360247 39.552399, -34720.467507728725 6729788.568950599 39.553101, -34720.369455095846 6729788.704802829 39.5564, -34720.35035630409 6729788.731860204 39.557098, -34720.25323570112 6729788.869610737 39.560398, -34720.2351078653 6729788.896052008 39.5611, -34720.138244823785 6729789.036444824 39.564499, -34720.12145993102 6729789.06139759 39.565102, -34720.02563679055 6729789.203698588 39.568501, -34720.00961725786 6729789.227915701 39.569099, -34719.9147269628 6729789.372117094 39.572498, -34719.89946375729 6729789.395796145 39.573002, -34719.805505492026 6729789.54189584 39.5765, -34719.79102659947 6729789.564742268 39.577, -34719.705462868325 6729789.667595646 39.5797, -34719.64002254396 6729789.703601807 39.581001, -34719.575347419595 6729789.738973028 39.582298, -34719.48552877782 6729789.755221318 39.583599, -34719.4283213038 6729789.754112224 39.584300999999996, -34719.3272181293 6729789.723095996 39.5849, -34719.17248695961 6729789.613443803 39.5849, -34719.14730951656 6729789.588071184 39.584599, -34718.92824685259 6729789.315405447 39.585098, -34718.47577333718 6729788.767146324 39.586102, -34718.44444290351 6729788.729831949 39.586201, -34718.27919650846 6729788.534813236 39.586498, -34718.1239294362 6729788.3540014 39.5868, -34717.68824812677 6729787.857742449 39.587002, -34717.64101406408 6729787.804868812 39.587002, -34717.611951644765 6729787.77249393 39.586899, -34716.92711192963 6729787.028608217 39.584801, -34716.22504860489 6729786.303391526 39.580101, -34715.506236178335 6729785.597183443 39.5728, -34714.77998815803 6729784.918297226 39.563099, -34714.02000040363 6729784.24266511 39.550701, -34713.25353049359 6729783.594941749 39.536098, -34712.471936636604 6729782.967188635 39.5191, -34712.340796382865 6729782.864931489 39.515999, -34712.302806441905 6729782.835468569 39.515099, -34711.67675293842 6729782.358029454 39.499699, -34711.539604339865 6729782.255425463 39.496201, -34710.86996053334 6729781.7646271 39.4772, -34710.05202736205 6729781.187227896 39.452301, -34709.223159546615 6729780.625846689 39.425301, -34709.14471643383 6729780.573943983 39.4226, -34709.11042993737 6729780.551364973 39.421501, -34708.57521868462 6729780.2048229305 39.402802, -34708.56530749088 6729780.064519225 39.397202, -34708.544998650905 6729779.779336909 39.385799, -34708.530433031614 6729779.573241353 39.3773, -34708.52573089255 6729779.5080474345 39.374699, -34708.471026029205 6729778.737272333 39.361698, -34709.806181461085 6729779.360533581 39.400002, -34709.89222356747 6729779.400947295 39.402302, -34710.807298859 6729779.832641136 39.424702, -34711.721990778344 6729780.267421145 39.444199, -34712.48001615843 6729780.630142328 39.458302, -34712.63629305677 6729780.70528978 39.460899, -34713.35483383131 6729781.051601296 39.472099, -34713.38405091921 6729781.065759215 39.4725, -34713.55041871709 6729781.14626352 39.4748, -34714.46444859449 6729781.590449483 39.485699, -34715.37829324661 6729782.03784552 39.493698, -34716.29212594859 6729782.488561177 39.4986, -34717.20597037324 6729782.942502931 39.503399, -34718.11989832483 6729783.39997549 39.5056, -34719.034020873485 6729783.860689889 39.505199, -34719.94833463733 6729784.324946969 39.502201, -34719.98758782854 6729784.345060031 39.501999, -34720.05167223967 6729784.377720685 39.501701, -34720.64790853206 6729784.682514111 39.4981, -34720.86292151932 6729784.792754232 39.496601, -34721.09349135659 6729784.911266063 39.494999, -34721.12273405236 6729784.926233088 39.494801, -34721.77926992427 6729785.262233621 39.490101, -34722.09582649043 6729785.4227646 39.487801, -34722.128933201195 6729785.439596307 39.487598, -34722.42410240136 6729785.588500437 39.485401, -34722.41495087324 6729785.601358012 39.484746))</t>
  </si>
  <si>
    <t>['FV540 S1D1 m4055-4061']</t>
  </si>
  <si>
    <t>LINESTRING Z (-34912.28729646059 6729800.025624734 39.993, -34907.87503073714 6729800.075852506 39.993, -34907.79414538224 6729798.478089367 39.993, -34912.25145443843 6729798.431988027 39.993)</t>
  </si>
  <si>
    <t>POLYGON Z ((-34912.28729646059 6729800.025624734 39.993, -34907.87503073714 6729800.075852506 39.993, -34907.79414538224 6729798.478089367 39.993, -34912.25145443843 6729798.431988027 39.993, -34912.28729646059 6729800.025624734 39.993))</t>
  </si>
  <si>
    <t>['FV540 S1D1 m3982-4012']</t>
  </si>
  <si>
    <t>LINESTRING Z (-34835.83679584798 6729800.066566195 39.334999, -34835.837297629216 6729800.021488028 39.334300999999996, -34835.84086689481 6729799.661443366 39.3204, -34835.84144124319 6729799.601266011 39.317902, -34835.84264341218 6729799.474873054 39.3125, -34835.84570717404 6729799.1599032 39.299, -34835.85064127343 6729798.658471336 39.2775, -34835.85558433493 6729798.15694159 39.256001, -34835.860514251865 6729797.655511355 39.2346, -34835.86538306589 6729797.158102272 39.213299, -34835.86583693267 6729797.117956961 39.211601, -34836.250901375315 6729797.116663689 39.263199, -34836.28030293062 6729797.118954682 39.267502, -34836.32329165237 6729797.119165378 39.273102, -34836.792070624186 6729797.121007093 39.333599, -34837.32397930359 6729797.12309025 39.3494, -34837.399382992066 6729797.123448667 39.3507, -34837.77774691873 6729797.124967153 39.3573, -34838.47849885223 6729797.127710841 39.369701, -34838.76393077616 6729797.12887298 39.374699, -34839.56092936988 6729797.132072143 39.388699, -34839.74960790202 6729797.132835132 39.392101, -34840.6468851791 6729797.136454162 39.408001, -34840.734982579364 6729797.1367675625 39.4095, -34841.72127024515 6729797.140683904 39.426998, -34842.51484536403 6729797.143872675 39.4412, -34842.709761364036 6729797.144702346 39.444599, -34842.830277636764 6729797.145164839 39.446701, -34843.70822214882 6729797.148726426 39.4622, -34843.928217778564 6729797.149538595 39.466099, -34844.70819945529 6729797.15268796 39.479801, -34845.0305823253 6729797.154013408 39.4855, -34845.70646240038 6729797.156694922 39.497501, -34846.137682948494 6729797.158419411 39.5051, -34846.26746556093 6729797.158923837 39.507401, -34846.705331973615 6729797.160654713 39.515099, -34847.24971534882 6729797.162874235 39.5247, -34847.705002601375 6729797.164687875 39.532799, -34847.82330610312 6729797.165150139 39.534901, -34848.00291925541 6729797.165887584 39.538101, -34848.24043333903 6729797.166794475 39.542301, -34848.703463335405 6729797.16871295 39.550499, -34849.09300667513 6729797.170247151 39.5574, -34849.7025355089 6729797.17269331 39.568199, -34849.93853026838 6729797.173660477 39.572399, -34850.701604876085 6729797.176671403 39.585899, -34850.77771770512 6729797.176996059 39.5872, -34851.61136503599 6729797.180326824 39.602001, -34851.70107277809 6729797.180685991 39.6036, -34852.44007436221 6729797.183709922 39.616699, -34852.69943466212 6729797.184702014 39.6213, -34852.730745603796 6729797.184851351 39.621899, -34853.26456115011 6729797.187009445 39.631401, -34853.698507050634 6729797.18868038 39.639099, -34854.085622817394 6729797.190294396 39.646, -34854.69787691021 6729797.192688002 39.656898, -34854.90387224383 6729797.193526237 39.6605, -34855.6978481533 6729797.196749702 39.674702, -34855.7199009998 6729797.196756129 39.675098, -34856.400915842736 6729797.199503038 39.687199, -34856.534316142206 6729797.202252463 39.689499, -34856.69706642255 6729797.205678673 39.692299, -34857.34740226786 6729797.267357483 39.702202, -34857.692788738175 6729797.3000970315 39.707401, -34858.16344668018 6729797.400212164 39.713001, -34858.685870359885 6729797.511311044 39.719101, -34858.98732682015 6729797.61355499 39.7215, -34859.62980849878 6729797.831334961 39.7267, -34859.674349112436 6729797.846492483 39.727001, -34859.82541031414 6729797.919249687 39.7276, -34860.65694951464 6729798.319523464 39.730801, -34860.685087426915 6729798.337810744 39.730801, -34861.57853908697 6729798.919812891 39.729801, -34861.63490727672 6729798.956500658 39.729801, -34861.8557505426 6729799.154798738 39.7285, -34862.400180130615 6729799.643695792 39.725399, -34862.4637628285 6729799.708238468 39.724098, -34862.67025183246 6729799.918113888 39.720001, -34862.82248435414 6729800.088072515 39.716702, -34862.85748222878 6729800.1271329075 39.716, -34862.9556166149 6729800.236740262 39.713902, -34863.12651051837 6729800.443756419 39.709499, -34863.198145278846 6729800.540260483 39.7076, -34863.34385862632 6729800.736310555 39.7038, -34863.41792506818 6729800.835956169 39.701801, -34863.49422406254 6729800.938729125 39.699902, -34863.5474443509 6729801.021861201 39.698502, -34863.659954220755 6729801.197747958 39.695599, -34863.69555828755 6729801.253283084 39.694599, -34863.81281132123 6729801.436754312 39.691601, -34863.90551892412 6729801.605591012 39.689301, -34863.98969528952 6729801.758738922 39.687199, -34864.08482467767 6729801.931924901 39.684799, -34864.27810240013 6729802.342129079 39.680099, -34864.29961090465 6729802.387711371 39.6796, -34864.50365253375 6729802.899217551 39.675098, -34864.5436876961 6729803.011964049 39.674301, -34864.51475336158 6729803.015557545 39.674801, -34864.36101682868 6729803.030282583 39.675098, -34864.19133366179 6729803.0464679245 39.6754, -34864.113398347516 6729803.053934152 39.675499, -34864.04450697417 6729803.0605164785 39.6759, -34863.96860696538 6729803.067765233 39.676701, -34863.86973935913 6729803.077242331 39.678398, -34863.83987106511 6729803.080047267 39.6791, -34863.74496186164 6729803.089181874 39.6824, -34863.70005619305 6729803.093427671 39.6842, -34863.63410901965 6729803.099777069 39.687099, -34863.570303093526 6729803.105818986 39.690201, -34863.44542589784 6729803.11774739 39.694801, -34863.382530230796 6729803.1237699445 39.697601, -34863.23276206618 6729803.1380547 39.705502, -34863.145881785196 6729803.146412878 39.710899, -34863.11499656679 6729803.149324102 39.713001, -34862.98015802121 6729803.1622558255 39.711399, -34862.79543629999 6729803.179883933 39.709202, -34862.73853306775 6729803.185349436 39.708599, -34862.245331508806 6729803.232434105 39.702801, -34862.02489240887 6729803.252936761 39.700001, -34861.96699960553 6729803.258209899 39.699299, -34861.03206666431 6729803.332521939 39.6875, -34861.00206282723 6729803.334607418 39.687099, -34860.09572364914 6729803.388172527 39.6758, -34859.92901464051 6729803.396067139 39.673698, -34859.87935174245 6729803.398369461 39.673, -34859.15857218683 6729803.425114037 39.664001, -34858.817234807066 6729803.433940407 39.659698, -34858.220818482456 6729803.443371396 39.652199, -34857.68056994234 6729803.4454585975 39.6418, -34857.28285770677 6729803.442973749 39.634201, -34856.53266064916 6729803.429156669 39.619701, -34856.34521209798 6729803.423772529 39.6161, -34856.191459767055 6729803.418853893 39.613098, -34855.407957614516 6729803.385972098 39.598, -34855.38269617525 6729803.384664608 39.5975, -34854.47181453381 6729803.329439005 39.579899, -34854.23600238527 6729803.31217107 39.575298, -34853.5368826451 6729803.254183399 39.561798, -34853.09615552204 6729803.2122070575 39.553299, -34852.603656019084 6729803.16035326 39.543701, -34851.99998481234 6729803.089552769 39.532001, -34851.964627907495 6729803.0852035275 39.5313, -34851.67253697652 6729803.04787767 39.525799, -34850.84396634868 6729802.931901367 39.511398, -34850.74381764443 6729802.916888136 39.5098, -34849.81780066225 6729802.767412372 39.496399, -34849.73372233368 6729802.752864827 39.4953, -34848.89509110339 6729802.599409107 39.485401, -34848.63732303877 6729802.549108792 39.4828, -34847.97586319817 6729802.413186386 39.476898, -34847.55608746293 6729802.321660549 39.4739, -34847.060540004866 6729802.208490872 39.471001, -34846.80767874629 6729802.148669799 39.469799, -34846.6172136846 6729802.10252034 39.469002, -34846.51051523769 6729802.076532158 39.468601, -34846.0997899276 6729801.977475563 39.467499, -34845.60686092102 6729801.861020547 39.466702, -34845.20938971627 6729801.769018583 39.466499, -34845.091307816445 6729801.7419878 39.466499, -34844.69839205989 6729801.653021761 39.466499, -34844.08048937493 6729801.516558386 39.466499, -34843.784892294905 6729801.452621736 39.466499, -34843.067439295 6729801.3011989305 39.466499, -34842.8646003817 6729801.259354994 39.466499, -34842.05235318618 6729801.0960280625 39.466499, -34841.94054667035 6729801.074104391 39.466499, -34841.75965523929 6729801.038904686 39.466499, -34841.03522024362 6729800.901042779 39.466499, -34840.098811752745 6729800.730875374 39.466499, -34840.01625012688 6729800.716263291 39.466499, -34839.1731082733 6729800.571357459 39.466499, -34838.995437749894 6729800.541690143 39.466499, -34838.24296196515 6729800.4196925955 39.466499, -34837.972887172946 6729800.3773308415 39.466499, -34837.308437548694 6729800.276185847 39.466499, -34836.94878310815 6729800.223302026 39.466499, -34836.877015462145 6729800.21290257 39.466499, -34836.3705546034 6729800.140833905 39.402302, -34835.92314330349 6729800.07940992 39.3456, -34835.884145597345 6729800.074123915 39.340698, -34835.862648800365 6729800.071235477 39.337958)</t>
  </si>
  <si>
    <t>POLYGON Z ((-34835.83679584798 6729800.066566195 39.334999, -34835.837297629216 6729800.021488028 39.334300999999996, -34835.84086689481 6729799.661443366 39.3204, -34835.84144124319 6729799.601266011 39.317902, -34835.84264341218 6729799.474873054 39.3125, -34835.84570717404 6729799.1599032 39.299, -34835.85064127343 6729798.658471336 39.2775, -34835.85558433493 6729798.15694159 39.256001, -34835.860514251865 6729797.655511355 39.2346, -34835.86538306589 6729797.158102272 39.213299, -34835.86583693267 6729797.117956961 39.211601, -34836.250901375315 6729797.116663689 39.263199, -34836.28030293062 6729797.118954682 39.267502, -34836.32329165237 6729797.119165378 39.273102, -34836.792070624186 6729797.121007093 39.333599, -34837.32397930359 6729797.12309025 39.3494, -34837.399382992066 6729797.123448667 39.3507, -34837.77774691873 6729797.124967153 39.3573, -34838.47849885223 6729797.127710841 39.369701, -34838.76393077616 6729797.12887298 39.374699, -34839.56092936988 6729797.132072143 39.388699, -34839.74960790202 6729797.132835132 39.392101, -34840.6468851791 6729797.136454162 39.408001, -34840.734982579364 6729797.1367675625 39.4095, -34841.72127024515 6729797.140683904 39.426998, -34842.51484536403 6729797.143872675 39.4412, -34842.709761364036 6729797.144702346 39.444599, -34842.830277636764 6729797.145164839 39.446701, -34843.70822214882 6729797.148726426 39.4622, -34843.928217778564 6729797.149538595 39.466099, -34844.70819945529 6729797.15268796 39.479801, -34845.0305823253 6729797.154013408 39.4855, -34845.70646240038 6729797.156694922 39.497501, -34846.137682948494 6729797.158419411 39.5051, -34846.26746556093 6729797.158923837 39.507401, -34846.705331973615 6729797.160654713 39.515099, -34847.24971534882 6729797.162874235 39.5247, -34847.705002601375 6729797.164687875 39.532799, -34847.82330610312 6729797.165150139 39.534901, -34848.00291925541 6729797.165887584 39.538101, -34848.24043333903 6729797.166794475 39.542301, -34848.703463335405 6729797.16871295 39.550499, -34849.09300667513 6729797.170247151 39.5574, -34849.7025355089 6729797.17269331 39.568199, -34849.93853026838 6729797.173660477 39.572399, -34850.701604876085 6729797.176671403 39.585899, -34850.77771770512 6729797.176996059 39.5872, -34851.61136503599 6729797.180326824 39.602001, -34851.70107277809 6729797.180685991 39.6036, -34852.44007436221 6729797.183709922 39.616699, -34852.69943466212 6729797.184702014 39.6213, -34852.730745603796 6729797.184851351 39.621899, -34853.26456115011 6729797.187009445 39.631401, -34853.698507050634 6729797.18868038 39.639099, -34854.085622817394 6729797.190294396 39.646, -34854.69787691021 6729797.192688002 39.656898, -34854.90387224383 6729797.193526237 39.6605, -34855.6978481533 6729797.196749702 39.674702, -34855.7199009998 6729797.196756129 39.675098, -34856.400915842736 6729797.199503038 39.687199, -34856.534316142206 6729797.202252463 39.689499, -34856.69706642255 6729797.205678673 39.692299, -34857.34740226786 6729797.267357483 39.702202, -34857.692788738175 6729797.3000970315 39.707401, -34858.16344668018 6729797.400212164 39.713001, -34858.685870359885 6729797.511311044 39.719101, -34858.98732682015 6729797.61355499 39.7215, -34859.62980849878 6729797.831334961 39.7267, -34859.674349112436 6729797.846492483 39.727001, -34859.82541031414 6729797.919249687 39.7276, -34860.65694951464 6729798.319523464 39.730801, -34860.685087426915 6729798.337810744 39.730801, -34861.57853908697 6729798.919812891 39.729801, -34861.63490727672 6729798.956500658 39.729801, -34861.8557505426 6729799.154798738 39.7285, -34862.400180130615 6729799.643695792 39.725399, -34862.4637628285 6729799.708238468 39.724098, -34862.67025183246 6729799.918113888 39.720001, -34862.82248435414 6729800.088072515 39.716702, -34862.85748222878 6729800.1271329075 39.716, -34862.9556166149 6729800.236740262 39.713902, -34863.12651051837 6729800.443756419 39.709499, -34863.198145278846 6729800.540260483 39.7076, -34863.34385862632 6729800.736310555 39.7038, -34863.41792506818 6729800.835956169 39.701801, -34863.49422406254 6729800.938729125 39.699902, -34863.5474443509 6729801.021861201 39.698502, -34863.659954220755 6729801.197747958 39.695599, -34863.69555828755 6729801.253283084 39.694599, -34863.81281132123 6729801.436754312 39.691601, -34863.90551892412 6729801.605591012 39.689301, -34863.98969528952 6729801.758738922 39.687199, -34864.08482467767 6729801.931924901 39.684799, -34864.27810240013 6729802.342129079 39.680099, -34864.29961090465 6729802.387711371 39.6796, -34864.50365253375 6729802.899217551 39.675098, -34864.5436876961 6729803.011964049 39.674301, -34864.51475336158 6729803.015557545 39.674801, -34864.36101682868 6729803.030282583 39.675098, -34864.19133366179 6729803.0464679245 39.6754, -34864.113398347516 6729803.053934152 39.675499, -34864.04450697417 6729803.0605164785 39.6759, -34863.96860696538 6729803.067765233 39.676701, -34863.86973935913 6729803.077242331 39.678398, -34863.83987106511 6729803.080047267 39.6791, -34863.74496186164 6729803.089181874 39.6824, -34863.70005619305 6729803.093427671 39.6842, -34863.63410901965 6729803.099777069 39.687099, -34863.570303093526 6729803.105818986 39.690201, -34863.44542589784 6729803.11774739 39.694801, -34863.382530230796 6729803.1237699445 39.697601, -34863.23276206618 6729803.1380547 39.705502, -34863.145881785196 6729803.146412878 39.710899, -34863.11499656679 6729803.149324102 39.713001, -34862.98015802121 6729803.1622558255 39.711399, -34862.79543629999 6729803.179883933 39.709202, -34862.73853306775 6729803.185349436 39.708599, -34862.245331508806 6729803.232434105 39.702801, -34862.02489240887 6729803.252936761 39.700001, -34861.96699960553 6729803.258209899 39.699299, -34861.03206666431 6729803.332521939 39.6875, -34861.00206282723 6729803.334607418 39.687099, -34860.09572364914 6729803.388172527 39.6758, -34859.92901464051 6729803.396067139 39.673698, -34859.87935174245 6729803.398369461 39.673, -34859.15857218683 6729803.425114037 39.664001, -34858.817234807066 6729803.433940407 39.659698, -34858.220818482456 6729803.443371396 39.652199, -34857.68056994234 6729803.4454585975 39.6418, -34857.28285770677 6729803.442973749 39.634201, -34856.53266064916 6729803.429156669 39.619701, -34856.34521209798 6729803.423772529 39.6161, -34856.191459767055 6729803.418853893 39.613098, -34855.407957614516 6729803.385972098 39.598, -34855.38269617525 6729803.384664608 39.5975, -34854.47181453381 6729803.329439005 39.579899, -34854.23600238527 6729803.31217107 39.575298, -34853.5368826451 6729803.254183399 39.561798, -34853.09615552204 6729803.2122070575 39.553299, -34852.603656019084 6729803.16035326 39.543701, -34851.99998481234 6729803.089552769 39.532001, -34851.964627907495 6729803.0852035275 39.5313, -34851.67253697652 6729803.04787767 39.525799, -34850.84396634868 6729802.931901367 39.511398, -34850.74381764443 6729802.916888136 39.5098, -34849.81780066225 6729802.767412372 39.496399, -34849.73372233368 6729802.752864827 39.4953, -34848.89509110339 6729802.599409107 39.485401, -34848.63732303877 6729802.549108792 39.4828, -34847.97586319817 6729802.413186386 39.476898, -34847.55608746293 6729802.321660549 39.4739, -34847.060540004866 6729802.208490872 39.471001, -34846.80767874629 6729802.148669799 39.469799, -34846.6172136846 6729802.10252034 39.469002, -34846.51051523769 6729802.076532158 39.468601, -34846.0997899276 6729801.977475563 39.467499, -34845.60686092102 6729801.861020547 39.466702, -34845.20938971627 6729801.769018583 39.466499, -34845.091307816445 6729801.7419878 39.466499, -34844.69839205989 6729801.653021761 39.466499, -34844.08048937493 6729801.516558386 39.466499, -34843.784892294905 6729801.452621736 39.466499, -34843.067439295 6729801.3011989305 39.466499, -34842.8646003817 6729801.259354994 39.466499, -34842.05235318618 6729801.0960280625 39.466499, -34841.94054667035 6729801.074104391 39.466499, -34841.75965523929 6729801.038904686 39.466499, -34841.03522024362 6729800.901042779 39.466499, -34840.098811752745 6729800.730875374 39.466499, -34840.01625012688 6729800.716263291 39.466499, -34839.1731082733 6729800.571357459 39.466499, -34838.995437749894 6729800.541690143 39.466499, -34838.24296196515 6729800.4196925955 39.466499, -34837.972887172946 6729800.3773308415 39.466499, -34837.308437548694 6729800.276185847 39.466499, -34836.94878310815 6729800.223302026 39.466499, -34836.877015462145 6729800.21290257 39.466499, -34836.3705546034 6729800.140833905 39.402302, -34835.92314330349 6729800.07940992 39.3456, -34835.884145597345 6729800.074123915 39.340698, -34835.862648800365 6729800.071235477 39.337958, -34835.83679584798 6729800.066566195 39.334999))</t>
  </si>
  <si>
    <t>['FV540 S1D1 m3984-4022']</t>
  </si>
  <si>
    <t>LINESTRING Z (-34873.96058199019 6729781.806003247 40.415001, -34873.97478672024 6729781.534355675 40.4217, -34873.97596613632 6729781.510492567 40.422298, -34874.00020688027 6729781.044570707 40.433899, -34873.97441998951 6729781.04130244 40.442299, -34873.90287613368 6729781.037267784 40.445702, -34873.80609003804 6729781.031726969 40.450199, -34873.71030175558 6729781.02627754 40.4547, -34873.61311413767 6729781.020699949 40.459, -34873.54574450222 6729781.019464863 40.4678, -34873.38675465353 6729781.015680072 40.489899, -34873.34036255686 6729781.014150481 40.496201, -34873.1759529229 6729781.006847727 40.517799, -34872.99803263508 6729780.997501791 40.526199, -34872.85600602708 6729780.989932539 40.521099, -34872.83395083633 6729780.988818999 40.520302, -34872.668969108956 6729780.980053778 40.514099, -34872.61293627671 6729780.977137606 40.511902, -34872.330971418065 6729780.962291095 40.5005, -34872.17991176341 6729780.954398109 40.494099, -34872.10493435839 6729780.950451852 40.490898, -34871.827976702596 6729780.935963223 40.478901, -34871.61296216503 6729780.924730649 40.469601, -34871.588908352656 6729780.9234340545 40.468498, -34871.43894739123 6729780.9156417 40.462002, -34871.32487096207 6729780.909725904 40.4571, -34870.822853769525 6729780.883689006 40.435398, -34870.6128434391 6729780.872814042 40.4263, -34870.31982861948 6729780.857660508 40.413601, -34870.25677666289 6729780.854403616 40.4109, -34870.14479773876 6729780.848679931 40.405998, -34870.01878971106 6729780.842174932 40.4006, -34869.816788171534 6729780.831832048 40.391998, -34869.61277886201 6729780.821405993 40.383801, -34869.347722370294 6729780.807805941 40.373798, -34869.31373558135 6729780.806103192 40.372501, -34868.81067484373 6729780.780474314 40.355598, -34868.612577819615 6729780.77038832 40.349602, -34868.490565040614 6729780.76424924 40.3461, -34868.3685522615 6729780.758110161 40.3428, -34868.34760491294 6729780.756997365 40.342201, -34868.30759681121 6729780.755045285 40.341202, -34867.8045167838 6729780.729616074 40.3293, -34867.61242177861 6729780.719979082 40.325401, -34867.44348265394 6729780.711556447 40.3223, -34867.30141945975 6729780.704386721 40.319801, -34867.15042110288 6729780.696902225 40.3172, -34866.79830284405 6729780.679357033 40.311001, -34866.61231988657 6729780.6700784005 40.3078, -34866.29518922616 6729780.654327626 40.3022, -34865.792153200484 6729780.629506761 40.2934, -34865.612072381075 6729780.620667981 40.290298, -34865.38005086477 6729780.609287819 40.286201, -34865.28901214269 6729780.604776995 40.284599, -34865.22403200611 6729780.6016456615 40.283501, -34864.88893114112 6729780.585256201 40.277599, -34864.78584979498 6729780.580246716 40.275799, -34864.6718448092 6729780.574639629 40.2738, -34864.61187902477 6729780.571766113 40.2728, -34864.28278932767 6729780.555725772 40.266998, -34863.779608687386 6729780.531395257 40.258202, -34863.611640935414 6729780.523363746 40.255299, -34863.27652992832 6729780.507074076 40.249401, -34863.06543746777 6729780.497006473 40.245701, -34862.773321848246 6729780.483043205 40.240601, -34862.611372413696 6729780.475260743 40.237801, -34862.27020650124 6729780.459121546 40.2318, -34861.767079010955 6729780.435299498 40.223, -34861.61103371193 6729780.427957075 40.220299, -34861.263945371844 6729780.411577604 40.214199, -34861.044817680726 6729780.401277658 40.2104, -34860.919754585135 6729780.395463515 40.208199, -34860.76079343876 6729780.388055469 40.205399, -34860.610657427926 6729780.381052834 40.202801, -34860.25753048074 6729780.364623888 40.196602, -34859.75435825775 6729780.341301337 40.187801, -34859.61033329484 6729780.334656967 40.185299, -34859.251179885585 6729780.318078939 40.179001, -34858.609967425 6729780.288760873 40.167801, -34858.24487329263 6729780.272142338 40.1614, -34857.609554824536 6729780.243364096 40.150299, -34857.5405428533 6729780.240266365 40.149101, -34857.23842823715 6729780.226595928 40.143799, -34856.94030986691 6729780.213291502 40.138599, -34856.60919237754 6729780.198475507 40.132801, -34856.23203018063 6729780.181658135 40.126202, -34855.608689311775 6729780.154077632 40.115299, -34855.22558639175 6729780.137219756 40.108601, -34854.60823939624 6729780.110188224 40.097801, -34854.21909787017 6729780.0932808705 40.091, -34853.6077437487 6729780.06679822 40.080299, -34853.212562617264 6729780.049841305 40.073399, -34852.6073012515 6729780.02391668 40.062801, -34852.20608966309 6729780.006810317 40.055801, -34851.606710144435 6729779.981525128 40.0453, -34851.19956282794 6729779.964378709 40.038101, -34850.60617618298 6729779.939642402 40.027802, -34850.41212982545 6729779.931538912 40.024399, -34850.1919823013 6729779.92245491 40.0205, -34849.60946640815 6729779.898915683 40.0103, -34849.1841565324 6729779.882120152 40.0028, -34848.61357764492 6729779.860177821 39.992802, -34848.57071998785 6729779.858569065 39.992001, -34848.176345575484 6729779.843801136 39.9851, -34847.617608807166 6729779.823447006 39.9753, -34847.16834651423 6729779.807579986 39.9674, -34846.62154675182 6729779.78882275 39.957802, -34846.16025938734 6729779.773365154 39.949699, -34845.62541077286 6729779.756105387 39.9403, -34845.15218291979 6729779.741266396 39.931999, -34844.629189725034 6729779.725394614 39.922798, -34844.14401223499 6729779.711274108 39.9142, -34843.63297933596 6729779.696799913 39.9053, -34843.13575847901 6729779.683288597 39.8965, -34842.93852999364 6729779.67801595 39.893101, -34842.636694024666 6729779.670112013 39.887798, -34842.11757226125 6729779.657112789 39.8787, -34841.64031549543 6729779.6455306765 39.8703, -34841.09627609735 6729779.632968682 39.860699, -34840.64386603935 6729779.622856506 39.852798, -34840.07589867036 6729779.610923103 39.8428, -34839.64742324641 6729779.602298042 39.8353, -34839.05552690849 6729779.590993142 39.824902, -34838.65099526616 6729779.583755315 39.817799, -34838.034152851906 6729779.573187197 39.8069, -34837.65449635894 6729779.567119755 39.800301, -34837.07143181923 6729779.558335972 39.790001, -34837.03058734012 6729779.557818074 39.789299, -34836.65790023876 6729779.552590389 39.7342, -34836.503386045806 6729779.550524864 39.7113, -34836.04998435173 6729779.544652782 39.644199, -34836.026431152364 6729780.324175709 39.7094, -34836.493098489475 6729780.330356311 39.765999, -34836.647296741605 6729780.332594332 39.785198, -34837.01937341015 6729780.337866832 39.8316, -34837.060207742266 6729780.338484521 39.8353, -34837.64221858233 6729780.347776111 39.845001, -34838.021376668126 6729780.353797909 39.851299, -34838.637165382504 6729780.364873837 39.8615, -34839.04107644525 6729780.372256269 39.868198, -34839.63211369293 6729780.38418752 39.877998, -34840.059877804015 6729780.392848155 39.885101, -34840.62687405688 6729780.405498371 39.894501, -34841.07857779588 6729780.415646579 39.902, -34841.6217378102 6729780.429034504 39.910999, -34842.098173235194 6729780.440742832 39.9189, -34842.616424762644 6729780.454468111 39.927502, -34842.91785106028 6729780.462435244 39.932499, -34843.114863485214 6729780.467889538 39.935799, -34843.61120196071 6729780.482226519 39.944099, -34844.12139821949 6729780.497026967 39.952702, -34844.60579620721 6729780.511982545 39.9608, -34845.12794261414 6729780.528280374 39.969501, -34845.60028808692 6729780.543945023 39.977402, -34846.13439478981 6729780.561640438 39.986301, -34846.5947997733 6729780.577923691 39.9939, -34847.14074360044 6729780.5972068515 40.002998, -34847.58921724267 6729780.614008829 40.010399, -34848.14709907386 6729780.634888979 40.0196, -34848.54080816533 6729780.650301006 40.0261, -34848.58356078877 6729780.652000859 40.026798, -34849.15328473912 6729780.674469207 40.036301, -34849.57786600536 6729780.69150016 40.043301, -34850.1595134082 6729780.714657692 40.052898, -34850.374253207585 6729780.723347129 40.0564, -34850.573244475876 6729780.731399923 40.0597, -34851.16639451415 6729780.75540953 40.0695, -34851.573479539715 6729780.7721473705 40.076199, -34852.172523569665 6729780.796696803 40.086102, -34852.57367702108 6729780.813294249 40.0928, -34853.178714924026 6729780.838392653 40.102798, -34853.573829768575 6729780.85494063 40.109299, -34854.184860545676 6729780.880587917 40.1194, -34854.57393578638 6729780.897086323 40.125801, -34855.19105931767 6729780.923291643 40.136002, -34855.574099947466 6729780.939740942 40.1423, -34856.197104328196 6729780.966585599 40.152599, -34856.57421338267 6729780.982894505 40.158798, -34856.90516570385 6729780.997292501 40.164299, -34857.2032116371 6729781.010288134 40.169201, -34857.50526396267 6729781.023549993 40.174198, -34857.57428208471 6729781.026547572 40.1754, -34858.209273213404 6729781.054490083 40.185902, -34858.57430905069 6729781.070700404 40.191898, -34859.215283905156 6729781.099291681 40.202499, -34859.574384171865 6729781.115361251 40.208401, -34859.718328548595 6729781.1217968 40.2108, -34860.22135389864 6729781.144501593 40.219101, -34860.57431967312 6729781.160512899 40.224899, -34860.72437010368 6729781.16730626 40.227402, -34860.88335054484 6729781.1745146355 40.23, -34861.00832290726 6729781.180219749 40.232101, -34861.227379159885 6729781.190210996 40.235699, -34861.57430432958 6729781.206172646 40.241501, -34861.730367924436 6729781.21331531 40.243999, -34862.23334954039 6729781.2365196925 40.2523, -34862.5743451321 6729781.252341135 40.257999, -34862.73632101191 6729781.25982386 40.2607, -34863.02827246243 6729781.273369216 40.265499, -34863.23928433587 6729781.283228003 40.269001, -34863.574240322225 6729781.2989998795 40.274502, -34863.74222736864 6729781.306831725 40.277302, -34864.24526213505 6729781.330544568 40.285599, -34864.57419780968 6729781.34606721 40.291, -34864.631160009536 6729781.348766344 40.292, -34864.74818687583 6729781.354348052 40.2939, -34864.85117748915 6729781.359248506 40.295601, -34865.17619235371 6729781.374714201 40.300999, -34865.251104467665 6729781.378251603 40.3022, -34865.34215333662 6729781.382662636 40.303699, -34865.57410241605 6729781.393734003 40.307499, -34865.75410364778 6729781.402364058 40.310501, -34866.2569918019 6729781.426567072 40.318802, -34866.57396128948 6729781.441900211 40.3241, -34866.75997169071 6729781.450879202 40.327099, -34867.111926779035 6729781.468006573 40.333, -34867.262841553544 6729781.475281972 40.3354, -34867.40482416097 6729781.482242882 40.3377, -34867.57387331291 6729781.490574882 40.3405, -34867.76579400187 6729781.499893753 40.343498, -34868.26873830345 6729781.5246055 40.351398, -34868.30874640471 6729781.526557578 40.352001, -34868.329694752116 6729781.527670467 40.352299, -34868.44971905579 6729781.533526707 40.354099, -34868.57364787301 6729781.539639839 40.355999, -34868.77167246037 6729781.549417037 40.359001, -34869.27448744292 6729781.5744191 40.366402, -34869.30857611017 6729781.57613118 40.366901, -34869.57346843276 6729781.589313321 40.370602, -34869.777403307264 6729781.599430403 40.373501, -34869.97942314285 6729781.609573527 40.376202, -34870.10535058391 6729781.615869706 40.377998, -34870.217338655726 6729781.621493512 40.379501, -34870.280301876715 6729781.624641559 40.380402, -34870.57325240818 6729781.639386331 40.384201, -34870.7831811537 6729781.650052381 40.387001, -34871.285062619136 6729781.675371822 40.393299, -34871.399047316634 6729781.681178495 40.394699, -34871.549019423546 6729781.6888711555 40.3965, -34871.572981504025 6729781.690058627 40.396800999999996, -34871.78792160656 6729781.70098223 40.399399, -34872.064909701934 6729781.715171492 40.402599, -34872.13989525684 6729781.719017771 40.4035, -34872.290874325205 6729781.726701939 40.4053, -34872.57277489535 6729781.741139691 40.408501, -34872.628708845004 6729781.744046807 40.4091, -34872.79371801624 6729781.752512386 40.4109, -34872.81566517649 6729781.753716753 40.411098, -34872.95761834853 6729781.760977122 40.412601, -34873.135546785896 6729781.770223082 40.414501, -34873.23278829234 6729781.775201299 40.4156, -34873.26025636087 6729781.776609162 40.415901, -34873.35358320747 6729781.781430273 40.416199, -34873.38806225255 6729781.7832788285 40.4161, -34873.49773476436 6729781.788891992 40.415901, -34873.59727353777 6729781.794080614 40.415699, -34873.6978111238 6729781.7993607065 40.415501, -34873.77218824392 6729781.8032519845 40.415401, -34873.798158094985 6729781.80452263 40.415401, -34873.89839603694 6729781.809775285 40.415199, -34873.958844933775 6729781.812894484 40.4151)</t>
  </si>
  <si>
    <t>POLYGON Z ((-34873.96058199019 6729781.806003247 40.415001, -34873.97478672024 6729781.534355675 40.4217, -34873.97596613632 6729781.510492567 40.422298, -34874.00020688027 6729781.044570707 40.433899, -34873.97441998951 6729781.04130244 40.442299, -34873.90287613368 6729781.037267784 40.445702, -34873.80609003804 6729781.031726969 40.450199, -34873.71030175558 6729781.02627754 40.4547, -34873.61311413767 6729781.020699949 40.459, -34873.54574450222 6729781.019464863 40.4678, -34873.38675465353 6729781.015680072 40.489899, -34873.34036255686 6729781.014150481 40.496201, -34873.1759529229 6729781.006847727 40.517799, -34872.99803263508 6729780.997501791 40.526199, -34872.85600602708 6729780.989932539 40.521099, -34872.83395083633 6729780.988818999 40.520302, -34872.668969108956 6729780.980053778 40.514099, -34872.61293627671 6729780.977137606 40.511902, -34872.330971418065 6729780.962291095 40.5005, -34872.17991176341 6729780.954398109 40.494099, -34872.10493435839 6729780.950451852 40.490898, -34871.827976702596 6729780.935963223 40.478901, -34871.61296216503 6729780.924730649 40.469601, -34871.588908352656 6729780.9234340545 40.468498, -34871.43894739123 6729780.9156417 40.462002, -34871.32487096207 6729780.909725904 40.4571, -34870.822853769525 6729780.883689006 40.435398, -34870.6128434391 6729780.872814042 40.4263, -34870.31982861948 6729780.857660508 40.413601, -34870.25677666289 6729780.854403616 40.4109, -34870.14479773876 6729780.848679931 40.405998, -34870.01878971106 6729780.842174932 40.4006, -34869.816788171534 6729780.831832048 40.391998, -34869.61277886201 6729780.821405993 40.383801, -34869.347722370294 6729780.807805941 40.373798, -34869.31373558135 6729780.806103192 40.372501, -34868.81067484373 6729780.780474314 40.355598, -34868.612577819615 6729780.77038832 40.349602, -34868.490565040614 6729780.76424924 40.3461, -34868.3685522615 6729780.758110161 40.3428, -34868.34760491294 6729780.756997365 40.342201, -34868.30759681121 6729780.755045285 40.341202, -34867.8045167838 6729780.729616074 40.3293, -34867.61242177861 6729780.719979082 40.325401, -34867.44348265394 6729780.711556447 40.3223, -34867.30141945975 6729780.704386721 40.319801, -34867.15042110288 6729780.696902225 40.3172, -34866.79830284405 6729780.679357033 40.311001, -34866.61231988657 6729780.6700784005 40.3078, -34866.29518922616 6729780.654327626 40.3022, -34865.792153200484 6729780.629506761 40.2934, -34865.612072381075 6729780.620667981 40.290298, -34865.38005086477 6729780.609287819 40.286201, -34865.28901214269 6729780.604776995 40.284599, -34865.22403200611 6729780.6016456615 40.283501, -34864.88893114112 6729780.585256201 40.277599, -34864.78584979498 6729780.580246716 40.275799, -34864.6718448092 6729780.574639629 40.2738, -34864.61187902477 6729780.571766113 40.2728, -34864.28278932767 6729780.555725772 40.266998, -34863.779608687386 6729780.531395257 40.258202, -34863.611640935414 6729780.523363746 40.255299, -34863.27652992832 6729780.507074076 40.249401, -34863.06543746777 6729780.497006473 40.245701, -34862.773321848246 6729780.483043205 40.240601, -34862.611372413696 6729780.475260743 40.237801, -34862.27020650124 6729780.459121546 40.2318, -34861.767079010955 6729780.435299498 40.223, -34861.61103371193 6729780.427957075 40.220299, -34861.263945371844 6729780.411577604 40.214199, -34861.044817680726 6729780.401277658 40.2104, -34860.919754585135 6729780.395463515 40.208199, -34860.76079343876 6729780.388055469 40.205399, -34860.610657427926 6729780.381052834 40.202801, -34860.25753048074 6729780.364623888 40.196602, -34859.75435825775 6729780.341301337 40.187801, -34859.61033329484 6729780.334656967 40.185299, -34859.251179885585 6729780.318078939 40.179001, -34858.609967425 6729780.288760873 40.167801, -34858.24487329263 6729780.272142338 40.1614, -34857.609554824536 6729780.243364096 40.150299, -34857.5405428533 6729780.240266365 40.149101, -34857.23842823715 6729780.226595928 40.143799, -34856.94030986691 6729780.213291502 40.138599, -34856.60919237754 6729780.198475507 40.132801, -34856.23203018063 6729780.181658135 40.126202, -34855.608689311775 6729780.154077632 40.115299, -34855.22558639175 6729780.137219756 40.108601, -34854.60823939624 6729780.110188224 40.097801, -34854.21909787017 6729780.0932808705 40.091, -34853.6077437487 6729780.06679822 40.080299, -34853.212562617264 6729780.049841305 40.073399, -34852.6073012515 6729780.02391668 40.062801, -34852.20608966309 6729780.006810317 40.055801, -34851.606710144435 6729779.981525128 40.0453, -34851.19956282794 6729779.964378709 40.038101, -34850.60617618298 6729779.939642402 40.027802, -34850.41212982545 6729779.931538912 40.024399, -34850.1919823013 6729779.92245491 40.0205, -34849.60946640815 6729779.898915683 40.0103, -34849.1841565324 6729779.882120152 40.0028, -34848.61357764492 6729779.860177821 39.992802, -34848.57071998785 6729779.858569065 39.992001, -34848.176345575484 6729779.843801136 39.9851, -34847.617608807166 6729779.823447006 39.9753, -34847.16834651423 6729779.807579986 39.9674, -34846.62154675182 6729779.78882275 39.957802, -34846.16025938734 6729779.773365154 39.949699, -34845.62541077286 6729779.756105387 39.9403, -34845.15218291979 6729779.741266396 39.931999, -34844.629189725034 6729779.725394614 39.922798, -34844.14401223499 6729779.711274108 39.9142, -34843.63297933596 6729779.696799913 39.9053, -34843.13575847901 6729779.683288597 39.8965, -34842.93852999364 6729779.67801595 39.893101, -34842.636694024666 6729779.670112013 39.887798, -34842.11757226125 6729779.657112789 39.8787, -34841.64031549543 6729779.6455306765 39.8703, -34841.09627609735 6729779.632968682 39.860699, -34840.64386603935 6729779.622856506 39.852798, -34840.07589867036 6729779.610923103 39.8428, -34839.64742324641 6729779.602298042 39.8353, -34839.05552690849 6729779.590993142 39.824902, -34838.65099526616 6729779.583755315 39.817799, -34838.034152851906 6729779.573187197 39.8069, -34837.65449635894 6729779.567119755 39.800301, -34837.07143181923 6729779.558335972 39.790001, -34837.03058734012 6729779.557818074 39.789299, -34836.65790023876 6729779.552590389 39.7342, -34836.503386045806 6729779.550524864 39.7113, -34836.04998435173 6729779.544652782 39.644199, -34836.026431152364 6729780.324175709 39.7094, -34836.493098489475 6729780.330356311 39.765999, -34836.647296741605 6729780.332594332 39.785198, -34837.01937341015 6729780.337866832 39.8316, -34837.060207742266 6729780.338484521 39.8353, -34837.64221858233 6729780.347776111 39.845001, -34838.021376668126 6729780.353797909 39.851299, -34838.637165382504 6729780.364873837 39.8615, -34839.04107644525 6729780.372256269 39.868198, -34839.63211369293 6729780.38418752 39.877998, -34840.059877804015 6729780.392848155 39.885101, -34840.62687405688 6729780.405498371 39.894501, -34841.07857779588 6729780.415646579 39.902, -34841.6217378102 6729780.429034504 39.910999, -34842.098173235194 6729780.440742832 39.9189, -34842.616424762644 6729780.454468111 39.927502, -34842.91785106028 6729780.462435244 39.932499, -34843.114863485214 6729780.467889538 39.935799, -34843.61120196071 6729780.482226519 39.944099, -34844.12139821949 6729780.497026967 39.952702, -34844.60579620721 6729780.511982545 39.9608, -34845.12794261414 6729780.528280374 39.969501, -34845.60028808692 6729780.543945023 39.977402, -34846.13439478981 6729780.561640438 39.986301, -34846.5947997733 6729780.577923691 39.9939, -34847.14074360044 6729780.5972068515 40.002998, -34847.58921724267 6729780.614008829 40.010399, -34848.14709907386 6729780.634888979 40.0196, -34848.54080816533 6729780.650301006 40.0261, -34848.58356078877 6729780.652000859 40.026798, -34849.15328473912 6729780.674469207 40.036301, -34849.57786600536 6729780.69150016 40.043301, -34850.1595134082 6729780.714657692 40.052898, -34850.374253207585 6729780.723347129 40.0564, -34850.573244475876 6729780.731399923 40.0597, -34851.16639451415 6729780.75540953 40.0695, -34851.573479539715 6729780.7721473705 40.076199, -34852.172523569665 6729780.796696803 40.086102, -34852.57367702108 6729780.813294249 40.0928, -34853.178714924026 6729780.838392653 40.102798, -34853.573829768575 6729780.85494063 40.109299, -34854.184860545676 6729780.880587917 40.1194, -34854.57393578638 6729780.897086323 40.125801, -34855.19105931767 6729780.923291643 40.136002, -34855.574099947466 6729780.939740942 40.1423, -34856.197104328196 6729780.966585599 40.152599, -34856.57421338267 6729780.982894505 40.158798, -34856.90516570385 6729780.997292501 40.164299, -34857.2032116371 6729781.010288134 40.169201, -34857.50526396267 6729781.023549993 40.174198, -34857.57428208471 6729781.026547572 40.1754, -34858.209273213404 6729781.054490083 40.185902, -34858.57430905069 6729781.070700404 40.191898, -34859.215283905156 6729781.099291681 40.202499, -34859.574384171865 6729781.115361251 40.208401, -34859.718328548595 6729781.1217968 40.2108, -34860.22135389864 6729781.144501593 40.219101, -34860.57431967312 6729781.160512899 40.224899, -34860.72437010368 6729781.16730626 40.227402, -34860.88335054484 6729781.1745146355 40.23, -34861.00832290726 6729781.180219749 40.232101, -34861.227379159885 6729781.190210996 40.235699, -34861.57430432958 6729781.206172646 40.241501, -34861.730367924436 6729781.21331531 40.243999, -34862.23334954039 6729781.2365196925 40.2523, -34862.5743451321 6729781.252341135 40.257999, -34862.73632101191 6729781.25982386 40.2607, -34863.02827246243 6729781.273369216 40.265499, -34863.23928433587 6729781.283228003 40.269001, -34863.574240322225 6729781.2989998795 40.274502, -34863.74222736864 6729781.306831725 40.277302, -34864.24526213505 6729781.330544568 40.285599, -34864.57419780968 6729781.34606721 40.291, -34864.631160009536 6729781.348766344 40.292, -34864.74818687583 6729781.354348052 40.2939, -34864.85117748915 6729781.359248506 40.295601, -34865.17619235371 6729781.374714201 40.300999, -34865.251104467665 6729781.378251603 40.3022, -34865.34215333662 6729781.382662636 40.303699, -34865.57410241605 6729781.393734003 40.307499, -34865.75410364778 6729781.402364058 40.310501, -34866.2569918019 6729781.426567072 40.318802, -34866.57396128948 6729781.441900211 40.3241, -34866.75997169071 6729781.450879202 40.327099, -34867.111926779035 6729781.468006573 40.333, -34867.262841553544 6729781.475281972 40.3354, -34867.40482416097 6729781.482242882 40.3377, -34867.57387331291 6729781.490574882 40.3405, -34867.76579400187 6729781.499893753 40.343498, -34868.26873830345 6729781.5246055 40.351398, -34868.30874640471 6729781.526557578 40.352001, -34868.329694752116 6729781.527670467 40.352299, -34868.44971905579 6729781.533526707 40.354099, -34868.57364787301 6729781.539639839 40.355999, -34868.77167246037 6729781.549417037 40.359001, -34869.27448744292 6729781.5744191 40.366402, -34869.30857611017 6729781.57613118 40.366901, -34869.57346843276 6729781.589313321 40.370602, -34869.777403307264 6729781.599430403 40.373501, -34869.97942314285 6729781.609573527 40.376202, -34870.10535058391 6729781.615869706 40.377998, -34870.217338655726 6729781.621493512 40.379501, -34870.280301876715 6729781.624641559 40.380402, -34870.57325240818 6729781.639386331 40.384201, -34870.7831811537 6729781.650052381 40.387001, -34871.285062619136 6729781.675371822 40.393299, -34871.399047316634 6729781.681178495 40.394699, -34871.549019423546 6729781.6888711555 40.3965, -34871.572981504025 6729781.690058627 40.396800999999996, -34871.78792160656 6729781.70098223 40.399399, -34872.064909701934 6729781.715171492 40.402599, -34872.13989525684 6729781.719017771 40.4035, -34872.290874325205 6729781.726701939 40.4053, -34872.57277489535 6729781.741139691 40.408501, -34872.628708845004 6729781.744046807 40.4091, -34872.79371801624 6729781.752512386 40.4109, -34872.81566517649 6729781.753716753 40.411098, -34872.95761834853 6729781.760977122 40.412601, -34873.135546785896 6729781.770223082 40.414501, -34873.23278829234 6729781.775201299 40.4156, -34873.26025636087 6729781.776609162 40.415901, -34873.35358320747 6729781.781430273 40.416199, -34873.38806225255 6729781.7832788285 40.4161, -34873.49773476436 6729781.788891992 40.415901, -34873.59727353777 6729781.794080614 40.415699, -34873.6978111238 6729781.7993607065 40.415501, -34873.77218824392 6729781.8032519845 40.415401, -34873.798158094985 6729781.80452263 40.415401, -34873.89839603694 6729781.809775285 40.415199, -34873.958844933775 6729781.812894484 40.4151, -34873.96058199019 6729781.806003247 40.415001))</t>
  </si>
  <si>
    <t>['FV540 S1D104 m166-169']</t>
  </si>
  <si>
    <t>LINESTRING Z (-34867.638880447485 6729764.587918918 40.153198, -34867.72819743934 6729763.646825587 40.200298, -34865.38680808176 6729762.666713346 40.024399, -34865.106767060584 6729762.54950708 40, -34863.79775039677 6729762.001563916 39.8354, -34862.88284019998 6729761.618628809 39.758598, -34861.469934614724 6729761.027229289 39.5, -34859.46648926148 6729760.188653491 39.210499, -34858.41700911836 6729759.944381178 39.053902, -34858.109623239725 6729759.872819172 39.009899, -34858.050451922114 6729759.859039052 39, -34857.96741152264 6729759.83974604 38.986198, -34857.90222572361 6729759.824608304 38.9757, -34857.840595600544 6729759.810204141 38.9664, -34857.78211739112 6729759.796587216 38.958302, -34852.66960465757 6729758.606886791 38.032902, -34852.56822366512 6729758.583301338 38.019199, -34852.40915445867 6729758.546271029 38, -34851.500496534165 6729758.334836837 37.875, -34849.06584477308 6729757.768194654 37.5, -34848.385973004275 6729757.610041501 37.450802, -34846.42083171278 6729757.152678387 37.264702, -34845.5793338028 6729756.956853846 37.197201, -34842.67886005144 6729756.148233786 36.960098, -34842.583104916266 6729756.121528657 36.9575, -34842.39434384031 6729756.0688929185 36.945301, -34842.3067423451 6729756.044448377 36.947899, -34841.521148758824 6729755.825451083 36.922001, -34840.723469512304 6729755.603126022 36.899101, -34840.58509743493 6729755.564464166 36.893501, -34840.53984918364 6729756.170680094 36.8937, -34840.847097301856 6729756.528575601 36.906898, -34841.750260180444 6729757.580816332 36.943199, -34843.92565653636 6729761.558735193 37.3969, -34844.70841675287 6729761.9934155755 37.419601, -34845.512795591145 6729762.388888967 37.452301, -34846.33581784926 6729762.743560431 37.494999, -34847.17563315714 6729763.056760925 37.547699, -34848.03000673803 6729763.327586774 37.6105, -34848.89688110899 6729763.555342933 37.683399, -34849.77400340466 6729763.739422182 37.7663, -34850.65928446001 6729763.879519378 37.859402, -34851.468295427505 6729763.968224076 37.952702, -34851.56022213912 6729763.976235627 37.962601, -34852.559472692665 6729764.06292236 38.076, -34853.55872325355 6729764.149609097 38.1996, -34854.55797373119 6729764.236296834 38.333401, -34855.55722430837 6729764.322983576 38.4776, -34856.55647489277 6729764.40967032 38.632099, -34857.548634922365 6729764.495707648 38.7957, -34858.55487793626 6729764.583026762 38.9669, -34859.5541285451 6729764.669713508 39.136902, -34860.5533790699 6729764.756401259 39.3069, -34861.552638751105 6729764.842989129 39.476898, -34862.36202178907 6729764.913292304 39.614601, -34862.551887386246 6729764.929675697 39.6465, -34863.55113802641 6729765.016362456 39.7985, -34864.050763761275 6729765.0597013375 39.864899, -34864.55038940639 6729765.103041224 39.938202, -34865.54964006273 6729765.189727983 40.0658, -34866.54879184498 6729765.2764056865 40.167999, -34867.04841676855 6729765.319753561 40.142899, -34867.17931625841 6729765.331135169 40.136299, -34867.32221054484 6729765.34351565 40.129101, -34867.361182312714 6729765.3468856085 40.127201, -34867.53205138398 6729765.361728558 40.118599, -34867.56512110669 6729765.364657662 40.116901, -34867.58979697875 6729765.105145939 40.131802)</t>
  </si>
  <si>
    <t>POLYGON Z ((-34867.638880447485 6729764.587918918 40.153198, -34867.72819743934 6729763.646825587 40.200298, -34865.38680808176 6729762.666713346 40.024399, -34865.106767060584 6729762.54950708 40, -34863.79775039677 6729762.001563916 39.8354, -34862.88284019998 6729761.618628809 39.758598, -34861.469934614724 6729761.027229289 39.5, -34859.46648926148 6729760.188653491 39.210499, -34858.41700911836 6729759.944381178 39.053902, -34858.109623239725 6729759.872819172 39.009899, -34858.050451922114 6729759.859039052 39, -34857.96741152264 6729759.83974604 38.986198, -34857.90222572361 6729759.824608304 38.9757, -34857.840595600544 6729759.810204141 38.9664, -34857.78211739112 6729759.796587216 38.958302, -34852.66960465757 6729758.606886791 38.032902, -34852.56822366512 6729758.583301338 38.019199, -34852.40915445867 6729758.546271029 38, -34851.500496534165 6729758.334836837 37.875, -34849.06584477308 6729757.768194654 37.5, -34848.385973004275 6729757.610041501 37.450802, -34846.42083171278 6729757.152678387 37.264702, -34845.5793338028 6729756.956853846 37.197201, -34842.67886005144 6729756.148233786 36.960098, -34842.583104916266 6729756.121528657 36.9575, -34842.39434384031 6729756.0688929185 36.945301, -34842.3067423451 6729756.044448377 36.947899, -34841.521148758824 6729755.825451083 36.922001, -34840.723469512304 6729755.603126022 36.899101, -34840.58509743493 6729755.564464166 36.893501, -34840.53984918364 6729756.170680094 36.8937, -34840.847097301856 6729756.528575601 36.906898, -34841.750260180444 6729757.580816332 36.943199, -34843.92565653636 6729761.558735193 37.3969, -34844.70841675287 6729761.9934155755 37.419601, -34845.512795591145 6729762.388888967 37.452301, -34846.33581784926 6729762.743560431 37.494999, -34847.17563315714 6729763.056760925 37.547699, -34848.03000673803 6729763.327586774 37.6105, -34848.89688110899 6729763.555342933 37.683399, -34849.77400340466 6729763.739422182 37.7663, -34850.65928446001 6729763.879519378 37.859402, -34851.468295427505 6729763.968224076 37.952702, -34851.56022213912 6729763.976235627 37.962601, -34852.559472692665 6729764.06292236 38.076, -34853.55872325355 6729764.149609097 38.1996, -34854.55797373119 6729764.236296834 38.333401, -34855.55722430837 6729764.322983576 38.4776, -34856.55647489277 6729764.40967032 38.632099, -34857.548634922365 6729764.495707648 38.7957, -34858.55487793626 6729764.583026762 38.9669, -34859.5541285451 6729764.669713508 39.136902, -34860.5533790699 6729764.756401259 39.3069, -34861.552638751105 6729764.842989129 39.476898, -34862.36202178907 6729764.913292304 39.614601, -34862.551887386246 6729764.929675697 39.6465, -34863.55113802641 6729765.016362456 39.7985, -34864.050763761275 6729765.0597013375 39.864899, -34864.55038940639 6729765.103041224 39.938202, -34865.54964006273 6729765.189727983 40.0658, -34866.54879184498 6729765.2764056865 40.167999, -34867.04841676855 6729765.319753561 40.142899, -34867.17931625841 6729765.331135169 40.136299, -34867.32221054484 6729765.34351565 40.129101, -34867.361182312714 6729765.3468856085 40.127201, -34867.53205138398 6729765.361728558 40.118599, -34867.56512110669 6729765.364657662 40.116901, -34867.58979697875 6729765.105145939 40.131802, -34867.638880447485 6729764.587918918 40.153198))</t>
  </si>
  <si>
    <t>['EV39 S88D1 m583-707', 'EV39 S88D1 m707-1028']</t>
  </si>
  <si>
    <t>LINESTRING Z (-34988.34169968986 6648870.261447217 57.18, -34987.02859920706 6648869.195321078 56.9, -34987.36462256289 6648867.050391517 56.77, -34987.49633228278 6648864.161725049 55.730000000000004, -34990.5738833684 6648864.320680052 56.160000000000004, -34996.983232731 6648866.383962709 57.1, -34996.6580715219 6648871.400306946 57.08, -34996.342899203766 6648876.417559369 57.050000000000004, -34996.20302468131 6648878.620609905 57.03, -34995.97595112282 6648882.55813165 56.99, -34995.7697638541 6648886.487480728 56.94, -34995.62080417038 6648889.011998759 56.9, -34995.49182262691 6648891.538333227 56.870000000000005, -34995.43822915584 6648892.7924195845 56.85, -34995.40098920697 6648893.423549089 56.84, -34995.373738351394 6648894.055586813 56.83, -34995.264734895085 6648896.583737715 56.800000000000004, -34995.17570957809 6648899.113705059 56.76, -34995.09667330433 6648901.644580623 56.730000000000004, -34995.03761516942 6648904.17727263 56.69, -34995.030342449434 6648904.811126799 56.68, -34995.01308063022 6648905.444072742 56.68, -34994.988546077395 6648906.710872856 56.67, -34994.97852508968 6648909.258095079 56.65, -34994.98395778483 6648910.527619865 56.64, -34994.98667412705 6648911.16238226 56.63, -34994.98939046648 6648911.797144651 56.620000000000005, -34995.01024488476 6648914.337102451 56.59, -34995.0519856679 6648916.868887604 56.56, -34995.150025270996 6648919.667655059 56.53, -34995.27803209622 6648922.469147194 56.5, -34995.49322304677 6648924.754839263 56.46, -34995.60127261933 6648925.892690755 56.44, -34995.660291949636 6648926.46207061 56.43, -34995.71931127715 6648927.031450471 56.42, -34995.93177464628 6648929.568686401 56.38, -34996.16421615321 6648932.107738791 56.35, -34996.42662489379 6648934.649515872 56.31, -34996.709920000285 6648937.183120318 56.28, -34996.907859996776 6648939.215452124 56.25, -34997.11669728311 6648941.2387030665 56.22, -34997.218394773314 6648942.003325123 56.21, -34997.32009225828 6648942.767947181 56.2, -34997.514406347414 6648944.286293979 56.19, -34997.708720416995 6648945.80464078 56.17, -34997.91302356392 6648947.323895812 56.160000000000004, -34998.13911849167 6648949.04656568 56.13, -34998.37520249118 6648950.77014378 56.11, -34998.498693144065 6648951.627392399 56.1, -34998.56043846812 6648952.056016709 56.1, -34998.62127556186 6648952.494630116 56.09, -34998.888235028135 6648954.21094382 56.08, -34999.1833495897 6648955.617595568 56.07, -34999.57290141645 6648957.425629037 56.050000000000004, -35000.08957816509 6648959.940166486 56.02, -35000.62804951414 6648962.436542227 55.99, -35001.206477195374 6648964.936550905 55.96, -35001.80579124775 6648967.428386976 55.93, -35002.44687809562 6648969.903877795 55.9, -35003.11793218157 6648972.382093331 55.88, -35003.82076996879 6648974.843055396 55.84, -35004.55448322685 6648977.296753085 55.82, -35005.25732091919 6648979.757715207 55.79, -35005.99012585112 6648982.221402047 55.76, -35006.75471448805 6648984.667835416 55.730000000000004, -35007.55108683056 6648987.097015323 55.7, -35008.36652908719 6648989.53800082 55.67, -35008.79059619119 6648990.744872285 55.65, -35009.20376595552 6648991.96082462 55.63, -35010.08277562971 6648994.367303191 55.6, -35010.99266078137 6648996.766517399 55.58, -35011.56746955437 6648998.198599897 55.56, -35012.16316473787 6648999.622509778 55.550000000000004, -35012.869645252475 6649001.267997729 55.53, -35013.59610394004 6649002.915302167 55.51, -35014.33345993876 6649004.55352576 55.480000000000004, -35015.08080501505 6649006.192657604 55.46, -35016.1786678012 6649008.518318338 55.410000000000004, -35016.73895062867 6649009.6670733085 55.39, -35017.01863792143 6649010.246445347 55.38, -35017.30831430864 6649010.826725624 55.370000000000005, -35018.45975544234 6649013.116971224 55.34, -35019.642980300705 6649015.389963376 55.300000000000004, -35020.87796707847 6649017.647518555 55.25, -35022.14473758498 6649019.887820287 55.21, -35022.78947427601 6649020.993895762 55.18, -35023.433302724734 6649022.109960346 55.18, -35024.753651596606 6649024.314846962 55.160000000000004, -35025.85242832592 6649026.187365724 55.14, -35026.982080561225 6649028.052620127 55.13, -35028.13352744281 6649029.899712844 55.11, -35029.29496340256 6649031.747713831 55.09, -35030.14311190019 6649033.05357438 55.07, -35031.15653235535 6649034.535608765 55.050000000000004, -35032.1817583699 6649035.998573214 55.02, -35033.15522392071 6649037.366186388 55, -35034.12959769997 6649038.723810486 54.97, -35035.12485790241 6649040.073261985 54.94, -35036.131015431485 6649041.4136326425 54.910000000000004, -35037.68838072487 6649043.44870805 54.86, -35038.28408455895 6649044.207888561 54.84, -35038.58193647512 6649044.587478821 54.83, -35038.869799292996 6649044.966160844 54.83, -35040.07119604817 6649046.485430138 54.800000000000004, -35041.28439836786 6649047.985629505 54.78, -35042.50849801535 6649049.476748042 54.75, -35044.20662037586 6649051.403761576 54.72, -35045.92653739976 6649053.312613445 54.68, -35047.66915732727 6649055.19331455 54.64, -35048.11048803595 6649055.656452128 54.63, -35048.34114248876 6649055.888929159 54.620000000000005, -35048.56089960411 6649056.130487051 54.620000000000005, -35049.44356101996 6649057.056762227 54.61, -35051.19707827119 6649058.92838258 54.59, -35052.98328752932 6649060.772760406 54.56, -35054.78130235954 6649062.598068329 54.53, -35056.61110096157 6649064.406122826 54.5, -35058.4636024778 6649066.186026562 54.46, -35060.32881781168 6649067.936871288 54.42, -35062.22672516375 6649069.660473489 54.370000000000005, -35064.14642719657 6649071.365914031 54.33, -35065.117175554275 6649072.209553459 54.300000000000004, -35066.077934813104 6649073.0522846645 54.29, -35068.031237114454 6649074.720493632 54.26, -35070.00815058232 6649076.35056274 54.230000000000004, -35071.99686963961 6649077.961561934 54.19, -35073.9837722237 6649079.592539387 54.15, -35074.989029100514 6649080.388958175 54.120000000000005, -35075.994285979774 6649081.185376973 54.11, -35078.01660532795 6649082.7591446545 54.08, -35080.06162761187 6649084.304761566 54.04, -35082.140250175726 6649085.813146855 54.01, -35084.24066743837 6649087.303370478 53.97, -35085.29314667941 6649088.023509554 53.95, -35086.35470678436 6649088.754545988 53.94, -35088.48055173189 6649090.186651587 53.93, -35090.66542462376 6649091.523407435 53.9, -35092.873000467196 6649092.832012509 53.88, -35095.09238192043 6649094.12154767 53.85, -35097.33537457115 6649095.372942959 53.82, -35099.53568611236 6649096.65067263 53.79, -35101.7487115073 6649097.899343288 53.76, -35103.984439860564 6649099.1198631665 53.730000000000004, -35106.22289296903 6649100.310415785 53.7, -35106.29917281889 6649100.357638141 53.7, -35108.03908219666 6649101.27121281 53.67, -35109.78080807743 6649102.164809299 53.65, -35111.5343395645 6649103.03933585 53.63, -35113.289687555865 6649103.893884224 53.61, -35115.51815482264 6649104.861952025 53.57, -35116.67960925517 6649105.380494466 53.550000000000004, -35117.2698714562 6649105.645668487 53.54, -35117.5595538842 6649105.782795926 53.54, -35117.85014455591 6649105.909934266 53.54, -35120.203929017414 6649106.939754829 53.52, -35122.56134648842 6649107.929619016 53.5, -35124.94055869104 6649108.901321524 53.480000000000004, -35127.33430125413 6649109.823986795 53.45, -35128.532989037805 6649110.265341235 53.44, -35129.13687336352 6649110.491467135 53.43, -35129.74075769179 6649110.717593036 53.43, -35130.34555026633 6649110.933729836 53.43, -35130.63795745012 6649111.040889992 53.43, -35130.940353739075 6649111.148958392 53.43, -35132.14993890084 6649111.581232001 53.42, -35134.582731336704 6649112.406731068 53.39, -35136.81846644613 6649113.184097974 53.36, -35139.06782367267 6649113.922416731 53.34, -35141.71765339526 6649114.6870761905 53.300000000000004, -35142.38601363124 6649114.868706076 53.300000000000004, -35143.05437387002 6649115.050335969 53.29, -35144.381105252774 6649115.412687507 53.28, -35146.86112186464 6649116.051118472 53.26, -35149.354760607355 6649116.650501283 53.230000000000004, -35151.85021588672 6649117.229905912 53.2, -35154.35929329938 6649117.770262383 53.17, -35156.83931009809 6649118.408693459 53.15, -35159.33204078465 6649119.018065487 53.13, -35160.575228082365 6649119.302319174 53.120000000000005, -35161.828404498636 6649119.587481114 53.1, -35164.3374821028 6649120.127837689 53.07, -35166.92737926962 6649120.776259576 53.050000000000004, -35174.370160022285 6649122.329220682 52.910000000000004, -35175.64149988862 6649122.5253889635 52.89, -35176.27807807189 6649122.613483998 52.870000000000005, -35176.91374801297 6649122.711568143 52.870000000000005, -35179.44916343759 6649123.073029164 52.83, -35181.98821189627 6649123.394533765 52.77, -35184.52816865279 6649123.706049272 52.71, -35187.76554979081 6649123.879543323 52.63, -35189.50093163911 6649123.956756963 52.58, -35190.37361712754 6649123.995817905 52.56, -35191.24630262214 6649124.03487885 52.53, -35194.73068853631 6649124.150257953 52.43, -35197.26338437316 6649124.209321039 52.35, -35199.80788586475 6649124.2493141545 52.27, -35202.3433065454 6649124.278409922 52.19, -35204.89053288184 6649124.288435713 52.11, -35207.421414034325 6649124.256688575 52.04, -35209.95229523978 6649124.224941442 51.96, -35212.475003879634 6649124.172307839 51.88, -35215.00860992924 6649124.110593369 51.800000000000004, -35216.269056049176 6649124.094265681 51.77, -35216.89383043547 6649124.090642268 51.75, -35217.529502182384 6649124.07793799 51.730000000000004, -35218.15427657508 6649124.07431458 51.72, -35218.789948328515 6649124.061610304 51.7, -35220.05039448815 6649124.045282616 51.660000000000004, -35225.08491488395 6649123.949096281 51.52, -35228.726406024536 6649123.887397776 51.410000000000004, -35232.37697814172 6649123.8365966305 51.32, -35233.33411807299 6649123.832978011 51.29, -35235.12762035581 6649123.824830923 51.24, -35238.35229218553 6649123.805807232 51.160000000000004, -35241.75767639093 6649123.793142865 51.07, -35245.15307157813 6649123.779570257 50.99, -35249.953300565016 6649123.8232283555 50.870000000000005, -35252.35886381066 6649123.840516973 50.81, -35254.76261061069 6649123.877783827 50.75, -35255.15491081984 6649123.883238099 50.74, -35256.27006027347 6649123.91412966 50.72, -35260.68707034143 6649123.963230882 50.64, -35265.10044758406 6649124.052288576 50.56, -35267.58773895074 6649124.167653482 50.51, -35268.83093052986 6649124.230330495 50.49, -35269.45298044756 6649124.256674446 50.480000000000004, -35269.76355128409 6649124.274840978 50.47, -35269.914296268485 6649124.278475562 50.47, -35270.074122121674 6649124.293007512 50.43, -35270.22486710618 6649124.296642095 50.4, -35270.38560120668 6649124.301184927 50.39, -35270.696172045544 6649124.319351464 50.38, -35271.30732461007 6649124.354776283 50.370000000000005, -35272.55051622726 6649124.417453301 50.34, -35275.03417475871 6649124.572774694 50.27, -35276.76683311595 6649124.679955815 50.230000000000004, -35276.35261789535 6649133.001802828 50.26, -35274.638121295255 6649132.9164163135 50.300000000000004, -35272.190786265186 6649132.804684207 50.36, -35270.96666464512 6649132.753812711 50.4, -35270.34370647662 6649132.737457831 50.410000000000004, -35270.03313564055 6649132.719291281 50.42, -35269.88239065721 6649132.715656686 50.42, -35269.75253215269 6649132.70384947 50.45, -35269.61177628569 6649132.701123118 50.49, -35269.46103130269 6649132.697488524 50.5, -35269.149552221876 6649132.689311083 50.5, -35268.52750230988 6649132.662967094 50.52, -35267.30247247894 6649132.622084721 50.54, -35264.87239108526 6649132.5421364745 50.58, -35260.52076505823 6649132.438549721 50.67, -35256.185484427726 6649132.376735941 50.75, -35255.11846405931 6649132.370363763 50.77, -35254.74523383379 6649132.376715076 50.78, -35252.3687296469 6649132.372140138 50.83, -35249.99131725973 6649132.377554317 50.89, -35245.19562792347 6649132.39473881 51, -35241.79024363356 6649132.407402931 51.08, -35238.37396207964 6649132.42914792 51.17, -35235.16018761997 6649132.439090516 51.25, -35233.35669623001 6649132.446329226 51.300000000000004, -35232.38956718973 6649132.449039531 51.32, -35228.73354720487 6649132.448986608 51.42, -35225.067538218456 6649132.448025443 51.52, -35219.99306299258 6649132.429789958 51.660000000000004, -35218.71536335477 6649132.414333729 51.7, -35218.08059984946 6649132.417048853 51.71, -35217.456733706174 6649132.41068311 51.730000000000004, -35216.822878454695 6649132.403409119 51.74, -35216.19901231746 6649132.397043379 51.76, -35214.94129094214 6649132.383403646 51.800000000000004, -35214.9113236086 6649132.380678907 51.800000000000004, -35212.345935342135 6649132.348858214 51.870000000000005, -35209.79144448822 6649132.30795666 51.95, -35207.21879196004 6649132.245260397 52.02, -35204.657036843244 6649132.1734832795 52.09, -35202.07621180685 6649132.089900561 52.160000000000004, -35199.4863059622 6649131.99542049 52.230000000000004, -35196.89912491175 6649131.870973104 52.31, -35194.30286305363 6649131.735628364 52.38, -35190.74673851393 6649131.52308109 52.47, -35189.8359130848 6649131.460408888 52.5, -35188.97594145371 6649131.392288811 52.52, -35187.204236172605 6649131.271485645 52.56, -35187.15429062769 6649131.266944416 52.56, -35183.88603555574 6649130.989926092 52.63, -35181.26888911077 6649130.751965579 52.68, -35178.645386598306 6649130.473140399 52.74, -35176.022792387055 6649130.184326128 52.78, -35175.346257780795 6649130.092598069 52.79, -35174.708771363716 6649130.014492105 52.800000000000004, -35173.34389656922 6649129.850105962 52.82, -35165.67136014614 6649128.719408462 52.980000000000004, -35162.88531070738 6649128.234441923 53.01, -35160.26090352959 6649127.744029127 53.050000000000004, -35158.954148637014 6649127.494282306 53.07, -35157.64830200351 6649127.234546384 53.08, -35155.03025265201 6649126.674209894 53.11, -35152.433998056455 6649126.095711706 53.14, -35149.84137649427 6649125.47725712 53.17, -35147.25147971907 6649124.828835249 53.19, -35144.67520508077 6649124.141365231 53.21, -35142.10074698238 6649123.433917035 53.230000000000004, -35140.72770310752 6649123.027067767 53.24, -35140.060251140385 6649122.835448734 53.24, -35139.343761896365 6649122.629299372 53.25, -35136.600398950395 6649121.785633576 53.28, -35134.24206991773 6649121.027334891 53.31, -35131.9055356232 6649120.250874522 53.33, -35129.387382586836 6649119.367255596 53.36, -35128.12876020756 6649118.920451594 53.38, -35127.83635303774 6649118.813291421 53.38, -35127.53486500878 6649118.695233902 53.38, -35126.88103518763 6649118.464566744 53.38, -35126.22902185877 6649118.21392138 53.38, -35125.634218423045 6649117.9986928 53.38, -35124.37832080957 6649117.521921516 53.4, -35121.89830941474 6649116.551125507 53.42, -35119.42102279316 6649115.55036223 53.45, -35116.96643915097 6649114.5214481745 53.47, -35114.515488523524 6649113.452577749 53.480000000000004, -35114.17676884064 6649113.3009199705 53.480000000000004, -35113.88617818628 6649113.173781618 53.49, -35113.30590512289 6649112.909515815 53.5, -35112.08633262827 6649112.365545648 53.51, -35109.834255888476 6649111.324829292 53.550000000000004, -35109.79611596465 6649111.301218113 53.550000000000004, -35107.961763503496 6649110.429414609 53.57, -35106.13013579277 6649109.527643826 53.59, -35104.309405447566 6649108.616792215 53.620000000000005, -35102.50956156943 6649107.697768014 53.64, -35102.42329262255 6649107.649637416 53.64, -35102.394233559375 6649107.636923581 53.64, -35100.077684269054 6649106.419126722 53.67, -35097.75568712223 6649105.150476159 53.71, -35095.445495591615 6649103.862755682 53.74, -35093.14801791881 6649102.545976198 53.77, -35090.855081486516 6649101.179251257 53.79, -35088.573950665654 6649099.793456407 53.82, -35086.31552279857 6649098.379510794 53.84, -35084.069808781845 6649096.936506177 53.86, -35081.84679771459 6649095.4653507965 53.870000000000005, -35080.74709777348 6649094.7107031625 53.88, -35079.646489594714 6649093.966044649 53.9, -35077.458895319025 6649092.437679499 53.94, -35075.294003986055 6649090.881163589 53.980000000000004, -35073.1418264932 6649089.295588681 54.02, -35071.011443697964 6649087.691852107 54.050000000000004, -35069.95805788727 6649086.870913883 54.07, -35068.90467207995 6649086.049975675 54.09, -35066.81969515432 6649084.389937586 54.14, -35064.757421160815 6649082.701748734 54.17, -35062.70695275639 6649080.994489986 54.2, -35060.6900846191 6649079.249999618 54.230000000000004, -35059.68210467277 6649078.372759907 54.24, -35058.68502206728 6649077.486439354 54.27, -35056.701754197245 6649075.70471743 54.31, -35054.75208658725 6649073.885763888 54.35, -35052.81422455632 6649072.047740451 54.39, -35050.89815720194 6649070.191555349 54.43, -35049.01478185924 6649068.308127739 54.47, -35047.154109428055 6649066.396549365 54.5, -35045.315231666435 6649064.466809334 54.53, -35043.49905681191 6649062.508918542 54.54, -35042.6018667185 6649061.520892311 54.550000000000004, -35042.391190483 6649061.290231764 54.550000000000004, -35042.171433388954 6649061.048673876 54.56, -35041.70467662299 6649060.532866094 54.57, -35039.94208019518 6649058.539560223 54.6, -35038.20218666771 6649056.518103596 54.64, -35036.48408779979 6649054.478485304 54.67, -35035.21549221524 6649052.922891022 54.69, -35033.95688571944 6649051.368205013 54.72, -35032.71008478792 6649049.794449076 54.74, -35032.39497942093 6649049.38307506 54.75, -35032.0971275348 6649049.003484809 54.76, -35031.511412857566 6649048.245212553 54.78, -35031.48507851653 6649048.202531454 54.78, -35029.88321732078 6649046.102980324 54.82, -35028.84346116753 6649044.6890530735 54.85, -35027.82277496182 6649043.286931416 54.88, -35026.802996983984 6649041.874820689 54.910000000000004, -35025.795024568215 6649040.443640025 54.93, -35025.77777108527 6649040.411856261 54.93, -35024.74437255331 6649038.928005429 54.96, -35023.70552609686 6649037.3933009 54.980000000000004, -35022.80107605585 6649036.042034591 55, -35022.78473080904 6649036.000261729 55, -35021.56336039491 6649034.146811389 55.02, -35020.34653114388 6649032.243415604 55.04, -35019.15149653773 6649030.321858135 55.06, -35017.96735924238 6649028.391219843 55.08, -35016.614320015535 6649026.1027876 55.1, -35015.94415729167 6649024.94404197 55.1, -35015.27399455977 6649023.785296356 55.13, -35013.974533690955 6649021.461449005 55.17, -35012.69686745037 6649019.119439985 55.21, -35011.450984933064 6649016.760177518 55.26, -35010.236886135885 6649014.383661616 55.29, -35009.920875432435 6649013.760700281 55.300000000000004, -35009.640279936604 6649013.191317367 55.31, -35009.04367372778 6649011.998973129 55.34, -35007.892234132974 6649009.597939434 55.38, -35007.09948483552 6649007.904321021 55.410000000000004, -35006.3276219432 6649006.202530001 55.43, -35005.55575903109 6649004.500739003 55.45, -35004.814771618694 6649002.791683625 55.47, -35004.18366129033 6649001.314195407 55.49, -35003.56344827509 6648999.827626345 55.51, -35002.55821344524 6648997.369384459 55.54, -35001.585670556175 6648994.883900026 55.57, -35001.11438273743 6648993.642520172 55.59, -35000.644003140274 6648992.391151233 55.61, -34999.73411942844 6648989.881148984 55.65, -34998.85511118721 6648987.363882371 55.68, -34998.00697841565 6648984.839351391 55.72, -34997.1906293442 6648982.297566952 55.75, -34996.40515573986 6648979.74851814 55.78, -34995.65055760124 6648977.192204962 55.81, -34994.937732254155 6648974.619546547 55.84, -34994.245793275535 6648972.0387155255 55.870000000000005, -34993.59381062398 6648969.461517455 55.89, -34992.96362257062 6648966.866157677 55.92, -34992.374299073126 6648964.264441753 55.95, -34991.81585103588 6648961.655461446 55.980000000000004, -34991.287370228325 6648959.04920585 56.01, -34990.92687893228 6648957.1430980135 56.03, -34990.65991665947 6648955.648360965 56.04, -34990.350277586374 6648953.84759347 56.050000000000004, -34990.28126786428 6648953.388093673 56.050000000000004, -34990.20953345299 6648952.958561161 56.06, -34990.06969754188 6648952.059539762 56.07, -34989.798198336735 6648950.282383392 56.09, -34989.5375964297 6648948.496146157 56.120000000000005, -34989.32875358488 6648946.916048428 56.13, -34989.12535867037 6648945.38680441 56.15, -34989.06361332559 6648944.958180135 56.15, -34989.06906269735 6648944.898245564 56.15, -34988.930137794 6648943.767658541 56.17, -34988.8384294142 6648943.003944761 56.17, -34988.740364848636 6648942.199366378 56.18, -34988.5097343548 6648940.083489036 56.21, -34988.3045299683 6648938.020281861 56.24, -34988.29908201366 6648937.969428159 56.24, -34988.06210090872 6648935.369533132 56.27, -34987.84782262065 6648932.741487281 56.31, -34987.66260333243 6648930.126155217 56.34, -34987.50553481793 6648927.5335260285 56.370000000000005, -34987.49917863181 6648927.492661421 56.370000000000005, -34987.46286217973 6648926.89513077 56.38, -34987.433810138726 6648926.328475629 56.39, -34987.36934986105 6648925.154300746 56.410000000000004, -34987.26585542271 6648922.858621135 56.44, -34987.26948833 6648922.818664755 56.44, -34987.159644645755 6648919.928179176 56.480000000000004, -34987.07704349805 6648917.070385564 56.51, -34987.02168210596 6648914.466860457 56.54, -34986.98629884748 6648911.865151807 56.57, -34986.97631808906 6648911.199513943 56.58, -34986.973601744976 6648910.56475159 56.59, -34986.96998549765 6648909.275248697 56.6, -34986.963661187445 6648906.686253813 56.620000000000005, -34986.98093131452 6648905.388578273 56.63, -34986.97821493982 6648904.753815918 56.64, -34986.98730410705 6648904.099983603 56.65, -34987.02093606698 6648901.514621612 56.69, -34987.06364884204 6648898.9401569385 56.730000000000004, -34987.12633975281 6648896.3675087085 56.76, -34987.199019704596 6648893.795768696 56.800000000000004, -34987.217189684045 6648893.152833692 56.800000000000004, -34987.24444053101 6648892.520796008 56.81, -34987.28078047291 6648891.234925998 56.84, -34987.38251937786 6648888.675899742 56.88, -34987.48425822926 6648886.1168734785 56.910000000000004, -34987.674100160715 6648882.145751839 56.97, -34987.8839201536 6648878.176446624 57.01, -34988.00654112804 6648875.941612508 57.03, -34988.29991874995 6648870.942522175 57.07, -34988.301735195215 6648870.922543983 57.07, -34988.34169968986 6648870.261447217 57.18)</t>
  </si>
  <si>
    <t>POLYGON Z ((-34988.34169968986 6648870.261447217 57.18, -34987.02859920706 6648869.195321078 56.9, -34987.36462256289 6648867.050391517 56.77, -34987.49633228278 6648864.161725049 55.730000000000004, -34990.5738833684 6648864.320680052 56.160000000000004, -34996.983232731 6648866.383962709 57.1, -34996.6580715219 6648871.400306946 57.08, -34996.342899203766 6648876.417559369 57.050000000000004, -34996.20302468131 6648878.620609905 57.03, -34995.97595112282 6648882.55813165 56.99, -34995.7697638541 6648886.487480728 56.94, -34995.62080417038 6648889.011998759 56.9, -34995.49182262691 6648891.538333227 56.870000000000005, -34995.43822915584 6648892.7924195845 56.85, -34995.40098920697 6648893.423549089 56.84, -34995.373738351394 6648894.055586813 56.83, -34995.264734895085 6648896.583737715 56.800000000000004, -34995.17570957809 6648899.113705059 56.76, -34995.09667330433 6648901.644580623 56.730000000000004, -34995.03761516942 6648904.17727263 56.69, -34995.030342449434 6648904.811126799 56.68, -34995.01308063022 6648905.444072742 56.68, -34994.988546077395 6648906.710872856 56.67, -34994.97852508968 6648909.258095079 56.65, -34994.98395778483 6648910.527619865 56.64, -34994.98667412705 6648911.16238226 56.63, -34994.98939046648 6648911.797144651 56.620000000000005, -34995.01024488476 6648914.337102451 56.59, -34995.0519856679 6648916.868887604 56.56, -34995.150025270996 6648919.667655059 56.53, -34995.27803209622 6648922.469147194 56.5, -34995.49322304677 6648924.754839263 56.46, -34995.60127261933 6648925.892690755 56.44, -34995.660291949636 6648926.46207061 56.43, -34995.71931127715 6648927.031450471 56.42, -34995.93177464628 6648929.568686401 56.38, -34996.16421615321 6648932.107738791 56.35, -34996.42662489379 6648934.649515872 56.31, -34996.709920000285 6648937.183120318 56.28, -34996.907859996776 6648939.215452124 56.25, -34997.11669728311 6648941.2387030665 56.22, -34997.218394773314 6648942.003325123 56.21, -34997.32009225828 6648942.767947181 56.2, -34997.514406347414 6648944.286293979 56.19, -34997.708720416995 6648945.80464078 56.17, -34997.91302356392 6648947.323895812 56.160000000000004, -34998.13911849167 6648949.04656568 56.13, -34998.37520249118 6648950.77014378 56.11, -34998.498693144065 6648951.627392399 56.1, -34998.56043846812 6648952.056016709 56.1, -34998.62127556186 6648952.494630116 56.09, -34998.888235028135 6648954.21094382 56.08, -34999.1833495897 6648955.617595568 56.07, -34999.57290141645 6648957.425629037 56.050000000000004, -35000.08957816509 6648959.940166486 56.02, -35000.62804951414 6648962.436542227 55.99, -35001.206477195374 6648964.936550905 55.96, -35001.80579124775 6648967.428386976 55.93, -35002.44687809562 6648969.903877795 55.9, -35003.11793218157 6648972.382093331 55.88, -35003.82076996879 6648974.843055396 55.84, -35004.55448322685 6648977.296753085 55.82, -35005.25732091919 6648979.757715207 55.79, -35005.99012585112 6648982.221402047 55.76, -35006.75471448805 6648984.667835416 55.730000000000004, -35007.55108683056 6648987.097015323 55.7, -35008.36652908719 6648989.53800082 55.67, -35008.79059619119 6648990.744872285 55.65, -35009.20376595552 6648991.96082462 55.63, -35010.08277562971 6648994.367303191 55.6, -35010.99266078137 6648996.766517399 55.58, -35011.56746955437 6648998.198599897 55.56, -35012.16316473787 6648999.622509778 55.550000000000004, -35012.869645252475 6649001.267997729 55.53, -35013.59610394004 6649002.915302167 55.51, -35014.33345993876 6649004.55352576 55.480000000000004, -35015.08080501505 6649006.192657604 55.46, -35016.1786678012 6649008.518318338 55.410000000000004, -35016.73895062867 6649009.6670733085 55.39, -35017.01863792143 6649010.246445347 55.38, -35017.30831430864 6649010.826725624 55.370000000000005, -35018.45975544234 6649013.116971224 55.34, -35019.642980300705 6649015.389963376 55.300000000000004, -35020.87796707847 6649017.647518555 55.25, -35022.14473758498 6649019.887820287 55.21, -35022.78947427601 6649020.993895762 55.18, -35023.433302724734 6649022.109960346 55.18, -35024.753651596606 6649024.314846962 55.160000000000004, -35025.85242832592 6649026.187365724 55.14, -35026.982080561225 6649028.052620127 55.13, -35028.13352744281 6649029.899712844 55.11, -35029.29496340256 6649031.747713831 55.09, -35030.14311190019 6649033.05357438 55.07, -35031.15653235535 6649034.535608765 55.050000000000004, -35032.1817583699 6649035.998573214 55.02, -35033.15522392071 6649037.366186388 55, -35034.12959769997 6649038.723810486 54.97, -35035.12485790241 6649040.073261985 54.94, -35036.131015431485 6649041.4136326425 54.910000000000004, -35037.68838072487 6649043.44870805 54.86, -35038.28408455895 6649044.207888561 54.84, -35038.58193647512 6649044.587478821 54.83, -35038.869799292996 6649044.966160844 54.83, -35040.07119604817 6649046.485430138 54.800000000000004, -35041.28439836786 6649047.985629505 54.78, -35042.50849801535 6649049.476748042 54.75, -35044.20662037586 6649051.403761576 54.72, -35045.92653739976 6649053.312613445 54.68, -35047.66915732727 6649055.19331455 54.64, -35048.11048803595 6649055.656452128 54.63, -35048.34114248876 6649055.888929159 54.620000000000005, -35048.56089960411 6649056.130487051 54.620000000000005, -35049.44356101996 6649057.056762227 54.61, -35051.19707827119 6649058.92838258 54.59, -35052.98328752932 6649060.772760406 54.56, -35054.78130235954 6649062.598068329 54.53, -35056.61110096157 6649064.406122826 54.5, -35058.4636024778 6649066.186026562 54.46, -35060.32881781168 6649067.936871288 54.42, -35062.22672516375 6649069.660473489 54.370000000000005, -35064.14642719657 6649071.365914031 54.33, -35065.117175554275 6649072.209553459 54.300000000000004, -35066.077934813104 6649073.0522846645 54.29, -35068.031237114454 6649074.720493632 54.26, -35070.00815058232 6649076.35056274 54.230000000000004, -35071.99686963961 6649077.961561934 54.19, -35073.9837722237 6649079.592539387 54.15, -35074.989029100514 6649080.388958175 54.120000000000005, -35075.994285979774 6649081.185376973 54.11, -35078.01660532795 6649082.7591446545 54.08, -35080.06162761187 6649084.304761566 54.04, -35082.140250175726 6649085.813146855 54.01, -35084.24066743837 6649087.303370478 53.97, -35085.29314667941 6649088.023509554 53.95, -35086.35470678436 6649088.754545988 53.94, -35088.48055173189 6649090.186651587 53.93, -35090.66542462376 6649091.523407435 53.9, -35092.873000467196 6649092.832012509 53.88, -35095.09238192043 6649094.12154767 53.85, -35097.33537457115 6649095.372942959 53.82, -35099.53568611236 6649096.65067263 53.79, -35101.7487115073 6649097.899343288 53.76, -35103.984439860564 6649099.1198631665 53.730000000000004, -35106.22289296903 6649100.310415785 53.7, -35106.29917281889 6649100.357638141 53.7, -35108.03908219666 6649101.27121281 53.67, -35109.78080807743 6649102.164809299 53.65, -35111.5343395645 6649103.03933585 53.63, -35113.289687555865 6649103.893884224 53.61, -35115.51815482264 6649104.861952025 53.57, -35116.67960925517 6649105.380494466 53.550000000000004, -35117.2698714562 6649105.645668487 53.54, -35117.5595538842 6649105.782795926 53.54, -35117.85014455591 6649105.909934266 53.54, -35120.203929017414 6649106.939754829 53.52, -35122.56134648842 6649107.929619016 53.5, -35124.94055869104 6649108.901321524 53.480000000000004, -35127.33430125413 6649109.823986795 53.45, -35128.532989037805 6649110.265341235 53.44, -35129.13687336352 6649110.491467135 53.43, -35129.74075769179 6649110.717593036 53.43, -35130.34555026633 6649110.933729836 53.43, -35130.63795745012 6649111.040889992 53.43, -35130.940353739075 6649111.148958392 53.43, -35132.14993890084 6649111.581232001 53.42, -35134.582731336704 6649112.406731068 53.39, -35136.81846644613 6649113.184097974 53.36, -35139.06782367267 6649113.922416731 53.34, -35141.71765339526 6649114.6870761905 53.300000000000004, -35142.38601363124 6649114.868706076 53.300000000000004, -35143.05437387002 6649115.050335969 53.29, -35144.381105252774 6649115.412687507 53.28, -35146.86112186464 6649116.051118472 53.26, -35149.354760607355 6649116.650501283 53.230000000000004, -35151.85021588672 6649117.229905912 53.2, -35154.35929329938 6649117.770262383 53.17, -35156.83931009809 6649118.408693459 53.15, -35159.33204078465 6649119.018065487 53.13, -35160.575228082365 6649119.302319174 53.120000000000005, -35161.828404498636 6649119.587481114 53.1, -35164.3374821028 6649120.127837689 53.07, -35166.92737926962 6649120.776259576 53.050000000000004, -35174.370160022285 6649122.329220682 52.910000000000004, -35175.64149988862 6649122.5253889635 52.89, -35176.27807807189 6649122.613483998 52.870000000000005, -35176.91374801297 6649122.711568143 52.870000000000005, -35179.44916343759 6649123.073029164 52.83, -35181.98821189627 6649123.394533765 52.77, -35184.52816865279 6649123.706049272 52.71, -35187.76554979081 6649123.879543323 52.63, -35189.50093163911 6649123.956756963 52.58, -35190.37361712754 6649123.995817905 52.56, -35191.24630262214 6649124.03487885 52.53, -35194.73068853631 6649124.150257953 52.43, -35197.26338437316 6649124.209321039 52.35, -35199.80788586475 6649124.2493141545 52.27, -35202.3433065454 6649124.278409922 52.19, -35204.89053288184 6649124.288435713 52.11, -35207.421414034325 6649124.256688575 52.04, -35209.95229523978 6649124.224941442 51.96, -35212.475003879634 6649124.172307839 51.88, -35215.00860992924 6649124.110593369 51.800000000000004, -35216.269056049176 6649124.094265681 51.77, -35216.89383043547 6649124.090642268 51.75, -35217.529502182384 6649124.07793799 51.730000000000004, -35218.15427657508 6649124.07431458 51.72, -35218.789948328515 6649124.061610304 51.7, -35220.05039448815 6649124.045282616 51.660000000000004, -35225.08491488395 6649123.949096281 51.52, -35228.726406024536 6649123.887397776 51.410000000000004, -35232.37697814172 6649123.8365966305 51.32, -35233.33411807299 6649123.832978011 51.29, -35235.12762035581 6649123.824830923 51.24, -35238.35229218553 6649123.805807232 51.160000000000004, -35241.75767639093 6649123.793142865 51.07, -35245.15307157813 6649123.779570257 50.99, -35249.953300565016 6649123.8232283555 50.870000000000005, -35252.35886381066 6649123.840516973 50.81, -35254.76261061069 6649123.877783827 50.75, -35255.15491081984 6649123.883238099 50.74, -35256.27006027347 6649123.91412966 50.72, -35260.68707034143 6649123.963230882 50.64, -35265.10044758406 6649124.052288576 50.56, -35267.58773895074 6649124.167653482 50.51, -35268.83093052986 6649124.230330495 50.49, -35269.45298044756 6649124.256674446 50.480000000000004, -35269.76355128409 6649124.274840978 50.47, -35269.914296268485 6649124.278475562 50.47, -35270.074122121674 6649124.293007512 50.43, -35270.22486710618 6649124.296642095 50.4, -35270.38560120668 6649124.301184927 50.39, -35270.696172045544 6649124.319351464 50.38, -35271.30732461007 6649124.354776283 50.370000000000005, -35272.55051622726 6649124.417453301 50.34, -35275.03417475871 6649124.572774694 50.27, -35276.76683311595 6649124.679955815 50.230000000000004, -35276.35261789535 6649133.001802828 50.26, -35274.638121295255 6649132.9164163135 50.300000000000004, -35272.190786265186 6649132.804684207 50.36, -35270.96666464512 6649132.753812711 50.4, -35270.34370647662 6649132.737457831 50.410000000000004, -35270.03313564055 6649132.719291281 50.42, -35269.88239065721 6649132.715656686 50.42, -35269.75253215269 6649132.70384947 50.45, -35269.61177628569 6649132.701123118 50.49, -35269.46103130269 6649132.697488524 50.5, -35269.149552221876 6649132.689311083 50.5, -35268.52750230988 6649132.662967094 50.52, -35267.30247247894 6649132.622084721 50.54, -35264.87239108526 6649132.5421364745 50.58, -35260.52076505823 6649132.438549721 50.67, -35256.185484427726 6649132.376735941 50.75, -35255.11846405931 6649132.370363763 50.77, -35254.74523383379 6649132.376715076 50.78, -35252.3687296469 6649132.372140138 50.83, -35249.99131725973 6649132.377554317 50.89, -35245.19562792347 6649132.39473881 51, -35241.79024363356 6649132.407402931 51.08, -35238.37396207964 6649132.42914792 51.17, -35235.16018761997 6649132.439090516 51.25, -35233.35669623001 6649132.446329226 51.300000000000004, -35232.38956718973 6649132.449039531 51.32, -35228.73354720487 6649132.448986608 51.42, -35225.067538218456 6649132.448025443 51.52, -35219.99306299258 6649132.429789958 51.660000000000004, -35218.71536335477 6649132.414333729 51.7, -35218.08059984946 6649132.417048853 51.71, -35217.456733706174 6649132.41068311 51.730000000000004, -35216.822878454695 6649132.403409119 51.74, -35216.19901231746 6649132.397043379 51.76, -35214.94129094214 6649132.383403646 51.800000000000004, -35214.9113236086 6649132.380678907 51.800000000000004, -35212.345935342135 6649132.348858214 51.870000000000005, -35209.79144448822 6649132.30795666 51.95, -35207.21879196004 6649132.245260397 52.02, -35204.657036843244 6649132.1734832795 52.09, -35202.07621180685 6649132.089900561 52.160000000000004, -35199.4863059622 6649131.99542049 52.230000000000004, -35196.89912491175 6649131.870973104 52.31, -35194.30286305363 6649131.735628364 52.38, -35190.74673851393 6649131.52308109 52.47, -35189.8359130848 6649131.460408888 52.5, -35188.97594145371 6649131.392288811 52.52, -35187.204236172605 6649131.271485645 52.56, -35187.15429062769 6649131.266944416 52.56, -35183.88603555574 6649130.989926092 52.63, -35181.26888911077 6649130.751965579 52.68, -35178.645386598306 6649130.473140399 52.74, -35176.022792387055 6649130.184326128 52.78, -35175.346257780795 6649130.092598069 52.79, -35174.708771363716 6649130.014492105 52.800000000000004, -35173.34389656922 6649129.850105962 52.82, -35165.67136014614 6649128.719408462 52.980000000000004, -35162.88531070738 6649128.234441923 53.01, -35160.26090352959 6649127.744029127 53.050000000000004, -35158.954148637014 6649127.494282306 53.07, -35157.64830200351 6649127.234546384 53.08, -35155.03025265201 6649126.674209894 53.11, -35152.433998056455 6649126.095711706 53.14, -35149.84137649427 6649125.47725712 53.17, -35147.25147971907 6649124.828835249 53.19, -35144.67520508077 6649124.141365231 53.21, -35142.10074698238 6649123.433917035 53.230000000000004, -35140.72770310752 6649123.027067767 53.24, -35140.060251140385 6649122.835448734 53.24, -35139.343761896365 6649122.629299372 53.25, -35136.600398950395 6649121.785633576 53.28, -35134.24206991773 6649121.027334891 53.31, -35131.9055356232 6649120.250874522 53.33, -35129.387382586836 6649119.367255596 53.36, -35128.12876020756 6649118.920451594 53.38, -35127.83635303774 6649118.813291421 53.38, -35127.53486500878 6649118.695233902 53.38, -35126.88103518763 6649118.464566744 53.38, -35126.22902185877 6649118.21392138 53.38, -35125.634218423045 6649117.9986928 53.38, -35124.37832080957 6649117.521921516 53.4, -35121.89830941474 6649116.551125507 53.42, -35119.42102279316 6649115.55036223 53.45, -35116.96643915097 6649114.5214481745 53.47, -35114.515488523524 6649113.452577749 53.480000000000004, -35114.17676884064 6649113.3009199705 53.480000000000004, -35113.88617818628 6649113.173781618 53.49, -35113.30590512289 6649112.909515815 53.5, -35112.08633262827 6649112.365545648 53.51, -35109.834255888476 6649111.324829292 53.550000000000004, -35109.79611596465 6649111.301218113 53.550000000000004, -35107.961763503496 6649110.429414609 53.57, -35106.13013579277 6649109.527643826 53.59, -35104.309405447566 6649108.616792215 53.620000000000005, -35102.50956156943 6649107.697768014 53.64, -35102.42329262255 6649107.649637416 53.64, -35102.394233559375 6649107.636923581 53.64, -35100.077684269054 6649106.419126722 53.67, -35097.75568712223 6649105.150476159 53.71, -35095.445495591615 6649103.862755682 53.74, -35093.14801791881 6649102.545976198 53.77, -35090.855081486516 6649101.179251257 53.79, -35088.573950665654 6649099.793456407 53.82, -35086.31552279857 6649098.379510794 53.84, -35084.069808781845 6649096.936506177 53.86, -35081.84679771459 6649095.4653507965 53.870000000000005, -35080.74709777348 6649094.7107031625 53.88, -35079.646489594714 6649093.966044649 53.9, -35077.458895319025 6649092.437679499 53.94, -35075.294003986055 6649090.881163589 53.980000000000004, -35073.1418264932 6649089.295588681 54.02, -35071.011443697964 6649087.691852107 54.050000000000004, -35069.95805788727 6649086.870913883 54.07, -35068.90467207995 6649086.049975675 54.09, -35066.81969515432 6649084.389937586 54.14, -35064.757421160815 6649082.701748734 54.17, -35062.70695275639 6649080.994489986 54.2, -35060.6900846191 6649079.249999618 54.230000000000004, -35059.68210467277 6649078.372759907 54.24, -35058.68502206728 6649077.486439354 54.27, -35056.701754197245 6649075.70471743 54.31, -35054.75208658725 6649073.885763888 54.35, -35052.81422455632 6649072.047740451 54.39, -35050.89815720194 6649070.191555349 54.43, -35049.01478185924 6649068.308127739 54.47, -35047.154109428055 6649066.396549365 54.5, -35045.315231666435 6649064.466809334 54.53, -35043.49905681191 6649062.508918542 54.54, -35042.6018667185 6649061.520892311 54.550000000000004, -35042.391190483 6649061.290231764 54.550000000000004, -35042.171433388954 6649061.048673876 54.56, -35041.70467662299 6649060.532866094 54.57, -35039.94208019518 6649058.539560223 54.6, -35038.20218666771 6649056.518103596 54.64, -35036.48408779979 6649054.478485304 54.67, -35035.21549221524 6649052.922891022 54.69, -35033.95688571944 6649051.368205013 54.72, -35032.71008478792 6649049.794449076 54.74, -35032.39497942093 6649049.38307506 54.75, -35032.0971275348 6649049.003484809 54.76, -35031.511412857566 6649048.245212553 54.78, -35031.48507851653 6649048.202531454 54.78, -35029.88321732078 6649046.102980324 54.82, -35028.84346116753 6649044.6890530735 54.85, -35027.82277496182 6649043.286931416 54.88, -35026.802996983984 6649041.874820689 54.910000000000004, -35025.795024568215 6649040.443640025 54.93, -35025.77777108527 6649040.411856261 54.93, -35024.74437255331 6649038.928005429 54.96, -35023.70552609686 6649037.3933009 54.980000000000004, -35022.80107605585 6649036.042034591 55, -35022.78473080904 6649036.000261729 55, -35021.56336039491 6649034.146811389 55.02, -35020.34653114388 6649032.243415604 55.04, -35019.15149653773 6649030.321858135 55.06, -35017.96735924238 6649028.391219843 55.08, -35016.614320015535 6649026.1027876 55.1, -35015.94415729167 6649024.94404197 55.1, -35015.27399455977 6649023.785296356 55.13, -35013.974533690955 6649021.461449005 55.17, -35012.69686745037 6649019.119439985 55.21, -35011.450984933064 6649016.760177518 55.26, -35010.236886135885 6649014.383661616 55.29, -35009.920875432435 6649013.760700281 55.300000000000004, -35009.640279936604 6649013.191317367 55.31, -35009.04367372778 6649011.998973129 55.34, -35007.892234132974 6649009.597939434 55.38, -35007.09948483552 6649007.904321021 55.410000000000004, -35006.3276219432 6649006.202530001 55.43, -35005.55575903109 6649004.500739003 55.45, -35004.814771618694 6649002.791683625 55.47, -35004.18366129033 6649001.314195407 55.49, -35003.56344827509 6648999.827626345 55.51, -35002.55821344524 6648997.369384459 55.54, -35001.585670556175 6648994.883900026 55.57, -35001.11438273743 6648993.642520172 55.59, -35000.644003140274 6648992.391151233 55.61, -34999.73411942844 6648989.881148984 55.65, -34998.85511118721 6648987.363882371 55.68, -34998.00697841565 6648984.839351391 55.72, -34997.1906293442 6648982.297566952 55.75, -34996.40515573986 6648979.74851814 55.78, -34995.65055760124 6648977.192204962 55.81, -34994.937732254155 6648974.619546547 55.84, -34994.245793275535 6648972.0387155255 55.870000000000005, -34993.59381062398 6648969.461517455 55.89, -34992.96362257062 6648966.866157677 55.92, -34992.374299073126 6648964.264441753 55.95, -34991.81585103588 6648961.655461446 55.980000000000004, -34991.287370228325 6648959.04920585 56.01, -34990.92687893228 6648957.1430980135 56.03, -34990.65991665947 6648955.648360965 56.04, -34990.350277586374 6648953.84759347 56.050000000000004, -34990.28126786428 6648953.388093673 56.050000000000004, -34990.20953345299 6648952.958561161 56.06, -34990.06969754188 6648952.059539762 56.07, -34989.798198336735 6648950.282383392 56.09, -34989.5375964297 6648948.496146157 56.120000000000005, -34989.32875358488 6648946.916048428 56.13, -34989.12535867037 6648945.38680441 56.15, -34989.06361332559 6648944.958180135 56.15, -34989.06906269735 6648944.898245564 56.15, -34988.930137794 6648943.767658541 56.17, -34988.8384294142 6648943.003944761 56.17, -34988.740364848636 6648942.199366378 56.18, -34988.5097343548 6648940.083489036 56.21, -34988.3045299683 6648938.020281861 56.24, -34988.29908201366 6648937.969428159 56.24, -34988.06210090872 6648935.369533132 56.27, -34987.84782262065 6648932.741487281 56.31, -34987.66260333243 6648930.126155217 56.34, -34987.50553481793 6648927.5335260285 56.370000000000005, -34987.49917863181 6648927.492661421 56.370000000000005, -34987.46286217973 6648926.89513077 56.38, -34987.433810138726 6648926.328475629 56.39, -34987.36934986105 6648925.154300746 56.410000000000004, -34987.26585542271 6648922.858621135 56.44, -34987.26948833 6648922.818664755 56.44, -34987.159644645755 6648919.928179176 56.480000000000004, -34987.07704349805 6648917.070385564 56.51, -34987.02168210596 6648914.466860457 56.54, -34986.98629884748 6648911.865151807 56.57, -34986.97631808906 6648911.199513943 56.58, -34986.973601744976 6648910.56475159 56.59, -34986.96998549765 6648909.275248697 56.6, -34986.963661187445 6648906.686253813 56.620000000000005, -34986.98093131452 6648905.388578273 56.63, -34986.97821493982 6648904.753815918 56.64, -34986.98730410705 6648904.099983603 56.65, -34987.02093606698 6648901.514621612 56.69, -34987.06364884204 6648898.9401569385 56.730000000000004, -34987.12633975281 6648896.3675087085 56.76, -34987.199019704596 6648893.795768696 56.800000000000004, -34987.217189684045 6648893.152833692 56.800000000000004, -34987.24444053101 6648892.520796008 56.81, -34987.28078047291 6648891.234925998 56.84, -34987.38251937786 6648888.675899742 56.88, -34987.48425822926 6648886.1168734785 56.910000000000004, -34987.674100160715 6648882.145751839 56.97, -34987.8839201536 6648878.176446624 57.01, -34988.00654112804 6648875.941612508 57.03, -34988.29991874995 6648870.942522175 57.07, -34988.301735195215 6648870.922543983 57.07, -34988.34169968986 6648870.261447217 57.18))</t>
  </si>
  <si>
    <t>['EV39 S88D1 m1806-1852']</t>
  </si>
  <si>
    <t>LINESTRING Z (-35192.96781234583 6648204.16274632 31.1, -35190.69482472853 6648205.23519986 31.1, -35183.440879411064 6648208.695020626 31.11, -35181.629209290026 6648209.567694636 31.11, -35177.10048816947 6648211.744384994 31.12, -35172.57993996539 6648213.941961605 31.12, -35170.324206389254 6648215.046198496 31.13, -35168.06847284676 6648216.150435347 31.14, -35163.55700586515 6648218.358908933 31.16, -35163.27186077589 6648218.5042033205 31.16, -35162.987623857916 6648218.639508593 31.17, -35162.4282309704 6648218.921016421 31.18, -35161.30036425486 6648219.473134781 31.19, -35159.05371179583 6648220.588268763 31.23, -35155.446717722574 6648222.375388892 31.28, -35154.54950969096 6648222.827617554 31.29, -35151.85879379872 6648224.174314382 31.330000000000002, -35151.07782327256 6648224.566609081 31.35, -35151.01789931045 6648223.010121657 31.05, -35150.47763601772 6648214.661935277 31.29, -35151.3957303958 6648214.20153379 31.28, -35154.99273511965 6648212.4135052925 31.23, -35157.26027383888 6648211.290198413 31.19, -35158.388140482246 6648210.738079992 31.18, -35158.947533333674 6648210.456572129 31.17, -35159.23177023395 6648210.321266845 31.16, -35159.5169153047 6648210.17597244 31.16, -35164.05017657473 6648207.949336711 31.14, -35166.31680726167 6648206.836018787 31.13, -35168.58252981282 6648205.732689942 31.12, -35173.133953256765 6648203.527848472 31.12, -35177.67357138265 6648201.34207691 31.11, -35179.50612779881 6648200.461230016 31.11, -35181.3277869483 6648199.589464049 31.11, -35191.12618601206 6648203.370868531 30.85, -35192.96781234583 6648204.16274632 31.1)</t>
  </si>
  <si>
    <t>POLYGON Z ((-35192.96781234583 6648204.16274632 31.1, -35190.69482472853 6648205.23519986 31.1, -35183.440879411064 6648208.695020626 31.11, -35181.629209290026 6648209.567694636 31.11, -35177.10048816947 6648211.744384994 31.12, -35172.57993996539 6648213.941961605 31.12, -35170.324206389254 6648215.046198496 31.13, -35168.06847284676 6648216.150435347 31.14, -35163.55700586515 6648218.358908933 31.16, -35163.27186077589 6648218.5042033205 31.16, -35162.987623857916 6648218.639508593 31.17, -35162.4282309704 6648218.921016421 31.18, -35161.30036425486 6648219.473134781 31.19, -35159.05371179583 6648220.588268763 31.23, -35155.446717722574 6648222.375388892 31.28, -35154.54950969096 6648222.827617554 31.29, -35151.85879379872 6648224.174314382 31.330000000000002, -35151.07782327256 6648224.566609081 31.35, -35151.01789931045 6648223.010121657 31.05, -35150.47763601772 6648214.661935277 31.29, -35151.3957303958 6648214.20153379 31.28, -35154.99273511965 6648212.4135052925 31.23, -35157.26027383888 6648211.290198413 31.19, -35158.388140482246 6648210.738079992 31.18, -35158.947533333674 6648210.456572129 31.17, -35159.23177023395 6648210.321266845 31.16, -35159.5169153047 6648210.17597244 31.16, -35164.05017657473 6648207.949336711 31.14, -35166.31680726167 6648206.836018787 31.13, -35168.58252981282 6648205.732689942 31.12, -35173.133953256765 6648203.527848472 31.12, -35177.67357138265 6648201.34207691 31.11, -35179.50612779881 6648200.461230016 31.11, -35181.3277869483 6648199.589464049 31.11, -35191.12618601206 6648203.370868531 30.85, -35192.96781234583 6648204.16274632 31.1))</t>
  </si>
  <si>
    <t>['EV39 S88D1 m966-1641']</t>
  </si>
  <si>
    <t>LINESTRING Z (-35024.374182550004 6648328.83118257 35, -35024.11083567422 6648328.515161346 34.99, -35023.78392231034 6648328.122859142 34.99, -35023.45610076829 6648327.740546041 34.980000000000004, -35023.12737104739 6648327.368222049 34.97, -35022.79954950407 6648326.985908953 34.96, -35022.46173885581 6648326.602687681 34.95, -35022.133009133395 6648326.230363697 34.93, -35021.79429030593 6648325.857131535 34.92, -35021.455571478116 6648325.4838993745 34.910000000000004, -35021.27213658474 6648325.2859319225 34.9, -35021.106863544905 6648325.109759039 34.89, -35021.02422702534 6648325.021672596 34.89, -35020.76814471674 6648324.736526881 34.88, -35020.41852860537 6648324.372375655 34.86, -35020.068912493414 6648324.008224431 34.84, -35019.756528267055 6648323.6776732365 34.82, -35019.71929638134 6648323.644073212 34.82, -35019.36968026939 6648323.279921988 34.81, -35019.02006415685 6648322.915770771 34.79, -35018.753084564814 6648322.639705993 34.78, -35018.66045893973 6648322.5507113775 34.78, -35018.299945544684 6648322.195641087 34.76, -35017.9403403271 6648321.8305816995 34.75, -35017.579826931586 6648321.475511418 34.730000000000004, -35017.219313535956 6648321.120441138 34.72, -35016.848811035976 6648320.76446268 34.7, -35016.477400358184 6648320.41847333 34.68, -35016.10689785809 6648320.062494877 34.67, -35015.73548718006 6648319.716505535 34.65, -35015.47577215906 6648319.471316262 34.64, -35015.36407650274 6648319.370516191 34.64, -35014.98267672036 6648319.023618672 34.63, -35014.60127693822 6648318.6767211575 34.62, -35014.21896897897 6648318.339812747 34.62, -35013.837569197174 6648317.992915234 34.61, -35013.47342309181 6648317.677801393 34.6, -35013.4552612378 6648317.65600683 34.6, -35013.052066893084 6648317.327271178 34.6, -35012.63797526667 6648317.007616453 34.59, -35012.20208907779 6648316.706123587 34.59, -35011.73441922269 6648316.421884398 34.58, -35011.255852086935 6648316.146726141 34.58, -35010.75458221277 6648315.899718842 34.58, -35010.56115736964 6648315.8116315715 34.57, -35010.22243685031 6648315.65997612 34.57, -35010.20245864219 6648315.6581597645 34.57, -35009.65759964613 6648315.44747618 34.57, -35009.060070600826 6648315.262219025 34.58, -35008.52883257752 6648315.123275525 34.59, -35008.43075789185 6648315.094215546 34.59, -35008.25277037453 6648315.057890152 34.6, -35008.222803062294 6648315.0551656205 34.6, -35007.76784516615 6648314.9634439545 34.61, -35007.051354215946 6648314.868087896 34.64, -35006.67176826915 6648314.833577167 34.660000000000004, -35006.27129593876 6648314.807239193 34.67, -35006.120551204775 6648314.803605642 34.68, -35006.01975198975 6648314.804512976 34.68, -35005.42585398245 6648314.800876051 34.71, -35005.253314687754 6648314.815404355 34.72, -35004.47234740213 6648314.875333073 34.76, -35003.35810615157 6648315.056036685 34.81, -35003.00757850625 6648315.145027912 34.83, -35001.9623519727 6648315.452866177 34.87, -35001.67085077509 6648315.557295567 34.89, -35001.49286242388 6648315.631758485 34.89, -35001.40931688831 6648315.664449487 34.89, -34999.95271486696 6648316.730548888 34.550000000000004, -34999.88733118493 6648316.785034446 34.550000000000004, -34999.18173249287 6648317.345327337 34.56, -34999.10635970766 6648317.398904719 34.56, -34998.33628551301 6648318.003694057 34.57, -34997.56530314393 6648318.618472491 34.58, -34996.793412599596 6648319.243240018 34.59, -34996.03241933754 6648319.858926615 34.59, -34995.989738393924 6648319.885261215 34.59, -34994.563102865824 6648321.064873361 34.61, -34993.9546715318 6648321.553426977 34.62, -34992.98572177754 6648322.351640229 34.63, -34990.85984398564 6648324.132409721 34.660000000000004, -34988.76211715955 6648325.935881888 34.71, -34988.00838848727 6648326.582443887 34.72, -34986.7706386114 6648327.678512058 34.75, -34985.5419696637 6648328.785477487 34.79, -34983.719398541376 6648330.442747393 34.83, -34981.92588655313 6648332.112730887 34.88, -34980.149628239335 6648333.8144979905 34.93, -34978.39243995433 6648335.528070504 34.980000000000004, -34976.81959724834 6648337.097256382 35.02, -34975.266732746386 6648338.668258578 35.06, -34974.932548929704 6648339.020599059 35.07, -34974.58837601205 6648339.37203136 35.09, -34973.06275427877 6648340.975725334 35.14, -34971.54621346737 6648342.590316546 35.2, -34969.890731689986 6648344.403780682 35.26, -34968.244330832385 6648346.228142051 35.33, -34966.62608091417 6648348.075206106 35.39, -34965.025992833194 6648349.94406467 35.45, -34963.44497476728 6648351.824728643 35.51, -34961.89210763504 6648353.728095303 35.56, -34960.0513694539 6648356.028299604 35.63, -34958.84267522511 6648357.580233958 35.67, -34957.34520176402 6648359.538995052 35.72, -34955.877695590374 6648361.500480632 35.78, -34954.428351241746 6648363.483760726 35.83, -34952.997168717324 6648365.488835329 35.89, -34951.595045294496 6648367.506623525 35.980000000000004, -34950.21199187264 6648369.536217135 36.06, -34948.84800845117 6648371.577616155 36.15, -34947.51217594545 6648373.641717871 36.24, -34946.78205374791 6648374.8040806325 36.29, -34945.32090115396 6648377.138795206 36.39, -34943.89788856346 6648379.497120649 36.49, -34942.3985940885 6648382.029800702 36.6, -34941.17718156765 6648384.164734956 36.7, -34939.98482813407 6648386.312382808 36.79, -34938.81154468877 6648388.471836077 36.89, -34937.6573312307 6648390.643094768 36.980000000000004, -34936.53217685572 6648392.8270670585 37.09, -34935.43608156231 6648395.023752951 37.2, -34934.359056251706 6648397.232244269 37.31, -34933.311090019764 6648399.453449189 37.42, -34932.28219376854 6648401.686459534 37.57, -34931.28235659283 6648403.932183485 37.72, -34930.391493109986 6648405.976310024 37.86, -34929.53059688979 6648408.02316108 38, -34929.35078945407 6648408.44996675 38.02, -34928.42904858501 6648410.72293425 38.17, -34927.748867005226 6648412.443778725 38.29, -34927.08957178204 6648414.156450451 38.4, -34926.43935745093 6648415.880019439 38.51, -34925.80821310729 6648417.615393871 38.62, -34924.98363850475 6648419.927410364 38.75, -34924.17813387234 6648422.251232285 38.88, -34923.41258558445 6648424.578686915 39.01, -34922.6651990792 6648426.927936074 39.15, -34921.94868800661 6648429.269920663 39.28, -34921.25124689902 6648431.623710691 39.410000000000004, -34920.58286485181 6648433.9902143385 39.54, -34919.94445004896 6648436.359442517 39.67, -34919.20159950992 6648439.212687219 39.82, -34918.50778619887 6648442.080461908 39.980000000000004, -34918.434226919664 6648442.446425685 40, -34918.241694243625 6648444.231749151 40.08, -34918.07004791871 6648446.008899887 40.160000000000004, -34917.88296142942 6648448.066653469 40.26, -34917.70677026117 6648450.336902596 40.36, -34917.55055724108 6648452.608968089 40.46, -34917.45428455016 6648454.2217533095 40.54, -34917.36800093297 6648455.835446716 40.61, -34917.35528533894 6648456.086082272 40.62, -34917.346202494344 6648456.296761452 40.63, -34917.31895492796 6648456.818010761 40.660000000000004, -34917.279898009496 6648457.801482998 40.71, -34917.241749270586 6648458.774966139 40.76, -34917.21268143121 6648459.759346558 40.81, -34917.199056668556 6648460.130759445 40.83, -34917.1845217715 6648460.733737885 40.86, -34917.17180324753 6648461.316738135 40.89, -34917.15545391617 6648461.718118304 40.910000000000004, -34917.149999917834 6648462.331994027 40.94, -34917.137283335556 6648462.693417816 40.96, -34917.12910379248 6648463.448049054 41, -34917.11183064245 6648465.6320300065 41.11, -34917.102738979855 6648466.839803261 41.18, -34917.12178841198 6648469.178161573 41.300000000000004, -34917.15355145978 6648471.487460789 41.410000000000004, -34917.1571802838 6648471.890657332 41.44, -34917.106321705505 6648472.450046634 41.47, -34917.019135565264 6648473.408999722 41.53, -34916.941030323156 6648474.378850089 41.58, -34916.8638332627 6648475.338711364 41.64, -34916.78663619433 6648476.298572636 41.7, -34916.71852002398 6648477.269331189 41.75, -34916.65131203516 6648478.230100647 41.81, -34916.584104038775 6648479.190870104 41.87, -34916.525976939825 6648480.162536843 41.93, -34916.4787471171 6648481.125122676 41.980000000000004, -34916.4215281927 6648482.086800317 42.04, -34916.383379259496 6648483.060283431 42.1, -34916.33614941395 6648484.022869259 42.160000000000004, -34916.29890865518 6648484.986363278 42.21, -34916.271656983066 6648485.950765484 42.27, -34916.24349711323 6648486.925156786 42.33, -34916.21624542575 6648487.889558991 42.38, -34916.19898282504 6648488.854869385 42.44, -34916.18172021676 6648489.82017978 42.5, -34916.16445760033 6648490.785490173 42.56, -34916.15718407079 6648491.751708754 42.61, -34916.15989962779 6648492.718835529 42.67, -34916.152626083116 6648493.685054109 42.730000000000004, -34916.1553416244 6648494.652180883 42.79, -34916.16804625245 6648495.620215846 42.83, -34916.18075087271 6648496.588250809 42.87, -34916.18347142218 6648497.001436437 42.89, -34916.19436367613 6648497.546296677 42.92, -34916.217057375005 6648498.515239829 42.96, -34916.24974016065 6648499.485091174 43, -34916.26335697679 6648499.999984128 43.03, -34916.27334203513 6648500.444045232 43.050000000000004, -34916.2851444839 6648500.757339921 43.06, -34916.28423528315 6648500.878117243 43.07, -34916.23519295477 6648501.41752833 43.1, -34916.157087489264 6648502.387378666 43.15, -34916.07898201689 6648503.357228995 43.2, -34915.99996834493 6648504.337068418 43.25, -34915.93185195082 6648505.30782694 43.300000000000004, -34915.873724643025 6648506.279493649 43.35, -34915.87100006803 6648506.309460931 43.35, -34915.81468913588 6648507.261149454 43.4, -34915.75656181271 6648508.232816158 43.45, -34915.707515383954 6648509.215380151 43.51, -34915.65937713906 6648510.187955048 43.56, -34915.61033069447 6648511.170519034 43.61, -34915.572181528085 6648512.144002123 43.660000000000004, -34915.543113255524 6648513.128382496 43.71, -34915.5240371339 6648513.781306378 43.74, -34915.51495316741 6648514.102773772 43.76, -34915.48588487902 6648515.087154143 43.82, -34915.4668056767 6648516.072442702 43.88, -34915.44772646646 6648517.057731262 43.94, -34915.42955544079 6648518.033030729 44, -34915.42864212033 6648518.596960956 44.04, -34915.430454402114 6648519.020135674 44.06, -34915.421364261536 6648520.0063324245 44.12, -34915.42226320703 6648520.993437368 44.18, -34915.42407033744 6648521.970553217 44.24, -34915.43495836051 6648522.958566354 44.31, -34915.44584637566 6648523.946579488 44.37, -34915.46672347642 6648524.935500817 44.43, -34915.48760056903 6648525.924422145 44.49, -34915.518466747366 6648526.914251668 44.550000000000004, -34915.55024111131 6648527.894092096 44.61, -34915.58110727358 6648528.883921618 44.67, -34915.62196252181 6648529.8746593315 44.730000000000004, -34915.643752951175 6648530.299650437 44.76, -34915.73455780523 6648530.851776216 44.79, -34916.24579097936 6648533.758609799 44.95, -34916.71162375435 6648536.167804057 45.08, -34917.187445576536 6648538.577906521 45.21, -34917.70413192117 6648540.981652687 45.35, -34918.241704601445 6648543.377226168 45.480000000000004, -34918.79925542313 6648545.774616058 45.62, -34919.398578964756 6648548.155660561 45.75, -34920.00789155497 6648550.537613278 45.88, -34920.65806867147 6648552.913209707 46.02, -34921.33004032285 6648555.27064436 46.160000000000004, -34922.0219901182 6648557.629895435 46.300000000000004, -34922.74481534865 6648559.981882022 46.45, -34923.48943511688 6648562.315706843 46.59, -34924.2640221254 6648564.652256277 46.72, -34925.06948457088 6648566.981541242 46.85, -34925.798669155454 6648569.042027814 46.96, -34926.74488489039 6648571.595614962 47.1, -34927.606650066795 6648573.859517336 47.22, -34928.4902097889 6648576.105257949 47.35, -34929.29839987017 6648578.072211065 47.480000000000004, -34930.116579018184 6648580.040072406 47.61, -34930.40625625674 6648580.73113957 47.65, -34931.38879861275 6648582.995951354 47.800000000000004, -34932.383146423264 6648585.241693182 47.95, -34932.79450699047 6648586.145257041 48.01, -34933.61813630676 6648587.942395675 48.13, -34934.03040505585 6648588.835970456 48.19, -34934.13211021689 6648589.046650734 48.2, -34934.24198807462 6648589.278217401 48.22, -34934.316450547776 6648589.4562058 48.230000000000004, -34934.45266289369 6648589.730453441 48.25, -34935.35892842559 6648591.615678674 48.38, -34936.27518302819 6648593.501812133 48.51, -34937.55376303231 6648596.055402968 48.68, -34938.84324028704 6648598.599912957 48.85, -34940.60128904192 6648601.9726152 49.07, -34942.38113231328 6648605.32715575 49.28, -34943.48445384228 6648607.371300752 49.410000000000004, -34944.75395494001 6648609.69241808 49.550000000000004, -34945.64569345955 6648611.294316139 49.65, -34946.528351068846 6648612.88531692 49.75, -34948.322725325124 6648616.0800322555 49.94, -34949.63399908156 6648618.3848043755 50.09, -34950.54662390752 6648619.978529865 50.19, -34950.997941767215 6648620.774938516 50.24, -34951.460156919784 6648621.562266282 50.29, -34953.28631469724 6648624.7397282785 50.49, -34954.549460384296 6648626.909193124 50.620000000000005, -34955.8026169471 6648629.077749806 50.76, -34957.06667078019 6648631.237225642 50.910000000000004, -34957.69324903726 6648632.321504021 50.980000000000004, -34958.31982728676 6648633.405782413 51.050000000000004, -34960.84521020448 6648637.75470159 51.36, -34963.36060391215 6648642.102712738 51.660000000000004, -34965.11683876475 6648645.163029649 51.86, -34966.86217625986 6648648.232427541 52.07, -34968.34507717029 6648650.865026423 52.24, -34969.57371420448 6648653.081712661 52.38, -34970.79327031574 6648655.2875016425 52.52, -34972.01100998721 6648657.513268863 52.660000000000004, -34973.2087714331 6648659.737219717 52.800000000000004, -34974.39472734078 6648661.980240601 52.94, -34975.56978591322 6648664.232342419 53.08, -34976.723958053044 6648666.492616964 53.230000000000004, -34977.86814106209 6648668.751983347 53.370000000000005, -34979.25478114665 6648671.55712081 53.54, -34980.60963747429 6648674.3795119105 53.71, -34981.44507124415 6648676.157581816 53.81, -34982.27051589487 6648677.934743542 53.910000000000004, -34983.31843940553 6648680.2558599515 54.04, -34983.56725275016 6648680.842495621 54.07, -34983.701648519025 6648681.136721667 54.09, -34983.82696339663 6648681.42005041 54.1, -34984.34547647589 6648682.585149079 54.160000000000004, -34985.35071889858 6648684.932600028 54.26, -34986.33598308626 6648687.278234601 54.36, -34987.00432784273 6648688.900109568 54.43, -34987.66177527513 6648690.531065442 54.5, -34988.309233590146 6648692.161113124 54.57, -34988.94579457934 6648693.800241719 54.63, -34990.06726719253 6648696.752489159 54.76, -34990.94719094876 6648699.148976413 54.85, -34991.38215826184 6648700.346765948 54.9, -34991.807136466145 6648701.543647282 54.95, -34992.6461955352 6648703.9464908615 55.050000000000004, -34993.464368155575 6648706.357507152 55.15, -34994.04825765069 6648708.132850414 55.230000000000004, -34994.62124981382 6648709.917274582 55.300000000000004, -34995.027156738215 6648711.213138753 55.35, -34995.773589117685 6648713.637775862 55.45, -34996.50821593357 6648716.081482987 55.54, -34997.211967197945 6648718.532454606 55.620000000000005, -34997.89574021869 6648720.981609831 55.7, -34998.24262065231 6648722.262035703 55.75, -34998.73206699104 6648724.079150699 55.800000000000004, -34999.20062689623 6648725.904438386 55.86, -34999.93797199824 6648728.872119812 55.95, -34999.989731466514 6648729.078259259 55.96, -35000.028778426 6648729.202669497 55.96, -35000.48825614469 6648731.127848205 56.02, -35000.99404402729 6648733.31910096 56.08, -35001.4789454625 6648735.518526413 56.15, -35001.542509212275 6648735.816384174 56.15, -35001.91753544437 6648737.562666132 56.2, -35002.282572553726 6648739.308039889 56.25, -35002.636712327716 6648741.062494541 56.29, -35002.97178209224 6648742.805143679 56.33, -35003.53386284306 6648745.817320263 56.410000000000004, -35003.97063126741 6648748.324591428 56.47, -35004.39741054166 6648750.830954395 56.53, -35004.73610804055 6648752.976800369 56.58, -35005.053919091006 6648755.13081903 56.63, -35005.16833150911 6648755.866381962 56.64, -35005.51247320045 6648758.395446561 56.7, -35005.84753395431 6648760.913613858 56.75, -35006.15081093274 6648763.4490347225 56.81, -35006.43501787528 6648765.972650069 56.85, -35006.74373773625 6648769.002077852 56.9, -35006.866315174964 6648770.423257003 56.93, -35007.10057268932 6648773.274696194 56.96, -35007.31485193898 6648776.124318964 57, -35007.44287097722 6648778.150293322 57.02, -35007.55999266775 6648780.185348564 57.04, -35007.7061619513 6648783.230212241 57.07, -35007.83235296176 6648786.273259485 57.1, -35007.91405281308 6648788.808677869 57.13, -35007.98485529621 6648791.353177138 57.15, -35008.0265986477 6648793.884962658 57.17, -35008.0583528477 6648796.41583996 57.2, -35008.074675031006 6648798.451802147 57.21, -35008.06917933596 6648802.500115449 57.25, -35008.033716211095 6648806.545704093 57.27, -35008.00100095093 6648808.567136081 57.29, -35007.94285555789 6648810.868262817 57.31, -35007.91832328483 6648812.024274842 57.31, -35007.89469921915 6648813.170297766 57.32, -35007.78931857075 6648816.65558737 57.32, -35007.603098516935 6648821.6946364585 57.34, -35007.38600274187 6648826.740949957 57.35, -35007.27973058331 6648828.795980771 57.34, -35007.172550170915 6648830.861000676 57.34, -35006.94910836255 6648834.980143152 57.33, -35006.85464424675 6648836.79452738 57.32, -35006.69660469459 6648839.308148436 57.31, -35006.549462408526 6648841.812688608 57.29, -35006.233383045765 6648846.839930679 57.24, -35005.9699856434 6648850.844651886 57.2, -35005.90913082089 6648851.846286297 57.18, -35005.65481680876 6648855.640328206 57.14, -35005.58487839112 6648856.852641875 57.120000000000005, -35005.57761127781 6648857.043342948 57.120000000000005, -35005.52402351936 6648857.854276275 57.11, -35005.30058214511 6648861.862630304 57.06, -35005.0280912352 6648866.853548726 56.99, -35004.75469189847 6648871.854456211 56.92, -35004.51216787065 6648876.848099238 56.83, -35004.414066156955 6648879.03480462 56.78, -35004.2523764791 6648882.9178413935 56.72, -35004.10975664714 6648886.812683694 56.65, -35004.024364414625 6648889.302694854 56.6, -35003.95895032468 6648891.794522458 56.550000000000004, -35003.92715148511 6648893.03044716 56.53, -35003.910797948134 6648893.653404061 56.51, -35003.89444440813 6648894.276360958 56.5, -35003.84900840954 6648896.770005 56.46, -35003.814469681354 6648899.254568161 56.410000000000004, -35003.79082822369 6648901.730050452 56.36, -35003.786256683175 6648904.217338286 56.31, -35003.78988128214 6648904.84211163 56.29, -35003.794414103264 6648905.4568958795 56.29, -35003.792582413764 6648906.695545245 56.27, -35003.818886286695 6648909.175568652 56.230000000000004, -35003.837032752344 6648910.416034467 56.22, -35003.85155464173 6648911.0317269415 56.21, -35003.855179204955 6648911.656500287 56.2, -35003.922347588115 6648914.130167497 56.15, -35003.9895159204 6648916.603834712 56.11, -35004.093913113 6648919.3326787 56.06, -35004.230093986494 6648922.044269175 56.02, -35004.350843350985 6648924.260944567 55.97, -35004.420753000886 6648925.375185036 55.95, -35004.46070236992 6648925.932759386 55.93, -35004.4915708676 6648926.47943641 55.92, -35008.25201931549 6648926.217042948 56.56, -35009.50615905179 6648922.060681655 57.68, -35008.938789237174 6648906.700150123 57.86, -35009.27866366063 6648887.01071347 58.24, -35009.8118767289 6648874.16745071 58.480000000000004, -35011.4431535881 6648847.14239084 58.84, -35012.053517546155 6648837.106067989 58.910000000000004, -35013.00272350281 6648816.8073015455 58.94, -35012.64880216785 6648796.440411924 58.5, -35013.46723988699 6648775.696673784 57.92, -35010.32816817833 6648755.167202426 58.22, -35009.03966519644 6648746.962496951 58.050000000000004, -35008.66464279895 6648744.88384996 57.97, -35010.24386203161 6648742.026074263 57.46, -35010.22933310678 6648741.964323245 57.43, -35009.61375746259 6648731.453957292 54.99, -35005.313162521226 6648715.945364095 54.01, -35001.62004474597 6648704.168164614 53.26, -34996.71281473362 6648690.5683945455 53.230000000000004, -34991.72656111978 6648678.613195089 52.85, -34985.22198104905 6648664.8581250515 51.46, -34982.012818694115 6648658.613991226 51.17, -34977.92009059293 6648650.7888453305 50.81, -34974.94793795515 6648644.928841234 50.74, -34970.77346746088 6648638.33507978 50.42, -34970.55552714667 6648637.962756302 50.4, -34968.797475628904 6648634.92241754 50.27, -34968.02287956397 6648633.58296127 50.22, -34967.290963351494 6648632.3279588055 50.18, -34965.49749635556 6648629.234041908 50, -34964.87000983115 6648628.159752565 49.94, -34964.243431501905 6648627.075474139 49.870000000000005, -34962.98028572602 6648624.906009113 49.75, -34961.83155874524 6648622.918165398 49.63, -34961.7271290184 6648622.7374523375 49.620000000000005, -34960.472155879484 6648620.588873795 49.52, -34960.046264267876 6648619.845135166 49.480000000000004, -34958.65417058475 6648617.432298052 49.24, -34958.20194447541 6648616.6458784565 49.160000000000004, -34957.750626563444 6648615.849469766 49.08, -34957.66254221671 6648615.710529506 49.07, -34956.85525522125 6648614.2875279 48.93, -34956.86342791526 6648614.308414294 48.93, -34956.81166714756 6648614.213063221 48.92, -34955.553062208346 6648611.993652979 48.78, -34953.775033133454 6648608.840710285 48.59, -34953.194767355686 6648607.800929438 48.52, -34952.901456317166 6648607.2606067285 48.51, -34952.20858808898 6648606.019226465 48.47, -34952.02787948528 6648605.680503188 48.46, -34943.98137426854 6648588.280311017 47.88, -34940.81308208662 6648581.143518924 47.62, -34936.29901858838 6648570.530505951 47.22, -34930.8940647376 6648564.39896023 46.730000000000004, -34931.1592645176 6648560.817415134 46.51, -34928.97720162687 6648550.144491282 45.86, -34925.102507592645 6648532.166793123 44.75, -34923.06308895617 6648513.389076562 43.62, -34923.702563189436 6648494.613200957 42.49, -34924.37109262869 6648475.960826899 41.36, -34924.725418247166 6648457.10866766 40.230000000000004, -34927.89121777599 6648438.461763 39.09, -34933.370849394356 6648420.397877215 37.96, -34942.052430612384 6648403.561768082 36.82, -34954.526218609186 6648389.104910943 35.67, -34957.2550861754 6648386.009218438 35.42, -34957.944343062 6648384.964000293 35.35, -34966.96915947355 6648371.110090364 34.35, -34972.09091003798 6648363.296833191 34.14, -34978.08806763566 6648355.7142398795 34.17, -34984.11518803483 6648348.688311832 34.42, -34991.21567625331 6648342.595919164 34.68, -34998.10094697564 6648336.212023716 34.69, -35005.34310184198 6648329.780000953 34.49, -35024.374182550004 6648328.83118257 35)</t>
  </si>
  <si>
    <t>POLYGON Z ((-35024.374182550004 6648328.83118257 35, -35024.11083567422 6648328.515161346 34.99, -35023.78392231034 6648328.122859142 34.99, -35023.45610076829 6648327.740546041 34.980000000000004, -35023.12737104739 6648327.368222049 34.97, -35022.79954950407 6648326.985908953 34.96, -35022.46173885581 6648326.602687681 34.95, -35022.133009133395 6648326.230363697 34.93, -35021.79429030593 6648325.857131535 34.92, -35021.455571478116 6648325.4838993745 34.910000000000004, -35021.27213658474 6648325.2859319225 34.9, -35021.106863544905 6648325.109759039 34.89, -35021.02422702534 6648325.021672596 34.89, -35020.76814471674 6648324.736526881 34.88, -35020.41852860537 6648324.372375655 34.86, -35020.068912493414 6648324.008224431 34.84, -35019.756528267055 6648323.6776732365 34.82, -35019.71929638134 6648323.644073212 34.82, -35019.36968026939 6648323.279921988 34.81, -35019.02006415685 6648322.915770771 34.79, -35018.753084564814 6648322.639705993 34.78, -35018.66045893973 6648322.5507113775 34.78, -35018.299945544684 6648322.195641087 34.76, -35017.9403403271 6648321.8305816995 34.75, -35017.579826931586 6648321.475511418 34.730000000000004, -35017.219313535956 6648321.120441138 34.72, -35016.848811035976 6648320.76446268 34.7, -35016.477400358184 6648320.41847333 34.68, -35016.10689785809 6648320.062494877 34.67, -35015.73548718006 6648319.716505535 34.65, -35015.47577215906 6648319.471316262 34.64, -35015.36407650274 6648319.370516191 34.64, -35014.98267672036 6648319.023618672 34.63, -35014.60127693822 6648318.6767211575 34.62, -35014.21896897897 6648318.339812747 34.62, -35013.837569197174 6648317.992915234 34.61, -35013.47342309181 6648317.677801393 34.6, -35013.4552612378 6648317.65600683 34.6, -35013.052066893084 6648317.327271178 34.6, -35012.63797526667 6648317.007616453 34.59, -35012.20208907779 6648316.706123587 34.59, -35011.73441922269 6648316.421884398 34.58, -35011.255852086935 6648316.146726141 34.58, -35010.75458221277 6648315.899718842 34.58, -35010.56115736964 6648315.8116315715 34.57, -35010.22243685031 6648315.65997612 34.57, -35010.20245864219 6648315.6581597645 34.57, -35009.65759964613 6648315.44747618 34.57, -35009.060070600826 6648315.262219025 34.58, -35008.52883257752 6648315.123275525 34.59, -35008.43075789185 6648315.094215546 34.59, -35008.25277037453 6648315.057890152 34.6, -35008.222803062294 6648315.0551656205 34.6, -35007.76784516615 6648314.9634439545 34.61, -35007.051354215946 6648314.868087896 34.64, -35006.67176826915 6648314.833577167 34.660000000000004, -35006.27129593876 6648314.807239193 34.67, -35006.120551204775 6648314.803605642 34.68, -35006.01975198975 6648314.804512976 34.68, -35005.42585398245 6648314.800876051 34.71, -35005.253314687754 6648314.815404355 34.72, -35004.47234740213 6648314.875333073 34.76, -35003.35810615157 6648315.056036685 34.81, -35003.00757850625 6648315.145027912 34.83, -35001.9623519727 6648315.452866177 34.87, -35001.67085077509 6648315.557295567 34.89, -35001.49286242388 6648315.631758485 34.89, -35001.40931688831 6648315.664449487 34.89, -34999.95271486696 6648316.730548888 34.550000000000004, -34999.88733118493 6648316.785034446 34.550000000000004, -34999.18173249287 6648317.345327337 34.56, -34999.10635970766 6648317.398904719 34.56, -34998.33628551301 6648318.003694057 34.57, -34997.56530314393 6648318.618472491 34.58, -34996.793412599596 6648319.243240018 34.59, -34996.03241933754 6648319.858926615 34.59, -34995.989738393924 6648319.885261215 34.59, -34994.563102865824 6648321.064873361 34.61, -34993.9546715318 6648321.553426977 34.62, -34992.98572177754 6648322.351640229 34.63, -34990.85984398564 6648324.132409721 34.660000000000004, -34988.76211715955 6648325.935881888 34.71, -34988.00838848727 6648326.582443887 34.72, -34986.7706386114 6648327.678512058 34.75, -34985.5419696637 6648328.785477487 34.79, -34983.719398541376 6648330.442747393 34.83, -34981.92588655313 6648332.112730887 34.88, -34980.149628239335 6648333.8144979905 34.93, -34978.39243995433 6648335.528070504 34.980000000000004, -34976.81959724834 6648337.097256382 35.02, -34975.266732746386 6648338.668258578 35.06, -34974.932548929704 6648339.020599059 35.07, -34974.58837601205 6648339.37203136 35.09, -34973.06275427877 6648340.975725334 35.14, -34971.54621346737 6648342.590316546 35.2, -34969.890731689986 6648344.403780682 35.26, -34968.244330832385 6648346.228142051 35.33, -34966.62608091417 6648348.075206106 35.39, -34965.025992833194 6648349.94406467 35.45, -34963.44497476728 6648351.824728643 35.51, -34961.89210763504 6648353.728095303 35.56, -34960.0513694539 6648356.028299604 35.63, -34958.84267522511 6648357.580233958 35.67, -34957.34520176402 6648359.538995052 35.72, -34955.877695590374 6648361.500480632 35.78, -34954.428351241746 6648363.483760726 35.83, -34952.997168717324 6648365.488835329 35.89, -34951.595045294496 6648367.506623525 35.980000000000004, -34950.21199187264 6648369.536217135 36.06, -34948.84800845117 6648371.577616155 36.15, -34947.51217594545 6648373.641717871 36.24, -34946.78205374791 6648374.8040806325 36.29, -34945.32090115396 6648377.138795206 36.39, -34943.89788856346 6648379.497120649 36.49, -34942.3985940885 6648382.029800702 36.6, -34941.17718156765 6648384.164734956 36.7, -34939.98482813407 6648386.312382808 36.79, -34938.81154468877 6648388.471836077 36.89, -34937.6573312307 6648390.643094768 36.980000000000004, -34936.53217685572 6648392.8270670585 37.09, -34935.43608156231 6648395.023752951 37.2, -34934.359056251706 6648397.232244269 37.31, -34933.311090019764 6648399.453449189 37.42, -34932.28219376854 6648401.686459534 37.57, -34931.28235659283 6648403.932183485 37.72, -34930.391493109986 6648405.976310024 37.86, -34929.53059688979 6648408.02316108 38, -34929.35078945407 6648408.44996675 38.02, -34928.42904858501 6648410.72293425 38.17, -34927.748867005226 6648412.443778725 38.29, -34927.08957178204 6648414.156450451 38.4, -34926.43935745093 6648415.880019439 38.51, -34925.80821310729 6648417.615393871 38.62, -34924.98363850475 6648419.927410364 38.75, -34924.17813387234 6648422.251232285 38.88, -34923.41258558445 6648424.578686915 39.01, -34922.6651990792 6648426.927936074 39.15, -34921.94868800661 6648429.269920663 39.28, -34921.25124689902 6648431.623710691 39.410000000000004, -34920.58286485181 6648433.9902143385 39.54, -34919.94445004896 6648436.359442517 39.67, -34919.20159950992 6648439.212687219 39.82, -34918.50778619887 6648442.080461908 39.980000000000004, -34918.434226919664 6648442.446425685 40, -34918.241694243625 6648444.231749151 40.08, -34918.07004791871 6648446.008899887 40.160000000000004, -34917.88296142942 6648448.066653469 40.26, -34917.70677026117 6648450.336902596 40.36, -34917.55055724108 6648452.608968089 40.46, -34917.45428455016 6648454.2217533095 40.54, -34917.36800093297 6648455.835446716 40.61, -34917.35528533894 6648456.086082272 40.62, -34917.346202494344 6648456.296761452 40.63, -34917.31895492796 6648456.818010761 40.660000000000004, -34917.279898009496 6648457.801482998 40.71, -34917.241749270586 6648458.774966139 40.76, -34917.21268143121 6648459.759346558 40.81, -34917.199056668556 6648460.130759445 40.83, -34917.1845217715 6648460.733737885 40.86, -34917.17180324753 6648461.316738135 40.89, -34917.15545391617 6648461.718118304 40.910000000000004, -34917.149999917834 6648462.331994027 40.94, -34917.137283335556 6648462.693417816 40.96, -34917.12910379248 6648463.448049054 41, -34917.11183064245 6648465.6320300065 41.11, -34917.102738979855 6648466.839803261 41.18, -34917.12178841198 6648469.178161573 41.300000000000004, -34917.15355145978 6648471.487460789 41.410000000000004, -34917.1571802838 6648471.890657332 41.44, -34917.106321705505 6648472.450046634 41.47, -34917.019135565264 6648473.408999722 41.53, -34916.941030323156 6648474.378850089 41.58, -34916.8638332627 6648475.338711364 41.64, -34916.78663619433 6648476.298572636 41.7, -34916.71852002398 6648477.269331189 41.75, -34916.65131203516 6648478.230100647 41.81, -34916.584104038775 6648479.190870104 41.87, -34916.525976939825 6648480.162536843 41.93, -34916.4787471171 6648481.125122676 41.980000000000004, -34916.4215281927 6648482.086800317 42.04, -34916.383379259496 6648483.060283431 42.1, -34916.33614941395 6648484.022869259 42.160000000000004, -34916.29890865518 6648484.986363278 42.21, -34916.271656983066 6648485.950765484 42.27, -34916.24349711323 6648486.925156786 42.33, -34916.21624542575 6648487.889558991 42.38, -34916.19898282504 6648488.854869385 42.44, -34916.18172021676 6648489.82017978 42.5, -34916.16445760033 6648490.785490173 42.56, -34916.15718407079 6648491.751708754 42.61, -34916.15989962779 6648492.718835529 42.67, -34916.152626083116 6648493.685054109 42.730000000000004, -34916.1553416244 6648494.652180883 42.79, -34916.16804625245 6648495.620215846 42.83, -34916.18075087271 6648496.588250809 42.87, -34916.18347142218 6648497.001436437 42.89, -34916.19436367613 6648497.546296677 42.92, -34916.217057375005 6648498.515239829 42.96, -34916.24974016065 6648499.485091174 43, -34916.26335697679 6648499.999984128 43.03, -34916.27334203513 6648500.444045232 43.050000000000004, -34916.2851444839 6648500.757339921 43.06, -34916.28423528315 6648500.878117243 43.07, -34916.23519295477 6648501.41752833 43.1, -34916.157087489264 6648502.387378666 43.15, -34916.07898201689 6648503.357228995 43.2, -34915.99996834493 6648504.337068418 43.25, -34915.93185195082 6648505.30782694 43.300000000000004, -34915.873724643025 6648506.279493649 43.35, -34915.87100006803 6648506.309460931 43.35, -34915.81468913588 6648507.261149454 43.4, -34915.75656181271 6648508.232816158 43.45, -34915.707515383954 6648509.215380151 43.51, -34915.65937713906 6648510.187955048 43.56, -34915.61033069447 6648511.170519034 43.61, -34915.572181528085 6648512.144002123 43.660000000000004, -34915.543113255524 6648513.128382496 43.71, -34915.5240371339 6648513.781306378 43.74, -34915.51495316741 6648514.102773772 43.76, -34915.48588487902 6648515.087154143 43.82, -34915.4668056767 6648516.072442702 43.88, -34915.44772646646 6648517.057731262 43.94, -34915.42955544079 6648518.033030729 44, -34915.42864212033 6648518.596960956 44.04, -34915.430454402114 6648519.020135674 44.06, -34915.421364261536 6648520.0063324245 44.12, -34915.42226320703 6648520.993437368 44.18, -34915.42407033744 6648521.970553217 44.24, -34915.43495836051 6648522.958566354 44.31, -34915.44584637566 6648523.946579488 44.37, -34915.46672347642 6648524.935500817 44.43, -34915.48760056903 6648525.924422145 44.49, -34915.518466747366 6648526.914251668 44.550000000000004, -34915.55024111131 6648527.894092096 44.61, -34915.58110727358 6648528.883921618 44.67, -34915.62196252181 6648529.8746593315 44.730000000000004, -34915.643752951175 6648530.299650437 44.76, -34915.73455780523 6648530.851776216 44.79, -34916.24579097936 6648533.758609799 44.95, -34916.71162375435 6648536.167804057 45.08, -34917.187445576536 6648538.577906521 45.21, -34917.70413192117 6648540.981652687 45.35, -34918.241704601445 6648543.377226168 45.480000000000004, -34918.79925542313 6648545.774616058 45.62, -34919.398578964756 6648548.155660561 45.75, -34920.00789155497 6648550.537613278 45.88, -34920.65806867147 6648552.913209707 46.02, -34921.33004032285 6648555.27064436 46.160000000000004, -34922.0219901182 6648557.629895435 46.300000000000004, -34922.74481534865 6648559.981882022 46.45, -34923.48943511688 6648562.315706843 46.59, -34924.2640221254 6648564.652256277 46.72, -34925.06948457088 6648566.981541242 46.85, -34925.798669155454 6648569.042027814 46.96, -34926.74488489039 6648571.595614962 47.1, -34927.606650066795 6648573.859517336 47.22, -34928.4902097889 6648576.105257949 47.35, -34929.29839987017 6648578.072211065 47.480000000000004, -34930.116579018184 6648580.040072406 47.61, -34930.40625625674 6648580.73113957 47.65, -34931.38879861275 6648582.995951354 47.800000000000004, -34932.383146423264 6648585.241693182 47.95, -34932.79450699047 6648586.145257041 48.01, -34933.61813630676 6648587.942395675 48.13, -34934.03040505585 6648588.835970456 48.19, -34934.13211021689 6648589.046650734 48.2, -34934.24198807462 6648589.278217401 48.22, -34934.316450547776 6648589.4562058 48.230000000000004, -34934.45266289369 6648589.730453441 48.25, -34935.35892842559 6648591.615678674 48.38, -34936.27518302819 6648593.501812133 48.51, -34937.55376303231 6648596.055402968 48.68, -34938.84324028704 6648598.599912957 48.85, -34940.60128904192 6648601.9726152 49.07, -34942.38113231328 6648605.32715575 49.28, -34943.48445384228 6648607.371300752 49.410000000000004, -34944.75395494001 6648609.69241808 49.550000000000004, -34945.64569345955 6648611.294316139 49.65, -34946.528351068846 6648612.88531692 49.75, -34948.322725325124 6648616.0800322555 49.94, -34949.63399908156 6648618.3848043755 50.09, -34950.54662390752 6648619.978529865 50.19, -34950.997941767215 6648620.774938516 50.24, -34951.460156919784 6648621.562266282 50.29, -34953.28631469724 6648624.7397282785 50.49, -34954.549460384296 6648626.909193124 50.620000000000005, -34955.8026169471 6648629.077749806 50.76, -34957.06667078019 6648631.237225642 50.910000000000004, -34957.69324903726 6648632.321504021 50.980000000000004, -34958.31982728676 6648633.405782413 51.050000000000004, -34960.84521020448 6648637.75470159 51.36, -34963.36060391215 6648642.102712738 51.660000000000004, -34965.11683876475 6648645.163029649 51.86, -34966.86217625986 6648648.232427541 52.07, -34968.34507717029 6648650.865026423 52.24, -34969.57371420448 6648653.081712661 52.38, -34970.79327031574 6648655.2875016425 52.52, -34972.01100998721 6648657.513268863 52.660000000000004, -34973.2087714331 6648659.737219717 52.800000000000004, -34974.39472734078 6648661.980240601 52.94, -34975.56978591322 6648664.232342419 53.08, -34976.723958053044 6648666.492616964 53.230000000000004, -34977.86814106209 6648668.751983347 53.370000000000005, -34979.25478114665 6648671.55712081 53.54, -34980.60963747429 6648674.3795119105 53.71, -34981.44507124415 6648676.157581816 53.81, -34982.27051589487 6648677.934743542 53.910000000000004, -34983.31843940553 6648680.2558599515 54.04, -34983.56725275016 6648680.842495621 54.07, -34983.701648519025 6648681.136721667 54.09, -34983.82696339663 6648681.42005041 54.1, -34984.34547647589 6648682.585149079 54.160000000000004, -34985.35071889858 6648684.932600028 54.26, -34986.33598308626 6648687.278234601 54.36, -34987.00432784273 6648688.900109568 54.43, -34987.66177527513 6648690.531065442 54.5, -34988.309233590146 6648692.161113124 54.57, -34988.94579457934 6648693.800241719 54.63, -34990.06726719253 6648696.752489159 54.76, -34990.94719094876 6648699.148976413 54.85, -34991.38215826184 6648700.346765948 54.9, -34991.807136466145 6648701.543647282 54.95, -34992.6461955352 6648703.9464908615 55.050000000000004, -34993.464368155575 6648706.357507152 55.15, -34994.04825765069 6648708.132850414 55.230000000000004, -34994.62124981382 6648709.917274582 55.300000000000004, -34995.027156738215 6648711.213138753 55.35, -34995.773589117685 6648713.637775862 55.45, -34996.50821593357 6648716.081482987 55.54, -34997.211967197945 6648718.532454606 55.620000000000005, -34997.89574021869 6648720.981609831 55.7, -34998.24262065231 6648722.262035703 55.75, -34998.73206699104 6648724.079150699 55.800000000000004, -34999.20062689623 6648725.904438386 55.86, -34999.93797199824 6648728.872119812 55.95, -34999.989731466514 6648729.078259259 55.96, -35000.028778426 6648729.202669497 55.96, -35000.48825614469 6648731.127848205 56.02, -35000.99404402729 6648733.31910096 56.08, -35001.4789454625 6648735.518526413 56.15, -35001.542509212275 6648735.816384174 56.15, -35001.91753544437 6648737.562666132 56.2, -35002.282572553726 6648739.308039889 56.25, -35002.636712327716 6648741.062494541 56.29, -35002.97178209224 6648742.805143679 56.33, -35003.53386284306 6648745.817320263 56.410000000000004, -35003.97063126741 6648748.324591428 56.47, -35004.39741054166 6648750.830954395 56.53, -35004.73610804055 6648752.976800369 56.58, -35005.053919091006 6648755.13081903 56.63, -35005.16833150911 6648755.866381962 56.64, -35005.51247320045 6648758.395446561 56.7, -35005.84753395431 6648760.913613858 56.75, -35006.15081093274 6648763.4490347225 56.81, -35006.43501787528 6648765.972650069 56.85, -35006.74373773625 6648769.002077852 56.9, -35006.866315174964 6648770.423257003 56.93, -35007.10057268932 6648773.274696194 56.96, -35007.31485193898 6648776.124318964 57, -35007.44287097722 6648778.150293322 57.02, -35007.55999266775 6648780.185348564 57.04, -35007.7061619513 6648783.230212241 57.07, -35007.83235296176 6648786.273259485 57.1, -35007.91405281308 6648788.808677869 57.13, -35007.98485529621 6648791.353177138 57.15, -35008.0265986477 6648793.884962658 57.17, -35008.0583528477 6648796.41583996 57.2, -35008.074675031006 6648798.451802147 57.21, -35008.06917933596 6648802.500115449 57.25, -35008.033716211095 6648806.545704093 57.27, -35008.00100095093 6648808.567136081 57.29, -35007.94285555789 6648810.868262817 57.31, -35007.91832328483 6648812.024274842 57.31, -35007.89469921915 6648813.170297766 57.32, -35007.78931857075 6648816.65558737 57.32, -35007.603098516935 6648821.6946364585 57.34, -35007.38600274187 6648826.740949957 57.35, -35007.27973058331 6648828.795980771 57.34, -35007.172550170915 6648830.861000676 57.34, -35006.94910836255 6648834.980143152 57.33, -35006.85464424675 6648836.79452738 57.32, -35006.69660469459 6648839.308148436 57.31, -35006.549462408526 6648841.812688608 57.29, -35006.233383045765 6648846.839930679 57.24, -35005.9699856434 6648850.844651886 57.2, -35005.90913082089 6648851.846286297 57.18, -35005.65481680876 6648855.640328206 57.14, -35005.58487839112 6648856.852641875 57.120000000000005, -35005.57761127781 6648857.043342948 57.120000000000005, -35005.52402351936 6648857.854276275 57.11, -35005.30058214511 6648861.862630304 57.06, -35005.0280912352 6648866.853548726 56.99, -35004.75469189847 6648871.854456211 56.92, -35004.51216787065 6648876.848099238 56.83, -35004.414066156955 6648879.03480462 56.78, -35004.2523764791 6648882.9178413935 56.72, -35004.10975664714 6648886.812683694 56.65, -35004.024364414625 6648889.302694854 56.6, -35003.95895032468 6648891.794522458 56.550000000000004, -35003.92715148511 6648893.03044716 56.53, -35003.910797948134 6648893.653404061 56.51, -35003.89444440813 6648894.276360958 56.5, -35003.84900840954 6648896.770005 56.46, -35003.814469681354 6648899.254568161 56.410000000000004, -35003.79082822369 6648901.730050452 56.36, -35003.786256683175 6648904.217338286 56.31, -35003.78988128214 6648904.84211163 56.29, -35003.794414103264 6648905.4568958795 56.29, -35003.792582413764 6648906.695545245 56.27, -35003.818886286695 6648909.175568652 56.230000000000004, -35003.837032752344 6648910.416034467 56.22, -35003.85155464173 6648911.0317269415 56.21, -35003.855179204955 6648911.656500287 56.2, -35003.922347588115 6648914.130167497 56.15, -35003.9895159204 6648916.603834712 56.11, -35004.093913113 6648919.3326787 56.06, -35004.230093986494 6648922.044269175 56.02, -35004.350843350985 6648924.260944567 55.97, -35004.420753000886 6648925.375185036 55.95, -35004.46070236992 6648925.932759386 55.93, -35004.4915708676 6648926.47943641 55.92, -35008.25201931549 6648926.217042948 56.56, -35009.50615905179 6648922.060681655 57.68, -35008.938789237174 6648906.700150123 57.86, -35009.27866366063 6648887.01071347 58.24, -35009.8118767289 6648874.16745071 58.480000000000004, -35011.4431535881 6648847.14239084 58.84, -35012.053517546155 6648837.106067989 58.910000000000004, -35013.00272350281 6648816.8073015455 58.94, -35012.64880216785 6648796.440411924 58.5, -35013.46723988699 6648775.696673784 57.92, -35010.32816817833 6648755.167202426 58.22, -35009.03966519644 6648746.962496951 58.050000000000004, -35008.66464279895 6648744.88384996 57.97, -35010.24386203161 6648742.026074263 57.46, -35010.22933310678 6648741.964323245 57.43, -35009.61375746259 6648731.453957292 54.99, -35005.313162521226 6648715.945364095 54.01, -35001.62004474597 6648704.168164614 53.26, -34996.71281473362 6648690.5683945455 53.230000000000004, -34991.72656111978 6648678.613195089 52.85, -34985.22198104905 6648664.8581250515 51.46, -34982.012818694115 6648658.613991226 51.17, -34977.92009059293 6648650.7888453305 50.81, -34974.94793795515 6648644.928841234 50.74, -34970.77346746088 6648638.33507978 50.42, -34970.55552714667 6648637.962756302 50.4, -34968.797475628904 6648634.92241754 50.27, -34968.02287956397 6648633.58296127 50.22, -34967.290963351494 6648632.3279588055 50.18, -34965.49749635556 6648629.234041908 50, -34964.87000983115 6648628.159752565 49.94, -34964.243431501905 6648627.075474139 49.870000000000005, -34962.98028572602 6648624.906009113 49.75, -34961.83155874524 6648622.918165398 49.63, -34961.7271290184 6648622.7374523375 49.620000000000005, -34960.472155879484 6648620.588873795 49.52, -34960.046264267876 6648619.845135166 49.480000000000004, -34958.65417058475 6648617.432298052 49.24, -34958.20194447541 6648616.6458784565 49.160000000000004, -34957.750626563444 6648615.849469766 49.08, -34957.66254221671 6648615.710529506 49.07, -34956.85525522125 6648614.2875279 48.93, -34956.86342791526 6648614.308414294 48.93, -34956.81166714756 6648614.213063221 48.92, -34955.553062208346 6648611.993652979 48.78, -34953.775033133454 6648608.840710285 48.59, -34953.194767355686 6648607.800929438 48.52, -34952.901456317166 6648607.2606067285 48.51, -34952.20858808898 6648606.019226465 48.47, -34952.02787948528 6648605.680503188 48.46, -34943.98137426854 6648588.280311017 47.88, -34940.81308208662 6648581.143518924 47.62, -34936.29901858838 6648570.530505951 47.22, -34930.8940647376 6648564.39896023 46.730000000000004, -34931.1592645176 6648560.817415134 46.51, -34928.97720162687 6648550.144491282 45.86, -34925.102507592645 6648532.166793123 44.75, -34923.06308895617 6648513.389076562 43.62, -34923.702563189436 6648494.613200957 42.49, -34924.37109262869 6648475.960826899 41.36, -34924.725418247166 6648457.10866766 40.230000000000004, -34927.89121777599 6648438.461763 39.09, -34933.370849394356 6648420.397877215 37.96, -34942.052430612384 6648403.561768082 36.82, -34954.526218609186 6648389.104910943 35.67, -34957.2550861754 6648386.009218438 35.42, -34957.944343062 6648384.964000293 35.35, -34966.96915947355 6648371.110090364 34.35, -34972.09091003798 6648363.296833191 34.14, -34978.08806763566 6648355.7142398795 34.17, -34984.11518803483 6648348.688311832 34.42, -34991.21567625331 6648342.595919164 34.68, -34998.10094697564 6648336.212023716 34.69, -35005.34310184198 6648329.780000953 34.49, -35024.374182550004 6648328.83118257 35))</t>
  </si>
  <si>
    <t>['EV39 S88D1 m1611-1678']</t>
  </si>
  <si>
    <t>LINESTRING Z (-35036.8227803394 6648282.857746783 34.19, -35036.69564566086 6648282.9267615415 34.19, -35034.57158804359 6648284.133612413 34.25, -35014.660503007355 6648292.213748951 34.87, -35014.49250375363 6648292.28912009 34.89, -35013.56532924902 6648292.7386232205 34.97, -35011.785444864654 6648293.594041166 34.99, -35010.00465232681 6648294.4594481895 35.02, -35009.41529269575 6648294.738230817 35.03, -35008.82593306713 6648295.017013438 35.050000000000004, -35007.64812199259 6648295.564589565 35.09, -35006.468494575936 6648296.132143895 35.12, -35005.29885627341 6648296.700606389 35.15, -35002.959579695715 6648297.837531343 35.22, -35001.789033244946 6648298.415982909 35.25, -35001.20784639928 6648298.715651878 35.27, -35000.627567731426 6648299.005331743 35.29, -34999.149173785816 6648299.757228262 35.300000000000004, -34997.07960392162 6648300.807885537 35.29, -34995.01820683689 6648301.8794291625 35.28, -34994.427030914 6648302.178189922 35.27, -34993.80316315673 6648302.504193463 35.26, -34993.01129617344 6648302.905568114 35.25, -34992.162219105056 6648303.271526394 35.24, -34991.284081244725 6648303.846347654 35.26, -34990.490397089394 6648304.378488799 35.29, -34990.41502431501 6648304.432066184 35.29, -34989.62134016317 6648304.964207322 35.26, -34989.545967389364 6648305.017784705 35.27, -34988.66782954114 6648305.592605938 35.29, -34987.798772623064 6648306.178324442 35.31, -34986.91972660646 6648306.763134767 35.33, -34986.050669696415 6648307.348853252 35.35, -34986.00798875897 6648307.375187856 35.35, -34984.35705317743 6648308.473977398 35.39, -34983.66961730446 6648308.945276533 35.410000000000004, -34982.60713309166 6648309.775272644 35.44, -34980.24696544197 6648311.585099676 35.52, -34977.92402969138 6648313.428526649 35.62, -34977.07858288684 6648314.0868932875 35.660000000000004, -34975.67011033604 6648315.177511595 35.730000000000004, -34975.32412702404 6648314.773404131 35.61, -34976.297643492115 6648310.490808357 35.34, -34976.159624146065 6648308.907079592 35.32, -34978.0920733182 6648307.481375965 35.28, -34980.63022167364 6648306.594180627 35.24, -34986.21597856062 6648302.76112908 35.13, -34990.12809561961 6648300.2765944665 35.06, -35001.05803795147 6648294.935226505 34.87, -35003.21478854399 6648293.479556711 34.82, -35004.307239330374 6648292.763073159 34.79, -35005.38970101846 6648292.045681424 34.77, -35006.482151817065 6648291.329197851 34.74, -35007.01702585176 6648290.985031539 34.72, -35007.57369444682 6648290.622703367 34.72, -35009.252781170886 6648289.54661611 34.7, -35010.92006245605 6648288.489598859 34.68, -35011.80637315172 6648287.935663784 34.660000000000004, -35011.93441598106 6648287.856659939 34.660000000000004, -35012.65000290878 6648287.408063316 34.65, -35012.62911652471 6648287.416236069 34.65, -35012.671797467745 6648287.3899014555 34.65, -35012.79984029755 6648287.31089761 34.64, -35013.2693306735 6648287.021216845 34.63, -35013.57899455668 6648286.8277936075 34.63, -35013.728831946035 6648286.730627904 34.62, -35014.61332630634 6648286.19667101 34.61, -35014.85851468891 6648286.047744245 34.61, -35015.06193030276 6648285.915162992 34.61, -35015.27533502178 6648285.783489913 34.61, -35015.49872884585 6648285.652725007 34.6, -35016.383223215 6648285.1187681025 34.57, -35017.267717588926 6648284.584811188 34.54, -35018.16310924734 6648284.041773332 34.52, -35021.70835138799 6648281.936821061 34.43, -35025.27992822265 6648279.874549616 34.35, -35028.3493228748 6648278.129201687 34.27, -35036.8227803394 6648282.857746783 34.19)</t>
  </si>
  <si>
    <t>POLYGON Z ((-35036.8227803394 6648282.857746783 34.19, -35036.69564566086 6648282.9267615415 34.19, -35034.57158804359 6648284.133612413 34.25, -35014.660503007355 6648292.213748951 34.87, -35014.49250375363 6648292.28912009 34.89, -35013.56532924902 6648292.7386232205 34.97, -35011.785444864654 6648293.594041166 34.99, -35010.00465232681 6648294.4594481895 35.02, -35009.41529269575 6648294.738230817 35.03, -35008.82593306713 6648295.017013438 35.050000000000004, -35007.64812199259 6648295.564589565 35.09, -35006.468494575936 6648296.132143895 35.12, -35005.29885627341 6648296.700606389 35.15, -35002.959579695715 6648297.837531343 35.22, -35001.789033244946 6648298.415982909 35.25, -35001.20784639928 6648298.715651878 35.27, -35000.627567731426 6648299.005331743 35.29, -34999.149173785816 6648299.757228262 35.300000000000004, -34997.07960392162 6648300.807885537 35.29, -34995.01820683689 6648301.8794291625 35.28, -34994.427030914 6648302.178189922 35.27, -34993.80316315673 6648302.504193463 35.26, -34993.01129617344 6648302.905568114 35.25, -34992.162219105056 6648303.271526394 35.24, -34991.284081244725 6648303.846347654 35.26, -34990.490397089394 6648304.378488799 35.29, -34990.41502431501 6648304.432066184 35.29, -34989.62134016317 6648304.964207322 35.26, -34989.545967389364 6648305.017784705 35.27, -34988.66782954114 6648305.592605938 35.29, -34987.798772623064 6648306.178324442 35.31, -34986.91972660646 6648306.763134767 35.33, -34986.050669696415 6648307.348853252 35.35, -34986.00798875897 6648307.375187856 35.35, -34984.35705317743 6648308.473977398 35.39, -34983.66961730446 6648308.945276533 35.410000000000004, -34982.60713309166 6648309.775272644 35.44, -34980.24696544197 6648311.585099676 35.52, -34977.92402969138 6648313.428526649 35.62, -34977.07858288684 6648314.0868932875 35.660000000000004, -34975.67011033604 6648315.177511595 35.730000000000004, -34975.32412702404 6648314.773404131 35.61, -34976.297643492115 6648310.490808357 35.34, -34976.159624146065 6648308.907079592 35.32, -34978.0920733182 6648307.481375965 35.28, -34980.63022167364 6648306.594180627 35.24, -34986.21597856062 6648302.76112908 35.13, -34990.12809561961 6648300.2765944665 35.06, -35001.05803795147 6648294.935226505 34.87, -35003.21478854399 6648293.479556711 34.82, -35004.307239330374 6648292.763073159 34.79, -35005.38970101846 6648292.045681424 34.77, -35006.482151817065 6648291.329197851 34.74, -35007.01702585176 6648290.985031539 34.72, -35007.57369444682 6648290.622703367 34.72, -35009.252781170886 6648289.54661611 34.7, -35010.92006245605 6648288.489598859 34.68, -35011.80637315172 6648287.935663784 34.660000000000004, -35011.93441598106 6648287.856659939 34.660000000000004, -35012.65000290878 6648287.408063316 34.65, -35012.62911652471 6648287.416236069 34.65, -35012.671797467745 6648287.3899014555 34.65, -35012.79984029755 6648287.31089761 34.64, -35013.2693306735 6648287.021216845 34.63, -35013.57899455668 6648286.8277936075 34.63, -35013.728831946035 6648286.730627904 34.62, -35014.61332630634 6648286.19667101 34.61, -35014.85851468891 6648286.047744245 34.61, -35015.06193030276 6648285.915162992 34.61, -35015.27533502178 6648285.783489913 34.61, -35015.49872884585 6648285.652725007 34.6, -35016.383223215 6648285.1187681025 34.57, -35017.267717588926 6648284.584811188 34.54, -35018.16310924734 6648284.041773332 34.52, -35021.70835138799 6648281.936821061 34.43, -35025.27992822265 6648279.874549616 34.35, -35028.3493228748 6648278.129201687 34.27, -35036.8227803394 6648282.857746783 34.19))</t>
  </si>
  <si>
    <t>['EV39 S88D1 m1680-1769']</t>
  </si>
  <si>
    <t>LINESTRING Z (-35111.32105181238 6648234.35748764 32.1, -35118.69570099213 6648240.869537636 32.02, -35116.838626171 6648241.798512732 32.06, -35109.735428555985 6648245.37275126 32.24, -35100.77515665197 6648249.875964243 32.46, -35096.29002634378 6648252.1271164045 32.57, -35091.81488528068 6648254.379176583 32.67, -35082.854614441516 6648258.882388282 32.89, -35080.29012637038 6648260.170057875 32.95, -35080.26923997572 6648260.1782306405 32.95, -35078.36948466627 6648261.133539805 33, -35073.88435502467 6648263.384691167 33.13, -35071.64587663533 6648264.520709984 33.19, -35069.40830645233 6648265.646739651 33.26, -35068.51019075804 6648266.108956804 33.28, -35067.61298324296 6648266.561184839 33.31, -35067.02180703322 6648266.85994594 33.33, -35064.92045255564 6648267.92785802 33.39, -35063.125129399356 6648268.842303144 33.44, -35059.5435640848 6648270.682090594 33.54, -35055.97107978852 6648272.532775225 33.65, -35054.18392949726 6648273.468106611 33.7, -35053.29580300115 6648273.931231823 33.72, -35052.39677922707 6648274.4034379665 33.75, -35051.50865274086 6648274.8665631665 33.78, -35051.06368132506 6648275.108114876 33.79, -35049.730583434924 6648275.8127917675 33.83, -35048.84154878929 6648276.285906057 33.86, -35047.9516059747 6648276.769009448 33.88, -35047.06257133931 6648277.242123724 33.910000000000004, -35045.28359390958 6648278.198341362 33.96, -35044.39365111478 6648278.681444727 33.99, -35040.971003775136 6648280.545751526 34.08, -35038.700741383014 6648281.809811777 34.14, -35038.288538000896 6648271.610015647 34.04, -35040.00485611393 6648270.678316236 33.99, -35040.92749068956 6648270.167970024 33.96, -35042.73825166549 6648269.194498603 33.910000000000004, -35043.638183520874 6648268.712303348 33.88, -35044.579888158594 6648268.213762564 33.86, -35045.44803635462 6648267.7488209875 33.83, -35046.802020543255 6648267.035971265 33.79, -35047.23609464662 6648266.80350047 33.78, -35047.25698103558 6648266.79532771 33.78, -35048.16690202488 6648266.314040593 33.75, -35049.05502845661 6648265.850915339 33.72, -35049.954052175046 6648265.37870914 33.7, -35051.76208873512 6648264.435204902 33.65, -35055.366356464336 6648262.56726639 33.54, -35058.96880793176 6648260.719305983 33.44, -35060.77502825181 6648259.795779829 33.39, -35062.887279873365 6648258.7187867 33.33, -35063.47845604434 6648258.420025567 33.31, -35064.37657167378 6648257.9578083735 33.28, -35065.28376824455 6648257.506488458 33.26, -35067.53223556385 6648256.371377732 33.19, -35069.78070291644 6648255.236266966 33.13, -35074.26674043876 6648252.975126252 33, -35076.16649562423 6648252.019816986 32.95, -35076.18738201761 6648252.01164422 32.95, -35078.751869921456 6648250.72397449 32.89, -35087.71214017703 6648246.220762303 32.67, -35092.19727006019 6648243.969610056 32.57, -35096.68240007642 6648241.718457649 32.46, -35105.64267139719 6648237.215244183 32.24, -35111.32105181238 6648234.35748764 32.1)</t>
  </si>
  <si>
    <t>POLYGON Z ((-35111.32105181238 6648234.35748764 32.1, -35118.69570099213 6648240.869537636 32.02, -35116.838626171 6648241.798512732 32.06, -35109.735428555985 6648245.37275126 32.24, -35100.77515665197 6648249.875964243 32.46, -35096.29002634378 6648252.1271164045 32.57, -35091.81488528068 6648254.379176583 32.67, -35082.854614441516 6648258.882388282 32.89, -35080.29012637038 6648260.170057875 32.95, -35080.26923997572 6648260.1782306405 32.95, -35078.36948466627 6648261.133539805 33, -35073.88435502467 6648263.384691167 33.13, -35071.64587663533 6648264.520709984 33.19, -35069.40830645233 6648265.646739651 33.26, -35068.51019075804 6648266.108956804 33.28, -35067.61298324296 6648266.561184839 33.31, -35067.02180703322 6648266.85994594 33.33, -35064.92045255564 6648267.92785802 33.39, -35063.125129399356 6648268.842303144 33.44, -35059.5435640848 6648270.682090594 33.54, -35055.97107978852 6648272.532775225 33.65, -35054.18392949726 6648273.468106611 33.7, -35053.29580300115 6648273.931231823 33.72, -35052.39677922707 6648274.4034379665 33.75, -35051.50865274086 6648274.8665631665 33.78, -35051.06368132506 6648275.108114876 33.79, -35049.730583434924 6648275.8127917675 33.83, -35048.84154878929 6648276.285906057 33.86, -35047.9516059747 6648276.769009448 33.88, -35047.06257133931 6648277.242123724 33.910000000000004, -35045.28359390958 6648278.198341362 33.96, -35044.39365111478 6648278.681444727 33.99, -35040.971003775136 6648280.545751526 34.08, -35038.700741383014 6648281.809811777 34.14, -35038.288538000896 6648271.610015647 34.04, -35040.00485611393 6648270.678316236 33.99, -35040.92749068956 6648270.167970024 33.96, -35042.73825166549 6648269.194498603 33.910000000000004, -35043.638183520874 6648268.712303348 33.88, -35044.579888158594 6648268.213762564 33.86, -35045.44803635462 6648267.7488209875 33.83, -35046.802020543255 6648267.035971265 33.79, -35047.23609464662 6648266.80350047 33.78, -35047.25698103558 6648266.79532771 33.78, -35048.16690202488 6648266.314040593 33.75, -35049.05502845661 6648265.850915339 33.72, -35049.954052175046 6648265.37870914 33.7, -35051.76208873512 6648264.435204902 33.65, -35055.366356464336 6648262.56726639 33.54, -35058.96880793176 6648260.719305983 33.44, -35060.77502825181 6648259.795779829 33.39, -35062.887279873365 6648258.7187867 33.33, -35063.47845604434 6648258.420025567 33.31, -35064.37657167378 6648257.9578083735 33.28, -35065.28376824455 6648257.506488458 33.26, -35067.53223556385 6648256.371377732 33.19, -35069.78070291644 6648255.236266966 33.13, -35074.26674043876 6648252.975126252 33, -35076.16649562423 6648252.019816986 32.95, -35076.18738201761 6648252.01164422 32.95, -35078.751869921456 6648250.72397449 32.89, -35087.71214017703 6648246.220762303 32.67, -35092.19727006019 6648243.969610056 32.57, -35096.68240007642 6648241.718457649 32.46, -35105.64267139719 6648237.215244183 32.24, -35111.32105181238 6648234.35748764 32.1))</t>
  </si>
  <si>
    <t>['EV39 S88D1 m583-707', 'EV39 S88D1 m707-948']</t>
  </si>
  <si>
    <t>LINESTRING Z (-35006.34931682318 6648944.374492993 55.6, -35013.692127009504 6648951.568561544 55.46, -35014.42583364702 6648954.5762008 55.410000000000004, -35019.55818281951 6648972.789137116 55.160000000000004, -35026.18708629871 6648990.493558137 54.9, -35034.18541095429 6649007.647690122 54.64, -35046.051310192444 6649026.684369862 54.34, -35047.568716467824 6649028.9373889705 54.300000000000004, -35049.77625622635 6649032.904912214 54.24, -35051.61058586766 6649035.438538995 54.2, -35052.49506093096 6649036.566412508 54.18, -35053.617454875144 6649037.95763858 54.15, -35054.74166528706 6649039.328886481 54.13, -35056.268158327905 6649041.149649923 54.1, -35057.81735426979 6649042.942262583 54.06, -35059.388344876934 6649044.7167135645 54.03, -35059.77246578422 6649045.144434432 54.02, -35059.97315298091 6649045.374186751 54.01, -35060.184737514704 6649045.594858211 54.01, -35060.98113015061 6649046.473002867 54, -35062.59571009257 6649048.211130499 53.99, -35064.22209560452 6649049.930188213 53.96, -35065.881173126865 6649051.622003386 53.93, -35067.56113708392 6649053.305645984 53.89, -35069.26380395447 6649054.961137806 53.85, -35070.97918464092 6649056.587570609 53.81, -35072.71636000578 6649058.195841737 53.77, -35074.47533005115 6649059.785951189 53.730000000000004, -35075.37070696498 6649060.572379188 53.7, -35076.256094778655 6649061.357898964 53.69, -35078.049573328346 6649062.900787721 53.660000000000004, -35079.87483566417 6649064.426423045 53.63, -35079.959288135055 6649064.494531807 53.63, -35079.87483566417 6649064.426423045 53.63, -35086.26780508994 6649068.996077214 53.53, -35089.664070346626 6649071.409857649 53.480000000000004, -35097.32020342455 6649076.376370483 53.370000000000005, -35102.8750092705 6649079.973437644 53.300000000000004, -35108.56785086577 6649083.270833601 53.22, -35113.99190129398 6649086.090564724 53.14, -35122.185641263146 6649090.350584115 53.03, -35129.038137180614 6649093.078617788 52.95, -35134.177964617265 6649095.036557404 52.88, -35137.709550970816 6649096.515904879 52.83, -35139.740962930955 6649097.325052187 52.81, -35142.28091263049 6649098.079720618 52.78, -35148.68481892452 6649099.981376294 52.7, -35157.91563486867 6649102.694007212 52.58, -35167.018417402054 6649104.820911053 52.47, -35169.49207683175 6649105.529265701 52.44, -35171.21928267158 6649105.807169455 52.42, -35172.967374995584 6649106.0769005995 52.4, -35174.70638647943 6649106.3357344 52.38, -35176.44721447595 6649106.574589991 52.36, -35177.642274507205 6649106.723535727 52.35, -35178.2497936358 6649106.798916842 52.35, -35178.82734544168 6649106.871573221 52.34, -35181.20929294173 6649107.148578249 52.33, -35183.5930569761 6649107.405605068 52.300000000000004, -35185.989534898545 6649107.63357282 52.27, -35189.02713235491 6649107.899690007 52.230000000000004, -35190.67806014558 6649108.019583009 52.21, -35191.528950945474 6649108.076805572 52.2, -35192.32898795884 6649108.139476018 52.18, -35195.64355749544 6649108.350202964 52.120000000000005, -35198.06909631891 6649108.480096156 52.08, -35200.505532545736 6649108.60090849 52.03, -35202.94378531049 6649108.701742611 51.980000000000004, -35205.38294636877 6649108.7925876295 51.93, -35207.84390218742 6649108.86527092 51.89, -35210.28578807856 6649108.926148616 51.84, -35215.19226296572 6649109.019753177 51.74, -35216.44998435979 6649109.033392663 51.72, -35218.945448962855 6649109.0588551555 51.68, -35220.17229481472 6649109.079759023 51.660000000000004, -35225.14506249118 6649109.108889301 51.56, -35228.760217709816 6649109.115297647 51.49, -35232.40534037538 6649109.124430735 51.44, -35233.351582954754 6649109.129892863 51.42, -35235.16324698448 6649109.143540277 51.39, -35238.3652158716 6649109.152667043 51.34, -35241.78785358986 6649109.171786095 51.28, -35245.19142142194 6649109.1790995505 51.24, -35250.02343428065 6649109.205503574 51.17, -35252.44988401944 6649109.21461928 51.13, -35254.88541467639 6649109.23463235 51.1, -35255.30768223328 6649109.242811311 51.09, -35256.44462641992 6649109.255540997 51.07, -35260.97060855164 6649109.324621498 50.99, -35265.502946986235 6649109.434566721 50.910000000000004, -35268.073784300475 6649109.517240826 50.86, -35269.34875973896 6649109.562664195 50.84, -35269.981707028 6649109.579927202 50.83, -35270.30317523179 6649109.589012825 50.82, -35270.453011972364 6649109.602636508 50.82, -35270.633724307176 6649109.608995811 50.78, -35270.80444752576 6649109.614446868 50.75, -35270.96518162871 6649109.618989682 50.75, -35271.27666071884 6649109.627167062 50.74, -35271.90869977255 6649109.654419181 50.72, -35273.19275612186 6649109.710739917 50.69, -35275.75087974558 6649109.822473148 50.63, -35277.5153219786 6649109.912400562 50.59, -35277.20556882338 6649116.199191094 50.620000000000005, -35275.44112660445 6649116.109263588 50.660000000000004, -35272.922959465184 6649116.001163212 50.72, -35271.658881357405 6649115.946658902 50.75, -35271.026842308 6649115.919406748 50.77, -35270.705374103854 6649115.910321106 50.78, -35270.54464000196 6649115.905778284 50.78, -35270.39480326243 6649115.892154596 50.81, -35270.234069160884 6649115.887611772 50.85, -35270.073335059686 6649115.883068952 50.86, -35269.76185597363 6649115.874891558 50.86, -35269.12981693458 6649115.847639404 50.870000000000005, -35267.864830619656 6649115.803124217 50.9, -35265.33394978405 6649115.724082959 50.94, -35260.84156783461 6649115.617770487 51.02, -35256.35554218327 6649115.552322735 51.11, -35255.21859800152 6649115.539592986 51.13, -35254.81630867557 6649115.533230497 51.13, -35252.400756256655 6649115.515033794 51.17, -35249.985203886055 6649115.4968370935 51.2, -35245.16227191256 6649115.481330175 51.26, -35241.75961233652 6649115.464027432 51.300000000000004, -35238.35695285641 6649115.446724692 51.36, -35235.125016639824 6649115.434873023 51.410000000000004, -35233.34331995505 6649115.423950249 51.43, -35232.37619090779 6649115.42666069 51.45, -35228.7419656117 6649115.40844655 51.5, -35225.10683217924 6649115.400221529 51.57, -35220.11408629641 6649115.369274496 51.660000000000004, -35218.866353980615 6649115.356543184 51.68, -35218.242487827316 6649115.350177528 51.69, -35217.61862167751 6649115.343811876 51.69, -35216.994755530846 6649115.337446221 51.7, -35216.371797632775 6649115.321091452 51.71, -35215.12406535563 6649115.308360146 51.74, -35210.146758467075 6649115.2183867255 51.83, -35207.664916145266 6649115.153875923 51.88, -35205.17399300926 6649115.078467768 51.92, -35202.703956389916 6649114.994886999 51.96, -35200.225747201475 6649114.890419772 52.01, -35197.74935455341 6649114.765974329 52.050000000000004, -35195.273870200734 6649114.631539785 52.1, -35191.898457792006 6649114.425352312 52.15, -35191.0584643496 6649114.3590488415 52.17, -35190.20848180319 6649114.291837129 52.18, -35188.52758670179 6649114.169219307 52.2, -35185.40916816343 6649113.905825115 52.24, -35182.96365297155 6649113.663326909 52.26, -35180.50905696454 6649113.409931362 52.29, -35178.06808309315 6649113.117487639 52.300000000000004, -35177.46056397131 6649113.042106492 52.300000000000004, -35176.84305574384 6649112.965817105 52.31, -35175.62801751506 6649112.815054821 52.32, -35173.82816314371 6649112.560760565 52.33, -35172.02830879798 6649112.306466321 52.35, -35170.2311792121 6649112.0222047595 52.370000000000005, -35168.44494700385 6649111.728862346 52.39, -35165.92678682401 6649111.2883969955 52.42, -35163.520323363016 6649110.837944134 52.46, -35162.31345946214 6649110.597279931 52.480000000000004, -35161.11658467946 6649110.357523978 52.5, -35158.716479017865 6649109.837147415 52.52, -35156.328178996104 6649109.297700901 52.550000000000004, -35153.94351199397 6649108.718297985 52.58, -35151.570650629 6649108.119825129 52.6, -35149.201422282145 6649107.481395874 52.620000000000005, -35146.83401046472 6649106.822988431 52.64, -35145.56903014716 6649106.446108227 52.65, -35144.94153454562 6649106.25812225 52.65, -35144.30314159766 6649106.079217135 52.660000000000004, -35141.7858948576 6649105.2963976925 52.69, -35139.63279559882 6649104.6071179295 52.72, -35137.4824211041 6649103.887870878 52.74, -35135.16858956008 6649103.083259981 52.77, -35134.01803071983 6649102.666425008 52.78, -35133.725623519626 6649102.559264867 52.79, -35133.443205424934 6649102.45301297 52.79, -35132.86747188866 6649102.249590043 52.79, -35132.29355484131 6649102.026188907 52.79, -35131.71872955293 6649101.812776878 52.79, -35130.56907898269 6649101.385952828 52.800000000000004, -35128.283399946755 6649100.493256574 52.83, -35126.01043477876 6649099.571501286 52.85, -35123.7501834773 6649098.620686964 52.870000000000005, -35121.50264604075 6649097.640813617 52.89, -35121.22204445442 6649097.514583534 52.89, -35120.9405346259 6649097.398342559 52.89, -35120.38932055968 6649097.146790645 52.9, -35119.26691422518 6649096.641870338 52.92, -35117.17012164905 6649095.665631597 52.95, -35115.48106429272 6649094.857397422 52.980000000000004, -35113.79291519581 6649094.0391741665 53, -35112.11657170358 6649093.201880971 53.02, -35110.45203381532 6649092.345517832 53.050000000000004, -35110.38483482017 6649092.309192829 53.050000000000004, -35108.2317422661 6649091.176760001 53.08, -35106.09136356611 6649090.015268151 53.11, -35103.97368782153 6649088.825625518 53.14, -35101.86781768617 6649087.616912964 53.17, -35099.75559143687 6649086.367335805 53.2, -35097.666068138205 6649085.089607862 53.22, -35095.589258685475 6649083.782820905 53.25, -35093.524254836375 6649082.456964029 53.27, -35091.48195393197 6649081.102956375 53.28, -35090.46670627792 6649080.416417587 53.29, -35089.451458627824 6649079.729878809 53.31, -35087.44366626488 6649078.328650463 53.35, -35085.448587739724 6649076.898363103 53.39, -35083.476212151465 6649075.43992497 53.42, -35081.52563125815 6649073.963325165 53.46, -35080.556697726715 6649073.210495745 53.47, -35079.58776419703 6649072.457666342 53.5, -35077.67169182713 6649070.933845848 53.54, -35075.76833328605 6649069.380966342 53.58, -35073.88676943246 6649067.809925164 53.61, -35072.02790850459 6649066.210733215 53.63, -35071.11436993233 6649065.402510516 53.65, -35070.19084226072 6649064.593379591 53.67, -35068.37647893827 6649062.947875197 53.72, -35066.573921196046 6649061.283300891 53.76, -35064.794066371396 6649059.590575815 53.800000000000004, -35063.04599532345 6649057.880597305 53.84, -35061.30972985062 6649056.151548879 53.870000000000005, -35059.59616728907 6649054.394349689 53.910000000000004, -35057.90439939895 6649052.618988825 53.93, -35056.23442617897 6649050.825466285 53.95, -35055.41079102224 6649049.914629628 53.96, -35055.209195603966 6649049.694866407 53.96, -35054.99851932423 6649049.46420585 53.96, -35054.58715586399 6649049.003792978 53.97, -35052.9707610762 6649047.174855331 54.01, -35051.36708009138 6649045.316858675 54.04, -35049.795182867674 6649043.441608584 54.08, -35048.625568241 6649042.015874025 54.1, -35047.4668509434 6649040.5810586335 54.13, -35046.32902007247 6649039.138070644 54.15, -35046.04024898168 6649038.769377711 54.15, -35045.76055875211 6649038.411582112 54.160000000000004, -35045.202086528414 6649037.686001823 54.18, -35043.72735703469 6649035.739013268 54.230000000000004, -35042.766603689175 6649034.4531292375 54.26, -35041.82673676952 6649033.159072608 54.29, -35040.897767176735 6649031.855935134 54.31, -35039.97878667363 6649030.553705914 54.34, -35039.00895393663 6649029.146136317 54.370000000000005, -35038.04911028757 6649027.739474979 54.39, -35037.225479557645 6649026.496273672 54.410000000000004, -35036.0840201457 6649024.760877387 54.43, -35034.96435538365 6649023.007319415 54.45, -35033.865577036166 6649021.245588842 54.47, -35032.77769600402 6649019.474777441 54.480000000000004, -35031.52908562508 6649017.36705848 54.5, -35030.91068320966 6649016.303664036 54.51, -35030.30226988497 6649015.241177837 54.53, -35029.107237878954 6649013.098043746 54.58, -35027.933092273306 6649010.946737066 54.620000000000005, -35026.79073039931 6649008.778176934 54.660000000000004, -35025.66925492312 6649006.6014442155 54.7, -35025.39683198917 6649006.052947668 54.71, -35025.12440905301 6649005.504451126 54.72, -35024.579563175095 6649004.4074580455 54.74, -35023.51166605658 6649002.195310183 54.79, -35022.787022300996 6649000.638815717 54.81, -35022.07236762578 6648999.083229504 54.84, -35021.368610263686 6648997.518562443 54.86, -35020.68573931174 6648995.945722772 54.88, -35020.103664608905 6648994.59355295 54.9, -35019.54247632006 6648993.233210508 54.92, -35018.62078401551 6648990.963854408 54.95, -35017.720886331634 6648988.6763366135 54.980000000000004, -35017.29136978509 6648987.529399646 55, -35016.861853228766 6648986.382462685 55.02, -35016.02370651218 6648984.080416153 55.050000000000004, -35015.21643527725 6648981.77110525 55.09, -35014.430958658806 6648979.443632648 55.120000000000005, -35013.68634661671 6648977.109803903 55.160000000000004, -35012.96262095694 6648974.76780255 55.19, -35012.26977077499 6648972.4185368195 55.21, -35011.60870430141 6648970.052017615 55.24, -35010.977605072665 6648967.688223127 55.27, -35010.36830045364 6648965.306266928 55.300000000000004, -35009.79895217519 6648962.92794367 55.32, -35009.25139850401 6648960.531458704 55.36, -35008.743801172124 6648958.138606676 55.39, -35008.25709021662 6648955.737582025 55.410000000000004, -35007.93201263959 6648953.995840615 55.43, -35007.68230237707 6648952.643675396 55.45, -35007.3890070772 6648950.995468787 55.47, -35007.31545619143 6648950.585914409 55.480000000000004, -35007.25189440069 6648950.177268261 55.480000000000004, -35007.10479262215 6648949.358159506 55.5, -35006.841464567115 6648947.712677593 55.53, -35006.58812558593 6648946.06810392 55.57, -35006.34931682318 6648944.374492993 55.6)</t>
  </si>
  <si>
    <t>['EV39 S88D1 m1051-1425']</t>
  </si>
  <si>
    <t>LINESTRING Z (-34998.52094495192 6648841.717241931 57.120000000000005, -34990.13373143505 6648841.357533717 56.38, -34990.374442782486 6648835.940716206 56.43, -34990.37262634316 6648835.960694401 56.43, -34990.454376665526 6648834.175369489 56.45, -34990.64240178105 6648830.113437491 56.49, -34990.725062863086 6648828.096546909 56.51, -34990.807723911596 6648826.079656326 56.53, -34990.97396458464 6648821.149579798 56.57, -34991.109329549596 6648816.226767689 56.620000000000005, -34991.174752459396 6648812.848633976 56.65, -34991.19383542205 6648811.752556692 56.660000000000004, -34991.20656214864 6648810.615614802 56.68, -34991.23837179656 6648808.382595628 56.7, -34991.25383219903 6648806.440168475 56.72, -34991.256602054345 6648802.532611316 56.75, -34991.21850717999 6648798.631410377 56.79, -34991.183113725274 6648796.694431229 56.81, -34991.1313800409 6648794.272526129 56.78, -34991.069657210726 6648791.849712813 56.74, -34990.98795613798 6648789.425083067 56.71, -34990.879012373276 6648786.967761383 56.67, -34990.885368607356 6648787.008625986 56.67, -34990.73556528217 6648784.114507406 56.63, -34990.58666502102 6648781.653552868 56.59, -34990.59392947238 6648781.6844283715 56.59, -34990.432315419544 6648779.252532911 56.56, -34990.43957987137 6648779.2834084155 56.56, -34990.29884584679 6648777.397281704 56.52, -34990.0800242984 6648774.7083931025 56.480000000000004, -34989.83123539889 6648772.016779868 56.43, -34989.70048405661 6648770.685502793 56.4, -34989.40810833918 6648767.808636534 56.35, -34989.14115375269 6648765.427593545 56.300000000000004, -34988.853312712046 6648763.054723231 56.25, -34988.54549343069 6648760.680036499 56.2, -34988.20861502481 6648758.292636043 56.14, -34988.11781243095 6648757.62972153 56.13, -34988.115996004664 6648757.649699723 56.13, -34987.80998930405 6648755.587399666 56.08, -34987.489452407346 6648753.574136889 56.03, -34987.08991464169 6648751.211254479 55.97, -34986.679479520884 6648748.857452968 55.910000000000004, -34986.150996567216 6648746.029621605 55.83, -34986.1582610273 6648746.060497112 55.83, -34985.83681205334 6648744.389588312 55.79, -34985.503557535354 6648742.737749509 55.75, -34985.15849747497 6648741.104980691 55.7, -34984.80526471941 6648739.451325476 55.65, -34984.748057235614 6648739.1943323575 55.65, -34984.29221376858 6648737.118409215 55.58, -34983.815483861836 6648735.05065876 55.52, -34983.36871875997 6648733.207209509 55.46, -34983.37689143454 6648733.228095913 55.46, -34983.35600625526 6648733.12548031 55.46, -34983.295165913994 6648732.908443585 55.45, -34983.303338588565 6648732.929329989 55.45, -34982.61048866366 6648730.136912869 55.36, -34982.16190584644 6648728.424230121 55.300000000000004, -34981.703333909274 6648726.710639175 55.24, -34981.388236054685 6648725.5237481855 55.2, -34980.7426019531 6648723.208992588 55.120000000000005, -34980.059736052295 6648720.860636886 55.04, -34980.0670005189 6648720.891512387 55.04, -34979.387766202795 6648718.613988598 54.95, -34978.679472765885 6648716.323751104 54.85, -34978.29626755626 6648715.110524503 54.800000000000004, -34977.763230714714 6648713.4405216705 54.730000000000004, -34977.20930744917 6648711.77869153 54.65, -34976.44925198972 6648709.5038912585 54.550000000000004, -34975.65741278289 6648707.246344581 54.45, -34975.256952721276 6648706.112122599 54.4, -34974.855584440986 6648704.987889723 54.35, -34974.021972354036 6648702.746688458 54.26, -34972.96678966563 6648699.951543484 54.13, -34972.371092234156 6648698.416847094 54.07, -34971.76540568925 6648696.881242505 54, -34971.14882182272 6648695.354718824 53.93, -34970.50590348104 6648693.785514151 53.86, -34970.51316795405 6648693.816389645 53.86, -34969.59510187304 6648691.617868354 53.76, -34968.64706846862 6648689.416622467 53.660000000000004, -34968.162154449965 6648688.3250804255 53.6, -34968.03683960298 6648688.041751717 53.59, -34967.92151385173 6648687.759331216 53.57, -34967.68813772616 6648687.224457506 53.54, -34966.6983314543 6648685.039557052 53.410000000000004, -34966.71558502538 6648685.071340756 53.410000000000004, -34965.923739512684 6648683.36773572 53.31, -34965.14823934506 6648681.705903506 53.21, -34963.869662114186 6648679.041523001 53.07, -34962.56020934088 6648676.384407029 52.94, -34961.47686821851 6648674.231289278 52.82, -34960.3735488737 6648672.076355152 52.7, -34959.259332197485 6648669.930501954 52.58, -34958.09880283463 6648667.740151383 52.47, -34958.10697551945 6648667.76103778 52.47, -34956.97096418112 6648665.63334644 52.35, -34955.7959046372 6648663.492033223 52.24, -34954.620845064404 6648661.350720045 52.13, -34953.40946190071 6648659.165817704 52.01, -34953.41763458622 6648659.186704104 52.01, -34951.98831116897 6648656.629478355 51.870000000000005, -34950.27748124325 6648653.623648133 51.7, -34948.556662167306 6648650.616909791 51.53, -34946.068511729245 6648646.301590923 51.28, -34943.56129119219 6648641.97446673 51.03, -34942.924723996315 6648640.889280232 50.96, -34942.29814588791 6648639.805001949 50.910000000000004, -34941.03500055603 6648637.635537211 50.79, -34939.78184429044 6648635.466980717 50.67, -34938.51052621228 6648633.276629676 50.56, -34936.65803439426 6648630.056486977 50.410000000000004, -34936.188554861816 6648629.238283799 50.370000000000005, -34935.73814531171 6648628.431886123 50.33, -34934.79918622668 6648626.795479794 50.24, -34933.47065919824 6648624.458924197 50.120000000000005, -34931.64268640254 6648621.19065269 49.96, -34930.73460272828 6648619.546981981 49.89, -34929.82561083627 6648617.913300386 49.81, -34929.81743814435 6648617.892414 49.81, -34928.52160287171 6648615.5286159115 49.69, -34928.49526839377 6648615.485934934 49.69, -34927.36742905178 6648613.3791309595 49.59, -34927.350175466156 6648613.347347277 49.59, -34925.509490970406 6648609.88655871 49.410000000000004, -34923.6933255851 6648606.377641178 49.230000000000004, -34922.33483429253 6648603.705996723 49.09, -34920.99813753902 6648601.016190535 48.95, -34920.98088395083 6648600.984406855 48.95, -34920.031030593556 6648599.02471714 48.84, -34919.08208540932 6648597.055038361 48.730000000000004, -34919.07391271449 6648597.034151973 48.730000000000004, -34918.937700400944 6648596.75990436 48.72, -34918.86232974788 6648596.591905077 48.71, -34918.744279221864 6648596.339452048 48.69, -34918.62622869515 6648596.086999021 48.68, -34918.17854466976 6648595.139846073 48.63, -34918.17037197482 6648595.118959686 48.63, -34917.31859197898 6648593.299118458 48.54, -34917.31041928381 6648593.27823207 48.54, -34916.85547074338 6648592.300203666 48.49, -34915.78302792285 6648589.916430083 48.370000000000005, -34914.731471447274 6648587.524483842 48.25, -34914.4063789004 6648586.779838501 48.21, -34914.39003350749 6648586.73806573 48.21, -34912.63653323974 6648582.539901428 47.99, -34910.7268455507 6648577.733308609 47.7, -34909.68982217787 6648574.959960642 47.52, -34908.877094398485 6648572.7105886815 47.39, -34908.86074900173 6648572.6688159155 47.39, -34908.00352597411 6648570.244180229 47.230000000000004, -34907.15266027895 6648567.74962092 47.08, -34907.13722307712 6648567.69785906 47.08, -34906.3254055077 6648565.216921666 46.94, -34904.678136903094 6648562.619739448 47.14, -34902.63042821665 6648556.672572176 46.53, -34900.46378783428 6648547.602447733 46.1, -34896.40112808312 6648528.47963798 44.94, -34893.04672054434 6648516.189380642 44.35, -34890.5922554587 6648502.087472558 43.660000000000004, -34889.41185556876 6648487.70860591 43.25, -34889.69245734252 6648487.834834338 43.26, -34889.97305911686 6648487.961062766 43.28, -34890.264558173716 6648488.078210293 43.29, -34890.84755628905 6648488.312505348 43.32, -34891.431462596636 6648488.536811312 43.34, -34892.02626618871 6648488.752036375 43.36, -34892.39767798828 6648488.8764494285 43.38, -34892.43672616803 6648488.890071279 43.38, -34892.622886163066 6648488.947283259 43.39, -34893.12143159576 6648489.113470059 43.410000000000004, -34893.219506140216 6648489.142530142 43.410000000000004, -34893.81703430996 6648489.327787935 43.43, -34894.426367954584 6648489.493975738 43.46, -34894.770537053235 6648489.585696943 43.47, -34895.03570160223 6648489.66016354 43.49, -34895.65229977493 6648489.85722681 43.52, -34896.26526518969 6648490.0942464555 43.550000000000004, -34896.77833968017 6648490.322184202 43.58, -34897.06711418007 6648490.46929902 43.59, -34897.25872232311 6648490.57736466 43.6, -34897.757266772795 6648490.854339685 43.63, -34897.9089185457 6648490.958772562 43.64, -34898.004268522374 6648491.017799931 43.64, -34898.24218936963 6648491.1703628935 43.65, -34898.47738564666 6648491.352893135 43.67, -34899.18570104975 6648491.648940162 43.63, -34900.24907684501 6648492.692356795 43.62, -34901.061817123904 6648493.723057773 43.63, -34901.69293734175 6648494.757389525 43.65, -34902.18421025062 6648495.779006613 43.67, -34902.5447167512 6648496.798806324 43.69, -34902.67547913082 6648497.243776577 43.7, -34902.82440230774 6648497.821329611 43.72, -34903.06413148355 6648498.8402201375 43.75, -34903.29387155792 6648499.858202474 43.78, -34903.405562923406 6648500.40215547 43.800000000000004, -34903.452779781306 6648500.879816571 43.82, -34903.4627658471 6648501.21308941 43.83, -34903.46185664658 6648501.33386672 43.84, -34903.490910686785 6648501.90052147 43.86, -34903.52813339257 6648502.93121546 43.9, -34903.576253373874 6648503.952828552 43.95, -34903.62437334645 6648504.974441643 43.99, -34903.68248240382 6648505.996962924 44.04, -34903.74059145257 6648507.019484205 44.08, -34903.73786687781 6648507.049451486 44.08, -34903.79960868391 6648508.032016397 44.12, -34903.86770680826 6648509.055445874 44.17, -34903.94579401717 6648510.079783539 44.21, -34904.023881217 6648511.104121209 44.25, -34904.10287660046 6648512.118469784 44.300000000000004, -34904.19095287623 6648513.143715647 44.34, -34904.27993733529 6648514.158972421 44.39, -34904.34894666576 6648514.840048157 44.42, -34904.37891087902 6648515.175137384 44.43, -34904.4878735072 6648516.192210542 44.480000000000004, -34904.58593884122 6648517.218364601 44.54, -34904.70489054534 6648518.236345953 44.59, -34904.82475043356 6648519.244338214 44.64, -34904.89285256888 6648519.824614834 44.67, -34904.94370212057 6648520.26231957 44.7, -34905.072642891784 6648521.281209122 44.75, -34905.201583654736 6648522.300098674 44.800000000000004, -34905.33143260202 6648523.308999135 44.85, -34905.47127063398 6648524.31880779 44.910000000000004, -34905.620189557085 6648525.339513734 44.96, -34905.770016665454 6648526.350230587 45.01, -34905.91984376509 6648527.36094744 45.07, -34906.07965994917 6648528.37257249 45.12, -34906.23947612499 6648529.384197544 45.17, -34906.40928138548 6648530.396730792 45.230000000000004, -34906.579994831234 6648531.399274948 45.28, -34906.65082252701 6648531.838796083 45.300000000000004, -34906.74980007508 6648532.411808199 45.33, -34907.02584840183 6648533.917440832 45.410000000000004, -34907.30098851619 6648535.433062564 45.49, -34907.798603857285 6648537.93579126 45.62, -34908.316197333275 6648540.440336362 45.76, -34908.86375803838 6648542.947606064 45.89, -34909.44310236152 6648545.437622186 46.02, -34910.043333015754 6648547.919465627 46.160000000000004, -34910.673530900385 6648550.404033676 46.29, -34911.3255233129 6648552.870439956 46.42, -34912.01747205027 6648555.340479035 46.550000000000004, -34912.7312153175 6648557.7923563495 46.7, -34913.46584492037 6648560.236060989 46.84, -34914.23044175643 6648562.682490244 46.980000000000004, -34915.02682221925 6648565.111665931 47.12, -34915.84408902039 6648567.532668948 47.28, -34916.692231253604 6648569.946407493 47.44, -34917.47499292437 6648572.08226677 47.58, -34918.47206112568 6648574.741193878 47.75, -34920.32363195799 6648579.4115713695 48.050000000000004, -34922.02809624921 6648583.484417592 48.26, -34922.335935241776 6648584.197279303 48.300000000000004, -34923.36206555378 6648586.536555606 48.42, -34924.40999041172 6648588.857670154 48.54, -34924.839512717794 6648589.783028547 48.59, -34925.69855731225 6648591.633745348 48.68, -34926.12807960017 6648592.559103764 48.730000000000004, -34926.239773842855 6648592.7706922265 48.74, -34926.34874348785 6648593.012247976 48.75, -34926.4331950451 6648593.191144561 48.76, -34926.568499175366 6648593.475381284 48.78, -34927.50019088108 6648595.413276482 48.88, -34928.44187165564 6648597.352079908 48.99, -34929.744061387144 6648599.978318867 49.13, -34931.07803475519 6648602.587304288 49.26, -34932.85969317611 6648606.032654627 49.44, -34934.68312429846 6648609.461659671 49.61, -34935.80279107881 6648611.547577351 49.71, -34937.09953470295 6648613.90138645 49.83, -34937.9894567118 6648615.523262624 49.910000000000004, -34938.88936779916 6648617.146047018 49.980000000000004, -34940.70008722111 6648620.382534984 50.13, -34942.02952260466 6648622.7091015875 50.25, -34942.94033091643 6648624.322805195 50.34, -34943.40163781564 6648625.120122011 50.38, -34943.862036508974 6648625.927427931 50.42, -34945.706355849514 6648629.126684381 50.57, -34946.959512288566 6648631.295240919 50.68, -34948.221749591525 6648633.474694803 50.79, -34949.47490597365 6648635.64325143 50.910000000000004, -34950.111473249155 6648636.728437965 50.96, -34950.73805142264 6648637.812716306 51.03, -34953.25526134402 6648642.140748892 51.28, -34955.751584757934 6648646.476954337 51.52, -34957.489657612634 6648649.515476509 51.68, -34959.207752219285 6648652.552182355 51.85, -34960.67339936877 6648655.152997418 51.99, -34961.885690878145 6648657.327910758 52.1, -34963.077095960616 6648659.510996829 52.22, -34964.2685010134 6648661.694082939 52.33, -34965.449008734664 6648663.886249982 52.44, -34966.59954913636 6648666.075692451 52.550000000000004, -34967.750089507084 6648668.265134957 52.660000000000004, -34968.878835241776 6648670.47273929 52.78, -34969.986694545834 6648672.688516342 52.9, -34971.3306546231 6648675.409199854 53.03, -34972.64283094776 6648678.147136998 53.160000000000004, -34973.452838355326 6648679.872536701 53.27, -34974.252856645384 6648681.597028227 53.370000000000005, -34975.26627287711 6648683.854577095 53.5, -34975.517810810474 6648684.411245443 53.53, -34975.643125672825 6648684.694574167 53.54, -34975.75845143804 6648684.976994681 53.56, -34976.259710879414 6648686.110309584 53.61, -34977.232262444566 6648688.374214791 53.72, -34978.18301936367 6648690.656281811 53.82, -34978.83592687943 6648692.226394785 53.89, -34979.46794797515 6648693.804680453 53.95, -34980.09906084486 6648695.392955235 54.02, -34980.71110371 6648696.969424517 54.09, -34981.79988545668 6648699.838126169 54.21, -34982.656199267716 6648702.161964967 54.31, -34983.07482116518 6648703.317981619 54.35, -34983.48254574661 6648704.483079169 54.410000000000004, -34984.29799487826 6648706.813274288 54.51, -34985.08256846771 6648709.150733908 54.61, -34985.651928948355 6648710.864326053 54.68, -34986.210392099456 6648712.586999103 54.75, -34986.59904540528 6648713.851079474 54.800000000000004, -34987.33185696183 6648716.203976325 54.9, -34988.03288476297 6648718.574126767 55, -34988.72392342251 6648720.943369022 55.08, -34989.38408653508 6648723.3198757665 55.160000000000004, -34989.72461066861 6648724.559436954 55.2, -34990.18863070535 6648726.323881707 55.26, -34990.6526507173 6648728.088326474 55.31, -34991.36820233078 6648730.963381187 55.4, -34991.41996179242 6648731.169520617 55.410000000000004, -34991.44992786087 6648731.283033537 55.42, -34991.89487659314 6648733.146461105 55.47, -34992.38613548421 6648735.2759627 55.54, -34992.85741614329 6648737.403647891 55.6, -34992.920979885035 6648737.701505631 55.61, -34993.281477145036 6648739.3860364575 55.660000000000004, -34993.63107707247 6648741.07964818 55.7, -34993.98067697685 6648742.773259909 55.75, -34994.31029866228 6648744.465055225 55.79, -34994.85058596218 6648747.384605078 55.86, -34995.27464183746 6648749.810146859 55.92, -34995.677811256726 6648752.243861325 55.980000000000004, -34996.011968894396 6648754.328864349 56.03, -34996.32614830125 6648756.412050951 56.08, -34996.43238803453 6648757.126727426 56.1, -34996.76381719683 6648759.574062631 56.15, -34997.08525721205 6648762.020489636 56.21, -34997.38671898248 6648764.46510022 56.26, -34997.657305196044 6648766.916975275 56.31, -34997.95422075642 6648769.854684526 56.36, -34998.09132835176 6648771.226826299 56.38, -34998.576191131375 6648776.749900517 56.480000000000004, -34998.718740330776 6648778.726837455 56.52, -34998.85130039987 6648780.70286618 56.550000000000004, -34999.02562180674 6648783.659644186 56.59, -34999.16815941653 6648786.633675745 56.64, -34999.27528675494 6648789.110975794 56.67, -34999.36243584717 6648791.58645941 56.71, -34999.429606693564 6648794.060126596 56.74, -34999.486788391834 6648796.532885567 56.77, -34999.517640760634 6648798.5198103385 56.800000000000004, -34999.548469890724 6648802.500924323 56.85, -34999.550239815144 6648806.469324551 56.9, -34999.54022741353 6648808.462605545 56.93, -34999.505693100626 6648810.725592163 56.95, -34999.49387458549 6648811.852545035 56.96, -34999.47115874512 6648812.988578781 56.980000000000004, -34999.49109659891 6648816.424832176 57, -34999.36027138366 6648821.40848743 57.04, -34999.199478672585 6648826.389418 57.07, -34999.114092947915 6648828.436276018 57.07, -34999.019626311376 6648830.472236713 57.08, -34998.82887649641 6648834.56413628 57.09, -34998.75529881334 6648836.370347731 57.1, -34998.52094495192 6648841.717241931 57.120000000000005)</t>
  </si>
  <si>
    <t>POLYGON Z ((-34998.52094495192 6648841.717241931 57.120000000000005, -34990.13373143505 6648841.357533717 56.38, -34990.374442782486 6648835.940716206 56.43, -34990.37262634316 6648835.960694401 56.43, -34990.454376665526 6648834.175369489 56.45, -34990.64240178105 6648830.113437491 56.49, -34990.725062863086 6648828.096546909 56.51, -34990.807723911596 6648826.079656326 56.53, -34990.97396458464 6648821.149579798 56.57, -34991.109329549596 6648816.226767689 56.620000000000005, -34991.174752459396 6648812.848633976 56.65, -34991.19383542205 6648811.752556692 56.660000000000004, -34991.20656214864 6648810.615614802 56.68, -34991.23837179656 6648808.382595628 56.7, -34991.25383219903 6648806.440168475 56.72, -34991.256602054345 6648802.532611316 56.75, -34991.21850717999 6648798.631410377 56.79, -34991.183113725274 6648796.694431229 56.81, -34991.1313800409 6648794.272526129 56.78, -34991.069657210726 6648791.849712813 56.74, -34990.98795613798 6648789.425083067 56.71, -34990.879012373276 6648786.967761383 56.67, -34990.885368607356 6648787.008625986 56.67, -34990.73556528217 6648784.114507406 56.63, -34990.58666502102 6648781.653552868 56.59, -34990.59392947238 6648781.6844283715 56.59, -34990.432315419544 6648779.252532911 56.56, -34990.43957987137 6648779.2834084155 56.56, -34990.29884584679 6648777.397281704 56.52, -34990.0800242984 6648774.7083931025 56.480000000000004, -34989.83123539889 6648772.016779868 56.43, -34989.70048405661 6648770.685502793 56.4, -34989.40810833918 6648767.808636534 56.35, -34989.14115375269 6648765.427593545 56.300000000000004, -34988.853312712046 6648763.054723231 56.25, -34988.54549343069 6648760.680036499 56.2, -34988.20861502481 6648758.292636043 56.14, -34988.11781243095 6648757.62972153 56.13, -34988.115996004664 6648757.649699723 56.13, -34987.80998930405 6648755.587399666 56.08, -34987.489452407346 6648753.574136889 56.03, -34987.08991464169 6648751.211254479 55.97, -34986.679479520884 6648748.857452968 55.910000000000004, -34986.150996567216 6648746.029621605 55.83, -34986.1582610273 6648746.060497112 55.83, -34985.83681205334 6648744.389588312 55.79, -34985.503557535354 6648742.737749509 55.75, -34985.15849747497 6648741.104980691 55.7, -34984.80526471941 6648739.451325476 55.65, -34984.748057235614 6648739.1943323575 55.65, -34984.29221376858 6648737.118409215 55.58, -34983.815483861836 6648735.05065876 55.52, -34983.36871875997 6648733.207209509 55.46, -34983.37689143454 6648733.228095913 55.46, -34983.35600625526 6648733.12548031 55.46, -34983.295165913994 6648732.908443585 55.45, -34983.303338588565 6648732.929329989 55.45, -34982.61048866366 6648730.136912869 55.36, -34982.16190584644 6648728.424230121 55.300000000000004, -34981.703333909274 6648726.710639175 55.24, -34981.388236054685 6648725.5237481855 55.2, -34980.7426019531 6648723.208992588 55.120000000000005, -34980.059736052295 6648720.860636886 55.04, -34980.0670005189 6648720.891512387 55.04, -34979.387766202795 6648718.613988598 54.95, -34978.679472765885 6648716.323751104 54.85, -34978.29626755626 6648715.110524503 54.800000000000004, -34977.763230714714 6648713.4405216705 54.730000000000004, -34977.20930744917 6648711.77869153 54.65, -34976.44925198972 6648709.5038912585 54.550000000000004, -34975.65741278289 6648707.246344581 54.45, -34975.256952721276 6648706.112122599 54.4, -34974.855584440986 6648704.987889723 54.35, -34974.021972354036 6648702.746688458 54.26, -34972.96678966563 6648699.951543484 54.13, -34972.371092234156 6648698.416847094 54.07, -34971.76540568925 6648696.881242505 54, -34971.14882182272 6648695.354718824 53.93, -34970.50590348104 6648693.785514151 53.86, -34970.51316795405 6648693.816389645 53.86, -34969.59510187304 6648691.617868354 53.76, -34968.64706846862 6648689.416622467 53.660000000000004, -34968.162154449965 6648688.3250804255 53.6, -34968.03683960298 6648688.041751717 53.59, -34967.92151385173 6648687.759331216 53.57, -34967.68813772616 6648687.224457506 53.54, -34966.6983314543 6648685.039557052 53.410000000000004, -34966.71558502538 6648685.071340756 53.410000000000004, -34965.923739512684 6648683.36773572 53.31, -34965.14823934506 6648681.705903506 53.21, -34963.869662114186 6648679.041523001 53.07, -34962.56020934088 6648676.384407029 52.94, -34961.47686821851 6648674.231289278 52.82, -34960.3735488737 6648672.076355152 52.7, -34959.259332197485 6648669.930501954 52.58, -34958.09880283463 6648667.740151383 52.47, -34958.10697551945 6648667.76103778 52.47, -34956.97096418112 6648665.63334644 52.35, -34955.7959046372 6648663.492033223 52.24, -34954.620845064404 6648661.350720045 52.13, -34953.40946190071 6648659.165817704 52.01, -34953.41763458622 6648659.186704104 52.01, -34951.98831116897 6648656.629478355 51.870000000000005, -34950.27748124325 6648653.623648133 51.7, -34948.556662167306 6648650.616909791 51.53, -34946.068511729245 6648646.301590923 51.28, -34943.56129119219 6648641.97446673 51.03, -34942.924723996315 6648640.889280232 50.96, -34942.29814588791 6648639.805001949 50.910000000000004, -34941.03500055603 6648637.635537211 50.79, -34939.78184429044 6648635.466980717 50.67, -34938.51052621228 6648633.276629676 50.56, -34936.65803439426 6648630.056486977 50.410000000000004, -34936.188554861816 6648629.238283799 50.370000000000005, -34935.73814531171 6648628.431886123 50.33, -34934.79918622668 6648626.795479794 50.24, -34933.47065919824 6648624.458924197 50.120000000000005, -34931.64268640254 6648621.19065269 49.96, -34930.73460272828 6648619.546981981 49.89, -34929.82561083627 6648617.913300386 49.81, -34929.81743814435 6648617.892414 49.81, -34928.52160287171 6648615.5286159115 49.69, -34928.49526839377 6648615.485934934 49.69, -34927.36742905178 6648613.3791309595 49.59, -34927.350175466156 6648613.347347277 49.59, -34925.509490970406 6648609.88655871 49.410000000000004, -34923.6933255851 6648606.377641178 49.230000000000004, -34922.33483429253 6648603.705996723 49.09, -34920.99813753902 6648601.016190535 48.95, -34920.98088395083 6648600.984406855 48.95, -34920.031030593556 6648599.02471714 48.84, -34919.08208540932 6648597.055038361 48.730000000000004, -34919.07391271449 6648597.034151973 48.730000000000004, -34918.937700400944 6648596.75990436 48.72, -34918.86232974788 6648596.591905077 48.71, -34918.744279221864 6648596.339452048 48.69, -34918.62622869515 6648596.086999021 48.68, -34918.17854466976 6648595.139846073 48.63, -34918.17037197482 6648595.118959686 48.63, -34917.31859197898 6648593.299118458 48.54, -34917.31041928381 6648593.27823207 48.54, -34916.85547074338 6648592.300203666 48.49, -34915.78302792285 6648589.916430083 48.370000000000005, -34914.731471447274 6648587.524483842 48.25, -34914.4063789004 6648586.779838501 48.21, -34914.39003350749 6648586.73806573 48.21, -34912.63653323974 6648582.539901428 47.99, -34910.7268455507 6648577.733308609 47.7, -34909.68982217787 6648574.959960642 47.52, -34908.877094398485 6648572.7105886815 47.39, -34908.86074900173 6648572.6688159155 47.39, -34908.00352597411 6648570.244180229 47.230000000000004, -34907.15266027895 6648567.74962092 47.08, -34907.13722307712 6648567.69785906 47.08, -34906.3254055077 6648565.216921666 46.94, -34904.678136903094 6648562.619739448 47.14, -34902.63042821665 6648556.672572176 46.53, -34900.46378783428 6648547.602447733 46.1, -34896.40112808312 6648528.47963798 44.94, -34893.04672054434 6648516.189380642 44.35, -34890.5922554587 6648502.087472558 43.660000000000004, -34889.41185556876 6648487.70860591 43.25, -34889.69245734252 6648487.834834338 43.26, -34889.97305911686 6648487.961062766 43.28, -34890.264558173716 6648488.078210293 43.29, -34890.84755628905 6648488.312505348 43.32, -34891.431462596636 6648488.536811312 43.34, -34892.02626618871 6648488.752036375 43.36, -34892.39767798828 6648488.8764494285 43.38, -34892.43672616803 6648488.890071279 43.38, -34892.622886163066 6648488.947283259 43.39, -34893.12143159576 6648489.113470059 43.410000000000004, -34893.219506140216 6648489.142530142 43.410000000000004, -34893.81703430996 6648489.327787935 43.43, -34894.426367954584 6648489.493975738 43.46, -34894.770537053235 6648489.585696943 43.47, -34895.03570160223 6648489.66016354 43.49, -34895.65229977493 6648489.85722681 43.52, -34896.26526518969 6648490.0942464555 43.550000000000004, -34896.77833968017 6648490.322184202 43.58, -34897.06711418007 6648490.46929902 43.59, -34897.25872232311 6648490.57736466 43.6, -34897.757266772795 6648490.854339685 43.63, -34897.9089185457 6648490.958772562 43.64, -34898.004268522374 6648491.017799931 43.64, -34898.24218936963 6648491.1703628935 43.65, -34898.47738564666 6648491.352893135 43.67, -34899.18570104975 6648491.648940162 43.63, -34900.24907684501 6648492.692356795 43.62, -34901.061817123904 6648493.723057773 43.63, -34901.69293734175 6648494.757389525 43.65, -34902.18421025062 6648495.779006613 43.67, -34902.5447167512 6648496.798806324 43.69, -34902.67547913082 6648497.243776577 43.7, -34902.82440230774 6648497.821329611 43.72, -34903.06413148355 6648498.8402201375 43.75, -34903.29387155792 6648499.858202474 43.78, -34903.405562923406 6648500.40215547 43.800000000000004, -34903.452779781306 6648500.879816571 43.82, -34903.4627658471 6648501.21308941 43.83, -34903.46185664658 6648501.33386672 43.84, -34903.490910686785 6648501.90052147 43.86, -34903.52813339257 6648502.93121546 43.9, -34903.576253373874 6648503.952828552 43.95, -34903.62437334645 6648504.974441643 43.99, -34903.68248240382 6648505.996962924 44.04, -34903.74059145257 6648507.019484205 44.08, -34903.73786687781 6648507.049451486 44.08, -34903.79960868391 6648508.032016397 44.12, -34903.86770680826 6648509.055445874 44.17, -34903.94579401717 6648510.079783539 44.21, -34904.023881217 6648511.104121209 44.25, -34904.10287660046 6648512.118469784 44.300000000000004, -34904.19095287623 6648513.143715647 44.34, -34904.27993733529 6648514.158972421 44.39, -34904.34894666576 6648514.840048157 44.42, -34904.37891087902 6648515.175137384 44.43, -34904.4878735072 6648516.192210542 44.480000000000004, -34904.58593884122 6648517.218364601 44.54, -34904.70489054534 6648518.236345953 44.59, -34904.82475043356 6648519.244338214 44.64, -34904.89285256888 6648519.824614834 44.67, -34904.94370212057 6648520.26231957 44.7, -34905.072642891784 6648521.281209122 44.75, -34905.201583654736 6648522.300098674 44.800000000000004, -34905.33143260202 6648523.308999135 44.85, -34905.47127063398 6648524.31880779 44.910000000000004, -34905.620189557085 6648525.339513734 44.96, -34905.770016665454 6648526.350230587 45.01, -34905.91984376509 6648527.36094744 45.07, -34906.07965994917 6648528.37257249 45.12, -34906.23947612499 6648529.384197544 45.17, -34906.40928138548 6648530.396730792 45.230000000000004, -34906.579994831234 6648531.399274948 45.28, -34906.65082252701 6648531.838796083 45.300000000000004, -34906.74980007508 6648532.411808199 45.33, -34907.02584840183 6648533.917440832 45.410000000000004, -34907.30098851619 6648535.433062564 45.49, -34907.798603857285 6648537.93579126 45.62, -34908.316197333275 6648540.440336362 45.76, -34908.86375803838 6648542.947606064 45.89, -34909.44310236152 6648545.437622186 46.02, -34910.043333015754 6648547.919465627 46.160000000000004, -34910.673530900385 6648550.404033676 46.29, -34911.3255233129 6648552.870439956 46.42, -34912.01747205027 6648555.340479035 46.550000000000004, -34912.7312153175 6648557.7923563495 46.7, -34913.46584492037 6648560.236060989 46.84, -34914.23044175643 6648562.682490244 46.980000000000004, -34915.02682221925 6648565.111665931 47.12, -34915.84408902039 6648567.532668948 47.28, -34916.692231253604 6648569.946407493 47.44, -34917.47499292437 6648572.08226677 47.58, -34918.47206112568 6648574.741193878 47.75, -34920.32363195799 6648579.4115713695 48.050000000000004, -34922.02809624921 6648583.484417592 48.26, -34922.335935241776 6648584.197279303 48.300000000000004, -34923.36206555378 6648586.536555606 48.42, -34924.40999041172 6648588.857670154 48.54, -34924.839512717794 6648589.783028547 48.59, -34925.69855731225 6648591.633745348 48.68, -34926.12807960017 6648592.559103764 48.730000000000004, -34926.239773842855 6648592.7706922265 48.74, -34926.34874348785 6648593.012247976 48.75, -34926.4331950451 6648593.191144561 48.76, -34926.568499175366 6648593.475381284 48.78, -34927.50019088108 6648595.413276482 48.88, -34928.44187165564 6648597.352079908 48.99, -34929.744061387144 6648599.978318867 49.13, -34931.07803475519 6648602.587304288 49.26, -34932.85969317611 6648606.032654627 49.44, -34934.68312429846 6648609.461659671 49.61, -34935.80279107881 6648611.547577351 49.71, -34937.09953470295 6648613.90138645 49.83, -34937.9894567118 6648615.523262624 49.910000000000004, -34938.88936779916 6648617.146047018 49.980000000000004, -34940.70008722111 6648620.382534984 50.13, -34942.02952260466 6648622.7091015875 50.25, -34942.94033091643 6648624.322805195 50.34, -34943.40163781564 6648625.120122011 50.38, -34943.862036508974 6648625.927427931 50.42, -34945.706355849514 6648629.126684381 50.57, -34946.959512288566 6648631.295240919 50.68, -34948.221749591525 6648633.474694803 50.79, -34949.47490597365 6648635.64325143 50.910000000000004, -34950.111473249155 6648636.728437965 50.96, -34950.73805142264 6648637.812716306 51.03, -34953.25526134402 6648642.140748892 51.28, -34955.751584757934 6648646.476954337 51.52, -34957.489657612634 6648649.515476509 51.68, -34959.207752219285 6648652.552182355 51.85, -34960.67339936877 6648655.152997418 51.99, -34961.885690878145 6648657.327910758 52.1, -34963.077095960616 6648659.510996829 52.22, -34964.2685010134 6648661.694082939 52.33, -34965.449008734664 6648663.886249982 52.44, -34966.59954913636 6648666.075692451 52.550000000000004, -34967.750089507084 6648668.265134957 52.660000000000004, -34968.878835241776 6648670.47273929 52.78, -34969.986694545834 6648672.688516342 52.9, -34971.3306546231 6648675.409199854 53.03, -34972.64283094776 6648678.147136998 53.160000000000004, -34973.452838355326 6648679.872536701 53.27, -34974.252856645384 6648681.597028227 53.370000000000005, -34975.26627287711 6648683.854577095 53.5, -34975.517810810474 6648684.411245443 53.53, -34975.643125672825 6648684.694574167 53.54, -34975.75845143804 6648684.976994681 53.56, -34976.259710879414 6648686.110309584 53.61, -34977.232262444566 6648688.374214791 53.72, -34978.18301936367 6648690.656281811 53.82, -34978.83592687943 6648692.226394785 53.89, -34979.46794797515 6648693.804680453 53.95, -34980.09906084486 6648695.392955235 54.02, -34980.71110371 6648696.969424517 54.09, -34981.79988545668 6648699.838126169 54.21, -34982.656199267716 6648702.161964967 54.31, -34983.07482116518 6648703.317981619 54.35, -34983.48254574661 6648704.483079169 54.410000000000004, -34984.29799487826 6648706.813274288 54.51, -34985.08256846771 6648709.150733908 54.61, -34985.651928948355 6648710.864326053 54.68, -34986.210392099456 6648712.586999103 54.75, -34986.59904540528 6648713.851079474 54.800000000000004, -34987.33185696183 6648716.203976325 54.9, -34988.03288476297 6648718.574126767 55, -34988.72392342251 6648720.943369022 55.08, -34989.38408653508 6648723.3198757665 55.160000000000004, -34989.72461066861 6648724.559436954 55.2, -34990.18863070535 6648726.323881707 55.26, -34990.6526507173 6648728.088326474 55.31, -34991.36820233078 6648730.963381187 55.4, -34991.41996179242 6648731.169520617 55.410000000000004, -34991.44992786087 6648731.283033537 55.42, -34991.89487659314 6648733.146461105 55.47, -34992.38613548421 6648735.2759627 55.54, -34992.85741614329 6648737.403647891 55.6, -34992.920979885035 6648737.701505631 55.61, -34993.281477145036 6648739.3860364575 55.660000000000004, -34993.63107707247 6648741.07964818 55.7, -34993.98067697685 6648742.773259909 55.75, -34994.31029866228 6648744.465055225 55.79, -34994.85058596218 6648747.384605078 55.86, -34995.27464183746 6648749.810146859 55.92, -34995.677811256726 6648752.243861325 55.980000000000004, -34996.011968894396 6648754.328864349 56.03, -34996.32614830125 6648756.412050951 56.08, -34996.43238803453 6648757.126727426 56.1, -34996.76381719683 6648759.574062631 56.15, -34997.08525721205 6648762.020489636 56.21, -34997.38671898248 6648764.46510022 56.26, -34997.657305196044 6648766.916975275 56.31, -34997.95422075642 6648769.854684526 56.36, -34998.09132835176 6648771.226826299 56.38, -34998.576191131375 6648776.749900517 56.480000000000004, -34998.718740330776 6648778.726837455 56.52, -34998.85130039987 6648780.70286618 56.550000000000004, -34999.02562180674 6648783.659644186 56.59, -34999.16815941653 6648786.633675745 56.64, -34999.27528675494 6648789.110975794 56.67, -34999.36243584717 6648791.58645941 56.71, -34999.429606693564 6648794.060126596 56.74, -34999.486788391834 6648796.532885567 56.77, -34999.517640760634 6648798.5198103385 56.800000000000004, -34999.548469890724 6648802.500924323 56.85, -34999.550239815144 6648806.469324551 56.9, -34999.54022741353 6648808.462605545 56.93, -34999.505693100626 6648810.725592163 56.95, -34999.49387458549 6648811.852545035 56.96, -34999.47115874512 6648812.988578781 56.980000000000004, -34999.49109659891 6648816.424832176 57, -34999.36027138366 6648821.40848743 57.04, -34999.199478672585 6648826.389418 57.07, -34999.114092947915 6648828.436276018 57.07, -34999.019626311376 6648830.472236713 57.08, -34998.82887649641 6648834.56413628 57.09, -34998.75529881334 6648836.370347731 57.1, -34998.52094495192 6648841.717241931 57.120000000000005))</t>
  </si>
  <si>
    <t>['EV39 S88D1 m1958-3355']</t>
  </si>
  <si>
    <t>LINESTRING Z (-35792.126020789496 6647682.351329678 45.35, -35792.14872354455 6647682.323178418 45.35, -35792.65817423863 6647681.372391624 45.35, -35793.64619994885 6647679.478082785 45.34, -35793.90319562447 6647678.977716438 45.33, -35794.87033482292 6647677.0915804645 45.32, -35795.80569020449 6647675.222698416 45.300000000000004, -35796.85728403134 6647673.072303414 45.28, -35797.89888865466 6647670.921000244 45.26, -35798.921423030435 6647668.75789159 45.25, -35799.914897980634 6647666.582069321 45.230000000000004, -35800.89929185796 6647664.395349704 45.22, -35801.86370735138 6647662.206813787 45.21, -35802.80905259319 6647660.006472388 45.21, -35803.27219009143 6647658.900398954 45.21, -35803.734419449465 6647657.80431469 45.21, -35804.65070522961 6647655.591259644 45.21, -35805.53793157765 6647653.365490989 45.21, -35806.40517953795 6647651.137906037 45.22, -35807.27696812409 6647648.860375161 45.230000000000004, -35807.26334641909 6647648.899423742 45.230000000000004, -35807.67744608072 6647647.7788203815 45.230000000000004, -35808.09154573339 6647646.658217017 45.24, -35808.91066396714 6647644.406112949 45.24, -35809.305693369824 6647643.273704117 45.24, -35809.69981463207 6647642.151284458 45.25, -35810.47988421493 6647639.885558625 45.27, -35810.85493522568 6647638.751333498 45.27, -35811.22998622747 6647637.617108366 45.29, -35811.59595617268 6647636.471985918 45.300000000000004, -35811.97100715607 6647635.337760768 45.31, -35812.3269879045 6647634.191730173 45.32, -35812.6820605126 6647633.055688752 45.33, -35813.038041242165 6647631.909658142 45.34, -35813.38403278403 6647630.762719396 45.35, -35814.06602666038 6647628.467933749 45.38, -35814.392039816245 6647627.319178723 45.39, -35814.71805296268 6647626.170423686 45.39, -35815.044974229415 6647625.011679467 45.4, -35815.360998177435 6647623.862016288 45.410000000000004, -35815.983964995365 6647621.551792604 45.44, -35816.356292207376 6647620.1151676085 45.45, -35816.482520244084 6647619.612984521 45.45, -35816.545180196525 6647619.366887569 45.45, -35816.72952753422 6647618.668553422 45.46, -35817.44603060256 6647615.772600637 45.5, -35817.85740706208 6647614.017230004 45.52, -35818.26878349797 6647612.261859356 45.54, -35818.79367458203 6647609.9225758985 45.56, -35819.288598086685 6647607.580568033 45.58, -35819.773532369756 6647605.237652019 45.59, -35820.23939637991 6647602.882930547 45.61, -35820.674384680926 6647600.53547385 45.63, -35821.1002918873 6647598.177119825 45.660000000000004, -35821.50622069102 6647595.816949527 45.68, -35821.88218191243 6647593.45405483 45.71, -35822.24815391004 6647591.090251983 45.730000000000004, -35822.59414750349 6647588.724632874 45.76, -35822.91017351358 6647586.356289362 45.78, -35823.05910544901 6647585.161220295 45.800000000000004, -35823.21711842588 6647583.977048529 45.83, -35823.49318762659 6647581.605072485 45.89, -35823.50408514426 6647581.485202326 45.89, -35823.527696220786 6647581.336272752 45.89, -35823.55584813992 6647581.02660818 45.89, -35823.63213033625 6647580.40909528 45.88, -35823.760175728356 6647579.222199119 45.87, -35823.87823192915 6647578.034394833 45.86, -35823.99628811865 6647576.846590542 45.88, -35824.22513566085 6647574.440106289 45.910000000000004, -35824.30141843634 6647573.490226061 45.92, -35824.30505093979 6647573.450269339 45.92, -35824.474870855454 6647571.360714455 45.95, -35824.56295923947 6647570.280974881 45.96, -35824.64015030826 6647569.210316357 45.97, -35824.77546218317 6647567.057193877 46, -35824.899876715266 6647564.91315244 46.03, -35824.968895002035 6647563.710818316 46.050000000000004, -35825.02701597207 6647562.517565244 46.07, -35825.123279516236 6647560.129242848 46.1, -35825.199564653565 6647557.739104194 46.14, -35825.26586056361 6647555.348057412 46.18, -35825.302188885165 6647552.954286252 46.22, -35825.31853879907 6647550.558698839 46.26, -35825.32489948487 6647548.162203302 46.300000000000004, -35825.30038445874 6647545.772972567 46.34, -35825.255891024135 6647543.381925589 46.38, -35825.19141918176 6647540.989062361 46.42, -35825.11695811094 6647538.595291011 46.46, -35825.01252945152 6647536.198795293 46.5, -35824.889030338265 6647533.9012832595 46.54, -35824.75554200064 6647531.602863106 46.58, -35824.601167136105 6647529.312615891 46.61, -35824.51489862893 6647528.156594984 46.63, -35824.42045717419 6647526.979687593 46.65, -35824.392306359834 6647526.624617539 46.660000000000004, -35824.19797483727 6647524.219948738 46.71, -35824.09536040691 6647523.022154869 46.730000000000004, -35824.03996671853 6647522.412814694 46.74, -35823.992745964904 6647521.824360997 46.76, -35823.93462790584 6647521.244988368 46.78, -35823.86924502801 6647520.634740072 46.79, -35823.756641381304 6647519.436038085 46.82, -35823.63314042089 6647518.246417161 46.84, -35823.51054756995 6647517.046807058 46.88, -35823.23539429088 6647514.644862492 46.94, -35822.94934366224 6647512.251998993 47, -35822.644222746254 6647509.847330082 47.07, -35822.3282044814 6647507.45174224 47.13, -35821.99220780784 6647505.054338169 47.2, -35821.647130026366 6647502.64603681 47.26, -35821.33201932837 6647500.572827141 47.31, -35821.01509235636 6647498.519595841 47.37, -35821.01327611692 6647498.539574206 47.37, -35820.905212177895 6647497.844871886 47.38, -35820.51109646994 6647495.422040783 47.44, -35820.11516447575 6647493.019188051 47.5, -35819.39413197304 6647488.87458492 47.59, -35819.39231573534 6647488.894563284 47.59, -35819.27335444186 6647488.208942043 47.6, -35818.83020075853 6647485.7715812195 47.65, -35818.38613890775 6647483.344209596 47.69, -35818.01926562353 6647481.39722689 47.730000000000004, -35818.01744938723 6647481.417205249 47.730000000000004, -35817.46532316739 6647478.5167095745 47.78, -35816.70796558296 6647474.660884715 47.85, -35816.326562393224 6647472.762939843 47.89, -35815.24864187208 6647469.774357305 47.730000000000004, -35815.65366100019 6647466.4270738 47.94, -35816.63260288886 6647464.189498062 48.09, -35816.49093874474 6647463.532028161 48.1, -35815.98784948175 6647461.089218761 48.17, -35815.726315651555 6647459.866905952 48.2, -35815.47477098997 6647458.645501261 48.230000000000004, -35814.44679762889 6647453.77804468 48.34, -35814.03361043194 6647451.786564803 48.39, -35813.99637814844 6647451.642175695 48.39, -35813.842000501 6647450.902976145 48.410000000000004, -35813.50691011327 6647449.381895983 48.44, -35813.40883489605 6647448.9096800545 48.45, -35813.18544126081 6647447.932556318 48.47, -35812.32365041389 6647444.006807385 48.56, -35811.86233346909 6647441.8800195325 48.6, -35811.25117926183 6647439.074875368 48.660000000000004, -35810.71903008805 6647436.619352627 48.7, -35810.188697093516 6647434.143851546 48.75, -35809.57391032833 6647431.2678750735 48.800000000000004, -35809.1516417017 6647429.2654980365 48.84, -35809.13802013709 6647429.193757546 48.84, -35808.10913756967 6647424.225501491 48.92, -35807.600598914316 6647421.731838368 48.96, -35807.102049388806 6647419.239083373 49, -35806.125836659456 6647414.245400488 49.08, -35805.745340702124 6647412.226677647 49.1, -35805.468368696864 6647410.731024699 49.13, -35805.19048856106 6647409.245360937 49.14, -35805.186856164946 6647409.174528562 49.14, -35805.18413182872 6647409.204496105 49.14, -35805.186856164946 6647409.174528562 49.14, -35804.83269521815 6647407.198486805 49.17, -35804.29328080441 6647404.158143165 49.21, -35804.28601595899 6647404.127267513 49.21, -35803.68575849838 6647400.537518931 49.25, -35803.67758554069 6647400.51663246 49.25, -35803.452375473455 6647399.116330847 49.27, -35803.0491767776 6647396.571813927 49.29, -35802.65596720914 6647394.028205129 49.31, -35802.56334048195 6647393.385265104 49.32, -35802.46889752976 6647392.762303442 49.32, -35802.282735948334 6647391.486412569 49.32, -35801.920401924755 6647388.935538952 49.33, -35801.64252168371 6647386.895929797 49.34, -35801.38461976894 6647384.858136871 49.34, -35801.1267178203 6647382.820343951 49.34, -35800.889702307526 6647380.774378075 49.34, -35800.88152934646 6647380.7534916075 49.34, -35800.64905434649 6647378.657579837 49.35, -35800.380255113356 6647376.07492254 49.370000000000005, -35800.12053689652 6647373.503162538 49.38, -35800.08784510475 6647373.087249378 49.38, -35800.082396469545 6647373.036395365 49.38, -35799.9543535976 6647371.453564273 49.38, -35799.817229632754 6647369.859835895 49.38, -35799.819045850425 6647369.839857533 49.38, -35799.70008400816 6647368.267923735 49.38, -35799.52754391078 6647365.8450933695 49.38, -35799.376798342215 6647363.404100863 49.38, -35799.24603108538 6647360.964924574 49.38, -35799.14159888856 6647358.568429335 49.370000000000005, -35799.133425923996 6647358.547542865 49.370000000000005, -35799.11344759446 6647357.880992089 49.370000000000005, -35799.01628019987 6647355.293794313 49.36, -35798.93727489631 6647352.728391113 49.36, -35798.94090732583 6647352.688434391 49.36, -35798.910939776106 6647351.023873659 49.36, -35798.87915598892 6647349.37929129 49.35, -35798.87279923656 6647349.338426462 49.35, -35798.87461545097 6647349.318448099 49.35, -35798.859177565086 6647347.494060478 49.34, -35798.84373960586 6647344.894149198 49.33, -35798.84827995184 6647342.296054126 49.32, -35798.88278778386 6647339.700683369 49.31, -35798.93545770948 6647337.1271071825 49.29, -35798.93818202778 6647337.097139643 49.29, -35799.000841127825 6647334.856838839 49.28, -35799.07258126151 6647332.627435323 49.26, -35799.0743974729 6647332.60745696 49.26, -35799.09982435731 6647331.884603516 49.26, -35799.21333730733 6647329.306486764 49.24, -35799.348644775106 6647326.710207853 49.22, -35799.50483865407 6647324.105755962 49.2, -35799.68010273471 6647321.513109451 49.18, -35799.88533430325 6647318.923187246 49.15, -35800.10055499838 6647316.334173129 49.120000000000005, -35800.102371207206 6647316.314194769 49.120000000000005, -35800.234046331025 6647314.8657635 49.11, -35800.23586253938 6647314.845785142 49.11, -35800.39387270075 6647313.218456714 49.09, -35800.60182859644 6647311.1525124125 49.07, -35800.886973396526 6647308.569854985 49.04, -35801.182107323315 6647305.98810565 49.01, -35801.50720874092 6647303.409080603 48.980000000000004, -35801.85228846746 6647300.831871752 48.94, -35801.855012776796 6647300.801904207 48.94, -35802.29453539755 6647297.739765955 48.9, -35802.2963516037 6647297.719787589 48.9, -35802.60056664469 6647295.702880968 48.86, -35802.60329095274 6647295.672913426 48.86, -35803.00648940448 6647293.121131493 48.82, -35803.43148237211 6647290.551187385 48.78, -35803.88553473097 6647287.993956744 48.74, -35804.35048432171 6647285.427645 48.7, -35804.363197809085 6647285.398585554 48.7, -35804.63290491339 6647283.982845975 48.68, -35804.90624440811 6647282.527149658 48.65, -35805.19865414896 6647281.083258718 48.620000000000005, -35805.343950911774 6647280.371302424 48.6, -35805.38027510187 6647280.193313355 48.6, -35805.41659929161 6647280.0153242815 48.59, -35805.4892476704 6647279.659346137 48.54, -35805.49288007629 6647279.619389406 48.54, -35805.84613284143 6647277.949379671 48.51, -35806.200293686474 6647276.269380742 48.49, -35806.435492850724 6647275.233230032 48.480000000000004, -35806.82234550954 6647273.525987839 48.45, -35807.20919814624 6647271.818745637 48.42, -35807.21283054934 6647271.778788908 48.42, -35807.58969405608 6647270.181427697 48.38, -35807.78221229289 6647269.393190319 48.370000000000005, -35807.879379510065 6647268.989082446 48.370000000000005, -35807.92750906758 6647268.792023105 48.36, -35807.978362926864 6647268.56499621 48.36, -35807.98017912789 6647268.545017847 48.36, -35808.07734634215 6647268.1409099735 48.34, -35808.45602608379 6647266.634359479 48.29, -35808.64400379767 6647265.896068 48.26, -35808.73753860302 6647265.531916851 48.25, -35808.83470580843 6647265.127808974 48.24, -35809.00452142954 6647264.478512034 48.22, -35809.16071546485 6647263.868263721 48.21, -35809.48672510963 6647262.6087184595 48.19, -35810.15872272826 6647260.091444116 48.14, -35810.50380260288 6647258.843704212 48.11, -35810.84979056532 6647257.585975123 48.08, -35811.559020522516 6647255.102300663 48.03, -35811.57082590414 6647255.083230397 48.03, -35811.58807988267 6647255.004225032 48.03, -35811.58989608125 6647254.984246669 48.03, -35811.95132187661 6647253.778279669 48.01, -35812.12658612954 6647253.179836704 48, -35812.21467230446 6647252.875620631 47.99, -35812.31456386042 6647252.55233429 47.980000000000004, -35813.051036977326 6647250.101351614 47.910000000000004, -35813.43425729382 6647248.87722241 47.88, -35813.81656950072 6647247.663082382 47.84, -35814.59209116467 6647245.225721216 47.76, -35814.6329558983 6647245.108575315 47.76, -35815.03615453711 6647243.886262274 47.71, -35815.24229439499 6647243.280554393 47.69, -35815.450250447146 6647242.654868143 47.68, -35816.287523320294 6647240.202977131 47.61, -35816.721597565105 6647238.973399168 47.58, -35816.926829303964 6647238.377680451 47.56, -35817.14477451821 6647237.752902277 47.54, -35818.021095943055 6647235.31463277 47.46, -35818.91648759681 6647232.8881686 47.36, -35819.14351387322 6647232.27428769 47.34, -35819.368723951746 6647231.680385143 47.32, -35819.42321024835 6647231.524190594 47.31, -35819.47678844712 6647231.377985227 47.31, -35819.59393402748 6647231.086482596 47.300000000000004, -35819.821868394036 6647230.462612493 47.29, -35820.284093912574 6647229.255737113 47.26, -35820.401239489205 6647228.964234474 47.25, -35820.45481768565 6647228.818029105 47.25, -35820.50839588174 6647228.671823738 47.24, -35820.745411324315 6647228.058850906 47.22, -35821.678943399456 6647225.655997379 47.11, -35822.63245380414 6647223.254960006 47.02, -35823.59413716104 6647220.874809062 46.92, -35824.56399347226 6647218.515544536 46.81, -35825.53203355393 6647216.176258344 46.71, -35825.55746050121 6647216.118139429 46.71, -35826.557284292416 6647213.761599117 46.61, -35827.567097232444 6647211.4059668565 46.5, -35828.57600204169 6647209.060323741 46.4, -35829.61487436993 6647206.71740487 46.300000000000004, -35831.68989463756 6647202.061534562 46.08, -35832.746929043555 6647199.740410123 45.980000000000004, -35833.264548953506 6647198.588928982 45.93, -35833.527899450855 6647198.018637045 45.9, -35833.79306613584 6647197.428366737 45.87, -35834.86917075119 6647195.119047592 45.76, -35835.934378054226 6647192.818809495 45.64, -35835.936194243375 6647192.798831124 45.64, -35837.36101116717 6647189.755760424 45.5, -35838.08477093477 6647188.220149361 45.410000000000004, -35840.2524177779 6647183.653272804 45.18, -35841.34577629133 6647181.3757371465 45.07, -35841.88155825727 6647180.246050393 45.01, -35842.429145588074 6647179.0972933555 44.95, -35844.289852807764 6647175.247822013 44.74, -35844.62403546134 6647174.56310829 44.7, -35845.71648575924 6647172.295561649 44.58, -35846.80802793335 6647170.038004152 44.46, -35847.86324586859 6647167.847646641 44.35, -35851.142412583926 6647161.025027831 44.03, -35853.306426318246 6647156.498107 43.82, -35853.89124578319 6647155.272160509 43.76, -35855.47043993045 6647151.971185997 43.61, -35857.63354532956 6647147.4542540135 43.39, -35858.17931625433 6647146.325475036 43.34, -35858.71600607457 6647145.185798768 43.29, -35859.807547885925 6647142.928240764 43.19, -35861.73545394058 6647138.893514142 43.02, -35864.13466616627 6647133.884386763 42.81, -35864.68043700035 6647132.755607658 42.76, -35865.2171267278 6647131.615931266 42.7, -35866.31048453692 6647129.338394627 42.59, -35868.47177314863 6647124.841440176 42.37, -35870.63578590716 6647120.314517988 42.15, -35871.71733819612 6647118.056051427 42.03, -35872.799798543565 6647115.787595635 41.910000000000004, -35877.13781264005 6647106.7346585 41.44, -35878.03138720582 6647104.88211635 41.34, -35878.88954565383 6647103.08678505 41.24, -35879.7477040831 6647101.29145372 41.15, -35881.47401007428 6647097.701699072 40.96, -35882.86794983479 6647094.776680117 40.82, -35883.638022101135 6647093.1747758705 40.730000000000004, -35884.71957402525 6647090.916308802 40.63, -35885.80203400564 6647088.647852498 40.54, -35892.22962972848 6647091.729957718 40.54, -35891.13808852318 6647093.98751683 40.63, -35890.05562839215 6647096.255973174 40.730000000000004, -35889.28555604047 6647097.857877482 40.82, -35887.89252421248 6647100.772907359 40.96, -35886.176207221346 6647104.363570233 41.15, -35885.30805950612 6647106.157993544 41.24, -35884.44899287447 6647107.963314103 41.34, -35883.55541820999 6647109.815856326 41.44, -35879.22739282227 6647118.869701891 41.910000000000004, -35878.14584044367 6647121.128168582 42.03, -35877.064288034686 6647123.38663523 42.15, -35874.890285846195 6647127.9126495 42.37, -35872.72718081542 6647132.429582504 42.59, -35871.64472016448 6647134.698038128 42.7, -35871.09894927824 6647135.8268172825 42.76, -35870.56316757295 6647136.956504523 42.81, -35868.16395508114 6647141.965632095 43.02, -35866.225151532446 6647146.009439969 43.19, -35865.14359878912 6647148.267906152 43.29, -35864.597827811725 6647149.396685182 43.34, -35864.06204601517 6647150.526372293 43.39, -35861.89803228446 6647155.05329364 43.61, -35860.33245951787 6647158.315219619 43.76, -35859.724029243924 6647159.579306722 43.82, -35857.5609233618 6647164.09623854 44.03, -35854.279940097476 6647170.938835983 44.35, -35853.213824765175 6647173.1382746715 44.46, -35852.12228246988 6647175.3958322555 44.58, -35851.02983205125 6647177.663378982 44.7, -35850.707454734715 6647178.3290224485 44.74, -35848.85673649644 6647182.17940203 44.95, -35848.31005719828 6647183.318169928 45.01, -35847.76428598666 6647184.44694863 45.07, -35846.681824632455 6647186.71540328 45.18, -35844.525982923806 6647191.263209739 45.410000000000004, -35843.81402845087 6647192.779750582 45.5, -35842.389211368165 6647195.822821401 45.64, -35841.32491204108 6647198.113070401 45.76, -35840.27150996309 6647200.394238271 45.87, -35840.00815943873 6647200.9645302305 45.9, -35839.74390081677 6647201.544811375 45.93, -35839.22718894342 6647202.686303379 45.980000000000004, -35838.181959796 6647204.988357632 46.08, -35836.121468958794 6647209.595190301 46.300000000000004, -35835.10529917199 6647211.909957903 46.4, -35834.09911853669 6647214.225633559 46.5, -35833.112008141004 6647216.553114553 46.61, -35832.12489771051 6647218.880595509 46.71, -35832.1012869539 6647218.9187360555 46.71, -35831.145052139065 6647221.238952078 46.81, -35830.18881728954 6647223.559168056 46.92, -35829.24075539468 6647225.900270466 47.02, -35828.310855638 6647228.263167401 47.11, -35827.39185312635 6647230.616983211 47.22, -35827.166643035715 6647231.210885797 47.24, -35827.103075649124 6647231.356183076 47.25, -35827.048589348444 6647231.512377635 47.25, -35826.93144375866 6647231.803880285 47.26, -35826.481023566215 6647232.991685446 47.29, -35826.25581346592 6647233.585588027 47.300000000000004, -35826.14865705639 6647233.877998768 47.31, -35826.09507885086 6647234.024204143 47.31, -35826.04059254797 6647234.180398698 47.32, -35825.81538244325 6647234.774301273 47.34, -35825.59017233597 6647235.368203844 47.36, -35824.71929943608 6647237.746538396 47.46, -35823.85750758264 6647240.135770198 47.54, -35823.652275821776 6647240.731488946 47.56, -35823.436146776075 6647241.336288774 47.58, -35823.01569405757 6647242.526818159 47.61, -35822.192042662995 6647244.939660653 47.68, -35821.99680006597 6647245.536287476 47.69, -35821.79066018353 6647246.14199539 47.71, -35821.3892776937 6647247.34433012 47.76, -35821.36203453527 6647247.42242739 47.76, -35820.60195055511 6647249.800761672 47.84, -35820.23144368385 6647250.995831491 47.88, -35819.860936802346 6647252.190901302 47.910000000000004, -35819.139901375165 6647254.582857098 47.980000000000004, -35819.05181518977 6647254.887073189 47.99, -35818.95464792021 6647255.180391996 48, -35818.778475546394 6647255.78882417 48.01, -35818.42794699001 6647256.98571015 48.03, -35818.41069300915 6647257.064715518 48.03, -35817.7041872642 6647259.5184225505 48.08, -35817.37182084157 6647260.737103071 48.11, -35817.02855712443 6647261.964864669 48.14, -35816.37199720612 6647264.423112145 48.19, -35816.05870100472 6647265.653598022 48.21, -35815.89251776668 6647266.262938264 48.22, -35815.735415608855 6647266.883175789 48.24, -35815.64097269229 6647267.257316141 48.25, -35815.547437875415 6647267.621467309 48.26, -35815.369449321064 6647268.360666924 48.29, -35814.992585733184 6647269.847239133 48.34, -35814.89632660709 6647270.241357845 48.36, -35814.848197043524 6647270.438417201 48.36, -35814.810056662536 6647270.6363846585 48.370000000000005, -35814.71288943291 6647271.040492552 48.370000000000005, -35814.52037117258 6647271.828729967 48.38, -35814.14350761776 6647273.426091262 48.42, -35813.7593792344 6647275.103366009 48.45, -35813.38524001243 6647276.781548845 48.480000000000004, -35813.164570508176 6647277.768661795 48.49, -35812.81313392124 6647279.418693269 48.51, -35812.471686495934 6647281.06963283 48.54, -35812.399038107484 6647281.425610997 48.59, -35812.362713912735 6647281.60360008 48.6, -35812.32638971787 6647281.781589163 48.6, -35812.182001038105 6647282.483556309 48.620000000000005, -35811.891407463234 6647283.90746896 48.65, -35811.62170033925 6647285.323208628 48.68, -35811.351993199554 6647286.7389482865 48.7, -35810.892492159735 6647289.245325078 48.74, -35810.45296943514 6647291.75351805 48.78, -35810.03433312802 6647294.253538025 48.82, -35809.64475621446 6647296.766271476 48.86, -35809.34054113168 6647298.783178209 48.9, -35808.904650862445 6647301.805359903 48.94, -35808.57500888966 6647304.323541917 48.980000000000004, -35808.255356047885 6647306.842632012 49.01, -35807.95477341476 6647309.373527485 49.04, -35807.685066379374 6647311.897158072 49.07, -35807.48074286955 6647313.923145764 49.09, -35807.32636510162 6647315.510517557 49.11, -35807.194689957774 6647316.958948908 49.120000000000005, -35806.98400975217 6647319.4980172645 49.15, -35806.78422678076 6647322.02800453 49.18, -35806.61441130121 6647324.560716102 49.2, -35806.46366602683 6647327.105233055 49.22, -35806.33380716783 6647329.641577028 49.24, -35806.213937437395 6647332.178829099 49.26, -35806.189418653026 6647332.891693404 49.26, -35806.11132174579 6647335.0802322235 49.28, -35806.05320316157 6647337.270587249 49.29, -35806.003257540986 6647339.81419604 49.31, -35805.97419833543 6647342.349631864 49.32, -35805.96420933271 6647344.896873074 49.33, -35805.97510674561 6647347.435941313 49.34, -35805.99236084137 6647349.240350681 49.35, -35806.02414462692 6647350.884933148 49.36, -35806.05683649727 6647352.519526433 49.36, -35806.12766883604 6647355.064043312 49.36, -35806.22937677242 6647357.601295336 49.370000000000005, -35806.25298753369 6647358.227889429 49.370000000000005, -35806.35832784383 6647360.614395628 49.38, -35806.49454375729 6647362.993636974 49.38, -35806.64074880537 6647365.373786431 49.38, -35806.79694298736 6647367.754843996 49.38, -35806.919537273236 6647369.286821168 49.38, -35807.04758017673 6647370.869652349 49.38, -35807.17653116828 6647372.442494351 49.38, -35807.21194728988 6647372.828439993 49.38, -35807.46530878486 6647375.359335312 49.370000000000005, -35807.72956751683 6647377.881149569 49.35, -35807.96295064734 6647379.967072279 49.34, -35808.19451754971 6647381.962184255 49.34, -35808.44606278103 6647383.959112462 49.34, -35808.70759716036 6647385.95694878 49.34, -35808.979120687465 6647387.95569322 49.33, -35809.325108825346 6647390.4647940425 49.32, -35809.513086646446 6647391.720706622 49.32, -35809.60752960725 6647392.343668326 49.32, -35809.70106445451 6647392.976619207 49.31, -35810.07792814216 6647395.478455206 49.29, -35810.47567825194 6647397.972118256 49.27, -35810.708153188345 6647399.403295604 49.25, -35811.31113504118 6647402.963076849 49.21, -35811.835111704655 6647405.951658532 49.17, -35812.19835375552 6647407.938597698 49.14, -35812.47532580688 6647409.434250724 49.13, -35812.75320595235 6647410.919914573 49.1, -35813.126437103725 6647412.907761877 49.08, -35814.086304019555 6647417.8596720975 49, -35814.58666982094 6647420.332448871 48.96, -35815.08703557297 6647422.805225659 48.92, -35816.10956151725 6647427.732617157 48.84, -35816.11410201574 6647427.79346036 48.84, -35816.53818691359 6647429.775859141 48.800000000000004, -35817.15297374118 6647432.651835778 48.75, -35817.67422572244 6647435.116439706 48.7, -35818.20637495036 6647437.571962585 48.660000000000004, -35818.8184373338 6647440.367117726 48.6, -35819.28157055564 6647442.473927337 48.56, -35820.1433614908 6647446.399676488 48.47, -35820.35676596698 6647447.375892164 48.45, -35820.4730033261 6647447.86990271 48.44, -35820.47118709539 6647447.889881072 48.44, -35820.807185631944 6647449.400972141 48.410000000000004, -35820.9688281297 6647450.1710473895 48.39, -35820.99607123539 6647450.314528394 48.39, -35821.411074706586 6647452.286030019 48.34, -35822.44631300459 6647457.184362536 48.230000000000004, -35822.69785769202 6647458.405767294 48.2, -35822.958483431954 6647459.638069355 48.17, -35823.47156192735 6647462.081787012 48.1, -35824.4759241764 6647466.987384503 47.99, -35825.28322783974 6647470.958539279 47.89, -35825.65373378026 6647472.865565351 47.85, -35826.42562111828 6647476.783141818 47.78, -35826.984104118426 6647479.724502548 47.730000000000004, -35827.36005851242 6647481.682382695 47.69, -35827.80230418313 6647484.12973286 47.65, -35828.25363086711 6647486.587980345 47.6, -35828.37350029475 6647487.263612453 47.59, -35829.10724629997 6647491.489945581 47.5, -35829.51861611102 6647493.944560631 47.44, -35829.9199966914 6647496.3982675765 47.38, -35830.019887702074 6647497.072083461 47.37, -35830.35134435841 6647499.187066243 47.31, -35830.67190367717 6647501.3111300925 47.26, -35831.033327383804 6647503.761204598 47.2, -35831.373864557594 6647506.219452057 47.13, -35831.70441250061 6647508.676791405 47.07, -35832.014982031076 6647511.132314524 47, -35832.304665027885 6647513.596010591 46.94, -35832.58435879345 6647516.058798546 46.88, -35832.714216476306 6647517.289284405 46.84, -35832.83408496482 6647518.518862146 46.82, -35832.95395344088 6647519.7484398885 46.79, -35833.01842820423 6647520.368677413 46.78, -35833.0738219046 6647520.978017633 46.76, -35833.12830748013 6647521.597347035 46.74, -35833.18279305275 6647522.216676439 46.730000000000004, -35833.292672310024 6647523.445346062 46.71, -35833.491544302204 6647525.910858258 46.660000000000004, -35833.52786805655 6647526.286814821 46.65, -35833.611412217026 6647527.47280336 46.63, -35833.70494554716 6647528.659700022 46.61, -35833.862044628244 6647531.030768983 46.58, -35834.0091544817 6647533.400929824 46.54, -35834.12629674445 6647535.768366301 46.5, -35834.233449608204 6647538.245683772 46.46, -35834.321532181 6647540.711195819 46.42, -35834.378739037085 6647543.183972678 46.38, -35834.42686478468 6647545.645852231 46.34, -35834.453195872135 6647548.125893898 46.300000000000004, -35834.45046748943 6647550.593222012 46.26, -35834.42776069429 6647553.058733871 46.22, -35834.39415654342 6647555.533326786 46.18, -35834.33058479882 6647558.005195323 46.14, -35834.24703464238 6647560.475247602 46.1, -35834.143506073626 6647562.9434836265 46.07, -35834.08175258944 6647564.17669351 46.050000000000004, -35834.01999909291 6647565.409903393 46.03, -35833.88922765618 6647567.623869254 46, -35833.73756969208 6647569.846008038 45.97, -35833.65674610471 6647570.956623363 45.96, -35833.575922506745 6647572.0672386885 45.95, -35833.39520504605 6647574.276663896 45.92, -35833.31528975023 6647575.266500919 45.910000000000004, -35833.08190153376 6647577.722931253 45.88, -35832.96021281672 6647578.950692353 45.86, -35832.8385240871 6647580.178453452 45.87, -35832.69594885828 6647581.414387471 45.88, -35832.630563955754 6647582.0228193635 45.89, -35832.60241203022 6647582.332483965 45.89, -35832.57880094985 6647582.481413547 45.89, -35832.56427092373 6647582.641240435 45.89, -35832.2709474772 6647585.0922219725 45.83, -35832.11929114512 6647586.317258675 45.800000000000004, -35831.95764562138 6647587.541387241 45.78, -35831.62436535652 6647589.988736239 45.76, -35831.2711066833 6647592.434268965 45.730000000000004, -35830.89786960161 6647594.877985422 45.71, -35830.50465411227 6647597.319885605 45.68, -35830.09236834361 6647599.7499803305 45.660000000000004, -35829.659196039895 6647602.18824796 45.63, -35829.19696427765 6647604.61380201 45.61, -35828.72474328987 6647607.038447905 45.59, -35828.22255471675 6647609.460369392 45.58, -35827.701295867446 6647611.870485421 45.56, -35827.170047794 6647614.279693295 45.54, -35826.74323333602 6647616.094091013 45.52, -35826.31641885312 6647617.908488714 45.5, -35825.580845193006 6647620.903425359 45.46, -35825.38196799846 6647621.650797321 45.45, -35825.193988108775 6647622.389088228 45.45, -35824.80713100766 6647623.874751085 45.44, -35824.166909870924 6647626.263980228 45.410000000000004, -35823.83726417262 6647627.45269207 45.4, -35823.5076184636 6647628.641403902 45.39, -35823.167983565014 6647629.829207598 45.39, -35822.82834865607 6647631.017011287 45.38, -35822.1291004488 6647633.3908023825 45.35, -35821.76948715106 6647634.576789786 45.34, -35821.41078197339 6647635.752788007 45.33, -35821.03209842846 6647636.926969956 45.32, -35820.66249592113 6647638.112049207 45.31, -35820.283812356065 6647639.28623114 45.300000000000004, -35819.905128781334 6647640.460413067 45.29, -35819.51645601797 6647641.63368685 45.27, -35819.12778324471 6647642.80696063 45.27, -35818.32137826516 6647645.140794589 45.25, -35817.91272710578 6647646.312252079 45.24, -35817.50498406915 6647647.473720382 45.24, -35816.6595304315 6647649.793932566 45.24, -35816.23180900968 6647650.953584581 45.230000000000004, -35815.80408757855 6647652.113236585 45.230000000000004, -35814.919585287105 6647654.419826995 45.22, -35814.025093781645 6647656.725509234 45.21, -35813.11153201724 6647659.019385994 45.21, -35812.16891081724 6647661.300549139 45.21, -35811.69215154927 6647662.445671224 45.21, -35811.21630040568 6647663.580804117 45.21, -35810.23463056027 6647665.84834548 45.21, -35809.242971505155 6647668.114978666 45.22, -35808.22316115233 6647670.35890906 45.230000000000004, -35807.192453457275 6647672.611920459 45.25, -35806.1435836443 6647674.843137194 45.26, -35805.06474626949 6647677.071629489 45.28, -35803.97682782309 6647679.289224427 45.300000000000004, -35803.00605597312 6647681.215317224 45.32, -35802.02529492485 6647683.140501858 45.33, -35801.74378018675 6647683.688997844 45.34, -35800.721246135654 6647685.630528245 45.35, -35799.69871206337 6647687.572058615 45.36, -35799.43263529788 6647688.06152766 45.36, -35798.489107095054 6647689.798734089 45.38, -35797.545578876045 6647691.5359404925 45.39, -35796.58298042347 6647693.261341421 45.410000000000004, -35795.6004036034 6647694.984926049 45.42, -35794.61873490398 6647696.698521472 45.44, -35793.376438210835 6647698.841650799 45.45, -35792.105082103284 6647700.972066501 45.47, -35791.08527292125 6647702.662050929 45.480000000000004, -35789.53512670484 6647705.200205825 45.49, -35788.22563010396 6647707.30701049 45.51, -35786.90705244406 6647709.402917799 45.52, -35785.568496414926 6647711.497008782 45.54, -35784.21177829022 6647713.569305097 45.550000000000004, -35782.85415201064 6647715.651590539 45.56, -35781.47836363793 6647717.712081309 45.58, -35780.08259689913 6647719.770755758 45.61, -35778.686830144026 6647721.829430154 45.63, -35777.271993161296 6647723.876299054 45.65, -35775.84807512653 6647725.912270598 45.68, -35774.41416790313 6647727.947333949 45.7, -35772.97117962921 6647729.971499939 45.730000000000004, -35771.230331018916 6647732.391599586 45.77, -35769.469504041714 6647734.809882888 45.800000000000004, -35767.102967214305 6647738.019125333 45.85, -35764.13072051422 6647742.019326831 45.92, -35761.12033335329 6647745.995917226 45.99, -35758.080886769225 6647749.959793828 46.050000000000004, -35757.3162575654 6647750.947811585 46.06, -35756.55162835866 6647751.93582933 46.08, -35755.02236993797 6647753.911864776 46.12, -35752.28623246134 6647757.419872366 46.19, -35748.857206575456 6647761.79148702 46.27, -35742.63483245438 6647769.63569209 46.410000000000004, -35738.61916711216 6647774.699281318 46.5, -35738.36943669664 6647775.008944836 46.51, -35736.392479847185 6647777.478080058 46.56, -35733.42749861756 6647781.176788152 46.63, -35730.46251735743 6647784.87549606 46.7, -35730.121067729895 6647785.30775361 46.71, -35727.45394681941 6647788.610527897 46.78, -35724.79772319703 6647791.90422101 46.84, -35723.82059611031 6647793.124712738 46.86, -35720.6739926202 6647797.048629821 46.93, -35717.537378264125 6647800.973454838 47, -35714.41892592213 6647804.920074278 47.07, -35712.85879159323 6647806.903373084 47.1, -35711.30864642316 6647808.887579982 47.14, -35708.5252866525 6647812.471865787 47.</t>
  </si>
  <si>
    <t>['EV39 S88D1 m1891-2733']</t>
  </si>
  <si>
    <t>LINESTRING Z (-35231.6675716202 6648195.252705065 31.55, -35231.88824125822 6648195.151907144 31.560000000000002, -35232.34955878323 6648194.952127645 31.57, -35234.17666698946 6648194.131215044 31.63, -35236.00377521943 6648193.31030242 31.69, -35236.91732934315 6648192.899846096 31.720000000000002, -35237.830883472576 6648192.489389772 31.75, -35239.66616453417 6648191.689363519 31.8, -35239.91770972812 6648191.581300968 31.810000000000002, -35243.46295341407 6648190.030285101 31.900000000000002, -35244.354712996865 6648189.6379906405 31.93, -35244.795144143165 6648189.446383889 31.94, -35245.235575290746 6648189.254777135 31.95, -35247.00819718931 6648188.479269147 32.01, -35248.84347837046 6648187.679242776 32.08, -35250.41268439009 6648187.036316409 32.13, -35251.20818470116 6648186.705772263 32.160000000000004, -35251.992787722265 6648186.384309067 32.19, -35255.15117810236 6648185.100272592 32.3, -35258.06982879306 6648183.905228543 32.39, -35260.15665461414 6648183.107928021 32.44, -35262.23349134147 6648182.309719295 32.51, -35264.32939818455 6648181.523316014 32.57, -35266.42439689138 6648180.746901832 32.64, -35267.35248045204 6648180.398196424 32.67, -35269.65725160763 6648179.530065186 32.74, -35271.9801847185 6648178.683728513 32.82, -35273.13529447222 6648178.275089771 32.86, -35273.7182980011 6648178.066229915 32.88, -35274.301301532425 6648177.857370061 32.9, -35276.630591176916 6648177.051898006 32.99, -35279.27590100968 6648176.204655263 33.09, -35280.11771445407 6648175.91860833 33.13, -35280.948630606756 6648175.641642355 33.17, -35282.62953301577 6648175.099515858 33.26, -35284.30044631823 6648174.556481179 33.35, -35284.724531282554 6648174.433890046 33.38, -35285.149524417124 6648174.30130978 33.39, -35285.98952156177 6648174.03524108 33.43, -35287.16097702051 6648173.668375105 33.47, -35288.33243249019 6648173.301509125 33.53, -35290.68351625255 6648172.588663567 33.65, -35293.041864681174 6648171.90669354 33.76, -35294.22058482759 6648171.570703082 33.82, -35295.408385945135 6648171.2456099205 33.88, -35297.78217187722 6648170.615401828 34.01, -35298.96815669094 6648170.3102869075 34.07, -35300.16413064604 6648170.006080145 34.14, -35302.553354084375 6648169.427633998 34.28, -35304.940761231235 6648168.869166091 34.43, -35307.34633034712 6648168.332492766 34.57, -35308.54866083851 6648168.06915066 34.64, -35308.846519138315 6648168.005585374 34.660000000000004, -35309.14437743882 6648167.942020086 34.68, -35309.75008317281 6648167.815797677 34.72, -35310.951505518984 6648167.562444693 34.81, -35312.15292787657 6648167.309091707 34.89, -35314.563945421134 6648166.823272146 35.03, -35315.7817134019 6648166.611692006 35.11, -35316.38560283126 6648166.5054478515 35.14, -35316.98949226388 6648166.399203692 35.18, -35319.42230378045 6648166.006010789 35.35, -35321.85965546593 6648165.673660831 35.49, -35324.29519086366 6648165.361289122 35.63, -35326.25033908675 6648165.126103069 35.75, -35327.22745912569 6648165.013504606 35.800000000000004, -35328.20457917277 6648164.900906142 35.87, -35329.6693510894 6648164.741997574 35.97, -35330.4112721025 6648164.668446025 36.02, -35331.14411215624 6648164.583997176 36.06, -35334.08001253684 6648164.307044727 36.24, -35335.47031975293 6648164.191724634 36.33, -35336.860626985435 6648164.076404536 36.42, -35338.00665420096 6648163.989234058 36.49, -35340.95708400337 6648163.774032727 36.68, -35342.425488027744 6648163.685956239 36.78, -35343.16559278208 6648163.632382946 36.83, -35343.90478937223 6648163.5887987865 36.88, -35344.89643880946 6648163.537951441 36.95, -35345.382274397416 6648163.511619601 36.980000000000004, -35345.635635410086 6648163.494367279 37, -35345.87809912104 6648163.486195926 37.01, -35347.85050073359 6648163.393582199 37.13, -35349.83470784966 6648163.281898371 37.25, -35351.81709866098 6648163.190192808 37.38, -35352.0595623845 6648163.182021454 37.4, -35352.31201524241 6648163.174758269 37.410000000000004, -35352.806023657206 6648163.169312864 37.44, -35353.795856830315 6648163.138443781 37.5, -35356.27861259517 6648163.082157521 37.64, -35358.769541208865 6648163.046757693 37.79, -35361.2504807387 6648163.010449702 37.93, -35362.50003148883 6648163.003193012 37.99, -35362.80243004358 6648163.000470668 38.01, -35363.11481773399 6648162.998656495 38.03, -35363.73959311703 6648162.995028152 38.07, -35364.73669100844 6648162.995034645 38.13, -35365.73378890788 6648162.995041142 38.18, -35367.72798473225 6648162.995054133 38.29, -35368.72326631867 6648163.015038901 38.35, -35369.72944521799 6648163.025942701 38.43, -35370.72563498991 6648163.035938336 38.51, -35371.72182477021 6648163.045933969 38.58, -35372.72800369433 6648163.056837772 38.64, -35373.72419349081 6648163.066833408 38.7, -35374.841161096 6648163.077737937 38.77, -35375.7265622447 6648163.08773285 38.83, -35377.72711469408 6648163.1286105625 38.96, -35379.12468632113 6648163.15495469 39.06, -35379.73765631253 6648163.170396451 39.1, -35381.738208827795 6648163.211274176 39.230000000000004, -35383.74875051284 6648163.253060073 39.35, -35385.00556612504 6648163.276678971 39.43, -35386.251484444714 6648163.309378843 39.51, -35388.76511573454 6648163.356616651 39.68, -35393.78057299415 6648163.470162391 40, -35396.89627721149 6648163.541922952 40.2, -35403.81512081425 6648163.657297376 40.64, -35405.07102846529 6648163.690905436 40.72, -35406.32784429868 6648163.714524357 40.79, -35408.84147600527 6648163.761762205 40.95, -35413.879636882804 6648163.847156944 41.27, -35417.91706767923 6648163.861713029 41.53, -35418.199488093494 6648163.8571743565 41.550000000000004, -35418.48190850811 6648163.852635688 41.56, -35419.04674934049 6648163.843558338 41.59, -35421.508619998 6648163.795444934 41.7, -35421.821007839986 6648163.79363077 41.71, -35421.97266127635 6648163.787275034 41.72, -35422.12431471248 6648163.780919299 41.730000000000004, -35422.74909040076 6648163.77729097 41.77, -35423.98047984601 6648163.748239698 41.84, -35427.524811152834 6648163.647463338 42.06, -35431.06187793205 6648163.515811384 42.28, -35431.821053342894 6648163.474043559 42.32, -35432.57932058885 6648163.442264874 42.37, -35434.10766057507 6648163.359637397 42.46, -35436.63673174381 6648163.237059882 42.6, -35437.274221157306 6648163.2043723 42.64, -35437.901721433154 6648163.170776549 42.68, -35439.16671113565 6648163.104493221 42.77, -35440.44078182313 6648163.0491072 42.85, -35441.71394435433 6648163.00371032 42.93, -35444.253004824626 6648162.882040968 43.08, -35445.517994593596 6648162.815757636 43.160000000000004, -35446.7938816878 6648162.740393329 43.24, -35447.432279324625 6648162.697716605 43.29, -35448.07067696529 6648162.655039878 43.32, -35449.3365749442 6648162.578767402 43.4, -35451.88199276384 6648162.387174043 43.56, -35454.42014600395 6648162.164705082 43.72, -35456.76850558631 6648161.924980889 43.87, -35459.11868155387 6648161.665278403 44.02, -35460.29013723775 6648161.519989356 44.09, -35461.46159293351 6648161.37470031 44.160000000000004, -35463.806320698 6648161.064143919 44.31, -35464.57094533427 6648160.96244122 44.36, -35467.11364041502 6648160.579237753 44.5, -35468.37136651471 6648160.371290044 44.58, -35469.005224141176 6648160.267770272 44.61, -35469.639081771136 6648160.1642505 44.64, -35472.1572585447 6648159.718387634 44.77, -35473.41770920588 6648159.480472474 44.84, -35474.678159879986 6648159.242557312 44.910000000000004, -35475.93043776252 6648158.983755688 44.980000000000004, -35477.1917966319 6648158.735851374 45.04, -35478.44589087914 6648158.457071452 45.1, -35479.69907696976 6648158.188280669 45.17, -35482.19818455272 6648157.619823485 45.29, -35484.69002755021 6648157.020490676 45.42, -35485.92868443194 6648156.689948657 45.49, -35487.166433155886 6648156.369395776 45.56, -35488.40599823173 6648156.028864598 45.63, -35489.025326688774 6648155.863593581 45.67, -35489.64465514955 6648155.698322562 45.7, -35490.87604744325 6648155.33690491 45.76, -35492.10653157905 6648154.985476399 45.83, -35494.560235249344 6648154.251743751 45.96, -35496.99940969236 6648153.456259856 46.08, -35499.43041137385 6648152.639889472 46.2, -35501.844159315806 6648151.791735275 46.33, -35504.25155083323 6648150.902716293 46.45, -35506.17946190771 6648150.191682717 46.54, -35508.08921105461 6648149.458854487 46.63, -35510.00077656726 6648148.706047938 46.72, -35511.90326112881 6648147.942344053 46.82, -35513.798481076956 6648147.147764532 46.910000000000004, -35516.15592778311 6648146.143415734 47.03, -35517.330110661685 6648145.635792668 47.08, -35518.505201719 6648145.11818044 47.14, -35520.837221905706 6648144.061161321 47.25, -35523.161977488664 6648142.973266551 47.36, -35525.00634438766 6648142.073346387 47.44, -35526.84163033008 6648141.162528874 47.52, -35528.68690544332 6648140.25261951 47.6, -35530.51401861955 6648139.320915476 47.68, -35532.31661338289 6648138.326552018 47.75, -35533.207467538305 6648137.833456682 47.79, -35534.10921901697 6648137.331280362 47.83, -35535.893651858554 6648136.315122209 47.9, -35537.22312256403 6648135.539608969 47.96, -35538.543512298726 6648134.753198394 48.01, -35539.85572923091 6648133.945901334 48.06, -35541.167946172645 6648133.138604259 48.120000000000005, -35542.47108214267 6648132.3204098465 48.17, -35543.76604530867 6648131.481328948 48.22, -35545.05101933319 6648130.641339864 48.27, -35546.32782055263 6648129.7804642925 48.31, -35548.033249185886 6648128.636262609 48.38, -35549.719607700245 6648127.48025541 48.45, -35551.82823716395 6648126.000057292 48.51, -35553.90780736366 6648124.507145469 48.59, -35554.93397099571 6648123.74434356 48.63, -35555.96013463265 6648122.981541638 48.67, -35558.00428910379 6648121.435051288 48.74, -35560.0493517603 6648119.878571733 48.81, -35562.076252465835 6648118.300297485 48.88, -35564.075002065394 6648116.6993203815 48.95, -35566.055589710246 6648115.076548585 49.02, -35568.01075074694 6648113.401106474 49.08, -35569.93685250403 6648111.7129506515 49.14, -35571.81754934229 6648109.97030818 49.2, -35573.68008421513 6648108.205871013 49.26, -35575.5235489544 6648106.429628304 49.31, -35577.34975989128 6648104.621601749 49.370000000000005, -35579.14781970426 6648102.790872335 49.42, -35580.91772839078 6648100.937440057 49.47, -35582.66947510268 6648099.0622130865 49.52, -35583.531272893306 6648098.113248179 49.54, -35584.39307068358 6648097.164283258 49.56, -35586.124839084805 6648095.287239843 49.6, -35587.83935367293 6648093.378412585 49.64, -35589.52571712609 6648091.446882464 49.68, -35591.18392944208 6648089.492649483 49.72, -35592.167414742056 6648088.313026377 49.75, -35593.14181905042 6648087.122505931 49.77, -35594.42498164228 6648085.526972263 49.81, -35596.018718842766 6648083.506447036 49.84, -35596.79515504674 6648082.499362646 49.86, -35597.5824885678 6648081.483197257 49.88, -35599.11901530996 6648079.427255467 49.92, -35600.62648273748 6648077.358599969 49.96, -35601.835181032424 6648075.695865846 49.99, -35603.02480917098 6648074.021326202 50.02, -35604.16630784876 6648072.322267393 50.050000000000004, -35605.289644530974 6648070.60141391 50.07, -35605.831788637675 6648069.734176251 50.07, -35606.09332561563 6648069.294654676 50.07, -35606.36485174857 6648068.856041264 50.08, -35607.73065522965 6648066.683860644 50.120000000000005, -35608.06211694016 6648066.139907321 50.13, -35608.39448681346 6648065.585964832 50.14, -35609.06739938387 6648064.498966331 50.15, -35610.37599237368 6648062.29136916 50.17, -35611.65552603325 6648060.071058292 50.18, -35612.925978674204 6648057.8398500625 50.19, -35614.16737198224 6648055.5959281325 50.21, -35615.37970595539 6648053.339292511 50.230000000000004, -35615.9763378558 6648052.205071942 50.24, -35616.57387791178 6648051.060862204 50.25, -35617.21773235744 6648049.7395721115 50.25, -35617.86249495554 6648048.408292845 50.26, -35618.240271639894 6648047.576470179 50.26, -35618.628037477494 6648046.745555672 50.26, -35619.372693505604 6648045.09099131 50.27, -35620.109176683356 6648043.4155404465 50.27, -35620.825681527844 6648041.738273241 50.28, -35621.345124576124 6648040.56681979 50.28, -35621.59939743718 6648039.98563356 50.28, -35621.85367029626 6648039.404447326 50.28, -35622.85350788047 6648037.047918567 50.27, -35624.055855538696 6648034.236429926 50.26, -35624.86135577632 6648032.355747411 50.25, -35625.269100466045 6648031.4158602245 50.25, -35626.11728301016 6648029.287265035 50.230000000000004, -35626.52684461442 6648028.216610607 50.22, -35626.94639536855 6648027.146864338 50.21, -35627.75552937947 6648025.004647285 50.19, -35628.55558236141 6648022.851532879 50.160000000000004, -35629.38378707145 6648020.610332342 50.13, -35629.71888309764 6648019.694055431 50.11, -35630.043989960104 6648018.776870354 50.09, -35630.37908597477 6648017.8605934335 50.08, -35630.54163940076 6648017.402000891 50.07, -35630.70328466536 6648016.953397506 50.06, -35631.353498348966 6648015.1190273175 50.050000000000004, -35631.98373369139 6648013.282840787 50.03, -35632.75745285326 6648010.8654672885 50, -35633.13977191853 6648009.651331869 49.980000000000004, -35633.32593686774 6648009.043810077 49.97, -35633.522090973565 6648008.437196441 49.97, -35633.820862922934 6648007.477330186 49.96, -35634.980534223956 6648003.695075602 49.93, -35635.00959413173 6648003.597000326 49.93, -35635.64164740371 6648001.408468617 49.92, -35636.28278164135 6647999.230834202 49.9, -35637.51782868907 6647994.841057028 49.85, -35637.79662222508 6647993.879374385 49.84, -35638.076323912246 6647992.90770258 49.83, -35638.31788469129 6647992.023208735 49.82, -35638.55944546475 6647991.1387148835 49.800000000000004, -35639.04347515176 6647989.359738012 49.77, -35639.999728980474 6647985.820854386 49.7, -35640.43381222617 6647984.148125599 49.67, -35641.70155300561 6647979.287949404 49.59, -35642.34541248926 6647976.858769422 49.54, -35642.65689897572 6647975.648265845 49.51, -35642.97928276821 6647974.428681257 49.480000000000004, -35643.248995155795 6647973.4561012 49.46, -35645.63009259163 6647964.769171988 49.27, -35646.28303281753 6647962.350889153 49.22, -35646.9450540056 6647959.9435036 49.17, -35647.59799414466 6647957.525220709 49.120000000000005, -35648.25002608565 6647955.116926949 49.06, -35649.02737901604 6647952.216440345 48.99, -35649.948214916745 6647948.8455555085 48.94, -35650.87813174061 6647945.485567932 48.89, -35651.54923363461 6647943.089079496 48.85, -35652.23032464762 6647940.693499189 48.82, -35652.91141561873 6647938.29791885 48.79, -35653.611576717 6647935.914143952 48.75, -35653.88946168183 6647934.962450186 48.74, -35655.14630075137 6647930.665298514 48.69, -35655.7937904062 6647928.528528111 48.68, -35655.95361960062 6647927.989113887 48.68, -35656.12343795528 6647927.450607814 48.67, -35656.452177343075 6647926.382676672 48.660000000000004, -35657.16141924355 6647924.00979894 48.63, -35657.531023921445 6647922.82472229 48.620000000000005, -35657.89063942747 6647921.63873748 48.61, -35658.64982705726 6647919.270400446 48.59, -35659.41809565725 6647916.912960697 48.56, -35660.22541271569 6647914.5691426825 48.53, -35661.04181074584 6647912.236221952 48.5, -35661.87818706385 6647909.905117491 48.46, -35662.72455250716 6647907.574921141 48.42, -35663.62812843616 6647905.280141159 48.38, -35664.551682656165 6647902.987177438 48.35, -35664.91311280476 6647902.113580998 48.33, -35665.67502208485 6647900.26922092 48.300000000000004, -35666.447828656645 6647898.415779807 48.27, -35667.39045294945 6647896.134621438 48.25, -35668.363044698024 6647893.856187487 48.22, -35669.133126742556 6647892.032713776 48.19, -35670.30731994624 6647889.309308628 48.160000000000004, -35671.34711129195 6647887.067199098 48.13, -35672.40597278462 6647884.836894992 48.09, -35673.48481257504 6647882.608407144 48.06, -35674.582722515916 6647880.391724715 48.03, -35675.69970260654 6647878.186847707 48, -35676.835752849 6647875.99377612 47.97, -35677.9917813933 6647873.802520788 47.94, -35679.15598277829 6647871.632151891 47.9, -35680.713396958425 6647868.79251032 47.870000000000005, -35682.30985960737 6647865.966490428 47.83, -35683.9608092421 6647862.98427641 47.79, -35685.46282766084 6647860.42160679 47.75, -35687.2345553413 6647857.44030122 47.72, -35687.6849791283 6647856.695655926 47.71, -35688.13449476578 6647855.960999789 47.7, -35689.04442334571 6647854.482606484 47.68, -35690.363002277794 6647852.386702536 47.65, -35691.71064054058 6647850.303512148 47.61, -35693.04919776588 6647848.2094244 47.58, -35694.40591701097 6647846.137131229 47.54, -35694.94533555501 6647845.299859355 47.53, -35696.119524008594 6647843.573553907 47.51, -35697.31278263696 6647841.859053884 47.480000000000004, -35697.91395245702 6647841.007252516 47.46, -35698.50513310812 6647840.154542993 47.44, -35699.707472735434 6647838.450940213 47.4, -35700.044382162974 6647837.957839785 47.39, -35701.49736040714 6647835.9345845 47.35, -35702.94943049119 6647833.921318335 47.300000000000004, -35704.421478896285 6647831.90986841 47.26, -35705.157049020985 6647830.909138012 47.24, -35705.524834082345 6647830.408772809 47.230000000000004, -35705.89261914289 6647829.908407601 47.22, -35705.95981930941 6647829.833943139 47.22, -35707.39826760511 6647827.859725345 47.2, -35708.845796910464 6647825.896404817 47.18, -35711.82712584105 6647821.907104603 47.13, -35712.42375487939 6647821.1052488675 47.13, -35713.77502419567 6647819.31446804 47.11, -35715.12720164715 6647817.513698005 47.08, -35717.84881042526 6647813.943941607 47.04, -35719.35899909097 6647811.956102097 47.01, -35720.879176914226 6647809.969170681 46.980000000000004, -35723.927705409704 6647806.016194175 46.93, -35727.0052932275 6647802.075931069 46.88, -35730.10285934538 6647798.137484044 46.82, -35731.07998653478 6647796.916992295 46.800000000000004, -35733.73621043493 6647793.623299139 46.77, -35736.39152616938 6647790.339595 46.730000000000004, -35736.742965003126 6647789.90824559 46.730000000000004, -35742.72832243086 6647782.5662241895 46.65, -35744.753409061814 6647780.121607984 46.63, -35745.01312867494 6647779.8128526 46.62, -35749.131410201895 6647774.839166227 46.58, -35755.47002250422 6647767.045815419 46.5, -35758.99712421466 6647762.703260444 46.46, -35761.82044013322 6647759.233393578 46.4, -35763.36150418257 6647757.238287888 46.37, -35764.136122649536 6647756.251178267 46.35, -35764.91164925427 6647755.254079462 46.34, -35767.983788127545 6647751.262959686 46.29, -35770.98146240646 6647747.204639551 46.22, -35773.95098539174 6647743.12361644 46.160000000000004, -35776.322971326765 6647739.85443888 46.12, -35778.097420237376 6647737.397106971 46.09, -35779.8527989178 6647734.927969535 46.06, -35781.31849012396 6647732.875652251 46.03, -35782.77600841806 6647730.802448423 46.02, -35784.232618558686 6647728.739233723 46, -35785.67106660991 6647726.654224348 45.980000000000004, -35787.10951464553 6647724.569214919 45.96, -35788.528892451664 6647722.472399988 45.94, -35789.9482702408 6647720.375585012 45.92, -35791.34857779904 6647718.266964531 45.910000000000004, -35792.701663872926 6647716.123835788 45.9, -35794.0547499262 6647713.980706997 45.89, -35795.38876574417 6647711.825772705 45.88, -35796.71370050206 6647709.659941049 45.87, -35798.31833347317 6647707.076380868 45.86, -35799.371742855175 6647705.349164091 45.85, -35800.65944525064 6647703.149732217 45.84, -35801.92626113328 6647700.958473199 45.83, -35802.94243816601 6647699.197656236 45.82, -35803.93954496551 6647697.425033794 45.800000000000004, -35804.92666257138 6647695.651503189 45.79, -35805.904699119856 6647693.867075238 45.78, -35806.86366543244 6647692.070841811 45.77, -35807.13065036666 6647691.571383577 45.76, -35809.96030064917 6647695.786825483 45.47, -35807.4702533104 6647701.794855972 45.54, -35805.99548122974 6647703.836276779 45.56, -35805.30530363845 6647709.323058666 45.62, -35803.57715857669 6647715.037772273 45.68, -35799.36170534801 6647721.523461122 45.61, -35792.586287167505 6647731.462672962 45.68, -35783.37349962618 6647744.393180467 45.88, -35783.25453695352 6647744.5938717425 45.83, -35780.97518026619 6647747.065731707 45.84, -35777.162946126075 6647747.343600039 45.85, -35775.378507861984 6647749.800023636 45.86, -35769.90078180074 6647757.319131213 45.9, -35759.68090371555 6647770.027144618 45.96, -35742.13711342309 6647791.395743784 46.06, -35727.409371437156 6647809.928330382 46.34, -35725.20809780341 6647816.083468568 46.17, -35723.50174843741 6647820.561335588 46.19, -35721.991548437276 6647825.429689051 46.2, -35721.32952333905 6647829.388122941 46.22, -35721.84531096567 6647833.685285174 46.230000000000004, -35721.182390203 6647834.440827207 46.24, -35715.42315272556 6647840.957376712 46.18, -35683.960742069874 6647878.827098112 47.74, -35676.28170182684 6647900.256554905 47.96, -35665.30168668879 6647922.987309476 48.300000000000004, -35664.148387567606 6647923.929918214 48.82, -35663.255713273305 6647925.218516569 48.96, -35660.871916825534 6647929.060702149 49.17, -35659.639596307534 6647933.420513472 49.370000000000005, -35658.49627101235 6647937.5769093735 49.9, -35656.92522313597 6647942.671376652 50.34, -35653.297273642616 6647956.210311394 50.64, -35647.506174648996 6647977.589821013 51.1, -35643.713851395645 6647991.7181133265 50.75, -35643.34242804709 6647993.255534674 50.63, -35645.70985261549 6647994.68944631 51.03, -35645.21580849844 6648001.231438698 49.660000000000004, -35642.06189802778 6648012.214962653 49.5, -35636.85927161691 6648028.340170007 49.74, -35631.88006743335 6648039.127531279 49.89, -35629.94668406795 6648043.776113923 49.95, -35627.42396283592 6648044.38271433 49.95, -35625.10647441307 6648044.836754111 50.050000000000004, -35624.18564364512 6648046.878170596 50.24, -35623.459149550414 6648048.554529653 50.42, -35618.322845392744 6648058.743446276 51.35, -35612.34654267086 6648068.9768542675 51.67, -35609.808363425895 6648073.076936285 51.620000000000005, -35608.86846544 6648074.552602372 51.5, -35609.17356883094 6648077.954367779 50.24, -35609.3678996861 6648078.586410434 50.08, -35605.99059796729 6648088.149650311 49.480000000000004, -35598.27800491173 6648096.875589981 48.76, -35589.848907633335 6648107.057217166 48.42, -35580.312874440104 6648110.027571226 48.84, -35579.64632907754 6648109.382812296 48.84, -35578.20878821658 6648111.014668768 49.78, -35575.38547202258 6648113.708999873 50.050000000000004, -35573.230525734485 6648115.698645275 50.26, -35566.65217704931 6648121.143603614 50.46, -35559.724208202795 6648126.556775478 50.25, -35547.47653912043 6648135.202767238 49.35, -35544.68592078739 6648136.983543578 48.97, -35541.82719478512 6648138.7379843565 48.6, -35539.87839388335 6648139.900346381 48.33, -35538.80500478705 6648141.293372664 47.88, -35530.81182835135 6648146.901777861 48.120000000000005, -35527.98851256643 6648149.596107083 48.42, -35524.296145199914 6648151.546692589 48.57, -35522.12485366466 6648153.494563561 48.68, -35518.7657609852 6648155.435161878 48.660000000000004, -35516.71979769308 6648155.893741505 48.22, -35510.90793958586 6648153.904954009 48.24, -35508.76662292692 6648154.747661357 48.160000000000004, -35502.67231715587 6648156.973386502 47.88, -35479.25770198833 6648163.70773754 46.69, -35457.874543898506 6648166.9304597825 44.78, -35450.94387785357 6648168.939141029 44.68, -35448.11785444396 6648169.336872083 44.33, -35436.23256761732 6648172.002987772 42.32, -35415.66400690749 6648172.137251109 40.56, -35387.771595060476 6648171.736593028 39.15, -35356.55280494259 6648171.476669663 37.11, -35328.51782052254 6648173.198249515 35.51, -35311.114006690914 6648175.080633229 34.49, -35309.913491770276 6648175.434785614 35.01, -35308.028282307554 6648173.460556597 34.96, -35302.27453098679 6648174.820857459 35.22, -35289.47297665826 6648178.370548483 35.11, -35264.52642012527 6648187.0000863625 34.11, -35243.85249286622 6648195.49434235 33.43, -35238.75348057295 6648197.74004621 32.99, -35235.2145933843 6648199.3319264585 32.5, -35231.6675716202 6648195.252705065 31.55)</t>
  </si>
  <si>
    <t>POLYGON Z ((-35231.6675716202 6648195.252705065 31.55, -35231.88824125822 6648195.151907144 31.560000000000002, -35232.34955878323 6648194.952127645 31.57, -35234.17666698946 6648194.131215044 31.63, -35236.00377521943 6648193.31030242 31.69, -35236.91732934315 6648192.899846096 31.720000000000002, -35237.830883472576 6648192.489389772 31.75, -35239.66616453417 6648191.689363519 31.8, -35239.91770972812 6648191.581300968 31.810000000000002, -35243.46295341407 6648190.030285101 31.900000000000002, -35244.354712996865 6648189.6379906405 31.93, -35244.795144143165 6648189.446383889 31.94, -35245.235575290746 6648189.254777135 31.95, -35247.00819718931 6648188.479269147 32.01, -35248.84347837046 6648187.679242776 32.08, -35250.41268439009 6648187.036316409 32.13, -35251.20818470116 6648186.705772263 32.160000000000004, -35251.992787722265 6648186.384309067 32.19, -35255.15117810236 6648185.100272592 32.3, -35258.06982879306 6648183.905228543 32.39, -35260.15665461414 6648183.107928021 32.44, -35262.23349134147 6648182.309719295 32.51, -35264.32939818455 6648181.523316014 32.57, -35266.42439689138 6648180.746901832 32.64, -35267.35248045204 6648180.398196424 32.67, -35269.65725160763 6648179.530065186 32.74, -35271.9801847185 6648178.683728513 32.82, -35273.13529447222 6648178.275089771 32.86, -35273.7182980011 6648178.066229915 32.88, -35274.301301532425 6648177.857370061 32.9, -35276.630591176916 6648177.051898006 32.99, -35279.27590100968 6648176.204655263 33.09, -35280.11771445407 6648175.91860833 33.13, -35280.948630606756 6648175.641642355 33.17, -35282.62953301577 6648175.099515858 33.26, -35284.30044631823 6648174.556481179 33.35, -35284.724531282554 6648174.433890046 33.38, -35285.149524417124 6648174.30130978 33.39, -35285.98952156177 6648174.03524108 33.43, -35287.16097702051 6648173.668375105 33.47, -35288.33243249019 6648173.301509125 33.53, -35290.68351625255 6648172.588663567 33.65, -35293.041864681174 6648171.90669354 33.76, -35294.22058482759 6648171.570703082 33.82, -35295.408385945135 6648171.2456099205 33.88, -35297.78217187722 6648170.615401828 34.01, -35298.96815669094 6648170.3102869075 34.07, -35300.16413064604 6648170.006080145 34.14, -35302.553354084375 6648169.427633998 34.28, -35304.940761231235 6648168.869166091 34.43, -35307.34633034712 6648168.332492766 34.57, -35308.54866083851 6648168.06915066 34.64, -35308.846519138315 6648168.005585374 34.660000000000004, -35309.14437743882 6648167.942020086 34.68, -35309.75008317281 6648167.815797677 34.72, -35310.951505518984 6648167.562444693 34.81, -35312.15292787657 6648167.309091707 34.89, -35314.563945421134 6648166.823272146 35.03, -35315.7817134019 6648166.611692006 35.11, -35316.38560283126 6648166.5054478515 35.14, -35316.98949226388 6648166.399203692 35.18, -35319.42230378045 6648166.006010789 35.35, -35321.85965546593 6648165.673660831 35.49, -35324.29519086366 6648165.361289122 35.63, -35326.25033908675 6648165.126103069 35.75, -35327.22745912569 6648165.013504606 35.800000000000004, -35328.20457917277 6648164.900906142 35.87, -35329.6693510894 6648164.741997574 35.97, -35330.4112721025 6648164.668446025 36.02, -35331.14411215624 6648164.583997176 36.06, -35334.08001253684 6648164.307044727 36.24, -35335.47031975293 6648164.191724634 36.33, -35336.860626985435 6648164.076404536 36.42, -35338.00665420096 6648163.989234058 36.49, -35340.95708400337 6648163.774032727 36.68, -35342.425488027744 6648163.685956239 36.78, -35343.16559278208 6648163.632382946 36.83, -35343.90478937223 6648163.5887987865 36.88, -35344.89643880946 6648163.537951441 36.95, -35345.382274397416 6648163.511619601 36.980000000000004, -35345.635635410086 6648163.494367279 37, -35345.87809912104 6648163.486195926 37.01, -35347.85050073359 6648163.393582199 37.13, -35349.83470784966 6648163.281898371 37.25, -35351.81709866098 6648163.190192808 37.38, -35352.0595623845 6648163.182021454 37.4, -35352.31201524241 6648163.174758269 37.410000000000004, -35352.806023657206 6648163.169312864 37.44, -35353.795856830315 6648163.138443781 37.5, -35356.27861259517 6648163.082157521 37.64, -35358.769541208865 6648163.046757693 37.79, -35361.2504807387 6648163.010449702 37.93, -35362.50003148883 6648163.003193012 37.99, -35362.80243004358 6648163.000470668 38.01, -35363.11481773399 6648162.998656495 38.03, -35363.73959311703 6648162.995028152 38.07, -35364.73669100844 6648162.995034645 38.13, -35365.73378890788 6648162.995041142 38.18, -35367.72798473225 6648162.995054133 38.29, -35368.72326631867 6648163.015038901 38.35, -35369.72944521799 6648163.025942701 38.43, -35370.72563498991 6648163.035938336 38.51, -35371.72182477021 6648163.045933969 38.58, -35372.72800369433 6648163.056837772 38.64, -35373.72419349081 6648163.066833408 38.7, -35374.841161096 6648163.077737937 38.77, -35375.7265622447 6648163.08773285 38.83, -35377.72711469408 6648163.1286105625 38.96, -35379.12468632113 6648163.15495469 39.06, -35379.73765631253 6648163.170396451 39.1, -35381.738208827795 6648163.211274176 39.230000000000004, -35383.74875051284 6648163.253060073 39.35, -35385.00556612504 6648163.276678971 39.43, -35386.251484444714 6648163.309378843 39.51, -35388.76511573454 6648163.356616651 39.68, -35393.78057299415 6648163.470162391 40, -35396.89627721149 6648163.541922952 40.2, -35403.81512081425 6648163.657297376 40.64, -35405.07102846529 6648163.690905436 40.72, -35406.32784429868 6648163.714524357 40.79, -35408.84147600527 6648163.761762205 40.95, -35413.879636882804 6648163.847156944 41.27, -35417.91706767923 6648163.861713029 41.53, -35418.199488093494 6648163.8571743565 41.550000000000004, -35418.48190850811 6648163.852635688 41.56, -35419.04674934049 6648163.843558338 41.59, -35421.508619998 6648163.795444934 41.7, -35421.821007839986 6648163.79363077 41.71, -35421.97266127635 6648163.787275034 41.72, -35422.12431471248 6648163.780919299 41.730000000000004, -35422.74909040076 6648163.77729097 41.77, -35423.98047984601 6648163.748239698 41.84, -35427.524811152834 6648163.647463338 42.06, -35431.06187793205 6648163.515811384 42.28, -35431.821053342894 6648163.474043559 42.32, -35432.57932058885 6648163.442264874 42.37, -35434.10766057507 6648163.359637397 42.46, -35436.63673174381 6648163.237059882 42.6, -35437.274221157306 6648163.2043723 42.64, -35437.901721433154 6648163.170776549 42.68, -35439.16671113565 6648163.104493221 42.77, -35440.44078182313 6648163.0491072 42.85, -35441.71394435433 6648163.00371032 42.93, -35444.253004824626 6648162.882040968 43.08, -35445.517994593596 6648162.815757636 43.160000000000004, -35446.7938816878 6648162.740393329 43.24, -35447.432279324625 6648162.697716605 43.29, -35448.07067696529 6648162.655039878 43.32, -35449.3365749442 6648162.578767402 43.4, -35451.88199276384 6648162.387174043 43.56, -35454.42014600395 6648162.164705082 43.72, -35456.76850558631 6648161.924980889 43.87, -35459.11868155387 6648161.665278403 44.02, -35460.29013723775 6648161.519989356 44.09, -35461.46159293351 6648161.37470031 44.160000000000004, -35463.806320698 6648161.064143919 44.31, -35464.57094533427 6648160.96244122 44.36, -35467.11364041502 6648160.579237753 44.5, -35468.37136651471 6648160.371290044 44.58, -35469.005224141176 6648160.267770272 44.61, -35469.639081771136 6648160.1642505 44.64, -35472.1572585447 6648159.718387634 44.77, -35473.41770920588 6648159.480472474 44.84, -35474.678159879986 6648159.242557312 44.910000000000004, -35475.93043776252 6648158.983755688 44.980000000000004, -35477.1917966319 6648158.735851374 45.04, -35478.44589087914 6648158.457071452 45.1, -35479.69907696976 6648158.188280669 45.17, -35482.19818455272 6648157.619823485 45.29, -35484.69002755021 6648157.020490676 45.42, -35485.92868443194 6648156.689948657 45.49, -35487.166433155886 6648156.369395776 45.56, -35488.40599823173 6648156.028864598 45.63, -35489.025326688774 6648155.863593581 45.67, -35489.64465514955 6648155.698322562 45.7, -35490.87604744325 6648155.33690491 45.76, -35492.10653157905 6648154.985476399 45.83, -35494.560235249344 6648154.251743751 45.96, -35496.99940969236 6648153.456259856 46.08, -35499.43041137385 6648152.639889472 46.2, -35501.844159315806 6648151.791735275 46.33, -35504.25155083323 6648150.902716293 46.45, -35506.17946190771 6648150.191682717 46.54, -35508.08921105461 6648149.458854487 46.63, -35510.00077656726 6648148.706047938 46.72, -35511.90326112881 6648147.942344053 46.82, -35513.798481076956 6648147.147764532 46.910000000000004, -35516.15592778311 6648146.143415734 47.03, -35517.330110661685 6648145.635792668 47.08, -35518.505201719 6648145.11818044 47.14, -35520.837221905706 6648144.061161321 47.25, -35523.161977488664 6648142.973266551 47.36, -35525.00634438766 6648142.073346387 47.44, -35526.84163033008 6648141.162528874 47.52, -35528.68690544332 6648140.25261951 47.6, -35530.51401861955 6648139.320915476 47.68, -35532.31661338289 6648138.326552018 47.75, -35533.207467538305 6648137.833456682 47.79, -35534.10921901697 6648137.331280362 47.83, -35535.893651858554 6648136.315122209 47.9, -35537.22312256403 6648135.539608969 47.96, -35538.543512298726 6648134.753198394 48.01, -35539.85572923091 6648133.945901334 48.06, -35541.167946172645 6648133.138604259 48.120000000000005, -35542.47108214267 6648132.3204098465 48.17, -35543.76604530867 6648131.481328948 48.22, -35545.05101933319 6648130.641339864 48.27, -35546.32782055263 6648129.7804642925 48.31, -35548.033249185886 6648128.636262609 48.38, -35549.719607700245 6648127.48025541 48.45, -35551.82823716395 6648126.000057292 48.51, -35553.90780736366 6648124.507145469 48.59, -35554.93397099571 6648123.74434356 48.63, -35555.96013463265 6648122.981541638 48.67, -35558.00428910379 6648121.435051288 48.74, -35560.0493517603 6648119.878571733 48.81, -35562.076252465835 6648118.300297485 48.88, -35564.075002065394 6648116.6993203815 48.95, -35566.055589710246 6648115.076548585 49.02, -35568.01075074694 6648113.401106474 49.08, -35569.93685250403 6648111.7129506515 49.14, -35571.81754934229 6648109.97030818 49.2, -35573.68008421513 6648108.205871013 49.26, -35575.5235489544 6648106.429628304 49.31, -35577.34975989128 6648104.621601749 49.370000000000005, -35579.14781970426 6648102.790872335 49.42, -35580.91772839078 6648100.937440057 49.47, -35582.66947510268 6648099.0622130865 49.52, -35583.531272893306 6648098.113248179 49.54, -35584.39307068358 6648097.164283258 49.56, -35586.124839084805 6648095.287239843 49.6, -35587.83935367293 6648093.378412585 49.64, -35589.52571712609 6648091.446882464 49.68, -35591.18392944208 6648089.492649483 49.72, -35592.167414742056 6648088.313026377 49.75, -35593.14181905042 6648087.122505931 49.77, -35594.42498164228 6648085.526972263 49.81, -35596.018718842766 6648083.506447036 49.84, -35596.79515504674 6648082.499362646 49.86, -35597.5824885678 6648081.483197257 49.88, -35599.11901530996 6648079.427255467 49.92, -35600.62648273748 6648077.358599969 49.96, -35601.835181032424 6648075.695865846 49.99, -35603.02480917098 6648074.021326202 50.02, -35604.16630784876 6648072.322267393 50.050000000000004, -35605.289644530974 6648070.60141391 50.07, -35605.831788637675 6648069.734176251 50.07, -35606.09332561563 6648069.294654676 50.07, -35606.36485174857 6648068.856041264 50.08, -35607.73065522965 6648066.683860644 50.120000000000005, -35608.06211694016 6648066.139907321 50.13, -35608.39448681346 6648065.585964832 50.14, -35609.06739938387 6648064.498966331 50.15, -35610.37599237368 6648062.29136916 50.17, -35611.65552603325 6648060.071058292 50.18, -35612.925978674204 6648057.8398500625 50.19, -35614.16737198224 6648055.5959281325 50.21, -35615.37970595539 6648053.339292511 50.230000000000004, -35615.9763378558 6648052.205071942 50.24, -35616.57387791178 6648051.060862204 50.25, -35617.21773235744 6648049.7395721115 50.25, -35617.86249495554 6648048.408292845 50.26, -35618.240271639894 6648047.576470179 50.26, -35618.628037477494 6648046.745555672 50.26, -35619.372693505604 6648045.09099131 50.27, -35620.109176683356 6648043.4155404465 50.27, -35620.825681527844 6648041.738273241 50.28, -35621.345124576124 6648040.56681979 50.28, -35621.59939743718 6648039.98563356 50.28, -35621.85367029626 6648039.404447326 50.28, -35622.85350788047 6648037.047918567 50.27, -35624.055855538696 6648034.236429926 50.26, -35624.86135577632 6648032.355747411 50.25, -35625.269100466045 6648031.4158602245 50.25, -35626.11728301016 6648029.287265035 50.230000000000004, -35626.52684461442 6648028.216610607 50.22, -35626.94639536855 6648027.146864338 50.21, -35627.75552937947 6648025.004647285 50.19, -35628.55558236141 6648022.851532879 50.160000000000004, -35629.38378707145 6648020.610332342 50.13, -35629.71888309764 6648019.694055431 50.11, -35630.043989960104 6648018.776870354 50.09, -35630.37908597477 6648017.8605934335 50.08, -35630.54163940076 6648017.402000891 50.07, -35630.70328466536 6648016.953397506 50.06, -35631.353498348966 6648015.1190273175 50.050000000000004, -35631.98373369139 6648013.282840787 50.03, -35632.75745285326 6648010.8654672885 50, -35633.13977191853 6648009.651331869 49.980000000000004, -35633.32593686774 6648009.043810077 49.97, -35633.522090973565 6648008.437196441 49.97, -35633.820862922934 6648007.477330186 49.96, -35634.980534223956 6648003.695075602 49.93, -35635.00959413173 6648003.597000326 49.93, -35635.64164740371 6648001.408468617 49.92, -35636.28278164135 6647999.230834202 49.9, -35637.51782868907 6647994.841057028 49.85, -35637.79662222508 6647993.879374385 49.84, -35638.076323912246 6647992.90770258 49.83, -35638.31788469129 6647992.023208735 49.82, -35638.55944546475 6647991.1387148835 49.800000000000004, -35639.04347515176 6647989.359738012 49.77, -35639.999728980474 6647985.820854386 49.7, -35640.43381222617 6647984.148125599 49.67, -35641.70155300561 6647979.287949404 49.59, -35642.34541248926 6647976.858769422 49.54, -35642.65689897572 6647975.648265845 49.51, -35642.97928276821 6647974.428681257 49.480000000000004, -35643.248995155795 6647973.4561012 49.46, -35645.63009259163 6647964.769171988 49.27, -35646.28303281753 6647962.350889153 49.22, -35646.9450540056 6647959.9435036 49.17, -35647.59799414466 6647957.525220709 49.120000000000005, -35648.25002608565 6647955.116926949 49.06, -35649.02737901604 6647952.216440345 48.99, -35649.948214916745 6647948.8455555085 48.94, -35650.87813174061 6647945.485567932 48.89, -35651.54923363461 6647943.089079496 48.85, -35652.23032464762 6647940.693499189 48.82, -35652.91141561873 6647938.29791885 48.79, -35653.611576717 6647935.914143952 48.75, -35653.88946168183 6647934.962450186 48.74, -35655.14630075137 6647930.665298514 48.69, -35655.7937904062 6647928.528528111 48.68, -35655.95361960062 6647927.989113887 48.68, -35656.12343795528 6647927.450607814 48.67, -35656.452177343075 6647926.382676672 48.660000000000004, -35657.16141924355 6647924.00979894 48.63, -35657.531023921445 6647922.82472229 48.620000000000005, -35657.89063942747 6647921.63873748 48.61, -35658.64982705726 6647919.270400446 48.59, -35659.41809565725 6647916.912960697 48.56, -35660.22541271569 6647914.5691426825 48.53, -35661.04181074584 6647912.236221952 48.5, -35661.87818706385 6647909.905117491 48.46, -35662.72455250716 6647907.574921141 48.42, -35663.62812843616 6647905.280141159 48.38, -35664.551682656165 6647902.987177438 48.35, -35664.91311280476 6647902.113580998 48.33, -35665.67502208485 6647900.26922092 48.300000000000004, -35666.447828656645 6647898.415779807 48.27, -35667.39045294945 6647896.134621438 48.25, -35668.363044698024 6647893.856187487 48.22, -35669.133126742556 6647892.032713776 48.19, -35670.30731994624 6647889.309308628 48.160000000000004, -35671.34711129195 6647887.067199098 48.13, -35672.40597278462 6647884.836894992 48.09, -35673.48481257504 6647882.608407144 48.06, -35674.582722515916 6647880.391724715 48.03, -35675.69970260654 6647878.186847707 48, -35676.835752849 6647875.99377612 47.97, -35677.9917813933 6647873.802520788 47.94, -35679.15598277829 6647871.632151891 47.9, -35680.713396958425 6647868.79251032 47.870000000000005, -35682.30985960737 6647865.966490428 47.83, -35683.9608092421 6647862.98427641 47.79, -35685.46282766084 6647860.42160679 47.75, -35687.2345553413 6647857.44030122 47.72, -35687.6849791283 6647856.695655926 47.71, -35688.13449476578 6647855.960999789 47.7, -35689.04442334571 6647854.482606484 47.68, -35690.363002277794 6647852.386702536 47.65, -35691.71064054058 6647850.303512148 47.61, -35693.04919776588 6647848.2094244 47.58, -35694.40591701097 6647846.137131229 47.54, -35694.94533555501 6647845.299859355 47.53, -35696.119524008594 6647843.573553907 47.51, -35697.31278263696 6647841.859053884 47.480000000000004, -35697.91395245702 6647841.007252516 47.46, -35698.50513310812 6647840.154542993 47.44, -35699.707472735434 6647838.450940213 47.4, -35700.044382162974 6647837.957839785 47.39, -35701.49736040714 6647835.9345845 47.35, -35702.94943049119 6647833.921318335 47.300000000000004, -35704.421478896285 6647831.90986841 47.26, -35705.157049020985 6647830.909138012 47.24, -35705.524834082345 6647830.408772809 47.230000000000004, -35705.89261914289 6647829.908407601 47.22, -35705.95981930941 6647829.833943139 47.22, -35707.39826760511 6647827.859725345 47.2, -35708.845796910464 6647825.896404817 47.18, -35711.82712584105 6647821.907104603 47.13, -35712.42375487939 6647821.1052488675 47.13, -35713.77502419567 6647819.31446804 47.11, -35715.12720164715 6647817.513698005 47.08, -35717.84881042526 6647813.943941607 47.04, -35719.35899909097 6647811.956102097 47.01, -35720.879176914226 6647809.969170681 46.980000000000004, -35723.927705409704 6647806.016194175 46.93, -35727.0052932275 6647802.075931069 46.88, -35730.10285934538 6647798.137484044 46.82, -35731.07998653478 6647796.916992295 46.800000000000004, -35733.73621043493 6647793.623299139 46.77, -35736.39152616938 6647790.339595 46.730000000000004, -35736.742965003126 6647789.90824559 46.730000000000004, -35742.72832243086 6647782.5662241895 46.65, -35744.753409061814 6647780.121607984 46.63, -35745.01312867494 6647779.8128526 46.62, -35749.131410201895 6647774.839166227 46.58, -35755.47002250422 6647767.045815419 46.5, -35758.99712421466 6647762.703260444 46.46, -35761.82044013322 6647759.233393578 46.4, -35763.36150418257 6647757.238287888 46.37, -35764.136122649536 6647756.251178267 46.35, -35764.91164925427 6647755.254079462 46.34, -35767.983788127545 6647751.262959686 46.29, -35770.98146240646 6647747.204639551 46.22, -35773.95098539174 6647743.12361644 46.160000000000004, -35776.322971326765 6647739.85443888 46.12, -35778.097420237376 6647737.397106971 46.09, -35779.8527989178 6647734.927969535 46.06, -35781.31849012396 6647732.875652251 46.03, -35782.77600841806 6647730.802448423 46.02, -35784.232618558686 6647728.739233723 46, -35785.67106660991 6647726.654224348 45.980000000000004, -35787.10951464553 6647724.569214919 45.96, -35788.528892451664 6647722.472399988 45.94, -35789.9482702408 6647720.375585012 45.92, -35791.34857779904 6647718.266964531 45.910000000000004, -35792.701663872926 6647716.123835788 45.9, -35794.0547499262 6647713.980706997 45.89, -35795.38876574417 6647711.825772705 45.88, -35796.71370050206 6647709.659941049 45.87, -35798.31833347317 6647707.076380868 45.86, -35799.371742855175 6647705.349164091 45.85, -35800.65944525064 6647703.149732217 45.84, -35801.92626113328 6647700.958473199 45.83, -35802.94243816601 6647699.197656236 45.82, -35803.93954496551 6647697.425033794 45.800000000000004, -35804.92666257138 6647695.651503189 45.79, -35805.904699119856 6647693.867075238 45.78, -35806.86366543244 6647692.070841811 45.77, -35807.13065036666 6647691.571383577 45.76, -35809.96030064917 6647695.786825483 45.47, -35807.4702533104 6647701.794855972 45.54, -35805.99548122974 6647703.836276779 45.56, -35805.30530363845 6647709.323058666 45.62, -35803.57715857669 6647715.037772273 45.68, -35799.36170534801 6647721.523461122 45.61, -35792.586287167505 6647731.462672962 45.68, -35783.37349962618 6647744.393180467 45.88, -35783.25453695352 6647744.5938717425 45.83, -35780.97518026619 6647747.065731707 45.84, -35777.162946126075 6647747.343600039 45.85, -35775.378507861984 6647749.800023636 45.86, -35769.90078180074 6647757.319131213 45.9, -35759.68090371555 6647770.027144618 45.96, -35742.13711342309 6647791.395743784 46.06, -35727.409371437156 6647809.928330382 46.34, -35725.20809780341 6647816.083468568 46.17, -35723.50174843741 6647820.561335588 46.19, -35721.991548437276 6647825.429689051 46.2, -35721.32952333905 6647829.388122941 46.22, -35721.84531096567 6647833.685285174 46.230000000000004, -35721.182390203 6647834.440827207 46.24, -35715.42315272556 6647840.957376712 46.18, -35683.960742069874 6647878.827098112 47.74, -35676.28170182684 6647900.256554905 47.96, -35665.30168668879 6647922.987309476 48.300000000000004, -35664.148387567606 6647923.929918214 48.82, -35663.255713273305 6647925.218516569 48.96, -35660.871916825534 6647929.060702149 49.17, -35659.639596307534 6647933.420513472 49.370000000000005, -35658.49627101235 6647937.5769093735 49.9, -35656.92522313597 6647942.671376652 50.34, -35653.297273642616 6647956.210311394 50.64, -35647.506174648996 6647977.589821013 51.1, -35643.713851395645 6647991.7181133265 50.75, -35643.34242804709 6647993.255534674 50.63, -35645.70985261549 6647994.68944631 51.03, -35645.21580849844 6648001.231438698 49.660000000000004, -35642.06189802778 6648012.214962653 49.5, -35636.85927161691 6648028.340170007 49.74, -35631.88006743335 6648039.127531279 49.89, -35629.94668406795 6648043.776113923 49.95, -35627.42396283592 6648044.38271433 49.95, -35625.10647441307 6648044.836754111 50.050000000000004, -35624.18564364512 6648046.878170596 50.24, -35623.459149550414 6648048.554529653 50.42, -35618.322845392744 6648058.743446276 51.35, -35612.34654267086 6648068.9768542675 51.67, -35609.808363425895 6648073.076936285 51.620000000000005, -35608.86846544 6648074.552602372 51.5, -35609.17356883094 6648077.954367779 50.24, -35609.3678996861 6648078.586410434 50.08, -35605.99059796729 6648088.149650311 49.480000000000004, -35598.27800491173 6648096.875589981 48.76, -35589.848907633335 6648107.057217166 48.42, -35580.312874440104 6648110.027571226 48.84, -35579.64632907754 6648109.382812296 48.84, -35578.20878821658 6648111.014668768 49.78, -35575.38547202258 6648113.708999873 50.050000000000004, -35573.230525734485 6648115.698645275 50.26, -35566.65217704931 6648121.143603614 50.46, -35559.724208202795 6648126.556775478 50.25, -35547.47653912043 6648135.202767238 49.35, -35544.68592078739 6648136.983543578 48.97, -35541.82719478512 6648138.7379843565 48.6, -35539.87839388335 6648139.900346381 48.33, -35538.80500478705 6648141.293372664 47.88, -35530.81182835135 6648146.901777861 48.120000000000005, -35527.98851256643 6648149.596107083 48.42, -35524.296145199914 6648151.546692589 48.57, -35522.12485366466 6648153.494563561 48.68, -35518.7657609852 6648155.435161878 48.660000000000004, -35516.71979769308 6648155.893741505 48.22, -35510.90793958586 6648153.904954009 48.24, -35508.76662292692 6648154.747661357 48.160000000000004, -35502.67231715587 6648156.973386502 47.88, -35479.25770198833 6648163.70773754 46.69, -35457.874543898506 6648166.9304597825 44.78, -35450.94387785357 6648168.939141029 44.68, -35448.11785444396 6648169.336872083 44.33, -35436.23256761732 6648172.002987772 42.32, -35415.66400690749 6648172.137251109 40.56, -35387.771595060476 6648171.736593028 39.15, -35356.55280494259 6648171.476669663 37.11, -35328.51782052254 6648173.198249515 35.51, -35311.114006690914 6648175.080633229 34.49, -35309.913491770276 6648175.434785614 35.01, -35308.028282307554 6648173.460556597 34.96, -35302.27453098679 6648174.820857459 35.22, -35289.47297665826 6648178.370548483 35.11, -35264.52642012527 6648187.0000863625 34.11, -35243.85249286622 6648195.49434235 33.43, -35238.75348057295 6648197.74004621 32.99, -35235.2145933843 6648199.3319264585 32.5, -35231.6675716202 6648195.252705065 31.55))</t>
  </si>
  <si>
    <t>['EV39 S88D1 m3356-3357', 'EV39 S88D1 m2761-3356']</t>
  </si>
  <si>
    <t>LINESTRING Z (-35818.95427429408 6647666.872713237 45.62, -35819.443747214274 6647665.698531704 45.62, -35819.93322012515 6647664.5243501635 45.62, -35820.87311733933 6647662.162365336 45.62, -35821.80302533752 6647659.799472342 45.62, -35822.70387389476 6647657.42386573 45.63, -35823.58565218886 6647655.036453637 45.64, -35824.03607643396 6647653.848650298 45.64, -35824.496489848825 6647652.661755081 45.65, -35825.38734911231 6647650.285240227 45.65, -35825.81870309322 6647649.085631407 45.65, -35826.24914893217 6647647.896011755 45.660000000000004, -35827.10186766472 6647645.495885941 45.68, -35827.51324324729 6647644.294460822 45.69, -35827.92461881973 6647643.093035691 45.7, -35828.335994381574 6647641.891610556 45.72, -35828.7373807542 6647640.689277282 45.730000000000004, -35829.11969688861 6647639.475138552 45.74, -35829.50201301265 6647638.260999816 45.75, -35829.87433994678 6647637.0459529385 45.76, -35830.23667768971 6647635.829997928 45.77, -35830.962261274806 6647633.388098694 45.79, -35831.31460980605 6647632.171235524 45.800000000000004, -35831.66786645679 6647630.944383169 45.81, -35832.010225785896 6647629.726611855 45.82, -35832.35349323484 6647628.498851353 45.83, -35833.01006055903 6647626.040605935 45.86, -35833.41053941834 6647624.515894397 45.87, -35833.6112329067 6647623.748544032 45.87, -35833.81192639063 6647622.9811936645 45.88, -35834.57383543125 6647619.91814883 45.92, -35835.06603383925 6647618.04926471 45.94, -35835.537345731165 6647616.188553494 45.96, -35836.094929153915 6647613.71123746 45.980000000000004, -35836.62345311721 6647611.221207829 46, -35837.14198785159 6647608.73027005 46.02, -35837.640544177266 6647606.237515986 46.04, -35838.100051859976 6647603.731140204 46.06, -35838.54866218427 6647601.2338454565 46.08, -35838.96821304539 6647598.723837119 46.11, -35839.36778549431 6647596.212012507 46.14, -35839.747379531735 6647593.698371619 46.160000000000004, -35840.097005975666 6647591.182006332 46.19, -35840.437551314826 6647588.654743719 46.21, -35840.59193206648 6647587.399739396 46.22, -35840.74722093227 6647586.1347458875 46.25, -35841.0378202633 6647583.602942607 46.31, -35841.051442165975 6647583.453104887 46.32, -35841.06597219501 6647583.293277988 46.32, -35841.105021434254 6647582.974532311 46.31, -35841.172222601715 6647582.346122014 46.31, -35841.30753305345 6647581.079312239 46.300000000000004, -35841.43285431131 6647579.811594332 46.29, -35841.557267429656 6647578.5538656 46.31, -35841.777942335815 6647576.015705394 46.34, -35841.859673899016 6647575.005889941 46.35, -35842.04765640199 6647572.71655113 46.37, -35842.131204392994 6647571.575968183 46.39, -35842.2147523734 6647570.4353852365 46.4, -35842.36186993949 6647568.152403083 46.43, -35842.48900909955 6647565.867604672 46.46, -35842.55348698539 6647564.60442716 46.480000000000004, -35842.61887298385 6647563.3312604595 46.5, -35842.72875845188 6647560.793099991 46.54, -35842.808676321874 6647558.252215144 46.58, -35842.868615775486 6647555.709514037 46.62, -35842.91856599378 6647553.1659048 46.660000000000004, -35842.93854861369 6647550.619571188 46.7, -35842.937644692254 6647548.081410506 46.74, -35842.92675153562 6647545.542341696 46.78, -35842.85592323425 6647542.9978241455 46.82, -35842.765116515686 6647540.451490345 46.85, -35842.65342325636 6647537.913329483 46.89, -35842.52175157971 6647535.373352378 46.93, -35842.39098780439 6647532.934175216 46.97, -35842.24024561618 6647530.4931818135 47.01, -35842.06861689198 6647528.06036135 47.050000000000004, -35841.968726860825 6647526.832599753 47.06, -35841.867928694934 6647525.614827343 47.08, -35841.84250224149 6647525.229789694 47.09, -35841.64907896158 6647522.704342237 47.13, -35841.532842998626 6647521.434807677 47.15, -35841.479265542584 6647520.805489048 47.160000000000004, -35841.42659620452 6647520.166181239 47.18, -35841.37301874184 6647519.53686261 47.19, -35841.30945209344 6647518.906635863 47.2, -35841.19230796909 6647517.647090491 47.230000000000004, -35841.06608277082 6647516.376647814 47.25, -35840.928960256046 6647515.115286202 47.28, -35840.654715187266 6647512.592562984 47.33, -35840.34959439887 6647510.077104593 47.39, -35840.034484375734 6647507.560738093 47.45, -35839.70847699803 6647505.053452665 47.51, -35839.373388506705 6647502.535269944 47.57, -35839.01741347881 6647500.025260179 47.62, -35838.699578482425 6647497.871228637 47.67, -35838.36176508397 6647495.715380865 47.72, -35838.252792998916 6647495.030667629 47.730000000000004, -35837.85595296859 6647492.527014606 47.79, -35837.44821558555 6647490.032442656 47.84, -35836.72082632501 6647485.736184969 47.910000000000004, -35836.59187581972 6647485.049655512 47.92, -35836.13237613661 6647482.570521383 47.96, -35835.662887221435 6647480.090479148 48, -35835.28874901915 6647478.112620503 48.03, -35834.72300112329 6647475.140383909 48.07, -35833.89299483574 6647471.1973801125 48.13, -35833.49342942203 6647469.277640377 48.160000000000004, -35832.64798516838 6647465.282874507 48.22, -35831.60548230505 6647460.353665854 48.29, -35831.05244702136 6647457.906315573 48.33, -35830.78092395223 6647456.683094497 48.35, -35830.49941168912 6647455.458965312 48.370000000000005, -35829.393340879935 6647450.564264846 48.44, -35828.9474616989 6647448.600027927 48.47, -35828.9202185896 6647448.4565469185 48.47, -35828.73859770957 6647447.684655386 48.480000000000004, -35828.401691018604 6647446.183553402 48.5, -35828.3935180679 6647446.162666923 48.5, -35828.287269877736 6647445.669564462 48.51, -35828.07386537641 6647444.693348724 48.53, -35827.23205270653 6647440.76941555 48.58, -35826.77890861314 6647438.663513918 48.61, -35826.17592722643 6647435.879255896 48.65, -35825.67374548281 6647433.4264572 48.68, -35825.16157450841 6647430.97275041 48.71, -35824.61671188206 6647428.103130383 48.74, -35824.242572844145 6647426.12527204 48.76, -35824.228043162846 6647426.06352072 48.77, -35823.29451162077 6647421.1542911 48.82, -35822.8322863105 6647418.705124959 48.85, -35822.37006095133 6647416.2559588365 48.870000000000005, -35821.43562090455 6647411.356718527 48.92, -35821.05875725974 6647409.408827817 48.94, -35820.77996896976 6647407.933153048 48.95, -35820.50027254992 6647406.467467467 48.96, -35820.124316939735 6647404.5095876 48.980000000000004, -35819.564924000995 6647401.578216469 49, -35818.9664825924 6647398.079278185 49.03, -35818.74127247732 6647396.678976398 49.03, -35818.35986824217 6647394.227086126 49.04, -35817.97937206854 6647391.765206683 49.050000000000004, -35817.884020989644 6647391.15223412 49.06, -35817.78866990749 6647390.539261559 49.06, -35817.59796773433 6647389.313316437 49.06, -35817.21656335099 6647386.861426202 49.050000000000004, -35816.99135326152 6647384.907178905 49.050000000000004, -35816.7661431405 6647382.9529316155 49.04, -35816.55183027941 6647380.989603259 49.02, -35816.3574957496 6647379.028091127 49.02, -35816.1386423005 6647377.00391958 49.01, -35815.858945703134 6647374.541132132 49.01, -35815.59922741912 6647372.080160909 49.01, -35815.56199507555 6647371.714193604 49.01, -35815.44030892663 6647370.172227142 49.01, -35815.328611939214 6647368.631168794 49.01, -35815.22236356989 6647367.140964467 49.01, -35815.02984506928 6647364.827106679 49.01, -35814.85730488761 6647362.515065114 49.02, -35814.705651133205 6647360.194850584 49.01, -35814.56398651574 6647357.875544166 49.01, -35814.518581173965 6647357.267112178 49.01, -35814.47135967738 6647354.7952437205 49, -35814.435035419534 6647352.314294186 48.99, -35814.40870030259 6647350.72056562 48.99, -35814.39235434646 6647349.127745163 48.980000000000004, -35814.37146782584 6647347.363292398 48.97, -35814.354213672224 6647344.894148254 48.96, -35814.35784593853 6647342.416831142 48.95, -35814.411424063845 6647339.944054557 48.93, -35814.47499132028 6647337.472186075 48.92, -35814.53765046585 6647335.342674095 48.9, -35814.62028793816 6647333.214978323 48.89, -35814.65297969873 6647332.523000439 48.88, -35814.767400820274 6647330.045683284 48.86, -35814.910881332355 6647327.581079622 48.84, -35815.07524826459 6647325.108302977 48.82, -35815.269582693 6647322.63825064 48.800000000000004, -35815.482987331576 6647320.180003684 48.77, -35815.70728920784 6647317.712675639 48.74, -35815.84532113967 6647316.305109024 48.72, -35816.00605569931 6647314.758601955 48.7, -35816.2348981672 6647312.795273528 48.68, -35816.519134990405 6647310.33339407 48.65, -35816.822442025994 6647307.883319989 48.620000000000005, -35817.13573819585 6647305.434153997 48.58, -35817.47990996903 6647302.977723115 48.550000000000004, -35817.94758411171 6647300.049076272 48.5, -35818.25633980939 6647298.093012597 48.47, -35818.639560067095 6647295.650203259 48.42, -35819.032769460464 6647293.208302006 48.38, -35819.45503825275 6647290.779114223 48.34, -35819.89819346741 6647288.341753444 48.300000000000004, -35820.15427905833 6647286.965062319 48.28, -35820.41127273615 6647285.5783820115 48.25, -35820.68733666348 6647284.203507077 48.22, -35820.82082808111 6647283.510620963 48.21, -35820.85624418 6647283.342621053 48.2, -35820.88257919694 6647283.163723859 48.19, -35820.95431949478 6647282.8177348515 48.14, -35821.31120483205 6647281.218557302 48.11, -35821.66809014953 6647279.6193797365 48.09, -35821.88694348512 6647278.652245088 48.07, -35822.25654225855 6647277.024008062 48.050000000000004, -35822.61615182832 6647275.394862921 48.02, -35823.01844248583 6647273.850171744 47.980000000000004, -35823.21913375752 6647273.082820741 47.97, -35823.32447398349 6647272.699599289 47.96, -35823.37260355463 6647272.502539921 47.96, -35823.41982502455 6647272.315469738 47.95, -35823.52516524843 6647271.932248286 47.93, -35823.91746675642 6647270.497438102 47.88, -35824.11361750448 6647269.780033007 47.85, -35824.20624423504 6647269.425871001 47.83, -35824.2997790653 6647269.06171981 47.83, -35824.464146129554 6647268.472357895 47.81, -35824.619432107895 6647267.8720986955 47.800000000000004, -35824.939085140126 6647266.682477575 47.77, -35825.58928845718 6647264.294154231 47.72, -35825.92891982512 6647263.10634929 47.7, -35826.26855118293 6647261.918544345 47.67, -35826.95780305134 6647259.543842528 47.61, -35826.98504621931 6647259.465745255 47.61, -35827.322861345485 6647258.297918653 47.59, -35827.49721754703 6647257.709464807 47.58, -35827.583487546886 6647257.4252270665 47.57, -35827.670665645855 6647257.1310001435 47.56, -35828.37535530119 6647254.808060386 47.49, -35828.74313793983 6647253.642958056 47.46, -35829.1000232856 6647252.486936799 47.42, -35829.84466960002 6647250.167629383 47.34, -35829.87100466341 6647250.099521293 47.34, -35830.249684546725 6647248.925337843 47.300000000000004, -35830.434029892436 6647248.337792065 47.29, -35830.62836442015 6647247.751154386 47.27, -35831.40570250619 6647245.404603651 47.230000000000004, -35831.82433908817 6647244.234052567 47.2, -35832.02866278344 6647243.64832297 47.19, -35832.23207837739 6647243.072582557 47.17, -35833.078432580456 6647240.7423776295 47.1, -35833.93386783241 6647238.423069949 47.02, -35834.15816987399 6647237.839156528 47.01, -35834.37157462991 6647237.264324193 46.980000000000004, -35834.42515284277 6647237.118118813 46.980000000000004, -35834.47873105586 6647236.971913433 46.980000000000004, -35834.5958766666 6647236.680410769 46.97, -35834.80928141775 6647236.105578427 46.96, -35835.25697738177 6647234.947740753 46.94, -35835.374122988316 6647234.656238087 46.94, -35835.42770119896 6647234.510032703 46.94, -35835.48037131131 6647234.373816506 46.93, -35835.70467333682 6647233.789903069 46.910000000000004, -35836.61913549178 6647231.486033057 46.82, -35837.53359761194 6647229.182163004 46.74, -35838.46803806757 6647226.880109111 46.65, -35839.399754196405 6647224.608022738 46.57, -35840.35144866281 6647222.337752517 46.480000000000004, -35840.36507023673 6647222.2987038735 46.480000000000004, -35841.309499774245 6647219.997557965 46.39, -35842.26391846291 6647217.697320118 46.31, -35843.23740739236 6647215.408887606 46.22, -35844.20998819184 6647213.130444244 46.13, -35846.1487928899 6647208.53269256 45.95, -35847.141351961414 6647206.2560652755 45.87, -35847.64807471936 6647205.113665116 45.82, -35847.90143609524 6647204.542465035 45.800000000000004, -35848.14480828273 6647203.970356857 45.77, -35849.14826457063 6647201.684648403 45.68, -35850.151720826165 6647199.398939905 45.58, -35851.534765161574 6647196.372214936 45.45, -35852.23582244746 6647194.864755111 45.38, -35854.34989150416 6647190.333294439 45.17, -35855.411466531805 6647188.073012684 45.06, -35855.94724862813 6647186.943325833 45.01, -35856.47394962341 6647185.802741697 44.95, -35858.275630260236 6647181.937832285 44.75, -35858.59800761868 6647181.272188786 44.72, -35859.67047980416 6647179.002825771 44.61, -35860.742043865495 6647176.743451899 44.49, -35861.7890890534 6647174.532207736 44.39, -35865.03102408268 6647167.675988427 44.06, -35867.18504914816 6647163.148159126 43.84, -35867.783490312286 6647161.883163873 43.78, -35869.32999299478 6647158.60943238 43.62, -35871.48401781439 6647154.081602743 43.39, -35872.01979968033 6647152.95191558 43.33, -35872.55558153824 6647151.822228408 43.28, -35873.628053322784 6647149.552864843 43.18, -35875.55686792976 6647145.508148697 43, -35877.93610234861 6647140.4972047275 42.78, -35878.47279221297 6647139.3575282525 42.730000000000004, -35879.01856316882 6647138.228749042 42.68, -35880.09103476803 6647135.9593852265 42.57, -35882.254140074016 6647131.4424520265 42.35, -35884.40816415823 6647126.914621378 42.13, -35885.48063560377 6647124.645257351 42.01, -35886.56218811963 6647122.3867905615 41.89, -35890.92926273169 6647113.346566146 41.410000000000004, -35891.82283750945 6647111.494023844 41.32, -35892.70097454463 6647109.700508572 41.22, -35893.56912236998 6647107.906085184 41.13, -35895.30450987525 6647104.327227521 40.94, -35896.71752026514 6647101.414013691 40.79, -35897.487592715304 6647099.812109312 40.71, -35898.521015114384 6647097.5291232355 40.59, -35899.56442667334 6647095.247045205 40.47, -35904.397379002185 6647095.484959484 41.04, -35903.520149019896 6647096.714539835 41.1, -35902.38955687941 6647097.961374749 41.15, -35900.7949253181 6647101.09979996 41.26, -35890.96832701843 6647121.558587744 41.93, -35875.68038672046 6647155.339325541 43.04, -35852.085996607435 6647204.48978975 44.67, -35836.900657973485 6647241.130136119 45.86, -35831.23044820689 6647258.189850848 46.4, -35828.37536521687 6647268.213544558 46.71, -35825.30233696778 6647280.413063583 47.08, -35823.48885096214 6647289.060972739 47.35, -35822.61162166146 6647294.278959056 47.51, -35822.91674806748 6647299.342566496 47.660000000000004, -35823.582392169046 6647302.434672358 47.75, -35823.726782586775 6647305.831902581 47.85, -35823.64142054028 6647305.995361972 47.86, -35824.40332289424 6647306.366777668 47.870000000000005, -35824.0255512523 6647309.4143866915 47.95, -35823.52155306109 6647313.961281259 48.07, -35823.093835716485 6647318.444608236 48.18, -35822.70698312309 6647323.253945757 48.31, -35822.4027680984 6647327.929791417 48.43, -35822.22477967036 6647331.549507991 48.53, -35822.0740344075 6647335.534283765 48.63, -35821.2976025407 6647335.876640396 48.620000000000005, -35821.52372203441 6647343.471143403 48.550000000000004, -35819.88912866067 6647345.276461199 48.52, -35819.72566944512 6647349.068718064 48.480000000000004, -35821.007915642695 6647370.859665367 48.26, -35825.389522829675 6647407.304744814 47.88, -35836.057931334944 6647462.78285762 47.300000000000004, -35844.750321102445 6647478.841840921 47.12, -35847.70255944971 6647496.000537908 46.94, -35851.066157382214 6647520.931729558 46.68, -35851.71544367296 6647528.3028403055 46.6, -35851.98059772793 6647537.129647084 46.47, -35852.51363424107 6647551.208040844 46.46, -35852.73791337048 6647564.8051370345 46.49, -35851.536460610805 6647579.128716603 46.52, -35850.677389052464 6647580.047719889 46.53, -35845.08160431031 6647593.186209694 46.56, -35843.051050991286 6647605.218630764 46.59, -35839.8980691185 6647620.180603774 46.62, -35835.4383160352 6647636.333101745 46.660000000000004, -35835.00423457974 6647638.892147605 46.660000000000004, -35835.22489320685 6647643.6660691695 46.67, -35818.95427429408 6647666.872713237 45.62)</t>
  </si>
  <si>
    <t>POLYGON Z ((-35818.95427429408 6647666.872713237 45.62, -35819.443747214274 6647665.698531704 45.62, -35819.93322012515 6647664.5243501635 45.62, -35820.87311733933 6647662.162365336 45.62, -35821.80302533752 6647659.799472342 45.62, -35822.70387389476 6647657.42386573 45.63, -35823.58565218886 6647655.036453637 45.64, -35824.03607643396 6647653.848650298 45.64, -35824.496489848825 6647652.661755081 45.65, -35825.38734911231 6647650.285240227 45.65, -35825.81870309322 6647649.085631407 45.65, -35826.24914893217 6647647.896011755 45.660000000000004, -35827.10186766472 6647645.495885941 45.68, -35827.51324324729 6647644.294460822 45.69, -35827.92461881973 6647643.093035691 45.7, -35828.335994381574 6647641.891610556 45.72, -35828.7373807542 6647640.689277282 45.730000000000004, -35829.11969688861 6647639.475138552 45.74, -35829.50201301265 6647638.260999816 45.75, -35829.87433994678 6647637.0459529385 45.76, -35830.23667768971 6647635.829997928 45.77, -35830.962261274806 6647633.388098694 45.79, -35831.31460980605 6647632.171235524 45.800000000000004, -35831.66786645679 6647630.944383169 45.81, -35832.010225785896 6647629.726611855 45.82, -35832.35349323484 6647628.498851353 45.83, -35833.01006055903 6647626.040605935 45.86, -35833.41053941834 6647624.515894397 45.87, -35833.6112329067 6647623.748544032 45.87, -35833.81192639063 6647622.9811936645 45.88, -35834.57383543125 6647619.91814883 45.92, -35835.06603383925 6647618.04926471 45.94, -35835.537345731165 6647616.188553494 45.96, -35836.094929153915 6647613.71123746 45.980000000000004, -35836.62345311721 6647611.221207829 46, -35837.14198785159 6647608.73027005 46.02, -35837.640544177266 6647606.237515986 46.04, -35838.100051859976 6647603.731140204 46.06, -35838.54866218427 6647601.2338454565 46.08, -35838.96821304539 6647598.723837119 46.11, -35839.36778549431 6647596.212012507 46.14, -35839.747379531735 6647593.698371619 46.160000000000004, -35840.097005975666 6647591.182006332 46.19, -35840.437551314826 6647588.654743719 46.21, -35840.59193206648 6647587.399739396 46.22, -35840.74722093227 6647586.1347458875 46.25, -35841.0378202633 6647583.602942607 46.31, -35841.051442165975 6647583.453104887 46.32, -35841.06597219501 6647583.293277988 46.32, -35841.105021434254 6647582.974532311 46.31, -35841.172222601715 6647582.346122014 46.31, -35841.30753305345 6647581.079312239 46.300000000000004, -35841.43285431131 6647579.811594332 46.29, -35841.557267429656 6647578.5538656 46.31, -35841.777942335815 6647576.015705394 46.34, -35841.859673899016 6647575.005889941 46.35, -35842.04765640199 6647572.71655113 46.37, -35842.131204392994 6647571.575968183 46.39, -35842.2147523734 6647570.4353852365 46.4, -35842.36186993949 6647568.152403083 46.43, -35842.48900909955 6647565.867604672 46.46, -35842.55348698539 6647564.60442716 46.480000000000004, -35842.61887298385 6647563.3312604595 46.5, -35842.72875845188 6647560.793099991 46.54, -35842.808676321874 6647558.252215144 46.58, -35842.868615775486 6647555.709514037 46.62, -35842.91856599378 6647553.1659048 46.660000000000004, -35842.93854861369 6647550.619571188 46.7, -35842.937644692254 6647548.081410506 46.74, -35842.92675153562 6647545.542341696 46.78, -35842.85592323425 6647542.9978241455 46.82, -35842.765116515686 6647540.451490345 46.85, -35842.65342325636 6647537.913329483 46.89, -35842.52175157971 6647535.373352378 46.93, -35842.39098780439 6647532.934175216 46.97, -35842.24024561618 6647530.4931818135 47.01, -35842.06861689198 6647528.06036135 47.050000000000004, -35841.968726860825 6647526.832599753 47.06, -35841.867928694934 6647525.614827343 47.08, -35841.84250224149 6647525.229789694 47.09, -35841.64907896158 6647522.704342237 47.13, -35841.532842998626 6647521.434807677 47.15, -35841.479265542584 6647520.805489048 47.160000000000004, -35841.42659620452 6647520.166181239 47.18, -35841.37301874184 6647519.53686261 47.19, -35841.30945209344 6647518.906635863 47.2, -35841.19230796909 6647517.647090491 47.230000000000004, -35841.06608277082 6647516.376647814 47.25, -35840.928960256046 6647515.115286202 47.28, -35840.654715187266 6647512.592562984 47.33, -35840.34959439887 6647510.077104593 47.39, -35840.034484375734 6647507.560738093 47.45, -35839.70847699803 6647505.053452665 47.51, -35839.373388506705 6647502.535269944 47.57, -35839.01741347881 6647500.025260179 47.62, -35838.699578482425 6647497.871228637 47.67, -35838.36176508397 6647495.715380865 47.72, -35838.252792998916 6647495.030667629 47.730000000000004, -35837.85595296859 6647492.527014606 47.79, -35837.44821558555 6647490.032442656 47.84, -35836.72082632501 6647485.736184969 47.910000000000004, -35836.59187581972 6647485.049655512 47.92, -35836.13237613661 6647482.570521383 47.96, -35835.662887221435 6647480.090479148 48, -35835.28874901915 6647478.112620503 48.03, -35834.72300112329 6647475.140383909 48.07, -35833.89299483574 6647471.1973801125 48.13, -35833.49342942203 6647469.277640377 48.160000000000004, -35832.64798516838 6647465.282874507 48.22, -35831.60548230505 6647460.353665854 48.29, -35831.05244702136 6647457.906315573 48.33, -35830.78092395223 6647456.683094497 48.35, -35830.49941168912 6647455.458965312 48.370000000000005, -35829.393340879935 6647450.564264846 48.44, -35828.9474616989 6647448.600027927 48.47, -35828.9202185896 6647448.4565469185 48.47, -35828.73859770957 6647447.684655386 48.480000000000004, -35828.401691018604 6647446.183553402 48.5, -35828.3935180679 6647446.162666923 48.5, -35828.287269877736 6647445.669564462 48.51, -35828.07386537641 6647444.693348724 48.53, -35827.23205270653 6647440.76941555 48.58, -35826.77890861314 6647438.663513918 48.61, -35826.17592722643 6647435.879255896 48.65, -35825.67374548281 6647433.4264572 48.68, -35825.16157450841 6647430.97275041 48.71, -35824.61671188206 6647428.103130383 48.74, -35824.242572844145 6647426.12527204 48.76, -35824.228043162846 6647426.06352072 48.77, -35823.29451162077 6647421.1542911 48.82, -35822.8322863105 6647418.705124959 48.85, -35822.37006095133 6647416.2559588365 48.870000000000005, -35821.43562090455 6647411.356718527 48.92, -35821.05875725974 6647409.408827817 48.94, -35820.77996896976 6647407.933153048 48.95, -35820.50027254992 6647406.467467467 48.96, -35820.124316939735 6647404.5095876 48.980000000000004, -35819.564924000995 6647401.578216469 49, -35818.9664825924 6647398.079278185 49.03, -35818.74127247732 6647396.678976398 49.03, -35818.35986824217 6647394.227086126 49.04, -35817.97937206854 6647391.765206683 49.050000000000004, -35817.884020989644 6647391.15223412 49.06, -35817.78866990749 6647390.539261559 49.06, -35817.59796773433 6647389.313316437 49.06, -35817.21656335099 6647386.861426202 49.050000000000004, -35816.99135326152 6647384.907178905 49.050000000000004, -35816.7661431405 6647382.9529316155 49.04, -35816.55183027941 6647380.989603259 49.02, -35816.3574957496 6647379.028091127 49.02, -35816.1386423005 6647377.00391958 49.01, -35815.858945703134 6647374.541132132 49.01, -35815.59922741912 6647372.080160909 49.01, -35815.56199507555 6647371.714193604 49.01, -35815.44030892663 6647370.172227142 49.01, -35815.328611939214 6647368.631168794 49.01, -35815.22236356989 6647367.140964467 49.01, -35815.02984506928 6647364.827106679 49.01, -35814.85730488761 6647362.515065114 49.02, -35814.705651133205 6647360.194850584 49.01, -35814.56398651574 6647357.875544166 49.01, -35814.518581173965 6647357.267112178 49.01, -35814.47135967738 6647354.7952437205 49, -35814.435035419534 6647352.314294186 48.99, -35814.40870030259 6647350.72056562 48.99, -35814.39235434646 6647349.127745163 48.980000000000004, -35814.37146782584 6647347.363292398 48.97, -35814.354213672224 6647344.894148254 48.96, -35814.35784593853 6647342.416831142 48.95, -35814.411424063845 6647339.944054557 48.93, -35814.47499132028 6647337.472186075 48.92, -35814.53765046585 6647335.342674095 48.9, -35814.62028793816 6647333.214978323 48.89, -35814.65297969873 6647332.523000439 48.88, -35814.767400820274 6647330.045683284 48.86, -35814.910881332355 6647327.581079622 48.84, -35815.07524826459 6647325.108302977 48.82, -35815.269582693 6647322.63825064 48.800000000000004, -35815.482987331576 6647320.180003684 48.77, -35815.70728920784 6647317.712675639 48.74, -35815.84532113967 6647316.305109024 48.72, -35816.00605569931 6647314.758601955 48.7, -35816.2348981672 6647312.795273528 48.68, -35816.519134990405 6647310.33339407 48.65, -35816.822442025994 6647307.883319989 48.620000000000005, -35817.13573819585 6647305.434153997 48.58, -35817.47990996903 6647302.977723115 48.550000000000004, -35817.94758411171 6647300.049076272 48.5, -35818.25633980939 6647298.093012597 48.47, -35818.639560067095 6647295.650203259 48.42, -35819.032769460464 6647293.208302006 48.38, -35819.45503825275 6647290.779114223 48.34, -35819.89819346741 6647288.341753444 48.300000000000004, -35820.15427905833 6647286.965062319 48.28, -35820.41127273615 6647285.5783820115 48.25, -35820.68733666348 6647284.203507077 48.22, -35820.82082808111 6647283.510620963 48.21, -35820.85624418 6647283.342621053 48.2, -35820.88257919694 6647283.163723859 48.19, -35820.95431949478 6647282.8177348515 48.14, -35821.31120483205 6647281.218557302 48.11, -35821.66809014953 6647279.6193797365 48.09, -35821.88694348512 6647278.652245088 48.07, -35822.25654225855 6647277.024008062 48.050000000000004, -35822.61615182832 6647275.394862921 48.02, -35823.01844248583 6647273.850171744 47.980000000000004, -35823.21913375752 6647273.082820741 47.97, -35823.32447398349 6647272.699599289 47.96, -35823.37260355463 6647272.502539921 47.96, -35823.41982502455 6647272.315469738 47.95, -35823.52516524843 6647271.932248286 47.93, -35823.91746675642 6647270.497438102 47.88, -35824.11361750448 6647269.780033007 47.85, -35824.20624423504 6647269.425871001 47.83, -35824.2997790653 6647269.06171981 47.83, -35824.464146129554 6647268.472357895 47.81, -35824.619432107895 6647267.8720986955 47.800000000000004, -35824.939085140126 6647266.682477575 47.77, -35825.58928845718 6647264.294154231 47.72, -35825.92891982512 6647263.10634929 47.7, -35826.26855118293 6647261.918544345 47.67, -35826.95780305134 6647259.543842528 47.61, -35826.98504621931 6647259.465745255 47.61, -35827.322861345485 6647258.297918653 47.59, -35827.49721754703 6647257.709464807 47.58, -35827.583487546886 6647257.4252270665 47.57, -35827.670665645855 6647257.1310001435 47.56, -35828.37535530119 6647254.808060386 47.49, -35828.74313793983 6647253.642958056 47.46, -35829.1000232856 6647252.486936799 47.42, -35829.84466960002 6647250.167629383 47.34, -35829.87100466341 6647250.099521293 47.34, -35830.249684546725 6647248.925337843 47.300000000000004, -35830.434029892436 6647248.337792065 47.29, -35830.62836442015 6647247.751154386 47.27, -35831.40570250619 6647245.404603651 47.230000000000004, -35831.82433908817 6647244.234052567 47.2, -35832.02866278344 6647243.64832297 47.19, -35832.23207837739 6647243.072582557 47.17, -35833.078432580456 6647240.7423776295 47.1, -35833.93386783241 6647238.423069949 47.02, -35834.15816987399 6647237.839156528 47.01, -35834.37157462991 6647237.264324193 46.980000000000004, -35834.42515284277 6647237.118118813 46.980000000000004, -35834.47873105586 6647236.971913433 46.980000000000004, -35834.5958766666 6647236.680410769 46.97, -35834.80928141775 6647236.105578427 46.96, -35835.25697738177 6647234.947740753 46.94, -35835.374122988316 6647234.656238087 46.94, -35835.42770119896 6647234.510032703 46.94, -35835.48037131131 6647234.373816506 46.93, -35835.70467333682 6647233.789903069 46.910000000000004, -35836.61913549178 6647231.486033057 46.82, -35837.53359761194 6647229.182163004 46.74, -35838.46803806757 6647226.880109111 46.65, -35839.399754196405 6647224.608022738 46.57, -35840.35144866281 6647222.337752517 46.480000000000004, -35840.36507023673 6647222.2987038735 46.480000000000004, -35841.309499774245 6647219.997557965 46.39, -35842.26391846291 6647217.697320118 46.31, -35843.23740739236 6647215.408887606 46.22, -35844.20998819184 6647213.130444244 46.13, -35846.1487928899 6647208.53269256 45.95, -35847.141351961414 6647206.2560652755 45.87, -35847.64807471936 6647205.113665116 45.82, -35847.90143609524 6647204.542465035 45.800000000000004, -35848.14480828273 6647203.970356857 45.77, -35849.14826457063 6647201.684648403 45.68, -35850.151720826165 6647199.398939905 45.58, -35851.534765161574 6647196.372214936 45.45, -35852.23582244746 6647194.864755111 45.38, -35854.34989150416 6647190.333294439 45.17, -35855.411466531805 6647188.073012684 45.06, -35855.94724862813 6647186.943325833 45.01, -35856.47394962341 6647185.802741697 44.95, -35858.275630260236 6647181.937832285 44.75, -35858.59800761868 6647181.272188786 44.72, -35859.67047980416 6647179.002825771 44.61, -35860.742043865495 6647176.743451899 44.49, -35861.7890890534 6647174.532207736 44.39, -35865.03102408268 6647167.675988427 44.06, -35867.18504914816 6647163.148159126 43.84, -35867.783490312286 6647161.883163873 43.78, -35869.32999299478 6647158.60943238 43.62, -35871.48401781439 6647154.081602743 43.39, -35872.01979968033 6647152.95191558 43.33, -35872.55558153824 6647151.822228408 43.28, -35873.628053322784 6647149.552864843 43.18, -35875.55686792976 6647145.508148697 43, -35877.93610234861 6647140.4972047275 42.78, -35878.47279221297 6647139.3575282525 42.730000000000004, -35879.01856316882 6647138.228749042 42.68, -35880.09103476803 6647135.9593852265 42.57, -35882.254140074016 6647131.4424520265 42.35, -35884.40816415823 6647126.914621378 42.13, -35885.48063560377 6647124.645257351 42.01, -35886.56218811963 6647122.3867905615 41.89, -35890.92926273169 6647113.346566146 41.410000000000004, -35891.82283750945 6647111.494023844 41.32, -35892.70097454463 6647109.700508572 41.22, -35893.56912236998 6647107.906085184 41.13, -35895.30450987525 6647104.327227521 40.94, -35896.71752026514 6647101.414013691 40.79, -35897.487592715304 6647099.812109312 40.71, -35898.521015114384 6647097.5291232355 40.59, -35899.56442667334 6647095.247045205 40.47, -35904.397379002185 6647095.484959484 41.04, -35903.520149019896 6647096.714539835 41.1, -35902.38955687941 6647097.961374749 41.15, -35900.7949253181 6647101.09979996 41.26, -35890.96832701843 6647121.558587744 41.93, -35875.68038672046 6647155.339325541 43.04, -35852.085996607435 6647204.48978975 44.67, -35836.900657973485 6647241.130136119 45.86, -35831.23044820689 6647258.189850848 46.4, -35828.37536521687 6647268.213544558 46.71, -35825.30233696778 6647280.413063583 47.08, -35823.48885096214 6647289.060972739 47.35, -35822.61162166146 6647294.278959056 47.51, -35822.91674806748 6647299.342566496 47.660000000000004, -35823.582392169046 6647302.434672358 47.75, -35823.726782586775 6647305.831902581 47.85, -35823.64142054028 6647305.995361972 47.86, -35824.40332289424 6647306.366777668 47.870000000000005, -35824.0255512523 6647309.4143866915 47.95, -35823.52155306109 6647313.961281259 48.07, -35823.093835716485 6647318.444608236 48.18, -35822.70698312309 6647323.253945757 48.31, -35822.4027680984 6647327.929791417 48.43, -35822.22477967036 6647331.549507991 48.53, -35822.0740344075 6647335.534283765 48.63, -35821.2976025407 6647335.876640396 48.620000000000005, -35821.52372203441 6647343.471143403 48.550000000000004, -35819.88912866067 6647345.276461199 48.52, -35819.72566944512 6647349.068718064 48.480000000000004, -35821.007915642695 6647370.859665367 48.26, -35825.389522829675 6647407.304744814 47.88, -35836.057931334944 6647462.78285762 47.300000000000004, -35844.750321102445 6647478.841840921 47.12, -35847.70255944971 6647496.000537908 46.94, -35851.066157382214 6647520.931729558 46.68, -35851.71544367296 6647528.3028403055 46.6, -35851.98059772793 6647537.129647084 46.47, -35852.51363424107 6647551.208040844 46.46, -35852.73791337048 6647564.8051370345 46.49, -35851.536460610805 6647579.128716603 46.52, -35850.677389052464 6647580.047719889 46.53, -35845.08160431031 6647593.186209694 46.56, -35843.051050991286 6647605.218630764 46.59, -35839.8980691185 6647620.180603774 46.62, -35835.4383160352 6647636.333101745 46.660000000000004, -35835.00423457974 6647638.892147605 46.660000000000004, -35835.22489320685 6647643.6660691695 46.67, -35818.95427429408 6647666.872713237 45.62))</t>
  </si>
  <si>
    <t>2024-03-22</t>
  </si>
  <si>
    <t>[5338]</t>
  </si>
  <si>
    <t>['FV5338 S1D1 m205-211']</t>
  </si>
  <si>
    <t>LINESTRING Z (-31430.719300530734 6733572.794932307 2.209423, -31431.076144313905 6733572.676286393 2.185727, -31431.562274320284 6733572.500897654 2.27221, -31431.631155860494 6733572.478310946 2.284339, -31431.73618489341 6733572.444924646 2.28221, -31432.126751326956 6733572.331766399 2.274352, -31432.70019477606 6733572.196068577 2.262965, -31433.28062799014 6733572.094272704 2.251576, -31433.487985909334 6733572.066359855 2.247534, -31433.8778836024 6733572.013707106 2.239943, -31434.572677949094 6733571.897007291 2.226351, -31436.230275197653 6733571.496531237 2.193752, -31437.83961772069 6733570.932572862 2.16197, -31438.79533733998 6733570.508403753 2.142487, -31439.14643539558 6733570.339463445 2.135224, -31440.0502137742 6733569.904585233 2.116528, -31440.823133636382 6733569.532673081 2.100639, -31442.068686034996 6733571.749673899 2.446776, -31440.342714465572 6733572.717257621 2.439918, -31439.34730017162 6733573.205014077 2.436035, -31438.406665787683 6733573.54865972 2.432528, -31436.941343440907 6733573.87164122 2.427267, -31435.946176967933 6733573.971761225 2.423759, -31435.002840509987 6733573.977392003 2.420452, -31433.950766611844 6733573.87244483 2.413612, -31432.970459225704 6733573.67400106 2.398966, -31432.010572514147 6733573.390444551 2.3762689999999997, -31431.091847816482 6733573.013664393 2.220598)</t>
  </si>
  <si>
    <t>POLYGON Z ((-31430.719300530734 6733572.794932307 2.209423, -31431.076144313905 6733572.676286393 2.185727, -31431.562274320284 6733572.500897654 2.27221, -31431.631155860494 6733572.478310946 2.284339, -31431.73618489341 6733572.444924646 2.28221, -31432.126751326956 6733572.331766399 2.274352, -31432.70019477606 6733572.196068577 2.262965, -31433.28062799014 6733572.094272704 2.251576, -31433.487985909334 6733572.066359855 2.247534, -31433.8778836024 6733572.013707106 2.239943, -31434.572677949094 6733571.897007291 2.226351, -31436.230275197653 6733571.496531237 2.193752, -31437.83961772069 6733570.932572862 2.16197, -31438.79533733998 6733570.508403753 2.142487, -31439.14643539558 6733570.339463445 2.135224, -31440.0502137742 6733569.904585233 2.116528, -31440.823133636382 6733569.532673081 2.100639, -31442.068686034996 6733571.749673899 2.446776, -31440.342714465572 6733572.717257621 2.439918, -31439.34730017162 6733573.205014077 2.436035, -31438.406665787683 6733573.54865972 2.432528, -31436.941343440907 6733573.87164122 2.427267, -31435.946176967933 6733573.971761225 2.423759, -31435.002840509987 6733573.977392003 2.420452, -31433.950766611844 6733573.87244483 2.413612, -31432.970459225704 6733573.67400106 2.398966, -31432.010572514147 6733573.390444551 2.3762689999999997, -31431.091847816482 6733573.013664393 2.220598, -31430.719300530734 6733572.794932307 2.209423))</t>
  </si>
  <si>
    <t>[3033]</t>
  </si>
  <si>
    <t>['KV3033 S1D1 m19-29']</t>
  </si>
  <si>
    <t>LINESTRING Z (-31414.805371808354 6733590.676542402 2.112089, -31414.68604680884 6733590.315997551 2.106456, -31414.49232890876 6733589.739427007 2.108157, -31413.854603255983 6733587.945786554 2.112998, -31413.254515141714 6733586.350725202 2.117067, -31413.065314960666 6733585.875393659 2.1179769999999998, -31412.276182904257 6733583.940147174 2.119361, -31411.464641059167 6733582.0691481 2.1206329999999998, -31410.80402695539 6733580.62277241 2.121452, -31410.292623446323 6733579.549209417 2.122118, -31409.797171638464 6733578.522253983 2.123019, -31408.96325472265 6733576.895089755 2.123839, -31408.620091647957 6733576.225499153 2.124576, -31407.987308595097 6733575.063555122 2.125158, -31407.402396997204 6733573.992655325 2.1263009999999998, -31406.688500638702 6733572.754951899 2.126974, -31405.32576130354 6733570.477971998 2.128722, -31403.997965029208 6733568.397222394 2.1301579999999998, -31402.961869869265 6733566.857235833 2.130993, -31402.340963326045 6733565.950581893 2.131851, -31401.480533808237 6733564.740019956 2.132616, -31400.79890521546 6733563.81254729 2.133282, -31399.91965034476 6733562.639102878 2.134295, -31399.02194734721 6733561.482476938 2.135049, -31398.322730366956 6733560.609631859 2.13563, -31397.362689349684 6733559.434544973 2.136554, -31396.42323641735 6733558.323990883 2.137303, -31395.03640277637 6733556.742989306 2.13849, -31393.81725048006 6733555.408552717 2.139437, -31392.260096059414 6733553.775207437 2.140533, -31391.04017466586 6733552.564053719 2.140133, -31389.869509024546 6733551.402792483 2.142503, -31389.019049591036 6733550.605863426 2.142706, -31388.419871806283 6733550.0443992 2.143268, -31386.837228846154 6733548.632566825 2.140317, -31386.2812176469 6733548.156171332 2.139039, -31384.732443942572 6733546.846075501 2.136044, -31383.005191807053 6733545.437318481 2.13268, -31379.740500839544 6733542.898386424 2.1267, -31376.340957500273 6733540.384896392 2.121277, -31372.345471139764 6733537.535292291 2.114677, -31366.57815101475 6733533.513301261 2.108241, -31337.90713174932 6733513.222338747 2.124417, -31333.289784233784 6733519.816817787 2.098505, -31340.542367572547 6733524.885953913 2.093828, -31343.83050974179 6733527.184444087 2.091707, -31347.940674012294 6733530.057572353 2.089056, -31352.461854560534 6733533.218012746 2.08614, -31357.271981496597 6733536.580401985 2.083038, -31361.52649894764 6733539.553915077 2.080294, -31363.125639784383 6733540.671564685 2.079259, -31366.391051024548 6733543.0022931965 2.0771290000000002, -31369.835677673225 6733545.541198935 2.074852, -31371.684033825994 6733546.903763727 2.073628, -31373.028183649178 6733547.894824593 2.072736, -31377.157559109153 6733551.295530802 2.069871, -31379.413121326244 6733553.164016923 2.068295, -31382.065008912235 6733555.53311778 2.06638, -31384.23824404797 6733557.60840074 2.064757, -31386.31544737122 6733559.724873011 2.063155, -31388.386877589277 6733561.967952609 2.061505, -31391.341082890867 6733565.430677413 2.059043, -31392.922183082905 6733567.429072303 2.057667, -31394.448971778387 6733569.465032867 2.056292, -31395.299813615624 6733570.65113969 2.055501, -31395.89828434668 6733571.511438015 2.054936, -31396.438776545343 6733572.298953604 2.05442, -31396.705080727814 6733572.699976481 2.054159, -31397.837823216803 6733574.437363621 2.053036, -31399.157121381373 6733576.569181338 2.051682, -31400.14325598604 6733578.245306404 2.050629, -31401.156387414667 6733580.04818276 2.049511, -31401.59299793397 6733580.8594525745 2.049015, -31401.82881500828 6733581.301812158 2.048745, -31402.51942434488 6733582.638587844 2.047931, -31403.11809269141 6733583.836302963 2.047207, -31403.83868100273 6733585.341680877 2.046305, -31404.500876780017 6733586.78566538 2.045449, -31405.568805440096 6733589.250600181 2.043996, -31405.690909245983 6733589.550572997 2.043821, -31405.86115900078 6733589.968824705 2.043577, -31406.03660112084 6733590.399834482 2.043326, -31406.22194573097 6733590.865625428 2.043055, -31406.403885387233 6733591.333073416 2.042785, -31406.585808817996 6733591.800478627 2.042515, -31406.793190801865 6733592.349281636 2.0422, -31407.1436927733 6733593.294886894 2.041658)</t>
  </si>
  <si>
    <t>POLYGON Z ((-31414.805371808354 6733590.676542402 2.112089, -31414.68604680884 6733590.315997551 2.106456, -31414.49232890876 6733589.739427007 2.108157, -31413.854603255983 6733587.945786554 2.112998, -31413.254515141714 6733586.350725202 2.117067, -31413.065314960666 6733585.875393659 2.1179769999999998, -31412.276182904257 6733583.940147174 2.119361, -31411.464641059167 6733582.0691481 2.1206329999999998, -31410.80402695539 6733580.62277241 2.121452, -31410.292623446323 6733579.549209417 2.122118, -31409.797171638464 6733578.522253983 2.123019, -31408.96325472265 6733576.895089755 2.123839, -31408.620091647957 6733576.225499153 2.124576, -31407.987308595097 6733575.063555122 2.125158, -31407.402396997204 6733573.992655325 2.1263009999999998, -31406.688500638702 6733572.754951899 2.126974, -31405.32576130354 6733570.477971998 2.128722, -31403.997965029208 6733568.397222394 2.1301579999999998, -31402.961869869265 6733566.857235833 2.130993, -31402.340963326045 6733565.950581893 2.131851, -31401.480533808237 6733564.740019956 2.132616, -31400.79890521546 6733563.81254729 2.133282, -31399.91965034476 6733562.639102878 2.134295, -31399.02194734721 6733561.482476938 2.135049, -31398.322730366956 6733560.609631859 2.13563, -31397.362689349684 6733559.434544973 2.136554, -31396.42323641735 6733558.323990883 2.137303, -31395.03640277637 6733556.742989306 2.13849, -31393.81725048006 6733555.408552717 2.139437, -31392.260096059414 6733553.775207437 2.140533, -31391.04017466586 6733552.564053719 2.140133, -31389.869509024546 6733551.402792483 2.142503, -31389.019049591036 6733550.605863426 2.142706, -31388.419871806283 6733550.0443992 2.143268, -31386.837228846154 6733548.632566825 2.140317, -31386.2812176469 6733548.156171332 2.139039, -31384.732443942572 6733546.846075501 2.136044, -31383.005191807053 6733545.437318481 2.13268, -31379.740500839544 6733542.898386424 2.1267, -31376.340957500273 6733540.384896392 2.121277, -31372.345471139764 6733537.535292291 2.114677, -31366.57815101475 6733533.513301261 2.108241, -31337.90713174932 6733513.222338747 2.124417, -31333.289784233784 6733519.816817787 2.098505, -31340.542367572547 6733524.885953913 2.093828, -31343.83050974179 6733527.184444087 2.091707, -31347.940674012294 6733530.057572353 2.089056, -31352.461854560534 6733533.218012746 2.08614, -31357.271981496597 6733536.580401985 2.083038, -31361.52649894764 6733539.553915077 2.080294, -31363.125639784383 6733540.671564685 2.079259, -31366.391051024548 6733543.0022931965 2.0771290000000002, -31369.835677673225 6733545.541198935 2.074852, -31371.684033825994 6733546.903763727 2.073628, -31373.028183649178 6733547.894824593 2.072736, -31377.157559109153 6733551.295530802 2.069871, -31379.413121326244 6733553.164016923 2.068295, -31382.065008912235 6733555.53311778 2.06638, -31384.23824404797 6733557.60840074 2.064757, -31386.31544737122 6733559.724873011 2.063155, -31388.386877589277 6733561.967952609 2.061505, -31391.341082890867 6733565.430677413 2.059043, -31392.922183082905 6733567.429072303 2.057667, -31394.448971778387 6733569.465032867 2.056292, -31395.299813615624 6733570.65113969 2.055501, -31395.89828434668 6733571.511438015 2.054936, -31396.438776545343 6733572.298953604 2.05442, -31396.705080727814 6733572.699976481 2.054159, -31397.837823216803 6733574.437363621 2.053036, -31399.157121381373 6733576.569181338 2.051682, -31400.14325598604 6733578.245306404 2.050629, -31401.156387414667 6733580.04818276 2.049511, -31401.59299793397 6733580.8594525745 2.049015, -31401.82881500828 6733581.301812158 2.048745, -31402.51942434488 6733582.638587844 2.047931, -31403.11809269141 6733583.836302963 2.047207, -31403.83868100273 6733585.341680877 2.046305, -31404.500876780017 6733586.78566538 2.045449, -31405.568805440096 6733589.250600181 2.043996, -31405.690909245983 6733589.550572997 2.043821, -31405.86115900078 6733589.968824705 2.043577, -31406.03660112084 6733590.399834482 2.043326, -31406.22194573097 6733590.865625428 2.043055, -31406.403885387233 6733591.333073416 2.042785, -31406.585808817996 6733591.800478627 2.042515, -31406.793190801865 6733592.349281636 2.0422, -31407.1436927733 6733593.294886894 2.041658, -31414.805371808354 6733590.676542402 2.112089))</t>
  </si>
  <si>
    <t>['FV5338 S1D1 m158-188']</t>
  </si>
  <si>
    <t>LINESTRING Z (-31466.11071188189 6733569.119103774 2.324357, -31466.473681125906 6733566.58474123 1.9023759999999998, -31467.47344199079 6733566.664824771 1.893109, -31468.473202955676 6733566.74490731 1.883843, -31468.876105813542 6733566.777180601 1.880109, -31469.47319273965 6733566.825009817 1.8745759999999998, -31470.472953720368 6733566.905092363 1.8653089999999999, -31471.472714617033 6733566.98517591 1.856042, -31472.472474614624 6733567.065258369 1.846775, -31473.472235527006 6733567.145341923 1.8375089999999998, -31474.471996447886 6733567.225425475 1.828242, -31475.47175646946 6733567.305507939 1.818975, -31476.471517406288 6733567.385591493 1.809708, -31477.471278350335 6733567.465675055 1.800441, -31478.471038395888 6733567.545757522 1.7911739999999998, -31479.47079935635 6733567.625841083 1.781907, -31480.470560416463 6733567.7059236495 1.77264, -31481.47032039403 6733567.786007121 1.763373, -31482.470081378473 6733567.866090689 1.754106, -31483.469842462335 6733567.946173257 1.7448389999999998, -31484.469602464 6733568.026256736 1.735572, -31485.46936356346 6733568.106339311 1.726305, -31486.469124579802 6733568.186422884 1.717038, -31487.4688846051 6733568.266506367 1.707771, -31488.468645728775 6733568.346588945 1.698504, -31489.14848342794 6733568.401045875 1.694611, -31489.46840676875 6733568.426672525 1.7012809999999998, -31490.468166818377 6733568.506756011 1.722124, -31490.66911888856 6733568.522852452 1.726313, -31491.467927874415 6733568.586839595 1.742967, -31492.46768902929 6733568.666922184 1.763809, -31493.467449102784 6733568.747005676 1.784652, -31493.560426920187 6733568.754453534 1.78659, -31493.811258709524 6733568.773562797 1.7918159999999999, -31494.453887394047 6733568.812919547 1.805191, -31494.742792203208 6733568.826123181 1.78689, -31495.505399381625 6733568.8476259895 1.7386089999999998, -31495.719998381683 6733568.8501916025 1.7250269999999999, -31495.76194197638 6733568.8407237325 1.7223769999999998, -31496.27070002712 6733568.919297654 1.746432, -31495.886886823922 6733569.113173416 1.752646, -31494.96638154215 6733569.511032947 1.897135, -31493.110873430385 6733570.238171407 1.925938, -31491.687178997672 6733570.722382644 1.947671, -31489.75774204731 6733571.267718891 1.976648, -31486.813088744413 6733571.876984918 2.020114, -31484.825667055673 6733572.142069105 2.0490909999999998, -31482.82634940499 6733572.293214744 2.078068, -31480.065876270528 6733572.31316641 2.117969, -31477.81888190296 6733572.170283385 2.150511, -31474.840790620656 6733571.754157398 2.193977, -31472.87992506195 6733571.335683433 2.222954, -31470.946159468265 6733570.8059030045 2.251931, -31469.51861166593 6733570.333173344 2.273663, -31467.953716209973 6733569.746025826 2.297816)</t>
  </si>
  <si>
    <t>POLYGON Z ((-31466.11071188189 6733569.119103774 2.324357, -31466.473681125906 6733566.58474123 1.9023759999999998, -31467.47344199079 6733566.664824771 1.893109, -31468.473202955676 6733566.74490731 1.883843, -31468.876105813542 6733566.777180601 1.880109, -31469.47319273965 6733566.825009817 1.8745759999999998, -31470.472953720368 6733566.905092363 1.8653089999999999, -31471.472714617033 6733566.98517591 1.856042, -31472.472474614624 6733567.065258369 1.846775, -31473.472235527006 6733567.145341923 1.8375089999999998, -31474.471996447886 6733567.225425475 1.828242, -31475.47175646946 6733567.305507939 1.818975, -31476.471517406288 6733567.385591493 1.809708, -31477.471278350335 6733567.465675055 1.800441, -31478.471038395888 6733567.545757522 1.7911739999999998, -31479.47079935635 6733567.625841083 1.781907, -31480.470560416463 6733567.7059236495 1.77264, -31481.47032039403 6733567.786007121 1.763373, -31482.470081378473 6733567.866090689 1.754106, -31483.469842462335 6733567.946173257 1.7448389999999998, -31484.469602464 6733568.026256736 1.735572, -31485.46936356346 6733568.106339311 1.726305, -31486.469124579802 6733568.186422884 1.717038, -31487.4688846051 6733568.266506367 1.707771, -31488.468645728775 6733568.346588945 1.698504, -31489.14848342794 6733568.401045875 1.694611, -31489.46840676875 6733568.426672525 1.7012809999999998, -31490.468166818377 6733568.506756011 1.722124, -31490.66911888856 6733568.522852452 1.726313, -31491.467927874415 6733568.586839595 1.742967, -31492.46768902929 6733568.666922184 1.763809, -31493.467449102784 6733568.747005676 1.784652, -31493.560426920187 6733568.754453534 1.78659, -31493.811258709524 6733568.773562797 1.7918159999999999, -31494.453887394047 6733568.812919547 1.805191, -31494.742792203208 6733568.826123181 1.78689, -31495.505399381625 6733568.8476259895 1.7386089999999998, -31495.719998381683 6733568.8501916025 1.7250269999999999, -31495.76194197638 6733568.8407237325 1.7223769999999998, -31496.27070002712 6733568.919297654 1.746432, -31495.886886823922 6733569.113173416 1.752646, -31494.96638154215 6733569.511032947 1.897135, -31493.110873430385 6733570.238171407 1.925938, -31491.687178997672 6733570.722382644 1.947671, -31489.75774204731 6733571.267718891 1.976648, -31486.813088744413 6733571.876984918 2.020114, -31484.825667055673 6733572.142069105 2.0490909999999998, -31482.82634940499 6733572.293214744 2.078068, -31480.065876270528 6733572.31316641 2.117969, -31477.81888190296 6733572.170283385 2.150511, -31474.840790620656 6733571.754157398 2.193977, -31472.87992506195 6733571.335683433 2.222954, -31470.946159468265 6733570.8059030045 2.251931, -31469.51861166593 6733570.333173344 2.273663, -31467.953716209973 6733569.746025826 2.297816, -31466.11071188189 6733569.119103774 2.324357))</t>
  </si>
  <si>
    <t>[1748]</t>
  </si>
  <si>
    <t>['KV1748 S1D1 m716-748']</t>
  </si>
  <si>
    <t>LINESTRING Z (286915.6559554908 6750695.503290175 149.75, 286924.5303976392 6750697.0123859495 149.52, 286924.94953163306 6750694.5461534895 149.92000000000002, 286925.9904892917 6750694.720913644 149.89000000000001, 286927.6481384188 6750695.002954111 149.85, 286928.78111527883 6750695.212862124 149.82, 286929.6727974598 6750695.405611508 149.79, 286930.56554656633 6750695.61833541 149.77, 286931.4399215407 6750695.8620880265 149.74, 286932.3148299765 6750696.115827901 149.72, 286933.1813515422 6750696.400063026 149.69, 286934.0489400341 6750696.704272666 149.67000000000002, 286934.8970874649 6750697.019536496 149.64000000000001, 286935.7557556192 6750697.344254124 149.65, 286936.6044365091 6750697.669505208 149.59, 286937.45525125554 6750698.03470534 149.57, 286937.77925990627 6750698.2878239835 149.5, 286940.3597414484 6750700.283344787 148.99, 286940.59528965515 6750701.693000424 148.49, 286940.83030440554 6750703.092668801 148, 286941.07744028675 6750704.531752752 147.5, 286941.32457617717 6750705.970836702 147, 286941.5711786116 6750707.399933384 146.5, 286941.7491734632 6750708.482143255 146.12, 286940.80287554313 6750709.704532801 146.13, 286940.6826435263 6750709.8912385525 146.13, 286940.36228140374 6750710.268917774 146.14000000000001, 286940.0408523507 6750710.626622479 146.14000000000001, 286939.8218146538 6750710.838637407 146.15, 286935.32032206235 6750713.943589053 146.18, 286931.6405398976 6750716.493845906 146.20000000000002, 286930.9641343297 6750717.331236363 146.05, 286926.02290494996 6750720.079077897 146.21, 286922.109384228 6750722.191110967 146.21, 286918.9131973332 6750724.044481321 146.29, 286918.36778077635 6750724.334024238 146.3, 286917.6358070352 6750724.693626588 146.31, 286916.87120417476 6750725.004893026 146.32, 286916.1050009134 6750725.286197678 146.33, 286915.3166892605 6750725.528620219 146.34, 286913.7231436238 6750725.884164362 146.36, 286912.90792237705 6750725.997819429 146.37, 286912.369757458 6750722.11040423 146, 286911.8162706868 6750718.123649853 145.62, 286913.9794196555 6750705.36822051 154.25, 286914.14685983304 6750704.377732563 154.25, 286914.39855357294 6750702.901987912 153.5, 286914.56652722677 6750701.921487234 153, 286914.7339674198 6750700.930999294 152.5, 286915.0693812843 6750698.960010681 151.5, 286915.2373549554 6750697.979510007 151, 286915.40479516616 6750696.9890220715 150.5, 286915.6559554908 6750695.503290175 149.75)</t>
  </si>
  <si>
    <t>POLYGON Z ((286915.6559554908 6750695.503290175 149.75, 286924.5303976392 6750697.0123859495 149.52, 286924.94953163306 6750694.5461534895 149.92000000000002, 286925.9904892917 6750694.720913644 149.89000000000001, 286927.6481384188 6750695.002954111 149.85, 286928.78111527883 6750695.212862124 149.82, 286929.6727974598 6750695.405611508 149.79, 286930.56554656633 6750695.61833541 149.77, 286931.4399215407 6750695.8620880265 149.74, 286932.3148299765 6750696.115827901 149.72, 286933.1813515422 6750696.400063026 149.69, 286934.0489400341 6750696.704272666 149.67000000000002, 286934.8970874649 6750697.019536496 149.64000000000001, 286935.7557556192 6750697.344254124 149.65, 286936.6044365091 6750697.669505208 149.59, 286937.45525125554 6750698.03470534 149.57, 286937.77925990627 6750698.2878239835 149.5, 286940.3597414484 6750700.283344787 148.99, 286940.59528965515 6750701.693000424 148.49, 286940.83030440554 6750703.092668801 148, 286941.07744028675 6750704.531752752 147.5, 286941.32457617717 6750705.970836702 147, 286941.5711786116 6750707.399933384 146.5, 286941.7491734632 6750708.482143255 146.12, 286940.80287554313 6750709.704532801 146.13, 286940.6826435263 6750709.8912385525 146.13, 286940.36228140374 6750710.268917774 146.14000000000001, 286940.0408523507 6750710.626622479 146.14000000000001, 286939.8218146538 6750710.838637407 146.15, 286935.32032206235 6750713.943589053 146.18, 286931.6405398976 6750716.493845906 146.20000000000002, 286930.9641343297 6750717.331236363 146.05, 286926.02290494996 6750720.079077897 146.21, 286922.109384228 6750722.191110967 146.21, 286918.9131973332 6750724.044481321 146.29, 286918.36778077635 6750724.334024238 146.3, 286917.6358070352 6750724.693626588 146.31, 286916.87120417476 6750725.004893026 146.32, 286916.1050009134 6750725.286197678 146.33, 286915.3166892605 6750725.528620219 146.34, 286913.7231436238 6750725.884164362 146.36, 286912.90792237705 6750725.997819429 146.37, 286912.369757458 6750722.11040423 146, 286911.8162706868 6750718.123649853 145.62, 286913.9794196555 6750705.36822051 154.25, 286914.14685983304 6750704.377732563 154.25, 286914.39855357294 6750702.901987912 153.5, 286914.56652722677 6750701.921487234 153, 286914.7339674198 6750700.930999294 152.5, 286915.0693812843 6750698.960010681 151.5, 286915.2373549554 6750697.979510007 151, 286915.40479516616 6750696.9890220715 150.5, 286915.6559554908 6750695.503290175 149.75))</t>
  </si>
  <si>
    <t>2024-04-11</t>
  </si>
  <si>
    <t>['FV540 S1D1 m3897 KD1 m0-5', 'FV540 S1D1 m3897 KD1 m81-90', 'FV540 S1D1 m3863-3892']</t>
  </si>
  <si>
    <t>LINESTRING Z (-34745.94051718933 6729817.029626295 39.44, -34745.35822038492 6729816.019464376 39.13, -34744.05558426445 6729816.7159801815 39.160000000000004, -34741.56589423283 6729817.726794041 39.21, -34740.18975692219 6729818.346074643 39.24, -34738.8697395809 6729819.232364405 39.28, -34736.95525214134 6729821.000892987 39.33, -34733.5077296237 6729824.441952366 39.34, -34730.60527782142 6729827.5401304625 39.42, -34727.893514809664 6729830.645701587 39.58, -34724.15642988973 6729835.268866484 39.81, -34721.837862120476 6729838.370162244 39.93, -34718.330204496044 6729843.45750298 40.1, -34717.671156927594 6729844.494977201 40.03, -34718.35828220798 6729844.9104268085 40.06, -34718.98004703142 6729843.950113001 40.160000000000004, -34719.774503535475 6729842.753818657 40.13, -34720.62797385256 6729841.573001237 40.13, -34722.62585804064 6729838.673987827 40.03, -34725.1161279619 6729835.457483569 39.95, -34726.5184029151 6729833.783048623 39.910000000000004, -34728.80480303627 6729831.252904238 39.85, -34730.36231363658 6729829.643046587 39.81, -34732.46131047374 6729827.619476256 39.76, -34734.76647304918 6729825.5442852 39.7, -34736.994325733394 6729823.6533792475 39.65, -34739.38564733742 6729821.737157664 39.59, -34741.032826714916 6729820.46788489 39.550000000000004, -34743.60934835207 6729818.618984978 39.49, -34745.94051718933 6729817.029626295 39.44)</t>
  </si>
  <si>
    <t>POLYGON Z ((-34745.94051718933 6729817.029626295 39.44, -34745.35822038492 6729816.019464376 39.13, -34744.05558426445 6729816.7159801815 39.160000000000004, -34741.56589423283 6729817.726794041 39.21, -34740.18975692219 6729818.346074643 39.24, -34738.8697395809 6729819.232364405 39.28, -34736.95525214134 6729821.000892987 39.33, -34733.5077296237 6729824.441952366 39.34, -34730.60527782142 6729827.5401304625 39.42, -34727.893514809664 6729830.645701587 39.58, -34724.15642988973 6729835.268866484 39.81, -34721.837862120476 6729838.370162244 39.93, -34718.330204496044 6729843.45750298 40.1, -34717.671156927594 6729844.494977201 40.03, -34718.35828220798 6729844.9104268085 40.06, -34718.98004703142 6729843.950113001 40.160000000000004, -34719.774503535475 6729842.753818657 40.13, -34720.62797385256 6729841.573001237 40.13, -34722.62585804064 6729838.673987827 40.03, -34725.1161279619 6729835.457483569 39.95, -34726.5184029151 6729833.783048623 39.910000000000004, -34728.80480303627 6729831.252904238 39.85, -34730.36231363658 6729829.643046587 39.81, -34732.46131047374 6729827.619476256 39.76, -34734.76647304918 6729825.5442852 39.7, -34736.994325733394 6729823.6533792475 39.65, -34739.38564733742 6729821.737157664 39.59, -34741.032826714916 6729820.46788489 39.550000000000004, -34743.60934835207 6729818.618984978 39.49, -34745.94051718933 6729817.029626295 39.44))</t>
  </si>
  <si>
    <t>LINESTRING Z (-34729.524140568334 6729817.570656469 39.79, -34728.435661326745 6729817.138591054 39.81, -34727.70035024313 6729816.80937529 39.81, -34727.014979686006 6729816.484733547 39.82, -34726.72616472328 6729816.55900011 39.83, -34726.61256163032 6729816.699673652 39.84, -34726.325127897784 6729817.418667735 39.86, -34725.688427457935 6729818.981927238 39.9, -34724.84808150097 6729820.899194935 39.95, -34723.67135077785 6729823.4101105835 40.02, -34721.74194567581 6729827.101003672 40.15, -34719.758250183775 6729830.504911293 40.29, -34715.972922986606 6729836.644512805 40.51, -34712.93394116091 6729841.563269413 40.550000000000004, -34714.421645301045 6729842.475062949 40.53, -34718.78787026415 6729835.381476739 40.42, -34723.42407277541 6729827.869453911 40.13, -34724.66493254411 6729825.868006381 40.050000000000004, -34726.938432502095 6729822.269059939 39.910000000000004, -34728.724661825574 6729819.481595347 39.82, -34729.42640608526 6729818.417815787 39.79, -34729.63729528338 6729818.094686677 39.79, -34729.69005494809 6729817.958512419 39.79, -34729.68563039275 6729817.786885029 39.79, -34729.633934992016 6729817.691503264 39.79, -34729.524140568334 6729817.570656469 39.79)</t>
  </si>
  <si>
    <t>POLYGON Z ((-34729.524140568334 6729817.570656469 39.79, -34728.435661326745 6729817.138591054 39.81, -34727.70035024313 6729816.80937529 39.81, -34727.014979686006 6729816.484733547 39.82, -34726.72616472328 6729816.55900011 39.83, -34726.61256163032 6729816.699673652 39.84, -34726.325127897784 6729817.418667735 39.86, -34725.688427457935 6729818.981927238 39.9, -34724.84808150097 6729820.899194935 39.95, -34723.67135077785 6729823.4101105835 40.02, -34721.74194567581 6729827.101003672 40.15, -34719.758250183775 6729830.504911293 40.29, -34715.972922986606 6729836.644512805 40.51, -34712.93394116091 6729841.563269413 40.550000000000004, -34714.421645301045 6729842.475062949 40.53, -34718.78787026415 6729835.381476739 40.42, -34723.42407277541 6729827.869453911 40.13, -34724.66493254411 6729825.868006381 40.050000000000004, -34726.938432502095 6729822.269059939 39.910000000000004, -34728.724661825574 6729819.481595347 39.82, -34729.42640608526 6729818.417815787 39.79, -34729.63729528338 6729818.094686677 39.79, -34729.69005494809 6729817.958512419 39.79, -34729.68563039275 6729817.786885029 39.79, -34729.633934992016 6729817.691503264 39.79, -34729.524140568334 6729817.570656469 39.79))</t>
  </si>
  <si>
    <t>['FV540 S1D1 m3768-3859']</t>
  </si>
  <si>
    <t>LINESTRING Z (-34665.239834805834 6729923.309619554 42.32, -34663.684044822934 6729922.3714456 42.31, -34672.333459081594 6729907.441431062 42.08, -34681.55226876354 6729892.452774541 41.77, -34697.344471788034 6729866.836015325 41.22, -34710.69856374385 6729845.185850504 40.64, -34712.18535302358 6729846.107632165 40.64, -34709.796345210634 6729849.978011351 40.85, -34703.60836210067 6729860.027028127 41.06, -34699.25578368758 6729867.081574939 41.21, -34693.99232610315 6729875.613836811 41.39, -34688.727953387424 6729884.156086031 41.57, -34683.4635803469 6729892.698334503 41.75, -34676.69561230787 6729903.691343086 41.980000000000004, -34673.451153690345 6729908.98408049 42.09, -34669.47285708168 6729915.800963453 42.230000000000004, -34667.10451461689 6729919.995533088 42.32, -34665.239834805834 6729923.309619554 42.32)</t>
  </si>
  <si>
    <t>POLYGON Z ((-34665.239834805834 6729923.309619554 42.32, -34663.684044822934 6729922.3714456 42.31, -34672.333459081594 6729907.441431062 42.08, -34681.55226876354 6729892.452774541 41.77, -34697.344471788034 6729866.836015325 41.22, -34710.69856374385 6729845.185850504 40.64, -34712.18535302358 6729846.107632165 40.64, -34709.796345210634 6729849.978011351 40.85, -34703.60836210067 6729860.027028127 41.06, -34699.25578368758 6729867.081574939 41.21, -34693.99232610315 6729875.613836811 41.39, -34688.727953387424 6729884.156086031 41.57, -34683.4635803469 6729892.698334503 41.75, -34676.69561230787 6729903.691343086 41.980000000000004, -34673.451153690345 6729908.98408049 42.09, -34669.47285708168 6729915.800963453 42.230000000000004, -34667.10451461689 6729919.995533088 42.32, -34665.239834805834 6729923.309619554 42.32))</t>
  </si>
  <si>
    <t>['FV540 S1D1 m3688-3721']</t>
  </si>
  <si>
    <t>LINESTRING Z (-34641.75130473287 6729991.278761976 44.22, -34641.79647893144 6729994.304464846 44.29, -34641.739327195566 6729996.907848354 44.34, -34641.38679090771 6729998.5575640155 44.38, -34636.3078737288 6729997.377278687 44.4, -34638.877835778054 6729989.111993002 44.160000000000004, -34646.07285376196 6729965.648825199 43.62, -34647.056111568236 6729965.910104249 43.660000000000004, -34643.72299625981 6729978.768775884 43.95, -34642.34005544509 6729984.080929204 44.07, -34641.71803933324 6729989.442632209 44.18, -34641.75130473287 6729991.278761976 44.22)</t>
  </si>
  <si>
    <t>POLYGON Z ((-34641.75130473287 6729991.278761976 44.22, -34641.79647893144 6729994.304464846 44.29, -34641.739327195566 6729996.907848354 44.34, -34641.38679090771 6729998.5575640155 44.38, -34636.3078737288 6729997.377278687 44.4, -34638.877835778054 6729989.111993002 44.160000000000004, -34646.07285376196 6729965.648825199 43.62, -34647.056111568236 6729965.910104249 43.660000000000004, -34643.72299625981 6729978.768775884 43.95, -34642.34005544509 6729984.080929204 44.07, -34641.71803933324 6729989.442632209 44.18, -34641.75130473287 6729991.278761976 44.22))</t>
  </si>
  <si>
    <t>2024-06-10</t>
  </si>
  <si>
    <t>2025-11-22T09:18:42Z</t>
  </si>
  <si>
    <t>[11540]</t>
  </si>
  <si>
    <t>['KV11540 S2D1 m580-629']</t>
  </si>
  <si>
    <t>LINESTRING Z (265204.1404006099 6647339.35207342 128.95, 265202.776923345 6647340.678081749 128.92000000000002, 265201.0999566582 6647342.406415766 128.89000000000001, 265198.99878904957 6647344.825337276 128.83, 265196.0224662385 6647348.526996406 128.75, 265192.16759119404 6647353.461495177 128.65, 265188.6892688253 6647357.889116334 128.55, 265185.45865503675 6647361.979045572 128.45, 265183.9136733297 6647363.878860221 128.42000000000002, 265182.4505668542 6647365.803178454 128.4, 265184.03264867957 6647367.099092777 128.42000000000002, 265186.76433609 6647369.229096459 128.41, 265187.4091020407 6647369.716572116 128.41, 265188.09786296927 6647370.26120784 128.38, 265189.8240927977 6647368.078355081 128.72, 265190.62981373724 6647367.101120763 129.42000000000002, 265191.24294798926 6647366.387644712 129.86, 265191.87922695966 6647365.572334202 130.28, 265192.87617576483 6647364.311382405 131, 265197.8529784669 6647358.037241939 131.65, 265200.4645547002 6647354.721346192 131.71, 265202.6523979033 6647351.955643901 131.55, 265203.179112654 6647351.298180791 131.14000000000001, 265204.8252493626 6647349.411531593 130.04, 265206.24206637486 6647347.690882675 129.03, 265205.49368412024 6647346.8595555555 129.07, 265204.45407796436 6647343.812284694 129.03, 265204.01175626775 6647342.02771448 129.07, 265211.9280689475 6647339.463544577 129.18, 265216.910071935 6647337.831031689 129.29, 265218.93122367596 6647337.1821119785 129.31, 265221.73511851375 6647336.249307986 129.37, 265224.4669270856 6647339.411968437 129.55, 265225.58167060744 6647339.586723501 129.6, 265226.5367848889 6647339.331207656 129.64000000000001, 265227.17280759313 6647338.8066652315 129.63, 265225.9543254741 6647337.2554020295 129.59, 265222.678605324 6647334.350340329 129.41, 265220.6377178796 6647332.794911171 129.29, 265217.8946483651 6647331.086769031 129.16, 265216.8840337569 6647330.674329681 129.09, 265216.3106510679 6647330.793572575 129.09, 265214.7378133728 6647332.2842221195 129.08, 265212.5489568417 6647333.856913768 129.03, 265210.3919105226 6647334.865990798 129.02, 265207.6487394981 6647336.396213268 128.98, 265206.6184993305 6647337.168163343 128.97, 265204.1404006099 6647339.35207342 128.95)</t>
  </si>
  <si>
    <t>POLYGON Z ((265204.1404006099 6647339.35207342 128.95, 265202.776923345 6647340.678081749 128.92000000000002, 265201.0999566582 6647342.406415766 128.89000000000001, 265198.99878904957 6647344.825337276 128.83, 265196.0224662385 6647348.526996406 128.75, 265192.16759119404 6647353.461495177 128.65, 265188.6892688253 6647357.889116334 128.55, 265185.45865503675 6647361.979045572 128.45, 265183.9136733297 6647363.878860221 128.42000000000002, 265182.4505668542 6647365.803178454 128.4, 265184.03264867957 6647367.099092777 128.42000000000002, 265186.76433609 6647369.229096459 128.41, 265187.4091020407 6647369.716572116 128.41, 265188.09786296927 6647370.26120784 128.38, 265189.8240927977 6647368.078355081 128.72, 265190.62981373724 6647367.101120763 129.42000000000002, 265191.24294798926 6647366.387644712 129.86, 265191.87922695966 6647365.572334202 130.28, 265192.87617576483 6647364.311382405 131, 265197.8529784669 6647358.037241939 131.65, 265200.4645547002 6647354.721346192 131.71, 265202.6523979033 6647351.955643901 131.55, 265203.179112654 6647351.298180791 131.14000000000001, 265204.8252493626 6647349.411531593 130.04, 265206.24206637486 6647347.690882675 129.03, 265205.49368412024 6647346.8595555555 129.07, 265204.45407796436 6647343.812284694 129.03, 265204.01175626775 6647342.02771448 129.07, 265211.9280689475 6647339.463544577 129.18, 265216.910071935 6647337.831031689 129.29, 265218.93122367596 6647337.1821119785 129.31, 265221.73511851375 6647336.249307986 129.37, 265224.4669270856 6647339.411968437 129.55, 265225.58167060744 6647339.586723501 129.6, 265226.5367848889 6647339.331207656 129.64000000000001, 265227.17280759313 6647338.8066652315 129.63, 265225.9543254741 6647337.2554020295 129.59, 265222.678605324 6647334.350340329 129.41, 265220.6377178796 6647332.794911171 129.29, 265217.8946483651 6647331.086769031 129.16, 265216.8840337569 6647330.674329681 129.09, 265216.3106510679 6647330.793572575 129.09, 265214.7378133728 6647332.2842221195 129.08, 265212.5489568417 6647333.856913768 129.03, 265210.3919105226 6647334.865990798 129.02, 265207.6487394981 6647336.396213268 128.98, 265206.6184993305 6647337.168163343 128.97, 265204.1404006099 6647339.35207342 128.95))</t>
  </si>
  <si>
    <t>['KV11540 S2D1 m706-726']</t>
  </si>
  <si>
    <t>LINESTRING (265257.0291165652 6647262.953548826, 265258.9636241213 6647264.566350092, 265259.11603602685 6647264.596077439, 265259.2083587168 6647264.479507556, 265259.9077011738 6647263.559645749, 265260.5299243212 6647262.685137689, 265261.1467122059 6647261.730792689, 265264.03942371404 6647257.242785056, 265265.5531531439 6647254.8839099435, 265266.56101779186 6647253.341491887, 265267.7142887735 6647251.578631354, 265269.5433345008 6647248.696996218, 265269.12971568527 6647247.923085469, 265268.5027366405 6647248.727736104, 265267.99326329463 6647249.343921331, 265265.2040911092 6647252.701982179, 265263.74077255937 6647254.475924769, 265257.5213931855 6647261.937499378, 265256.85313687526 6647262.724908519, 265257.0291165652 6647262.953548826)</t>
  </si>
  <si>
    <t>POLYGON ((265257.0291165652 6647262.953548826, 265258.9636241213 6647264.566350092, 265259.11603602685 6647264.596077439, 265259.2083587168 6647264.479507556, 265259.9077011738 6647263.559645749, 265260.5299243212 6647262.685137689, 265261.1467122059 6647261.730792689, 265264.03942371404 6647257.242785056, 265265.5531531439 6647254.8839099435, 265266.56101779186 6647253.341491887, 265267.7142887735 6647251.578631354, 265269.5433345008 6647248.696996218, 265269.12971568527 6647247.923085469, 265268.5027366405 6647248.727736104, 265267.99326329463 6647249.343921331, 265265.2040911092 6647252.701982179, 265263.74077255937 6647254.475924769, 265257.5213931855 6647261.937499378, 265256.85313687526 6647262.724908519, 265257.0291165652 6647262.953548826))</t>
  </si>
  <si>
    <t>['KV11540 S2D1 m568-628']</t>
  </si>
  <si>
    <t>LINESTRING (265171.6231324795 6647368.756031555, 265174.1510070462 6647365.536066442, 265176.99440930074 6647361.943714535, 265181.7865672462 6647355.902713507, 265186.7427319564 6647349.619952077, 265188.83825276105 6647346.970819603, 265190.1951922074 6647345.254247019, 265190.9058729559 6647344.353664302, 265191.6086123249 6647343.483699874, 265192.3006926601 6647342.6044352455, 265192.9855110283 6647341.765768521, 265193.6517289808 6647340.948419876, 265194.403007639 6647340.055099168, 265195.14498608955 6647339.172437503, 265195.87040236354 6647338.341032779, 265196.6264369169 6647337.517569447, 265197.10278579773 6647337.00389754, 265197.4868120052 6647336.606795604, 265198.2176635853 6647335.855227877, 265199.0070340694 6647335.079624438, 265199.86286483955 6647334.249367006, 265200.6855712518 6647333.521623453, 265201.5082776627 6647332.793879903, 265202.31374248094 6647332.107413673, 265203.1990442687 6647331.415512151, 265204.15284457814 6647330.698895501, 265205.0349608661 6647330.107469617, 265206.02889122185 6647329.538509066, 265206.9391196959 6647329.065479822, 265207.9831597146 6647328.64349595, 265208.84438105335 6647328.33421713, 265209.8679939726 6647328.0539861955, 265210.4806157577 6647327.922046038, 265211.1052553987 6647327.819365335, 265211.9415053114 6647327.732355826, 265211.94511393853 6647327.932627657, 265211.1782088093 6647328.596416933, 265210.27681272 6647329.1991812335, 265209.2874267099 6647329.687625387, 265208.2926053949 6647330.09623258, 265207.2419828237 6647330.56879398, 265206.2566732749 6647331.1171158785, 265205.26613998937 6647331.735974544, 265204.3667821168 6647332.3686777465, 265203.49349819904 6647333.089838722, 265202.62883507565 6647333.790361051, 265201.7389889764 6647334.562778977, 265200.9176414001 6647335.310481775, 265200.07973164495 6647336.109441516, 265199.27176075394 6647336.906363023, 265198.5030289361 6647337.690587265, 265197.7057170798 6647338.496809002, 265196.95036194974 6647339.330251954, 265196.1326230138 6647340.2782266475, 265194.76094804984 6647341.925621187, 265193.38472877664 6647343.653532143, 265190.85345701023 6647346.823598423, 265188.3428239239 6647350.002285593, 265184.7887408844 6647354.495219826, 265181.1609356399 6647359.083406175, 265178.2152311072 6647362.793007354, 265174.60670577973 6647367.369855622, 265173.3155473064 6647369.021794912, 265172.6055460316 6647369.9323574575, 265171.17488445004 6647371.744182366, 265171.01567828923 6647371.61465887, 265170.83969835273 6647371.386018557, 265170.71361653216 6647371.153981168, 265170.64741245116 6647370.917867291, 265170.5998087862 6647370.660435331, 265170.6000649922 6647370.3696674295, 265170.6887789771 6647370.052825545, 265170.83940894704 6647369.7618460385, 265171.0199777866 6647369.468828286, 265171.6231324795 6647368.756031555)</t>
  </si>
  <si>
    <t>POLYGON ((265171.6231324795 6647368.756031555, 265174.1510070462 6647365.536066442, 265176.99440930074 6647361.943714535, 265181.7865672462 6647355.902713507, 265186.7427319564 6647349.619952077, 265188.83825276105 6647346.970819603, 265190.1951922074 6647345.254247019, 265190.9058729559 6647344.353664302, 265191.6086123249 6647343.483699874, 265192.3006926601 6647342.6044352455, 265192.9855110283 6647341.765768521, 265193.6517289808 6647340.948419876, 265194.403007639 6647340.055099168, 265195.14498608955 6647339.172437503, 265195.87040236354 6647338.341032779, 265196.6264369169 6647337.517569447, 265197.10278579773 6647337.00389754, 265197.4868120052 6647336.606795604, 265198.2176635853 6647335.855227877, 265199.0070340694 6647335.079624438, 265199.86286483955 6647334.249367006, 265200.6855712518 6647333.521623453, 265201.5082776627 6647332.793879903, 265202.31374248094 6647332.107413673, 265203.1990442687 6647331.415512151, 265204.15284457814 6647330.698895501, 265205.0349608661 6647330.107469617, 265206.02889122185 6647329.538509066, 265206.9391196959 6647329.065479822, 265207.9831597146 6647328.64349595, 265208.84438105335 6647328.33421713, 265209.8679939726 6647328.0539861955, 265210.4806157577 6647327.922046038, 265211.1052553987 6647327.819365335, 265211.9415053114 6647327.732355826, 265211.94511393853 6647327.932627657, 265211.1782088093 6647328.596416933, 265210.27681272 6647329.1991812335, 265209.2874267099 6647329.687625387, 265208.2926053949 6647330.09623258, 265207.2419828237 6647330.56879398, 265206.2566732749 6647331.1171158785, 265205.26613998937 6647331.735974544, 265204.3667821168 6647332.3686777465, 265203.49349819904 6647333.089838722, 265202.62883507565 6647333.790361051, 265201.7389889764 6647334.562778977, 265200.9176414001 6647335.310481775, 265200.07973164495 6647336.109441516, 265199.27176075394 6647336.906363023, 265198.5030289361 6647337.690587265, 265197.7057170798 6647338.496809002, 265196.95036194974 6647339.330251954, 265196.1326230138 6647340.2782266475, 265194.76094804984 6647341.925621187, 265193.38472877664 6647343.653532143, 265190.85345701023 6647346.823598423, 265188.3428239239 6647350.002285593, 265184.7887408844 6647354.495219826, 265181.1609356399 6647359.083406175, 265178.2152311072 6647362.793007354, 265174.60670577973 6647367.369855622, 265173.3155473064 6647369.021794912, 265172.6055460316 6647369.9323574575, 265171.17488445004 6647371.744182366, 265171.01567828923 6647371.61465887, 265170.83969835273 6647371.386018557, 265170.71361653216 6647371.153981168, 265170.64741245116 6647370.917867291, 265170.5998087862 6647370.660435331, 265170.6000649922 6647370.3696674295, 265170.6887789771 6647370.052825545, 265170.83940894704 6647369.7618460385, 265171.0199777866 6647369.468828286, 265171.6231324795 6647368.756031555))</t>
  </si>
  <si>
    <t>['KV11540 S2D1 m298-544']</t>
  </si>
  <si>
    <t>LINESTRING Z (265088.16818352434 6647501.5959436875 128.42000000000002, 265088.96264468145 6647502.073227764 128.47, 265090.1761269594 6647501.489318432 129.22, 265092.45502144494 6647497.704799123 129.32, 265097.9161121488 6647490.886359689 129.88, 265101.32483146654 6647486.172721124 130.16, 265105.87590545637 6647479.977686652 130.63, 265111.82995162247 6647472.153177 130.92000000000002, 265118.03714174085 6647464.070812529 131.34, 265120.5202621987 6647459.309905948 131.32, 265121.2328135632 6647457.84774561 131.22, 265122.6228323367 6647456.469799238 131.22, 265124.17248075 6647455.522123951 131.37, 265128.35473247553 6647449.652977367 131.46, 265131.8357269306 6647445.706412861 131.52, 265136.6684810276 6647439.6726696165 131.47, 265143.43754899304 6647430.860268969 131.45, 265147.8522617989 6647425.165789372 131.44, 265150.2663615183 6647423.367217713 131.55, 265151.3179197225 6647422.613867233 131.86, 265152.975094015 6647421.4784061825 132.16, 265154.2882051548 6647420.296188011 132.35, 265155.34252548864 6647419.141614355 132.31, 265156.486361847 6647418.712835589 132.51, 265158.6347431079 6647418.165537473 132.4, 265161.2940789267 6647418.054669609 132.01, 265164.4061954401 6647417.231216449 131.58, 265168.7123468969 6647415.243677938 131.4, 265171.1174131376 6647410.808915708 131.39000000000001, 265173.23213484115 6647406.674644987 131.32, 265173.5864782089 6647405.988813182 131.32, 265173.7527792163 6647405.486223314 131.31, 265173.6491626273 6647405.142371853 131.18, 265172.1019759233 6647406.42073276 131.12, 265169.5629416647 6647407.85685205 130.93, 265168.69131736504 6647407.866063256 130.84, 265168.32572453446 6647407.650331911 130.84, 265168.2919652998 6647407.30172452 130.84, 265168.4791166108 6647406.958129189 130.86, 265168.7075452495 6647406.631775432 130.9, 265170.7106091951 6647405.422636948 131.01, 265172.3348707255 6647404.54006387 131.11, 265172.77558911406 6647404.239360854 131.15, 265172.8044252941 6647403.926595457 131.1, 265171.9904733739 6647403.310275851 131.03, 265171.20076883567 6647402.902848897 130.96, 265170.317382818 6647402.592032721 130.83, 265169.2305394646 6647402.385300909 130.64000000000001, 265167.88579636917 6647402.366566953 130.39000000000001, 265166.9690298639 6647402.449032578 130.27, 265166.11439097975 6647402.707734338 130.05, 265165.00660827255 6647403.224291328 129.92000000000002, 265163.5565445464 6647404.014797933 129.69, 265162.48617428716 6647404.639092548 129.55, 265160.590847842 6647405.810818622 129.34, 265158.3260636645 6647406.857309395 128.83, 265155.9501447638 6647407.891314546 128.36, 265154.29934130295 6647408.825824117 128.02, 265152.1232264801 6647409.996614747 127.75, 265149.64521687827 6647411.298243226 127.52, 265147.68797433045 6647412.444107107 127.28, 265146.1605795247 6647413.129593937 127.24000000000001, 265144.4529947266 6647414.849987933 127.27, 265143.29339822213 6647416.3726605605 127.25, 265142.11864287476 6647417.525407675 127.35000000000001, 265138.6720421864 6647422.271700156 127.26, 265135.4920065586 6647426.368214474 127.22, 265131.0621345744 6647431.692768976 127.11, 265126.5979911621 6647437.250252258 127.02, 265121.50504257635 6647443.732822894 126.9, 265117.8593174331 6647448.352310754 126.7, 265113.44554009504 6647453.766003655 126.5, 265111.91508265754 6647455.584624172 126.4, 265110.51546316186 6647457.705139515 126.42, 265107.3637962201 6647461.629283902 126.14, 265103.53631103516 6647467.113346972 125.98, 265098.1108054825 6647474.159957952 125.69, 265092.06838970294 6647481.128258629 125.26, 265086.8603979164 6647488.129984388 124.87, 265082.25998179766 6647493.305738898 124.41, 265081.0917647983 6647494.849051349 124.27, 265079.7397936968 6647496.785857591 124.22, 265075.0208039856 6647503.754292623 123.88000000000001, 265068.8301321013 6647512.22654571 123.32000000000001, 265063.83799548395 6647519.89533804 122.74000000000001, 265058.75477191096 6647526.668002465 122.42, 265054.5083109102 6647532.772120449 121.86, 265052.78836427745 6647535.636309309 121.74000000000001, 265050.03919213224 6647540.4654617105 121.60000000000001, 265046.06574621174 6647547.192649902 121.22, 265042.49696520634 6647553.531356373 120.91, 265038.53506990604 6647560.4281989215 120.54, 265035.0668090547 6647566.328949296 120.19, 265031.7269246888 6647572.200908091 119.9, 265028.20783069916 6647578.385844638 119.36, 265025.0069380151 6647584.679454364 119.08, 265021.40737187606 6647590.418705167 118.58, 265021.02300205315 6647591.98886046 118.62, 265022.0476747595 6647592.460497048 119.34, 265024.280941909 6647593.601792162 120.85000000000001, 265026.15405107127 6647594.60719318 121.75, 265027.4854984307 6647596.050506908 123, 265027.30828299857 6647596.834565384 123.58, 265030.3789038776 6647598.19957683 125.05, 265032.2179257879 6647595.317254118 124.73, 265033.98373716616 6647591.948647282 124.84, 265037.5075424997 6647586.274710105 124.91, 265041.2513317906 6647578.530489527 125.44, 265040.89571807487 6647578.314078967 125.32000000000001, 265043.9192274214 6647572.2130124625 125.55, 265043.45044064743 6647571.95417745 125.35000000000001, 265044.9982711675 6647568.770851659 125.59, 265044.70389411005 6647568.570323775 125.38000000000001, 265048.36312649667 6647562.67662384 126.27, 265047.7047267809 6647562.430697932 125.99000000000001, 265049.5643878146 6647559.556996712 126.46000000000001, 265048.8257275105 6647559.015758457 125.96000000000001, 265049.5829528058 6647557.620736733 126.18, 265051.5335422937 6647552.6955643 126.24000000000001, 265053.2493679648 6647550.2126394445 126.18, 265056.9688138752 6647545.497895372 126.61, 265055.57948357996 6647544.529738919 125.8, 265058.1002621882 6647541.941882542 126.36, 265058.9700164272 6647542.494247563 126.94, 265062.1385003993 6647538.228075333 127.12, 265065.1650988688 6647535.264902204 127.48, 265071.79168797855 6647526.863229047 128.13, 265075.0171204343 6647522.402688543 128, 265078.86053134635 6647516.416244664 128.08, 265078.42690730427 6647516.08483445 127.95, 265082.00808611885 6647510.517279273 128.17000000000002, 265085.3656366878 6647504.904793895 128.22, 265087.9620084593 6647501.660109721 128.43, 265088.16818352434 6647501.5959436875 128.42000000000002)</t>
  </si>
  <si>
    <t>POLYGON Z ((265088.16818352434 6647501.5959436875 128.42000000000002, 265088.96264468145 6647502.073227764 128.47, 265090.1761269594 6647501.489318432 129.22, 265092.45502144494 6647497.704799123 129.32, 265097.9161121488 6647490.886359689 129.88, 265101.32483146654 6647486.172721124 130.16, 265105.87590545637 6647479.977686652 130.63, 265111.82995162247 6647472.153177 130.92000000000002, 265118.03714174085 6647464.070812529 131.34, 265120.5202621987 6647459.309905948 131.32, 265121.2328135632 6647457.84774561 131.22, 265122.6228323367 6647456.469799238 131.22, 265124.17248075 6647455.522123951 131.37, 265128.35473247553 6647449.652977367 131.46, 265131.8357269306 6647445.706412861 131.52, 265136.6684810276 6647439.6726696165 131.47, 265143.43754899304 6647430.860268969 131.45, 265147.8522617989 6647425.165789372 131.44, 265150.2663615183 6647423.367217713 131.55, 265151.3179197225 6647422.613867233 131.86, 265152.975094015 6647421.4784061825 132.16, 265154.2882051548 6647420.296188011 132.35, 265155.34252548864 6647419.141614355 132.31, 265156.486361847 6647418.712835589 132.51, 265158.6347431079 6647418.165537473 132.4, 265161.2940789267 6647418.054669609 132.01, 265164.4061954401 6647417.231216449 131.58, 265168.7123468969 6647415.243677938 131.4, 265171.1174131376 6647410.808915708 131.39000000000001, 265173.23213484115 6647406.674644987 131.32, 265173.5864782089 6647405.988813182 131.32, 265173.7527792163 6647405.486223314 131.31, 265173.6491626273 6647405.142371853 131.18, 265172.1019759233 6647406.42073276 131.12, 265169.5629416647 6647407.85685205 130.93, 265168.69131736504 6647407.866063256 130.84, 265168.32572453446 6647407.650331911 130.84, 265168.2919652998 6647407.30172452 130.84, 265168.4791166108 6647406.958129189 130.86, 265168.7075452495 6647406.631775432 130.9, 265170.7106091951 6647405.422636948 131.01, 265172.3348707255 6647404.54006387 131.11, 265172.77558911406 6647404.239360854 131.15, 265172.8044252941 6647403.926595457 131.1, 265171.9904733739 6647403.310275851 131.03, 265171.20076883567 6647402.902848897 130.96, 265170.317382818 6647402.592032721 130.83, 265169.2305394646 6647402.385300909 130.64000000000001, 265167.88579636917 6647402.366566953 130.39000000000001, 265166.9690298639 6647402.449032578 130.27, 265166.11439097975 6647402.707734338 130.05, 265165.00660827255 6647403.224291328 129.92000000000002, 265163.5565445464 6647404.014797933 129.69, 265162.48617428716 6647404.639092548 129.55, 265160.590847842 6647405.810818622 129.34, 265158.3260636645 6647406.857309395 128.83, 265155.9501447638 6647407.891314546 128.36, 265154.29934130295 6647408.825824117 128.02, 265152.1232264801 6647409.996614747 127.75, 265149.64521687827 6647411.298243226 127.52, 265147.68797433045 6647412.444107107 127.28, 265146.1605795247 6647413.129593937 127.24000000000001, 265144.4529947266 6647414.849987933 127.27, 265143.29339822213 6647416.3726605605 127.25, 265142.11864287476 6647417.525407675 127.35000000000001, 265138.6720421864 6647422.271700156 127.26, 265135.4920065586 6647426.368214474 127.22, 265131.0621345744 6647431.692768976 127.11, 265126.5979911621 6647437.250252258 127.02, 265121.50504257635 6647443.732822894 126.9, 265117.8593174331 6647448.352310754 126.7, 265113.44554009504 6647453.766003655 126.5, 265111.91508265754 6647455.584624172 126.4, 265110.51546316186 6647457.705139515 126.42, 265107.3637962201 6647461.629283902 126.14, 265103.53631103516 6647467.113346972 125.98, 265098.1108054825 6647474.159957952 125.69, 265092.06838970294 6647481.128258629 125.26, 265086.8603979164 6647488.129984388 124.87, 265082.25998179766 6647493.305738898 124.41, 265081.0917647983 6647494.849051349 124.27, 265079.7397936968 6647496.785857591 124.22, 265075.0208039856 6647503.754292623 123.88000000000001, 265068.8301321013 6647512.22654571 123.32000000000001, 265063.83799548395 6647519.89533804 122.74000000000001, 265058.75477191096 6647526.668002465 122.42, 265054.5083109102 6647532.772120449 121.86, 265052.78836427745 6647535.636309309 121.74000000000001, 265050.03919213224 6647540.4654617105 121.60000000000001, 265046.06574621174 6647547.192649902 121.22, 265042.49696520634 6647553.531356373 120.91, 265038.53506990604 6647560.4281989215 120.54, 265035.0668090547 6647566.328949296 120.19, 265031.7269246888 6647572.200908091 119.9, 265028.20783069916 6647578.385844638 119.36, 265025.0069380151 6647584.679454364 119.08, 265021.40737187606 6647590.418705167 118.58, 265021.02300205315 6647591.98886046 118.62, 265022.0476747595 6647592.460497048 119.34, 265024.280941909 6647593.601792162 120.85000000000001, 265026.15405107127 6647594.60719318 121.75, 265027.4854984307 6647596.050506908 123, 265027.30828299857 6647596.834565384 123.58, 265030.3789038776 6647598.19957683 125.05, 265032.2179257879 6647595.317254118 124.73, 265033.98373716616 6647591.948647282 124.84, 265037.5075424997 6647586.274710105 124.91, 265041.2513317906 6647578.530489527 125.44, 265040.89571807487 6647578.314078967 125.32000000000001, 265043.9192274214 6647572.2130124625 125.55, 265043.45044064743 6647571.95417745 125.35000000000001, 265044.9982711675 6647568.770851659 125.59, 265044.70389411005 6647568.570323775 125.38000000000001, 265048.36312649667 6647562.67662384 126.27, 265047.7047267809 6647562.430697932 125.99000000000001, 265049.5643878146 6647559.556996712 126.46000000000001, 265048.8257275105 6647559.015758457 125.96000000000001, 265049.5829528058 6647557.620736733 126.18, 265051.5335422937 6647552.6955643 126.24000000000001, 265053.2493679648 6647550.2126394445 126.18, 265056.9688138752 6647545.497895372 126.61, 265055.57948357996 6647544.529738919 125.8, 265058.1002621882 6647541.941882542 126.36, 265058.9700164272 6647542.494247563 126.94, 265062.1385003993 6647538.228075333 127.12, 265065.1650988688 6647535.264902204 127.48, 265071.79168797855 6647526.863229047 128.13, 265075.0171204343 6647522.402688543 128, 265078.86053134635 6647516.416244664 128.08, 265078.42690730427 6647516.08483445 127.95, 265082.00808611885 6647510.517279273 128.17000000000002, 265085.3656366878 6647504.904793895 128.22, 265087.9620084593 6647501.660109721 128.43, 265088.16818352434 6647501.5959436875 128.42000000000002))</t>
  </si>
  <si>
    <t>['KV11540 S2D1 m299-560']</t>
  </si>
  <si>
    <t>LINESTRING (265013.83733980125 6647588.938933263, 265014.1326961948 6647588.417530499, 265015.29620080336 6647586.363217222, 265017.04770052177 6647583.226179953, 265018.70097462065 6647580.266270206, 265021.0180043637 6647576.158323339, 265023.2182081032 6647572.248822152, 265025.04933327064 6647568.955975869, 265027.21165688656 6647565.079131482, 265029.259192766 6647561.43067164, 265031.5011417752 6647557.398018144, 265033.9436187778 6647553.070987703, 265035.93216825335 6647549.586958248, 265038.1756880832 6647545.72463823, 265040.40604297514 6647541.963473478, 265041.0539160451 6647540.876673215, 265042.7872394712 6647538.061702818, 265044.58226722985 6647535.122220934, 265045.84692744544 6647533.08107343, 265047.6267519782 6647530.21280792, 265049.00437353825 6647528.063711083, 265050.54803995043 6647525.702792033, 265052.1168892961 6647523.269977341, 265053.4985874592 6647521.1807584055, 265054.81654305244 6647519.186112146, 265056.70091999957 6647516.380910108, 265058.2765636697 6647514.047891898, 265060.2559809892 6647511.166038329, 265062.0096874464 6647508.650457464, 265064.0217613992 6647505.806484272, 265065.80676563317 6647503.308824509, 265067.60378778575 6647500.840424268, 265069.29850769544 6647498.4892736515, 265070.99798358453 6647496.207980488, 265072.75461956754 6647493.882692319, 265073.0953300575 6647493.438409256, 265074.2356465114 6647491.927073892, 265076.1776072106 6647489.37862516, 265078.0585430224 6647486.9646676155, 265079.8836776137 6647484.614664433, 265081.33293915994 6647482.781519407, 265083.1049902286 6647480.535389134, 265084.84051990765 6647478.34187474, 265088.73667108535 6647473.424611294, 265092.2177101524 6647469.036903437, 265095.70737004717 6647464.62855709, 265099.25283122365 6647460.156256645, 265102.7690329845 6647455.695974285, 265106.5270401578 6647450.95855689, 265109.24159766827 6647447.535387891, 265112.18662210903 6647443.815803966, 265115.1595472011 6647440.06424304, 265118.05807067093 6647436.397954616, 265121.1605193017 6647432.487187701, 265124.6880598071 6647428.046186378, 265128.2049413123 6647423.595885041, 265130.6418516592 6647420.512447526, 265133.0236402035 6647417.50294399, 265135.2486840828 6647414.694603525, 265138.3583948584 6647410.743239528, 265141.3685210595 6647406.949043642, 265144.04519866256 6647403.558532661, 265146.3997661172 6647400.590986373, 265149.3826711995 6647396.838747615, 265152.5860636284 6647392.790773517, 265155.798756302 6647388.73214054, 265158.67867978284 6647385.087172034, 265160.35046731296 6647382.988232213, 265160.71975796 6647382.521952128, 265162.59411182656 6647380.158574618, 265163.913850312 6647378.484637638, 265164.0154731828 6647378.357408581, 265164.2593168343 6647378.110212431, 265164.4294382386 6647377.95826822, 265164.6601167997 6647377.812227138, 265164.88489223097 6647377.726743215, 265165.09242607746 6647377.682536613, 265165.34327549604 6647377.685510469, 265165.66805877234 6647377.7436061585, 265165.9377202168 6647377.8756357, 265166.1488627518 6647378.031700986, 265166.04859871353 6647378.178889287, 265164.59797791846 6647379.992073172, 265163.95171928895 6647380.808063291, 265163.33268186834 6647381.5820966745, 265161.3022627493 6647384.156616739, 265158.9304536298 6647387.16543984, 265157.3051671769 6647389.211084524, 265154.31432069093 6647392.993941247, 265152.0434550797 6647395.865555911, 265149.78256911173 6647398.736491239, 265147.58474636206 6647401.502874479, 265145.3969032542 6647404.268578379, 265143.0330356446 6647407.246783781, 265140.4114799267 6647410.563360964, 265137.3289903896 6647414.472768157, 265135.22484922595 6647417.142541016, 265133.0735276254 6647419.855629538, 265130.92220604164 6647422.5687181335, 265128.1890479574 6647426.013204343, 265124.6435864789 6647430.485503243, 265122.11299474444 6647433.66555185, 265119.5558612514 6647436.897536942, 265116.6121956266 6647440.637079825, 265114.3213710725 6647443.510054662, 265111.93028252677 6647446.530217977, 265109.86198354245 6647449.137396229, 265108.11715353257 6647451.341569018, 265107.62831912143 6647451.966376279, 265104.41562706546 6647456.025011716, 265101.2945782662 6647459.9570975825, 265096.2905553178 6647466.273201692, 265093.0685631868 6647470.342496747, 265089.8558712993 6647474.401132916, 265086.0334424018 6647479.223144321, 265084.7515845605 6647480.864426357, 265082.2860946245 6647483.969863178, 265080.2942357728 6647486.521708865, 265078.44052117434 6647488.893709586, 265076.2374753177 6647491.730632093, 265074.3699162998 6647494.193808438, 265072.3397095641 6647496.91870518, 265070.45762671006 6647499.463077524, 265068.44147618423 6647502.247172746, 265066.27856066974 6647505.231751775, 265064.1462634924 6647508.224272239, 265062.15414884203 6647511.0668866085, 265060.00074534706 6647514.191180676, 265057.32945985044 6647518.10267426, 265054.7731739853 6647521.936157462, 265052.33982910623 6647525.66101196, 265050.2172558274 6647528.943621647, 265047.8544478761 6647532.673700003, 265046.0712262603 6647535.492067388, 265044.98849360726 6647537.260156001, 265043.63830508187 6647539.51767005, 265042.20645301766 6647541.901054538, 265040.29867581936 6647545.098859847, 265038.7871985307 6647547.638053729, 265037.1802132925 6647550.394293598, 265035.605205258 6647553.178434134, 265034.003655499 6647556.014511162, 265032.44792736415 6647558.78731332, 265030.5444387295 6647562.195370702, 265028.8446634062 6647565.208575341, 265026.8694909489 6647568.741823871, 265024.411810991 6647573.140071013, 265021.9793140094 6647577.466422583, 265019.9955209602 6647581.020310107, 265018.25128314714 6647584.116749338, 265016.66107224533 6647586.972106812, 265016.0796596622 6647588.004253254, 265015.58696072776 6647588.719557398, 265015.44541940046 6647588.84950442, 265015.2512621967 6647588.9429300595, 265015.01378931873 6647588.989175256, 265014.7549983183 6647589.016820048, 265014.3957315688 6647589.041279502, 265014.2034008447 6647589.01427013, 265014.02831166744 6647588.945983372, 265013.83733980125 6647588.938933263)</t>
  </si>
  <si>
    <t>POLYGON ((265013.83733980125 6647588.938933263, 265014.1326961948 6647588.417530499, 265015.29620080336 6647586.363217222, 265017.04770052177 6647583.226179953, 265018.70097462065 6647580.266270206, 265021.0180043637 6647576.158323339, 265023.2182081032 6647572.248822152, 265025.04933327064 6647568.955975869, 265027.21165688656 6647565.079131482, 265029.259192766 6647561.43067164, 265031.5011417752 6647557.398018144, 265033.9436187778 6647553.070987703, 265035.93216825335 6647549.586958248, 265038.1756880832 6647545.72463823, 265040.40604297514 6647541.963473478, 265041.0539160451 6647540.876673215, 265042.7872394712 6647538.061702818, 265044.58226722985 6647535.122220934, 265045.84692744544 6647533.08107343, 265047.6267519782 6647530.21280792, 265049.00437353825 6647528.063711083, 265050.54803995043 6647525.702792033, 265052.1168892961 6647523.269977341, 265053.4985874592 6647521.1807584055, 265054.81654305244 6647519.186112146, 265056.70091999957 6647516.380910108, 265058.2765636697 6647514.047891898, 265060.2559809892 6647511.166038329, 265062.0096874464 6647508.650457464, 265064.0217613992 6647505.806484272, 265065.80676563317 6647503.308824509, 265067.60378778575 6647500.840424268, 265069.29850769544 6647498.4892736515, 265070.99798358453 6647496.207980488, 265072.75461956754 6647493.882692319, 265073.0953300575 6647493.438409256, 265074.2356465114 6647491.927073892, 265076.1776072106 6647489.37862516, 265078.0585430224 6647486.9646676155, 265079.8836776137 6647484.614664433, 265081.33293915994 6647482.781519407, 265083.1049902286 6647480.535389134, 265084.84051990765 6647478.34187474, 265088.73667108535 6647473.424611294, 265092.2177101524 6647469.036903437, 265095.70737004717 6647464.62855709, 265099.25283122365 6647460.156256645, 265102.7690329845 6647455.695974285, 265106.5270401578 6647450.95855689, 265109.24159766827 6647447.535387891, 265112.18662210903 6647443.815803966, 265115.1595472011 6647440.06424304, 265118.05807067093 6647436.397954616, 265121.1605193017 6647432.487187701, 265124.6880598071 6647428.046186378, 265128.2049413123 6647423.595885041, 265130.6418516592 6647420.512447526, 265133.0236402035 6647417.50294399, 265135.2486840828 6647414.694603525, 265138.3583948584 6647410.743239528, 265141.3685210595 6647406.949043642, 265144.04519866256 6647403.558532661, 265146.3997661172 6647400.590986373, 265149.3826711995 6647396.838747615, 265152.5860636284 6647392.790773517, 265155.798756302 6647388.73214054, 265158.67867978284 6647385.087172034, 265160.35046731296 6647382.988232213, 265160.71975796 6647382.521952128, 265162.59411182656 6647380.158574618, 265163.913850312 6647378.484637638, 265164.0154731828 6647378.357408581, 265164.2593168343 6647378.110212431, 265164.4294382386 6647377.95826822, 265164.6601167997 6647377.812227138, 265164.88489223097 6647377.726743215, 265165.09242607746 6647377.682536613, 265165.34327549604 6647377.685510469, 265165.66805877234 6647377.7436061585, 265165.9377202168 6647377.8756357, 265166.1488627518 6647378.031700986, 265166.04859871353 6647378.178889287, 265164.59797791846 6647379.992073172, 265163.95171928895 6647380.808063291, 265163.33268186834 6647381.5820966745, 265161.3022627493 6647384.156616739, 265158.9304536298 6647387.16543984, 265157.3051671769 6647389.211084524, 265154.31432069093 6647392.993941247, 265152.0434550797 6647395.865555911, 265149.78256911173 6647398.736491239, 265147.58474636206 6647401.502874479, 265145.3969032542 6647404.268578379, 265143.0330356446 6647407.246783781, 265140.4114799267 6647410.563360964, 265137.3289903896 6647414.472768157, 265135.22484922595 6647417.142541016, 265133.0735276254 6647419.855629538, 265130.92220604164 6647422.5687181335, 265128.1890479574 6647426.013204343, 265124.6435864789 6647430.485503243, 265122.11299474444 6647433.66555185, 265119.5558612514 6647436.897536942, 265116.6121956266 6647440.637079825, 265114.3213710725 6647443.510054662, 265111.93028252677 6647446.530217977, 265109.86198354245 6647449.137396229, 265108.11715353257 6647451.341569018, 265107.62831912143 6647451.966376279, 265104.41562706546 6647456.025011716, 265101.2945782662 6647459.9570975825, 265096.2905553178 6647466.273201692, 265093.0685631868 6647470.342496747, 265089.8558712993 6647474.401132916, 265086.0334424018 6647479.223144321, 265084.7515845605 6647480.864426357, 265082.2860946245 6647483.969863178, 265080.2942357728 6647486.521708865, 265078.44052117434 6647488.893709586, 265076.2374753177 6647491.730632093, 265074.3699162998 6647494.193808438, 265072.3397095641 6647496.91870518, 265070.45762671006 6647499.463077524, 265068.44147618423 6647502.247172746, 265066.27856066974 6647505.231751775, 265064.1462634924 6647508.224272239, 265062.15414884203 6647511.0668866085, 265060.00074534706 6647514.191180676, 265057.32945985044 6647518.10267426, 265054.7731739853 6647521.936157462, 265052.33982910623 6647525.66101196, 265050.2172558274 6647528.943621647, 265047.8544478761 6647532.673700003, 265046.0712262603 6647535.492067388, 265044.98849360726 6647537.260156001, 265043.63830508187 6647539.51767005, 265042.20645301766 6647541.901054538, 265040.29867581936 6647545.098859847, 265038.7871985307 6647547.638053729, 265037.1802132925 6647550.394293598, 265035.605205258 6647553.178434134, 265034.003655499 6647556.014511162, 265032.44792736415 6647558.78731332, 265030.5444387295 6647562.195370702, 265028.8446634062 6647565.208575341, 265026.8694909489 6647568.741823871, 265024.411810991 6647573.140071013, 265021.9793140094 6647577.466422583, 265019.9955209602 6647581.020310107, 265018.25128314714 6647584.116749338, 265016.66107224533 6647586.972106812, 265016.0796596622 6647588.004253254, 265015.58696072776 6647588.719557398, 265015.44541940046 6647588.84950442, 265015.2512621967 6647588.9429300595, 265015.01378931873 6647588.989175256, 265014.7549983183 6647589.016820048, 265014.3957315688 6647589.041279502, 265014.2034008447 6647589.01427013, 265014.02831166744 6647588.945983372, 265013.83733980125 6647588.938933263))</t>
  </si>
  <si>
    <t>2024-06-11</t>
  </si>
  <si>
    <t>['KV11540 S2D1 m640-739']</t>
  </si>
  <si>
    <t>LINESTRING (265225.73114520416 6647319.001281957, 265226.9197665548 6647317.132506434, 265227.8277614395 6647314.398982153, 265228.3730672455 6647310.693249466, 265230.3233798462 6647306.156566126, 265233.66973788 6647301.240175582, 265236.50115557143 6647298.28076033, 265238.2572430732 6647296.337942168, 265239.8709983277 6647294.62749345, 265242.9667712082 6647291.605792543, 265245.9137978442 6647288.627038537, 265249.8541348495 6647284.680729742, 265252.7597565026 6647281.403113904, 265256.69808616873 6647276.54128346, 265258.05558780755 6647274.947612408, 265261.1689591514 6647271.053820796, 265265.09883903177 6647266.058539045, 265268.9680692691 6647260.196121576, 265272.557276124 6647254.429652123, 265273.72896255984 6647251.764628884, 265275.2989604317 6647248.303828044, 265276.9094885672 6647244.862788278, 265278.01172673976 6647242.782836368, 265278.1988287432 6647242.636960108, 265277.6950358454 6647242.389778257, 265278.45207874273 6647241.146898578, 265279.38228497794 6647239.803693972, 265280.81232654623 6647241.119897896, 265281.5317398105 6647244.145029752, 265281.5854759703 6647246.14043093, 265281.01236725674 6647247.717796607, 265279.1726567735 6647250.023228669, 265276.8009351663 6647252.697431906, 265275.0862196898 6647254.939098652, 265271.5976294286 6647259.727687703, 265268.7092219118 6647263.718852383, 265266.13767043396 6647267.310241075, 265263.9973100102 6647270.181930665, 265260.71230849857 6647274.376946441, 265257.49430722615 6647278.478379578, 265254.1025084352 6647282.758348856, 265250.6130237095 6647287.178522792, 265246.3740496166 6647292.606611386, 265243.42057914124 6647296.367433713, 265241.8424384485 6647299.080610094, 265240.89092561346 6647300.8830085825, 265240.39094622084 6647302.109576264, 265239.6889499038 6647304.130630261, 265238.8490427125 6647306.718769149, 265238.48940316425 6647307.858260506, 265236.8294403957 6647306.366840734, 265236.238058632 6647305.712063553, 265234.48062006326 6647305.689653744, 265232.71616923425 6647306.0703561725, 265231.3532736492 6647308.478870357, 265232.15954096796 6647309.778829691, 265231.1327826574 6647310.837849328, 265229.33746871527 6647312.604497543, 265229.27803438884 6647313.523929797, 265229.311642739 6647317.675758076, 265228.73511256056 6647321.319166826, 265229.53769833746 6647323.356352571, 265228.4550678433 6647324.418921096, 265228.29431263113 6647324.272796739, 265226.6391093718 6647322.591247876, 265226.07299031736 6647321.097375734, 265225.2435415996 6647319.609058053, 265225.6908322056 6647318.966494749)</t>
  </si>
  <si>
    <t>POLYGON ((265225.73114520416 6647319.001281957, 265226.9197665548 6647317.132506434, 265227.8277614395 6647314.398982153, 265228.3730672455 6647310.693249466, 265230.3233798462 6647306.156566126, 265233.66973788 6647301.240175582, 265236.50115557143 6647298.28076033, 265238.2572430732 6647296.337942168, 265239.8709983277 6647294.62749345, 265242.9667712082 6647291.605792543, 265245.9137978442 6647288.627038537, 265249.8541348495 6647284.680729742, 265252.7597565026 6647281.403113904, 265256.69808616873 6647276.54128346, 265258.05558780755 6647274.947612408, 265261.1689591514 6647271.053820796, 265265.09883903177 6647266.058539045, 265268.9680692691 6647260.196121576, 265272.557276124 6647254.429652123, 265273.72896255984 6647251.764628884, 265275.2989604317 6647248.303828044, 265276.9094885672 6647244.862788278, 265278.01172673976 6647242.782836368, 265278.1988287432 6647242.636960108, 265277.6950358454 6647242.389778257, 265278.45207874273 6647241.146898578, 265279.38228497794 6647239.803693972, 265280.81232654623 6647241.119897896, 265281.5317398105 6647244.145029752, 265281.5854759703 6647246.14043093, 265281.01236725674 6647247.717796607, 265279.1726567735 6647250.023228669, 265276.8009351663 6647252.697431906, 265275.0862196898 6647254.939098652, 265271.5976294286 6647259.727687703, 265268.7092219118 6647263.718852383, 265266.13767043396 6647267.310241075, 265263.9973100102 6647270.181930665, 265260.71230849857 6647274.376946441, 265257.49430722615 6647278.478379578, 265254.1025084352 6647282.758348856, 265250.6130237095 6647287.178522792, 265246.3740496166 6647292.606611386, 265243.42057914124 6647296.367433713, 265241.8424384485 6647299.080610094, 265240.89092561346 6647300.8830085825, 265240.39094622084 6647302.109576264, 265239.6889499038 6647304.130630261, 265238.8490427125 6647306.718769149, 265238.48940316425 6647307.858260506, 265236.8294403957 6647306.366840734, 265236.238058632 6647305.712063553, 265234.48062006326 6647305.689653744, 265232.71616923425 6647306.0703561725, 265231.3532736492 6647308.478870357, 265232.15954096796 6647309.778829691, 265231.1327826574 6647310.837849328, 265229.33746871527 6647312.604497543, 265229.27803438884 6647313.523929797, 265229.311642739 6647317.675758076, 265228.73511256056 6647321.319166826, 265229.53769833746 6647323.356352571, 265228.4550678433 6647324.418921096, 265228.29431263113 6647324.272796739, 265226.6391093718 6647322.591247876, 265226.07299031736 6647321.097375734, 265225.2435415996 6647319.609058053, 265225.6908322056 6647318.966494749, 265225.73114520416 6647319.001281957))</t>
  </si>
  <si>
    <t>['KV11540 S2D1 m643-687']</t>
  </si>
  <si>
    <t>LINESTRING (265221.26312136755 6647316.2096406035, 265221.22753565916 6647315.981468159, 265221.10927329154 6647314.68615576, 265221.1116573411 6647313.543043753, 265221.143300848 6647312.387913891, 265221.27609938907 6647311.24594916, 265221.4703460309 6647310.270240917, 265221.80388426693 6647308.9842734905, 265222.13967229193 6647307.878618643, 265222.5180964493 6647306.810164637, 265223.3220804604 6647305.071082629, 265224.2092985014 6647303.376463451, 265225.0363825057 6647301.97668856, 265226.981106801 6647299.027021444, 265228.5424395035 6647296.925577293, 265229.873516746 6647295.270921499, 265231.39263641584 6647293.433023993, 265234.1632079261 6647290.096279798, 265237.07192378264 6647286.579691041, 265237.69232019165 6647285.825617613, 265239.1563180457 6647284.061654075, 265241.28721336956 6647281.490322031, 265243.3629868565 6647278.992923844, 265244.0205841156 6647278.196214359, 265244.32948441524 6647278.315546748, 265246.2732924853 6647279.91768893, 265246.3585647108 6647279.992090607, 265245.79261074675 6647280.662250567, 265244.97805724136 6647281.509749079, 265243.90900103137 6647282.5951432735, 265242.18145665026 6647284.316893681, 265239.80744194484 6647286.704259787, 265237.05666299124 6647289.448129804, 265235.7789257135 6647290.708145036, 265235.00951443706 6647291.482389264, 265234.23284118145 6647292.297231386, 265233.474768345 6647293.090755455, 265232.711471761 6647293.954816287, 265231.9767552165 6647294.79687965, 265231.411480673 6647295.47701934, 265230.71736202016 6647296.3263447, 265230.0259610101 6647297.215588544, 265229.33591882314 6647298.124791636, 265228.6678741096 6647299.062574771, 265228.01048842934 6647300.009658127, 265227.38507984387 6647300.984642115, 265226.778951091 6647301.9482876705, 265226.18484019407 6647302.941192684, 265225.6385891688 6647303.90076179, 265225.07849360525 6647304.951506304, 265224.5669373255 6647305.97889453, 265224.08464049955 6647306.994264907, 265223.72209912085 6647308.001482362, 265223.40423210664 6647309.075839513, 265223.1362631996 6647310.146799613, 265222.9594697036 6647311.231604256, 265222.8418745246 6647312.302352814, 265222.68707851775 6647313.415737499, 265222.53483336547 6647313.977525429, 265222.37443527655 6647314.419557915, 265222.1468974934 6647314.906264766, 265221.9014387057 6647315.424269304, 265221.6364885364 6647315.803238572, 265221.4166805872 6647316.108953434, 265221.26312136755 6647316.2096406035)</t>
  </si>
  <si>
    <t>POLYGON ((265221.26312136755 6647316.2096406035, 265221.22753565916 6647315.981468159, 265221.10927329154 6647314.68615576, 265221.1116573411 6647313.543043753, 265221.143300848 6647312.387913891, 265221.27609938907 6647311.24594916, 265221.4703460309 6647310.270240917, 265221.80388426693 6647308.9842734905, 265222.13967229193 6647307.878618643, 265222.5180964493 6647306.810164637, 265223.3220804604 6647305.071082629, 265224.2092985014 6647303.376463451, 265225.0363825057 6647301.97668856, 265226.981106801 6647299.027021444, 265228.5424395035 6647296.925577293, 265229.873516746 6647295.270921499, 265231.39263641584 6647293.433023993, 265234.1632079261 6647290.096279798, 265237.07192378264 6647286.579691041, 265237.69232019165 6647285.825617613, 265239.1563180457 6647284.061654075, 265241.28721336956 6647281.490322031, 265243.3629868565 6647278.992923844, 265244.0205841156 6647278.196214359, 265244.32948441524 6647278.315546748, 265246.2732924853 6647279.91768893, 265246.3585647108 6647279.992090607, 265245.79261074675 6647280.662250567, 265244.97805724136 6647281.509749079, 265243.90900103137 6647282.5951432735, 265242.18145665026 6647284.316893681, 265239.80744194484 6647286.704259787, 265237.05666299124 6647289.448129804, 265235.7789257135 6647290.708145036, 265235.00951443706 6647291.482389264, 265234.23284118145 6647292.297231386, 265233.474768345 6647293.090755455, 265232.711471761 6647293.954816287, 265231.9767552165 6647294.79687965, 265231.411480673 6647295.47701934, 265230.71736202016 6647296.3263447, 265230.0259610101 6647297.215588544, 265229.33591882314 6647298.124791636, 265228.6678741096 6647299.062574771, 265228.01048842934 6647300.009658127, 265227.38507984387 6647300.984642115, 265226.778951091 6647301.9482876705, 265226.18484019407 6647302.941192684, 265225.6385891688 6647303.90076179, 265225.07849360525 6647304.951506304, 265224.5669373255 6647305.97889453, 265224.08464049955 6647306.994264907, 265223.72209912085 6647308.001482362, 265223.40423210664 6647309.075839513, 265223.1362631996 6647310.146799613, 265222.9594697036 6647311.231604256, 265222.8418745246 6647312.302352814, 265222.68707851775 6647313.415737499, 265222.53483336547 6647313.977525429, 265222.37443527655 6647314.419557915, 265222.1468974934 6647314.906264766, 265221.9014387057 6647315.424269304, 265221.6364885364 6647315.803238572, 265221.4166805872 6647316.108953434, 265221.26312136755 6647316.2096406035))</t>
  </si>
  <si>
    <t>2024-06-25</t>
  </si>
  <si>
    <t>[468]</t>
  </si>
  <si>
    <t>['FV468 S1D1 m1343-1595']</t>
  </si>
  <si>
    <t>LINESTRING Z (21265.365622093494 6533933.221759553 75.425764, 21265.07792722725 6533925.938284008 75.445687, 21264.488540057442 6533909.312261808 75.3436, 21263.69369615754 6533891.581362526 75.348763, 21263.296458760975 6533877.790856869 75.24175, 21262.229897725803 6533864.508083356 75.211946, 21260.939141398354 6533849.46765842 75.350568, 21258.489085804846 6533827.727777711 75.448758, 21256.278148124344 6533811.22925466 75.39872, 21254.078238412912 6533793.995488689 75.164542, 21252.136430299608 6533781.246842118 74.846457, 21249.07051222009 6533766.588429978 74.511026, 21245.318665001076 6533751.975436666 74.238114, 21241.443163737073 6533739.681415992 73.742129, 21236.27701828041 6533723.868391237 73.773348, 21232.189972772496 6533709.029550159 73.593118, 21227.852951767913 6533693.9537421875 73.587922, 21226.16456789378 6533687.703324024 73.399892, 21223.934518869384 6533688.34520691 73.6325, 21224.083029226575 6533688.985653969 73.639, 21224.325562693703 6533689.948043942 73.646202, 21224.587513498554 6533690.906228273 73.653397, 21224.641736182093 6533691.095591537 73.6548, 21225.419834418746 6533693.792843271 73.675003, 21228.198292724905 6533703.424173167 73.747101, 21230.56680704234 6533711.634455696 73.808601, 21230.982430323376 6533713.049042764 73.819199, 21231.18484591873 6533713.719934139 73.824303, 21233.897995594074 6533722.636961626 73.891296, 21236.81591035449 6533732.226953794 73.963501, 21238.41843706998 6533737.493781629 74.003098, 21239.07613717654 6533739.655367813 74.022524, 21239.73383858212 6533741.816955823 74.048302, 21240.025620631175 6533742.775951112 74.061699, 21240.31741502334 6533743.734955926 74.0765, 21240.71056397236 6533745.027063892 74.098314, 21241.103971291217 6533746.3200241 74.122398, 21241.769596446888 6533748.535863086 74.1688, 21242.19102110283 6533749.981476716 74.202645, 21242.61236160563 6533751.426802977 74.239304, 21242.818025161745 6533752.147716786 74.258499, 21243.428722551093 6533754.326507606 74.317802, 21244.218082382868 6533757.232937099 74.396599, 21244.98053310829 6533760.146281822 74.475502, 21245.22887521988 6533761.119630029 74.501801, 21245.716284948634 6533763.06748405 74.554398, 21246.424818944244 6533765.994402004 74.633202, 21246.882206049224 6533767.949519187 74.685799, 21247.106510539248 6533768.928686477 74.712097, 21247.32768625603 6533769.907979296 74.738403, 21247.545841176354 6533770.887942688 74.764702, 21247.76097491954 6533771.868573676 74.790901, 21248.388191523845 6533774.81399752 74.869797, 21248.98826998024 6533777.765468487 74.9487, 21249.561082787288 6533780.722343981 75.027496, 21250.10657052009 6533783.684388048 75.1064, 21250.62469546107 6533786.651297292 75.185204, 21251.0874653355 6533789.44896329 75.259499, 21251.115479146887 6533789.623319586 75.264099, 21251.272918168455 6533790.614661205 75.289703, 21251.578715971264 6533792.599137146 75.337898, 21251.79657458648 6533794.089026718 75.371476, 21252.014460326754 6533795.57910482 75.402802, 21252.218587790558 6533797.07113219 75.431828, 21252.4226899161 6533798.562968768 75.458603, 21252.679537920165 6533800.55431365 75.490799, 21252.765874367265 6533801.246287723 75.500999, 21253.052130118303 6533803.560669919 75.531819, 21253.338385065785 6533805.875053225 75.557224, 21253.624640943948 6533808.18943539 75.577217, 21253.91089601844 6533810.503818663 75.591797, 21254.143514632306 6533812.384540073 75.599684, 21254.376133287617 6533814.265261467 75.603996, 21255.141364459007 6533820.452092069 75.612198, 21256.37182540004 6533830.400376398 75.625397, 21257.010924204835 6533835.567511873 75.632301, 21257.306605191436 6533837.9580811905 75.632587, 21257.602285865345 6533840.348647507 75.627098, 21257.652029288758 6533840.750781195 75.625603, 21257.96504100453 6533843.336591133 75.612099, 21258.13754480786 6533844.831740662 75.601276, 21258.310027652013 6533846.326709954 75.588203, 21258.437168842298 6533847.470272741 75.576599, 21258.63715908461 6533849.319599137 75.5569, 21258.742212838493 6533850.3177530235 75.546303, 21258.946252081427 6533852.313799608 75.525002, 21259.237385972985 6533855.309790336 75.493202, 21259.51052981062 6533858.307479284 75.461304, 21259.682672117488 6533860.30728328 75.440002, 21259.765712618886 6533861.307030492 75.429398, 21259.770522170467 6533861.365741455 75.428802, 21259.886673555768 6533862.836446378 75.414499, 21260.002882232075 6533864.307892808 75.402901, 21260.11246105045 6533865.809004196 75.393896, 21260.222039791 6533867.310122668 75.387703, 21260.322352488467 6533868.807873497 75.384301, 21260.422655164322 6533870.30549019 75.383698, 21260.541860488884 6533872.226747752 75.384697, 21260.606305422727 6533873.3185331505 75.384499, 21260.688836749177 6533874.82114484 75.381857, 21260.771376647812 6533876.323934297 75.376404, 21260.89536184148 6533878.833599658 75.361099, 21260.91842981236 6533879.3306876 75.357201, 21260.92860380787 6533879.553358439 75.355499, 21260.963459824445 6533880.333536666 75.349899, 21261.047442198324 6533882.338235106 75.338898, 21261.102913339855 6533883.84220017 75.333993, 21261.15838943707 6533885.346290922 75.331902, 21261.204846821376 6533886.850693167 75.332544, 21261.25130664429 6533888.355256795 75.335999, 21261.268900071096 6533889.001350799 75.338402, 21261.306816206314 6533890.358174364 75.3451, 21261.33714352158 6533891.3593179 75.351501, 21261.343727874162 6533891.56830746 75.352997, 21261.409490649472 6533893.641499991 75.370697, 21261.623113824113 6533900.376307356 75.436996, 21261.851091504912 6533907.563963872 75.507797, 21261.895996144798 6533908.979655814 75.520497, 21261.940900807967 6533910.3953477545 75.530701, 21262.011514765734 6533912.621580116 75.541682, 21262.082127914997 6533914.847813596 75.546492, 21262.152741991682 6533917.07404595 75.545131, 21262.223355133377 6533919.300278424 75.537598, 21262.25870046753 6533920.414398749 75.532303, 21262.32219640608 6533922.416511125 75.522697, 21262.417615871236 6533925.424596817 75.5084, 21262.576489867468 6533930.4334390005 75.484497, 21262.70481460262 6533934.478982487 75.464084, 21263.216669304762 6533934.485685417 75.486141, 21263.903146197496 6533934.407766077 75.483112, 21264.700318454124 6533933.918256629 75.517818)</t>
  </si>
  <si>
    <t>POLYGON Z ((21265.365622093494 6533933.221759553 75.425764, 21265.07792722725 6533925.938284008 75.445687, 21264.488540057442 6533909.312261808 75.3436, 21263.69369615754 6533891.581362526 75.348763, 21263.296458760975 6533877.790856869 75.24175, 21262.229897725803 6533864.508083356 75.211946, 21260.939141398354 6533849.46765842 75.350568, 21258.489085804846 6533827.727777711 75.448758, 21256.278148124344 6533811.22925466 75.39872, 21254.078238412912 6533793.995488689 75.164542, 21252.136430299608 6533781.246842118 74.846457, 21249.07051222009 6533766.588429978 74.511026, 21245.318665001076 6533751.975436666 74.238114, 21241.443163737073 6533739.681415992 73.742129, 21236.27701828041 6533723.868391237 73.773348, 21232.189972772496 6533709.029550159 73.593118, 21227.852951767913 6533693.9537421875 73.587922, 21226.16456789378 6533687.703324024 73.399892, 21223.934518869384 6533688.34520691 73.6325, 21224.083029226575 6533688.985653969 73.639, 21224.325562693703 6533689.948043942 73.646202, 21224.587513498554 6533690.906228273 73.653397, 21224.641736182093 6533691.095591537 73.6548, 21225.419834418746 6533693.792843271 73.675003, 21228.198292724905 6533703.424173167 73.747101, 21230.56680704234 6533711.634455696 73.808601, 21230.982430323376 6533713.049042764 73.819199, 21231.18484591873 6533713.719934139 73.824303, 21233.897995594074 6533722.636961626 73.891296, 21236.81591035449 6533732.226953794 73.963501, 21238.41843706998 6533737.493781629 74.003098, 21239.07613717654 6533739.655367813 74.022524, 21239.73383858212 6533741.816955823 74.048302, 21240.025620631175 6533742.775951112 74.061699, 21240.31741502334 6533743.734955926 74.0765, 21240.71056397236 6533745.027063892 74.098314, 21241.103971291217 6533746.3200241 74.122398, 21241.769596446888 6533748.535863086 74.1688, 21242.19102110283 6533749.981476716 74.202645, 21242.61236160563 6533751.426802977 74.239304, 21242.818025161745 6533752.147716786 74.258499, 21243.428722551093 6533754.326507606 74.317802, 21244.218082382868 6533757.232937099 74.396599, 21244.98053310829 6533760.146281822 74.475502, 21245.22887521988 6533761.119630029 74.501801, 21245.716284948634 6533763.06748405 74.554398, 21246.424818944244 6533765.994402004 74.633202, 21246.882206049224 6533767.949519187 74.685799, 21247.106510539248 6533768.928686477 74.712097, 21247.32768625603 6533769.907979296 74.738403, 21247.545841176354 6533770.887942688 74.764702, 21247.76097491954 6533771.868573676 74.790901, 21248.388191523845 6533774.81399752 74.869797, 21248.98826998024 6533777.765468487 74.9487, 21249.561082787288 6533780.722343981 75.027496, 21250.10657052009 6533783.684388048 75.1064, 21250.62469546107 6533786.651297292 75.185204, 21251.0874653355 6533789.44896329 75.259499, 21251.115479146887 6533789.623319586 75.264099, 21251.272918168455 6533790.614661205 75.289703, 21251.578715971264 6533792.599137146 75.337898, 21251.79657458648 6533794.089026718 75.371476, 21252.014460326754 6533795.57910482 75.402802, 21252.218587790558 6533797.07113219 75.431828, 21252.4226899161 6533798.562968768 75.458603, 21252.679537920165 6533800.55431365 75.490799, 21252.765874367265 6533801.246287723 75.500999, 21253.052130118303 6533803.560669919 75.531819, 21253.338385065785 6533805.875053225 75.557224, 21253.624640943948 6533808.18943539 75.577217, 21253.91089601844 6533810.503818663 75.591797, 21254.143514632306 6533812.384540073 75.599684, 21254.376133287617 6533814.265261467 75.603996, 21255.141364459007 6533820.452092069 75.612198, 21256.37182540004 6533830.400376398 75.625397, 21257.010924204835 6533835.567511873 75.632301, 21257.306605191436 6533837.9580811905 75.632587, 21257.602285865345 6533840.348647507 75.627098, 21257.652029288758 6533840.750781195 75.625603, 21257.96504100453 6533843.336591133 75.612099, 21258.13754480786 6533844.831740662 75.601276, 21258.310027652013 6533846.326709954 75.588203, 21258.437168842298 6533847.470272741 75.576599, 21258.63715908461 6533849.319599137 75.5569, 21258.742212838493 6533850.3177530235 75.546303, 21258.946252081427 6533852.313799608 75.525002, 21259.237385972985 6533855.309790336 75.493202, 21259.51052981062 6533858.307479284 75.461304, 21259.682672117488 6533860.30728328 75.440002, 21259.765712618886 6533861.307030492 75.429398, 21259.770522170467 6533861.365741455 75.428802, 21259.886673555768 6533862.836446378 75.414499, 21260.002882232075 6533864.307892808 75.402901, 21260.11246105045 6533865.809004196 75.393896, 21260.222039791 6533867.310122668 75.387703, 21260.322352488467 6533868.807873497 75.384301, 21260.422655164322 6533870.30549019 75.383698, 21260.541860488884 6533872.226747752 75.384697, 21260.606305422727 6533873.3185331505 75.384499, 21260.688836749177 6533874.82114484 75.381857, 21260.771376647812 6533876.323934297 75.376404, 21260.89536184148 6533878.833599658 75.361099, 21260.91842981236 6533879.3306876 75.357201, 21260.92860380787 6533879.553358439 75.355499, 21260.963459824445 6533880.333536666 75.349899, 21261.047442198324 6533882.338235106 75.338898, 21261.102913339855 6533883.84220017 75.333993, 21261.15838943707 6533885.346290922 75.331902, 21261.204846821376 6533886.850693167 75.332544, 21261.25130664429 6533888.355256795 75.335999, 21261.268900071096 6533889.001350799 75.338402, 21261.306816206314 6533890.358174364 75.3451, 21261.33714352158 6533891.3593179 75.351501, 21261.343727874162 6533891.56830746 75.352997, 21261.409490649472 6533893.641499991 75.370697, 21261.623113824113 6533900.376307356 75.436996, 21261.851091504912 6533907.563963872 75.507797, 21261.895996144798 6533908.979655814 75.520497, 21261.940900807967 6533910.3953477545 75.530701, 21262.011514765734 6533912.621580116 75.541682, 21262.082127914997 6533914.847813596 75.546492, 21262.152741991682 6533917.07404595 75.545131, 21262.223355133377 6533919.300278424 75.537598, 21262.25870046753 6533920.414398749 75.532303, 21262.32219640608 6533922.416511125 75.522697, 21262.417615871236 6533925.424596817 75.5084, 21262.576489867468 6533930.4334390005 75.484497, 21262.70481460262 6533934.478982487 75.464084, 21263.216669304762 6533934.485685417 75.486141, 21263.903146197496 6533934.407766077 75.483112, 21264.700318454124 6533933.918256629 75.517818, 21265.365622093494 6533933.221759553 75.425764))</t>
  </si>
  <si>
    <t>['FV468 S1D1 m2306-2323']</t>
  </si>
  <si>
    <t>LINESTRING Z (20944.54754685104 6534554.07964062 88.97631, 20945.00432502257 6534553.252005473 88.965359, 20946.215238837758 6534551.057953223 88.937737, 20948.637066588562 6534546.669848915 88.880096, 20953.48073124519 6534537.89362986 88.764801, 20958.324386727356 6534529.117414093 88.649498, 20959.821075399 6534526.4055559365 88.6138, 20961.494558959734 6534523.3733765865 88.572219, 20962.331300335354 6534521.857287519 88.548103, 20963.168042724952 6534520.341198358 88.5215, 20964.348873520037 6534518.201643237 88.479599, 20965.077037659124 6534516.819245918 88.464104, 20966.015119902557 6534515.041900107 88.441704, 20966.958162819967 6534513.263207614 88.416496, 20967.908067763317 6534511.484082793 88.388397, 20968.866409410664 6534509.706039516 88.357498, 20969.835702348384 6534507.929096317 88.3237, 20970.817399753607 6534506.1546148285 88.287003, 20971.813489570748 6534504.383673175 88.247597, 20972.825824364205 6534502.617357669 88.2052, 20973.85625824303 6534500.856822125 88.160103, 20974.906618659676 6534499.103249032 88.112, 20975.9787272049 6534497.357909533 88.061203, 20977.07434904657 6534495.622131505 88.007401, 20978.194845416467 6534493.897965388 87.951599, 20978.21738878294 6534493.8638878865 87.9506, 20979.34317627939 6534492.184960555 87.896103, 20980.519744214544 6534490.48662678 87.841103, 20981.726403308625 6534488.804252291 87.786598, 20982.579954204906 6534487.650221223 87.749199, 20982.746813229984 6534487.428040541 87.742104, 20982.974200213386 6534487.138615715 87.728203, 20984.27391441731 6534485.520240898 87.6511, 20985.603439407365 6534483.925049173 87.577904, 20986.961747095163 6534482.3542884495 87.508301, 20988.348395227687 6534480.808484067 87.442497, 20989.762904868112 6534479.288159003 87.380501, 20991.18840712402 6534477.810523861 87.3228, 20991.205651091645 6534477.792966238 87.322197, 20992.67368947959 6534476.325876752 87.267601, 20994.168985060474 6534474.884915686 87.216797, 20995.688642116787 6534473.472849729 87.169701, 20997.23641574639 6534472.086195144 87.126404, 20997.849476445117 6534471.550794269 87.110397, 20998.808910925232 6534470.728153237 87.086098, 21000.404618809524 6534469.399942323 87.046097, 21002.024144485185 6534468.101022321 87.006104, 21002.892665549647 6534467.4240464205 86.985001, 21003.681520224025 6534466.847983729 86.955101, 21005.37360345613 6534465.645142583 86.892303, 21007.077233633492 6534464.475900447 86.829903, 21008.794028402073 6534463.335719609 86.767998, 21010.522266004817 6534462.222567364 86.706596, 21012.260268098034 6534461.1343710935 86.645599, 21014.00650569983 6534460.069024972 86.585197, 21015.759506296134 6534459.024382619 86.525299, 21017.517888343486 6534457.99828199 86.465797, 21019.28032122244 6534456.988540398 86.406898, 21021.04555845185 6534455.992961391 86.348396, 21022.812385094818 6534455.009334368 86.290398, 21024.57999254018 6534454.035259436 86.232903, 21026.34643634298 6534453.068985954 86.175903, 21028.111075767665 6534452.10802793 86.1194, 21029.039054738125 6534451.603466618 86.089798, 21029.84838195471 6534451.12514303 86.0644, 21031.571947562217 6534450.105629708 86.010498, 21033.292356049118 6534449.085307812 85.956299, 21034.289287766675 6534448.492294892 85.924698, 21035.008573702828 6534448.063323019 85.901497, 21036.720090892748 6534447.038160903 85.843201, 21038.42643204995 6534446.008399701 85.780602, 21040.126003308338 6534444.973317215 85.713799, 21041.81833519414 6534443.931491934 85.642799, 21043.502607290808 6534442.881761354 85.567497, 21045.177926554985 6534441.8228611015 85.487999, 21046.843517783156 6534440.753848269 85.404198, 21048.49844168336 6534439.673507826 85.3162, 21050.141787886212 6534438.580748395 85.223999, 21051.772610413667 6534437.4745083945 85.127502, 21053.389949348522 6534436.353767439 85.026703, 21054.992808722774 6534435.21750773 84.9217, 21056.580102104053 6534434.064683598 84.8125, 21058.151599167148 6534432.893989513 84.698997, 21058.19654654694 6534432.860095755 84.695702, 21059.722899803368 6534431.723450908 84.598701, 21061.277485902305 6534430.5347523205 84.494904, 21062.81701253832 6534429.325778601 84.3871, 21063.318555952574 6534428.9249241175 84.3508, 21064.33976942429 6534428.097879892 84.2761, 21065.847371119366 6534426.849755664 84.165001, 21067.338546326733 6534425.582458495 84.053802, 21068.813242898555 6534424.296015258 83.942703, 21070.271222342504 6534422.990655474 83.831497, 21071.712235821236 6534421.666598871 83.720398, 21073.136052246904 6534420.324053819 83.6092, 21074.54241298698 6534418.963250388 83.498001, 21075.931651317107 6534417.583878243 83.386902, 21076.00531242066 6534417.509740221 83.380898, 21077.314285982517 6534416.195468041 83.286102, 21078.68170587253 6534414.78952394 83.185898, 21080.034857939347 6534413.365911912 83.085602, 21081.374587247556 6534411.925757957 82.985199, 21082.701687153487 6534410.470099678 82.884697, 21084.017203069874 6534409.000175944 82.784103, 21085.322151129192 6534407.516774611 82.683403, 21085.86469789117 6534406.893017463 82.641296, 21086.61683426547 6534406.021722469 82.583298, 21087.903170479403 6534404.514979818 82.486099, 21089.181584353733 6534402.998202294 82.392097, 21090.45324956969 6534401.4722324265 82.301399, 21091.71915190085 6534399.937992309 82.213997, 21092.980248281674 6534398.396882664 82.129898, 21094.238138522778 6534396.849094397 82.049004, 21095.493601108145 6534395.295968152 81.971298, 21096.747761375562 6534393.738450644 81.896896, 21098.00172856485 6534392.177465387 81.825798, 21098.696225306252 6534391.312209069 81.787804, 21099.256391276896 6534390.614194469 81.753868, 21100.825000308047 6534388.65971561 81.662326, 21102.393608361308 6534386.705236953 81.576003, 21103.96221742459 6534384.750758239 81.494896, 21105.530828112504 6534382.796276366 81.419006, 21105.63686568587 6534382.664158383 81.414062, 21111.805252449412 6534374.978378258 81.127258, 21114.925574286433 6534371.090476975 80.982201, 21118.04931068013 6534367.138811263 80.834396, 21118.13570837333 6534367.029523578 80.830299, 21118.173018893343 6534366.982321741 80.828499, 21118.81285753782 6534366.16628115 80.795601, 21119.481897419377 6534365.313268895 80.7612, 21120.523268199875 6534363.985450032 80.708298, 21121.758838345762 6534362.408394011 80.647299, 21122.994262525288 6534360.831524426 80.588303, 21124.227852603653 6534359.253918903 80.531303, 21125.45931573573 6534357.676465708 80.476196, 21126.688020603266 6534356.0970929675 80.423098, 21127.91628458671 6534354.518287892 80.372002, 21129.13971038122 6534352.936350371 80.322852, 21130.362575230014 6534351.355140349 80.275703, 21131.57943798491 6534349.769699442 80.230532, 21132.795963585202 6534348.18469675 80.187363, 21134.004722540325 6534346.595319586 80.14614, 21135.213242379134 6534345.006262009 80.106918, 21136.415293123573 6534343.4131625155 80.069672, 21137.612355344056 6534341.817399454 80.034386, 21139.3985472137 6534339.417446773 79.985176, 21139.99101660424 6534338.616019043 79.969757, 21141.168820929306 6534337.008247586 79.940398, 21142.34638888942 6534335.400801425 79.91304, 21143.51105958887 6534333.7855683165 79.887618, 21144.67590522277 6534332.170090603 79.864197, 21145.253456554317 6534331.360395237 79.853302, 21146.97641391086 6534328.9228589805 79.823303, 21148.115151505684 6534327.292438592 79.805801, 21149.24582752463 6534325.657114468 79.790298, 21150.367816760554 6534324.0171028385 79.776798, 21151.481370023102 6534322.371368217 79.765297, 21152.585311027244 6534320.7208762765 79.755699, 21153.680654914468 6534319.063517761 79.7481, 21154.7718551312 6534317.405680751 79.748001, 21156.39109920594 6534314.906919854 79.751602, 21157.98886897316 6534312.394374979 79.759697, 21159.041994348634 6534310.711874622 79.7677, 21159.56466493674 6534309.868835461 79.7724, 21161.119225408882 6534307.329118692 79.789497, 21162.651772837446 6534304.77647191 79.811096, 21164.16194547346 6534302.211536503 79.837196, 21165.65094158874 6534299.63224452 79.867897, 21167.117353892885 6534297.041037215 79.903, 21168.561666781374 6534294.437054414 79.94265, 21169.037813666044 6534293.566915816 79.956848, 21169.983179964067 6534291.8215628015 79.986786, 21171.382570759743 6534289.193353189 80.035423, 21172.759454847197 6534286.553088046 80.088562, 21173.213456159516 6534285.670255633 80.107292, 21173.66448304971 6534284.787000565 80.126488, 21173.754751632805 6534284.60947201 80.130402, 21174.56610713509 6534283.017250936 80.171303, 21175.45854495623 6534281.2430331865 80.218597, 21176.062970549858 6534280.027587946 80.251999, 21177.215757809347 6534277.678842917 80.317398, 21178.081343525148 6534275.889355053 80.366997, 21178.93844614626 6534274.095231479 80.416496, 21180.62955541571 6534270.492521138 80.515602, 21181.286502561532 6534269.070833333 80.554604, 21182.290679329424 6534266.874179764 80.613701, 21183.92514966865 6534263.2400174765 80.706703, 21185.535223075363 6534259.592116939 80.794296, 21186.33161684801 6534257.764020282 80.835999, 21187.123300433625 6534255.93232917 80.876404, 21188.692470333597 6534252.260989505 80.953201, 21190.244804466143 6534248.580441684 81.024498, 21191.783688623982 6534244.890847695 81.090401, 21193.31154224323 6534241.19378435 81.150803, 21194.07217598497 6534239.342990629 81.179001, 21194.830939814798 6534237.490831921 81.205902, 21196.34477911715 6534233.782770478 81.255501, 21197.85574167018 6534230.0708867125 81.299698, 21198.412297168106 6534228.702421817 81.314598, 21200.007453988714 6534224.738485602 81.343628, 21201.602610967937 6534220.774549538 81.3666, 21202.538170897926 6534218.449711737 81.377225, 21203.473731749866 6534216.124872871 81.385766, 21204.40929178853 6534213.800035173 81.392224, 21205.34485274891 6534211.475196409 81.396599, 21205.531908722536 6534211.01037085 81.397202, 21205.719074605615 6534210.545258414 81.397697, 21205.90619013866 6534210.080289843 81.398201, 21206.093304192706 6534209.615325504 81.398598, 21206.28041126777 6534209.1503539765 81.398903, 21206.46752532624 6534208.685389641 81.399101, 21206.654632405727 6534208.220418118 81.3992, 21206.841747949366 6534207.755449554 81.3992, 21207.02886201424 6534207.290485227 81.3992, 21207.215969100303 6534206.825513709 81.399101, 21207.403084650578 6534206.360545153 81.398903, 21207.590197981335 6534205.895582947 81.398598, 21207.71069457027 6534205.59613396 81.398399, 21207.73539148731 6534205.53476989 81.3983, 21207.77730581438 6534205.43060932 81.398201, 21207.964419890253 6534204.965645004 81.397797, 21208.15152698697 6534204.500673495 81.397202, 21208.33864254813 6534204.035704947 81.396599, 21208.52575663058 6534203.570740638 81.395897, 21208.712863733643 6534203.105769134 81.395103, 21208.899979301437 6534202.640800597 81.394203, 21209.087093390932 6534202.175836296 81.393303, 21209.274200500397 6534201.7108648 81.392197, 21209.46131459356 6534201.245900498 81.391098, 21209.648421707796 6534200.780929007 81.3899, 21209.7801475061 6534200.453599622 81.388603, 21209.795592429407 6534200.472446196 81.399464, 21209.33325197955 6534199.578130937 81.426572, 21208.92735873442 6534198.794992014 81.459774, 21208.55247305584 6534198.394868334 81.466521, 21207.92416807043 6534198.130117036 81.472281, 21207.474513082474 6534198.194052357 81.496966, 21207.4166819402 6534198.236120747 81.489474, 21207.36966446112 6534198.353035036 81.469902, 21207.182665859 6534198.818049269 81.471397, 21206.99566552462 6534199.283065748 81.472702, 21206.808665911143 6534199.74807203 81.473999, 21206.621658853895 6534200.213083313 81.475197, 21206.434660260566 6534200.6780975545 81.476402, 21206.247660188877 6534201.143116033 81.477402, 21206.060654618253 6534201.6081230845 81.478401, 21206.029359309585 6534201.685948441 81.4785, 21205.686653829587 6534202.538146994 81.480003, 21204.95696829603 6534204.3526367415 81.4823, 21204.9349093613 6534204.40748155 81.482399, 21204.910222238686 6534204.468882776 81.482399, 21204.789793954522 6534204.768352357 81.482697, 21204.60279436747 6534205.233358667 81.483002, 21204.41578646796 6534205.698371091 81.4832, 21204.22841197328 6534206.16431151 81.483398, 21204.04141340847 6534206.629325783 81.483398, 21203.85441310983 6534207.094342292 81.483398, 21203.667413533665 6534207.559348611 81.483299, 21203.480406512448 6534208.024359928 81.483101, 21203.29340795608 6534208.489374206 81.482803, 21203.106409402157 6534208.954388489 81.482498, 21202.91940763354 6534209.419409242 81.482002, 21202.732865933795 6534209.883252598 81.481499, 21202.545401671145 6534210.349423786 81.480904, 21201.956380748423 6534211.814121697 81.478401, 21201.94662653457 6534211.838389093 81.478401, 21200.376000744058 6534215.7440277655 81.467741, 21198.805375234457 6534219.649667585 81.451202, 21198.206591435184 6534221.13864324 81.443398, 21196.911793682317 6534224.358386991 81.423545, 21195.616996032884 6534227.578130838 81.399696, 21195.06571766094 6534228.9489951655 81.388298, 21194.466565881914 6534230.438887019 81.375099, 21193.877509331855 6534231.903683782 81.361298, 21193.570826670504 6534232.666301374 81.353798, 21192.450696331973 6534235.451724085 81.324402, 21192.07744098513 6534236.379890788 81.314003, 21191.331298375502 6534238.2352839215 81.292099, 21190.726540859847 6534239.739144817 81.273399, 21190.585541924404 6534240.089751654 81.268997, 21189.095139368204 6534243.795905953 81.218697, 21187.60586618929 6534247.499269614 81.163101, 21187.21647596266 6534248.467550222 81.147697, 21186.985512231768 6534249.04059882 81.138496, 21186.111168096424 6534251.187328026 81.102501, 21185.847481164732 6534251.82784738 81.091499, 21184.688747519394 6534254.60609031 81.041496, 21184.583778954227 6534254.854875265 81.036797, 21183.807122706203 6534256.681481028 81.002098, 21183.508605392708 6534257.376969913 80.988403, 21183.110806771496 6534258.298167551 80.9701, 21183.021165107784 6534258.504870258 80.966003, 21182.308111223916 6534260.138003846 80.932404, 21181.42467078165 6534262.134433161 80.889999, 21181.086742174404 6534262.890424 80.873398, 21179.932148083404 6534265.442370141 80.815903, 21179.844974788488 6534265.633126667 80.811401, 21179.793808910414 6534265.744973205 80.808899, 21179.00559278403 6534267.4566654805 80.769203, 21178.787998574087 6534267.925505976 80.7584, 21178.58251592284 6534268.366791978 80.7481, 21178.373940079706 6534268.813303248 80.737801, 21178.128809224756 6534269.336239759 80.725899, 21177.2996941327 6534271.090684755 80.688797, 21176.430804447446 6534272.906110588 80.655296, 21175.996301004663 6534273.805270176 80.640503, 21175.569101282454 6534274.6837806795 80.627296, 21174.699496185407 6534276.455493865 80.604103, 21174.672486726835 6534276.510165287 80.6035, 21173.54170019424 6534278.780804144 80.5811, 21173.32887267752 6534279.20416602 80.577797, 21172.93477951875 6534279.9848739 80.572403, 21172.040507937432 6534281.740919728 80.563797, 21171.964756953123 6534281.888684785 80.563301, 21171.229266228736 6534283.315722713 80.560097, 21171.138177652378 6534283.491490479 80.559998, 21170.684429761663 6534284.363888006 80.559898, 21170.580780925113 6534284.562460404 80.559998, 21170.227964198333 6534285.236290908 80.560997, 21170.114776914357 6534285.4518201845 80.561401, 21169.176661773818 6534287.225984728 80.568001, 21168.846026570478 6534287.846215913 80.571503, 21168.072374918323 6534289.287361839 80.582001, 21167.752620898886 6534289.878910179 80.586998, 21167.44461422146 6534290.446502582 80.591797, 21166.49902077223 6534292.175526944 80.6064, 21166.308713240956 6534292.521089272 80.609299, 21166.0237477349 6534293.037035116 80.613701, 21165.33504884405 6534294.276608204 80.624298, 21164.845036834653 6534295.152355881 80.631699, 21164.583606408676 6534295.617484431 80.635696, 21163.361657729314 6534297.772578304 80.654099, 21163.124669027282 6534298.186986021 80.6576, 21161.8586773235 6534300.381593014 80.676399, 21161.64705309132 6534300.745352089 80.679604, 21160.336168879934 6534302.979269401 80.698799, 21160.14974876819 6534303.294298106 80.7015, 21158.79422040662 6534305.565457787 80.7211, 21158.63391133462 6534305.831815156 80.723396, 21157.232922237774 6534308.139995054 80.7435, 21157.100249059033 6534308.356786129 80.745399, 21156.584332321945 6534309.196852093 80.752701, 21155.652356014005 6534310.702768722 80.7659, 21155.547261388914 6534310.871650021 80.767303, 21155.120935091865 6534311.554863807 80.7733, 21154.052615920373 6534313.2536141705 80.7882, 21153.975429288577 6534313.3756148135 80.789299, 21152.433790409064 6534315.792361459 80.8106, 21152.385699540435 6534315.867151957 80.811203, 21151.316046705004 6534317.521130746 80.825897, 21151.070176064095 6534317.898813399 80.829201, 21150.79562797252 6534318.319446909 80.832901, 21149.69340421469 6534319.996706219 80.8479, 21149.150358649145 6534320.816397804 80.855202, 21149.138975069218 6534320.833537685 80.855301, 21148.303548124037 6534322.085956816 80.866501, 21147.46353390219 6534323.335103309 80.877701, 21146.95026602695 6534324.093397601 80.884499, 21145.838023901393 6534325.723945232 80.899101, 21144.056674307154 6534328.300085149 80.922401, 21143.019320955675 6534329.780705089 80.935799, 21141.801840834436 6534331.500530712 80.95145, 21140.57524147909 6534333.214094031 80.967102, 21138.80734679126 6534335.650867336 80.989502, 21138.213346105593 6534336.461055912 80.996902, 21137.020719762542 6534338.07501538 81.011803, 21135.444551777735 6534340.182417999 81.031403, 21135.216015070677 6534340.485610786 81.034203, 21133.393951073173 6534342.881734214 81.056503, 21133.042683744745 6534343.339409035 81.060799, 21132.168532265758 6534344.472489277 81.071503, 21131.552961275505 6534345.265426852 81.078903, 21130.60870178172 6534346.473832586 81.090302, 21129.694864687568 6534347.634314133 81.101303, 21128.14279379259 6534349.585371606 81.119797, 21127.818554391793 6534349.989833893 81.123596, 21126.493859865062 6534351.631261011 81.139297, 21125.92684172932 6534352.330094251 81.146004, 21125.637579480826 6534352.686594566 81.149399, 21120.588650715945 6534358.909207061 81.209, 21119.6109585691 6534360.114178688 81.220497, 21118.498726501304 6534361.484967521 81.233704, 21118.06545337505 6534362.01895225 81.2388, 21117.002493947046 6534363.329013023 81.251297, 21116.3191111231 6534364.171249719 81.259399, 21114.708615486103 6534366.15613134 81.278397, 21114.55849461793 6534366.3411895875 81.280197, 21113.297838122817 6534367.898839345 81.295097, 21112.36760279932 6534369.052321865 81.306099, 21111.560862519487 6534370.055513486 81.315697, 21110.860260527406 6534370.929861606 81.325058, 21110.15990354895 6534371.803904609 81.336502, 21109.604631748807 6534372.499102328 81.347099, 21109.245658712927 6534372.949206843 81.354599, 21108.14344169048 6534374.337098325 81.381292, 21107.041557295306 6534375.724571466 81.4132, 21106.26702150138 6534376.708443349 81.438916, 21105.492156329798 6534377.692735236 81.467238, 21104.71729116334 6534378.67702715 81.498165, 21103.942914498446 6534379.660696875 81.5317, 21103.132377995702 6534380.697019997 81.569702, 21103.02759288106 6534380.83119928 81.574799, 21102.585237805964 6534381.39816062 81.597, 21100.863957348804 6534383.61231545 81.685303, 21099.968175305927 6534384.769682513 81.7314, 21098.88629433862 6534386.174734417 81.78873, 21097.80475922092 6534387.579336974 81.849197, 21097.195263762667 6534388.374618173 81.884804, 21096.890869998373 6534388.772419236 81.903, 21096.347001457238 6534389.484210816 81.936096, 21096.16257793852 6534389.725863046 81.947502, 21095.673974780133 6534390.366320786 81.978203, 21095.370577878144 6534390.76400673 81.997498, 21094.76257104287 6534391.560982606 82.037102, 21094.460999566014 6534391.956272967 82.057098, 21093.686033299833 6534392.9720858475 82.109703, 21093.545913767884 6534393.155528907 82.119301, 21093.25120160845 6534393.539956408 82.139702, 21092.93327278504 6534393.952514332 82.161903, 21092.31706766924 6534394.745898438 82.205498, 21092.035877265327 6534395.10525315 82.225601, 21091.07276122668 6534396.323428072 82.2957, 21090.807046481 6534396.656138776 82.3153, 21089.812367770355 6534397.88891631 82.3899, 21089.564924115315 6534398.192523194 82.408699, 21089.175990619697 6534398.667303229 82.438499, 21088.53598121152 6534399.442188468 82.488098, 21088.31096567324 6534399.7127623875 82.505699, 21087.244927197287 6534400.981675704 82.590401, 21087.044118313177 6534401.2183378115 82.606499, 21085.93813456531 6534402.508652639 82.696602, 21085.765870712232 6534402.707643657 82.7108, 21084.616146691726 6534404.022467839 82.8069, 21084.475770908815 6534404.181437921 82.818703, 21083.871493467945 6534404.861885857 82.870201, 21083.72002565296 6534405.031476995 82.883102, 21083.278690235282 6534405.523434084 82.920799, 21083.174153655127 6534405.639501022 82.929703, 21081.927094694285 6534407.010076039 83.0354, 21081.861042920675 6534407.081965321 83.040901, 21081.201422929007 6534407.796079851 83.096298, 21080.55992349639 6534408.483956483 83.149902, 21080.537524609186 6534408.507869599 83.151703, 21079.204500038177 6534409.916461151 83.262299, 21079.177993799618 6534409.944185911 83.264397, 21077.85923984286 6534411.310788578 83.372704, 21077.782014842436 6534411.390018943 83.378899, 21076.504113897565 6534412.688549466 83.482803, 21076.371636213793 6534412.821821668 83.4935, 21075.139380286157 6534414.049683595 83.592697, 21074.947046710004 6534414.239426487 83.608002, 21073.838163654204 6534415.323489571 83.696404, 21073.764089177886 6534415.395315685 83.702301, 21073.508295137028 6534415.642764515 83.722504, 21072.378342205833 6534416.725466111 83.811798, 21072.055607589602 6534417.031619937 83.837097, 21070.979494397878 6534418.0427442305 83.921204, 21070.589111215086 6534418.40588052 83.951599, 21069.56884626753 6534419.345906784 84.030701, 21069.10894541099 6534419.7654112475 84.066101, 21068.145818196062 6534420.635535053 84.140099, 21067.615248557588 6534421.110069142 84.180603, 21066.70977685065 6534421.912161604 84.249603, 21066.108192146174 6534422.439725192 84.295197, 21065.262356567953 6534423.174347966 84.359001, 21064.587907492532 6534423.754244409 84.409698, 21063.80295168725 6534424.422653484 84.468498, 21063.054559612356 6534425.053494555 84.5242, 21062.33089900168 6534425.657598371 84.577904, 21061.50813346362 6534426.337476547 84.638802, 21061.336282779987 6534426.478553096 84.651398, 21060.847840994888 6534426.877815876 84.687401, 21059.949271113554 6534427.60567085 84.753304, 21059.352505350544 6534428.08435062 84.796898, 21058.377633215394 6534428.858348159 84.867798, 21057.84565980645 6534429.276575075 84.906403, 21057.58648577181 6534429.479285091 84.925102, 21056.79310893052 6534430.09558224 84.982399, 21056.371480703703 6534430.420532219 85.012703, 21056.32697847049 6534430.454722845 85.0159, 21055.197185052675 6534431.316235408 85.096901, 21054.795701262017 6534431.6193547975 85.125504, 21054.393801139027 6534431.921215652 85.154198, 21053.7577697573 6534432.395717169 85.199402, 21053.588203884836 6534432.521563162 85.211403, 21053.249606186233 6534432.772031924 85.235199, 21052.77914037765 6534433.118229149 85.267799, 21051.967731324316 6534433.710390437 85.322899, 21051.68845667306 6534433.912769267 85.341499, 21050.33593653486 6534434.882601651 85.429298, 21050.11312725494 6534435.040746787 85.443398, 21048.692013018765 6534436.038789872 85.5308, 21048.522882160498 6534436.156359555 85.540901, 21047.036601744243 6534437.178490283 85.627197, 21046.918592114875 6534437.258805207 85.633797, 21045.36987196037 6534438.301572135 85.718597, 21045.299522741756 6534438.348442251 85.722298, 21043.69200342911 6534439.407931632 85.805, 21043.667435887153 6534439.42395236 85.806198, 21042.02090194018 6534440.486137502 85.885597, 21042.002097941877 6534440.4981321255 85.886398, 21040.36054047983 6534441.534436551 85.960297, 21040.302446121816 6534441.570706937 85.962799, 21038.68655369524 6534442.568573081 86.030403, 21038.592127546377 6534442.626235394 86.034103, 21036.99821488984 6534443.58884702 86.095802, 21036.871328324487 6534443.664615912 86.100502, 21035.297340831603 6534444.594021958 86.156502, 21035.150992308685 6534444.679465387 86.161499, 21033.584049570374 6534445.583930238 86.2145, 21033.399112966203 6534445.689437762 86.220703, 21032.860999253928 6534445.994987674 86.238899, 21031.857919441012 6534446.558696422 86.272598, 21031.647857995646 6534446.675795866 86.279602, 21030.119833860663 6534447.517712559 86.330704, 21029.886916620424 6534447.644530735 86.338501, 21028.370922042872 6534448.460269614 86.388901, 21028.116398766637 6534448.595601057 86.397301, 21027.541954539833 6534448.899288077 86.416397, 21027.490720736154 6534448.92626481 86.418098, 21026.607768758375 6534449.388120295 86.447304, 21026.33639764815 6534449.528945413 86.4562, 21024.832142434432 6534450.300132402 86.505798, 21024.54708001658 6534450.4444768345 86.515099, 21023.778358149226 6534450.830908888 86.540298, 21023.651011195907 6534450.894672675 86.544502, 21023.03023366694 6534451.208003503 86.565002, 21022.759804169706 6534451.345803105 86.573997, 21021.871995496564 6534451.803843355 86.603401, 21021.212624431122 6534452.149647493 86.6231, 21020.988906212966 6534452.268075044 86.629799, 21019.402231595654 6534453.12414375 86.677498, 21019.23208690819 6534453.217639333 86.682701, 21017.602243868925 6534454.130173701 86.732101, 21017.49009472312 6534454.194105354 86.735603, 21015.81244706636 6534455.168228527 86.792702, 21015.76331876451 6534455.197259726 86.794502, 21014.05052046373 6534456.227881037 86.853302, 21012.355424481328 6534457.283727368 86.912201, 21012.269220145245 6534457.338389769 86.915298, 21010.677543887054 6534458.365021559 86.9711, 21009.01564882981 6534459.47254715 87.029999, 21007.37103546952 6534460.605485867 87.088799, 21005.74403860391 6534461.763586793 87.147697, 21004.135049054166 6534462.946578727 87.206596, 21002.544452796807 6534464.154192099 87.265404, 21000.972623663896 6534465.386125546 87.324303, 20999.419929183554 6534466.642091627 87.383202, 20997.886734514148 6534467.921800194 87.442101, 20996.373423791956 6534469.224943513 87.5009, 20994.88032893819 6534470.551216463 87.559799, 20993.40763691283 6534471.900460774 87.618698, 20992.313897992834 6534472.929972177 87.663002, 20991.956619418284 6534473.271492442 87.677597, 20990.787762267573 6534474.4072421165 87.725601, 20990.52640566707 6534474.665137087 87.736397, 20989.270578805765 6534475.924961358 87.788803, 20989.11778142443 6534476.080623396 87.795303, 20987.80969575449 6534477.434976983 87.8508, 20987.73108552996 6534477.517629203 87.854202, 20986.365303101833 6534478.977268339 87.913101, 20985.02349343727 6534480.45628233 87.971901, 20984.93289184547 6534480.557812406 87.975998, 20983.704602110898 6534481.955736483 88.0308, 20983.532544381334 6534482.154822858 88.038597, 20982.408941477537 6534483.475306975 88.089699, 20982.15787147003 6534483.7753008995 88.101196, 20981.13680186536 6534485.014616179 88.148598, 20980.810479696433 6534485.41736898 88.163902, 20980.57631598349 6534485.70840874 88.174896, 20980.40034583531 6534485.9282540325 88.183197, 20979.888699360366 6534486.573083844 88.207397, 20979.490869513305 6534487.080316459 88.226402, 20978.664323160134 6534488.151053828 88.266296, 20978.201585149392 6534488.760713133 88.288902, 20977.464552560996 6534489.747434654 88.325203, 20976.943417849718 6534490.4570785975 88.351097, 20976.28947445302 6534491.362075775 88.384003, 20975.715897101618 6534492.169590134 88.4132, 20975.139378341264 6534492.99461686 88.442902, 20974.519150987908 6534493.897683678 88.475197, 20974.014529377397 6534494.644657222 88.501801, 20973.35383033933 6534495.639910891 88.537003, 20972.91518518416 6534496.311816357 88.560699, 20972.220000953996 6534497.395663112 88.598602, 20971.841588551062 6534497.9957479695 88.619499, 20971.19173406891 6534499.043566352 88.655899, 20971.11770631041 6534499.164354737 88.660103, 20970.79409122403 6534499.695882688 88.6782, 20970.046521254757 6534500.946154227 88.719299, 20969.77282191947 6534501.411993883 88.7341, 20969.00744728162 6534502.738821686 88.774696, 20968.77790804184 6534503.143923813 88.786697, 20968.355119942687 6534503.899053792 88.808403, 20968.001956506167 6534504.534803309 88.826202, 20967.01086480514 6534506.318917114 88.873596, 20966.022204571695 6534508.09864604 88.917397, 20965.036954217125 6534509.872242242 88.957703, 20963.90907128877 6534511.902584573 88.999603, 20963.074236385466 6534513.405412242 89.027702, 20962.096777243423 6534515.164988004 89.057602, 20961.336420978943 6534516.533737654 89.0784, 20960.148659953382 6534518.671869439 89.107002, 20959.0855241642 6534520.585675373 89.128304, 20959.041229917202 6534520.665405104 89.129097, 20954.173389583884 6534529.428237734 89.217796, 20949.30554053525 6534538.191061465 89.306396, 20944.43770094571 6534546.953884091 89.394997, 20941.21908416465 6534552.747874052 89.455708, 20941.38271996606 6534552.847478907 89.448961, 20942.539090096543 6534553.53739507 89.328462, 20943.577032605535 6534554.039422856 89.192015, 20944.19897170528 6534554.11960854 89.112668)</t>
  </si>
  <si>
    <t>POLYGON Z ((20944.54754685104 6534554.07964062 88.97631, 20945.00432502257 6534553.252005473 88.965359, 20946.215238837758 6534551.057953223 88.937737, 20948.637066588562 6534546.669848915 88.880096, 20953.48073124519 6534537.89362986 88.764801, 20958.324386727356 6534529.117414093 88.649498, 20959.821075399 6534526.4055559365 88.6138, 20961.494558959734 6534523.3733765865 88.572219, 20962.331300335354 6534521.857287519 88.548103, 20963.168042724952 6534520.341198358 88.5215, 20964.348873520037 6534518.201643237 88.479599, 20965.077037659124 6534516.819245918 88.464104, 20966.015119902557 6534515.041900107 88.441704, 20966.958162819967 6534513.263207614 88.416496, 20967.908067763317 6534511.484082793 88.388397, 20968.866409410664 6534509.706039516 88.357498, 20969.835702348384 6534507.929096317 88.3237, 20970.817399753607 6534506.1546148285 88.287003, 20971.813489570748 6534504.383673175 88.247597, 20972.825824364205 6534502.617357669 88.2052, 20973.85625824303 6534500.856822125 88.160103, 20974.906618659676 6534499.103249032 88.112, 20975.9787272049 6534497.357909533 88.061203, 20977.07434904657 6534495.622131505 88.007401, 20978.194845416467 6534493.897965388 87.951599, 20978.21738878294 6534493.8638878865 87.9506, 20979.34317627939 6534492.184960555 87.896103, 20980.519744214544 6534490.48662678 87.841103, 20981.726403308625 6534488.804252291 87.786598, 20982.579954204906 6534487.650221223 87.749199, 20982.746813229984 6534487.428040541 87.742104, 20982.974200213386 6534487.138615715 87.728203, 20984.27391441731 6534485.520240898 87.6511, 20985.603439407365 6534483.925049173 87.577904, 20986.961747095163 6534482.3542884495 87.508301, 20988.348395227687 6534480.808484067 87.442497, 20989.762904868112 6534479.288159003 87.380501, 20991.18840712402 6534477.810523861 87.3228, 20991.205651091645 6534477.792966238 87.322197, 20992.67368947959 6534476.325876752 87.267601, 20994.168985060474 6534474.884915686 87.216797, 20995.688642116787 6534473.472849729 87.169701, 20997.23641574639 6534472.086195144 87.126404, 20997.849476445117 6534471.550794269 87.110397, 20998.808910925232 6534470.728153237 87.086098, 21000.404618809524 6534469.399942323 87.046097, 21002.024144485185 6534468.101022321 87.006104, 21002.892665549647 6534467.4240464205 86.985001, 21003.681520224025 6534466.847983729 86.955101, 21005.37360345613 6534465.645142583 86.892303, 21007.077233633492 6534464.475900447 86.829903, 21008.794028402073 6534463.335719609 86.767998, 21010.522266004817 6534462.222567364 86.706596, 21012.260268098034 6534461.1343710935 86.645599, 21014.00650569983 6534460.069024972 86.585197, 21015.759506296134 6534459.024382619 86.525299, 21017.517888343486 6534457.99828199 86.465797, 21019.28032122244 6534456.988540398 86.406898, 21021.04555845185 6534455.992961391 86.348396, 21022.812385094818 6534455.009334368 86.290398, 21024.57999254018 6534454.035259436 86.232903, 21026.34643634298 6534453.068985954 86.175903, 21028.111075767665 6534452.10802793 86.1194, 21029.039054738125 6534451.603466618 86.089798, 21029.84838195471 6534451.12514303 86.0644, 21031.571947562217 6534450.105629708 86.010498, 21033.292356049118 6534449.085307812 85.956299, 21034.289287766675 6534448.492294892 85.924698, 21035.008573702828 6534448.063323019 85.901497, 21036.720090892748 6534447.038160903 85.843201, 21038.42643204995 6534446.008399701 85.780602, 21040.126003308338 6534444.973317215 85.713799, 21041.81833519414 6534443.931491934 85.642799, 21043.502607290808 6534442.881761354 85.567497, 21045.177926554985 6534441.8228611015 85.487999, 21046.843517783156 6534440.753848269 85.404198, 21048.49844168336 6534439.673507826 85.3162, 21050.141787886212 6534438.580748395 85.223999, 21051.772610413667 6534437.4745083945 85.127502, 21053.389949348522 6534436.353767439 85.026703, 21054.992808722774 6534435.21750773 84.9217, 21056.580102104053 6534434.064683598 84.8125, 21058.151599167148 6534432.893989513 84.698997, 21058.19654654694 6534432.860095755 84.695702, 21059.722899803368 6534431.723450908 84.598701, 21061.277485902305 6534430.5347523205 84.494904, 21062.81701253832 6534429.325778601 84.3871, 21063.318555952574 6534428.9249241175 84.3508, 21064.33976942429 6534428.097879892 84.2761, 21065.847371119366 6534426.849755664 84.165001, 21067.338546326733 6534425.582458495 84.053802, 21068.813242898555 6534424.296015258 83.942703, 21070.271222342504 6534422.990655474 83.831497, 21071.712235821236 6534421.666598871 83.720398, 21073.136052246904 6534420.324053819 83.6092, 21074.54241298698 6534418.963250388 83.498001, 21075.931651317107 6534417.583878243 83.386902, 21076.00531242066 6534417.509740221 83.380898, 21077.314285982517 6534416.195468041 83.286102, 21078.68170587253 6534414.78952394 83.185898, 21080.034857939347 6534413.365911912 83.085602, 21081.374587247556 6534411.925757957 82.985199, 21082.701687153487 6534410.470099678 82.884697, 21084.017203069874 6534409.000175944 82.784103, 21085.322151129192 6534407.516774611 82.683403, 21085.86469789117 6534406.893017463 82.641296, 21086.61683426547 6534406.021722469 82.583298, 21087.903170479403 6534404.514979818 82.486099, 21089.181584353733 6534402.998202294 82.392097, 21090.45324956969 6534401.4722324265 82.301399, 21091.71915190085 6534399.937992309 82.213997, 21092.980248281674 6534398.396882664 82.129898, 21094.238138522778 6534396.849094397 82.049004, 21095.493601108145 6534395.295968152 81.971298, 21096.747761375562 6534393.738450644 81.896896, 21098.00172856485 6534392.177465387 81.825798, 21098.696225306252 6534391.312209069 81.787804, 21099.256391276896 6534390.614194469 81.753868, 21100.825000308047 6534388.65971561 81.662326, 21102.393608361308 6534386.705236953 81.576003, 21103.96221742459 6534384.750758239 81.494896, 21105.530828112504 6534382.796276366 81.419006, 21105.63686568587 6534382.664158383 81.414062, 21111.805252449412 6534374.978378258 81.127258, 21114.925574286433 6534371.090476975 80.982201, 21118.04931068013 6534367.138811263 80.834396, 21118.13570837333 6534367.029523578 80.830299, 21118.173018893343 6534366.982321741 80.828499, 21118.81285753782 6534366.16628115 80.795601, 21119.481897419377 6534365.313268895 80.7612, 21120.523268199875 6534363.985450032 80.708298, 21121.758838345762 6534362.408394011 80.647299, 21122.994262525288 6534360.831524426 80.588303, 21124.227852603653 6534359.253918903 80.531303, 21125.45931573573 6534357.676465708 80.476196, 21126.688020603266 6534356.0970929675 80.423098, 21127.91628458671 6534354.518287892 80.372002, 21129.13971038122 6534352.936350371 80.322852, 21130.362575230014 6534351.355140349 80.275703, 21131.57943798491 6534349.769699442 80.230532, 21132.795963585202 6534348.18469675 80.187363, 21134.004722540325 6534346.595319586 80.14614, 21135.213242379134 6534345.006262009 80.106918, 21136.415293123573 6534343.4131625155 80.069672, 21137.612355344056 6534341.817399454 80.034386, 21139.3985472137 6534339.417446773 79.985176, 21139.99101660424 6534338.616019043 79.969757, 21141.168820929306 6534337.008247586 79.940398, 21142.34638888942 6534335.400801425 79.91304, 21143.51105958887 6534333.7855683165 79.887618, 21144.67590522277 6534332.170090603 79.864197, 21145.253456554317 6534331.360395237 79.853302, 21146.97641391086 6534328.9228589805 79.823303, 21148.115151505684 6534327.292438592 79.805801, 21149.24582752463 6534325.657114468 79.790298, 21150.367816760554 6534324.0171028385 79.776798, 21151.481370023102 6534322.371368217 79.765297, 21152.585311027244 6534320.7208762765 79.755699, 21153.680654914468 6534319.063517761 79.7481, 21154.7718551312 6534317.405680751 79.748001, 21156.39109920594 6534314.906919854 79.751602, 21157.98886897316 6534312.394374979 79.759697, 21159.041994348634 6534310.711874622 79.7677, 21159.56466493674 6534309.868835461 79.7724, 21161.119225408882 6534307.329118692 79.789497, 21162.651772837446 6534304.77647191 79.811096, 21164.16194547346 6534302.211536503 79.837196, 21165.65094158874 6534299.63224452 79.867897, 21167.117353892885 6534297.041037215 79.903, 21168.561666781374 6534294.437054414 79.94265, 21169.037813666044 6534293.566915816 79.956848, 21169.983179964067 6534291.8215628015 79.986786, 21171.382570759743 6534289.193353189 80.035423, 21172.759454847197 6534286.553088046 80.088562, 21173.213456159516 6534285.670255633 80.107292, 21173.66448304971 6534284.787000565 80.126488, 21173.754751632805 6534284.60947201 80.130402, 21174.56610713509 6534283.017250936 80.171303, 21175.45854495623 6534281.2430331865 80.218597, 21176.062970549858 6534280.027587946 80.251999, 21177.215757809347 6534277.678842917 80.317398, 21178.081343525148 6534275.889355053 80.366997, 21178.93844614626 6534274.095231479 80.416496, 21180.62955541571 6534270.492521138 80.515602, 21181.286502561532 6534269.070833333 80.554604, 21182.290679329424 6534266.874179764 80.613701, 21183.92514966865 6534263.2400174765 80.706703, 21185.535223075363 6534259.592116939 80.794296, 21186.33161684801 6534257.764020282 80.835999, 21187.123300433625 6534255.93232917 80.876404, 21188.692470333597 6534252.260989505 80.953201, 21190.244804466143 6534248.580441684 81.024498, 21191.783688623982 6534244.890847695 81.090401, 21193.31154224323 6534241.19378435 81.150803, 21194.07217598497 6534239.342990629 81.179001, 21194.830939814798 6534237.490831921 81.205902, 21196.34477911715 6534233.782770478 81.255501, 21197.85574167018 6534230.0708867125 81.299698, 21198.412297168106 6534228.702421817 81.314598, 21200.007453988714 6534224.738485602 81.343628, 21201.602610967937 6534220.774549538 81.3666, 21202.538170897926 6534218.449711737 81.377225, 21203.473731749866 6534216.124872871 81.385766, 21204.40929178853 6534213.800035173 81.392224, 21205.34485274891 6534211.475196409 81.396599, 21205.531908722536 6534211.01037085 81.397202, 21205.719074605615 6534210.545258414 81.397697, 21205.90619013866 6534210.080289843 81.398201, 21206.093304192706 6534209.615325504 81.398598, 21206.28041126777 6534209.1503539765 81.398903, 21206.46752532624 6534208.685389641 81.399101, 21206.654632405727 6534208.220418118 81.3992, 21206.841747949366 6534207.755449554 81.3992, 21207.02886201424 6534207.290485227 81.3992, 21207.215969100303 6534206.825513709 81.399101, 21207.403084650578 6534206.360545153 81.398903, 21207.590197981335 6534205.895582947 81.398598, 21207.71069457027 6534205.59613396 81.398399, 21207.73539148731 6534205.53476989 81.3983, 21207.77730581438 6534205.43060932 81.398201, 21207.964419890253 6534204.965645004 81.397797, 21208.15152698697 6534204.500673495 81.397202, 21208.33864254813 6534204.035704947 81.396599, 21208.52575663058 6534203.570740638 81.395897, 21208.712863733643 6534203.105769134 81.395103, 21208.899979301437 6534202.640800597 81.394203, 21209.087093390932 6534202.175836296 81.393303, 21209.274200500397 6534201.7108648 81.392197, 21209.46131459356 6534201.245900498 81.391098, 21209.648421707796 6534200.780929007 81.3899, 21209.7801475061 6534200.453599622 81.388603, 21209.795592429407 6534200.472446196 81.399464, 21209.33325197955 6534199.578130937 81.426572, 21208.92735873442 6534198.794992014 81.459774, 21208.55247305584 6534198.394868334 81.466521, 21207.92416807043 6534198.130117036 81.472281, 21207.474513082474 6534198.194052357 81.496966, 21207.4166819402 6534198.236120747 81.489474, 21207.36966446112 6534198.353035036 81.469902, 21207.182665859 6534198.818049269 81.471397, 21206.99566552462 6534199.283065748 81.472702, 21206.808665911143 6534199.74807203 81.473999, 21206.621658853895 6534200.213083313 81.475197, 21206.434660260566 6534200.6780975545 81.476402, 21206.247660188877 6534201.143116033 81.477402, 21206.060654618253 6534201.6081230845 81.478401, 21206.029359309585 6534201.685948441 81.4785, 21205.686653829587 6534202.538146994 81.480003, 21204.95696829603 6534204.3526367415 81.4823, 21204.9349093613 6534204.40748155 81.482399, 21204.910222238686 6534204.468882776 81.482399, 21204.789793954522 6534204.768352357 81.482697, 21204.60279436747 6534205.233358667 81.483002, 21204.41578646796 6534205.698371091 81.4832, 21204.22841197328 6534206.16431151 81.483398, 21204.04141340847 6534206.629325783 81.483398, 21203.85441310983 6534207.094342292 81.483398, 21203.667413533665 6534207.559348611 81.483299, 21203.480406512448 6534208.024359928 81.483101, 21203.29340795608 6534208.489374206 81.482803, 21203.106409402157 6534208.954388489 81.482498, 21202.91940763354 6534209.419409242 81.482002, 21202.732865933795 6534209.883252598 81.481499, 21202.545401671145 6534210.349423786 81.480904, 21201.956380748423 6534211.814121697 81.478401, 21201.94662653457 6534211.838389093 81.478401, 21200.376000744058 6534215.7440277655 81.467741, 21198.805375234457 6534219.649667585 81.451202, 21198.206591435184 6534221.13864324 81.443398, 21196.911793682317 6534224.358386991 81.423545, 21195.616996032884 6534227.578130838 81.399696, 21195.06571766094 6534228.9489951655 81.388298, 21194.466565881914 6534230.438887019 81.375099, 21193.877509331855 6534231.903683782 81.361298, 21193.570826670504 6534232.666301374 81.353798, 21192.450696331973 6534235.451724085 81.324402, 21192.07744098513 6534236.379890788 81.314003, 21191.331298375502 6534238.2352839215 81.292099, 21190.726540859847 6534239.739144817 81.273399, 21190.585541924404 6534240.089751654 81.268997, 21189.095139368204 6534243.795905953 81.218697, 21187.60586618929 6534247.499269614 81.163101, 21187.21647596266 6534248.467550222 81.147697, 21186.985512231768 6534249.04059882 81.138496, 21186.111168096424 6534251.187328026 81.102501, 21185.847481164732 6534251.82784738 81.091499, 21184.688747519394 6534254.60609031 81.041496, 21184.583778954227 6534254.854875265 81.036797, 21183.807122706203 6534256.681481028 81.002098, 21183.508605392708 6534257.376969913 80.988403, 21183.110806771496 6534258.298167551 80.9701, 21183.021165107784 6534258.504870258 80.966003, 21182.308111223916 6534260.138003846 80.932404, 21181.42467078165 6534262.134433161 80.889999, 21181.086742174404 6534262.890424 80.873398, 21179.932148083404 6534265.442370141 80.815903, 21179.844974788488 6534265.633126667 80.811401, 21179.793808910414 6534265.744973205 80.808899, 21179.00559278403 6534267.4566654805 80.769203, 21178.787998574087 6534267.925505976 80.7584, 21178.58251592284 6534268.366791978 80.7481, 21178.373940079706 6534268.813303248 80.737801, 21178.128809224756 6534269.336239759 80.725899, 21177.2996941327 6534271.090684755 80.688797, 21176.430804447446 6534272.906110588 80.655296, 21175.996301004663 6534273.805270176 80.640503, 21175.569101282454 6534274.6837806795 80.627296, 21174.699496185407 6534276.455493865 80.604103, 21174.672486726835 6534276.510165287 80.6035, 21173.54170019424 6534278.780804144 80.5811, 21173.32887267752 6534279.20416602 80.577797, 21172.93477951875 6534279.9848739 80.572403, 21172.040507937432 6534281.740919728 80.563797, 21171.964756953123 6534281.888684785 80.563301, 21171.229266228736 6534283.315722713 80.560097, 21171.138177652378 6534283.491490479 80.559998, 21170.684429761663 6534284.363888006 80.559898, 21170.580780925113 6534284.562460404 80.559998, 21170.227964198333 6534285.236290908 80.560997, 21170.114776914357 6534285.4518201845 80.561401, 21169.176661773818 6534287.225984728 80.568001, 21168.846026570478 6534287.846215913 80.571503, 21168.072374918323 6534289.287361839 80.582001, 21167.752620898886 6534289.878910179 80.586998, 21167.44461422146 6534290.446502582 80.591797, 21166.49902077223 6534292.175526944 80.6064, 21166.308713240956 6534292.521089272 80.609299, 21166.0237477349 6534293.037035116 80.613701, 21165.33504884405 6534294.276608204 80.624298, 21164.845036834653 6534295.152355881 80.631699, 21164.583606408676 6534295.617484431 80.635696, 21163.361657729314 6534297.772578304 80.654099, 21163.124669027282 6534298.186986021 80.6576, 21161.8586773235 6534300.381593014 80.676399, 21161.64705309132 6534300.745352089 80.679604, 21160.336168879934 6534302.979269401 80.698799, 21160.14974876819 6534303.294298106 80.7015, 21158.79422040662 6534305.565457787 80.7211, 21158.63391133462 6534305.831815156 80.723396, 21157.232922237774 6534308.139995054 80.7435, 21157.100249059033 6534308.356786129 80.745399, 21156.584332321945 6534309.196852093 80.752701, 21155.652356014005 6534310.702768722 80.7659, 21155.547261388914 6534310.871650021 80.767303, 21155.120935091865 6534311.554863807 80.7733, 21154.052615920373 6534313.2536141705 80.7882, 21153.975429288577 6534313.3756148135 80.789299, 21152.433790409064 6534315.792361459 80.8106, 21152.385699540435 6534315.867151957 80.811203, 21151.316046705004 6534317.521130746 80.825897, 21151.070176064095 6534317.898813399 80.829201, 21150.79562797252 6534318.319446909 80.832901, 21149.69340421469 6534319.996706219 80.8479, 21149.150358649145 6534320.816397804 80.855202, 21149.138975069218 6534320.833537685 80.855301, 21148.303548124037 6534322.085956816 80.866501, 21147.46353390219 6534323.335103309 80.877701, 21146.95026602695 6534324.093397601 80.884499, 21145.838023901393 6534325.723945232 80.899101, 21144.056674307154 6534328.300085149 80.922401, 21143.019320955675 6534329.780705089 80.935799, 21141.801840834436 6534331.500530712 80.95145, 21140.57524147909 6534333.214094031 80.967102, 21138.80734679126 6534335.650867336 80.989502, 21138.213346105593 6534336.461055912 80.996902, 21137.020719762542 6534338.07501538 81.011803, 21135.444551777735 6534340.182417999 81.031403, 21135.216015070677 6534340.485610786 81.034203, 21133.393951073173 6534342.881734214 81.056503, 21133.042683744745 6534343.339409035 81.060799, 21132.168532265758 6534344.472489277 81.071503, 21131.552961275505 6534345.265426852 81.078903, 21130.60870178172 6534346.473832586 81.090302, 21129.694864687568 6534347.634314133 81.101303, 21128.14279379259 6534349.585371606 81.119797, 21127.818554391793 6534349.989833893 81.123596, 21126.493859865062 6534351.631261011 81.139297, 21125.92684172932 6534352.330094251 81.146004, 21125.637579480826 6534352.686594566 81.149399, 21120.588650715945 6534358.909207061 81.209, 21119.6109585691 6534360.114178688 81.220497, 21118.498726501304 6534361.484967521 81.233704, 21118.06545337505 6534362.01895225 81.2388, 21117.002493947046 6534363.329013023 81.251297, 21116.3191111231 6534364.171249719 81.259399, 21114.708615486103 6534366.15613134 81.278397, 21114.55849461793 6534366.3411895875 81.280197, 21113.297838122817 6534367.898839345 81.295097, 21112.36760279932 6534369.052321865 81.306099, 21111.560862519487 6534370.055513486 81.315697, 21110.860260527406 6534370.929861606 81.325058, 21110.15990354895 6534371.803904609 81.336502, 21109.604631748807 6534372.499102328 81.347099, 21109.245658712927 6534372.949206843 81.354599, 21108.14344169048 6534374.337098325 81.381292, 21107.041557295306 6534375.724571466 81.4132, 21106.26702150138 6534376.708443349 81.438916, 21105.492156329798 6534377.692735236 81.467238, 21104.71729116334 6534378.67702715 81.498165, 21103.942914498446 6534379.660696875 81.5317, 21103.132377995702 6534380.697019997 81.569702, 21103.02759288106 6534380.83119928 81.574799, 21102.585237805964 6534381.39816062 81.597, 21100.863957348804 6534383.61231545 81.685303, 21099.968175305927 6534384.769682513 81.7314, 21098.88629433862 6534386.174734417 81.78873, 21097.80475922092 6534387.579336974 81.849197, 21097.195263762667 6534388.374618173 81.884804, 21096.890869998373 6534388.772419236 81.903, 21096.347001457238 6534389.484210816 81.936096, 21096.16257793852 6534389.725863046 81.947502, 21095.673974780133 6534390.366320786 81.978203, 21095.370577878144 6534390.76400673 81.997498, 21094.76257104287 6534391.560982606 82.037102, 21094.460999566014 6534391.956272967 82.057098, 21093.686033299833 6534392.9720858475 82.109703, 21093.545913767884 6534393.155528907 82.119301, 21093.25120160845 6534393.539956408 82.139702, 21092.93327278504 6534393.952514332 82.161903, 21092.31706766924 6534394.745898438 82.205498, 21092.035877265327 6534395.10525315 82.225601, 21091.07276122668 6534396.323428072 82.2957, 21090.807046481 6534396.656138776 82.3153, 21089.812367770355 6534397.88891631 82.3899, 21089.564924115315 6534398.192523194 82.408699, 21089.175990619697 6534398.667303229 82.438499, 21088.53598121152 6534399.442188468 82.488098, 21088.31096567324 6534399.7127623875 82.505699, 21087.244927197287 6534400.981675704 82.590401, 21087.044118313177 6534401.2183378115 82.606499, 21085.93813456531 6534402.508652639 82.696602, 21085.765870712232 6534402.707643657 82.7108, 21084.616146691726 6534404.022467839 82.8069, 21084.475770908815 6534404.181437921 82.818703, 21083.871493467945 6534404.861885857 82.870201, 21083.72002565296 6534405.031476995 82.883102, 21083.278690235282 6534405.523434084 82.920799, 21083.174153655127 6534405.639501022 82.929703, 21081.927094694285 6534407.010076039 83.0354, 21081.861042920675 6534407.081965321 83.040901, 21081.201422929007 6534407.796079851 83.096298, 21080.55992349639 6534408.483956483 83.149902, 21080.537524609186 6534408.507869599 83.151703, 21079.204500038177 6534409.916461151 83.262299, 21079.177993799618 6534409.944185911 83.264397, 21077.85923984286 6534411.310788578 83.372704, 21077.782014842436 6534411.390018943 83.378899, 21076.504113897565 6534412.688549466 83.482803, 21076.371636213793 6534412.821821668 83.4935, 21075.139380286157 6534414.049683595 83.592697, 21074.947046710004 6534414.239426487 83.608002, 21073.838163654204 6534415.323489571 83.696404, 21073.764089177886 6534415.395315685 83.702301, 21073.508295137028 6534415.642764515 83.722504, 21072.378342205833 6534416.725466111 83.811798, 21072.055607589602 6534417.031619937 83.837097, 21070.979494397878 6534418.0427442305 83.921204, 21070.589111215086 6534418.40588052 83.951599, 21069.56884626753 6534419.345906784 84.030701, 21069.10894541099 6534419.7654112475 84.066101, 21068.145818196062 6534420.635535053 84.140099, 21067.615248557588 6534421.110069142 84.180603, 21066.70977685065 6534421.912161604 84.249603, 21066.108192146174 6534422.439725192 84.295197, 21065.262356567953 6534423.174347966 84.359001, 21064.587907492532 6534423.754244409 84.409698, 21063.80295168725 6534424.422653484 84.468498, 21063.054559612356 6534425.053494555 84.5242, 21062.33089900168 6534425.657598371 84.577904, 21061.50813346362 6534426.337476547 84.638802, 21061.336282779987 6534426.478553096 84.651398, 21060.847840994888 6534426.877815876 84.687401, 21059.949271113554 6534427.60567085 84.753304, 21059.352505350544 6534428.08435062 84.796898, 21058.377633215394 6534428.858348159 84.867798, 21057.84565980645 6534429.276575075 84.906403, 21057.58648577181 6534429.479285091 84.925102, 21056.79310893052 6534430.09558224 84.982399, 21056.371480703703 6534430.420532219 85.012703, 21056.32697847049 6534430.454722845 85.0159, 21055.197185052675 6534431.316235408 85.096901, 21054.795701262017 6534431.6193547975 85.125504, 21054.393801139027 6534431.921215652 85.154198, 21053.7577697573 6534432.395717169 85.199402, 21053.588203884836 6534432.521563162 85.211403, 21053.249606186233 6534432.772031924 85.235199, 21052.77914037765 6534433.118229149 85.267799, 21051.967731324316 6534433.710390437 85.322899, 21051.68845667306 6534433.912769267 85.341499, 21050.33593653486 6534434.882601651 85.429298, 21050.11312725494 6534435.040746787 85.443398, 21048.692013018765 6534436.038789872 85.5308, 21048.522882160498 6534436.156359555 85.540901, 21047.036601744243 6534437.178490283 85.627197, 21046.918592114875 6534437.258805207 85.633797, 21045.36987196037 6534438.301572135 85.718597, 21045.299522741756 6534438.348442251 85.722298, 21043.69200342911 6534439.407931632 85.805, 21043.667435887153 6534439.42395236 85.806198, 21042.02090194018 6534440.486137502 85.885597, 21042.002097941877 6534440.4981321255 85.886398, 21040.36054047983 6534441.534436551 85.960297, 21040.302446121816 6534441.570706937 85.962799, 21038.68655369524 6534442.568573081 86.030403, 21038.592127546377 6534442.626235394 86.034103, 21036.99821488984 6534443.58884702 86.095802, 21036.871328324487 6534443.664615912 86.100502, 21035.297340831603 6534444.594021958 86.156502, 21035.150992308685 6534444.679465387 86.161499, 21033.584049570374 6534445.583930238 86.2145, 21033.399112966203 6534445.689437762 86.220703, 21032.860999253928 6534445.994987674 86.238899, 21031.857919441012 6534446.558696422 86.272598, 21031.647857995646 6534446.675795866 86.279602, 21030.119833860663 6534447.517712559 86.330704, 21029.886916620424 6534447.644530735 86.338501, 21028.370922042872 6534448.460269614 86.388901, 21028.116398766637 6534448.595601057 86.397301, 21027.541954539833 6534448.899288077 86.416397, 21027.490720736154 6534448.92626481 86.418098, 21026.607768758375 6534449.388120295 86.447304, 21026.33639764815 6534449.528945413 86.4562, 21024.832142434432 6534450.300132402 86.505798, 21024.54708001658 6534450.4444768345 86.515099, 21023.778358149226 6534450.830908888 86.540298, 21023.651011195907 6534450.894672675 86.544502, 21023.03023366694 6534451.208003503 86.565002, 21022.759804169706 6534451.345803105 86.573997, 21021.871995496564 6534451.803843355 86.603401, 21021.212624431122 6534452.149647493 86.6231, 21020.988906212966 6534452.268075044 86.629799, 21019.402231595654 6534453.12414375 86.677498, 21019.23208690819 6534453.217639333 86.682701, 21017.602243868925 6534454.130173701 86.732101, 21017.49009472312 6534454.194105354 86.735603, 21015.81244706636 6534455.168228527 86.792702, 21015.76331876451 6534455.197259726 86.794502, 21014.05052046373 6534456.227881037 86.853302, 21012.355424481328 6534457.283727368 86.912201, 21012.269220145245 6534457.338389769 86.915298, 21010.677543887054 6534458.365021559 86.9711, 21009.01564882981 6534459.47254715 87.029999, 21007.37103546952 6534460.605485867 87.088799, 21005.74403860391 6534461.763586793 87.147697, 21004.135049054166 6534462.946578727 87.206596, 21002.544452796807 6534464.154192099 87.265404, 21000.972623663896 6534465.386125546 87.324303, 20999.419929183554 6534466.642091627 87.383202, 20997.886734514148 6534467.921800194 87.442101, 20996.373423791956 6534469.224943513 87.5009, 20994.88032893819 6534470.551216463 87.559799, 20993.40763691283 6534471.900460774 87.618698, 20992.313897992834 6534472.929972177 87.663002, 20991.956619418284 6534473.271492442 87.677597, 20990.787762267573 6534474.4072421165 87.725601, 20990.52640566707 6534474.665137087 87.736397, 20989.270578805765 6534475.924961358 87.788803, 20989.11778142443 6534476.080623396 87.795303, 20987.80969575449 6534477.434976983 87.8508, 20987.73108552996 6534477.517629203 87.854202, 20986.365303101833 6534478.977268339 87.913101, 20985.02349343727 6534480.45628233 87.971901, 20984.93289184547 6534480.557812406 87.975998, 20983.704602110898 6534481.955736483 88.0308, 20983.532544381334 6534482.154822858 88.038597, 20982.408941477537 6534483.475306975 88.089699, 20982.15787147003 6534483.7753008995 88.101196, 20981.13680186536 6534485.014616179 88.148598, 20980.810479696433 6534485.41736898 88.163902, 20980.57631598349 6534485.70840874 88.174896, 20980.40034583531 6534485.9282540325 88.183197, 20979.888699360366 6534486.573083844 88.207397, 20979.490869513305 6534487.080316459 88.226402, 20978.664323160134 6534488.151053828 88.266296, 20978.201585149392 6534488.760713133 88.288902, 20977.464552560996 6534489.747434654 88.325203, 20976.943417849718 6534490.4570785975 88.351097, 20976.28947445302 6534491.362075775 88.384003, 20975.715897101618 6534492.169590134 88.4132, 20975.139378341264 6534492.99461686 88.442902, 20974.519150987908 6534493.897683678 88.475197, 20974.014529377397 6534494.644657222 88.501801, 20973.35383033933 6534495.639910891 88.537003, 20972.91518518416 6534496.311816357 88.560699, 20972.220000953996 6534497.395663112 88.598602, 20971.841588551062 6534497.9957479695 88.619499, 20971.19173406891 6534499.043566352 88.655899, 20971.11770631041 6534499.164354737 88.660103, 20970.79409122403 6534499.695882688 88.6782, 20970.046521254757 6534500.946154227 88.719299, 20969.77282191947 6534501.411993883 88.7341, 20969.00744728162 6534502.738821686 88.774696, 20968.77790804184 6534503.143923813 88.786697, 20968.355119942687 6534503.899053792 88.808403, 20968.001956506167 6534504.534803309 88.826202, 20967.01086480514 6534506.318917114 88.873596, 20966.022204571695 6534508.09864604 88.917397, 20965.036954217125 6534509.872242242 88.957703, 20963.90907128877 6534511.902584573 88.999603, 20963.074236385466 6534513.405412242 89.027702, 20962.096777243423 6534515.164988004 89.057602, 20961.336420978943 6534516.533737654 89.0784, 20960.148659953382 6534518.671869439 89.107002, 20959.0855241642 6534520.585675373 89.128304, 20959.041229917202 6534520.665405104 89.129097, 20954.173389583884 6534529.428237734 89.217796, 20949.30554053525 6534538.191061465 89.306396, 20944.43770094571 6534546.953884091 89.394997, 20941.21908416465 6534552.747874052 89.455708, 20941.38271996606 6534552.847478907 89.448961, 20942.539090096543 6534553.53739507 89.328462, 20943.577032605535 6534554.039422856 89.192015, 20944.19897170528 6534554.11960854 89.112668, 20944.54754685104 6534554.07964062 88.97631))</t>
  </si>
  <si>
    <t>['FV468 S1D1 m1341-1343']</t>
  </si>
  <si>
    <t>LINESTRING Z (21223.63227329345 6533688.094796514 73.85, 21223.864195647242 6533687.956318849 73.855551, 21224.938287200697 6533686.393492283 73.817929, 21225.34833766939 6533685.40243415 73.845031, 21225.496280268824 6533684.300866047 73.890632, 21225.135473209084 6533682.400836064 73.795218, 21223.8797777649 6533678.083489408 73.721661, 21222.689308629313 6533674.117135199 73.660042, 21221.49580265995 6533670.193298069 73.586494, 21220.611526285473 6533667.002385048 73.590958, 21219.95261006005 6533665.578879844 73.51649, 21219.528047982603 6533664.755846086 73.480056, 21219.002000598528 6533663.922144414 73.408275, 21218.3544238772 6533663.18904257 73.399666, 21217.569196425728 6533662.4481218625 73.373515, 21217.459937289474 6533662.453724678 73.376633, 21217.730419784493 6533663.292741188 73.38562, 21218.312655625865 6533665.079779172 73.46858, 21219.247554352856 6533667.915107074 73.511685, 21220.39050054364 6533671.640451106 73.562698, 21221.227383899502 6533674.591574036 73.605645, 21222.23304417933 6533678.518386448 73.668755, 21222.799644824583 6533681.85052282 73.705826, 21223.067464838037 6533684.771255472 73.794573, 21223.29390737263 6533686.3546891995 73.842973)</t>
  </si>
  <si>
    <t>POLYGON Z ((21223.63227329345 6533688.094796514 73.85, 21223.864195647242 6533687.956318849 73.855551, 21224.938287200697 6533686.393492283 73.817929, 21225.34833766939 6533685.40243415 73.845031, 21225.496280268824 6533684.300866047 73.890632, 21225.135473209084 6533682.400836064 73.795218, 21223.8797777649 6533678.083489408 73.721661, 21222.689308629313 6533674.117135199 73.660042, 21221.49580265995 6533670.193298069 73.586494, 21220.611526285473 6533667.002385048 73.590958, 21219.95261006005 6533665.578879844 73.51649, 21219.528047982603 6533664.755846086 73.480056, 21219.002000598528 6533663.922144414 73.408275, 21218.3544238772 6533663.18904257 73.399666, 21217.569196425728 6533662.4481218625 73.373515, 21217.459937289474 6533662.453724678 73.376633, 21217.730419784493 6533663.292741188 73.38562, 21218.312655625865 6533665.079779172 73.46858, 21219.247554352856 6533667.915107074 73.511685, 21220.39050054364 6533671.640451106 73.562698, 21221.227383899502 6533674.591574036 73.605645, 21222.23304417933 6533678.518386448 73.668755, 21222.799644824583 6533681.85052282 73.705826, 21223.067464838037 6533684.771255472 73.794573, 21223.29390737263 6533686.3546891995 73.842973, 21223.63227329345 6533688.094796514 73.85))</t>
  </si>
  <si>
    <t>['FV468 S1D1 m1056-1057']</t>
  </si>
  <si>
    <t>LINESTRING Z (21074.89007276477 6533449.230046518 70.2897, 21073.880104830547 6533448.023911595 70.283437, 21071.449476743757 6533445.559779049 70.242397, 21068.72321373166 6533442.895058472 70.23391, 21065.947895323276 6533440.238511429 70.223277, 21063.29075193178 6533437.8438889375 70.19185, 21060.557106503635 6533435.4487138605 70.179325, 21056.968278397282 6533432.350560693 70.129749, 21053.713671287347 6533429.58041882 70.095783, 21051.619627134525 6533427.7194452435 70.122389, 21050.974793336354 6533427.265298456 70.10623, 21049.96153899684 6533426.516068557 70.04921, 21049.4134584805 6533426.46806424 70.0095, 21048.757108889986 6533426.542354958 70.004957, 21048.403608599154 6533426.6874946505 69.970704, 21048.23264859774 6533426.928107038 69.962174, 21048.229616047116 6533426.946229188 69.970401, 21048.51751142007 6533427.753114138 69.981771, 21048.896614761732 6533428.284791561 69.948949, 21049.259559787984 6533428.735292995 69.974497, 21049.743933740654 6533429.158702488 70.012949, 21050.30005686218 6533429.580540605 70.017144, 21051.65193090937 6533430.407421066 70.030014, 21052.784957692144 6533431.109995064 69.997136, 21053.84451116703 6533431.842829543 70.006359, 21056.173196055344 6533433.575064101 70.027615, 21058.311246055702 6533435.280629279 70.040415, 21060.742467872507 6533437.359537997 70.044416, 21063.427406002476 6533439.724003028 70.057869, 21065.492117751914 6533441.607662878 70.07132, 21067.68442319025 6533443.767698405 70.11868, 21070.138879075705 6533446.189153006 70.137946, 21073.050296260568 6533449.208195745 70.188297, 21075.39017466153 6533451.5939695835 70.22673, 21076.870365648763 6533453.1549133435 70.253528, 21076.950048930594 6533453.059373282 70.263249, 21076.64742192789 6533452.254350931 70.284535, 21076.142504028336 6533451.197733778 70.294295, 21075.632447757875 6533450.2293978045 70.311436)</t>
  </si>
  <si>
    <t>POLYGON Z ((21074.89007276477 6533449.230046518 70.2897, 21073.880104830547 6533448.023911595 70.283437, 21071.449476743757 6533445.559779049 70.242397, 21068.72321373166 6533442.895058472 70.23391, 21065.947895323276 6533440.238511429 70.223277, 21063.29075193178 6533437.8438889375 70.19185, 21060.557106503635 6533435.4487138605 70.179325, 21056.968278397282 6533432.350560693 70.129749, 21053.713671287347 6533429.58041882 70.095783, 21051.619627134525 6533427.7194452435 70.122389, 21050.974793336354 6533427.265298456 70.10623, 21049.96153899684 6533426.516068557 70.04921, 21049.4134584805 6533426.46806424 70.0095, 21048.757108889986 6533426.542354958 70.004957, 21048.403608599154 6533426.6874946505 69.970704, 21048.23264859774 6533426.928107038 69.962174, 21048.229616047116 6533426.946229188 69.970401, 21048.51751142007 6533427.753114138 69.981771, 21048.896614761732 6533428.284791561 69.948949, 21049.259559787984 6533428.735292995 69.974497, 21049.743933740654 6533429.158702488 70.012949, 21050.30005686218 6533429.580540605 70.017144, 21051.65193090937 6533430.407421066 70.030014, 21052.784957692144 6533431.109995064 69.997136, 21053.84451116703 6533431.842829543 70.006359, 21056.173196055344 6533433.575064101 70.027615, 21058.311246055702 6533435.280629279 70.040415, 21060.742467872507 6533437.359537997 70.044416, 21063.427406002476 6533439.724003028 70.057869, 21065.492117751914 6533441.607662878 70.07132, 21067.68442319025 6533443.767698405 70.11868, 21070.138879075705 6533446.189153006 70.137946, 21073.050296260568 6533449.208195745 70.188297, 21075.39017466153 6533451.5939695835 70.22673, 21076.870365648763 6533453.1549133435 70.253528, 21076.950048930594 6533453.059373282 70.263249, 21076.64742192789 6533452.254350931 70.284535, 21076.142504028336 6533451.197733778 70.294295, 21075.632447757875 6533450.2293978045 70.311436, 21074.89007276477 6533449.230046518 70.2897))</t>
  </si>
  <si>
    <t>['FV468 S1D1 m1819-1862']</t>
  </si>
  <si>
    <t>LINESTRING Z (21213.215954404383 6534191.915722566 81.351097, 21213.390665360144 6534191.481577688 81.348198, 21213.57777950121 6534191.01661343 81.345299, 21213.764886662946 6534190.551641986 81.342201, 21213.95200228953 6534190.086673505 81.339104, 21214.139116437233 6534189.6217092555 81.335899, 21214.32622360572 6534189.156737818 81.332603, 21214.513337757846 6534188.691773572 81.329201, 21214.700444930815 6534188.226802141 81.325798, 21214.887560568226 6534187.76183367 81.322197, 21215.07467472687 6534187.296869431 81.318604, 21215.261781905894 6534186.831898001 81.314903, 21215.448897549883 6534186.366929538 81.311096, 21215.63601171522 6534185.901965309 81.307198, 21215.82311890088 6534185.436993887 81.303299, 21216.01023307076 6534184.972029659 81.299202, 21216.197340260667 6534184.507058241 81.295097, 21216.384455915424 6534184.042089786 81.290901, 21216.571570091764 6534183.577125569 81.286598, 21216.758677287784 6534183.112154151 81.282204, 21216.9457929497 6534182.647185709 81.277802, 21217.13290948025 6534182.182216138 81.273201, 21217.175128356437 6534182.077306307 81.272202, 21217.200640335912 6534182.013912106 81.271599, 21217.32001433539 6534181.717250087 81.2686, 21217.50712852215 6534181.252285876 81.263901, 21217.69423572981 6534180.787314475 81.259102, 21217.881351402088 6534180.322346038 81.254204, 21218.068465595425 6534179.857381835 81.249298, 21218.25557280978 6534179.392410442 81.244301, 21218.44268848846 6534178.927442009 81.239098, 21218.629802688607 6534178.462477813 81.233902, 21218.816909909132 6534177.997506423 81.2286, 21219.00402559439 6534177.532538001 81.223297, 21219.19113980094 6534177.06757381 81.217796, 21219.378247028042 6534176.602602427 81.212303, 21219.565361238667 6534176.137638237 81.206596, 21219.752784969343 6534175.671884718 81.200897, 21219.939584166452 6534175.207698446 81.195099, 21220.12669838406 6534174.742734267 81.189301, 21220.313804881356 6534174.277765009 81.183296, 21220.801816721214 6534173.065080983 81.167397, 21221.38996364671 6534171.587453251 81.143799, 21221.800814050308 6534170.555207175 81.126801, 21223.282150194747 6534166.830963536 81.062103, 21224.021622731118 6534164.969248545 81.027702, 21224.759704305907 6534163.107648498 80.991898, 21226.2309997431 6534159.384060381 80.916298, 21227.693810437864 6534155.659440465 80.835403, 21229.14557764359 6534151.9328067405 80.748901, 21230.584182428138 6534148.203147319 80.657097, 21231.297652666573 6534146.337075943 80.6092, 21232.006775186514 6534144.470273199 80.559898, 21233.411564405193 6534140.732048401 80.457199, 21234.79570034973 6534136.989137849 80.349098, 21236.156805456325 6534133.24018978 80.235603, 21237.492705429264 6534129.484368138 80.116699, 21238.150064478454 6534127.604490226 80.055199, 21238.80038363411 6534125.722083263 79.992302, 21239.47283082304 6534123.750200535 79.925102, 21239.76516939461 6534122.8950888505 79.900803, 21240.720153779665 6534120.06491852 79.818604, 21241.34686408 6534118.175856606 79.7621, 21241.65737814759 6534117.230182122 79.733398, 21242.577436108375 6534114.389133462 79.645103, 21243.479997263174 6534111.542754513 79.553902, 21244.36512205546 6534108.690909223 79.459602, 21245.232765360735 6534105.833695302 79.362396, 21246.08290012018 6534102.971225344 79.2621, 21246.91556996084 6534100.10335029 79.158798, 21247.188986514055 6534099.1470867535 79.123703, 21247.730491872237 6534097.231059198 79.052498, 21248.527945417736 6534094.353328075 78.943199, 21249.307763991703 6534091.470775416 78.831001, 21249.817709952826 6534089.5468927 78.754402, 21250.06979198719 6534088.583995067 78.715698, 21250.81429310137 6534085.691981227 78.597397, 21251.541043118108 6534082.79557398 78.475998, 21251.97952969413 6534081.010676369 78.399803, 21252.249925994023 6534079.895281287 78.351898, 21252.941178346402 6534076.990106862 78.227203, 21253.614575195417 6534074.080979807 78.1026, 21254.270209716342 6534071.16753758 77.977898, 21254.484796282253 6534070.195485095 77.936302, 21257.645333988767 6534055.907874882 77.059878, 21259.762601003516 6534045.636961848 76.743352, 21261.39095714147 6534036.907596429 76.515752, 21262.707916468906 6534027.476929247 76.227107, 21263.739928267372 6534019.491158864 76.004787, 21264.277329690056 6534012.683355302 75.942366, 21264.909727805003 6534003.394643166 75.763078, 21265.578907660267 6533991.639189263 75.691545, 21266.000112051202 6533977.75697163 75.567275, 21266.148922058346 6533967.965258358 75.436301, 21266.024314203183 6533955.324962609 75.448863, 21265.673849434417 6533942.132221124 75.418602, 21265.321898450435 6533941.792260283 75.485113, 21264.85350781103 6533941.54596641 75.458804, 21263.98343559669 6533941.505196536 75.429874, 21263.176598995924 6533941.519674045 75.416449, 21262.92858416005 6533941.533643282 75.450285, 21262.98184386827 6533943.212745906 75.452157, 21263.069416318263 6533945.973637004 75.4636, 21263.142393103743 6533948.470570075 75.480499, 21263.159016539983 6533949.107700128 75.485802, 21263.19201454002 6533950.476866796 75.497597, 21263.21381790552 6533951.48054558 75.506302, 21263.26716959523 6533954.48954999 75.532303, 21263.302483468433 6533957.4995776415 75.558296, 21263.319729552837 6533960.509768349 75.584198, 21263.31890628347 6533963.519999032 75.610199, 21263.30003007874 6533966.530176648 75.6362, 21263.26309810544 6533969.539930688 75.662201, 21263.246758483816 6533970.543963471 75.670898, 21263.20809635357 6533972.550038036 75.688202, 21263.13504251832 6533975.559133207 75.714203, 21263.076302903937 6533977.565475809 75.731499, 21263.04391452478 6533978.568618625 75.740196, 21262.973156310327 6533980.573937767 75.7575, 21262.934739862452 6533981.577118462 75.766197, 21262.807566392003 6533984.583915194 75.792198, 21262.662334063032 6533987.59039082 75.8181, 21262.609867208812 6533988.593184363 75.826797, 21262.4990265214 6533990.596567645 75.844101, 21262.317710289848 6533993.601209368 75.870102, 21262.118366959097 6533996.604836754 75.896103, 21261.901028328284 6533999.606962698 75.922096, 21261.824513523665 6534000.608210935 75.930801, 21261.665629699477 6534002.608283649 75.948097, 21261.64630055765 6534002.84493728 75.950104, 21261.412256631593 6534005.607807438 75.976601, 21261.14090180496 6534008.605635059 76.011101, 21260.94996806333 6534010.603730809 76.037498, 21260.8514675778 6534011.602798609 76.051697, 21260.544228042767 6534014.596560909 76.098198, 21260.21894511691 6534017.589165445 76.150703, 21259.87570575555 6534020.579773481 76.209198, 21259.514543449914 6534023.568259478 76.273804, 21259.135446373664 6534026.554522884 76.344299, 21258.738475055492 6534029.538222496 76.420799, 21258.60205649055 6534030.533073272 76.447701, 21258.323525974585 6534032.520091037 76.503403, 21257.890753788117 6534035.498933506 76.591904, 21257.440131603566 6534038.475117127 76.686501, 21257.12972340529 6534040.458174513 76.752899, 21256.97148929903 6534041.449533701 76.787102, 21256.48528420058 6534044.419480262 76.8937, 21255.981139228796 6534047.387203884 77.006302, 21255.459191247122 6534050.351837235 77.124901, 21254.919479943812 6534053.31329541 77.249496, 21254.362043570378 6534056.271228941 77.380096, 21254.149802381115 6534057.372483048 77.430298, 21253.786728761566 6534059.226470893 77.515602, 21253.59099845396 6534060.210862104 77.560898, 21253.193816794315 6534062.177606976 77.651497, 21252.583208760072 6534065.1251369035 77.787399, 21251.954942995042 6534068.0688860165 77.923302, 21251.62789042777 6534069.56798113 77.9925, 21251.526196276478 6534070.029694436 78.013901, 21251.414544367464 6534070.534243534 78.037201, 21251.30880755058 6534071.009774686 78.059196, 21250.762942755304 6534073.430957883 78.171204, 21250.645220564562 6534073.945948747 78.195099, 21250.094449920405 6534076.32279515 78.305199, 21249.96406193159 6534076.877931844 78.330902, 21249.5572442463 6534078.59203133 78.4105, 21249.408856918977 6534079.210635918 78.439102, 21249.26535344124 6534079.805641359 78.466599, 21249.140716574097 6534080.319867751 78.490196, 21248.705952524033 6534082.095342876 78.571098, 21248.548918773595 6534082.729833458 78.599701, 21247.986231311166 6534084.974861105 78.699997, 21247.815062942682 6534085.6492323 78.729797, 21247.249490303162 6534087.850070428 78.826103, 21247.06382263219 6534088.563697793 78.857002, 21246.999884177407 6534088.808472419 78.8675, 21246.809425347426 6534089.534582252 78.898697, 21246.495499041048 6534090.721849123 78.949303, 21246.294854301494 6534091.4745602105 78.98110199999999, 21245.724785020633 6534093.588131001 79.069504, 21245.508573802595 6534094.380279965 79.102203, 21244.93685641419 6534096.450786705 79.186798, 21244.70493114204 6534097.2809958225 79.220299, 21244.402352740697 6534098.355958582 79.263298, 21244.159536749416 6534099.212021187 79.297302, 21244.13227890432 6534099.30775629 79.301102, 21243.883769230568 6534100.177305855 79.335403, 21243.31053062249 6534102.160880895 79.412598, 21243.045308392146 6534103.068402827 79.447403, 21242.472201198223 6534105.008129834 79.521103, 21242.189518138533 6534105.9544199705 79.556503, 21241.6167449638 6534107.851324054 79.626701, 21241.316426754638 6534108.83523848 79.662598, 21240.744490350946 6534110.689394918 79.729401, 21240.459753088828 6534111.603087493 79.761902, 21240.426070460177 6534111.710777938 79.765701, 21239.855742455693 6534113.521336381 79.829102, 21239.518475550867 6534114.580919792 79.8657, 21238.949970503745 6534116.348864402 79.926003, 21238.644494753215 6534117.289668635 79.957603, 21238.59373602335 6534117.445379191 79.962799, 21238.28167105926 6534118.398972239 79.994499, 21238.02745096659 6534119.1710574385 80.019897, 21237.65170562308 6534120.3046174375 80.056801, 21237.088284294296 6534121.987625787 80.110901, 21236.80098029494 6534122.838336596 80.137802, 21236.69259419886 6534123.157958962 80.147903, 21236.13241700118 6534124.798752104 80.198997, 21235.716464901343 6534126.005257266 80.235901, 21235.485519094917 6534126.670880694 80.256104, 21235.056177549413 6534127.9003367275 80.292999, 21234.8309810278 6534128.541153079 80.311996, 21234.722989805043 6534128.84744248 80.320999, 21233.7128815623 6534131.682505619 80.403, 21233.498740669573 6534132.276681801 80.4198, 21232.685586424544 6534134.511982661 80.482002, 21232.526205192087 6534134.946262194 80.493896, 21232.136906901724 6534136.005562643 80.522598, 21231.64831142733 6534137.335025341 80.558098, 21231.245128853945 6534138.432074572 80.5868, 21230.76292362326 6534139.737919654 80.620399, 21230.60642895219 6534140.159069584 80.631104, 21229.547247033333 6534142.976424442 80.701103, 21229.363708039047 6534143.458907623 80.712799, 21228.65150833287 6534145.315577417 80.757103, 21228.469016307034 6534145.787429437 80.768204, 21228.10551054153 6534146.7226461945 80.789803, 21227.930892141245 6534147.169732203 80.800102, 21227.37216863857 6534148.590915836 80.832199, 21226.464409624226 6534150.870380647 80.882103, 21226.354615998105 6534151.143654332 80.888, 21224.9747497965 6534154.574934825 80.959198, 21224.386810770142 6534156.036927954 80.988197, 21223.48322447558 6534158.28386547 81.031197, 21221.990570579947 6534161.995599072 81.097801, 21221.24369353411 6534163.852855925 81.129204, 21220.646780391107 6534165.337175795 81.153297, 21220.496805458504 6534165.710113215 81.159203, 21219.715508457914 6534167.652928871 81.189201, 21219.001536174153 6534169.428343288 81.215302, 21218.587145542086 6534170.458814078 81.229897, 21217.993599954993 6534171.934761297 81.250099, 21217.50552444067 6534173.148450888 81.266098, 21217.318526186165 6534173.613452821 81.272102, 21217.13152573345 6534174.078469185 81.278, 21217.067230188346 6534174.238346326 81.279999, 21217.022313570313 6534174.350035679 81.281403, 21216.906749613176 6534174.637414532 81.285004, 21215.971741494315 6534176.962473911 81.312703, 21215.036734551075 6534179.287534215 81.338319, 21214.101726540655 6534181.612593704 81.361852, 21213.16671970632 6534183.937654109 81.383301, 21212.95544124575 6534184.463033219 81.387901, 21212.79271329369 6534184.867682597 81.391296, 21212.605711412907 6534185.332703244 81.395203, 21212.418704753334 6534185.7977022715 81.399002, 21212.231706092483 6534186.262716451 81.402702, 21212.044707434077 6534186.72773063 81.406303, 21211.857707297197 6534187.192749043 81.409897, 21211.67069844529 6534187.657762504 81.4133, 21211.483700259007 6534188.122764506 81.416702, 21211.29670160939 6534188.587778697 81.419998, 21211.1097014813 6534189.05279712 81.423203, 21210.922692638065 6534189.517810589 81.4263, 21210.73569446057 6534189.9828126 81.429398, 21210.54869581951 6534190.447826798 81.432297, 21210.361695699743 6534190.912845227 81.435204, 21210.174686865998 6534191.37785871 81.438004, 21209.987688696594 6534191.842860726 81.440697, 21210.302714810183 6534191.985559239 81.437814, 21211.33237873856 6534192.414019386 81.432607, 21211.80129412643 6534192.525810511 81.429637, 21212.523453050177 6534192.273856726 81.39974, 21213.057671827322 6534192.125570926 81.39852)</t>
  </si>
  <si>
    <t>POLYGON Z ((21213.215954404383 6534191.915722566 81.351097, 21213.390665360144 6534191.481577688 81.348198, 21213.57777950121 6534191.01661343 81.345299, 21213.764886662946 6534190.551641986 81.342201, 21213.95200228953 6534190.086673505 81.339104, 21214.139116437233 6534189.6217092555 81.335899, 21214.32622360572 6534189.156737818 81.332603, 21214.513337757846 6534188.691773572 81.329201, 21214.700444930815 6534188.226802141 81.325798, 21214.887560568226 6534187.76183367 81.322197, 21215.07467472687 6534187.296869431 81.318604, 21215.261781905894 6534186.831898001 81.314903, 21215.448897549883 6534186.366929538 81.311096, 21215.63601171522 6534185.901965309 81.307198, 21215.82311890088 6534185.436993887 81.303299, 21216.01023307076 6534184.972029659 81.299202, 21216.197340260667 6534184.507058241 81.295097, 21216.384455915424 6534184.042089786 81.290901, 21216.571570091764 6534183.577125569 81.286598, 21216.758677287784 6534183.112154151 81.282204, 21216.9457929497 6534182.647185709 81.277802, 21217.13290948025 6534182.182216138 81.273201, 21217.175128356437 6534182.077306307 81.272202, 21217.200640335912 6534182.013912106 81.271599, 21217.32001433539 6534181.717250087 81.2686, 21217.50712852215 6534181.252285876 81.263901, 21217.69423572981 6534180.787314475 81.259102, 21217.881351402088 6534180.322346038 81.254204, 21218.068465595425 6534179.857381835 81.249298, 21218.25557280978 6534179.392410442 81.244301, 21218.44268848846 6534178.927442009 81.239098, 21218.629802688607 6534178.462477813 81.233902, 21218.816909909132 6534177.997506423 81.2286, 21219.00402559439 6534177.532538001 81.223297, 21219.19113980094 6534177.06757381 81.217796, 21219.378247028042 6534176.602602427 81.212303, 21219.565361238667 6534176.137638237 81.206596, 21219.752784969343 6534175.671884718 81.200897, 21219.939584166452 6534175.207698446 81.195099, 21220.12669838406 6534174.742734267 81.189301, 21220.313804881356 6534174.277765009 81.183296, 21220.801816721214 6534173.065080983 81.167397, 21221.38996364671 6534171.587453251 81.143799, 21221.800814050308 6534170.555207175 81.126801, 21223.282150194747 6534166.830963536 81.062103, 21224.021622731118 6534164.969248545 81.027702, 21224.759704305907 6534163.107648498 80.991898, 21226.2309997431 6534159.384060381 80.916298, 21227.693810437864 6534155.659440465 80.835403, 21229.14557764359 6534151.9328067405 80.748901, 21230.584182428138 6534148.203147319 80.657097, 21231.297652666573 6534146.337075943 80.6092, 21232.006775186514 6534144.470273199 80.559898, 21233.411564405193 6534140.732048401 80.457199, 21234.79570034973 6534136.989137849 80.349098, 21236.156805456325 6534133.24018978 80.235603, 21237.492705429264 6534129.484368138 80.116699, 21238.150064478454 6534127.604490226 80.055199, 21238.80038363411 6534125.722083263 79.992302, 21239.47283082304 6534123.750200535 79.925102, 21239.76516939461 6534122.8950888505 79.900803, 21240.720153779665 6534120.06491852 79.818604, 21241.34686408 6534118.175856606 79.7621, 21241.65737814759 6534117.230182122 79.733398, 21242.577436108375 6534114.389133462 79.645103, 21243.479997263174 6534111.542754513 79.553902, 21244.36512205546 6534108.690909223 79.459602, 21245.232765360735 6534105.833695302 79.362396, 21246.08290012018 6534102.971225344 79.2621, 21246.91556996084 6534100.10335029 79.158798, 21247.188986514055 6534099.1470867535 79.123703, 21247.730491872237 6534097.231059198 79.052498, 21248.527945417736 6534094.353328075 78.943199, 21249.307763991703 6534091.470775416 78.831001, 21249.817709952826 6534089.5468927 78.754402, 21250.06979198719 6534088.583995067 78.715698, 21250.81429310137 6534085.691981227 78.597397, 21251.541043118108 6534082.79557398 78.475998, 21251.97952969413 6534081.010676369 78.399803, 21252.249925994023 6534079.895281287 78.351898, 21252.941178346402 6534076.990106862 78.227203, 21253.614575195417 6534074.080979807 78.1026, 21254.270209716342 6534071.16753758 77.977898, 21254.484796282253 6534070.195485095 77.936302, 21257.645333988767 6534055.907874882 77.059878, 21259.762601003516 6534045.636961848 76.743352, 21261.39095714147 6534036.907596429 76.515752, 21262.707916468906 6534027.476929247 76.227107, 21263.739928267372 6534019.491158864 76.004787, 21264.277329690056 6534012.683355302 75.942366, 21264.909727805003 6534003.394643166 75.763078, 21265.578907660267 6533991.639189263 75.691545, 21266.000112051202 6533977.75697163 75.567275, 21266.148922058346 6533967.965258358 75.436301, 21266.024314203183 6533955.324962609 75.448863, 21265.673849434417 6533942.132221124 75.418602, 21265.321898450435 6533941.792260283 75.485113, 21264.85350781103 6533941.54596641 75.458804, 21263.98343559669 6533941.505196536 75.429874, 21263.176598995924 6533941.519674045 75.416449, 21262.92858416005 6533941.533643282 75.450285, 21262.98184386827 6533943.212745906 75.452157, 21263.069416318263 6533945.973637004 75.4636, 21263.142393103743 6533948.470570075 75.480499, 21263.159016539983 6533949.107700128 75.485802, 21263.19201454002 6533950.476866796 75.497597, 21263.21381790552 6533951.48054558 75.506302, 21263.26716959523 6533954.48954999 75.532303, 21263.302483468433 6533957.4995776415 75.558296, 21263.319729552837 6533960.509768349 75.584198, 21263.31890628347 6533963.519999032 75.610199, 21263.30003007874 6533966.530176648 75.6362, 21263.26309810544 6533969.539930688 75.662201, 21263.246758483816 6533970.543963471 75.670898, 21263.20809635357 6533972.550038036 75.688202, 21263.13504251832 6533975.559133207 75.714203, 21263.076302903937 6533977.565475809 75.731499, 21263.04391452478 6533978.568618625 75.740196, 21262.973156310327 6533980.573937767 75.7575, 21262.934739862452 6533981.577118462 75.766197, 21262.807566392003 6533984.583915194 75.792198, 21262.662334063032 6533987.59039082 75.8181, 21262.609867208812 6533988.593184363 75.826797, 21262.4990265214 6533990.596567645 75.844101, 21262.317710289848 6533993.601209368 75.870102, 21262.118366959097 6533996.604836754 75.896103, 21261.901028328284 6533999.606962698 75.922096, 21261.824513523665 6534000.608210935 75.930801, 21261.665629699477 6534002.608283649 75.948097, 21261.64630055765 6534002.84493728 75.950104, 21261.412256631593 6534005.607807438 75.976601, 21261.14090180496 6534008.605635059 76.011101, 21260.94996806333 6534010.603730809 76.037498, 21260.8514675778 6534011.602798609 76.051697, 21260.544228042767 6534014.596560909 76.098198, 21260.21894511691 6534017.589165445 76.150703, 21259.87570575555 6534020.579773481 76.209198, 21259.514543449914 6534023.568259478 76.273804, 21259.135446373664 6534026.554522884 76.344299, 21258.738475055492 6534029.538222496 76.420799, 21258.60205649055 6534030.533073272 76.447701, 21258.323525974585 6534032.520091037 76.503403, 21257.890753788117 6534035.498933506 76.591904, 21257.440131603566 6534038.475117127 76.686501, 21257.12972340529 6534040.458174513 76.752899, 21256.97148929903 6534041.449533701 76.787102, 21256.48528420058 6534044.419480262 76.8937, 21255.981139228796 6534047.387203884 77.006302, 21255.459191247122 6534050.351837235 77.124901, 21254.919479943812 6534053.31329541 77.249496, 21254.362043570378 6534056.271228941 77.380096, 21254.149802381115 6534057.372483048 77.430298, 21253.786728761566 6534059.226470893 77.515602, 21253.59099845396 6534060.210862104 77.560898, 21253.193816794315 6534062.177606976 77.651497, 21252.583208760072 6534065.1251369035 77.787399, 21251.954942995042 6534068.0688860165 77.923302, 21251.62789042777 6534069.56798113 77.9925, 21251.526196276478 6534070.029694436 78.013901, 21251.414544367464 6534070.534243534 78.037201, 21251.30880755058 6534071.009774686 78.059196, 21250.762942755304 6534073.430957883 78.171204, 21250.645220564562 6534073.945948747 78.195099, 21250.094449920405 6534076.32279515 78.305199, 21249.96406193159 6534076.877931844 78.330902, 21249.5572442463 6534078.59203133 78.4105, 21249.408856918977 6534079.210635918 78.439102, 21249.26535344124 6534079.805641359 78.466599, 21249.140716574097 6534080.319867751 78.490196, 21248.705952524033 6534082.095342876 78.571098, 21248.548918773595 6534082.729833458 78.599701, 21247.986231311166 6534084.974861105 78.699997, 21247.815062942682 6534085.6492323 78.729797, 21247.249490303162 6534087.850070428 78.826103, 21247.06382263219 6534088.563697793 78.857002, 21246.999884177407 6534088.808472419 78.8675, 21246.809425347426 6534089.534582252 78.898697, 21246.495499041048 6534090.721849123 78.949303, 21246.294854301494 6534091.4745602105 78.98110199999999, 21245.724785020633 6534093.588131001 79.069504, 21245.508573802595 6534094.380279965 79.102203, 21244.93685641419 6534096.450786705 79.186798, 21244.70493114204 6534097.2809958225 79.220299, 21244.402352740697 6534098.355958582 79.263298, 21244.159536749416 6534099.212021187 79.297302, 21244.13227890432 6534099.30775629 79.301102, 21243.883769230568 6534100.177305855 79.335403, 21243.31053062249 6534102.160880895 79.412598, 21243.045308392146 6534103.068402827 79.447403, 21242.472201198223 6534105.008129834 79.521103, 21242.189518138533 6534105.9544199705 79.556503, 21241.6167449638 6534107.851324054 79.626701, 21241.316426754638 6534108.83523848 79.662598, 21240.744490350946 6534110.689394918 79.729401, 21240.459753088828 6534111.603087493 79.761902, 21240.426070460177 6534111.710777938 79.765701, 21239.855742455693 6534113.521336381 79.829102, 21239.518475550867 6534114.580919792 79.8657, 21238.949970503745 6534116.348864402 79.926003, 21238.644494753215 6534117.289668635 79.957603, 21238.59373602335 6534117.445379191 79.962799, 21238.28167105926 6534118.398972239 79.994499, 21238.02745096659 6534119.1710574385 80.019897, 21237.65170562308 6534120.3046174375 80.056801, 21237.088284294296 6534121.987625787 80.110901, 21236.80098029494 6534122.838336596 80.137802, 21236.69259419886 6534123.157958962 80.147903, 21236.13241700118 6534124.798752104 80.198997, 21235.716464901343 6534126.005257266 80.235901, 21235.485519094917 6534126.670880694 80.256104, 21235.056177549413 6534127.9003367275 80.292999, 21234.8309810278 6534128.541153079 80.311996, 21234.722989805043 6534128.84744248 80.320999, 21233.7128815623 6534131.682505619 80.403, 21233.498740669573 6534132.276681801 80.4198, 21232.685586424544 6534134.511982661 80.482002, 21232.526205192087 6534134.946262194 80.493896, 21232.136906901724 6534136.005562643 80.522598, 21231.64831142733 6534137.335025341 80.558098, 21231.245128853945 6534138.432074572 80.5868, 21230.76292362326 6534139.737919654 80.620399, 21230.60642895219 6534140.159069584 80.631104, 21229.547247033333 6534142.976424442 80.701103, 21229.363708039047 6534143.458907623 80.712799, 21228.65150833287 6534145.315577417 80.757103, 21228.469016307034 6534145.787429437 80.768204, 21228.10551054153 6534146.7226461945 80.789803, 21227.930892141245 6534147.169732203 80.800102, 21227.37216863857 6534148.590915836 80.832199, 21226.464409624226 6534150.870380647 80.882103, 21226.354615998105 6534151.143654332 80.888, 21224.9747497965 6534154.574934825 80.959198, 21224.386810770142 6534156.036927954 80.988197, 21223.48322447558 6534158.28386547 81.031197, 21221.990570579947 6534161.995599072 81.097801, 21221.24369353411 6534163.852855925 81.129204, 21220.646780391107 6534165.337175795 81.153297, 21220.496805458504 6534165.710113215 81.159203, 21219.715508457914 6534167.652928871 81.189201, 21219.001536174153 6534169.428343288 81.215302, 21218.587145542086 6534170.458814078 81.229897, 21217.993599954993 6534171.934761297 81.250099, 21217.50552444067 6534173.148450888 81.266098, 21217.318526186165 6534173.613452821 81.272102, 21217.13152573345 6534174.078469185 81.278, 21217.067230188346 6534174.238346326 81.279999, 21217.022313570313 6534174.350035679 81.281403, 21216.906749613176 6534174.637414532 81.285004, 21215.971741494315 6534176.962473911 81.312703, 21215.036734551075 6534179.287534215 81.338319, 21214.101726540655 6534181.612593704 81.361852, 21213.16671970632 6534183.937654109 81.383301, 21212.95544124575 6534184.463033219 81.387901, 21212.79271329369 6534184.867682597 81.391296, 21212.605711412907 6534185.332703244 81.395203, 21212.418704753334 6534185.7977022715 81.399002, 21212.231706092483 6534186.262716451 81.402702, 21212.044707434077 6534186.72773063 81.406303, 21211.857707297197 6534187.192749043 81.409897, 21211.67069844529 6534187.657762504 81.4133, 21211.483700259007 6534188.122764506 81.416702, 21211.29670160939 6534188.587778697 81.419998, 21211.1097014813 6534189.05279712 81.423203, 21210.922692638065 6534189.517810589 81.4263, 21210.73569446057 6534189.9828126 81.429398, 21210.54869581951 6534190.447826798 81.432297, 21210.361695699743 6534190.912845227 81.435204, 21210.174686865998 6534191.37785871 81.438004, 21209.987688696594 6534191.842860726 81.440697, 21210.302714810183 6534191.985559239 81.437814, 21211.33237873856 6534192.414019386 81.432607, 21211.80129412643 6534192.525810511 81.429637, 21212.523453050177 6534192.273856726 81.39974, 21213.057671827322 6534192.125570926 81.39852, 21213.215954404383 6534191.915722566 81.351097))</t>
  </si>
  <si>
    <t>['FV468 S1D1 m877-1001']</t>
  </si>
  <si>
    <t>LINESTRING Z (21037.03326840786 6533408.082074389 69.944202, 21035.698191077972 6533407.2261901125 69.910548, 21032.491647010203 6533405.246016471 69.836519, 21028.659882602224 6533402.931261721 69.771118, 21024.800719672698 6533400.668254532 69.697729, 21020.670203458983 6533398.321791068 69.644576, 21016.737900907057 6533396.219223134 69.599288, 21012.608024608344 6533394.075543354 69.572695, 21008.21843748237 6533391.924305629 69.55992, 21001.578556307184 6533388.890115015 69.538054, 20993.443967969622 6533385.300969429 69.50456199999999, 20984.503244269872 6533381.426228009 69.411151, 20975.324067909154 6533377.426712511 69.23619, 20966.680626885383 6533373.661308261 68.970585, 20958.136523525696 6533369.945120009 68.745686, 20950.16136882949 6533366.508331535 68.573314, 20941.641954132123 6533362.869571133 68.448866, 20933.45904870832 6533359.426998535 68.385117, 20925.06736099522 6533355.902748855 68.339273, 20925.050489946036 6533356.02731989 68.334991, 20925.158163656306 6533356.358583217 68.386696, 20925.30966281949 6533356.700281688 68.39054, 20925.6095820145 6533357.067845619 68.410366, 20926.54890915251 6533357.777837108 68.426093, 20927.52338966774 6533358.416526143 68.443998, 20928.561200026073 6533358.94440334 68.456385, 20935.16233544424 6533361.721040968 68.509445, 20943.414509313414 6533365.203234173 68.622002, 20952.08689538011 6533368.905654178 68.770858, 20961.36037882202 6533372.90844791 68.990213, 20969.958265180932 6533376.649232825 69.253025, 20977.956013509713 6533380.121093426 69.479025, 20985.538182740856 6533383.41257042 69.59719, 20992.96721951588 6533386.652896772 69.621786, 21000.117637912277 6533389.793625624 69.63509, 21008.15771105344 6533393.473207726 69.645413, 21012.154510922614 6533395.446249547 69.679744, 21016.189447703073 6533397.508228967 69.708627, 21019.79736194742 6533399.473904297 69.74288, 21023.29147986503 6533401.429724712 69.780418, 21029.84115390305 6533405.237399811 69.879072, 21033.572027575632 6533407.443180278 69.953526, 21034.503208052425 6533407.997511997 69.972502, 21035.030843376007 6533408.250434194 69.971203, 21035.53876471822 6533408.399375559 69.955796, 21036.098584020452 6533408.423393954 69.942627, 21036.65719088941 6533408.331591973 69.945435, 21036.95684090187 6533408.183266164 69.945756)</t>
  </si>
  <si>
    <t>POLYGON Z ((21037.03326840786 6533408.082074389 69.944202, 21035.698191077972 6533407.2261901125 69.910548, 21032.491647010203 6533405.246016471 69.836519, 21028.659882602224 6533402.931261721 69.771118, 21024.800719672698 6533400.668254532 69.697729, 21020.670203458983 6533398.321791068 69.644576, 21016.737900907057 6533396.219223134 69.599288, 21012.608024608344 6533394.075543354 69.572695, 21008.21843748237 6533391.924305629 69.55992, 21001.578556307184 6533388.890115015 69.538054, 20993.443967969622 6533385.300969429 69.50456199999999, 20984.503244269872 6533381.426228009 69.411151, 20975.324067909154 6533377.426712511 69.23619, 20966.680626885383 6533373.661308261 68.970585, 20958.136523525696 6533369.945120009 68.745686, 20950.16136882949 6533366.508331535 68.573314, 20941.641954132123 6533362.869571133 68.448866, 20933.45904870832 6533359.426998535 68.385117, 20925.06736099522 6533355.902748855 68.339273, 20925.050489946036 6533356.02731989 68.334991, 20925.158163656306 6533356.358583217 68.386696, 20925.30966281949 6533356.700281688 68.39054, 20925.6095820145 6533357.067845619 68.410366, 20926.54890915251 6533357.777837108 68.426093, 20927.52338966774 6533358.416526143 68.443998, 20928.561200026073 6533358.94440334 68.456385, 20935.16233544424 6533361.721040968 68.509445, 20943.414509313414 6533365.203234173 68.622002, 20952.08689538011 6533368.905654178 68.770858, 20961.36037882202 6533372.90844791 68.990213, 20969.958265180932 6533376.649232825 69.253025, 20977.956013509713 6533380.121093426 69.479025, 20985.538182740856 6533383.41257042 69.59719, 20992.96721951588 6533386.652896772 69.621786, 21000.117637912277 6533389.793625624 69.63509, 21008.15771105344 6533393.473207726 69.645413, 21012.154510922614 6533395.446249547 69.679744, 21016.189447703073 6533397.508228967 69.708627, 21019.79736194742 6533399.473904297 69.74288, 21023.29147986503 6533401.429724712 69.780418, 21029.84115390305 6533405.237399811 69.879072, 21033.572027575632 6533407.443180278 69.953526, 21034.503208052425 6533407.997511997 69.972502, 21035.030843376007 6533408.250434194 69.971203, 21035.53876471822 6533408.399375559 69.955796, 21036.098584020452 6533408.423393954 69.942627, 21036.65719088941 6533408.331591973 69.945435, 21036.95684090187 6533408.183266164 69.945756, 21037.03326840786 6533408.082074389 69.944202))</t>
  </si>
  <si>
    <t>['FV468 S1D1 m1258-1292']</t>
  </si>
  <si>
    <t>LINESTRING Z (21212.598374807218 6533646.6187714245 72.834896, 21212.796112945885 6533645.555586687 72.757171, 21212.875678621465 6533645.112445975 72.736575, 21212.767420877295 6533643.5571477655 72.665256, 21212.4363242251 6533642.326071527 72.578486, 21212.008309818455 6533640.9754262455 72.48205, 21211.05420430645 6533638.2832828695 72.302721, 21209.51488559303 6533634.38628605 71.968777, 21207.662819074234 6533630.199391113 71.622586, 21205.84286941745 6533626.209813677 71.303669, 21203.84122598311 6533622.124870192 71.024986, 21201.525311074336 6533617.655759445 70.781963, 21199.096112221654 6533613.239885583 70.594032, 21196.737111829454 6533609.1224821415 70.306237, 21194.3045344486 6533605.024533471 70.030594, 21191.771846076183 6533600.9086006675 69.776909, 21187.64667441114 6533594.301779718 69.439655, 21183.79845551087 6533588.358939716 69.216994, 21179.77032426535 6533582.267365375 69.059301, 21176.59084563615 6533577.498714756 68.94863, 21173.31556505809 6533572.636381764 68.914918, 21169.457098248007 6533566.990865375 68.953282, 21166.013683933998 6533561.935572461 69.030541, 21162.941857711005 6533557.541421349 69.112184, 21160.5005909584 6533554.014367631 69.163767, 21160.148896940344 6533553.510143626 69.173921, 21159.142027232214 6533552.310664203 69.199787, 21158.345016635838 6533551.418022445 69.201099, 21157.56070007384 6533550.716390064 69.204038, 21156.57432541123 6533550.042569057 69.196063, 21155.674885913206 6533549.5455594305 69.165608, 21155.556743258552 6533549.591752716 69.147166, 21156.823690209654 6533551.325508493 69.14019, 21159.41475731833 6533554.8715422405 69.078521, 21163.058647802274 6533559.975259618 68.993389, 21167.281164561806 6533566.077731741 68.903375, 21172.00422674208 6533573.141525718 68.913359, 21176.139829783002 6533579.327639891 68.941954, 21179.183563112863 6533583.895238795 69.044877, 21182.30219752621 6533588.5660580285 69.24437, 21185.300077205116 6533593.149611841 69.470317, 21187.70543937001 6533596.828330167 69.642464, 21189.69609903003 6533600.026265238 69.815979, 21192.75778113195 6533605.128144619 70.133455, 21195.46039836196 6533609.844414629 70.387505, 21198.1483315847 6533614.754213261 70.674657, 21200.519360805105 6533619.187314696 70.894046, 21202.911240592948 6533623.9188223425 71.194981, 21204.695318429498 6533627.646919214 71.435819, 21206.44068249833 6533631.308770026 71.704381, 21208.114364687703 6533635.066132821 71.972288, 21209.65451675019 6533638.681945904 72.261019, 21210.983161987388 6533642.267966047 72.519955, 21211.755429948273 6533644.482237123 72.659049, 21212.136945961218 6533645.5811092695 72.7572, 21212.509593303956 6533646.653016353 72.846482)</t>
  </si>
  <si>
    <t>POLYGON Z ((21212.598374807218 6533646.6187714245 72.834896, 21212.796112945885 6533645.555586687 72.757171, 21212.875678621465 6533645.112445975 72.736575, 21212.767420877295 6533643.5571477655 72.665256, 21212.4363242251 6533642.326071527 72.578486, 21212.008309818455 6533640.9754262455 72.48205, 21211.05420430645 6533638.2832828695 72.302721, 21209.51488559303 6533634.38628605 71.968777, 21207.662819074234 6533630.199391113 71.622586, 21205.84286941745 6533626.209813677 71.303669, 21203.84122598311 6533622.124870192 71.024986, 21201.525311074336 6533617.655759445 70.781963, 21199.096112221654 6533613.239885583 70.594032, 21196.737111829454 6533609.1224821415 70.306237, 21194.3045344486 6533605.024533471 70.030594, 21191.771846076183 6533600.9086006675 69.776909, 21187.64667441114 6533594.301779718 69.439655, 21183.79845551087 6533588.358939716 69.216994, 21179.77032426535 6533582.267365375 69.059301, 21176.59084563615 6533577.498714756 68.94863, 21173.31556505809 6533572.636381764 68.914918, 21169.457098248007 6533566.990865375 68.953282, 21166.013683933998 6533561.935572461 69.030541, 21162.941857711005 6533557.541421349 69.112184, 21160.5005909584 6533554.014367631 69.163767, 21160.148896940344 6533553.510143626 69.173921, 21159.142027232214 6533552.310664203 69.199787, 21158.345016635838 6533551.418022445 69.201099, 21157.56070007384 6533550.716390064 69.204038, 21156.57432541123 6533550.042569057 69.196063, 21155.674885913206 6533549.5455594305 69.165608, 21155.556743258552 6533549.591752716 69.147166, 21156.823690209654 6533551.325508493 69.14019, 21159.41475731833 6533554.8715422405 69.078521, 21163.058647802274 6533559.975259618 68.993389, 21167.281164561806 6533566.077731741 68.903375, 21172.00422674208 6533573.141525718 68.913359, 21176.139829783002 6533579.327639891 68.941954, 21179.183563112863 6533583.895238795 69.044877, 21182.30219752621 6533588.5660580285 69.24437, 21185.300077205116 6533593.149611841 69.470317, 21187.70543937001 6533596.828330167 69.642464, 21189.69609903003 6533600.026265238 69.815979, 21192.75778113195 6533605.128144619 70.133455, 21195.46039836196 6533609.844414629 70.387505, 21198.1483315847 6533614.754213261 70.674657, 21200.519360805105 6533619.187314696 70.894046, 21202.911240592948 6533623.9188223425 71.194981, 21204.695318429498 6533627.646919214 71.435819, 21206.44068249833 6533631.308770026 71.704381, 21208.114364687703 6533635.066132821 71.972288, 21209.65451675019 6533638.681945904 72.261019, 21210.983161987388 6533642.267966047 72.519955, 21211.755429948273 6533644.482237123 72.659049, 21212.136945961218 6533645.5811092695 72.7572, 21212.509593303956 6533646.653016353 72.846482, 21212.598374807218 6533646.6187714245 72.834896))</t>
  </si>
  <si>
    <t>['FV468 S1D1 m1078-1168']</t>
  </si>
  <si>
    <t>LINESTRING Z (21145.32792210061 6533535.696669854 69.31462, 21145.24466683605 6533535.292005309 69.333918, 21144.879878311418 6533534.1870424375 69.388272, 21144.551770275168 6533533.390858845 69.399169, 21144.19303062919 6533532.572183845 69.410479, 21143.779388062714 6533531.6814269 69.422907, 21142.79921305133 6533530.203265421 69.44535, 21142.117103017867 6533529.279049087 69.455979, 21141.023051284486 6533527.806068049 69.418066, 21137.135064350907 6533522.786654917 69.482818, 21133.13642503874 6533517.798432913 69.544621, 21129.17232342111 6533512.910666906 69.623075, 21124.56867613265 6533507.274980604 69.758483, 21120.170201412344 6533501.944392486 69.900522, 21116.79514785536 6533497.908339581 70.047717, 21112.57391416875 6533492.895760228 70.15646, 21108.213619129034 6533487.749685121 70.258214, 21103.95136073639 6533482.743985604 70.310818, 21100.25911942718 6533478.399191492 70.341201, 21097.321687644988 6533474.928993472 70.3451, 21095.589329772163 6533473.12126507 70.364422, 21094.04894914705 6533471.576617907 70.36249, 21092.798934166145 6533470.282383885 70.360896, 21091.319900615606 6533468.868868776 70.359084, 21090.302372504724 6533468.03545119 70.357919, 21089.483905828558 6533467.5641393 70.337695, 21088.63377422397 6533467.1040886585 70.311523, 21088.52716495766 6533467.170724293 70.312535, 21089.23037187534 6533467.935792291 70.319667, 21090.88909265242 6533469.741907596 70.325066, 21093.031587122474 6533472.053195787 70.279608, 21095.797467675642 6533475.088289793 70.255326, 21099.458654896705 6533479.307089284 70.250366, 21103.861289335764 6533484.500536521 70.18751, 21108.76209257735 6533490.381467839 70.116131, 21113.46434048924 6533496.034945936 69.978597, 21118.370757885103 6533501.949405612 69.832816, 21122.845743530022 6533507.353559885 69.659522, 21127.451728542394 6533512.961199391 69.520779, 21132.272926405654 6533518.953432165 69.425563, 21136.299095731694 6533524.024562728 69.35925, 21140.409362570557 6533529.303963936 69.353475, 21143.559614111204 6533533.477826439 69.317906, 21144.182546317053 6533534.303453215 69.309514, 21144.578610707715 6533534.846013681 69.29932, 21145.229245651048 6533535.696203409 69.31599)</t>
  </si>
  <si>
    <t>POLYGON Z ((21145.32792210061 6533535.696669854 69.31462, 21145.24466683605 6533535.292005309 69.333918, 21144.879878311418 6533534.1870424375 69.388272, 21144.551770275168 6533533.390858845 69.399169, 21144.19303062919 6533532.572183845 69.410479, 21143.779388062714 6533531.6814269 69.422907, 21142.79921305133 6533530.203265421 69.44535, 21142.117103017867 6533529.279049087 69.455979, 21141.023051284486 6533527.806068049 69.418066, 21137.135064350907 6533522.786654917 69.482818, 21133.13642503874 6533517.798432913 69.544621, 21129.17232342111 6533512.910666906 69.623075, 21124.56867613265 6533507.274980604 69.758483, 21120.170201412344 6533501.944392486 69.900522, 21116.79514785536 6533497.908339581 70.047717, 21112.57391416875 6533492.895760228 70.15646, 21108.213619129034 6533487.749685121 70.258214, 21103.95136073639 6533482.743985604 70.310818, 21100.25911942718 6533478.399191492 70.341201, 21097.321687644988 6533474.928993472 70.3451, 21095.589329772163 6533473.12126507 70.364422, 21094.04894914705 6533471.576617907 70.36249, 21092.798934166145 6533470.282383885 70.360896, 21091.319900615606 6533468.868868776 70.359084, 21090.302372504724 6533468.03545119 70.357919, 21089.483905828558 6533467.5641393 70.337695, 21088.63377422397 6533467.1040886585 70.311523, 21088.52716495766 6533467.170724293 70.312535, 21089.23037187534 6533467.935792291 70.319667, 21090.88909265242 6533469.741907596 70.325066, 21093.031587122474 6533472.053195787 70.279608, 21095.797467675642 6533475.088289793 70.255326, 21099.458654896705 6533479.307089284 70.250366, 21103.861289335764 6533484.500536521 70.18751, 21108.76209257735 6533490.381467839 70.116131, 21113.46434048924 6533496.034945936 69.978597, 21118.370757885103 6533501.949405612 69.832816, 21122.845743530022 6533507.353559885 69.659522, 21127.451728542394 6533512.961199391 69.520779, 21132.272926405654 6533518.953432165 69.425563, 21136.299095731694 6533524.024562728 69.35925, 21140.409362570557 6533529.303963936 69.353475, 21143.559614111204 6533533.477826439 69.317906, 21144.182546317053 6533534.303453215 69.309514, 21144.578610707715 6533534.846013681 69.29932, 21145.229245651048 6533535.696203409 69.31599, 21145.32792210061 6533535.696669854 69.31462))</t>
  </si>
  <si>
    <t>['FV468 S1D1 m2330-2394']</t>
  </si>
  <si>
    <t>LINESTRING Z (20917.806835030206 6534616.811939751 89.875334, 20917.83864908252 6534616.618119671 89.872299, 20918.108961166872 6534615.056490584 89.859901, 20918.492282301653 6534613.027995202 89.843803, 20918.62614073971 6534612.361908601 89.838501, 20918.911227158096 6534611.004438092 89.827599, 20919.364996607124 6534608.989889704 89.811501, 20919.853817631258 6534606.983191265 89.795403, 20920.377453237947 6534604.985288595 89.779198, 20920.935760559572 6534602.996796154 89.7631, 20921.528567974514 6534601.018316914 89.746902, 20922.155689308594 6534599.050450661 89.730797, 20922.816930515924 6534597.093783025 89.7146, 20923.512109503674 6534595.148906191 89.698502, 20924.24093313067 6534593.216595285 89.682404, 20924.875773505657 6534591.611508615 89.6689, 20925.00696930621 6534591.295335767 89.661797, 20925.815455439675 6534589.39906549 89.618896, 20926.652495810413 6534587.519720711 89.576302, 20927.081020372745 6534586.585691904 89.555099, 20927.51558532624 6534585.65578203 89.533897, 20928.40121516405 6534583.808918135 89.491798, 20929.307364983077 6534581.976554379 89.449898, 20930.231562380155 6534580.158211087 89.408302, 20931.17116174416 6534578.3527404955 89.366997, 20932.123955865856 6534576.559135934 89.325897, 20933.087399689888 6534574.776142815 89.285103, 20934.05937902996 6534573.002667812 89.244499, 20935.037647050805 6534571.237005969 89.204201, 20936.019626287452 6534569.478915364 89.1642, 20937.003220134124 6534567.726466719 89.124397, 20937.673111316515 6534566.53542623 89.097397, 20938.94975781883 6534564.222277628 89.076103, 20940.949918988743 6534560.598184072 89.041766, 20940.561588999873 6534559.720849889 89.25416, 20939.882526254572 6534559.317438912 89.387376, 20938.784247518168 6534558.725989977 89.526024, 20938.109869383334 6534558.344923405 89.549881, 20934.702024330734 6534564.4795454815 89.572197, 20934.5262929335 6534564.795887095 89.575401, 20933.86183164135 6534565.992011725 89.587502, 20932.944644301897 6534567.643077212 89.604202, 20932.884097071772 6534567.752140373 89.605301, 20932.755740516528 6534567.98376095 89.607697, 20931.793636764167 6534569.738606903 89.625397, 20930.939566125802 6534571.324879794 89.641296, 20930.846038071788 6534571.500265608 89.643097, 20929.983819984598 6534573.133175569 89.6595, 20929.912365544005 6534573.269830616 89.660797, 20929.040379214217 6534574.954136065 89.677597, 20928.992881327344 6534575.046798552 89.678596, 20928.108527869626 6534576.789506941 89.6959, 20928.0876315863 6534576.831087734 89.696297, 20927.196249874833 6534578.623445249 89.713997, 20926.319668251206 6534580.421989712 89.731697, 20926.281836826645 6534580.500439722 89.732498, 20925.45751775254 6534582.227456414 89.749496, 20925.387184193416 6534582.376406209 89.7509, 20924.610020604217 6534584.039385479 89.767197, 20923.776833272597 6534585.858489739 89.784897, 20922.95807624329 6534587.684533518 89.802597, 20922.77921050164 6534588.088728167 89.806503, 20922.154313900683 6534589.516246252 89.820396, 20921.36486351455 6534591.355190505 89.838097, 20921.10748945526 6534591.963623778 89.843903, 20920.867828663206 6534592.534253793 89.849403, 20920.592732990568 6534593.198235612 89.855797, 20920.29709389666 6534593.927293907 89.862801, 20919.854268551164 6534595.051497413 89.873497, 20919.525794420624 6534595.912265468 89.881699, 20919.153166979377 6534596.918800828 89.891197, 20918.796035334177 6534597.9160749735 89.900703, 20918.48953511531 6534598.799732032 89.908997, 20918.109300341515 6534599.935027409 89.919601, 20917.863648562052 6534600.693560588 89.926697, 20917.465482945205 6534601.969475915 89.938599, 20917.432825182972 6534602.076871487 89.939598, 20917.275787407532 6534602.5994645255 89.944397, 20916.865263212938 6534604.0175520815 89.957497, 20916.726007463643 6534604.517247754 89.962097, 20916.46542445745 6534605.48054549 89.971001, 20916.3088160638 6534606.078678772 89.978401, 20916.214906286797 6534606.444822986 89.982903, 20915.796327230928 6534608.152466467 90.003799, 20915.74223068176 6534608.383119915 90.006599, 20915.50975366257 6534609.4038677495 90.018997, 20915.32864592242 6534610.23549821 90.028801, 20915.3085633319 6534610.329879348 90.0299, 20915.03985451639 6534611.638712279 90.039497, 20914.913712881913 6534612.285905855 90.043701, 20914.903992595675 6534612.33671918 90.043999, 20914.55800790689 6534614.249854882 90.053497, 20914.526849209913 6534614.433277648 90.054199, 20914.405083112943 6534615.171114595 90.056702, 20914.39524830418 6534615.232271356 90.0569, 20914.269836306863 6534616.034267574 90.052498, 20914.242054508475 6534616.217917108 90.051498, 20914.19757665781 6534616.516942103 90.049797, 20914.166525186796 6534616.729480228 90.048698, 20914.142781388306 6534616.8941859165 90.047798, 20914.13284946553 6534616.963645611 90.047401, 20913.96519740089 6534618.194252733 90.040604, 20913.91102039517 6534618.618467721 90.0383, 20913.768249012413 6534619.832783665 90.030181, 20915.29120492749 6534618.938358907 89.990624, 20916.35428731813 6534618.260453343 89.930406, 20917.209405715985 6534617.555671064 89.83564, 20917.652814746893 6534616.831098892 89.791753)</t>
  </si>
  <si>
    <t>POLYGON Z ((20917.806835030206 6534616.811939751 89.875334, 20917.83864908252 6534616.618119671 89.872299, 20918.108961166872 6534615.056490584 89.859901, 20918.492282301653 6534613.027995202 89.843803, 20918.62614073971 6534612.361908601 89.838501, 20918.911227158096 6534611.004438092 89.827599, 20919.364996607124 6534608.989889704 89.811501, 20919.853817631258 6534606.983191265 89.795403, 20920.377453237947 6534604.985288595 89.779198, 20920.935760559572 6534602.996796154 89.7631, 20921.528567974514 6534601.018316914 89.746902, 20922.155689308594 6534599.050450661 89.730797, 20922.816930515924 6534597.093783025 89.7146, 20923.512109503674 6534595.148906191 89.698502, 20924.24093313067 6534593.216595285 89.682404, 20924.875773505657 6534591.611508615 89.6689, 20925.00696930621 6534591.295335767 89.661797, 20925.815455439675 6534589.39906549 89.618896, 20926.652495810413 6534587.519720711 89.576302, 20927.081020372745 6534586.585691904 89.555099, 20927.51558532624 6534585.65578203 89.533897, 20928.40121516405 6534583.808918135 89.491798, 20929.307364983077 6534581.976554379 89.449898, 20930.231562380155 6534580.158211087 89.408302, 20931.17116174416 6534578.3527404955 89.366997, 20932.123955865856 6534576.559135934 89.325897, 20933.087399689888 6534574.776142815 89.285103, 20934.05937902996 6534573.002667812 89.244499, 20935.037647050805 6534571.237005969 89.204201, 20936.019626287452 6534569.478915364 89.1642, 20937.003220134124 6534567.726466719 89.124397, 20937.673111316515 6534566.53542623 89.097397, 20938.94975781883 6534564.222277628 89.076103, 20940.949918988743 6534560.598184072 89.041766, 20940.561588999873 6534559.720849889 89.25416, 20939.882526254572 6534559.317438912 89.387376, 20938.784247518168 6534558.725989977 89.526024, 20938.109869383334 6534558.344923405 89.549881, 20934.702024330734 6534564.4795454815 89.572197, 20934.5262929335 6534564.795887095 89.575401, 20933.86183164135 6534565.992011725 89.587502, 20932.944644301897 6534567.643077212 89.604202, 20932.884097071772 6534567.752140373 89.605301, 20932.755740516528 6534567.98376095 89.607697, 20931.793636764167 6534569.738606903 89.625397, 20930.939566125802 6534571.324879794 89.641296, 20930.846038071788 6534571.500265608 89.643097, 20929.983819984598 6534573.133175569 89.6595, 20929.912365544005 6534573.269830616 89.660797, 20929.040379214217 6534574.954136065 89.677597, 20928.992881327344 6534575.046798552 89.678596, 20928.108527869626 6534576.789506941 89.6959, 20928.0876315863 6534576.831087734 89.696297, 20927.196249874833 6534578.623445249 89.713997, 20926.319668251206 6534580.421989712 89.731697, 20926.281836826645 6534580.500439722 89.732498, 20925.45751775254 6534582.227456414 89.749496, 20925.387184193416 6534582.376406209 89.7509, 20924.610020604217 6534584.039385479 89.767197, 20923.776833272597 6534585.858489739 89.784897, 20922.95807624329 6534587.684533518 89.802597, 20922.77921050164 6534588.088728167 89.806503, 20922.154313900683 6534589.516246252 89.820396, 20921.36486351455 6534591.355190505 89.838097, 20921.10748945526 6534591.963623778 89.843903, 20920.867828663206 6534592.534253793 89.849403, 20920.592732990568 6534593.198235612 89.855797, 20920.29709389666 6534593.927293907 89.862801, 20919.854268551164 6534595.051497413 89.873497, 20919.525794420624 6534595.912265468 89.881699, 20919.153166979377 6534596.918800828 89.891197, 20918.796035334177 6534597.9160749735 89.900703, 20918.48953511531 6534598.799732032 89.908997, 20918.109300341515 6534599.935027409 89.919601, 20917.863648562052 6534600.693560588 89.926697, 20917.465482945205 6534601.969475915 89.938599, 20917.432825182972 6534602.076871487 89.939598, 20917.275787407532 6534602.5994645255 89.944397, 20916.865263212938 6534604.0175520815 89.957497, 20916.726007463643 6534604.517247754 89.962097, 20916.46542445745 6534605.48054549 89.971001, 20916.3088160638 6534606.078678772 89.978401, 20916.214906286797 6534606.444822986 89.982903, 20915.796327230928 6534608.152466467 90.003799, 20915.74223068176 6534608.383119915 90.006599, 20915.50975366257 6534609.4038677495 90.018997, 20915.32864592242 6534610.23549821 90.028801, 20915.3085633319 6534610.329879348 90.0299, 20915.03985451639 6534611.638712279 90.039497, 20914.913712881913 6534612.285905855 90.043701, 20914.903992595675 6534612.33671918 90.043999, 20914.55800790689 6534614.249854882 90.053497, 20914.526849209913 6534614.433277648 90.054199, 20914.405083112943 6534615.171114595 90.056702, 20914.39524830418 6534615.232271356 90.0569, 20914.269836306863 6534616.034267574 90.052498, 20914.242054508475 6534616.217917108 90.051498, 20914.19757665781 6534616.516942103 90.049797, 20914.166525186796 6534616.729480228 90.048698, 20914.142781388306 6534616.8941859165 90.047798, 20914.13284946553 6534616.963645611 90.047401, 20913.96519740089 6534618.194252733 90.040604, 20913.91102039517 6534618.618467721 90.0383, 20913.768249012413 6534619.832783665 90.030181, 20915.29120492749 6534618.938358907 89.990624, 20916.35428731813 6534618.260453343 89.930406, 20917.209405715985 6534617.555671064 89.83564, 20917.652814746893 6534616.831098892 89.791753, 20917.806835030206 6534616.811939751 89.875334))</t>
  </si>
  <si>
    <t>2024-09-09</t>
  </si>
  <si>
    <t>2025-11-22T09:18:46Z</t>
  </si>
  <si>
    <t>['RV706 S2D100 m230-356']</t>
  </si>
  <si>
    <t>LINESTRING Z (272692.220206004 7042801.663467643 18.085, 272692.40802881366 7042804.3314869115 18.154, 272685.64587087533 7042804.489669831 18.01, 272675.1185421251 7042804.533888973 17.849, 272661.0972534178 7042804.342775378 17.553, 272644.8390351612 7042804.252985043 17.282, 272621.9038394043 7042803.950394967 16.866, 272581.80352766626 7042802.155897247 17.035, 272570.3751718791 7042801.607774656 16.959, 272566.1978666729 7042801.507783345 16.933, 272566.36754431477 7042799.146491589 16.936, 272580.5804689903 7042799.823464397 16.966, 272596.90208213683 7042800.642775442 17.14, 272613.41458171734 7042801.211006316 17.229, 272627.9223290591 7042801.532319016 17.391000000000002, 272632.7110909743 7042801.686527688 17.377, 272652.12430948066 7042802.110716281 17.565, 272672.95613837335 7042802.289644828 17.855, 272692.220206004 7042801.663467643 18.085)</t>
  </si>
  <si>
    <t>POLYGON Z ((272692.220206004 7042801.663467643 18.085, 272692.40802881366 7042804.3314869115 18.154, 272685.64587087533 7042804.489669831 18.01, 272675.1185421251 7042804.533888973 17.849, 272661.0972534178 7042804.342775378 17.553, 272644.8390351612 7042804.252985043 17.282, 272621.9038394043 7042803.950394967 16.866, 272581.80352766626 7042802.155897247 17.035, 272570.3751718791 7042801.607774656 16.959, 272566.1978666729 7042801.507783345 16.933, 272566.36754431477 7042799.146491589 16.936, 272580.5804689903 7042799.823464397 16.966, 272596.90208213683 7042800.642775442 17.14, 272613.41458171734 7042801.211006316 17.229, 272627.9223290591 7042801.532319016 17.391000000000002, 272632.7110909743 7042801.686527688 17.377, 272652.12430948066 7042802.110716281 17.565, 272672.95613837335 7042802.289644828 17.855, 272692.220206004 7042801.663467643 18.085))</t>
  </si>
  <si>
    <t>['RV706 S2D100 m466-487']</t>
  </si>
  <si>
    <t>LINESTRING Z (272823.18745646195 7042793.951731634 18.48, 272824.0811141848 7042797.900652492 17.64, 272824.7178975567 7042803.000716099 17.746, 272824.8263983234 7042805.952067475 17.867, 272824.4377546675 7042807.4534070715 17.906, 272823.3307507064 7042808.977241904 17.904, 272822.1095742732 7042809.605674859 17.931, 272820.6030337907 7042809.84108138 17.998, 272818.6855874141 7042809.381460023 18.129, 272817.0499922011 7042808.153977165 18.148, 272813.7559265378 7042805.00374005 18.174, 272811.7420169575 7042803.544191102 18.218, 272808.1706808719 7042802.323630853 18.345, 272803.33351922955 7042801.837925587 18.946, 272803.32266252214 7042801.5840021605 19.365000000000002, 272810.7548698068 7042801.671439717 18.511, 272814.22973180516 7042801.763726659 18.594, 272816.002406679 7042801.562728413 18.637, 272817.08292918716 7042800.8449291885 18.669, 272819.6331921072 7042797.41762679 18.771, 272822.2692412367 7042794.2830921365 18.87, 272822.49443810934 7042793.79295816 18.588, 272823.18745646195 7042793.951731634 18.48)</t>
  </si>
  <si>
    <t>POLYGON Z ((272823.18745646195 7042793.951731634 18.48, 272824.0811141848 7042797.900652492 17.64, 272824.7178975567 7042803.000716099 17.746, 272824.8263983234 7042805.952067475 17.867, 272824.4377546675 7042807.4534070715 17.906, 272823.3307507064 7042808.977241904 17.904, 272822.1095742732 7042809.605674859 17.931, 272820.6030337907 7042809.84108138 17.998, 272818.6855874141 7042809.381460023 18.129, 272817.0499922011 7042808.153977165 18.148, 272813.7559265378 7042805.00374005 18.174, 272811.7420169575 7042803.544191102 18.218, 272808.1706808719 7042802.323630853 18.345, 272803.33351922955 7042801.837925587 18.946, 272803.32266252214 7042801.5840021605 19.365000000000002, 272810.7548698068 7042801.671439717 18.511, 272814.22973180516 7042801.763726659 18.594, 272816.002406679 7042801.562728413 18.637, 272817.08292918716 7042800.8449291885 18.669, 272819.6331921072 7042797.41762679 18.771, 272822.2692412367 7042794.2830921365 18.87, 272822.49443810934 7042793.79295816 18.588, 272823.18745646195 7042793.951731634 18.48))</t>
  </si>
  <si>
    <t>['RV706 S2D100 m366-405']</t>
  </si>
  <si>
    <t>LINESTRING Z (272703.2452770517 7042803.875396599 18.194, 272709.0673232005 7042803.509656223 18.224, 272717.07265357696 7042803.163685839 18.378, 272721.55679301184 7042803.634135146 18.384, 272727.54888921895 7042806.31067205 18.815, 272727.48468949844 7042805.398716502 18.82, 272741.19857647043 7042799.371618878 19.632, 272728.7028229659 7042799.955493943 18.94, 272715.8469825075 7042800.808376416 18.541, 272702.9468037187 7042801.672401935 18.259, 272703.2452770517 7042803.875396599 18.194)</t>
  </si>
  <si>
    <t>POLYGON Z ((272703.2452770517 7042803.875396599 18.194, 272709.0673232005 7042803.509656223 18.224, 272717.07265357696 7042803.163685839 18.378, 272721.55679301184 7042803.634135146 18.384, 272727.54888921895 7042806.31067205 18.815, 272727.48468949844 7042805.398716502 18.82, 272741.19857647043 7042799.371618878 19.632, 272728.7028229659 7042799.955493943 18.94, 272715.8469825075 7042800.808376416 18.541, 272702.9468037187 7042801.672401935 18.259, 272703.2452770517 7042803.875396599 18.194))</t>
  </si>
  <si>
    <t>['RV706 S2D101 m106-227']</t>
  </si>
  <si>
    <t>LINESTRING Z (272738.9062187991 7042840.461526912 17.686, 272740.95978453325 7042840.290889478 17.935, 272741.536575719 7042839.681749128 17.932, 272741.4415950485 7042837.235812075 17.997, 272741.22365401435 7042835.236714543 18.081, 272739.73272166273 7042832.759700389 17.994, 272737.1015767029 7042828.400655497 18.044, 272731.5355284909 7042818.6721628355 18.234, 272727.5820800994 7042813.277155792 18.306, 272724.47707816126 7042810.263010903 18.295, 272721.3536474472 7042808.610838001 18.264, 272717.5326130832 7042807.518153231 18.273, 272704.92888707493 7042808.177814001 18.257, 272686.2369227373 7042808.598270219 18.047, 272672.7710401108 7042808.847352148 17.827, 272649.7284641544 7042808.74283687 17.416, 272645.2779681077 7042808.750316286 17.427, 272653.9094011545 7042814.81971673 16.594, 272660.4655781546 7042814.968824942 17.448, 272674.4287209108 7042814.946443389 17.580000000000002, 272686.6853682636 7042814.868721543 16.911, 272700.0300453894 7042815.091422882 17.483, 272712.842192987 7042814.942508203 18.103, 272720.3665742543 7042814.587278676 17.981, 272723.0870011761 7042814.787825132 17.617, 272725.2069391022 7042815.773651359 17.649, 272729.36046769697 7042820.848747266 17.62, 272733.8629701404 7042827.804420962 17.655, 272736.1794668083 7042832.251795275 17.614, 272737.9664082148 7042835.99945882 17.56, 272738.9062187991 7042840.461526912 17.686)</t>
  </si>
  <si>
    <t>POLYGON Z ((272738.9062187991 7042840.461526912 17.686, 272740.95978453325 7042840.290889478 17.935, 272741.536575719 7042839.681749128 17.932, 272741.4415950485 7042837.235812075 17.997, 272741.22365401435 7042835.236714543 18.081, 272739.73272166273 7042832.759700389 17.994, 272737.1015767029 7042828.400655497 18.044, 272731.5355284909 7042818.6721628355 18.234, 272727.5820800994 7042813.277155792 18.306, 272724.47707816126 7042810.263010903 18.295, 272721.3536474472 7042808.610838001 18.264, 272717.5326130832 7042807.518153231 18.273, 272704.92888707493 7042808.177814001 18.257, 272686.2369227373 7042808.598270219 18.047, 272672.7710401108 7042808.847352148 17.827, 272649.7284641544 7042808.74283687 17.416, 272645.2779681077 7042808.750316286 17.427, 272653.9094011545 7042814.81971673 16.594, 272660.4655781546 7042814.968824942 17.448, 272674.4287209108 7042814.946443389 17.580000000000002, 272686.6853682636 7042814.868721543 16.911, 272700.0300453894 7042815.091422882 17.483, 272712.842192987 7042814.942508203 18.103, 272720.3665742543 7042814.587278676 17.981, 272723.0870011761 7042814.787825132 17.617, 272725.2069391022 7042815.773651359 17.649, 272729.36046769697 7042820.848747266 17.62, 272733.8629701404 7042827.804420962 17.655, 272736.1794668083 7042832.251795275 17.614, 272737.9664082148 7042835.99945882 17.56, 272738.9062187991 7042840.461526912 17.686))</t>
  </si>
  <si>
    <t>['RV706 S2D101 m14-86']</t>
  </si>
  <si>
    <t>LINESTRING Z (272625.3533820776 7042808.027222877 16.985, 272625.34129978495 7042811.330995313 16.89, 272618.45510732895 7042812.077475693 16.576, 272598.23505633255 7042811.843447399 16.267, 272588.3976616829 7042811.575384338 16.079, 272574.96453748643 7042811.492268797 15.857000000000001, 272572.8669155354 7042812.162348256 15.847, 272563.3394454943 7042808.975641135 15.97, 272559.98491376324 7042808.9119831035 16.052, 272555.82301718136 7042807.962615468 15.914, 272552.0845350318 7042807.672301341 16.046, 272545.43300281314 7042809.886271371 16.017, 272537.08562502393 7042813.264448294 15.860000000000001, 272536.6304386144 7042812.524406524 15.829, 272544.2950447121 7042808.862398639 16.32, 272551.2186276291 7042806.125916969 16.686, 272554.3468446639 7042805.267974305 16.822, 272557.55365855823 7042805.042221474 16.787, 272565.1639211329 7042805.379834711 16.848, 272569.9836533372 7042805.703326414 16.963, 272576.4137839427 7042806.184180862 17.06, 272582.0503765428 7042806.403039967 17.084, 272595.26258951065 7042806.96596164 17.14, 272606.10510324145 7042807.496165935 17.002, 272614.0873765581 7042807.748430266 16.939, 272625.3533820776 7042808.027222877 16.985)</t>
  </si>
  <si>
    <t>POLYGON Z ((272625.3533820776 7042808.027222877 16.985, 272625.34129978495 7042811.330995313 16.89, 272618.45510732895 7042812.077475693 16.576, 272598.23505633255 7042811.843447399 16.267, 272588.3976616829 7042811.575384338 16.079, 272574.96453748643 7042811.492268797 15.857000000000001, 272572.8669155354 7042812.162348256 15.847, 272563.3394454943 7042808.975641135 15.97, 272559.98491376324 7042808.9119831035 16.052, 272555.82301718136 7042807.962615468 15.914, 272552.0845350318 7042807.672301341 16.046, 272545.43300281314 7042809.886271371 16.017, 272537.08562502393 7042813.264448294 15.860000000000001, 272536.6304386144 7042812.524406524 15.829, 272544.2950447121 7042808.862398639 16.32, 272551.2186276291 7042806.125916969 16.686, 272554.3468446639 7042805.267974305 16.822, 272557.55365855823 7042805.042221474 16.787, 272565.1639211329 7042805.379834711 16.848, 272569.9836533372 7042805.703326414 16.963, 272576.4137839427 7042806.184180862 17.06, 272582.0503765428 7042806.403039967 17.084, 272595.26258951065 7042806.96596164 17.14, 272606.10510324145 7042807.496165935 17.002, 272614.0873765581 7042807.748430266 16.939, 272625.3533820776 7042808.027222877 16.985))</t>
  </si>
  <si>
    <t>['RV706 S2D101 m217-221']</t>
  </si>
  <si>
    <t>LINESTRING Z (272744.2475917208 7042831.615631239 19.297, 272744.17558747565 7042832.059886241 18.602, 272745.7371105247 7042834.42865198 18.166, 272748.84582851565 7042836.042754346 18.107, 272752.32559437957 7042834.481230309 18.211000000000002, 272751.6389710845 7042834.270868609 19.084, 272751.460028982 7042833.922490955 19.561, 272744.2475917208 7042831.615631239 19.297)</t>
  </si>
  <si>
    <t>POLYGON Z ((272744.2475917208 7042831.615631239 19.297, 272744.17558747565 7042832.059886241 18.602, 272745.7371105247 7042834.42865198 18.166, 272748.84582851565 7042836.042754346 18.107, 272752.32559437957 7042834.481230309 18.211000000000002, 272751.6389710845 7042834.270868609 19.084, 272751.460028982 7042833.922490955 19.561, 272744.2475917208 7042831.615631239 19.297))</t>
  </si>
  <si>
    <t>['RV706 S2D100 m490-506']</t>
  </si>
  <si>
    <t>LINESTRING Z (272843.06279766955 7042797.921046482 18.833000000000002, 272839.3342177437 7042799.793878357 17.926000000000002, 272835.3336015241 7042801.619682386 17.745, 272833.50144323194 7042802.286113518 17.729, 272831.4781302918 7042802.630094566 17.719, 272829.72689071344 7042802.081564103 17.673000000000002, 272828.57364734093 7042800.954487534 17.615000000000002, 272827.7990089591 7042798.52531416 17.601, 272827.102265188 7042794.425160167 17.644000000000002, 272826.9761628358 7042793.488484412 18.839, 272828.0456021193 7042793.154499738 18.785, 272831.95188126666 7042796.455160824 18.539, 272834.97796196665 7042798.804048683 18.355, 272836.5371284882 7042799.23073519 18.278, 272838.42377495125 7042798.939491624 18.186, 272843.06279766955 7042797.921046482 18.833000000000002)</t>
  </si>
  <si>
    <t>POLYGON Z ((272843.06279766955 7042797.921046482 18.833000000000002, 272839.3342177437 7042799.793878357 17.926000000000002, 272835.3336015241 7042801.619682386 17.745, 272833.50144323194 7042802.286113518 17.729, 272831.4781302918 7042802.630094566 17.719, 272829.72689071344 7042802.081564103 17.673000000000002, 272828.57364734093 7042800.954487534 17.615000000000002, 272827.7990089591 7042798.52531416 17.601, 272827.102265188 7042794.425160167 17.644000000000002, 272826.9761628358 7042793.488484412 18.839, 272828.0456021193 7042793.154499738 18.785, 272831.95188126666 7042796.455160824 18.539, 272834.97796196665 7042798.804048683 18.355, 272836.5371284882 7042799.23073519 18.278, 272838.42377495125 7042798.939491624 18.186, 272843.06279766955 7042797.921046482 18.833000000000002))</t>
  </si>
  <si>
    <t>['KV17852 S1D1 m490-517']</t>
  </si>
  <si>
    <t>LINESTRING (266054.4743324385 6649076.570119294, 266054.8719508799 6649079.176259114, 266058.43285922665 6649078.671768583, 266062.0091658012 6649078.226158663, 266066.3590686174 6649077.780563596, 266082.2902845769 6649076.533513032, 266081.95067514514 6649072.133791109, 266080.1996669143 6649072.102052696, 266078.4504678524 6649072.200756776, 266077.38428003126 6649072.297662283, 266076.3325848679 6649072.443483997, 266074.21651104116 6649072.816653725, 266072.1131185283 6649073.218810922, 266066.92801140086 6649074.202464973, 266054.4743324385 6649076.570119294)</t>
  </si>
  <si>
    <t>POLYGON ((266054.4743324385 6649076.570119294, 266054.8719508799 6649079.176259114, 266058.43285922665 6649078.671768583, 266062.0091658012 6649078.226158663, 266066.3590686174 6649077.780563596, 266082.2902845769 6649076.533513032, 266081.95067514514 6649072.133791109, 266080.1996669143 6649072.102052696, 266078.4504678524 6649072.200756776, 266077.38428003126 6649072.297662283, 266076.3325848679 6649072.443483997, 266074.21651104116 6649072.816653725, 266072.1131185283 6649073.218810922, 266066.92801140086 6649074.202464973, 266054.4743324385 6649076.570119294))</t>
  </si>
  <si>
    <t>['KV17852 S2D1 m367-405', 'KV17852 S2D1 m405 KD1 m53-87']</t>
  </si>
  <si>
    <t>LINESTRING (266467.47315251327 6649098.569284835, 266467.2557190974 6649100.156325615, 266486.31923008675 6649102.753750379, 266494.2734555674 6649103.829141299, 266498.4684167183 6649104.774019179, 266502.47404075065 6649106.509698095, 266506.08742250275 6649108.793407098, 266509.19351414754 6649111.9068624955, 266521.71564882714 6649127.757611106, 266523.00193313893 6649128.755878653, 266524.384246396 6649129.2631788235, 266525.90154232824 6649129.155411311, 266527.3355112232 6649128.462465021, 266528.55026886106 6649127.568416601, 266527.1924270761 6649126.335533356, 266525.6543174661 6649125.33001434, 266522.73027816246 6649123.445797674, 266520.24920823355 6649121.018986765, 266518.2654494359 6649118.536928395, 266512.1411609643 6649110.845264964, 266507.9199818598 6649107.18012765, 266505.02674110106 6649105.30315763, 266500.2330330312 6649103.408034724, 266496.4321129926 6649102.598135505, 266472.82398002816 6649099.298593273, 266467.47315251327 6649098.569284835)</t>
  </si>
  <si>
    <t>POLYGON ((266467.47315251327 6649098.569284835, 266467.2557190974 6649100.156325615, 266486.31923008675 6649102.753750379, 266494.2734555674 6649103.829141299, 266498.4684167183 6649104.774019179, 266502.47404075065 6649106.509698095, 266506.08742250275 6649108.793407098, 266509.19351414754 6649111.9068624955, 266521.71564882714 6649127.757611106, 266523.00193313893 6649128.755878653, 266524.384246396 6649129.2631788235, 266525.90154232824 6649129.155411311, 266527.3355112232 6649128.462465021, 266528.55026886106 6649127.568416601, 266527.1924270761 6649126.335533356, 266525.6543174661 6649125.33001434, 266522.73027816246 6649123.445797674, 266520.24920823355 6649121.018986765, 266518.2654494359 6649118.536928395, 266512.1411609643 6649110.845264964, 266507.9199818598 6649107.18012765, 266505.02674110106 6649105.30315763, 266500.2330330312 6649103.408034724, 266496.4321129926 6649102.598135505, 266472.82398002816 6649099.298593273, 266467.47315251327 6649098.569284835))</t>
  </si>
  <si>
    <t>['KV17852 S1D1 m147-158']</t>
  </si>
  <si>
    <t>LINESTRING (265717.28926236555 6649115.173814662, 265728.8252527218 6649117.742126558, 265727.5181341973 6649116.293642803, 265725.7290892201 6649115.511857739, 265717.67971257924 6649113.721739509, 265717.28926236555 6649115.173814662)</t>
  </si>
  <si>
    <t>POLYGON ((265717.28926236555 6649115.173814662, 265728.8252527218 6649117.742126558, 265727.5181341973 6649116.293642803, 265725.7290892201 6649115.511857739, 265717.67971257924 6649113.721739509, 265717.28926236555 6649115.173814662))</t>
  </si>
  <si>
    <t>['KV17852 S2D1 m350-363']</t>
  </si>
  <si>
    <t>LINESTRING (266462.6023930784 6649099.474134442, 266462.8442813982 6649098.045617387, 266451.9750427996 6649096.622325078, 266450.7177286489 6649096.495482602, 266450.7965000732 6649098.467514457, 266452.225023528 6649098.3778625615, 266453.7242009231 6649098.402348812, 266455.2215648907 6649098.517419787, 266462.6023930784 6649099.474134442)</t>
  </si>
  <si>
    <t>POLYGON ((266462.6023930784 6649099.474134442, 266462.8442813982 6649098.045617387, 266451.9750427996 6649096.622325078, 266450.7177286489 6649096.495482602, 266450.7965000732 6649098.467514457, 266452.225023528 6649098.3778625615, 266453.7242009231 6649098.402348812, 266455.2215648907 6649098.517419787, 266462.6023930784 6649099.474134442))</t>
  </si>
  <si>
    <t>['KV17852 S1D1 m172-377']</t>
  </si>
  <si>
    <t>LINESTRING (265742.37859787873 6649119.182689156, 265740.382105765 6649118.771394169, 265740.0695574705 6649120.3068090165, 265741.86676369404 6649120.625703215, 265743.8161507881 6649121.071419689, 265745.0154950953 6649121.334139692, 265746.97484654136 6649121.778950478, 265748.9233278942 6649122.214702509, 265750.8817736164 6649122.649548866, 265752.83025491075 6649123.085300872, 265753.82397151133 6649123.29638334, 265755.7724527614 6649123.732135322, 265757.73089838034 6649124.166981626, 265759.67937957164 6649124.6027335785, 265761.6278607339 6649125.038485519, 265763.58630626433 6649125.473331777, 265765.53478736815 6649125.909083688, 265767.49232717464 6649126.333965518, 265769.4580200187 6649126.738012877, 265771.421901503 6649127.122131428, 265773.38397162675 6649127.486321173, 265774.2934445697 6649127.6548269, 265776.2636677157 6649127.998182168, 265778.23117383587 6649128.311644233, 265780.20864432154 6649128.624200624, 265782.193362177 6649128.905958149, 265784.17717433575 6649129.177751266, 265786.1582694674 6649129.419651188, 265788.14842329826 6649129.650681041, 265790.1367657669 6649129.861782094, 265792.1332612685 6649130.052048685, 265794.1288510727 6649130.232350871, 265796.12172384886 6649130.382759866, 265798.11369092774 6649130.523204463, 265800.11381103843 6649130.642814597, 265802.1121197863 6649130.742495937, 265804.10861717106 6649130.822248487, 265806.11417325237 6649130.891130973, 265808.1170123053 6649130.930120273, 265810.11894566007 6649130.959145177, 265812.1181619868 6649130.9582769, 265814.25778545416 6649130.954693702, 265816.2642491107 6649130.923026578, 265818.25893701054 6649130.87233633, 265820.2617779406 6649130.8008116335, 265822.26280750765 6649130.709358154, 265824.2529669839 6649130.6088459445, 265826.25127949024 6649130.487499294, 265828.24687496887 6649130.336259466, 265830.24156474974 6649130.17505525, 265832.23444316804 6649129.993922256, 265834.22641588893 6649129.802824873, 265836.21567158244 6649129.581834319, 265838.2031159142 6649129.340914991, 265839.31550510036 6649129.19962296, 265841.3011380523 6649128.938774862, 265843.2849596427 6649128.657997987, 265845.2570054803 6649128.358198002, 265847.237204348 6649128.037563581, 265849.2056274641 6649127.697906054, 265851.17223921965 6649127.338319756, 265853.1370396149 6649126.958804685, 265855.1009343149 6649126.569325237, 265857.0630176551 6649126.159917022, 265859.013325246 6649125.731485704, 265860.97178586724 6649125.282219953, 265862.9085063507 6649124.814836768, 265864.8533798654 6649124.326619152, 265866.7873832971 6649123.829342827, 265868.7304454246 6649123.321196465, 265870.6635431341 6649122.813955782, 265872.5966408141 6649122.306715112, 265875.4428416395 6649121.5657818755, 265877.3759392482 6649121.058541244, 265879.3190012156 6649120.550394963, 265881.25209876604 6649120.043154364, 265883.18519628746 6649119.535913779, 265885.1191994434 6649119.038637597, 265887.0622612942 6649118.530491377, 265888.9953587283 6649118.023250841, 265890.92845613335 6649117.516010316, 265892.87151789665 6649117.007864145, 265894.8046152436 6649116.500623652, 265896.73771256144 6649115.993383173, 265898.6717155138 6649115.4961071, 265900.61477716005 6649114.9879609905, 265902.54787439073 6649114.480720556, 265904.4809715925 6649113.973480142, 265906.42403315136 6649113.465334079, 265908.3571302946 6649112.958093691, 265910.29022740934 6649112.450853323, 265912.2242301579 6649111.953577351, 265914.16729159944 6649111.445431348, 265916.10038862674 6649110.938191024, 265918.0334856252 6649110.430950716, 265919.9765469793 6649109.92280476, 265921.90964391956 6649109.415564482, 265923.8427408306 6649108.9083242165, 265925.7767433753 6649108.411048354, 265927.7198046126 6649107.902902459, 265929.65290143667 6649107.395662244, 265931.58599823137 6649106.888422038, 265933.529059381 6649106.38027619, 265935.46215611766 6649105.873036021, 265937.39525282534 6649105.365795864, 265939.32925516635 6649104.868520107, 265941.2723161991 6649104.360374319, 265943.2054128194 6649103.853134207, 265945.13850941113 6649103.345894113, 265944.5642377448 6649101.338516437, 265942.61030880857 6649101.72708957, 265940.64550979657 6649102.106603988, 265938.68161641597 6649102.496082803, 265936.71681734244 6649102.875597247, 265934.75292390026 6649103.265076086, 265932.78812476486 6649103.644590548, 265930.82423126115 6649104.034069411, 265928.85943206423 6649104.4135839, 265926.89553849876 6649104.8030627845, 265924.9307392404 6649105.182577296, 265922.96684561344 6649105.572056205, 265921.00204629323 6649105.95157074, 265919.0381526047 6649106.341049671, 265917.073353223 6649106.72056423, 265915.1094594728 6649107.110043185, 265913.1736454274 6649107.587390296, 265911.22967829247 6649108.085571854, 265907.3517083201 6649109.081029355, 265905.41770548315 6649109.578305296, 265903.4837026171 6649110.075581252, 265901.5406409984 6649110.583727273, 265899.6075437372 6649111.090967646, 265897.6744464468 6649111.598208034, 265895.7413491275 6649112.105448438, 265893.7991930554 6649112.623558909, 265891.86609567783 6649113.130799344, 265889.9329982715 6649113.638039791, 265887.99990083586 6649114.145280258, 265886.0568389837 6649114.653426401, 265884.12374149 6649115.160666898, 265882.1906439676 6649115.667907408, 265880.25754641567 6649116.175147936, 265878.31357878307 6649116.673329751, 265876.3804811732 6649117.180570309, 265874.4473835345 6649117.687810881, 265872.5043214777 6649118.195957132, 265870.5811881696 6649118.7022920735, 265868.64809044346 6649119.209532689, 265866.7149926887 6649119.716773323, 265864.7710248515 6649120.214955246, 265862.8379270382 6649120.72219591, 265860.90482919605 6649121.229436592, 265858.9608612709 6649121.727618559, 265857.0259520422 6649122.21493049, 265855.0783614014 6649122.673254929, 265853.1298650664 6649123.121614992, 265851.16959298216 6649123.550951949, 265849.2075095389 6649123.96036014, 265847.24361473636 6649124.3498395635, 265845.27790857386 6649124.719390212, 265843.3103910516 6649125.069012095, 265841.3419678339 6649125.408669594, 265839.3617688639 6649125.729303982, 265837.3888172604 6649126.019139544, 265835.40499556874 6649126.299916385, 265833.4193625161 6649126.560764453, 265831.43191810185 6649126.801683744, 265829.4435679909 6649127.032638651, 265827.452500853 6649127.233700384, 265825.4605280183 6649127.4247977305, 265823.4658381565 6649127.586001908, 265821.47024259716 6649127.737241691, 265819.472835676 6649127.868552699, 265817.4736173918 6649127.979934918, 265815.48255213874 6649128.070482692, 265813.1798736573 6649128.159212897, 265811.18518567394 6649128.209903097, 265809.17962759954 6649128.251534573, 265807.181316891 6649128.262367198, 265805.1821004848 6649128.263235431, 265803.18016705057 6649128.234210475, 265801.1773279187 6649128.195221128, 265799.17267742404 6649128.136302989, 265797.1761799614 6649128.056550393, 265795.17877680087 6649127.966833393, 265793.178656613 6649127.847223207, 265791.18759512284 6649127.716742958, 265789.5778976258 6649127.581740617, 265787.5832134176 6649127.411402776, 265785.58762351173 6649127.2311005285, 265783.6001866398 6649127.0299638165, 265781.610938406 6649126.80889831, 265779.61987881036 6649126.567903997, 265777.63697224995 6649126.306075223, 265775.65225432767 6649126.024317643, 265773.4012167365 6649125.686392165, 265771.43280488206 6649125.362965648, 265769.45352293446 6649125.030480382, 265767.4914527561 6649124.666290588, 265765.518512485 6649124.293042043, 265763.5636896494 6649123.898053365, 265761.5979967213 6649123.494005938, 265759.6495155648 6649123.058253973, 265757.69106998085 6649122.62340766, 265755.7425887658 6649122.187655668, 265753.7841431231 6649121.752809324, 265751.15899257886 6649121.1675788, 265749.2105112657 6649120.731826758, 265747.25206552417 6649120.296980361, 265744.3288906233 6649119.638370048, 265742.37859787873 6649119.182689156)</t>
  </si>
  <si>
    <t>POLYGON ((265742.37859787873 6649119.182689156, 265740.382105765 6649118.771394169, 265740.0695574705 6649120.3068090165, 265741.86676369404 6649120.625703215, 265743.8161507881 6649121.071419689, 265745.0154950953 6649121.334139692, 265746.97484654136 6649121.778950478, 265748.9233278942 6649122.214702509, 265750.8817736164 6649122.649548866, 265752.83025491075 6649123.085300872, 265753.82397151133 6649123.29638334, 265755.7724527614 6649123.732135322, 265757.73089838034 6649124.166981626, 265759.67937957164 6649124.6027335785, 265761.6278607339 6649125.038485519, 265763.58630626433 6649125.473331777, 265765.53478736815 6649125.909083688, 265767.49232717464 6649126.333965518, 265769.4580200187 6649126.738012877, 265771.421901503 6649127.122131428, 265773.38397162675 6649127.486321173, 265774.2934445697 6649127.6548269, 265776.2636677157 6649127.998182168, 265778.23117383587 6649128.311644233, 265780.20864432154 6649128.624200624, 265782.193362177 6649128.905958149, 265784.17717433575 6649129.177751266, 265786.1582694674 6649129.419651188, 265788.14842329826 6649129.650681041, 265790.1367657669 6649129.861782094, 265792.1332612685 6649130.052048685, 265794.1288510727 6649130.232350871, 265796.12172384886 6649130.382759866, 265798.11369092774 6649130.523204463, 265800.11381103843 6649130.642814597, 265802.1121197863 6649130.742495937, 265804.10861717106 6649130.822248487, 265806.11417325237 6649130.891130973, 265808.1170123053 6649130.930120273, 265810.11894566007 6649130.959145177, 265812.1181619868 6649130.9582769, 265814.25778545416 6649130.954693702, 265816.2642491107 6649130.923026578, 265818.25893701054 6649130.87233633, 265820.2617779406 6649130.8008116335, 265822.26280750765 6649130.709358154, 265824.2529669839 6649130.6088459445, 265826.25127949024 6649130.487499294, 265828.24687496887 6649130.336259466, 265830.24156474974 6649130.17505525, 265832.23444316804 6649129.993922256, 265834.22641588893 6649129.802824873, 265836.21567158244 6649129.581834319, 265838.2031159142 6649129.340914991, 265839.31550510036 6649129.19962296, 265841.3011380523 6649128.938774862, 265843.2849596427 6649128.657997987, 265845.2570054803 6649128.358198002, 265847.237204348 6649128.037563581, 265849.2056274641 6649127.697906054, 265851.17223921965 6649127.338319756, 265853.1370396149 6649126.958804685, 265855.1009343149 6649126.569325237, 265857.0630176551 6649126.159917022, 265859.013325246 6649125.731485704, 265860.97178586724 6649125.282219953, 265862.9085063507 6649124.814836768, 265864.8533798654 6649124.326619152, 265866.7873832971 6649123.829342827, 265868.7304454246 6649123.321196465, 265870.6635431341 6649122.813955782, 265872.5966408141 6649122.306715112, 265875.4428416395 6649121.5657818755, 265877.3759392482 6649121.058541244, 265879.3190012156 6649120.550394963, 265881.25209876604 6649120.043154364, 265883.18519628746 6649119.535913779, 265885.1191994434 6649119.038637597, 265887.0622612942 6649118.530491377, 265888.9953587283 6649118.023250841, 265890.92845613335 6649117.516010316, 265892.87151789665 6649117.007864145, 265894.8046152436 6649116.500623652, 265896.73771256144 6649115.993383173, 265898.6717155138 6649115.4961071, 265900.61477716005 6649114.9879609905, 265902.54787439073 6649114.480720556, 265904.4809715925 6649113.973480142, 265906.42403315136 6649113.465334079, 265908.3571302946 6649112.958093691, 265910.29022740934 6649112.450853323, 265912.2242301579 6649111.953577351, 265914.16729159944 6649111.445431348, 265916.10038862674 6649110.938191024, 265918.0334856252 6649110.430950716, 265919.9765469793 6649109.92280476, 265921.90964391956 6649109.415564482, 265923.8427408306 6649108.9083242165, 265925.7767433753 6649108.411048354, 265927.7198046126 6649107.902902459, 265929.65290143667 6649107.395662244, 265931.58599823137 6649106.888422038, 265933.529059381 6649106.38027619, 265935.46215611766 6649105.873036021, 265937.39525282534 6649105.365795864, 265939.32925516635 6649104.868520107, 265941.2723161991 6649104.360374319, 265943.2054128194 6649103.853134207, 265945.13850941113 6649103.345894113, 265944.5642377448 6649101.338516437, 265942.61030880857 6649101.72708957, 265940.64550979657 6649102.106603988, 265938.68161641597 6649102.496082803, 265936.71681734244 6649102.875597247, 265934.75292390026 6649103.265076086, 265932.78812476486 6649103.644590548, 265930.82423126115 6649104.034069411, 265928.85943206423 6649104.4135839, 265926.89553849876 6649104.8030627845, 265924.9307392404 6649105.182577296, 265922.96684561344 6649105.572056205, 265921.00204629323 6649105.95157074, 265919.0381526047 6649106.341049671, 265917.073353223 6649106.72056423, 265915.1094594728 6649107.110043185, 265913.1736454274 6649107.587390296, 265911.22967829247 6649108.085571854, 265907.3517083201 6649109.081029355, 265905.41770548315 6649109.578305296, 265903.4837026171 6649110.075581252, 265901.5406409984 6649110.583727273, 265899.6075437372 6649111.090967646, 265897.6744464468 6649111.598208034, 265895.7413491275 6649112.105448438, 265893.7991930554 6649112.623558909, 265891.86609567783 6649113.130799344, 265889.9329982715 6649113.638039791, 265887.99990083586 6649114.145280258, 265886.0568389837 6649114.653426401, 265884.12374149 6649115.160666898, 265882.1906439676 6649115.667907408, 265880.25754641567 6649116.175147936, 265878.31357878307 6649116.673329751, 265876.3804811732 6649117.180570309, 265874.4473835345 6649117.687810881, 265872.5043214777 6649118.195957132, 265870.5811881696 6649118.7022920735, 265868.64809044346 6649119.209532689, 265866.7149926887 6649119.716773323, 265864.7710248515 6649120.214955246, 265862.8379270382 6649120.72219591, 265860.90482919605 6649121.229436592, 265858.9608612709 6649121.727618559, 265857.0259520422 6649122.21493049, 265855.0783614014 6649122.673254929, 265853.1298650664 6649123.121614992, 265851.16959298216 6649123.550951949, 265849.2075095389 6649123.96036014, 265847.24361473636 6649124.3498395635, 265845.27790857386 6649124.719390212, 265843.3103910516 6649125.069012095, 265841.3419678339 6649125.408669594, 265839.3617688639 6649125.729303982, 265837.3888172604 6649126.019139544, 265835.40499556874 6649126.299916385, 265833.4193625161 6649126.560764453, 265831.43191810185 6649126.801683744, 265829.4435679909 6649127.032638651, 265827.452500853 6649127.233700384, 265825.4605280183 6649127.4247977305, 265823.4658381565 6649127.586001908, 265821.47024259716 6649127.737241691, 265819.472835676 6649127.868552699, 265817.4736173918 6649127.979934918, 265815.48255213874 6649128.070482692, 265813.1798736573 6649128.159212897, 265811.18518567394 6649128.209903097, 265809.17962759954 6649128.251534573, 265807.181316891 6649128.262367198, 265805.1821004848 6649128.263235431, 265803.18016705057 6649128.234210475, 265801.1773279187 6649128.195221128, 265799.17267742404 6649128.136302989, 265797.1761799614 6649128.056550393, 265795.17877680087 6649127.966833393, 265793.178656613 6649127.847223207, 265791.18759512284 6649127.716742958, 265789.5778976258 6649127.581740617, 265787.5832134176 6649127.411402776, 265785.58762351173 6649127.2311005285, 265783.6001866398 6649127.0299638165, 265781.610938406 6649126.80889831, 265779.61987881036 6649126.567903997, 265777.63697224995 6649126.306075223, 265775.65225432767 6649126.024317643, 265773.4012167365 6649125.686392165, 265771.43280488206 6649125.362965648, 265769.45352293446 6649125.030480382, 265767.4914527561 6649124.666290588, 265765.518512485 6649124.293042043, 265763.5636896494 6649123.898053365, 265761.5979967213 6649123.494005938, 265759.6495155648 6649123.058253973, 265757.69106998085 6649122.62340766, 265755.7425887658 6649122.187655668, 265753.7841431231 6649121.752809324, 265751.15899257886 6649121.1675788, 265749.2105112657 6649120.731826758, 265747.25206552417 6649120.296980361, 265744.3288906233 6649119.638370048, 265742.37859787873 6649119.182689156))</t>
  </si>
  <si>
    <t>['KV17852 S1D1 m478-490']</t>
  </si>
  <si>
    <t>LINESTRING (266049.4504680093 6649077.448698026, 266047.1486847697 6649078.320988066, 266046.24373163586 6649078.754873183, 266045.3967513079 6649079.273909383, 266043.99265893816 6649080.516709613, 266043.01249792613 6649082.112799759, 266045.79981225485 6649081.497780509, 266047.66315666767 6649080.996880774, 266049.4630942845 6649080.351043734, 266049.7158284019 6649080.257745961, 266049.9694681786 6649080.174412562, 266052.3980648844 6649079.591997135, 266054.8719508799 6649079.176259114, 266054.4743324385 6649076.570119294, 266049.4504680093 6649077.448698026)</t>
  </si>
  <si>
    <t>POLYGON ((266049.4504680093 6649077.448698026, 266047.1486847697 6649078.320988066, 266046.24373163586 6649078.754873183, 266045.3967513079 6649079.273909383, 266043.99265893816 6649080.516709613, 266043.01249792613 6649082.112799759, 266045.79981225485 6649081.497780509, 266047.66315666767 6649080.996880774, 266049.4630942845 6649080.351043734, 266049.7158284019 6649080.257745961, 266049.9694681786 6649080.174412562, 266052.3980648844 6649079.591997135, 266054.8719508799 6649079.176259114, 266054.4743324385 6649076.570119294, 266049.4504680093 6649077.448698026))</t>
  </si>
  <si>
    <t>['KV17852 S3D1 m42-83']</t>
  </si>
  <si>
    <t>LINESTRING (266603.08561584284 6649055.490692614, 266601.0819310539 6649053.010446247, 266595.57077455416 6649052.285662852, 266591.0543077305 6649047.913960095, 266588.7083327959 6649039.23590412, 266590.2051677194 6649019.890672833, 266590.01951772004 6649017.405931948, 266589.9452672468 6649015.925777132, 266589.9072363652 6649015.175735389, 266589.6680837835 6649015.639524176, 266589.3093613989 6649016.003667497, 266588.7993562679 6649016.693006799, 266588.68610873644 6649017.547217951, 266588.92239978927 6649024.457926447, 266587.794444961 6649033.491912914, 266586.2797210039 6649041.14447595, 266583.54753784195 6649048.887600365, 266582.8889565092 6649050.484595342, 266582.1986708916 6649052.064378637, 266579.44118519593 6649056.655156574, 266575.7869246351 6649060.553850605, 266574.991578824 6649061.198798209, 266574.1744930367 6649061.825628466, 266573.9951329486 6649061.95244357, 266570.6226245316 6649064.087459679, 266570.89165301516 6649064.505060195, 266590.38650604105 6649057.920834787, 266591.84213809995 6649061.224485339, 266597.53090722795 6649058.487126193, 266603.08561584284 6649055.490692614)</t>
  </si>
  <si>
    <t>POLYGON ((266603.08561584284 6649055.490692614, 266601.0819310539 6649053.010446247, 266595.57077455416 6649052.285662852, 266591.0543077305 6649047.913960095, 266588.7083327959 6649039.23590412, 266590.2051677194 6649019.890672833, 266590.01951772004 6649017.405931948, 266589.9452672468 6649015.925777132, 266589.9072363652 6649015.175735389, 266589.6680837835 6649015.639524176, 266589.3093613989 6649016.003667497, 266588.7993562679 6649016.693006799, 266588.68610873644 6649017.547217951, 266588.92239978927 6649024.457926447, 266587.794444961 6649033.491912914, 266586.2797210039 6649041.14447595, 266583.54753784195 6649048.887600365, 266582.8889565092 6649050.484595342, 266582.1986708916 6649052.064378637, 266579.44118519593 6649056.655156574, 266575.7869246351 6649060.553850605, 266574.991578824 6649061.198798209, 266574.1744930367 6649061.825628466, 266573.9951329486 6649061.95244357, 266570.6226245316 6649064.087459679, 266570.89165301516 6649064.505060195, 266590.38650604105 6649057.920834787, 266591.84213809995 6649061.224485339, 266597.53090722795 6649058.487126193, 266603.08561584284 6649055.490692614))</t>
  </si>
  <si>
    <t>['KV17852 S1D1 m125-136']</t>
  </si>
  <si>
    <t>LINESTRING (265696.462879393 6649110.536357132, 265706.8094913529 6649112.841044118, 265707.189071565 6649111.379910111, 265698.3805920119 6649109.417664762, 265696.85332973505 6649109.084281744, 265696.462879393 6649110.536357132)</t>
  </si>
  <si>
    <t>POLYGON ((265696.462879393 6649110.536357132, 265706.8094913529 6649112.841044118, 265707.189071565 6649111.379910111, 265698.3805920119 6649109.417664762, 265696.85332973505 6649109.084281744, 265696.462879393 6649110.536357132))</t>
  </si>
  <si>
    <t>['KV17852 S1D1 m81-104']</t>
  </si>
  <si>
    <t>LINESTRING (265653.30459763785 6649100.062058154, 265653.1179761379 6649100.8827579515, 265665.1458486339 6649103.557066944, 265666.67401695286 6649103.900414534, 265675.40006645373 6649105.840012946, 265675.91371244023 6649104.416926985, 265664.6349785377 6649101.915650648, 265660.1863482875 6649101.054099106, 265655.7123508714 6649100.35560066, 265653.30459763785 6649100.062058154)</t>
  </si>
  <si>
    <t>POLYGON ((265653.30459763785 6649100.062058154, 265653.1179761379 6649100.8827579515, 265665.1458486339 6649103.557066944, 265666.67401695286 6649103.900414534, 265675.40006645373 6649105.840012946, 265675.91371244023 6649104.416926985, 265664.6349785377 6649101.915650648, 265660.1863482875 6649101.054099106, 265655.7123508714 6649100.35560066, 265653.30459763785 6649100.062058154))</t>
  </si>
  <si>
    <t>['KV17852 S1D1 m104-114']</t>
  </si>
  <si>
    <t>LINESTRING (265675.85211468313 6649104.402432158, 265675.40006645373 6649105.840012946, 265685.879840002 6649108.172784764, 265686.1588706366 6649106.710742757, 265675.85211468313 6649104.402432158)</t>
  </si>
  <si>
    <t>POLYGON ((265675.85211468313 6649104.402432158, 265675.40006645373 6649105.840012946, 265685.879840002 6649108.172784764, 265686.1588706366 6649106.710742757, 265675.85211468313 6649104.402432158))</t>
  </si>
  <si>
    <t>['KV17852 S1D1 m114-125']</t>
  </si>
  <si>
    <t>LINESTRING (265685.879840002 6649108.172784764, 265696.462879393 6649110.536357132, 265696.8424596679 6649109.075223006, 265686.22500091227 6649106.554031382, 265685.879840002 6649108.172784764)</t>
  </si>
  <si>
    <t>POLYGON ((265685.879840002 6649108.172784764, 265696.462879393 6649110.536357132, 265696.8424596679 6649109.075223006, 265686.22500091227 6649106.554031382, 265685.879840002 6649108.172784764))</t>
  </si>
  <si>
    <t>['KV17852 S1D1 m136-147']</t>
  </si>
  <si>
    <t>LINESTRING (265708.09126821347 6649113.126412186, 265717.28926236555 6649115.173814662, 265717.6688425136 6649113.712680773, 265707.189071565 6649111.379910111, 265706.81945575535 6649112.840138455, 265708.09126821347 6649113.126412186)</t>
  </si>
  <si>
    <t>POLYGON ((265708.09126821347 6649113.126412186, 265717.28926236555 6649115.173814662, 265717.6688425136 6649113.712680773, 265707.189071565 6649111.379910111, 265706.81945575535 6649112.840138455, 265708.09126821347 6649113.126412186))</t>
  </si>
  <si>
    <t>['KV17852 S3D1 m0-24', 'KV17852 S2D1 m405 KD1 m18-33']</t>
  </si>
  <si>
    <t>LINESTRING (266557.12714155565 6649073.341332509, 266556.0075474299 6649071.63469561, 266554.9821352376 6649071.295889273, 266551.74645026366 6649071.288580638, 266538.17593531567 6649072.421535783, 266525.8618223399 6649073.892396114, 266536.22012438416 6649076.9896849515, 266540.1705122242 6649077.564973142, 266544.1589607117 6649077.34311669, 266557.53021150106 6649075.012627677, 266557.12714155565 6649073.341332509)</t>
  </si>
  <si>
    <t>POLYGON ((266557.12714155565 6649073.341332509, 266556.0075474299 6649071.63469561, 266554.9821352376 6649071.295889273, 266551.74645026366 6649071.288580638, 266538.17593531567 6649072.421535783, 266525.8618223399 6649073.892396114, 266536.22012438416 6649076.9896849515, 266540.1705122242 6649077.564973142, 266544.1589607117 6649077.34311669, 266557.53021150106 6649075.012627677, 266557.12714155565 6649073.341332509))</t>
  </si>
  <si>
    <t>2024-10-16</t>
  </si>
  <si>
    <t>[13016]</t>
  </si>
  <si>
    <t>['KV13016 S2D1 m1208-1222']</t>
  </si>
  <si>
    <t>LINESTRING Z (258627.09963851146 6651987.697585354 55.829, 258628.3130148595 6651989.406845762 55.874, 258628.8246714868 6651989.630603046 55.9, 258630.35873438462 6651989.960348177 55.939, 258634.31881668672 6651990.992887851 56.074, 258638.17191114402 6651991.964822661 56.138, 258640.1390881914 6651992.43905843 56.172000000000004, 258640.74124439972 6651992.5310060205 56.185, 258640.98574723536 6651992.125974546 56.105000000000004, 258641.0805034468 6651991.621022079 56.076, 258638.91864591243 6651990.75153999 56.062000000000005, 258638.00702753686 6651989.200721817 56.079, 258635.19319552596 6651990.365816741 56.021, 258628.80536992496 6651987.782644665 55.816, 258627.09963851146 6651987.697585354 55.829)</t>
  </si>
  <si>
    <t>POLYGON Z ((258627.09963851146 6651987.697585354 55.829, 258628.3130148595 6651989.406845762 55.874, 258628.8246714868 6651989.630603046 55.9, 258630.35873438462 6651989.960348177 55.939, 258634.31881668672 6651990.992887851 56.074, 258638.17191114402 6651991.964822661 56.138, 258640.1390881914 6651992.43905843 56.172000000000004, 258640.74124439972 6651992.5310060205 56.185, 258640.98574723536 6651992.125974546 56.105000000000004, 258641.0805034468 6651991.621022079 56.076, 258638.91864591243 6651990.75153999 56.062000000000005, 258638.00702753686 6651989.200721817 56.079, 258635.19319552596 6651990.365816741 56.021, 258628.80536992496 6651987.782644665 55.816, 258627.09963851146 6651987.697585354 55.829))</t>
  </si>
  <si>
    <t>['KV13016 S2D1 m1088-1091']</t>
  </si>
  <si>
    <t>LINESTRING Z (258591.85726897046 6651994.623079354 55.11, 258589.1270458566 6651994.121759211 55.069, 258589.61814386593 6651996.020266294 54.82, 258591.85726897046 6651994.623079354 55.11)</t>
  </si>
  <si>
    <t>POLYGON Z ((258591.85726897046 6651994.623079354 55.11, 258589.1270458566 6651994.121759211 55.069, 258589.61814386593 6651996.020266294 54.82, 258591.85726897046 6651994.623079354 55.11))</t>
  </si>
  <si>
    <t>['KV13016 S2D1 m1092-1110', 'KV13016 S2D1 m1195-1220']</t>
  </si>
  <si>
    <t>LINESTRING Z (258628.07354281575 6652004.985899966 55.552, 258627.28449858152 6652005.05964331 55.574, 258627.49358289593 6652005.403343518 55.308, 258627.19173709728 6652006.08386139 54.659, 258620.70453533347 6652004.286382935 54.524, 258616.09600412942 6652003.105820535 54.47, 258610.76754851325 6652001.819903432 54.403, 258609.67348417093 6652001.50039372 54.83, 258605.85907131698 6652000.644505466 54.798, 258603.37652332854 6652000.137749287 54.772, 258597.6869732956 6651999.002213562 54.741, 258593.5743359421 6651998.247787629 54.7, 258593.5963471489 6651997.517355026 55.038000000000004, 258593.46480904907 6651997.374584555 55.056000000000004, 258592.6003927309 6651997.315522188 54.898, 258592.7880098598 6651998.528258836 54.619, 258593.34614002504 6651998.86534492 54.617000000000004, 258597.48767682893 6651999.937653376 54.603, 258603.15901748047 6652000.861841116 54.512, 258605.62824960044 6652001.664194633 54.32, 258608.5313184614 6652001.8895748425 54.57, 258610.05233684625 6652002.296865523 54.497, 258611.02265449314 6652002.658772051 54.233000000000004, 258613.74345661045 6652003.432226246 54.246, 258618.88158086588 6652004.6249260865 54.018, 258623.94696169748 6652006.144748866 54.068, 258628.42513311518 6652007.449692441 54.058, 258632.1443364899 6652008.893966805 54.063, 258633.57485281886 6652008.7699435325 54.032000000000004, 258632.5884993411 6652007.966407824 54.209, 258630.0480621098 6652006.745526105 54.844, 258628.07354281575 6652004.985899966 55.552)</t>
  </si>
  <si>
    <t>POLYGON Z ((258628.07354281575 6652004.985899966 55.552, 258627.28449858152 6652005.05964331 55.574, 258627.49358289593 6652005.403343518 55.308, 258627.19173709728 6652006.08386139 54.659, 258620.70453533347 6652004.286382935 54.524, 258616.09600412942 6652003.105820535 54.47, 258610.76754851325 6652001.819903432 54.403, 258609.67348417093 6652001.50039372 54.83, 258605.85907131698 6652000.644505466 54.798, 258603.37652332854 6652000.137749287 54.772, 258597.6869732956 6651999.002213562 54.741, 258593.5743359421 6651998.247787629 54.7, 258593.5963471489 6651997.517355026 55.038000000000004, 258593.46480904907 6651997.374584555 55.056000000000004, 258592.6003927309 6651997.315522188 54.898, 258592.7880098598 6651998.528258836 54.619, 258593.34614002504 6651998.86534492 54.617000000000004, 258597.48767682893 6651999.937653376 54.603, 258603.15901748047 6652000.861841116 54.512, 258605.62824960044 6652001.664194633 54.32, 258608.5313184614 6652001.8895748425 54.57, 258610.05233684625 6652002.296865523 54.497, 258611.02265449314 6652002.658772051 54.233000000000004, 258613.74345661045 6652003.432226246 54.246, 258618.88158086588 6652004.6249260865 54.018, 258623.94696169748 6652006.144748866 54.068, 258628.42513311518 6652007.449692441 54.058, 258632.1443364899 6652008.893966805 54.063, 258633.57485281886 6652008.7699435325 54.032000000000004, 258632.5884993411 6652007.966407824 54.209, 258630.0480621098 6652006.745526105 54.844, 258628.07354281575 6652004.985899966 55.552))</t>
  </si>
  <si>
    <t>['KV13016 S2D1 m1268-1356']</t>
  </si>
  <si>
    <t>LINESTRING Z (258679.12865956652 6652021.448763935 56.403, 258679.56132173023 6652021.875625381 56.4, 258680.29094088371 6652022.595999362 56.395, 258680.6507679602 6652022.951113294 56.392, 258680.85595635703 6652023.1524955 56.39, 258680.9607700332 6652023.2554966565 56.389, 258681.08669139497 6652023.380692437 56.388, 258681.7278938208 6652024.0126502765 56.382, 258682.44084424406 6652024.715449715 56.375, 258682.51150515102 6652024.785385416 56.374, 258682.59312755486 6652024.865376634 56.374, 258683.1537040731 6652025.417252645 56.368, 258683.8656580004 6652026.12014266 56.362, 258684.5786084238 6652026.822942072 56.355000000000004, 258685.2904717571 6652027.524835573 56.348, 258685.39537602745 6652027.6288332185 56.347, 258685.89525663978 6652028.120919619 56.343, 258686.00342218086 6652028.227634969 56.341, 258686.71637260457 6652028.930434357 56.335, 258687.4282359379 6652029.632327832 56.328, 258688.141186362 6652030.335127203 56.321, 258688.85314028978 6652031.038017161 56.315, 258689.56600011996 6652031.739820021 56.308, 258689.70397006915 6652031.875977202 56.307, 258690.2789505441 6652032.442619365 56.301, 258690.990904472 6652033.145509297 56.294000000000004, 258691.70376430245 6652033.84731213 56.288000000000004, 258692.14756915238 6652034.286222 56.284, 258692.41571823062 6652034.550202046 56.281, 258693.12866865526 6652035.25300136 56.274, 258693.84161908 6652035.955800665 56.268, 258694.5534824143 6652036.657694059 56.261, 258695.2664328393 6652037.360493348 56.254, 258695.69139477823 6652037.780016869 56.25, 258695.96280512764 6652038.0467146095 56.248000000000005, 258696.69124659867 6652038.765185994 56.241, 258697.4041970239 6652039.467985263 56.234, 258697.60177578955 6652039.663026099 56.232, 258698.11615095288 6652040.170875112 56.227000000000004, 258698.8290107842 6652040.872677863 56.221000000000004, 258699.54196120947 6652041.575477103 56.216, 258700.25391513886 6652042.278366927 56.212, 258700.9667749702 6652042.980169654 56.208, 258701.49437640558 6652043.500882455 56.206, 258701.67872889986 6652043.683059463 56.205, 258702.39167932546 6652044.385858668 56.203, 258703.10462975112 6652045.088657864 56.201, 258703.81649308713 6652045.790551157 56.2, 258704.52944351314 6652046.493350338 56.2, 258705.24139744302 6652047.196240106 56.201, 258705.95425727504 6652047.898042774 56.202, 258706.66720770122 6652048.60084193 56.204, 258707.3791616316 6652049.303731673 56.207, 258707.58770189443 6652049.508827993 56.208, 258708.0920214639 6652050.005534319 56.21, 258708.80497189052 6652050.708333451 56.214, 258709.51692582102 6652051.411223171 56.219, 258710.22978565344 6652052.113025789 56.225, 258710.94173958444 6652052.815915492 56.231, 258711.65469001117 6652053.518714589 56.238, 258712.36754984403 6652054.220517186 56.236000000000004, 258712.87313769266 6652054.720122367 56.236000000000004, 258713.07950377496 6652054.923406864 56.236000000000004, 258713.79245420202 6652055.626205938 56.235, 258714.50440813357 6652056.329095599 56.236000000000004, 258715.2172679666 6652057.030898161 56.237, 258715.9302183942 6652057.733697213 56.239000000000004, 258716.64217232552 6652058.4365868475 56.242000000000004, 258717.35503215878 6652059.138389385 56.245000000000005, 258718.06698609065 6652059.841279005 56.249, 258718.77993651843 6652060.544078022 56.254, 258719.49279635225 6652061.245880534 56.26, 258720.20475028417 6652061.948770131 56.267, 258720.91770071228 6652062.651569123 56.274, 258721.1042273876 6652062.835557877 56.276, 258721.62829577128 6652063.350563312 56.282000000000004, 258721.6988660845 6652063.419502473 56.282000000000004, 258722.32820107526 6652064.031439419 56.29, 258723.03082408372 6652064.7090542475 56.300000000000004, 258723.7382483833 6652065.384223105 56.31, 258724.44829979347 6652066.055134189 56.32, 258725.1609783133 6652066.7217874965 56.332, 258725.877461628 6652067.386085428 56.344, 258726.59756854837 6652068.04603499 56.357, 258727.321389669 6652068.70263268 56.371, 258728.04783789912 6652069.354972594 56.385, 258728.77709442787 6652070.005047729 56.4, 258729.50997456172 6652070.650774493 56.416000000000004, 258730.24647830083 6652071.292152887 56.442, 258730.98569974347 6652071.930270004 56.468, 258731.7286353856 6652072.565035247 56.496, 258731.81904506346 6652072.642218062 56.499, 258732.47428873103 6652073.196539214 56.524, 258733.22356568128 6652073.82369481 56.552, 258733.97546974034 6652074.446592633 56.582, 258734.7321750882 6652075.067044483 56.611000000000004, 258735.12606408403 6652075.387914736 56.627, 258735.50790449264 6652075.697823576 56.642, 258736.2847209857 6652076.329508564 56.674, 258737.06144688305 6652076.960197048 56.706, 258737.83817277872 6652077.590885525 56.739000000000004, 258738.61489867282 6652078.221573989 56.772, 258739.1258310303 6652078.63629559 56.795, 258739.39162456567 6652078.852262448 56.806000000000004, 258740.1683504568 6652079.482950898 56.841, 258740.94507634666 6652080.113639342 56.877, 258741.72180223503 6652080.744327779 56.914, 258742.49852812215 6652081.375016208 56.951, 258743.27625050294 6652082.005614029 56.989000000000004, 258743.447648377 6652082.144760455 56.997, 258743.97089691256 6652081.501384289 56.929, 258741.12715844146 6652078.845189657 56.802, 258737.52897859897 6652075.3613624545 56.514, 258734.91008660215 6652072.890696148 56.551, 258734.6117756552 6652073.875326104 56.586, 258731.73098885393 6652072.071497844 56.534, 258727.6000450105 6652068.37487495 56.418, 258723.06080681735 6652063.977897645 56.307, 258718.48216031774 6652059.202704511 56.268, 258712.67809264525 6652053.757235832 56.178000000000004, 258707.2845819345 6652048.440222593 56.129, 258704.22849894615 6652045.758118243 56.203, 258700.85987289588 6652041.528002938 55.911, 258696.1275863676 6652037.184744565 56.159, 258691.14544823964 6652032.06041463 56.201, 258687.2784840284 6652027.996171594 56.146, 258687.7377746996 6652026.936622404 56.115, 258686.90252559527 6652025.827977561 56.08, 258686.59786596446 6652024.819795856 56.07, 258683.42908769133 6652021.959046181 56.162, 258680.94870944123 6652019.707878186 56.255, 258679.12865956652 6652021.448763935 56.403)</t>
  </si>
  <si>
    <t>POLYGON Z ((258679.12865956652 6652021.448763935 56.403, 258679.56132173023 6652021.875625381 56.4, 258680.29094088371 6652022.595999362 56.395, 258680.6507679602 6652022.951113294 56.392, 258680.85595635703 6652023.1524955 56.39, 258680.9607700332 6652023.2554966565 56.389, 258681.08669139497 6652023.380692437 56.388, 258681.7278938208 6652024.0126502765 56.382, 258682.44084424406 6652024.715449715 56.375, 258682.51150515102 6652024.785385416 56.374, 258682.59312755486 6652024.865376634 56.374, 258683.1537040731 6652025.417252645 56.368, 258683.8656580004 6652026.12014266 56.362, 258684.5786084238 6652026.822942072 56.355000000000004, 258685.2904717571 6652027.524835573 56.348, 258685.39537602745 6652027.6288332185 56.347, 258685.89525663978 6652028.120919619 56.343, 258686.00342218086 6652028.227634969 56.341, 258686.71637260457 6652028.930434357 56.335, 258687.4282359379 6652029.632327832 56.328, 258688.141186362 6652030.335127203 56.321, 258688.85314028978 6652031.038017161 56.315, 258689.56600011996 6652031.739820021 56.308, 258689.70397006915 6652031.875977202 56.307, 258690.2789505441 6652032.442619365 56.301, 258690.990904472 6652033.145509297 56.294000000000004, 258691.70376430245 6652033.84731213 56.288000000000004, 258692.14756915238 6652034.286222 56.284, 258692.41571823062 6652034.550202046 56.281, 258693.12866865526 6652035.25300136 56.274, 258693.84161908 6652035.955800665 56.268, 258694.5534824143 6652036.657694059 56.261, 258695.2664328393 6652037.360493348 56.254, 258695.69139477823 6652037.780016869 56.25, 258695.96280512764 6652038.0467146095 56.248000000000005, 258696.69124659867 6652038.765185994 56.241, 258697.4041970239 6652039.467985263 56.234, 258697.60177578955 6652039.663026099 56.232, 258698.11615095288 6652040.170875112 56.227000000000004, 258698.8290107842 6652040.872677863 56.221000000000004, 258699.54196120947 6652041.575477103 56.216, 258700.25391513886 6652042.278366927 56.212, 258700.9667749702 6652042.980169654 56.208, 258701.49437640558 6652043.500882455 56.206, 258701.67872889986 6652043.683059463 56.205, 258702.39167932546 6652044.385858668 56.203, 258703.10462975112 6652045.088657864 56.201, 258703.81649308713 6652045.790551157 56.2, 258704.52944351314 6652046.493350338 56.2, 258705.24139744302 6652047.196240106 56.201, 258705.95425727504 6652047.898042774 56.202, 258706.66720770122 6652048.60084193 56.204, 258707.3791616316 6652049.303731673 56.207, 258707.58770189443 6652049.508827993 56.208, 258708.0920214639 6652050.005534319 56.21, 258708.80497189052 6652050.708333451 56.214, 258709.51692582102 6652051.411223171 56.219, 258710.22978565344 6652052.113025789 56.225, 258710.94173958444 6652052.815915492 56.231, 258711.65469001117 6652053.518714589 56.238, 258712.36754984403 6652054.220517186 56.236000000000004, 258712.87313769266 6652054.720122367 56.236000000000004, 258713.07950377496 6652054.923406864 56.236000000000004, 258713.79245420202 6652055.626205938 56.235, 258714.50440813357 6652056.329095599 56.236000000000004, 258715.2172679666 6652057.030898161 56.237, 258715.9302183942 6652057.733697213 56.239000000000004, 258716.64217232552 6652058.4365868475 56.242000000000004, 258717.35503215878 6652059.138389385 56.245000000000005, 258718.06698609065 6652059.841279005 56.249, 258718.77993651843 6652060.544078022 56.254, 258719.49279635225 6652061.245880534 56.26, 258720.20475028417 6652061.948770131 56.267, 258720.91770071228 6652062.651569123 56.274, 258721.1042273876 6652062.835557877 56.276, 258721.62829577128 6652063.350563312 56.282000000000004, 258721.6988660845 6652063.419502473 56.282000000000004, 258722.32820107526 6652064.031439419 56.29, 258723.03082408372 6652064.7090542475 56.300000000000004, 258723.7382483833 6652065.384223105 56.31, 258724.44829979347 6652066.055134189 56.32, 258725.1609783133 6652066.7217874965 56.332, 258725.877461628 6652067.386085428 56.344, 258726.59756854837 6652068.04603499 56.357, 258727.321389669 6652068.70263268 56.371, 258728.04783789912 6652069.354972594 56.385, 258728.77709442787 6652070.005047729 56.4, 258729.50997456172 6652070.650774493 56.416000000000004, 258730.24647830083 6652071.292152887 56.442, 258730.98569974347 6652071.930270004 56.468, 258731.7286353856 6652072.565035247 56.496, 258731.81904506346 6652072.642218062 56.499, 258732.47428873103 6652073.196539214 56.524, 258733.22356568128 6652073.82369481 56.552, 258733.97546974034 6652074.446592633 56.582, 258734.7321750882 6652075.067044483 56.611000000000004, 258735.12606408403 6652075.387914736 56.627, 258735.50790449264 6652075.697823576 56.642, 258736.2847209857 6652076.329508564 56.674, 258737.06144688305 6652076.960197048 56.706, 258737.83817277872 6652077.590885525 56.739000000000004, 258738.61489867282 6652078.221573989 56.772, 258739.1258310303 6652078.63629559 56.795, 258739.39162456567 6652078.852262448 56.806000000000004, 258740.1683504568 6652079.482950898 56.841, 258740.94507634666 6652080.113639342 56.877, 258741.72180223503 6652080.744327779 56.914, 258742.49852812215 6652081.375016208 56.951, 258743.27625050294 6652082.005614029 56.989000000000004, 258743.447648377 6652082.144760455 56.997, 258743.97089691256 6652081.501384289 56.929, 258741.12715844146 6652078.845189657 56.802, 258737.52897859897 6652075.3613624545 56.514, 258734.91008660215 6652072.890696148 56.551, 258734.6117756552 6652073.875326104 56.586, 258731.73098885393 6652072.071497844 56.534, 258727.6000450105 6652068.37487495 56.418, 258723.06080681735 6652063.977897645 56.307, 258718.48216031774 6652059.202704511 56.268, 258712.67809264525 6652053.757235832 56.178000000000004, 258707.2845819345 6652048.440222593 56.129, 258704.22849894615 6652045.758118243 56.203, 258700.85987289588 6652041.528002938 55.911, 258696.1275863676 6652037.184744565 56.159, 258691.14544823964 6652032.06041463 56.201, 258687.2784840284 6652027.996171594 56.146, 258687.7377746996 6652026.936622404 56.115, 258686.90252559527 6652025.827977561 56.08, 258686.59786596446 6652024.819795856 56.07, 258683.42908769133 6652021.959046181 56.162, 258680.94870944123 6652019.707878186 56.255, 258679.12865956652 6652021.448763935 56.403))</t>
  </si>
  <si>
    <t>['KV13016 S2D1 m1213-1259']</t>
  </si>
  <si>
    <t>LINESTRING Z (258628.06058141266 6652002.842978427 55.69, 258627.834197322 6652003.436257257 55.645, 258630.27933580344 6652005.454518167 54.984, 258638.03409211745 6652010.573950755 54.006, 258642.8331374718 6652012.601262616 54.044000000000004, 258647.43379110438 6652015.198208826 54.06, 258651.5888310048 6652018.286791644 54.092, 258655.91463446268 6652021.463337162 54.003, 258658.83573658357 6652023.710608699 54.002, 258661.60455553036 6652025.863213456 53.883, 258663.6839669211 6652024.234387102 53.758, 258664.65518465234 6652022.992658255 53.644, 258664.83944518366 6652022.764912829 53.718, 258661.41674140876 6652020.050829638 56.007, 258661.6578925815 6652019.741552464 56.160000000000004, 258661.4979091364 6652019.617443862 56.158, 258661.34336114358 6652019.497864772 56.155, 258660.72444445651 6652019.022628492 56.148, 258659.97090977884 6652018.448105344 56.128, 258659.94925856366 6652018.430983788 56.127, 258659.17153614957 6652017.844593343 56.107, 258658.40939537546 6652017.2748715095 56.086, 258657.6575819775 6652016.719281777 56.066, 258656.90296027568 6652016.165956806 56.045, 258656.14580205217 6652015.617886095 56.036, 258655.81034418213 6652015.376100852 56.031, 258655.38692261526 6652015.072986052 56.026, 258654.68638372238 6652014.584070816 56.017, 258654.62097714384 6652014.538775723 56.016, 258653.84878094564 6652014.013171514 56.007, 258653.0705152085 6652013.498166421 55.997, 258652.28509284224 6652012.992854545 55.987, 258651.49351034238 6652012.497145284 55.978, 258650.6958583029 6652012.012035143 55.968, 258649.89204612968 6652011.536527622 55.959, 258649.58023260592 6652011.355890946 55.955, 258649.08216441626 6652011.0716192145 55.949, 258648.26612256878 6652010.616313431 55.939, 258647.44509827095 6652010.172512665 55.93, 258646.6189103353 6652009.738223924 55.92, 258645.78665285837 6652009.3145343065 55.910000000000004, 258644.94932233688 6652008.901353207 55.901, 258644.92513460037 6652008.889485913 55.901, 258644.10592227377 6652008.498771226 55.891, 258643.25844566236 6652008.106607177 55.881, 258642.90849354622 6652007.948527676 55.877, 258642.8131920654 6652007.905950391 55.876, 258642.40598659916 6652007.725948146 55.872, 258642.14961475116 6652007.613616605 55.869, 258642.08266818093 6652007.584537233 55.868, 258641.95819647954 6652007.530545623 55.867000000000004, 258641.54836389679 6652007.3548011435 55.862, 258641.46791930677 6652007.320920509 55.861000000000004, 258640.68684583288 6652006.996065063 55.852000000000004, 258639.82116062613 6652006.646750421 55.843, 258639.0410837124 6652006.343908484 55.834, 258638.95049296704 6652006.308940798 55.833, 258638.80174296783 6652006.253137453 55.831, 258638.3565800602 6652006.086633323 55.826, 258638.0758393519 6652005.9825456 55.823, 258637.1961126906 6652005.666658932 55.813, 258637.06955743386 6652005.622904067 55.811, 258636.31348716342 6652005.363092592 55.802, 258635.42678508608 6652005.069944182 55.791000000000004, 258634.7510688428 6652004.8540688995 55.782000000000004, 258634.5370029552 6652004.787123115 55.779, 258634.0209981753 6652004.62605464 55.772, 258633.6436878011 6652004.509646897 55.767, 258632.75064442263 6652004.235160169 55.754, 258631.83205446397 6652003.955962807 55.742000000000004, 258631.7814142477 6652003.94047197 55.741, 258631.67297715053 6652003.908131465 55.739000000000004, 258630.89000151085 6652003.6728701135 55.729, 258629.94722383615 6652003.392857503 55.716, 258629.0027249434 6652003.116015569 55.703, 258628.15244040787 6652002.8697929615 55.691, 258628.06058141266 6652002.842978427 55.69)</t>
  </si>
  <si>
    <t>POLYGON Z ((258628.06058141266 6652002.842978427 55.69, 258627.834197322 6652003.436257257 55.645, 258630.27933580344 6652005.454518167 54.984, 258638.03409211745 6652010.573950755 54.006, 258642.8331374718 6652012.601262616 54.044000000000004, 258647.43379110438 6652015.198208826 54.06, 258651.5888310048 6652018.286791644 54.092, 258655.91463446268 6652021.463337162 54.003, 258658.83573658357 6652023.710608699 54.002, 258661.60455553036 6652025.863213456 53.883, 258663.6839669211 6652024.234387102 53.758, 258664.65518465234 6652022.992658255 53.644, 258664.83944518366 6652022.764912829 53.718, 258661.41674140876 6652020.050829638 56.007, 258661.6578925815 6652019.741552464 56.160000000000004, 258661.4979091364 6652019.617443862 56.158, 258661.34336114358 6652019.497864772 56.155, 258660.72444445651 6652019.022628492 56.148, 258659.97090977884 6652018.448105344 56.128, 258659.94925856366 6652018.430983788 56.127, 258659.17153614957 6652017.844593343 56.107, 258658.40939537546 6652017.2748715095 56.086, 258657.6575819775 6652016.719281777 56.066, 258656.90296027568 6652016.165956806 56.045, 258656.14580205217 6652015.617886095 56.036, 258655.81034418213 6652015.376100852 56.031, 258655.38692261526 6652015.072986052 56.026, 258654.68638372238 6652014.584070816 56.017, 258654.62097714384 6652014.538775723 56.016, 258653.84878094564 6652014.013171514 56.007, 258653.0705152085 6652013.498166421 55.997, 258652.28509284224 6652012.992854545 55.987, 258651.49351034238 6652012.497145284 55.978, 258650.6958583029 6652012.012035143 55.968, 258649.89204612968 6652011.536527622 55.959, 258649.58023260592 6652011.355890946 55.955, 258649.08216441626 6652011.0716192145 55.949, 258648.26612256878 6652010.616313431 55.939, 258647.44509827095 6652010.172512665 55.93, 258646.6189103353 6652009.738223924 55.92, 258645.78665285837 6652009.3145343065 55.910000000000004, 258644.94932233688 6652008.901353207 55.901, 258644.92513460037 6652008.889485913 55.901, 258644.10592227377 6652008.498771226 55.891, 258643.25844566236 6652008.106607177 55.881, 258642.90849354622 6652007.948527676 55.877, 258642.8131920654 6652007.905950391 55.876, 258642.40598659916 6652007.725948146 55.872, 258642.14961475116 6652007.613616605 55.869, 258642.08266818093 6652007.584537233 55.868, 258641.95819647954 6652007.530545623 55.867000000000004, 258641.54836389679 6652007.3548011435 55.862, 258641.46791930677 6652007.320920509 55.861000000000004, 258640.68684583288 6652006.996065063 55.852000000000004, 258639.82116062613 6652006.646750421 55.843, 258639.0410837124 6652006.343908484 55.834, 258638.95049296704 6652006.308940798 55.833, 258638.80174296783 6652006.253137453 55.831, 258638.3565800602 6652006.086633323 55.826, 258638.0758393519 6652005.9825456 55.823, 258637.1961126906 6652005.666658932 55.813, 258637.06955743386 6652005.622904067 55.811, 258636.31348716342 6652005.363092592 55.802, 258635.42678508608 6652005.069944182 55.791000000000004, 258634.7510688428 6652004.8540688995 55.782000000000004, 258634.5370029552 6652004.787123115 55.779, 258634.0209981753 6652004.62605464 55.772, 258633.6436878011 6652004.509646897 55.767, 258632.75064442263 6652004.235160169 55.754, 258631.83205446397 6652003.955962807 55.742000000000004, 258631.7814142477 6652003.94047197 55.741, 258631.67297715053 6652003.908131465 55.739000000000004, 258630.89000151085 6652003.6728701135 55.729, 258629.94722383615 6652003.392857503 55.716, 258629.0027249434 6652003.116015569 55.703, 258628.15244040787 6652002.8697929615 55.691, 258628.06058141266 6652002.842978427 55.69))</t>
  </si>
  <si>
    <t>['KV13016 S2D1 m1269-1381']</t>
  </si>
  <si>
    <t>LINESTRING Z (258738.4788782154 6652090.097815628 57.047000000000004, 258738.1849109039 6652089.859291852 57.032000000000004, 258737.40818494494 6652089.228603454 56.994, 258736.6314589843 6652088.59791505 56.956, 258735.85473302248 6652087.967226638 56.919000000000004, 258735.07800705903 6652087.336538217 56.882, 258734.30128109403 6652086.705849786 56.846000000000004, 258733.5245551277 6652086.07516135 56.811, 258733.25876156654 6652085.859194494 56.800000000000004, 258732.7478291595 6652085.4444729015 56.777, 258731.97110319018 6652084.813784451 56.744, 258731.19437721948 6652084.183095989 56.711, 258730.41756065266 6652083.551411023 56.679, 258729.64083467872 6652082.920722546 56.647, 258729.25899423315 6652082.610813713 56.632, 258728.8641087034 6652082.290034061 56.616, 258728.07288817444 6652081.643582863 56.587, 258727.2832076636 6652080.991967992 56.557, 258726.49724135155 6652080.3370012455 56.529, 258725.80965669244 6652079.758492546 56.504, 258725.71390214804 6652079.677776719 56.501, 258724.93518304513 6652079.0141132325 56.474000000000004, 258724.15818514978 6652078.347279063 56.447, 258723.3858073551 6652077.676005928 56.422000000000004, 258722.61614726414 6652077.001471512 56.397, 258721.8501107784 6652076.322588729 56.372, 258721.08778849195 6652075.640354068 56.349000000000004, 258720.32809331536 6652074.953861631 56.326, 258719.5731088347 6652074.263926729 56.304, 258718.82075146373 6652073.56973405 56.283, 258718.0711117972 6652072.872280091 56.262, 258717.38887173202 6652072.230992024 56.244, 258717.32618282683 6652072.171383664 56.242000000000004, 258716.5838809667 6652071.466229462 56.223, 258715.84628980295 6652070.75763279 56.204, 258715.18416084585 6652070.116525804 56.188, 258715.11132574975 6652070.044778343 56.186, 258714.58109714498 6652069.528323482 56.174, 258714.39257745788 6652069.34451592 56.169000000000004, 258713.67609394048 6652068.647061782 56.153, 258712.9585233329 6652067.948701737 56.137, 258712.24194922144 6652067.250251088 56.122, 258711.52537510992 6652066.551800434 56.108000000000004, 258710.80880099838 6652065.853349768 56.094, 258710.0923174812 6652065.155895591 56.082, 258709.3757433697 6652064.45744491 56.069, 258708.6591692581 6652063.75899422 56.058, 258707.9415986505 6652063.060634117 56.047000000000004, 258707.2250245389 6652062.362183412 56.037, 258706.5084504274 6652061.663732698 56.028, 258706.30117842084 6652061.461535291 56.026, 258705.79196690998 6652060.966278472 56.02, 258705.07539279838 6652060.267827743 56.012, 258704.35881868692 6652059.569377004 56.005, 258703.64224457528 6652058.870926256 55.998000000000005, 258702.92467396767 6652058.172566096 55.992000000000004, 258702.20819045018 6652057.475111829 55.987, 258701.49161633878 6652056.77666106 55.983000000000004, 258700.9844884144 6652056.282219507 55.981, 258700.77504222735 6652056.078210278 55.980000000000004, 258700.05846811555 6652055.379759491 55.977000000000004, 258699.34189400394 6652054.681308695 55.975, 258698.62541048642 6652053.983854385 55.973, 258697.90783987893 6652053.28549417 55.973, 258697.19126576724 6652052.58704335 55.973, 258696.4746916556 6652051.888592519 55.973, 258695.75811754385 6652051.190141682 55.975, 258695.04163402657 6652050.492687332 55.977000000000004, 258694.8552885197 6652050.310691513 55.978, 258694.32505991505 6652049.794236481 55.980000000000004, 258693.60848580315 6652049.095785618 55.984, 258692.89091519528 6652048.3974253405 55.988, 258692.17434108368 6652047.698974464 55.993, 258691.4577669722 6652047.0005235765 55.998000000000005, 258690.94076464 6652046.4969323315 56.003, 258690.74128345444 6652046.303069181 56.005, 258690.02470934275 6652045.604618276 56.012, 258689.29164768706 6652044.890585844 56.018, 258688.5915611197 6652044.207716448 56.025, 258687.8739905116 6652043.509356112 56.031, 258687.1575069941 6652042.811901674 56.038000000000004, 258686.44093288243 6652042.113450731 56.045, 258685.72435877068 6652041.414999778 56.051, 258685.00778465887 6652040.716548818 56.058, 258684.2912105471 6652040.018097849 56.064, 258683.57472702963 6652039.320643369 56.071, 258682.99594169421 6652038.756356573 56.076, 258682.8571564215 6652038.622282977 56.078, 258682.14058230986 6652037.9238319835 56.084, 258681.42400819826 6652037.225380982 56.091, 258680.70743408648 6652036.5269299755 56.097, 258679.99085997458 6652035.828478956 56.104, 258679.274376457 6652035.131024426 56.119, 258679.16521440758 6652035.024399668 56.122, 258678.66261603308 6652034.53557454 56.133, 258678.55680584902 6652034.432663987 56.135, 258677.83851052675 6652033.737383618 56.15, 258677.1165010016 6652033.045455112 56.166000000000004, 258676.3917737695 6652032.356787868 56.181000000000004, 258675.9744214935 6652031.965709681 56.184000000000005, 258675.70636490255 6652032.255328776 56.079, 258672.66912396083 6652029.45998499 53.756, 258672.6102403488 6652029.541697921 53.761, 258672.42462081645 6652029.721339738 53.809000000000005, 258671.49326591202 6652031.777296805 53.771, 258672.03173798078 6652032.207600317 54.447, 258672.81616357758 6652032.646690261 54.937, 258673.46189618512 6652033.438993455 55.480000000000004, 258674.31653053538 6652034.175129731 55.972, 258675.9055853584 6652035.607089863 55.945, 258678.54015013148 6652038.1175274 55.907000000000004, 258680.3224354968 6652039.774060844 55.927, 258683.31374723054 6652042.616783246 55.917, 258686.51006659554 6652045.7694152035 55.914, 258690.15471990424 6652049.222896736 55.956, 258692.71998254026 6652051.645189291 55.964, 258695.9945718862 6652054.71936903 55.964, 258698.5727889233 6652057.129431575 55.957, 258701.3350866104 6652059.696577411 55.926, 258704.08325207556 6652062.240894357 55.915, 258706.30064630523 6652064.516974462 55.981, 258710.18663456736 6652068.414710161 56.103, 258713.6006432837 6652071.618885957 56.126, 258713.73834252285 6652072.028354841 55.172000000000004, 258713.25205428677 6652072.5478030685 54.646, 258717.82861515542 6652076.60379736 55.048, 258724.58416165656 6652083.397520475 55.546, 258732.67882395157 6652091.714246075 56.192, 258739.7929281613 6652098.561776861 57.038000000000004, 258746.41937824117 6652104.145480037 57.697, 258751.4743463101 6652107.871629874 58.139, 258751.48240659587 6652107.319299257 58.15, 258751.0715731446 6652106.027389114 58.03, 258749.5252724078 6652103.430073764 57.9, 258749.47762031577 6652103.071697736 57.891, 258749.80446586167 6652101.804153414 57.861000000000004, 258750.96175376358 6652100.233036794 57.846000000000004, 258750.84135852696 6652100.135471262 57.837, 258750.7774013899 6652100.084016087 57.833, 258750.6136131368 6652099.951211006 57.822, 258750.3879513324 6652099.767766055 57.806000000000004, 258749.83797429196 6652099.321428641 57.768, 258749.0601612648 6652098.6898344625 57.714, 258748.55674791528 6652098.280457792 57.679, 258748.28343532633 6652098.059146176 57.660000000000004, 258747.5067093869 6652097.428457887 57.606, 258746.72998344546 6652096.797769586 57.554, 258745.95325750278 6652096.167081278 57.501, 258745.1764409641 6652095.535396468 57.45, 258744.39971501846 6652094.904708143 57.4, 258743.62298907133 6652094.274019811 57.35, 258742.84626312274 6652093.643331472 57.301, 258742.55238640893 6652093.405804207 57.283, 258742.06953717247 6652093.01264312 57.252, 258741.2928112211 6652092.381954765 57.205, 258740.5160852678 6652091.751266399 57.158, 258739.73564511377 6652091.123929893 57.111000000000004, 258739.03963557997 6652090.552215645 57.076, 258738.96272395173 6652090.490886141 57.072, 258738.4788782154 6652090.097815628 57.047000000000004)</t>
  </si>
  <si>
    <t>POLYGON Z ((258738.4788782154 6652090.097815628 57.047000000000004, 258738.1849109039 6652089.859291852 57.032000000000004, 258737.40818494494 6652089.228603454 56.994, 258736.6314589843 6652088.59791505 56.956, 258735.85473302248 6652087.967226638 56.919000000000004, 258735.07800705903 6652087.336538217 56.882, 258734.30128109403 6652086.705849786 56.846000000000004, 258733.5245551277 6652086.07516135 56.811, 258733.25876156654 6652085.859194494 56.800000000000004, 258732.7478291595 6652085.4444729015 56.777, 258731.97110319018 6652084.813784451 56.744, 258731.19437721948 6652084.183095989 56.711, 258730.41756065266 6652083.551411023 56.679, 258729.64083467872 6652082.920722546 56.647, 258729.25899423315 6652082.610813713 56.632, 258728.8641087034 6652082.290034061 56.616, 258728.07288817444 6652081.643582863 56.587, 258727.2832076636 6652080.991967992 56.557, 258726.49724135155 6652080.3370012455 56.529, 258725.80965669244 6652079.758492546 56.504, 258725.71390214804 6652079.677776719 56.501, 258724.93518304513 6652079.0141132325 56.474000000000004, 258724.15818514978 6652078.347279063 56.447, 258723.3858073551 6652077.676005928 56.422000000000004, 258722.61614726414 6652077.001471512 56.397, 258721.8501107784 6652076.322588729 56.372, 258721.08778849195 6652075.640354068 56.349000000000004, 258720.32809331536 6652074.953861631 56.326, 258719.5731088347 6652074.263926729 56.304, 258718.82075146373 6652073.56973405 56.283, 258718.0711117972 6652072.872280091 56.262, 258717.38887173202 6652072.230992024 56.244, 258717.32618282683 6652072.171383664 56.242000000000004, 258716.5838809667 6652071.466229462 56.223, 258715.84628980295 6652070.75763279 56.204, 258715.18416084585 6652070.116525804 56.188, 258715.11132574975 6652070.044778343 56.186, 258714.58109714498 6652069.528323482 56.174, 258714.39257745788 6652069.34451592 56.169000000000004, 258713.67609394048 6652068.647061782 56.153, 258712.9585233329 6652067.948701737 56.137, 258712.24194922144 6652067.250251088 56.122, 258711.52537510992 6652066.551800434 56.108000000000004, 258710.80880099838 6652065.853349768 56.094, 258710.0923174812 6652065.155895591 56.082, 258709.3757433697 6652064.45744491 56.069, 258708.6591692581 6652063.75899422 56.058, 258707.9415986505 6652063.060634117 56.047000000000004, 258707.2250245389 6652062.362183412 56.037, 258706.5084504274 6652061.663732698 56.028, 258706.30117842084 6652061.461535291 56.026, 258705.79196690998 6652060.966278472 56.02, 258705.07539279838 6652060.267827743 56.012, 258704.35881868692 6652059.569377004 56.005, 258703.64224457528 6652058.870926256 55.998000000000005, 258702.92467396767 6652058.172566096 55.992000000000004, 258702.20819045018 6652057.475111829 55.987, 258701.49161633878 6652056.77666106 55.983000000000004, 258700.9844884144 6652056.282219507 55.981, 258700.77504222735 6652056.078210278 55.980000000000004, 258700.05846811555 6652055.379759491 55.977000000000004, 258699.34189400394 6652054.681308695 55.975, 258698.62541048642 6652053.983854385 55.973, 258697.90783987893 6652053.28549417 55.973, 258697.19126576724 6652052.58704335 55.973, 258696.4746916556 6652051.888592519 55.973, 258695.75811754385 6652051.190141682 55.975, 258695.04163402657 6652050.492687332 55.977000000000004, 258694.8552885197 6652050.310691513 55.978, 258694.32505991505 6652049.794236481 55.980000000000004, 258693.60848580315 6652049.095785618 55.984, 258692.89091519528 6652048.3974253405 55.988, 258692.17434108368 6652047.698974464 55.993, 258691.4577669722 6652047.0005235765 55.998000000000005, 258690.94076464 6652046.4969323315 56.003, 258690.74128345444 6652046.303069181 56.005, 258690.02470934275 6652045.604618276 56.012, 258689.29164768706 6652044.890585844 56.018, 258688.5915611197 6652044.207716448 56.025, 258687.8739905116 6652043.509356112 56.031, 258687.1575069941 6652042.811901674 56.038000000000004, 258686.44093288243 6652042.113450731 56.045, 258685.72435877068 6652041.414999778 56.051, 258685.00778465887 6652040.716548818 56.058, 258684.2912105471 6652040.018097849 56.064, 258683.57472702963 6652039.320643369 56.071, 258682.99594169421 6652038.756356573 56.076, 258682.8571564215 6652038.622282977 56.078, 258682.14058230986 6652037.9238319835 56.084, 258681.42400819826 6652037.225380982 56.091, 258680.70743408648 6652036.5269299755 56.097, 258679.99085997458 6652035.828478956 56.104, 258679.274376457 6652035.131024426 56.119, 258679.16521440758 6652035.024399668 56.122, 258678.66261603308 6652034.53557454 56.133, 258678.55680584902 6652034.432663987 56.135, 258677.83851052675 6652033.737383618 56.15, 258677.1165010016 6652033.045455112 56.166000000000004, 258676.3917737695 6652032.356787868 56.181000000000004, 258675.9744214935 6652031.965709681 56.184000000000005, 258675.70636490255 6652032.255328776 56.079, 258672.66912396083 6652029.45998499 53.756, 258672.6102403488 6652029.541697921 53.761, 258672.42462081645 6652029.721339738 53.809000000000005, 258671.49326591202 6652031.777296805 53.771, 258672.03173798078 6652032.207600317 54.447, 258672.81616357758 6652032.646690261 54.937, 258673.46189618512 6652033.438993455 55.480000000000004, 258674.31653053538 6652034.175129731 55.972, 258675.9055853584 6652035.607089863 55.945, 258678.54015013148 6652038.1175274 55.907000000000004, 258680.3224354968 6652039.774060844 55.927, 258683.31374723054 6652042.616783246 55.917, 258686.51006659554 6652045.7694152035 55.914, 258690.15471990424 6652049.222896736 55.956, 258692.71998254026 6652051.645189291 55.964, 258695.9945718862 6652054.71936903 55.964, 258698.5727889233 6652057.129431575 55.957, 258701.3350866104 6652059.696577411 55.926, 258704.08325207556 6652062.240894357 55.915, 258706.30064630523 6652064.516974462 55.981, 258710.18663456736 6652068.414710161 56.103, 258713.6006432837 6652071.618885957 56.126, 258713.73834252285 6652072.028354841 55.172000000000004, 258713.25205428677 6652072.5478030685 54.646, 258717.82861515542 6652076.60379736 55.048, 258724.58416165656 6652083.397520475 55.546, 258732.67882395157 6652091.714246075 56.192, 258739.7929281613 6652098.561776861 57.038000000000004, 258746.41937824117 6652104.145480037 57.697, 258751.4743463101 6652107.871629874 58.139, 258751.48240659587 6652107.319299257 58.15, 258751.0715731446 6652106.027389114 58.03, 258749.5252724078 6652103.430073764 57.9, 258749.47762031577 6652103.071697736 57.891, 258749.80446586167 6652101.804153414 57.861000000000004, 258750.96175376358 6652100.233036794 57.846000000000004, 258750.84135852696 6652100.135471262 57.837, 258750.7774013899 6652100.084016087 57.833, 258750.6136131368 6652099.951211006 57.822, 258750.3879513324 6652099.767766055 57.806000000000004, 258749.83797429196 6652099.321428641 57.768, 258749.0601612648 6652098.6898344625 57.714, 258748.55674791528 6652098.280457792 57.679, 258748.28343532633 6652098.059146176 57.660000000000004, 258747.5067093869 6652097.428457887 57.606, 258746.72998344546 6652096.797769586 57.554, 258745.95325750278 6652096.167081278 57.501, 258745.1764409641 6652095.535396468 57.45, 258744.39971501846 6652094.904708143 57.4, 258743.62298907133 6652094.274019811 57.35, 258742.84626312274 6652093.643331472 57.301, 258742.55238640893 6652093.405804207 57.283, 258742.06953717247 6652093.01264312 57.252, 258741.2928112211 6652092.381954765 57.205, 258740.5160852678 6652091.751266399 57.158, 258739.73564511377 6652091.123929893 57.111000000000004, 258739.03963557997 6652090.552215645 57.076, 258738.96272395173 6652090.490886141 57.072, 258738.4788782154 6652090.097815628 57.047000000000004))</t>
  </si>
  <si>
    <t>['KV13016 S2D1 m1230-1252']</t>
  </si>
  <si>
    <t>LINESTRING Z (258648.13743526404 6651995.596207102 56.191, 258647.65911996074 6651996.601221013 56.211, 258647.19892363672 6651997.871846588 56.211, 258647.27021859854 6651997.915601631 56.195, 258647.79881549955 6651998.104662577 56.202, 258648.80709037007 6651998.486227064 56.214, 258649.79308011063 6651998.921058903 56.224000000000004, 258650.76068004424 6651999.385695107 56.234, 258651.72239162197 6651999.862923416 56.244, 258652.6762218515 6652000.352925027 56.254, 258653.62425431947 6652000.856515238 56.264, 258654.56531134227 6652001.371791653 56.274, 258655.14020045506 6652001.694292405 56.28, 258655.50048001096 6652001.8996601775 56.284, 258656.42776733226 6652002.440301996 56.294000000000004, 258657.34717330645 6652002.993717104 56.304, 258658.26060033363 6652003.558727827 56.313, 258659.1651495181 6652004.136602439 56.323, 258660.06272325918 6652004.726163249 56.333, 258661.02633776155 6652005.379046677 56.343, 258661.83295842767 6652005.94070586 56.352000000000004, 258662.3197029333 6652006.288300458 56.358000000000004, 258662.70571044946 6652006.566684156 56.362, 258663.56940344258 6652007.203533343 56.36, 258664.425033904 6652007.851162831 56.358000000000004, 258665.272692428 6652008.510569116 56.356, 258665.95964284346 6652009.059998921 56.355000000000004, 258666.09743153208 6652009.172059054 56.355000000000004, 258666.9171881888 6652009.845054004 56.353, 258667.1772745558 6652010.064554196 56.356, 258667.8639487771 6652009.273695906 56.332, 258667.72262569287 6652008.747002564 56.272, 258665.46917844957 6652006.980583631 56.285000000000004, 258659.1462114629 6652002.712608595 56.275, 258652.38668826406 6651998.494368765 56.185, 258648.13743526404 6651995.596207102 56.191)</t>
  </si>
  <si>
    <t>POLYGON Z ((258648.13743526404 6651995.596207102 56.191, 258647.65911996074 6651996.601221013 56.211, 258647.19892363672 6651997.871846588 56.211, 258647.27021859854 6651997.915601631 56.195, 258647.79881549955 6651998.104662577 56.202, 258648.80709037007 6651998.486227064 56.214, 258649.79308011063 6651998.921058903 56.224000000000004, 258650.76068004424 6651999.385695107 56.234, 258651.72239162197 6651999.862923416 56.244, 258652.6762218515 6652000.352925027 56.254, 258653.62425431947 6652000.856515238 56.264, 258654.56531134227 6652001.371791653 56.274, 258655.14020045506 6652001.694292405 56.28, 258655.50048001096 6652001.8996601775 56.284, 258656.42776733226 6652002.440301996 56.294000000000004, 258657.34717330645 6652002.993717104 56.304, 258658.26060033363 6652003.558727827 56.313, 258659.1651495181 6652004.136602439 56.323, 258660.06272325918 6652004.726163249 56.333, 258661.02633776155 6652005.379046677 56.343, 258661.83295842767 6652005.94070586 56.352000000000004, 258662.3197029333 6652006.288300458 56.358000000000004, 258662.70571044946 6652006.566684156 56.362, 258663.56940344258 6652007.203533343 56.36, 258664.425033904 6652007.851162831 56.358000000000004, 258665.272692428 6652008.510569116 56.356, 258665.95964284346 6652009.059998921 56.355000000000004, 258666.09743153208 6652009.172059054 56.355000000000004, 258666.9171881888 6652009.845054004 56.353, 258667.1772745558 6652010.064554196 56.356, 258667.8639487771 6652009.273695906 56.332, 258667.72262569287 6652008.747002564 56.272, 258665.46917844957 6652006.980583631 56.285000000000004, 258659.1462114629 6652002.712608595 56.275, 258652.38668826406 6651998.494368765 56.185, 258648.13743526404 6651995.596207102 56.191))</t>
  </si>
  <si>
    <t>['KV13016 S2D1 m1225-1258']</t>
  </si>
  <si>
    <t>LINESTRING Z (258638.03409211745 6652010.573950755 54.006, 258642.59316422069 6652013.000858675 54.035000000000004, 258646.85972058386 6652015.879361659 54.069, 258651.2401501145 6652019.0047235 54.072, 258655.4541641693 6652022.001537592 54.016, 258658.6241184989 6652024.178962911 53.975, 258661.60455553036 6652025.863213456 53.883, 258658.83573658357 6652023.710608699 54.002, 258655.91463446268 6652021.463337162 54.003, 258651.5888310048 6652018.286791644 54.092, 258647.43379110438 6652015.198208826 54.06, 258642.8331374718 6652012.601262616 54.044000000000004, 258638.03409211745 6652010.573950755 54.006)</t>
  </si>
  <si>
    <t>POLYGON Z ((258638.03409211745 6652010.573950755 54.006, 258642.59316422069 6652013.000858675 54.035000000000004, 258646.85972058386 6652015.879361659 54.069, 258651.2401501145 6652019.0047235 54.072, 258655.4541641693 6652022.001537592 54.016, 258658.6241184989 6652024.178962911 53.975, 258661.60455553036 6652025.863213456 53.883, 258658.83573658357 6652023.710608699 54.002, 258655.91463446268 6652021.463337162 54.003, 258651.5888310048 6652018.286791644 54.092, 258647.43379110438 6652015.198208826 54.06, 258642.8331374718 6652012.601262616 54.044000000000004, 258638.03409211745 6652010.573950755 54.006))</t>
  </si>
  <si>
    <t>['KV13016 S2D1 m1195-1204', 'KV13016 S4D1 m214-224']</t>
  </si>
  <si>
    <t>LINESTRING Z (258615.78668526764 6651989.7569271 55.457, 258616.66287860522 6651989.945534094 55.568, 258616.73453585332 6651989.960118965 55.57, 258617.73058065525 6651990.162948313 55.592, 258618.0481010806 6651990.229531446 55.599000000000004, 258618.72553839325 6651990.375923812 55.615, 258619.71741607416 6651990.599226655 55.638, 258620.70721019447 6651990.832766239 55.660000000000004, 258621.06277874814 6651990.920003917 55.669000000000004, 258621.67399401046 6651990.978976513 55.556000000000004, 258622.05646551895 6651990.279072001 55.584, 258622.60100549698 6651990.157225881 55.595, 258623.21973262672 6651987.922715149 55.703, 258622.2220539993 6651986.674107408 55.756, 258621.71519444752 6651985.088500936 55.835, 258619.5422877979 6651985.268964202 55.800000000000004, 258616.54436867379 6651984.342865257 55.676, 258615.46986958562 6651983.232861344 55.635, 258615.5307498821 6651984.333537536 55.624, 258615.5892748201 6651985.430408929 55.609, 258615.63529817478 6651986.500284346 55.592, 258615.69762786358 6651987.57269625 55.573, 258615.74718432478 6651988.659330924 55.553000000000004, 258615.78668526764 6651989.7569271 55.457)</t>
  </si>
  <si>
    <t>POLYGON Z ((258615.78668526764 6651989.7569271 55.457, 258616.66287860522 6651989.945534094 55.568, 258616.73453585332 6651989.960118965 55.57, 258617.73058065525 6651990.162948313 55.592, 258618.0481010806 6651990.229531446 55.599000000000004, 258618.72553839325 6651990.375923812 55.615, 258619.71741607416 6651990.599226655 55.638, 258620.70721019447 6651990.832766239 55.660000000000004, 258621.06277874814 6651990.920003917 55.669000000000004, 258621.67399401046 6651990.978976513 55.556000000000004, 258622.05646551895 6651990.279072001 55.584, 258622.60100549698 6651990.157225881 55.595, 258623.21973262672 6651987.922715149 55.703, 258622.2220539993 6651986.674107408 55.756, 258621.71519444752 6651985.088500936 55.835, 258619.5422877979 6651985.268964202 55.800000000000004, 258616.54436867379 6651984.342865257 55.676, 258615.46986958562 6651983.232861344 55.635, 258615.5307498821 6651984.333537536 55.624, 258615.5892748201 6651985.430408929 55.609, 258615.63529817478 6651986.500284346 55.592, 258615.69762786358 6651987.57269625 55.573, 258615.74718432478 6651988.659330924 55.553000000000004, 258615.78668526764 6651989.7569271 55.457))</t>
  </si>
  <si>
    <t>['EV39 S64D1 m4338-4404']</t>
  </si>
  <si>
    <t>LINESTRING Z (-10144.58 6811337.1 15.13, -10148.04 6811339.53 15.08, -10155.18 6811344.88 14.8, -10161.81 6811349.86 14.5, -10163.11 6811351.68 14.43, -10163.34 6811352.68 14.34, -10163 6811354.62 14.32, -10162.51 6811356.12 14.23, -10161.53 6811358.58 14.16, -10160.93 6811360.62 14.08, -10160.64 6811361.97 13.99, -10160.48 6811363.46 13.93, -10160.63 6811364.83 13.96, -10160.9 6811366.51 13.89, -10161.67 6811368.77 13.85, -10162.38 6811371.11 13.780000000000001, -10163.9 6811372.66 13.72, -10165.77 6811375.63 13.71, -10167.67 6811378.28 13.63, -10169.03 6811380 13.620000000000001, -10170.99 6811382.49 13.620000000000001, -10172.08 6811383.98 13.63, -10172.49 6811384.7 13.63, -10173.37 6811386.19 13.63, -10173.9 6811387.14 13.66, -10174.23 6811387.8 13.66, -10174.57 6811389.23 13.74, -10174.84 6811390.92 13.73, -10175.02 6811391.84 13.75, -10175.06 6811393.82 13.8, -10175.19 6811395.89 13.82, -10175.31 6811396.73 13.85, -10175.58 6811398.43 13.89, -10175.68 6811399.46 13.93, -10176.03 6811401.34 13.99, -10176.38 6811403.05 14.09, -10176.49 6811404.01 14.13, -10177.06 6811405.94 14.19, -10177.37 6811406.98 14.24, -10178.03 6811408.85 14.32, -10178.31 6811409.79 14.36, -10178.88 6811411.49 14.55, -10178.98 6811412.86 14.71, -10178.62 6811413.09 14.66, -10178.55 6811413.85 14.85, -10176.61 6811414.55 15.040000000000001, -10175.48 6811414.57 15.09, -10173.13 6811414.01 15.24, -10172.03 6811413.46 15.32, -10169.94 6811412.09 15.38, -10168.27 6811410.61 15.48, -10166.96 6811408.79 15.47, -10165.83 6811406.45 15.450000000000001, -10165.3 6811405.18 15.450000000000001, -10164.17 6811402.63 15.370000000000001, -10162.95 6811399.99 15.4, -10161.68 6811397.5 15.43, -10160.49 6811395.14 15.36, -10159.91 6811394.01 15.34, -10158.58 6811391.51 15.32, -10158.03 6811390.27 15.370000000000001, -10156.9 6811387.62 15.3, -10156.29 6811386.28 15.3, -10154.91 6811383.6 15.3, -10153.58 6811381.25 15.33, -10152.97 6811380.08 15.31, -10151.62 6811377.66 15.24, -10150.91 6811376.42 15.22, -10149.49 6811373.95 15.22, -10148.81 6811372.67 15.21, -10147.37 6811370.15 15.26, -10145.97 6811367.99 15.290000000000001, -10145.25 6811366.74 15.24, -10143.82 6811364.29 15.280000000000001, -10142.96 6811363.05 15.26, -10141.19 6811360.78 15.31, -10143.72 6811352.15 14.43, -10143.8 6811350.17 14.49, -10143.72 6811348.06 14.450000000000001, -10143.03 6811345.43 14.280000000000001, -10142.16 6811343.94 14.17, -10141.34 6811342.1 14.32, -10140.08 6811340.04 14.46, -10139.12 6811338.11 14.57, -10138.36 6811337.33 14.49, -10140.04 6811335.62 15.07, -10142.5 6811337.66 15.14, -10144.58 6811337.1 15.13)</t>
  </si>
  <si>
    <t>POLYGON Z ((-10144.58 6811337.1 15.13, -10148.04 6811339.53 15.08, -10155.18 6811344.88 14.8, -10161.81 6811349.86 14.5, -10163.11 6811351.68 14.43, -10163.34 6811352.68 14.34, -10163 6811354.62 14.32, -10162.51 6811356.12 14.23, -10161.53 6811358.58 14.16, -10160.93 6811360.62 14.08, -10160.64 6811361.97 13.99, -10160.48 6811363.46 13.93, -10160.63 6811364.83 13.96, -10160.9 6811366.51 13.89, -10161.67 6811368.77 13.85, -10162.38 6811371.11 13.780000000000001, -10163.9 6811372.66 13.72, -10165.77 6811375.63 13.71, -10167.67 6811378.28 13.63, -10169.03 6811380 13.620000000000001, -10170.99 6811382.49 13.620000000000001, -10172.08 6811383.98 13.63, -10172.49 6811384.7 13.63, -10173.37 6811386.19 13.63, -10173.9 6811387.14 13.66, -10174.23 6811387.8 13.66, -10174.57 6811389.23 13.74, -10174.84 6811390.92 13.73, -10175.02 6811391.84 13.75, -10175.06 6811393.82 13.8, -10175.19 6811395.89 13.82, -10175.31 6811396.73 13.85, -10175.58 6811398.43 13.89, -10175.68 6811399.46 13.93, -10176.03 6811401.34 13.99, -10176.38 6811403.05 14.09, -10176.49 6811404.01 14.13, -10177.06 6811405.94 14.19, -10177.37 6811406.98 14.24, -10178.03 6811408.85 14.32, -10178.31 6811409.79 14.36, -10178.88 6811411.49 14.55, -10178.98 6811412.86 14.71, -10178.62 6811413.09 14.66, -10178.55 6811413.85 14.85, -10176.61 6811414.55 15.040000000000001, -10175.48 6811414.57 15.09, -10173.13 6811414.01 15.24, -10172.03 6811413.46 15.32, -10169.94 6811412.09 15.38, -10168.27 6811410.61 15.48, -10166.96 6811408.79 15.47, -10165.83 6811406.45 15.450000000000001, -10165.3 6811405.18 15.450000000000001, -10164.17 6811402.63 15.370000000000001, -10162.95 6811399.99 15.4, -10161.68 6811397.5 15.43, -10160.49 6811395.14 15.36, -10159.91 6811394.01 15.34, -10158.58 6811391.51 15.32, -10158.03 6811390.27 15.370000000000001, -10156.9 6811387.62 15.3, -10156.29 6811386.28 15.3, -10154.91 6811383.6 15.3, -10153.58 6811381.25 15.33, -10152.97 6811380.08 15.31, -10151.62 6811377.66 15.24, -10150.91 6811376.42 15.22, -10149.49 6811373.95 15.22, -10148.81 6811372.67 15.21, -10147.37 6811370.15 15.26, -10145.97 6811367.99 15.290000000000001, -10145.25 6811366.74 15.24, -10143.82 6811364.29 15.280000000000001, -10142.96 6811363.05 15.26, -10141.19 6811360.78 15.31, -10143.72 6811352.15 14.43, -10143.8 6811350.17 14.49, -10143.72 6811348.06 14.450000000000001, -10143.03 6811345.43 14.280000000000001, -10142.16 6811343.94 14.17, -10141.34 6811342.1 14.32, -10140.08 6811340.04 14.46, -10139.12 6811338.11 14.57, -10138.36 6811337.33 14.49, -10140.04 6811335.62 15.07, -10142.5 6811337.66 15.14, -10144.58 6811337.1 15.13))</t>
  </si>
  <si>
    <t>['EV39 S64D1 m4721 SD1 m137-152']</t>
  </si>
  <si>
    <t>LINESTRING Z (-10407.5 6811669.56 6.91, -10410.11 6811671.41 6.82, -10411.04 6811672.29 6.8, -10411.91 6811673.36 6.9, -10410.84 6811674.76 7.23, -10409.82 6811676.66 8.34, -10408.68 6811678.28 9.34, -10409.35 6811679.48 9.540000000000001, -10410.69 6811680.58 9.450000000000001, -10412.53 6811682.28 9.59, -10413.96 6811683.08 9.66, -10416.42 6811682.72 9.31, -10417.91 6811681.74 8.94, -10419.39 6811680.24 8.45, -10419.93 6811679.1 7.91, -10419.39 6811677.77 7.29, -10418.94 6811675.64 6.15, -10419.63 6811674.94 5.9, -10421.62 6811675.03 6.62, -10423.67 6811674.9 6.95, -10424.87 6811674.34 7.11, -10425.41 6811673.88 7.19, -10426.18 6811673.47 6.97, -10427.91 6811673.77 7.12, -10428.92 6811673.32 6.640000000000001, -10431.21 6811673.22 6.32, -10432.28 6811673.14 5.75, -10433.99 6811672.96 5.72, -10436.32 6811673.72 5.7700000000000005, -10438.76 6811675.01 5.96, -10441.7 6811676.38 6.11, -10442.15 6811677.88 6.890000000000001, -10441.72 6811678.89 7.5, -10440.69 6811680.25 7.91, -10439.54 6811682.71 8.57, -10438.4 6811685.44 9.48, -10436.77 6811689.25 10.55, -10434.74 6811689.35 10.85, -10432.21 6811689.64 11.02, -10430.24 6811690.11 11.18, -10428.91 6811690.54 11.24, -10429.52 6811691.65 11.31, -10432.97 6811691.01 11.13, -10434.81 6811690.59 10.89, -10435.88 6811691.2 10.92, -10435.68 6811692.31 11.28, -10434.57 6811693.69 11.63, -10433.57 6811695.51 12.36, -10432.81 6811697.08 13.120000000000001, -10432.24 6811699.06 13.74, -10431.66 6811700.58 14.56, -10432.1 6811702.71 15.11, -10432.68 6811703.93 15.43, -10433.9 6811704.05 15.34, -10434.17 6811702.65 14.97, -10434.17 6811701.59 14.47, -10434.47 6811700.09 13.71, -10435.17 6811698.71 13.22, -10435.87 6811697.78 12.75, -10436.56 6811696.27 12.02, -10437.28 6811694.26 11.53, -10438.4 6811692.43 11.07, -10439.54 6811689.64 10.38, -10440.56 6811687.2 9.620000000000001, -10441.48 6811684.51 8.790000000000001, -10442.49 6811682.2 8.32, -10443.66 6811679.94 7.6000000000000005, -10444.16 6811678.89 7.11, -10444.2 6811677.88 6.5200000000000005, -10444.73 6811676.75 6.04, -10446.37 6811677.46 6.59, -10448.29 6811679.28 6.84, -10449.4 6811679.87 7.05, -10447.83 6811682.39 8.27, -10446.57 6811685.67 9.36, -10445.16 6811689.94 10.23, -10444.17 6811693.72 11.68, -10443.54 6811697.32 13.16, -10443.49 6811700.48 14.13, -10443.2 6811703.72 14.55, -10443 6811706.62 15.18, -10435.75 6811712.74 16.330000000000002, -10431.3 6811709.94 15.93, -10426.51 6811706.68 15.73, -10423.4 6811703.97 15.59, -10419.31 6811700.97 15.370000000000001, -10415.68 6811698.22 15.06, -10411.82 6811694.64 14.93, -10406.48 6811690.17 14.790000000000001, -10402.54 6811686.11 14.46, -10407.5 6811669.56 6.91)</t>
  </si>
  <si>
    <t>POLYGON Z ((-10407.5 6811669.56 6.91, -10410.11 6811671.41 6.82, -10411.04 6811672.29 6.8, -10411.91 6811673.36 6.9, -10410.84 6811674.76 7.23, -10409.82 6811676.66 8.34, -10408.68 6811678.28 9.34, -10409.35 6811679.48 9.540000000000001, -10410.69 6811680.58 9.450000000000001, -10412.53 6811682.28 9.59, -10413.96 6811683.08 9.66, -10416.42 6811682.72 9.31, -10417.91 6811681.74 8.94, -10419.39 6811680.24 8.45, -10419.93 6811679.1 7.91, -10419.39 6811677.77 7.29, -10418.94 6811675.64 6.15, -10419.63 6811674.94 5.9, -10421.62 6811675.03 6.62, -10423.67 6811674.9 6.95, -10424.87 6811674.34 7.11, -10425.41 6811673.88 7.19, -10426.18 6811673.47 6.97, -10427.91 6811673.77 7.12, -10428.92 6811673.32 6.640000000000001, -10431.21 6811673.22 6.32, -10432.28 6811673.14 5.75, -10433.99 6811672.96 5.72, -10436.32 6811673.72 5.7700000000000005, -10438.76 6811675.01 5.96, -10441.7 6811676.38 6.11, -10442.15 6811677.88 6.890000000000001, -10441.72 6811678.89 7.5, -10440.69 6811680.25 7.91, -10439.54 6811682.71 8.57, -10438.4 6811685.44 9.48, -10436.77 6811689.25 10.55, -10434.74 6811689.35 10.85, -10432.21 6811689.64 11.02, -10430.24 6811690.11 11.18, -10428.91 6811690.54 11.24, -10429.52 6811691.65 11.31, -10432.97 6811691.01 11.13, -10434.81 6811690.59 10.89, -10435.88 6811691.2 10.92, -10435.68 6811692.31 11.28, -10434.57 6811693.69 11.63, -10433.57 6811695.51 12.36, -10432.81 6811697.08 13.120000000000001, -10432.24 6811699.06 13.74, -10431.66 6811700.58 14.56, -10432.1 6811702.71 15.11, -10432.68 6811703.93 15.43, -10433.9 6811704.05 15.34, -10434.17 6811702.65 14.97, -10434.17 6811701.59 14.47, -10434.47 6811700.09 13.71, -10435.17 6811698.71 13.22, -10435.87 6811697.78 12.75, -10436.56 6811696.27 12.02, -10437.28 6811694.26 11.53, -10438.4 6811692.43 11.07, -10439.54 6811689.64 10.38, -10440.56 6811687.2 9.620000000000001, -10441.48 6811684.51 8.790000000000001, -10442.49 6811682.2 8.32, -10443.66 6811679.94 7.6000000000000005, -10444.16 6811678.89 7.11, -10444.2 6811677.88 6.5200000000000005, -10444.73 6811676.75 6.04, -10446.37 6811677.46 6.59, -10448.29 6811679.28 6.84, -10449.4 6811679.87 7.05, -10447.83 6811682.39 8.27, -10446.57 6811685.67 9.36, -10445.16 6811689.94 10.23, -10444.17 6811693.72 11.68, -10443.54 6811697.32 13.16, -10443.49 6811700.48 14.13, -10443.2 6811703.72 14.55, -10443 6811706.62 15.18, -10435.75 6811712.74 16.330000000000002, -10431.3 6811709.94 15.93, -10426.51 6811706.68 15.73, -10423.4 6811703.97 15.59, -10419.31 6811700.97 15.370000000000001, -10415.68 6811698.22 15.06, -10411.82 6811694.64 14.93, -10406.48 6811690.17 14.790000000000001, -10402.54 6811686.11 14.46, -10407.5 6811669.56 6.91))</t>
  </si>
  <si>
    <t>[607]</t>
  </si>
  <si>
    <t>['FV607 S1D1 m297-304', 'FV607 S1D1 m304-380']</t>
  </si>
  <si>
    <t>LINESTRING Z (-10362.95 6811640.49 12.51, -10364.9 6811643.08 12.6, -10369.45 6811649.58 12.72, -10374.17 6811656.11 12.82, -10377.89 6811661.24 12.99, -10384.07 6811669.56 13.32, -10388.59 6811675.27 13.74, -10391.62 6811678.95 13.950000000000001, -10393.86 6811681.53 14.08, -10394 6811681.69 14.05, -10394.62 6811682.26 14.15, -10394.66 6811681.18 13.69, -10392.8 6811678.11 13.39, -10388.24 6811670.82 12.47, -10384.45 6811664.57 11.73, -10380.83 6811658.23 11, -10377.35 6811651.55 10.3, -10373.89 6811644.87 9.47, -10370.17 6811637.92 8.77, -10369.21 6811635.92 8.58, -10368.31 6811636.31 8.870000000000001, -10365.25 6811632.51 9.13, -10359.65 6811624.95 9.040000000000001, -10355.75 6811617.82 8.94, -10352.18 6811612.84 9.07, -10351 6811611.27 8.59, -10356.3 6811608.64 5.6000000000000005, -10355.03 6811607.32 5.37, -10353.61 6811606.23 4.84, -10350.39 6811604.18 3.12, -10350.35 6811604.77 3.45, -10350.17 6811605.17 3.96, -10348.92 6811606.18 5.07, -10347.42 6811606.81 5.47, -10345.05 6811607.16 5.5200000000000005, -10343.27 6811607.19 5.7, -10341.88 6811607.43 5.8, -10341.46 6811608.02 6.19, -10342.8 6811610.11 7.65, -10343.8 6811611.79 9.35, -10344.57 6811613.18 10.34, -10346.38 6811614.99 12.05, -10347.28 6811617.13 12.43, -10349.4 6811620.83 12.51, -10353.59 6811627.14 12.47, -10356.98 6811632.03 12.46, -10359.66 6811635.8 12.46, -10361.99 6811639.11 12.51, -10362.95 6811640.49 12.51)</t>
  </si>
  <si>
    <t>POLYGON Z ((-10362.95 6811640.49 12.51, -10364.9 6811643.08 12.6, -10369.45 6811649.58 12.72, -10374.17 6811656.11 12.82, -10377.89 6811661.24 12.99, -10384.07 6811669.56 13.32, -10388.59 6811675.27 13.74, -10391.62 6811678.95 13.950000000000001, -10393.86 6811681.53 14.08, -10394 6811681.69 14.05, -10394.62 6811682.26 14.15, -10394.66 6811681.18 13.69, -10392.8 6811678.11 13.39, -10388.24 6811670.82 12.47, -10384.45 6811664.57 11.73, -10380.83 6811658.23 11, -10377.35 6811651.55 10.3, -10373.89 6811644.87 9.47, -10370.17 6811637.92 8.77, -10369.21 6811635.92 8.58, -10368.31 6811636.31 8.870000000000001, -10365.25 6811632.51 9.13, -10359.65 6811624.95 9.040000000000001, -10355.75 6811617.82 8.94, -10352.18 6811612.84 9.07, -10351 6811611.27 8.59, -10356.3 6811608.64 5.6000000000000005, -10355.03 6811607.32 5.37, -10353.61 6811606.23 4.84, -10350.39 6811604.18 3.12, -10350.35 6811604.77 3.45, -10350.17 6811605.17 3.96, -10348.92 6811606.18 5.07, -10347.42 6811606.81 5.47, -10345.05 6811607.16 5.5200000000000005, -10343.27 6811607.19 5.7, -10341.88 6811607.43 5.8, -10341.46 6811608.02 6.19, -10342.8 6811610.11 7.65, -10343.8 6811611.79 9.35, -10344.57 6811613.18 10.34, -10346.38 6811614.99 12.05, -10347.28 6811617.13 12.43, -10349.4 6811620.83 12.51, -10353.59 6811627.14 12.47, -10356.98 6811632.03 12.46, -10359.66 6811635.8 12.46, -10361.99 6811639.11 12.51, -10362.95 6811640.49 12.51))</t>
  </si>
  <si>
    <t>['EV39 S64D1 m4721 SD1 m150-152']</t>
  </si>
  <si>
    <t>LINESTRING Z (-10473.08 6811682.86 7.95, -10463.78 6811679 7.98, -10460.42 6811676.58 7.5600000000000005, -10447.54 6811673.86 5.73, -10447.5 6811669.67 4.34, -10450.02 6811669.52 4.28, -10453.33 6811668.48 3.94, -10457.34 6811668.8 4.55, -10461.62 6811668.16 4.69, -10464.58 6811668.44 5.24, -10467.28 6811667.03 5.6000000000000005, -10473.57 6811668.28 7.0200000000000005, -10474.92 6811666.63 6.640000000000001, -10478.42 6811666.88 6.54, -10483.68 6811666.58 5.84, -10486.9 6811666.55 5.6000000000000005, -10489.71 6811665.29 5.0200000000000005, -10491.61 6811664.32 4.44, -10493.27 6811665.36 4.5200000000000005, -10498.06 6811666.39 3.39, -10502.06 6811669.69 3.04, -10503.73 6811673.4 3.41, -10506.56 6811674.37 3.85, -10508.21 6811673.72 3.22, -10509.83 6811676.6 3.36, -10510.07 6811676.91 3.4, -10505.77 6811676.03 3.9, -10504.08 6811675.83 4.01, -10480.05 6811673.01 6.890000000000001, -10479.83 6811671.01 7, -10479.86 6811668.79 6.95, -10478.64 6811668.97 6.94, -10474.55 6811669.02 7.03, -10474.47 6811670.06 7.08, -10474.12 6811674.23 7.1000000000000005, -10476.39 6811674.75 7.11, -10476.87 6811676.41 7.12, -10475.97 6811677.68 7.140000000000001, -10473.08 6811682.86 7.95)</t>
  </si>
  <si>
    <t>POLYGON Z ((-10473.08 6811682.86 7.95, -10463.78 6811679 7.98, -10460.42 6811676.58 7.5600000000000005, -10447.54 6811673.86 5.73, -10447.5 6811669.67 4.34, -10450.02 6811669.52 4.28, -10453.33 6811668.48 3.94, -10457.34 6811668.8 4.55, -10461.62 6811668.16 4.69, -10464.58 6811668.44 5.24, -10467.28 6811667.03 5.6000000000000005, -10473.57 6811668.28 7.0200000000000005, -10474.92 6811666.63 6.640000000000001, -10478.42 6811666.88 6.54, -10483.68 6811666.58 5.84, -10486.9 6811666.55 5.6000000000000005, -10489.71 6811665.29 5.0200000000000005, -10491.61 6811664.32 4.44, -10493.27 6811665.36 4.5200000000000005, -10498.06 6811666.39 3.39, -10502.06 6811669.69 3.04, -10503.73 6811673.4 3.41, -10506.56 6811674.37 3.85, -10508.21 6811673.72 3.22, -10509.83 6811676.6 3.36, -10510.07 6811676.91 3.4, -10505.77 6811676.03 3.9, -10504.08 6811675.83 4.01, -10480.05 6811673.01 6.890000000000001, -10479.83 6811671.01 7, -10479.86 6811668.79 6.95, -10478.64 6811668.97 6.94, -10474.55 6811669.02 7.03, -10474.47 6811670.06 7.08, -10474.12 6811674.23 7.1000000000000005, -10476.39 6811674.75 7.11, -10476.87 6811676.41 7.12, -10475.97 6811677.68 7.140000000000001, -10473.08 6811682.86 7.95))</t>
  </si>
  <si>
    <t>2024-11-26</t>
  </si>
  <si>
    <t>2025-11-22T09:18:51Z</t>
  </si>
  <si>
    <t>[828]</t>
  </si>
  <si>
    <t>['FV828 S1D1 m6017-6031']</t>
  </si>
  <si>
    <t>LINESTRING Z (376736.88482220785 7320558.121456597 5.87, 376737.39731769724 7320559.681933132 5.99, 376737.5150716965 7320557.365897974 5.94, 376737.7534719063 7320555.31520772 5.89, 376738.0625687889 7320553.531854454 5.8100000000000005, 376738.5267231988 7320551.622247664 5.78, 376738.97564927273 7320550.083462672 5.71, 376739.42013374326 7320548.935080866 5.71, 376739.99929750804 7320547.651252465 5.67, 376740.87898482464 7320546.125305337 5.69, 376742.07954440033 7320544.616578645 5.65, 376743.1550161779 7320543.232910242 5.67, 376744.82194356335 7320541.375392723 5.66, 376745.48139548744 7320540.348513012 5.49, 376746.4342585415 7320538.3994041225 5.18, 376746.96885889466 7320535.496414099 4.8100000000000005, 376747.0966029529 7320533.179980591 4.42, 376746.8954769455 7320530.896674595 3.8200000000000003, 376746.30382964 7320529.609511264 3.7, 376745.1275588374 7320528.465733285 3.61, 376743.6571391143 7320527.723912513 3.5300000000000002, 376742.0743808567 7320527.426827021 2.15, 376740.93449841166 7320529.453435133 2.44, 376740.3021977308 7320530.6593363285 2.42, 376739.6315310864 7320531.90679081 2.44, 376739.6458149655 7320532.766719603 2.7600000000000002, 376741.3423577705 7320533.909759815 3.64, 376741.19805745356 7320534.305740812 3.7800000000000002, 376740.51982093655 7320535.363387073 3.89, 376739.9991210208 7320535.604281021 3.75, 376738.5014318613 7320535.684023102 3.24, 376737.91187972965 7320536.958259999 3.37, 376736.93673492083 7320538.097788075 3.5, 376735.4928613291 7320539.276021491 3.54, 376734.668022588 7320539.919271095 3.5, 376733.82354339823 7320541.073599609 3.63, 376733.0070418536 7320542.176783346 3.62, 376732.4934543602 7320543.097787796 3.62, 376731.6776315605 7320545.221535698 3.68, 376731.16159453825 7320546.582892888 3.64, 376730.7111042979 7320547.831572199 3.6, 376730.3901139539 7320548.814936117 3.6, 376729.80129965 7320550.609445053 3.46, 376729.38926393987 7320551.066132822 3.2, 376728.18324459984 7320551.434416542 2.83, 376727.1990248037 7320551.593738566 2.4, 376726.26714503317 7320551.811007956 2.04, 376726.2778432199 7320552.5810276205 1.98, 376726.67171409645 7320553.675962743 2.19, 376727.29979443795 7320554.371331104 2.4, 376728.6451559962 7320554.988063994 2.95, 376729.7832380616 7320554.672518712 3.47, 376730.739937654 7320554.074039197 3.81, 376731.54397021764 7320553.661752656 4.09, 376732.38833130617 7320553.508008444 4.37, 376733.28013336903 7320554.292917051 4.73, 376734.6665612341 7320555.688464245 5.13, 376735.5743294382 7320556.622823029 5.43, 376736.88482220785 7320558.121456597 5.87)</t>
  </si>
  <si>
    <t>POLYGON Z ((376736.88482220785 7320558.121456597 5.87, 376737.39731769724 7320559.681933132 5.99, 376737.5150716965 7320557.365897974 5.94, 376737.7534719063 7320555.31520772 5.89, 376738.0625687889 7320553.531854454 5.8100000000000005, 376738.5267231988 7320551.622247664 5.78, 376738.97564927273 7320550.083462672 5.71, 376739.42013374326 7320548.935080866 5.71, 376739.99929750804 7320547.651252465 5.67, 376740.87898482464 7320546.125305337 5.69, 376742.07954440033 7320544.616578645 5.65, 376743.1550161779 7320543.232910242 5.67, 376744.82194356335 7320541.375392723 5.66, 376745.48139548744 7320540.348513012 5.49, 376746.4342585415 7320538.3994041225 5.18, 376746.96885889466 7320535.496414099 4.8100000000000005, 376747.0966029529 7320533.179980591 4.42, 376746.8954769455 7320530.896674595 3.8200000000000003, 376746.30382964 7320529.609511264 3.7, 376745.1275588374 7320528.465733285 3.61, 376743.6571391143 7320527.723912513 3.5300000000000002, 376742.0743808567 7320527.426827021 2.15, 376740.93449841166 7320529.453435133 2.44, 376740.3021977308 7320530.6593363285 2.42, 376739.6315310864 7320531.90679081 2.44, 376739.6458149655 7320532.766719603 2.7600000000000002, 376741.3423577705 7320533.909759815 3.64, 376741.19805745356 7320534.305740812 3.7800000000000002, 376740.51982093655 7320535.363387073 3.89, 376739.9991210208 7320535.604281021 3.75, 376738.5014318613 7320535.684023102 3.24, 376737.91187972965 7320536.958259999 3.37, 376736.93673492083 7320538.097788075 3.5, 376735.4928613291 7320539.276021491 3.54, 376734.668022588 7320539.919271095 3.5, 376733.82354339823 7320541.073599609 3.63, 376733.0070418536 7320542.176783346 3.62, 376732.4934543602 7320543.097787796 3.62, 376731.6776315605 7320545.221535698 3.68, 376731.16159453825 7320546.582892888 3.64, 376730.7111042979 7320547.831572199 3.6, 376730.3901139539 7320548.814936117 3.6, 376729.80129965 7320550.609445053 3.46, 376729.38926393987 7320551.066132822 3.2, 376728.18324459984 7320551.434416542 2.83, 376727.1990248037 7320551.593738566 2.4, 376726.26714503317 7320551.811007956 2.04, 376726.2778432199 7320552.5810276205 1.98, 376726.67171409645 7320553.675962743 2.19, 376727.29979443795 7320554.371331104 2.4, 376728.6451559962 7320554.988063994 2.95, 376729.7832380616 7320554.672518712 3.47, 376730.739937654 7320554.074039197 3.81, 376731.54397021764 7320553.661752656 4.09, 376732.38833130617 7320553.508008444 4.37, 376733.28013336903 7320554.292917051 4.73, 376734.6665612341 7320555.688464245 5.13, 376735.5743294382 7320556.622823029 5.43, 376736.88482220785 7320558.121456597 5.87))</t>
  </si>
  <si>
    <t>['FV828 S1D1 m5752-5798']</t>
  </si>
  <si>
    <t>LINESTRING Z (376917.8558768724 7320741.424272946 6.98, 376916.85464314005 7320740.153445817 6.98, 376914.847365246 7320737.742058683 6.9, 376913.7178858702 7320736.266224652 6.94, 376912.5700203754 7320734.831147054 6.99, 376910.7888362701 7320733.071124957 6.97, 376909.0719741984 7320731.41860124 6.95, 376907.30157683487 7320729.678160495 6.890000000000001, 376905.11445132986 7320727.524090763 6.83, 376903.0100339801 7320725.436762958 6.8100000000000005, 376900.432136439 7320723.018115892 6.8, 376898.27338695736 7320720.822891211 6.79, 376896.4338571175 7320719.105219106 6.79, 376893.901526462 7320716.574690922 6.78, 376892.63975845533 7320715.2942427555 6.7700000000000005, 376891.4111475145 7320714.092518535 6.7700000000000005, 376890.75628480554 7320713.478265251 6.79, 376890.24685860495 7320712.998292713 6.8, 376889.67789141106 7320712.530700601 6.8, 376888.94188481796 7320712.139810935 6.8, 376888.02924734174 7320711.836012044 6.79, 376887.11379151815 7320711.712429815 6.8100000000000005, 376885.93139726867 7320711.669534233 6.83, 376884.7834141539 7320711.235040362 6.68, 376884.47648671304 7320711.567466668 6.66, 376884.23388130474 7320712.007391387 6.640000000000001, 376884.0168629855 7320712.336231919 6.62, 376883.42822617927 7320712.629864474 6.6000000000000005, 376882.60025954025 7320712.692903031 6.57, 376881.28759812424 7320712.645197009 6.51, 376880.77210739563 7320712.765813866 6.38, 376880.7021780785 7320712.768602805 6.390000000000001, 376880.3312976165 7320713.253666595 6.19, 376880.3408302885 7320713.743570236 6.08, 376880.3362124339 7320715.634849162 5.83, 376880.93597559736 7320715.871079848 5.83, 376881.4857892479 7320716.1093026325 5.82, 376882.0200351158 7320716.208065204 5.79, 376882.608642518 7320716.164578622 5.78, 376883.1581165532 7320715.892519546 5.7700000000000005, 376883.6516647766 7320715.472604033 5.76, 376884.650743225 7320714.682324104 5.75, 376884.85535171535 7320714.544088555 5.91, 376886.0574449728 7320713.5756134745 5.93, 376886.37794809166 7320713.332697867 6.18, 376887.06716313405 7320714.055644823 6.17, 376888.5738388648 7320715.706545643 6.13, 376890.3809791 7320717.615619627 6.12, 376892.24925400876 7320719.552272775 6.1000000000000005, 376893.578531426 7320721.020138549 5.98, 376895.57664566423 7320723.201758173 6, 376897.0333718911 7320724.854651013 5.99, 376899.1273421588 7320727.432679315 5.97, 376900.78821965726 7320729.437638603 5.78, 376902.3567975203 7320731.386244244 5.8, 376904.84429939504 7320734.548925018 5.7700000000000005, 376907.4172983808 7320737.848277005 5.78, 376910.8421104155 7320742.184276342 5.79, 376912.97305865644 7320742.929769833 5.96, 376914.90156683646 7320742.362572631 6.42, 376917.5417779164 7320741.576881025 6.97, 376917.8558768724 7320741.424272946 6.98)</t>
  </si>
  <si>
    <t>POLYGON Z ((376917.8558768724 7320741.424272946 6.98, 376916.85464314005 7320740.153445817 6.98, 376914.847365246 7320737.742058683 6.9, 376913.7178858702 7320736.266224652 6.94, 376912.5700203754 7320734.831147054 6.99, 376910.7888362701 7320733.071124957 6.97, 376909.0719741984 7320731.41860124 6.95, 376907.30157683487 7320729.678160495 6.890000000000001, 376905.11445132986 7320727.524090763 6.83, 376903.0100339801 7320725.436762958 6.8100000000000005, 376900.432136439 7320723.018115892 6.8, 376898.27338695736 7320720.822891211 6.79, 376896.4338571175 7320719.105219106 6.79, 376893.901526462 7320716.574690922 6.78, 376892.63975845533 7320715.2942427555 6.7700000000000005, 376891.4111475145 7320714.092518535 6.7700000000000005, 376890.75628480554 7320713.478265251 6.79, 376890.24685860495 7320712.998292713 6.8, 376889.67789141106 7320712.530700601 6.8, 376888.94188481796 7320712.139810935 6.8, 376888.02924734174 7320711.836012044 6.79, 376887.11379151815 7320711.712429815 6.8100000000000005, 376885.93139726867 7320711.669534233 6.83, 376884.7834141539 7320711.235040362 6.68, 376884.47648671304 7320711.567466668 6.66, 376884.23388130474 7320712.007391387 6.640000000000001, 376884.0168629855 7320712.336231919 6.62, 376883.42822617927 7320712.629864474 6.6000000000000005, 376882.60025954025 7320712.692903031 6.57, 376881.28759812424 7320712.645197009 6.51, 376880.77210739563 7320712.765813866 6.38, 376880.7021780785 7320712.768602805 6.390000000000001, 376880.3312976165 7320713.253666595 6.19, 376880.3408302885 7320713.743570236 6.08, 376880.3362124339 7320715.634849162 5.83, 376880.93597559736 7320715.871079848 5.83, 376881.4857892479 7320716.1093026325 5.82, 376882.0200351158 7320716.208065204 5.79, 376882.608642518 7320716.164578622 5.78, 376883.1581165532 7320715.892519546 5.7700000000000005, 376883.6516647766 7320715.472604033 5.76, 376884.650743225 7320714.682324104 5.75, 376884.85535171535 7320714.544088555 5.91, 376886.0574449728 7320713.5756134745 5.93, 376886.37794809166 7320713.332697867 6.18, 376887.06716313405 7320714.055644823 6.17, 376888.5738388648 7320715.706545643 6.13, 376890.3809791 7320717.615619627 6.12, 376892.24925400876 7320719.552272775 6.1000000000000005, 376893.578531426 7320721.020138549 5.98, 376895.57664566423 7320723.201758173 6, 376897.0333718911 7320724.854651013 5.99, 376899.1273421588 7320727.432679315 5.97, 376900.78821965726 7320729.437638603 5.78, 376902.3567975203 7320731.386244244 5.8, 376904.84429939504 7320734.548925018 5.7700000000000005, 376907.4172983808 7320737.848277005 5.78, 376910.8421104155 7320742.184276342 5.79, 376912.97305865644 7320742.929769833 5.96, 376914.90156683646 7320742.362572631 6.42, 376917.5417779164 7320741.576881025 6.97, 376917.8558768724 7320741.424272946 6.98))</t>
  </si>
  <si>
    <t>['FV828 S1D1 m5807-6013']</t>
  </si>
  <si>
    <t>LINESTRING Z (376778.3378418988 7320542.039878042 5.82, 376777.2099565539 7320540.604002454 5.69, 376776.9874192509 7320540.292692196 5.71, 376775.7472839829 7320538.551113674 5.59, 376773.74614506675 7320538.300731406 5.62, 376770.85467975936 7320538.305984422 5.59, 376767.7294329171 7320538.470647993 5.5600000000000005, 376764.96501790505 7320538.650938333 5.53, 376762.3972136694 7320538.743341126 5.53, 376759.3323046053 7320538.915604118 5.54, 376756.68455155444 7320539.261340303 5.51, 376753.94204929477 7320539.991075498 5.5, 376751.94676838315 7320540.8911261 5.54, 376749.933071787 7320542.082079242 5.5600000000000005, 376748.5207616404 7320543.299077007 5.57, 376749.1184737893 7320543.985650685 5.33, 376749.03135353985 7320544.0591657655 5.34, 376749.8264438007 7320544.927977765 5.55, 376750.4873122329 7320545.441934122 5.89, 376751.7955029722 7320546.130190014 6.37, 376752.65895843465 7320546.706107401 6.74, 376753.89366360696 7320547.0570969675 7.04, 376755.14473332855 7320547.567526617 7.49, 376756.2819299246 7320547.9824397685 7.82, 376757.38835996855 7320548.378568351 8.19, 376758.4711949388 7320548.935730679 8.57, 376759.54566318163 7320549.283104976 8.790000000000001, 376760.2257441019 7320549.5261386 8.89, 376762.57803491526 7320550.552974089 9.56, 376764.85481855733 7320551.442739792 10.09, 376766.15464252926 7320551.921207611 10.28, 376767.33777495223 7320552.484375666 10.55, 376767.22697109065 7320553.469362666 11.18, 376768.2050964784 7320554.160776307 11.36, 376769.4002108817 7320554.773495462 11.370000000000001, 376771.4124464409 7320555.803887117 11.25, 376773.48780875094 7320556.911807514 11.1, 376775.1148500622 7320557.817480263 11.05, 376776.9168991663 7320558.846248706 10.93, 376779.3674362648 7320560.329432413 10.72, 376781.3280990831 7320561.572002518 10.59, 376783.1365228199 7320562.7606094135 10.48, 376784.81308570347 7320563.904446176 10.370000000000001, 376785.45158379246 7320564.3592598485 10.39, 376787.07859556 7320565.51507858 10.28, 376788.69681266637 7320566.701265433 10.16, 376790.2866537177 7320567.928607147 10.05, 376791.8665048611 7320569.156347261 9.950000000000001, 376793.42757143977 7320570.414853919 9.84, 376794.96026196494 7320571.714515427 9.74, 376796.4733710947 7320573.024963663 9.64, 376797.97688873386 7320574.345800211 9.55, 376799.4524287377 7320575.717781517 9.450000000000001, 376800.89799902623 7320577.090958064 9.36, 376802.3343762419 7320578.4845128255 9.27, 376802.4802111525 7320578.62878357 9.27, 376802.831451485 7320578.65479862 9.25, 376802.8730047691 7320578.693164574 9.25, 376803.60297615407 7320579.434498108 9.200000000000001, 376804.3329475389 7320580.175831632 9.16, 376805.0533274354 7320580.927553477 9.120000000000001, 376805.7637174274 7320581.679673735 9.08, 376806.4745058359 7320582.441783894 9.03, 376807.17530433985 7320583.204292469 8.99, 376807.56285954814 7320583.639096771 8.97, 376807.86651135585 7320583.977189358 8.950000000000001, 376808.548126884 7320584.760474568 8.91, 376809.2197525079 7320585.544158193 8.870000000000001, 376809.8917765486 7320586.337831714 8.83, 376810.5538106853 7320587.131903651 8.790000000000001, 376811.2062533344 7320587.936363907 8.75, 376811.85829756793 7320588.73083426 8.72, 376812.5007503137 7320589.535692923 8.68, 376813.14360147686 7320590.350541492 8.64, 376813.7764627362 7320591.165788474 8.61, 376814.3993340917 7320591.981433869 8.57, 376815.022205448 7320592.79707926 8.540000000000001, 376815.64547522186 7320593.622714556 8.5, 376816.2487651877 7320594.449146683 8.47, 376816.8520551542 7320595.275578803 8.44, 376817.4553451218 7320596.102010923 8.41, 376818.04904360254 7320596.938831362 8.38, 376818.6427420844 7320597.775651796 8.35, 376819.2264506627 7320598.612870645 8.32, 376819.81015924213 7320599.45008949 8.290000000000001, 376820.3742864309 7320600.298095072 8.26, 376820.93881203746 7320601.156090556 8.24, 376821.4929493241 7320602.004494548 8.21, 376822.0374951246 7320602.863286861 8.19, 376822.31476297753 7320603.292483806 8.18, 376822.59203083045 7320603.721680749 8.17, 376823.1365766334 7320604.580473054 8.14, 376823.67113253335 7320605.439663778 8.120000000000001, 376824.2156783386 7320606.298456076 8.1, 376824.75023424113 7320607.157646792 8.08, 376824.77220613434 7320607.20679948 8.08, 376825.2751986576 7320608.027225826 8.06, 376825.80975456274 7320608.886416537 8.03, 376826.33432056475 7320609.746005662 8.01, 376826.8492950813 7320610.615983106 7.99, 376827.3738610859 7320611.475572226 7.97, 376827.88883560506 7320612.345549663 7.95, 376828.4134016124 7320613.205138778 7.930000000000001, 376828.92837613414 7320614.0751162125 7.91, 376829.43336075323 7320614.94549206 7.890000000000001, 376829.94793686055 7320615.805479583 7.88, 376830.45292148244 7320616.675855427 7.86, 376830.9674975925 7320617.5358429495 7.84, 376831.12890025286 7320617.8195739 7.84, 376831.47248221707 7320618.406218784 7.83, 376831.97706842574 7320619.266604719 7.8100000000000005, 376832.4820530531 7320620.136980553 7.8, 376832.9866392644 7320620.997366476 7.78, 376833.27588912117 7320621.476114498 7.7700000000000005, 376834.0058015951 7320622.717739906 7.75, 376835.024963931 7320624.438113326 7.72, 376835.539540053 7320625.298100823 7.71, 376836.0637076624 7320626.147699997 7.7, 376836.58787527325 7320626.997299169 7.68, 376837.11204288516 7320627.846898339 7.67, 376837.6362104983 7320628.696497503 7.65, 376838.15997969505 7320629.536106763 7.640000000000001, 376838.6841473107 7320630.385705924 7.62, 376839.2183048312 7320631.234906666 7.61, 376839.7420740316 7320632.074515919 7.59, 376840.2662416509 7320632.924115074 7.57, 376840.8000007573 7320633.763325903 7.5600000000000005, 376841.32416837907 7320634.612925053 7.54, 376841.85792748793 7320635.452135876 7.53, 376841.8902877054 7320635.510880044 7.53, 376842.382095112 7320636.301735019 7.5200000000000005, 376842.91585422313 7320637.14094584 7.51, 376843.44961333554 7320637.980156657 7.5, 376843.98337244906 7320638.819367472 7.49, 376844.5171315637 7320639.658578286 7.48, 376845.05089067935 7320640.497789093 7.47, 376845.5842513786 7320641.327009999 7.46, 376846.1280004 7320642.165822385 7.45, 376846.6613611013 7320642.995043284 7.45, 376847.20511012507 7320643.833855667 7.44, 376847.74846073205 7320644.662678143 7.43, 376848.29181134 7320645.491500617 7.42, 376848.8351619491 7320646.320323086 7.41, 376849.3785125594 7320647.149145556 7.4, 376849.9218631707 7320647.977968022 7.390000000000001, 376850.47480526817 7320648.796402163 7.38, 376851.02814578486 7320649.624826205 7.37, 376851.58108788455 7320650.443260342 7.36, 376852.1340299851 7320651.261694477 7.36, 376852.6869720868 7320652.080128609 7.3500000000000005, 376853.24990409263 7320652.898164318 7.34, 376853.8128360996 7320653.716200028 7.33, 376854.3757681075 7320654.5342357345 7.32, 376854.93830169796 7320655.342281535 7.3100000000000005, 376855.5008352894 7320656.150327331 7.3, 376856.07335878495 7320656.9579747105 7.29, 376856.6458822815 7320657.765622084 7.28, 376857.21840577875 7320658.573269454 7.2700000000000005, 376857.7905308587 7320659.370926921 7.2700000000000005, 376858.37264584255 7320660.168185967 7.26, 376858.944770924 7320660.965843426 7.25, 376859.27278517 7320661.413028 7.24, 376859.5268859095 7320661.763102465 7.24, 376860.11899079906 7320662.5599630885 7.23, 376860.70110578614 7320663.357222122 7.22, 376861.2928122585 7320664.144092831 7.21, 376861.88451873173 7320664.93096354 7.2, 376862.48621510854 7320665.717435823 7.19, 376863.0779215832 7320666.504306528 7.18, 376863.67921954294 7320667.280788906 7.18, 376864.29090582504 7320668.066862767 7.17, 376864.89220378606 7320668.843345142 7.16, 376865.50349165074 7320669.61942909 7.15, 376866.1147795159 7320670.39551304 7.140000000000001, 376866.7256689632 7320671.161607087 7.13, 376867.3469467325 7320671.937292609 7.12, 376867.96782608365 7320672.702988229 7.11, 376868.58870543545 7320673.468683845 7.1000000000000005, 376869.2095847878 7320674.23437946 7.09, 376869.84005562466 7320674.989686751 7.09, 376870.47092488076 7320675.754983941 7.08, 376871.1013957186 7320676.510291225 7.07, 376871.73186655703 7320677.26559851 7.0600000000000005, 376872.3723272984 7320678.020507368 7.05, 376872.6875627178 7320678.398161007 7.04, 376873.01238962123 7320678.765426325 7.04, 376873.3276250411 7320679.143079965 7.04, 376873.65285036364 7320679.520335181 7.03, 376873.9676873646 7320679.887998914 7.03, 376874.2929126874 7320680.265254128 7.0200000000000005, 376874.6181380103 7320680.642509346 7.0200000000000005, 376874.9429649142 7320681.009774658 7.01, 376875.26819023734 7320681.387029873 7.01, 376875.5826288196 7320681.744703698 7, 376875.9178440456 7320682.121560493 7, 376876.24306936894 7320682.498815706 7, 376876.27423433383 7320682.527590157 6.99, 376876.56789627334 7320682.866081015 6.99, 376876.90271308034 7320683.232947904 6.99, 376877.2275399849 7320683.600213213 6.98, 376877.55276530853 7320683.977468423 6.98, 376877.74055193644 7320684.170094931 6.97, 376879.83823903603 7320682.325415148 7.16, 376880.26734757144 7320682.79858519 7.16, 376880.5294461242 7320683.098311694 7.15, 376880.7284179097 7320683.3205094915 7.15, 376880.927389695 7320683.542707282 7.15, 376881.1259630615 7320683.754915176 7.140000000000001, 376881.32493484707 7320683.977112971 7.140000000000001, 376881.5966248835 7320684.26645115 7.140000000000001, 376881.9314416873 7320684.633318033 7.13, 376882.1304134728 7320684.855515826 7.13, 376882.3185985178 7320685.058132232 7.13, 376882.5279586251 7320685.289921511 7.13, 376882.7269304109 7320685.5121193025 7.12, 376882.86277542904 7320685.65678839 7.12, 376882.9986204473 7320685.80145748 7.12, 376883.13446546555 7320685.946126565 7.12, 376883.26071900054 7320686.101183974 7.11, 376883.39656401874 7320686.245853063 7.11, 376883.59513738554 7320686.458060954 7.11, 376883.73098240385 7320686.602730041 7.11, 376883.87721574365 7320686.75699061 7.1000000000000005, 376883.9607207352 7320686.84371238 7.1000000000000005, 376884.054215629 7320686.930035729 7.1000000000000005, 376884.09616733424 7320686.978391564 7.1000000000000005, 376884.1892638091 7320687.054725012 7.1000000000000005, 376884.282758703 7320687.141048359 7.1000000000000005, 376884.37585517776 7320687.217381808 7.1000000000000005, 376884.4789415547 7320687.293316834 7.09, 376884.57203802944 7320687.369650282 7.09, 376884.7362590781 7320687.473164501 7.09, 376884.83894703607 7320687.539109628 7.09, 376884.94163499377 7320687.60505475 7.09, 376885.05391443486 7320687.660611553 7.09, 376885.1566023927 7320687.726556679 7.09, 376885.26888183365 7320687.78211348 7.09, 376885.38076285535 7320687.827680383 7.09, 376885.4930422964 7320687.883237186 7.09, 376885.61491322046 7320687.92840567 7.08, 376885.72679424216 7320687.973972568 7.08, 376885.8486651661 7320688.019141051 7.08, 376885.96014776855 7320688.054718048 7.08, 376886.0816202733 7320688.08989663 7.08, 376886.2030927781 7320688.125075208 7.08, 376886.32416686363 7320688.150263885 7.08, 376886.4456393682 7320688.1854424635 7.08, 376886.5663150345 7320688.200641239 7.08, 376886.6270512868 7320688.218230529 7.08, 376886.717757246 7320688.23462456 7.08, 376886.8080647862 7320688.24102869 7.08, 376886.9387303545 7320688.255829046 7.08, 376887.0594060207 7320688.271027821 7.08, 376887.18967316975 7320688.275838271 7.08, 376887.3099504167 7320688.281047143 7.08, 376887.3802781519 7320688.2882481115 7.08, 376887.46059578954 7320688.295050661 7.08, 376887.5409134271 7320688.30185321 7.08, 376887.62162948376 7320688.318645662 7.08, 376887.7023455405 7320688.335438113 7.08, 376887.78346001636 7320688.362220466 7.08, 376887.8645744922 7320688.389002821 7.08, 376887.88535113516 7320688.408185785 7.08, 376887.9464858065 7320688.435764978 7.08, 376888.02799870144 7320688.472537235 7.07, 376888.1202983371 7320688.528890875 7.07, 376888.2129963918 7320688.595234416 7.07, 376888.30609286577 7320688.671567862 7.0600000000000005, 376888.3688212139 7320688.739106664 7.0600000000000005, 376888.3999861782 7320688.767881112 7.0600000000000005, 376888.4834911692 7320688.854602882 7.05, 376888.57738448144 7320688.950916131 7.05, 376888.6708793747 7320689.037239477 7.04, 376888.7651711062 7320689.14354263 7.03, 376888.8590644186 7320689.239855879 7.03, 376888.9637444716 7320689.355750515 7.0200000000000005, 376889.0780160078 7320689.461256831 7.01, 376889.19268596306 7320689.576753045 6.99, 376889.3077543374 7320689.70223916 6.98, 376889.43281261425 7320689.82732686 6.97, 376889.55826931016 7320689.962404459 6.96, 376889.6937159084 7320690.097083642 6.95, 376889.8399492474 7320690.25134421 6.94, 376890.4145531241 7320690.358503043 6.92, 376890.88888898003 7320690.2095101895 6.92, 376891.32927093667 7320689.961813575 6.93, 376891.7488762501 7320689.694933994 6.93, 376891.8755576246 7320689.609835325 6.93, 376892.0989506673 7320689.440833252 6.94, 376892.42904528 7320689.187529344 6.94, 376892.73796483077 7320688.905052572 6.95, 376892.94937587506 7320688.686499404 6.95, 376893.026506158 7320688.613382736 6.95, 376893.3042607447 7320688.302131516 6.96, 376893.51407811244 7320688.0436187405 6.96, 376893.5616371081 7320687.981687233 6.96, 376893.7894421843 7320687.672428109 6.97, 376893.8082267311 7320687.641661564 6.97, 376894.0444280331 7320687.292044413 6.97, 376894.28023091605 7320686.932437361 6.98, 376894.50604389724 7320686.573228728 6.98, 376894.72186697635 7320686.2144185165 6.99, 376894.90051938116 7320685.9271312915 6.99, 376894.9472815389 7320685.84521998 6.99, 376895.0499989181 7320685.6610191325 6.99, 376895.1059541397 7320685.558729598 7, 376895.15271629737 7320685.476818285 7, 376895.3581510562 7320685.108416588 7.01, 376895.56318739604 7320684.730024993 7.03, 376895.7582338343 7320684.3520318195 7.05, 376895.95328027266 7320683.97403864 7.0600000000000005, 376896.1379383905 7320683.586453984 7.09, 376896.32259650837 7320683.198869322 7.11, 376896.4968663056 7320682.80169318 7.13, 376896.57920546277 7320682.608299269 7.140000000000001, 376896.64395533 7320682.475641609 7.15, 376896.6711361031 7320682.404517038 7.16, 376896.8350175801 7320681.997749416 7.19, 376896.9988990573 7320681.590981792 7.22, 376897.1344045048 7320681.2253690325 7.24, 376897.152790633 7320681.184612587 7.25, 376897.1891644704 7320681.093109794 7.25, 376897.31468001625 7320680.7278954545 7.28, 376897.4757725621 7320680.251198517 7.32, 376897.63686510856 7320679.77450158 7.3500000000000005, 376897.75199233467 7320679.3996957615 7.38, 376897.7779778517 7320679.298601485 7.390000000000001, 376897.91948901396 7320678.832691288 7.43, 376898.05021343724 7320678.347199708 7.47, 376898.161356476 7320677.872494869 7.51, 376898.0886676598 7320677.555208514 7.47, 376896.59314787074 7320676.184024839 7.68, 376894.86430399545 7320674.481949691 7.84, 376893.3975586549 7320673.079601028 8, 376891.3618461759 7320671.209660173 8.23, 376889.9261774902 7320670.586523857 8.39, 376888.4573811793 7320669.634517595 8.43, 376884.25067252433 7320667.771114316 8.55, 376883.15423264337 7320667.374587821 8.56, 376882.16827246477 7320668.744680383 8.44, 376883.5039244116 7320670.372384823 8.36, 376883.8786419395 7320671.237950002 8.34, 376883.5836670225 7320671.870073351 8.290000000000001, 376883.0118226372 7320672.082989782 8.19, 376882.06682495977 7320671.720446627 8.14, 376880.5337948989 7320669.910503993 8.18, 376878.7901211763 7320668.589240293 8.03, 376877.3577281053 7320667.295585212 7.98, 376876.5195203117 7320666.098302259 7.99, 376874.93178915925 7320663.920326849 7.8500000000000005, 376873.4167468201 7320662.059637793 7.92, 376872.06096785923 7320661.68346005 7.98, 376870.68609425024 7320660.577620983 8.02, 376868.4777349865 7320658.894669719 8.06, 376865.6145425037 7320656.347319013 8.15, 376862.8956501529 7320653.4039873555 8.03, 376860.4460867709 7320650.439908461 7.97, 376858.9278276448 7320648.749446044 7.8, 376858.0149978847 7320646.684635083 7.63, 376856.87365452136 7320644.15866544 7.6000000000000005, 376855.5380320481 7320642.280814783 7.57, 376854.3758531525 7320640.235954137 7.62, 376854.2033536978 7320639.172213918 7.57, 376852.6656605017 7320636.241808161 7.61, 376851.06076800154 7320633.884412628 7.71, 376849.44193089224 7320631.177370457 7.7700000000000005, 376847.865443915 7320628.528674008 7.8500000000000005, 376846.31690510747 7320626.078978778 7.86, 376844.78117460303 7320623.448668422 7.84, 376843.1746884818 7320621.051313167 7.92, 376841.7199840686 7320619.198223165 7.96, 376839.01922692696 7320614.953414623 8.31, 376836.9432448339 7320612.324638888 8.56, 376836.6547918265 7320611.865870672 8.58, 376835.5894131767 7320608.986668381 8.6, 376836.76600819576 7320607.378839674 8.63, 376836.5534161217 7320604.05538904 8.63, 376834.9753651029 7320601.116586752 8.52, 376829.4923533462 7320595.852085021 8.74, 376827.19517671666 7320591.691238538 8.74, 376824.25458864344 7320591.468317852 8.76, 376823.08039845637 7320589.624051781 8.84, 376822.47204706795 7320587.667166822 8.91, 376821.5992361703 7320585.100469785 8.9, 376820.4110719394 7320583.156703053 8.74, 376818.97034169565 7320581.403113406 8.69, 376816.33421674924 7320578.026230749 8.58, 376816.0441406045 7320577.777648887 8.790000000000001, 376814.77835915436 7320576.64744694 9.07, 376813.80504434515 7320575.825766274 9.120000000000001, 376812.99634900084 7320575.117589801 9.24, 376811.54998193646 7320573.724433483 9.040000000000001, 376810.7860272022 7320573.134542192 9.01, 376809.57696834375 7320572.172176506 9.01, 376808.41865583893 7320571.227798546 9.03, 376807.5883870181 7320570.480459264 9, 376806.40372004634 7320569.3770396495 9.01, 376805.25858477096 7320568.512182493 9.02, 376804.1777714978 7320567.754823791 9.040000000000001, 376802.82045772305 7320566.838393925 9.05, 376801.37326430983 7320565.675403764 9.16, 376800.06470480654 7320564.727012092 9.120000000000001, 376799.1029735528 7320563.944892565 9.05, 376798.2878445267 7320563.577169638 8.98, 376798.07088503835 7320563.405718077 8.76, 376797.98547650693 7320562.5186086185 8.34, 376802.9683731635 7320559.50825332 8.02, 376804.6204997824 7320557.78140163 8.14, 376805.9058478661 7320555.638928599 8.17, 376806.26936533325 7320553.2130344445 8.15, 376805.98017457937 7320552.233994264 7.55, 376804.5585093341 7320551.460211923 7.38, 376802.7842904363 7320551.631028928 6.92, 376800.89451620745 7320552.416807947 6.51, 376799.1301986469 7320553.337664657 6.07, 376796.6516250401 7320552.405917835 5.71, 376795.34833350964 7320550.836956748 5.61, 376792.88606539846 7320550.564942051 5.45, 376791.3223722453 7320551.247664228 5.54, 376790.3813290842 7320551.235165761 5.48, 376788.6735127494 7320550.812992622 5.5, 376786.60574995837 7320549.644734391 5.44, 376784.8585495204 7320547.733268519 5.4, 376783.55121477117 7320546.564700407 5.38, 376781.5954510896 7320544.44142489 5.3100000000000005, 376780.39148303913 7320544.359365958 5.51, 376779.51561772695 7320543.974053646 5.61, 376778.9219193052 7320543.137233033 5.84, 376778.3378418988 7320542.039878042 5.82)</t>
  </si>
  <si>
    <t>POLYGON Z ((376778.3378418988 7320542.039878042 5.82, 376777.2099565539 7320540.604002454 5.69, 376776.9874192509 7320540.292692196 5.71, 376775.7472839829 7320538.551113674 5.59, 376773.74614506675 7320538.300731406 5.62, 376770.85467975936 7320538.305984422 5.59, 376767.7294329171 7320538.470647993 5.5600000000000005, 376764.96501790505 7320538.650938333 5.53, 376762.3972136694 7320538.743341126 5.53, 376759.3323046053 7320538.915604118 5.54, 376756.68455155444 7320539.261340303 5.51, 376753.94204929477 7320539.991075498 5.5, 376751.94676838315 7320540.8911261 5.54, 376749.933071787 7320542.082079242 5.5600000000000005, 376748.5207616404 7320543.299077007 5.57, 376749.1184737893 7320543.985650685 5.33, 376749.03135353985 7320544.0591657655 5.34, 376749.8264438007 7320544.927977765 5.55, 376750.4873122329 7320545.441934122 5.89, 376751.7955029722 7320546.130190014 6.37, 376752.65895843465 7320546.706107401 6.74, 376753.89366360696 7320547.0570969675 7.04, 376755.14473332855 7320547.567526617 7.49, 376756.2819299246 7320547.9824397685 7.82, 376757.38835996855 7320548.378568351 8.19, 376758.4711949388 7320548.935730679 8.57, 376759.54566318163 7320549.283104976 8.790000000000001, 376760.2257441019 7320549.5261386 8.89, 376762.57803491526 7320550.552974089 9.56, 376764.85481855733 7320551.442739792 10.09, 376766.15464252926 7320551.921207611 10.28, 376767.33777495223 7320552.484375666 10.55, 376767.22697109065 7320553.469362666 11.18, 376768.2050964784 7320554.160776307 11.36, 376769.4002108817 7320554.773495462 11.370000000000001, 376771.4124464409 7320555.803887117 11.25, 376773.48780875094 7320556.911807514 11.1, 376775.1148500622 7320557.817480263 11.05, 376776.9168991663 7320558.846248706 10.93, 376779.3674362648 7320560.329432413 10.72, 376781.3280990831 7320561.572002518 10.59, 376783.1365228199 7320562.7606094135 10.48, 376784.81308570347 7320563.904446176 10.370000000000001, 376785.45158379246 7320564.3592598485 10.39, 376787.07859556 7320565.51507858 10.28, 376788.69681266637 7320566.701265433 10.16, 376790.2866537177 7320567.928607147 10.05, 376791.8665048611 7320569.156347261 9.950000000000001, 376793.42757143977 7320570.414853919 9.84, 376794.96026196494 7320571.714515427 9.74, 376796.4733710947 7320573.024963663 9.64, 376797.97688873386 7320574.345800211 9.55, 376799.4524287377 7320575.717781517 9.450000000000001, 376800.89799902623 7320577.090958064 9.36, 376802.3343762419 7320578.4845128255 9.27, 376802.4802111525 7320578.62878357 9.27, 376802.831451485 7320578.65479862 9.25, 376802.8730047691 7320578.693164574 9.25, 376803.60297615407 7320579.434498108 9.200000000000001, 376804.3329475389 7320580.175831632 9.16, 376805.0533274354 7320580.927553477 9.120000000000001, 376805.7637174274 7320581.679673735 9.08, 376806.4745058359 7320582.441783894 9.03, 376807.17530433985 7320583.204292469 8.99, 376807.56285954814 7320583.639096771 8.97, 376807.86651135585 7320583.977189358 8.950000000000001, 376808.548126884 7320584.760474568 8.91, 376809.2197525079 7320585.544158193 8.870000000000001, 376809.8917765486 7320586.337831714 8.83, 376810.5538106853 7320587.131903651 8.790000000000001, 376811.2062533344 7320587.936363907 8.75, 376811.85829756793 7320588.73083426 8.72, 376812.5007503137 7320589.535692923 8.68, 376813.14360147686 7320590.350541492 8.64, 376813.7764627362 7320591.165788474 8.61, 376814.3993340917 7320591.981433869 8.57, 376815.022205448 7320592.79707926 8.540000000000001, 376815.64547522186 7320593.622714556 8.5, 376816.2487651877 7320594.449146683 8.47, 376816.8520551542 7320595.275578803 8.44, 376817.4553451218 7320596.102010923 8.41, 376818.04904360254 7320596.938831362 8.38, 376818.6427420844 7320597.775651796 8.35, 376819.2264506627 7320598.612870645 8.32, 376819.81015924213 7320599.45008949 8.290000000000001, 376820.3742864309 7320600.298095072 8.26, 376820.93881203746 7320601.156090556 8.24, 376821.4929493241 7320602.004494548 8.21, 376822.0374951246 7320602.863286861 8.19, 376822.31476297753 7320603.292483806 8.18, 376822.59203083045 7320603.721680749 8.17, 376823.1365766334 7320604.580473054 8.14, 376823.67113253335 7320605.439663778 8.120000000000001, 376824.2156783386 7320606.298456076 8.1, 376824.75023424113 7320607.157646792 8.08, 376824.77220613434 7320607.20679948 8.08, 376825.2751986576 7320608.027225826 8.06, 376825.80975456274 7320608.886416537 8.03, 376826.33432056475 7320609.746005662 8.01, 376826.8492950813 7320610.615983106 7.99, 376827.3738610859 7320611.475572226 7.97, 376827.88883560506 7320612.345549663 7.95, 376828.4134016124 7320613.205138778 7.930000000000001, 376828.92837613414 7320614.0751162125 7.91, 376829.43336075323 7320614.94549206 7.890000000000001, 376829.94793686055 7320615.805479583 7.88, 376830.45292148244 7320616.675855427 7.86, 376830.9674975925 7320617.5358429495 7.84, 376831.12890025286 7320617.8195739 7.84, 376831.47248221707 7320618.406218784 7.83, 376831.97706842574 7320619.266604719 7.8100000000000005, 376832.4820530531 7320620.136980553 7.8, 376832.9866392644 7320620.997366476 7.78, 376833.27588912117 7320621.476114498 7.7700000000000005, 376834.0058015951 7320622.717739906 7.75, 376835.024963931 7320624.438113326 7.72, 376835.539540053 7320625.298100823 7.71, 376836.0637076624 7320626.147699997 7.7, 376836.58787527325 7320626.997299169 7.68, 376837.11204288516 7320627.846898339 7.67, 376837.6362104983 7320628.696497503 7.65, 376838.15997969505 7320629.536106763 7.640000000000001, 376838.6841473107 7320630.385705924 7.62, 376839.2183048312 7320631.234906666 7.61, 376839.7420740316 7320632.074515919 7.59, 376840.2662416509 7320632.924115074 7.57, 376840.8000007573 7320633.763325903 7.5600000000000005, 376841.32416837907 7320634.612925053 7.54, 376841.85792748793 7320635.452135876 7.53, 376841.8902877054 7320635.510880044 7.53, 376842.382095112 7320636.301735019 7.5200000000000005, 376842.91585422313 7320637.14094584 7.51, 376843.44961333554 7320637.980156657 7.5, 376843.98337244906 7320638.819367472 7.49, 376844.5171315637 7320639.658578286 7.48, 376845.05089067935 7320640.497789093 7.47, 376845.5842513786 7320641.327009999 7.46, 376846.1280004 7320642.165822385 7.45, 376846.6613611013 7320642.995043284 7.45, 376847.20511012507 7320643.833855667 7.44, 376847.74846073205 7320644.662678143 7.43, 376848.29181134 7320645.491500617 7.42, 376848.8351619491 7320646.320323086 7.41, 376849.3785125594 7320647.149145556 7.4, 376849.9218631707 7320647.977968022 7.390000000000001, 376850.47480526817 7320648.796402163 7.38, 376851.02814578486 7320649.624826205 7.37, 376851.58108788455 7320650.443260342 7.36, 376852.1340299851 7320651.261694477 7.36, 376852.6869720868 7320652.080128609 7.3500000000000005, 376853.24990409263 7320652.898164318 7.34, 376853.8128360996 7320653.716200028 7.33, 376854.3757681075 7320654.5342357345 7.32, 376854.93830169796 7320655.342281535 7.3100000000000005, 376855.5008352894 7320656.150327331 7.3, 376856.07335878495 7320656.9579747105 7.29, 376856.6458822815 7320657.765622084 7.28, 376857.21840577875 7320658.573269454 7.2700000000000005, 376857.7905308587 7320659.370926921 7.2700000000000005, 376858.37264584255 7320660.168185967 7.26, 376858.944770924 7320660.965843426 7.25, 376859.27278517 7320661.413028 7.24, 376859.5268859095 7320661.763102465 7.24, 376860.11899079906 7320662.5599630885 7.23, 376860.70110578614 7320663.357222122 7.22, 376861.2928122585 7320664.144092831 7.21, 376861.88451873173 7320664.93096354 7.2, 376862.48621510854 7320665.717435823 7.19, 376863.0779215832 7320666.504306528 7.18, 376863.67921954294 7320667.280788906 7.18, 376864.29090582504 7320668.066862767 7.17, 376864.89220378606 7320668.843345142 7.16, 376865.50349165074 7320669.61942909 7.15, 376866.1147795159 7320670.39551304 7.140000000000001, 376866.7256689632 7320671.161607087 7.13, 376867.3469467325 7320671.937292609 7.12, 376867.96782608365 7320672.702988229 7.11, 376868.58870543545 7320673.468683845 7.1000000000000005, 376869.2095847878 7320674.23437946 7.09, 376869.84005562466 7320674.989686751 7.09, 376870.47092488076 7320675.754983941 7.08, 376871.1013957186 7320676.510291225 7.07, 376871.73186655703 7320677.26559851 7.0600000000000005, 376872.3723272984 7320678.020507368 7.05, 376872.6875627178 7320678.398161007 7.04, 376873.01238962123 7320678.765426325 7.04, 376873.3276250411 7320679.143079965 7.04, 376873.65285036364 7320679.520335181 7.03, 376873.9676873646 7320679.887998914 7.03, 376874.2929126874 7320680.265254128 7.0200000000000005, 376874.6181380103 7320680.642509346 7.0200000000000005, 376874.9429649142 7320681.009774658 7.01, 376875.26819023734 7320681.387029873 7.01, 376875.5826288196 7320681.744703698 7, 376875.9178440456 7320682.121560493 7, 376876.24306936894 7320682.498815706 7, 376876.27423433383 7320682.527590157 6.99, 376876.56789627334 7320682.866081015 6.99, 376876.90271308034 7320683.232947904 6.99, 376877.2275399849 7320683.600213213 6.98, 376877.55276530853 7320683.977468423 6.98, 376877.74055193644 7320684.170094931 6.97, 376879.83823903603 7320682.325415148 7.16, 376880.26734757144 7320682.79858519 7.16, 376880.5294461242 7320683.098311694 7.15, 376880.7284179097 7320683.3205094915 7.15, 376880.927389695 7320683.542707282 7.15, 376881.1259630615 7320683.754915176 7.140000000000001, 376881.32493484707 7320683.977112971 7.140000000000001, 376881.5966248835 7320684.26645115 7.140000000000001, 376881.9314416873 7320684.633318033 7.13, 376882.1304134728 7320684.855515826 7.13, 376882.3185985178 7320685.058132232 7.13, 376882.5279586251 7320685.289921511 7.13, 376882.7269304109 7320685.5121193025 7.12, 376882.86277542904 7320685.65678839 7.12, 376882.9986204473 7320685.80145748 7.12, 376883.13446546555 7320685.946126565 7.12, 376883.26071900054 7320686.101183974 7.11, 376883.39656401874 7320686.245853063 7.11, 376883.59513738554 7320686.458060954 7.11, 376883.73098240385 7320686.602730041 7.11, 376883.87721574365 7320686.75699061 7.1000000000000005, 376883.9607207352 7320686.84371238 7.1000000000000005, 376884.054215629 7320686.930035729 7.1000000000000005, 376884.09616733424 7320686.978391564 7.1000000000000005, 376884.1892638091 7320687.054725012 7.1000000000000005, 376884.282758703 7320687.141048359 7.1000000000000005, 376884.37585517776 7320687.217381808 7.1000000000000005, 376884.4789415547 7320687.293316834 7.09, 376884.57203802944 7320687.369650282 7.09, 376884.7362590781 7320687.473164501 7.09, 376884.83894703607 7320687.539109628 7.09, 376884.94163499377 7320687.60505475 7.09, 376885.05391443486 7320687.660611553 7.09, 376885.1566023927 7320687.726556679 7.09, 376885.26888183365 7320687.78211348 7.09, 376885.38076285535 7320687.827680383 7.09, 376885.4930422964 7320687.883237186 7.09, 376885.61491322046 7320687.92840567 7.08, 376885.72679424216 7320687.973972568 7.08, 376885.8486651661 7320688.019141051 7.08, 376885.96014776855 7320688.054718048 7.08, 376886.0816202733 7320688.08989663 7.08, 376886.2030927781 7320688.125075208 7.08, 376886.32416686363 7320688.150263885 7.08, 376886.4456393682 7320688.1854424635 7.08, 376886.5663150345 7320688.200641239 7.08, 376886.6270512868 7320688.218230529 7.08, 376886.717757246 7320688.23462456 7.08, 376886.8080647862 7320688.24102869 7.08, 376886.9387303545 7320688.255829046 7.08, 376887.0594060207 7320688.271027821 7.08, 376887.18967316975 7320688.275838271 7.08, 376887.3099504167 7320688.281047143 7.08, 376887.3802781519 7320688.2882481115 7.08, 376887.46059578954 7320688.295050661 7.08, 376887.5409134271 7320688.30185321 7.08, 376887.62162948376 7320688.318645662 7.08, 376887.7023455405 7320688.335438113 7.08, 376887.78346001636 7320688.362220466 7.08, 376887.8645744922 7320688.389002821 7.08, 376887.88535113516 7320688.408185785 7.08, 376887.9464858065 7320688.435764978 7.08, 376888.02799870144 7320688.472537235 7.07, 376888.1202983371 7320688.528890875 7.07, 376888.2129963918 7320688.595234416 7.07, 376888.30609286577 7320688.671567862 7.0600000000000005, 376888.3688212139 7320688.739106664 7.0600000000000005, 376888.3999861782 7320688.767881112 7.0600000000000005, 376888.4834911692 7320688.854602882 7.05, 376888.57738448144 7320688.950916131 7.05, 376888.6708793747 7320689.037239477 7.04, 376888.7651711062 7320689.14354263 7.03, 376888.8590644186 7320689.239855879 7.03, 376888.9637444716 7320689.355750515 7.0200000000000005, 376889.0780160078 7320689.461256831 7.01, 376889.19268596306 7320689.576753045 6.99, 376889.3077543374 7320689.70223916 6.98, 376889.43281261425 7320689.82732686 6.97, 376889.55826931016 7320689.962404459 6.96, 376889.6937159084 7320690.097083642 6.95, 376889.8399492474 7320690.25134421 6.94, 376890.4145531241 7320690.358503043 6.92, 376890.88888898003 7320690.2095101895 6.92, 376891.32927093667 7320689.961813575 6.93, 376891.7488762501 7320689.694933994 6.93, 376891.8755576246 7320689.609835325 6.93, 376892.0989506673 7320689.440833252 6.94, 376892.42904528 7320689.187529344 6.94, 376892.73796483077 7320688.905052572 6.95, 376892.94937587506 7320688.686499404 6.95, 376893.026506158 7320688.613382736 6.95, 376893.3042607447 7320688.302131516 6.96, 376893.51407811244 7320688.0436187405 6.96, 376893.5616371081 7320687.981687233 6.96, 376893.7894421843 7320687.672428109 6.97, 376893.8082267311 7320687.641661564 6.97, 376894.0444280331 7320687.292044413 6.97, 376894.28023091605 7320686.932437361 6.98, 376894.50604389724 7320686.573228728 6.98, 376894.72186697635 7320686.2144185165 6.99, 376894.90051938116 7320685.9271312915 6.99, 376894.9472815389 7320685.84521998 6.99, 376895.0499989181 7320685.6610191325 6.99, 376895.1059541397 7320685.558729598 7, 376895.15271629737 7320685.476818285 7, 376895.3581510562 7320685.108416588 7.01, 376895.56318739604 7320684.730024993 7.03, 376895.7582338343 7320684.3520318195 7.05, 376895.95328027266 7320683.97403864 7.0600000000000005, 376896.1379383905 7320683.586453984 7.09, 376896.32259650837 7320683.198869322 7.11, 376896.4968663056 7320682.80169318 7.13, 376896.57920546277 7320682.608299269 7.140000000000001, 376896.64395533 7320682.475641609 7.15, 376896.6711361031 7320682.404517038 7.16, 376896.8350175801 7320681.997749416 7.19, 376896.9988990573 7320681.590981792 7.22, 376897.1344045048 7320681.2253690325 7.24, 376897.152790633 7320681.184612587 7.25, 376897.1891644704 7320681.093109794 7.25, 376897.31468001625 7320680.7278954545 7.28, 376897.4757725621 7320680.251198517 7.32, 376897.63686510856 7320679.77450158 7.3500000000000005, 376897.75199233467 7320679.3996957615 7.38, 376897.7779778517 7320679.298601485 7.390000000000001, 376897.91948901396 7320678.832691288 7.43, 376898.05021343724 7320678.347199708 7.47, 376898.161356476 7320677.872494869 7.51, 376898.0886676598 7320677.555208514 7.47, 376896.59314787074 7320676.184024839 7.68, 376894.86430399545 7320674.481949691 7.84, 376893.3975586549 7320673.079601028 8, 376891.3618461759 7320671.209660173 8.23, 376889.9261774902 7320670.586523857 8.39, 376888.4573811793 7320669.634517595 8.43, 376884.25067252433 7320667.771114316 8.55, 376883.15423264337 7320667.374587821 8.56, 376882.16827246477 7320668.744680383 8.44, 376883.5039244116 7320670.372384823 8.36, 376883.8786419395 7320671.237950002 8.34, 376883.5836670225 7320671.870073351 8.290000000000001, 376883.0118226372 7320672.082989782 8.19, 376882.06682495977 7320671.720446627 8.14, 376880.5337948989 7320669.910503993 8.18, 376878.7901211763 7320668.589240293 8.03, 376877.3577281053 7320667.295585212 7.98, 376876.5195203117 7320666.098302259 7.99, 376874.93178915925 7320663.920326849 7.8500000000000005, 376873.4167468201 7320662.059637793 7.92, 376872.06096785923 7320661.68346005 7.98, 376870.68609425024 7320660.577620983 8.02, 376868.4777349865 7320658.894669719 8.06, 376865.6145425037 7320656.347319013 8.15, 376862.8956501529 7320653.4039873555 8.03, 376860.4460867709 7320650.439908461 7.97, 376858.9278276448 7320648.749446044 7.8, 376858.0149978847 7320646.684635083 7.63, 376856.87365452136 7320644.15866544 7.6000000000000005, 376855.5380320481 7320642.280814783 7.57, 376854.3758531525 7320640.235954137 7.62, 376854.2033536978 7320639.172213918 7.57, 376852.6656605017 7320636.241808161 7.61, 376851.06076800154 7320633.884412628 7.71, 376849.44193089224 7320631.177370457 7.7700000000000005, 376847.865443915 7320628.528674008 7.8500000000000005, 376846.31690510747 7320626.078978778 7.86, 376844.78117460303 7320623.448668422 7.84, 376843.1746884818 7320621.051313167 7.92, 376841.7199840686 7320619.198223165 7.96, 376839.01922692696 7320614.953414623 8.31, 376836.9432448339 7320612.324638888 8.56, 376836.6547918265 7320611.865870672 8.58, 376835.5894131767 7320608.986668381 8.6, 376836.76600819576 7320607.378839674 8.63, 376836.5534161217 7320604.05538904 8.63, 376834.9753651029 7320601.116586752 8.52, 376829.4923533462 7320595.852085021 8.74, 376827.19517671666 7320591.691238538 8.74, 376824.25458864344 7320591.468317852 8.76, 376823.08039845637 7320589.624051781 8.84, 376822.47204706795 7320587.667166822 8.91, 376821.5992361703 7320585.100469785 8.9, 376820.4110719394 7320583.156703053 8.74, 376818.97034169565 7320581.403113406 8.69, 376816.33421674924 7320578.026230749 8.58, 376816.0441406045 7320577.777648887 8.790000000000001, 376814.77835915436 7320576.64744694 9.07, 376813.80504434515 7320575.825766274 9.120000000000001, 376812.99634900084 7320575.117589801 9.24, 376811.54998193646 7320573.724433483 9.040000000000001, 376810.7860272022 7320573.134542192 9.01, 376809.57696834375 7320572.172176506 9.01, 376808.41865583893 7320571.227798546 9.03, 376807.5883870181 7320570.480459264 9, 376806.40372004634 7320569.3770396495 9.01, 376805.25858477096 7320568.512182493 9.02, 376804.1777714978 7320567.754823791 9.040000000000001, 376802.82045772305 7320566.838393925 9.05, 376801.37326430983 7320565.675403764 9.16, 376800.06470480654 7320564.727012092 9.120000000000001, 376799.1029735528 7320563.944892565 9.05, 376798.2878445267 7320563.577169638 8.98, 376798.07088503835 7320563.405718077 8.76, 376797.98547650693 7320562.5186086185 8.34, 376802.9683731635 7320559.50825332 8.02, 376804.6204997824 7320557.78140163 8.14, 376805.9058478661 7320555.638928599 8.17, 376806.26936533325 7320553.2130344445 8.15, 376805.98017457937 7320552.233994264 7.55, 376804.5585093341 7320551.460211923 7.38, 376802.7842904363 7320551.631028928 6.92, 376800.89451620745 7320552.416807947 6.51, 376799.1301986469 7320553.337664657 6.07, 376796.6516250401 7320552.405917835 5.71, 376795.34833350964 7320550.836956748 5.61, 376792.88606539846 7320550.564942051 5.45, 376791.3223722453 7320551.247664228 5.54, 376790.3813290842 7320551.235165761 5.48, 376788.6735127494 7320550.812992622 5.5, 376786.60574995837 7320549.644734391 5.44, 376784.8585495204 7320547.733268519 5.4, 376783.55121477117 7320546.564700407 5.38, 376781.5954510896 7320544.44142489 5.3100000000000005, 376780.39148303913 7320544.359365958 5.51, 376779.51561772695 7320543.974053646 5.61, 376778.9219193052 7320543.137233033 5.84, 376778.3378418988 7320542.039878042 5.82))</t>
  </si>
  <si>
    <t>['FV828 S1D1 m5925-5991']</t>
  </si>
  <si>
    <t>LINESTRING Z (376806.8975961868 7320606.849054072 7.95, 376806.144516567 7320605.528306135 8.21, 376805.66110541485 7320604.697093002 8.24, 376805.1780926809 7320603.8758697705 8.26, 376804.6954783652 7320603.064636446 8.290000000000001, 376804.2028741458 7320602.25380153 8.32, 376803.7102699276 7320601.442966616 8.35, 376803.2076758058 7320600.632530115 8.38, 376802.7054801019 7320599.832083516 8.41, 376802.20328439923 7320599.031636914 8.44, 376801.69149720954 7320598.241578635 8.47, 376801.1697201161 7320597.451918769 8.5, 376800.64834144025 7320596.672248806 8.540000000000001, 376800.1265643485 7320595.882588931 8.57, 376799.5955941865 7320595.113307287 8.61, 376799.05423570366 7320594.334434147 8.64, 376798.5136740551 7320593.575540816 8.68, 376797.9727139907 7320592.8066575825 8.72, 376797.7294000124 7320592.476164395 8.74, 376797.42216243874 7320592.048162662 8.76, 376796.8616209826 7320591.290066158 8.8, 376796.3014779438 7320590.541959556 8.85, 376795.740936489 7320589.783863046 8.89, 376795.1612120583 7320589.04654318 8.94, 376794.5810892114 7320588.299233405 8.99, 376793.9242344571 7320587.635030198 9.03, 376793.2573897976 7320586.971225407 9.08, 376792.59094355465 7320586.317410518 9.120000000000001, 376791.91490582295 7320585.673983948 9.17, 376791.23846967483 7320585.020567468 9.21, 376790.5528404543 7320584.38752922 9.26, 376789.8572213283 7320583.7548893755 9.31, 376789.1616022022 7320583.122249538 9.36, 376788.46638149215 7320582.499599598 9.41, 376787.7515793877 7320581.887736393 9.46, 376787.0467671882 7320581.275474772 9.51, 376786.3323634993 7320580.673601467 9.56, 376785.607969905 7320580.0721265795 9.61, 376784.8839747262 7320579.480641592 9.67, 376784.1599795471 7320578.889156605 9.72, 376783.4263928784 7320578.3080599345 9.78, 376782.68281630386 7320577.727361681 9.83, 376781.9396381447 7320577.156653325 9.89, 376781.18686849595 7320576.596333292 9.950000000000001, 376780.4340988464 7320576.036013257 10, 376779.68172761233 7320575.485683124 10.06, 376778.9197648882 7320574.945741311 10.120000000000001, 376778.63128238 7320574.737119045 10.14, 376778.1578021634 7320574.405799496 10.18, 376777.38584953226 7320573.866256095 10.24, 376776.61429531616 7320573.336702595 10.3, 376775.8331496099 7320572.817537415 10.36, 376775.05200390273 7320572.298372233 10.42, 376774.2612667051 7320571.789595376 10.48, 376773.4709279224 7320571.290808414 10.540000000000001, 376772.6805891387 7320570.792021452 10.6, 376771.8806588643 7320570.30362281 10.66, 376771.4603154994 7320570.050230416 10.69, 376771.0807285889 7320569.815224168 10.73, 376770.27120682265 7320569.337213844 10.790000000000001, 376769.4616850552 7320568.859203518 10.86, 376768.6521632865 7320568.381193187 10.93, 376767.8330500268 7320567.91357118 11, 376767.00434527616 7320567.456337491 11.06, 376766.5744104178 7320567.213333415 11.1, 376765.7664823084 7320566.7752827 11.16, 376764.08988981915 7320565.881591951 11.3, 376763.24160366645 7320565.435144989 11.36, 376762.6892518998 7320566.38771278 10.77, 376762.1988611569 7320567.137693542 10.31, 376761.58816362155 7320568.132611457 9.700000000000001, 376761.7746959886 7320568.795560494 9.4, 376762.21376491734 7320569.518478479 8.88, 376764.12202882697 7320571.2033933615 8.21, 376767.1694814057 7320573.353170816 7.76, 376769.25995410694 7320575.090853598 7.62, 376771.45912051795 7320576.794184065 7.04, 376773.4044961233 7320578.907867975 6.69, 376776.01404548605 7320580.6148431385 6.4, 376777.94752759056 7320581.928537732 6.74, 376778.8828749711 7320582.801761655 6.72, 376780.60378014 7320584.053893631 6.37, 376781.70408642973 7320585.550903749 6.07, 376783.23074182624 7320587.201008757 6.0600000000000005, 376784.0278536901 7320587.869624057 6.03, 376785.6381025526 7320588.856012714 6, 376787.0785230224 7320589.849174446 6.0200000000000005, 376789.0451326591 7320591.491738986 5.96, 376791.05685184075 7320593.512724649 5.92, 376792.6801894633 7320595.329072216 5.9, 376794.21006167796 7320596.808950326 6.04, 376796.1558062092 7320599.18276994 6.1000000000000005, 376798.16464802716 7320601.884264306 6.1000000000000005, 376799.61494046054 7320603.8776116865 6.16, 376801.08285168675 7320605.560076748 6.26, 376802.0952704244 7320606.860475956 6.2700000000000005, 376800.54141993204 7320608.79353013 6.36, 376801.54390773235 7320609.594035676 6.96, 376802.5739747431 7320610.333406536 7.34, 376803.21896544 7320609.947474436 7.46, 376805.34499992256 7320608.311785867 7.7, 376806.97310335736 7320606.986123817 7.9, 376806.8975961868 7320606.849054072 7.95)</t>
  </si>
  <si>
    <t>POLYGON Z ((376806.8975961868 7320606.849054072 7.95, 376806.144516567 7320605.528306135 8.21, 376805.66110541485 7320604.697093002 8.24, 376805.1780926809 7320603.8758697705 8.26, 376804.6954783652 7320603.064636446 8.290000000000001, 376804.2028741458 7320602.25380153 8.32, 376803.7102699276 7320601.442966616 8.35, 376803.2076758058 7320600.632530115 8.38, 376802.7054801019 7320599.832083516 8.41, 376802.20328439923 7320599.031636914 8.44, 376801.69149720954 7320598.241578635 8.47, 376801.1697201161 7320597.451918769 8.5, 376800.64834144025 7320596.672248806 8.540000000000001, 376800.1265643485 7320595.882588931 8.57, 376799.5955941865 7320595.113307287 8.61, 376799.05423570366 7320594.334434147 8.64, 376798.5136740551 7320593.575540816 8.68, 376797.9727139907 7320592.8066575825 8.72, 376797.7294000124 7320592.476164395 8.74, 376797.42216243874 7320592.048162662 8.76, 376796.8616209826 7320591.290066158 8.8, 376796.3014779438 7320590.541959556 8.85, 376795.740936489 7320589.783863046 8.89, 376795.1612120583 7320589.04654318 8.94, 376794.5810892114 7320588.299233405 8.99, 376793.9242344571 7320587.635030198 9.03, 376793.2573897976 7320586.971225407 9.08, 376792.59094355465 7320586.317410518 9.120000000000001, 376791.91490582295 7320585.673983948 9.17, 376791.23846967483 7320585.020567468 9.21, 376790.5528404543 7320584.38752922 9.26, 376789.8572213283 7320583.7548893755 9.31, 376789.1616022022 7320583.122249538 9.36, 376788.46638149215 7320582.499599598 9.41, 376787.7515793877 7320581.887736393 9.46, 376787.0467671882 7320581.275474772 9.51, 376786.3323634993 7320580.673601467 9.56, 376785.607969905 7320580.0721265795 9.61, 376784.8839747262 7320579.480641592 9.67, 376784.1599795471 7320578.889156605 9.72, 376783.4263928784 7320578.3080599345 9.78, 376782.68281630386 7320577.727361681 9.83, 376781.9396381447 7320577.156653325 9.89, 376781.18686849595 7320576.596333292 9.950000000000001, 376780.4340988464 7320576.036013257 10, 376779.68172761233 7320575.485683124 10.06, 376778.9197648882 7320574.945741311 10.120000000000001, 376778.63128238 7320574.737119045 10.14, 376778.1578021634 7320574.405799496 10.18, 376777.38584953226 7320573.866256095 10.24, 376776.61429531616 7320573.336702595 10.3, 376775.8331496099 7320572.817537415 10.36, 376775.05200390273 7320572.298372233 10.42, 376774.2612667051 7320571.789595376 10.48, 376773.4709279224 7320571.290808414 10.540000000000001, 376772.6805891387 7320570.792021452 10.6, 376771.8806588643 7320570.30362281 10.66, 376771.4603154994 7320570.050230416 10.69, 376771.0807285889 7320569.815224168 10.73, 376770.27120682265 7320569.337213844 10.790000000000001, 376769.4616850552 7320568.859203518 10.86, 376768.6521632865 7320568.381193187 10.93, 376767.8330500268 7320567.91357118 11, 376767.00434527616 7320567.456337491 11.06, 376766.5744104178 7320567.213333415 11.1, 376765.7664823084 7320566.7752827 11.16, 376764.08988981915 7320565.881591951 11.3, 376763.24160366645 7320565.435144989 11.36, 376762.6892518998 7320566.38771278 10.77, 376762.1988611569 7320567.137693542 10.31, 376761.58816362155 7320568.132611457 9.700000000000001, 376761.7746959886 7320568.795560494 9.4, 376762.21376491734 7320569.518478479 8.88, 376764.12202882697 7320571.2033933615 8.21, 376767.1694814057 7320573.353170816 7.76, 376769.25995410694 7320575.090853598 7.62, 376771.45912051795 7320576.794184065 7.04, 376773.4044961233 7320578.907867975 6.69, 376776.01404548605 7320580.6148431385 6.4, 376777.94752759056 7320581.928537732 6.74, 376778.8828749711 7320582.801761655 6.72, 376780.60378014 7320584.053893631 6.37, 376781.70408642973 7320585.550903749 6.07, 376783.23074182624 7320587.201008757 6.0600000000000005, 376784.0278536901 7320587.869624057 6.03, 376785.6381025526 7320588.856012714 6, 376787.0785230224 7320589.849174446 6.0200000000000005, 376789.0451326591 7320591.491738986 5.96, 376791.05685184075 7320593.512724649 5.92, 376792.6801894633 7320595.329072216 5.9, 376794.21006167796 7320596.808950326 6.04, 376796.1558062092 7320599.18276994 6.1000000000000005, 376798.16464802716 7320601.884264306 6.1000000000000005, 376799.61494046054 7320603.8776116865 6.16, 376801.08285168675 7320605.560076748 6.26, 376802.0952704244 7320606.860475956 6.2700000000000005, 376800.54141993204 7320608.79353013 6.36, 376801.54390773235 7320609.594035676 6.96, 376802.5739747431 7320610.333406536 7.34, 376803.21896544 7320609.947474436 7.46, 376805.34499992256 7320608.311785867 7.7, 376806.97310335736 7320606.986123817 7.9, 376806.8975961868 7320606.849054072 7.95))</t>
  </si>
  <si>
    <t>['FV828 S1D1 m6262-6280']</t>
  </si>
  <si>
    <t>LINESTRING Z (376530.10160801397 7320404.744634411 8.120000000000001, 376529.8458544044 7320404.854892237 8.03, 376528.79005172674 7320405.47733564 7.66, 376528.3692505436 7320405.714245424 7.57, 376527.99763171794 7320405.679037095 7.88, 376527.4833059958 7320406.079769597 8.2, 376527.128818876 7320406.474127514 8.3, 376527.32889707026 7320407.476734102 8.35, 376527.98609116033 7320408.651220495 8.31, 376528.37230314635 7320410.306786723 8.17, 376529.0010619251 7320412.022720448 8.1, 376527.8612669966 7320413.298890718 8.040000000000001, 376526.34820036846 7320415.000185489 8.040000000000001, 376526.7827979112 7320416.363653776 8.01, 376527.5283372068 7320417.244448568 7.890000000000001, 376527.2418897458 7320420.097520237 8, 376526.19489528553 7320423.951486419 8.21, 376526.5641236411 7320423.926755253 8.2, 376530.0150556258 7320423.649045831 8.040000000000001, 376532.7834862326 7320423.318509151 7.8500000000000005, 376534.58929951745 7320422.936310835 7.7700000000000005, 376535.45964674006 7320422.681472486 7.71, 376536.31801198714 7320422.377082988 7.640000000000001, 376537.0816870749 7320421.956400254 7.58, 376537.77184706554 7320421.448597196 7.55, 376538.1091432192 7320421.124965487 7.53, 376538.0788342859 7320420.615878369 7.54, 376538.055667164 7320420.536755896 7.54, 376538.0229085418 7320420.468021748 7.54, 376537.8718942287 7320420.19388197 7.55, 376537.66614940844 7320419.801855312 7.57, 376537.63378919853 7320419.743111072 7.57, 376537.39568416885 7320419.2923401715 7.6000000000000005, 376537.15797755145 7320418.851559183 7.62, 376536.91987252235 7320418.400788279 7.65, 376536.6917574061 7320417.949618965 7.67, 376536.50798447273 7320417.606745038 7.69, 376536.45405079005 7320417.508837976 7.7, 376536.2159457622 7320417.058067073 7.72, 376536.02058926877 7320416.675631905 7.75, 376535.98783064715 7320416.6068977555 7.75, 376535.8907500186 7320416.430665039 7.76, 376535.7497256202 7320416.156126852 7.7700000000000005, 376535.2839038918 7320415.264176539 7.83, 376535.05578877835 7320414.813007221 7.8500000000000005, 376534.58996705245 7320413.921056906 7.88, 376534.1237469162 7320413.019116678 7.9, 376533.66791510594 7320412.1267679455 7.930000000000001, 376533.2016949729 7320411.2248277115 7.95, 376532.74546475406 7320410.322489065 7.97, 376532.3092143619 7320409.419353589 8, 376531.882555472 7320408.50582979 8.02, 376531.44590667146 7320407.592704399 8.05, 376531.0196461971 7320406.689170505 8.07, 376530.7028467324 7320406.021410394 8.09, 376530.5829974002 7320405.77604511 8.1, 376530.1567369293 7320404.872511215 8.120000000000001, 376530.10160801397 7320404.744634411 8.120000000000001)</t>
  </si>
  <si>
    <t>POLYGON Z ((376530.10160801397 7320404.744634411 8.120000000000001, 376529.8458544044 7320404.854892237 8.03, 376528.79005172674 7320405.47733564 7.66, 376528.3692505436 7320405.714245424 7.57, 376527.99763171794 7320405.679037095 7.88, 376527.4833059958 7320406.079769597 8.2, 376527.128818876 7320406.474127514 8.3, 376527.32889707026 7320407.476734102 8.35, 376527.98609116033 7320408.651220495 8.31, 376528.37230314635 7320410.306786723 8.17, 376529.0010619251 7320412.022720448 8.1, 376527.8612669966 7320413.298890718 8.040000000000001, 376526.34820036846 7320415.000185489 8.040000000000001, 376526.7827979112 7320416.363653776 8.01, 376527.5283372068 7320417.244448568 7.890000000000001, 376527.2418897458 7320420.097520237 8, 376526.19489528553 7320423.951486419 8.21, 376526.5641236411 7320423.926755253 8.2, 376530.0150556258 7320423.649045831 8.040000000000001, 376532.7834862326 7320423.318509151 7.8500000000000005, 376534.58929951745 7320422.936310835 7.7700000000000005, 376535.45964674006 7320422.681472486 7.71, 376536.31801198714 7320422.377082988 7.640000000000001, 376537.0816870749 7320421.956400254 7.58, 376537.77184706554 7320421.448597196 7.55, 376538.1091432192 7320421.124965487 7.53, 376538.0788342859 7320420.615878369 7.54, 376538.055667164 7320420.536755896 7.54, 376538.0229085418 7320420.468021748 7.54, 376537.8718942287 7320420.19388197 7.55, 376537.66614940844 7320419.801855312 7.57, 376537.63378919853 7320419.743111072 7.57, 376537.39568416885 7320419.2923401715 7.6000000000000005, 376537.15797755145 7320418.851559183 7.62, 376536.91987252235 7320418.400788279 7.65, 376536.6917574061 7320417.949618965 7.67, 376536.50798447273 7320417.606745038 7.69, 376536.45405079005 7320417.508837976 7.7, 376536.2159457622 7320417.058067073 7.72, 376536.02058926877 7320416.675631905 7.75, 376535.98783064715 7320416.6068977555 7.75, 376535.8907500186 7320416.430665039 7.76, 376535.7497256202 7320416.156126852 7.7700000000000005, 376535.2839038918 7320415.264176539 7.83, 376535.05578877835 7320414.813007221 7.8500000000000005, 376534.58996705245 7320413.921056906 7.88, 376534.1237469162 7320413.019116678 7.9, 376533.66791510594 7320412.1267679455 7.930000000000001, 376533.2016949729 7320411.2248277115 7.95, 376532.74546475406 7320410.322489065 7.97, 376532.3092143619 7320409.419353589 8, 376531.882555472 7320408.50582979 8.02, 376531.44590667146 7320407.592704399 8.05, 376531.0196461971 7320406.689170505 8.07, 376530.7028467324 7320406.021410394 8.09, 376530.5829974002 7320405.77604511 8.1, 376530.1567369293 7320404.872511215 8.120000000000001, 376530.10160801397 7320404.744634411 8.120000000000001))</t>
  </si>
  <si>
    <t>['FV828 S1D1 m5817-5921']</t>
  </si>
  <si>
    <t>LINESTRING Z (376871.3710554478 7320694.05970258 7.1000000000000005, 376871.12495249114 7320693.659280212 7.12, 376870.836499408 7320693.2005121065 7.13, 376870.740613993 7320693.054249335 7.13, 376870.54844474414 7320692.751733899 7.13, 376870.34628559276 7320692.449616881 7.140000000000001, 376870.0286596405 7320692.012023834 7.140000000000001, 376869.44654460537 7320691.214764867 7.15, 376869.22520248743 7320690.933424491 7.16, 376868.941132018 7320690.5845453115 7.16, 376868.65706154867 7320690.2356661325 7.17, 376868.3630011765 7320689.887185367 7.17, 376868.0589509017 7320689.539103023 7.18, 376867.8076390758 7320689.258957902 7.19, 376867.1368101749 7320688.4952544095 7.2, 376866.46558285505 7320687.721561006 7.21, 376865.79435553576 7320686.9478676 7.22, 376865.2905366273 7320686.357607644 7.22, 376864.79750446044 7320685.786929071 7.23, 376864.1358686259 7320685.00284734 7.24, 376862.81299537746 7320683.444673768 7.26, 376861.5093050987 7320681.865723537 7.28, 376860.8576591697 7320681.081243369 7.28, 376860.2156047253 7320680.286374879 7.29, 376858.92150593526 7320678.69703631 7.3100000000000005, 376857.6469885348 7320677.096910982 7.33, 376856.38246104005 7320675.496387227 7.3500000000000005, 376855.1271266135 7320673.875485235 7.37, 376854.50465356244 7320673.069829981 7.38, 376853.88178209326 7320672.254184813 7.38, 376852.65601896367 7320670.62209764 7.4, 376852.0431374001 7320669.806054049 7.41, 376851.42985741864 7320668.980020552 7.42, 376850.56207826734 7320667.793922677 7.43, 376850.2236756836 7320667.337146615 7.44, 376849.0270854368 7320665.683884346 7.46, 376848.4233969444 7320664.847462512 7.46, 376847.8400866785 7320664.020233745 7.47, 376846.66307782725 7320662.356184712 7.49, 376845.49566046486 7320660.681747345 7.51, 376844.33823301 7320659.00691155 7.53, 376843.1903970445 7320657.3216874255 7.55, 376842.62666817603 7320656.483671892 7.5600000000000005, 376842.0529494049 7320655.646054771 7.5600000000000005, 376840.9246948367 7320653.950043883 7.58, 376839.8068285948 7320652.263624469 7.6000000000000005, 376838.69855384284 7320650.566816721 7.62, 376837.6002689991 7320648.869610548 7.640000000000001, 376837.04613162705 7320648.021206664 7.65, 376836.5019841599 7320647.172404363 7.65, 376835.4132908113 7320645.464809845 7.67, 376834.3249958852 7320643.7672052225 7.69, 376833.2462924499 7320642.059212265 7.71, 376832.74409669614 7320641.258765792 7.72, 376832.17757892306 7320640.350820878 7.73, 376831.64342137054 7320639.501620136 7.74, 376831.1088654013 7320638.642429484 7.74, 376830.0405503023 7320636.9440279845 7.76, 376828.98182669433 7320635.235238153 7.78, 376827.9231030913 7320633.526448309 7.8, 376826.8743693973 7320631.817260041 7.82, 376826.3402118568 7320630.968059269 7.83, 376825.8160442217 7320630.118460079 7.83, 376824.76731053775 7320628.409271791 7.8500000000000005, 376824.01821505226 7320627.188423004 7.86, 376823.7189752762 7320626.710073393 7.87, 376823.18481774314 7320625.860872607 7.88, 376822.66104853293 7320625.021263308 7.890000000000001, 376822.12689100235 7320624.172062519 7.9, 376821.6031217945 7320623.332453212 7.91, 376821.06936268375 7320622.493242323 7.91, 376820.54559347837 7320621.653633013 7.92, 376820.01183437 7320620.8144221185 7.94, 376819.48806516675 7320619.974812804 7.95, 376818.954704478 7320619.145591808 7.96, 376818.420945373 7320618.306380905 7.97, 376817.88758468645 7320617.477159905 7.99, 376817.35422400094 7320616.647938903 8, 376816.82126173394 7320615.8287078 8.02, 376816.2879010506 7320614.999486792 8.03, 376815.75493878557 7320614.180255683 8.05, 376815.21198661736 7320613.361422993 8.07, 376814.6690344501 7320612.542590298 8.08, 376814.12648070115 7320611.733747509 8.1, 376813.5835285359 7320610.914914809 8.120000000000001, 376813.04137320595 7320610.116061916 8.13, 376810.72098539857 7320609.638273293 7.99, 376809.1868342557 7320610.5599565655 7.84, 376806.50332775747 7320612.518052053 7.42, 376807.00595137617 7320613.078342495 7.17, 376809.0627943725 7320611.965714716 7.2, 376810.92820603 7320611.070843288 7.2700000000000005, 376811.65538854484 7320611.742247402 7.23, 376813.8316092942 7320614.877321117 7.17, 376816.04138552654 7320618.101108679 7.05, 376818.02298764454 7320621.37401942 6.98, 376820.25544424006 7320625.417377471 6.93, 376820.95940068265 7320626.509951189 7, 376822.77846385073 7320628.9688691255 6.98, 376825.0880802718 7320632.6889643865 6.91, 376828.4699959992 7320638.207360151 6.82, 376831.233511298 7320642.2695614435 6.82, 376832.3226030625 7320643.987145896 6.75, 376833.9167089726 7320646.3249601135 6.82, 376836.2032172468 7320649.465640725 6.890000000000001, 376838.4641089762 7320652.967551508 6.9, 376840.3166982663 7320655.765329081 6.79, 376841.59317828156 7320657.665550086 6.73, 376843.0250258291 7320660.199945463 6.67, 376844.4002096378 7320662.066212542 6.75, 376845.9220546548 7320663.846584103 6.71, 376846.91048004414 7320665.29802679 6.8, 376848.7970821566 7320667.694216001 6.76, 376853.023698502 7320673.569148541 6.37, 376852.8945971642 7320673.844453792 6.24, 376852.9584913394 7320674.192108314 6.23, 376857.9735132514 7320680.015585806 6.71, 376860.4701197705 7320683.908327082 6.92, 376862.3423494216 7320686.195025591 6.890000000000001, 376864.70567799825 7320688.502161149 6.86, 376867.2519827587 7320691.132190342 6.8500000000000005, 376869.02753016603 7320693.252646197 6.82, 376869.8756985519 7320694.699676684 6.8, 376871.3710554478 7320694.05970258 7.1000000000000005)</t>
  </si>
  <si>
    <t>POLYGON Z ((376871.3710554478 7320694.05970258 7.1000000000000005, 376871.12495249114 7320693.659280212 7.12, 376870.836499408 7320693.2005121065 7.13, 376870.740613993 7320693.054249335 7.13, 376870.54844474414 7320692.751733899 7.13, 376870.34628559276 7320692.449616881 7.140000000000001, 376870.0286596405 7320692.012023834 7.140000000000001, 376869.44654460537 7320691.214764867 7.15, 376869.22520248743 7320690.933424491 7.16, 376868.941132018 7320690.5845453115 7.16, 376868.65706154867 7320690.2356661325 7.17, 376868.3630011765 7320689.887185367 7.17, 376868.0589509017 7320689.539103023 7.18, 376867.8076390758 7320689.258957902 7.19, 376867.1368101749 7320688.4952544095 7.2, 376866.46558285505 7320687.721561006 7.21, 376865.79435553576 7320686.9478676 7.22, 376865.2905366273 7320686.357607644 7.22, 376864.79750446044 7320685.786929071 7.23, 376864.1358686259 7320685.00284734 7.24, 376862.81299537746 7320683.444673768 7.26, 376861.5093050987 7320681.865723537 7.28, 376860.8576591697 7320681.081243369 7.28, 376860.2156047253 7320680.286374879 7.29, 376858.92150593526 7320678.69703631 7.3100000000000005, 376857.6469885348 7320677.096910982 7.33, 376856.38246104005 7320675.496387227 7.3500000000000005, 376855.1271266135 7320673.875485235 7.37, 376854.50465356244 7320673.069829981 7.38, 376853.88178209326 7320672.254184813 7.38, 376852.65601896367 7320670.62209764 7.4, 376852.0431374001 7320669.806054049 7.41, 376851.42985741864 7320668.980020552 7.42, 376850.56207826734 7320667.793922677 7.43, 376850.2236756836 7320667.337146615 7.44, 376849.0270854368 7320665.683884346 7.46, 376848.4233969444 7320664.847462512 7.46, 376847.8400866785 7320664.020233745 7.47, 376846.66307782725 7320662.356184712 7.49, 376845.49566046486 7320660.681747345 7.51, 376844.33823301 7320659.00691155 7.53, 376843.1903970445 7320657.3216874255 7.55, 376842.62666817603 7320656.483671892 7.5600000000000005, 376842.0529494049 7320655.646054771 7.5600000000000005, 376840.9246948367 7320653.950043883 7.58, 376839.8068285948 7320652.263624469 7.6000000000000005, 376838.69855384284 7320650.566816721 7.62, 376837.6002689991 7320648.869610548 7.640000000000001, 376837.04613162705 7320648.021206664 7.65, 376836.5019841599 7320647.172404363 7.65, 376835.4132908113 7320645.464809845 7.67, 376834.3249958852 7320643.7672052225 7.69, 376833.2462924499 7320642.059212265 7.71, 376832.74409669614 7320641.258765792 7.72, 376832.17757892306 7320640.350820878 7.73, 376831.64342137054 7320639.501620136 7.74, 376831.1088654013 7320638.642429484 7.74, 376830.0405503023 7320636.9440279845 7.76, 376828.98182669433 7320635.235238153 7.78, 376827.9231030913 7320633.526448309 7.8, 376826.8743693973 7320631.817260041 7.82, 376826.3402118568 7320630.968059269 7.83, 376825.8160442217 7320630.118460079 7.83, 376824.76731053775 7320628.409271791 7.8500000000000005, 376824.01821505226 7320627.188423004 7.86, 376823.7189752762 7320626.710073393 7.87, 376823.18481774314 7320625.860872607 7.88, 376822.66104853293 7320625.021263308 7.890000000000001, 376822.12689100235 7320624.172062519 7.9, 376821.6031217945 7320623.332453212 7.91, 376821.06936268375 7320622.493242323 7.91, 376820.54559347837 7320621.653633013 7.92, 376820.01183437 7320620.8144221185 7.94, 376819.48806516675 7320619.974812804 7.95, 376818.954704478 7320619.145591808 7.96, 376818.420945373 7320618.306380905 7.97, 376817.88758468645 7320617.477159905 7.99, 376817.35422400094 7320616.647938903 8, 376816.82126173394 7320615.8287078 8.02, 376816.2879010506 7320614.999486792 8.03, 376815.75493878557 7320614.180255683 8.05, 376815.21198661736 7320613.361422993 8.07, 376814.6690344501 7320612.542590298 8.08, 376814.12648070115 7320611.733747509 8.1, 376813.5835285359 7320610.914914809 8.120000000000001, 376813.04137320595 7320610.116061916 8.13, 376810.72098539857 7320609.638273293 7.99, 376809.1868342557 7320610.5599565655 7.84, 376806.50332775747 7320612.518052053 7.42, 376807.00595137617 7320613.078342495 7.17, 376809.0627943725 7320611.965714716 7.2, 376810.92820603 7320611.070843288 7.2700000000000005, 376811.65538854484 7320611.742247402 7.23, 376813.8316092942 7320614.877321117 7.17, 376816.04138552654 7320618.101108679 7.05, 376818.02298764454 7320621.37401942 6.98, 376820.25544424006 7320625.417377471 6.93, 376820.95940068265 7320626.509951189 7, 376822.77846385073 7320628.9688691255 6.98, 376825.0880802718 7320632.6889643865 6.91, 376828.4699959992 7320638.207360151 6.82, 376831.233511298 7320642.2695614435 6.82, 376832.3226030625 7320643.987145896 6.75, 376833.9167089726 7320646.3249601135 6.82, 376836.2032172468 7320649.465640725 6.890000000000001, 376838.4641089762 7320652.967551508 6.9, 376840.3166982663 7320655.765329081 6.79, 376841.59317828156 7320657.665550086 6.73, 376843.0250258291 7320660.199945463 6.67, 376844.4002096378 7320662.066212542 6.75, 376845.9220546548 7320663.846584103 6.71, 376846.91048004414 7320665.29802679 6.8, 376848.7970821566 7320667.694216001 6.76, 376853.023698502 7320673.569148541 6.37, 376852.8945971642 7320673.844453792 6.24, 376852.9584913394 7320674.192108314 6.23, 376857.9735132514 7320680.015585806 6.71, 376860.4701197705 7320683.908327082 6.92, 376862.3423494216 7320686.195025591 6.890000000000001, 376864.70567799825 7320688.502161149 6.86, 376867.2519827587 7320691.132190342 6.8500000000000005, 376869.02753016603 7320693.252646197 6.82, 376869.8756985519 7320694.699676684 6.8, 376871.3710554478 7320694.05970258 7.1000000000000005))</t>
  </si>
  <si>
    <t>['FV828 S1D1 m5799-5808']</t>
  </si>
  <si>
    <t>LINESTRING Z (376906.46524004976 7320685.37585287 7.12, 376906.82852113503 7320684.951126972 7.08, 376905.3058205821 7320683.651067928 7.04, 376904.0911544551 7320682.798990208 6.99, 376903.30485884944 7320681.899810761 7.13, 376902.93694386655 7320680.953928009 7.17, 376902.92152324173 7320679.56373797 7.43, 376902.9149266974 7320677.893033842 7.61, 376902.6208075052 7320678.044845035 7.640000000000001, 376902.0922730989 7320680.347244642 7.47, 376902.0333818048 7320681.630334693 7.4, 376902.254635614 7320682.662112949 7.3500000000000005, 376902.84275628853 7320683.359074418 7.3100000000000005, 376903.80565335427 7320684.421309073 7.33, 376904.91566886415 7320684.907346194 7.24, 376906.46524004976 7320685.37585287 7.12)</t>
  </si>
  <si>
    <t>POLYGON Z ((376906.46524004976 7320685.37585287 7.12, 376906.82852113503 7320684.951126972 7.08, 376905.3058205821 7320683.651067928 7.04, 376904.0911544551 7320682.798990208 6.99, 376903.30485884944 7320681.899810761 7.13, 376902.93694386655 7320680.953928009 7.17, 376902.92152324173 7320679.56373797 7.43, 376902.9149266974 7320677.893033842 7.61, 376902.6208075052 7320678.044845035 7.640000000000001, 376902.0922730989 7320680.347244642 7.47, 376902.0333818048 7320681.630334693 7.4, 376902.254635614 7320682.662112949 7.3500000000000005, 376902.84275628853 7320683.359074418 7.3100000000000005, 376903.80565335427 7320684.421309073 7.33, 376904.91566886415 7320684.907346194 7.24, 376906.46524004976 7320685.37585287 7.12))</t>
  </si>
  <si>
    <t>['FV828 S1D1 m6230-6296']</t>
  </si>
  <si>
    <t>LINESTRING Z (376534.29430854076 7320389.948941602 8.01, 376534.75506937737 7320389.710438197 8.040000000000001, 376535.61904204247 7320389.295761328 8.07, 376536.87384615385 7320388.64536994 8.11, 376537.3172975215 7320389.4781776285 8.14, 376537.7615457134 7320390.330965142 8.16, 376538.52899754746 7320391.761205141 8.23, 376539.36037297326 7320393.288953788 8.24, 376540.53091813286 7320395.543605184 8.2, 376542.2415968919 7320398.797307034 8.1, 376543.9047462025 7320401.862794171 8, 376545.26865581714 7320404.449931107 7.930000000000001, 376547.1519224052 7320408.016935471 7.8, 376549.48424780526 7320412.3064599885 7.67, 376551.59005178453 7320416.184774799 7.55, 376553.56482131104 7320419.788152977 7.47, 376555.6730454265 7320423.476260962 7.390000000000001, 376557.8535894234 7320427.221519487 7.33, 376560.1052580652 7320430.993958817 7.28, 376562.0660832544 7320434.247689922 7.28, 376562.99138173356 7320435.621605572 7.28, 376563.7920499223 7320436.63027702 7.28, 376564.95357976254 7320437.404429147 7.28, 376566.52671763196 7320437.962049707 7.23, 376568.0531524309 7320438.101289219 7.19, 376568.71089293686 7320438.035034341 7.17, 376570.01840569306 7320437.702726358 7.140000000000001, 376571.781131023 7320436.741909976 7.07, 376574.07096076914 7320435.4498920785 6.97, 376576.02309598675 7320434.471515971 6.87, 376578.26254814636 7320433.421646447 6.71, 376580.61749669164 7320432.257106963 6.5, 376581.69327899325 7320431.63386675 6.36, 376582.06014641735 7320431.299049925 6.3, 376582.3323236931 7320430.847939877 6.23, 376582.46706228994 7320430.212200884 6.13, 376582.39801854244 7320429.484531022 6.03, 376582.17630764126 7320428.943054159 5.91, 376582.00448709104 7320428.899877613 5.8500000000000005, 376581.67000947427 7320429.043292479 5.82, 376580.18261914776 7320429.883064222 5.71, 376577.62585070473 7320431.2557685785 5.68, 376575.56515611836 7320427.755875527 5.45, 376573.98033237655 7320424.647241837 5.28, 376570.93655357236 7320421.836932584 5.45, 376569.42999628565 7320419.185444281 5.48, 376567.3021908843 7320415.508123149 5.43, 376563.76552801864 7320410.876403327 5.8, 376561.2452679953 7320407.644983171 5.68, 376558.97996474867 7320404.283325324 5.8100000000000005, 376556.9042491666 7320399.403230457 5.46, 376555.5260264443 7320396.206310547 5.4, 376553.72344650794 7320392.906244947 5.6000000000000005, 376552.82817716064 7320391.030841497 5.64, 376552.02085460234 7320388.851756567 5.58, 376550.2050086172 7320386.222608648 5.84, 376548.8354621288 7320383.9959053295 5.86, 376547.4522214974 7320382.680276055 5.93, 376544.6059822616 7320382.063364396 6.140000000000001, 376542.07813605794 7320382.1541724885 6.61, 376540.10249425727 7320382.54314358 6.87, 376537.00593093556 7320383.427079601 7.36, 376536.85011926515 7320386.545097869 7.73, 376535.4830652772 7320386.889786077 7.88, 376533.11331581045 7320388.184991098 8.16, 376534.29430854076 7320389.948941602 8.01)</t>
  </si>
  <si>
    <t>POLYGON Z ((376534.29430854076 7320389.948941602 8.01, 376534.75506937737 7320389.710438197 8.040000000000001, 376535.61904204247 7320389.295761328 8.07, 376536.87384615385 7320388.64536994 8.11, 376537.3172975215 7320389.4781776285 8.14, 376537.7615457134 7320390.330965142 8.16, 376538.52899754746 7320391.761205141 8.23, 376539.36037297326 7320393.288953788 8.24, 376540.53091813286 7320395.543605184 8.2, 376542.2415968919 7320398.797307034 8.1, 376543.9047462025 7320401.862794171 8, 376545.26865581714 7320404.449931107 7.930000000000001, 376547.1519224052 7320408.016935471 7.8, 376549.48424780526 7320412.3064599885 7.67, 376551.59005178453 7320416.184774799 7.55, 376553.56482131104 7320419.788152977 7.47, 376555.6730454265 7320423.476260962 7.390000000000001, 376557.8535894234 7320427.221519487 7.33, 376560.1052580652 7320430.993958817 7.28, 376562.0660832544 7320434.247689922 7.28, 376562.99138173356 7320435.621605572 7.28, 376563.7920499223 7320436.63027702 7.28, 376564.95357976254 7320437.404429147 7.28, 376566.52671763196 7320437.962049707 7.23, 376568.0531524309 7320438.101289219 7.19, 376568.71089293686 7320438.035034341 7.17, 376570.01840569306 7320437.702726358 7.140000000000001, 376571.781131023 7320436.741909976 7.07, 376574.07096076914 7320435.4498920785 6.97, 376576.02309598675 7320434.471515971 6.87, 376578.26254814636 7320433.421646447 6.71, 376580.61749669164 7320432.257106963 6.5, 376581.69327899325 7320431.63386675 6.36, 376582.06014641735 7320431.299049925 6.3, 376582.3323236931 7320430.847939877 6.23, 376582.46706228994 7320430.212200884 6.13, 376582.39801854244 7320429.484531022 6.03, 376582.17630764126 7320428.943054159 5.91, 376582.00448709104 7320428.899877613 5.8500000000000005, 376581.67000947427 7320429.043292479 5.82, 376580.18261914776 7320429.883064222 5.71, 376577.62585070473 7320431.2557685785 5.68, 376575.56515611836 7320427.755875527 5.45, 376573.98033237655 7320424.647241837 5.28, 376570.93655357236 7320421.836932584 5.45, 376569.42999628565 7320419.185444281 5.48, 376567.3021908843 7320415.508123149 5.43, 376563.76552801864 7320410.876403327 5.8, 376561.2452679953 7320407.644983171 5.68, 376558.97996474867 7320404.283325324 5.8100000000000005, 376556.9042491666 7320399.403230457 5.46, 376555.5260264443 7320396.206310547 5.4, 376553.72344650794 7320392.906244947 5.6000000000000005, 376552.82817716064 7320391.030841497 5.64, 376552.02085460234 7320388.851756567 5.58, 376550.2050086172 7320386.222608648 5.84, 376548.8354621288 7320383.9959053295 5.86, 376547.4522214974 7320382.680276055 5.93, 376544.6059822616 7320382.063364396 6.140000000000001, 376542.07813605794 7320382.1541724885 6.61, 376540.10249425727 7320382.54314358 6.87, 376537.00593093556 7320383.427079601 7.36, 376536.85011926515 7320386.545097869 7.73, 376535.4830652772 7320386.889786077 7.88, 376533.11331581045 7320388.184991098 8.16, 376534.29430854076 7320389.948941602 8.01))</t>
  </si>
  <si>
    <t>['FV828 S1D1 m6109-6215']</t>
  </si>
  <si>
    <t>LINESTRING Z (376591.8252592714 7320439.564619888 6.25, 376590.1281104783 7320440.162612135 6.41, 376587.54780620325 7320441.196057968 6.58, 376584.6418189766 7320442.342550541 6.75, 376582.37000667327 7320443.333675874 6.9, 376579.7189465565 7320444.600077009 7.04, 376577.0023395873 7320445.979156074 7.16, 376576.23265882954 7320446.500136338 7.2, 376575.7059232438 7320447.091473986 7.24, 376574.91978919983 7320448.20345267 7.29, 376574.4017891106 7320449.264714567 7.33, 376573.7458335686 7320451.131942387 7.41, 376573.7219425823 7320453.794438161 7.53, 376574.446218057 7320455.396498439 7.63, 376576.0914982712 7320457.512146643 7.75, 376578.4144100541 7320460.311181663 7.91, 376581.2651343206 7320463.549433479 8.120000000000001, 376584.3991618216 7320466.866438865 8.36, 376587.37218508485 7320469.909702893 8.59, 376590.60574285703 7320472.962587938 8.85, 376593.7438136388 7320475.8791999025 9.120000000000001, 376597.1532056579 7320478.825014289 9.41, 376600.39439241093 7320481.567415113 9.69, 376603.1813113482 7320483.707573243 9.91, 376606.1364650969 7320485.800998659 10.14, 376609.77767620696 7320488.287306541 10.4, 376613.9267494988 7320490.963481781 10.72, 376617.3802034609 7320493.007016643 10.96, 376620.5124161833 7320494.773194914 11.19, 376623.3042046791 7320496.2827932555 11.4, 376624.9792039973 7320497.136525037 11.51, 376625.6013377498 7320497.431898886 11.540000000000001, 376626.0192907495 7320497.625352008 11.61, 376626.20753493346 7320497.327676339 11.4, 376627.2552506615 7320497.506019277 11.18, 376627.77350117115 7320497.70547817 10.98, 376628.913487013 7320498.190320993 10.49, 376630.47819888906 7320499.038445398 9.94, 376632.0269446369 7320499.737119567 9.31, 376633.4438294835 7320500.391023565 8.82, 376634.1711008107 7320500.311989778 8.56, 376634.61245736276 7320498.583396116 8.07, 376634.75368866697 7320497.10691113 7.75, 376635.1647066475 7320495.1193766575 7.09, 376635.58804591704 7320493.6916755345 6.67, 376635.85712443595 7320492.410207776 6.2700000000000005, 376636.1233845019 7320491.308956804 5.91, 376636.4579802818 7320490.164957296 5.58, 376636.43772029015 7320489.155179609 5.23, 376636.7255538405 7320488.093091451 4.73, 376637.4839605726 7320488.292978325 4.66, 376638.79579646245 7320488.570851525 4.62, 376640.02930672816 7320488.891871673 4.57, 376641.63082042016 7320489.408337016 4.5200000000000005, 376643.42174396885 7320489.9072425775 4.36, 376644.6768276944 7320490.267425523 4.23, 376645.11359480466 7320490.179965947 4.15, 376645.53988491173 7320490.833353309 4.13, 376646.03405319597 7320491.9342945125 4.12, 376646.5805615135 7320493.093183101 4.11, 376646.89013046876 7320494.0814168425 4.1, 376647.0066742821 7320495.247447321 4.04, 376647.29341541417 7320496.666840814 4.0200000000000005, 376647.3335665808 7320498.426260074 3.97, 376647.06243691396 7320500.158070538 3.96, 376646.9431184132 7320502.184000482 3.98, 376646.7419181287 7320503.913022053 4.03, 376646.1914398952 7320505.916124182 4.1, 376645.4970892506 7320508.0750511745 4.32, 376645.1248357467 7320510.031022217 4.42, 376644.8269532681 7320511.593801078 4.45, 376644.2477892224 7320512.87762976 4.48, 376643.75292701565 7320514.268160135 4.5, 376643.4495553763 7320514.940641829 4.51, 376642.7913575219 7320515.49719922 4.73, 376642.135978112 7320515.873539828 4.93, 376640.6630493356 7320516.072363935 5.26, 376639.0047243782 7320516.138500773 5.59, 376637.5526017792 7320516.106361723 5.89, 376636.38699923176 7320515.982749365 6.18, 376635.3372914478 7320515.754456935 6.51, 376634.27762329375 7320515.276416769 6.88, 376632.8523717157 7320514.41272473 7.57, 376631.4746496506 7320513.737247308 8.26, 376630.24594985304 7320513.2859599935 8.620000000000001, 376629.49394727004 7320512.995765568 8.88, 376628.3431746712 7320512.491341385 9.08, 376627.4619819105 7320513.226890799 8.86, 376626.98715858796 7320514.116332092 8.53, 376626.5934497891 7320515.032555799 8.11, 376626.11099750653 7320516.23248113 7.82, 376625.8355739706 7320517.103964225 7.51, 376625.81872238696 7320517.684972651 7.19, 376625.47760434984 7320519.919864457 6.21, 376626.43421565875 7320520.071823335 6.13, 376627.46875416907 7320520.170645343 6, 376628.4625362079 7320520.251081194 6.09, 376630.0533223346 7320520.247672693 6.15, 376631.5849067484 7320520.766926813 6.19, 376632.7401209886 7320520.88094766 6.16, 376634.3196333271 7320521.598406305 6.15, 376635.2330681182 7320521.922185708 6.0600000000000005, 376636.56880893465 7320522.799453358 5.84, 376637.659214113 7320523.546424226 5.78, 376638.9841386488 7320524.654256608 5.75, 376639.80490487814 7320524.661546221 5.64, 376641.2322666707 7320524.574603158 5.59, 376641.7037844836 7320524.605827199 5.49, 376642.55326611805 7320525.082244136 5.41, 376643.602516401 7320525.8008389175 5.23, 376645.3195264755 7320526.202634107 4.96, 376645.7198015355 7320527.207261909 5.03, 376644.36025891535 7320528.242051111 5.32, 376645.7854218829 7320529.856181507 5.2, 376647.05613242445 7320529.855532342 5.09, 376648.4710547227 7320530.209340503 4.72, 376649.4053842632 7320529.55171829 4.63, 376649.95372261695 7320528.749397309 4.57, 376650.6303656633 7320527.6517911535 4.51, 376651.2809935999 7320526.905425484 4.16, 376652.09449972847 7320527.483335153 3.96, 376652.9200469078 7320527.610503665 3.64, 376653.8511595873 7320527.123108337 3.33, 376654.2631954142 7320526.666420498 3.31, 376655.2188181508 7320525.037386648 3.3200000000000003, 376654.4110079878 7320523.598751151 3.91, 376656.1896253126 7320520.02578737 4.01, 376656.97428346 7320517.873264598 3.99, 376657.6386642973 7320515.715532902 4.03, 376658.21028797684 7320513.991749855 3.95, 376658.9017610255 7320512.513331972 3.73, 376659.4277586432 7320511.40172228 3.43, 376660.19020857615 7320511.201215908 3.21, 376661.44253290776 7320511.241323272 2.89, 376662.3539755482 7320511.515153136 2.5, 376664.1648788412 7320512.013261729 1.58, 376664.3631719927 7320511.214895408 1.49, 376664.4360379843 7320510.031305205 1.49, 376664.3930092203 7320508.952395067 1.41, 376664.0191477762 7320507.606516742 1.55, 376663.1243060722 7320505.490957933 1.49, 376662.34891531855 7320503.610774363 1.49, 376661.97821165493 7320502.59496143 1.55, 376662.4594686927 7320501.365066512 1.87, 376663.6656065161 7320499.996198361 1.82, 376664.190408923 7320498.854618974 1.73, 376664.50619052333 7320497.991532237 1.69, 376664.4602842309 7320497.593131131 1.8, 376663.6276838556 7320496.285559663 1.9000000000000001, 376662.9468355158 7320495.77239992 2.08, 376662.1257595949 7320495.004681931 2.18, 376661.90410775936 7320493.962912962 2.22, 376659.52619971684 7320493.297307191 2.72, 376658.8489962165 7320492.373764346 2.84, 376657.8477921969 7320490.852789473 2.77, 376656.59245790425 7320489.231885943 2.81, 376654.9402865903 7320487.94699446 2.75, 376652.6731234646 7320486.79669362 2.91, 376651.60511827195 7320485.858719157 3.02, 376650.57274929096 7320484.30896975 3.16, 376648.9615258942 7320484.803477294 4.04, 376648.08633889776 7320485.438729091 4.1, 376646.6781009869 7320486.005187639 4.12, 376645.0673055515 7320486.259538959 4.11, 376644.067148944 7320486.019264471 4.15, 376643.176084509 7320485.754627611 4.19, 376642.55753652105 7320485.549162941 4.3100000000000005, 376641.5849591521 7320485.24775375 4.42, 376639.8008086358 7320484.918676624 4.53, 376638.0518367828 7320484.468126925 4.63, 376635.9101007045 7320483.703049932 4.63, 376633.79033650295 7320482.987125651 4.49, 376631.48876184784 7320482.228423258 4.44, 376629.12605247996 7320481.442141611 4.44, 376628.9466325188 7320481.459302969 4.44, 376629.178968324 7320480.009201971 4.44, 376629.9280201123 7320478.218307939 4.43, 376630.22271543933 7320476.575609766 4.4, 376628.9604306623 7320476.285754536 4.51, 376627.7264923863 7320476.204890585 4.71, 376626.89138324047 7320475.837964107 4.88, 376624.71765574586 7320475.27427889 4.96, 376623.67528125393 7320477.23696391 4.94, 376621.6014824066 7320476.419148399 4.96, 376619.347097912 7320475.338378336 5.0200000000000005, 376617.87354961614 7320474.016345482 4.92, 376616.20786169084 7320472.141650682 4.87, 376614.59439550526 7320471.325487919 4.95, 376612.9030021002 7320470.562462012 5.1000000000000005, 376612.71852105134 7320469.449169861 5.04, 376612.54798447504 7320468.685524564 5.09, 376611.77370031585 7320467.585748889 5.08, 376610.6309551429 7320466.780830403 4.98, 376608.50233700237 7320466.595566461 5.0600000000000005, 376607.6692494651 7320466.028443322 4.76, 376606.63385493227 7320466.409933674 4.66, 376605.8501410716 7320467.331705594 4.57, 376604.86754413194 7320467.280840914 4.41, 376604.5754758256 7320466.982309265 4.57, 376603.5522407198 7320465.912473715 4.64, 376602.70885358064 7320464.585320546 4.59, 376602.461186619 7320463.894791905 4.8500000000000005, 376600.3037662079 7320457.216912492 4.93, 376598.5687978217 7320456.615717122 4.91, 376597.69341932365 7320455.489955777 4.94, 376596.50332215376 7320452.995945494 5.09, 376593.35996765783 7320454.211939514 5.12, 376591.063793077 7320455.0939727025 5.07, 376590.1729356284 7320453.078312441 5.1000000000000005, 376588.80026075145 7320450.271397971 5.28, 376587.02047878946 7320446.790319309 5.45, 376588.2405911122 7320445.520951751 5.5, 376590.4242357861 7320443.322640858 5.54, 376592.45643814764 7320441.09034654 5.69, 376591.8252592714 7320439.564619888 6.25)</t>
  </si>
  <si>
    <t>POLYGON Z ((376591.8252592714 7320439.564619888 6.25, 376590.1281104783 7320440.162612135 6.41, 376587.54780620325 7320441.196057968 6.58, 376584.6418189766 7320442.342550541 6.75, 376582.37000667327 7320443.333675874 6.9, 376579.7189465565 7320444.600077009 7.04, 376577.0023395873 7320445.979156074 7.16, 376576.23265882954 7320446.500136338 7.2, 376575.7059232438 7320447.091473986 7.24, 376574.91978919983 7320448.20345267 7.29, 376574.4017891106 7320449.264714567 7.33, 376573.7458335686 7320451.131942387 7.41, 376573.7219425823 7320453.794438161 7.53, 376574.446218057 7320455.396498439 7.63, 376576.0914982712 7320457.512146643 7.75, 376578.4144100541 7320460.311181663 7.91, 376581.2651343206 7320463.549433479 8.120000000000001, 376584.3991618216 7320466.866438865 8.36, 376587.37218508485 7320469.909702893 8.59, 376590.60574285703 7320472.962587938 8.85, 376593.7438136388 7320475.8791999025 9.120000000000001, 376597.1532056579 7320478.825014289 9.41, 376600.39439241093 7320481.567415113 9.69, 376603.1813113482 7320483.707573243 9.91, 376606.1364650969 7320485.800998659 10.14, 376609.77767620696 7320488.287306541 10.4, 376613.9267494988 7320490.963481781 10.72, 376617.3802034609 7320493.007016643 10.96, 376620.5124161833 7320494.773194914 11.19, 376623.3042046791 7320496.2827932555 11.4, 376624.9792039973 7320497.136525037 11.51, 376625.6013377498 7320497.431898886 11.540000000000001, 376626.0192907495 7320497.625352008 11.61, 376626.20753493346 7320497.327676339 11.4, 376627.2552506615 7320497.506019277 11.18, 376627.77350117115 7320497.70547817 10.98, 376628.913487013 7320498.190320993 10.49, 376630.47819888906 7320499.038445398 9.94, 376632.0269446369 7320499.737119567 9.31, 376633.4438294835 7320500.391023565 8.82, 376634.1711008107 7320500.311989778 8.56, 376634.61245736276 7320498.583396116 8.07, 376634.75368866697 7320497.10691113 7.75, 376635.1647066475 7320495.1193766575 7.09, 376635.58804591704 7320493.6916755345 6.67, 376635.85712443595 7320492.410207776 6.2700000000000005, 376636.1233845019 7320491.308956804 5.91, 376636.4579802818 7320490.164957296 5.58, 376636.43772029015 7320489.155179609 5.23, 376636.7255538405 7320488.093091451 4.73, 376637.4839605726 7320488.292978325 4.66, 376638.79579646245 7320488.570851525 4.62, 376640.02930672816 7320488.891871673 4.57, 376641.63082042016 7320489.408337016 4.5200000000000005, 376643.42174396885 7320489.9072425775 4.36, 376644.6768276944 7320490.267425523 4.23, 376645.11359480466 7320490.179965947 4.15, 376645.53988491173 7320490.833353309 4.13, 376646.03405319597 7320491.9342945125 4.12, 376646.5805615135 7320493.093183101 4.11, 376646.89013046876 7320494.0814168425 4.1, 376647.0066742821 7320495.247447321 4.04, 376647.29341541417 7320496.666840814 4.0200000000000005, 376647.3335665808 7320498.426260074 3.97, 376647.06243691396 7320500.158070538 3.96, 376646.9431184132 7320502.184000482 3.98, 376646.7419181287 7320503.913022053 4.03, 376646.1914398952 7320505.916124182 4.1, 376645.4970892506 7320508.0750511745 4.32, 376645.1248357467 7320510.031022217 4.42, 376644.8269532681 7320511.593801078 4.45, 376644.2477892224 7320512.87762976 4.48, 376643.75292701565 7320514.268160135 4.5, 376643.4495553763 7320514.940641829 4.51, 376642.7913575219 7320515.49719922 4.73, 376642.135978112 7320515.873539828 4.93, 376640.6630493356 7320516.072363935 5.26, 376639.0047243782 7320516.138500773 5.59, 376637.5526017792 7320516.106361723 5.89, 376636.38699923176 7320515.982749365 6.18, 376635.3372914478 7320515.754456935 6.51, 376634.27762329375 7320515.276416769 6.88, 376632.8523717157 7320514.41272473 7.57, 376631.4746496506 7320513.737247308 8.26, 376630.24594985304 7320513.2859599935 8.620000000000001, 376629.49394727004 7320512.995765568 8.88, 376628.3431746712 7320512.491341385 9.08, 376627.4619819105 7320513.226890799 8.86, 376626.98715858796 7320514.116332092 8.53, 376626.5934497891 7320515.032555799 8.11, 376626.11099750653 7320516.23248113 7.82, 376625.8355739706 7320517.103964225 7.51, 376625.81872238696 7320517.684972651 7.19, 376625.47760434984 7320519.919864457 6.21, 376626.43421565875 7320520.071823335 6.13, 376627.46875416907 7320520.170645343 6, 376628.4625362079 7320520.251081194 6.09, 376630.0533223346 7320520.247672693 6.15, 376631.5849067484 7320520.766926813 6.19, 376632.7401209886 7320520.88094766 6.16, 376634.3196333271 7320521.598406305 6.15, 376635.2330681182 7320521.922185708 6.0600000000000005, 376636.56880893465 7320522.799453358 5.84, 376637.659214113 7320523.546424226 5.78, 376638.9841386488 7320524.654256608 5.75, 376639.80490487814 7320524.661546221 5.64, 376641.2322666707 7320524.574603158 5.59, 376641.7037844836 7320524.605827199 5.49, 376642.55326611805 7320525.082244136 5.41, 376643.602516401 7320525.8008389175 5.23, 376645.3195264755 7320526.202634107 4.96, 376645.7198015355 7320527.207261909 5.03, 376644.36025891535 7320528.242051111 5.32, 376645.7854218829 7320529.856181507 5.2, 376647.05613242445 7320529.855532342 5.09, 376648.4710547227 7320530.209340503 4.72, 376649.4053842632 7320529.55171829 4.63, 376649.95372261695 7320528.749397309 4.57, 376650.6303656633 7320527.6517911535 4.51, 376651.2809935999 7320526.905425484 4.16, 376652.09449972847 7320527.483335153 3.96, 376652.9200469078 7320527.610503665 3.64, 376653.8511595873 7320527.123108337 3.33, 376654.2631954142 7320526.666420498 3.31, 376655.2188181508 7320525.037386648 3.3200000000000003, 376654.4110079878 7320523.598751151 3.91, 376656.1896253126 7320520.02578737 4.01, 376656.97428346 7320517.873264598 3.99, 376657.6386642973 7320515.715532902 4.03, 376658.21028797684 7320513.991749855 3.95, 376658.9017610255 7320512.513331972 3.73, 376659.4277586432 7320511.40172228 3.43, 376660.19020857615 7320511.201215908 3.21, 376661.44253290776 7320511.241323272 2.89, 376662.3539755482 7320511.515153136 2.5, 376664.1648788412 7320512.013261729 1.58, 376664.3631719927 7320511.214895408 1.49, 376664.4360379843 7320510.031305205 1.49, 376664.3930092203 7320508.952395067 1.41, 376664.0191477762 7320507.606516742 1.55, 376663.1243060722 7320505.490957933 1.49, 376662.34891531855 7320503.610774363 1.49, 376661.97821165493 7320502.59496143 1.55, 376662.4594686927 7320501.365066512 1.87, 376663.6656065161 7320499.996198361 1.82, 376664.190408923 7320498.854618974 1.73, 376664.50619052333 7320497.991532237 1.69, 376664.4602842309 7320497.593131131 1.8, 376663.6276838556 7320496.285559663 1.9000000000000001, 376662.9468355158 7320495.77239992 2.08, 376662.1257595949 7320495.004681931 2.18, 376661.90410775936 7320493.962912962 2.22, 376659.52619971684 7320493.297307191 2.72, 376658.8489962165 7320492.373764346 2.84, 376657.8477921969 7320490.852789473 2.77, 376656.59245790425 7320489.231885943 2.81, 376654.9402865903 7320487.94699446 2.75, 376652.6731234646 7320486.79669362 2.91, 376651.60511827195 7320485.858719157 3.02, 376650.57274929096 7320484.30896975 3.16, 376648.9615258942 7320484.803477294 4.04, 376648.08633889776 7320485.438729091 4.1, 376646.6781009869 7320486.005187639 4.12, 376645.0673055515 7320486.259538959 4.11, 376644.067148944 7320486.019264471 4.15, 376643.176084509 7320485.754627611 4.19, 376642.55753652105 7320485.549162941 4.3100000000000005, 376641.5849591521 7320485.24775375 4.42, 376639.8008086358 7320484.918676624 4.53, 376638.0518367828 7320484.468126925 4.63, 376635.9101007045 7320483.703049932 4.63, 376633.79033650295 7320482.987125651 4.49, 376631.48876184784 7320482.228423258 4.44, 376629.12605247996 7320481.442141611 4.44, 376628.9466325188 7320481.459302969 4.44, 376629.178968324 7320480.009201971 4.44, 376629.9280201123 7320478.218307939 4.43, 376630.22271543933 7320476.575609766 4.4, 376628.9604306623 7320476.285754536 4.51, 376627.7264923863 7320476.204890585 4.71, 376626.89138324047 7320475.837964107 4.88, 376624.71765574586 7320475.27427889 4.96, 376623.67528125393 7320477.23696391 4.94, 376621.6014824066 7320476.419148399 4.96, 376619.347097912 7320475.338378336 5.0200000000000005, 376617.87354961614 7320474.016345482 4.92, 376616.20786169084 7320472.141650682 4.87, 376614.59439550526 7320471.325487919 4.95, 376612.9030021002 7320470.562462012 5.1000000000000005, 376612.71852105134 7320469.449169861 5.04, 376612.54798447504 7320468.685524564 5.09, 376611.77370031585 7320467.585748889 5.08, 376610.6309551429 7320466.780830403 4.98, 376608.50233700237 7320466.595566461 5.0600000000000005, 376607.6692494651 7320466.028443322 4.76, 376606.63385493227 7320466.409933674 4.66, 376605.8501410716 7320467.331705594 4.57, 376604.86754413194 7320467.280840914 4.41, 376604.5754758256 7320466.982309265 4.57, 376603.5522407198 7320465.912473715 4.64, 376602.70885358064 7320464.585320546 4.59, 376602.461186619 7320463.894791905 4.8500000000000005, 376600.3037662079 7320457.216912492 4.93, 376598.5687978217 7320456.615717122 4.91, 376597.69341932365 7320455.489955777 4.94, 376596.50332215376 7320452.995945494 5.09, 376593.35996765783 7320454.211939514 5.12, 376591.063793077 7320455.0939727025 5.07, 376590.1729356284 7320453.078312441 5.1000000000000005, 376588.80026075145 7320450.271397971 5.28, 376587.02047878946 7320446.790319309 5.45, 376588.2405911122 7320445.520951751 5.5, 376590.4242357861 7320443.322640858 5.54, 376592.45643814764 7320441.09034654 5.69, 376591.8252592714 7320439.564619888 6.25))</t>
  </si>
  <si>
    <t>['FV828 S1D1 m6208-6256']</t>
  </si>
  <si>
    <t>LINESTRING Z (376568.5043571227 7320467.980627184 8.28, 376567.61138917337 7320466.9156020675 8.21, 376566.9489564388 7320466.111539459 8.16, 376566.04360809934 7320464.98697328 8.09, 376565.1490464994 7320463.881988505 8.03, 376564.34797982406 7320462.863327205 7.97, 376563.7466818016 7320462.086843837 7.930000000000001, 376562.75503956183 7320460.805626357 7.87, 376562.1317696519 7320459.979990253 7.83, 376561.50849974283 7320459.154354148 7.79, 376560.064183342 7320457.310853538 7.71, 376559.26311667403 7320456.292192212 7.67, 376558.3134261547 7320455.059330607 7.62, 376557.37372554885 7320453.82607058 7.57, 376556.44361644343 7320452.582422223 7.53, 376555.51350734 7320451.338773861 7.49, 376554.6029796491 7320450.084338751 7.45, 376553.69245196035 7320448.829903642 7.42, 376552.7915157726 7320447.565080196 7.390000000000001, 376552.19781719835 7320446.728258894 7.37, 376551.60372021236 7320445.881447677 7.36, 376550.02119790704 7320443.5831919685 7.32, 376548.9896256401 7320442.053421826 7.3, 376548.08476452593 7320440.188406801 7.3100000000000005, 376547.1902917437 7320438.332983268 7.32, 376546.30541046825 7320436.467171397 7.34, 376545.440907437 7320434.610552606 7.36, 376544.15854015364 7320431.810041916 7.390000000000001, 376543.53214218037 7320430.404193988 7.41, 376542.7790626524 7320429.0834447155 7.42, 376541.6160871249 7320427.018601776 7.37, 376541.0671587809 7320426.049919492 7.390000000000001, 376540.4145679782 7320426.496189433 7.43, 376538.0183458533 7320428.632937803 7.5600000000000005, 376536.7218109102 7320430.745840658 7.73, 376536.88368478237 7320433.801160185 7.84, 376537.6712782498 7320437.2417629445 7.97, 376539.1672699129 7320441.384537221 8.11, 376541.37897917186 7320445.158570307 8.09, 376543.8987820809 7320448.880292897 8.06, 376547.28758901573 7320453.567938357 7.9, 376550.6025120462 7320457.90832729 7.66, 376554.5747180539 7320462.67276372 7.33, 376558.0251469189 7320466.647539458 6.88, 376561.0165269943 7320469.90019344 6.5200000000000005, 376562.4833024786 7320471.052398024 6.390000000000001, 376564.3102314803 7320471.199664813 6.24, 376565.0823027085 7320470.738623948 5.99, 376568.5043571227 7320467.980627184 8.28)</t>
  </si>
  <si>
    <t>POLYGON Z ((376568.5043571227 7320467.980627184 8.28, 376567.61138917337 7320466.9156020675 8.21, 376566.9489564388 7320466.111539459 8.16, 376566.04360809934 7320464.98697328 8.09, 376565.1490464994 7320463.881988505 8.03, 376564.34797982406 7320462.863327205 7.97, 376563.7466818016 7320462.086843837 7.930000000000001, 376562.75503956183 7320460.805626357 7.87, 376562.1317696519 7320459.979990253 7.83, 376561.50849974283 7320459.154354148 7.79, 376560.064183342 7320457.310853538 7.71, 376559.26311667403 7320456.292192212 7.67, 376558.3134261547 7320455.059330607 7.62, 376557.37372554885 7320453.82607058 7.57, 376556.44361644343 7320452.582422223 7.53, 376555.51350734 7320451.338773861 7.49, 376554.6029796491 7320450.084338751 7.45, 376553.69245196035 7320448.829903642 7.42, 376552.7915157726 7320447.565080196 7.390000000000001, 376552.19781719835 7320446.728258894 7.37, 376551.60372021236 7320445.881447677 7.36, 376550.02119790704 7320443.5831919685 7.32, 376548.9896256401 7320442.053421826 7.3, 376548.08476452593 7320440.188406801 7.3100000000000005, 376547.1902917437 7320438.332983268 7.32, 376546.30541046825 7320436.467171397 7.34, 376545.440907437 7320434.610552606 7.36, 376544.15854015364 7320431.810041916 7.390000000000001, 376543.53214218037 7320430.404193988 7.41, 376542.7790626524 7320429.0834447155 7.42, 376541.6160871249 7320427.018601776 7.37, 376541.0671587809 7320426.049919492 7.390000000000001, 376540.4145679782 7320426.496189433 7.43, 376538.0183458533 7320428.632937803 7.5600000000000005, 376536.7218109102 7320430.745840658 7.73, 376536.88368478237 7320433.801160185 7.84, 376537.6712782498 7320437.2417629445 7.97, 376539.1672699129 7320441.384537221 8.11, 376541.37897917186 7320445.158570307 8.09, 376543.8987820809 7320448.880292897 8.06, 376547.28758901573 7320453.567938357 7.9, 376550.6025120462 7320457.90832729 7.66, 376554.5747180539 7320462.67276372 7.33, 376558.0251469189 7320466.647539458 6.88, 376561.0165269943 7320469.90019344 6.5200000000000005, 376562.4833024786 7320471.052398024 6.390000000000001, 376564.3102314803 7320471.199664813 6.24, 376565.0823027085 7320470.738623948 5.99, 376568.5043571227 7320467.980627184 8.28))</t>
  </si>
  <si>
    <t>[1023]</t>
  </si>
  <si>
    <t>['PV1023 S12D1 m5-72']</t>
  </si>
  <si>
    <t>LINESTRING Z (376566.38410087477 7320488.326933068 5.57, 376565.8883683972 7320486.9358857665 5.63, 376564.3547184656 7320483.605083721 5.8500000000000005, 376562.7889884889 7320481.226112139 5.98, 376561.26714317035 7320479.445738411 6.140000000000001, 376561.3081361881 7320477.462954947 6.24, 376560.3261149544 7320475.92120297 6.38, 376557.84689092543 7320473.718744148 6.68, 376554.65135957795 7320470.114023199 6.99, 376550.9736123021 7320465.708058019 7.49, 376548.3262717349 7320462.551746889 7.7700000000000005, 376545.7516790342 7320459.212429994 7.97, 376543.3289862609 7320455.416793977 8.08, 376540.358530752 7320450.932591621 8.16, 376537.51748654124 7320446.93351235 8.18, 376535.56622301054 7320443.919538992 8.17, 376533.74445953727 7320440.640250101 8.15, 376532.38983149454 7320437.2822963055 8.040000000000001, 376531.61581364035 7320433.931204298 8.01, 376531.3707443624 7320431.549591397 7.96, 376530.5887422996 7320431.510738182 7.9, 376529.378369233 7320431.518986445 7.84, 376528.7716254541 7320432.863950126 7.84, 376529.52373061137 7320435.665596975 7.91, 376531.00862592505 7320439.028361353 7.98, 376532.31857257255 7320441.767737404 8.09, 376533.1430272472 7320444.376388571 8, 376533.62215836736 7320447.609165656 8.14, 376536.03942127794 7320450.014211945 8.13, 376537.384974682 7320452.391959014 8.1, 376538.2625958725 7320454.828391128 8.120000000000001, 376540.08655859635 7320456.406605935 8.11, 376540.3101728831 7320457.748471062 8.11, 376542.5563529089 7320460.63061296 7.87, 376543.8465564868 7320461.369615945 7.8, 376543.76857009716 7320461.923045243 7.82, 376542.1216803531 7320463.279474175 7.84, 376544.05026402185 7320465.473876168 7.74, 376545.264782976 7320467.57668655 7.67, 376547.0452003503 7320469.066585708 7.63, 376548.9406269833 7320471.182263586 7.73, 376550.50932328054 7320472.130287414 7.66, 376549.90169414843 7320474.205709897 7.83, 376549.07272287924 7320475.999791631 7.91, 376549.9584898858 7320477.135144575 8.06, 376551.0412958035 7320477.942453646 7.92, 376552.4274735033 7320478.077280874 7.76, 376554.2489134718 7320477.3342502415 7.5200000000000005, 376556.17506308365 7320476.456968211 7.0200000000000005, 376557.72736526316 7320477.49569803 6.53, 376558.96403353906 7320478.14678379 6.42, 376560.1619078389 7320479.0795791345 6.48, 376560.45112816076 7320479.8084738385 6.61, 376560.18731762 7320480.469372093 6.8500000000000005, 376559.3236252697 7320481.894623884 6.96, 376560.06417674036 7320484.406562957 7.04, 376560.7643997285 7320486.659959553 6.98, 376561.48876405973 7320487.51158121 6.88, 376562.7422839745 7320487.581658399 6.8100000000000005, 376563.5466858419 7320487.429507927 6.73, 376563.92467926233 7320487.624554751 6.61, 376564.3145955416 7320488.369445124 6.45, 376564.51074892376 7320488.771860044 6.3, 376566.0484280254 7320488.440378258 5.65, 376566.38410087477 7320488.326933068 5.57)</t>
  </si>
  <si>
    <t>POLYGON Z ((376566.38410087477 7320488.326933068 5.57, 376565.8883683972 7320486.9358857665 5.63, 376564.3547184656 7320483.605083721 5.8500000000000005, 376562.7889884889 7320481.226112139 5.98, 376561.26714317035 7320479.445738411 6.140000000000001, 376561.3081361881 7320477.462954947 6.24, 376560.3261149544 7320475.92120297 6.38, 376557.84689092543 7320473.718744148 6.68, 376554.65135957795 7320470.114023199 6.99, 376550.9736123021 7320465.708058019 7.49, 376548.3262717349 7320462.551746889 7.7700000000000005, 376545.7516790342 7320459.212429994 7.97, 376543.3289862609 7320455.416793977 8.08, 376540.358530752 7320450.932591621 8.16, 376537.51748654124 7320446.93351235 8.18, 376535.56622301054 7320443.919538992 8.17, 376533.74445953727 7320440.640250101 8.15, 376532.38983149454 7320437.2822963055 8.040000000000001, 376531.61581364035 7320433.931204298 8.01, 376531.3707443624 7320431.549591397 7.96, 376530.5887422996 7320431.510738182 7.9, 376529.378369233 7320431.518986445 7.84, 376528.7716254541 7320432.863950126 7.84, 376529.52373061137 7320435.665596975 7.91, 376531.00862592505 7320439.028361353 7.98, 376532.31857257255 7320441.767737404 8.09, 376533.1430272472 7320444.376388571 8, 376533.62215836736 7320447.609165656 8.14, 376536.03942127794 7320450.014211945 8.13, 376537.384974682 7320452.391959014 8.1, 376538.2625958725 7320454.828391128 8.120000000000001, 376540.08655859635 7320456.406605935 8.11, 376540.3101728831 7320457.748471062 8.11, 376542.5563529089 7320460.63061296 7.87, 376543.8465564868 7320461.369615945 7.8, 376543.76857009716 7320461.923045243 7.82, 376542.1216803531 7320463.279474175 7.84, 376544.05026402185 7320465.473876168 7.74, 376545.264782976 7320467.57668655 7.67, 376547.0452003503 7320469.066585708 7.63, 376548.9406269833 7320471.182263586 7.73, 376550.50932328054 7320472.130287414 7.66, 376549.90169414843 7320474.205709897 7.83, 376549.07272287924 7320475.999791631 7.91, 376549.9584898858 7320477.135144575 8.06, 376551.0412958035 7320477.942453646 7.92, 376552.4274735033 7320478.077280874 7.76, 376554.2489134718 7320477.3342502415 7.5200000000000005, 376556.17506308365 7320476.456968211 7.0200000000000005, 376557.72736526316 7320477.49569803 6.53, 376558.96403353906 7320478.14678379 6.42, 376560.1619078389 7320479.0795791345 6.48, 376560.45112816076 7320479.8084738385 6.61, 376560.18731762 7320480.469372093 6.8500000000000005, 376559.3236252697 7320481.894623884 6.96, 376560.06417674036 7320484.406562957 7.04, 376560.7643997285 7320486.659959553 6.98, 376561.48876405973 7320487.51158121 6.88, 376562.7422839745 7320487.581658399 6.8100000000000005, 376563.5466858419 7320487.429507927 6.73, 376563.92467926233 7320487.624554751 6.61, 376564.3145955416 7320488.369445124 6.45, 376564.51074892376 7320488.771860044 6.3, 376566.0484280254 7320488.440378258 5.65, 376566.38410087477 7320488.326933068 5.57))</t>
  </si>
  <si>
    <t>['FV828 S1D1 m5755-5799']</t>
  </si>
  <si>
    <t>LINESTRING Z (376925.02320480184 7320729.461664908 7, 376926.40437805606 7320727.96574662 6.5600000000000005, 376924.6495485787 7320726.364766139 6.46, 376923.19441613765 7320724.751833034 6.43, 376921.0069217381 7320722.337627515 6.41, 376919.1586855684 7320719.899885785 6.34, 376916.8289714392 7320717.181172724 6.37, 376916.0159228343 7320716.112961896 6.32, 376915.7242823993 7320715.574274652 6.29, 376914.86228696565 7320712.777014017 6.36, 376913.40286014986 7320710.303754023 6.46, 376911.0547599313 7320707.625797303 6.6000000000000005, 376907.49962234753 7320703.785279116 6.62, 376904.6808603237 7320700.59578639 6.68, 376902.1198142415 7320697.596131167 6.8100000000000005, 376901.97905452934 7320695.070279667 7.08, 376905.3726237818 7320689.841988687 7.2700000000000005, 376902.7932664341 7320689.644685367 7.2, 376902.5694161359 7320690.303989471 7.21, 376902.1221728029 7320691.132295646 7.2, 376900.46833591803 7320693.81977174 7.22, 376900.1465787033 7320694.533009554 7.15, 376899.6185899049 7320695.594669256 7.12, 376899.12731452787 7320697.075108008 7.04, 376899.00210917025 7320698.20075016 6.97, 376899.02954128175 7320699.390345335 6.93, 376899.1808364156 7320700.675058491 6.91, 376899.5379352996 7320701.851505815 6.8500000000000005, 376900.4340316468 7320703.496740518 6.8100000000000005, 376901.63025288674 7320704.889866558 6.7700000000000005, 376903.902875368 7320707.180607713 6.76, 376907.1999280725 7320710.5711525045 6.8100000000000005, 376909.26239360566 7320712.61012454 6.83, 376911.14384565013 7320714.626298412 6.82, 376913.1983133816 7320716.715618328 6.8500000000000005, 376916.28321704024 7320719.8044444 6.87, 376918.0899587372 7320721.703528315 6.88, 376919.67777824233 7320723.131065347 6.890000000000001, 376920.54957100743 7320724.166915923 6.890000000000001, 376921.2075622468 7320725.361380253 6.890000000000001, 376922.5204455594 7320726.919951838 6.93, 376923.5876243356 7320728.08809103 6.92, 376925.02320480184 7320729.461664908 7)</t>
  </si>
  <si>
    <t>POLYGON Z ((376925.02320480184 7320729.461664908 7, 376926.40437805606 7320727.96574662 6.5600000000000005, 376924.6495485787 7320726.364766139 6.46, 376923.19441613765 7320724.751833034 6.43, 376921.0069217381 7320722.337627515 6.41, 376919.1586855684 7320719.899885785 6.34, 376916.8289714392 7320717.181172724 6.37, 376916.0159228343 7320716.112961896 6.32, 376915.7242823993 7320715.574274652 6.29, 376914.86228696565 7320712.777014017 6.36, 376913.40286014986 7320710.303754023 6.46, 376911.0547599313 7320707.625797303 6.6000000000000005, 376907.49962234753 7320703.785279116 6.62, 376904.6808603237 7320700.59578639 6.68, 376902.1198142415 7320697.596131167 6.8100000000000005, 376901.97905452934 7320695.070279667 7.08, 376905.3726237818 7320689.841988687 7.2700000000000005, 376902.7932664341 7320689.644685367 7.2, 376902.5694161359 7320690.303989471 7.21, 376902.1221728029 7320691.132295646 7.2, 376900.46833591803 7320693.81977174 7.22, 376900.1465787033 7320694.533009554 7.15, 376899.6185899049 7320695.594669256 7.12, 376899.12731452787 7320697.075108008 7.04, 376899.00210917025 7320698.20075016 6.97, 376899.02954128175 7320699.390345335 6.93, 376899.1808364156 7320700.675058491 6.91, 376899.5379352996 7320701.851505815 6.8500000000000005, 376900.4340316468 7320703.496740518 6.8100000000000005, 376901.63025288674 7320704.889866558 6.7700000000000005, 376903.902875368 7320707.180607713 6.76, 376907.1999280725 7320710.5711525045 6.8100000000000005, 376909.26239360566 7320712.61012454 6.83, 376911.14384565013 7320714.626298412 6.82, 376913.1983133816 7320716.715618328 6.8500000000000005, 376916.28321704024 7320719.8044444 6.87, 376918.0899587372 7320721.703528315 6.88, 376919.67777824233 7320723.131065347 6.890000000000001, 376920.54957100743 7320724.166915923 6.890000000000001, 376921.2075622468 7320725.361380253 6.890000000000001, 376922.5204455594 7320726.919951838 6.93, 376923.5876243356 7320728.08809103 6.92, 376925.02320480184 7320729.461664908 7))</t>
  </si>
  <si>
    <t>['FV828 S1D1 m6286-6332']</t>
  </si>
  <si>
    <t>LINESTRING Z (376527.43378739944 7320399.067677373 8.24, 376527.17132003605 7320398.507814227 8.24, 376526.7450595793 7320397.604280313 8.26, 376526.31840071274 7320396.690756485 8.27, 376526.0663216764 7320396.140484836 8.27, 376525.90252858365 7320395.796814067 8.28, 376525.05959918385 7320393.979357899 8.290000000000001, 376524.633338736 7320393.075823974 8.290000000000001, 376524.20667987835 7320392.162300135 8.3, 376523.78041943413 7320391.258766208 8.25, 376523.3641489042 7320390.354833865 8.25, 376522.9378884634 7320389.45129993 8.25, 376522.3478349373 7320388.204095217 8.25, 376522.2931044377 7320388.08620832 8.25, 376521.9000010297 7320387.261398447 8.25, 376521.85685408843 7320387.1830727905 8.25, 376521.430992065 7320386.289528763 8.24, 376521.0051300433 7320385.3959847335 8.23, 376520.68872902024 7320384.7382144965 8.22, 376520.57966643444 7320384.512430614 8.22, 376520.1438145033 7320383.619284992 8.2, 376520.07869568095 7320383.491806591 8.2, 376519.69837107195 7320382.73652769 8.19, 376519.26331596624 7320381.863361887 8.17, 376518.81747412705 7320380.970614668 8.15, 376518.3720307008 7320380.087857364 8.13, 376518.11155541555 7320379.577943753 8.11, 376517.9165973629 7320379.205498461 8.11, 376517.4707555287 7320378.312751238 8.08, 376517.01492378314 7320377.420402419 8.06, 376516.55909203924 7320376.528053604 8.040000000000001, 376516.4400395443 7320376.302668125 8.03, 376516.1036587078 7320375.6456946945 8.02, 376515.64782696706 7320374.7533458695 7.99, 376515.19199522806 7320373.8609970445 7.97, 376514.73616349057 7320372.968648216 7.94, 376514.28033175477 7320372.076299386 7.91, 376513.82489843154 7320371.193940468 7.88, 376513.3690666988 7320370.301591632 7.8500000000000005, 376512.913234968 7320369.409242796 7.8100000000000005, 376512.46739315166 7320368.516495546 7.78, 376512.34873907105 7320368.301099974 7.7700000000000005, 376512.23967649305 7320368.075316082 7.76, 376512.01195983466 7320367.634136618 7.74, 376511.78384476615 7320367.18296724 7.72, 376511.55612810864 7320366.741787774 7.71, 376511.3280130408 7320366.2906183945 7.69, 376511.1002963841 7320365.849438927 7.67, 376510.8725797279 7320365.408259462 7.65, 376510.6444646615 7320364.957090083 7.63, 376510.4167480059 7320364.5159106115 7.61, 376510.1886329402 7320364.06474123 7.59, 376509.96091628546 7320363.623561761 7.58, 376509.7331996313 7320363.182382291 7.5600000000000005, 376509.65689566924 7320363.025332553 7.55, 376509.5050845667 7320362.731212907 7.54, 376509.2873578265 7320362.289635026 7.5200000000000005, 376509.04925284965 7320361.838864051 7.48, 376508.821536197 7320361.397684578 7.44, 376508.8103510521 7320361.368113252 7.44, 376508.777990849 7320361.309369002 7.43, 376508.5938195446 7320360.956505105 7.4, 376508.3661028928 7320360.515325634 7.36, 376508.32255754503 7320360.427010055 7.3500000000000005, 376508.2786137868 7320360.328704565 7.34, 376508.213893381 7320360.211216068 7.33, 376508.148774565 7320360.083737663 7.32, 376508.0836557488 7320359.9562592525 7.3100000000000005, 376508.0073517879 7320359.799209512 7.3, 376507.9646032614 7320359.730873762 7.29, 376507.9106695901 7320359.632966681 7.28, 376507.8127921608 7320359.436754114 7.26, 376507.6829529394 7320359.191787208 7.24, 376507.5199566945 7320358.868096229 7.21, 376507.29224004445 7320358.426916753 7.17, 376506.88538317196 7320359.013473458 7.04, 376506.31231311953 7320359.446566122 6.63, 376505.94667043316 7320359.561206444 6.58, 376505.6074117916 7320359.584742313 6.61, 376506.46229338105 7320361.70189606 7, 376508.04754493677 7320364.57037428 7.13, 376509.74256697466 7320368.435054921 7.45, 376510.9187491127 7320370.329272887 7.63, 376510.0100061412 7320370.875810664 8.25, 376512.95233502664 7320376.661890051 8.38, 376513.6928134649 7320376.41223114 7.83, 376514.96004080767 7320378.833125572 7.6000000000000005, 376516.8568532807 7320382.739787413 7.5200000000000005, 376518.3549846201 7320385.68178055 7.61, 376519.24575297884 7320388.447880083 7.7, 376520.41666695644 7320390.962667764 7.72, 376521.80775744107 7320393.478680291 7.82, 376521.7200905619 7320394.792936628 8.07, 376523.5741842635 7320398.381116335 7.96, 376524.5388958338 7320400.994179814 7.95, 376525.7829428487 7320400.074060721 7.66, 376526.3256446714 7320399.632173336 7.72, 376527.1196879567 7320399.220285318 8.06, 376527.43378739944 7320399.067677373 8.24)</t>
  </si>
  <si>
    <t>POLYGON Z ((376527.43378739944 7320399.067677373 8.24, 376527.17132003605 7320398.507814227 8.24, 376526.7450595793 7320397.604280313 8.26, 376526.31840071274 7320396.690756485 8.27, 376526.0663216764 7320396.140484836 8.27, 376525.90252858365 7320395.796814067 8.28, 376525.05959918385 7320393.979357899 8.290000000000001, 376524.633338736 7320393.075823974 8.290000000000001, 376524.20667987835 7320392.162300135 8.3, 376523.78041943413 7320391.258766208 8.25, 376523.3641489042 7320390.354833865 8.25, 376522.9378884634 7320389.45129993 8.25, 376522.3478349373 7320388.204095217 8.25, 376522.2931044377 7320388.08620832 8.25, 376521.9000010297 7320387.261398447 8.25, 376521.85685408843 7320387.1830727905 8.25, 376521.430992065 7320386.289528763 8.24, 376521.0051300433 7320385.3959847335 8.23, 376520.68872902024 7320384.7382144965 8.22, 376520.57966643444 7320384.512430614 8.22, 376520.1438145033 7320383.619284992 8.2, 376520.07869568095 7320383.491806591 8.2, 376519.69837107195 7320382.73652769 8.19, 376519.26331596624 7320381.863361887 8.17, 376518.81747412705 7320380.970614668 8.15, 376518.3720307008 7320380.087857364 8.13, 376518.11155541555 7320379.577943753 8.11, 376517.9165973629 7320379.205498461 8.11, 376517.4707555287 7320378.312751238 8.08, 376517.01492378314 7320377.420402419 8.06, 376516.55909203924 7320376.528053604 8.040000000000001, 376516.4400395443 7320376.302668125 8.03, 376516.1036587078 7320375.6456946945 8.02, 376515.64782696706 7320374.7533458695 7.99, 376515.19199522806 7320373.8609970445 7.97, 376514.73616349057 7320372.968648216 7.94, 376514.28033175477 7320372.076299386 7.91, 376513.82489843154 7320371.193940468 7.88, 376513.3690666988 7320370.301591632 7.8500000000000005, 376512.913234968 7320369.409242796 7.8100000000000005, 376512.46739315166 7320368.516495546 7.78, 376512.34873907105 7320368.301099974 7.7700000000000005, 376512.23967649305 7320368.075316082 7.76, 376512.01195983466 7320367.634136618 7.74, 376511.78384476615 7320367.18296724 7.72, 376511.55612810864 7320366.741787774 7.71, 376511.3280130408 7320366.2906183945 7.69, 376511.1002963841 7320365.849438927 7.67, 376510.8725797279 7320365.408259462 7.65, 376510.6444646615 7320364.957090083 7.63, 376510.4167480059 7320364.5159106115 7.61, 376510.1886329402 7320364.06474123 7.59, 376509.96091628546 7320363.623561761 7.58, 376509.7331996313 7320363.182382291 7.5600000000000005, 376509.65689566924 7320363.025332553 7.55, 376509.5050845667 7320362.731212907 7.54, 376509.2873578265 7320362.289635026 7.5200000000000005, 376509.04925284965 7320361.838864051 7.48, 376508.821536197 7320361.397684578 7.44, 376508.8103510521 7320361.368113252 7.44, 376508.777990849 7320361.309369002 7.43, 376508.5938195446 7320360.956505105 7.4, 376508.3661028928 7320360.515325634 7.36, 376508.32255754503 7320360.427010055 7.3500000000000005, 376508.2786137868 7320360.328704565 7.34, 376508.213893381 7320360.211216068 7.33, 376508.148774565 7320360.083737663 7.32, 376508.0836557488 7320359.9562592525 7.3100000000000005, 376508.0073517879 7320359.799209512 7.3, 376507.9646032614 7320359.730873762 7.29, 376507.9106695901 7320359.632966681 7.28, 376507.8127921608 7320359.436754114 7.26, 376507.6829529394 7320359.191787208 7.24, 376507.5199566945 7320358.868096229 7.21, 376507.29224004445 7320358.426916753 7.17, 376506.88538317196 7320359.013473458 7.04, 376506.31231311953 7320359.446566122 6.63, 376505.94667043316 7320359.561206444 6.58, 376505.6074117916 7320359.584742313 6.61, 376506.46229338105 7320361.70189606 7, 376508.04754493677 7320364.57037428 7.13, 376509.74256697466 7320368.435054921 7.45, 376510.9187491127 7320370.329272887 7.63, 376510.0100061412 7320370.875810664 8.25, 376512.95233502664 7320376.661890051 8.38, 376513.6928134649 7320376.41223114 7.83, 376514.96004080767 7320378.833125572 7.6000000000000005, 376516.8568532807 7320382.739787413 7.5200000000000005, 376518.3549846201 7320385.68178055 7.61, 376519.24575297884 7320388.447880083 7.7, 376520.41666695644 7320390.962667764 7.72, 376521.80775744107 7320393.478680291 7.82, 376521.7200905619 7320394.792936628 8.07, 376523.5741842635 7320398.381116335 7.96, 376524.5388958338 7320400.994179814 7.95, 376525.7829428487 7320400.074060721 7.66, 376526.3256446714 7320399.632173336 7.72, 376527.1196879567 7320399.220285318 8.06, 376527.43378739944 7320399.067677373 8.24))</t>
  </si>
  <si>
    <t>['FV828 S1D1 m5986-6024']</t>
  </si>
  <si>
    <t>LINESTRING Z (376785.4839891563 7320533.560130992 5.68, 376784.77271380316 7320533.538468932 5.69, 376784.1094549611 7320532.96457317 5.51, 376783.040623679 7320532.256765428 5.22, 376782.14597382006 7320531.902219634 5.04, 376780.4564845568 7320531.939582046 4.9, 376778.39341416326 7320531.641640705 4.84, 376776.6215856166 7320531.872397058 4.8, 376775.23697289015 7320532.0276757935 4.8100000000000005, 376773.80562748126 7320532.014719796 4.8, 376772.6212703351 7320531.671728026 4.54, 376771.2183600364 7320531.117325045 4.33, 376769.9213250148 7320530.708786495 4.24, 376768.3928694315 7320530.769743983 4.28, 376765.6701848984 7320529.487523857 4.51, 376764.815524156 7320528.88123832 4.5200000000000005, 376763.6883470483 7320528.215780637 4.42, 376762.29189996107 7320527.070777933 4.1, 376761.8061575124 7320525.6793330265 4, 376761.1265931703 7320524.445705003 3.96, 376761.3254323433 7320522.406598474 3.9, 376761.60734855407 7320520.694369938 3.89, 376761.53836373886 7320519.466408331 3.91, 376760.9666076888 7320518.928886399 3.75, 376760.5123104828 7320518.576790119 3.58, 376759.49419597717 7320518.137116093 3.35, 376758.23751896666 7320517.736973727 3.22, 376756.98399972776 7320517.666896682 3.13, 376756.09054506203 7320517.342320541 3.02, 376754.769605127 7320516.334387557 2.62, 376753.12175764306 7320515.659677651 2.32, 376752.0668708113 7320515.301516515 2.23, 376751.07522890397 7320514.020299851 1.7, 376749.76768733346 7320514.602754014 1.76, 376749.0863520865 7320514.830042744 1.62, 376748.40578412474 7320515.327457363 1.73, 376747.6304374032 7320516.459017056 1.82, 376746.8714847651 7320517.49987077 1.75, 376748.41285180126 7320519.769748835 3.33, 376748.7117226232 7320519.987962657 3.54, 376750.7859192496 7320520.815767535 3.59, 376753.48378399963 7320522.479197873 3.62, 376756.97232683544 7320525.151697314 3.64, 376756.4363690311 7320526.013559073 3.5500000000000003, 376755.27525249886 7320528.511286352 3.74, 376754.314789998 7320530.52073302 4, 376753.2875854828 7320532.6128878575 4.4, 376752.7032127599 7320534.016993477 4.8500000000000005, 376752.49048817676 7320535.206161204 5.13, 376752.14427955216 7320536.560745244 5.65, 376753.54770646064 7320536.124553859 5.64, 376755.60727984953 7320535.582147835 5.66, 376757.6891940011 7320535.349030485 5.66, 376759.6448250982 7320535.211001694 5.64, 376762.4072480776 7320534.980761847 5.62, 376765.29396200145 7320534.605483923 5.57, 376768.23540641216 7320534.348092802 5.53, 376771.20320525113 7320534.249743344 5.46, 376773.8689164062 7320534.103406906 5.48, 376776.33522784535 7320533.975028676 5.5, 376778.9190276435 7320533.781930035 5.48, 376781.37574755773 7320533.66394013 5.55, 376784.01746514684 7320533.668647527 5.66, 376785.4839891563 7320533.560130992 5.68)</t>
  </si>
  <si>
    <t>POLYGON Z ((376785.4839891563 7320533.560130992 5.68, 376784.77271380316 7320533.538468932 5.69, 376784.1094549611 7320532.96457317 5.51, 376783.040623679 7320532.256765428 5.22, 376782.14597382006 7320531.902219634 5.04, 376780.4564845568 7320531.939582046 4.9, 376778.39341416326 7320531.641640705 4.84, 376776.6215856166 7320531.872397058 4.8, 376775.23697289015 7320532.0276757935 4.8100000000000005, 376773.80562748126 7320532.014719796 4.8, 376772.6212703351 7320531.671728026 4.54, 376771.2183600364 7320531.117325045 4.33, 376769.9213250148 7320530.708786495 4.24, 376768.3928694315 7320530.769743983 4.28, 376765.6701848984 7320529.487523857 4.51, 376764.815524156 7320528.88123832 4.5200000000000005, 376763.6883470483 7320528.215780637 4.42, 376762.29189996107 7320527.070777933 4.1, 376761.8061575124 7320525.6793330265 4, 376761.1265931703 7320524.445705003 3.96, 376761.3254323433 7320522.406598474 3.9, 376761.60734855407 7320520.694369938 3.89, 376761.53836373886 7320519.466408331 3.91, 376760.9666076888 7320518.928886399 3.75, 376760.5123104828 7320518.576790119 3.58, 376759.49419597717 7320518.137116093 3.35, 376758.23751896666 7320517.736973727 3.22, 376756.98399972776 7320517.666896682 3.13, 376756.09054506203 7320517.342320541 3.02, 376754.769605127 7320516.334387557 2.62, 376753.12175764306 7320515.659677651 2.32, 376752.0668708113 7320515.301516515 2.23, 376751.07522890397 7320514.020299851 1.7, 376749.76768733346 7320514.602754014 1.76, 376749.0863520865 7320514.830042744 1.62, 376748.40578412474 7320515.327457363 1.73, 376747.6304374032 7320516.459017056 1.82, 376746.8714847651 7320517.49987077 1.75, 376748.41285180126 7320519.769748835 3.33, 376748.7117226232 7320519.987962657 3.54, 376750.7859192496 7320520.815767535 3.59, 376753.48378399963 7320522.479197873 3.62, 376756.97232683544 7320525.151697314 3.64, 376756.4363690311 7320526.013559073 3.5500000000000003, 376755.27525249886 7320528.511286352 3.74, 376754.314789998 7320530.52073302 4, 376753.2875854828 7320532.6128878575 4.4, 376752.7032127599 7320534.016993477 4.8500000000000005, 376752.49048817676 7320535.206161204 5.13, 376752.14427955216 7320536.560745244 5.65, 376753.54770646064 7320536.124553859 5.64, 376755.60727984953 7320535.582147835 5.66, 376757.6891940011 7320535.349030485 5.66, 376759.6448250982 7320535.211001694 5.64, 376762.4072480776 7320534.980761847 5.62, 376765.29396200145 7320534.605483923 5.57, 376768.23540641216 7320534.348092802 5.53, 376771.20320525113 7320534.249743344 5.46, 376773.8689164062 7320534.103406906 5.48, 376776.33522784535 7320533.975028676 5.5, 376778.9190276435 7320533.781930035 5.48, 376781.37574755773 7320533.66394013 5.55, 376784.01746514684 7320533.668647527 5.66, 376785.4839891563 7320533.560130992 5.68))</t>
  </si>
  <si>
    <t>LINESTRING (-37061.751339286915 6736858.071026438, -37061.513804935035 6736851.819594791, -37062.15296704054 6736848.298836674, -37059.08429699449 6736844.9007916255, -37056.99283094448 6736838.710718291, -37059.444326983765 6736833.540156742, -37055.188200599165 6736834.710904313, -37053.66771365795 6736838.8907625815, -37047.518021411845 6736841.1340781925, -37048.375097237644 6736846.235130274, -37038.17453354667 6736847.532666157, -37033.220276818494 6736827.238976362, -37041.60314927285 6736823.521872114, -37039.6013559103 6736819.718570872, -37036.45833914634 6736818.682740123, -37029.37610393693 6736823.046721515, -37022.7879019673 6736830.084056962, -37020.26717732649 6736837.956629639, -37020.0508403643 6736844.253080828, -37021.863979101414 6736850.062389778, -37025.46479334915 6736856.252467408, -37030.80167302012 6736860.555284602, -37047.74017756642 6736858.68474104, -37063.39155702945 6736858.316709356)</t>
  </si>
  <si>
    <t>POLYGON ((-37061.751339286915 6736858.071026438, -37061.513804935035 6736851.819594791, -37062.15296704054 6736848.298836674, -37059.08429699449 6736844.9007916255, -37056.99283094448 6736838.710718291, -37059.444326983765 6736833.540156742, -37055.188200599165 6736834.710904313, -37053.66771365795 6736838.8907625815, -37047.518021411845 6736841.1340781925, -37048.375097237644 6736846.235130274, -37038.17453354667 6736847.532666157, -37033.220276818494 6736827.238976362, -37041.60314927285 6736823.521872114, -37039.6013559103 6736819.718570872, -37036.45833914634 6736818.682740123, -37029.37610393693 6736823.046721515, -37022.7879019673 6736830.084056962, -37020.26717732649 6736837.956629639, -37020.0508403643 6736844.253080828, -37021.863979101414 6736850.062389778, -37025.46479334915 6736856.252467408, -37030.80167302012 6736860.555284602, -37047.74017756642 6736858.68474104, -37063.39155702945 6736858.316709356, -37061.751339286915 6736858.071026438))</t>
  </si>
  <si>
    <t>2025-11-22T09:18:56Z</t>
  </si>
  <si>
    <t>['KV1320 S1D1 m13-57']</t>
  </si>
  <si>
    <t>LINESTRING (-11366.215689849283 6887468.629823495, -11364.534673651448 6887452.169179125, -11336.115705264907 6887439.709917549, -11336.208739706955 6887443.88306494, -11340.078880162095 6887449.63197543, -11346.484093748615 6887454.757519267, -11356.87316693674 6887463.919978282, -11365.474935629754 6887470.665422298)</t>
  </si>
  <si>
    <t>POLYGON ((-11366.215689849283 6887468.629823495, -11364.534673651448 6887452.169179125, -11336.115705264907 6887439.709917549, -11336.208739706955 6887443.88306494, -11340.078880162095 6887449.63197543, -11346.484093748615 6887454.757519267, -11356.87316693674 6887463.919978282, -11365.474935629754 6887470.665422298, -11366.215689849283 6887468.629823495))</t>
  </si>
  <si>
    <t>['KV1320 S1D1 m63-152']</t>
  </si>
  <si>
    <t>LINESTRING (-11340.54656647332 6887469.345303766, -11363.292948912247 6887480.372316705, -11371.434257434623 6887487.330856886, -11379.347509912564 6887494.842712343, -11380.415646364505 6887499.151709921, -11380.398733279144 6887506.891003869, -11376.789649871469 6887511.793955904, -11374.171819183684 6887514.846037244, -11367.24089703412 6887517.959326106, -11355.650909611839 6887521.511116085, -11343.33749807591 6887522.230016679, -11353.161435234768 6887492.315513067, -11333.57668722258 6887477.470849671, -11337.148814327898 6887469.97414067)</t>
  </si>
  <si>
    <t>POLYGON ((-11340.54656647332 6887469.345303766, -11363.292948912247 6887480.372316705, -11371.434257434623 6887487.330856886, -11379.347509912564 6887494.842712343, -11380.415646364505 6887499.151709921, -11380.398733279144 6887506.891003869, -11376.789649871469 6887511.793955904, -11374.171819183684 6887514.846037244, -11367.24089703412 6887517.959326106, -11355.650909611839 6887521.511116085, -11343.33749807591 6887522.230016679, -11353.161435234768 6887492.315513067, -11333.57668722258 6887477.470849671, -11337.148814327898 6887469.97414067, -11340.54656647332 6887469.345303766))</t>
  </si>
  <si>
    <t>[1200]</t>
  </si>
  <si>
    <t>['KV1200 S1D1 m48-65']</t>
  </si>
  <si>
    <t>LINESTRING (-12726.047696756665 6886315.762684121, -12725.120942148438 6886332.090545099, -12722.609842203092 6886348.235329168, -12708.350238748768 6886358.704052522, -12706.495882118936 6886356.694327279, -12713.242346027459 6886347.2482535355, -12693.804215771263 6886331.401210585, -12707.22452910035 6886315.787116276, -12723.20251786313 6886313.68223707)</t>
  </si>
  <si>
    <t>POLYGON ((-12726.047696756665 6886315.762684121, -12725.120942148438 6886332.090545099, -12722.609842203092 6886348.235329168, -12708.350238748768 6886358.704052522, -12706.495882118936 6886356.694327279, -12713.242346027459 6886347.2482535355, -12693.804215771263 6886331.401210585, -12707.22452910035 6886315.787116276, -12723.20251786313 6886313.68223707, -12726.047696756665 6886315.762684121))</t>
  </si>
  <si>
    <t>[2550]</t>
  </si>
  <si>
    <t>['KV2550 S1D1 m54-67']</t>
  </si>
  <si>
    <t>LINESTRING (-11176.311123879219 6886528.921570821, -11166.495581659256 6886523.067828886, -11159.570152404252 6886535.653514067, -11172.082113411801 6886542.196349322, -11177.802233546623 6886530.005332539)</t>
  </si>
  <si>
    <t>POLYGON ((-11176.311123879219 6886528.921570821, -11166.495581659256 6886523.067828886, -11159.570152404252 6886535.653514067, -11172.082113411801 6886542.196349322, -11177.802233546623 6886530.005332539, -11176.311123879219 6886528.921570821))</t>
  </si>
  <si>
    <t>[1330]</t>
  </si>
  <si>
    <t>['KV1330 S1D1 m14-41']</t>
  </si>
  <si>
    <t>LINESTRING (-11516.109825848835 6886567.990447463, -11496.010414700664 6886545.089064743, -11476.059031454613 6886565.462633503, -11487.739872100647 6886574.672918595, -11496.076723302482 6886581.310467383, -11498.60313272482 6886582.62970663, -11500.105878142058 6886583.1389866, -11501.703657599923 6886583.018395335, -11505.289360665716 6886580.191425313, -11509.823000839388 6886576.79546091, -11517.264775551099 6886569.385319517)</t>
  </si>
  <si>
    <t>POLYGON ((-11516.109825848835 6886567.990447463, -11496.010414700664 6886545.089064743, -11476.059031454613 6886565.462633503, -11487.739872100647 6886574.672918595, -11496.076723302482 6886581.310467383, -11498.60313272482 6886582.62970663, -11500.105878142058 6886583.1389866, -11501.703657599923 6886583.018395335, -11505.289360665716 6886580.191425313, -11509.823000839388 6886576.79546091, -11517.264775551099 6886569.385319517, -11516.109825848835 6886567.990447463))</t>
  </si>
  <si>
    <t>[98822]</t>
  </si>
  <si>
    <t>['PV98822 S1D1 m40-50']</t>
  </si>
  <si>
    <t>LINESTRING (-11844.512890228361 6887636.813369878, -11841.121726103476 6887642.607837493, -11838.380814728385 6887640.340281681, -11835.462541729328 6887642.046942891, -11832.833059091063 6887639.502363243, -11828.819091223588 6887642.3319976535, -11827.141220352612 6887640.575379218, -11831.518310015439 6887636.794685794, -11836.980770655267 6887632.9518822245, -11842.448034102272 6887634.7835499365)</t>
  </si>
  <si>
    <t>POLYGON ((-11844.512890228361 6887636.813369878, -11841.121726103476 6887642.607837493, -11838.380814728385 6887640.340281681, -11835.462541729328 6887642.046942891, -11832.833059091063 6887639.502363243, -11828.819091223588 6887642.3319976535, -11827.141220352612 6887640.575379218, -11831.518310015439 6887636.794685794, -11836.980770655267 6887632.9518822245, -11842.448034102272 6887634.7835499365, -11844.512890228361 6887636.813369878))</t>
  </si>
  <si>
    <t>['PV98822 S1D1 m10-31']</t>
  </si>
  <si>
    <t>LINESTRING (-11803.348673916655 6887636.981959411, -11844.156082756526 6887678.125800255, -11840.295834803837 6887663.776574241, -11822.886361806362 6887643.086079915, -11806.53151174332 6887634.444957527)</t>
  </si>
  <si>
    <t>POLYGON ((-11803.348673916655 6887636.981959411, -11844.156082756526 6887678.125800255, -11840.295834803837 6887663.776574241, -11822.886361806362 6887643.086079915, -11806.53151174332 6887634.444957527, -11803.348673916655 6887636.981959411))</t>
  </si>
  <si>
    <t>['PV98822 S1D1 m26-36']</t>
  </si>
  <si>
    <t>LINESTRING (-11891.03699992114 6887639.613629183, -11846.683562652557 6887663.305994482, -11843.222284728196 6887653.8996111695, -11857.180834246625 6887640.376890934, -11863.646482265322 6887643.218369844, -11868.885338839784 6887637.985561956, -11873.5227665485 6887637.691433397, -11896.1326232375 6887632.494337157)</t>
  </si>
  <si>
    <t>POLYGON ((-11891.03699992114 6887639.613629183, -11846.683562652557 6887663.305994482, -11843.222284728196 6887653.8996111695, -11857.180834246625 6887640.376890934, -11863.646482265322 6887643.218369844, -11868.885338839784 6887637.985561956, -11873.5227665485 6887637.691433397, -11896.1326232375 6887632.494337157, -11891.03699992114 6887639.613629183))</t>
  </si>
  <si>
    <t>[2120]</t>
  </si>
  <si>
    <t>['KV2120 S2D1 m33-55']</t>
  </si>
  <si>
    <t>LINESTRING (-11589.237769759202 6887667.152883559, -11585.188684480148 6887658.799663309, -11558.522552893031 6887664.245276791, -11564.614112458832 6887676.195697068, -11577.98380858259 6887676.066610389, -11585.976581497642 6887673.543541541, -11589.727415874193 6887671.532909606)</t>
  </si>
  <si>
    <t>POLYGON ((-11589.237769759202 6887667.152883559, -11585.188684480148 6887658.799663309, -11558.522552893031 6887664.245276791, -11564.614112458832 6887676.195697068, -11577.98380858259 6887676.066610389, -11585.976581497642 6887673.543541541, -11589.727415874193 6887671.532909606, -11589.237769759202 6887667.152883559))</t>
  </si>
  <si>
    <t>['KV2120 S1D1 m33-60']</t>
  </si>
  <si>
    <t>LINESTRING (-11573.442795532814 6887640.548002077, -11571.761570261151 6887645.018482242, -11567.81889087701 6887648.299917034, -11557.487896834093 6887647.3054795405, -11550.62344231375 6887644.268786024, -11526.078979810525 6887632.821876297, -11528.718835251348 6887628.63171161, -11535.37455455953 6887627.342054703, -11571.032170585298 6887635.595441583)</t>
  </si>
  <si>
    <t>POLYGON ((-11573.442795532814 6887640.548002077, -11571.761570261151 6887645.018482242, -11567.81889087701 6887648.299917034, -11557.487896834093 6887647.3054795405, -11550.62344231375 6887644.268786024, -11526.078979810525 6887632.821876297, -11528.718835251348 6887628.63171161, -11535.37455455953 6887627.342054703, -11571.032170585298 6887635.595441583, -11573.442795532814 6887640.548002077))</t>
  </si>
  <si>
    <t>2025-04-24</t>
  </si>
  <si>
    <t>[4716]</t>
  </si>
  <si>
    <t>['FV4716 S1D1 m1377-1378']</t>
  </si>
  <si>
    <t>LINESTRING Z (6270.363687774865 6626144.193772965 -0.0542053990066051, 6277.4708654737915 6626141.549241717 -0.054182231426239, 6278.627847888041 6626139.896409686 -0.0541772320866585, 6279.288980696816 6626137.417161646 -0.0541728362441063, 6278.958414290741 6626135.764329613 -0.0541721284389496, 6267.884439737652 6626140.557542501 -0.0542089156806469, 6270.363687774516 6626143.863206559 -0.0542050674557686)</t>
  </si>
  <si>
    <t>POLYGON Z ((6270.363687774865 6626144.193772965 -0.0542053990066051, 6277.4708654737915 6626141.549241717 -0.054182231426239, 6278.627847888041 6626139.896409686 -0.0541772320866585, 6279.288980696816 6626137.417161646 -0.0541728362441063, 6278.958414290741 6626135.764329613 -0.0541721284389496, 6267.884439737652 6626140.557542501 -0.0542089156806469, 6270.363687774516 6626143.863206559 -0.0542050674557686, 6270.363687774865 6626144.193772965 -0.0542053990066051))</t>
  </si>
  <si>
    <t>['FV4716 S1D1 m1191-1215']</t>
  </si>
  <si>
    <t>LINESTRING Z (6426.391030746454 6626098.740892132 -0.0537084974348545, 6430.027261195064 6626092.294847222 -0.0536912716925144, 6439.1178373195 6626087.666917536 -0.0536601729691029, 6445.068032601383 6626083.369554259 -0.0536384806036949, 6452.1752102987375 6626078.080491768 -0.0536123886704445, 6456.968423163402 6626073.121995681 -0.0535933189094067, 6461.76163602859 6626067.171800378 -0.0535731948912144, 6469.6952297355165 6626058.907640233 -0.0535415224730968, 6475.975991419633 6626051.6351793045 -0.0535156577825546, 6481.595620294334 6626042.875169552 -0.0534901060163975, 6487.215249168919 6626034.941575812 -0.0534654036164284, 6495.314126077457 6626023.867601221 -0.0534301474690437, 6502.586586973921 6626012.793626626 -0.0533972419798374, 6505.892251017154 6626006.84343132 -0.0533812940120697, 6507.214516634529 6626004.0336168725 -0.0533744506537914, 6507.71036623948 6626001.389085629 -0.0533701851963997, 6508.867348657281 6626003.372484061 -0.05336894094944, 6509.528481467394 6626005.851732103 -0.0533696711063385, 6509.363198267762 6626009.157396162 -0.0533736832439899, 6507.710366245941 6626012.793626624 -0.0533823668956757, 6502.7518701797235 6626019.23967154 -0.0534036383032799, 6495.80997568724 6626029.156663711 -0.0534343384206295, 6486.719399565889 6626041.552903926 -0.0534738563001156, 6477.95938984846 6626053.453294533 -0.0535118356347084, 6470.356362547027 6626063.370286709 -0.053544320166111, 6464.7367336720345 6626069.81633162 -0.0535673759877682, 6459.117104794772 6626076.097093329 -0.0535902343690395, 6452.671059907763 6626081.7167222295 -0.0536147728562355, 6446.720864626113 6626086.179368709 -0.0536366477608681, 6440.109536535805 6626090.972581595 -0.0536607690155506, 6433.663491647516 6626094.7740952615 -0.0536833591759205, 6426.721597151482 6626098.906175337 -0.0537077151238918)</t>
  </si>
  <si>
    <t>POLYGON Z ((6426.391030746454 6626098.740892132 -0.0537084974348545, 6430.027261195064 6626092.294847222 -0.0536912716925144, 6439.1178373195 6626087.666917536 -0.0536601729691029, 6445.068032601383 6626083.369554259 -0.0536384806036949, 6452.1752102987375 6626078.080491768 -0.0536123886704445, 6456.968423163402 6626073.121995681 -0.0535933189094067, 6461.76163602859 6626067.171800378 -0.0535731948912144, 6469.6952297355165 6626058.907640233 -0.0535415224730968, 6475.975991419633 6626051.6351793045 -0.0535156577825546, 6481.595620294334 6626042.875169552 -0.0534901060163975, 6487.215249168919 6626034.941575812 -0.0534654036164284, 6495.314126077457 6626023.867601221 -0.0534301474690437, 6502.586586973921 6626012.793626626 -0.0533972419798374, 6505.892251017154 6626006.84343132 -0.0533812940120697, 6507.214516634529 6626004.0336168725 -0.0533744506537914, 6507.71036623948 6626001.389085629 -0.0533701851963997, 6508.867348657281 6626003.372484061 -0.05336894094944, 6509.528481467394 6626005.851732103 -0.0533696711063385, 6509.363198267762 6626009.157396162 -0.0533736832439899, 6507.710366245941 6626012.793626624 -0.0533823668956757, 6502.7518701797235 6626019.23967154 -0.0534036383032799, 6495.80997568724 6626029.156663711 -0.0534343384206295, 6486.719399565889 6626041.552903926 -0.0534738563001156, 6477.95938984846 6626053.453294533 -0.0535118356347084, 6470.356362547027 6626063.370286709 -0.053544320166111, 6464.7367336720345 6626069.81633162 -0.0535673759877682, 6459.117104794772 6626076.097093329 -0.0535902343690395, 6452.671059907763 6626081.7167222295 -0.0536147728562355, 6446.720864626113 6626086.179368709 -0.0536366477608681, 6440.109536535805 6626090.972581595 -0.0536607690155506, 6433.663491647516 6626094.7740952615 -0.0536833591759205, 6426.721597151482 6626098.906175337 -0.0537077151238918, 6426.391030746454 6626098.740892132 -0.0537084974348545))</t>
  </si>
  <si>
    <t>['EV16 S40D1 m5314-5320']</t>
  </si>
  <si>
    <t>LINESTRING (212690.2446405564 6736337.024743708, 212691.22484219895 6736336.946083106, 212693.99845373188 6736342.243478133, 212694.03185948863 6736342.65975624, 212693.9210175895 6736343.113335707, 212693.65857912763 6736343.329175361, 212693.2940040654 6736343.373132735, 212689.5116232637 6736342.706444859, 212690.2446405564 6736337.024743708)</t>
  </si>
  <si>
    <t>2025-01-01</t>
  </si>
  <si>
    <t>[2522]</t>
  </si>
  <si>
    <t>['FV2522 S3D1 m272-282']</t>
  </si>
  <si>
    <t>LINESTRING Z (254020.86745978458 6800999.444014157 177.317, 254022.26582312968 6800997.524117697 177.327, 254024.31536995125 6800994.764987009 177.307, 254026.5865397294 6800991.867338538 177.317, 254026.88912999618 6800991.656072624 177.327, 254027.13698540046 6800991.660978641 177.327, 254027.45481616465 6800991.895629258 177.347, 254027.5088529765 6800992.204718641 177.347, 254027.39835288387 6800992.469514057 177.357, 254025.50814785942 6800994.893361339 177.347, 254023.1486808016 6800998.065418516 177.347, 254021.73582008405 6801000.0086843725 177.347, 254021.54945640615 6801000.189421433 177.347, 254021.18615862567 6801000.226164807 177.337, 254020.86911064744 6801000.002634414 177.327, 254020.78595484878 6800999.662070273 177.317, 254020.86745978458 6800999.444014157 177.317)</t>
  </si>
  <si>
    <t>POLYGON Z ((254020.86745978458 6800999.444014157 177.317, 254022.26582312968 6800997.524117697 177.327, 254024.31536995125 6800994.764987009 177.307, 254026.5865397294 6800991.867338538 177.317, 254026.88912999618 6800991.656072624 177.327, 254027.13698540046 6800991.660978641 177.327, 254027.45481616465 6800991.895629258 177.347, 254027.5088529765 6800992.204718641 177.347, 254027.39835288387 6800992.469514057 177.357, 254025.50814785942 6800994.893361339 177.347, 254023.1486808016 6800998.065418516 177.347, 254021.73582008405 6801000.0086843725 177.347, 254021.54945640615 6801000.189421433 177.347, 254021.18615862567 6801000.226164807 177.337, 254020.86911064744 6801000.002634414 177.327, 254020.78595484878 6800999.662070273 177.317, 254020.86745978458 6800999.444014157 177.317))</t>
  </si>
  <si>
    <t>2025-06-19</t>
  </si>
  <si>
    <t>['EV18 S29D1 m3625-3771']</t>
  </si>
  <si>
    <t>LINESTRING (208649.29 6559264.07, 208567.43 6559274.67, 208567.34 6559273.67, 208649.19 6559262.84, 208649.29 6559264.07)</t>
  </si>
  <si>
    <t>POLYGON ((208649.29 6559264.07, 208567.43 6559274.67, 208567.34 6559273.67, 208649.19 6559262.84, 208649.29 6559264.07))</t>
  </si>
  <si>
    <t>LINESTRING (208491.2 6559336.27, 208631.99 6559315.87, 208631.96 6559316.98, 208631.33 6559317.73, 208491.34 6559337.82, 208491.2 6559336.27)</t>
  </si>
  <si>
    <t>POLYGON ((208491.2 6559336.27, 208631.99 6559315.87, 208631.96 6559316.98, 208631.33 6559317.73, 208491.34 6559337.82, 208491.2 6559336.27))</t>
  </si>
  <si>
    <t>LINESTRING (208656.03 6559270.89, 208659.8 6559270.36, 208659.34 6559269.99, 208656.15 6559266.53, 208653.75 6559262.28, 208650.97 6559258.64, 208649 6559257.53, 208635.32 6559259.18, 208631.63 6559261.39, 208562.62 6559270.92, 208561.14 6559272.07, 208556.18 6559276.26, 208549.53 6559280.74, 208542.6 6559285.41, 208540.31 6559286.91, 208547.86 6559285.93, 208656.03 6559270.89)</t>
  </si>
  <si>
    <t>POLYGON ((208656.03 6559270.89, 208659.8 6559270.36, 208659.34 6559269.99, 208656.15 6559266.53, 208653.75 6559262.28, 208650.97 6559258.64, 208649 6559257.53, 208635.32 6559259.18, 208631.63 6559261.39, 208562.62 6559270.92, 208561.14 6559272.07, 208556.18 6559276.26, 208549.53 6559280.74, 208542.6 6559285.41, 208540.31 6559286.91, 208547.86 6559285.93, 208656.03 6559270.89))</t>
  </si>
  <si>
    <t>LINESTRING (208487.09 6559335.1, 208485.97 6559335.3, 208481.64 6559336, 208481.83 6559336.41, 208487.7 6559339.88, 208494.9 6559342.7, 208518.08 6559339.92, 208521.74 6559336.29, 208619.78 6559322.42, 208623.28 6559324.71, 208640.39 6559321.95, 208650.35 6559314.98, 208662.37 6559309.02, 208589.15 6559319.57, 208487.09 6559335.1)</t>
  </si>
  <si>
    <t>POLYGON ((208487.09 6559335.1, 208485.97 6559335.3, 208481.64 6559336, 208481.83 6559336.41, 208487.7 6559339.88, 208494.9 6559342.7, 208518.08 6559339.92, 208521.74 6559336.29, 208619.78 6559322.42, 208623.28 6559324.71, 208640.39 6559321.95, 208650.35 6559314.98, 208662.37 6559309.02, 208589.15 6559319.57, 208487.09 6559335.1))</t>
  </si>
  <si>
    <t>['EV18 S33D1 m306-409']</t>
  </si>
  <si>
    <t>LINESTRING (220279.83022952557 6562626.173059989, 220281.79022942373 6562620.323059304, 220283.48022974248 6562615.5630595395, 220286.43022960488 6562608.923059962, 220287.32022949978 6562603.1730592735, 220288.00022922747 6562598.863059325, 220287.7802293349 6562596.403059906, 220278.19022953062 6562596.2030595355, 220265.73022940353 6562595.553059454, 220252.48022962827 6562593.913059245, 220240.95022946916 6562591.773059226, 220231.0802289169 6562588.413059566, 220217.19022966886 6562583.643060041, 220205.79022928135 6562579.003059368, 220198.26136680867 6562575.643567628, 220204.43602701713 6562581.323267122, 220235.48603498808 6562609.151833792, 220268.7191301558 6562638.456224903)</t>
  </si>
  <si>
    <t>POLYGON ((220279.83022952557 6562626.173059989, 220281.79022942373 6562620.323059304, 220283.48022974248 6562615.5630595395, 220286.43022960488 6562608.923059962, 220287.32022949978 6562603.1730592735, 220288.00022922747 6562598.863059325, 220287.7802293349 6562596.403059906, 220278.19022953062 6562596.2030595355, 220265.73022940353 6562595.553059454, 220252.48022962827 6562593.913059245, 220240.95022946916 6562591.773059226, 220231.0802289169 6562588.413059566, 220217.19022966886 6562583.643060041, 220205.79022928135 6562579.003059368, 220198.26136680867 6562575.643567628, 220204.43602701713 6562581.323267122, 220235.48603498808 6562609.151833792, 220268.7191301558 6562638.456224903, 220279.83022952557 6562626.173059989))</t>
  </si>
  <si>
    <t>['EV18 S28D1 m8139-8270']</t>
  </si>
  <si>
    <t>LINESTRING (203215.75153768447 6561349.016584056, 203208.4990710271 6561352.330052807, 203212.27024365036 6561360.803064035, 203217.09024400992 6561366.553064765, 203222.1092439911 6561365.563064263, 203230.07024322072 6561367.263064064, 203235.02024323505 6561368.433064966, 203238.0392430416 6561372.193064206, 203243.81124345592 6561370.6030644, 203249.52024360152 6561368.203064278, 203255.56124393246 6561363.62306424, 203276.85024321522 6561349.063064639, 203309.51024305966 6561326.483064165, 203327.6892429436 6561313.273064113, 203331.06256779254 6561311.258617859, 203311.59035364387 6561316.541907928, 203291.6857927767 6561321.880370231, 203274.8944911994 6561327.455918446, 203259.32873670856 6561332.643180327, 203240.2651631363 6561339.154991121, 203229.93389815063 6561342.636843093, 203225.85495262517 6561344.507853198)</t>
  </si>
  <si>
    <t>POLYGON ((203215.75153768447 6561349.016584056, 203208.4990710271 6561352.330052807, 203212.27024365036 6561360.803064035, 203217.09024400992 6561366.553064765, 203222.1092439911 6561365.563064263, 203230.07024322072 6561367.263064064, 203235.02024323505 6561368.433064966, 203238.0392430416 6561372.193064206, 203243.81124345592 6561370.6030644, 203249.52024360152 6561368.203064278, 203255.56124393246 6561363.62306424, 203276.85024321522 6561349.063064639, 203309.51024305966 6561326.483064165, 203327.6892429436 6561313.273064113, 203331.06256779254 6561311.258617859, 203311.59035364387 6561316.541907928, 203291.6857927767 6561321.880370231, 203274.8944911994 6561327.455918446, 203259.32873670856 6561332.643180327, 203240.2651631363 6561339.154991121, 203229.93389815063 6561342.636843093, 203225.85495262517 6561344.507853198, 203215.75153768447 6561349.016584056))</t>
  </si>
  <si>
    <t>['EV18 S40D1 m414-431']</t>
  </si>
  <si>
    <t>LINESTRING (237420.67136074416 6590859.224268345, 237423.61736367684 6590873.009677036, 237428.9734504727 6590882.944395505, 237433.35532704752 6590883.406908053, 237442.17778116424 6590884.447927099, 237448.41941362817 6590886.364191066, 237457.10226518905 6590888.928090143, 237458.58351456362 6590880.44360698, 237459.6347042732 6590877.919798496, 237460.38234418252 6590876.243098288, 237461.62991384004 6590873.290707242, 237462.48731270817 6590871.00062597, 237462.83781896974 6590869.626113512, 237456.14135007042 6590867.918484121, 237454.27521350508 6590870.318000725, 237426.63821373455 6590863.409001033, 237426.81889882887 6590859.71686499)</t>
  </si>
  <si>
    <t>POLYGON ((237420.67136074416 6590859.224268345, 237423.61736367684 6590873.009677036, 237428.9734504727 6590882.944395505, 237433.35532704752 6590883.406908053, 237442.17778116424 6590884.447927099, 237448.41941362817 6590886.364191066, 237457.10226518905 6590888.928090143, 237458.58351456362 6590880.44360698, 237459.6347042732 6590877.919798496, 237460.38234418252 6590876.243098288, 237461.62991384004 6590873.290707242, 237462.48731270817 6590871.00062597, 237462.83781896974 6590869.626113512, 237456.14135007042 6590867.918484121, 237454.27521350508 6590870.318000725, 237426.63821373455 6590863.409001033, 237426.81889882887 6590859.71686499, 237420.67136074416 6590859.224268345))</t>
  </si>
  <si>
    <t>['EV18 S34D1 m400-505']</t>
  </si>
  <si>
    <t>LINESTRING (224730.69684925443 6567096.26783255, 224735.00222514762 6567089.494050252, 224739.17522550008 6567084.22305041, 224741.59122547676 6567079.392050061, 224745.10522560863 6567074.560049859, 224747.960225539 6567070.607049917, 224749.49722551787 6567065.995050144, 224751.69322573429 6567061.603050217, 224752.3522257909 6567056.551050219, 224751.47422526812 6567052.379050516, 224749.9362256899 6567049.743050002, 224751.25422562595 6567044.692050297, 224753.01122582238 6567041.17805025, 224739.83422559057 6567040.959050473, 224707.55022546236 6567038.762050452, 224692.83622541255 6567036.786050568, 224682.29422594595 6567035.02905026, 224670.43522550643 6567032.393050338, 224655.7202258769 6567026.903050012, 224644.08054400852 6567022.323119131, 224645.46525861492 6567023.562085474, 224657.75432867237 6567034.232516665)</t>
  </si>
  <si>
    <t>POLYGON ((224646.52963433723 6567023.8240899015, 224655.53715043323 6567027.368327759, 224655.54544937302 6567027.371508307, 224670.26044900256 6567032.861508633, 224670.3267341374 6567032.881138058, 224682.18573457692 6567035.51713798, 224682.21202643422 6567035.5222472185, 224692.75402590082 6567037.279247527, 224692.76967590518 6567037.281601941, 224707.48367595498 6567039.257601825, 224707.51627783605 6567039.260896679, 224739.80027796427 6567041.4578967, 224739.82591681264 6567041.458981432, 224752.20884201754 6567041.664783801, 224750.80701203924 6567044.468443481, 224750.78617992712 6567044.516171862, 224750.7704251284 6567044.565808155, 224749.45242519234 6567049.616807859, 224749.4424003296 6567049.6647141, 224749.43710731287 6567049.7133709565, 224749.4365968599 6567049.762312198, 224749.4408738618 6567049.811068869, 224749.44989733628 6567049.859173782, 224749.4635808202 6567049.906165995, 224749.48179319807 6567049.951595225, 224749.50435995852 6567049.995026171, 224751.00159948456 6567052.561167421, 224751.8454197908 6567056.57075281, 224751.20832603122 6567061.454815626, 224749.05001193268 6567065.771443326, 224749.02287358636 6567065.8369671125, 224747.51007353637 6567070.376351356, 224744.70036847997 6567074.266636538, 224741.18685019633 6567079.097974165, 224741.1639864422 6567079.132306327, 224741.14403038903 6567079.168406252, 224738.75113885416 6567083.953199278, 224734.61020677697 6567089.183693043, 224734.58024737993 6567089.225843684, 224730.27487148673 6567095.999625982, 224731.11882702212 6567096.536039119, 224735.41031454373 6567089.784107829, 224739.56724387073 6567084.533407619, 224739.59706624073 6567084.491472446, 224739.6224205878 6567084.4466942195, 224742.0199233261 6567079.652680695, 224745.50960088905 6567074.854125755, 224745.5105625203 6567074.852798877, 224748.36556245066 6567070.899798935, 224748.3930816785 6567070.857320895, 224748.41616553004 6567070.812278386, 224748.4345774705 6567070.765132949, 224749.96033766348 6567066.186859845, 224752.14043931948 6567061.826657035, 224752.16251040145 6567061.7755955765, 224752.17877285575 6567061.722398417, 224752.1890253919 6567061.667724011, 224752.84802544853 6567056.615724012, 224752.85215068705 6567056.559716142, 224752.84996907483 6567056.503598946, 224752.84150813424 6567056.448080376, 224751.96350761145 6567052.276080673, 224751.94972578165 6567052.224456655, 224751.9305137779 6567052.174598087, 224751.9060909995 6567052.127074346, 224750.47217083198 6567049.669457093, 224751.72482382564 6567044.868887891, 224753.4584394091 6567041.401657065, 224753.47782914984 6567041.357720322, 224753.492914196 6567041.312126014, 224753.5035553789 6567041.265294778, 224753.50965452733 6567041.217658659, 224753.51115537292 6567041.169657129, 224753.50804406955 6567041.121733029, 224753.50034932076 6567041.0743284905, 224753.4881421153 6567041.0278808465, 224753.47153507188 6567040.982818605, 224753.4506814004 6567040.939557494, 224753.4257734885 6567040.898496619, 224753.39704112653 6567040.860014794, 224753.3647493877 6567040.824467037, 224753.3291961826 6567040.792181295, 224753.29070951082 6567040.763455426, 224753.24964443492 6567040.738554442, 224753.2063798048 6567040.717708069, 224753.1613147625 6567040.701108629, 224753.11486505996 6567040.68890926, 224753.0674592235 6567040.681222509, 224753.01953460032 6567040.678119291, 224739.85536771678 6567040.459332802, 224707.6005280451 6567038.264317216, 224692.9106185451 6567036.291552546, 224682.38963983342 6567034.538055697, 224670.57753957028 6567031.912480673, 224655.89916597563 6567026.436145107, 224644.2636194522 6567021.857841384, 224644.21648558314 6567021.841953995, 224644.1680064305 6567021.830828236, 224644.11866174595 6567021.82457421, 224644.06893984665 6567021.823253806, 224644.01933278263 6567021.82688009, 224643.97033146754 6567021.835417177, 224643.92242082048 6567021.848780584, 224643.8760749673 6567021.866838065, 224643.8317525485 6567021.889410923, 224643.7898921807 6567021.916275777, 224643.75090811585 6567021.947166769, 224643.71518614198 6567021.981778203, 224643.68307976524 6567022.01976756, 224643.65490671172 6567022.060758898, 224643.63094578317 6567022.104346565, 224643.61143409795 6567022.150099213, 224643.5965647446 6567022.197564075, 224643.58648487082 6567022.246271434, 224643.58129422745 6567022.295739282, 224643.5810441814 6567022.345478082, 224643.5857372071 6567022.394995617, 224643.59532686212 6567022.443801858, 224643.60971824688 6567022.49141382, 224643.6287689436 6567022.537360328, 224643.6522904258 6567022.581186698, 224643.6800499238 6567022.622459219, 224643.71177272848 6567022.660769457, 224643.7471449096 6567022.695738294, 224645.131859516 6567023.934704637, 224645.13744429022 6567023.939627218, 224657.42651434767 6567034.610058409, 224658.08214299707 6567033.854974921, 224646.52963433723 6567023.8240899015))</t>
  </si>
  <si>
    <t>['EV18 S30D1 m306-410']</t>
  </si>
  <si>
    <t>LINESTRING (211471.96967356652 6558109.256573421, 211458.74505702028 6558111.624132056, 211440.68562978285 6558115.345203262, 211417.15791591618 6558120.411300421, 211404.09128076257 6558123.6688666195, 211382.56138659734 6558128.889141408, 211364.43692839338 6558133.526110025, 211445.0802370885 6558121.733069444, 211452.51023725048 6558119.9420695165, 211458.5512370683 6558118.5540694, 211463.94923664472 6558116.103070114, 211468.1992368265 6558113.474069661, 211471.5512367749 6558110.083070246)</t>
  </si>
  <si>
    <t>POLYGON ((211471.96967356652 6558109.256573421, 211458.74505702028 6558111.624132056, 211440.68562978285 6558115.345203262, 211417.15791591618 6558120.411300421, 211404.09128076257 6558123.6688666195, 211382.56138659734 6558128.889141408, 211364.43692839338 6558133.526110025, 211445.0802370885 6558121.733069444, 211452.51023725048 6558119.9420695165, 211458.5512370683 6558118.5540694, 211463.94923664472 6558116.103070114, 211468.1992368265 6558113.474069661, 211471.5512367749 6558110.083070246, 211471.96967356652 6558109.256573421))</t>
  </si>
  <si>
    <t>['EV18 S34D1 m528-682']</t>
  </si>
  <si>
    <t>LINESTRING (224696.78922520828 6567157.792049908, 224695.69022551534 6567163.063050286, 224691.07922513026 6567169.432050222, 224689.98022577004 6567173.605049603, 224691.7372250767 6567181.730050155, 224691.51822598279 6567187.880049763, 224687.56522509467 6567197.982049959, 224720.72722591105 6567199.959050189, 224739.83422525466 6567203.253050088, 224763.1132259455 6567208.524049653, 224785.73422552797 6567214.893050213, 224807.25622583472 6567224.556050204, 224812.06508491805 6567226.65986912, 224791.62208933663 6567209.466329553, 224709.3606453482 6567140.812082111)</t>
  </si>
  <si>
    <t>POLYGON ((224695.22256149817 6567162.856390778, 224690.67422283563 6567169.138838453, 224690.6489265758 6567169.177407032, 224690.62729204676 6567169.218142559, 224690.6095033526 6567169.260698386, 224690.59571187053 6567169.304712373, 224689.4967125103 6567173.477711754, 224689.48688716328 6567173.523704541, 224689.48142662735 6567173.570417028, 224689.4803792146 6567173.617435927, 224689.48375419204 6567173.6643452365, 224689.49152169953 6567173.71072993, 224691.23531893804 6567181.774679341, 224691.0215732373 6567187.777151554, 224687.09960439758 6567197.799848515, 224687.0838527395 6567197.846843984, 224687.07283141 6567197.895168089, 224687.0666487128 6567197.944345961, 224687.06536540375 6567197.993894341, 224687.06899409363 6567198.043326329, 224687.07749912416 6567198.09215617, 224687.09079691852 6567198.139904023, 224687.10875680254 6567198.186100683, 224687.1312022888 6567198.230292187, 224687.157912811 6567198.272044275, 224687.1886258914 6567198.31094666, 224687.22303972003 6567198.346617057, 224687.2608161207 6567198.378704943, 224687.30158387384 6567198.406894997, 224687.34494236478 6567198.430910203, 224687.39046552026 6567198.450514569, 224687.4377059953 6567198.465515448, 224687.48619956936 6567198.475765429, 224687.53546970792 6567198.48116379, 224720.6696978005 6567200.45650831, 224739.7364772456 6567203.743574397, 224762.99018040535 6567209.008845912, 224785.56314393788 6567215.364321799, 224807.051429556 6567225.012184487, 224807.0558209697 6567225.014130862, 224811.86468005303 6567227.117949779, 224811.9106702717 6567227.135427862, 224811.95815558473 6567227.148301426, 224812.0066762233 6567227.1564458255, 224812.0557623944 6567227.159782204, 224812.1049388293 6567227.158278256, 224812.1537293853 6567227.151948543, 224812.2016616559 6567227.140854354, 224812.24827154487 6567227.125103104, 224812.29310775964 6567227.104847304, 224812.335736181 6567227.080283076, 224812.37574406635 6567227.051648259, 224812.4127440459 6567227.019220106, 224812.4463778735 6567226.983312597, 224812.4763198952 6567226.944273399, 224812.50228020232 6567226.902480504, 224812.5240074385 6567226.858338565, 224812.54129123333 6567226.812274978, 224812.55396423937 6567226.764735746, 224812.56190375233 6567226.716181161, 224812.56503289918 6567226.667081344, 224812.56332138248 6567226.6179116955, 224812.5567857737 6567226.569148293, 224812.5454893528 6567226.52126328, 224812.5295414955 6567226.474720295, 224812.50909661426 6567226.429969982, 224812.48435266333 6567226.3874456305, 224812.45554922184 6567226.347558974, 224812.4229651744 6567226.310696209, 224812.38691601082 6567226.277214252, 224791.9439204294 6567209.083674685, 224791.94246523335 6567209.082455505, 224709.68102124493 6567140.428208062, 224709.04026945148 6567141.195956159, 224791.30098467972 6567209.849595388, 224809.09381352135 6567224.814217647, 224807.45883109 6567224.09893219, 224785.93902180667 6567214.43691593, 224785.90484169332 6567214.42306072, 224785.86973325946 6567214.411762716, 224763.248733677 6567208.042762156, 224763.22364439967 6567208.036394278, 224739.94464370882 6567202.765394713, 224739.91917094108 6567202.76031869, 224720.81217159747 6567199.466318791, 224720.7569812978 6567199.459936357, 224688.2814364673 6567197.523860185, 224691.98384667988 6567188.062251207, 224692.00135330926 6567188.00884412, 224692.01275552996 6567187.953809692, 224692.01790927286 6567187.897843291, 224692.2369083668 6567181.747843683, 224692.23666682173 6567181.706429332, 224692.23299869307 6567181.665177038, 224692.22592914721 6567181.624369828, 224690.49425898885 6567173.616500422, 224691.53896612424 6567169.649653501, 224696.09522780997 6567163.356262054, 224696.12379535826 6567163.312082796, 224696.1475625743 6567163.265146338, 224696.16626631608 6567163.215972344, 224696.17969950242 6567163.165105252, 224697.27869919536 6567157.894104874, 224696.2997512212 6567157.689994942, 224695.22256149817 6567162.856390778))</t>
  </si>
  <si>
    <t>['EV18 S35D1 m4895-5006']</t>
  </si>
  <si>
    <t>LINESTRING (228331.150221914 6573059.9130377285, 228331.17022208276 6573059.993037556, 228331.18022256374 6573060.093038156, 228331.21022264106 6573060.183037806, 228331.2402217657 6573060.283037412, 228331.27022193267 6573060.3730380535, 228331.31022183172 6573060.4530377975, 228331.35022177437 6573060.543037406, 228331.41022253368 6573060.633037831, 228331.4602222538 6573060.703037662, 228331.51022201782 6573060.78303736, 228331.5902224194 6573060.853037968, 228331.6602219133 6573060.933037577, 228331.74022231513 6573061.003038185, 228331.88022221165 6573061.143037584, 228332.1102222008 6573061.31303809, 228332.3502219203 6573061.47303769, 228332.56022191368 6573061.603037824, 228332.75022191246 6573061.693037586, 228332.92022213765 6573061.773037578, 228333.0902223189 6573061.843037702, 228333.24022272637 6573061.903038046, 228333.4402223237 6573061.9530373085, 228333.81022201607 6573062.033038235, 228334.5202224868 6573062.183037269, 228335.27022272308 6573062.363037714, 228336.2902226863 6573062.59303802, 228337.3702221812 6573062.8830382405, 228338.54022257123 6573063.203037474, 228339.7402219022 6573063.563038109, 228340.940222217 6573063.943037379, 228342.14022265474 6573064.333037499, 228343.33022235404 6573064.753037343, 228343.9602223995 6573064.983037784, 228345.22022248048 6573065.463037391, 228346.47022191214 6573065.97303771, 228348.0002223 6573066.603037777, 228350.31022221438 6573067.553038247, 228352.6302219103 6573068.513037506, 228354.4802217774 6573069.2730380185, 228356.33022252773 6573070.0330374185, 228357.26022241695 6573070.413038128, 228360.03022218938 6573071.563038188, 228360.95022210234 6573071.94303792, 228361.88022187224 6573072.323037603, 228364.20022242703 6573073.273037716, 228366.50022226898 6573074.233037833, 228368.8202227502 6573075.183037873, 228371.14022219798 6573076.133037961, 228373.4402219311 6573077.093037964, 228375.76022230234 6573078.043037893, 228378.0702218244 6573079.003037777, 228380.39022212167 6573079.953037621, 228382.70022252214 6573080.903037484, 228385.01022202405 6573081.863038246, 228386.99022197683 6573082.673037864, 228388.9702219483 6573083.493037314, 228389.64022250217 6573083.763037727, 228392.31022174808 6573084.8630374, 228394.27022197255 6573085.673038005, 228396.58022215345 6573086.623037638, 228398.89022243413 6573087.583038087, 228401.21022240096 6573088.5330376, 228403.51022270357 6573089.483038161, 228404.63022206334 6573089.94303737, 228406.39022245165 6573090.683037905, 228408.14022187417 6573091.423037559, 228410.44022225356 6573092.41303744, 228412.73022192583 6573093.423038135, 228415.02022256382 6573094.453037418, 228417.2902226381 6573095.503037556, 228419.5602217762 6573096.57303746, 228421.82022225152 6573097.6730378475, 228424.07022175082 6573098.773037331, 228426.30022178305 6573099.913037291, 228428.54022173188 6573101.053038161, 228430.75022208545 6573102.213037845, 228432.9702224512 6573103.393038147, 228435.1702220841 6573104.593037307, 228438.4502226829 6573106.433037927, 228436.47956792824 6573104.79467439, 228411.43055072136 6573084.418519434, 228396.75378880545 6573073.2463431675, 228373.7671305979 6573056.257746933, 228349.8540519328 6573040.995483737, 228341.78564396407 6573035.987530335, 228346.00809084298 6573029.184666706, 228345.14022182213 6573028.693037457, 228343.4202221476 6573027.673037998, 228339.97022188298 6573025.653037856, 228338.2402223788 6573024.653038077, 228332.95022270625 6573021.593037973, 228332.2002220762 6573023.233037479, 228331.5502227372 6573024.783037548, 228331.03022249852 6573026.473038203, 228330.6302218102 6573027.82303772, 228330.32022204448 6573029.1830375595, 228330.0502226263 6573030.513037557, 228329.84022235422 6573032.203037615, 228329.6902220857 6573033.843038019, 228329.59022198827 6573035.4630374005, 228329.61022244324 6573036.90303745, 228329.72022267838 6573038.143037649, 228329.86022264714 6573039.413037313, 228330.10022215632 6573040.633038138, 228330.3202225539 6573041.803037632, 228330.6602224193 6573043.143038311, 228331.03022214706 6573044.5430380395, 228331.4502220421 6573045.903037999, 228331.78022196604 6573046.873037538, 228331.9902226575 6573047.683037748, 228332.15022212174 6573048.513038078, 228332.2602220063 6573049.303038166, 228332.3302224796 6573049.933037503, 228332.39022253122 6573050.623038156, 228332.42022186285 6573051.303038165, 228332.41022260586 6573052.143038174, 228332.36022241786 6573052.913037397, 228332.2802221257 6573053.753037895, 228332.20022222394 6573054.493037658, 228332.14022240147 6573055.1030380055, 228332.07022236788 6573055.653038211, 228332.00022267742 6573056.093037822, 228331.89022219204 6573056.643038294, 228331.77022223483 6573057.283037593, 228331.62022251228 6573057.8830375625, 228331.46022201772 6573058.503037399, 228331.38022272644 6573058.7930379985, 228331.30022195418 6573059.013037636, 228331.2502227734 6573059.213038231, 228331.1902217756 6573059.4430376515, 228331.18022239284 6573059.533037475, 228331.17022201332 6573059.623037393, 228331.16022272053 6573059.713038209, 228331.16022220603 6573059.803038084)</t>
  </si>
  <si>
    <t>POLYGON ((228331.150221914 6573059.9130377285, 228331.17022208276 6573059.993037556, 228331.18022256374 6573060.093038156, 228331.21022264106 6573060.183037806, 228331.2402217657 6573060.283037412, 228331.27022193267 6573060.3730380535, 228331.31022183172 6573060.4530377975, 228331.35022177437 6573060.543037406, 228331.41022253368 6573060.633037831, 228331.4602222538 6573060.703037662, 228331.51022201782 6573060.78303736, 228331.5902224194 6573060.853037968, 228331.6602219133 6573060.933037577, 228331.74022231513 6573061.003038185, 228331.88022221165 6573061.143037584, 228332.1102222008 6573061.31303809, 228332.3502219203 6573061.47303769, 228332.56022191368 6573061.603037824, 228332.75022191246 6573061.693037586, 228332.92022213765 6573061.773037578, 228333.0902223189 6573061.843037702, 228333.24022272637 6573061.903038046, 228333.4402223237 6573061.9530373085, 228333.81022201607 6573062.033038235, 228334.5202224868 6573062.183037269, 228335.27022272308 6573062.363037714, 228336.2902226863 6573062.59303802, 228337.3702221812 6573062.8830382405, 228338.54022257123 6573063.203037474, 228339.7402219022 6573063.563038109, 228340.940222217 6573063.943037379, 228342.14022265474 6573064.333037499, 228343.33022235404 6573064.753037343, 228343.9602223995 6573064.983037784, 228345.22022248048 6573065.463037391, 228346.47022191214 6573065.97303771, 228348.0002223 6573066.603037777, 228350.31022221438 6573067.553038247, 228352.6302219103 6573068.513037506, 228354.4802217774 6573069.2730380185, 228356.33022252773 6573070.0330374185, 228357.26022241695 6573070.413038128, 228360.03022218938 6573071.563038188, 228360.95022210234 6573071.94303792, 228361.88022187224 6573072.323037603, 228364.20022242703 6573073.273037716, 228366.50022226898 6573074.233037833, 228368.8202227502 6573075.183037873, 228371.14022219798 6573076.133037961, 228373.4402219311 6573077.093037964, 228375.76022230234 6573078.043037893, 228378.0702218244 6573079.003037777, 228380.39022212167 6573079.953037621, 228382.70022252214 6573080.903037484, 228385.01022202405 6573081.863038246, 228386.99022197683 6573082.673037864, 228388.9702219483 6573083.493037314, 228389.64022250217 6573083.763037727, 228392.31022174808 6573084.8630374, 228394.27022197255 6573085.673038005, 228396.58022215345 6573086.623037638, 228398.89022243413 6573087.583038087, 228401.21022240096 6573088.5330376, 228403.51022270357 6573089.483038161, 228404.63022206334 6573089.94303737, 228406.39022245165 6573090.683037905, 228408.14022187417 6573091.423037559, 228410.44022225356 6573092.41303744, 228412.73022192583 6573093.423038135, 228415.02022256382 6573094.453037418, 228417.2902226381 6573095.503037556, 228419.5602217762 6573096.57303746, 228421.82022225152 6573097.6730378475, 228424.07022175082 6573098.773037331, 228426.30022178305 6573099.913037291, 228428.54022173188 6573101.053038161, 228430.75022208545 6573102.213037845, 228432.9702224512 6573103.393038147, 228435.1702220841 6573104.593037307, 228438.4502226829 6573106.433037927, 228436.47956792824 6573104.79467439, 228411.43055072136 6573084.418519434, 228396.75378880545 6573073.2463431675, 228373.7671305979 6573056.257746933, 228349.8540519328 6573040.995483737, 228341.78564396407 6573035.987530335, 228346.00809084298 6573029.184666706, 228345.14022182213 6573028.693037457, 228343.4202221476 6573027.673037998, 228339.97022188298 6573025.653037856, 228338.2402223788 6573024.653038077, 228332.95022270625 6573021.593037973, 228332.2002220762 6573023.233037479, 228331.5502227372 6573024.783037548, 228331.03022249852 6573026.473038203, 228330.6302218102 6573027.82303772, 228330.32022204448 6573029.1830375595, 228330.0502226263 6573030.513037557, 228329.84022235422 6573032.203037615, 228329.6902220857 6573033.843038019, 228329.59022198827 6573035.4630374005, 228329.61022244324 6573036.90303745, 228329.72022267838 6573038.143037649, 228329.86022264714 6573039.413037313, 228330.10022215632 6573040.633038138, 228330.3202225539 6573041.803037632, 228330.6602224193 6573043.143038311, 228331.03022214706 6573044.5430380395, 228331.4502220421 6573045.903037999, 228331.78022196604 6573046.873037538, 228331.9902226575 6573047.683037748, 228332.15022212174 6573048.513038078, 228332.2602220063 6573049.303038166, 228332.3302224796 6573049.933037503, 228332.39022253122 6573050.623038156, 228332.42022186285 6573051.303038165, 228332.41022260586 6573052.143038174, 228332.36022241786 6573052.913037397, 228332.2802221257 6573053.753037895, 228332.20022222394 6573054.493037658, 228332.14022240147 6573055.1030380055, 228332.07022236788 6573055.653038211, 228332.00022267742 6573056.093037822, 228331.89022219204 6573056.643038294, 228331.77022223483 6573057.283037593, 228331.62022251228 6573057.8830375625, 228331.46022201772 6573058.503037399, 228331.38022272644 6573058.7930379985, 228331.30022195418 6573059.013037636, 228331.2502227734 6573059.213038231, 228331.1902217756 6573059.4430376515, 228331.18022239284 6573059.533037475, 228331.17022201332 6573059.623037393, 228331.16022272053 6573059.713038209, 228331.16022220603 6573059.803038084, 228331.150221914 6573059.9130377285))</t>
  </si>
  <si>
    <t>['EV18 S37D1 m419-508']</t>
  </si>
  <si>
    <t>LINESTRING (232797.61121783877 6580653.51902212, 232810.75221790338 6580654.188022473, 232825.23021821148 6580657.306021985, 232835.47521825117 6580663.097021723, 232847.28021808068 6580669.334022483, 232861.31099678908 6580679.824786454, 232859.69667242945 6580677.344957217, 232856.65014190524 6580672.560642556, 232853.22396231006 6580667.650800264, 232846.85135088832 6580658.472305363, 232827.7459401454 6580628.8137871735, 232832.83153218107 6580625.759646551, 232819.66121832607 6580604.518022565, 232811.19721811585 6580607.636022435, 232797.3882181206 6580608.304022156, 232796.2742180786 6580616.32302167, 232794.04721844697 6580628.350022173, 232791.37421855296 6580635.478022361, 232789.14721825527 6580641.937022547, 232785.80621827726 6580655.970022565)</t>
  </si>
  <si>
    <t>POLYGON ((232797.61121783877 6580653.51902212, 232810.75221790338 6580654.188022473, 232825.23021821148 6580657.306021985, 232835.47521825117 6580663.097021723, 232847.28021808068 6580669.334022483, 232861.31099678908 6580679.824786454, 232859.69667242945 6580677.344957217, 232856.65014190524 6580672.560642556, 232853.22396231006 6580667.650800264, 232846.85135088832 6580658.472305363, 232827.7459401454 6580628.8137871735, 232832.83153218107 6580625.759646551, 232819.66121832607 6580604.518022565, 232811.19721811585 6580607.636022435, 232797.3882181206 6580608.304022156, 232796.2742180786 6580616.32302167, 232794.04721844697 6580628.350022173, 232791.37421855296 6580635.478022361, 232789.14721825527 6580641.937022547, 232785.80621827726 6580655.970022565, 232797.61121783877 6580653.51902212))</t>
  </si>
  <si>
    <t>['EV18 S37D1 m489-540']</t>
  </si>
  <si>
    <t>LINESTRING (232921.22132024867 6580694.150241064, 232921.22821779584 6580694.057021511, 232922.7872183004 6580686.930021568, 232924.79221841687 6580680.248022234, 232929.24721810484 6580672.675021747, 232934.81521775795 6580666.438022215, 232940.3832182347 6580663.320021538, 232939.4922179606 6580661.092022328, 232934.81521791505 6580661.538021941, 232926.79721806664 6580661.315021837, 232918.55521825398 6580660.870022231, 232909.4232178718 6580658.420021672, 232898.7322186262 6580654.63302219, 232892.85588281677 6580651.275424423, 232896.99909101723 6580657.605187864)</t>
  </si>
  <si>
    <t>POLYGON ((232921.72424003555 6580694.129253355, 232923.27159816702 6580687.055476738, 232925.25377880392 6580680.449527149, 232929.6531203981 6580672.971139188, 232935.13250058363 6580666.833406827, 232940.62751517195 6580663.7562772045, 232940.66822705028 6580663.730837768, 232940.70631157837 6580663.701611227, 232940.74141767438 6580663.668867007, 232940.77322171323 6580663.632906959, 232940.80143050977 6580663.594062581, 232940.82578402155 6580663.552691958, 232940.84605774604 6580663.509176466, 232940.86206479013 6580663.463917252, 232940.8736575931 6580663.417331536, 232940.88072928682 6580663.36984877, 232940.88321468094 6580663.321906672, 232940.88109086396 6580663.273947196, 232940.8743774142 6580663.226412456, 232940.86313621956 6580663.179740649, 232940.84747090685 6580663.1343620205, 232939.95647063275 6580660.90636281, 232939.93587481382 6580660.861439161, 232939.91094478345 6580660.8187681455, 232939.88192409015 6580660.778766629, 232939.8490962455 6580660.741825398, 232939.81278195416 6580660.708305341, 232939.77333598086 6580660.678533926, 232939.73114368468 6580660.652801998, 232939.6866172543 6580660.63136094, 232939.64019168128 6580660.614420215, 232939.5923205104 6580660.6021453235, 232939.54347140886 6580660.594656181, 232939.4941215976 6580660.5920259515, 232939.4447531892 6580660.59428033, 232934.79837243966 6580661.037360081, 232926.81765025918 6580660.815396761, 232918.63433154533 6580660.373565447, 232909.5716999915 6580657.94217567, 232898.94138332416 6580654.1766713625, 232893.10393510966 6580650.841293037, 232893.05987125507 6580650.818928292, 232893.01381500048 6580650.801022246, 232892.9662161875 6580650.78774979, 232892.91753972415 6580650.77924056, 232892.8682610442 6580650.775577666, 232892.81886146337 6580650.776796887, 232892.76982347827 6580650.782886312, 232892.72162605368 6580650.793786466, 232892.6747399445 6580650.809390883, 232892.62962309763 6580650.829547153, 232892.58671617933 6580650.854058404, 232892.54643827086 6580650.882685231, 232892.50918277545 6580650.915148027, 232892.47531357573 6580650.951129722, 232892.44516147964 6580650.990278875, 232892.41902098936 6580651.032213108, 232892.39714742478 6580651.076522838, 232892.37975442986 6580651.1227752855, 232892.3670118858 6580651.17051869, 232892.35904425185 6580651.219286731, 232892.35592934964 6580651.268603082, 232892.35769760306 6580651.317986059, 232892.36433174126 6580651.366953326, 232892.3757669671 6580651.415026611, 232892.39189159026 6580651.46173637, 232892.41254811795 6580651.50662638, 232892.43753479345 6580651.549258188, 232896.58074299392 6580657.87902163, 232897.41743904055 6580657.331354098, 232894.41263145118 6580652.740775902, 232898.4841663333 6580655.067153576, 232898.52388806167 6580655.08755313, 232898.56527139933 6580655.1043274235, 232909.25627064495 6580658.891326905, 232909.29365597267 6580658.90294373, 232918.42565635484 6580661.352944289, 232918.47653314666 6580661.36379207, 232918.5282616645 6580661.369295044, 232926.77026147716 6580661.81429465, 232926.7833172242 6580661.814828566, 232934.80131707262 6580662.03782867, 232934.86268268645 6580662.035763938, 232939.1669834376 6580661.625305001, 232939.75600665127 6580663.0981926, 232934.5709208207 6580666.0017665485, 232934.5242983465 6580666.031370157, 232934.48122512255 6580666.065934968, 232934.4422266472 6580666.1050392855, 232928.87422699408 6580672.342038818, 232928.84328400018 6580672.380340158, 232928.81625829713 6580672.421499275, 232924.36125860916 6580679.994499762, 232924.33398394295 6580680.047969324, 232924.3133131716 6580680.10432197, 232922.3083130551 6580686.786321304, 232922.298767852 6580686.823175139, 232920.73976734743 6580693.950175081, 232920.72958092342 6580694.020126126, 232920.72268337625 6580694.113345679, 232921.7199571211 6580694.187136449, 232921.72424003555 6580694.129253355))</t>
  </si>
  <si>
    <t>['EV18 S43D1 m7717-7807']</t>
  </si>
  <si>
    <t>LINESTRING (227922.7002205107 6613814.432957232, 227929.22022063518 6613809.072957116, 227934.18022037478 6613802.422956674, 227934.21021969116 6613799.23295664, 227933.68021983874 6613793.392957197, 227935.87022043258 6613789.3829567935, 227940.2602202706 6613785.162957119, 227946.54021998018 6613782.522956504, 227920.84357603884 6613708.638952019, 227918.66149311996 6613735.627522936, 227912.12349962536 6613810.826483906, 227910.50560353458 6613823.8016316565)</t>
  </si>
  <si>
    <t>POLYGON ((227922.7002205107 6613814.432957232, 227929.22022063518 6613809.072957116, 227934.18022037478 6613802.422956674, 227934.21021969116 6613799.23295664, 227933.68021983874 6613793.392957197, 227935.87022043258 6613789.3829567935, 227940.2602202706 6613785.162957119, 227946.54021998018 6613782.522956504, 227920.84357603884 6613708.638952019, 227918.66149311996 6613735.627522936, 227912.12349962536 6613810.826483906, 227910.50560353458 6613823.8016316565, 227922.7002205107 6613814.432957232))</t>
  </si>
  <si>
    <t>['EV18 S40D1 m507-526']</t>
  </si>
  <si>
    <t>LINESTRING (237399.18539240822 6590973.914850149, 237401.68821410375 6590968.9670006065, 237418.96121433686 6590972.038000547, 237429.3252134822 6590975.493000872, 237429.5172139468 6590978.75550142, 237436.82226468326 6590978.813016462, 237436.65459325776 6590967.997360389, 237431.32480245834 6590960.65967861, 237430.226987965 6590959.686934766, 237422.24257455883 6590958.8143075835, 237413.012329104 6590956.985284173, 237404.49738589412 6590949.863362395, 237394.22088341333 6590968.287900837, 237392.97137078876 6590971.5069700135)</t>
  </si>
  <si>
    <t>POLYGON ((237399.18539240822 6590973.914850149, 237401.68821410375 6590968.9670006065, 237418.96121433686 6590972.038000547, 237429.3252134822 6590975.493000872, 237429.5172139468 6590978.75550142, 237436.82226468326 6590978.813016462, 237436.65459325776 6590967.997360389, 237431.32480245834 6590960.65967861, 237430.226987965 6590959.686934766, 237422.24257455883 6590958.8143075835, 237413.012329104 6590956.985284173, 237404.49738589412 6590949.863362395, 237394.22088341333 6590968.287900837, 237392.97137078876 6590971.5069700135, 237399.18539240822 6590973.914850149))</t>
  </si>
  <si>
    <t>['EV18 S33D1 m424-540']</t>
  </si>
  <si>
    <t>LINESTRING (220236.59022968618 6562696.67305984, 220231.7902296011 6562702.413059001, 220229.49022935925 6562708.283059801, 220227.48022978922 6562713.433059732, 220226.19022927765 6562718.863058997, 220226.92022935953 6562726.933059568, 220237.56022890558 6562727.043059299, 220247.97022941703 6562728.583059092, 220260.46022916265 6562729.583059111, 220277.77022903826 6562732.983058972, 220291.4702293459 6562735.653059906, 220304.56022931682 6562739.423059639, 220316.28022903088 6562743.68305906, 220329.4402296415 6562748.1630595075, 220330.84073314734 6562748.845739547, 220322.27659085928 6562741.485998461, 220286.17912519665 6562711.24767324, 220249.67103872675 6562680.356278463)</t>
  </si>
  <si>
    <t>POLYGON ((220231.40666727663 6562702.092309966, 220231.37441984718 6562702.135386084, 220231.34698824078 6562702.181678154, 220231.32469016488 6562702.230650028, 220229.02468992304 6562708.100650828, 220229.0244480083 6562708.101269446, 220227.01444843828 6562713.251269378, 220226.9937690816 6562713.317491657, 220225.70376857003 6562718.747490922, 220225.6941570369 6562718.800510361, 220225.69030677248 6562718.854256225, 220225.69226249287 6562718.908104322, 220226.42226257475 6562726.978104892, 220226.4290608079 6562727.026619462, 220226.4405740223 6562727.074235902, 220226.4566916967 6562727.120497118, 220226.47725910918 6562727.164959023, 220226.50207882252 6562727.207194805, 220226.53091257942 6562727.246799021, 220226.5634835897 6562727.28339149, 220226.59947918737 6562727.316620941, 220226.63855383208 6562727.346168388, 220226.68033242604 6562727.371750189, 220226.7244139149 6562727.393120772, 220226.77037513762 6562727.410074989, 220226.81777488865 6562727.422450088, 220226.8661581532 6562727.430127274, 220226.91506047524 6562727.43303285, 220237.5208758554 6562727.542679174, 220247.89705841948 6562729.077676121, 220247.93032508396 6562729.081464193, 220260.39187103664 6562730.079186086, 220277.67386126265 6562733.473684341, 220277.67458324812 6562733.4738256, 220291.35299078797 6562736.139618307, 220304.4054566203 6562739.898807979, 220316.1094219048 6562744.152979187, 220316.11909712426 6562744.156384011, 220329.24937179734 6562748.626264989, 220330.62164898682 6562749.295186019, 220330.66737464297 6562749.314724439, 220330.714814874 6562749.329624439, 220330.76350047984 6562749.339738651, 220330.81294994315 6562749.344967044, 220330.86267419189 6562749.345257905, 220330.91218143617 6562749.34060836, 220330.96098203244 6562749.331064393, 220331.00859332609 6562749.316720396, 220331.05454442516 6562749.297718239, 220331.09838085758 6562749.274245857, 220331.139669066 6562749.246535401, 220331.17800069595 6562749.214860938, 220331.21299663448 6562749.179535736, 220331.2443107598 6562749.140909177, 220331.27163336446 6562749.09936329, 220331.2946942186 6562749.055308976, 220331.3132652425 6562749.00918195, 220331.32716276232 6562748.961438422, 220331.33624932688 6562748.912550593, 220331.34043506693 6562748.86300198, 220331.33967858407 6562748.813282635, 220331.33398736018 6562748.763884299, 220331.32341768342 6562748.715295541, 220331.3080740915 6562748.667996919, 220331.2881083378 6562748.622456232, 220331.26371789043 6562748.579123893, 220331.23514397925 6562748.538428474, 220331.20266921006 6562748.500772467, 220331.16661476943 6562748.466528302, 220322.60247248138 6562741.106787216, 220322.5976664927 6562741.102709487, 220286.50115037165 6562710.865179683, 220249.9940094636 6562679.974584996, 220249.3480679899 6562680.737971931, 220285.8561544598 6562711.629366707, 220285.85804956325 6562711.6309622135, 220321.9530993734 6562741.86726371, 220328.15573961142 6562747.197607914, 220316.44621598415 6562743.211386891, 220304.73103644288 6562738.953139512, 220304.69860761167 6562738.942589611, 220291.60860764075 6562735.172589879, 220291.56587513603 6562735.162293279, 220277.86623605707 6562732.492362744, 220260.55659693826 6562729.092433742, 220260.50013349572 6562729.08465401, 220248.02683053445 6562728.085990803, 220237.63339990313 6562726.54844227, 220237.56539778988 6562726.543086017, 220227.37746681683 6562726.437759915, 220226.69554539263 6562718.899259005, 220227.95865348462 6562713.582458004, 220229.9558899496 6562708.465159567, 220232.22605002119 6562702.671316073, 220236.97379201063 6562696.993808875, 220236.20666736172 6562696.352310805, 220231.40666727663 6562702.092309966))</t>
  </si>
  <si>
    <t>['EV18 S39D1 m481-611']</t>
  </si>
  <si>
    <t>LINESTRING (236392.35147720564 6584030.679579618, 236389.35007812403 6584026.347104273, 236321.33930978063 6583926.125572528, 236329.71021508577 6583942.893014759, 236337.25021483965 6583973.883014761, 236342.0202153208 6583998.113014541, 236344.8002152113 6584015.593014453, 236345.6002151954 6584030.293014766, 236346.79021510854 6584045.783014378, 236347.1802151943 6584054.923014827, 236352.3502148238 6584054.923014464, 236357.51021486416 6584053.733015104, 236362.6802149639 6584050.943014467, 236369.83021531563 6584047.373015036, 236376.58021478163 6584043.003014711, 236383.34021530923 6584038.633014723, 236391.68021552888 6584031.083014403)</t>
  </si>
  <si>
    <t>POLYGON ((236392.35147720564 6584030.679579618, 236389.35007812403 6584026.347104273, 236321.33930978063 6583926.125572528, 236329.71021508577 6583942.893014759, 236337.25021483965 6583973.883014761, 236342.0202153208 6583998.113014541, 236344.8002152113 6584015.593014453, 236345.6002151954 6584030.293014766, 236346.79021510854 6584045.783014378, 236347.1802151943 6584054.923014827, 236352.3502148238 6584054.923014464, 236357.51021486416 6584053.733015104, 236362.6802149639 6584050.943014467, 236369.83021531563 6584047.373015036, 236376.58021478163 6584043.003014711, 236383.34021530923 6584038.633014723, 236391.68021552888 6584031.083014403, 236392.35147720564 6584030.679579618))</t>
  </si>
  <si>
    <t>LINESTRING (203319.36427397584 6561275.145091882, 203204.60024347296 6561280.003064424, 203203.400243997 6561281.403064333, 203202.60024377523 6561284.703064348, 203201.00024401507 6561287.30306504, 203197.90024358773 6561289.503065047, 203194.00024331262 6561293.9030644065, 203193.70024329593 6561302.503064231, 203194.4002439393 6561309.70306477, 203195.48663991358 6561313.722730717, 203207.84526252525 6561309.931019334)</t>
  </si>
  <si>
    <t>POLYGON ((203204.5790973612 6561279.503511782, 203204.52810213948 6561279.508296167, 203204.4778639409 6561279.518272458, 203204.42890994565 6561279.533335968, 203204.38175385795 6561279.553328626, 203204.33689051546 6561279.578040636, 203204.29479069673 6561279.607212682, 203204.25589618087 6561279.640538642, 203204.220615112 6561279.677668807, 203203.02061563602 6561281.077668716, 203202.99170388005 6561281.114802347, 203202.9664114565 6561281.154489743, 203202.94496243546 6561281.196379308, 203202.9275468378 6561281.240099933, 203202.91431895152 6561281.28526429, 203202.13295586826 6561284.5083861295, 203200.6278007719 6561286.954264179, 203197.61087011072 6561289.095311456, 203197.56629535742 6561289.130937946, 203197.5260701537 6561289.17141125, 203193.62606987858 6561293.571410609, 203193.59523243117 6561293.6098644985, 203193.56833112225 6561293.651167881, 203193.54562739475 6561293.694919343, 203193.52734189708 6561293.740693685, 203193.51365233865 6561293.788046042, 203193.50469176282 6561293.836516217, 203193.5005472538 6561293.885633147, 203193.2005472371 6561302.485632972, 203193.20258971897 6561302.551447258, 203193.90259036236 6561309.751447798, 203193.90836158892 6561309.792796333, 203193.9175622359 6561309.833519258, 203195.00395821017 6561313.853185204, 203195.01944365536 6561313.900853304, 203195.03962357604 6561313.946731596, 203195.06429520063 6561313.990359085, 203195.093210624 6561314.031297393, 203195.12607929858 6561314.069135167, 203195.16257095378 6561314.103492203, 203195.20231891458 6561314.134023276, 203195.2449237861 6561314.160421605, 203195.28995746648 6561314.182421934, 203195.33696744897 6561314.199803199, 203195.3854813684 6561314.212390751, 203195.43501174785 6561314.220058106, 203195.48506089678 6561314.222728224, 203195.535125912 6561314.220374272, 203195.5847037308 6561314.213019905, 203195.63329618593 6561314.20073902, 203207.9919187976 6561310.409027637, 203207.6986062529 6561309.453011031, 203195.8343914879 6561313.093034647, 203194.89384699822 6561309.613019307, 203194.2010896293 6561302.487520956, 203194.4936715082 6561294.100174399, 203198.23638084836 6561289.877631441, 203201.2896174921 6561287.710818631, 203201.32906294757 6561287.679732148, 203201.36519086527 6561287.644845374, 203201.3976367417 6561287.606510292, 203201.4260732221 6561287.565113674, 203203.02607298226 6561284.965112981, 203203.05110725886 6561284.919217347, 203203.07121247175 6561284.870958621, 203203.0861688207 6561284.820864391, 203203.85791571072 6561281.637409338, 203204.8384707803 6561280.493427997, 203319.3854200876 6561275.644644524, 203319.34312786406 6561274.64553924, 203204.5790973612 6561279.503511782))</t>
  </si>
  <si>
    <t>LINESTRING (224761.38350229652 6567121.876429446, 224829.4746546395 6567177.997918392, 224875.33822539408 6567218.407050188, 224862.16122561047 6567204.790049433, 224850.0822252268 6567190.735049564, 224837.78322493396 6567177.338049918, 224819.99422517518 6567154.498050128, 224809.01322497177 6567138.685050117, 224802.6452259281 6567128.144050111, 224797.81322539342 6567122.873050055, 224796.27622557286 6567117.822050441, 224793.4212257581 6567109.476049882, 224789.68722530297 6567101.350050078, 224785.29522588965 6567088.612049839, 224783.09822499176 6567079.828049897, 224779.8042258281 6567076.753049698, 224774.09422537382 6567077.192050269, 224766.84722540702 6567078.51005033, 224760.03922526207 6567082.243050028, 224754.10922516132 6567086.416050421, 224746.64222515322 6567094.981049927, 224739.2431089311 6567103.477743282)</t>
  </si>
  <si>
    <t>POLYGON ((224829.1502912253 6567178.378518123, 224875.00768474687 6567218.782207329, 224875.04629192478 6567218.812974872, 224875.0877450522 6567218.839785209, 224875.13164001825 6567218.862376974, 224875.17754890735 6567218.88052993, 224875.22502417106 6567218.8940671105, 224875.27360299087 6567218.902856546, 224875.3228117902 6567218.906812552, 224875.3721708509 6567218.905896563, 224875.42119899017 6567218.900117508, 224875.46941825104 6567218.889531725, 224875.51635856216 6567218.874242412, 224875.56156232004 6567218.8543986175, 224875.60458885028 6567218.830193792, 224875.64501870345 6567218.801863898, 224875.6824577441 6567218.769685113, 224875.7165409931 6567218.733971138, 224875.74693618572 6567218.695070133, 224875.77334701066 6567218.65336133, 224875.7955159987 6567218.6092513325, 224875.81322703275 6567218.563170152, 224875.82630745458 6567218.515567017, 224875.8346297481 6567218.466905992, 224875.8381127824 6567218.417661455, 224875.83672260266 6567218.368313474, 224875.83047276127 6567218.319343122, 224875.81942418555 6567218.271227792, 224875.8036845839 6567218.224436545, 224875.78340739576 6567218.179425529, 224875.75879029586 6567218.13663354, 224875.730073267 6567218.096477741, 224875.69753626073 6567218.0593495965, 224862.53080471893 6567204.452959957, 224850.46142850176 6567190.4091586685, 224850.45054997565 6567190.396912197, 224838.16524853374 6567177.014834373, 224820.39710611964 6567154.201614152, 224809.432976025 6567138.41290765, 224803.0731930754 6567127.885507811, 224803.04546397156 6567127.844367765, 224803.01379427378 6567127.806178279, 224798.2585164076 6567122.6188713405, 224796.75456939568 6567117.67649225, 224796.7493112265 6567117.660217304, 224793.89431141174 6567109.314216745, 224793.8755549958 6567109.267279808, 224790.151866356 6567101.163720764, 224785.77500676192 6567088.469630145, 224783.5832832341 6567079.706730066, 224783.56945765633 6567079.660897943, 224783.55131232616 6567079.616598088, 224783.52901358047 6567079.574236596, 224783.50276583008 6567079.53420179, 224783.472809686 6567079.496860666, 224783.43941975367 6567079.462555528, 224780.14542059 6567076.387555328, 224780.10584561896 6567076.354269681, 224780.06304438657 6567076.325249565, 224780.01747471423 6567076.300805392, 224779.96962403573 6567076.281198627, 224779.92000418348 6567076.266638994, 224779.86914591378 6567076.257282229, 224779.81759322956 6567076.253228417, 224779.76589756162 6567076.254520918, 224774.05589710735 6567076.693521489, 224774.00475875643 6567076.700119659, 224766.75775878964 6567078.018119721, 224766.70562962658 6567078.030518647, 224766.65512665306 6567078.048424867, 224766.60682988234 6567078.071632731, 224759.79882973738 6567081.804632428, 224759.75147683604 6567081.834148031, 224753.8214767353 6567086.007148424, 224753.77449001645 6567086.044631004, 224753.73234048256 6567086.087480887, 224746.26534047446 6567094.652480393, 224738.86604110897 6567103.14938394, 224739.62017675326 6567103.806102624, 224747.0192016539 6567095.309514137, 224754.44639650127 6567086.790173019, 224760.30412198394 6567082.668032997, 224767.0164971421 6567078.987466914, 224774.15829315325 6567077.688600124, 224779.6235748323 6567077.268414207, 224782.6490192228 6567080.092714287, 224784.81016764732 6567088.733369671, 224784.82253465915 6567088.775031435, 224789.21453407247 6567101.513031674, 224789.23289606528 6567101.558820152, 224792.95633056134 6567109.6618261235, 224795.80037163748 6567117.97579108, 224797.3348815706 6567123.018608246, 224797.34977163974 6567123.06069498, 224797.36835637593 6567123.101285804, 224797.390487621 6567123.140057125, 224797.41598894412 6567123.176699858, 224797.44465704774 6567123.210921886, 224802.24300783998 6567128.445215036, 224808.58525782448 6567138.943592417, 224808.6025369494 6567138.970243645, 224819.5835371528 6567154.783243656, 224819.59975467966 6567154.805284612, 224837.38875443843 6567177.645284402, 224837.4149001851 6567177.676187286, 224849.7083609063 6567191.067152812, 224861.7820223355 6567205.115940329, 224861.80191474382 6567205.137750024, 224866.24286504486 6567209.726990716, 224829.8051952867 6567177.6227612505, 224829.79266498514 6567177.61208239, 224761.70151264218 6567121.490593445, 224761.06549195087 6567122.2622654475, 224829.1502912253 6567178.378518123))</t>
  </si>
  <si>
    <t>LINESTRING (211462.30737872364 6558065.80302438, 211466.2710183633 6558064.921214549, 211464.36669247726 6558064.72110612, 211461.73023685574 6558063.52307027, 211456.16023703222 6558060.942069601, 211451.34023707116 6558060.243070104, 211447.63123681332 6558059.733070199, 211439.56123722612 6558060.464069538, 211385.4259184351 6558083.54520623, 211397.04436664027 6558080.688954084, 211406.5615682141 6558078.411153363, 211423.39591557864 6558074.336944672, 211440.32231652783 6558070.5012821, 211446.05675326707 6558069.172204022, 211453.741384522 6558067.41528477)</t>
  </si>
  <si>
    <t>POLYGON ((211462.30737872364 6558065.80302438, 211466.2710183633 6558064.921214549, 211464.36669247726 6558064.72110612, 211461.73023685574 6558063.52307027, 211456.16023703222 6558060.942069601, 211451.34023707116 6558060.243070104, 211447.63123681332 6558059.733070199, 211439.56123722612 6558060.464069538, 211385.4259184351 6558083.54520623, 211397.04436664027 6558080.688954084, 211406.5615682141 6558078.411153363, 211423.39591557864 6558074.336944672, 211440.32231652783 6558070.5012821, 211446.05675326707 6558069.172204022, 211453.741384522 6558067.41528477, 211462.30737872364 6558065.80302438))</t>
  </si>
  <si>
    <t>LINESTRING (220302.04505382577 6562666.559866509, 220350.44552889315 6562706.785513583, 220371.5302287198 6562723.818059775, 220366.2002289525 6562715.793059093, 220356.70022954716 6562700.71305967, 220345.40022958483 6562681.543059321, 220339.54022917605 6562667.543059359, 220333.76022902434 6562654.603059202, 220329.71022967715 6562645.053059382, 220324.39022964053 6562629.2430597115, 220323.5302293806 6562619.753059351, 220320.70022890787 6562615.753059634, 220316.32022907282 6562614.383059833, 220311.78022975352 6562615.143059358, 220306.28022950364 6562617.053059949, 220300.03022909013 6562622.223059404, 220294.85022913577 6562627.64305943, 220278.3210886827 6562646.30495737)</t>
  </si>
  <si>
    <t>POLYGON ((220350.1259437411 6562707.170046195, 220350.13133135522 6562707.17446076, 220371.2160311819 6562724.207006953, 220371.25551621622 6562724.235831292, 220371.29762740375 6562724.260661885, 220371.3419621766 6562724.28126136, 220371.38809671017 6562724.297432794, 220371.43558997486 6562724.309021594, 220371.48398795203 6562724.315916975, 220371.5328279744 6562724.318053019, 220371.58164314885 6562724.315409306, 220371.62996681975 6562724.308011111, 220371.67733703012 6562724.295929156, 220371.72330093774 6562724.2792789405, 220371.7674191441 6562724.258219635, 220371.80926989493 6562724.232952559, 220371.8484531121 6562724.203719257, 220371.884594218 6562724.170799188, 220371.91734771666 6562724.134507057, 220371.94640049635 6562724.095189803, 220371.97147482287 6562724.053223285, 220371.9923309947 6562724.009008689, 220372.00876963427 6562723.962968688, 220372.02063359405 6562723.915543411, 220372.02780945887 6562723.867186225, 220372.03022863003 6562723.818359408, 220372.02786798112 6562723.769529726, 220372.02075007907 6562723.721163975, 220372.00894296847 6562723.673724513, 220371.99255952114 6562723.627664843, 220371.97175635688 6562723.583425282, 220371.94673234667 6562723.541428741, 220366.62006716875 6562715.521448713, 220357.12721599877 6562700.452796173, 220345.84828588137 6562681.318539978, 220340.00145512298 6562667.350003342, 220339.9967558939 6562667.339139385, 220334.21869230273 6562654.403474712, 220330.17801738542 6562644.875462131, 220324.882880149 6562629.13934984, 220324.0281888655 6562619.707933401, 220324.02070973493 6562619.655956199, 220324.00782047492 6562619.605050072, 220323.98966325744 6562619.555776526, 220323.96643836144 6562619.508679063, 220323.93840196368 6562619.46427718, 220321.10840149096 6562615.464277463, 220321.0797772844 6562615.427570725, 220321.04786356262 6562615.393684973, 220321.01293691935 6562615.362913893, 220320.975300061 6562615.335524173, 220320.93527918315 6562615.3117532, 220320.89322114355 6562615.291806995, 220320.84949045596 6562615.275858428, 220316.46949062092 6562613.9058586275, 220316.42413785117 6562613.893976031, 220316.37787148653 6562613.8863935955, 220316.33109831373 6562613.883177987, 220316.2842295755 6562613.884357481, 220316.23767735486 6562613.889921704, 220311.69767803556 6562614.649921229, 220311.65650207805 6562614.658609709, 220311.61620258217 6562614.670729931, 220306.11620233228 6562616.580730522, 220306.07477117894 6562616.5972234905, 220306.03497428916 6562616.617342288, 220305.99712821667 6562616.640926886, 220305.96153399782 6562616.6677896865, 220299.7115335843 6562621.837789142, 220299.6687633534 6562621.877599535, 220294.48876339904 6562627.297599561, 220294.4759353528 6562627.31154146, 220277.9467948997 6562645.973439401, 220278.69538246567 6562646.6364753395, 220295.21824098646 6562627.98166989, 220300.37147477697 6562622.589676159, 220306.52944141466 6562617.49580703, 220311.90439721663 6562615.629230978, 220316.28497049853 6562614.895919499, 220320.38966796183 6562616.179808751, 220323.0444041297 6562619.932085127, 220323.89227015563 6562629.288185662, 220323.90095354183 6562629.346059223, 220323.91633952173 6562629.402521793, 220329.23633955835 6562645.212521464, 220329.24991252317 6562645.248272388, 220333.29991187036 6562654.798272208, 220333.3037023065 6562654.806979177, 220339.08128854368 6562667.741575172, 220344.9390036379 6562681.736115338, 220344.9694937003 6562681.796962054, 220356.26949366264 6562700.966962404, 220356.2771787244 6562700.9795704605, 220365.77717812976 6562716.059569883, 220365.78372532566 6562716.069690127, 220369.31403173544 6562721.385020818, 220350.76243560266 6562706.398754915, 220302.36463897783 6562666.175333897, 220301.7254686737 6562666.944399122, 220350.1259437411 6562707.170046195))</t>
  </si>
  <si>
    <t>['EV18 S41D1 m6215-6301']</t>
  </si>
  <si>
    <t>LINESTRING (234825.47950196057 6601506.328150818, 234815.67021588166 6601505.932980579, 234798.41021564422 6601503.963979883, 234783.58021570113 6601499.412980409, 234768.69021571794 6601491.0419806475, 234755.05021596083 6601480.213980833, 234759.100215061 6601498.982980719, 234757.93021517125 6601512.041980137, 234749.4802156866 6601526.053980742, 234743.03159222275 6601530.315583706)</t>
  </si>
  <si>
    <t>POLYGON ((234815.70866662724 6601505.434124017, 234798.5127622821 6601503.472435306, 234783.77834130955 6601498.950766907, 234768.96992715905 6601490.625633834, 234755.36109074336 6601479.822372777, 234755.32121076484 6601479.793788239, 234755.27872111864 6601479.769250136, 234755.23403097823 6601479.7489947695, 234755.18757070764 6601479.7332171975, 234755.13978771714 6601479.722069357, 234755.09114215474 6601479.715658601, 234755.04210247495 6601479.714046666, 234754.9931409277 6601479.717249074, 234754.94472901037 6601479.725234985, 234754.89733292753 6601479.737927497, 234754.8514091013 6601479.755204381, 234754.80739977598 6601479.776899261, 234754.7657287594 6601479.8028032165, 234754.72679734151 6601479.832666794, 234754.69098043008 6601479.8662024075, 234754.65862294033 6601479.903087111, 234754.6300364734 6601479.942965708, 234754.60549631563 6601479.985454167, 234754.58523878767 6601480.030143328, 234754.5694589685 6601480.076602835, 234754.55830881716 6601480.124385286, 234754.551895709 6601480.1730305385, 234754.55028140201 6601480.222070141, 234754.55348144186 6601480.271031843, 234754.5614650123 6601480.319444146, 234758.5954236056 6601499.014107158, 234757.44249955312 6601511.882513952, 234749.1103527825 6601525.699088237, 234742.75592282534 6601529.898442983, 234743.30726162015 6601530.732724429, 234749.755885084 6601526.471121465, 234749.79180531186 6601526.44502026, 234749.8252682993 6601526.415835263, 234749.85601015267 6601526.383796629, 234749.88378843732 6601526.3491570195, 234749.90838408982 6601526.312189608, 234758.35838357446 6601512.300189003, 234758.38000266385 6601512.260363313, 234758.3979272517 6601512.218743849, 234758.41201010745 6601512.175672469, 234758.42213555617 6601512.131502955, 234758.42822042864 6601512.086598111, 234759.59822031838 6601499.027598693, 234759.60018330207 6601498.977345305, 234759.59708809434 6601498.927148929, 234759.58896600953 6601498.877517406, 234755.83368201542 6601481.474322217, 234768.3793409354 6601491.433588703, 234768.41138574848 6601491.457015403, 234768.4451879495 6601491.4778262535, 234783.33518793268 6601499.848826015, 234783.38322739914 6601499.872540643, 234783.43352842846 6601499.890979201, 234798.26352837155 6601504.441978674, 234798.30810346734 6601504.453441938, 234798.3535437985 6601504.460757803, 234815.61354403594 6601506.429758499, 234815.6500895461 6601506.432575346, 234825.459375625 6601506.827745585, 234825.49962829612 6601505.8285560515, 234815.70866662724 6601505.434124017))</t>
  </si>
  <si>
    <t>['EV18 S34D1 m384-460']</t>
  </si>
  <si>
    <t>LINESTRING (224610.14683430578 6567048.43484555, 224618.82422554714 6567076.973050211, 224621.46022521262 6567106.62105061, 224622.33822536713 6567114.527050057, 224629.14622547565 6567105.962050064, 224637.9312257088 6567098.495050132, 224645.39822578063 6567094.9810503125, 224655.50022530422 6567093.664050304, 224662.74394125515 6567093.874100571, 224659.74106246018 6567091.254282432, 224615.9504756985 6567053.7211275725)</t>
  </si>
  <si>
    <t>POLYGON ((224610.14683430578 6567048.43484555, 224618.82422554714 6567076.973050211, 224621.46022521262 6567106.62105061, 224622.33822536713 6567114.527050057, 224629.14622547565 6567105.962050064, 224637.9312257088 6567098.495050132, 224645.39822578063 6567094.9810503125, 224655.50022530422 6567093.664050304, 224662.74394125515 6567093.874100571, 224659.74106246018 6567091.254282432, 224615.9504756985 6567053.7211275725, 224610.14683430578 6567048.43484555))</t>
  </si>
  <si>
    <t>LINESTRING (228359.68833378912 6573004.947669865, 228363.74411859555 6572998.044148689, 228388.34028059896 6573013.324790141, 228435.41651839385 6573046.238638245, 228424.99022197316 6573036.863037701, 228422.8502224536 6573034.813037669, 228420.70022203703 6573032.7530378485, 228418.60022228176 6573030.763037645, 228416.52022232994 6573028.773038295, 228414.69022220076 6573027.033038099, 228412.88022186782 6573025.313037486, 228410.8502226136 6573023.40303751, 228408.8202224002 6573021.503037417, 228406.61022232485 6573019.343037767, 228404.41022210725 6573017.183037994, 228402.35022227088 6573015.273037957, 228397.5002220855 6573011.363037758, 228391.4302226914 6573005.753037587, 228381.99022226373 6572996.863037512, 228375.33022242878 6572989.563037662, 228370.23022176628 6572979.423037564, 228367.3302221771 6572970.893038329, 228366.19022223318 6572969.403037847, 228364.11022263183 6572968.683037506, 228361.47022229905 6572971.01303808, 228358.160221965 6572975.84303763, 228353.45022213837 6572983.063037486, 228347.31022178364 6572995.133037879, 228357.74022262654 6573002.513037963)</t>
  </si>
  <si>
    <t>POLYGON ((228359.68833378912 6573004.947669865, 228363.74411859555 6572998.044148689, 228388.34028059896 6573013.324790141, 228435.41651839385 6573046.238638245, 228424.99022197316 6573036.863037701, 228422.8502224536 6573034.813037669, 228420.70022203703 6573032.7530378485, 228418.60022228176 6573030.763037645, 228416.52022232994 6573028.773038295, 228414.69022220076 6573027.033038099, 228412.88022186782 6573025.313037486, 228410.8502226136 6573023.40303751, 228408.8202224002 6573021.503037417, 228406.61022232485 6573019.343037767, 228404.41022210725 6573017.183037994, 228402.35022227088 6573015.273037957, 228397.5002220855 6573011.363037758, 228391.4302226914 6573005.753037587, 228381.99022226373 6572996.863037512, 228375.33022242878 6572989.563037662, 228370.23022176628 6572979.423037564, 228367.3302221771 6572970.893038329, 228366.19022223318 6572969.403037847, 228364.11022263183 6572968.683037506, 228361.47022229905 6572971.01303808, 228358.160221965 6572975.84303763, 228353.45022213837 6572983.063037486, 228347.31022178364 6572995.133037879, 228357.74022262654 6573002.513037963, 228359.68833378912 6573004.947669865))</t>
  </si>
  <si>
    <t>['EV18 S32D1 m847-924']</t>
  </si>
  <si>
    <t>LINESTRING (217208.13697568112 6560170.182487317, 217203.20809348137 6560166.8035031445, 217195.51384834765 6560161.473491, 217196.99023186998 6560164.493065463, 217197.87023180525 6560171.483064625, 217198.05023197067 6560179.042065332, 217195.47023249278 6560186.862064986, 217193.52023217053 6560193.362065286, 217190.83023190516 6560197.144064993, 217186.49023199623 6560202.343064709, 217182.3202316485 6560206.503064594, 217174.59023240814 6560210.483064692, 217175.97023232846 6560211.884064769, 217184.0802321112 6560209.13406523, 217192.40023246122 6560206.112065016, 217200.74023201858 6560203.323065097, 217211.8202316243 6560200.054064952, 217222.90023221477 6560196.782065323, 217231.18023180374 6560196.04206542, 217238.98023236403 6560195.593064502, 217240.52888311457 6560195.877952068, 217247.1471014088 6560196.99277206, 217235.24514503195 6560188.562057649, 217213.79713451042 6560174.333676904)</t>
  </si>
  <si>
    <t>POLYGON ((217208.13697568112 6560170.182487317, 217203.20809348137 6560166.8035031445, 217195.51384834765 6560161.473491, 217196.99023186998 6560164.493065463, 217197.87023180525 6560171.483064625, 217198.05023197067 6560179.042065332, 217195.47023249278 6560186.862064986, 217193.52023217053 6560193.362065286, 217190.83023190516 6560197.144064993, 217186.49023199623 6560202.343064709, 217182.3202316485 6560206.503064594, 217174.59023240814 6560210.483064692, 217175.97023232846 6560211.884064769, 217184.0802321112 6560209.13406523, 217192.40023246122 6560206.112065016, 217200.74023201858 6560203.323065097, 217211.8202316243 6560200.054064952, 217222.90023221477 6560196.782065323, 217231.18023180374 6560196.04206542, 217238.98023236403 6560195.593064502, 217240.52888311457 6560195.877952068, 217247.1471014088 6560196.99277206, 217235.24514503195 6560188.562057649, 217213.79713451042 6560174.333676904, 217208.13697568112 6560170.182487317))</t>
  </si>
  <si>
    <t>['EV18 S43D1 m42-85']</t>
  </si>
  <si>
    <t>LINESTRING (229083.1402191859 6606598.052970548, 229082.83022004162 6606597.332970732, 229080.49021925405 6606595.612971366, 229076.05021923262 6606591.912971174, 229072.2802195149 6606587.452970791, 229067.79021990212 6606580.392970965, 229065.43021960836 6606574.322971409, 229064.53814501507 6606569.732047719, 229048.088376917 6606603.568449007, 229052.81021999725 6606601.292971161, 229060.190219303 6606598.942971122, 229067.3502198002 6606597.612971108, 229074.05021961522 6606597.382971233, 229080.38021990465 6606597.862971325, 229082.90021943802 6606598.192971319)</t>
  </si>
  <si>
    <t>POLYGON ((229083.1402191859 6606598.052970548, 229082.83022004162 6606597.332970732, 229080.49021925405 6606595.612971366, 229076.05021923262 6606591.912971174, 229072.2802195149 6606587.452970791, 229067.79021990212 6606580.392970965, 229065.43021960836 6606574.322971409, 229064.53814501507 6606569.732047719, 229048.088376917 6606603.568449007, 229052.81021999725 6606601.292971161, 229060.190219303 6606598.942971122, 229067.3502198002 6606597.612971108, 229074.05021961522 6606597.382971233, 229080.38021990465 6606597.862971325, 229082.90021943802 6606598.192971319, 229083.1402191859 6606598.052970548))</t>
  </si>
  <si>
    <t>['EV18 S43D1 m7731-7823']</t>
  </si>
  <si>
    <t>LINESTRING (227838.54022038874 6613868.832956721, 227838.43022025266 6613871.072956656, 227839.27022053552 6613873.38295637, 227841.54022018285 6613873.812957042, 227844.52022016572 6613873.382957082, 227846.96022061695 6613872.202956704, 227860.56612346933 6613861.467412595, 227867.99450966902 6613802.5334141655, 227868.98935112584 6613793.5305383345, 227874.59435932938 6613743.901699614, 227874.68430998572 6613741.874486487, 227856.36022002087 6613803.902956331, 227855.27022019797 6613809.4029564615, 227856.2702201784 6613813.452957272, 227844.68022062088 6613854.11295643, 227842.6302201596 6613857.802957147, 227840.380220254 6613861.03295683, 227839.76022075384 6613862.992956929, 227839.30022027378 6613864.94295694)</t>
  </si>
  <si>
    <t>POLYGON ((227838.54022038874 6613868.832956721, 227838.43022025266 6613871.072956656, 227839.27022053552 6613873.38295637, 227841.54022018285 6613873.812957042, 227844.52022016572 6613873.382957082, 227846.96022061695 6613872.202956704, 227860.56612346933 6613861.467412595, 227867.99450966902 6613802.5334141655, 227868.98935112584 6613793.5305383345, 227874.59435932938 6613743.901699614, 227874.68430998572 6613741.874486487, 227856.36022002087 6613803.902956331, 227855.27022019797 6613809.4029564615, 227856.2702201784 6613813.452957272, 227844.68022062088 6613854.11295643, 227842.6302201596 6613857.802957147, 227840.380220254 6613861.03295683, 227839.76022075384 6613862.992956929, 227839.30022027378 6613864.94295694, 227838.54022038874 6613868.832956721))</t>
  </si>
  <si>
    <t>['EV18 S28D1 m7979-8124']</t>
  </si>
  <si>
    <t>LINESTRING (203066.54767107306 6561421.733076802, 203054.41169749328 6561429.229695012, 203060.801244036 6561426.743064739, 203071.32024377247 6561422.673064366, 203166.47124361998 6561402.693064356, 203182.99024337943 6561396.0230643535, 203195.17024372861 6561391.933064608, 203198.15024311555 6561389.243064755, 203198.64124307636 6561385.71306473, 203199.93024337827 6561382.093064558, 203203.02024309547 6561377.503064391, 203203.63124378666 6561372.34306438, 203201.43024350266 6561364.803064342, 203199.66074300196 6561356.663063851, 203178.23448453174 6561363.716165394, 203156.39476553205 6561374.127025912, 203145.77358151635 6561379.304535984, 203130.84036474302 6561386.103074628, 203105.63920962327 6561400.044027803, 203083.09625449794 6561412.571950175, 203071.27528959088 6561419.034503757)</t>
  </si>
  <si>
    <t>POLYGON ((203066.54767107306 6561421.733076802, 203054.41169749328 6561429.229695012, 203060.801244036 6561426.743064739, 203071.32024377247 6561422.673064366, 203166.47124361998 6561402.693064356, 203182.99024337943 6561396.0230643535, 203195.17024372861 6561391.933064608, 203198.15024311555 6561389.243064755, 203198.64124307636 6561385.71306473, 203199.93024337827 6561382.093064558, 203203.02024309547 6561377.503064391, 203203.63124378666 6561372.34306438, 203201.43024350266 6561364.803064342, 203199.66074300196 6561356.663063851, 203178.23448453174 6561363.716165394, 203156.39476553205 6561374.127025912, 203145.77358151635 6561379.304535984, 203130.84036474302 6561386.103074628, 203105.63920962327 6561400.044027803, 203083.09625449794 6561412.571950175, 203071.27528959088 6561419.034503757, 203066.54767107306 6561421.733076802))</t>
  </si>
  <si>
    <t>['EV18 S38D1 m240-323']</t>
  </si>
  <si>
    <t>LINESTRING (234188.98466293787 6581423.8129995875, 234201.08799521142 6581427.885162732, 234271.19375121244 6581451.835246886, 234276.03821725224 6581443.589020345, 234283.29321732238 6581431.948020217, 234286.49821665854 6581423.681019964, 234288.18521740072 6581410.52201996, 234286.16121751996 6581398.544020498, 234283.1242174906 6581391.121020546, 234269.7962169425 6581393.989020033, 234254.1062167398 6581400.231020243, 234244.32121701253 6581405.124020742, 234231.16221665108 6581410.354020465, 234216.3162175931 6581415.58302055, 234193.70921714406 6581420.307020082, 234181.84126177098 6581421.411307605)</t>
  </si>
  <si>
    <t>POLYGON ((234188.98466293787 6581423.8129995875, 234201.08799521142 6581427.885162732, 234271.19375121244 6581451.835246886, 234276.03821725224 6581443.589020345, 234283.29321732238 6581431.948020217, 234286.49821665854 6581423.681019964, 234288.18521740072 6581410.52201996, 234286.16121751996 6581398.544020498, 234283.1242174906 6581391.121020546, 234269.7962169425 6581393.989020033, 234254.1062167398 6581400.231020243, 234244.32121701253 6581405.124020742, 234231.16221665108 6581410.354020465, 234216.3162175931 6581415.58302055, 234193.70921714406 6581420.307020082, 234181.84126177098 6581421.411307605, 234188.98466293787 6581423.8129995875))</t>
  </si>
  <si>
    <t>['EV18 S37D1 m558-596']</t>
  </si>
  <si>
    <t>LINESTRING (232975.79821839137 6580748.404021822, 232991.61221859988 6580747.291022191, 233003.86321836663 6580742.168022109, 233009.87721829786 6580737.268021905, 233014.33121846447 6580730.586021524, 233015.4452179849 6580723.013021784, 233014.5542181995 6580713.658022075, 233012.77221808373 6580705.862022433, 233008.09521778184 6580693.166021636, 232998.07221760368 6580681.584021742, 232989.830218616 6580674.679022175, 232982.7032182176 6580670.893021539, 232971.1212181063 6580666.66102154, 232963.5482177795 6580665.993022021, 232956.19821771357 6580666.215021941, 232949.2932182834 6580668.4430223005, 232943.72421839734 6580671.561021856, 232939.2702176536 6580676.016022092, 232935.26021856966 6580681.584022078, 232931.25121860625 6580690.716022067, 232930.3602176807 6580699.180022252, 232931.9192179963 6580706.0850217985, 232933.39588586276 6580708.199827363, 232938.55373013456 6580708.092052084, 232958.37197641772 6580747.605133674)</t>
  </si>
  <si>
    <t>POLYGON ((232975.79821839137 6580748.404021822, 232991.61221859988 6580747.291022191, 233003.86321836663 6580742.168022109, 233009.87721829786 6580737.268021905, 233014.33121846447 6580730.586021524, 233015.4452179849 6580723.013021784, 233014.5542181995 6580713.658022075, 233012.77221808373 6580705.862022433, 233008.09521778184 6580693.166021636, 232998.07221760368 6580681.584021742, 232989.830218616 6580674.679022175, 232982.7032182176 6580670.893021539, 232971.1212181063 6580666.66102154, 232963.5482177795 6580665.993022021, 232956.19821771357 6580666.215021941, 232949.2932182834 6580668.4430223005, 232943.72421839734 6580671.561021856, 232939.2702176536 6580676.016022092, 232935.26021856966 6580681.584022078, 232931.25121860625 6580690.716022067, 232930.3602176807 6580699.180022252, 232931.9192179963 6580706.0850217985, 232933.39588586276 6580708.199827363, 232938.55373013456 6580708.092052084, 232958.37197641772 6580747.605133674, 232975.79821839137 6580748.404021822))</t>
  </si>
  <si>
    <t>['EV18 S30D1 m448-549']</t>
  </si>
  <si>
    <t>LINESTRING (211522.52869153296 6558056.088961087, 211530.72005251987 6558054.796926101, 211539.84356821602 6558053.605505774, 211549.54627664742 6558052.516617129, 211557.70072029234 6558051.574111111, 211567.80032640224 6558050.356268175, 211585.44448749063 6558048.615231622, 211551.90023672476 6558048.372070138, 211543.4712367945 6558048.292069506, 211532.4902368565 6558047.884069972, 211526.35023690906 6558048.4330701735, 211519.6992373212 6558052.403070046, 211515.7502364189 6558055.282069547, 211514.173592704 6558056.545931773, 211513.88369599113 6558057.066777982)</t>
  </si>
  <si>
    <t>POLYGON ((211522.52869153296 6558056.088961087, 211530.72005251987 6558054.796926101, 211539.84356821602 6558053.605505774, 211549.54627664742 6558052.516617129, 211557.70072029234 6558051.574111111, 211567.80032640224 6558050.356268175, 211585.44448749063 6558048.615231622, 211551.90023672476 6558048.372070138, 211543.4712367945 6558048.292069506, 211532.4902368565 6558047.884069972, 211526.35023690906 6558048.4330701735, 211519.6992373212 6558052.403070046, 211515.7502364189 6558055.282069547, 211514.173592704 6558056.545931773, 211513.88369599113 6558057.066777982, 211522.52869153296 6558056.088961087))</t>
  </si>
  <si>
    <t>['EV18 S43D1 m556-666']</t>
  </si>
  <si>
    <t>LINESTRING (228751.31556392874 6606977.929604281, 228755.0390252574 6606973.205505623, 228748.4802201563 6606977.142969977, 228717.46021971898 6606994.092970394, 228700.33022024774 6607003.302969793, 228691.80021982093 6607008.342969738, 228680.71022000862 6607015.972970209, 228677.28022032382 6607018.792969702, 228671.0102198755 6607021.122969762, 228665.61021981732 6607023.232970593, 228661.62022040604 6607024.772969625, 228660.7902196467 6607025.292970073, 228690.95021968003 6607047.742970205, 228676.16022042552 6607064.992970314, 228675.55021963705 6607065.712969617, 228680.05756214802 6607067.798278335, 228685.86587666598 6607060.53038006, 228724.38909114554 6607012.054288074, 228748.53622635762 6606981.489234413)</t>
  </si>
  <si>
    <t>POLYGON ((228751.31556392874 6606977.929604281, 228755.0390252574 6606973.205505623, 228748.4802201563 6606977.142969977, 228717.46021971898 6606994.092970394, 228700.33022024774 6607003.302969793, 228691.80021982093 6607008.342969738, 228680.71022000862 6607015.972970209, 228677.28022032382 6607018.792969702, 228671.0102198755 6607021.122969762, 228665.61021981732 6607023.232970593, 228661.62022040604 6607024.772969625, 228660.7902196467 6607025.292970073, 228690.95021968003 6607047.742970205, 228676.16022042552 6607064.992970314, 228675.55021963705 6607065.712969617, 228680.05756214802 6607067.798278335, 228685.86587666598 6607060.53038006, 228724.38909114554 6607012.054288074, 228748.53622635762 6606981.489234413, 228751.31556392874 6606977.929604281))</t>
  </si>
  <si>
    <t>LINESTRING (203184.10435404885 6561318.490228994, 203181.30024375848 6561313.603064927, 203177.80024314165 6561310.103064674, 203174.70024357748 6561306.103064714, 203170.40024343872 6561303.303064846, 203165.4002437236 6561301.30306471, 203158.20024360914 6561301.903064356, 203154.2002437755 6561302.303064937, 203141.70024342556 6561309.903064403, 203064.01641141996 6561379.726020686, 203169.87038650597 6561325.632848754)</t>
  </si>
  <si>
    <t>POLYGON ((203184.10435404885 6561318.490228994, 203181.30024375848 6561313.603064927, 203177.80024314165 6561310.103064674, 203174.70024357748 6561306.103064714, 203170.40024343872 6561303.303064846, 203165.4002437236 6561301.30306471, 203158.20024360914 6561301.903064356, 203154.2002437755 6561302.303064937, 203141.70024342556 6561309.903064403, 203064.01641141996 6561379.726020686, 203169.87038650597 6561325.632848754, 203184.10435404885 6561318.490228994))</t>
  </si>
  <si>
    <t>['EV18 S32D1 m764-839']</t>
  </si>
  <si>
    <t>LINESTRING (217208.81907679822 6560115.5113998875, 217205.96023182623 6560109.833065539, 217203.75023166958 6560104.97406534, 217202.6202319467 6560092.433064709, 217203.47023227793 6560082.253065165, 217205.58023199032 6560074.724064691, 217207.96023215598 6560067.433065386, 217210.5202318339 6560059.3720653355, 217206.71023245598 6560059.202065421, 217200.69023249118 6560065.314065178, 217191.2602316431 6560070.202065649, 217181.70023173228 6560073.343065334, 217173.19023176847 6560074.362064882, 217164.5902317451 6560074.372065132, 217153.1372445877 6560071.452981117, 217162.24264665198 6560079.175672252, 217167.9980695577 6560084.147662804, 217173.1832764339 6560088.390821841, 217184.62066821015 6560097.550356117, 217196.07847529848 6560106.345325341, 217202.63814251235 6560111.370008261)</t>
  </si>
  <si>
    <t>POLYGON ((217208.81907679822 6560115.5113998875, 217205.96023182623 6560109.833065539, 217203.75023166958 6560104.97406534, 217202.6202319467 6560092.433064709, 217203.47023227793 6560082.253065165, 217205.58023199032 6560074.724064691, 217207.96023215598 6560067.433065386, 217210.5202318339 6560059.3720653355, 217206.71023245598 6560059.202065421, 217200.69023249118 6560065.314065178, 217191.2602316431 6560070.202065649, 217181.70023173228 6560073.343065334, 217173.19023176847 6560074.362064882, 217164.5902317451 6560074.372065132, 217153.1372445877 6560071.452981117, 217162.24264665198 6560079.175672252, 217167.9980695577 6560084.147662804, 217173.1832764339 6560088.390821841, 217184.62066821015 6560097.550356117, 217196.07847529848 6560106.345325341, 217202.63814251235 6560111.370008261, 217208.81907679822 6560115.5113998875))</t>
  </si>
  <si>
    <t>['EV18 S44D1 m19-108']</t>
  </si>
  <si>
    <t>LINESTRING (227944.84022004792 6613818.1529563265, 227945.31021988468 6613816.362957148, 227943.73022046138 6613816.502956672, 227941.38022068748 6613816.88295672, 227936.88022029732 6613818.08295718, 227932.17021982832 6613820.582956745, 227923.59021997283 6613825.972956751, 227908.90324544616 6613837.33878735, 227891.39583832497 6613949.671062425)</t>
  </si>
  <si>
    <t>POLYGON ((227945.7938270693 6613816.48993782, 227945.80375551508 6613816.443098159, 227945.809158184 6613816.395523595, 227945.80998553304 6613816.347650394, 227945.80622997528 6613816.299917557, 227945.7979259496 6613816.2527628, 227945.78514960487 6613816.206618538, 227945.7680181016 6613816.161907919, 227945.74668853756 6613816.119040943, 227945.72135650725 6613816.078410706, 227945.6922543082 6613816.040389792, 227945.65964881086 6613816.005326856, 227945.62383901124 6613815.973543431, 227945.58515328923 6613815.945330972, 227945.5439463972 6613815.920948192, 227945.50059620696 6613815.900618684, 227945.45550024457 6613815.88452887, 227945.4090720451 6613815.872826298, 227945.36173736025 6613815.86561828, 227945.3139302544 6613815.862970915, 227945.26608912402 6613815.864908479, 227943.68608970073 6613816.004908003, 227943.65040612244 6613816.009368107, 227941.30040634854 6613816.389368155, 227941.2513893265 6613816.39983926, 227936.75138893633 6613817.59983972, 227936.69741580012 6613817.617572913, 227936.64580271792 6613817.64131434, 227931.93580224892 6613820.141313905, 227931.904245227 6613820.1595686115, 227923.3242453715 6613825.549568617, 227923.28421301141 6613825.577533256, 227908.59723848474 6613836.943363856, 227908.56121978015 6613836.974070413, 227908.5282659534 6613837.008045184, 227908.49867230255 6613837.044983722, 227908.4727040151 6613837.084555022, 227908.45059379173 6613837.126404488, 227908.43253976133 6613837.170157108, 227908.4187037053 6613837.215420817, 227908.40920960798 6613837.261790008, 227890.9018024868 6613949.594065083, 227891.88987416314 6613949.748059766, 227909.3666354648 6613837.612416586, 227923.87689436047 6613826.383341172, 227932.4207488961 6613821.016047843, 227937.06421248827 6613818.551365081, 227941.48480628798 6613817.372539719, 227943.79227325384 6613816.999417317, 227944.64601906392 6613816.923769183, 227944.35661286328 6613818.025975655, 227945.32382723255 6613818.279936998, 227945.7938270693 6613816.48993782))</t>
  </si>
  <si>
    <t>['EV18 S44D1 m5900 SD1 m279-433']</t>
  </si>
  <si>
    <t>LINESTRING (229055.57403509202 6619029.534695142, 229068.16321915959 6619045.133946495, 229083.78821869602 6619059.27094581, 229090.5243479989 6619100.021957009)</t>
  </si>
  <si>
    <t>POLYGON ((229067.77412409967 6619045.447960881, 229067.799833061 6619045.477385782, 229067.8277612584 6619045.504713263, 229083.3233699465 6619059.524643881, 229090.03104212094 6619100.103500315, 229091.01765387686 6619099.940413703, 229084.28152457398 6619059.189402504, 229084.27144556114 6619059.142525419, 229084.256922702 6619059.096829312, 229084.2380895516 6619059.052734414, 229084.21511930312 6619059.01064623, 229084.18822319535 6619058.970951809, 229084.15764857005 6619058.9340161905, 229084.1236765972 6619058.900179042, 229068.52771827483 6619044.789455287, 229055.96313015194 6619029.2206807565, 229055.1849400321 6619029.848709527, 229067.77412409967 6619045.447960881))</t>
  </si>
  <si>
    <t>LINESTRING (220224.71489892027 6562658.550785063, 220201.84536876105 6562638.633635655, 220186.43348973308 6562625.045814181, 220168.52792271943 6562608.902074795, 220171.29022982193 6562612.923059748, 220179.11022981757 6562628.87305929, 220183.57022900536 6562639.103059452, 220186.86022974993 6562648.013059982, 220191.06022995262 6562659.323059956, 220194.16022901057 6562670.02305928, 220196.39022900193 6562679.04305978, 220198.40022918553 6562689.48305914, 220199.03022941662 6562696.513059436, 220204.65022984566 6562696.00305905, 220211.9302291494 6562694.283059343, 220216.2802296615 6562691.41305901, 220223.1202294206 6562688.673059627, 220227.79022952443 6562685.413059384, 220232.07022933534 6562681.843059964, 220240.30938833416 6562672.191092031)</t>
  </si>
  <si>
    <t>POLYGON ((220202.17489093426 6562638.257580546, 220186.7662366151 6562624.672602124, 220168.86273413835 6562608.530724133, 220168.82524358638 6562608.500079394, 220168.78496459126 6562608.473204796, 220168.742274912 6562608.450352383, 220168.69757491653 6562608.431736479, 220168.65128382674 6562608.417531673, 220168.60383578666 6562608.407871187, 220168.5556757909 6562608.402845622, 220168.5072555111 6562608.402502111, 220168.4590290601 6562608.406843876, 220168.4114487328 6562608.415830196, 220168.36496076448 6562608.429376793, 220168.32000114562 6562608.44735662, 220168.27699153294 6562608.469601051, 220168.23633529496 6562608.495901465, 220168.19841372888 6562608.526011203, 220168.16358248462 6562608.559647879, 220168.13216822926 6562608.596496027, 220168.1044655835 6562608.636210066, 220168.08073435846 6562608.6784175355, 220168.06119711895 6562608.722722589, 220168.04603709627 6562608.768709709, 220168.03539646973 6562608.8159476025, 220168.0293750331 6562608.863993245, 220168.02802925883 6562608.912396038, 220168.0313717684 6562608.960702033, 220168.0393712138 6562609.008458189, 220168.05195257172 6562609.05521662, 220168.0689978471 6562609.1005388005, 220168.09034717965 6562609.143999674, 220168.1158003432 6562609.185191639, 220170.8573908735 6562613.176020268, 220178.65636275115 6562629.083129981, 220183.10615625087 6562639.289721127, 220186.39118415388 6562648.186254176, 220186.3915055232 6562648.187122038, 220190.58509991245 6562659.479872071, 220193.67722102493 6562670.152679771, 220195.90171210392 6562679.150397584, 220197.90447668507 6562689.5528150145, 220198.53222515885 6562696.557688567, 220198.5390041458 6562696.606321075, 220198.55052065765 6562696.654054141, 220198.5666636257 6562696.70042741, 220198.58727736236 6562696.744993646, 220198.61216306247 6562696.787323039, 220198.64108072082 6562696.8270073505, 220198.6737514468 6562696.863663853, 220198.70986015402 6562696.896939022, 220198.7490585992 6562696.926511939, 220198.79096874074 6562696.9520973945, 220198.83518638453 6562696.973448637, 220198.88128508226 6562696.990359746, 220198.92882024412 6562697.002667626, 220198.97733342674 6562697.0102535775, 220199.02635675424 6562697.013044438, 220199.07541743084 6562697.011013293, 220204.69541785988 6562696.501012906, 220204.76519652441 6562696.489662238, 220212.04519582816 6562694.769662531, 220212.08742230554 6562694.7577069085, 220212.12843775915 6562694.742094578, 220212.16792620387 6562694.722945817, 220212.20558341892 6562694.7004081495, 220216.51324509046 6562691.858341718, 220223.3061586958 6562689.1372043295, 220223.35784242014 6562689.112991511, 220223.40643007774 6562689.083046437, 220228.07643018157 6562685.823046193, 220228.110498149 6562685.797022934, 220232.39049795992 6562682.227023514, 220232.42176227184 6562682.198622327, 220232.45051792555 6562682.167683727, 220240.68967692438 6562672.515715795, 220239.92909974395 6562671.8664682675, 220231.7174375794 6562681.486224349, 220227.4864365656 6562685.015353282, 220222.8810582339 6562688.230242821, 220216.0943003863 6562690.948914308, 220216.0484040997 6562690.9700500835, 220216.00487539198 6562690.995710203, 220211.72892479584 6562693.816854615, 220204.56975026743 6562695.508307811, 220199.4835544288 6562695.9698668225, 220198.8982334433 6562689.438430009, 220198.89121226865 6562689.388530773, 220196.88121208505 6562678.948531413, 220196.87561514354 6562678.923058557, 220194.64561515217 6562669.903058057, 220194.64047959205 6562669.8839212945, 220191.5404805341 6562659.18392197, 220191.52895417935 6562659.1489979, 220187.32911509828 6562647.839431804, 220184.0392746014 6562638.929865258, 220184.02856437722 6562638.903237814, 220179.56856518943 6562628.6732376525, 220179.55917490655 6562628.652949529, 220171.7391749109 6562612.702949986, 220171.70235219816 6562612.639942904, 220171.3367399578 6562612.107735129, 220186.09867831416 6562625.417164843, 220186.102828017 6562625.4208646165, 220201.51470704496 6562639.008686091, 220201.5169922045 6562639.010688486, 220224.38652236373 6562658.927837893, 220225.0432754768 6562658.173732232, 220202.17489093426 6562638.257580546))</t>
  </si>
  <si>
    <t>['EV18 S33D1 m2981-3103']</t>
  </si>
  <si>
    <t>LINESTRING (222153.48022823042 6564420.253056119, 222174.08022743324 6564416.983056061, 222188.39022740768 6564414.623055826, 222203.44022741396 6564412.563055415, 222217.08022746135 6564410.623056277, 222229.7302274155 6564409.483056069, 222243.50022757734 6564408.953055953, 222255.57022745785 6564409.283055917, 222266.6202281225 6564410.0530561935, 222273.84022770403 6564411.523056139, 222278.81838490034 6564413.438764016, 222188.2180138126 6564337.5603580875, 222189.4702280606 6564340.143055858, 222191.4702272762 6564346.683055567, 222193.26022725087 6564354.673055715, 222192.71022768272 6564364.2930563465, 222189.85022798926 6564375.88305562, 222185.21022803796 6564387.283056071, 222180.00022730127 6564396.2630557045, 222175.47022760275 6564400.923055425, 222169.01022772683 6564407.87305616, 222157.8502274229 6564413.843055681, 222148.94022742263 6564417.123055754, 222140.60022735927 6564418.9330560705, 222140.79022737104 6564421.05305606)</t>
  </si>
  <si>
    <t>POLYGON ((222153.48022823042 6564420.253056119, 222174.08022743324 6564416.983056061, 222188.39022740768 6564414.623055826, 222203.44022741396 6564412.563055415, 222217.08022746135 6564410.623056277, 222229.7302274155 6564409.483056069, 222243.50022757734 6564408.953055953, 222255.57022745785 6564409.283055917, 222266.6202281225 6564410.0530561935, 222273.84022770403 6564411.523056139, 222278.81838490034 6564413.438764016, 222188.2180138126 6564337.5603580875, 222189.4702280606 6564340.143055858, 222191.4702272762 6564346.683055567, 222193.26022725087 6564354.673055715, 222192.71022768272 6564364.2930563465, 222189.85022798926 6564375.88305562, 222185.21022803796 6564387.283056071, 222180.00022730127 6564396.2630557045, 222175.47022760275 6564400.923055425, 222169.01022772683 6564407.87305616, 222157.8502274229 6564413.843055681, 222148.94022742263 6564417.123055754, 222140.60022735927 6564418.9330560705, 222140.79022737104 6564421.05305606, 222153.48022823042 6564420.253056119))</t>
  </si>
  <si>
    <t>LINESTRING (236429.42021471914 6584001.293015452, 236434.18021472858 6583997.313014986, 236440.9402155624 6583991.753015359, 236446.9002148499 6583982.623014494, 236452.46021529526 6583972.2930147275, 236460.01021479763 6583960.3730152035, 236459.61021502694 6583960.373014638, 236442.53021521325 6583952.823015517, 236420.68021563976 6583941.303015094, 236398.4302151848 6583927.793015326, 236380.16021566367 6583915.4830154, 236352.35021537438 6583890.453014697, 236345.4880052259 6583882.334763101, 236427.57409607078 6584003.139133853)</t>
  </si>
  <si>
    <t>POLYGON ((236429.42021471914 6584001.293015452, 236434.18021472858 6583997.313014986, 236440.9402155624 6583991.753015359, 236446.9002148499 6583982.623014494, 236452.46021529526 6583972.2930147275, 236460.01021479763 6583960.3730152035, 236459.61021502694 6583960.373014638, 236442.53021521325 6583952.823015517, 236420.68021563976 6583941.303015094, 236398.4302151848 6583927.793015326, 236380.16021566367 6583915.4830154, 236352.35021537438 6583890.453014697, 236345.4880052259 6583882.334763101, 236427.57409607078 6584003.139133853, 236429.42021471914 6584001.293015452))</t>
  </si>
  <si>
    <t>['EV18 S43D1 m125-167']</t>
  </si>
  <si>
    <t>LINESTRING (228986.65077703894 6606626.091374012, 228976.24022008158 6606628.02297098, 228966.74021991203 6606627.112971273, 228955.3802202455 6606621.962970387, 228946.73021937377 6606614.212971265, 228954.690219933 6606627.322971339, 228964.9302203022 6606642.882971204, 228968.37022014358 6606654.942971299, 228968.73816707806 6606659.662609612)</t>
  </si>
  <si>
    <t>POLYGON ((228976.21802214123 6606627.518555985, 228966.8708082998 6606626.623191595, 228955.65664548494 6606621.53930514, 228947.06386837346 6606613.840575851, 228947.02576093504 6606613.80966594, 228946.98480731383 6606613.78264002, 228946.9414019095 6606613.759758362, 228946.89596273337 6606613.741241323, 228946.84892738273 6606613.727267232, 228946.8007488268 6606613.717970663, 228946.7518910441 6606613.7134411475, 228946.70282455467 6606613.713722305, 228946.65402188821 6606613.71881143, 228946.60595303387 6606613.72865951, 228946.55908091378 6606613.743171704, 228946.51385692516 6606613.762208256, 228946.47071659294 6606613.785585835, 228946.43007537574 6606613.813079304, 228946.39232466463 6606613.844423893, 228946.35782801395 6606613.87931774, 228946.3269176402 6606613.917424803, 228946.29989122253 6606613.958378095, 228946.27700903613 6606614.001783222, 228946.25849144557 6606614.047222173, 228946.24451678258 6606614.094257354, 228946.2352196287 6606614.142435797, 228946.2306895193 6606614.191293524, 228946.23097008103 6606614.240360017, 228946.23605861206 6606614.289162745, 228946.24590610777 6606614.337231719, 228946.26041773288 6606614.384104015, 228946.27945373463 6606614.429328236, 228946.30283078869 6606614.472468852, 228954.2628313479 6606627.582468926, 228954.27255032273 6606627.597838756, 228964.47042002654 6606643.093819761, 228967.87563312022 6606655.031863984, 228968.23967965943 6606659.701472106, 228969.2366544967 6606659.623747117, 228968.86870756221 6606654.904108805, 228968.86233485804 6606654.854522965, 228968.85104225308 6606654.805821385, 228965.4110424117 6606642.74582129, 228965.39469036128 6606642.697856201, 228965.3735672014 6606642.651792643, 228965.34788991246 6606642.6081037875, 228955.1128888063 6606627.0557004595, 228948.9068658414 6606616.834474854, 228955.04657124582 6606622.335365802, 228955.08608137045 6606622.367299859, 228955.1286279895 6606622.395059888, 228955.17377187998 6606622.418359311, 228966.5337715465 6606627.568360197, 228966.58503238639 6606627.588278365, 228966.63817062735 6606627.602446444, 228966.69254342263 6606627.610693036, 228976.1925435922 6606628.520692742, 228976.23896337868 6606628.5229694005, 228976.28539402294 6606628.520926113, 228976.33143436807 6606628.514580535, 228986.74199132543 6606626.582983566, 228986.55956275246 6606625.599764457, 228976.21802214123 6606627.518555985))</t>
  </si>
  <si>
    <t>['EV18 S38D1 m347-455']</t>
  </si>
  <si>
    <t>LINESTRING (234272.11721725878 6581500.683019851, 234277.56721688528 6581514.914020008, 234279.68621737743 6581527.63102046, 234275.75021708914 6581546.101019966, 234287.86221723928 6581538.229020346, 234301.79021723865 6581530.962019701, 234312.69021742634 6581528.53902028, 234321.77421676897 6581527.631019902, 234332.6742168807 6581527.631019783, 234344.482216558 6581529.145019984, 234355.90317451884 6581530.853291822, 234358.72012157633 6581531.515299415, 234347.28498049924 6581527.135514054, 234304.61346200918 6581510.359883698, 234269.30067165417 6581497.122254611)</t>
  </si>
  <si>
    <t>POLYGON ((234272.11721725878 6581500.683019851, 234277.56721688528 6581514.914020008, 234279.68621737743 6581527.63102046, 234275.75021708914 6581546.101019966, 234287.86221723928 6581538.229020346, 234301.79021723865 6581530.962019701, 234312.69021742634 6581528.53902028, 234321.77421676897 6581527.631019902, 234332.6742168807 6581527.631019783, 234344.482216558 6581529.145019984, 234355.90317451884 6581530.853291822, 234358.72012157633 6581531.515299415, 234347.28498049924 6581527.135514054, 234304.61346200918 6581510.359883698, 234269.30067165417 6581497.122254611, 234272.11721725878 6581500.683019851))</t>
  </si>
  <si>
    <t>['EV18 S40D1 m5786-5896', 'EV18 S41D1 m0-20']</t>
  </si>
  <si>
    <t>LINESTRING (237069.25305751752 6596300.709954603, 237065.9080224331 6596266.427040726, 237059.4418219999 6596188.2548978245, 237058.95677938825 6596182.891927299, 237058.40878358722 6596178.059379793, 237058.04252568557 6596172.990512116, 237053.72021391708 6596193.082990315, 237033.86021434277 6596279.053989968, 237034.23021447292 6596280.291990427, 237036.57021442452 6596282.352990336, 237038.49021360604 6596282.563990601, 237041.86021347134 6596284.7919904245, 237044.85021385993 6596288.451990345, 237047.49021357927 6596292.393990085, 237052.8402137757 6596299.6439907, 237055.92021396 6596301.522989968, 237060.17021369172 6596303.672990004, 237066.72021431703 6596304.602990249, 237069.5955906044 6596304.990318512)</t>
  </si>
  <si>
    <t>POLYGON ((237069.25305751752 6596300.709954603, 237065.9080224331 6596266.427040726, 237059.4418219999 6596188.2548978245, 237058.95677938825 6596182.891927299, 237058.40878358722 6596178.059379793, 237058.04252568557 6596172.990512116, 237053.72021391708 6596193.082990315, 237033.86021434277 6596279.053989968, 237034.23021447292 6596280.291990427, 237036.57021442452 6596282.352990336, 237038.49021360604 6596282.563990601, 237041.86021347134 6596284.7919904245, 237044.85021385993 6596288.451990345, 237047.49021357927 6596292.393990085, 237052.8402137757 6596299.6439907, 237055.92021396 6596301.522989968, 237060.17021369172 6596303.672990004, 237066.72021431703 6596304.602990249, 237069.5955906044 6596304.990318512, 237069.25305751752 6596300.709954603))</t>
  </si>
  <si>
    <t>['EV18 S44D1 m26-205']</t>
  </si>
  <si>
    <t>LINESTRING (227855.87021987187 6613879.192956992, 227851.48022059555 6613883.412956977, 227849.65022055572 6613887.872956809, 227846.61021980533 6613894.672956268, 227844.13022012258 6613902.372956598, 227842.40022008115 6613906.182956654, 227840.22022048623 6613908.452956636, 227835.83022016846 6613910.922956698, 227833.22022042033 6613911.952956146, 227830.37022042967 6613912.052956215, 227830.33022041584 6613916.982956304, 227827.0802206298 6614007.482956603, 227826.34651914245 6614039.480420814, 227825.90720391675 6614060.446976247, 227832.68134574615 6614026.036451895, 227857.99964686396 6613877.524858566)</t>
  </si>
  <si>
    <t>POLYGON ((227855.87021987187 6613879.192956992, 227851.48022059555 6613883.412956977, 227849.65022055572 6613887.872956809, 227846.61021980533 6613894.672956268, 227844.13022012258 6613902.372956598, 227842.40022008115 6613906.182956654, 227840.22022048623 6613908.452956636, 227835.83022016846 6613910.922956698, 227833.22022042033 6613911.952956146, 227830.37022042967 6613912.052956215, 227830.33022041584 6613916.982956304, 227827.0802206298 6614007.482956603, 227826.34651914245 6614039.480420814, 227825.90720391675 6614060.446976247, 227832.68134574615 6614026.036451895, 227857.99964686396 6613877.524858566, 227855.87021987187 6613879.192956992))</t>
  </si>
  <si>
    <t>['EV18 S39D1 m634-774']</t>
  </si>
  <si>
    <t>LINESTRING (236513.89069529908 6584125.81020335, 236509.66021552857 6584110.533014896, 236501.720215138 6584084.713014305, 236494.1702149111 6584056.513014833, 236489.80021536106 6584032.673014913, 236486.22021559236 6584012.013015194, 236482.65021562343 6583994.143014905, 236478.68021516845 6583992.953014901, 236465.96021485614 6583996.123014736, 236447.29021504318 6584005.263015412, 236440.14021524234 6584011.2230149, 236436.56610096502 6584016.0111186)</t>
  </si>
  <si>
    <t>POLYGON ((236510.1420815638 6584110.399579054, 236510.13812903772 6584110.38605001, 236502.20082871788 6584084.574829749, 236494.65839901756 6584056.403106946, 236490.2924589819 6584032.585253211, 236486.71287388293 6584011.92764653, 236486.71052702522 6584011.91506266, 236483.1405270563 6583994.0450623715, 236483.12853238123 6583993.9973678, 236483.1119101936 6583993.951082302, 236483.09082130605 6583993.906653672, 236483.06546974464 6583993.864511737, 236483.03610077503 6583993.825064202, 236483.0029985296 6583993.788692705, 236482.9664832586 6583993.755749127, 236482.92690823184 6583993.726552181, 236482.88465632097 6583993.701384336, 236482.8401362954 6583993.680489081, 236482.79377886758 6583993.664068567, 236478.8237784126 6583992.4740685625, 236478.77176220322 6583992.461467202, 236478.71869705516 6583992.454497956, 236478.66519098464 6583992.453240678, 236478.61185706008 6583992.457709773, 236478.5593063774 6583992.467854037, 236465.83930606509 6583995.637853872, 236465.78888438383 6583995.653285165, 236465.74036822005 6583995.673940737, 236447.0703684071 6584004.813941413, 236447.0182697595 6584004.8434373345, 236446.9700700223 6584004.878948796, 236439.82007022147 6584010.838948284, 236439.7773068103 6584010.879070908, 236439.73953489133 6584010.923924184, 236436.165420614 6584015.712027884, 236436.96678131603 6584016.310209316, 236440.50563670314 6584011.569340598, 236447.56412385765 6584005.685622975, 236466.13250341715 6583996.595371052, 236478.6680355626 6583993.471343232, 236482.21877909085 6583994.535671779, 236485.72865018158 6584012.1046908125, 236489.30755707048 6584032.758383577, 236489.30840964158 6584032.763165533, 236493.67840919163 6584056.603165453, 236493.68722560265 6584056.642325807, 236501.23722582954 6584084.842325279, 236501.24230162884 6584084.859979191, 236509.18023040393 6584110.673243118, 236513.40882926385 6584125.943639193, 236514.3725613343 6584125.676767508, 236510.1420815638 6584110.399579054))</t>
  </si>
  <si>
    <t>['EV18 S41D1 m48-147']</t>
  </si>
  <si>
    <t>LINESTRING (237038.58621424623 6596334.339990425, 237047.17521414097 6596351.2569898255, 237060.9692144547 6596382.228990471, 237070.0782143615 6596403.309989881, 237080.48921420705 6596428.034989617, 237071.12430189742 6596322.53574908, 237059.40721405076 6596320.024990173, 237052.90121427114 6596320.545989958, 237046.65421435342 6596322.3679904295, 237040.9282137904 6596324.969990601, 237034.16121349589 6596327.832990124)</t>
  </si>
  <si>
    <t>POLYGON ((237038.58621424623 6596334.339990425, 237047.17521414097 6596351.2569898255, 237060.9692144547 6596382.228990471, 237070.0782143615 6596403.309989881, 237080.48921420705 6596428.034989617, 237071.12430189742 6596322.53574908, 237059.40721405076 6596320.024990173, 237052.90121427114 6596320.545989958, 237046.65421435342 6596322.3679904295, 237040.9282137904 6596324.969990601, 237034.16121349589 6596327.832990124, 237038.58621424623 6596334.339990425))</t>
  </si>
  <si>
    <t>['EV18 S43D1 m690-798']</t>
  </si>
  <si>
    <t>LINESTRING (228642.4874793081 6607191.628192044, 228643.3801417778 6607190.913075161, 228658.81022014213 6607178.002970125, 228666.35021964752 6607173.482970069, 228688.73021964397 6607170.282969924, 228698.5802203202 6607168.512969518, 228702.16021990043 6607165.832969581, 228703.6202202483 6607162.462969732, 228701.5002197228 6607158.532970368, 228693.24022041762 6607168.112969594, 228683.48022035364 6607161.042970283, 228687.65021951078 6607155.072969524, 228680.290219819 6607151.912970106, 228712.2202204427 6607111.042970153, 228706.14280213794 6607107.7873002775)</t>
  </si>
  <si>
    <t>POLYGON ((228643.69275229317 6607191.3032990275, 228643.70099173777 6607191.296553066, 228659.10096619933 6607178.411635494, 228666.52081346177 6607173.963663048, 228688.80099225073 6607170.77793582, 228688.81865097326 6607170.775087694, 228698.6686516495 6607169.005087288, 228698.7139520847 6607168.994753511, 228698.75809765706 6607168.980259207, 228698.8007071402 6607168.961729545, 228698.84141257292 6607168.939324543, 228698.87986243662 6607168.913237681, 228702.45986201684 6607166.233237743, 228702.4997492871 6607166.200011535, 228702.53597646407 6607166.162828649, 228702.5681530224 6607166.122089916, 228702.59593210198 6607166.078234494, 228702.6190142469 6607166.03173514, 228704.07901459478 6607162.661735291, 228704.09662545676 6607162.614752726, 228704.1094389108 6607162.566241704, 228704.11732592536 6607162.516690731, 228704.1202070781 6607162.466598788, 228704.1180533557 6607162.4164702995, 228704.11088644623 6607162.366810061, 228704.0987785206 6607162.318118152, 228704.08185150576 6607162.270884901, 228704.06027585713 6607162.225585947, 228701.94027533164 6607158.295586583, 228701.9152813932 6607158.254180465, 228701.8864038663 6607158.215382888, 228701.8539129479 6607158.179556867, 228701.8181126443 6607158.147037614, 228701.7793379266 6607158.118129401, 228701.73795159633 6607158.09310271, 228701.69434089112 6607158.07219171, 228701.64891386128 6607158.055592055, 228701.6020955518 6607158.043459065, 228701.5543240254 6607158.035906263, 228701.50604626376 6607158.033004317, 228701.4577139852 6607158.034780382, 228701.4097794181 6607158.0412178375, 228701.3626910697 6607158.052256451, 228701.31688952932 6607158.067792939, 228701.2728033462 6607158.087681931, 228701.23084501945 6607158.111737333, 228701.19140713866 6607158.139734068, 228701.15485871045 6607158.171410178, 228701.1215417059 6607158.206469282, 228693.16151628154 6607167.438556911, 228684.17156224512 6607160.926367523, 228688.06012561687 6607155.359285755, 228688.08632194842 6607155.31753989, 228688.10828116958 6607155.273417814, 228688.12578992776 6607155.227348209, 228688.13867811026 6607155.179778684, 228688.14682049735 6607155.131171416, 228688.15013797875 6607155.081998665, 228688.1485983222 6607155.032738189, 228688.14221648689 6607154.983868595, 228688.13105447774 6607154.9358646935, 228688.11522074332 6607154.889192883, 228688.09486912197 6607154.844306621, 228688.0701973472 6607154.801642016, 228688.04144512652 6607154.761613591, 228688.0088918125 6607154.724610256, 228687.97285368855 6607154.690991531, 228687.9336808961 6607154.661084051, 228687.89175403243 6607154.635178393, 228687.847480453 6607154.613526252, 228681.0836800376 6607151.709503661, 228712.6142311649 6607111.350794048, 228712.64213457287 6607111.311276818, 228712.6660885073 6607111.269248011, 228712.68586873918 6607111.225101051, 228712.7012901088 6607111.179249191, 228712.71220825906 6607111.132121645, 228712.71852098688 6607111.084159565, 228712.72016919972 6607111.035811917, 228712.71713746898 6607110.987531276, 228712.70945417418 6607110.93976959, 228712.69719123747 6607110.892973949, 228712.68046345035 6607110.8475824, 228712.65942739905 6607110.804019845, 228712.63427999878 6607110.762694067, 228712.60525665057 6607110.723991911, 228712.57262903746 6607110.688275661, 228712.53670258156 6607110.655879652, 228712.49781358495 6607110.627107138, 228712.45632608136 6607110.602227453, 228706.3789077766 6607107.346557578, 228705.90669649927 6607108.228042977, 228711.4605206196 6607111.203223716, 228679.8962090968 6607151.605146211, 228679.86845457973 6607151.644429452, 228679.84460305513 6607151.686197754, 228679.8248752436 6607151.730064594, 228679.8094537052 6607151.775624033, 228679.79848115 6607151.822454465, 228679.79205911743 6607151.870122522, 228679.79024703667 6607151.918187089, 228679.79306167652 6607151.966203379, 228679.80047699055 6607152.013727051, 228679.8124243578 6607152.060318324, 228679.82879321798 6607152.105546044, 228679.8494320946 6607152.148991677, 228679.8741499966 6607152.1902531795, 228679.9027181859 6607152.22894872, 228679.93487229402 6607152.264720212, 228679.9703147686 6607152.297236627, 228680.00871762697 6607152.326197061, 228680.04972549115 6607152.351333515, 228680.09295887678 6607152.372413378, 228686.88864239294 6607155.290124907, 228683.07031424754 6607160.756654052, 228683.04448740132 6607160.797742237, 228683.02276562146 6607160.841140731, 228683.00535355 6607160.886440673, 228682.9924152271 6607160.933215289, 228682.98407254554 6607160.981023915, 228682.98040410219 6607161.02941614, 228682.98144445766 6607161.077936061, 228682.9871838107 6607161.126126566, 228682.99756809056 6607161.17353365, 228683.01249946628 6607161.21971069, 228683.03183726847 6607161.264222648, 228683.05539931456 6607161.306650174, 228683.0829636251 6607161.346593555, 228683.11427051507 6607161.383676484, 228683.14902504036 6607161.4175496, 228683.1868997766 6607161.447893781, 228692.94689984058 6607168.517893092, 228692.9883914544 6607168.544921181, 228693.0323530789 6607168.567712565, 228693.07835352575 6607168.5860437, 228693.1259416095 6607168.599734788, 228693.1746505725 6607168.608651544, 228693.22400266334 6607168.612706509, 228693.27351382255 6607168.611859912, 228693.32269843054 6607168.606120056, 228693.3710740705 6607168.595543237, 228693.41816626038 6607168.5802331995, 228693.46351310646 6607168.5603401065, 228693.50666983388 6607168.536059075, 228693.5472131491 6607168.50762826, 228693.58474539168 6607168.47532652, 228693.6188984345 6607168.43947068, 228701.40483391532 6607159.409293664, 228703.06497880534 6607162.486825147, 228701.75423390343 6607165.512310811, 228698.37531406866 6607168.041781763, 228688.65059221402 6607169.789270133, 228666.27944704075 6607172.988004173, 228666.23062832787 6607172.997482771, 228666.1829926652 6607173.011764024, 228666.13701128578 6607173.030706656, 228666.0931390577 6607173.054123278, 228658.5531395523 6607177.574123333, 228658.52036584428 6607177.595558188, 228658.48937018216 6607177.61949222, 228643.06337561473 6607190.526180407, 228642.17486879273 6607191.237968178, 228642.80008982346 6607192.01841591, 228643.69275229317 6607191.3032990275))</t>
  </si>
  <si>
    <t>['EV18 S43D1 m481-673']</t>
  </si>
  <si>
    <t>LINESTRING (228740.13022018858 6607074.65296988, 228756.0902197857 6607055.842969866, 228764.5402195729 6607045.062970226, 228769.00021968043 6607048.782970586, 228782.38022005965 6607043.342969839, 228785.1702203789 6607038.782969765, 228799.70021973085 6607017.152970154, 228815.8502199257 6606993.902970309, 228821.27021953114 6606982.222969979, 228834.50021947944 6606949.522970744, 228836.77513325517 6606940.250275708, 228820.9165259439 6606960.75384029, 228768.87306183547 6607027.450147255, 228735.38895763742 6607069.976999861, 228715.47468024807 6607095.495744148, 228719.57021974208 6607101.242969772)</t>
  </si>
  <si>
    <t>POLYGON ((228756.47147435753 6607056.166458584, 228756.48373337125 6607056.151429033, 228764.61576467144 6607045.777074395, 228768.67995813704 6607049.166940043, 228768.71918925838 6607049.19651853, 228768.76113397328 6607049.222103851, 228768.80538726892 6607049.243448958, 228768.85152184122 6607049.260347745, 228768.8990922207 6607049.27263704, 228768.9476390739 6607049.280198179, 228768.99669363865 6607049.282958153, 228769.0457822504 6607049.28089031, 228769.09443091584 6607049.27401462, 228769.14216988976 6607049.262397471, 228769.18853821058 6607049.2461510375, 228782.5685385898 6607043.806150291, 228782.61645390306 6607043.783643836, 228782.6617211125 6607043.75619757, 228782.7038327877 6607043.724119157, 228782.7423168707 6607043.6877681855, 228782.7767419675 6607043.647552138, 228782.8067221843 6607043.603921823, 228785.59118511307 6607039.052972107, 228800.11309426842 6607017.43501592, 228816.26087042413 6606994.188217865, 228816.28393342518 6606994.151752545, 228816.3037667845 6606994.11343467, 228821.72376638994 6606982.433434339, 228821.73372110046 6606982.410496765, 228834.96372104876 6606949.71049753, 228834.98581909548 6606949.642105176, 228837.26073287122 6606940.3694101395, 228837.27000807505 6606940.321682379, 228837.27460380475 6606940.273279405, 228837.27447660375 6606940.224658912, 228837.2696276748 6606940.1762806475, 228837.2601028688 6606940.128602071, 228837.24599225112 6606940.082074026, 228837.22742924996 6606940.037136474, 228837.20458939474 6606939.99421434, 228837.17768865626 6606939.95371349, 228837.14698140454 6606939.916016895, 228837.11275800347 6606939.88148101, 228837.07534206522 6606939.850432401, 228837.03508739022 6606939.82316466, 228836.9923746216 6606939.799935627, 228836.9476076459 6606939.780964953, 228836.9012097741 6606939.766432023, 228836.85361973857 6606939.756474257, 228836.8052875447 6606939.751185818, 228836.7566702157 6606939.750616708, 228836.70822747084 6606939.754772311, 228836.66041737868 6606939.763613332, 228836.61369202542 6606939.777056172, 228836.56849324013 6606939.794973715, 228836.52524841687 6606939.817196538, 228836.4843664732 6606939.843514502, 228836.44623398365 6606939.873678749, 228836.41121152428 6606939.90740405, 228836.37963026305 6606939.944371502, 228820.52167626788 6606960.447091413, 228768.47954142446 6607027.141694859, 228734.9961134741 6607069.667688589, 228734.99477883388 6607069.669391229, 228715.08050144452 6607095.188135516, 228715.0521348651 6607095.2284327205, 228715.0278729382 6607095.271326618, 228715.0079513467 6607095.316400533, 228714.99256361116 6607095.36321661, 228714.98185920974 6607095.411320074, 228714.97594212618 6607095.460243644, 228714.97486983967 6607095.50951207, 228714.97865276653 6607095.5586467525, 228714.98725415897 6607095.607170392, 228715.00059046215 6607095.654611624, 228715.01853212574 6607095.7005096, 228715.04090486243 6607095.744418463, 228715.06749134115 6607095.785911676, 228719.16303083516 6607101.533137299, 228719.977408649 6607100.952802245, 228716.09831814343 6607095.509317111, 228735.782470945 6607070.28546128, 228769.2659059988 6607027.759458528, 228769.26725466936 6607027.7577379085, 228821.3107187778 6606961.061430943, 228821.31202893602 6606961.059744496, 228835.72750662328 6606942.421999583, 228834.0232047063 6606949.36884394, 228820.81140845438 6606982.023849913, 228815.4148855704 6606993.653258336, 228799.2895692324 6607016.867722598, 228799.28517133466 6607016.87416049, 228784.75517198272 6607038.5041601015, 228784.74371825426 6607038.522017782, 228782.0395509649 6607042.941731627, 228769.08996804987 6607048.206734521, 228764.86048111628 6607044.679000769, 228764.82051828547 6607044.648925987, 228764.77775076294 6607044.622994165, 228764.73260648397 6607044.60146478, 228764.6855371659 6607044.584553256, 228764.6370137882 6607044.57242881, 228764.58752187964 6607044.565212763, 228764.5375566604 6607044.562977317, 228764.48761808645 6607044.565744841, 228764.43820584725 6607044.573487642, 228764.3898143657 6607044.586128246, 228764.34292785093 6607044.60354017, 228764.29801545315 6607044.625549188, 228764.25552656956 6607044.651935076, 228764.2158863473 6607044.682433817, 228764.1794914297 6607044.716740235, 228764.14670598734 6607044.754511058, 228755.70268992652 6607055.526877021, 228739.74896561675 6607074.329481161, 228740.51147476042 6607074.976458599, 228756.47147435753 6607056.166458584))</t>
  </si>
  <si>
    <t>LINESTRING (211517.77238015365 6558101.246587375, 211518.86923725315 6558102.45207024, 211523.58023712185 6558104.833069451, 211531.0702369113 6558106.974070046, 211540.74023647502 6558108.3430703115, 211558.16023648833 6558105.362069919, 211572.4712368091 6558102.112070238, 211587.8912366567 6558098.753069458, 211608.0202364343 6558094.702069378, 211623.9712371393 6558091.01307022, 211644.3302370885 6558086.372070306, 211623.6340968628 6558088.474728119, 211596.90715968003 6558091.249895192, 211525.47840190667 6558100.033546565)</t>
  </si>
  <si>
    <t>POLYGON ((211517.77238015365 6558101.246587375, 211518.86923725315 6558102.45207024, 211523.58023712185 6558104.833069451, 211531.0702369113 6558106.974070046, 211540.74023647502 6558108.3430703115, 211558.16023648833 6558105.362069919, 211572.4712368091 6558102.112070238, 211587.8912366567 6558098.753069458, 211608.0202364343 6558094.702069378, 211623.9712371393 6558091.01307022, 211644.3302370885 6558086.372070306, 211623.6340968628 6558088.474728119, 211596.90715968003 6558091.249895192, 211525.47840190667 6558100.033546565, 211517.77238015365 6558101.246587375))</t>
  </si>
  <si>
    <t>LINESTRING (236399.62021542218 6584043.003015325, 236390.4902151829 6584051.343015205, 236380.16021557123 6584061.273014346, 236374.99021499133 6584070.013015291, 236372.61021476722 6584078.753015308, 236367.44021569384 6584087.89301459, 236365.86021541507 6584091.86301481, 236372.21021485445 6584098.2230150625, 236404.79021543107 6584113.3130150745, 236440.5402148965 6584132.383014198, 236466.76021558355 6584148.673014263, 236480.2702153353 6584157.413014865, 236479.07021516812 6584153.443014839, 236477.06694384734 6584150.989578021)</t>
  </si>
  <si>
    <t>POLYGON ((236390.15299423021 6584050.973851246, 236390.14370965195 6584050.98255173, 236379.8137100403 6584060.912550871, 236379.78260870115 6584060.945275041, 236379.7545858621 6584060.980671159, 236379.7298699834 6584061.01845065, 236374.55986940349 6584069.758451595, 236374.53885271438 6584069.797905795, 236374.52144391756 6584069.83907944, 236374.50778216773 6584069.881643412, 236372.14421683218 6584078.561290104, 236367.00501409997 6584087.646844786, 236366.97565524996 6584087.708126532, 236365.3956549712 6584091.678126751, 236365.37993994274 6584091.723962767, 236365.36873547395 6584091.771104705, 236365.3621467929 6584091.819109826, 236365.36023577792 6584091.867527286, 236365.36302037656 6584091.915902367, 236365.3704744369 6584091.963780748, 236365.38252795333 6584092.010712775, 236365.39906772398 6584092.05625768, 236365.41993841372 6584092.099987724, 236365.44494401317 6584092.14149221, 236365.47384967955 6584092.1803813465, 236365.50638394192 6584092.216289899, 236371.8563833813 6584098.576290152, 236371.88884228913 6584098.606055105, 236371.92379444776 6584098.632848383, 236371.96096869383 6584098.65646212, 236372.00007662477 6584098.6767131165, 236404.5673067788 6584113.760798283, 236440.29034929967 6584132.816417856, 236466.49246824475 6584149.095308326, 236479.99862833373 6584157.832824942, 236480.04080342164 6584157.857278496, 236480.0851594957 6584157.877508499, 236480.13127486923 6584157.893322627, 236480.17871112996 6584157.904570539, 236480.22701730812 6584157.9111453, 236480.27573416373 6584157.912984407, 236480.32439855265 6584157.910070374, 236480.37254782947 6584157.902430905, 236480.41972424582 6584157.890138628, 236480.46547930234 6584157.873310404, 236480.50937801212 6584157.8521062145, 236480.5510030365 6584157.826727647, 236480.58995865224 6584157.797415972, 236480.6258745139 6584157.76444985, 236480.65840917447 6584157.728142685, 236480.6872533316 6584157.688839645, 236480.71213276798 6584157.646914379, 236480.73281095838 6584157.602765462, 236480.7490913182 6584157.556812615, 236480.76081907234 6584157.509492703, 236480.76788272674 6584157.461255589, 236480.77021512826 6584157.412559858, 236480.7677941031 6584157.363868453, 236480.76064266753 6584157.3156442745, 236480.74882880927 6584157.268345785, 236479.5488286421 6584153.2983457595, 236479.53241564735 6584153.252303756, 236479.51158539802 6584153.20808438, 236479.48653696908 6584153.166110238, 236479.45750974835 6584153.126782475, 236477.45423842757 6584150.673345657, 236476.6796492671 6584151.305810384, 236478.62026513275 6584153.682512115, 236479.39714660685 6584156.252694651, 236467.03180258512 6584148.2532041855, 236467.0240784298 6584148.248306836, 236440.80407774274 6584131.958306772, 236440.77554103237 6584131.941854806, 236405.02554156695 6584112.871855682, 236405.00035366075 6584112.8593170205, 236372.50114058805 6584097.806735161, 236366.44635567573 6584091.742414379, 236367.89218362747 6584088.109543319, 236373.0454163611 6584078.999185112, 236373.06432059736 6584078.962270881, 236373.08010052994 6584078.923916946, 236373.09264759082 6584078.884387187, 236375.45491739915 6584070.209498018, 236380.55585922216 6584061.586242438, 236390.8321337798 6584051.707887998, 236399.95743637485 6584043.372179285, 236399.2829944695 6584042.633851366, 236390.15299423021 6584050.973851246))</t>
  </si>
  <si>
    <t>['EV18 S37D1 m597 KD3 m222-464']</t>
  </si>
  <si>
    <t>LINESTRING (232900.73721832212 6580745.0630221795, 232904.71775955852 6580745.620283333, 232895.81934799795 6580734.59580787, 232889.1922597498 6580727.191100683, 232884.4883494397 6580721.747158613, 232872.2391893937 6580708.86022931, 232876.8667461172 6580704.265549173, 232867.32621857483 6580694.948021502, 232857.5262180537 6580686.707021872, 232844.8302182947 6580677.129022292, 232835.47521787533 6580670.89302219, 232827.23421861551 6580666.6610218575, 232820.10721772967 6580664.211021949, 232810.97521814652 6580662.429021943, 232803.4022178647 6580661.761022155, 232796.72021858714 6580662.429021976, 232789.81521816738 6580663.5430216985, 232783.8012183981 6580665.7700223485, 232777.5642183107 6580669.334022526, 232771.7732183198 6580674.234021546, 232767.54121787188 6580679.579022434, 232763.0872185462 6580686.039021978, 232760.85921798716 6580692.721021874, 232762.86421784223 6580694.057022291, 232771.10521858383 6580695.394021575, 232784.02421780198 6580694.725022306, 232790.70621782314 6580693.166022214, 232794.04721829976 6580688.04302185, 232798.72421838652 6580681.361021806, 232804.51521823776 6580679.134022219, 232816.76621841738 6580680.025021823, 232825.23021774663 6580682.698021755, 232833.91621843172 6580687.375021569, 232839.4852179626 6580692.4980223905, 232843.49421776505 6580697.398021963, 232845.72121818562 6580703.857022345, 232846.16721859155 6580710.317021782, 232844.38521801657 6580715.217022271, 232839.93021780002 6580718.558022365, 232832.58021857456 6580721.231022021, 232826.343218708 6580722.344021731, 232817.87921821844 6580720.7850218695, 232809.63821849384 6580716.776022093, 232803.40221824602 6580711.653022417, 232798.05621828913 6580705.639021625, 232789.36921853013 6580702.744021993, 232771.32821820653 6580702.076022071, 232764.86921853584 6580702.521022336, 232759.74621832586 6580701.185021665, 232758.85521845234 6580710.762021756, 232759.5232184718 6580719.226021634, 232761.9732185866 6580726.354022063, 232765.53721796483 6580733.481022427, 232771.32821824588 6580739.050021817, 232777.787218376 6580743.05902233, 232785.1372182424 6580745.063022)</t>
  </si>
  <si>
    <t>POLYGON ((232904.64843742 6580746.115454456, 232904.69798884713 6580746.119892299, 232904.74773600735 6580746.119383936, 232904.7971863961 6580746.113934401, 232904.845850447 6580746.103597645, 232904.8932463784 6580746.088476002, 232904.93890496335 6580746.068719181, 232904.98237417484 6580746.044522775, 232905.02322366103 6580746.016126335, 232905.0610490057 6580745.983810987, 232905.09547573212 6580745.94789666, 232905.12616301043 6580745.90873891, 232905.15280703187 6580745.866725407, 232905.17514401654 6580745.822272088, 232905.19295282487 6580745.775819051, 232905.2060571469 6580745.7278261855, 232905.21432724784 6580745.678768629, 232905.21768125243 6580745.629132059, 232905.21608595547 6580745.579407887, 232905.2095571507 6580745.5300883865, 232905.19815947427 6580745.48166183, 232905.18200576492 6580745.434607648, 232905.16125594682 6580745.389391684, 232905.13611544642 6580745.346461582, 232905.1068331585 6580745.306242358, 232896.20842159793 6580734.281766895, 232896.1919230474 6580734.262359474, 232889.56774159093 6580726.86090016, 232884.86668103895 6580721.42025618, 232884.85075678257 6580721.402686672, 232872.93863909369 6580708.870348297, 232877.21903687774 6580704.6203607, 232877.252424352 6580704.5837508375, 232877.28202445756 6580704.544016226, 232877.30754652066 6580704.501547063, 232877.32873991402 6580704.456760395, 232877.3453965181 6580704.410096029, 232877.3573527646 6580704.362012209, 232877.364491243 6580704.312981121, 232877.36674185327 6580704.26348425, 232877.3640824943 6580704.214007655, 232877.35653928114 6580704.165037201, 232877.34418628825 6580704.117053775, 232877.3271448223 6580704.070528578, 232877.30558223088 6580704.025918487, 232877.27971025914 6580703.983661575, 232877.24978297035 6580703.944172806, 232877.2160942511 6580703.9078399595, 232867.67556670876 6580694.590312289, 232867.64802060375 6580694.565342193, 232857.84802008263 6580686.324342562, 232857.82734364306 6580686.307868543, 232845.13134388404 6580676.729868963, 232845.1075478613 6580676.712983457, 232835.75254744192 6580670.476983355, 232835.70362601976 6580670.44824166, 232827.46262675995 6580666.216241328, 232827.39676403883 6580666.1881804615, 232820.269763153 6580663.738180553, 232820.20298048964 6580663.720278132, 232811.0709809065 6580661.9382781265, 232811.0191516002 6580661.930955832, 232803.44615131838 6580661.262956044, 232803.39930322234 6580661.261030651, 232803.35248075702 6580661.263502085, 232796.67048147946 6580661.931501905, 232796.6405821638 6580661.935404675, 232789.73558174403 6580663.049404398, 232789.68798292681 6580663.059481428, 232789.6415888715 6580663.074136992, 232783.62758910222 6580665.301137642, 232783.58965379215 6580665.316987673, 232783.55314892225 6580665.335900782, 232777.31614883486 6580668.899900959, 232777.27749875258 6580668.924398436, 232777.24125018198 6580668.952326851, 232771.4502501911 6580673.852325872, 232771.4139582928 6580673.886268426, 232771.38121473228 6580673.923645666, 232767.14921428435 6580679.268646553, 232767.1295765554 6580679.295206602, 232762.6755772297 6580685.755206146, 232762.6507725172 6580685.795065294, 232762.62981555736 6580685.837075189, 232762.6128911089 6580685.880865467, 232760.38489054987 6580692.5628653625, 232760.37142977712 6580692.611191723, 232760.36287933326 6580692.66062369, 232760.35932529136 6580692.710663657, 232760.3608034282 6580692.760807894, 232760.36729886415 6580692.810551626, 232760.37874621275 6580692.859394104, 232760.3950302391 6580692.906843656, 232760.41598701972 6580692.952422629, 232760.44140559278 6580692.995672203, 232760.47103008183 6580693.036157004, 232760.50456227135 6580693.073469492, 232760.54166460902 6580693.107234059, 232760.58196360362 6580693.137110814, 232762.58696345869 6580694.473111232, 232762.63286782955 6580694.500279747, 232762.6814052779 6580694.522403389, 232762.73202338142 6580694.539230363, 232762.78414603745 6580694.550569154, 232771.02514677905 6580695.887568438, 232771.07795755524 6580695.893277858, 232771.13107600764 6580695.893352522, 232784.0500752258 6580695.224353252, 232784.0942247625 6580695.220097073, 232784.1378234013 6580695.211945059, 232790.81982342247 6580693.652944967, 232790.86571806148 6580693.639899491, 232790.9101602898 6580693.622538884, 232790.95274541606 6580693.601021232, 232790.99308565978 6580693.575542475, 232791.0308136823 6580693.546334622, 232791.06558593194 6580693.513663642, 232791.0970857722 6580693.477827035, 232791.12502636525 6580693.439151131, 232794.46154771035 6580688.323018947, 232799.04625560864 6580681.77287616, 232804.59039373274 6580679.64081026, 232816.6715144783 6580680.519454749, 232825.03468406643 6580683.160611828, 232833.62390390233 6580687.78549974, 232839.1206528746 6580692.842036259, 232843.05065242297 6580697.64547778, 232845.22696215712 6580703.957459257, 232845.66110651902 6580710.245732307, 232843.96618476414 6580714.906290528, 232839.68959618924 6580718.113491906, 232832.44989226173 6580720.746380089, 232826.34463085438 6580721.835870921, 232818.03673408984 6580720.305624093, 232809.91001131674 6580716.352216634, 232803.74988451056 6580711.291548517, 232798.42991611484 6580705.306832017, 232798.39323041492 6580705.269667016, 232798.35286848186 6580705.23653105, 232798.30927059607 6580705.207785576, 232798.26291233688 6580705.1837441595, 232798.2142993947 6580705.164669051, 232789.5272996357 6580702.269669419, 232789.4816444223 6580702.256825504, 232789.43497766176 6580702.248365119, 232789.3877192361 6580702.244364386, 232771.3467189125 6580701.576364464, 232771.2938515944 6580701.577204533, 232764.9163467367 6580702.016590118, 232759.87239088368 6580700.701203016, 232759.82529391424 6580700.69131421, 232759.777464416 6580700.685998938, 232759.72934546485 6580700.685306439, 232759.681382818 6580700.6892431285, 232759.63402078475 6580700.697772538, 232759.5876981105 6580700.710815653, 232759.54284391235 6580700.728251648, 232759.49987370402 6580700.749919002, 232759.45918554653 6580700.775616995, 232759.42115636086 6580700.805107571, 232759.3861384361 6580700.838117538, 232759.35445616615 6580700.874341105, 232759.32640304457 6580700.913442709, 232759.30223894567 6580700.955060124, 232759.28218771727 6580700.998807825, 232759.26643510695 6580701.044280545, 232759.25512704146 6580701.091057042, 232759.2483682747 6580701.138703994, 232758.3573684012 6580710.715704085, 232758.3552307182 6580710.75851951, 232758.3567684056 6580710.801360679, 232759.02476842504 6580719.2653605575, 232759.02983475995 6580719.30709267, 232759.0383887987 6580719.348251697, 232759.05037007332 6580719.388546685, 232761.50037018812 6580726.516547114, 232761.5260175211 6580726.577653919, 232765.09001689934 6580733.704654283, 232765.11828884154 6580733.7539663585, 232765.15197499603 6580733.799750924, 232765.19064000537 6580733.841416264, 232770.98164028642 6580739.410415654, 232771.02139361313 6580739.444811185, 232771.06453843173 6580739.474842903, 232777.52353856186 6580743.483843416, 232777.56566813556 6580743.507258306, 232777.60985649432 6580743.526507905, 232777.6556930119 6580743.541413331, 232785.0056928783 6580745.545413001, 232785.2687436065 6580744.580630998, 232777.98901409667 6580742.595790753, 232771.63674804856 6580738.653038418, 232765.94588899292 6580733.180341289, 232762.43527257963 6580726.160091901, 232760.01667931094 6580719.123466168, 232759.3570506509 6580710.765536922, 232760.18954792188 6580701.817357829, 232764.74304597802 6580703.004840985, 232764.795913943 6580703.0156195825, 232764.84963552537 6580703.020638694, 232764.90358514796 6580703.019839874, 232771.33617340052 6580702.576659254, 232789.27911445606 6580703.241028358, 232797.77132627583 6580706.071113632, 232803.0285204203 6580711.985212024, 232803.05561457408 6580712.0133915255, 232803.08482741535 6580712.039368195, 232809.32082766318 6580717.162367872, 232809.36829910864 6580717.196906312, 232809.41949160025 6580717.22564254, 232817.66049132484 6580721.234642316, 232817.70188363126 6580721.252517799, 232817.74471792052 6580721.266591875, 232817.78864588862 6580721.276750101, 232826.25264637818 6580722.835749962, 232826.2970522528 6580722.8418858275, 232826.34182921896 6580722.8440198, 232826.38661735397 6580722.842134728, 232826.4310566454 6580722.836245762, 232832.66805651196 6580721.723246052, 232832.71006205227 6580721.713868447, 232832.75110550187 6580721.700913134, 232840.10110472734 6580719.027913478, 232840.14635984867 6580719.008891098, 232840.18953146716 6580718.985522566, 232840.23020342964 6580718.958033143, 232844.6852036462 6580715.6170330485, 232844.72232002488 6580715.586294848, 232844.7563047765 6580715.55212616, 232844.78684218775 6580715.514844407, 232844.81364857056 6580715.474795932, 232844.83647489772 6580715.432352778, 232844.85510911606 6580715.387909235, 232846.63710969104 6580710.487908746, 232846.65236354465 6580710.4379944, 232846.66233102218 6580710.386761878, 232846.66690351313 6580710.334769433, 232846.6660311934 6580710.282583602, 232846.22003078746 6580703.822584165, 232846.21509752763 6580703.779027502, 232846.20636827176 6580703.7360703135, 232846.19391011368 6580703.694042772, 232843.96690969312 6580697.23504239, 232843.9506706092 6580697.193936684, 232843.93086500932 6580697.154425609, 232843.9076476454 6580697.116817884, 232843.88119992748 6580697.081407362, 232839.872200125 6580692.181407789, 232839.82372909482 6580692.130041122, 232834.25472956395 6580687.007040301, 232834.22295490396 6580686.980163701, 232834.1890551976 6580686.956022644, 232834.15326529904 6580686.934784381, 232825.46726461395 6580682.257784566, 232825.4248878421 6580682.237474739, 232825.3807915258 6580682.221232979, 232816.91679219654 6580679.548233047, 232816.86027878796 6580679.5339488685, 232816.8024869849 6580679.526338967, 232804.55148680529 6580678.635339363, 232804.49655697247 6580678.634370583, 232804.4418524353 6580678.639434048, 232804.38803363612 6580678.650468626, 232804.33575032404 6580678.667341099, 232798.5447504728 6580680.894340686, 232798.499578948 6580680.914326022, 232798.4565997967 6580680.938670897, 232798.4162324747 6580680.967137713, 232798.3788709478 6580680.9994486505, 232798.34487984664 6580681.035288368, 232798.31459090812 6580681.074307089, 232793.63759082137 6580687.7563071335, 232793.62840975766 6580687.769892934, 232790.3970857046 6580692.724718416, 232783.95393430794 6580694.227991926, 232771.13263432236 6580694.891931924, 232763.05127624766 6580693.580832666, 232761.45438477295 6580692.51676891, 232763.53911422184 6580686.264453621, 232767.94347922225 6580679.8764427975, 232772.1342613191 6580674.583500535, 232777.8521436774 6580669.7453692965, 232784.01350064605 6580666.22459376, 232789.943058658 6580664.028862125, 232796.7849642062 6580662.925041645, 232803.4051453829 6580662.263221783, 232810.90517813558 6580662.924785245, 232819.97744325822 6580664.695128788, 232827.03773479463 6580667.122196484, 232835.2215323033 6580671.324822002, 232844.54074426813 6580677.536965685, 232857.21453641247 6580687.0982116, 232866.99017898843 6580695.31872819, 232876.15414099203 6580704.268492147, 232871.88689863315 6580708.505417782, 232871.8542518567 6580708.541132, 232871.82521012402 6580708.579834651, 232871.80004541881 6580708.621163274, 232871.77899341538 6580708.664730814, 232871.76225127143 6580708.710129252, 232871.74997578163 6580708.756933415, 232871.74228190928 6580708.8047049735, 232871.73924170953 6580708.852996532, 232871.74088365468 6580708.901355827, 232871.74719236747 6580708.949329962, 232871.75810876515 6580708.996469645, 232871.77353061264 6580709.0423334, 232871.79331348024 6580709.086491701, 232871.81727209603 6580709.128530994, 232871.8451820811 6580709.168057569, 232871.87678205082 6580709.20470125, 232884.1177716076 6580722.083034657, 232888.81392815054 6580727.518003116, 232888.81968470037 6580727.524549079, 232895.43827641863 6580734.919762758, 232903.53392569438 6580744.949674971, 232900.80654046065 6580744.567851056, 232900.6678961836 6580745.558193303, 232904.64843742 6580746.115454456))</t>
  </si>
  <si>
    <t>['EV18 S35D1 m4784-4883']</t>
  </si>
  <si>
    <t>LINESTRING (228239.15022267256 6572991.733038283, 228252.19022198435 6573002.63303766, 228264.90022192965 6573012.66303816, 228297.02022180136 6573034.883037531, 228297.12022194592 6573034.953038096, 228297.21022213262 6573035.023037706, 228297.32022197178 6573035.073037494, 228297.43022190098 6573035.123038281, 228297.5402226954 6573035.163038115, 228297.65022249293 6573035.203038035, 228297.78022198426 6573035.233038005, 228297.89022269513 6573035.253038099, 228298.01022214553 6573035.263037378, 228298.13022268296 6573035.273037567, 228298.25022213953 6573035.263038107, 228298.37022250373 6573035.253037563, 228298.4902219196 6573035.233038239, 228298.61022224138 6573035.213037822, 228298.7102227452 6573035.173037756, 228298.83022198745 6573035.1330376975, 228300.8202221176 6573034.113038183, 228301.76022235572 6573033.613037581, 228303.4702220994 6573032.79303806, 228304.70022275927 6573032.323037516, 228305.80022264883 6573031.953037459, 228308.88022275286 6573031.153037442, 228309.83022182243 6573030.833037626, 228310.81022210052 6573030.443037446, 228311.870221849 6573029.943038326, 228312.88022233214 6573029.483037886, 228313.9302226061 6573028.883038073, 228314.83022229985 6573028.38303782, 228315.77022186894 6573027.763037932, 228316.6002221143 6573027.193037919, 228317.4502220066 6573026.603038104, 228318.2202221342 6573026.05303817, 228319.01022265374 6573025.443037887, 228320.05022223346 6573024.513037538, 228320.93022225838 6573023.633038357, 228321.97022274922 6573022.503037556, 228322.63022230996 6573021.763037773, 228323.1702226089 6573021.053038167, 228323.74022204475 6573020.273037398, 228324.18022256653 6573019.553037436, 228324.6602224314 6573018.803037724, 228325.26022224216 6573017.76303818, 228325.51022268477 6573017.333037444, 228323.03022200282 6573015.973038092, 228321.28022268758 6573014.99303784, 228319.53022243764 6573014.033037378, 228317.7802222608 6573013.073037891, 228314.270221819 6573011.133038133, 228310.53458317113 6573018.126418862, 228265.59119849175 6572994.601447907, 228207.51140802703 6572966.2483014455, 228220.75022227463 6572977.213037475, 228226.77022230037 6572981.933037943)</t>
  </si>
  <si>
    <t>POLYGON ((228239.15022267256 6572991.733038283, 228252.19022198435 6573002.63303766, 228264.90022192965 6573012.66303816, 228297.02022180136 6573034.883037531, 228297.12022194592 6573034.953038096, 228297.21022213262 6573035.023037706, 228297.32022197178 6573035.073037494, 228297.43022190098 6573035.123038281, 228297.5402226954 6573035.163038115, 228297.65022249293 6573035.203038035, 228297.78022198426 6573035.233038005, 228297.89022269513 6573035.253038099, 228298.01022214553 6573035.263037378, 228298.13022268296 6573035.273037567, 228298.25022213953 6573035.263038107, 228298.37022250373 6573035.253037563, 228298.4902219196 6573035.233038239, 228298.61022224138 6573035.213037822, 228298.7102227452 6573035.173037756, 228298.83022198745 6573035.1330376975, 228300.8202221176 6573034.113038183, 228301.76022235572 6573033.613037581, 228303.4702220994 6573032.79303806, 228304.70022275927 6573032.323037516, 228305.80022264883 6573031.953037459, 228308.88022275286 6573031.153037442, 228309.83022182243 6573030.833037626, 228310.81022210052 6573030.443037446, 228311.870221849 6573029.943038326, 228312.88022233214 6573029.483037886, 228313.9302226061 6573028.883038073, 228314.83022229985 6573028.38303782, 228315.77022186894 6573027.763037932, 228316.6002221143 6573027.193037919, 228317.4502220066 6573026.603038104, 228318.2202221342 6573026.05303817, 228319.01022265374 6573025.443037887, 228320.05022223346 6573024.513037538, 228320.93022225838 6573023.633038357, 228321.97022274922 6573022.503037556, 228322.63022230996 6573021.763037773, 228323.1702226089 6573021.053038167, 228323.74022204475 6573020.273037398, 228324.18022256653 6573019.553037436, 228324.6602224314 6573018.803037724, 228325.26022224216 6573017.76303818, 228325.51022268477 6573017.333037444, 228323.03022200282 6573015.973038092, 228321.28022268758 6573014.99303784, 228319.53022243764 6573014.033037378, 228317.7802222608 6573013.073037891, 228314.270221819 6573011.133038133, 228310.53458317113 6573018.126418862, 228265.59119849175 6572994.601447907, 228207.51140802703 6572966.2483014455, 228220.75022227463 6572977.213037475, 228226.77022230037 6572981.933037943, 228239.15022267256 6572991.733038283))</t>
  </si>
  <si>
    <t>LINESTRING (222309.09877910197 6564379.142788534, 222307.2102271865 6564376.99305615, 222302.39022775932 6564366.803055932, 222298.22022801172 6564355.84305545, 222296.41022768797 6564343.603055977, 222295.40022742294 6564332.363055839, 222296.01022722252 6564319.553056357, 222296.470227908 6564308.883056038, 222298.7402273222 6564298.753055957, 222301.50022731593 6564286.113056449, 222305.60022716812 6564272.633056118, 222303.7402277853 6564271.743055871, 222292.23022815678 6564289.4230563585, 222285.710227945 6564295.683055587, 222274.3702275594 6564303.43305593, 222262.80022722384 6564308.733056189, 222254.5602280746 6564311.60305565, 222244.72022804123 6564312.493055856, 222235.9002272088 6564312.923055786, 222228.37022726133 6564311.833056133)</t>
  </si>
  <si>
    <t>POLYGON ((222307.63219552694 6564376.715799743, 222302.85058455696 6564366.606956876, 222298.7068912621 6564355.716097582, 222296.9069411868 6564343.544062206, 222295.9012955413 6564332.352523365, 222296.5096612917 6564319.5768389255, 222296.50976321692 6564319.574592149, 222296.9678490844 6564308.949007216, 222299.22812743305 6564298.8623879375, 222299.22871763448 6564298.859719985, 222301.9844336451 6564286.239339878, 222306.07858988957 6564272.7785521895, 222306.0908619037 6564272.72937619, 222306.09809238836 6564272.679210451, 222306.10020704652 6564272.628570452, 222306.0971841489 6564272.577976546, 222306.08905475744 6564272.527948611, 222306.0759024058 6564272.479000712, 222306.0578622414 6564272.431635812, 222306.03511963633 6564272.386340612, 222306.00790828283 6564272.343580543, 222305.97650779184 6564272.3037949875, 222305.9412408199 6564272.267392763, 222305.90246975364 6564272.234747921, 222305.86059298614 6564272.206195906, 222305.8160408231 6564272.182030103, 222303.95604144028 6564271.292029856, 222303.9118156577 6564271.273420265, 222303.86600973146 6564271.259135524, 222303.81904548596 6564271.24930718, 222303.77135541246 6564271.244025741, 222303.72337868626 6564271.243339843, 222303.67555712257 6564271.247255805, 222303.62833110755 6564271.255737563, 222303.58213554308 6564271.268707009, 222303.53739584167 6564271.286044708, 222303.49452400883 6564271.307591, 222303.45391484903 6564271.333147463, 222303.41594232983 6564271.362478752, 222303.38095613813 6564271.395314755, 222303.34927845997 6564271.431353088, 222303.32120101343 6564271.470261875, 222291.84252502988 6564289.102147499, 222285.39386090368 6564295.293655343, 222274.12327210017 6564302.996218317, 222262.61346503312 6564308.268645167, 222254.453890825 6564311.110632547, 222244.68551949554 6564311.9941541385, 222235.92408904535 6564312.421298597, 222228.44185782125 6564311.338213671, 222228.2985967014 6564312.3278985955, 222235.82859664888 6564313.417898248, 222235.87647577713 6564313.422491336, 222235.9245747019 6564313.422462634, 222244.74457553434 6564312.992462704, 222244.76526777592 6564312.991023147, 222254.6052678093 6564312.101022941, 222254.66576872778 6564312.091789904, 222254.7246883899 6564312.0752344355, 222262.96468753912 6564309.205234974, 222263.0084598781 6564309.187631993, 222274.57846021367 6564303.887631734, 222274.6162918616 6564303.868317184, 222274.65234762864 6564303.8458612915, 222285.99234801423 6564296.095860949, 222286.02551185797 6564296.071122661, 222286.0565168602 6564296.043727165, 222292.57651707198 6564289.783727936, 222292.61540038142 6564289.741870344, 222292.64925492866 6564289.695850355, 222303.919995274 6564272.383365451, 222304.99683625088 6564272.898628384, 222301.02186459448 6564285.967560378, 222301.01173700366 6564286.006392421, 222298.2520284664 6564298.645057143, 222295.98232779716 6564308.773724058, 222295.97456213538 6564308.817364016, 222295.9706919136 6564308.861520247, 222295.51073966394 6564319.530397067, 222294.90079335377 6564332.339273271, 222294.90223388077 6564332.40780438, 222295.9122341458 6564343.647804518, 222295.91560644962 6564343.676198513, 222297.72560677337 6564355.916197986, 222297.73641991883 6564355.969268481, 222297.752909878 6564356.020858043, 222301.9229096256 6564366.980858524, 222301.93824148367 6564367.0168511765, 222306.75824091086 6564377.206851395, 222306.7800472705 6564377.24789971, 222306.80557121307 6564377.286745685, 222306.83459216272 6564377.323053618, 222308.7231440782 6564379.472786002, 222309.47441412575 6564378.812791066, 222307.63219552694 6564376.715799743))</t>
  </si>
  <si>
    <t>LINESTRING (228336.42022195394 6572990.6230378905, 228339.24022211734 6572992.0930374535, 228340.61022201914 6572991.073038075, 228342.73022264714 6572986.983037469, 228344.94022220036 6572982.883037809, 228347.3502225757 6572978.663037849, 228349.3202218233 6572974.843038001, 228351.46022270655 6572971.193038051, 228353.14022245992 6572968.1030381, 228354.5702219162 6572965.503037927, 228356.520222086 6572962.1930377595, 228358.17022192437 6572959.223037606, 228358.97022259404 6572957.823037475, 228360.35022226692 6572955.513037907, 228360.6202221766 6572954.993037604, 228360.64022175677 6572954.743037899, 228360.5802218456 6572954.583038317, 228359.53022237 6572953.623038053, 228359.1502224321 6572953.413037638, 228358.89022189676 6572953.403038037, 228358.5802224517 6572953.483038377, 228356.44022260804 6572954.243038245, 228353.4502220709 6572955.213038404, 228351.00022218702 6572955.963037917, 228348.2102219354 6572956.743037701, 228345.74022175005 6572957.383037856, 228342.92022260342 6572957.903038185, 228339.68022185413 6572958.423037642, 228336.97022252157 6572958.813038216, 228334.6002220672 6572959.103037611, 228332.49022273446 6572959.283038135, 228330.11022247514 6572959.383038063, 228327.82022207562 6572959.493038454, 228325.1302225886 6572959.553038297, 228322.8202227222 6572959.53303843, 228320.36022247677 6572959.463037944, 228317.75022262812 6572959.283037553, 228315.24022240058 6572959.083037978, 228312.9202226617 6572958.883038454, 228310.19022221497 6572958.483038493, 228307.7602218571 6572958.103037833, 228305.07022231724 6572957.603037851, 228302.200222357 6572956.963037521, 228299.35022185725 6572956.263037886, 228296.78022273246 6572955.5830375245, 228294.09022278053 6572954.823037787, 228289.87022200937 6572953.563037575, 228285.04022252338 6572952.203038242, 228280.14022242744 6572950.793037786, 228276.18022181612 6572949.723037616, 228271.1402220787 6572948.273038035, 228267.05409375305 6572947.215141673, 228274.52011033427 6572950.800332323, 228317.09509191342 6572971.894595826, 228329.07766112738 6572978.284163564, 228325.31029572338 6572985.349216727)</t>
  </si>
  <si>
    <t>POLYGON ((228336.42022195394 6572990.6230378905, 228339.24022211734 6572992.0930374535, 228340.61022201914 6572991.073038075, 228342.73022264714 6572986.983037469, 228344.94022220036 6572982.883037809, 228347.3502225757 6572978.663037849, 228349.3202218233 6572974.843038001, 228351.46022270655 6572971.193038051, 228353.14022245992 6572968.1030381, 228354.5702219162 6572965.503037927, 228356.520222086 6572962.1930377595, 228358.17022192437 6572959.223037606, 228358.97022259404 6572957.823037475, 228360.35022226692 6572955.513037907, 228360.6202221766 6572954.993037604, 228360.64022175677 6572954.743037899, 228360.5802218456 6572954.583038317, 228359.53022237 6572953.623038053, 228359.1502224321 6572953.413037638, 228358.89022189676 6572953.403038037, 228358.5802224517 6572953.483038377, 228356.44022260804 6572954.243038245, 228353.4502220709 6572955.213038404, 228351.00022218702 6572955.963037917, 228348.2102219354 6572956.743037701, 228345.74022175005 6572957.383037856, 228342.92022260342 6572957.903038185, 228339.68022185413 6572958.423037642, 228336.97022252157 6572958.813038216, 228334.6002220672 6572959.103037611, 228332.49022273446 6572959.283038135, 228330.11022247514 6572959.383038063, 228327.82022207562 6572959.493038454, 228325.1302225886 6572959.553038297, 228322.8202227222 6572959.53303843, 228320.36022247677 6572959.463037944, 228317.75022262812 6572959.283037553, 228315.24022240058 6572959.083037978, 228312.9202226617 6572958.883038454, 228310.19022221497 6572958.483038493, 228307.7602218571 6572958.103037833, 228305.07022231724 6572957.603037851, 228302.200222357 6572956.963037521, 228299.35022185725 6572956.263037886, 228296.78022273246 6572955.5830375245, 228294.09022278053 6572954.823037787, 228289.87022200937 6572953.563037575, 228285.04022252338 6572952.203038242, 228280.14022242744 6572950.793037786, 228276.18022181612 6572949.723037616, 228271.1402220787 6572948.273038035, 228267.05409375305 6572947.215141673, 228274.52011033427 6572950.800332323, 228317.09509191342 6572971.894595826, 228329.07766112738 6572978.284163564, 228325.31029572338 6572985.349216727, 228336.42022195394 6572990.6230378905))</t>
  </si>
  <si>
    <t>['EV18 S40D1 m5795-5896', 'EV18 S41D1 m0-30']</t>
  </si>
  <si>
    <t>LINESTRING (237153.56021400698 6596220.752990516, 237148.06021393905 6596221.03199008, 237141.58021434542 6596220.102990825, 237136.440213667 6596218.402990851, 237130.7002135829 6596215.992990323, 237124.0202138577 6596211.611990096, 237119.50021430803 6596208.342990471, 237114.8102141465 6596203.242990493, 237110.04021371313 6596197.1729904935, 237103.2275326462 6596182.730900978, 237103.80841947655 6596189.521712911, 237104.42659034493 6596196.356637342, 237105.00091948127 6596202.026545646, 237105.9012295729 6596212.092542783, 237106.72540961736 6596225.878542036, 237110.03069118032 6596266.386136858, 237112.83277515584 6596298.872193007, 237113.71776993782 6596307.256431432, 237114.93907760858 6596315.314995682, 237115.90021365724 6596312.352990051, 237118.54021433723 6596312.762989837, 237119.8802143188 6596314.371990737, 237121.0702142584 6596313.1829907615, 237118.17021416134 6596309.8719907515, 237116.22021418315 6596309.832990118, 237113.50021362642 6596276.16299017, 237109.97021375794 6596237.152990597, 237109.7702137265 6596235.002990116, 237110.49021382304 6596232.121990578, 237111.67021346948 6596229.633990604, 237113.53021356114 6596227.402990236, 237115.50021420093 6596225.281990099, 237118.92021416017 6596223.563990054, 237121.4702143942 6596223.002990429, 237123.71021350392 6596222.5829905085, 237126.1502139498 6596223.2329908, 237129.47021425253 6596223.902990548, 237131.39021393954 6596224.81399087, 237130.9802141533 6596226.262990232, 237131.7502140712 6596226.412990903, 237133.1302134139 6596227.262990484, 237135.45021400496 6596229.002990451, 237140.710213868 6596231.99299044, 237143.34021339216 6596233.592990531, 237145.6602140015 6596234.031990002, 237148.34021411114 6596233.791990439, 237150.1502139179 6596233.412990108, 237152.33021350746 6596232.352990042, 237154.22021386726 6596230.441990248, 237155.44021404407 6596228.3839908345, 237156.1902143574 6596224.742990752, 237156.05021385668 6596223.1339904275, 237155.19021416042 6596220.822990264)</t>
  </si>
  <si>
    <t>POLYGON ((237153.56021400698 6596220.752990516, 237148.06021393905 6596221.03199008, 237141.58021434542 6596220.102990825, 237136.440213667 6596218.402990851, 237130.7002135829 6596215.992990323, 237124.0202138577 6596211.611990096, 237119.50021430803 6596208.342990471, 237114.8102141465 6596203.242990493, 237110.04021371313 6596197.1729904935, 237103.2275326462 6596182.730900978, 237103.80841947655 6596189.521712911, 237104.42659034493 6596196.356637342, 237105.00091948127 6596202.026545646, 237105.9012295729 6596212.092542783, 237106.72540961736 6596225.878542036, 237110.03069118032 6596266.386136858, 237112.83277515584 6596298.872193007, 237113.71776993782 6596307.256431432, 237114.93907760858 6596315.314995682, 237115.90021365724 6596312.352990051, 237118.54021433723 6596312.762989837, 237119.8802143188 6596314.371990737, 237121.0702142584 6596313.1829907615, 237118.17021416134 6596309.8719907515, 237116.22021418315 6596309.832990118, 237113.50021362642 6596276.16299017, 237109.97021375794 6596237.152990597, 237109.7702137265 6596235.002990116, 237110.49021382304 6596232.121990578, 237111.67021346948 6596229.633990604, 237113.53021356114 6596227.402990236, 237115.50021420093 6596225.281990099, 237118.92021416017 6596223.563990054, 237121.4702143942 6596223.002990429, 237123.71021350392 6596222.5829905085, 237126.1502139498 6596223.2329908, 237129.47021425253 6596223.902990548, 237131.39021393954 6596224.81399087, 237130.9802141533 6596226.262990232, 237131.7502140712 6596226.412990903, 237133.1302134139 6596227.262990484, 237135.45021400496 6596229.002990451, 237140.710213868 6596231.99299044, 237143.34021339216 6596233.592990531, 237145.6602140015 6596234.031990002, 237148.34021411114 6596233.791990439, 237150.1502139179 6596233.412990108, 237152.33021350746 6596232.352990042, 237154.22021386726 6596230.441990248, 237155.44021404407 6596228.3839908345, 237156.1902143574 6596224.742990752, 237156.05021385668 6596223.1339904275, 237155.19021416042 6596220.822990264, 237153.56021400698 6596220.752990516))</t>
  </si>
  <si>
    <t>['EV18 S28D1 m169-273']</t>
  </si>
  <si>
    <t>LINESTRING (197311.97125581623 6565398.53038062, 197322.85099148378 6565405.025918862, 197333.669688705 6565411.236662373, 197341.30232966377 6565415.416399739, 197345.96681165183 6565418.067492678, 197343.00024846138 6565413.803056786, 197340.1002485904 6565408.8030570345, 197337.9002484898 6565404.103057532, 197336.60024818877 6565400.003057115, 197335.30024843267 6565394.203057474, 197334.60024792363 6565389.003057464, 197334.60024860076 6565383.303056775, 197335.3002485747 6565378.903057658, 197336.50024824968 6565374.1030569235, 197338.10024843237 6565369.703057077, 197340.5002481903 6565365.403056869, 197343.300248596 6565361.103057097, 197346.5002483041 6565357.703056796, 197350.2002486849 6565354.60305715, 197350.80024824775 6565354.203057191, 197353.50024785066 6565352.303057419, 197354.9002487035 6565351.5030575665, 197356.90024790022 6565350.503057651, 197359.50024781004 6565349.40305735, 197359.60024783207 6565349.203057203, 197359.60024802742 6565349.003057458, 197359.30024805415 6565348.903057841, 197359.10024830903 6565348.903057642, 197357.70024798292 6565349.103057198, 197353.20024781075 6565349.80305693, 197349.80024830555 6565350.303057334, 197344.10024804238 6565351.90305701, 197337.80024879653 6565354.103057519, 197332.0002483765 6565356.003057578, 197326.10024857335 6565358.103056946, 197320.80024812085 6565360.003057234, 197315.00024845346 6565361.803056806, 197309.60024853144 6565363.203057237, 197304.10024817212 6565364.303057493, 197298.20024804078 6565365.203057668, 197291.80024868168 6565365.80305717, 197286.20024837827 6565365.903057785, 197279.1002480127 6565365.603056972, 197273.60024810204 6565365.003057506, 197268.600248307 6565364.103057025, 197263.30024866777 6565363.003056796, 197260.9175887613 6565362.265566859, 197267.95780034375 6565367.977279987, 197277.2989742068 6565375.2266287105, 197292.5321547789 6565386.33989923, 197310.42464871437 6565397.558732336)</t>
  </si>
  <si>
    <t>POLYGON ((197311.97125581623 6565398.53038062, 197322.85099148378 6565405.025918862, 197333.669688705 6565411.236662373, 197341.30232966377 6565415.416399739, 197345.96681165183 6565418.067492678, 197343.00024846138 6565413.803056786, 197340.1002485904 6565408.8030570345, 197337.9002484898 6565404.103057532, 197336.60024818877 6565400.003057115, 197335.30024843267 6565394.203057474, 197334.60024792363 6565389.003057464, 197334.60024860076 6565383.303056775, 197335.3002485747 6565378.903057658, 197336.50024824968 6565374.1030569235, 197338.10024843237 6565369.703057077, 197340.5002481903 6565365.403056869, 197343.300248596 6565361.103057097, 197346.5002483041 6565357.703056796, 197350.2002486849 6565354.60305715, 197350.80024824775 6565354.203057191, 197353.50024785066 6565352.303057419, 197354.9002487035 6565351.5030575665, 197356.90024790022 6565350.503057651, 197359.50024781004 6565349.40305735, 197359.60024783207 6565349.203057203, 197359.60024802742 6565349.003057458, 197359.30024805415 6565348.903057841, 197359.10024830903 6565348.903057642, 197357.70024798292 6565349.103057198, 197353.20024781075 6565349.80305693, 197349.80024830555 6565350.303057334, 197344.10024804238 6565351.90305701, 197337.80024879653 6565354.103057519, 197332.0002483765 6565356.003057578, 197326.10024857335 6565358.103056946, 197320.80024812085 6565360.003057234, 197315.00024845346 6565361.803056806, 197309.60024853144 6565363.203057237, 197304.10024817212 6565364.303057493, 197298.20024804078 6565365.203057668, 197291.80024868168 6565365.80305717, 197286.20024837827 6565365.903057785, 197279.1002480127 6565365.603056972, 197273.60024810204 6565365.003057506, 197268.600248307 6565364.103057025, 197263.30024866777 6565363.003056796, 197260.9175887613 6565362.265566859, 197267.95780034375 6565367.977279987, 197277.2989742068 6565375.2266287105, 197292.5321547789 6565386.33989923, 197310.42464871437 6565397.558732336, 197311.97125581623 6565398.53038062))</t>
  </si>
  <si>
    <t>['EV18 S41D1 m6324-6368']</t>
  </si>
  <si>
    <t>LINESTRING (234691.20904107328 6601591.550338394, 234693.81021577696 6601592.672979669, 234696.64021554723 6601594.12197975, 234700.38021501194 6601596.922979736, 234703.18021570065 6601599.61198042, 234706.83021587337 6601604.012980343, 234709.55021568981 6601609.063979906, 234711.69021554012 6601614.582979747, 234712.66021538572 6601619.582979678, 234713.01021598448 6601621.951979941, 234712.71021574823 6601628.041979659, 234712.7702158332 6601628.691979726, 234714.6002156649 6601630.592979874, 234715.6502153332 6601627.572979997, 234716.73021570122 6601623.371980091, 234718.72021499946 6601615.412979827, 234720.64021593868 6601607.252980276, 234722.36021586513 6601600.451980325, 234725.23021530983 6601592.662979754, 234727.3402151456 6601588.041979984, 234730.12021596206 6601583.852980523, 234733.7069887714 6601579.1068253815)</t>
  </si>
  <si>
    <t>POLYGON ((234693.5969832908 6601593.125530755, 234696.37450925214 6601594.5476635005, 234700.05597336972 6601597.304824575, 234702.81344377462 6601599.952980997, 234706.41358428702 6601604.293862468, 234709.0952628143 6601609.273699962, 234711.20787803974 6601614.72207562, 234712.16722685544 6601619.667173327, 234712.50840414298 6601621.976452473, 234712.21082131093 6601628.017378927, 234712.21233241426 6601628.087938181, 234712.27233249924 6601628.737938248, 234712.27906128313 6601628.785613095, 234712.29034438147 6601628.832419712, 234712.30607716975 6601628.877924075, 234712.326113763 6601628.921704237, 234712.3502683685 6601628.96335424, 234712.37831700855 6601629.0024878755, 234712.40999959715 6601629.038742272, 234714.23999942883 6601630.939742421, 234714.27534138196 6601630.973054472, 234714.31374851917 6601631.002780527, 234714.35485846983 6601631.028640117, 234714.39828336216 6601631.050389259, 234714.4436134829 6601631.06782275, 234714.49042114298 6601631.080776106, 234714.53826471287 6601631.08912711, 234714.58669278907 6601631.092796973, 234714.63524845344 6601631.091751068, 234714.68347358392 6601631.085999264, 234714.73091317713 6601631.07559583, 234714.7771196412 6601631.06063892, 234714.8216570187 6601631.041269654, 234714.8641051002 6601631.01767078, 234714.9040633886 6601630.990064954, 234714.94115487803 6601630.9587126365, 234714.97502961083 6601630.923909634, 234715.00536797935 6601630.885984315, 234715.03188374153 6601630.845294503, 234715.05432672153 6601630.802224105, 234715.07248517024 6601630.757179492, 234716.12248483856 6601627.737179615, 234716.1344689371 6601627.697472757, 234717.2144693051 6601623.49647285, 234717.21528337704 6601623.4932622, 234719.20528267528 6601615.534261936, 234719.20692356973 6601615.527499553, 234721.1259728768 6601607.371544436, 234722.8384922856 6601600.600122975, 234725.69286743744 6601592.853525765, 234727.7786479676 6601588.285567425, 234730.52835226446 6601584.1422197865, 234734.10589053872 6601579.408284135, 234733.30808700406 6601578.805366628, 234729.72131419473 6601583.55152177, 234729.7036103694 6601583.576503074, 234726.92360955296 6601587.765502535, 234726.90314228428 6601587.799148121, 234726.8853865014 6601587.8343001725, 234724.77538666563 6601592.455299942, 234724.76105093557 6601592.490107575, 234721.89105149088 6601600.279108147, 234721.87547764037 6601600.329388102, 234720.1554777139 6601607.130388052, 234720.1535073684 6601607.13846055, 234718.2343033506 6601615.295073188, 234716.24554974437 6601623.249091307, 234715.17112962983 6601627.428385069, 234714.39546859064 6601629.659334577, 234713.25198855615 6601628.471489814, 234713.21135073298 6601628.031247308, 234713.50961042178 6601621.976580673, 234713.50962245517 6601621.927624715, 234713.50484680658 6601621.878902243, 234713.15484620782 6601619.509901981, 234713.15106391176 6601619.487755078, 234712.18106406616 6601614.487755147, 234712.17063792935 6601614.4444361515, 234712.15639677815 6601614.402217325, 234710.01639692785 6601608.883217484, 234709.9904428418 6601608.826914399, 234707.27044302537 6601603.775914836, 234707.24479896875 6601603.733479257, 234707.2150780744 6601603.6937921755, 234703.56507790167 6601599.292792252, 234703.52654863577 6601599.251351112, 234700.72654794707 6601596.562350428, 234700.67994103077 6601596.522774396, 234696.93994156606 6601593.72177441, 234696.90496702018 6601593.6978257, 234696.86808969517 6601593.676925402, 234694.0380899249 6601592.227925321, 234694.00834553535 6601592.213910394, 234691.40717083166 6601591.09126912, 234691.0109113149 6601592.009407668, 234693.5969832908 6601593.125530755))</t>
  </si>
  <si>
    <t>LINESTRING (234359.05087042484 6581484.497005144, 234390.36285243812 6581496.861231853, 234364.7692165508 6581472.827020258, 234348.1162168883 6581454.357020526, 234338.73021719267 6581441.640020537, 234334.18821725214 6581437.704020485, 234331.1602173776 6581433.162019877, 234325.10421656183 6581417.417020555, 234310.57121704798 6581422.262020748, 234300.27621702052 6581428.31802012, 234292.10121700168 6581438.915020549, 234280.88036790764 6581455.006098111)</t>
  </si>
  <si>
    <t>POLYGON ((234390.17921476724 6581497.326287985, 234390.2259365132 6581497.342120645, 234390.2739910507 6581497.35327215, 234390.3229105986 6581497.35963395, 234390.37221895548 6581497.361144114, 234390.42143613513 6581497.357787943, 234390.4700830389 6581497.349598108, 234390.51768611942 6581497.33665433, 234390.56378199023 6581497.319082609, 234390.60792193672 6581497.2970539965, 234390.64967628394 6581497.270782926, 234390.68863857922 6581497.24052513, 234390.72442954886 6581497.206575151, 234390.75670079002 6581497.169263468, 234390.78513816217 6581497.128953289, 234390.80946484522 6581497.086037008, 234390.829444034 6581497.040932389, 234390.8448812435 6581496.994078497, 234390.85562620213 6581496.945931425, 234390.86157431436 6581496.896959856, 234390.862667679 6581496.847640497, 234390.85889565287 6581496.798453441, 234390.85029495426 6581496.749877493, 234390.83694930564 6581496.702385512, 234390.81898861862 6581496.656439801, 234390.7965877293 6581496.612487612, 234390.76996469643 6581496.5709567955, 234390.7393786787 6581496.532251625, 234390.7051274119 6581496.496748874, 234365.12664423147 6581472.476766729, 234348.50396479527 6581454.040395447, 234339.132509635 6581441.343101708, 234339.09732420184 6581441.300561491, 234339.057663463 6581441.262159531, 234334.5667470794 6581437.370427397, 234331.6069892284 6581432.930789842, 234325.5708870625 6581417.237525029, 234325.55168106445 6581417.193916276, 234325.52841102603 6581417.152333841, 234325.50128829456 6581417.113155388, 234325.47055920883 6581417.076736754, 234325.43650286196 6581417.043408704, 234325.39942856642 6581417.013473937, 234325.35967304485 6581416.987204332, 234325.31759737182 6581416.964838479, 234325.2735836943 6581416.946579512, 234325.22803176104 6581416.932593267, 234325.18135529177 6581416.923006773, 234325.13397821964 6581416.917907096, 234325.08633084098 6581416.917340556, 234325.03884590714 6581416.921312296, 234324.99195469407 6581416.929786244, 234324.9460830854 6581416.942685437, 234310.41308357156 6581421.787685631, 234310.3642542678 6581421.806865382, 234310.31770334588 6581421.831055781, 234300.02270331842 6581427.887055153, 234299.98276602195 6581427.913191129, 234299.9455027412 6581427.943016033, 234299.91125303076 6581427.976258089, 234299.8803289844 6581428.012614385, 234291.70532896556 6581438.609614814, 234291.6910879427 6581438.6290237745, 234280.47023884865 6581454.720101337, 234281.29049696663 6581455.292094885, 234292.5044592309 6581439.21089327, 234300.61305607774 6581428.699969226, 234310.7793253256 6581422.7196953045, 234324.80907292303 6581418.042468848, 234330.69354687692 6581433.341515402, 234330.716165816 6581433.391842005, 234330.74419220796 6581433.439369941, 234333.7721920825 6581437.98137055, 234333.7986733818 6581438.017477935, 234333.8282788269 6581438.05107139, 234333.86077098182 6581438.0818814915, 234338.36085880693 6581441.9815614, 234347.71392444597 6581454.653939355, 234347.74486987866 6581454.691835996, 234364.39786954116 6581473.161835727, 234364.42694157702 6581473.191503237, 234388.11463931945 6581495.435905801, 234359.23450809572 6581484.031949013, 234358.86723275395 6581484.962061276, 234390.17921476724 6581497.326287985))</t>
  </si>
  <si>
    <t>['EV18 S44D1 m5532-5700']</t>
  </si>
  <si>
    <t>LINESTRING (228951.7948007846 6618874.848036181, 228914.83710539527 6618748.710078103, 228903.35642867483 6618716.285819985, 228903.47021897626 6618719.3739467105, 228906.72021897335 6618742.342947354, 228909.6702186474 6618745.602946437, 228913.55021932028 6618749.37394656, 228916.20865290717 6618756.3584265215, 228921.15515108994 6618775.477624947, 228925.00974303845 6618789.42807368, 228924.58021931333 6618799.6029471615, 228930.84021881572 6618806.98294702, 228936.09348354925 6618825.987619293, 228940.34738246398 6618836.69259488, 228942.1902192899 6618850.9929464655, 228936.49021872325 6618849.752946875, 228929.90021881287 6618838.8619471025, 228926.69021942356 6618832.672946588, 228924.49021937198 6618831.111946668, 228915.6802186555 6618821.602946693, 228916.05021885625 6618825.691946595, 228919.10021911078 6618836.611946429, 228932.3402190577 6618852.77294672, 228945.32021900197 6618866.031946943, 228952.77427363582 6618878.038348004)</t>
  </si>
  <si>
    <t>POLYGON ((228951.7948007846 6618874.848036181, 228914.83710539527 6618748.710078103, 228903.35642867483 6618716.285819985, 228903.47021897626 6618719.3739467105, 228906.72021897335 6618742.342947354, 228909.6702186474 6618745.602946437, 228913.55021932028 6618749.37394656, 228916.20865290717 6618756.3584265215, 228921.15515108994 6618775.477624947, 228925.00974303845 6618789.42807368, 228924.58021931333 6618799.6029471615, 228930.84021881572 6618806.98294702, 228936.09348354925 6618825.987619293, 228940.34738246398 6618836.69259488, 228942.1902192899 6618850.9929464655, 228936.49021872325 6618849.752946875, 228929.90021881287 6618838.8619471025, 228926.69021942356 6618832.672946588, 228924.49021937198 6618831.111946668, 228915.6802186555 6618821.602946693, 228916.05021885625 6618825.691946595, 228919.10021911078 6618836.611946429, 228932.3402190577 6618852.77294672, 228945.32021900197 6618866.031946943, 228952.77427363582 6618878.038348004, 228951.7948007846 6618874.848036181))</t>
  </si>
  <si>
    <t>2025-11-22T09:19:00Z</t>
  </si>
  <si>
    <t>['FV5212 S1D10 m28-81']</t>
  </si>
  <si>
    <t>LINESTRING Z (-39594.262436744524 6733172.8014158085 38.887, -39594.27473788068 6733173.420566529 38.663000000000004, -39594.7876050371 6733175.281378323 38.37, -39595.31288510002 6733176.840891247 38.306, -39596.35847676825 6733180.070704458 38.193, -39595.70408788335 6733180.213718121 38.044000000000004, -39596.06989784469 6733181.008992556 38.035000000000004, -39596.65065200592 6733180.703205805 38.218, -39598.272409707075 6733184.961645939 37.906, -39598.053461184376 6733185.581616982 37.633, -39597.316247960436 6733184.781976557 37.645, -39596.33242534485 6733183.559210346 37.629, -39595.38841834699 6733181.533281573 37.703, -39594.184439479024 6733178.381796157 37.778, -39592.52109754027 6733175.335808134 37.909, -39590.80779186776 6733172.3545253575 38.005, -39589.171576213674 6733169.352019874 38.141, -39587.99917464936 6733166.8265451845 38.188, -39585.053980908124 6733162.049127677 38.267, -39585.13669290277 6733161.829018238 38.313, -39584.08123671077 6733160.49242964 38.362, -39582.17409626441 6733157.965479823 38.448, -39581.12316223048 6733155.977721719 38.464, -39581.468618367566 6733155.373116217 38.453, -39580.730337207555 6733154.218515832 38.454, -39580.04122188978 6733154.34938092 38.453, -39578.23875263939 6733151.339920083 38.437, -39576.52745420474 6733148.679268766 38.408, -39575.98644148442 6733148.64921139 38.068, -39572.48772742611 6733147.195359894 38.044000000000004, -39568.052208338166 6733142.850904691 38.215, -39565.51239102252 6733140.080857054 38.300000000000004, -39564.31504367583 6733138.423560587 38.406, -39563.479430983774 6733137.053067114 38.534, -39563.001593956724 6733135.69002526 38.61, -39562.799247512245 6733134.2798860995 38.666000000000004, -39562.811382115004 6733132.879665204 38.711, -39563.010690764524 6733131.0221155435 38.791000000000004, -39563.62829562905 6733129.578204611 38.827, -39564.285918006324 6733128.514181924 38.848, -39565.40843969514 6733127.45292246 38.895, -39566.276012316 6733126.834061996 38.923, -39567.16893851769 6733126.779482271 38.999, -39567.26730360463 6733129.008790963 38.933, -39569.997441131854 6733129.502324456 39.071, -39571.14854561363 6733129.895869217 39.113, -39571.94293103018 6733130.476752049 39.129, -39572.47186955856 6733131.335296234 39.148, -39573.274004244246 6733133.472366255 39.09, -39574.690454186406 6733137.24678155 39.01, -39575.801296417834 6733140.042073875 39.143, -39577.47730407142 6733144.498986036 39.216, -39579.722098082886 6733149.930737046 39.313, -39580.90940507245 6733152.123849391 39.317, -39581.12213935063 6733152.0412642285 39.35, -39586.066647830885 6733157.771542786 39.529, -39588.10258655122 6733160.3608229775 39.410000000000004, -39587.617247146205 6733160.965350315 39.21, -39587.939245393616 6733161.476488326 39.242, -39588.8893574113 6733161.3075681925 39.402, -39590.10703132488 6733162.89483455 39.539, -39591.057266333024 6733164.48779311 39.552, -39591.93621827732 6733166.215343375 39.658, -39592.46136843192 6733167.441320448 39.654, -39592.33057923778 6733167.929155279 39.619, -39593.47799541021 6733170.570614802 39.495, -39593.71076275967 6733170.531493608 39.497, -39594.15820589743 6733171.852606033 39.217, -39594.262436744524 6733172.8014158085 38.887)</t>
  </si>
  <si>
    <t>POLYGON Z ((-39594.262436744524 6733172.8014158085 38.887, -39594.27473788068 6733173.420566529 38.663000000000004, -39594.7876050371 6733175.281378323 38.37, -39595.31288510002 6733176.840891247 38.306, -39596.35847676825 6733180.070704458 38.193, -39595.70408788335 6733180.213718121 38.044000000000004, -39596.06989784469 6733181.008992556 38.035000000000004, -39596.65065200592 6733180.703205805 38.218, -39598.272409707075 6733184.961645939 37.906, -39598.053461184376 6733185.581616982 37.633, -39597.316247960436 6733184.781976557 37.645, -39596.33242534485 6733183.559210346 37.629, -39595.38841834699 6733181.533281573 37.703, -39594.184439479024 6733178.381796157 37.778, -39592.52109754027 6733175.335808134 37.909, -39590.80779186776 6733172.3545253575 38.005, -39589.171576213674 6733169.352019874 38.141, -39587.99917464936 6733166.8265451845 38.188, -39585.053980908124 6733162.049127677 38.267, -39585.13669290277 6733161.829018238 38.313, -39584.08123671077 6733160.49242964 38.362, -39582.17409626441 6733157.965479823 38.448, -39581.12316223048 6733155.977721719 38.464, -39581.468618367566 6733155.373116217 38.453, -39580.730337207555 6733154.218515832 38.454, -39580.04122188978 6733154.34938092 38.453, -39578.23875263939 6733151.339920083 38.437, -39576.52745420474 6733148.679268766 38.408, -39575.98644148442 6733148.64921139 38.068, -39572.48772742611 6733147.195359894 38.044000000000004, -39568.052208338166 6733142.850904691 38.215, -39565.51239102252 6733140.080857054 38.300000000000004, -39564.31504367583 6733138.423560587 38.406, -39563.479430983774 6733137.053067114 38.534, -39563.001593956724 6733135.69002526 38.61, -39562.799247512245 6733134.2798860995 38.666000000000004, -39562.811382115004 6733132.879665204 38.711, -39563.010690764524 6733131.0221155435 38.791000000000004, -39563.62829562905 6733129.578204611 38.827, -39564.285918006324 6733128.514181924 38.848, -39565.40843969514 6733127.45292246 38.895, -39566.276012316 6733126.834061996 38.923, -39567.16893851769 6733126.779482271 38.999, -39567.26730360463 6733129.008790963 38.933, -39569.997441131854 6733129.502324456 39.071, -39571.14854561363 6733129.895869217 39.113, -39571.94293103018 6733130.476752049 39.129, -39572.47186955856 6733131.335296234 39.148, -39573.274004244246 6733133.472366255 39.09, -39574.690454186406 6733137.24678155 39.01, -39575.801296417834 6733140.042073875 39.143, -39577.47730407142 6733144.498986036 39.216, -39579.722098082886 6733149.930737046 39.313, -39580.90940507245 6733152.123849391 39.317, -39581.12213935063 6733152.0412642285 39.35, -39586.066647830885 6733157.771542786 39.529, -39588.10258655122 6733160.3608229775 39.410000000000004, -39587.617247146205 6733160.965350315 39.21, -39587.939245393616 6733161.476488326 39.242, -39588.8893574113 6733161.3075681925 39.402, -39590.10703132488 6733162.89483455 39.539, -39591.057266333024 6733164.48779311 39.552, -39591.93621827732 6733166.215343375 39.658, -39592.46136843192 6733167.441320448 39.654, -39592.33057923778 6733167.929155279 39.619, -39593.47799541021 6733170.570614802 39.495, -39593.71076275967 6733170.531493608 39.497, -39594.15820589743 6733171.852606033 39.217, -39594.262436744524 6733172.8014158085 38.887))</t>
  </si>
  <si>
    <t>2025-09-04</t>
  </si>
  <si>
    <t>[21596]</t>
  </si>
  <si>
    <t>['PV21596 S1D1 m82-84']</t>
  </si>
  <si>
    <t>LINESTRING Z (264647.17813843535 6649674.58970043 63.2, 264646.8411637811 6649674.198363477 63.18, 264646.57212587434 6649674.001787673 63.17, 264646.26232269255 6649673.90938531 63.160000000000004, 264645.97244686994 6649673.925686576 63.18, 264645.6653576083 6649674.084207809 63.190000000000005, 264635.28315375396 6649682.884498638 64, 264636.18356442533 6649683.947992858 63.99, 264647.17813843535 6649674.58970043 63.2)</t>
  </si>
  <si>
    <t>POLYGON Z ((264647.17813843535 6649674.58970043 63.2, 264646.8411637811 6649674.198363477 63.18, 264646.57212587434 6649674.001787673 63.17, 264646.26232269255 6649673.90938531 63.160000000000004, 264645.97244686994 6649673.925686576 63.18, 264645.6653576083 6649674.084207809 63.190000000000005, 264635.28315375396 6649682.884498638 64, 264636.18356442533 6649683.947992858 63.99, 264647.17813843535 6649674.58970043 63.2))</t>
  </si>
  <si>
    <t>['PV21596 S1D1 m81-83']</t>
  </si>
  <si>
    <t>LINESTRING Z (264672.0017602758 6649653.455419376 61.51, 264671.09410279023 6649652.422724427 61.51, 264664.3254239091 6649658.202018051 61.93, 264664.12069504184 6649658.491890579 61.97, 264664.0455044806 6649658.769988818 62, 264664.09894651105 6649659.026348287 62.02, 264664.636111607 6649659.741080569 62.050000000000004, 264672.0017602758 6649653.455419376 61.51)</t>
  </si>
  <si>
    <t>POLYGON Z ((264672.0017602758 6649653.455419376 61.51, 264671.09410279023 6649652.422724427 61.51, 264664.3254239091 6649658.202018051 61.93, 264664.12069504184 6649658.491890579 61.97, 264664.0455044806 6649658.769988818 62, 264664.09894651105 6649659.026348287 62.02, 264664.636111607 6649659.741080569 62.050000000000004, 264672.0017602758 6649653.455419376 61.51))</t>
  </si>
  <si>
    <t>['PV21596 S1D1 m82-83']</t>
  </si>
  <si>
    <t>LINESTRING Z (264658.2895963737 6649663.31189171 62.42, 264658.9562998309 6649664.014849715 62.56, 264659.4499906624 6649664.251286707 62.57, 264659.47988411866 6649664.248569559 62.57, 264659.09760594944 6649664.574673949 63.08, 264649.21272603655 6649672.988167551 63.09, 264648.7887897781 6649672.524360434 63.06, 264648.6329857039 6649672.247164638 63.03, 264648.593132603 6649671.919242308 63, 264648.68372353946 6649671.58951016 62.97, 264648.8630875223 6649671.352177153 62.940000000000005, 264658.2895963737 6649663.31189171 62.42)</t>
  </si>
  <si>
    <t>POLYGON Z ((264658.2895963737 6649663.31189171 62.42, 264658.9562998309 6649664.014849715 62.56, 264659.4499906624 6649664.251286707 62.57, 264659.47988411866 6649664.248569559 62.57, 264659.09760594944 6649664.574673949 63.08, 264649.21272603655 6649672.988167551 63.09, 264648.7887897781 6649672.524360434 63.06, 264648.6329857039 6649672.247164638 63.03, 264648.593132603 6649671.919242308 63, 264648.68372353946 6649671.58951016 62.97, 264648.8630875223 6649671.352177153 62.940000000000005, 264658.2895963737 6649663.31189171 62.42))</t>
  </si>
  <si>
    <t>['PV21596 S1D1 m20-32']</t>
  </si>
  <si>
    <t>LINESTRING Z (264639.9015697668 6649599.397676113 60.82, 264641.3328482292 6649598.232760348 60.92, 264649.1294562185 6649607.410158459 60.9, 264648.86403959594 6649607.36395552 60.910000000000004, 264646.67004947935 6649606.990707491 60.9, 264646.337600249 6649606.870222918 60.9, 264646.0975502039 6649606.660965347 60.9, 264639.9015697668 6649599.397676113 60.82)</t>
  </si>
  <si>
    <t>POLYGON Z ((264639.9015697668 6649599.397676113 60.82, 264641.3328482292 6649598.232760348 60.92, 264649.1294562185 6649607.410158459 60.9, 264648.86403959594 6649607.36395552 60.910000000000004, 264646.67004947935 6649606.990707491 60.9, 264646.337600249 6649606.870222918 60.9, 264646.0975502039 6649606.660965347 60.9, 264639.9015697668 6649599.397676113 60.82))</t>
  </si>
  <si>
    <t>['PV21596 S1D1 m80-82']</t>
  </si>
  <si>
    <t>LINESTRING Z (264681.8332369649 6649642.133208683 61.07, 264686.98674549535 6649637.706343029 60.83, 264687.409785645 6649637.497095461 60.81, 264687.8328241486 6649637.398362921 60.800000000000004, 264691.2261810233 6649637.260722583 60.7, 264683.62953490776 6649643.768314308 61.14, 264683.54710026085 6649643.8561815955 61.15, 264683.45017256495 6649643.895132177 61.15, 264683.26356615627 6649643.831719145 61.15, 264681.85678878415 6649642.171255191 61.07, 264681.8332369649 6649642.133208683 61.07)</t>
  </si>
  <si>
    <t>POLYGON Z ((264681.8332369649 6649642.133208683 61.07, 264686.98674549535 6649637.706343029 60.83, 264687.409785645 6649637.497095461 60.81, 264687.8328241486 6649637.398362921 60.800000000000004, 264691.2261810233 6649637.260722583 60.7, 264683.62953490776 6649643.768314308 61.14, 264683.54710026085 6649643.8561815955 61.15, 264683.45017256495 6649643.895132177 61.15, 264683.26356615627 6649643.831719145 61.15, 264681.85678878415 6649642.171255191 61.07, 264681.8332369649 6649642.133208683 61.07))</t>
  </si>
  <si>
    <t>['PV21596 S1D1 m48-71']</t>
  </si>
  <si>
    <t>LINESTRING Z (264659.5095351329 6649619.587806248 61.050000000000004, 264674.3010798764 6649636.970595074 61.2, 264674.078235079 6649637.171692895 61.2, 264673.7149801428 6649637.486021251 61.24, 264673.4078909068 6649637.64454235 61.24, 264673.11801514647 6649637.660843533 61.25, 264672.8245165349 6649637.6372867795 61.25, 264672.51471344964 6649637.544884345 61.26, 264672.1958532372 6649637.352837065 61.27, 264659.4796018163 6649622.242884656 61.1, 264659.53127054113 6649619.937468956 61.06, 264659.5095351329 6649619.587806248 61.050000000000004)</t>
  </si>
  <si>
    <t>POLYGON Z ((264659.5095351329 6649619.587806248 61.050000000000004, 264674.3010798764 6649636.970595074 61.2, 264674.078235079 6649637.171692895 61.2, 264673.7149801428 6649637.486021251 61.24, 264673.4078909068 6649637.64454235 61.24, 264673.11801514647 6649637.660843533 61.25, 264672.8245165349 6649637.6372867795 61.25, 264672.51471344964 6649637.544884345 61.26, 264672.1958532372 6649637.352837065 61.27, 264659.4796018163 6649622.242884656 61.1, 264659.53127054113 6649619.937468956 61.06, 264659.5095351329 6649619.587806248 61.050000000000004))</t>
  </si>
  <si>
    <t>['PV21596 S1D1 m83-102']</t>
  </si>
  <si>
    <t>LINESTRING Z (264710.3317793683 6649693.042098537 62.190000000000005, 264710.15423333144 6649692.85730039 62.18, 264708.1840135177 6649690.9667405905 62.11, 264698.7931145245 6649679.944996455 61.9, 264692.4848073707 6649672.551268438 61.76, 264683.78688119364 6649662.300419293 61.6, 264677.2611720527 6649654.61499903 61.480000000000004, 264674.92499661376 6649651.903722652 61.44, 264674.95036149723 6649651.85118309 61.43, 264676.0383147594 6649650.888268942 61.370000000000005, 264676.53109488357 6649651.446286584 61.44, 264680.38818248955 6649656.07891643 61.5, 264681.04854415945 6649656.822637989 61.39, 264681.57846345636 6649657.457654309 61.39, 264682.20712024934 6649658.1841640305 61.52, 264684.8250135019 6649661.231518662 61.59, 264685.4663519288 6649661.987016082 61.51, 264685.98811818054 6649662.642867037 61.52, 264686.6593500598 6649663.395647295 61.620000000000005, 264689.24553847464 6649666.425789885 61.68, 264689.9077115925 6649667.189440302 61.59, 264690.4367251923 6649667.814492046 61.61, 264691.0916509753 6649668.608941613 61.730000000000004, 264694.1371032748 6649672.159960673 61.78, 264694.8028992653 6649672.963468959 61.690000000000005, 264695.328290013 6649673.548662724 61.71, 264695.9823100934 6649674.333147745 61.83, 264699.0866420135 6649677.979282762 61.910000000000004, 264699.75153230166 6649678.772826503 61.82, 264700.2896046869 6649679.38700795 61.83, 264700.92188438395 6649680.153375375 61.95, 264704.0316522607 6649683.748781975 62.02, 264704.7065070425 6649684.541419934 61.940000000000005, 264705.2228390408 6649685.137483803 61.96, 264705.8976938252 6649685.930121745 62.050000000000004, 264709.08717760316 6649689.518282318 62.14, 264709.7901144059 6649690.288274097 62.07, 264710.3145994593 6649690.863503239 62.09, 264710.97767834004 6649691.637117873 62.21, 264711.2204455616 6649691.876268608 62.230000000000004, 264711.2974410686 6649692.060159447 62.230000000000004, 264711.2340281253 6649692.246765841 62.24, 264710.3317793683 6649693.042098537 62.190000000000005)</t>
  </si>
  <si>
    <t>POLYGON Z ((264710.3317793683 6649693.042098537 62.190000000000005, 264710.15423333144 6649692.85730039 62.18, 264708.1840135177 6649690.9667405905 62.11, 264698.7931145245 6649679.944996455 61.9, 264692.4848073707 6649672.551268438 61.76, 264683.78688119364 6649662.300419293 61.6, 264677.2611720527 6649654.61499903 61.480000000000004, 264674.92499661376 6649651.903722652 61.44, 264674.95036149723 6649651.85118309 61.43, 264676.0383147594 6649650.888268942 61.370000000000005, 264676.53109488357 6649651.446286584 61.44, 264680.38818248955 6649656.07891643 61.5, 264681.04854415945 6649656.822637989 61.39, 264681.57846345636 6649657.457654309 61.39, 264682.20712024934 6649658.1841640305 61.52, 264684.8250135019 6649661.231518662 61.59, 264685.4663519288 6649661.987016082 61.51, 264685.98811818054 6649662.642867037 61.52, 264686.6593500598 6649663.395647295 61.620000000000005, 264689.24553847464 6649666.425789885 61.68, 264689.9077115925 6649667.189440302 61.59, 264690.4367251923 6649667.814492046 61.61, 264691.0916509753 6649668.608941613 61.730000000000004, 264694.1371032748 6649672.159960673 61.78, 264694.8028992653 6649672.963468959 61.690000000000005, 264695.328290013 6649673.548662724 61.71, 264695.9823100934 6649674.333147745 61.83, 264699.0866420135 6649677.979282762 61.910000000000004, 264699.75153230166 6649678.772826503 61.82, 264700.2896046869 6649679.38700795 61.83, 264700.92188438395 6649680.153375375 61.95, 264704.0316522607 6649683.748781975 62.02, 264704.7065070425 6649684.541419934 61.940000000000005, 264705.2228390408 6649685.137483803 61.96, 264705.8976938252 6649685.930121745 62.050000000000004, 264709.08717760316 6649689.518282318 62.14, 264709.7901144059 6649690.288274097 62.07, 264710.3145994593 6649690.863503239 62.09, 264710.97767834004 6649691.637117873 62.21, 264711.2204455616 6649691.876268608 62.230000000000004, 264711.2974410686 6649692.060159447 62.230000000000004, 264711.2340281253 6649692.246765841 62.24, 264710.3317793683 6649693.042098537 62.190000000000005))</t>
  </si>
  <si>
    <t>2025-10-08</t>
  </si>
  <si>
    <t>2025-11-22T09:19:06Z</t>
  </si>
  <si>
    <t>['FV184 S4D1 m4-92']</t>
  </si>
  <si>
    <t>LINESTRING Z (274705.12628085376 6758202.944408672 159.5, 274705.37782037584 6758203.902549107 159.46, 274705.6215753675 6758204.340255807 159.44, 274705.6879084065 6758204.456906414 159.43, 274706.19721875654 6758204.990598927 159.42000000000002, 274707.93671852665 6758206.239812444 159.38, 274708.0971251825 6758205.680339854 159.37, 274708.330717469 6758204.616138361 159.36, 274708.49653049884 6758203.595625049 159.35, 274708.4938612537 6758203.545686007 159.35, 274708.6127830191 6758202.397466584 159.38, 274708.649579496 6758200.462345704 159.44, 274708.6164808674 6758199.84310159 159.46, 274708.5685897934 6758199.134501053 159.61, 274708.45421036857 6758198.1189477 159.83, 274708.2725855341 6758197.157070332 160.02, 274708.22820819414 6758196.889001054 160.11, 274707.9344267629 6758195.702742575 160.52, 274707.5652368788 6758194.230040744 161.02, 274707.4030538291 6758193.257107862 161.37, 274707.3048451991 6758192.731490957 161.53, 274707.27457114786 6758192.352488089 161.64000000000001, 274707.2491017336 6758192.063375494 161.70000000000002, 274707.22683541034 6758191.834189753 161.78, 274707.1477579286 6758190.916912929 162.17000000000002, 274707.1026040412 6758189.697332611 162.71, 274706.98700165405 6758188.471501424 163.22, 274706.78936141357 6758187.209989785 163.73, 274706.5761716565 6758186.219750517 164.11, 274706.2903980038 6758185.183309142 164.48, 274705.9430959608 6758184.120107426 164.85, 274705.5390701601 6758183.1200356465 165.17000000000002, 274705.06352816 6758182.093737376 165.48, 274705.00825063733 6758181.9965285305 165.51, 274704.5407163608 6758181.120047382 165.87, 274703.98115641816 6758180.208419626 166.22, 274703.37379282655 6758179.339412338 166.53, 274702.7386012025 6758178.511957826 166.81, 274702.0944894666 6758177.705012771 167.07, 274701.45037773164 6758176.898067712 167.33, 274700.79627818905 6758176.091656497 167.59, 274700.6889262335 6758175.957165652 167.63, 274700.2500644506 6758175.42972393 167.65, 274700.1427124952 6758175.295233085 167.67000000000002, 274699.47969284107 6758174.509331325 167.77, 274698.81667318795 6758173.72342956 167.87, 274698.15418738313 6758172.947515598 167.96, 274697.48171377013 6758172.17213548 168.06, 274697.39647282334 6758172.076528171 168.07, 274696.80977400526 6758171.406743166 168.13, 274696.12838027964 6758170.651872502 168.19, 274695.5106503407 6758169.963713413 168.24, 274695.4469865544 6758169.8970018355 168.24, 274695.1386554324 6758169.562910095 168.25, 274695.03237117303 6758169.448394863 168.28, 274694.7556050207 6758169.142665009 168.34, 274694.68141957803 6758169.066499469 168.35, 274694.06475733465 6758168.3983159885 168.38, 274693.36445568746 6758167.664488621 168.4, 274692.66415404016 6758166.930661247 168.42000000000002, 274691.96438624046 6758166.206821677 168.44, 274691.25463063165 6758165.483515952 168.45000000000002, 274690.53542106104 6758164.770731878 168.47, 274689.8162114903 6758164.057947796 168.48, 274689.0970019194 6758163.34516371 168.49, 274688.6435029963 6758162.918667722 168.5, 274688.36833838624 6758162.642901277 168.44, 274687.6402087 6758161.950626649 168.52, 274686.9020912041 6758161.258885862 168.59, 274686.606417128 6758160.9741993 168.62, 274686.1734276702 6758160.556623415 168.65, 274685.43531017366 6758159.864882619 168.71, 274684.7066466394 6758159.162620164 168.77, 274683.98797091446 6758158.459823856 168.82, 274683.25930737937 6758157.757561389 168.88, 274683.18512193684 6758157.681395841 168.89000000000001, 274682.5616749672 6758157.073672998 168.94, 274682.5301099975 6758157.045311108 168.94, 274681.811434272 6758156.342514786 168.86, 274681.0922246993 6758155.629730649 168.79, 274680.3730151266 6758154.916946507 168.72, 274679.6538055538 6758154.204162359 168.65, 274678.9445837908 6758153.490844362 168.57, 274678.23536202766 6758152.777526361 168.5, 274677.7907832186 6758152.330520858 168.46, 274677.5256064178 6758152.054220539 168.45000000000002, 274676.8163846546 6758151.340902529 168.43, 274676.6154054867 6758151.141301609 168.43, 274676.106629045 6758150.617596703 168.51, 274675.3968734352 6758149.894290869 168.64000000000001, 274674.69710563554 6758149.17045119 168.76, 274674.6544851627 6758149.122647523 168.76, 274673.9968039894 6758148.436623691 168, 274673.29703618994 6758147.712783998 168, 274672.59673454426 6758146.97895649 168, 274671.90642070863 6758146.244595132 168, 274671.2061190632 6758145.510767615 168, 274670.51580522815 6758144.776406248 168, 274669.82495754695 6758144.0320570655 168, 274669.1446315227 6758143.297161839 168, 274668.45378384215 6758142.552812648 168, 274667.7729239722 6758141.807929603 168, 274667.08207629225 6758141.063580401 168, 274666.40121642326 6758140.31869735 168, 274665.73034436477 6758139.573280445 168, 274665.04895065015 6758138.81840957 168, 274664.37754474673 6758138.063004849 168, 274663.70613884355 6758137.307600118 168, 274663.0347329411 6758136.552195386 168, 274662.3633270389 6758135.796790646 168, 274661.69192113756 6758135.041385907 168, 274661.0299692011 6758134.2754595 168, 274660.36855111155 6758133.519520905 168, 274659.70659917634 6758132.753594489 168, 274659.04464724194 6758131.987668071 168, 274658.39268311905 6758131.221207802 168, 274657.7301973402 6758130.445293563 168, 274657.07823321875 6758129.678833287 168, 274656.4257352522 6758128.902385191 168, 274655.78322509746 6758128.125403249 168, 274655.1312609784 6758127.358942958 168, 274654.48821697943 6758126.571973194 168, 274653.8457068271 6758125.794991232 168, 274653.20319667563 6758125.0180092715 168, 274652.56015267957 6758124.231039493 168, 274651.927630341 6758123.453523677 168, 274651.2945741577 6758122.66602004 168, 274650.6615179755 6758121.878516402 168, 274650.02846179437 6758121.091012762 168, 274649.39487176895 6758120.293521305 168, 274648.77180340094 6758119.505483806 168, 274648.1482011889 6758118.707458492 168, 274647.5245989779 6758117.909433176 168, 274646.8073695493 6758117.046297781 168, 274645.5922639476 6758115.488596833 168, 274643.7735317685 6758113.131802828 168, 274641.9642535661 6758110.764487129 168, 274640.1738833083 6758108.376128077 168, 274637.80984992796 6758105.187074372 168, 274637.18304466864 6758104.329122104 168, 274636.49150793836 6758103.384482591 168, 274635.77999558626 6758102.440910762 168, 274635.0301335213 6758101.529437744 168, 274634.23140008614 6758100.6406095615 168, 274633.30907599616 6758099.688272822 168, 274632.5083624157 6758098.949795653 168, 274631.5467761518 6758098.199884365 168, 274630.52953376726 6758097.53307863 168, 274629.4561014166 6758096.939390644 168, 274628.3375345988 6758096.438262184 168, 274627.1843549694 6758096.03914722 168, 274626.0054826512 6758095.721536279 168, 274624.80198533187 6758095.505404996 168, 274623.5838508231 6758095.390219523 168, 274622.3710547498 6758095.374912173 168, 274621.16359711235 6758095.459482953 168, 274619.9703980346 6758095.623422388 168, 274618.7893221405 6758095.826779233 168, 274617.75859727606 6758096.03211623 168, 274615.61206181586 6758096.537485141 168, 274613.8806755708 6758097.501449161 168, 274614.05735914246 6758099.495274844 168, 274615.8614163693 6758099.328734308 168, 274618.0444766226 6758099.131919876 168, 274619.04165636434 6758099.048571993 168, 274620.6113444902 6758098.994721859 168, 274622.03762154875 6758099.068733143 168, 274624.0165865836 6758099.3636121405 168, 274625.94683545904 6758099.871438258 168, 274627.8183803656 6758100.592745338 168, 274629.59020236915 6758101.509693127 168, 274631.1586864411 6758102.557705381 168, 274632.02717934555 6758103.252494382 168, 274633.4823710347 6758104.617068767 168, 274634.1753540775 6758105.401369451 168, 274635.0247156742 6758106.487818474 168, 274635.95466885186 6758107.770286815 168, 274638.31031601387 6758110.9898378 168, 274639.5081152264 6758112.598545575 168, 274641.31899500504 6758114.99582472 168, 274643.1387949157 6758117.372594357 168, 274644.9785704599 6758119.748296262 168, 274647.4697762949 6758122.880470652 168, 274648.7248331842 6758124.436036164 168, 274650.9228789338 6758127.143160583 168, 274652.5288874275 6758129.080621582 168, 274654.46427036205 6758131.371082338 168, 274655.75767697685 6758132.894548932 168, 274657.06107140565 6758134.41748166 168, 274658.3733859558 6758135.919904906 168, 274660.3571064244 6758138.177732874 168, 274662.35973482655 6758140.414517485 168, 274664.37128335104 6758142.63079259 168, 274666.4028075 6758144.84599996 168, 274667.0825996919 6758145.570907377 168, 274668.452705733 6758147.030176163 168, 274670.5225795887 6758149.21328463 168, 274672.1236282347 6758150.87055276 168.73, 274672.60083971627 6758151.365895783 168.64000000000001, 274674.6990754648 6758153.517439197 168.29, 274675.99019144464 6758154.810652038 168.07, 274676.4131931022 6758155.228761801 168.08, 274677.5249070702 6758156.351269443 168.19, 274678.0852241124 6758156.902268526 168.25, 274678.9422829307 6758157.757929805 168.18, 274680.04080600693 6758158.82104441 168.09, 274680.56955807854 6758159.3436815925 168, 274681.09777630295 6758159.856330966 167.96, 274681.361351568 6758160.102667837 167.95000000000002, 274683.25220197905 6758161.9347564615 167.74, 274685.34082847706 6758163.906519095 167.53, 274685.92165498366 6758164.4664382525 167.47, 274686.16365308745 6758164.683879383 167.51, 274686.85023000813 6758165.34832597 167.65, 274687.60047071555 6758166.079484128 167.64000000000001, 274688.30915864406 6758166.782814249 167.63, 274688.5843232593 6758167.058580688 167.62, 274689.01784657215 6758167.486144363 167.54, 274690.41684835195 6758168.923835699 167.27, 274691.7864205524 6758170.373116367 166.99, 274692.24312256847 6758170.8595391875 166.89000000000001, 274693.1465387923 6758171.832918676 166.66, 274693.29597737547 6758172.00522537 166.62, 274694.488282958 6758173.323752086 166.59, 274694.8403022562 6758173.725623091 166.58, 274695.14916723256 6758174.06970263 166.52, 274695.80059754633 6758174.826174831 166.38, 274696.69776289817 6758175.870002793 166.18, 274696.7730160379 6758175.966143946 166.16, 274697.103992024 6758176.349107023 166.07, 274697.6823045908 6758177.049389286 165.9, 274698.3463919555 6758177.855266664 165.73, 274698.37849077326 6758177.893616355 165.72, 274699.95560363145 6758179.852653707 165.09, 274700.83081328316 6758181.0479003 164.67000000000002, 274701.205632746 6758181.688944842 164.42000000000002, 274701.8447166276 6758182.776616225 164.14000000000001, 274702.1059332625 6758183.353618428 163.96, 274702.66313459445 6758184.595911563 163.58, 274703.2760793796 6758186.506320171 162.91, 274703.6471813818 6758188.389589888 162.19, 274703.80471508775 6758189.462934729 161.75, 274703.9458548097 6758190.416959711 161.43, 274704.09019762604 6758191.430911542 161.23, 274704.107659313 6758191.570207012 161.21, 274704.2334727503 6758192.424887756 160.95000000000002, 274704.6157177199 6758195.078820256 160.16, 274704.7425988682 6758195.953476611 159.84, 274704.8055055948 6758196.380816979 159.75, 274704.824568831 6758196.550075876 159.72, 274705.095792834 6758198.438684052 159.64000000000001, 274705.26820646675 6758200.352606329 159.58, 274705.204649657 6758202.349255635 159.52, 274705.12628085376 6758202.944408672 159.5)</t>
  </si>
  <si>
    <t>POLYGON Z ((274705.12628085376 6758202.944408672 159.5, 274705.37782037584 6758203.902549107 159.46, 274705.6215753675 6758204.340255807 159.44, 274705.6879084065 6758204.456906414 159.43, 274706.19721875654 6758204.990598927 159.42000000000002, 274707.93671852665 6758206.239812444 159.38, 274708.0971251825 6758205.680339854 159.37, 274708.330717469 6758204.616138361 159.36, 274708.49653049884 6758203.595625049 159.35, 274708.4938612537 6758203.545686007 159.35, 274708.6127830191 6758202.397466584 159.38, 274708.649579496 6758200.462345704 159.44, 274708.6164808674 6758199.84310159 159.46, 274708.5685897934 6758199.134501053 159.61, 274708.45421036857 6758198.1189477 159.83, 274708.2725855341 6758197.157070332 160.02, 274708.22820819414 6758196.889001054 160.11, 274707.9344267629 6758195.702742575 160.52, 274707.5652368788 6758194.230040744 161.02, 274707.4030538291 6758193.257107862 161.37, 274707.3048451991 6758192.731490957 161.53, 274707.27457114786 6758192.352488089 161.64000000000001, 274707.2491017336 6758192.063375494 161.70000000000002, 274707.22683541034 6758191.834189753 161.78, 274707.1477579286 6758190.916912929 162.17000000000002, 274707.1026040412 6758189.697332611 162.71, 274706.98700165405 6758188.471501424 163.22, 274706.78936141357 6758187.209989785 163.73, 274706.5761716565 6758186.219750517 164.11, 274706.2903980038 6758185.183309142 164.48, 274705.9430959608 6758184.120107426 164.85, 274705.5390701601 6758183.1200356465 165.17000000000002, 274705.06352816 6758182.093737376 165.48, 274705.00825063733 6758181.9965285305 165.51, 274704.5407163608 6758181.120047382 165.87, 274703.98115641816 6758180.208419626 166.22, 274703.37379282655 6758179.339412338 166.53, 274702.7386012025 6758178.511957826 166.81, 274702.0944894666 6758177.705012771 167.07, 274701.45037773164 6758176.898067712 167.33, 274700.79627818905 6758176.091656497 167.59, 274700.6889262335 6758175.957165652 167.63, 274700.2500644506 6758175.42972393 167.65, 274700.1427124952 6758175.295233085 167.67000000000002, 274699.47969284107 6758174.509331325 167.77, 274698.81667318795 6758173.72342956 167.87, 274698.15418738313 6758172.947515598 167.96, 274697.48171377013 6758172.17213548 168.06, 274697.39647282334 6758172.076528171 168.07, 274696.80977400526 6758171.406743166 168.13, 274696.12838027964 6758170.651872502 168.19, 274695.5106503407 6758169.963713413 168.24, 274695.4469865544 6758169.8970018355 168.24, 274695.1386554324 6758169.562910095 168.25, 274695.03237117303 6758169.448394863 168.28, 274694.7556050207 6758169.142665009 168.34, 274694.68141957803 6758169.066499469 168.35, 274694.06475733465 6758168.3983159885 168.38, 274693.36445568746 6758167.664488621 168.4, 274692.66415404016 6758166.930661247 168.42000000000002, 274691.96438624046 6758166.206821677 168.44, 274691.25463063165 6758165.483515952 168.45000000000002, 274690.53542106104 6758164.770731878 168.47, 274689.8162114903 6758164.057947796 168.48, 274689.0970019194 6758163.34516371 168.49, 274688.6435029963 6758162.918667722 168.5, 274688.36833838624 6758162.642901277 168.44, 274687.6402087 6758161.950626649 168.52, 274686.9020912041 6758161.258885862 168.59, 274686.606417128 6758160.9741993 168.62, 274686.1734276702 6758160.556623415 168.65, 274685.43531017366 6758159.864882619 168.71, 274684.7066466394 6758159.162620164 168.77, 274683.98797091446 6758158.459823856 168.82, 274683.25930737937 6758157.757561389 168.88, 274683.18512193684 6758157.681395841 168.89000000000001, 274682.5616749672 6758157.073672998 168.94, 274682.5301099975 6758157.045311108 168.94, 274681.811434272 6758156.342514786 168.86, 274681.0922246993 6758155.629730649 168.79, 274680.3730151266 6758154.916946507 168.72, 274679.6538055538 6758154.204162359 168.65, 274678.9445837908 6758153.490844362 168.57, 274678.23536202766 6758152.777526361 168.5, 274677.7907832186 6758152.330520858 168.46, 274677.5256064178 6758152.054220539 168.45000000000002, 274676.8163846546 6758151.340902529 168.43, 274676.6154054867 6758151.141301609 168.43, 274676.106629045 6758150.617596703 168.51, 274675.3968734352 6758149.894290869 168.64000000000001, 274674.69710563554 6758149.17045119 168.76, 274674.6544851627 6758149.122647523 168.76, 274673.9968039894 6758148.436623691 168, 274673.29703618994 6758147.712783998 168, 274672.59673454426 6758146.97895649 168, 274671.90642070863 6758146.244595132 168, 274671.2061190632 6758145.510767615 168, 274670.51580522815 6758144.776406248 168, 274669.82495754695 6758144.0320570655 168, 274669.1446315227 6758143.297161839 168, 274668.45378384215 6758142.552812648 168, 274667.7729239722 6758141.807929603 168, 274667.08207629225 6758141.063580401 168, 274666.40121642326 6758140.31869735 168, 274665.73034436477 6758139.573280445 168, 274665.04895065015 6758138.81840957 168, 274664.37754474673 6758138.063004849 168, 274663.70613884355 6758137.307600118 168, 274663.0347329411 6758136.552195386 168, 274662.3633270389 6758135.796790646 168, 274661.69192113756 6758135.041385907 168, 274661.0299692011 6758134.2754595 168, 274660.36855111155 6758133.519520905 168, 274659.70659917634 6758132.753594489 168, 274659.04464724194 6758131.987668071 168, 274658.39268311905 6758131.221207802 168, 274657.7301973402 6758130.445293563 168, 274657.07823321875 6758129.678833287 168, 274656.4257352522 6758128.902385191 168, 274655.78322509746 6758128.125403249 168, 274655.1312609784 6758127.358942958 168, 274654.48821697943 6758126.571973194 168, 274653.8457068271 6758125.794991232 168, 274653.20319667563 6758125.0180092715 168, 274652.56015267957 6758124.231039493 168, 274651.927630341 6758123.453523677 168, 274651.2945741577 6758122.66602004 168, 274650.6615179755 6758121.878516402 168, 274650.02846179437 6758121.091012762 168, 274649.39487176895 6758120.293521305 168, 274648.77180340094 6758119.505483806 168, 274648.1482011889 6758118.707458492 168, 274647.5245989779 6758117.909433176 168, 274646.8073695493 6758117.046297781 168, 274645.5922639476 6758115.488596833 168, 274643.7735317685 6758113.131802828 168, 274641.9642535661 6758110.764487129 168, 274640.1738833083 6758108.376128077 168, 274637.80984992796 6758105.187074372 168, 274637.18304466864 6758104.329122104 168, 274636.49150793836 6758103.384482591 168, 274635.77999558626 6758102.440910762 168, 274635.0301335213 6758101.529437744 168, 274634.23140008614 6758100.6406095615 168, 274633.30907599616 6758099.688272822 168, 274632.5083624157 6758098.949795653 168, 274631.5467761518 6758098.199884365 168, 274630.52953376726 6758097.53307863 168, 274629.4561014166 6758096.939390644 168, 274628.3375345988 6758096.438262184 168, 274627.1843549694 6758096.03914722 168, 274626.0054826512 6758095.721536279 168, 274624.80198533187 6758095.505404996 168, 274623.5838508231 6758095.390219523 168, 274622.3710547498 6758095.374912173 168, 274621.16359711235 6758095.459482953 168, 274619.9703980346 6758095.623422388 168, 274618.7893221405 6758095.826779233 168, 274617.75859727606 6758096.03211623 168, 274615.61206181586 6758096.537485141 168, 274613.8806755708 6758097.501449161 168, 274614.05735914246 6758099.495274844 168, 274615.8614163693 6758099.328734308 168, 274618.0444766226 6758099.131919876 168, 274619.04165636434 6758099.048571993 168, 274620.6113444902 6758098.994721859 168, 274622.03762154875 6758099.068733143 168, 274624.0165865836 6758099.3636121405 168, 274625.94683545904 6758099.871438258 168, 274627.8183803656 6758100.592745338 168, 274629.59020236915 6758101.509693127 168, 274631.1586864411 6758102.557705381 168, 274632.02717934555 6758103.252494382 168, 274633.4823710347 6758104.617068767 168, 274634.1753540775 6758105.401369451 168, 274635.0247156742 6758106.487818474 168, 274635.95466885186 6758107.770286815 168, 274638.31031601387 6758110.9898378 168, 274639.5081152264 6758112.598545575 168, 274641.31899500504 6758114.99582472 168, 274643.1387949157 6758117.372594357 168, 274644.9785704599 6758119.748296262 168, 274647.4697762949 6758122.880470652 168, 274648.7248331842 6758124.436036164 168, 274650.9228789338 6758127.143160583 168, 274652.5288874275 6758129.080621582 168, 274654.46427036205 6758131.371082338 168, 274655.75767697685 6758132.894548932 168, 274657.06107140565 6758134.41748166 168, 274658.3733859558 6758135.919904906 168, 274660.3571064244 6758138.177732874 168, 274662.35973482655 6758140.414517485 168, 274664.37128335104 6758142.63079259 168, 274666.4028075 6758144.84599996 168, 274667.0825996919 6758145.570907377 168, 274668.452705733 6758147.030176163 168, 274670.5225795887 6758149.21328463 168, 274672.1236282347 6758150.87055276 168.73, 274672.60083971627 6758151.365895783 168.64000000000001, 274674.6990754648 6758153.517439197 168.29, 274675.99019144464 6758154.810652038 168.07, 274676.4131931022 6758155.228761801 168.08, 274677.5249070702 6758156.351269443 168.19, 274678.0852241124 6758156.902268526 168.25, 274678.9422829307 6758157.757929805 168.18, 274680.04080600693 6758158.82104441 168.09, 274680.56955807854 6758159.3436815925 168, 274681.09777630295 6758159.856330966 167.96, 274681.361351568 6758160.102667837 167.95000000000002, 274683.25220197905 6758161.9347564615 167.74, 274685.34082847706 6758163.906519095 167.53, 274685.92165498366 6758164.4664382525 167.47, 274686.16365308745 6758164.683879383 167.51, 274686.85023000813 6758165.34832597 167.65, 274687.60047071555 6758166.079484128 167.64000000000001, 274688.30915864406 6758166.782814249 167.63, 274688.5843232593 6758167.058580688 167.62, 274689.01784657215 6758167.486144363 167.54, 274690.41684835195 6758168.923835699 167.27, 274691.7864205524 6758170.373116367 166.99, 274692.24312256847 6758170.8595391875 166.89000000000001, 274693.1465387923 6758171.832918676 166.66, 274693.29597737547 6758172.00522537 166.62, 274694.488282958 6758173.323752086 166.59, 274694.8403022562 6758173.725623091 166.58, 274695.14916723256 6758174.06970263 166.52, 274695.80059754633 6758174.826174831 166.38, 274696.69776289817 6758175.870002793 166.18, 274696.7730160379 6758175.966143946 166.16, 274697.103992024 6758176.349107023 166.07, 274697.6823045908 6758177.049389286 165.9, 274698.3463919555 6758177.855266664 165.73, 274698.37849077326 6758177.893616355 165.72, 274699.95560363145 6758179.852653707 165.09, 274700.83081328316 6758181.0479003 164.67000000000002, 274701.205632746 6758181.688944842 164.42000000000002, 274701.8447166276 6758182.776616225 164.14000000000001, 274702.1059332625 6758183.353618428 163.96, 274702.66313459445 6758184.595911563 163.58, 274703.2760793796 6758186.506320171 162.91, 274703.6471813818 6758188.389589888 162.19, 274703.80471508775 6758189.462934729 161.75, 274703.9458548097 6758190.416959711 161.43, 274704.09019762604 6758191.430911542 161.23, 274704.107659313 6758191.570207012 161.21, 274704.2334727503 6758192.424887756 160.95000000000002, 274704.6157177199 6758195.078820256 160.16, 274704.7425988682 6758195.953476611 159.84, 274704.8055055948 6758196.380816979 159.75, 274704.824568831 6758196.550075876 159.72, 274705.095792834 6758198.438684052 159.64000000000001, 274705.26820646675 6758200.352606329 159.58, 274705.204649657 6758202.349255635 159.52, 274705.12628085376 6758202.944408672 159.5))</t>
  </si>
  <si>
    <t>['FV184 S4D1 m4-60']</t>
  </si>
  <si>
    <t>LINESTRING Z (274751.58500737813 6758176.201610484 158.48, 274751.5280409842 6758175.323217374 158.44, 274751.4918946475 6758174.834348707 158.38, 274751.4728314332 6758174.665089849 158.34, 274751.3807864073 6758173.317803686 158.4, 274751.16604382126 6758170.4245429225 158.53, 274749.12067889277 6758170.573932853 158.48, 274748.26282450336 6758167.454621461 158.61, 274748.0018312363 6758166.507002827 158.69, 274746.89297145687 6758162.439538909 159.07, 274745.7841117482 6758158.372074948 159.44, 274745.69542518345 6758157.275017754 159.55, 274747.1211675808 6758157.339040809 159.58, 274748.1509793523 6758157.304030211 159.61, 274749.45778046746 6758157.20413287 159.65, 274750.2063321067 6758157.154106556 159.68, 274752.70061447483 6758156.970705847 159.8, 274755.194896814 6758156.787305138 159.91, 274757.68917912454 6758156.6039044345 160.03, 274760.183995253 6758156.4304915415 160.14000000000001, 274760.9819520385 6758156.367808198 160.18, 274762.1194942222 6758156.286974069 160.05, 274763.74590504006 6758156.169993649 160.19, 274765.33236462256 6758156.0551486155 160.32, 274767.31780257414 6758155.908961914 160.46, 274770.0517920782 6758155.712748917 160.65, 274770.26100214786 6758155.69155033 160.66, 274772.78524770105 6758155.506548116 160.66, 274772.9051013661 6758155.500141957 160.66, 274776.13794721675 6758155.267248835 160.96, 274780.1088229035 6758154.974875467 161.32, 274785.04691405053 6758154.600755585 161.77, 274785.14679209905 6758154.595417118 161.78, 274786.4635807958 6758154.494985969 161.84, 274789.96502947586 6758154.227703414 162.01, 274791.9199699415 6758154.073130482 162.11, 274791.5912270816 6758149.984002928 162.49, 274791.262484299 6758145.894875361 162.88, 274796.21163070464 6758145.540197472 163.12, 274798.8057905927 6758145.351458477 163.25, 274801.15078919264 6758145.186053444 163.24, 274806.0894137221 6758144.821921632 163.21, 274804.5252015 6758143.853812958 163.31, 274803.8247450312 6758142.929683763 163.39000000000001, 274802.8492602202 6758140.607951102 163.58, 274802.31284107454 6758137.130904271 163.87, 274800.9331267421 6758135.491855847 164.01, 274799.9601750949 6758134.341899289 164.39000000000001, 274799.0665048462 6758132.426463451 165, 274798.51304098754 6758131.254085361 165.34, 274796.2923029073 6758130.3711493695 165.6, 274794.9898408997 6758129.9900303725 165.72, 274793.2472263832 6758129.43211063 165.89000000000001, 274791.25011213066 6758128.797646771 166.09, 274789.4892106907 6758129.021978845 166.03, 274789.11127564684 6758129.072228383 166.03, 274788.2055884853 6758129.180735134 166.01, 274786.1361327607 6758129.441592034 166.14000000000001, 274785.8475541099 6758129.477049158 166.16, 274783.30028525897 6758129.793494057 165.95000000000002, 274783.15100202913 6758129.81148954 165.95000000000002, 274780.36455966916 6758130.15073454 165.97, 274780.1753252166 6758130.170865409 165.98, 274777.2001822091 6758130.540229092 166.14000000000001, 274772.88202387886 6758131.0815399755 166.37, 274768.26476513816 6758131.648854054 166.61, 274765.8141710677 6758131.900033715 166.74, 274765.1665652253 6758131.96469709 166.74, 274764.6272237091 6758131.993524745 166.74, 274763.0901692909 6758132.095712569 166.63, 274759.9702368963 6758132.192357732 166.39000000000001, 274759.7699469291 6758132.193046838 166.37, 274757.8963548804 6758132.1830100855 166.36, 274757.7254944844 6758132.172109849 166.36, 274756.8528184252 6758132.148639766 166.6, 274755.81926977116 6758132.1137356 166.89000000000001, 274755.2062766687 6758132.076385537 167.05, 274753.7389815686 6758131.984534277 166.86, 274751.93675039033 6758131.810421859 166.61, 274751.66547807923 6758131.794872269 166.63, 274750.6371125968 6758131.669543996 166.70000000000002, 274748.5793139268 6758131.398911838 166.84, 274746.52776612516 6758131.057831179 166.97, 274746.2748678839 6758131.011250477 166.98, 274745.9409994976 6758130.9489649255 166.98, 274744.4835368836 6758130.666277635 166.85, 274742.4560801642 6758130.213729553 166.66, 274741.6437094729 6758130.006742021 166.58, 274740.43540816044 6758129.700720776 166.45000000000002, 274740.15041110944 6758129.615790378 166.41, 274737.53656629054 6758128.874061642 165.68, 274734.6282704227 6758128.057924137 164.87, 274733.8758265477 6758127.8477335125 164.66, 274733.72334021097 6758127.805802158 164.6, 274732.58388581773 6758127.476068357 164.28, 274729.81755457434 6758126.6924082115 164.26, 274726.9292342249 6758125.8752029585 164.23, 274724.74288486247 6758125.260869743 164.22, 274724.2954136417 6758125.134541822 164.21, 274724.0409138397 6758125.057997685 164.15, 274720.91860307415 6758124.173168368 163.39000000000001, 274720.19665642385 6758123.971363991 163.36, 274718.3252675 6758123.440359615 163.29, 274716.3418772908 6758122.875276294 163.17000000000002, 274715.7829386282 6758122.724857235 163.14000000000001, 274713.820057859 6758122.16869402 163.02, 274705.82656991493 6758119.911563658 168, 274703.2050275296 6758119.4006219795 168, 274701.4332932079 6758119.234895691 168, 274699.64959093055 6758119.220054222 168, 274697.87336246995 6758119.345042079 168, 274696.11459563585 6758119.609325422 168, 274694.38327823847 6758120.0123704085 168, 274692.68939808826 6758120.553643194 168, 274691.04240915144 6758121.222622128 168, 274689.452833085 6758122.028761175 168, 274687.9301238558 6758122.961538691 168, 274686.5126311689 6758123.988855856 168, 274684.9171146952 6758125.246047915 168, 274683.08151219453 6758126.696366698 168, 274682.5624566014 6758127.104731125 168, 274681.14298377343 6758128.282399335 168, 274679.5422160147 6758130.190934477 168, 274678.4525833626 6758132.292509176 168, 274677.84801458404 6758134.848941857 168, 274677.8511007001 6758137.342846517 168, 274678.4613078621 6758139.764235321 168, 274680.907087818 6758143.920504049 168, 274681.4269197345 6758144.463650733 169.06, 274681.5752906117 6758144.615981837 169.05, 274681.9041311806 6758144.95899375 169.03, 274682.2113945909 6758145.273109924 169.01, 274682.6454517202 6758145.710661466 169.07, 274682.88905134803 6758145.95806605 169.1, 274683.9902435784 6758147.071119744 168.96, 274685.0283058726 6758148.127449649 168.84, 274686.0858099392 6758149.17272404 168.71, 274686.21260365786 6758149.296159403 168.69, 274687.54527232016 6758150.617200246 168.48, 274688.87740713556 6758151.928253264 168.26, 274689.14098238194 6758152.174590137 168.22, 274689.61659228825 6758152.6399696935 168.28, 274691.0423543131 6758154.016132725 168.45000000000002, 274692.3507765811 6758155.258338731 168.6, 274692.88844872895 6758155.760466428 168.66, 274693.17360113346 6758156.035699027 168.65, 274693.53187128284 6758156.36712155 168.63, 274693.92170639994 6758156.726905963 168.6, 274694.2478777345 6758157.019978791 168.58, 274695.3952720792 6758158.060448471 168.51, 274696.7293869945 6758159.221150412 168.44, 274697.65208963316 6758159.993172208 168.38, 274698.69945060025 6758160.848678113 168.32, 274699.9650971034 6758161.852778161 168.25, 274700.99980102206 6758162.658878851 168.19, 274701.34434642957 6758162.920920538 168.18, 274702.3353621806 6758163.659241946 168.15, 274703.7213962257 6758164.666923602 168.11, 274704.7612833197 6758165.382600138 168.08, 274706.4034187364 6758166.496789293 168.01, 274708.07391602924 6758167.5794134615 167.94, 274708.93279957527 6758168.0944214 167.9, 274709.82949896273 6758168.567342712 167.86, 274710.7634803437 6758168.988189591 167.82, 274710.8865371271 6758169.041710271 167.81, 274711.7258236037 6758169.377471497 167.79, 274711.9703356273 6758169.454549435 167.78, 274712.72544885566 6758169.714678971 167.75, 274712.94891756715 6758169.772848985 167.74, 274713.7623560987 6758169.999812011 167.70000000000002, 274714.8365453321 6758170.232870615 167.64000000000001, 274715.11940704257 6758170.277849737 167.62, 274715.9679921714 6758170.412787097 167.53, 274717.04576303286 6758170.525458154 167.42000000000002, 274717.3007093808 6758169.860769061 167.49, 274721.08043950365 6758169.177958426 167.24, 274722.71721698693 6758168.880129651 167.14000000000001, 274725.1182510182 6758168.451304365 165.75, 274725.2670004375 6758168.42332104 165.66, 274727.5285157192 6758168.382574006 164.31, 274727.90912009793 6758168.382263423 164.17000000000002, 274728.23925159156 6758168.374634271 163.97, 274731.2115027043 6758168.3259475 162.16, 274732.9277360408 6758168.765081091 161.03, 274733.11071965494 6758168.815398683 160.93, 274733.8116229932 6758168.9982949775 160.91, 274734.1103448061 6758169.152606125 160.95000000000002, 274736.72679106944 6758170.505192158 160.5, 274737.3752414187 6758170.831120824 160.34, 274739.4047656929 6758171.884538492 159.84, 274740.9393936474 6758172.673934415 159.6, 274741.1209989706 6758172.323672035 159.47, 274741.66528109484 6758171.262897085 159.26, 274741.9466091944 6758170.716994056 159.08, 274742.9670543559 6758171.44372594 159.07, 274744.2088328048 6758172.188676595 159.03, 274744.52966560866 6758172.3818712635 159.01, 274746.2877622062 6758173.229437172 158.88, 274748.3801057384 6758173.9589741845 158.69, 274750.90857373737 6758175.726932453 158.58, 274751.58500737813 6758176.201610484 158.48)</t>
  </si>
  <si>
    <t>POLYGON Z ((274751.58500737813 6758176.201610484 158.48, 274751.5280409842 6758175.323217374 158.44, 274751.4918946475 6758174.834348707 158.38, 274751.4728314332 6758174.665089849 158.34, 274751.3807864073 6758173.317803686 158.4, 274751.16604382126 6758170.4245429225 158.53, 274749.12067889277 6758170.573932853 158.48, 274748.26282450336 6758167.454621461 158.61, 274748.0018312363 6758166.507002827 158.69, 274746.89297145687 6758162.439538909 159.07, 274745.7841117482 6758158.372074948 159.44, 274745.69542518345 6758157.275017754 159.55, 274747.1211675808 6758157.339040809 159.58, 274748.1509793523 6758157.304030211 159.61, 274749.45778046746 6758157.20413287 159.65, 274750.2063321067 6758157.154106556 159.68, 274752.70061447483 6758156.970705847 159.8, 274755.194896814 6758156.787305138 159.91, 274757.68917912454 6758156.6039044345 160.03, 274760.183995253 6758156.4304915415 160.14000000000001, 274760.9819520385 6758156.367808198 160.18, 274762.1194942222 6758156.286974069 160.05, 274763.74590504006 6758156.169993649 160.19, 274765.33236462256 6758156.0551486155 160.32, 274767.31780257414 6758155.908961914 160.46, 274770.0517920782 6758155.712748917 160.65, 274770.26100214786 6758155.69155033 160.66, 274772.78524770105 6758155.506548116 160.66, 274772.9051013661 6758155.500141957 160.66, 274776.13794721675 6758155.267248835 160.96, 274780.1088229035 6758154.974875467 161.32, 274785.04691405053 6758154.600755585 161.77, 274785.14679209905 6758154.595417118 161.78, 274786.4635807958 6758154.494985969 161.84, 274789.96502947586 6758154.227703414 162.01, 274791.9199699415 6758154.073130482 162.11, 274791.5912270816 6758149.984002928 162.49, 274791.262484299 6758145.894875361 162.88, 274796.21163070464 6758145.540197472 163.12, 274798.8057905927 6758145.351458477 163.25, 274801.15078919264 6758145.186053444 163.24, 274806.0894137221 6758144.821921632 163.21, 274804.5252015 6758143.853812958 163.31, 274803.8247450312 6758142.929683763 163.39000000000001, 274802.8492602202 6758140.607951102 163.58, 274802.31284107454 6758137.130904271 163.87, 274800.9331267421 6758135.491855847 164.01, 274799.9601750949 6758134.341899289 164.39000000000001, 274799.0665048462 6758132.426463451 165, 274798.51304098754 6758131.254085361 165.34, 274796.2923029073 6758130.3711493695 165.6, 274794.9898408997 6758129.9900303725 165.72, 274793.2472263832 6758129.43211063 165.89000000000001, 274791.25011213066 6758128.797646771 166.09, 274789.4892106907 6758129.021978845 166.03, 274789.11127564684 6758129.072228383 166.03, 274788.2055884853 6758129.180735134 166.01, 274786.1361327607 6758129.441592034 166.14000000000001, 274785.8475541099 6758129.477049158 166.16, 274783.30028525897 6758129.793494057 165.95000000000002, 274783.15100202913 6758129.81148954 165.95000000000002, 274780.36455966916 6758130.15073454 165.97, 274780.1753252166 6758130.170865409 165.98, 274777.2001822091 6758130.540229092 166.14000000000001, 274772.88202387886 6758131.0815399755 166.37, 274768.26476513816 6758131.648854054 166.61, 274765.8141710677 6758131.900033715 166.74, 274765.1665652253 6758131.96469709 166.74, 274764.6272237091 6758131.993524745 166.74, 274763.0901692909 6758132.095712569 166.63, 274759.9702368963 6758132.192357732 166.39000000000001, 274759.7699469291 6758132.193046838 166.37, 274757.8963548804 6758132.1830100855 166.36, 274757.7254944844 6758132.172109849 166.36, 274756.8528184252 6758132.148639766 166.6, 274755.81926977116 6758132.1137356 166.89000000000001, 274755.2062766687 6758132.076385537 167.05, 274753.7389815686 6758131.984534277 166.86, 274751.93675039033 6758131.810421859 166.61, 274751.66547807923 6758131.794872269 166.63, 274750.6371125968 6758131.669543996 166.70000000000002, 274748.5793139268 6758131.398911838 166.84, 274746.52776612516 6758131.057831179 166.97, 274746.2748678839 6758131.011250477 166.98, 274745.9409994976 6758130.9489649255 166.98, 274744.4835368836 6758130.666277635 166.85, 274742.4560801642 6758130.213729553 166.66, 274741.6437094729 6758130.006742021 166.58, 274740.43540816044 6758129.700720776 166.45000000000002, 274740.15041110944 6758129.615790378 166.41, 274737.53656629054 6758128.874061642 165.68, 274734.6282704227 6758128.057924137 164.87, 274733.8758265477 6758127.8477335125 164.66, 274733.72334021097 6758127.805802158 164.6, 274732.58388581773 6758127.476068357 164.28, 274729.81755457434 6758126.6924082115 164.26, 274726.9292342249 6758125.8752029585 164.23, 274724.74288486247 6758125.260869743 164.22, 274724.2954136417 6758125.134541822 164.21, 274724.0409138397 6758125.057997685 164.15, 274720.91860307415 6758124.173168368 163.39000000000001, 274720.19665642385 6758123.971363991 163.36, 274718.3252675 6758123.440359615 163.29, 274716.3418772908 6758122.875276294 163.17000000000002, 274715.7829386282 6758122.724857235 163.14000000000001, 274713.820057859 6758122.16869402 163.02, 274705.82656991493 6758119.911563658 168, 274703.2050275296 6758119.4006219795 168, 274701.4332932079 6758119.234895691 168, 274699.64959093055 6758119.220054222 168, 274697.87336246995 6758119.345042079 168, 274696.11459563585 6758119.609325422 168, 274694.38327823847 6758120.0123704085 168, 274692.68939808826 6758120.553643194 168, 274691.04240915144 6758121.222622128 168, 274689.452833085 6758122.028761175 168, 274687.9301238558 6758122.961538691 168, 274686.5126311689 6758123.988855856 168, 274684.9171146952 6758125.246047915 168, 274683.08151219453 6758126.696366698 168, 274682.5624566014 6758127.104731125 168, 274681.14298377343 6758128.282399335 168, 274679.5422160147 6758130.190934477 168, 274678.4525833626 6758132.292509176 168, 274677.84801458404 6758134.848941857 168, 274677.8511007001 6758137.342846517 168, 274678.4613078621 6758139.764235321 168, 274680.907087818 6758143.920504049 168, 274681.4269197345 6758144.463650733 169.06, 274681.5752906117 6758144.615981837 169.05, 274681.9041311806 6758144.95899375 169.03, 274682.2113945909 6758145.273109924 169.01, 274682.6454517202 6758145.710661466 169.07, 274682.88905134803 6758145.95806605 169.1, 274683.9902435784 6758147.071119744 168.96, 274685.0283058726 6758148.127449649 168.84, 274686.0858099392 6758149.17272404 168.71, 274686.21260365786 6758149.296159403 168.69, 274687.54527232016 6758150.617200246 168.48, 274688.87740713556 6758151.928253264 168.26, 274689.14098238194 6758152.174590137 168.22, 274689.61659228825 6758152.6399696935 168.28, 274691.0423543131 6758154.016132725 168.45000000000002, 274692.3507765811 6758155.258338731 168.6, 274692.88844872895 6758155.760466428 168.66, 274693.17360113346 6758156.035699027 168.65, 274693.53187128284 6758156.36712155 168.63, 274693.92170639994 6758156.726905963 168.6, 274694.2478777345 6758157.019978791 168.58, 274695.3952720792 6758158.060448471 168.51, 274696.7293869945 6758159.221150412 168.44, 274697.65208963316 6758159.993172208 168.38, 274698.69945060025 6758160.848678113 168.32, 274699.9650971034 6758161.852778161 168.25, 274700.99980102206 6758162.658878851 168.19, 274701.34434642957 6758162.920920538 168.18, 274702.3353621806 6758163.659241946 168.15, 274703.7213962257 6758164.666923602 168.11, 274704.7612833197 6758165.382600138 168.08, 274706.4034187364 6758166.496789293 168.01, 274708.07391602924 6758167.5794134615 167.94, 274708.93279957527 6758168.0944214 167.9, 274709.82949896273 6758168.567342712 167.86, 274710.7634803437 6758168.988189591 167.82, 274710.8865371271 6758169.041710271 167.81, 274711.7258236037 6758169.377471497 167.79, 274711.9703356273 6758169.454549435 167.78, 274712.72544885566 6758169.714678971 167.75, 274712.94891756715 6758169.772848985 167.74, 274713.7623560987 6758169.999812011 167.70000000000002, 274714.8365453321 6758170.232870615 167.64000000000001, 274715.11940704257 6758170.277849737 167.62, 274715.9679921714 6758170.412787097 167.53, 274717.04576303286 6758170.525458154 167.42000000000002, 274717.3007093808 6758169.860769061 167.49, 274721.08043950365 6758169.177958426 167.24, 274722.71721698693 6758168.880129651 167.14000000000001, 274725.1182510182 6758168.451304365 165.75, 274725.2670004375 6758168.42332104 165.66, 274727.5285157192 6758168.382574006 164.31, 274727.90912009793 6758168.382263423 164.17000000000002, 274728.23925159156 6758168.374634271 163.97, 274731.2115027043 6758168.3259475 162.16, 274732.9277360408 6758168.765081091 161.03, 274733.11071965494 6758168.815398683 160.93, 274733.8116229932 6758168.9982949775 160.91, 274734.1103448061 6758169.152606125 160.95000000000002, 274736.72679106944 6758170.505192158 160.5, 274737.3752414187 6758170.831120824 160.34, 274739.4047656929 6758171.884538492 159.84, 274740.9393936474 6758172.673934415 159.6, 274741.1209989706 6758172.323672035 159.47, 274741.66528109484 6758171.262897085 159.26, 274741.9466091944 6758170.716994056 159.08, 274742.9670543559 6758171.44372594 159.07, 274744.2088328048 6758172.188676595 159.03, 274744.52966560866 6758172.3818712635 159.01, 274746.2877622062 6758173.229437172 158.88, 274748.3801057384 6758173.9589741845 158.69, 274750.90857373737 6758175.726932453 158.58, 274751.58500737813 6758176.201610484 158.48))</t>
  </si>
  <si>
    <t>['FV184 S4D1 m69-91']</t>
  </si>
  <si>
    <t>LINESTRING Z (274662.9902516925 6758123.913946134 168, 274664.79539526015 6758125.079521156 168, 274667.06462745357 6758126.120127315 168, 274669.50585586496 6758126.630690401 168, 274671.4466941281 6758126.587051227 168, 274671.40407365974 6758126.53924756 168, 274670.43325684837 6758125.429241515 168, 274669.4724278487 6758124.318701612 168, 274668.5536854733 6758123.245977559 168, 274667.59910736926 6758122.064989118 168, 274666.77970925625 6758120.976938786 168, 274665.8602777915 6758119.703924653 168, 274664.9339063428 6758118.301068967 168, 274664.2459513113 6758117.2360420525 168, 274663.56798409333 6758116.170481285 168, 274662.6605205888 6758114.74658226 168, 274662.0051982242 6758113.72989284 168, 274661.0761575728 6758112.277098051 168, 274660.4529340266 6758111.2987583205 168, 274659.49126072857 6758109.797625995 168, 274658.89121587924 6758108.878145429 168, 274657.96097130014 6758108.527212866 168, 274655.1128135108 6758111.834594454 168, 274655.71339222847 6758112.764062839 168, 274656.6861210654 6758114.284636956 168, 274657.3198662921 6758115.272430658 168, 274658.2699502917 6758116.744133388 168, 274658.9258065274 6758117.77081063 168, 274659.85377953434 6758119.203629783 168, 274660.54226843535 6758120.278644527 168, 274661.6234169353 6758121.953685094 168, 274662.5360636936 6758123.287159953 168, 274662.9902516925 6758123.913946134 168)</t>
  </si>
  <si>
    <t>POLYGON Z ((274662.9902516925 6758123.913946134 168, 274664.79539526015 6758125.079521156 168, 274667.06462745357 6758126.120127315 168, 274669.50585586496 6758126.630690401 168, 274671.4466941281 6758126.587051227 168, 274671.40407365974 6758126.53924756 168, 274670.43325684837 6758125.429241515 168, 274669.4724278487 6758124.318701612 168, 274668.5536854733 6758123.245977559 168, 274667.59910736926 6758122.064989118 168, 274666.77970925625 6758120.976938786 168, 274665.8602777915 6758119.703924653 168, 274664.9339063428 6758118.301068967 168, 274664.2459513113 6758117.2360420525 168, 274663.56798409333 6758116.170481285 168, 274662.6605205888 6758114.74658226 168, 274662.0051982242 6758113.72989284 168, 274661.0761575728 6758112.277098051 168, 274660.4529340266 6758111.2987583205 168, 274659.49126072857 6758109.797625995 168, 274658.89121587924 6758108.878145429 168, 274657.96097130014 6758108.527212866 168, 274655.1128135108 6758111.834594454 168, 274655.71339222847 6758112.764062839 168, 274656.6861210654 6758114.284636956 168, 274657.3198662921 6758115.272430658 168, 274658.2699502917 6758116.744133388 168, 274658.9258065274 6758117.77081063 168, 274659.85377953434 6758119.203629783 168, 274660.54226843535 6758120.278644527 168, 274661.6234169353 6758121.953685094 168, 274662.5360636936 6758123.287159953 168, 274662.9902516925 6758123.913946134 168))</t>
  </si>
  <si>
    <t>2025-11-27T15:23:07Z</t>
  </si>
  <si>
    <t>[453]</t>
  </si>
  <si>
    <t>['FV453 S1D1 m10511-10545']</t>
  </si>
  <si>
    <t>LINESTRING Z (95043.05948290922 6474436.100705321 35.160000000000004, 95041.21189750393 6474438.946381299 35.160000000000004, 95039.06785120373 6474442.263548343 35.21, 95036.50802250998 6474445.963137229 35.14, 95034.31506205152 6474448.983155319 35.050000000000004, 95032.07225480914 6474452.0080027925 34.99, 95030.82269823638 6474453.547936704 34.93, 95030.04874030943 6474454.699653766 34.87, 95029.59100451384 6474456.726399098 34.82, 95029.98728162964 6474460.401231397 34.9, 95031.25986377383 6474463.669151344 34.910000000000004, 95032.60178727692 6474465.7831782745 35.01, 95035.11899650801 6474466.525473634 35.13, 95037.91907784605 6474466.032811111 35.29, 95040.82006272115 6474464.815904268 35.35, 95043.52828782005 6474462.440308758 35.36, 95045.587815915 6474459.704917114 35.36, 95046.67583069793 6474457.2246547835 35.37, 95047.37783792982 6474453.876125353 35.38, 95047.1333774234 6474450.418032916 35.4, 95046.73713402229 6474447.055148992 35.31, 95046.0652678 6474443.547897994 35.27, 95045.53752446605 6474440.489579176 35.24, 95045.01660872792 6474438.124941536 35.21, 95044.3002357101 6474436.443394003 35.22, 95043.14051453123 6474436.00228839 35.14, 95043.05948290922 6474436.100705321 35.160000000000004)</t>
  </si>
  <si>
    <t>POLYGON Z ((95043.05948290922 6474436.100705321 35.160000000000004, 95041.21189750393 6474438.946381299 35.160000000000004, 95039.06785120373 6474442.263548343 35.21, 95036.50802250998 6474445.963137229 35.14, 95034.31506205152 6474448.983155319 35.050000000000004, 95032.07225480914 6474452.0080027925 34.99, 95030.82269823638 6474453.547936704 34.93, 95030.04874030943 6474454.699653766 34.87, 95029.59100451384 6474456.726399098 34.82, 95029.98728162964 6474460.401231397 34.9, 95031.25986377383 6474463.669151344 34.910000000000004, 95032.60178727692 6474465.7831782745 35.01, 95035.11899650801 6474466.525473634 35.13, 95037.91907784605 6474466.032811111 35.29, 95040.82006272115 6474464.815904268 35.35, 95043.52828782005 6474462.440308758 35.36, 95045.587815915 6474459.704917114 35.36, 95046.67583069793 6474457.2246547835 35.37, 95047.37783792982 6474453.876125353 35.38, 95047.1333774234 6474450.418032916 35.4, 95046.73713402229 6474447.055148992 35.31, 95046.0652678 6474443.547897994 35.27, 95045.53752446605 6474440.489579176 35.24, 95045.01660872792 6474438.124941536 35.21, 95044.3002357101 6474436.443394003 35.22, 95043.14051453123 6474436.00228839 35.14, 95043.05948290922 6474436.100705321 35.160000000000004))</t>
  </si>
  <si>
    <t>['FV453 S1D1 m10526-10563']</t>
  </si>
  <si>
    <t>LINESTRING Z (95047.41505684739 6474410.843400934 35.300000000000004, 95045.47762581956 6474409.541787715 35.230000000000004, 95043.5099426026 6474408.031783652 35.15, 95044.91828818026 6474405.741872367 35.08, 95047.33375091391 6474402.317907597 34.99, 95045.8051634347 6474401.912537974 34.72, 95043.07133595564 6474405.478038768 34.71, 95041.08038162527 6474408.921254319 34.75, 95038.18614498893 6474413.116135362 35.07, 95032.45069399453 6474421.118369601 34.84, 95029.27731537592 6474425.3402951 34.79, 95026.31812276045 6474429.591784826 34.87, 95024.39115935878 6474432.968424213 34.7, 95028.97466903308 6474437.173443127 34.87, 95031.6872803662 6474433.700562894 34.94, 95034.12333621277 6474430.385294234 34.93, 95036.08251667989 6474427.548932598 35.06, 95038.29217478138 6474424.285786841 35.12, 95040.58286457567 6474420.924224302 35.1, 95040.58383042493 6474420.934193667 35.12, 95043.16970458848 6474417.191830511 35.12, 95045.37518858886 6474413.989467221 35.22, 95046.89802625892 6474411.738778391 35.18, 95047.51668218215 6474410.853681179 35.300000000000004, 95047.41505684739 6474410.843400934 35.300000000000004)</t>
  </si>
  <si>
    <t>POLYGON Z ((95047.41505684739 6474410.843400934 35.300000000000004, 95045.47762581956 6474409.541787715 35.230000000000004, 95043.5099426026 6474408.031783652 35.15, 95044.91828818026 6474405.741872367 35.08, 95047.33375091391 6474402.317907597 34.99, 95045.8051634347 6474401.912537974 34.72, 95043.07133595564 6474405.478038768 34.71, 95041.08038162527 6474408.921254319 34.75, 95038.18614498893 6474413.116135362 35.07, 95032.45069399453 6474421.118369601 34.84, 95029.27731537592 6474425.3402951 34.79, 95026.31812276045 6474429.591784826 34.87, 95024.39115935878 6474432.968424213 34.7, 95028.97466903308 6474437.173443127 34.87, 95031.6872803662 6474433.700562894 34.94, 95034.12333621277 6474430.385294234 34.93, 95036.08251667989 6474427.548932598 35.06, 95038.29217478138 6474424.285786841 35.12, 95040.58286457567 6474420.924224302 35.1, 95040.58383042493 6474420.934193667 35.12, 95043.16970458848 6474417.191830511 35.12, 95045.37518858886 6474413.989467221 35.22, 95046.89802625892 6474411.738778391 35.18, 95047.51668218215 6474410.853681179 35.300000000000004, 95047.41505684739 6474410.843400934 35.300000000000004))</t>
  </si>
  <si>
    <t>2025-12-03</t>
  </si>
  <si>
    <t>2025-12-03T09:52:36Z</t>
  </si>
  <si>
    <t>['RV52 S4D1 m3010-3027']</t>
  </si>
  <si>
    <t>LINESTRING Z (148520.98520567536 6765263.183923903 633.266, 148517.6036302572 6765262.888654621 633.365, 148518.7830570584 6765264.377954431 633.328, 148520.8825900855 6765268.036300314 633.273, 148522.63329201983 6765271.444647126 633.21, 148524.44615799765 6765274.213995869 633.173, 148527.65735026047 6765277.3260846855 633.114, 148528.84370577848 6765276.600357989 633.13, 148529.61260267446 6765275.400068587 633.1030000000001, 148529.95359058416 6765274.125662069 633.1080000000001, 148530.2636486136 6765272.115886153 633.104, 148530.18122845638 6765271.358477481 633.077, 148520.98520567536 6765263.183923903 633.2620000000001)</t>
  </si>
  <si>
    <t>POLYGON Z ((148520.98520567536 6765263.183923903 633.266, 148517.6036302572 6765262.888654621 633.365, 148518.7830570584 6765264.377954431 633.328, 148520.8825900855 6765268.036300314 633.273, 148522.63329201983 6765271.444647126 633.21, 148524.44615799765 6765274.213995869 633.173, 148527.65735026047 6765277.3260846855 633.114, 148528.84370577848 6765276.600357989 633.13, 148529.61260267446 6765275.400068587 633.1030000000001, 148529.95359058416 6765274.125662069 633.1080000000001, 148530.2636486136 6765272.115886153 633.104, 148530.18122845638 6765271.358477481 633.077, 148520.98520567536 6765263.183923903 633.2620000000001, 148520.98520567536 6765263.183923903 633.266))</t>
  </si>
  <si>
    <t>2025-12-18T12:44:04Z</t>
  </si>
  <si>
    <t>['FV834 S4D1 m11-15']</t>
  </si>
  <si>
    <t>LINESTRING (488415.5732642764 7481905.01093262, 488419.56540433125 7481905.882119082, 488422.31963759835 7481905.812775838, 488424.4392603599 7481904.972256283, 488423.2611159524 7481904.576088384, 488421.87112138385 7481901.658350594, 488415.5731391863 7481904.982268476)</t>
  </si>
  <si>
    <t>POLYGON ((488415.5732642764 7481905.01093262, 488419.56540433125 7481905.882119082, 488422.31963759835 7481905.812775838, 488424.4392603599 7481904.972256283, 488423.2611159524 7481904.576088384, 488421.87112138385 7481901.658350594, 488415.5731391863 7481904.982268476, 488415.5732642764 7481905.01093262))</t>
  </si>
  <si>
    <t>Trafikkøy</t>
  </si>
  <si>
    <t>2018-11-27</t>
  </si>
  <si>
    <t>['EV136 S1D1 m11838-11841']</t>
  </si>
  <si>
    <t>LINESTRING Z (54646.9307688151 6955926.66005158 -999999, 54650.7407688151 6955927.29505158 -999999)</t>
  </si>
  <si>
    <t>POINT (54648.8357688151 6955926.9775515795)</t>
  </si>
  <si>
    <t>['EV136 S1D1 m11845-11859']</t>
  </si>
  <si>
    <t>LINESTRING Z (54654.2332688151 6955927.77130158 -999999, 54668.3620188151 6955929.35880158 -999999)</t>
  </si>
  <si>
    <t>POINT (54661.2976438151 6955928.56505158)</t>
  </si>
  <si>
    <t>LINESTRING Z (74385.1054125033 6956277.37971458 -999999, 74385.4816260354 6956267.22194921 -999999, 74384.9643324288 6956260.21497218 -999999, 74383.9767719071 6956254.85392935 -999999)</t>
  </si>
  <si>
    <t>POINT (74385.07349421036 6956266.082514026)</t>
  </si>
  <si>
    <t>2018-03-05</t>
  </si>
  <si>
    <t>['EV134 S45D1 m425 KD3 m404-427']</t>
  </si>
  <si>
    <t>LINESTRING Z (220819.732720684 6634310.77116949 -999999, 220811.805053173 6634315.2824941 -999999, 220808.695305143 6634317.29726043 -999999, 220805.804553454 6634319.26822749 -999999, 220803.702188589 6634320.7574026 -999999, 220801.03043324 6634322.72836966 -999999, 220799.541258128 6634323.9109499 -999999, 220799.059466179 6634323.51675648 -999999, 220800.59244056 6634322.20277844 -999999, 220802.826203229 6634320.05661431 -999999, 220804.840969558 6634317.95424945 -999999, 220806.198746866 6634316.20227872 -999999, 220807.687921979 6634314.36270947 -999999, 220809.045699288 6634312.34794314 -999999, 220810.5348744 6634309.98278267 -999999, 220812.593439997 6634306.61023903 -999999, 220813.776020233 6634304.5954727 -999999)</t>
  </si>
  <si>
    <t>POLYGON Z ((220819.732720684 6634310.77116949 -999999, 220811.805053173 6634315.2824941 -999999, 220808.695305143 6634317.29726043 -999999, 220805.804553454 6634319.26822749 -999999, 220803.702188589 6634320.7574026 -999999, 220801.03043324 6634322.72836966 -999999, 220799.541258128 6634323.9109499 -999999, 220799.059466179 6634323.51675648 -999999, 220800.59244056 6634322.20277844 -999999, 220802.826203229 6634320.05661431 -999999, 220804.840969558 6634317.95424945 -999999, 220806.198746866 6634316.20227872 -999999, 220807.687921979 6634314.36270947 -999999, 220809.045699288 6634312.34794314 -999999, 220810.5348744 6634309.98278267 -999999, 220812.593439997 6634306.61023903 -999999, 220813.776020233 6634304.5954727 -999999, 220819.732720684 6634310.77116949 -999999))</t>
  </si>
  <si>
    <t>2015-07-03</t>
  </si>
  <si>
    <t>2025-11-22T09:08:22Z</t>
  </si>
  <si>
    <t>['FV410 S5D1 m9127-9134']</t>
  </si>
  <si>
    <t>LINESTRING Z (136768.74 6497479.72 14.953, 136767.97 6497478.86 14.923, 136769.6 6497480.57 14.963, 136769.63 6497480.94 14.933, 136769.57 6497481.32 14.893, 136764.09 6497484.45 14.663, 136763.69 6497484.3 14.663, 136763.54 6497483.75 14.673, 136767.2 6497478.93 14.953, 136767.57 6497478.71 14.963, 136767.76 6497478.69 14.963, 136767.97 6497478.86 14.943)</t>
  </si>
  <si>
    <t>2025-10-03</t>
  </si>
  <si>
    <t>2025-12-04T09:51:56Z</t>
  </si>
  <si>
    <t>[128]</t>
  </si>
  <si>
    <t>['FV128 S7D1 m2848 KD1 m0-68']</t>
  </si>
  <si>
    <t>LINESTRING Z (283304.44620780676 6611014.171234967 129.91, 283304.0069634557 6611014.0904819835 129.9, 283303.55234134773 6611013.9508525785 129.9, 283303.0914021899 6611013.741481175 129.89000000000001, 283302.64497470343 6611013.470526046 129.89000000000001, 283302.21215645305 6611013.128024043 129.89000000000001, 283301.83370244596 6611012.720328573 129.9, 283301.66259685694 6611012.494749676 129.9, 283301.49964954075 6611012.248342065 129.9, 283301.3566285097 6611012.000129579 129.9, 283301.24259447184 6611011.739246643 129.91, 283301.1376211421 6611011.46749813 129.91, 283301.0516716628 6611011.183981603 129.92000000000002, 283300.9865509049 6611010.908623346 129.92000000000002, 283300.95041714085 6611010.620594643 129.93, 283300.91980705556 6611010.060853778 129.94, 283300.97160942067 6611009.523782863 129.95, 283301.095861092 6611009.01028433 129.96, 283301.2744406545 6611008.542089337 129.97, 283301.48742182134 6611008.121002749 129.99, 283301.73480459227 6611007.74702458 130, 283302.0347103819 6611007.398423657 130.01, 283302.37717604707 6611007.076102428 130.02, 283302.7821278722 6611006.7782560205 130.03, 283303.2414075838 6611006.525713151 130.05, 283303.7559176161 6611006.328436968 130.06, 283304.2966709748 6611006.199097911 130.07, 283304.58469967166 6611006.162964157 130.07, 283304.864570095 6611006.147659126 130.08, 283305.1571109644 6611006.161341085 130.08, 283305.450554268 6611006.184986189 130.09, 283305.7358392982 6611006.229460009 130.09, 283306.0129660551 6611006.29476255 130.09, 283306.291897681 6611006.379991376 130.1, 283306.55270789133 6611006.486951352 130.1, 283307.05891420087 6611006.752491891 130.1, 283307.4989882527 6611007.064202038 130.1, 283307.8828931906 6611007.421179363 130.1, 283308.1997634383 6611007.814363157 130.1, 283308.4568548335 6611008.212961555 130.09, 283308.65416737716 6611008.616974565 130.09, 283308.8025666464 6611009.035462893 130.08, 283308.9147230889 6611009.497413524 130.07, 283308.96980798605 6611009.994668192 130.06, 283308.957858196 6611010.528129331 130.05, 283308.87526397896 6611011.057944379 130.04, 283308.71386706264 6611011.60494205 130.03, 283308.59694395494 6611011.866654693 130.02, 283308.4691552705 6611012.119306633 130.01, 283308.32144030207 6611012.373763446 130, 283308.1519941791 6611012.610098844 130, 283307.9707800431 6611012.827410391 129.99, 283307.76963962347 6611013.046526815 129.98, 283307.555828755 6611013.236656244 129.97, 283307.34111545153 6611013.416822536 129.97, 283306.8655192264 6611013.711022861 129.95, 283306.36367966747 6611013.937286065 129.94, 283305.8654862008 6611014.092904839 129.93, 283305.37093882624 6611014.177879183 129.92000000000002, 283304.89090312144 6611014.201269801 129.91, 283304.44620780676 6611014.171234967 129.91)</t>
  </si>
  <si>
    <t>POLYGON Z ((283304.44620780676 6611014.171234967 129.91, 283304.0069634557 6611014.0904819835 129.9, 283303.55234134773 6611013.9508525785 129.9, 283303.0914021899 6611013.741481175 129.89000000000001, 283302.64497470343 6611013.470526046 129.89000000000001, 283302.21215645305 6611013.128024043 129.89000000000001, 283301.83370244596 6611012.720328573 129.9, 283301.66259685694 6611012.494749676 129.9, 283301.49964954075 6611012.248342065 129.9, 283301.3566285097 6611012.000129579 129.9, 283301.24259447184 6611011.739246643 129.91, 283301.1376211421 6611011.46749813 129.91, 283301.0516716628 6611011.183981603 129.92000000000002, 283300.9865509049 6611010.908623346 129.92000000000002, 283300.95041714085 6611010.620594643 129.93, 283300.91980705556 6611010.060853778 129.94, 283300.97160942067 6611009.523782863 129.95, 283301.095861092 6611009.01028433 129.96, 283301.2744406545 6611008.542089337 129.97, 283301.48742182134 6611008.121002749 129.99, 283301.73480459227 6611007.74702458 130, 283302.0347103819 6611007.398423657 130.01, 283302.37717604707 6611007.076102428 130.02, 283302.7821278722 6611006.7782560205 130.03, 283303.2414075838 6611006.525713151 130.05, 283303.7559176161 6611006.328436968 130.06, 283304.2966709748 6611006.199097911 130.07, 283304.58469967166 6611006.162964157 130.07, 283304.864570095 6611006.147659126 130.08, 283305.1571109644 6611006.161341085 130.08, 283305.450554268 6611006.184986189 130.09, 283305.7358392982 6611006.229460009 130.09, 283306.0129660551 6611006.29476255 130.09, 283306.291897681 6611006.379991376 130.1, 283306.55270789133 6611006.486951352 130.1, 283307.05891420087 6611006.752491891 130.1, 283307.4989882527 6611007.064202038 130.1, 283307.8828931906 6611007.421179363 130.1, 283308.1997634383 6611007.814363157 130.1, 283308.4568548335 6611008.212961555 130.09, 283308.65416737716 6611008.616974565 130.09, 283308.8025666464 6611009.035462893 130.08, 283308.9147230889 6611009.497413524 130.07, 283308.96980798605 6611009.994668192 130.06, 283308.957858196 6611010.528129331 130.05, 283308.87526397896 6611011.057944379 130.04, 283308.71386706264 6611011.60494205 130.03, 283308.59694395494 6611011.866654693 130.02, 283308.4691552705 6611012.119306633 130.01, 283308.32144030207 6611012.373763446 130, 283308.1519941791 6611012.610098844 130, 283307.9707800431 6611012.827410391 129.99, 283307.76963962347 6611013.046526815 129.98, 283307.555828755 6611013.236656244 129.97, 283307.34111545153 6611013.416822536 129.97, 283306.8655192264 6611013.711022861 129.95, 283306.36367966747 6611013.937286065 129.94, 283305.8654862008 6611014.092904839 129.93, 283305.37093882624 6611014.177879183 129.92000000000002, 283304.89090312144 6611014.201269801 129.91, 283304.44620780676 6611014.171234967 129.91))</t>
  </si>
  <si>
    <t>2025-11-22T09:08:24Z</t>
  </si>
  <si>
    <t>['FV128 S7D1 m2370 KD1 m0-95']</t>
  </si>
  <si>
    <t>LINESTRING Z (283793.9813064963 6610995.193704308 129.23, 283792.20405293314 6610993.205087081 129.14000000000001, 283791.3207349273 6610991.215858229 129.08, 283791.2432415091 6610987.2551647825 128.93, 283793.74889896804 6610983.0906311255 128.83, 283798.0172254199 6610981.197291572 128.84, 283802.4622098827 6610981.919699281 128.91, 283806.1218346634 6610985.726694868 129.09, 283806.59283089865 6610991.148426658 129.33, 283803.5445816662 6610995.532868944 129.42000000000002, 283798.16782581655 6610996.9440068 129.38, 283793.9813064963 6610995.193704308 129.23)</t>
  </si>
  <si>
    <t>POLYGON Z ((283793.9813064963 6610995.193704308 129.23, 283792.20405293314 6610993.205087081 129.14000000000001, 283791.3207349273 6610991.215858229 129.08, 283791.2432415091 6610987.2551647825 128.93, 283793.74889896804 6610983.0906311255 128.83, 283798.0172254199 6610981.197291572 128.84, 283802.4622098827 6610981.919699281 128.91, 283806.1218346634 6610985.726694868 129.09, 283806.59283089865 6610991.148426658 129.33, 283803.5445816662 6610995.532868944 129.42000000000002, 283798.16782581655 6610996.9440068 129.38, 283793.9813064963 6610995.193704308 129.23))</t>
  </si>
  <si>
    <t>[124]</t>
  </si>
  <si>
    <t>['FV124 S3D1 m1365 KD1 m0-63']</t>
  </si>
  <si>
    <t>LINESTRING Z (292402.68898728496 6593416.032007681 103.65, 292403.8474409813 6593415.736410876 103.67, 292405.14526478515 6593415.649177227 103.61, 292406.5733449273 6593415.891658214 103.7, 292407.9596166389 6593416.449282259 103.69, 292409.2488097692 6593417.377267269 103.76, 292410.2924404531 6593418.588601604 103.78, 292410.9917849491 6593420.1022570385 103.8, 292411.2456256052 6593421.465365613 103.82000000000001, 292411.27038171515 6593422.738707526 103.84, 292411.04342554335 6593423.894197242 103.85000000000001, 292410.5963941376 6593425.0595449945 103.87, 292409.809790086 6593426.135073892 103.81, 292408.7886436611 6593427.171549429 103.83, 292407.51493621076 6593427.969722229 103.83, 292406.052999413 6593428.463510954 103.84, 292404.5486665666 6593428.599551731 103.83, 292403.113326697 6593428.387859226 103.81, 292401.8347879551 6593427.910888201 103.79, 292400.7791316917 6593427.2329703355 103.77, 292399.9128145627 6593426.42744665 103.75, 292399.1652505718 6593425.380173102 103.72, 292398.5980164102 6593424.105669037 103.69, 292398.3161423765 6593422.654699962 103.65, 292398.37935107603 6593421.132348385 103.62, 292398.7902930833 6593419.678989841 103.61, 292399.5344490406 6593418.35620101 103.57000000000001, 292400.4758958634 6593417.326932926 103.65, 292401.57208086766 6593416.564901898 103.63, 292402.68898728496 6593416.032007681 103.65)</t>
  </si>
  <si>
    <t>POLYGON Z ((292402.68898728496 6593416.032007681 103.65, 292403.8474409813 6593415.736410876 103.67, 292405.14526478515 6593415.649177227 103.61, 292406.5733449273 6593415.891658214 103.7, 292407.9596166389 6593416.449282259 103.69, 292409.2488097692 6593417.377267269 103.76, 292410.2924404531 6593418.588601604 103.78, 292410.9917849491 6593420.1022570385 103.8, 292411.2456256052 6593421.465365613 103.82000000000001, 292411.27038171515 6593422.738707526 103.84, 292411.04342554335 6593423.894197242 103.85000000000001, 292410.5963941376 6593425.0595449945 103.87, 292409.809790086 6593426.135073892 103.81, 292408.7886436611 6593427.171549429 103.83, 292407.51493621076 6593427.969722229 103.83, 292406.052999413 6593428.463510954 103.84, 292404.5486665666 6593428.599551731 103.83, 292403.113326697 6593428.387859226 103.81, 292401.8347879551 6593427.910888201 103.79, 292400.7791316917 6593427.2329703355 103.77, 292399.9128145627 6593426.42744665 103.75, 292399.1652505718 6593425.380173102 103.72, 292398.5980164102 6593424.105669037 103.69, 292398.3161423765 6593422.654699962 103.65, 292398.37935107603 6593421.132348385 103.62, 292398.7902930833 6593419.678989841 103.61, 292399.5344490406 6593418.35620101 103.57000000000001, 292400.4758958634 6593417.326932926 103.65, 292401.57208086766 6593416.564901898 103.63, 292402.68898728496 6593416.032007681 103.65))</t>
  </si>
  <si>
    <t>2025-09-10</t>
  </si>
  <si>
    <t>[21]</t>
  </si>
  <si>
    <t>['FV21 S6D1 m11789-11794']</t>
  </si>
  <si>
    <t>LINESTRING Z (310868.86965904257 6598282.43603119 130.12, 310864.7661400817 6598281.923577967 130.12, 310863.90414119395 6598281.830849135 130.12, 310863.709570542 6598281.567264922 130.12, 310863.74874847376 6598281.001342531 130.12, 310863.95014609676 6598280.119468928 130.12, 310864.1050615291 6598279.944772995 130.12, 310864.322399092 6598279.905023562 130.12, 310866.3940333077 6598280.269918996 130.09, 310870.53450365656 6598281.19076965 129.95, 310871.6046861748 6598281.475553782 129.88, 310872.11800599017 6598281.7102978155 129.86, 310872.2329364427 6598281.870620768 129.86, 310872.2010627721 6598282.295287844 129.87, 310871.9373843677 6598282.710801053 129.87, 310871.5416516628 6598282.776733993 129.87, 310868.86965904257 6598282.43603119 130.12)</t>
  </si>
  <si>
    <t>POLYGON Z ((310868.86965904257 6598282.43603119 130.12, 310864.7661400817 6598281.923577967 130.12, 310863.90414119395 6598281.830849135 130.12, 310863.709570542 6598281.567264922 130.12, 310863.74874847376 6598281.001342531 130.12, 310863.95014609676 6598280.119468928 130.12, 310864.1050615291 6598279.944772995 130.12, 310864.322399092 6598279.905023562 130.12, 310866.3940333077 6598280.269918996 130.09, 310870.53450365656 6598281.19076965 129.95, 310871.6046861748 6598281.475553782 129.88, 310872.11800599017 6598281.7102978155 129.86, 310872.2329364427 6598281.870620768 129.86, 310872.2010627721 6598282.295287844 129.87, 310871.9373843677 6598282.710801053 129.87, 310871.5416516628 6598282.776733993 129.87, 310868.86965904257 6598282.43603119 130.12))</t>
  </si>
  <si>
    <t>['FV21 S6D1 m11784 KD1 m0-53']</t>
  </si>
  <si>
    <t>LINESTRING Z (310848.4209475508 6598283.964855106 130.79, 310847.2258263249 6598283.631120513 130.79, 310846.14492273633 6598283.005862753 130.8, 310845.2506669558 6598282.112655771 130.8, 310844.5901126908 6598281.027581863 130.81, 310844.2175707946 6598279.795939326 130.81, 310844.1420538228 6598278.5173373055 130.82, 310844.3798314744 6598277.260600956 130.82, 310844.91819195566 6598276.107220113 130.83, 310845.71363947133 6598275.131427446 130.83, 310846.7109148011 6598274.388435063 130.84, 310847.8647196397 6598273.932553796 130.84, 310849.096267924 6598273.780954592 130.84, 310850.31771393743 6598273.961670552 130.84, 310851.46658843866 6598274.450226459 130.84, 310852.4595991083 6598275.213988686 130.83, 310853.2433363702 6598276.217619848 130.83, 310853.7698452893 6598277.375076749 130.82, 310853.9947759458 6598278.6401598435 130.82, 310853.91001705 6598279.923220922 130.81, 310853.51741821936 6598281.133710522 130.81, 310852.8514155713 6598282.208258154 130.8, 310851.94554396416 6598283.073532401 130.8, 310850.8559638483 6598283.684282083 130.79, 310849.65785624686 6598283.983492584 130.79, 310848.4209475508 6598283.964855106 130.79)</t>
  </si>
  <si>
    <t>POLYGON Z ((310848.4209475508 6598283.964855106 130.79, 310847.2258263249 6598283.631120513 130.79, 310846.14492273633 6598283.005862753 130.8, 310845.2506669558 6598282.112655771 130.8, 310844.5901126908 6598281.027581863 130.81, 310844.2175707946 6598279.795939326 130.81, 310844.1420538228 6598278.5173373055 130.82, 310844.3798314744 6598277.260600956 130.82, 310844.91819195566 6598276.107220113 130.83, 310845.71363947133 6598275.131427446 130.83, 310846.7109148011 6598274.388435063 130.84, 310847.8647196397 6598273.932553796 130.84, 310849.096267924 6598273.780954592 130.84, 310850.31771393743 6598273.961670552 130.84, 310851.46658843866 6598274.450226459 130.84, 310852.4595991083 6598275.213988686 130.83, 310853.2433363702 6598276.217619848 130.83, 310853.7698452893 6598277.375076749 130.82, 310853.9947759458 6598278.6401598435 130.82, 310853.91001705 6598279.923220922 130.81, 310853.51741821936 6598281.133710522 130.81, 310852.8514155713 6598282.208258154 130.8, 310851.94554396416 6598283.073532401 130.8, 310850.8559638483 6598283.684282083 130.79, 310849.65785624686 6598283.983492584 130.79, 310848.4209475508 6598283.964855106 130.79))</t>
  </si>
  <si>
    <t>['FV128 S3D1 m5196 KD1 m0-76']</t>
  </si>
  <si>
    <t>LINESTRING Z (300173.12011571985 6606173.2353886785 160.75, 300173.3551475804 6606174.389189896 160.75, 300173.86365692073 6606175.568447109 160.75, 300174.678275151 6606176.689858362 160.75, 300175.788178782 6606177.633882451 160.75, 300177.11371391645 6606178.297253644 160.75, 300178.54804723064 6606178.609297397 160.75, 300179.96167576336 6606178.581739146 160.75, 300181.2468240083 6606178.244423969 160.75, 300182.33281741495 6606177.704185177 160.75, 300183.2431873485 6606176.999065925 160.75, 300184.0612760077 6606176.051216247 160.75, 300184.7064873215 6606174.857890032 160.75, 300185.0728497079 6606173.468855858 160.75, 300185.10961214686 6606171.989143109 160.75, 300184.77778928884 6606170.542802738 160.75, 300184.11989380943 6606169.266593576 160.75, 300183.2527207656 6606168.230288225 160.75, 300182.24961032835 6606167.4674200555 160.75, 300181.22014191066 6606166.9680675585 160.75, 300180.0366567179 6606166.653398319 160.75, 300178.71633215575 6606166.602204508 160.75, 300177.33341036 6606166.857981275 160.75, 300175.9920187696 6606167.461517905 160.75, 300174.8198564383 6606168.381165445 160.75, 300173.929248924 6606169.5264063 160.75, 300173.36098550947 6606170.793113028 160.75, 300173.1142044945 6606172.060842465 160.75, 300173.12011571985 6606173.2353886785 160.75)</t>
  </si>
  <si>
    <t>POLYGON Z ((300173.12011571985 6606173.2353886785 160.75, 300173.3551475804 6606174.389189896 160.75, 300173.86365692073 6606175.568447109 160.75, 300174.678275151 6606176.689858362 160.75, 300175.788178782 6606177.633882451 160.75, 300177.11371391645 6606178.297253644 160.75, 300178.54804723064 6606178.609297397 160.75, 300179.96167576336 6606178.581739146 160.75, 300181.2468240083 6606178.244423969 160.75, 300182.33281741495 6606177.704185177 160.75, 300183.2431873485 6606176.999065925 160.75, 300184.0612760077 6606176.051216247 160.75, 300184.7064873215 6606174.857890032 160.75, 300185.0728497079 6606173.468855858 160.75, 300185.10961214686 6606171.989143109 160.75, 300184.77778928884 6606170.542802738 160.75, 300184.11989380943 6606169.266593576 160.75, 300183.2527207656 6606168.230288225 160.75, 300182.24961032835 6606167.4674200555 160.75, 300181.22014191066 6606166.9680675585 160.75, 300180.0366567179 6606166.653398319 160.75, 300178.71633215575 6606166.602204508 160.75, 300177.33341036 6606166.857981275 160.75, 300175.9920187696 6606167.461517905 160.75, 300174.8198564383 6606168.381165445 160.75, 300173.929248924 6606169.5264063 160.75, 300173.36098550947 6606170.793113028 160.75, 300173.1142044945 6606172.060842465 160.75, 300173.12011571985 6606173.2353886785 160.75))</t>
  </si>
  <si>
    <t>['FV128 S4D1 m69 KD1 m0-76']</t>
  </si>
  <si>
    <t>LINESTRING Z (300166.2981618509 6606079.364461181 160.70000000000002, 300166.51326928195 6606080.520066511 160.70000000000002, 300166.99189241417 6606081.702030003 160.70000000000002, 300167.7865862568 6606082.82524582 160.70000000000002, 300168.86750583 6606083.781938416 160.70000000000002, 300170.1749208485 6606084.467038097 160.70000000000002, 300171.59113432455 6606084.800810406 160.70000000000002, 300172.9966050512 6606084.794078742 160.70000000000002, 300174.2744976771 6606084.487551806 160.70000000000002, 300175.3622954346 6606083.96723738 160.70000000000002, 300176.2844316091 6606083.281140405 160.70000000000002, 300177.1151886438 6606082.362274687 160.70000000000002, 300177.7721665704 6606081.187970522 160.70000000000002, 300178.1602574799 6606079.81705623 160.70000000000002, 300178.21784655424 6606078.345501339 160.70000000000002, 300177.91681206087 6606076.9064165875 160.70000000000002, 300177.298764623 6606075.6265990855 160.70000000000002, 300176.44065218087 6606074.579429315 160.70000000000002, 300175.46652566164 6606073.803892731 160.70000000000002, 300174.4560791898 6606073.292773755 160.70000000000002, 300173.2916157953 6606072.96633792 160.70000000000002, 300171.97854715993 6606072.88435583 160.70000000000002, 300170.5929192831 6606073.110246226 160.70000000000002, 300169.24882134085 6606073.683896522 160.70000000000002, 300168.0739524156 6606074.573657872 160.70000000000002, 300167.1715783194 6606075.699876478 160.70000000000002, 300166.5915482362 6606076.947561208 160.70000000000002, 300166.3130770256 6606078.1980727995 160.70000000000002, 300166.2981618509 6606079.364461181 160.70000000000002)</t>
  </si>
  <si>
    <t>POLYGON Z ((300166.2981618509 6606079.364461181 160.70000000000002, 300166.51326928195 6606080.520066511 160.70000000000002, 300166.99189241417 6606081.702030003 160.70000000000002, 300167.7865862568 6606082.82524582 160.70000000000002, 300168.86750583 6606083.781938416 160.70000000000002, 300170.1749208485 6606084.467038097 160.70000000000002, 300171.59113432455 6606084.800810406 160.70000000000002, 300172.9966050512 6606084.794078742 160.70000000000002, 300174.2744976771 6606084.487551806 160.70000000000002, 300175.3622954346 6606083.96723738 160.70000000000002, 300176.2844316091 6606083.281140405 160.70000000000002, 300177.1151886438 6606082.362274687 160.70000000000002, 300177.7721665704 6606081.187970522 160.70000000000002, 300178.1602574799 6606079.81705623 160.70000000000002, 300178.21784655424 6606078.345501339 160.70000000000002, 300177.91681206087 6606076.9064165875 160.70000000000002, 300177.298764623 6606075.6265990855 160.70000000000002, 300176.44065218087 6606074.579429315 160.70000000000002, 300175.46652566164 6606073.803892731 160.70000000000002, 300174.4560791898 6606073.292773755 160.70000000000002, 300173.2916157953 6606072.96633792 160.70000000000002, 300171.97854715993 6606072.88435583 160.70000000000002, 300170.5929192831 6606073.110246226 160.70000000000002, 300169.24882134085 6606073.683896522 160.70000000000002, 300168.0739524156 6606074.573657872 160.70000000000002, 300167.1715783194 6606075.699876478 160.70000000000002, 300166.5915482362 6606076.947561208 160.70000000000002, 300166.3130770256 6606078.1980727995 160.70000000000002, 300166.2981618509 6606079.364461181 160.70000000000002))</t>
  </si>
  <si>
    <t>['FV124 S5D1 m7583 KD1 m0-89']</t>
  </si>
  <si>
    <t>LINESTRING Z (286530.0065015477 6609978.930889795 153.53, 286528.8013278779 6609978.045626106 153.57, 286528.0498234123 6609977.400522673 153.58, 286527.1525966917 6609976.4773237165 153.58, 286526.53158641455 6609975.609464763 153.58, 286525.97764650837 6609974.594906809 153.56, 286525.51886095107 6609973.411017081 153.56, 286525.2230536187 6609972.363035547 153.57, 286525.03687519074 6609971.194634317 153.61, 286525.096196663 6609969.8533292 153.62, 286525.27150059456 6609968.350850547 153.63, 286525.5009817605 6609967.335650708 153.66, 286526.1535644373 6609965.890391201 153.68, 286526.92927380936 6609964.58464925 153.73, 286527.8353285338 6609963.498127904 153.77, 286528.9496269779 6609962.603682729 153.79, 286530.09738617216 6609961.8568761125 153.83, 286531.61193003634 6609961.167251443 153.87, 286532.804843072 6609960.808094838 153.91, 286534.29747038626 6609960.6528191585 153.96, 286535.4956857359 6609960.684921872 154.01, 286536.95015450707 6609960.884663308 154.02, 286538.15186750644 6609961.288099556 154.06, 286539.6088943741 6609961.959705642 154.06, 286540.74436487723 6609962.740791735 154.06, 286541.79374157824 6609963.6803443255 154.07, 286542.6338606024 6609964.749339899 154.07, 286543.17426535493 6609965.614454571 154.04, 286543.74444710836 6609966.80834424 154.03, 286544.1000316256 6609967.850911625 154.02, 286544.37501078617 6609968.890734789 153.99, 286544.4497928335 6609970.0491357455 153.94, 286544.35780132504 6609971.584247016 153.89000000000001, 286544.25422832684 6609972.5478648525 153.86, 286543.78827073885 6609973.835597199 153.82, 286543.15294421965 6609975.138669237 153.74, 286542.39178402827 6609976.27233514 153.72, 286541.7222060326 6609977.086323792 153.69, 286540.64136858436 6609978.128407533 153.66, 286539.76809573895 6609978.689640484 153.63, 286538.5189404773 6609979.315050787 153.59, 286537.32238100853 6609979.744850052 153.59, 286535.6014726516 6609980.041336549 153.59, 286534.8098934884 6609980.06280657 153.58, 286533.63795742206 6609979.988145527 153.56, 286532.4959471854 6609979.800283466 153.56, 286531.5441711935 6609979.494745913 153.57, 286530.56070188613 6609979.171989597 153.57, 286530.0065015477 6609978.930889795 153.53)</t>
  </si>
  <si>
    <t>POLYGON Z ((286530.0065015477 6609978.930889795 153.53, 286528.8013278779 6609978.045626106 153.57, 286528.0498234123 6609977.400522673 153.58, 286527.1525966917 6609976.4773237165 153.58, 286526.53158641455 6609975.609464763 153.58, 286525.97764650837 6609974.594906809 153.56, 286525.51886095107 6609973.411017081 153.56, 286525.2230536187 6609972.363035547 153.57, 286525.03687519074 6609971.194634317 153.61, 286525.096196663 6609969.8533292 153.62, 286525.27150059456 6609968.350850547 153.63, 286525.5009817605 6609967.335650708 153.66, 286526.1535644373 6609965.890391201 153.68, 286526.92927380936 6609964.58464925 153.73, 286527.8353285338 6609963.498127904 153.77, 286528.9496269779 6609962.603682729 153.79, 286530.09738617216 6609961.8568761125 153.83, 286531.61193003634 6609961.167251443 153.87, 286532.804843072 6609960.808094838 153.91, 286534.29747038626 6609960.6528191585 153.96, 286535.4956857359 6609960.684921872 154.01, 286536.95015450707 6609960.884663308 154.02, 286538.15186750644 6609961.288099556 154.06, 286539.6088943741 6609961.959705642 154.06, 286540.74436487723 6609962.740791735 154.06, 286541.79374157824 6609963.6803443255 154.07, 286542.6338606024 6609964.749339899 154.07, 286543.17426535493 6609965.614454571 154.04, 286543.74444710836 6609966.80834424 154.03, 286544.1000316256 6609967.850911625 154.02, 286544.37501078617 6609968.890734789 153.99, 286544.4497928335 6609970.0491357455 153.94, 286544.35780132504 6609971.584247016 153.89000000000001, 286544.25422832684 6609972.5478648525 153.86, 286543.78827073885 6609973.835597199 153.82, 286543.15294421965 6609975.138669237 153.74, 286542.39178402827 6609976.27233514 153.72, 286541.7222060326 6609977.086323792 153.69, 286540.64136858436 6609978.128407533 153.66, 286539.76809573895 6609978.689640484 153.63, 286538.5189404773 6609979.315050787 153.59, 286537.32238100853 6609979.744850052 153.59, 286535.6014726516 6609980.041336549 153.59, 286534.8098934884 6609980.06280657 153.58, 286533.63795742206 6609979.988145527 153.56, 286532.4959471854 6609979.800283466 153.56, 286531.5441711935 6609979.494745913 153.57, 286530.56070188613 6609979.171989597 153.57, 286530.0065015477 6609978.930889795 153.53))</t>
  </si>
  <si>
    <t>2025-10-30</t>
  </si>
  <si>
    <t>[316]</t>
  </si>
  <si>
    <t>['FV316 S1D1 m2130 KD1 m6-32']</t>
  </si>
  <si>
    <t>LINESTRING Z (255723.58277080627 6599542.191001997 15.870000000000001, 255724.37374625038 6599541.938591615 15.91, 255725.23642623852 6599541.368234815 15.83, 255725.84095273865 6599540.720763725 15.860000000000001, 255726.38312430482 6599539.717239888 15.85, 255726.62362631492 6599538.710868308 15.84, 255726.62410258394 6599537.605648202 15.83, 255726.42431981716 6599536.619017095 15.860000000000001, 255726.12663777903 6599535.77185521 15.82, 255725.42041829502 6599534.85113788 15.85, 255724.6497548651 6599534.217568866 15.8, 255723.84815044742 6599533.908305266 15.860000000000001, 255722.89065704815 6599533.763851612 15.92, 255721.9602599787 6599533.807840639 15.93, 255721.0506002441 6599534.081035944 15.950000000000001, 255720.1906726935 6599534.570767166 15.9, 255719.33335475 6599535.3114389 15.91, 255718.59092405468 6599536.433551778 15.88, 255718.33053865493 6599537.331204651 15.91, 255718.20497149936 6599538.608495412 15.89, 255718.38302006578 6599539.576998852 15.92, 255718.908057553 6599540.494014466 15.92, 255719.73661549747 6599541.3232867755 15.870000000000001, 255720.61875026106 6599541.856346871 15.860000000000001, 255721.83069544044 6599542.259096831 15.88, 255722.73385328878 6599542.358231093 15.870000000000001, 255723.58277080627 6599542.191001997 15.870000000000001)</t>
  </si>
  <si>
    <t>POLYGON Z ((255723.58277080627 6599542.191001997 15.870000000000001, 255724.37374625038 6599541.938591615 15.91, 255725.23642623852 6599541.368234815 15.83, 255725.84095273865 6599540.720763725 15.860000000000001, 255726.38312430482 6599539.717239888 15.85, 255726.62362631492 6599538.710868308 15.84, 255726.62410258394 6599537.605648202 15.83, 255726.42431981716 6599536.619017095 15.860000000000001, 255726.12663777903 6599535.77185521 15.82, 255725.42041829502 6599534.85113788 15.85, 255724.6497548651 6599534.217568866 15.8, 255723.84815044742 6599533.908305266 15.860000000000001, 255722.89065704815 6599533.763851612 15.92, 255721.9602599787 6599533.807840639 15.93, 255721.0506002441 6599534.081035944 15.950000000000001, 255720.1906726935 6599534.570767166 15.9, 255719.33335475 6599535.3114389 15.91, 255718.59092405468 6599536.433551778 15.88, 255718.33053865493 6599537.331204651 15.91, 255718.20497149936 6599538.608495412 15.89, 255718.38302006578 6599539.576998852 15.92, 255718.908057553 6599540.494014466 15.92, 255719.73661549747 6599541.3232867755 15.870000000000001, 255720.61875026106 6599541.856346871 15.860000000000001, 255721.83069544044 6599542.259096831 15.88, 255722.73385328878 6599542.358231093 15.870000000000001, 255723.58277080627 6599542.191001997 15.870000000000001))</t>
  </si>
  <si>
    <t>['FV316 S1D1 m238 KD1 m9-32']</t>
  </si>
  <si>
    <t>LINESTRING Z (255449.71975791626 6597673.4159901915 37.51, 255449.35444205848 6597673.931295572 37.62, 255449.02353012253 6597674.49372416 37.64, 255448.73788910254 6597675.112340002 37.61, 255448.50568158145 6597675.766310588 37.57, 255448.34683860658 6597676.4538329765 37.550000000000004, 255448.2495917139 6597677.155877586 37.53, 255448.22570936815 6597677.891473992 37.5, 255448.2806497394 6597678.609893111 37.51, 255448.4062502463 6597679.33196746 37.45, 255448.6097719982 6597680.0268989885 37.46, 255448.88124947168 6597680.6955891745 37.49, 255449.2188797241 6597681.318106973 37.480000000000004, 255449.60273170835 6597681.896255317 37.51, 255450.0310024815 6597682.41010317 37.54, 255450.48556393877 6597682.88138451 37.56, 255450.97367718868 6597683.279301304 37.57, 255451.4989481149 6597683.643715644 37.6, 255452.07044076806 6597683.963760537 37.64, 255452.68725367557 6597684.229470454 37.65, 255453.34032278555 6597684.451712398 37.69, 255454.0269436832 6597684.600589795 37.68, 255454.7480178386 6597684.686068172 37.69, 255455.47184574202 6597684.690920895 37.7, 255456.199328865 6597684.625113495 37.71, 255456.90963469123 6597684.4804833885 37.72, 255457.6027632218 6597684.257030579 37.71, 255458.2605863558 6597683.976489054 37.74, 255458.88220262228 6597683.628893289 37.7, 255459.44948392178 6597683.235977275 37.730000000000004, 255459.96243025447 6597682.79774101 37.76, 255460.41197757144 6597682.325051488 37.76, 255460.80899286672 6597681.826972761 37.74, 255461.16434313325 6597681.312568875 37.78, 255461.48528948112 6597680.751041795 37.75, 255461.76186638957 6597680.143292994 37.77, 255461.9841083376 6597679.490223943 37.78, 255462.14385274603 6597678.812667149 37.76, 255462.23023262355 6597678.101558567 37.75, 255462.24595238225 6597677.38679476 37.69, 255462.1810465006 6597676.669277192 37.75, 255462.05634749294 6597675.957168451 37.77, 255461.8437617344 6597675.273103986 37.72, 255461.57318578902 6597674.614379379 37.69, 255461.24552112687 6597673.99096016 37.69, 255460.86257068728 6597673.42277737 37.71, 255460.43429999094 6597672.908929538 37.68, 255459.98064008076 6597672.44761372 37.730000000000004, 255459.49252690354 6597672.049696912 37.7, 255458.97812304032 6597671.694346599 37.72, 255458.40663045386 6597671.374301671 37.68, 255457.79978312753 6597671.107690229 37.660000000000004, 255457.14671406828 6597670.885448226 37.69, 255456.47005872944 6597670.735669282 37.68, 255455.75895011862 6597670.649289354 37.67, 255455.04508774195 6597670.643535075 37.65, 255454.326668659 6597670.6984754 37.67, 255453.6163628026 6597670.843105426 37.660000000000004, 255452.92143128556 6597671.046627117 37.64, 255452.27357361675 6597671.326267116 37.69, 255451.65105581094 6597671.663897311 37.6, 255451.0928384902 6597672.0459463 37.63, 255450.57899061014 6597672.474217024 37.65, 255450.11857622446 6597672.937842495 37.67, 255449.71975791626 6597673.4159901915 37.51)</t>
  </si>
  <si>
    <t>POLYGON Z ((255449.71975791626 6597673.4159901915 37.51, 255449.35444205848 6597673.931295572 37.62, 255449.02353012253 6597674.49372416 37.64, 255448.73788910254 6597675.112340002 37.61, 255448.50568158145 6597675.766310588 37.57, 255448.34683860658 6597676.4538329765 37.550000000000004, 255448.2495917139 6597677.155877586 37.53, 255448.22570936815 6597677.891473992 37.5, 255448.2806497394 6597678.609893111 37.51, 255448.4062502463 6597679.33196746 37.45, 255448.6097719982 6597680.0268989885 37.46, 255448.88124947168 6597680.6955891745 37.49, 255449.2188797241 6597681.318106973 37.480000000000004, 255449.60273170835 6597681.896255317 37.51, 255450.0310024815 6597682.41010317 37.54, 255450.48556393877 6597682.88138451 37.56, 255450.97367718868 6597683.279301304 37.57, 255451.4989481149 6597683.643715644 37.6, 255452.07044076806 6597683.963760537 37.64, 255452.68725367557 6597684.229470454 37.65, 255453.34032278555 6597684.451712398 37.69, 255454.0269436832 6597684.600589795 37.68, 255454.7480178386 6597684.686068172 37.69, 255455.47184574202 6597684.690920895 37.7, 255456.199328865 6597684.625113495 37.71, 255456.90963469123 6597684.4804833885 37.72, 255457.6027632218 6597684.257030579 37.71, 255458.2605863558 6597683.976489054 37.74, 255458.88220262228 6597683.628893289 37.7, 255459.44948392178 6597683.235977275 37.730000000000004, 255459.96243025447 6597682.79774101 37.76, 255460.41197757144 6597682.325051488 37.76, 255460.80899286672 6597681.826972761 37.74, 255461.16434313325 6597681.312568875 37.78, 255461.48528948112 6597680.751041795 37.75, 255461.76186638957 6597680.143292994 37.77, 255461.9841083376 6597679.490223943 37.78, 255462.14385274603 6597678.812667149 37.76, 255462.23023262355 6597678.101558567 37.75, 255462.24595238225 6597677.38679476 37.69, 255462.1810465006 6597676.669277192 37.75, 255462.05634749294 6597675.957168451 37.77, 255461.8437617344 6597675.273103986 37.72, 255461.57318578902 6597674.614379379 37.69, 255461.24552112687 6597673.99096016 37.69, 255460.86257068728 6597673.42277737 37.71, 255460.43429999094 6597672.908929538 37.68, 255459.98064008076 6597672.44761372 37.730000000000004, 255459.49252690354 6597672.049696912 37.7, 255458.97812304032 6597671.694346599 37.72, 255458.40663045386 6597671.374301671 37.68, 255457.79978312753 6597671.107690229 37.660000000000004, 255457.14671406828 6597670.885448226 37.69, 255456.47005872944 6597670.735669282 37.68, 255455.75895011862 6597670.649289354 37.67, 255455.04508774195 6597670.643535075 37.65, 255454.326668659 6597670.6984754 37.67, 255453.6163628026 6597670.843105426 37.660000000000004, 255452.92143128556 6597671.046627117 37.64, 255452.27357361675 6597671.326267116 37.69, 255451.65105581094 6597671.663897311 37.6, 255451.0928384902 6597672.0459463 37.63, 255450.57899061014 6597672.474217024 37.65, 255450.11857622446 6597672.937842495 37.67, 255449.71975791626 6597673.4159901915 37.51))</t>
  </si>
  <si>
    <t>[220]</t>
  </si>
  <si>
    <t>['FV220 S5D1 m156 KD1 m14-35']</t>
  </si>
  <si>
    <t>LINESTRING Z (292978.4600559876 6561257.609623751 81.82000000000001, 292977.9700936488 6561257.633712382 81.82000000000001, 292977.2130203628 6561257.59149214 81.82000000000001, 292976.4777506165 6561257.456914056 81.82000000000001, 292975.76428441075 6561257.229978135 81.82000000000001, 292975.0825843153 6561256.909786129 81.82000000000001, 292974.4543719498 6561256.514466696 81.82000000000001, 292973.8687865065 6561256.034955511 81.82000000000001, 292973.3575121741 6561255.488482983 81.82000000000001, 292972.9205489544 6561254.875049121 81.82000000000001, 292972.5605915689 6561254.224541624 81.82000000000001, 292972.27674177935 6561253.526997932 81.82000000000001, 292972.0997855336 6561252.789685887 81.82000000000001, 292972.00252984493 6561252.045187927 81.82000000000001, 292972.00579809153 6561251.301670134 81.82000000000001, 292972.10869203386 6561250.549169948 81.82000000000001, 292972.29487949144 6561249.829334128 81.82000000000001, 292972.58338736196 6561249.130403616 81.82000000000001, 292972.9461244161 6561248.4749982795 81.82000000000001, 292973.39395146066 6561247.8721824465 81.82000000000001, 292973.90784159536 6561247.333715164 81.82000000000001, 292974.49775738723 6561246.858698193 81.82000000000001, 292975.1356076064 6561246.46975139 81.82000000000001, 292975.8204940121 6561246.156912183 81.82000000000001, 292976.53338970477 6561245.9319396205 81.82000000000001, 292977.27519292245 6561245.804796271 81.82000000000001, 292978.025080288 6561245.76731604 81.82000000000001, 292978.77398747223 6561245.8303597355 81.82000000000001, 292979.5001928593 6561245.975798691 81.82000000000001, 292980.21545549727 6561246.222659809 81.82000000000001, 292980.8880912036 6561246.553712666 81.82000000000001, 292981.5180999795 6561246.968957265 81.82000000000001, 292982.084658451 6561247.46022751 81.82000000000001, 292982.58686838055 6561248.017560835 81.82000000000001, 292983.0138689622 6561248.631892911 81.82000000000001, 292983.3556976295 6561249.304121981 81.82000000000001, 292983.61962223344 6561250.003462094 81.82000000000001, 292983.7857176396 6561250.731709742 81.82000000000001, 292983.86304817663 6561251.478004109 81.82000000000001, 292983.84075303754 6561252.233280872 81.82000000000001, 292983.72699831077 6561252.976716658 81.82000000000001, 292983.52088575624 6561253.6983489 81.82000000000001, 292983.2215171329 6561254.38821503 81.82000000000001, 292982.8479193361 6561255.034556004 81.82000000000001, 292982.3892315561 6561255.628307491 81.82000000000001, 292981.8545181193 6561256.158608685 81.82000000000001, 292981.26280591986 6561256.613700535 81.82000000000001, 292980.61409495707 6561256.993583048 81.82000000000001, 292979.92741212534 6561257.286497169 81.82000000000001, 292979.2036556637 6561257.502405466 81.82000000000001, 292978.4600559876 6561257.609623751 81.82000000000001)</t>
  </si>
  <si>
    <t>POLYGON Z ((292978.4600559876 6561257.609623751 81.82000000000001, 292977.9700936488 6561257.633712382 81.82000000000001, 292977.2130203628 6561257.59149214 81.82000000000001, 292976.4777506165 6561257.456914056 81.82000000000001, 292975.76428441075 6561257.229978135 81.82000000000001, 292975.0825843153 6561256.909786129 81.82000000000001, 292974.4543719498 6561256.514466696 81.82000000000001, 292973.8687865065 6561256.034955511 81.82000000000001, 292973.3575121741 6561255.488482983 81.82000000000001, 292972.9205489544 6561254.875049121 81.82000000000001, 292972.5605915689 6561254.224541624 81.82000000000001, 292972.27674177935 6561253.526997932 81.82000000000001, 292972.0997855336 6561252.789685887 81.82000000000001, 292972.00252984493 6561252.045187927 81.82000000000001, 292972.00579809153 6561251.301670134 81.82000000000001, 292972.10869203386 6561250.549169948 81.82000000000001, 292972.29487949144 6561249.829334128 81.82000000000001, 292972.58338736196 6561249.130403616 81.82000000000001, 292972.9461244161 6561248.4749982795 81.82000000000001, 292973.39395146066 6561247.8721824465 81.82000000000001, 292973.90784159536 6561247.333715164 81.82000000000001, 292974.49775738723 6561246.858698193 81.82000000000001, 292975.1356076064 6561246.46975139 81.82000000000001, 292975.8204940121 6561246.156912183 81.82000000000001, 292976.53338970477 6561245.9319396205 81.82000000000001, 292977.27519292245 6561245.804796271 81.82000000000001, 292978.025080288 6561245.76731604 81.82000000000001, 292978.77398747223 6561245.8303597355 81.82000000000001, 292979.5001928593 6561245.975798691 81.82000000000001, 292980.21545549727 6561246.222659809 81.82000000000001, 292980.8880912036 6561246.553712666 81.82000000000001, 292981.5180999795 6561246.968957265 81.82000000000001, 292982.084658451 6561247.46022751 81.82000000000001, 292982.58686838055 6561248.017560835 81.82000000000001, 292983.0138689622 6561248.631892911 81.82000000000001, 292983.3556976295 6561249.304121981 81.82000000000001, 292983.61962223344 6561250.003462094 81.82000000000001, 292983.7857176396 6561250.731709742 81.82000000000001, 292983.86304817663 6561251.478004109 81.82000000000001, 292983.84075303754 6561252.233280872 81.82000000000001, 292983.72699831077 6561252.976716658 81.82000000000001, 292983.52088575624 6561253.6983489 81.82000000000001, 292983.2215171329 6561254.38821503 81.82000000000001, 292982.8479193361 6561255.034556004 81.82000000000001, 292982.3892315561 6561255.628307491 81.82000000000001, 292981.8545181193 6561256.158608685 81.82000000000001, 292981.26280591986 6561256.613700535 81.82000000000001, 292980.61409495707 6561256.993583048 81.82000000000001, 292979.92741212534 6561257.286497169 81.82000000000001, 292979.2036556637 6561257.502405466 81.82000000000001, 292978.4600559876 6561257.609623751 81.82000000000001))</t>
  </si>
  <si>
    <t>['FV220 S4D1 m5253 KD1 m0-18', 'FV220 S4D1 m5253 KD1 m49-60']</t>
  </si>
  <si>
    <t>LINESTRING Z (293545.54160993744 6559416.588916128 2.72, 293543.9631018069 6559417.795822187 2.66, 293542.41579741205 6559418.457567017 2.57, 293540.51932445134 6559418.588352695 2.49, 293538.6712860195 6559418.142293346 2.49, 293536.8961812174 6559417.0569195105 2.46, 293535.8121669288 6559415.838942124 2.48, 293535.02466877725 6559414.122190979 2.5500000000000003, 293534.84954264533 6559412.179497591 2.64, 293535.270121324 6559410.494451934 2.73, 293536.1769005881 6559408.966447019 2.7800000000000002, 293537.2010159341 6559407.960169646 2.88, 293538.58083723264 6559407.223131473 2.91, 293540.7285041417 6559406.647875341 2.93, 293542.9035934296 6559406.933887182 2.97, 293544.82446003344 6559408.076425661 2.97, 293546.10649217165 6559409.708422462 2.9, 293546.9316260367 6559411.9540856 2.87, 293546.91182474664 6559414.1855249 2.7800000000000002, 293546.2939589829 6559415.687485318 2.7600000000000002, 293545.54160993744 6559416.588916128 2.72)</t>
  </si>
  <si>
    <t>POLYGON Z ((293545.54160993744 6559416.588916128 2.72, 293543.9631018069 6559417.795822187 2.66, 293542.41579741205 6559418.457567017 2.57, 293540.51932445134 6559418.588352695 2.49, 293538.6712860195 6559418.142293346 2.49, 293536.8961812174 6559417.0569195105 2.46, 293535.8121669288 6559415.838942124 2.48, 293535.02466877725 6559414.122190979 2.5500000000000003, 293534.84954264533 6559412.179497591 2.64, 293535.270121324 6559410.494451934 2.73, 293536.1769005881 6559408.966447019 2.7800000000000002, 293537.2010159341 6559407.960169646 2.88, 293538.58083723264 6559407.223131473 2.91, 293540.7285041417 6559406.647875341 2.93, 293542.9035934296 6559406.933887182 2.97, 293544.82446003344 6559408.076425661 2.97, 293546.10649217165 6559409.708422462 2.9, 293546.9316260367 6559411.9540856 2.87, 293546.91182474664 6559414.1855249 2.7800000000000002, 293546.2939589829 6559415.687485318 2.7600000000000002, 293545.54160993744 6559416.588916128 2.72))</t>
  </si>
  <si>
    <t>2025-11-28</t>
  </si>
  <si>
    <t>2025-11-28T06:58:43Z</t>
  </si>
  <si>
    <t>['FV108 S1D90 m649 KD1 m16-40']</t>
  </si>
  <si>
    <t>LINESTRING Z (268568.0745763541 6570459.354448434 4.97, 268568.91257359413 6570459.178376681 4.97, 268569.6945282079 6570458.826539177 4.97, 268570.37151647254 6570458.313396139 4.96, 268570.92450837995 6570457.650710398 4.96, 268571.30817672925 6570456.892800464 4.94, 268571.5143552114 6570456.060494596 4.95, 268571.53757490654 6570455.204514779 4.94, 268571.3615031913 6570454.366517556 4.9, 268571.0096657239 6570453.584562941 4.9, 268570.49652271916 6570452.90757466 4.91, 268569.83383700316 6570452.354582719 4.93, 268569.07592707325 6570451.970914334 4.92, 268568.24362119695 6570451.764735814 4.95, 268567.38764135726 6570451.741516089 4.89, 268566.5496440966 6570451.91758779 4.93, 268565.7676894431 6570452.269425259 4.88, 268565.0907011266 6570452.782568278 4.95, 268564.5377091648 6570453.445254029 4.94, 268564.1540407712 6570454.2031639945 4.99, 268563.9478622617 6570455.035469909 4.98, 268563.9246425623 6570455.891449779 4.98, 268564.10071429785 6570456.729447056 5, 268564.45255180536 6570457.511401706 5, 268564.9656948616 6570458.188390005 4.99, 268565.6283806321 6570458.741381937 5, 268566.3862906066 6570459.125050291 4.97, 268567.2185965099 6570459.331228762 5, 268568.0745763541 6570459.354448434 4.97)</t>
  </si>
  <si>
    <t>POLYGON Z ((268568.0745763541 6570459.354448434 4.97, 268568.91257359413 6570459.178376681 4.97, 268569.6945282079 6570458.826539177 4.97, 268570.37151647254 6570458.313396139 4.96, 268570.92450837995 6570457.650710398 4.96, 268571.30817672925 6570456.892800464 4.94, 268571.5143552114 6570456.060494596 4.95, 268571.53757490654 6570455.204514779 4.94, 268571.3615031913 6570454.366517556 4.9, 268571.0096657239 6570453.584562941 4.9, 268570.49652271916 6570452.90757466 4.91, 268569.83383700316 6570452.354582719 4.93, 268569.07592707325 6570451.970914334 4.92, 268568.24362119695 6570451.764735814 4.95, 268567.38764135726 6570451.741516089 4.89, 268566.5496440966 6570451.91758779 4.93, 268565.7676894431 6570452.269425259 4.88, 268565.0907011266 6570452.782568278 4.95, 268564.5377091648 6570453.445254029 4.94, 268564.1540407712 6570454.2031639945 4.99, 268563.9478622617 6570455.035469909 4.98, 268563.9246425623 6570455.891449779 4.98, 268564.10071429785 6570456.729447056 5, 268564.45255180536 6570457.511401706 5, 268564.9656948616 6570458.188390005 4.99, 268565.6283806321 6570458.741381937 5, 268566.3862906066 6570459.125050291 4.97, 268567.2185965099 6570459.331228762 5, 268568.0745763541 6570459.354448434 4.97))</t>
  </si>
  <si>
    <t>['FV120 S1D1 m98 KD1 m0-86']</t>
  </si>
  <si>
    <t>LINESTRING Z (256625.6169532158 6597530.073140516 35.36, 256625.1405145875 6597529.915298793 35.38, 256624.66137160192 6597529.727560792 35.33, 256624.17952425854 6597529.509926514 35.31, 256623.70403653127 6597529.251529077 35.31, 256623.22494299497 6597528.953269935 35.29, 256622.7630759537 6597528.623311608 35.26, 256622.30756852994 6597528.25259012 35.25, 256621.8683861502 6597527.840204023 35.25, 256621.4464302671 6597527.396118742 35.230000000000004, 256621.05166630735 6597526.919432824 35.15, 256620.68409427145 6597526.410146269 35.17, 256620.34371416 6597525.868259074 35.160000000000004, 256620.05045682652 6597525.291968342 35.15, 256619.7852928705 6597524.6930423975 35.15, 256619.56905459694 6597524.079643765 35.11, 256619.40084055476 6597523.4418070195 35.11, 256619.27248822126 6597522.80036447 35.13, 256619.19396302282 6597522.154414661 35.09, 256619.16526495983 6597521.503957594 35.1, 256619.1773300568 6597520.859860147 35.09, 256619.23015831425 6597520.222122322 35.1, 256619.33461660915 6597519.599808094 35.08, 256619.48073951504 6597518.993818915 35.11, 256619.65856160497 6597518.405056237 35.1, 256619.86898432963 6597517.843485486 35.11, 256620.12197311484 6597517.3082052125 35.11, 256620.38853313238 6597516.811885198 35.14, 256620.6867923315 6597516.332791679 35.15, 256620.99862276175 6597515.892658419 35.15, 256621.33218694723 6597515.470653116 35.17, 256621.67932236238 6597515.087608064 35.18, 256622.03006358157 6597514.744424724 35.2, 256622.4116025295 6597514.408502455 35.19, 256622.8148752305 6597514.090708142 35.2, 256623.24894566028 6597513.780174903 35.2, 256623.70565129313 6597513.497735045 35.22, 256624.20402153014 6597513.231620234 35.2, 256624.72502696954 6597512.993598805 35.24, 256625.268667611 6597512.783670755 35.25, 256625.8449088795 6597512.600934632 35.27, 256626.43562282439 6597512.467124188 35.28, 256627.04897196952 6597512.3614071235 35.33, 256627.67589233993 6597512.2946503125 35.35, 256628.31728538536 6597512.276819175 35.36, 256628.96318568048 6597512.308815172 35.37, 256629.61269177415 6597512.380672865 35.36, 256630.25673969198 6597512.503259138 35.4, 256630.8844625579 6597512.667510013 35.44, 256631.50672724855 6597512.882489461 35.46, 256632.11266688828 6597513.139133513 35.47, 256632.6923160523 6597513.438343613 35.480000000000004, 256633.2447732906 6597513.770154338 35.51, 256633.76007317862 6597514.135467137 35.54, 256634.2481811427 6597514.533380563 35.550000000000004, 256634.69913175804 6597514.964796064 35.57, 256635.12108754867 6597515.408881339 35.59, 256635.49501911606 6597515.877404714 35.6, 256635.83995586023 6597516.358597863 35.6, 256636.13506548043 6597516.844298264 35.62, 256636.40118027813 6597517.342668441 35.660000000000004, 256636.62653192686 6597517.834678998 35.69, 256636.8219873021 6597518.329393904 35.69, 256636.97667952877 6597518.817749188 35.71, 256637.10057403136 6597519.298843397 35.74, 256637.20543913718 6597519.7917059325 35.72, 256637.2813094216 6597520.297238249 35.79, 256637.32908633607 6597520.825405766 35.79, 256637.34876988086 6597521.376208487 35.78, 256637.32859172887 6597521.930617013 35.78, 256637.27035478255 6597522.508562192 35.79, 256637.18222156473 6597523.08921173 35.79, 256637.04426122524 6597523.674368526 35.78, 256636.87550316215 6597524.25226425 35.78, 256636.6569179772 6597524.834667235 35.76, 256636.39756964325 6597525.410710604 35.730000000000004, 256636.09655670854 6597525.9704289315 35.730000000000004, 256635.7448151992 6597526.524689097 35.68, 256635.35957160915 6597527.041791921 35.660000000000004, 256634.93266341652 6597527.542569704 35.65, 256634.4722531417 6597528.006190148 35.64, 256633.97834078388 6597528.432653248 35.63, 256633.4518277944 6597528.831924435 35.62, 256632.91084211893 6597529.1822699495 35.59, 256632.34631978354 6597529.494556675 35.58, 256631.7573593355 6597529.758819172 35.550000000000004, 256631.17475850234 6597529.982318525 35.53, 256630.5785864333 6597530.166857629 35.53, 256629.97790710095 6597530.301569608 35.5, 256629.38358738308 6597530.395518434 35.47, 256628.80559270477 6597530.4478026545 35.480000000000004, 256628.22489366744 6597530.470190598 35.43, 256627.67048509608 6597530.4500124855 35.44, 256627.12333759115 6597530.399036641 35.43, 256626.60338200483 6597530.315460164 35.36, 256626.10155436344 6597530.21014993 35.4, 256625.6169532158 6597530.073140516 35.36)</t>
  </si>
  <si>
    <t>POLYGON Z ((256625.6169532158 6597530.073140516 35.36, 256625.1405145875 6597529.915298793 35.38, 256624.66137160192 6597529.727560792 35.33, 256624.17952425854 6597529.509926514 35.31, 256623.70403653127 6597529.251529077 35.31, 256623.22494299497 6597528.953269935 35.29, 256622.7630759537 6597528.623311608 35.26, 256622.30756852994 6597528.25259012 35.25, 256621.8683861502 6597527.840204023 35.25, 256621.4464302671 6597527.396118742 35.230000000000004, 256621.05166630735 6597526.919432824 35.15, 256620.68409427145 6597526.410146269 35.17, 256620.34371416 6597525.868259074 35.160000000000004, 256620.05045682652 6597525.291968342 35.15, 256619.7852928705 6597524.6930423975 35.15, 256619.56905459694 6597524.079643765 35.11, 256619.40084055476 6597523.4418070195 35.11, 256619.27248822126 6597522.80036447 35.13, 256619.19396302282 6597522.154414661 35.09, 256619.16526495983 6597521.503957594 35.1, 256619.1773300568 6597520.859860147 35.09, 256619.23015831425 6597520.222122322 35.1, 256619.33461660915 6597519.599808094 35.08, 256619.48073951504 6597518.993818915 35.11, 256619.65856160497 6597518.405056237 35.1, 256619.86898432963 6597517.843485486 35.11, 256620.12197311484 6597517.3082052125 35.11, 256620.38853313238 6597516.811885198 35.14, 256620.6867923315 6597516.332791679 35.15, 256620.99862276175 6597515.892658419 35.15, 256621.33218694723 6597515.470653116 35.17, 256621.67932236238 6597515.087608064 35.18, 256622.03006358157 6597514.744424724 35.2, 256622.4116025295 6597514.408502455 35.19, 256622.8148752305 6597514.090708142 35.2, 256623.24894566028 6597513.780174903 35.2, 256623.70565129313 6597513.497735045 35.22, 256624.20402153014 6597513.231620234 35.2, 256624.72502696954 6597512.993598805 35.24, 256625.268667611 6597512.783670755 35.25, 256625.8449088795 6597512.600934632 35.27, 256626.43562282439 6597512.467124188 35.28, 256627.04897196952 6597512.3614071235 35.33, 256627.67589233993 6597512.2946503125 35.35, 256628.31728538536 6597512.276819175 35.36, 256628.96318568048 6597512.308815172 35.37, 256629.61269177415 6597512.380672865 35.36, 256630.25673969198 6597512.503259138 35.4, 256630.8844625579 6597512.667510013 35.44, 256631.50672724855 6597512.882489461 35.46, 256632.11266688828 6597513.139133513 35.47, 256632.6923160523 6597513.438343613 35.480000000000004, 256633.2447732906 6597513.770154338 35.51, 256633.76007317862 6597514.135467137 35.54, 256634.2481811427 6597514.533380563 35.550000000000004, 256634.69913175804 6597514.964796064 35.57, 256635.12108754867 6597515.408881339 35.59, 256635.49501911606 6597515.877404714 35.6, 256635.83995586023 6597516.358597863 35.6, 256636.13506548043 6597516.844298264 35.62, 256636.40118027813 6597517.342668441 35.660000000000004, 256636.62653192686 6597517.834678998 35.69, 256636.8219873021 6597518.329393904 35.69, 256636.97667952877 6597518.817749188 35.71, 256637.10057403136 6597519.298843397 35.74, 256637.20543913718 6597519.7917059325 35.72, 256637.2813094216 6597520.297238249 35.79, 256637.32908633607 6597520.825405766 35.79, 256637.34876988086 6597521.376208487 35.78, 256637.32859172887 6597521.930617013 35.78, 256637.27035478255 6597522.508562192 35.79, 256637.18222156473 6597523.08921173 35.79, 256637.04426122524 6597523.674368526 35.78, 256636.87550316215 6597524.25226425 35.78, 256636.6569179772 6597524.834667235 35.76, 256636.39756964325 6597525.410710604 35.730000000000004, 256636.09655670854 6597525.9704289315 35.730000000000004, 256635.7448151992 6597526.524689097 35.68, 256635.35957160915 6597527.041791921 35.660000000000004, 256634.93266341652 6597527.542569704 35.65, 256634.4722531417 6597528.006190148 35.64, 256633.97834078388 6597528.432653248 35.63, 256633.4518277944 6597528.831924435 35.62, 256632.91084211893 6597529.1822699495 35.59, 256632.34631978354 6597529.494556675 35.58, 256631.7573593355 6597529.758819172 35.550000000000004, 256631.17475850234 6597529.982318525 35.53, 256630.5785864333 6597530.166857629 35.53, 256629.97790710095 6597530.301569608 35.5, 256629.38358738308 6597530.395518434 35.47, 256628.80559270477 6597530.4478026545 35.480000000000004, 256628.22489366744 6597530.470190598 35.43, 256627.67048509608 6597530.4500124855 35.44, 256627.12333759115 6597530.399036641 35.43, 256626.60338200483 6597530.315460164 35.36, 256626.10155436344 6597530.21014993 35.4, 256625.6169532158 6597530.073140516 35.36))</t>
  </si>
  <si>
    <t>2025-11-11</t>
  </si>
  <si>
    <t>[109]</t>
  </si>
  <si>
    <t>['FV109 S2D30 m919 KD1 m0-98']</t>
  </si>
  <si>
    <t>LINESTRING Z (277600.67010213865 6578108.238788157 13.93, 277599.37644572265 6578107.1502021495 13.96, 277598.1762626191 6578105.761869885 13.96, 277597.17099006294 6578104.084721674 14, 277596.45390096295 6578102.150515106 14.040000000000001, 277596.10283929494 6578100.04262612 14.08, 277596.16935658903 6578097.886984943 14.09, 277596.6524863058 6578095.7841291 14.15, 277597.52317000943 6578093.857222824 14.17, 277598.68896769726 6578092.194973592 14.16, 277600.0538404719 6578090.846233736 14.1, 277601.5181505463 6578089.820000495 14.02, 277603.0194160788 6578089.091780853 13.98, 277604.6808680988 6578088.580131976 13.93, 277606.5468603183 6578088.331273842 13.84, 277608.53401679965 6578088.42305038 13.83, 277610.56532649824 6578088.892550692 13.84, 277612.5239232727 6578089.780462751 13.84, 277614.2848434875 6578091.037800567 13.870000000000001, 277615.7620788949 6578092.6020154925 13.86, 277616.8660223541 6578094.370703777 13.92, 277617.5958409768 6578096.223400401 13.91, 277617.963364811 6578098.068631957 13.99, 277618.03024277283 6578099.810426415 14.09, 277617.8182018569 6578101.466911887 14.16, 277617.3307741445 6578103.188444746 14.200000000000001, 277616.4919151352 6578104.911576643 14.25, 277615.30439080135 6578106.55569766 14.26, 277613.7673682098 6578108.00034278 14.23, 277611.9316327481 6578109.140475897 14.21, 277609.90138758393 6578109.906417376 14.200000000000001, 277607.8034626183 6578110.2565794485 14.14, 277605.73929505894 6578110.201892398 14.07, 277603.8347483026 6578109.801305948 14.040000000000001, 277602.12511203927 6578109.111903562 14.040000000000001, 277600.67010213865 6578108.238788157 13.93)</t>
  </si>
  <si>
    <t>POLYGON Z ((277600.67010213865 6578108.238788157 13.93, 277599.37644572265 6578107.1502021495 13.96, 277598.1762626191 6578105.761869885 13.96, 277597.17099006294 6578104.084721674 14, 277596.45390096295 6578102.150515106 14.040000000000001, 277596.10283929494 6578100.04262612 14.08, 277596.16935658903 6578097.886984943 14.09, 277596.6524863058 6578095.7841291 14.15, 277597.52317000943 6578093.857222824 14.17, 277598.68896769726 6578092.194973592 14.16, 277600.0538404719 6578090.846233736 14.1, 277601.5181505463 6578089.820000495 14.02, 277603.0194160788 6578089.091780853 13.98, 277604.6808680988 6578088.580131976 13.93, 277606.5468603183 6578088.331273842 13.84, 277608.53401679965 6578088.42305038 13.83, 277610.56532649824 6578088.892550692 13.84, 277612.5239232727 6578089.780462751 13.84, 277614.2848434875 6578091.037800567 13.870000000000001, 277615.7620788949 6578092.6020154925 13.86, 277616.8660223541 6578094.370703777 13.92, 277617.5958409768 6578096.223400401 13.91, 277617.963364811 6578098.068631957 13.99, 277618.03024277283 6578099.810426415 14.09, 277617.8182018569 6578101.466911887 14.16, 277617.3307741445 6578103.188444746 14.200000000000001, 277616.4919151352 6578104.911576643 14.25, 277615.30439080135 6578106.55569766 14.26, 277613.7673682098 6578108.00034278 14.23, 277611.9316327481 6578109.140475897 14.21, 277609.90138758393 6578109.906417376 14.200000000000001, 277607.8034626183 6578110.2565794485 14.14, 277605.73929505894 6578110.201892398 14.07, 277603.8347483026 6578109.801305948 14.040000000000001, 277602.12511203927 6578109.111903562 14.040000000000001, 277600.67010213865 6578108.238788157 13.93))</t>
  </si>
  <si>
    <t>['FV109 S2D20 m79 KD1 m0-99']</t>
  </si>
  <si>
    <t>LINESTRING Z (276974.858320953 6577289.853932436 25.240000000000002, 276975.50779055164 6577291.2618698 25.17, 276975.9542497065 6577292.868948661 25.17, 276976.1252526165 6577294.651575134 25.12, 276975.9628831859 6577296.524573041 25.07, 276975.42825331655 6577298.391003038 25.080000000000002, 276974.5223302344 6577300.150327158 25.09, 276973.2950006623 6577301.687545283 25.11, 276971.83054111985 6577302.934777468 25.1, 276970.22589094436 6577303.853135612 25.080000000000002, 276968.5698249651 6577304.424558918 25.17, 276966.9673794781 6577304.699833772 25.25, 276965.44118113373 6577304.707052344 25.25, 276963.8734632469 6577304.476938218 25.32, 276962.2397998463 6577303.961471534 25.36, 276960.63533097494 6577303.101836504 25.38, 276959.1524301334 6577301.919827672 25.42, 276957.882571169 6577300.427275758 25.490000000000002, 276956.9226258936 6577298.6957944995 25.55, 276956.322345924 6577296.831387441 25.63, 276956.1015913646 6577294.94275713 25.68, 276956.2286038159 6577293.123176729 25.7, 276956.64173336583 6577291.468618387 25.73, 276957.2730324799 6577290.005307401 25.72, 276958.0917099832 6577288.725978911 25.740000000000002, 276959.17664446833 6577287.502969983 25.73, 276960.5341335384 6577286.406027451 25.67, 276962.1514467848 6577285.516661321 25.64, 276963.98686195177 6577284.929044388 25.63, 276965.94613863894 6577284.711956241 25.51, 276967.9088111726 6577284.866228927 25.51, 276969.7852050514 6577285.399959362 25.47, 276971.4594205023 6577286.253296943 25.42, 276972.87264178274 6577287.331101626 25.37, 276974.0086074597 6577288.564526232 25.3, 276974.858320953 6577289.853932436 25.240000000000002)</t>
  </si>
  <si>
    <t>POLYGON Z ((276974.858320953 6577289.853932436 25.240000000000002, 276975.50779055164 6577291.2618698 25.17, 276975.9542497065 6577292.868948661 25.17, 276976.1252526165 6577294.651575134 25.12, 276975.9628831859 6577296.524573041 25.07, 276975.42825331655 6577298.391003038 25.080000000000002, 276974.5223302344 6577300.150327158 25.09, 276973.2950006623 6577301.687545283 25.11, 276971.83054111985 6577302.934777468 25.1, 276970.22589094436 6577303.853135612 25.080000000000002, 276968.5698249651 6577304.424558918 25.17, 276966.9673794781 6577304.699833772 25.25, 276965.44118113373 6577304.707052344 25.25, 276963.8734632469 6577304.476938218 25.32, 276962.2397998463 6577303.961471534 25.36, 276960.63533097494 6577303.101836504 25.38, 276959.1524301334 6577301.919827672 25.42, 276957.882571169 6577300.427275758 25.490000000000002, 276956.9226258936 6577298.6957944995 25.55, 276956.322345924 6577296.831387441 25.63, 276956.1015913646 6577294.94275713 25.68, 276956.2286038159 6577293.123176729 25.7, 276956.64173336583 6577291.468618387 25.73, 276957.2730324799 6577290.005307401 25.72, 276958.0917099832 6577288.725978911 25.740000000000002, 276959.17664446833 6577287.502969983 25.73, 276960.5341335384 6577286.406027451 25.67, 276962.1514467848 6577285.516661321 25.64, 276963.98686195177 6577284.929044388 25.63, 276965.94613863894 6577284.711956241 25.51, 276967.9088111726 6577284.866228927 25.51, 276969.7852050514 6577285.399959362 25.47, 276971.4594205023 6577286.253296943 25.42, 276972.87264178274 6577287.331101626 25.37, 276974.0086074597 6577288.564526232 25.3, 276974.858320953 6577289.853932436 25.240000000000002))</t>
  </si>
  <si>
    <t>['FV109 S2D20 m315 KD1 m0-90']</t>
  </si>
  <si>
    <t>LINESTRING Z (277063.4228118706 6577510.874535598 27.55, 277064.23730503966 6577511.996353645 27.560000000000002, 277064.92123407323 6577513.340907159 27.57, 277065.3912896739 6577514.8755382635 27.6, 277065.5822908363 6577516.545862081 27.61, 277065.4390203769 6577518.296594071 27.650000000000002, 277064.9606459845 6577520.00726867 27.63, 277064.1580985193 6577521.576448291 27.67, 277063.0857628473 6577522.9389519235 27.64, 277061.8387788104 6577524.035963665 27.64, 277060.4850938132 6577524.841258106 27.63, 277059.11618162936 6577525.366665786 27.63, 277057.7754962703 6577525.64844328 27.61, 277056.34617086785 6577525.7272782 27.66, 277054.8237070255 6577525.55335141 27.580000000000002, 277053.2552248332 6577525.09227303 27.63, 277051.7285993666 6577524.316018294 27.560000000000002, 277050.34436857083 6577523.225554225 27.57, 277049.18764113705 6577521.873466352 27.54, 277048.32539746247 6577520.3340672115 27.53, 277047.7974254977 6577518.71425986 27.5, 277047.5810311957 6577517.096453959 27.490000000000002, 277047.65262082405 6577515.553095332 27.45, 277047.94874534104 6577514.160228523 27.44, 277048.43591455056 6577512.880697257 27.43, 277049.1748784537 6577511.608565549 27.41, 277050.17013543175 6577510.393652523 27.39, 277051.4497102238 6577509.32383327 27.400000000000002, 277052.96101728064 6577508.484216463 27.39, 277054.6388081959 6577507.930918965 27.43, 277056.4078707411 6577507.720957302 27.44, 277058.1477393315 6577507.85516377 27.43, 277059.7760043376 6577508.310844288 27.45, 277061.21482189756 6577509.004622165 27.45, 277062.4397659869 6577509.888477624 27.5, 277063.4228118706 6577510.874535598 27.55)</t>
  </si>
  <si>
    <t>POLYGON Z ((277063.4228118706 6577510.874535598 27.55, 277064.23730503966 6577511.996353645 27.560000000000002, 277064.92123407323 6577513.340907159 27.57, 277065.3912896739 6577514.8755382635 27.6, 277065.5822908363 6577516.545862081 27.61, 277065.4390203769 6577518.296594071 27.650000000000002, 277064.9606459845 6577520.00726867 27.63, 277064.1580985193 6577521.576448291 27.67, 277063.0857628473 6577522.9389519235 27.64, 277061.8387788104 6577524.035963665 27.64, 277060.4850938132 6577524.841258106 27.63, 277059.11618162936 6577525.366665786 27.63, 277057.7754962703 6577525.64844328 27.61, 277056.34617086785 6577525.7272782 27.66, 277054.8237070255 6577525.55335141 27.580000000000002, 277053.2552248332 6577525.09227303 27.63, 277051.7285993666 6577524.316018294 27.560000000000002, 277050.34436857083 6577523.225554225 27.57, 277049.18764113705 6577521.873466352 27.54, 277048.32539746247 6577520.3340672115 27.53, 277047.7974254977 6577518.71425986 27.5, 277047.5810311957 6577517.096453959 27.490000000000002, 277047.65262082405 6577515.553095332 27.45, 277047.94874534104 6577514.160228523 27.44, 277048.43591455056 6577512.880697257 27.43, 277049.1748784537 6577511.608565549 27.41, 277050.17013543175 6577510.393652523 27.39, 277051.4497102238 6577509.32383327 27.400000000000002, 277052.96101728064 6577508.484216463 27.39, 277054.6388081959 6577507.930918965 27.43, 277056.4078707411 6577507.720957302 27.44, 277058.1477393315 6577507.85516377 27.43, 277059.7760043376 6577508.310844288 27.45, 277061.21482189756 6577509.004622165 27.45, 277062.4397659869 6577509.888477624 27.5, 277063.4228118706 6577510.874535598 27.55))</t>
  </si>
  <si>
    <t>['FV109 S2D1 m3081 KD1 m0-66']</t>
  </si>
  <si>
    <t>LINESTRING Z (272760.4469869506 6576479.102100056 22.240000000000002, 272761.3927635481 6576480.342705251 22.19, 272763.2109592147 6576481.343817867 22.17, 272764.3674309998 6576481.691449773 22.18, 272765.8737543605 6576481.68604233 22.21, 272766.942758342 6576481.398664954 22.19, 272768.5230454972 6576480.432265754 22.25, 272769.42486817914 6576479.517076042 22.27, 272770.1078209686 6576478.069149364 22.27, 272770.3450841089 6576476.69159782 22.25, 272770.1903508159 6576474.977757328 22.27, 272769.4957521197 6576473.292567501 22.240000000000002, 272768.37788560876 6576472.037363172 22.27, 272767.2416161081 6576471.245909194 22.26, 272765.7219355107 6576470.880842278 22.23, 272764.5344662133 6576470.857462006 22.25, 272762.79322651104 6576471.37630373 22.240000000000002, 272761.7456762376 6576472.123832971 22.27, 272760.64706310985 6576473.41842459 22.27, 272760.00133658596 6576474.722354634 22.26, 272759.7223489606 6576476.194082063 22.27, 272759.7487896937 6576477.377053352 22.27, 272760.0325686003 6576478.406200643 22.23, 272760.4469869506 6576479.102100056 22.240000000000002)</t>
  </si>
  <si>
    <t>POLYGON Z ((272760.4469869506 6576479.102100056 22.240000000000002, 272761.3927635481 6576480.342705251 22.19, 272763.2109592147 6576481.343817867 22.17, 272764.3674309998 6576481.691449773 22.18, 272765.8737543605 6576481.68604233 22.21, 272766.942758342 6576481.398664954 22.19, 272768.5230454972 6576480.432265754 22.25, 272769.42486817914 6576479.517076042 22.27, 272770.1078209686 6576478.069149364 22.27, 272770.3450841089 6576476.69159782 22.25, 272770.1903508159 6576474.977757328 22.27, 272769.4957521197 6576473.292567501 22.240000000000002, 272768.37788560876 6576472.037363172 22.27, 272767.2416161081 6576471.245909194 22.26, 272765.7219355107 6576470.880842278 22.23, 272764.5344662133 6576470.857462006 22.25, 272762.79322651104 6576471.37630373 22.240000000000002, 272761.7456762376 6576472.123832971 22.27, 272760.64706310985 6576473.41842459 22.27, 272760.00133658596 6576474.722354634 22.26, 272759.7223489606 6576476.194082063 22.27, 272759.7487896937 6576477.377053352 22.27, 272760.0325686003 6576478.406200643 22.23, 272760.4469869506 6576479.102100056 22.240000000000002))</t>
  </si>
  <si>
    <t>2025-11-28T06:58:42Z</t>
  </si>
  <si>
    <t>['FV109 S2D1 m2321 KD1 m0-72']</t>
  </si>
  <si>
    <t>LINESTRING Z (272291.32698569365 6575878.497592142 25.78, 272292.4049908911 6575878.309861513 25.8, 272293.4486745823 6575877.964502306 25.810000000000002, 272294.4172802783 6575877.455148557 25.73, 272295.2926786482 6575876.803527851 25.8, 272296.06580502936 6575876.020503998 25.78, 272296.6977020644 6575875.119639479 25.79, 272297.1820037841 6575874.141690785 25.77, 272297.5096455243 6575873.097521711 25.72, 272297.6624979536 6575872.008859841 25.76, 272297.654123561 6575870.914662532 25.75, 272297.466393012 6575869.83665738 25.740000000000002, 272297.1210338958 6575868.792973703 25.76, 272296.6116802333 6575867.8243679935 25.76, 272295.9600596114 6575866.948969584 25.73, 272295.177035821 6575866.175843138 25.75, 272294.2761713433 6575865.543946021 25.72, 272293.2982226643 6575865.059644213 25.75, 272292.2540535758 6575864.732002386 25.740000000000002, 272291.1653916656 6575864.579149875 25.71, 272290.07119429647 6575864.587524201 25.740000000000002, 272288.9931890602 6575864.775254711 25.740000000000002, 272287.9495052949 6575865.120613813 25.72, 272286.9808994961 6575865.6299674865 25.71, 272286.1055010054 6575866.281588149 25.740000000000002, 272285.33237449604 6575867.064612004 25.740000000000002, 272284.7004773386 6575867.965476562 25.71, 272284.21617551544 6575868.9434253285 25.69, 272283.88853369956 6575869.987594508 25.75, 272283.73568123055 6575871.0762565 25.73, 272283.7440556213 6575872.17045393 25.73, 272283.93178620987 6575873.24845921 25.71, 272284.2771454 6575874.292142993 25.73, 272284.7864991653 6575875.260748776 25.740000000000002, 272285.438119908 6575876.136147226 25.76, 272286.2211438267 6575876.909273674 25.75, 272287.1220084264 6575877.541170749 25.77, 272288.0999572091 6575878.025472484 25.75, 272289.14412637346 6575878.35311421 25.77, 272290.23278832337 6575878.505966598 25.8, 272291.32698569365 6575878.497592142 25.78)</t>
  </si>
  <si>
    <t>POLYGON Z ((272291.32698569365 6575878.497592142 25.78, 272292.4049908911 6575878.309861513 25.8, 272293.4486745823 6575877.964502306 25.810000000000002, 272294.4172802783 6575877.455148557 25.73, 272295.2926786482 6575876.803527851 25.8, 272296.06580502936 6575876.020503998 25.78, 272296.6977020644 6575875.119639479 25.79, 272297.1820037841 6575874.141690785 25.77, 272297.5096455243 6575873.097521711 25.72, 272297.6624979536 6575872.008859841 25.76, 272297.654123561 6575870.914662532 25.75, 272297.466393012 6575869.83665738 25.740000000000002, 272297.1210338958 6575868.792973703 25.76, 272296.6116802333 6575867.8243679935 25.76, 272295.9600596114 6575866.948969584 25.73, 272295.177035821 6575866.175843138 25.75, 272294.2761713433 6575865.543946021 25.72, 272293.2982226643 6575865.059644213 25.75, 272292.2540535758 6575864.732002386 25.740000000000002, 272291.1653916656 6575864.579149875 25.71, 272290.07119429647 6575864.587524201 25.740000000000002, 272288.9931890602 6575864.775254711 25.740000000000002, 272287.9495052949 6575865.120613813 25.72, 272286.9808994961 6575865.6299674865 25.71, 272286.1055010054 6575866.281588149 25.740000000000002, 272285.33237449604 6575867.064612004 25.740000000000002, 272284.7004773386 6575867.965476562 25.71, 272284.21617551544 6575868.9434253285 25.69, 272283.88853369956 6575869.987594508 25.75, 272283.73568123055 6575871.0762565 25.73, 272283.7440556213 6575872.17045393 25.73, 272283.93178620987 6575873.24845921 25.71, 272284.2771454 6575874.292142993 25.73, 272284.7864991653 6575875.260748776 25.740000000000002, 272285.438119908 6575876.136147226 25.76, 272286.2211438267 6575876.909273674 25.75, 272287.1220084264 6575877.541170749 25.77, 272288.0999572091 6575878.025472484 25.75, 272289.14412637346 6575878.35311421 25.77, 272290.23278832337 6575878.505966598 25.8, 272291.32698569365 6575878.497592142 25.78))</t>
  </si>
  <si>
    <t>['FV109 S2D1 m1316 KD1 m0-97']</t>
  </si>
  <si>
    <t>LINESTRING Z (271603.53706444753 6575128.874510742 24.27, 271603.43742856215 6575127.4369539935 24.23, 271603.2008516295 6575126.262896657 24.25, 271602.64555679634 6575124.896610014 24.23, 271601.96605345316 6575123.712309421 24.22, 271600.57569647906 6575122.220496278 24.22, 271599.6721324617 6575121.558696958 24.27, 271598.2180429973 6575120.584957299 24.26, 271597.03084173554 6575120.119536081 24.26, 271595.6179899788 6575119.825167384 24.26, 271593.93866129336 6575119.805991663 24.27, 271592.08883084904 6575120.123663452 24.28, 271590.50609783153 6575120.618133519 24.3, 271588.6040191797 6575121.914934967 24.330000000000002, 271587.0278545012 6575123.483680146 24.400000000000002, 271586.0485782649 6575125.098997513 24.45, 271585.5077310128 6575126.674736671 24.51, 271585.319713215 6575128.931855121 24.6, 271585.5268086934 6575130.892122678 24.68, 271586.0620356174 6575132.481221996 24.73, 271586.7676945354 6575133.843980502 24.75, 271587.67097980226 6575134.947806793 24.75, 271588.8007453282 6575136.001051545 24.7, 271590.76017607446 6575137.1200368935 24.650000000000002, 271592.2534326172 6575137.748693874 24.57, 271594.14277156524 6575137.97995749 24.45, 271595.7388576087 6575137.855965091 24.38, 271597.15842431434 6575137.557043212 24.37, 271598.7774860562 6575136.908611005 24.330000000000002, 271599.78512785037 6575136.275191512 24.330000000000002, 271600.8836266987 6575135.201613833 24.310000000000002, 271602.14895947475 6575133.861838227 24.3, 271602.70834751695 6575133.047883069 24.28, 271603.24739558983 6575131.452215516 24.25, 271603.4425325878 6575130.831870281 24.240000000000002, 271603.57338630187 6575130.167100616 24.240000000000002, 271603.53706444753 6575128.874510742 24.27)</t>
  </si>
  <si>
    <t>POLYGON Z ((271603.53706444753 6575128.874510742 24.27, 271603.43742856215 6575127.4369539935 24.23, 271603.2008516295 6575126.262896657 24.25, 271602.64555679634 6575124.896610014 24.23, 271601.96605345316 6575123.712309421 24.22, 271600.57569647906 6575122.220496278 24.22, 271599.6721324617 6575121.558696958 24.27, 271598.2180429973 6575120.584957299 24.26, 271597.03084173554 6575120.119536081 24.26, 271595.6179899788 6575119.825167384 24.26, 271593.93866129336 6575119.805991663 24.27, 271592.08883084904 6575120.123663452 24.28, 271590.50609783153 6575120.618133519 24.3, 271588.6040191797 6575121.914934967 24.330000000000002, 271587.0278545012 6575123.483680146 24.400000000000002, 271586.0485782649 6575125.098997513 24.45, 271585.5077310128 6575126.674736671 24.51, 271585.319713215 6575128.931855121 24.6, 271585.5268086934 6575130.892122678 24.68, 271586.0620356174 6575132.481221996 24.73, 271586.7676945354 6575133.843980502 24.75, 271587.67097980226 6575134.947806793 24.75, 271588.8007453282 6575136.001051545 24.7, 271590.76017607446 6575137.1200368935 24.650000000000002, 271592.2534326172 6575137.748693874 24.57, 271594.14277156524 6575137.97995749 24.45, 271595.7388576087 6575137.855965091 24.38, 271597.15842431434 6575137.557043212 24.37, 271598.7774860562 6575136.908611005 24.330000000000002, 271599.78512785037 6575136.275191512 24.330000000000002, 271600.8836266987 6575135.201613833 24.310000000000002, 271602.14895947475 6575133.861838227 24.3, 271602.70834751695 6575133.047883069 24.28, 271603.24739558983 6575131.452215516 24.25, 271603.4425325878 6575130.831870281 24.240000000000002, 271603.57338630187 6575130.167100616 24.240000000000002, 271603.53706444753 6575128.874510742 24.27))</t>
  </si>
  <si>
    <t>['FV109 S1D1 m2297 KD1 m11-92']</t>
  </si>
  <si>
    <t>LINESTRING Z (269614.9208596079 6572921.336022865 21.84, 269617.377478075 6572919.838507771 21.81, 269618.83239714557 6572918.150121944 21.78, 269620.3141151761 6572915.645620752 21.72, 269620.8067245218 6572913.089751378 21.68, 269620.77190078946 6572910.923036486 21.64, 269620.1856494362 6572908.434401329 21.61, 269618.25455383625 6572905.514633086 21.59, 269616.18226601067 6572903.813084477 21.6, 269613.6567210793 6572902.654725823 21.56, 269611.748326666 6572902.435185328 21.55, 269609.0960504812 6572902.54396943 21.55, 269606.99131722655 6572903.376850044 21.55, 269604.5157405796 6572904.775619531 21.56, 269603.067188298 6572906.423248169 21.59, 269601.7441457657 6572908.682378805 21.61, 269601.16462581925 6572911.165727426 21.67, 269601.20117637084 6572913.462880142 21.7, 269601.9250600204 6572916.029504632 21.75, 269603.08130067965 6572918.15528168 21.75, 269605.56260060193 6572920.492973262 21.76, 269607.7158631195 6572921.644748984 21.79, 269610.14766246814 6572922.098327837 21.85, 269612.2690518332 6572922.117822933 21.85, 269614.9208596079 6572921.336022865 21.84)</t>
  </si>
  <si>
    <t>POLYGON Z ((269614.9208596079 6572921.336022865 21.84, 269617.377478075 6572919.838507771 21.81, 269618.83239714557 6572918.150121944 21.78, 269620.3141151761 6572915.645620752 21.72, 269620.8067245218 6572913.089751378 21.68, 269620.77190078946 6572910.923036486 21.64, 269620.1856494362 6572908.434401329 21.61, 269618.25455383625 6572905.514633086 21.59, 269616.18226601067 6572903.813084477 21.6, 269613.6567210793 6572902.654725823 21.56, 269611.748326666 6572902.435185328 21.55, 269609.0960504812 6572902.54396943 21.55, 269606.99131722655 6572903.376850044 21.55, 269604.5157405796 6572904.775619531 21.56, 269603.067188298 6572906.423248169 21.59, 269601.7441457657 6572908.682378805 21.61, 269601.16462581925 6572911.165727426 21.67, 269601.20117637084 6572913.462880142 21.7, 269601.9250600204 6572916.029504632 21.75, 269603.08130067965 6572918.15528168 21.75, 269605.56260060193 6572920.492973262 21.76, 269607.7158631195 6572921.644748984 21.79, 269610.14766246814 6572922.098327837 21.85, 269612.2690518332 6572922.117822933 21.85, 269614.9208596079 6572921.336022865 21.84))</t>
  </si>
  <si>
    <t>[317]</t>
  </si>
  <si>
    <t>['FV317 S1D1 m185 KD1 m2-16']</t>
  </si>
  <si>
    <t>LINESTRING Z (253337.9427990163 6596415.081660421 6.95, 253337.41626771961 6596415.480937227 7.09, 253336.84446533694 6596415.824025316 7.12, 253336.23555481827 6596416.090091898 7.11, 253335.59950186752 6596416.278235586 7.12, 253334.95623789565 6596416.38665364 7.16, 253334.28583149074 6596416.4171488 7.19, 253333.6290468523 6596416.376081268 7.18, 253332.9741155205 6596416.244421008 7.2, 253332.3527373674 6596416.039395293 7.24, 253331.7449809825 6596415.762806885 7.2700000000000005, 253331.1807434836 6596415.411951643 7.29, 253330.67089195582 6596414.995893902 7.3, 253330.20636207113 6596414.525500743 7.3, 253329.79711953696 6596413.999870784 7.29, 253329.46399714352 6596413.427166983 7.3100000000000005, 253329.1979305634 6596412.818256421 7.3100000000000005, 253328.9998211741 6596412.183104807 7.29, 253328.89050176583 6596411.52987509 7.29, 253328.8509423036 6596410.870335737 7.3, 253328.90197557653 6596410.2126496965 7.29, 253329.02367017214 6596409.558619724 7.26, 253329.22779455004 6596408.927275861 7.26, 253329.5043830026 6596408.31951948 7.25, 253329.85523828294 6596407.755281996 7.24, 253330.26042897723 6596407.236366161 7.19, 253330.73082216742 6596406.771836311 7.18, 253331.25735352168 6596406.372559515 7.16, 253331.82915595736 6596406.02947146 7.15, 253332.43806651997 6596405.763404922 7.140000000000001, 253333.0732181262 6596405.565295576 7.11, 253333.71648211646 6596405.456877584 7.09, 253334.38598714944 6596405.4164167745 7.07, 253335.0436731549 6596405.467450074 7.05, 253335.6977030858 6596405.589144685 7.04, 253336.32904690795 6596405.793269069 7.04, 253336.9259361639 6596406.060793188 7.0200000000000005, 253337.4901736078 6596406.411648455 7.0200000000000005, 253338.009990782 6596406.826804832 7.01, 253338.47452060637 6596407.29719799 6.99, 253338.88376308195 6596407.822827931 6.95, 253339.22594975174 6596408.38466462 6.96, 253339.49201628848 6596408.993575139 6.95, 253339.69012564459 6596409.628726705 6.96, 253339.80941073922 6596410.281054983 6.95, 253339.83900449105 6596410.941495655 6.97, 253339.7988383103 6596411.608245967 6.98, 253339.6771437379 6596412.262275879 6.96, 253339.4829851021 6596412.89271832 6.95, 253339.2054953192 6596413.490508956 7.03, 253338.86550717647 6596414.063810743 7.04, 253338.45035083548 6596414.583627939 7.05, 253337.9427990163 6596415.081660421 6.95)</t>
  </si>
  <si>
    <t>POLYGON Z ((253337.9427990163 6596415.081660421 6.95, 253337.41626771961 6596415.480937227 7.09, 253336.84446533694 6596415.824025316 7.12, 253336.23555481827 6596416.090091898 7.11, 253335.59950186752 6596416.278235586 7.12, 253334.95623789565 6596416.38665364 7.16, 253334.28583149074 6596416.4171488 7.19, 253333.6290468523 6596416.376081268 7.18, 253332.9741155205 6596416.244421008 7.2, 253332.3527373674 6596416.039395293 7.24, 253331.7449809825 6596415.762806885 7.2700000000000005, 253331.1807434836 6596415.411951643 7.29, 253330.67089195582 6596414.995893902 7.3, 253330.20636207113 6596414.525500743 7.3, 253329.79711953696 6596413.999870784 7.29, 253329.46399714352 6596413.427166983 7.3100000000000005, 253329.1979305634 6596412.818256421 7.3100000000000005, 253328.9998211741 6596412.183104807 7.29, 253328.89050176583 6596411.52987509 7.29, 253328.8509423036 6596410.870335737 7.3, 253328.90197557653 6596410.2126496965 7.29, 253329.02367017214 6596409.558619724 7.26, 253329.22779455004 6596408.927275861 7.26, 253329.5043830026 6596408.31951948 7.25, 253329.85523828294 6596407.755281996 7.24, 253330.26042897723 6596407.236366161 7.19, 253330.73082216742 6596406.771836311 7.18, 253331.25735352168 6596406.372559515 7.16, 253331.82915595736 6596406.02947146 7.15, 253332.43806651997 6596405.763404922 7.140000000000001, 253333.0732181262 6596405.565295576 7.11, 253333.71648211646 6596405.456877584 7.09, 253334.38598714944 6596405.4164167745 7.07, 253335.0436731549 6596405.467450074 7.05, 253335.6977030858 6596405.589144685 7.04, 253336.32904690795 6596405.793269069 7.04, 253336.9259361639 6596406.060793188 7.0200000000000005, 253337.4901736078 6596406.411648455 7.0200000000000005, 253338.009990782 6596406.826804832 7.01, 253338.47452060637 6596407.29719799 6.99, 253338.88376308195 6596407.822827931 6.95, 253339.22594975174 6596408.38466462 6.96, 253339.49201628848 6596408.993575139 6.95, 253339.69012564459 6596409.628726705 6.96, 253339.80941073922 6596410.281054983 6.95, 253339.83900449105 6596410.941495655 6.97, 253339.7988383103 6596411.608245967 6.98, 253339.6771437379 6596412.262275879 6.96, 253339.4829851021 6596412.89271832 6.95, 253339.2054953192 6596413.490508956 7.03, 253338.86550717647 6596414.063810743 7.04, 253338.45035083548 6596414.583627939 7.05, 253337.9427990163 6596415.081660421 6.95))</t>
  </si>
  <si>
    <t>2025-09-12</t>
  </si>
  <si>
    <t>[118]</t>
  </si>
  <si>
    <t>['FV118 S8D1 m3791 KD1 m4-54']</t>
  </si>
  <si>
    <t>LINESTRING Z (260497.44044179015 6588886.530651859 54.13, 260497.46711921904 6588887.492710492 54.15, 260497.33975853352 6588888.528971405 54.19, 260497.0438910259 6588889.59050958 54.14, 260496.546018398 6588890.640166548 54.14, 260495.862468098 6588891.636280297 54.13, 260494.9969002854 6588892.5081940675 54.120000000000005, 260493.97740897854 6588893.233275427 54.14, 260492.85928150892 6588893.75629435 54.160000000000004, 260491.701408059 6588894.0618814025 54.15, 260490.5463513633 6588894.176329186 54.15, 260489.44483788562 6588894.105099282 54.17, 260488.4294652155 6588893.875385 54.120000000000005, 260487.5237665057 6588893.525245506 54.11, 260486.6679508579 6588893.060085083 54.160000000000004, 260485.83848512432 6588892.441844544 54.09, 260485.0734284858 6588891.646990741 54.14, 260484.40447782315 6588890.69275183 54.15, 260483.88416103172 6588889.604519713 54.1, 260483.56590671834 6588888.417651431 54.14, 260483.45421844596 6588887.1819727365 54.14, 260483.5535997758 6588885.947309401 54.13, 260483.87035568798 6588884.783417476 54.13, 260484.3473974089 6588883.725596694 54.120000000000005, 260484.96839747895 6588882.815509085 54.1, 260485.6726642771 6588882.048593763 54.09, 260486.42123790854 6588881.438418725 54.09, 260487.24947541542 6588880.931555371 54.08, 260488.2072025467 6588880.523500143 54.04, 260489.27809184304 6588880.255915063 54.08, 260490.43404927172 6588880.1514325645 54.07, 260491.6288519245 6588880.254416795 54.13, 260492.82263920055 6588880.568470595 54.13, 260493.95471949223 6588881.089033079 54.13, 260494.96259977002 6588881.791613057 54.1, 260495.82274689616 6588882.638151351 54.09, 260496.49169743204 6588883.592390211 54.15, 260496.98307670208 6588884.582772165 54.1, 260497.2932818621 6588885.569436617 54.15, 260497.44044179015 6588886.530651859 54.13)</t>
  </si>
  <si>
    <t>POLYGON Z ((260497.44044179015 6588886.530651859 54.13, 260497.46711921904 6588887.492710492 54.15, 260497.33975853352 6588888.528971405 54.19, 260497.0438910259 6588889.59050958 54.14, 260496.546018398 6588890.640166548 54.14, 260495.862468098 6588891.636280297 54.13, 260494.9969002854 6588892.5081940675 54.120000000000005, 260493.97740897854 6588893.233275427 54.14, 260492.85928150892 6588893.75629435 54.160000000000004, 260491.701408059 6588894.0618814025 54.15, 260490.5463513633 6588894.176329186 54.15, 260489.44483788562 6588894.105099282 54.17, 260488.4294652155 6588893.875385 54.120000000000005, 260487.5237665057 6588893.525245506 54.11, 260486.6679508579 6588893.060085083 54.160000000000004, 260485.83848512432 6588892.441844544 54.09, 260485.0734284858 6588891.646990741 54.14, 260484.40447782315 6588890.69275183 54.15, 260483.88416103172 6588889.604519713 54.1, 260483.56590671834 6588888.417651431 54.14, 260483.45421844596 6588887.1819727365 54.14, 260483.5535997758 6588885.947309401 54.13, 260483.87035568798 6588884.783417476 54.13, 260484.3473974089 6588883.725596694 54.120000000000005, 260484.96839747895 6588882.815509085 54.1, 260485.6726642771 6588882.048593763 54.09, 260486.42123790854 6588881.438418725 54.09, 260487.24947541542 6588880.931555371 54.08, 260488.2072025467 6588880.523500143 54.04, 260489.27809184304 6588880.255915063 54.08, 260490.43404927172 6588880.1514325645 54.07, 260491.6288519245 6588880.254416795 54.13, 260492.82263920055 6588880.568470595 54.13, 260493.95471949223 6588881.089033079 54.13, 260494.96259977002 6588881.791613057 54.1, 260495.82274689616 6588882.638151351 54.09, 260496.49169743204 6588883.592390211 54.15, 260496.98307670208 6588884.582772165 54.1, 260497.2932818621 6588885.569436617 54.15, 260497.44044179015 6588886.530651859 54.13))</t>
  </si>
  <si>
    <t>2025-10-07</t>
  </si>
  <si>
    <t>2025-11-22T09:08:26Z</t>
  </si>
  <si>
    <t>['FV108 S4D1 m8308 KD1 m4-8']</t>
  </si>
  <si>
    <t>LINESTRING Z (272562.43722906825 6549616.27213896 1.51, 272562.2233043262 6549616.462172015 1.51, 272562.00668750727 6549616.62231205 1.51, 272561.7692446469 6549616.774282457 1.51, 272561.5191453679 6549616.897257205 1.51, 272561.26725137036 6549617.000303269 1.51, 272561.0035983132 6549617.084318009 1.51, 272560.7272888371 6549617.139337088 1.51, 272560.4491846423 6549617.174427481 1.51, 272560.17835271085 6549617.178727495 1.51, 272559.89576171915 6549617.163996184 1.51, 272559.62134035036 6549617.128438833 1.51, 272559.35419124475 6549617.062091094 1.51, 272559.095211762 6549616.974917316 1.51, 272558.83443756064 6549616.867814855 1.51, 272558.5908999643 6549616.729024651 1.51, 272558.3564293502 6549616.579372746 1.51, 272558.14009270066 6549616.40799744 1.51, 272557.94278737484 6549616.224863073 1.51, 272557.7527543134 6549616.010938321 1.51, 272557.5926142767 6549615.794321493 1.51, 272557.4406438637 6549615.556878623 1.51, 272557.3176691167 6549615.306779336 1.51, 272557.214623053 6549615.054885328 1.51, 272557.13060831383 6549614.791232258 1.51, 272557.0755892409 6549614.5149227725 1.51, 272557.0404988518 6549614.236818568 1.51, 272557.03619884676 6549613.965986631 1.51, 272557.0509301666 6549613.683395633 1.51, 272557.0864875287 6549613.408974259 1.51, 272557.1528352747 6549613.141825147 1.51, 272557.24000906345 6549612.882845665 1.51, 272557.34711153526 6549612.622071463 1.51, 272557.4859017497 6549612.378533869 1.51, 272557.6355536644 6549612.1440632595 1.51, 272557.8069289796 6549611.927726614 1.51, 272557.9900633538 6549611.730421298 1.51, 272558.20398811076 6549611.540388244 1.51, 272558.4206049434 6549611.380248218 1.51, 272558.6580478172 6549611.228277815 1.51, 272558.908147108 6549611.105303078 1.51, 272559.1600411151 6549611.002257024 1.51, 272559.42369418056 6549610.918242295 1.51, 272559.7000036621 6549610.863223232 1.51, 272559.9781078603 6549610.828132855 1.51, 272560.24893979175 6549610.823832856 1.51, 272560.53153078136 6549610.838564181 1.51, 272560.80595214595 6549610.874121549 1.51, 272561.07310124434 6549610.940469298 1.51, 272561.3320807179 6549611.027643086 1.51, 272561.5928549083 6549611.134745561 1.51, 272561.83639249153 6549611.273535772 1.51, 272562.0708630921 6549611.423187682 1.51, 272562.287199727 6549611.594562991 1.51, 272562.48450503836 6549611.777697357 1.51, 272562.6745380847 6549611.991622107 1.51, 272562.8346781077 6549612.208238932 1.51, 272562.98664850736 6549612.445681793 1.51, 272563.10962324275 6549612.6957810735 1.51, 272563.21266929666 6549612.947675071 1.51, 272563.29668402777 6549613.211328127 1.51, 272563.3517030951 6549613.487637599 1.51, 272563.3867934812 6549613.765741788 1.51, 272563.391093486 6549614.036573713 1.51, 272563.3763621681 6549614.319164692 1.51, 272563.34080481017 6549614.593586052 1.51, 272563.2744570712 6549614.860735148 1.51, 272563.1872832919 6549615.1197146205 1.51, 272563.08018083096 6549615.380488812 1.51, 272562.9413906296 6549615.624026398 1.51, 272562.7917387285 6549615.858497001 1.51, 272562.6203634279 6549616.074833644 1.51, 272562.43722906825 6549616.27213896 1.51)</t>
  </si>
  <si>
    <t>POLYGON Z ((272562.43722906825 6549616.27213896 1.51, 272562.2233043262 6549616.462172015 1.51, 272562.00668750727 6549616.62231205 1.51, 272561.7692446469 6549616.774282457 1.51, 272561.5191453679 6549616.897257205 1.51, 272561.26725137036 6549617.000303269 1.51, 272561.0035983132 6549617.084318009 1.51, 272560.7272888371 6549617.139337088 1.51, 272560.4491846423 6549617.174427481 1.51, 272560.17835271085 6549617.178727495 1.51, 272559.89576171915 6549617.163996184 1.51, 272559.62134035036 6549617.128438833 1.51, 272559.35419124475 6549617.062091094 1.51, 272559.095211762 6549616.974917316 1.51, 272558.83443756064 6549616.867814855 1.51, 272558.5908999643 6549616.729024651 1.51, 272558.3564293502 6549616.579372746 1.51, 272558.14009270066 6549616.40799744 1.51, 272557.94278737484 6549616.224863073 1.51, 272557.7527543134 6549616.010938321 1.51, 272557.5926142767 6549615.794321493 1.51, 272557.4406438637 6549615.556878623 1.51, 272557.3176691167 6549615.306779336 1.51, 272557.214623053 6549615.054885328 1.51, 272557.13060831383 6549614.791232258 1.51, 272557.0755892409 6549614.5149227725 1.51, 272557.0404988518 6549614.236818568 1.51, 272557.03619884676 6549613.965986631 1.51, 272557.0509301666 6549613.683395633 1.51, 272557.0864875287 6549613.408974259 1.51, 272557.1528352747 6549613.141825147 1.51, 272557.24000906345 6549612.882845665 1.51, 272557.34711153526 6549612.622071463 1.51, 272557.4859017497 6549612.378533869 1.51, 272557.6355536644 6549612.1440632595 1.51, 272557.8069289796 6549611.927726614 1.51, 272557.9900633538 6549611.730421298 1.51, 272558.20398811076 6549611.540388244 1.51, 272558.4206049434 6549611.380248218 1.51, 272558.6580478172 6549611.228277815 1.51, 272558.908147108 6549611.105303078 1.51, 272559.1600411151 6549611.002257024 1.51, 272559.42369418056 6549610.918242295 1.51, 272559.7000036621 6549610.863223232 1.51, 272559.9781078603 6549610.828132855 1.51, 272560.24893979175 6549610.823832856 1.51, 272560.53153078136 6549610.838564181 1.51, 272560.80595214595 6549610.874121549 1.51, 272561.07310124434 6549610.940469298 1.51, 272561.3320807179 6549611.027643086 1.51, 272561.5928549083 6549611.134745561 1.51, 272561.83639249153 6549611.273535772 1.51, 272562.0708630921 6549611.423187682 1.51, 272562.287199727 6549611.594562991 1.51, 272562.48450503836 6549611.777697357 1.51, 272562.6745380847 6549611.991622107 1.51, 272562.8346781077 6549612.208238932 1.51, 272562.98664850736 6549612.445681793 1.51, 272563.10962324275 6549612.6957810735 1.51, 272563.21266929666 6549612.947675071 1.51, 272563.29668402777 6549613.211328127 1.51, 272563.3517030951 6549613.487637599 1.51, 272563.3867934812 6549613.765741788 1.51, 272563.391093486 6549614.036573713 1.51, 272563.3763621681 6549614.319164692 1.51, 272563.34080481017 6549614.593586052 1.51, 272563.2744570712 6549614.860735148 1.51, 272563.1872832919 6549615.1197146205 1.51, 272563.08018083096 6549615.380488812 1.51, 272562.9413906296 6549615.624026398 1.51, 272562.7917387285 6549615.858497001 1.51, 272562.6203634279 6549616.074833644 1.51, 272562.43722906825 6549616.27213896 1.51))</t>
  </si>
  <si>
    <t>['FV128 S7D1 m2566 KD1 m0-93']</t>
  </si>
  <si>
    <t>LINESTRING Z (283588.9084225558 6610899.407963245 126.2, 283589.4627110943 6610899.428071723 126.21000000000001, 283590.02967002336 6610899.477167139 126.21000000000001, 283590.61020176765 6610899.5652126055 126.21000000000001, 283591.20430632704 6610899.692208124 126.22, 283591.8020205821 6610899.859056116 126.22, 283592.4024421088 6610900.055793467 126.22, 283592.99831506144 6610900.313211953 126.23, 283593.596895286 6610900.600519793 126.23, 283594.1809638187 6610900.949411193 126.23, 283594.7478133861 6610901.329996799 126.23, 283595.29924883833 6610901.76220284 126.23, 283595.8244046323 6610902.23696863 126.23, 283596.32237834437 6610902.744331046 126.23, 283596.7850117062 6610903.305118751 126.22, 283597.2095974443 6610903.889442391 126.22, 283597.58707486547 6610904.508167508 126.22, 283597.92650466395 6610905.150428554 126.21000000000001, 283598.2079606041 6610905.81803039 126.21000000000001, 283598.4504664978 6610906.499205039 126.2, 283598.6331936839 6610907.185794238 126.19, 283598.7661052807 6610907.87689556 126.19, 283598.85916440724 6610908.571606581 126.18, 283598.8915424011 6610909.261769037 126.17, 283598.88226307405 6610909.935614957 126.16, 283598.8322288509 6610910.603107458 126.15, 283598.73963488085 6610911.244320311 126.14, 283598.6044811633 6610911.859253508 126.14, 283598.43763324147 6610912.45696775 126.13000000000001, 283598.24815180805 6610913.026597487 126.12, 283598.0260737438 6610913.569045146 126.11, 283597.7813621671 6610914.083408305 126.10000000000001, 283597.50405395887 6610914.570589387 126.09, 283597.2149777813 6610915.038746662 126.09, 283596.8851467042 6610915.50055052 126.08, 283596.5254262717 6610915.965061661 126.07000000000001, 283596.1240485131 6610916.41325627 126.06, 283595.6810134277 6610916.845134352 126.05, 283595.19632101455 6610917.260695899 126.04, 283594.679934392 6610917.659038493 126.03, 283594.1309511337 6610918.030199013 126.02, 283593.54846881225 6610918.364214337 126.01, 283592.9225243081 6610918.661986892 126, 283592.27394628467 6610918.931674949 125.99000000000001, 283591.60002746247 6610919.143389144 125.99000000000001, 283590.91253581306 6610919.316153292 125.98, 283590.2006057898 6610919.440906699 125.97, 283589.4841636309 6610919.515844509 125.96000000000001, 283588.752343791 6610919.531906032 125.96000000000001, 283588.02597493416 6610919.497249528 125.95, 283587.3159226072 6610919.420935698 125.94, 283586.60045571835 6610919.28484315 125.94, 283585.9103660529 6610919.09622772 125.94, 283585.24745846377 6610918.875015651 125.93, 283584.5999649799 6610918.60218313 125.93, 283583.98871426727 6610918.28588842 125.93, 283583.40554805956 6610917.946960192 125.93, 283582.85862462455 6610917.564569776 125.93, 283582.3497488159 6610917.1586434115 125.93, 283581.87982305995 6610916.739144217 125.93, 283581.4379818116 6610916.297011504 125.93, 283581.0450537371 6610915.840403535 125.93, 283580.69197814324 6610915.380185862 125.94, 283580.3678894844 6610914.907297786 125.94, 283580.08365330694 6610914.430800008 125.94, 283579.8184409451 6610913.942534254 125.95, 283579.5804106677 6610913.421671857 125.95, 283579.3704649008 6610912.878175943 125.95, 283579.17773809936 6610912.302985816 125.96000000000001, 283579.0230589295 6610911.704259742 125.97, 283578.89646427194 6610911.082900151 125.97, 283578.8178803673 6610910.43710219 125.98, 283578.77824652137 6610909.7777314065 125.99000000000001, 283578.77756273415 6610909.104787799 125.99000000000001, 283578.8257921267 6610908.4173689475 126, 283578.9238371239 6610907.725437966 126.01, 283579.0716977259 6610907.028994862 126.02, 283579.2711787832 6610906.347965872 126.03, 283579.51141474955 6610905.673290306 126.04, 283579.81323429034 6610905.01312643 126.05, 283580.1567111645 6610904.3692791 126.06, 283580.5436502213 6610903.761674551 126.07000000000001, 283580.9831121548 6610903.179447243 126.09, 283581.4461100295 6610902.635267571 126.10000000000001, 283581.9525700837 6610902.127330683 126.11, 283582.48256607726 6610901.657441427 126.12, 283583.0469635535 6610901.234660501 126.13000000000001, 283583.6158731525 6610900.861695178 126.14, 283584.2083186882 6610900.526777489 126.15, 283584.8052763454 6610900.241675401 126.16, 283585.4167092434 6610900.005486492 126.16, 283586.0217887177 6610899.810052485 126.17, 283586.62051476823 6610899.655373387 126.18, 283587.2128873947 6610899.54144919 126.18, 283587.78804105346 6610899.459219204 126.19, 283588.3568412885 6610899.41774412 126.2, 283588.9084225558 6610899.407963245 126.2)</t>
  </si>
  <si>
    <t>POLYGON Z ((283588.9084225558 6610899.407963245 126.2, 283589.4627110943 6610899.428071723 126.21000000000001, 283590.02967002336 6610899.477167139 126.21000000000001, 283590.61020176765 6610899.5652126055 126.21000000000001, 283591.20430632704 6610899.692208124 126.22, 283591.8020205821 6610899.859056116 126.22, 283592.4024421088 6610900.055793467 126.22, 283592.99831506144 6610900.313211953 126.23, 283593.596895286 6610900.600519793 126.23, 283594.1809638187 6610900.949411193 126.23, 283594.7478133861 6610901.329996799 126.23, 283595.29924883833 6610901.76220284 126.23, 283595.8244046323 6610902.23696863 126.23, 283596.32237834437 6610902.744331046 126.23, 283596.7850117062 6610903.305118751 126.22, 283597.2095974443 6610903.889442391 126.22, 283597.58707486547 6610904.508167508 126.22, 283597.92650466395 6610905.150428554 126.21000000000001, 283598.2079606041 6610905.81803039 126.21000000000001, 283598.4504664978 6610906.499205039 126.2, 283598.6331936839 6610907.185794238 126.19, 283598.7661052807 6610907.87689556 126.19, 283598.85916440724 6610908.571606581 126.18, 283598.8915424011 6610909.261769037 126.17, 283598.88226307405 6610909.935614957 126.16, 283598.8322288509 6610910.603107458 126.15, 283598.73963488085 6610911.244320311 126.14, 283598.6044811633 6610911.859253508 126.14, 283598.43763324147 6610912.45696775 126.13000000000001, 283598.24815180805 6610913.026597487 126.12, 283598.0260737438 6610913.569045146 126.11, 283597.7813621671 6610914.083408305 126.10000000000001, 283597.50405395887 6610914.570589387 126.09, 283597.2149777813 6610915.038746662 126.09, 283596.8851467042 6610915.50055052 126.08, 283596.5254262717 6610915.965061661 126.07000000000001, 283596.1240485131 6610916.41325627 126.06, 283595.6810134277 6610916.845134352 126.05, 283595.19632101455 6610917.260695899 126.04, 283594.679934392 6610917.659038493 126.03, 283594.1309511337 6610918.030199013 126.02, 283593.54846881225 6610918.364214337 126.01, 283592.9225243081 6610918.661986892 126, 283592.27394628467 6610918.931674949 125.99000000000001, 283591.60002746247 6610919.143389144 125.99000000000001, 283590.91253581306 6610919.316153292 125.98, 283590.2006057898 6610919.440906699 125.97, 283589.4841636309 6610919.515844509 125.96000000000001, 283588.752343791 6610919.531906032 125.96000000000001, 283588.02597493416 6610919.497249528 125.95, 283587.3159226072 6610919.420935698 125.94, 283586.60045571835 6610919.28484315 125.94, 283585.9103660529 6610919.09622772 125.94, 283585.24745846377 6610918.875015651 125.93, 283584.5999649799 6610918.60218313 125.93, 283583.98871426727 6610918.28588842 125.93, 283583.40554805956 6610917.946960192 125.93, 283582.85862462455 6610917.564569776 125.93, 283582.3497488159 6610917.1586434115 125.93, 283581.87982305995 6610916.739144217 125.93, 283581.4379818116 6610916.297011504 125.93, 283581.0450537371 6610915.840403535 125.93, 283580.69197814324 6610915.380185862 125.94, 283580.3678894844 6610914.907297786 125.94, 283580.08365330694 6610914.430800008 125.94, 283579.8184409451 6610913.942534254 125.95, 283579.5804106677 6610913.421671857 125.95, 283579.3704649008 6610912.878175943 125.95, 283579.17773809936 6610912.302985816 125.96000000000001, 283579.0230589295 6610911.704259742 125.97, 283578.89646427194 6610911.082900151 125.97, 283578.8178803673 6610910.43710219 125.98, 283578.77824652137 6610909.7777314065 125.99000000000001, 283578.77756273415 6610909.104787799 125.99000000000001, 283578.8257921267 6610908.4173689475 126, 283578.9238371239 6610907.725437966 126.01, 283579.0716977259 6610907.028994862 126.02, 283579.2711787832 6610906.347965872 126.03, 283579.51141474955 6610905.673290306 126.04, 283579.81323429034 6610905.01312643 126.05, 283580.1567111645 6610904.3692791 126.06, 283580.5436502213 6610903.761674551 126.07000000000001, 283580.9831121548 6610903.179447243 126.09, 283581.4461100295 6610902.635267571 126.10000000000001, 283581.9525700837 6610902.127330683 126.11, 283582.48256607726 6610901.657441427 126.12, 283583.0469635535 6610901.234660501 126.13000000000001, 283583.6158731525 6610900.861695178 126.14, 283584.2083186882 6610900.526777489 126.15, 283584.8052763454 6610900.241675401 126.16, 283585.4167092434 6610900.005486492 126.16, 283586.0217887177 6610899.810052485 126.17, 283586.62051476823 6610899.655373387 126.18, 283587.2128873947 6610899.54144919 126.18, 283587.78804105346 6610899.459219204 126.19, 283588.3568412885 6610899.41774412 126.2, 283588.9084225558 6610899.407963245 126.2))</t>
  </si>
  <si>
    <t>[1066]</t>
  </si>
  <si>
    <t>['FV1066 S1D1 m188 KD1 m4-32']</t>
  </si>
  <si>
    <t>LINESTRING Z (258772.72810438965 6589951.588718464 33.12, 258773.64316561437 6589951.37539443 33.160000000000004, 258774.45508348296 6589950.910179403 33.230000000000004, 258775.10766951364 6589950.238339385 33.18, 258775.5556013227 6589949.414204871 33.26, 258775.7435912378 6589948.493007149 33.14, 258775.6797465458 6589947.564433799 33.28, 258775.34864071777 6589946.6801128695 33.17, 258774.78917770513 6589945.936994808 33.34, 258774.03485660092 6589945.372238332 33.06, 258773.16083926693 6589945.039329501 33.13, 258772.21965456486 6589944.963660143 33.25, 258771.30279170122 6589945.157053555 33.19, 258770.47820607456 6589945.593273502 33, 258769.80388779793 6589946.246984558 33.03, 258769.34508984777 6589947.062054624 33.01, 258769.12630323702 6589947.975989531 33.02, 258769.17021735845 6589948.90636455 33.02, 258769.47142735508 6589949.793387947 33.02, 258770.01276145945 6589950.558238222 33.07, 258770.74895365734 6589951.144726881 33.2, 258771.61480735833 6589951.498467058 33.11, 258772.54872921147 6589951.604933036 33.11, 258772.72810438965 6589951.588718464 33.12)</t>
  </si>
  <si>
    <t>POLYGON Z ((258772.72810438965 6589951.588718464 33.12, 258773.64316561437 6589951.37539443 33.160000000000004, 258774.45508348296 6589950.910179403 33.230000000000004, 258775.10766951364 6589950.238339385 33.18, 258775.5556013227 6589949.414204871 33.26, 258775.7435912378 6589948.493007149 33.14, 258775.6797465458 6589947.564433799 33.28, 258775.34864071777 6589946.6801128695 33.17, 258774.78917770513 6589945.936994808 33.34, 258774.03485660092 6589945.372238332 33.06, 258773.16083926693 6589945.039329501 33.13, 258772.21965456486 6589944.963660143 33.25, 258771.30279170122 6589945.157053555 33.19, 258770.47820607456 6589945.593273502 33, 258769.80388779793 6589946.246984558 33.03, 258769.34508984777 6589947.062054624 33.01, 258769.12630323702 6589947.975989531 33.02, 258769.17021735845 6589948.90636455 33.02, 258769.47142735508 6589949.793387947 33.02, 258770.01276145945 6589950.558238222 33.07, 258770.74895365734 6589951.144726881 33.2, 258771.61480735833 6589951.498467058 33.11, 258772.54872921147 6589951.604933036 33.11, 258772.72810438965 6589951.588718464 33.12))</t>
  </si>
  <si>
    <t>['FV128 S7D1 m3671 KD1 m0-72']</t>
  </si>
  <si>
    <t>LINESTRING Z (282547.05529424275 6611136.444020085 115.94, 282547.5380765713 6611136.340020841 115.95, 282548.04259020544 6611136.254143112 115.96000000000001, 282548.55977438996 6611136.197252548 115.97, 282549.1095555332 6611136.167544251 115.98, 282549.66294647055 6611136.177688768 115.99000000000001, 282550.2290079575 6611136.216820452 116, 282550.80864244304 6611136.294902501 116.02, 282551.3918867229 6611136.412837367 116.03, 282551.9796432461 6611136.58058825 116.04, 282552.5701071146 6611136.778228748 116.05, 282553.1451568191 6611137.027490163 116.07000000000001, 282553.7038899103 6611137.318409288 116.08, 282554.256269593 6611137.650083674 116.09, 282554.7823694599 6611138.024318226 116.10000000000001, 282555.2821895117 6611138.441112934 116.11, 282555.75482729933 6611138.890504598 116.12, 282556.20028282417 6611139.372493223 116.13, 282556.5986296787 6611139.888883701 116.14, 282556.95802616887 6611140.418847174 116.15, 282557.28027719434 6611140.982310058 116.16, 282557.56267540663 6611141.549382734 116.16, 282557.79616005265 6611142.130930863 116.17, 282557.9906943361 6611142.726051992 116.17, 282558.13451015414 6611143.315722164 116.18, 282558.2375707108 6611143.899038929 116.18, 282558.3098392093 6611144.475099838 116.18, 282558.33138924267 6611145.045709795 116.19, 282558.3221472178 6611145.609063896 116.19, 282558.2902714382 6611146.144333287 116.19, 282558.2176403967 6611146.673249277 116.19, 282558.1223755996 6611147.174080555 116.19, 282557.9954162935 6611147.657692778 116.18, 282557.84762813174 6611148.1331466995 116.18, 282557.6699503605 6611148.611307969 116.18, 282557.46238298004 6611149.092176596 116.18, 282557.21496278606 6611149.576655022 116.17, 282556.92678732856 6611150.054780049 116.17, 282556.6078198106 6611150.525649226 116.16, 282556.2480970281 6611150.990165005 116.15, 282555.8566797337 6611151.437461728 116.15, 282555.422702273 6611151.858478646 116.14, 282554.9570302993 6611152.26227651 116.13, 282554.44879815774 6611152.639794568 116.12, 282553.91793225554 6611152.989227917 116.11, 282553.35266448697 6611153.291552606 116.10000000000001, 282552.76476295607 6611153.56579258 116.09, 282552.1524227613 6611153.792021439 116.08, 282551.52650955704 6611153.97929994 116.06, 282550.8960840961 6611154.116762416 116.05, 282550.25118317397 6611154.205311325 116.04, 282549.60267244565 6611154.254007418 116.02, 282548.95961266453 6611154.2519850405 116.01, 282548.3229062817 6611154.209207393 116, 282547.70251650125 6611154.124772023 115.99000000000001, 282547.09754087334 6611153.9887157325 115.97, 282546.5097842994 6611153.820964922 115.96000000000001, 282545.94920998474 6611153.620617148 115.95, 282545.41581792955 6611153.387672401 115.94, 282544.91051058547 6611153.1320938915 115.93, 282544.43238550215 6611152.843918416 115.92, 282543.9832475814 6611152.543072381 115.91, 282543.562194373 6611152.2195925815 115.9, 282543.1800915332 6611151.882539775 115.89, 282542.817012652 6611151.533718856 115.88, 282542.48292093514 6611151.172227382 115.87, 282542.1560850721 6611150.779943841 115.87, 282541.8455658176 6611150.346002576 115.86, 282541.55316807295 6611149.890329996 115.85000000000001, 282541.2788918388 6611149.412926105 115.85000000000001, 282541.03089542 6611148.892962043 115.84, 282540.8109837173 6611148.350364213 115.83, 282540.61915673135 6611147.785132622 115.83, 282540.4653776681 6611147.196364822 115.83, 282540.35054897773 6611146.594024011 115.82000000000001, 282540.27376821055 6611145.968146989 115.82000000000001, 282540.2468034724 6611145.337757718 115.82000000000001, 282540.2587891079 6611144.693795441 115.82000000000001, 282540.3205907724 6611144.045320912 115.82000000000001, 282540.4231477106 6611143.403199792 115.82000000000001, 282540.5764231272 6611142.766529629 115.82000000000001, 282540.78131947236 6611142.1452736305 115.82000000000001, 282541.01791033475 6611141.541236692 115.83, 282541.3070245738 6611140.962577124 115.83, 282541.62873577885 6611140.411099826 115.84, 282541.9821414995 6611139.876841592 115.84, 282542.369949084 6611139.389692037 115.85000000000001, 282542.78039042745 6611138.9306272 115.86, 282543.2243311838 6611138.508707841 115.87, 282543.6809424928 6611138.115775646 115.87, 282544.1520292532 6611137.771757031 115.88, 282544.62582336063 6611137.457628033 115.89, 282545.11409291835 6611137.192412613 115.9, 282545.60506982246 6611136.957086804 115.91, 282546.08879086823 6611136.752553064 115.92, 282546.5761217095 6611136.587872146 115.93, 282547.05529424275 6611136.444020085 115.94)</t>
  </si>
  <si>
    <t>POLYGON Z ((282547.05529424275 6611136.444020085 115.94, 282547.5380765713 6611136.340020841 115.95, 282548.04259020544 6611136.254143112 115.96000000000001, 282548.55977438996 6611136.197252548 115.97, 282549.1095555332 6611136.167544251 115.98, 282549.66294647055 6611136.177688768 115.99000000000001, 282550.2290079575 6611136.216820452 116, 282550.80864244304 6611136.294902501 116.02, 282551.3918867229 6611136.412837367 116.03, 282551.9796432461 6611136.58058825 116.04, 282552.5701071146 6611136.778228748 116.05, 282553.1451568191 6611137.027490163 116.07000000000001, 282553.7038899103 6611137.318409288 116.08, 282554.256269593 6611137.650083674 116.09, 282554.7823694599 6611138.024318226 116.10000000000001, 282555.2821895117 6611138.441112934 116.11, 282555.75482729933 6611138.890504598 116.12, 282556.20028282417 6611139.372493223 116.13, 282556.5986296787 6611139.888883701 116.14, 282556.95802616887 6611140.418847174 116.15, 282557.28027719434 6611140.982310058 116.16, 282557.56267540663 6611141.549382734 116.16, 282557.79616005265 6611142.130930863 116.17, 282557.9906943361 6611142.726051992 116.17, 282558.13451015414 6611143.315722164 116.18, 282558.2375707108 6611143.899038929 116.18, 282558.3098392093 6611144.475099838 116.18, 282558.33138924267 6611145.045709795 116.19, 282558.3221472178 6611145.609063896 116.19, 282558.2902714382 6611146.144333287 116.19, 282558.2176403967 6611146.673249277 116.19, 282558.1223755996 6611147.174080555 116.19, 282557.9954162935 6611147.657692778 116.18, 282557.84762813174 6611148.1331466995 116.18, 282557.6699503605 6611148.611307969 116.18, 282557.46238298004 6611149.092176596 116.18, 282557.21496278606 6611149.576655022 116.17, 282556.92678732856 6611150.054780049 116.17, 282556.6078198106 6611150.525649226 116.16, 282556.2480970281 6611150.990165005 116.15, 282555.8566797337 6611151.437461728 116.15, 282555.422702273 6611151.858478646 116.14, 282554.9570302993 6611152.26227651 116.13, 282554.44879815774 6611152.639794568 116.12, 282553.91793225554 6611152.989227917 116.11, 282553.35266448697 6611153.291552606 116.10000000000001, 282552.76476295607 6611153.56579258 116.09, 282552.1524227613 6611153.792021439 116.08, 282551.52650955704 6611153.97929994 116.06, 282550.8960840961 6611154.116762416 116.05, 282550.25118317397 6611154.205311325 116.04, 282549.60267244565 6611154.254007418 116.02, 282548.95961266453 6611154.2519850405 116.01, 282548.3229062817 6611154.209207393 116, 282547.70251650125 6611154.124772023 115.99000000000001, 282547.09754087334 6611153.9887157325 115.97, 282546.5097842994 6611153.820964922 115.96000000000001, 282545.94920998474 6611153.620617148 115.95, 282545.41581792955 6611153.387672401 115.94, 282544.91051058547 6611153.1320938915 115.93, 282544.43238550215 6611152.843918416 115.92, 282543.9832475814 6611152.543072381 115.91, 282543.562194373 6611152.2195925815 115.9, 282543.1800915332 6611151.882539775 115.89, 282542.817012652 6611151.533718856 115.88, 282542.48292093514 6611151.172227382 115.87, 282542.1560850721 6611150.779943841 115.87, 282541.8455658176 6611150.346002576 115.86, 282541.55316807295 6611149.890329996 115.85000000000001, 282541.2788918388 6611149.412926105 115.85000000000001, 282541.03089542 6611148.892962043 115.84, 282540.8109837173 6611148.350364213 115.83, 282540.61915673135 6611147.785132622 115.83, 282540.4653776681 6611147.196364822 115.83, 282540.35054897773 6611146.594024011 115.82000000000001, 282540.27376821055 6611145.968146989 115.82000000000001, 282540.2468034724 6611145.337757718 115.82000000000001, 282540.2587891079 6611144.693795441 115.82000000000001, 282540.3205907724 6611144.045320912 115.82000000000001, 282540.4231477106 6611143.403199792 115.82000000000001, 282540.5764231272 6611142.766529629 115.82000000000001, 282540.78131947236 6611142.1452736305 115.82000000000001, 282541.01791033475 6611141.541236692 115.83, 282541.3070245738 6611140.962577124 115.83, 282541.62873577885 6611140.411099826 115.84, 282541.9821414995 6611139.876841592 115.84, 282542.369949084 6611139.389692037 115.85000000000001, 282542.78039042745 6611138.9306272 115.86, 282543.2243311838 6611138.508707841 115.87, 282543.6809424928 6611138.115775646 115.87, 282544.1520292532 6611137.771757031 115.88, 282544.62582336063 6611137.457628033 115.89, 282545.11409291835 6611137.192412613 115.9, 282545.60506982246 6611136.957086804 115.91, 282546.08879086823 6611136.752553064 115.92, 282546.5761217095 6611136.587872146 115.93, 282547.05529424275 6611136.444020085 115.94))</t>
  </si>
  <si>
    <t>['FV124 S3D1 m364 KD1 m0-70']</t>
  </si>
  <si>
    <t>LINESTRING Z (292744.34978215524 6592480.228772089 97.06, 292745.26871122245 6592480.83870756 97.06, 292746.0517163868 6592481.611592473 97.05, 292746.724127656 6592482.605399799 97.04, 292747.20354292146 6592483.797449016 97.04, 292747.4157208152 6592485.144233876 97.02, 292747.3091004829 6592486.519845999 97.01, 292746.8755742534 6592487.8346234 97, 292746.1749698584 6592488.972673219 96.99000000000001, 292745.2924450325 6592489.876075564 96.98, 292744.3167609207 6592490.5267603155 96.98, 292743.3294187852 6592490.937445537 96.97, 292742.22533598705 6592491.167852826 96.97, 292740.9909466658 6592491.179033255 96.96000000000001, 292739.69964441354 6592490.89404287 96.97, 292738.470978581 6592490.302071433 96.97, 292737.38735129836 6592489.425799454 96.97, 292736.5555938555 6592488.335917966 96.98, 292736.02546542324 6592487.138410472 96.99000000000001, 292735.7760871936 6592485.935603994 97, 292735.77391535 6592484.800839077 97.01, 292735.98000095785 6592483.747681574 97.02, 292736.4143219797 6592482.663842034 97.03, 292737.1130717144 6592481.616355028 97.04, 292738.0943202693 6592480.693981723 97.05, 292739.28737658565 6592480.00355339 97.05, 292740.6179461995 6592479.612051517 97.06, 292741.9682814606 6592479.550211205 97.06, 292743.2442161012 6592479.776327883 97.06, 292744.34978215524 6592480.228772089 97.06)</t>
  </si>
  <si>
    <t>POLYGON Z ((292744.34978215524 6592480.228772089 97.06, 292745.26871122245 6592480.83870756 97.06, 292746.0517163868 6592481.611592473 97.05, 292746.724127656 6592482.605399799 97.04, 292747.20354292146 6592483.797449016 97.04, 292747.4157208152 6592485.144233876 97.02, 292747.3091004829 6592486.519845999 97.01, 292746.8755742534 6592487.8346234 97, 292746.1749698584 6592488.972673219 96.99000000000001, 292745.2924450325 6592489.876075564 96.98, 292744.3167609207 6592490.5267603155 96.98, 292743.3294187852 6592490.937445537 96.97, 292742.22533598705 6592491.167852826 96.97, 292740.9909466658 6592491.179033255 96.96000000000001, 292739.69964441354 6592490.89404287 96.97, 292738.470978581 6592490.302071433 96.97, 292737.38735129836 6592489.425799454 96.97, 292736.5555938555 6592488.335917966 96.98, 292736.02546542324 6592487.138410472 96.99000000000001, 292735.7760871936 6592485.935603994 97, 292735.77391535 6592484.800839077 97.01, 292735.98000095785 6592483.747681574 97.02, 292736.4143219797 6592482.663842034 97.03, 292737.1130717144 6592481.616355028 97.04, 292738.0943202693 6592480.693981723 97.05, 292739.28737658565 6592480.00355339 97.05, 292740.6179461995 6592479.612051517 97.06, 292741.9682814606 6592479.550211205 97.06, 292743.2442161012 6592479.776327883 97.06, 292744.34978215524 6592480.228772089 97.06))</t>
  </si>
  <si>
    <t>2021-05-26</t>
  </si>
  <si>
    <t>[129]</t>
  </si>
  <si>
    <t>['FV129 S1D1 m1508 KD1 m0-82']</t>
  </si>
  <si>
    <t>LINESTRING (292387.8391155212 6607678.433687448, 292386.7402918553 6607675.671303113, 292386.49257401784 6607673.754516948, 292386.6494693603 6607671.882284392, 292387.1827447964 6607670.056168578, 292388.24743002723 6607668.211792234, 292389.40759204875 6607666.864283805, 292390.69413529173 6607665.85570701, 292392.3902201535 6607664.980683818, 292394.80364226596 6607664.478831418, 292397.06357100187 6607664.376041389, 292399.0680521498 6607664.979249301, 292400.98197654996 6607665.788332508, 292402.49015003414 6607667.043918365, 292404.1215182103 6607668.6832485525, 292404.9652131682 6607670.62283847, 292405.3092192272 6607672.846745731, 292405.0291101408 6607674.948976717, 292404.5902774255 6607677.0488352915, 292403.36450432194 6607678.745898666, 292402.3010559905 6607679.998777213, 292400.85691898153 6607681.127663901, 292399.2581700622 6607681.919182607, 292397.21805810067 6607682.411525731, 292395.05670174805 6607682.453064724, 292393.0156772549 6607682.008108057, 292391.1029903793 6607681.22127876, 292389.9117471189 6607680.472623073, 292388.43478319526 6607679.371539942, 292387.7469203003 6607678.405314649)</t>
  </si>
  <si>
    <t>POLYGON ((292387.8391155212 6607678.433687448, 292386.7402918553 6607675.671303113, 292386.49257401784 6607673.754516948, 292386.6494693603 6607671.882284392, 292387.1827447964 6607670.056168578, 292388.24743002723 6607668.211792234, 292389.40759204875 6607666.864283805, 292390.69413529173 6607665.85570701, 292392.3902201535 6607664.980683818, 292394.80364226596 6607664.478831418, 292397.06357100187 6607664.376041389, 292399.0680521498 6607664.979249301, 292400.98197654996 6607665.788332508, 292402.49015003414 6607667.043918365, 292404.1215182103 6607668.6832485525, 292404.9652131682 6607670.62283847, 292405.3092192272 6607672.846745731, 292405.0291101408 6607674.948976717, 292404.5902774255 6607677.0488352915, 292403.36450432194 6607678.745898666, 292402.3010559905 6607679.998777213, 292400.85691898153 6607681.127663901, 292399.2581700622 6607681.919182607, 292397.21805810067 6607682.411525731, 292395.05670174805 6607682.453064724, 292393.0156772549 6607682.008108057, 292391.1029903793 6607681.22127876, 292389.9117471189 6607680.472623073, 292388.43478319526 6607679.371539942, 292387.7469203003 6607678.405314649, 292387.8391155212 6607678.433687448))</t>
  </si>
  <si>
    <t>['FV120 S1D1 m4172-4175']</t>
  </si>
  <si>
    <t>LINESTRING Z (260274.3499937792 6599055.760436084 30.310000000000002, 260276.1163033028 6599051.963737315 30.39, 260276.44914202 6599051.089703812 30.41, 260276.5888454772 6599050.635010731 30.42, 260276.58713829008 6599050.394044875 30.42, 260276.5338024152 6599050.137656586 30.42, 260276.3808153999 6599049.890283885 30.42, 260276.17525017168 6599049.728041451 30.41, 260275.8999291444 6599049.572109927 30.42, 260275.64904613956 6599049.464200859 30.42, 260275.42710895144 6599049.454139813 30.42, 260275.19881288428 6599049.4848407805 30.43, 260274.98498972523 6599049.564465761 30.42, 260274.79921082483 6599049.731973653 30.39, 260274.61158083993 6599049.9900691295 30.400000000000002, 260274.49190353745 6599050.2219234705 30.400000000000002, 260273.08889380956 6599053.925473884 30.3, 260272.03926689795 6599057.426259736 30.17, 260271.8395329815 6599058.438951291 30.2, 260271.8719891296 6599058.797695411 30.2, 260272.05852570847 6599058.971706072 30.2, 260272.28311962573 6599059.122180262 30.22, 260272.61827931763 6599059.162184592 30.22, 260272.83846135045 6599059.0417975765 30.19, 260272.92368753869 6599058.873340149 30.2, 260274.3499937792 6599055.760436084 30.310000000000002)</t>
  </si>
  <si>
    <t>POLYGON Z ((260274.3499937792 6599055.760436084 30.310000000000002, 260276.1163033028 6599051.963737315 30.39, 260276.44914202 6599051.089703812 30.41, 260276.5888454772 6599050.635010731 30.42, 260276.58713829008 6599050.394044875 30.42, 260276.5338024152 6599050.137656586 30.42, 260276.3808153999 6599049.890283885 30.42, 260276.17525017168 6599049.728041451 30.41, 260275.8999291444 6599049.572109927 30.42, 260275.64904613956 6599049.464200859 30.42, 260275.42710895144 6599049.454139813 30.42, 260275.19881288428 6599049.4848407805 30.43, 260274.98498972523 6599049.564465761 30.42, 260274.79921082483 6599049.731973653 30.39, 260274.61158083993 6599049.9900691295 30.400000000000002, 260274.49190353745 6599050.2219234705 30.400000000000002, 260273.08889380956 6599053.925473884 30.3, 260272.03926689795 6599057.426259736 30.17, 260271.8395329815 6599058.438951291 30.2, 260271.8719891296 6599058.797695411 30.2, 260272.05852570847 6599058.971706072 30.2, 260272.28311962573 6599059.122180262 30.22, 260272.61827931763 6599059.162184592 30.22, 260272.83846135045 6599059.0417975765 30.19, 260272.92368753869 6599058.873340149 30.2, 260274.3499937792 6599055.760436084 30.310000000000002))</t>
  </si>
  <si>
    <t>['FV120 S1D1 m4328-4331']</t>
  </si>
  <si>
    <t>LINESTRING Z (260420.83472751934 6599114.773420526 31.740000000000002, 260422.2529643082 6599111.460315951 31.75, 260422.29386999574 6599111.135121757 31.76, 260422.19706738752 6599110.84247965 31.79, 260422.0223470931 6599110.576980252 31.77, 260421.8249439996 6599110.393906356 31.75, 260421.57045498508 6599110.246137142 31.77, 260421.28877535486 6599110.130967925 31.76, 260421.03153374308 6599110.063821089 31.75, 260420.74615204465 6599110.129826825 31.75, 260420.52597033556 6599110.250213796 31.740000000000002, 260420.27133759807 6599110.433997631 31.720000000000002, 260420.08190485026 6599110.672162698 31.720000000000002, 260419.96312937894 6599110.913981926 31.71, 260418.6289295671 6599114.711770296 31.720000000000002, 260417.7097057862 6599118.321314981 31.62, 260417.64967567785 6599118.879312791 31.63, 260417.77993197218 6599119.319628305 31.650000000000002, 260418.20017358477 6599119.5227281945 31.650000000000002, 260418.5471490237 6599119.471243251 31.66, 260418.80818849662 6599119.136179739 31.68, 260419.24698827264 6599118.322887136 31.66, 260420.83472751934 6599114.773420526 31.740000000000002)</t>
  </si>
  <si>
    <t>POLYGON Z ((260420.83472751934 6599114.773420526 31.740000000000002, 260422.2529643082 6599111.460315951 31.75, 260422.29386999574 6599111.135121757 31.76, 260422.19706738752 6599110.84247965 31.79, 260422.0223470931 6599110.576980252 31.77, 260421.8249439996 6599110.393906356 31.75, 260421.57045498508 6599110.246137142 31.77, 260421.28877535486 6599110.130967925 31.76, 260421.03153374308 6599110.063821089 31.75, 260420.74615204465 6599110.129826825 31.75, 260420.52597033556 6599110.250213796 31.740000000000002, 260420.27133759807 6599110.433997631 31.720000000000002, 260420.08190485026 6599110.672162698 31.720000000000002, 260419.96312937894 6599110.913981926 31.71, 260418.6289295671 6599114.711770296 31.720000000000002, 260417.7097057862 6599118.321314981 31.62, 260417.64967567785 6599118.879312791 31.63, 260417.77993197218 6599119.319628305 31.650000000000002, 260418.20017358477 6599119.5227281945 31.650000000000002, 260418.5471490237 6599119.471243251 31.66, 260418.80818849662 6599119.136179739 31.68, 260419.24698827264 6599118.322887136 31.66, 260420.83472751934 6599114.773420526 31.740000000000002))</t>
  </si>
  <si>
    <t>2007-09-10</t>
  </si>
  <si>
    <t>['KV1200 S1D1 m6-22']</t>
  </si>
  <si>
    <t>LINESTRING (17650.34826655779 6468729.087092144, 17652.937488127383 6468728.05065885, 17646.223694115703 6468720.828837063, 17645.157451564504 6468720.632984956, 17645.80128297821 6468722.635226543, 17647.432833057304 6468725.214116959, 17650.238599096658 6468729.505441135)</t>
  </si>
  <si>
    <t>POLYGON ((17650.34826655779 6468729.087092144, 17652.937488127383 6468728.05065885, 17646.223694115703 6468720.828837063, 17645.157451564504 6468720.632984956, 17645.80128297821 6468722.635226543, 17647.432833057304 6468725.214116959, 17650.238599096658 6468729.505441135, 17650.34826655779 6468729.087092144))</t>
  </si>
  <si>
    <t>['FV128 S5D1 m3123 KD1 m0-75']</t>
  </si>
  <si>
    <t>LINESTRING Z (292756.06803068204 6609431.791483602 178.51, 292754.53837502375 6609431.86975518 178.53, 292753.0441700341 6609431.563140998 178.54, 292751.66872369364 6609430.904272436 178.55, 292750.5053063553 6609429.924878606 178.56, 292749.6209103138 6609428.699244887 178.56, 292749.0816256037 6609427.291694296 178.56, 292748.9263619325 6609425.799143734 178.56, 292749.1433149042 6609424.313059041 178.56, 292749.7306424823 6609422.924003794 178.55, 292750.6566155222 6609421.725248341 178.54, 292751.8569109953 6609420.782882708 178.53, 292753.2472811404 6609420.164801423 178.52, 292754.7597938963 6609419.897245028 178.5, 292756.28757000086 6609420.02002545 178.49, 292757.7373391207 6609420.50141355 178.48, 292759.0176354473 6609421.329604907 178.47, 292760.0415419898 6609422.432118662 178.47, 292760.75473563443 6609423.763654278 178.46, 292761.11830670154 6609425.22729488 178.46, 292761.08338313806 6609426.727025856 178.46, 292760.6825963323 6609428.179539251 178.47, 292759.91688604734 6609429.484309154 178.48, 292758.8496730157 6609430.565283193 178.49, 292757.53441560303 6609431.347311242 178.5, 292756.06803068204 6609431.791483602 178.51)</t>
  </si>
  <si>
    <t>POLYGON Z ((292756.06803068204 6609431.791483602 178.51, 292754.53837502375 6609431.86975518 178.53, 292753.0441700341 6609431.563140998 178.54, 292751.66872369364 6609430.904272436 178.55, 292750.5053063553 6609429.924878606 178.56, 292749.6209103138 6609428.699244887 178.56, 292749.0816256037 6609427.291694296 178.56, 292748.9263619325 6609425.799143734 178.56, 292749.1433149042 6609424.313059041 178.56, 292749.7306424823 6609422.924003794 178.55, 292750.6566155222 6609421.725248341 178.54, 292751.8569109953 6609420.782882708 178.53, 292753.2472811404 6609420.164801423 178.52, 292754.7597938963 6609419.897245028 178.5, 292756.28757000086 6609420.02002545 178.49, 292757.7373391207 6609420.50141355 178.48, 292759.0176354473 6609421.329604907 178.47, 292760.0415419898 6609422.432118662 178.47, 292760.75473563443 6609423.763654278 178.46, 292761.11830670154 6609425.22729488 178.46, 292761.08338313806 6609426.727025856 178.46, 292760.6825963323 6609428.179539251 178.47, 292759.91688604734 6609429.484309154 178.48, 292758.8496730157 6609430.565283193 178.49, 292757.53441560303 6609431.347311242 178.5, 292756.06803068204 6609431.791483602 178.51))</t>
  </si>
  <si>
    <t>['FV128 S6D1 m2976 KD1 m0-88']</t>
  </si>
  <si>
    <t>LINESTRING Z (290091.27716959314 6609967.493260031 178.43, 290090.583101102 6609968.4801985575 178.45000000000002, 290089.7042921817 6609969.423603287 178.47, 290088.6579610467 6609970.291781834 178.49, 290087.45046100835 6609971.043981546 178.51, 290086.0863407425 6609971.619524586 178.53, 290084.6045482661 6609972.0048391 178.54, 290083.07121240493 6609972.153758522 178.56, 290081.5162209129 6609972.063575884 178.56, 290080.0093118921 6609971.727974966 178.57, 290078.5939449582 6609971.183196828 178.57, 290077.3326025861 6609970.453715325 178.57, 290076.2189314648 6609969.580283115 178.56, 290075.29819584824 6609968.619066447 178.55, 290074.5531775203 6609967.601757714 178.54, 290073.96756057965 6609966.570011904 178.53, 290073.50243410346 6609965.426910104 178.52, 290073.1668583662 6609964.161587415 178.5, 290073.0015860346 6609962.780397155 178.48, 290073.0319561844 6609961.341310222 178.46, 290073.27969862253 6609959.862447162 178.44, 290073.77105473366 6609958.411741457 178.41, 290074.4797460177 6609957.031750406 178.39000000000001, 290075.4012237772 6609955.783151851 178.36, 290076.4983446046 6609954.6994428225 178.34, 290077.71494223614 6609953.825887549 178.32, 290079.0003014182 6609953.157035026 178.3, 290080.3055115309 6609952.707359403 178.29, 290081.5880152815 6609952.450582185 178.28, 290082.8161202816 6609952.36948514 178.27, 290084.00704475725 6609952.432375867 178.26, 290085.2522566114 6609952.6510587055 178.25, 290086.52457503334 6609953.058128341 178.25, 290087.78505199857 6609953.6671566265 178.25, 290089.00470207055 6609954.49081308 178.26, 290090.11198252806 6609955.515488738 178.27, 290091.07429867657 6609956.71400279 178.28, 290091.8400329684 6609958.0709416475 178.29, 290092.39290661504 6609959.517469534 178.31, 290092.69942260353 6609961.016443069 178.33, 290092.7731898929 6609962.496319527 178.35, 290092.64048697194 6609963.914541636 178.37, 290092.3185320579 6609965.239417013 178.39000000000001, 290091.85443112056 6609966.436546321 178.42000000000002, 290091.27716959314 6609967.493260031 178.43)</t>
  </si>
  <si>
    <t>POLYGON Z ((290091.27716959314 6609967.493260031 178.43, 290090.583101102 6609968.4801985575 178.45000000000002, 290089.7042921817 6609969.423603287 178.47, 290088.6579610467 6609970.291781834 178.49, 290087.45046100835 6609971.043981546 178.51, 290086.0863407425 6609971.619524586 178.53, 290084.6045482661 6609972.0048391 178.54, 290083.07121240493 6609972.153758522 178.56, 290081.5162209129 6609972.063575884 178.56, 290080.0093118921 6609971.727974966 178.57, 290078.5939449582 6609971.183196828 178.57, 290077.3326025861 6609970.453715325 178.57, 290076.2189314648 6609969.580283115 178.56, 290075.29819584824 6609968.619066447 178.55, 290074.5531775203 6609967.601757714 178.54, 290073.96756057965 6609966.570011904 178.53, 290073.50243410346 6609965.426910104 178.52, 290073.1668583662 6609964.161587415 178.5, 290073.0015860346 6609962.780397155 178.48, 290073.0319561844 6609961.341310222 178.46, 290073.27969862253 6609959.862447162 178.44, 290073.77105473366 6609958.411741457 178.41, 290074.4797460177 6609957.031750406 178.39000000000001, 290075.4012237772 6609955.783151851 178.36, 290076.4983446046 6609954.6994428225 178.34, 290077.71494223614 6609953.825887549 178.32, 290079.0003014182 6609953.157035026 178.3, 290080.3055115309 6609952.707359403 178.29, 290081.5880152815 6609952.450582185 178.28, 290082.8161202816 6609952.36948514 178.27, 290084.00704475725 6609952.432375867 178.26, 290085.2522566114 6609952.6510587055 178.25, 290086.52457503334 6609953.058128341 178.25, 290087.78505199857 6609953.6671566265 178.25, 290089.00470207055 6609954.49081308 178.26, 290090.11198252806 6609955.515488738 178.27, 290091.07429867657 6609956.71400279 178.28, 290091.8400329684 6609958.0709416475 178.29, 290092.39290661504 6609959.517469534 178.31, 290092.69942260353 6609961.016443069 178.33, 290092.7731898929 6609962.496319527 178.35, 290092.64048697194 6609963.914541636 178.37, 290092.3185320579 6609965.239417013 178.39000000000001, 290091.85443112056 6609966.436546321 178.42000000000002, 290091.27716959314 6609967.493260031 178.43))</t>
  </si>
  <si>
    <t>['FV128 S6D1 m3108 KD1 m0-88']</t>
  </si>
  <si>
    <t>LINESTRING Z (290042.24317977583 6610123.111253342 179.83, 290041.24218753004 6610123.814618191 179.85, 290040.10175600066 6610124.420124874 179.88, 290038.8182758612 6610124.887923026 179.91, 290037.41892788245 6610125.185417892 179.94, 290035.9308928356 6610125.280014711 179.98, 290034.4021790016 6610125.147276643 180.02, 290032.8916595847 6610124.771827116 180.05, 290031.45004986424 6610124.159117053 180.09, 290030.1307721125 6610123.344485163 180.12, 290028.97548135545 6610122.3442472955 180.15, 290028.02038167877 6610121.225434591 180.17000000000002, 290027.26908240863 6610120.027897407 180.19, 290026.71613260976 6610118.802351031 180.21, 290026.3452164234 6610117.590450481 180.22, 290026.1481759198 6610116.413023274 180.22, 290026.0861000372 6610115.173150507 180.23, 290026.19793680694 6610113.857260274 180.23, 290026.4963558079 6610112.494338025 180.22, 290027.00669619266 6610111.142354648 180.21, 290027.7407252049 6610109.820332994 180.19, 290028.6956988792 6610108.608876121 180.17000000000002, 290029.83447383496 6610107.541481109 180.15, 290031.1307716091 6610106.660705307 180.12, 290032.52842597157 6610106.01181304 180.08, 290033.97672164073 6610105.589353346 180.05, 290035.4149807509 6610105.388777605 180.02, 290036.8124132066 6610105.402830205 179.98, 290038.1146944241 6610105.586209838 179.95000000000002, 290039.3100571617 6610105.919893647 179.92000000000002, 290040.41662194417 6610106.382151796 179.9, 290041.51860112615 6610107.015578596 179.87, 290042.58610694495 6610107.82288103 179.84, 290043.58109370945 6610108.827593584 179.82, 290044.46190641634 6610110.013400393 179.79, 290045.16606255784 6610111.355827666 179.78, 290045.67092997977 6610112.8267923035 179.76, 290045.95116953854 6610114.368323436 179.75, 290045.971479498 6610115.923352531 179.75, 290045.7681008942 6610117.448419934 179.75, 290045.34468000627 6610118.872885206 179.76, 290044.7292999331 6610120.174116182 179.77, 290043.98989412584 6610121.325871392 179.79, 290043.1436807653 6610122.2964584045 179.81, 290042.24317977583 6610123.111253342 179.83)</t>
  </si>
  <si>
    <t>POLYGON Z ((290042.24317977583 6610123.111253342 179.83, 290041.24218753004 6610123.814618191 179.85, 290040.10175600066 6610124.420124874 179.88, 290038.8182758612 6610124.887923026 179.91, 290037.41892788245 6610125.185417892 179.94, 290035.9308928356 6610125.280014711 179.98, 290034.4021790016 6610125.147276643 180.02, 290032.8916595847 6610124.771827116 180.05, 290031.45004986424 6610124.159117053 180.09, 290030.1307721125 6610123.344485163 180.12, 290028.97548135545 6610122.3442472955 180.15, 290028.02038167877 6610121.225434591 180.17000000000002, 290027.26908240863 6610120.027897407 180.19, 290026.71613260976 6610118.802351031 180.21, 290026.3452164234 6610117.590450481 180.22, 290026.1481759198 6610116.413023274 180.22, 290026.0861000372 6610115.173150507 180.23, 290026.19793680694 6610113.857260274 180.23, 290026.4963558079 6610112.494338025 180.22, 290027.00669619266 6610111.142354648 180.21, 290027.7407252049 6610109.820332994 180.19, 290028.6956988792 6610108.608876121 180.17000000000002, 290029.83447383496 6610107.541481109 180.15, 290031.1307716091 6610106.660705307 180.12, 290032.52842597157 6610106.01181304 180.08, 290033.97672164073 6610105.589353346 180.05, 290035.4149807509 6610105.388777605 180.02, 290036.8124132066 6610105.402830205 179.98, 290038.1146944241 6610105.586209838 179.95000000000002, 290039.3100571617 6610105.919893647 179.92000000000002, 290040.41662194417 6610106.382151796 179.9, 290041.51860112615 6610107.015578596 179.87, 290042.58610694495 6610107.82288103 179.84, 290043.58109370945 6610108.827593584 179.82, 290044.46190641634 6610110.013400393 179.79, 290045.16606255784 6610111.355827666 179.78, 290045.67092997977 6610112.8267923035 179.76, 290045.95116953854 6610114.368323436 179.75, 290045.971479498 6610115.923352531 179.75, 290045.7681008942 6610117.448419934 179.75, 290045.34468000627 6610118.872885206 179.76, 290044.7292999331 6610120.174116182 179.77, 290043.98989412584 6610121.325871392 179.79, 290043.1436807653 6610122.2964584045 179.81, 290042.24317977583 6610123.111253342 179.83))</t>
  </si>
  <si>
    <t>[1114]</t>
  </si>
  <si>
    <t>['FV1114 S1D1 m1478 KD1 m0-64']</t>
  </si>
  <si>
    <t>LINESTRING Z (265762.664579574 6568492.848101247 10.51, 265760.94642692304 6568493.846962148 10.56, 265758.9595283668 6568494.428047678 10.58, 265756.55006881634 6568494.333994513 10.68, 265754.6237955305 6568493.694054568 10.72, 265753.0147504878 6568492.784393688 10.68, 265751.71664085006 6568491.535258148 10.65, 265750.68054153176 6568489.961107659 10.63, 265749.96624145634 6568488.0565483505 10.63, 265749.7148179029 6568486.160460068 10.59, 265750.01138328563 6568484.325439911 10.57, 265750.66023716546 6568482.6093267435 10.49, 265752.16172256006 6568480.545053417 10.51, 265753.79761208186 6568479.302466089 10.52, 265755.42495445884 6568478.63326723 10.56, 265758.21248228604 6568478.241146872 10.68, 265760.1571152636 6568478.52782357 10.69, 265761.9093394941 6568479.354246191 10.72, 265763.2683649267 6568480.276416825 10.73, 265764.42516893696 6568481.518208429 10.72, 265765.31449272257 6568483.135737931 10.71, 265765.7212386075 6568484.41505845 10.71, 265765.9411978426 6568485.962377917 10.64, 265765.90507300384 6568487.120917465 10.61, 265765.70411724574 6568488.2340517845 10.67, 265765.5704464052 6568488.979462939 10.540000000000001, 265765.0124792005 6568490.255402106 10.5, 265764.28803519835 6568491.2449825145 10.49, 265762.664579574 6568492.848101247 10.51)</t>
  </si>
  <si>
    <t>POLYGON Z ((265762.664579574 6568492.848101247 10.51, 265760.94642692304 6568493.846962148 10.56, 265758.9595283668 6568494.428047678 10.58, 265756.55006881634 6568494.333994513 10.68, 265754.6237955305 6568493.694054568 10.72, 265753.0147504878 6568492.784393688 10.68, 265751.71664085006 6568491.535258148 10.65, 265750.68054153176 6568489.961107659 10.63, 265749.96624145634 6568488.0565483505 10.63, 265749.7148179029 6568486.160460068 10.59, 265750.01138328563 6568484.325439911 10.57, 265750.66023716546 6568482.6093267435 10.49, 265752.16172256006 6568480.545053417 10.51, 265753.79761208186 6568479.302466089 10.52, 265755.42495445884 6568478.63326723 10.56, 265758.21248228604 6568478.241146872 10.68, 265760.1571152636 6568478.52782357 10.69, 265761.9093394941 6568479.354246191 10.72, 265763.2683649267 6568480.276416825 10.73, 265764.42516893696 6568481.518208429 10.72, 265765.31449272257 6568483.135737931 10.71, 265765.7212386075 6568484.41505845 10.71, 265765.9411978426 6568485.962377917 10.64, 265765.90507300384 6568487.120917465 10.61, 265765.70411724574 6568488.2340517845 10.67, 265765.5704464052 6568488.979462939 10.540000000000001, 265765.0124792005 6568490.255402106 10.5, 265764.28803519835 6568491.2449825145 10.49, 265762.664579574 6568492.848101247 10.51))</t>
  </si>
  <si>
    <t>['FV118 S1D50 m694 KD1 m6-31']</t>
  </si>
  <si>
    <t>LINESTRING Z (286050.8121525046 6558469.525046428 64.63, 286052.9027396019 6558467.980654942 64.63, 286054.70293786586 6558466.000408961 64.63, 286055.690901211 6558463.812139449 64.63, 286056.0330045517 6558460.587277276 64.63, 286055.54470855347 6558458.401498189 64.63, 286054.4377136921 6558456.371927041 64.63, 286052.6351782641 6558454.314651929 64.63, 286050.48342357005 6558452.951765047 64.63, 286047.948069892 6558452.236144712 64.63, 286045.25638912746 6558452.237702615 64.63, 286042.9463073652 6558453.018437669 64.63, 286040.51761608245 6558454.934803961 64.63, 286039.05535172485 6558456.764060727 64.63, 286038.09744710487 6558458.72865067 64.63, 286037.76859418454 6558461.20905485 64.63, 286038.05728800996 6558463.8547664 64.63, 286039.2942785813 6558466.435090663 64.63, 286041.10049131716 6558468.421725649 64.63, 286043.2034133264 6558469.688572883 64.63, 286045.430891928 6558470.331502396 64.63, 286047.8861508913 6558470.381386486 64.63, 286050.8121525046 6558469.525046428 64.63)</t>
  </si>
  <si>
    <t>POLYGON Z ((286050.8121525046 6558469.525046428 64.63, 286052.9027396019 6558467.980654942 64.63, 286054.70293786586 6558466.000408961 64.63, 286055.690901211 6558463.812139449 64.63, 286056.0330045517 6558460.587277276 64.63, 286055.54470855347 6558458.401498189 64.63, 286054.4377136921 6558456.371927041 64.63, 286052.6351782641 6558454.314651929 64.63, 286050.48342357005 6558452.951765047 64.63, 286047.948069892 6558452.236144712 64.63, 286045.25638912746 6558452.237702615 64.63, 286042.9463073652 6558453.018437669 64.63, 286040.51761608245 6558454.934803961 64.63, 286039.05535172485 6558456.764060727 64.63, 286038.09744710487 6558458.72865067 64.63, 286037.76859418454 6558461.20905485 64.63, 286038.05728800996 6558463.8547664 64.63, 286039.2942785813 6558466.435090663 64.63, 286041.10049131716 6558468.421725649 64.63, 286043.2034133264 6558469.688572883 64.63, 286045.430891928 6558470.331502396 64.63, 286047.8861508913 6558470.381386486 64.63, 286050.8121525046 6558469.525046428 64.63))</t>
  </si>
  <si>
    <t>['FV115 S6D1 m5525 KD1 m0-100']</t>
  </si>
  <si>
    <t>LINESTRING Z (283500.51987142075 6609757.709418093 107.47, 283500.917606871 6609757.331871391 107.47, 283501.34613404796 6609756.961580832 107.48, 283501.8163184136 6609756.607607218 107.49000000000001, 283502.3091360335 6609756.2817183435 107.5, 283502.8436108406 6609755.972146415 107.52, 283503.41068203276 6609755.689756894 107.53, 283504.00038647733 6609755.435452109 107.54, 283504.62358963606 6609755.218292867 107.56, 283505.2712307063 6609755.049144622 107.57000000000001, 283505.9415050271 6609754.908081117 107.59, 283506.62625412736 6609754.815930941 107.61, 283507.32547800563 6609754.772694093 107.63, 283508.0292135308 6609754.779272904 107.64, 283508.74742383405 6609754.83476504 107.66, 283509.45112185116 6609754.95184063 107.68, 283510.1584291848 6609755.108768738 107.7, 283510.8403587716 6609755.318219498 107.72, 283511.51683687425 6609755.578388235 107.74000000000001, 283512.15707176994 6609755.882018818 107.76, 283512.78098972177 6609756.227306587 107.78, 283513.35870133643 6609756.616958521 107.8, 283513.9092305475 6609757.03920684 107.81, 283514.4217118944 6609757.48499074 107.83, 283514.8970477075 6609757.964273347 107.84, 283515.3334333276 6609758.457128404 107.86, 283515.72180795437 6609758.974421374 107.87, 283516.0703300586 6609759.49532366 107.88, 283516.379901971 6609760.029798395 107.9, 283516.63965823106 6609760.5687847845 107.91, 283516.8686227697 6609761.100515028 107.91, 283517.067697918 6609761.634952264 107.92, 283517.2251158835 6609762.153072558 107.93, 283517.34448598966 6609762.69472844 107.94, 283517.4448321674 6609763.248152108 107.94, 283517.5170936171 6609763.8242090335 107.95, 283517.5612703387 6609764.422899208 107.95, 283517.55653374066 6609765.036064169 107.96000000000001, 283517.5228100846 6609765.661899257 107.96000000000001, 283517.44017310883 6609766.30220913 107.96000000000001, 283517.31768361316 6609766.946128326 107.96000000000001, 283517.1462807982 6609767.604522311 107.96000000000001, 283516.93322080094 6609768.246599365 107.96000000000001, 283516.66944282106 6609768.883224943 107.96000000000001, 283516.3549468586 6609769.514399051 107.95, 283515.99879371224 6609770.129256228 107.95, 283515.5892155876 6609770.708772539 107.94, 283515.13798027777 6609771.2719719205 107.93, 283514.6532462494 6609771.798025777 107.92, 283514.12505037093 6609772.287836435 107.91, 283513.56335577264 6609772.740501573 107.9, 283512.97812558425 6609773.155118855 107.89, 283512.36755514215 6609773.511762014 107.87, 283511.7434122396 6609773.829454982 107.86, 283511.1047945448 6609774.098234634 107.84, 283510.4616651881 6609774.317198628 107.83, 283509.8040610383 6609774.487249302 107.81, 283509.16187148914 6609774.605679656 107.8, 283508.52693807246 6609774.693318286 107.78, 283507.8974561249 6609774.730238925 107.76, 283507.28429111006 6609774.725502376 107.75, 283506.67838222836 6609774.689974101 107.73, 283506.10961887497 6609774.620947102 107.72, 283505.54811165493 6609774.521128376 107.7, 283505.01468916424 6609774.398676388 107.69, 283504.48852280807 6609774.245432674 107.67, 283503.9587471224 6609774.052336431 107.66, 283503.4262644398 6609773.829350789 107.64, 283502.88927009667 6609773.556549487 107.63, 283502.3495687564 6609773.253858786 107.61, 283501.82618435204 6609772.909510891 107.59, 283501.31821455236 6609772.513542668 107.58, 283500.81750088965 6609772.086782717 107.56, 283500.343067296 6609771.617463236 107.55, 283499.8849506409 6609771.106486558 107.53, 283499.4630771894 6609770.552048025 107.52, 283499.0792516052 6609769.974073896 107.5, 283498.7316692263 6609769.352637908 107.49000000000001, 283498.4221347164 6609768.70766633 107.48, 283498.1606112085 6609768.038256823 107.47, 283497.9480010343 6609767.3543725265 107.46000000000001, 283497.793364996 6609766.645147976 107.45, 283497.67948382196 6609765.942277231 107.44, 283497.6145159833 6609765.224931698 107.44, 283497.61113160563 6609764.5220984435 107.43, 283497.6475997613 6609763.815655864 107.43, 283497.73659057607 6609763.134591027 107.43, 283497.87629938737 6609762.458977671 107.43, 283498.04860459187 6609761.810546721 107.43, 283498.2634693212 6609761.188395848 107.43, 283498.51183277305 6609760.603390514 107.43, 283498.7918902855 6609760.035604456 107.44, 283499.1054465192 6609759.50496394 107.44, 283499.431672878 6609759.003310489 107.45, 283499.78143482475 6609758.539704913 107.45, 283500.1438668955 6609758.105086401 107.46000000000001, 283500.51987142075 6609757.709418093 107.47)</t>
  </si>
  <si>
    <t>POLYGON Z ((283500.51987142075 6609757.709418093 107.47, 283500.917606871 6609757.331871391 107.47, 283501.34613404796 6609756.961580832 107.48, 283501.8163184136 6609756.607607218 107.49000000000001, 283502.3091360335 6609756.2817183435 107.5, 283502.8436108406 6609755.972146415 107.52, 283503.41068203276 6609755.689756894 107.53, 283504.00038647733 6609755.435452109 107.54, 283504.62358963606 6609755.218292867 107.56, 283505.2712307063 6609755.049144622 107.57000000000001, 283505.9415050271 6609754.908081117 107.59, 283506.62625412736 6609754.815930941 107.61, 283507.32547800563 6609754.772694093 107.63, 283508.0292135308 6609754.779272904 107.64, 283508.74742383405 6609754.83476504 107.66, 283509.45112185116 6609754.95184063 107.68, 283510.1584291848 6609755.108768738 107.7, 283510.8403587716 6609755.318219498 107.72, 283511.51683687425 6609755.578388235 107.74000000000001, 283512.15707176994 6609755.882018818 107.76, 283512.78098972177 6609756.227306587 107.78, 283513.35870133643 6609756.616958521 107.8, 283513.9092305475 6609757.03920684 107.81, 283514.4217118944 6609757.48499074 107.83, 283514.8970477075 6609757.964273347 107.84, 283515.3334333276 6609758.457128404 107.86, 283515.72180795437 6609758.974421374 107.87, 283516.0703300586 6609759.49532366 107.88, 283516.379901971 6609760.029798395 107.9, 283516.63965823106 6609760.5687847845 107.91, 283516.8686227697 6609761.100515028 107.91, 283517.067697918 6609761.634952264 107.92, 283517.2251158835 6609762.153072558 107.93, 283517.34448598966 6609762.69472844 107.94, 283517.4448321674 6609763.248152108 107.94, 283517.5170936171 6609763.8242090335 107.95, 283517.5612703387 6609764.422899208 107.95, 283517.55653374066 6609765.036064169 107.96000000000001, 283517.5228100846 6609765.661899257 107.96000000000001, 283517.44017310883 6609766.30220913 107.96000000000001, 283517.31768361316 6609766.946128326 107.96000000000001, 283517.1462807982 6609767.604522311 107.96000000000001, 283516.93322080094 6609768.246599365 107.96000000000001, 283516.66944282106 6609768.883224943 107.96000000000001, 283516.3549468586 6609769.514399051 107.95, 283515.99879371224 6609770.129256228 107.95, 283515.5892155876 6609770.708772539 107.94, 283515.13798027777 6609771.2719719205 107.93, 283514.6532462494 6609771.798025777 107.92, 283514.12505037093 6609772.287836435 107.91, 283513.56335577264 6609772.740501573 107.9, 283512.97812558425 6609773.155118855 107.89, 283512.36755514215 6609773.511762014 107.87, 283511.7434122396 6609773.829454982 107.86, 283511.1047945448 6609774.098234634 107.84, 283510.4616651881 6609774.317198628 107.83, 283509.8040610383 6609774.487249302 107.81, 283509.16187148914 6609774.605679656 107.8, 283508.52693807246 6609774.693318286 107.78, 283507.8974561249 6609774.730238925 107.76, 283507.28429111006 6609774.725502376 107.75, 283506.67838222836 6609774.689974101 107.73, 283506.10961887497 6609774.620947102 107.72, 283505.54811165493 6609774.521128376 107.7, 283505.01468916424 6609774.398676388 107.69, 283504.48852280807 6609774.245432674 107.67, 283503.9587471224 6609774.052336431 107.66, 283503.4262644398 6609773.829350789 107.64, 283502.88927009667 6609773.556549487 107.63, 283502.3495687564 6609773.253858786 107.61, 283501.82618435204 6609772.909510891 107.59, 283501.31821455236 6609772.513542668 107.58, 283500.81750088965 6609772.086782717 107.56, 283500.343067296 6609771.617463236 107.55, 283499.8849506409 6609771.106486558 107.53, 283499.4630771894 6609770.552048025 107.52, 283499.0792516052 6609769.974073896 107.5, 283498.7316692263 6609769.352637908 107.49000000000001, 283498.4221347164 6609768.70766633 107.48, 283498.1606112085 6609768.038256823 107.47, 283497.9480010343 6609767.3543725265 107.46000000000001, 283497.793364996 6609766.645147976 107.45, 283497.67948382196 6609765.942277231 107.44, 283497.6145159833 6609765.224931698 107.44, 283497.61113160563 6609764.5220984435 107.43, 283497.6475997613 6609763.815655864 107.43, 283497.73659057607 6609763.134591027 107.43, 283497.87629938737 6609762.458977671 107.43, 283498.04860459187 6609761.810546721 107.43, 283498.2634693212 6609761.188395848 107.43, 283498.51183277305 6609760.603390514 107.43, 283498.7918902855 6609760.035604456 107.44, 283499.1054465192 6609759.50496394 107.44, 283499.431672878 6609759.003310489 107.45, 283499.78143482475 6609758.539704913 107.45, 283500.1438668955 6609758.105086401 107.46000000000001, 283500.51987142075 6609757.709418093 107.47))</t>
  </si>
  <si>
    <t>['FV115 S6D1 m5606 KD1 m0-100']</t>
  </si>
  <si>
    <t>LINESTRING Z (283518.4551926391 6609863.354051454 107.81, 283518.92334755824 6609863.64313183 107.82000000000001, 283519.39420949377 6609863.9621015955 107.83, 283519.8478521856 6609864.312765422 107.84, 283520.295141104 6609864.704184112 107.85000000000001, 283520.72611311835 6609865.137259992 107.86, 283521.1507313604 6609865.611090731 107.88, 283521.54816723074 6609866.117517874 107.89, 283521.9184207305 6609866.656541425 107.91, 283522.2515287302 6609867.229063717 107.92, 283522.5583567 6609867.844145539 107.94, 283522.82623449253 6609868.47279985 107.96000000000001, 283523.04700365727 6609869.1358552445 107.98, 283523.219761856 6609869.823348596 107.99000000000001, 283523.3535698788 6609870.524414431 108.01, 283523.4375622569 6609871.229991969 108.03, 283523.4626782001 6609871.950946669 108.05, 283523.4370761593 6609872.666449942 108.07000000000001, 283523.36075613357 6609873.37650178 108.09, 283523.2337181235 6609874.081102193 108.10000000000001, 283523.0650229181 6609874.7693857085 108.12, 283522.84380504733 6609875.432291537 108.14, 283522.5800276399 6609876.068917338 108.15, 283522.2836538251 6609876.678360773 108.17, 283521.9447204722 6609877.26152418 108.18, 283521.58225150063 6609877.806639757 108.19, 283521.18628377933 6609878.314609836 108.2, 283520.7767435671 6609878.78362974 108.21000000000001, 283520.34366773354 6609879.214601806 108.22, 283519.8979217486 6609879.616586826 108.23, 283519.4476640608 6609879.968756197 108.24000000000001, 283518.9847362207 6609880.291938523 108.24000000000001, 283518.5191013583 6609880.585231462 108.25, 283518.039894002 6609880.839574221 108.25, 283517.5298949134 6609881.086660876 108.26, 283516.9872994104 6609881.306565163 108.26, 283516.4220706229 6609881.498384739 108.26, 283515.8333062098 6609881.652156482 108.27, 283515.222810852 6609881.787806644 108.27, 283514.58787752676 6609881.875445834 108.27, 283513.9294085748 6609881.925037187 108.26, 283513.2564647854 6609881.925715228 108.26, 283512.57991162944 6609881.886540746 108.26, 283511.89884676645 6609881.797550611 108.25, 283511.21327019675 6609881.658744821 108.25, 283510.53314505063 6609881.469221034 108.24000000000001, 283509.8593736695 6609881.238942381 108.23, 283509.2001145033 6609880.947080262 108.22, 283508.56713536486 6609880.612658588 108.21000000000001, 283507.960436255 6609880.235677368 108.2, 283507.38001717464 6609879.816136601 108.18, 283506.8367435957 6609879.363097068 108.17, 283506.3297131792 6609878.866595651 108.15, 283505.8607306066 6609878.346558602 108.14, 283505.43975901 6609877.802083585 108.12, 283505.05683525896 6609877.23407294 108.11, 283504.7228248257 6609876.651587462 108.09, 283504.4386300511 6609876.06459028 108.07000000000001, 283504.19428780413 6609875.473983732 108.06, 283503.98979808495 6609874.879767821 108.04, 283503.8351240254 6609874.28104021 108.03, 283503.71214404283 6609873.699531839 108.01, 283503.6299189286 6609873.124377238 108, 283503.5793878912 6609872.56644188 107.98, 283503.55964859045 6609872.015762634 107.97, 283503.58066415775 6609871.471437159 107.95, 283503.6207036504 6609870.915343872 107.94, 283503.6987909917 6609870.335714964 107.93, 283503.81673086155 6609869.752476699 107.91, 283503.97362091974 6609869.155665946 107.9, 283504.17126584577 6609868.565208966 107.88, 283504.40876329987 6609867.971142628 107.87, 283504.69697875227 6609867.382527729 107.85000000000001, 283505.02594907186 6609866.800266608 107.84, 283505.3956742579 6609866.224359264 107.83, 283505.81882445875 6609865.68379275 107.81, 283506.28272952465 6609865.149580013 107.8, 283506.7810356807 6609864.6624759175 107.79, 283507.32190137904 6609864.2016518675 107.78, 283507.9053266182 6609863.76710785 107.77, 283508.51409215305 6609863.390537952 107.77, 283509.1463933046 6609863.052015902 107.76, 283509.7931692794 6609862.762407169 107.76, 283510.46438320883 6609862.520809415 107.75, 283511.15007196076 6609862.328124979 107.75, 283511.8303092737 6609862.186158541 107.75, 283512.51505827764 6609862.094007754 107.75, 283513.1934535037 6609862.0426118355 107.75, 283513.8564341593 6609862.042836242 107.76, 283514.51396337576 6609862.093778643 107.76, 283515.1542733449 6609862.176415113 107.76, 283515.7683032754 6609862.301611117 107.77, 283516.36511395907 6609862.458501195 107.78, 283516.9238767971 6609862.638926886 107.78, 283517.46632272814 6609862.861009773 107.79, 283517.97978160577 6609863.095762806 107.8, 283518.4551926391 6609863.354051454 107.81)</t>
  </si>
  <si>
    <t>POLYGON Z ((283518.4551926391 6609863.354051454 107.81, 283518.92334755824 6609863.64313183 107.82000000000001, 283519.39420949377 6609863.9621015955 107.83, 283519.8478521856 6609864.312765422 107.84, 283520.295141104 6609864.704184112 107.85000000000001, 283520.72611311835 6609865.137259992 107.86, 283521.1507313604 6609865.611090731 107.88, 283521.54816723074 6609866.117517874 107.89, 283521.9184207305 6609866.656541425 107.91, 283522.2515287302 6609867.229063717 107.92, 283522.5583567 6609867.844145539 107.94, 283522.82623449253 6609868.47279985 107.96000000000001, 283523.04700365727 6609869.1358552445 107.98, 283523.219761856 6609869.823348596 107.99000000000001, 283523.3535698788 6609870.524414431 108.01, 283523.4375622569 6609871.229991969 108.03, 283523.4626782001 6609871.950946669 108.05, 283523.4370761593 6609872.666449942 108.07000000000001, 283523.36075613357 6609873.37650178 108.09, 283523.2337181235 6609874.081102193 108.10000000000001, 283523.0650229181 6609874.7693857085 108.12, 283522.84380504733 6609875.432291537 108.14, 283522.5800276399 6609876.068917338 108.15, 283522.2836538251 6609876.678360773 108.17, 283521.9447204722 6609877.26152418 108.18, 283521.58225150063 6609877.806639757 108.19, 283521.18628377933 6609878.314609836 108.2, 283520.7767435671 6609878.78362974 108.21000000000001, 283520.34366773354 6609879.214601806 108.22, 283519.8979217486 6609879.616586826 108.23, 283519.4476640608 6609879.968756197 108.24000000000001, 283518.9847362207 6609880.291938523 108.24000000000001, 283518.5191013583 6609880.585231462 108.25, 283518.039894002 6609880.839574221 108.25, 283517.5298949134 6609881.086660876 108.26, 283516.9872994104 6609881.306565163 108.26, 283516.4220706229 6609881.498384739 108.26, 283515.8333062098 6609881.652156482 108.27, 283515.222810852 6609881.787806644 108.27, 283514.58787752676 6609881.875445834 108.27, 283513.9294085748 6609881.925037187 108.26, 283513.2564647854 6609881.925715228 108.26, 283512.57991162944 6609881.886540746 108.26, 283511.89884676645 6609881.797550611 108.25, 283511.21327019675 6609881.658744821 108.25, 283510.53314505063 6609881.469221034 108.24000000000001, 283509.8593736695 6609881.238942381 108.23, 283509.2001145033 6609880.947080262 108.22, 283508.56713536486 6609880.612658588 108.21000000000001, 283507.960436255 6609880.235677368 108.2, 283507.38001717464 6609879.816136601 108.18, 283506.8367435957 6609879.363097068 108.17, 283506.3297131792 6609878.866595651 108.15, 283505.8607306066 6609878.346558602 108.14, 283505.43975901 6609877.802083585 108.12, 283505.05683525896 6609877.23407294 108.11, 283504.7228248257 6609876.651587462 108.09, 283504.4386300511 6609876.06459028 108.07000000000001, 283504.19428780413 6609875.473983732 108.06, 283503.98979808495 6609874.879767821 108.04, 283503.8351240254 6609874.28104021 108.03, 283503.71214404283 6609873.699531839 108.01, 283503.6299189286 6609873.124377238 108, 283503.5793878912 6609872.56644188 107.98, 283503.55964859045 6609872.015762634 107.97, 283503.58066415775 6609871.471437159 107.95, 283503.6207036504 6609870.915343872 107.94, 283503.6987909917 6609870.335714964 107.93, 283503.81673086155 6609869.752476699 107.91, 283503.97362091974 6609869.155665946 107.9, 283504.17126584577 6609868.565208966 107.88, 283504.40876329987 6609867.971142628 107.87, 283504.69697875227 6609867.382527729 107.85000000000001, 283505.02594907186 6609866.800266608 107.84, 283505.3956742579 6609866.224359264 107.83, 283505.81882445875 6609865.68379275 107.81, 283506.28272952465 6609865.149580013 107.8, 283506.7810356807 6609864.6624759175 107.79, 283507.32190137904 6609864.2016518675 107.78, 283507.9053266182 6609863.76710785 107.77, 283508.51409215305 6609863.390537952 107.77, 283509.1463933046 6609863.052015902 107.76, 283509.7931692794 6609862.762407169 107.76, 283510.46438320883 6609862.520809415 107.75, 283511.15007196076 6609862.328124979 107.75, 283511.8303092737 6609862.186158541 107.75, 283512.51505827764 6609862.094007754 107.75, 283513.1934535037 6609862.0426118355 107.75, 283513.8564341593 6609862.042836242 107.76, 283514.51396337576 6609862.093778643 107.76, 283515.1542733449 6609862.176415113 107.76, 283515.7683032754 6609862.301611117 107.77, 283516.36511395907 6609862.458501195 107.78, 283516.9238767971 6609862.638926886 107.78, 283517.46632272814 6609862.861009773 107.79, 283517.97978160577 6609863.095762806 107.8, 283518.4551926391 6609863.354051454 107.81))</t>
  </si>
  <si>
    <t>2025-11-22T09:08:29Z</t>
  </si>
  <si>
    <t>['FV124 S5D1 m7735 KD1 m0-88']</t>
  </si>
  <si>
    <t>LINESTRING Z (286401.9540791243 6610104.765965986 153.20000000000002, 286400.89015130186 6610103.998489624 153.24, 286399.8715632929 6610103.066192932 153.31, 286399.1563366258 6610102.267134461 153.35, 286398.6105161911 6610101.342241971 153.41, 286398.01856487955 6610100.240724484 153.45000000000002, 286397.54263307445 6610098.867539003 153.5, 286397.2695684731 6610097.516158178 153.5, 286397.1902363321 6610096.418435532 153.5, 286397.30395689956 6610094.901443338 153.5, 286397.5942282787 6610093.559308557 153.51, 286398.1897398991 6610092.149349541 153.52, 286398.889355054 6610090.890675695 153.55, 286399.8896616159 6610089.624857314 153.55, 286401.4660111277 6610088.286777226 153.55, 286402.66538996145 6610087.555382696 153.55, 286404.0874875281 6610087.064976442 153.55, 286405.534887815 6610086.743036982 153.56, 286406.92698535824 6610086.586820176 153.56, 286408.2918270329 6610086.684187329 153.56, 286409.6665573678 6610087.001640396 153.52, 286411.0321529292 6610087.550946945 153.5, 286412.2672914669 6610088.212515184 153.44, 286413.27234409505 6610088.995368561 153.4, 286414.44842210715 6610090.22478435 153.34, 286415.0784943238 6610091.081778331 153.27, 286415.7184181262 6610092.269352326 153.22, 286416.15276774764 6610093.405232975 153.21, 286416.43944163364 6610094.6850686865 153.17000000000002, 286416.616486656 6610096.085324302 153.14000000000001, 286416.52445949975 6610097.730931466 153.07, 286416.2523093074 6610099.051335582 153.04, 286415.75465915736 6610100.321851074 152.95000000000002, 286414.9309036222 6610101.762526751 152.91, 286413.928792624 6610103.0084192995 152.89000000000001, 286413.00378898124 6610103.885722063 152.87, 286412.2591309614 6610104.425263132 152.87, 286411.2101350976 6610105.042591361 152.89000000000001, 286410.23546536 6610105.482429368 152.91, 286409.1992506784 6610105.797261552 152.96, 286408.1938640921 6610106.008855461 153.02, 286407.2582548149 6610106.103638821 153.07, 286405.81641702354 6610106.043379316 153.1, 286404.8999053417 6610105.905406834 153.14000000000001, 286403.7362002756 6610105.588930492 153.17000000000002, 286402.5037314963 6610105.067745181 153.19, 286401.9540791243 6610104.765965986 153.20000000000002)</t>
  </si>
  <si>
    <t>POLYGON Z ((286401.9540791243 6610104.765965986 153.20000000000002, 286400.89015130186 6610103.998489624 153.24, 286399.8715632929 6610103.066192932 153.31, 286399.1563366258 6610102.267134461 153.35, 286398.6105161911 6610101.342241971 153.41, 286398.01856487955 6610100.240724484 153.45000000000002, 286397.54263307445 6610098.867539003 153.5, 286397.2695684731 6610097.516158178 153.5, 286397.1902363321 6610096.418435532 153.5, 286397.30395689956 6610094.901443338 153.5, 286397.5942282787 6610093.559308557 153.51, 286398.1897398991 6610092.149349541 153.52, 286398.889355054 6610090.890675695 153.55, 286399.8896616159 6610089.624857314 153.55, 286401.4660111277 6610088.286777226 153.55, 286402.66538996145 6610087.555382696 153.55, 286404.0874875281 6610087.064976442 153.55, 286405.534887815 6610086.743036982 153.56, 286406.92698535824 6610086.586820176 153.56, 286408.2918270329 6610086.684187329 153.56, 286409.6665573678 6610087.001640396 153.52, 286411.0321529292 6610087.550946945 153.5, 286412.2672914669 6610088.212515184 153.44, 286413.27234409505 6610088.995368561 153.4, 286414.44842210715 6610090.22478435 153.34, 286415.0784943238 6610091.081778331 153.27, 286415.7184181262 6610092.269352326 153.22, 286416.15276774764 6610093.405232975 153.21, 286416.43944163364 6610094.6850686865 153.17000000000002, 286416.616486656 6610096.085324302 153.14000000000001, 286416.52445949975 6610097.730931466 153.07, 286416.2523093074 6610099.051335582 153.04, 286415.75465915736 6610100.321851074 152.95000000000002, 286414.9309036222 6610101.762526751 152.91, 286413.928792624 6610103.0084192995 152.89000000000001, 286413.00378898124 6610103.885722063 152.87, 286412.2591309614 6610104.425263132 152.87, 286411.2101350976 6610105.042591361 152.89000000000001, 286410.23546536 6610105.482429368 152.91, 286409.1992506784 6610105.797261552 152.96, 286408.1938640921 6610106.008855461 153.02, 286407.2582548149 6610106.103638821 153.07, 286405.81641702354 6610106.043379316 153.1, 286404.8999053417 6610105.905406834 153.14000000000001, 286403.7362002756 6610105.588930492 153.17000000000002, 286402.5037314963 6610105.067745181 153.19, 286401.9540791243 6610104.765965986 153.20000000000002))</t>
  </si>
  <si>
    <t>['EV18 S35D10 m3330 KD1 m0-65']</t>
  </si>
  <si>
    <t>LINESTRING (228736.16472399002 6569614.135886454, 228736.91035019502 6569613.014673359, 228737.18166714773 6569612.235503521, 228737.57770442427 6569611.034007922, 228737.63911135087 6569609.241828968, 228737.24532859673 6569608.063157281, 228736.6844826158 6569606.8740563, 228735.90316879103 6569605.8906369945, 228735.55809374817 6569605.635910995, 228734.70561803598 6569604.78047968, 228733.97395963548 6569604.653896241, 228733.03291598812 6569604.486381817, 228731.80244720756 6569604.361862821, 228730.30729397875 6569604.546744291, 228728.66157871427 6569605.032884925, 228727.89317144477 6569605.355874011, 228727.529258624 6569605.560616003, 228726.28779532487 6569607.291724337, 228725.70158691052 6569609.043128247, 228725.66715171165 6569611.213290945, 228726.08122873318 6569612.435208901, 228726.67329590995 6569613.499170038, 228727.1806969709 6569614.099874319, 228727.86626430595 6569614.866647813, 228728.71981975262 6569615.174487198, 228729.5391385323 6569615.484769248, 228730.64409161848 6569616.020496292, 228731.72793914587 6569616.099605938, 228733.30709287792 6569615.886384477, 228735.19338571577 6569614.913785564, 228736.16336159164 6569614.116789091)</t>
  </si>
  <si>
    <t>POLYGON ((228736.16472399002 6569614.135886454, 228736.91035019502 6569613.014673359, 228737.18166714773 6569612.235503521, 228737.57770442427 6569611.034007922, 228737.63911135087 6569609.241828968, 228737.24532859673 6569608.063157281, 228736.6844826158 6569606.8740563, 228735.90316879103 6569605.8906369945, 228735.55809374817 6569605.635910995, 228734.70561803598 6569604.78047968, 228733.97395963548 6569604.653896241, 228733.03291598812 6569604.486381817, 228731.80244720756 6569604.361862821, 228730.30729397875 6569604.546744291, 228728.66157871427 6569605.032884925, 228727.89317144477 6569605.355874011, 228727.529258624 6569605.560616003, 228726.28779532487 6569607.291724337, 228725.70158691052 6569609.043128247, 228725.66715171165 6569611.213290945, 228726.08122873318 6569612.435208901, 228726.67329590995 6569613.499170038, 228727.1806969709 6569614.099874319, 228727.86626430595 6569614.866647813, 228728.71981975262 6569615.174487198, 228729.5391385323 6569615.484769248, 228730.64409161848 6569616.020496292, 228731.72793914587 6569616.099605938, 228733.30709287792 6569615.886384477, 228735.19338571577 6569614.913785564, 228736.16336159164 6569614.116789091, 228736.16472399002 6569614.135886454))</t>
  </si>
  <si>
    <t>['FV129 S1D1 m672 KD1 m0-61']</t>
  </si>
  <si>
    <t>LINESTRING Z (293124.7047054482 6607227.386209358 102.16, 293124.45529116015 6607228.403152195 102.16, 293123.86535295856 6607229.430840919 102.16, 293122.9385781669 6607230.288149151 102.16, 293121.7420364827 6607230.828387441 102.16, 293120.47681848763 6607230.942951074 102.16, 293119.3294630237 6607230.695301437 102.16, 293118.40045612585 6607230.196868004 102.16, 293117.6417902204 6607229.472085845 102.16, 293117.04715078475 6607228.451218526 102.16, 293116.76412936504 6607227.21129812 102.16, 293116.89772237185 6607225.913565839 102.16, 293117.42612192594 6607224.760876948 102.16, 293118.2206800665 6607223.885408657 102.16, 293119.11474311585 6607223.332383294 102.16, 293120.1327856558 6607223.039320541 102.16, 293121.30740094656 6607223.03340121 102.16, 293122.51629508275 6607223.406051041 102.16, 293123.5701834889 6607224.174409448 102.16, 293124.3070019296 6607225.212534712 102.16, 293124.66976159974 6607226.334750561 102.16, 293124.7047054482 6607227.386209358 102.16)</t>
  </si>
  <si>
    <t>POLYGON Z ((293124.7047054482 6607227.386209358 102.16, 293124.45529116015 6607228.403152195 102.16, 293123.86535295856 6607229.430840919 102.16, 293122.9385781669 6607230.288149151 102.16, 293121.7420364827 6607230.828387441 102.16, 293120.47681848763 6607230.942951074 102.16, 293119.3294630237 6607230.695301437 102.16, 293118.40045612585 6607230.196868004 102.16, 293117.6417902204 6607229.472085845 102.16, 293117.04715078475 6607228.451218526 102.16, 293116.76412936504 6607227.21129812 102.16, 293116.89772237185 6607225.913565839 102.16, 293117.42612192594 6607224.760876948 102.16, 293118.2206800665 6607223.885408657 102.16, 293119.11474311585 6607223.332383294 102.16, 293120.1327856558 6607223.039320541 102.16, 293121.30740094656 6607223.03340121 102.16, 293122.51629508275 6607223.406051041 102.16, 293123.5701834889 6607224.174409448 102.16, 293124.3070019296 6607225.212534712 102.16, 293124.66976159974 6607226.334750561 102.16, 293124.7047054482 6607227.386209358 102.16))</t>
  </si>
  <si>
    <t>[122]</t>
  </si>
  <si>
    <t>['FV122 S2D1 m54-58']</t>
  </si>
  <si>
    <t>LINESTRING Z (278807.99573769746 6615125.760103315 103.02, 278808.4616928638 6615127.465764681 102.99000000000001, 278808.90620991564 6615128.1587934755 102.99000000000001, 278809.7331799767 6615128.083861242 102.99000000000001, 278810.0457576546 6615127.764224767 102.99000000000001, 278809.96553951455 6615126.435468788 102.99000000000001, 278809.5095478626 6615124.728904641 103, 278809.0594831649 6615124.41809983 102.98, 278808.42813908274 6615124.545623346 102.98, 278807.93254185433 6615125.062658676 102.98, 278807.99573769746 6615125.760103315 103.02)</t>
  </si>
  <si>
    <t>POLYGON Z ((278807.99573769746 6615125.760103315 103.02, 278808.4616928638 6615127.465764681 102.99000000000001, 278808.90620991564 6615128.1587934755 102.99000000000001, 278809.7331799767 6615128.083861242 102.99000000000001, 278810.0457576546 6615127.764224767 102.99000000000001, 278809.96553951455 6615126.435468788 102.99000000000001, 278809.5095478626 6615124.728904641 103, 278809.0594831649 6615124.41809983 102.98, 278808.42813908274 6615124.545623346 102.98, 278807.93254185433 6615125.062658676 102.98, 278807.99573769746 6615125.760103315 103.02))</t>
  </si>
  <si>
    <t>2025-11-22T09:08:30Z</t>
  </si>
  <si>
    <t>[3908]</t>
  </si>
  <si>
    <t>['FV3908 S1D1 m2336 KD1 m11-14']</t>
  </si>
  <si>
    <t>LINESTRING (87578.34258129529 6458550.34902205, 87574.50004195585 6458553.508858349, 87574.16474146052 6458554.340213842, 87574.28713186382 6458554.94439952, 87574.63427174976 6458555.42421004, 87575.21348739293 6458555.621842689, 87575.85669985192 6458555.521161879, 87579.25071757642 6458551.364877513, 87578.34614748374 6458550.326216237)</t>
  </si>
  <si>
    <t>POLYGON ((87578.34258129529 6458550.34902205, 87574.50004195585 6458553.508858349, 87574.16474146052 6458554.340213842, 87574.28713186382 6458554.94439952, 87574.63427174976 6458555.42421004, 87575.21348739293 6458555.621842689, 87575.85669985192 6458555.521161879, 87579.25071757642 6458551.364877513, 87578.34614748374 6458550.326216237, 87578.34258129529 6458550.34902205))</t>
  </si>
  <si>
    <t>['FV3908 S1D1 m2336 KD1 m50-53']</t>
  </si>
  <si>
    <t>LINESTRING (87555.65163164673 6458589.909610761, 87556.10855677025 6458587.394229117, 87556.33003104408 6458586.440128396, 87556.6740921053 6458585.978021709, 87557.41126494156 6458585.923630468, 87558.01158376288 6458586.152712168, 87558.24769843934 6458586.935736481, 87558.0674725853 6458587.829452781, 87557.63483174221 6458590.577862344)</t>
  </si>
  <si>
    <t>POLYGON ((87555.65163164673 6458589.909610761, 87556.10855677025 6458587.394229117, 87556.33003104408 6458586.440128396, 87556.6740921053 6458585.978021709, 87557.41126494156 6458585.923630468, 87558.01158376288 6458586.152712168, 87558.24769843934 6458586.935736481, 87558.0674725853 6458587.829452781, 87557.63483174221 6458590.577862344, 87555.65163164673 6458589.909610761))</t>
  </si>
  <si>
    <t>[114]</t>
  </si>
  <si>
    <t>['FV114 S1D1 m4267 KD1 m6-34']</t>
  </si>
  <si>
    <t>LINESTRING Z (276178.7758869294 6579669.0539311115 50.97, 276177.1661055528 6579669.470533481 51.050000000000004, 276175.7291788983 6579670.132699025 51.15, 276174.5194911323 6579670.975245245 51.160000000000004, 276173.5298433666 6579671.918461035 51.22, 276172.6578317344 6579673.051955984 51.25, 276171.9369473604 6579674.4128860645 51.300000000000004, 276171.43513775023 6579675.97502446 51.33, 276171.21765082073 6579677.682252674 51.36, 276171.3361711448 6579679.439496531 51.42, 276171.8034275955 6579681.16524517 51.46, 276172.5895938955 6579682.751695535 51.46, 276173.63675181975 6579684.113671938 51.46, 276174.86069093 6579685.208553835 51.43, 276176.1690366294 6579686.014548343 51.42, 276177.49474128266 6579686.567846175 51.45, 276178.8287408614 6579686.879311093 51.370000000000005, 276180.29600119917 6579686.997928068 51.31, 276181.8693956061 6579686.845785733 51.25, 276183.4764772748 6579686.399291479 51.26, 276185.0339356533 6579685.625788675 51.22, 276186.4330678521 6579684.545139724 51.120000000000005, 276187.6077261273 6579683.203499217 51.03, 276188.47453455103 6579681.678713136 51, 276189.0234638561 6579680.082183963 51.03, 276189.2617129525 6579678.493622775 50.9, 276189.2254725429 6579676.9800771875 50.86, 276188.9608972114 6579675.607694946 50.82, 276188.4906797139 6579674.294065366 50.81, 276187.76866545976 6579672.973040669 50.81, 276186.76129793166 6579671.717967515 50.86, 276185.4757760182 6579670.608556993 50.870000000000005, 276183.9600540159 6579669.730884637 50.93, 276182.2711502472 6579669.160162252 50.84, 276180.5132028891 6579668.937210656 50.99, 276178.7758869294 6579669.0539311115 50.97)</t>
  </si>
  <si>
    <t>POLYGON Z ((276178.7758869294 6579669.0539311115 50.97, 276177.1661055528 6579669.470533481 51.050000000000004, 276175.7291788983 6579670.132699025 51.15, 276174.5194911323 6579670.975245245 51.160000000000004, 276173.5298433666 6579671.918461035 51.22, 276172.6578317344 6579673.051955984 51.25, 276171.9369473604 6579674.4128860645 51.300000000000004, 276171.43513775023 6579675.97502446 51.33, 276171.21765082073 6579677.682252674 51.36, 276171.3361711448 6579679.439496531 51.42, 276171.8034275955 6579681.16524517 51.46, 276172.5895938955 6579682.751695535 51.46, 276173.63675181975 6579684.113671938 51.46, 276174.86069093 6579685.208553835 51.43, 276176.1690366294 6579686.014548343 51.42, 276177.49474128266 6579686.567846175 51.45, 276178.8287408614 6579686.879311093 51.370000000000005, 276180.29600119917 6579686.997928068 51.31, 276181.8693956061 6579686.845785733 51.25, 276183.4764772748 6579686.399291479 51.26, 276185.0339356533 6579685.625788675 51.22, 276186.4330678521 6579684.545139724 51.120000000000005, 276187.6077261273 6579683.203499217 51.03, 276188.47453455103 6579681.678713136 51, 276189.0234638561 6579680.082183963 51.03, 276189.2617129525 6579678.493622775 50.9, 276189.2254725429 6579676.9800771875 50.86, 276188.9608972114 6579675.607694946 50.82, 276188.4906797139 6579674.294065366 50.81, 276187.76866545976 6579672.973040669 50.81, 276186.76129793166 6579671.717967515 50.86, 276185.4757760182 6579670.608556993 50.870000000000005, 276183.9600540159 6579669.730884637 50.93, 276182.2711502472 6579669.160162252 50.84, 276180.5132028891 6579668.937210656 50.99, 276178.7758869294 6579669.0539311115 50.97))</t>
  </si>
  <si>
    <t>['FV114 S1D1 m4147 KD1 m7-38']</t>
  </si>
  <si>
    <t>LINESTRING Z (276043.4704061602 6579611.4698199425 49.89, 276042.5988512114 6579611.829796353 50, 276042.0507058019 6579612.1002940545 49.99, 276041.43364748865 6579612.497557419 50, 276040.7757682551 6579612.998959079 50.01, 276040.0716034931 6579613.655218397 50.04, 276039.4797412042 6579614.331470976 50.06, 276038.84236233187 6579615.393550631 50.06, 276038.39886231587 6579616.377849726 50.13, 276038.06226563157 6579617.322358688 50.18, 276037.81174462044 6579618.218913326 50.2, 276037.7308717383 6579618.658159333 50.160000000000004, 276037.670433788 6579619.768586083 50.230000000000004, 276037.69350284466 6579620.580161286 50.27, 276037.7908839544 6579621.324754217 50.28, 276038.00127104844 6579622.430812575 50.36, 276038.2127543652 6579623.215326557 50.39, 276038.5374400228 6579624.029797681 50.4, 276039.02874695783 6579624.909582258 50.480000000000004, 276039.6351214006 6579625.728749016 50.46, 276040.500491794 6579626.635022188 50.51, 276041.2265639336 6579627.222385102 50.57, 276042.05407478765 6579627.820677216 50.64, 276042.7041660573 6579628.234089079 50.620000000000005, 276043.57706255367 6579628.667559629 50.7, 276044.4763167515 6579628.947972243 50.67, 276045.4897385795 6579629.1578031415 50.71, 276045.95617668616 6579629.206084703 50.72, 276046.88551890175 6579629.1522894725 50.76, 276047.83755393233 6579629.016083472 50.78, 276048.80141801917 6579628.788402664 50.77, 276050.2074239854 6579628.339978142 50.800000000000004, 276051.28738629684 6579627.840637937 50.72, 276052.65199871187 6579626.933874095 50.79, 276053.3933193451 6579626.244123632 50.75, 276053.7576806474 6579625.829501116 50.77, 276054.2390400551 6579625.153183107 50.71, 276054.74849144224 6579624.4542377265 50.730000000000004, 276055.10122003 6579623.799581793 50.67, 276055.4250876851 6579622.93658385 50.65, 276055.58310305304 6579622.239241853 50.61, 276055.7692758553 6579621.408769738 50.620000000000005, 276055.8294519632 6579620.740354126 50.58, 276055.8434080166 6579620.116293407 50.54, 276055.8076100341 6579619.386229233 50.54, 276055.6922972329 6579618.3318556985 50.47, 276055.5161048225 6579617.6044256445 50.46, 276055.24760321004 6579616.744699873 50.42, 276054.9065892801 6579615.971884154 50.34, 276054.46773608355 6579615.227994811 50.32, 276053.80254371115 6579614.313688409 50.25, 276053.20060324797 6579613.654843933 50.2, 276052.58413413644 6579613.05758256 50.15, 276050.71170665906 6579611.900722905 50.120000000000005, 276049.2401419338 6579611.400777091 50.07, 276047.5356771521 6579611.102677899 50.06, 276046.11367003893 6579611.040243779 49.89, 276044.76854360686 6579611.1617246 49.99, 276043.4704061602 6579611.4698199425 49.89)</t>
  </si>
  <si>
    <t>POLYGON Z ((276043.4704061602 6579611.4698199425 49.89, 276042.5988512114 6579611.829796353 50, 276042.0507058019 6579612.1002940545 49.99, 276041.43364748865 6579612.497557419 50, 276040.7757682551 6579612.998959079 50.01, 276040.0716034931 6579613.655218397 50.04, 276039.4797412042 6579614.331470976 50.06, 276038.84236233187 6579615.393550631 50.06, 276038.39886231587 6579616.377849726 50.13, 276038.06226563157 6579617.322358688 50.18, 276037.81174462044 6579618.218913326 50.2, 276037.7308717383 6579618.658159333 50.160000000000004, 276037.670433788 6579619.768586083 50.230000000000004, 276037.69350284466 6579620.580161286 50.27, 276037.7908839544 6579621.324754217 50.28, 276038.00127104844 6579622.430812575 50.36, 276038.2127543652 6579623.215326557 50.39, 276038.5374400228 6579624.029797681 50.4, 276039.02874695783 6579624.909582258 50.480000000000004, 276039.6351214006 6579625.728749016 50.46, 276040.500491794 6579626.635022188 50.51, 276041.2265639336 6579627.222385102 50.57, 276042.05407478765 6579627.820677216 50.64, 276042.7041660573 6579628.234089079 50.620000000000005, 276043.57706255367 6579628.667559629 50.7, 276044.4763167515 6579628.947972243 50.67, 276045.4897385795 6579629.1578031415 50.71, 276045.95617668616 6579629.206084703 50.72, 276046.88551890175 6579629.1522894725 50.76, 276047.83755393233 6579629.016083472 50.78, 276048.80141801917 6579628.788402664 50.77, 276050.2074239854 6579628.339978142 50.800000000000004, 276051.28738629684 6579627.840637937 50.72, 276052.65199871187 6579626.933874095 50.79, 276053.3933193451 6579626.244123632 50.75, 276053.7576806474 6579625.829501116 50.77, 276054.2390400551 6579625.153183107 50.71, 276054.74849144224 6579624.4542377265 50.730000000000004, 276055.10122003 6579623.799581793 50.67, 276055.4250876851 6579622.93658385 50.65, 276055.58310305304 6579622.239241853 50.61, 276055.7692758553 6579621.408769738 50.620000000000005, 276055.8294519632 6579620.740354126 50.58, 276055.8434080166 6579620.116293407 50.54, 276055.8076100341 6579619.386229233 50.54, 276055.6922972329 6579618.3318556985 50.47, 276055.5161048225 6579617.6044256445 50.46, 276055.24760321004 6579616.744699873 50.42, 276054.9065892801 6579615.971884154 50.34, 276054.46773608355 6579615.227994811 50.32, 276053.80254371115 6579614.313688409 50.25, 276053.20060324797 6579613.654843933 50.2, 276052.58413413644 6579613.05758256 50.15, 276050.71170665906 6579611.900722905 50.120000000000005, 276049.2401419338 6579611.400777091 50.07, 276047.5356771521 6579611.102677899 50.06, 276046.11367003893 6579611.040243779 49.89, 276044.76854360686 6579611.1617246 49.99, 276043.4704061602 6579611.4698199425 49.89))</t>
  </si>
  <si>
    <t>['FV114 S1D1 m4016 KD1 m2-27']</t>
  </si>
  <si>
    <t>LINESTRING Z (275921.0693984986 6579526.040153755 46.71, 275921.83302018454 6579525.931009553 46.730000000000004, 275922.66812339483 6579525.945997075 46.72, 275923.5375520424 6579526.118607457 46.69, 275924.41231424874 6579526.4615041595 46.730000000000004, 275925.2226626454 6579526.980986135 46.7, 275925.93780565495 6579527.669789029 46.71, 275926.5025246234 6579528.472628644 46.7, 275926.88332841825 6579529.352348886 46.67, 275927.09474575275 6579530.247366607 46.660000000000004, 275927.1331772201 6579531.117826167 46.64, 275927.03487905127 6579531.920272519 46.660000000000004, 275926.8197790644 6579532.652905968 46.65, 275926.48241260793 6579533.366445917 46.63, 275926.00375171227 6579534.072655977 46.64, 275925.368433353 6579534.712652546 46.57, 275924.59368578997 6579535.254744189 46.67, 275923.69493757776 6579535.647311655 46.62, 275922.740136379 6579535.864128155 46.56, 275921.7573742174 6579535.882566304 46.61, 275920.82816207886 6579535.715355104 46.59, 275919.97602719546 6579535.400550483 46.65, 275919.2435247684 6579534.964444767 46.61, 275918.63515406166 6579534.456857504 46.59, 275918.1418510198 6579533.88865246 46.6, 275917.70749712817 6579533.194581518 46.6, 275917.3837116459 6579532.390073241 46.61, 275917.1913222498 6579531.483291837 46.660000000000004, 275917.17558369605 6579530.530421367 46.69, 275917.3391955409 6579529.561353563 46.7, 275917.69842065603 6579528.644935956 46.730000000000004, 275918.2179026543 6579527.834587507 46.71, 275918.8695495032 6579527.1529355915 46.72, 275919.58541352843 6579526.626206996 46.730000000000004, 275920.3356029952 6579526.257101269 46.730000000000004, 275921.0693984986 6579526.040153755 46.71)</t>
  </si>
  <si>
    <t>POLYGON Z ((275921.0693984986 6579526.040153755 46.71, 275921.83302018454 6579525.931009553 46.730000000000004, 275922.66812339483 6579525.945997075 46.72, 275923.5375520424 6579526.118607457 46.69, 275924.41231424874 6579526.4615041595 46.730000000000004, 275925.2226626454 6579526.980986135 46.7, 275925.93780565495 6579527.669789029 46.71, 275926.5025246234 6579528.472628644 46.7, 275926.88332841825 6579529.352348886 46.67, 275927.09474575275 6579530.247366607 46.660000000000004, 275927.1331772201 6579531.117826167 46.64, 275927.03487905127 6579531.920272519 46.660000000000004, 275926.8197790644 6579532.652905968 46.65, 275926.48241260793 6579533.366445917 46.63, 275926.00375171227 6579534.072655977 46.64, 275925.368433353 6579534.712652546 46.57, 275924.59368578997 6579535.254744189 46.67, 275923.69493757776 6579535.647311655 46.62, 275922.740136379 6579535.864128155 46.56, 275921.7573742174 6579535.882566304 46.61, 275920.82816207886 6579535.715355104 46.59, 275919.97602719546 6579535.400550483 46.65, 275919.2435247684 6579534.964444767 46.61, 275918.63515406166 6579534.456857504 46.59, 275918.1418510198 6579533.88865246 46.6, 275917.70749712817 6579533.194581518 46.6, 275917.3837116459 6579532.390073241 46.61, 275917.1913222498 6579531.483291837 46.660000000000004, 275917.17558369605 6579530.530421367 46.69, 275917.3391955409 6579529.561353563 46.7, 275917.69842065603 6579528.644935956 46.730000000000004, 275918.2179026543 6579527.834587507 46.71, 275918.8695495032 6579527.1529355915 46.72, 275919.58541352843 6579526.626206996 46.730000000000004, 275920.3356029952 6579526.257101269 46.730000000000004, 275921.0693984986 6579526.040153755 46.71))</t>
  </si>
  <si>
    <t>['FV109 S2D1 m7374 KD1 m7-102']</t>
  </si>
  <si>
    <t>LINESTRING Z (276718.0127311876 6577223.292324109 18.61, 276718.7825116918 6577223.473946357 18.6, 276719.8911309084 6577223.514478273 18.63, 276721.04237214883 6577223.470801075 18.67, 276722.11127122457 6577223.2939274935 18.7, 276723.5489005621 6577222.973264625 18.67, 276724.2138475046 6577222.772594125 18.68, 276725.22676499654 6577222.3094677385 18.71, 276726.1971280994 6577221.820048416 18.71, 276727.477473289 6577220.981197504 18.69, 276728.8957160767 6577219.778317579 18.73, 276730.34765200154 6577218.281087989 18.75, 276731.2216167399 6577216.94654044 18.72, 276731.73584777693 6577215.855420709 18.69, 276732.3138665069 6577214.135746193 18.73, 276732.68541094835 6577212.354353943 18.69, 276732.90410197456 6577210.215094958 18.67, 276732.7630593177 6577208.319263755 18.6, 276732.17011231347 6577206.313559492 18.53, 276731.1470556441 6577204.105608506 18.45, 276729.58145261544 6577201.896419482 18.41, 276727.52381911874 6577200.022964132 18.31, 276726.2698821537 6577199.1517657945 18.25, 276724.85278955207 6577198.476110579 18.18, 276723.34048898146 6577197.969773202 18.150000000000002, 276721.3770482914 6577197.584530682 18.06, 276719.5366370959 6577197.449351855 17.98, 276718.10544056783 6577197.618757289 17.97, 276716.36619648716 6577197.936517882 17.91, 276715.0987845274 6577198.362352283 17.91, 276713.5304545653 6577199.126754761 17.92, 276711.93119802396 6577200.104896496 17.900000000000002, 276710.73132768343 6577201.167518049 17.900000000000002, 276709.3354404889 6577202.840498456 17.93, 276708.49779990624 6577204.021090028 17.87, 276707.6072350888 6577205.839300738 17.91, 276707.1170915073 6577207.530950969 17.94, 276706.8560489741 6577209.312411244 18.02, 276706.7934515956 6577210.955412515 18.07, 276706.96722016274 6577212.657432597 18.13, 276707.4054469362 6577214.395844793 18.16, 276708.2257635647 6577216.360929671 18.23, 276709.2708182864 6577218.14500112 18.29, 276710.91087009886 6577220.066205816 18.37, 276712.49244435155 6577221.339759851 18.400000000000002, 276714.5541506172 6577222.47955606 18.490000000000002, 276716.4214162794 6577223.134654295 18.54, 276718.0127311876 6577223.292324109 18.61)</t>
  </si>
  <si>
    <t>POLYGON Z ((276718.0127311876 6577223.292324109 18.61, 276718.7825116918 6577223.473946357 18.6, 276719.8911309084 6577223.514478273 18.63, 276721.04237214883 6577223.470801075 18.67, 276722.11127122457 6577223.2939274935 18.7, 276723.5489005621 6577222.973264625 18.67, 276724.2138475046 6577222.772594125 18.68, 276725.22676499654 6577222.3094677385 18.71, 276726.1971280994 6577221.820048416 18.71, 276727.477473289 6577220.981197504 18.69, 276728.8957160767 6577219.778317579 18.73, 276730.34765200154 6577218.281087989 18.75, 276731.2216167399 6577216.94654044 18.72, 276731.73584777693 6577215.855420709 18.69, 276732.3138665069 6577214.135746193 18.73, 276732.68541094835 6577212.354353943 18.69, 276732.90410197456 6577210.215094958 18.67, 276732.7630593177 6577208.319263755 18.6, 276732.17011231347 6577206.313559492 18.53, 276731.1470556441 6577204.105608506 18.45, 276729.58145261544 6577201.896419482 18.41, 276727.52381911874 6577200.022964132 18.31, 276726.2698821537 6577199.1517657945 18.25, 276724.85278955207 6577198.476110579 18.18, 276723.34048898146 6577197.969773202 18.150000000000002, 276721.3770482914 6577197.584530682 18.06, 276719.5366370959 6577197.449351855 17.98, 276718.10544056783 6577197.618757289 17.97, 276716.36619648716 6577197.936517882 17.91, 276715.0987845274 6577198.362352283 17.91, 276713.5304545653 6577199.126754761 17.92, 276711.93119802396 6577200.104896496 17.900000000000002, 276710.73132768343 6577201.167518049 17.900000000000002, 276709.3354404889 6577202.840498456 17.93, 276708.49779990624 6577204.021090028 17.87, 276707.6072350888 6577205.839300738 17.91, 276707.1170915073 6577207.530950969 17.94, 276706.8560489741 6577209.312411244 18.02, 276706.7934515956 6577210.955412515 18.07, 276706.96722016274 6577212.657432597 18.13, 276707.4054469362 6577214.395844793 18.16, 276708.2257635647 6577216.360929671 18.23, 276709.2708182864 6577218.14500112 18.29, 276710.91087009886 6577220.066205816 18.37, 276712.49244435155 6577221.339759851 18.400000000000002, 276714.5541506172 6577222.47955606 18.490000000000002, 276716.4214162794 6577223.134654295 18.54, 276718.0127311876 6577223.292324109 18.61))</t>
  </si>
  <si>
    <t>['FV109 S2D1 m7551-7568']</t>
  </si>
  <si>
    <t>LINESTRING Z (276938.8711515849 6577194.78217538 26.45, 276942.8988623057 6577192.1081411075 26.61, 276946.8277665605 6577189.563569204 26.68, 276950.3587462485 6577187.5069547165 26.830000000000002, 276951.3563001829 6577186.984946086 26.86, 276951.45960482024 6577186.905303077 26.86, 276951.48229912086 6577186.82289344 26.86, 276951.5159245848 6577186.639046145 26.86, 276951.4798031987 6577186.4614964 26.86, 276951.4155896074 6577186.306573282 26.86, 276951.3295813659 6577186.244023639 26.85, 276951.22544475447 6577186.203200967 26.84, 276951.1022801222 6577186.174141434 26.830000000000002, 276950.97275025724 6577186.185836894 26.84, 276944.333324375 6577188.081135038 26.62, 276940.63370371127 6577188.937523315 26.400000000000002, 276937.7729798885 6577189.517264906 26.28, 276937.4631336196 6577189.645692112 26.29, 276937.3081428106 6577189.820407572 26.29, 276937.2165336276 6577190.029580472 26.29, 276937.1566152581 6577190.255982093 26.28, 276937.18720339885 6577190.594752549 26.310000000000002, 276937.51180235314 6577191.519725421 26.39, 276937.93113539636 6577193.048893739 26.41, 276938.2409339227 6577194.477456349 26.39, 276938.436409043 6577194.7511135405 26.43, 276938.5106541583 6577194.794635163 26.44, 276938.6320195027 6577194.803767018 26.45, 276938.8711515849 6577194.78217538 26.45)</t>
  </si>
  <si>
    <t>POLYGON Z ((276938.8711515849 6577194.78217538 26.45, 276942.8988623057 6577192.1081411075 26.61, 276946.8277665605 6577189.563569204 26.68, 276950.3587462485 6577187.5069547165 26.830000000000002, 276951.3563001829 6577186.984946086 26.86, 276951.45960482024 6577186.905303077 26.86, 276951.48229912086 6577186.82289344 26.86, 276951.5159245848 6577186.639046145 26.86, 276951.4798031987 6577186.4614964 26.86, 276951.4155896074 6577186.306573282 26.86, 276951.3295813659 6577186.244023639 26.85, 276951.22544475447 6577186.203200967 26.84, 276951.1022801222 6577186.174141434 26.830000000000002, 276950.97275025724 6577186.185836894 26.84, 276944.333324375 6577188.081135038 26.62, 276940.63370371127 6577188.937523315 26.400000000000002, 276937.7729798885 6577189.517264906 26.28, 276937.4631336196 6577189.645692112 26.29, 276937.3081428106 6577189.820407572 26.29, 276937.2165336276 6577190.029580472 26.29, 276937.1566152581 6577190.255982093 26.28, 276937.18720339885 6577190.594752549 26.310000000000002, 276937.51180235314 6577191.519725421 26.39, 276937.93113539636 6577193.048893739 26.41, 276938.2409339227 6577194.477456349 26.39, 276938.436409043 6577194.7511135405 26.43, 276938.5106541583 6577194.794635163 26.44, 276938.6320195027 6577194.803767018 26.45, 276938.8711515849 6577194.78217538 26.45))</t>
  </si>
  <si>
    <t>[130]</t>
  </si>
  <si>
    <t>['FV130 S1D1 m2410-2427']</t>
  </si>
  <si>
    <t>LINESTRING Z (272478.4796084642 6571186.831930181 21.740000000000002, 272479.0490750435 6571187.242629151 21.68, 272479.24468979787 6571187.295294581 21.69, 272479.3551956065 6571187.295367938 21.69, 272479.4720689709 6571187.2546851635 21.67, 272479.6831897069 6571187.145225244 21.7, 272479.76477532554 6571187.047454546 21.7, 272481.54466648225 6571184.285083942 21.75, 272481.6562915432 6571183.963604121 21.69, 272481.62654554704 6571183.7452900205 21.7, 272481.5514742069 6571183.581292971 21.7, 272481.2418303306 6571183.378191411 21.72, 272481.10330350755 6571183.290238231 21.7, 272478.47909293976 6571182.150829219 21.78, 272466.0917232034 6571176.457893627 21.82, 272465.8952092633 6571176.395263935 21.82, 272465.7375797478 6571176.429579138 21.82, 272465.6424331886 6571176.488392046 21.830000000000002, 272465.5599483814 6571176.576198505 21.830000000000002, 272465.49102449586 6571176.702962759 21.84, 272465.4411299223 6571176.817964432 21.84, 272465.4111638309 6571176.9311677655 21.84, 272465.4146871438 6571177.081530551 21.84, 272465.475298392 6571177.196605592 21.85, 272465.5757666045 6571177.308083952 21.84, 272465.6943649583 6571177.39783549 21.82, 272475.81163187034 6571184.762250202 21.740000000000002, 272477.7471907196 6571186.285255174 21.740000000000002, 272478.4796084642 6571186.831930181 21.740000000000002)</t>
  </si>
  <si>
    <t>POLYGON Z ((272478.4796084642 6571186.831930181 21.740000000000002, 272479.0490750435 6571187.242629151 21.68, 272479.24468979787 6571187.295294581 21.69, 272479.3551956065 6571187.295367938 21.69, 272479.4720689709 6571187.2546851635 21.67, 272479.6831897069 6571187.145225244 21.7, 272479.76477532554 6571187.047454546 21.7, 272481.54466648225 6571184.285083942 21.75, 272481.6562915432 6571183.963604121 21.69, 272481.62654554704 6571183.7452900205 21.7, 272481.5514742069 6571183.581292971 21.7, 272481.2418303306 6571183.378191411 21.72, 272481.10330350755 6571183.290238231 21.7, 272478.47909293976 6571182.150829219 21.78, 272466.0917232034 6571176.457893627 21.82, 272465.8952092633 6571176.395263935 21.82, 272465.7375797478 6571176.429579138 21.82, 272465.6424331886 6571176.488392046 21.830000000000002, 272465.5599483814 6571176.576198505 21.830000000000002, 272465.49102449586 6571176.702962759 21.84, 272465.4411299223 6571176.817964432 21.84, 272465.4111638309 6571176.9311677655 21.84, 272465.4146871438 6571177.081530551 21.84, 272465.475298392 6571177.196605592 21.85, 272465.5757666045 6571177.308083952 21.84, 272465.6943649583 6571177.39783549 21.82, 272475.81163187034 6571184.762250202 21.740000000000002, 272477.7471907196 6571186.285255174 21.740000000000002, 272478.4796084642 6571186.831930181 21.740000000000002))</t>
  </si>
  <si>
    <t>['FV130 S2D1 m8157-8162']</t>
  </si>
  <si>
    <t>LINESTRING Z (281208.0499246019 6570027.173559159 21.27, 281209.4895725283 6570031.885170937 21.3, 281209.79102670995 6570032.10908592 21.29, 281210.4720676328 6570032.198303538 21.31, 281211.92254222295 6570031.575236659 21.37, 281212.2544803063 6570030.912473054 21.35, 281212.02943480783 6570030.199521025 21.34, 281208.97046074964 6570026.688711618 21.34, 281208.6263070761 6570026.659497581 21.330000000000002, 281208.0499246019 6570027.173559159 21.27)</t>
  </si>
  <si>
    <t>POLYGON Z ((281208.0499246019 6570027.173559159 21.27, 281209.4895725283 6570031.885170937 21.3, 281209.79102670995 6570032.10908592 21.29, 281210.4720676328 6570032.198303538 21.31, 281211.92254222295 6570031.575236659 21.37, 281212.2544803063 6570030.912473054 21.35, 281212.02943480783 6570030.199521025 21.34, 281208.97046074964 6570026.688711618 21.34, 281208.6263070761 6570026.659497581 21.330000000000002, 281208.0499246019 6570027.173559159 21.27))</t>
  </si>
  <si>
    <t>['FV130 S2D1 m8171-8178']</t>
  </si>
  <si>
    <t>LINESTRING Z (281229.8254347228 6570067.345946222 21.11, 281226.8750113051 6570064.03628073 21.16, 281225.47928528325 6570062.705748678 21.18, 281225.22150369175 6570062.186598697 21.09, 281225.3577674469 6570061.581669799 21.12, 281227.37735753995 6570060.4753305325 21.13, 281227.8392752554 6570060.473829039 21.16, 281228.27108000184 6570060.806517663 21.16, 281230.72094586736 6570066.361124764 21.17, 281230.7324108975 6570066.822143435 21.17, 281230.5873051084 6570067.106441844 21.18, 281230.3398670936 6570067.369840061 21.16, 281229.98028161377 6570067.392241782 21.14, 281229.8254347228 6570067.345946222 21.11)</t>
  </si>
  <si>
    <t>POLYGON Z ((281229.8254347228 6570067.345946222 21.11, 281226.8750113051 6570064.03628073 21.16, 281225.47928528325 6570062.705748678 21.18, 281225.22150369175 6570062.186598697 21.09, 281225.3577674469 6570061.581669799 21.12, 281227.37735753995 6570060.4753305325 21.13, 281227.8392752554 6570060.473829039 21.16, 281228.27108000184 6570060.806517663 21.16, 281230.72094586736 6570066.361124764 21.17, 281230.7324108975 6570066.822143435 21.17, 281230.5873051084 6570067.106441844 21.18, 281230.3398670936 6570067.369840061 21.16, 281229.98028161377 6570067.392241782 21.14, 281229.8254347228 6570067.345946222 21.11))</t>
  </si>
  <si>
    <t>['FV130 S2D1 m8167 KD1 m0-77']</t>
  </si>
  <si>
    <t>LINESTRING Z (281212.3644479002 6570041.148078923 21.12, 281212.6780344795 6570040.838533445 21.12, 281213.01244711864 6570040.537153416 21.12, 281213.38851187687 6570040.252104288 21.13, 281213.7854026946 6570039.975220614 21.13, 281214.2049176346 6570039.726429419 21.13, 281214.65522214724 6570039.484904641 21.13, 281215.12904981384 6570039.281435861 21.13, 281215.6246025695 6570039.096096044 21.13, 281216.13281593256 6570038.939747736 21.13, 281216.6745159619 6570038.820556392 21.13, 281217.2198121161 6570038.7412191 21.13, 281217.78863142215 6570038.699937803 21.13, 281218.35018430743 6570038.689446076 21.13, 281218.9261958623 6570038.727872886 21.13, 281219.49584002845 6570038.807052778 21.14, 281220.05821777345 6570038.917022243 21.14, 281220.6151271623 6570039.077708308 21.14, 281221.1557056492 6570039.2800464835 21.14, 281221.67905420327 6570039.514073264 21.14, 281222.1851728245 6570039.779788642 21.14, 281222.66409800085 6570040.078091657 21.14, 281223.1058662192 6570040.409881336 21.14, 281223.52950547496 6570040.7633961 21.14, 281223.9150887418 6570041.140434017 21.14, 281224.2716805019 6570041.5301325405 21.14, 281224.5902162742 6570041.943354216 21.14, 281224.8788615087 6570042.359272985 21.14, 281225.12765269214 6570042.77878788 21.14, 281225.3565168506 6570043.200100838 21.14, 281225.5464259909 6570043.634973436 21.150000000000002, 281225.70464652963 6570044.052616104 21.150000000000002, 281225.8429400437 6570044.472056833 21.150000000000002, 281225.9522420531 6570044.904158172 21.150000000000002, 281226.04251607053 6570045.348021091 21.150000000000002, 281226.1037985836 6570045.804544617 21.150000000000002, 281226.1478511696 6570046.292756742 21.150000000000002, 281226.15204970643 6570046.784564999 21.150000000000002, 281226.13722025254 6570047.288134838 21.150000000000002, 281226.0834357815 6570047.8052643165 21.150000000000002, 281225.98979726154 6570048.325989924 21.150000000000002, 281225.8662682052 6570048.849412634 21.150000000000002, 281225.7019860671 6570049.366467961 21.150000000000002, 281225.4978498795 6570049.887119421 21.150000000000002, 281225.25206157664 6570050.391439986 21.150000000000002, 281224.97548370407 6570050.888494143 21.150000000000002, 281224.6572537153 6570051.369217402 21.14, 281224.3064360904 6570051.822747228 21.14, 281223.92392986105 6570052.259047127 21.14, 281223.5079369614 6570052.658190076 21.14, 281223.05935642344 6570053.030139589 21.14, 281222.5972162396 6570053.363134083 21.14, 281222.1124519298 6570053.668036109 21.14, 281221.61322894006 6570053.924019601 21.14, 281221.1013453363 6570054.151011591 21.14, 281220.5858655984 6570054.33814953 21.14, 281220.066789726 6570054.485433417 21.14, 281219.55408123235 6570054.591964219 21.14, 281219.0386756372 6570054.668604481 21.14, 281218.53960093425 6570054.7035926245 21.14, 281218.04869167623 6570054.717754708 21.13, 281217.5641497972 6570054.691163704 21.13, 281217.0986359103 6570054.65281112 21.13, 281216.6494529161 6570054.572806416 21.13, 281216.2192979143 6570054.481040131 21.13, 281215.79730835854 6570054.368447784 21.13, 281215.36175915535 6570054.216900414 21.13, 281214.9343753982 6570054.044526982 21.13, 281214.49433102703 6570053.843162045 21.13, 281214.06065403594 6570053.601044013 21.13, 281213.63424345874 6570053.328136409 21.13, 281213.22506280907 6570053.023540192 21.13, 281212.81318506 6570052.68905343 21.13, 281212.4285007535 6570052.321979028 21.13, 281212.05018382927 6570051.914151534 21.12, 281211.70992289565 6570051.4828008795 21.12, 281211.38689189195 6570051.019761614 21.12, 281211.10101784737 6570050.52323567 21.12, 281210.8441353134 6570050.014049113 21.12, 281210.6253087722 6570049.481339394 21.12, 281210.44453822426 6570048.925106516 21.12, 281210.3036217353 6570048.3652775055 21.12, 281210.2025593052 6570047.801852361 21.12, 281210.1413509344 6570047.234831085 21.12, 281210.1299601372 6570046.663314648 21.12, 281210.14935891784 6570046.099064629 21.12, 281210.2095107899 6570045.541181995 21.12, 281210.3122138184 6570045.009593773 21.12, 281210.43574290967 6570044.486170998 21.12, 281210.60092412436 6570043.979079128 21.12, 281210.79869297985 6570043.499180706 21.12, 281211.00912244746 6570043.0482737925 21.12, 281211.25124052295 6570042.614596813 21.12, 281211.5060192103 6570042.2099113455 21.12, 281211.78252299014 6570041.823354846 21.12, 281212.06262289913 6570041.476652402 21.12, 281212.3644479002 6570041.148078923 21.12)</t>
  </si>
  <si>
    <t>POLYGON Z ((281212.3644479002 6570041.148078923 21.12, 281212.6780344795 6570040.838533445 21.12, 281213.01244711864 6570040.537153416 21.12, 281213.38851187687 6570040.252104288 21.13, 281213.7854026946 6570039.975220614 21.13, 281214.2049176346 6570039.726429419 21.13, 281214.65522214724 6570039.484904641 21.13, 281215.12904981384 6570039.281435861 21.13, 281215.6246025695 6570039.096096044 21.13, 281216.13281593256 6570038.939747736 21.13, 281216.6745159619 6570038.820556392 21.13, 281217.2198121161 6570038.7412191 21.13, 281217.78863142215 6570038.699937803 21.13, 281218.35018430743 6570038.689446076 21.13, 281218.9261958623 6570038.727872886 21.13, 281219.49584002845 6570038.807052778 21.14, 281220.05821777345 6570038.917022243 21.14, 281220.6151271623 6570039.077708308 21.14, 281221.1557056492 6570039.2800464835 21.14, 281221.67905420327 6570039.514073264 21.14, 281222.1851728245 6570039.779788642 21.14, 281222.66409800085 6570040.078091657 21.14, 281223.1058662192 6570040.409881336 21.14, 281223.52950547496 6570040.7633961 21.14, 281223.9150887418 6570041.140434017 21.14, 281224.2716805019 6570041.5301325405 21.14, 281224.5902162742 6570041.943354216 21.14, 281224.8788615087 6570042.359272985 21.14, 281225.12765269214 6570042.77878788 21.14, 281225.3565168506 6570043.200100838 21.14, 281225.5464259909 6570043.634973436 21.150000000000002, 281225.70464652963 6570044.052616104 21.150000000000002, 281225.8429400437 6570044.472056833 21.150000000000002, 281225.9522420531 6570044.904158172 21.150000000000002, 281226.04251607053 6570045.348021091 21.150000000000002, 281226.1037985836 6570045.804544617 21.150000000000002, 281226.1478511696 6570046.292756742 21.150000000000002, 281226.15204970643 6570046.784564999 21.150000000000002, 281226.13722025254 6570047.288134838 21.150000000000002, 281226.0834357815 6570047.8052643165 21.150000000000002, 281225.98979726154 6570048.325989924 21.150000000000002, 281225.8662682052 6570048.849412634 21.150000000000002, 281225.7019860671 6570049.366467961 21.150000000000002, 281225.4978498795 6570049.887119421 21.150000000000002, 281225.25206157664 6570050.391439986 21.150000000000002, 281224.97548370407 6570050.888494143 21.150000000000002, 281224.6572537153 6570051.369217402 21.14, 281224.3064360904 6570051.822747228 21.14, 281223.92392986105 6570052.259047127 21.14, 281223.5079369614 6570052.658190076 21.14, 281223.05935642344 6570053.030139589 21.14, 281222.5972162396 6570053.363134083 21.14, 281222.1124519298 6570053.668036109 21.14, 281221.61322894006 6570053.924019601 21.14, 281221.1013453363 6570054.151011591 21.14, 281220.5858655984 6570054.33814953 21.14, 281220.066789726 6570054.485433417 21.14, 281219.55408123235 6570054.591964219 21.14, 281219.0386756372 6570054.668604481 21.14, 281218.53960093425 6570054.7035926245 21.14, 281218.04869167623 6570054.717754708 21.13, 281217.5641497972 6570054.691163704 21.13, 281217.0986359103 6570054.65281112 21.13, 281216.6494529161 6570054.572806416 21.13, 281216.2192979143 6570054.481040131 21.13, 281215.79730835854 6570054.368447784 21.13, 281215.36175915535 6570054.216900414 21.13, 281214.9343753982 6570054.044526982 21.13, 281214.49433102703 6570053.843162045 21.13, 281214.06065403594 6570053.601044013 21.13, 281213.63424345874 6570053.328136409 21.13, 281213.22506280907 6570053.023540192 21.13, 281212.81318506 6570052.68905343 21.13, 281212.4285007535 6570052.321979028 21.13, 281212.05018382927 6570051.914151534 21.12, 281211.70992289565 6570051.4828008795 21.12, 281211.38689189195 6570051.019761614 21.12, 281211.10101784737 6570050.52323567 21.12, 281210.8441353134 6570050.014049113 21.12, 281210.6253087722 6570049.481339394 21.12, 281210.44453822426 6570048.925106516 21.12, 281210.3036217353 6570048.3652775055 21.12, 281210.2025593052 6570047.801852361 21.12, 281210.1413509344 6570047.234831085 21.12, 281210.1299601372 6570046.663314648 21.12, 281210.14935891784 6570046.099064629 21.12, 281210.2095107899 6570045.541181995 21.12, 281210.3122138184 6570045.009593773 21.12, 281210.43574290967 6570044.486170998 21.12, 281210.60092412436 6570043.979079128 21.12, 281210.79869297985 6570043.499180706 21.12, 281211.00912244746 6570043.0482737925 21.12, 281211.25124052295 6570042.614596813 21.12, 281211.5060192103 6570042.2099113455 21.12, 281211.78252299014 6570041.823354846 21.12, 281212.06262289913 6570041.476652402 21.12, 281212.3644479002 6570041.148078923 21.12))</t>
  </si>
  <si>
    <t>['FV130 S1D1 m2433 KD1 m0-88']</t>
  </si>
  <si>
    <t>LINESTRING Z (272501.6012496965 6571187.357236568 21.98, 272502.36183503177 6571187.7707796795 21.97, 272503.12054866506 6571188.274900096 21.990000000000002, 272503.8574621219 6571188.871396158 21.97, 272504.55354610016 6571189.572030444 22.01, 272505.1979371933 6571190.367737891 22.02, 272505.77070692956 6571191.260316838 22.02, 272506.25012849376 6571192.231637149 21.97, 272506.62533848034 6571193.272633766 21.98, 272506.8746100738 6571194.365176551 22.06, 272507.00520999933 6571195.4784736335 22.04, 272506.9963106109 6571196.604359113 22.04, 272506.86514286866 6571197.711141947 22.03, 272506.59994419 6571198.779792827 22.03, 272506.23877317907 6571199.786786601 22.03, 272505.77166559605 6571200.733022436 22.01, 272505.225816634 6571201.585910106 22.03, 272504.61119052814 6571202.344550443 21.95, 272503.9585791605 6571203.016210168 22.02, 272503.2779467668 6571203.599990103 21.95, 272502.5783584105 6571204.085026839 21.93, 272501.814488763 6571204.525637428 21.92, 272500.97547441244 6571204.912756801 21.93, 272500.0586178393 6571205.216492242 21.900000000000002, 272499.08474668954 6571205.445009649 21.89, 272498.05116344406 6571205.568416299 21.85, 272496.9877608159 6571205.584014677 21.86, 272495.90270469734 6571205.4709771285 21.830000000000002, 272494.81592356553 6571205.227505307 21.8, 272493.75820930925 6571204.860865931 21.830000000000002, 272492.7395261686 6571204.370159818 21.830000000000002, 272491.7915652073 6571203.7726179315 21.830000000000002, 272490.9342549065 6571203.066441928 21.8, 272490.1702927863 6571202.281524517 21.85, 272489.52140567265 6571201.435995835 21.830000000000002, 272488.97942767356 6571200.5506835375 21.86, 272488.5461571357 6571199.645516099 21.86, 272488.22339240403 6571198.740421999 21.85, 272488.0020684129 6571197.846264655 21.84, 272487.873120095 6571196.973907481 21.84, 272487.8256840393 6571196.114285407 21.830000000000002, 272487.85616355884 6571195.227541482 21.900000000000002, 272487.97272454994 6571194.292848055 21.85, 272488.1988921778 6571193.348263744 21.88, 272488.5238030314 6571192.384723489 21.87, 272488.97098227346 6571191.440285892 21.91, 272489.5413290734 6571190.52491521 21.92, 272490.21581412235 6571189.650374015 21.900000000000002, 272490.99893327296 6571188.86648351 21.91, 272491.8798231116 6571188.164178622 21.91, 272492.83038926043 6571187.566085343 21.98, 272493.8415666488 6571187.083067084 21.96, 272494.89522513887 6571186.736850661 21.96, 272495.94970943243 6571186.511104273 21.97, 272497.0050195295 6571186.405827921 22, 272498.03036354366 6571186.413754873 21.990000000000002, 272499.0148780671 6571186.525820063 21.990000000000002, 272499.93773545383 6571186.733857587 22.02, 272500.80710160255 6571187.017039801 21.990000000000002, 272501.6012496965 6571187.357236568 21.98)</t>
  </si>
  <si>
    <t>POLYGON Z ((272501.6012496965 6571187.357236568 21.98, 272502.36183503177 6571187.7707796795 21.97, 272503.12054866506 6571188.274900096 21.990000000000002, 272503.8574621219 6571188.871396158 21.97, 272504.55354610016 6571189.572030444 22.01, 272505.1979371933 6571190.367737891 22.02, 272505.77070692956 6571191.260316838 22.02, 272506.25012849376 6571192.231637149 21.97, 272506.62533848034 6571193.272633766 21.98, 272506.8746100738 6571194.365176551 22.06, 272507.00520999933 6571195.4784736335 22.04, 272506.9963106109 6571196.604359113 22.04, 272506.86514286866 6571197.711141947 22.03, 272506.59994419 6571198.779792827 22.03, 272506.23877317907 6571199.786786601 22.03, 272505.77166559605 6571200.733022436 22.01, 272505.225816634 6571201.585910106 22.03, 272504.61119052814 6571202.344550443 21.95, 272503.9585791605 6571203.016210168 22.02, 272503.2779467668 6571203.599990103 21.95, 272502.5783584105 6571204.085026839 21.93, 272501.814488763 6571204.525637428 21.92, 272500.97547441244 6571204.912756801 21.93, 272500.0586178393 6571205.216492242 21.900000000000002, 272499.08474668954 6571205.445009649 21.89, 272498.05116344406 6571205.568416299 21.85, 272496.9877608159 6571205.584014677 21.86, 272495.90270469734 6571205.4709771285 21.830000000000002, 272494.81592356553 6571205.227505307 21.8, 272493.75820930925 6571204.860865931 21.830000000000002, 272492.7395261686 6571204.370159818 21.830000000000002, 272491.7915652073 6571203.7726179315 21.830000000000002, 272490.9342549065 6571203.066441928 21.8, 272490.1702927863 6571202.281524517 21.85, 272489.52140567265 6571201.435995835 21.830000000000002, 272488.97942767356 6571200.5506835375 21.86, 272488.5461571357 6571199.645516099 21.86, 272488.22339240403 6571198.740421999 21.85, 272488.0020684129 6571197.846264655 21.84, 272487.873120095 6571196.973907481 21.84, 272487.8256840393 6571196.114285407 21.830000000000002, 272487.85616355884 6571195.227541482 21.900000000000002, 272487.97272454994 6571194.292848055 21.85, 272488.1988921778 6571193.348263744 21.88, 272488.5238030314 6571192.384723489 21.87, 272488.97098227346 6571191.440285892 21.91, 272489.5413290734 6571190.52491521 21.92, 272490.21581412235 6571189.650374015 21.900000000000002, 272490.99893327296 6571188.86648351 21.91, 272491.8798231116 6571188.164178622 21.91, 272492.83038926043 6571187.566085343 21.98, 272493.8415666488 6571187.083067084 21.96, 272494.89522513887 6571186.736850661 21.96, 272495.94970943243 6571186.511104273 21.97, 272497.0050195295 6571186.405827921 22, 272498.03036354366 6571186.413754873 21.990000000000002, 272499.0148780671 6571186.525820063 21.990000000000002, 272499.93773545383 6571186.733857587 22.02, 272500.80710160255 6571187.017039801 21.990000000000002, 272501.6012496965 6571187.357236568 21.98))</t>
  </si>
  <si>
    <t>['FV130 S1D1 m2439-2458']</t>
  </si>
  <si>
    <t>LINESTRING Z (272516.8443942612 6571204.214058781 21.95, 272516.1174450398 6571203.616663707 21.92, 272515.8974060032 6571203.51597548 21.91, 272515.8068287008 6571203.5141037945 21.91, 272515.70898467884 6571203.543023992 21.91, 272515.5784770874 6571203.65525477 21.92, 272515.4787613787 6571203.77475227 21.91, 272513.57159359806 6571207.241739026 21.87, 272513.4899346807 6571207.450015489 21.86, 272513.46356532176 6571207.603075732 21.86, 272513.49698138435 6571207.750740941 21.87, 272513.5784202856 6571207.873981809 21.89, 272513.7522348367 6571208.019022838 21.89, 272516.903650269 6571209.1008105455 21.900000000000002, 272518.97637725994 6571210.028804593 21.98, 272524.5905563707 6571212.575975734 22.01, 272529.78181485634 6571215.000584958 22.07, 272530.50081815897 6571215.287290251 22.080000000000002, 272530.7218296835 6571215.287436913 22.09, 272530.8459697044 6571215.215962249 22.09, 272531.01363669 6571215.070242073 22.11, 272531.1487867816 6571214.786820946 22.13, 272531.093643898 6571214.621025643 22.14, 272530.9578879587 6571214.4524594825 22.14, 272529.28028053034 6571213.227630221 22.13, 272522.8513268322 6571208.664546006 21.990000000000002, 272516.8443942612 6571204.214058781 21.95)</t>
  </si>
  <si>
    <t>POLYGON Z ((272516.8443942612 6571204.214058781 21.95, 272516.1174450398 6571203.616663707 21.92, 272515.8974060032 6571203.51597548 21.91, 272515.8068287008 6571203.5141037945 21.91, 272515.70898467884 6571203.543023992 21.91, 272515.5784770874 6571203.65525477 21.92, 272515.4787613787 6571203.77475227 21.91, 272513.57159359806 6571207.241739026 21.87, 272513.4899346807 6571207.450015489 21.86, 272513.46356532176 6571207.603075732 21.86, 272513.49698138435 6571207.750740941 21.87, 272513.5784202856 6571207.873981809 21.89, 272513.7522348367 6571208.019022838 21.89, 272516.903650269 6571209.1008105455 21.900000000000002, 272518.97637725994 6571210.028804593 21.98, 272524.5905563707 6571212.575975734 22.01, 272529.78181485634 6571215.000584958 22.07, 272530.50081815897 6571215.287290251 22.080000000000002, 272530.7218296835 6571215.287436913 22.09, 272530.8459697044 6571215.215962249 22.09, 272531.01363669 6571215.070242073 22.11, 272531.1487867816 6571214.786820946 22.13, 272531.093643898 6571214.621025643 22.14, 272530.9578879587 6571214.4524594825 22.14, 272529.28028053034 6571213.227630221 22.13, 272522.8513268322 6571208.664546006 21.990000000000002, 272516.8443942612 6571204.214058781 21.95))</t>
  </si>
  <si>
    <t>['FV130 S2D1 m7969-7976']</t>
  </si>
  <si>
    <t>LINESTRING Z (281055.3778740994 6569886.091174339 23.47, 281057.8011955581 6569888.012025308 23.45, 281060.8326710531 6569890.661484255 23.36, 281061.25735803944 6569890.80396792 23.36, 281061.5988893362 6569890.692793997 23.39, 281061.8499241718 6569890.469249906 23.400000000000002, 281063.2773909651 6569887.698705889 23.37, 281063.2187317471 6569887.382570074 23.39, 281063.0830613717 6569887.103517002 23.39, 281062.4212707089 6569886.671043396 23.400000000000002, 281056.06872337754 6569885.064552124 23.56, 281055.7498904859 6569885.093320753 23.53, 281055.4200464239 6569885.334020529 23.51, 281055.34101428854 6569885.682669696 23.53, 281055.3778740994 6569886.091174339 23.47)</t>
  </si>
  <si>
    <t>POLYGON Z ((281055.3778740994 6569886.091174339 23.47, 281057.8011955581 6569888.012025308 23.45, 281060.8326710531 6569890.661484255 23.36, 281061.25735803944 6569890.80396792 23.36, 281061.5988893362 6569890.692793997 23.39, 281061.8499241718 6569890.469249906 23.400000000000002, 281063.2773909651 6569887.698705889 23.37, 281063.2187317471 6569887.382570074 23.39, 281063.0830613717 6569887.103517002 23.39, 281062.4212707089 6569886.671043396 23.400000000000002, 281056.06872337754 6569885.064552124 23.56, 281055.7498904859 6569885.093320753 23.53, 281055.4200464239 6569885.334020529 23.51, 281055.34101428854 6569885.682669696 23.53, 281055.3778740994 6569886.091174339 23.47))</t>
  </si>
  <si>
    <t>['FV130 S2D1 m7980 KD1 m0-75']</t>
  </si>
  <si>
    <t>LINESTRING Z (281084.52704369696 6569899.000079602 22.98, 281084.3420089269 6569899.398472024 22.98, 281084.1279826021 6569899.809525035 22.97, 281083.8931302066 6569900.212412563 22.97, 281083.6175246894 6569900.608932651 22.97, 281083.3111295753 6569900.998186281 22.97, 281082.9839083895 6569901.379274426 22.97, 281082.615934081 6569901.753995132 22.97, 281082.2153721329 6569902.10152233 22.96, 281081.78312156507 6569902.431819536 22.96, 281081.3282468824 6569902.734024213 22.96, 281080.8407845581 6569903.00903538 22.96, 281080.33069811773 6569903.255954011 22.96, 281079.7970885392 6569903.464816585 22.96, 281079.2508183697 6569903.644687604 22.95, 281078.69008956617 6569903.775640018 22.95, 281078.11580114934 6569903.867637348 22.95, 281077.53791664506 6569903.919780577 22.95, 281076.95643605344 6569903.932069703 22.95, 281076.38132290007 6569903.9036057005 22.95, 281075.81257718545 6569903.8343885755 22.95, 281075.26016243553 6569903.7235193 22.95, 281074.714115125 6569903.571896899 22.95, 281074.1961603485 6569903.397650382 22.95, 281073.69453653786 6569903.181751712 22.95, 281073.2210052626 6569902.943228928 22.95, 281072.7755665226 6569902.682082023 22.95, 281072.35732129787 6569902.388347474 22.95, 281071.9689666515 6569902.091915864 22.95, 281071.59874101577 6569901.773759152 22.95, 281071.2674704646 6569901.442042829 22.95, 281070.9651914724 6569901.097665917 22.95, 281070.68283953326 6569900.75149096 22.95, 281070.4294791532 6569900.392655409 22.95, 281070.1842842588 6569900.012993784 22.95, 281069.95631935576 6569899.601643536 22.95, 281069.7464834653 6569899.168568192 22.96, 281069.5538775669 6569898.703804226 22.96, 281069.39026322955 6569898.226379669 22.96, 281069.2547414324 6569897.726330994 22.96, 281069.157275703 6569897.202759184 22.96, 281069.0788380083 6569896.667425803 22.96, 281069.0493189291 6569896.117633795 22.96, 281069.04879141203 6569895.555181197 22.97, 281069.0881180044 6569894.989132515 22.97, 281069.17816125357 6569894.4285522625 22.97, 281069.2980950853 6569893.865274946 22.97, 281069.46874557296 6569893.307466055 22.97, 281069.6710846842 6569892.766887161 22.98, 281069.91507594415 6569892.24263924 22.98, 281070.2007193528 6569891.734722296 22.98, 281070.50808785623 6569891.244934364 22.98, 281070.858906548 6569890.791404462 22.990000000000002, 281071.2323493534 6569890.365967101 22.990000000000002, 281071.6284162723 6569889.968622283 22.990000000000002, 281072.0380427976 6569889.6102325525 22.990000000000002, 281072.47119245556 6569889.289898892 22.990000000000002, 281072.91700269876 6569888.998556795 22.990000000000002, 281073.3754735272 6569888.736206252 23, 281073.8284759276 6569888.524572371 23, 281074.2932398926 6569888.331966519 23, 281074.74167288304 6569888.181012816 23, 281075.20276645804 6569888.059050673 23, 281075.6457310184 6569887.958813623 23, 281076.0814291106 6569887.88936617 23, 281076.51982426073 6569887.8498092955 23, 281076.9799445011 6569887.828381433 23, 281077.4527253253 6569887.835945133 23, 281077.92820320715 6569887.873399409 23.01, 281078.4263051986 6569887.938946223 23.01, 281078.91714072134 6569888.035282633 23.01, 281079.4215358477 6569888.170574127 23.01, 281079.92862803186 6569888.335756198 23.01, 281080.43025178753 6569888.551654914 23.01, 281080.91374652984 6569888.78927872 23.01, 281081.4017363705 6569889.076720154 23.01, 281081.87249621813 6569889.395850203 23.01, 281082.3160625482 6569889.747567886 23.01, 281082.74329790624 6569890.140937705 23, 281083.1424407278 6569890.556931635 23, 281083.5044265078 6569891.00641222 23, 281083.8491822976 6569891.487581418 23, 281084.1450194812 6569891.983209238 23, 281084.40190158447 6569892.492396662 23, 281084.6306911541 6569893.024208198 23, 281084.8096630987 6569893.560514833 23, 281084.94878094405 6569894.100417548 22.990000000000002, 281085.057109195 6569894.633053796 22.990000000000002, 281085.11651884177 6569895.180148671 22.990000000000002, 281085.1542033995 6569895.709114535 22.990000000000002, 281085.14027229196 6569896.22264845 22.990000000000002, 281085.10551511514 6569896.728016884 22.990000000000002, 281085.03996834374 6569897.2261188505 22.98, 281084.94183393643 6569897.697027305 22.98, 281084.82197443914 6569898.1498067565 22.98, 281084.68038985087 6569898.5844571935 22.98, 281084.52704369696 6569899.000079602 22.98)</t>
  </si>
  <si>
    <t>POLYGON Z ((281084.52704369696 6569899.000079602 22.98, 281084.3420089269 6569899.398472024 22.98, 281084.1279826021 6569899.809525035 22.97, 281083.8931302066 6569900.212412563 22.97, 281083.6175246894 6569900.608932651 22.97, 281083.3111295753 6569900.998186281 22.97, 281082.9839083895 6569901.379274426 22.97, 281082.615934081 6569901.753995132 22.97, 281082.2153721329 6569902.10152233 22.96, 281081.78312156507 6569902.431819536 22.96, 281081.3282468824 6569902.734024213 22.96, 281080.8407845581 6569903.00903538 22.96, 281080.33069811773 6569903.255954011 22.96, 281079.7970885392 6569903.464816585 22.96, 281079.2508183697 6569903.644687604 22.95, 281078.69008956617 6569903.775640018 22.95, 281078.11580114934 6569903.867637348 22.95, 281077.53791664506 6569903.919780577 22.95, 281076.95643605344 6569903.932069703 22.95, 281076.38132290007 6569903.9036057005 22.95, 281075.81257718545 6569903.8343885755 22.95, 281075.26016243553 6569903.7235193 22.95, 281074.714115125 6569903.571896899 22.95, 281074.1961603485 6569903.397650382 22.95, 281073.69453653786 6569903.181751712 22.95, 281073.2210052626 6569902.943228928 22.95, 281072.7755665226 6569902.682082023 22.95, 281072.35732129787 6569902.388347474 22.95, 281071.9689666515 6569902.091915864 22.95, 281071.59874101577 6569901.773759152 22.95, 281071.2674704646 6569901.442042829 22.95, 281070.9651914724 6569901.097665917 22.95, 281070.68283953326 6569900.75149096 22.95, 281070.4294791532 6569900.392655409 22.95, 281070.1842842588 6569900.012993784 22.95, 281069.95631935576 6569899.601643536 22.95, 281069.7464834653 6569899.168568192 22.96, 281069.5538775669 6569898.703804226 22.96, 281069.39026322955 6569898.226379669 22.96, 281069.2547414324 6569897.726330994 22.96, 281069.157275703 6569897.202759184 22.96, 281069.0788380083 6569896.667425803 22.96, 281069.0493189291 6569896.117633795 22.96, 281069.04879141203 6569895.555181197 22.97, 281069.0881180044 6569894.989132515 22.97, 281069.17816125357 6569894.4285522625 22.97, 281069.2980950853 6569893.865274946 22.97, 281069.46874557296 6569893.307466055 22.97, 281069.6710846842 6569892.766887161 22.98, 281069.91507594415 6569892.24263924 22.98, 281070.2007193528 6569891.734722296 22.98, 281070.50808785623 6569891.244934364 22.98, 281070.858906548 6569890.791404462 22.990000000000002, 281071.2323493534 6569890.365967101 22.990000000000002, 281071.6284162723 6569889.968622283 22.990000000000002, 281072.0380427976 6569889.6102325525 22.990000000000002, 281072.47119245556 6569889.289898892 22.990000000000002, 281072.91700269876 6569888.998556795 22.990000000000002, 281073.3754735272 6569888.736206252 23, 281073.8284759276 6569888.524572371 23, 281074.2932398926 6569888.331966519 23, 281074.74167288304 6569888.181012816 23, 281075.20276645804 6569888.059050673 23, 281075.6457310184 6569887.958813623 23, 281076.0814291106 6569887.88936617 23, 281076.51982426073 6569887.8498092955 23, 281076.9799445011 6569887.828381433 23, 281077.4527253253 6569887.835945133 23, 281077.92820320715 6569887.873399409 23.01, 281078.4263051986 6569887.938946223 23.01, 281078.91714072134 6569888.035282633 23.01, 281079.4215358477 6569888.170574127 23.01, 281079.92862803186 6569888.335756198 23.01, 281080.43025178753 6569888.551654914 23.01, 281080.91374652984 6569888.78927872 23.01, 281081.4017363705 6569889.076720154 23.01, 281081.87249621813 6569889.395850203 23.01, 281082.3160625482 6569889.747567886 23.01, 281082.74329790624 6569890.140937705 23, 281083.1424407278 6569890.556931635 23, 281083.5044265078 6569891.00641222 23, 281083.8491822976 6569891.487581418 23, 281084.1450194812 6569891.983209238 23, 281084.40190158447 6569892.492396662 23, 281084.6306911541 6569893.024208198 23, 281084.8096630987 6569893.560514833 23, 281084.94878094405 6569894.100417548 22.990000000000002, 281085.057109195 6569894.633053796 22.990000000000002, 281085.11651884177 6569895.180148671 22.990000000000002, 281085.1542033995 6569895.709114535 22.990000000000002, 281085.14027229196 6569896.22264845 22.990000000000002, 281085.10551511514 6569896.728016884 22.990000000000002, 281085.03996834374 6569897.2261188505 22.98, 281084.94183393643 6569897.697027305 22.98, 281084.82197443914 6569898.1498067565 22.98, 281084.68038985087 6569898.5844571935 22.98, 281084.52704369696 6569899.000079602 22.98))</t>
  </si>
  <si>
    <t>['FV130 S2D1 m7984-7993']</t>
  </si>
  <si>
    <t>LINESTRING Z (281092.1780800546 6569902.417977104 22.830000000000002, 281090.69809927704 6569905.1631251825 22.900000000000002, 281090.64086660906 6569905.419405471 22.89, 281090.8950516938 6569905.898702267 22.88, 281091.15755084326 6569906.136177404 22.86, 281098.0777946573 6569908.0229161745 22.830000000000002, 281098.4582809083 6569907.8981826175 22.86, 281098.6423423168 6569907.600324493 22.85, 281098.52120485116 6569907.259692339 22.85, 281098.20356825565 6569906.856433397 22.86, 281093.11008197756 6569902.394149302 22.91, 281092.74787329923 6569902.276162163 22.92, 281092.32303782075 6569902.354674168 22.900000000000002, 281092.1780800546 6569902.417977104 22.830000000000002)</t>
  </si>
  <si>
    <t>POLYGON Z ((281092.1780800546 6569902.417977104 22.830000000000002, 281090.69809927704 6569905.1631251825 22.900000000000002, 281090.64086660906 6569905.419405471 22.89, 281090.8950516938 6569905.898702267 22.88, 281091.15755084326 6569906.136177404 22.86, 281098.0777946573 6569908.0229161745 22.830000000000002, 281098.4582809083 6569907.8981826175 22.86, 281098.6423423168 6569907.600324493 22.85, 281098.52120485116 6569907.259692339 22.85, 281098.20356825565 6569906.856433397 22.86, 281093.11008197756 6569902.394149302 22.91, 281092.74787329923 6569902.276162163 22.92, 281092.32303782075 6569902.354674168 22.900000000000002, 281092.1780800546 6569902.417977104 22.830000000000002))</t>
  </si>
  <si>
    <t>[1336]</t>
  </si>
  <si>
    <t>['FV1336 S1D1 m3932-3935']</t>
  </si>
  <si>
    <t>LINESTRING Z (294439.8695610075 6560471.48781061 102.69, 294442.8953056482 6560478.6471572835 102.77, 294442.74284400773 6560479.072682889 102.77, 294442.4591567929 6560479.379474678 102.77, 294442.0561679861 6560479.365589158 102.77, 294441.6723711074 6560479.1189746335 102.77, 294441.2181867156 6560478.537229507 102.77, 294438.91634550004 6560472.166310046 102.69, 294438.99188468396 6560471.667372012 102.69, 294439.1632078734 6560471.451057843 102.69, 294439.47392274765 6560471.332654435 102.69, 294439.8695610075 6560471.48781061 102.69)</t>
  </si>
  <si>
    <t>POLYGON Z ((294439.8695610075 6560471.48781061 102.69, 294442.8953056482 6560478.6471572835 102.77, 294442.74284400773 6560479.072682889 102.77, 294442.4591567929 6560479.379474678 102.77, 294442.0561679861 6560479.365589158 102.77, 294441.6723711074 6560479.1189746335 102.77, 294441.2181867156 6560478.537229507 102.77, 294438.91634550004 6560472.166310046 102.69, 294438.99188468396 6560471.667372012 102.69, 294439.1632078734 6560471.451057843 102.69, 294439.47392274765 6560471.332654435 102.69, 294439.8695610075 6560471.48781061 102.69))</t>
  </si>
  <si>
    <t>2009-04-23</t>
  </si>
  <si>
    <t>[176]</t>
  </si>
  <si>
    <t>['KV176 S2D1 m83-89']</t>
  </si>
  <si>
    <t>LINESTRING Z (-38497.5100097656 6723942.20996094 52.962, -38497.2399902344 6723941.85009766 52.922, -38497.1499938965 6723941.62011719 52.902, -38497.1700134277 6723941.4699707 52.902, -38497.2699890137 6723941.31005859 52.872, -38497.3900146484 6723941.17993164 52.892, -38499.8099975586 6723939.5 52.942, -38501.5899963379 6723938.29003906 52.972)</t>
  </si>
  <si>
    <t>POLYGON Z ((-38497.5100097656 6723942.20996094 52.962, -38497.2399902344 6723941.85009766 52.922, -38497.1499938965 6723941.62011719 52.902, -38497.1700134277 6723941.4699707 52.902, -38497.2699890137 6723941.31005859 52.872, -38497.3900146484 6723941.17993164 52.892, -38499.8099975586 6723939.5 52.942, -38501.5899963379 6723938.29003906 52.972, -38497.5100097656 6723942.20996094 52.962))</t>
  </si>
  <si>
    <t>2025-07-04</t>
  </si>
  <si>
    <t>['FV540 S1D1 m4167 KD1 m0-68']</t>
  </si>
  <si>
    <t>LINESTRING (-35023.93373338005 6729768.531108045, -35022.503642574535 6729768.8055715775, -35021.113533469266 6729769.442095759, -35020.175141500426 6729770.07087975, -35019.34621330246 6729770.847153672, -35018.74513604434 6729771.732309342, -35018.36519570439 6729772.51917886, -35017.929938075365 6729773.803865041, -35017.634900036384 6729774.903251498, -35017.7146456308 6729776.133387584, -35017.852220066125 6729777.353387502, -35018.3884022868 6729778.670197798, -35019.09135713265 6729779.749433222, -35019.863793407334 6729780.61409907, -35020.72680691641 6729781.248592698, -35021.805498302565 6729781.821473786, -35022.9611218021 6729782.25586488, -35023.960369634675 6729782.479556854, -35025.18149069685 6729782.473875681, -35026.34625684866 6729782.216154099, -35027.36954842624 6729781.899891337, -35028.45760148356 6729781.274643938, -35029.288522123825 6729780.611126243, -35030.022888788255 6729779.83952498, -35030.72125958756 6729778.931368066, -35031.064469134784 6729778.139033573, -35031.3771408461 6729777.17347046, -35031.53270012268 6729776.128295355, -35031.533875934314 6729774.985171776, -35031.369014586206 6729773.948533894, -35031.02048638323 6729772.884559655, -35030.51410810009 6729771.87206205, -35029.690774741 6729770.718677277, -35028.70811700751 6729769.878946774, -35027.881097892416 6729769.381005455, -35026.88804146147 6729768.989550705, -35025.878610385815 6729768.708114896, -35024.94463821745 6729768.550365924, -35023.93491371581 6729768.554711992)</t>
  </si>
  <si>
    <t>POLYGON ((-35023.93373338005 6729768.531108045, -35022.503642574535 6729768.8055715775, -35021.113533469266 6729769.442095759, -35020.175141500426 6729770.07087975, -35019.34621330246 6729770.847153672, -35018.74513604434 6729771.732309342, -35018.36519570439 6729772.51917886, -35017.929938075365 6729773.803865041, -35017.634900036384 6729774.903251498, -35017.7146456308 6729776.133387584, -35017.852220066125 6729777.353387502, -35018.3884022868 6729778.670197798, -35019.09135713265 6729779.749433222, -35019.863793407334 6729780.61409907, -35020.72680691641 6729781.248592698, -35021.805498302565 6729781.821473786, -35022.9611218021 6729782.25586488, -35023.960369634675 6729782.479556854, -35025.18149069685 6729782.473875681, -35026.34625684866 6729782.216154099, -35027.36954842624 6729781.899891337, -35028.45760148356 6729781.274643938, -35029.288522123825 6729780.611126243, -35030.022888788255 6729779.83952498, -35030.72125958756 6729778.931368066, -35031.064469134784 6729778.139033573, -35031.3771408461 6729777.17347046, -35031.53270012268 6729776.128295355, -35031.533875934314 6729774.985171776, -35031.369014586206 6729773.948533894, -35031.02048638323 6729772.884559655, -35030.51410810009 6729771.87206205, -35029.690774741 6729770.718677277, -35028.70811700751 6729769.878946774, -35027.881097892416 6729769.381005455, -35026.88804146147 6729768.989550705, -35025.878610385815 6729768.708114896, -35024.94463821745 6729768.550365924, -35023.93491371581 6729768.554711992, -35023.93373338005 6729768.531108045))</t>
  </si>
  <si>
    <t>2019-04-04</t>
  </si>
  <si>
    <t>[2716]</t>
  </si>
  <si>
    <t>['FV2716 S1D1 m1099-1128']</t>
  </si>
  <si>
    <t>LINESTRING Z (227923.64 6629107.57 222.803, 227923.02 6629106.87 222.823, 227922.1 6629107.12 222.753, 227921.12 6629115.58 222.613, 227920.43 6629121.59 222.463, 227919.92 6629126.28 222.343, 227919.96 6629130.57 222.243, 227920.13 6629134.28 222.283, 227920.57 6629135.18 222.293, 227921.86 6629134.71 222.343, 227922.19 6629132.82 222.373, 227922.88 6629126.81 222.493, 227923.29 6629122.13 222.553, 227923.51 6629114.85 222.673)</t>
  </si>
  <si>
    <t>POLYGON Z ((227923.64 6629107.57 222.803, 227923.02 6629106.87 222.823, 227922.1 6629107.12 222.753, 227921.12 6629115.58 222.613, 227920.43 6629121.59 222.463, 227919.92 6629126.28 222.343, 227919.96 6629130.57 222.243, 227920.13 6629134.28 222.283, 227920.57 6629135.18 222.293, 227921.86 6629134.71 222.343, 227922.19 6629132.82 222.373, 227922.88 6629126.81 222.493, 227923.29 6629122.13 222.553, 227923.51 6629114.85 222.673, 227923.64 6629107.57 222.803))</t>
  </si>
  <si>
    <t>2025-07-14</t>
  </si>
  <si>
    <t>2025-11-22T09:08:32Z</t>
  </si>
  <si>
    <t>['FV558 S1D1 m3313 KD1 m0-82']</t>
  </si>
  <si>
    <t>LINESTRING (-35111.05471764668 6733627.576371731, -35109.46134812385 6733628.095953446, -35108.00400752411 6733629.053914274, -35106.94542288524 6733630.376417658, -35106.29989584978 6733631.929994872, -35106.074202995514 6733633.33145501, -35106.136482942966 6733634.527241808, -35106.580757830874 6733635.712171406, -35107.13400917535 6733636.766445601, -35107.934689192334 6733637.6994031845, -35108.88265087083 6733638.507415639, -35110.34623973258 6733639.121091454, -35111.924401667085 6733639.378946184, -35113.06880064274 6733639.244439911, -35114.42191973701 6733638.722946581, -35115.492724902 6733638.06896887, -35116.44761996716 6733637.216912114, -35117.436188431224 6733635.838773594, -35117.66888134531 6733634.653057453, -35117.7970742957 6733633.417863365, -35117.51516463212 6733631.556533476, -35116.86024392187 6733630.283700903, -35116.069450754556 6733629.284414961, -35115.11489576509 6733628.520618167, -35114.048005269025 6733628.0225767605, -35112.813529004925 6733627.748154623, -35111.9106177201 6733627.613559005, -35111.05471764668 6733627.576371731)</t>
  </si>
  <si>
    <t>POLYGON ((-35111.05471764668 6733627.576371731, -35109.46134812385 6733628.095953446, -35108.00400752411 6733629.053914274, -35106.94542288524 6733630.376417658, -35106.29989584978 6733631.929994872, -35106.074202995514 6733633.33145501, -35106.136482942966 6733634.527241808, -35106.580757830874 6733635.712171406, -35107.13400917535 6733636.766445601, -35107.934689192334 6733637.6994031845, -35108.88265087083 6733638.507415639, -35110.34623973258 6733639.121091454, -35111.924401667085 6733639.378946184, -35113.06880064274 6733639.244439911, -35114.42191973701 6733638.722946581, -35115.492724902 6733638.06896887, -35116.44761996716 6733637.216912114, -35117.436188431224 6733635.838773594, -35117.66888134531 6733634.653057453, -35117.7970742957 6733633.417863365, -35117.51516463212 6733631.556533476, -35116.86024392187 6733630.283700903, -35116.069450754556 6733629.284414961, -35115.11489576509 6733628.520618167, -35114.048005269025 6733628.0225767605, -35112.813529004925 6733627.748154623, -35111.9106177201 6733627.613559005, -35111.05471764668 6733627.576371731))</t>
  </si>
  <si>
    <t>2023-04-17</t>
  </si>
  <si>
    <t>[3292]</t>
  </si>
  <si>
    <t>['FV3292 S1D1 m4260-4401']</t>
  </si>
  <si>
    <t>LINESTRING Z (192928.81 6569121.39 0.04, 192929.22 6569122.09 0.04, 192933.62 6569122.05 0.04, 192937.53 6569121.97 0.04, 192941 6569121.76 0.04, 192943.94 6569121.57 0.04, 192946.65 6569121.35 0.04, 192949.7 6569120.97 0.04, 192953.59 6569120.48 0.04, 192958.63 6569119.65 0.04, 192963.68 6569118.78 0.04, 192970.66 6569117 0.04, 192976.2 6569115.39 0.04, 192979.84 6569114.21 0.04, 192983.4 6569112.95 0.04, 192987.22 6569111.46 0.04, 192991.11 6569109.81 0.04, 192996.01 6569107.58 0.04, 193001.84 6569104.6 0.04, 193007.15 6569101.73 0.04, 193009.4 6569100.53 0.04, 193011.94 6569098.9 0.04, 193016.51 6569095.84 0.04, 193020.23 6569093.34 0.04, 193023.33 6569091.23 0.04, 193027.59 6569088.11 0.04, 193031.02 6569085.56 0.04, 193034.14 6569083.17 0.04, 193038.79 6569079.63 0.04, 193043.3 6569076.2 0.04, 193048.03 6569072.54 0.04, 193051.8 6569069.48 0.04, 193053.93 6569067.7 0.04, 193053.99 6569067.15 0.04, 193053.76 6569066.61 0.04, 193053.33 6569066.42 0.04, 193052.62 6569066.61 0.04, 193045.84 6569072.09 0.04, 193036.38 6569079.36 0.04, 193029.8 6569084.41 0.04, 193022.75 6569089.49 0.04, 193017.86 6569092.86 0.04, 193012.52 6569096.38 0.04, 193008.86 6569098.71 0.04, 193003.63 6569101.67 0.04, 193001.98 6569102.58 0.04, 192998.18 6569104.27 0.04, 192996.09 6569105.16 0.04, 192990.55 6569106.46 0.04, 192986.75 6569107.35 0.04, 192984.33 6569107.97 0.04, 192979.59 6569109.58 0.04, 192974.55 6569111.28 0.04, 192970.02 6569112.7 0.04, 192964.96 6569114.03 0.04, 192960.45 6569114.98 0.04, 192957.44 6569115.47 0.04, 192952.49 6569116.09 0.04, 192949.29 6569116.47 0.04, 192945.09 6569116.82 0.04, 192941.6 6569117.13 0.04, 192937.01 6569117.67 0.04, 192934.37 6569118.47 0.04, 192932.57 6569119.11 0.04, 192930.21 6569120.1 0.04, 192929.12 6569120.64 0.04, 192928.83 6569120.99 0.04, 192928.81 6569121.39 0.04)</t>
  </si>
  <si>
    <t>POLYGON Z ((192928.81 6569121.39 0.04, 192929.22 6569122.09 0.04, 192933.62 6569122.05 0.04, 192937.53 6569121.97 0.04, 192941 6569121.76 0.04, 192943.94 6569121.57 0.04, 192946.65 6569121.35 0.04, 192949.7 6569120.97 0.04, 192953.59 6569120.48 0.04, 192958.63 6569119.65 0.04, 192963.68 6569118.78 0.04, 192970.66 6569117 0.04, 192976.2 6569115.39 0.04, 192979.84 6569114.21 0.04, 192983.4 6569112.95 0.04, 192987.22 6569111.46 0.04, 192991.11 6569109.81 0.04, 192996.01 6569107.58 0.04, 193001.84 6569104.6 0.04, 193007.15 6569101.73 0.04, 193009.4 6569100.53 0.04, 193011.94 6569098.9 0.04, 193016.51 6569095.84 0.04, 193020.23 6569093.34 0.04, 193023.33 6569091.23 0.04, 193027.59 6569088.11 0.04, 193031.02 6569085.56 0.04, 193034.14 6569083.17 0.04, 193038.79 6569079.63 0.04, 193043.3 6569076.2 0.04, 193048.03 6569072.54 0.04, 193051.8 6569069.48 0.04, 193053.93 6569067.7 0.04, 193053.99 6569067.15 0.04, 193053.76 6569066.61 0.04, 193053.33 6569066.42 0.04, 193052.62 6569066.61 0.04, 193045.84 6569072.09 0.04, 193036.38 6569079.36 0.04, 193029.8 6569084.41 0.04, 193022.75 6569089.49 0.04, 193017.86 6569092.86 0.04, 193012.52 6569096.38 0.04, 193008.86 6569098.71 0.04, 193003.63 6569101.67 0.04, 193001.98 6569102.58 0.04, 192998.18 6569104.27 0.04, 192996.09 6569105.16 0.04, 192990.55 6569106.46 0.04, 192986.75 6569107.35 0.04, 192984.33 6569107.97 0.04, 192979.59 6569109.58 0.04, 192974.55 6569111.28 0.04, 192970.02 6569112.7 0.04, 192964.96 6569114.03 0.04, 192960.45 6569114.98 0.04, 192957.44 6569115.47 0.04, 192952.49 6569116.09 0.04, 192949.29 6569116.47 0.04, 192945.09 6569116.82 0.04, 192941.6 6569117.13 0.04, 192937.01 6569117.67 0.04, 192934.37 6569118.47 0.04, 192932.57 6569119.11 0.04, 192930.21 6569120.1 0.04, 192929.12 6569120.64 0.04, 192928.83 6569120.99 0.04, 192928.81 6569121.39 0.04))</t>
  </si>
  <si>
    <t>['FV59 S1D10 m555 KD1 m0-1', 'FV59 S1D10 m555 KD1 m70-71']</t>
  </si>
  <si>
    <t>LINESTRING Z (191815.4 6574307.73 0.04, 191817.45 6574307.52 0.04, 191819.46 6574306.69 0.04, 191820.03 6574306.4 0.04, 191821.21 6574305.23 0.04, 191822.21 6574303.82 0.04, 191822.8 6574302.31 0.04, 191823.09 6574300.59 0.04, 191822.87 6574298.71 0.04, 191822.31 6574296.87 0.04, 191821.79 6574295.96 0.04, 191821.03 6574294.91 0.04, 191819.87 6574293.94 0.04, 191818.09 6574293.13 0.04, 191816.69 6574292.66 0.04, 191815.01 6574292.64 0.04, 191813.75 6574292.8 0.04, 191812.47 6574293.28 0.04, 191811.17 6574294.02 0.04, 191810.03 6574295.01 0.04, 191808.87 6574296.61 0.04, 191808.17 6574298.47 0.04, 191808.02 6574299.91 0.04, 191808.11 6574301.5 0.04, 191808.34 6574302.99 0.04, 191809.14 6574304.23 0.04, 191810.11 6574305.43 0.04, 191811.44 6574306.51 0.04, 191812.53 6574307.15 0.04, 191814 6574307.62 0.04, 191815.4 6574307.73 0.04)</t>
  </si>
  <si>
    <t>POLYGON Z ((191815.4 6574307.73 0.04, 191817.45 6574307.52 0.04, 191819.46 6574306.69 0.04, 191820.03 6574306.4 0.04, 191821.21 6574305.23 0.04, 191822.21 6574303.82 0.04, 191822.8 6574302.31 0.04, 191823.09 6574300.59 0.04, 191822.87 6574298.71 0.04, 191822.31 6574296.87 0.04, 191821.79 6574295.96 0.04, 191821.03 6574294.91 0.04, 191819.87 6574293.94 0.04, 191818.09 6574293.13 0.04, 191816.69 6574292.66 0.04, 191815.01 6574292.64 0.04, 191813.75 6574292.8 0.04, 191812.47 6574293.28 0.04, 191811.17 6574294.02 0.04, 191810.03 6574295.01 0.04, 191808.87 6574296.61 0.04, 191808.17 6574298.47 0.04, 191808.02 6574299.91 0.04, 191808.11 6574301.5 0.04, 191808.34 6574302.99 0.04, 191809.14 6574304.23 0.04, 191810.11 6574305.43 0.04, 191811.44 6574306.51 0.04, 191812.53 6574307.15 0.04, 191814 6574307.62 0.04, 191815.4 6574307.73 0.04))</t>
  </si>
  <si>
    <t>2025-11-22T09:08:33Z</t>
  </si>
  <si>
    <t>[104]</t>
  </si>
  <si>
    <t>['FV104 S1D1 m6469-6477']</t>
  </si>
  <si>
    <t>LINESTRING Z (287028.925252037 6560794.984761315 10.950000000000001, 287036.26812697004 6560792.986899677 11.120000000000001, 287036.9366334145 6560792.826189433 11.17, 287037.1459404294 6560792.696834641 11.18, 287037.392405036 6560792.533997722 11.19, 287037.44508017926 6560792.338411802 11.19, 287037.3383462101 6560792.157197535 11.19, 287037.10119410924 6560791.977697174 11.19, 287036.59063054237 6560791.662141642 11.19, 287033.7717422651 6560791.032404352 11.17, 287030.1497683897 6560790.073307818 11.1, 287029.53859331144 6560789.867263474 11.09, 287029.4434537516 6560789.926061109 11.09, 287029.2847777426 6560790.171379834 11.09, 287028.3968064044 6560794.359452367 11, 287028.4301234239 6560794.617593962 10.98, 287028.565848386 6560794.786150482 10.98, 287028.925252037 6560794.984761315 10.950000000000001)</t>
  </si>
  <si>
    <t>POLYGON Z ((287028.925252037 6560794.984761315 10.950000000000001, 287036.26812697004 6560792.986899677 11.120000000000001, 287036.9366334145 6560792.826189433 11.17, 287037.1459404294 6560792.696834641 11.18, 287037.392405036 6560792.533997722 11.19, 287037.44508017926 6560792.338411802 11.19, 287037.3383462101 6560792.157197535 11.19, 287037.10119410924 6560791.977697174 11.19, 287036.59063054237 6560791.662141642 11.19, 287033.7717422651 6560791.032404352 11.17, 287030.1497683897 6560790.073307818 11.1, 287029.53859331144 6560789.867263474 11.09, 287029.4434537516 6560789.926061109 11.09, 287029.2847777426 6560790.171379834 11.09, 287028.3968064044 6560794.359452367 11, 287028.4301234239 6560794.617593962 10.98, 287028.565848386 6560794.786150482 10.98, 287028.925252037 6560794.984761315 10.950000000000001))</t>
  </si>
  <si>
    <t>['FV118 S2D1 m659 KD1 m5-37']</t>
  </si>
  <si>
    <t>LINESTRING Z (287019.14044352155 6560797.303218248 11.09, 287018.3337551421 6560798.159381955 11.05, 287017.3930556915 6560798.977407296 11.01, 287016.2939278768 6560799.709275377 10.97, 287015.07352928974 6560800.321504072 10.93, 287013.73096169485 6560800.8041303 10.89, 287012.29252138326 6560801.114607085 10.86, 287010.78630110703 6560801.230313587 10.83, 287009.27118106454 6560801.135897361 10.8, 287007.7670874001 6560800.8295619255 10.790000000000001, 287006.3355950074 6560800.3258440485 10.78, 287005.008389567 6560799.641975184 10.78, 287003.80899014766 6560798.8160111485 10.78, 287002.7690824316 6560797.865183406 10.790000000000001, 287001.88319449977 6560796.840205546 10.81, 287001.16308588715 6560795.760105484 10.83, 287000.6123495146 6560794.664735515 10.86, 287000.192929552 6560793.577614709 10.89, 286999.8876770976 6560792.419936715 10.92, 286999.7038605403 6560791.160914087 10.96, 286999.66410071513 6560789.828639591 11, 286999.80008329987 6560788.440344693 11.040000000000001, 287000.1154012084 6560787.035881688 11.09, 287000.63267526974 6560785.6433433425 11.15, 287001.3464335484 6560784.313443258 11.200000000000001, 287002.2494076503 6560783.076968886 11.26, 287003.3062364177 6560781.9873285 11.31, 287004.4978919254 6560781.056281627 11.36, 287005.7863183325 6560780.307347325 11.41, 287007.1117371999 6560779.745914953 11.450000000000001, 287008.4551206074 6560779.383744033 11.48, 287009.77392158273 6560779.194538256 11.51, 287011.0464175268 6560779.160167923 11.53, 287012.2508858426 6560779.262503341 11.55, 287013.3963913775 6560779.490683214 11.56, 287014.5644351599 6560779.8574478505 11.57, 287015.74595234776 6560780.373658551 11.58, 287016.9137484121 6560781.071899208 11.57, 287018.0261746162 6560781.935836586 11.57, 287019.04427690856 6560782.97902666 11.55, 287019.945434471 6560784.173376678 11.53, 287020.6871003423 6560785.4925903315 11.5, 287021.2375888603 6560786.919436175 11.46, 287021.59240889 6560788.404098855 11.42, 287021.7371062214 6560789.897661254 11.38, 287021.6789492406 6560791.3693359345 11.33, 287021.4342711733 6560792.777474174 11.28, 287021.03026654175 6560794.089492067 11.23, 287020.49502809596 6560795.282768795 11.18, 287019.8584450437 6560796.354609677 11.14, 287019.14044352155 6560797.303218248 11.09)</t>
  </si>
  <si>
    <t>POLYGON Z ((287019.14044352155 6560797.303218248 11.09, 287018.3337551421 6560798.159381955 11.05, 287017.3930556915 6560798.977407296 11.01, 287016.2939278768 6560799.709275377 10.97, 287015.07352928974 6560800.321504072 10.93, 287013.73096169485 6560800.8041303 10.89, 287012.29252138326 6560801.114607085 10.86, 287010.78630110703 6560801.230313587 10.83, 287009.27118106454 6560801.135897361 10.8, 287007.7670874001 6560800.8295619255 10.790000000000001, 287006.3355950074 6560800.3258440485 10.78, 287005.008389567 6560799.641975184 10.78, 287003.80899014766 6560798.8160111485 10.78, 287002.7690824316 6560797.865183406 10.790000000000001, 287001.88319449977 6560796.840205546 10.81, 287001.16308588715 6560795.760105484 10.83, 287000.6123495146 6560794.664735515 10.86, 287000.192929552 6560793.577614709 10.89, 286999.8876770976 6560792.419936715 10.92, 286999.7038605403 6560791.160914087 10.96, 286999.66410071513 6560789.828639591 11, 286999.80008329987 6560788.440344693 11.040000000000001, 287000.1154012084 6560787.035881688 11.09, 287000.63267526974 6560785.6433433425 11.15, 287001.3464335484 6560784.313443258 11.200000000000001, 287002.2494076503 6560783.076968886 11.26, 287003.3062364177 6560781.9873285 11.31, 287004.4978919254 6560781.056281627 11.36, 287005.7863183325 6560780.307347325 11.41, 287007.1117371999 6560779.745914953 11.450000000000001, 287008.4551206074 6560779.383744033 11.48, 287009.77392158273 6560779.194538256 11.51, 287011.0464175268 6560779.160167923 11.53, 287012.2508858426 6560779.262503341 11.55, 287013.3963913775 6560779.490683214 11.56, 287014.5644351599 6560779.8574478505 11.57, 287015.74595234776 6560780.373658551 11.58, 287016.9137484121 6560781.071899208 11.57, 287018.0261746162 6560781.935836586 11.57, 287019.04427690856 6560782.97902666 11.55, 287019.945434471 6560784.173376678 11.53, 287020.6871003423 6560785.4925903315 11.5, 287021.2375888603 6560786.919436175 11.46, 287021.59240889 6560788.404098855 11.42, 287021.7371062214 6560789.897661254 11.38, 287021.6789492406 6560791.3693359345 11.33, 287021.4342711733 6560792.777474174 11.28, 287021.03026654175 6560794.089492067 11.23, 287020.49502809596 6560795.282768795 11.18, 287019.8584450437 6560796.354609677 11.14, 287019.14044352155 6560797.303218248 11.09))</t>
  </si>
  <si>
    <t>['FV540 S1D1 m2416 KD1 m0-97']</t>
  </si>
  <si>
    <t>LINESTRING (-33979.572072663694 6731114.516635248, -33980.31681341934 6731113.836380636, -33981.83366858738 6731112.931903397, -33982.90696541825 6731112.413469333, -33984.944579066825 6731111.959257204, -33986.53042079159 6731111.8333723, -33988.05054752913 6731111.923703333, -33989.96220004605 6731112.354700842, -33992.13176293287 6731113.196900294, -33994.07406786084 6731114.287803206, -33995.14405300212 6731115.260360769, -33996.11655785132 6731116.625198498, -33996.795006111846 6731117.822043221, -33997.40992569481 6731119.371017483, -33997.83427592984 6731121.185445569, -33998.02535240783 6731122.874811217, -33998.027516854694 6731124.140631849, -33997.63595390343 6731125.720805806, -33997.12118146883 6731127.339163502, -33996.535233813105 6731128.381988081, -33995.8244338847 6731129.4740514085, -33994.98385739245 6731130.4225370325, -33993.8798854904 6731131.523960999, -33992.55414273159 6731132.422938744, -33991.033459624625 6731133.20255176, -33989.70608389715 6731133.660622927, -33988.313548758975 6731133.916925883, -33986.821355529595 6731133.977632628, -33985.43156398891 6731133.951867076, -33983.48980665614 6731133.459900114, -33982.19092356542 6731132.973084823, -33980.28312642232 6731131.8760161055, -33978.9891786956 6731130.904074876, -33977.69414326106 6731129.412214625, -33976.912746256334 6731128.154877748, -33976.30001164507 6731126.62883105, -33975.90905241133 6731125.079248693, -33975.68565819925 6731123.418980411, -33975.750291612814 6731122.230883081, -33975.87899649679 6731120.837625244, -33976.19935921021 6731119.472850937, -33976.652784313774 6731118.342534517, -33977.04651806282 6731117.46322592, -33977.72391012125 6731116.33229753, -33978.37336908921 6731115.61528401, -33979.47350393096 6731114.614977088)</t>
  </si>
  <si>
    <t>POLYGON ((-33979.572072663694 6731114.516635248, -33980.31681341934 6731113.836380636, -33981.83366858738 6731112.931903397, -33982.90696541825 6731112.413469333, -33984.944579066825 6731111.959257204, -33986.53042079159 6731111.8333723, -33988.05054752913 6731111.923703333, -33989.96220004605 6731112.354700842, -33992.13176293287 6731113.196900294, -33994.07406786084 6731114.287803206, -33995.14405300212 6731115.260360769, -33996.11655785132 6731116.625198498, -33996.795006111846 6731117.822043221, -33997.40992569481 6731119.371017483, -33997.83427592984 6731121.185445569, -33998.02535240783 6731122.874811217, -33998.027516854694 6731124.140631849, -33997.63595390343 6731125.720805806, -33997.12118146883 6731127.339163502, -33996.535233813105 6731128.381988081, -33995.8244338847 6731129.4740514085, -33994.98385739245 6731130.4225370325, -33993.8798854904 6731131.523960999, -33992.55414273159 6731132.422938744, -33991.033459624625 6731133.20255176, -33989.70608389715 6731133.660622927, -33988.313548758975 6731133.916925883, -33986.821355529595 6731133.977632628, -33985.43156398891 6731133.951867076, -33983.48980665614 6731133.459900114, -33982.19092356542 6731132.973084823, -33980.28312642232 6731131.8760161055, -33978.9891786956 6731130.904074876, -33977.69414326106 6731129.412214625, -33976.912746256334 6731128.154877748, -33976.30001164507 6731126.62883105, -33975.90905241133 6731125.079248693, -33975.68565819925 6731123.418980411, -33975.750291612814 6731122.230883081, -33975.87899649679 6731120.837625244, -33976.19935921021 6731119.472850937, -33976.652784313774 6731118.342534517, -33977.04651806282 6731117.46322592, -33977.72391012125 6731116.33229753, -33978.37336908921 6731115.61528401, -33979.47350393096 6731114.614977088, -33979.572072663694 6731114.516635248))</t>
  </si>
  <si>
    <t>['FV108 S4D1 m8294-8304']</t>
  </si>
  <si>
    <t>LINESTRING Z (272552.7961166107 6549634.478327275 1.87, 272552.31891231623 6549634.3103546845 1.86, 272551.8971940208 6549633.866165973 1.84, 272553.7041539594 6549625.376002419 1.6500000000000001, 272557.31980920717 6549626.707837558 1.68, 272553.36526157893 6549634.105626705 1.85, 272553.1938862965 6549634.321963391 1.86, 272553.0823904402 6549634.422410792 1.87, 272552.7961166107 6549634.478327275 1.87)</t>
  </si>
  <si>
    <t>POLYGON Z ((272552.7961166107 6549634.478327275 1.87, 272552.31891231623 6549634.3103546845 1.86, 272551.8971940208 6549633.866165973 1.84, 272553.7041539594 6549625.376002419 1.6500000000000001, 272557.31980920717 6549626.707837558 1.68, 272553.36526157893 6549634.105626705 1.85, 272553.1938862965 6549634.321963391 1.86, 272553.0823904402 6549634.422410792 1.87, 272552.7961166107 6549634.478327275 1.87))</t>
  </si>
  <si>
    <t>[1170]</t>
  </si>
  <si>
    <t>['FV1170 S1D1 m5-15']</t>
  </si>
  <si>
    <t>LINESTRING Z (275799.41294507845 6579371.884219279 57.870000000000005, 275800.364982318 6579371.748015118 57.9, 275801.9901983675 6579371.279796347 57.95, 275807.1751877788 6579369.073724346 58.21, 275807.40628901595 6579368.851949959 58.26, 275807.58037193964 6579368.554963408 58.28, 275807.6393870112 6579368.318594526 58.33, 275807.62318991247 6579368.139243955 58.36, 275807.5590385826 6579367.873817453 58.370000000000005, 275807.3943482088 6579367.6074254215 58.300000000000004, 275807.17797286034 6579367.436107704 58.28, 275806.9063131816 6579367.320008625 58.21, 275806.54947741015 6579367.261827692 58.2, 275803.9593636836 6579368.168767501 58.17, 275799.5100359953 6579370.0673176395 57.95, 275799.19652385736 6579370.26639899 57.99, 275798.91740267805 6579370.512600432 57.93, 275798.7678124754 6579370.747103965 57.89, 275798.6843046744 6579371.04595591 57.870000000000005, 275798.7077004911 6579371.305017863 57.89, 275798.78188144485 6579371.45904157 57.9, 275798.9267096868 6579371.616730322 57.88, 275799.41294507845 6579371.884219279 57.870000000000005)</t>
  </si>
  <si>
    <t>POLYGON Z ((275799.41294507845 6579371.884219279 57.870000000000005, 275800.364982318 6579371.748015118 57.9, 275801.9901983675 6579371.279796347 57.95, 275807.1751877788 6579369.073724346 58.21, 275807.40628901595 6579368.851949959 58.26, 275807.58037193964 6579368.554963408 58.28, 275807.6393870112 6579368.318594526 58.33, 275807.62318991247 6579368.139243955 58.36, 275807.5590385826 6579367.873817453 58.370000000000005, 275807.3943482088 6579367.6074254215 58.300000000000004, 275807.17797286034 6579367.436107704 58.28, 275806.9063131816 6579367.320008625 58.21, 275806.54947741015 6579367.261827692 58.2, 275803.9593636836 6579368.168767501 58.17, 275799.5100359953 6579370.0673176395 57.95, 275799.19652385736 6579370.26639899 57.99, 275798.91740267805 6579370.512600432 57.93, 275798.7678124754 6579370.747103965 57.89, 275798.6843046744 6579371.04595591 57.870000000000005, 275798.7077004911 6579371.305017863 57.89, 275798.78188144485 6579371.45904157 57.9, 275798.9267096868 6579371.616730322 57.88, 275799.41294507845 6579371.884219279 57.870000000000005))</t>
  </si>
  <si>
    <t>['FV118 S7D1 m3858 KD1 m8-33']</t>
  </si>
  <si>
    <t>LINESTRING Z (268054.13755212066 6585696.738770196 57.81, 268053.5016826916 6585696.705814967 57.81, 268052.8785390813 6585696.591342637 57.81, 268052.2789862323 6585696.404417332 57.81, 268051.7021237395 6585696.135074515 57.81, 268051.1597169525 6585695.802342856 57.81, 268050.66173040844 6585695.405321945 57.81, 268050.2289935876 6585694.9521755045 57.81, 268049.85154195456 6585694.443803943 57.81, 268049.5302759174 6585693.890171794 57.81, 268049.29598949174 6585693.298542379 57.81, 268049.13055441814 6585692.690645587 57.81, 268049.0430348276 6585692.055616468 57.81, 268049.0361319381 6585691.42334864 57.81, 268049.1098457498 6585690.7938421 57.81, 268049.2551121316 6585690.177961794 57.81, 268049.48279602535 6585689.584771855 57.81, 268049.7838332994 6585689.025137224 57.81, 268050.149159822 6585688.509922845 57.81, 268050.5787755915 6585688.039128717 57.81, 268051.064516882 6585687.633584318 57.81, 268051.5955187499 6585687.284225516 57.81, 268052.16361746937 6585687.011881793 57.81, 268052.76791263337 6585686.806588609 57.81, 268053.38937557454 6585686.680111313 57.81, 268054.01804175624 6585686.633350305 57.81, 268054.65391117806 6585686.666305587 57.81, 268055.27615436283 6585686.770813431 57.81, 268055.88657212164 6585686.966802905 57.81, 268056.4625341674 6585687.22618122 57.81, 268057.00494090584 6585687.558912902 57.81, 268057.4929628614 6585687.956834229 57.81, 268057.93656457105 6585688.4190447945 57.81, 268058.31401615334 6585688.927416341 57.81, 268058.6253176093 6585689.4819488665 57.81, 268058.86866812885 6585690.062713301 57.81, 268059.0350035826 6585690.680574586 57.81, 268059.1216227544 6585691.305639114 57.81, 268059.1285256443 6585691.937906888 57.81, 268059.05481184623 6585692.567413375 57.81, 268058.8995809541 6585693.18419404 57.81, 268058.67189709726 6585693.77738394 57.81, 268058.3808244042 6585694.336118137 57.81, 268058.00553339696 6585694.852232907 57.81, 268057.58588221646 6585695.322126628 57.81, 268057.10104138457 6585695.737635573 57.81, 268056.5691391586 6585696.077029859 57.81, 268055.9919763503 6585696.360238559 57.81, 268055.3976457534 6585696.56463138 57.81, 268054.7761828317 6585696.691108726 57.81, 268054.13755212066 6585696.738770196 57.81)</t>
  </si>
  <si>
    <t>POLYGON Z ((268054.13755212066 6585696.738770196 57.81, 268053.5016826916 6585696.705814967 57.81, 268052.8785390813 6585696.591342637 57.81, 268052.2789862323 6585696.404417332 57.81, 268051.7021237395 6585696.135074515 57.81, 268051.1597169525 6585695.802342856 57.81, 268050.66173040844 6585695.405321945 57.81, 268050.2289935876 6585694.9521755045 57.81, 268049.85154195456 6585694.443803943 57.81, 268049.5302759174 6585693.890171794 57.81, 268049.29598949174 6585693.298542379 57.81, 268049.13055441814 6585692.690645587 57.81, 268049.0430348276 6585692.055616468 57.81, 268049.0361319381 6585691.42334864 57.81, 268049.1098457498 6585690.7938421 57.81, 268049.2551121316 6585690.177961794 57.81, 268049.48279602535 6585689.584771855 57.81, 268049.7838332994 6585689.025137224 57.81, 268050.149159822 6585688.509922845 57.81, 268050.5787755915 6585688.039128717 57.81, 268051.064516882 6585687.633584318 57.81, 268051.5955187499 6585687.284225516 57.81, 268052.16361746937 6585687.011881793 57.81, 268052.76791263337 6585686.806588609 57.81, 268053.38937557454 6585686.680111313 57.81, 268054.01804175624 6585686.633350305 57.81, 268054.65391117806 6585686.666305587 57.81, 268055.27615436283 6585686.770813431 57.81, 268055.88657212164 6585686.966802905 57.81, 268056.4625341674 6585687.22618122 57.81, 268057.00494090584 6585687.558912902 57.81, 268057.4929628614 6585687.956834229 57.81, 268057.93656457105 6585688.4190447945 57.81, 268058.31401615334 6585688.927416341 57.81, 268058.6253176093 6585689.4819488665 57.81, 268058.86866812885 6585690.062713301 57.81, 268059.0350035826 6585690.680574586 57.81, 268059.1216227544 6585691.305639114 57.81, 268059.1285256443 6585691.937906888 57.81, 268059.05481184623 6585692.567413375 57.81, 268058.8995809541 6585693.18419404 57.81, 268058.67189709726 6585693.77738394 57.81, 268058.3808244042 6585694.336118137 57.81, 268058.00553339696 6585694.852232907 57.81, 268057.58588221646 6585695.322126628 57.81, 268057.10104138457 6585695.737635573 57.81, 268056.5691391586 6585696.077029859 57.81, 268055.9919763503 6585696.360238559 57.81, 268055.3976457534 6585696.56463138 57.81, 268054.7761828317 6585696.691108726 57.81, 268054.13755212066 6585696.738770196 57.81))</t>
  </si>
  <si>
    <t>['EV18 S42D1 m7935 KD6 m0-95']</t>
  </si>
  <si>
    <t>LINESTRING (228934.7190244964 6606539.798276085, 228935.94443767617 6606538.8352632215, 228936.80306750804 6606537.803690926, 228937.75760815747 6606536.518050366, 228938.39145171334 6606535.274585597, 228938.7668970144 6606534.144839589, 228939.16930377367 6606532.861059355, 228939.22833004128 6606532.096363355, 228939.2571222522 6606530.649461739, 228938.64498276392 6606527.975130663, 228937.4377122082 6606525.762024645, 228936.18762714777 6606524.274422575, 228934.1566979637 6606522.786191296, 228932.0341357073 6606521.874905418, 228929.70353894908 6606521.510952237, 228928.01743370073 6606521.632749311, 228926.46275842842 6606521.992194456, 228924.85006342852 6606522.602972726, 228923.27270786132 6606523.43932926, 228921.82559836848 6606524.760560149, 228920.24505345785 6606526.870875463, 228919.37521904864 6606529.329077543, 228919.1512437965 6606532.291936431, 228919.97197291348 6606535.217346725, 228921.3175124784 6606537.762649012, 228923.5421689513 6606539.560056072, 228925.83814191987 6606540.762977441, 228927.69920341595 6606541.217874382, 228929.37728404586 6606541.248742166, 228930.77920690412 6606541.147472961, 228932.07274404517 6606540.863925844, 228933.69499462558 6606540.385537606)</t>
  </si>
  <si>
    <t>POLYGON ((228934.7190244964 6606539.798276085, 228935.94443767617 6606538.8352632215, 228936.80306750804 6606537.803690926, 228937.75760815747 6606536.518050366, 228938.39145171334 6606535.274585597, 228938.7668970144 6606534.144839589, 228939.16930377367 6606532.861059355, 228939.22833004128 6606532.096363355, 228939.2571222522 6606530.649461739, 228938.64498276392 6606527.975130663, 228937.4377122082 6606525.762024645, 228936.18762714777 6606524.274422575, 228934.1566979637 6606522.786191296, 228932.0341357073 6606521.874905418, 228929.70353894908 6606521.510952237, 228928.01743370073 6606521.632749311, 228926.46275842842 6606521.992194456, 228924.85006342852 6606522.602972726, 228923.27270786132 6606523.43932926, 228921.82559836848 6606524.760560149, 228920.24505345785 6606526.870875463, 228919.37521904864 6606529.329077543, 228919.1512437965 6606532.291936431, 228919.97197291348 6606535.217346725, 228921.3175124784 6606537.762649012, 228923.5421689513 6606539.560056072, 228925.83814191987 6606540.762977441, 228927.69920341595 6606541.217874382, 228929.37728404586 6606541.248742166, 228930.77920690412 6606541.147472961, 228932.07274404517 6606540.863925844, 228933.69499462558 6606540.385537606, 228934.7190244964 6606539.798276085))</t>
  </si>
  <si>
    <t>['EV18 S43D1 m7826 KD7 m0-72']</t>
  </si>
  <si>
    <t>LINESTRING (227957.0064115951 6613803.598016745, 227958.58162013436 6613801.995585108, 227959.08255845436 6613801.087481929, 227959.433634547 6613800.145569113, 227959.76047064597 6613798.870151585, 227959.7972123007 6613797.347605809, 227959.64471237973 6613796.263485748, 227959.0998123503 6613795.0067266505, 227958.36962823663 6613793.852839116, 227957.413066366 6613792.782458977, 227956.21647262614 6613791.997738796, 227955.16499205405 6613791.6494936915, 227953.16362652136 6613791.336764269, 227951.65220117493 6613791.446622226, 227949.63004190795 6613791.86181719, 227948.5803926427 6613792.552767502, 227947.18765007373 6613793.8274342045, 227946.15682038275 6613795.869259797, 227945.87614720582 6613798.247703668, 227946.25849381392 6613800.387970231, 227947.263556924 6613802.203584632, 227948.1049199514 6613803.327037907, 227948.71250040305 6613803.808126257, 227950.81141632632 6613804.449028881, 227951.97003037698 6613804.711256542, 227952.8860905773 6613804.756427945, 227954.13244807604 6613804.665836376, 227957.00778355834 6613803.616892446)</t>
  </si>
  <si>
    <t>POLYGON ((227957.0064115951 6613803.598016745, 227958.58162013436 6613801.995585108, 227959.08255845436 6613801.087481929, 227959.433634547 6613800.145569113, 227959.76047064597 6613798.870151585, 227959.7972123007 6613797.347605809, 227959.64471237973 6613796.263485748, 227959.0998123503 6613795.0067266505, 227958.36962823663 6613793.852839116, 227957.413066366 6613792.782458977, 227956.21647262614 6613791.997738796, 227955.16499205405 6613791.6494936915, 227953.16362652136 6613791.336764269, 227951.65220117493 6613791.446622226, 227949.63004190795 6613791.86181719, 227948.5803926427 6613792.552767502, 227947.18765007373 6613793.8274342045, 227946.15682038275 6613795.869259797, 227945.87614720582 6613798.247703668, 227946.25849381392 6613800.387970231, 227947.263556924 6613802.203584632, 227948.1049199514 6613803.327037907, 227948.71250040305 6613803.808126257, 227950.81141632632 6613804.449028881, 227951.97003037698 6613804.711256542, 227952.8860905773 6613804.756427945, 227954.13244807604 6613804.665836376, 227957.00778355834 6613803.616892446, 227957.0064115951 6613803.598016745))</t>
  </si>
  <si>
    <t>2023-08-04</t>
  </si>
  <si>
    <t>['EV18 S44D1 m10141 KD7 m0-72']</t>
  </si>
  <si>
    <t>LINESTRING (231306.17497683095 6622610.41912266, 231309.59159141965 6622609.4159209775, 231313.54254140664 6622610.039962766, 231315.97972936183 6622612.287312741, 231316.62970933638 6622613.414079171, 231317.0910554423 6622614.5544297835, 231317.2863356066 6622617.266086679, 231316.425025006 6622619.523831646, 231315.05157142133 6622621.515600641, 231312.41119779396 6622622.765750856, 231309.60339991166 6622623.270817077, 231306.89201641997 6622622.481798163, 231304.50340454065 6622620.382390702, 231303.68032341613 6622617.905234677, 231303.23722065985 6622615.438568681, 231304.20899259514 6622613.135004568, 231306.15352409502 6622610.64781141)</t>
  </si>
  <si>
    <t>POLYGON ((231306.17497683095 6622610.41912266, 231309.59159141965 6622609.4159209775, 231313.54254140664 6622610.039962766, 231315.97972936183 6622612.287312741, 231316.62970933638 6622613.414079171, 231317.0910554423 6622614.5544297835, 231317.2863356066 6622617.266086679, 231316.425025006 6622619.523831646, 231315.05157142133 6622621.515600641, 231312.41119779396 6622622.765750856, 231309.60339991166 6622623.270817077, 231306.89201641997 6622622.481798163, 231304.50340454065 6622620.382390702, 231303.68032341613 6622617.905234677, 231303.23722065985 6622615.438568681, 231304.20899259514 6622613.135004568, 231306.15352409502 6622610.64781141, 231306.17497683095 6622610.41912266))</t>
  </si>
  <si>
    <t>2023-08-03</t>
  </si>
  <si>
    <t>['EV18 S44D1 m10141 KD6 m0-72']</t>
  </si>
  <si>
    <t>LINESTRING (231212.89260091487 6622707.105308569, 231211.08042229956 6622704.862258036, 231210.43877251248 6622702.785247574, 231210.4618403209 6622700.515072746, 231210.98627581843 6622698.845748134, 231211.98803143593 6622697.521982878, 231212.97285102407 6622696.4341118485, 231213.7669091308 6622695.817853297, 231214.58860915736 6622695.380088132, 231216.1486779137 6622694.926984498, 231217.4403222103 6622694.704213117, 231219.63033793686 6622695.116358482, 231222.0821207933 6622696.493041124, 231222.78036628832 6622697.2316749655, 231223.66878988146 6622699.127768022, 231224.42758165416 6622701.409724134, 231224.17965991562 6622703.471538883, 231223.7888408017 6622704.326639694, 231222.79019487742 6622706.31653314, 231220.96385526686 6622707.81094112, 231220.08828205767 6622708.290441477, 231218.97550147283 6622708.635605465, 231217.35600652907 6622708.7901368, 231215.7134488342 6622708.624550412, 231214.97495290264 6622708.3749033855, 231214.24582324445 6622707.992084002, 231212.84008218267 6622707.165877035)</t>
  </si>
  <si>
    <t>POLYGON ((231212.89260091487 6622707.105308569, 231211.08042229956 6622704.862258036, 231210.43877251248 6622702.785247574, 231210.4618403209 6622700.515072746, 231210.98627581843 6622698.845748134, 231211.98803143593 6622697.521982878, 231212.97285102407 6622696.4341118485, 231213.7669091308 6622695.817853297, 231214.58860915736 6622695.380088132, 231216.1486779137 6622694.926984498, 231217.4403222103 6622694.704213117, 231219.63033793686 6622695.116358482, 231222.0821207933 6622696.493041124, 231222.78036628832 6622697.2316749655, 231223.66878988146 6622699.127768022, 231224.42758165416 6622701.409724134, 231224.17965991562 6622703.471538883, 231223.7888408017 6622704.326639694, 231222.79019487742 6622706.31653314, 231220.96385526686 6622707.81094112, 231220.08828205767 6622708.290441477, 231218.97550147283 6622708.635605465, 231217.35600652907 6622708.7901368, 231215.7134488342 6622708.624550412, 231214.97495290264 6622708.3749033855, 231214.24582324445 6622707.992084002, 231212.84008218267 6622707.165877035, 231212.89260091487 6622707.105308569))</t>
  </si>
  <si>
    <t>2025-12-12T12:57:45Z</t>
  </si>
  <si>
    <t>[1174]</t>
  </si>
  <si>
    <t>['FV1174 S1D1 m4353-4369']</t>
  </si>
  <si>
    <t>LINESTRING Z (280036.345019741 6576851.986883149 52.74, 280034.85180677456 6576852.91524435 52.78, 280032.32820351515 6576854.780402752 52.74, 280030.01743384055 6576856.6665237835 52.7, 280028.46963332983 6576857.99156119 52.63, 280027.9676522256 6576858.328184249 52.61, 280027.3834673199 6576858.310616472 52.57, 280027.1192202525 6576857.942727836 52.58, 280026.9901689363 6576857.18092981 52.61, 280026.79259460873 6576854.436447212 52.63, 280026.90937385545 6576853.05980971 52.63, 280026.99495540187 6576852.338901398 52.64, 280027.04341544 6576848.648082365 52.6, 280027.0149674914 6576847.776752846 52.65, 280027.0917397897 6576845.178261318 52.6, 280027.35311842465 6576842.844356331 52.57, 280027.6185877089 6576841.223263188 52.58, 280028.3746828154 6576838.583525589 52.47, 280028.69808332075 6576838.494057088 52.47, 280028.9662003777 6576838.459804129 52.45, 280029.26407236006 6576838.643850327 52.480000000000004, 280029.4558923119 6576840.43459592 52.480000000000004, 280029.66203809844 6576842.495257776 52.49, 280030.31654502 6576844.515437307 52.52, 280030.89341414726 6576846.12074489 52.52, 280032.7478450452 6576848.4142863415 52.54, 280034.70328663534 6576849.935302345 52.68, 280036.3136692599 6576851.417159904 52.75, 280036.345019741 6576851.986883149 52.74)</t>
  </si>
  <si>
    <t>POLYGON Z ((280036.345019741 6576851.986883149 52.74, 280034.85180677456 6576852.91524435 52.78, 280032.32820351515 6576854.780402752 52.74, 280030.01743384055 6576856.6665237835 52.7, 280028.46963332983 6576857.99156119 52.63, 280027.9676522256 6576858.328184249 52.61, 280027.3834673199 6576858.310616472 52.57, 280027.1192202525 6576857.942727836 52.58, 280026.9901689363 6576857.18092981 52.61, 280026.79259460873 6576854.436447212 52.63, 280026.90937385545 6576853.05980971 52.63, 280026.99495540187 6576852.338901398 52.64, 280027.04341544 6576848.648082365 52.6, 280027.0149674914 6576847.776752846 52.65, 280027.0917397897 6576845.178261318 52.6, 280027.35311842465 6576842.844356331 52.57, 280027.6185877089 6576841.223263188 52.58, 280028.3746828154 6576838.583525589 52.47, 280028.69808332075 6576838.494057088 52.47, 280028.9662003777 6576838.459804129 52.45, 280029.26407236006 6576838.643850327 52.480000000000004, 280029.4558923119 6576840.43459592 52.480000000000004, 280029.66203809844 6576842.495257776 52.49, 280030.31654502 6576844.515437307 52.52, 280030.89341414726 6576846.12074489 52.52, 280032.7478450452 6576848.4142863415 52.54, 280034.70328663534 6576849.935302345 52.68, 280036.3136692599 6576851.417159904 52.75, 280036.345019741 6576851.986883149 52.74))</t>
  </si>
  <si>
    <t>['FV32 S7D1 m269-288']</t>
  </si>
  <si>
    <t>LINESTRING Z (192160.58 6576746.34 0.05, 192159.76 6576749.32 0.05, 192159.24 6576751.34 0.05, 192159.34 6576752.15 0.05, 192159.86 6576752.36 0.05, 192160.58 6576752.36 0.05, 192162.05 6576746.59 0.05, 192162.63 6576743.72 0.05, 192163.06 6576741.67 0.05, 192163.56 6576739.5 0.05, 192164.03 6576737.39 0.05, 192164.47 6576735.35 0.05, 192164.92 6576733.22 0.05, 192164.47 6576733.17 0.05, 192162.86 6576738.24 0.05, 192161.91 6576741.34 0.05, 192161.2 6576743.53 0.05, 192160.58 6576746.34 0.05)</t>
  </si>
  <si>
    <t>2025-11-28T11:47:46Z</t>
  </si>
  <si>
    <t>[1110]</t>
  </si>
  <si>
    <t>['FV1110 S1D1 m3980-3983']</t>
  </si>
  <si>
    <t>LINESTRING Z (271876.4937645278 6572679.692144041 14.72, 271877.421558102 6572679.286954288 14.68, 271877.6734350601 6572679.183858253 14.68, 271876.27933605365 6572676.537135587 14.700000000000001, 271876.0999069668 6572676.663829376 14.700000000000001, 271874.43882095837 6572677.8484271085 14.61, 271874.09794875985 6572678.301100352 14.620000000000001, 271874.00970883854 6572678.881654668 14.6, 271874.1887059624 6572679.417999344 14.61, 271874.45115853485 6572679.765993935 14.65, 271874.7807351842 6572679.967294174 14.65, 271875.100419543 6572680.058987295 14.67, 271875.59953298536 6572680.023986624 14.66, 271876.4937645278 6572679.692144041 14.72)</t>
  </si>
  <si>
    <t>POLYGON Z ((271876.4937645278 6572679.692144041 14.72, 271877.421558102 6572679.286954288 14.68, 271877.6734350601 6572679.183858253 14.68, 271876.27933605365 6572676.537135587 14.700000000000001, 271876.0999069668 6572676.663829376 14.700000000000001, 271874.43882095837 6572677.8484271085 14.61, 271874.09794875985 6572678.301100352 14.620000000000001, 271874.00970883854 6572678.881654668 14.6, 271874.1887059624 6572679.417999344 14.61, 271874.45115853485 6572679.765993935 14.65, 271874.7807351842 6572679.967294174 14.65, 271875.100419543 6572680.058987295 14.67, 271875.59953298536 6572680.023986624 14.66, 271876.4937645278 6572679.692144041 14.72))</t>
  </si>
  <si>
    <t>[117]</t>
  </si>
  <si>
    <t>['FV117 S2D1 m383-393']</t>
  </si>
  <si>
    <t>LINESTRING Z (261892.62459760814 6569091.407316547 8.46, 261890.60930461262 6569093.6787552005 8.34, 261889.09991442252 6569095.32186913 8.3, 261888.67403506528 6569095.500939267 8.31, 261888.1568225361 6569095.447139452 8.31, 261887.81741114092 6569095.025679759 8.32, 261887.9283046354 6569094.473177511 8.31, 261889.42608278967 6569092.590001225 8.31, 261891.47771576693 6569090.164590256 8.46, 261893.06240743794 6569088.353942781 8.52, 261893.5842663731 6569088.236537189 8.540000000000001, 261894.17115924472 6569088.3945592465 8.58, 261894.42732889258 6569088.672835226 8.56, 261894.5266023111 6569089.216422529 8.56, 261894.00691139922 6569090.137332462 8.49, 261892.62459760814 6569091.407316547 8.46)</t>
  </si>
  <si>
    <t>POLYGON Z ((261892.62459760814 6569091.407316547 8.46, 261890.60930461262 6569093.6787552005 8.34, 261889.09991442252 6569095.32186913 8.3, 261888.67403506528 6569095.500939267 8.31, 261888.1568225361 6569095.447139452 8.31, 261887.81741114092 6569095.025679759 8.32, 261887.9283046354 6569094.473177511 8.31, 261889.42608278967 6569092.590001225 8.31, 261891.47771576693 6569090.164590256 8.46, 261893.06240743794 6569088.353942781 8.52, 261893.5842663731 6569088.236537189 8.540000000000001, 261894.17115924472 6569088.3945592465 8.58, 261894.42732889258 6569088.672835226 8.56, 261894.5266023111 6569089.216422529 8.56, 261894.00691139922 6569090.137332462 8.49, 261892.62459760814 6569091.407316547 8.46))</t>
  </si>
  <si>
    <t>['FV108 S1D1 m8885-8895']</t>
  </si>
  <si>
    <t>LINESTRING Z (267662.22083213256 6564199.674240198 34.47, 267662.2030198814 6564199.253926457 34.5, 267662.0057634362 6564198.960297772 34.51, 267661.74504450505 6564198.742712103 34.52, 267661.3266079546 6564198.669943633 34.49, 267660.97866282106 6564198.821869731 34.52, 267659.29237390216 6564200.84244149 34.34, 267657.0250379098 6564203.43778907 34.27, 267655.3785277614 6564205.565276605 34.230000000000004, 267655.3584384694 6564205.788093999 34.18, 267655.48039059166 6564206.249245058 34.19, 267655.70394666283 6564206.500319199 34.21, 267656.09698225185 6564206.625606876 34.2, 267656.40678592795 6564206.607714636 34.2, 267656.6505112533 6564206.5254613 34.22, 267657.1836121121 6564205.864597842 34.21, 267658.30151441775 6564204.447797171 34.26, 267660.48913292965 6564201.859638471 34.410000000000004, 267662.01223256707 6564200.034605919 34.47, 267662.22083213256 6564199.674240198 34.47)</t>
  </si>
  <si>
    <t>POLYGON Z ((267662.22083213256 6564199.674240198 34.47, 267662.2030198814 6564199.253926457 34.5, 267662.0057634362 6564198.960297772 34.51, 267661.74504450505 6564198.742712103 34.52, 267661.3266079546 6564198.669943633 34.49, 267660.97866282106 6564198.821869731 34.52, 267659.29237390216 6564200.84244149 34.34, 267657.0250379098 6564203.43778907 34.27, 267655.3785277614 6564205.565276605 34.230000000000004, 267655.3584384694 6564205.788093999 34.18, 267655.48039059166 6564206.249245058 34.19, 267655.70394666283 6564206.500319199 34.21, 267656.09698225185 6564206.625606876 34.2, 267656.40678592795 6564206.607714636 34.2, 267656.6505112533 6564206.5254613 34.22, 267657.1836121121 6564205.864597842 34.21, 267658.30151441775 6564204.447797171 34.26, 267660.48913292965 6564201.859638471 34.410000000000004, 267662.01223256707 6564200.034605919 34.47, 267662.22083213256 6564199.674240198 34.47))</t>
  </si>
  <si>
    <t>['FV108 S2D1 m6185-6197']</t>
  </si>
  <si>
    <t>LINESTRING Z (265855.87916052644 6559475.2265858445 1.5, 265854.07754758483 6559472.736884995 1.5, 265852.4944320926 6559469.996435072 1.47, 265852.1232910194 6559469.668239826 1.52, 265851.62782732944 6559469.63253386 1.52, 265851.2734148165 6559469.935717393 1.52, 265850.9930785749 6559470.503460914 1.54, 265851.2336094857 6559471.054391455 1.62, 265852.8694971923 6559473.488709957 1.58, 265854.4292589767 6559475.970073593 1.6500000000000001, 265855.5989326263 6559478.024491626 1.58, 265855.8995059108 6559478.238497917 1.54, 265856.3677696896 6559478.306793077 1.54, 265856.7066591642 6559478.16574188 1.54, 265856.9795563556 6559477.849814406 1.54, 265857.0759496397 6559477.358926254 1.52, 265855.87916052644 6559475.2265858445 1.5)</t>
  </si>
  <si>
    <t>POLYGON Z ((265855.87916052644 6559475.2265858445 1.5, 265854.07754758483 6559472.736884995 1.5, 265852.4944320926 6559469.996435072 1.47, 265852.1232910194 6559469.668239826 1.52, 265851.62782732944 6559469.63253386 1.52, 265851.2734148165 6559469.935717393 1.52, 265850.9930785749 6559470.503460914 1.54, 265851.2336094857 6559471.054391455 1.62, 265852.8694971923 6559473.488709957 1.58, 265854.4292589767 6559475.970073593 1.6500000000000001, 265855.5989326263 6559478.024491626 1.58, 265855.8995059108 6559478.238497917 1.54, 265856.3677696896 6559478.306793077 1.54, 265856.7066591642 6559478.16574188 1.54, 265856.9795563556 6559477.849814406 1.54, 265857.0759496397 6559477.358926254 1.52, 265855.87916052644 6559475.2265858445 1.5))</t>
  </si>
  <si>
    <t>[116]</t>
  </si>
  <si>
    <t>['FV116 S1D1 m9730-9733']</t>
  </si>
  <si>
    <t>LINESTRING Z (259484.8469732605 6581559.798775552 13.11, 259484.5299488469 6581559.736991373 13.120000000000001, 259484.14033898409 6581559.872648333 13.14, 259483.87024828684 6581560.108022131 13.14, 259483.73234234707 6581560.472108486 13.15, 259483.73118580453 6581560.904215651 13.15, 259483.7700185731 6581561.111686174 13.15, 259483.89217394954 6581561.35181694 13.15, 259486.1297983173 6581562.767203641 13.14, 259486.50937879045 6581562.742964887 13.14, 259486.8564913409 6581562.47049442 13.13, 259486.91923972598 6581562.052917175 13.120000000000001, 259486.7763178078 6581561.694103251 13.120000000000001, 259484.8469732605 6581559.798775552 13.11)</t>
  </si>
  <si>
    <t>POLYGON Z ((259484.8469732605 6581559.798775552 13.11, 259484.5299488469 6581559.736991373 13.120000000000001, 259484.14033898409 6581559.872648333 13.14, 259483.87024828684 6581560.108022131 13.14, 259483.73234234707 6581560.472108486 13.15, 259483.73118580453 6581560.904215651 13.15, 259483.7700185731 6581561.111686174 13.15, 259483.89217394954 6581561.35181694 13.15, 259486.1297983173 6581562.767203641 13.14, 259486.50937879045 6581562.742964887 13.14, 259486.8564913409 6581562.47049442 13.13, 259486.91923972598 6581562.052917175 13.120000000000001, 259486.7763178078 6581561.694103251 13.120000000000001, 259484.8469732605 6581559.798775552 13.11))</t>
  </si>
  <si>
    <t>['FV116 S1D1 m9735-9740']</t>
  </si>
  <si>
    <t>LINESTRING Z (259481.5473703262 6581557.303861952 13.21, 259479.70450000238 6581556.2546822345 13.200000000000001, 259479.2198661397 6581556.2281303825 13.21, 259478.91994371693 6581556.355686386 13.21, 259478.74584120073 6581556.652716153 13.21, 259478.81624176944 6581557.098453144 13.24, 259480.5309791045 6581558.8423734475 13.25, 259481.2048890442 6581558.962341394 13.26, 259481.67608542574 6581558.728896025 13.25, 259481.88651271415 6581558.277886637 13.22, 259481.86600262084 6581557.717131018 13.21, 259481.5473703262 6581557.303861952 13.21)</t>
  </si>
  <si>
    <t>POLYGON Z ((259481.5473703262 6581557.303861952 13.21, 259479.70450000238 6581556.2546822345 13.200000000000001, 259479.2198661397 6581556.2281303825 13.21, 259478.91994371693 6581556.355686386 13.21, 259478.74584120073 6581556.652716153 13.21, 259478.81624176944 6581557.098453144 13.24, 259480.5309791045 6581558.8423734475 13.25, 259481.2048890442 6581558.962341394 13.26, 259481.67608542574 6581558.728896025 13.25, 259481.88651271415 6581558.277886637 13.22, 259481.86600262084 6581557.717131018 13.21, 259481.5473703262 6581557.303861952 13.21))</t>
  </si>
  <si>
    <t>['FV116 S1D1 m11059-11069']</t>
  </si>
  <si>
    <t>LINESTRING Z (258643.10925922496 6580587.029348146 22.71, 258641.2215787346 6580585.150321984 22.71, 258641.20197319755 6580584.599527722 22.71, 258641.4142057348 6580584.16844771 22.71, 258641.69780067191 6580584.082554785 22.71, 258642.00852653498 6580584.074584592 22.71, 258642.29115640934 6580584.089245184 22.71, 258644.1544060251 6580585.920244662 22.71, 258646.21869763412 6580587.863693062 22.71, 258647.7171546269 6580589.215260601 22.71, 258647.75135573352 6580589.593943826 22.71, 258647.74299536186 6580589.946331127 22.71, 258647.4981667252 6580590.350215168 22.71, 258647.16474506576 6580590.440608252 22.71, 258646.65387725085 6580590.346094839 22.71, 258645.1708507827 6580588.9429004975 22.71, 258643.10925922496 6580587.029348146 22.71)</t>
  </si>
  <si>
    <t>POLYGON Z ((258643.10925922496 6580587.029348146 22.71, 258641.2215787346 6580585.150321984 22.71, 258641.20197319755 6580584.599527722 22.71, 258641.4142057348 6580584.16844771 22.71, 258641.69780067191 6580584.082554785 22.71, 258642.00852653498 6580584.074584592 22.71, 258642.29115640934 6580584.089245184 22.71, 258644.1544060251 6580585.920244662 22.71, 258646.21869763412 6580587.863693062 22.71, 258647.7171546269 6580589.215260601 22.71, 258647.75135573352 6580589.593943826 22.71, 258647.74299536186 6580589.946331127 22.71, 258647.4981667252 6580590.350215168 22.71, 258647.16474506576 6580590.440608252 22.71, 258646.65387725085 6580590.346094839 22.71, 258645.1708507827 6580588.9429004975 22.71, 258643.10925922496 6580587.029348146 22.71))</t>
  </si>
  <si>
    <t>['FV116 S1D1 m11698-11710']</t>
  </si>
  <si>
    <t>LINESTRING Z (258345.76636683897 6580031.238284091 15.67, 258345.64964888824 6580027.9434755845 15.67, 258345.37004614048 6580027.406114139 15.67, 258345.04215425983 6580027.335259856 15.67, 258344.62000851758 6580027.333197667 15.67, 258344.30465085348 6580027.512377779 15.67, 258344.1486081028 6580027.8981964 15.67, 258344.24899523612 6580031.23466642 15.67, 258344.3031555186 6580034.615497869 15.67, 258344.42206689462 6580037.267122413 15.67, 258344.49979329956 6580037.571549158 15.67, 258344.8447848967 6580037.831745563 15.67, 258345.13648076297 6580037.835542136 15.67, 258345.6139843842 6580037.671858376 15.67, 258345.8425502347 6580037.199116859 15.67, 258345.78343111803 6580034.542092436 15.67, 258345.76636683897 6580031.238284091 15.67)</t>
  </si>
  <si>
    <t>POLYGON Z ((258345.76636683897 6580031.238284091 15.67, 258345.64964888824 6580027.9434755845 15.67, 258345.37004614048 6580027.406114139 15.67, 258345.04215425983 6580027.335259856 15.67, 258344.62000851758 6580027.333197667 15.67, 258344.30465085348 6580027.512377779 15.67, 258344.1486081028 6580027.8981964 15.67, 258344.24899523612 6580031.23466642 15.67, 258344.3031555186 6580034.615497869 15.67, 258344.42206689462 6580037.267122413 15.67, 258344.49979329956 6580037.571549158 15.67, 258344.8447848967 6580037.831745563 15.67, 258345.13648076297 6580037.835542136 15.67, 258345.6139843842 6580037.671858376 15.67, 258345.8425502347 6580037.199116859 15.67, 258345.78343111803 6580034.542092436 15.67, 258345.76636683897 6580031.238284091 15.67))</t>
  </si>
  <si>
    <t>['FV116 S1D1 m14090-14093']</t>
  </si>
  <si>
    <t>LINESTRING Z (259279.82812562105 6578383.455553814 24.8, 259281.21926691724 6578383.952824094 24.830000000000002, 259280.3117816861 6578386.586593982 24.79, 259280.0299194696 6578386.802930063 24.75, 259279.60687736873 6578386.79089688 24.740000000000002, 259279.1939346701 6578386.556927415 24.75, 259278.96326816967 6578386.005102064 24.7, 259279.82812562105 6578383.455553814 24.8)</t>
  </si>
  <si>
    <t>POLYGON Z ((259279.82812562105 6578383.455553814 24.8, 259281.21926691724 6578383.952824094 24.830000000000002, 259280.3117816861 6578386.586593982 24.79, 259280.0299194696 6578386.802930063 24.75, 259279.60687736873 6578386.79089688 24.740000000000002, 259279.1939346701 6578386.556927415 24.75, 259278.96326816967 6578386.005102064 24.7, 259279.82812562105 6578383.455553814 24.8))</t>
  </si>
  <si>
    <t>['FV116 S1D1 m14095-14099']</t>
  </si>
  <si>
    <t>LINESTRING Z (259282.32805917764 6578380.989433389 24.94, 259280.9378177485 6578380.502128384 24.85, 259281.87153260774 6578377.936316027 24.830000000000002, 259282.10986718757 6578377.794236322 24.89, 259282.5764369254 6578377.732013186 24.98, 259283.20045071773 6578377.967016625 24.96, 259283.34689551435 6578378.476214166 24.98, 259282.32805917764 6578380.989433389 24.94)</t>
  </si>
  <si>
    <t>POLYGON Z ((259282.32805917764 6578380.989433389 24.94, 259280.9378177485 6578380.502128384 24.85, 259281.87153260774 6578377.936316027 24.830000000000002, 259282.10986718757 6578377.794236322 24.89, 259282.5764369254 6578377.732013186 24.98, 259283.20045071773 6578377.967016625 24.96, 259283.34689551435 6578378.476214166 24.98, 259282.32805917764 6578380.989433389 24.94))</t>
  </si>
  <si>
    <t>['FV116 S2D1 m6721-6737']</t>
  </si>
  <si>
    <t>LINESTRING Z (266079.2890602802 6574791.1958228005 9.870000000000001, 266079.82272983855 6574790.986913892 9.870000000000001, 266080.1373151366 6574790.576770438 9.870000000000001, 266080.1964147717 6574790.229873148 9.91, 266080.24533905217 6574790.215410867 9.9, 266080.27087619633 6574789.941864897 9.9, 266080.05642986554 6574789.569430464 9.9, 266079.3925997577 6574789.338020839 9.88, 266076.81207862275 6574789.018433499 9.82, 266074.40261692123 6574788.924507751 9.700000000000001, 266069.52812154737 6574789.233924432 9.49, 266065.65100131684 6574789.463355366 9.36, 266065.0828696902 6574789.735650863 9.31, 266064.78378653846 6574789.983659716 9.32, 266064.7825360341 6574790.526254194 9.3, 266064.7279339177 6574790.92297532 9.28, 266065.6063508679 6574791.3057957515 9.35, 266067.8199752121 6574791.678594292 9.42, 266070.5528068306 6574791.793559613 9.55, 266072.3762873148 6574791.739461962 9.620000000000001, 266079.2890602802 6574791.1958228005 9.870000000000001)</t>
  </si>
  <si>
    <t>POLYGON Z ((266079.2890602802 6574791.1958228005 9.870000000000001, 266079.82272983855 6574790.986913892 9.870000000000001, 266080.1373151366 6574790.576770438 9.870000000000001, 266080.1964147717 6574790.229873148 9.91, 266080.24533905217 6574790.215410867 9.9, 266080.27087619633 6574789.941864897 9.9, 266080.05642986554 6574789.569430464 9.9, 266079.3925997577 6574789.338020839 9.88, 266076.81207862275 6574789.018433499 9.82, 266074.40261692123 6574788.924507751 9.700000000000001, 266069.52812154737 6574789.233924432 9.49, 266065.65100131684 6574789.463355366 9.36, 266065.0828696902 6574789.735650863 9.31, 266064.78378653846 6574789.983659716 9.32, 266064.7825360341 6574790.526254194 9.3, 266064.7279339177 6574790.92297532 9.28, 266065.6063508679 6574791.3057957515 9.35, 266067.8199752121 6574791.678594292 9.42, 266070.5528068306 6574791.793559613 9.55, 266072.3762873148 6574791.739461962 9.620000000000001, 266079.2890602802 6574791.1958228005 9.870000000000001))</t>
  </si>
  <si>
    <t>['FV109 S2D1 m2050-2063']</t>
  </si>
  <si>
    <t>LINESTRING Z (272141.70327656885 6575646.976781065 26.54, 272139.9039007835 6575644.848860386 26.55, 272137.4998893504 6575642.032160907 26.54, 272136.66344663943 6575641.22367272 26.46, 272135.11622125027 6575639.997170246 26.52, 272134.22068486427 6575639.535562311 26.54, 272133.96888007 6575639.5281582065 26.54, 272133.57204006065 6575639.694574773 26.560000000000002, 272133.3299917722 6575640.017789888 26.55, 272133.2283424791 6575640.33837562 26.560000000000002, 272133.5042965123 6575640.835826884 26.57, 272134.7162664966 6575642.243277151 26.6, 272135.71559686336 6575643.298242109 26.62, 272138.1151798724 6575645.954614125 26.59, 272140.0632583218 6575647.838064884 26.64, 272141.18499675824 6575648.691115429 26.61, 272141.54813809495 6575648.819059243 26.61, 272141.9558418574 6575648.6617073575 26.62, 272142.2169882884 6575648.216222662 26.57, 272142.298709061 6575647.897436039 26.55, 272142.2291670586 6575647.57221412 26.55, 272141.70327656885 6575646.976781065 26.54)</t>
  </si>
  <si>
    <t>POLYGON Z ((272141.70327656885 6575646.976781065 26.54, 272139.9039007835 6575644.848860386 26.55, 272137.4998893504 6575642.032160907 26.54, 272136.66344663943 6575641.22367272 26.46, 272135.11622125027 6575639.997170246 26.52, 272134.22068486427 6575639.535562311 26.54, 272133.96888007 6575639.5281582065 26.54, 272133.57204006065 6575639.694574773 26.560000000000002, 272133.3299917722 6575640.017789888 26.55, 272133.2283424791 6575640.33837562 26.560000000000002, 272133.5042965123 6575640.835826884 26.57, 272134.7162664966 6575642.243277151 26.6, 272135.71559686336 6575643.298242109 26.62, 272138.1151798724 6575645.954614125 26.59, 272140.0632583218 6575647.838064884 26.64, 272141.18499675824 6575648.691115429 26.61, 272141.54813809495 6575648.819059243 26.61, 272141.9558418574 6575648.6617073575 26.62, 272142.2169882884 6575648.216222662 26.57, 272142.298709061 6575647.897436039 26.55, 272142.2291670586 6575647.57221412 26.55, 272141.70327656885 6575646.976781065 26.54))</t>
  </si>
  <si>
    <t>['FV109 S2D1 m2565-2576']</t>
  </si>
  <si>
    <t>LINESTRING Z (272406.30100579874 6576108.535222257 24.07, 272406.46479364426 6576108.791662064 24.07, 272407.5774735595 6576111.102112627 24.04, 272407.6696438921 6576111.455427085 24.02, 272407.55173480156 6576111.707162559 24.04, 272407.0180271765 6576112.026573206 24.07, 272406.74539487204 6576112.011005079 24.02, 272406.4167819802 6576111.709173286 24.05, 272405.85220814956 6576110.685282047 24.07, 272403.471363169 6576105.566100922 24.03, 272402.6717968688 6576103.719608347 24.22, 272402.15427664004 6576102.771832477 24.17, 272402.146318016 6576102.461142443 24.18, 272402.4363176458 6576102.224006726 24.16, 272402.9409634237 6576102.027765099 24.150000000000002, 272403.15470998874 6576102.058694968 24.150000000000002, 272403.2886739706 6576102.207327518 24.150000000000002, 272403.7247500633 6576103.031865583 24.22, 272404.5751058449 6576104.773318436 24.150000000000002, 272406.30100579874 6576108.535222257 24.07)</t>
  </si>
  <si>
    <t>POLYGON Z ((272406.30100579874 6576108.535222257 24.07, 272406.46479364426 6576108.791662064 24.07, 272407.5774735595 6576111.102112627 24.04, 272407.6696438921 6576111.455427085 24.02, 272407.55173480156 6576111.707162559 24.04, 272407.0180271765 6576112.026573206 24.07, 272406.74539487204 6576112.011005079 24.02, 272406.4167819802 6576111.709173286 24.05, 272405.85220814956 6576110.685282047 24.07, 272403.471363169 6576105.566100922 24.03, 272402.6717968688 6576103.719608347 24.22, 272402.15427664004 6576102.771832477 24.17, 272402.146318016 6576102.461142443 24.18, 272402.4363176458 6576102.224006726 24.16, 272402.9409634237 6576102.027765099 24.150000000000002, 272403.15470998874 6576102.058694968 24.150000000000002, 272403.2886739706 6576102.207327518 24.150000000000002, 272403.7247500633 6576103.031865583 24.22, 272404.5751058449 6576104.773318436 24.150000000000002, 272406.30100579874 6576108.535222257 24.07))</t>
  </si>
  <si>
    <t>['FV109 S2D1 m3085-3098']</t>
  </si>
  <si>
    <t>LINESTRING Z (272782.3547178431 6576478.420028074 22.05, 272785.9191982139 6576478.0680743065 22.04, 272789.0379888868 6576477.786495669 22.05, 272792.46172856493 6576477.989700669 22.01, 272794.9073839727 6576477.929622277 22.07, 272795.17918430606 6576477.824719639 22.07, 272795.33611781616 6576477.448916281 22.09, 272795.1741973498 6576477.101900516 22.080000000000002, 272794.8563114366 6576477.030146622 22.1, 272789.79179586354 6576476.010719125 22.07, 272787.59365117736 6576475.696861778 22.1, 272784.8685779386 6576474.998625337 22.06, 272782.64711170946 6576474.315193394 22.05, 272782.1516011506 6576474.390066559 22.04, 272781.88976497255 6576474.494069587 22.04, 272781.8368344627 6576475.131709157 22.080000000000002, 272781.64483547467 6576478.0119852675 22.05, 272781.79056293925 6576478.17964569 22.07, 272782.21258882806 6576478.292224404 22.09, 272782.3547178431 6576478.420028074 22.05)</t>
  </si>
  <si>
    <t>POLYGON Z ((272782.3547178431 6576478.420028074 22.05, 272785.9191982139 6576478.0680743065 22.04, 272789.0379888868 6576477.786495669 22.05, 272792.46172856493 6576477.989700669 22.01, 272794.9073839727 6576477.929622277 22.07, 272795.17918430606 6576477.824719639 22.07, 272795.33611781616 6576477.448916281 22.09, 272795.1741973498 6576477.101900516 22.080000000000002, 272794.8563114366 6576477.030146622 22.1, 272789.79179586354 6576476.010719125 22.07, 272787.59365117736 6576475.696861778 22.1, 272784.8685779386 6576474.998625337 22.06, 272782.64711170946 6576474.315193394 22.05, 272782.1516011506 6576474.390066559 22.04, 272781.88976497255 6576474.494069587 22.04, 272781.8368344627 6576475.131709157 22.080000000000002, 272781.64483547467 6576478.0119852675 22.05, 272781.79056293925 6576478.17964569 22.07, 272782.21258882806 6576478.292224404 22.09, 272782.3547178431 6576478.420028074 22.05))</t>
  </si>
  <si>
    <t>['FV109 S2D1 m7545 KD1 m0-82']</t>
  </si>
  <si>
    <t>LINESTRING Z (276927.73944772617 6577199.212644097 26.04, 276927.4215245772 6577200.697884902 26.11, 276926.8264132944 6577202.22824365 26.07, 276925.91702514247 6577203.726708616 26.060000000000002, 276924.68526324007 6577205.103605257 25.990000000000002, 276923.17284988996 6577206.26476079 25.88, 276921.4215073914 6577207.116002396 25.92, 276919.55806666735 6577207.61574307 25.88, 276917.6704029498 6577207.735958244 25.8, 276915.87171707227 6577207.506607076 25.69, 276914.2380534817 6577206.991138853 25.6, 276912.80650092626 6577206.266565316 25.52, 276911.6014853582 6577205.380906355 25.490000000000002, 276910.50710699055 6577204.27431127 25.35, 276909.5297310627 6577202.906025058 25.27, 276908.77079528273 6577201.286978864 25.23, 276908.2963802659 6577199.481521655 25.2, 276908.173466275 6577197.563966254 25.12, 276908.4418410028 6577195.641215945 25.1, 276909.06068176695 6577193.8174074 25.02, 276909.9991297144 6577192.19577763 25.05, 276911.16294434713 6577190.845106197 25.03, 276912.46335074934 6577189.783453794 25.04, 276913.81973854697 6577189.008053791 25.11, 276915.21764563874 6577188.46998663 25.150000000000002, 276916.785702271 6577188.147593005 25.23, 276918.49761552457 6577188.083427215 25.29, 276920.2981006182 6577188.332706341 25.42, 276922.0820535871 6577188.955145732 25.560000000000002, 276923.7562012902 6577189.918986874 25.63, 276925.2082425703 6577191.204234411 25.78, 276926.36033371824 6577192.727511354 25.86, 276927.1817512573 6577194.37105096 25.92, 276927.6553341474 6577196.056042194 25.97, 276927.82370436704 6577197.698276106 26.05, 276927.73944772617 6577199.212644097 26.04)</t>
  </si>
  <si>
    <t>POLYGON Z ((276927.73944772617 6577199.212644097 26.04, 276927.4215245772 6577200.697884902 26.11, 276926.8264132944 6577202.22824365 26.07, 276925.91702514247 6577203.726708616 26.060000000000002, 276924.68526324007 6577205.103605257 25.990000000000002, 276923.17284988996 6577206.26476079 25.88, 276921.4215073914 6577207.116002396 25.92, 276919.55806666735 6577207.61574307 25.88, 276917.6704029498 6577207.735958244 25.8, 276915.87171707227 6577207.506607076 25.69, 276914.2380534817 6577206.991138853 25.6, 276912.80650092626 6577206.266565316 25.52, 276911.6014853582 6577205.380906355 25.490000000000002, 276910.50710699055 6577204.27431127 25.35, 276909.5297310627 6577202.906025058 25.27, 276908.77079528273 6577201.286978864 25.23, 276908.2963802659 6577199.481521655 25.2, 276908.173466275 6577197.563966254 25.12, 276908.4418410028 6577195.641215945 25.1, 276909.06068176695 6577193.8174074 25.02, 276909.9991297144 6577192.19577763 25.05, 276911.16294434713 6577190.845106197 25.03, 276912.46335074934 6577189.783453794 25.04, 276913.81973854697 6577189.008053791 25.11, 276915.21764563874 6577188.46998663 25.150000000000002, 276916.785702271 6577188.147593005 25.23, 276918.49761552457 6577188.083427215 25.29, 276920.2981006182 6577188.332706341 25.42, 276922.0820535871 6577188.955145732 25.560000000000002, 276923.7562012902 6577189.918986874 25.63, 276925.2082425703 6577191.204234411 25.78, 276926.36033371824 6577192.727511354 25.86, 276927.1817512573 6577194.37105096 25.92, 276927.6553341474 6577196.056042194 25.97, 276927.82370436704 6577197.698276106 26.05, 276927.73944772617 6577199.212644097 26.04))</t>
  </si>
  <si>
    <t>['FV118 S4D1 m1336-1347']</t>
  </si>
  <si>
    <t>LINESTRING Z (282039.90749186894 6574679.780335466 89.98, 282041.54661879234 6574678.688174749 89.99, 282041.68901448254 6574678.373982007 90, 282041.6629314119 6574678.085042761 90.03, 282041.5978242254 6574677.920161665 90.02, 282041.4331526606 6574677.653777669 90.02, 282041.30826494104 6574677.494293068 89.99, 282041.2204628174 6574677.411817598 89.97, 282040.9704778442 6574677.424339578 89.95, 282040.6688070826 6574677.531928857 89.98, 282039.1048904349 6574678.567077125 89.98, 282036.16926990834 6574680.318683899 89.98, 282034.90446543065 6574680.9953585435 90.05, 282033.87698425876 6574681.630520361 90.01, 282033.69646386814 6574682.07873471 90, 282033.7796292367 6574682.3323872015 90.02, 282033.96692591766 6574682.626862644 90.03, 282034.20044204645 6574682.876987313 90.01, 282034.7547262172 6574682.897263356 90.03, 282036.9491764436 6574681.614347889 90, 282039.90749186894 6574679.780335466 89.98)</t>
  </si>
  <si>
    <t>POLYGON Z ((282039.90749186894 6574679.780335466 89.98, 282041.54661879234 6574678.688174749 89.99, 282041.68901448254 6574678.373982007 90, 282041.6629314119 6574678.085042761 90.03, 282041.5978242254 6574677.920161665 90.02, 282041.4331526606 6574677.653777669 90.02, 282041.30826494104 6574677.494293068 89.99, 282041.2204628174 6574677.411817598 89.97, 282040.9704778442 6574677.424339578 89.95, 282040.6688070826 6574677.531928857 89.98, 282039.1048904349 6574678.567077125 89.98, 282036.16926990834 6574680.318683899 89.98, 282034.90446543065 6574680.9953585435 90.05, 282033.87698425876 6574681.630520361 90.01, 282033.69646386814 6574682.07873471 90, 282033.7796292367 6574682.3323872015 90.02, 282033.96692591766 6574682.626862644 90.03, 282034.20044204645 6574682.876987313 90.01, 282034.7547262172 6574682.897263356 90.03, 282036.9491764436 6574681.614347889 90, 282039.90749186894 6574679.780335466 89.98))</t>
  </si>
  <si>
    <t>['FV118 S4D1 m2949-2959']</t>
  </si>
  <si>
    <t>LINESTRING Z (280972.3993594316 6575858.95626307 68.86, 280971.91045980074 6575860.105320419 68.83, 280971.59751155303 6575860.866838129 68.82000000000001, 280971.25827087247 6575861.670908429 68.8, 280970.9289937027 6575862.474079215 68.78, 280970.57342410076 6575863.319802589 68.76, 280970.3675134345 6575863.820538895 68.77, 280970.3111241411 6575864.1972843055 68.78, 280970.4630689566 6575864.545176279 68.77, 280970.7762976905 6575864.788104844 68.76, 280971.1612075654 6575864.823667601 68.77, 280971.4909715641 6575864.69344884 68.76, 280971.752028099 6575864.358494057 68.75, 280972.6092281359 6575862.282206234 68.8, 280973.76484655775 6575859.505980826 68.87, 280974.66466803104 6575857.345487426 68.93, 280974.71925830364 6575856.948815021 68.95, 280974.5899390867 6575856.629014529 68.95, 280974.4460211922 6575856.481292197 68.96000000000001, 280974.13002513873 6575856.318971181 68.96000000000001, 280973.93981900765 6575856.326098557 68.96000000000001, 280973.57746593014 6575856.429125335 68.96000000000001, 280973.4125151434 6575856.604732788 68.96000000000001, 280973.29828140594 6575856.785806147 68.95, 280972.49643349973 6575858.696381181 68.87, 280972.3993594316 6575858.95626307 68.86)</t>
  </si>
  <si>
    <t>POLYGON Z ((280972.3993594316 6575858.95626307 68.86, 280971.91045980074 6575860.105320419 68.83, 280971.59751155303 6575860.866838129 68.82000000000001, 280971.25827087247 6575861.670908429 68.8, 280970.9289937027 6575862.474079215 68.78, 280970.57342410076 6575863.319802589 68.76, 280970.3675134345 6575863.820538895 68.77, 280970.3111241411 6575864.1972843055 68.78, 280970.4630689566 6575864.545176279 68.77, 280970.7762976905 6575864.788104844 68.76, 280971.1612075654 6575864.823667601 68.77, 280971.4909715641 6575864.69344884 68.76, 280971.752028099 6575864.358494057 68.75, 280972.6092281359 6575862.282206234 68.8, 280973.76484655775 6575859.505980826 68.87, 280974.66466803104 6575857.345487426 68.93, 280974.71925830364 6575856.948815021 68.95, 280974.5899390867 6575856.629014529 68.95, 280974.4460211922 6575856.481292197 68.96000000000001, 280974.13002513873 6575856.318971181 68.96000000000001, 280973.93981900765 6575856.326098557 68.96000000000001, 280973.57746593014 6575856.429125335 68.96000000000001, 280973.4125151434 6575856.604732788 68.96000000000001, 280973.29828140594 6575856.785806147 68.95, 280972.49643349973 6575858.696381181 68.87, 280972.3993594316 6575858.95626307 68.86))</t>
  </si>
  <si>
    <t>['FV109 S2D1 m9926-9932']</t>
  </si>
  <si>
    <t>LINESTRING Z (278737.58800489886 6577563.569172806 43.4, 278735.8243152865 6577560.945982525 43.26, 278733.61459748005 6577557.499203176 43.19, 278731.72864470875 6577554.856917743 43.06, 278731.43526676 6577554.722689618 43.04, 278731.1553166199 6577554.848416984 43.04, 278731.0881352755 6577555.105606167 43.03, 278731.09339874634 6577555.386388699 43.03, 278731.2879049524 6577555.760577652 43.04, 278733.16915754473 6577558.6845452795 43.160000000000004, 278734.17448053096 6577560.251181391 43.21, 278735.00522467983 6577561.441829197 43.26, 278736.7815097453 6577564.204511074 43.35, 278737.3651629719 6577565.106077426 43.43, 278737.5544057048 6577565.1994838305 43.42, 278737.804397492 6577565.186955672 43.42, 278738.0299635413 6577565.126408439 43.42, 278738.1495950292 6577565.005112152 43.42, 278738.1976813787 6577564.8701862125 43.410000000000004, 278738.0693895257 6577564.3393446375 43.4, 278737.58800489886 6577563.569172806 43.4)</t>
  </si>
  <si>
    <t>POLYGON Z ((278737.58800489886 6577563.569172806 43.4, 278735.8243152865 6577560.945982525 43.26, 278733.61459748005 6577557.499203176 43.19, 278731.72864470875 6577554.856917743 43.06, 278731.43526676 6577554.722689618 43.04, 278731.1553166199 6577554.848416984 43.04, 278731.0881352755 6577555.105606167 43.03, 278731.09339874634 6577555.386388699 43.03, 278731.2879049524 6577555.760577652 43.04, 278733.16915754473 6577558.6845452795 43.160000000000004, 278734.17448053096 6577560.251181391 43.21, 278735.00522467983 6577561.441829197 43.26, 278736.7815097453 6577564.204511074 43.35, 278737.3651629719 6577565.106077426 43.43, 278737.5544057048 6577565.1994838305 43.42, 278737.804397492 6577565.186955672 43.42, 278738.0299635413 6577565.126408439 43.42, 278738.1495950292 6577565.005112152 43.42, 278738.1976813787 6577564.8701862125 43.410000000000004, 278738.0693895257 6577564.3393446375 43.4, 278737.58800489886 6577563.569172806 43.4))</t>
  </si>
  <si>
    <t>[581]</t>
  </si>
  <si>
    <t>['FV581 S1D1 m1898-1905']</t>
  </si>
  <si>
    <t>LINESTRING Z (280491.2707989734 6578407.126950358 39.45, 280492.0824463184 6578408.439836271 39.4, 280492.13932898967 6578408.736043076 39.38, 280492.0948432933 6578408.910821565 39.36, 280491.91813245113 6578409.067406016 39.35, 280491.6545154526 6578409.151480084 39.37, 280491.4589101601 6578409.098830324 39.37, 280491.25070856756 6578408.906691094 39.39, 280490.4698515489 6578407.601069501 39.42, 280488.9153354241 6578405.069534542 39.480000000000004, 280488.1018886259 6578403.736721505 39.5, 280488.01691483374 6578403.463140963 39.480000000000004, 280488.0224461381 6578403.301924945 39.49, 280488.19375858223 6578403.085559291 39.47, 280488.40215951053 6578402.946202708 39.45, 280488.6439835348 6578402.9544996675 39.45, 280488.85038565134 6578403.1267118445 39.45, 280489.18431490095 6578403.598796226 39.480000000000004, 280489.75343779864 6578404.561925869 39.45, 280491.2707989734 6578407.126950358 39.45)</t>
  </si>
  <si>
    <t>POLYGON Z ((280491.2707989734 6578407.126950358 39.45, 280492.0824463184 6578408.439836271 39.4, 280492.13932898967 6578408.736043076 39.38, 280492.0948432933 6578408.910821565 39.36, 280491.91813245113 6578409.067406016 39.35, 280491.6545154526 6578409.151480084 39.37, 280491.4589101601 6578409.098830324 39.37, 280491.25070856756 6578408.906691094 39.39, 280490.4698515489 6578407.601069501 39.42, 280488.9153354241 6578405.069534542 39.480000000000004, 280488.1018886259 6578403.736721505 39.5, 280488.01691483374 6578403.463140963 39.480000000000004, 280488.0224461381 6578403.301924945 39.49, 280488.19375858223 6578403.085559291 39.47, 280488.40215951053 6578402.946202708 39.45, 280488.6439835348 6578402.9544996675 39.45, 280488.85038565134 6578403.1267118445 39.45, 280489.18431490095 6578403.598796226 39.480000000000004, 280489.75343779864 6578404.561925869 39.45, 280491.2707989734 6578407.126950358 39.45))</t>
  </si>
  <si>
    <t>['FV581 S1D1 m2650-2657']</t>
  </si>
  <si>
    <t>LINESTRING Z (280716.59600726614 6579105.552856875 43.75, 280716.68216677895 6579103.837464872 43.660000000000004, 280716.4850250936 6579103.322895643 43.67, 280716.21787565656 6579103.256618646 43.67, 280715.8661901986 6579103.700214539 43.68, 280715.72924754105 6579105.520640433 43.7, 280715.4964450855 6579108.615364454 43.76, 280715.37679593207 6579110.293601815 43.77, 280715.4318806776 6579110.569880761 43.78, 280715.65094636334 6579110.771082157 43.78, 280715.7242901181 6579110.804637651 43.77, 280715.9090978737 6579110.73772402 43.77, 280716.05501716177 6579110.573874654 43.75, 280716.19830285653 6579110.269636333 43.74, 280716.3808059521 6579109.50984164 43.730000000000004, 280716.4247854705 6579108.662109146 43.75, 280716.59600726614 6579105.552856875 43.75)</t>
  </si>
  <si>
    <t>POLYGON Z ((280716.59600726614 6579105.552856875 43.75, 280716.68216677895 6579103.837464872 43.660000000000004, 280716.4850250936 6579103.322895643 43.67, 280716.21787565656 6579103.256618646 43.67, 280715.8661901986 6579103.700214539 43.68, 280715.72924754105 6579105.520640433 43.7, 280715.4964450855 6579108.615364454 43.76, 280715.37679593207 6579110.293601815 43.77, 280715.4318806776 6579110.569880761 43.78, 280715.65094636334 6579110.771082157 43.78, 280715.7242901181 6579110.804637651 43.77, 280715.9090978737 6579110.73772402 43.77, 280716.05501716177 6579110.573874654 43.75, 280716.19830285653 6579110.269636333 43.74, 280716.3808059521 6579109.50984164 43.730000000000004, 280716.4247854705 6579108.662109146 43.75, 280716.59600726614 6579105.552856875 43.75))</t>
  </si>
  <si>
    <t>['FV581 S1D1 m3576-3585']</t>
  </si>
  <si>
    <t>LINESTRING Z (280815.2547468217 6580010.445713001 41.51, 280815.3058633687 6580008.23124652 41.63, 280815.2299497088 6580007.946804387 41.67, 280815.12414555234 6580007.665061858 41.68, 280814.9530962417 6580007.439435897 41.67, 280814.68234698597 6580007.333306967 41.68, 280814.27294365515 6580007.360238045 41.71, 280813.94048375887 6580007.460578038 41.71, 280813.7293206329 6580007.680544981 41.68, 280813.58057315124 6580008.035501575 41.68, 280813.5483538257 6580010.459201565 41.59, 280813.5183145622 6580013.796778933 41.47, 280813.49245937885 6580016.179725068 41.38, 280813.49142961774 6580016.390758285 41.37, 280813.60809716384 6580016.681564443 41.37, 280813.7529204165 6580016.839245637 41.37, 280814.2744919519 6580017.053303189 41.39, 280814.59242405323 6580017.014543899 41.37, 280814.8460758169 6580016.931366324 41.36, 280815.1034569455 6580016.667046031 41.39, 280815.1739901966 6580013.777826162 41.410000000000004, 280815.2547468217 6580010.445713001 41.51)</t>
  </si>
  <si>
    <t>POLYGON Z ((280815.2547468217 6580010.445713001 41.51, 280815.3058633687 6580008.23124652 41.63, 280815.2299497088 6580007.946804387 41.67, 280815.12414555234 6580007.665061858 41.68, 280814.9530962417 6580007.439435897 41.67, 280814.68234698597 6580007.333306967 41.68, 280814.27294365515 6580007.360238045 41.71, 280813.94048375887 6580007.460578038 41.71, 280813.7293206329 6580007.680544981 41.68, 280813.58057315124 6580008.035501575 41.68, 280813.5483538257 6580010.459201565 41.59, 280813.5183145622 6580013.796778933 41.47, 280813.49245937885 6580016.179725068 41.38, 280813.49142961774 6580016.390758285 41.37, 280813.60809716384 6580016.681564443 41.37, 280813.7529204165 6580016.839245637 41.37, 280814.2744919519 6580017.053303189 41.39, 280814.59242405323 6580017.014543899 41.37, 280814.8460758169 6580016.931366324 41.36, 280815.1034569455 6580016.667046031 41.39, 280815.1739901966 6580013.777826162 41.410000000000004, 280815.2547468217 6580010.445713001 41.51))</t>
  </si>
  <si>
    <t>2025-12-12T10:00:49Z</t>
  </si>
  <si>
    <t>['FV581 S2D1 m433-440']</t>
  </si>
  <si>
    <t>LINESTRING Z (281473.0827536322 6581746.929586661 46.76, 281472.88898865896 6581751.567667679 46.76, 281472.77746419946 6581751.778636525 46.76, 281472.6487762227 6581751.910797897 46.75, 281472.505624759 6581751.9940421 46.75, 281472.3108560958 6581752.061859482 46.74, 281472.11795077624 6581752.039105934 46.75, 281471.9639991891 6581752.002788909 46.74, 281471.81821101694 6581751.945645004 46.730000000000004, 281471.6497959425 6581751.860410808 46.71, 281471.50677112397 6581751.722659404 46.71, 281471.40270003845 6581751.571344525 46.72, 281471.3774364292 6581751.402866125 46.72, 281471.37486304634 6581751.151980211 46.77, 281471.5022940448 6581746.891546359 46.67, 281471.52407085494 6581745.242242722 46.730000000000004, 281471.6310952789 6581744.9814567 46.72, 281471.7389563829 6581744.841131917 46.71, 281471.87034439726 6581744.738860861 46.75, 281472.0442861833 6581744.662880075 46.75, 281472.2979354554 6581744.57969921 46.76, 281472.48544071533 6581744.5426721545 46.78, 281472.6466557061 6581744.548198873 46.78, 281472.80060728965 6581744.584515905 46.77, 281472.9445321079 6581744.732230753 46.76, 281473.1046570997 6581745.059287442 46.78, 281473.1715111324 6581745.354590473 46.78, 281473.0827536322 6581746.929586661 46.76)</t>
  </si>
  <si>
    <t>POLYGON Z ((281473.0827536322 6581746.929586661 46.76, 281472.88898865896 6581751.567667679 46.76, 281472.77746419946 6581751.778636525 46.76, 281472.6487762227 6581751.910797897 46.75, 281472.505624759 6581751.9940421 46.75, 281472.3108560958 6581752.061859482 46.74, 281472.11795077624 6581752.039105934 46.75, 281471.9639991891 6581752.002788909 46.74, 281471.81821101694 6581751.945645004 46.730000000000004, 281471.6497959425 6581751.860410808 46.71, 281471.50677112397 6581751.722659404 46.71, 281471.40270003845 6581751.571344525 46.72, 281471.3774364292 6581751.402866125 46.72, 281471.37486304634 6581751.151980211 46.77, 281471.5022940448 6581746.891546359 46.67, 281471.52407085494 6581745.242242722 46.730000000000004, 281471.6310952789 6581744.9814567 46.72, 281471.7389563829 6581744.841131917 46.71, 281471.87034439726 6581744.738860861 46.75, 281472.0442861833 6581744.662880075 46.75, 281472.2979354554 6581744.57969921 46.76, 281472.48544071533 6581744.5426721545 46.78, 281472.6466557061 6581744.548198873 46.78, 281472.80060728965 6581744.584515905 46.77, 281472.9445321079 6581744.732230753 46.76, 281473.1046570997 6581745.059287442 46.78, 281473.1715111324 6581745.354590473 46.78, 281473.0827536322 6581746.929586661 46.76))</t>
  </si>
  <si>
    <t>['FV118 S8D1 m10561 KD1 m0-82']</t>
  </si>
  <si>
    <t>LINESTRING Z (255728.04266253774 6593459.805274115 44.4, 255727.1964942458 6593459.891834684 44.410000000000004, 255726.30055155724 6593459.872378983 44.42, 255725.362997757 6593459.726074837 44.43, 255724.41192717644 6593459.430287852 44.45, 255723.47723638522 6593458.982314664 44.47, 255722.59968859504 6593458.38851632 44.5, 255721.81914590095 6593457.645288347 44.52, 255721.14917830305 6593456.791591718 44.550000000000004, 255720.6314501336 6593455.843753007 44.58, 255720.27046698597 6593454.851599835 44.61, 255720.0698333337 6593453.854994295 44.64, 255720.02138588953 6593452.874768558 44.67, 255720.0979314369 6593451.943522546 44.69, 255720.28134116292 6593451.0829895465 44.71, 255720.56255066014 6593450.3040362 44.730000000000004, 255720.94521762698 6593449.536002727 44.75, 255721.45923863177 6593448.776185785 44.76, 255722.09735150135 6593448.055383055 44.78, 255722.8722251076 6593447.402589992 44.79, 255723.76753286977 6593446.859470925 44.79, 255724.75518044905 6593446.448660246 44.79, 255725.80617239137 6593446.182826828 44.79, 255726.8833499549 6593446.095471705 44.78, 255727.9550143367 6593446.169367177 44.77, 255728.9713379256 6593446.409018829 44.75, 255729.90878521078 6593446.776366797 44.730000000000004, 255730.74562291612 6593447.25328227 44.71, 255731.47914769364 6593447.809868681 44.69, 255732.08672515053 6593448.418031698 44.660000000000004, 255732.59735073827 6593449.065102451 44.64, 255733.0571943685 6593449.817235119 44.62, 255733.426393956 6593450.678034177 44.59, 255733.6922806289 6593451.618504178 44.56, 255733.81409118397 6593452.6322840685 44.53, 255733.78912227132 6593453.68947729 44.51, 255733.60290278037 6593454.741157353 44.480000000000004, 255733.2436649524 6593455.768294333 44.46, 255732.73679976197 6593456.718357272 44.44, 255732.09047049127 6593457.570514011 44.42, 255731.35180139242 6593458.29036239 44.410000000000004, 255730.54072350607 6593458.876100181 44.4, 255729.7061633221 6593459.313256263 44.4, 255728.859888597 6593459.620860558 44.4, 255728.04266253774 6593459.805274115 44.4)</t>
  </si>
  <si>
    <t>POLYGON Z ((255728.04266253774 6593459.805274115 44.4, 255727.1964942458 6593459.891834684 44.410000000000004, 255726.30055155724 6593459.872378983 44.42, 255725.362997757 6593459.726074837 44.43, 255724.41192717644 6593459.430287852 44.45, 255723.47723638522 6593458.982314664 44.47, 255722.59968859504 6593458.38851632 44.5, 255721.81914590095 6593457.645288347 44.52, 255721.14917830305 6593456.791591718 44.550000000000004, 255720.6314501336 6593455.843753007 44.58, 255720.27046698597 6593454.851599835 44.61, 255720.0698333337 6593453.854994295 44.64, 255720.02138588953 6593452.874768558 44.67, 255720.0979314369 6593451.943522546 44.69, 255720.28134116292 6593451.0829895465 44.71, 255720.56255066014 6593450.3040362 44.730000000000004, 255720.94521762698 6593449.536002727 44.75, 255721.45923863177 6593448.776185785 44.76, 255722.09735150135 6593448.055383055 44.78, 255722.8722251076 6593447.402589992 44.79, 255723.76753286977 6593446.859470925 44.79, 255724.75518044905 6593446.448660246 44.79, 255725.80617239137 6593446.182826828 44.79, 255726.8833499549 6593446.095471705 44.78, 255727.9550143367 6593446.169367177 44.77, 255728.9713379256 6593446.409018829 44.75, 255729.90878521078 6593446.776366797 44.730000000000004, 255730.74562291612 6593447.25328227 44.71, 255731.47914769364 6593447.809868681 44.69, 255732.08672515053 6593448.418031698 44.660000000000004, 255732.59735073827 6593449.065102451 44.64, 255733.0571943685 6593449.817235119 44.62, 255733.426393956 6593450.678034177 44.59, 255733.6922806289 6593451.618504178 44.56, 255733.81409118397 6593452.6322840685 44.53, 255733.78912227132 6593453.68947729 44.51, 255733.60290278037 6593454.741157353 44.480000000000004, 255733.2436649524 6593455.768294333 44.46, 255732.73679976197 6593456.718357272 44.44, 255732.09047049127 6593457.570514011 44.42, 255731.35180139242 6593458.29036239 44.410000000000004, 255730.54072350607 6593458.876100181 44.4, 255729.7061633221 6593459.313256263 44.4, 255728.859888597 6593459.620860558 44.4, 255728.04266253774 6593459.805274115 44.4))</t>
  </si>
  <si>
    <t>['FV118 S8D1 m11938 KD1 m0-82']</t>
  </si>
  <si>
    <t>LINESTRING Z (255054.94315094012 6594709.528898737 54.27, 255054.97776213282 6594709.133932856 54.29, 255055.03230447014 6594708.737164526 54.28, 255055.1158422983 6594708.327726951 54.28, 255055.2193112712 6594707.916486924 54.25, 255055.3526769602 6594707.502543218 54.27, 255055.51593936555 6594707.0858958345 54.27, 255055.70999971282 6594706.676510351 54.28, 255055.93395677602 6594706.264421191 54.25, 255056.19867735202 6594705.858692702 54.32, 255056.48513152322 6594705.471092905 54.300000000000004, 255056.80328486074 6594705.100720578 54.300000000000004, 255057.1522361385 6594704.737610146 54.29, 255057.53468903282 6594704.411658328 54.300000000000004, 255057.9388755204 6594704.103835204 54.300000000000004, 255058.36569682637 6594703.824106346 54.33, 255058.81515295047 6594703.572471751 54.33, 255059.2781795464 6594703.359798223 54.33, 255059.7538753878 6594703.17612018 54.34, 255060.24314170037 6594703.031403201 54.36, 255060.735111687 6594702.916582936 54.33, 255061.2207210017 6594702.842526183 54.36, 255061.71990078667 6594702.807430489 54.36, 255062.20185310338 6594702.80403396 54.36, 255062.67654352274 6594702.8314353665 54.35, 255063.14397204522 6594702.889634717 54.370000000000005, 255063.5932718744 6594702.969567656 54.38, 255064.0253442359 6594703.081199758 54.36, 255064.43928790488 6594703.214565452 54.39, 255064.83600410647 6594703.379630308 54.370000000000005, 255065.2127891652 6594703.546497612 54.370000000000005, 255065.5714455322 6594703.73509851 54.4, 255065.90200763696 6594703.946334223 54.39, 255066.22350539526 6594704.168436732 54.4, 255066.53684003378 6594704.411371608 54.410000000000004, 255066.85287834777 6594704.684203193 54.4, 255067.15078797122 6594704.978768369 54.410000000000004, 255067.4514012712 6594705.303230256 54.39, 255067.72482153572 6594705.66029253 54.38, 255067.98917745586 6594706.028221599 54.38, 255068.22634034112 6594706.428751055 54.39, 255068.44627576316 6594706.8609796725 54.38, 255068.63721570012 6594707.305877535 54.370000000000005, 255068.80912572285 6594707.762543417 54.36, 255068.9429759168 6594708.242745344 54.35, 255069.03876628156 6594708.746483313 54.4, 255069.1037587112 6594709.242959388 54.35, 255069.12979008647 6594709.753005936 54.4, 255069.1259247525 6594710.265756159 54.370000000000005, 255069.08219713852 6594710.78211129 54.35, 255068.9968047928 6594711.282140184 54.35, 255068.8806145117 6594711.774907185 54.36, 255068.73362629453 6594712.260412293 54.36, 255068.5440721187 6594712.719625597 54.34, 255068.33368557732 6594713.170675785 54.35, 255068.10066421737 6594713.593631715 54.31, 255067.83504246775 6594713.989394612 54.300000000000004, 255067.54678589926 6594714.357063251 54.33, 255067.25672687852 6594714.704800751 54.32, 255066.93406746697 6594715.025345218 54.31, 255066.6087043767 6594715.315992978 54.31, 255066.2815388333 6594715.586709594 54.300000000000004, 255065.9408028137 6594715.818465159 54.32, 255065.59826434057 6594716.03028958 54.31, 255065.2539234144 6594716.222182863 54.300000000000004, 255064.90687880796 6594716.384179435 54.29, 255064.52903626187 6594716.538914118 54.31, 255064.13942569075 6594716.674618882 54.31, 255063.72808152388 6594716.792194962 54.33, 255063.30406810518 6594716.880775553 54.32, 255062.85741986375 6594716.941261885 54.34, 255062.3990035968 6594716.982718302 54.35, 255061.9378836487 6594716.994278007 54.33, 255061.46319322157 6594716.966876653 54.32, 255060.97583354218 6594716.910479815 54.33, 255060.49573575248 6594716.82328503 54.36, 255060.0120330552 6594716.696227965 54.32, 255059.5355922478 6594716.538372955 54.35, 255059.0655121048 6594716.339754434 54.32, 255058.6126594236 6594716.109436746 54.32, 255058.16706863343 6594715.848321113 54.35, 255057.74867087728 6594715.554605086 54.31, 255057.35746615563 6594715.228288661 54.33, 255056.9843901241 6594714.880238639 54.36, 255056.63940835465 6594714.509553796 54.370000000000005, 255056.33338764534 6594714.125298474 54.34, 255056.05546119885 6594713.718408324 54.33, 255055.80653024165 6594713.298848923 54.300000000000004, 255055.58749600046 6594712.876585844 54.32, 255055.40742282098 6594712.440752289 54.300000000000004, 255055.25814758352 6594712.012180622 54.300000000000004, 255055.13876906285 6594711.580905276 54.31, 255055.04928725844 6594711.146926254 54.28, 255054.9815390509 6594710.731075919 54.300000000000004, 255054.95365313173 6594710.3116206825 54.300000000000004, 255054.9375352376 6594709.911195363 54.300000000000004, 255054.94315094012 6594709.528898737 54.27)</t>
  </si>
  <si>
    <t>POLYGON Z ((255054.94315094012 6594709.528898737 54.27, 255054.97776213282 6594709.133932856 54.29, 255055.03230447014 6594708.737164526 54.28, 255055.1158422983 6594708.327726951 54.28, 255055.2193112712 6594707.916486924 54.25, 255055.3526769602 6594707.502543218 54.27, 255055.51593936555 6594707.0858958345 54.27, 255055.70999971282 6594706.676510351 54.28, 255055.93395677602 6594706.264421191 54.25, 255056.19867735202 6594705.858692702 54.32, 255056.48513152322 6594705.471092905 54.300000000000004, 255056.80328486074 6594705.100720578 54.300000000000004, 255057.1522361385 6594704.737610146 54.29, 255057.53468903282 6594704.411658328 54.300000000000004, 255057.9388755204 6594704.103835204 54.300000000000004, 255058.36569682637 6594703.824106346 54.33, 255058.81515295047 6594703.572471751 54.33, 255059.2781795464 6594703.359798223 54.33, 255059.7538753878 6594703.17612018 54.34, 255060.24314170037 6594703.031403201 54.36, 255060.735111687 6594702.916582936 54.33, 255061.2207210017 6594702.842526183 54.36, 255061.71990078667 6594702.807430489 54.36, 255062.20185310338 6594702.80403396 54.36, 255062.67654352274 6594702.8314353665 54.35, 255063.14397204522 6594702.889634717 54.370000000000005, 255063.5932718744 6594702.969567656 54.38, 255064.0253442359 6594703.081199758 54.36, 255064.43928790488 6594703.214565452 54.39, 255064.83600410647 6594703.379630308 54.370000000000005, 255065.2127891652 6594703.546497612 54.370000000000005, 255065.5714455322 6594703.73509851 54.4, 255065.90200763696 6594703.946334223 54.39, 255066.22350539526 6594704.168436732 54.4, 255066.53684003378 6594704.411371608 54.410000000000004, 255066.85287834777 6594704.684203193 54.4, 255067.15078797122 6594704.978768369 54.410000000000004, 255067.4514012712 6594705.303230256 54.39, 255067.72482153572 6594705.66029253 54.38, 255067.98917745586 6594706.028221599 54.38, 255068.22634034112 6594706.428751055 54.39, 255068.44627576316 6594706.8609796725 54.38, 255068.63721570012 6594707.305877535 54.370000000000005, 255068.80912572285 6594707.762543417 54.36, 255068.9429759168 6594708.242745344 54.35, 255069.03876628156 6594708.746483313 54.4, 255069.1037587112 6594709.242959388 54.35, 255069.12979008647 6594709.753005936 54.4, 255069.1259247525 6594710.265756159 54.370000000000005, 255069.08219713852 6594710.78211129 54.35, 255068.9968047928 6594711.282140184 54.35, 255068.8806145117 6594711.774907185 54.36, 255068.73362629453 6594712.260412293 54.36, 255068.5440721187 6594712.719625597 54.34, 255068.33368557732 6594713.170675785 54.35, 255068.10066421737 6594713.593631715 54.31, 255067.83504246775 6594713.989394612 54.300000000000004, 255067.54678589926 6594714.357063251 54.33, 255067.25672687852 6594714.704800751 54.32, 255066.93406746697 6594715.025345218 54.31, 255066.6087043767 6594715.315992978 54.31, 255066.2815388333 6594715.586709594 54.300000000000004, 255065.9408028137 6594715.818465159 54.32, 255065.59826434057 6594716.03028958 54.31, 255065.2539234144 6594716.222182863 54.300000000000004, 255064.90687880796 6594716.384179435 54.29, 255064.52903626187 6594716.538914118 54.31, 255064.13942569075 6594716.674618882 54.31, 255063.72808152388 6594716.792194962 54.33, 255063.30406810518 6594716.880775553 54.32, 255062.85741986375 6594716.941261885 54.34, 255062.3990035968 6594716.982718302 54.35, 255061.9378836487 6594716.994278007 54.33, 255061.46319322157 6594716.966876653 54.32, 255060.97583354218 6594716.910479815 54.33, 255060.49573575248 6594716.82328503 54.36, 255060.0120330552 6594716.696227965 54.32, 255059.5355922478 6594716.538372955 54.35, 255059.0655121048 6594716.339754434 54.32, 255058.6126594236 6594716.109436746 54.32, 255058.16706863343 6594715.848321113 54.35, 255057.74867087728 6594715.554605086 54.31, 255057.35746615563 6594715.228288661 54.33, 255056.9843901241 6594714.880238639 54.36, 255056.63940835465 6594714.509553796 54.370000000000005, 255056.33338764534 6594714.125298474 54.34, 255056.05546119885 6594713.718408324 54.33, 255055.80653024165 6594713.298848923 54.300000000000004, 255055.58749600046 6594712.876585844 54.32, 255055.40742282098 6594712.440752289 54.300000000000004, 255055.25814758352 6594712.012180622 54.300000000000004, 255055.13876906285 6594711.580905276 54.31, 255055.04928725844 6594711.146926254 54.28, 255054.9815390509 6594710.731075919 54.300000000000004, 255054.95365313173 6594710.3116206825 54.300000000000004, 255054.9375352376 6594709.911195363 54.300000000000004, 255054.94315094012 6594709.528898737 54.27))</t>
  </si>
  <si>
    <t>['FV118 S8D1 m12917 KD1 m0-75']</t>
  </si>
  <si>
    <t>LINESTRING Z (254253.99169371583 6595238.72548057 46.660000000000004, 254252.98789212844 6595240.735267331 46.71, 254251.61101051816 6595242.39700331 46.64, 254250.6503947037 6595243.106802735 46.63, 254250.0233060825 6595243.505118481 46.59, 254248.8154035272 6595244.146857797 46.550000000000004, 254247.658385257 6595244.4624865735 46.53, 254246.31567660323 6595244.724578856 46.480000000000004, 254245.23127642678 6595244.732225812 46.46, 254244.11072202076 6595244.562293863 46.410000000000004, 254242.42137989606 6595244.102199114 46.42, 254241.12170207815 6595243.39587372 46.36, 254240.0041095343 6595242.703222275 46.34, 254239.08227623615 6595241.8421594985 46.31, 254238.4149915041 6595241.018358666 46.27, 254237.77314893005 6595240.031502538 46.26, 254237.1930575868 6595238.727600188 46.28, 254236.82796199783 6595236.801425203 46.28, 254237.09111454824 6595233.9342837 46.31, 254237.92009291798 6595231.880024566 46.33, 254238.6534566788 6595230.879315892 46.410000000000004, 254239.95316244377 6595229.586256807 46.44, 254241.26548603654 6595228.432716662 46.46, 254242.5114487478 6595227.767441101 46.52, 254243.88415764415 6595227.281598638 46.57, 254245.8265554516 6595227.095884694 46.61, 254248.53419488104 6595227.483981054 46.68, 254250.2966948829 6595228.419722709 46.71, 254251.94310907865 6595229.627188695 46.77, 254253.05132731743 6595230.993846688 46.800000000000004, 254253.7618214154 6595232.406521244 46.82, 254254.28811798213 6595234.44873012 46.800000000000004, 254254.3960643752 6595236.086699435 46.82, 254254.1242088926 6595238.191044589 46.78, 254253.99169371583 6595238.72548057 46.660000000000004)</t>
  </si>
  <si>
    <t>POLYGON Z ((254253.99169371583 6595238.72548057 46.660000000000004, 254252.98789212844 6595240.735267331 46.71, 254251.61101051816 6595242.39700331 46.64, 254250.6503947037 6595243.106802735 46.63, 254250.0233060825 6595243.505118481 46.59, 254248.8154035272 6595244.146857797 46.550000000000004, 254247.658385257 6595244.4624865735 46.53, 254246.31567660323 6595244.724578856 46.480000000000004, 254245.23127642678 6595244.732225812 46.46, 254244.11072202076 6595244.562293863 46.410000000000004, 254242.42137989606 6595244.102199114 46.42, 254241.12170207815 6595243.39587372 46.36, 254240.0041095343 6595242.703222275 46.34, 254239.08227623615 6595241.8421594985 46.31, 254238.4149915041 6595241.018358666 46.27, 254237.77314893005 6595240.031502538 46.26, 254237.1930575868 6595238.727600188 46.28, 254236.82796199783 6595236.801425203 46.28, 254237.09111454824 6595233.9342837 46.31, 254237.92009291798 6595231.880024566 46.33, 254238.6534566788 6595230.879315892 46.410000000000004, 254239.95316244377 6595229.586256807 46.44, 254241.26548603654 6595228.432716662 46.46, 254242.5114487478 6595227.767441101 46.52, 254243.88415764415 6595227.281598638 46.57, 254245.8265554516 6595227.095884694 46.61, 254248.53419488104 6595227.483981054 46.68, 254250.2966948829 6595228.419722709 46.71, 254251.94310907865 6595229.627188695 46.77, 254253.05132731743 6595230.993846688 46.800000000000004, 254253.7618214154 6595232.406521244 46.82, 254254.28811798213 6595234.44873012 46.800000000000004, 254254.3960643752 6595236.086699435 46.82, 254254.1242088926 6595238.191044589 46.78, 254253.99169371583 6595238.72548057 46.660000000000004))</t>
  </si>
  <si>
    <t>[1184]</t>
  </si>
  <si>
    <t>['FV1184 S1D1 m7-16']</t>
  </si>
  <si>
    <t>LINESTRING Z (283096.23269388225 6566213.624611154 19.39, 283095.8113807445 6566213.853458167 19.41, 283088.6456062251 6566214.921681652 19.400000000000002, 283088.2319485786 6566214.5672607105 19.38, 283088.1625155525 6566214.131568307 19.38, 283088.34111290413 6566213.8844366325 19.37, 283088.7633247709 6566213.66555298 19.37, 283095.91284500266 6566212.528484655 19.34, 283096.30012965103 6566213.035951004 19.39, 283096.23269388225 6566213.624611154 19.39)</t>
  </si>
  <si>
    <t>POLYGON Z ((283096.23269388225 6566213.624611154 19.39, 283095.8113807445 6566213.853458167 19.41, 283088.6456062251 6566214.921681652 19.400000000000002, 283088.2319485786 6566214.5672607105 19.38, 283088.1625155525 6566214.131568307 19.38, 283088.34111290413 6566213.8844366325 19.37, 283088.7633247709 6566213.66555298 19.37, 283095.91284500266 6566212.528484655 19.34, 283096.30012965103 6566213.035951004 19.39, 283096.23269388225 6566213.624611154 19.39))</t>
  </si>
  <si>
    <t>['FV21 S1D1 m6-18']</t>
  </si>
  <si>
    <t>LINESTRING Z (293557.4399563209 6559393.490960276 3.56, 293554.5737111514 6559397.0134737585 3.42, 293554.29001904035 6559397.320265081 3.41, 293552.1425594794 6559400.014678114 3.3000000000000003, 293551.64221871697 6559400.592086625 3.27, 293551.3387688119 6559400.6797023285 3.27, 293550.9738312008 6559400.6422955645 3.24, 293550.71946311963 6559400.494486531 3.24, 293550.5077230302 6559400.262486859 3.24, 293550.3540455835 6559399.894687737 3.2600000000000002, 293550.4630698494 6559399.432902711 3.29, 293550.78759379475 6559399.02199568 3.3000000000000003, 293553.3237592946 6559396.071585672 3.39, 293553.6382370785 6559395.772062637 3.41, 293555.90656331973 6559392.5244058 3.49, 293556.09063015395 6559392.226595304 3.49, 293556.31446346303 6559392.035678378 3.49, 293556.6342460945 6559391.906416426 3.49, 293556.9258536623 6559391.910259666 3.54, 293557.3621578342 6559392.182276733 3.56, 293557.64346831717 6559392.6289616255 3.5700000000000003, 293557.67939155386 6559393.027462763 3.5700000000000003, 293557.58956152236 6559393.256517274 3.5700000000000003, 293557.4399563209 6559393.490960276 3.56)</t>
  </si>
  <si>
    <t>POLYGON Z ((293557.4399563209 6559393.490960276 3.56, 293554.5737111514 6559397.0134737585 3.42, 293554.29001904035 6559397.320265081 3.41, 293552.1425594794 6559400.014678114 3.3000000000000003, 293551.64221871697 6559400.592086625 3.27, 293551.3387688119 6559400.6797023285 3.27, 293550.9738312008 6559400.6422955645 3.24, 293550.71946311963 6559400.494486531 3.24, 293550.5077230302 6559400.262486859 3.24, 293550.3540455835 6559399.894687737 3.2600000000000002, 293550.4630698494 6559399.432902711 3.29, 293550.78759379475 6559399.02199568 3.3000000000000003, 293553.3237592946 6559396.071585672 3.39, 293553.6382370785 6559395.772062637 3.41, 293555.90656331973 6559392.5244058 3.49, 293556.09063015395 6559392.226595304 3.49, 293556.31446346303 6559392.035678378 3.49, 293556.6342460945 6559391.906416426 3.49, 293556.9258536623 6559391.910259666 3.54, 293557.3621578342 6559392.182276733 3.56, 293557.64346831717 6559392.6289616255 3.5700000000000003, 293557.67939155386 6559393.027462763 3.5700000000000003, 293557.58956152236 6559393.256517274 3.5700000000000003, 293557.4399563209 6559393.490960276 3.56))</t>
  </si>
  <si>
    <t>['FV21 S6D1 m11149-11158']</t>
  </si>
  <si>
    <t>LINESTRING Z (310889.3037970585 6597645.854012074 138.84, 310889.77266552276 6597648.372416021 138.84, 310890.20269180625 6597648.574528637 138.84, 310890.51598611625 6597648.596395929 138.84, 310890.8256756163 6597648.578419571 138.84, 310891.05662670336 6597648.467142502 138.84, 310891.1481250108 6597648.368482264 138.84, 310891.20703697286 6597648.242642894 138.84, 310891.1637841612 6597645.6556045525 138.83, 310890.9099790705 6597642.0733284345 138.84, 310890.5841206334 6597639.692622568 138.84, 310890.28178383235 6597639.458872477 138.84, 310890.010183275 6597639.342850933 138.84, 310889.77747747157 6597639.323734918 138.84, 310889.5655946949 6597639.312777412 138.84, 310889.40622008743 6597639.327196637 138.84, 310889.2504025897 6597639.491930755 138.84, 310889.0963397991 6597639.787057948 138.84, 310889.1496010901 6597642.262723885 138.84, 310889.3037970585 6597645.854012074 138.84)</t>
  </si>
  <si>
    <t>POLYGON Z ((310889.3037970585 6597645.854012074 138.84, 310889.77266552276 6597648.372416021 138.84, 310890.20269180625 6597648.574528637 138.84, 310890.51598611625 6597648.596395929 138.84, 310890.8256756163 6597648.578419571 138.84, 310891.05662670336 6597648.467142502 138.84, 310891.1481250108 6597648.368482264 138.84, 310891.20703697286 6597648.242642894 138.84, 310891.1637841612 6597645.6556045525 138.83, 310890.9099790705 6597642.0733284345 138.84, 310890.5841206334 6597639.692622568 138.84, 310890.28178383235 6597639.458872477 138.84, 310890.010183275 6597639.342850933 138.84, 310889.77747747157 6597639.323734918 138.84, 310889.5655946949 6597639.312777412 138.84, 310889.40622008743 6597639.327196637 138.84, 310889.2504025897 6597639.491930755 138.84, 310889.0963397991 6597639.787057948 138.84, 310889.1496010901 6597642.262723885 138.84, 310889.3037970585 6597645.854012074 138.84))</t>
  </si>
  <si>
    <t>['FV21 S6D1 m11767-11778']</t>
  </si>
  <si>
    <t>LINESTRING Z (310847.0260703366 6598261.5557855265 131.24, 310847.0395303641 6598257.597839077 131.32, 310847.0547516326 6598255.879201498 131.38, 310847.2858436848 6598255.436509284 131.42000000000002, 310847.45883136435 6598255.350560335 131.42000000000002, 310847.8210292753 6598255.357958885 131.43, 310848.2212212032 6598255.4523019 131.4, 310848.3941146181 6598255.58729556 131.39000000000001, 310848.62577799975 6598255.927863398 131.39000000000001, 310848.7721580313 6598256.657760994 131.38, 310849.0075794385 6598260.9245899655 131.23, 310849.3053700881 6598263.32792106 131.04, 310849.3549861596 6598263.7653000085 131.03, 310849.29422517563 6598263.981689221 131.04, 310849.09135476354 6598264.070341947 131.07, 310848.107975186 6598264.078977491 131.09, 310847.3220584949 6598263.939194832 131.12, 310847.1274407336 6598263.786081862 131.09, 310847.0878798247 6598263.126859037 131.15, 310847.0260703366 6598261.5557855265 131.24)</t>
  </si>
  <si>
    <t>POLYGON Z ((310847.0260703366 6598261.5557855265 131.24, 310847.0395303641 6598257.597839077 131.32, 310847.0547516326 6598255.879201498 131.38, 310847.2858436848 6598255.436509284 131.42000000000002, 310847.45883136435 6598255.350560335 131.42000000000002, 310847.8210292753 6598255.357958885 131.43, 310848.2212212032 6598255.4523019 131.4, 310848.3941146181 6598255.58729556 131.39000000000001, 310848.62577799975 6598255.927863398 131.39000000000001, 310848.7721580313 6598256.657760994 131.38, 310849.0075794385 6598260.9245899655 131.23, 310849.3053700881 6598263.32792106 131.04, 310849.3549861596 6598263.7653000085 131.03, 310849.29422517563 6598263.981689221 131.04, 310849.09135476354 6598264.070341947 131.07, 310848.107975186 6598264.078977491 131.09, 310847.3220584949 6598263.939194832 131.12, 310847.1274407336 6598263.786081862 131.09, 310847.0878798247 6598263.126859037 131.15, 310847.0260703366 6598261.5557855265 131.24))</t>
  </si>
  <si>
    <t>['FV21 S6D10 m6-14']</t>
  </si>
  <si>
    <t>LINESTRING Z (310851.60843094625 6598296.440418762 130.15, 310851.96579941857 6598299.280227419 130.03, 310851.7963226184 6598299.626962689 130, 310851.6115715476 6598299.69389113 129.99, 310851.08999902545 6598299.700912819 129.98, 310850.90984841855 6598299.59670322 130, 310850.67363153974 6598299.316802206 130.02, 310850.4521173162 6598298.533447979 130.06, 310848.9994251289 6598294.9090070315 130.27, 310848.8303250761 6598294.371971855 130.26, 310848.8920343581 6598294.055072227 130.26, 310849.2624377698 6598293.931176274 130.28, 310850.654261894 6598293.775117677 130.32, 310851.0037951208 6598293.753534629 130.32, 310851.15856926236 6598293.91025257 130.32, 310851.60843094625 6598296.440418762 130.15)</t>
  </si>
  <si>
    <t>POLYGON Z ((310851.60843094625 6598296.440418762 130.15, 310851.96579941857 6598299.280227419 130.03, 310851.7963226184 6598299.626962689 130, 310851.6115715476 6598299.69389113 129.99, 310851.08999902545 6598299.700912819 129.98, 310850.90984841855 6598299.59670322 130, 310850.67363153974 6598299.316802206 130.02, 310850.4521173162 6598298.533447979 130.06, 310848.9994251289 6598294.9090070315 130.27, 310848.8303250761 6598294.371971855 130.26, 310848.8920343581 6598294.055072227 130.26, 310849.2624377698 6598293.931176274 130.28, 310850.654261894 6598293.775117677 130.32, 310851.0037951208 6598293.753534629 130.32, 310851.15856926236 6598293.91025257 130.32, 310851.60843094625 6598296.440418762 130.15))</t>
  </si>
  <si>
    <t>['EV6 S79D1 m4909-4924']</t>
  </si>
  <si>
    <t>LINESTRING Z (296018.11 7045057.67 6.08, 296012.51 7045071.59 5.9)</t>
  </si>
  <si>
    <t>POINT (296015.31 7045064.63)</t>
  </si>
  <si>
    <t>2010-11-10</t>
  </si>
  <si>
    <t>['EV18 S64D1 m3735 SD1 m245-319']</t>
  </si>
  <si>
    <t>LINESTRING Z (289951.505819869 6609886.82738437 -999999, 290019.084839494 6609883.62920032 -999999)</t>
  </si>
  <si>
    <t>POINT (289985.2953296815 6609885.228292345)</t>
  </si>
  <si>
    <t>['FV104 S1D1 m7-14']</t>
  </si>
  <si>
    <t>LINESTRING Z (291821.222378462 6559627.601655494 48.51, 291819.63068819203 6559624.651702456 48.61, 291819.28257899976 6559623.909723643 48.61, 291818.6888284437 6559623.451023255 48.61, 291817.93371192884 6559623.207742278 48.61, 291817.547861988 6559623.272656522 48.61, 291817.1980198587 6559623.625590186 48.61, 291817.07249475026 6559624.350004061 48.61, 291817.1833794854 6559625.02297532 48.61, 291817.5586823856 6559625.732371797 48.61, 291817.8836077341 6559625.994346076 48.61, 291818.01671492273 6559626.022521359 48.61, 291819.72607763205 6559629.052259288 48.51, 291820.18083150475 6559630.08593341 48.51, 291820.47014627943 6559630.732776015 48.51, 291820.75334124546 6559631.088904872 48.51, 291821.0991735286 6559631.24855807 48.51, 291821.4823291277 6559631.153755785 48.51, 291821.8103661829 6559630.893180496 48.51, 291821.970917489 6559630.557310886 48.51, 291821.996565393 6559630.173340658 48.51, 291821.90568945557 6559629.388085702 48.51, 291821.222378462 6559627.601655494 48.51)</t>
  </si>
  <si>
    <t>POLYGON Z ((291821.222378462 6559627.601655494 48.51, 291819.63068819203 6559624.651702456 48.61, 291819.28257899976 6559623.909723643 48.61, 291818.6888284437 6559623.451023255 48.61, 291817.93371192884 6559623.207742278 48.61, 291817.547861988 6559623.272656522 48.61, 291817.1980198587 6559623.625590186 48.61, 291817.07249475026 6559624.350004061 48.61, 291817.1833794854 6559625.02297532 48.61, 291817.5586823856 6559625.732371797 48.61, 291817.8836077341 6559625.994346076 48.61, 291818.01671492273 6559626.022521359 48.61, 291819.72607763205 6559629.052259288 48.51, 291820.18083150475 6559630.08593341 48.51, 291820.47014627943 6559630.732776015 48.51, 291820.75334124546 6559631.088904872 48.51, 291821.0991735286 6559631.24855807 48.51, 291821.4823291277 6559631.153755785 48.51, 291821.8103661829 6559630.893180496 48.51, 291821.970917489 6559630.557310886 48.51, 291821.996565393 6559630.173340658 48.51, 291821.90568945557 6559629.388085702 48.51, 291821.222378462 6559627.601655494 48.51))</t>
  </si>
  <si>
    <t>['FV130 S2D1 m1593-1602']</t>
  </si>
  <si>
    <t>LINESTRING Z (275692.07688686403 6570910.350837766 25.560000000000002, 275693.7886375178 6570907.835771907 25.54, 275693.79972119466 6570907.513328277 25.54, 275693.52918978676 6570907.075665593 25.53, 275693.04844230966 6570906.757423518 25.53, 275692.85642944556 6570906.7446151 25.51, 275692.6235880363 6570906.835942062 25.5, 275690.9209757078 6570909.229641997 25.490000000000002, 275688.8102985419 6570912.33318735 25.43, 275687.1130075398 6570914.897174108 25.330000000000002, 275687.0992264849 6570915.1897258395 25.330000000000002, 275687.1416327368 6570915.437026889 25.32, 275687.26742081554 6570915.60648794 25.34, 275687.54176934925 6570915.752498032 25.37, 275687.93845646596 6570915.807107625 25.36, 275688.2945355938 6570915.634344113 25.39, 275692.07688686403 6570910.350837766 25.560000000000002)</t>
  </si>
  <si>
    <t>POLYGON Z ((275692.07688686403 6570910.350837766 25.560000000000002, 275693.7886375178 6570907.835771907 25.54, 275693.79972119466 6570907.513328277 25.54, 275693.52918978676 6570907.075665593 25.53, 275693.04844230966 6570906.757423518 25.53, 275692.85642944556 6570906.7446151 25.51, 275692.6235880363 6570906.835942062 25.5, 275690.9209757078 6570909.229641997 25.490000000000002, 275688.8102985419 6570912.33318735 25.43, 275687.1130075398 6570914.897174108 25.330000000000002, 275687.0992264849 6570915.1897258395 25.330000000000002, 275687.1416327368 6570915.437026889 25.32, 275687.26742081554 6570915.60648794 25.34, 275687.54176934925 6570915.752498032 25.37, 275687.93845646596 6570915.807107625 25.36, 275688.2945355938 6570915.634344113 25.39, 275692.07688686403 6570910.350837766 25.560000000000002))</t>
  </si>
  <si>
    <t>2023-08-30</t>
  </si>
  <si>
    <t>['EV18 S2D1 m638 KD7 m0-84']</t>
  </si>
  <si>
    <t>LINESTRING (91027.14522986964 6468113.576128427, 91027.92083314992 6468112.622904632, 91028.58184627956 6468111.522870725, 91029.18656934693 6468110.071616983, 91029.4990551616 6468108.293607574, 91029.54033912951 6468106.5833903765, 91029.21956231922 6468104.831367316, 91028.3353446672 6468102.820380773, 91027.30809741217 6468101.5383376805, 91026.55034758884 6468100.832261468, 91025.60368004843 6468099.875433163, 91024.55979218945 6468099.526198765, 91023.3131572553 6468099.109135384, 91022.60691871564 6468098.642561996, 91021.4990365007 6468098.499561322, 91019.98028016929 6468098.419000377, 91018.39780620357 6468098.6822678, 91017.69606722199 6468098.814540045, 91015.47864362627 6468100.132846438, 91014.25260429538 6468100.795228045, 91013.15489385091 6468102.360074422, 91012.21253306279 6468104.00503642, 91011.57124022814 6468106.253548173, 91011.473296615 6468107.630218798, 91011.74730444478 6468109.506109548, 91012.207072319 6468111.065190611, 91012.94752896082 6468112.456310898, 91013.87239782425 6468113.709290125, 91014.99454867159 6468114.564920145, 91016.56270919356 6468115.70398433, 91018.26225251803 6468116.160859862, 91020.25940824812 6468116.657255425, 91021.85815444164 6468116.55099242, 91023.21823176253 6468116.251276446, 91025.23821390531 6468115.17174399, 91025.9293203908 6468114.836136437)</t>
  </si>
  <si>
    <t>POLYGON ((91027.14522986964 6468113.576128427, 91027.92083314992 6468112.622904632, 91028.58184627956 6468111.522870725, 91029.18656934693 6468110.071616983, 91029.4990551616 6468108.293607574, 91029.54033912951 6468106.5833903765, 91029.21956231922 6468104.831367316, 91028.3353446672 6468102.820380773, 91027.30809741217 6468101.5383376805, 91026.55034758884 6468100.832261468, 91025.60368004843 6468099.875433163, 91024.55979218945 6468099.526198765, 91023.3131572553 6468099.109135384, 91022.60691871564 6468098.642561996, 91021.4990365007 6468098.499561322, 91019.98028016929 6468098.419000377, 91018.39780620357 6468098.6822678, 91017.69606722199 6468098.814540045, 91015.47864362627 6468100.132846438, 91014.25260429538 6468100.795228045, 91013.15489385091 6468102.360074422, 91012.21253306279 6468104.00503642, 91011.57124022814 6468106.253548173, 91011.473296615 6468107.630218798, 91011.74730444478 6468109.506109548, 91012.207072319 6468111.065190611, 91012.94752896082 6468112.456310898, 91013.87239782425 6468113.709290125, 91014.99454867159 6468114.564920145, 91016.56270919356 6468115.70398433, 91018.26225251803 6468116.160859862, 91020.25940824812 6468116.657255425, 91021.85815444164 6468116.55099242, 91023.21823176253 6468116.251276446, 91025.23821390531 6468115.17174399, 91025.9293203908 6468114.836136437, 91027.14522986964 6468113.576128427))</t>
  </si>
  <si>
    <t>['FV118 S8D1 m12362 KD1 m5-25']</t>
  </si>
  <si>
    <t>LINESTRING Z (254744.00076143205 6595038.097172501 52.38, 254743.4291174506 6595038.10868165 52.51, 254742.08386558728 6595038.009305446 52.51, 254741.18801857808 6595037.768815552 52.5, 254740.2632278216 6595037.4304722035 52.51, 254738.91192610326 6595036.708722749 52.53, 254738.36402548195 6595036.316200507 52.51, 254737.7799192873 6595035.856622854 52.54, 254737.0400721573 6595035.23028203 52.51, 254736.06857151972 6595034.042159183 52.550000000000004, 254735.56524673826 6595033.253768621 52.53, 254735.22677903218 6595032.510751559 52.52, 254734.85215755692 6595031.590156265 52.52, 254734.4903090447 6595030.477510864 52.5, 254734.38385743834 6595029.522616094 52.550000000000004, 254734.43090921434 6595027.709882363 52.51, 254734.64176142504 6595026.264125 52.52, 254735.13090451696 6595024.451598488 52.53, 254735.9515124697 6595022.860273042 52.46, 254737.2177649035 6595021.4195400495 52.480000000000004, 254739.3536761724 6595020.040817639 52.51, 254741.42412727405 6595019.160323271 52.52, 254743.77966475725 6595018.876967056 52.52, 254745.99547661704 6595019.048319625 52.51, 254747.86323841865 6595019.592750059 52.47, 254750.06660860163 6595021.181869103 52.52, 254751.79338089834 6595022.944702253 52.480000000000004, 254752.94369217192 6595025.332353264 52.49, 254753.3971576817 6595028.124626003 52.52, 254753.20837069894 6595030.814228217 52.5, 254752.7937522041 6595032.117659679 52.51, 254752.07285224067 6595033.5894496245 52.49, 254751.3004771881 6595034.714246265 52.49, 254750.55460108296 6595035.354385565 52.480000000000004, 254749.5550270261 6595036.0777510675 52.53, 254747.98450308965 6595037.264682537 52.5, 254746.35539757417 6595037.803850323 52.51, 254744.2707337735 6595038.082804216 52.52, 254744.00076143205 6595038.097172501 52.38)</t>
  </si>
  <si>
    <t>POLYGON Z ((254744.00076143205 6595038.097172501 52.38, 254743.4291174506 6595038.10868165 52.51, 254742.08386558728 6595038.009305446 52.51, 254741.18801857808 6595037.768815552 52.5, 254740.2632278216 6595037.4304722035 52.51, 254738.91192610326 6595036.708722749 52.53, 254738.36402548195 6595036.316200507 52.51, 254737.7799192873 6595035.856622854 52.54, 254737.0400721573 6595035.23028203 52.51, 254736.06857151972 6595034.042159183 52.550000000000004, 254735.56524673826 6595033.253768621 52.53, 254735.22677903218 6595032.510751559 52.52, 254734.85215755692 6595031.590156265 52.52, 254734.4903090447 6595030.477510864 52.5, 254734.38385743834 6595029.522616094 52.550000000000004, 254734.43090921434 6595027.709882363 52.51, 254734.64176142504 6595026.264125 52.52, 254735.13090451696 6595024.451598488 52.53, 254735.9515124697 6595022.860273042 52.46, 254737.2177649035 6595021.4195400495 52.480000000000004, 254739.3536761724 6595020.040817639 52.51, 254741.42412727405 6595019.160323271 52.52, 254743.77966475725 6595018.876967056 52.52, 254745.99547661704 6595019.048319625 52.51, 254747.86323841865 6595019.592750059 52.47, 254750.06660860163 6595021.181869103 52.52, 254751.79338089834 6595022.944702253 52.480000000000004, 254752.94369217192 6595025.332353264 52.49, 254753.3971576817 6595028.124626003 52.52, 254753.20837069894 6595030.814228217 52.5, 254752.7937522041 6595032.117659679 52.51, 254752.07285224067 6595033.5894496245 52.49, 254751.3004771881 6595034.714246265 52.49, 254750.55460108296 6595035.354385565 52.480000000000004, 254749.5550270261 6595036.0777510675 52.53, 254747.98450308965 6595037.264682537 52.5, 254746.35539757417 6595037.803850323 52.51, 254744.2707337735 6595038.082804216 52.52, 254744.00076143205 6595038.097172501 52.38))</t>
  </si>
  <si>
    <t>['FV118 S8D1 m12346-12358']</t>
  </si>
  <si>
    <t>LINESTRING Z (254765.8049878651 6595010.123376263 52.14, 254761.56578700597 6595014.7968662735 52.25, 254760.2723417339 6595016.270199453 52.26, 254758.61637461447 6595018.0676837815 52.300000000000004, 254757.70314491208 6595018.190461453 52.34, 254756.08959932622 6595016.457576922 52.36, 254755.97112068604 6595016.036266364 52.35, 254756.13363664775 6595015.278083524 52.370000000000005, 254764.18948454407 6595008.7021289235 52.24, 254764.5990269797 6595008.564620382 52.25, 254765.3798965193 6595008.644707863 52.26, 254765.80460478648 6595009.008182787 52.24, 254765.89864594242 6595009.381467851 52.26, 254765.9899315251 6595009.835378918 52.22, 254765.8049878651 6595010.123376263 52.14)</t>
  </si>
  <si>
    <t>POLYGON Z ((254765.8049878651 6595010.123376263 52.14, 254761.56578700597 6595014.7968662735 52.25, 254760.2723417339 6595016.270199453 52.26, 254758.61637461447 6595018.0676837815 52.300000000000004, 254757.70314491208 6595018.190461453 52.34, 254756.08959932622 6595016.457576922 52.36, 254755.97112068604 6595016.036266364 52.35, 254756.13363664775 6595015.278083524 52.370000000000005, 254764.18948454407 6595008.7021289235 52.24, 254764.5990269797 6595008.564620382 52.25, 254765.3798965193 6595008.644707863 52.26, 254765.80460478648 6595009.008182787 52.24, 254765.89864594242 6595009.381467851 52.26, 254765.9899315251 6595009.835378918 52.22, 254765.8049878651 6595010.123376263 52.14))</t>
  </si>
  <si>
    <t>['FV118 S8D1 m12367-12379']</t>
  </si>
  <si>
    <t>LINESTRING Z (254731.54978491834 6595041.845490901 52.26, 254723.6743739045 6595048.083624008 52.36, 254723.3843667571 6595048.32084049 52.22, 254723.14243686775 6595048.423096666 52.33, 254722.54089599368 6595048.437309629 52.32, 254722.11523441496 6595048.174391937 52.33, 254721.91337404505 6595047.8309517745 52.36, 254721.90456862046 6595047.289204481 52.370000000000005, 254722.18306658522 6595046.480343919 52.230000000000004, 254729.02623040834 6595039.160052721 52.370000000000005, 254729.99655012865 6595039.0019705435 52.43, 254731.75051599968 6595040.732203187 52.35, 254731.75932139496 6595041.273950437 52.33, 254731.54978491834 6595041.845490901 52.26)</t>
  </si>
  <si>
    <t>POLYGON Z ((254731.54978491834 6595041.845490901 52.26, 254723.6743739045 6595048.083624008 52.36, 254723.3843667571 6595048.32084049 52.22, 254723.14243686775 6595048.423096666 52.33, 254722.54089599368 6595048.437309629 52.32, 254722.11523441496 6595048.174391937 52.33, 254721.91337404505 6595047.8309517745 52.36, 254721.90456862046 6595047.289204481 52.370000000000005, 254722.18306658522 6595046.480343919 52.230000000000004, 254729.02623040834 6595039.160052721 52.370000000000005, 254729.99655012865 6595039.0019705435 52.43, 254731.75051599968 6595040.732203187 52.35, 254731.75932139496 6595041.273950437 52.33, 254731.54978491834 6595041.845490901 52.26))</t>
  </si>
  <si>
    <t>['FV220 S4D1 m1971-1980']</t>
  </si>
  <si>
    <t>LINESTRING Z (294836.51524892845 6557915.664128829 58.93, 294837.13307779597 6557913.047383959 58.89, 294837.80105874036 6557909.984210753 58.83, 294838.56524218275 6557906.651239068 58.79, 294838.4713455087 6557906.278054522 58.78, 294838.34020800097 6557906.048833713 58.79, 294837.9662954563 6557905.911798654 58.81, 294837.6049542131 6557905.914237577 58.83, 294837.36038327427 6557905.986498471 58.84, 294837.20816803386 6557906.080565093 58.86, 294837.12021711055 6557906.2190561555 58.870000000000005, 294836.37677147926 6557909.670679062 58.86, 294835.7612965083 6557912.759249833 58.89, 294835.21354448877 6557914.927770447 58.99, 294835.2403130842 6557915.447612593 59.03, 294835.5162273414 6557915.834521305 59.02, 294835.62303522695 6557915.905241218 59.02, 294835.8403277677 6557915.976046093 59, 294835.9798017554 6557915.963474779 59, 294836.25605587696 6557915.908444867 58.980000000000004, 294836.51524892845 6557915.664128829 58.93)</t>
  </si>
  <si>
    <t>POLYGON Z ((294836.51524892845 6557915.664128829 58.93, 294837.13307779597 6557913.047383959 58.89, 294837.80105874036 6557909.984210753 58.83, 294838.56524218275 6557906.651239068 58.79, 294838.4713455087 6557906.278054522 58.78, 294838.34020800097 6557906.048833713 58.79, 294837.9662954563 6557905.911798654 58.81, 294837.6049542131 6557905.914237577 58.83, 294837.36038327427 6557905.986498471 58.84, 294837.20816803386 6557906.080565093 58.86, 294837.12021711055 6557906.2190561555 58.870000000000005, 294836.37677147926 6557909.670679062 58.86, 294835.7612965083 6557912.759249833 58.89, 294835.21354448877 6557914.927770447 58.99, 294835.2403130842 6557915.447612593 59.03, 294835.5162273414 6557915.834521305 59.02, 294835.62303522695 6557915.905241218 59.02, 294835.8403277677 6557915.976046093 59, 294835.9798017554 6557915.963474779 59, 294836.25605587696 6557915.908444867 58.980000000000004, 294836.51524892845 6557915.664128829 58.93))</t>
  </si>
  <si>
    <t>['FV220 S4D1 m2755-2766']</t>
  </si>
  <si>
    <t>LINESTRING Z (294611.82423324126 6558658.407466292 71.10000000000001, 294609.85828970856 6558661.778474534 71.22, 294609.7555498262 6558662.309991809 71.24, 294609.88113240723 6558662.700407405 71.29, 294610.192493633 6558662.923426057 71.29, 294610.68693945603 6558662.949160435 71.29, 294611.05383810576 6558662.785524112 71.29, 294613.21911473334 6558659.2860707035 71.17, 294614.92813880055 6558656.741692502 71.13, 294616.94265942904 6558653.798171511 71.18, 294616.98823443847 6558653.412414575 71.15, 294616.8328488556 6558652.914208148 71.11, 294616.5604394239 6558652.677634986 71.10000000000001, 294616.1103334699 6558652.698120727 71.11, 294615.5339706559 6558653.212069963 71.13, 294613.579477506 6558655.818748228 71.14, 294611.82423324126 6558658.407466292 71.10000000000001)</t>
  </si>
  <si>
    <t>POLYGON Z ((294611.82423324126 6558658.407466292 71.10000000000001, 294609.85828970856 6558661.778474534 71.22, 294609.7555498262 6558662.309991809 71.24, 294609.88113240723 6558662.700407405 71.29, 294610.192493633 6558662.923426057 71.29, 294610.68693945603 6558662.949160435 71.29, 294611.05383810576 6558662.785524112 71.29, 294613.21911473334 6558659.2860707035 71.17, 294614.92813880055 6558656.741692502 71.13, 294616.94265942904 6558653.798171511 71.18, 294616.98823443847 6558653.412414575 71.15, 294616.8328488556 6558652.914208148 71.11, 294616.5604394239 6558652.677634986 71.10000000000001, 294616.1103334699 6558652.698120727 71.11, 294615.5339706559 6558653.212069963 71.13, 294613.579477506 6558655.818748228 71.14, 294611.82423324126 6558658.407466292 71.10000000000001))</t>
  </si>
  <si>
    <t>['FV220 S5D1 m372-382']</t>
  </si>
  <si>
    <t>LINESTRING Z (293032.61296634556 6561474.026736326 88.79, 293032.9268664011 6561478.176552068 88.94, 293033.0932887378 6561480.913480378 89.01, 293033.0560515445 6561481.057447551 89.01, 293032.96630676073 6561481.176018329 89.01, 293032.73528957844 6561481.287239605 89.01, 293032.46989341354 6561481.351342842 89.01, 293032.26884563663 6561481.3493828885 89.01, 293032.04068666394 6561481.269518954 89.01, 293031.86511699937 6561481.104564957 89.01, 293031.7150254487 6561480.776616917 89.01, 293031.5475414152 6561478.250698918 88.79, 293031.21910577745 6561474.162455021 88.64, 293030.96277534775 6561471.765070343 88.57000000000001, 293031.06811743195 6561471.373917332 88.57000000000001, 293031.26753214793 6561471.134979272 88.57000000000001, 293031.4288114001 6561471.0300458195 88.57000000000001, 293031.6652181408 6561470.978599942 88.57000000000001, 293031.87712673866 6561470.989624218 88.57000000000001, 293032.076296273 6561471.082145512 88.57000000000001, 293032.1867009973 6561471.192713691 88.57000000000001, 293032.36676193646 6561471.407480515 88.57000000000001, 293032.43184513535 6561471.572352798 88.57000000000001, 293032.61296634556 6561474.026736326 88.79)</t>
  </si>
  <si>
    <t>POLYGON Z ((293032.61296634556 6561474.026736326 88.79, 293032.9268664011 6561478.176552068 88.94, 293033.0932887378 6561480.913480378 89.01, 293033.0560515445 6561481.057447551 89.01, 293032.96630676073 6561481.176018329 89.01, 293032.73528957844 6561481.287239605 89.01, 293032.46989341354 6561481.351342842 89.01, 293032.26884563663 6561481.3493828885 89.01, 293032.04068666394 6561481.269518954 89.01, 293031.86511699937 6561481.104564957 89.01, 293031.7150254487 6561480.776616917 89.01, 293031.5475414152 6561478.250698918 88.79, 293031.21910577745 6561474.162455021 88.64, 293030.96277534775 6561471.765070343 88.57000000000001, 293031.06811743195 6561471.373917332 88.57000000000001, 293031.26753214793 6561471.134979272 88.57000000000001, 293031.4288114001 6561471.0300458195 88.57000000000001, 293031.6652181408 6561470.978599942 88.57000000000001, 293031.87712673866 6561470.989624218 88.57000000000001, 293032.076296273 6561471.082145512 88.57000000000001, 293032.1867009973 6561471.192713691 88.57000000000001, 293032.36676193646 6561471.407480515 88.57000000000001, 293032.43184513535 6561471.572352798 88.57000000000001, 293032.61296634556 6561474.026736326 88.79))</t>
  </si>
  <si>
    <t>['FV220 S5D1 m164-176']</t>
  </si>
  <si>
    <t>LINESTRING Z (292984.6831890524 6561275.1671095295 82.4, 292984.8882311393 6561278.332429485 82.4, 292985.1094471031 6561279.22644778 82.4, 292985.0676365348 6561279.431088587 82.4, 292984.9062751523 6561279.646508298 82.4, 292984.7341348664 6561279.742377198 82.4, 292984.4306847133 6561279.829998107 82.4, 292984.2568298485 6561279.795455382 82.4, 292984.1373609393 6561279.695747796 82.4, 292983.8722102912 6561279.4283911325 82.4, 292983.63825512317 6561278.615869863 82.4, 292982.79732324625 6561275.638448961 82.33, 292982.02188115194 6561273.4987819875 82.26, 292980.45727770205 6561269.401468915 82.10000000000001, 292983.7272061219 6561268.574338515 82.18, 292984.6831890524 6561275.1671095295 82.4)</t>
  </si>
  <si>
    <t>POLYGON Z ((292984.6831890524 6561275.1671095295 82.4, 292984.8882311393 6561278.332429485 82.4, 292985.1094471031 6561279.22644778 82.4, 292985.0676365348 6561279.431088587 82.4, 292984.9062751523 6561279.646508298 82.4, 292984.7341348664 6561279.742377198 82.4, 292984.4306847133 6561279.829998107 82.4, 292984.2568298485 6561279.795455382 82.4, 292984.1373609393 6561279.695747796 82.4, 292983.8722102912 6561279.4283911325 82.4, 292983.63825512317 6561278.615869863 82.4, 292982.79732324625 6561275.638448961 82.33, 292982.02188115194 6561273.4987819875 82.26, 292980.45727770205 6561269.401468915 82.10000000000001, 292983.7272061219 6561268.574338515 82.18, 292984.6831890524 6561275.1671095295 82.4))</t>
  </si>
  <si>
    <t>['FV220 S5D1 m4178-4187']</t>
  </si>
  <si>
    <t>LINESTRING Z (293165.6952242352 6564904.990060905 135.85, 293168.15967800375 6564905.922797287 135.85, 293171.09729097394 6564907.535995839 135.96, 293171.61045743 6564907.991890978 135.96, 293171.7550886013 6564908.370545868 135.96, 293171.77298098075 6564908.6802830165 135.96, 293171.7366464877 6564908.834213778 135.96, 293171.6360440523 6564908.9437231375 135.96, 293171.29626222816 6564909.185284033 135.96, 293170.9077233362 6564909.220327317 135.96, 293168.4393612781 6564908.689686643 135.96, 293165.84465304494 6564907.537695985 135.88, 293164.0351095118 6564906.40528156 135.8, 293163.0711688667 6564905.628473982 135.77, 293162.92196643085 6564905.310492826 135.74, 293162.9013784233 6564904.970868044 135.74, 293162.98760414374 6564904.701958098 135.74, 293163.12985382683 6564904.608779625 135.74, 293163.38618413627 6564904.5555298375 135.74, 293164.2763655131 6564904.625895891 135.74, 293165.6952242352 6564904.990060905 135.85)</t>
  </si>
  <si>
    <t>POLYGON Z ((293165.6952242352 6564904.990060905 135.85, 293168.15967800375 6564905.922797287 135.85, 293171.09729097394 6564907.535995839 135.96, 293171.61045743 6564907.991890978 135.96, 293171.7550886013 6564908.370545868 135.96, 293171.77298098075 6564908.6802830165 135.96, 293171.7366464877 6564908.834213778 135.96, 293171.6360440523 6564908.9437231375 135.96, 293171.29626222816 6564909.185284033 135.96, 293170.9077233362 6564909.220327317 135.96, 293168.4393612781 6564908.689686643 135.96, 293165.84465304494 6564907.537695985 135.88, 293164.0351095118 6564906.40528156 135.8, 293163.0711688667 6564905.628473982 135.77, 293162.92196643085 6564905.310492826 135.74, 293162.9013784233 6564904.970868044 135.74, 293162.98760414374 6564904.701958098 135.74, 293163.12985382683 6564904.608779625 135.74, 293163.38618413627 6564904.5555298375 135.74, 293164.2763655131 6564904.625895891 135.74, 293165.6952242352 6564904.990060905 135.85))</t>
  </si>
  <si>
    <t>2011-05-09</t>
  </si>
  <si>
    <t>[1455]</t>
  </si>
  <si>
    <t>['FV1455 S1D1 m2157-2169']</t>
  </si>
  <si>
    <t>LINESTRING Z (303046.282618314 6636564.90838898 -999999, 303034.576600058 6636567.65610387 -999999)</t>
  </si>
  <si>
    <t>POINT (303040.429609186 6636566.282246426)</t>
  </si>
  <si>
    <t>['FV220 S4D1 m4744-4748']</t>
  </si>
  <si>
    <t>LINESTRING Z (293339.64799660014 6559078.755703847 7.71, 293341.7406019246 6559075.564062854 7.53, 293341.8468495525 6559075.182875808 7.51, 293341.7746693734 6559074.827816304 7.47, 293341.5321438833 6559074.58854727 7.47, 293341.4126772487 6559074.48883785 7.47, 293341.1046523745 6559074.63712619 7.47, 293338.8532924843 6559078.1845568735 7.73, 293338.8367077969 6559078.557661436 7.73, 293338.9516002223 6559078.718044195 7.73, 293339.18604322633 6559078.867650294 7.73, 293339.3798219187 6559078.900399979 7.73, 293339.64799660014 6559078.755703847 7.71)</t>
  </si>
  <si>
    <t>POLYGON Z ((293339.64799660014 6559078.755703847 7.71, 293341.7406019246 6559075.564062854 7.53, 293341.8468495525 6559075.182875808 7.51, 293341.7746693734 6559074.827816304 7.47, 293341.5321438833 6559074.58854727 7.47, 293341.4126772487 6559074.48883785 7.47, 293341.1046523745 6559074.63712619 7.47, 293338.8532924843 6559078.1845568735 7.73, 293338.8367077969 6559078.557661436 7.73, 293338.9516002223 6559078.718044195 7.73, 293339.18604322633 6559078.867650294 7.73, 293339.3798219187 6559078.900399979 7.73, 293339.64799660014 6559078.755703847 7.71))</t>
  </si>
  <si>
    <t>['FV220 S4D1 m5149-5172']</t>
  </si>
  <si>
    <t>LINESTRING Z (293451.2660868751 6559383.306544773 2.5300000000000002, 293450.7797802837 6559384.485298255 2.5500000000000003, 293450.30556699587 6559385.241134773 2.57, 293449.77093135007 6559385.66093926 2.57, 293449.1503924856 6559385.907704646 2.57, 293447.58063465444 6559386.320386097 2.5500000000000003, 293446.84079627146 6559386.246470475 2.5500000000000003, 293446.0403682245 6559386.057494801 2.5500000000000003, 293444.3304260927 6559385.026506342 2.5500000000000003, 293438.89105224924 6559380.505138177 2.61, 293431.87085301185 6559374.268227247 2.73, 293431.4392898136 6559373.714564482 2.73, 293431.120906866 6559373.190872989 2.72, 293430.9286955935 6559372.284198267 2.5500000000000003, 293432.24136896024 6559372.919128722 2.5500000000000003, 293444.9559841442 6559378.150581115 2.49, 293447.725212905 6559379.568167281 2.46, 293449.05208811024 6559380.583470152 2.46, 293450.05558805715 6559381.688184875 2.46, 293450.75499070424 6559382.539094789 2.5, 293451.2660868751 6559383.306544773 2.5300000000000002)</t>
  </si>
  <si>
    <t>POLYGON Z ((293451.2660868751 6559383.306544773 2.5300000000000002, 293450.7797802837 6559384.485298255 2.5500000000000003, 293450.30556699587 6559385.241134773 2.57, 293449.77093135007 6559385.66093926 2.57, 293449.1503924856 6559385.907704646 2.57, 293447.58063465444 6559386.320386097 2.5500000000000003, 293446.84079627146 6559386.246470475 2.5500000000000003, 293446.0403682245 6559386.057494801 2.5500000000000003, 293444.3304260927 6559385.026506342 2.5500000000000003, 293438.89105224924 6559380.505138177 2.61, 293431.87085301185 6559374.268227247 2.73, 293431.4392898136 6559373.714564482 2.73, 293431.120906866 6559373.190872989 2.72, 293430.9286955935 6559372.284198267 2.5500000000000003, 293432.24136896024 6559372.919128722 2.5500000000000003, 293444.9559841442 6559378.150581115 2.49, 293447.725212905 6559379.568167281 2.46, 293449.05208811024 6559380.583470152 2.46, 293450.05558805715 6559381.688184875 2.46, 293450.75499070424 6559382.539094789 2.5, 293451.2660868751 6559383.306544773 2.5300000000000002))</t>
  </si>
  <si>
    <t>2025-12-13</t>
  </si>
  <si>
    <t>2025-12-13T13:57:57Z</t>
  </si>
  <si>
    <t>['FV220 S5D1 m140-152']</t>
  </si>
  <si>
    <t>LINESTRING Z (292969.303388741 6561228.123751192 81.36, 292967.4635883409 6561225.0957791535 81.36, 292967.24735239445 6561224.813968577 81.36, 292966.8193716899 6561224.300160273 81.36, 292966.61481283035 6561224.147863097 81.36, 292966.4699474305 6561224.100663003 81.36, 292966.35766445164 6561224.080655904 81.36, 292966.13840596017 6561224.210903632 81.36, 292965.8747240441 6561224.405417964 81.36, 292965.6753087336 6561224.644355721 81.36, 292965.5999354477 6561224.922327479 81.36, 292965.6748989457 6561225.196788244 81.36, 292965.8077594309 6561225.55642095 81.36, 292965.9415181546 6561225.926016225 81.36, 292966.0003133787 6561226.021150732 81.36, 292966.8566748087 6561230.17227715 81.5, 292967.77248720254 6561233.534645994 81.43, 292968.59006390994 6561236.253040729 81.5, 292968.7493011272 6561236.459641919 81.5, 292968.8027069281 6561236.495001004 81.5, 292969.02188345534 6561236.475239759 81.5, 292969.3941734232 6561236.37136871 81.5, 292973.4545775503 6561234.508787563 81.5, 292973.5805799434 6561234.3467736915 81.5, 292973.6232068827 6561234.26258195 81.5, 292973.5382807987 6561233.989019445 81.5, 292973.4767908571 6561233.86399724 81.5, 292972.5748553676 6561232.549262709 81.5, 292969.303388741 6561228.123751192 81.36)</t>
  </si>
  <si>
    <t>[921]</t>
  </si>
  <si>
    <t>['FV921 S2D1 m774-784']</t>
  </si>
  <si>
    <t>LINESTRING Z (291305.65581120236 6559857.496362607 47.51, 291305.9708117039 6559855.30857416 47.46, 291306.31169143843 6559853.630680469 47.410000000000004, 291306.8763429121 6559850.647022812 47.36, 291307.0916983164 6559849.693546396 47.36, 291307.1843903031 6559849.273399383 47.36, 291307.3349790336 6559848.938426162 47.36, 291307.6515079886 6559848.327357884 47.36, 291307.86636365973 6559848.036809465 47.36, 291308.02315600705 6559847.882063251 47.36, 291308.2251879915 6559847.78350081 47.36, 291308.4715614839 6559847.731159429 47.36, 291308.63545557455 6559847.766602935 47.36, 291308.81470115634 6559847.8609246025 47.36, 291308.9450312916 6559847.96969963 47.36, 291309.0834445921 6559848.168139097 47.36, 291309.1756368346 6559848.41092007 47.36, 291309.22430240846 6559848.727930694 47.36, 291309.2212748579 6559849.139994534 47.36, 291309.11037041154 6559849.692351224 47.36, 291308.33315924974 6559852.323554692 47.36, 291307.13480171043 6559856.187922212 47.410000000000004, 291306.64203674113 6559857.517935712 47.46, 291306.5468169566 6559857.68721859 47.46, 291306.39182088024 6559857.861890252 47.46, 291306.2459726711 6559857.915213067 47.46, 291306.0757083795 6559857.920518564 47.46, 291305.92267512775 6559857.894139658 47.46, 291305.7733176793 6559857.797123612 47.51, 291305.68373652315 6559857.694718784 47.51, 291305.6421726836 6559857.567897878 47.51, 291305.65581120236 6559857.496362607 47.51)</t>
  </si>
  <si>
    <t>POLYGON Z ((291305.65581120236 6559857.496362607 47.51, 291305.9708117039 6559855.30857416 47.46, 291306.31169143843 6559853.630680469 47.410000000000004, 291306.8763429121 6559850.647022812 47.36, 291307.0916983164 6559849.693546396 47.36, 291307.1843903031 6559849.273399383 47.36, 291307.3349790336 6559848.938426162 47.36, 291307.6515079886 6559848.327357884 47.36, 291307.86636365973 6559848.036809465 47.36, 291308.02315600705 6559847.882063251 47.36, 291308.2251879915 6559847.78350081 47.36, 291308.4715614839 6559847.731159429 47.36, 291308.63545557455 6559847.766602935 47.36, 291308.81470115634 6559847.8609246025 47.36, 291308.9450312916 6559847.96969963 47.36, 291309.0834445921 6559848.168139097 47.36, 291309.1756368346 6559848.41092007 47.36, 291309.22430240846 6559848.727930694 47.36, 291309.2212748579 6559849.139994534 47.36, 291309.11037041154 6559849.692351224 47.36, 291308.33315924974 6559852.323554692 47.36, 291307.13480171043 6559856.187922212 47.410000000000004, 291306.64203674113 6559857.517935712 47.46, 291306.5468169566 6559857.68721859 47.46, 291306.39182088024 6559857.861890252 47.46, 291306.2459726711 6559857.915213067 47.46, 291306.0757083795 6559857.920518564 47.46, 291305.92267512775 6559857.894139658 47.46, 291305.7733176793 6559857.797123612 47.51, 291305.68373652315 6559857.694718784 47.51, 291305.6421726836 6559857.567897878 47.51, 291305.65581120236 6559857.496362607 47.51))</t>
  </si>
  <si>
    <t>['FV921 S2D1 m307-327']</t>
  </si>
  <si>
    <t>LINESTRING Z (291226.993151049 6560295.441951191 55.660000000000004, 291226.74359927606 6560294.902002218 55.660000000000004, 291226.50645608874 6560294.722507498 55.660000000000004, 291226.13612199127 6560294.625326161 55.660000000000004, 291225.8960356626 6560294.747407545 55.660000000000004, 291225.5471747004 6560294.9998195795 55.61, 291224.9808338571 6560296.62773653 55.59, 291224.2795617487 6560300.6582167735 55.45, 291223.9066451886 6560305.211497975 55.22, 291223.8967251959 6560308.777903203 54.980000000000004, 291224.1519574905 6560312.611671267 54.85, 291224.5926536227 6560315.494655787 54.67, 291225.0270063307 6560315.967725917 54.67, 291225.3240087341 6560316.03134349 54.67, 291225.71524932253 6560316.026203055 54.67, 291226.1484685672 6560315.595443027 54.68, 291226.530091175 6560313.923916714 54.83, 291227.59258961 6560306.435971677 55.19, 291227.70386375824 6560301.765666733 55.44, 291227.5052992537 6560298.449062039 55.57, 291226.993151049 6560295.441951191 55.660000000000004)</t>
  </si>
  <si>
    <t>POLYGON Z ((291226.993151049 6560295.441951191 55.660000000000004, 291226.74359927606 6560294.902002218 55.660000000000004, 291226.50645608874 6560294.722507498 55.660000000000004, 291226.13612199127 6560294.625326161 55.660000000000004, 291225.8960356626 6560294.747407545 55.660000000000004, 291225.5471747004 6560294.9998195795 55.61, 291224.9808338571 6560296.62773653 55.59, 291224.2795617487 6560300.6582167735 55.45, 291223.9066451886 6560305.211497975 55.22, 291223.8967251959 6560308.777903203 54.980000000000004, 291224.1519574905 6560312.611671267 54.85, 291224.5926536227 6560315.494655787 54.67, 291225.0270063307 6560315.967725917 54.67, 291225.3240087341 6560316.03134349 54.67, 291225.71524932253 6560316.026203055 54.67, 291226.1484685672 6560315.595443027 54.68, 291226.530091175 6560313.923916714 54.83, 291227.59258961 6560306.435971677 55.19, 291227.70386375824 6560301.765666733 55.44, 291227.5052992537 6560298.449062039 55.57, 291226.993151049 6560295.441951191 55.660000000000004))</t>
  </si>
  <si>
    <t>['FV1336 S1D1 m4695 KD1 m10-18']</t>
  </si>
  <si>
    <t>LINESTRING Z (293940.1960372162 6560911.716435739 96.84, 293940.15038694337 6560912.21268158 96.84, 293940.0558224323 6560912.723380939 96.84, 293939.88245621556 6560913.251228451 96.84, 293939.63935257506 6560913.78536341 96.84, 293939.31295619323 6560914.286834066 96.84, 293938.9141277658 6560914.764704709 96.84, 293938.4501351594 6560915.188189659 96.84, 293937.92008016614 6560915.547326429 96.84, 293937.3330270669 6560915.831254319 96.84, 293936.7279276115 6560916.026418013 96.84, 293936.1147442893 6560916.131919304 96.84, 293935.5043377965 6560916.156822467 96.84, 293934.91663311294 6560916.099331097 96.84, 293934.37335163285 6560915.977573747 96.84, 293933.86542907427 6560915.802411119 96.84, 293933.41279041785 6560915.572046799 96.84, 293932.99820530566 6560915.318164666 96.84, 293932.5972577232 6560914.992748688 96.84, 293932.2108458786 6560914.605761355 96.84, 293931.85799654527 6560914.1454437645 96.84, 293931.5613293253 6560913.639886963 96.84, 293931.3290102959 6560913.068267775 96.84, 293931.1637340792 6560912.460473665 96.84, 293931.0962863531 6560911.823772501 96.84, 293931.10853855126 6560911.17988569 96.84, 293931.21224957716 6560910.5478399955 96.84, 293931.3992533537 6560909.948458611 96.84, 293931.6604855963 6560909.392602231 96.84, 293931.9868820202 6560908.891131555 96.84, 293932.35941585083 6560908.455805486 96.84, 293932.75816210697 6560908.088420438 96.84, 293933.1722600914 6560907.779912122 96.84, 293933.6026080101 6560907.540243037 96.84, 293934.0664362231 6560907.337729293 96.84, 293934.57460542547 6560907.1814351715 96.84, 293935.13797631284 6560907.080424956 96.84, 293935.71849533846 6560907.058216455 96.84, 293936.3252267851 6560907.103948971 96.84, 293936.9400420861 6560907.239343893 96.84, 293937.53305377305 6560907.467095839 96.84, 293938.09340115037 6560907.778140525 96.84, 293938.61022352363 6560908.163413663 96.84, 293939.06179950235 6560908.604786693 96.84, 293939.43816659844 6560909.103157819 96.84, 293939.73663019366 6560909.628639574 96.84, 293939.9553938752 6560910.161306976 96.84, 293940.1044201337 6560910.700261827 96.84, 293940.1710518591 6560911.216514858 96.84, 293940.1960372162 6560911.716435739 96.84)</t>
  </si>
  <si>
    <t>POLYGON Z ((293940.1960372162 6560911.716435739 96.84, 293940.15038694337 6560912.21268158 96.84, 293940.0558224323 6560912.723380939 96.84, 293939.88245621556 6560913.251228451 96.84, 293939.63935257506 6560913.78536341 96.84, 293939.31295619323 6560914.286834066 96.84, 293938.9141277658 6560914.764704709 96.84, 293938.4501351594 6560915.188189659 96.84, 293937.92008016614 6560915.547326429 96.84, 293937.3330270669 6560915.831254319 96.84, 293936.7279276115 6560916.026418013 96.84, 293936.1147442893 6560916.131919304 96.84, 293935.5043377965 6560916.156822467 96.84, 293934.91663311294 6560916.099331097 96.84, 293934.37335163285 6560915.977573747 96.84, 293933.86542907427 6560915.802411119 96.84, 293933.41279041785 6560915.572046799 96.84, 293932.99820530566 6560915.318164666 96.84, 293932.5972577232 6560914.992748688 96.84, 293932.2108458786 6560914.605761355 96.84, 293931.85799654527 6560914.1454437645 96.84, 293931.5613293253 6560913.639886963 96.84, 293931.3290102959 6560913.068267775 96.84, 293931.1637340792 6560912.460473665 96.84, 293931.0962863531 6560911.823772501 96.84, 293931.10853855126 6560911.17988569 96.84, 293931.21224957716 6560910.5478399955 96.84, 293931.3992533537 6560909.948458611 96.84, 293931.6604855963 6560909.392602231 96.84, 293931.9868820202 6560908.891131555 96.84, 293932.35941585083 6560908.455805486 96.84, 293932.75816210697 6560908.088420438 96.84, 293933.1722600914 6560907.779912122 96.84, 293933.6026080101 6560907.540243037 96.84, 293934.0664362231 6560907.337729293 96.84, 293934.57460542547 6560907.1814351715 96.84, 293935.13797631284 6560907.080424956 96.84, 293935.71849533846 6560907.058216455 96.84, 293936.3252267851 6560907.103948971 96.84, 293936.9400420861 6560907.239343893 96.84, 293937.53305377305 6560907.467095839 96.84, 293938.09340115037 6560907.778140525 96.84, 293938.61022352363 6560908.163413663 96.84, 293939.06179950235 6560908.604786693 96.84, 293939.43816659844 6560909.103157819 96.84, 293939.73663019366 6560909.628639574 96.84, 293939.9553938752 6560910.161306976 96.84, 293940.1044201337 6560910.700261827 96.84, 293940.1710518591 6560911.216514858 96.84, 293940.1960372162 6560911.716435739 96.84))</t>
  </si>
  <si>
    <t>['FV1336 S1D1 m4678-4688']</t>
  </si>
  <si>
    <t>LINESTRING Z (293943.7821085168 6560898.577651557 97.09, 293947.73070144415 6560894.806871586 97.24000000000001, 293948.59523673635 6560894.035926774 97.29, 293948.8171883349 6560893.935568142 97.29, 293949.01186485146 6560893.978277179 97.29, 293949.1005468131 6560894.070716422 97.29, 293949.2280982927 6560894.260085937 97.29, 293949.2388767557 6560894.379635801 97.29, 293949.1490498958 6560894.60869081 97.24000000000001, 293947.5464618384 6560897.776262531 97.19, 293946.2358917628 6560900.395245925 97.14, 293943.7821085168 6560898.577651557 97.09)</t>
  </si>
  <si>
    <t>POLYGON Z ((293943.7821085168 6560898.577651557 97.09, 293947.73070144415 6560894.806871586 97.24000000000001, 293948.59523673635 6560894.035926774 97.29, 293948.8171883349 6560893.935568142 97.29, 293949.01186485146 6560893.978277179 97.29, 293949.1005468131 6560894.070716422 97.29, 293949.2280982927 6560894.260085937 97.29, 293949.2388767557 6560894.379635801 97.29, 293949.1490498958 6560894.60869081 97.24000000000001, 293947.5464618384 6560897.776262531 97.19, 293946.2358917628 6560900.395245925 97.14, 293943.7821085168 6560898.577651557 97.09))</t>
  </si>
  <si>
    <t>['FV1336 S1D1 m5775-5789']</t>
  </si>
  <si>
    <t>LINESTRING Z (293006.7603715979 6561251.010473157 81.8, 293003.67434604815 6561250.535447243 81.88, 292995.3398502028 6561248.103090977 81.88, 292994.9208367882 6561253.815477691 81.88, 292996.4586650791 6561253.716999039 81.96000000000001, 293003.57544875215 6561253.225992624 81.96000000000001, 293006.77073781483 6561252.907769998 81.88, 293008.6201002181 6561252.811333627 81.88, 293009.02317598637 6561252.714730409 81.88, 293009.2905326487 6561252.449579876 81.88, 293009.4727174161 6561252.242326333 81.88, 293009.5146099513 6561251.927199109 81.88, 293009.5056275561 6561251.827573453 81.88, 293009.4441376124 6561251.702551291 81.88, 293009.24513208756 6561251.389056688 81.88, 293009.2016888658 6561251.352799383 81.88, 293008.86034883553 6561251.242965362 81.88, 293006.7603715979 6561251.010473157 81.8)</t>
  </si>
  <si>
    <t>POLYGON Z ((293006.7603715979 6561251.010473157 81.8, 293003.67434604815 6561250.535447243 81.88, 292995.3398502028 6561248.103090977 81.88, 292994.9208367882 6561253.815477691 81.88, 292996.4586650791 6561253.716999039 81.96000000000001, 293003.57544875215 6561253.225992624 81.96000000000001, 293006.77073781483 6561252.907769998 81.88, 293008.6201002181 6561252.811333627 81.88, 293009.02317598637 6561252.714730409 81.88, 293009.2905326487 6561252.449579876 81.88, 293009.4727174161 6561252.242326333 81.88, 293009.5146099513 6561251.927199109 81.88, 293009.5056275561 6561251.827573453 81.88, 293009.4441376124 6561251.702551291 81.88, 293009.24513208756 6561251.389056688 81.88, 293009.2016888658 6561251.352799383 81.88, 293008.86034883553 6561251.242965362 81.88, 293006.7603715979 6561251.010473157 81.8))</t>
  </si>
  <si>
    <t>['FV1336 S1D1 m4703-4711']</t>
  </si>
  <si>
    <t>LINESTRING Z (293921.9494962839 6560928.898774865 96.79, 293925.2934005525 6560924.770728931 96.74000000000001, 293924.4199714333 6560924.106259468 96.74000000000001, 293921.17659023346 6560928.235285819 96.74000000000001, 293920.26828335284 6560929.411916365 96.74000000000001, 293920.19201185985 6560929.679923212 96.74000000000001, 293920.30143486185 6560929.891014136 96.74000000000001, 293920.509584565 6560930.083160486 96.74000000000001, 293920.7640360878 6560930.120480223 96.74000000000001, 293920.97055377136 6560930.071730376 96.74000000000001, 293921.9494962839 6560928.898774865 96.79)</t>
  </si>
  <si>
    <t>POLYGON Z ((293921.9494962839 6560928.898774865 96.79, 293925.2934005525 6560924.770728931 96.74000000000001, 293924.4199714333 6560924.106259468 96.74000000000001, 293921.17659023346 6560928.235285819 96.74000000000001, 293920.26828335284 6560929.411916365 96.74000000000001, 293920.19201185985 6560929.679923212 96.74000000000001, 293920.30143486185 6560929.891014136 96.74000000000001, 293920.509584565 6560930.083160486 96.74000000000001, 293920.7640360878 6560930.120480223 96.74000000000001, 293920.97055377136 6560930.071730376 96.74000000000001, 293921.9494962839 6560928.898774865 96.79))</t>
  </si>
  <si>
    <t>[1316]</t>
  </si>
  <si>
    <t>['FV1316 S1D10 m211-228']</t>
  </si>
  <si>
    <t>LINESTRING Z (310456.9330995957 6598585.060537035 125.5, 310456.4739612414 6598578.765266641 125.48, 310455.88280350063 6598569.901020507 125.21000000000001, 310455.59587922576 6598569.615664506 125.17, 310455.23277879646 6598569.598305885 125.15, 310454.9275946184 6598569.666089368 125.12, 310454.71917547716 6598570.026392242 125.12, 310454.5250362584 6598570.877485274 125.12, 310453.9027390713 6598575.653764045 125.08, 310454.1083828958 6598579.70236737 125.08, 310454.6532142913 6598582.5051386375 125.14, 310455.2327629017 6598584.581709019 125.32000000000001, 310455.67157101934 6598585.435786982 125.34, 310456.0056430551 6598585.5762820225 125.34, 310456.3614863871 6598585.624424711 125.34, 310456.76812941104 6598585.457078583 125.33, 310456.9330995957 6598585.060537035 125.5)</t>
  </si>
  <si>
    <t>POLYGON Z ((310456.9330995957 6598585.060537035 125.5, 310456.4739612414 6598578.765266641 125.48, 310455.88280350063 6598569.901020507 125.21000000000001, 310455.59587922576 6598569.615664506 125.17, 310455.23277879646 6598569.598305885 125.15, 310454.9275946184 6598569.666089368 125.12, 310454.71917547716 6598570.026392242 125.12, 310454.5250362584 6598570.877485274 125.12, 310453.9027390713 6598575.653764045 125.08, 310454.1083828958 6598579.70236737 125.08, 310454.6532142913 6598582.5051386375 125.14, 310455.2327629017 6598584.581709019 125.32000000000001, 310455.67157101934 6598585.435786982 125.34, 310456.0056430551 6598585.5762820225 125.34, 310456.3614863871 6598585.624424711 125.34, 310456.76812941104 6598585.457078583 125.33, 310456.9330995957 6598585.060537035 125.5))</t>
  </si>
  <si>
    <t>['FV128 S2D1 m190-199']</t>
  </si>
  <si>
    <t>LINESTRING Z (310084.4726810963 6598801.113570822 121.14, 310084.47201309004 6598800.5512497155 121.14, 310083.9256206822 6598799.285117942 121.14, 310082.83990632195 6598797.163958249 121.15, 310080.64922370797 6598793.485762481 121.15, 310080.19386274065 6598793.225689155 121.15, 310079.88232193387 6598793.334218585 121.15, 310079.63140161405 6598793.557773218 121.15, 310079.48099234945 6598793.782275818 121.15, 310079.43019284005 6598793.997765409 121.15, 310080.1499149957 6598796.513572346 121.12, 310081.03280465514 6598798.612914217 121.07000000000001, 310082.26707904285 6598800.600121402 121.07000000000001, 310083.22466867324 6598801.638238695 121.07000000000001, 310083.5895262295 6598801.785990693 121.07000000000001, 310084.00067677035 6598801.6684482265 121.07000000000001, 310084.206298699 6598801.499204968 121.07000000000001, 310084.380235099 6598801.312743665 121.07000000000001, 310084.4726810963 6598801.113570822 121.14)</t>
  </si>
  <si>
    <t>POLYGON Z ((310084.4726810963 6598801.113570822 121.14, 310084.47201309004 6598800.5512497155 121.14, 310083.9256206822 6598799.285117942 121.14, 310082.83990632195 6598797.163958249 121.15, 310080.64922370797 6598793.485762481 121.15, 310080.19386274065 6598793.225689155 121.15, 310079.88232193387 6598793.334218585 121.15, 310079.63140161405 6598793.557773218 121.15, 310079.48099234945 6598793.782275818 121.15, 310079.43019284005 6598793.997765409 121.15, 310080.1499149957 6598796.513572346 121.12, 310081.03280465514 6598798.612914217 121.07000000000001, 310082.26707904285 6598800.600121402 121.07000000000001, 310083.22466867324 6598801.638238695 121.07000000000001, 310083.5895262295 6598801.785990693 121.07000000000001, 310084.00067677035 6598801.6684482265 121.07000000000001, 310084.206298699 6598801.499204968 121.07000000000001, 310084.380235099 6598801.312743665 121.07000000000001, 310084.4726810963 6598801.113570822 121.14))</t>
  </si>
  <si>
    <t>['FV128 S2D1 m7-20']</t>
  </si>
  <si>
    <t>LINESTRING Z (310183.7414296323 6598711.86155933 126.28, 310183.5013249159 6598712.204645206 126.28, 310183.2504046757 6598712.4281994775 126.28, 310183.07651502837 6598712.504188569 126.28, 310182.8012131214 6598712.569268662 126.28, 310182.19549018005 6598712.423225646 126.28, 310181.7782177946 6598712.02915321 126.28, 310180.4974657683 6598710.749128807 126.38000000000001, 310179.24948748434 6598709.054395651 126.46000000000001, 310177.6413922414 6598706.709355461 126.51, 310176.00341412146 6598704.367019086 126.56, 310175.03235341917 6598703.069015427 126.7, 310175.3603510496 6598702.58742403 126.7, 310175.6629254954 6598702.268813299 126.7, 310175.83411128086 6598702.162941316 126.7, 310177.0490221296 6598702.826287152 126.61, 310178.82407707896 6598704.352818964 126.55, 310180.516646919 6598706.077622044 126.44, 310182.2453152357 6598708.090391832 126.45, 310182.79094518675 6598709.015146163 126.41, 310183.48765202146 6598710.277718813 126.34, 310183.7414296323 6598711.86155933 126.28)</t>
  </si>
  <si>
    <t>POLYGON Z ((310183.7414296323 6598711.86155933 126.28, 310183.5013249159 6598712.204645206 126.28, 310183.2504046757 6598712.4281994775 126.28, 310183.07651502837 6598712.504188569 126.28, 310182.8012131214 6598712.569268662 126.28, 310182.19549018005 6598712.423225646 126.28, 310181.7782177946 6598712.02915321 126.28, 310180.4974657683 6598710.749128807 126.38000000000001, 310179.24948748434 6598709.054395651 126.46000000000001, 310177.6413922414 6598706.709355461 126.51, 310176.00341412146 6598704.367019086 126.56, 310175.03235341917 6598703.069015427 126.7, 310175.3603510496 6598702.58742403 126.7, 310175.6629254954 6598702.268813299 126.7, 310175.83411128086 6598702.162941316 126.7, 310177.0490221296 6598702.826287152 126.61, 310178.82407707896 6598704.352818964 126.55, 310180.516646919 6598706.077622044 126.44, 310182.2453152357 6598708.090391832 126.45, 310182.79094518675 6598709.015146163 126.41, 310183.48765202146 6598710.277718813 126.34, 310183.7414296323 6598711.86155933 126.28))</t>
  </si>
  <si>
    <t>[1332]</t>
  </si>
  <si>
    <t>['FV1332 S1D1 m6-15']</t>
  </si>
  <si>
    <t>LINESTRING Z (293949.9074180243 6560928.195984692 97.59, 293950.89451440517 6560929.452814034 97.64, 293950.9069249234 6560929.813260031 97.69, 293950.79537673906 6560930.024186507 97.69, 293950.6458572154 6560930.148145211 97.69, 293950.4991145144 6560930.191505798 97.69, 293950.2754487281 6560930.161453938 97.69, 293949.0691775873 6560928.924385173 97.64, 293944.3551480201 6560924.4280969165 97.29, 293946.5960624528 6560922.6592770135 97.24000000000001, 293949.9074180243 6560928.195984692 97.59)</t>
  </si>
  <si>
    <t>POLYGON Z ((293949.9074180243 6560928.195984692 97.59, 293950.89451440517 6560929.452814034 97.64, 293950.9069249234 6560929.813260031 97.69, 293950.79537673906 6560930.024186507 97.69, 293950.6458572154 6560930.148145211 97.69, 293950.4991145144 6560930.191505798 97.69, 293950.2754487281 6560930.161453938 97.69, 293949.0691775873 6560928.924385173 97.64, 293944.3551480201 6560924.4280969165 97.29, 293946.5960624528 6560922.6592770135 97.24000000000001, 293949.9074180243 6560928.195984692 97.59))</t>
  </si>
  <si>
    <t>2025-12-12T13:09:05Z</t>
  </si>
  <si>
    <t>['FV118 S4D1 m3573-3585']</t>
  </si>
  <si>
    <t>LINESTRING Z (280789.8861447796 6576457.958121512 58.33, 280789.6397555347 6576458.0105013475 58.33, 280789.42962207756 6576458.01942882 58.33, 280788.9822997928 6576457.84887649 58.370000000000005, 280788.6691375746 6576457.4954507835 58.38, 280788.42232641217 6576456.764379181 58.38, 280787.6721775072 6576451.237188641 58.550000000000004, 280787.49406254804 6576449.264411965 58.6, 280787.42527334334 6576447.7237331085 58.63, 280787.3525322863 6576445.249250463 58.660000000000004, 280787.48413015966 6576444.815489991 58.67, 280787.6926009766 6576444.56563895 58.69, 280787.92003101215 6576444.414523531 58.71, 280788.51050906774 6576444.5018377295 58.7, 280788.8192416448 6576444.694947605 58.67, 280788.95582744933 6576444.983957889 58.67, 280789.0643900869 6576445.185095649 58.660000000000004, 280789.1660538827 6576447.757414305 58.64, 280789.3968340175 6576450.981028178 58.57, 280790.1674558396 6576455.622433315 58.39, 280790.4229215168 6576457.005631454 58.34, 280790.3448078029 6576457.364249878 58.35, 280790.1480314414 6576457.743626672 58.34, 280789.8861447796 6576457.958121512 58.33)</t>
  </si>
  <si>
    <t>POLYGON Z ((280789.8861447796 6576457.958121512 58.33, 280789.6397555347 6576458.0105013475 58.33, 280789.42962207756 6576458.01942882 58.33, 280788.9822997928 6576457.84887649 58.370000000000005, 280788.6691375746 6576457.4954507835 58.38, 280788.42232641217 6576456.764379181 58.38, 280787.6721775072 6576451.237188641 58.550000000000004, 280787.49406254804 6576449.264411965 58.6, 280787.42527334334 6576447.7237331085 58.63, 280787.3525322863 6576445.249250463 58.660000000000004, 280787.48413015966 6576444.815489991 58.67, 280787.6926009766 6576444.56563895 58.69, 280787.92003101215 6576444.414523531 58.71, 280788.51050906774 6576444.5018377295 58.7, 280788.8192416448 6576444.694947605 58.67, 280788.95582744933 6576444.983957889 58.67, 280789.0643900869 6576445.185095649 58.660000000000004, 280789.1660538827 6576447.757414305 58.64, 280789.3968340175 6576450.981028178 58.57, 280790.1674558396 6576455.622433315 58.39, 280790.4229215168 6576457.005631454 58.34, 280790.3448078029 6576457.364249878 58.35, 280790.1480314414 6576457.743626672 58.34, 280789.8861447796 6576457.958121512 58.33))</t>
  </si>
  <si>
    <t>['FV118 S6D1 m5-21']</t>
  </si>
  <si>
    <t>LINESTRING Z (275908.6853517133 6579549.750175733 46.21, 275906.8966396572 6579552.52346295 46.14, 275906.6491450197 6579552.897395751 46.15, 275905.4414980571 6579554.874863107 46.08, 275905.31916603964 6579554.966272501 46.08, 275905.01658376056 6579555.063915354 46.09, 275904.8471972649 6579555.079212871 46.09, 275904.5836362953 6579555.052789515 46.07, 275904.42787864455 6579554.996539945 46.06, 275904.2522586887 6579554.831587198 46.06, 275904.1391872824 6579554.580624182 46.08, 275904.1112262929 6579554.382245804 46.09, 275904.158477327 6579554.1268490385 46.1, 275905.57196360454 6579551.759120456 46.14, 275907.24567355344 6579548.935948137 46.18, 275909.88860001275 6579544.498377707 46.39, 275911.75998517266 6579541.3057721 46.43, 275911.95026486524 6579541.188135935 46.43, 275912.2763743693 6579541.128549061 46.410000000000004, 275912.53087125986 6579541.165836208 46.42, 275912.8586494066 6579541.3471829025 46.39, 275912.9491589271 6579541.45955101 46.4, 275913.01697553723 6579541.654329964 46.43, 275913.053935032 6579541.952347439 46.45, 275913.0029535054 6579542.388894283 46.43, 275910.15765610826 6579547.477587137 46.31, 275908.6853517133 6579549.750175733 46.21)</t>
  </si>
  <si>
    <t>POLYGON Z ((275908.6853517133 6579549.750175733 46.21, 275906.8966396572 6579552.52346295 46.14, 275906.6491450197 6579552.897395751 46.15, 275905.4414980571 6579554.874863107 46.08, 275905.31916603964 6579554.966272501 46.08, 275905.01658376056 6579555.063915354 46.09, 275904.8471972649 6579555.079212871 46.09, 275904.5836362953 6579555.052789515 46.07, 275904.42787864455 6579554.996539945 46.06, 275904.2522586887 6579554.831587198 46.06, 275904.1391872824 6579554.580624182 46.08, 275904.1112262929 6579554.382245804 46.09, 275904.158477327 6579554.1268490385 46.1, 275905.57196360454 6579551.759120456 46.14, 275907.24567355344 6579548.935948137 46.18, 275909.88860001275 6579544.498377707 46.39, 275911.75998517266 6579541.3057721 46.43, 275911.95026486524 6579541.188135935 46.43, 275912.2763743693 6579541.128549061 46.410000000000004, 275912.53087125986 6579541.165836208 46.42, 275912.8586494066 6579541.3471829025 46.39, 275912.9491589271 6579541.45955101 46.4, 275913.01697553723 6579541.654329964 46.43, 275913.053935032 6579541.952347439 46.45, 275913.0029535054 6579542.388894283 46.43, 275910.15765610826 6579547.477587137 46.31, 275908.6853517133 6579549.750175733 46.21))</t>
  </si>
  <si>
    <t>['FV118 S6D1 m334-388']</t>
  </si>
  <si>
    <t>LINESTRING Z (275719.80876646854 6579775.798155163 44.97, 275720.6034130232 6579778.36827475 44.96, 275722.94627086876 6579786.624784167 44.84, 275724.9070311893 6579794.654626711 44.68, 275726.78114279814 6579802.1699444 44.6, 275728.85568023485 6579810.792222703 44.46, 275730.9208278254 6579819.977879771 44.4, 275732.123068372 6579825.61515316 44.34, 275732.1990497131 6579825.78910454 44.36, 275732.2940590263 6579825.951292239 44.36, 275732.3972325092 6579826.092652212 44.35, 275732.528498011 6579826.211384699 44.34, 275732.58191714354 6579826.246741011 44.34, 275732.7304108622 6579826.3337819725 44.34, 275732.9060967219 6579826.388231527 44.35, 275733.06911902427 6579826.413689186 44.36, 275733.2692973922 6579826.40565556 44.36, 275733.5338239665 6579826.331539248 44.38, 275733.8536346997 6579826.20220405 44.39, 275734.00135908433 6579826.05827499 44.39, 275734.0784361204 6579825.91068115 44.4, 275734.1337855529 6579825.744959217 44.410000000000004, 275734.2073936262 6579825.336503589 44.410000000000004, 275734.1505055319 6579825.040285488 44.410000000000004, 275732.3615172944 6579816.02054652 44.49, 275730.82725990796 6579809.710094979 44.56, 275729.65079003514 6579804.914290463 44.62, 275729.3034238236 6579802.625222057 44.65, 275729.1366346647 6579799.777404562 44.64, 275728.8961211246 6579796.002042157 44.76, 275728.72668344027 6579794.57083645 44.84, 275728.383620887 6579792.663096784 44.83, 275728.16686732613 6579791.597791367 44.85, 275727.7456319417 6579790.159190732 44.9, 275727.09015358647 6579788.128988391 44.85, 275725.5425664487 6579784.451581552 44.85, 275722.9164516345 6579778.842450282 44.96, 275721.05471443804 6579774.912149603 45.01, 275720.89265732584 6579774.78615274 45.01, 275720.78581908206 6579774.715440067 45.02, 275720.6400250081 6579774.658290809 45.02, 275720.53588638373 6579774.617469911 45.02, 275720.3664996445 6579774.6327677565 45.03, 275720.22790455597 6579774.65532991 45.01, 275720.0521533829 6579774.71138333 44.97, 275719.90352904727 6579774.845348409 44.96, 275719.8119233274 6579775.054525536 44.97, 275719.7411453327 6579775.271866837 44.980000000000004, 275719.80876646854 6579775.798155163 44.97)</t>
  </si>
  <si>
    <t>POLYGON Z ((275719.80876646854 6579775.798155163 44.97, 275720.6034130232 6579778.36827475 44.96, 275722.94627086876 6579786.624784167 44.84, 275724.9070311893 6579794.654626711 44.68, 275726.78114279814 6579802.1699444 44.6, 275728.85568023485 6579810.792222703 44.46, 275730.9208278254 6579819.977879771 44.4, 275732.123068372 6579825.61515316 44.34, 275732.1990497131 6579825.78910454 44.36, 275732.2940590263 6579825.951292239 44.36, 275732.3972325092 6579826.092652212 44.35, 275732.528498011 6579826.211384699 44.34, 275732.58191714354 6579826.246741011 44.34, 275732.7304108622 6579826.3337819725 44.34, 275732.9060967219 6579826.388231527 44.35, 275733.06911902427 6579826.413689186 44.36, 275733.2692973922 6579826.40565556 44.36, 275733.5338239665 6579826.331539248 44.38, 275733.8536346997 6579826.20220405 44.39, 275734.00135908433 6579826.05827499 44.39, 275734.0784361204 6579825.91068115 44.4, 275734.1337855529 6579825.744959217 44.410000000000004, 275734.2073936262 6579825.336503589 44.410000000000004, 275734.1505055319 6579825.040285488 44.410000000000004, 275732.3615172944 6579816.02054652 44.49, 275730.82725990796 6579809.710094979 44.56, 275729.65079003514 6579804.914290463 44.62, 275729.3034238236 6579802.625222057 44.65, 275729.1366346647 6579799.777404562 44.64, 275728.8961211246 6579796.002042157 44.76, 275728.72668344027 6579794.57083645 44.84, 275728.383620887 6579792.663096784 44.83, 275728.16686732613 6579791.597791367 44.85, 275727.7456319417 6579790.159190732 44.9, 275727.09015358647 6579788.128988391 44.85, 275725.5425664487 6579784.451581552 44.85, 275722.9164516345 6579778.842450282 44.96, 275721.05471443804 6579774.912149603 45.01, 275720.89265732584 6579774.78615274 45.01, 275720.78581908206 6579774.715440067 45.02, 275720.6400250081 6579774.658290809 45.02, 275720.53588638373 6579774.617469911 45.02, 275720.3664996445 6579774.6327677565 45.03, 275720.22790455597 6579774.65532991 45.01, 275720.0521533829 6579774.71138333 44.97, 275719.90352904727 6579774.845348409 44.96, 275719.8119233274 6579775.054525536 44.97, 275719.7411453327 6579775.271866837 44.980000000000004, 275719.80876646854 6579775.798155163 44.97))</t>
  </si>
  <si>
    <t>['FV118 S6D1 m403-426']</t>
  </si>
  <si>
    <t>LINESTRING Z (275738.6580621861 6579845.697966584 44.32, 275736.6289318106 6579841.471384054 44.31, 275736.562849115 6579841.407035859 44.32, 275736.47773844923 6579841.354451344 44.32, 275736.416155147 6579841.339922766 44.32, 275736.30475222354 6579841.3298935825 44.32, 275736.1543934819 6579841.333427841 44.300000000000004, 275735.9206585729 6579841.414808473 44.26, 275735.65246723907 6579841.559572167 44.27, 275735.5790549965 6579841.636518669 44.27, 275735.53366951086 6579841.801340729 44.26, 275735.52903960086 6579841.9725271985 44.25, 275735.54420702485 6579842.362920005 44.27, 275735.7521443025 6579844.5540834535 44.31, 275736.15936010407 6579846.727249314 44.300000000000004, 275737.2802864689 6579852.020284284 44.29, 275737.99946159625 6579855.089433868 44.25, 275738.6104554625 6579857.29442168 44.29, 275739.17459035595 6579859.0917884745 44.26, 275739.82653558673 6579860.971631517 44.29, 275740.3474762689 6579862.290729936 44.34, 275740.59811316803 6579862.730172939 44.32, 275740.74474190525 6579862.907789041 44.29, 275740.8995348053 6579863.064577417 44.300000000000004, 275741.0615919875 6579863.190574143 44.31, 275741.21008572425 6579863.277615054 44.32, 275741.34501601494 6579863.32570015 44.33, 275741.51800223906 6579863.350257876 44.36, 275741.7299442766 6579863.361252152 44.37, 275742.07418220036 6579863.279936718 44.37, 275742.27622555196 6579863.18132784 44.34, 275742.40582179645 6579863.059126352 44.37, 275742.5717394518 6579862.78296661 44.38, 275742.6434823936 6579862.465086178 44.4, 275742.65640691423 6579862.052065909 44.410000000000004, 275742.3280676006 6579859.751234201 44.39, 275741.4973072672 6579855.446558218 44.39, 275740.49599950435 6579851.589228371 44.38, 275739.12095366366 6579847.152895237 44.37, 275738.6580621861 6579845.697966584 44.32)</t>
  </si>
  <si>
    <t>POLYGON Z ((275738.6580621861 6579845.697966584 44.32, 275736.6289318106 6579841.471384054 44.31, 275736.562849115 6579841.407035859 44.32, 275736.47773844923 6579841.354451344 44.32, 275736.416155147 6579841.339922766 44.32, 275736.30475222354 6579841.3298935825 44.32, 275736.1543934819 6579841.333427841 44.300000000000004, 275735.9206585729 6579841.414808473 44.26, 275735.65246723907 6579841.559572167 44.27, 275735.5790549965 6579841.636518669 44.27, 275735.53366951086 6579841.801340729 44.26, 275735.52903960086 6579841.9725271985 44.25, 275735.54420702485 6579842.362920005 44.27, 275735.7521443025 6579844.5540834535 44.31, 275736.15936010407 6579846.727249314 44.300000000000004, 275737.2802864689 6579852.020284284 44.29, 275737.99946159625 6579855.089433868 44.25, 275738.6104554625 6579857.29442168 44.29, 275739.17459035595 6579859.0917884745 44.26, 275739.82653558673 6579860.971631517 44.29, 275740.3474762689 6579862.290729936 44.34, 275740.59811316803 6579862.730172939 44.32, 275740.74474190525 6579862.907789041 44.29, 275740.8995348053 6579863.064577417 44.300000000000004, 275741.0615919875 6579863.190574143 44.31, 275741.21008572425 6579863.277615054 44.32, 275741.34501601494 6579863.32570015 44.33, 275741.51800223906 6579863.350257876 44.36, 275741.7299442766 6579863.361252152 44.37, 275742.07418220036 6579863.279936718 44.37, 275742.27622555196 6579863.18132784 44.34, 275742.40582179645 6579863.059126352 44.37, 275742.5717394518 6579862.78296661 44.38, 275742.6434823936 6579862.465086178 44.4, 275742.65640691423 6579862.052065909 44.410000000000004, 275742.3280676006 6579859.751234201 44.39, 275741.4973072672 6579855.446558218 44.39, 275740.49599950435 6579851.589228371 44.38, 275739.12095366366 6579847.152895237 44.37, 275738.6580621861 6579845.697966584 44.32))</t>
  </si>
  <si>
    <t>['FV118 S6D1 m438-481']</t>
  </si>
  <si>
    <t>LINESTRING Z (275740.5180082914 6579917.122096975 44.77, 275742.04449561547 6579907.441297308 44.68, 275742.5899156744 6579902.580389384 44.67, 275743.1909591037 6579895.554740909 44.58, 275743.47333992133 6579889.78338612 44.57, 275743.65462131274 6579881.891580675 44.54, 275743.5766974607 6579875.801184732 44.45, 275743.51164508413 6579875.525794404 44.47, 275743.4555915231 6579875.350043307 44.47, 275743.40493725124 6579875.23407575 44.47, 275743.2465448122 6579875.0374317 44.47, 275743.10171582235 6579874.879743462 44.44, 275742.9314944693 6579874.774574483 44.42, 275742.79476441245 6579874.706561553 44.42, 275742.5882868911 6579874.644847794 44.410000000000004, 275742.2821701345 6579874.5921328515 44.4, 275742.13361116283 6579874.615594996 44.39, 275741.91890425206 6579874.685212007 44.37, 275741.69693306193 6579874.785620667 44.36, 275741.59542883583 6579874.885194678 44.35, 275741.3760920625 6579875.125998151 44.37, 275741.2972153282 6579875.2536641685 44.37, 275741.21910802193 6579875.612300192 44.37, 275741.2538120466 6579876.663911459 44.5, 275741.26583569107 6579883.915456726 44.45, 275741.21992851805 6579884.96430313 44.52, 275741.08864980366 6579886.402577216 44.52, 275740.9365433764 6579887.832687149 44.6, 275740.2526059554 6579891.048647779 44.52, 275739.3606391044 6579895.2979612285 44.550000000000004, 275739.14495408384 6579897.025123933 44.54, 275739.0966734054 6579897.491563374 44.54, 275738.9890266872 6579901.860900422 44.59, 275738.69498741906 6579910.506234515 44.68, 275738.3271709377 6579916.777520379 44.67, 275738.3595667981 6579917.136221631 44.68, 275738.3694655335 6579917.2458247915 44.69, 275738.39929211605 6579917.353628181 44.7, 275738.4852375122 6579917.526679611 44.71, 275738.5793470622 6579917.678903307 44.71, 275738.67982099566 6579917.790371426 44.72, 275738.82015062345 6579917.898240003 44.730000000000004, 275738.93875263387 6579917.987980502 44.74, 275739.1262022241 6579918.061457884 44.75, 275739.26929669455 6579918.088715187 44.75, 275739.4386833948 6579918.073417141 44.75, 275739.5963064012 6579918.039091132 44.75, 275739.82007733174 6579917.958610236 44.76, 275740.0973326074 6579917.802982561 44.75, 275740.2550208004 6579917.658153508 44.75, 275740.3946461051 6579917.424549031 44.76, 275740.5180082914 6579917.122096975 44.77)</t>
  </si>
  <si>
    <t>POLYGON Z ((275740.5180082914 6579917.122096975 44.77, 275742.04449561547 6579907.441297308 44.68, 275742.5899156744 6579902.580389384 44.67, 275743.1909591037 6579895.554740909 44.58, 275743.47333992133 6579889.78338612 44.57, 275743.65462131274 6579881.891580675 44.54, 275743.5766974607 6579875.801184732 44.45, 275743.51164508413 6579875.525794404 44.47, 275743.4555915231 6579875.350043307 44.47, 275743.40493725124 6579875.23407575 44.47, 275743.2465448122 6579875.0374317 44.47, 275743.10171582235 6579874.879743462 44.44, 275742.9314944693 6579874.774574483 44.42, 275742.79476441245 6579874.706561553 44.42, 275742.5882868911 6579874.644847794 44.410000000000004, 275742.2821701345 6579874.5921328515 44.4, 275742.13361116283 6579874.615594996 44.39, 275741.91890425206 6579874.685212007 44.37, 275741.69693306193 6579874.785620667 44.36, 275741.59542883583 6579874.885194678 44.35, 275741.3760920625 6579875.125998151 44.37, 275741.2972153282 6579875.2536641685 44.37, 275741.21910802193 6579875.612300192 44.37, 275741.2538120466 6579876.663911459 44.5, 275741.26583569107 6579883.915456726 44.45, 275741.21992851805 6579884.96430313 44.52, 275741.08864980366 6579886.402577216 44.52, 275740.9365433764 6579887.832687149 44.6, 275740.2526059554 6579891.048647779 44.52, 275739.3606391044 6579895.2979612285 44.550000000000004, 275739.14495408384 6579897.025123933 44.54, 275739.0966734054 6579897.491563374 44.54, 275738.9890266872 6579901.860900422 44.59, 275738.69498741906 6579910.506234515 44.68, 275738.3271709377 6579916.777520379 44.67, 275738.3595667981 6579917.136221631 44.68, 275738.3694655335 6579917.2458247915 44.69, 275738.39929211605 6579917.353628181 44.7, 275738.4852375122 6579917.526679611 44.71, 275738.5793470622 6579917.678903307 44.71, 275738.67982099566 6579917.790371426 44.72, 275738.82015062345 6579917.898240003 44.730000000000004, 275738.93875263387 6579917.987980502 44.74, 275739.1262022241 6579918.061457884 44.75, 275739.26929669455 6579918.088715187 44.75, 275739.4386833948 6579918.073417141 44.75, 275739.5963064012 6579918.039091132 44.75, 275739.82007733174 6579917.958610236 44.76, 275740.0973326074 6579917.802982561 44.75, 275740.2550208004 6579917.658153508 44.75, 275740.3946461051 6579917.424549031 44.76, 275740.5180082914 6579917.122096975 44.77))</t>
  </si>
  <si>
    <t>['FV118 S5D1 m5-21']</t>
  </si>
  <si>
    <t>LINESTRING Z (279789.4500377268 6577116.389411945 41.480000000000004, 279789.6858362034 6577115.885969533 41.54, 279789.6996012998 6577115.593426646 41.54, 279789.5168609725 6577115.238267954 41.53, 279789.1827997429 6577114.987175749 41.54, 279788.8739958378 6577114.904565088 41.56, 279788.6249058663 6577114.92705586 41.54, 279788.43919601105 6577114.984003243 41.53, 279788.2062993957 6577115.185838797 41.53, 279787.9525082932 6577115.490009237 41.51, 279787.00868536904 6577117.051818433 41.410000000000004, 279786.3341502539 6577118.147340733 41.33, 279785.76845041313 6577119.002005059 41.300000000000004, 279784.9670874135 6577120.139113385 41.21, 279784.1258700218 6577121.279820254 41.12, 279783.10350858414 6577122.416793307 41.07, 279781.30448012275 6577124.296896605 40.94, 279779.4510678558 6577126.242179348 40.84, 279779.3386340679 6577126.443182956 40.800000000000004, 279779.3474950911 6577126.763817409 40.78, 279779.50857665273 6577126.99034895 40.78, 279779.7041824681 6577127.043001137 40.800000000000004, 279779.9831632555 6577127.017811444 40.800000000000004, 279780.2440837547 6577126.903848982 40.82, 279780.91468205693 6577126.320968311 40.84, 279783.4505231116 6577123.701333284 41.02, 279785.35112210806 6577121.611162472 41.17, 279786.63910514244 6577120.078547337 41.29, 279788.3994494444 6577117.770009434 41.4, 279789.4500377268 6577116.389411945 41.480000000000004)</t>
  </si>
  <si>
    <t>POLYGON Z ((279789.4500377268 6577116.389411945 41.480000000000004, 279789.6858362034 6577115.885969533 41.54, 279789.6996012998 6577115.593426646 41.54, 279789.5168609725 6577115.238267954 41.53, 279789.1827997429 6577114.987175749 41.54, 279788.8739958378 6577114.904565088 41.56, 279788.6249058663 6577114.92705586 41.54, 279788.43919601105 6577114.984003243 41.53, 279788.2062993957 6577115.185838797 41.53, 279787.9525082932 6577115.490009237 41.51, 279787.00868536904 6577117.051818433 41.410000000000004, 279786.3341502539 6577118.147340733 41.33, 279785.76845041313 6577119.002005059 41.300000000000004, 279784.9670874135 6577120.139113385 41.21, 279784.1258700218 6577121.279820254 41.12, 279783.10350858414 6577122.416793307 41.07, 279781.30448012275 6577124.296896605 40.94, 279779.4510678558 6577126.242179348 40.84, 279779.3386340679 6577126.443182956 40.800000000000004, 279779.3474950911 6577126.763817409 40.78, 279779.50857665273 6577126.99034895 40.78, 279779.7041824681 6577127.043001137 40.800000000000004, 279779.9831632555 6577127.017811444 40.800000000000004, 279780.2440837547 6577126.903848982 40.82, 279780.91468205693 6577126.320968311 40.84, 279783.4505231116 6577123.701333284 41.02, 279785.35112210806 6577121.611162472 41.17, 279786.63910514244 6577120.078547337 41.29, 279788.3994494444 6577117.770009434 41.4, 279789.4500377268 6577116.389411945 41.480000000000004))</t>
  </si>
  <si>
    <t>['FV118 S5D1 m1647-1666']</t>
  </si>
  <si>
    <t>LINESTRING Z (278732.5134259948 6578268.708997201 50.7, 278729.7580850987 6578270.344007992 50.85, 278722.24500320025 6578274.799341962 51.38, 278721.62725489214 6578274.855125413 51.42, 278721.3555362673 6578274.849527159 51.43, 278721.04762846255 6578274.776882325 51.43, 278720.67640624865 6578274.559280923 51.44, 278720.49456062086 6578274.21408435 51.45, 278720.4386439343 6578273.817336513 51.43, 278720.4759993241 6578273.452345813 51.4, 278720.57763547474 6578273.131775126 51.4, 278728.3826966317 6578268.12773884 50.9, 278731.11727711896 6578266.374063636 50.730000000000004, 278733.157798911 6578265.054725176 50.65, 278735.50816116255 6578263.60695852 50.49, 278735.92393658066 6578263.53927873 50.47, 278736.3741017012 6578263.518718147 50.45, 278736.7680170331 6578263.653910909 50.44, 278737.11384679406 6578263.924029919 50.46, 278737.4052928607 6578264.259329407 50.47, 278737.5101281825 6578264.641614844 50.46, 278737.453745143 6578265.018368635 50.46, 278737.33308135683 6578265.350702416 50.46, 278733.1041822729 6578268.3543033395 50.660000000000004, 278732.5134259948 6578268.708997201 50.7)</t>
  </si>
  <si>
    <t>POLYGON Z ((278732.5134259948 6578268.708997201 50.7, 278729.7580850987 6578270.344007992 50.85, 278722.24500320025 6578274.799341962 51.38, 278721.62725489214 6578274.855125413 51.42, 278721.3555362673 6578274.849527159 51.43, 278721.04762846255 6578274.776882325 51.43, 278720.67640624865 6578274.559280923 51.44, 278720.49456062086 6578274.21408435 51.45, 278720.4386439343 6578273.817336513 51.43, 278720.4759993241 6578273.452345813 51.4, 278720.57763547474 6578273.131775126 51.4, 278728.3826966317 6578268.12773884 50.9, 278731.11727711896 6578266.374063636 50.730000000000004, 278733.157798911 6578265.054725176 50.65, 278735.50816116255 6578263.60695852 50.49, 278735.92393658066 6578263.53927873 50.47, 278736.3741017012 6578263.518718147 50.45, 278736.7680170331 6578263.653910909 50.44, 278737.11384679406 6578263.924029919 50.46, 278737.4052928607 6578264.259329407 50.47, 278737.5101281825 6578264.641614844 50.46, 278737.453745143 6578265.018368635 50.46, 278737.33308135683 6578265.350702416 50.46, 278733.1041822729 6578268.3543033395 50.660000000000004, 278732.5134259948 6578268.708997201 50.7))</t>
  </si>
  <si>
    <t>['FV118 S5D1 m1885-1888']</t>
  </si>
  <si>
    <t>LINESTRING Z (278528.95460742706 6578382.8591329 53.46, 278531.17301122105 6578380.951165427 53.43, 278531.3209333072 6578380.475740216 53.47, 278531.2965737234 6578380.317220789 53.47, 278530.9562746189 6578379.8858829755 53.480000000000004, 278530.6583299532 6578379.812338541 53.46, 278530.40017355117 6578379.845695551 53.46, 278529.7523336065 6578380.235680093 53.47, 278528.01701862406 6578381.597776292 53.370000000000005, 278528.95460742706 6578382.8591329 53.46)</t>
  </si>
  <si>
    <t>POLYGON Z ((278528.95460742706 6578382.8591329 53.46, 278531.17301122105 6578380.951165427 53.43, 278531.3209333072 6578380.475740216 53.47, 278531.2965737234 6578380.317220789 53.47, 278530.9562746189 6578379.8858829755 53.480000000000004, 278530.6583299532 6578379.812338541 53.46, 278530.40017355117 6578379.845695551 53.46, 278529.7523336065 6578380.235680093 53.47, 278528.01701862406 6578381.597776292 53.370000000000005, 278528.95460742706 6578382.8591329 53.46))</t>
  </si>
  <si>
    <t>['FV118 S5D1 m2160-2163']</t>
  </si>
  <si>
    <t>LINESTRING Z (278316.86092342925 6578552.445056063 40.22, 278314.71502983995 6578554.266122314 40.03, 278314.6407186701 6578554.333102671 40.03, 278314.3363422948 6578554.410813757 39.980000000000004, 278314.2557328158 6578554.40804811 39.97, 278313.5513401784 6578553.949318981 39.92, 278313.44913649687 6578553.707424169 39.910000000000004, 278313.39128646837 6578553.511748901 39.93, 278313.38865356625 6578553.37135713 39.94, 278313.4549332851 6578553.104202708 39.95, 278315.31991062826 6578551.509403506 40.11, 278315.62801878527 6578551.250546044 40.13, 278316.86092342925 6578552.445056063 40.22)</t>
  </si>
  <si>
    <t>POLYGON Z ((278316.86092342925 6578552.445056063 40.22, 278314.71502983995 6578554.266122314 40.03, 278314.6407186701 6578554.333102671 40.03, 278314.3363422948 6578554.410813757 39.980000000000004, 278314.2557328158 6578554.40804811 39.97, 278313.5513401784 6578553.949318981 39.92, 278313.44913649687 6578553.707424169 39.910000000000004, 278313.39128646837 6578553.511748901 39.93, 278313.38865356625 6578553.37135713 39.94, 278313.4549332851 6578553.104202708 39.95, 278315.31991062826 6578551.509403506 40.11, 278315.62801878527 6578551.250546044 40.13, 278316.86092342925 6578552.445056063 40.22))</t>
  </si>
  <si>
    <t>['FV118 S5D1 m2187-2189']</t>
  </si>
  <si>
    <t>LINESTRING Z (278294.99467688333 6578571.707044858 38.35, 278295.7586158054 6578571.0454052575 38.43, 278295.8284281788 6578570.928606298 38.42, 278295.8194305797 6578570.828969133 38.42, 278295.660276545 6578570.401362723 38.38, 278295.59786132385 6578570.26636949 38.38, 278295.5408446619 6578570.191158556 38.38, 278294.97137872846 6578569.780514864 38.35, 278294.84911484935 6578569.761420832 38.36, 278294.6996590996 6578569.77491723 38.36, 278293.9085282931 6578570.469147254 38.300000000000004, 278293.88493546203 6578570.541592548 38.300000000000004, 278293.8894342617 6578570.591411135 38.300000000000004, 278294.8660483271 6578571.728705453 38.35, 278294.91676666995 6578571.734170369 38.36, 278294.99467688333 6578571.707044858 38.35)</t>
  </si>
  <si>
    <t>POLYGON Z ((278294.99467688333 6578571.707044858 38.35, 278295.7586158054 6578571.0454052575 38.43, 278295.8284281788 6578570.928606298 38.42, 278295.8194305797 6578570.828969133 38.42, 278295.660276545 6578570.401362723 38.38, 278295.59786132385 6578570.26636949 38.38, 278295.5408446619 6578570.191158556 38.38, 278294.97137872846 6578569.780514864 38.35, 278294.84911484935 6578569.761420832 38.36, 278294.6996590996 6578569.77491723 38.36, 278293.9085282931 6578570.469147254 38.300000000000004, 278293.88493546203 6578570.541592548 38.300000000000004, 278293.8894342617 6578570.591411135 38.300000000000004, 278294.8660483271 6578571.728705453 38.35, 278294.91676666995 6578571.734170369 38.36, 278294.99467688333 6578571.707044858 38.35))</t>
  </si>
  <si>
    <t>['FV118 S5D1 m2811-2813']</t>
  </si>
  <si>
    <t>LINESTRING Z (277836.70131023915 6578981.4833194455 39.12, 277836.31158420205 6578980.393473214 39.09, 277837.8235732303 6578979.89530967 39.050000000000004, 277838.2491172336 6578980.158230401 39.08, 277838.3016353866 6578980.183622677 39.08, 277838.38667819457 6578980.346707898 39.08, 277838.44182974455 6578980.5124925105 39.08, 277838.4544268943 6578980.651985051 39.08, 277838.3664207278 6578980.901012876 39.08, 277836.70131023915 6578981.4833194455 39.12)</t>
  </si>
  <si>
    <t>POLYGON Z ((277836.70131023915 6578981.4833194455 39.12, 277836.31158420205 6578980.393473214 39.09, 277837.8235732303 6578979.89530967 39.050000000000004, 277838.2491172336 6578980.158230401 39.08, 277838.3016353866 6578980.183622677 39.08, 277838.38667819457 6578980.346707898 39.08, 277838.44182974455 6578980.5124925105 39.08, 277838.4544268943 6578980.651985051 39.08, 277838.3664207278 6578980.901012876 39.08, 277836.70131023915 6578981.4833194455 39.12))</t>
  </si>
  <si>
    <t>2025-12-12T11:17:52Z</t>
  </si>
  <si>
    <t>['FV118 S5D1 m3222-3229']</t>
  </si>
  <si>
    <t>LINESTRING Z (277428.53291319794 6579034.777512824 41.19, 277425.4900292151 6579035.564604886 41.17, 277424.16927859647 6579035.844599085 41.22, 277423.9808664442 6579035.871659131 41.21, 277423.8486378023 6579035.853465211 41.22, 277423.721873932 6579035.784552549 41.24, 277423.62230201357 6579035.683049115 41.25, 277423.5843124249 6579035.596074443 41.24, 277423.55905198597 6579035.427589862 41.22, 277423.557318334 6579035.297160828 41.21, 277423.57551225624 6579035.164932185 41.19, 277423.60906878405 6579035.091586462 41.18, 277423.7287001843 6579034.970287365 41.160000000000004, 277423.85463020526 6579034.918734776 41.17, 277425.2388287175 6579034.562695453 41.160000000000004, 277428.3161030875 6579033.822722945 41.19, 277429.9702235934 6579033.452352761 41.21, 277430.1250792099 6579033.498638436 41.2, 277430.28893285507 6579033.64456198 41.2, 277430.3395856356 6579033.760528209 41.2, 277430.38387384126 6579033.917249385 41.22, 277430.3656799187 6579034.049478019 41.230000000000004, 277430.2378843435 6579034.191604486 41.25, 277430.0801974087 6579034.3364303615 41.28, 277429.7920814442 6579034.482989889 41.27, 277429.52845802146 6579034.567067286 41.27, 277429.0075757497 6579034.694467136 41.21, 277428.53291319794 6579034.777512824 41.19)</t>
  </si>
  <si>
    <t>POLYGON Z ((277428.53291319794 6579034.777512824 41.19, 277425.4900292151 6579035.564604886 41.17, 277424.16927859647 6579035.844599085 41.22, 277423.9808664442 6579035.871659131 41.21, 277423.8486378023 6579035.853465211 41.22, 277423.721873932 6579035.784552549 41.24, 277423.62230201357 6579035.683049115 41.25, 277423.5843124249 6579035.596074443 41.24, 277423.55905198597 6579035.427589862 41.22, 277423.557318334 6579035.297160828 41.21, 277423.57551225624 6579035.164932185 41.19, 277423.60906878405 6579035.091586462 41.18, 277423.7287001843 6579034.970287365 41.160000000000004, 277423.85463020526 6579034.918734776 41.17, 277425.2388287175 6579034.562695453 41.160000000000004, 277428.3161030875 6579033.822722945 41.19, 277429.9702235934 6579033.452352761 41.21, 277430.1250792099 6579033.498638436 41.2, 277430.28893285507 6579033.64456198 41.2, 277430.3395856356 6579033.760528209 41.2, 277430.38387384126 6579033.917249385 41.22, 277430.3656799187 6579034.049478019 41.230000000000004, 277430.2378843435 6579034.191604486 41.25, 277430.0801974087 6579034.3364303615 41.28, 277429.7920814442 6579034.482989889 41.27, 277429.52845802146 6579034.567067286 41.27, 277429.0075757497 6579034.694467136 41.21, 277428.53291319794 6579034.777512824 41.19))</t>
  </si>
  <si>
    <t>['FV118 S7D1 m6-15']</t>
  </si>
  <si>
    <t>LINESTRING Z (269992.7899821715 6583425.028607172 7.46, 269994.0183030923 6583421.723101067 7.5, 269994.9751956428 6583417.8594652 7.46, 269995.5679060177 6583417.303632718 7.43, 269996.1421774425 6583417.322071666 7.43, 269999.1895095547 6583418.583762436 7.41, 269999.523487043 6583419.055875721 7.41, 269999.47605515574 6583419.642812136 7.43, 269996.020026581 6583423.531311625 7.54, 269993.8266816194 6583425.829017651 7.5, 269993.49239353713 6583425.909446614 7.47, 269992.9960988804 6583425.753368831 7.46, 269992.78066955006 6583425.481505572 7.45, 269992.7899821715 6583425.028607172 7.46)</t>
  </si>
  <si>
    <t>POLYGON Z ((269992.7899821715 6583425.028607172 7.46, 269994.0183030923 6583421.723101067 7.5, 269994.9751956428 6583417.8594652 7.46, 269995.5679060177 6583417.303632718 7.43, 269996.1421774425 6583417.322071666 7.43, 269999.1895095547 6583418.583762436 7.41, 269999.523487043 6583419.055875721 7.41, 269999.47605515574 6583419.642812136 7.43, 269996.020026581 6583423.531311625 7.54, 269993.8266816194 6583425.829017651 7.5, 269993.49239353713 6583425.909446614 7.47, 269992.9960988804 6583425.753368831 7.46, 269992.78066955006 6583425.481505572 7.45, 269992.7899821715 6583425.028607172 7.46))</t>
  </si>
  <si>
    <t>['FV118 S7D1 m3183-3193']</t>
  </si>
  <si>
    <t>LINESTRING Z (268661.796701072 6585542.4767101435 49.660000000000004, 268658.2479043313 6585542.114261682 49.660000000000004, 268657.93096193176 6585541.94198366 49.660000000000004, 268657.9646977262 6585541.53710147 49.660000000000004, 268659.2076252088 6585536.281317727 49.52, 268660.4874060262 6585533.212198343 49.5, 268661.3803700627 6585531.865733736 49.5, 268661.92121368856 6585531.736496428 49.5, 268662.42922187527 6585532.022105779 49.5, 268662.80493037077 6585532.400036468 49.5, 268662.7955050644 6585533.073959766 49.5, 268662.42447130365 6585537.417153922 49.53, 268662.4111384215 6585541.938989051 49.660000000000004, 268662.26689289266 6585542.343811032 49.660000000000004, 268661.796701072 6585542.4767101435 49.660000000000004)</t>
  </si>
  <si>
    <t>POLYGON Z ((268661.796701072 6585542.4767101435 49.660000000000004, 268658.2479043313 6585542.114261682 49.660000000000004, 268657.93096193176 6585541.94198366 49.660000000000004, 268657.9646977262 6585541.53710147 49.660000000000004, 268659.2076252088 6585536.281317727 49.52, 268660.4874060262 6585533.212198343 49.5, 268661.3803700627 6585531.865733736 49.5, 268661.92121368856 6585531.736496428 49.5, 268662.42922187527 6585532.022105779 49.5, 268662.80493037077 6585532.400036468 49.5, 268662.7955050644 6585533.073959766 49.5, 268662.42447130365 6585537.417153922 49.53, 268662.4111384215 6585541.938989051 49.660000000000004, 268662.26689289266 6585542.343811032 49.660000000000004, 268661.796701072 6585542.4767101435 49.660000000000004))</t>
  </si>
  <si>
    <t>['FV118 S7D1 m3206-3220']</t>
  </si>
  <si>
    <t>LINESTRING Z (268644.83987766365 6585563.939887872 49.64, 268644.6973727973 6585564.475148671 49.64, 268644.37118571496 6585564.645264834 49.64, 268641.2476186156 6585565.208794449 49.61, 268637.7660497454 6585566.146231984 49.53, 268634.641281232 6585567.252345992 49.410000000000004, 268632.3861844922 6585568.199509598 49.28, 268631.74839705986 6585568.367644495 49.28, 268631.43691707694 6585568.144643666 49.29, 268631.4336163572 6585567.55223688 49.29, 268631.59971194563 6585566.94452342 49.29, 268634.56937236816 6585564.566556462 49.35, 268637.87230265193 6585562.319208886 49.44, 268641.0926954511 6585560.270190615 49.54, 268642.80514761544 6585559.432335697 49.63, 268643.2472468155 6585559.3220666535 49.63, 268643.70909445616 6585559.54152609 49.63, 268644.30996126356 6585562.300068882 49.63, 268644.83987766365 6585563.939887872 49.64)</t>
  </si>
  <si>
    <t>POLYGON Z ((268644.83987766365 6585563.939887872 49.64, 268644.6973727973 6585564.475148671 49.64, 268644.37118571496 6585564.645264834 49.64, 268641.2476186156 6585565.208794449 49.61, 268637.7660497454 6585566.146231984 49.53, 268634.641281232 6585567.252345992 49.410000000000004, 268632.3861844922 6585568.199509598 49.28, 268631.74839705986 6585568.367644495 49.28, 268631.43691707694 6585568.144643666 49.29, 268631.4336163572 6585567.55223688 49.29, 268631.59971194563 6585566.94452342 49.29, 268634.56937236816 6585564.566556462 49.35, 268637.87230265193 6585562.319208886 49.44, 268641.0926954511 6585560.270190615 49.54, 268642.80514761544 6585559.432335697 49.63, 268643.2472468155 6585559.3220666535 49.63, 268643.70909445616 6585559.54152609 49.63, 268644.30996126356 6585562.300068882 49.63, 268644.83987766365 6585563.939887872 49.64))</t>
  </si>
  <si>
    <t>['FV118 S7D1 m3846-3854']</t>
  </si>
  <si>
    <t>LINESTRING Z (268067.3307821694 6585683.541769264 57.97, 268067.6876445401 6585683.5999359 57.97, 268067.9041630942 6585683.550233381 57.97, 268072.9683096537 6585679.114457335 57.730000000000004, 268073.47313962795 6585678.586637422 57.730000000000004, 268073.4841848166 6585678.264170699 57.730000000000004, 268073.40735000465 6585677.969736686 57.730000000000004, 268073.2298492758 6585677.895362753 57.730000000000004, 268073.00162546936 6585677.815526309 57.730000000000004, 268065.9317867453 6585680.95579178 57.97, 268065.75032389845 6585681.504621453 57.97, 268067.3307821694 6585683.541769264 57.97)</t>
  </si>
  <si>
    <t>POLYGON Z ((268067.3307821694 6585683.541769264 57.97, 268067.6876445401 6585683.5999359 57.97, 268067.9041630942 6585683.550233381 57.97, 268072.9683096537 6585679.114457335 57.730000000000004, 268073.47313962795 6585678.586637422 57.730000000000004, 268073.4841848166 6585678.264170699 57.730000000000004, 268073.40735000465 6585677.969736686 57.730000000000004, 268073.2298492758 6585677.895362753 57.730000000000004, 268073.00162546936 6585677.815526309 57.730000000000004, 268065.9317867453 6585680.95579178 57.97, 268065.75032389845 6585681.504621453 57.97, 268067.3307821694 6585683.541769264 57.97))</t>
  </si>
  <si>
    <t>['FV118 S7D1 m3862-3869']</t>
  </si>
  <si>
    <t>LINESTRING Z (268041.1029239082 6585683.11898452 58.1, 268041.0831750734 6585682.789254389 58.1, 268040.88862667576 6585682.4150439175 58.1, 268035.96980769804 6585681.121572594 58.17, 268035.66354816454 6585681.289889084 58.18, 268035.5501563855 6585681.59146635 58.18, 268035.55729954527 6585681.781692967 58.18, 268035.58977421187 6585682.029906006 58.18, 268039.5845916888 6585685.104627873 57.92, 268039.81737766875 6585685.123776698 57.92, 268040.18612562586 6585684.979951384 58.1, 268041.1029239082 6585683.11898452 58.1)</t>
  </si>
  <si>
    <t>POLYGON Z ((268041.1029239082 6585683.11898452 58.1, 268041.0831750734 6585682.789254389 58.1, 268040.88862667576 6585682.4150439175 58.1, 268035.96980769804 6585681.121572594 58.17, 268035.66354816454 6585681.289889084 58.18, 268035.5501563855 6585681.59146635 58.18, 268035.55729954527 6585681.781692967 58.18, 268035.58977421187 6585682.029906006 58.18, 268039.5845916888 6585685.104627873 57.92, 268039.81737766875 6585685.123776698 57.92, 268040.18612562586 6585684.979951384 58.1, 268041.1029239082 6585683.11898452 58.1))</t>
  </si>
  <si>
    <t>['FV118 S7D1 m6573-6582']</t>
  </si>
  <si>
    <t>LINESTRING Z (265547.0403748484 6586423.189021265 50.85, 265549.1389680495 6586421.954582619 50.85, 265549.25590297015 6586421.803370006 50.85, 265549.2967813444 6586421.58870756 50.85, 265549.2643046115 6586421.340489508 50.85, 265549.16837804765 6586421.168328003 50.85, 265549.0090016525 6586421.072223043 50.85, 265548.84596387343 6586421.046771753 50.85, 265548.6865280125 6586421.0611794265 50.85, 265548.51166506717 6586421.127211765 50.85, 265546.4982521211 6586422.303722382 50.85, 265543.78538734885 6586423.744362421 50.75, 265541.55893446156 6586425.231462156 50.71, 265541.39301684685 6586425.507654569 50.71, 265541.38839552377 6586425.678856139 50.71, 265541.40370368486 6586425.848256754 50.71, 265541.50233170163 6586426.05031249 50.72, 265541.6961047369 6586426.19353972 50.72, 265541.904404375 6586426.2751775365 50.730000000000004, 265542.08557068824 6586426.278898377 50.730000000000004, 265542.2332408555 6586426.245461693 50.730000000000004, 265542.3510167971 6586426.214726447 50.730000000000004, 265544.48682704085 6586424.836278915 50.75, 265547.0403748484 6586423.189021265 50.85)</t>
  </si>
  <si>
    <t>POLYGON Z ((265547.0403748484 6586423.189021265 50.85, 265549.1389680495 6586421.954582619 50.85, 265549.25590297015 6586421.803370006 50.85, 265549.2967813444 6586421.58870756 50.85, 265549.2643046115 6586421.340489508 50.85, 265549.16837804765 6586421.168328003 50.85, 265549.0090016525 6586421.072223043 50.85, 265548.84596387343 6586421.046771753 50.85, 265548.6865280125 6586421.0611794265 50.85, 265548.51166506717 6586421.127211765 50.85, 265546.4982521211 6586422.303722382 50.85, 265543.78538734885 6586423.744362421 50.75, 265541.55893446156 6586425.231462156 50.71, 265541.39301684685 6586425.507654569 50.71, 265541.38839552377 6586425.678856139 50.71, 265541.40370368486 6586425.848256754 50.71, 265541.50233170163 6586426.05031249 50.72, 265541.6961047369 6586426.19353972 50.72, 265541.904404375 6586426.2751775365 50.730000000000004, 265542.08557068824 6586426.278898377 50.730000000000004, 265542.2332408555 6586426.245461693 50.730000000000004, 265542.3510167971 6586426.214726447 50.730000000000004, 265544.48682704085 6586424.836278915 50.75, 265547.0403748484 6586423.189021265 50.85))</t>
  </si>
  <si>
    <t>['FV118 S7D1 m6733-6736']</t>
  </si>
  <si>
    <t>LINESTRING Z (265405.95117982756 6586498.546240919 46.61, 265405.65945067373 6586500.320629822 46.61, 265407.373150564 6586500.607797125 46.62, 265407.7138125246 6586500.486597308 46.62, 265407.99930719496 6586500.199598643 46.62, 265408.1054957146 6586499.818295978 46.61, 265408.00884663203 6586499.304631276 46.61, 265407.37224053656 6586498.930176124 46.61, 265405.95117982756 6586498.546240919 46.61)</t>
  </si>
  <si>
    <t>POLYGON Z ((265405.95117982756 6586498.546240919 46.61, 265405.65945067373 6586500.320629822 46.61, 265407.373150564 6586500.607797125 46.62, 265407.7138125246 6586500.486597308 46.62, 265407.99930719496 6586500.199598643 46.62, 265408.1054957146 6586499.818295978 46.61, 265408.00884663203 6586499.304631276 46.61, 265407.37224053656 6586498.930176124 46.61, 265405.95117982756 6586498.546240919 46.61))</t>
  </si>
  <si>
    <t>['FV118 S7D1 m6739-6747']</t>
  </si>
  <si>
    <t>LINESTRING Z (265402.8236824719 6586497.844343611 46.45, 265396.0511737456 6586495.271733642 46.07, 265395.4976499726 6586495.371984656 46.08, 265395.1949272131 6586495.690678577 46.08, 265394.4649959267 6586498.730294364 46.13, 265394.6558302345 6586499.28567851 46.13, 265394.9963140413 6586499.496017017 46.13, 265402.36411588395 6586500.096021424 46.45, 265402.8236824719 6586497.844343611 46.45)</t>
  </si>
  <si>
    <t>POLYGON Z ((265402.8236824719 6586497.844343611 46.45, 265396.0511737456 6586495.271733642 46.07, 265395.4976499726 6586495.371984656 46.08, 265395.1949272131 6586495.690678577 46.08, 265394.4649959267 6586498.730294364 46.13, 265394.6558302345 6586499.28567851 46.13, 265394.9963140413 6586499.496017017 46.13, 265402.36411588395 6586500.096021424 46.45, 265402.8236824719 6586497.844343611 46.45))</t>
  </si>
  <si>
    <t>2025-12-03T10:40:11Z</t>
  </si>
  <si>
    <t>['FV118 S8D1 m3775-3789']</t>
  </si>
  <si>
    <t>LINESTRING Z (260512.75002205127 6588889.62764346 53.94, 260507.6371721115 6588889.748191476 53.85, 260507.17787455776 6588889.779659073 53.86, 260506.6823765727 6588889.744072767 53.88, 260506.4215959156 6588889.526526283 53.89, 260506.40904326725 6588889.27649685 53.89, 260506.41377609997 6588888.884253198 53.89, 260506.41946696505 6588888.391457348 53.89, 260506.45365309343 6588887.102407619 53.95, 260506.45478308696 6588886.6703033745 53.93, 260506.46762233315 6588886.367746063 53.93, 260506.49583099835 6588886.124078935 53.94, 260506.77136696113 6588885.837963714 53.94, 260507.31669068837 6588885.86904648 53.95, 260507.8610563801 6588886.000681446 53.95, 260511.39619484913 6588886.9872066695 53.97, 260514.67421275383 6588887.685528612 54.01, 260517.42959664424 6588888.2703444455 54, 260517.78372377204 6588888.409127762 53.99, 260517.94851308985 6588888.5650246 53.980000000000004, 260517.93921938018 6588889.017959812 53.980000000000004, 260517.86388712018 6588889.296025922 53.980000000000004, 260517.74238928652 6588889.507938845 53.980000000000004, 260517.53846813444 6588889.697162017 53.99, 260517.31467400386 6588889.777669278 53.99, 260516.8544757757 6588889.799171729 53.99, 260516.26112777414 6588889.792522843 53.99, 260515.2021772642 6588889.747585516 53.99, 260512.75002205127 6588889.62764346 53.94)</t>
  </si>
  <si>
    <t>POLYGON Z ((260512.75002205127 6588889.62764346 53.94, 260507.6371721115 6588889.748191476 53.85, 260507.17787455776 6588889.779659073 53.86, 260506.6823765727 6588889.744072767 53.88, 260506.4215959156 6588889.526526283 53.89, 260506.40904326725 6588889.27649685 53.89, 260506.41377609997 6588888.884253198 53.89, 260506.41946696505 6588888.391457348 53.89, 260506.45365309343 6588887.102407619 53.95, 260506.45478308696 6588886.6703033745 53.93, 260506.46762233315 6588886.367746063 53.93, 260506.49583099835 6588886.124078935 53.94, 260506.77136696113 6588885.837963714 53.94, 260507.31669068837 6588885.86904648 53.95, 260507.8610563801 6588886.000681446 53.95, 260511.39619484913 6588886.9872066695 53.97, 260514.67421275383 6588887.685528612 54.01, 260517.42959664424 6588888.2703444455 54, 260517.78372377204 6588888.409127762 53.99, 260517.94851308985 6588888.5650246 53.980000000000004, 260517.93921938018 6588889.017959812 53.980000000000004, 260517.86388712018 6588889.296025922 53.980000000000004, 260517.74238928652 6588889.507938845 53.980000000000004, 260517.53846813444 6588889.697162017 53.99, 260517.31467400386 6588889.777669278 53.99, 260516.8544757757 6588889.799171729 53.99, 260516.26112777414 6588889.792522843 53.99, 260515.2021772642 6588889.747585516 53.99, 260512.75002205127 6588889.62764346 53.94))</t>
  </si>
  <si>
    <t>['FV118 S8D1 m3796-3815']</t>
  </si>
  <si>
    <t>LINESTRING Z (260472.7096082015 6588904.579268476 53.910000000000004, 260468.99190283858 6588908.019686456 53.86, 260465.98764322896 6588910.461288391 53.800000000000004, 260465.31620328402 6588910.813327773 53.79, 260464.88421348485 6588910.591163087 53.78, 260464.8490856446 6588910.202522152 53.77, 260465.11381308423 6588909.796824954 53.79, 260468.67472092842 6588906.511231067 53.83, 260471.05314933544 6588903.814752381 53.88, 260473.84415297545 6588900.34758352 53.94, 260476.58077001487 6588896.945610005 53.99, 260476.83721912128 6588896.781778645 54, 260477.19590725354 6588896.859870365 54, 260477.41778540646 6588896.980467518 53.980000000000004, 260479.1062686253 6588898.877350722 54.01, 260479.18756202003 6588899.332144819 54, 260478.9935486574 6588899.63098473 54.01, 260478.71987139567 6588899.826512972 54.01, 260476.7742351016 6588901.197912828 54.06, 260474.59556822965 6588902.99223804 53.96, 260472.7096082015 6588904.579268476 53.910000000000004)</t>
  </si>
  <si>
    <t>POLYGON Z ((260472.7096082015 6588904.579268476 53.910000000000004, 260468.99190283858 6588908.019686456 53.86, 260465.98764322896 6588910.461288391 53.800000000000004, 260465.31620328402 6588910.813327773 53.79, 260464.88421348485 6588910.591163087 53.78, 260464.8490856446 6588910.202522152 53.77, 260465.11381308423 6588909.796824954 53.79, 260468.67472092842 6588906.511231067 53.83, 260471.05314933544 6588903.814752381 53.88, 260473.84415297545 6588900.34758352 53.94, 260476.58077001487 6588896.945610005 53.99, 260476.83721912128 6588896.781778645 54, 260477.19590725354 6588896.859870365 54, 260477.41778540646 6588896.980467518 53.980000000000004, 260479.1062686253 6588898.877350722 54.01, 260479.18756202003 6588899.332144819 54, 260478.9935486574 6588899.63098473 54.01, 260478.71987139567 6588899.826512972 54.01, 260476.7742351016 6588901.197912828 54.06, 260474.59556822965 6588902.99223804 53.96, 260472.7096082015 6588904.579268476 53.910000000000004))</t>
  </si>
  <si>
    <t>['FV118 S8D1 m4373-4383']</t>
  </si>
  <si>
    <t>LINESTRING Z (259946.46187658093 6589124.685399588 45.06, 259951.96848103125 6589121.6961092325 45.300000000000004, 259952.08643324196 6589121.333816436 45.29, 259952.0993291116 6589120.92073982 45.300000000000004, 259951.94011448527 6589120.493080103 45.300000000000004, 259951.72915818443 6589120.271029397 45.29, 259951.4737231999 6589120.2237913925 45.28, 259945.72969838063 6589123.365147578 45.12, 259943.83399593533 6589124.511017582 45.07, 259943.7114829378 6589124.934002308 45.07, 259943.72572334588 6589125.424999038 45.03, 259943.92851594448 6589125.667880873 45.04, 259944.23552127482 6589125.84106346 45.07, 259944.61600013147 6589125.826765937 45.06, 259946.46187658093 6589124.685399588 45.06)</t>
  </si>
  <si>
    <t>POLYGON Z ((259946.46187658093 6589124.685399588 45.06, 259951.96848103125 6589121.6961092325 45.300000000000004, 259952.08643324196 6589121.333816436 45.29, 259952.0993291116 6589120.92073982 45.300000000000004, 259951.94011448527 6589120.493080103 45.300000000000004, 259951.72915818443 6589120.271029397 45.29, 259951.4737231999 6589120.2237913925 45.28, 259945.72969838063 6589123.365147578 45.12, 259943.83399593533 6589124.511017582 45.07, 259943.7114829378 6589124.934002308 45.07, 259943.72572334588 6589125.424999038 45.03, 259943.92851594448 6589125.667880873 45.04, 259944.23552127482 6589125.84106346 45.07, 259944.61600013147 6589125.826765937 45.06, 259946.46187658093 6589124.685399588 45.06))</t>
  </si>
  <si>
    <t>['FV118 S8D1 m4402-4407']</t>
  </si>
  <si>
    <t>LINESTRING Z (259926.09040887142 6589136.834560475 44.730000000000004, 259922.66518493427 6589138.7315248195 44.660000000000004, 259922.3735491409 6589138.617232674 44.660000000000004, 259921.94881995648 6589138.3642714145 44.660000000000004, 259921.83030964722 6589138.053491755 44.69, 259921.9346365985 6589137.762756698 44.7, 259922.14948144436 6589137.472078744 44.68, 259925.46598899565 6589135.594987715 44.67, 259925.77671154044 6589135.586995309 44.68, 259926.096441439 6589135.678654857 44.660000000000004, 259926.3245688929 6589135.979526416 44.64, 259926.32073753054 6589136.381737194 44.69, 259926.29252920457 6589136.625405572 44.69, 259926.09040887142 6589136.834560475 44.730000000000004)</t>
  </si>
  <si>
    <t>POLYGON Z ((259926.09040887142 6589136.834560475 44.730000000000004, 259922.66518493427 6589138.7315248195 44.660000000000004, 259922.3735491409 6589138.617232674 44.660000000000004, 259921.94881995648 6589138.3642714145 44.660000000000004, 259921.83030964722 6589138.053491755 44.69, 259921.9346365985 6589137.762756698 44.7, 259922.14948144436 6589137.472078744 44.68, 259925.46598899565 6589135.594987715 44.67, 259925.77671154044 6589135.586995309 44.68, 259926.096441439 6589135.678654857 44.660000000000004, 259926.3245688929 6589135.979526416 44.64, 259926.32073753054 6589136.381737194 44.69, 259926.29252920457 6589136.625405572 44.69, 259926.09040887142 6589136.834560475 44.730000000000004))</t>
  </si>
  <si>
    <t>['FV115 S7D1 m94-106']</t>
  </si>
  <si>
    <t>LINESTRING Z (283761.83217136294 6611122.219795623 132.55, 283762.4572120663 6611121.912059277 132.55, 283762.7056046622 6611121.216555604 132.53, 283762.418301913 6611119.042757817 132.49, 283761.73229750287 6611114.685162858 132.44, 283760.9600538261 6611110.92802518 132.4, 283760.6513063465 6611110.624511097 132.41, 283760.2627452835 6611110.659706308 132.4, 283759.0759071921 6611111.751603019 132.4, 283757.4823504524 6611113.010922649 132.43, 283756.318254628 6611113.799414062 132.44, 283756.2057356722 6611114.442431153 132.45, 283757.3862529621 6611116.053170525 132.48, 283758.49522364885 6611117.650300747 132.5, 283760.3500535801 6611120.606240325 132.53, 283761.41740324115 6611122.07655744 132.55, 283761.83217136294 6611122.219795623 132.55)</t>
  </si>
  <si>
    <t>POLYGON Z ((283761.83217136294 6611122.219795623 132.55, 283762.4572120663 6611121.912059277 132.55, 283762.7056046622 6611121.216555604 132.53, 283762.418301913 6611119.042757817 132.49, 283761.73229750287 6611114.685162858 132.44, 283760.9600538261 6611110.92802518 132.4, 283760.6513063465 6611110.624511097 132.41, 283760.2627452835 6611110.659706308 132.4, 283759.0759071921 6611111.751603019 132.4, 283757.4823504524 6611113.010922649 132.43, 283756.318254628 6611113.799414062 132.44, 283756.2057356722 6611114.442431153 132.45, 283757.3862529621 6611116.053170525 132.48, 283758.49522364885 6611117.650300747 132.5, 283760.3500535801 6611120.606240325 132.53, 283761.41740324115 6611122.07655744 132.55, 283761.83217136294 6611122.219795623 132.55))</t>
  </si>
  <si>
    <t>['FV115 S7D1 m1106-1114']</t>
  </si>
  <si>
    <t>LINESTRING Z (283980.8350948697 6612031.037648205 145.87, 283981.2553490836 6612036.674911897 146.05, 283981.1692206288 6612036.943879701 146.05, 283981.0713594534 6612037.083327447 146.05, 283980.83401513717 6612037.235410432 146.05, 283980.55504885514 6612037.260680908 146.05, 283980.3069097287 6612037.182710502 146.05, 283980.1348651861 6612037.0576676335 146.05, 283980.0298546633 6612036.896417898 146.05, 283979.9312325494 6612036.583916906 146.05, 283979.89090245473 6612035.251606923 146.05, 283979.4064280361 6612029.348950024 145.87, 283979.49071607477 6612029.1705524735 145.87, 283979.55504254816 6612029.104456369 145.87, 283979.64655071765 6612029.005763472 145.87, 283979.7715581969 6612028.944215351 145.87, 283979.9871359271 6612028.884507665 145.87, 283980.2180918364 6612028.883675954 145.87, 283980.4173180659 6612028.976122041 145.87, 283980.58391209936 6612029.151882847 145.87, 283980.69253267645 6612029.352984913 145.87, 283980.8350948697 6612031.037648205 145.87)</t>
  </si>
  <si>
    <t>POLYGON Z ((283980.8350948697 6612031.037648205 145.87, 283981.2553490836 6612036.674911897 146.05, 283981.1692206288 6612036.943879701 146.05, 283981.0713594534 6612037.083327447 146.05, 283980.83401513717 6612037.235410432 146.05, 283980.55504885514 6612037.260680908 146.05, 283980.3069097287 6612037.182710502 146.05, 283980.1348651861 6612037.0576676335 146.05, 283980.0298546633 6612036.896417898 146.05, 283979.9312325494 6612036.583916906 146.05, 283979.89090245473 6612035.251606923 146.05, 283979.4064280361 6612029.348950024 145.87, 283979.49071607477 6612029.1705524735 145.87, 283979.55504254816 6612029.104456369 145.87, 283979.64655071765 6612029.005763472 145.87, 283979.7715581969 6612028.944215351 145.87, 283979.9871359271 6612028.884507665 145.87, 283980.2180918364 6612028.883675954 145.87, 283980.4173180659 6612028.976122041 145.87, 283980.58391209936 6612029.151882847 145.87, 283980.69253267645 6612029.352984913 145.87, 283980.8350948697 6612031.037648205 145.87))</t>
  </si>
  <si>
    <t>['FV115 S7D1 m13439-13452']</t>
  </si>
  <si>
    <t>LINESTRING Z (292217.09044379526 6616797.598371806 178.29, 292216.8135800078 6616796.649175776 178.29, 292216.37532774825 6616796.357435085 178.29, 292215.8419352921 6616796.235024027 178.29, 292214.75419961556 6616796.424001374 178.29, 292209.57342457626 6616798.10887432 178.25, 292205.3690239721 6616799.484287816 178.21, 292205.16516970337 6616799.784000479 178.21, 292205.3171908789 6616800.24230066 178.21, 292205.7074678203 6616800.447991452 178.21, 292209.25142738095 6616799.875703596 178.21, 292213.8368913515 6616799.269291286 178.23, 292215.93540308217 6616798.817957627 178.23, 292216.7632448408 6616798.532003541 178.23, 292217.09044379526 6616797.598371806 178.29)</t>
  </si>
  <si>
    <t>POLYGON Z ((292217.09044379526 6616797.598371806 178.29, 292216.8135800078 6616796.649175776 178.29, 292216.37532774825 6616796.357435085 178.29, 292215.8419352921 6616796.235024027 178.29, 292214.75419961556 6616796.424001374 178.29, 292209.57342457626 6616798.10887432 178.25, 292205.3690239721 6616799.484287816 178.21, 292205.16516970337 6616799.784000479 178.21, 292205.3171908789 6616800.24230066 178.21, 292205.7074678203 6616800.447991452 178.21, 292209.25142738095 6616799.875703596 178.21, 292213.8368913515 6616799.269291286 178.23, 292215.93540308217 6616798.817957627 178.23, 292216.7632448408 6616798.532003541 178.23, 292217.09044379526 6616797.598371806 178.29))</t>
  </si>
  <si>
    <t>['FV115 S8D1 m8-17']</t>
  </si>
  <si>
    <t>LINESTRING Z (292370.05921196827 6617185.221548465 174.37, 292367.0832653932 6617185.189937082 174.37, 292364.7303722758 6617185.272608741 174.15, 292364.5709744619 6617185.287055202 174.14000000000001, 292364.45323190896 6617185.317814776 174.13, 292364.33910097077 6617185.3884238005 174.13, 292364.26752819796 6617185.485308303 174.13, 292364.1515610304 6617185.646481503 174.13, 292364.1225160009 6617185.8801303785 174.13, 292364.11794063926 6617186.0512963645 174.13, 292364.1468639834 6617186.259603092 174.13, 292364.2319498928 6617186.422642942 174.13, 292364.3559823524 6617186.572108816 174.13, 292364.64212133747 6617186.737015315 174.12, 292367.12633098534 6617186.662530602 174.37, 292370.13216464967 6617186.691433235 174.37, 292372.2242304229 6617186.612312322 174.37, 292372.6000914948 6617186.5481148865 174.37, 292372.7930184221 6617186.460320272 174.37, 292372.90353773604 6617186.349861798 174.37, 292373.001385976 6617186.210419141 174.37, 292373.0784065867 6617186.06281993 174.37, 292373.09475011786 6617185.910675778 174.37, 292373.07759494614 6617185.721390887 174.37, 292373.04776870075 6617185.503121812 174.37, 292373.00253224885 6617185.336470356 174.37, 292372.9445943018 6617185.25132361 174.37, 292372.8649258222 6617185.148057951 174.37, 292372.7254831662 6617185.0502097085 174.37, 292372.46375302435 6617185.043798115 174.37, 292370.05921196827 6617185.221548465 174.37)</t>
  </si>
  <si>
    <t>POLYGON Z ((292370.05921196827 6617185.221548465 174.37, 292367.0832653932 6617185.189937082 174.37, 292364.7303722758 6617185.272608741 174.15, 292364.5709744619 6617185.287055202 174.14000000000001, 292364.45323190896 6617185.317814776 174.13, 292364.33910097077 6617185.3884238005 174.13, 292364.26752819796 6617185.485308303 174.13, 292364.1515610304 6617185.646481503 174.13, 292364.1225160009 6617185.8801303785 174.13, 292364.11794063926 6617186.0512963645 174.13, 292364.1468639834 6617186.259603092 174.13, 292364.2319498928 6617186.422642942 174.13, 292364.3559823524 6617186.572108816 174.13, 292364.64212133747 6617186.737015315 174.12, 292367.12633098534 6617186.662530602 174.37, 292370.13216464967 6617186.691433235 174.37, 292372.2242304229 6617186.612312322 174.37, 292372.6000914948 6617186.5481148865 174.37, 292372.7930184221 6617186.460320272 174.37, 292372.90353773604 6617186.349861798 174.37, 292373.001385976 6617186.210419141 174.37, 292373.0784065867 6617186.06281993 174.37, 292373.09475011786 6617185.910675778 174.37, 292373.07759494614 6617185.721390887 174.37, 292373.04776870075 6617185.503121812 174.37, 292373.00253224885 6617185.336470356 174.37, 292372.9445943018 6617185.25132361 174.37, 292372.8649258222 6617185.148057951 174.37, 292372.7254831662 6617185.0502097085 174.37, 292372.46375302435 6617185.043798115 174.37, 292370.05921196827 6617185.221548465 174.37))</t>
  </si>
  <si>
    <t>['FV115 S7D1 m92 KD1 m0-92']</t>
  </si>
  <si>
    <t>LINESTRING Z (283747.6420939937 6611109.392100566 132.38, 283751.8993009491 6611108.26317131 132.41, 283755.21052038047 6611105.67302174 132.4, 283757.5893253251 6611101.660601898 132.36, 283758.1512718579 6611097.662077332 132.32, 283757.3292494387 6611093.798955057 132.28, 283755.3268509794 6611090.655484636 132.25, 283752.38950796204 6611088.2797491895 132.23, 283748.34322647034 6611086.968764453 132.21, 283744.25477974163 6611087.188415589 132.23, 283741.28003314603 6611088.392033347 132.24, 283738.9209765679 6611090.182753331 132.24, 283737.60533880035 6611091.848827879 132.25, 283736.09523704223 6611095.471172258 132.25, 283735.7913198513 6611099.7677608095 132.26, 283736.89068596583 6611103.033206146 132.28, 283739.4699339861 6611106.445861997 132.3, 283743.18439992325 6611108.751206863 132.32, 283747.6420939937 6611109.392100566 132.38)</t>
  </si>
  <si>
    <t>POLYGON Z ((283747.6420939937 6611109.392100566 132.38, 283751.8993009491 6611108.26317131 132.41, 283755.21052038047 6611105.67302174 132.4, 283757.5893253251 6611101.660601898 132.36, 283758.1512718579 6611097.662077332 132.32, 283757.3292494387 6611093.798955057 132.28, 283755.3268509794 6611090.655484636 132.25, 283752.38950796204 6611088.2797491895 132.23, 283748.34322647034 6611086.968764453 132.21, 283744.25477974163 6611087.188415589 132.23, 283741.28003314603 6611088.392033347 132.24, 283738.9209765679 6611090.182753331 132.24, 283737.60533880035 6611091.848827879 132.25, 283736.09523704223 6611095.471172258 132.25, 283735.7913198513 6611099.7677608095 132.26, 283736.89068596583 6611103.033206146 132.28, 283739.4699339861 6611106.445861997 132.3, 283743.18439992325 6611108.751206863 132.32, 283747.6420939937 6611109.392100566 132.38))</t>
  </si>
  <si>
    <t>['FV124 S5D1 m7791-7801']</t>
  </si>
  <si>
    <t>LINESTRING Z (286352.70622211136 6610148.13923622 154.32, 286356.5298962018 6610145.884444408 154.23, 286359.18144701316 6610144.107464 154.15, 286360.47146845877 6610143.156922065 154.12, 286360.7440759739 6610143.172410221 154.12, 286360.8934823163 6610143.2693691645 154.12, 286361.0283769652 6610143.427910166 154.12, 286361.0799220153 6610143.664312557 154.12, 286361.0454474785 6610143.838193489 154.12, 286360.8098362657 6610144.231183958 154.12, 286357.763688637 6610147.861979625 154.14000000000001, 286355.48205090454 6610151.172417524 154.25, 286355.3443380415 6610151.315470388 154.25, 286355.2600860946 6610151.383368895 154.27, 286354.958455184 6610151.491044876 154.29, 286354.69855464617 6610151.394048889 154.34, 286352.3997830269 6610149.081051192 154.32, 286352.27940005384 6610148.860928124 154.3, 286352.27766945993 6610148.620013968 154.3, 286352.3583490659 6610148.401769702 154.3, 286352.50602483004 6610148.257814494 154.3, 286352.70622211136 6610148.13923622 154.32)</t>
  </si>
  <si>
    <t>POLYGON Z ((286352.70622211136 6610148.13923622 154.32, 286356.5298962018 6610145.884444408 154.23, 286359.18144701316 6610144.107464 154.15, 286360.47146845877 6610143.156922065 154.12, 286360.7440759739 6610143.172410221 154.12, 286360.8934823163 6610143.2693691645 154.12, 286361.0283769652 6610143.427910166 154.12, 286361.0799220153 6610143.664312557 154.12, 286361.0454474785 6610143.838193489 154.12, 286360.8098362657 6610144.231183958 154.12, 286357.763688637 6610147.861979625 154.14000000000001, 286355.48205090454 6610151.172417524 154.25, 286355.3443380415 6610151.315470388 154.25, 286355.2600860946 6610151.383368895 154.27, 286354.958455184 6610151.491044876 154.29, 286354.69855464617 6610151.394048889 154.34, 286352.3997830269 6610149.081051192 154.32, 286352.27940005384 6610148.860928124 154.3, 286352.27766945993 6610148.620013968 154.3, 286352.3583490659 6610148.401769702 154.3, 286352.50602483004 6610148.257814494 154.3, 286352.70622211136 6610148.13923622 154.32))</t>
  </si>
  <si>
    <t>['FV124 S5D1 m7741-7750']</t>
  </si>
  <si>
    <t>LINESTRING Z (286387.3002983149 6610117.423496807 153.35, 286387.05494665937 6610117.154424583 153.35, 286387.0124622153 6610116.907156994 153.35, 286386.9989640992 6610116.647219473 153.35, 286387.1757003452 6610116.269606113 153.35, 286388.1252157828 6610115.219324537 153.35, 286389.83856111637 6610113.17575757 153.37, 286391.64995319094 6610110.440276551 153.4, 286392.9321501212 6610108.516116049 153.37, 286393.0924958079 6610108.401147265 153.36, 286393.4439040228 6610108.399453837 153.36, 286393.677525151 6610108.539008484 153.36, 286395.0401543514 6610109.831885196 153.25, 286395.94463892875 6610110.724293225 153.22, 286396.12025031797 6610110.999681861 153.21, 286396.14465074334 6610111.158185765 153.20000000000002, 286396.07848280785 6610111.314847888 153.20000000000002, 286395.919039474 6610111.439779567 153.20000000000002, 286393.64250657905 6610113.032123869 153.21, 286390.3711926019 6610115.618581815 153.21, 286388.37899760366 6610117.355932058 153.22, 286388.0646597394 6610117.545115756 153.26, 286387.7394937157 6610117.614744753 153.31, 286387.6262925265 6610117.584819001 153.34, 286387.3002983149 6610117.423496807 153.35)</t>
  </si>
  <si>
    <t>POLYGON Z ((286387.3002983149 6610117.423496807 153.35, 286387.05494665937 6610117.154424583 153.35, 286387.0124622153 6610116.907156994 153.35, 286386.9989640992 6610116.647219473 153.35, 286387.1757003452 6610116.269606113 153.35, 286388.1252157828 6610115.219324537 153.35, 286389.83856111637 6610113.17575757 153.37, 286391.64995319094 6610110.440276551 153.4, 286392.9321501212 6610108.516116049 153.37, 286393.0924958079 6610108.401147265 153.36, 286393.4439040228 6610108.399453837 153.36, 286393.677525151 6610108.539008484 153.36, 286395.0401543514 6610109.831885196 153.25, 286395.94463892875 6610110.724293225 153.22, 286396.12025031797 6610110.999681861 153.21, 286396.14465074334 6610111.158185765 153.20000000000002, 286396.07848280785 6610111.314847888 153.20000000000002, 286395.919039474 6610111.439779567 153.20000000000002, 286393.64250657905 6610113.032123869 153.21, 286390.3711926019 6610115.618581815 153.21, 286388.37899760366 6610117.355932058 153.22, 286388.0646597394 6610117.545115756 153.26, 286387.7394937157 6610117.614744753 153.31, 286387.6262925265 6610117.584819001 153.34, 286387.3002983149 6610117.423496807 153.35))</t>
  </si>
  <si>
    <t>['FV124 S5D1 m7805 KD1 m0-88']</t>
  </si>
  <si>
    <t>LINESTRING Z (286335.4160096416 6610171.50205816 154.95000000000002, 286334.0822543405 6610170.527994112 154.94, 286333.1859270503 6610169.614757902 154.92000000000002, 286332.2362869835 6610168.334699246 154.92000000000002, 286331.47143018607 6610166.987681424 154.91, 286330.9430128817 6610165.478624279 154.91, 286330.6519744686 6610163.706996506 154.87, 286330.6515536363 6610162.260608965 154.84, 286330.83136729506 6610160.807942014 154.79, 286331.48409699276 6610158.920702278 154.75, 286332.1547255367 6610157.674697277 154.71, 286332.9611511364 6610156.597196215 154.69, 286333.9786022447 6610155.520671609 154.67000000000002, 286334.94342068466 6610154.750252684 154.65, 286336.10385058104 6610154.032429393 154.64000000000001, 286337.614749453 6610153.413443862 154.64000000000001, 286339.04948044894 6610153.062517115 154.64000000000001, 286340.6734323349 6610152.915434117 154.64000000000001, 286341.86800327466 6610153.018177655 154.64000000000001, 286343.5071839212 6610153.371946445 154.6, 286344.73514177196 6610153.843317071 154.57, 286345.8860664583 6610154.462289358 154.56, 286347.21711444674 6610155.406464795 154.54, 286348.2582990995 6610156.4773396505 154.5, 286348.88295802893 6610157.274556418 154.5, 286349.62341411633 6610158.46307014 154.49, 286350.10212791373 6610159.645156271 154.49, 286350.47395693714 6610160.8670569295 154.49, 286350.68814732815 6610162.2338151615 154.51, 286350.71947031654 6610163.355975748 154.51, 286350.6130804625 6610164.621189217 154.51, 286350.28115346027 6610165.947008331 154.54, 286349.68022833054 6610167.297190925 154.54, 286348.68251807906 6610168.92438173 154.59, 286347.9241394991 6610169.866951011 154.62, 286347.1187275675 6610170.622932362 154.65, 286346.11135069374 6610171.367072067 154.67000000000002, 286344.82775685436 6610172.055872108 154.69, 286343.592246837 6610172.499246237 154.72, 286342.40568596066 6610172.817651529 154.77, 286341.36319141777 6610172.952249995 154.82, 286339.9539485185 6610172.919172862 154.86, 286338.6543344782 6610172.765675663 154.87, 286337.48788449715 6610172.529805278 154.94, 286336.549715775 6610172.1527237175 154.95000000000002, 286335.4160096416 6610171.50205816 154.95000000000002)</t>
  </si>
  <si>
    <t>POLYGON Z ((286335.4160096416 6610171.50205816 154.95000000000002, 286334.0822543405 6610170.527994112 154.94, 286333.1859270503 6610169.614757902 154.92000000000002, 286332.2362869835 6610168.334699246 154.92000000000002, 286331.47143018607 6610166.987681424 154.91, 286330.9430128817 6610165.478624279 154.91, 286330.6519744686 6610163.706996506 154.87, 286330.6515536363 6610162.260608965 154.84, 286330.83136729506 6610160.807942014 154.79, 286331.48409699276 6610158.920702278 154.75, 286332.1547255367 6610157.674697277 154.71, 286332.9611511364 6610156.597196215 154.69, 286333.9786022447 6610155.520671609 154.67000000000002, 286334.94342068466 6610154.750252684 154.65, 286336.10385058104 6610154.032429393 154.64000000000001, 286337.614749453 6610153.413443862 154.64000000000001, 286339.04948044894 6610153.062517115 154.64000000000001, 286340.6734323349 6610152.915434117 154.64000000000001, 286341.86800327466 6610153.018177655 154.64000000000001, 286343.5071839212 6610153.371946445 154.6, 286344.73514177196 6610153.843317071 154.57, 286345.8860664583 6610154.462289358 154.56, 286347.21711444674 6610155.406464795 154.54, 286348.2582990995 6610156.4773396505 154.5, 286348.88295802893 6610157.274556418 154.5, 286349.62341411633 6610158.46307014 154.49, 286350.10212791373 6610159.645156271 154.49, 286350.47395693714 6610160.8670569295 154.49, 286350.68814732815 6610162.2338151615 154.51, 286350.71947031654 6610163.355975748 154.51, 286350.6130804625 6610164.621189217 154.51, 286350.28115346027 6610165.947008331 154.54, 286349.68022833054 6610167.297190925 154.54, 286348.68251807906 6610168.92438173 154.59, 286347.9241394991 6610169.866951011 154.62, 286347.1187275675 6610170.622932362 154.65, 286346.11135069374 6610171.367072067 154.67000000000002, 286344.82775685436 6610172.055872108 154.69, 286343.592246837 6610172.499246237 154.72, 286342.40568596066 6610172.817651529 154.77, 286341.36319141777 6610172.952249995 154.82, 286339.9539485185 6610172.919172862 154.86, 286338.6543344782 6610172.765675663 154.87, 286337.48788449715 6610172.529805278 154.94, 286336.549715775 6610172.1527237175 154.95000000000002, 286335.4160096416 6610171.50205816 154.95000000000002))</t>
  </si>
  <si>
    <t>['FV124 S5D1 m7809-7819']</t>
  </si>
  <si>
    <t>LINESTRING Z (286329.47063618246 6610178.167757604 154.72, 286326.85532735626 6610179.901278205 154.77, 286324.13937611366 6610181.965342131 154.82, 286322.201507152 6610183.747997145 154.9, 286321.9940540127 6610183.897366547 154.9, 286321.7811867589 6610183.986958572 154.9, 286321.66798548965 6610183.957032862 154.9, 286321.40628014784 6610183.84011112 154.9, 286321.27048304986 6610183.671607214 154.9, 286321.2723988185 6610183.360050368 154.91, 286321.4844747863 6610182.929012812 154.91, 286323.4779055797 6610180.207175524 154.87, 286326.1783550799 6610175.753895334 154.82, 286326.59788420715 6610175.173488427 154.81, 286327.0235816797 6610175.10479862 154.82, 286327.1693786841 6610175.16190597 154.82, 286329.6057900953 6610177.552839178 154.79, 286329.6899679936 6610177.7059290465 154.77, 286329.7098567586 6610177.814618548 154.77, 286329.7007591885 6610177.935978002 154.77, 286329.47063618246 6610178.167757604 154.72)</t>
  </si>
  <si>
    <t>POLYGON Z ((286329.47063618246 6610178.167757604 154.72, 286326.85532735626 6610179.901278205 154.77, 286324.13937611366 6610181.965342131 154.82, 286322.201507152 6610183.747997145 154.9, 286321.9940540127 6610183.897366547 154.9, 286321.7811867589 6610183.986958572 154.9, 286321.66798548965 6610183.957032862 154.9, 286321.40628014784 6610183.84011112 154.9, 286321.27048304986 6610183.671607214 154.9, 286321.2723988185 6610183.360050368 154.91, 286321.4844747863 6610182.929012812 154.91, 286323.4779055797 6610180.207175524 154.87, 286326.1783550799 6610175.753895334 154.82, 286326.59788420715 6610175.173488427 154.81, 286327.0235816797 6610175.10479862 154.82, 286327.1693786841 6610175.16190597 154.82, 286329.6057900953 6610177.552839178 154.79, 286329.6899679936 6610177.7059290465 154.77, 286329.7098567586 6610177.814618548 154.77, 286329.7007591885 6610177.935978002 154.77, 286329.47063618246 6610178.167757604 154.72))</t>
  </si>
  <si>
    <t>['FV124 S5D1 m8144-8157']</t>
  </si>
  <si>
    <t>LINESTRING Z (286089.03786590346 6610429.755480641 156.19, 286089.95367980667 6610426.558692324 156.12, 286091.18199043244 6610423.263287715 156, 286092.1672503976 6610420.944138336 155.95000000000002, 286093.79866320826 6610417.44146465 155.88, 286094.3922575227 6610416.343057868 155.87, 286094.72204650554 6610415.991759201 155.87, 286094.89506235055 6610415.905776095 155.85, 286095.24376434216 6610415.874193053 155.85, 286095.4828374634 6610415.9630305385 155.85, 286095.64310964505 6610416.069049918 155.85, 286095.83413612575 6610416.292819515 155.85, 286095.8974494705 6610416.54824579 155.85, 286095.86748709914 6610416.7719417615 155.85, 286095.0033659289 6610419.763154951 155.87, 286094.2188745197 6610422.968138053 155.92000000000002, 286093.67356674065 6610425.930475382 155.98, 286093.2504475147 6610429.132861855 156.05, 286093.0143582309 6610430.962281352 156.12, 286092.95905581396 6610431.128004597 156.14000000000001, 286092.855743574 6610431.318165537 156.14000000000001, 286092.73254230735 6610431.399636798 156.15, 286092.6048291707 6610431.431293487 156.17000000000002, 286091.4592412401 6610431.093088761 156.25, 286089.43341774296 6610430.462957976 156.3, 286089.30935090035 6610430.42397189 156.27, 286089.13370153983 6610430.259077408 156.24, 286089.0531694554 6610430.035344622 156.22, 286089.03786590346 6610429.755480641 156.19)</t>
  </si>
  <si>
    <t>POLYGON Z ((286089.03786590346 6610429.755480641 156.19, 286089.95367980667 6610426.558692324 156.12, 286091.18199043244 6610423.263287715 156, 286092.1672503976 6610420.944138336 155.95000000000002, 286093.79866320826 6610417.44146465 155.88, 286094.3922575227 6610416.343057868 155.87, 286094.72204650554 6610415.991759201 155.87, 286094.89506235055 6610415.905776095 155.85, 286095.24376434216 6610415.874193053 155.85, 286095.4828374634 6610415.9630305385 155.85, 286095.64310964505 6610416.069049918 155.85, 286095.83413612575 6610416.292819515 155.85, 286095.8974494705 6610416.54824579 155.85, 286095.86748709914 6610416.7719417615 155.85, 286095.0033659289 6610419.763154951 155.87, 286094.2188745197 6610422.968138053 155.92000000000002, 286093.67356674065 6610425.930475382 155.98, 286093.2504475147 6610429.132861855 156.05, 286093.0143582309 6610430.962281352 156.12, 286092.95905581396 6610431.128004597 156.14000000000001, 286092.855743574 6610431.318165537 156.14000000000001, 286092.73254230735 6610431.399636798 156.15, 286092.6048291707 6610431.431293487 156.17000000000002, 286091.4592412401 6610431.093088761 156.25, 286089.43341774296 6610430.462957976 156.3, 286089.30935090035 6610430.42397189 156.27, 286089.13370153983 6610430.259077408 156.24, 286089.0531694554 6610430.035344622 156.22, 286089.03786590346 6610429.755480641 156.19))</t>
  </si>
  <si>
    <t>['FV124 S3D1 m3424-3433']</t>
  </si>
  <si>
    <t>LINESTRING Z (290939.5316562589 6594718.25294569 105.11, 290940.32353050634 6594715.569865771 105.02, 290940.27477185964 6594715.252865138 105.06, 290940.07742440363 6594715.0698322635 105.05, 290940.0031810767 6594715.026326659 105.04, 290939.59752037714 6594714.8721783385 105.02, 290939.18545019685 6594714.869270888 105.02, 290938.92727294716 6594715.013150156 105.03, 290938.67069347855 6594715.618912534 105.04, 290938.0022298067 6594717.77858285 105.08, 290937.1395632273 6594720.789476034 105.2, 290936.34964437684 6594723.161012774 105.32000000000001, 290936.1645029947 6594724.0013719965 105.38, 290936.1653019021 6594724.232313559 105.38, 290936.2295315799 6594724.387209693 105.36, 290936.331809506 6594724.5185764665 105.36, 290936.5047265771 6594724.653598499 105.36, 290936.73561706697 6594724.763289077 105.36, 290936.9638044157 6594724.843091899 105.36, 290937.16666031186 6594724.864921303 105.38, 290937.3151980457 6594724.841443013 105.4, 290937.51179768157 6594724.683044829 105.4, 290937.5797847546 6594724.546322845 105.4, 290937.7830492073 6594723.684236362 105.35000000000001, 290937.9290370111 6594723.299401861 105.34, 290938.5440324004 6594721.21487589 105.2, 290939.5316562589 6594718.25294569 105.11)</t>
  </si>
  <si>
    <t>POLYGON Z ((290939.5316562589 6594718.25294569 105.11, 290940.32353050634 6594715.569865771 105.02, 290940.27477185964 6594715.252865138 105.06, 290940.07742440363 6594715.0698322635 105.05, 290940.0031810767 6594715.026326659 105.04, 290939.59752037714 6594714.8721783385 105.02, 290939.18545019685 6594714.869270888 105.02, 290938.92727294716 6594715.013150156 105.03, 290938.67069347855 6594715.618912534 105.04, 290938.0022298067 6594717.77858285 105.08, 290937.1395632273 6594720.789476034 105.2, 290936.34964437684 6594723.161012774 105.32000000000001, 290936.1645029947 6594724.0013719965 105.38, 290936.1653019021 6594724.232313559 105.38, 290936.2295315799 6594724.387209693 105.36, 290936.331809506 6594724.5185764665 105.36, 290936.5047265771 6594724.653598499 105.36, 290936.73561706697 6594724.763289077 105.36, 290936.9638044157 6594724.843091899 105.36, 290937.16666031186 6594724.864921303 105.38, 290937.3151980457 6594724.841443013 105.4, 290937.51179768157 6594724.683044829 105.4, 290937.5797847546 6594724.546322845 105.4, 290937.7830492073 6594723.684236362 105.35000000000001, 290937.9290370111 6594723.299401861 105.34, 290938.5440324004 6594721.21487589 105.2, 290939.5316562589 6594718.25294569 105.11))</t>
  </si>
  <si>
    <t>['FV129 S1D1 m642-667']</t>
  </si>
  <si>
    <t>LINESTRING Z (293143.23783648235 6607214.318136576 102.12, 293144.3673478287 6607213.814100092 102.12, 293148.15320390725 6607210.478177273 102.12, 293148.1080211467 6607210.201035785 102.13, 293147.8608457482 6607210.022536597 102.13, 293147.3537077928 6607209.968016852 102.13, 293146.38732085796 6607210.166005893 102.13, 293144.4199123817 6607211.177805661 102.13, 293142.0394978465 6607212.287266654 102.12, 293138.9065740085 6607213.183633446 102.12, 293132.4757580225 6607215.372977785 102.12, 293131.7348570997 6607215.620857667 102.12, 293131.57898881653 6607215.896115995 102.12, 293131.54713952844 6607216.320849031 102.12, 293134.0480695523 6607220.091916479 102.12, 293134.43267655117 6607220.900789168 102.12, 293134.8836883162 6607220.890082832 102.12, 293135.26229695877 6607220.745316111 102.12, 293136.6718141836 6607219.784032298 102.12, 293139.7139051598 6607217.108053398 102.12, 293140.6424840577 6607216.270670076 102.12, 293143.23783648235 6607214.318136576 102.12)</t>
  </si>
  <si>
    <t>POLYGON Z ((293143.23783648235 6607214.318136576 102.12, 293144.3673478287 6607213.814100092 102.12, 293148.15320390725 6607210.478177273 102.12, 293148.1080211467 6607210.201035785 102.13, 293147.8608457482 6607210.022536597 102.13, 293147.3537077928 6607209.968016852 102.13, 293146.38732085796 6607210.166005893 102.13, 293144.4199123817 6607211.177805661 102.13, 293142.0394978465 6607212.287266654 102.12, 293138.9065740085 6607213.183633446 102.12, 293132.4757580225 6607215.372977785 102.12, 293131.7348570997 6607215.620857667 102.12, 293131.57898881653 6607215.896115995 102.12, 293131.54713952844 6607216.320849031 102.12, 293134.0480695523 6607220.091916479 102.12, 293134.43267655117 6607220.900789168 102.12, 293134.8836883162 6607220.890082832 102.12, 293135.26229695877 6607220.745316111 102.12, 293136.6718141836 6607219.784032298 102.12, 293139.7139051598 6607217.108053398 102.12, 293140.6424840577 6607216.270670076 102.12, 293143.23783648235 6607214.318136576 102.12))</t>
  </si>
  <si>
    <t>['FV129 S1D1 m679-695']</t>
  </si>
  <si>
    <t>LINESTRING Z (293108.7928949101 6607236.791915107 102.01, 293106.6506083698 6607232.988372443 102.01, 293106.1226829671 6607232.815206674 102.01, 293105.7848652225 6607232.855839608 102.01, 293104.2475228278 6607234.180239201 102.01, 293099.47597951663 6607238.499335128 102.01, 293097.2302897762 6607240.209283683 101.87, 293097.1421957692 6607240.900254523 101.87, 293097.48260125506 6607241.220972337 101.87, 293097.7986506675 6607241.272706741 101.87, 293102.94510879484 6607239.541154375 101.8, 293108.43758216035 6607237.637654534 101.8, 293108.69574062363 6607237.493750302 101.8, 293108.84525484813 6607237.259243359 101.8, 293108.7928949101 6607236.791915107 102.01)</t>
  </si>
  <si>
    <t>POLYGON Z ((293108.7928949101 6607236.791915107 102.01, 293106.6506083698 6607232.988372443 102.01, 293106.1226829671 6607232.815206674 102.01, 293105.7848652225 6607232.855839608 102.01, 293104.2475228278 6607234.180239201 102.01, 293099.47597951663 6607238.499335128 102.01, 293097.2302897762 6607240.209283683 101.87, 293097.1421957692 6607240.900254523 101.87, 293097.48260125506 6607241.220972337 101.87, 293097.7986506675 6607241.272706741 101.87, 293102.94510879484 6607239.541154375 101.8, 293108.43758216035 6607237.637654534 101.8, 293108.69574062363 6607237.493750302 101.8, 293108.84525484813 6607237.259243359 101.8, 293108.7928949101 6607236.791915107 102.01))</t>
  </si>
  <si>
    <t>2014-07-16</t>
  </si>
  <si>
    <t>[5296]</t>
  </si>
  <si>
    <t>['FV5296 S1D1 m896-904']</t>
  </si>
  <si>
    <t>LINESTRING Z (-24636.8990478516 6740816.5579834 24.462, -24636.5250244141 6740815.80895996 24.542, -24636.6040039063 6740815.38305664 24.582, -24636.8409423828 6740815.10205078 24.612, -24637.2960205078 6740814.97302246 24.692, -24637.6829833984 6740815.03894043 24.742, -24638.0520019531 6740815.29394531 24.792, -24639.3809814453 6740816.94702149 24.932, -24640.4210205078 6740818.78405762 25.092, -24640.8879394531 6740819.73303223 25.182, -24641.0489501953 6740820.18103027 25.232, -24641.1850585938 6740820.88903809 25.292)</t>
  </si>
  <si>
    <t>POLYGON Z ((-24636.8990478516 6740816.5579834 24.462, -24636.5250244141 6740815.80895996 24.542, -24636.6040039063 6740815.38305664 24.582, -24636.8409423828 6740815.10205078 24.612, -24637.2960205078 6740814.97302246 24.692, -24637.6829833984 6740815.03894043 24.742, -24638.0520019531 6740815.29394531 24.792, -24639.3809814453 6740816.94702149 24.932, -24640.4210205078 6740818.78405762 25.092, -24640.8879394531 6740819.73303223 25.182, -24641.0489501953 6740820.18103027 25.232, -24641.1850585938 6740820.88903809 25.292, -24636.8990478516 6740816.5579834 24.462))</t>
  </si>
  <si>
    <t>['FV115 S6D1 m5528-5542']</t>
  </si>
  <si>
    <t>LINESTRING Z (283507.9534467908 6609783.223113751 107.73, 283508.9245755832 6609787.9566908665 107.69, 283509.4680049197 6609793.291515263 107.47, 283509.63753121253 6609795.496074275 107.51, 283509.7415992677 6609795.757860151 107.51, 283509.9661272322 6609796.018781157 107.51, 283510.3012268974 6609796.058746067 107.51, 283510.6381686912 6609796.008140462 107.51, 283510.9280767533 6609795.7709423695 107.51, 283511.09842724167 6609795.544572278 107.51, 283511.0305211083 6609790.136546582 107.56, 283511.6727420025 6609784.583847889 107.73, 283511.918773051 6609782.863985423 107.78, 283511.8011325649 6609782.56324935 107.78, 283511.6254804828 6609782.39835031 107.78, 283508.2479789688 6609782.704241005 107.78, 283508.133835386 6609782.774847782 107.78, 283508.0441297287 6609782.893465554 107.78, 283507.9534467908 6609783.223113751 107.73)</t>
  </si>
  <si>
    <t>POLYGON Z ((283507.9534467908 6609783.223113751 107.73, 283508.9245755832 6609787.9566908665 107.69, 283509.4680049197 6609793.291515263 107.47, 283509.63753121253 6609795.496074275 107.51, 283509.7415992677 6609795.757860151 107.51, 283509.9661272322 6609796.018781157 107.51, 283510.3012268974 6609796.058746067 107.51, 283510.6381686912 6609796.008140462 107.51, 283510.9280767533 6609795.7709423695 107.51, 283511.09842724167 6609795.544572278 107.51, 283511.0305211083 6609790.136546582 107.56, 283511.6727420025 6609784.583847889 107.73, 283511.918773051 6609782.863985423 107.78, 283511.8011325649 6609782.56324935 107.78, 283511.6254804828 6609782.39835031 107.78, 283508.2479789688 6609782.704241005 107.78, 283508.133835386 6609782.774847782 107.78, 283508.0441297287 6609782.893465554 107.78, 283507.9534467908 6609783.223113751 107.73))</t>
  </si>
  <si>
    <t>['FV115 S6D1 m5592-5602']</t>
  </si>
  <si>
    <t>LINESTRING Z (283509.72104314214 6609853.758705631 107.41, 283510.2320898202 6609850.417709278 107.33, 283510.4289777483 6609846.713416306 107.24000000000001, 283510.41442376084 6609844.223610736 107.11, 283510.5458239746 6609844.010813051 107.11, 283510.8565605453 6609843.781773294 107.11, 283511.27595180034 6609843.643341474 107.11, 283511.5476633469 6609843.648867754 107.11, 283511.75594933913 6609843.730452312 107.11, 283511.9171266897 6609843.846437951 107.11, 283512.0121340563 6609844.119089252 107.11, 283512.9800344331 6609850.369731267 107.33, 283513.78957246 6609853.540900894 107.33, 283513.7650596889 6609853.713883473 107.33, 283513.7088528491 6609853.869646799 107.33, 283513.5738433025 6609854.042591962 107.37, 283510.18543908186 6609854.449920656 107.41, 283509.92823976255 6609854.382810938 107.41, 283509.77792786807 6609854.2758861035 107.41, 283509.6919438604 6609854.102866112 107.41, 283509.72104314214 6609853.758705631 107.41)</t>
  </si>
  <si>
    <t>POLYGON Z ((283509.72104314214 6609853.758705631 107.41, 283510.2320898202 6609850.417709278 107.33, 283510.4289777483 6609846.713416306 107.24000000000001, 283510.41442376084 6609844.223610736 107.11, 283510.5458239746 6609844.010813051 107.11, 283510.8565605453 6609843.781773294 107.11, 283511.27595180034 6609843.643341474 107.11, 283511.5476633469 6609843.648867754 107.11, 283511.75594933913 6609843.730452312 107.11, 283511.9171266897 6609843.846437951 107.11, 283512.0121340563 6609844.119089252 107.11, 283512.9800344331 6609850.369731267 107.33, 283513.78957246 6609853.540900894 107.33, 283513.7650596889 6609853.713883473 107.33, 283513.7088528491 6609853.869646799 107.33, 283513.5738433025 6609854.042591962 107.37, 283510.18543908186 6609854.449920656 107.41, 283509.92823976255 6609854.382810938 107.41, 283509.77792786807 6609854.2758861035 107.41, 283509.6919438604 6609854.102866112 107.41, 283509.72104314214 6609853.758705631 107.41))</t>
  </si>
  <si>
    <t>['FV115 S6D1 m5610-5621']</t>
  </si>
  <si>
    <t>LINESTRING Z (283515.97889784514 6609890.357903417 108.51, 283517.88739265106 6609895.237616043 108.64, 283519.0281979495 6609899.071878016 108.64, 283519.3087834375 6609899.619022558 108.68, 283519.55868929485 6609899.827420677 108.73, 283519.7959623628 6609899.896334981 108.73, 283520.07222297415 6609899.841180011 108.73, 283520.31047311623 6609899.699063899 108.73, 283520.48262808425 6609899.492619931 108.73, 283520.6131258489 6609899.269859073 108.73, 283520.6965897253 6609898.860505774 108.73, 283520.0588637419 6609893.8154779365 108.68, 283519.9254239737 6609889.347558761 108.46000000000001, 283519.8276721091 6609889.155514892 108.46000000000001, 283519.6293492271 6609889.073028073 108.46000000000001, 283519.201874354 6609889.011295103 108.46000000000001, 283516.3594883573 6609889.791056837 108.51, 283516.10947038303 6609889.914149014 108.51, 283515.99893623276 6609890.024608415 108.51, 283515.97889784514 6609890.357903417 108.51)</t>
  </si>
  <si>
    <t>POLYGON Z ((283515.97889784514 6609890.357903417 108.51, 283517.88739265106 6609895.237616043 108.64, 283519.0281979495 6609899.071878016 108.64, 283519.3087834375 6609899.619022558 108.68, 283519.55868929485 6609899.827420677 108.73, 283519.7959623628 6609899.896334981 108.73, 283520.07222297415 6609899.841180011 108.73, 283520.31047311623 6609899.699063899 108.73, 283520.48262808425 6609899.492619931 108.73, 283520.6131258489 6609899.269859073 108.73, 283520.6965897253 6609898.860505774 108.73, 283520.0588637419 6609893.8154779365 108.68, 283519.9254239737 6609889.347558761 108.46000000000001, 283519.8276721091 6609889.155514892 108.46000000000001, 283519.6293492271 6609889.073028073 108.46000000000001, 283519.201874354 6609889.011295103 108.46000000000001, 283516.3594883573 6609889.791056837 108.51, 283516.10947038303 6609889.914149014 108.51, 283515.99893623276 6609890.024608415 108.51, 283515.97889784514 6609890.357903417 108.51))</t>
  </si>
  <si>
    <t>['FV115 S6D1 m6671-6681']</t>
  </si>
  <si>
    <t>LINESTRING Z (283578.8597994939 6610884.94949877 126.69, 283579.83743414364 6610889.310820476 126.64, 283580.6016593935 6610892.646806711 126.59, 283580.74103371054 6610892.96566301 126.59, 283581.03624470753 6610893.119731295 126.59, 283581.24907992594 6610893.140632869 126.59, 283583.1784977837 6610892.373226396 126.59, 283584.5996871381 6610891.983333791 126.59, 283585.0435518641 6610891.7824123725 126.59, 283585.18126714847 6610891.639355454 126.59, 283585.2158144518 6610891.244476815 126.59, 283584.5259071111 6610890.503377516 126.59, 283581.3294956486 6610885.489211845 126.61, 283579.866767442 6610882.7589158295 126.66, 283579.42669469677 6610882.44720597 126.66, 283579.16314145335 6610882.420853377 126.66, 283578.54802587023 6610882.838183222 126.71000000000001, 283578.387604129 6610883.174149114 126.71000000000001, 283578.5105889491 6610883.755656254 126.71000000000001, 283578.8597994939 6610884.94949877 126.69)</t>
  </si>
  <si>
    <t>POLYGON Z ((283578.8597994939 6610884.94949877 126.69, 283579.83743414364 6610889.310820476 126.64, 283580.6016593935 6610892.646806711 126.59, 283580.74103371054 6610892.96566301 126.59, 283581.03624470753 6610893.119731295 126.59, 283581.24907992594 6610893.140632869 126.59, 283583.1784977837 6610892.373226396 126.59, 283584.5996871381 6610891.983333791 126.59, 283585.0435518641 6610891.7824123725 126.59, 283585.18126714847 6610891.639355454 126.59, 283585.2158144518 6610891.244476815 126.59, 283584.5259071111 6610890.503377516 126.59, 283581.3294956486 6610885.489211845 126.61, 283579.866767442 6610882.7589158295 126.66, 283579.42669469677 6610882.44720597 126.66, 283579.16314145335 6610882.420853377 126.66, 283578.54802587023 6610882.838183222 126.71000000000001, 283578.387604129 6610883.174149114 126.71000000000001, 283578.5105889491 6610883.755656254 126.71000000000001, 283578.8597994939 6610884.94949877 126.69))</t>
  </si>
  <si>
    <t>[1094]</t>
  </si>
  <si>
    <t>['FV1094 S1D1 m2025-2032']</t>
  </si>
  <si>
    <t>LINESTRING Z (257732.56413601112 6577935.911041014 2.71, 257732.48295039783 6577935.3457104415 2.73, 257732.21325375832 6577934.917961379 2.79, 257731.41982041879 6577934.698249192 2.8000000000000003, 257730.21006554237 6577935.319862908 2.73, 257726.30806724593 6577937.279656959 2.8000000000000003, 257725.8340227161 6577937.704234084 2.82, 257725.6923694301 6577938.249498802 2.82, 257725.8089852567 6577938.6508833105 2.85, 257726.63494689506 6577939.008312007 2.84, 257730.82157882568 6577936.751556875 2.74, 257732.36462472513 6577936.260596174 2.7, 257732.56413601112 6577935.911041014 2.71)</t>
  </si>
  <si>
    <t>POLYGON Z ((257732.56413601112 6577935.911041014 2.71, 257732.48295039783 6577935.3457104415 2.73, 257732.21325375832 6577934.917961379 2.79, 257731.41982041879 6577934.698249192 2.8000000000000003, 257730.21006554237 6577935.319862908 2.73, 257726.30806724593 6577937.279656959 2.8000000000000003, 257725.8340227161 6577937.704234084 2.82, 257725.6923694301 6577938.249498802 2.82, 257725.8089852567 6577938.6508833105 2.85, 257726.63494689506 6577939.008312007 2.84, 257730.82157882568 6577936.751556875 2.74, 257732.36462472513 6577936.260596174 2.7, 257732.56413601112 6577935.911041014 2.71))</t>
  </si>
  <si>
    <t>2017-01-04</t>
  </si>
  <si>
    <t>['FV43 S1D1 m8915-8921']</t>
  </si>
  <si>
    <t>LINESTRING Z (10900.2978909877 6469731.33001498 -999999, 10902.2028909877 6469735.45751498 -999999)</t>
  </si>
  <si>
    <t>POINT (10901.250390987701 6469733.39376498)</t>
  </si>
  <si>
    <t>['FV43 S1D1 m8929-8943']</t>
  </si>
  <si>
    <t>LINESTRING Z (10894.688724321 6469746.19959831 -999999, 10911.9395576543 6469755.03668164 -999999)</t>
  </si>
  <si>
    <t>POINT (10903.31414098765 6469750.618139975)</t>
  </si>
  <si>
    <t>2025-11-22T09:08:42Z</t>
  </si>
  <si>
    <t>['FV128 S7D1 m3654-3665']</t>
  </si>
  <si>
    <t>LINESTRING Z (282566.36901170854 6611152.49426125 116.33, 282570.8883334742 6611153.149672709 116.46000000000001, 282574.55807553756 6611153.851902807 116.66, 282575.2310247886 6611153.851217831 116.66, 282575.39588697266 6611153.786060162 116.66, 282575.4502514822 6611153.720866246 116.66, 282575.4946890357 6611153.546077104 116.66, 282575.48479832616 6611153.325984206 116.66, 282575.41603085474 6611153.121269215 116.66, 282575.31011792604 6611152.9500536285 116.66, 282574.8890285764 6611152.737071595 116.66, 282570.7713773961 6611150.749479595 116.48, 282565.97554336896 6611148.150304767 116.36, 282565.7409749994 6611148.111281901 116.36, 282565.4964071752 6611148.18365917 116.36, 282565.35869098175 6611148.32671756 116.36, 282564.3304911252 6611151.724637257 116.26, 282564.34944258456 6611151.933864522 116.26, 282564.4155027087 6611152.108689927 116.26, 282564.4634775752 6611152.194748952 116.26, 282566.36901170854 6611152.49426125 116.33)</t>
  </si>
  <si>
    <t>POLYGON Z ((282566.36901170854 6611152.49426125 116.33, 282570.8883334742 6611153.149672709 116.46000000000001, 282574.55807553756 6611153.851902807 116.66, 282575.2310247886 6611153.851217831 116.66, 282575.39588697266 6611153.786060162 116.66, 282575.4502514822 6611153.720866246 116.66, 282575.4946890357 6611153.546077104 116.66, 282575.48479832616 6611153.325984206 116.66, 282575.41603085474 6611153.121269215 116.66, 282575.31011792604 6611152.9500536285 116.66, 282574.8890285764 6611152.737071595 116.66, 282570.7713773961 6611150.749479595 116.48, 282565.97554336896 6611148.150304767 116.36, 282565.7409749994 6611148.111281901 116.36, 282565.4964071752 6611148.18365917 116.36, 282565.35869098175 6611148.32671756 116.36, 282564.3304911252 6611151.724637257 116.26, 282564.34944258456 6611151.933864522 116.26, 282564.4155027087 6611152.108689927 116.26, 282564.4634775752 6611152.194748952 116.26, 282566.36901170854 6611152.49426125 116.33))</t>
  </si>
  <si>
    <t>['FV118 S8D1 m10561 KD1 m15-36']</t>
  </si>
  <si>
    <t>LINESTRING Z (255720.11169942483 6593459.095745435 44.38, 255719.4208996428 6593458.2338855155 44.43, 255718.80807503752 6593457.234363723 44.44, 255718.30402330126 6593456.104442223 44.45, 255717.93954212722 6593454.851383191 44.46, 255717.76806360768 6593453.510543132 44.49, 255717.79319221657 6593452.121784145 44.53, 255718.0384634725 6593450.723166101 44.53, 255718.51018519574 6593449.384447663 44.62, 255719.1720997578 6593448.149095409 44.65, 255720.00607833988 6593447.038842613 44.67, 255720.95683338234 6593446.108923603 44.660000000000004, 255721.99356719168 6593445.352076201 44.74, 255723.06645214817 6593444.772805994 44.75, 255724.1455916795 6593444.373816323 44.78, 255725.20745027106 6593444.117047329 44.77, 255726.32088546417 6593443.986225667 44.78, 255727.51849717528 6593444.008544549 44.78, 255728.77128995123 6593444.196672846 44.76, 255730.03123841414 6593444.575047179 44.77, 255731.2702482323 6593445.166301939 44.730000000000004, 255732.4258229263 6593445.945947257 44.75, 255733.45810041355 6593446.917587595 44.72, 255734.33267855016 6593448.034098692 44.65, 255735.00699190417 6593449.269188457 44.6, 255735.48469818244 6593450.55219712 44.6, 255735.7422618754 6593451.845064842 44.52, 255735.82590612245 6593453.103423944 44.49, 255735.7329275702 6593454.297377872 44.5, 255735.50048495 6593455.393425598 44.480000000000004, 255735.1521137734 6593456.429626965 44.46, 255734.65245754056 6593457.45941407 44.43, 255733.9806840866 6593458.47462362 44.410000000000004, 255733.12322341444 6593459.436294656 44.36, 255732.1063676112 6593460.301861739 44.35, 255730.93647772036 6593461.0305616595 44.300000000000004, 255729.639845828 6593461.579828971 44.29, 255728.25363066225 6593461.916162631 44.28, 255726.84849199472 6593462.043220324 44.300000000000004, 255725.46248967774 6593461.937466527 44.24, 255724.13999139584 6593461.64512437 44.300000000000004, 255722.92176036222 6593461.172554897 44.300000000000004, 255721.84219874296 6593460.566882363 44.31, 255720.9040098983 6593459.858003338 44.37, 255720.11169942483 6593459.095745435 44.38)</t>
  </si>
  <si>
    <t>POLYGON Z ((255720.11169942483 6593459.095745435 44.38, 255719.4208996428 6593458.2338855155 44.43, 255718.80807503752 6593457.234363723 44.44, 255718.30402330126 6593456.104442223 44.45, 255717.93954212722 6593454.851383191 44.46, 255717.76806360768 6593453.510543132 44.49, 255717.79319221657 6593452.121784145 44.53, 255718.0384634725 6593450.723166101 44.53, 255718.51018519574 6593449.384447663 44.62, 255719.1720997578 6593448.149095409 44.65, 255720.00607833988 6593447.038842613 44.67, 255720.95683338234 6593446.108923603 44.660000000000004, 255721.99356719168 6593445.352076201 44.74, 255723.06645214817 6593444.772805994 44.75, 255724.1455916795 6593444.373816323 44.78, 255725.20745027106 6593444.117047329 44.77, 255726.32088546417 6593443.986225667 44.78, 255727.51849717528 6593444.008544549 44.78, 255728.77128995123 6593444.196672846 44.76, 255730.03123841414 6593444.575047179 44.77, 255731.2702482323 6593445.166301939 44.730000000000004, 255732.4258229263 6593445.945947257 44.75, 255733.45810041355 6593446.917587595 44.72, 255734.33267855016 6593448.034098692 44.65, 255735.00699190417 6593449.269188457 44.6, 255735.48469818244 6593450.55219712 44.6, 255735.7422618754 6593451.845064842 44.52, 255735.82590612245 6593453.103423944 44.49, 255735.7329275702 6593454.297377872 44.5, 255735.50048495 6593455.393425598 44.480000000000004, 255735.1521137734 6593456.429626965 44.46, 255734.65245754056 6593457.45941407 44.43, 255733.9806840866 6593458.47462362 44.410000000000004, 255733.12322341444 6593459.436294656 44.36, 255732.1063676112 6593460.301861739 44.35, 255730.93647772036 6593461.0305616595 44.300000000000004, 255729.639845828 6593461.579828971 44.29, 255728.25363066225 6593461.916162631 44.28, 255726.84849199472 6593462.043220324 44.300000000000004, 255725.46248967774 6593461.937466527 44.24, 255724.13999139584 6593461.64512437 44.300000000000004, 255722.92176036222 6593461.172554897 44.300000000000004, 255721.84219874296 6593460.566882363 44.31, 255720.9040098983 6593459.858003338 44.37, 255720.11169942483 6593459.095745435 44.38))</t>
  </si>
  <si>
    <t>['FV118 S8D1 m10568-10587']</t>
  </si>
  <si>
    <t>LINESTRING Z (255716.28603099144 6593470.342677343 44.09, 255716.22369413244 6593469.986621858 44.1, 255716.0263455424 6593469.693009658 44.13, 255715.80265164573 6593469.552484786 44.13, 255715.51004699036 6593469.538755146 44.14, 255715.30893428336 6593469.536846479 44.14, 255715.17392255054 6593469.599289763 44.13, 255715.04431753233 6593469.721526189 44.11, 255714.91826377733 6593469.994146585 44.11, 255714.36665844393 6593471.671639736 44.07, 255713.0703919956 6593475.224929021 43.99, 255712.28502087615 6593476.983842236 43.94, 255710.9439113757 6593479.596767933 43.9, 255709.19760711057 6593482.728589239 43.85, 255707.80852551697 6593485.255429831 43.82, 255707.75313157748 6593485.531707944 43.82, 255707.75572854132 6593485.782648282 43.800000000000004, 255707.8018452821 6593485.959324354 43.800000000000004, 255707.92948845617 6593486.148722509 43.800000000000004, 255708.0825225994 6593486.285589683 43.800000000000004, 255708.39049952282 6593486.358211304 43.800000000000004, 255708.63513201821 6593486.285855672 43.84, 255708.88161995224 6593486.122909202 43.84, 255709.08283906785 6593485.903774076 43.85, 255709.61509510432 6593484.90117984 43.83, 255710.7140093675 6593482.943115658 43.89, 255713.11592005272 6593478.5061832275 43.92, 255714.2803534875 6593475.939374315 43.99, 255714.98960489844 6593474.227532186 43.980000000000004, 255715.56474571774 6593472.588098888 44.03, 255716.06827244186 6593471.045564268 44.06, 255716.28603099144 6593470.342677343 44.09)</t>
  </si>
  <si>
    <t>POLYGON Z ((255716.28603099144 6593470.342677343 44.09, 255716.22369413244 6593469.986621858 44.1, 255716.0263455424 6593469.693009658 44.13, 255715.80265164573 6593469.552484786 44.13, 255715.51004699036 6593469.538755146 44.14, 255715.30893428336 6593469.536846479 44.14, 255715.17392255054 6593469.599289763 44.13, 255715.04431753233 6593469.721526189 44.11, 255714.91826377733 6593469.994146585 44.11, 255714.36665844393 6593471.671639736 44.07, 255713.0703919956 6593475.224929021 43.99, 255712.28502087615 6593476.983842236 43.94, 255710.9439113757 6593479.596767933 43.9, 255709.19760711057 6593482.728589239 43.85, 255707.80852551697 6593485.255429831 43.82, 255707.75313157748 6593485.531707944 43.82, 255707.75572854132 6593485.782648282 43.800000000000004, 255707.8018452821 6593485.959324354 43.800000000000004, 255707.92948845617 6593486.148722509 43.800000000000004, 255708.0825225994 6593486.285589683 43.800000000000004, 255708.39049952282 6593486.358211304 43.800000000000004, 255708.63513201821 6593486.285855672 43.84, 255708.88161995224 6593486.122909202 43.84, 255709.08283906785 6593485.903774076 43.85, 255709.61509510432 6593484.90117984 43.83, 255710.7140093675 6593482.943115658 43.89, 255713.11592005272 6593478.5061832275 43.92, 255714.2803534875 6593475.939374315 43.99, 255714.98960489844 6593474.227532186 43.980000000000004, 255715.56474571774 6593472.588098888 44.03, 255716.06827244186 6593471.045564268 44.06, 255716.28603099144 6593470.342677343 44.09))</t>
  </si>
  <si>
    <t>2025-12-10T12:10:53Z</t>
  </si>
  <si>
    <t>['FV118 S8D1 m11174 KD1 m16-46']</t>
  </si>
  <si>
    <t>LINESTRING Z (255383.38509114593 6593981.295987967 49.2, 255383.83719822316 6593981.184775609 49.32, 255384.31103872161 6593981.091692019 49.29, 255384.79754825705 6593981.027603914 49.27, 255385.30849470402 6593981.011541219 49.27, 255385.83211018777 6593981.024474011 49.29, 255386.370197034 6593981.086333375 49.230000000000004, 255386.91188853222 6593981.188054933 49.22, 255387.45718468164 6593981.329638681 49.22, 255387.9988234255 6593981.5418824265 49.2, 255388.5322989462 6593981.774958427 49.2, 255389.05125035075 6593982.069630044 49.19, 255389.5348453804 6593982.41773405 49.17, 255390.0012128045 6593982.79753702 49.17, 255390.42225830755 6593983.231673549 49.17, 255390.80524394725 6593983.689345824 49.19, 255391.1601352719 6593984.169652678 49.22, 255391.4470700919 6593984.676198775 49.22, 255391.69594505042 6593985.206280618 49.19, 255391.89499227313 6593985.740868279 49.2, 255392.0433105961 6593986.269996208 49.19, 255392.1626334424 6593986.8117931755 49.21, 255392.22036067813 6593987.33906603 49.22, 255392.23642339834 6593987.850012451 49.230000000000004, 255392.23165386103 6593988.352795647 49.21, 255392.1743530963 6593988.830188024 49.24, 255392.09531891008 6593989.28945163 49.26, 255391.9854869185 6593989.741453185 49.230000000000004, 255391.83489157417 6593990.187093847 49.24, 255391.66526630058 6593990.644502386 49.27, 255391.4349465786 6593991.097352368 49.26, 255391.17382905085 6593991.542940297 49.25, 255390.87194816914 6593991.982167335 49.26, 255390.51843722136 6593992.405969105 49.26, 255390.144094014 6593992.821607656 49.26, 255389.70545169836 6593993.192825459 49.28, 255389.23511041005 6593993.546815663 49.29, 255388.741233367 6593993.862746004 49.29, 255388.20208714425 6593994.12248772 49.31, 255387.6493707136 6593994.343268417 49.38, 255387.07311852623 6593994.525989247 49.36, 255386.48059263662 6593994.639852411 49.370000000000005, 255385.89532879824 6593994.722917765 49.35, 255385.30285564027 6593994.726258737 49.4, 255384.71764453335 6593994.6988018975 49.42, 255384.14875986197 6593994.629680538 49.46, 255383.6043648448 6593994.498062395 49.47, 255383.07809859278 6593994.344710823 49.49, 255382.5772231607 6593994.138828016 49.51, 255382.11440759126 6593993.909409449 49.52, 255381.66972078808 6593993.658257458 49.52, 255381.28212378116 6593993.371801835 49.550000000000004, 255380.9044923218 6593993.084445039 49.54, 255380.56492072722 6593992.773552492 49.57, 255380.24257673608 6593992.430960967 49.57, 255379.9383615134 6593992.066636015 49.57, 255379.64957156644 6593991.650680989 49.54, 255379.37891038854 6593991.212992533 49.550000000000004, 255379.13544236482 6593990.742703937 49.550000000000004, 255378.93819742833 6593990.228047326 49.53, 255378.75998242726 6593989.701622834 49.57, 255378.62979284293 6593989.150761422 49.58, 255378.55759422496 6593988.5745619275 49.57, 255378.50442554298 6593987.986594556 49.57, 255378.53098125325 6593987.391417873 49.49, 255378.59830032534 6593986.802602081 49.5, 255378.7154471435 6593986.20928047 49.5, 255378.89418958424 6593985.630482976 49.45, 255379.10553216469 6593985.0788786365 49.43, 255379.37847036682 6593984.541798415 49.4, 255379.68581103507 6593984.051842447 49.36, 255380.01398396547 6593983.570049704 49.370000000000005, 255380.39829278493 6593983.153509982 49.36, 255380.78530509566 6593982.76686691 49.35, 255381.2058187062 6593982.417382546 49.33, 255381.6308381341 6593982.117725923 49.300000000000004, 255382.0694277635 6593981.857030333 49.370000000000005, 255382.51162204627 6593981.636196937 49.32, 255382.9474554333 6593981.456126904 49.32, 255383.38509114593 6593981.295987967 49.2)</t>
  </si>
  <si>
    <t>POLYGON Z ((255383.38509114593 6593981.295987967 49.2, 255383.83719822316 6593981.184775609 49.32, 255384.31103872161 6593981.091692019 49.29, 255384.79754825705 6593981.027603914 49.27, 255385.30849470402 6593981.011541219 49.27, 255385.83211018777 6593981.024474011 49.29, 255386.370197034 6593981.086333375 49.230000000000004, 255386.91188853222 6593981.188054933 49.22, 255387.45718468164 6593981.329638681 49.22, 255387.9988234255 6593981.5418824265 49.2, 255388.5322989462 6593981.774958427 49.2, 255389.05125035075 6593982.069630044 49.19, 255389.5348453804 6593982.41773405 49.17, 255390.0012128045 6593982.79753702 49.17, 255390.42225830755 6593983.231673549 49.17, 255390.80524394725 6593983.689345824 49.19, 255391.1601352719 6593984.169652678 49.22, 255391.4470700919 6593984.676198775 49.22, 255391.69594505042 6593985.206280618 49.19, 255391.89499227313 6593985.740868279 49.2, 255392.0433105961 6593986.269996208 49.19, 255392.1626334424 6593986.8117931755 49.21, 255392.22036067813 6593987.33906603 49.22, 255392.23642339834 6593987.850012451 49.230000000000004, 255392.23165386103 6593988.352795647 49.21, 255392.1743530963 6593988.830188024 49.24, 255392.09531891008 6593989.28945163 49.26, 255391.9854869185 6593989.741453185 49.230000000000004, 255391.83489157417 6593990.187093847 49.24, 255391.66526630058 6593990.644502386 49.27, 255391.4349465786 6593991.097352368 49.26, 255391.17382905085 6593991.542940297 49.25, 255390.87194816914 6593991.982167335 49.26, 255390.51843722136 6593992.405969105 49.26, 255390.144094014 6593992.821607656 49.26, 255389.70545169836 6593993.192825459 49.28, 255389.23511041005 6593993.546815663 49.29, 255388.741233367 6593993.862746004 49.29, 255388.20208714425 6593994.12248772 49.31, 255387.6493707136 6593994.343268417 49.38, 255387.07311852623 6593994.525989247 49.36, 255386.48059263662 6593994.639852411 49.370000000000005, 255385.89532879824 6593994.722917765 49.35, 255385.30285564027 6593994.726258737 49.4, 255384.71764453335 6593994.6988018975 49.42, 255384.14875986197 6593994.629680538 49.46, 255383.6043648448 6593994.498062395 49.47, 255383.07809859278 6593994.344710823 49.49, 255382.5772231607 6593994.138828016 49.51, 255382.11440759126 6593993.909409449 49.52, 255381.66972078808 6593993.658257458 49.52, 255381.28212378116 6593993.371801835 49.550000000000004, 255380.9044923218 6593993.084445039 49.54, 255380.56492072722 6593992.773552492 49.57, 255380.24257673608 6593992.430960967 49.57, 255379.9383615134 6593992.066636015 49.57, 255379.64957156644 6593991.650680989 49.54, 255379.37891038854 6593991.212992533 49.550000000000004, 255379.13544236482 6593990.742703937 49.550000000000004, 255378.93819742833 6593990.228047326 49.53, 255378.75998242726 6593989.701622834 49.57, 255378.62979284293 6593989.150761422 49.58, 255378.55759422496 6593988.5745619275 49.57, 255378.50442554298 6593987.986594556 49.57, 255378.53098125325 6593987.391417873 49.49, 255378.59830032534 6593986.802602081 49.5, 255378.7154471435 6593986.20928047 49.5, 255378.89418958424 6593985.630482976 49.45, 255379.10553216469 6593985.0788786365 49.43, 255379.37847036682 6593984.541798415 49.4, 255379.68581103507 6593984.051842447 49.36, 255380.01398396547 6593983.570049704 49.370000000000005, 255380.39829278493 6593983.153509982 49.36, 255380.78530509566 6593982.76686691 49.35, 255381.2058187062 6593982.417382546 49.33, 255381.6308381341 6593982.117725923 49.300000000000004, 255382.0694277635 6593981.857030333 49.370000000000005, 255382.51162204627 6593981.636196937 49.32, 255382.9474554333 6593981.456126904 49.32, 255383.38509114593 6593981.295987967 49.2))</t>
  </si>
  <si>
    <t>['FV118 S8D1 m11588 KD1 m17-45']</t>
  </si>
  <si>
    <t>LINESTRING Z (255241.01020448797 6594389.8436777 49.74, 255240.82706252136 6594390.151604045 49.71, 255240.41349726674 6594391.133426412 49.74, 255240.097732827 6594392.1968280235 49.71, 255239.919631437 6594393.3382040765 49.74, 255239.89732181848 6594394.535821063 49.74, 255240.03806593546 6594395.758881102 49.72, 255240.35728890903 6594396.955754001 49.74, 255240.84412398076 6594398.117375395 49.71, 255241.4732328376 6594399.185754333 49.730000000000004, 255242.24281307642 6594400.14095969 49.71, 255243.1202644214 6594400.9557984 49.730000000000004, 255244.05575907874 6594401.634776449 49.72, 255245.03752908934 6594402.158863932 49.7, 255246.02661341886 6594402.541631202 49.64, 255246.99491779236 6594402.805712977 49.65, 255247.94154101002 6594402.941143701 49.64, 255248.92898001306 6594402.972412852 49.61, 255249.9662991587 6594402.888653681 49.57, 255251.03176493265 6594402.6717374725 49.6, 255252.11360937933 6594402.302634314 49.56, 255253.18193582923 6594401.784047811 49.57, 255254.18511410218 6594401.100552846 49.54, 255255.11498104388 6594400.272981734 49.51, 255255.91264451828 6594399.316707232 49.52, 255256.56994137188 6594398.252561648 49.46, 255257.07054529258 6594397.122209606 49.51, 255257.39812996544 6594395.967315728 49.480000000000004, 255257.56446334656 6594394.806909917 49.51, 255257.58311578733 6594393.6799532 49.53, 255257.4658552409 6594392.605475492 49.5, 255257.23531641293 6594391.611571054 49.53, 255257.05980306317 6594391.115043245 49.53, 255256.91143041468 6594390.696437493 49.53, 255256.48152809223 6594389.831079333 49.53, 255255.94110345255 6594388.965668788 49.51, 255255.25209666355 6594388.123741765 49.49, 255254.43894482582 6594387.353323646 49.550000000000004, 255253.50164793525 6594386.654414432 49.57, 255252.43474642048 6594386.077743106 49.59, 255251.2799049005 6594385.6396359885 49.64, 255250.06972363626 6594385.367286164 49.65, 255248.82503493724 6594385.268856798 49.68, 255247.58570103152 6594385.340743103 49.68, 255246.39248534729 6594385.58930585 49.68, 255245.27258096618 6594385.981944779 49.72, 255244.25408216906 6594386.496025186 49.68, 255243.3442509231 6594387.100749194 49.72, 255242.56211714962 6594387.784348858 49.71, 255241.89501170063 6594388.517828696 49.72, 255241.3311666245 6594389.282158795 49.72, 255241.01020448797 6594389.8436777 49.74)</t>
  </si>
  <si>
    <t>POLYGON Z ((255241.01020448797 6594389.8436777 49.74, 255240.82706252136 6594390.151604045 49.71, 255240.41349726674 6594391.133426412 49.74, 255240.097732827 6594392.1968280235 49.71, 255239.919631437 6594393.3382040765 49.74, 255239.89732181848 6594394.535821063 49.74, 255240.03806593546 6594395.758881102 49.72, 255240.35728890903 6594396.955754001 49.74, 255240.84412398076 6594398.117375395 49.71, 255241.4732328376 6594399.185754333 49.730000000000004, 255242.24281307642 6594400.14095969 49.71, 255243.1202644214 6594400.9557984 49.730000000000004, 255244.05575907874 6594401.634776449 49.72, 255245.03752908934 6594402.158863932 49.7, 255246.02661341886 6594402.541631202 49.64, 255246.99491779236 6594402.805712977 49.65, 255247.94154101002 6594402.941143701 49.64, 255248.92898001306 6594402.972412852 49.61, 255249.9662991587 6594402.888653681 49.57, 255251.03176493265 6594402.6717374725 49.6, 255252.11360937933 6594402.302634314 49.56, 255253.18193582923 6594401.784047811 49.57, 255254.18511410218 6594401.100552846 49.54, 255255.11498104388 6594400.272981734 49.51, 255255.91264451828 6594399.316707232 49.52, 255256.56994137188 6594398.252561648 49.46, 255257.07054529258 6594397.122209606 49.51, 255257.39812996544 6594395.967315728 49.480000000000004, 255257.56446334656 6594394.806909917 49.51, 255257.58311578733 6594393.6799532 49.53, 255257.4658552409 6594392.605475492 49.5, 255257.23531641293 6594391.611571054 49.53, 255257.05980306317 6594391.115043245 49.53, 255256.91143041468 6594390.696437493 49.53, 255256.48152809223 6594389.831079333 49.53, 255255.94110345255 6594388.965668788 49.51, 255255.25209666355 6594388.123741765 49.49, 255254.43894482582 6594387.353323646 49.550000000000004, 255253.50164793525 6594386.654414432 49.57, 255252.43474642048 6594386.077743106 49.59, 255251.2799049005 6594385.6396359885 49.64, 255250.06972363626 6594385.367286164 49.65, 255248.82503493724 6594385.268856798 49.68, 255247.58570103152 6594385.340743103 49.68, 255246.39248534729 6594385.58930585 49.68, 255245.27258096618 6594385.981944779 49.72, 255244.25408216906 6594386.496025186 49.68, 255243.3442509231 6594387.100749194 49.72, 255242.56211714962 6594387.784348858 49.71, 255241.89501170063 6594388.517828696 49.72, 255241.3311666245 6594389.282158795 49.72, 255241.01020448797 6594389.8436777 49.74))</t>
  </si>
  <si>
    <t>[211]</t>
  </si>
  <si>
    <t>['FV211 S1D10 m14-29']</t>
  </si>
  <si>
    <t>LINESTRING Z (275795.2245945241 6615807.474628401 103.91, 275798.6841116091 6615812.394876498 103.92, 275799.04000112927 6615812.66399402 103.92, 275799.3533914305 6615812.685823766 103.92, 275799.6450806875 6615812.579027759 103.92, 275800.0418889171 6615812.301977474 103.92, 275800.2131425951 6615812.085548145 103.92, 275800.25219121756 6615811.740460888 103.92, 275800.1960846068 6615811.564725039 103.92, 275798.3811014943 6615807.831515518 103.95, 275795.94056257466 6615802.959569919 103.95, 275794.3661289363 6615800.5506670065 103.95, 275792.4555401678 6615798.533864841 103.95, 275791.9556117548 6615798.338072736 103.95, 275791.52984730166 6615798.517291317 103.95, 275791.181890473 6615799.000871538 103.95, 275791.2631808198 6615799.787104219 103.95, 275791.922756041 6615802.2989986045 103.95, 275792.5473768997 6615803.538274897 103.93, 275795.2245945241 6615807.474628401 103.91)</t>
  </si>
  <si>
    <t>POLYGON Z ((275795.2245945241 6615807.474628401 103.91, 275798.6841116091 6615812.394876498 103.92, 275799.04000112927 6615812.66399402 103.92, 275799.3533914305 6615812.685823766 103.92, 275799.6450806875 6615812.579027759 103.92, 275800.0418889171 6615812.301977474 103.92, 275800.2131425951 6615812.085548145 103.92, 275800.25219121756 6615811.740460888 103.92, 275800.1960846068 6615811.564725039 103.92, 275798.3811014943 6615807.831515518 103.95, 275795.94056257466 6615802.959569919 103.95, 275794.3661289363 6615800.5506670065 103.95, 275792.4555401678 6615798.533864841 103.95, 275791.9556117548 6615798.338072736 103.95, 275791.52984730166 6615798.517291317 103.95, 275791.181890473 6615799.000871538 103.95, 275791.2631808198 6615799.787104219 103.95, 275791.922756041 6615802.2989986045 103.95, 275792.5473768997 6615803.538274897 103.93, 275795.2245945241 6615807.474628401 103.91))</t>
  </si>
  <si>
    <t>2011-10-02</t>
  </si>
  <si>
    <t>2025-11-22T09:08:44Z</t>
  </si>
  <si>
    <t>['EV6 S79D1 m3986 KD1 m58-59']</t>
  </si>
  <si>
    <t>LINESTRING Z (296299.989990234 7044259.38000488 3.201, 296301.08996582 7044254.10998535 3.261, 296302.030029297 7044249.76000977 3.301, 296303.030029297 7044245.42004395 3.341, 296304.08996582 7044241.09997559 3.371, 296304.550048828 7044239.29003906 3.381, 296306.040039063 7044233.31005859 3.411, 296307.439941406 7044227.31005859 3.441, 296308.780029297 7044221.29003906 3.471, 296310.040039063 7044215.25 3.491, 296322.400024414 7044154.17004395 3.362, 296322.75 7044152.61999512 3.362, 296323.150024414 7044151.08996582 3.362, 296323.619995117 7044149.57995606 3.362, 296324.140014648 7044148.08996582 3.362, 296324.729980469 7044146.60998535 3.372, 296325.369995117 7044145.17004395 3.372, 296325.449951172 7044144.91003418 3.372, 296325.459960938 7044144.64001465 3.372, 296325.400024414 7044144.38000488 3.372, 296325.260009766 7044144.14001465 3.372, 296325.079956055 7044143.94995117 3.372, 296324.83996582 7044143.81994629 3.372, 296324.579956055 7044143.75 3.372, 296323.099975586 7044143.5300293 3.372, 296321.619995117 7044143.23999023 3.372, 296320.170043945 7044142.86999512 3.372, 296319.900024414 7044142.82995605 3.372, 296319.640014648 7044142.85998535 3.372, 296319.390014648 7044142.95996094 3.372, 296319.180053711 7044143.13000488 3.372, 296319.020019531 7044143.33996582 3.372, 296318.920043945 7044143.58996582 3.372, 296318.890014648 7044143.84997559 3.372, 296318.890014648 7044145.64001465 3.372, 296318.810058594 7044147.43005371 3.362, 296318.650024414 7044149.20996094 3.362, 296318.41003418 7044150.97998047 3.362, 296318.099975586 7044152.73999023 3.361, 296305.489990234 7044215.05004883 3.491, 296304.400024414 7044220.58996582 3.461, 296303.369995117 7044226.14001465 3.441, 296302.41003418 7044231.69995117 3.411, 296301.510009766 7044237.2800293 3.381, 296301.099975586 7044239.89001465 3.371, 296300.489990234 7044243.65002441 3.351, 296299.83996582 7044247.39001465 3.321, 296299.130004883 7044251.13000488 3.281, 296298.380004883 7044254.85998535 3.251, 296297.540039062 7044258.86999512 3.201)</t>
  </si>
  <si>
    <t>POLYGON Z ((296299.989990234 7044259.38000488 3.201, 296301.08996582 7044254.10998535 3.261, 296302.030029297 7044249.76000977 3.301, 296303.030029297 7044245.42004395 3.341, 296304.08996582 7044241.09997559 3.371, 296304.550048828 7044239.29003906 3.381, 296306.040039063 7044233.31005859 3.411, 296307.439941406 7044227.31005859 3.441, 296308.780029297 7044221.29003906 3.471, 296310.040039063 7044215.25 3.491, 296322.400024414 7044154.17004395 3.362, 296322.75 7044152.61999512 3.362, 296323.150024414 7044151.08996582 3.362, 296323.619995117 7044149.57995606 3.362, 296324.140014648 7044148.08996582 3.362, 296324.729980469 7044146.60998535 3.372, 296325.369995117 7044145.17004395 3.372, 296325.449951172 7044144.91003418 3.372, 296325.459960938 7044144.64001465 3.372, 296325.400024414 7044144.38000488 3.372, 296325.260009766 7044144.14001465 3.372, 296325.079956055 7044143.94995117 3.372, 296324.83996582 7044143.81994629 3.372, 296324.579956055 7044143.75 3.372, 296323.099975586 7044143.5300293 3.372, 296321.619995117 7044143.23999023 3.372, 296320.170043945 7044142.86999512 3.372, 296319.900024414 7044142.82995605 3.372, 296319.640014648 7044142.85998535 3.372, 296319.390014648 7044142.95996094 3.372, 296319.180053711 7044143.13000488 3.372, 296319.020019531 7044143.33996582 3.372, 296318.920043945 7044143.58996582 3.372, 296318.890014648 7044143.84997559 3.372, 296318.890014648 7044145.64001465 3.372, 296318.810058594 7044147.43005371 3.362, 296318.650024414 7044149.20996094 3.362, 296318.41003418 7044150.97998047 3.362, 296318.099975586 7044152.73999023 3.361, 296305.489990234 7044215.05004883 3.491, 296304.400024414 7044220.58996582 3.461, 296303.369995117 7044226.14001465 3.441, 296302.41003418 7044231.69995117 3.411, 296301.510009766 7044237.2800293 3.381, 296301.099975586 7044239.89001465 3.371, 296300.489990234 7044243.65002441 3.351, 296299.83996582 7044247.39001465 3.321, 296299.130004883 7044251.13000488 3.281, 296298.380004883 7044254.85998535 3.251, 296297.540039062 7044258.86999512 3.201, 296299.989990234 7044259.38000488 3.201))</t>
  </si>
  <si>
    <t>2013-02-07</t>
  </si>
  <si>
    <t>[18587]</t>
  </si>
  <si>
    <t>['KV18587 S1D1 m1884 KD1 m15-60']</t>
  </si>
  <si>
    <t>LINESTRING Z (265202.580078125 6650716.92004395 88.842, 265202.590087891 6650716.81994629 88.842, 265202.600097656 6650716.7199707 88.842, 265202.610107422 6650716.61999512 88.852, 265202.620117188 6650716.52001953 88.852, 265202.629882812 6650716.42004395 88.852, 265202.639892578 6650716.31994629 88.852, 265202.649902344 6650716.2199707 88.852, 265202.659912109 6650716.11999512 88.852, 265202.669921875 6650716.02001953 88.852, 265202.679931641 6650715.92004395 88.852, 265202.689941406 6650715.81994629 88.852, 265202.699951172 6650715.7199707 88.852, 265202.709960937 6650715.63000488 88.862, 265202.719970703 6650715.5300293 88.862, 265202.729980469 6650715.43005371 88.862, 265202.739990234 6650715.32995606 88.862, 265202.75 6650715.22998047 88.862, 265202.770019531 6650715.13000488 88.862, 265202.770019531 6650715.0300293 88.862, 265202.790039062 6650714.93005371 88.862, 265202.790039062 6650714.82995605 88.862, 265202.810058594 6650714.72998047 88.862, 265202.820068359 6650714.63000488 88.872, 265202.830078125 6650714.5300293 88.872, 265202.840087891 6650714.43005371 88.872, 265202.850097656 6650714.32995606 88.872, 265202.860107422 6650714.22998047 88.872, 265202.870117188 6650714.13000488 88.872, 265202.879882813 6650714.0300293 88.872, 265202.889892578 6650713.93005371 88.872, 265202.899902344 6650713.82995606 88.872, 265202.909912109 6650713.72998047 88.872, 265202.919921875 6650713.64001465 88.882, 265202.929931641 6650713.54003906 88.882, 265202.939941406 6650713.43994141 88.882, 265202.949951172 6650713.33996582 88.882, 265202.959960938 6650713.23999023 88.882, 265202.969970703 6650713.14001465 88.882, 265202.979980469 6650713.04003906 88.882, 265202.989990234 6650712.93994141 88.882, 265203 6650712.83996582 88.882, 265203.010009766 6650712.73999023 88.882, 265203.030029297 6650712.64001465 88.882, 265203.040039063 6650712.54003906 88.892, 265203.050048828 6650712.43994141 88.892, 265203.060058594 6650712.33996582 88.892, 265203.070068359 6650712.23999023 88.892, 265203.080078125 6650712.14001465 88.892, 265203.090087891 6650712.04003906 88.892, 265203.100097656 6650711.93994141 88.892, 265203.110107422 6650711.83996582 88.892, 265203.120117188 6650711.73999023 88.892, 265203.129882813 6650711.65002442 88.892, 265203.139892578 6650711.55004883 88.902, 265203.149902344 6650711.44995117 88.902, 265203.159912109 6650711.34997559 88.902, 265203.169921875 6650711.25 88.902, 265203.179931641 6650711.15002441 88.902, 265203.189941406 6650711.05004883 88.902, 265203.199951172 6650710.94995117 88.902, 265203.209960938 6650710.84997559 88.902, 265203.219970703 6650710.75 88.902, 265203.229980469 6650710.65002441 88.902, 265203.239990234 6650710.55004883 88.912, 265203.25 6650710.44995117 88.912, 265203.260009766 6650710.34997559 88.912, 265203.280029297 6650710.25 88.912, 265203.290039063 6650710.15002441 88.912, 265203.290039063 6650710.05004883 88.912, 265203.310058594 6650709.94995117 88.912, 265203.320068359 6650709.84997559 88.912, 265203.330078125 6650709.75 88.912, 265203.340087891 6650709.65002441 88.912, 265203.350097656 6650709.56005859 88.922, 265203.360107422 6650709.45996094 88.922, 265203.370117188 6650709.35998535 88.922, 265203.379882813 6650709.26000977 88.922, 265203.389892578 6650709.16003418 88.922, 265203.399902344 6650709.06005859 88.922, 265203.409912109 6650708.95996094 88.922, 265203.419921875 6650708.85998535 88.922, 265203.429931641 6650708.76000977 88.922, 265203.439941406 6650708.66003418 88.922, 265203.449951172 6650708.56005859 88.932, 265203.459960938 6650708.45996094 88.932, 265203.469970703 6650708.35998535 88.932, 265203.479980469 6650708.26000977 88.932, 265203.489990234 6650708.16003418 88.932, 265203.5 6650708.06005859 88.932, 265203.520019531 6650707.95996094 88.932, 265203.530029297 6650707.85998535 88.932, 265203.540039063 6650707.76000977 88.932, 265203.540039063 6650707.73999024 88.932, 265203.540039063 6650707.66003418 88.932, 265203.560058594 6650707.56994629 88.932, 265203.570068359 6650707.4699707 88.942, 265203.580078125 6650707.36999512 88.942, 265203.590087891 6650707.27001953 88.942, 265203.600097656 6650707.17004394 88.942, 265203.610107422 6650707.06994629 88.942, 265203.620117188 6650706.9699707 88.942, 265203.629882813 6650706.86999512 88.942, 265203.639892578 6650706.77001953 88.942, 265203.649902344 6650706.67004395 88.942, 265203.659912109 6650706.56994629 88.942, 265203.669921875 6650706.4699707 88.942, 265203.679931641 6650706.36999512 88.942, 265203.689941406 6650706.27001953 88.952, 265203.689941406 6650706.26000977 88.952, 265203.699951172 6650706.17004395 88.952, 265203.719970703 6650706.07995606 88.952, 265203.729980469 6650705.97998047 88.952, 265203.75 6650705.89001465 88.952, 265203.770019531 6650705.79003906 88.952, 265203.780029297 6650705.68994141 88.952, 265203.800048828 6650705.59997559 88.952, 265203.820068359 6650705.5 88.952, 265203.840087891 6650705.41003418 88.952, 265203.870117187 6650705.31005859 88.952, 265203.889892578 6650705.2199707 88.952, 265203.909912109 6650705.11999512 88.952, 265203.939941406 6650705.0300293 88.952, 265203.959960938 6650704.93994141 88.952, 265203.989990234 6650704.83996582 88.952, 265204.020019531 6650704.75 88.952, 265204.050048828 6650704.66003418 88.952, 265204.080078125 6650704.56005859 88.952, 265204.110107422 6650704.4699707 88.952, 265204.139892578 6650704.38000488 88.952, 265204.169921875 6650704.29003906 88.952, 265204.209960938 6650704.19995117 88.952, 265204.239990234 6650704.10998535 88.962, 265204.280029297 6650704.01000977 88.962, 265204.310058594 6650703.92004395 88.962, 265204.350097656 6650703.82995606 88.962, 265204.389892578 6650703.75 88.962, 265204.429931641 6650703.66003418 88.962, 265204.469970703 6650703.56994629 88.962, 265204.510009766 6650703.47998047 88.962, 265204.550048828 6650703.39001465 88.962, 265204.600097656 6650703.30004883 88.962, 265204.639892578 6650703.2199707 88.962, 265204.679931641 6650703.13000488 88.962, 265204.729980469 6650703.04003906 88.962, 265204.780029297 6650702.95996094 88.962, 265204.830078125 6650702.86999512 88.962, 265204.870117187 6650702.79003906 88.962, 265204.919921875 6650702.70996094 88.962, 265204.969970703 6650702.61999512 88.962, 265205.030029297 6650702.54003906 88.962, 265205.080078125 6650702.45996094 88.962, 265205.129882813 6650702.38000488 88.952, 265205.179931641 6650702.29003906 88.952, 265205.239990234 6650702.20996094 88.952, 265205.290039063 6650702.13000488 88.952, 265205.350097656 6650702.05004883 88.952, 265205.409912109 6650701.9699707 88.952, 265205.459960938 6650701.90002441 88.952, 265205.520019531 6650701.81994629 88.952, 265205.580078125 6650701.73999024 88.952, 265205.639892578 6650701.67004395 88.952, 265205.709960938 6650701.58996582 88.952, 265205.770019531 6650701.52001953 88.952, 265205.830078125 6650701.43994141 88.952, 265205.889892578 6650701.36999512 88.952, 265205.959960937 6650701.29003906 88.952, 265206.020019531 6650701.2199707 88.952, 265206.090087891 6650701.15002441 88.952, 265206.159912109 6650701.07995606 88.952, 265206.219970703 6650701.01000977 88.952, 265206.290039063 6650700.93994141 88.952, 265206.360107422 6650700.86999512 88.952, 265206.429931641 6650700.80004883 88.952, 265206.5 6650700.73999023 88.952, 265206.570068359 6650700.67004395 88.942, 265206.639892578 6650700.59997559 88.942, 265206.719970703 6650700.54003906 88.942, 265206.790039063 6650700.4699707 88.942, 265206.860107422 6650700.41003418 88.942, 265206.939941406 6650700.34997559 88.942, 265207.010009766 6650700.2800293 88.942, 265207.090087891 6650700.2199707 88.942, 265207.159912109 6650700.16003418 88.942, 265207.239990234 6650700.09997559 88.942, 265207.320068359 6650700.04003906 88.942, 265207.399902344 6650699.98999024 88.942, 265207.479980469 6650699.93005371 88.942, 265207.560058594 6650699.86999512 88.932, 265207.629882813 6650699.81994629 88.932, 265207.719970703 6650699.76000977 88.932, 265207.800048828 6650699.70996094 88.932, 265207.879882813 6650699.66003418 88.932, 265207.959960938 6650699.59997559 88.932, 265208.040039062 6650699.55004883 88.932, 265208.129882813 6650699.5 88.932, 265208.209960938 6650699.44995117 88.932, 265208.290039063 6650699.40002441 88.932, 265208.379882813 6650699.35998535 88.922, 265208.469970703 6650699.31005859 88.922, 265208.550048828 6650699.26000977 88.922, 265208.639892578 6650699.2199707 88.922, 265208.719970703 6650699.17004395 88.922, 265208.810058594 6650699.13000488 88.922, 265208.899902344 6650699.08996582 88.922, 265208.989990234 6650699.05004883 88.922, 265209.080078125 6650699.01000977 88.912, 265209.169921875 6650698.9699707 88.912, 265209.260009766 6650698.93005371 88.912, 265209.350097656 6650698.89001465 88.912, 265209.439941406 6650698.85998535 88.912, 265209.530029297 6650698.81994629 88.912, 265209.620117188 6650698.79003906 88.912, 265209.709960938 6650698.75 88.902, 265209.800048828 6650698.7199707 88.902, 265209.889892578 6650698.68994141 88.902, 265209.979980469 6650698.66003418 88.902, 265210.080078125 6650698.63000488 88.902, 265210.169921875 6650698.59997559 88.902, 265210.260009766 6650698.56994629 88.902, 265210.360107422 6650698.54003906 88.892, 265210.449951172 6650698.52001953 88.892, 265210.540039063 6650698.48999024 88.892, 265210.639892578 6650698.4699707 88.892, 265210.729980469 6650698.43994141 88.892, 265210.830078125 6650698.42004395 88.892, 265210.929931641 6650698.40002441 88.882, 265211.020019531 6650698.38000488 88.882, 265211.120117188 6650698.35998535 88.882, 265211.209960937 6650698.33996582 88.882, 265211.310058594 6650698.32995605 88.882, 265211.399902344 6650698.31005859 88.882, 265211.5 6650698.30004883 88.872, 265211.600097656 6650698.2800293 88.872, 265211.689941406 6650698.27001953 88.872, 265211.790039063 6650698.26000977 88.872, 265211.889892578 6650698.25 88.872, 265211.979980469 6650698.23999023 88.872, 265212.080078125 6650698.22998047 88.862, 265212.179931641 6650698.2199707 88.862, 265212.270019531 6650698.20996094 88.862, 265212.370117187 6650698.20996094 88.862, 265212.469970703 6650698.19995117 88.862, 265212.570068359 6650698.19995117 88.852, 265212.659912109 6650698.19995117 88.852, 265212.760009766 6650698.19995117 88.852, 265212.860107422 6650698.18994141 88.852, 265212.949951172 6650698.18994141 88.852, 265213.050048828 6650698.19995117 88.842, 265213.149902344 6650698.19995117 88.842, 265213.25 6650698.19995117 88.842, 265213.340087891 6650698.20996094 88.842, 265213.439941406 6650698.20996094 88.832, 265213.540039063 6650698.2199707 88.832, 265213.639892578 6650698.22998047 88.832, 265213.679931641 6650698.22998047 88.832, 265213.729980469 6650698.22998047 88.832, 265213.830078125 6650698.23999023 88.832, 265213.850097656 6650698.25 88.832, 265213.929931641 6650698.25 88.822, 265214.020019531 6650698.27001953 88.822, 265214.120117188 6650698.2800293 88.822, 265214.219970703 6650698.29003906 88.822, 265214.310058594 6650698.31005859 88.812, 265214.409912109 6650698.31994629 88.812, 265214.5 6650698.33996582 88.812, 265214.600097656 6650698.35998535 88.812, 265214.699951172 6650698.38000488 88.812, 265214.790039063 6650698.40002441 88.802, 265214.889892578 6650698.42004395 88.802, 265214.979980469 6650698.43994141 88.802, 265215.080078125 6650698.45996094 88.802, 265215.169921875 6650698.47998047 88.792, 265215.270019531 6650698.51000977 88.792, 265215.360107422 6650698.5300293 88.792, 265215.449951172 6650698.56005859 88.792, 265215.540039062 6650698.58996582 88.792, 265215.639892578 6650698.61999512 88.782, 265215.729980469 6650698.65002442 88.782, 265215.820068359 6650698.68005371 88.782, 265215.919921875 6650698.70996094 88.782, 265216.010009766 6650698.73999023 88.772, 265216.100097656 6650698.7800293 88.772, 265216.189941406 6650698.81005859 88.772, 265216.280029297 6650698.84997559 88.772, 265216.370117188 6650698.88000488 88.772, 265216.459960938 6650698.92004395 88.762, 265216.550048828 6650698.95996094 88.762, 265216.639892578 6650699 88.762, 265216.729980469 6650699.04003906 88.762, 265216.770019531 6650699.06005859 88.762, 265216.820068359 6650699.07995606 88.752, 265216.899902344 6650699.11999512 88.752, 265216.989990234 6650699.16003418 88.752, 265217.080078125 6650699.20996094 88.752, 265217.159912109 6650699.25 88.752, 265217.25 6650699.30004883 88.742, 265217.340087891 6650699.33996582 88.742, 265217.419921875 6650699.39001465 88.742, 265217.510009766 6650699.43994141 88.742, 265217.590087891 6650699.48999024 88.732, 265217.679931641 6650699.54003906 88.732, 265217.760009766 6650699.58996582 88.732, 265217.840087891 6650699.64001465 88.732, 265217.919921875 6650699.69995117 88.732, 265218 6650699.75 88.722, 265218.080078125 6650699.80004883 88.722, 265218.159912109 6650699.85998535 88.722, 265218.239990234 6650699.91003418 88.722, 265218.320068359 6650699.9699707 88.722, 265218.399902344 6650700.0300293 88.712, 265218.479980469 6650700.08996582 88.712, 265218.560058594 6650700.15002441 88.712, 265218.629882813 6650700.20996094 88.712, 265218.709960937 6650700.27001953 88.702, 265218.780029297 6650700.32995606 88.702, 265218.860107422 6650700.39001465 88.702, 265218.929931641 6650700.45996094 88.702, 265219.010009766 6650700.52001953 88.702, 265219.080078125 6650700.58996582 88.692, 265219.149902344 6650700.65002441 88.692, 265219.219970703 6650700.7199707 88.692, 265219.290039063 6650700.79003906 88.692, 265219.360107422 6650700.84997559 88.682, 265219.429931641 6650700.92004395 88.682, 265219.5 6650700.98999023 88.682, 265219.570068359 6650701.06005859 88.682, 265219.629882813 6650701.13000488 88.682, 265219.699951172 6650701.19995117 88.672, 265219.760009766 6650701.2800293 88.672, 265219.830078125 6650701.34997559 88.672, 265219.889892578 6650701.42004395 88.672, 265219.959960938 6650701.5 88.662, 265220.020019531 6650701.56994629 88.662, 265220.080078125 6650701.65002441 88.662, 265220.139892578 6650701.7199707 88.662, 265220.199951172 6650701.80004883 88.662, 265220.260009766 6650701.88000488 88.652, 265220.320068359 6650701.95996094 88.652, 265220.370117188 6650702.0300293 88.652, 265220.429931641 6650702.10998535 88.652, 265220.489990234 6650702.18994141 88.642, 265220.540039063 6650702.2800293 88.642, 265220.600097656 6650702.35998535 88.642, 265220.649902344 6650702.43994141 88.642, 265220.699951172 6650702.52001953 88.642, 265220.75 6650702.59997559 88.632, 265220.800048828 6650702.68994141 88.632, 265220.850097656 6650702.77001953 88.632, 265220.899902344 6650702.84997559 88.632, 265220.949951172 6650702.93994141 88.632, 265221 6650703.02001953 88.622, 265221.040039063 6650703.10998535 88.622, 265221.090087891 6650703.19995117 88.622, 265221.129882813 6650703.2800293 88.622, 265221.179931641 6650703.36999512 88.622, 265221.219970703 6650703.45996094 88.612, 265221.260009766 6650703.55004883 88.612, 265221.300048828 6650703.63000488 88.612, 265221.340087891 6650703.7199707 88.612, 265221.379882813 6650703.81005859 88.612, 265221.419921875 6650703.90002441 88.612, 265221.449951172 6650703.98999023 88.602, 265221.489990234 6650704.07995606 88.602, 265221.520019531 6650704.17004395 88.602, 265221.560058594 6650704.27001953 88.602, 265221.590087891 6650704.35998535 88.602, 265221.620117188 6650704.44995117 88.592, 265221.649902344 6650704.54003906 88.592, 265221.679931641 6650704.63000488 88.592, 265221.709960938 6650704.72998047 88.592, 265221.739990234 6650704.81994629 88.592, 265221.770019531 6650704.91003418 88.592, 265221.790039063 6650705.01000977 88.592, 265221.820068359 6650705.09997559 88.582, 265221.840087891 6650705.18994141 88.582, 265221.870117188 6650705.29003906 88.582, 265221.889892578 6650705.38000488 88.582, 265221.909912109 6650705.47998047 88.582, 265221.929931641 6650705.56994629 88.582, 265221.949951172 6650705.67004395 88.572, 265221.969970703 6650705.77001953 88.572, 265221.979980469 6650705.85998535 88.572, 265222 6650705.95996094 88.572, 265222.020019531 6650706.05004883 88.572, 265222.030029297 6650706.15002441 88.572, 265222.040039062 6650706.25 88.572, 265222.060058594 6650706.33996582 88.572, 265222.070068359 6650706.43994141 88.562, 265222.080078125 6650706.54003906 88.562, 265222.090087891 6650706.63000488 88.562, 265222.090087891 6650706.72998047 88.562, 265222.100097656 6650706.82995605 88.562, 265222.110107422 6650706.93005371 88.562, 265222.110107422 6650707.02001953 88.562, 265222.110107422 6650707.04003906 88.562, 265222.120117188 6650707.11999512 88.562, 265222.120117188 6650707.2199707 88.552, 265222.120117188 6650707.31005859 88.552, 265222.120117188 6650707.41003418 88.552, 265222.120117188 6650707.51000977 88.552, 265222.120117188 6650707.60998535 88.552, 265222.120117188 6650707.69995117 88.552, 265222.110107422 6650707.80004883 88.552, 265222.110107422 6650707.90002441 88.552, 265222.100097656 6650708 88.552, 265222.100097656 6650708.08996582 88.542, 265222.090087891 6650708.18994141 88.542, 265222.090087891 6650708.19995117 88.542, 265222.080078125 6650708.29003906 88.542, 265222.070068359 6650708.39001465 88.542, 265222.060058594 6650708.48999023 88.542, 265222.050048828 6650708.58996582 88.542, 265222.040039062 6650708.68994141 88.542, 265222.030029297 6650708.79003906 88.542, 265222.020019531 6650708.89001465 88.542, 265222.010009766 6650708.98999024 88.532, 265222 6650709.08996582 88.532, 265221.989990234 6650709.18994141 88.532, 265221.979980469 6650709.29003906 88.532, 265221.969970703 6650709.39001465 88.532, 265221.959960937 6650709.47998047 88.532, 265221.949951172 6650709.57995605 88.532, 265221.939941406 6650709.68005371 88.532, 265221.929931641 6650709.7800293 88.532, 265221.909912109 6650709.88000488 88.522, 265221.909912109 6650709.97998047 88.522, 265221.889892578 6650710.07995606 88.522, 265221.879882813 6650710.18005371 88.522, 265221.870117188 6650710.2800293 88.522, 265221.860107422 6650710.38000488 88.522, 265221.850097656 6650710.47998047 88.522, 265221.840087891 6650710.57995606 88.522, 265221.830078125 6650710.68005371 88.522, 265221.820068359 6650710.7800293 88.512, 265221.820068359 6650710.79003906 88.512, 265221.810058594 6650710.88000488 88.512, 265221.800048828 6650710.97998047 88.512, 265221.800048828 6650710.98999023 88.512, 265221.790039063 6650711.07995606 88.512, 265221.780029297 6650711.18005371 88.512, 265221.770019531 6650711.2800293 88.512, 265221.760009766 6650711.38000488 88.512, 265221.75 6650711.4699707 88.512, 265221.739990234 6650711.56994629 88.502, 265221.729980469 6650711.67004395 88.502, 265221.719970703 6650711.77001953 88.502, 265221.709960938 6650711.86999512 88.502, 265221.699951172 6650711.9699707 88.502, 265221.689941406 6650712.06994629 88.502, 265221.679931641 6650712.17004395 88.502, 265221.659912109 6650712.27001953 88.502, 265221.649902344 6650712.36999512 88.492, 265221.639892578 6650712.4699707 88.492, 265221.629882813 6650712.56994629 88.492, 265221.620117188 6650712.67004395 88.492, 265221.610107422 6650712.77001953 88.492, 265221.600097656 6650712.86999512 88.492, 265221.590087891 6650712.9699707 88.492, 265221.580078125 6650713.06994629 88.482, 265221.570068359 6650713.17004395 88.482, 265221.560058594 6650713.27001953 88.482, 265221.550048828 6650713.36999512 88.482, 265221.540039063 6650713.45996094 88.482, 265221.530029297 6650713.56005859 88.482, 265221.520019531 6650713.66003418 88.482, 265221.510009766 6650713.76000977 88.482, 265221.5 6650713.85998535 88.472, 265221.489990234 6650713.95996094 88.472, 265221.479980469 6650714.06005859 88.472, 265221.469970703 6650714.16003418 88.472, 265221.459960938 6650714.26000977 88.472, 265221.449951172 6650714.35998535 88.472, 265221.439941406 6650714.38000488 88.472, 265221.439941406 6650714.39001465 88.472, 265221.439941406 6650714.45996094 88.472, 265221.429931641 6650714.56005859 88.462, 265221.409912109 6650714.66003418 88.462, 265221.399902344 6650714.76000977 88.462, 265221.389892578 6650714.85998535 88.462, 265221.379882813 6650714.95996094 88.462, 265221.370117188 6650715.06005859 88.462, 265221.360107422 6650715.16003418 88.462, 265221.350097656 6650715.26000977 88.462, 265221.340087891 6650715.35998535 88.452, 265221.330078125 6650715.44995117 88.452, 265221.320068359 6650715.56005859 88.452, 265221.310058594 6650715.65002441 88.452, 265221.300048828 6650715.75 88.452, 265221.300048828 6650715.79003906 88.452, 265221.290039063 6650715.84997559 88.452, 265221.280029297 6650715.94995117 88.452, 265221.270019531 6650716.05004883 88.442, 265221.260009766 6650716.15002442 88.442, 265221.25 6650716.25 88.442, 265221.239990234 6650716.34997559 88.442, 265221.229980469 6650716.44995117 88.442, 265221.219970703 6650716.55004883 88.442, 265221.209960938 6650716.65002441 88.442, 265221.199951172 6650716.75 88.442, 265221.189941406 6650716.84997559 88.432, 265221.169921875 6650716.94995117 88.432, 265221.159912109 6650717.05004883 88.432, 265221.149902344 6650717.15002441 88.432, 265221.139892578 6650717.25 88.432, 265221.129882813 6650717.34997559 88.432, 265221.120117188 6650717.43994141 88.432, 265221.110107422 6650717.55004883 88.422, 265221.100097656 6650717.64001465 88.422, 265221.090087891 6650717.73999023 88.422, 265221.080078125 6650717.83996582 88.422, 265221.070068359 6650717.93994141 88.422, 265221.060058594 6650718.04003906 88.422, 265221.050048828 6650718.14001465 88.422, 265221.040039063 6650718.23999023 88.422, 265221.030029297 6650718.33996582 88.412, 265221.020019531 6650718.43005371 88.412, 265221.020019531 6650718.43994141 88.412, 265221.010009766 6650718.54003906 88.412, 265221 6650718.64001465 88.412, 265220.989990234 6650718.73999024 88.412, 265220.979980469 6650718.83996582 88.412, 265220.979980469 6650718.84997559 88.412, 265220.969970703 6650718.85998535 88.412, 265220.969970703 6650718.93005371 88.412, 265220.959960937 6650719.0300293 88.412, 265220.949951172 6650719.11999512 88.402, 265220.939941406 6650719.2199707 88.402, 265220.929931641 6650719.31005859 88.402, 265220.909912109 6650719.40002441 88.402, 265220.899902344 6650719.5 88.402, 265220.889892578 6650719.58996582 88.402, 265220.870117188 6650719.68994141 88.402, 265220.850097656 6650719.7800293 88.402, 265220.830078125 6650719.86999512 88.402, 265220.820068359 6650719.9699707 88.392, 265220.800048828 6650720.06005859 88.392, 265220.780029297 6650720.15002441 88.392, 265220.760009766 6650720.23999024 88.392, 265220.729980469 6650720.33996582 88.392, 265220.709960938 6650720.43005371 88.392, 265220.679931641 6650720.52001953 88.392, 265220.659912109 6650720.60998535 88.392, 265220.639892578 6650720.67004395 88.392, 265220.639892578 6650720.68005371 88.392, 265220.629882813 6650720.69995117 88.392, 265220.610107422 6650720.79003906 88.392, 265220.580078125 6650720.88000488 88.392, 265220.550048828 6650720.9699707 88.392, 265220.520019531 6650721.06005859 88.392, 265220.489990234 6650721.15002442 88.392, 265220.459960938 6650721.23999023 88.392, 265220.419921875 6650721.32995606 88.392, 265220.389892578 6650721.42004395 88.392, 265220.350097656 6650721.51000977 88.392, 265220.320068359 6650721.59997559 88.382, 265220.280029297 6650721.68994141 88.382, 265220.25 6650721.77001953 88.382, 265220.209960938 6650721.85998535 88.382, 265220.169921875 6650721.94995117 88.382, 265220.129882813 6650722.0300293 88.382, 265220.090087891 6650722.11999512 88.382, 265220.050048828 6650722.19995117 88.382, 265220 6650722.29003906 88.382, 265219.959960938 6650722.36999512 88.382, 265219.939941406 6650722.41003418 88.382, 265219.919921875 6650722.45996094 88.382, 265219.870117187 6650722.54003906 88.382, 265219.830078125 6650722.61999512 88.382, 265219.780029297 6650722.70996094 88.382, 265219.729980469 6650722.79003906 88.382, 265219.679931641 6650722.86999512 88.382, 265219.629882813 6650722.94995117 88.382, 265219.580078125 6650723.0300293 88.382, 265219.530029297 6650723.10998535 88.392, 265219.479980469 6650723.18994141 88.392, 265219.429931641 6650723.27001953 88.392, 265219.370117188 6650723.34997559 88.392, 265219.320068359 6650723.42004395 88.392, 265219.260009766 6650723.5 88.392, 265219.209960938 6650723.57995606 88.392, 265219.149902344 6650723.66003418 88.392, 265219.090087891 6650723.72998047 88.392, 265219.040039063 6650723.81005859 88.392, 265218.979980469 6650723.88000488 88.392, 265218.919921875 6650723.94995117 88.392, 265218.860107422 6650724.0300293 88.392, 265218.800048828 6650724.09997559 88.392, 265218.729980469 6650724.17004395 88.392, 265218.669921875 6650724.23999024 88.392, 265218.610107422 6650724.31005859 88.392, 265218.540039063 6650724.38000488 88.392, 265218.479980469 6650724.44995117 88.402, 265218.409912109 6650724.52001953 88.402, 265218.350097656 6650724.58996582 88.402, 265218.280029297 6650724.66003418 88.402, 265218.209960938 6650724.7199707 88.402, 265218.149902344 6650724.79003906 88.402, 265218.080078125 6650724.84997559 88.402, 265218.010009766 6650724.92004395 88.402, 265217.939941406 6650724.97998047 88.402, 265217.870117188 6650725.05004883 88.402, 265217.790039062 6650725.10998535 88.412, 265217.739990234 6650725.15002441 88.412, 265217.739990234 6650725.16003418 88.412, 265217.719970703 6650725.17004395 88.412, 265217.649902344 6650725.22998047 88.412, 265217.580078125 6650725.29003906 88.412, 265217.5 6650725.34997559 88.412, 265217.429931641 6650725.41003418 88.412, 265217.350097656 6650725.4699707 88.412, 265217.280029297 6650725.52001953 88.422, 265217.199951172 6650725.57995606 88.422, 265217.120117188 6650725.64001465 88.422, 265217.040039063 6650725.68994141 88.422, 265216.969970703 6650725.73999023 88.422, 265216.889892578 6650725.80004883 88.422, 265216.810058594 6650725.84997559 88.422, 265216.729980469 6650725.90002441 88.432, 265216.649902344 6650725.94995117 88.432, 265216.570068359 6650726 88.432, 265216.489990234 6650726.05004883 88.432, 265216.399902344 6650726.09997559 88.432, 265216.320068359 6650726.15002441 88.442, 265216.239990234 6650726.18994141 88.442, 265216.159912109 6650726.23999023 88.442, 265216.070068359 6650726.2800293 88.442, 265215.989990234 6650726.32995606 88.442, 265215.899902344 6650726.36999512 88.442, 265215.820068359 6650726.41003418 88.452, 265215.770019531 6650726.43994141 88.452, 265215.729980469 6650726.44995117 88.452, 265215.649902344 6650726.48999023 88.452, 265215.560058594 6650726.5300293 88.452, 265215.469970703 6650726.56994629 88.462, 265215.389892578 6650726.60998535 88.462, 265215.300048828 6650726.64001465 88.462, 265215.209960938 6650726.68005371 88.462, 265215.120117188 6650726.7199707 88.462, 265215.040039063 6650726.75 88.472, 265214.949951172 6650726.7800293 88.472, 265214.860107422 6650726.81994629 88.472, 265214.770019531 6650726.84997559 88.472, 265214.679931641 6650726.88000488 88.472, 265214.590087891 6650726.91003418 88.482, 265214.5 6650726.93994141 88.482, 265214.409912109 6650726.95996094 88.482, 265214.320068359 6650726.98999024 88.482, 265214.219970703 6650727.02001953 88.482, 265214.129882813 6650727.04003906 88.492, 265214.040039063 6650727.06994629 88.492, 265213.949951172 6650727.08996582 88.492, 265213.860107422 6650727.10998535 88.492, 265213.760009766 6650727.13000488 88.492, 265213.669921875 6650727.15002441 88.502, 265213.580078125 6650727.17004395 88.502, 265213.479980469 6650727.18994141 88.502, 265213.389892578 6650727.20996094 88.502, 265213.300048828 6650727.2199707 88.502, 265213.199951172 6650727.23999023 88.512, 265213.110107422 6650727.25 88.512, 265213.020019531 6650727.27001953 88.512, 265212.919921875 6650727.2800293 88.512, 265212.830078125 6650727.29003906 88.512, 265212.729980469 6650727.30004883 88.522, 265212.639892578 6650727.31005859 88.522, 265212.540039063 6650727.31994629 88.522, 265212.449951172 6650727.32995606 88.522, 265212.360107422 6650727.32995606 88.532, 265212.260009766 6650727.33996582 88.532, 265212.169921875 6650727.33996582 88.532, 265212.070068359 6650727.34997559 88.532, 265211.979980469 6650727.34997559 88.532, 265211.879882813 6650727.34997559 88.542, 265211.790039063 6650727.34997559 88.542, 265211.689941406 6650727.34997559 88.542, 265211.600097656 6650727.34997559 88.542, 265211.5 6650727.34997559 88.542, 265211.409912109 6650727.34997559 88.552, 265211.310058594 6650727.33996582 88.552, 265211.219970703 6650727.33996582 88.552, 265211.120117188 6650727.32995606 88.552, 265211.030029297 6650727.31994629 88.552, 265210.929931641 6650727.31994629 88.562, 265210.840087891 6650727.31005859 88.562, 265210.790039063 6650727.30004883 88.562, 265210.770019531 6650727.30004883 88.562, 265210.75 6650727.30004883 88.562, 265210.649902344 6650727.29003906 88.562, 265210.560058594 6650727.27001953 88.562, 265210.459960938 6650727.26000977 88.572, 265210.370117188 6650727.25 88.572, 265210.280029297 6650727.22998047 88.572, 265210.179931641 6650727.2199707 88.572, 265210.090087891 6650727.19995117 88.572, 265210 6650727.18005371 88.582, 265209.899902344 6650727.16003418 88.582, 265209.810058594 6650727.15002441 88.582, 265209.719970703 6650727.13000488 88.582, 265209.620117188 6650727.09997559 88.592, 265209.530029297 6650727.07995605 88.592, 265209.439941406 6650727.06005859 88.592, 265209.350097656 6650727.0300293 88.592, 265209.260009766 6650727.01000977 88.592, 265209.159912109 6650726.97998047 88.602, 265209.070068359 6650726.95996094 88.602, 265208.979980469 6650726.93005371 88.602, 265208.889892578 6650726.90002441 88.602, 265208.800048828 6650726.86999512 88.602, 265208.709960938 6650726.83996582 88.612, 265208.620117188 6650726.81005859 88.612, 265208.540039063 6650726.77001953 88.612, 265208.449951172 6650726.73999023 88.612, 265208.360107422 6650726.70996094 88.612, 265208.270019531 6650726.67004395 88.622, 265208.179931641 6650726.63000488 88.622, 265208.090087891 6650726.59997559 88.622, 265208.010009766 6650726.56005859 88.622, 265207.919921875 6650726.52001953 88.622, 265207.840087891 6650726.47998047 88.632, 265207.75 6650726.43994141 88.632, 265207.659912109 6650726.40002441 88.632, 265207.580078125 6650726.35998535 88.632, 265207.489990234 6650726.31005859 88.632, 265207.409912109 6650726.27001953 88.642, 265207.330078125 6650726.2199707 88.642, 265207.239990234 6650726.18005371 88.642, 265207.159912109 6650726.13000488 88.642, 265207.080078125 6650726.07995605 88.642, 265207 6650726.04003906 88.652, 265206.919921875 6650725.98999024 88.652, 265206.840087891 6650725.93994141 88.652, 265206.760009766 6650725.89001465 88.652, 265206.679931641 6650725.82995605 88.662, 265206.600097656 6650725.7800293 88.662, 265206.520019531 6650725.72998047 88.662, 265206.439941406 6650725.67004395 88.662, 265206.360107422 6650725.61999512 88.662, 265206.290039063 6650725.56005859 88.672, 265206.209960938 6650725.51000977 88.672, 265206.129882813 6650725.44995117 88.672, 265206.060058594 6650725.39001465 88.672, 265205.979980469 6650725.32995605 88.672, 265205.909912109 6650725.27001953 88.682, 265205.840087891 6650725.20996094 88.682, 265205.760009766 6650725.15002441 88.682, 265205.689941406 6650725.08996582 88.682, 265205.620117188 6650725.0300293 88.682, 265205.550048828 6650724.9699707 88.692, 265205.479980469 6650724.90002441 88.692, 265205.409912109 6650724.83996582 88.692, 265205.340087891 6650724.77001953 88.692, 265205.270019531 6650724.69995117 88.692, 265205.209960938 6650724.64001465 88.702, 265205.139892578 6650724.56994629 88.702, 265205.070068359 6650724.5 88.702, 265205.010009766 6650724.43005371 88.702, 265204.939941406 6650724.35998535 88.712, 265204.879882812 6650724.29003906 88.712, 265204.820068359 6650724.2199707 88.712, 265204.75 6650724.15002441 88.712, 265204.689941406 6650724.07995606 88.712, 265204.629882813 6650724.01000977 88.722, 265204.570068359 6650723.93005371 88.722, 265204.510009766 6650723.85998535 88.722, 265204.449951172 6650723.7800293 88.722, 265204.399902344 6650723.70996094 88.722, 265204.340087891 6650723.63000488 88.732, 265204.280029297 6650723.56005859 88.732, 265204.229980469 6650723.47998047 88.732, 265204.169921875 6650723.40002441 88.732, 265204.120117188 6650723.31994629 88.732, 265204.060058594 6650723.25 88.742, 265204.010009766 6650723.17004395 88.742, 265203.959960938 6650723.08996582 88.742, 265203.909912109 6650723.01000977 88.742, 265203.860107422 6650722.93005371 88.742, 265203.810058594 6650722.83996582 88.752, 265203.760009766 6650722.76000977 88.752, 265203.719970703 6650722.68005371 88.752, 265203.699951172 6650722.66003418 88.752, 265203.669921875 6650722.59997559 88.752, 265203.620117188 6650722.52001953 88.752, 265203.580078125 6650722.43005371 88.762, 265203.530029297 6650722.34997559 88.762, 265203.489990234 6650722.26000977 88.762, 265203.449951172 6650722.18005371 88.762, 265203.409912109 6650722.08996582 88.762, 265203.370117188 6650722.01000977 88.772, 265203.330078125 6650721.92004395 88.772, 265203.290039063 6650721.82995606 88.772, 265203.25 6650721.75 88.772, 265203.2099609</t>
  </si>
  <si>
    <t>POLYGON Z ((265202.580078125 6650716.92004395 88.842, 265202.590087891 6650716.81994629 88.842, 265202.600097656 6650716.7199707 88.842, 265202.610107422 6650716.61999512 88.852, 265202.620117188 6650716.52001953 88.852, 265202.629882812 6650716.42004395 88.852, 265202.639892578 6650716.31994629 88.852, 265202.649902344 6650716.2199707 88.852, 265202.659912109 6650716.11999512 88.852, 265202.669921875 6650716.02001953 88.852, 265202.679931641 6650715.92004395 88.852, 265202.689941406 6650715.81994629 88.852, 265202.699951172 6650715.7199707 88.852, 265202.709960937 6650715.63000488 88.862, 265202.719970703 6650715.5300293 88.862, 265202.729980469 6650715.43005371 88.862, 265202.739990234 6650715.32995606 88.862, 265202.75 6650715.22998047 88.862, 265202.770019531 6650715.13000488 88.862, 265202.770019531 6650715.0300293 88.862, 265202.790039062 6650714.93005371 88.862, 265202.790039062 6650714.82995605 88.862, 265202.810058594 6650714.72998047 88.862, 265202.820068359 6650714.63000488 88.872, 265202.830078125 6650714.5300293 88.872, 265202.840087891 6650714.43005371 88.872, 265202.850097656 6650714.32995606 88.872, 265202.860107422 6650714.22998047 88.872, 265202.870117188 6650714.13000488 88.872, 265202.879882813 6650714.0300293 88.872, 265202.889892578 6650713.93005371 88.872, 265202.899902344 6650713.82995606 88.872, 265202.909912109 6650713.72998047 88.872, 265202.919921875 6650713.64001465 88.882, 265202.929931641 6650713.54003906 88.882, 265202.939941406 6650713.43994141 88.882, 265202.949951172 6650713.33996582 88.882, 265202.959960938 6650713.23999023 88.882, 265202.969970703 6650713.14001465 88.882, 265202.979980469 6650713.04003906 88.882, 265202.989990234 6650712.93994141 88.882, 265203 6650712.83996582 88.882, 265203.010009766 6650712.73999023 88.882, 265203.030029297 6650712.64001465 88.882, 265203.040039063 6650712.54003906 88.892, 265203.050048828 6650712.43994141 88.892, 265203.060058594 6650712.33996582 88.892, 265203.070068359 6650712.23999023 88.892, 265203.080078125 6650712.14001465 88.892, 265203.090087891 6650712.04003906 88.892, 265203.100097656 6650711.93994141 88.892, 265203.110107422 6650711.83996582 88.892, 265203.120117188 6650711.73999023 88.892, 265203.129882813 6650711.65002442 88.892, 265203.139892578 6650711.55004883 88.902, 265203.149902344 6650711.44995117 88.902, 265203.159912109 6650711.34997559 88.902, 265203.169921875 6650711.25 88.902, 265203.179931641 6650711.15002441 88.902, 265203.189941406 6650711.05004883 88.902, 265203.199951172 6650710.94995117 88.902, 265203.209960938 6650710.84997559 88.902, 265203.219970703 6650710.75 88.902, 265203.229980469 6650710.65002441 88.902, 265203.239990234 6650710.55004883 88.912, 265203.25 6650710.44995117 88.912, 265203.260009766 6650710.34997559 88.912, 265203.280029297 6650710.25 88.912, 265203.290039063 6650710.15002441 88.912, 265203.290039063 6650710.05004883 88.912, 265203.310058594 6650709.94995117 88.912, 265203.320068359 6650709.84997559 88.912, 265203.330078125 6650709.75 88.912, 265203.340087891 6650709.65002441 88.912, 265203.350097656 6650709.56005859 88.922, 265203.360107422 6650709.45996094 88.922, 265203.370117188 6650709.35998535 88.922, 265203.379882813 6650709.26000977 88.922, 265203.389892578 6650709.16003418 88.922, 265203.399902344 6650709.06005859 88.922, 265203.409912109 6650708.95996094 88.922, 265203.419921875 6650708.85998535 88.922, 265203.429931641 6650708.76000977 88.922, 265203.439941406 6650708.66003418 88.922, 265203.449951172 6650708.56005859 88.932, 265203.459960938 6650708.45996094 88.932, 265203.469970703 6650708.35998535 88.932, 265203.479980469 6650708.26000977 88.932, 265203.489990234 6650708.16003418 88.932, 265203.5 6650708.06005859 88.932, 265203.520019531 6650707.95996094 88.932, 265203.530029297 6650707.85998535 88.932, 265203.540039063 6650707.76000977 88.932, 265203.540039063 6650707.73999024 88.932, 265203.540039063 6650707.66003418 88.932, 265203.560058594 6650707.56994629 88.932, 265203.570068359 6650707.4699707 88.942, 265203.580078125 6650707.36999512 88.942, 265203.590087891 6650707.27001953 88.942, 265203.600097656 6650707.17004394 88.942, 265203.610107422 6650707.06994629 88.942, 265203.620117188 6650706.9699707 88.942, 265203.629882813 6650706.86999512 88.942, 265203.639892578 6650706.77001953 88.942, 265203.649902344 6650706.67004395 88.942, 265203.659912109 6650706.56994629 88.942, 265203.669921875 6650706.4699707 88.942, 265203.679931641 6650706.36999512 88.942, 265203.689941406 6650706.27001953 88.952, 265203.689941406 6650706.26000977 88.952, 265203.699951172 6650706.17004395 88.952, 265203.719970703 6650706.07995606 88.952, 265203.729980469 6650705.97998047 88.952, 265203.75 6650705.89001465 88.952, 265203.770019531 6650705.79003906 88.952, 265203.780029297 6650705.68994141 88.952, 265203.800048828 6650705.59997559 88.952, 265203.820068359 6650705.5 88.952, 265203.840087891 6650705.41003418 88.952, 265203.870117187 6650705.31005859 88.952, 265203.889892578 6650705.2199707 88.952, 265203.909912109 6650705.11999512 88.952, 265203.939941406 6650705.0300293 88.952, 265203.959960938 6650704.93994141 88.952, 265203.989990234 6650704.83996582 88.952, 265204.020019531 6650704.75 88.952, 265204.050048828 6650704.66003418 88.952, 265204.080078125 6650704.56005859 88.952, 265204.110107422 6650704.4699707 88.952, 265204.139892578 6650704.38000488 88.952, 265204.169921875 6650704.29003906 88.952, 265204.209960938 6650704.19995117 88.952, 265204.239990234 6650704.10998535 88.962, 265204.280029297 6650704.01000977 88.962, 265204.310058594 6650703.92004395 88.962, 265204.350097656 6650703.82995606 88.962, 265204.389892578 6650703.75 88.962, 265204.429931641 6650703.66003418 88.962, 265204.469970703 6650703.56994629 88.962, 265204.510009766 6650703.47998047 88.962, 265204.550048828 6650703.39001465 88.962, 265204.600097656 6650703.30004883 88.962, 265204.639892578 6650703.2199707 88.962, 265204.679931641 6650703.13000488 88.962, 265204.729980469 6650703.04003906 88.962, 265204.780029297 6650702.95996094 88.962, 265204.830078125 6650702.86999512 88.962, 265204.870117187 6650702.79003906 88.962, 265204.919921875 6650702.70996094 88.962, 265204.969970703 6650702.61999512 88.962, 265205.030029297 6650702.54003906 88.962, 265205.080078125 6650702.45996094 88.962, 265205.129882813 6650702.38000488 88.952, 265205.179931641 6650702.29003906 88.952, 265205.239990234 6650702.20996094 88.952, 265205.290039063 6650702.13000488 88.952, 265205.350097656 6650702.05004883 88.952, 265205.409912109 6650701.9699707 88.952, 265205.459960938 6650701.90002441 88.952, 265205.520019531 6650701.81994629 88.952, 265205.580078125 6650701.73999024 88.952, 265205.639892578 6650701.67004395 88.952, 265205.709960938 6650701.58996582 88.952, 265205.770019531 6650701.52001953 88.952, 265205.830078125 6650701.43994141 88.952, 265205.889892578 6650701.36999512 88.952, 265205.959960937 6650701.29003906 88.952, 265206.020019531 6650701.2199707 88.952, 265206.090087891 6650701.15002441 88.952, 265206.159912109 6650701.07995606 88.952, 265206.219970703 6650701.01000977 88.952, 265206.290039063 6650700.93994141 88.952, 265206.360107422 6650700.86999512 88.952, 265206.429931641 6650700.80004883 88.952, 265206.5 6650700.73999023 88.952, 265206.570068359 6650700.67004395 88.942, 265206.639892578 6650700.59997559 88.942, 265206.719970703 6650700.54003906 88.942, 265206.790039063 6650700.4699707 88.942, 265206.860107422 6650700.41003418 88.942, 265206.939941406 6650700.34997559 88.942, 265207.010009766 6650700.2800293 88.942, 265207.090087891 6650700.2199707 88.942, 265207.159912109 6650700.16003418 88.942, 265207.239990234 6650700.09997559 88.942, 265207.320068359 6650700.04003906 88.942, 265207.399902344 6650699.98999024 88.942, 265207.479980469 6650699.93005371 88.942, 265207.560058594 6650699.86999512 88.932, 265207.629882813 6650699.81994629 88.932, 265207.719970703 6650699.76000977 88.932, 265207.800048828 6650699.70996094 88.932, 265207.879882813 6650699.66003418 88.932, 265207.959960938 6650699.59997559 88.932, 265208.040039062 6650699.55004883 88.932, 265208.129882813 6650699.5 88.932, 265208.209960938 6650699.44995117 88.932, 265208.290039063 6650699.40002441 88.932, 265208.379882813 6650699.35998535 88.922, 265208.469970703 6650699.31005859 88.922, 265208.550048828 6650699.26000977 88.922, 265208.639892578 6650699.2199707 88.922, 265208.719970703 6650699.17004395 88.922, 265208.810058594 6650699.13000488 88.922, 265208.899902344 6650699.08996582 88.922, 265208.989990234 6650699.05004883 88.922, 265209.080078125 6650699.01000977 88.912, 265209.169921875 6650698.9699707 88.912, 265209.260009766 6650698.93005371 88.912, 265209.350097656 6650698.89001465 88.912, 265209.439941406 6650698.85998535 88.912, 265209.530029297 6650698.81994629 88.912, 265209.620117188 6650698.79003906 88.912, 265209.709960938 6650698.75 88.902, 265209.800048828 6650698.7199707 88.902, 265209.889892578 6650698.68994141 88.902, 265209.979980469 6650698.66003418 88.902, 265210.080078125 6650698.63000488 88.902, 265210.169921875 6650698.59997559 88.902, 265210.260009766 6650698.56994629 88.902, 265210.360107422 6650698.54003906 88.892, 265210.449951172 6650698.52001953 88.892, 265210.540039063 6650698.48999024 88.892, 265210.639892578 6650698.4699707 88.892, 265210.729980469 6650698.43994141 88.892, 265210.830078125 6650698.42004395 88.892, 265210.929931641 6650698.40002441 88.882, 265211.020019531 6650698.38000488 88.882, 265211.120117188 6650698.35998535 88.882, 265211.209960937 6650698.33996582 88.882, 265211.310058594 6650698.32995605 88.882, 265211.399902344 6650698.31005859 88.882, 265211.5 6650698.30004883 88.872, 265211.600097656 6650698.2800293 88.872, 265211.689941406 6650698.27001953 88.872, 265211.790039063 6650698.26000977 88.872, 265211.889892578 6650698.25 88.872, 265211.979980469 6650698.23999023 88.872, 265212.080078125 6650698.22998047 88.862, 265212.179931641 6650698.2199707 88.862, 265212.270019531 6650698.20996094 88.862, 265212.370117187 6650698.20996094 88.862, 265212.469970703 6650698.19995117 88.862, 265212.570068359 6650698.19995117 88.852, 265212.659912109 6650698.19995117 88.852, 265212.760009766 6650698.19995117 88.852, 265212.860107422 6650698.18994141 88.852, 265212.949951172 6650698.18994141 88.852, 265213.050048828 6650698.19995117 88.842, 265213.149902344 6650698.19995117 88.842, 265213.25 6650698.19995117 88.842, 265213.340087891 6650698.20996094 88.842, 265213.439941406 6650698.20996094 88.832, 265213.540039063 6650698.2199707 88.832, 265213.639892578 6650698.22998047 88.832, 265213.679931641 6650698.22998047 88.832, 265213.729980469 6650698.22998047 88.832, 265213.830078125 6650698.23999023 88.832, 265213.850097656 6650698.25 88.832, 265213.929931641 6650698.25 88.822, 265214.020019531 6650698.27001953 88.822, 265214.120117188 6650698.2800293 88.822, 265214.219970703 6650698.29003906 88.822, 265214.310058594 6650698.31005859 88.812, 265214.409912109 6650698.31994629 88.812, 265214.5 6650698.33996582 88.812, 265214.600097656 6650698.35998535 88.812, 265214.699951172 6650698.38000488 88.812, 265214.790039063 6650698.40002441 88.802, 265214.889892578 6650698.42004395 88.802, 265214.979980469 6650698.43994141 88.802, 265215.080078125 6650698.45996094 88.802, 265215.169921875 6650698.47998047 88.792, 265215.270019531 6650698.51000977 88.792, 265215.360107422 6650698.5300293 88.792, 265215.449951172 6650698.56005859 88.792, 265215.540039062 6650698.58996582 88.792, 265215.639892578 6650698.61999512 88.782, 265215.729980469 6650698.65002442 88.782, 265215.820068359 6650698.68005371 88.782, 265215.919921875 6650698.70996094 88.782, 265216.010009766 6650698.73999023 88.772, 265216.100097656 6650698.7800293 88.772, 265216.189941406 6650698.81005859 88.772, 265216.280029297 6650698.84997559 88.772, 265216.370117188 6650698.88000488 88.772, 265216.459960938 6650698.92004395 88.762, 265216.550048828 6650698.95996094 88.762, 265216.639892578 6650699 88.762, 265216.729980469 6650699.04003906 88.762, 265216.770019531 6650699.06005859 88.762, 265216.820068359 6650699.07995606 88.752, 265216.899902344 6650699.11999512 88.752, 265216.989990234 6650699.16003418 88.752, 265217.080078125 6650699.20996094 88.752, 265217.159912109 6650699.25 88.752, 265217.25 6650699.30004883 88.742, 265217.340087891 6650699.33996582 88.742, 265217.419921875 6650699.39001465 88.742, 265217.510009766 6650699.43994141 88.742, 265217.590087891 6650699.48999024 88.732, 265217.679931641 6650699.54003906 88.732, 265217.760009766 6650699.58996582 88.732, 265217.840087891 6650699.64001465 88.732, 265217.919921875 6650699.69995117 88.732, 265218 6650699.75 88.722, 265218.080078125 6650699.80004883 88.722, 265218.159912109 6650699.85998535 88.722, 265218.239990234 6650699.91003418 88.722, 265218.320068359 6650699.9699707 88.722, 265218.399902344 6650700.0300293 88.712, 265218.479980469 6650700.08996582 88.712, 265218.560058594 6650700.15002441 88.712, 265218.629882813 6650700.20996094 88.712, 265218.709960937 6650700.27001953 88.702, 265218.780029297 6650700.32995606 88.702, 265218.860107422 6650700.39001465 88.702, 265218.929931641 6650700.45996094 88.702, 265219.010009766 6650700.52001953 88.702, 265219.080078125 6650700.58996582 88.692, 265219.149902344 6650700.65002441 88.692, 265219.219970703 6650700.7199707 88.692, 265219.290039063 6650700.79003906 88.692, 265219.360107422 6650700.84997559 88.682, 265219.429931641 6650700.92004395 88.682, 265219.5 6650700.98999023 88.682, 265219.570068359 6650701.06005859 88.682, 265219.629882813 6650701.13000488 88.682, 265219.699951172 6650701.19995117 88.672, 265219.760009766 6650701.2800293 88.672, 265219.830078125 6650701.34997559 88.672, 265219.889892578 6650701.42004395 88.672, 265219.959960938 6650701.5 88.662, 265220.020019531 6650701.56994629 88.662, 265220.080078125 6650701.65002441 88.662, 265220.139892578 6650701.7199707 88.662, 265220.199951172 6650701.80004883 88.662, 265220.260009766 6650701.88000488 88.652, 265220.320068359 6650701.95996094 88.652, 265220.370117188 6650702.0300293 88.652, 265220.429931641 6650702.10998535 88.652, 265220.489990234 6650702.18994141 88.642, 265220.540039063 6650702.2800293 88.642, 265220.600097656 6650702.35998535 88.642, 265220.649902344 6650702.43994141 88.642, 265220.699951172 6650702.52001953 88.642, 265220.75 6650702.59997559 88.632, 265220.800048828 6650702.68994141 88.632, 265220.850097656 6650702.77001953 88.632, 265220.899902344 6650702.84997559 88.632, 265220.949951172 6650702.93994141 88.632, 265221 6650703.02001953 88.622, 265221.040039063 6650703.10998535 88.622, 265221.090087891 6650703.19995117 88.622, 265221.129882813 6650703.2800293 88.622, 265221.179931641 6650703.36999512 88.622, 265221.219970703 6650703.45996094 88.612, 265221.260009766 6650703.55004883 88.612, 265221.300048828 6650703.63000488 88.612, 265221.340087891 6650703.7199707 88.612, 265221.379882813 6650703.81005859 88.612, 265221.419921875 6650703.90002441 88.612, 265221.449951172 6650703.98999023 88.602, 265221.489990234 6650704.07995606 88.602, 265221.520019531 6650704.17004395 88.602, 265221.560058594 6650704.27001953 88.602, 265221.590087891 6650704.35998535 88.602, 265221.620117188 6650704.44995117 88.592, 265221.649902344 6650704.54003906 88.592, 265221.679931641 6650704.63000488 88.592, 265221.709960938 6650704.72998047 88.592, 265221.739990234 6650704.81994629 88.592, 265221.770019531 6650704.91003418 88.592, 265221.790039063 6650705.01000977 88.592, 265221.820068359 6650705.09997559 88.582, 265221.840087891 6650705.18994141 88.582, 265221.870117188 6650705.29003906 88.582, 265221.889892578 6650705.38000488 88.582, 265221.909912109 6650705.47998047 88.582, 265221.929931641 6650705.56994629 88.582, 265221.949951172 6650705.67004395 88.572, 265221.969970703 6650705.77001953 88.572, 265221.979980469 6650705.85998535 88.572, 265222 6650705.95996094 88.572, 265222.020019531 6650706.05004883 88.572, 265222.030029297 6650706.15002441 88.572, 265222.040039062 6650706.25 88.572, 265222.060058594 6650706.33996582 88.572, 265222.070068359 6650706.43994141 88.562, 265222.080078125 6650706.54003906 88.562, 265222.090087891 6650706.63000488 88.562, 265222.090087891 6650706.72998047 88.562, 265222.100097656 6650706.82995605 88.562, 265222.110107422 6650706.93005371 88.562, 265222.110107422 6650707.02001953 88.562, 265222.110107422 6650707.04003906 88.562, 265222.120117188 6650707.11999512 88.562, 265222.120117188 6650707.2199707 88.552, 265222.120117188 6650707.31005859 88.552, 265222.120117188 6650707.41003418 88.552, 265222.120117188 6650707.51000977 88.552, 265222.120117188 6650707.60998535 88.552, 265222.120117188 6650707.69995117 88.552, 265222.110107422 6650707.80004883 88.552, 265222.110107422 6650707.90002441 88.552, 265222.100097656 6650708 88.552, 265222.100097656 6650708.08996582 88.542, 265222.090087891 6650708.18994141 88.542, 265222.090087891 6650708.19995117 88.542, 265222.080078125 6650708.29003906 88.542, 265222.070068359 6650708.39001465 88.542, 265222.060058594 6650708.48999023 88.542, 265222.050048828 6650708.58996582 88.542, 265222.040039062 6650708.68994141 88.542, 265222.030029297 6650708.79003906 88.542, 265222.020019531 6650708.89001465 88.542, 265222.010009766 6650708.98999024 88.532, 265222 6650709.08996582 88.532, 265221.989990234 6650709.18994141 88.532, 265221.979980469 6650709.29003906 88.532, 265221.969970703 6650709.39001465 88.532, 265221.959960937 6650709.47998047 88.532, 265221.949951172 6650709.57995605 88.532, 265221.939941406 6650709.68005371 88.532, 265221.929931641 6650709.7800293 88.532, 265221.909912109 6650709.88000488 88.522, 265221.909912109 6650709.97998047 88.522, 265221.889892578 6650710.07995606 88.522, 265221.879882813 6650710.18005371 88.522, 265221.870117188 6650710.2800293 88.522, 265221.860107422 6650710.38000488 88.522, 265221.850097656 6650710.47998047 88.522, 265221.840087891 6650710.57995606 88.522, 265221.830078125 6650710.68005371 88.522, 265221.820068359 6650710.7800293 88.512, 265221.820068359 6650710.79003906 88.512, 265221.810058594 6650710.88000488 88.512, 265221.800048828 6650710.97998047 88.512, 265221.800048828 6650710.98999023 88.512, 265221.790039063 6650711.07995606 88.512, 265221.780029297 6650711.18005371 88.512, 265221.770019531 6650711.2800293 88.512, 265221.760009766 6650711.38000488 88.512, 265221.75 6650711.4699707 88.512, 265221.739990234 6650711.56994629 88.502, 265221.729980469 6650711.67004395 88.502, 265221.719970703 6650711.77001953 88.502, 265221.709960938 6650711.86999512 88.502, 265221.699951172 6650711.9699707 88.502, 265221.689941406 6650712.06994629 88.502, 265221.679931641 6650712.17004395 88.502, 265221.659912109 6650712.27001953 88.502, 265221.649902344 6650712.36999512 88.492, 265221.639892578 6650712.4699707 88.492, 265221.629882813 6650712.56994629 88.492, 265221.620117188 6650712.67004395 88.492, 265221.610107422 6650712.77001953 88.492, 265221.600097656 6650712.86999512 88.492, 265221.590087891 6650712.9699707 88.492, 265221.580078125 6650713.06994629 88.482, 265221.570068359 6650713.17004395 88.482, 265221.560058594 6650713.27001953 88.482, 265221.550048828 6650713.36999512 88.482, 265221.540039063 6650713.45996094 88.482, 265221.530029297 6650713.56005859 88.482, 265221.520019531 6650713.66003418 88.482, 265221.510009766 6650713.76000977 88.482, 265221.5 6650713.85998535 88.472, 265221.489990234 6650713.95996094 88.472, 265221.479980469 6650714.06005859 88.472, 265221.469970703 6650714.16003418 88.472, 265221.459960938 6650714.26000977 88.472, 265221.449951172 6650714.35998535 88.472, 265221.439941406 6650714.38000488 88.472, 265221.439941406 6650714.39001465 88.472, 265221.439941406 6650714.45996094 88.472, 265221.429931641 6650714.56005859 88.462, 265221.409912109 6650714.66003418 88.462, 265221.399902344 6650714.76000977 88.462, 265221.389892578 6650714.85998535 88.462, 265221.379882813 6650714.95996094 88.462, 265221.370117188 6650715.06005859 88.462, 265221.360107422 6650715.16003418 88.462, 265221.350097656 6650715.26000977 88.462, 265221.340087891 6650715.35998535 88.452, 265221.330078125 6650715.44995117 88.452, 265221.320068359 6650715.56005859 88.452, 265221.310058594 6650715.65002441 88.452, 265221.300048828 6650715.75 88.452, 265221.300048828 6650715.79003906 88.452, 265221.290039063 6650715.84997559 88.452, 265221.280029297 6650715.94995117 88.452, 265221.270019531 6650716.05004883 88.442, 265221.260009766 6650716.15002442 88.442, 265221.25 6650716.25 88.442, 265221.239990234 6650716.34997559 88.442, 265221.229980469 6650716.44995117 88.442, 265221.219970703 6650716.55004883 88.442, 265221.209960938 6650716.65002441 88.442, 265221.199951172 6650716.75 88.442, 265221.189941406 6650716.84997559 88.432, 265221.169921875 6650716.94995117 88.432, 265221.159912109 6650717.05004883 88.432, 265221.149902344 6650717.15002441 88.432, 265221.139892578 6650717.25 88.432, 265221.129882813 6650717.34997559 88.432, 265221.120117188 6650717.43994141 88.432, 265221.110107422 6650717.55004883 88.422, 265221.100097656 6650717.64001465 88.422, 265221.090087891 6650717.73999023 88.422, 265221.080078125 6650717.83996582 88.422, 265221.070068359 6650717.93994141 88.422, 265221.060058594 6650718.04003906 88.422, 265221.050048828 6650718.14001465 88.422, 265221.040039063 6650718.23999023 88.422, 265221.030029297 6650718.33996582 88.412, 265221.020019531 6650718.43005371 88.412, 265221.020019531 6650718.43994141 88.412, 265221.010009766 6650718.54003906 88.412, 265221 6650718.64001465 88.412, 265220.989990234 6650718.73999024 88.412, 265220.979980469 6650718.83996582 88.412, 265220.979980469 6650718.84997559 88.412, 265220.969970703 6650718.85998535 88.412, 265220.969970703 6650718.93005371 88.412, 265220.959960937 6650719.0300293 88.412, 265220.949951172 6650719.11999512 88.402, 265220.939941406 6650719.2199707 88.402, 265220.929931641 6650719.31005859 88.402, 265220.909912109 6650719.40002441 88.402, 265220.899902344 6650719.5 88.402, 265220.889892578 6650719.58996582 88.402, 265220.870117188 6650719.68994141 88.402, 265220.850097656 6650719.7800293 88.402, 265220.830078125 6650719.86999512 88.402, 265220.820068359 6650719.9699707 88.392, 265220.800048828 6650720.06005859 88.392, 265220.780029297 6650720.15002441 88.392, 265220.760009766 6650720.23999024 88.392, 265220.729980469 6650720.33996582 88.392, 265220.709960938 6650720.43005371 88.392, 265220.679931641 6650720.52001953 88.392, 265220.659912109 6650720.60998535 88.392, 265220.639892578 6650720.67004395 88.392, 265220.639892578 6650720.68005371 88.392, 265220.629882813 6650720.69995117 88.392, 265220.610107422 6650720.79003906 88.392, 265220.580078125 6650720.88000488 88.392, 265220.550048828 6650720.9699707 88.392, 265220.520019531 6650721.06005859 88.392, 265220.489990234 6650721.15002442 88.392, 265220.459960938 6650721.23999023 88.392, 265220.419921875 6650721.32995606 88.392, 265220.389892578 6650721.42004395 88.392, 265220.350097656 6650721.51000977 88.392, 265220.320068359 6650721.59997559 88.382, 265220.280029297 6650721.68994141 88.382, 265220.25 6650721.77001953 88.382, 265220.209960938 6650721.85998535 88.382, 265220.169921875 6650721.94995117 88.382, 265220.129882813 6650722.0300293 88.382, 265220.090087891 6650722.11999512 88.382, 265220.050048828 6650722.19995117 88.382, 265220 6650722.29003906 88.382, 265219.959960938 6650722.36999512 88.382, 265219.939941406 6650722.41003418 88.382, 265219.919921875 6650722.45996094 88.382, 265219.870117187 6650722.54003906 88.382, 265219.830078125 6650722.61999512 88.382, 265219.780029297 6650722.70996094 88.382, 265219.729980469 6650722.79003906 88.382, 265219.679931641 6650722.86999512 88.382, 265219.629882813 6650722.94995117 88.382, 265219.580078125 6650723.0300293 88.382, 265219.530029297 6650723.10998535 88.392, 265219.479980469 6650723.18994141 88.392, 265219.429931641 6650723.27001953 88.392, 265219.370117188 6650723.34997559 88.392, 265219.320068359 6650723.42004395 88.392, 265219.260009766 6650723.5 88.392, 265219.209960938 6650723.57995606 88.392, 265219.149902344 6650723.66003418 88.392, 265219.090087891 6650723.72998047 88.392, 265219.040039063 6650723.81005859 88.392, 265218.979980469 6650723.88000488 88.392, 265218.919921875 6650723.94995117 88.392, 265218.860107422 6650724.0300293 88.392, 265218.800048828 6650724.09997559 88.392, 265218.729980469 6650724.17004395 88.392, 265218.669921875 6650724.23999024 88.392, 265218.610107422 6650724.31005859 88.392, 265218.540039063 6650724.38000488 88.392, 265218.479980469 6650724.44995117 88.402, 265218.409912109 6650724.52001953 88.402, 265218.350097656 6650724.58996582 88.402, 265218.280029297 6650724.66003418 88.402, 265218.209960938 6650724.7199707 88.402, 265218.149902344 6650724.79003906 88.402, 265218.080078125 6650724.84997559 88.402, 265218.010009766 6650724.92004395 88.402, 265217.939941406 6650724.97998047 88.402, 265217.870117188 6650725.05004883 88.402, 265217.790039062 6650725.10998535 88.412, 265217.739990234 6650725.15002441 88.412, 265217.739990234 6650725.16003418 88.412, 265217.719970703 6650725.17004395 88.412, 265217.649902344 6650725.22998047 88.412, 265217.580078125 6650725.29003906 88.412, 265217.5 6650725.34997559 88.412, 265217.429931641 6650725.41003418 88.412, 265217.350097656 6650725.4699707 88.412, 265217.280029297 6650725.52001953 88.422, 265217.199951172 6650725.57995606 88.422, 265217.120117188 6650725.64001465 88.422, 265217.040039063 6650725.68994141 88.422, 265216.969970703 6650725.73999023 88.422, 265216.889892578 6650725.80004883 88.422, 265216.810058594 6650725.84997559 88.422, 265216.729980469 6650725.90002441 88.432, 265216.649902344 6650725.94995117 88.432, 265216.570068359 6650726 88.432, 265216.489990234 6650726.05004883 88.432, 265216.399902344 6650726.09997559 88.432, 265216.320068359 6650726.15002441 88.442, 265216.239990234 6650726.18994141 88.442, 265216.159912109 6650726.23999023 88.442, 265216.070068359 6650726.2800293 88.442, 265215.989990234 6650726.32995606 88.442, 265215.899902344 6650726.36999512 88.442, 265215.820068359 6650726.41003418 88.452, 265215.770019531 6650726.43994141 88.452, 265215.729980469 6650726.44995117 88.452, 265215.649902344 6650726.48999023 88.452, 265215.560058594 6650726.5300293 88.452, 265215.469970703 6650726.56994629 88.462, 265215.389892578 6650726.60998535 88.462, 265215.300048828 6650726.64001465 88.462, 265215.209960938 6650726.68005371 88.462, 265215.120117188 6650726.7199707 88.462, 265215.040039063 6650726.75 88.472, 265214.949951172 6650726.7800293 88.472, 265214.860107422 6650726.81994629 88.472, 265214.770019531 6650726.84997559 88.472, 265214.679931641 6650726.88000488 88.472, 265214.590087891 6650726.91003418 88.482, 265214.5 6650726.93994141 88.482, 265214.409912109 6650726.95996094 88.482, 265214.320068359 6650726.98999024 88.482, 265214.219970703 6650727.02001953 88.482, 265214.129882813 6650727.04003906 88.492, 265214.040039063 6650727.06994629 88.492, 265213.949951172 6650727.08996582 88.492, 265213.860107422 6650727.10998535 88.492, 265213.760009766 6650727.13000488 88.492, 265213.669921875 6650727.15002441 88.502, 265213.580078125 6650727.17004395 88.502, 265213.479980469 6650727.18994141 88.502, 265213.389892578 6650727.20996094 88.502, 265213.300048828 6650727.2199707 88.502, 265213.199951172 6650727.23999023 88.512, 265213.110107422 6650727.25 88.512, 265213.020019531 6650727.27001953 88.512, 265212.919921875 6650727.2800293 88.512, 265212.830078125 6650727.29003906 88.512, 265212.729980469 6650727.30004883 88.522, 265212.639892578 6650727.31005859 88.522, 265212.540039063 6650727.31994629 88.522, 265212.449951172 6650727.32995606 88.522, 265212.360107422 6650727.32995606 88.532, 265212.260009766 6650727.33996582 88.532, 265212.169921875 6650727.33996582 88.532, 265212.070068359 6650727.34997559 88.532, 265211.979980469 6650727.34997559 88.532, 265211.879882813 6650727.34997559 88.542, 265211.790039063 6650727.34997559 88.542, 265211.689941406 6650727.34997559 88.542, 265211.600097656 6650727.34997559 88.542, 265211.5 6650727.34997559 88.542, 265211.409912109 6650727.34997559 88.552, 265211.310058594 6650727.33996582 88.552, 265211.219970703 6650727.33996582 88.552, 265211.120117188 6650727.32995606 88.552, 265211.030029297 6650727.31994629 88.552, 265210.929931641 6650727.31994629 88.562, 265210.840087891 6650727.31005859 88.562, 265210.790039063 6650727.30004883 88.562, 265210.770019531 6650727.30004883 88.562, 265210.75 6650727.30004883 88.562, 265210.649902344 6650727.29003906 88.562, 265210.560058594 6650727.27001953 88.562, 265210.459960938 6650727.26000977 88.572, 265210.370117188 6650727.25 88.572, 265210.280029297 6650727.22998047 88.572, 265210.179931641 6650727.2199707 88.572, 265210.090087891 6650727.19995117 88.572, 265210 6650727.18005371 88.582, 265209.899902344 6650727.16003418 88.582, 265209.810058594 6650727.15002441 88.582, 265209.719970703 6650727.13000488 88.582, 265209.620117188 6650727.09997559 88.592, 265209.530029297 6650727.07995605 88.592, 265209.439941406 6650727.06005859 88.592, 265209.350097656 6650727.0300293 88.592, 265209.260009766 6650727.01000977 88.592, 265209.159912109 6650726.97998047 88.602, 265209.070068359 6650726.95996094 88.602, 265208.979980469 6650726.93005371 88.602, 265208.889892578 6650726.90002441 88.602, 265208.800048828 6650726.86999512 88.602, 265208.709960938 6650726.83996582 88.612, 265208.620117188 6650726.81005859 88.612, 265208.540039063 6650726.77001953 88.612, 265208.449951172 6650726.73999023 88.612, 265208.360107422 6650726.70996094 88.612, 265208.270019531 6650726.67004395 88.622, 265208.179931641 6650726.63000488 88.622, 265208.090087891 6650726.59997559 88.622, 265208.010009766 6650726.56005859 88.622, 265207.919921875 6650726.52001953 88.622, 265207.840087891 6650726.47998047 88.632, 265207.75 6650726.43994141 88.632, 265207.659912109 6650726.40002441 88.632, 265207.580078125 6650726.35998535 88.632, 265207.489990234 6650726.31005859 88.632, 265207.409912109 6650726.27001953 88.642, 265207.330078125 6650726.2199707 88.642, 265207.239990234 6650726.18005371 88.642, 265207.159912109 6650726.13000488 88.642, 265207.080078125 6650726.07995605 88.642, 265207 6650726.04003906 88.652, 265206.919921875 6650725.98999024 88.652, 265206.840087891 6650725.93994141 88.652, 265206.760009766 6650725.89001465 88.652, 265206.679931641 6650725.82995605 88.662, 265206.600097656 6650725.7800293 88.662, 265206.520019531 6650725.72998047 88.662, 265206.439941406 6650725.67004395 88.662, 265206.360107422 6650725.61999512 88.662, 265206.290039063 6650725.56005859 88.672, 265206.209960938 6650725.51000977 88.672, 265206.129882813 6650725.44995117 88.672, 265206.060058594 6650725.39001465 88.672, 265205.979980469 6650725.32995605 88.672, 265205.909912109 6650725.27001953 88.682, 265205.840087891 6650725.20996094 88.682, 265205.760009766 6650725.15002441 88.682, 265205.689941406 6650725.08996582 88.682, 265205.620117188 6650725.0300293 88.682, 265205.550048828 6650724.9699707 88.692, 265205.479980469 6650724.90002441 88.692, 265205.409912109 6650724.83996582 88.692, 265205.340087891 6650724.77001953 88.692, 265205.270019531 6650724.69995117 88.692, 265205.209960938 6650724.64001465 88.702, 265205.139892578 6650724.56994629 88.702, 265205.070068359 6650724.5 88.702, 265205.010009766 6650724.43005371 88.702, 265204.939941406 6650724.35998535 88.712, 265204.879882812 6650724.29003906 88.712, 265204.820068359 6650724.2199707 88.712, 265204.75 6650724.15002441 88.712, 265204.689941406 6650724.07995606 88.712, 265204.629882813 6650724.01000977 88.722, 265204.570068359 6650723.93005371 88.722, 265204.510009766 6650723.85998535 88.722, 265204.449951172 6650723.7800293 88.722, 265204.399902344 6650723.70996094 88.722, 265204.340087891 6650723.63000488 88.732, 265204.280029297 6650723.56005859 88.732, 265204.229980469 6650723.47998047 88.732, 265204.169921875 6650723.40002441 88.732, 265204.120117188 6650723.31994629 88.732, 265204.060058594 6650723.25 88.742, 265204.010009766 6650723.17004395 88.742, 265203.959960938 6650723.08996582 88.742, 265203.909912109 6650723.01000977 88.742, 265203.860107422 6650722.93005371 88.742, 265203.810058594 6650722.83996582 88.752, 265203.760009766 6650722.76000977 88.752, 265203.719970703 6650722.68005371 88.752, 265203.699951172 6650722.66003418 88.752, 265203.669921875 6650722.59997559 88.752, 265203.620117188 6650722.52001953 88.752, 265203.580078125 6650722.43005371 88.762, 265203.530029297 6650722.34997559 88.762, 265203.489990234 6650722.26000977 88.762, 265203.449951172 6650722.18005371 88.762, 265203.409912109 6650722.08996582 88.762, 265203.370117188 6650722.01000977 88.772, 265203.330078125 6650721.92004395 88.772, 265203.290039063 6650721.82995606 88.772, 265203.25 6650721.75 88.772, 265203.209960938</t>
  </si>
  <si>
    <t>2010-07-12</t>
  </si>
  <si>
    <t>[17988]</t>
  </si>
  <si>
    <t>['KV17988 S1D1 m253-263']</t>
  </si>
  <si>
    <t>LINESTRING Z (265775.003417969 6650791.18591309 93.623, 265773.956542969 6650792.7076416 93.573, 265773.332763672 6650793.79943848 93.573, 265772.989501953 6650794.66455078 93.583, 265772.713623047 6650795.6138916 93.593, 265772.396972656 6650796.87890625 93.643, 265772.3671875 6650797.99621582 93.683, 265772.377197266 6650799.10095215 93.683, 265772.544189453 6650800.16015625 93.663, 265772.848876953 6650801.29797363 93.663, 265773.358154297 6650802.36730957 93.633, 265773.82421875 6650803.18920898 93.593, 265774.512207031 6650804.13134766 93.593, 265775.312988281 6650805.09265137 93.593, 265776.312988281 6650805.91625977 93.593, 265777.617919922 6650806.68164063 93.673, 265777.971923828 6650806.82006836 93.663, 265778.160888672 6650806.90393066 93.663, 265778.464355469 6650806.9263916 93.663, 265778.624511719 6650806.81079102 93.663, 265778.766845703 6650806.60754395 93.663, 265778.813232422 6650806.35217285 93.663, 265778.795410156 6650806.26354981 93.663, 265778.239990234 6650805.5703125 93.673, 265776.932617187 6650804.01147461 93.693, 265776.155761719 6650802.53479004 93.663, 265775.674804688 6650801.44335938 93.613, 265775.139160156 6650799.97521973 93.593, 265774.91796875 6650798.85925293 93.583, 265774.763183594 6650797.71850586 93.583, 265774.725097656 6650796.73693848 93.583, 265774.758789063 6650795.79003906 93.563, 265774.878662109 6650795.00500488 93.523, 265775.057128906 6650794.20581055 93.503, 265775.678955078 6650791.97900391 93.523, 265775.80859375 6650791.64550781 93.523, 265775.762207031 6650791.45935059 93.523, 265775.583496094 6650791.26367188 93.523, 265775.39453125 6650791.17102051 93.523, 265775.19921875 6650791.12792969 93.523, 265775.003417969 6650791.18591309 93.623)</t>
  </si>
  <si>
    <t>POLYGON Z ((265775.003417969 6650791.18591309 93.623, 265773.956542969 6650792.7076416 93.573, 265773.332763672 6650793.79943848 93.573, 265772.989501953 6650794.66455078 93.583, 265772.713623047 6650795.6138916 93.593, 265772.396972656 6650796.87890625 93.643, 265772.3671875 6650797.99621582 93.683, 265772.377197266 6650799.10095215 93.683, 265772.544189453 6650800.16015625 93.663, 265772.848876953 6650801.29797363 93.663, 265773.358154297 6650802.36730957 93.633, 265773.82421875 6650803.18920898 93.593, 265774.512207031 6650804.13134766 93.593, 265775.312988281 6650805.09265137 93.593, 265776.312988281 6650805.91625977 93.593, 265777.617919922 6650806.68164063 93.673, 265777.971923828 6650806.82006836 93.663, 265778.160888672 6650806.90393066 93.663, 265778.464355469 6650806.9263916 93.663, 265778.624511719 6650806.81079102 93.663, 265778.766845703 6650806.60754395 93.663, 265778.813232422 6650806.35217285 93.663, 265778.795410156 6650806.26354981 93.663, 265778.239990234 6650805.5703125 93.673, 265776.932617187 6650804.01147461 93.693, 265776.155761719 6650802.53479004 93.663, 265775.674804688 6650801.44335938 93.613, 265775.139160156 6650799.97521973 93.593, 265774.91796875 6650798.85925293 93.583, 265774.763183594 6650797.71850586 93.583, 265774.725097656 6650796.73693848 93.583, 265774.758789063 6650795.79003906 93.563, 265774.878662109 6650795.00500488 93.523, 265775.057128906 6650794.20581055 93.503, 265775.678955078 6650791.97900391 93.523, 265775.80859375 6650791.64550781 93.523, 265775.762207031 6650791.45935059 93.523, 265775.583496094 6650791.26367188 93.523, 265775.39453125 6650791.17102051 93.523, 265775.19921875 6650791.12792969 93.523, 265775.003417969 6650791.18591309 93.623))</t>
  </si>
  <si>
    <t>[21538]</t>
  </si>
  <si>
    <t>['KV21538 S1D1 m13-18']</t>
  </si>
  <si>
    <t>LINESTRING Z (265219.159912109 6650690.7199707 88.732, 265219.120117188 6650690.81994629 88.732, 265219.100097656 6650690.92004395 88.732, 265219.100097656 6650691.02001953 88.732, 265219.120117188 6650691.11999512 88.732, 265219.159912109 6650691.2199707 88.732, 265219.219970703 6650691.30004883 88.732, 265219.300048828 6650691.38000488 88.732, 265219.389892578 6650691.43005371 88.732, 265219.409912109 6650691.43994141 88.732, 265220.469970703 6650691.91003418 88.692, 265220.570068359 6650691.93994141 88.692, 265220.679931641 6650691.95996094 88.682, 265220.780029297 6650691.94995117 88.682, 265220.879882812 6650691.92004395 88.682, 265220.969970703 6650691.86999512 88.682, 265221.050048828 6650691.81005859 88.682, 265221.120117188 6650691.7199707 88.682, 265221.159912109 6650691.63000488 88.682, 265221.199951172 6650691.5300293 88.682, 265221.199951172 6650691.51000977 88.682, 265221.330078125 6650690.63000488 88.692, 265221.350097656 6650690.43005371 88.692, 265221.75 6650687.95996094 88.692, 265221.760009766 6650687.80004883 88.692, 265221.719970703 6650687.65002441 88.702, 265221.649902344 6650687.52001953 88.702, 265221.530029297 6650687.41003418 88.712, 265221.439941406 6650687.35998535 88.712, 265221.389892578 6650687.34997559 88.712, 265221.239990234 6650687.33996582 88.712, 265221.080078125 6650687.36999512 88.712, 265220.949951172 6650687.44995117 88.712, 265220.840087891 6650687.56005859 88.712, 265220.790039063 6650687.67004395 88.712, 265219.860107422 6650689.43005371 88.732, 265219.159912109 6650690.7199707 88.732)</t>
  </si>
  <si>
    <t>POLYGON Z ((265219.159912109 6650690.7199707 88.732, 265219.120117188 6650690.81994629 88.732, 265219.100097656 6650690.92004395 88.732, 265219.100097656 6650691.02001953 88.732, 265219.120117188 6650691.11999512 88.732, 265219.159912109 6650691.2199707 88.732, 265219.219970703 6650691.30004883 88.732, 265219.300048828 6650691.38000488 88.732, 265219.389892578 6650691.43005371 88.732, 265219.409912109 6650691.43994141 88.732, 265220.469970703 6650691.91003418 88.692, 265220.570068359 6650691.93994141 88.692, 265220.679931641 6650691.95996094 88.682, 265220.780029297 6650691.94995117 88.682, 265220.879882812 6650691.92004395 88.682, 265220.969970703 6650691.86999512 88.682, 265221.050048828 6650691.81005859 88.682, 265221.120117188 6650691.7199707 88.682, 265221.159912109 6650691.63000488 88.682, 265221.199951172 6650691.5300293 88.682, 265221.199951172 6650691.51000977 88.682, 265221.330078125 6650690.63000488 88.692, 265221.350097656 6650690.43005371 88.692, 265221.75 6650687.95996094 88.692, 265221.760009766 6650687.80004883 88.692, 265221.719970703 6650687.65002441 88.702, 265221.649902344 6650687.52001953 88.702, 265221.530029297 6650687.41003418 88.712, 265221.439941406 6650687.35998535 88.712, 265221.389892578 6650687.34997559 88.712, 265221.239990234 6650687.33996582 88.712, 265221.080078125 6650687.36999512 88.712, 265220.949951172 6650687.44995117 88.712, 265220.840087891 6650687.56005859 88.712, 265220.790039063 6650687.67004395 88.712, 265219.860107422 6650689.43005371 88.732, 265219.159912109 6650690.7199707 88.732))</t>
  </si>
  <si>
    <t>2013-02-08</t>
  </si>
  <si>
    <t>['KV17988 S1D1 m248 KD1 m0-7', 'KV17988 S1D1 m248 KD1 m46-78']</t>
  </si>
  <si>
    <t>LINESTRING Z (265755.855712891 6650816.06445313 94.103, 265756.707519531 6650815.93688965 94.103, 265757.540771484 6650815.70031738 94.103, 265758.322998047 6650815.35839844 94.103, 265759.066894531 6650814.91894531 94.103, 265759.753173828 6650814.39440918 94.103, 265760.359130859 6650813.77612305 94.103, 265760.890869141 6650813.0949707 94.103, 265761.325683594 6650812.35205078 94.103, 265761.664550781 6650811.55786133 94.103, 265761.901611328 6650810.73278809 94.103, 265762.025878906 6650809.88757324 94.103, 265762.047119141 6650809.02124024 94.103, 265761.969238281 6650808.16491699 94.103, 265761.771728516 6650807.31848145 94.103, 265761.467773438 6650806.51220703 94.103, 265761.077148438 6650805.75402832 94.103, 265760.581054687 6650805.04553223 94.103, 265760 6650804.40576172 94.103, 265759.346191406 6650803.84216309 94.103, 265758.629882813 6650803.36462402 94.103, 265757.861083984 6650802.9822998 94.103, 265757.042236328 6650802.70544434 94.103, 265756.202148438 6650802.53063965 94.103, 265755.342041016 6650802.45776367 94.103, 265754.481933594 6650802.50549317 94.103, 265753.632080078 6650802.65344238 94.103, 265752.80078125 6650802.9095459 94.103, 265752.01953125 6650803.26208496 94.103, 265751.286865234 6650803.72021484 94.103, 265750.623046875 6650804.26318359 94.103, 265750.027587891 6650804.8894043 94.103, 265749.507568359 6650805.58032227 94.103, 265749.093017578 6650806.33117676 94.103, 265748.764892578 6650807.13415527 94.103, 265748.549316406 6650807.96813965 94.103, 265748.435546875 6650808.82226562 94.103, 265748.43359375 6650809.68676758 94.103, 265748.541748047 6650810.5402832 94.103, 265748.748046875 6650811.37609863 94.103, 265749.062744141 6650812.18151855 94.103, 265749.482666016 6650812.93701172 94.103, 265749.987548828 6650813.62402344 94.103, 265750.577636719 6650814.2532959 94.103, 265751.239990234 6650814.80627441 94.103, 265751.975097656 6650815.26135254 94.103, 265752.752441406 6650815.63317871 94.103, 265753.569580078 6650815.89050293 94.103, 265754.416503906 6650816.04418945 94.103, 265755.285644531 6650816.09655762 94.103, 265755.855712891 6650816.06445313 94.103)</t>
  </si>
  <si>
    <t>POLYGON Z ((265755.855712891 6650816.06445313 94.103, 265756.707519531 6650815.93688965 94.103, 265757.540771484 6650815.70031738 94.103, 265758.322998047 6650815.35839844 94.103, 265759.066894531 6650814.91894531 94.103, 265759.753173828 6650814.39440918 94.103, 265760.359130859 6650813.77612305 94.103, 265760.890869141 6650813.0949707 94.103, 265761.325683594 6650812.35205078 94.103, 265761.664550781 6650811.55786133 94.103, 265761.901611328 6650810.73278809 94.103, 265762.025878906 6650809.88757324 94.103, 265762.047119141 6650809.02124024 94.103, 265761.969238281 6650808.16491699 94.103, 265761.771728516 6650807.31848145 94.103, 265761.467773438 6650806.51220703 94.103, 265761.077148438 6650805.75402832 94.103, 265760.581054687 6650805.04553223 94.103, 265760 6650804.40576172 94.103, 265759.346191406 6650803.84216309 94.103, 265758.629882813 6650803.36462402 94.103, 265757.861083984 6650802.9822998 94.103, 265757.042236328 6650802.70544434 94.103, 265756.202148438 6650802.53063965 94.103, 265755.342041016 6650802.45776367 94.103, 265754.481933594 6650802.50549317 94.103, 265753.632080078 6650802.65344238 94.103, 265752.80078125 6650802.9095459 94.103, 265752.01953125 6650803.26208496 94.103, 265751.286865234 6650803.72021484 94.103, 265750.623046875 6650804.26318359 94.103, 265750.027587891 6650804.8894043 94.103, 265749.507568359 6650805.58032227 94.103, 265749.093017578 6650806.33117676 94.103, 265748.764892578 6650807.13415527 94.103, 265748.549316406 6650807.96813965 94.103, 265748.435546875 6650808.82226562 94.103, 265748.43359375 6650809.68676758 94.103, 265748.541748047 6650810.5402832 94.103, 265748.748046875 6650811.37609863 94.103, 265749.062744141 6650812.18151855 94.103, 265749.482666016 6650812.93701172 94.103, 265749.987548828 6650813.62402344 94.103, 265750.577636719 6650814.2532959 94.103, 265751.239990234 6650814.80627441 94.103, 265751.975097656 6650815.26135254 94.103, 265752.752441406 6650815.63317871 94.103, 265753.569580078 6650815.89050293 94.103, 265754.416503906 6650816.04418945 94.103, 265755.285644531 6650816.09655762 94.103, 265755.855712891 6650816.06445313 94.103))</t>
  </si>
  <si>
    <t>2023-09-05</t>
  </si>
  <si>
    <t>['RV9 S1D1 m5524 KD1 m12-17']</t>
  </si>
  <si>
    <t>LINESTRING (84783.42549151252 6470729.752954347, 84784.17224441672 6470729.297477656, 84786.07837311813 6470728.719847051, 84786.85402105167 6470728.915763428)</t>
  </si>
  <si>
    <t>POINT (84785.10143943691 6470729.090251635)</t>
  </si>
  <si>
    <t>['RV9 S1D1 m5524 KD1 m57-60']</t>
  </si>
  <si>
    <t>LINESTRING (84772.3802987212 6470693.752448114, 84773.60280591587 6470693.286502748, 84775.23138954095 6470692.640614148)</t>
  </si>
  <si>
    <t>POINT (84773.80766628114 6470693.201217164)</t>
  </si>
  <si>
    <t>2012-11-20</t>
  </si>
  <si>
    <t>['FV6668 S1D1 m3124-3141']</t>
  </si>
  <si>
    <t>LINESTRING Z (273785.549987793 7042576.25 37.864, 273786.940002441 7042578.01000977 37.874, 273787.039978027 7042578.2800293 37.864, 273787.030029297 7042578.4699707 37.884, 273786.840026855 7042578.7199707 37.894, 273784.190002441 7042580.52001953 37.824, 273779.140014648 7042584.04003906 37.744, 273773.460021973 7042588.01000977 37.634, 273773.219970703 7042588.08996582 37.634, 273773.059997559 7042588.06994629 37.624, 273772.840026855 7042587.95996094 37.614, 273772.710021973 7042587.80004883 37.624, 273772.41998291 7042587.42004395 37.624, 273772.390014648 7042587.25 37.654, 273772.380004883 7042587.05004883 37.654, 273772.549987793 7042586.79003906 37.654, 273773.239990234 7042586.17004395 37.664, 273777.260009766 7042582.7199707 37.714, 273784.83001709 7042576.18005371 37.824, 273785.030029297 7042576.04003906 37.844, 273785.210021973 7042576.06994629 37.844, 273785.460021973 7042576.17004395 37.874, 273785.609985352 7042576.33996582 37.874, 273786.940002441 7042578.0300293 37.874)</t>
  </si>
  <si>
    <t>POLYGON Z ((273785.549987793 7042576.25 37.864, 273786.940002441 7042578.01000977 37.874, 273787.039978027 7042578.2800293 37.864, 273787.030029297 7042578.4699707 37.884, 273786.840026855 7042578.7199707 37.894, 273784.190002441 7042580.52001953 37.824, 273779.140014648 7042584.04003906 37.744, 273773.460021973 7042588.01000977 37.634, 273773.219970703 7042588.08996582 37.634, 273773.059997559 7042588.06994629 37.624, 273772.840026855 7042587.95996094 37.614, 273772.710021973 7042587.80004883 37.624, 273772.41998291 7042587.42004395 37.624, 273772.390014648 7042587.25 37.654, 273772.380004883 7042587.05004883 37.654, 273772.549987793 7042586.79003906 37.654, 273773.239990234 7042586.17004395 37.664, 273777.260009766 7042582.7199707 37.714, 273784.83001709 7042576.18005371 37.824, 273785.030029297 7042576.04003906 37.844, 273785.210021973 7042576.06994629 37.844, 273785.460021973 7042576.17004395 37.874, 273785.609985352 7042576.33996582 37.874, 273786.940002441 7042578.0300293 37.874, 273785.549987793 7042576.25 37.864))</t>
  </si>
  <si>
    <t>2012-12-10</t>
  </si>
  <si>
    <t>['RV162 S1D1 m0 KD1 m80-159']</t>
  </si>
  <si>
    <t>LINESTRING Z (262622.880004883 6647765.02001953 -999999, 262626.150024414 6647772.32000732 -999999, 262632.869995117 6647784.58001709 -999999, 262638.489990234 6647793.64001465 -999999, 262642.270019531 6647798.42999268 -999999, 262644.699951172 6647800.70001221 -999999, 262647.140014648 6647802.28997803 -999999, 262649.91003418 6647803.04998779 -999999, 262652.510009766 6647802.71002197 -999999, 262654.859985352 6647801.86999512 -999999, 262656.540039063 6647800.85998535 -999999, 262658.300048828 6647799.02001953 -999999, 262659.310058594 6647797.16998291 -999999, 262659.729980469 6647794.47998047 -999999, 262659.729980469 6647792.4699707 -999999, 262659.229980469 6647790.11999512 -999999, 262658.560058594 6647788.02001953 -999999, 262656.040039063 6647782.22998047 -999999, 262652.930053711 6647775.67999268 -999999, 262650.75 6647772.15002441 -999999, 262649.319946289 6647769.38000488 -999999, 262646.130004883 6647764.26000977 -999999, 262642.859985352 6647759.14001465 -999999, 262640.33996582 6647755.61999512 -999999, 262637.400024414 6647752.84997559 -999999, 262635.130004883 6647751.25 -999999, 262632.949951172 6647750.65997315 -999999, 262630.430053711 6647750.23999024 -999999, 262627.579956055 6647750.65997315 -999999, 262625.400024414 6647751.66998291 -999999, 262623.630004883 6647753.77001953 -999999, 262622.369995117 6647756.11999512 -999999, 262621.949951172 6647758.54998779 -999999, 262621.949951172 6647761.58001709 -999999, 262622.540039062 6647763.51000977 -999999, 262622.880004883 6647765.02001953 -999999)</t>
  </si>
  <si>
    <t>POLYGON Z ((262622.880004883 6647765.02001953 -999999, 262626.150024414 6647772.32000732 -999999, 262632.869995117 6647784.58001709 -999999, 262638.489990234 6647793.64001465 -999999, 262642.270019531 6647798.42999268 -999999, 262644.699951172 6647800.70001221 -999999, 262647.140014648 6647802.28997803 -999999, 262649.91003418 6647803.04998779 -999999, 262652.510009766 6647802.71002197 -999999, 262654.859985352 6647801.86999512 -999999, 262656.540039063 6647800.85998535 -999999, 262658.300048828 6647799.02001953 -999999, 262659.310058594 6647797.16998291 -999999, 262659.729980469 6647794.47998047 -999999, 262659.729980469 6647792.4699707 -999999, 262659.229980469 6647790.11999512 -999999, 262658.560058594 6647788.02001953 -999999, 262656.040039063 6647782.22998047 -999999, 262652.930053711 6647775.67999268 -999999, 262650.75 6647772.15002441 -999999, 262649.319946289 6647769.38000488 -999999, 262646.130004883 6647764.26000977 -999999, 262642.859985352 6647759.14001465 -999999, 262640.33996582 6647755.61999512 -999999, 262637.400024414 6647752.84997559 -999999, 262635.130004883 6647751.25 -999999, 262632.949951172 6647750.65997315 -999999, 262630.430053711 6647750.23999024 -999999, 262627.579956055 6647750.65997315 -999999, 262625.400024414 6647751.66998291 -999999, 262623.630004883 6647753.77001953 -999999, 262622.369995117 6647756.11999512 -999999, 262621.949951172 6647758.54998779 -999999, 262621.949951172 6647761.58001709 -999999, 262622.540039062 6647763.51000977 -999999, 262622.880004883 6647765.02001953 -999999))</t>
  </si>
  <si>
    <t>2021-01-12</t>
  </si>
  <si>
    <t>['RV162 S1D1 m2312 KD6 m0-66']</t>
  </si>
  <si>
    <t>LINESTRING Z (262753.510009766 6649202.0300293 -999999, 262754.5 6649203.29003906 -999999, 262755.459960938 6649203.86010742 -999999, 262756.329956055 6649204.11010742 -999999, 262757.400024414 6649204.23999023 -999999, 262758.619995117 6649203.91992188 -999999, 262759.359985352 6649203.5 -999999, 262759.920043945 6649203 -999999, 262760.550048828 6649202.19995117 -999999, 262760.869995117 6649201.37988281 -999999, 262761.140014648 6649200.56005859 -999999, 262761.060058594 6649199.43994141 -999999, 262760.790039063 6649198.37011719 -999999, 262760.150024414 6649197.47998047 -999999, 262759.439941406 6649196.81005859 -999999, 262758.390014648 6649196.31005859 -999999, 262757.189941406 6649196.17993164 -999999, 262755.969970703 6649196.31005859 -999999, 262754.900024414 6649196.75 -999999, 262754.050048828 6649197.55004883 -999999, 262753.439941406 6649198.48999023 -999999, 262753.08996582 6649199.89990234 -999999, 262753.189941406 6649201.27001953 -999999, 262753.510009766 6649202.0300293 -999999, 262753.760009766 6649202.37011719 -999999, 262753.760009766 6649202.34008789 -999999, 262753.510009766 6649202.0300293 -999999)</t>
  </si>
  <si>
    <t>['RV162 S1D1 m2312 KD7 m31-92']</t>
  </si>
  <si>
    <t>LINESTRING Z (262857.430053711 6649248.11010742 -999999, 262860.189941406 6649250.31005859 -999999, 262863.010009766 6649252.18994141 -999999, 262865.709960938 6649253.37988281 -999999, 262868.219970703 6649254.12988281 -999999, 262871.229980469 6649254.57006836 -999999, 262873.550048828 6649254.57006836 -999999, 262875.300048828 6649254.38989258 -999999, 262877.189941406 6649253.87988281 -999999, 262879 6649252.93994141 -999999, 262881.569946289 6649251.31005859 -999999, 262883.270019531 6649249.17993164 -999999, 262884.709960937 6649247.11010742 -999999, 262885.530029297 6649244.10009766 -999999, 262885.650024414 6649240.2800293 -999999, 262884.83996582 6649237.08007812 -999999, 262883.640014648 6649234.62988281 -999999, 262881.390014648 6649231.81005859 -999999, 262878.25 6649229.73999024 -999999, 262874.430053711 6649228.05004883 -999999, 262871.349975586 6649227.22998047 -999999, 262868.91003418 6649226.54003906 -999999, 262866.400024414 6649226.29003906 -999999, 262863.890014648 6649226.29003906 -999999, 262862.199951172 6649226.41992188 -999999, 262860.189941406 6649227.05004883 -999999, 262858.119995117 6649228.16992188 -999999, 262856.300048828 6649229.67993164 -999999, 262854.670043945 6649231.43994141 -999999, 262853.670043945 6649233.62988281 -999999, 262852.859985352 6649236.69995117 -999999, 262852.920043945 6649239.27001953 -999999, 262853.359985352 6649241.7800293 -999999, 262854.489990234 6649244.60009766 -999999, 262855.869995117 6649246.61010742 -999999, 262856.989990234 6649247.61010742 -999999, 262857.430053711 6649248.11010742 -999999)</t>
  </si>
  <si>
    <t>POLYGON Z ((262857.430053711 6649248.11010742 -999999, 262860.189941406 6649250.31005859 -999999, 262863.010009766 6649252.18994141 -999999, 262865.709960938 6649253.37988281 -999999, 262868.219970703 6649254.12988281 -999999, 262871.229980469 6649254.57006836 -999999, 262873.550048828 6649254.57006836 -999999, 262875.300048828 6649254.38989258 -999999, 262877.189941406 6649253.87988281 -999999, 262879 6649252.93994141 -999999, 262881.569946289 6649251.31005859 -999999, 262883.270019531 6649249.17993164 -999999, 262884.709960937 6649247.11010742 -999999, 262885.530029297 6649244.10009766 -999999, 262885.650024414 6649240.2800293 -999999, 262884.83996582 6649237.08007812 -999999, 262883.640014648 6649234.62988281 -999999, 262881.390014648 6649231.81005859 -999999, 262878.25 6649229.73999024 -999999, 262874.430053711 6649228.05004883 -999999, 262871.349975586 6649227.22998047 -999999, 262868.91003418 6649226.54003906 -999999, 262866.400024414 6649226.29003906 -999999, 262863.890014648 6649226.29003906 -999999, 262862.199951172 6649226.41992188 -999999, 262860.189941406 6649227.05004883 -999999, 262858.119995117 6649228.16992188 -999999, 262856.300048828 6649229.67993164 -999999, 262854.670043945 6649231.43994141 -999999, 262853.670043945 6649233.62988281 -999999, 262852.859985352 6649236.69995117 -999999, 262852.920043945 6649239.27001953 -999999, 262853.359985352 6649241.7800293 -999999, 262854.489990234 6649244.60009766 -999999, 262855.869995117 6649246.61010742 -999999, 262856.989990234 6649247.61010742 -999999, 262857.430053711 6649248.11010742 -999999))</t>
  </si>
  <si>
    <t>['RV162 S1D1 m2472 KD1 m0-94']</t>
  </si>
  <si>
    <t>LINESTRING Z (262645.400024414 6649257.18994141 -999999, 262646.380004883 6649257.12988281 -999999, 262647.33996582 6649256.94995117 -999999, 262648.270019531 6649256.63989258 -999999, 262649.16003418 6649256.2199707 -999999, 262649.979980469 6649255.68994141 -999999, 262650.739990234 6649255.06005859 -999999, 262651.400024414 6649254.35009766 -999999, 262651.969970703 6649253.55004883 -999999, 262652.439941406 6649252.68994141 -999999, 262652.790039063 6649251.77001953 -999999, 262653.030029297 6649250.82006836 -999999, 262653.140014648 6649249.85009766 -999999, 262653.130004883 6649248.87011719 -999999, 262653 6649247.88989258 -999999, 262652.869995117 6649246.82006836 -999999, 262652.33996582 6649245.73999023 -999999, 262651.709960938 6649244.55004883 -999999, 262651.229980469 6649243.88989258 -999999, 262650.349975586 6649243.02001953 -999999, 262649.689941406 6649242.45996094 -999999, 262648.819946289 6649241.93994141 -999999, 262647.489990234 6649241.52001953 -999999, 262646.790039063 6649241.31005859 -999999, 262645.989990234 6649241.12988281 -999999, 262644.739990234 6649241.16992188 -999999, 262644.069946289 6649241.16992188 -999999, 262643.130004883 6649241.44995117 -999999, 262642.260009766 6649241.76000977 -999999, 262641.699951172 6649242.04003906 -999999, 262641.040039063 6649242.38989258 -999999, 262640.020019531 6649243.18994141 -999999, 262639.290039063 6649243.85009766 -999999, 262638.729980469 6649244.62011719 -999999, 262638.180053711 6649245.5300293 -999999, 262637.719970703 6649246.61010742 -999999, 262637.579956055 6649247.31005859 -999999, 262637.510009766 6649248.38989258 -999999, 262637.479980469 6649249.37011719 -999999, 262637.550048828 6649250.35009766 -999999, 262637.719970703 6649251.17993164 -999999, 262638.109985352 6649252.08007813 -999999, 262638.5 6649252.97998047 -999999, 262639 6649253.82006836 -999999, 262639.609985352 6649254.60009766 -999999, 262640.300048828 6649255.29003906 -999999, 262641.079956055 6649255.87988281 -999999, 262641.930053711 6649256.37011719 -999999, 262642.829956055 6649256.76000977 -999999, 262643.780029297 6649257.02001953 -999999, 262644.75 6649257.16992188 -999999, 262645.400024414 6649257.18994141 -999999)</t>
  </si>
  <si>
    <t>POLYGON Z ((262645.400024414 6649257.18994141 -999999, 262646.380004883 6649257.12988281 -999999, 262647.33996582 6649256.94995117 -999999, 262648.270019531 6649256.63989258 -999999, 262649.16003418 6649256.2199707 -999999, 262649.979980469 6649255.68994141 -999999, 262650.739990234 6649255.06005859 -999999, 262651.400024414 6649254.35009766 -999999, 262651.969970703 6649253.55004883 -999999, 262652.439941406 6649252.68994141 -999999, 262652.790039063 6649251.77001953 -999999, 262653.030029297 6649250.82006836 -999999, 262653.140014648 6649249.85009766 -999999, 262653.130004883 6649248.87011719 -999999, 262653 6649247.88989258 -999999, 262652.869995117 6649246.82006836 -999999, 262652.33996582 6649245.73999023 -999999, 262651.709960938 6649244.55004883 -999999, 262651.229980469 6649243.88989258 -999999, 262650.349975586 6649243.02001953 -999999, 262649.689941406 6649242.45996094 -999999, 262648.819946289 6649241.93994141 -999999, 262647.489990234 6649241.52001953 -999999, 262646.790039063 6649241.31005859 -999999, 262645.989990234 6649241.12988281 -999999, 262644.739990234 6649241.16992188 -999999, 262644.069946289 6649241.16992188 -999999, 262643.130004883 6649241.44995117 -999999, 262642.260009766 6649241.76000977 -999999, 262641.699951172 6649242.04003906 -999999, 262641.040039063 6649242.38989258 -999999, 262640.020019531 6649243.18994141 -999999, 262639.290039063 6649243.85009766 -999999, 262638.729980469 6649244.62011719 -999999, 262638.180053711 6649245.5300293 -999999, 262637.719970703 6649246.61010742 -999999, 262637.579956055 6649247.31005859 -999999, 262637.510009766 6649248.38989258 -999999, 262637.479980469 6649249.37011719 -999999, 262637.550048828 6649250.35009766 -999999, 262637.719970703 6649251.17993164 -999999, 262638.109985352 6649252.08007813 -999999, 262638.5 6649252.97998047 -999999, 262639 6649253.82006836 -999999, 262639.609985352 6649254.60009766 -999999, 262640.300048828 6649255.29003906 -999999, 262641.079956055 6649255.87988281 -999999, 262641.930053711 6649256.37011719 -999999, 262642.829956055 6649256.76000977 -999999, 262643.780029297 6649257.02001953 -999999, 262644.75 6649257.16992188 -999999, 262645.400024414 6649257.18994141 -999999))</t>
  </si>
  <si>
    <t>['RV162 S1D1 m4182 KD1 m0-31', 'RV162 S1D1 m4182 KD1 m73-124']</t>
  </si>
  <si>
    <t>LINESTRING Z (261439.760009766 6649651.14990234 -999999, 261441.179992676 6649652.88989258 -999999, 261442.589996338 6649653.85009766 -999999, 261445.040008545 6649654.82006836 -999999, 261447.739990234 6649655.5300293 -999999, 261449.799987793 6649655.7199707 -999999, 261452.559997559 6649655.59008789 -999999, 261454.75 6649655.08007813 -999999, 261457.709991455 6649654.11010742 -999999, 261460.279998779 6649652.82006836 -999999, 261462.600006104 6649650.95996094 -999999, 261465.369995117 6649648.44995117 -999999, 261467.170013428 6649646 -999999, 261468.260009766 6649643.82006836 -999999, 261469.029998779 6649641.17993164 -999999, 261469.420013428 6649638.92993164 -999999, 261469.809997559 6649636.0300293 -999999, 261469.609985352 6649633.19995117 -999999, 261468.970001221 6649630.68994141 -999999, 261467.940002441 6649629.08007813 -999999, 261466.529998779 6649627.2199707 -999999, 261464.720001221 6649625.98999023 -999999, 261460.799987793 6649623.93994141 -999999, 261457.260009766 6649623.47998047 -999999, 261455.329986572 6649623.61010742 -999999, 261452.429992676 6649624.32006836 -999999, 261449.350006104 6649625.41992188 -999999, 261446.709991455 6649626.69995117 -999999, 261444.519989014 6649628.25 -999999, 261442.589996338 6649629.85009766 -999999, 261440.339996338 6649632.42993164 -999999, 261438.790008545 6649635 -999999, 261437.700012207 6649637.12988281 -999999, 261436.480010986 6649640.40991211 -999999, 261436.290008545 6649643.30004883 -999999, 261436.670013428 6649645.62011719 -999999, 261437.309997559 6649647.35009766 -999999, 261438.220001221 6649649.40991211 -999999, 261438.989990234 6649650.31005859 -999999, 261439.760009766 6649651.14990234 -999999)</t>
  </si>
  <si>
    <t>POLYGON Z ((261439.760009766 6649651.14990234 -999999, 261441.179992676 6649652.88989258 -999999, 261442.589996338 6649653.85009766 -999999, 261445.040008545 6649654.82006836 -999999, 261447.739990234 6649655.5300293 -999999, 261449.799987793 6649655.7199707 -999999, 261452.559997559 6649655.59008789 -999999, 261454.75 6649655.08007813 -999999, 261457.709991455 6649654.11010742 -999999, 261460.279998779 6649652.82006836 -999999, 261462.600006104 6649650.95996094 -999999, 261465.369995117 6649648.44995117 -999999, 261467.170013428 6649646 -999999, 261468.260009766 6649643.82006836 -999999, 261469.029998779 6649641.17993164 -999999, 261469.420013428 6649638.92993164 -999999, 261469.809997559 6649636.0300293 -999999, 261469.609985352 6649633.19995117 -999999, 261468.970001221 6649630.68994141 -999999, 261467.940002441 6649629.08007813 -999999, 261466.529998779 6649627.2199707 -999999, 261464.720001221 6649625.98999023 -999999, 261460.799987793 6649623.93994141 -999999, 261457.260009766 6649623.47998047 -999999, 261455.329986572 6649623.61010742 -999999, 261452.429992676 6649624.32006836 -999999, 261449.350006104 6649625.41992188 -999999, 261446.709991455 6649626.69995117 -999999, 261444.519989014 6649628.25 -999999, 261442.589996338 6649629.85009766 -999999, 261440.339996338 6649632.42993164 -999999, 261438.790008545 6649635 -999999, 261437.700012207 6649637.12988281 -999999, 261436.480010986 6649640.40991211 -999999, 261436.290008545 6649643.30004883 -999999, 261436.670013428 6649645.62011719 -999999, 261437.309997559 6649647.35009766 -999999, 261438.220001221 6649649.40991211 -999999, 261438.989990234 6649650.31005859 -999999, 261439.760009766 6649651.14990234 -999999))</t>
  </si>
  <si>
    <t>['RV162 S1D1 m275 KD1 m0-16', 'RV162 S1D1 m275 KD1 m42-55']</t>
  </si>
  <si>
    <t>LINESTRING Z (262857 6648013.57000732 -999999, 262857.709960938 6648014.26000977 -999999, 262858.449951172 6648014.88000488 -999999, 262859.219970703 6648015.30999756 -999999, 262860.209960938 6648015.61999512 -999999, 262861.260009766 6648015.82000732 -999999, 262862.510009766 6648015.66998291 -999999, 262863.729980469 6648015.30999756 -999999, 262864.640014648 6648014.77001953 -999999, 262865.459960937 6648014.09002686 -999999, 262866.140014648 6648013.17999268 -999999, 262866.630004883 6648012.15002441 -999999, 262866.849975586 6648011.02001953 -999999, 262866.800048828 6648009.84997559 -999999, 262866.630004883 6648008.7199707 -999999, 262866.08996582 6648007.75 -999999, 262865.66003418 6648007.03997803 -999999, 262864.979980469 6648006.33001709 -999999, 262864.099975586 6648005.61999512 -999999, 262863.079956055 6648005.30999756 -999999, 262862.140014648 6648005.05999756 -999999, 262861.08996582 6648005.09002686 -999999, 262859.83996582 6648005.34002686 -999999, 262858.819946289 6648005.78997803 -999999, 262857.829956055 6648006.35998535 -999999, 262857 6648007.29998779 -999999, 262856.489990234 6648008.32000733 -999999, 262856.119995117 6648009.46002197 -999999, 262856.08996582 6648010.59002686 -999999, 262856.260009766 6648011.84002686 -999999, 262856.630004883 6648012.7800293 -999999, 262856.859985352 6648013.26000977 -999999, 262857 6648013.57000732 -999999)</t>
  </si>
  <si>
    <t>POLYGON Z ((262857 6648013.57000732 -999999, 262857.709960938 6648014.26000977 -999999, 262858.449951172 6648014.88000488 -999999, 262859.219970703 6648015.30999756 -999999, 262860.209960938 6648015.61999512 -999999, 262861.260009766 6648015.82000732 -999999, 262862.510009766 6648015.66998291 -999999, 262863.729980469 6648015.30999756 -999999, 262864.640014648 6648014.77001953 -999999, 262865.459960937 6648014.09002686 -999999, 262866.140014648 6648013.17999268 -999999, 262866.630004883 6648012.15002441 -999999, 262866.849975586 6648011.02001953 -999999, 262866.800048828 6648009.84997559 -999999, 262866.630004883 6648008.7199707 -999999, 262866.08996582 6648007.75 -999999, 262865.66003418 6648007.03997803 -999999, 262864.979980469 6648006.33001709 -999999, 262864.099975586 6648005.61999512 -999999, 262863.079956055 6648005.30999756 -999999, 262862.140014648 6648005.05999756 -999999, 262861.08996582 6648005.09002686 -999999, 262859.83996582 6648005.34002686 -999999, 262858.819946289 6648005.78997803 -999999, 262857.829956055 6648006.35998535 -999999, 262857 6648007.29998779 -999999, 262856.489990234 6648008.32000733 -999999, 262856.119995117 6648009.46002197 -999999, 262856.08996582 6648010.59002686 -999999, 262856.260009766 6648011.84002686 -999999, 262856.630004883 6648012.7800293 -999999, 262856.859985352 6648013.26000977 -999999, 262857 6648013.57000732 -999999))</t>
  </si>
  <si>
    <t>['RV162 S1D1 m2193 KD1 m0-21', 'RV162 S1D1 m2193 KD1 m51-71']</t>
  </si>
  <si>
    <t>LINESTRING Z (262846.119995117 6649085.38989258 -999999, 262847.140014648 6649086.59008789 -999999, 262848.209960937 6649087.42993164 -999999, 262849.540039063 6649088.05004883 -999999, 262850.729980469 6649088.40991211 -999999, 262851.800048828 6649088.54003906 -999999, 262852.859985352 6649088.48999023 -999999, 262853.969970703 6649088.27001953 -999999, 262854.989990234 6649087.87011719 -999999, 262856.099975586 6649087.16992188 -999999, 262857.290039063 6649086.14990234 -999999, 262858.180053711 6649084.94995117 -999999, 262858.709960938 6649084.06005859 -999999, 262859.109985352 6649082.51000977 -999999, 262859.199951172 6649081.36010742 -999999, 262859.150024414 6649080.29003906 -999999, 262858.890014648 6649079.10009766 -999999, 262858.400024414 6649077.89990234 -999999, 262857.469970703 6649076.65991211 -999999, 262856.359985352 6649075.68994141 -999999, 262855.209960938 6649074.92993164 -999999, 262853.699951172 6649074.43994141 -999999, 262852.150024414 6649074.31005859 -999999, 262850.91003418 6649074.36010742 -999999, 262849.579956055 6649074.70996094 -999999, 262848.300048828 6649075.23999024 -999999, 262847.280029297 6649076 -999999, 262846.479980469 6649076.87988281 -999999, 262845.770019531 6649077.89990234 -999999, 262845.280029297 6649079.13989258 -999999, 262844.969970703 6649080.4699707 -999999, 262844.969970703 6649081.85009766 -999999, 262845.189941406 6649083.43994141 -999999, 262845.640014648 6649084.55004883 -999999, 262846.119995117 6649085.38989258 -999999)</t>
  </si>
  <si>
    <t>POLYGON Z ((262846.119995117 6649085.38989258 -999999, 262847.140014648 6649086.59008789 -999999, 262848.209960937 6649087.42993164 -999999, 262849.540039063 6649088.05004883 -999999, 262850.729980469 6649088.40991211 -999999, 262851.800048828 6649088.54003906 -999999, 262852.859985352 6649088.48999023 -999999, 262853.969970703 6649088.27001953 -999999, 262854.989990234 6649087.87011719 -999999, 262856.099975586 6649087.16992188 -999999, 262857.290039063 6649086.14990234 -999999, 262858.180053711 6649084.94995117 -999999, 262858.709960938 6649084.06005859 -999999, 262859.109985352 6649082.51000977 -999999, 262859.199951172 6649081.36010742 -999999, 262859.150024414 6649080.29003906 -999999, 262858.890014648 6649079.10009766 -999999, 262858.400024414 6649077.89990234 -999999, 262857.469970703 6649076.65991211 -999999, 262856.359985352 6649075.68994141 -999999, 262855.209960938 6649074.92993164 -999999, 262853.699951172 6649074.43994141 -999999, 262852.150024414 6649074.31005859 -999999, 262850.91003418 6649074.36010742 -999999, 262849.579956055 6649074.70996094 -999999, 262848.300048828 6649075.23999024 -999999, 262847.280029297 6649076 -999999, 262846.479980469 6649076.87988281 -999999, 262845.770019531 6649077.89990234 -999999, 262845.280029297 6649079.13989258 -999999, 262844.969970703 6649080.4699707 -999999, 262844.969970703 6649081.85009766 -999999, 262845.189941406 6649083.43994141 -999999, 262845.640014648 6649084.55004883 -999999, 262846.119995117 6649085.38989258 -999999))</t>
  </si>
  <si>
    <t>['FV1170 S1D1 m2290-2298']</t>
  </si>
  <si>
    <t>LINESTRING Z (274742.2025934508 6580743.282414909 52.56, 274743.87050161307 6580744.17647766 52.51, 274744.86632179667 6580745.081017638 52.49, 274745.08083670016 6580745.342910486 52.44, 274745.22553913516 6580745.721607033 52.45, 274745.19076062413 6580746.337510818 52.44, 274745.0230435983 6580746.593746104 52.39, 274744.8164349727 6580746.753041243 52.38, 274744.48215868283 6580746.833459871 52.370000000000005, 274744.03924277343 6580746.8232380655 52.36, 274743.5918915168 6580746.65269226 52.45, 274739.6527731307 6580743.412264426 52.65, 274739.1059751953 6580742.919206212 52.61, 274739.0182924494 6580742.615721871 52.65, 274739.05107769964 6580742.311402028 52.67, 274739.15168214357 6580742.201862452 52.68, 274739.3646549527 6580742.001811342 52.69, 274739.6173548628 6580742.019168381 52.68, 274741.611310813 6580742.964144511 52.620000000000005, 274742.2025934508 6580743.282414909 52.56)</t>
  </si>
  <si>
    <t>POLYGON Z ((274742.2025934508 6580743.282414909 52.56, 274743.87050161307 6580744.17647766 52.51, 274744.86632179667 6580745.081017638 52.49, 274745.08083670016 6580745.342910486 52.44, 274745.22553913516 6580745.721607033 52.45, 274745.19076062413 6580746.337510818 52.44, 274745.0230435983 6580746.593746104 52.39, 274744.8164349727 6580746.753041243 52.38, 274744.48215868283 6580746.833459871 52.370000000000005, 274744.03924277343 6580746.8232380655 52.36, 274743.5918915168 6580746.65269226 52.45, 274739.6527731307 6580743.412264426 52.65, 274739.1059751953 6580742.919206212 52.61, 274739.0182924494 6580742.615721871 52.65, 274739.05107769964 6580742.311402028 52.67, 274739.15168214357 6580742.201862452 52.68, 274739.3646549527 6580742.001811342 52.69, 274739.6173548628 6580742.019168381 52.68, 274741.611310813 6580742.964144511 52.620000000000005, 274742.2025934508 6580743.282414909 52.56))</t>
  </si>
  <si>
    <t>['FV109 S2D10 m8-19']</t>
  </si>
  <si>
    <t>LINESTRING Z (273737.5003163885 6576822.235989873 5.8, 273738.69607724383 6576822.017528716 5.74, 273739.74327613227 6576821.822526211 5.74, 273740.5468382862 6576821.599294449 5.79, 273741.4672707977 6576821.335374736 5.82, 273743.3517950943 6576820.512278806 5.86, 273746.3889657291 6576818.8819399085 5.95, 273746.66249475855 6576818.907470268 5.95, 273746.91865826526 6576819.185701807 5.95, 273747.0135968116 6576819.458399308 5.95, 273746.89479096304 6576819.700168641 5.95, 273746.6845088931 6576819.930106485 5.92, 273745.59261491743 6576820.63141097 5.9, 273742.59370575653 6576821.906708756 5.86, 273741.54996922467 6576822.3625772875 5.79, 273739.7906163213 6576822.903147852 5.75, 273738.3674803085 6576823.162228865 5.75, 273737.6183730679 6576823.209773379 5.7700000000000005, 273737.350309941 6576823.133522863 5.74, 273737.17475889204 6576822.858058325 5.76, 273737.203887788 6576822.624385701 5.7700000000000005, 273737.33722403564 6576822.321032435 5.74, 273737.5003163885 6576822.235989873 5.8)</t>
  </si>
  <si>
    <t>POLYGON Z ((273737.5003163885 6576822.235989873 5.8, 273738.69607724383 6576822.017528716 5.74, 273739.74327613227 6576821.822526211 5.74, 273740.5468382862 6576821.599294449 5.79, 273741.4672707977 6576821.335374736 5.82, 273743.3517950943 6576820.512278806 5.86, 273746.3889657291 6576818.8819399085 5.95, 273746.66249475855 6576818.907470268 5.95, 273746.91865826526 6576819.185701807 5.95, 273747.0135968116 6576819.458399308 5.95, 273746.89479096304 6576819.700168641 5.95, 273746.6845088931 6576819.930106485 5.92, 273745.59261491743 6576820.63141097 5.9, 273742.59370575653 6576821.906708756 5.86, 273741.54996922467 6576822.3625772875 5.79, 273739.7906163213 6576822.903147852 5.75, 273738.3674803085 6576823.162228865 5.75, 273737.6183730679 6576823.209773379 5.7700000000000005, 273737.350309941 6576823.133522863 5.74, 273737.17475889204 6576822.858058325 5.76, 273737.203887788 6576822.624385701 5.7700000000000005, 273737.33722403564 6576822.321032435 5.74, 273737.5003163885 6576822.235989873 5.8))</t>
  </si>
  <si>
    <t>['FV1332 S1D1 m1013-1018']</t>
  </si>
  <si>
    <t>LINESTRING Z (294778.0797429658 6561454.315256547 111.06, 294774.7672398307 6561452.775980802 110.97, 294774.6043298526 6561452.640018274 110.97, 294774.5790155287 6561452.58204027 110.97, 294774.5483117146 6561452.4642877625 110.97, 294774.53753273457 6561452.344738762 110.97, 294774.6056365261 6561452.097556521 110.97, 294774.7189794753 6561451.906555793 110.97, 294774.8621279894 6561451.823345147 110.97, 294778.5187430423 6561452.166559425 110.97, 294778.5920729513 6561452.200121353 110.97, 294778.67806002137 6561452.262672285 110.97, 294778.74951174844 6561452.386794208 110.97, 294778.3697146601 6561454.078200095 111, 294778.267232383 6561454.278264992 111.03, 294778.0797429658 6561454.315256547 111.06)</t>
  </si>
  <si>
    <t>POLYGON Z ((294778.0797429658 6561454.315256547 111.06, 294774.7672398307 6561452.775980802 110.97, 294774.6043298526 6561452.640018274 110.97, 294774.5790155287 6561452.58204027 110.97, 294774.5483117146 6561452.4642877625 110.97, 294774.53753273457 6561452.344738762 110.97, 294774.6056365261 6561452.097556521 110.97, 294774.7189794753 6561451.906555793 110.97, 294774.8621279894 6561451.823345147 110.97, 294778.5187430423 6561452.166559425 110.97, 294778.5920729513 6561452.200121353 110.97, 294778.67806002137 6561452.262672285 110.97, 294778.74951174844 6561452.386794208 110.97, 294778.3697146601 6561454.078200095 111, 294778.267232383 6561454.278264992 111.03, 294778.0797429658 6561454.315256547 111.06))</t>
  </si>
  <si>
    <t>['FV1332 S1D1 m1021-1023']</t>
  </si>
  <si>
    <t>LINESTRING Z (294781.2415033821 6561455.185172136 111.07000000000001, 294781.2179855553 6561455.147118968 111.07000000000001, 294781.73725644563 6561453.443137639 111.05, 294781.7744113653 6561453.409657394 111.05, 294781.8133627821 6561453.396101988 111.05, 294782.00175044156 6561453.36907285 111.06, 294782.18646342366 6561453.412678874 111.08, 294782.3874265604 6561453.525123565 111.12, 294783.58299791254 6561454.532144429 111.10000000000001, 294783.63272830995 6561454.63813801 111.11, 294783.6724962918 6561454.745029842 111.11, 294783.676089286 6561454.784879507 111.11, 294783.59263359854 6561454.973185481 111.11, 294783.47210467455 6561455.08448687 111.11, 294782.18866780825 6561455.330770595 111.07000000000001, 294782.0057513225 6561455.307089402 111.07000000000001, 294781.2415033821 6561455.185172136 111.07000000000001)</t>
  </si>
  <si>
    <t>POLYGON Z ((294781.2415033821 6561455.185172136 111.07000000000001, 294781.2179855553 6561455.147118968 111.07000000000001, 294781.73725644563 6561453.443137639 111.05, 294781.7744113653 6561453.409657394 111.05, 294781.8133627821 6561453.396101988 111.05, 294782.00175044156 6561453.36907285 111.06, 294782.18646342366 6561453.412678874 111.08, 294782.3874265604 6561453.525123565 111.12, 294783.58299791254 6561454.532144429 111.10000000000001, 294783.63272830995 6561454.63813801 111.11, 294783.6724962918 6561454.745029842 111.11, 294783.676089286 6561454.784879507 111.11, 294783.59263359854 6561454.973185481 111.11, 294783.47210467455 6561455.08448687 111.11, 294782.18866780825 6561455.330770595 111.07000000000001, 294782.0057513225 6561455.307089402 111.07000000000001, 294781.2415033821 6561455.185172136 111.07000000000001))</t>
  </si>
  <si>
    <t>2013-04-17</t>
  </si>
  <si>
    <t>2025-11-22T09:08:47Z</t>
  </si>
  <si>
    <t>['EV6 S79D1 m3974 KD1 m179-190']</t>
  </si>
  <si>
    <t>LINESTRING Z (296377.239990234 7044110.75 2.282, 296377.479980469 7044110.80004883 2.272, 296378.270019531 7044110.9699707 2.252, 296379.290039063 7044111.16003418 2.222, 296380.300048828 7044111.31994629 2.192, 296380.390014648 7044111.33996582 2.182, 296381.300048828 7044111.4699707 2.162, 296381.630004883 7044111.52001953 2.152, 296382.310058594 7044111.60998535 2.132, 296383.319946289 7044111.73999024 2.102, 296384.329956055 7044111.88000488 2.062, 296385.329956055 7044111.98999023 2.032, 296386.300048828 7044112.09997559 2.012, 296386.349975586 7044112.10998535 2.002, 296386.510009766 7044112.13000488 2.002, 296386.819946289 7044112.17004395 1.992, 296387.349975586 7044112.2199707 1.972, 296387.469970703 7044112.22998047 1.982, 296387.609985352 7044112.26000977 1.992, 296387.75 7044112.34997559 2.012, 296387.900024414 7044112.56994629 2.032, 296387.930053711 7044112.66003418 2.032, 296387.91003418 7044112.83996582 2.052, 296387.859985352 7044112.98999023 2.062, 296387.729980469 7044113.13000488 2.082, 296387.550048828 7044113.2199707 2.092, 296387.489990234 7044113.22998047 2.092, 296387.430053711 7044113.22998047 2.102, 296387.41003418 7044113.23999024 2.102, 296387.430053711 7044113.22998047 2.102, 296387.41003418 7044113.23999024 2.102, 296386.880004883 7044113.23999024 2.122, 296386.579956055 7044113.25 2.132, 296386.41003418 7044113.26000977 2.142, 296386.349975586 7044113.25 2.142, 296385.400024414 7044113.27001953 2.182, 296384.400024414 7044113.2800293 2.212, 296383.400024414 7044113.2800293 2.252, 296382.400024414 7044113.26000977 2.292, 296381.719970703 7044113.25 2.312, 296381.400024414 7044113.23999024 2.332, 296380.479980469 7044113.19995117 2.362, 296380.390014648 7044113.19995117 2.362, 296379.380004883 7044113.16003418 2.402, 296378.380004883 7044113.10998535 2.432, 296377.58996582 7044113.05004883 2.462, 296377.349975586 7044113.04003906 2.352)</t>
  </si>
  <si>
    <t>['FV124 S3D1 m1356-1359']</t>
  </si>
  <si>
    <t>LINESTRING Z (292417.43435522524 6593408.933324377 103.76, 292417.5559156333 6593408.500485821 103.61, 292417.40478121256 6593408.273098679 103.66, 292417.12863935705 6593408.1072359765 103.71000000000001, 292416.81159000023 6593408.266478772 103.71000000000001, 292415.7649040421 6593409.686933476 103.71000000000001, 292415.62977744563 6593410.080823097 103.76, 292415.69760840177 6593410.275567814 103.76, 292415.90581484616 6593410.467661963 103.71000000000001, 292416.15577748616 6593410.455101165 103.76, 292416.4474440908 6593410.348373495 103.81, 292417.43435522524 6593408.933324377 103.76)</t>
  </si>
  <si>
    <t>POLYGON Z ((292417.43435522524 6593408.933324377 103.76, 292417.5559156333 6593408.500485821 103.61, 292417.40478121256 6593408.273098679 103.66, 292417.12863935705 6593408.1072359765 103.71000000000001, 292416.81159000023 6593408.266478772 103.71000000000001, 292415.7649040421 6593409.686933476 103.71000000000001, 292415.62977744563 6593410.080823097 103.76, 292415.69760840177 6593410.275567814 103.76, 292415.90581484616 6593410.467661963 103.71000000000001, 292416.15577748616 6593410.455101165 103.76, 292416.4474440908 6593410.348373495 103.81, 292417.43435522524 6593408.933324377 103.76))</t>
  </si>
  <si>
    <t>2021-01-11</t>
  </si>
  <si>
    <t>['RV162 S1D1 m3458-3484']</t>
  </si>
  <si>
    <t>LINESTRING Z (261943.867576599 6649777.69055176 -999999, 261940.574542999 6649780.61767578 -999999, 261940.574542999 6649781.25793457 -999999, 261940.986171722 6649781.85253906 -999999, 261941.535011292 6649782.03552246 -999999, 261945.056724548 6649781.85253906 -999999, 261947.023395538 6649781.94396973 -999999, 261949.676116943 6649782.21838379 -999999, 261952.740463257 6649782.81298828 -999999, 261954.798610687 6649783.22460938 -999999, 261955.621868134 6649783.13317871 -999999, 261956.262180328 6649782.95019531 -999999, 261956.39938736 6649782.03552246 -999999, 261955.027294159 6649780.06884766 -999999, 261954.295509338 6649778.28503418 -999999, 261953.883880615 6649776.95874023 -999999, 261953.883880615 6649774.99206543 -999999, 261953.975353241 6649773.66564941 -999999, 261954.386981964 6649771.92773438 -999999, 261954.615661621 6649770.87573242 -999999, 261954.43271637 6649770.05249023 -999999, 261953.746669769 6649769.82385254 -999999, 261953.106357574 6649769.96105957 -999999, 261951.048213959 6649771.37890625 -999999, 261947.343551636 6649774.62609863 -999999, 261943.867576599 6649777.69055176 -999999)</t>
  </si>
  <si>
    <t>POLYGON Z ((261943.867576599 6649777.69055176 -999999, 261940.574542999 6649780.61767578 -999999, 261940.574542999 6649781.25793457 -999999, 261940.986171722 6649781.85253906 -999999, 261941.535011292 6649782.03552246 -999999, 261945.056724548 6649781.85253906 -999999, 261947.023395538 6649781.94396973 -999999, 261949.676116943 6649782.21838379 -999999, 261952.740463257 6649782.81298828 -999999, 261954.798610687 6649783.22460938 -999999, 261955.621868134 6649783.13317871 -999999, 261956.262180328 6649782.95019531 -999999, 261956.39938736 6649782.03552246 -999999, 261955.027294159 6649780.06884766 -999999, 261954.295509338 6649778.28503418 -999999, 261953.883880615 6649776.95874023 -999999, 261953.883880615 6649774.99206543 -999999, 261953.975353241 6649773.66564941 -999999, 261954.386981964 6649771.92773438 -999999, 261954.615661621 6649770.87573242 -999999, 261954.43271637 6649770.05249023 -999999, 261953.746669769 6649769.82385254 -999999, 261953.106357574 6649769.96105957 -999999, 261951.048213959 6649771.37890625 -999999, 261947.343551636 6649774.62609863 -999999, 261943.867576599 6649777.69055176 -999999))</t>
  </si>
  <si>
    <t>['FV554 S1D1 m9224-9235']</t>
  </si>
  <si>
    <t>LINESTRING Z (-47727.6599121094 6623025.79998779 68.309, -47727.6201171875 6623025.72998047 68.309, -47727.5900878906 6623025.63000488 68.309, -47727.580078125 6623025.51000977 68.309, -47727.5900878906 6623025.36999512 68.299, -47727.6499023437 6623025.23999023 68.309, -47727.7700195313 6623025.13000488 68.309, -47727.830078125 6623025.08001709 68.289, -47728.2600097656 6623024.86999512 68.289, -47729.2900390625 6623024.42999268 68.309, -47730.3400878906 6623023.89001465 68.319, -47731.3500976563 6623023.26000977 68.299, -47732.3798828125 6623022.59997559 68.279, -47732.4699707031 6623022.58001709 68.289, -47732.6000976563 6623022.55999756 68.279, -47732.7199707031 6623022.57000732 68.279, -47732.8798828125 6623022.65002441 68.289, -47733 6623022.78997803 68.289, -47733.0300292969 6623022.84997559 68.289, -47733.2099609375 6623024.09002686 68.339, -47733.4099121094 6623025.22998047 68.379, -47733.6298828125 6623026.44000244 68.399, -47733.8601074219 6623027.64001465 68.399, -47734.1298828125 6623028.80999756 68.419, -47734.4099121094 6623029.91998291 68.429, -47734.7399902344 6623031.11999512 68.439, -47735.1000976563 6623032.25 68.459, -47735.4299316406 6623033.2800293 68.459)</t>
  </si>
  <si>
    <t>POLYGON Z ((-47727.6599121094 6623025.79998779 68.309, -47727.6201171875 6623025.72998047 68.309, -47727.5900878906 6623025.63000488 68.309, -47727.580078125 6623025.51000977 68.309, -47727.5900878906 6623025.36999512 68.299, -47727.6499023437 6623025.23999023 68.309, -47727.7700195313 6623025.13000488 68.309, -47727.830078125 6623025.08001709 68.289, -47728.2600097656 6623024.86999512 68.289, -47729.2900390625 6623024.42999268 68.309, -47730.3400878906 6623023.89001465 68.319, -47731.3500976563 6623023.26000977 68.299, -47732.3798828125 6623022.59997559 68.279, -47732.4699707031 6623022.58001709 68.289, -47732.6000976563 6623022.55999756 68.279, -47732.7199707031 6623022.57000732 68.279, -47732.8798828125 6623022.65002441 68.289, -47733 6623022.78997803 68.289, -47733.0300292969 6623022.84997559 68.289, -47733.2099609375 6623024.09002686 68.339, -47733.4099121094 6623025.22998047 68.379, -47733.6298828125 6623026.44000244 68.399, -47733.8601074219 6623027.64001465 68.399, -47734.1298828125 6623028.80999756 68.419, -47734.4099121094 6623029.91998291 68.429, -47734.7399902344 6623031.11999512 68.439, -47735.1000976563 6623032.25 68.459, -47735.4299316406 6623033.2800293 68.459, -47727.6599121094 6623025.79998779 68.309))</t>
  </si>
  <si>
    <t>2025-11-22T09:08:50Z</t>
  </si>
  <si>
    <t>['FV554 S1D1 m9235-9236']</t>
  </si>
  <si>
    <t>LINESTRING Z (-47735.4299316406 6623033.2800293 68.459, -47735.4499511719 6623033.66998291 68.459, -47735.1799316406 6623033.95001221 68.469)</t>
  </si>
  <si>
    <t>POLYGON Z ((-47735.4299316406 6623033.2800293 68.459, -47735.4499511719 6623033.66998291 68.459, -47735.1799316406 6623033.95001221 68.469, -47735.4299316406 6623033.2800293 68.459))</t>
  </si>
  <si>
    <t>2020-10-05</t>
  </si>
  <si>
    <t>['FV256 S1D1 m3566-3651']</t>
  </si>
  <si>
    <t>LINESTRING (220254.33935309114 6562140.176429165, 220320.67771825456 6562193.256608794)</t>
  </si>
  <si>
    <t>POINT (220287.50853567285 6562166.7165189795)</t>
  </si>
  <si>
    <t>[381]</t>
  </si>
  <si>
    <t>['FV381 S1D1 m582-592']</t>
  </si>
  <si>
    <t>LINESTRING Z (267796.03977655177 6572089.688843683 8.07, 267797.33441458154 6572085.222183379 7.97, 267798.14003208023 6572080.568602421 7.94, 267798.50070252374 6572080.335137632 7.94, 267799.97794716875 6572080.563470119 7.930000000000001, 267800.1071966757 6572080.993820284 7.94, 267799.1368222116 6572085.491491558 7.96, 267797.3507110985 6572090.745893361 8.14, 267797.0451867783 6572091.145159765 8.14, 267796.2619415612 6572090.703509788 8.11, 267796.03977655177 6572089.688843683 8.07)</t>
  </si>
  <si>
    <t>POLYGON Z ((267796.03977655177 6572089.688843683 8.07, 267797.33441458154 6572085.222183379 7.97, 267798.14003208023 6572080.568602421 7.94, 267798.50070252374 6572080.335137632 7.94, 267799.97794716875 6572080.563470119 7.930000000000001, 267800.1071966757 6572080.993820284 7.94, 267799.1368222116 6572085.491491558 7.96, 267797.3507110985 6572090.745893361 8.14, 267797.0451867783 6572091.145159765 8.14, 267796.2619415612 6572090.703509788 8.11, 267796.03977655177 6572089.688843683 8.07))</t>
  </si>
  <si>
    <t>['FV381 S1D1 m578 KD1 m1-27']</t>
  </si>
  <si>
    <t>LINESTRING Z (267802.0107672168 6572074.814652326 7.8500000000000005, 267803.16853514453 6572074.6197561985 7.8500000000000005, 267804.27932306915 6572074.238229975 7.8500000000000005, 267805.3159349202 6572073.702665342 7.87, 267806.25664291054 6572072.9949315945 7.91, 267807.07515024114 6572072.1575850425 7.88, 267807.7524269332 6572071.202388852 7.9, 267808.2803069027 6572070.150171542 7.88, 267808.6216294542 6572069.034424064 7.87, 267808.7981223812 6572067.873277129 7.88, 267808.78258961183 6572066.699322421 7.87, 267808.58769357763 6572065.54155454 7.88, 267808.2061674556 6572064.430766632 7.87, 267807.6706029271 6572063.394154767 7.88, 267806.9628692707 6572062.453446729 7.83, 267806.12552279176 6572061.634939326 7.84, 267805.1703266481 6572060.957662542 7.79, 267804.11810935556 6572060.42978247 7.7700000000000005, 267803.0023618623 6572060.088459817 7.8, 267801.8412148829 6572059.911966798 7.7700000000000005, 267800.6672601006 6572059.927499492 7.75, 267799.5094921284 6572060.122395479 7.7700000000000005, 267798.39870411763 6572060.503921585 7.74, 267797.3620921497 6572061.039486127 7.75, 267796.42138401954 6572061.747219831 7.74, 267795.6028765425 6572062.584566382 7.72, 267794.9255997113 6572063.539762619 7.74, 267794.39771962183 6572064.591980014 7.73, 267794.0563969845 6572065.707727609 7.7, 267793.87990401057 6572066.868874681 7.72, 267793.8954367793 6572068.042829536 7.68, 267794.0903328578 6572069.200597557 7.7, 267794.47185906593 6572070.311385584 7.74, 267795.00742371165 6572071.347997538 7.78, 267795.715157508 6572072.288705622 7.78, 267796.5525041329 6572073.107213023 7.8, 267797.50770041614 6572073.784489763 7.83, 267798.55991782836 6572074.312369749 7.84, 267799.6756654073 6572074.653692286 7.92, 267800.8368124337 6572074.830185168 7.82, 267802.0107672168 6572074.814652326 7.8500000000000005)</t>
  </si>
  <si>
    <t>POLYGON Z ((267802.0107672168 6572074.814652326 7.8500000000000005, 267803.16853514453 6572074.6197561985 7.8500000000000005, 267804.27932306915 6572074.238229975 7.8500000000000005, 267805.3159349202 6572073.702665342 7.87, 267806.25664291054 6572072.9949315945 7.91, 267807.07515024114 6572072.1575850425 7.88, 267807.7524269332 6572071.202388852 7.9, 267808.2803069027 6572070.150171542 7.88, 267808.6216294542 6572069.034424064 7.87, 267808.7981223812 6572067.873277129 7.88, 267808.78258961183 6572066.699322421 7.87, 267808.58769357763 6572065.54155454 7.88, 267808.2061674556 6572064.430766632 7.87, 267807.6706029271 6572063.394154767 7.88, 267806.9628692707 6572062.453446729 7.83, 267806.12552279176 6572061.634939326 7.84, 267805.1703266481 6572060.957662542 7.79, 267804.11810935556 6572060.42978247 7.7700000000000005, 267803.0023618623 6572060.088459817 7.8, 267801.8412148829 6572059.911966798 7.7700000000000005, 267800.6672601006 6572059.927499492 7.75, 267799.5094921284 6572060.122395479 7.7700000000000005, 267798.39870411763 6572060.503921585 7.74, 267797.3620921497 6572061.039486127 7.75, 267796.42138401954 6572061.747219831 7.74, 267795.6028765425 6572062.584566382 7.72, 267794.9255997113 6572063.539762619 7.74, 267794.39771962183 6572064.591980014 7.73, 267794.0563969845 6572065.707727609 7.7, 267793.87990401057 6572066.868874681 7.72, 267793.8954367793 6572068.042829536 7.68, 267794.0903328578 6572069.200597557 7.7, 267794.47185906593 6572070.311385584 7.74, 267795.00742371165 6572071.347997538 7.78, 267795.715157508 6572072.288705622 7.78, 267796.5525041329 6572073.107213023 7.8, 267797.50770041614 6572073.784489763 7.83, 267798.55991782836 6572074.312369749 7.84, 267799.6756654073 6572074.653692286 7.92, 267800.8368124337 6572074.830185168 7.82, 267802.0107672168 6572074.814652326 7.8500000000000005))</t>
  </si>
  <si>
    <t>2023-07-24</t>
  </si>
  <si>
    <t>2025-11-22T09:08:51Z</t>
  </si>
  <si>
    <t>['EV18 S35D10 m564 KD1 m47-53']</t>
  </si>
  <si>
    <t>LINESTRING (226818.79086611193 6569572.668597825, 226819.35650531645 6569572.244033457, 226822.3533074272 6569571.932756396, 226822.98076393537 6569572.636338036)</t>
  </si>
  <si>
    <t>POLYGON ((226818.79086611193 6569572.668597825, 226819.35650531645 6569572.244033457, 226822.3533074272 6569571.932756396, 226822.98076393537 6569572.636338036, 226818.79086611193 6569572.668597825))</t>
  </si>
  <si>
    <t>['FV117 S2D100 m2451-2456']</t>
  </si>
  <si>
    <t>LINESTRING Z (263251.35430644325 6568659.824929989 14.57, 263249.69497086294 6568656.910558985 14.65, 263248.07887608826 6568653.0278583085 14.69, 263248.2338214762 6568652.963649081 14.68, 263249.9877420247 6568652.694909727 14.73, 263251.0220788326 6568652.913025924 14.77, 263251.86415524536 6568653.449871024 14.89, 263252.4469890676 6568654.231118858 14.85, 263252.8530734899 6568655.168958156 14.81, 263253.04097827245 6568655.91551204 14.790000000000001, 263252.96432239685 6568656.73616422 14.72, 263252.71286705055 6568657.512309352 14.66, 263252.28646032297 6568658.464976028 14.61, 263251.35430644325 6568659.824929989 14.57)</t>
  </si>
  <si>
    <t>POLYGON Z ((263251.35430644325 6568659.824929989 14.57, 263249.69497086294 6568656.910558985 14.65, 263248.07887608826 6568653.0278583085 14.69, 263248.2338214762 6568652.963649081 14.68, 263249.9877420247 6568652.694909727 14.73, 263251.0220788326 6568652.913025924 14.77, 263251.86415524536 6568653.449871024 14.89, 263252.4469890676 6568654.231118858 14.85, 263252.8530734899 6568655.168958156 14.81, 263253.04097827245 6568655.91551204 14.790000000000001, 263252.96432239685 6568656.73616422 14.72, 263252.71286705055 6568657.512309352 14.66, 263252.28646032297 6568658.464976028 14.61, 263251.35430644325 6568659.824929989 14.57))</t>
  </si>
  <si>
    <t>['FV108 S1D1 m1629-1632']</t>
  </si>
  <si>
    <t>LINESTRING Z (267697.22813543945 6570719.852420456 3.43, 267701.9587050353 6570717.94882984 3.52, 267706.2706855803 6570716.193514134 3.59, 267710.2845519695 6570714.585648075 3.65, 267713.9559498848 6570713.079005053 3.69, 267717.4542782524 6570711.658299406 3.74, 267721.38116001675 6570710.08841996 3.7800000000000002, 267727.69190655637 6570707.550000454 3.8200000000000003, 267733.0712237276 6570705.376909977 3.85, 267738.81930628396 6570703.060040785 3.86, 267743.77186791983 6570701.0560538 3.86, 267750.6870076488 6570698.201907913 3.84, 267756.0782347655 6570695.826828032 3.8000000000000003, 267758.11970482895 6570694.84900104 3.7800000000000002, 267758.2927742314 6570694.763063804 3.7800000000000002, 267758.7630584033 6570694.51971252 3.7800000000000002, 267759.2116149907 6570694.258230267 3.77, 267759.5488362034 6570693.876199262 3.75, 267759.71755773085 6570693.51941851 3.74, 267759.74490207795 6570693.265806803 3.73, 267759.5876359235 6570692.747571701 3.74, 267759.316115092 6570692.410424431 3.73, 267758.8362360234 6570692.1021240195 3.72, 267758.31357909564 6570692.099056817 3.71, 267757.5815168747 6570692.335892175 3.71, 267755.37978736963 6570693.20763078 3.72, 267750.20253518585 6570695.282120986 3.73, 267743.2711366456 6570698.067413393 3.73, 267736.301677509 6570700.876232008 3.73, 267730.56355943053 6570703.192201987 3.72, 267723.98099626286 6570705.835514661 3.69, 267715.9650270332 6570709.070276074 3.62, 267709.7901882583 6570711.556249153 3.54, 267705.46824313654 6570713.312463796 3.48, 267701.2024891117 6570715.023425062 3.41, 267696.133946816 6570717.078061739 3.34, 267697.22813543945 6570719.852420456 3.43)</t>
  </si>
  <si>
    <t>POLYGON Z ((267697.22813543945 6570719.852420456 3.43, 267701.9587050353 6570717.94882984 3.52, 267706.2706855803 6570716.193514134 3.59, 267710.2845519695 6570714.585648075 3.65, 267713.9559498848 6570713.079005053 3.69, 267717.4542782524 6570711.658299406 3.74, 267721.38116001675 6570710.08841996 3.7800000000000002, 267727.69190655637 6570707.550000454 3.8200000000000003, 267733.0712237276 6570705.376909977 3.85, 267738.81930628396 6570703.060040785 3.86, 267743.77186791983 6570701.0560538 3.86, 267750.6870076488 6570698.201907913 3.84, 267756.0782347655 6570695.826828032 3.8000000000000003, 267758.11970482895 6570694.84900104 3.7800000000000002, 267758.2927742314 6570694.763063804 3.7800000000000002, 267758.7630584033 6570694.51971252 3.7800000000000002, 267759.2116149907 6570694.258230267 3.77, 267759.5488362034 6570693.876199262 3.75, 267759.71755773085 6570693.51941851 3.74, 267759.74490207795 6570693.265806803 3.73, 267759.5876359235 6570692.747571701 3.74, 267759.316115092 6570692.410424431 3.73, 267758.8362360234 6570692.1021240195 3.72, 267758.31357909564 6570692.099056817 3.71, 267757.5815168747 6570692.335892175 3.71, 267755.37978736963 6570693.20763078 3.72, 267750.20253518585 6570695.282120986 3.73, 267743.2711366456 6570698.067413393 3.73, 267736.301677509 6570700.876232008 3.73, 267730.56355943053 6570703.192201987 3.72, 267723.98099626286 6570705.835514661 3.69, 267715.9650270332 6570709.070276074 3.62, 267709.7901882583 6570711.556249153 3.54, 267705.46824313654 6570713.312463796 3.48, 267701.2024891117 6570715.023425062 3.41, 267696.133946816 6570717.078061739 3.34, 267697.22813543945 6570719.852420456 3.43))</t>
  </si>
  <si>
    <t>['FV108 S1D1 m2278-2283']</t>
  </si>
  <si>
    <t>LINESTRING Z (268055.5464237863 6570174.393127881 5.8, 268055.2237363953 6570174.713570533 5.8100000000000005, 268054.72258503357 6570175.060161761 5.8, 268052.57218119275 6570176.389361908 5.86, 268052.18985494104 6570176.494179464 5.86, 268051.80220845377 6570176.428699439 5.79, 268051.57774109114 6570176.167672377 5.8500000000000005, 268051.43126685644 6570175.769013324 5.8500000000000005, 268051.3662333477 6570175.493600517 5.82, 268051.3709521501 6570175.211893945 5.8100000000000005, 268051.51150471985 6570174.9882512735 5.82, 268054.15354187996 6570172.6502997475 5.73, 268054.295818246 6570172.557096194 5.72, 268054.62090528186 6570172.70858691 5.79, 268055.07868222403 6570173.551306955 5.8, 268055.5464237863 6570174.393127881 5.8)</t>
  </si>
  <si>
    <t>POLYGON Z ((268055.5464237863 6570174.393127881 5.8, 268055.2237363953 6570174.713570533 5.8100000000000005, 268054.72258503357 6570175.060161761 5.8, 268052.57218119275 6570176.389361908 5.86, 268052.18985494104 6570176.494179464 5.86, 268051.80220845377 6570176.428699439 5.79, 268051.57774109114 6570176.167672377 5.8500000000000005, 268051.43126685644 6570175.769013324 5.8500000000000005, 268051.3662333477 6570175.493600517 5.82, 268051.3709521501 6570175.211893945 5.8100000000000005, 268051.51150471985 6570174.9882512735 5.82, 268054.15354187996 6570172.6502997475 5.73, 268054.295818246 6570172.557096194 5.72, 268054.62090528186 6570172.70858691 5.79, 268055.07868222403 6570173.551306955 5.8, 268055.5464237863 6570174.393127881 5.8))</t>
  </si>
  <si>
    <t>2025-11-28T06:58:38Z</t>
  </si>
  <si>
    <t>['FV108 S1D1 m2286-2293']</t>
  </si>
  <si>
    <t>LINESTRING Z (268058.18224757386 6570173.210997392 5.7700000000000005, 268057.76605290145 6570172.495120045 5.78, 268057.02956443885 6570171.235535543 5.78, 268057.9131164638 6570170.673616933 5.78, 268060.38605880865 6570169.244994071 5.76, 268063.7235229922 6570167.266215536 5.66, 268064.1076474297 6570167.18132725 5.63, 268064.3857575355 6570167.146187612 5.63, 268064.76059318415 6570167.40369266 5.65, 268065.209980376 6570168.598770594 5.69, 268065.6340437003 6570169.735859053 5.66, 268065.6834946524 6570170.283912857 5.7, 268065.5564287158 6570170.657024717 5.7, 268065.3515929257 6570170.836238934 5.73, 268064.1293929017 6570171.207707454 5.74, 268061.70769379695 6570171.868230278 5.73, 268058.18224757386 6570173.210997392 5.7700000000000005)</t>
  </si>
  <si>
    <t>POLYGON Z ((268058.18224757386 6570173.210997392 5.7700000000000005, 268057.76605290145 6570172.495120045 5.78, 268057.02956443885 6570171.235535543 5.78, 268057.9131164638 6570170.673616933 5.78, 268060.38605880865 6570169.244994071 5.76, 268063.7235229922 6570167.266215536 5.66, 268064.1076474297 6570167.18132725 5.63, 268064.3857575355 6570167.146187612 5.63, 268064.76059318415 6570167.40369266 5.65, 268065.209980376 6570168.598770594 5.69, 268065.6340437003 6570169.735859053 5.66, 268065.6834946524 6570170.283912857 5.7, 268065.5564287158 6570170.657024717 5.7, 268065.3515929257 6570170.836238934 5.73, 268064.1293929017 6570171.207707454 5.74, 268061.70769379695 6570171.868230278 5.73, 268058.18224757386 6570173.210997392 5.7700000000000005))</t>
  </si>
  <si>
    <t>2025-12-10T11:48:53Z</t>
  </si>
  <si>
    <t>['FV118 S8D20 m22-25']</t>
  </si>
  <si>
    <t>LINESTRING Z (258505.9010171799 6590525.004040886 32.88, 258504.3040401921 6590526.564997751 32.96, 258505.6276872894 6590528.093006717 32.95, 258506.23185585576 6590528.219231554 32.94, 258506.75095266697 6590528.182352185 32.95, 258507.16054281575 6590527.934343803 32.95, 258507.49868581296 6590527.451672357 32.95, 258507.47098261438 6590526.700670918 32.910000000000004, 258507.16779840965 6590526.125273991 32.92, 258506.5991543596 6590525.614061477 32.9, 258505.9010171799 6590525.004040886 32.88)</t>
  </si>
  <si>
    <t>POLYGON Z ((258505.9010171799 6590525.004040886 32.88, 258504.3040401921 6590526.564997751 32.96, 258505.6276872894 6590528.093006717 32.95, 258506.23185585576 6590528.219231554 32.94, 258506.75095266697 6590528.182352185 32.95, 258507.16054281575 6590527.934343803 32.95, 258507.49868581296 6590527.451672357 32.95, 258507.47098261438 6590526.700670918 32.910000000000004, 258507.16779840965 6590526.125273991 32.92, 258506.5991543596 6590525.614061477 32.9, 258505.9010171799 6590525.004040886 32.88))</t>
  </si>
  <si>
    <t>['FV118 S8D20 m266-272']</t>
  </si>
  <si>
    <t>LINESTRING Z (258697.9799865775 6590684.211462794 44.59, 258699.49391166784 6590682.065256741 44.61, 258699.47065615637 6590681.474602027 44.58, 258699.17912726916 6590681.13927423 44.57, 258695.57894546218 6590679.656322435 44.43, 258694.80716947227 6590679.565343964 44.45, 258694.17744301737 6590679.823206369 44.410000000000004, 258697.09223060243 6590684.171155968 44.6, 258697.9799865775 6590684.211462794 44.59)</t>
  </si>
  <si>
    <t>POLYGON Z ((258697.9799865775 6590684.211462794 44.59, 258699.49391166784 6590682.065256741 44.61, 258699.47065615637 6590681.474602027 44.58, 258699.17912726916 6590681.13927423 44.57, 258695.57894546218 6590679.656322435 44.43, 258694.80716947227 6590679.565343964 44.45, 258694.17744301737 6590679.823206369 44.410000000000004, 258697.09223060243 6590684.171155968 44.6, 258697.9799865775 6590684.211462794 44.59))</t>
  </si>
  <si>
    <t>2021-06-24</t>
  </si>
  <si>
    <t>[4448]</t>
  </si>
  <si>
    <t>['FV4448 S1D1 m4127-4136']</t>
  </si>
  <si>
    <t>LINESTRING (-45125.76743462763 6547124.256644276, -45119.8025620766 6547119.126120188)</t>
  </si>
  <si>
    <t>POINT (-45122.784998352116 6547121.691382232)</t>
  </si>
  <si>
    <t>['EV6 S203D1 m2866-3049']</t>
  </si>
  <si>
    <t>LINESTRING Z (809697.379882813 7778467.74023438 66.44, 809690.159912109 7778470.30078125 66.33, 809671.909912109 7778476.93945313 66.04, 809637.409912109 7778489.41992188 65.62, 809622.010009766 7778495.27929687 65.52, 809607.520019531 7778500.91992188 65.51, 809589.939941406 7778507.72070313 65.55, 809564.330078125 7778517.76953125 65.66, 809545.290039063 7778525.41992188 65.74, 809535.600097656 7778529.5703125 65.79, 809527.949951172 7778532.91015625 65.82, 809526.729980469 7778533.99023438 65.83, 809527.070068359 7778535.38085938 65.87, 809527.959960938 7778535.75 65.89, 809528.719970703 7778535.5703125 65.89, 809531.439941406 7778534.41992188 65.88, 809544.550048828 7778528.76953125 65.84, 809553.949951172 7778524.74023438 65.8, 809563.389892578 7778521.01953125 65.77, 809570.469970703 7778519.0390625 65.73, 809584.699951172 7778514.93945313 65.61, 809598.729980469 7778508.65039063 65.56, 809613.25 7778502.31054688 65.53, 809627.290039062 7778496.26953125 65.56, 809642.419921875 7778489.86914062 65.65, 809657.770019531 7778483.5 65.86, 809672.340087891 7778477.52929688 66.03, 809690.280029297 7778470.58007813 66.33)</t>
  </si>
  <si>
    <t>POLYGON Z ((809697.379882813 7778467.74023438 66.44, 809690.159912109 7778470.30078125 66.33, 809671.909912109 7778476.93945313 66.04, 809637.409912109 7778489.41992188 65.62, 809622.010009766 7778495.27929687 65.52, 809607.520019531 7778500.91992188 65.51, 809589.939941406 7778507.72070313 65.55, 809564.330078125 7778517.76953125 65.66, 809545.290039063 7778525.41992188 65.74, 809535.600097656 7778529.5703125 65.79, 809527.949951172 7778532.91015625 65.82, 809526.729980469 7778533.99023438 65.83, 809527.070068359 7778535.38085938 65.87, 809527.959960938 7778535.75 65.89, 809528.719970703 7778535.5703125 65.89, 809531.439941406 7778534.41992188 65.88, 809544.550048828 7778528.76953125 65.84, 809553.949951172 7778524.74023438 65.8, 809563.389892578 7778521.01953125 65.77, 809570.469970703 7778519.0390625 65.73, 809584.699951172 7778514.93945313 65.61, 809598.729980469 7778508.65039063 65.56, 809613.25 7778502.31054688 65.53, 809627.290039062 7778496.26953125 65.56, 809642.419921875 7778489.86914062 65.65, 809657.770019531 7778483.5 65.86, 809672.340087891 7778477.52929688 66.03, 809690.280029297 7778470.58007813 66.33, 809697.379882813 7778467.74023438 66.44))</t>
  </si>
  <si>
    <t>['EV6 S203D1 m2731-2855']</t>
  </si>
  <si>
    <t>LINESTRING Z (809404.669921875 7778592.52929688 66.54, 809408.600097656 7778590.84960938 66.53, 809412 7778589.27929688 66.52, 809421.729980469 7778584.90039063 66.51, 809431.300048828 7778580.49023438 66.39, 809439.260009766 7778577.0390625 66.37, 809443.949951172 7778574.890625 66.33, 809448.850097656 7778572.76953125 66.32, 809455.050048828 7778570.09960938 66.26, 809468.689941406 7778564.27929688 66.16, 809476.409912109 7778561.02929687 66.1, 809485.959960938 7778557.2109375 66.05, 809493.899902344 7778553.97070313 66, 809499.439941406 7778551.81054688 65.96, 809503.860107422 7778550.06054688 65.93, 809507.550048828 7778548.02929688 65.94, 809511.179931641 7778545.27929687 65.96, 809513.889892578 7778542.51953125 65.96, 809515.949951172 7778539.98046875 65.92, 809516.360107422 7778538.9296875 65.89, 809515.629882813 7778538.44921875 65.86, 809511.350097656 7778540.23046875 65.86, 809505.239990234 7778543.18945313 65.91, 809499.25 7778546.08007813 65.95, 809491.139892578 7778550.02929688 66, 809486.580078125 7778552.23046875 66.02, 809474.979980469 7778557.81054688 66.1, 809466.580078125 7778561.90039063 66.16, 809459.149902344 7778565.56054688 66.22, 809453.560058594 7778568.33984375 66.26, 809447.639892578 7778571.33007813 66.3, 809442.5 7778573.88085938 66.32, 809438.169921875 7778576.02929688 66.36, 809431 7778579.7890625 66.39, 809421.389892578 7778584.4296875 66.46, 809411.889892578 7778588.9296875 66.51, 809408.429931641 7778590.58007813 66.52)</t>
  </si>
  <si>
    <t>POLYGON Z ((809404.669921875 7778592.52929688 66.54, 809408.600097656 7778590.84960938 66.53, 809412 7778589.27929688 66.52, 809421.729980469 7778584.90039063 66.51, 809431.300048828 7778580.49023438 66.39, 809439.260009766 7778577.0390625 66.37, 809443.949951172 7778574.890625 66.33, 809448.850097656 7778572.76953125 66.32, 809455.050048828 7778570.09960938 66.26, 809468.689941406 7778564.27929688 66.16, 809476.409912109 7778561.02929687 66.1, 809485.959960938 7778557.2109375 66.05, 809493.899902344 7778553.97070313 66, 809499.439941406 7778551.81054688 65.96, 809503.860107422 7778550.06054688 65.93, 809507.550048828 7778548.02929688 65.94, 809511.179931641 7778545.27929687 65.96, 809513.889892578 7778542.51953125 65.96, 809515.949951172 7778539.98046875 65.92, 809516.360107422 7778538.9296875 65.89, 809515.629882813 7778538.44921875 65.86, 809511.350097656 7778540.23046875 65.86, 809505.239990234 7778543.18945313 65.91, 809499.25 7778546.08007813 65.95, 809491.139892578 7778550.02929688 66, 809486.580078125 7778552.23046875 66.02, 809474.979980469 7778557.81054688 66.1, 809466.580078125 7778561.90039063 66.16, 809459.149902344 7778565.56054688 66.22, 809453.560058594 7778568.33984375 66.26, 809447.639892578 7778571.33007813 66.3, 809442.5 7778573.88085938 66.32, 809438.169921875 7778576.02929688 66.36, 809431 7778579.7890625 66.39, 809421.389892578 7778584.4296875 66.46, 809411.889892578 7778588.9296875 66.51, 809408.429931641 7778590.58007813 66.52, 809404.669921875 7778592.52929688 66.54))</t>
  </si>
  <si>
    <t>['EV6 S203D1 m2587-2657']</t>
  </si>
  <si>
    <t>LINESTRING Z (809278.459960938 7778653.73046875 67.38, 809288.909912109 7778649.76953125 67.3, 809299.260009766 7778645.81054688 67.24, 809310.209960937 7778641.4609375 67.21, 809323.989990234 7778635.83984375 67.16, 809331.800048828 7778632.55078125 67.11, 809339.100097656 7778629.36914063 67.12, 809339.179931641 7778628.3203125 67.08, 809338.550048828 7778627.91015625 67.05, 809325.489990234 7778633.109375 67.09, 809314.080078125 7778637.76953125 67.13, 809297.719970703 7778644.31054688 67.21, 809284.649902344 7778649.27929688 67.29, 809277.120117188 7778652.09960938 67.34, 809274.649902344 7778653.05078125 67.33, 809274.320068359 7778654.06054688 67.39, 809274.840087891 7778654.63085938 67.42)</t>
  </si>
  <si>
    <t>POLYGON Z ((809278.459960938 7778653.73046875 67.38, 809288.909912109 7778649.76953125 67.3, 809299.260009766 7778645.81054688 67.24, 809310.209960937 7778641.4609375 67.21, 809323.989990234 7778635.83984375 67.16, 809331.800048828 7778632.55078125 67.11, 809339.100097656 7778629.36914063 67.12, 809339.179931641 7778628.3203125 67.08, 809338.550048828 7778627.91015625 67.05, 809325.489990234 7778633.109375 67.09, 809314.080078125 7778637.76953125 67.13, 809297.719970703 7778644.31054688 67.21, 809284.649902344 7778649.27929688 67.29, 809277.120117188 7778652.09960938 67.34, 809274.649902344 7778653.05078125 67.33, 809274.320068359 7778654.06054688 67.39, 809274.840087891 7778654.63085938 67.42, 809278.459960938 7778653.73046875 67.38))</t>
  </si>
  <si>
    <t>['FV283 S2D10 m359-380']</t>
  </si>
  <si>
    <t>LINESTRING Z (220852.332201798 6634300.32102315 -999999, 220854.99817295 6634299.74286073 -999999, 220857.246582355 6634299.29317885 -999999, 220859.527111895 6634298.93985737 -999999, 220862.000362241 6634298.55441576 -999999, 220863.702729362 6634298.42593522 -999999, 220865.694177692 6634298.29745468 -999999, 220867.525025351 6634298.32957481 -999999, 220870.415837443 6634298.55441576 -999999, 220872.728487117 6634298.81137683 -999999, 220874.206013298 6634299.13257817 -999999, 220874.59145491 6634298.52229562 -999999, 220865.82265823 6634296.27388622 -999999, 220852.781883679 6634293.19035332 -999999)</t>
  </si>
  <si>
    <t>POLYGON Z ((220852.332201798 6634300.32102315 -999999, 220854.99817295 6634299.74286073 -999999, 220857.246582355 6634299.29317885 -999999, 220859.527111895 6634298.93985737 -999999, 220862.000362241 6634298.55441576 -999999, 220863.702729362 6634298.42593522 -999999, 220865.694177692 6634298.29745468 -999999, 220867.525025351 6634298.32957481 -999999, 220870.415837443 6634298.55441576 -999999, 220872.728487117 6634298.81137683 -999999, 220874.206013298 6634299.13257817 -999999, 220874.59145491 6634298.52229562 -999999, 220865.82265823 6634296.27388622 -999999, 220852.781883679 6634293.19035332 -999999, 220852.332201798 6634300.32102315 -999999))</t>
  </si>
  <si>
    <t>['EV134 S45D1 m425 KD5 m5-25']</t>
  </si>
  <si>
    <t>LINESTRING Z (220823.677848941 6634275.67350874 -999999, 220818.302629642 6634271.64209427 -999999, 220813.163165577 6634267.82285951 -999999, 220809.8390168 6634265.15882538 -999999, 220807.340011337 6634263.1549059 -999999, 220807.009954011 6634263.53211428 -999999, 220810.286951742 6634266.83268753 -999999, 220812.007964938 6634269.04878671 -999999, 220813.04528796 6634270.53404468 -999999, 220815.002056389 6634273.71674031 -999999, 220816.982400341 6634277.18234223 -999999, 220818.161176503 6634279.65777217 -999999)</t>
  </si>
  <si>
    <t>POLYGON Z ((220823.677848941 6634275.67350874 -999999, 220818.302629642 6634271.64209427 -999999, 220813.163165577 6634267.82285951 -999999, 220809.8390168 6634265.15882538 -999999, 220807.340011337 6634263.1549059 -999999, 220807.009954011 6634263.53211428 -999999, 220810.286951742 6634266.83268753 -999999, 220812.007964938 6634269.04878671 -999999, 220813.04528796 6634270.53404468 -999999, 220815.002056389 6634273.71674031 -999999, 220816.982400341 6634277.18234223 -999999, 220818.161176503 6634279.65777217 -999999, 220823.677848941 6634275.67350874 -999999))</t>
  </si>
  <si>
    <t>2012-10-25</t>
  </si>
  <si>
    <t>['FV43 S5D1 m0 KD1 m26-43', 'FV43 S5D1 m0-11']</t>
  </si>
  <si>
    <t>LINESTRING Z (35239.0100097656 6473574.11999512 11.87, 35239.2299804688 6473573.67004395 11.85, 35239.5200195313 6473573.05004883 11.86, 35240.2299804688 6473572.70996094 11.89, 35241.1300048828 6473572.5300293 11.9, 35242.4000244141 6473572.5300293 11.94, 35243.6199951172 6473572.7800293 11.99, 35244.6999511719 6473573.10998535 12.02, 35245.6199951172 6473573.57995606 12.03, 35246.5400390625 6473574.18005371 12.03, 35247.3299560547 6473574.81994629 12.04, 35248.0799560547 6473575.56005859 12.07, 35248.7800292969 6473576.4699707 12.05, 35249.3100585938 6473577.33996582 12.06, 35249.8000488281 6473578.22998047 12.05, 35250.0300292969 6473579.18005371 12.04, 35250.2900390625 6473580.09997559 12.03, 35250.4100341797 6473581.10998535 11.96, 35250.2900390625 6473581.59997559 12, 35250.2299804688 6473581.76000977 11.97, 35249.9699707031 6473582.02001953 11.97, 35249.4399414063 6473582.25 12)</t>
  </si>
  <si>
    <t>POLYGON Z ((35239.0100097656 6473574.11999512 11.87, 35239.2299804688 6473573.67004395 11.85, 35239.5200195313 6473573.05004883 11.86, 35240.2299804688 6473572.70996094 11.89, 35241.1300048828 6473572.5300293 11.9, 35242.4000244141 6473572.5300293 11.94, 35243.6199951172 6473572.7800293 11.99, 35244.6999511719 6473573.10998535 12.02, 35245.6199951172 6473573.57995606 12.03, 35246.5400390625 6473574.18005371 12.03, 35247.3299560547 6473574.81994629 12.04, 35248.0799560547 6473575.56005859 12.07, 35248.7800292969 6473576.4699707 12.05, 35249.3100585938 6473577.33996582 12.06, 35249.8000488281 6473578.22998047 12.05, 35250.0300292969 6473579.18005371 12.04, 35250.2900390625 6473580.09997559 12.03, 35250.4100341797 6473581.10998535 11.96, 35250.2900390625 6473581.59997559 12, 35250.2299804688 6473581.76000977 11.97, 35249.9699707031 6473582.02001953 11.97, 35249.4399414063 6473582.25 12, 35239.0100097656 6473574.11999512 11.87))</t>
  </si>
  <si>
    <t>['EV6 S45D1 m8722-8732']</t>
  </si>
  <si>
    <t>LINESTRING Z (242081.43311288801 6831254.626269133 194.438, 242081.08643781385 6831254.987523729 194.441, 242078.4241999277 6831258.651824896 194.461, 242075.6193201793 6831262.550362546 194.49)</t>
  </si>
  <si>
    <t>POINT (242078.49674188482 6831258.564186352)</t>
  </si>
  <si>
    <t>['EV6 S45D1 m8818-8827']</t>
  </si>
  <si>
    <t>LINESTRING Z (242020.37328390172 6831324.0243890835 195.676, 242016.2813015134 6831327.124713138 195.801, 242013.2542041081 6831329.474781311 195.825)</t>
  </si>
  <si>
    <t>POINT (242016.80588882318 6831326.739343211)</t>
  </si>
  <si>
    <t>['EV6 S45D1 m8897-8907']</t>
  </si>
  <si>
    <t>LINESTRING Z (241950.39650450213 6831361.892816627 197.191, 241945.8168495164 6831363.464524518 197.301, 241940.90211951552 6831364.8376707025 197.398)</t>
  </si>
  <si>
    <t>POINT (241945.67076195363 6831363.434213391)</t>
  </si>
  <si>
    <t>['EV6 S45D1 m9039-9050']</t>
  </si>
  <si>
    <t>LINESTRING Z (241807.95890540787 6831390.754220331 197.914, 241801.79021288594 6831391.774078303 197.96, 241797.89560553472 6831392.512242875 198, 241797.842526718 6831392.516208672 198.001)</t>
  </si>
  <si>
    <t>POINT (241802.89609281934 6831391.6099163275)</t>
  </si>
  <si>
    <t>['EV6 S45D1 m9118-9127']</t>
  </si>
  <si>
    <t>LINESTRING Z (241730.5229686127 6831404.477974356 198.585, 241727.62856877488 6831405.029674586 198.61, 241721.3089848605 6831406.172752115 198.595)</t>
  </si>
  <si>
    <t>POINT (241725.9177114981 6831405.334702975)</t>
  </si>
  <si>
    <t>['EV6 S45D1 m9188-9198']</t>
  </si>
  <si>
    <t>LINESTRING Z (241660.99805984867 6831419.065448093 198.765, 241658.01414295248 6831419.847491326 198.79, 241654.46298663042 6831420.895533644 198.78, 241651.6299963405 6831421.554504216 198.773)</t>
  </si>
  <si>
    <t>POINT (241656.3205403649 6831420.336435554)</t>
  </si>
  <si>
    <t>['EV6 S46D1 m18-28']</t>
  </si>
  <si>
    <t>LINESTRING Z (241557.70700489587 6831451.048276914 199.346, 241550.10727953078 6831453.628966196 199.379, 241548.28280936598 6831454.212599675 199.379, 241548.22973141368 6831454.21656933 199.379)</t>
  </si>
  <si>
    <t>POINT (241552.97394743422 6831452.6518424675)</t>
  </si>
  <si>
    <t>['EV6 S46D1 m89-99']</t>
  </si>
  <si>
    <t>LINESTRING Z (241488.99502406406 6831467.926265355 198.832, 241485.12034758978 6831468.216119113 198.749, 241480.72321061176 6831468.65685806 198.709, 241479.28179443325 6831468.652893273 198.709)</t>
  </si>
  <si>
    <t>POINT (241484.1388993614 6831468.323153737)</t>
  </si>
  <si>
    <t>['EV6 S37D10 m107-129']</t>
  </si>
  <si>
    <t>LINESTRING Z (254909.99378656448 6784218.087004811 126.038, 254910.60836470363 6784217.597219753 126.03, 254913.02837957372 6784215.86422731 126.04, 254916.9925952286 6784213.017975389 126.11, 254919.38981460925 6784211.7335316725 126.05, 254921.89463182673 6784210.441591661 126.14, 254926.63572473882 6784208.658602187 126.25, 254930.50099728382 6784207.495343582 126.341)</t>
  </si>
  <si>
    <t>POINT (254919.86069797364 6784212.033966574)</t>
  </si>
  <si>
    <t>['FV540 S1D1 m3667 KD1 m0-79']</t>
  </si>
  <si>
    <t>LINESTRING (-34629.27111463074 6730022.94239166, -34627.79212658154 6730022.948397921, -34625.116733292234 6730023.770799015, -34623.91539571376 6730024.620358005, -34622.93589907535 6730025.559409813, -34621.8078759138 6730027.459414681, -34621.19586169382 6730029.277977662, -34621.13329494011 6730030.714989506, -34621.25478842156 6730032.04378544, -34621.70494039217 6730033.421464798, -34622.50291743758 6730034.907375347, -34623.876065288205 6730036.252848105, -34625.277728781104 6730037.2183846645, -34626.425814870396 6730037.705530268, -34627.6445847298 6730037.943304325, -34629.084668788826 6730038.010608201, -34630.25965684035 6730037.7898965785, -34631.57105118374 6730037.442582507, -34632.873164604884 6730036.743608089, -34633.9709813731 6730035.799559055, -34634.861202917644 6730034.745536984, -34635.517005548 6730033.38546276, -34635.96847128461 6730032.232282194, -34636.2107068738 6730030.867190862, -34636.10348213662 6730029.291929675, -34635.759598586825 6730027.952652737, -34635.49454145576 6730027.21266753, -34634.97533272358 6730026.299287603, -34634.364628073294 6730025.586986705, -34633.64766834688 6730024.72328931, -34632.76525941701 6730024.106168156, -34631.73166479764 6730023.489158875, -34630.934125048574 6730023.280139279, -34630.110296338564 6730023.022012258, -34629.276047425694 6730022.909227268)</t>
  </si>
  <si>
    <t>POLYGON ((-34629.27111463074 6730022.94239166, -34627.79212658154 6730022.948397921, -34625.116733292234 6730023.770799015, -34623.91539571376 6730024.620358005, -34622.93589907535 6730025.559409813, -34621.8078759138 6730027.459414681, -34621.19586169382 6730029.277977662, -34621.13329494011 6730030.714989506, -34621.25478842156 6730032.04378544, -34621.70494039217 6730033.421464798, -34622.50291743758 6730034.907375347, -34623.876065288205 6730036.252848105, -34625.277728781104 6730037.2183846645, -34626.425814870396 6730037.705530268, -34627.6445847298 6730037.943304325, -34629.084668788826 6730038.010608201, -34630.25965684035 6730037.7898965785, -34631.57105118374 6730037.442582507, -34632.873164604884 6730036.743608089, -34633.9709813731 6730035.799559055, -34634.861202917644 6730034.745536984, -34635.517005548 6730033.38546276, -34635.96847128461 6730032.232282194, -34636.2107068738 6730030.867190862, -34636.10348213662 6730029.291929675, -34635.759598586825 6730027.952652737, -34635.49454145576 6730027.21266753, -34634.97533272358 6730026.299287603, -34634.364628073294 6730025.586986705, -34633.64766834688 6730024.72328931, -34632.76525941701 6730024.106168156, -34631.73166479764 6730023.489158875, -34630.934125048574 6730023.280139279, -34630.110296338564 6730023.022012258, -34629.276047425694 6730022.909227268, -34629.27111463074 6730022.94239166))</t>
  </si>
  <si>
    <t>[5085]</t>
  </si>
  <si>
    <t>['KV5085 S1D1 m5-86']</t>
  </si>
  <si>
    <t>LINESTRING Z (267463.29 7035510.1 151.108, 267460.27 7035505.96 151.128, 267456.8 7035501.22 151.258, 267453.05 7035495.75 151.458, 267450 7035491.23 151.668, 267445.35 7035484.47 152.068, 267442.31 7035479.96 152.348, 267436.5 7035471.32 152.858, 267434.82 7035468.6 153.018, 267433.15 7035465.77 153.178, 267430 7035460.32 153.388, 267427.24 7035455.53 153.538, 267423.88 7035449.49 153.758, 267422.78 7035447.58 153.808, 267421.62 7035445.68 153.848, 267421.02 7035444.72 153.868, 267420.37 7035443.78 153.908, 267419.74 7035442.89 153.928, 267418.98 7035442 153.968, 267418.21 7035441.17 153.978, 267417.43 7035440.4 153.988, 267416.6 7035439.64 154.008, 267415.75 7035438.94 154.038, 267414.83 7035438.28 154.058, 267413.94 7035437.71 154.078, 267413 7035437.15 154.118, 267411.96 7035436.64 154.138, 267410.94 7035436.2 154.148, 267409.87 7035435.85 154.178, 267407.77 7035435.26 154.308, 267406.71 7035434.87 154.298, 267405.67 7035434.45 154.328, 267403.64 7035433.51 154.378, 267402.59 7035433.05 154.398, 267401.63 7035432.66 154.418, 267400.56 7035432.29 154.428, 267399.52 7035431.98 154.458, 267398.41 7035431.69 154.478, 267397.35 7035431.45 154.518, 267396.22 7035431.24 154.558, 267395.13 7035431.07 154.598, 267394.02 7035430.97 154.648, 267392.91 7035430.92 154.698, 267391.78 7035430.93 154.738, 267390.66 7035430.98 154.768, 267389.55 7035431.11 154.808, 267388.46 7035431.29 154.828, 267387.39 7035431.53 154.858, 267386.33 7035431.85 154.878, 267385.01 7035432.25 154.898, 267382.3 7035433.09 154.938, 267381.01 7035433.54 154.978, 267379.78 7035433.94 155.008, 267377.31 7035434.86 155.048, 267374.74 7035435.81 155.098, 267372.05 7035436.82 155.128, 267370.75 7035437.3 155.148, 267369.25 7035437.82 155.198, 267367.59 7035438.38 155.248, 267366.19 7035438.79 155.288, 267364.54 7035439.25 155.348, 267363.52 7035439.51 155.368, 267362.2 7035439.83 155.328, 267361.15 7035440.02 155.358, 267360.03 7035440.28 155.358, 267358.49 7035440.52 155.368)</t>
  </si>
  <si>
    <t>POINT (267417.897501208 7035458.1929908395)</t>
  </si>
  <si>
    <t>['FV118 S8D1 m5612-5618']</t>
  </si>
  <si>
    <t>LINESTRING Z (259009.02537142122 6589959.243561337 38.13, 259008.59382426133 6589959.915512862 38.15, 259008.15692861637 6589960.417154027 38.1, 259007.0920519826 6589961.307102444 38.17, 259006.21752898223 6589961.9688632535 38.19, 259005.20473122972 6589961.990088112 38.21, 259004.0916618094 6589961.457761989 38.18, 259003.60370186306 6589960.838789073 38.15, 259005.62462531804 6589959.299803897 38.08, 259007.11125189136 6589959.185513888 38.230000000000004, 259009.02537142122 6589959.243561337 38.13)</t>
  </si>
  <si>
    <t>POLYGON Z ((259009.02537142122 6589959.243561337 38.13, 259008.59382426133 6589959.915512862 38.15, 259008.15692861637 6589960.417154027 38.1, 259007.0920519826 6589961.307102444 38.17, 259006.21752898223 6589961.9688632535 38.19, 259005.20473122972 6589961.990088112 38.21, 259004.0916618094 6589961.457761989 38.18, 259003.60370186306 6589960.838789073 38.15, 259005.62462531804 6589959.299803897 38.08, 259007.11125189136 6589959.185513888 38.230000000000004, 259009.02537142122 6589959.243561337 38.13))</t>
  </si>
  <si>
    <t>[5164]</t>
  </si>
  <si>
    <t>['FV5164 S1D1 m2959-2968']</t>
  </si>
  <si>
    <t>LINESTRING Z (-31456.525135796634 6720349.793658541 55.785, -31457.82534567162 6720350.109487457 55.773, -31458.5968612571 6720350.471681947 55.759, -31459.424463068135 6720351.214923478 55.742, -31460.128537147073 6720352.301451885 55.699, -31460.551484667696 6720353.391745962 55.667, -31460.759025904466 6720354.38252397 55.649, -31460.6471357767 6720355.789392874 55.64, -31460.012882053154 6720357.085408735 55.665, -31459.248909988324 6720357.966936072 55.658, -31458.203021133435 6720358.705258591 55.671, -31456.609169940464 6720359.125620757 55.695, -31454.967796617537 6720359.030641058 55.691, -31453.670242874185 6720358.658721591 55.693, -31452.225514743477 6720357.609924009 55.732, -31451.443944295985 6720356.478090001 55.766, -31451.096115542692 6720354.992192472 55.804, -31451.25221690454 6720353.094793666 55.811, -31451.930405140272 6720351.805249907 55.84, -31453.26705287944 6720350.5788309155 55.83, -31454.885155259282 6720349.879628263 55.83, -31456.525135796634 6720349.793658541 55.785)</t>
  </si>
  <si>
    <t>POLYGON Z ((-31456.525135796634 6720349.793658541 55.785, -31457.82534567162 6720350.109487457 55.773, -31458.5968612571 6720350.471681947 55.759, -31459.424463068135 6720351.214923478 55.742, -31460.128537147073 6720352.301451885 55.699, -31460.551484667696 6720353.391745962 55.667, -31460.759025904466 6720354.38252397 55.649, -31460.6471357767 6720355.789392874 55.64, -31460.012882053154 6720357.085408735 55.665, -31459.248909988324 6720357.966936072 55.658, -31458.203021133435 6720358.705258591 55.671, -31456.609169940464 6720359.125620757 55.695, -31454.967796617537 6720359.030641058 55.691, -31453.670242874185 6720358.658721591 55.693, -31452.225514743477 6720357.609924009 55.732, -31451.443944295985 6720356.478090001 55.766, -31451.096115542692 6720354.992192472 55.804, -31451.25221690454 6720353.094793666 55.811, -31451.930405140272 6720351.805249907 55.84, -31453.26705287944 6720350.5788309155 55.83, -31454.885155259282 6720349.879628263 55.83, -31456.525135796634 6720349.793658541 55.785))</t>
  </si>
  <si>
    <t>2014-10-14</t>
  </si>
  <si>
    <t>[5194]</t>
  </si>
  <si>
    <t>['FV5194 S1D1 m1149-1153']</t>
  </si>
  <si>
    <t>LINESTRING Z (-30326.9699707031 6725159.95996094 66.829, -30327.3800048828 6725157.0300293 66.719, -30327.3699951172 6725156.80004883 66.709, -30327.3300170898 6725156.62988281 66.699, -30327.1400146484 6725156.39990234 66.699, -30326.9400024414 6725156.33007813 66.699, -30326.7700195313 6725156.34008789 66.699, -30326.6400146484 6725156.38989258 66.699, -30326.5200195313 6725156.4699707 66.699, -30326.3800048828 6725156.68994141 66.709, -30324.9699707031 6725159.36010742 66.819, -30326.9699707031 6725159.95996094 66.829, -30327.3800048828 6725157.0300293 66.719, -30327.3699951172 6725156.80004883 66.709)</t>
  </si>
  <si>
    <t>2025-09-09</t>
  </si>
  <si>
    <t>2025-11-28T12:25:06Z</t>
  </si>
  <si>
    <t>['FV1320 S1D1 m4-6']</t>
  </si>
  <si>
    <t>LINESTRING Z (311474.22851489123 6569404.794557905 117.55, 311472.0526740317 6569404.719761428 117.65, 311471.31735904247 6569404.806197755 117.66, 311471.0890815846 6569404.947301768 117.67, 311470.9312824217 6569405.313014154 117.68, 311470.87032284215 6569405.750324817 117.69, 311470.88545574946 6569406.140600809 117.69, 311470.96492247574 6569406.464819003 117.69, 311471.12961753726 6569406.620673057 117.69, 311471.33056115557 6569406.73308781 117.69, 311471.6302157515 6569406.826553148 117.69, 311474.0596490933 6569406.818213778 117.64, 311481.81776520796 6569406.991811289 117.33, 311482.3141640014 6569406.706007906 117.32000000000001, 311482.5834053321 6569406.239860606 117.3, 311482.623470387 6569405.904856327 117.31, 311482.5839213041 6569405.4665731555 117.31, 311482.5106727755 6569405.322551493 117.31, 311482.26726243494 6569405.0733795455 117.31, 311482.0654199934 6569404.951003818 117.31, 311481.6063897251 6569404.871919967 117.33, 311474.22851489123 6569404.794557905 117.55)</t>
  </si>
  <si>
    <t>POLYGON Z ((311474.22851489123 6569404.794557905 117.55, 311472.0526740317 6569404.719761428 117.65, 311471.31735904247 6569404.806197755 117.66, 311471.0890815846 6569404.947301768 117.67, 311470.9312824217 6569405.313014154 117.68, 311470.87032284215 6569405.750324817 117.69, 311470.88545574946 6569406.140600809 117.69, 311470.96492247574 6569406.464819003 117.69, 311471.12961753726 6569406.620673057 117.69, 311471.33056115557 6569406.73308781 117.69, 311471.6302157515 6569406.826553148 117.69, 311474.0596490933 6569406.818213778 117.64, 311481.81776520796 6569406.991811289 117.33, 311482.3141640014 6569406.706007906 117.32000000000001, 311482.5834053321 6569406.239860606 117.3, 311482.623470387 6569405.904856327 117.31, 311482.5839213041 6569405.4665731555 117.31, 311482.5106727755 6569405.322551493 117.31, 311482.26726243494 6569405.0733795455 117.31, 311482.0654199934 6569404.951003818 117.31, 311481.6063897251 6569404.871919967 117.33, 311474.22851489123 6569404.794557905 117.55))</t>
  </si>
  <si>
    <t>['FV117 S3D1 m31-32']</t>
  </si>
  <si>
    <t>LINESTRING Z (265461.4695186757 6570739.784741562 2, 265460.05331779254 6570740.344507983 2, 265459.75070224894 6570740.442136043 1.99, 265459.48449727974 6570740.275283509 2.0100000000000002, 265459.2944142729 6570740.061378296 2.04, 265459.1325013845 6570739.714333618 2.08, 265459.14905626856 6570739.34113906 2.12, 265459.2425583188 6570739.041368958 2.1, 265459.4736956834 6570738.819593121 2.07, 265460.76215213 6570738.291445579 2.06, 265461.4695186757 6570739.784741562 2)</t>
  </si>
  <si>
    <t>POLYGON Z ((265461.4695186757 6570739.784741562 2, 265460.05331779254 6570740.344507983 2, 265459.75070224894 6570740.442136043 1.99, 265459.48449727974 6570740.275283509 2.0100000000000002, 265459.2944142729 6570740.061378296 2.04, 265459.1325013845 6570739.714333618 2.08, 265459.14905626856 6570739.34113906 2.12, 265459.2425583188 6570739.041368958 2.1, 265459.4736956834 6570738.819593121 2.07, 265460.76215213 6570738.291445579 2.06, 265461.4695186757 6570739.784741562 2))</t>
  </si>
  <si>
    <t>['FV117 S3D1 m36-38']</t>
  </si>
  <si>
    <t>LINESTRING Z (265464.1759742908 6570738.716757286 1.99, 265463.46321275877 6570737.163672354 2.04, 265465.09054734407 6570736.494440803 2.02, 265465.2590502777 6570736.469190099 2.0100000000000002, 265465.49356240185 6570736.618810481 2, 265465.8231530059 6570736.8201273205 2.0100000000000002, 265465.99960052146 6570737.105584667 2, 265466.03024624084 6570737.333876574 2, 265465.9475342224 6570737.753224614 1.99, 265465.7943171662 6570737.947877422 1.99, 265465.475294685 6570738.197675423 1.98, 265464.1759742908 6570738.716757286 1.99)</t>
  </si>
  <si>
    <t>POLYGON Z ((265464.1759742908 6570738.716757286 1.99, 265463.46321275877 6570737.163672354 2.04, 265465.09054734407 6570736.494440803 2.02, 265465.2590502777 6570736.469190099 2.0100000000000002, 265465.49356240185 6570736.618810481 2, 265465.8231530059 6570736.8201273205 2.0100000000000002, 265465.99960052146 6570737.105584667 2, 265466.03024624084 6570737.333876574 2, 265465.9475342224 6570737.753224614 1.99, 265465.7943171662 6570737.947877422 1.99, 265465.475294685 6570738.197675423 1.98, 265464.1759742908 6570738.716757286 1.99))</t>
  </si>
  <si>
    <t>2025-11-22T09:09:05Z</t>
  </si>
  <si>
    <t>['FV118 S8D1 m6354-6358']</t>
  </si>
  <si>
    <t>LINESTRING Z (258494.28983733093 6590491.5833043 32.57, 258493.06770127307 6590489.9556976035 32.92, 258493.94402698913 6590489.313860749 32.86, 258492.35621904346 6590488.864639383 32.78, 258490.14386471832 6590489.175148644 32.6, 258488.34887299148 6590489.990452904 32.55, 258487.4669744259 6590490.904055692 32.52, 258486.62105421798 6590492.32679009 32.5, 258487.2377230449 6590492.813567948 32.5, 258488.0502063944 6590493.021428942 32.52, 258489.1816354974 6590493.089943283 32.61, 258489.72516728754 6590493.101088895 32.660000000000004, 258492.72545825384 6590493.171454209 32.64, 258494.28983733093 6590491.5833043 32.68)</t>
  </si>
  <si>
    <t>POLYGON Z ((258494.28983733093 6590491.5833043 32.57, 258493.06770127307 6590489.9556976035 32.92, 258493.94402698913 6590489.313860749 32.86, 258492.35621904346 6590488.864639383 32.78, 258490.14386471832 6590489.175148644 32.6, 258488.34887299148 6590489.990452904 32.55, 258487.4669744259 6590490.904055692 32.52, 258486.62105421798 6590492.32679009 32.5, 258487.2377230449 6590492.813567948 32.5, 258488.0502063944 6590493.021428942 32.52, 258489.1816354974 6590493.089943283 32.61, 258489.72516728754 6590493.101088895 32.660000000000004, 258492.72545825384 6590493.171454209 32.64, 258494.28983733093 6590491.5833043 32.68, 258494.28983733093 6590491.5833043 32.57))</t>
  </si>
  <si>
    <t>2015-03-27</t>
  </si>
  <si>
    <t>['RV94 S6D1 m5648 KD1 m32-80']</t>
  </si>
  <si>
    <t>['FV118 S8D1 m14056-14069']</t>
  </si>
  <si>
    <t>LINESTRING Z (253968.9186342928 6596305.122975577 17.69, 253969.24569812577 6596305.073299238 17.67, 253969.46319041387 6596304.923014361 17.66, 253969.59735201695 6596304.740077785 17.66, 253969.6093736179 6596304.20648997 17.650000000000002, 253969.68566585245 6596299.829066636 17.53, 253970.12708196597 6596295.378430237 17.41, 253970.31283431596 6596293.322052153 17.34, 253970.13545789925 6596292.9161138 17.330000000000002, 253969.76417659677 6596292.587996637 17.35, 253969.36835586 6596292.432901038 17.35, 253968.91173852832 6596292.494295069 17.34, 253968.58277065388 6596292.745087166 17.36, 253968.40599167254 6596293.012255775 17.35, 253968.34794982438 6596293.148118816 17.330000000000002, 253967.39879179493 6596296.539489298 17.42, 253966.10068403097 6596300.293978244 17.53, 253964.8590687005 6596303.34005514 17.56, 253964.84714838365 6596303.652595864 17.59, 253964.97479786436 6596303.841993928 17.6, 253965.2419664973 6596304.018772891 17.66, 253967.6713780985 6596304.663097077 17.67, 253968.9186342928 6596305.122975577 17.69)</t>
  </si>
  <si>
    <t>POLYGON Z ((253968.9186342928 6596305.122975577 17.69, 253969.24569812577 6596305.073299238 17.67, 253969.46319041387 6596304.923014361 17.66, 253969.59735201695 6596304.740077785 17.66, 253969.6093736179 6596304.20648997 17.650000000000002, 253969.68566585245 6596299.829066636 17.53, 253970.12708196597 6596295.378430237 17.41, 253970.31283431596 6596293.322052153 17.34, 253970.13545789925 6596292.9161138 17.330000000000002, 253969.76417659677 6596292.587996637 17.35, 253969.36835586 6596292.432901038 17.35, 253968.91173852832 6596292.494295069 17.34, 253968.58277065388 6596292.745087166 17.36, 253968.40599167254 6596293.012255775 17.35, 253968.34794982438 6596293.148118816 17.330000000000002, 253967.39879179493 6596296.539489298 17.42, 253966.10068403097 6596300.293978244 17.53, 253964.8590687005 6596303.34005514 17.56, 253964.84714838365 6596303.652595864 17.59, 253964.97479786436 6596303.841993928 17.6, 253965.2419664973 6596304.018772891 17.66, 253967.6713780985 6596304.663097077 17.67, 253968.9186342928 6596305.122975577 17.69))</t>
  </si>
  <si>
    <t>2025-10-30T09:27:10Z</t>
  </si>
  <si>
    <t>['FV118 S8D20 m10-18']</t>
  </si>
  <si>
    <t>LINESTRING Z (258502.1822744527 6590512.540661183 32.99, 258503.3035705186 6590512.941633892 32.89, 258504.99351058184 6590513.853819178 32.97, 258506.73671298852 6590515.132919077 32.96, 258508.08670826574 6590516.507845101 32.94, 258508.1226867242 6590517.016976601 32.96, 258507.90953251728 6590517.548629555 32.9, 258507.47190401307 6590517.708751854 33.01, 258506.9428977623 6590517.636012801 32.94, 258506.50003170458 6590517.404785562 32.96, 258505.13258488916 6590516.5036341045 32.980000000000004, 258503.18106772203 6590515.1428983 32.9, 258501.52479458626 6590513.936313959 32.88, 258501.43442944338 6590513.492379422 32.96, 258501.51077195216 6590513.003234379 32.99, 258501.8207649476 6590512.653715378 33, 258502.1822744527 6590512.540661183 32.99)</t>
  </si>
  <si>
    <t>POLYGON Z ((258502.1822744527 6590512.540661183 32.99, 258503.3035705186 6590512.941633892 32.89, 258504.99351058184 6590513.853819178 32.97, 258506.73671298852 6590515.132919077 32.96, 258508.08670826574 6590516.507845101 32.94, 258508.1226867242 6590517.016976601 32.96, 258507.90953251728 6590517.548629555 32.9, 258507.47190401307 6590517.708751854 33.01, 258506.9428977623 6590517.636012801 32.94, 258506.50003170458 6590517.404785562 32.96, 258505.13258488916 6590516.5036341045 32.980000000000004, 258503.18106772203 6590515.1428983 32.9, 258501.52479458626 6590513.936313959 32.88, 258501.43442944338 6590513.492379422 32.96, 258501.51077195216 6590513.003234379 32.99, 258501.8207649476 6590512.653715378 33, 258502.1822744527 6590512.540661183 32.99))</t>
  </si>
  <si>
    <t>['FV317 S1D1 m172-180']</t>
  </si>
  <si>
    <t>LINESTRING Z (253350.82230599038 6596411.515447635 6.49, 253353.74341147565 6596410.7086893385 6.42, 253355.84086786394 6596410.237656397 6.43, 253358.02435948234 6596409.829172379 6.26, 253358.39679714548 6596409.614636026 6.2700000000000005, 253358.62631169756 6596408.930759668 6.34, 253358.59656627235 6596408.601891449 6.2700000000000005, 253358.2506730234 6596408.221240272 6.24, 253353.99106342092 6596408.003678917 6.42, 253350.9726598239 6596407.62361696 6.5200000000000005, 253350.53151526954 6596407.522856289 6.51, 253350.13649260314 6596407.598774166 6.55, 253349.81743837526 6596407.959190584 6.54, 253349.87772075558 6596410.847340968 6.55, 253349.98358631582 6596411.129135379 6.54, 253350.24710039215 6596411.376576352 6.5200000000000005, 253350.57862220393 6596411.487252154 6.53, 253350.82230599038 6596411.515447635 6.49)</t>
  </si>
  <si>
    <t>POLYGON Z ((253350.82230599038 6596411.515447635 6.49, 253353.74341147565 6596410.7086893385 6.42, 253355.84086786394 6596410.237656397 6.43, 253358.02435948234 6596409.829172379 6.26, 253358.39679714548 6596409.614636026 6.2700000000000005, 253358.62631169756 6596408.930759668 6.34, 253358.59656627235 6596408.601891449 6.2700000000000005, 253358.2506730234 6596408.221240272 6.24, 253353.99106342092 6596408.003678917 6.42, 253350.9726598239 6596407.62361696 6.5200000000000005, 253350.53151526954 6596407.522856289 6.51, 253350.13649260314 6596407.598774166 6.55, 253349.81743837526 6596407.959190584 6.54, 253349.87772075558 6596410.847340968 6.55, 253349.98358631582 6596411.129135379 6.54, 253350.24710039215 6596411.376576352 6.5200000000000005, 253350.57862220393 6596411.487252154 6.53, 253350.82230599038 6596411.515447635 6.49))</t>
  </si>
  <si>
    <t>['FV317 S1D1 m1012-1014']</t>
  </si>
  <si>
    <t>LINESTRING Z (252497.81105989646 6596401.759530541 43.800000000000004, 252498.45072286107 6596401.611248819 43.76, 252499.23436298972 6596401.610701559 43.7, 252499.5649857424 6596401.711412457 43.7, 252499.85118790233 6596401.876424906 43.68, 252499.95800611036 6596402.057662205 43.68, 252499.9850981183 6596402.246110554 43.660000000000004, 252499.92960802154 6596402.743447337 43.71, 252499.7120625566 6596403.004259075 43.7, 252499.42030034927 6596403.1110267015 43.74, 252498.11383183344 6596403.329666715 43.78, 252497.81105989646 6596401.759530541 43.800000000000004)</t>
  </si>
  <si>
    <t>POLYGON Z ((252497.81105989646 6596401.759530541 43.800000000000004, 252498.45072286107 6596401.611248819 43.76, 252499.23436298972 6596401.610701559 43.7, 252499.5649857424 6596401.711412457 43.7, 252499.85118790233 6596401.876424906 43.68, 252499.95800611036 6596402.057662205 43.68, 252499.9850981183 6596402.246110554 43.660000000000004, 252499.92960802154 6596402.743447337 43.71, 252499.7120625566 6596403.004259075 43.7, 252499.42030034927 6596403.1110267015 43.74, 252498.11383183344 6596403.329666715 43.78, 252497.81105989646 6596401.759530541 43.800000000000004))</t>
  </si>
  <si>
    <t>['FV317 S1D1 m1110-1113']</t>
  </si>
  <si>
    <t>LINESTRING Z (252429.07266799352 6596469.134726193 50.24, 252427.8298435804 6596470.834612289 50.370000000000005, 252426.20167228318 6596469.273834792 50.36, 252427.0420073138 6596468.122765902 50.29, 252427.53864516574 6596467.72619009 50.27, 252428.04785189845 6596467.579660185 50.25, 252428.47903409868 6596467.68132288 50.28, 252428.773348999 6596467.936027301 50.29, 252429.00686677193 6596468.407224209 50.31, 252429.07266799352 6596469.134726193 50.24)</t>
  </si>
  <si>
    <t>POLYGON Z ((252429.07266799352 6596469.134726193 50.24, 252427.8298435804 6596470.834612289 50.370000000000005, 252426.20167228318 6596469.273834792 50.36, 252427.0420073138 6596468.122765902 50.29, 252427.53864516574 6596467.72619009 50.27, 252428.04785189845 6596467.579660185 50.25, 252428.47903409868 6596467.68132288 50.28, 252428.773348999 6596467.936027301 50.29, 252429.00686677193 6596468.407224209 50.31, 252429.07266799352 6596469.134726193 50.24))</t>
  </si>
  <si>
    <t>['FV317 S1D1 m1115-1118']</t>
  </si>
  <si>
    <t>LINESTRING Z (252426.18362838827 6596473.073349877 50.54, 252424.86828884855 6596474.860173398 50.67, 252424.4107137895 6596475.022127964 50.68, 252423.9360628952 6596474.884207716 50.730000000000004, 252423.46877466489 6596474.494438779 50.660000000000004, 252423.18818263663 6596473.94712116 50.65, 252423.14847108317 6596473.619151771 50.64, 252423.35885596822 6596473.168088509 50.59, 252424.36054730305 6596471.801478984 50.51, 252426.18362838827 6596473.073349877 50.54)</t>
  </si>
  <si>
    <t>POLYGON Z ((252426.18362838827 6596473.073349877 50.54, 252424.86828884855 6596474.860173398 50.67, 252424.4107137895 6596475.022127964 50.68, 252423.9360628952 6596474.884207716 50.730000000000004, 252423.46877466489 6596474.494438779 50.660000000000004, 252423.18818263663 6596473.94712116 50.65, 252423.14847108317 6596473.619151771 50.64, 252423.35885596822 6596473.168088509 50.59, 252424.36054730305 6596471.801478984 50.51, 252426.18362838827 6596473.073349877 50.54))</t>
  </si>
  <si>
    <t>['FV317 S1D1 m1268-1278']</t>
  </si>
  <si>
    <t>LINESTRING Z (252309.4753076827 6596568.730211321 57.85, 252306.2312632117 6596570.41016209 57.99, 252303.1494259466 6596571.995062897 58.21, 252301.58179002267 6596572.7698352365 58.35, 252301.25657494995 6596572.728919373 58.35, 252301.12346452262 6596572.590249264 58.35, 252300.99586334184 6596572.290323713 58.34, 252300.95970663405 6596572.112742269 58.33, 252301.01143925136 6596571.907116686 58.33, 252301.22988612298 6596571.656269998 58.31, 252302.5474758981 6596570.894066772 58.19, 252305.61303763316 6596569.240306855 58, 252308.8670479267 6596567.559454713 57.81, 252309.13336963215 6596567.615744749 57.81, 252309.45127263851 6596567.797984475 57.79, 252309.55628847217 6596567.959290347 57.79, 252309.63411112258 6596568.153197775 57.78, 252309.61673241176 6596568.516473192 57.79, 252309.4753076827 6596568.730211321 57.85)</t>
  </si>
  <si>
    <t>POLYGON Z ((252309.4753076827 6596568.730211321 57.85, 252306.2312632117 6596570.41016209 57.99, 252303.1494259466 6596571.995062897 58.21, 252301.58179002267 6596572.7698352365 58.35, 252301.25657494995 6596572.728919373 58.35, 252301.12346452262 6596572.590249264 58.35, 252300.99586334184 6596572.290323713 58.34, 252300.95970663405 6596572.112742269 58.33, 252301.01143925136 6596571.907116686 58.33, 252301.22988612298 6596571.656269998 58.31, 252302.5474758981 6596570.894066772 58.19, 252305.61303763316 6596569.240306855 58, 252308.8670479267 6596567.559454713 57.81, 252309.13336963215 6596567.615744749 57.81, 252309.45127263851 6596567.797984475 57.79, 252309.55628847217 6596567.959290347 57.79, 252309.63411112258 6596568.153197775 57.78, 252309.61673241176 6596568.516473192 57.79, 252309.4753076827 6596568.730211321 57.85))</t>
  </si>
  <si>
    <t>['FV317 S1D1 m1314-1318']</t>
  </si>
  <si>
    <t>LINESTRING Z (252269.48152669088 6596590.553359285 60.24, 252266.44405888615 6596592.184484451 60.35, 252265.8376014859 6596591.033659118 60.370000000000005, 252268.67209744442 6596589.4912238745 60.29, 252269.044437386 6596589.497735338 60.32, 252269.36689793985 6596589.619278914 60.29, 252269.56055331795 6596590.094081819 60.27, 252269.48152669088 6596590.553359285 60.24)</t>
  </si>
  <si>
    <t>POLYGON Z ((252269.48152669088 6596590.553359285 60.24, 252266.44405888615 6596592.184484451 60.35, 252265.8376014859 6596591.033659118 60.370000000000005, 252268.67209744442 6596589.4912238745 60.29, 252269.044437386 6596589.497735338 60.32, 252269.36689793985 6596589.619278914 60.29, 252269.56055331795 6596590.094081819 60.27, 252269.48152669088 6596590.553359285 60.24))</t>
  </si>
  <si>
    <t>['FV317 S1D1 m1322-1328']</t>
  </si>
  <si>
    <t>LINESTRING Z (252263.39662523108 6596593.816511098 60.45, 252262.1415845326 6596594.492678677 60.5, 252257.9297540251 6596596.692201147 60.57, 252257.51845226958 6596596.699261091 60.59, 252257.3600017892 6596596.502598982 60.61, 252257.19979892726 6596596.175480158 60.6, 252257.21352155847 6596595.882866534 60.61, 252257.47458624933 6596595.547786366 60.61, 252262.66692226604 6596592.747164471 60.46, 252263.39662523108 6596593.816511098 60.45)</t>
  </si>
  <si>
    <t>POLYGON Z ((252263.39662523108 6596593.816511098 60.45, 252262.1415845326 6596594.492678677 60.5, 252257.9297540251 6596596.692201147 60.57, 252257.51845226958 6596596.699261091 60.59, 252257.3600017892 6596596.502598982 60.61, 252257.19979892726 6596596.175480158 60.6, 252257.21352155847 6596595.882866534 60.61, 252257.47458624933 6596595.547786366 60.61, 252262.66692226604 6596592.747164471 60.46, 252263.39662523108 6596593.816511098 60.45))</t>
  </si>
  <si>
    <t>['FV317 S1D1 m1565-1568']</t>
  </si>
  <si>
    <t>LINESTRING Z (252033.5637420308 6596681.57027114 52.22, 252035.6368323485 6596680.940677235 52.370000000000005, 252035.86519496396 6596680.799453736 52.370000000000005, 252036.01022545627 6596680.6255782405 52.38, 252036.04743482778 6596680.481549837 52.38, 252035.9407668249 6596679.968736043 52.4, 252035.79228173385 6596679.771172269 52.39, 252035.62561748867 6596679.705868272 52.38, 252035.44443005646 6596679.702161962 52.38, 252033.2653717612 6596680.2710092245 52.26, 252033.5637420308 6596681.57027114 52.22)</t>
  </si>
  <si>
    <t>POLYGON Z ((252033.5637420308 6596681.57027114 52.22, 252035.6368323485 6596680.940677235 52.370000000000005, 252035.86519496396 6596680.799453736 52.370000000000005, 252036.01022545627 6596680.6255782405 52.38, 252036.04743482778 6596680.481549837 52.38, 252035.9407668249 6596679.968736043 52.4, 252035.79228173385 6596679.771172269 52.39, 252035.62561748867 6596679.705868272 52.38, 252035.44443005646 6596679.702161962 52.38, 252033.2653717612 6596680.2710092245 52.26, 252033.5637420308 6596681.57027114 52.22))</t>
  </si>
  <si>
    <t>['FV317 S1D1 m1572-1579']</t>
  </si>
  <si>
    <t>LINESTRING Z (252030.38074017802 6596682.481108633 52.06, 252029.95647029433 6596681.122902872 52.07, 252029.7408280417 6596681.182597066 52.06, 252023.09027215804 6596683.190767336 51.67, 252022.96882924624 6596683.292177943 51.64, 252022.85459758778 6596683.473315055 51.63, 252022.8472856549 6596683.614639253 51.61, 252023.0308752914 6596684.311395114 51.64, 252023.1322858983 6596684.432838021 51.64, 252023.31527616267 6596684.456475952 51.660000000000004, 252023.65231099734 6596684.405896501 51.74, 252030.38074017802 6596682.481108633 52.06)</t>
  </si>
  <si>
    <t>POLYGON Z ((252030.38074017802 6596682.481108633 52.06, 252029.95647029433 6596681.122902872 52.07, 252029.7408280417 6596681.182597066 52.06, 252023.09027215804 6596683.190767336 51.67, 252022.96882924624 6596683.292177943 51.64, 252022.85459758778 6596683.473315055 51.63, 252022.8472856549 6596683.614639253 51.61, 252023.0308752914 6596684.311395114 51.64, 252023.1322858983 6596684.432838021 51.64, 252023.31527616267 6596684.456475952 51.660000000000004, 252023.65231099734 6596684.405896501 51.74, 252030.38074017802 6596682.481108633 52.06))</t>
  </si>
  <si>
    <t>['FV317 S1D1 m1806-1813']</t>
  </si>
  <si>
    <t>LINESTRING Z (251798.04984288925 6596746.176630164 39.7, 251804.53369547168 6596744.213674427 39.83, 251804.65789308687 6596744.031635518 39.83, 251804.68428550646 6596743.768016847 39.83, 251804.43814570483 6596743.157296333 39.81, 251804.28960994142 6596743.070257803 39.84, 251797.62221731353 6596744.225930832 39.67, 251798.04984288925 6596746.176630164 39.7)</t>
  </si>
  <si>
    <t>POLYGON Z ((251798.04984288925 6596746.176630164 39.7, 251804.53369547168 6596744.213674427 39.83, 251804.65789308687 6596744.031635518 39.83, 251804.68428550646 6596743.768016847 39.83, 251804.43814570483 6596743.157296333 39.81, 251804.28960994142 6596743.070257803 39.84, 251797.62221731353 6596744.225930832 39.67, 251798.04984288925 6596746.176630164 39.7))</t>
  </si>
  <si>
    <t>['FV317 S1D1 m1816-1819']</t>
  </si>
  <si>
    <t>LINESTRING Z (251795.20937970578 6596746.875635167 39.660000000000004, 251794.58509142304 6596745.08338711 39.61, 251794.01698871626 6596745.24529322 39.59, 251792.31713735894 6596745.891366284 39.51, 251792.1875312546 6596746.013610219 39.52, 251792.14215887268 6596746.17847201 39.53, 251792.47052846377 6596747.253981035 39.61, 251792.550204834 6596747.357295294 39.61, 251792.81562635972 6596747.403619375 39.62, 251794.8261207437 6596746.970585273 39.65, 251795.20937970578 6596746.875635167 39.660000000000004)</t>
  </si>
  <si>
    <t>POLYGON Z ((251795.20937970578 6596746.875635167 39.660000000000004, 251794.58509142304 6596745.08338711 39.61, 251794.01698871626 6596745.24529322 39.59, 251792.31713735894 6596745.891366284 39.51, 251792.1875312546 6596746.013610219 39.52, 251792.14215887268 6596746.17847201 39.53, 251792.47052846377 6596747.253981035 39.61, 251792.550204834 6596747.357295294 39.61, 251792.81562635972 6596747.403619375 39.62, 251794.8261207437 6596746.970585273 39.65, 251795.20937970578 6596746.875635167 39.660000000000004))</t>
  </si>
  <si>
    <t>[112]</t>
  </si>
  <si>
    <t>['FV112 S1D1 m7699 KD1 m11-46']</t>
  </si>
  <si>
    <t>LINESTRING Z (269946.1951924922 6583172.580111822 3.92, 269945.31131162634 6583172.248087592 3.96, 269944.41662852396 6583171.796490667 3.88, 269943.5392359878 6583171.202691698 3.9, 269942.71082756686 6583170.483918912 3.9, 269941.9504318611 6583169.62840754 3.86, 269941.2897424203 6583168.653385807 3.86, 269940.75955260964 6583167.566117552 3.7800000000000002, 269940.38339195866 6583166.40465997 3.81, 269940.1739254187 6583165.198006056 3.75, 269940.135653918 6583163.995977766 3.75, 269940.2595132506 6583162.809439692 3.73, 269940.5391397639 6583161.679149583 3.7600000000000002, 269940.9373764442 6583160.638601361 3.72, 269941.4560236574 6583159.707723808 3.72, 269942.0434590728 6583158.871089072 3.7800000000000002, 269942.69241885026 6583158.159490504 3.73, 269943.39023804106 6583157.543935123 3.7600000000000002, 269944.19220206665 6583156.969199856 3.7800000000000002, 269945.10191166337 6583156.475142271 3.74, 269946.1211671971 6583156.081691152 3.8000000000000003, 269947.21101128444 6583155.802411622 3.8000000000000003, 269948.374144476 6583155.667196854 3.83, 269949.5716093909 6583155.689611973 3.8200000000000003, 269950.775313225 6583155.892286311 3.77, 269951.9426978632 6583156.248927426 3.88, 269953.0348059302 6583156.773100442 3.89, 269954.03897248616 6583157.435812372 3.91, 269954.92260381 6583158.209870596 3.86, 269955.66307057184 6583159.067182313 3.92, 269956.26673642674 6583159.96698978 3.94, 269956.73180100735 6583160.889364214 3.91, 269957.06642833626 6583161.813476657 3.93, 269957.28874682484 6583162.717597962 4, 269957.41592234396 6583163.680543064 4.04, 269957.42712593055 6583164.694147951 4.07, 269957.3123931954 6583165.7593128085 4.08, 269957.05905919307 6583166.847044654 4.08, 269956.6444945854 6583167.929250689 4.08, 269956.07596320496 6583168.975137569 4.13, 269955.3498643048 6583169.944847733 4.07, 269954.4942906799 6583170.815751842 4.1, 269953.5165061582 6583171.5570565425 4.09, 269952.4645323149 6583172.144332124 4.05, 269951.36826231773 6583172.574878021 3.97, 269950.25758933614 6583172.845993679 4.0200000000000005, 269949.16330672684 6583172.964942918 4, 269948.10624345776 6583172.93988976 3.99, 269947.1099290563 6583172.808891387 3.91, 269946.1951924922 6583172.580111822 3.92)</t>
  </si>
  <si>
    <t>POLYGON Z ((269946.1951924922 6583172.580111822 3.92, 269945.31131162634 6583172.248087592 3.96, 269944.41662852396 6583171.796490667 3.88, 269943.5392359878 6583171.202691698 3.9, 269942.71082756686 6583170.483918912 3.9, 269941.9504318611 6583169.62840754 3.86, 269941.2897424203 6583168.653385807 3.86, 269940.75955260964 6583167.566117552 3.7800000000000002, 269940.38339195866 6583166.40465997 3.81, 269940.1739254187 6583165.198006056 3.75, 269940.135653918 6583163.995977766 3.75, 269940.2595132506 6583162.809439692 3.73, 269940.5391397639 6583161.679149583 3.7600000000000002, 269940.9373764442 6583160.638601361 3.72, 269941.4560236574 6583159.707723808 3.72, 269942.0434590728 6583158.871089072 3.7800000000000002, 269942.69241885026 6583158.159490504 3.73, 269943.39023804106 6583157.543935123 3.7600000000000002, 269944.19220206665 6583156.969199856 3.7800000000000002, 269945.10191166337 6583156.475142271 3.74, 269946.1211671971 6583156.081691152 3.8000000000000003, 269947.21101128444 6583155.802411622 3.8000000000000003, 269948.374144476 6583155.667196854 3.83, 269949.5716093909 6583155.689611973 3.8200000000000003, 269950.775313225 6583155.892286311 3.77, 269951.9426978632 6583156.248927426 3.88, 269953.0348059302 6583156.773100442 3.89, 269954.03897248616 6583157.435812372 3.91, 269954.92260381 6583158.209870596 3.86, 269955.66307057184 6583159.067182313 3.92, 269956.26673642674 6583159.96698978 3.94, 269956.73180100735 6583160.889364214 3.91, 269957.06642833626 6583161.813476657 3.93, 269957.28874682484 6583162.717597962 4, 269957.41592234396 6583163.680543064 4.04, 269957.42712593055 6583164.694147951 4.07, 269957.3123931954 6583165.7593128085 4.08, 269957.05905919307 6583166.847044654 4.08, 269956.6444945854 6583167.929250689 4.08, 269956.07596320496 6583168.975137569 4.13, 269955.3498643048 6583169.944847733 4.07, 269954.4942906799 6583170.815751842 4.1, 269953.5165061582 6583171.5570565425 4.09, 269952.4645323149 6583172.144332124 4.05, 269951.36826231773 6583172.574878021 3.97, 269950.25758933614 6583172.845993679 4.0200000000000005, 269949.16330672684 6583172.964942918 4, 269948.10624345776 6583172.93988976 3.99, 269947.1099290563 6583172.808891387 3.91, 269946.1951924922 6583172.580111822 3.92))</t>
  </si>
  <si>
    <t>2015-05-21</t>
  </si>
  <si>
    <t>[54097]</t>
  </si>
  <si>
    <t>['KV54097 S1D1 m179-184']</t>
  </si>
  <si>
    <t>LINESTRING Z (575417.09 7582203.09 11.542, 575417.31 7582203.43 11.542, 575419.1 7582203.95 11.582, 575419.31 7582203.61 11.602, 575419.79 7582200.27 11.552, 575419.69 7582200.01 11.562, 575419.79 7582200.27 11.552, 575419.69 7582200.01 11.562, 575419.43 7582199.74 11.522, 575419.05 7582199.82 11.522, 575419.43 7582199.74 11.522, 575419.05 7582199.82 11.522, 575418.87 7582199.96 11.542, 575417.15 7582202.75 11.542, 575417.09 7582203.09 11.542)</t>
  </si>
  <si>
    <t>[1098]</t>
  </si>
  <si>
    <t>['FV1098 S1D1 m3140-3147']</t>
  </si>
  <si>
    <t>LINESTRING Z (257619.52701611145 6576074.4500477 6.66, 257619.4691611352 6576074.254337166 6.61, 257618.28666287733 6576073.286095766 6.67, 257614.3415878633 6576070.2062837845 6.73, 257613.9763952892 6576070.389952625 6.72, 257613.9108584328 6576070.8881563265 6.7, 257613.95245034868 6576071.015008315 6.7, 257615.30533031275 6576071.867401362 6.8, 257617.67018839988 6576074.024923615 6.72, 257619.02203023044 6576075.088390536 6.6000000000000005, 257619.40348584112 6576074.97358024 6.62, 257619.47338250536 6576074.746243243 6.62, 257619.52701611145 6576074.4500477 6.66)</t>
  </si>
  <si>
    <t>POLYGON Z ((257619.52701611145 6576074.4500477 6.66, 257619.4691611352 6576074.254337166 6.61, 257618.28666287733 6576073.286095766 6.67, 257614.3415878633 6576070.2062837845 6.73, 257613.9763952892 6576070.389952625 6.72, 257613.9108584328 6576070.8881563265 6.7, 257613.95245034868 6576071.015008315 6.7, 257615.30533031275 6576071.867401362 6.8, 257617.67018839988 6576074.024923615 6.72, 257619.02203023044 6576075.088390536 6.6000000000000005, 257619.40348584112 6576074.97358024 6.62, 257619.47338250536 6576074.746243243 6.62, 257619.52701611145 6576074.4500477 6.66))</t>
  </si>
  <si>
    <t>['FV112 S1D1 m7975 KD1 m0-96']</t>
  </si>
  <si>
    <t>LINESTRING Z (270027.11689470464 6583392.011307416 6.9, 270021.45141469594 6583389.790706 7.05, 270004.0602774705 6583384.31981491 7.22, 269998.7118244286 6583383.718068462 7.22, 269992.20896192 6583382.236133863 7.45)</t>
  </si>
  <si>
    <t>2014-07-01</t>
  </si>
  <si>
    <t>2025-11-22T09:09:10Z</t>
  </si>
  <si>
    <t>['EV18 S55D30 m262-271']</t>
  </si>
  <si>
    <t>LINESTRING Z (262015.969970703 6648497.84997559 2.517, 262016.109985352 6648497.90002441 2.517, 262016.930053711 6648498.20996094 2.507, 262017.770019531 6648498.5300293 2.497, 262018.619995117 6648498.85998535 2.487, 262019.479980469 6648499.23999023 2.467, 262020.239990234 6648499.76000977 2.447, 262021.030029297 6648500.29003906 2.437, 262021.849975586 6648500.85998535 2.427, 262022.280029297 6648501.14001465 2.417, 262022.599975586 6648501.27001953 2.417, 262022.939941406 6648501.14001465 2.417, 262023.099975586 6648500.82995606 2.417, 262023.010009766 6648500.47998047 2.407, 262022.729980469 6648500.17004395 2.407, 262021.699951172 6648499 2.427, 262020.760009766 6648497.94995117 2.437, 262020.109985352 6648497.2199707 2.447, 262019.310058594 6648496.63000488 2.457, 262018.520019531 6648496.06005859 2.467, 262017.709960937 6648495.48999023 2.467, 262016.91003418 6648494.92004395 2.477, 262016.390014648 6648494.55004883 2.477, 262016.060058594 6648494.5 2.477, 262015.760009766 6648494.68005371 2.477, 262015.650024414 6648495.01000977 2.477, 262015.599975586 6648497.31994629 2.497, 262015.689941406 6648497.65002441 2.517, 262015.969970703 6648497.84997559 2.517)</t>
  </si>
  <si>
    <t>POLYGON Z ((262015.969970703 6648497.84997559 2.517, 262016.109985352 6648497.90002441 2.517, 262016.930053711 6648498.20996094 2.507, 262017.770019531 6648498.5300293 2.497, 262018.619995117 6648498.85998535 2.487, 262019.479980469 6648499.23999023 2.467, 262020.239990234 6648499.76000977 2.447, 262021.030029297 6648500.29003906 2.437, 262021.849975586 6648500.85998535 2.427, 262022.280029297 6648501.14001465 2.417, 262022.599975586 6648501.27001953 2.417, 262022.939941406 6648501.14001465 2.417, 262023.099975586 6648500.82995606 2.417, 262023.010009766 6648500.47998047 2.407, 262022.729980469 6648500.17004395 2.407, 262021.699951172 6648499 2.427, 262020.760009766 6648497.94995117 2.437, 262020.109985352 6648497.2199707 2.447, 262019.310058594 6648496.63000488 2.457, 262018.520019531 6648496.06005859 2.467, 262017.709960937 6648495.48999023 2.467, 262016.91003418 6648494.92004395 2.477, 262016.390014648 6648494.55004883 2.477, 262016.060058594 6648494.5 2.477, 262015.760009766 6648494.68005371 2.477, 262015.650024414 6648495.01000977 2.477, 262015.599975586 6648497.31994629 2.497, 262015.689941406 6648497.65002441 2.517, 262015.969970703 6648497.84997559 2.517))</t>
  </si>
  <si>
    <t>['EV18 S55D30 m281-295']</t>
  </si>
  <si>
    <t>LINESTRING Z (261966.619995117 6648494.52001953 2.907, 261967.040039063 6648494.63000488 2.907, 261967.400024414 6648494.72998047 2.907, 261968.369995117 6648494.98999023 2.897, 261969.329956055 6648495.23999024 2.887, 261971.260009766 6648495.80004883 2.867, 261973.170043945 6648496.36999512 2.847, 261974.140014648 6648496.67004395 2.837, 261974.770019531 6648496.84997559 2.837, 261975.099975586 6648496.94995117 2.827, 261975.920043945 6648497.19995117 2.817, 261976.060058594 6648497.23999023 2.817, 261976.520019531 6648497.38000488 2.817, 261976.719970703 6648497.43994141 2.817, 261979.579956055 6648498.30004883 2.787, 261979.91003418 6648498.31005859 2.777, 261979.949951172 6648498.31005859 2.757, 261980.189941406 6648498.08996582 2.757, 261980.260009766 6648497.7800293 2.757, 261980.329956055 6648493.13000488 2.757, 261980.189941406 6648492.69995117 2.757, 261979.75 6648492.56994629 2.757, 261979.520019531 6648492.60998535 2.757, 261978.430053711 6648492.80004883 2.747, 261977.16003418 6648493.02001953 2.767, 261976.229980469 6648493.11999512 2.777, 261975.880004883 6648493.16003418 2.787, 261975.16003418 6648493.23999023 2.797, 261974.079956055 6648493.33996582 2.807, 261973.010009766 6648493.44995117 2.817, 261972.16003418 6648493.54003906 2.837, 261970.869995117 6648493.52001953 2.847, 261969.819946289 6648493.4699707 2.857, 261968.770019531 6648493.43005371 2.877, 261967.729980469 6648493.38000488 2.887, 261967.33996582 6648493.35998535 2.887, 261966.819946289 6648493.33996582 2.897, 261966.680053711 6648493.36999512 2.897, 261966.390014648 6648493.44995117 2.897, 261966.16003418 6648493.82995606 2.897, 261966.439941406 6648494.40002441 2.917, 261966.619995117 6648494.52001953 2.907)</t>
  </si>
  <si>
    <t>POLYGON Z ((261966.619995117 6648494.52001953 2.907, 261967.040039063 6648494.63000488 2.907, 261967.400024414 6648494.72998047 2.907, 261968.369995117 6648494.98999023 2.897, 261969.329956055 6648495.23999024 2.887, 261971.260009766 6648495.80004883 2.867, 261973.170043945 6648496.36999512 2.847, 261974.140014648 6648496.67004395 2.837, 261974.770019531 6648496.84997559 2.837, 261975.099975586 6648496.94995117 2.827, 261975.920043945 6648497.19995117 2.817, 261976.060058594 6648497.23999023 2.817, 261976.520019531 6648497.38000488 2.817, 261976.719970703 6648497.43994141 2.817, 261979.579956055 6648498.30004883 2.787, 261979.91003418 6648498.31005859 2.777, 261979.949951172 6648498.31005859 2.757, 261980.189941406 6648498.08996582 2.757, 261980.260009766 6648497.7800293 2.757, 261980.329956055 6648493.13000488 2.757, 261980.189941406 6648492.69995117 2.757, 261979.75 6648492.56994629 2.757, 261979.520019531 6648492.60998535 2.757, 261978.430053711 6648492.80004883 2.747, 261977.16003418 6648493.02001953 2.767, 261976.229980469 6648493.11999512 2.777, 261975.880004883 6648493.16003418 2.787, 261975.16003418 6648493.23999023 2.797, 261974.079956055 6648493.33996582 2.807, 261973.010009766 6648493.44995117 2.817, 261972.16003418 6648493.54003906 2.837, 261970.869995117 6648493.52001953 2.847, 261969.819946289 6648493.4699707 2.857, 261968.770019531 6648493.43005371 2.877, 261967.729980469 6648493.38000488 2.887, 261967.33996582 6648493.35998535 2.887, 261966.819946289 6648493.33996582 2.897, 261966.680053711 6648493.36999512 2.897, 261966.390014648 6648493.44995117 2.897, 261966.16003418 6648493.82995606 2.897, 261966.439941406 6648494.40002441 2.917, 261966.619995117 6648494.52001953 2.907))</t>
  </si>
  <si>
    <t>['FV118 S7D1 m3199 KD1 m9-32']</t>
  </si>
  <si>
    <t>LINESTRING Z (268654.333038507 6585558.601637446 49.85, 268654.2690505198 6585558.004668636 49.85, 268654.27121237636 6585557.36153914 49.85, 268654.3612538334 6585556.690377144 49.85, 268654.5600042562 6585555.999346359 49.85, 268654.8710652098 6585555.328304728 49.85, 268655.285372598 6585554.688117134 49.85, 268655.8065279843 6585554.1186415255 49.85, 268656.4055382983 6585553.632543561 49.85, 268657.07333944214 6585553.240688119 49.85, 268657.7827391282 6585552.975669831 49.85, 268658.4911782362 6585552.811196799 49.85, 268659.1904930617 6585552.768098388 49.85, 268659.85715306754 6585552.808317434 49.85, 268660.48119376827 6585552.932754324 49.85, 268661.0408854102 6585553.123280867 49.85, 268661.596915302 6585553.384459202 49.85, 268662.15108422743 6585553.736218301 49.85, 268662.67439912003 6585554.1912238225 49.85, 268663.14513022715 6585554.731347573 49.85, 268663.5542134557 6585555.367454434 49.85, 268663.8581892988 6585556.0632880265 49.85, 268664.0570577582 6585556.818848349 49.85, 268664.13635239203 6585557.5852133725 49.85, 268664.1051372943 6585558.351518211 49.85, 268663.9498464129 6585559.078805326 49.85, 268663.7003732036 6585559.764373537 49.85, 268663.3630805844 6585560.367464511 49.85, 268662.9787268889 6585560.894441172 49.85, 268662.54731211485 6585561.345303513 49.85, 268662.08876523376 6585561.718250752 49.85, 268661.55596498994 6585562.04767831 49.85, 268660.94891138206 6585562.333586186 49.85, 268660.2839318126 6585562.534315645 49.85, 268659.56012588885 6585562.639902205 49.85, 268658.7965221895 6585562.638580593 49.85, 268658.0420427541 6585562.515884361 49.85, 268657.296687583 6585562.271813509 49.85, 268656.6120798936 6585561.921795044 49.85, 268655.9990845661 6585561.474893059 49.85, 268655.4694668732 6585560.950136139 49.85, 268655.04585696565 6585560.375616954 49.85, 268654.7110270476 6585559.783029752 49.85, 268654.4867068768 6585559.190502729 49.85, 268654.333038507 6585558.601637446 49.85)</t>
  </si>
  <si>
    <t>POLYGON Z ((268654.333038507 6585558.601637446 49.85, 268654.2690505198 6585558.004668636 49.85, 268654.27121237636 6585557.36153914 49.85, 268654.3612538334 6585556.690377144 49.85, 268654.5600042562 6585555.999346359 49.85, 268654.8710652098 6585555.328304728 49.85, 268655.285372598 6585554.688117134 49.85, 268655.8065279843 6585554.1186415255 49.85, 268656.4055382983 6585553.632543561 49.85, 268657.07333944214 6585553.240688119 49.85, 268657.7827391282 6585552.975669831 49.85, 268658.4911782362 6585552.811196799 49.85, 268659.1904930617 6585552.768098388 49.85, 268659.85715306754 6585552.808317434 49.85, 268660.48119376827 6585552.932754324 49.85, 268661.0408854102 6585553.123280867 49.85, 268661.596915302 6585553.384459202 49.85, 268662.15108422743 6585553.736218301 49.85, 268662.67439912003 6585554.1912238225 49.85, 268663.14513022715 6585554.731347573 49.85, 268663.5542134557 6585555.367454434 49.85, 268663.8581892988 6585556.0632880265 49.85, 268664.0570577582 6585556.818848349 49.85, 268664.13635239203 6585557.5852133725 49.85, 268664.1051372943 6585558.351518211 49.85, 268663.9498464129 6585559.078805326 49.85, 268663.7003732036 6585559.764373537 49.85, 268663.3630805844 6585560.367464511 49.85, 268662.9787268889 6585560.894441172 49.85, 268662.54731211485 6585561.345303513 49.85, 268662.08876523376 6585561.718250752 49.85, 268661.55596498994 6585562.04767831 49.85, 268660.94891138206 6585562.333586186 49.85, 268660.2839318126 6585562.534315645 49.85, 268659.56012588885 6585562.639902205 49.85, 268658.7965221895 6585562.638580593 49.85, 268658.0420427541 6585562.515884361 49.85, 268657.296687583 6585562.271813509 49.85, 268656.6120798936 6585561.921795044 49.85, 268655.9990845661 6585561.474893059 49.85, 268655.4694668732 6585560.950136139 49.85, 268655.04585696565 6585560.375616954 49.85, 268654.7110270476 6585559.783029752 49.85, 268654.4867068768 6585559.190502729 49.85, 268654.333038507 6585558.601637446 49.85))</t>
  </si>
  <si>
    <t>2021-10-28</t>
  </si>
  <si>
    <t>[510]</t>
  </si>
  <si>
    <t>['FV510 S2D1 m5475-5589']</t>
  </si>
  <si>
    <t>LINESTRING (-38106.36764503468 6564973.22677642, -38093.46249684016 6564950.290473598, -38076.72057576419 6564929.002897871, -38059.60629140423 6564908.13208456, -38041.33204794559 6564888.818333447)</t>
  </si>
  <si>
    <t>POINT (-38075.862198207724 6564929.535305115)</t>
  </si>
  <si>
    <t>['FV108 S1D1 m2296 KD1 m26-61']</t>
  </si>
  <si>
    <t>LINESTRING Z (268082.9201064081 6570169.261075814 5.92, 268083.7891236688 6570168.76074323 5.92, 268084.55407367926 6570168.109068812 5.88, 268085.18865903723 6570167.348608341 5.87, 268085.6928797468 6570166.47936182 5.86, 268086.0295746833 6570165.534819511 5.84, 268086.2014411728 6570164.544875257 5.8500000000000005, 268086.201211927 6570163.540321988 5.82, 268086.0216196565 6570162.551952658 5.83, 268085.6753262951 6570161.608761992 5.8100000000000005, 268085.17589288286 6570160.7497093305 5.7700000000000005, 268084.52331941586 6570159.974794668 5.79, 268083.7628589866 6570159.340209254 5.79, 268082.89361248346 6570158.835988482 5.79, 268081.94907017064 6570158.499293475 5.79, 268080.9591258858 6570158.327426924 5.7700000000000005, 268079.95457257424 6570158.327656122 5.76, 268078.96620318375 6570158.507248362 5.73, 268078.0230124489 6570158.853541715 5.76, 268077.1639597201 6570159.352975144 5.76, 268076.3890450008 6570160.005548649 5.75, 268075.7544595486 6570160.766009133 5.7700000000000005, 268075.25113786163 6570161.645220316 5.79, 268074.91354375426 6570162.579798081 5.8, 268074.7416772294 6570163.569742428 5.8, 268074.74190647237 6570164.574295788 5.8100000000000005, 268074.92149877443 6570165.562665212 5.82, 268075.2677921962 6570166.505855952 5.8100000000000005, 268075.76812479796 6570167.374873279 5.8500000000000005, 268076.41979925224 6570168.1398233455 5.9, 268077.18025977584 6570168.774408745 5.89, 268078.0594709778 6570169.277730368 5.9, 268078.9940487402 6570169.615324406 5.92, 268079.98399306025 6570169.787190867 5.91, 268080.98854637437 6570169.786961576 5.9, 268081.9769157338 6570169.607369244 5.94, 268082.9201064081 6570169.261075814 5.92)</t>
  </si>
  <si>
    <t>POLYGON Z ((268082.9201064081 6570169.261075814 5.92, 268083.7891236688 6570168.76074323 5.92, 268084.55407367926 6570168.109068812 5.88, 268085.18865903723 6570167.348608341 5.87, 268085.6928797468 6570166.47936182 5.86, 268086.0295746833 6570165.534819511 5.84, 268086.2014411728 6570164.544875257 5.8500000000000005, 268086.201211927 6570163.540321988 5.82, 268086.0216196565 6570162.551952658 5.83, 268085.6753262951 6570161.608761992 5.8100000000000005, 268085.17589288286 6570160.7497093305 5.7700000000000005, 268084.52331941586 6570159.974794668 5.79, 268083.7628589866 6570159.340209254 5.79, 268082.89361248346 6570158.835988482 5.79, 268081.94907017064 6570158.499293475 5.79, 268080.9591258858 6570158.327426924 5.7700000000000005, 268079.95457257424 6570158.327656122 5.76, 268078.96620318375 6570158.507248362 5.73, 268078.0230124489 6570158.853541715 5.76, 268077.1639597201 6570159.352975144 5.76, 268076.3890450008 6570160.005548649 5.75, 268075.7544595486 6570160.766009133 5.7700000000000005, 268075.25113786163 6570161.645220316 5.79, 268074.91354375426 6570162.579798081 5.8, 268074.7416772294 6570163.569742428 5.8, 268074.74190647237 6570164.574295788 5.8100000000000005, 268074.92149877443 6570165.562665212 5.82, 268075.2677921962 6570166.505855952 5.8100000000000005, 268075.76812479796 6570167.374873279 5.8500000000000005, 268076.41979925224 6570168.1398233455 5.9, 268077.18025977584 6570168.774408745 5.89, 268078.0594709778 6570169.277730368 5.9, 268078.9940487402 6570169.615324406 5.92, 268079.98399306025 6570169.787190867 5.91, 268080.98854637437 6570169.786961576 5.9, 268081.9769157338 6570169.607369244 5.94, 268082.9201064081 6570169.261075814 5.92))</t>
  </si>
  <si>
    <t>['FV130 S1D1 m9-36']</t>
  </si>
  <si>
    <t>LINESTRING Z (270446.5447267934 6570106.4243845865 9.52, 270452.0705562457 6570105.765059497 9.51, 270452.52629648324 6570105.583300424 9.46, 270452.711348169 6570105.184872661 9.47, 270452.5984409143 6570104.712874373 9.5, 270452.28444717906 6570104.238929068 9.540000000000001, 270446.315458674 6570103.8834586255 9.61, 270443.1000217751 6570103.651219807 9.63, 270440.94433483435 6570103.474042704 9.69, 270437.32050556474 6570103.057651235 9.77, 270433.3336849987 6570102.292281888 9.81, 270426.54985204374 6570100.031362864 9.82, 270425.9040375259 6570099.99922489 9.81, 270425.59948719456 6570100.297934139 9.83, 270425.43302468606 6570102.683702061 9.790000000000001, 270425.2847672972 6570104.937235296 9.84, 270424.4949798392 6570110.212088936 9.77, 270424.72753456095 6570110.562790552 9.76, 270425.23017646885 6570110.67816576 9.76, 270428.32311422366 6570109.88676676 9.700000000000001, 270435.99458664807 6570108.1799687315 9.61, 270443.35693845723 6570106.832565721 9.540000000000001, 270446.5447267934 6570106.4243845865 9.52)</t>
  </si>
  <si>
    <t>POLYGON Z ((270446.5447267934 6570106.4243845865 9.52, 270452.0705562457 6570105.765059497 9.51, 270452.52629648324 6570105.583300424 9.46, 270452.711348169 6570105.184872661 9.47, 270452.5984409143 6570104.712874373 9.5, 270452.28444717906 6570104.238929068 9.540000000000001, 270446.315458674 6570103.8834586255 9.61, 270443.1000217751 6570103.651219807 9.63, 270440.94433483435 6570103.474042704 9.69, 270437.32050556474 6570103.057651235 9.77, 270433.3336849987 6570102.292281888 9.81, 270426.54985204374 6570100.031362864 9.82, 270425.9040375259 6570099.99922489 9.81, 270425.59948719456 6570100.297934139 9.83, 270425.43302468606 6570102.683702061 9.790000000000001, 270425.2847672972 6570104.937235296 9.84, 270424.4949798392 6570110.212088936 9.77, 270424.72753456095 6570110.562790552 9.76, 270425.23017646885 6570110.67816576 9.76, 270428.32311422366 6570109.88676676 9.700000000000001, 270435.99458664807 6570108.1799687315 9.61, 270443.35693845723 6570106.832565721 9.540000000000001, 270446.5447267934 6570106.4243845865 9.52))</t>
  </si>
  <si>
    <t>['FV130 S1D1 m1141-1150']</t>
  </si>
  <si>
    <t>LINESTRING Z (271485.4564990726 6570380.367206274 19.71, 271484.03593806515 6570379.4305690145 19.71, 271483.84571673896 6570379.437687748 19.71, 271483.65092573594 6570379.505491552 19.72, 271483.42436939885 6570379.666570733 19.72, 271483.3065215538 6570379.8077954 19.73, 271483.20313357795 6570379.997942593 19.740000000000002, 271483.11600368907 6570380.256940968 19.740000000000002, 271483.0905321154 6570380.419966638 19.740000000000002, 271483.1619323556 6570380.65461495 19.740000000000002, 271483.3863939397 6570380.915633945 19.740000000000002, 271488.43563901354 6570384.438027284 19.68, 271490.70182389603 6570385.951316082 19.740000000000002, 271490.8267904695 6570386.000312733 19.740000000000002, 271490.9898161311 6570386.025784301 19.740000000000002, 271491.1501444658 6570386.021362884 19.740000000000002, 271491.2978111468 6570385.987947596 19.73, 271491.4917030253 6570385.9101794595 19.72, 271491.7100932297 6570385.769928034 19.72, 271491.8551367124 6570385.596113067 19.72, 271491.9105012566 6570385.430390081 19.71, 271491.9079521885 6570385.179483703 19.71, 271491.8265876172 6570384.945734514 19.73, 271491.64378156344 6570384.701047768 19.740000000000002, 271486.0169021799 6570380.788776007 19.73, 271485.4564990726 6570380.367206274 19.71)</t>
  </si>
  <si>
    <t>POLYGON Z ((271485.4564990726 6570380.367206274 19.71, 271484.03593806515 6570379.4305690145 19.71, 271483.84571673896 6570379.437687748 19.71, 271483.65092573594 6570379.505491552 19.72, 271483.42436939885 6570379.666570733 19.72, 271483.3065215538 6570379.8077954 19.73, 271483.20313357795 6570379.997942593 19.740000000000002, 271483.11600368907 6570380.256940968 19.740000000000002, 271483.0905321154 6570380.419966638 19.740000000000002, 271483.1619323556 6570380.65461495 19.740000000000002, 271483.3863939397 6570380.915633945 19.740000000000002, 271488.43563901354 6570384.438027284 19.68, 271490.70182389603 6570385.951316082 19.740000000000002, 271490.8267904695 6570386.000312733 19.740000000000002, 271490.9898161311 6570386.025784301 19.740000000000002, 271491.1501444658 6570386.021362884 19.740000000000002, 271491.2978111468 6570385.987947596 19.73, 271491.4917030253 6570385.9101794595 19.72, 271491.7100932297 6570385.769928034 19.72, 271491.8551367124 6570385.596113067 19.72, 271491.9105012566 6570385.430390081 19.71, 271491.9079521885 6570385.179483703 19.71, 271491.8265876172 6570384.945734514 19.73, 271491.64378156344 6570384.701047768 19.740000000000002, 271486.0169021799 6570380.788776007 19.73, 271485.4564990726 6570380.367206274 19.71))</t>
  </si>
  <si>
    <t>['FV1114 S1D1 m6-13']</t>
  </si>
  <si>
    <t>LINESTRING Z (266717.6515124736 6569508.7428461015 4.64, 266714.59518918296 6569507.491631466 4.63, 266713.1924857155 6569506.864750608 4.66, 266713.0511813571 6569506.8574079815 4.69, 266712.87541243085 6569506.91344998 4.7, 266712.7313358177 6569506.986724262 4.68, 266712.6026182936 6569507.118887874 4.67, 266712.5408065602 6569507.435886085 4.66, 266712.5886068733 6569507.742994641 4.68, 266712.67634118686 6569507.935995853 4.67, 266712.7424229934 6569508.000354612 4.67, 266714.16056063585 6569508.575613682 4.61, 266717.1642880424 6569509.911940502 4.66, 266718.4311565596 6569510.4807559615 4.64, 266718.60145604494 6569510.475436677 4.64, 266718.75819455925 6569510.431157525 4.66, 266718.92130156496 6569510.346120389 4.66, 266719.0128573349 6569510.247447214 4.67, 266719.21694754076 6569509.8372452725 4.69, 266719.2107291949 6569509.656981059 4.69, 266719.13752998575 6569509.402393357 4.69, 266718.819707804 6569509.220105799 4.66, 266717.6515124736 6569508.7428461015 4.64)</t>
  </si>
  <si>
    <t>POLYGON Z ((266717.6515124736 6569508.7428461015 4.64, 266714.59518918296 6569507.491631466 4.63, 266713.1924857155 6569506.864750608 4.66, 266713.0511813571 6569506.8574079815 4.69, 266712.87541243085 6569506.91344998 4.7, 266712.7313358177 6569506.986724262 4.68, 266712.6026182936 6569507.118887874 4.67, 266712.5408065602 6569507.435886085 4.66, 266712.5886068733 6569507.742994641 4.68, 266712.67634118686 6569507.935995853 4.67, 266712.7424229934 6569508.000354612 4.67, 266714.16056063585 6569508.575613682 4.61, 266717.1642880424 6569509.911940502 4.66, 266718.4311565596 6569510.4807559615 4.64, 266718.60145604494 6569510.475436677 4.64, 266718.75819455925 6569510.431157525 4.66, 266718.92130156496 6569510.346120389 4.66, 266719.0128573349 6569510.247447214 4.67, 266719.21694754076 6569509.8372452725 4.69, 266719.2107291949 6569509.656981059 4.69, 266719.13752998575 6569509.402393357 4.69, 266718.819707804 6569509.220105799 4.66, 266717.6515124736 6569508.7428461015 4.64))</t>
  </si>
  <si>
    <t>[451]</t>
  </si>
  <si>
    <t>['FV451 S1D1 m2291-2294']</t>
  </si>
  <si>
    <t>LINESTRING Z (266888.82153486554 6569360.643956691 7.36, 266888.63580142055 6569360.700897443 7.33, 266888.46003269264 6569360.756939148 7.33, 266888.28958303755 6569360.983280098 7.3100000000000005, 266888.2595384732 6569361.206999115 7.3500000000000005, 266888.2793927024 6569361.31571196 7.3500000000000005, 266889.14991588774 6569362.61344975 7.43, 266889.2314317199 6569362.626186812 7.42, 266889.5531502239 6569362.406289597 7.36, 266890.00718239695 6569362.094087995 7.42, 266890.0226165986 6569362.042466314 7.38, 266889.97646440344 6569361.97630948 7.38, 266889.06331001595 6569360.762784666 7.34, 266888.9564704701 6569360.69205739 7.34, 266888.82153486554 6569360.643956691 7.36)</t>
  </si>
  <si>
    <t>POLYGON Z ((266888.82153486554 6569360.643956691 7.36, 266888.63580142055 6569360.700897443 7.33, 266888.46003269264 6569360.756939148 7.33, 266888.28958303755 6569360.983280098 7.3100000000000005, 266888.2595384732 6569361.206999115 7.3500000000000005, 266888.2793927024 6569361.31571196 7.3500000000000005, 266889.14991588774 6569362.61344975 7.43, 266889.2314317199 6569362.626186812 7.42, 266889.5531502239 6569362.406289597 7.36, 266890.00718239695 6569362.094087995 7.42, 266890.0226165986 6569362.042466314 7.38, 266889.97646440344 6569361.97630948 7.38, 266889.06331001595 6569360.762784666 7.34, 266888.9564704701 6569360.69205739 7.34, 266888.82153486554 6569360.643956691 7.36))</t>
  </si>
  <si>
    <t>['FV451 S1D1 m2297-2299']</t>
  </si>
  <si>
    <t>LINESTRING Z (266891.5843698859 6569365.879709678 7.44, 266892.5364089293 6569367.19018446 7.46, 266892.64594561676 6569367.290805879 7.46, 266892.7899468902 6569367.328042805 7.45, 266893.03996386274 6569367.315531345 7.44, 266893.11788350495 6569367.288409537 7.45, 266893.24113149696 6569367.206968907 7.45, 266893.33995482 6569367.077502784 7.46, 266893.40798494546 6569366.940769091 7.45, 266893.4488932614 6569366.726115753 7.43, 266893.4218466523 6569366.5376851745 7.44, 266893.38026489154 6569366.4108409975 7.44, 266892.4480048935 6569365.319589994 7.45, 266891.5843698859 6569365.879709678 7.44)</t>
  </si>
  <si>
    <t>POLYGON Z ((266891.5843698859 6569365.879709678 7.44, 266892.5364089293 6569367.19018446 7.46, 266892.64594561676 6569367.290805879 7.46, 266892.7899468902 6569367.328042805 7.45, 266893.03996386274 6569367.315531345 7.44, 266893.11788350495 6569367.288409537 7.45, 266893.24113149696 6569367.206968907 7.45, 266893.33995482 6569367.077502784 7.46, 266893.40798494546 6569366.940769091 7.45, 266893.4488932614 6569366.726115753 7.43, 266893.4218466523 6569366.5376851745 7.44, 266893.38026489154 6569366.4108409975 7.44, 266892.4480048935 6569365.319589994 7.45, 266891.5843698859 6569365.879709678 7.44))</t>
  </si>
  <si>
    <t>2025-11-22T09:09:13Z</t>
  </si>
  <si>
    <t>['FV4448 S1D1 m4122-4126']</t>
  </si>
  <si>
    <t>LINESTRING (-45117.849580032635 6547117.768113323, -45115.73917384085 6547116.132306818)</t>
  </si>
  <si>
    <t>POINT (-45116.79437693674 6547116.95021007)</t>
  </si>
  <si>
    <t>2015-08-10</t>
  </si>
  <si>
    <t>2025-11-22T09:09:15Z</t>
  </si>
  <si>
    <t>['FV552 S1D1 m2343-2346']</t>
  </si>
  <si>
    <t>LINESTRING Z (-26885.5800018311 6710456.16003418 45.553, -26888.0599975586 6710454.9699707 45.423)</t>
  </si>
  <si>
    <t>POINT (-26886.81999969485 6710455.56500244)</t>
  </si>
  <si>
    <t>['FV552 S1D1 m2331-2340']</t>
  </si>
  <si>
    <t>LINESTRING Z (-26890.7900009155 6710453.48999023 45.233, -26893.8399963379 6710451.84997559 44.973, -26896.9599990845 6710450.09997559 44.793, -26898.2200012207 6710449.39001465 44.513)</t>
  </si>
  <si>
    <t>POINT (-26894.51436223013 6710451.457022091)</t>
  </si>
  <si>
    <t>2021-07-15</t>
  </si>
  <si>
    <t>['RV5 S10D1 m2021-2187']</t>
  </si>
  <si>
    <t>LINESTRING Z (61291.8951865609 6837447.45452969 -999999, 61308.5910003641 6837468.37458554 -999999, 61324.6833510178 6837492.91542029 -999999, 61338.5630034566 6837520.2724164 -999999, 61351.8391927459 6837553.86519839 -999999, 61364.5119188857 6837594.49838379 -999999)</t>
  </si>
  <si>
    <t>POINT (61333.68343625421 6837518.155428338)</t>
  </si>
  <si>
    <t>['RV5 S10D1 m2205-2298']</t>
  </si>
  <si>
    <t>LINESTRING Z (61370.5465503809 6837615.01613087 -999999, 61379.3973432404 6837650.21814793 -999999, 61389.0527536326 6837706.54137522 -999999)</t>
  </si>
  <si>
    <t>POINT (61380.63069031342 6837660.603316508)</t>
  </si>
  <si>
    <t>2015-08-01</t>
  </si>
  <si>
    <t>[1650]</t>
  </si>
  <si>
    <t>['KV1650 S1D1 m8-21']</t>
  </si>
  <si>
    <t>LINESTRING Z (278847.039978027 6673527.30004883 190.941, 278846.450012207 6673527.29003906 190.951, 278845.66998291 6673526.7199707 190.981, 278845.150024414 6673526.31005859 190.991, 278842.309997559 6673522.58996582 191.111, 278841.710021973 6673521.73999023 191.151, 278841.010009766 6673520.65002441 191.191, 278840 6673519.07995606 191.261, 278839.16998291 6673517.82995606 191.331, 278839.030029297 6673517.34997559 191.341, 278839.059997559 6673517.06005859 191.361)</t>
  </si>
  <si>
    <t>POINT (278842.5624205014 6673522.6449097665)</t>
  </si>
  <si>
    <t>[1334]</t>
  </si>
  <si>
    <t>['FV1334 S1D1 m9-14']</t>
  </si>
  <si>
    <t>LINESTRING Z (296772.6237975842 6560248.142814254 109.59, 296775.66495573515 6560250.349317935 109.59, 296775.9555746526 6560250.453679362 109.59, 296776.25354414014 6560250.416772959 109.59, 296776.4057550996 6560250.32270471 109.59, 296776.54261497443 6560250.169761076 109.59, 296776.6179877799 6560249.89179883 109.59, 296776.59373804426 6560249.622817968 109.59, 296776.33325408946 6560249.184313319 109.59, 296773.8241016908 6560246.417642634 109.62, 296771.2557429662 6560244.108254671 109.84, 296770.5859084418 6560243.69661139 109.84, 296770.3305651095 6560243.649329055 109.81, 296770.0579089424 6560243.744212697 109.81, 296769.81326052535 6560243.926960358 109.78, 296769.49152574595 6560244.257262828 109.74000000000001, 296769.3518059666 6560244.6012855815 109.74000000000001, 296769.2764331439 6560244.87924784 109.74000000000001, 296769.26989796746 6560245.14096088 109.74000000000001, 296769.38650240086 6560245.431745282 109.74000000000001, 296769.6678917394 6560245.767933003 109.74000000000001, 296770.164775394 6560246.154995603 109.74000000000001, 296772.6237975842 6560248.142814254 109.59)</t>
  </si>
  <si>
    <t>POLYGON Z ((296772.6237975842 6560248.142814254 109.59, 296775.66495573515 6560250.349317935 109.59, 296775.9555746526 6560250.453679362 109.59, 296776.25354414014 6560250.416772959 109.59, 296776.4057550996 6560250.32270471 109.59, 296776.54261497443 6560250.169761076 109.59, 296776.6179877799 6560249.89179883 109.59, 296776.59373804426 6560249.622817968 109.59, 296776.33325408946 6560249.184313319 109.59, 296773.8241016908 6560246.417642634 109.62, 296771.2557429662 6560244.108254671 109.84, 296770.5859084418 6560243.69661139 109.84, 296770.3305651095 6560243.649329055 109.81, 296770.0579089424 6560243.744212697 109.81, 296769.81326052535 6560243.926960358 109.78, 296769.49152574595 6560244.257262828 109.74000000000001, 296769.3518059666 6560244.6012855815 109.74000000000001, 296769.2764331439 6560244.87924784 109.74000000000001, 296769.26989796746 6560245.14096088 109.74000000000001, 296769.38650240086 6560245.431745282 109.74000000000001, 296769.6678917394 6560245.767933003 109.74000000000001, 296770.164775394 6560246.154995603 109.74000000000001, 296772.6237975842 6560248.142814254 109.59))</t>
  </si>
  <si>
    <t>2015-08-25</t>
  </si>
  <si>
    <t>['FV172 S2D1 m2140-2142']</t>
  </si>
  <si>
    <t>LINESTRING Z (290221.83996582 6655334.55004883 -999999, 290222.810058594 6655334.68005371 -999999, 290223.800048828 6655334.81005859 -999999, 290224.449951172 6655335.17004395 -999999, 290224.510009766 6655335.93005371 -999999, 290223.900024414 6655336.43005371 -999999, 290222.920043945 6655336.68005371 -999999, 290221.969970703 6655336.85998535 -999999)</t>
  </si>
  <si>
    <t>POLYGON Z ((290221.83996582 6655334.55004883 -999999, 290222.810058594 6655334.68005371 -999999, 290223.800048828 6655334.81005859 -999999, 290224.449951172 6655335.17004395 -999999, 290224.510009766 6655335.93005371 -999999, 290223.900024414 6655336.43005371 -999999, 290222.920043945 6655336.68005371 -999999, 290221.969970703 6655336.85998535 -999999, 290221.83996582 6655334.55004883 -999999))</t>
  </si>
  <si>
    <t>['RV150 S2D1 m5685 KD1 m143-168']</t>
  </si>
  <si>
    <t>LINESTRING Z (257577.462036133 6651507.94799805 -999999, 257579.016967773 6651504.05895996 -999999, 257579.588012695 6651496.19104004 -999999, 257578.642944336 6651492.20703125 -999999, 257578.651000977 6651492.18603516 -999999, 257576.696044922 6651488.03405762 -999999, 257576.645019531 6651487.68603516 -999999, 257576.849975586 6651487.40698242 -999999, 257577.194946289 6651487.32495117 -999999, 257593.099975586 6651491.4699707 -999999, 257593.949951172 6651491.65002441 -999999, 257594.25 6651492.04003906 -999999, 257594.079956055 6651492.34997559 -999999, 257590.189941406 6651494.70996094 -999999, 257588.359985352 6651496.01000977 -999999, 257586.699951172 6651497.36999512 -999999, 257584.439941406 6651499.61999512 -999999, 257582.989990234 6651501.34997559 -999999, 257581.709960937 6651503.11999512 -999999, 257580.650024414 6651504.97998047 -999999, 257579.560058594 6651507.77001953 -999999, 257579.25 6651508.68994141 -999999, 257578.83996582 6651509.29003906 -999999, 257578.229980469 6651509.31994629 -999999, 257577.599975586 6651508.98999024 -999999, 257577.433959961 6651508.86499023 -999999, 257577.33605957 6651508.4420166 -999999, 257577.462036133 6651507.94799805 -999999)</t>
  </si>
  <si>
    <t>POLYGON Z ((257577.462036133 6651507.94799805 -999999, 257579.016967773 6651504.05895996 -999999, 257579.588012695 6651496.19104004 -999999, 257578.642944336 6651492.20703125 -999999, 257578.651000977 6651492.18603516 -999999, 257576.696044922 6651488.03405762 -999999, 257576.645019531 6651487.68603516 -999999, 257576.849975586 6651487.40698242 -999999, 257577.194946289 6651487.32495117 -999999, 257593.099975586 6651491.4699707 -999999, 257593.949951172 6651491.65002441 -999999, 257594.25 6651492.04003906 -999999, 257594.079956055 6651492.34997559 -999999, 257590.189941406 6651494.70996094 -999999, 257588.359985352 6651496.01000977 -999999, 257586.699951172 6651497.36999512 -999999, 257584.439941406 6651499.61999512 -999999, 257582.989990234 6651501.34997559 -999999, 257581.709960937 6651503.11999512 -999999, 257580.650024414 6651504.97998047 -999999, 257579.560058594 6651507.77001953 -999999, 257579.25 6651508.68994141 -999999, 257578.83996582 6651509.29003906 -999999, 257578.229980469 6651509.31994629 -999999, 257577.599975586 6651508.98999024 -999999, 257577.433959961 6651508.86499023 -999999, 257577.33605957 6651508.4420166 -999999, 257577.462036133 6651507.94799805 -999999))</t>
  </si>
  <si>
    <t>['FV1066 S1D1 m193-201']</t>
  </si>
  <si>
    <t>LINESTRING Z (258777.7217977535 6589933.033133299 32.92, 258777.6054791476 6589933.74691796 32.9, 258777.33630359263 6589933.992277717 32.89, 258776.98211368514 6589933.96401428 32.910000000000004, 258776.0355805716 6589933.718034141 32.87, 258775.00842434252 6589933.469295177 32.87, 258774.76317737804 6589932.979081672 32.84, 258774.82229389166 6589932.521635647 32.81, 258775.04372663164 6589931.748115649 32.81, 258775.61248123067 6589930.260022973 32.82, 258776.82650437497 6589926.463137269 32.79, 258777.268187092 6589925.458726879 32.77, 258777.75113773625 6589925.244276623 32.74, 258778.24658687087 6589925.390378327 32.8, 258778.4945362195 6589925.910487695 32.83, 258778.5631103981 6589926.446811593 32.85, 258778.31448254883 6589929.031198625 32.88, 258777.7217977535 6589933.033133299 32.92)</t>
  </si>
  <si>
    <t>POLYGON Z ((258777.7217977535 6589933.033133299 32.92, 258777.6054791476 6589933.74691796 32.9, 258777.33630359263 6589933.992277717 32.89, 258776.98211368514 6589933.96401428 32.910000000000004, 258776.0355805716 6589933.718034141 32.87, 258775.00842434252 6589933.469295177 32.87, 258774.76317737804 6589932.979081672 32.84, 258774.82229389166 6589932.521635647 32.81, 258775.04372663164 6589931.748115649 32.81, 258775.61248123067 6589930.260022973 32.82, 258776.82650437497 6589926.463137269 32.79, 258777.268187092 6589925.458726879 32.77, 258777.75113773625 6589925.244276623 32.74, 258778.24658687087 6589925.390378327 32.8, 258778.4945362195 6589925.910487695 32.83, 258778.5631103981 6589926.446811593 32.85, 258778.31448254883 6589929.031198625 32.88, 258777.7217977535 6589933.033133299 32.92))</t>
  </si>
  <si>
    <t>['FV1066 S1D1 m1657-1660']</t>
  </si>
  <si>
    <t>LINESTRING Z (257548.5941131732 6589943.189598192 16.67, 257555.8606856103 6589940.774547596 16.57, 257556.0854983274 6589940.482961712 16.56, 257556.15002042556 6589940.085303383 16.55, 257556.059600375 6589939.7518850425 16.580000000000002, 257555.9328656067 6589939.572451617 16.59, 257555.7463385039 6589939.39842308 16.59, 257555.62224975834 6589939.359405917 16.59, 257548.1138054799 6589941.766179831 16.65, 257548.02315973595 6589941.874841883 16.65, 257547.8690055507 6589942.170087473 16.66, 257547.87238313185 6589942.652029445 16.67, 257548.1375632953 6589943.140446382 16.67, 257548.38844325076 6589943.248376878 16.67, 257548.5941131732 6589943.189598192 16.67)</t>
  </si>
  <si>
    <t>POLYGON Z ((257548.5941131732 6589943.189598192 16.67, 257555.8606856103 6589940.774547596 16.57, 257556.0854983274 6589940.482961712 16.56, 257556.15002042556 6589940.085303383 16.55, 257556.059600375 6589939.7518850425 16.580000000000002, 257555.9328656067 6589939.572451617 16.59, 257555.7463385039 6589939.39842308 16.59, 257555.62224975834 6589939.359405917 16.59, 257548.1138054799 6589941.766179831 16.65, 257548.02315973595 6589941.874841883 16.65, 257547.8690055507 6589942.170087473 16.66, 257547.87238313185 6589942.652029445 16.67, 257548.1375632953 6589943.140446382 16.67, 257548.38844325076 6589943.248376878 16.67, 257548.5941131732 6589943.189598192 16.67))</t>
  </si>
  <si>
    <t>2015-11-25</t>
  </si>
  <si>
    <t>['RV9 S1D1 m467-555']</t>
  </si>
  <si>
    <t>LINESTRING Z (87167.17 6466802.94 8.894, 87166.25 6466803.37 9.004, 87163.51 6466804.63 8.954, 87160.86 6466805.77 8.914, 87158.05 6466806.88 8.884, 87154.53 6466808.26 8.854, 87150 6466809.88 8.844, 87145.77 6466811.28 8.854, 87141.49 6466812.59 8.894, 87137.51 6466813.74 8.944, 87133.34 6466814.88 8.994, 87129.46 6466815.91 9.044, 87125.16 6466817.07 9.104, 87122.05 6466817.88 9.154, 87118.86 6466818.73 9.194, 87116.16 6466819.47 9.234, 87115.26 6466819.73 9.244, 87115.19 6466819.76 9.244, 87115.07 6466819.86 9.244, 87115.05 6466820 9.254, 87115.16 6466820.2 9.244, 87115.39 6466820.23 9.244, 87116.39 6466820.18 9.234, 87118.07 6466820.03 9.214, 87119.24 6466819.84 9.194, 87119.48 6466819.79 9.194, 87122.97 6466818.89 9.154, 87126.88 6466817.85 9.104, 87130.8 6466816.79 9.054, 87135.87 6466815.43 9.004, 87140.95 6466813.99 8.944, 87144.85 6466812.77 8.914, 87149.07 6466811.47 8.894, 87152.26 6466810.54 8.904, 87155.46 6466809.66 8.924, 87156.49 6466809.4 8.934, 87157.96 6466809.04 8.944, 87161.17 6466808.36 9.004, 87164.37 6466807.59 9.054, 87167.37 6466806.7 9.124, 87168.55 6466806.27 9.154, 87169.45 6466805.93 9.044, 87171.2 6466805.24 9.094, 87173.42 6466804.2 9.134, 87175.83 6466802.87 9.204, 87178.47 6466801.28 9.264, 87180.2 6466800.09 9.304, 87180.99 6466799.48 9.464, 87184.37 6466796.93 9.554, 87187.51 6466794.44 9.644, 87190.11 6466792.25 9.724, 87192.57 6466790.05 9.794, 87194.23 6466788.52 9.844, 87195.02 6466787.76 9.864, 87195.29 6466787.33 9.874, 87195.28 6466786.74 9.874, 87194.83 6466786.4 9.874, 87194.52 6466786.4 9.864, 87193.81 6466786.4 9.844, 87192.82 6466786.6 9.834, 87191.45 6466787.14 9.794, 87189.76 6466788.21 9.744, 87189.35 6466788.52 9.724, 87187.31 6466790.16 9.664, 87184.78 6466792.15 9.574, 87182.39 6466793.98 9.504, 87179.79 6466795.82 9.414, 87178.81 6466796.46 9.394, 87177.9 6466797.04 9.224, 87176.41 6466797.95 9.164, 87174.53 6466799.06 9.104, 87172.74 6466800.09 9.054, 87169.9 6466801.61 8.974)</t>
  </si>
  <si>
    <t>POLYGON Z ((87167.17 6466802.94 8.894, 87166.25 6466803.37 9.004, 87163.51 6466804.63 8.954, 87160.86 6466805.77 8.914, 87158.05 6466806.88 8.884, 87154.53 6466808.26 8.854, 87150 6466809.88 8.844, 87145.77 6466811.28 8.854, 87141.49 6466812.59 8.894, 87137.51 6466813.74 8.944, 87133.34 6466814.88 8.994, 87129.46 6466815.91 9.044, 87125.16 6466817.07 9.104, 87122.05 6466817.88 9.154, 87118.86 6466818.73 9.194, 87116.16 6466819.47 9.234, 87115.26 6466819.73 9.244, 87115.19 6466819.76 9.244, 87115.07 6466819.86 9.244, 87115.05 6466820 9.254, 87115.16 6466820.2 9.244, 87115.39 6466820.23 9.244, 87116.39 6466820.18 9.234, 87118.07 6466820.03 9.214, 87119.24 6466819.84 9.194, 87119.48 6466819.79 9.194, 87122.97 6466818.89 9.154, 87126.88 6466817.85 9.104, 87130.8 6466816.79 9.054, 87135.87 6466815.43 9.004, 87140.95 6466813.99 8.944, 87144.85 6466812.77 8.914, 87149.07 6466811.47 8.894, 87152.26 6466810.54 8.904, 87155.46 6466809.66 8.924, 87156.49 6466809.4 8.934, 87157.96 6466809.04 8.944, 87161.17 6466808.36 9.004, 87164.37 6466807.59 9.054, 87167.37 6466806.7 9.124, 87168.55 6466806.27 9.154, 87169.45 6466805.93 9.044, 87171.2 6466805.24 9.094, 87173.42 6466804.2 9.134, 87175.83 6466802.87 9.204, 87178.47 6466801.28 9.264, 87180.2 6466800.09 9.304, 87180.99 6466799.48 9.464, 87184.37 6466796.93 9.554, 87187.51 6466794.44 9.644, 87190.11 6466792.25 9.724, 87192.57 6466790.05 9.794, 87194.23 6466788.52 9.844, 87195.02 6466787.76 9.864, 87195.29 6466787.33 9.874, 87195.28 6466786.74 9.874, 87194.83 6466786.4 9.874, 87194.52 6466786.4 9.864, 87193.81 6466786.4 9.844, 87192.82 6466786.6 9.834, 87191.45 6466787.14 9.794, 87189.76 6466788.21 9.744, 87189.35 6466788.52 9.724, 87187.31 6466790.16 9.664, 87184.78 6466792.15 9.574, 87182.39 6466793.98 9.504, 87179.79 6466795.82 9.414, 87178.81 6466796.46 9.394, 87177.9 6466797.04 9.224, 87176.41 6466797.95 9.164, 87174.53 6466799.06 9.104, 87172.74 6466800.09 9.054, 87169.9 6466801.61 8.974, 87167.17 6466802.94 8.894))</t>
  </si>
  <si>
    <t>2025-11-22T09:09:24Z</t>
  </si>
  <si>
    <t>[884]</t>
  </si>
  <si>
    <t>['FV884 S2D1 m13098-13109']</t>
  </si>
  <si>
    <t>LINESTRING Z (295859.47237441747 6555074.9822677625 14.13, 295859.25607088406 6555074.810937177 14.13, 295859.1105766817 6555074.422317784 14.13, 295859.140638888 6555074.198657448 14.13, 295859.2540783322 6555073.897181261 14.13, 295859.3637518033 6555073.7768228715 14.17, 295863.23236383096 6555072.795497812 14.15, 295864.39436843107 6555072.650616633 14.22, 295866.3923130415 6555072.42036568 14.22, 295868.7377795719 6555072.480183419 14.22, 295869.89314987604 6555072.707500157 14.24, 295870.28150652023 6555072.893456762 14.25, 295870.5193550093 6555073.303883817 14.280000000000001, 295870.4546544923 6555073.811876274 14.290000000000001, 295870.13003507763 6555074.333246775 14.34, 295869.6208821954 6555074.590034699 14.34, 295867.7396176237 6555075.000593331 14.38, 295866.05131614814 6555075.323461341 14.32, 295864.50266274554 6555075.412794253 14.25, 295859.721345708 6555075.070308679 14.13, 295859.47237441747 6555074.9822677625 14.13)</t>
  </si>
  <si>
    <t>POLYGON Z ((295859.47237441747 6555074.9822677625 14.13, 295859.25607088406 6555074.810937177 14.13, 295859.1105766817 6555074.422317784 14.13, 295859.140638888 6555074.198657448 14.13, 295859.2540783322 6555073.897181261 14.13, 295859.3637518033 6555073.7768228715 14.17, 295863.23236383096 6555072.795497812 14.15, 295864.39436843107 6555072.650616633 14.22, 295866.3923130415 6555072.42036568 14.22, 295868.7377795719 6555072.480183419 14.22, 295869.89314987604 6555072.707500157 14.24, 295870.28150652023 6555072.893456762 14.25, 295870.5193550093 6555073.303883817 14.280000000000001, 295870.4546544923 6555073.811876274 14.290000000000001, 295870.13003507763 6555074.333246775 14.34, 295869.6208821954 6555074.590034699 14.34, 295867.7396176237 6555075.000593331 14.38, 295866.05131614814 6555075.323461341 14.32, 295864.50266274554 6555075.412794253 14.25, 295859.721345708 6555075.070308679 14.13, 295859.47237441747 6555074.9822677625 14.13))</t>
  </si>
  <si>
    <t>[152]</t>
  </si>
  <si>
    <t>['FV152 S1D1 m319-336']</t>
  </si>
  <si>
    <t>LINESTRING Z (255732.390014648 6625090.10009766 114.014, 255732.25 6625087.0300293 114.174, 255732.020019531 6625083.20996094 114.364, 255731.880004883 6625080.05004883 114.524, 255731.729980469 6625077.05004883 114.664, 255731.599975586 6625074 114.804, 255731.489990234 6625073.61010742 114.814, 255731.479980469 6625073.63989258 114.814, 255731.099975586 6625073.45996094 114.844, 255730.709960938 6625073.58007813 114.854, 255730.540039063 6625073.83007813 114.824, 255730.469970703 6625074.73999023 114.794, 255730.16003418 6625078.93994141 114.604, 255729.949951172 6625082.52001953 114.414, 255729.780029297 6625085.83007812 114.244, 255729.729980469 6625089.73999024 114.024)</t>
  </si>
  <si>
    <t>POLYGON Z ((255732.390014648 6625090.10009766 114.014, 255732.25 6625087.0300293 114.174, 255732.020019531 6625083.20996094 114.364, 255731.880004883 6625080.05004883 114.524, 255731.729980469 6625077.05004883 114.664, 255731.599975586 6625074 114.804, 255731.489990234 6625073.61010742 114.814, 255731.479980469 6625073.63989258 114.814, 255731.099975586 6625073.45996094 114.844, 255730.709960938 6625073.58007813 114.854, 255730.540039063 6625073.83007813 114.824, 255730.469970703 6625074.73999023 114.794, 255730.16003418 6625078.93994141 114.604, 255729.949951172 6625082.52001953 114.414, 255729.780029297 6625085.83007812 114.244, 255729.729980469 6625089.73999024 114.024, 255732.390014648 6625090.10009766 114.014))</t>
  </si>
  <si>
    <t>['FV220 S3D1 m7094-7103']</t>
  </si>
  <si>
    <t>LINESTRING Z (295854.66593453055 6554166.963925782 13.72, 295852.25889941247 6554166.889551239 13.81, 295850.5697865022 6554167.091960355 13.75, 295849.44646754704 6554167.554730522 13.74, 295847.88328823604 6554168.820419221 13.72, 295847.04718434263 6554170.241548022 13.76, 295846.6977060508 6554171.267317412 13.77, 295846.59846315003 6554173.063955844 13.75, 295847.1104263299 6554174.9561717585 13.76, 295848.0972574831 6554176.434001117 13.8, 295849.2528163403 6554177.555157592 13.790000000000001, 295850.45486167807 6554178.300525692 13.790000000000001, 295851.4969652472 6554178.608359202 13.68, 295854.66593453055 6554166.963925782 13.72)</t>
  </si>
  <si>
    <t>POLYGON Z ((295854.66593453055 6554166.963925782 13.72, 295852.25889941247 6554166.889551239 13.81, 295850.5697865022 6554167.091960355 13.75, 295849.44646754704 6554167.554730522 13.74, 295847.88328823604 6554168.820419221 13.72, 295847.04718434263 6554170.241548022 13.76, 295846.6977060508 6554171.267317412 13.77, 295846.59846315003 6554173.063955844 13.75, 295847.1104263299 6554174.9561717585 13.76, 295848.0972574831 6554176.434001117 13.8, 295849.2528163403 6554177.555157592 13.790000000000001, 295850.45486167807 6554178.300525692 13.790000000000001, 295851.4969652472 6554178.608359202 13.68, 295854.66593453055 6554166.963925782 13.72))</t>
  </si>
  <si>
    <t>2025-11-22T09:09:29Z</t>
  </si>
  <si>
    <t>['FV21 S4D1 m99-106']</t>
  </si>
  <si>
    <t>LINESTRING Z (311498.482190714 6569233.768382646 117.02, 311498.58947111946 6569229.059005853 117, 311498.51449903444 6569228.7845925335 117, 311498.32628697867 6569228.590692018 117, 311497.9659678949 6569228.492658246 117, 311497.63096373866 6569228.4525927 116.99000000000001, 311497.29041886656 6569228.573700505 116.97, 311497.1173391356 6569228.770075885 116.97, 311497.1232000515 6569230.8382168105 116.96000000000001, 311497.1412013825 6569233.708629161 117, 311497.08377505315 6569235.631849524 117, 311497.1823382967 6569235.833839488 117, 311497.38328169973 6569235.946254496 117, 311497.68660526106 6569235.969094545 117.01, 311498.0452005626 6569235.936736717 117.03, 311498.22996505105 6569235.869854073 117.03, 311498.42746087234 6569235.721485926 117.02, 311498.482190714 6569233.768382646 117.02)</t>
  </si>
  <si>
    <t>POLYGON Z ((311498.482190714 6569233.768382646 117.02, 311498.58947111946 6569229.059005853 117, 311498.51449903444 6569228.7845925335 117, 311498.32628697867 6569228.590692018 117, 311497.9659678949 6569228.492658246 117, 311497.63096373866 6569228.4525927 116.99000000000001, 311497.29041886656 6569228.573700505 116.97, 311497.1173391356 6569228.770075885 116.97, 311497.1232000515 6569230.8382168105 116.96000000000001, 311497.1412013825 6569233.708629161 117, 311497.08377505315 6569235.631849524 117, 311497.1823382967 6569235.833839488 117, 311497.38328169973 6569235.946254496 117, 311497.68660526106 6569235.969094545 117.01, 311498.0452005626 6569235.936736717 117.03, 311498.22996505105 6569235.869854073 117.03, 311498.42746087234 6569235.721485926 117.02, 311498.482190714 6569233.768382646 117.02))</t>
  </si>
  <si>
    <t>['FV1398 S1D1 m686-715']</t>
  </si>
  <si>
    <t>LINESTRING Z (252667.609985352 6629870.14001465 46.577, 252666.770019531 6629870.85998535 46.647, 252665.949951172 6629871.67999268 46.647, 252664.959960938 6629873.05999756 46.617, 252664.349975586 6629874.58001709 46.627, 252664.140014648 6629875.51000977 46.647, 252664.020019531 6629876.4699707 46.637, 252664.189941406 6629876.97998047 46.617, 252664.689941406 6629877.40002441 46.637, 252665.369995117 6629877.34997559 46.627, 252666.109985352 6629876.89001465 46.647, 252669.599975586 6629874.21002197 46.687, 252670.5 6629873.51000977 46.587, 252673.719970703 6629871.02001953 46.758, 252672.859985352 6629871.67999268 46.618, 252673.719970703 6629871.02001953 46.758, 252678.099975586 6629867.65997314 46.818, 252680.670043945 6629865.48999024 46.878, 252682.300048828 6629863.89001465 46.928, 252683.760009766 6629862.14001465 46.968, 252684.780029297 6629860.71002197 46.998, 252685.369995117 6629859.72998047 47.008, 252685.849975586 6629858.7800293 47.028, 252685.959960938 6629858.10998535 47.048, 252685.75 6629857.5300293 47.068, 252685.16003418 6629857.10998535 47.038, 252684.41003418 6629857.15997315 47.048, 252683.550048828 6629857.75 47.038, 252679.079956055 6629861.26000977 46.888, 252674.560058594 6629864.76000977 46.798, 252670.900024414 6629867.58001709 46.738, 252670.020019531 6629868.23999023 46.588, 252667.609985352 6629870.14001465 46.577)</t>
  </si>
  <si>
    <t>2016-04-25</t>
  </si>
  <si>
    <t>['FV170 S3D1 m9623-9629']</t>
  </si>
  <si>
    <t>LINESTRING Z (307465.895996094 6644037.61791992 129.955, 307465.980957031 6644037.44189453 129.966, 307466.299804688 6644037.27099609 129.973, 307466.508789063 6644037.27587891 129.968, 307467.455078125 6644037.49291992 130.014, 307468.67578125 6644037.78491211 130.043, 307468.901855469 6644037.94799805 130.057, 307469.024902344 6644038.18505859 130.07, 307468.991210938 6644038.41992188 130.066, 307468.661132812 6644039.70800781 130.076, 307468.196777344 6644041.37011719 130.106, 307470.595214844 6644042.03491211 130.137, 307472.979980469 6644042.7109375 130.214, 307472.577148438 6644044.14599609 130.209, 307476.793945313 6644045.29711914 130.312, 307481.24609375 6644046.56494141 130.395, 307481.648925781 6644045.14306641 130.389, 307487.173828125 6644046.67602539 130.521, 307488.961914063 6644047.17211914 130.583, 307491.200195313 6644047.82104492 130.687, 307491.541015625 6644047.93701172 130.663)</t>
  </si>
  <si>
    <t>POINT (307477.15043282334 6644043.808673606)</t>
  </si>
  <si>
    <t>['FV220 S4D1 m4709-4713']</t>
  </si>
  <si>
    <t>LINESTRING Z (293354.177503963 6559072.032521526 7.09, 293354.51923517894 6559072.815240343 7.13, 293355.0884767503 6559073.336406657 7.12, 293358.56591725774 6559075.925510851 7.04, 293361.12354699406 6559078.11544155 6.95, 293364.0895571733 6559080.379037938 6.86, 293364.8454768767 6559080.742767415 6.8500000000000005, 293365.214091078 6559080.709539359 6.8500000000000005, 293365.53306041786 6559080.459829457 6.84, 293365.6320396267 6559080.109428175 6.83, 293365.5997935642 6559079.640290461 6.83, 293362.8257912464 6559076.16420943 6.87, 293360.17499038647 6559073.832024971 6.98, 293358.57292575785 6559072.6607415695 7.0600000000000005, 293356.39482952026 6559071.561470415 7.1000000000000005, 293355.1353941237 6559071.182868309 7.15, 293354.4913368523 6559071.391578136 7.16, 293354.177503963 6559072.032521526 7.09)</t>
  </si>
  <si>
    <t>POLYGON Z ((293354.177503963 6559072.032521526 7.09, 293354.51923517894 6559072.815240343 7.13, 293355.0884767503 6559073.336406657 7.12, 293358.56591725774 6559075.925510851 7.04, 293361.12354699406 6559078.11544155 6.95, 293364.0895571733 6559080.379037938 6.86, 293364.8454768767 6559080.742767415 6.8500000000000005, 293365.214091078 6559080.709539359 6.8500000000000005, 293365.53306041786 6559080.459829457 6.84, 293365.6320396267 6559080.109428175 6.83, 293365.5997935642 6559079.640290461 6.83, 293362.8257912464 6559076.16420943 6.87, 293360.17499038647 6559073.832024971 6.98, 293358.57292575785 6559072.6607415695 7.0600000000000005, 293356.39482952026 6559071.561470415 7.1000000000000005, 293355.1353941237 6559071.182868309 7.15, 293354.4913368523 6559071.391578136 7.16, 293354.177503963 6559072.032521526 7.09))</t>
  </si>
  <si>
    <t>2025-12-09T11:04:58Z</t>
  </si>
  <si>
    <t>['FV921 S1D1 m1320-1327']</t>
  </si>
  <si>
    <t>LINESTRING Z (291986.9626518565 6560467.0718529625 63.01, 291983.8842142334 6560464.89874217 62.92, 291983.1887900838 6560464.760565165 63.01, 291982.60809612426 6560465.003746315 63.01, 291982.1992964541 6560465.482521188 63.01, 291982.054016727 6560465.987756711 62.980000000000004, 291982.30724323355 6560466.457065097 63, 291985.7495602106 6560468.878592173 62.980000000000004, 291986.5245202101 6560469.230558492 63, 291987.00182949053 6560469.177483268 62.980000000000004, 291987.4205090919 6560468.808297611 62.97, 291987.6390374085 6560468.44711287 62.99, 291987.60776655015 6560467.877445159 63.03, 291987.4133351085 6560467.503272456 63.03, 291986.9626518565 6560467.0718529625 63.01)</t>
  </si>
  <si>
    <t>POLYGON Z ((291986.9626518565 6560467.0718529625 63.01, 291983.8842142334 6560464.89874217 62.92, 291983.1887900838 6560464.760565165 63.01, 291982.60809612426 6560465.003746315 63.01, 291982.1992964541 6560465.482521188 63.01, 291982.054016727 6560465.987756711 62.980000000000004, 291982.30724323355 6560466.457065097 63, 291985.7495602106 6560468.878592173 62.980000000000004, 291986.5245202101 6560469.230558492 63, 291987.00182949053 6560469.177483268 62.980000000000004, 291987.4205090919 6560468.808297611 62.97, 291987.6390374085 6560468.44711287 62.99, 291987.60776655015 6560467.877445159 63.03, 291987.4133351085 6560467.503272456 63.03, 291986.9626518565 6560467.0718529625 63.01))</t>
  </si>
  <si>
    <t>2016-06-22</t>
  </si>
  <si>
    <t>[6662]</t>
  </si>
  <si>
    <t>['FV6662 S1D1 m2719-2738']</t>
  </si>
  <si>
    <t>LINESTRING Z (271672.93 7037252.98 121.932, 271671.45 7037252.76 121.942, 271666.5 7037251.97 121.962, 271663.32 7037251.37 122.032, 271662.58 7037250.72 122.062, 271662.41 7037249.67 122.092, 271663.01 7037248.83 122.082, 271663.87 7037248.52 122.092, 271664.98 7037248.47 122.072, 271667.29 7037248.53 122.042, 271672.12 7037249.21 122.052, 271676.65 7037249.84 122.062, 271681.23 7037250.54 122.002)</t>
  </si>
  <si>
    <t>POLYGON Z ((271672.93 7037252.98 121.932, 271671.45 7037252.76 121.942, 271666.5 7037251.97 121.962, 271663.32 7037251.37 122.032, 271662.58 7037250.72 122.062, 271662.41 7037249.67 122.092, 271663.01 7037248.83 122.082, 271663.87 7037248.52 122.092, 271664.98 7037248.47 122.072, 271667.29 7037248.53 122.042, 271672.12 7037249.21 122.052, 271676.65 7037249.84 122.062, 271681.23 7037250.54 122.002, 271672.93 7037252.98 121.932))</t>
  </si>
  <si>
    <t>[1642]</t>
  </si>
  <si>
    <t>['FV1642 S1D1 m876 KD1 m0-56']</t>
  </si>
  <si>
    <t>LINESTRING Z (248334.522949219 6649399.64501953 40.112, 248334.125 6649399.9699707 40.127, 248335.779052734 6649398.20800781 40.142, 248336.833984375 6649396.41296387 40.145, 248337.505004883 6649394.31494141 40.105, 248337.724975586 6649392.41394043 40.109, 248337.50402832 6649390.08996582 40.07, 248337.083007813 6649388.59204102 40.055, 248336.447998047 6649387.20495605 40.044, 248335.578979492 6649385.89099121 40.031, 248334.342041016 6649384.56005859 40.002, 248332.983032227 6649383.53100586 39.997, 248331.224975586 6649382.63000488 39.973, 248329.562988281 6649382.10400391 39.95, 248328.125976563 6649381.93395996 39.933, 248326.531005859 6649381.94799805 39.903, 248324.741943359 6649382.28100586 39.881, 248323.081054688 6649382.90100098 39.865, 248321.848022461 6649383.59997559 39.857, 248320.54296875 6649384.58703613 39.846, 248319.45703125 6649385.74304199 39.842, 248318.581054688 6649387.07397461 39.84, 248317.943969727 6649388.35803223 39.851, 248317.474975586 6649389.85998535 39.848, 248317.229003906 6649391.62902832 39.868, 248317.323974609 6649393.65795898 39.892, 248317.943969727 6649396.00500488 39.905, 248318.947998047 6649397.86096191 39.935, 248320.182983398 6649399.39294434 39.961, 248321.935058594 6649400.79296875 39.989, 248323.776977539 6649401.73205567 40.011, 248325.876953125 6649402.31298828 40.03, 248327.83996582 6649402.42700195 40.051, 248329.415039063 6649402.24499512 40.07, 248331.400024414 6649401.70104981 40.093, 248333.140991211 6649400.71203613 40.102, 248334.522949219 6649399.64501953 40.112)</t>
  </si>
  <si>
    <t>2016-07-18</t>
  </si>
  <si>
    <t>2025-04-30T11:42:24Z</t>
  </si>
  <si>
    <t>[1210]</t>
  </si>
  <si>
    <t>['KV1210 S1D1 m1723-1728']</t>
  </si>
  <si>
    <t>LINESTRING (-12576.621120048221 6766151.120616944, -12578.646337433136 6766146.911705971)</t>
  </si>
  <si>
    <t>POINT (-12577.633728740679 6766149.016161457)</t>
  </si>
  <si>
    <t>['KV1098 S1D1 m492-504']</t>
  </si>
  <si>
    <t>LINESTRING (-19363.963376038417 6759098.943424483, -19360.588983254856 6759087.0393097205)</t>
  </si>
  <si>
    <t>POINT (-19362.276179646637 6759092.991367102)</t>
  </si>
  <si>
    <t>['KV1098 S1D1 m543-555']</t>
  </si>
  <si>
    <t>LINESTRING (-19362.93957552407 6759074.604987615, -19362.976840031508 6759068.29091532, -19359.33484819095 6759065.363094766)</t>
  </si>
  <si>
    <t>POLYGON ((-19362.93957552407 6759074.604987615, -19362.976840031508 6759068.29091532, -19359.33484819095 6759065.363094766, -19362.93957552407 6759074.604987615))</t>
  </si>
  <si>
    <t>2025-11-22T09:09:34Z</t>
  </si>
  <si>
    <t>[1064]</t>
  </si>
  <si>
    <t>['KV1064 S1D1 m6-19']</t>
  </si>
  <si>
    <t>LINESTRING Z (-33807.7488151559 6755482.63925494 -999999, -33806.5604120225 6755482.98904421 -999999, -33804.2713531733 6755482.88894454 -999999, -33798.4705761446 6755481.8889454 -999999, -33789.8221544004 6755480.64837517 -999999)</t>
  </si>
  <si>
    <t>POINT (-33798.799087447835 6755481.948209727)</t>
  </si>
  <si>
    <t>[1046]</t>
  </si>
  <si>
    <t>['KV1046 S2D1 m4-13']</t>
  </si>
  <si>
    <t>LINESTRING (-31586.177396979765 6751647.139982427, -31584.760026968434 6751643.132504507, -31583.127927082824 6751638.561557941)</t>
  </si>
  <si>
    <t>POINT (-31584.65586431571 6751642.84963219)</t>
  </si>
  <si>
    <t>['FV4448 S1D1 m4145-4160']</t>
  </si>
  <si>
    <t>LINESTRING (-45157.952714676736 6547146.589636618, -45148.8687270697 6547137.361319539)</t>
  </si>
  <si>
    <t>POINT (-45153.41072087322 6547141.975478079)</t>
  </si>
  <si>
    <t>[2810]</t>
  </si>
  <si>
    <t>['FV2810 S1D1 m18-19']</t>
  </si>
  <si>
    <t>LINESTRING Z (160045.19 6696376.02 470.072, 160045.28 6696376.94 470.142)</t>
  </si>
  <si>
    <t>POINT (160045.235 6696376.48)</t>
  </si>
  <si>
    <t>2016-08-21</t>
  </si>
  <si>
    <t>[1213]</t>
  </si>
  <si>
    <t>['KV1213 S1D1 m4-8']</t>
  </si>
  <si>
    <t>LINESTRING (-43836.92495322763 6742391.053378698, -43837.57935619564 6742391.67632723, -43839.86547055503 6742393.515957771)</t>
  </si>
  <si>
    <t>POINT (-43838.37629059384 6742392.306276936)</t>
  </si>
  <si>
    <t>2016-08-22</t>
  </si>
  <si>
    <t>[1101]</t>
  </si>
  <si>
    <t>['KV1101 S1D1 m9-11']</t>
  </si>
  <si>
    <t>LINESTRING (-40247.10499111004 6743102.890122204, -40245.30813742045 6743102.394531251)</t>
  </si>
  <si>
    <t>POINT (-40246.206564265245 6743102.6423267275)</t>
  </si>
  <si>
    <t>['KV1101 S1D1 m13-14']</t>
  </si>
  <si>
    <t>LINESTRING Z (-40243.5554276131 6743101.60662612 -999999, -40242.1356016864 6743101.09322866 -999999)</t>
  </si>
  <si>
    <t>POINT (-40242.84551464975 6743101.34992739)</t>
  </si>
  <si>
    <t>[1157]</t>
  </si>
  <si>
    <t>['KV1157 S1D1 m563-575']</t>
  </si>
  <si>
    <t>LINESTRING (-38726.75871264271 6737306.886676656, -38726.90005427541 6737299.6227036705, -38728.31460391998 6737294.789703553, -38728.50588868791 6737294.215870708)</t>
  </si>
  <si>
    <t>POINT (-38727.20701999229 6737300.484461588)</t>
  </si>
  <si>
    <t>2016-08-09</t>
  </si>
  <si>
    <t>[1190]</t>
  </si>
  <si>
    <t>['KV1190 S1D1 m9-18']</t>
  </si>
  <si>
    <t>LINESTRING (-39136.55789118551 6778944.034824439, -39132.970606023795 6778952.691631622)</t>
  </si>
  <si>
    <t>POINT (-39134.76424860465 6778948.3632280305)</t>
  </si>
  <si>
    <t>2017-03-02</t>
  </si>
  <si>
    <t>[6226]</t>
  </si>
  <si>
    <t>['FV6226 S1D1 m2856-2859']</t>
  </si>
  <si>
    <t>LINESTRING Z (99168.8188680524 6981102.43044352 -999999, 99166.0407430524 6981103.02575602 -999999)</t>
  </si>
  <si>
    <t>POINT (99167.42980555241 6981102.72809977)</t>
  </si>
  <si>
    <t>['FV6226 S1D1 m2838-2846']</t>
  </si>
  <si>
    <t>LINESTRING Z (99204.1724930523 6981094.69138102 -999999, 99196.4889930524 6981096.40588102 -999999)</t>
  </si>
  <si>
    <t>POINT (99200.33074305236 6981095.54863102)</t>
  </si>
  <si>
    <t>2016-08-30</t>
  </si>
  <si>
    <t>2025-09-28T18:37:09Z</t>
  </si>
  <si>
    <t>[1107]</t>
  </si>
  <si>
    <t>['KV1107 S1D1 m406-413']</t>
  </si>
  <si>
    <t>LINESTRING (5997848.756295993 813450.0536228548, 5997841.699719333 813436.7319806332, 5997846.956577847 813429.9198517706, 5997849.045013572 813447.9989008821)</t>
  </si>
  <si>
    <t>POLYGON ((5997848.756295993 813450.0536228548, 5997841.699719333 813436.7319806332, 5997846.956577847 813429.9198517706, 5997849.045013572 813447.9989008821, 5997848.756295993 813450.0536228548))</t>
  </si>
  <si>
    <t>['FV6226 S1D1 m2851 KD1 m38-39']</t>
  </si>
  <si>
    <t>LINESTRING Z (99183.2809930523 6981082.81688102 -999999, 99181.6299930523 6981082.88038102 -999999)</t>
  </si>
  <si>
    <t>POINT (99182.4554930523 6981082.84863102)</t>
  </si>
  <si>
    <t>LINESTRING Z (99182.8364930523 6981076.59388102 -999999, 99181.7569930524 6981076.59388102 -999999)</t>
  </si>
  <si>
    <t>POINT (99182.29674305234 6981076.59388102)</t>
  </si>
  <si>
    <t>2016-09-12</t>
  </si>
  <si>
    <t>[4801]</t>
  </si>
  <si>
    <t>['KV4801 S1D1 m382-393']</t>
  </si>
  <si>
    <t>LINESTRING (-50244.347952840966 6624501.330826903, -50234.07618087216 6624503.082788876)</t>
  </si>
  <si>
    <t>POINT (-50239.21206685656 6624502.206807889)</t>
  </si>
  <si>
    <t>2021-04-29</t>
  </si>
  <si>
    <t>[4830]</t>
  </si>
  <si>
    <t>['KV4830 S1D1 m9-32']</t>
  </si>
  <si>
    <t>LINESTRING (-49522.623321840074 6624639.414713425, -49500.69153926149 6624642.661509603)</t>
  </si>
  <si>
    <t>POINT (-49511.65743055078 6624641.0381115135)</t>
  </si>
  <si>
    <t>2016-10-06</t>
  </si>
  <si>
    <t>[2400]</t>
  </si>
  <si>
    <t>['KV2400 S1D1 m7-17']</t>
  </si>
  <si>
    <t>LINESTRING (31722.382522093423 6694384.981302816, 31723.406191915506 6694384.770783224, 31732.37232879456 6694390.609016626, 31731.313416703546 6694391.724785413, 31726.512756408076 6694389.0885972725, 31722.23024987959 6694386.374488656)</t>
  </si>
  <si>
    <t>POLYGON ((31722.382522093423 6694384.981302816, 31723.406191915506 6694384.770783224, 31732.37232879456 6694390.609016626, 31731.313416703546 6694391.724785413, 31726.512756408076 6694389.0885972725, 31722.23024987959 6694386.374488656, 31722.382522093423 6694384.981302816))</t>
  </si>
  <si>
    <t>2016-10-05</t>
  </si>
  <si>
    <t>['EV6 S179D1 m12909-12957']</t>
  </si>
  <si>
    <t>LINESTRING Z (680230.809570313 7685449.33984375 4.564, 680226.740234375 7685460.50976563 4.564, 680220.3203125 7685475.62011719 4.684, 680212.990234375 7685489.41015625 4.684, 680211.919921875 7685490.33007813 4.564, 680211.349609375 7685490.33984375 4.564, 680210.790039063 7685489.93017578 4.564, 680210.709960938 7685489 4.564, 680212.349609375 7685483.18017578 4.564, 680213.41015625 7685480.58984375 4.564, 680219.0703125 7685467.93017578 4.444, 680224.200195313 7685455.00976562 4.444, 680227.16015625 7685446.00976563 4.444, 680227.209960938 7685445.81005859 4.444)</t>
  </si>
  <si>
    <t>POLYGON Z ((680230.809570313 7685449.33984375 4.564, 680226.740234375 7685460.50976563 4.564, 680220.3203125 7685475.62011719 4.684, 680212.990234375 7685489.41015625 4.684, 680211.919921875 7685490.33007813 4.564, 680211.349609375 7685490.33984375 4.564, 680210.790039063 7685489.93017578 4.564, 680210.709960938 7685489 4.564, 680212.349609375 7685483.18017578 4.564, 680213.41015625 7685480.58984375 4.564, 680219.0703125 7685467.93017578 4.444, 680224.200195313 7685455.00976562 4.444, 680227.16015625 7685446.00976563 4.444, 680227.209960938 7685445.81005859 4.444, 680230.809570313 7685449.33984375 4.564))</t>
  </si>
  <si>
    <t>['FV118 S1D1 m406 SD1 m11-27']</t>
  </si>
  <si>
    <t>LINESTRING Z (286271.3229863774 6557273.03493125 56.09, 286266.04337502486 6557272.405911677 56, 286265.42116998695 6557272.411767985 55.96, 286265.0642924267 6557272.464020003 55.95, 286264.7934056283 6557272.578830581 55.93, 286264.6067137206 6557272.736273428 55.92, 286264.4860862744 6557272.958070709 55.92, 286264.45324546605 6557273.2623528605 55.92, 286264.50827714405 6557273.538627277 55.910000000000004, 286264.5706640117 6557273.673621708 55.910000000000004, 286264.84946054313 6557273.869464677 55.88, 286268.69099769276 6557275.4818383735 56.13, 286271.7703769217 6557276.550213311 56.230000000000004, 286273.3251829251 6557276.862068674 56.26, 286276.85701060866 6557277.266933449 56.43, 286278.7580905125 6557277.1859937925 56.5, 286279.3206024271 6557277.075032492 56.49, 286279.5199512659 6557276.946581172 56.480000000000004, 286279.58161188255 6557276.850627268 56.480000000000004, 286279.6507135278 6557276.502900809 56.480000000000004, 286279.6111184644 6557276.175014807 56.49, 286279.5415481068 6557275.960315195 56.49, 286279.39406842564 6557275.772725378 56.49, 286277.5102673924 6557274.596598098 56.4, 286276.2481562415 6557274.077569987 56.36, 286274.5965842881 6557273.583598235 56.300000000000004, 286271.3229863774 6557273.03493125 56.09)</t>
  </si>
  <si>
    <t>POLYGON Z ((286271.3229863774 6557273.03493125 56.09, 286266.04337502486 6557272.405911677 56, 286265.42116998695 6557272.411767985 55.96, 286265.0642924267 6557272.464020003 55.95, 286264.7934056283 6557272.578830581 55.93, 286264.6067137206 6557272.736273428 55.92, 286264.4860862744 6557272.958070709 55.92, 286264.45324546605 6557273.2623528605 55.92, 286264.50827714405 6557273.538627277 55.910000000000004, 286264.5706640117 6557273.673621708 55.910000000000004, 286264.84946054313 6557273.869464677 55.88, 286268.69099769276 6557275.4818383735 56.13, 286271.7703769217 6557276.550213311 56.230000000000004, 286273.3251829251 6557276.862068674 56.26, 286276.85701060866 6557277.266933449 56.43, 286278.7580905125 6557277.1859937925 56.5, 286279.3206024271 6557277.075032492 56.49, 286279.5199512659 6557276.946581172 56.480000000000004, 286279.58161188255 6557276.850627268 56.480000000000004, 286279.6507135278 6557276.502900809 56.480000000000004, 286279.6111184644 6557276.175014807 56.49, 286279.5415481068 6557275.960315195 56.49, 286279.39406842564 6557275.772725378 56.49, 286277.5102673924 6557274.596598098 56.4, 286276.2481562415 6557274.077569987 56.36, 286274.5965842881 6557273.583598235 56.300000000000004, 286271.3229863774 6557273.03493125 56.09))</t>
  </si>
  <si>
    <t>2021-01-27</t>
  </si>
  <si>
    <t>['EV18 S55D10 m1686-1689']</t>
  </si>
  <si>
    <t>LINESTRING Z (262613.08996582 6648904.58996582 3.178, 262612.219970703 6648905.07995606 3.168, 262612.180053711 6648905.10998535 3.168, 262612.130004883 6648905.13000488 3.168, 262612.079956055 6648905.15002442 3.168, 262612.040039063 6648905.16003418 3.168, 262611.989990234 6648905.18005371 3.168, 262611.939941406 6648905.18994141 3.168, 262611.890014648 6648905.18994141 3.158, 262611.849975586 6648905.20996094 3.158, 262611.800048828 6648905.20996094 3.158, 262611.739990234 6648905.20996094 3.158, 262611.709960937 6648905.20996094 3.158, 262611.650024414 6648905.20996094 3.158, 262611.599975586 6648905.19995117 3.158, 262611.550048828 6648905.19995117 3.158, 262611.5 6648905.18994141 3.158, 262611.459960938 6648905.17004395 3.158, 262611.41003418 6648905.16003418 3.148, 262611.369995117 6648905.14001465 3.148, 262611.319946289 6648905.13000488 3.148, 262611.270019531 6648905.09997559 3.148, 262611.229980469 6648905.07995606 3.148, 262611.189941406 6648905.06005859 3.148, 262611.150024414 6648905.0300293 3.148, 262611.109985352 6648904.98999024 3.148, 262611.069946289 6648904.9699707 3.148, 262611.040039063 6648904.93005371 3.148, 262611 6648904.89001465 3.138, 262610.969970703 6648904.85998535 3.138, 262610.939941406 6648904.81994629 3.138, 262610.91003418 6648904.7800293 3.138, 262610.880004883 6648904.73999024 3.138, 262610.849975586 6648904.69995117 3.138, 262610.170043945 6648903.4699707 3.118, 262610.109985352 6648903.38000488 3.118, 262608.16003418 6648899.89001465 3.038, 262608.109985352 6648899.80004883 3.038, 262607.420043945 6648898.57995606 3.008, 262607.400024414 6648898.54003906 3.008, 262607.390014648 6648898.48999023 3.008, 262607.359985352 6648898.43994141 3.008, 262607.349975586 6648898.40002441 3.008, 262607.329956055 6648898.34997559 3.008, 262607.319946289 6648898.31005859 3.008, 262607.319946289 6648898.26000977 3.008, 262607.310058594 6648898.20996094 3.008, 262607.300048828 6648898.16003418 2.998, 262607.300048828 6648898.11999512 2.998, 262607.300048828 6648898.06994629 2.998, 262607.300048828 6648898.02001953 2.998, 262607.310058594 6648897.9699707 2.998, 262607.310058594 6648897.91003418 2.998, 262607.319946289 6648897.86999512 2.998, 262607.33996582 6648897.81994629 2.998, 262607.349975586 6648897.77001953 2.998, 262607.369995117 6648897.72998047 2.998, 262607.380004883 6648897.68994141 2.998, 262607.41003418 6648897.63000488 2.998, 262607.430053711 6648897.58996582 2.998, 262607.449951172 6648897.55004883 2.998, 262607.479980469 6648897.52001953 2.998, 262607.520019531 6648897.4699707 3.008, 262607.540039062 6648897.43005371 3.008, 262607.579956055 6648897.40002441 3.008, 262607.609985352 6648897.36999512 3.008, 262607.640014648 6648897.32995606 3.008, 262607.680053711 6648897.30004883 3.008, 262607.729980469 6648897.27001953 3.008, 262607.770019531 6648897.23999023 3.008, 262607.800048828 6648897.2199707 3.008, 262608.670043945 6648896.72998047 3.028, 262608.719970703 6648896.69995117 3.028, 262608.760009766 6648896.68994141 3.028, 262608.810058594 6648896.66003418 3.028, 262608.859985352 6648896.65002441 3.038, 262608.91003418 6648896.63000488 3.038, 262608.949951172 6648896.61999512 3.038, 262608.989990234 6648896.61999512 3.038, 262609.040039063 6648896.59997559 3.038, 262609.08996582 6648896.59997559 3.038, 262609.140014648 6648896.59997559 3.038, 262609.189941406 6648896.59997559 3.038, 262609.239990234 6648896.59997559 3.048, 262609.300048828 6648896.60998535 3.048, 262609.349975586 6648896.60998535 3.048, 262609.390014648 6648896.61999512 3.048, 262609.439941406 6648896.64001465 3.048, 262609.479980469 6648896.65002441 3.048, 262609.530029297 6648896.67004395 3.048, 262609.569946289 6648896.68005371 3.058, 262609.630004883 6648896.70996094 3.058, 262609.670043945 6648896.72998047 3.058, 262609.709960938 6648896.75 3.058, 262609.739990234 6648896.7800293 3.058, 262609.790039063 6648896.81994629 3.058, 262609.829956055 6648896.83996582 3.058, 262609.859985352 6648896.88000488 3.068, 262609.900024414 6648896.92004395 3.068, 262609.930053711 6648896.94995117 3.068, 262609.959960938 6648896.98999024 3.068, 262609.989990234 6648897.0300293 3.068, 262610.020019531 6648897.06994629 3.068, 262610.040039063 6648897.10998535 3.068, 262610.719970703 6648898.32995606 3.098, 262610.780029297 6648898.41003418 3.098, 262612.729980469 6648901.90002441 3.178, 262612.780029297 6648901.98999024 3.178, 262613.469970703 6648903.22998047 3.188, 262613.5 6648903.2800293 3.188, 262613.510009766 6648903.31994629 3.188, 262613.540039063 6648903.36999512 3.188, 262613.550048828 6648903.42004395 3.188, 262613.569946289 6648903.4699707 3.188, 262613.579956055 6648903.5 3.188, 262613.579956055 6648903.55004883 3.188, 262613.58996582 6648903.59997559 3.188, 262613.58996582 6648903.65002441 3.188, 262613.599975586 6648903.69995117 3.188, 262613.599975586 6648903.75 3.188, 262613.599975586 6648903.80004883 3.188, 262613.58996582 6648903.84997559 3.188, 262613.579956055 6648903.90002441 3.188, 262613.579956055 6648903.94995117 3.188, 262613.560058594 6648904 3.188, 262613.550048828 6648904.04003906 3.188, 262613.530029297 6648904.08996582 3.188, 262613.520019531 6648904.13000488 3.188, 262613.489990234 6648904.18005371 3.188, 262613.459960938 6648904.2199707 3.188, 262613.449951172 6648904.26000977 3.188, 262613.41003418 6648904.30004883 3.188, 262613.380004883 6648904.34997559 3.188, 262613.359985352 6648904.38000488 3.178, 262613.319946289 6648904.42004395 3.178, 262613.280029297 6648904.45996094 3.178, 262613.25 6648904.48999023 3.178, 262613.209960938 6648904.51000977 3.178, 262613.170043945 6648904.55004883 3.178, 262613.130004883 6648904.56994629 3.178, 262613.08996582 6648904.58996582 3.178)</t>
  </si>
  <si>
    <t>POLYGON Z ((262613.08996582 6648904.58996582 3.178, 262612.219970703 6648905.07995606 3.168, 262612.180053711 6648905.10998535 3.168, 262612.130004883 6648905.13000488 3.168, 262612.079956055 6648905.15002442 3.168, 262612.040039063 6648905.16003418 3.168, 262611.989990234 6648905.18005371 3.168, 262611.939941406 6648905.18994141 3.168, 262611.890014648 6648905.18994141 3.158, 262611.849975586 6648905.20996094 3.158, 262611.800048828 6648905.20996094 3.158, 262611.739990234 6648905.20996094 3.158, 262611.709960937 6648905.20996094 3.158, 262611.650024414 6648905.20996094 3.158, 262611.599975586 6648905.19995117 3.158, 262611.550048828 6648905.19995117 3.158, 262611.5 6648905.18994141 3.158, 262611.459960938 6648905.17004395 3.158, 262611.41003418 6648905.16003418 3.148, 262611.369995117 6648905.14001465 3.148, 262611.319946289 6648905.13000488 3.148, 262611.270019531 6648905.09997559 3.148, 262611.229980469 6648905.07995606 3.148, 262611.189941406 6648905.06005859 3.148, 262611.150024414 6648905.0300293 3.148, 262611.109985352 6648904.98999024 3.148, 262611.069946289 6648904.9699707 3.148, 262611.040039063 6648904.93005371 3.148, 262611 6648904.89001465 3.138, 262610.969970703 6648904.85998535 3.138, 262610.939941406 6648904.81994629 3.138, 262610.91003418 6648904.7800293 3.138, 262610.880004883 6648904.73999024 3.138, 262610.849975586 6648904.69995117 3.138, 262610.170043945 6648903.4699707 3.118, 262610.109985352 6648903.38000488 3.118, 262608.16003418 6648899.89001465 3.038, 262608.109985352 6648899.80004883 3.038, 262607.420043945 6648898.57995606 3.008, 262607.400024414 6648898.54003906 3.008, 262607.390014648 6648898.48999023 3.008, 262607.359985352 6648898.43994141 3.008, 262607.349975586 6648898.40002441 3.008, 262607.329956055 6648898.34997559 3.008, 262607.319946289 6648898.31005859 3.008, 262607.319946289 6648898.26000977 3.008, 262607.310058594 6648898.20996094 3.008, 262607.300048828 6648898.16003418 2.998, 262607.300048828 6648898.11999512 2.998, 262607.300048828 6648898.06994629 2.998, 262607.300048828 6648898.02001953 2.998, 262607.310058594 6648897.9699707 2.998, 262607.310058594 6648897.91003418 2.998, 262607.319946289 6648897.86999512 2.998, 262607.33996582 6648897.81994629 2.998, 262607.349975586 6648897.77001953 2.998, 262607.369995117 6648897.72998047 2.998, 262607.380004883 6648897.68994141 2.998, 262607.41003418 6648897.63000488 2.998, 262607.430053711 6648897.58996582 2.998, 262607.449951172 6648897.55004883 2.998, 262607.479980469 6648897.52001953 2.998, 262607.520019531 6648897.4699707 3.008, 262607.540039062 6648897.43005371 3.008, 262607.579956055 6648897.40002441 3.008, 262607.609985352 6648897.36999512 3.008, 262607.640014648 6648897.32995606 3.008, 262607.680053711 6648897.30004883 3.008, 262607.729980469 6648897.27001953 3.008, 262607.770019531 6648897.23999023 3.008, 262607.800048828 6648897.2199707 3.008, 262608.670043945 6648896.72998047 3.028, 262608.719970703 6648896.69995117 3.028, 262608.760009766 6648896.68994141 3.028, 262608.810058594 6648896.66003418 3.028, 262608.859985352 6648896.65002441 3.038, 262608.91003418 6648896.63000488 3.038, 262608.949951172 6648896.61999512 3.038, 262608.989990234 6648896.61999512 3.038, 262609.040039063 6648896.59997559 3.038, 262609.08996582 6648896.59997559 3.038, 262609.140014648 6648896.59997559 3.038, 262609.189941406 6648896.59997559 3.038, 262609.239990234 6648896.59997559 3.048, 262609.300048828 6648896.60998535 3.048, 262609.349975586 6648896.60998535 3.048, 262609.390014648 6648896.61999512 3.048, 262609.439941406 6648896.64001465 3.048, 262609.479980469 6648896.65002441 3.048, 262609.530029297 6648896.67004395 3.048, 262609.569946289 6648896.68005371 3.058, 262609.630004883 6648896.70996094 3.058, 262609.670043945 6648896.72998047 3.058, 262609.709960938 6648896.75 3.058, 262609.739990234 6648896.7800293 3.058, 262609.790039063 6648896.81994629 3.058, 262609.829956055 6648896.83996582 3.058, 262609.859985352 6648896.88000488 3.068, 262609.900024414 6648896.92004395 3.068, 262609.930053711 6648896.94995117 3.068, 262609.959960938 6648896.98999024 3.068, 262609.989990234 6648897.0300293 3.068, 262610.020019531 6648897.06994629 3.068, 262610.040039063 6648897.10998535 3.068, 262610.719970703 6648898.32995606 3.098, 262610.780029297 6648898.41003418 3.098, 262612.729980469 6648901.90002441 3.178, 262612.780029297 6648901.98999024 3.178, 262613.469970703 6648903.22998047 3.188, 262613.5 6648903.2800293 3.188, 262613.510009766 6648903.31994629 3.188, 262613.540039063 6648903.36999512 3.188, 262613.550048828 6648903.42004395 3.188, 262613.569946289 6648903.4699707 3.188, 262613.579956055 6648903.5 3.188, 262613.579956055 6648903.55004883 3.188, 262613.58996582 6648903.59997559 3.188, 262613.58996582 6648903.65002441 3.188, 262613.599975586 6648903.69995117 3.188, 262613.599975586 6648903.75 3.188, 262613.599975586 6648903.80004883 3.188, 262613.58996582 6648903.84997559 3.188, 262613.579956055 6648903.90002441 3.188, 262613.579956055 6648903.94995117 3.188, 262613.560058594 6648904 3.188, 262613.550048828 6648904.04003906 3.188, 262613.530029297 6648904.08996582 3.188, 262613.520019531 6648904.13000488 3.188, 262613.489990234 6648904.18005371 3.188, 262613.459960938 6648904.2199707 3.188, 262613.449951172 6648904.26000977 3.188, 262613.41003418 6648904.30004883 3.188, 262613.380004883 6648904.34997559 3.188, 262613.359985352 6648904.38000488 3.178, 262613.319946289 6648904.42004395 3.178, 262613.280029297 6648904.45996094 3.178, 262613.25 6648904.48999023 3.178, 262613.209960938 6648904.51000977 3.178, 262613.170043945 6648904.55004883 3.178, 262613.130004883 6648904.56994629 3.178, 262613.08996582 6648904.58996582 3.178))</t>
  </si>
  <si>
    <t>2021-02-17</t>
  </si>
  <si>
    <t>['EV18 S55D10 m1247-1249']</t>
  </si>
  <si>
    <t>LINESTRING Z (262982.66003418 6648669.25 3.828, 262984.400024414 6648668.27001953 3.848, 262985.219970703 6648669.69995117 3.798, 262985.239990234 6648669.75 3.798, 262985.260009766 6648669.79003906 3.798, 262985.280029297 6648669.83996582 3.788, 262985.290039062 6648669.89001465 3.788, 262985.310058594 6648669.93994141 3.788, 262985.319946289 6648669.97998047 3.788, 262985.33996582 6648670.0300293 3.788, 262985.33996582 6648670.07995606 3.788, 262985.349975586 6648670.13000488 3.788, 262985.349975586 6648670.18005371 3.778, 262985.33996582 6648670.22998047 3.778, 262985.33996582 6648670.2800293 3.778, 262985.329956055 6648670.32995606 3.778, 262985.329956055 6648670.38000488 3.778, 262985.319946289 6648670.43005371 3.778, 262985.310058594 6648670.47998047 3.778, 262985.290039062 6648670.52001953 3.768, 262985.270019531 6648670.56994629 3.768, 262985.25 6648670.60998535 3.768, 262985.229980469 6648670.67004395 3.768, 262985.209960937 6648670.70996094 3.768, 262985.180053711 6648670.75 3.768, 262985.150024414 6648670.79003906 3.768, 262985.119995117 6648670.82995606 3.768, 262985.08996582 6648670.86999512 3.768, 262985.050048828 6648670.90002441 3.758, 262985.020019531 6648670.93994141 3.758, 262984.979980469 6648670.9699707 3.758, 262984.939941406 6648671 3.758, 262984.900024414 6648671.0300293 3.758, 262984.859985352 6648671.05004883 3.758, 262984.819946289 6648671.07995605 3.758, 262984.770019531 6648671.09997559 3.758, 262984.719970703 6648671.11999512 3.758, 262984.680053711 6648671.14001465 3.758, 262984.630004883 6648671.15002441 3.758, 262984.58996582 6648671.17004395 3.758, 262984.540039063 6648671.18005371 3.758, 262984.489990234 6648671.18994141 3.758, 262984.439941406 6648671.18994141 3.758, 262984.390014648 6648671.18994141 3.758, 262984.33996582 6648671.19995117 3.758, 262984.290039063 6648671.18994141 3.758, 262984.239990234 6648671.18994141 3.758, 262984.189941406 6648671.18005371 3.758, 262984.130004883 6648671.18005371 3.758, 262984.08996582 6648671.16003418 3.758, 262984.040039063 6648671.16003418 3.758, 262984 6648671.14001465 3.768, 262983.949951172 6648671.10998535 3.768, 262983.91003418 6648671.09997559 3.768, 262983.859985352 6648671.06994629 3.768, 262983.819946289 6648671.04003906 3.768, 262983.780029297 6648671.02001953 3.768, 262983.739990234 6648670.98999023 3.768, 262983.689941406 6648670.95996094 3.768, 262983.66003418 6648670.93005371 3.768, 262983.630004883 6648670.89001465 3.778, 262983.58996582 6648670.84997559 3.778, 262983.560058594 6648670.81994629 3.778, 262983.520019531 6648670.77001953 3.778, 262983.5 6648670.72998047 3.778, 262983.479980469 6648670.68994141 3.778, 262982.66003418 6648669.25 3.828)</t>
  </si>
  <si>
    <t>POLYGON Z ((262982.66003418 6648669.25 3.828, 262984.400024414 6648668.27001953 3.848, 262985.219970703 6648669.69995117 3.798, 262985.239990234 6648669.75 3.798, 262985.260009766 6648669.79003906 3.798, 262985.280029297 6648669.83996582 3.788, 262985.290039062 6648669.89001465 3.788, 262985.310058594 6648669.93994141 3.788, 262985.319946289 6648669.97998047 3.788, 262985.33996582 6648670.0300293 3.788, 262985.33996582 6648670.07995606 3.788, 262985.349975586 6648670.13000488 3.788, 262985.349975586 6648670.18005371 3.778, 262985.33996582 6648670.22998047 3.778, 262985.33996582 6648670.2800293 3.778, 262985.329956055 6648670.32995606 3.778, 262985.329956055 6648670.38000488 3.778, 262985.319946289 6648670.43005371 3.778, 262985.310058594 6648670.47998047 3.778, 262985.290039062 6648670.52001953 3.768, 262985.270019531 6648670.56994629 3.768, 262985.25 6648670.60998535 3.768, 262985.229980469 6648670.67004395 3.768, 262985.209960937 6648670.70996094 3.768, 262985.180053711 6648670.75 3.768, 262985.150024414 6648670.79003906 3.768, 262985.119995117 6648670.82995606 3.768, 262985.08996582 6648670.86999512 3.768, 262985.050048828 6648670.90002441 3.758, 262985.020019531 6648670.93994141 3.758, 262984.979980469 6648670.9699707 3.758, 262984.939941406 6648671 3.758, 262984.900024414 6648671.0300293 3.758, 262984.859985352 6648671.05004883 3.758, 262984.819946289 6648671.07995605 3.758, 262984.770019531 6648671.09997559 3.758, 262984.719970703 6648671.11999512 3.758, 262984.680053711 6648671.14001465 3.758, 262984.630004883 6648671.15002441 3.758, 262984.58996582 6648671.17004395 3.758, 262984.540039063 6648671.18005371 3.758, 262984.489990234 6648671.18994141 3.758, 262984.439941406 6648671.18994141 3.758, 262984.390014648 6648671.18994141 3.758, 262984.33996582 6648671.19995117 3.758, 262984.290039063 6648671.18994141 3.758, 262984.239990234 6648671.18994141 3.758, 262984.189941406 6648671.18005371 3.758, 262984.130004883 6648671.18005371 3.758, 262984.08996582 6648671.16003418 3.758, 262984.040039063 6648671.16003418 3.758, 262984 6648671.14001465 3.768, 262983.949951172 6648671.10998535 3.768, 262983.91003418 6648671.09997559 3.768, 262983.859985352 6648671.06994629 3.768, 262983.819946289 6648671.04003906 3.768, 262983.780029297 6648671.02001953 3.768, 262983.739990234 6648670.98999023 3.768, 262983.689941406 6648670.95996094 3.768, 262983.66003418 6648670.93005371 3.768, 262983.630004883 6648670.89001465 3.778, 262983.58996582 6648670.84997559 3.778, 262983.560058594 6648670.81994629 3.778, 262983.520019531 6648670.77001953 3.778, 262983.5 6648670.72998047 3.778, 262983.479980469 6648670.68994141 3.778, 262982.66003418 6648669.25 3.828))</t>
  </si>
  <si>
    <t>['EV18 S55D10 m987-989']</t>
  </si>
  <si>
    <t>LINESTRING Z (262912.959960938 6648699.68005371 3.178, 262913.770019531 6648701.10998535 3.228, 262912.040039063 6648702.09997559 3.208, 262911.219970703 6648700.66003418 3.158, 262911.199951172 6648700.61999512 3.158, 262911.170043945 6648700.56994629 3.158, 262911.16003418 6648700.5300293 3.158, 262911.130004883 6648700.48999023 3.158, 262911.119995117 6648700.43994141 3.158, 262911.119995117 6648700.39001465 3.148, 262911.099975586 6648700.33996582 3.148, 262911.099975586 6648700.29003906 3.148, 262911.08996582 6648700.23999023 3.148, 262911.08996582 6648700.18994141 3.148, 262911.08996582 6648700.14001465 3.148, 262911.08996582 6648700.08996582 3.148, 262911.08996582 6648700.04003906 3.148, 262911.109985352 6648699.98999023 3.148, 262911.109985352 6648699.93994141 3.138, 262911.130004883 6648699.90002441 3.138, 262911.150024414 6648699.83996582 3.138, 262911.16003418 6648699.80004883 3.138, 262911.180053711 6648699.75 3.138, 262911.199951172 6648699.70996094 3.138, 262911.229980469 6648699.67004395 3.138, 262911.260009766 6648699.61999512 3.138, 262911.280029297 6648699.57995606 3.138, 262911.310058594 6648699.54003906 3.138, 262911.349975586 6648699.5 3.138, 262911.380004883 6648699.4699707 3.138, 262911.420043945 6648699.43994141 3.138, 262911.459960937 6648699.40002442 3.138, 262911.5 6648699.36999512 3.138, 262911.530029297 6648699.33996582 3.138, 262911.579956055 6648699.31005859 3.138, 262911.619995117 6648699.29003906 3.138, 262911.670043945 6648699.26000977 3.138, 262911.709960938 6648699.25 3.138, 262911.75 6648699.22998047 3.138, 262911.800048828 6648699.20996094 3.138, 262911.849975586 6648699.19995117 3.138, 262911.900024414 6648699.18994141 3.138, 262911.949951172 6648699.18005371 3.148, 262912 6648699.17004395 3.148, 262912.050048828 6648699.17004395 3.148, 262912.099975586 6648699.17004395 3.148, 262912.150024414 6648699.17004395 3.148, 262912.199951172 6648699.18005371 3.148, 262912.25 6648699.18005371 3.148, 262912.290039063 6648699.19995117 3.148, 262912.33996582 6648699.19995117 3.148, 262912.400024414 6648699.2199707 3.158, 262912.439941406 6648699.22998047 3.158, 262912.489990234 6648699.25 3.158, 262912.530029297 6648699.2800293 3.158, 262912.569946289 6648699.30004883 3.158, 262912.619995117 6648699.32995606 3.158, 262912.66003418 6648699.34997559 3.158, 262912.699951172 6648699.38000488 3.168, 262912.739990234 6648699.41003418 3.168, 262912.780029297 6648699.43994141 3.168, 262912.810058594 6648699.47998047 3.168, 262912.849975586 6648699.52001953 3.168, 262912.880004883 6648699.56005859 3.168, 262912.91003418 6648699.58996582 3.178, 262912.939941406 6648699.64001465 3.178, 262912.959960938 6648699.68005371 3.178)</t>
  </si>
  <si>
    <t>POLYGON Z ((262912.959960938 6648699.68005371 3.178, 262913.770019531 6648701.10998535 3.228, 262912.040039063 6648702.09997559 3.208, 262911.219970703 6648700.66003418 3.158, 262911.199951172 6648700.61999512 3.158, 262911.170043945 6648700.56994629 3.158, 262911.16003418 6648700.5300293 3.158, 262911.130004883 6648700.48999023 3.158, 262911.119995117 6648700.43994141 3.158, 262911.119995117 6648700.39001465 3.148, 262911.099975586 6648700.33996582 3.148, 262911.099975586 6648700.29003906 3.148, 262911.08996582 6648700.23999023 3.148, 262911.08996582 6648700.18994141 3.148, 262911.08996582 6648700.14001465 3.148, 262911.08996582 6648700.08996582 3.148, 262911.08996582 6648700.04003906 3.148, 262911.109985352 6648699.98999023 3.148, 262911.109985352 6648699.93994141 3.138, 262911.130004883 6648699.90002441 3.138, 262911.150024414 6648699.83996582 3.138, 262911.16003418 6648699.80004883 3.138, 262911.180053711 6648699.75 3.138, 262911.199951172 6648699.70996094 3.138, 262911.229980469 6648699.67004395 3.138, 262911.260009766 6648699.61999512 3.138, 262911.280029297 6648699.57995606 3.138, 262911.310058594 6648699.54003906 3.138, 262911.349975586 6648699.5 3.138, 262911.380004883 6648699.4699707 3.138, 262911.420043945 6648699.43994141 3.138, 262911.459960937 6648699.40002442 3.138, 262911.5 6648699.36999512 3.138, 262911.530029297 6648699.33996582 3.138, 262911.579956055 6648699.31005859 3.138, 262911.619995117 6648699.29003906 3.138, 262911.670043945 6648699.26000977 3.138, 262911.709960938 6648699.25 3.138, 262911.75 6648699.22998047 3.138, 262911.800048828 6648699.20996094 3.138, 262911.849975586 6648699.19995117 3.138, 262911.900024414 6648699.18994141 3.138, 262911.949951172 6648699.18005371 3.148, 262912 6648699.17004395 3.148, 262912.050048828 6648699.17004395 3.148, 262912.099975586 6648699.17004395 3.148, 262912.150024414 6648699.17004395 3.148, 262912.199951172 6648699.18005371 3.148, 262912.25 6648699.18005371 3.148, 262912.290039063 6648699.19995117 3.148, 262912.33996582 6648699.19995117 3.148, 262912.400024414 6648699.2199707 3.158, 262912.439941406 6648699.22998047 3.158, 262912.489990234 6648699.25 3.158, 262912.530029297 6648699.2800293 3.158, 262912.569946289 6648699.30004883 3.158, 262912.619995117 6648699.32995606 3.158, 262912.66003418 6648699.34997559 3.158, 262912.699951172 6648699.38000488 3.168, 262912.739990234 6648699.41003418 3.168, 262912.780029297 6648699.43994141 3.168, 262912.810058594 6648699.47998047 3.168, 262912.849975586 6648699.52001953 3.168, 262912.880004883 6648699.56005859 3.168, 262912.91003418 6648699.58996582 3.178, 262912.939941406 6648699.64001465 3.178, 262912.959960938 6648699.68005371 3.178))</t>
  </si>
  <si>
    <t>['EV18 S55D10 m1064-1066']</t>
  </si>
  <si>
    <t>LINESTRING Z (262980.540039063 6648661.43005371 3.798, 262981.349975586 6648662.86999512 3.848, 262979.599975586 6648663.84997559 3.828, 262978.800048828 6648662.42004395 3.778, 262978.770019531 6648662.36999512 3.778, 262978.75 6648662.32995606 3.778, 262978.719970703 6648662.2800293 3.778, 262978.709960938 6648662.23999023 3.778, 262978.699951172 6648662.18994141 3.778, 262978.680053711 6648662.14001465 3.768, 262978.680053711 6648662.08996582 3.768, 262978.670043945 6648662.04003906 3.768, 262978.670043945 6648661.98999024 3.768, 262978.66003418 6648661.93994141 3.768, 262978.66003418 6648661.89001465 3.768, 262978.66003418 6648661.83996582 3.768, 262978.670043945 6648661.79003906 3.768, 262978.680053711 6648661.75 3.768, 262978.689941406 6648661.69995117 3.758, 262978.709960938 6648661.64001465 3.758, 262978.709960938 6648661.59997559 3.758, 262978.739990234 6648661.55004883 3.758, 262978.75 6648661.51000977 3.758, 262978.780029297 6648661.45996094 3.758, 262978.800048828 6648661.41003418 3.758, 262978.819946289 6648661.36999512 3.758, 262978.859985352 6648661.33996582 3.758, 262978.890014648 6648661.30004883 3.758, 262978.920043945 6648661.25 3.758, 262978.949951172 6648661.2199707 3.758, 262978.989990234 6648661.18994141 3.758, 262979.020019531 6648661.15002441 3.758, 262979.060058594 6648661.11999512 3.758, 262979.109985352 6648661.08996582 3.758, 262979.150024414 6648661.06994629 3.758, 262979.189941406 6648661.05004883 3.758, 262979.229980469 6648661.02001953 3.758, 262979.280029297 6648661 3.758, 262979.329956055 6648660.97998047 3.758, 262979.380004883 6648660.9699707 3.758, 262979.430053711 6648660.95996094 3.758, 262979.479980469 6648660.93994141 3.768, 262979.530029297 6648660.93994141 3.768, 262979.579956055 6648660.93005371 3.768, 262979.630004883 6648660.93005371 3.768, 262979.680053711 6648660.92004395 3.768, 262979.729980469 6648660.93005371 3.768, 262979.770019531 6648660.93005371 3.768, 262979.819946289 6648660.93994141 3.768, 262979.869995117 6648660.94995117 3.768, 262979.920043945 6648660.95996094 3.778, 262979.959960937 6648660.97998047 3.778, 262980.010009766 6648660.98999024 3.778, 262980.060058594 6648661.01000977 3.778, 262980.109985352 6648661.02001953 3.778, 262980.150024414 6648661.05004883 3.778, 262980.189941406 6648661.07995605 3.778, 262980.229980469 6648661.09997559 3.788, 262980.280029297 6648661.13000488 3.788, 262980.310058594 6648661.17004395 3.788, 262980.349975586 6648661.18994141 3.788, 262980.390014648 6648661.22998047 3.788, 262980.420043945 6648661.27001953 3.788, 262980.449951172 6648661.30004883 3.788, 262980.479980469 6648661.34997559 3.798, 262980.510009766 6648661.39001465 3.798, 262980.540039063 6648661.43005371 3.798)</t>
  </si>
  <si>
    <t>POLYGON Z ((262980.540039063 6648661.43005371 3.798, 262981.349975586 6648662.86999512 3.848, 262979.599975586 6648663.84997559 3.828, 262978.800048828 6648662.42004395 3.778, 262978.770019531 6648662.36999512 3.778, 262978.75 6648662.32995606 3.778, 262978.719970703 6648662.2800293 3.778, 262978.709960938 6648662.23999023 3.778, 262978.699951172 6648662.18994141 3.778, 262978.680053711 6648662.14001465 3.768, 262978.680053711 6648662.08996582 3.768, 262978.670043945 6648662.04003906 3.768, 262978.670043945 6648661.98999024 3.768, 262978.66003418 6648661.93994141 3.768, 262978.66003418 6648661.89001465 3.768, 262978.66003418 6648661.83996582 3.768, 262978.670043945 6648661.79003906 3.768, 262978.680053711 6648661.75 3.768, 262978.689941406 6648661.69995117 3.758, 262978.709960938 6648661.64001465 3.758, 262978.709960938 6648661.59997559 3.758, 262978.739990234 6648661.55004883 3.758, 262978.75 6648661.51000977 3.758, 262978.780029297 6648661.45996094 3.758, 262978.800048828 6648661.41003418 3.758, 262978.819946289 6648661.36999512 3.758, 262978.859985352 6648661.33996582 3.758, 262978.890014648 6648661.30004883 3.758, 262978.920043945 6648661.25 3.758, 262978.949951172 6648661.2199707 3.758, 262978.989990234 6648661.18994141 3.758, 262979.020019531 6648661.15002441 3.758, 262979.060058594 6648661.11999512 3.758, 262979.109985352 6648661.08996582 3.758, 262979.150024414 6648661.06994629 3.758, 262979.189941406 6648661.05004883 3.758, 262979.229980469 6648661.02001953 3.758, 262979.280029297 6648661 3.758, 262979.329956055 6648660.97998047 3.758, 262979.380004883 6648660.9699707 3.758, 262979.430053711 6648660.95996094 3.758, 262979.479980469 6648660.93994141 3.768, 262979.530029297 6648660.93994141 3.768, 262979.579956055 6648660.93005371 3.768, 262979.630004883 6648660.93005371 3.768, 262979.680053711 6648660.92004395 3.768, 262979.729980469 6648660.93005371 3.768, 262979.770019531 6648660.93005371 3.768, 262979.819946289 6648660.93994141 3.768, 262979.869995117 6648660.94995117 3.768, 262979.920043945 6648660.95996094 3.778, 262979.959960937 6648660.97998047 3.778, 262980.010009766 6648660.98999024 3.778, 262980.060058594 6648661.01000977 3.778, 262980.109985352 6648661.02001953 3.778, 262980.150024414 6648661.05004883 3.778, 262980.189941406 6648661.07995605 3.778, 262980.229980469 6648661.09997559 3.788, 262980.280029297 6648661.13000488 3.788, 262980.310058594 6648661.17004395 3.788, 262980.349975586 6648661.18994141 3.788, 262980.390014648 6648661.22998047 3.788, 262980.420043945 6648661.27001953 3.788, 262980.449951172 6648661.30004883 3.788, 262980.479980469 6648661.34997559 3.798, 262980.510009766 6648661.39001465 3.798, 262980.540039063 6648661.43005371 3.798))</t>
  </si>
  <si>
    <t>['EV18 S55D10 m1325-1327']</t>
  </si>
  <si>
    <t>LINESTRING Z (262915.08996582 6648707.5 3.208, 262916.829956055 6648706.51000977 3.228, 262917.640014648 6648707.94995117 3.178, 262917.66003418 6648707.98999023 3.178, 262917.689941406 6648708.04003906 3.178, 262917.699951172 6648708.08996582 3.168, 262917.729980469 6648708.14001465 3.168, 262917.739990234 6648708.18994141 3.168, 262917.75 6648708.22998047 3.168, 262917.760009766 6648708.27001953 3.168, 262917.760009766 6648708.31994629 3.168, 262917.770019531 6648708.36999512 3.158, 262917.770019531 6648708.42004395 3.158, 262917.770019531 6648708.4699707 3.158, 262917.770019531 6648708.52001953 3.158, 262917.770019531 6648708.57995606 3.158, 262917.75 6648708.63000488 3.158, 262917.75 6648708.68005371 3.158, 262917.729980469 6648708.7199707 3.148, 262917.709960938 6648708.77001953 3.148, 262917.699951172 6648708.81994629 3.148, 262917.680053711 6648708.85998535 3.148, 262917.66003418 6648708.91003418 3.148, 262917.630004883 6648708.94995117 3.148, 262917.599975586 6648708.98999023 3.148, 262917.579956055 6648709.0300293 3.148, 262917.550048828 6648709.07995606 3.148, 262917.510009766 6648709.10998535 3.138, 262917.479980469 6648709.15002441 3.138, 262917.449951172 6648709.18994141 3.138, 262917.41003418 6648709.2199707 3.138, 262917.369995117 6648709.23999024 3.138, 262917.329956055 6648709.2800293 3.138, 262917.290039063 6648709.30004883 3.138, 262917.239990234 6648709.32995605 3.138, 262917.189941406 6648709.34997559 3.138, 262917.16003418 6648709.36999512 3.138, 262917.109985352 6648709.39001465 3.138, 262917.060058594 6648709.40002441 3.138, 262917.010009766 6648709.42004395 3.138, 262916.959960938 6648709.42004395 3.138, 262916.91003418 6648709.43994141 3.138, 262916.859985352 6648709.43994141 3.138, 262916.810058594 6648709.44995117 3.138, 262916.760009766 6648709.43994141 3.138, 262916.709960937 6648709.44995117 3.138, 262916.66003418 6648709.43994141 3.138, 262916.619995117 6648709.43005371 3.138, 262916.569946289 6648709.43005371 3.138, 262916.520019531 6648709.41003418 3.138, 262916.469970703 6648709.40002441 3.138, 262916.420043945 6648709.38000488 3.148, 262916.369995117 6648709.36999512 3.148, 262916.329956055 6648709.33996582 3.148, 262916.290039063 6648709.31994629 3.148, 262916.25 6648709.30004883 3.148, 262916.199951172 6648709.27001953 3.148, 262916.16003418 6648709.22998047 3.148, 262916.130004883 6648709.20996094 3.148, 262916.079956055 6648709.17004395 3.148, 262916.050048828 6648709.13000488 3.158, 262916.020019531 6648709.09997559 3.158, 262915.979980469 6648709.06005859 3.158, 262915.959960938 6648709.02001953 3.158, 262915.930053711 6648708.97998047 3.158, 262915.900024414 6648708.93994141 3.158, 262915.08996582 6648707.5 3.208)</t>
  </si>
  <si>
    <t>POLYGON Z ((262915.08996582 6648707.5 3.208, 262916.829956055 6648706.51000977 3.228, 262917.640014648 6648707.94995117 3.178, 262917.66003418 6648707.98999023 3.178, 262917.689941406 6648708.04003906 3.178, 262917.699951172 6648708.08996582 3.168, 262917.729980469 6648708.14001465 3.168, 262917.739990234 6648708.18994141 3.168, 262917.75 6648708.22998047 3.168, 262917.760009766 6648708.27001953 3.168, 262917.760009766 6648708.31994629 3.168, 262917.770019531 6648708.36999512 3.158, 262917.770019531 6648708.42004395 3.158, 262917.770019531 6648708.4699707 3.158, 262917.770019531 6648708.52001953 3.158, 262917.770019531 6648708.57995606 3.158, 262917.75 6648708.63000488 3.158, 262917.75 6648708.68005371 3.158, 262917.729980469 6648708.7199707 3.148, 262917.709960938 6648708.77001953 3.148, 262917.699951172 6648708.81994629 3.148, 262917.680053711 6648708.85998535 3.148, 262917.66003418 6648708.91003418 3.148, 262917.630004883 6648708.94995117 3.148, 262917.599975586 6648708.98999023 3.148, 262917.579956055 6648709.0300293 3.148, 262917.550048828 6648709.07995606 3.148, 262917.510009766 6648709.10998535 3.138, 262917.479980469 6648709.15002441 3.138, 262917.449951172 6648709.18994141 3.138, 262917.41003418 6648709.2199707 3.138, 262917.369995117 6648709.23999024 3.138, 262917.329956055 6648709.2800293 3.138, 262917.290039063 6648709.30004883 3.138, 262917.239990234 6648709.32995605 3.138, 262917.189941406 6648709.34997559 3.138, 262917.16003418 6648709.36999512 3.138, 262917.109985352 6648709.39001465 3.138, 262917.060058594 6648709.40002441 3.138, 262917.010009766 6648709.42004395 3.138, 262916.959960938 6648709.42004395 3.138, 262916.91003418 6648709.43994141 3.138, 262916.859985352 6648709.43994141 3.138, 262916.810058594 6648709.44995117 3.138, 262916.760009766 6648709.43994141 3.138, 262916.709960937 6648709.44995117 3.138, 262916.66003418 6648709.43994141 3.138, 262916.619995117 6648709.43005371 3.138, 262916.569946289 6648709.43005371 3.138, 262916.520019531 6648709.41003418 3.138, 262916.469970703 6648709.40002441 3.138, 262916.420043945 6648709.38000488 3.148, 262916.369995117 6648709.36999512 3.148, 262916.329956055 6648709.33996582 3.148, 262916.290039063 6648709.31994629 3.148, 262916.25 6648709.30004883 3.148, 262916.199951172 6648709.27001953 3.148, 262916.16003418 6648709.22998047 3.148, 262916.130004883 6648709.20996094 3.148, 262916.079956055 6648709.17004395 3.148, 262916.050048828 6648709.13000488 3.158, 262916.020019531 6648709.09997559 3.158, 262915.979980469 6648709.06005859 3.158, 262915.959960938 6648709.02001953 3.158, 262915.930053711 6648708.97998047 3.158, 262915.900024414 6648708.93994141 3.158, 262915.08996582 6648707.5 3.208))</t>
  </si>
  <si>
    <t>['EV18 S55D10 m1121-1132']</t>
  </si>
  <si>
    <t>LINESTRING Z (263033.739990234 6648622.40002441 4.568, 263033.770019531 6648622.39001465 4.578, 263033.810058594 6648622.36999512 4.578, 263033.83996582 6648622.33996582 4.578, 263033.869995117 6648622.31994629 4.578, 263033.900024414 6648622.30004883 4.578, 263033.920043945 6648622.26000977 4.578, 263033.949951172 6648622.23999024 4.578, 263033.969970703 6648622.20996094 4.578, 263033.989990234 6648622.18005371 4.578, 263034.010009766 6648622.15002441 4.578, 263034.030029297 6648622.10998535 4.578, 263034.050048828 6648622.07995605 4.578, 263034.060058594 6648622.05004883 4.578, 263034.079956055 6648622.01000977 4.578, 263034.08996582 6648621.97998047 4.578, 263034.099975586 6648621.94995117 4.588, 263034.109985352 6648621.91003418 4.588, 263034.119995117 6648621.86999512 4.588, 263034.119995117 6648621.82995606 4.588, 263034.119995117 6648621.79003906 4.588, 263034.130004883 6648621.75 4.588, 263034.119995117 6648621.7199707 4.588, 263034.119995117 6648621.68005371 4.588, 263034.119995117 6648621.64001465 4.588, 263034.109985352 6648621.59997559 4.598, 263034.099975586 6648621.57995606 4.598, 263034.099975586 6648621.54003906 4.598, 263034.079956055 6648621.5 4.598, 263034.069946289 6648621.4699707 4.598, 263034.060058594 6648621.43005371 4.598, 263034.030029297 6648621.40002441 4.598, 263034.020019531 6648621.35998535 4.598, 263034 6648621.32995606 4.598, 263033.979980469 6648621.31005859 4.608, 263033.949951172 6648621.2800293 4.608, 263033.930053711 6648621.25 4.608, 263033.91003418 6648621.2199707 4.608, 263033.880004883 6648621.18994141 4.608, 263033.849975586 6648621.17004395 4.608, 263033.819946289 6648621.15002441 4.608, 263033.790039063 6648621.11999512 4.608, 263033.760009766 6648621.09997559 4.608, 263033.719970703 6648621.08996582 4.608, 263033.689941406 6648621.06994629 4.618, 263033.650024414 6648621.05004883 4.618, 263033.619995117 6648621.05004883 4.618, 263033.58996582 6648621.0300293 4.618, 263033.550048828 6648621.02001953 4.618, 263033.510009766 6648621.02001953 4.618, 263033.479980469 6648621.01000977 4.618, 263033.439941406 6648621 4.618, 263033.400024414 6648621 4.618, 263033.369995117 6648621 4.618, 263033.329956055 6648621 4.618, 263033.290039063 6648621.01000977 4.618, 263033.260009766 6648621.01000977 4.618, 263033.219970703 6648621.01000977 4.618, 263033.180053711 6648621.0300293 4.618, 263033.140014648 6648621.04003906 4.618, 263033.109985352 6648621.05004883 4.618, 263033.069946289 6648621.06994629 4.618, 263033.040039063 6648621.07995605 4.618, 263033 6648621.09997559 4.618, 263024.300048828 6648626.02001953 4.538, 263024.270019531 6648626.05004883 4.538, 263024.229980469 6648626.06994629 4.538, 263024.199951172 6648626.08996582 4.538, 263024.180053711 6648626.10998535 4.538, 263024.150024414 6648626.14001465 4.538, 263024.119995117 6648626.16003418 4.538, 263024.099975586 6648626.18994141 4.538, 263024.069946289 6648626.2199707 4.538, 263024.050048828 6648626.26000977 4.528, 263024.030029297 6648626.2800293 4.528, 263024.010009766 6648626.31005859 4.528, 263024 6648626.34997559 4.528, 263023.979980469 6648626.38000488 4.528, 263023.959960938 6648626.42004395 4.528, 263023.949951172 6648626.45996094 4.528, 263023.939941406 6648626.48999024 4.528, 263023.930053711 6648626.5300293 4.528, 263023.920043945 6648626.56005859 4.528, 263023.920043945 6648626.59997559 4.528, 263023.920043945 6648626.64001465 4.518, 263023.91003418 6648626.67004395 4.518, 263023.920043945 6648626.70996094 4.518, 263023.920043945 6648626.75 4.518, 263023.920043945 6648626.7800293 4.518, 263023.930053711 6648626.81994629 4.518, 263023.939941406 6648626.85998535 4.518, 263023.939941406 6648626.90002442 4.518, 263023.959960938 6648626.93005371 4.508, 263023.969970703 6648626.9699707 4.508, 263023.979980469 6648627 4.508, 263024.010009766 6648627.0300293 4.508, 263024.020019531 6648627.06005859 4.508, 263024.040039063 6648627.09997559 4.508, 263024.069946289 6648627.13000488 4.508, 263024.08996582 6648627.16003418 4.508, 263024.109985352 6648627.18994141 4.508, 263024.130004883 6648627.20996094 4.508, 263024.170043945 6648627.23999024 4.498, 263024.199951172 6648627.26000977 4.498, 263024.219970703 6648627.29003906 4.498, 263024.25 6648627.30004883 4.498, 263024.290039063 6648627.32995605 4.498, 263024.319946289 6648627.34997559 4.498, 263024.349975586 6648627.35998535 4.498, 263024.390014648 6648627.36999512 4.498, 263024.420043945 6648627.39001465 4.498, 263024.459960938 6648627.40002441 4.498, 263024.489990234 6648627.41003418 4.498, 263024.530029297 6648627.42004395 4.498, 263024.569946289 6648627.43005371 4.498, 263024.609985352 6648627.43005371 4.488, 263024.650024414 6648627.43005371 4.488, 263024.680053711 6648627.43005371 4.488, 263024.719970703 6648627.43005371 4.488, 263024.760009766 6648627.43005371 4.488, 263024.800048828 6648627.41003418 4.488, 263024.829956055 6648627.41003418 4.488, 263024.869995117 6648627.41003418 4.488, 263024.900024414 6648627.39001465 4.488, 263024.930053711 6648627.38000488 4.488, 263024.969970703 6648627.36999512 4.488, 263025 6648627.34997559 4.488, 263025.040039063 6648627.32995605 4.488, 263033.739990234 6648622.40002441 4.568)</t>
  </si>
  <si>
    <t>POLYGON Z ((263033.739990234 6648622.40002441 4.568, 263033.770019531 6648622.39001465 4.578, 263033.810058594 6648622.36999512 4.578, 263033.83996582 6648622.33996582 4.578, 263033.869995117 6648622.31994629 4.578, 263033.900024414 6648622.30004883 4.578, 263033.920043945 6648622.26000977 4.578, 263033.949951172 6648622.23999024 4.578, 263033.969970703 6648622.20996094 4.578, 263033.989990234 6648622.18005371 4.578, 263034.010009766 6648622.15002441 4.578, 263034.030029297 6648622.10998535 4.578, 263034.050048828 6648622.07995605 4.578, 263034.060058594 6648622.05004883 4.578, 263034.079956055 6648622.01000977 4.578, 263034.08996582 6648621.97998047 4.578, 263034.099975586 6648621.94995117 4.588, 263034.109985352 6648621.91003418 4.588, 263034.119995117 6648621.86999512 4.588, 263034.119995117 6648621.82995606 4.588, 263034.119995117 6648621.79003906 4.588, 263034.130004883 6648621.75 4.588, 263034.119995117 6648621.7199707 4.588, 263034.119995117 6648621.68005371 4.588, 263034.119995117 6648621.64001465 4.588, 263034.109985352 6648621.59997559 4.598, 263034.099975586 6648621.57995606 4.598, 263034.099975586 6648621.54003906 4.598, 263034.079956055 6648621.5 4.598, 263034.069946289 6648621.4699707 4.598, 263034.060058594 6648621.43005371 4.598, 263034.030029297 6648621.40002441 4.598, 263034.020019531 6648621.35998535 4.598, 263034 6648621.32995606 4.598, 263033.979980469 6648621.31005859 4.608, 263033.949951172 6648621.2800293 4.608, 263033.930053711 6648621.25 4.608, 263033.91003418 6648621.2199707 4.608, 263033.880004883 6648621.18994141 4.608, 263033.849975586 6648621.17004395 4.608, 263033.819946289 6648621.15002441 4.608, 263033.790039063 6648621.11999512 4.608, 263033.760009766 6648621.09997559 4.608, 263033.719970703 6648621.08996582 4.608, 263033.689941406 6648621.06994629 4.618, 263033.650024414 6648621.05004883 4.618, 263033.619995117 6648621.05004883 4.618, 263033.58996582 6648621.0300293 4.618, 263033.550048828 6648621.02001953 4.618, 263033.510009766 6648621.02001953 4.618, 263033.479980469 6648621.01000977 4.618, 263033.439941406 6648621 4.618, 263033.400024414 6648621 4.618, 263033.369995117 6648621 4.618, 263033.329956055 6648621 4.618, 263033.290039063 6648621.01000977 4.618, 263033.260009766 6648621.01000977 4.618, 263033.219970703 6648621.01000977 4.618, 263033.180053711 6648621.0300293 4.618, 263033.140014648 6648621.04003906 4.618, 263033.109985352 6648621.05004883 4.618, 263033.069946289 6648621.06994629 4.618, 263033.040039063 6648621.07995605 4.618, 263033 6648621.09997559 4.618, 263024.300048828 6648626.02001953 4.538, 263024.270019531 6648626.05004883 4.538, 263024.229980469 6648626.06994629 4.538, 263024.199951172 6648626.08996582 4.538, 263024.180053711 6648626.10998535 4.538, 263024.150024414 6648626.14001465 4.538, 263024.119995117 6648626.16003418 4.538, 263024.099975586 6648626.18994141 4.538, 263024.069946289 6648626.2199707 4.538, 263024.050048828 6648626.26000977 4.528, 263024.030029297 6648626.2800293 4.528, 263024.010009766 6648626.31005859 4.528, 263024 6648626.34997559 4.528, 263023.979980469 6648626.38000488 4.528, 263023.959960938 6648626.42004395 4.528, 263023.949951172 6648626.45996094 4.528, 263023.939941406 6648626.48999024 4.528, 263023.930053711 6648626.5300293 4.528, 263023.920043945 6648626.56005859 4.528, 263023.920043945 6648626.59997559 4.528, 263023.920043945 6648626.64001465 4.518, 263023.91003418 6648626.67004395 4.518, 263023.920043945 6648626.70996094 4.518, 263023.920043945 6648626.75 4.518, 263023.920043945 6648626.7800293 4.518, 263023.930053711 6648626.81994629 4.518, 263023.939941406 6648626.85998535 4.518, 263023.939941406 6648626.90002442 4.518, 263023.959960938 6648626.93005371 4.508, 263023.969970703 6648626.9699707 4.508, 263023.979980469 6648627 4.508, 263024.010009766 6648627.0300293 4.508, 263024.020019531 6648627.06005859 4.508, 263024.040039063 6648627.09997559 4.508, 263024.069946289 6648627.13000488 4.508, 263024.08996582 6648627.16003418 4.508, 263024.109985352 6648627.18994141 4.508, 263024.130004883 6648627.20996094 4.508, 263024.170043945 6648627.23999024 4.498, 263024.199951172 6648627.26000977 4.498, 263024.219970703 6648627.29003906 4.498, 263024.25 6648627.30004883 4.498, 263024.290039063 6648627.32995605 4.498, 263024.319946289 6648627.34997559 4.498, 263024.349975586 6648627.35998535 4.498, 263024.390014648 6648627.36999512 4.498, 263024.420043945 6648627.39001465 4.498, 263024.459960938 6648627.40002441 4.498, 263024.489990234 6648627.41003418 4.498, 263024.530029297 6648627.42004395 4.498, 263024.569946289 6648627.43005371 4.498, 263024.609985352 6648627.43005371 4.488, 263024.650024414 6648627.43005371 4.488, 263024.680053711 6648627.43005371 4.488, 263024.719970703 6648627.43005371 4.488, 263024.760009766 6648627.43005371 4.488, 263024.800048828 6648627.41003418 4.488, 263024.829956055 6648627.41003418 4.488, 263024.869995117 6648627.41003418 4.488, 263024.900024414 6648627.39001465 4.488, 263024.930053711 6648627.38000488 4.488, 263024.969970703 6648627.36999512 4.488, 263025 6648627.34997559 4.488, 263025.040039063 6648627.32995605 4.488, 263033.739990234 6648622.40002441 4.568))</t>
  </si>
  <si>
    <t>[1420]</t>
  </si>
  <si>
    <t>['FV1420 S1D1 m1558-1560']</t>
  </si>
  <si>
    <t>LINESTRING Z (265425.429931641 6635734.34002686 153.066, 265425.659912109 6635735.7800293 153.096, 265425.879882813 6635736.26000977 153.086, 265426.360107422 6635736.57000733 153.086, 265426.760009766 6635736.63000488 153.076, 265427.239990234 6635736.39001465 153.036, 265427.540039062 6635735.95001221 152.976, 265427.520019531 6635735.42999268 152.966, 265427.290039063 6635734.08001709 152.896, 265425.409912109 6635734.39001465 152.986, 265425.429931641 6635734.34002686 153.066)</t>
  </si>
  <si>
    <t>['EV18 S56D10 m5-17']</t>
  </si>
  <si>
    <t>LINESTRING Z (262723.859985352 6647268.14990234 14.767, 262723.780029297 6647268.14990234 14.767, 262723.66998291 6647268.13989258 14.757, 262723.549987793 6647268.16992188 14.747, 262723.450012207 6647268.23999024 14.747, 262723.340026855 6647268.36010742 14.747, 262723.299987793 6647268.41992188 14.757, 262723.270019531 6647268.4699707 14.747, 262723.239990234 6647268.61010742 14.757, 262723.25 6647268.72998047 14.757, 262723.280029297 6647268.84008789 14.747, 262723.359985352 6647268.9699707 14.757, 262723.440002441 6647269.05004883 14.757, 262723.489990234 6647269.08007813 14.757, 262723.559997559 6647269.12011719 14.757, 262724.460021973 6647269.63989258 14.787, 262725.340026855 6647270.15991211 14.817, 262726.210021973 6647270.69995117 14.847, 262726.289978027 6647270.73999023 14.857, 262727.070007324 6647271.22998047 14.767, 262727.130004883 6647271.27001953 14.757, 262727.969970703 6647271.79003906 14.787, 262728.679992676 6647272.27001953 14.807, 262729.609985352 6647272.88989258 14.837, 262729.650024414 6647272.91992188 14.837, 262730.440002441 6647273.47998047 14.977, 262731.320007324 6647274.13989258 15.007, 262732.16998291 6647274.83007813 15.037, 262732.969970703 6647275.5300293 15.067, 262733 6647275.56005859 15.067, 262733.090026855 6647275.60009766 15.057, 262733.25 6647275.62988281 15.057, 262733.349975586 6647275.63989258 15.057, 262733.469970703 6647275.61010742 15.067, 262733.570007324 6647275.56005859 15.067, 262733.650024414 6647275.5 15.067, 262733.700012207 6647275.42993164 15.067, 262733.719970703 6647275.39990234 15.067, 262733.75 6647275.30004883 15.067, 262733.869995117 6647274.94995117 15.077, 262734.059997559 6647274.37011719 15.087, 262734.369995117 6647273.48999023 15.087, 262734.460021973 6647273.22998047 15.087, 262734.659973145 6647272.7199707 15.087, 262735.059997559 6647271.7800293 15.087, 262735.099975586 6647271.67993164 15.087, 262735.489990234 6647270.87988281 15.087, 262735.510009766 6647270.83007813 15.087, 262735.549987793 6647270.73999023 15.067, 262735.539978027 6647270.57006836 15.067, 262735.5 6647270.45996094 15.057, 262735.41998291 6647270.34008789 15.057, 262735.349975586 6647270.27001953 15.057, 262735.260009766 6647270.2199707 15.057, 262735.179992676 6647270.18994141 15.047, 262735.150024414 6647270.18994141 15.047, 262735.08001709 6647270.17993164 15.047, 262734.119995117 6647270.11010742 15.037, 262734.090026855 6647270.12011719 15.027, 262733.030029297 6647270.02001953 15.007, 262733 6647270.02001953 15.007, 262731.929992676 6647269.89990234 14.967, 262731.900024414 6647269.89990234 14.967, 262730.960021973 6647269.75 14.827, 262730.909973145 6647269.73999023 14.817, 262729.109985352 6647269.40991211 14.777, 262727.979980469 6647269.16992188 14.757, 262727.900024414 6647269.13989258 14.757, 262726.989990234 6647268.93994141 14.847, 262725.969970703 6647268.69995117 14.817, 262724.960021973 6647268.44995117 14.797, 262723.940002441 6647268.17993164 14.777, 262723.890014648 6647268.15991211 14.767)</t>
  </si>
  <si>
    <t>POLYGON Z ((262723.859985352 6647268.14990234 14.767, 262723.780029297 6647268.14990234 14.767, 262723.66998291 6647268.13989258 14.757, 262723.549987793 6647268.16992188 14.747, 262723.450012207 6647268.23999024 14.747, 262723.340026855 6647268.36010742 14.747, 262723.299987793 6647268.41992188 14.757, 262723.270019531 6647268.4699707 14.747, 262723.239990234 6647268.61010742 14.757, 262723.25 6647268.72998047 14.757, 262723.280029297 6647268.84008789 14.747, 262723.359985352 6647268.9699707 14.757, 262723.440002441 6647269.05004883 14.757, 262723.489990234 6647269.08007813 14.757, 262723.559997559 6647269.12011719 14.757, 262724.460021973 6647269.63989258 14.787, 262725.340026855 6647270.15991211 14.817, 262726.210021973 6647270.69995117 14.847, 262726.289978027 6647270.73999023 14.857, 262727.070007324 6647271.22998047 14.767, 262727.130004883 6647271.27001953 14.757, 262727.969970703 6647271.79003906 14.787, 262728.679992676 6647272.27001953 14.807, 262729.609985352 6647272.88989258 14.837, 262729.650024414 6647272.91992188 14.837, 262730.440002441 6647273.47998047 14.977, 262731.320007324 6647274.13989258 15.007, 262732.16998291 6647274.83007813 15.037, 262732.969970703 6647275.5300293 15.067, 262733 6647275.56005859 15.067, 262733.090026855 6647275.60009766 15.057, 262733.25 6647275.62988281 15.057, 262733.349975586 6647275.63989258 15.057, 262733.469970703 6647275.61010742 15.067, 262733.570007324 6647275.56005859 15.067, 262733.650024414 6647275.5 15.067, 262733.700012207 6647275.42993164 15.067, 262733.719970703 6647275.39990234 15.067, 262733.75 6647275.30004883 15.067, 262733.869995117 6647274.94995117 15.077, 262734.059997559 6647274.37011719 15.087, 262734.369995117 6647273.48999023 15.087, 262734.460021973 6647273.22998047 15.087, 262734.659973145 6647272.7199707 15.087, 262735.059997559 6647271.7800293 15.087, 262735.099975586 6647271.67993164 15.087, 262735.489990234 6647270.87988281 15.087, 262735.510009766 6647270.83007813 15.087, 262735.549987793 6647270.73999023 15.067, 262735.539978027 6647270.57006836 15.067, 262735.5 6647270.45996094 15.057, 262735.41998291 6647270.34008789 15.057, 262735.349975586 6647270.27001953 15.057, 262735.260009766 6647270.2199707 15.057, 262735.179992676 6647270.18994141 15.047, 262735.150024414 6647270.18994141 15.047, 262735.08001709 6647270.17993164 15.047, 262734.119995117 6647270.11010742 15.037, 262734.090026855 6647270.12011719 15.027, 262733.030029297 6647270.02001953 15.007, 262733 6647270.02001953 15.007, 262731.929992676 6647269.89990234 14.967, 262731.900024414 6647269.89990234 14.967, 262730.960021973 6647269.75 14.827, 262730.909973145 6647269.73999023 14.817, 262729.109985352 6647269.40991211 14.777, 262727.979980469 6647269.16992188 14.757, 262727.900024414 6647269.13989258 14.757, 262726.989990234 6647268.93994141 14.847, 262725.969970703 6647268.69995117 14.817, 262724.960021973 6647268.44995117 14.797, 262723.940002441 6647268.17993164 14.777, 262723.890014648 6647268.15991211 14.767, 262723.859985352 6647268.14990234 14.767))</t>
  </si>
  <si>
    <t>['EV18 S56D1 m622 KD5 m0-73']</t>
  </si>
  <si>
    <t>LINESTRING Z (262763.940002441 6647291.87011719 15.857, 262764.460021973 6647291.41992188 15.867, 262764.960021973 6647290.92993164 15.877, 262765.440002441 6647290.41992187 15.887, 262765.900024414 6647289.88989258 15.897, 262766.320007324 6647289.33007813 15.907, 262766.729980469 6647288.75 15.907, 262767.090026855 6647288.15991211 15.907, 262767.429992676 6647287.55004883 15.917, 262767.75 6647286.89990234 15.917, 262768.010009766 6647286.2800293 15.917, 262768.260009766 6647285.62011719 15.917, 262768.460021973 6647284.94995117 15.907, 262768.640014648 6647284.27001953 15.907, 262768.789978027 6647283.59008789 15.897, 262768.890014648 6647282.89990234 15.897, 262768.969970703 6647282.19995117 15.897, 262769 6647281.5 15.887, 262769.010009766 6647280.80004883 15.887, 262768.969970703 6647280.10009766 15.877, 262768.909973145 6647279.39990234 15.867, 262768.799987793 6647278.7199707 15.857, 262768.66998291 6647278.02001953 15.847, 262768.489990234 6647277.34008789 15.827, 262768.289978027 6647276.66992188 15.817, 262768.059997559 6647276.02001953 15.807, 262767.780029297 6647275.37011719 15.797, 262767.479980469 6647274.73999023 15.777, 262767.150024414 6647274.12011719 15.767, 262766.780029297 6647273.52001953 15.757, 262766.390014648 6647272.94995117 15.747, 262765.979980469 6647272.37988281 15.737, 262765.520019531 6647271.85009766 15.717, 262765.049987793 6647271.34008789 15.707, 262764.539978027 6647270.84008789 15.687, 262764.020019531 6647270.37988281 15.677, 262763.469970703 6647269.94995117 15.657, 262762.909973145 6647269.5300293 15.637, 262762.320007324 6647269.14990234 15.627, 262761.719970703 6647268.80004883 15.607, 262761.090026855 6647268.47998047 15.587, 262760.450012207 6647268.18994141 15.577, 262759.809997559 6647267.93994141 15.557, 262759.140014648 6647267.70996094 15.537, 262758.469970703 6647267.5300293 15.517, 262757.780029297 6647267.37011719 15.507, 262757.090026855 6647267.23999023 15.487, 262756.400024414 6647267.15991211 15.467, 262755.700012207 6647267.10009766 15.457, 262755 6647267.09008789 15.447, 262754.299987793 6647267.10009766 15.427, 262753.599975586 6647267.15991211 15.417, 262752.909973145 6647267.23999023 15.407, 262752.219970703 6647267.37011719 15.397, 262751.539978027 6647267.52001953 15.377, 262750.859985352 6647267.7199707 15.367, 262750.200012207 6647267.93994141 15.357, 262749.549987793 6647268.18994141 15.347, 262748.91998291 6647268.48999023 15.327, 262748.289978027 6647268.81005859 15.317, 262747.690002441 6647269.15991211 15.307, 262747.099975586 6647269.54003906 15.297, 262746.520019531 6647269.93994141 15.277, 262745.979980469 6647270.37988281 15.277, 262745.460021973 6647270.84008789 15.267, 262744.960021973 6647271.34008789 15.267, 262744.479980469 6647271.85009766 15.257, 262744.039978027 6647272.38989258 15.247, 262743.609985352 6647272.94995117 15.247, 262743.219970703 6647273.5300293 15.237, 262742.859985352 6647274.12988281 15.237, 262742.520019531 6647274.73999023 15.227, 262742.219970703 6647275.37011719 15.217, 262741.960021973 6647276.02001953 15.217, 262741.719970703 6647276.67993164 15.217, 262741.510009766 6647277.35009766 15.217, 262741.340026855 6647278.0300293 15.217, 262741.210021973 6647278.7199707 15.227, 262741.099975586 6647279.40991211 15.237, 262741.039978027 6647280.10009766 15.247, 262741 6647280.81005859 15.257, 262741.010009766 6647281.51000977 15.267, 262741.049987793 6647282.20996094 15.277, 262741.119995117 6647282.89990234 15.277, 262741.229980469 6647283.59008789 15.287, 262741.369995117 6647284.2800293 15.297, 262741.549987793 6647284.95996094 15.307, 262741.75 6647285.62988281 15.317, 262742 6647286.2800293 15.327, 262742.280029297 6647286.92993164 15.337, 262742.58001709 6647287.55004883 15.337, 262742.91998291 6647288.16992188 15.357, 262743.289978027 6647288.76000977 15.367, 262743.690002441 6647289.33007813 15.387, 262744.119995117 6647289.89990234 15.407, 262744.570007324 6647290.42993164 15.417, 262745.049987793 6647290.93994141 15.437, 262745.549987793 6647291.41992188 15.447, 262746.08001709 6647291.87988281 15.467, 262746.630004883 6647292.3100586 15.487, 262747.200012207 6647292.70996094 15.497, 262747.789978027 6647293.10009766 15.517, 262748.400024414 6647293.43994141 15.537, 262749.030029297 6647293.76000977 15.547, 262749.66998291 6647294.04003906 15.567, 262750.270019531 6647294.27001953 15.577, 262750.940002441 6647294.48999023 15.597, 262751.609985352 6647294.66992188 15.617, 262752.299987793 6647294.83007812 15.627, 262752.989990234 6647294.94995117 15.647, 262753.679992676 6647295.0300293 15.667, 262754.380004883 6647295.08007813 15.677, 262755.090026855 6647295.09008789 15.697, 262755.789978027 6647295.08007813 15.707, 262756.489990234 6647295.02001953 15.727, 262757.16998291 6647294.92993164 15.747, 262757.909973145 6647294.79003906 15.757, 262758.640014648 6647294.61010742 15.777, 262759.309997559 6647294.41992188 15.787, 262759.969970703 6647294.17993164 15.797, 262760.619995117 6647293.91992188 15.807, 262761.260009766 6647293.62011719 15.817, 262761.880004883 6647293.29003906 15.827, 262762.479980469 6647292.93994141 15.837, 262763.059997559 6647292.55004883 15.847, 262763.619995117 6647292.12988281 15.857, 262763.929992676 6647291.87988281 15.857)</t>
  </si>
  <si>
    <t>POLYGON Z ((262763.940002441 6647291.87011719 15.857, 262764.460021973 6647291.41992188 15.867, 262764.960021973 6647290.92993164 15.877, 262765.440002441 6647290.41992187 15.887, 262765.900024414 6647289.88989258 15.897, 262766.320007324 6647289.33007813 15.907, 262766.729980469 6647288.75 15.907, 262767.090026855 6647288.15991211 15.907, 262767.429992676 6647287.55004883 15.917, 262767.75 6647286.89990234 15.917, 262768.010009766 6647286.2800293 15.917, 262768.260009766 6647285.62011719 15.917, 262768.460021973 6647284.94995117 15.907, 262768.640014648 6647284.27001953 15.907, 262768.789978027 6647283.59008789 15.897, 262768.890014648 6647282.89990234 15.897, 262768.969970703 6647282.19995117 15.897, 262769 6647281.5 15.887, 262769.010009766 6647280.80004883 15.887, 262768.969970703 6647280.10009766 15.877, 262768.909973145 6647279.39990234 15.867, 262768.799987793 6647278.7199707 15.857, 262768.66998291 6647278.02001953 15.847, 262768.489990234 6647277.34008789 15.827, 262768.289978027 6647276.66992188 15.817, 262768.059997559 6647276.02001953 15.807, 262767.780029297 6647275.37011719 15.797, 262767.479980469 6647274.73999023 15.777, 262767.150024414 6647274.12011719 15.767, 262766.780029297 6647273.52001953 15.757, 262766.390014648 6647272.94995117 15.747, 262765.979980469 6647272.37988281 15.737, 262765.520019531 6647271.85009766 15.717, 262765.049987793 6647271.34008789 15.707, 262764.539978027 6647270.84008789 15.687, 262764.020019531 6647270.37988281 15.677, 262763.469970703 6647269.94995117 15.657, 262762.909973145 6647269.5300293 15.637, 262762.320007324 6647269.14990234 15.627, 262761.719970703 6647268.80004883 15.607, 262761.090026855 6647268.47998047 15.587, 262760.450012207 6647268.18994141 15.577, 262759.809997559 6647267.93994141 15.557, 262759.140014648 6647267.70996094 15.537, 262758.469970703 6647267.5300293 15.517, 262757.780029297 6647267.37011719 15.507, 262757.090026855 6647267.23999023 15.487, 262756.400024414 6647267.15991211 15.467, 262755.700012207 6647267.10009766 15.457, 262755 6647267.09008789 15.447, 262754.299987793 6647267.10009766 15.427, 262753.599975586 6647267.15991211 15.417, 262752.909973145 6647267.23999023 15.407, 262752.219970703 6647267.37011719 15.397, 262751.539978027 6647267.52001953 15.377, 262750.859985352 6647267.7199707 15.367, 262750.200012207 6647267.93994141 15.357, 262749.549987793 6647268.18994141 15.347, 262748.91998291 6647268.48999023 15.327, 262748.289978027 6647268.81005859 15.317, 262747.690002441 6647269.15991211 15.307, 262747.099975586 6647269.54003906 15.297, 262746.520019531 6647269.93994141 15.277, 262745.979980469 6647270.37988281 15.277, 262745.460021973 6647270.84008789 15.267, 262744.960021973 6647271.34008789 15.267, 262744.479980469 6647271.85009766 15.257, 262744.039978027 6647272.38989258 15.247, 262743.609985352 6647272.94995117 15.247, 262743.219970703 6647273.5300293 15.237, 262742.859985352 6647274.12988281 15.237, 262742.520019531 6647274.73999023 15.227, 262742.219970703 6647275.37011719 15.217, 262741.960021973 6647276.02001953 15.217, 262741.719970703 6647276.67993164 15.217, 262741.510009766 6647277.35009766 15.217, 262741.340026855 6647278.0300293 15.217, 262741.210021973 6647278.7199707 15.227, 262741.099975586 6647279.40991211 15.237, 262741.039978027 6647280.10009766 15.247, 262741 6647280.81005859 15.257, 262741.010009766 6647281.51000977 15.267, 262741.049987793 6647282.20996094 15.277, 262741.119995117 6647282.89990234 15.277, 262741.229980469 6647283.59008789 15.287, 262741.369995117 6647284.2800293 15.297, 262741.549987793 6647284.95996094 15.307, 262741.75 6647285.62988281 15.317, 262742 6647286.2800293 15.327, 262742.280029297 6647286.92993164 15.337, 262742.58001709 6647287.55004883 15.337, 262742.91998291 6647288.16992188 15.357, 262743.289978027 6647288.76000977 15.367, 262743.690002441 6647289.33007813 15.387, 262744.119995117 6647289.89990234 15.407, 262744.570007324 6647290.42993164 15.417, 262745.049987793 6647290.93994141 15.437, 262745.549987793 6647291.41992188 15.447, 262746.08001709 6647291.87988281 15.467, 262746.630004883 6647292.3100586 15.487, 262747.200012207 6647292.70996094 15.497, 262747.789978027 6647293.10009766 15.517, 262748.400024414 6647293.43994141 15.537, 262749.030029297 6647293.76000977 15.547, 262749.66998291 6647294.04003906 15.567, 262750.270019531 6647294.27001953 15.577, 262750.940002441 6647294.48999023 15.597, 262751.609985352 6647294.66992188 15.617, 262752.299987793 6647294.83007812 15.627, 262752.989990234 6647294.94995117 15.647, 262753.679992676 6647295.0300293 15.667, 262754.380004883 6647295.08007813 15.677, 262755.090026855 6647295.09008789 15.697, 262755.789978027 6647295.08007813 15.707, 262756.489990234 6647295.02001953 15.727, 262757.16998291 6647294.92993164 15.747, 262757.909973145 6647294.79003906 15.757, 262758.640014648 6647294.61010742 15.777, 262759.309997559 6647294.41992188 15.787, 262759.969970703 6647294.17993164 15.797, 262760.619995117 6647293.91992188 15.807, 262761.260009766 6647293.62011719 15.817, 262761.880004883 6647293.29003906 15.827, 262762.479980469 6647292.93994141 15.837, 262763.059997559 6647292.55004883 15.847, 262763.619995117 6647292.12988281 15.857, 262763.929992676 6647291.87988281 15.857, 262763.940002441 6647291.87011719 15.857))</t>
  </si>
  <si>
    <t>[21532]</t>
  </si>
  <si>
    <t>['PV21532 S1D1 m391-396']</t>
  </si>
  <si>
    <t>LINESTRING Z (262641.349975586 6647363.33007813 6.217, 262641.349975586 6647363.37011719 6.207, 262641.369995117 6647363.43994141 6.207, 262641.400024414 6647363.51000977 6.207, 262641.469970703 6647363.60009766 6.197, 262641.570007324 6647363.68994141 6.197, 262641.659973145 6647363.73999023 6.197, 262641.770019531 6647363.77001953 6.197, 262641.880004883 6647363.7800293 6.187, 262641.929992676 6647363.7800293 6.187, 262641.989990234 6647363.76000977 6.187, 262642.070007324 6647363.75 6.187, 262642.150024414 6647363.70996094 6.187, 262642.239990234 6647363.65991211 6.187, 262642.320007324 6647363.56005859 6.187, 262642.380004883 6647363.47998047 6.187, 262642.409973145 6647363.38989258 6.187, 262642.41998291 6647363.25 6.197, 262642.460021973 6647362.27001953 6.207, 262642.460021973 6647362.23999023 6.197, 262642.460021973 6647361.26000977 6.207, 262642.460021973 6647361.2199707 6.217, 262642.400024414 6647360.67993164 6.217, 262642.239990234 6647359.98999023 6.227, 262642.239990234 6647359.94995117 6.227, 262642.090026855 6647359.51000977 6.237, 262642.070007324 6647359.47998047 6.237, 262642.039978027 6647359.40991211 6.237, 262641.969970703 6647359.31005859 6.247, 262641.909973145 6647359.26000977 6.247, 262641.799987793 6647359.19995117 6.247, 262641.679992676 6647359.15991211 6.257, 262641.590026855 6647359.15991211 6.257, 262641.479980469 6647359.17993164 6.257, 262641.429992676 6647359.18994141 6.257, 262641.340026855 6647359.22998047 6.257, 262641.260009766 6647359.2800293 6.257, 262641.190002441 6647359.34008789 6.267, 262641.130004883 6647359.43994141 6.257, 262641.099975586 6647359.55004883 6.267, 262641.090026855 6647359.61010742 6.267, 262641.020019531 6647360.12011719 6.257, 262640.989990234 6647360.81005859 6.257, 262640.989990234 6647360.85009766 6.257, 262641.020019531 6647361.33007813 6.247, 262641.030029297 6647361.37011719 6.247, 262641.179992676 6647362.32006836 6.227, 262641.349975586 6647363.33007813 6.217)</t>
  </si>
  <si>
    <t>POLYGON Z ((262641.349975586 6647363.33007813 6.217, 262641.349975586 6647363.37011719 6.207, 262641.369995117 6647363.43994141 6.207, 262641.400024414 6647363.51000977 6.207, 262641.469970703 6647363.60009766 6.197, 262641.570007324 6647363.68994141 6.197, 262641.659973145 6647363.73999023 6.197, 262641.770019531 6647363.77001953 6.197, 262641.880004883 6647363.7800293 6.187, 262641.929992676 6647363.7800293 6.187, 262641.989990234 6647363.76000977 6.187, 262642.070007324 6647363.75 6.187, 262642.150024414 6647363.70996094 6.187, 262642.239990234 6647363.65991211 6.187, 262642.320007324 6647363.56005859 6.187, 262642.380004883 6647363.47998047 6.187, 262642.409973145 6647363.38989258 6.187, 262642.41998291 6647363.25 6.197, 262642.460021973 6647362.27001953 6.207, 262642.460021973 6647362.23999023 6.197, 262642.460021973 6647361.26000977 6.207, 262642.460021973 6647361.2199707 6.217, 262642.400024414 6647360.67993164 6.217, 262642.239990234 6647359.98999023 6.227, 262642.239990234 6647359.94995117 6.227, 262642.090026855 6647359.51000977 6.237, 262642.070007324 6647359.47998047 6.237, 262642.039978027 6647359.40991211 6.237, 262641.969970703 6647359.31005859 6.247, 262641.909973145 6647359.26000977 6.247, 262641.799987793 6647359.19995117 6.247, 262641.679992676 6647359.15991211 6.257, 262641.590026855 6647359.15991211 6.257, 262641.479980469 6647359.17993164 6.257, 262641.429992676 6647359.18994141 6.257, 262641.340026855 6647359.22998047 6.257, 262641.260009766 6647359.2800293 6.257, 262641.190002441 6647359.34008789 6.267, 262641.130004883 6647359.43994141 6.257, 262641.099975586 6647359.55004883 6.267, 262641.090026855 6647359.61010742 6.267, 262641.020019531 6647360.12011719 6.257, 262640.989990234 6647360.81005859 6.257, 262640.989990234 6647360.85009766 6.257, 262641.020019531 6647361.33007813 6.247, 262641.030029297 6647361.37011719 6.247, 262641.179992676 6647362.32006836 6.227, 262641.349975586 6647363.33007813 6.217))</t>
  </si>
  <si>
    <t>['EV18 S55D1 m2153 KD5 m0-35', 'EV18 S55D1 m2153 KD8 m30-37']</t>
  </si>
  <si>
    <t>LINESTRING Z (258325.060058594 6650486.67004395 2.985, 258325.430053711 6650487 2.985, 258325.810058594 6650487.31994629 2.985, 258326.180053711 6650487.64001465 2.985, 258326.569946289 6650487.93994141 2.985, 258326.949951172 6650488.25 2.985, 258327.349975586 6650488.55004883 2.985, 258327.739990234 6650488.83996582 2.985, 258328.130004883 6650489.13000488 2.985, 258328.540039063 6650489.41003418 2.985, 258330.469970703 6650490.68994141 3.005, 258332.380004883 6650491.98999024 3.025, 258334.300048828 6650493.2800293 3.035, 258336.199951172 6650494.58996582 3.045, 258338.08996582 6650495.92004395 3.055, 258339.979980469 6650497.23999024 3.075, 258341.08996582 6650498.07995606 3.085, 258342.189941406 6650498.91003418 3.095, 258343.290039063 6650499.75 3.105, 258344.380004883 6650500.58996582 3.115, 258345.459960938 6650501.44995117 3.115, 258346.540039063 6650502.30004883 3.125, 258347.619995117 6650503.17004395 3.135, 258348.689941406 6650504.05004883 3.145, 258355.270019531 6650501.43005371 3.345, 258355.020019531 6650501.15002441 3.335, 258353 6650499.07995606 3.295, 258347.760009766 6650493.86999512 3.225, 258341.150024414 6650487.39001465 3.245, 258334.540039063 6650480.85998535 3.265, 258334.469970703 6650480.81005859 3.265, 258334.400024414 6650480.75 3.265, 258334.33996582 6650480.7199707 3.265, 258334.270019531 6650480.67004395 3.265, 258334.189941406 6650480.65002441 3.265, 258334.109985352 6650480.63000488 3.265, 258334.030029297 6650480.60998535 3.265, 258333.949951172 6650480.60998535 3.265, 258333.869995117 6650480.60998535 3.265, 258333.790039063 6650480.61999512 3.265, 258333.709960938 6650480.63000488 3.265, 258333.630004883 6650480.66003418 3.275, 258333.560058594 6650480.68994141 3.275, 258333.489990234 6650480.7199707 3.275, 258333.420043945 6650480.77001953 3.275, 258333.359985352 6650480.81994629 3.275, 258333.300048828 6650480.86999512 3.275, 258333.25 6650480.93005371 3.275, 258333.040039062 6650481.15002442 3.275, 258332.83996582 6650481.35998535 3.275, 258332.630004883 6650481.56994629 3.275, 258332.420043945 6650481.7800293 3.275, 258332.189941406 6650481.9699707 3.275, 258331.969970703 6650482.16003418 3.265, 258331.739990234 6650482.33996582 3.265, 258331.5 6650482.52001953 3.255, 258331.270019531 6650482.68994141 3.255, 258331.020019531 6650482.85998535 3.245, 258330.770019531 6650483.02001953 3.235, 258330.520019531 6650483.17004395 3.225, 258330.260009766 6650483.32995605 3.215, 258330 6650483.45996094 3.205, 258329.739990234 6650483.59997559 3.195, 258329.469970703 6650483.7199707 3.185, 258329.199951172 6650483.84997559 3.165, 258328.920043945 6650483.9699707 3.155, 258328.640014648 6650484.09997559 3.145, 258328.359985352 6650484.20996094 3.145, 258328.079956055 6650484.31994629 3.135, 258327.790039062 6650484.42004395 3.125, 258327.489990234 6650484.51000977 3.115, 258327.199951172 6650484.60998535 3.105, 258326.91003418 6650484.68994141 3.095, 258326.609985352 6650484.76000977 3.085, 258326.310058594 6650484.82995605 3.075, 258326.010009766 6650484.89001465 3.065, 258325.709960938 6650484.94995117 3.055, 258325.41003418 6650484.98999023 3.045, 258325.329956055 6650485.02001953 3.045, 258325.239990234 6650485.05004883 3.035, 258325.16003418 6650485.08996582 3.035, 258325.099975586 6650485.13000488 3.035, 258325.020019531 6650485.18994141 3.025, 258324.969970703 6650485.25 3.025, 258324.900024414 6650485.31005859 3.025, 258324.849975586 6650485.38000488 3.015, 258324.800048828 6650485.44995117 3.015, 258324.770019531 6650485.52001953 3.015, 258324.739990234 6650485.59997559 3.005, 258324.709960938 6650485.68005371 3.005, 258324.689941406 6650485.77001953 3.005, 258324.680053711 6650485.84997559 2.995, 258324.680053711 6650485.93994141 2.995, 258324.689941406 6650486.02001953 2.995, 258324.699951172 6650486.10998535 2.995, 258324.719970703 6650486.18994141 2.985, 258324.75 6650486.27001953 2.985, 258324.790039063 6650486.34997559 2.985, 258324.829956055 6650486.42004395 2.985, 258324.880004883 6650486.5 2.985, 258324.939941406 6650486.56005859 2.985, 258324.989990234 6650486.61999512 2.985, 258325.060058594 6650486.67004395 2.985)</t>
  </si>
  <si>
    <t>POLYGON Z ((258325.060058594 6650486.67004395 2.985, 258325.430053711 6650487 2.985, 258325.810058594 6650487.31994629 2.985, 258326.180053711 6650487.64001465 2.985, 258326.569946289 6650487.93994141 2.985, 258326.949951172 6650488.25 2.985, 258327.349975586 6650488.55004883 2.985, 258327.739990234 6650488.83996582 2.985, 258328.130004883 6650489.13000488 2.985, 258328.540039063 6650489.41003418 2.985, 258330.469970703 6650490.68994141 3.005, 258332.380004883 6650491.98999024 3.025, 258334.300048828 6650493.2800293 3.035, 258336.199951172 6650494.58996582 3.045, 258338.08996582 6650495.92004395 3.055, 258339.979980469 6650497.23999024 3.075, 258341.08996582 6650498.07995606 3.085, 258342.189941406 6650498.91003418 3.095, 258343.290039063 6650499.75 3.105, 258344.380004883 6650500.58996582 3.115, 258345.459960938 6650501.44995117 3.115, 258346.540039063 6650502.30004883 3.125, 258347.619995117 6650503.17004395 3.135, 258348.689941406 6650504.05004883 3.145, 258355.270019531 6650501.43005371 3.345, 258355.020019531 6650501.15002441 3.335, 258353 6650499.07995606 3.295, 258347.760009766 6650493.86999512 3.225, 258341.150024414 6650487.39001465 3.245, 258334.540039063 6650480.85998535 3.265, 258334.469970703 6650480.81005859 3.265, 258334.400024414 6650480.75 3.265, 258334.33996582 6650480.7199707 3.265, 258334.270019531 6650480.67004395 3.265, 258334.189941406 6650480.65002441 3.265, 258334.109985352 6650480.63000488 3.265, 258334.030029297 6650480.60998535 3.265, 258333.949951172 6650480.60998535 3.265, 258333.869995117 6650480.60998535 3.265, 258333.790039063 6650480.61999512 3.265, 258333.709960938 6650480.63000488 3.265, 258333.630004883 6650480.66003418 3.275, 258333.560058594 6650480.68994141 3.275, 258333.489990234 6650480.7199707 3.275, 258333.420043945 6650480.77001953 3.275, 258333.359985352 6650480.81994629 3.275, 258333.300048828 6650480.86999512 3.275, 258333.25 6650480.93005371 3.275, 258333.040039062 6650481.15002442 3.275, 258332.83996582 6650481.35998535 3.275, 258332.630004883 6650481.56994629 3.275, 258332.420043945 6650481.7800293 3.275, 258332.189941406 6650481.9699707 3.275, 258331.969970703 6650482.16003418 3.265, 258331.739990234 6650482.33996582 3.265, 258331.5 6650482.52001953 3.255, 258331.270019531 6650482.68994141 3.255, 258331.020019531 6650482.85998535 3.245, 258330.770019531 6650483.02001953 3.235, 258330.520019531 6650483.17004395 3.225, 258330.260009766 6650483.32995605 3.215, 258330 6650483.45996094 3.205, 258329.739990234 6650483.59997559 3.195, 258329.469970703 6650483.7199707 3.185, 258329.199951172 6650483.84997559 3.165, 258328.920043945 6650483.9699707 3.155, 258328.640014648 6650484.09997559 3.145, 258328.359985352 6650484.20996094 3.145, 258328.079956055 6650484.31994629 3.135, 258327.790039062 6650484.42004395 3.125, 258327.489990234 6650484.51000977 3.115, 258327.199951172 6650484.60998535 3.105, 258326.91003418 6650484.68994141 3.095, 258326.609985352 6650484.76000977 3.085, 258326.310058594 6650484.82995605 3.075, 258326.010009766 6650484.89001465 3.065, 258325.709960938 6650484.94995117 3.055, 258325.41003418 6650484.98999023 3.045, 258325.329956055 6650485.02001953 3.045, 258325.239990234 6650485.05004883 3.035, 258325.16003418 6650485.08996582 3.035, 258325.099975586 6650485.13000488 3.035, 258325.020019531 6650485.18994141 3.025, 258324.969970703 6650485.25 3.025, 258324.900024414 6650485.31005859 3.025, 258324.849975586 6650485.38000488 3.015, 258324.800048828 6650485.44995117 3.015, 258324.770019531 6650485.52001953 3.015, 258324.739990234 6650485.59997559 3.005, 258324.709960938 6650485.68005371 3.005, 258324.689941406 6650485.77001953 3.005, 258324.680053711 6650485.84997559 2.995, 258324.680053711 6650485.93994141 2.995, 258324.689941406 6650486.02001953 2.995, 258324.699951172 6650486.10998535 2.995, 258324.719970703 6650486.18994141 2.985, 258324.75 6650486.27001953 2.985, 258324.790039063 6650486.34997559 2.985, 258324.829956055 6650486.42004395 2.985, 258324.880004883 6650486.5 2.985, 258324.939941406 6650486.56005859 2.985, 258324.989990234 6650486.61999512 2.985, 258325.060058594 6650486.67004395 2.985))</t>
  </si>
  <si>
    <t>['EV18 S55D1 m2153 KD8 m0-57']</t>
  </si>
  <si>
    <t>LINESTRING Z (258328.790039062 6650469.09997559 3.325, 258328.790039062 6650469.08996582 3.325, 258328.699951172 6650468.93994141 3.335, 258328.599975586 6650468.80004883 3.335, 258328.479980469 6650468.65002441 3.335, 258328.369995117 6650468.5 3.335, 258328.239990234 6650468.35998535 3.345, 258328.109985352 6650468.2199707 3.345, 258327.979980469 6650468.07995606 3.345, 258327.83996582 6650467.94995117 3.345, 258327.689941406 6650467.82995606 3.355, 258327.550048828 6650467.70996094 3.355, 258327.390014648 6650467.58996582 3.355, 258327.239990234 6650467.47998047 3.355, 258327.069946289 6650467.36999512 3.365, 258326.91003418 6650467.27001953 3.365, 258326.739990234 6650467.17004395 3.365, 258326.560058594 6650467.08996582 3.365, 258326.380004883 6650467 3.365, 258326.209960938 6650466.93005371 3.375, 258326.030029297 6650466.84997559 3.375, 258325.83996582 6650466.79003906 3.375, 258325.650024414 6650466.72998047 3.375, 258325.469970703 6650466.68005371 3.375, 258325.290039063 6650466.64001465 3.385, 258325.08996582 6650466.59997559 3.385, 258324.91003418 6650466.56005859 3.385, 258324.709960938 6650466.54003906 3.385, 258324.520019531 6650466.5300293 3.385, 258324.33996582 6650466.51000977 3.385, 258324.150024414 6650466.51000977 3.385, 258323.969970703 6650466.51000977 3.385, 258323.790039063 6650466.52001953 3.395, 258323.609985352 6650466.5300293 3.395, 258323.41003418 6650466.56005859 3.395, 258323.209960938 6650466.58996582 3.395, 258323.010009766 6650466.61999512 3.405, 258322.819946289 6650466.67004395 3.405, 258322.619995117 6650466.7199707 3.405, 258322.420043945 6650466.77001953 3.405, 258322.229980469 6650466.83996582 3.415, 258322.030029297 6650466.90002441 3.415, 258321.849975586 6650466.97998047 3.415, 258321.66003418 6650467.06005859 3.415, 258321.459960938 6650467.15002442 3.415, 258321.280029297 6650467.22998047 3.425, 258321.099975586 6650467.33996582 3.425, 258320.920043945 6650467.44995117 3.425, 258320.739990234 6650467.56005859 3.425, 258320.569946289 6650467.67004395 3.425, 258320.400024414 6650467.80004883 3.425, 258320.239990234 6650467.92004395 3.425, 258320.069946289 6650468.06005859 3.425, 258319.91003418 6650468.18994141 3.425, 258319.760009766 6650468.33996582 3.425, 258319.609985352 6650468.47998047 3.425, 258319.479980469 6650468.63000488 3.425, 258319.33996582 6650468.79003906 3.425, 258319.209960937 6650468.94995117 3.415, 258319.079956055 6650469.10998535 3.415, 258318.959960938 6650469.27001953 3.415, 258318.849975586 6650469.43994141 3.415, 258318.739990234 6650469.61999512 3.415, 258318.640014648 6650469.79003906 3.415, 258318.540039063 6650469.94995117 3.405, 258318.459960938 6650470.13000488 3.405, 258318.390014648 6650470.30004883 3.395, 258318.329956055 6650470.47998047 3.395, 258318.280029297 6650470.65002441 3.385, 258318.219970703 6650470.82995606 3.385, 258318.180053711 6650471.01000977 3.375, 258318.130004883 6650471.19995117 3.375, 258318.099975586 6650471.39001465 3.365, 258318.069946289 6650471.57995606 3.355, 258318.040039062 6650471.77001953 3.355, 258318.030029297 6650471.95996094 3.345, 258318.030029297 6650472.15002441 3.335, 258318.030029297 6650472.34997559 3.325, 258318.030029297 6650472.54003906 3.325, 258318.040039062 6650472.73999024 3.315, 258318.060058594 6650472.93005371 3.305, 258318.079956055 6650473.13000488 3.305, 258318.119995117 6650473.31994629 3.295, 258318.150024414 6650473.52001953 3.285, 258318.189941406 6650473.69995117 3.275, 258318.239990234 6650473.89001465 3.275, 258318.290039063 6650474.07995606 3.265, 258318.359985352 6650474.26000977 3.255, 258318.430053711 6650474.44995117 3.245, 258318.510009766 6650474.61999512 3.245, 258318.579956055 6650474.79003906 3.235, 258318.670043945 6650474.9699707 3.225, 258318.760009766 6650475.13000488 3.215, 258318.859985352 6650475.29003906 3.215, 258318.949951172 6650475.44995117 3.205, 258319.060058594 6650475.59997559 3.195, 258319.16003418 6650475.76000977 3.195, 258319.270019531 6650475.90002441 3.185, 258319.390014648 6650476.05004883 3.185, 258319.510009766 6650476.18994141 3.185, 258319.630004883 6650476.32995605 3.185, 258319.760009766 6650476.4699707 3.175, 258319.900024414 6650476.58996582 3.175, 258320.030029297 6650476.7199707 3.175, 258320.170043945 6650476.84997559 3.175, 258320.329956055 6650476.9699707 3.175, 258320.479980469 6650477.08996582 3.175, 258320.640014648 6650477.19995117 3.175, 258320.800048828 6650477.31005859 3.165, 258320.959960938 6650477.41003418 3.165, 258321.130004883 6650477.51000977 3.165, 258321.300048828 6650477.59997559 3.165, 258321.479980469 6650477.68994141 3.165, 258321.650024414 6650477.77001953 3.165, 258321.829956055 6650477.83996582 3.165, 258322.020019531 6650477.92004395 3.165, 258322.209960938 6650477.97998047 3.165, 258322.390014648 6650478.0300293 3.165, 258322.579956055 6650478.08996582 3.165, 258322.760009766 6650478.13000488 3.165, 258322.959960938 6650478.17004395 3.165, 258323.140014648 6650478.20996094 3.165, 258323.329956055 6650478.22998047 3.165, 258323.530029297 6650478.25 3.165, 258323.709960938 6650478.27001953 3.165, 258323.900024414 6650478.27001953 3.165, 258324.08996582 6650478.27001953 3.165, 258324.270019531 6650478.2800293 3.165, 258324.459960937 6650478.26000977 3.165, 258324.640014648 6650478.25 3.165, 258324.819946289 6650478.22998047 3.175, 258325.010009766 6650478.18994141 3.175, 258325.189941406 6650478.15002441 3.175, 258325.359985352 6650478.11999512 3.175, 258325.550048828 6650478.06994629 3.185, 258325.729980469 6650478.01000977 3.185, 258325.900024414 6650477.95996094 3.185, 258326.08996582 6650477.89001465 3.195, 258326.260009766 6650477.81005859 3.195, 258326.430053711 6650477.73999023 3.195, 258326.609985352 6650477.66003418 3.205, 258326.780029297 6650477.56994629 3.205, 258326.939941406 6650477.47998047 3.205, 258327.109985352 6650477.36999512 3.215, 258327.280029297 6650477.27001953 3.215, 258327.439941406 6650477.16003418 3.215, 258327.58996582 6650477.05004883 3.225, 258327.739990234 6650476.93005371 3.225, 258327.890014648 6650476.80004883 3.235, 258328.030029297 6650476.68005371 3.235, 258328.16003418 6650476.55004883 3.235, 258328.300048828 6650476.40002441 3.245, 258328.430053711 6650476.26000977 3.245, 258328.560058594 6650476.11999512 3.255, 258328.670043945 6650475.9699707 3.255, 258328.790039062 6650475.82995606 3.255, 258328.900024414 6650475.66003418 3.265, 258329.010009766 6650475.51000977 3.265, 258329.099975586 6650475.35998535 3.265, 258329.189941406 6650475.19995117 3.275, 258329.270019531 6650475.04003906 3.275, 258329.359985352 6650474.86999512 3.285, 258329.430053711 6650474.69995117 3.285, 258329.5 6650474.54003906 3.285, 258329.560058594 6650474.35998535 3.285, 258329.630004883 6650474.18005371 3.285, 258329.670043945 6650474.01000977 3.285, 258329.729980469 6650473.81994629 3.285, 258329.770019531 6650473.64001465 3.285, 258329.800048828 6650473.44995117 3.285, 258329.83996582 6650473.26000977 3.285, 258329.859985352 6650473.06994629 3.285, 258329.869995117 6650472.86999512 3.285, 258329.880004883 6650472.68005371 3.285, 258329.890014648 6650472.48999024 3.285, 258329.890014648 6650472.30004883 3.285, 258329.869995117 6650472.09997559 3.285, 258329.859985352 6650471.91003418 3.295, 258329.83996582 6650471.70996094 3.295, 258329.810058594 6650471.52001953 3.295, 258329.770019531 6650471.33996582 3.295, 258329.729980469 6650471.14001465 3.295, 258329.689941406 6650470.94995117 3.305, 258329.630004883 6650470.77001953 3.305, 258329.569946289 6650470.58996582 3.305, 258329.510009766 6650470.41003418 3.305, 258329.439941406 6650470.22998047 3.305, 258329.349975586 6650470.06005859 3.315, 258329.280029297 6650469.88000488 3.315, 258329.189941406 6650469.7199707 3.315, 258329.099975586 6650469.56005859 3.325, 258329 6650469.40002441 3.325, 258328.900024414 6650469.23999023 3.325, 258328.790039062 6650469.09997559 3.325)</t>
  </si>
  <si>
    <t>POLYGON Z ((258328.790039062 6650469.09997559 3.325, 258328.790039062 6650469.08996582 3.325, 258328.699951172 6650468.93994141 3.335, 258328.599975586 6650468.80004883 3.335, 258328.479980469 6650468.65002441 3.335, 258328.369995117 6650468.5 3.335, 258328.239990234 6650468.35998535 3.345, 258328.109985352 6650468.2199707 3.345, 258327.979980469 6650468.07995606 3.345, 258327.83996582 6650467.94995117 3.345, 258327.689941406 6650467.82995606 3.355, 258327.550048828 6650467.70996094 3.355, 258327.390014648 6650467.58996582 3.355, 258327.239990234 6650467.47998047 3.355, 258327.069946289 6650467.36999512 3.365, 258326.91003418 6650467.27001953 3.365, 258326.739990234 6650467.17004395 3.365, 258326.560058594 6650467.08996582 3.365, 258326.380004883 6650467 3.365, 258326.209960938 6650466.93005371 3.375, 258326.030029297 6650466.84997559 3.375, 258325.83996582 6650466.79003906 3.375, 258325.650024414 6650466.72998047 3.375, 258325.469970703 6650466.68005371 3.375, 258325.290039063 6650466.64001465 3.385, 258325.08996582 6650466.59997559 3.385, 258324.91003418 6650466.56005859 3.385, 258324.709960938 6650466.54003906 3.385, 258324.520019531 6650466.5300293 3.385, 258324.33996582 6650466.51000977 3.385, 258324.150024414 6650466.51000977 3.385, 258323.969970703 6650466.51000977 3.385, 258323.790039063 6650466.52001953 3.395, 258323.609985352 6650466.5300293 3.395, 258323.41003418 6650466.56005859 3.395, 258323.209960938 6650466.58996582 3.395, 258323.010009766 6650466.61999512 3.405, 258322.819946289 6650466.67004395 3.405, 258322.619995117 6650466.7199707 3.405, 258322.420043945 6650466.77001953 3.405, 258322.229980469 6650466.83996582 3.415, 258322.030029297 6650466.90002441 3.415, 258321.849975586 6650466.97998047 3.415, 258321.66003418 6650467.06005859 3.415, 258321.459960938 6650467.15002442 3.415, 258321.280029297 6650467.22998047 3.425, 258321.099975586 6650467.33996582 3.425, 258320.920043945 6650467.44995117 3.425, 258320.739990234 6650467.56005859 3.425, 258320.569946289 6650467.67004395 3.425, 258320.400024414 6650467.80004883 3.425, 258320.239990234 6650467.92004395 3.425, 258320.069946289 6650468.06005859 3.425, 258319.91003418 6650468.18994141 3.425, 258319.760009766 6650468.33996582 3.425, 258319.609985352 6650468.47998047 3.425, 258319.479980469 6650468.63000488 3.425, 258319.33996582 6650468.79003906 3.425, 258319.209960937 6650468.94995117 3.415, 258319.079956055 6650469.10998535 3.415, 258318.959960938 6650469.27001953 3.415, 258318.849975586 6650469.43994141 3.415, 258318.739990234 6650469.61999512 3.415, 258318.640014648 6650469.79003906 3.415, 258318.540039063 6650469.94995117 3.405, 258318.459960938 6650470.13000488 3.405, 258318.390014648 6650470.30004883 3.395, 258318.329956055 6650470.47998047 3.395, 258318.280029297 6650470.65002441 3.385, 258318.219970703 6650470.82995606 3.385, 258318.180053711 6650471.01000977 3.375, 258318.130004883 6650471.19995117 3.375, 258318.099975586 6650471.39001465 3.365, 258318.069946289 6650471.57995606 3.355, 258318.040039062 6650471.77001953 3.355, 258318.030029297 6650471.95996094 3.345, 258318.030029297 6650472.15002441 3.335, 258318.030029297 6650472.34997559 3.325, 258318.030029297 6650472.54003906 3.325, 258318.040039062 6650472.73999024 3.315, 258318.060058594 6650472.93005371 3.305, 258318.079956055 6650473.13000488 3.305, 258318.119995117 6650473.31994629 3.295, 258318.150024414 6650473.52001953 3.285, 258318.189941406 6650473.69995117 3.275, 258318.239990234 6650473.89001465 3.275, 258318.290039063 6650474.07995606 3.265, 258318.359985352 6650474.26000977 3.255, 258318.430053711 6650474.44995117 3.245, 258318.510009766 6650474.61999512 3.245, 258318.579956055 6650474.79003906 3.235, 258318.670043945 6650474.9699707 3.225, 258318.760009766 6650475.13000488 3.215, 258318.859985352 6650475.29003906 3.215, 258318.949951172 6650475.44995117 3.205, 258319.060058594 6650475.59997559 3.195, 258319.16003418 6650475.76000977 3.195, 258319.270019531 6650475.90002441 3.185, 258319.390014648 6650476.05004883 3.185, 258319.510009766 6650476.18994141 3.185, 258319.630004883 6650476.32995605 3.185, 258319.760009766 6650476.4699707 3.175, 258319.900024414 6650476.58996582 3.175, 258320.030029297 6650476.7199707 3.175, 258320.170043945 6650476.84997559 3.175, 258320.329956055 6650476.9699707 3.175, 258320.479980469 6650477.08996582 3.175, 258320.640014648 6650477.19995117 3.175, 258320.800048828 6650477.31005859 3.165, 258320.959960938 6650477.41003418 3.165, 258321.130004883 6650477.51000977 3.165, 258321.300048828 6650477.59997559 3.165, 258321.479980469 6650477.68994141 3.165, 258321.650024414 6650477.77001953 3.165, 258321.829956055 6650477.83996582 3.165, 258322.020019531 6650477.92004395 3.165, 258322.209960938 6650477.97998047 3.165, 258322.390014648 6650478.0300293 3.165, 258322.579956055 6650478.08996582 3.165, 258322.760009766 6650478.13000488 3.165, 258322.959960938 6650478.17004395 3.165, 258323.140014648 6650478.20996094 3.165, 258323.329956055 6650478.22998047 3.165, 258323.530029297 6650478.25 3.165, 258323.709960938 6650478.27001953 3.165, 258323.900024414 6650478.27001953 3.165, 258324.08996582 6650478.27001953 3.165, 258324.270019531 6650478.2800293 3.165, 258324.459960937 6650478.26000977 3.165, 258324.640014648 6650478.25 3.165, 258324.819946289 6650478.22998047 3.175, 258325.010009766 6650478.18994141 3.175, 258325.189941406 6650478.15002441 3.175, 258325.359985352 6650478.11999512 3.175, 258325.550048828 6650478.06994629 3.185, 258325.729980469 6650478.01000977 3.185, 258325.900024414 6650477.95996094 3.185, 258326.08996582 6650477.89001465 3.195, 258326.260009766 6650477.81005859 3.195, 258326.430053711 6650477.73999023 3.195, 258326.609985352 6650477.66003418 3.205, 258326.780029297 6650477.56994629 3.205, 258326.939941406 6650477.47998047 3.205, 258327.109985352 6650477.36999512 3.215, 258327.280029297 6650477.27001953 3.215, 258327.439941406 6650477.16003418 3.215, 258327.58996582 6650477.05004883 3.225, 258327.739990234 6650476.93005371 3.225, 258327.890014648 6650476.80004883 3.235, 258328.030029297 6650476.68005371 3.235, 258328.16003418 6650476.55004883 3.235, 258328.300048828 6650476.40002441 3.245, 258328.430053711 6650476.26000977 3.245, 258328.560058594 6650476.11999512 3.255, 258328.670043945 6650475.9699707 3.255, 258328.790039062 6650475.82995606 3.255, 258328.900024414 6650475.66003418 3.265, 258329.010009766 6650475.51000977 3.265, 258329.099975586 6650475.35998535 3.265, 258329.189941406 6650475.19995117 3.275, 258329.270019531 6650475.04003906 3.275, 258329.359985352 6650474.86999512 3.285, 258329.430053711 6650474.69995117 3.285, 258329.5 6650474.54003906 3.285, 258329.560058594 6650474.35998535 3.285, 258329.630004883 6650474.18005371 3.285, 258329.670043945 6650474.01000977 3.285, 258329.729980469 6650473.81994629 3.285, 258329.770019531 6650473.64001465 3.285, 258329.800048828 6650473.44995117 3.285, 258329.83996582 6650473.26000977 3.285, 258329.859985352 6650473.06994629 3.285, 258329.869995117 6650472.86999512 3.285, 258329.880004883 6650472.68005371 3.285, 258329.890014648 6650472.48999024 3.285, 258329.890014648 6650472.30004883 3.285, 258329.869995117 6650472.09997559 3.285, 258329.859985352 6650471.91003418 3.295, 258329.83996582 6650471.70996094 3.295, 258329.810058594 6650471.52001953 3.295, 258329.770019531 6650471.33996582 3.295, 258329.729980469 6650471.14001465 3.295, 258329.689941406 6650470.94995117 3.305, 258329.630004883 6650470.77001953 3.305, 258329.569946289 6650470.58996582 3.305, 258329.510009766 6650470.41003418 3.305, 258329.439941406 6650470.22998047 3.305, 258329.349975586 6650470.06005859 3.315, 258329.280029297 6650469.88000488 3.315, 258329.189941406 6650469.7199707 3.315, 258329.099975586 6650469.56005859 3.325, 258329 6650469.40002441 3.325, 258328.900024414 6650469.23999023 3.325, 258328.790039062 6650469.09997559 3.325))</t>
  </si>
  <si>
    <t>2017-02-09</t>
  </si>
  <si>
    <t>2025-04-30T11:42:31Z</t>
  </si>
  <si>
    <t>['KV1517 S2D1 m5-14']</t>
  </si>
  <si>
    <t>LINESTRING (237616.74247947446 6596427.2818054985, 237612.3205290354 6596435.555672996)</t>
  </si>
  <si>
    <t>POINT (237614.53150425493 6596431.418739247)</t>
  </si>
  <si>
    <t>[1205]</t>
  </si>
  <si>
    <t>['KV1205 S2D1 m7-32']</t>
  </si>
  <si>
    <t>LINESTRING (6050336.09171804 831383.7747017874, 6050337.1106798835 831387.6294570684, 6050337.128511971 831392.0321320534, 6050335.336198243 831400.0297236964, 6050331.111568539 831407.1796528891, 6050326.533363079 831407.8047969696, 6050323.837461409 831406.0901776648, 6050321.9807326915 831402.3613642837, 6050321.006591778 831396.8252290539, 6050321.083696103 831391.3856464372, 6050323.785910775 831382.6444910488, 6050329.332702533 831376.0373645873, 6050332.969469531 831378.8840233105, 6050335.6992837135 831382.2716470573)</t>
  </si>
  <si>
    <t>POLYGON ((6050336.09171804 831383.7747017874, 6050337.1106798835 831387.6294570684, 6050337.128511971 831392.0321320534, 6050335.336198243 831400.0297236964, 6050331.111568539 831407.1796528891, 6050326.533363079 831407.8047969696, 6050323.837461409 831406.0901776648, 6050321.9807326915 831402.3613642837, 6050321.006591778 831396.8252290539, 6050321.083696103 831391.3856464372, 6050323.785910775 831382.6444910488, 6050329.332702533 831376.0373645873, 6050332.969469531 831378.8840233105, 6050335.6992837135 831382.2716470573, 6050336.09171804 831383.7747017874))</t>
  </si>
  <si>
    <t>2017-03-30</t>
  </si>
  <si>
    <t>[1270]</t>
  </si>
  <si>
    <t>['KV1270 S1D1 m9-19']</t>
  </si>
  <si>
    <t>LINESTRING (241915.21156205251 6591164.678388137, 241908.61328443472 6591171.37423347)</t>
  </si>
  <si>
    <t>POINT (241911.91242324363 6591168.026310803)</t>
  </si>
  <si>
    <t>['KV1270 S1D1 m157-171']</t>
  </si>
  <si>
    <t>LINESTRING (241798.5995809977 6591253.790782184, 241795.1159707195 6591253.191367537, 241791.16639806717 6591253.52868667, 241787.86043248378 6591255.441741597, 241785.52379952883 6591258.193301995)</t>
  </si>
  <si>
    <t>POLYGON ((241798.5995809977 6591253.790782184, 241795.1159707195 6591253.191367537, 241791.16639806717 6591253.52868667, 241787.86043248378 6591255.441741597, 241785.52379952883 6591258.193301995, 241798.5995809977 6591253.790782184))</t>
  </si>
  <si>
    <t>['KV1270 S1D1 m182-196']</t>
  </si>
  <si>
    <t>LINESTRING (241773.86460117175 6591256.477805978, 241771.81301646226 6591258.897081735, 241769.03998681903 6591260.851875448, 241760.2761291219 6591261.2171197)</t>
  </si>
  <si>
    <t>POLYGON ((241773.86460117175 6591256.477805978, 241771.81301646226 6591258.897081735, 241769.03998681903 6591260.851875448, 241760.2761291219 6591261.2171197, 241773.86460117175 6591256.477805978))</t>
  </si>
  <si>
    <t>2022-03-17</t>
  </si>
  <si>
    <t>['EV6 S15D1 m5382 KD5 m22-61']</t>
  </si>
  <si>
    <t>LINESTRING Z (266615.650024414 6643588.37988281 99.03, 266616.960021973 6643587.06005859 99.06, 266619.320007324 6643585.33984375 99.09, 266619.590026855 6643585 99.07, 266619.559997559 6643584.62011719 99.07, 266618.940002441 6643583.04980469 99.04, 266618.340026855 6643580.54003906 98.96, 266618.190002441 6643576.77978516 98.9, 266618.969970703 6643573.04003906 98.89, 266620.609985352 6643570 98.86, 266620.729980469 6643569.5 98.85, 266620.729980469 6643569.08007813 98.84, 266620.359985352 6643568.54980469 98.86, 266618.159973145 6643566.45019531 98.7, 266616.16998291 6643563.97998047 98.6, 266614.289978027 6643560.35009766 98.53, 266611.900024414 6643554.60009766 98.35, 266611.799987793 6643554.56005859 98.34, 266611.609985352 6643554.14990234 98.35, 266611.440002441 6643554.00976563 98.34, 266611.130004883 6643553.97998047 98.32, 266610.900024414 6643554.14013672 98.31, 266610.809997559 6643554.47021484 98.31, 266610.950012207 6643558.87011719 98.36, 266611.150024414 6643565.27978516 98.43, 266611.390014648 6643571.97998047 98.51, 266611.630004883 6643579.72021484 98.62, 266611.83001709 6643586.68017578 98.69, 266611.890014648 6643591.33984375 98.74, 266612.049987793 6643591.70019531 98.77, 266612.41998291 6643591.85009766 98.81, 266612.840026855 6643591.66992188 98.85, 266613.380004883 6643590.93994141 98.89, 266614.16998291 6643589.91992188 98.95, 266614.809997559 6643589.16992188 98.99, 266615.539978027 6643588.39990234 99.04, 266615.650024414 6643588.37988281 99.03)</t>
  </si>
  <si>
    <t>POLYGON Z ((266615.650024414 6643588.37988281 99.03, 266616.960021973 6643587.06005859 99.06, 266619.320007324 6643585.33984375 99.09, 266619.590026855 6643585 99.07, 266619.559997559 6643584.62011719 99.07, 266618.940002441 6643583.04980469 99.04, 266618.340026855 6643580.54003906 98.96, 266618.190002441 6643576.77978516 98.9, 266618.969970703 6643573.04003906 98.89, 266620.609985352 6643570 98.86, 266620.729980469 6643569.5 98.85, 266620.729980469 6643569.08007813 98.84, 266620.359985352 6643568.54980469 98.86, 266618.159973145 6643566.45019531 98.7, 266616.16998291 6643563.97998047 98.6, 266614.289978027 6643560.35009766 98.53, 266611.900024414 6643554.60009766 98.35, 266611.799987793 6643554.56005859 98.34, 266611.609985352 6643554.14990234 98.35, 266611.440002441 6643554.00976563 98.34, 266611.130004883 6643553.97998047 98.32, 266610.900024414 6643554.14013672 98.31, 266610.809997559 6643554.47021484 98.31, 266610.950012207 6643558.87011719 98.36, 266611.150024414 6643565.27978516 98.43, 266611.390014648 6643571.97998047 98.51, 266611.630004883 6643579.72021484 98.62, 266611.83001709 6643586.68017578 98.69, 266611.890014648 6643591.33984375 98.74, 266612.049987793 6643591.70019531 98.77, 266612.41998291 6643591.85009766 98.81, 266612.840026855 6643591.66992188 98.85, 266613.380004883 6643590.93994141 98.89, 266614.16998291 6643589.91992188 98.95, 266614.809997559 6643589.16992188 98.99, 266615.539978027 6643588.39990234 99.04, 266615.650024414 6643588.37988281 99.03))</t>
  </si>
  <si>
    <t>['EV6 S15D1 m5326-5403']</t>
  </si>
  <si>
    <t>LINESTRING Z (266605.33001709 6643536.12988281 97.72, 266605.960021973 6643540.54980469 97.91, 266606.41998291 6643544.93017578 98.08, 266606.890014648 6643550.20019531 98.19, 266607.159973145 6643555.68994141 98.25, 266607.390014648 6643561.14990234 98.29, 266607.570007324 6643566.62011719 98.35, 266607.760009766 6643572 98.41, 266607.950012207 6643578.52001953 98.48, 266608.150024414 6643583.91992188 98.54, 266608.289978027 6643588.31005859 98.58, 266608.299987793 6643590.41015625 98.59, 266608.309997559 6643594.68017578 98.62, 266608.25 6643597.66015625 98.6, 266608.099975586 6643601.10986328 98.6, 266608 6643602.29980469 98.58, 266607.530029297 6643605.06982422 98.54, 266607.58001709 6643605.08007813 98.55, 266607.090026855 6643608.41015625 98.54, 266606.510009766 6643613.10009766 98.62, 266606.340026855 6643613.5 98.62, 266606.030029297 6643613.60009766 98.65, 266605.679992676 6643613.39990234 98.63, 266605.559997559 6643613.04003906 98.62, 266605.260009766 6643602.89013672 98.3, 266604.979980469 6643591.75 98.08, 266604.539978027 6643580.66015625 97.9, 266604.059997559 6643569.81005859 97.77, 266603.640014648 6643559.93017578 97.68, 266603.320007324 6643550.08984375 97.55, 266603.289978027 6643546.31005859 97.5, 266603.270019531 6643544.79003906 97.55, 266603.289978027 6643544.87988281 97.5, 266603.460021973 6643539.35009766 97.48, 266603.630004883 6643536.12988281 97.48, 266603.780029297 6643535.81005859 97.48, 266604.140014648 6643535.52978516 97.53, 266604.619995117 6643535.45019531 97.58, 266604.929992676 6643535.54980469 97.61, 266605.219970703 6643535.85986328 97.67, 266605.33001709 6643536.12988281 97.72)</t>
  </si>
  <si>
    <t>POLYGON Z ((266605.33001709 6643536.12988281 97.72, 266605.960021973 6643540.54980469 97.91, 266606.41998291 6643544.93017578 98.08, 266606.890014648 6643550.20019531 98.19, 266607.159973145 6643555.68994141 98.25, 266607.390014648 6643561.14990234 98.29, 266607.570007324 6643566.62011719 98.35, 266607.760009766 6643572 98.41, 266607.950012207 6643578.52001953 98.48, 266608.150024414 6643583.91992188 98.54, 266608.289978027 6643588.31005859 98.58, 266608.299987793 6643590.41015625 98.59, 266608.309997559 6643594.68017578 98.62, 266608.25 6643597.66015625 98.6, 266608.099975586 6643601.10986328 98.6, 266608 6643602.29980469 98.58, 266607.530029297 6643605.06982422 98.54, 266607.58001709 6643605.08007813 98.55, 266607.090026855 6643608.41015625 98.54, 266606.510009766 6643613.10009766 98.62, 266606.340026855 6643613.5 98.62, 266606.030029297 6643613.60009766 98.65, 266605.679992676 6643613.39990234 98.63, 266605.559997559 6643613.04003906 98.62, 266605.260009766 6643602.89013672 98.3, 266604.979980469 6643591.75 98.08, 266604.539978027 6643580.66015625 97.9, 266604.059997559 6643569.81005859 97.77, 266603.640014648 6643559.93017578 97.68, 266603.320007324 6643550.08984375 97.55, 266603.289978027 6643546.31005859 97.5, 266603.270019531 6643544.79003906 97.55, 266603.289978027 6643544.87988281 97.5, 266603.460021973 6643539.35009766 97.48, 266603.630004883 6643536.12988281 97.48, 266603.780029297 6643535.81005859 97.48, 266604.140014648 6643535.52978516 97.53, 266604.619995117 6643535.45019531 97.58, 266604.929992676 6643535.54980469 97.61, 266605.219970703 6643535.85986328 97.67, 266605.33001709 6643536.12988281 97.72))</t>
  </si>
  <si>
    <t>['RV150 S2D100 m2514-2552']</t>
  </si>
  <si>
    <t>LINESTRING Z (259812.809997559 6652905.90997314 90.828, 259819.119995117 6652903.15002441 90.688, 259830.61000061 6652898.03997803 90.468, 259838.899993896 6652894.33001709 90.408, 259846.25 6652891 90.428, 259846.520004272 6652890.70001221 90.428, 259846.5 6652890.32000732 90.428, 259846.190002441 6652890.04998779 90.428, 259845.850006104 6652890.04998779 90.418, 259844.820007324 6652890.44000244 90.418, 259838.449996948 6652893.28997803 90.408, 259830.149993896 6652896.97998047 90.468, 259818.580001831 6652902.14001465 90.688, 259812.339996338 6652904.95001221 90.808, 259812.11000061 6652905.25 90.818, 259812.160003662 6652905.59997559 90.828, 259812.38999939 6652905.84997559 90.828, 259812.490005493 6652905.90002441 90.828, 259812.809997559 6652905.90997314 90.828)</t>
  </si>
  <si>
    <t>POLYGON Z ((259812.809997559 6652905.90997314 90.828, 259819.119995117 6652903.15002441 90.688, 259830.61000061 6652898.03997803 90.468, 259838.899993896 6652894.33001709 90.408, 259846.25 6652891 90.428, 259846.520004272 6652890.70001221 90.428, 259846.5 6652890.32000732 90.428, 259846.190002441 6652890.04998779 90.428, 259845.850006104 6652890.04998779 90.418, 259844.820007324 6652890.44000244 90.418, 259838.449996948 6652893.28997803 90.408, 259830.149993896 6652896.97998047 90.468, 259818.580001831 6652902.14001465 90.688, 259812.339996338 6652904.95001221 90.808, 259812.11000061 6652905.25 90.818, 259812.160003662 6652905.59997559 90.828, 259812.38999939 6652905.84997559 90.828, 259812.490005493 6652905.90002441 90.828, 259812.809997559 6652905.90997314 90.828))</t>
  </si>
  <si>
    <t>['RV150 S2D100 m2497-2504']</t>
  </si>
  <si>
    <t>LINESTRING Z (259866.830001831 6652881.84002686 90.878, 259865.660003662 6652882.08001709 90.878, 259865.339996338 6652882.14001465 90.878, 259864.190002441 6652882.40997315 90.898, 259863.570007324 6652882.57000732 90.888, 259861.649993897 6652883.17999268 90.828, 259859.990005493 6652883.75 90.778, 259859.240005493 6652884.03997803 90.758, 259857.910003662 6652884.59997559 90.718, 259857.669998169 6652884.72998047 90.708, 259856.789993286 6652885.15002441 90.678, 259855.789993286 6652885.73999023 90.628, 259855.550003052 6652886.0300293 90.638, 259855.580001831 6652886.40997314 90.638, 259855.880004883 6652886.63000488 90.648, 259856.210006714 6652886.60998535 90.658, 259858.169998169 6652885.73999023 90.718, 259863.25 6652883.47998047 90.858, 259865.740005493 6652882.38000488 90.878, 259866.36000061 6652882.07000732 90.868, 259866.830001831 6652881.84002686 90.878)</t>
  </si>
  <si>
    <t>POLYGON Z ((259866.830001831 6652881.84002686 90.878, 259865.660003662 6652882.08001709 90.878, 259865.339996338 6652882.14001465 90.878, 259864.190002441 6652882.40997315 90.898, 259863.570007324 6652882.57000732 90.888, 259861.649993897 6652883.17999268 90.828, 259859.990005493 6652883.75 90.778, 259859.240005493 6652884.03997803 90.758, 259857.910003662 6652884.59997559 90.718, 259857.669998169 6652884.72998047 90.708, 259856.789993286 6652885.15002441 90.678, 259855.789993286 6652885.73999023 90.628, 259855.550003052 6652886.0300293 90.638, 259855.580001831 6652886.40997314 90.638, 259855.880004883 6652886.63000488 90.648, 259856.210006714 6652886.60998535 90.658, 259858.169998169 6652885.73999023 90.718, 259863.25 6652883.47998047 90.858, 259865.740005493 6652882.38000488 90.878, 259866.36000061 6652882.07000732 90.868, 259866.830001831 6652881.84002686 90.878))</t>
  </si>
  <si>
    <t>['RV150 S2D100 m1360-1369']</t>
  </si>
  <si>
    <t>LINESTRING Z (260816 6653084.38000488 106.499, 260817.130004883 6653084.59997559 106.539, 260821.570007324 6653085.51000977 106.349, 260824.640014648 6653086.13000488 106.229, 260824.909973145 6653086.06994629 106.229, 260825.049987793 6653085.85998535 106.189, 260825.010009766 6653085.61999512 106.159, 260824.780029297 6653085.42004395 106.119, 260821.16998291 6653084.38000488 106.109, 260816.66998291 6653083.09997559 106.139, 260816 6653084.38000488 106.499)</t>
  </si>
  <si>
    <t>POLYGON Z ((260816 6653084.38000488 106.499, 260817.130004883 6653084.59997559 106.539, 260821.570007324 6653085.51000977 106.349, 260824.640014648 6653086.13000488 106.229, 260824.909973145 6653086.06994629 106.229, 260825.049987793 6653085.85998535 106.189, 260825.010009766 6653085.61999512 106.159, 260824.780029297 6653085.42004395 106.119, 260821.16998291 6653084.38000488 106.109, 260816.66998291 6653083.09997559 106.139, 260816 6653084.38000488 106.499))</t>
  </si>
  <si>
    <t>2025-04-30T11:42:38Z</t>
  </si>
  <si>
    <t>[1937]</t>
  </si>
  <si>
    <t>['KV1937 S1D1 m6-16']</t>
  </si>
  <si>
    <t>LINESTRING (242129.33189162004 6591403.403102722, 242124.38017742295 6591407.003433896, 242121.61283801615 6591409.125137587)</t>
  </si>
  <si>
    <t>POINT (242125.4554673329 6591406.241490699)</t>
  </si>
  <si>
    <t>[1700]</t>
  </si>
  <si>
    <t>['KV1700 S1D1 m7-20']</t>
  </si>
  <si>
    <t>LINESTRING (242093.30112908146 6591414.165921437, 242098.69508295122 6591412.199765378, 242100.40612884154 6591411.300843491, 242101.7938792448 6591410.5915844925, 242103.49808597157 6591409.592594387, 242104.95876917092 6591408.699618227)</t>
  </si>
  <si>
    <t>POINT (242099.25204045046 6591411.691256256)</t>
  </si>
  <si>
    <t>2017-04-18</t>
  </si>
  <si>
    <t>[72]</t>
  </si>
  <si>
    <t>['FV72 S1D50 m1443 KD1 m0-86']</t>
  </si>
  <si>
    <t>LINESTRING Z (326097.69 7077940.88 6.804, 326097.85 7077940.29 6.824, 326098.41 7077939.12 6.854, 326099.09 7077938.03 6.894, 326099.89 7077937.04 6.914, 326100.82 7077936.2 6.944, 326101.84 7077935.5 6.994, 326102.89 7077935.03 7.024, 326104.07 7077934.7 7.054, 326105.4 7077934.52 7.094, 326106.69 7077934.58 7.124, 326108.02 7077934.9 7.134, 326109.2 7077935.38 7.104, 326110.27 7077935.98 7.094, 326111.22 7077936.69 7.084, 326112.17 7077937.62 7.084, 326112.95 7077938.77 7.064, 326113.62 7077940.1 7.054, 326114.02 7077941.32 7.044, 326114.25 7077942.85 7.034, 326114.24 7077944.34 7.024, 326114.03 7077945.43 7.014, 326113.55 7077946.91 7.004, 326112.92 7077948.14 6.994, 326112.1 7077949.29 6.984, 326111.13 7077950.28 6.974, 326109.93 7077951.2 6.964, 326108.87 7077951.73 6.954, 326107.32 7077952.18 6.944, 326105.88 7077952.31 6.924, 326104.58 7077952.19 6.904, 326103.12 7077951.78 6.874, 326101.6 7077950.96 6.864, 326100.29 7077949.88 6.834, 326099.21 7077948.7 6.834, 326098.44 7077947.6 6.804, 326097.88 7077946.35 6.784, 326097.4 7077944.36 6.754, 326097.31 7077943.25 6.764, 326095.99 7077944.09 6.484, 326096.62 7077946.96 6.514, 326097.85 7077949.27 6.544, 326099.37 7077951 6.564, 326100.98 7077952.21 6.584, 326102.74 7077953.14 6.614, 326104.66 7077953.62 6.634, 326106.63 7077953.7 6.664, 326108.61 7077953.35 6.684, 326110.44 7077952.54 6.704, 326112.03 7077951.36 6.714, 326113.49 7077949.82 6.714, 326114.54 7077948.12 6.734, 326115.31 7077945.96 6.744, 326115.66 7077943.62 6.744, 326115.47 7077941.56 6.794, 326114.99 7077939.82 6.804, 326114.03 7077937.88 6.804, 326112.73 7077936.2 6.824, 326111.35 7077935.04 6.824, 326109.94 7077934.23 6.864, 326108.3 7077933.54 6.854, 326106.54 7077933.15 6.864, 326105.01 7077933.16 6.834, 326103.11 7077933.49 6.794, 326101.38 7077934.16 6.754, 326099.84 7077935.18 6.714, 326098.51 7077936.48 6.654, 326098.15 7077936.89 6.634, 326097.23 7077938.33 6.594, 326096.54 7077939.83 6.554, 326095.99 7077942.06 6.504, 326095.99 7077944.09 6.484, 326097.31 7077943.25 6.764, 326097.42 7077941.92 6.784, 326097.69 7077940.88 6.804)</t>
  </si>
  <si>
    <t>2022-03-21</t>
  </si>
  <si>
    <t>2025-11-22T09:09:43Z</t>
  </si>
  <si>
    <t>['EV6 S16D1 m4761-4878']</t>
  </si>
  <si>
    <t>LINESTRING Z (265813.630004883 6649651.39001465 96.232, 265812.729980469 6649653.42004395 96.152, 265811.440002441 6649655.97998047 95.982, 265809.859985352 6649659.02001953 95.802, 265807.760009766 6649662.45996094 95.602, 265805.809997559 6649665.5300293 95.412, 265803.409973145 6649668.94995117 95.202, 265800.809997559 6649672.47998047 95.012, 265797.820007324 6649676.4699707 94.812, 265794.900024414 6649680.17004395 94.652, 265791.900024414 6649684.02001953 94.512, 265788.950012207 6649687.85998535 94.422, 265786.200012207 6649691.54003906 94.372, 265783.390014648 6649695.43994141 94.342, 265781.440002441 6649698.27001953 94.342, 265779.619995117 6649700.90002441 94.342, 265778.469970703 6649702.66003418 94.352, 265778.270019531 6649703.04003906 94.322, 265778.349975586 6649703.57995605 94.322, 265778.729980469 6649704.04003906 94.282, 265779.260009766 6649704.16003418 94.272, 265779.760009766 6649704.06005859 94.232, 265780.200012207 6649703.70996094 94.192, 265781.380004883 6649702.18994141 94.092, 265784.349975586 6649698.38000488 93.932, 265787.020019531 6649694.83996582 93.872, 265789.479980469 6649691.66003418 93.802, 265789.679992676 6649691.43994141 93.802, 265792.390014648 6649688.05004883 93.722, 265794.099975586 6649685.93994141 93.672, 265796.619995117 6649682.89001465 93.612, 265799.450012207 6649679.59997559 93.532, 265801.58001709 6649677.13000488 93.472, 265804.070007324 6649674.31994629 93.402, 265806.900024414 6649671.15002441 93.332, 265808.619995117 6649669.31994629 93.292, 265811.039978027 6649666.67004395 93.212, 265814.030029297 6649663.52001953 93.142, 265816.950012207 6649660.47998047 93.062, 265820.020019531 6649657.33996582 92.982, 265821.989990234 6649655.30004883 92.922, 265825.429992676 6649651.89001465 92.842, 265827.440002441 6649649.90002442 92.792, 265830.659973145 6649646.72998047 92.702, 265833.659973145 6649643.82995606 92.642, 265836.710021973 6649640.90002441 92.552, 265839.099975586 6649638.61999512 92.492, 265841.66998291 6649636.18994141 92.422, 265844.289978027 6649633.7199707 92.362, 265846.979980469 6649631.32995606 92.292, 265849.119995117 6649629.55004883 92.262, 265851.650024414 6649627.51000977 92.202, 265854.659973145 6649625.16003418 92.112, 265854.909973145 6649624.94995117 92.112, 265857.409973145 6649623 92.062, 265859.429992676 6649621.30004883 92.042, 265861.890014648 6649619.01000977 91.992)</t>
  </si>
  <si>
    <t>POINT (265810.92486626655 6649666.466967001)</t>
  </si>
  <si>
    <t>2017-06-02</t>
  </si>
  <si>
    <t>['FV1058 S2D1 m694-696']</t>
  </si>
  <si>
    <t>LINESTRING Z (255932.750976562 6603196.16088867 15.168, 255932.833007813 6603196.50610352 15.158, 255933.143981934 6603196.72900391 15.168, 255934.257995605 6603197.04003906 15.208, 255935.286010742 6603197.29907227 15.228, 255936.364013672 6603197.56298828 15.168, 255937.583984375 6603197.82397461 15.208, 255939.33001709 6603198.13793945 15.278, 255940.440979004 6603198.30908203 15.428, 255940.440002441 6603198.29907227 15.418, 255940.994995117 6603198.43994141 15.428, 255941.367980957 6603198.3449707 15.428, 255941.543029785 6603198.16894531 15.428, 255941.604980469 6603197.96191406 15.428, 255941.625 6603197.73999024 15.418, 255941.536987305 6603197.54711914 15.418, 255941.197998047 6603197.34594727 15.418, 255940.517028809 6603197.04589844 15.408, 255940.526977539 6603197.04492187 15.408, 255939.54498291 6603196.62207031 15.268, 255938.778015137 6603196.37011719 15.238, 255938.078979492 6603196.19189453 15.218, 255937.679016113 6603196.09692383 15.208, 255937.117980957 6603196.00708008 15.178, 255936.565002441 6603195.89697266 15.158, 255935.469970703 6603195.78491211 15.238, 255935.471008301 6603195.79492188 15.238, 255934.37298584 6603195.76391602 15.208, 255933.729980469 6603195.76098633 15.198, 255933.21697998 6603195.75805664 15.178, 255932.92401123 6603195.85400391 15.178, 255932.74597168 6603195.9909668 15.168, 255932.757019043 6603196.22094727 15.168, 255932.786987305 6603196.33911133 15.178)</t>
  </si>
  <si>
    <t>2017-05-23</t>
  </si>
  <si>
    <t>[1264]</t>
  </si>
  <si>
    <t>['KV1264 S2D1 m58-88']</t>
  </si>
  <si>
    <t>LINESTRING (-43199.345309420256 6733189.119228249, -43197.263319009915 6733190.002570822, -43193.93023148691 6733191.680167503, -43189.76561606454 6733196.374728421, -43187.443990296335 6733200.28544645, -43186.155455441796 6733203.843734616, -43186.07714551955 6733207.359012093, -43186.10937559302 6733211.105805414, -43186.48639656964 6733214.090808364, -43188.15102154238 6733216.965374123, -43189.80365506315 6733220.4372862615, -43192.07110348623 6733223.323919303, -43196.03865621926 6733226.852124879, -43199.80788863322 6733228.76764711, -43203.64884498797 6733229.653974319, -43211.380264395266 6733229.693176472, -43216.95312781923 6733227.088312854, -43221.36472682876 6733224.239933742, -43224.93795400346 6733219.975957002, -43227.409650971764 6733215.036604435, -43228.722891360056 6733207.3557677725, -43227.06975027756 6733201.407980359, -43223.48445235635 6733194.353918854, -43215.92882747459 6733188.711460821, -43209.44443716819 6733186.905180509, -43201.92582644278 6733187.938245673)</t>
  </si>
  <si>
    <t>POLYGON ((-43199.345309420256 6733189.119228249, -43197.263319009915 6733190.002570822, -43193.93023148691 6733191.680167503, -43189.76561606454 6733196.374728421, -43187.443990296335 6733200.28544645, -43186.155455441796 6733203.843734616, -43186.07714551955 6733207.359012093, -43186.10937559302 6733211.105805414, -43186.48639656964 6733214.090808364, -43188.15102154238 6733216.965374123, -43189.80365506315 6733220.4372862615, -43192.07110348623 6733223.323919303, -43196.03865621926 6733226.852124879, -43199.80788863322 6733228.76764711, -43203.64884498797 6733229.653974319, -43211.380264395266 6733229.693176472, -43216.95312781923 6733227.088312854, -43221.36472682876 6733224.239933742, -43224.93795400346 6733219.975957002, -43227.409650971764 6733215.036604435, -43228.722891360056 6733207.3557677725, -43227.06975027756 6733201.407980359, -43223.48445235635 6733194.353918854, -43215.92882747459 6733188.711460821, -43209.44443716819 6733186.905180509, -43201.92582644278 6733187.938245673, -43199.345309420256 6733189.119228249))</t>
  </si>
  <si>
    <t>2017-06-09</t>
  </si>
  <si>
    <t>[3115]</t>
  </si>
  <si>
    <t>['KV3115 S1D1 m11-22']</t>
  </si>
  <si>
    <t>LINESTRING (-54089.63643216237 6755662.31767939, -54096.381777328905 6755660.75359178, -54099.98682383704 6755659.606054299)</t>
  </si>
  <si>
    <t>POINT (-54094.83764086107 6755661.056590486)</t>
  </si>
  <si>
    <t>2017-06-29</t>
  </si>
  <si>
    <t>[119]</t>
  </si>
  <si>
    <t>['FV119 S2D100 m375-388']</t>
  </si>
  <si>
    <t>LINESTRING Z (255613.790039063 6593079.43005371 45.954, 255613.419921875 6593077.55004883 45.944)</t>
  </si>
  <si>
    <t>POINT (255613.60498046898 6593078.4900512695)</t>
  </si>
  <si>
    <t>2017-07-04</t>
  </si>
  <si>
    <t>2025-11-22T09:09:50Z</t>
  </si>
  <si>
    <t>['EV18 S55D110 m0-33', 'EV18 S55D110 m66-86', 'EV18 S55D110 m33-48', 'EV18 S55D105 m1030-1064']</t>
  </si>
  <si>
    <t>LINESTRING Z (257748.689941406 6650223.30004883 1.924, 257749.680053711 6650223.19995117 2.004, 257750.560058594 6650223.15002441 1.984, 257752.599975586 6650223.33996582 1.964, 257754.630004883 6650223.94995117 1.894, 257756.550048828 6650224.80004883 1.834, 257758.020019531 6650225.72998047 1.804, 257759.33996582 6650227.18994141 1.844, 257760.489990234 6650228.90002441 1.894, 257761.459960938 6650230.86999512 1.924, 257762.109985352 6650232.83996582 1.934, 257762.300048828 6650234.90002442 1.944, 257762.170043945 6650236.98999024 1.984, 257761.630004883 6650239.06005859 2.034, 257760.810058594 6650240.90002441 2.104, 257759.599975586 6650242.64001465 2.154, 257758.109985352 6650244.11999512 2.164, 257756.880004883 6650245.13000488 2.134, 257753.650024414 6650246.54003906 2.194, 257753.699951172 6650249.36999512 2.404, 257753.380004883 6650251.43994141 2.824, 257754.770019531 6650251.59997559 3.264, 257756.719970703 6650251.83996582 3.594, 257758.630004883 6650252.04003906 3.484, 257761.180053711 6650252.31994629 3.994, 257763.41003418 6650252.51000977 4.064, 257766.310058594 6650252.82995606 3.914, 257770.229980469 6650253.06994629 3.964, 257766.949951172 6650251.23999023 3.624, 257764.050048828 6650247.80004883 3.354, 257762.979980469 6650245.22998047 3.094, 257762.640014648 6650242.80004883 2.864, 257762.83996582 6650240.72998047 2.694, 257763.609985352 6650237.9699707 2.394, 257764.25 6650236.20996094 2.194, 257765.040039063 6650234.08996582 2.004, 257765.959960938 6650231.65002442 1.834, 257766.670043945 6650229.95996094 1.744, 257767.010009766 6650228.72998047 1.714, 257766.810058594 6650227.5300293 1.674, 257766.319946289 6650226.45996094 1.674, 257761.66003418 6650224.60998535 1.764, 257757.949951172 6650223.17004395 1.844, 257753.510009766 6650221.57995606 1.964, 257750.579956055 6650221.2800293 2.004, 257749.180053711 6650221.32995605 2.044, 257749.010009766 6650221.34997559 2.044, 257748.560058594 6650221.80004883 1.954, 257748.359985352 6650222.23999024 1.984, 257748.33996582 6650222.44995117 1.974, 257748.400024414 6650222.95996094 1.944, 257748.689941406 6650223.30004883 1.924)</t>
  </si>
  <si>
    <t>POLYGON Z ((257748.689941406 6650223.30004883 1.924, 257749.680053711 6650223.19995117 2.004, 257750.560058594 6650223.15002441 1.984, 257752.599975586 6650223.33996582 1.964, 257754.630004883 6650223.94995117 1.894, 257756.550048828 6650224.80004883 1.834, 257758.020019531 6650225.72998047 1.804, 257759.33996582 6650227.18994141 1.844, 257760.489990234 6650228.90002441 1.894, 257761.459960938 6650230.86999512 1.924, 257762.109985352 6650232.83996582 1.934, 257762.300048828 6650234.90002442 1.944, 257762.170043945 6650236.98999024 1.984, 257761.630004883 6650239.06005859 2.034, 257760.810058594 6650240.90002441 2.104, 257759.599975586 6650242.64001465 2.154, 257758.109985352 6650244.11999512 2.164, 257756.880004883 6650245.13000488 2.134, 257753.650024414 6650246.54003906 2.194, 257753.699951172 6650249.36999512 2.404, 257753.380004883 6650251.43994141 2.824, 257754.770019531 6650251.59997559 3.264, 257756.719970703 6650251.83996582 3.594, 257758.630004883 6650252.04003906 3.484, 257761.180053711 6650252.31994629 3.994, 257763.41003418 6650252.51000977 4.064, 257766.310058594 6650252.82995606 3.914, 257770.229980469 6650253.06994629 3.964, 257766.949951172 6650251.23999023 3.624, 257764.050048828 6650247.80004883 3.354, 257762.979980469 6650245.22998047 3.094, 257762.640014648 6650242.80004883 2.864, 257762.83996582 6650240.72998047 2.694, 257763.609985352 6650237.9699707 2.394, 257764.25 6650236.20996094 2.194, 257765.040039063 6650234.08996582 2.004, 257765.959960938 6650231.65002442 1.834, 257766.670043945 6650229.95996094 1.744, 257767.010009766 6650228.72998047 1.714, 257766.810058594 6650227.5300293 1.674, 257766.319946289 6650226.45996094 1.674, 257761.66003418 6650224.60998535 1.764, 257757.949951172 6650223.17004395 1.844, 257753.510009766 6650221.57995606 1.964, 257750.579956055 6650221.2800293 2.004, 257749.180053711 6650221.32995605 2.044, 257749.010009766 6650221.34997559 2.044, 257748.560058594 6650221.80004883 1.954, 257748.359985352 6650222.23999024 1.984, 257748.33996582 6650222.44995117 1.974, 257748.400024414 6650222.95996094 1.944, 257748.689941406 6650223.30004883 1.924))</t>
  </si>
  <si>
    <t>['EV18 S55D105 m942-1023']</t>
  </si>
  <si>
    <t>LINESTRING Z (257741.16003418 6650224.57995605 2.154, 257740.069946289 6650225.38000488 2.184, 257737.949951172 6650227.05004883 2.214, 257735.760009766 6650228.80004883 2.254, 257732.680053711 6650231.16003418 2.304, 257729.75 6650233.41003418 2.344, 257728.040039063 6650234.73999024 2.374, 257727.189941406 6650235.30004883 2.394, 257726.319946289 6650235.79003906 2.404, 257725.349975586 6650236.18994141 2.424, 257724.420043945 6650236.44995117 2.434, 257723.439941406 6650236.68994141 2.434, 257722.430053711 6650236.81005859 2.454, 257721.58996582 6650236.81005859 2.454, 257720.390014648 6650236.68005371 2.464, 257718.359985352 6650236.43005371 2.494, 257714.579956055 6650235.93005371 2.554, 257712.099975586 6650235.56994629 2.584, 257710.189941406 6650235.32995605 2.594, 257707.219970703 6650234.85998535 2.604, 257704.739990234 6650234.44995117 2.624, 257701.469970703 6650233.89001465 2.634, 257698.430053711 6650233.36999512 2.654, 257696.579956055 6650233.02001953 2.674, 257696.140014648 6650232.93005371 2.674, 257691.329956055 6650232.01000977 2.714, 257687.150024414 6650231.14001465 2.764, 257683 6650230.23999024 2.794, 257679.260009766 6650229.38000488 2.804, 257675.319946289 6650228.4699707 2.814, 257671.829956055 6650227.60998535 2.774, 257668.729980469 6650226.7800293 2.744, 257665.150024414 6650225.86999512 2.714, 257665.020019531 6650225.90002441 2.704, 257664.729980469 6650226.06994629 2.654, 257664.510009766 6650226.34997559 2.684, 257664.380004883 6650226.69995117 2.674, 257664.439941406 6650227.17004395 2.654, 257664.729980469 6650227.70996094 2.634, 257665.719970703 6650228.02001953 2.624, 257669.16003418 6650228.98999023 2.614, 257672.25 6650229.79003906 2.634, 257676.329956055 6650230.79003906 2.634, 257679.459960938 6650231.5 2.644, 257683.469970703 6650232.40002441 2.634, 257688.41003418 6650233.45996094 2.594, 257691.449951172 6650234.06994629 2.574, 257695.599975586 6650234.85998535 2.524, 257698.699951172 6650235.43005371 2.504, 257703.670043945 6650236.31005859 2.474, 257707.670043945 6650236.95996094 2.454, 257711.810058594 6650237.54003906 2.434, 257715.689941406 6650238.06994629 2.394, 257719.699951172 6650238.60998535 2.334, 257720.780029297 6650238.7800293 2.304, 257723.040039062 6650238.76000977 2.294, 257724.069946289 6650238.61999512 2.264, 257726.079956055 6650238.0300293 2.234, 257727.989990234 6650237.10998535 2.204, 257729.479980469 6650236.18005371 2.184, 257731.069946289 6650234.94995117 2.154, 257734.760009766 6650232.09997559 2.104, 257739.530029297 6650228.41003418 2.024, 257741.780029297 6650226.68005371 2.004, 257742.869995117 6650225.75 2.014, 257742.719970703 6650225.14001465 2.054, 257742.479980469 6650224.83996582 2.084, 257742.41003418 6650224.7800293 2.084, 257742.020019531 6650224.51000977 2.104, 257741.380004883 6650224.5 2.144, 257741.16003418 6650224.57995605 2.154)</t>
  </si>
  <si>
    <t>POLYGON Z ((257741.16003418 6650224.57995605 2.154, 257740.069946289 6650225.38000488 2.184, 257737.949951172 6650227.05004883 2.214, 257735.760009766 6650228.80004883 2.254, 257732.680053711 6650231.16003418 2.304, 257729.75 6650233.41003418 2.344, 257728.040039063 6650234.73999024 2.374, 257727.189941406 6650235.30004883 2.394, 257726.319946289 6650235.79003906 2.404, 257725.349975586 6650236.18994141 2.424, 257724.420043945 6650236.44995117 2.434, 257723.439941406 6650236.68994141 2.434, 257722.430053711 6650236.81005859 2.454, 257721.58996582 6650236.81005859 2.454, 257720.390014648 6650236.68005371 2.464, 257718.359985352 6650236.43005371 2.494, 257714.579956055 6650235.93005371 2.554, 257712.099975586 6650235.56994629 2.584, 257710.189941406 6650235.32995605 2.594, 257707.219970703 6650234.85998535 2.604, 257704.739990234 6650234.44995117 2.624, 257701.469970703 6650233.89001465 2.634, 257698.430053711 6650233.36999512 2.654, 257696.579956055 6650233.02001953 2.674, 257696.140014648 6650232.93005371 2.674, 257691.329956055 6650232.01000977 2.714, 257687.150024414 6650231.14001465 2.764, 257683 6650230.23999024 2.794, 257679.260009766 6650229.38000488 2.804, 257675.319946289 6650228.4699707 2.814, 257671.829956055 6650227.60998535 2.774, 257668.729980469 6650226.7800293 2.744, 257665.150024414 6650225.86999512 2.714, 257665.020019531 6650225.90002441 2.704, 257664.729980469 6650226.06994629 2.654, 257664.510009766 6650226.34997559 2.684, 257664.380004883 6650226.69995117 2.674, 257664.439941406 6650227.17004395 2.654, 257664.729980469 6650227.70996094 2.634, 257665.719970703 6650228.02001953 2.624, 257669.16003418 6650228.98999023 2.614, 257672.25 6650229.79003906 2.634, 257676.329956055 6650230.79003906 2.634, 257679.459960938 6650231.5 2.644, 257683.469970703 6650232.40002441 2.634, 257688.41003418 6650233.45996094 2.594, 257691.449951172 6650234.06994629 2.574, 257695.599975586 6650234.85998535 2.524, 257698.699951172 6650235.43005371 2.504, 257703.670043945 6650236.31005859 2.474, 257707.670043945 6650236.95996094 2.454, 257711.810058594 6650237.54003906 2.434, 257715.689941406 6650238.06994629 2.394, 257719.699951172 6650238.60998535 2.334, 257720.780029297 6650238.7800293 2.304, 257723.040039062 6650238.76000977 2.294, 257724.069946289 6650238.61999512 2.264, 257726.079956055 6650238.0300293 2.234, 257727.989990234 6650237.10998535 2.204, 257729.479980469 6650236.18005371 2.184, 257731.069946289 6650234.94995117 2.154, 257734.760009766 6650232.09997559 2.104, 257739.530029297 6650228.41003418 2.024, 257741.780029297 6650226.68005371 2.004, 257742.869995117 6650225.75 2.014, 257742.719970703 6650225.14001465 2.054, 257742.479980469 6650224.83996582 2.084, 257742.41003418 6650224.7800293 2.084, 257742.020019531 6650224.51000977 2.104, 257741.380004883 6650224.5 2.144, 257741.16003418 6650224.57995605 2.154))</t>
  </si>
  <si>
    <t>['EV18 S55D105 m754-850']</t>
  </si>
  <si>
    <t>LINESTRING Z (257489.270019531 6650158.32995605 3.154, 257490.170043945 6650158.7800293 3.204, 257493.979980469 6650160.35998535 3.194, 257497.790039063 6650161.92004395 3.194, 257501.680053711 6650163.54003906 3.184, 257506.359985352 6650165.48999024 3.174, 257509.010009766 6650166.57995606 3.154, 257513.109985352 6650168.29003906 3.114, 257517 6650169.92004394 3.084, 257520.849975586 6650171.48999023 3.044, 257524.41003418 6650172.98999024 3.004, 257528.579956055 6650174.70996094 2.944, 257533.310058594 6650176.65002441 2.854, 257535.239990234 6650177.4699707 2.824, 257539.140014648 6650179.06994629 2.704, 257543.75 6650180.9699707 2.574, 257549.239990234 6650183.2800293 2.494, 257554.349975586 6650185.40002441 2.444, 257559.130004883 6650187.39001465 2.394, 257563.930053711 6650189.38000488 2.344, 257568.400024414 6650191.23999024 2.324, 257571.41003418 6650192.47998047 2.314, 257575.449951172 6650194.14001465 2.294, 257577.189941406 6650194.85998535 2.224, 257577.949951172 6650193.06994629 2.344, 257571.849975586 6650190.55004883 2.354, 257568.150024414 6650188.97998047 2.364, 257563.33996582 6650187 2.384, 257558.979980469 6650185.20996094 2.414, 257554.260009766 6650183.2199707 2.474, 257549.380004883 6650181.19995117 2.534, 257543.709960938 6650178.85998535 2.644, 257538.58996582 6650176.73999024 2.764, 257532.670043945 6650174.27001953 2.914, 257527.290039062 6650172.06005859 3.014, 257521.640014648 6650169.70996094 3.084, 257515.939941406 6650167.32995606 3.134, 257510.430053711 6650165.06994629 3.184, 257504.800048828 6650162.70996094 3.214, 257499.979980469 6650160.7199707 3.234, 257494.969970703 6650158.64001465 3.244, 257490.699951172 6650156.83996582 3.254, 257490.41003418 6650156.83996582 3.254, 257489.880004883 6650157.0300293 3.224, 257489.369995117 6650157.59997559 3.174, 257489.290039063 6650157.91003418 3.154, 257489.270019531 6650158.32995605 3.154)</t>
  </si>
  <si>
    <t>POLYGON Z ((257489.270019531 6650158.32995605 3.154, 257490.170043945 6650158.7800293 3.204, 257493.979980469 6650160.35998535 3.194, 257497.790039063 6650161.92004395 3.194, 257501.680053711 6650163.54003906 3.184, 257506.359985352 6650165.48999024 3.174, 257509.010009766 6650166.57995606 3.154, 257513.109985352 6650168.29003906 3.114, 257517 6650169.92004394 3.084, 257520.849975586 6650171.48999023 3.044, 257524.41003418 6650172.98999024 3.004, 257528.579956055 6650174.70996094 2.944, 257533.310058594 6650176.65002441 2.854, 257535.239990234 6650177.4699707 2.824, 257539.140014648 6650179.06994629 2.704, 257543.75 6650180.9699707 2.574, 257549.239990234 6650183.2800293 2.494, 257554.349975586 6650185.40002441 2.444, 257559.130004883 6650187.39001465 2.394, 257563.930053711 6650189.38000488 2.344, 257568.400024414 6650191.23999024 2.324, 257571.41003418 6650192.47998047 2.314, 257575.449951172 6650194.14001465 2.294, 257577.189941406 6650194.85998535 2.224, 257577.949951172 6650193.06994629 2.344, 257571.849975586 6650190.55004883 2.354, 257568.150024414 6650188.97998047 2.364, 257563.33996582 6650187 2.384, 257558.979980469 6650185.20996094 2.414, 257554.260009766 6650183.2199707 2.474, 257549.380004883 6650181.19995117 2.534, 257543.709960938 6650178.85998535 2.644, 257538.58996582 6650176.73999024 2.764, 257532.670043945 6650174.27001953 2.914, 257527.290039062 6650172.06005859 3.014, 257521.640014648 6650169.70996094 3.084, 257515.939941406 6650167.32995606 3.134, 257510.430053711 6650165.06994629 3.184, 257504.800048828 6650162.70996094 3.214, 257499.979980469 6650160.7199707 3.234, 257494.969970703 6650158.64001465 3.244, 257490.699951172 6650156.83996582 3.254, 257490.41003418 6650156.83996582 3.254, 257489.880004883 6650157.0300293 3.224, 257489.369995117 6650157.59997559 3.174, 257489.290039063 6650157.91003418 3.154, 257489.270019531 6650158.32995605 3.154))</t>
  </si>
  <si>
    <t>['EV18 S55D105 m881-893']</t>
  </si>
  <si>
    <t>LINESTRING Z (257616.619995117 6650211.23999023 2.184, 257611.510009766 6650209.16003418 2.154, 257609.060058594 6650208.16003418 2.154, 257608.150024414 6650207.77001953 2.244, 257606.270019531 6650206.97998047 2.234, 257607.020019531 6650205.14001465 2.284, 257611.069946289 6650206.83996582 2.264, 257612.979980469 6650207.63000488 2.244, 257617.180053711 6650209.36999512 1.954, 257617.520019531 6650209.98999023 1.854, 257617.510009766 6650210.39001465 1.784, 257617.449951172 6650210.60998535 2.204, 257617.290039063 6650210.92004395 2.154, 257616.619995117 6650211.23999023 2.184)</t>
  </si>
  <si>
    <t>POLYGON Z ((257616.619995117 6650211.23999023 2.184, 257611.510009766 6650209.16003418 2.154, 257609.060058594 6650208.16003418 2.154, 257608.150024414 6650207.77001953 2.244, 257606.270019531 6650206.97998047 2.234, 257607.020019531 6650205.14001465 2.284, 257611.069946289 6650206.83996582 2.264, 257612.979980469 6650207.63000488 2.244, 257617.180053711 6650209.36999512 1.954, 257617.520019531 6650209.98999023 1.854, 257617.510009766 6650210.39001465 1.784, 257617.449951172 6650210.60998535 2.204, 257617.290039063 6650210.92004395 2.154, 257616.619995117 6650211.23999023 2.184))</t>
  </si>
  <si>
    <t>['EV18 S55D105 m902-909']</t>
  </si>
  <si>
    <t>LINESTRING Z (257633.199951172 6650215.63000488 2.424, 257632.449951172 6650217.45996094 2.404, 257630.900024414 6650216.84997559 2.294, 257625.579956055 6650214.88000488 2.234, 257625.33996582 6650214.23999023 2.254, 257625.400024414 6650213.77001953 2.284, 257625.5 6650213.55004883 2.294, 257625.760009766 6650213.29003906 2.304, 257626.180053711 6650213.01000977 2.344, 257626.239990234 6650212.98999023 2.344, 257629.630004883 6650214.30004883 2.394, 257633.199951172 6650215.63000488 2.424)</t>
  </si>
  <si>
    <t>POLYGON Z ((257633.199951172 6650215.63000488 2.424, 257632.449951172 6650217.45996094 2.404, 257630.900024414 6650216.84997559 2.294, 257625.579956055 6650214.88000488 2.234, 257625.33996582 6650214.23999023 2.254, 257625.400024414 6650213.77001953 2.284, 257625.5 6650213.55004883 2.294, 257625.760009766 6650213.29003906 2.304, 257626.180053711 6650213.01000977 2.344, 257626.239990234 6650212.98999023 2.344, 257629.630004883 6650214.30004883 2.394, 257633.199951172 6650215.63000488 2.424))</t>
  </si>
  <si>
    <t>['EV18 S55D105 m910-928']</t>
  </si>
  <si>
    <t>LINESTRING Z (257650.050048828 6650221.36999512 2.494, 257648.900024414 6650221 2.494, 257645.099975586 6650219.7800293 2.494, 257641.180053711 6650218.43994141 2.484, 257636.599975586 6650216.85998535 2.464, 257633.33996582 6650215.68994141 2.424, 257632.650024414 6650217.47998047 2.404, 257636.119995117 6650218.75 2.424, 257640.41003418 6650220.27001953 2.434, 257644.369995117 6650221.64001465 2.454, 257647.400024414 6650222.61999512 2.454, 257649.390014648 6650223.27001953 2.454, 257649.949951172 6650222.91003418 2.464, 257650.219970703 6650222.56005859 2.474, 257650.280029297 6650222.36999512 2.474, 257650.290039062 6650221.98999023 2.484, 257650.130004883 6650221.47998047 2.494, 257650.050048828 6650221.36999512 2.494)</t>
  </si>
  <si>
    <t>POLYGON Z ((257650.050048828 6650221.36999512 2.494, 257648.900024414 6650221 2.494, 257645.099975586 6650219.7800293 2.494, 257641.180053711 6650218.43994141 2.484, 257636.599975586 6650216.85998535 2.464, 257633.33996582 6650215.68994141 2.424, 257632.650024414 6650217.47998047 2.404, 257636.119995117 6650218.75 2.424, 257640.41003418 6650220.27001953 2.434, 257644.369995117 6650221.64001465 2.454, 257647.400024414 6650222.61999512 2.454, 257649.390014648 6650223.27001953 2.454, 257649.949951172 6650222.91003418 2.464, 257650.219970703 6650222.56005859 2.474, 257650.280029297 6650222.36999512 2.474, 257650.290039062 6650221.98999023 2.484, 257650.130004883 6650221.47998047 2.494, 257650.050048828 6650221.36999512 2.494))</t>
  </si>
  <si>
    <t>['EV18 S55D105 m866-871']</t>
  </si>
  <si>
    <t>LINESTRING Z (257596.430053711 6650202.85998535 2.264, 257595.329956055 6650202.43994141 2.174, 257591.829956055 6650200.94995117 2.174, 257591.58996582 6650200.34997559 2.154, 257591.579956055 6650199.91003418 2.234, 257591.66003418 6650199.69995117 2.244, 257591.920043945 6650199.40002441 2.254, 257592.290039063 6650199.15002441 2.304, 257592.479980469 6650199.09997559 2.314, 257597.150024414 6650201.0300293 2.304, 257596.430053711 6650202.85998535 2.264)</t>
  </si>
  <si>
    <t>POLYGON Z ((257596.430053711 6650202.85998535 2.264, 257595.329956055 6650202.43994141 2.174, 257591.829956055 6650200.94995117 2.174, 257591.58996582 6650200.34997559 2.154, 257591.579956055 6650199.91003418 2.234, 257591.66003418 6650199.69995117 2.244, 257591.920043945 6650199.40002441 2.254, 257592.290039063 6650199.15002441 2.304, 257592.479980469 6650199.09997559 2.314, 257597.150024414 6650201.0300293 2.304, 257596.430053711 6650202.85998535 2.264))</t>
  </si>
  <si>
    <t>['EV18 S55D105 m699-742']</t>
  </si>
  <si>
    <t>LINESTRING Z (257477.969970703 6650153.7199707 3.164, 257477.25 6650153.42004395 3.244, 257472.33996582 6650151.34997559 3.204, 257467.430053711 6650149.29003906 3.154, 257463.180053711 6650147.48999023 3.094, 257458.170043945 6650145.35998535 3.044, 257454.219970703 6650143.70996094 2.974, 257450.300048828 6650142.05004883 2.904, 257446.650024414 6650140.52001953 2.824, 257443.050048828 6650138.98999023 2.754, 257437.300048828 6650136.65002441 2.614, 257437.5 6650136.2800293 2.604, 257437.709960938 6650136.06994629 2.624, 257437.949951172 6650136 2.624, 257438.369995117 6650136 2.654, 257442.020019531 6650137.51000977 2.734, 257445.819946289 6650139.13000488 2.794, 257449.869995117 6650140.84997559 2.884, 257454.880004883 6650142.98999024 2.994, 257459.050048828 6650144.77001953 3.044, 257463.150024414 6650146.48999024 3.114, 257467 6650148.08996582 3.164, 257470.869995117 6650149.66003418 3.194, 257474.829956055 6650151.26000977 3.214, 257477.83996582 6650152.44995117 3.154, 257478.189941406 6650152.7199707 3.164, 257478.369995117 6650153.01000977 3.174, 257478.359985352 6650153.2800293 3.194, 257478.229980469 6650153.65002441 3.164, 257477.969970703 6650153.7199707 3.164)</t>
  </si>
  <si>
    <t>POLYGON Z ((257477.969970703 6650153.7199707 3.164, 257477.25 6650153.42004395 3.244, 257472.33996582 6650151.34997559 3.204, 257467.430053711 6650149.29003906 3.154, 257463.180053711 6650147.48999023 3.094, 257458.170043945 6650145.35998535 3.044, 257454.219970703 6650143.70996094 2.974, 257450.300048828 6650142.05004883 2.904, 257446.650024414 6650140.52001953 2.824, 257443.050048828 6650138.98999023 2.754, 257437.300048828 6650136.65002441 2.614, 257437.5 6650136.2800293 2.604, 257437.709960938 6650136.06994629 2.624, 257437.949951172 6650136 2.624, 257438.369995117 6650136 2.654, 257442.020019531 6650137.51000977 2.734, 257445.819946289 6650139.13000488 2.794, 257449.869995117 6650140.84997559 2.884, 257454.880004883 6650142.98999024 2.994, 257459.050048828 6650144.77001953 3.044, 257463.150024414 6650146.48999024 3.114, 257467 6650148.08996582 3.164, 257470.869995117 6650149.66003418 3.194, 257474.829956055 6650151.26000977 3.214, 257477.83996582 6650152.44995117 3.154, 257478.189941406 6650152.7199707 3.164, 257478.369995117 6650153.01000977 3.174, 257478.359985352 6650153.2800293 3.194, 257478.229980469 6650153.65002441 3.164, 257477.969970703 6650153.7199707 3.164))</t>
  </si>
  <si>
    <t>['EV18 S55D105 m871-881']</t>
  </si>
  <si>
    <t>LINESTRING Z (257606.150024414 6650206.94995117 2.244, 257599.930053711 6650204.34997559 2.264, 257596.550048828 6650202.91003418 2.264, 257597.25 6650201.11999512 2.304, 257601.109985352 6650202.68994141 2.294, 257605.369995117 6650204.4699707 2.284, 257606.890014648 6650205.04003906 2.264, 257606.150024414 6650206.94995117 2.244)</t>
  </si>
  <si>
    <t>POLYGON Z ((257606.150024414 6650206.94995117 2.244, 257599.930053711 6650204.34997559 2.264, 257596.550048828 6650202.91003418 2.264, 257597.25 6650201.11999512 2.304, 257601.109985352 6650202.68994141 2.294, 257605.369995117 6650204.4699707 2.284, 257606.890014648 6650205.04003906 2.264, 257606.150024414 6650206.94995117 2.244))</t>
  </si>
  <si>
    <t>['EV18 S55D105 m850-856']</t>
  </si>
  <si>
    <t>LINESTRING Z (257577.300048828 6650194.91003418 2.224, 257582.790039062 6650197.22998047 2.184, 257583.25 6650196.92004395 2.184, 257583.569946289 6650196.44995117 2.254, 257583.569946289 6650196.43994141 2.254, 257583.58996582 6650195.91003418 2.254, 257583.390014648 6650195.34997559 2.324, 257583.369995117 6650195.31994629 2.324, 257580.91003418 6650194.2800293 2.324, 257578.079956055 6650193.10998535 2.344, 257577.300048828 6650194.91003418 2.224)</t>
  </si>
  <si>
    <t>POLYGON Z ((257577.300048828 6650194.91003418 2.224, 257582.790039062 6650197.22998047 2.184, 257583.25 6650196.92004395 2.184, 257583.569946289 6650196.44995117 2.254, 257583.569946289 6650196.43994141 2.254, 257583.58996582 6650195.91003418 2.254, 257583.390014648 6650195.34997559 2.324, 257583.369995117 6650195.31994629 2.324, 257580.91003418 6650194.2800293 2.324, 257578.079956055 6650193.10998535 2.344, 257577.300048828 6650194.91003418 2.224))</t>
  </si>
  <si>
    <t>2017-12-19</t>
  </si>
  <si>
    <t>['EV6 S16D1 m2689-2731']</t>
  </si>
  <si>
    <t>LINESTRING Z (266345.29 6648173.29 95.362, 266348.99 6648169.2 95.442, 266349.56 6648168.64 95.452, 266353.1 6648166.17 95.492, 266354.67 6648165.35 95.512, 266357.23 6648164.3 95.522, 266358.52 6648163.92 95.522, 266362.94 6648163.43 95.522, 266364.99 6648163.5 95.492, 266365.23 6648163.51 95.482, 266367.01 6648163.63 95.462, 266367.32 6648163.56 95.452, 266367.57 6648163.16 95.452, 266367.63 6648162.8 95.452, 266367.55 6648162.46 95.452, 266367.24 6648162.22 95.452, 266365.13 6648161.99 95.562, 266364.09 6648161.87 95.612, 266358.03 6648161.12 95.922, 266352.17 6648159.69 96.232, 266347.43 6648157.84 96.512, 266343.48 6648155.76 96.732, 266341.73 6648154.67 96.832, 266340.43 6648153.86 96.912, 266338.25 6648152.24 97.072, 266334.77 6648149.66 97.262, 266333.45 6648148.85 97.302, 266333.01 6648148.71 97.332, 266332.56 6648148.83 97.332, 266332.37 6648149.11 97.322, 266332.23 6648149.62 97.322, 266333.13 6648157.16 96.932, 266334.22 6648165.79 96.412, 266335.34 6648174 95.932, 266336.36 6648181.42 95.482, 266337.87 6648189.69 94.992, 266338.2 6648190.03 94.942, 266338.54 6648190.02 94.932, 266338.92 6648189.61 94.892, 266339.6 6648187.12 94.932, 266340.64 6648183.48 95.072, 266342.29 6648178.65 95.242, 266345.29 6648173.29 95.362)</t>
  </si>
  <si>
    <t>POLYGON Z ((266345.29 6648173.29 95.362, 266348.99 6648169.2 95.442, 266349.56 6648168.64 95.452, 266353.1 6648166.17 95.492, 266354.67 6648165.35 95.512, 266357.23 6648164.3 95.522, 266358.52 6648163.92 95.522, 266362.94 6648163.43 95.522, 266364.99 6648163.5 95.492, 266365.23 6648163.51 95.482, 266367.01 6648163.63 95.462, 266367.32 6648163.56 95.452, 266367.57 6648163.16 95.452, 266367.63 6648162.8 95.452, 266367.55 6648162.46 95.452, 266367.24 6648162.22 95.452, 266365.13 6648161.99 95.562, 266364.09 6648161.87 95.612, 266358.03 6648161.12 95.922, 266352.17 6648159.69 96.232, 266347.43 6648157.84 96.512, 266343.48 6648155.76 96.732, 266341.73 6648154.67 96.832, 266340.43 6648153.86 96.912, 266338.25 6648152.24 97.072, 266334.77 6648149.66 97.262, 266333.45 6648148.85 97.302, 266333.01 6648148.71 97.332, 266332.56 6648148.83 97.332, 266332.37 6648149.11 97.322, 266332.23 6648149.62 97.322, 266333.13 6648157.16 96.932, 266334.22 6648165.79 96.412, 266335.34 6648174 95.932, 266336.36 6648181.42 95.482, 266337.87 6648189.69 94.992, 266338.2 6648190.03 94.942, 266338.54 6648190.02 94.932, 266338.92 6648189.61 94.892, 266339.6 6648187.12 94.932, 266340.64 6648183.48 95.072, 266342.29 6648178.65 95.242, 266345.29 6648173.29 95.362))</t>
  </si>
  <si>
    <t>['EV6 S16D1 m2004 KD6 m8-19']</t>
  </si>
  <si>
    <t>LINESTRING Z (265925.18 6647492.92 130.871, 265925.95 6647493.06 130.891, 265926.49 6647492.51 130.921, 265926.9 6647489.17 130.991, 265927.22 6647487.02 131.061, 265927.7 6647484.86 131.101, 265928.19 6647482.69 131.151, 265928.1 6647481.9 131.171, 265927.5 6647481.4 131.171, 265926.78 6647481.35 131.161, 265924.82 6647482.45 131.161, 265923.33 6647483.22 131.141, 265921.81 6647483.8 131.111, 265918.64 6647484.91 131.061, 265918.1 6647485.58 131.021, 265918.35 6647486.39 131.001, 265920.74 6647488.73 130.951, 265923.95 6647491.78 130.891, 265925.18 6647492.92 130.871)</t>
  </si>
  <si>
    <t>POLYGON Z ((265925.18 6647492.92 130.871, 265925.95 6647493.06 130.891, 265926.49 6647492.51 130.921, 265926.9 6647489.17 130.991, 265927.22 6647487.02 131.061, 265927.7 6647484.86 131.101, 265928.19 6647482.69 131.151, 265928.1 6647481.9 131.171, 265927.5 6647481.4 131.171, 265926.78 6647481.35 131.161, 265924.82 6647482.45 131.161, 265923.33 6647483.22 131.141, 265921.81 6647483.8 131.111, 265918.64 6647484.91 131.061, 265918.1 6647485.58 131.021, 265918.35 6647486.39 131.001, 265920.74 6647488.73 130.951, 265923.95 6647491.78 130.891, 265925.18 6647492.92 130.871))</t>
  </si>
  <si>
    <t>['EV6 S16D1 m2004 KD5 m5-12']</t>
  </si>
  <si>
    <t>LINESTRING Z (266029.48 6647659.31 127.351, 266031.01 6647661.31 127.311, 266033.1 6647663.89 127.241, 266033.23 6647664.23 127.231, 266033.11 6647664.49 127.221, 266032.77 6647664.74 127.211, 266030.03 6647665.16 127.321, 266026.27 6647665.86 127.391, 266025.91 6647665.68 127.401, 266025.75 6647665.22 127.401, 266025.83 6647665.02 127.401, 266027.6 6647661.94 127.411, 266027.78 6647661.42 127.411, 266028.22 6647660.41 127.381, 266028.57 6647659.42 127.371, 266028.84 6647659.17 127.371, 266029.48 6647659.31 127.351)</t>
  </si>
  <si>
    <t>POLYGON Z ((266029.48 6647659.31 127.351, 266031.01 6647661.31 127.311, 266033.1 6647663.89 127.241, 266033.23 6647664.23 127.231, 266033.11 6647664.49 127.221, 266032.77 6647664.74 127.211, 266030.03 6647665.16 127.321, 266026.27 6647665.86 127.391, 266025.91 6647665.68 127.401, 266025.75 6647665.22 127.401, 266025.83 6647665.02 127.401, 266027.6 6647661.94 127.411, 266027.78 6647661.42 127.411, 266028.22 6647660.41 127.381, 266028.57 6647659.42 127.371, 266028.84 6647659.17 127.371, 266029.48 6647659.31 127.351))</t>
  </si>
  <si>
    <t>['EV6 S16D1 m2004 KD2 m0-4', 'EV6 S16D1 m2004 KD6 m2-26']</t>
  </si>
  <si>
    <t>LINESTRING Z (265928.5 6647504.53 130.551, 265928.77 6647503.85 130.571, 265928.33 6647502.91 130.591, 265927.29 6647501.15 130.651, 265923.7 6647497.56 130.741, 265918.88 6647492.82 130.841, 265912.79 6647486.93 130.931, 265911.98 6647486.35 130.931, 265911.02 6647485.89 130.941, 265910.06 6647485.54 130.931, 265909.34 6647485.82 130.921, 265909.42 6647486.5 130.891, 265915.23 6647492.13 130.831, 265922.21 6647498.95 130.681, 265927.85 6647504.42 130.561, 265928.5 6647504.53 130.551)</t>
  </si>
  <si>
    <t>POLYGON Z ((265928.5 6647504.53 130.551, 265928.77 6647503.85 130.571, 265928.33 6647502.91 130.591, 265927.29 6647501.15 130.651, 265923.7 6647497.56 130.741, 265918.88 6647492.82 130.841, 265912.79 6647486.93 130.931, 265911.98 6647486.35 130.931, 265911.02 6647485.89 130.941, 265910.06 6647485.54 130.931, 265909.34 6647485.82 130.921, 265909.42 6647486.5 130.891, 265915.23 6647492.13 130.831, 265922.21 6647498.95 130.681, 265927.85 6647504.42 130.561, 265928.5 6647504.53 130.551))</t>
  </si>
  <si>
    <t>['EV6 S16D1 m2004 KD4 m0-2', 'EV6 S16D1 m2004 KD3 m108-112', 'EV6 S16D1 m2004 KD5 m0-18']</t>
  </si>
  <si>
    <t>LINESTRING Z (266030.61 6647651.45 127.251, 266030.75 6647650.88 127.271, 266031.01 6647650.74 127.251, 266031.59 6647650.82 127.241, 266034.38 6647654.37 127.241, 266038.41 6647659.54 127.061, 266042.64 6647665.13 126.771, 266042.71 6647665.75 126.821, 266042.53 6647665.91 126.821, 266041.88 6647665.95 126.861, 266040.69 6647665.16 126.901, 266039.99 6647664.56 126.941, 266039.28 6647663.79 126.971, 266036.16 6647659.88 127.111, 266032.16 6647654.55 127.231, 266031.55 6647653.69 127.231, 266030.61 6647651.45 127.251)</t>
  </si>
  <si>
    <t>POLYGON Z ((266030.61 6647651.45 127.251, 266030.75 6647650.88 127.271, 266031.01 6647650.74 127.251, 266031.59 6647650.82 127.241, 266034.38 6647654.37 127.241, 266038.41 6647659.54 127.061, 266042.64 6647665.13 126.771, 266042.71 6647665.75 126.821, 266042.53 6647665.91 126.821, 266041.88 6647665.95 126.861, 266040.69 6647665.16 126.901, 266039.99 6647664.56 126.941, 266039.28 6647663.79 126.971, 266036.16 6647659.88 127.111, 266032.16 6647654.55 127.231, 266031.55 6647653.69 127.231, 266030.61 6647651.45 127.251))</t>
  </si>
  <si>
    <t>[1308]</t>
  </si>
  <si>
    <t>['FV1308 S1D1 m7-19']</t>
  </si>
  <si>
    <t>LINESTRING Z (306853.0733702413 6605076.550658525 147.53, 306853.9375771788 6605078.109404637 147.53, 306854.4652345553 6605078.834933844 147.53, 306855.38851204613 6605079.825931592 147.53, 306857.9766652172 6605081.901472417 147.53, 306860.3648562537 6605083.543187818 147.53, 306861.13350952783 6605083.935569667 147.53, 306861.5147412496 6605083.931183511 147.53, 306861.74397224997 6605083.579015624 147.53, 306861.7233120237 6605083.128957229 147.53, 306861.60566312645 6605082.938751274 147.53, 306860.3193547141 6605081.709463217 147.53, 306856.7403274055 6605077.785358247 147.53, 306856.0623089436 6605077.173870597 147.53, 306854.53143828263 6605076.127409632 147.53, 306853.56716800435 6605075.792909304 147.53, 306853.1967582933 6605075.916830032 147.53, 306853.06537676684 6605076.129581911 147.53, 306853.0733702413 6605076.550658525 147.53)</t>
  </si>
  <si>
    <t>POLYGON Z ((306853.0733702413 6605076.550658525 147.53, 306853.9375771788 6605078.109404637 147.53, 306854.4652345553 6605078.834933844 147.53, 306855.38851204613 6605079.825931592 147.53, 306857.9766652172 6605081.901472417 147.53, 306860.3648562537 6605083.543187818 147.53, 306861.13350952783 6605083.935569667 147.53, 306861.5147412496 6605083.931183511 147.53, 306861.74397224997 6605083.579015624 147.53, 306861.7233120237 6605083.128957229 147.53, 306861.60566312645 6605082.938751274 147.53, 306860.3193547141 6605081.709463217 147.53, 306856.7403274055 6605077.785358247 147.53, 306856.0623089436 6605077.173870597 147.53, 306854.53143828263 6605076.127409632 147.53, 306853.56716800435 6605075.792909304 147.53, 306853.1967582933 6605075.916830032 147.53, 306853.06537676684 6605076.129581911 147.53, 306853.0733702413 6605076.550658525 147.53))</t>
  </si>
  <si>
    <t>[1286]</t>
  </si>
  <si>
    <t>['FV1286 S1D1 m6896-6908']</t>
  </si>
  <si>
    <t>LINESTRING Z (291596.96101489244 6624115.682776696 176, 291594.5863509737 6624115.8579553645 176.07, 291593.1481039289 6624116.169186566 176.08, 291592.42712521186 6624116.525857034 176.08, 291592.1653201536 6624116.8509298125 176.08, 291592.1127253962 6624117.157029511 176.08, 291592.14073328156 6624117.465863762 176.11, 291592.40241777204 6624117.693240118 176.11, 291594.40566622396 6624117.9635622995 176.03, 291594.6166834807 6624117.964514007 176.03, 291596.8599810784 6624118.002135395 176, 291599.0553218468 6624117.843219331 175.9, 291603.4370408021 6624117.094293818 175.82, 291603.86183394963 6624116.90510478 175.82, 291604.0837894042 6624116.583645949 175.82, 291604.0866204137 6624116.061084049 175.82, 291603.94450879656 6624115.712376134 175.82, 291603.41926056735 6624115.569168121 175.82, 291596.96101489244 6624115.682776696 176)</t>
  </si>
  <si>
    <t>POLYGON Z ((291596.96101489244 6624115.682776696 176, 291594.5863509737 6624115.8579553645 176.07, 291593.1481039289 6624116.169186566 176.08, 291592.42712521186 6624116.525857034 176.08, 291592.1653201536 6624116.8509298125 176.08, 291592.1127253962 6624117.157029511 176.08, 291592.14073328156 6624117.465863762 176.11, 291592.40241777204 6624117.693240118 176.11, 291594.40566622396 6624117.9635622995 176.03, 291594.6166834807 6624117.964514007 176.03, 291596.8599810784 6624118.002135395 176, 291599.0553218468 6624117.843219331 175.9, 291603.4370408021 6624117.094293818 175.82, 291603.86183394963 6624116.90510478 175.82, 291604.0837894042 6624116.583645949 175.82, 291604.0866204137 6624116.061084049 175.82, 291603.94450879656 6624115.712376134 175.82, 291603.41926056735 6624115.569168121 175.82, 291596.96101489244 6624115.682776696 176))</t>
  </si>
  <si>
    <t>[1266]</t>
  </si>
  <si>
    <t>['FV1266 S1D1 m8-38']</t>
  </si>
  <si>
    <t>LINESTRING Z (286001.13019293017 6610498.547987578 156.64000000000001, 286000.71554346214 6610498.073266638 156.64000000000001, 286000.6186948733 6610497.891190168 156.65, 286000.5970010136 6610497.762574571 156.64000000000001, 286000.7683958998 6610497.1041928595 156.61, 286001.49082605756 6610495.3211238785 156.57, 286002.9255765218 6610492.197866412 156.55, 286004.2200540252 6610488.745795876 156.51, 286005.09052763204 6610485.713825842 156.5, 286005.7628658068 6610482.046899281 156.51, 286005.9292876043 6610480.002805968 156.54, 286006.0425058872 6610477.260405803 156.6, 286006.2686852737 6610472.549067069 156.64000000000001, 286006.5403345489 6610470.0032549845 156.64000000000001, 286006.78323800943 6610469.468977059 156.64000000000001, 286007.0821991806 6610469.220916718 156.64000000000001, 286007.5749677386 6610469.005525811 156.65, 286007.9082560197 6610469.025561959 156.66, 286008.1672184274 6610469.223089163 156.67000000000002, 286008.43159509957 6610469.480393895 156.69, 286008.70405640046 6610469.937859417 156.69, 286009.0099424396 6610470.653458506 156.69, 286009.4071524575 6610471.822840065 156.70000000000002, 286009.76526611834 6610473.447772073 156.70000000000002, 286009.9864589885 6610475.557204155 156.71, 286009.95121280535 6610478.051470345 156.71, 286009.7327305189 6610481.406083725 156.71, 286009.4802152236 6610483.608644578 156.69, 286008.88885039766 6610486.173369842 156.66, 286008.2098446018 6610488.103175332 156.62, 286007.0660073146 6610490.667716903 156.59, 286004.463275888 6610495.423549975 156.61, 286002.93370215484 6610497.721689735 156.6, 286002.42811659264 6610498.350072441 156.65, 286002.08114562026 6610498.62257061 156.67000000000002, 286001.76774641545 6610498.711224295 156.71, 286001.4054717254 6610498.703858284 156.66, 286001.2696370877 6610498.645848773 156.65, 286001.13019293017 6610498.547987578 156.64000000000001)</t>
  </si>
  <si>
    <t>POLYGON Z ((286001.13019293017 6610498.547987578 156.64000000000001, 286000.71554346214 6610498.073266638 156.64000000000001, 286000.6186948733 6610497.891190168 156.65, 286000.5970010136 6610497.762574571 156.64000000000001, 286000.7683958998 6610497.1041928595 156.61, 286001.49082605756 6610495.3211238785 156.57, 286002.9255765218 6610492.197866412 156.55, 286004.2200540252 6610488.745795876 156.51, 286005.09052763204 6610485.713825842 156.5, 286005.7628658068 6610482.046899281 156.51, 286005.9292876043 6610480.002805968 156.54, 286006.0425058872 6610477.260405803 156.6, 286006.2686852737 6610472.549067069 156.64000000000001, 286006.5403345489 6610470.0032549845 156.64000000000001, 286006.78323800943 6610469.468977059 156.64000000000001, 286007.0821991806 6610469.220916718 156.64000000000001, 286007.5749677386 6610469.005525811 156.65, 286007.9082560197 6610469.025561959 156.66, 286008.1672184274 6610469.223089163 156.67000000000002, 286008.43159509957 6610469.480393895 156.69, 286008.70405640046 6610469.937859417 156.69, 286009.0099424396 6610470.653458506 156.69, 286009.4071524575 6610471.822840065 156.70000000000002, 286009.76526611834 6610473.447772073 156.70000000000002, 286009.9864589885 6610475.557204155 156.71, 286009.95121280535 6610478.051470345 156.71, 286009.7327305189 6610481.406083725 156.71, 286009.4802152236 6610483.608644578 156.69, 286008.88885039766 6610486.173369842 156.66, 286008.2098446018 6610488.103175332 156.62, 286007.0660073146 6610490.667716903 156.59, 286004.463275888 6610495.423549975 156.61, 286002.93370215484 6610497.721689735 156.6, 286002.42811659264 6610498.350072441 156.65, 286002.08114562026 6610498.62257061 156.67000000000002, 286001.76774641545 6610498.711224295 156.71, 286001.4054717254 6610498.703858284 156.66, 286001.2696370877 6610498.645848773 156.65, 286001.13019293017 6610498.547987578 156.64000000000001))</t>
  </si>
  <si>
    <t>['FV1266 S1D1 m2912-2925']</t>
  </si>
  <si>
    <t>LINESTRING Z (284783.2802810415 6613042.339396668 158.95000000000002, 284782.83705111616 6613043.434252951 158.91, 284782.32217159134 6613044.846988529 158.86, 284781.8906065498 6613046.292355386 158.81, 284781.531490387 6613047.76129311 158.76, 284781.2538835171 6613049.242936086 158.72, 284781.0096038756 6613051.314201875 158.67000000000002, 284781.0194980032 6613051.534290702 158.67000000000002, 284781.1081936166 6613051.737195738 158.67000000000002, 284781.2729829247 6613051.8930279575 158.67000000000002, 284781.4722086905 6613051.9854717245 158.67000000000002, 284781.6941027093 6613051.9955036165 158.67000000000002, 284781.89971553686 6613051.936697033 158.67000000000002, 284782.07818156574 6613051.799991561 158.67000000000002, 284782.1841987311 6613051.639715239 158.67000000000002, 284783.43925538217 6613049.527102225 158.76, 284783.8661351737 6613048.584398865 158.79, 284784.31936250365 6613047.378144263 158.82, 284784.7110065896 6613046.1573792305 158.84, 284785.00937320956 6613044.904885539 158.87, 284785.2470591845 6613043.647844419 158.89000000000001, 284785.3923702923 6613042.369037644 158.9, 284785.47988080065 6613040.563093937 159.04, 284785.46904964594 6613040.443537816 159.04, 284785.3903170643 6613040.239730182 159.04, 284785.24545379763 6613040.082092762 159.04, 284785.0561910579 6613039.988746383 159.04, 284784.84426005714 6613039.977811875 159.04, 284784.6386472294 6613040.036618435 159.04, 284784.48010721174 6613040.17151869 159.04, 284784.3758952262 6613040.35172102 159.04, 284783.2802810415 6613042.339396668 158.95000000000002)</t>
  </si>
  <si>
    <t>POLYGON Z ((284783.2802810415 6613042.339396668 158.95000000000002, 284782.83705111616 6613043.434252951 158.91, 284782.32217159134 6613044.846988529 158.86, 284781.8906065498 6613046.292355386 158.81, 284781.531490387 6613047.76129311 158.76, 284781.2538835171 6613049.242936086 158.72, 284781.0096038756 6613051.314201875 158.67000000000002, 284781.0194980032 6613051.534290702 158.67000000000002, 284781.1081936166 6613051.737195738 158.67000000000002, 284781.2729829247 6613051.8930279575 158.67000000000002, 284781.4722086905 6613051.9854717245 158.67000000000002, 284781.6941027093 6613051.9955036165 158.67000000000002, 284781.89971553686 6613051.936697033 158.67000000000002, 284782.07818156574 6613051.799991561 158.67000000000002, 284782.1841987311 6613051.639715239 158.67000000000002, 284783.43925538217 6613049.527102225 158.76, 284783.8661351737 6613048.584398865 158.79, 284784.31936250365 6613047.378144263 158.82, 284784.7110065896 6613046.1573792305 158.84, 284785.00937320956 6613044.904885539 158.87, 284785.2470591845 6613043.647844419 158.89000000000001, 284785.3923702923 6613042.369037644 158.9, 284785.47988080065 6613040.563093937 159.04, 284785.46904964594 6613040.443537816 159.04, 284785.3903170643 6613040.239730182 159.04, 284785.24545379763 6613040.082092762 159.04, 284785.0561910579 6613039.988746383 159.04, 284784.84426005714 6613039.977811875 159.04, 284784.6386472294 6613040.036618435 159.04, 284784.48010721174 6613040.17151869 159.04, 284784.3758952262 6613040.35172102 159.04, 284783.2802810415 6613042.339396668 158.95000000000002))</t>
  </si>
  <si>
    <t>['FV1266 S2D1 m9-21']</t>
  </si>
  <si>
    <t>LINESTRING Z (284784.0522517223 6613067.491904743 158.74, 284784.82059661404 6613072.314104857 158.74, 284785.5291636363 6613077.14172051 158.68, 284785.6123060249 6613077.7268302925 158.67000000000002, 284785.59324818733 6613077.849094211 158.67000000000002, 284785.49990186706 6613078.038356982 158.67000000000002, 284785.3323014809 6613078.1841229 158.67000000000002, 284785.1375542798 6613078.2519899355 158.67000000000002, 284784.926525873 6613078.251018504 158.67000000000002, 284784.72730009124 6613078.158574785 158.67000000000002, 284784.57337636204 6613078.011803014 158.67000000000002, 284784.48558330524 6613077.81886101 158.67000000000002, 284783.91813916754 6613076.433864951 158.72, 284783.5144785221 6613075.526225182 158.72, 284783.17785115587 6613074.5823781835 158.73, 284782.92002527777 6613073.621347378 158.73, 284782.7301352802 6613072.634072356 158.74, 284782.6299123818 6613071.638673941 158.74, 284782.60939357267 6613070.636054733 158.74, 284782.6703840507 6613069.646140759 158.74, 284782.80111560784 6613068.649908595 158.74, 284782.9135886444 6613068.11739049 158.74, 284783.06233775633 6613067.43091424 158.74, 284783.1982439307 6613067.267930113 158.74, 284783.3911859436 6613067.180137074 158.74, 284783.6004091557 6613067.161182503 158.74, 284783.8077927436 6613067.232797628 158.74, 284783.9698742729 6613067.358740787 158.74, 284784.0522517223 6613067.491904743 158.74)</t>
  </si>
  <si>
    <t>POLYGON Z ((284784.0522517223 6613067.491904743 158.74, 284784.82059661404 6613072.314104857 158.74, 284785.5291636363 6613077.14172051 158.68, 284785.6123060249 6613077.7268302925 158.67000000000002, 284785.59324818733 6613077.849094211 158.67000000000002, 284785.49990186706 6613078.038356982 158.67000000000002, 284785.3323014809 6613078.1841229 158.67000000000002, 284785.1375542798 6613078.2519899355 158.67000000000002, 284784.926525873 6613078.251018504 158.67000000000002, 284784.72730009124 6613078.158574785 158.67000000000002, 284784.57337636204 6613078.011803014 158.67000000000002, 284784.48558330524 6613077.81886101 158.67000000000002, 284783.91813916754 6613076.433864951 158.72, 284783.5144785221 6613075.526225182 158.72, 284783.17785115587 6613074.5823781835 158.73, 284782.92002527777 6613073.621347378 158.73, 284782.7301352802 6613072.634072356 158.74, 284782.6299123818 6613071.638673941 158.74, 284782.60939357267 6613070.636054733 158.74, 284782.6703840507 6613069.646140759 158.74, 284782.80111560784 6613068.649908595 158.74, 284782.9135886444 6613068.11739049 158.74, 284783.06233775633 6613067.43091424 158.74, 284783.1982439307 6613067.267930113 158.74, 284783.3911859436 6613067.180137074 158.74, 284783.6004091557 6613067.161182503 158.74, 284783.8077927436 6613067.232797628 158.74, 284783.9698742729 6613067.358740787 158.74, 284784.0522517223 6613067.491904743 158.74))</t>
  </si>
  <si>
    <t>[1256]</t>
  </si>
  <si>
    <t>['FV1256 S1D1 m8-14']</t>
  </si>
  <si>
    <t>LINESTRING Z (297948.9012958597 6606983.0940003935 153.98, 297947.3852925127 6606978.10902284 154.02, 297947.4353001706 6606977.552095408 154.06, 297947.7106661472 6606977.376507245 154.07, 297948.017682446 6606977.328620328 154.07, 297948.23860976606 6606977.439182948 154.07, 297948.47667571227 6606977.739022566 154.07, 297949.86415491346 6606982.52472156 154.07, 297949.68648561416 6606983.002815859 154.07, 297949.39115617657 6606983.290691553 154.07, 297949.1593252931 6606983.281552482 154.07, 297948.9012958597 6606983.0940003935 153.98)</t>
  </si>
  <si>
    <t>POLYGON Z ((297948.9012958597 6606983.0940003935 153.98, 297947.3852925127 6606978.10902284 154.02, 297947.4353001706 6606977.552095408 154.06, 297947.7106661472 6606977.376507245 154.07, 297948.017682446 6606977.328620328 154.07, 297948.23860976606 6606977.439182948 154.07, 297948.47667571227 6606977.739022566 154.07, 297949.86415491346 6606982.52472156 154.07, 297949.68648561416 6606983.002815859 154.07, 297949.39115617657 6606983.290691553 154.07, 297949.1593252931 6606983.281552482 154.07, 297948.9012958597 6606983.0940003935 153.98))</t>
  </si>
  <si>
    <t>2025-11-22T09:09:56Z</t>
  </si>
  <si>
    <t>['FV211 S1D1 m7-22']</t>
  </si>
  <si>
    <t>LINESTRING Z (277571.459879424 6615379.26303765 107.7, 277570.63429163356 6615377.690399997 107.7, 277570.01603615086 6615376.410382956 107.67, 277569.478067013 6615376.238130723 107.62, 277568.6474447093 6615376.383713164 107.67, 277568.13736555364 6615376.85183956 107.71000000000001, 277568.3437221568 6615380.459531687 107.61, 277569.53237581666 6615385.595525448 107.62, 277570.7237706756 6615390.650907518 107.67, 277571.03054389183 6615391.597514159 107.66, 277571.8030927065 6615391.808782901 107.66, 277572.2913739241 6615391.543539672 107.64, 277572.5396260158 6615391.2900006715 107.59, 277572.7581574394 6615387.382628044 107.59, 277572.56636825146 6615386.596374284 107.65, 277572.6020987056 6615385.216916451 107.58, 277572.30513425556 6615381.717888666 107.66, 277571.459879424 6615379.26303765 107.7)</t>
  </si>
  <si>
    <t>POLYGON Z ((277571.459879424 6615379.26303765 107.7, 277570.63429163356 6615377.690399997 107.7, 277570.01603615086 6615376.410382956 107.67, 277569.478067013 6615376.238130723 107.62, 277568.6474447093 6615376.383713164 107.67, 277568.13736555364 6615376.85183956 107.71000000000001, 277568.3437221568 6615380.459531687 107.61, 277569.53237581666 6615385.595525448 107.62, 277570.7237706756 6615390.650907518 107.67, 277571.03054389183 6615391.597514159 107.66, 277571.8030927065 6615391.808782901 107.66, 277572.2913739241 6615391.543539672 107.64, 277572.5396260158 6615391.2900006715 107.59, 277572.7581574394 6615387.382628044 107.59, 277572.56636825146 6615386.596374284 107.65, 277572.6020987056 6615385.216916451 107.58, 277572.30513425556 6615381.717888666 107.66, 277571.459879424 6615379.26303765 107.7))</t>
  </si>
  <si>
    <t>[1010]</t>
  </si>
  <si>
    <t>['FV1010 S1D1 m5-12']</t>
  </si>
  <si>
    <t>LINESTRING Z (274709.93946944235 6620442.030580606 98.21000000000001, 274704.49229228543 6620444.885125898 98.31, 274704.34283516684 6620444.898674767 98.31, 274704.1752849176 6620444.823452622 98.31, 274703.9561370828 6620444.622314009 98.31, 274703.7334321559 6620444.160309869 98.31, 274703.6483580855 6620443.886742796 98.31, 274703.6257486661 6620443.74815274 98.31, 274703.8468148987 6620443.52719839 98.31, 274709.1227728988 6620440.778586054 98.28, 274709.4742439084 6620440.666358319 98.28, 274709.6282173091 6620440.702628491 98.28, 274709.76948915614 6620440.820415638 98.28, 274710.0872599003 6620441.444578426 98.28, 274710.1071035978 6620441.774287329 98.28, 274709.93946944235 6620442.030580606 98.21000000000001)</t>
  </si>
  <si>
    <t>POLYGON Z ((274709.93946944235 6620442.030580606 98.21000000000001, 274704.49229228543 6620444.885125898 98.31, 274704.34283516684 6620444.898674767 98.31, 274704.1752849176 6620444.823452622 98.31, 274703.9561370828 6620444.622314009 98.31, 274703.7334321559 6620444.160309869 98.31, 274703.6483580855 6620443.886742796 98.31, 274703.6257486661 6620443.74815274 98.31, 274703.8468148987 6620443.52719839 98.31, 274709.1227728988 6620440.778586054 98.28, 274709.4742439084 6620440.666358319 98.28, 274709.6282173091 6620440.702628491 98.28, 274709.76948915614 6620440.820415638 98.28, 274710.0872599003 6620441.444578426 98.28, 274710.1071035978 6620441.774287329 98.28, 274709.93946944235 6620442.030580606 98.21000000000001))</t>
  </si>
  <si>
    <t>['FV129 S1D1 m1491-1504']</t>
  </si>
  <si>
    <t>LINESTRING Z (292407.1503748355 6607660.6866213195 106.28, 292407.70375886525 6607660.5862908745 106.28, 292411.28233811836 6607656.957737562 106.29, 292416.02498832816 6607652.430292484 106.21000000000001, 292416.1230038747 6607651.848903805 106.21000000000001, 292415.95478003536 6607651.211270865 106.21000000000001, 292415.3345221579 6607650.905849079 106.21000000000001, 292414.6062863214 6607651.182718089 106.21000000000001, 292411.92302798945 6607653.273804884 106.24000000000001, 292408.53647980513 6607656.804616548 106.28, 292406.2688577551 6607659.048904658 106.28, 292406.0025009124 6607659.324126077 106.28, 292406.61715046066 6607660.1222162 106.28, 292407.1503748355 6607660.6866213195 106.28)</t>
  </si>
  <si>
    <t>POLYGON Z ((292407.1503748355 6607660.6866213195 106.28, 292407.70375886525 6607660.5862908745 106.28, 292411.28233811836 6607656.957737562 106.29, 292416.02498832816 6607652.430292484 106.21000000000001, 292416.1230038747 6607651.848903805 106.21000000000001, 292415.95478003536 6607651.211270865 106.21000000000001, 292415.3345221579 6607650.905849079 106.21000000000001, 292414.6062863214 6607651.182718089 106.21000000000001, 292411.92302798945 6607653.273804884 106.24000000000001, 292408.53647980513 6607656.804616548 106.28, 292406.2688577551 6607659.048904658 106.28, 292406.0025009124 6607659.324126077 106.28, 292406.61715046066 6607660.1222162 106.28, 292407.1503748355 6607660.6866213195 106.28))</t>
  </si>
  <si>
    <t>['FV129 S1D1 m1511-1525']</t>
  </si>
  <si>
    <t>LINESTRING Z (292381.2618008179 6607696.015686906 105.79, 292380.4741450253 6607697.854771501 105.75, 292380.68857271306 6607698.448044361 105.7, 292381.2309358858 6607698.780607756 105.66, 292381.7236043508 6607698.786216003 105.64, 292382.2897354468 6607698.493893306 105.64, 292383.1000223812 6607696.682891713 105.74000000000001)</t>
  </si>
  <si>
    <t>POLYGON Z ((292381.2618008179 6607696.015686906 105.79, 292380.4741450253 6607697.854771501 105.75, 292380.68857271306 6607698.448044361 105.7, 292381.2309358858 6607698.780607756 105.66, 292381.7236043508 6607698.786216003 105.64, 292382.2897354468 6607698.493893306 105.64, 292383.1000223812 6607696.682891713 105.74000000000001, 292381.2618008179 6607696.015686906 105.79))</t>
  </si>
  <si>
    <t>['FV128 S2D1 m10377 KD1 m0-73']</t>
  </si>
  <si>
    <t>LINESTRING Z (304456.3200998014 6605632.414563122 185.13, 304457.571305554 6605633.1448984835 185.12, 304458.63406516076 6605634.123286082 185.12, 304459.4839463413 6605635.3017226355 185.13, 304460.05576926994 6605636.625851024 185.15, 304460.34502448933 6605638.0458641965 185.17000000000002, 304460.3354373379 6605639.492934158 185.20000000000002, 304460.0215964562 6605640.90729245 185.24, 304459.4279747174 6605642.226464921 185.27, 304458.569083578 6605643.388879309 185.31, 304457.4811611057 6605644.351082399 185.35, 304456.22036819276 6605645.067817165 185.39000000000001, 304454.8437676288 6605645.503788004 185.43, 304453.4002645805 6605645.644524028 185.46, 304451.95868704596 6605645.47375055 185.48, 304450.5914706037 6605645.015038547 185.5, 304449.3402647034 6605644.28470326 185.51, 304448.2675435179 6605643.307217565 185.51, 304447.42762359575 6605642.12787906 185.5, 304446.84583913686 6605640.804652444 185.49, 304446.5565838585 6605639.384639119 185.46, 304446.57613243256 6605637.936667097 185.43, 304446.88001197606 6605636.523210551 185.4, 304447.4835952573 6605635.203136084 185.36, 304448.3424865564 6605634.04072165 185.32, 304449.43040919316 6605633.07851859 185.28, 304450.6912022447 6605632.361783912 185.24, 304452.06780289864 6605631.925813209 185.20000000000002, 304453.5113059728 6605631.785077354 185.17000000000002, 304454.9519815706 6605631.945889577 185.15, 304456.3200998014 6605632.414563122 185.13)</t>
  </si>
  <si>
    <t>POLYGON Z ((304456.3200998014 6605632.414563122 185.13, 304457.571305554 6605633.1448984835 185.12, 304458.63406516076 6605634.123286082 185.12, 304459.4839463413 6605635.3017226355 185.13, 304460.05576926994 6605636.625851024 185.15, 304460.34502448933 6605638.0458641965 185.17000000000002, 304460.3354373379 6605639.492934158 185.20000000000002, 304460.0215964562 6605640.90729245 185.24, 304459.4279747174 6605642.226464921 185.27, 304458.569083578 6605643.388879309 185.31, 304457.4811611057 6605644.351082399 185.35, 304456.22036819276 6605645.067817165 185.39000000000001, 304454.8437676288 6605645.503788004 185.43, 304453.4002645805 6605645.644524028 185.46, 304451.95868704596 6605645.47375055 185.48, 304450.5914706037 6605645.015038547 185.5, 304449.3402647034 6605644.28470326 185.51, 304448.2675435179 6605643.307217565 185.51, 304447.42762359575 6605642.12787906 185.5, 304446.84583913686 6605640.804652444 185.49, 304446.5565838585 6605639.384639119 185.46, 304446.57613243256 6605637.936667097 185.43, 304446.88001197606 6605636.523210551 185.4, 304447.4835952573 6605635.203136084 185.36, 304448.3424865564 6605634.04072165 185.32, 304449.43040919316 6605633.07851859 185.28, 304450.6912022447 6605632.361783912 185.24, 304452.06780289864 6605631.925813209 185.20000000000002, 304453.5113059728 6605631.785077354 185.17000000000002, 304454.9519815706 6605631.945889577 185.15, 304456.3200998014 6605632.414563122 185.13))</t>
  </si>
  <si>
    <t>['FV128 S2D1 m10355-10372']</t>
  </si>
  <si>
    <t>LINESTRING Z (304474.45318919147 6605641.458642337 185.03, 304474.2340381333 6605641.478483991 185.04, 304471.6195981769 6605641.77545044 185.13, 304471.2094170829 6605641.682027823 185.07, 304471.0012510767 6605641.379496719 185.07, 304471.1734540926 6605638.511674293 185.02, 304471.36923710856 6605638.011881083 185.01, 304471.6319225676 6605637.8073226595 185.01, 304471.9479414836 6605637.859055266 185.04, 304474.13113211765 6605638.123373188 185.02, 304485.5777045768 6605639.537523925 184.9, 304486.18522887863 6605639.813940674 184.9, 304486.5056354693 6605640.246912558 184.9, 304486.485590894 6605640.5801485805 184.9, 304486.261808638 6605640.881615412 184.9, 304485.9954750596 6605641.15680559 184.9, 304485.74098784616 6605641.230061869 184.9, 304480.8791203083 6605641.107837346 184.93, 304478.1380095802 6605641.114980365 184.96, 304476.7108220585 6605641.214066885 184.97, 304474.8706665897 6605641.4108014 185.02, 304474.45318919147 6605641.458642337 185.03)</t>
  </si>
  <si>
    <t>POLYGON Z ((304474.45318919147 6605641.458642337 185.03, 304474.2340381333 6605641.478483991 185.04, 304471.6195981769 6605641.77545044 185.13, 304471.2094170829 6605641.682027823 185.07, 304471.0012510767 6605641.379496719 185.07, 304471.1734540926 6605638.511674293 185.02, 304471.36923710856 6605638.011881083 185.01, 304471.6319225676 6605637.8073226595 185.01, 304471.9479414836 6605637.859055266 185.04, 304474.13113211765 6605638.123373188 185.02, 304485.5777045768 6605639.537523925 184.9, 304486.18522887863 6605639.813940674 184.9, 304486.5056354693 6605640.246912558 184.9, 304486.485590894 6605640.5801485805 184.9, 304486.261808638 6605640.881615412 184.9, 304485.9954750596 6605641.15680559 184.9, 304485.74098784616 6605641.230061869 184.9, 304480.8791203083 6605641.107837346 184.93, 304478.1380095802 6605641.114980365 184.96, 304476.7108220585 6605641.214066885 184.97, 304474.8706665897 6605641.4108014 185.02, 304474.45318919147 6605641.458642337 185.03))</t>
  </si>
  <si>
    <t>['FV128 S2D10 m5-16']</t>
  </si>
  <si>
    <t>LINESTRING Z (304444.81975037936 6605622.087033487 185.21, 304442.346376756 6605613.071344356 185.11, 304442.46792057005 6605612.528057238 185.09, 304442.82755521836 6605612.17411822 185.07, 304443.21789477667 6605612.048389846 185.07, 304443.5945435185 6605612.215150053 185.07, 304445.0886016834 6605614.962241455 185.07, 304446.0731894551 6605616.741109406 185.12, 304447.1049192478 6605618.37510618 185.12, 304448.56568872614 6605620.532670224 185.16, 304448.77016594005 6605621.016310652 185.16, 304448.6179578481 6605621.220909681 185.16, 304448.3597817699 6605621.475275174 185.16, 304446.8482307022 6605621.973679323 185.16, 304445.65269859374 6605622.523816146 185.17000000000002, 304445.27416485344 6605622.558088043 185.17000000000002, 304445.0858404776 6605622.474707956 185.17000000000002, 304444.81975037936 6605622.087033487 185.21)</t>
  </si>
  <si>
    <t>POLYGON Z ((304444.81975037936 6605622.087033487 185.21, 304442.346376756 6605613.071344356 185.11, 304442.46792057005 6605612.528057238 185.09, 304442.82755521836 6605612.17411822 185.07, 304443.21789477667 6605612.048389846 185.07, 304443.5945435185 6605612.215150053 185.07, 304445.0886016834 6605614.962241455 185.07, 304446.0731894551 6605616.741109406 185.12, 304447.1049192478 6605618.37510618 185.12, 304448.56568872614 6605620.532670224 185.16, 304448.77016594005 6605621.016310652 185.16, 304448.6179578481 6605621.220909681 185.16, 304448.3597817699 6605621.475275174 185.16, 304446.8482307022 6605621.973679323 185.16, 304445.65269859374 6605622.523816146 185.17000000000002, 304445.27416485344 6605622.558088043 185.17000000000002, 304445.0858404776 6605622.474707956 185.17000000000002, 304444.81975037936 6605622.087033487 185.21))</t>
  </si>
  <si>
    <t>['FV128 S3D1 m8-19']</t>
  </si>
  <si>
    <t>LINESTRING Z (304440.3736275524 6605663.60591102 185.98, 304445.84684413776 6605656.060136535 185.83, 304446.0354119695 6605655.480651877 185.83, 304445.87528973987 6605655.043210979 185.83, 304445.34475082904 6605654.729694807 185.83, 304442.7760947439 6605653.646615624 185.86, 304442.48536936566 6605653.763325188 185.86, 304442.33861326054 6605653.917215303 185.86, 304442.2008761017 6605654.170719558 185.86, 304441.1220223978 6605657.562524955 185.99, 304439.09265888215 6605662.546849179 186.1, 304439.113280778 6605663.107394079 186.1, 304439.421922368 6605663.521345142 186.1, 304439.81214019505 6605663.727048961 186.1, 304440.3736275524 6605663.60591102 185.98)</t>
  </si>
  <si>
    <t>POLYGON Z ((304440.3736275524 6605663.60591102 185.98, 304445.84684413776 6605656.060136535 185.83, 304446.0354119695 6605655.480651877 185.83, 304445.87528973987 6605655.043210979 185.83, 304445.34475082904 6605654.729694807 185.83, 304442.7760947439 6605653.646615624 185.86, 304442.48536936566 6605653.763325188 185.86, 304442.33861326054 6605653.917215303 185.86, 304442.2008761017 6605654.170719558 185.86, 304441.1220223978 6605657.562524955 185.99, 304439.09265888215 6605662.546849179 186.1, 304439.113280778 6605663.107394079 186.1, 304439.421922368 6605663.521345142 186.1, 304439.81214019505 6605663.727048961 186.1, 304440.3736275524 6605663.60591102 185.98))</t>
  </si>
  <si>
    <t>['FV128 S3D1 m5182-5192']</t>
  </si>
  <si>
    <t>LINESTRING Z (300189.52161390136 6606184.445262523 161.06, 300191.1052763243 6606182.524187662 161.04, 300192.02659036004 6606181.607165492 161.05, 300192.39156782324 6606181.533946027 161.05, 300193.47798021603 6606182.329445417 161.05, 300197.15500795416 6606186.335281749 161.06, 300199.7313931708 6606188.8338235365 161.06, 300199.7874352315 6606189.120008819 161.06, 300199.60156839364 6606189.729399874 161.06, 300199.1985075855 6606189.936632083 161.06, 300198.7945850487 6606190.023421165 161.06, 300189.7342980856 6606184.797612591 161.06, 300189.52161390136 6606184.445262523 161.06)</t>
  </si>
  <si>
    <t>POLYGON Z ((300189.52161390136 6606184.445262523 161.06, 300191.1052763243 6606182.524187662 161.04, 300192.02659036004 6606181.607165492 161.05, 300192.39156782324 6606181.533946027 161.05, 300193.47798021603 6606182.329445417 161.05, 300197.15500795416 6606186.335281749 161.06, 300199.7313931708 6606188.8338235365 161.06, 300199.7874352315 6606189.120008819 161.06, 300199.60156839364 6606189.729399874 161.06, 300199.1985075855 6606189.936632083 161.06, 300198.7945850487 6606190.023421165 161.06, 300189.7342980856 6606184.797612591 161.06, 300189.52161390136 6606184.445262523 161.06))</t>
  </si>
  <si>
    <t>['FV128 S4D1 m58-66']</t>
  </si>
  <si>
    <t>LINESTRING Z (300174.7243178792 6606095.112947248 160.42000000000002, 300174.5850144213 6606094.683649025 160.42000000000002, 300174.1984303834 6606094.407304457 160.42000000000002, 300171.7496396984 6606094.649107648 160.43, 300171.6037403608 6606094.92344673 160.43, 300171.6362105565 6606095.282070332 160.43, 300173.27161294327 6606100.477103968 160.27, 300173.83223311906 6606102.786550838 160.18, 300174.15728298924 6606102.937902166 160.18, 300174.4742556148 6606102.889116217 160.18, 300175.0203891777 6606102.709104025 160.18, 300175.2423345119 6606102.498183652 160.18, 300175.2524575233 6606102.0553561775 160.18, 300174.88560565485 6606097.338028967 160.28, 300174.7243178792 6606095.112947248 160.42000000000002)</t>
  </si>
  <si>
    <t>POLYGON Z ((300174.7243178792 6606095.112947248 160.42000000000002, 300174.5850144213 6606094.683649025 160.42000000000002, 300174.1984303834 6606094.407304457 160.42000000000002, 300171.7496396984 6606094.649107648 160.43, 300171.6037403608 6606094.92344673 160.43, 300171.6362105565 6606095.282070332 160.43, 300173.27161294327 6606100.477103968 160.27, 300173.83223311906 6606102.786550838 160.18, 300174.15728298924 6606102.937902166 160.18, 300174.4742556148 6606102.889116217 160.18, 300175.0203891777 6606102.709104025 160.18, 300175.2423345119 6606102.498183652 160.18, 300175.2524575233 6606102.0553561775 160.18, 300174.88560565485 6606097.338028967 160.28, 300174.7243178792 6606095.112947248 160.42000000000002))</t>
  </si>
  <si>
    <t>['FV128 S4D1 m74-82']</t>
  </si>
  <si>
    <t>LINESTRING Z (300156.7053134826 6606074.357600171 160.76, 300157.04315198516 6606074.206490769 160.76, 300157.324006399 6606073.869715565 160.76, 300157.83364427433 6606071.95549425 160.77, 300157.6933985944 6606071.626715568 160.81, 300156.9345406702 6606071.564858684 160.82, 300152.49736679526 6606071.032565507 160.84, 300150.4535617224 6606070.755615698 160.84, 300150.0604623254 6606070.961945632 160.84, 300149.8583597463 6606071.392024896 160.84, 300149.918911285 6606071.728019187 160.84, 300150.03833148803 6606072.048640016 160.84, 300150.3153764329 6606072.224424738 160.84, 300151.2434634454 6606072.602392711 160.84, 300154.72955796623 6606073.722969062 160.82, 300156.7053134826 6606074.357600171 160.76)</t>
  </si>
  <si>
    <t>POLYGON Z ((300156.7053134826 6606074.357600171 160.76, 300157.04315198516 6606074.206490769 160.76, 300157.324006399 6606073.869715565 160.76, 300157.83364427433 6606071.95549425 160.77, 300157.6933985944 6606071.626715568 160.81, 300156.9345406702 6606071.564858684 160.82, 300152.49736679526 6606071.032565507 160.84, 300150.4535617224 6606070.755615698 160.84, 300150.0604623254 6606070.961945632 160.84, 300149.8583597463 6606071.392024896 160.84, 300149.918911285 6606071.728019187 160.84, 300150.03833148803 6606072.048640016 160.84, 300150.3153764329 6606072.224424738 160.84, 300151.2434634454 6606072.602392711 160.84, 300154.72955796623 6606073.722969062 160.82, 300156.7053134826 6606074.357600171 160.76))</t>
  </si>
  <si>
    <t>['FV128 S6D1 m2944-2970']</t>
  </si>
  <si>
    <t>LINESTRING Z (290108.60709755006 6609964.537564845 178.4, 290105.72535233287 6609964.326483575 178.4, 290101.82753478456 6609963.8759663375 178.39000000000001, 290101.1744787084 6609964.095822881 178.39000000000001, 290100.93782391027 6609964.920801421 178.39000000000001, 290100.7960607625 6609966.349888338 178.39000000000001, 290101.0024567747 6609966.632524167 178.39000000000001, 290101.4488571235 6609966.903466978 178.39000000000001, 290105.6284824001 6609966.916644055 178.39000000000001, 290108.3934948769 6609966.8369686045 178.4, 290110.5851890383 6609966.859440431 178.41, 290114.2613080472 6609966.747467093 178.5, 290117.26816636504 6609966.565533071 178.63, 290120.5205170079 6609966.21070009 178.69, 290123.65700004494 6609965.6855638055 178.78, 290125.9620771075 6609965.185506892 178.86, 290126.9393866724 6609964.886061037 178.88, 290127.12608009053 6609964.507557127 178.89000000000001, 290127.06464837864 6609964.0510829855 178.89000000000001, 290126.79761171015 6609963.653407812 178.89000000000001, 290126.28230149474 6609963.61972528 178.89000000000001, 290121.18318977946 6609964.322617807 178.89000000000001, 290118.0449762463 6609964.6068474455 178.86, 290114.2900590048 6609964.736001833 178.8, 290111.40733739943 6609964.735939467 178.64000000000001, 290108.60709755006 6609964.537564845 178.4)</t>
  </si>
  <si>
    <t>POLYGON Z ((290108.60709755006 6609964.537564845 178.4, 290105.72535233287 6609964.326483575 178.4, 290101.82753478456 6609963.8759663375 178.39000000000001, 290101.1744787084 6609964.095822881 178.39000000000001, 290100.93782391027 6609964.920801421 178.39000000000001, 290100.7960607625 6609966.349888338 178.39000000000001, 290101.0024567747 6609966.632524167 178.39000000000001, 290101.4488571235 6609966.903466978 178.39000000000001, 290105.6284824001 6609966.916644055 178.39000000000001, 290108.3934948769 6609966.8369686045 178.4, 290110.5851890383 6609966.859440431 178.41, 290114.2613080472 6609966.747467093 178.5, 290117.26816636504 6609966.565533071 178.63, 290120.5205170079 6609966.21070009 178.69, 290123.65700004494 6609965.6855638055 178.78, 290125.9620771075 6609965.185506892 178.86, 290126.9393866724 6609964.886061037 178.88, 290127.12608009053 6609964.507557127 178.89000000000001, 290127.06464837864 6609964.0510829855 178.89000000000001, 290126.79761171015 6609963.653407812 178.89000000000001, 290126.28230149474 6609963.61972528 178.89000000000001, 290121.18318977946 6609964.322617807 178.89000000000001, 290118.0449762463 6609964.6068474455 178.86, 290114.2900590048 6609964.736001833 178.8, 290111.40733739943 6609964.735939467 178.64000000000001, 290108.60709755006 6609964.537564845 178.4))</t>
  </si>
  <si>
    <t>['FV128 S6D1 m2980-2990']</t>
  </si>
  <si>
    <t>LINESTRING Z (290076.31799987576 6609979.324335056 178.92000000000002, 290079.4014448712 6609980.320692788 178.92000000000002, 290079.5290425827 6609980.620509772 178.92000000000002, 290079.5379544926 6609981.05160792 178.92000000000002, 290077.72361412924 6609984.641043468 178.92000000000002, 290076.452135919 6609987.126659206 178.92000000000002, 290075.5539333543 6609989.186739071 178.92000000000002, 290075.1118590416 6609989.518063045 178.92000000000002, 290074.7405363952 6609989.521561074 178.92000000000002, 290074.32767001115 6609989.177270901 178.92000000000002, 290074.21368121577 6609988.805911171 178.92000000000002, 290074.58480612934 6609986.693125978 178.92000000000002, 290075.0304032916 6609983.960892901 178.92000000000002, 290075.4610320091 6609979.954388218 178.92000000000002, 290075.8588185937 6609979.35587909 178.92000000000002, 290076.31799987576 6609979.324335056 178.92000000000002)</t>
  </si>
  <si>
    <t>POLYGON Z ((290076.31799987576 6609979.324335056 178.92000000000002, 290079.4014448712 6609980.320692788 178.92000000000002, 290079.5290425827 6609980.620509772 178.92000000000002, 290079.5379544926 6609981.05160792 178.92000000000002, 290077.72361412924 6609984.641043468 178.92000000000002, 290076.452135919 6609987.126659206 178.92000000000002, 290075.5539333543 6609989.186739071 178.92000000000002, 290075.1118590416 6609989.518063045 178.92000000000002, 290074.7405363952 6609989.521561074 178.92000000000002, 290074.32767001115 6609989.177270901 178.92000000000002, 290074.21368121577 6609988.805911171 178.92000000000002, 290074.58480612934 6609986.693125978 178.92000000000002, 290075.0304032916 6609983.960892901 178.92000000000002, 290075.4610320091 6609979.954388218 178.92000000000002, 290075.8588185937 6609979.35587909 178.92000000000002, 290076.31799987576 6609979.324335056 178.92000000000002))</t>
  </si>
  <si>
    <t>['FV128 S6D1 m3092-3103']</t>
  </si>
  <si>
    <t>LINESTRING Z (290044.3355210216 6610097.971671008 179.97, 290044.0763457941 6610098.437094723 179.97, 290043.6551731195 6610098.555595525 179.97, 290041.8196087538 6610097.918300466 179.97, 290040.4993180202 6610097.425178186 179.97, 290040.221452788 6610096.907951938 179.97, 290040.3810391292 6610096.341060685 179.97, 290042.02157516143 6610092.49616727 180.04, 290043.29049260746 6610089.538698686 180.05, 290043.99290331267 6610087.978477556 180.08, 290044.4784371449 6610087.683394176 180.08, 290044.9412278402 6610087.691700083 180.08, 290045.1983025107 6610088.090277597 180.08, 290045.0530054037 6610089.25853342 180.08, 290044.6217367499 6610092.481641448 180.03, 290044.3905483022 6610095.917647138 179.88, 290044.3355210216 6610097.971671008 179.97)</t>
  </si>
  <si>
    <t>POLYGON Z ((290044.3355210216 6610097.971671008 179.97, 290044.0763457941 6610098.437094723 179.97, 290043.6551731195 6610098.555595525 179.97, 290041.8196087538 6610097.918300466 179.97, 290040.4993180202 6610097.425178186 179.97, 290040.221452788 6610096.907951938 179.97, 290040.3810391292 6610096.341060685 179.97, 290042.02157516143 6610092.49616727 180.04, 290043.29049260746 6610089.538698686 180.05, 290043.99290331267 6610087.978477556 180.08, 290044.4784371449 6610087.683394176 180.08, 290044.9412278402 6610087.691700083 180.08, 290045.1983025107 6610088.090277597 180.08, 290045.0530054037 6610089.25853342 180.08, 290044.6217367499 6610092.481641448 180.03, 290044.3905483022 6610095.917647138 179.88, 290044.3355210216 6610097.971671008 179.97))</t>
  </si>
  <si>
    <t>['FV128 S6D1 m3112-3124']</t>
  </si>
  <si>
    <t>LINESTRING Z (290017.344108016 6610111.364631378 180.39000000000001, 290017.9509237022 6610111.299626721 180.39000000000001, 290018.24897302885 6610111.041612619 180.39000000000001, 290019.1683712582 6610107.8847805215 180.4, 290018.9049801677 6610107.416464824 180.4, 290018.5418892235 6610107.178154058 180.4, 290014.7535827212 6610106.938697036 180.41, 290011.5367531004 6610106.687657627 180.41, 290007.68246546306 6610106.052403904 180.49, 290007.22046601895 6610106.38553315 180.49, 290007.1541892879 6610106.873663146 180.49, 290007.36686511524 6610107.336527942 180.49, 290010.9863403819 6610108.706195449 180.41, 290013.88132737024 6610109.950638997 180.41, 290017.344108016 6610111.364631378 180.39000000000001)</t>
  </si>
  <si>
    <t>POLYGON Z ((290017.344108016 6610111.364631378 180.39000000000001, 290017.9509237022 6610111.299626721 180.39000000000001, 290018.24897302885 6610111.041612619 180.39000000000001, 290019.1683712582 6610107.8847805215 180.4, 290018.9049801677 6610107.416464824 180.4, 290018.5418892235 6610107.178154058 180.4, 290014.7535827212 6610106.938697036 180.41, 290011.5367531004 6610106.687657627 180.41, 290007.68246546306 6610106.052403904 180.49, 290007.22046601895 6610106.38553315 180.49, 290007.1541892879 6610106.873663146 180.49, 290007.36686511524 6610107.336527942 180.49, 290010.9863403819 6610108.706195449 180.41, 290013.88132737024 6610109.950638997 180.41, 290017.344108016 6610111.364631378 180.39000000000001))</t>
  </si>
  <si>
    <t>2020-07-30</t>
  </si>
  <si>
    <t>[1809]</t>
  </si>
  <si>
    <t>['FV1809 S1D1 m4625-4626', 'FV1809 S1D1 m4627-4638']</t>
  </si>
  <si>
    <t>LINESTRING Z (302517.5557526165 6751338.099376906 268.381, 302515.70967064204 6751338.882606617 268.281, 302515.77679390507 6751339.012810275 268.281, 302516.9264240236 6751341.772671682 268.321, 302517.0153892193 6751342.002109456 268.351, 302517.2949940565 6751342.723199611 268.441, 302518.1948851069 6751345.005848692 268.471, 302519.30504178774 6751348.035756743 268.511, 302520.3464767629 6751351.102959959 268.551, 302520.4588806944 6751351.264133333 268.561, 302520.60743299045 6751351.389819066 268.571, 302520.789664313 6751351.435511517 268.581, 302520.9892887947 6751351.402114285 268.591, 302521.1586834837 6751351.314591003 268.591, 302521.27551654854 6751351.163020047 268.601, 302521.3247367772 6751350.970557838 268.601, 302521.30881349265 6751350.781710022 268.601, 302519.94635501003 6751344.774742061 268.561, 302519.6171287488 6751343.453729043 268.551, 302519.2070900445 6751342.148360502 268.541, 302519.1254056487 6751341.952000711 268.541, 302518.7683106839 6751341.011996608 268.421, 302518.71685614844 6751340.869762872 268.421, 302517.70579504286 6751338.448193181 268.381, 302517.6180645168 6751338.2410082165 268.381, 302517.5557526165 6751338.099376906 268.381)</t>
  </si>
  <si>
    <t>2025-04-30T11:42:50Z</t>
  </si>
  <si>
    <t>[4690]</t>
  </si>
  <si>
    <t>['KV4690 S1D1 m6-24']</t>
  </si>
  <si>
    <t>LINESTRING (243861.50192060045 6594206.304795211, 243864.46116972418 6594188.67782062)</t>
  </si>
  <si>
    <t>POINT (243862.98154516233 6594197.491307916)</t>
  </si>
  <si>
    <t>2018-04-24</t>
  </si>
  <si>
    <t>['EV18 S30D10 m981-1155']</t>
  </si>
  <si>
    <t>LINESTRING Z (212400.340026855 6558229.56005859 80.402, 212400.359985352 6558229.56005859 80.402, 212404.549987793 6558229.57006836 80.422, 212408.75 6558229.57006836 80.452, 212412.950012207 6558229.58007813 80.482, 212417.140014648 6558229.59008789 80.512, 212421.340026855 6558229.51000977 80.541, 212425.530029297 6558229.41992188 80.571, 212429.729980469 6558229.34008789 80.611, 212433.91998291 6558229.27001953 80.651, 212438.119995117 6558229.10009766 80.691, 212442.309997559 6558228.91992188 80.741, 212446.5 6558228.76000977 80.791, 212450.690002441 6558228.59008789 80.841, 212454.869995117 6558228.34008789 80.891, 212459.070007324 6558228.07006836 80.941, 212463.25 6558227.82006836 80.991, 212467.440002441 6558227.57006836 81.051, 212470.409973145 6558227.33007813 81.081, 212473.369995117 6558227.10009766 81.121, 212476.349975586 6558226.87011719 81.151, 212479.320007324 6558226.62988281 81.191, 212482.280029297 6558226.37011719 81.231, 212485.25 6558226.09008789 81.261, 212488.220001221 6558225.83007813 81.301, 212491.179992676 6558225.56005859 81.341, 212494.149993896 6558225.27001953 81.371, 212497.109985352 6558224.97998047 81.411, 212500.079986572 6558224.68994141 81.451, 212503.049987793 6558224.40991211 81.481, 212506.010009766 6558224.11010742 81.521, 212508.970001221 6558223.81005859 81.561, 212511.929992676 6558223.51000977 81.591, 212514.899993896 6558223.20996094 81.631, 212517.5 6558222.93994141 81.661, 212520.100006104 6558222.67993164 81.691, 212522.700012207 6558222.40991211 81.721, 212525.299987793 6558222.14990234 81.761, 212527.910003662 6558221.87988281 81.791, 212530.510009766 6558221.61010742 81.821, 212533.109985352 6558221.36010742 81.851, 212535.709991455 6558221.09008789 81.881, 212538.309997559 6558220.82006836 81.911, 212540.899993896 6558220.55004883 81.941, 212543.5 6558220.29003906 81.981, 212546.100006104 6558220.01000977 82.011, 212549.440002441 6558219.62011719 82.051, 212552.790008545 6558219.25 82.091, 212556.149993896 6558218.86010742 82.131, 212559.489990234 6558218.4699707 82.171, 212562.839996338 6558218.02001953 82.211, 212566.179992676 6558217.57006836 82.251, 212569.519989014 6558217.12011719 82.291, 212572.869995117 6558216.66992188 82.331, 212572.890014648 6558216.66992188 82.331, 212572.920013428 6558216.65991211 82.331, 212572.940002441 6558216.64990234 82.331, 212572.970001221 6558216.64990234 82.331, 212572.989990234 6558216.63989258 82.331, 212573.010009766 6558216.62988281 82.331, 212573.029998779 6558216.62011719 82.331, 212573.049987793 6558216.61010742 82.331, 212573.070007324 6558216.59008789 82.331, 212573.089996338 6558216.58007812 82.331, 212573.109985352 6558216.56005859 82.331, 212573.130004883 6558216.55004883 82.331, 212573.149993896 6558216.5300293 82.331, 212573.170013428 6558216.51000977 82.331, 212573.190002441 6558216.5 82.331, 212573.200012207 6558216.47998047 82.331, 212573.209991455 6558216.44995117 82.331, 212573.220001221 6558216.42993164 82.331, 212573.239990234 6558216.40991211 82.331, 212573.25 6558216.37988281 82.321, 212573.260009766 6558216.36010742 82.321, 212573.269989014 6558216.34008789 82.321, 212573.279998779 6558216.32006836 82.321, 212573.279998779 6558216.29003906 82.321, 212573.279998779 6558216.27001953 82.321, 212573.290008545 6558216.23999023 82.321, 212573.290008545 6558216.2199707 82.321, 212573.299987793 6558216.18994141 82.321, 212573.290008545 6558216.16992188 82.321, 212573.290008545 6558216.13989258 82.311, 212573.290008545 6558216.12011719 82.311, 212573.290008545 6558216.10009766 82.311, 212573.279998779 6558216.07006836 82.311, 212573.279998779 6558216.05004883 82.311, 212573.260009766 6558216.02001953 82.311, 212573.260009766 6558216 82.311, 212573.25 6558215.9699707 82.311, 212573.239990234 6558215.94995117 82.301, 212573.230010986 6558215.92993164 82.301, 212573.220001221 6558215.90991211 82.301, 212573.209991455 6558215.87988281 82.301, 212573.179992676 6558215.86010742 82.301, 212573.170013428 6558215.85009766 82.301, 212573.149993896 6558215.83007813 82.301, 212573.140014648 6558215.82006836 82.301, 212573.119995117 6558215.80004883 82.291, 212573.100006104 6558215.7800293 82.291, 212573.079986572 6558215.76000977 82.291, 212573.059997559 6558215.75 82.291, 212573.040008545 6558215.73999023 82.291, 212573.010009766 6558215.72998047 82.291, 212572.989990234 6558215.7199707 82.291, 212572.970001221 6558215.70996094 82.291, 212572.940002441 6558215.69995117 82.291, 212572.920013428 6558215.68994141 82.291, 212572.890014648 6558215.67993164 82.281, 212572.869995117 6558215.68994141 82.281, 212572.850006104 6558215.67993164 82.281, 212572.820007324 6558215.67993164 82.281, 212572.799987793 6558215.67993164 82.281, 212572.769989014 6558215.67993164 82.281, 212572.75 6558215.67993164 82.281, 212572.720001221 6558215.68994141 82.281, 212569.380004883 6558216.12988281 82.241, 212566.040008545 6558216.58007812 82.201, 212562.709991455 6558217.0300293 82.161, 212559.369995117 6558217.47998047 82.111, 212556.029998779 6558217.87011719 82.071, 212552.679992676 6558218.25 82.031, 212549.329986572 6558218.63989258 81.991, 212545.989990234 6558219.01000977 81.951, 212543.390014648 6558219.29003906 81.921, 212540.779998779 6558219.56005859 81.881, 212538.179992676 6558219.83007812 81.851, 212535.570007324 6558220.10009766 81.821, 212533.570007324 6558220.30004883 81.801, 212530.130004883 6558220.58007813 81.751, 212526.679992676 6558220.69995117 81.701, 212523.209991455 6558220.67993164 81.631, 212519.760009766 6558220.51000977 81.561, 212516.320007324 6558220.18994141 81.481, 212513.709991455 6558219.94995117 81.421, 212511.070007324 6558219.82006836 81.361, 212508.440002441 6558219.80004883 81.311, 212505.809997559 6558219.90991211 81.271, 212503.190002441 6558220.12988281 81.241, 212498.220001221 6558220.64990234 81.181, 212493.260009766 6558221.16992188 81.121, 212488.290008545 6558221.68994141 81.061, 212483.320007324 6558222.20996094 81.001, 212478.349975586 6558222.73999023 80.941, 212473.390014648 6558223.25 80.861, 212468.41998291 6558223.7800293 80.781, 212463.450012207 6558224.31005859 80.741, 212458.479980469 6558224.82006836 80.691, 212453.510009766 6558225.35009766 80.651, 212448.539978027 6558225.87011719 80.601, 212443.570007324 6558226.38989258 80.571, 212438.599975586 6558226.91992188 80.531, 212433.630004883 6558227.42993164 80.511, 212428.66998291 6558227.95996094 80.491, 212423.700012207 6558228.4699707 80.482, 212419.039978027 6558228.90991211 80.472, 212414.380004883 6558229.22998047 80.462, 212409.700012207 6558229.45996094 80.452, 212405.020019531 6558229.57006836 80.432, 212400.340026855 6558229.56005859 80.402)</t>
  </si>
  <si>
    <t>['FV120 S1D1 m4437-4518']</t>
  </si>
  <si>
    <t>LINESTRING Z (260531.12910197646 6599149.221187658 34.08, 260536.8162176426 6599151.338885251 34.13, 260543.1383463687 6599153.479504709 34.29, 260548.79025260647 6599155.319080899 34.35, 260552.82814897998 6599156.5310877245 34.37, 260558.71024917308 6599158.13885756 34.45, 260564.4665049211 6599159.577172853 34.5, 260570.3532081389 6599161.013732719 34.6, 260576.37766705093 6599162.307222794 34.64, 260582.23732272262 6599163.444829728 34.67, 260589.0834739348 6599164.603698965 34.730000000000004, 260595.8064853122 6599165.623008989 34.81, 260597.75854935974 6599165.878406887 34.84, 260597.92434956686 6599165.823219903 34.83, 260598.03671807304 6599165.732680406 34.83, 260598.1128803511 6599165.575090005 34.82, 260598.13651249534 6599165.392112176 34.82, 260598.0432682992 6599165.249848409 34.81, 260597.86304302316 6599165.145594004 34.79, 260597.64385896624 6599165.054910952 34.81, 260589.27950438898 6599163.772184579 34.67, 260582.1109119674 6599162.491787543 34.65, 260575.50306880046 6599161.190797879 34.58, 260571.55841734103 6599160.121055259 34.550000000000004, 260568.36750628197 6599158.942933159 34.49, 260565.1956716236 6599157.64252522 34.46, 260562.06284355136 6599156.218028302 34.410000000000004, 260558.09850083475 6599154.597500735 34.35, 260556.16204997685 6599153.84840373 34.38, 260554.10962427207 6599153.149985858 34.35, 260551.8271477512 6599152.351821325 34.31, 260548.44865479326 6599151.321276314 34.21, 260544.64436752498 6599150.359393844 34.2, 260539.45697488077 6599148.990171272 34.11, 260534.9669948695 6599147.889391712 34.07, 260530.17815767022 6599146.594623868 34.07, 260525.96534893557 6599145.559187692 33.94, 260522.02971166914 6599144.589095008 33.910000000000004, 260521.50251116877 6599144.536325485 33.9, 260521.15819286066 6599144.728223331 33.89, 260521.07737905942 6599145.167541129 33.88, 260521.17057541627 6599145.420322592 33.910000000000004, 260521.36527370894 6599145.573500997 33.93, 260521.58626101853 6599145.684114331 33.94, 260528.20900273227 6599148.149170341 34.07, 260531.12910197646 6599149.221187658 34.08)</t>
  </si>
  <si>
    <t>POLYGON Z ((260531.12910197646 6599149.221187658 34.08, 260536.8162176426 6599151.338885251 34.13, 260543.1383463687 6599153.479504709 34.29, 260548.79025260647 6599155.319080899 34.35, 260552.82814897998 6599156.5310877245 34.37, 260558.71024917308 6599158.13885756 34.45, 260564.4665049211 6599159.577172853 34.5, 260570.3532081389 6599161.013732719 34.6, 260576.37766705093 6599162.307222794 34.64, 260582.23732272262 6599163.444829728 34.67, 260589.0834739348 6599164.603698965 34.730000000000004, 260595.8064853122 6599165.623008989 34.81, 260597.75854935974 6599165.878406887 34.84, 260597.92434956686 6599165.823219903 34.83, 260598.03671807304 6599165.732680406 34.83, 260598.1128803511 6599165.575090005 34.82, 260598.13651249534 6599165.392112176 34.82, 260598.0432682992 6599165.249848409 34.81, 260597.86304302316 6599165.145594004 34.79, 260597.64385896624 6599165.054910952 34.81, 260589.27950438898 6599163.772184579 34.67, 260582.1109119674 6599162.491787543 34.65, 260575.50306880046 6599161.190797879 34.58, 260571.55841734103 6599160.121055259 34.550000000000004, 260568.36750628197 6599158.942933159 34.49, 260565.1956716236 6599157.64252522 34.46, 260562.06284355136 6599156.218028302 34.410000000000004, 260558.09850083475 6599154.597500735 34.35, 260556.16204997685 6599153.84840373 34.38, 260554.10962427207 6599153.149985858 34.35, 260551.8271477512 6599152.351821325 34.31, 260548.44865479326 6599151.321276314 34.21, 260544.64436752498 6599150.359393844 34.2, 260539.45697488077 6599148.990171272 34.11, 260534.9669948695 6599147.889391712 34.07, 260530.17815767022 6599146.594623868 34.07, 260525.96534893557 6599145.559187692 33.94, 260522.02971166914 6599144.589095008 33.910000000000004, 260521.50251116877 6599144.536325485 33.9, 260521.15819286066 6599144.728223331 33.89, 260521.07737905942 6599145.167541129 33.88, 260521.17057541627 6599145.420322592 33.910000000000004, 260521.36527370894 6599145.573500997 33.93, 260521.58626101853 6599145.684114331 33.94, 260528.20900273227 6599148.149170341 34.07, 260531.12910197646 6599149.221187658 34.08))</t>
  </si>
  <si>
    <t>['FV120 S1D1 m104-123']</t>
  </si>
  <si>
    <t>LINESTRING Z (256658.02862510853 6597528.075615023 36.300000000000004, 256661.84583845976 6597528.735014363 36.47, 256663.87758651708 6597529.2042793855 36.52, 256665.00438290625 6597529.554465152 36.51, 256665.36844792214 6597529.802847622 36.52, 256665.58663740766 6597530.104613553 36.52, 256665.69791160314 6597530.446191727 36.52, 256665.65795101 6597530.670839732 36.53, 256665.5074693187 6597530.895438286 36.54, 256665.17220131095 6597531.076470437 36.52, 256664.67483163794 6597531.13150846 36.5, 256662.18292068856 6597530.573258314 36.46, 256659.07410437072 6597529.970342478 36.38, 256656.11922713154 6597529.5142530585 36.300000000000004, 256652.44403606662 6597529.3142140955 36.17, 256648.68271242912 6597529.272670992 36.050000000000004, 256647.66628864405 6597529.25409797 36.04, 256647.4498031259 6597529.193305068 36.02, 256647.14733350577 6597528.959444698 36.03, 256647.01788190097 6597528.750121339 36.03, 256646.97816856657 6597528.422163799 36.02, 256647.12965064732 6597527.9864884075 36.04, 256647.30912718826 6597527.749220044 36.050000000000004, 256647.53202177712 6597527.658728685 36.050000000000004, 256647.7711919522 6597527.637093843 36.050000000000004, 256648.3790828115 6597527.582105285 36.11, 256649.30040906518 6597527.548998846 36.13, 256652.3352076695 6597527.555792289 36.230000000000004, 256657.42894627212 6597527.9992501745 36.34, 256658.02862510853 6597528.075615023 36.300000000000004)</t>
  </si>
  <si>
    <t>POLYGON Z ((256658.02862510853 6597528.075615023 36.300000000000004, 256661.84583845976 6597528.735014363 36.47, 256663.87758651708 6597529.2042793855 36.52, 256665.00438290625 6597529.554465152 36.51, 256665.36844792214 6597529.802847622 36.52, 256665.58663740766 6597530.104613553 36.52, 256665.69791160314 6597530.446191727 36.52, 256665.65795101 6597530.670839732 36.53, 256665.5074693187 6597530.895438286 36.54, 256665.17220131095 6597531.076470437 36.52, 256664.67483163794 6597531.13150846 36.5, 256662.18292068856 6597530.573258314 36.46, 256659.07410437072 6597529.970342478 36.38, 256656.11922713154 6597529.5142530585 36.300000000000004, 256652.44403606662 6597529.3142140955 36.17, 256648.68271242912 6597529.272670992 36.050000000000004, 256647.66628864405 6597529.25409797 36.04, 256647.4498031259 6597529.193305068 36.02, 256647.14733350577 6597528.959444698 36.03, 256647.01788190097 6597528.750121339 36.03, 256646.97816856657 6597528.422163799 36.02, 256647.12965064732 6597527.9864884075 36.04, 256647.30912718826 6597527.749220044 36.050000000000004, 256647.53202177712 6597527.658728685 36.050000000000004, 256647.7711919522 6597527.637093843 36.050000000000004, 256648.3790828115 6597527.582105285 36.11, 256649.30040906518 6597527.548998846 36.13, 256652.3352076695 6597527.555792289 36.230000000000004, 256657.42894627212 6597527.9992501745 36.34, 256658.02862510853 6597528.075615023 36.300000000000004))</t>
  </si>
  <si>
    <t>2018-06-06</t>
  </si>
  <si>
    <t>['FV42 S8D1 m22317-22319']</t>
  </si>
  <si>
    <t>LINESTRING Z (82651.557 6516708.27 181.19, 82652.544 6516707.073 181.264, 82653.12 6516706.426 181.308, 82653.576 6516706.389 181.32, 82653.852 6516706.67 181.321, 82653.937 6516707.719 181.278, 82654.007 6516708.624 181.215, 82653.996 6516708.857 181.206)</t>
  </si>
  <si>
    <t>POLYGON Z ((82651.557 6516708.27 181.19, 82652.544 6516707.073 181.264, 82653.12 6516706.426 181.308, 82653.576 6516706.389 181.32, 82653.852 6516706.67 181.321, 82653.937 6516707.719 181.278, 82654.007 6516708.624 181.215, 82653.996 6516708.857 181.206, 82651.557 6516708.27 181.19))</t>
  </si>
  <si>
    <t>2018-06-18</t>
  </si>
  <si>
    <t>[5408]</t>
  </si>
  <si>
    <t>['FV5408 S1D1 m7-8']</t>
  </si>
  <si>
    <t>LINESTRING Z (-7619.01 6740511.52 44.28, -7618.8 6740512.03 44.27)</t>
  </si>
  <si>
    <t>POINT (-7618.905000000001 6740511.775)</t>
  </si>
  <si>
    <t>2018-06-19</t>
  </si>
  <si>
    <t>['FV79 S5D40 m12-13']</t>
  </si>
  <si>
    <t>LINESTRING Z (15689.79 6726214.09 9.603, 15693.28 6726216.66 9.663)</t>
  </si>
  <si>
    <t>POINT (15691.535 6726215.375)</t>
  </si>
  <si>
    <t>2025-11-22T09:10:02Z</t>
  </si>
  <si>
    <t>['RV13 S33D1 m8638-8789']</t>
  </si>
  <si>
    <t>LINESTRING Z (47051.8000488281 6743094.94995117 27.931, 47054.1599121094 6743114.67004395 28.001, 47057.0100097656 6743133.80004883 28.041, 47057.6398925781 6743144.66003418 28.061, 47057.25 6743154.31994629 28.111, 47058.0600585938 6743161.42004395 28.141, 47062.3500976563 6743186.88000488 28.151, 47066.3200683594 6743210.68005371 28.151, 47072.1101074219 6743244.4699707 28.321, 47072.1398925781 6743244.4699707 28.161, 47067.7700195313 6743210.65002441 28.101, 47065.7199707031 6743189.81994629 28.041, 47063.7600097656 6743172.35998535 28.021, 47061.7800292969 6743156.93005371 27.981, 47058.6599121094 6743135.89001465 27.941, 47056.8500976563 6743123.88000488 27.901, 47054.4099121094 6743106.83996582 27.881, 47052.580078125 6743091.18005371 27.791)</t>
  </si>
  <si>
    <t>POLYGON Z ((47051.8000488281 6743094.94995117 27.931, 47054.1599121094 6743114.67004395 28.001, 47057.0100097656 6743133.80004883 28.041, 47057.6398925781 6743144.66003418 28.061, 47057.25 6743154.31994629 28.111, 47058.0600585938 6743161.42004395 28.141, 47062.3500976563 6743186.88000488 28.151, 47066.3200683594 6743210.68005371 28.151, 47072.1101074219 6743244.4699707 28.321, 47072.1398925781 6743244.4699707 28.161, 47067.7700195313 6743210.65002441 28.101, 47065.7199707031 6743189.81994629 28.041, 47063.7600097656 6743172.35998535 28.021, 47061.7800292969 6743156.93005371 27.981, 47058.6599121094 6743135.89001465 27.941, 47056.8500976563 6743123.88000488 27.901, 47054.4099121094 6743106.83996582 27.881, 47052.580078125 6743091.18005371 27.791, 47051.8000488281 6743094.94995117 27.931))</t>
  </si>
  <si>
    <t>2018-10-17</t>
  </si>
  <si>
    <t>[2928]</t>
  </si>
  <si>
    <t>['FV2928 S1D1 m31-40']</t>
  </si>
  <si>
    <t>LINESTRING Z (155900.02 6741243.71 335.006, 155907.49 6741237.58 335.086)</t>
  </si>
  <si>
    <t>POINT (155903.755 6741240.645)</t>
  </si>
  <si>
    <t>2019-12-09</t>
  </si>
  <si>
    <t>[5896]</t>
  </si>
  <si>
    <t>['FV5896 S1D1 m5-10']</t>
  </si>
  <si>
    <t>LINESTRING Z (34328.62 6924994.55 57.96, 34329.62 6924994.38 57.95, 34328.61 6924994.55 57.96, 34327.53 6924994.83 57.95, 34326.42 6924995.25 57.91, 34325.34 6924995.67 57.88, 34325.19 6924995.72 57.89, 34326.31 6924998.77 57.86, 34326.46 6924998.71 57.87, 34327.48 6924998.27 57.91, 34328.5 6924997.73 57.95, 34329.49 6924997.08 57.93, 34330.3 6924996.46 57.95, 34330.57 6924996.18 57.95, 34330.9 6924995.64 57.98, 34330.95 6924995.3 57.98, 34330.86 6924994.98 57.97, 34330.58 6924994.65 57.96, 34330.17 6924994.44 57.95, 34329.62 6924994.38 57.95)</t>
  </si>
  <si>
    <t>2018-11-14</t>
  </si>
  <si>
    <t>2025-11-22T09:10:08Z</t>
  </si>
  <si>
    <t>['EV134 S25D1 m5-83']</t>
  </si>
  <si>
    <t>LINESTRING Z (104277.24170294194 6624468.261913104 513.85, 104277.03170294821 6624468.091913098 515.13, 104277.18170294177 6624467.7019131025 515.13, 104290.69170244026 6624451.121913421 513.85, 104298.111702169 6624443.231913592 513.16, 104298.80170214409 6624442.591913607 513.11, 104299.51170211914 6624442.141913622 513.07, 104305.34170191607 6624438.911913745 512.63, 104306.24170188518 6624438.441913767 512.57, 104306.74170186697 6624437.82191378 512.53, 104318.76170143014 6624425.891914049 511.55, 104332.16170094738 6624413.62191435 510.56, 104332.69170092861 6624413.191914362 510.5, 104332.78170092567 6624413.181914365 510.5, 104332.99170091935 6624413.35191437 510.5, 104333.10170091613 6624413.521914369 510.73, 104333.03170091932 6624413.721914366 510.92, 104329.7417010375 6624416.691914291 512.5, 104326.88170114014 6624419.231914231 512.71, 104307.21170185396 6624438.711913781 513.04, 104304.70170194143 6624440.101913732 513.14, 104300.14170210023 6624442.641913634 513.27, 104299.16170213447 6624443.301913609 514.12, 104297.70170218783 6624444.77191358 515.05, 104288.22170253663 6624455.5019133575 515.11, 104278.12170291046 6624467.601913121 515.14, 104277.70170292637 6624468.211913113 515.13, 104277.24170294194 6624468.261913104 515.13, 104277.42170293571 6624468.241913105 515.14, 104277.24170294194 6624468.261913104 513.85)</t>
  </si>
  <si>
    <t>['EV6 S16D1 m545 KD6 m7-54']</t>
  </si>
  <si>
    <t>LINESTRING Z (265427.55 6646389.65 134.95, 265427.65 6646389.31 134.95, 265427.71 6646388.93 134.97, 265427.66 6646388.71 134.97, 265427.46 6646388.49 134.98, 265427.18 6646388.43 135, 265426.92 6646388.47 135.01, 265426.69 6646388.55 135.02, 265426.47 6646388.75 135.03, 265426.11 6646389.44 135.06, 265425.56 6646390.43 135.1, 265425.05 6646391.39 135.13, 265424.54 6646392.32 135.16, 265423.99 6646393.32 135.2, 265423.47 6646394.28 135.22, 265422.92 6646395.28 135.25, 265422.36 6646396.3 135.26, 265421.84 6646397.26 135.28, 265421.34 6646398.16 135.29, 265420.82 6646399.16 135.31, 265420.29 6646400.18 135.32, 265419.74 6646401.22 135.32, 265419.19 6646402.24 135.32, 265418.66 6646403.24 135.32, 265418.16 6646404.21 135.33, 265417.65 6646405.21 135.34, 265417.15 6646406.16 135.35, 265416.71 6646406.96 135.33, 265416.29 6646407.76 135.33, 265415.8 6646408.76 135.31, 265415.31 6646409.73 135.28, 265414.85 6646410.67 135.25, 265414.32 6646411.65 135.23, 265413.85 6646412.57 135.21, 265413.43 6646413.42 135.19, 265412.94 6646414.35 135.16, 265412.46 6646415.32 135.12, 265411.97 6646416.3 135.09, 265411.45 6646417.3 135.04, 265410.96 6646418.32 135.01, 265410.45 6646419.32 134.97, 265409.98 6646420.3 134.93, 265409.45 6646421.3 134.89, 265408.99 6646422.29 134.85, 265408.49 6646423.26 134.8, 265407.99 6646424.29 134.74, 265407.55 6646425.16 134.71, 265407.1 6646426.11 134.66, 265406.66 6646427.06 134.62, 265406.2 6646428.04 134.57, 265405.77 6646429.01 134.54, 265405.32 6646430.01 134.49, 265404.89 6646430.97 134.45, 265404.48 6646431.92 134.39, 265404.08 6646432.88 134.34, 265404 6646433.15 134.32, 265404.09 6646433.4 134.32, 265404.26 6646433.54 134.73, 265404.47 6646433.59 134.32, 265404.76 6646433.56 134.32, 265404.99 6646433.37 134.3, 265406.09 6646431.43 134.34, 265407.71 6646428.22 134.5, 265409.85 6646423.75 134.64, 265411.93 6646419.55 134.71, 265414.17 6646415.16 134.8, 265416.66 6646410.32 134.89, 265418.75 6646406.31 134.94, 265421.04 6646401.91 135.01, 265423.59 6646397.02 134.98, 265425.79 6646392.97 134.97, 265427.55 6646389.65 134.95)</t>
  </si>
  <si>
    <t>POLYGON Z ((265427.55 6646389.65 134.95, 265427.65 6646389.31 134.95, 265427.71 6646388.93 134.97, 265427.66 6646388.71 134.97, 265427.46 6646388.49 134.98, 265427.18 6646388.43 135, 265426.92 6646388.47 135.01, 265426.69 6646388.55 135.02, 265426.47 6646388.75 135.03, 265426.11 6646389.44 135.06, 265425.56 6646390.43 135.1, 265425.05 6646391.39 135.13, 265424.54 6646392.32 135.16, 265423.99 6646393.32 135.2, 265423.47 6646394.28 135.22, 265422.92 6646395.28 135.25, 265422.36 6646396.3 135.26, 265421.84 6646397.26 135.28, 265421.34 6646398.16 135.29, 265420.82 6646399.16 135.31, 265420.29 6646400.18 135.32, 265419.74 6646401.22 135.32, 265419.19 6646402.24 135.32, 265418.66 6646403.24 135.32, 265418.16 6646404.21 135.33, 265417.65 6646405.21 135.34, 265417.15 6646406.16 135.35, 265416.71 6646406.96 135.33, 265416.29 6646407.76 135.33, 265415.8 6646408.76 135.31, 265415.31 6646409.73 135.28, 265414.85 6646410.67 135.25, 265414.32 6646411.65 135.23, 265413.85 6646412.57 135.21, 265413.43 6646413.42 135.19, 265412.94 6646414.35 135.16, 265412.46 6646415.32 135.12, 265411.97 6646416.3 135.09, 265411.45 6646417.3 135.04, 265410.96 6646418.32 135.01, 265410.45 6646419.32 134.97, 265409.98 6646420.3 134.93, 265409.45 6646421.3 134.89, 265408.99 6646422.29 134.85, 265408.49 6646423.26 134.8, 265407.99 6646424.29 134.74, 265407.55 6646425.16 134.71, 265407.1 6646426.11 134.66, 265406.66 6646427.06 134.62, 265406.2 6646428.04 134.57, 265405.77 6646429.01 134.54, 265405.32 6646430.01 134.49, 265404.89 6646430.97 134.45, 265404.48 6646431.92 134.39, 265404.08 6646432.88 134.34, 265404 6646433.15 134.32, 265404.09 6646433.4 134.32, 265404.26 6646433.54 134.73, 265404.47 6646433.59 134.32, 265404.76 6646433.56 134.32, 265404.99 6646433.37 134.3, 265406.09 6646431.43 134.34, 265407.71 6646428.22 134.5, 265409.85 6646423.75 134.64, 265411.93 6646419.55 134.71, 265414.17 6646415.16 134.8, 265416.66 6646410.32 134.89, 265418.75 6646406.31 134.94, 265421.04 6646401.91 135.01, 265423.59 6646397.02 134.98, 265425.79 6646392.97 134.97, 265427.55 6646389.65 134.95))</t>
  </si>
  <si>
    <t>2025-04-30T11:43:03Z</t>
  </si>
  <si>
    <t>[1156]</t>
  </si>
  <si>
    <t>['KV1156 S1D1 m1566-1571']</t>
  </si>
  <si>
    <t>LINESTRING (-38981.3085635883 6736798.243200686, -38979.747361189686 6736796.652202324, -38977.99901939859 6736794.818323634)</t>
  </si>
  <si>
    <t>POINT (-38979.64764541768 6736796.536706751)</t>
  </si>
  <si>
    <t>2018-11-25</t>
  </si>
  <si>
    <t>[4568]</t>
  </si>
  <si>
    <t>['FV4568 S1D1 m199 SD1 m32-68']</t>
  </si>
  <si>
    <t>LINESTRING Z (-31362.3023590008 6573857.58095833 -999999, -31371.8619953405 6573838.00448565 -999999)</t>
  </si>
  <si>
    <t>POINT (-31367.08217717065 6573847.792721991)</t>
  </si>
  <si>
    <t>['FV4568 S1D1 m199 KD1 m20-21']</t>
  </si>
  <si>
    <t>LINESTRING Z (-31372.487861065 6573783.1838329 -999999, -31371.9302572792 6573771.80871567 -999999)</t>
  </si>
  <si>
    <t>POINT (-31372.209059172103 6573777.496274286)</t>
  </si>
  <si>
    <t>['FV4568 S1D1 m368 KD1 m26-27']</t>
  </si>
  <si>
    <t>LINESTRING Z (-31540.4381213608 6573865.26311018 -999999, -31540.6611628751 6573864.48246488 -999999)</t>
  </si>
  <si>
    <t>POINT (-31540.549642117945 6573864.8727875305)</t>
  </si>
  <si>
    <t>['FV4568 S1D1 m368 KD1 m41-42']</t>
  </si>
  <si>
    <t>LINESTRING Z (-31562.0731482515 6573862.36357049 -999999, -31558.6160047793 6573860.46771762 -999999)</t>
  </si>
  <si>
    <t>POINT (-31560.3445765154 6573861.415644055)</t>
  </si>
  <si>
    <t>['FV4568 S1D1 m368 KD1 m56-57']</t>
  </si>
  <si>
    <t>LINESTRING Z (-31555.6049443357 6573841.06310587 -999999, -31554.489736764 6573842.62439647 -999999)</t>
  </si>
  <si>
    <t>POINT (-31555.04734054985 6573841.84375117)</t>
  </si>
  <si>
    <t>2018-11-28</t>
  </si>
  <si>
    <t>['FV156 S1D1 m8080 KD1 m6-8']</t>
  </si>
  <si>
    <t>LINESTRING Z (260634.7002601024 6629322.701254777 -999999, 260634.47304433564 6629322.456020146 -999999)</t>
  </si>
  <si>
    <t>POINT (260634.586652219 6629322.57863746)</t>
  </si>
  <si>
    <t>['FV156 S1D1 m8060-8076']</t>
  </si>
  <si>
    <t>LINESTRING Z (260644.56728613525 6629326.261617296 -999999, 260644.5845328051 6629326.220340763 -999999, 260644.61243776843 6629326.1883658795 -999999, 260644.6310410774 6629326.167049292 -999999, 260644.6603026795 6629326.155034364 -999999, 260644.6888859621 6629326.133039453 -999999, 260644.70816759043 6629326.121702844 -999999, 260644.73810751224 6629326.119667886 -999999, 260644.77734908822 6629326.106974633 -999999, 260644.82792727728 6629326.11356301 -999999, 260644.86852549203 6629326.120829703 -999999, 260644.91978200077 6629326.137398057 -999999, 260657.9354920348 6629336.933125416 -999999, 260657.96746691412 6629336.961030376 -999999, 260657.99014014038 6629336.999593626 -999999, 260658.01281336704 6629337.038156877 -999999, 260658.0162049675 6629337.088056743 -999999, 260658.01891824813 6629337.127976636 -999999, 260658.0123298754 6629337.178554822 -999999, 260658.00506318262 6629337.219153033 -999999, 260657.9778365441 6629337.261107884 -999999, 260657.94993158532 6629337.293082766 -999999, 260657.91204665336 6629337.325735962 -999999, 260657.87348340166 6629337.348409192 -999999, 260657.83424182955 6629337.361102444 -999999, 260657.7843419643 6629337.364494045 -999999, 260657.74442207193 6629337.367207321 -999999, 260657.6938438869 6629337.360618954 -999999, 260657.65256735438 6629337.343372286 -999999)</t>
  </si>
  <si>
    <t>POLYGON Z ((260644.56728613525 6629326.261617296 -999999, 260644.5845328051 6629326.220340763 -999999, 260644.61243776843 6629326.1883658795 -999999, 260644.6310410774 6629326.167049292 -999999, 260644.6603026795 6629326.155034364 -999999, 260644.6888859621 6629326.133039453 -999999, 260644.70816759043 6629326.121702844 -999999, 260644.73810751224 6629326.119667886 -999999, 260644.77734908822 6629326.106974633 -999999, 260644.82792727728 6629326.11356301 -999999, 260644.86852549203 6629326.120829703 -999999, 260644.91978200077 6629326.137398057 -999999, 260657.9354920348 6629336.933125416 -999999, 260657.96746691412 6629336.961030376 -999999, 260657.99014014038 6629336.999593626 -999999, 260658.01281336704 6629337.038156877 -999999, 260658.0162049675 6629337.088056743 -999999, 260658.01891824813 6629337.127976636 -999999, 260658.0123298754 6629337.178554822 -999999, 260658.00506318262 6629337.219153033 -999999, 260657.9778365441 6629337.261107884 -999999, 260657.94993158532 6629337.293082766 -999999, 260657.91204665336 6629337.325735962 -999999, 260657.87348340166 6629337.348409192 -999999, 260657.83424182955 6629337.361102444 -999999, 260657.7843419643 6629337.364494045 -999999, 260657.74442207193 6629337.367207321 -999999, 260657.6938438869 6629337.360618954 -999999, 260657.65256735438 6629337.343372286 -999999, 260644.56728613525 6629326.261617296 -999999))</t>
  </si>
  <si>
    <t>['FV156 S1D1 m8059-8060']</t>
  </si>
  <si>
    <t>LINESTRING Z (260657.65256735438 6629337.343372286 -999999, 260657.62059247514 6629337.31546733 -999999)</t>
  </si>
  <si>
    <t>POINT (260657.63657991475 6629337.329419809)</t>
  </si>
  <si>
    <t>2023-07-13</t>
  </si>
  <si>
    <t>['FV42 S1D1 m6459 KD1 m0-90']</t>
  </si>
  <si>
    <t>LINESTRING Z (130026.548503442 6501624.74613749 106.68, 130025.188300478 6501627.52307397 106.64, 130024.549859733 6501630.38617153 106.54, 130024.89450524 6501633.22149529 106.46, 130025.978183781 6501636.11126132 106.4, 130028.389663394 6501638.89207174 106.36, 130031.180767331 6501640.52254066 106.32, 130034.192621639 6501641.13759096 106.33, 130037.074865625 6501640.97982071 106.35, 130039.888394213 6501639.94320296 106.38, 130041.698409704 6501638.59425569 106.39, 130042.251268339 6501638.14242659 106.39, 130043.289497817 6501636.82242794 106.37, 130044.347347509 6501635.04811058 106.34, 130045.137087366 6501632.30219193 106.32, 130045.182201365 6501630.33705436 106.32, 130044.840571918 6501627.98419158 106.33, 130043.750827158 6501625.58775741 106.36, 130041.856683521 6501623.19302411 106.42, 130040.232911596 6501622.1317375 106.45, 130037.094130108 6501620.77379644 106.52, 130035.169039628 6501620.61446694 106.56, 130031.270395275 6501621.32595485 106.64, 130028.627838642 6501622.69923906 106.69, 130026.522150121 6501624.78872715 106.68, 130026.548503442 6501624.74613749 106.68)</t>
  </si>
  <si>
    <t>['FV170 S1D1 m667 KD1 m43-105']</t>
  </si>
  <si>
    <t>LINESTRING Z (287395.89 6649011.39 169.162, 287393.46 6649011.81 169.162, 287390.6 6649012.81 169.162, 287388.66 6649013.88 169.152, 287386.87 6649015.12 169.152, 287385.26 6649016.65 169.162, 287383.91 6649018.38 169.162, 287382.73 6649020.16 169.162, 287381.9 6649021.86 169.162, 287381.29 6649023.79 169.162, 287380.81 6649026.25 169.162, 287380.74 6649028.63 169.162, 287380.84 6649029.73 169.172, 287381.14 6649032.06 169.182, 287381.71 6649034.19 169.182, 287382.59 6649036.17 169.182, 287383.77 6649038.04 169.162, 287385.14 6649039.74 169.172, 287386.66 6649041.25 169.182, 287388.49 6649042.56 169.182, 287390.38 6649043.62 169.172, 287392.36 6649044.41 169.172, 287394.52 6649044.98 169.182, 287396.66 6649045.22 169.172, 287398.91 6649045.16 169.182, 287401.15 6649044.91 169.202, 287403.21 6649044.31 169.192, 287405.22 6649043.47 169.192, 287407.25 6649042.3 169.182, 287408.87 6649040.95 169.182, 287410.4 6649039.38 169.182, 287411.64 6649037.92 169.192, 287412.57 6649036.34 169.202, 287413.5 6649034.39 169.192, 287414.11 6649032.33 169.182, 287414.44 6649030.2 169.182, 287414.64 6649028.07 169.182, 287414.47 6649025.92 169.192, 287414 6649023.84 169.182, 287413.34 6649021.74 169.172, 287412.44 6649019.86 169.172, 287411.2 6649018.02 169.172, 287409.76 6649016.3 169.172, 287408.21 6649014.92 169.172, 287406.4 6649013.71 169.162, 287404.4 6649012.74 169.162, 287402.29 6649011.96 169.162, 287400.18 6649011.46 169.162, 287398.02 6649011.27 169.162, 287395.89 6649011.39 169.162, 287396.78 6649013.35 169.452, 287399.06 6649013.38 169.452, 287401.35 6649013.76 169.442, 287403.37 6649014.44 169.452, 287405.3 6649015.46 169.452, 287407.14 6649016.7 169.462, 287408.76 6649018.23 169.462, 287410.15 6649019.94 169.462, 287411.21 6649021.85 169.462, 287411.95 6649023.95 169.452, 287412.44 6649026.13 169.472, 287412.62 6649028.41 169.482, 287412.4 6649030.63 169.482, 287411.91 6649032.78 169.492, 287411.09 6649034.9 169.482, 287409.94 6649036.87 169.482, 287408.58 6649038.57 169.482, 287406.89 6649040.02 169.482, 287405.04 6649041.26 169.482, 287403.07 6649042.19 169.492, 287401 6649042.87 169.492, 287398.8 6649043.19 169.492, 287396.62 6649043.21 169.492, 287394.43 6649042.96 169.482, 287392.32 6649042.28 169.492, 287390.32 6649041.35 169.492, 287388.49 6649040.14 169.492, 287386.84 6649038.61 169.492, 287385.4 6649036.91 169.492, 287384.22 6649035.06 169.492, 287383.42 6649032.96 169.502, 287382.98 6649030.71 169.482, 287382.84 6649029.51 169.482, 287382.76 6649026.63 169.442, 287383.08 6649024.56 169.452, 287383.68 6649022.76 169.452, 287384.64 6649020.76 169.462, 287386 6649018.93 169.452, 287387.81 6649017 169.452, 287390.27 6649015.21 169.442, 287392.33 6649014.25 169.452, 287394.53 6649013.66 169.452, 287396.78 6649013.35 169.452, 287395.89 6649011.39 169.162)</t>
  </si>
  <si>
    <t>2019-01-22</t>
  </si>
  <si>
    <t>['FV545 S1D1 m4698 KD1 m0-36']</t>
  </si>
  <si>
    <t>LINESTRING Z (-37967.69 6665940.06 23.189, -37967.9 6665939.12 23.159, -37968.25 6665938.15 23.119, -37968.72 6665937.24 23.089, -37969.26 6665936.36 23.049, -37969.94 6665935.6 23.019, -37970.7 6665934.91 22.989, -37971.5 6665934.32 22.949, -37972.41 6665933.83 22.919, -37973.33 6665933.43 22.889, -37974.36 6665933.2 22.879, -37975.4 6665933.05 22.869, -37976.39 6665933 22.859, -37977.43 6665933.12 22.859, -37978.43 6665933.34 22.859, -37979.39 6665933.68 22.889, -37980.34 6665934.15 22.919, -37981.2 6665934.71 22.949, -37981.98 6665935.4 22.989, -37982.66 6665936.15 23.029, -37983.28 6665937 23.069, -37983.86 6665938.14 23.129, -37984.24 6665939.07 23.159, -37984.49 6665940.07 23.199, -37984.6 6665941.1 23.229, -37984.57 6665942.16 23.269, -37984.39 6665943.19 23.299, -37984.17 6665944.16 23.329, -37983.8 6665945.14 23.359, -37983.3 6665946.03 23.409, -37982.7 6665946.84 23.429, -37982.05 6665947.59 23.469, -37981.28 6665948.27 23.509, -37980.41 6665948.84 23.549, -37979.52 6665949.3 23.569, -37978.61 6665949.62 23.589, -37977.63 6665949.85 23.609, -37976.59 6665949.98 23.619, -37975.59 6665949.99 23.609, -37974.55 6665949.87 23.599, -37973.51 6665949.64 23.569, -37972.6 6665949.26 23.539, -37971.7 6665948.8 23.489, -37970.87 6665948.2 23.459, -37970.08 6665947.52 23.429, -37969.4 6665946.76 23.399, -37968.84 6665945.94 23.379, -37968.35 6665945.03 23.359, -37967.97 6665944.09 23.329, -37967.71 6665943.1 23.299, -37967.58 6665942.16 23.269, -37967.54 6665941.13 23.229, -37967.69 6665940.06 23.189, -37970.96 6665940.66 23.399, -37970.89 6665941.7 23.449, -37971.03 6665942.7 23.499, -37971.39 6665943.69 23.559, -37971.87 6665944.55 23.609, -37972.56 6665945.29 23.659, -37973.31 6665945.89 23.709, -37974.37 6665946.37 23.749, -37975.25 6665946.62 23.779, -37976.22 6665946.68 23.799, -37977.29 6665946.52 23.799, -37978.25 6665946.21 23.789, -37979.11 6665945.73 23.739, -37979.86 6665945.06 23.669, -37980.43 6665944.32 23.609, -37980.89 6665943.44 23.549, -37981.18 6665942.55 23.489, -37981.29 6665941.62 23.439, -37981.16 6665940.64 23.389, -37980.9 6665939.69 23.329, -37980.5 6665938.8 23.269, -37979.88 6665938.01 23.199, -37979.12 6665937.32 23.139, -37978.25 6665936.8 23.099, -37977.3 6665936.43 23.069, -37976.28 6665936.31 23.069, -37975.57 6665936.35 23.079, -37974.33 6665936.66 23.109, -37973.95 6665936.8 23.119, -37973.08 6665937.28 23.169, -37972.31 6665937.94 23.229, -37971.68 6665938.75 23.289, -37971.23 6665939.65 23.349, -37970.96 6665940.66 23.399, -37967.69 6665940.06 23.189)</t>
  </si>
  <si>
    <t>LINESTRING Z (-37979.86 6665945.06 23.669, -37979.11 6665945.73 23.739, -37978.25 6665946.21 23.789, -37977.29 6665946.52 23.799, -37976.22 6665946.68 23.799, -37975.25 6665946.62 23.779, -37974.37 6665946.37 23.749, -37973.31 6665945.89 23.709, -37972.56 6665945.29 23.659, -37971.87 6665944.55 23.609, -37971.39 6665943.69 23.559, -37971.03 6665942.7 23.499, -37970.89 6665941.7 23.449, -37970.96 6665940.66 23.399, -37971.23 6665939.65 23.349, -37971.68 6665938.75 23.289, -37972.31 6665937.94 23.229, -37973.08 6665937.28 23.169, -37973.95 6665936.8 23.119, -37974.33 6665936.66 23.109, -37975.57 6665936.35 23.079, -37976.28 6665936.31 23.069, -37977.3 6665936.43 23.069, -37978.25 6665936.8 23.099, -37979.12 6665937.32 23.139, -37979.88 6665938.01 23.199, -37980.5 6665938.8 23.269, -37980.9 6665939.69 23.329, -37981.16 6665940.64 23.389, -37981.29 6665941.62 23.439, -37981.18 6665942.55 23.489, -37980.89 6665943.44 23.549, -37980.43 6665944.32 23.609, -37979.86 6665945.06 23.669, -37978.76 6665944.18 23.759, -37979.38 6665943.34 23.669, -37979.77 6665942.38 23.589, -37979.84 6665941.34 23.509, -37979.7 6665940.35 23.439, -37979.21 6665939.36 23.359, -37978.52 6665938.64 23.279, -37977.7 6665938.1 23.219, -37977.2 6665937.89 23.199, -37976.45 6665937.71 23.199, -37975.46 6665937.78 23.209, -37974.5 6665938.1 23.239, -37973.62 6665938.63 23.279, -37972.95 6665939.4 23.349, -37972.48 6665940.24 23.409, -37972.31 6665941.23 23.489, -37972.37 6665942.21 23.559, -37972.69 6665943.2 23.629, -37973.22 6665943.97 23.689, -37973.98 6665944.62 23.749, -37974.9 6665945.09 23.809, -37975.92 6665945.27 23.839, -37976.9 6665945.17 23.849, -37976.96 6665945.17 23.849, -37977.46 6665945.02 23.829, -37977.92 6665944.79 23.819, -37978.76 6665944.18 23.759, -37979.86 6665945.06 23.669)</t>
  </si>
  <si>
    <t>['FV471 S1D1 m1547-1560']</t>
  </si>
  <si>
    <t>LINESTRING Z (89236.52 6467709.76 19.596, 89237.88 6467717.4 19.416, 89238.12 6467718.3 19.416, 89238.46 6467719.19 19.416, 89238.69 6467719.59 19.416, 89240.29 6467721.88 19.326)</t>
  </si>
  <si>
    <t>POINT (89237.88340111382 6467716.027193695)</t>
  </si>
  <si>
    <t>[484]</t>
  </si>
  <si>
    <t>['FV484 S1D1 m90-156']</t>
  </si>
  <si>
    <t>LINESTRING Z (88224.45 6466501.15 7.884, 88234.76 6466488.02 7.774, 88250.39 6466466.32 7.654, 88262.8 6466448.47 7.524, 88260.15 6466446.34 7.654, 88251.37 6466457.7 7.774, 88241.5 6466470.18 7.774, 88231.62 6466482.65 8.024, 88222.81 6466493.87 7.904, 88221.47 6466495.64 7.944)</t>
  </si>
  <si>
    <t>POLYGON Z ((88224.45 6466501.15 7.884, 88234.76 6466488.02 7.774, 88250.39 6466466.32 7.654, 88262.8 6466448.47 7.524, 88260.15 6466446.34 7.654, 88251.37 6466457.7 7.774, 88241.5 6466470.18 7.774, 88231.62 6466482.65 8.024, 88222.81 6466493.87 7.904, 88221.47 6466495.64 7.944, 88224.45 6466501.15 7.884))</t>
  </si>
  <si>
    <t>2019-02-21</t>
  </si>
  <si>
    <t>[4314]</t>
  </si>
  <si>
    <t>['FV4314 S1D1 m4-10']</t>
  </si>
  <si>
    <t>LINESTRING Z (-16360.78 6534193.3 88.548, -16361.76 6534193.54 88.518, -16365.54 6534194.49 88.658, -16365.75 6534194.63 88.628, -16365.96 6534194.77 88.578, -16366.16 6534194.91 88.548, -16366.36 6534195.06 88.528, -16366.54 6534195.22 88.498, -16366.74 6534195.38 88.488, -16366.92 6534195.56 88.468, -16367.09 6534195.72 88.458, -16367.27 6534195.91 88.458, -16367.43 6534196.1 88.448, -16367.6 6534196.28 88.428, -16367.75 6534196.49 88.408, -16367.89 6534196.68 88.388, -16368.04 6534196.89 88.378, -16368.17 6534197.1 88.358, -16368.3 6534197.31 88.338, -16368.37 6534197.35 88.338, -16368.43 6534197.38 88.338, -16368.5 6534197.39 88.338, -16368.58 6534197.41 88.338, -16368.65 6534197.41 88.338, -16368.73 6534197.4 88.338, -16368.81 6534197.39 88.348, -16368.88 6534197.38 88.348, -16368.94 6534197.34 88.348, -16369.01 6534197.31 88.358, -16369.08 6534197.27 88.358, -16369.13 6534197.22 88.368, -16369.18 6534197.16 88.368, -16369.22 6534197.1 88.368, -16369.27 6534197.04 88.368, -16369.3 6534196.97 88.368, -16369.32 6534196.9 88.368, -16369.34 6534196.83 88.368, -16369.36 6534196.75 88.368, -16369.35 6534196.68 88.368, -16369.35 6534196.61 88.378, -16369.34 6534196.53 88.378, -16369.24 6534196.27 88.398, -16369.14 6534196.02 88.418, -16369.04 6534195.76 88.428, -16368.92 6534195.51 88.438, -16368.81 6534195.26 88.448, -16368.68 6534195.01 88.468, -16368.55 6534194.78 88.478, -16368.41 6534194.53 88.498, -16368.26 6534194.3 88.518, -16368.11 6534194.07 88.528, -16367.95 6534193.85 88.548, -16367.78 6534193.63 88.568, -16367.61 6534193.42 88.578, -16367.43 6534193.2 88.598, -16367.26 6534193 88.618, -16367.07 6534192.81 88.638, -16366.88 6534192.61 88.658, -16366.68 6534192.44 88.678, -16366.49 6534192.26 88.688, -16366.28 6534192.09 88.698, -16366.08 6534191.92 88.698, -16365.86 6534191.76 88.708, -16365.64 6534191.6 88.718, -16365.42 6534191.45 88.738, -16365.19 6534191.3 88.748, -16363.63 6534190.52 88.858, -16360.37 6534189.31 89.048)</t>
  </si>
  <si>
    <t>POLYGON Z ((-16360.78 6534193.3 88.548, -16361.76 6534193.54 88.518, -16365.54 6534194.49 88.658, -16365.75 6534194.63 88.628, -16365.96 6534194.77 88.578, -16366.16 6534194.91 88.548, -16366.36 6534195.06 88.528, -16366.54 6534195.22 88.498, -16366.74 6534195.38 88.488, -16366.92 6534195.56 88.468, -16367.09 6534195.72 88.458, -16367.27 6534195.91 88.458, -16367.43 6534196.1 88.448, -16367.6 6534196.28 88.428, -16367.75 6534196.49 88.408, -16367.89 6534196.68 88.388, -16368.04 6534196.89 88.378, -16368.17 6534197.1 88.358, -16368.3 6534197.31 88.338, -16368.37 6534197.35 88.338, -16368.43 6534197.38 88.338, -16368.5 6534197.39 88.338, -16368.58 6534197.41 88.338, -16368.65 6534197.41 88.338, -16368.73 6534197.4 88.338, -16368.81 6534197.39 88.348, -16368.88 6534197.38 88.348, -16368.94 6534197.34 88.348, -16369.01 6534197.31 88.358, -16369.08 6534197.27 88.358, -16369.13 6534197.22 88.368, -16369.18 6534197.16 88.368, -16369.22 6534197.1 88.368, -16369.27 6534197.04 88.368, -16369.3 6534196.97 88.368, -16369.32 6534196.9 88.368, -16369.34 6534196.83 88.368, -16369.36 6534196.75 88.368, -16369.35 6534196.68 88.368, -16369.35 6534196.61 88.378, -16369.34 6534196.53 88.378, -16369.24 6534196.27 88.398, -16369.14 6534196.02 88.418, -16369.04 6534195.76 88.428, -16368.92 6534195.51 88.438, -16368.81 6534195.26 88.448, -16368.68 6534195.01 88.468, -16368.55 6534194.78 88.478, -16368.41 6534194.53 88.498, -16368.26 6534194.3 88.518, -16368.11 6534194.07 88.528, -16367.95 6534193.85 88.548, -16367.78 6534193.63 88.568, -16367.61 6534193.42 88.578, -16367.43 6534193.2 88.598, -16367.26 6534193 88.618, -16367.07 6534192.81 88.638, -16366.88 6534192.61 88.658, -16366.68 6534192.44 88.678, -16366.49 6534192.26 88.688, -16366.28 6534192.09 88.698, -16366.08 6534191.92 88.698, -16365.86 6534191.76 88.708, -16365.64 6534191.6 88.718, -16365.42 6534191.45 88.738, -16365.19 6534191.3 88.748, -16363.63 6534190.52 88.858, -16360.37 6534189.31 89.048, -16360.78 6534193.3 88.548))</t>
  </si>
  <si>
    <t>2019-04-08</t>
  </si>
  <si>
    <t>[1109]</t>
  </si>
  <si>
    <t>['KV1109 S1D1 m11-13']</t>
  </si>
  <si>
    <t>LINESTRING Z (-31214.8 6666075.27 17.276, -31214.16 6666072.84 17.026)</t>
  </si>
  <si>
    <t>POINT (-31214.479999999996 6666074.055)</t>
  </si>
  <si>
    <t>LINESTRING Z (-31212.7 6666073.48 17.016, -31213.31 6666075.76 17.296)</t>
  </si>
  <si>
    <t>POINT (-31213.005 6666074.62)</t>
  </si>
  <si>
    <t>[5044]</t>
  </si>
  <si>
    <t>['FV5044 S1D1 m1611-1614']</t>
  </si>
  <si>
    <t>LINESTRING Z (-30751.36 6667712.85 40.517, -30754.8 6667712.81 40.527)</t>
  </si>
  <si>
    <t>POINT (-30753.08 6667712.83)</t>
  </si>
  <si>
    <t>LINESTRING Z (-30754.74 6667710.61 40.587, -30751.48 6667710.25 40.657)</t>
  </si>
  <si>
    <t>POINT (-30753.11 6667710.43)</t>
  </si>
  <si>
    <t>['EV6 S85D1 m3202 KD3 m90-110']</t>
  </si>
  <si>
    <t>LINESTRING Z (316607.39 7072426.04 6.36, 316607.2 7072426.1 6.3500000000000005, 316604.6 7072427.5 6.25, 316600.6 7072430 6.15, 316596.9 7072434.1 5.95, 316593.8 7072438.3 5.8500000000000005, 316593.13 7072439.45 5.82)</t>
  </si>
  <si>
    <t>POINT (316599.5620228683 7072431.974116574)</t>
  </si>
  <si>
    <t>2019-09-30</t>
  </si>
  <si>
    <t>['FV1436 S3D1 m3332-3353']</t>
  </si>
  <si>
    <t>LINESTRING (236380.38683309988 6639381.950450294, 236396.6420698762 6639394.510881986)</t>
  </si>
  <si>
    <t>POINT (236388.51445148804 6639388.230666141)</t>
  </si>
  <si>
    <t>2019-08-07</t>
  </si>
  <si>
    <t>2025-11-22T09:10:26Z</t>
  </si>
  <si>
    <t>[2708]</t>
  </si>
  <si>
    <t>['FV2708 S1D1 m9687-9704']</t>
  </si>
  <si>
    <t>LINESTRING Z (220607.479656511 6634192.80168796 -999999, 220610.257781511 6634198.82095879 -999999, 220611.924656511 6634202.80293796 -999999, 220613.221114845 6634207.71095879 -999999)</t>
  </si>
  <si>
    <t>POINT (220610.64107529883 6634200.151197109)</t>
  </si>
  <si>
    <t>['FV2708 S1D1 m9649-9668']</t>
  </si>
  <si>
    <t>LINESTRING Z (220596.830177345 6634177.15158379 -999999, 220594.052052345 6634173.44741712 -999999, 220590.810906511 6634169.46543796 -999999, 220584.050802345 6634162.61272962 -999999)</t>
  </si>
  <si>
    <t>POINT (220590.66770201275 6634169.684794804)</t>
  </si>
  <si>
    <t>2019-08-14</t>
  </si>
  <si>
    <t>['EV39 S59D1 m8179-8262']</t>
  </si>
  <si>
    <t>LINESTRING Z (7447.804091656522 6833514.558899047 -999999, 7448.003333160013 6833514.862689998 -999999, 7448.20165213407 6833515.156497389 -999999, 7448.380926515849 6833515.462133399 -999999, 7448.560200897919 6833515.767769408 -999999, 7448.74039781082 6833516.0833889805 -999999, 7448.900627601775 6833516.400853608 -999999, 7449.060857393371 6833516.718318238 -999999, 7449.2210871852 6833517.035782863 -999999, 7449.36227238609 6833517.365076117 -999999, 7449.503457587212 6833517.694369364 -999999, 7449.634659227857 6833518.024585141 -999999, 7449.765860869491 6833518.354800919 -999999, 7449.887078950589 6833518.685939225 -999999, 7449.999236001633 6833519.0279836245 -999999, 7450.101409492025 6833519.370950547 -999999, 7450.203582983464 6833519.713917472 -999999, 7450.295772914775 6833520.057806929 -999999, 7450.377979286248 6833520.402618917 -999999, 7450.4502020970685 6833520.748353434 -999999, 7450.523347439477 6833521.104071512 -999999, 7450.585586691333 6833521.450728559 -999999, 7450.6387649133685 6833521.808291694 -999999, 7450.681037044793 6833522.156793798 -999999, 7450.724231708329 6833522.515279466 -999999, 7450.756520280847 6833522.864704107 -999999, 7450.779747823777 6833523.22503483 -999999, 7450.792991807102 6833523.586288091 -999999, 7450.805313260702 6833523.9375577895 -999999, 7450.758125041204 6833525.170312723 -999999, 7450.710014303215 6833526.3930840995 -999999, 7450.642858985928 6833527.6276841 -999999, 7450.574781149509 6833528.852300539 -999999, 7450.496719763789 6833530.077839507 -999999, 7450.418658390292 6833531.3033784805 -999999, 7450.320629906491 6833532.530762514 -999999, 7450.222601434914 6833533.758146552 -999999, 7450.114589414094 6833534.9864531215 -999999, 7450.005654873443 6833536.2047761325 -999999, 7449.887659315078 6833537.434005236 -999999, 7449.758757676056 6833538.654173314 -999999, 7449.619872487849 6833539.875263925 -999999, 7449.471003750397 6833541.09727707 -999999, 7449.322135024704 6833542.319290217 -999999, 7449.163282750174 6833543.542225903 -999999, 7448.993524393358 6833544.756100558 -999999, 7448.823766048707 6833545.969975215 -999999, 7448.644024154346 6833547.18477241 -999999, 7448.454298710742 6833548.40049214 -999999, 7448.254589717719 6833549.617134404 -999999, 7448.054880735814 6833550.833776672 -999999, 7447.844265672145 6833552.041357917 -999999, 7447.623667058768 6833553.249861697 -999999, 7447.393084895506 6833554.459288011 -999999, 7447.161580210493 6833555.658730773 -999999, 7446.921014509047 6833556.869079631 -999999, 7446.669542724732 6833558.070367466 -999999, 7446.334247029095 6833559.672084585 -999999, 7445.978984231595 6833561.275646782 -999999, 7445.622798919503 6833562.869225423 -999999, 7445.07807616028 6833565.255524153 -999999, 7444.524292417744 6833567.652728997 -999999, 7443.958680088806 6833570.030889271 -999999, 7443.3939903377905 6833572.419033128 -999999, 7442.828378094768 6833574.797193437 -999999, 7442.241876238259 6833577.167215279 -999999, 7441.656296959147 6833579.547220701 -999999, 7441.059811626445 6833581.918165118 -999999, 7440.462403800804 6833584.279125991 -999999, 7439.845028894662 6833586.641931958 -999999, 7439.227654030547 6833589.004737943 -999999, 7438.6102792089805 6833591.367543954 -999999, 7437.972014770086 6833593.722211492 -999999, 7437.333750372753 6833596.076879053 -999999, 7437.657874346944 6833594.899084002 -999999, 7437.962031208794 6833593.723134029 -999999, 7438.265265545051 6833592.537200497 -999999, 7438.569422428089 6833591.361250536 -999999, 7438.8517671269365 6833590.167178527 -999999, 7439.135034372564 6833588.983090083 -999999, 7439.408318068017 6833587.799924183 -999999, 7439.670695676934 6833586.607697261 -999999, 7439.933073296677 6833585.41547034 -999999, 7440.185467366478 6833584.224165961 -999999, 7440.426955350267 6833583.02380056 -999999, 7440.669365880312 6833581.833418726 -999999, 7440.900870325568 6833580.633975871 -999999, 7441.12239122024 6833579.435455551 -999999, 7441.333006030181 6833578.227874211 -999999, 7441.5445433860295 6833577.030276434 -999999, 7441.745174657088 6833575.823617634 -999999, 7441.935822378728 6833574.617881376 -999999, 7442.126470111543 6833573.412145117 -999999, 7442.297150733357 6833572.208253933 -999999, 7442.477814927464 6833571.003440214 -999999, 7442.637589476537 6833569.790488008 -999999, 7442.787380475958 6833568.578458339 -999999, 7442.937171486847 6833567.366428671 -999999, 7443.077901482524 6833566.165305101 -999999, 7443.216786420904 6833564.944214409 -999999, 7443.336626783595 6833563.734952356 -999999, 7443.456467156648 6833562.525690293 -999999, 7443.608368587331 6833560.900644496 -999999, 7443.741225449427 6833559.287427326 -999999, 7443.87315979891 6833557.664226599 -999999, 7444.052016772912 6833555.241254139 -999999, 7444.240857354249 6833552.817359153 -999999, 7444.4097308595665 6833550.395309236 -999999, 7444.567698316998 6833547.964198295 -999999, 7444.726588353224 6833545.543070916 -999999, 7444.875494874839 6833543.122866078 -999999, 7445.153340933553 6833538.284301471 -999999, 7445.400313961087 6833533.438520909 -999999, 7445.608275459497 6833528.606414043 -999999, 7445.79534748802 6833523.766168685 -999999, 7445.847249524784 6833522.039606538 -999999, 7445.899151584483 6833520.31304439 -999999, 7445.930164014455 6833518.57834374 -999999, 7445.9620989988325 6833516.8536266545 -999999, 7445.973144353367 6833515.120771064 -999999, 7445.985731235298 6833515.039057513 -999999, 7445.997395587619 6833514.9473604 -999999, 7446.009982469608 6833514.865646847 -999999, 7446.042536474706 6833514.782088234 -999999, 7446.075090479921 6833514.698529622 -999999, 7446.118550576328 6833514.624032041 -999999, 7446.162010673084 6833514.54953446 -999999, 7446.216376861092 6833514.484097908 -999999, 7446.270743049681 6833514.418661362 -999999, 7446.33601532958 6833514.362285845 -999999, 7446.411271170538 6833514.3049877975 -999999, 7446.487449541572 6833514.257673311 -999999, 7446.564550442854 6833514.2203423865 -999999, 7446.6416513439035 6833514.183011463 -999999, 7446.730580866337 6833514.164725129 -999999, 7446.808604297694 6833514.13737777 -999999, 7446.8984563498525 6833514.129074996 -999999, 7446.98923093226 6833514.13075579 -999999, 7447.0700219530845 6833514.133359108 -999999, 7447.161719065451 6833514.145023462 -999999, 7447.244355146424 6833514.167593908 -999999, 7447.326991227223 6833514.190164351 -999999, 7447.41054983763 6833514.222718353 -999999, 7447.485047417344 6833514.266178453 -999999, 7447.559544996591 6833514.30963855 -999999, 7447.62498154497 6833514.3640047405 -999999, 7447.691340623016 6833514.428354487 -999999, 7447.747716139769 6833514.493626769 -999999, 7447.804091656522 6833514.558899047 -999999)</t>
  </si>
  <si>
    <t>['EV39 S59D1 m8283-8385']</t>
  </si>
  <si>
    <t>LINESTRING Z (7427.7597117845435 6833396.360687889 -999999, 7428.117235855898 6833397.505701881 -999999, 7428.485666020832 6833398.6597769 -999999, 7428.83412906708 6833399.81569696 -999999, 7429.182592122583 6833400.971617012 -999999, 7429.521994144365 6833402.138443141 -999999, 7429.850490090088 6833403.29620822 -999999, 7430.1699250033125 6833404.464879383 -999999, 7430.488437404914 6833405.623566976 -999999, 7430.807872337056 6833406.792238122 -999999, 7431.107340151735 6833407.962754308 -999999, 7431.406807975611 6833409.133270486 -999999, 7431.696292246052 6833410.304709183 -999999, 7431.976715484576 6833411.487053961 -999999, 7432.246232647041 6833412.660337686 -999999, 7432.515749819635 6833413.833621409 -999999, 7432.776205961651 6833415.017811214 -999999, 7433.026678549766 6833416.202923533 -999999, 7433.277151148068 6833417.388035849 -999999, 7433.737239599635 6833419.751966991 -999999, 7434.1982506157365 6833422.12588168 -999999, 7435.119350249006 6833426.863727433 -999999, 7436.069478214544 6833431.5888219755 -999999, 7437.028667383594 6833436.303010351 -999999, 7438.006901317276 6833441.005370033 -999999, 7439.005102539319 6833445.705884587 -999999, 7439.255575395306 6833446.890996778 -999999, 7439.50604826113 6833448.0761089595 -999999, 7439.935858133307 6833450.221323996 -999999, 7440.355684476672 6833452.367461538 -999999, 7440.765527291689 6833454.514521592 -999999, 7441.16538657865 6833456.662504158 -999999, 7441.545278774691 6833458.812331757 -999999, 7441.852025823144 6833460.606441198 -999999, 7442.149711859587 6833462.411456721 -999999, 7442.436491831846 6833464.207411193 -999999, 7442.713288266619 6833466.004288187 -999999, 7442.981023689208 6833467.812071256 -999999, 7443.237853048311 6833469.610793283 -999999, 7443.497614243708 6833471.550207698 -999999, 7443.748314433091 6833473.500528193 -999999, 7443.988108561782 6833475.441787645 -999999, 7444.217919157469 6833477.383969613 -999999, 7444.438668747316 6833479.337057664 -999999, 7444.63852871547 6833481.282007198 -999999, 7444.829327677842 6833483.237862815 -999999, 7445.009220580338 6833485.18465739 -999999, 7445.180052478157 6833487.142358049 -999999, 7445.329994754051 6833489.091920193 -999999, 7445.4699534975225 6833491.042404863 -999999, 7445.600851237075 6833493.003795614 -999999, 7445.616369969328 6833493.062774457 -999999, 7445.631888701231 6833493.121753298 -999999, 7445.647407433542 6833493.180732142 -999999, 7445.682893288787 6833493.237865926 -999999, 7445.717456616112 6833493.28501615 -999999, 7445.762003504671 6833493.331243844 -999999, 7445.806550393521 6833493.377471539 -999999, 7445.8601583158015 6833493.412793144 -999999, 7445.922827271221 6833493.437208664 -999999, 7445.9845736980205 6833493.451640613 -999999, 7446.046320124879 6833493.466072568 -999999, 7446.107144023525 6833493.47052096 -999999, 7446.167045393435 6833493.464985788 -999999, 7446.22694676317 6833493.4594506165 -999999, 7446.285003076191 6833493.433948319 -999999, 7446.343059389386 6833493.408446028 -999999, 7446.40019317437 6833493.3729601735 -999999, 7446.447343397129 6833493.338396846 -999999, 7446.493571091734 6833493.293849958 -999999, 7446.528892696311 6833493.240242032 -999999, 7446.554230739188 6833493.18755664 -999999, 7446.578646254144 6833493.124887689 -999999, 7446.593078206817 6833493.06314126 -999999, 7446.60751015984 6833493.001394831 -999999, 7446.601974989579 6833492.941493462 -999999, 7446.47107725282 6833490.980102723 -999999, 7446.330195984046 6833489.019634509 -999999, 7446.179331183375 6833487.060088816 -999999, 7446.007576761185 6833485.092404615 -999999, 7445.826761335018 6833483.135626494 -999999, 7445.6359623756725 6833481.179770888 -999999, 7445.435179884371 6833479.224837807 -999999, 7445.214430298947 6833477.271749774 -999999, 7444.983697180403 6833475.319584256 -999999, 7444.742980529263 6833473.368341261 -999999, 7444.492280344828 6833471.4180207765 -999999, 7444.231596627331 6833469.468622816 -999999, 7443.973844746826 6833467.65991724 -999999, 7443.7061093284865 6833465.852134181 -999999, 7443.4293128996505 6833464.055257207 -999999, 7443.141610406106 6833462.24931918 -999999, 7442.833940812794 6833460.445226199 -999999, 7442.526271243754 6833458.641133211 -999999, 7442.14545652864 6833456.481322063 -999999, 7441.754658285761 6833454.322433425 -999999, 7441.344815478078 6833452.175373389 -999999, 7440.924066617037 6833450.0192523 -999999, 7440.484273189621 6833447.874959802 -999999, 7440.213668992394 6833446.580950965 -999999, 7439.9430648071575 6833445.286942118 -999999, 7439.827976157831 6833444.804205217 -999999, 7439.723793597368 6833444.330529351 -999999, 7439.6286720770295 6833443.845947401 -999999, 7439.533550557622 6833443.361365443 -999999, 7439.448412603058 6833442.875860962 -999999, 7439.373258213629 6833442.38943396 -999999, 7439.298103825306 6833441.903006953 -999999, 7439.242916564748 6833441.4147349 -999999, 7439.196790344256 6833440.915556759 -999999, 7439.160647688492 6833440.41545609 -999999, 7439.134488597396 6833439.914432898 -999999, 7439.11923559563 6833439.422470745 -999999, 7439.112121109967 6833438.909618941 -999999, 7439.105006626283 6833438.396767138 -999999, 7439.108798231464 6833437.892976372 -999999, 7439.1216508777 6833437.37827952 -999999, 7439.133745203784 6833436.964340818 -999999, 7439.155823094188 6833436.549479594 -999999, 7439.186962024658 6833436.123712284 -999999, 7439.209039917798 6833435.70885106 -999999, 7439.251084937947 6833435.292144791 -999999, 7439.281301348703 6833434.856393917 -999999, 7439.310595237126 6833434.410659484 -999999, 7439.329905564198 6833433.96584757 -999999, 7439.349215893075 6833433.521035658 -999999, 7439.348559097445 6833433.078068795 -999999, 7439.347902303562 6833432.635101932 -999999, 7439.3372619484435 6833432.193057592 -999999, 7439.316638031509 6833431.751935773 -999999, 7439.285108029842 6833431.301752917 -999999, 7439.254500553594 6833430.861553624 -999999, 7439.213909515529 6833430.422276853 -999999, 7439.162412392674 6833429.973939042 -999999, 7439.101854232198 6833429.53650732 -999999, 7439.031312509789 6833429.0999981165 -999999, 7438.96077078901 6833428.663488914 -999999, 7438.870261943608 6833428.228824761 -999999, 7438.779753099894 6833427.7941606045 -999999, 7438.679260694305 6833427.360418969 -999999, 7438.578768290172 6833426.926677335 -999999, 7438.459231284563 6833426.504764307 -999999, 7438.338771757088 6833426.0728677185 -999999, 7438.209251191292 6833425.651877218 -999999, 7438.068824540067 6833425.221825671 -999999, 7437.749717844534 6833424.27463808 -999999, 7437.420627591608 6833423.3283730075 -999999, 7437.090614821995 6833422.372124361 -999999, 7436.751541017613 6833421.426781801 -999999, 7435.916689758538 6833419.1478244 -999999, 7435.07185496937 6833416.869789494 -999999, 7433.3930915777455 6833412.322780621 -999999, 7431.753340053605 6833407.762097969 -999999, 7430.939378646261 6833405.491278901 -999999, 7430.134478314896 6833403.209553714 -999999, 7429.339561582368 6833400.926905977 -999999, 7428.554628448386 6833398.643335689 -999999, 7427.77875639213 6833396.348859284 -999999, 7427.0038068916765 6833394.064366412 -999999)</t>
  </si>
  <si>
    <t>POLYGON Z ((7427.7597117845435 6833396.360687889 -999999, 7428.117235855898 6833397.505701881 -999999, 7428.485666020832 6833398.6597769 -999999, 7428.83412906708 6833399.81569696 -999999, 7429.182592122583 6833400.971617012 -999999, 7429.521994144365 6833402.138443141 -999999, 7429.850490090088 6833403.29620822 -999999, 7430.1699250033125 6833404.464879383 -999999, 7430.488437404914 6833405.623566976 -999999, 7430.807872337056 6833406.792238122 -999999, 7431.107340151735 6833407.962754308 -999999, 7431.406807975611 6833409.133270486 -999999, 7431.696292246052 6833410.304709183 -999999, 7431.976715484576 6833411.487053961 -999999, 7432.246232647041 6833412.660337686 -999999, 7432.515749819635 6833413.833621409 -999999, 7432.776205961651 6833415.017811214 -999999, 7433.026678549766 6833416.202923533 -999999, 7433.277151148068 6833417.388035849 -999999, 7433.737239599635 6833419.751966991 -999999, 7434.1982506157365 6833422.12588168 -999999, 7435.119350249006 6833426.863727433 -999999, 7436.069478214544 6833431.5888219755 -999999, 7437.028667383594 6833436.303010351 -999999, 7438.006901317276 6833441.005370033 -999999, 7439.005102539319 6833445.705884587 -999999, 7439.255575395306 6833446.890996778 -999999, 7439.50604826113 6833448.0761089595 -999999, 7439.935858133307 6833450.221323996 -999999, 7440.355684476672 6833452.367461538 -999999, 7440.765527291689 6833454.514521592 -999999, 7441.16538657865 6833456.662504158 -999999, 7441.545278774691 6833458.812331757 -999999, 7441.852025823144 6833460.606441198 -999999, 7442.149711859587 6833462.411456721 -999999, 7442.436491831846 6833464.207411193 -999999, 7442.713288266619 6833466.004288187 -999999, 7442.981023689208 6833467.812071256 -999999, 7443.237853048311 6833469.610793283 -999999, 7443.497614243708 6833471.550207698 -999999, 7443.748314433091 6833473.500528193 -999999, 7443.988108561782 6833475.441787645 -999999, 7444.217919157469 6833477.383969613 -999999, 7444.438668747316 6833479.337057664 -999999, 7444.63852871547 6833481.282007198 -999999, 7444.829327677842 6833483.237862815 -999999, 7445.009220580338 6833485.18465739 -999999, 7445.180052478157 6833487.142358049 -999999, 7445.329994754051 6833489.091920193 -999999, 7445.4699534975225 6833491.042404863 -999999, 7445.600851237075 6833493.003795614 -999999, 7445.616369969328 6833493.062774457 -999999, 7445.631888701231 6833493.121753298 -999999, 7445.647407433542 6833493.180732142 -999999, 7445.682893288787 6833493.237865926 -999999, 7445.717456616112 6833493.28501615 -999999, 7445.762003504671 6833493.331243844 -999999, 7445.806550393521 6833493.377471539 -999999, 7445.8601583158015 6833493.412793144 -999999, 7445.922827271221 6833493.437208664 -999999, 7445.9845736980205 6833493.451640613 -999999, 7446.046320124879 6833493.466072568 -999999, 7446.107144023525 6833493.47052096 -999999, 7446.167045393435 6833493.464985788 -999999, 7446.22694676317 6833493.4594506165 -999999, 7446.285003076191 6833493.433948319 -999999, 7446.343059389386 6833493.408446028 -999999, 7446.40019317437 6833493.3729601735 -999999, 7446.447343397129 6833493.338396846 -999999, 7446.493571091734 6833493.293849958 -999999, 7446.528892696311 6833493.240242032 -999999, 7446.554230739188 6833493.18755664 -999999, 7446.578646254144 6833493.124887689 -999999, 7446.593078206817 6833493.06314126 -999999, 7446.60751015984 6833493.001394831 -999999, 7446.601974989579 6833492.941493462 -999999, 7446.47107725282 6833490.980102723 -999999, 7446.330195984046 6833489.019634509 -999999, 7446.179331183375 6833487.060088816 -999999, 7446.007576761185 6833485.092404615 -999999, 7445.826761335018 6833483.135626494 -999999, 7445.6359623756725 6833481.179770888 -999999, 7445.435179884371 6833479.224837807 -999999, 7445.214430298947 6833477.271749774 -999999, 7444.983697180403 6833475.319584256 -999999, 7444.742980529263 6833473.368341261 -999999, 7444.492280344828 6833471.4180207765 -999999, 7444.231596627331 6833469.468622816 -999999, 7443.973844746826 6833467.65991724 -999999, 7443.7061093284865 6833465.852134181 -999999, 7443.4293128996505 6833464.055257207 -999999, 7443.141610406106 6833462.24931918 -999999, 7442.833940812794 6833460.445226199 -999999, 7442.526271243754 6833458.641133211 -999999, 7442.14545652864 6833456.481322063 -999999, 7441.754658285761 6833454.322433425 -999999, 7441.344815478078 6833452.175373389 -999999, 7440.924066617037 6833450.0192523 -999999, 7440.484273189621 6833447.874959802 -999999, 7440.213668992394 6833446.580950965 -999999, 7439.9430648071575 6833445.286942118 -999999, 7439.827976157831 6833444.804205217 -999999, 7439.723793597368 6833444.330529351 -999999, 7439.6286720770295 6833443.845947401 -999999, 7439.533550557622 6833443.361365443 -999999, 7439.448412603058 6833442.875860962 -999999, 7439.373258213629 6833442.38943396 -999999, 7439.298103825306 6833441.903006953 -999999, 7439.242916564748 6833441.4147349 -999999, 7439.196790344256 6833440.915556759 -999999, 7439.160647688492 6833440.41545609 -999999, 7439.134488597396 6833439.914432898 -999999, 7439.11923559563 6833439.422470745 -999999, 7439.112121109967 6833438.909618941 -999999, 7439.105006626283 6833438.396767138 -999999, 7439.108798231464 6833437.892976372 -999999, 7439.1216508777 6833437.37827952 -999999, 7439.133745203784 6833436.964340818 -999999, 7439.155823094188 6833436.549479594 -999999, 7439.186962024658 6833436.123712284 -999999, 7439.209039917798 6833435.70885106 -999999, 7439.251084937947 6833435.292144791 -999999, 7439.281301348703 6833434.856393917 -999999, 7439.310595237126 6833434.410659484 -999999, 7439.329905564198 6833433.96584757 -999999, 7439.349215893075 6833433.521035658 -999999, 7439.348559097445 6833433.078068795 -999999, 7439.347902303562 6833432.635101932 -999999, 7439.3372619484435 6833432.193057592 -999999, 7439.316638031509 6833431.751935773 -999999, 7439.285108029842 6833431.301752917 -999999, 7439.254500553594 6833430.861553624 -999999, 7439.213909515529 6833430.422276853 -999999, 7439.162412392674 6833429.973939042 -999999, 7439.101854232198 6833429.53650732 -999999, 7439.031312509789 6833429.0999981165 -999999, 7438.96077078901 6833428.663488914 -999999, 7438.870261943608 6833428.228824761 -999999, 7438.779753099894 6833427.7941606045 -999999, 7438.679260694305 6833427.360418969 -999999, 7438.578768290172 6833426.926677335 -999999, 7438.459231284563 6833426.504764307 -999999, 7438.338771757088 6833426.0728677185 -999999, 7438.209251191292 6833425.651877218 -999999, 7438.068824540067 6833425.221825671 -999999, 7437.749717844534 6833424.27463808 -999999, 7437.420627591608 6833423.3283730075 -999999, 7437.090614821995 6833422.372124361 -999999, 7436.751541017613 6833421.426781801 -999999, 7435.916689758538 6833419.1478244 -999999, 7435.07185496937 6833416.869789494 -999999, 7433.3930915777455 6833412.322780621 -999999, 7431.753340053605 6833407.762097969 -999999, 7430.939378646261 6833405.491278901 -999999, 7430.134478314896 6833403.209553714 -999999, 7429.339561582368 6833400.926905977 -999999, 7428.554628448386 6833398.643335689 -999999, 7427.77875639213 6833396.348859284 -999999, 7427.0038068916765 6833394.064366412 -999999, 7427.7597117845435 6833396.360687889 -999999))</t>
  </si>
  <si>
    <t>[1496]</t>
  </si>
  <si>
    <t>['FV1496 S3D1 m0-3349', 'FV1496 S4D1 m0-3141', 'FV1496 S2D1 m1520-2618', 'FV1496 S5D1 m0-7150', 'FV1496 S6D1 m0-3640', 'FV1496 S7D1 m0-2383']</t>
  </si>
  <si>
    <t>LINESTRING Z (279912.88 6659462.6 187.598, 279914.84 6659463.42 187.598, 279917.73 6659464.63 187.588, 279920.82 6659465.95 187.578, 279924.53 6659467.56 187.588, 279928.58 6659469.25 187.598, 279931.65 6659470.48 187.588, 279935.52 6659471.97 187.588, 279939.42 6659473.43 187.558, 279943.22 6659474.82 187.538, 279948.88 6659476.88 187.468, 279954.96 6659479.07 187.398, 279960.72 6659481.16 187.328, 279966.71 6659483.28 187.238, 279972.67 6659485.41 187.138, 279978.82 6659487.59 187.038, 279984.43 6659489.55 186.918, 279989.21 6659491.24 186.798, 279993.2 6659492.63 186.688, 279998.36 6659494.42 186.538, 280003.2 6659496.12 186.388, 280008.05 6659497.82 186.228, 280011.71 6659499.1 186.098, 280014.23 6659499.98 186.018, 280014.61 6659499.96 186.008, 280014.87 6659499.66 185.998, 280014.85 6659499.3 185.998, 280014.57 6659499.05 186.018, 280013.88 6659498.63 186.038, 280013.15 6659498.23 186.058, 280012.23 6659497.77 186.088, 280011.32 6659497.42 186.118, 280009.46 6659496.76 186.178, 280005.27 6659495.28 186.318, 280000.53 6659493.64 186.468, 279995.51 6659491.89 186.618, 279991.49 6659490.47 186.728, 279990.58 6659490.12 186.748, 279989.7 6659489.7 186.778, 279988.77 6659489.19 186.788, 279987.85 6659488.61 186.808, 279986.99 6659487.99 186.828, 279986.11 6659487.31 186.838, 279985.41 6659486.74 186.858, 279983.89 6659485.49 186.868, 279982.82 6659484.79 186.898, 279981.51 6659484.04 186.918, 279980.27 6659483.46 186.948, 279976.97 6659482.24 187.008, 279970.65 6659480.04 187.118, 279964.89 6659478.04 187.218, 279959.32 6659476.12 187.298, 279953.11 6659473.96 187.368, 279947.07 6659471.87 187.418, 279941.28 6659469.85 187.458, 279937.36 6659468.48 187.468, 279932.72 6659466.79 187.488, 279928.79 6659465.31 187.488, 279924.95 6659463.79 187.488, 279921.89 6659462.53 187.478, 279917.48 6659460.7 187.508, 279914.03 6659459.27 187.528)</t>
  </si>
  <si>
    <t>POLYGON Z ((279912.88 6659462.6 187.598, 279914.84 6659463.42 187.598, 279917.73 6659464.63 187.588, 279920.82 6659465.95 187.578, 279924.53 6659467.56 187.588, 279928.58 6659469.25 187.598, 279931.65 6659470.48 187.588, 279935.52 6659471.97 187.588, 279939.42 6659473.43 187.558, 279943.22 6659474.82 187.538, 279948.88 6659476.88 187.468, 279954.96 6659479.07 187.398, 279960.72 6659481.16 187.328, 279966.71 6659483.28 187.238, 279972.67 6659485.41 187.138, 279978.82 6659487.59 187.038, 279984.43 6659489.55 186.918, 279989.21 6659491.24 186.798, 279993.2 6659492.63 186.688, 279998.36 6659494.42 186.538, 280003.2 6659496.12 186.388, 280008.05 6659497.82 186.228, 280011.71 6659499.1 186.098, 280014.23 6659499.98 186.018, 280014.61 6659499.96 186.008, 280014.87 6659499.66 185.998, 280014.85 6659499.3 185.998, 280014.57 6659499.05 186.018, 280013.88 6659498.63 186.038, 280013.15 6659498.23 186.058, 280012.23 6659497.77 186.088, 280011.32 6659497.42 186.118, 280009.46 6659496.76 186.178, 280005.27 6659495.28 186.318, 280000.53 6659493.64 186.468, 279995.51 6659491.89 186.618, 279991.49 6659490.47 186.728, 279990.58 6659490.12 186.748, 279989.7 6659489.7 186.778, 279988.77 6659489.19 186.788, 279987.85 6659488.61 186.808, 279986.99 6659487.99 186.828, 279986.11 6659487.31 186.838, 279985.41 6659486.74 186.858, 279983.89 6659485.49 186.868, 279982.82 6659484.79 186.898, 279981.51 6659484.04 186.918, 279980.27 6659483.46 186.948, 279976.97 6659482.24 187.008, 279970.65 6659480.04 187.118, 279964.89 6659478.04 187.218, 279959.32 6659476.12 187.298, 279953.11 6659473.96 187.368, 279947.07 6659471.87 187.418, 279941.28 6659469.85 187.458, 279937.36 6659468.48 187.468, 279932.72 6659466.79 187.488, 279928.79 6659465.31 187.488, 279924.95 6659463.79 187.488, 279921.89 6659462.53 187.478, 279917.48 6659460.7 187.508, 279914.03 6659459.27 187.528, 279912.88 6659462.6 187.598))</t>
  </si>
  <si>
    <t>2019-10-25</t>
  </si>
  <si>
    <t>['FV421 S3D1 m1786-1797']</t>
  </si>
  <si>
    <t>LINESTRING Z (145901.9362642768 6513201.907566575 98.311, 145899.24586224137 6513202.841105537 98.366, 145895.76974482177 6513203.752478056 98.427, 145893.41219537152 6513204.1990030315 98.463, 145891.28333707392 6513204.473416722 98.503, 145890.74246451637 6513204.931372956 98.525, 145891.19550805417 6513205.483787637 98.524, 145894.1615462551 6513206.267593928 98.453, 145893.1591838288 6513205.982844731 98.475, 145896.444541735 6513206.967950748 98.404, 145899.3872389486 6513208.018566163 98.35, 145901.327824087 6513208.838724104 98.322, 145901.91976487654 6513208.430117814 98.301, 145901.95661709964 6513206.533518248 98.311, 145902.15498465917 6513204.477375057 98.323, 145902.47560628952 6513202.302722799 98.314, 145901.9362642768 6513201.907566575 98.311)</t>
  </si>
  <si>
    <t>['FV421 S3D1 m918 KD1 m3-96']</t>
  </si>
  <si>
    <t>LINESTRING Z (146401.96934731829 6513825.15668079 109.237, 146398.29118789482 6513825.241800852 109.208, 146394.49343988532 6513826.662248703 109.223, 146391.31631248392 6513829.468751881 109.272, 146389.1933413734 6513833.878657738 109.382, 146389.5455855367 6513832.67057538 109.352, 146388.8945157752 6513837.456355397 109.497, 146390.31875371648 6513842.130835562 109.628, 146393.3937359776 6513845.669104681 109.755, 146397.50832298194 6513847.703110875 109.859, 146401.20579991356 6513848.023480341 109.89, 146404.8282059409 6513847.158213354 109.89, 146408.10795777087 6513845.0759994555 109.856, 146410.50364268193 6513842.032673377 109.789, 146411.82871660194 6513837.868341462 109.673, 146411.51190756384 6513833.524713632 109.541, 146409.68410088372 6513829.737412703 109.424, 146406.43006831052 6513826.726522148 109.315, 146401.96934731829 6513825.15668079 109.237)</t>
  </si>
  <si>
    <t>2019-11-20</t>
  </si>
  <si>
    <t>2025-11-22T09:10:33Z</t>
  </si>
  <si>
    <t>['FV456 S1D1 m2829-2857']</t>
  </si>
  <si>
    <t>LINESTRING (85671.9192933889 6463259.883738967, 85694.5225861796 6463274.996179501)</t>
  </si>
  <si>
    <t>POINT (85683.22093978425 6463267.439959234)</t>
  </si>
  <si>
    <t>['FV456 S1D1 m2831-2857']</t>
  </si>
  <si>
    <t>LINESTRING (85671.7617930749 6463259.900254892, 85692.88165300252 6463274.532513877)</t>
  </si>
  <si>
    <t>POINT (85682.32172303872 6463267.216384385)</t>
  </si>
  <si>
    <t>['FV456 S1D1 m2830-2853']</t>
  </si>
  <si>
    <t>LINESTRING (85675.33305647981 6463262.068696643, 85693.56110405107 6463274.938065789)</t>
  </si>
  <si>
    <t>POINT (85684.44708026544 6463268.503381216)</t>
  </si>
  <si>
    <t>['FV456 S1D1 m2829-2855']</t>
  </si>
  <si>
    <t>LINESTRING (85673.68476658041 6463260.016473649, 85694.6965698966 6463275.136868545)</t>
  </si>
  <si>
    <t>POINT (85684.1906682385 6463267.576671097)</t>
  </si>
  <si>
    <t>['FV456 S1D1 m2830-2849']</t>
  </si>
  <si>
    <t>LINESTRING (85678.99771385099 6463263.988946303, 85693.61512776476 6463274.694002107)</t>
  </si>
  <si>
    <t>POINT (85686.30642080787 6463269.341474205)</t>
  </si>
  <si>
    <t>2020-01-21</t>
  </si>
  <si>
    <t>2025-04-30T11:43:31Z</t>
  </si>
  <si>
    <t>['KV155 S1D1 m3886 KD1 m26-33']</t>
  </si>
  <si>
    <t>LINESTRING (266995.2929426469 6640356.925142575, 266993.38262056594 6640355.950970932, 266991.53878652427 6640354.78280023, 266988.43970313465 6640350.991391072, 266987.26991249423 6640346.777221613, 266987.5297620597 6640342.50667754, 266989.4151499076 6640338.971389785, 266992.7756664621 6640335.477364358, 266997.02128533117 6640334.082722943, 267001.34940339543 6640334.000476851, 267004.7201391501 6640335.407650453, 267007.605881029 6640337.59342775, 267009.0787984512 6640339.387880007, 267010.20389343955 6640341.728993094, 267010.84404011443 6640344.134086613, 267010.8851779789 6640346.576832237, 267010.5414489977 6640348.887447053, 267009.8422484046 6640350.997088125, 267006.8826794814 6640354.87903337, 267004.49287055084 6640356.380327963, 267001.8728748311 6640357.25963751, 266999.5188224533 6640357.630932014, 266997.2130820721 6640357.519057357, 266995.5651465715 6640357.053188077)</t>
  </si>
  <si>
    <t>POLYGON ((266995.2929426469 6640356.925142575, 266993.38262056594 6640355.950970932, 266991.53878652427 6640354.78280023, 266988.43970313465 6640350.991391072, 266987.26991249423 6640346.777221613, 266987.5297620597 6640342.50667754, 266989.4151499076 6640338.971389785, 266992.7756664621 6640335.477364358, 266997.02128533117 6640334.082722943, 267001.34940339543 6640334.000476851, 267004.7201391501 6640335.407650453, 267007.605881029 6640337.59342775, 267009.0787984512 6640339.387880007, 267010.20389343955 6640341.728993094, 267010.84404011443 6640344.134086613, 267010.8851779789 6640346.576832237, 267010.5414489977 6640348.887447053, 267009.8422484046 6640350.997088125, 267006.8826794814 6640354.87903337, 267004.49287055084 6640356.380327963, 267001.8728748311 6640357.25963751, 266999.5188224533 6640357.630932014, 266997.2130820721 6640357.519057357, 266995.5651465715 6640357.053188077, 266995.2929426469 6640356.925142575))</t>
  </si>
  <si>
    <t>['KV155 S1D1 m3868-3882']</t>
  </si>
  <si>
    <t>LINESTRING (267013.85999307357 6640333.995699844, 267019.4549805786 6640329.568472706, 267024.9645980152 6640325.302943398)</t>
  </si>
  <si>
    <t>POINT (267019.4007846275 6640329.634615044)</t>
  </si>
  <si>
    <t>['KV155 S1D1 m3890-3901']</t>
  </si>
  <si>
    <t>LINESTRING (266985.4666453947 6640358.860430767, 266976.41475323983 6640365.693557595)</t>
  </si>
  <si>
    <t>POINT (266980.94069931726 6640362.276994181)</t>
  </si>
  <si>
    <t>['KV6 S1D1 m423-433']</t>
  </si>
  <si>
    <t>LINESTRING (267009.08654733014 6640361.775017612, 267010.28234886075 6640363.542225031, 267014.6365609326 6640371.028829267)</t>
  </si>
  <si>
    <t>POINT (267011.91091486433 6640366.370919275)</t>
  </si>
  <si>
    <t>[11462]</t>
  </si>
  <si>
    <t>['KV11462 S3D1 m6022-6034']</t>
  </si>
  <si>
    <t>LINESTRING (264910.5467777265 6642112.703703872, 264911.93416703085 6642109.600704804, 264911.9766319868 6642104.338596782, 264910.2010291386 6642100.085188261, 264909.3919339179 6642100.438031556, 264909.74414119555 6642105.987753887, 264910.1478740069 6642112.349359467)</t>
  </si>
  <si>
    <t>POLYGON ((264910.5467777265 6642112.703703872, 264911.93416703085 6642109.600704804, 264911.9766319868 6642104.338596782, 264910.2010291386 6642100.085188261, 264909.3919339179 6642100.438031556, 264909.74414119555 6642105.987753887, 264910.1478740069 6642112.349359467, 264910.5467777265 6642112.703703872))</t>
  </si>
  <si>
    <t>['KV11462 S3D1 m5182-5191']</t>
  </si>
  <si>
    <t>LINESTRING (264934.02258686454 6642633.336408981, 264933.9272919843 6642631.834980743, 264933.38017593825 6642630.295230425, 264932.4208199114 6642627.0396719845, 264930.89110361494 6642624.356306158, 264929.4644214185 6642624.44685814, 264931.0492254826 6642629.2371943295, 264933.3505550576 6642633.457228012)</t>
  </si>
  <si>
    <t>POLYGON ((264934.02258686454 6642633.336408981, 264933.9272919843 6642631.834980743, 264933.38017593825 6642630.295230425, 264932.4208199114 6642627.0396719845, 264930.89110361494 6642624.356306158, 264929.4644214185 6642624.44685814, 264931.0492254826 6642629.2371943295, 264933.3505550576 6642633.457228012, 264934.02258686454 6642633.336408981))</t>
  </si>
  <si>
    <t>[15000]</t>
  </si>
  <si>
    <t>['KV15000 S3D1 m0-22']</t>
  </si>
  <si>
    <t>LINESTRING (264957.02344804397 6641623.220443597, 264955.35290451034 6641592.10501434, 264953.6970301153 6641592.131898023, 264953.44684555486 6641596.513853895, 264953.8780575021 6641600.919580428, 264954.02682100725 6641605.655886412, 264955.3327195995 6641614.372206583, 264956.63367614907 6641623.010675241)</t>
  </si>
  <si>
    <t>POLYGON ((264957.02344804397 6641623.220443597, 264955.35290451034 6641592.10501434, 264953.6970301153 6641592.131898023, 264953.44684555486 6641596.513853895, 264953.8780575021 6641600.919580428, 264954.02682100725 6641605.655886412, 264955.3327195995 6641614.372206583, 264956.63367614907 6641623.010675241, 264957.02344804397 6641623.220443597))</t>
  </si>
  <si>
    <t>['KV15000 S3D1 m10-58']</t>
  </si>
  <si>
    <t>LINESTRING (264949.9666598209 6641604.629325044, 264949.22773055633 6641582.265125879, 264949.7411354113 6641574.326704085, 264950.9861219278 6641566.051542925, 264950.05791656394 6641558.506072792, 264949.25727257633 6641556.602736495, 264948.4414275645 6641561.545401929, 264948.022388111 6641568.048530666, 264947.642894884 6641573.93499572, 264947.9622245828 6641584.9025300015, 264948.22369954124 6641594.958085446, 264948.3230006107 6641600.066022823, 264948.3624056992 6641603.078466262, 264949.5238890689 6641604.735580371)</t>
  </si>
  <si>
    <t>POLYGON ((264949.9666598209 6641604.629325044, 264949.22773055633 6641582.265125879, 264949.7411354113 6641574.326704085, 264950.9861219278 6641566.051542925, 264950.05791656394 6641558.506072792, 264949.25727257633 6641556.602736495, 264948.4414275645 6641561.545401929, 264948.022388111 6641568.048530666, 264947.642894884 6641573.93499572, 264947.9622245828 6641584.9025300015, 264948.22369954124 6641594.958085446, 264948.3230006107 6641600.066022823, 264948.3624056992 6641603.078466262, 264949.5238890689 6641604.735580371, 264949.9666598209 6641604.629325044))</t>
  </si>
  <si>
    <t>2020-01-28</t>
  </si>
  <si>
    <t>['KV155 S2D1 m35-75']</t>
  </si>
  <si>
    <t>LINESTRING (267023.84493769606 6640369.098957701, 267022.7221297355 6640364.022053797, 267022.5945978868 6640355.733810148, 267024.0990516186 6640345.690437536, 267027.5901054912 6640336.76161708, 267030.99070487515 6640330.864443294)</t>
  </si>
  <si>
    <t>POINT (267024.80467799865 6640349.523270739)</t>
  </si>
  <si>
    <t>2020-02-13</t>
  </si>
  <si>
    <t>['RV80 S6D1 m6209 KD1 m1-136']</t>
  </si>
  <si>
    <t>LINESTRING Z (475525.43 7462607.89 19.378, 475525.74 7462606.38 19.418, 475525.82 7462605.73 19.428, 475525.86 7462604.7 19.448, 475525.87 7462603.9 19.468, 475525.88 7462603.3 19.478, 475525.77 7462602.41 19.498, 475525.62 7462601.45 19.518, 475525.48 7462600.73 19.528, 475525.28 7462599.87 19.538, 475524.97 7462598.97 19.548, 475524.61 7462598 19.568, 475524.31 7462597.34 19.578, 475523.95 7462596.64 19.598, 475523.47 7462595.79 19.618, 475522.64 7462594.61 19.628, 475522.99 7462595.09 19.628, 475521.94 7462593.75 19.638, 475521.49 7462593.25 19.648, 475521.02 7462592.76 19.658, 475520.58 7462592.37 19.658, 475520.19 7462592.01 19.668, 475519.81 7462591.7 19.668, 475519.29 7462591.29 19.668, 475518.77 7462590.92 19.668, 475518.34 7462590.65 19.668, 475517.76 7462590.31 19.668, 475517.26 7462590.04 19.668, 475516.74 7462589.78 19.668, 475514.52 7462588.92 19.668, 475514.12 7462588.79 19.668, 475513.63 7462588.66 19.668, 475512.55 7462588.49 19.668, 475511.75 7462588.36 19.668, 475511.18 7462588.29 19.658, 475510.43 7462588.24 19.648, 475509.6 7462588.25 19.648, 475509.29 7462588.27 19.648, 475508.65 7462588.3 19.638, 475508.13 7462588.34 19.638, 475507.53 7462588.42 19.628, 475506.75 7462588.55 19.628, 475506.15 7462588.7 19.618, 475505.44 7462588.88 19.608, 475504.66 7462589.13 19.598, 475503.76 7462589.46 19.588, 475503.24 7462589.7 19.578, 475502.57 7462590.04 19.568, 475502.04 7462590.29 19.558, 475501.45 7462590.66 19.548, 475500.96 7462590.95 19.548, 475500.26 7462591.49 19.538, 475499.68 7462591.94 19.528, 475499.16 7462592.37 19.518, 475498.62 7462592.9 19.508, 475498.1 7462593.45 19.488, 475497.65 7462593.96 19.468, 475497.26 7462594.45 19.458, 475496.66 7462595.26 19.448, 475496.27 7462595.9 19.428, 475495.76 7462596.8 19.408, 475495.2 7462597.96 19.378, 475494.73 7462599.02 19.338, 475494.54 7462599.82 19.338, 475494.2 7462601.44 19.308, 475494.13 7462602.32 19.288, 475494.11 7462603.17 19.278, 475494.14 7462603.77 19.268, 475494.2 7462604.46 19.238, 475494.27 7462605.11 19.238, 475494.34 7462605.41 19.228, 475494.41 7462605.79 19.228, 475494.66 7462606.78 19.218, 475494.97 7462607.53 19.198, 475495.07 7462607.78 19.188, 475495.26 7462608.23 19.178, 475495.71 7462609.06 19.158, 475496.19 7462609.8 19.158, 475496.6 7462610.39 19.138, 475497.16 7462611.03 19.128, 475497.85 7462611.72 19.108, 475498.58 7462612.38 19.108, 475499.14 7462612.85 19.098, 475500.54 7462613.77 19.088, 475501.28 7462614.2 19.088, 475501.8 7462614.45 19.078, 475502.52 7462614.8 19.078, 475503.11 7462615.03 19.078, 475503.78 7462615.3 19.078, 475505.41 7462615.79 19.088, 475506.51 7462615.99 19.098, 475507.92 7462616.15 19.098, 475509.03 7462616.21 19.118, 475510.45 7462616.19 19.118, 475511.75 7462616.05 19.138, 475512.81 7462615.86 19.138, 475513.74 7462615.62 19.158, 475514.89 7462615.27 19.158, 475516.01 7462614.83 19.178, 475516.91 7462614.4 19.188, 475517.98 7462613.82 19.208, 475518.86 7462613.26 19.228, 475520.04 7462612.4 19.258, 475521.1 7462611.56 19.278, 475522.47 7462610.41 19.308, 475523.6 7462609.46 19.338, 475524.65 7462608.58 19.358, 475525.42 7462607.9 19.378)</t>
  </si>
  <si>
    <t>2020-02-17</t>
  </si>
  <si>
    <t>['RV80 S6D190 m51 KD1 m0-49', 'RV80 S6D190 m51 KD1 m49-87']</t>
  </si>
  <si>
    <t>LINESTRING Z (478537.17 7462363.24 30.548, 478537.19 7462363.29 30.548, 478537.22 7462363.37 30.548, 478537.42 7462363.84 30.568, 478537.68 7462364.37 30.588, 478537.98 7462364.9 30.608, 478538.3 7462365.4 30.628, 478538.65 7462365.88 30.648, 478539.03 7462366.35 30.658, 478539.42 7462366.79 30.678, 478539.86 7462367.2 30.698, 478539.87 7462367.22 30.698, 478539.89 7462367.23 30.698, 478539.9 7462367.25 30.698, 478539.92 7462367.26 30.698, 478539.93 7462367.28 30.698, 478539.95 7462367.29 30.698, 478539.96 7462367.31 30.698, 478539.98 7462367.32 30.698, 478540 7462367.33 30.698, 478540.01 7462367.35 30.698, 478540.03 7462367.36 30.708, 478540.04 7462367.38 30.708, 478540.06 7462367.39 30.708, 478540.08 7462367.41 30.708, 478540.1 7462367.43 30.708, 478540.12 7462367.44 30.708, 478540.13 7462367.46 30.708, 478540.15 7462367.47 30.708, 478540.16 7462367.49 30.708, 478540.18 7462367.5 30.708, 478540.2 7462367.51 30.708, 478540.21 7462367.53 30.708, 478540.23 7462367.54 30.708, 478540.25 7462367.56 30.708, 478540.27 7462367.58 30.708, 478540.29 7462367.59 30.708, 478540.77 7462367.98 30.728, 478541.25 7462368.31 30.748, 478541.77 7462368.63 30.758, 478542.29 7462368.91 30.768, 478542.83 7462369.18 30.788, 478543.38 7462369.4 30.798, 478543.94 7462369.6 30.808, 478544.52 7462369.77 30.818, 478545.1 7462369.89 30.828, 478545.69 7462370 30.828, 478546.28 7462370.06 30.838, 478546.88 7462370.1 30.838, 478547.48 7462370.09 30.848, 478547.51 7462370.09 30.848, 478547.54 7462370.09 30.848, 478547.57 7462370.09 30.848, 478547.6 7462370.09 30.848, 478547.63 7462370.09 30.848, 478547.66 7462370.09 30.848, 478547.69 7462370.09 30.848, 478547.72 7462370.09 30.848, 478547.74 7462370.08 30.848, 478547.77 7462370.08 30.848, 478547.8 7462370.08 30.848, 478547.83 7462370.08 30.848, 478547.86 7462370.08 30.848, 478547.89 7462370.08 30.848, 478547.92 7462370.08 30.848, 478547.94 7462370.07 30.848, 478547.97 7462370.07 30.848, 478548 7462370.07 30.848, 478548.03 7462370.07 30.848, 478548.06 7462370.07 30.848, 478548.67 7462369.99 30.848, 478549.25 7462369.9 30.848, 478549.83 7462369.76 30.838, 478550.41 7462369.61 30.838, 478550.97 7462369.41 30.838, 478551.53 7462369.18 30.828, 478552.07 7462368.92 30.818, 478552.15 7462368.88 30.818, 478552.27 7462368.82 30.818, 478552.4 7462368.75 30.818, 478552.58 7462368.64 30.818, 478553.09 7462368.33 30.818, 478553.59 7462367.98 30.818, 478554.05 7462367.62 30.818, 478554.5 7462367.23 30.818, 478554.93 7462366.8 30.818, 478555.33 7462366.36 30.808, 478555.71 7462365.9 30.808, 478556.06 7462365.41 30.798, 478556.07 7462365.39 30.798, 478556.09 7462365.37 30.798, 478556.1 7462365.35 30.798, 478556.11 7462365.33 30.798, 478556.13 7462365.31 30.798, 478556.14 7462365.29 30.798, 478556.15 7462365.27 30.798, 478556.16 7462365.25 30.798, 478556.17 7462365.23 30.798, 478556.18 7462365.21 30.798, 478556.2 7462365.19 30.798, 478556.21 7462365.17 30.798, 478556.22 7462365.15 30.798, 478556.24 7462365.13 30.798, 478556.25 7462365.11 30.798, 478556.26 7462365.09 30.798, 478556.28 7462365.07 30.798, 478556.29 7462365.05 30.798, 478556.3 7462365.03 30.798, 478556.31 7462365.01 30.798, 478556.33 7462364.99 30.798, 478556.34 7462364.97 30.798, 478556.35 7462364.95 30.798, 478556.36 7462364.93 30.798, 478556.38 7462364.91 30.788, 478556.68 7462364.4 30.788, 478556.94 7462363.86 30.778, 478557.18 7462363.32 30.758, 478557.37 7462362.75 30.748, 478557.55 7462362.18 30.738, 478557.69 7462361.6 30.728, 478557.8 7462361.01 30.708, 478557.88 7462360.42 30.698, 478557.89 7462360.39 30.698, 478557.89 7462360.37 30.688, 478557.88 7462360.34 30.688, 478557.88 7462360.31 30.688, 478557.89 7462360.29 30.688, 478557.89 7462360.26 30.688, 478557.89 7462360.23 30.688, 478557.89 7462360.2 30.688, 478557.9 7462360.18 30.688, 478557.9 7462360.15 30.688, 478557.9 7462360.12 30.688, 478557.9 7462360.09 30.688, 478557.9 7462360.06 30.688, 478557.91 7462360.04 30.688, 478557.91 7462360.01 30.688, 478557.91 7462359.98 30.678, 478557.91 7462359.95 30.678, 478557.91 7462359.92 30.678, 478557.92 7462359.9 30.678, 478557.92 7462359.87 30.678, 478557.92 7462359.84 30.678, 478557.93 7462359.23 30.658, 478557.91 7462358.63 30.648, 478557.85 7462358.04 30.628, 478557.76 7462357.44 30.608, 478557.64 7462356.86 30.588, 478557.48 7462356.29 30.578, 478557.3 7462355.72 30.558, 478557.26 7462355.61 30.548, 478557.21 7462355.47 30.548, 478557.15 7462355.34 30.548, 478557.08 7462355.16 30.538, 478556.86 7462354.67 30.518, 478556.83 7462354.62 30.518, 478556.55 7462354.09 30.498, 478556.25 7462353.58 30.478, 478555.92 7462353.09 30.458, 478555.55 7462352.61 30.448, 478555.17 7462352.16 30.428, 478554.76 7462351.72 30.408, 478554.74 7462351.71 30.408, 478554.73 7462351.69 30.408, 478554.71 7462351.68 30.408, 478554.69 7462351.66 30.408, 478554.68 7462351.64 30.408, 478554.66 7462351.63 30.408, 478554.64 7462351.61 30.408, 478554.63 7462351.59 30.408, 478554.61 7462351.58 30.398, 478554.59 7462351.56 30.398, 478554.57 7462351.54 30.398, 478554.54 7462351.52 30.398, 478554.52 7462351.5 30.398, 478554.5 7462351.49 30.398, 478554.49 7462351.47 30.398, 478554.47 7462351.46 30.398, 478554.46 7462351.44 30.398, 478554.44 7462351.43 30.398, 478554.43 7462351.41 30.398, 478554.41 7462351.4 30.398, 478554.39 7462351.38 30.398, 478554.37 7462351.36 30.398, 478554.35 7462351.35 30.388, 478554.34 7462351.33 30.388, 478554.32 7462351.32 30.388, 478553.86 7462350.93 30.378, 478553.39 7462350.57 30.358, 478552.89 7462350.24 30.348, 478552.37 7462349.94 30.328, 478551.84 7462349.66 30.318, 478551.3 7462349.43 30.308, 478550.74 7462349.21 30.298, 478550.17 7462349.03 30.288, 478549.6 7462348.88 30.278, 478549 7462348.77 30.268, 478548.55 7462348.69 30.268, 478548.41 7462348.68 30.268, 478547.82 7462348.63 30.258, 478547.22 7462348.61 30.258, 478546.62 7462348.62 30.248, 478546.6 7462348.63 30.248, 478546.57 7462348.63 30.248, 478546.54 7462348.63 30.248, 478546.51 7462348.63 30.248, 478546.48 7462348.63 30.248, 478546.45 7462348.63 30.248, 478546.43 7462348.64 30.248, 478546.4 7462348.64 30.248, 478546.37 7462348.64 30.248, 478546.34 7462348.64 30.248, 478546.31 7462348.64 30.248, 478546.28 7462348.65 30.248, 478546.25 7462348.65 30.248, 478546.22 7462348.65 30.248, 478546.19 7462348.65 30.248, 478546.16 7462348.65 30.248, 478546.14 7462348.66 30.248, 478546.11 7462348.66 30.248, 478546.08 7462348.66 30.248, 478546.06 7462348.67 30.248, 478545.45 7462348.75 30.248, 478544.86 7462348.86 30.248, 478544.28 7462349 30.258, 478543.71 7462349.19 30.258, 478543.15 7462349.39 30.268, 478542.6 7462349.64 30.268, 478542.23 7462349.82 30.278, 478542.11 7462349.88 30.278, 478542.07 7462349.9 30.278, 478541.97 7462349.95 30.278, 478541.55 7462350.21 30.278, 478541.05 7462350.53 30.278, 478540.57 7462350.88 30.278, 478540.11 7462351.27 30.278, 478539.67 7462351.67 30.278, 478539.26 7462352.09 30.278, 478538.87 7462352.55 30.288, 478538.5 7462353.02 30.288, 478538.49 7462353.04 30.288, 478538.47 7462353.05 30.288, 478538.46 7462353.07 30.288, 478538.45 7462353.09 30.288, 478538.44 7462353.11 30.298, 478538.42 7462353.13 30.298, 478538.41 7462353.15 30.298, 478538.39 7462353.17 30.298, 478538.38 7462353.19 30.298, 478538.36 7462353.21 30.298, 478538.35 7462353.23 30.298, 478538.34 7462353.25 30.298, 478538.32 7462353.27 30.298, 478538.32 7462353.29 30.298, 478538.3 7462353.31 30.298, 478538.29 7462353.33 30.298, 478538.28 7462353.35 30.298, 478538.26 7462353.37 30.298, 478538.25 7462353.39 30.298, 478538.24 7462353.41 30.298, 478538.22 7462353.43 30.298, 478538.21 7462353.45 30.298, 478538.2 7462353.47 30.298, 478538.18 7462353.49 30.298, 478538.17 7462353.51 30.298, 478537.85 7462354.02 30.308, 478537.58 7462354.55 30.318, 478537.32 7462355.09 30.328, 478537.09 7462355.64 30.338, 478536.97 7462356.03 30.348, 478536.91 7462356.21 30.348, 478536.88 7462356.31 30.358, 478536.75 7462356.78 30.368, 478536.63 7462357.37 30.378, 478536.53 7462357.95 30.398, 478536.47 7462358.55 30.408, 478536.47 7462358.58 30.408, 478536.47 7462358.61 30.408, 478536.46 7462358.63 30.408, 478536.46 7462358.66 30.408, 478536.46 7462358.69 30.408, 478536.46 7462358.71 30.418, 478536.46 7462358.74 30.418, 478536.46 7462358.77 30.418, 478536.45 7462358.79 30.418, 478536.45 7462358.82 30.418, 478536.45 7462358.85 30.418, 478536.45 7462358.88 30.418, 478536.45 7462358.91 30.418, 478536.45 7462358.94 30.418, 478536.44 7462358.96 30.418, 478536.44 7462358.99 30.418, 478536.44 7462359.02 30.418, 478536.44 7462359.05 30.418, 478536.44 7462359.08 30.428, 478536.44 7462359.11 30.428, 478536.44 7462359.14 30.428, 478536.45 7462359.74 30.438, 478536.48 7462360.34 30.458, 478536.56 7462360.93 30.478, 478536.66 7462361.52 30.498, 478536.8 7462362.1 30.508, 478536.96 7462362.68 30.528, 478537.11 7462363.09 30.548, 478537.17 7462363.24 30.548, 478538.99 7462362.53 30.768, 478538.95 7462362.41 30.768, 478538.83 7462362.07 30.748, 478538.69 7462361.6 30.738, 478538.58 7462361.13 30.718, 478538.49 7462360.65 30.708, 478538.44 7462360.16 30.688, 478538.41 7462359.68 30.668, 478538.4 7462359.19 30.658, 478538.4 7462359.16 30.658, 478538.4 7462359.13 30.658, 478538.4 7462359.1 30.658, 478538.4 7462359.07 30.658, 478538.4 7462359.04 30.658, 478538.4 7462359.02 30.648, 478538.41 7462358.99 30.648, 478538.41 7462358.96 30.648, 478538.41 7462358.93 30.648, 478538.41 7462358.9 30.648, 478538.41 7462358.87 30.648, 478538.41 7462358.84 30.648, 478538.42 7462358.82 30.648, 478538.42 7462358.79 30.648, 478538.42 7462358.76 30.648, 478538.42 7462358.73 30.648, 478538.42 7462358.7 30.648, 478538.47 7462358.21 30.628, 478538.55 7462357.73 30.618, 478538.66 7462357.26 30.608, 478538.75 7462356.87 30.598, 478538.78 7462356.79 30.588, 478538.83 7462356.64 30.588, 478538.94 7462356.32 30.578, 478539.12 7462355.86 30.568, 478539.32 7462355.42 30.568, 478539.56 7462354.99 30.558, 478539.8 7462354.58 30.548, 478539.82 7462354.56 30.548, 478539.83 7462354.54 30.548, 478539.84 7462354.52 30.548, 478539.86 7462354.5 30.548, 478539.87 7462354.48 30.548, 478539.88 7462354.46 30.548, 478539.89 7462354.44 30.548, 478539.91 7462354.43 30.548, 478539.92 7462354.41 30.548, 478539.93 7462354.39 30.548, 478539.94 7462354.37 30.548, 478539.96 7462354.36 30.548, 478539.97 7462354.34 30.548, 478539.98 7462354.32 30.548, 478539.99 7462354.3 30.548, 478540.01 7462354.29 30.548, 478540.02 7462354.27 30.548, 478540.03 7462354.25 30.548, 478540.04 7462354.23 30.548, 478540.06 7462354.22 30.548, 478540.07 7462354.2 30.548, 478540.08 7462354.18 30.548, 478540.39 7462353.78 30.538, 478540.71 7462353.42 30.538, 478541.04 7462353.07 30.538, 478541.4 7462352.74 30.538, 478541.78 7462352.42 30.538, 478542.17 7462352.14 30.538, 478542.58 7462351.87 30.538, 478542.92 7462351.67 30.548, 478543 7462351.62 30.548, 478543.03 7462351.61 30.548, 478543.13 7462351.56 30.548, 478543.44 7462351.4 30.538, 478543.89 7462351.21 30.528, 478544.34 7462351.04 30.518, 478544.8 7462350.89 30.518, 478545.28 7462350.78 30.508, 478545.76 7462350.68 30.508, 478546.24 7462350.62 30.508, 478546.27 7462350.62 30.508, 478546.29 7462350.61 30.508, 478546.32 7462350.61 30.508, 478546.35 7462350.61 30.508, 478546.38 7462350.61 30.508, 478546.4 7462350.6 30.508, 478546.43 7462350.6 30.508, 478546.46 7462350.6 30.508, 478546.49 7462350.6 30.508, 478546.52 7462350.6 30.508, 478546.54 7462350.59 30.508, 478546.57 7462350.59 30.508, 478546.6 7462350.59 30.508, 478546.63 7462350.59 30.508, 478546.66 7462350.58 30.508, 478546.69 7462350.58 30.508, 478546.71 7462350.57 30.508, 478547.22 7462350.57 30.508, 478547.71 7462350.58 30.508, 478548.19 7462350.62 30.518, 478548.3 7462350.64 30.518, 478548.67 7462350.69 30.518, 478549.15 7462350.78 30.528, 478549.62 7462350.91 30.528, 478550.09 7462351.06 30.538, 478550.54 7462351.23 30.548, 478551 7462351.43 30.558, 478551.43 7462351.66 30.568, 478551.85 7462351.9 30.588, 478552.25 7462352.18 30.598, 478552.64 7462352.47 30.608, 478553.02 7462352.78 30.628, 478553.04 7462352.79 30.628, 478553.05 7462352.81 30.628, 478553.07 7462352.82 30.628, 478553.09 7462352.84 30.628, 478553.11 7462352.85 30.628, 478553.12 7462352.87 30.628, 478553.14 7462352.88 30.628, 478553.15 7462352.9 30.628, 478553.17 7462352.91 30.628, 478553.18 7462352.93 30.628, 478553.2 7462352.94 30.628, 478553.22 7462352.96 30.638, 478553.24 7462352.98 30.638, 478553.26 7462353 30.638, 478553.28 7462353.02 30.638, 478553.3 7462353.04 30.638, 478553.32 7462353.06 30.638, 478553.34 7462353.08 30.638, 478553.36 7462353.1 30.638, 478553.38 7462353.11 30.638, 478553.71 7462353.47 30.658, 478554.02 7462353.84 30.668, 478554.33 7462354.23 30.688, 478554.6 7462354.63 30.708, 478554.84 7462355.05 30.728, 478555.08 7462355.49 30.738, 478555.1 7462355.53 30.748, 478555.28 7462355.92 30.758, 478555.33 7462356.06 30.768, 478555.38 7462356.17 30.768, 478555.42 7462356.28 30.778, 478555.45 7462356.38 30.778, 478555.61 7462356.84 30.788, 478555.73 7462357.32 30.808, 478555.84 7462357.8 30.828, 478555.91 7462358.28 30.838, 478555.95 7462358.77 30.858, 478555.97 7462359.25 30.868, 478555.96 7462359.74 30.888, 478555.96 7462359.77 30.888, 478555.96 7462359.8 30.888, 478555.96 7462359.83 30.888, 478555.96 7462359.86 30.888, 478555.95 7462359.88 30.888, 478555.95 7462359.91 30.888, 478555.95 7462359.94 30.888, 478555.95 7462359.97 30.898, 478555.95 7462360 30.898, 478555.94 7462360.02 30.898, 478555.94 7462360.05 30.898, 478555.94 7462360.08 30.898, 478555.94 7462360.11 30.898, 478555.93 7462360.13 30.898, 478555.93 7462360.16 30.898, 478555.93 7462360.19 30.898, 478555.92 7462360.22 30.898, 478555.87 7462360.71 30.918, 478555.78 7462361.19 30.928, 478555.67 7462361.67 30.938, 478555.52 7462362.13 30.948, 478555.35 7462362.59 30.958, 478555.16 7462363.04 30.968, 478554.94 7462363.47 30.978, 478554.7 7462363.9 30.988, 478554.69 7462363.92 30.988, 478554.68 7462363.94 30.988, 478554.66 7462363.97 30.988, 478554.65 7462363.99 30.988, 478554.64 7462364.01 30.988, 478554.63 7462364.03 30.988, 478554.62 7462364.05 30.988, 478554.61 7462364.07 30.988, 478554.59 7462364.09 30.988, 478554.58 7462364.11 30.988, 478554.57 7462364.13 30.988, 478554.55 7462364.15 30.988, 478554.54 7462364.17 30.988, 478554.53 7462364.19 30.988, 478554.51 7462364.21 30.988, 478554.5 7462364.23 30.988, 478554.49 7462364.25 30.988, 478554.47 7462364.26 30.988, 478554.46 7462364.28 30.988, 478554.45 7462364.3 30.988, 478554.15 7462364.71 30.998, 478553.84 7462365.08 30.998, 478553.52 7462365.44 30.998, 478553.17 7462365.79 31.008, 478552.8 7462366.11 31.008, 478552.42 7462366.41 30.998, 478552.02 7462366.69 30.998, 478551.6 7462366.95 30.998, 478551.45 7462367.03 30.998, 478551.34 7462367.09 30.988, 478551.24 7462367.14 30.998, 478551.17 7462367.18 30.998, 478550.73 7462367.39 31.008, 478550.29 7462367.58 31.018, 478549.82 7462367.73 31.018, 478549.35 7462367.87 31.028, 478548.87 7462367.97 31.028, 478548.39 7462368.05 31.028, 478547.91 7462368.11 31.028, 478547.88 7462368.11 31.028, 478547.85 7462368.11 31.028, 478547.83 7462368.12 31.028, 478547.8 7462368.12 31.028, 478547.77 7462368.12 31.028, 478547.74 7462368.12 31.028, 478547.71 7462368.12 31.028, 478547.68 7462368.12 31.028, 478547.66 7462368.13 31.028, 478547.63 7462368.13 31.028, 478547.6 7462368.13 31.028, 478547.57 7462368.13 31.028, 478547.54 7462368.13 31.028, 478547.51 7462368.13 31.028, 478547.48 7462368.13 31.028, 478547.45 7462368.13 31.028, 478547.42 7462368.13 31.028, 478546.93 7462368.14 31.028, 478546.44 7462368.11 31.028, 478545.96 7462368.05 31.018, 478545.48 7462367.97 31.018, 478545 7462367.86 31.008, 478544.53 7462367.73 30.998, 478544.07 7462367.57 30.998, 478543.62 7462367.38 30.988, 478543.19 7462367.18 30.978, 478542.75 7462366.94 30.958, 478542.34 7462366.68 30.948, 478541.94 7462366.4 30.938, 478541.56 7462366.1 30.918, 478541.54 7462366.09 30.918, 478541.53 7462366.07 30.918, 478541.51 7462366.06 30.918, 478541.5 7462366.04 30.918, 478541.48 7462366.03 30.918, 478541.46 7462366.01 30.918, 478541.44 7462366 30.918, 478541.43 7462365.98 30.918, 478541.41 7462365.97 30.918, 478541.39 7462365.95 30.918, 478541.37 7462365.94 30.918, 478541.36 7462365.92 30.908, 478541.34 7462365.91 30.908, 478541.33 7462365.89 30.908, 478541.31 7462365.88 30.908, 478541.29 7462365.86 30.908, 478541.27 7462365.85 30.908, 478541.26 7462365.83 30.908, 478541.23 7462365.82 30.908, 478541.22 7462365.8 30.908, 478541.2 7462365.79 30.908, 478541.19 7462365.77 30.908, 478540.84 7462365.44 30.888, 478540.52 7462365.07 30.878, 478540.21 7462364.69 30.858, 478539.92 7462364.29 30.838, 478539.66 7462363.89 30.828, 478539.42 7462363.46 30.808, 478539.2 7462363.02 30.788, 478539.04 7462362.64 30.778, 478539.01 7462362.57 30.768, 478538.99 7462362.53 30.768, 478537.17 7462363.24 30.548)</t>
  </si>
  <si>
    <t>2020-02-25</t>
  </si>
  <si>
    <t>[13070]</t>
  </si>
  <si>
    <t>['KV13070 S1D1 m8-20']</t>
  </si>
  <si>
    <t>LINESTRING (258767.47779315856 6652449.200214199, 258771.38311935874 6652452.619349425, 258776.6439271573 6652456.028069716, 258777.0220136659 6652454.953528227, 258771.65362423722 6652449.898916698, 258767.59940328143 6652448.4886562815)</t>
  </si>
  <si>
    <t>POLYGON ((258767.47779315856 6652449.200214199, 258771.38311935874 6652452.619349425, 258776.6439271573 6652456.028069716, 258777.0220136659 6652454.953528227, 258771.65362423722 6652449.898916698, 258767.59940328143 6652448.4886562815, 258767.47779315856 6652449.200214199))</t>
  </si>
  <si>
    <t>['KV13070 S1D1 m3083-3094']</t>
  </si>
  <si>
    <t>LINESTRING (258471.69831006386 6654566.002587016, 258466.74796871928 6654567.298473676, 258461.16276713644 6654567.965836157, 258461.61509049928 6654569.142413074, 258466.7253331886 6654569.176271577, 258471.74307422273 6654567.797790557, 258472.11639756215 6654566.656485704)</t>
  </si>
  <si>
    <t>POLYGON ((258471.69831006386 6654566.002587016, 258466.74796871928 6654567.298473676, 258461.16276713644 6654567.965836157, 258461.61509049928 6654569.142413074, 258466.7253331886 6654569.176271577, 258471.74307422273 6654567.797790557, 258472.11639756215 6654566.656485704, 258471.69831006386 6654566.002587016))</t>
  </si>
  <si>
    <t>2020-02-27</t>
  </si>
  <si>
    <t>['KV13070 S1D1 m4092-4132']</t>
  </si>
  <si>
    <t>LINESTRING (258123.21948037 6654999.681043783, 258125.2944641271 6655003.822519202, 258128.20422390845 6655008.054428094, 258131.45027549233 6655012.375965377, 258134.9923483064 6655015.404861364, 258144.12427829648 6655021.775084795, 258149.14364779013 6655023.847105596, 258153.97188160726 6655024.200530237, 258154.05898150298 6655023.223145483, 258151.5004172513 6655022.039560503, 258141.53025620923 6655017.745827946, 258136.1124724749 6655014.125171788, 258130.70762393932 6655008.48214913, 258127.63318619697 6655003.959487629, 258124.12237776292 6654999.699995107)</t>
  </si>
  <si>
    <t>POLYGON ((258123.21948037 6654999.681043783, 258125.2944641271 6655003.822519202, 258128.20422390845 6655008.054428094, 258131.45027549233 6655012.375965377, 258134.9923483064 6655015.404861364, 258144.12427829648 6655021.775084795, 258149.14364779013 6655023.847105596, 258153.97188160726 6655024.200530237, 258154.05898150298 6655023.223145483, 258151.5004172513 6655022.039560503, 258141.53025620923 6655017.745827946, 258136.1124724749 6655014.125171788, 258130.70762393932 6655008.48214913, 258127.63318619697 6655003.959487629, 258124.12237776292 6654999.699995107, 258123.21948037 6654999.681043783))</t>
  </si>
  <si>
    <t>['KV13070 S1D1 m4145-4162']</t>
  </si>
  <si>
    <t>LINESTRING (258167.8618395392 6655025.244005978, 258170.6524833918 6655025.440708822, 258175.78576255694 6655024.724302799, 258181.56970719455 6655023.596665886, 258184.87317073924 6655021.280310322, 258183.94110664786 6655020.816512231, 258170.89965439614 6655023.4029744575, 258167.97764786883 6655024.7896648925)</t>
  </si>
  <si>
    <t>POLYGON ((258167.8618395392 6655025.244005978, 258170.6524833918 6655025.440708822, 258175.78576255694 6655024.724302799, 258181.56970719455 6655023.596665886, 258184.87317073924 6655021.280310322, 258183.94110664786 6655020.816512231, 258170.89965439614 6655023.4029744575, 258167.97764786883 6655024.7896648925, 258167.8618395392 6655025.244005978))</t>
  </si>
  <si>
    <t>2020-02-28</t>
  </si>
  <si>
    <t>[15185]</t>
  </si>
  <si>
    <t>['KV15185 S12D1 m778-784']</t>
  </si>
  <si>
    <t>LINESTRING (266480.93633089913 6643450.977511785, 266477.6667555582 6643450.424431243, 266474.4864921301 6643448.972430053, 266475.0288818665 6643448.044929926, 266478.3241588492 6643447.758927729, 266481.067925652 6643448.255843092, 266481.6743864535 6643449.501697841, 266480.926510373 6643450.821805392)</t>
  </si>
  <si>
    <t>POLYGON ((266480.93633089913 6643450.977511785, 266477.6667555582 6643450.424431243, 266474.4864921301 6643448.972430053, 266475.0288818665 6643448.044929926, 266478.3241588492 6643447.758927729, 266481.067925652 6643448.255843092, 266481.6743864535 6643449.501697841, 266480.926510373 6643450.821805392, 266480.93633089913 6643450.977511785))</t>
  </si>
  <si>
    <t>2020-02-29</t>
  </si>
  <si>
    <t>['KV11540 S3D1 m8-19']</t>
  </si>
  <si>
    <t>LINESTRING (265375.4184872303 6647138.804105223, 265373.3707851765 6647136.153575498, 265376.560392022 6647133.1037202515, 265381.28277480905 6647129.275452774, 265380.78930096235 6647130.9594097, 265375.7695942817 6647138.413331007)</t>
  </si>
  <si>
    <t>POLYGON ((265375.4184872303 6647138.804105223, 265373.3707851765 6647136.153575498, 265376.560392022 6647133.1037202515, 265381.28277480905 6647129.275452774, 265380.78930096235 6647130.9594097, 265375.7695942817 6647138.413331007, 265375.4184872303 6647138.804105223))</t>
  </si>
  <si>
    <t>2020-03-02</t>
  </si>
  <si>
    <t>[17945]</t>
  </si>
  <si>
    <t>['KV17945 S5D1 m5-12']</t>
  </si>
  <si>
    <t>LINESTRING (256585.39611591146 6650938.692536017, 256580.1076473757 6650936.036710255, 256580.85835586744 6650933.731101185, 256586.86556480452 6650935.892793056, 256585.7598829497 6650938.512191996)</t>
  </si>
  <si>
    <t>POLYGON ((256585.39611591146 6650938.692536017, 256580.1076473757 6650936.036710255, 256580.85835586744 6650933.731101185, 256586.86556480452 6650935.892793056, 256585.7598829497 6650938.512191996, 256585.39611591146 6650938.692536017))</t>
  </si>
  <si>
    <t>[11887]</t>
  </si>
  <si>
    <t>['KV11887 S1D1 m505-516']</t>
  </si>
  <si>
    <t>LINESTRING (271670.78876462264 6654410.457055503, 271670.91297938087 6654411.197431024, 271681.0034957391 6654406.899351631, 271679.2374021283 6654403.781961684, 271670.3861282818 6654410.102369017)</t>
  </si>
  <si>
    <t>POLYGON ((271670.78876462264 6654410.457055503, 271670.91297938087 6654411.197431024, 271681.0034957391 6654406.899351631, 271679.2374021283 6654403.781961684, 271670.3861282818 6654410.102369017, 271670.78876462264 6654410.457055503))</t>
  </si>
  <si>
    <t>['KV11887 S2D1 m7-16']</t>
  </si>
  <si>
    <t>LINESTRING (271705.00431595714 6654385.852129486, 271706.51427033916 6654388.449459089, 271713.99671342043 6654381.9905784875, 271713.72268979833 6654381.181319683, 271704.5340018335 6654385.57978508)</t>
  </si>
  <si>
    <t>POLYGON ((271705.00431595714 6654385.852129486, 271706.51427033916 6654388.449459089, 271713.99671342043 6654381.9905784875, 271713.72268979833 6654381.181319683, 271704.5340018335 6654385.57978508, 271705.00431595714 6654385.852129486))</t>
  </si>
  <si>
    <t>['KV11887 S1D1 m524 KD1 m10-39']</t>
  </si>
  <si>
    <t>LINESTRING (271690.1779085464 6654401.0055729505, 271693.2269854882 6654401.7881765235, 271695.378461268 6654401.364687902, 271696.9767973555 6654400.50650733, 271698.08836378483 6654399.019717579, 271698.30013480387 6654397.376493898, 271698.10183365433 6654395.077581849, 271696.1135772411 6654392.6215175195, 271694.2267500755 6654392.436867764, 271692.4261929798 6654392.470181337, 271689.9255893155 6654394.578894818, 271688.86160537065 6654396.743816299, 271689.7213667724 6654400.955681106)</t>
  </si>
  <si>
    <t>POLYGON ((271690.1779085464 6654401.0055729505, 271693.2269854882 6654401.7881765235, 271695.378461268 6654401.364687902, 271696.9767973555 6654400.50650733, 271698.08836378483 6654399.019717579, 271698.30013480387 6654397.376493898, 271698.10183365433 6654395.077581849, 271696.1135772411 6654392.6215175195, 271694.2267500755 6654392.436867764, 271692.4261929798 6654392.470181337, 271689.9255893155 6654394.578894818, 271688.86160537065 6654396.743816299, 271689.7213667724 6654400.955681106, 271690.1779085464 6654401.0055729505))</t>
  </si>
  <si>
    <t>2025-02-20</t>
  </si>
  <si>
    <t>[14290]</t>
  </si>
  <si>
    <t>['KV14290 S6D1 m264-273']</t>
  </si>
  <si>
    <t>LINESTRING (256126.89730887147 6650426.777670357, 256130.8881661578 6650418.852202685, 256130.98413571846 6650422.598657819, 256130.08635791412 6650428.365309146, 256127.1397335855 6650427.052057511)</t>
  </si>
  <si>
    <t>POLYGON ((256126.89730887147 6650426.777670357, 256130.8881661578 6650418.852202685, 256130.98413571846 6650422.598657819, 256130.08635791412 6650428.365309146, 256127.1397335855 6650427.052057511, 256126.89730887147 6650426.777670357))</t>
  </si>
  <si>
    <t>['KV11887 S2D1 m743-753']</t>
  </si>
  <si>
    <t>LINESTRING (272387.22057108255 6654208.16219896, 272389.58797333867 6654197.900616991, 272394.622120319 6654200.370016331, 272387.6811528747 6654208.368238243)</t>
  </si>
  <si>
    <t>POLYGON ((272387.22057108255 6654208.16219896, 272389.58797333867 6654197.900616991, 272394.622120319 6654200.370016331, 272387.6811528747 6654208.368238243, 272387.22057108255 6654208.16219896))</t>
  </si>
  <si>
    <t>['KV11887 S2D1 m757 KD1 m12-46']</t>
  </si>
  <si>
    <t>LINESTRING (272392.6593117303 6654189.248012257, 272395.9742603257 6654191.890503913, 272398.3265971608 6654192.270087607, 272400.47755774995 6654191.835891575, 272403.6712680409 6654190.064539318, 272405.5101788674 6654185.753025613, 272404.8834036988 6654182.944634755, 272403.6929085734 6654180.617630953, 272399.1282515628 6654178.498853672, 272396.5125800648 6654178.660274103, 272393.88335240603 6654179.872041307, 272392.1177230222 6654181.923712571, 272391.484766384 6654184.821010763, 272392.33558145154 6654188.810226811)</t>
  </si>
  <si>
    <t>POLYGON ((272392.6593117303 6654189.248012257, 272395.9742603257 6654191.890503913, 272398.3265971608 6654192.270087607, 272400.47755774995 6654191.835891575, 272403.6712680409 6654190.064539318, 272405.5101788674 6654185.753025613, 272404.8834036988 6654182.944634755, 272403.6929085734 6654180.617630953, 272399.1282515628 6654178.498853672, 272396.5125800648 6654178.660274103, 272393.88335240603 6654179.872041307, 272392.1177230222 6654181.923712571, 272391.484766384 6654184.821010763, 272392.33558145154 6654188.810226811, 272392.6593117303 6654189.248012257))</t>
  </si>
  <si>
    <t>['KV14290 S6D1 m5-20']</t>
  </si>
  <si>
    <t>LINESTRING (256191.92900692337 6650186.862846447, 256193.1060983744 6650179.972060089, 256193.8625046143 6650173.164887617, 256196.85178081438 6650174.017462578, 256194.6774807643 6650182.113306973, 256192.96227729335 6650186.883995003, 256192.22874426472 6650187.155793548)</t>
  </si>
  <si>
    <t>POLYGON ((256191.92900692337 6650186.862846447, 256193.1060983744 6650179.972060089, 256193.8625046143 6650173.164887617, 256196.85178081438 6650174.017462578, 256194.6774807643 6650182.113306973, 256192.96227729335 6650186.883995003, 256192.22874426472 6650187.155793548, 256191.92900692337 6650186.862846447))</t>
  </si>
  <si>
    <t>['KV11887 S3D1 m101 KD1 m0-63']</t>
  </si>
  <si>
    <t>LINESTRING (272426.0601230181 6654061.33528293, 272422.9279385605 6654059.206233992, 272419.0164495758 6654059.146133766, 272415.6913282767 6654061.148870536, 272413.7887410342 6654065.609445549, 272414.75778316753 6654069.155936422, 272415.167490392 6654070.079677884, 272416.1461673859 6654070.8789910115, 272417.2127945897 6654071.561227653, 272420.81647860655 6654072.712155072, 272422.0802895713 6654072.779317461, 272422.9231457707 6654072.738475037, 272424.0018028108 6654071.801050361, 272426.66802436596 6654069.917131105, 272427.89685405645 6654067.965594363, 272427.6767968257 6654065.578703784, 272427.59855972795 6654064.310724583, 272426.54414018115 6654061.830171482)</t>
  </si>
  <si>
    <t>POLYGON ((272426.0601230181 6654061.33528293, 272422.9279385605 6654059.206233992, 272419.0164495758 6654059.146133766, 272415.6913282767 6654061.148870536, 272413.7887410342 6654065.609445549, 272414.75778316753 6654069.155936422, 272415.167490392 6654070.079677884, 272416.1461673859 6654070.8789910115, 272417.2127945897 6654071.561227653, 272420.81647860655 6654072.712155072, 272422.0802895713 6654072.779317461, 272422.9231457707 6654072.738475037, 272424.0018028108 6654071.801050361, 272426.66802436596 6654069.917131105, 272427.89685405645 6654067.965594363, 272427.6767968257 6654065.578703784, 272427.59855972795 6654064.310724583, 272426.54414018115 6654061.830171482, 272426.0601230181 6654061.33528293))</t>
  </si>
  <si>
    <t>['KV11887 S4D1 m5-15']</t>
  </si>
  <si>
    <t>LINESTRING (272420.27290276834 6654050.292937542, 272425.3473057342 6654050.962348179, 272423.64884729293 6654040.493920564, 272421.6865283287 6654043.986822755, 272419.79007399525 6654050.724668956)</t>
  </si>
  <si>
    <t>POLYGON ((272420.27290276834 6654050.292937542, 272425.3473057342 6654050.962348179, 272423.64884729293 6654040.493920564, 272421.6865283287 6654043.986822755, 272419.79007399525 6654050.724668956, 272420.27290276834 6654050.292937542))</t>
  </si>
  <si>
    <t>['KV14290 S7D1 m255 KD1 m23-68']</t>
  </si>
  <si>
    <t>LINESTRING (256198.20145824275 6650163.708743342, 256201.5882595813 6650163.786761164, 256204.76448120584 6650161.778909844, 256206.02384022757 6650158.088202571, 256205.46256283193 6650155.277154785, 256204.44981296328 6650153.612805224, 256202.19450984028 6650152.4102148665, 256199.8129547817 6650151.673887811, 256195.9317333014 6650153.2815167485, 256194.04482743674 6650156.5557211265, 256193.59409342823 6650157.713541244, 256193.75549912394 6650159.054336264, 256194.0728035392 6650160.463023978, 256194.90470141423 6650161.681379393, 256197.43415533158 6650163.468995499)</t>
  </si>
  <si>
    <t>POLYGON ((256198.20145824275 6650163.708743342, 256201.5882595813 6650163.786761164, 256204.76448120584 6650161.778909844, 256206.02384022757 6650158.088202571, 256205.46256283193 6650155.277154785, 256204.44981296328 6650153.612805224, 256202.19450984028 6650152.4102148665, 256199.8129547817 6650151.673887811, 256195.9317333014 6650153.2815167485, 256194.04482743674 6650156.5557211265, 256193.59409342823 6650157.713541244, 256193.75549912394 6650159.054336264, 256194.0728035392 6650160.463023978, 256194.90470141423 6650161.681379393, 256197.43415533158 6650163.468995499, 256198.20145824275 6650163.708743342))</t>
  </si>
  <si>
    <t>['KV14290 S2D1 m301-314']</t>
  </si>
  <si>
    <t>LINESTRING (256210.56258791345 6650145.625600144, 256218.7826268678 6650136.002684756, 256212.8214034901 6650147.051343714, 256211.52408869637 6650146.768391092, 256210.23991049753 6650145.579883378)</t>
  </si>
  <si>
    <t>POLYGON ((256210.56258791345 6650145.625600144, 256218.7826268678 6650136.002684756, 256212.8214034901 6650147.051343714, 256211.52408869637 6650146.768391092, 256210.23991049753 6650145.579883378, 256210.56258791345 6650145.625600144))</t>
  </si>
  <si>
    <t>['KV11887 S4D1 m114-124']</t>
  </si>
  <si>
    <t>LINESTRING (272436.17320976465 6653941.681589865, 272437.47140550765 6653940.853442558, 272438.50289256533 6653936.882066016, 272440.71570219443 6653932.547518235, 272434.2025014927 6653931.609564724, 272435.3595686944 6653938.203660509, 272435.4083209178 6653941.806936143)</t>
  </si>
  <si>
    <t>POLYGON ((272436.17320976465 6653941.681589865, 272437.47140550765 6653940.853442558, 272438.50289256533 6653936.882066016, 272440.71570219443 6653932.547518235, 272434.2025014927 6653931.609564724, 272435.3595686944 6653938.203660509, 272435.4083209178 6653941.806936143, 272436.17320976465 6653941.681589865))</t>
  </si>
  <si>
    <t>['KV11887 S4D1 m130 KD1 m0-44']</t>
  </si>
  <si>
    <t>LINESTRING (272440.746222525 6653922.061735256, 272443.8799555254 6653920.584428907, 272446.2901793616 6653918.269729511, 272447.5013273596 6653915.939687236, 272447.06221615884 6653913.7226204425, 272446.13984783075 6653910.9324597, 272444.77196201344 6653908.18094981, 272441.7742036189 6653906.780470315, 272436.10475592886 6653907.721993382, 272433.8506132751 6653910.116389247, 272432.32625339285 6653913.3589580245, 272432.9806187537 6653917.885055745, 272435.69483832276 6653920.4976722505, 272440.2944440979 6653922.089607959)</t>
  </si>
  <si>
    <t>POLYGON ((272440.746222525 6653922.061735256, 272443.8799555254 6653920.584428907, 272446.2901793616 6653918.269729511, 272447.5013273596 6653915.939687236, 272447.06221615884 6653913.7226204425, 272446.13984783075 6653910.9324597, 272444.77196201344 6653908.18094981, 272441.7742036189 6653906.780470315, 272436.10475592886 6653907.721993382, 272433.8506132751 6653910.116389247, 272432.32625339285 6653913.3589580245, 272432.9806187537 6653917.885055745, 272435.69483832276 6653920.4976722505, 272440.2944440979 6653922.089607959, 272440.746222525 6653922.061735256))</t>
  </si>
  <si>
    <t>['KV11887 S5D1 m6-16']</t>
  </si>
  <si>
    <t>LINESTRING (272441.7852020612 6653887.810522075, 272442.5415161599 6653887.909006296, 272443.1316497985 6653897.4744650535, 272441.75040546287 6653896.956772234, 272441.34714354423 6653888.060847091)</t>
  </si>
  <si>
    <t>POLYGON ((272441.7852020612 6653887.810522075, 272442.5415161599 6653887.909006296, 272443.1316497985 6653897.4744650535, 272441.75040546287 6653896.956772234, 272441.34714354423 6653888.060847091, 272441.7852020612 6653887.810522075))</t>
  </si>
  <si>
    <t>['KV14290 S2D1 m4-13']</t>
  </si>
  <si>
    <t>LINESTRING (256338.78446026501 6649866.407195966, 256337.41956092164 6649871.902997485, 256335.8249580879 6649876.297056281, 256334.2653478237 6649876.5451267045, 256335.2905769973 6649871.596669159, 256335.7131696024 6649866.60977999, 256338.62415212204 6649866.272573558)</t>
  </si>
  <si>
    <t>POLYGON ((256338.78446026501 6649866.407195966, 256337.41956092164 6649871.902997485, 256335.8249580879 6649876.297056281, 256334.2653478237 6649876.5451267045, 256335.2905769973 6649871.596669159, 256335.7131696024 6649866.60977999, 256338.62415212204 6649866.272573558, 256338.78446026501 6649866.407195966))</t>
  </si>
  <si>
    <t>['KV14290 S3D1 m11 KD1 m0-9', 'KV14290 S3D1 m11 KD1 m24-49']</t>
  </si>
  <si>
    <t>LINESTRING (256337.12361760545 6649857.213009632, 256337.7707198223 6649857.840463628, 256338.9906732935 6649858.139739765, 256341.23447267793 6649856.785493145, 256341.6794113856 6649854.433003853, 256339.50463394384 6649852.242140231, 256338.2365740519 6649852.403963826, 256337.00812409358 6649853.166298514, 256336.08048703923 6649853.897622903, 256335.65459902582 6649855.433523135, 256336.66147941563 6649857.008944495)</t>
  </si>
  <si>
    <t>POLYGON ((256337.12361760545 6649857.213009632, 256337.7707198223 6649857.840463628, 256338.9906732935 6649858.139739765, 256341.23447267793 6649856.785493145, 256341.6794113856 6649854.433003853, 256339.50463394384 6649852.242140231, 256338.2365740519 6649852.403963826, 256337.00812409358 6649853.166298514, 256336.08048703923 6649853.897622903, 256335.65459902582 6649855.433523135, 256336.66147941563 6649857.008944495, 256337.12361760545 6649857.213009632))</t>
  </si>
  <si>
    <t>['KV11887 S5D1 m669-689']</t>
  </si>
  <si>
    <t>LINESTRING (272320.50326422846 6653252.392967927, 272321.8154284403 6653251.787236804, 272316.12141928007 6653232.56643698, 272314.0527983672 6653233.073709147, 272316.5181472604 6653240.446753813, 272317.3060503082 6653243.323352073, 272319.2198878062 6653250.652278808, 272319.63593392295 6653252.31251399)</t>
  </si>
  <si>
    <t>POLYGON ((272320.50326422846 6653252.392967927, 272321.8154284403 6653251.787236804, 272316.12141928007 6653232.56643698, 272314.0527983672 6653233.073709147, 272316.5181472604 6653240.446753813, 272317.3060503082 6653243.323352073, 272319.2198878062 6653250.652278808, 272319.63593392295 6653252.31251399, 272320.50326422846 6653252.392967927))</t>
  </si>
  <si>
    <t>2020-03-03</t>
  </si>
  <si>
    <t>[13622]</t>
  </si>
  <si>
    <t>['KV13622 S3D1 m57 KD1 m55-57']</t>
  </si>
  <si>
    <t>LINESTRING (270884.37885024387 6651689.695871441, 270888.52388231293 6651688.690530641, 270891.2217433639 6651686.122551934, 270891.9782687817 6651681.341520424, 270889.3155080523 6651677.163491508, 270883.6624754553 6651675.7167430995, 270879.62374269846 6651678.434943657, 270878.1678983902 6651681.6069228705, 270878.51326318225 6651684.73409594, 270880.5913641806 6651687.977026897, 270883.7043054601 6651689.65958147)</t>
  </si>
  <si>
    <t>POLYGON ((270884.37885024387 6651689.695871441, 270888.52388231293 6651688.690530641, 270891.2217433639 6651686.122551934, 270891.9782687817 6651681.341520424, 270889.3155080523 6651677.163491508, 270883.6624754553 6651675.7167430995, 270879.62374269846 6651678.434943657, 270878.1678983902 6651681.6069228705, 270878.51326318225 6651684.73409594, 270880.5913641806 6651687.977026897, 270883.7043054601 6651689.65958147, 270884.37885024387 6651689.695871441))</t>
  </si>
  <si>
    <t>['KV13622 S2D1 m4-25']</t>
  </si>
  <si>
    <t>LINESTRING (270899.3788078942 6651688.016827098, 270899.82630655315 6651684.304513, 270919.50827335496 6651690.362807745, 270919.33327423723 6651692.327590232, 270913.1370347127 6651690.6130475085, 270906.80465785135 6651689.052112024, 270898.9863057401 6651687.65040225)</t>
  </si>
  <si>
    <t>['KV13070 S1D1 m335-342']</t>
  </si>
  <si>
    <t>LINESTRING (258824.66672874824 6652761.918769707, 258823.85125429017 6652763.245262755, 258824.41168744076 6652768.390768571, 258825.80049449005 6652768.891926111, 258826.08711590958 6652767.532986728, 258825.99321107418 6652764.981562388, 258825.59368623525 6652761.869355793)</t>
  </si>
  <si>
    <t>POLYGON ((258824.66672874824 6652761.918769707, 258823.85125429017 6652763.245262755, 258824.41168744076 6652768.390768571, 258825.80049449005 6652768.891926111, 258826.08711590958 6652767.532986728, 258825.99321107418 6652764.981562388, 258825.59368623525 6652761.869355793, 258824.66672874824 6652761.918769707))</t>
  </si>
  <si>
    <t>2020-03-05</t>
  </si>
  <si>
    <t>['KV13622 S2D1 m2075-2092']</t>
  </si>
  <si>
    <t>LINESTRING (272601.4506051326 6651397.0147366645, 272614.71220496926 6651387.83543663, 272615.8847487343 6651388.58941596, 272615.59848707507 6651390.036147054, 272602.53959372116 6651398.868013283, 272601.75884779234 6651397.107398724)</t>
  </si>
  <si>
    <t>POLYGON ((272601.4506051326 6651397.0147366645, 272614.71220496926 6651387.83543663, 272615.8847487343 6651388.58941596, 272615.59848707507 6651390.036147054, 272602.53959372116 6651398.868013283, 272601.75884779234 6651397.107398724, 272601.4506051326 6651397.0147366645))</t>
  </si>
  <si>
    <t>['KV13622 S2D1 m992 KD1 m0-40']</t>
  </si>
  <si>
    <t>LINESTRING (272627.80681434093 6651386.950784605, 272630.74019386095 6651388.277377066, 272633.3886612299 6651386.160418848, 272633.79822622164 6651384.259502395, 272633.40103389474 6651382.631568205, 272631.00036311406 6651380.311989166, 272629.7319253652 6651380.457098066, 272628.2195586689 6651381.007999855, 272626.6280422197 6651382.4569641445, 272626.00892731966 6651384.594084359, 272627.0307274943 6651386.630142873)</t>
  </si>
  <si>
    <t>POLYGON ((272627.80681434093 6651386.950784605, 272630.74019386095 6651388.277377066, 272633.3886612299 6651386.160418848, 272633.79822622164 6651384.259502395, 272633.40103389474 6651382.631568205, 272631.00036311406 6651380.311989166, 272629.7319253652 6651380.457098066, 272628.2195586689 6651381.007999855, 272626.6280422197 6651382.4569641445, 272626.00892731966 6651384.594084359, 272627.0307274943 6651386.630142873, 272627.80681434093 6651386.950784605))</t>
  </si>
  <si>
    <t>['KV13622 S3D1 m5-20']</t>
  </si>
  <si>
    <t>LINESTRING (272641.3816763235 6651374.760119297, 272653.1514188685 6651366.644187147, 272653.8178046548 6651367.730798536, 272653.60487024806 6651369.094855899, 272642.6026223813 6651377.118862343, 272641.32865307736 6651375.99151658, 272641.48419571714 6651374.787300213)</t>
  </si>
  <si>
    <t>POLYGON ((272641.3816763235 6651374.760119297, 272653.1514188685 6651366.644187147, 272653.8178046548 6651367.730798536, 272653.60487024806 6651369.094855899, 272642.6026223813 6651377.118862343, 272641.32865307736 6651375.99151658, 272641.48419571714 6651374.787300213, 272641.3816763235 6651374.760119297))</t>
  </si>
  <si>
    <t>[12403]</t>
  </si>
  <si>
    <t>['KV12403 S1D1 m1543-1555']</t>
  </si>
  <si>
    <t>LINESTRING (270317.83421446715 6653065.370452508, 270328.332035479 6653048.136256326, 270323.9762480126 6653046.989384397, 270317.51499318145 6653065.010698686)</t>
  </si>
  <si>
    <t>POLYGON ((270317.83421446715 6653065.370452508, 270328.332035479 6653048.136256326, 270323.9762480126 6653046.989384397, 270317.51499318145 6653065.010698686, 270317.83421446715 6653065.370452508))</t>
  </si>
  <si>
    <t>[17327]</t>
  </si>
  <si>
    <t>['KV17327 S3D1 m2-12']</t>
  </si>
  <si>
    <t>LINESTRING (256809.69644577173 6653857.472341658, 256808.6174073071 6653855.04163407, 256806.43671993146 6653848.137790956, 256810.29534792478 6653847.436641221, 256810.1193619913 6653857.343939124)</t>
  </si>
  <si>
    <t>POLYGON ((256809.69644577173 6653857.472341658, 256808.6174073071 6653855.04163407, 256806.43671993146 6653848.137790956, 256810.29534792478 6653847.436641221, 256810.1193619913 6653857.343939124, 256809.69644577173 6653857.472341658))</t>
  </si>
  <si>
    <t>['KV17327 S2D1 m288 KD1 m13-63']</t>
  </si>
  <si>
    <t>LINESTRING (256803.38933610386 6653839.559900515, 256806.8270036535 6653840.461324437, 256808.22963356992 6653840.06729001, 256809.61246858837 6653839.372999341, 256811.38290348684 6653837.75963948, 256812.09403228047 6653834.86467335, 256811.54287509 6653832.198122064, 256809.8427145729 6653830.288627423, 256808.3711641227 6653829.637322755, 256806.56473422112 6653829.600051252, 256803.0849560715 6653830.354408768, 256802.30851200887 6653831.153919194, 256801.44642367336 6653832.86376192, 256801.01079218384 6653834.243926868, 256800.91443743286 6653835.076782436, 256801.28457606205 6653836.102261428, 256801.9320953165 6653837.935955799, 256802.6074062069 6653839.0865115)</t>
  </si>
  <si>
    <t>POLYGON ((256803.38933610386 6653839.559900515, 256806.8270036535 6653840.461324437, 256808.22963356992 6653840.06729001, 256809.61246858837 6653839.372999341, 256811.38290348684 6653837.75963948, 256812.09403228047 6653834.86467335, 256811.54287509 6653832.198122064, 256809.8427145729 6653830.288627423, 256808.3711641227 6653829.637322755, 256806.56473422112 6653829.600051252, 256803.0849560715 6653830.354408768, 256802.30851200887 6653831.153919194, 256801.44642367336 6653832.86376192, 256801.01079218384 6653834.243926868, 256800.91443743286 6653835.076782436, 256801.28457606205 6653836.102261428, 256801.9320953165 6653837.935955799, 256802.6074062069 6653839.0865115, 256803.38933610386 6653839.559900515))</t>
  </si>
  <si>
    <t>[18425]</t>
  </si>
  <si>
    <t>['KV18425 S1D1 m2599-2609']</t>
  </si>
  <si>
    <t>LINESTRING (256796.86710718527 6653826.118063314, 256793.81439311645 6653821.963437299, 256791.1258786617 6653817.639604364, 256792.1650435852 6653817.425893899, 256799.5004357827 6653823.9116969835, 256797.7505272282 6653825.836439868)</t>
  </si>
  <si>
    <t>POLYGON ((256796.86710718527 6653826.118063314, 256793.81439311645 6653821.963437299, 256791.1258786617 6653817.639604364, 256792.1650435852 6653817.425893899, 256799.5004357827 6653823.9116969835, 256797.7505272282 6653825.836439868, 256796.86710718527 6653826.118063314))</t>
  </si>
  <si>
    <t>[15961]</t>
  </si>
  <si>
    <t>['KV15961 S1D1 m122-127']</t>
  </si>
  <si>
    <t>LINESTRING (270296.51655005116 6654166.6653919695, 270296.64193248993 6654168.678538914, 270291.5871889016 6654168.245272243, 270291.5172225889 6654167.121914066, 270295.92305567954 6654165.496481611, 270296.4588415768 6654166.278193563)</t>
  </si>
  <si>
    <t>POLYGON ((270296.51655005116 6654166.6653919695, 270296.64193248993 6654168.678538914, 270291.5871889016 6654168.245272243, 270291.5172225889 6654167.121914066, 270295.92305567954 6654165.496481611, 270296.4588415768 6654166.278193563, 270296.51655005116 6654166.6653919695))</t>
  </si>
  <si>
    <t>['KV15961 S1D1 m131 KD1 m35-72']</t>
  </si>
  <si>
    <t>LINESTRING (270320.44174429844 6654162.55147389, 270318.27641818527 6654159.158023633, 270314.83278041333 6654156.904905316, 270309.93203782314 6654156.607173343, 270305.4365965029 6654159.131408483, 270303.33932831185 6654161.595614976, 270302.6050684972 6654165.538104515, 270302.9685261262 6654168.407333126, 270304.05748261814 6654170.070165611, 270306.17731367983 6654172.193574571, 270307.8465104593 6654173.284327027, 270310.63530160306 6654174.372346711, 270312.6038729148 6654174.696368204, 270318.03276831075 6654172.147504976, 270321.0336013228 6654166.031747303, 270320.3375669486 6654163.306049835)</t>
  </si>
  <si>
    <t>POLYGON ((270320.44174429844 6654162.55147389, 270318.27641818527 6654159.158023633, 270314.83278041333 6654156.904905316, 270309.93203782314 6654156.607173343, 270305.4365965029 6654159.131408483, 270303.33932831185 6654161.595614976, 270302.6050684972 6654165.538104515, 270302.9685261262 6654168.407333126, 270304.05748261814 6654170.070165611, 270306.17731367983 6654172.193574571, 270307.8465104593 6654173.284327027, 270310.63530160306 6654174.372346711, 270312.6038729148 6654174.696368204, 270318.03276831075 6654172.147504976, 270321.0336013228 6654166.031747303, 270320.3375669486 6654163.306049835, 270320.44174429844 6654162.55147389))</t>
  </si>
  <si>
    <t>['KV150 S2D1 m274-289']</t>
  </si>
  <si>
    <t>LINESTRING (256617.72703062493 6650953.527035137, 256632.81269210982 6650959.9600856, 256633.27368316136 6650958.958008197, 256618.82759728804 6650950.829801932, 256617.31342216878 6650952.951175048)</t>
  </si>
  <si>
    <t>POLYGON ((256617.72703062493 6650953.527035137, 256632.81269210982 6650959.9600856, 256633.27368316136 6650958.958008197, 256618.82759728804 6650950.829801932, 256617.31342216878 6650952.951175048, 256617.72703062493 6650953.527035137))</t>
  </si>
  <si>
    <t>['KV12403 S2D1 m5-16']</t>
  </si>
  <si>
    <t>LINESTRING (270345.6954137082 6653023.060897796, 270347.0224288069 6653026.205117441, 270356.6924844164 6653018.702992645, 270356.126528527 6653018.068290451, 270350.8591489955 6653020.271931109, 270345.76659596246 6653022.944812666)</t>
  </si>
  <si>
    <t>POLYGON ((270345.6954137082 6653023.060897796, 270347.0224288069 6653026.205117441, 270356.6924844164 6653018.702992645, 270356.126528527 6653018.068290451, 270350.8591489955 6653020.271931109, 270345.76659596246 6653022.944812666, 270345.6954137082 6653023.060897796))</t>
  </si>
  <si>
    <t>['KV12403 S1D1 m1559 KD1 m13-74']</t>
  </si>
  <si>
    <t>LINESTRING (270327.8041443296 6653026.429965807, 270325.45694888465 6653030.919438067, 270325.4413260956 6653033.097675353, 270326.25622997194 6653035.30237193, 270328.0598653064 6653037.735824051, 270332.95473914564 6653038.815648862, 270335.86114506924 6653037.551686858, 270338.2107172257 6653035.529639934, 270338.8883689904 6653034.359748351, 270339.4642520412 6653031.554869311, 270337.73163743655 6653027.832963783, 270336.3433324369 6653026.043582217, 270332.1437335238 6653024.886976825, 270328.1682400402 6653026.250985288)</t>
  </si>
  <si>
    <t>POLYGON ((270327.8041443296 6653026.429965807, 270325.45694888465 6653030.919438067, 270325.4413260956 6653033.097675353, 270326.25622997194 6653035.30237193, 270328.0598653064 6653037.735824051, 270332.95473914564 6653038.815648862, 270335.86114506924 6653037.551686858, 270338.2107172257 6653035.529639934, 270338.8883689904 6653034.359748351, 270339.4642520412 6653031.554869311, 270337.73163743655 6653027.832963783, 270336.3433324369 6653026.043582217, 270332.1437335238 6653024.886976825, 270328.1682400402 6653026.250985288, 270327.8041443296 6653026.429965807))</t>
  </si>
  <si>
    <t>[10464]</t>
  </si>
  <si>
    <t>['KV10464 S1D1 m11-19']</t>
  </si>
  <si>
    <t>LINESTRING (270316.55688619486 6653305.373532066, 270315.870301089 6653306.398838325, 270319.9555349989 6653306.892591916, 270323.93570298736 6653306.868113734, 270323.87961673574 6653305.967202369, 270318.6902276879 6653304.648947342, 270316.6294068348 6653305.369017151)</t>
  </si>
  <si>
    <t>POLYGON ((270316.55688619486 6653305.373532066, 270315.870301089 6653306.398838325, 270319.9555349989 6653306.892591916, 270323.93570298736 6653306.868113734, 270323.87961673574 6653305.967202369, 270318.6902276879 6653304.648947342, 270316.6294068348 6653305.369017151, 270316.55688619486 6653305.373532066))</t>
  </si>
  <si>
    <t>2020-03-10</t>
  </si>
  <si>
    <t>['KV18425 S1D1 m2365-2376']</t>
  </si>
  <si>
    <t>LINESTRING (256723.39865025005 6653605.259964311, 256722.19470399347 6653600.681897761, 256720.8768852755 6653597.775517599, 256718.09731328135 6653595.557490336, 256718.1099453698 6653597.957986401, 256719.53951774785 6653600.265040513, 256722.8691381091 6653605.216700327)</t>
  </si>
  <si>
    <t>POLYGON ((256723.39865025005 6653605.259964311, 256722.19470399347 6653600.681897761, 256720.8768852755 6653597.775517599, 256718.09731328135 6653595.557490336, 256718.1099453698 6653597.957986401, 256719.53951774785 6653600.265040513, 256722.8691381091 6653605.216700327, 256723.39865025005 6653605.259964311))</t>
  </si>
  <si>
    <t>['KV18425 S1D1 m2338-2349']</t>
  </si>
  <si>
    <t>LINESTRING (256714.1240915409 6653580.50684963, 256714.90715456006 6653580.231829513, 256714.05943837878 6653576.467945067, 256711.87638043298 6653573.015502425, 256710.81184088672 6653571.656077701, 256709.7773692941 6653570.752598232, 256710.9223034447 6653575.624947594, 256713.62058118838 6653580.093295782)</t>
  </si>
  <si>
    <t>POLYGON ((256714.1240915409 6653580.50684963, 256714.90715456006 6653580.231829513, 256714.05943837878 6653576.467945067, 256711.87638043298 6653573.015502425, 256710.81184088672 6653571.656077701, 256709.7773692941 6653570.752598232, 256710.9223034447 6653575.624947594, 256713.62058118838 6653580.093295782, 256714.1240915409 6653580.50684963))</t>
  </si>
  <si>
    <t>['KV18425 S1D1 m2270-2284']</t>
  </si>
  <si>
    <t>LINESTRING (256693.95801909012 6653518.29648644, 256694.38982055953 6653517.452673424, 256690.0575149057 6653505.284986045, 256689.16962041295 6653505.499910099, 256693.39017704557 6653518.266922422)</t>
  </si>
  <si>
    <t>POLYGON ((256693.95801909012 6653518.29648644, 256694.38982055953 6653517.452673424, 256690.0575149057 6653505.284986045, 256689.16962041295 6653505.499910099, 256693.39017704557 6653518.266922422, 256693.95801909012 6653518.29648644))</t>
  </si>
  <si>
    <t>[12212]</t>
  </si>
  <si>
    <t>['KV12212 S1D1 m6-21']</t>
  </si>
  <si>
    <t>LINESTRING (268165.7399638231 6646653.914878584, 268172.87280978775 6646667.726466097)</t>
  </si>
  <si>
    <t>POINT (268169.30638680543 6646660.820672341)</t>
  </si>
  <si>
    <t>[18673]</t>
  </si>
  <si>
    <t>['KV18673 S1D1 m853 KD1 m0-57']</t>
  </si>
  <si>
    <t>LINESTRING (268175.33021912584 6646686.163478946, 268176.8844343663 6646686.970480504, 268179.2092867268 6646686.824744753, 268181.14311504987 6646685.27429941, 268182.5726773108 6646682.929195765, 268182.91533180146 6646680.071603431, 268180.71722054994 6646677.764081448, 268176.8493543483 6646676.834131918, 268173.67409077793 6646678.987193597, 268172.9557542758 6646680.684762782, 268172.8576981205 6646682.790080497, 268174.8873043811 6646686.347565084)</t>
  </si>
  <si>
    <t>POLYGON ((268175.33021912584 6646686.163478946, 268176.8844343663 6646686.970480504, 268179.2092867268 6646686.824744753, 268181.14311504987 6646685.27429941, 268182.5726773108 6646682.929195765, 268182.91533180146 6646680.071603431, 268180.71722054994 6646677.764081448, 268176.8493543483 6646676.834131918, 268173.67409077793 6646678.987193597, 268172.9557542758 6646680.684762782, 268172.8576981205 6646682.790080497, 268174.8873043811 6646686.347565084, 268175.33021912584 6646686.163478946))</t>
  </si>
  <si>
    <t>[12873]</t>
  </si>
  <si>
    <t>['KV12873 S3D1 m1773-1784']</t>
  </si>
  <si>
    <t>LINESTRING (268186.78297505993 6646693.886904922, 268192.3919557631 6646703.439379638)</t>
  </si>
  <si>
    <t>POINT (268189.5874654115 6646698.663142281)</t>
  </si>
  <si>
    <t>2020-03-11</t>
  </si>
  <si>
    <t>[17700]</t>
  </si>
  <si>
    <t>['KV17700 S1D1 m15-21']</t>
  </si>
  <si>
    <t>LINESTRING (267850.63806549105 6648761.730181771, 267846.3612403394 6648767.023538126)</t>
  </si>
  <si>
    <t>POINT (267848.4996529152 6648764.376859948)</t>
  </si>
  <si>
    <t>[20202]</t>
  </si>
  <si>
    <t>['KV20202 S2D1 m1956-1959']</t>
  </si>
  <si>
    <t>LINESTRING (267830.3902765464 6648793.250803068, 267828.66173321544 6648795.994569202)</t>
  </si>
  <si>
    <t>POINT (267829.5260048809 6648794.622686135)</t>
  </si>
  <si>
    <t>2020-03-12</t>
  </si>
  <si>
    <t>['KV20202 S2D1 m882-889']</t>
  </si>
  <si>
    <t>LINESTRING (267984.685135569 6649737.074613469, 267983.31552991335 6649734.458476475, 267981.2947048851 6649732.184722247, 267978.1643148516 6649735.005335212, 267984.74378720834 6649737.4729037145)</t>
  </si>
  <si>
    <t>POLYGON ((267984.685135569 6649737.074613469, 267983.31552991335 6649734.458476475, 267981.2947048851 6649732.184722247, 267978.1643148516 6649735.005335212, 267984.74378720834 6649737.4729037145, 267984.685135569 6649737.074613469))</t>
  </si>
  <si>
    <t>['KV20202 S1D1 m156 KD1 m13-71']</t>
  </si>
  <si>
    <t>LINESTRING (268092.03287778306 6650574.9807589725, 268090.18299231224 6650576.671325585, 268089.0254421714 6650579.747656623, 268089.0339555063 6650582.292957373, 268090.1932272953 6650585.2237962, 268093.63299086154 6650587.341469257, 268096.6728022315 6650587.820535259, 268099.19546165725 6650587.293645977, 268101.19468539464 6650585.660701626, 268102.4911757853 6650583.815069774, 268102.92438507127 6650580.895887758, 268102.9800711225 6650578.12323759, 268102.28774270305 6650576.737471618, 268101.0273925572 6650575.76701662, 268099.11242615036 6650574.011389192, 268096.5199150351 6650573.426069927, 268094.78507869586 6650573.378688203, 268092.30082397326 6650574.517294909)</t>
  </si>
  <si>
    <t>POLYGON ((268092.03287778306 6650574.9807589725, 268090.18299231224 6650576.671325585, 268089.0254421714 6650579.747656623, 268089.0339555063 6650582.292957373, 268090.1932272953 6650585.2237962, 268093.63299086154 6650587.341469257, 268096.6728022315 6650587.820535259, 268099.19546165725 6650587.293645977, 268101.19468539464 6650585.660701626, 268102.4911757853 6650583.815069774, 268102.92438507127 6650580.895887758, 268102.9800711225 6650578.12323759, 268102.28774270305 6650576.737471618, 268101.0273925572 6650575.76701662, 268099.11242615036 6650574.011389192, 268096.5199150351 6650573.426069927, 268094.78507869586 6650573.378688203, 268092.30082397326 6650574.517294909, 268092.03287778306 6650574.9807589725))</t>
  </si>
  <si>
    <t>[17126]</t>
  </si>
  <si>
    <t>['KV17126 S4D1 m466 KD1 m6-42']</t>
  </si>
  <si>
    <t>LINESTRING (267992.9981513538 6650720.318049317, 267991.61503635225 6650719.801984681, 267990.06942277716 6650720.356897539, 267988.5098261192 6650720.600042343, 267986.93356826965 6650721.8268404, 267985.3002229032 6650724.55346667, 267985.41713488486 6650728.822689637, 267987.5254441439 6650731.247233919, 267989.4940952051 6650732.60862019, 267992.5923770284 6650732.503288162, 267994.9662347102 6650731.304542991, 267996.6512915907 6650729.400954357, 267997.521915328 6650726.4877671385, 267996.95992214 6650723.519428667, 267995.33244714665 6650721.522474752, 267993.3630944459 6650720.149963222)</t>
  </si>
  <si>
    <t>POLYGON ((267992.9981513538 6650720.318049317, 267991.61503635225 6650719.801984681, 267990.06942277716 6650720.356897539, 267988.5098261192 6650720.600042343, 267986.93356826965 6650721.8268404, 267985.3002229032 6650724.55346667, 267985.41713488486 6650728.822689637, 267987.5254441439 6650731.247233919, 267989.4940952051 6650732.60862019, 267992.5923770284 6650732.503288162, 267994.9662347102 6650731.304542991, 267996.6512915907 6650729.400954357, 267997.521915328 6650726.4877671385, 267996.95992214 6650723.519428667, 267995.33244714665 6650721.522474752, 267993.3630944459 6650720.149963222, 267992.9981513538 6650720.318049317))</t>
  </si>
  <si>
    <t>2020-03-16</t>
  </si>
  <si>
    <t>['KV155 S1D1 m8519-8533']</t>
  </si>
  <si>
    <t>LINESTRING (263636.49478455493 6641003.31089599, 263650.16026416724 6641008.469364694)</t>
  </si>
  <si>
    <t>POINT (263643.3275243611 6641005.890130342)</t>
  </si>
  <si>
    <t>[10980]</t>
  </si>
  <si>
    <t>['KV10980 S1D1 m1180-1187']</t>
  </si>
  <si>
    <t>LINESTRING (258590.81308056245 6649117.606575482, 258591.07108880306 6649116.919618874, 258592.75182852065 6649115.000540879, 258595.05997815033 6649113.498375374, 258596.60086502484 6649112.872794598, 258594.9295675139 6649114.936442037, 258591.34317742745 6649117.650120827)</t>
  </si>
  <si>
    <t>POLYGON ((258590.81308056245 6649117.606575482, 258591.07108880306 6649116.919618874, 258592.75182852065 6649115.000540879, 258595.05997815033 6649113.498375374, 258596.60086502484 6649112.872794598, 258594.9295675139 6649114.936442037, 258591.34317742745 6649117.650120827, 258590.81308056245 6649117.606575482))</t>
  </si>
  <si>
    <t>[15754]</t>
  </si>
  <si>
    <t>['KV15754 S2D1 m347 KD1 m7-64']</t>
  </si>
  <si>
    <t>LINESTRING (269756.8017668303 6651532.936415467, 269753.55035468575 6651530.213827018, 269750.5946139307 6651529.806401481, 269748.91236629133 6651530.503098579, 269747.88182830927 6651530.86884415, 269746.8651647358 6651531.457035833, 269745.7605274919 6651534.227998861, 269745.9389686951 6651534.663491555, 269746.56996158394 6651537.683498694, 269749.33514720877 6651540.335917247, 269752.0133023453 6651540.515011865, 269753.98308822827 6651539.487746598, 269755.07716181036 6651538.972887655, 269756.63315597357 6651536.251936135, 269756.60695943603 6651533.406353141)</t>
  </si>
  <si>
    <t>POLYGON ((269756.8017668303 6651532.936415467, 269753.55035468575 6651530.213827018, 269750.5946139307 6651529.806401481, 269748.91236629133 6651530.503098579, 269747.88182830927 6651530.86884415, 269746.8651647358 6651531.457035833, 269745.7605274919 6651534.227998861, 269745.9389686951 6651534.663491555, 269746.56996158394 6651537.683498694, 269749.33514720877 6651540.335917247, 269752.0133023453 6651540.515011865, 269753.98308822827 6651539.487746598, 269755.07716181036 6651538.972887655, 269756.63315597357 6651536.251936135, 269756.60695943603 6651533.406353141, 269756.8017668303 6651532.936415467))</t>
  </si>
  <si>
    <t>['KV15754 S1D1 m142 KD1 m28-78']</t>
  </si>
  <si>
    <t>LINESTRING (269443.2156921228 6651352.062289995, 269441.44343226287 6651350.151988054, 269439.3520579648 6651349.233025402, 269435.18223189213 6651348.589018846, 269433.6408958463 6651349.210062559, 269432.0506175926 6651350.213794989, 269430.5426487967 6651351.279381503, 269428.9103842166 6651355.289292749, 269430.55808183335 6651361.126505284, 269434.160846137 6651363.726408317, 269437.41196925775 6651363.836007946, 269437.9407955108 6651363.869975921, 269439.98314362485 6651362.927338645, 269442.39285335457 6651360.599554103, 269443.44457834814 6651359.406145693, 269444.07756844506 6651358.685512476, 269443.535126862 6651352.421972885)</t>
  </si>
  <si>
    <t>POLYGON ((269443.2156921228 6651352.062289995, 269441.44343226287 6651350.151988054, 269439.3520579648 6651349.233025402, 269435.18223189213 6651348.589018846, 269433.6408958463 6651349.210062559, 269432.0506175926 6651350.213794989, 269430.5426487967 6651351.279381503, 269428.9103842166 6651355.289292749, 269430.55808183335 6651361.126505284, 269434.160846137 6651363.726408317, 269437.41196925775 6651363.836007946, 269437.9407955108 6651363.869975921, 269439.98314362485 6651362.927338645, 269442.39285335457 6651360.599554103, 269443.44457834814 6651359.406145693, 269444.07756844506 6651358.685512476, 269443.535126862 6651352.421972885, 269443.2156921228 6651352.062289995))</t>
  </si>
  <si>
    <t>[18639]</t>
  </si>
  <si>
    <t>['KV18639 S5D1 m5-17']</t>
  </si>
  <si>
    <t>LINESTRING (266888.67411596404 6647414.814575079, 266880.39507768315 6647421.946946667, 266882.80673640803 6647424.340766506, 266889.359323047 6647414.916532112)</t>
  </si>
  <si>
    <t>POLYGON ((266888.67411596404 6647414.814575079, 266880.39507768315 6647421.946946667, 266882.80673640803 6647424.340766506, 266889.359323047 6647414.916532112, 266888.67411596404 6647414.814575079))</t>
  </si>
  <si>
    <t>[11303]</t>
  </si>
  <si>
    <t>['KV11303 S1D1 m647-656']</t>
  </si>
  <si>
    <t>LINESTRING (258580.40270446835 6649659.9961868785, 258589.06050784184 6649664.009442625, 258587.95724261642 6649665.578096904, 258586.91356943824 6649668.058662376, 258580.6221408823 6649660.350402633)</t>
  </si>
  <si>
    <t>POLYGON ((258580.40270446835 6649659.9961868785, 258589.06050784184 6649664.009442625, 258587.95724261642 6649665.578096904, 258586.91356943824 6649668.058662376, 258580.6221408823 6649660.350402633, 258580.40270446835 6649659.9961868785))</t>
  </si>
  <si>
    <t>[14899]</t>
  </si>
  <si>
    <t>['KV14899 S1D1 m615-622']</t>
  </si>
  <si>
    <t>LINESTRING (258606.04068027332 6649109.262974816, 258606.08236672048 6649108.355616738, 258613.0028402575 6649107.222247237, 258613.52353488115 6649108.238054622, 258606.0678799309 6649109.250029556)</t>
  </si>
  <si>
    <t>POLYGON ((258606.04068027332 6649109.262974816, 258606.08236672048 6649108.355616738, 258613.0028402575 6649107.222247237, 258613.52353488115 6649108.238054622, 258606.0678799309 6649109.250029556, 258606.04068027332 6649109.262974816))</t>
  </si>
  <si>
    <t>2020-03-17</t>
  </si>
  <si>
    <t>['KV18639 S4D1 m1001 KD1 m0-47']</t>
  </si>
  <si>
    <t>LINESTRING (266868.16763756017 6647436.831966523, 266870.533010205 6647438.491730885, 266872.6563720896 6647438.804486088, 266875.44427926675 6647437.646071963, 266877.1214281101 6647435.5974092325, 266877.08348451555 6647431.970802419, 266875.19160109066 6647430.080187216, 266873.02545544365 6647429.0889926115, 266871.42663550976 6647428.821324296, 266869.3446681677 6647429.254091411, 266867.3390422155 6647433.210550585, 266867.76522271323 6647436.410695447)</t>
  </si>
  <si>
    <t>POLYGON ((266868.16763756017 6647436.831966523, 266870.533010205 6647438.491730885, 266872.6563720896 6647438.804486088, 266875.44427926675 6647437.646071963, 266877.1214281101 6647435.5974092325, 266877.08348451555 6647431.970802419, 266875.19160109066 6647430.080187216, 266873.02545544365 6647429.0889926115, 266871.42663550976 6647428.821324296, 266869.3446681677 6647429.254091411, 266867.3390422155 6647433.210550585, 266867.76522271323 6647436.410695447, 266868.16763756017 6647436.831966523))</t>
  </si>
  <si>
    <t>['KV18639 S4D1 m985-996']</t>
  </si>
  <si>
    <t>LINESTRING (266863.1785937626 6647444.806546671, 266861.0142544275 6647442.687463796, 266854.51687410416 6647451.739794414, 266863.41749922634 6647444.947807831)</t>
  </si>
  <si>
    <t>POLYGON ((266863.1785937626 6647444.806546671, 266861.0142544275 6647442.687463796, 266854.51687410416 6647451.739794414, 266863.41749922634 6647444.947807831, 266863.1785937626 6647444.806546671))</t>
  </si>
  <si>
    <t>['KV18639 S4D1 m6-27']</t>
  </si>
  <si>
    <t>LINESTRING (266395.6404717517 6648150.057419673, 266402.240735301 6648142.583184737, 266407.2558062466 6648135.052815658, 266408.841026542 6648135.108962156, 266404.703390509 6648143.477179762, 266398.8363083974 6648154.210296185, 266395.68756692286 6648150.802585035)</t>
  </si>
  <si>
    <t>POLYGON ((266395.6404717517 6648150.057419673, 266402.240735301 6648142.583184737, 266407.2558062466 6648135.052815658, 266408.841026542 6648135.108962156, 266404.703390509 6648143.477179762, 266398.8363083974 6648154.210296185, 266395.68756692286 6648150.802585035, 266395.6404717517 6648150.057419673))</t>
  </si>
  <si>
    <t>['KV17126 S6D1 m295 KD1 m28-71']</t>
  </si>
  <si>
    <t>LINESTRING (269029.2206898808 6651232.929986955, 269025.78394625 6651232.095408292, 269022.4369756656 6651232.606269827, 269020.39651325124 6651234.833080312, 269019.2896913778 6651236.398532555, 269018.52542530117 6651238.065377358, 269019.1188989723 6651239.6696112035, 269021.3216638459 6651243.082505819, 269023.0084318541 6651244.696502683, 269023.76045917993 6651245.252404873, 269026.9224052788 6651245.456559616, 269030.34750768513 6651244.940813363, 269032.8750740276 6651242.08058673, 269033.49338696216 6651241.2156425165, 269033.27352050075 6651237.701026811, 269029.89120338054 6651232.809880441)</t>
  </si>
  <si>
    <t>POLYGON ((269029.2206898808 6651232.929986955, 269025.78394625 6651232.095408292, 269022.4369756656 6651232.606269827, 269020.39651325124 6651234.833080312, 269019.2896913778 6651236.398532555, 269018.52542530117 6651238.065377358, 269019.1188989723 6651239.6696112035, 269021.3216638459 6651243.082505819, 269023.0084318541 6651244.696502683, 269023.76045917993 6651245.252404873, 269026.9224052788 6651245.456559616, 269030.34750768513 6651244.940813363, 269032.8750740276 6651242.08058673, 269033.49338696216 6651241.2156425165, 269033.27352050075 6651237.701026811, 269029.89120338054 6651232.809880441, 269029.2206898808 6651232.929986955))</t>
  </si>
  <si>
    <t>['KV17126 S5D1 m4-13']</t>
  </si>
  <si>
    <t>LINESTRING (268007.36057890044 6650745.532925382, 268005.2905193968 6650741.308247197, 268002.70128623565 6650737.116187007, 268000.0142424209 6650739.842009788, 268006.93771718384 6650745.671151056)</t>
  </si>
  <si>
    <t>POLYGON ((268007.36057890044 6650745.532925382, 268005.2905193968 6650741.308247197, 268002.70128623565 6650737.116187007, 268000.0142424209 6650739.842009788, 268006.93771718384 6650745.671151056, 268007.36057890044 6650745.532925382))</t>
  </si>
  <si>
    <t>2020-03-18</t>
  </si>
  <si>
    <t>['KV11462 S3D1 m3772-3778']</t>
  </si>
  <si>
    <t>LINESTRING (264619.96867412643 6643964.218434988, 264616.8792739216 6643970.12101559, 264619.6460387001 6643968.593929488, 264620.7181116241 6643964.17078227)</t>
  </si>
  <si>
    <t>POLYGON ((264619.96867412643 6643964.218434988, 264616.8792739216 6643970.12101559, 264619.6460387001 6643968.593929488, 264620.7181116241 6643964.17078227, 264619.96867412643 6643964.218434988))</t>
  </si>
  <si>
    <t>['KV17126 S5D1 m800-810']</t>
  </si>
  <si>
    <t>LINESTRING (268706.5041207185 6651079.8507219, 268715.07173703954 6651086.192168766, 268717.3900803968 6651081.245652448, 268706.8404543334 6651079.584005394)</t>
  </si>
  <si>
    <t>POLYGON ((268706.5041207185 6651079.8507219, 268715.07173703954 6651086.192168766, 268717.3900803968 6651081.245652448, 268706.8404543334 6651079.584005394, 268706.5041207185 6651079.8507219))</t>
  </si>
  <si>
    <t>[13595]</t>
  </si>
  <si>
    <t>['KV13595 S1D1 m4-18']</t>
  </si>
  <si>
    <t>LINESTRING (269227.2246444715 6653233.223511461, 269227.9725242811 6653230.854257248, 269240.5410402678 6653236.064117955, 269239.80028431956 6653237.383344116, 269236.5125730367 6653236.215596342, 269226.8912905171 6653233.4453462325)</t>
  </si>
  <si>
    <t>POLYGON ((269227.2246444715 6653233.223511461, 269227.9725242811 6653230.854257248, 269240.5410402678 6653236.064117955, 269239.80028431956 6653237.383344116, 269236.5125730367 6653236.215596342, 269226.8912905171 6653233.4453462325, 269227.2246444715 6653233.223511461))</t>
  </si>
  <si>
    <t>[16952]</t>
  </si>
  <si>
    <t>['KV16952 S1D1 m10-20']</t>
  </si>
  <si>
    <t>LINESTRING (259551.8619880961 6653767.593380315, 259551.10559512943 6653767.419319694, 259556.8821435396 6653768.036762883, 259560.65862299784 6653769.510515234, 259559.73731575246 6653770.330006553, 259556.8823093586 6653770.359744448, 259550.69830216706 6653768.8195611825, 259551.36748573865 6653767.569772338)</t>
  </si>
  <si>
    <t>POLYGON ((259551.8619880961 6653767.593380315, 259551.10559512943 6653767.419319694, 259556.8821435396 6653768.036762883, 259560.65862299784 6653769.510515234, 259559.73731575246 6653770.330006553, 259556.8823093586 6653770.359744448, 259550.69830216706 6653768.8195611825, 259551.36748573865 6653767.569772338, 259551.8619880961 6653767.593380315))</t>
  </si>
  <si>
    <t>2020-03-19</t>
  </si>
  <si>
    <t>['KV150 S2D1 m4-15']</t>
  </si>
  <si>
    <t>LINESTRING (256854.7319688258 6651092.948379342, 256864.80039119188 6651097.277866574, 256861.49611170572 6651101.929480144, 256855.13631655037 6651095.512927412, 256854.07593454834 6651094.309503982, 256854.7456063223 6651093.070338716)</t>
  </si>
  <si>
    <t>POLYGON ((256854.7319688258 6651092.948379342, 256864.80039119188 6651097.277866574, 256861.49611170572 6651101.929480144, 256855.13631655037 6651095.512927412, 256854.07593454834 6651094.309503982, 256854.7456063223 6651093.070338716, 256854.7319688258 6651092.948379342))</t>
  </si>
  <si>
    <t>[13868]</t>
  </si>
  <si>
    <t>['KV13868 S1D1 m3-16']</t>
  </si>
  <si>
    <t>LINESTRING (263308.2907175202 6648079.817301698, 263308.7101481629 6648084.0897696465, 263309.1417871914 6648092.58261205, 263311.9084770214 6648092.338448615, 263311.15679858276 6648087.082218364, 263310.22710792685 6648081.323701237, 263308.83371399174 6648079.536855832)</t>
  </si>
  <si>
    <t>POLYGON ((263308.2907175202 6648079.817301698, 263308.7101481629 6648084.0897696465, 263309.1417871914 6648092.58261205, 263311.9084770214 6648092.338448615, 263311.15679858276 6648087.082218364, 263310.22710792685 6648081.323701237, 263308.83371399174 6648079.536855832, 263308.2907175202 6648079.817301698))</t>
  </si>
  <si>
    <t>2020-03-20</t>
  </si>
  <si>
    <t>[16145]</t>
  </si>
  <si>
    <t>['KV16145 S1D1 m726-731']</t>
  </si>
  <si>
    <t>LINESTRING (270406.9517378952 6651653.126171847, 270412.5179220893 6651654.432464, 270411.45393973007 6651649.396051126, 270407.519817322 6651651.360203387, 270406.83624875505 6651652.53042326)</t>
  </si>
  <si>
    <t>POLYGON ((270406.9517378952 6651653.126171847, 270412.5179220893 6651654.432464, 270411.45393973007 6651649.396051126, 270407.519817322 6651651.360203387, 270406.83624875505 6651652.53042326, 270406.9517378952 6651653.126171847))</t>
  </si>
  <si>
    <t>[13876]</t>
  </si>
  <si>
    <t>['KV13876 S4D1 m3-10']</t>
  </si>
  <si>
    <t>LINESTRING (264196.2790739237 6648071.672435226, 264202.90284305543 6648068.581009472, 264195.6346434241 6648069.044668121, 264196.39914164296 6648071.62010826)</t>
  </si>
  <si>
    <t>['KV17126 S4D1 m5-16']</t>
  </si>
  <si>
    <t>LINESTRING (267695.49913858715 6650361.720624, 267697.625995788 6650359.71095153, 267704.7309595848 6650367.5157612115, 267704.1029815194 6650368.314549872, 267702.39932203153 6650367.517257622, 267700.40180563857 6650366.414634239, 267694.94439967896 6650362.257988696)</t>
  </si>
  <si>
    <t>POLYGON ((267695.49913858715 6650361.720624, 267697.625995788 6650359.71095153, 267704.7309595848 6650367.5157612115, 267704.1029815194 6650368.314549872, 267702.39932203153 6650367.517257622, 267700.40180563857 6650366.414634239, 267694.94439967896 6650362.257988696, 267695.49913858715 6650361.720624))</t>
  </si>
  <si>
    <t>['KV13876 S4D1 m395-401']</t>
  </si>
  <si>
    <t>LINESTRING (264566.2984079375 6647970.14219782, 264565.3479376262 6647969.398728278, 264566.9007467162 6647964.27478829, 264567.7774014995 6647964.475788718, 264568.13023640856 6647964.643151225, 264566.74676565896 6647970.135974869)</t>
  </si>
  <si>
    <t>POLYGON ((264566.2984079375 6647970.14219782, 264565.3479376262 6647969.398728278, 264566.9007467162 6647964.27478829, 264567.7774014995 6647964.475788718, 264568.13023640856 6647964.643151225, 264566.74676565896 6647970.135974869, 264566.2984079375 6647970.14219782))</t>
  </si>
  <si>
    <t>[18064]</t>
  </si>
  <si>
    <t>['KV18064 S1D1 m7-14']</t>
  </si>
  <si>
    <t>LINESTRING (264563.5317905246 6647945.639879684, 264564.00344682956 6647945.911341598, 264565.45809439797 6647948.1413782695, 264566.7380645382 6647951.063712698, 264565.4143949688 6647951.59468861, 264562.8999338751 6647945.847624952)</t>
  </si>
  <si>
    <t>POLYGON ((264563.5317905246 6647945.639879684, 264564.00344682956 6647945.911341598, 264565.45809439797 6647948.1413782695, 264566.7380645382 6647951.063712698, 264565.4143949688 6647951.59468861, 264562.8999338751 6647945.847624952, 264563.5317905246 6647945.639879684))</t>
  </si>
  <si>
    <t>['KV18064 S1D1 m131-137']</t>
  </si>
  <si>
    <t>LINESTRING (264446.1336878841 6647915.486949205, 264447.66427209 6647915.914255649, 264450.68897569116 6647919.629890257, 264449.62208936445 6647920.669384, 264445.79763873393 6647916.111369443)</t>
  </si>
  <si>
    <t>POLYGON ((264446.1336878841 6647915.486949205, 264447.66427209 6647915.914255649, 264450.68897569116 6647919.629890257, 264449.62208936445 6647920.669384, 264445.79763873393 6647916.111369443, 264446.1336878841 6647915.486949205))</t>
  </si>
  <si>
    <t>2020-03-21</t>
  </si>
  <si>
    <t>['KV10069 S2D1 m19 KD1 m7-30']</t>
  </si>
  <si>
    <t>LINESTRING (262152.7646124799 6649740.365986631, 262153.3882991361 6649738.3826980265, 262151.93626655836 6649737.951317629, 262151.57059074636 6649739.326120683, 262152.74098301464 6649739.998982832)</t>
  </si>
  <si>
    <t>POLYGON ((262152.7646124799 6649740.365986631, 262153.3882991361 6649738.3826980265, 262151.93626655836 6649737.951317629, 262151.57059074636 6649739.326120683, 262152.74098301464 6649739.998982832, 262152.7646124799 6649740.365986631))</t>
  </si>
  <si>
    <t>2020-03-23</t>
  </si>
  <si>
    <t>[15449]</t>
  </si>
  <si>
    <t>['KV15449 S2D1 m125-138']</t>
  </si>
  <si>
    <t>LINESTRING (263318.5129007044 6648124.95893626, 263324.9681692023 6648135.277158336, 263326.33944227593 6648134.44116096, 263323.35545561556 6648128.925850939, 263321.6148323191 6648126.4465430025, 263320.022907907 6648123.9242130155, 263318.7897613192 6648124.639697174)</t>
  </si>
  <si>
    <t>POLYGON ((263318.5129007044 6648124.95893626, 263324.9681692023 6648135.277158336, 263326.33944227593 6648134.44116096, 263323.35545561556 6648128.925850939, 263321.6148323191 6648126.4465430025, 263320.022907907 6648123.9242130155, 263318.7897613192 6648124.639697174, 263318.5129007044 6648124.95893626))</t>
  </si>
  <si>
    <t>2025-04-30T11:43:38Z</t>
  </si>
  <si>
    <t>['KV10069 S3D1 m164-177']</t>
  </si>
  <si>
    <t>LINESTRING (262139.1876824756 6649907.1882553, 262137.8800218689 6649919.098776734, 262139.56092879482 6649919.515408128, 262140.04273304026 6649913.587976025, 262140.5152306196 6649907.515966803, 262139.74263816068 6649907.186022756)</t>
  </si>
  <si>
    <t>POLYGON ((262139.1876824756 6649907.1882553, 262137.8800218689 6649919.098776734, 262139.56092879482 6649919.515408128, 262140.04273304026 6649913.587976025, 262140.5152306196 6649907.515966803, 262139.74263816068 6649907.186022756, 262139.1876824756 6649907.1882553))</t>
  </si>
  <si>
    <t>[10163]</t>
  </si>
  <si>
    <t>['KV10163 S1D1 m723-729']</t>
  </si>
  <si>
    <t>LINESTRING (258487.6671308247 6654573.880414405, 258484.88360037253 6654572.342754759, 258482.4901654009 6654570.176447835, 258482.94473217847 6654569.163846041, 258488.06713574374 6654572.804375357, 258488.1991080233 6654573.622204309)</t>
  </si>
  <si>
    <t>POLYGON ((258487.6671308247 6654573.880414405, 258484.88360037253 6654572.342754759, 258482.4901654009 6654570.176447835, 258482.94473217847 6654569.163846041, 258488.06713574374 6654572.804375357, 258488.1991080233 6654573.622204309, 258487.6671308247 6654573.880414405))</t>
  </si>
  <si>
    <t>['KV15449 S2D1 m141 KD1 m49-53']</t>
  </si>
  <si>
    <t>LINESTRING (263314.95533258223 6648118.720997715, 263318.0151087106 6648116.045981067, 263319.6671687804 6648112.411399997, 263319.82781113975 6648106.77290665, 263318.38600513834 6648104.229797333, 263316.6630621264 6648101.939198851, 263311.7842856236 6648099.772508761, 263308.9898273699 6648099.582934761, 263306.4118366671 6648100.496209464, 263303.9455315593 6648101.92718704, 263301.2792824736 6648104.878526202, 263300.2405579442 6648108.630179732, 263300.57170594414 6648112.6626251405, 263301.81854610424 6648115.664896589, 263303.6631322452 6648117.489848615, 263306.79772548104 6648119.399701581, 263311.1775542676 6648119.644093858, 263314.4444370568 6648118.977053489)</t>
  </si>
  <si>
    <t>POLYGON ((263314.95533258223 6648118.720997715, 263318.0151087106 6648116.045981067, 263319.6671687804 6648112.411399997, 263319.82781113975 6648106.77290665, 263318.38600513834 6648104.229797333, 263316.6630621264 6648101.939198851, 263311.7842856236 6648099.772508761, 263308.9898273699 6648099.582934761, 263306.4118366671 6648100.496209464, 263303.9455315593 6648101.92718704, 263301.2792824736 6648104.878526202, 263300.2405579442 6648108.630179732, 263300.57170594414 6648112.6626251405, 263301.81854610424 6648115.664896589, 263303.6631322452 6648117.489848615, 263306.79772548104 6648119.399701581, 263311.1775542676 6648119.644093858, 263314.4444370568 6648118.977053489, 263314.95533258223 6648118.720997715))</t>
  </si>
  <si>
    <t>['KV17126 S3D1 m540-551']</t>
  </si>
  <si>
    <t>LINESTRING (267669.9437583181 6650352.072770822, 267664.96018361405 6650352.419771777, 267661.59211255907 6650352.073349333, 267657.75440696336 6650352.013293548, 267658.0933006365 6650350.272402747, 267665.48382213153 6650349.427829146, 267669.21048313024 6650348.970074548, 267669.90950379544 6650351.706446239)</t>
  </si>
  <si>
    <t>POLYGON ((267669.9437583181 6650352.072770822, 267664.96018361405 6650352.419771777, 267661.59211255907 6650352.073349333, 267657.75440696336 6650352.013293548, 267658.0933006365 6650350.272402747, 267665.48382213153 6650349.427829146, 267669.21048313024 6650348.970074548, 267669.90950379544 6650351.706446239, 267669.9437583181 6650352.072770822))</t>
  </si>
  <si>
    <t>[10904]</t>
  </si>
  <si>
    <t>['KV10904 S5D1 m5-15']</t>
  </si>
  <si>
    <t>LINESTRING (267058.79481384053 6650971.825751493, 267062.1699676411 6650971.757988891, 267061.9389994879 6650965.698138264, 267060.6849474993 6650961.277265416, 267058.5526767479 6650971.807528313)</t>
  </si>
  <si>
    <t>POLYGON ((267058.79481384053 6650971.825751493, 267062.1699676411 6650971.757988891, 267061.9389994879 6650965.698138264, 267060.6849474993 6650961.277265416, 267058.5526767479 6650971.807528313, 267058.79481384053 6650971.825751493))</t>
  </si>
  <si>
    <t>['KV10904 S4D1 m121-132']</t>
  </si>
  <si>
    <t>LINESTRING (267054.27930179774 6651019.377222213, 267055.54710254027 6651019.2190755, 267058.5690059921 6651008.755510591, 267054.0235024454 6651008.215974955, 267054.1795261716 6651019.394683109)</t>
  </si>
  <si>
    <t>POLYGON ((267054.27930179774 6651019.377222213, 267055.54710254027 6651019.2190755, 267058.5690059921 6651008.755510591, 267054.0235024454 6651008.215974955, 267054.1795261716 6651019.394683109, 267054.27930179774 6651019.377222213))</t>
  </si>
  <si>
    <t>['KV10904 S4D1 m6-16']</t>
  </si>
  <si>
    <t>LINESTRING (267021.5670207992 6651129.865215046, 267025.4784134372 6651131.192847917, 267027.5898972362 6651121.758147827, 267026.8112922648 6651120.076510693, 267023.7727066254 6651124.321582236, 267021.10773877124 6651129.425213924)</t>
  </si>
  <si>
    <t>POLYGON ((267021.5670207992 6651129.865215046, 267025.4784134372 6651131.192847917, 267027.5898972362 6651121.758147827, 267026.8112922648 6651120.076510693, 267023.7727066254 6651124.321582236, 267021.10773877124 6651129.425213924, 267021.5670207992 6651129.865215046))</t>
  </si>
  <si>
    <t>['KV10904 S1D1 m1576 KD1 m77-81']</t>
  </si>
  <si>
    <t>LINESTRING (267008.64299615857 6651150.188151102, 267011.9457905124 6651154.926375887, 267016.59246721317 6651155.917277046, 267021.12544953334 6651155.106428429, 267024.00669529906 6651151.9209057465, 267025.1448674116 6651148.4657199485, 267024.525958196 6651144.607758158, 267022.57447768503 6651141.124202957, 267021.6978290286 6651140.375550653, 267020.07674812723 6651139.819033366, 267018.39573456265 6651139.467290717, 267015.3116255548 6651139.349247102, 267013.98039339134 6651139.567245004, 267010.98681955214 6651140.883936192, 267008.54553282866 6651145.091332148, 267008.2500609261 6651149.911458424)</t>
  </si>
  <si>
    <t>POLYGON ((267008.64299615857 6651150.188151102, 267011.9457905124 6651154.926375887, 267016.59246721317 6651155.917277046, 267021.12544953334 6651155.106428429, 267024.00669529906 6651151.9209057465, 267025.1448674116 6651148.4657199485, 267024.525958196 6651144.607758158, 267022.57447768503 6651141.124202957, 267021.6978290286 6651140.375550653, 267020.07674812723 6651139.819033366, 267018.39573456265 6651139.467290717, 267015.3116255548 6651139.349247102, 267013.98039339134 6651139.567245004, 267010.98681955214 6651140.883936192, 267008.54553282866 6651145.091332148, 267008.2500609261 6651149.911458424, 267008.64299615857 6651150.188151102))</t>
  </si>
  <si>
    <t>['KV10904 S1D1 m1519 KD1 m13-54']</t>
  </si>
  <si>
    <t>LINESTRING (266966.9541073342 6651220.86621372, 266968.64653174515 6651227.436809945, 266973.5057972773 6651231.7082755575, 266979.6195252493 6651232.148714758, 266984.2280090451 6651230.138259251, 266987.1059137414 6651225.746956397, 266987.35264006804 6651221.309553218, 266986.7025758058 6651218.201699127, 266984.6670277489 6651215.694932108, 266980.88845652493 6651213.007849943, 266977.6979789384 6651211.913926246, 266973.724088188 6651213.058033873, 266969.57707395114 6651215.80984603, 266967.92775624734 6651218.002032463, 266966.62134115037 6651221.010045505)</t>
  </si>
  <si>
    <t>POLYGON ((266966.9541073342 6651220.86621372, 266968.64653174515 6651227.436809945, 266973.5057972773 6651231.7082755575, 266979.6195252493 6651232.148714758, 266984.2280090451 6651230.138259251, 266987.1059137414 6651225.746956397, 266987.35264006804 6651221.309553218, 266986.7025758058 6651218.201699127, 266984.6670277489 6651215.694932108, 266980.88845652493 6651213.007849943, 266977.6979789384 6651211.913926246, 266973.724088188 6651213.058033873, 266969.57707395114 6651215.80984603, 266967.92775624734 6651218.002032463, 266966.62134115037 6651221.010045505, 266966.9541073342 6651220.86621372))</t>
  </si>
  <si>
    <t>['KV10904 S1D1 m1419 KD1 m16-52']</t>
  </si>
  <si>
    <t>LINESTRING (266917.21153167146 6651343.607961667, 266922.2525481369 6651343.658198333, 266927.0033788295 6651340.354550358, 266928.93147652026 6651337.608758638, 266929.1806728061 6651334.365977695, 266927.89285229356 6651329.500623638, 266925.3974423607 6651326.810762028, 266920.1703083459 6651325.499315135, 266914.78100498946 6651326.945014458, 266912.7062770807 6651329.409748277, 266911.592124605 6651333.153790164, 266911.89570032014 6651336.808325379, 266913.2493171883 6651340.407733636, 266916.6093868748 6651343.567812951)</t>
  </si>
  <si>
    <t>POLYGON ((266917.21153167146 6651343.607961667, 266922.2525481369 6651343.658198333, 266927.0033788295 6651340.354550358, 266928.93147652026 6651337.608758638, 266929.1806728061 6651334.365977695, 266927.89285229356 6651329.500623638, 266925.3974423607 6651326.810762028, 266920.1703083459 6651325.499315135, 266914.78100498946 6651326.945014458, 266912.7062770807 6651329.409748277, 266911.592124605 6651333.153790164, 266911.89570032014 6651336.808325379, 266913.2493171883 6651340.407733636, 266916.6093868748 6651343.567812951, 266917.21153167146 6651343.607961667))</t>
  </si>
  <si>
    <t>2020-03-24</t>
  </si>
  <si>
    <t>[14376]</t>
  </si>
  <si>
    <t>['KV14376 S1D1 m8-20']</t>
  </si>
  <si>
    <t>LINESTRING (264050.11321495485 6643287.2539750375, 264051.2445562319 6643281.38634574, 264051.09687945433 6643275.455051526, 264052.0974190717 6643276.965804836, 264052.48550711223 6643281.910273245, 264052.3537996779 6643285.748856982, 264051.4711809566 6643287.234442082, 264050.4436312929 6643287.679589476)</t>
  </si>
  <si>
    <t>POLYGON ((264050.11321495485 6643287.2539750375, 264051.2445562319 6643281.38634574, 264051.09687945433 6643275.455051526, 264052.0974190717 6643276.965804836, 264052.48550711223 6643281.910273245, 264052.3537996779 6643285.748856982, 264051.4711809566 6643287.234442082, 264050.4436312929 6643287.679589476, 264050.11321495485 6643287.2539750375))</t>
  </si>
  <si>
    <t>['KV13876 S3D1 m91-100']</t>
  </si>
  <si>
    <t>LINESTRING (264042.5243707516 6648145.280680885, 264045.0919092902 6648144.2904279595, 264048.7906484477 6648144.500992087, 264051.0753815726 6648144.879990318, 264051.71419732296 6648146.7152496185, 264047.1009137734 6648147.467581572, 264044.5877513748 6648147.024999718, 264042.48184434033 6648146.020410642)</t>
  </si>
  <si>
    <t>POLYGON ((264042.5243707516 6648145.280680885, 264045.0919092902 6648144.2904279595, 264048.7906484477 6648144.500992087, 264051.0753815726 6648144.879990318, 264051.71419732296 6648146.7152496185, 264047.1009137734 6648147.467581572, 264044.5877513748 6648147.024999718, 264042.48184434033 6648146.020410642, 264042.5243707516 6648145.280680885))</t>
  </si>
  <si>
    <t>['KV10904 S5D1 m719 KD1 m10-48']</t>
  </si>
  <si>
    <t>LINESTRING (267121.4134526388 6650291.383472304, 267123.868592103 6650293.339075661, 267126.7475914399 6650293.749354887, 267130.4444598103 6650291.573346387, 267131.1679842402 6650288.557524383, 267129.9680110665 6650285.3503278345, 267127.4223790831 6650284.182058465, 267124.85751421785 6650284.042291786, 267122.81571534986 6650284.997330007, 267121.47373123665 6650287.627835271, 267121.08881918335 6650291.035457688)</t>
  </si>
  <si>
    <t>POLYGON ((267121.4134526388 6650291.383472304, 267123.868592103 6650293.339075661, 267126.7475914399 6650293.749354887, 267130.4444598103 6650291.573346387, 267131.1679842402 6650288.557524383, 267129.9680110665 6650285.3503278345, 267127.4223790831 6650284.182058465, 267124.85751421785 6650284.042291786, 267122.81571534986 6650284.997330007, 267121.47373123665 6650287.627835271, 267121.08881918335 6650291.035457688, 267121.4134526388 6650291.383472304))</t>
  </si>
  <si>
    <t>2020-03-25</t>
  </si>
  <si>
    <t>[15659]</t>
  </si>
  <si>
    <t>['KV15659 S2D1 m5-17']</t>
  </si>
  <si>
    <t>LINESTRING (266432.40201773244 6650310.7733169375, 266443.7793223262 6650316.239988142, 266443.84496598796 6650314.884708479, 266435.01407884655 6650305.9852597825, 266432.9756332209 6650310.625377779)</t>
  </si>
  <si>
    <t>POLYGON ((266432.40201773244 6650310.7733169375, 266443.7793223262 6650316.239988142, 266443.84496598796 6650314.884708479, 266435.01407884655 6650305.9852597825, 266432.9756332209 6650310.625377779, 266432.40201773244 6650310.7733169375))</t>
  </si>
  <si>
    <t>['KV15659 S2D1 m367 KD1 m19-59']</t>
  </si>
  <si>
    <t>LINESTRING (266797.4825803196 6650340.118040503, 266793.1719299702 6650340.915041767, 266791.4172559312 6650344.107727369, 266791.5773764113 6650346.643525009, 266792.71032466006 6650349.050896912, 266795.70121223084 6650349.989834782, 266798.57439807587 6650349.774915549, 266800.88850589894 6650347.630037459, 266801.3068225588 6650344.756227515, 266800.3936571273 6650342.189814535, 266798.24967775156 6650340.371093383)</t>
  </si>
  <si>
    <t>POLYGON ((266797.4825803196 6650340.118040503, 266793.1719299702 6650340.915041767, 266791.4172559312 6650344.107727369, 266791.5773764113 6650346.643525009, 266792.71032466006 6650349.050896912, 266795.70121223084 6650349.989834782, 266798.57439807587 6650349.774915549, 266800.88850589894 6650347.630037459, 266801.3068225588 6650344.756227515, 266800.3936571273 6650342.189814535, 266798.24967775156 6650340.371093383, 266797.4825803196 6650340.118040503))</t>
  </si>
  <si>
    <t>['KV15659 S1D1 m251 KD1 m3-39']</t>
  </si>
  <si>
    <t>LINESTRING (266416.95203903876 6650303.308645265, 266418.8300079701 6650304.462839496, 266422.11203365866 6650305.304910353, 266424.63694889285 6650303.570771712, 266426.07358770183 6650301.380640779, 266425.8278871478 6650299.888721351, 266424.20156112825 6650296.686332326, 266420.9912313288 6650295.471235001, 266418.74700987386 6650296.059821537, 266417.8416543399 6650297.16671732, 266416.3143239352 6650298.011458115, 266415.8639336213 6650300.373711658, 266416.5350590837 6650302.653869098)</t>
  </si>
  <si>
    <t>POLYGON ((266416.95203903876 6650303.308645265, 266418.8300079701 6650304.462839496, 266422.11203365866 6650305.304910353, 266424.63694889285 6650303.570771712, 266426.07358770183 6650301.380640779, 266425.8278871478 6650299.888721351, 266424.20156112825 6650296.686332326, 266420.9912313288 6650295.471235001, 266418.74700987386 6650296.059821537, 266417.8416543399 6650297.16671732, 266416.3143239352 6650298.011458115, 266415.8639336213 6650300.373711658, 266416.5350590837 6650302.653869098, 266416.95203903876 6650303.308645265))</t>
  </si>
  <si>
    <t>['KV15659 S1D1 m226-247']</t>
  </si>
  <si>
    <t>LINESTRING (266387.80170808756 6650309.574236428, 266395.47965766425 6650308.4856119305, 266406.9211001525 6650305.216024661, 266408.6374329007 6650309.7526777275, 266387.54582162236 6650311.466371291, 266387.74812102556 6650309.879117808)</t>
  </si>
  <si>
    <t>POLYGON ((266387.80170808756 6650309.574236428, 266395.47965766425 6650308.4856119305, 266406.9211001525 6650305.216024661, 266408.6374329007 6650309.7526777275, 266387.54582162236 6650311.466371291, 266387.74812102556 6650309.879117808, 266387.80170808756 6650309.574236428))</t>
  </si>
  <si>
    <t>2020-03-26</t>
  </si>
  <si>
    <t>[11129]</t>
  </si>
  <si>
    <t>['KV11129 S1D1 m3-10']</t>
  </si>
  <si>
    <t>LINESTRING (264911.6423820483 6651630.055269187, 264917.03824156494 6651626.261118073, 264918.6763634954 6651628.401324723, 264914.09133764554 6651633.048347713, 264911.7881171373 6651629.967820996)</t>
  </si>
  <si>
    <t>POLYGON ((264911.6423820483 6651630.055269187, 264917.03824156494 6651626.261118073, 264918.6763634954 6651628.401324723, 264914.09133764554 6651633.048347713, 264911.7881171373 6651629.967820996, 264911.6423820483 6651630.055269187))</t>
  </si>
  <si>
    <t>['KV18587 S1D1 m2332 KD1 m11-49']</t>
  </si>
  <si>
    <t>LINESTRING (265510.9146761795 6651121.268121068, 265508.8720006025 6651116.372872119, 265505.50068269327 6651114.11915983, 265501.5755018121 6651113.910617198, 265499.1949602332 6651114.28513996, 265496.48467006226 6651117.762593575, 265495.4224620202 6651122.039871541, 265495.99285733065 6651123.343638457, 265496.72647297254 6651124.570039245, 265498.61560592416 6651126.694546763, 265502.27824841137 6651128.505418604, 265505.4018186595 6651128.005540995, 265506.9377883538 6651127.30499483, 265509.3644979476 6651125.274885414, 265510.924564707 6651121.423825656)</t>
  </si>
  <si>
    <t>POLYGON ((265510.9146761795 6651121.268121068, 265508.8720006025 6651116.372872119, 265505.50068269327 6651114.11915983, 265501.5755018121 6651113.910617198, 265499.1949602332 6651114.28513996, 265496.48467006226 6651117.762593575, 265495.4224620202 6651122.039871541, 265495.99285733065 6651123.343638457, 265496.72647297254 6651124.570039245, 265498.61560592416 6651126.694546763, 265502.27824841137 6651128.505418604, 265505.4018186595 6651128.005540995, 265506.9377883538 6651127.30499483, 265509.3644979476 6651125.274885414, 265510.924564707 6651121.423825656, 265510.9146761795 6651121.268121068))</t>
  </si>
  <si>
    <t>['KV13016 S1D1 m4-16']</t>
  </si>
  <si>
    <t>LINESTRING (258548.0911994827 6650684.785226634, 258546.12701262784 6650682.356086674, 258539.75533398654 6650687.206542359, 258537.1707964006 6650689.095464902, 258537.66614233662 6650689.811359485, 258548.31464684784 6650685.887456849)</t>
  </si>
  <si>
    <t>POLYGON ((258548.0911994827 6650684.785226634, 258546.12701262784 6650682.356086674, 258539.75533398654 6650687.206542359, 258537.1707964006 6650689.095464902, 258537.66614233662 6650689.811359485, 258548.31464684784 6650685.887456849, 258548.0911994827 6650684.785226634))</t>
  </si>
  <si>
    <t>['KV13016 S1D1 m283-294']</t>
  </si>
  <si>
    <t>LINESTRING (258357.0668567092 6650865.789305666, 258354.17102482668 6650876.711687625, 258356.82466960183 6650876.99594337, 258357.5479159253 6650866.115216648)</t>
  </si>
  <si>
    <t>POLYGON ((258357.0668567092 6650865.789305666, 258354.17102482668 6650876.711687625, 258356.82466960183 6650876.99594337, 258357.5479159253 6650866.115216648, 258357.0668567092 6650865.789305666))</t>
  </si>
  <si>
    <t>['KV13016 S1D1 m298 KD1 m0-32']</t>
  </si>
  <si>
    <t>LINESTRING (258350.6693501478 6650888.656544104, 258350.49015439593 6650890.544571119, 258350.7818648414 6650891.575316263, 258352.13764875178 6650892.759797503, 258353.14370399344 6650893.140699659, 258354.79055483468 6650893.032930709, 258356.80614203803 6650891.706008377, 258357.12151506235 6650889.58570163, 258356.62522532284 6650887.741877974, 258354.96288927665 6650886.499276354, 258353.07817848938 6650886.399241318, 258351.83446569063 6650886.927367641, 258350.70262487113 6650888.051270042)</t>
  </si>
  <si>
    <t>POLYGON ((258350.6693501478 6650888.656544104, 258350.49015439593 6650890.544571119, 258350.7818648414 6650891.575316263, 258352.13764875178 6650892.759797503, 258353.14370399344 6650893.140699659, 258354.79055483468 6650893.032930709, 258356.80614203803 6650891.706008377, 258357.12151506235 6650889.58570163, 258356.62522532284 6650887.741877974, 258354.96288927665 6650886.499276354, 258353.07817848938 6650886.399241318, 258351.83446569063 6650886.927367641, 258350.70262487113 6650888.051270042, 258350.6693501478 6650888.656544104))</t>
  </si>
  <si>
    <t>['KV13016 S2D1 m5-18']</t>
  </si>
  <si>
    <t>LINESTRING (258356.6797663999 6650902.368982804, 258355.86982113216 6650915.265706959, 258355.03342101126 6650915.164082232, 258354.90478105686 6650908.571943846, 258353.70159634238 6650902.865420442, 258356.1550084787 6650902.403322422)</t>
  </si>
  <si>
    <t>POLYGON ((258356.6797663999 6650902.368982804, 258355.86982113216 6650915.265706959, 258355.03342101126 6650915.164082232, 258354.90478105686 6650908.571943846, 258353.70159634238 6650902.865420442, 258356.1550084787 6650902.403322422, 258356.6797663999 6650902.368982804))</t>
  </si>
  <si>
    <t>['KV16762 S1D1 m940 KD1 m18-60']</t>
  </si>
  <si>
    <t>LINESTRING (261506.4989603512 6652439.539986802, 261504.5625261922 6652436.281316664, 261501.3051683669 6652433.565885256, 261496.91568794783 6652433.101318148, 261493.93912204908 6652433.517033759, 261489.84979924862 6652435.355955884, 261487.48055112053 6652437.4522517165, 261487.01940078608 6652438.900351188, 261486.7432040958 6652441.129403426, 261486.7943653459 6652442.354542661, 261486.84408913634 6652443.557439427, 261487.35413763986 6652445.813852077, 261488.0739424938 6652447.58766578, 261489.49027848948 6652448.43421717, 261490.82075630059 6652449.2528147455, 261492.0880358637 6652450.220676976, 261494.1561817859 6652450.835255008, 261495.88922260547 6652450.946609292, 261498.65318197352 6652450.622807523, 261501.75596064137 6652449.81923687, 261503.8346217714 6652448.25544228, 261506.45281368954 6652444.635432355, 261506.32893887185 6652440.377382572)</t>
  </si>
  <si>
    <t>POLYGON ((261506.4989603512 6652439.539986802, 261504.5625261922 6652436.281316664, 261501.3051683669 6652433.565885256, 261496.91568794783 6652433.101318148, 261493.93912204908 6652433.517033759, 261489.84979924862 6652435.355955884, 261487.48055112053 6652437.4522517165, 261487.01940078608 6652438.900351188, 261486.7432040958 6652441.129403426, 261486.7943653459 6652442.354542661, 261486.84408913634 6652443.557439427, 261487.35413763986 6652445.813852077, 261488.0739424938 6652447.58766578, 261489.49027848948 6652448.43421717, 261490.82075630059 6652449.2528147455, 261492.0880358637 6652450.220676976, 261494.1561817859 6652450.835255008, 261495.88922260547 6652450.946609292, 261498.65318197352 6652450.622807523, 261501.75596064137 6652449.81923687, 261503.8346217714 6652448.25544228, 261506.45281368954 6652444.635432355, 261506.32893887185 6652440.377382572, 261506.4989603512 6652439.539986802))</t>
  </si>
  <si>
    <t>['KV16762 S1D1 m944-962']</t>
  </si>
  <si>
    <t>LINESTRING (261500.96549874282 6652459.697882483, 261500.46351576687 6652476.381341804, 261495.74964388495 6652476.618973101, 261494.99911763874 6652469.687672635, 261495.07124558388 6652459.18538583, 261500.5528237639 6652459.121496453)</t>
  </si>
  <si>
    <t>POLYGON ((261500.96549874282 6652459.697882483, 261500.46351576687 6652476.381341804, 261495.74964388495 6652476.618973101, 261494.99911763874 6652469.687672635, 261495.07124558388 6652459.18538583, 261500.5528237639 6652459.121496453, 261500.96549874282 6652459.697882483))</t>
  </si>
  <si>
    <t>['KV16762 S1D1 m1784-1803']</t>
  </si>
  <si>
    <t>LINESTRING (261714.688294163 6653254.518990916, 261716.38278765607 6653273.729595113, 261710.6026136884 6653273.834889901, 261712.1369134154 6653262.635144406, 261712.866990021 6653257.718893733, 261713.96143813498 6653254.4542586235)</t>
  </si>
  <si>
    <t>POLYGON ((261714.688294163 6653254.518990916, 261716.38278765607 6653273.729595113, 261710.6026136884 6653273.834889901, 261712.1369134154 6653262.635144406, 261712.866990021 6653257.718893733, 261713.96143813498 6653254.4542586235, 261714.688294163 6653254.518990916))</t>
  </si>
  <si>
    <t>['KV16762 S6D1 m219-234']</t>
  </si>
  <si>
    <t>LINESTRING (261465.69152327278 6653722.4887052635, 261453.9126245067 6653729.694175211, 261452.9131376922 6653728.18415808, 261457.88451023435 6653724.936729553, 261465.5557035474 6653721.8609269895)</t>
  </si>
  <si>
    <t>POLYGON ((261465.69152327278 6653722.4887052635, 261453.9126245067 6653729.694175211, 261452.9131376922 6653728.18415808, 261457.88451023435 6653724.936729553, 261465.5557035474 6653721.8609269895, 261465.69152327278 6653722.4887052635))</t>
  </si>
  <si>
    <t>[21392]</t>
  </si>
  <si>
    <t>['KV21392 S2D1 m5-14']</t>
  </si>
  <si>
    <t>LINESTRING (261165.86808353133 6653382.408074648, 261163.67508903594 6653379.858602649, 261161.43696838486 6653381.198448325, 261167.38715815917 6653387.268238494, 261168.168886112 6653386.536396328, 261165.89760153615 6653382.864043602)</t>
  </si>
  <si>
    <t>POLYGON ((261165.86808353133 6653382.408074648, 261163.67508903594 6653379.858602649, 261161.43696838486 6653381.198448325, 261167.38715815917 6653387.268238494, 261168.168886112 6653386.536396328, 261165.89760153615 6653382.864043602, 261165.86808353133 6653382.408074648))</t>
  </si>
  <si>
    <t>['KV17988 S1D1 m252-257']</t>
  </si>
  <si>
    <t>LINESTRING (265767.0209825414 6650798.334237604, 265767.932546594 6650799.627566899, 265770.42701496114 6650795.12555724, 265769.9141053171 6650794.108436902, 265766.94841072755 6650798.3388409475)</t>
  </si>
  <si>
    <t>POLYGON ((265767.0209825414 6650798.334237604, 265767.932546594 6650799.627566899, 265770.42701496114 6650795.12555724, 265769.9141053171 6650794.108436902, 265766.94841072755 6650798.3388409475, 265767.0209825414 6650798.334237604))</t>
  </si>
  <si>
    <t>['KV16762 S6D1 m1053-1055']</t>
  </si>
  <si>
    <t>LINESTRING (261793.602987298 6654411.2052358985, 261792.70054348456 6654409.9792434005, 261794.31203007678 6654409.350275465, 261794.147598829 6654410.879699526)</t>
  </si>
  <si>
    <t>POLYGON ((261793.602987298 6654411.2052358985, 261792.70054348456 6654409.9792434005, 261794.31203007678 6654409.350275465, 261794.147598829 6654410.879699526, 261793.602987298 6654411.2052358985))</t>
  </si>
  <si>
    <t>['KV16762 S6D1 m1059-1060']</t>
  </si>
  <si>
    <t>LINESTRING (261795.0427554443 6654415.981345002, 261794.8339888902 6654415.090247972, 261793.78118325875 6654415.091243507, 261793.62993251492 6654416.217780127, 261794.57728152926 6654416.491620162)</t>
  </si>
  <si>
    <t>POLYGON ((261795.0427554443 6654415.981345002, 261794.8339888902 6654415.090247972, 261793.78118325875 6654415.091243507, 261793.62993251492 6654416.217780127, 261794.57728152926 6654416.491620162, 261795.0427554443 6654415.981345002))</t>
  </si>
  <si>
    <t>['KV16762 S6D1 m1078-1080']</t>
  </si>
  <si>
    <t>LINESTRING (261796.18014148326 6654435.931515778, 261796.56309423316 6654434.924025467, 261795.7001643299 6654434.309702461, 261795.01533139613 6654435.32552396, 261795.66793870856 6654436.065108444)</t>
  </si>
  <si>
    <t>POLYGON ((261796.18014148326 6654435.931515778, 261796.56309423316 6654434.924025467, 261795.7001643299 6654434.309702461, 261795.01533139613 6654435.32552396, 261795.66793870856 6654436.065108444, 261796.18014148326 6654435.931515778))</t>
  </si>
  <si>
    <t>['KV16762 S6D1 m1083-1085']</t>
  </si>
  <si>
    <t>LINESTRING (261796.8045028303 6654439.788705289, 261795.74595756046 6654439.700730219, 261795.3673157248 6654440.774948277, 261796.08972027822 6654441.554695165, 261797.07571364252 6654440.51942161)</t>
  </si>
  <si>
    <t>POLYGON ((261796.8045028303 6654439.788705289, 261795.74595756046 6654439.700730219, 261795.3673157248 6654440.774948277, 261796.08972027822 6654441.554695165, 261797.07571364252 6654440.51942161, 261796.8045028303 6654439.788705289))</t>
  </si>
  <si>
    <t>['KV17988 S1D1 m978-992']</t>
  </si>
  <si>
    <t>LINESTRING (266214.76337303605 6650192.210211025, 266220.4694899911 6650181.397283807, 266222.3399175375 6650181.278896032, 266222.8371939288 6650183.201541903, 266216.5717448568 6650193.502714839, 266215.2325681432 6650192.537837601)</t>
  </si>
  <si>
    <t>POLYGON ((266214.76337303605 6650192.210211025, 266220.4694899911 6650181.397283807, 266222.3399175375 6650181.278896032, 266222.8371939288 6650183.201541903, 266216.5717448568 6650193.502714839, 266215.2325681432 6650192.537837601, 266214.76337303605 6650192.210211025))</t>
  </si>
  <si>
    <t>[14622]</t>
  </si>
  <si>
    <t>['KV14622 S4D1 m5-21']</t>
  </si>
  <si>
    <t>LINESTRING (263325.45412790054 6653833.33797969, 263324.9367920122 6653826.23529531, 263323.66356711026 6653818.176057516, 263326.8479279934 6653817.525051604, 263326.39271872595 6653833.824953109)</t>
  </si>
  <si>
    <t>POLYGON ((263325.45412790054 6653833.33797969, 263324.9367920122 6653826.23529531, 263323.66356711026 6653818.176057516, 263326.8479279934 6653817.525051604, 263326.39271872595 6653833.824953109, 263325.45412790054 6653833.33797969))</t>
  </si>
  <si>
    <t>['KV16762 S6D1 m1434-1447']</t>
  </si>
  <si>
    <t>LINESTRING (261932.62982206474 6654748.614721036, 261943.2014629099 6654755.28052898, 261940.0256252114 6654758.478486237, 261937.76137217198 6654755.933263064, 261934.37493116246 6654752.399563767, 261932.1980545266 6654748.865949393)</t>
  </si>
  <si>
    <t>POLYGON ((261932.62982206474 6654748.614721036, 261943.2014629099 6654755.28052898, 261940.0256252114 6654758.478486237, 261937.76137217198 6654755.933263064, 261934.37493116246 6654752.399563767, 261932.1980545266 6654748.865949393, 261932.62982206474 6654748.614721036))</t>
  </si>
  <si>
    <t>['KV16762 S6D1 m1450 KD1 m0-32']</t>
  </si>
  <si>
    <t>LINESTRING (261955.73062463512 6654766.767260291, 261954.90652843067 6654764.497590746, 261953.5824765665 6654762.550554981, 261950.7059315087 6654761.016436774, 261947.72066235295 6654762.482267867, 261945.69638533975 6654763.740882407, 261945.24902980975 6654766.0926327, 261945.64754262898 6654768.188757811, 261947.44639153 6654770.898041852, 261949.27468661044 6654771.461238138, 261950.10432526778 6654771.474684985, 261952.482310636 6654771.097817499, 261954.24922844485 6654769.409114829, 261955.38068664164 6654767.158382816)</t>
  </si>
  <si>
    <t>POLYGON ((261955.73062463512 6654766.767260291, 261954.90652843067 6654764.497590746, 261953.5824765665 6654762.550554981, 261950.7059315087 6654761.016436774, 261947.72066235295 6654762.482267867, 261945.69638533975 6654763.740882407, 261945.24902980975 6654766.0926327, 261945.64754262898 6654768.188757811, 261947.44639153 6654770.898041852, 261949.27468661044 6654771.461238138, 261950.10432526778 6654771.474684985, 261952.482310636 6654771.097817499, 261954.24922844485 6654769.409114829, 261955.38068664164 6654767.158382816, 261955.73062463512 6654766.767260291))</t>
  </si>
  <si>
    <t>['KV16762 S8D1 m4-11']</t>
  </si>
  <si>
    <t>LINESTRING (261940.76695997702 6654783.926360193, 261945.2091596606 6654778.312609258, 261942.34195554722 6654776.923074564, 261940.34247333196 6654783.5964003)</t>
  </si>
  <si>
    <t>POLYGON ((261940.76695997702 6654783.926360193, 261945.2091596606 6654778.312609258, 261942.34195554722 6654776.923074564, 261940.34247333196 6654783.5964003, 261940.76695997702 6654783.926360193))</t>
  </si>
  <si>
    <t>[11115]</t>
  </si>
  <si>
    <t>['KV11115 S2D1 m793-805']</t>
  </si>
  <si>
    <t>LINESTRING (262515.6246637893 6651520.047995753, 262509.8699049923 6651519.368457464, 262504.86335820553 6651517.512887719, 262503.36665402 6651518.815251084, 262506.02698769385 6651520.442059936, 262511.9710785395 6651521.71245191, 262515.5022791099 6651521.630470926, 262515.97399546346 6651520.7737392755)</t>
  </si>
  <si>
    <t>POLYGON ((262515.6246637893 6651520.047995753, 262509.8699049923 6651519.368457464, 262504.86335820553 6651517.512887719, 262503.36665402 6651518.815251084, 262506.02698769385 6651520.442059936, 262511.9710785395 6651521.71245191, 262515.5022791099 6651521.630470926, 262515.97399546346 6651520.7737392755, 262515.6246637893 6651520.047995753))</t>
  </si>
  <si>
    <t>[13674]</t>
  </si>
  <si>
    <t>['KV13674 S2D1 m5-15']</t>
  </si>
  <si>
    <t>LINESTRING (262579.53541692655 6652059.085400972, 262588.7438386855 6652064.422981568, 262589.16254869965 6652062.743275881, 262579.7150055268 6652058.392638244)</t>
  </si>
  <si>
    <t>POLYGON ((262579.53541692655 6652059.085400972, 262588.7438386855 6652064.422981568, 262589.16254869965 6652062.743275881, 262579.7150055268 6652058.392638244, 262579.53541692655 6652059.085400972))</t>
  </si>
  <si>
    <t>[17922]</t>
  </si>
  <si>
    <t>['KV17922 S1D40 m4-34']</t>
  </si>
  <si>
    <t>LINESTRING (262624.96631028847 6652493.1545091905, 262626.35363566177 6652480.836977472, 262627.7680485989 6652463.190858213, 262631.6906554989 6652464.591333963, 262625.8940166801 6652493.552701469)</t>
  </si>
  <si>
    <t>POLYGON ((262624.96631028847 6652493.1545091905, 262626.35363566177 6652480.836977472, 262627.7680485989 6652463.190858213, 262631.6906554989 6652464.591333963, 262625.8940166801 6652493.552701469, 262624.96631028847 6652493.1545091905))</t>
  </si>
  <si>
    <t>2023-12-15</t>
  </si>
  <si>
    <t>[17894]</t>
  </si>
  <si>
    <t>['KV17894 S2D1 m6-15']</t>
  </si>
  <si>
    <t>LINESTRING (262554.3727027322 6652784.944186156, 262553.1314720193 6652785.158064867, 262553.71757357696 6652794.266470775, 262556.320061589 6652793.875660021, 262554.8692939753 6652785.347761556)</t>
  </si>
  <si>
    <t>POLYGON ((262554.3727027322 6652784.944186156, 262553.1314720193 6652785.158064867, 262553.71757357696 6652794.266470775, 262556.320061589 6652793.875660021, 262554.8692939753 6652785.347761556, 262554.3727027322 6652784.944186156))</t>
  </si>
  <si>
    <t>['KV17894 S2D1 m63-71']</t>
  </si>
  <si>
    <t>LINESTRING (262569.99638458935 6652847.604345618, 262570.3087791655 6652845.406597739, 262568.8687556741 6652841.74700138, 262566.84495473234 6652840.682307964, 262567.6879787841 6652844.380317458, 262569.5259999316 6652847.869128015)</t>
  </si>
  <si>
    <t>POLYGON ((262569.99638458935 6652847.604345618, 262570.3087791655 6652845.406597739, 262568.8687556741 6652841.74700138, 262566.84495473234 6652840.682307964, 262567.6879787841 6652844.380317458, 262569.5259999316 6652847.869128015, 262569.99638458935 6652847.604345618))</t>
  </si>
  <si>
    <t>[15102]</t>
  </si>
  <si>
    <t>['KV15102 S1D1 m12-38']</t>
  </si>
  <si>
    <t>LINESTRING (262738.00149510184 6653492.547062127, 262743.15419987467 6653503.684593341, 262745.63520984084 6653509.600098046, 262746.63891354925 6653512.31622979, 262746.9856498021 6653515.4431364825, 262745.03778082936 6653516.685147689, 262739.98520013364 6653502.313798023, 262737.6504795748 6653492.402126271)</t>
  </si>
  <si>
    <t>POLYGON ((262738.00149510184 6653492.547062127, 262743.15419987467 6653503.684593341, 262745.63520984084 6653509.600098046, 262746.63891354925 6653512.31622979, 262746.9856498021 6653515.4431364825, 262745.03778082936 6653516.685147689, 262739.98520013364 6653502.313798023, 262737.6504795748 6653492.402126271, 262738.00149510184 6653492.547062127))</t>
  </si>
  <si>
    <t>['KV15102 S1D1 m99-109']</t>
  </si>
  <si>
    <t>LINESTRING (262763.1137210972 6653575.826612127, 262764.0719207043 6653580.187279784, 262765.6556080284 6653584.95441919, 262766.8313472861 6653584.510285522, 262765.70036512334 6653579.814539589, 262764.5849721109 6653575.274134827, 262763.68685881246 6653575.33189118)</t>
  </si>
  <si>
    <t>POLYGON ((262763.1137210972 6653575.826612127, 262764.0719207043 6653580.187279784, 262765.6556080284 6653584.95441919, 262766.8313472861 6653584.510285522, 262765.70036512334 6653579.814539589, 262764.5849721109 6653575.274134827, 262763.68685881246 6653575.33189118, 262763.1137210972 6653575.826612127))</t>
  </si>
  <si>
    <t>['KV15102 S1D1 m242-259']</t>
  </si>
  <si>
    <t>LINESTRING (262741.864178165 6653730.097283869, 262738.2046354274 6653729.282924625, 262741.0343471573 6653721.897944755, 262743.38992478675 6653714.107934439, 262745.5498049002 6653713.812673576, 262741.7910917822 6653730.180156487)</t>
  </si>
  <si>
    <t>[12782]</t>
  </si>
  <si>
    <t>['KV12782 S1D1 m445-455']</t>
  </si>
  <si>
    <t>LINESTRING (262706.51090000046 6649853.179265635, 262701.4720743338 6649860.627683764, 262702.7540712318 6649861.818400813, 262705.3491197532 6649857.787816004, 262707.51232773263 6649853.930148596, 262706.6380339324 6649853.238102595)</t>
  </si>
  <si>
    <t>POLYGON ((262706.51090000046 6649853.179265635, 262701.4720743338 6649860.627683764, 262702.7540712318 6649861.818400813, 262705.3491197532 6649857.787816004, 262707.51232773263 6649853.930148596, 262706.6380339324 6649853.238102595, 262706.51090000046 6649853.179265635))</t>
  </si>
  <si>
    <t>[13747]</t>
  </si>
  <si>
    <t>['KV13747 S6D1 m7-17']</t>
  </si>
  <si>
    <t>LINESTRING (263748.78075450845 6655355.724134098, 263757.47008302284 6655355.468819366, 263757.3695957275 6655353.90068409, 263748.16114414245 6655354.267436193, 263748.3198643152 6655355.608495837)</t>
  </si>
  <si>
    <t>POLYGON ((263748.78075450845 6655355.724134098, 263757.47008302284 6655355.468819366, 263757.3695957275 6655353.90068409, 263748.16114414245 6655354.267436193, 263748.3198643152 6655355.608495837, 263748.78075450845 6655355.724134098))</t>
  </si>
  <si>
    <t>['KV12782 S2D1 m31-46']</t>
  </si>
  <si>
    <t>LINESTRING (262559.69479898975 6650052.904651534, 262558.841730077 6650046.8732910985, 262561.16660477966 6650044.401038518, 262564.53992290463 6650041.928397116, 262567.8107118019 6650041.349628863, 262569.3500345229 6650041.920722141, 262565.8939489372 6650047.815883087, 262562.146229928 6650053.796798868, 262560.24209781876 6650053.394334839)</t>
  </si>
  <si>
    <t>POLYGON ((262559.69479898975 6650052.904651534, 262558.841730077 6650046.8732910985, 262561.16660477966 6650044.401038518, 262564.53992290463 6650041.928397116, 262567.8107118019 6650041.349628863, 262569.3500345229 6650041.920722141, 262565.8939489372 6650047.815883087, 262562.146229928 6650053.796798868, 262560.24209781876 6650053.394334839, 262559.69479898975 6650052.904651534))</t>
  </si>
  <si>
    <t>['KV14622 S8D1 m196-209']</t>
  </si>
  <si>
    <t>LINESTRING (262564.57735079294 6650234.216353599, 262559.7348783227 6650246.711223363, 262561.41557953955 6650247.12804236, 262563.533590799 6650240.9168515075, 262565.4568718289 6650235.164874301, 262565.11734046176 6650234.5054932935)</t>
  </si>
  <si>
    <t>POLYGON ((262564.57735079294 6650234.216353599, 262559.7348783227 6650246.711223363, 262561.41557953955 6650247.12804236, 262563.533590799 6650240.9168515075, 262565.4568718289 6650235.164874301, 262565.11734046176 6650234.5054932935, 262564.57735079294 6650234.216353599))</t>
  </si>
  <si>
    <t>['KV14622 S4D1 m4655 KD1 m6-8']</t>
  </si>
  <si>
    <t>LINESTRING (262556.2141484763 6650264.50378959, 262558.0669353723 6650262.888254536, 262559.3462705547 6650260.550206741, 262559.38729071175 6650257.699897623, 262558.24276400625 6650255.070979137, 262555.26511965506 6650253.229948142, 262552.24812128436 6650253.044216075, 262549.18095107796 6650255.653547918, 262548.01768159634 6650258.576006974, 262548.1814149436 6650261.122802422, 262549.92765720095 6650263.780038298, 262553.095027158 6650265.084002221, 262555.6024297224 6650264.319768883)</t>
  </si>
  <si>
    <t>POLYGON ((262556.2141484763 6650264.50378959, 262558.0669353723 6650262.888254536, 262559.3462705547 6650260.550206741, 262559.38729071175 6650257.699897623, 262558.24276400625 6650255.070979137, 262555.26511965506 6650253.229948142, 262552.24812128436 6650253.044216075, 262549.18095107796 6650255.653547918, 262548.01768159634 6650258.576006974, 262548.1814149436 6650261.122802422, 262549.92765720095 6650263.780038298, 262553.095027158 6650265.084002221, 262555.6024297224 6650264.319768883, 262556.2141484763 6650264.50378959))</t>
  </si>
  <si>
    <t>['KV14622 S9D1 m4-14']</t>
  </si>
  <si>
    <t>LINESTRING (262549.1871840063 6650272.057975823, 262545.30463538726 6650281.866834524, 262547.00462857133 6650282.583923845, 262548.80737462116 6650277.922915014, 262549.710468821 6650275.575549421, 262550.3925120936 6650273.3652362265, 262549.9462139413 6650272.266026832)</t>
  </si>
  <si>
    <t>POLYGON ((262549.1871840063 6650272.057975823, 262545.30463538726 6650281.866834524, 262547.00462857133 6650282.583923845, 262548.80737462116 6650277.922915014, 262549.710468821 6650275.575549421, 262550.3925120936 6650273.3652362265, 262549.9462139413 6650272.266026832, 262549.1871840063 6650272.057975823))</t>
  </si>
  <si>
    <t>['KV14622 S9D1 m290-308']</t>
  </si>
  <si>
    <t>LINESTRING (262553.55234563374 6650561.000486449, 262551.7682964713 6650569.524210071, 262550.4231743357 6650568.482793781, 262551.69243849145 6650560.148510813, 262552.9996089409 6650552.403661436, 262554.03932522284 6650552.269808479, 262553.71345237293 6650560.018568353)</t>
  </si>
  <si>
    <t>POLYGON ((262553.55234563374 6650561.000486449, 262551.7682964713 6650569.524210071, 262550.4231743357 6650568.482793781, 262551.69243849145 6650560.148510813, 262552.9996089409 6650552.403661436, 262554.03932522284 6650552.269808479, 262553.71345237293 6650560.018568353, 262553.55234563374 6650561.000486449))</t>
  </si>
  <si>
    <t>['KV17922 S1D1 m239-250']</t>
  </si>
  <si>
    <t>LINESTRING (262525.60377344466 6651005.605989668, 262523.4497808594 6651016.4763678415, 262527.8696100252 6651016.25911696, 262526.390992404 6651006.080227616)</t>
  </si>
  <si>
    <t>POLYGON ((262525.60377344466 6651005.605989668, 262523.4497808594 6651016.4763678415, 262527.8696100252 6651016.25911696, 262526.390992404 6651006.080227616, 262525.60377344466 6651005.605989668))</t>
  </si>
  <si>
    <t>['KV17922 S1D30 m177 KD1 m37-76']</t>
  </si>
  <si>
    <t>LINESTRING (262532.98600711545 6651036.198851059, 262533.75151072594 6651031.71617304, 262531.72406473674 6651027.122763414, 262528.27177800797 6651024.865632223, 262524.92033865466 6651024.176617826, 262520.30923168786 6651026.1259510005, 262517.96889098955 6651029.392169471, 262517.61055983754 6651031.4030089695, 262517.7736445206 6651033.938681906, 262518.62977638235 6651036.530287176, 262520.9464195331 6651039.519323448, 262523.2677078552 6651040.576106127, 262524.54473774997 6651040.560978667, 262526.871933749 6651040.489478661, 262529.0240921483 6651040.049546632, 262532.5630346943 6651036.594576631)</t>
  </si>
  <si>
    <t>POLYGON ((262532.98600711545 6651036.198851059, 262533.75151072594 6651031.71617304, 262531.72406473674 6651027.122763414, 262528.27177800797 6651024.865632223, 262524.92033865466 6651024.176617826, 262520.30923168786 6651026.1259510005, 262517.96889098955 6651029.392169471, 262517.61055983754 6651031.4030089695, 262517.7736445206 6651033.938681906, 262518.62977638235 6651036.530287176, 262520.9464195331 6651039.519323448, 262523.2677078552 6651040.576106127, 262524.54473774997 6651040.560978667, 262526.871933749 6651040.489478661, 262529.0240921483 6651040.049546632, 262532.5630346943 6651036.594576631, 262532.98600711545 6651036.198851059))</t>
  </si>
  <si>
    <t>2020-03-28</t>
  </si>
  <si>
    <t>['KV17922 S1D20 m328 KD1 m14-19']</t>
  </si>
  <si>
    <t>LINESTRING (262603.42773837683 6652066.02469373, 262601.9088273782 6652064.625955782, 262599.4228739481 6652064.484327027, 262598.29528376664 6652065.68475784, 262597.79400771414 6652067.213429262, 262599.42189900274 6652072.658918333, 262604.15274306777 6652078.429700986, 262607.1968828386 6652079.060298804, 262608.40703287965 6652078.010904051, 262608.92690831545 6652076.771390083, 262609.03554667905 6652074.888281993, 262608.67226877774 6652072.812177784, 262607.3924863905 6652070.426495606, 262606.034432095 6652067.956508812, 262603.8940753982 6652066.218048131)</t>
  </si>
  <si>
    <t>POLYGON ((262603.42773837683 6652066.02469373, 262601.9088273782 6652064.625955782, 262599.4228739481 6652064.484327027, 262598.29528376664 6652065.68475784, 262597.79400771414 6652067.213429262, 262599.42189900274 6652072.658918333, 262604.15274306777 6652078.429700986, 262607.1968828386 6652079.060298804, 262608.40703287965 6652078.010904051, 262608.92690831545 6652076.771390083, 262609.03554667905 6652074.888281993, 262608.67226877774 6652072.812177784, 262607.3924863905 6652070.426495606, 262606.034432095 6652067.956508812, 262603.8940753982 6652066.218048131, 262603.42773837683 6652066.02469373))</t>
  </si>
  <si>
    <t>['KV17922 S1D30 m358 KD1 m2-8']</t>
  </si>
  <si>
    <t>LINESTRING (262640.2894477248 6652452.1896804515, 262639.8219161391 6652447.27259621, 262637.46816114103 6652444.565128896, 262634.20054264367 6652444.027077029, 262631.89483245247 6652444.331718569, 262630.9612407189 6652445.061809045, 262630.0432437738 6652445.947240258, 262628.3809453175 6652448.153627281, 262628.46720514237 6652450.627240475, 262629.01345976023 6652453.283447707, 262631.93495355174 6652455.496530642, 262635.72279479296 6652455.934115996, 262638.12694272795 6652454.807925494, 262639.99313219904 6652452.286910015)</t>
  </si>
  <si>
    <t>POLYGON ((262640.2894477248 6652452.1896804515, 262639.8219161391 6652447.27259621, 262637.46816114103 6652444.565128896, 262634.20054264367 6652444.027077029, 262631.89483245247 6652444.331718569, 262630.9612407189 6652445.061809045, 262630.0432437738 6652445.947240258, 262628.3809453175 6652448.153627281, 262628.46720514237 6652450.627240475, 262629.01345976023 6652453.283447707, 262631.93495355174 6652455.496530642, 262635.72279479296 6652455.934115996, 262638.12694272795 6652454.807925494, 262639.99313219904 6652452.286910015, 262640.2894477248 6652452.1896804515))</t>
  </si>
  <si>
    <t>2020-03-29</t>
  </si>
  <si>
    <t>[18490]</t>
  </si>
  <si>
    <t>['KV18490 S1D1 m9-30']</t>
  </si>
  <si>
    <t>LINESTRING (261600.85368740762 6650125.777651458, 261600.4158607993 6650124.901335807, 261605.30295408817 6650115.5736711575, 261608.4321831952 6650106.895512315, 261609.14162970148 6650106.246674905, 261610.69462576817 6650110.501801011, 261613.46535970204 6650118.508815484, 261617.20325917858 6650125.169139782, 261617.12499484667 6650126.302116452, 261601.43605875803 6650125.505544213)</t>
  </si>
  <si>
    <t>POLYGON ((261600.85368740762 6650125.777651458, 261600.4158607993 6650124.901335807, 261605.30295408817 6650115.5736711575, 261608.4321831952 6650106.895512315, 261609.14162970148 6650106.246674905, 261610.69462576817 6650110.501801011, 261613.46535970204 6650118.508815484, 261617.20325917858 6650125.169139782, 261617.12499484667 6650126.302116452, 261601.43605875803 6650125.505544213, 261600.85368740762 6650125.777651458))</t>
  </si>
  <si>
    <t>['KV17852 S2D1 m405 KD1 m13-60']</t>
  </si>
  <si>
    <t>LINESTRING (266511.7958000987 6649095.4363973, 266513.37300623517 6649099.010443464, 266515.90439046547 6649102.155707509, 266520.4359669002 6649103.678298774, 266525.07283661363 6649103.228974445, 266528.81447996426 6649100.59179761, 266531.38235517545 6649097.481642166, 266531.5823804219 6649093.28164425, 266530.881963495 6649087.787420315, 266530.2753796242 6649088.037907389, 266527.520599958 6649084.906749505, 266524.57381883747 6649083.440336634, 266518.96021194017 6649083.873214297, 266515.3758942806 6649085.450826967, 266512.54027786246 6649089.381885848, 266511.3745171997 6649094.714876832)</t>
  </si>
  <si>
    <t>POLYGON ((266511.7958000987 6649095.4363973, 266513.37300623517 6649099.010443464, 266515.90439046547 6649102.155707509, 266520.4359669002 6649103.678298774, 266525.07283661363 6649103.228974445, 266528.81447996426 6649100.59179761, 266531.38235517545 6649097.481642166, 266531.5823804219 6649093.28164425, 266530.881963495 6649087.787420315, 266530.2753796242 6649088.037907389, 266527.520599958 6649084.906749505, 266524.57381883747 6649083.440336634, 266518.96021194017 6649083.873214297, 266515.3758942806 6649085.450826967, 266512.54027786246 6649089.381885848, 266511.3745171997 6649094.714876832, 266511.7958000987 6649095.4363973))</t>
  </si>
  <si>
    <t>2020-03-30</t>
  </si>
  <si>
    <t>[10938]</t>
  </si>
  <si>
    <t>['KV10938 S1D1 m208-215']</t>
  </si>
  <si>
    <t>LINESTRING (266107.9651359205 6648953.682133897, 266108.02023281006 6648954.90694975, 266110.35133111227 6648956.032367533, 266113.6987056523 6648956.64680498, 266115.1533074471 6648955.884751824, 266114.7475194029 6648954.2578102425, 266112.51784568554 6648953.494460927, 266110.472762769 6648953.255415808, 266108.75251300854 6648953.364301848)</t>
  </si>
  <si>
    <t>POLYGON ((266107.9651359205 6648953.682133897, 266108.02023281006 6648954.90694975, 266110.35133111227 6648956.032367533, 266113.6987056523 6648956.64680498, 266115.1533074471 6648955.884751824, 266114.7475194029 6648954.2578102425, 266112.51784568554 6648953.494460927, 266110.472762769 6648953.255415808, 266108.75251300854 6648953.364301848, 266107.9651359205 6648953.682133897))</t>
  </si>
  <si>
    <t>[11290]</t>
  </si>
  <si>
    <t>['KV11290 S1D1 m1670-1710']</t>
  </si>
  <si>
    <t>LINESTRING (259419.2729678433 6650226.835578345, 259418.10598109334 6650226.308510473, 259404.15720889063 6650232.622489968, 259391.21861364023 6650236.022838338, 259378.2649600233 6650238.072866857, 259379.1594207397 6650239.064403147, 259393.4542798024 6650239.18297599, 259410.06621913603 6650237.94451142, 259419.38641977488 6650227.286082909)</t>
  </si>
  <si>
    <t>POLYGON ((259419.2729678433 6650226.835578345, 259418.10598109334 6650226.308510473, 259404.15720889063 6650232.622489968, 259391.21861364023 6650236.022838338, 259378.2649600233 6650238.072866857, 259379.1594207397 6650239.064403147, 259393.4542798024 6650239.18297599, 259410.06621913603 6650237.94451142, 259419.38641977488 6650227.286082909, 259419.2729678433 6650226.835578345))</t>
  </si>
  <si>
    <t>['KV11290 S1D1 m1694-1700']</t>
  </si>
  <si>
    <t>LINESTRING (259411.14653719027 6650247.556933303, 259403.8785079671 6650253.737295894, 259405.06453592688 6650254.642835816, 259412.24541220948 6650250.567765935, 259419.50402328547 6650247.771985786, 259419.7562741053 6650246.996120697, 259416.16050838795 6650247.23033571, 259411.29729133152 6650247.547113458)</t>
  </si>
  <si>
    <t>POLYGON ((259411.14653719027 6650247.556933303, 259403.8785079671 6650253.737295894, 259405.06453592688 6650254.642835816, 259412.24541220948 6650250.567765935, 259419.50402328547 6650247.771985786, 259419.7562741053 6650246.996120697, 259416.16050838795 6650247.23033571, 259411.29729133152 6650247.547113458, 259411.14653719027 6650247.556933303))</t>
  </si>
  <si>
    <t>['KV11290 S1D1 m1711-1727']</t>
  </si>
  <si>
    <t>LINESTRING (259387.70265235935 6650251.340069239, 259373.6507389009 6650251.50723552, 259374.84667352744 6650258.331249318, 259388.11667912404 6650251.670478857)</t>
  </si>
  <si>
    <t>POLYGON ((259387.70265235935 6650251.340069239, 259373.6507389009 6650251.50723552, 259374.84667352744 6650258.331249318, 259388.11667912404 6650251.670478857, 259387.70265235935 6650251.340069239))</t>
  </si>
  <si>
    <t>['KV18639 S3D1 m339 KD1 m14-75']</t>
  </si>
  <si>
    <t>LINESTRING (266378.7475293143 6648167.193414963, 266379.4427694243 6648169.851716459, 266381.36953000416 6648171.762201149, 266384.01112404733 6648173.091523437, 266387.73995160736 6648172.63252017, 266389.9788380625 6648171.139893084, 266391.1448035911 6648168.911105344, 266391.2535702484 6648165.1300224615, 266390.3770577527 6648163.153154176, 266388.9901830767 6648161.4430346815, 266385.9644523062 6648159.9816590585, 266383.9330309215 6648159.964891295, 266382.5555924864 6648160.800093726, 266381.44678201637 6648161.093501971, 266379.81122458004 6648162.548000155, 266378.86501792347 6648164.260418243, 266378.4092716345 6648166.544816825)</t>
  </si>
  <si>
    <t>POLYGON ((266378.7475293143 6648167.193414963, 266379.4427694243 6648169.851716459, 266381.36953000416 6648171.762201149, 266384.01112404733 6648173.091523437, 266387.73995160736 6648172.63252017, 266389.9788380625 6648171.139893084, 266391.1448035911 6648168.911105344, 266391.2535702484 6648165.1300224615, 266390.3770577527 6648163.153154176, 266388.9901830767 6648161.4430346815, 266385.9644523062 6648159.9816590585, 266383.9330309215 6648159.964891295, 266382.5555924864 6648160.800093726, 266381.44678201637 6648161.093501971, 266379.81122458004 6648162.548000155, 266378.86501792347 6648164.260418243, 266378.4092716345 6648166.544816825, 266378.7475293143 6648167.193414963))</t>
  </si>
  <si>
    <t>['KV18639 S3D1 m312-333']</t>
  </si>
  <si>
    <t>LINESTRING (266378.59235825215 6648205.202145948, 266383.87068020087 6648194.651358887, 266386.01338134974 6648186.934012344, 266385.35610684776 6648184.876290735, 266379.3642101969 6648184.049050166, 266378.4209176226 6648197.698061059, 266377.30197702505 6648203.7762562875, 266378.222065834 6648204.7565662945)</t>
  </si>
  <si>
    <t>POLYGON ((266378.59235825215 6648205.202145948, 266383.87068020087 6648194.651358887, 266386.01338134974 6648186.934012344, 266385.35610684776 6648184.876290735, 266379.3642101969 6648184.049050166, 266378.4209176226 6648197.698061059, 266377.30197702505 6648203.7762562875, 266378.222065834 6648204.7565662945, 266378.59235825215 6648205.202145948))</t>
  </si>
  <si>
    <t>[10967]</t>
  </si>
  <si>
    <t>['KV10967 S1D1 m1820-1833']</t>
  </si>
  <si>
    <t>LINESTRING (258985.1406252201 6650158.577808999, 258972.70611028816 6650158.361717896, 258973.40279911103 6650147.125651279, 258976.37257828296 6650150.01430353, 258979.3517867039 6650153.047529956, 258985.1548776844 6650157.850941782)</t>
  </si>
  <si>
    <t>POLYGON ((258985.1406252201 6650158.577808999, 258972.70611028816 6650158.361717896, 258973.40279911103 6650147.125651279, 258976.37257828296 6650150.01430353, 258979.3517867039 6650153.047529956, 258985.1548776844 6650157.850941782, 258985.1406252201 6650158.577808999))</t>
  </si>
  <si>
    <t>['KV10967 S1D1 m9-30']</t>
  </si>
  <si>
    <t>LINESTRING (260621.2326868773 6649659.043597569, 260621.69817857188 6649661.034811041, 260613.88769185758 6649663.562291874, 260604.4053699808 6649669.280448051, 260603.24904960516 6649668.830492052, 260613.15973234645 6649661.588086758, 260619.91946077783 6649657.989573052, 260621.15468320457 6649658.445589536)</t>
  </si>
  <si>
    <t>POLYGON ((260621.2326868773 6649659.043597569, 260621.69817857188 6649661.034811041, 260613.88769185758 6649663.562291874, 260604.4053699808 6649669.280448051, 260603.24904960516 6649668.830492052, 260613.15973234645 6649661.588086758, 260619.91946077783 6649657.989573052, 260621.15468320457 6649658.445589536, 260621.2326868773 6649659.043597569))</t>
  </si>
  <si>
    <t>['KV10967 S1D1 m0 KD1 m0-63']</t>
  </si>
  <si>
    <t>LINESTRING (260632.34101440836 6649658.167477552, 260634.27428166624 6649661.347888437, 260635.47005100257 6649662.320185433, 260637.29594856658 6649663.497346927, 260639.79934985415 6649664.139228194, 260641.69820175474 6649664.105540453, 260644.89532036378 6649663.5968641145, 260648.79714933404 6649661.501373929, 260650.69799250938 6649658.295902316, 260651.06098899935 6649653.425552324, 260648.88040510868 6649648.764669875, 260644.99262131428 6649645.7108853245, 260642.0237260638 6649645.154998544, 260639.03483394827 6649645.415660405, 260634.45656435378 6649647.890023053, 260632.34172137143 6649651.254551156, 260631.56892607658 6649654.386942025, 260632.21455458325 6649657.427427452)</t>
  </si>
  <si>
    <t>POLYGON ((260632.34101440836 6649658.167477552, 260634.27428166624 6649661.347888437, 260635.47005100257 6649662.320185433, 260637.29594856658 6649663.497346927, 260639.79934985415 6649664.139228194, 260641.69820175474 6649664.105540453, 260644.89532036378 6649663.5968641145, 260648.79714933404 6649661.501373929, 260650.69799250938 6649658.295902316, 260651.06098899935 6649653.425552324, 260648.88040510868 6649648.764669875, 260644.99262131428 6649645.7108853245, 260642.0237260638 6649645.154998544, 260639.03483394827 6649645.415660405, 260634.45656435378 6649647.890023053, 260632.34172137143 6649651.254551156, 260631.56892607658 6649654.386942025, 260632.21455458325 6649657.427427452, 260632.34101440836 6649658.167477552))</t>
  </si>
  <si>
    <t>[21471]</t>
  </si>
  <si>
    <t>['KV21471 S1D1 m512 KD1 m52-61']</t>
  </si>
  <si>
    <t>LINESTRING (260915.42385786262 6649708.305743792, 260917.1100785627 6649708.799672582, 260919.89480842798 6649708.764631535, 260922.12518608815 6649707.268990441, 260923.72539257776 6649704.0943002915, 260923.312831866 6649702.311824861, 260922.3029281304 6649700.657349405, 260921.2335567685 6649699.297084128, 260919.00801688276 6649698.61470156, 260916.63274279845 6649698.478062655, 260914.52213751787 6649700.178142441, 260913.29724795534 6649702.133597728, 260912.99966971896 6649704.553922736, 260913.1894111196 6649706.272643887, 260914.43276461225 6649708.068356962)</t>
  </si>
  <si>
    <t>POLYGON ((260915.42385786262 6649708.305743792, 260917.1100785627 6649708.799672582, 260919.89480842798 6649708.764631535, 260922.12518608815 6649707.268990441, 260923.72539257776 6649704.0943002915, 260923.312831866 6649702.311824861, 260922.3029281304 6649700.657349405, 260921.2335567685 6649699.297084128, 260919.00801688276 6649698.61470156, 260916.63274279845 6649698.478062655, 260914.52213751787 6649700.178142441, 260913.29724795534 6649702.133597728, 260912.99966971896 6649704.553922736, 260913.1894111196 6649706.272643887, 260914.43276461225 6649708.068356962, 260915.42385786262 6649708.305743792))</t>
  </si>
  <si>
    <t>['KV18639 S3D1 m10-17']</t>
  </si>
  <si>
    <t>LINESTRING (266250.2263434668 6648468.312502473, 266247.3321212995 6648471.49930242, 266248.31769702124 6648475.200024141, 266250.1440913698 6648473.130398421, 266250.6231951475 6648468.82338704)</t>
  </si>
  <si>
    <t>POLYGON ((266250.2263434668 6648468.312502473, 266247.3321212995 6648471.49930242, 266248.31769702124 6648475.200024141, 266250.1440913698 6648473.130398421, 266250.6231951475 6648468.82338704, 266250.2263434668 6648468.312502473))</t>
  </si>
  <si>
    <t>['KV18639 S2D1 m109 KD1 m0-40']</t>
  </si>
  <si>
    <t>LINESTRING (266235.3014618259 6648491.790182596, 266237.10547994415 6648494.155004046, 266239.52505271405 6648494.370452222, 266241.5281609604 6648493.942262773, 266242.44941966864 6648492.990685206, 266243.0578256206 6648491.969565076, 266242.7092924381 6648488.764536059, 266240.50487212767 6648487.251347237, 266238.00282925623 6648486.884785535, 266235.9545778089 6648487.8406502735, 266235.30103347194 6648489.389445068, 266234.9526888706 6648491.064097975)</t>
  </si>
  <si>
    <t>POLYGON ((266235.3014618259 6648491.790182596, 266237.10547994415 6648494.155004046, 266239.52505271405 6648494.370452222, 266241.5281609604 6648493.942262773, 266242.44941966864 6648492.990685206, 266243.0578256206 6648491.969565076, 266242.7092924381 6648488.764536059, 266240.50487212767 6648487.251347237, 266238.00282925623 6648486.884785535, 266235.9545778089 6648487.8406502735, 266235.30103347194 6648489.389445068, 266234.9526888706 6648491.064097975, 266235.3014618259 6648491.790182596))</t>
  </si>
  <si>
    <t>['KV18639 S2D1 m97-106']</t>
  </si>
  <si>
    <t>LINESTRING (266226.5784956947 6648488.2103897445, 266218.3321088186 6648489.859820642, 266218.2614914597 6648491.137251719, 266222.59819306096 6648490.717766267, 266226.7487441185 6648490.901877301, 266226.62563058455 6648488.955553654)</t>
  </si>
  <si>
    <t>POLYGON ((266226.5784956947 6648488.2103897445, 266218.3321088186 6648489.859820642, 266218.2614914597 6648491.137251719, 266222.59819306096 6648490.717766267, 266226.7487441185 6648490.901877301, 266226.62563058455 6648488.955553654, 266226.5784956947 6648488.2103897445))</t>
  </si>
  <si>
    <t>['KV18639 S1D1 m651-658']</t>
  </si>
  <si>
    <t>LINESTRING (265897.7868167802 6648880.675186883, 265895.1306318404 6648882.6524273325, 265892.5231024155 6648884.246928244, 265892.25670775457 6648883.582652131, 265897.37032322993 6648880.031586016)</t>
  </si>
  <si>
    <t>POLYGON ((265897.7868167802 6648880.675186883, 265895.1306318404 6648882.6524273325, 265892.5231024155 6648884.246928244, 265892.25670775457 6648883.582652131, 265897.37032322993 6648880.031586016, 265897.7868167802 6648880.675186883))</t>
  </si>
  <si>
    <t>['KV18639 S1D1 m298-317']</t>
  </si>
  <si>
    <t>LINESTRING (265596.3554583143 6649039.510609588, 265588.0979204746 6649043.261582301, 265579.85252207465 6649048.441120588, 265581.25251290295 6649049.736952324, 265582.9442793729 6649050.947274695, 265587.1010308744 6649046.5519516645, 265591.93124885287 6649043.8447220735, 265596.38727123 6649041.161237355, 265596.7769317018 6649040.232029691)</t>
  </si>
  <si>
    <t>POLYGON ((265596.3554583143 6649039.510609588, 265588.0979204746 6649043.261582301, 265579.85252207465 6649048.441120588, 265581.25251290295 6649049.736952324, 265582.9442793729 6649050.947274695, 265587.1010308744 6649046.5519516645, 265591.93124885287 6649043.8447220735, 265596.38727123 6649041.161237355, 265596.7769317018 6649040.232029691, 265596.3554583143 6649039.510609588))</t>
  </si>
  <si>
    <t>['KV18639 S1D1 m294 KD1 m26-69']</t>
  </si>
  <si>
    <t>LINESTRING (265563.8724660936 6649064.462786252, 265564.1960699019 6649066.027902667, 265565.122155583 6649067.543627155, 265565.6704382434 6649067.877336241, 265567.1708394359 6649068.988127321, 265568.7364896133 6649069.536452456, 265571.90362955054 6649068.900018067, 265573.8992449509 6649067.210092814, 265574.87013880396 6649064.747690935, 265574.5104820161 6649061.465215289, 265572.1763003578 6649059.056169315, 265569.09731515555 6649057.9003643235, 265566.4237102668 6649058.449654838, 265564.6479677495 6649060.069801116, 265563.73063249595 6649062.2273115255, 265563.5968456602 6649063.653949864)</t>
  </si>
  <si>
    <t>POLYGON ((265563.8724660936 6649064.462786252, 265564.1960699019 6649066.027902667, 265565.122155583 6649067.543627155, 265565.6704382434 6649067.877336241, 265567.1708394359 6649068.988127321, 265568.7364896133 6649069.536452456, 265571.90362955054 6649068.900018067, 265573.8992449509 6649067.210092814, 265574.87013880396 6649064.747690935, 265574.5104820161 6649061.465215289, 265572.1763003578 6649059.056169315, 265569.09731515555 6649057.9003643235, 265566.4237102668 6649058.449654838, 265564.6479677495 6649060.069801116, 265563.73063249595 6649062.2273115255, 265563.5968456602 6649063.653949864, 265563.8724660936 6649064.462786252))</t>
  </si>
  <si>
    <t>[12361]</t>
  </si>
  <si>
    <t>['KV12361 S3D1 m934-943']</t>
  </si>
  <si>
    <t>LINESTRING (265283.6166480509 6649468.463268868, 265282.41911656316 6649478.1203101585, 265283.6430926773 6649478.4110467285, 265284.3962062461 6649473.673219849, 265284.7775304561 6649470.2320082355, 265284.52712182846 6649468.673423795)</t>
  </si>
  <si>
    <t>POLYGON ((265283.6166480509 6649468.463268868, 265282.41911656316 6649478.1203101585, 265283.6430926773 6649478.4110467285, 265284.3962062461 6649473.673219849, 265284.7775304561 6649470.2320082355, 265284.52712182846 6649468.673423795, 265283.6166480509 6649468.463268868))</t>
  </si>
  <si>
    <t>['KV12361 S3D1 m616 KD1 m7-50']</t>
  </si>
  <si>
    <t>LINESTRING (264904.8080065807 6650235.20359955, 264903.7407232397 6650235.081699713, 264906.43928575225 6650235.3789344095, 264910.34005603846 6650234.4829759905, 264912.0397991085 6650232.38710774, 264913.6383363055 6650230.286515399, 264913.94176074176 6650226.950681631, 264912.5958165455 6650223.50766109, 264909.4853030588 6650220.701792442, 264905.4096871542 6650220.436372056, 264902.3136924058 6650221.381609281, 264900.39729364857 6650223.156270463, 264899.0093506939 6650225.042462485, 264898.56413857813 6650227.471651059, 264899.3558624376 6650231.63111664, 264902.6404876618 6650234.7943965625)</t>
  </si>
  <si>
    <t>POINT (264906.27261009614 6650227.88055435)</t>
  </si>
  <si>
    <t>['KV12361 S1D1 m936-943']</t>
  </si>
  <si>
    <t>LINESTRING (264810.2990904573 6650441.139120419, 264813.1191467134 6650439.385019619, 264812.64522188494 6650437.84068529, 264808.71218476107 6650439.81083171, 264806.26194324624 6650441.474384393, 264806.9351102422 6650442.626359508, 264810.4639969807 6650441.351954223)</t>
  </si>
  <si>
    <t>POLYGON ((264810.2990904573 6650441.139120419, 264813.1191467134 6650439.385019619, 264812.64522188494 6650437.84068529, 264808.71218476107 6650439.81083171, 264806.26194324624 6650441.474384393, 264806.9351102422 6650442.626359508, 264810.4639969807 6650441.351954223, 264810.2990904573 6650441.139120419))</t>
  </si>
  <si>
    <t>['KV12361 S1D1 m5-42']</t>
  </si>
  <si>
    <t>LINESTRING (264032.0771462271 6650699.2677662475, 264025.93622830405 6650699.6601678915, 264016.8321480414 6650700.699779269, 264010.3122193233 6650701.038258079, 264002.918256753 6650701.734113463, 263995.6389086722 6650703.170847062, 263996.5383124964 6650707.245152606, 264004.55221079395 6650704.935120795, 264012.9665652135 6650703.716214636, 264022.47095234576 6650701.835823346, 264031.882976932 6650699.73801949)</t>
  </si>
  <si>
    <t>POLYGON ((264032.0771462271 6650699.2677662475, 264025.93622830405 6650699.6601678915, 264016.8321480414 6650700.699779269, 264010.3122193233 6650701.038258079, 264002.918256753 6650701.734113463, 263995.6389086722 6650703.170847062, 263996.5383124964 6650707.245152606, 264004.55221079395 6650704.935120795, 264012.9665652135 6650703.716214636, 264022.47095234576 6650701.835823346, 264031.882976932 6650699.73801949, 264032.0771462271 6650699.2677662475))</t>
  </si>
  <si>
    <t>2020-03-31</t>
  </si>
  <si>
    <t>['KV17852 S6D1 m351-365']</t>
  </si>
  <si>
    <t>LINESTRING (267742.3895333843 6649126.312476284, 267738.75908776873 6649123.771519718, 267731.6985562756 6649118.844510883, 267732.1786860423 6649116.938442961, 267738.25542858255 6649120.308225709, 267740.95526135317 6649122.5838661045, 267743.89456714666 6649125.101272923, 267742.6841274707 6649126.182298515)</t>
  </si>
  <si>
    <t>POLYGON ((267742.3895333843 6649126.312476284, 267738.75908776873 6649123.771519718, 267731.6985562756 6649118.844510883, 267732.1786860423 6649116.938442961, 267738.25542858255 6649120.308225709, 267740.95526135317 6649122.5838661045, 267743.89456714666 6649125.101272923, 267742.6841274707 6649126.182298515, 267742.3895333843 6649126.312476284))</t>
  </si>
  <si>
    <t>['KV17852 S6D1 m643-654']</t>
  </si>
  <si>
    <t>LINESTRING (267944.89618014847 6649315.4799969345, 267949.9339261397 6649325.078941512, 267953.189673488 6649322.998579795, 267945.7031481517 6649315.205993645)</t>
  </si>
  <si>
    <t>POLYGON ((267944.89618014847 6649315.4799969345, 267949.9339261397 6649325.078941512, 267953.189673488 6649322.998579795, 267945.7031481517 6649315.205993645, 267944.89618014847 6649315.4799969345))</t>
  </si>
  <si>
    <t>['KV17852 S8D1 m704 KD1 m10-56']</t>
  </si>
  <si>
    <t>LINESTRING (267963.0371329434 6649332.585774657, 267961.2046168629 6649330.903148653, 267956.28041095776 6649331.502728987, 267955.13141449564 6649332.401172453, 267954.5402053015 6649333.878710334, 267953.3403175232 6649336.377080179, 267953.9379618388 6649338.5727320695, 267954.54118648334 6649340.678706009, 267956.2382636331 6649342.079520594, 267957.97580667515 6649342.964161167, 267962.28288883687 6649342.090693668, 267964.21509734757 6649340.54010274, 267964.94243086514 6649338.998187794, 267965.18802439794 6649335.677646241, 267963.81829846185 6649333.061513385)</t>
  </si>
  <si>
    <t>POLYGON ((267963.0371329434 6649332.585774657, 267961.2046168629 6649330.903148653, 267956.28041095776 6649331.502728987, 267955.13141449564 6649332.401172453, 267954.5402053015 6649333.878710334, 267953.3403175232 6649336.377080179, 267953.9379618388 6649338.5727320695, 267954.54118648334 6649340.678706009, 267956.2382636331 6649342.079520594, 267957.97580667515 6649342.964161167, 267962.28288883687 6649342.090693668, 267964.21509734757 6649340.54010274, 267964.94243086514 6649338.998187794, 267965.18802439794 6649335.677646241, 267963.81829846185 6649333.061513385, 267963.0371329434 6649332.585774657))</t>
  </si>
  <si>
    <t>['KV17852 S7D1 m6-15']</t>
  </si>
  <si>
    <t>LINESTRING (267974.8529046853 6649355.571326113, 267972.7222568765 6649351.998043827, 267970.4087014403 6649348.190598911, 267967.8922178382 6649349.990033858, 267970.87590221036 6649353.219426602, 267973.93008541607 6649356.410896085, 267974.95902777585 6649356.01129884)</t>
  </si>
  <si>
    <t>POLYGON ((267974.8529046853 6649355.571326113, 267972.7222568765 6649351.998043827, 267970.4087014403 6649348.190598911, 267967.8922178382 6649349.990033858, 267970.87590221036 6649353.219426602, 267973.93008541607 6649356.410896085, 267974.95902777585 6649356.01129884, 267974.8529046853 6649355.571326113))</t>
  </si>
  <si>
    <t>['KV17852 S7D1 m220-230']</t>
  </si>
  <si>
    <t>LINESTRING (268077.5120643578 6649533.1621784195, 268082.31398379226 6649541.424983994, 268084.8254845768 6649539.458443439, 268078.25616950647 6649533.048469793)</t>
  </si>
  <si>
    <t>POLYGON ((268077.5120643578 6649533.1621784195, 268082.31398379226 6649541.424983994, 268084.8254845768 6649539.458443439, 268078.25616950647 6649533.048469793, 268077.5120643578 6649533.1621784195))</t>
  </si>
  <si>
    <t>['KV17852 S8D1 m822 KD1 m24-71']</t>
  </si>
  <si>
    <t>LINESTRING (268098.9057030685 6649552.98976218, 268097.80486894277 6649549.831916207, 268094.51989938365 6649547.78260968, 268090.199080178 6649548.433485895, 268088.26694525895 6649549.984012256, 268086.67825369944 6649552.182934668, 268086.7641502415 6649554.8015320655, 268087.4517508478 6649557.449352588, 268090.602696402 6649559.5963931605, 268093.6328559717 6649559.997970183, 268095.26135785057 6649559.59426344, 268097.7958915606 6649558.084087572, 268098.9434036878 6649553.590354772)</t>
  </si>
  <si>
    <t>POLYGON ((268098.9057030685 6649552.98976218, 268097.80486894277 6649549.831916207, 268094.51989938365 6649547.78260968, 268090.199080178 6649548.433485895, 268088.26694525895 6649549.984012256, 268086.67825369944 6649552.182934668, 268086.7641502415 6649554.8015320655, 268087.4517508478 6649557.449352588, 268090.602696402 6649559.5963931605, 268093.6328559717 6649559.997970183, 268095.26135785057 6649559.59426344, 268097.7958915606 6649558.084087572, 268098.9434036878 6649553.590354772, 268098.9057030685 6649552.98976218))</t>
  </si>
  <si>
    <t>['KV17852 S8D1 m5-16']</t>
  </si>
  <si>
    <t>LINESTRING (268100.9601910814 6649568.928542006, 268102.66406330874 6649567.314188831, 268105.79965896596 6649571.807045329, 268108.85427427944 6649576.081668875, 268107.80166065786 6649577.353659931, 268100.34522843885 6649569.0453059655)</t>
  </si>
  <si>
    <t>POLYGON ((268100.9601910814 6649568.928542006, 268102.66406330874 6649567.314188831, 268105.79965896596 6649571.807045329, 268108.85427427944 6649576.081668875, 268107.80166065786 6649577.353659931, 268100.34522843885 6649569.0453059655, 268100.9601910814 6649568.928542006))</t>
  </si>
  <si>
    <t>['KV17852 S8D1 m903-914']</t>
  </si>
  <si>
    <t>LINESTRING (268615.1736565758 6650300.091380876, 268622.8574307455 6650306.432308076, 268624.5757570329 6650305.0517578805, 268619.0614770565 6650301.042553223, 268615.4075376675 6650299.172298217)</t>
  </si>
  <si>
    <t>POLYGON ((268615.1736565758 6650300.091380876, 268622.8574307455 6650306.432308076, 268624.5757570329 6650305.0517578805, 268619.0614770565 6650301.042553223, 268615.4075376675 6650299.172298217, 268615.1736565758 6650300.091380876))</t>
  </si>
  <si>
    <t>['KV17852 S8D1 m920 KD1 m30-71']</t>
  </si>
  <si>
    <t>LINESTRING (268644.90541836043 6650315.256656136, 268642.30207628 6650310.919919168, 268640.4891225293 6650309.537270785, 268638.20709486277 6650309.077271489, 268636.01645871764 6650308.913024969, 268634.1055824209 6650309.635683969, 268630.65499442205 6650312.174333246, 268630.07059826347 6650314.834906317, 268629.50083517644 6650317.7290446805, 268630.37570614857 6650320.42102439, 268633.9715692621 6650323.51200221, 268636.6702019117 6650324.180382024, 268639.59502621845 6650324.075319959, 268642.2701728365 6650322.4003574625, 268644.19662348495 6650319.510561969, 268644.66594865534 6650316.176086538)</t>
  </si>
  <si>
    <t>POLYGON ((268644.90541836043 6650315.256656136, 268642.30207628 6650310.919919168, 268640.4891225293 6650309.537270785, 268638.20709486277 6650309.077271489, 268636.01645871764 6650308.913024969, 268634.1055824209 6650309.635683969, 268630.65499442205 6650312.174333246, 268630.07059826347 6650314.834906317, 268629.50083517644 6650317.7290446805, 268630.37570614857 6650320.42102439, 268633.9715692621 6650323.51200221, 268636.6702019117 6650324.180382024, 268639.59502621845 6650324.075319959, 268642.2701728365 6650322.4003574625, 268644.19662348495 6650319.510561969, 268644.66594865534 6650316.176086538, 268644.90541836043 6650315.256656136))</t>
  </si>
  <si>
    <t>['KV17852 S9D1 m4-29']</t>
  </si>
  <si>
    <t>LINESTRING (268667.5528216553 6650342.60112712, 268648.9679036145 6650327.31804926, 268647.6285230802 6650328.753011183, 268657.3994450066 6650335.9346830435, 268662.03085337376 6650339.630767134, 268664.36574646225 6650341.472026229, 268666.99507656647 6650343.897796833, 268667.828461107 6650342.796012097)</t>
  </si>
  <si>
    <t>POLYGON ((268667.5528216553 6650342.60112712, 268648.9679036145 6650327.31804926, 268647.6285230802 6650328.753011183, 268657.3994450066 6650335.9346830435, 268662.03085337376 6650339.630767134, 268664.36574646225 6650341.472026229, 268666.99507656647 6650343.897796833, 268667.828461107 6650342.796012097, 268667.5528216553 6650342.60112712))</t>
  </si>
  <si>
    <t>['KV17852 S4D1 m765 KD1 m30-53']</t>
  </si>
  <si>
    <t>LINESTRING (267397.3425339049 6648982.157173601, 267393.856800801 6648982.901404353, 267391.55039309344 6648984.475850637, 267390.35352098517 6648987.018896458, 267390.21483287925 6648988.378721611, 267390.0058629948 6648991.027069276, 267391.068933832 6648993.751665445, 267394.26894031407 6648995.950928051, 267397.41067405354 6648996.333792038, 267400.6687890978 6648995.5368953915, 267403.71407394204 6648991.358914311, 267403.9914595488 6648988.639265227, 267402.9730158678 6648985.554542738, 267400.73648311547 6648983.517944661, 267398.13294996327 6648982.777381815)</t>
  </si>
  <si>
    <t>POLYGON ((267397.3425339049 6648982.157173601, 267393.856800801 6648982.901404353, 267391.55039309344 6648984.475850637, 267390.35352098517 6648987.018896458, 267390.21483287925 6648988.378721611, 267390.0058629948 6648991.027069276, 267391.068933832 6648993.751665445, 267394.26894031407 6648995.950928051, 267397.41067405354 6648996.333792038, 267400.6687890978 6648995.5368953915, 267403.71407394204 6648991.358914311, 267403.9914595488 6648988.639265227, 267402.9730158678 6648985.554542738, 267400.73648311547 6648983.517944661, 267398.13294996327 6648982.777381815, 267397.3425339049 6648982.157173601))</t>
  </si>
  <si>
    <t>['KV17852 S6D1 m266-269']</t>
  </si>
  <si>
    <t>LINESTRING (267658.8409876948 6649071.849406548, 267662.11044659466 6649072.927913539, 267663.16505765496 6649070.527905184, 267660.8137237468 6649070.229115835, 267658.9114156727 6649071.096855613)</t>
  </si>
  <si>
    <t>POLYGON ((267658.8409876948 6649071.849406548, 267662.11044659466 6649072.927913539, 267663.16505765496 6649070.527905184, 267660.8137237468 6649070.229115835, 267658.9114156727 6649071.096855613, 267658.8409876948 6649071.849406548))</t>
  </si>
  <si>
    <t>['KV17852 S3D1 m5-35']</t>
  </si>
  <si>
    <t>LINESTRING (266541.66679049574 6649090.924858684, 266539.59991632344 6649083.239048372, 266547.1128399967 6649081.982724289, 266554.2662909819 6649080.89428875, 266568.5107040841 6649077.816939018, 266569.4356914419 6649079.411112258, 266566.1951012492 6649081.636935616, 266550.31161162234 6649088.5027273325, 266542.37423477916 6649091.471973597)</t>
  </si>
  <si>
    <t>POLYGON ((266541.66679049574 6649090.924858684, 266539.59991632344 6649083.239048372, 266547.1128399967 6649081.982724289, 266554.2662909819 6649080.89428875, 266568.5107040841 6649077.816939018, 266569.4356914419 6649079.411112258, 266566.1951012492 6649081.636935616, 266550.31161162234 6649088.5027273325, 266542.37423477916 6649091.471973597, 266541.66679049574 6649090.924858684))</t>
  </si>
  <si>
    <t>['KV18639 S3D1 m125-135']</t>
  </si>
  <si>
    <t>LINESTRING (266292.97463791235 6648359.517724578, 266290.82221462904 6648358.827522126, 266286.35111341695 6648366.61402462, 266287.6817126921 6648367.434356537, 266292.7060414342 6648360.059526317)</t>
  </si>
  <si>
    <t>POLYGON ((266292.97463791235 6648359.517724578, 266290.82221462904 6648358.827522126, 266286.35111341695 6648366.61402462, 266287.6817126921 6648367.434356537, 266292.7060414342 6648360.059526317, 266292.97463791235 6648359.517724578))</t>
  </si>
  <si>
    <t>[11589]</t>
  </si>
  <si>
    <t>['KV11589 S1D1 m12-25']</t>
  </si>
  <si>
    <t>LINESTRING (264166.8117012824 6649609.222299615, 264153.5962968062 6649611.863828881)</t>
  </si>
  <si>
    <t>POINT (264160.20399904426 6649610.543064248)</t>
  </si>
  <si>
    <t>['KV18587 S1D1 m248-258']</t>
  </si>
  <si>
    <t>LINESTRING (264144.8512489989 6649627.966474212, 264145.5375656694 6649635.203485799, 264144.2877861981 6649635.651784411, 264143.4483159253 6649630.7584360065, 264143.04128922336 6649625.524805154, 264144.14455701486 6649625.152861729, 264144.81787711254 6649627.443759795)</t>
  </si>
  <si>
    <t>POLYGON ((264144.8512489989 6649627.966474212, 264145.5375656694 6649635.203485799, 264144.2877861981 6649635.651784411, 264143.4483159253 6649630.7584360065, 264143.04128922336 6649625.524805154, 264144.14455701486 6649625.152861729, 264144.81787711254 6649627.443759795, 264144.8512489989 6649627.966474212))</t>
  </si>
  <si>
    <t>[12580]</t>
  </si>
  <si>
    <t>['KV12580 S1D1 m182-190']</t>
  </si>
  <si>
    <t>LINESTRING (263789.3997437404 6649465.773657059, 263789.6763506038 6649466.5041610105, 263785.96038762573 6649469.600498196, 263783.2665515295 6649470.96760379, 263782.2430038147 6649469.07882169, 263788.4913911541 6649465.686562433)</t>
  </si>
  <si>
    <t>POLYGON ((263789.3997437404 6649465.773657059, 263789.6763506038 6649466.5041610105, 263785.96038762573 6649469.600498196, 263783.2665515295 6649470.96760379, 263782.2430038147 6649469.07882169, 263788.4913911541 6649465.686562433, 263789.3997437404 6649465.773657059))</t>
  </si>
  <si>
    <t>['KV13424 S2D1 m165-177']</t>
  </si>
  <si>
    <t>LINESTRING (263477.80417801137 6649611.975182776, 263478.7851366913 6649613.196593267, 263477.28586846264 6649615.615335279, 263475.8157961883 6649618.490059346, 263472.7745475143 6649622.660256782, 263471.1470827656 6649621.938091258, 263474.0772837901 6649617.171979532, 263476.92931262136 6649612.41087569)</t>
  </si>
  <si>
    <t>POLYGON ((263477.80417801137 6649611.975182776, 263478.7851366913 6649613.196593267, 263477.28586846264 6649615.615335279, 263475.8157961883 6649618.490059346, 263472.7745475143 6649622.660256782, 263471.1470827656 6649621.938091258, 263474.0772837901 6649617.171979532, 263476.92931262136 6649612.41087569, 263477.80417801137 6649611.975182776))</t>
  </si>
  <si>
    <t>['KV14622 S5D1 m288 KD1 m28-76']</t>
  </si>
  <si>
    <t>LINESTRING (263322.7004236438 6653809.013700156, 263327.050518844 6653807.763037576, 263329.8726258678 6653804.957662895, 263331.52205650485 6653801.334149193, 263331.8203209302 6653797.864330583, 263329.8240127675 6653793.637184396, 263325.75962858857 6653790.000586554, 263321.4056726814 6653790.056599966, 263318.3905782461 6653791.076434639, 263315.61627830646 6653794.6269566575, 263314.2005513611 6653798.313653706, 263314.2280733087 6653799.964642242, 263315.1464081335 6653803.278230071, 263317.3460468588 6653805.873070325, 263318.6488428378 6653806.973207332, 263320.04717719415 6653808.078381922, 263322.276497788 6653809.040900404)</t>
  </si>
  <si>
    <t>POLYGON ((263322.7004236438 6653809.013700156, 263327.050518844 6653807.763037576, 263329.8726258678 6653804.957662895, 263331.52205650485 6653801.334149193, 263331.8203209302 6653797.864330583, 263329.8240127675 6653793.637184396, 263325.75962858857 6653790.000586554, 263321.4056726814 6653790.056599966, 263318.3905782461 6653791.076434639, 263315.61627830646 6653794.6269566575, 263314.2005513611 6653798.313653706, 263314.2280733087 6653799.964642242, 263315.1464081335 6653803.278230071, 263317.3460468588 6653805.873070325, 263318.6488428378 6653806.973207332, 263320.04717719415 6653808.078381922, 263322.276497788 6653809.040900404, 263322.7004236438 6653809.013700156))</t>
  </si>
  <si>
    <t>['KV14622 S3D1 m774-792']</t>
  </si>
  <si>
    <t>LINESTRING (263322.9863532245 6653779.949317227, 263325.2583836153 6653768.1337571945, 263325.16495136847 6653764.320550319, 263326.55381407554 6653763.706578765, 263328.6596638035 6653781.338570156, 263323.1509792543 6653780.943807642)</t>
  </si>
  <si>
    <t>POLYGON ((263322.9863532245 6653779.949317227, 263325.2583836153 6653768.1337571945, 263325.16495136847 6653764.320550319, 263326.55381407554 6653763.706578765, 263328.6596638035 6653781.338570156, 263323.1509792543 6653780.943807642, 263322.9863532245 6653779.949317227))</t>
  </si>
  <si>
    <t>[168]</t>
  </si>
  <si>
    <t>['KV168 S1D1 m5400-5412']</t>
  </si>
  <si>
    <t>LINESTRING (257698.80252083406 6653080.848700854, 257698.37902047078 6653078.92198952, 257702.29449250677 6653075.660488574, 257707.16735709645 6653072.045737955, 257707.8728841421 6653073.574194739, 257699.55624658693 6653080.977903983)</t>
  </si>
  <si>
    <t>POLYGON ((257698.80252083406 6653080.848700854, 257698.37902047078 6653078.92198952, 257702.29449250677 6653075.660488574, 257707.16735709645 6653072.045737955, 257707.8728841421 6653073.574194739, 257699.55624658693 6653080.977903983, 257698.80252083406 6653080.848700854))</t>
  </si>
  <si>
    <t>['KV14622 S3D1 m8-19']</t>
  </si>
  <si>
    <t>LINESTRING (263242.78267975955 6653026.01248977, 263247.26241919387 6653027.902659066, 263241.62800281565 6653037.265002611, 263240.7594719826 6653036.650698227, 263241.38633515814 6653027.911183281, 263242.09832442383 6653025.911227992)</t>
  </si>
  <si>
    <t>POLYGON ((263242.78267975955 6653026.01248977, 263247.26241919387 6653027.902659066, 263241.62800281565 6653037.265002611, 263240.7594719826 6653036.650698227, 263241.38633515814 6653027.911183281, 263242.09832442383 6653025.911227992, 263242.78267975955 6653026.01248977))</t>
  </si>
  <si>
    <t>['KV14622 S4D1 m4762 KD1 m0-57']</t>
  </si>
  <si>
    <t>LINESTRING (263256.5052951636 6653017.415418023, 263258.18295080756 6653014.2256154, 263258.51057725656 6653011.211771532, 263256.4518140195 6653006.017087483, 263253.13628819026 6653004.722240936, 263249.9041208849 6653004.639278945, 263246.6534615994 6653006.71278594, 263244.1644289257 6653010.70286246, 263246.06666743 6653015.204047519, 263247.6671752483 6653017.010951365, 263250.2424154185 6653018.118779606, 263253.56708069606 6653018.508488957, 263256.42232116987 6653017.431909074)</t>
  </si>
  <si>
    <t>POLYGON ((263256.5052951636 6653017.415418023, 263258.18295080756 6653014.2256154, 263258.51057725656 6653011.211771532, 263256.4518140195 6653006.017087483, 263253.13628819026 6653004.722240936, 263249.9041208849 6653004.639278945, 263246.6534615994 6653006.71278594, 263244.1644289257 6653010.70286246, 263246.06666743 6653015.204047519, 263247.6671752483 6653017.010951365, 263250.2424154185 6653018.118779606, 263253.56708069606 6653018.508488957, 263256.42232116987 6653017.431909074, 263256.5052951636 6653017.415418023))</t>
  </si>
  <si>
    <t>[10494]</t>
  </si>
  <si>
    <t>['KV10494 S2D1 m7-18']</t>
  </si>
  <si>
    <t>LINESTRING (263209.45919864404 6652784.15745014, 263209.065063568 6652785.087289275, 263201.27823917766 6652778.462266003, 263207.2934961193 6652772.671310551, 263209.80869754066 6652784.190859235)</t>
  </si>
  <si>
    <t>POLYGON ((263209.45919864404 6652784.15745014, 263209.065063568 6652785.087289275, 263201.27823917766 6652778.462266003, 263207.2934961193 6652772.671310551, 263209.80869754066 6652784.190859235, 263209.45919864404 6652784.15745014))</t>
  </si>
  <si>
    <t>['KV14622 S2D1 m69-82']</t>
  </si>
  <si>
    <t>LINESTRING (263243.50738816895 6652996.272262151, 263242.9420745082 6652992.176652211, 263241.48363401723 6652983.503940328, 263243.23985610215 6652983.983116199, 263248.51427228353 6652994.67793081, 263243.8123629177 6652996.397867659)</t>
  </si>
  <si>
    <t>POLYGON ((263243.50738816895 6652996.272262151, 263242.9420745082 6652992.176652211, 263241.48363401723 6652983.503940328, 263243.23985610215 6652983.983116199, 263248.51427228353 6652994.67793081, 263243.8123629177 6652996.397867659, 263243.50738816895 6652996.272262151))</t>
  </si>
  <si>
    <t>['KV161 S4D1 m4881 KD1 m0-88']</t>
  </si>
  <si>
    <t>LINESTRING (259979.19145803698 6650551.927385424, 259975.24145493523 6650552.485641451, 259971.7194247573 6650554.970489799, 259967.380115953 6650559.976593694, 259964.19779249592 6650564.237422703, 259959.00420601532 6650574.559202724, 259957.076070861 6650581.899071818, 259957.13890761838 6650587.523672329, 259959.8156103443 6650592.822023845, 259961.9389855896 6650595.386671457, 259965.95215885006 6650598.130026227, 259969.96532613676 6650600.873385225, 259981.49874433622 6650602.524909147, 259991.82303902443 6650599.374624719, 259996.16613687118 6650594.513485619, 259997.60464761173 6650588.869496329, 259996.07453643845 6650576.885142422, 259992.25586723164 6650565.574414598, 259987.45087331694 6650556.427376792, 259983.66099787146 6650553.669484373, 259979.79389927574 6650551.966407926)</t>
  </si>
  <si>
    <t>POLYGON ((259979.19145803698 6650551.927385424, 259975.24145493523 6650552.485641451, 259971.7194247573 6650554.970489799, 259967.380115953 6650559.976593694, 259964.19779249592 6650564.237422703, 259959.00420601532 6650574.559202724, 259957.076070861 6650581.899071818, 259957.13890761838 6650587.523672329, 259959.8156103443 6650592.822023845, 259961.9389855896 6650595.386671457, 259965.95215885006 6650598.130026227, 259969.96532613676 6650600.873385225, 259981.49874433622 6650602.524909147, 259991.82303902443 6650599.374624719, 259996.16613687118 6650594.513485619, 259997.60464761173 6650588.869496329, 259996.07453643845 6650576.885142422, 259992.25586723164 6650565.574414598, 259987.45087331694 6650556.427376792, 259983.66099787146 6650553.669484373, 259979.79389927574 6650551.966407926, 259979.19145803698 6650551.927385424))</t>
  </si>
  <si>
    <t>[10879]</t>
  </si>
  <si>
    <t>['KV10879 S1D1 m7-17']</t>
  </si>
  <si>
    <t>LINESTRING (267022.1979366451 6650178.78763871, 267018.10558323597 6650175.494925515, 267014.35518119397 6650172.113648795)</t>
  </si>
  <si>
    <t>POINT (267018.2296951408 6650175.505652751)</t>
  </si>
  <si>
    <t>['KV4 S3D1 m0 KD1 m37-45']</t>
  </si>
  <si>
    <t>LINESTRING (263983.9443861268 6650731.913891336, 263961.0610377146 6650734.9510399755, 263958.6042550307 6650734.136546409, 263957.1202249059 6650732.053840408, 263954.7341369997 6650714.718840341, 263955.22200192965 6650712.967938441, 263956.3838806482 6650712.290653735, 263957.6717145736 6650711.303809573, 263969.29301366955 6650709.65647866, 263982.46090353536 6650707.474825852, 263985.9430658298 6650707.844124989, 263988.21354254277 6650710.479596708, 263990.23467791907 6650727.983100188, 263989.6949124116 6650728.922123124, 263988.9994412564 6650729.792928543, 263985.3537343832 6650731.600476897)</t>
  </si>
  <si>
    <t>POLYGON ((263983.9443861268 6650731.913891336, 263961.0610377146 6650734.9510399755, 263958.6042550307 6650734.136546409, 263957.1202249059 6650732.053840408, 263954.7341369997 6650714.718840341, 263955.22200192965 6650712.967938441, 263956.3838806482 6650712.290653735, 263957.6717145736 6650711.303809573, 263969.29301366955 6650709.65647866, 263982.46090353536 6650707.474825852, 263985.9430658298 6650707.844124989, 263988.21354254277 6650710.479596708, 263990.23467791907 6650727.983100188, 263989.6949124116 6650728.922123124, 263988.9994412564 6650729.792928543, 263985.3537343832 6650731.600476897, 263983.9443861268 6650731.913891336))</t>
  </si>
  <si>
    <t>['KV4 S1D1 m1744-1752']</t>
  </si>
  <si>
    <t>LINESTRING (263586.4220115694 6650073.067862084, 263587.5747963153 6650072.245884771, 263583.66489675466 6650066.343080889, 263582.245343541 6650066.500942599, 263582.0299606385 6650067.865944139, 263585.82456483884 6650073.106101567)</t>
  </si>
  <si>
    <t>POLYGON ((263586.4220115694 6650073.067862084, 263587.5747963153 6650072.245884771, 263583.66489675466 6650066.343080889, 263582.245343541 6650066.500942599, 263582.0299606385 6650067.865944139, 263585.82456483884 6650073.106101567, 263586.4220115694 6650073.067862084))</t>
  </si>
  <si>
    <t>['KV161 S1D1 m110 KD1 m12-54']</t>
  </si>
  <si>
    <t>LINESTRING (264000.00863365986 6648699.930871939, 263997.8833914265 6648700.814776899, 263997.1839416124 6648702.9476597095, 263997.5814147971 6648705.043991675, 263999.3996582198 6648705.676059335, 264001.38828937616 6648705.024217575, 264002.7566974184 6648702.915617169, 264002.1023822103 6648700.925022353, 264000.62547749095 6648700.192986506)</t>
  </si>
  <si>
    <t>POLYGON ((264000.00863365986 6648699.930871939, 263997.8833914265 6648700.814776899, 263997.1839416124 6648702.9476597095, 263997.5814147971 6648705.043991675, 263999.3996582198 6648705.676059335, 264001.38828937616 6648705.024217575, 264002.7566974184 6648702.915617169, 264002.1023822103 6648700.925022353, 264000.62547749095 6648700.192986506, 264000.00863365986 6648699.930871939))</t>
  </si>
  <si>
    <t>['KV18 S1D1 m0 KD1 m3-33']</t>
  </si>
  <si>
    <t>LINESTRING (257097.91904708426 6650021.917996099, 257101.81095772312 6650020.467015123, 257103.063077604 6650018.95507861, 257104.06771056965 6650017.090847674, 257104.0510179965 6650014.534300713, 257101.78393581393 6650010.930675811, 257099.68869815153 6650009.940409185, 257096.30650236525 6650010.017622542, 257094.1356255477 6650011.288421549, 257092.24661039456 6650013.434187309, 257091.90381464525 6650016.237749994, 257093.19418548056 6650019.8274163585, 257095.30404576508 6650021.040092573, 257097.38977238364 6650021.885787925)</t>
  </si>
  <si>
    <t>POLYGON ((257097.91904708426 6650021.917996099, 257101.81095772312 6650020.467015123, 257103.063077604 6650018.95507861, 257104.06771056965 6650017.090847674, 257104.0510179965 6650014.534300713, 257101.78393581393 6650010.930675811, 257099.68869815153 6650009.940409185, 257096.30650236525 6650010.017622542, 257094.1356255477 6650011.288421549, 257092.24661039456 6650013.434187309, 257091.90381464525 6650016.237749994, 257093.19418548056 6650019.8274163585, 257095.30404576508 6650021.040092573, 257097.38977238364 6650021.885787925, 257097.91904708426 6650021.917996099))</t>
  </si>
  <si>
    <t>['KV10494 S1D1 m444 KD1 m21-74']</t>
  </si>
  <si>
    <t>LINESTRING (263182.6978007124 6652747.693950031, 263178.7973633085 6652750.121882443, 263176.0558087328 6652754.195202954, 263175.54649397393 6652760.314047799, 263175.908144851 6652762.457286641, 263177.03244485904 6652764.786092704, 263178.8125983606 6652766.771291851, 263182.59782569064 6652769.532360698, 263184.8291978326 6652770.51705301, 263187.42881365074 6652770.517730068, 263194.43152943725 6652768.415581713, 263196.9678163714 6652765.159490475, 263197.9546818008 6652764.124609616, 263198.6264298976 6652761.758712707, 263199.145320923 6652756.923494196, 263197.6388286408 6652752.218248342, 263194.116355767 6652748.837270117, 263190.47203962645 6652747.049864538, 263186.89909154 6652746.374608134, 263183.11620158964 6652747.142237542)</t>
  </si>
  <si>
    <t>POLYGON ((263182.6978007124 6652747.693950031, 263178.7973633085 6652750.121882443, 263176.0558087328 6652754.195202954, 263175.54649397393 6652760.314047799, 263175.908144851 6652762.457286641, 263177.03244485904 6652764.786092704, 263178.8125983606 6652766.771291851, 263182.59782569064 6652769.532360698, 263184.8291978326 6652770.51705301, 263187.42881365074 6652770.517730068, 263194.43152943725 6652768.415581713, 263196.9678163714 6652765.159490475, 263197.9546818008 6652764.124609616, 263198.6264298976 6652761.758712707, 263199.145320923 6652756.923494196, 263197.6388286408 6652752.218248342, 263194.116355767 6652748.837270117, 263190.47203962645 6652747.049864538, 263186.89909154 6652746.374608134, 263183.11620158964 6652747.142237542, 263182.6978007124 6652747.693950031))</t>
  </si>
  <si>
    <t>[20130]</t>
  </si>
  <si>
    <t>['KV20130 S1D1 m8-19']</t>
  </si>
  <si>
    <t>LINESTRING (263264.63288675435 6653022.287723207, 263267.2874909834 6653017.996690098, 263274.4277965541 6653025.031801424, 263274.76155941945 6653026.74131108, 263264.40427031904 6653022.391729267)</t>
  </si>
  <si>
    <t>POLYGON ((263264.63288675435 6653022.287723207, 263267.2874909834 6653017.996690098, 263274.4277965541 6653025.031801424, 263274.76155941945 6653026.74131108, 263264.40427031904 6653022.391729267, 263264.63288675435 6653022.287723207))</t>
  </si>
  <si>
    <t>['KV20130 S1D1 m166-175']</t>
  </si>
  <si>
    <t>LINESTRING (263415.6679100999 6653080.943722169, 263418.76064443466 6653081.125100565, 263418.55782530486 6653083.204039206, 263418.26171502774 6653083.915392827, 263418.03641307086 6653083.896337559, 263414.43531413673 6653082.776009393, 263409.20403336623 6653081.481035013, 263408.9580502033 6653081.139457239, 263408.96014661004 6653080.647965452, 263409.3025663979 6653080.134651317, 263412.3892618427 6653080.483919894, 263415.51014403347 6653080.842166124)</t>
  </si>
  <si>
    <t>POLYGON ((263415.6679100999 6653080.943722169, 263418.76064443466 6653081.125100565, 263418.55782530486 6653083.204039206, 263418.26171502774 6653083.915392827, 263418.03641307086 6653083.896337559, 263414.43531413673 6653082.776009393, 263409.20403336623 6653081.481035013, 263408.9580502033 6653081.139457239, 263408.96014661004 6653080.647965452, 263409.3025663979 6653080.134651317, 263412.3892618427 6653080.483919894, 263415.51014403347 6653080.842166124, 263415.6679100999 6653080.943722169))</t>
  </si>
  <si>
    <t>['KV20130 S1D1 m181 KD1 m12-43']</t>
  </si>
  <si>
    <t>LINESTRING (263429.57343535987 6653090.750302438, 263432.1546040372 6653091.690359834, 263434.85297764256 6653091.662524484, 263436.3852896162 6653091.184594575, 263437.8731810963 6653090.363329971, 263439.61561827455 6653088.531864722, 263440.50614688953 6653085.470791088, 263440.06814630504 6653082.4837277625, 263439.0913173414 6653080.703767523, 263438.288817257 6653079.895344518, 263436.4827577926 6653078.637573224, 263436.3554891475 6653078.400054521, 263431.55304249766 6653078.026766733, 263429.44754696114 6653079.088642046, 263428.68409283366 6653079.762956031, 263427.9104450605 6653080.627766315, 263426.90834751964 6653082.21075856, 263426.5356321976 6653085.484313826, 263426.8998192281 6653087.057873771, 263427.4474018867 6653088.608507629, 263429.56986997323 6653090.6946950015)</t>
  </si>
  <si>
    <t>POLYGON ((263429.57343535987 6653090.750302438, 263432.1546040372 6653091.690359834, 263434.85297764256 6653091.662524484, 263436.3852896162 6653091.184594575, 263437.8731810963 6653090.363329971, 263439.61561827455 6653088.531864722, 263440.50614688953 6653085.470791088, 263440.06814630504 6653082.4837277625, 263439.0913173414 6653080.703767523, 263438.288817257 6653079.895344518, 263436.4827577926 6653078.637573224, 263436.3554891475 6653078.400054521, 263431.55304249766 6653078.026766733, 263429.44754696114 6653079.088642046, 263428.68409283366 6653079.762956031, 263427.9104450605 6653080.627766315, 263426.90834751964 6653082.21075856, 263426.5356321976 6653085.484313826, 263426.8998192281 6653087.057873771, 263427.4474018867 6653088.608507629, 263429.56986997323 6653090.6946950015, 263429.57343535987 6653090.750302438))</t>
  </si>
  <si>
    <t>['KV20130 S2D1 m5-15']</t>
  </si>
  <si>
    <t>LINESTRING (263446.2313375649 6653076.907003494, 263446.6796276732 6653077.782806071, 263447.4810753999 6653078.836976697, 263451.28023897705 6653075.969114413, 263455.49028256774 6653073.655609567, 263455.6045549996 6653073.0787563715, 263455.2530365996 6653072.576433672, 263454.60632633616 6653072.450386127, 263451.24938079866 6653074.351848506, 263449.02172663156 6653075.34337333, 263446.2618348087 6653076.7710418105)</t>
  </si>
  <si>
    <t>POLYGON ((263446.2313375649 6653076.907003494, 263446.6796276732 6653077.782806071, 263447.4810753999 6653078.836976697, 263451.28023897705 6653075.969114413, 263455.49028256774 6653073.655609567, 263455.6045549996 6653073.0787563715, 263455.2530365996 6653072.576433672, 263454.60632633616 6653072.450386127, 263451.24938079866 6653074.351848506, 263449.02172663156 6653075.34337333, 263446.2618348087 6653076.7710418105, 263446.2313375649 6653076.907003494))</t>
  </si>
  <si>
    <t>[16161]</t>
  </si>
  <si>
    <t>['KV16161 S8D1 m272 KD1 m0-41']</t>
  </si>
  <si>
    <t>LINESTRING (263834.99388310063 6653075.029700587, 263834.99858305044 6653076.503457389, 263836.9951873036 6653079.6029540505, 263840.1434937869 6653081.266349355, 263842.4966449446 6653081.796928231, 263844.2608372349 6653081.002818244, 263847.28226024215 6653078.933361755, 263849.09680029587 6653074.462056038, 263847.4461640186 6653069.7658492755, 263843.7001979891 6653067.604679255, 263839.3596765172 6653067.882494349, 263835.9588356805 6653071.025949708, 263835.1541365173 6653074.9077722225)</t>
  </si>
  <si>
    <t>POLYGON ((263834.99388310063 6653075.029700587, 263834.99858305044 6653076.503457389, 263836.9951873036 6653079.6029540505, 263840.1434937869 6653081.266349355, 263842.4966449446 6653081.796928231, 263844.2608372349 6653081.002818244, 263847.28226024215 6653078.933361755, 263849.09680029587 6653074.462056038, 263847.4461640186 6653069.7658492755, 263843.7001979891 6653067.604679255, 263839.3596765172 6653067.882494349, 263835.9588356805 6653071.025949708, 263835.1541365173 6653074.9077722225, 263834.99388310063 6653075.029700587))</t>
  </si>
  <si>
    <t>[18368]</t>
  </si>
  <si>
    <t>['KV18368 S3D1 m96-109']</t>
  </si>
  <si>
    <t>LINESTRING (263860.11395919253 6653072.595562057, 263866.01148801786 6653069.861867368, 263871.6537884766 6653067.691704191, 263870.55296475627 6653066.946955748, 263859.3072951713 6653068.481861574, 263860.3046104252 6653072.248347467)</t>
  </si>
  <si>
    <t>POLYGON ((263860.11395919253 6653072.595562057, 263866.01148801786 6653069.861867368, 263871.6537884766 6653067.691704191, 263870.55296475627 6653066.946955748, 263859.3072951713 6653068.481861574, 263860.3046104252 6653072.248347467, 263860.11395919253 6653072.595562057))</t>
  </si>
  <si>
    <t>['KV18368 S3D1 m10-20']</t>
  </si>
  <si>
    <t>LINESTRING (263939.6476969255 6653036.048605029, 263946.75773322815 6653028.53613783, 263949.27004614717 6653031.379354464, 263940.6078384463 6653036.958713024, 263939.8956522254 6653036.3342524525)</t>
  </si>
  <si>
    <t>POLYGON ((263939.6476969255 6653036.048605029, 263946.75773322815 6653028.53613783, 263949.27004614717 6653031.379354464, 263940.6078384463 6653036.958713024, 263939.8956522254 6653036.3342524525, 263939.6476969255 6653036.048605029))</t>
  </si>
  <si>
    <t>[15220]</t>
  </si>
  <si>
    <t>['KV15220 S1D1 m160 KD1 m0-49']</t>
  </si>
  <si>
    <t>LINESTRING (263958.67894099455 6653011.726411413, 263955.21905214223 6653015.175032378, 263954.6770639331 6653018.436988473, 263955.55146781215 6653021.597166475, 263957.9321607267 6653024.046794361, 263961.63210677844 6653025.138982753, 263963.5286758328 6653024.749647233, 263965.5288895448 6653024.141508224, 263967.5319111112 6653022.438818105, 263968.5546900936 6653020.474989799, 263968.88277247734 6653017.371892005, 263967.2167761131 6653013.659328018, 263963.7032535429 6653011.62834096, 263959.48484782584 6653011.451514656)</t>
  </si>
  <si>
    <t>POLYGON ((263958.67894099455 6653011.726411413, 263955.21905214223 6653015.175032378, 263954.6770639331 6653018.436988473, 263955.55146781215 6653021.597166475, 263957.9321607267 6653024.046794361, 263961.63210677844 6653025.138982753, 263963.5286758328 6653024.749647233, 263965.5288895448 6653024.141508224, 263967.5319111112 6653022.438818105, 263968.5546900936 6653020.474989799, 263968.88277247734 6653017.371892005, 263967.2167761131 6653013.659328018, 263963.7032535429 6653011.62834096, 263959.48484782584 6653011.451514656, 263958.67894099455 6653011.726411413))</t>
  </si>
  <si>
    <t>['KV18368 S1D1 m11-22']</t>
  </si>
  <si>
    <t>LINESTRING (264195.4036417104 6652843.45713699, 264197.4962843581 6652840.699163646, 264202.1210061065 6652834.60795739, 264204.1045313981 6652836.279093916, 264196.35675685457 6652844.345424528, 264195.64824558015 6652843.865851966)</t>
  </si>
  <si>
    <t>POLYGON ((264195.4036417104 6652843.45713699, 264197.4962843581 6652840.699163646, 264202.1210061065 6652834.60795739, 264204.1045313981 6652836.279093916, 264196.35675685457 6652844.345424528, 264195.64824558015 6652843.865851966, 264195.4036417104 6652843.45713699))</t>
  </si>
  <si>
    <t>['KV17126 S4D1 m443-461']</t>
  </si>
  <si>
    <t>LINESTRING (267973.53121211973 6650697.534308134, 267984.9348228472 6650711.601561634, 267984.45199486485 6650712.301856002, 267981.0244629743 6650713.946453097, 267978.1879586254 6650707.514415361, 267972.9282989584 6650697.572190578)</t>
  </si>
  <si>
    <t>POLYGON ((267973.53121211973 6650697.534308134, 267984.9348228472 6650711.601561634, 267984.45199486485 6650712.301856002, 267981.0244629743 6650713.946453097, 267978.1879586254 6650707.514415361, 267972.9282989584 6650697.572190578, 267973.53121211973 6650697.534308134))</t>
  </si>
  <si>
    <t>['KV11129 S1D1 m0 KD1 m10-57']</t>
  </si>
  <si>
    <t>LINESTRING (264892.24374035356 6651653.4902408095, 264897.4527729646 6651655.0345121985, 264902.1263724448 6651654.066862645, 264905.9066728243 6651652.095263605, 264908.9081618304 6651648.453581328, 264909.52028251614 6651645.042230975, 264909.5055543744 6651641.291129766, 264908.53221791604 6651639.030423921, 264906.04804578447 6651634.956413661, 264905.2068131735 6651634.418147059, 264904.33005321305 6651633.937977079, 264902.4881115311 6651633.1731041325, 264898.571912274 6651632.395163833, 264896.5730443663 6651632.421962645, 264894.6356284114 6651633.237690708, 264891.5207223607 6651635.010587474, 264890.3682195259 6651635.832162678, 264888.23697609385 6651638.97176405, 264887.0534049376 6651641.593172159, 264887.18816935737 6651646.0848050555, 264888.781150965 6651649.891725814, 264891.55425097956 6651653.310817256)</t>
  </si>
  <si>
    <t>POLYGON ((264892.24374035356 6651653.4902408095, 264897.4527729646 6651655.0345121985, 264902.1263724448 6651654.066862645, 264905.9066728243 6651652.095263605, 264908.9081618304 6651648.453581328, 264909.52028251614 6651645.042230975, 264909.5055543744 6651641.291129766, 264908.53221791604 6651639.030423921, 264906.04804578447 6651634.956413661, 264905.2068131735 6651634.418147059, 264904.33005321305 6651633.937977079, 264902.4881115311 6651633.1731041325, 264898.571912274 6651632.395163833, 264896.5730443663 6651632.421962645, 264894.6356284114 6651633.237690708, 264891.5207223607 6651635.010587474, 264890.3682195259 6651635.832162678, 264888.23697609385 6651638.97176405, 264887.0534049376 6651641.593172159, 264887.18816935737 6651646.0848050555, 264888.781150965 6651649.891725814, 264891.55425097956 6651653.310817256, 264892.24374035356 6651653.4902408095))</t>
  </si>
  <si>
    <t>['KV4 S3D1 m774 KD1 m44-124']</t>
  </si>
  <si>
    <t>LINESTRING (264186.7910902257 6651498.464061512, 264187.1020160935 6651493.943914952, 264185.5637551921 6651488.637361585, 264179.0782763921 6651481.24592132, 264171.85888812644 6651478.859504513, 264163.63545738906 6651479.529987635, 264159.36980601493 6651481.008517311, 264155.8897295152 6651483.028716453, 264152.8276582028 6651485.100384061, 264151.0248898793 6651488.900653573, 264149.82472464093 6651493.097938811, 264150.12336452096 6651499.790210646, 264151.4248080042 6651504.196190753, 264153.52316967037 6651508.09341445, 264156.4239264542 6651511.392197272, 264160.3223243897 6651513.990732388, 264164.2220238928 6651515.293819537, 264168.4625802124 6651515.089929585, 264173.8294635894 6651514.445585612, 264182.4624689601 6651508.344145323, 264187.0852886513 6651500.700996077)</t>
  </si>
  <si>
    <t>POLYGON ((264186.7910902257 6651498.464061512, 264187.1020160935 6651493.943914952, 264185.5637551921 6651488.637361585, 264179.0782763921 6651481.24592132, 264171.85888812644 6651478.859504513, 264163.63545738906 6651479.529987635, 264159.36980601493 6651481.008517311, 264155.8897295152 6651483.028716453, 264152.8276582028 6651485.100384061, 264151.0248898793 6651488.900653573, 264149.82472464093 6651493.097938811, 264150.12336452096 6651499.790210646, 264151.4248080042 6651504.196190753, 264153.52316967037 6651508.09341445, 264156.4239264542 6651511.392197272, 264160.3223243897 6651513.990732388, 264164.2220238928 6651515.293819537, 264168.4625802124 6651515.089929585, 264173.8294635894 6651514.445585612, 264182.4624689601 6651508.344145323, 264187.0852886513 6651500.700996077, 264186.7910902257 6651498.464061512))</t>
  </si>
  <si>
    <t>2025-11-22T09:10:38Z</t>
  </si>
  <si>
    <t>[102]</t>
  </si>
  <si>
    <t>['FV102 S1D1 m5671-5701']</t>
  </si>
  <si>
    <t>LINESTRING Z (299382.2307652462 6542693.808839464 91.13, 299385.27209753706 6542693.344288072 91.08, 299388.06457488914 6542692.681193156 91.22, 299392.6219354963 6542691.095994364 91.13, 299396.0061597789 6542689.977926196 91.3, 299397.1700325281 6542689.742614201 91.26, 299398.0855511721 6542689.760640292 91.3, 299400.1046749782 6542690.10113366 91.3, 299402.45045819704 6542690.723553001 91.3, 299399.31080953067 6542692.773675346 91.3, 299397.7853139236 6542693.342820021 91.3, 299396.52361336723 6542693.607022761 91.35000000000001, 299392.0368784766 6542694.191626124 91.35000000000001, 299385.9590933067 6542694.728619943 91.21000000000001, 299383.53292002925 6542694.886733005 91.04, 299383.0402932558 6542694.880858247 91.10000000000001, 299379.40441893425 6542694.876695508 91.14, 299379.4849076227 6542693.985683164 91.10000000000001, 299382.2307652462 6542693.808839464 91.13)</t>
  </si>
  <si>
    <t>POLYGON Z ((299382.2307652462 6542693.808839464 91.13, 299385.27209753706 6542693.344288072 91.08, 299388.06457488914 6542692.681193156 91.22, 299392.6219354963 6542691.095994364 91.13, 299396.0061597789 6542689.977926196 91.3, 299397.1700325281 6542689.742614201 91.26, 299398.0855511721 6542689.760640292 91.3, 299400.1046749782 6542690.10113366 91.3, 299402.45045819704 6542690.723553001 91.3, 299399.31080953067 6542692.773675346 91.3, 299397.7853139236 6542693.342820021 91.3, 299396.52361336723 6542693.607022761 91.35000000000001, 299392.0368784766 6542694.191626124 91.35000000000001, 299385.9590933067 6542694.728619943 91.21000000000001, 299383.53292002925 6542694.886733005 91.04, 299383.0402932558 6542694.880858247 91.10000000000001, 299379.40441893425 6542694.876695508 91.14, 299379.4849076227 6542693.985683164 91.10000000000001, 299382.2307652462 6542693.808839464 91.13))</t>
  </si>
  <si>
    <t>['FV921 S2D1 m180-291']</t>
  </si>
  <si>
    <t>LINESTRING Z (291223.259406975 6560405.094115842 50.33, 291222.50269133714 6560400.933941492 50.61, 291221.1320954086 6560391.747001581 50.980000000000004, 291220.2048475328 6560381.907426813 51.76, 291219.8640186571 6560371.442493741 52.08, 291220.0087651309 6560359.567842134 52.7, 291220.94620521454 6560347.350547063 53.32, 291222.33954235783 6560337.070759329 53.78, 291222.8140338276 6560333.532777213 54, 291222.5706033774 6560333.283543523 54.02, 291222.3062664723 6560333.136631544 54.02, 291222.0173475855 6560333.162678492 54.02, 291221.8134366402 6560333.351804487 54.02, 291221.5614255912 6560333.675834875 54.02, 291220.2121375934 6560340.767800617 53.61, 291219.14031524083 6560349.823403464 53.22, 291218.4896351928 6560357.645839609 52.800000000000004, 291218.3055855831 6560363.959828277 52.54, 291217.9942058915 6560372.203641794 52.160000000000004, 291217.62487207237 6560378.022106242 51.910000000000004, 291217.0322944019 6560382.03274467 51.79, 291216.68037011864 6560386.37321668 51.57, 291216.51847027475 6560390.927562309 51.4, 291217.0450371371 6560397.659583987 51.06, 291217.5871465037 6560401.778843929 50.85, 291219.8311059084 6560411.740761058 50.36, 291222.07076518243 6560418.981224503 50.1, 291227.0693169794 6560430.643280288 49.36, 291231.06983749825 6560438.699232584 48.89, 291231.8149140803 6560439.053896042 48.83, 291232.45987901604 6560438.855138133 48.870000000000005, 291232.4414309773 6560438.093480601 48.89, 291229.0390168355 6560428.31635359 49.25, 291225.4461192496 6560415.312285855 50.04, 291223.259406975 6560405.094115842 50.33)</t>
  </si>
  <si>
    <t>POLYGON Z ((291223.259406975 6560405.094115842 50.33, 291222.50269133714 6560400.933941492 50.61, 291221.1320954086 6560391.747001581 50.980000000000004, 291220.2048475328 6560381.907426813 51.76, 291219.8640186571 6560371.442493741 52.08, 291220.0087651309 6560359.567842134 52.7, 291220.94620521454 6560347.350547063 53.32, 291222.33954235783 6560337.070759329 53.78, 291222.8140338276 6560333.532777213 54, 291222.5706033774 6560333.283543523 54.02, 291222.3062664723 6560333.136631544 54.02, 291222.0173475855 6560333.162678492 54.02, 291221.8134366402 6560333.351804487 54.02, 291221.5614255912 6560333.675834875 54.02, 291220.2121375934 6560340.767800617 53.61, 291219.14031524083 6560349.823403464 53.22, 291218.4896351928 6560357.645839609 52.800000000000004, 291218.3055855831 6560363.959828277 52.54, 291217.9942058915 6560372.203641794 52.160000000000004, 291217.62487207237 6560378.022106242 51.910000000000004, 291217.0322944019 6560382.03274467 51.79, 291216.68037011864 6560386.37321668 51.57, 291216.51847027475 6560390.927562309 51.4, 291217.0450371371 6560397.659583987 51.06, 291217.5871465037 6560401.778843929 50.85, 291219.8311059084 6560411.740761058 50.36, 291222.07076518243 6560418.981224503 50.1, 291227.0693169794 6560430.643280288 49.36, 291231.06983749825 6560438.699232584 48.89, 291231.8149140803 6560439.053896042 48.83, 291232.45987901604 6560438.855138133 48.870000000000005, 291232.4414309773 6560438.093480601 48.89, 291229.0390168355 6560428.31635359 49.25, 291225.4461192496 6560415.312285855 50.04, 291223.259406975 6560405.094115842 50.33))</t>
  </si>
  <si>
    <t>['FV104 S1D1 m1169-1179']</t>
  </si>
  <si>
    <t>LINESTRING Z (291360.19558371964 6560559.062156752 40.54, 291359.50666957954 6560561.112915304 40.54, 291358.5090554161 6560565.42120265 40.43, 291358.2492707529 6560567.664277776 40.34, 291358.42826900596 6560568.090062258 40.34, 291358.7288639952 6560568.193529957 40.34, 291359.1410103892 6560568.086067038 40.34, 291359.47729574377 6560567.694176545 40.34, 291359.69051847083 6560567.162725528 40.34, 291361.1807961749 6560562.860240472 40.43, 291361.6191767219 6560560.3700593645 40.43, 291361.69423290645 6560559.308705865 40.43, 291361.6329081719 6560558.962705671 40.43, 291361.34791292914 6560558.5866520945 40.43, 291361.0237997852 6560558.445129919 40.43, 291360.65607779485 6560558.488325615 40.54, 291360.25005346135 6560558.886503401 40.54, 291360.19558371964 6560559.062156752 40.54)</t>
  </si>
  <si>
    <t>POLYGON Z ((291360.19558371964 6560559.062156752 40.54, 291359.50666957954 6560561.112915304 40.54, 291358.5090554161 6560565.42120265 40.43, 291358.2492707529 6560567.664277776 40.34, 291358.42826900596 6560568.090062258 40.34, 291358.7288639952 6560568.193529957 40.34, 291359.1410103892 6560568.086067038 40.34, 291359.47729574377 6560567.694176545 40.34, 291359.69051847083 6560567.162725528 40.34, 291361.1807961749 6560562.860240472 40.43, 291361.6191767219 6560560.3700593645 40.43, 291361.69423290645 6560559.308705865 40.43, 291361.6329081719 6560558.962705671 40.43, 291361.34791292914 6560558.5866520945 40.43, 291361.0237997852 6560558.445129919 40.43, 291360.65607779485 6560558.488325615 40.54, 291360.25005346135 6560558.886503401 40.54, 291360.19558371964 6560559.062156752 40.54))</t>
  </si>
  <si>
    <t>[103]</t>
  </si>
  <si>
    <t>['FV103 S1D1 m2980-2986']</t>
  </si>
  <si>
    <t>LINESTRING Z (296489.129217392 6559540.343245465 84.10000000000001, 296489.00551321806 6559539.862278311 84.12, 296488.49810407386 6559539.024214978 84.21000000000001, 296487.5779177946 6559537.952195149 84.15, 296485.63857029215 6559536.158548061 84.25, 296484.299070099 6559535.114285245 84.21000000000001, 296484.21577952546 6559535.0816207575 84.21000000000001, 296484.16507003596 6559535.076148871 84.21000000000001, 296484.14694163145 6559535.097869594 84.21000000000001, 296484.13060938637 6559535.139514883 84.21000000000001, 296484.1386921031 6559535.22917542 84.21000000000001, 296484.60314084764 6559536.593360175 84.28, 296485.0984579348 6559537.854329782 84.34, 296485.3787809703 6559538.401524007 84.34, 296485.780364147 6559539.068349014 84.28, 296486.73860341666 6559540.116851968 84.31, 296487.61568187654 6559540.710682272 84.18, 296488.32634598773 6559541.018217243 84.09, 296488.3562328325 6559541.015523002 84.09, 296488.8905203137 6559541.037660725 84.03, 296489.05538869847 6559540.9725819575 84.03, 296489.1351703506 6559540.854914139 84.06, 296489.19331468 6559540.608634744 84.09, 296489.129217392 6559540.343245465 84.10000000000001)</t>
  </si>
  <si>
    <t>POLYGON Z ((296489.129217392 6559540.343245465 84.10000000000001, 296489.00551321806 6559539.862278311 84.12, 296488.49810407386 6559539.024214978 84.21000000000001, 296487.5779177946 6559537.952195149 84.15, 296485.63857029215 6559536.158548061 84.25, 296484.299070099 6559535.114285245 84.21000000000001, 296484.21577952546 6559535.0816207575 84.21000000000001, 296484.16507003596 6559535.076148871 84.21000000000001, 296484.14694163145 6559535.097869594 84.21000000000001, 296484.13060938637 6559535.139514883 84.21000000000001, 296484.1386921031 6559535.22917542 84.21000000000001, 296484.60314084764 6559536.593360175 84.28, 296485.0984579348 6559537.854329782 84.34, 296485.3787809703 6559538.401524007 84.34, 296485.780364147 6559539.068349014 84.28, 296486.73860341666 6559540.116851968 84.31, 296487.61568187654 6559540.710682272 84.18, 296488.32634598773 6559541.018217243 84.09, 296488.3562328325 6559541.015523002 84.09, 296488.8905203137 6559541.037660725 84.03, 296489.05538869847 6559540.9725819575 84.03, 296489.1351703506 6559540.854914139 84.06, 296489.19331468 6559540.608634744 84.09, 296489.129217392 6559540.343245465 84.10000000000001))</t>
  </si>
  <si>
    <t>[312]</t>
  </si>
  <si>
    <t>['FV312 S1D1 m946-991']</t>
  </si>
  <si>
    <t>LINESTRING (233056.0360808884 6580753.355721708, 233100.37250369543 6580753.598821246)</t>
  </si>
  <si>
    <t>POINT (233078.20429229192 6580753.477271477)</t>
  </si>
  <si>
    <t>[3034]</t>
  </si>
  <si>
    <t>['FV3034 S1D1 m258-261']</t>
  </si>
  <si>
    <t>LINESTRING (220332.80422026862 6562573.714160808, 220334.36696656916 6562571.637374003)</t>
  </si>
  <si>
    <t>POINT (220333.58559341892 6562572.675767407)</t>
  </si>
  <si>
    <t>['FV3034 S1D1 m243-258']</t>
  </si>
  <si>
    <t>LINESTRING (220334.43942622148 6562571.5743481945, 220343.22279989586 6562561.2731724)</t>
  </si>
  <si>
    <t>POINT (220338.83111305867 6562566.423760297)</t>
  </si>
  <si>
    <t>['FV256 S1D1 m3768-3835']</t>
  </si>
  <si>
    <t>LINESTRING (220436.7932682304 6562332.258641167, 220425.38819735078 6562300.775386386, 220416.90470129065 6562286.007119831, 220406.16860852262 6562273.6356177665)</t>
  </si>
  <si>
    <t>POINT (220423.77100775292 6562301.644126702)</t>
  </si>
  <si>
    <t>2025-11-22T09:10:43Z</t>
  </si>
  <si>
    <t>['FV256 S1D1 m3669-3762']</t>
  </si>
  <si>
    <t>LINESTRING (220335.050904094 6562205.284470769, 220345.31781030004 6562213.881272505, 220354.75148265343 6562222.154422558, 220367.67038441874 6562234.3274248205, 220402.75259534956 6562269.365181486)</t>
  </si>
  <si>
    <t>POINT (220369.44719809756 6562236.735393768)</t>
  </si>
  <si>
    <t>2020-10-23</t>
  </si>
  <si>
    <t>['FV1517 S1D1 m49-62']</t>
  </si>
  <si>
    <t>LINESTRING (272768.5703452892 6651281.307208351, 272773.5847429885 6651277.3230765285, 272778.365391504 6651273.203313833)</t>
  </si>
  <si>
    <t>POINT (272773.508275557 6651277.304085975)</t>
  </si>
  <si>
    <t>2025-05-27</t>
  </si>
  <si>
    <t>[1501]</t>
  </si>
  <si>
    <t>['FV1501 S1D1 m1654-1759']</t>
  </si>
  <si>
    <t>LINESTRING Z (285178.38 6650342.3 157.6, 285183.24 6650341 157.36, 285187.8 6650339.61 157.11, 285194.68 6650337.34 156.75, 285200.67 6650335.19 156.42, 285205.84 6650333.29 156.17, 285209.98 6650331.77 155.93, 285213.8 6650330.34 155.72, 285214.14 6650330.08 155.7, 285214.28 6650329.75 155.68, 285214.22 6650329.29 155.67, 285214.14 6650329.16 155.68, 285213.75 6650328.93 155.67, 285213.28 6650328.88 155.7, 285211.48 6650329.53 155.78, 285208.14 6650330.82 155.95, 285203.73 6650332.47 156.18, 285199.23 6650334.12 156.42, 285199.28 6650334.16 156.42, 285199.23 6650334.12 156.42, 285194.92 6650335.63 156.66, 285190.75 6650337.03 156.88, 285186.51 6650338.33 157.1, 285182.31 6650339.57 157.32, 285179.16 6650340.44 157.48, 285175.96 6650341.33 157.65, 285172.8 6650342.16 157.81, 285170.67 6650342.7 157.92, 285168.46 6650343.12 158.02, 285166.31 6650343.5 158.13, 285164.13 6650343.74 158.24, 285161.93 6650343.85 158.33, 285159.67 6650343.94 158.42, 285156.39 6650343.9 158.56, 285153.12 6650343.72 158.68, 285149.78 6650343.86 158.83, 285147.59 6650344.02 158.93, 285144.28 6650344.43 159.1, 285138.93 6650345.13 159.38, 285134.73 6650345.54 159.58, 285129.22 6650345.97 159.86, 285125.04 6650346.22 160.07, 285120.97 6650346.35 160.28, 285115.85 6650346.5 160.56, 285112.87 6650346.61 160.74, 285112.53 6650346.63 160.75, 285112.12 6650346.92 160.79, 285111.86 6650347.51 160.82, 285111.86 6650347.9 160.83, 285112.17 6650348.37 160.83, 285112.47 6650348.55 160.81, 285112.89 6650348.66 160.8, 285117.3 6650348.85 160.56, 285121.71 6650348.94 160.33, 285126.91 6650348.91 160.07, 285132.38 6650348.83 159.81, 285137.72 6650348.62 159.55, 285143.09 6650348.26 159.31, 285147.48 6650347.86 159.09, 285151.83 6650347.35 158.89, 285157.35 6650346.61 158.65, 285163.27 6650345.66 158.35, 285169.18 6650344.48 158.06, 285173.28 6650343.6 157.87, 285178.38 6650342.3 157.6)</t>
  </si>
  <si>
    <t>['FV1270 S1D1 m8-16']</t>
  </si>
  <si>
    <t>LINESTRING Z (283865.2428911127 6611392.4611445 138.41, 283859.3868284034 6611391.68576156 138.36, 283857.61173657444 6611391.384487957 138.31, 283857.4695818448 6611391.256736662 138.31, 283857.39446138695 6611391.092778836 138.31, 283857.34565634746 6611390.775764732 138.31, 283857.40005612245 6611390.600074869 138.31, 283857.55679423804 6611390.445249656 138.31, 283857.73071516026 6611390.369226734 138.31, 283860.3200373595 6611390.677105523 138.39000000000001, 283865.5792528225 6611391.406102938 138.36, 283865.77212547744 6611391.539304998 138.36, 283865.8698795119 6611391.731347166 138.36, 283865.8797706279 6611391.9514377015 138.36, 283865.8316521188 6611392.307365707 138.39000000000001, 283865.77819080313 6611392.382522152 138.39000000000001, 283865.6631459945 6611392.44316719 138.39000000000001, 283865.2428911127 6611392.4611445 138.41)</t>
  </si>
  <si>
    <t>POLYGON Z ((283865.2428911127 6611392.4611445 138.41, 283859.3868284034 6611391.68576156 138.36, 283857.61173657444 6611391.384487957 138.31, 283857.4695818448 6611391.256736662 138.31, 283857.39446138695 6611391.092778836 138.31, 283857.34565634746 6611390.775764732 138.31, 283857.40005612245 6611390.600074869 138.31, 283857.55679423804 6611390.445249656 138.31, 283857.73071516026 6611390.369226734 138.31, 283860.3200373595 6611390.677105523 138.39000000000001, 283865.5792528225 6611391.406102938 138.36, 283865.77212547744 6611391.539304998 138.36, 283865.8698795119 6611391.731347166 138.36, 283865.8797706279 6611391.9514377015 138.36, 283865.8316521188 6611392.307365707 138.39000000000001, 283865.77819080313 6611392.382522152 138.39000000000001, 283865.6631459945 6611392.44316719 138.39000000000001, 283865.2428911127 6611392.4611445 138.41))</t>
  </si>
  <si>
    <t>['FV1264 S1D1 m4645-4657']</t>
  </si>
  <si>
    <t>LINESTRING Z (282182.6719059397 6611170.574285921 104.15, 282183.02296409453 6611171.677570081 104.15, 282183.01014853385 6611172.09057497 104.17, 282182.8551765686 6611172.375826474 104.17, 282182.6295957483 6611172.546933893 104.17, 282182.42307518306 6611172.5957751265 104.17, 282181.06739025586 6611172.045557424 104.10000000000001, 282179.1631148793 6611170.651027135 103.97, 282176.1895622038 6611168.097727968 103.82000000000001, 282175.4734379295 6611167.178185498 103.82000000000001, 282174.46505999606 6611165.3609768925 103.75, 282173.7156899541 6611163.630802514 103.67, 282173.78644380206 6611163.302954446 103.65, 282173.914197205 6611163.160798041 103.65, 282174.2574957232 6611163.069432764 103.65, 282174.96210557246 6611163.196464959 103.77, 282175.4429757272 6611163.40403299 103.85000000000001, 282177.9640329464 6611164.843146128 103.95, 282179.63016558066 6611166.048302568 104.12, 282180.5700657475 6611166.776811133 104.12, 282181.7079657061 6611168.582287738 104.12, 282182.6719059397 6611170.574285921 104.15)</t>
  </si>
  <si>
    <t>POLYGON Z ((282182.6719059397 6611170.574285921 104.15, 282183.02296409453 6611171.677570081 104.15, 282183.01014853385 6611172.09057497 104.17, 282182.8551765686 6611172.375826474 104.17, 282182.6295957483 6611172.546933893 104.17, 282182.42307518306 6611172.5957751265 104.17, 282181.06739025586 6611172.045557424 104.10000000000001, 282179.1631148793 6611170.651027135 103.97, 282176.1895622038 6611168.097727968 103.82000000000001, 282175.4734379295 6611167.178185498 103.82000000000001, 282174.46505999606 6611165.3609768925 103.75, 282173.7156899541 6611163.630802514 103.67, 282173.78644380206 6611163.302954446 103.65, 282173.914197205 6611163.160798041 103.65, 282174.2574957232 6611163.069432764 103.65, 282174.96210557246 6611163.196464959 103.77, 282175.4429757272 6611163.40403299 103.85000000000001, 282177.9640329464 6611164.843146128 103.95, 282179.63016558066 6611166.048302568 104.12, 282180.5700657475 6611166.776811133 104.12, 282181.7079657061 6611168.582287738 104.12, 282182.6719059397 6611170.574285921 104.15))</t>
  </si>
  <si>
    <t>[1262]</t>
  </si>
  <si>
    <t>['FV1262 S1D1 m4-14']</t>
  </si>
  <si>
    <t>LINESTRING Z (290031.5041619522 6610132.963080215 179.93, 290031.9786091022 6610133.32188123 179.93, 290032.0663199383 6610133.735798318 179.93, 290031.237968456 6610135.458091357 179.93, 290027.68748688535 6610141.725900003 179.93, 290027.10420576436 6610141.828950504 179.93, 290026.54648547125 6610141.327026982 179.93, 290026.5248664623 6610140.977434018 179.93, 290027.4726425335 6610136.914043184 179.96, 290027.9100416438 6610134.3131267 179.98, 290028.1569536576 6610132.603318444 179.99, 290028.41338484763 6610132.218497634 179.99, 290028.98941037175 6610132.146237279 179.99)</t>
  </si>
  <si>
    <t>POLYGON Z ((290031.5041619522 6610132.963080215 179.93, 290031.9786091022 6610133.32188123 179.93, 290032.0663199383 6610133.735798318 179.93, 290031.237968456 6610135.458091357 179.93, 290027.68748688535 6610141.725900003 179.93, 290027.10420576436 6610141.828950504 179.93, 290026.54648547125 6610141.327026982 179.93, 290026.5248664623 6610140.977434018 179.93, 290027.4726425335 6610136.914043184 179.96, 290027.9100416438 6610134.3131267 179.98, 290028.1569536576 6610132.603318444 179.99, 290028.41338484763 6610132.218497634 179.99, 290028.98941037175 6610132.146237279 179.99, 290031.5041619522 6610132.963080215 179.93))</t>
  </si>
  <si>
    <t>['FV1262 S1D1 m149-193']</t>
  </si>
  <si>
    <t>LINESTRING Z (289942.3161307282 6610296.265983804 182.82, 289942.6729794871 6610296.213574206 182.79, 289942.9265929089 6610296.130337671 182.79, 289943.0688498933 6610295.9266108405 182.79, 289944.6834150701 6610288.468106681 182.79, 289946.4613597739 6610279.930106687 182.69, 289947.8775580268 6610275.2718473505 182.57, 289948.3841771269 6610274.211484643 182.54, 289950.4475759795 6610270.599482096 182.42000000000002, 289951.46709381073 6610268.658985837 182.32, 289951.9166444075 6610267.633925028 182.29, 289954.18874245463 6610260.115867313 182.23, 289955.3821549114 6610255.437609649 182.17000000000002, 289955.3741075249 6610255.126964527 182.17000000000002, 289955.30624772736 6610254.932224335 182.17000000000002, 289955.02466173103 6610254.70662033 182.17000000000002, 289954.7285277485 6610254.653087463 182.18, 289954.545554832 6610254.739970109 182.20000000000002, 289954.44589203974 6610254.859484408 182.20000000000002, 289950.68384243257 6610262.783688023 182.32, 289947.9565035739 6610269.378723519 182.42000000000002, 289947.290151451 6610271.447941726 182.45000000000002, 289945.840990001 6610277.183929225 182.63, 289943.4371514536 6610288.681427982 182.79, 289941.9413454913 6610295.78766879 182.82, 289941.96574560076 6610295.946167977 182.82, 289942.02819140453 6610296.081132598 182.82, 289942.1703379748 6610296.20887846 182.82, 289942.3161307282 6610296.265983804 182.82)</t>
  </si>
  <si>
    <t>POLYGON Z ((289942.3161307282 6610296.265983804 182.82, 289942.6729794871 6610296.213574206 182.79, 289942.9265929089 6610296.130337671 182.79, 289943.0688498933 6610295.9266108405 182.79, 289944.6834150701 6610288.468106681 182.79, 289946.4613597739 6610279.930106687 182.69, 289947.8775580268 6610275.2718473505 182.57, 289948.3841771269 6610274.211484643 182.54, 289950.4475759795 6610270.599482096 182.42000000000002, 289951.46709381073 6610268.658985837 182.32, 289951.9166444075 6610267.633925028 182.29, 289954.18874245463 6610260.115867313 182.23, 289955.3821549114 6610255.437609649 182.17000000000002, 289955.3741075249 6610255.126964527 182.17000000000002, 289955.30624772736 6610254.932224335 182.17000000000002, 289955.02466173103 6610254.70662033 182.17000000000002, 289954.7285277485 6610254.653087463 182.18, 289954.545554832 6610254.739970109 182.20000000000002, 289954.44589203974 6610254.859484408 182.20000000000002, 289950.68384243257 6610262.783688023 182.32, 289947.9565035739 6610269.378723519 182.42000000000002, 289947.290151451 6610271.447941726 182.45000000000002, 289945.840990001 6610277.183929225 182.63, 289943.4371514536 6610288.681427982 182.79, 289941.9413454913 6610295.78766879 182.82, 289941.96574560076 6610295.946167977 182.82, 289942.02819140453 6610296.081132598 182.82, 289942.1703379748 6610296.20887846 182.82, 289942.3161307282 6610296.265983804 182.82))</t>
  </si>
  <si>
    <t>['FV1262 S1D1 m206-224']</t>
  </si>
  <si>
    <t>LINESTRING Z (289941.6241485946 6610310.029117088 182.96, 289941.9040250937 6610318.10953744 183.02, 289940.7021088585 6610326.575277083 183.09, 289940.49462548696 6610326.835133365 183.09, 289940.2871788925 6610326.9844987495 183.09, 289939.94299977407 6610327.06589388 183.09, 289939.60246682045 6610327.076648493 183.09, 289939.3153930106 6610327.012250852 183.13, 289939.0618531541 6610326.87450565 183.13, 289938.84639576334 6610326.602734964 183.13, 289938.71428530663 6610326.253104981 183.13, 289938.7824198088 6610322.902173688 183.16, 289939.6226989028 6610312.550722711 182.97, 289939.96945533657 6610310.168943893 182.96, 289940.03475536365 6610309.89183269 182.96, 289940.21325332957 6610309.644646068 182.96, 289940.4587456371 6610309.471746144 182.96, 289940.7331865927 6610309.396667483 182.96, 289941.0166510054 6610309.421214783 182.96, 289941.2901160285 6610309.557155325 182.96, 289941.5001593012 6610309.769150461 182.96, 289941.6241485946 6610310.029117088 182.96)</t>
  </si>
  <si>
    <t>POLYGON Z ((289941.6241485946 6610310.029117088 182.96, 289941.9040250937 6610318.10953744 183.02, 289940.7021088585 6610326.575277083 183.09, 289940.49462548696 6610326.835133365 183.09, 289940.2871788925 6610326.9844987495 183.09, 289939.94299977407 6610327.06589388 183.09, 289939.60246682045 6610327.076648493 183.09, 289939.3153930106 6610327.012250852 183.13, 289939.0618531541 6610326.87450565 183.13, 289938.84639576334 6610326.602734964 183.13, 289938.71428530663 6610326.253104981 183.13, 289938.7824198088 6610322.902173688 183.16, 289939.6226989028 6610312.550722711 182.97, 289939.96945533657 6610310.168943893 182.96, 289940.03475536365 6610309.89183269 182.96, 289940.21325332957 6610309.644646068 182.96, 289940.4587456371 6610309.471746144 182.96, 289940.7331865927 6610309.396667483 182.96, 289941.0166510054 6610309.421214783 182.96, 289941.2901160285 6610309.557155325 182.96, 289941.5001593012 6610309.769150461 182.96, 289941.6241485946 6610310.029117088 182.96))</t>
  </si>
  <si>
    <t>[1250]</t>
  </si>
  <si>
    <t>['FV1250 S1D1 m7-19']</t>
  </si>
  <si>
    <t>LINESTRING Z (293622.73568868026 6606597.087693122 106.11, 293622.3039017508 6606596.534193762 106.11, 293621.14929630054 6606596.317328278 106.11, 293619.67491480807 6606596.340339962 106.11, 293617.68331514124 6606596.641193866 106.11, 293612.3352393664 6606597.476965999 106.12, 293612.18843064713 6606597.7413580725 106.12, 293612.1720339609 6606598.003986181 106.12, 293612.23443372274 6606598.24943581 106.12, 293612.60480310535 6606598.3464730615 106.12, 293617.8066515629 6606598.668954543 106.12, 293619.3173143021 6606598.491998103 106.12, 293621.0471878712 6606598.184709794 106.14, 293621.90037833486 6606597.956799345 106.14, 293622.6966212396 6606597.432725731 106.14, 293622.73568868026 6606597.087693122 106.11)</t>
  </si>
  <si>
    <t>POLYGON Z ((293622.73568868026 6606597.087693122 106.11, 293622.3039017508 6606596.534193762 106.11, 293621.14929630054 6606596.317328278 106.11, 293619.67491480807 6606596.340339962 106.11, 293617.68331514124 6606596.641193866 106.11, 293612.3352393664 6606597.476965999 106.12, 293612.18843064713 6606597.7413580725 106.12, 293612.1720339609 6606598.003986181 106.12, 293612.23443372274 6606598.24943581 106.12, 293612.60480310535 6606598.3464730615 106.12, 293617.8066515629 6606598.668954543 106.12, 293619.3173143021 6606598.491998103 106.12, 293621.0471878712 6606598.184709794 106.14, 293621.90037833486 6606597.956799345 106.14, 293622.6966212396 6606597.432725731 106.14, 293622.73568868026 6606597.087693122 106.11))</t>
  </si>
  <si>
    <t>[1246]</t>
  </si>
  <si>
    <t>['FV1246 S1D1 m4908-4914']</t>
  </si>
  <si>
    <t>LINESTRING Z (288902.87462491513 6610596.573393873 165.98, 288903.2848995649 6610596.556321887 165.98, 288903.5964863454 6610596.447744463 165.98, 288903.8284082444 6610596.235894175 165.97, 288903.78516740445 6610595.536701796 165.97, 288903.4488626098 6610593.708946267 165.95000000000002, 288903.1159479392 6610592.5839926135 165.95000000000002, 288902.2615472302 6610590.9136523735 165.94, 288901.2939109868 6610589.323879358 165.91, 288900.8682594069 6610589.2820776105 165.91, 288900.4887385956 6610589.416896994 165.91, 288900.34460291977 6610589.821684275 165.93, 288900.41870728 6610590.3071485115 165.94, 288901.0663794216 6610592.689277848 165.97, 288901.8617601967 6610594.816962462 165.98, 288902.87462491513 6610596.573393873 165.98)</t>
  </si>
  <si>
    <t>POLYGON Z ((288902.87462491513 6610596.573393873 165.98, 288903.2848995649 6610596.556321887 165.98, 288903.5964863454 6610596.447744463 165.98, 288903.8284082444 6610596.235894175 165.97, 288903.78516740445 6610595.536701796 165.97, 288903.4488626098 6610593.708946267 165.95000000000002, 288903.1159479392 6610592.5839926135 165.95000000000002, 288902.2615472302 6610590.9136523735 165.94, 288901.2939109868 6610589.323879358 165.91, 288900.8682594069 6610589.2820776105 165.91, 288900.4887385956 6610589.416896994 165.91, 288900.34460291977 6610589.821684275 165.93, 288900.41870728 6610590.3071485115 165.94, 288901.0663794216 6610592.689277848 165.97, 288901.8617601967 6610594.816962462 165.98, 288902.87462491513 6610596.573393873 165.98))</t>
  </si>
  <si>
    <t>['FV1246 S1D1 m4933-4945']</t>
  </si>
  <si>
    <t>LINESTRING Z (288910.7453938481 6610622.478189769 166.13, 288909.8921143869 6610620.154861389 166.12, 288908.8747852538 6610615.465865949 166.09, 288908.7880840795 6610614.730432383 166.1, 288908.94210924953 6610614.545726434 166.1, 288909.19572467264 6610614.462488584 166.1, 288909.5281026133 6610614.472560903 166.09, 288909.89202716097 6610614.9418188725 166.09, 288910.9510594657 6610616.764379256 166.09, 288911.98013066687 6610618.810630446 166.09, 288912.4768872367 6610620.191943035 166.09, 288913.4493899946 6610623.498869512 166.09, 288914.2533931289 6610626.941590876 166.18, 288914.22606608464 6610627.416153446 166.19, 288913.70887259534 6610627.583531574 166.19, 288913.45807392197 6610627.365181932 166.19, 288912.2306513693 6610625.346941051 166.18, 288910.7453938481 6610622.478189769 166.13)</t>
  </si>
  <si>
    <t>POLYGON Z ((288910.7453938481 6610622.478189769 166.13, 288909.8921143869 6610620.154861389 166.12, 288908.8747852538 6610615.465865949 166.09, 288908.7880840795 6610614.730432383 166.1, 288908.94210924953 6610614.545726434 166.1, 288909.19572467264 6610614.462488584 166.1, 288909.5281026133 6610614.472560903 166.09, 288909.89202716097 6610614.9418188725 166.09, 288910.9510594657 6610616.764379256 166.09, 288911.98013066687 6610618.810630446 166.09, 288912.4768872367 6610620.191943035 166.09, 288913.4493899946 6610623.498869512 166.09, 288914.2533931289 6610626.941590876 166.18, 288914.22606608464 6610627.416153446 166.19, 288913.70887259534 6610627.583531574 166.19, 288913.45807392197 6610627.365181932 166.19, 288912.2306513693 6610625.346941051 166.18, 288910.7453938481 6610622.478189769 166.13))</t>
  </si>
  <si>
    <t>['FV1246 S1D1 m9667-9675']</t>
  </si>
  <si>
    <t>LINESTRING Z (291944.45778832055 6613779.614043738 144.87, 291944.14621206897 6613779.722627014 144.88, 291943.03215985815 6613780.064624073 144.92000000000002, 291941.8918644422 6613780.338689488 144.85, 291940.7325468116 6613780.624522571 144.82, 291939.5768732163 6613780.839716133 144.79, 291938.40314713004 6613780.855661414 144.78, 291937.22490791243 6613780.821794622 144.77, 291936.8581373763 6613780.764627356 144.76, 291936.5548189234 6613780.520915638 144.74, 291936.42360293923 6613780.18125737 144.72, 291936.4807702074 6613779.814486833 144.71, 291936.734444343 6613779.510265756 144.71, 291937.07500523387 6613779.3890121905 144.72, 291938.25959637086 6613779.382126715 144.77, 291939.43606388173 6613779.285579513 144.76, 291940.60531038983 6613779.109332996 144.78, 291941.77275163925 6613778.913161657 144.83, 291942.93838763004 6613778.69706549 144.91, 291944.0940611958 6613778.481871952 145, 291944.41827418184 6613778.512762475 144.97, 291944.68990012247 6613778.739257224 144.92000000000002, 291944.7876183575 6613779.041773686 144.88, 291944.70601314475 6613779.360537376 144.86, 291944.45778832055 6613779.614043738 144.87)</t>
  </si>
  <si>
    <t>POLYGON Z ((291944.45778832055 6613779.614043738 144.87, 291944.14621206897 6613779.722627014 144.88, 291943.03215985815 6613780.064624073 144.92000000000002, 291941.8918644422 6613780.338689488 144.85, 291940.7325468116 6613780.624522571 144.82, 291939.5768732163 6613780.839716133 144.79, 291938.40314713004 6613780.855661414 144.78, 291937.22490791243 6613780.821794622 144.77, 291936.8581373763 6613780.764627356 144.76, 291936.5548189234 6613780.520915638 144.74, 291936.42360293923 6613780.18125737 144.72, 291936.4807702074 6613779.814486833 144.71, 291936.734444343 6613779.510265756 144.71, 291937.07500523387 6613779.3890121905 144.72, 291938.25959637086 6613779.382126715 144.77, 291939.43606388173 6613779.285579513 144.76, 291940.60531038983 6613779.109332996 144.78, 291941.77275163925 6613778.913161657 144.83, 291942.93838763004 6613778.69706549 144.91, 291944.0940611958 6613778.481871952 145, 291944.41827418184 6613778.512762475 144.97, 291944.68990012247 6613778.739257224 144.92000000000002, 291944.7876183575 6613779.041773686 144.88, 291944.70601314475 6613779.360537376 144.86, 291944.45778832055 6613779.614043738 144.87))</t>
  </si>
  <si>
    <t>['FV1240 S1D1 m7428-7434']</t>
  </si>
  <si>
    <t>LINESTRING Z (294113.458990547 6601949.329198085 162.97, 294111.5602876075 6601948.325904286 162.96, 294111.4852304453 6601948.051468376 162.96, 294111.7172452842 6601947.618670466 162.96, 294111.9780680463 6601947.615152589 162.96, 294112.24610387057 6601947.691333022 162.96, 294114.0805249005 6601948.650225182 162.96, 294114.21265089256 6601948.889364424 162.96, 294114.0811605777 6601949.323108285 162.96, 294113.7813459748 6601949.45068179 162.96, 294113.458990547 6601949.329198085 162.97)</t>
  </si>
  <si>
    <t>POLYGON Z ((294113.458990547 6601949.329198085 162.97, 294111.5602876075 6601948.325904286 162.96, 294111.4852304453 6601948.051468376 162.96, 294111.7172452842 6601947.618670466 162.96, 294111.9780680463 6601947.615152589 162.96, 294112.24610387057 6601947.691333022 162.96, 294114.0805249005 6601948.650225182 162.96, 294114.21265089256 6601948.889364424 162.96, 294114.0811605777 6601949.323108285 162.96, 294113.7813459748 6601949.45068179 162.96, 294113.458990547 6601949.329198085 162.97))</t>
  </si>
  <si>
    <t>['FV1240 S2D1 m8-10']</t>
  </si>
  <si>
    <t>LINESTRING Z (294129.70853249286 6601956.526415803 162.6, 294128.51327966433 6601956.082177876 162.58, 294127.69019365835 6601955.754915436 162.58, 294127.4213448682 6601955.447799169 162.58, 294127.43324338103 6601955.135361739 162.58, 294127.5691975055 6601954.861916144 162.58, 294127.8427317407 6601954.776896686 162.58, 294128.4249639098 6601954.995386969 162.58, 294129.9253524535 6601955.592798702 162.58, 294130.1181537976 6601955.83649039 162.58, 294130.1117094063 6601956.0982147455 162.58, 294129.957633981 6601956.393388176 162.58, 294129.70853249286 6601956.526415803 162.6)</t>
  </si>
  <si>
    <t>POLYGON Z ((294129.70853249286 6601956.526415803 162.6, 294128.51327966433 6601956.082177876 162.58, 294127.69019365835 6601955.754915436 162.58, 294127.4213448682 6601955.447799169 162.58, 294127.43324338103 6601955.135361739 162.58, 294127.5691975055 6601954.861916144 162.58, 294127.8427317407 6601954.776896686 162.58, 294128.4249639098 6601954.995386969 162.58, 294129.9253524535 6601955.592798702 162.58, 294130.1181537976 6601955.83649039 162.58, 294130.1117094063 6601956.0982147455 162.58, 294129.957633981 6601956.393388176 162.58, 294129.70853249286 6601956.526415803 162.6))</t>
  </si>
  <si>
    <t>2025-11-22T09:10:48Z</t>
  </si>
  <si>
    <t>['FV1200 S1D1 m5152-5160']</t>
  </si>
  <si>
    <t>LINESTRING Z (283324.3584597653 6585284.4611545745 51.56, 283329.66263688204 6585278.798839043 51.7, 283329.9904042663 6585278.980158415 51.71, 283330.1903898029 6585279.30360435 51.71, 283330.226461643 6585279.591638701 51.71, 283324.96777944476 6585284.868147841 51.51, 283324.74858763465 6585284.887954356 51.51, 283324.6028598695 6585284.720319453 51.52, 283324.4607332892 6585284.592537607 51.51, 283324.3584597653 6585284.4611545745 51.56)</t>
  </si>
  <si>
    <t>POLYGON Z ((283324.3584597653 6585284.4611545745 51.56, 283329.66263688204 6585278.798839043 51.7, 283329.9904042663 6585278.980158415 51.71, 283330.1903898029 6585279.30360435 51.71, 283330.226461643 6585279.591638701 51.71, 283324.96777944476 6585284.868147841 51.51, 283324.74858763465 6585284.887954356 51.51, 283324.6028598695 6585284.720319453 51.52, 283324.4607332892 6585284.592537607 51.51, 283324.3584597653 6585284.4611545745 51.56))</t>
  </si>
  <si>
    <t>2025-12-09T12:41:22Z</t>
  </si>
  <si>
    <t>['FV1044 S1D1 m9500-9509']</t>
  </si>
  <si>
    <t>LINESTRING Z (283054.71893359453 6605579.219081439 101.52, 283057.7336496595 6605575.46059153 101.56, 283059.78057962237 6605572.995098895 101.56, 283060.21080071304 6605572.976239897 101.56, 283060.39915796637 6605573.059636047 101.56, 283060.8654171277 6605573.549801659 101.56, 283060.90149655 6605573.948329208 101.56, 283060.5696332418 6605574.942678725 101.56, 283060.1036972115 6605576.0094351815 101.56, 283059.29536348034 6605577.177503473 101.56, 283057.1706560791 6605579.338647261 101.56, 283055.963016833 6605580.201340659 101.56, 283055.6215211021 6605580.312615684 101.56, 283055.27375280927 6605580.243651325 101.56, 283054.74586914916 6605579.849468318 101.56, 283054.6083538415 6605579.440034231 101.56, 283054.71893359453 6605579.219081439 101.52)</t>
  </si>
  <si>
    <t>POLYGON Z ((283054.71893359453 6605579.219081439 101.52, 283057.7336496595 6605575.46059153 101.56, 283059.78057962237 6605572.995098895 101.56, 283060.21080071304 6605572.976239897 101.56, 283060.39915796637 6605573.059636047 101.56, 283060.8654171277 6605573.549801659 101.56, 283060.90149655 6605573.948329208 101.56, 283060.5696332418 6605574.942678725 101.56, 283060.1036972115 6605576.0094351815 101.56, 283059.29536348034 6605577.177503473 101.56, 283057.1706560791 6605579.338647261 101.56, 283055.963016833 6605580.201340659 101.56, 283055.6215211021 6605580.312615684 101.56, 283055.27375280927 6605580.243651325 101.56, 283054.74586914916 6605579.849468318 101.56, 283054.6083538415 6605579.440034231 101.56, 283054.71893359453 6605579.219081439 101.52))</t>
  </si>
  <si>
    <t>[1036]</t>
  </si>
  <si>
    <t>['FV1036 S3D1 m8289-8294']</t>
  </si>
  <si>
    <t>LINESTRING Z (266269.45939917304 6601567.022866712 37.85, 266274.0282336192 6601567.553757848 38.2, 266274.5065345366 6601567.510474486 38.26, 266274.69324777054 6601567.242422958 38.26, 266274.68071445543 6601566.881893795 38.26, 266274.4933269809 6601566.587418905 38.25, 266274.1790593851 6601566.445072765 38.27, 266269.1156927546 6601565.778102089 37.84, 266268.807646301 6601565.926532897 37.85, 266268.6589879934 6601566.171048284 37.86, 266268.6488868905 6601566.503487128 37.85, 266268.8082295377 6601566.710084078 37.88, 266269.45939917304 6601567.022866712 37.85)</t>
  </si>
  <si>
    <t>POLYGON Z ((266269.45939917304 6601567.022866712 37.85, 266274.0282336192 6601567.553757848 38.2, 266274.5065345366 6601567.510474486 38.26, 266274.69324777054 6601567.242422958 38.26, 266274.68071445543 6601566.881893795 38.26, 266274.4933269809 6601566.587418905 38.25, 266274.1790593851 6601566.445072765 38.27, 266269.1156927546 6601565.778102089 37.84, 266268.807646301 6601565.926532897 37.85, 266268.6589879934 6601566.171048284 37.86, 266268.6488868905 6601566.503487128 37.85, 266268.8082295377 6601566.710084078 37.88, 266269.45939917304 6601567.022866712 37.85))</t>
  </si>
  <si>
    <t>2021-04-23</t>
  </si>
  <si>
    <t>['EV6 S67D1 m8123 KD5 m68-135']</t>
  </si>
  <si>
    <t>LINESTRING Z (256093.81 6988626.22 245.31, 256094.09 6988626.44 245.31, 256094.38 6988626.64 245.32, 256094.67 6988626.85 245.32, 256094.97 6988627.04 245.33, 256095.27 6988627.23 245.33, 256095.58 6988627.41 245.34, 256095.87 6988627.59 245.34, 256096.19 6988627.76 245.35, 256096.51 6988627.93 245.35, 256096.83 6988628.09 245.36, 256097.14 6988628.24 245.36, 256097.47 6988628.39 245.37, 256097.79 6988628.53 245.38, 256098.12 6988628.66 245.38, 256098.45 6988628.79 245.39000000000001, 256098.78 6988628.91 245.39000000000001, 256098.88 6988628.95 245.39000000000001, 256098.96 6988628.98 245.39000000000001, 256099.05 6988629.01 245.4, 256099.09 6988629.03 245.4, 256099.13 6988629.03 245.4, 256099.16 6988629.05 245.4, 256099.19 6988629.06 245.4, 256099.22 6988629.06 245.4, 256099.24 6988629.07 245.4, 256099.27 6988629.08 245.4, 256099.31 6988629.1 245.4, 256099.35 6988629.11 245.4, 256099.39 6988629.12 245.4, 256099.43 6988629.13 245.4, 256099.45 6988629.13 245.4, 256099.47 6988629.14 245.4, 256099.49 6988629.15 245.4, 256099.52 6988629.16 245.4, 256099.55 6988629.17 245.4, 256099.59 6988629.18 245.4, 256099.63 6988629.2 245.4, 256099.68 6988629.21 245.41, 256099.77 6988629.23 245.41, 256099.86 6988629.27 245.41, 256099.94 6988629.29 245.41, 256100.12 6988629.33 245.41, 256100.46 6988629.42 245.42000000000002, 256100.81 6988629.51 245.42000000000002, 256101.16 6988629.59 245.43, 256101.51 6988629.65 245.43, 256101.85 6988629.71 245.44, 256102.2 6988629.77 245.44, 256102.56 6988629.82 245.45000000000002, 256102.91 6988629.86 245.45000000000002, 256103.27 6988629.9 245.46, 256103.61 6988629.93 245.46, 256103.98 6988629.95 245.47, 256104.33 6988629.96 245.47, 256104.68 6988629.97 245.47, 256105.03 6988629.98 245.47, 256105.39 6988629.97 245.48000000000002, 256105.75 6988629.96 245.48000000000002, 256106.11 6988629.94 245.48000000000002, 256106.45 6988629.91 245.48000000000002, 256106.81 6988629.88 245.49, 256107.16 6988629.84 245.49, 256107.52 6988629.79 245.49, 256107.87 6988629.74 245.49, 256108.22 6988629.68 245.49, 256108.57 6988629.61 245.49, 256108.91 6988629.53 245.49, 256109.27 6988629.46 245.49, 256109.61 6988629.37 245.49, 256109.95 6988629.28 245.49, 256110.29 6988629.17 245.49, 256110.63 6988629.07 245.49, 256110.97 6988628.95 245.49, 256111.3 6988628.84 245.48000000000002, 256111.63 6988628.71 245.48000000000002, 256111.96 6988628.58 245.48000000000002, 256112.29 6988628.43 245.48000000000002, 256112.61 6988628.29 245.48000000000002, 256112.93 6988628.14 245.47, 256113.25 6988627.98 245.47, 256113.56 6988627.81 245.47, 256113.88 6988627.64 245.46, 256114.19 6988627.47 245.46, 256114.49 6988627.28 245.45000000000002, 256114.79 6988627.09 245.45000000000002, 256115.1 6988626.9 245.45000000000002, 256115.39 6988626.71 245.44, 256115.67 6988626.5 245.44, 256115.97 6988626.29 245.43, 256116.25 6988626.07 245.42000000000002, 256116.53 6988625.85 245.42000000000002, 256116.8 6988625.62 245.41, 256117.07 6988625.39 245.41, 256117.33 6988625.16 245.4, 256117.6 6988624.91 245.4, 256117.84 6988624.67 245.39000000000001, 256118.09 6988624.41 245.39000000000001, 256118.34 6988624.16 245.38, 256118.59 6988623.9 245.38, 256118.81 6988623.63 245.37, 256119.05 6988623.36 245.37, 256119.27 6988623.08 245.36, 256119.49 6988622.81 245.36, 256119.7 6988622.51 245.35, 256119.81 6988622.37 245.35, 256119.92 6988622.22 245.34, 256119.94 6988622.18 245.34, 256119.97 6988622.15 245.34, 256120 6988622.11 245.34, 256120.01 6988622.08 245.34, 256120.03 6988622.06 245.34, 256120.05 6988622.04 245.34, 256120.06 6988622.02 245.34, 256120.08 6988622 245.34, 256120.11 6988621.93 245.34, 256120.14 6988621.9 245.34, 256120.15 6988621.87 245.34, 256120.18 6988621.84 245.34, 256120.21 6988621.79 245.34, 256120.23 6988621.77 245.34, 256120.24 6988621.74 245.34, 256120.27 6988621.71 245.34, 256120.29 6988621.68 245.34, 256120.34 6988621.6 245.33, 256120.39 6988621.51 245.33, 256120.45 6988621.44 245.33, 256120.49 6988621.37 245.33, 256120.67 6988621.07 245.32, 256120.85 6988620.76 245.32, 256121.03 6988620.44 245.31, 256121.2 6988620.13 245.31, 256121.36 6988619.82 245.3, 256121.51 6988619.5 245.3, 256121.66 6988619.17 245.29, 256121.81 6988618.85 245.29, 256121.94 6988618.53 245.28, 256122.07 6988618.19 245.28, 256122.2 6988617.86 245.27, 256122.32 6988617.53 245.27, 256122.43 6988617.18 245.26, 256122.53 6988616.84 245.25, 256122.63 6988616.5 245.25, 256122.73 6988616.16 245.24, 256122.8 6988615.81 245.24, 256122.88 6988615.47 245.23000000000002, 256122.96 6988615.12 245.23000000000002, 256123.02 6988614.78 245.23000000000002, 256123.08 6988614.42 245.22, 256123.13 6988614.07 245.22, 256123.17 6988613.72 245.21, 256123.21 6988613.36 245.21, 256123.25 6988613.01 245.21, 256123.26 6988612.65 245.21, 256123.28 6988612.3 245.20000000000002, 256123.29 6988611.95 245.20000000000002, 256123.29 6988611.59 245.20000000000002, 256123.29 6988611.23 245.20000000000002, 256123.28 6988610.88 245.20000000000002, 256123.26 6988610.52 245.19, 256123.24 6988610.17 245.19, 256123.21 6988609.81 245.19, 256123.17 6988609.47 245.19, 256123.12 6988609.11 245.19, 256123.07 6988608.76 245.19, 256123.02 6988608.4 245.19, 256122.94 6988608.06 245.19, 256122.88 6988607.71 245.19, 256122.8 6988607.37 245.20000000000002, 256122.72 6988607.03 245.20000000000002, 256122.62 6988606.68 245.20000000000002, 256122.52 6988606.34 245.20000000000002, 256122.42 6988606 245.20000000000002, 256122.31 6988605.66 245.21, 256122.18 6988605.33 245.21, 256122.06 6988605 245.21, 256121.93 6988604.67 245.21, 256121.79 6988604.34 245.22, 256121.65 6988604.01 245.22, 256121.5 6988603.69 245.23000000000002, 256121.34 6988603.37 245.23000000000002, 256121.18 6988603.05 245.23000000000002, 256121.01 6988602.74 245.24, 256120.84 6988602.43 245.24, 256120.66 6988602.12 245.25, 256120.47 6988601.82 245.25, 256120.27 6988601.53 245.26, 256120.07 6988601.23 245.26, 256119.87 6988600.94 245.27, 256119.67 6988600.65 245.28, 256119.45 6988600.37 245.28, 256119.23 6988600.09 245.29, 256119.01 6988599.81 245.29, 256118.77 6988599.55 245.3, 256118.53 6988599.28 245.3, 256118.3 6988599.02 245.31, 256118.05 6988598.76 245.31, 256117.8 6988598.51 245.32, 256117.54 6988598.26 245.32, 256117.28 6988598.03 245.33, 256117.02 6988597.79 245.33, 256116.74 6988597.55 245.34, 256116.47 6988597.33 245.34, 256116.19 6988597.11 245.35, 256115.91 6988596.9 245.36, 256115.63 6988596.68 245.36, 256115.34 6988596.48 245.37, 256115.04 6988596.28 245.37, 256114.74 6988596.09 245.38, 256114.44 6988595.9 245.38, 256114.13 6988595.72 245.39000000000001, 256113.82 6988595.55 245.39000000000001, 256113.51 6988595.37 245.4, 256113.2 6988595.21 245.4, 256112.87 6988595.06 245.41, 256112.56 6988594.91 245.41, 256112.23 6988594.76 245.42000000000002, 256111.91 6988594.62 245.42000000000002, 256111.57 6988594.49 245.43, 256111.24 6988594.37 245.44, 256110.91 6988594.25 245.44, 256110.56 6988594.13 245.45000000000002, 256110.23 6988594.03 245.45000000000002, 256109.89 6988593.93 245.45000000000002, 256109.54 6988593.84 245.46, 256109.2 6988593.75 245.46, 256108.85 6988593.67 245.47, 256108.5 6988593.6 245.47, 256108.16 6988593.53 245.47, 256107.81 6988593.48 245.48000000000002, 256107.45 6988593.42 245.48000000000002, 256107.1 6988593.38 245.48000000000002, 256106.75 6988593.34 245.48000000000002, 256106.4 6988593.31 245.48000000000002, 256106.04 6988593.28 245.49, 256105.69 6988593.26 245.49, 256105.33 6988593.26 245.49, 256104.97 6988593.25 245.49, 256104.62 6988593.25 245.49, 256104.26 6988593.26 245.49, 256103.91 6988593.28 245.49, 256103.55 6988593.3 245.49, 256103.2 6988593.33 245.49, 256102.84 6988593.37 245.49, 256102.5 6988593.41 245.49, 256102.14 6988593.46 245.49, 256101.79 6988593.52 245.49, 256101.44 6988593.58 245.48000000000002, 256101.09 6988593.65 245.48000000000002, 256100.75 6988593.73 245.48000000000002, 256100.4 6988593.82 245.48000000000002, 256100.06 6988593.91 245.48000000000002, 256099.72 6988594 245.47, 256099.38 6988594.1 245.47, 256099.03 6988594.22 245.47, 256098.7 6988594.34 245.46, 256098.36 6988594.46 245.46, 256098.03 6988594.59 245.45000000000002, 256097.7 6988594.72 245.45000000000002, 256097.39 6988594.87 245.44, 256097.06 6988595.01 245.44, 256096.74 6988595.17 245.43, 256096.42 6988595.33 245.43, 256096.11 6988595.5 245.42000000000002, 256095.8 6988595.67 245.42000000000002, 256095.5 6988595.85 245.41, 256095.35 6988595.95 245.41, 256095.27 6988596 245.41, 256095.18 6988596.04 245.41, 256095.11 6988596.09 245.41, 256095.03 6988596.15 245.4, 256094.99 6988596.16 245.4, 256094.96 6988596.19 245.4, 256094.93 6988596.21 245.4, 256094.9 6988596.22 245.4, 256094.88 6988596.24 245.4, 256094.86 6988596.25 245.4, 256094.82 6988596.28 245.4, 256094.8 6988596.29 245.4, 256094.76 6988596.31 245.4, 256094.62 6988596.42 245.4, 256094.47 6988596.52 245.39000000000001, 256094.32 6988596.62 245.39000000000001, 256094.25 6988596.67 245.39000000000001, 256094.18 6988596.72 245.39000000000001, 256094.03 6988596.82 245.39000000000001, 256093.89 6988596.94 245.38, 256093.85 6988596.96 245.38, 256093.83 6988596.98 245.38, 256093.76 6988597.03 245.38, 256093.74 6988597.04 245.38, 256093.72 6988597.06 245.38, 256093.7 6988597.08 245.38, 256093.68 6988597.1 245.38, 256093.65 6988597.12 245.38, 256093.61 6988597.15 245.38, 256093.54 6988597.2 245.38, 256093.47 6988597.26 245.38, 256093.4 6988597.33 245.37, 256093.25 6988597.43 245.37, 256092.98 6988597.67 245.37, 256092.71 6988597.89 245.36, 256092.46 6988598.14 245.36, 256092.2 6988598.38 245.35, 256091.94 6988598.63 245.35, 256091.69 6988598.88 245.34, 256091.44 6988599.14 245.33, 256091.21 6988599.4 245.33, 256090.97 6988599.67 245.32, 256090.75 6988599.95 245.32, 256090.52 6988600.22 245.31, 256090.31 6988600.5 245.31, 256090.09 6988600.78 245.3, 256089.89 6988601.07 245.3, 256089.68 6988601.37 245.29, 256089.49 6988601.66 245.29, 256089.3 6988601.96 245.28, 256088.97 6988602.44 -1.99, 256088.36 6988603.79 121.66, 256087.75 6988605.13 245.3, 256087.24 6988606.67 245.3, 256086.85 6988608.35 245.3, 256086.68 6988609.78 245.3, 256086.59 6988611.88 245.3, 256086.6 6988612.95 245.3, 256086.81 6988614.3 245.3, 256086.99 6988615.24 245.3, 256087.2 6988616.04 245.3, 256087.59 6988617.37 245.3, 256087.97 6988618.36 245.3, 256088.8 6988620.12 245.3, 256089.67 6988621.61 245.3, 256090.61 6988622.88 245.3, 256091.81 6988624.31 245.3, 256092.77 6988625.33 245.3, 256093.48 6988625.94 245.3, 256093.81 6988626.22 245.31, 256095.1 6988624.51 245.31, 256094.91 6988624.36 245.3, 256094.59 6988624.07 245.3, 256094.27 6988623.79 245.3, 256093.41 6988622.87 245.3, 256092.29 6988621.55 245.3, 256091.47 6988620.43 245.3, 256090.71 6988619.12 245.3, 256089.94 6988617.51 245.3, 256089.63 6988616.68 245.3, 256089.27 6988615.47 245.3, 256089.09 6988614.77 245.3, 256088.93 6988613.94 245.3, 256088.75 6988612.77 245.3, 256088.74 6988611.91 245.3, 256088.83 6988609.96 245.3, 256088.97 6988608.72 245.3, 256089.31 6988607.26 245.3, 256089.76 6988605.93 245.3, 256090.32 6988604.68 245.29, 256090.86 6988603.5 245.28, 256091.09 6988603.14 245.28, 256091.3 6988602.83 245.29, 256091.47 6988602.57 245.29, 256091.65 6988602.3 245.3, 256091.83 6988602.06 245.3, 256092.01 6988601.8 245.31, 256092.21 6988601.56 245.31, 256092.41 6988601.31 245.32, 256092.61 6988601.07 245.32, 256092.82 6988600.84 245.33, 256093.03 6988600.6 245.33, 256093.24 6988600.38 245.34, 256093.46 6988600.14 245.35, 256093.69 6988599.93 245.35, 256093.91 6988599.71 245.36, 256094.14 6988599.51 245.36, 256094.38 6988599.29 245.37, 256094.63 6988599.09 245.37, 256094.75 6988599 245.37, 256094.8 6988598.94 245.38, 256094.88 6988598.89 245.38, 256094.93 6988598.84 245.38, 256094.96 6988598.82 245.38, 256094.99 6988598.8 245.38, 256095.02 6988598.78 245.38, 256095.04 6988598.76 245.38, 256095.06 6988598.75 245.38, 256095.12 6988598.7 245.38, 256095.15 6988598.68 245.38, 256095.18 6988598.66 245.38, 256095.31 6988598.56 245.39000000000001, 256095.44 6988598.46 245.39000000000001, 256095.51 6988598.42 245.39000000000001, 256095.56 6988598.38 245.39000000000001, 256095.7 6988598.29 245.39000000000001, 256095.82 6988598.2 245.4, 256095.96 6988598.1 245.4, 256095.98 6988598.09 245.4, 256096.01 6988598.07 245.4, 256096.05 6988598.05 245.4, 256096.07 6988598.03 245.4, 256096.1 6988598.01 245.4, 256096.13 6988598 245.4, 256096.16 6988597.97 245.4, 256096.19 6988597.96 245.4, 256096.25 6988597.91 245.41, 256096.33 6988597.87 245.41, 256096.4 6988597.82 245.41, 256096.46 6988597.78 245.41, 256096.6 6988597.7 245.41, 256096.87 6988597.54 245.42000000000002, 256097.14 6988597.39 245.42000000000002, 256097.42 6988597.24 245.43, 256097.7 6988597.1 245.43, 256097.98 6988596.96 245.44, 256098.26 6988596.83 245.44, 256098.55 6988596.7 245.45000000000002, 256098.84 6988596.59 245.45000000000002, 256099.13 6988596.47 245.46, 256099.43 6988596.36 245.46, 256099.73 6988596.25 245.47, 256100.02 6988596.15 245.47, 256100.32 6988596.07 245.47, 256100.63 6988595.98 245.48000000000002, 256100.93 6988595.9 245.48000000000002, 256101.24 6988595.83 245.48000000000002, 256101.54 6988595.76 245.48000000000002, 256101.85 6988595.69 245.48000000000002, 256102.16 6988595.64 245.49, 256102.47 6988595.58 245.49, 256102.78 6988595.54 245.49, 256103.08 6988595.51 245.49, 256103.4 6988595.48 245.49, 256103.71 6988595.45 245.49, 256104.03 6988595.43 245.49, 256104.34 6988595.41 245.49, 256104.65 6988595.4 245.49, 256104.96 6988595.4 245.49, 256105.29 6988595.4 245.49, 256105.6 6988595.41 245.49, 256105.91 6988595.43 245.49, 256106.23 6988595.45 245.48000000000002, 256106.54 6988595.47 245.48000000000002, 256106.84 6988595.52 245.48000000000002, 256107.16 6988595.56 245.48000000000002, 256107.46 6988595.6 245.48000000000002, 256107.78 6988595.65 245.47, 256108.09 6988595.71 245.47, 256108.4 6988595.77 245.47, 256108.7 6988595.84 245.46, 256109 6988595.92 245.46, 256109.3 6988596 245.45000000000002, 256109.61 6988596.09 245.45000000000002, 256109.91 6988596.18 245.45000000000002, 256110.2 6988596.29 245.44, 256110.5 6988596.39 245.44, 256110.79 6988596.49 245.43, 256111.09 6988596.62 245.42000000000002, 256111.37 6988596.74 245.42000000000002, 256111.66 6988596.86 245.41, 256111.95 6988597 245.41, 256112.23 6988597.13 245.4, 256112.51 6988597.28 245.4, 256112.78 6988597.43 245.39000000000001, 256113.06 6988597.58 245.39000000000001, 256113.32 6988597.74 245.38, 256113.59 6988597.91 245.38, 256113.86 6988598.08 245.37, 256114.12 6988598.25 245.37, 256114.37 6988598.43 245.36, 256114.62 6988598.62 245.36, 256114.87 6988598.8 245.35, 256115.12 6988599 245.34, 256115.36 6988599.2 245.34, 256115.6 6988599.41 245.33, 256115.83 6988599.62 245.33, 256116.06 6988599.83 245.32, 256116.29 6988600.05 245.32, 256116.52 6988600.27 245.31, 256116.73 6988600.49 245.31, 256116.94 6988600.72 245.3, 256117.15 6988600.96 245.3, 256117.36 6988601.2 245.29, 256117.56 6988601.44 245.29, 256117.75 6988601.68 245.28, 256117.94 6988601.93 245.28, 256118.12 6988602.19 245.27, 256118.31 6988602.44 245.26, 256118.48 6988602.71 245.26, 256118.65 6988602.97 245.25, 256118.81 6988603.24 245.25, 256118.97 6988603.51 245.24, 256119.13 6988603.78 245.24, 256119.27 6988604.06 245.23000000000002, 256119.42 6988604.34 245.23000000000002, 256119.56 6988604.62 245.23000000000002, 256119.69 6988604.9 245.22, 256119.82 6988605.19 245.22, 256119.94 6988605.48 245.21, 256120.05 6988605.77 245.21, 256120.16 6988606.06 245.21, 256120.27 6988606.36 245.21, 256120.37 6988606.65 245.20000000000002, 256120.46 6988606.96 245.20000000000002, 256120.55 6988607.26 245.20000000000002, 256120.63 6988607.56 245.20000000000002, 256120.7 6988607.87 245.20000000000002, 256120.77 6988608.17 245.19, 256120.84 6988608.48 245.19, 256120.9 6988608.78 245.19, 256120.95 6988609.09 245.19, 256120.99 6988609.41 245.19, 256121.03 6988609.72 245.19, 256121.07 6988610.02 245.19, 256121.1 6988610.34 245.19, 256121.12 6988610.65 245.19, 256121.13 6988610.96 245.20000000000002, 256121.14 6988611.28 245.20000000000002, 256121.14 6988611.6 245.20000000000002, 256121.14 6988611.91 245.20000000000002, 256121.13 6988612.22 245.20000000000002, 256121.12 6988612.53 245.21, 256121.1 6988612.85 245.21, 256121.07 6988613.16 245.21, 256121.04 6988613.47 245.21, 256121 6988613.78 245.22, 256120.95 6988614.1 245.22, 256120.9 6988614.4 245.23000000000002, 256120.84 6988614.71 245.23000000000002, 256120.78 6988615.02 245.23000000000002, 256120.71 6988615.32 245.24, 256120.64 6988615.62 245.24, 256120.55 6988615.93 245.25, 256120.47 6988616.23 245.25, 256120.38 6988616.53 245.26, 256120.28 6988616.83 245.27, 256120.17 6988617.12 245.27, 256120.07 6988617.41 245.28, 256119.96 6988617.71 245.28, 256119.83 6988618 245.29, 256119.71 6988618.29 245.29, 256119.58 6988618.58 245.3, 256119.43 6988618.85 245.3, 256119.3 6988619.13 245.31, 256119.14 6988619.41 245.31, 256118.99 6988619.69 245.32, 256118.83 6988619.95 245.32, 256118.66 6988620.23 245.33, 256118.63 6988620.28 245.33, 256118.59 6988620.36 245.33, 256118.53 6988620.42 245.33, 256118.49 6988620.5 245.34, 256118.47 6988620.53 245.34, 256118.45 6988620.56 245.34, 256118.44 6988620.58 245.34, 256118.42 6988620.6 245.34, 256118.41 6988620.62 245.34, 256118.39 6988620.64 245.34, 256118.37 6988620.67 245.34, 256118.36 6988620.7 245.34, 256118.34 6988620.72 245.34, 256118.29 6988620.79 245.34, 256118.28 6988620.82 245.34, 256118.26 6988620.84 245.34, 256118.25 6988620.86 245.34, 256118.23 6988620.88 245.34, 256118.21 6988620.92 245.34, 256118.19 6988620.95 245.34, 256118.16 6988620.97 245.34, 256118.06 6988621.11 245.35, 256117.97 6988621.24 245.35, 256117.79 6988621.49 245.36, 256117.59 6988621.74 245.36, 256117.39 6988621.98 245.37, 256117.19 6988622.22 245.37, 256116.98 6988622.46 245.38, 256116.77 6988622.69 245.38, 256116.55 6988622.91 245.39000000000001, 256116.33 6988623.14 245.39000000000001, 256116.1 6988623.35 245.4, 256115.88 6988623.57 245.4, 256115.65 6988623.78 245.41, 256115.41 6988623.98 245.41, 256115.17 6988624.18 245.42000000000002, 256114.92 6988624.38 245.42000000000002, 256114.67 6988624.57 245.43, 256114.41 6988624.76 245.44, 256114.16 6988624.94 245.44, 256113.91 6988625.12 245.45000000000002, 256113.64 6988625.28 245.45000000000002, 256113.37 6988625.45 245.45000000000002, 256113.11 6988625.61 245.46, 256112.83 6988625.77 245.46, 256112.55 6988625.92 245.47, 256112.28 6988626.06 245.47, 256112 6988626.2 245.47, 256111.72 6988626.34 245.48000000000002, 256111.43 6988626.46 245.48000000000002, 256111.14 6988626.59 245.48000000000002, 256110.85 6988626.71 245.48000000000002, 256110.56 6988626.82 245.48000000000002, 256110.26 6988626.93 245.49, 256109.96 6988627.02 245.49, 256109.66 6988627.12 245.49, 256109.36 6988627.21 245.49, 256109.05 6988627.29 245.49, 256108.75 6988627.37 245.49, 256108.44 6988627.44 245.49, 256108.14 6988627.51 245.49, 256107.83 6988627.56 245.49, 256107.53 6988627.61 245.49, 256107.21 6988627.66 245.49, 256106.9 6988627.7 245.49, 256106.59 6988627.74 245.49, 256106.27 6988627.77 245.48000000000002, 256105.96 6988627.79 245.48000000000002, 256105.65 6988627.81 245.48000000000002, 256105.33 6988627.82 245.48000000000002, 256105.02 6988627.83 245.47, 256104.71 6988627.83 245.47, 256104.4 6988627.82 245.47, 256104.09 6988627.8 245.47, 256103.77 6988627.78 245.46, 256103.46 6988627.75 245.46, 256103.14 6988627.72 245.45000000000002, 256102.83 6988627.69 245.45000000000002, 256102.52 6988627.65 245.44, 256102.22 6988627.6 245.44, 256101.9 6988627.54 245.43, 256101.59 6988627.47 245.43, 256101.29 6988627.41 245.42000000000002, 256100.99 6988627.34 245.42000000000002, 256100.68 6988627.26 245.41, 256100.52 6988627.21 245.41, 256100.45 6988627.2 245.41, 256100.38 6988627.18 245.41, 256100.3 6988627.14 245.41, 256100.25 6988627.14 245.4, 256100.21 6988627.12 245.4, 256100.18 6988627.11 245.4, 256100.15 6988627.11 245.4, 256100.13 6988627.1 245.4, 256100.11 6988627.09 245.4, 256100.09 6988627.08 245.4, 256100.07 6988627.07 245.4, 256100.04 6988627.07 245.4, 256100.01 6988627.06 245.4, 256099.96 6988627.04 245.4, 256099.93 6988627.04 245.4, 256099.9 6988627.03 245.4, 256099.88 6988627.02 245.4, 256099.86 6988627.01 245.4, 256099.81 6988627 245.4, 256099.78 6988626.98 245.4, 256099.74 6988626.98 245.4, 256099.66 6988626.94 245.39000000000001, 256099.58 6988626.92 245.39000000000001, 256099.51 6988626.9 245.39000000000001, 256099.21 6988626.78 245.39000000000001, 256098.91 6988626.67 245.38, 256098.63 6988626.55 245.38, 256098.34 6988626.42 245.37, 256098.06 6988626.3 245.36, 256097.77 6988626.16 245.36, 256097.49 6988626.02 245.35, 256097.21 6988625.87 245.35, 256096.94 6988625.72 245.34, 256096.67 6988625.56 245.34, 256096.4 6988625.4 245.33, 256096.14 6988625.23 245.33, 256095.87 6988625.07 245.32, 256095.61 6988624.88 245.32, 256095.36 6988624.7 245.31, 256095.1 6988624.51 245.31, 256093.81 6988626.22 245.31)</t>
  </si>
  <si>
    <t>[692]</t>
  </si>
  <si>
    <t>['FV692 S1D1 m4-20']</t>
  </si>
  <si>
    <t>LINESTRING Z (292382.7207935139 6607662.768193658 106.97, 292382.0319765903 6607664.256828703 106.98, 292381.6850574811 6607664.418816125 106.98, 292376.7627640657 6607662.192810236 107.09, 292373.0709851894 6607660.689038572 107.13, 292368.0858975617 6607659.322466553 107.36, 292367.68128220236 6607658.736371342 107.37, 292367.57549990853 6607658.233701277 107.37, 292367.7840040658 6607657.652351506 107.37, 292368.34287925856 6607657.390818311 107.37, 292373.932928156 6607658.782962774 107.13, 292377.67361689574 6607660.2722614985 107.09, 292382.48004810954 6607662.327965298 106.97, 292382.7207935139 6607662.768193658 106.97)</t>
  </si>
  <si>
    <t>POLYGON Z ((292382.7207935139 6607662.768193658 106.97, 292382.0319765903 6607664.256828703 106.98, 292381.6850574811 6607664.418816125 106.98, 292376.7627640657 6607662.192810236 107.09, 292373.0709851894 6607660.689038572 107.13, 292368.0858975617 6607659.322466553 107.36, 292367.68128220236 6607658.736371342 107.37, 292367.57549990853 6607658.233701277 107.37, 292367.7840040658 6607657.652351506 107.37, 292368.34287925856 6607657.390818311 107.37, 292373.932928156 6607658.782962774 107.13, 292377.67361689574 6607660.2722614985 107.09, 292382.48004810954 6607662.327965298 106.97, 292382.7207935139 6607662.768193658 106.97))</t>
  </si>
  <si>
    <t>[279]</t>
  </si>
  <si>
    <t>['FV279 S1D1 m6-26']</t>
  </si>
  <si>
    <t>LINESTRING Z (268674.7287184676 6585558.07468814 49.6, 268674.54275410785 6585558.573692422 49.6, 268673.63802074076 6585563.236349311 49.6, 268673.89955783554 6585563.684871481 49.6, 268674.2753867443 6585563.841782586 49.6, 268678.20895574114 6585564.571296004 49.6, 268681.30100596853 6585565.326619888 49.59, 268684.2100336684 6585566.168802572 49.52, 268687.2202662514 6585567.463949117 49.45, 268690.33818697475 6585568.95028174 49.32, 268691.69113478414 6585569.581467389 49.24, 268692.14409867 6585569.480262438 49.24, 268692.32544065814 6585569.152455207 49.24, 268692.2215345318 6585568.6695978725 49.24, 268689.942671953 6585566.685522438 49.29, 268687.24902295443 6585564.558101904 49.35, 268683.81908302056 6585562.175745597 49.42, 268680.6470183645 6585560.312563086 49.51, 268678.2065019354 6585559.096532658 49.550000000000004, 268675.1961488687 6585558.022405249 49.6, 268674.7287184676 6585558.07468814 49.6)</t>
  </si>
  <si>
    <t>POLYGON Z ((268674.7287184676 6585558.07468814 49.6, 268674.54275410785 6585558.573692422 49.6, 268673.63802074076 6585563.236349311 49.6, 268673.89955783554 6585563.684871481 49.6, 268674.2753867443 6585563.841782586 49.6, 268678.20895574114 6585564.571296004 49.6, 268681.30100596853 6585565.326619888 49.59, 268684.2100336684 6585566.168802572 49.52, 268687.2202662514 6585567.463949117 49.45, 268690.33818697475 6585568.95028174 49.32, 268691.69113478414 6585569.581467389 49.24, 268692.14409867 6585569.480262438 49.24, 268692.32544065814 6585569.152455207 49.24, 268692.2215345318 6585568.6695978725 49.24, 268689.942671953 6585566.685522438 49.29, 268687.24902295443 6585564.558101904 49.35, 268683.81908302056 6585562.175745597 49.42, 268680.6470183645 6585560.312563086 49.51, 268678.2065019354 6585559.096532658 49.550000000000004, 268675.1961488687 6585558.022405249 49.6, 268674.7287184676 6585558.07468814 49.6))</t>
  </si>
  <si>
    <t>['FV129 S1D1 m6-30']</t>
  </si>
  <si>
    <t>LINESTRING Z (293652.2585807064 6606827.083352342 105.59, 293651.8238873452 6606827.052403931 105.59, 293644.6886745695 6606828.783213857 105.56, 293639.2976472764 6606830.697591432 105.56, 293635.2693725366 6606833.241876834 105.56, 293631.75035635906 6606834.976708791 105.55, 293628.71117544896 6606837.130117138 105.61, 293628.84150775574 6606837.349327729 105.61, 293629.388492693 6606837.400240582 105.61, 293632.3657768009 6606836.116219111 105.55, 293636.4687216546 6606834.951241917 105.55, 293645.8114150559 6606831.975980487 105.53, 293648.2652068675 6606830.7895789705 105.48, 293650.17291584273 6606829.562226924 105.48, 293651.94123226847 6606828.126528706 105.48, 293652.2520272372 6606827.67654053 105.59, 293652.3345513854 6606827.367748966 105.59, 293652.2585807064 6606827.083352342 105.59)</t>
  </si>
  <si>
    <t>POLYGON Z ((293652.2585807064 6606827.083352342 105.59, 293651.8238873452 6606827.052403931 105.59, 293644.6886745695 6606828.783213857 105.56, 293639.2976472764 6606830.697591432 105.56, 293635.2693725366 6606833.241876834 105.56, 293631.75035635906 6606834.976708791 105.55, 293628.71117544896 6606837.130117138 105.61, 293628.84150775574 6606837.349327729 105.61, 293629.388492693 6606837.400240582 105.61, 293632.3657768009 6606836.116219111 105.55, 293636.4687216546 6606834.951241917 105.55, 293645.8114150559 6606831.975980487 105.53, 293648.2652068675 6606830.7895789705 105.48, 293650.17291584273 6606829.562226924 105.48, 293651.94123226847 6606828.126528706 105.48, 293652.2520272372 6606827.67654053 105.59, 293652.3345513854 6606827.367748966 105.59, 293652.2585807064 6606827.083352342 105.59))</t>
  </si>
  <si>
    <t>['FV129 S1D1 m1004-1018']</t>
  </si>
  <si>
    <t>LINESTRING Z (292823.5356980843 6607400.888012194 99.29, 292820.42045465834 6607402.978026938 99.29, 292813.0514723593 6607407.451984456 99.37, 292812.3813659353 6607407.261561149 99.37, 292811.97942016204 6607406.81584264 99.37, 292811.88811208215 6607406.36208402 99.37, 292811.9154110055 6607405.998026104 99.37, 292819.4899554791 6607401.575763404 99.36, 292822.8170362697 6607399.717668206 99.29, 292825.09704793023 6607398.275794787 99.29, 292825.48193263455 6607398.311251916 99.29, 292825.6811013013 6607398.514186423 99.29, 292825.85489331314 6607398.7696390515 99.29, 292825.9217661593 6607399.175389952 99.29, 292825.83198672574 6607399.514973261 99.29, 292825.4406299152 6607399.851732195 99.29, 292823.5356980843 6607400.888012194 99.29)</t>
  </si>
  <si>
    <t>POLYGON Z ((292823.5356980843 6607400.888012194 99.29, 292820.42045465834 6607402.978026938 99.29, 292813.0514723593 6607407.451984456 99.37, 292812.3813659353 6607407.261561149 99.37, 292811.97942016204 6607406.81584264 99.37, 292811.88811208215 6607406.36208402 99.37, 292811.9154110055 6607405.998026104 99.37, 292819.4899554791 6607401.575763404 99.36, 292822.8170362697 6607399.717668206 99.29, 292825.09704793023 6607398.275794787 99.29, 292825.48193263455 6607398.311251916 99.29, 292825.6811013013 6607398.514186423 99.29, 292825.85489331314 6607398.7696390515 99.29, 292825.9217661593 6607399.175389952 99.29, 292825.83198672574 6607399.514973261 99.29, 292825.4406299152 6607399.851732195 99.29, 292823.5356980843 6607400.888012194 99.29))</t>
  </si>
  <si>
    <t>['FV129 S1D1 m3321-3328']</t>
  </si>
  <si>
    <t>LINESTRING Z (292755.59914497985 6609409.757058299 177.81, 292755.04125244136 6609409.807584755 177.85, 292753.67644571175 6609409.820705829 177.88, 292753.00445583754 6609409.831345295 177.88, 292752.6023521263 6609409.8275861535 177.88, 292752.450247374 6609409.700744631 177.88, 292752.3742325249 6609409.526835571 177.88, 292752.3290070356 6609409.360182109 177.88, 292752.35987144976 6609409.146461111 177.86, 292752.94441581296 6609405.286814033 177.66, 292753.3160664899 6609401.62724152 177.5, 292753.286517204 6609400.635553648 177.5, 292753.3844865011 6609400.164653162 177.5, 292753.51768137293 6609399.971796698 177.5, 292753.86910852377 6609399.8596164975 177.5, 292754.20959597745 6609399.959352774 177.5, 292754.353505329 6609400.217509593 177.5, 292754.43760294386 6609400.5915682465 177.5, 292754.46797941835 6609401.814195064 177.5, 292754.98489650927 6609405.081926449 177.66, 292755.0771519905 6609405.435158109 177.68, 292755.7731290862 6609409.460066868 177.79, 292755.59914497985 6609409.757058299 177.81)</t>
  </si>
  <si>
    <t>POLYGON Z ((292755.59914497985 6609409.757058299 177.81, 292755.04125244136 6609409.807584755 177.85, 292753.67644571175 6609409.820705829 177.88, 292753.00445583754 6609409.831345295 177.88, 292752.6023521263 6609409.8275861535 177.88, 292752.450247374 6609409.700744631 177.88, 292752.3742325249 6609409.526835571 177.88, 292752.3290070356 6609409.360182109 177.88, 292752.35987144976 6609409.146461111 177.86, 292752.94441581296 6609405.286814033 177.66, 292753.3160664899 6609401.62724152 177.5, 292753.286517204 6609400.635553648 177.5, 292753.3844865011 6609400.164653162 177.5, 292753.51768137293 6609399.971796698 177.5, 292753.86910852377 6609399.8596164975 177.5, 292754.20959597745 6609399.959352774 177.5, 292754.353505329 6609400.217509593 177.5, 292754.43760294386 6609400.5915682465 177.5, 292754.46797941835 6609401.814195064 177.5, 292754.98489650927 6609405.081926449 177.66, 292755.0771519905 6609405.435158109 177.68, 292755.7731290862 6609409.460066868 177.79, 292755.59914497985 6609409.757058299 177.81))</t>
  </si>
  <si>
    <t>['FV129 S2D1 m583-594']</t>
  </si>
  <si>
    <t>LINESTRING Z (292486.57715560525 6609946.059559037 177.19, 292486.50369855127 6609946.3574912865 177.19, 292486.2944143451 6609946.59741678 177.19, 292486.0390015092 6609946.660726227 177.19, 292483.1581412246 6609946.680590165 177.22, 292482.71716337855 6609946.469427255 177.20000000000002, 292482.5533277574 6609946.213075067 177.20000000000002, 292482.51174769085 6609945.975782389 177.15, 292483.0939140128 6609935.657975157 177, 292483.3783487717 6609935.471507876 177, 292483.6156414506 6609935.4299278315 177, 292483.90996448713 6609935.463535367 177, 292484.1535362317 6609935.602180586 177, 292484.36357455 6609935.814171725 177, 292484.43865096837 6609936.088607041 177, 292484.5806089733 6609936.768793304 177.01, 292484.8570842608 6609938.712398078 177.06, 292485.60574754246 6609942.320734869 177.13, 292486.44515993586 6609945.378470491 177.19, 292486.57715560525 6609946.059559037 177.19)</t>
  </si>
  <si>
    <t>POLYGON Z ((292486.57715560525 6609946.059559037 177.19, 292486.50369855127 6609946.3574912865 177.19, 292486.2944143451 6609946.59741678 177.19, 292486.0390015092 6609946.660726227 177.19, 292483.1581412246 6609946.680590165 177.22, 292482.71716337855 6609946.469427255 177.20000000000002, 292482.5533277574 6609946.213075067 177.20000000000002, 292482.51174769085 6609945.975782389 177.15, 292483.0939140128 6609935.657975157 177, 292483.3783487717 6609935.471507876 177, 292483.6156414506 6609935.4299278315 177, 292483.90996448713 6609935.463535367 177, 292484.1535362317 6609935.602180586 177, 292484.36357455 6609935.814171725 177, 292484.43865096837 6609936.088607041 177, 292484.5806089733 6609936.768793304 177.01, 292484.8570842608 6609938.712398078 177.06, 292485.60574754246 6609942.320734869 177.13, 292486.44515993586 6609945.378470491 177.19, 292486.57715560525 6609946.059559037 177.19))</t>
  </si>
  <si>
    <t>[121]</t>
  </si>
  <si>
    <t>['FV121 S1D1 m3290-3298']</t>
  </si>
  <si>
    <t>LINESTRING Z (264537.9662577364 6602774.743011743 39.17, 264541.46197586716 6602772.407317819 39.2, 264543.0584490254 6602771.509354076 39.24, 264543.4262425586 6602771.466021044 39.230000000000004, 264543.7622937425 6602771.515978058 39.21, 264544.1182299679 6602771.674645363 39.26, 264544.4669069898 6602771.864108729 39.27, 264544.5944671695 6602772.274511192 39.27, 264544.48472172196 6602772.61597345 39.31, 264544.30698235176 6602773.09419209 39.31, 264543.98067373066 6602773.595903161 39.28, 264539.55990524916 6602776.366940206 39.2, 264538.4030490952 6602776.5721036075 39.19, 264538.0434610289 6602776.484091341 39.17, 264537.7056505674 6602776.303690867 39.160000000000004, 264537.56262568344 6602776.055429767 39.160000000000004, 264537.5320517837 6602775.495600614 39.19, 264537.6317880555 6602775.265554169 39.17, 264537.9662577364 6602774.743011743 39.17)</t>
  </si>
  <si>
    <t>POLYGON Z ((264537.9662577364 6602774.743011743 39.17, 264541.46197586716 6602772.407317819 39.2, 264543.0584490254 6602771.509354076 39.24, 264543.4262425586 6602771.466021044 39.230000000000004, 264543.7622937425 6602771.515978058 39.21, 264544.1182299679 6602771.674645363 39.26, 264544.4669069898 6602771.864108729 39.27, 264544.5944671695 6602772.274511192 39.27, 264544.48472172196 6602772.61597345 39.31, 264544.30698235176 6602773.09419209 39.31, 264543.98067373066 6602773.595903161 39.28, 264539.55990524916 6602776.366940206 39.2, 264538.4030490952 6602776.5721036075 39.19, 264538.0434610289 6602776.484091341 39.17, 264537.7056505674 6602776.303690867 39.160000000000004, 264537.56262568344 6602776.055429767 39.160000000000004, 264537.5320517837 6602775.495600614 39.19, 264537.6317880555 6602775.265554169 39.17, 264537.9662577364 6602774.743011743 39.17))</t>
  </si>
  <si>
    <t>['FV128 S4D1 m4-12']</t>
  </si>
  <si>
    <t>LINESTRING Z (300176.4145593877 6606156.04405345 160.42000000000002, 300176.51766408246 6606156.406325109 160.42000000000002, 300176.7738836109 6606156.573951743 160.42000000000002, 300177.5807866554 6606156.5008933935 160.42000000000002, 300179.7288799997 6606156.376705443 160.42000000000002, 300180.0015360182 6606156.171236967 160.42000000000002, 300179.98353718215 6606155.861520273 160.42000000000002, 300179.7204643866 6606154.619867111 160.42000000000002, 300178.7298847184 6606151.776874179 160.42000000000002, 300177.9331287042 6606148.8560715215 160.35, 300177.56552585494 6606148.678442838 160.35, 300176.96962380304 6606148.752483627 160.35, 300176.72230302356 6606149.01591878 160.35, 300176.61715283216 6606149.29661187 160.35, 300176.57267519203 6606149.581855001 160.35, 300176.59367782745 6606151.588639482 160.35, 300176.4565324606 6606155.176518111 160.35, 300176.4145593877 6606156.04405345 160.42000000000002)</t>
  </si>
  <si>
    <t>POLYGON Z ((300176.4145593877 6606156.04405345 160.42000000000002, 300176.51766408246 6606156.406325109 160.42000000000002, 300176.7738836109 6606156.573951743 160.42000000000002, 300177.5807866554 6606156.5008933935 160.42000000000002, 300179.7288799997 6606156.376705443 160.42000000000002, 300180.0015360182 6606156.171236967 160.42000000000002, 300179.98353718215 6606155.861520273 160.42000000000002, 300179.7204643866 6606154.619867111 160.42000000000002, 300178.7298847184 6606151.776874179 160.42000000000002, 300177.9331287042 6606148.8560715215 160.35, 300177.56552585494 6606148.678442838 160.35, 300176.96962380304 6606148.752483627 160.35, 300176.72230302356 6606149.01591878 160.35, 300176.61715283216 6606149.29661187 160.35, 300176.57267519203 6606149.581855001 160.35, 300176.59367782745 6606151.588639482 160.35, 300176.4565324606 6606155.176518111 160.35, 300176.4145593877 6606156.04405345 160.42000000000002))</t>
  </si>
  <si>
    <t>['FV128 S5D1 m3108-3118']</t>
  </si>
  <si>
    <t>LINESTRING Z (292779.30188027845 6609424.936417992 178.42000000000002, 292775.88226992264 6609424.663564479 178.29, 292771.83247373253 6609423.975713069 178.32, 292771.3560847149 6609424.038946248 178.33, 292771.13416838564 6609424.139397134 178.34, 292770.95289123757 6609424.577666183 178.37, 292770.9739827822 6609426.474087134 178.38, 292771.06074973755 6609426.988521096 178.38, 292771.3377414063 6609427.38528621 178.38, 292771.832213124 6609427.41081205 178.38, 292775.57813744235 6609426.850585921 178.31, 292779.1981974533 6609426.231450381 178.42000000000002, 292779.7116916085 6609426.24520934 178.39000000000001, 292781.28303843614 6609426.072765262 178.42000000000002, 292781.51581936877 6609425.981374483 178.42000000000002, 292781.7731113498 6609425.71701447 178.42000000000002, 292781.7225098031 6609425.380098598 178.42000000000002, 292781.62931450916 6609425.127392937 178.42000000000002, 292779.7202995949 6609424.898523102 178.42000000000002, 292779.30188027845 6609424.936417992 178.42000000000002)</t>
  </si>
  <si>
    <t>POLYGON Z ((292779.30188027845 6609424.936417992 178.42000000000002, 292775.88226992264 6609424.663564479 178.29, 292771.83247373253 6609423.975713069 178.32, 292771.3560847149 6609424.038946248 178.33, 292771.13416838564 6609424.139397134 178.34, 292770.95289123757 6609424.577666183 178.37, 292770.9739827822 6609426.474087134 178.38, 292771.06074973755 6609426.988521096 178.38, 292771.3377414063 6609427.38528621 178.38, 292771.832213124 6609427.41081205 178.38, 292775.57813744235 6609426.850585921 178.31, 292779.1981974533 6609426.231450381 178.42000000000002, 292779.7116916085 6609426.24520934 178.39000000000001, 292781.28303843614 6609426.072765262 178.42000000000002, 292781.51581936877 6609425.981374483 178.42000000000002, 292781.7731113498 6609425.71701447 178.42000000000002, 292781.7225098031 6609425.380098598 178.42000000000002, 292781.62931450916 6609425.127392937 178.42000000000002, 292779.7202995949 6609424.898523102 178.42000000000002, 292779.30188027845 6609424.936417992 178.42000000000002))</t>
  </si>
  <si>
    <t>['FV128 S6D1 m4-17']</t>
  </si>
  <si>
    <t>LINESTRING Z (292738.9347055075 6609422.274615405 178.08, 292738.83699889394 6609421.97209781 178.08, 292738.63147323433 6609421.809918111 178.08, 292738.4059853216 6609421.760031236 178.08, 292734.3305494725 6609421.898116279 178.08, 292730.71075070393 6609421.743833664 178.01, 292730.14563997916 6609421.714661234 178.01, 292729.81052847684 6609421.785187522 178.01, 292729.59308584814 6609422.0459386 178.01, 292729.589326745 6609422.448042388 178.01, 292729.90440096153 6609422.710785563 178.01, 292730.2023322502 6609422.784243729 178.02, 292730.67327035987 6609422.771724646 178.01, 292734.3670168861 6609423.853409754 178.08, 292737.93301953125 6609425.077237214 178.08, 292738.1757254042 6609425.095432457 178.08, 292738.4021530919 6609425.044793386 178.08, 292738.5688440844 6609424.889079561 178.09, 292738.9347055075 6609422.274615405 178.08)</t>
  </si>
  <si>
    <t>POLYGON Z ((292738.9347055075 6609422.274615405 178.08, 292738.83699889394 6609421.97209781 178.08, 292738.63147323433 6609421.809918111 178.08, 292738.4059853216 6609421.760031236 178.08, 292734.3305494725 6609421.898116279 178.08, 292730.71075070393 6609421.743833664 178.01, 292730.14563997916 6609421.714661234 178.01, 292729.81052847684 6609421.785187522 178.01, 292729.59308584814 6609422.0459386 178.01, 292729.589326745 6609422.448042388 178.01, 292729.90440096153 6609422.710785563 178.01, 292730.2023322502 6609422.784243729 178.02, 292730.67327035987 6609422.771724646 178.01, 292734.3670168861 6609423.853409754 178.08, 292737.93301953125 6609425.077237214 178.08, 292738.1757254042 6609425.095432457 178.08, 292738.4021530919 6609425.044793386 178.08, 292738.5688440844 6609424.889079561 178.09, 292738.9347055075 6609422.274615405 178.08))</t>
  </si>
  <si>
    <t>2021-07-07</t>
  </si>
  <si>
    <t>['FV44 S15D1 m850-868']</t>
  </si>
  <si>
    <t>LINESTRING (-35556.45883157372 6557257.139295274, -35542.15258043108 6557272.998321056)</t>
  </si>
  <si>
    <t>POINT (-35549.3057060024 6557265.068808165)</t>
  </si>
  <si>
    <t>['FV128 S6D1 m4253-4356']</t>
  </si>
  <si>
    <t>LINESTRING Z (289019.88884769595 6610578.1301009245 165.02, 289009.3600968454 6610581.8760905685 164.81, 289001.87747182744 6610584.542624304 164.67000000000002, 288999.2689101009 6610585.240938439 164.64000000000001, 288990.8827174842 6610587.02505056 164.57, 288984.857860847 6610588.042841503 164.67000000000002, 288979.1745882277 6610588.617872708 164.75, 288974.0165568458 6610589.336173733 164.83, 288967.7434983051 6610590.49697872 165, 288958.7015351195 6610592.471065428 165.12, 288946.15794047376 6610595.375023217 165.29, 288931.49225758616 6610598.581679144 165.59, 288920.08628349914 6610601.181709088 165.91, 288919.50848466874 6610601.123554973 165.91, 288919.34644779447 6610600.887121239 165.91, 288919.2741115914 6610600.53207429 165.9, 288919.3122306757 6610600.287555742 165.9, 288919.92006377876 6610599.90103536 165.89000000000001, 288930.32338034245 6610597.542487885 165.79, 288944.040767762 6610594.512124055 165.41, 288956.1123976789 6610591.942202604 165.16, 288967.7955186607 6610589.296982396 164.94, 288978.3799641237 6610586.942119274 164.8, 288990.3511347498 6610584.150276698 164.73, 289002.2997083444 6610581.219859598 164.72, 289013.46931454027 6610578.560886259 164.93, 289019.9009808741 6610577.044206371 165.11, 289020.3094503812 6610577.00720911 165.11, 289020.5095330176 6610577.220107841 165.09, 289020.4948756038 6610577.723655619 165.08, 289019.88884769595 6610578.1301009245 165.02)</t>
  </si>
  <si>
    <t>POLYGON Z ((289019.88884769595 6610578.1301009245 165.02, 289009.3600968454 6610581.8760905685 164.81, 289001.87747182744 6610584.542624304 164.67000000000002, 288999.2689101009 6610585.240938439 164.64000000000001, 288990.8827174842 6610587.02505056 164.57, 288984.857860847 6610588.042841503 164.67000000000002, 288979.1745882277 6610588.617872708 164.75, 288974.0165568458 6610589.336173733 164.83, 288967.7434983051 6610590.49697872 165, 288958.7015351195 6610592.471065428 165.12, 288946.15794047376 6610595.375023217 165.29, 288931.49225758616 6610598.581679144 165.59, 288920.08628349914 6610601.181709088 165.91, 288919.50848466874 6610601.123554973 165.91, 288919.34644779447 6610600.887121239 165.91, 288919.2741115914 6610600.53207429 165.9, 288919.3122306757 6610600.287555742 165.9, 288919.92006377876 6610599.90103536 165.89000000000001, 288930.32338034245 6610597.542487885 165.79, 288944.040767762 6610594.512124055 165.41, 288956.1123976789 6610591.942202604 165.16, 288967.7955186607 6610589.296982396 164.94, 288978.3799641237 6610586.942119274 164.8, 288990.3511347498 6610584.150276698 164.73, 289002.2997083444 6610581.219859598 164.72, 289013.46931454027 6610578.560886259 164.93, 289019.9009808741 6610577.044206371 165.11, 289020.3094503812 6610577.00720911 165.11, 289020.5095330176 6610577.220107841 165.09, 289020.4948756038 6610577.723655619 165.08, 289019.88884769595 6610578.1301009245 165.02))</t>
  </si>
  <si>
    <t>['FV128 S6D1 m4385-4486']</t>
  </si>
  <si>
    <t>LINESTRING Z (288836.8396008883 6610623.376628429 166.67000000000002, 288822.2580820824 6610626.736376593 166.5, 288808.76253112993 6610629.8872744115 166.54, 288794.58857694303 6610633.200063853 166.57, 288794.1429995884 6610633.160066965 166.55, 288793.91757684207 6610632.889196532 166.55, 288793.86967774935 6610632.582157917 166.55, 288794.0581395359 6610632.334066125 166.55, 288794.82176670467 6610631.893256395 166.55, 288805.25361535355 6610628.1861681435 166.51, 288810.3585231634 6610626.548590258 166.51, 288815.7369352265 6610624.936461761 166.45000000000002, 288821.8026993986 6610623.4830532605 166.44, 288826.58399636735 6610622.708473847 166.5, 288833.4002421092 6610622.221665383 166.53, 288837.6108487764 6610621.800109257 166.55, 288843.414765296 6610620.671750627 166.58, 288853.43134822167 6610618.368318125 166.39000000000001, 288865.7068620366 6610615.498682859 166.4, 288880.12258316926 6610612.304620094 166.33, 288891.8582317228 6610609.684772645 166.24, 288892.4215195809 6610609.804507576 166.24, 288892.58265413204 6610610.03097867 166.24, 288892.64773482183 6610610.416816115 166.24, 288892.46198027907 6610610.694795716 166.24, 288891.6848180337 6610610.986164753 166.24, 288881.1890905192 6610613.433439257 166.24, 288865.5777744326 6610616.9567710655 166.35, 288848.62322561065 6610620.842833757 166.51, 288836.8396008883 6610623.376628429 166.67000000000002)</t>
  </si>
  <si>
    <t>POLYGON Z ((288836.8396008883 6610623.376628429 166.67000000000002, 288822.2580820824 6610626.736376593 166.5, 288808.76253112993 6610629.8872744115 166.54, 288794.58857694303 6610633.200063853 166.57, 288794.1429995884 6610633.160066965 166.55, 288793.91757684207 6610632.889196532 166.55, 288793.86967774935 6610632.582157917 166.55, 288794.0581395359 6610632.334066125 166.55, 288794.82176670467 6610631.893256395 166.55, 288805.25361535355 6610628.1861681435 166.51, 288810.3585231634 6610626.548590258 166.51, 288815.7369352265 6610624.936461761 166.45000000000002, 288821.8026993986 6610623.4830532605 166.44, 288826.58399636735 6610622.708473847 166.5, 288833.4002421092 6610622.221665383 166.53, 288837.6108487764 6610621.800109257 166.55, 288843.414765296 6610620.671750627 166.58, 288853.43134822167 6610618.368318125 166.39000000000001, 288865.7068620366 6610615.498682859 166.4, 288880.12258316926 6610612.304620094 166.33, 288891.8582317228 6610609.684772645 166.24, 288892.4215195809 6610609.804507576 166.24, 288892.58265413204 6610610.03097867 166.24, 288892.64773482183 6610610.416816115 166.24, 288892.46198027907 6610610.694795716 166.24, 288891.6848180337 6610610.986164753 166.24, 288881.1890905192 6610613.433439257 166.24, 288865.5777744326 6610616.9567710655 166.35, 288848.62322561065 6610620.842833757 166.51, 288836.8396008883 6610623.376628429 166.67000000000002))</t>
  </si>
  <si>
    <t>['FV128 S6D1 m7491-7501']</t>
  </si>
  <si>
    <t>LINESTRING Z (286100.5927374398 6610454.08169036 156.89000000000001, 286103.1705180897 6610456.25892648 156.87, 286105.357185098 6610457.99948876 156.87, 286106.8176824835 6610459.152920842 156.87, 286107.8960899968 6610459.969308292 156.84, 286107.9639888594 6610460.0535602495 156.83, 286108.0400091077 6610460.227478421 156.82, 286108.0689219212 6610460.435797214 156.82, 286108.01268040156 6610460.702051955 156.82, 286107.8532002495 6610460.937478809 156.82, 286107.62217495573 6610461.159296473 156.82, 286107.4998760998 6610461.250730667 156.82, 286107.32595792704 6610461.326750916 156.82, 286107.2055005969 6610461.327616522 156.82, 286107.0125957479 6610461.304910021 156.83, 286105.1508011463 6610460.378673111 156.89000000000001, 286102.85702852823 6610459.340892279 156.94, 286099.10253776266 6610457.812645794 156.96, 286098.2667025088 6610457.456430597 156.94, 286098.13812378555 6610457.367629974 156.94, 286098.04939671606 6610457.275219844 156.94, 286097.9751812184 6610457.121227482 156.94, 286097.9589384506 6610456.941895038 156.94, 286098.1374788529 6610456.58420608 156.94, 286099.8346536426 6610454.140308005 156.87, 286100.0049623273 6610454.024436106 156.88, 286100.1390288613 6610453.952025366 156.88, 286100.24771853356 6610453.932136319 156.88, 286100.3690782463 6610453.941233638 156.89000000000001, 286100.5148756641 6610453.998340769 156.89000000000001, 286100.5927374398 6610454.08169036 156.89000000000001)</t>
  </si>
  <si>
    <t>POLYGON Z ((286100.5927374398 6610454.08169036 156.89000000000001, 286103.1705180897 6610456.25892648 156.87, 286105.357185098 6610457.99948876 156.87, 286106.8176824835 6610459.152920842 156.87, 286107.8960899968 6610459.969308292 156.84, 286107.9639888594 6610460.0535602495 156.83, 286108.0400091077 6610460.227478421 156.82, 286108.0689219212 6610460.435797214 156.82, 286108.01268040156 6610460.702051955 156.82, 286107.8532002495 6610460.937478809 156.82, 286107.62217495573 6610461.159296473 156.82, 286107.4998760998 6610461.250730667 156.82, 286107.32595792704 6610461.326750916 156.82, 286107.2055005969 6610461.327616522 156.82, 286107.0125957479 6610461.304910021 156.83, 286105.1508011463 6610460.378673111 156.89000000000001, 286102.85702852823 6610459.340892279 156.94, 286099.10253776266 6610457.812645794 156.96, 286098.2667025088 6610457.456430597 156.94, 286098.13812378555 6610457.367629974 156.94, 286098.04939671606 6610457.275219844 156.94, 286097.9751812184 6610457.121227482 156.94, 286097.9589384506 6610456.941895038 156.94, 286098.1374788529 6610456.58420608 156.94, 286099.8346536426 6610454.140308005 156.87, 286100.0049623273 6610454.024436106 156.88, 286100.1390288613 6610453.952025366 156.88, 286100.24771853356 6610453.932136319 156.88, 286100.3690782463 6610453.941233638 156.89000000000001, 286100.5148756641 6610453.998340769 156.89000000000001, 286100.5927374398 6610454.08169036 156.89000000000001))</t>
  </si>
  <si>
    <t>['FV128 S6D1 m7510-7537', 'FV128 S7D1 m0-30']</t>
  </si>
  <si>
    <t>LINESTRING Z (286014.710865794 6610463.72861743 156.97, 286019.89587557316 6610463.972163018 157.06, 286025.3535670142 6610464.010207092 157.01, 286031.81025724957 6610463.987902223 157.03, 286037.0724096064 6610463.752362041 157.07, 286041.8971692558 6610463.345500418 157.08, 286045.6722496025 6610462.883042229 157.08, 286049.5017298517 6610462.244897833 157.09, 286053.47076437296 6610461.373131267 157.09, 286056.2922217845 6610460.69570668 157.06, 286058.36646036874 6610460.085960352 157.05, 286060.2387334568 6610459.464372829 157.03, 286062.3954559936 6610458.656307363 157.03, 286065.4426346683 6610457.3658042895 157.01, 286068.77704342944 6610455.69772318 156.93, 286070.4356936017 6610454.713787732 156.94, 286070.56254116114 6610454.561673647 156.94, 286070.6124293023 6610454.336172864 156.95000000000002, 286070.5726512008 6610454.118793466 156.96, 286070.39256346377 6610453.683095516 156.96, 286069.40433687426 6610451.311664037 156.96, 286068.91843693657 6610449.9393784 156.92000000000002, 286068.824295599 6610449.787190745 156.91, 286068.7808344327 6610449.750948582 156.91, 286068.70748451835 6610449.717413547 156.89000000000001, 286068.51457961067 6610449.694707017 156.86, 286068.304419212 6610449.814188443 156.86, 286066.26879898563 6610451.404812218 156.81, 286063.39343950583 6610453.483324694 156.82, 286061.82174834725 6610454.429250046 156.9, 286059.58246819023 6610455.656623534 157.02, 286057.01535089733 6610456.813243939 157.02, 286053.6693580395 6610457.909829442 157.09, 286050.91583622276 6610458.561011508 157.05, 286048.3390132898 6610458.94507313 157.06, 286044.45080496604 6610459.156616702 157.1, 286039.2385410763 6610459.166655837 157.09, 286037.13640203857 6610459.246562789 157.05, 286034.9753510503 6610459.452341407 157.05, 286032.49368186196 6610459.667070241 157.05, 286029.85892255104 6610459.965977541 157.04, 286025.5105042467 6610460.530588122 157.05, 286019.6865976955 6610461.439776569 157.05, 286016.1895759218 6610461.867005313 157.01, 286014.9360159271 6610462.111125129 156.97, 286014.63528678357 6610462.228765098 156.97, 286014.50212253456 6610462.311138817 156.95000000000002, 286014.4033589307 6610462.440620006 156.96, 286014.28914459574 6610462.732215058 156.97, 286014.27098673343 6610462.864440154 156.96, 286014.3161423531 6610463.252091678 156.95000000000002, 286014.37678547844 6610463.367134839 156.96, 286014.52886286855 6610463.604476954 156.95000000000002, 286014.710865794 6610463.72861743 156.97)</t>
  </si>
  <si>
    <t>POLYGON Z ((286014.710865794 6610463.72861743 156.97, 286019.89587557316 6610463.972163018 157.06, 286025.3535670142 6610464.010207092 157.01, 286031.81025724957 6610463.987902223 157.03, 286037.0724096064 6610463.752362041 157.07, 286041.8971692558 6610463.345500418 157.08, 286045.6722496025 6610462.883042229 157.08, 286049.5017298517 6610462.244897833 157.09, 286053.47076437296 6610461.373131267 157.09, 286056.2922217845 6610460.69570668 157.06, 286058.36646036874 6610460.085960352 157.05, 286060.2387334568 6610459.464372829 157.03, 286062.3954559936 6610458.656307363 157.03, 286065.4426346683 6610457.3658042895 157.01, 286068.77704342944 6610455.69772318 156.93, 286070.4356936017 6610454.713787732 156.94, 286070.56254116114 6610454.561673647 156.94, 286070.6124293023 6610454.336172864 156.95000000000002, 286070.5726512008 6610454.118793466 156.96, 286070.39256346377 6610453.683095516 156.96, 286069.40433687426 6610451.311664037 156.96, 286068.91843693657 6610449.9393784 156.92000000000002, 286068.824295599 6610449.787190745 156.91, 286068.7808344327 6610449.750948582 156.91, 286068.70748451835 6610449.717413547 156.89000000000001, 286068.51457961067 6610449.694707017 156.86, 286068.304419212 6610449.814188443 156.86, 286066.26879898563 6610451.404812218 156.81, 286063.39343950583 6610453.483324694 156.82, 286061.82174834725 6610454.429250046 156.9, 286059.58246819023 6610455.656623534 157.02, 286057.01535089733 6610456.813243939 157.02, 286053.6693580395 6610457.909829442 157.09, 286050.91583622276 6610458.561011508 157.05, 286048.3390132898 6610458.94507313 157.06, 286044.45080496604 6610459.156616702 157.1, 286039.2385410763 6610459.166655837 157.09, 286037.13640203857 6610459.246562789 157.05, 286034.9753510503 6610459.452341407 157.05, 286032.49368186196 6610459.667070241 157.05, 286029.85892255104 6610459.965977541 157.04, 286025.5105042467 6610460.530588122 157.05, 286019.6865976955 6610461.439776569 157.05, 286016.1895759218 6610461.867005313 157.01, 286014.9360159271 6610462.111125129 156.97, 286014.63528678357 6610462.228765098 156.97, 286014.50212253456 6610462.311138817 156.95000000000002, 286014.4033589307 6610462.440620006 156.96, 286014.28914459574 6610462.732215058 156.97, 286014.27098673343 6610462.864440154 156.96, 286014.3161423531 6610463.252091678 156.95000000000002, 286014.37678547844 6610463.367134839 156.96, 286014.52886286855 6610463.604476954 156.95000000000002, 286014.710865794 6610463.72861743 156.97))</t>
  </si>
  <si>
    <t>['FV128 S7D1 m45-150']</t>
  </si>
  <si>
    <t>LINESTRING Z (286000.1629925977 6610462.916803349 156.73, 286000.4478099758 6610461.625380142 156.70000000000002, 286000.35457094986 6610461.483155331 156.72, 285986.0595625178 6610460.136160453 156.79, 285976.4567953218 6610459.248102065 156.77, 285964.89685583673 6610458.266105631 156.69, 285958.7455503243 6610457.778606494 156.64000000000001, 285952.580672069 6610457.252157972 156.59, 285942.44181931624 6610456.101269507 156.56, 285936.39934963046 6610455.151902765 156.6, 285933.0240163564 6610454.593777687 156.58, 285930.43387594307 6610454.165428124 156.56, 285923.1552105801 6610452.986509173 156.65, 285917.0600710402 6610452.453743556 156.69, 285909.1217892923 6610452.087917522 156.70000000000002, 285899.0024541473 6610452.150664021 156.71, 285895.4846741742 6610452.348745407 156.66, 285894.9049458799 6610452.602146612 156.66, 285894.6603477134 6610452.785015291 156.64000000000001, 285894.62497108686 6610452.948934061 156.64000000000001, 285894.7227220633 6610453.140973658 156.64000000000001, 285895.0242435324 6610453.364780373 156.64000000000001, 285895.617397113 6610453.592306953 156.64000000000001, 285901.41816172743 6610454.201958598 156.69, 285915.5755406077 6610455.471019994 156.71, 285929.0482565424 6610456.611244657 156.64000000000001, 285934.0511565894 6610457.062133997 156.63, 285943.0743094261 6610457.872110421 156.6, 285955.075290063 6610458.954785889 156.65, 285968.6937992214 6610460.152116834 156.69, 285982.33670781646 6610461.507951861 156.8, 285996.76758810884 6610462.802461667 156.84, 285999.98181847803 6610463.023614805 156.71, 286000.0986664077 6610462.982897519 156.71, 286000.1629925977 6610462.916803349 156.73)</t>
  </si>
  <si>
    <t>POLYGON Z ((286000.1629925977 6610462.916803349 156.73, 286000.4478099758 6610461.625380142 156.70000000000002, 286000.35457094986 6610461.483155331 156.72, 285986.0595625178 6610460.136160453 156.79, 285976.4567953218 6610459.248102065 156.77, 285964.89685583673 6610458.266105631 156.69, 285958.7455503243 6610457.778606494 156.64000000000001, 285952.580672069 6610457.252157972 156.59, 285942.44181931624 6610456.101269507 156.56, 285936.39934963046 6610455.151902765 156.6, 285933.0240163564 6610454.593777687 156.58, 285930.43387594307 6610454.165428124 156.56, 285923.1552105801 6610452.986509173 156.65, 285917.0600710402 6610452.453743556 156.69, 285909.1217892923 6610452.087917522 156.70000000000002, 285899.0024541473 6610452.150664021 156.71, 285895.4846741742 6610452.348745407 156.66, 285894.9049458799 6610452.602146612 156.66, 285894.6603477134 6610452.785015291 156.64000000000001, 285894.62497108686 6610452.948934061 156.64000000000001, 285894.7227220633 6610453.140973658 156.64000000000001, 285895.0242435324 6610453.364780373 156.64000000000001, 285895.617397113 6610453.592306953 156.64000000000001, 285901.41816172743 6610454.201958598 156.69, 285915.5755406077 6610455.471019994 156.71, 285929.0482565424 6610456.611244657 156.64000000000001, 285934.0511565894 6610457.062133997 156.63, 285943.0743094261 6610457.872110421 156.6, 285955.075290063 6610458.954785889 156.65, 285968.6937992214 6610460.152116834 156.69, 285982.33670781646 6610461.507951861 156.8, 285996.76758810884 6610462.802461667 156.84, 285999.98181847803 6610463.023614805 156.71, 286000.0986664077 6610462.982897519 156.71, 286000.1629925977 6610462.916803349 156.73))</t>
  </si>
  <si>
    <t>['FV128 S7D1 m2240-2292']</t>
  </si>
  <si>
    <t>LINESTRING Z (283894.4037659775 6610989.2517822 131.05, 283902.7976753626 6610987.105297254 131.29, 283910.34844014654 6610984.743882184 131.54, 283915.1229661334 6610983.116083482 131.61, 283917.660956359 6610982.524585243 131.74, 283921.05310147844 6610981.715092353 131.91, 283924.7713575909 6610980.735433615 132.03, 283925.741496244 6610980.356260998 132.08, 283927.24704361043 6610979.56697862 132.12, 283931.336211523 6610977.137402733 132.29, 283937.68386391946 6610973.026669753 132.34, 283937.8433461035 6610972.791238046 132.35, 283937.7990543398 6610972.524039471 132.35, 283937.6361079239 6610972.277633135 132.35, 283937.35901899956 6610972.101834483 132.35, 283937.0157254162 6610972.193198037 132.34, 283930.6458031717 6610975.170882309 132.16, 283926.3756765346 6610977.044293533 131.93, 283919.6154974934 6610979.7057575695 131.78, 283910.72942430107 6610982.96157289 131.52, 283902.32537051314 6610985.661442121 131.24, 283897.02381159976 6610987.015543611 131.11, 283892.05020484864 6610988.108908987 130.96, 283889.85637388506 6610988.729503372 130.95, 283889.6452713334 6610988.949521159 130.97, 283889.61982148956 6610989.223036851 130.98, 283889.8912414658 6610990.112532227 131, 283890.0596752772 6610990.197724276 131, 283890.35676323634 6610990.150725167 131, 283891.67557407275 6610989.850463766 131.02, 283894.4037659775 6610989.2517822 131.05)</t>
  </si>
  <si>
    <t>POLYGON Z ((283894.4037659775 6610989.2517822 131.05, 283902.7976753626 6610987.105297254 131.29, 283910.34844014654 6610984.743882184 131.54, 283915.1229661334 6610983.116083482 131.61, 283917.660956359 6610982.524585243 131.74, 283921.05310147844 6610981.715092353 131.91, 283924.7713575909 6610980.735433615 132.03, 283925.741496244 6610980.356260998 132.08, 283927.24704361043 6610979.56697862 132.12, 283931.336211523 6610977.137402733 132.29, 283937.68386391946 6610973.026669753 132.34, 283937.8433461035 6610972.791238046 132.35, 283937.7990543398 6610972.524039471 132.35, 283937.6361079239 6610972.277633135 132.35, 283937.35901899956 6610972.101834483 132.35, 283937.0157254162 6610972.193198037 132.34, 283930.6458031717 6610975.170882309 132.16, 283926.3756765346 6610977.044293533 131.93, 283919.6154974934 6610979.7057575695 131.78, 283910.72942430107 6610982.96157289 131.52, 283902.32537051314 6610985.661442121 131.24, 283897.02381159976 6610987.015543611 131.11, 283892.05020484864 6610988.108908987 130.96, 283889.85637388506 6610988.729503372 130.95, 283889.6452713334 6610988.949521159 130.97, 283889.61982148956 6610989.223036851 130.98, 283889.8912414658 6610990.112532227 131, 283890.0596752772 6610990.197724276 131, 283890.35676323634 6610990.150725167 131, 283891.67557407275 6610989.850463766 131.02, 283894.4037659775 6610989.2517822 131.05))</t>
  </si>
  <si>
    <t>['FV128 S7D1 m2373-2438', 'FV128 S7D1 m2438-2495']</t>
  </si>
  <si>
    <t>LINESTRING Z (283779.89978633414 6610985.560471955 128.83, 283779.23308812315 6610985.851891058 128.83, 283772.06807307736 6610982.934959237 128.65, 283765.6067192713 6610980.245591819 128.46, 283758.9760651481 6610977.350572245 128.24, 283750.5723053246 6610973.621715566 127.98, 283741.24580414855 6610969.353657139 127.75, 283733.0467564763 6610965.556032768 127.53, 283723.5808071471 6610961.19011045 127.24000000000001, 283714.4444694888 6610957.025363639 126.94, 283709.2356121589 6610954.634384654 126.78, 283686.24118455173 6610944.412209576 126.09, 283678.4903284363 6610941.015959065 125.95, 283669.8392913333 6610937.32958413 125.84, 283669.3984983943 6610936.455428273 125.86, 283670.2899096082 6610935.872444483 125.9, 283674.6442551672 6610936.814006828 125.99000000000001, 283680.71196450584 6610938.484324835 126.11, 283685.97807613097 6610940.287517964 126.25, 283689.68016119703 6610941.679908839 126.32000000000001, 283691.3609283846 6610942.381482401 126.31, 283711.16701441654 6610953.334421009 126.91, 283714.8181261538 6610955.494836576 127.02, 283719.256323384 6610957.583960134 127.14, 283725.53556309035 6610960.480677496 127.33, 283734.21366989415 6610964.465942172 127.57000000000001, 283743.91689183825 6610968.900775899 127.8, 283751.9348345124 6610972.584220613 128, 283760.04789567995 6610976.208825001 128.28, 283766.7745710371 6610979.054967888 128.45, 283771.1541452082 6610980.385991299 128.54, 283775.59266816435 6610981.480643786 128.64000000000001, 283780.2006000902 6610982.4494583 128.74, 283780.6134176397 6610983.0147569915 128.79, 283780.1899824011 6610984.439298908 128.8, 283779.89978633414 6610985.560471955 128.83)</t>
  </si>
  <si>
    <t>POLYGON Z ((283779.89978633414 6610985.560471955 128.83, 283779.23308812315 6610985.851891058 128.83, 283772.06807307736 6610982.934959237 128.65, 283765.6067192713 6610980.245591819 128.46, 283758.9760651481 6610977.350572245 128.24, 283750.5723053246 6610973.621715566 127.98, 283741.24580414855 6610969.353657139 127.75, 283733.0467564763 6610965.556032768 127.53, 283723.5808071471 6610961.19011045 127.24000000000001, 283714.4444694888 6610957.025363639 126.94, 283709.2356121589 6610954.634384654 126.78, 283686.24118455173 6610944.412209576 126.09, 283678.4903284363 6610941.015959065 125.95, 283669.8392913333 6610937.32958413 125.84, 283669.3984983943 6610936.455428273 125.86, 283670.2899096082 6610935.872444483 125.9, 283674.6442551672 6610936.814006828 125.99000000000001, 283680.71196450584 6610938.484324835 126.11, 283685.97807613097 6610940.287517964 126.25, 283689.68016119703 6610941.679908839 126.32000000000001, 283691.3609283846 6610942.381482401 126.31, 283711.16701441654 6610953.334421009 126.91, 283714.8181261538 6610955.494836576 127.02, 283719.256323384 6610957.583960134 127.14, 283725.53556309035 6610960.480677496 127.33, 283734.21366989415 6610964.465942172 127.57000000000001, 283743.91689183825 6610968.900775899 127.8, 283751.9348345124 6610972.584220613 128, 283760.04789567995 6610976.208825001 128.28, 283766.7745710371 6610979.054967888 128.45, 283771.1541452082 6610980.385991299 128.54, 283775.59266816435 6610981.480643786 128.64000000000001, 283780.2006000902 6610982.4494583 128.74, 283780.6134176397 6610983.0147569915 128.79, 283780.1899824011 6610984.439298908 128.8, 283779.89978633414 6610985.560471955 128.83))</t>
  </si>
  <si>
    <t>['FV128 S7D1 m2552-2562']</t>
  </si>
  <si>
    <t>LINESTRING Z (283613.1433970524 6610916.006769373 125.86, 283610.7496144592 6610915.972468799 125.86, 283607.8938822659 6610916.05032406 125.79, 283606.24094356544 6610916.099593155 125.86, 283606.00096274284 6610916.0007915385 125.87, 283605.8877951753 6610915.8603690285 125.87, 283605.85703982867 6610915.742616465 125.87, 283605.87620937196 6610915.288861604 125.87, 283606.5508568147 6610912.867213004 125.94, 283606.687924678 6610911.940715913 125.94, 283606.76701869164 6610911.039559616 125.96000000000001, 283606.89119754604 6610910.747055929 125.96000000000001, 283606.98360932106 6610910.658326733 125.96000000000001, 283607.1321536634 6610910.634827236 125.96000000000001, 283610.8260460454 6610912.158545375 125.92, 283614.38135712105 6610913.7048604945 125.83, 283616.36275066424 6610914.620281804 125.84, 283616.61536542606 6610914.858567054 125.86, 283616.7656053067 6610915.186483926 125.87, 283616.78722709307 6610915.53609545 125.88000000000001, 283616.5226257637 6610915.941766669 125.88000000000001, 283616.34505807597 6610916.088433282 125.88000000000001, 283616.1412471727 6610916.16716293 125.88000000000001, 283615.8233298521 6610916.206003675 125.88000000000001, 283613.1433970524 6610916.006769373 125.86)</t>
  </si>
  <si>
    <t>POLYGON Z ((283613.1433970524 6610916.006769373 125.86, 283610.7496144592 6610915.972468799 125.86, 283607.8938822659 6610916.05032406 125.79, 283606.24094356544 6610916.099593155 125.86, 283606.00096274284 6610916.0007915385 125.87, 283605.8877951753 6610915.8603690285 125.87, 283605.85703982867 6610915.742616465 125.87, 283605.87620937196 6610915.288861604 125.87, 283606.5508568147 6610912.867213004 125.94, 283606.687924678 6610911.940715913 125.94, 283606.76701869164 6610911.039559616 125.96000000000001, 283606.89119754604 6610910.747055929 125.96000000000001, 283606.98360932106 6610910.658326733 125.96000000000001, 283607.1321536634 6610910.634827236 125.96000000000001, 283610.8260460454 6610912.158545375 125.92, 283614.38135712105 6610913.7048604945 125.83, 283616.36275066424 6610914.620281804 125.84, 283616.61536542606 6610914.858567054 125.86, 283616.7656053067 6610915.186483926 125.87, 283616.78722709307 6610915.53609545 125.88000000000001, 283616.5226257637 6610915.941766669 125.88000000000001, 283616.34505807597 6610916.088433282 125.88000000000001, 283616.1412471727 6610916.16716293 125.88000000000001, 283615.8233298521 6610916.206003675 125.88000000000001, 283613.1433970524 6610916.006769373 125.86))</t>
  </si>
  <si>
    <t>['FV128 S7D1 m2569-2580']</t>
  </si>
  <si>
    <t>LINESTRING Z (283567.0196060369 6610920.134284457 126.21000000000001, 283572.5051378316 6610918.482264371 126.13000000000001, 283572.7053391029 6610918.363682211 126.13000000000001, 283572.7905314892 6610918.195248018 126.13000000000001, 283572.8232374261 6610917.890939841 126.16, 283572.5363668066 6610917.163559167 126.21000000000001, 283571.3906892194 6610914.27396268 126.23, 283571.2177428979 6610914.138954683 126.23, 283570.9614454701 6610914.081810363 126.23, 283570.61363866646 6610914.123358392 126.23, 283570.4143398137 6610914.251903665 126.23, 283566.18722435273 6610917.487521778 126.23, 283563.2022900396 6610919.35501993 126.26, 283562.4576174846 6610919.894578324 126.28, 283562.34888914385 6610920.024964899 126.28, 283562.3479138565 6610920.235995305 126.28, 283562.460069752 6610920.69794503 126.28, 283562.5713960816 6610920.928938107 126.26, 283562.89465524245 6610921.170869591 126.26, 283563.0803084144 6610921.224367764 126.26, 283563.6065489969 6610921.156612914 126.26, 283567.0196060369 6610920.134284457 126.21000000000001)</t>
  </si>
  <si>
    <t>POLYGON Z ((283567.0196060369 6610920.134284457 126.21000000000001, 283572.5051378316 6610918.482264371 126.13000000000001, 283572.7053391029 6610918.363682211 126.13000000000001, 283572.7905314892 6610918.195248018 126.13000000000001, 283572.8232374261 6610917.890939841 126.16, 283572.5363668066 6610917.163559167 126.21000000000001, 283571.3906892194 6610914.27396268 126.23, 283571.2177428979 6610914.138954683 126.23, 283570.9614454701 6610914.081810363 126.23, 283570.61363866646 6610914.123358392 126.23, 283570.4143398137 6610914.251903665 126.23, 283566.18722435273 6610917.487521778 126.23, 283563.2022900396 6610919.35501993 126.26, 283562.4576174846 6610919.894578324 126.28, 283562.34888914385 6610920.024964899 126.28, 283562.3479138565 6610920.235995305 126.28, 283562.460069752 6610920.69794503 126.28, 283562.5713960816 6610920.928938107 126.26, 283562.89465524245 6610921.170869591 126.26, 283563.0803084144 6610921.224367764 126.26, 283563.6065489969 6610921.156612914 126.26, 283567.0196060369 6610920.134284457 126.21000000000001))</t>
  </si>
  <si>
    <t>['FV128 S7D1 m2708-2843']</t>
  </si>
  <si>
    <t>LINESTRING Z (283320.85699282796 6611008.154547409 130.3, 283328.7732139253 6611007.276799013 130.43, 283340.3540650249 6611006.047028475 130.68, 283353.46551952726 6611004.969921545 131.08, 283366.42034243135 6611003.716149276 131.45, 283381.2844763616 6611002.249257333 131.85, 283392.7619722654 6611001.3201502105 132.15, 283400.2395198505 6611001.366085037 132.18, 283405.6647704466 6611001.2664305065 132.2, 283408.8846675874 6611000.994870622 132.2, 283412.04031003267 6611000.568412775 132.25, 283417.0275094932 6610999.513993277 132.25, 283420.2503318084 6610998.609341478 132.25, 283426.51678527065 6610996.374294259 132.1, 283431.9445304929 6610994.195125387 131.98, 283437.4847227241 6610991.593931823 131.95, 283444.3330468092 6610988.130931079 131.7, 283449.2048064052 6610985.580237888 131.68, 283451.80547445203 6610984.460728099 131.6, 283452.0382361795 6610984.479824676 131.6, 283452.3669831053 6610984.560541274 131.6, 283452.49736985704 6610984.669269648 131.6, 283452.5788433896 6610984.792473317 131.6, 283452.5941847397 6610984.961846532 131.6, 283452.56332016794 6610985.17558443 131.63, 283452.4292145638 6610985.358494132 131.68, 283442.60310128424 6610990.989695019 132.08, 283435.1587577763 6610994.63726511 132.08, 283431.2509688405 6610996.297055312 132.18, 283423.1864214168 6610999.307706196 132.25, 283417.0459879056 6611001.159678755 132.33, 283413.80421440816 6611001.855104845 132.35, 283409.163089931 6611002.627056061 132.38, 283404.474099912 6611002.981458129 132.28, 283398.4049279631 6611002.958629661 132.18, 283393.58291611075 6611002.953420103 132.1, 283391.3919651632 6611003.051421828 132.03, 283382.2793057766 6611003.917001671 131.78, 283371.3225629508 6611004.939568849 131.6, 283358.5108706114 6611006.110062731 131.2, 283346.69639324944 6611007.2002764875 130.85, 283336.0639186399 6611008.143248113 130.58, 283329.39406573 6611008.697161346 130.43, 283327.60340775154 6611008.889489054 130.43, 283325.9512949252 6611009.169716517 130.4, 283323.0057422791 6611009.697683811 130.35, 283320.8518262424 6611010.093677474 130.28, 283320.7386219499 6611010.063751694 130.28, 283320.639929329 6611009.972242198 130.28, 283320.4516411496 6611009.667860643 130.29, 283320.3041806823 6611009.148838513 130.29, 283320.2799603641 6611008.437845752 130.3, 283320.3298124268 6611008.322836591 130.3, 283320.4530162171 6611008.241362949 130.3, 283320.85699282796 6611008.154547409 130.3)</t>
  </si>
  <si>
    <t>POLYGON Z ((283320.85699282796 6611008.154547409 130.3, 283328.7732139253 6611007.276799013 130.43, 283340.3540650249 6611006.047028475 130.68, 283353.46551952726 6611004.969921545 131.08, 283366.42034243135 6611003.716149276 131.45, 283381.2844763616 6611002.249257333 131.85, 283392.7619722654 6611001.3201502105 132.15, 283400.2395198505 6611001.366085037 132.18, 283405.6647704466 6611001.2664305065 132.2, 283408.8846675874 6611000.994870622 132.2, 283412.04031003267 6611000.568412775 132.25, 283417.0275094932 6610999.513993277 132.25, 283420.2503318084 6610998.609341478 132.25, 283426.51678527065 6610996.374294259 132.1, 283431.9445304929 6610994.195125387 131.98, 283437.4847227241 6610991.593931823 131.95, 283444.3330468092 6610988.130931079 131.7, 283449.2048064052 6610985.580237888 131.68, 283451.80547445203 6610984.460728099 131.6, 283452.0382361795 6610984.479824676 131.6, 283452.3669831053 6610984.560541274 131.6, 283452.49736985704 6610984.669269648 131.6, 283452.5788433896 6610984.792473317 131.6, 283452.5941847397 6610984.961846532 131.6, 283452.56332016794 6610985.17558443 131.63, 283452.4292145638 6610985.358494132 131.68, 283442.60310128424 6610990.989695019 132.08, 283435.1587577763 6610994.63726511 132.08, 283431.2509688405 6610996.297055312 132.18, 283423.1864214168 6610999.307706196 132.25, 283417.0459879056 6611001.159678755 132.33, 283413.80421440816 6611001.855104845 132.35, 283409.163089931 6611002.627056061 132.38, 283404.474099912 6611002.981458129 132.28, 283398.4049279631 6611002.958629661 132.18, 283393.58291611075 6611002.953420103 132.1, 283391.3919651632 6611003.051421828 132.03, 283382.2793057766 6611003.917001671 131.78, 283371.3225629508 6611004.939568849 131.6, 283358.5108706114 6611006.110062731 131.2, 283346.69639324944 6611007.2002764875 130.85, 283336.0639186399 6611008.143248113 130.58, 283329.39406573 6611008.697161346 130.43, 283327.60340775154 6611008.889489054 130.43, 283325.9512949252 6611009.169716517 130.4, 283323.0057422791 6611009.697683811 130.35, 283320.8518262424 6611010.093677474 130.28, 283320.7386219499 6611010.063751694 130.28, 283320.639929329 6611009.972242198 130.28, 283320.4516411496 6611009.667860643 130.29, 283320.3041806823 6611009.148838513 130.29, 283320.2799603641 6611008.437845752 130.3, 283320.3298124268 6611008.322836591 130.3, 283320.4530162171 6611008.241362949 130.3, 283320.85699282796 6611008.154547409 130.3))</t>
  </si>
  <si>
    <t>['FV128 S7D1 m2852-2950']</t>
  </si>
  <si>
    <t>LINESTRING Z (283269.304696778 6611027.429282146 129.28, 283262.45148808596 6611031.947444541 129.21, 283255.3265305591 6611036.570580867 129.21, 283253.89248557953 6611037.483974368 129.21, 283248.94906309573 6611040.352555505 129.33, 283243.30349000415 6611043.89747416 129.56, 283241.07037030195 6611045.526118979 129.71, 283237.23094303254 6611048.606094944 129.78, 283235.5784294966 6611050.101790855 129.81, 283231.20676446136 6611054.957696914 129.93, 283224.1605669784 6611062.446540254 130.08, 283218.21609363303 6611068.79092408 130.18, 283214.2342569608 6611072.516628608 130.38, 283213.8374995552 6611072.683149624 130.38, 283213.4281442793 6611072.59968946 130.38, 283213.0849575882 6611072.359562521 130.38, 283213.00532499363 6611072.1457878705 130.38, 283212.98547129775 6611071.926598578 130.38, 283213.2818036757 6611071.427647559 130.38, 283219.94485309767 6611064.033777075 130.16, 283227.2203121056 6611056.192686056 129.93, 283235.4958410026 6611047.859216446 129.73, 283237.0749664528 6611046.440482107 129.73, 283241.71790795925 6611042.916064943 129.63, 283247.0237953855 6611039.502363086 129.53, 283254.5526574561 6611035.01340471 129.41, 283262.4848115952 6611029.764685844 129.23, 283271.2730024974 6611024.096903878 129.46, 283275.8947147425 6611021.779797592 129.53, 283281.95844816486 6611019.080954773 129.61, 283284.2195065961 6611017.871665473 129.68, 283289.8142876005 6611014.542292269 129.83, 283289.9854659134 6611014.546877149 129.81, 283290.1611564041 6611014.60127775 129.81, 283290.3467736861 6611014.765272928 129.81, 283290.55856160127 6611015.218199269 129.81, 283290.9321036165 6611016.791546221 129.76, 283291.0877587701 6611017.179242731 129.76, 283291.40091030195 6611017.864065025 129.73, 283291.41986145487 6611018.073291037 129.71, 283291.3862895833 6611018.257139799 129.71, 283291.345498225 6611018.361283414 129.71, 283286.02665722324 6611019.8575836625 129.61, 283282.54836307827 6611020.936049865 129.56, 283280.0781876484 6611021.832799328 129.51, 283274.82515135454 6611024.277403488 129.36, 283271.94536634797 6611025.86417202 129.31, 283269.304696778 6611027.429282146 129.28)</t>
  </si>
  <si>
    <t>POLYGON Z ((283269.304696778 6611027.429282146 129.28, 283262.45148808596 6611031.947444541 129.21, 283255.3265305591 6611036.570580867 129.21, 283253.89248557953 6611037.483974368 129.21, 283248.94906309573 6611040.352555505 129.33, 283243.30349000415 6611043.89747416 129.56, 283241.07037030195 6611045.526118979 129.71, 283237.23094303254 6611048.606094944 129.78, 283235.5784294966 6611050.101790855 129.81, 283231.20676446136 6611054.957696914 129.93, 283224.1605669784 6611062.446540254 130.08, 283218.21609363303 6611068.79092408 130.18, 283214.2342569608 6611072.516628608 130.38, 283213.8374995552 6611072.683149624 130.38, 283213.4281442793 6611072.59968946 130.38, 283213.0849575882 6611072.359562521 130.38, 283213.00532499363 6611072.1457878705 130.38, 283212.98547129775 6611071.926598578 130.38, 283213.2818036757 6611071.427647559 130.38, 283219.94485309767 6611064.033777075 130.16, 283227.2203121056 6611056.192686056 129.93, 283235.4958410026 6611047.859216446 129.73, 283237.0749664528 6611046.440482107 129.73, 283241.71790795925 6611042.916064943 129.63, 283247.0237953855 6611039.502363086 129.53, 283254.5526574561 6611035.01340471 129.41, 283262.4848115952 6611029.764685844 129.23, 283271.2730024974 6611024.096903878 129.46, 283275.8947147425 6611021.779797592 129.53, 283281.95844816486 6611019.080954773 129.61, 283284.2195065961 6611017.871665473 129.68, 283289.8142876005 6611014.542292269 129.83, 283289.9854659134 6611014.546877149 129.81, 283290.1611564041 6611014.60127775 129.81, 283290.3467736861 6611014.765272928 129.81, 283290.55856160127 6611015.218199269 129.81, 283290.9321036165 6611016.791546221 129.76, 283291.0877587701 6611017.179242731 129.76, 283291.40091030195 6611017.864065025 129.73, 283291.41986145487 6611018.073291037 129.71, 283291.3862895833 6611018.257139799 129.71, 283291.345498225 6611018.361283414 129.71, 283286.02665722324 6611019.8575836625 129.61, 283282.54836307827 6611020.936049865 129.56, 283280.0781876484 6611021.832799328 129.51, 283274.82515135454 6611024.277403488 129.36, 283271.94536634797 6611025.86417202 129.31, 283269.304696778 6611027.429282146 129.28))</t>
  </si>
  <si>
    <t>['FV128 S7D1 m2964-3038']</t>
  </si>
  <si>
    <t>LINESTRING Z (283194.30404935544 6611100.006654555 130.73, 283187.83138428384 6611106.840859786 130.81, 283179.7841060114 6611115.143617384 131.01, 283172.4109298904 6611122.682174454 131.08, 283164.4444042826 6611130.545689228 131.21, 283156.53318156255 6611138.243477448 131.66, 283156.3239190838 6611138.372925965 131.66, 283156.1038272466 6611138.382816633 131.66, 283155.8475288211 6611138.32567256 131.66, 283155.54419445014 6611138.081935903 131.66, 283155.4301237648 6611137.931549899 131.66, 283155.38492895593 6611137.654386475 131.66, 283155.4248540595 6611137.429782405 131.66, 283155.6196773987 6611137.140923423 131.66, 283161.0170794404 6611130.856130591 131.36, 283169.05742845644 6611121.589688391 131.11, 283177.4711078023 6611111.787187155 130.88, 283186.9628302464 6611101.244167043 130.71, 283195.83582614956 6611091.07862818 130.51, 283203.4447262997 6611082.815580741 130.51, 283203.72734057147 6611082.719667881 130.53, 283204.2915940867 6611082.7388732005 130.56, 283204.417468983 6611082.797785956 130.56, 283204.60492766445 6611082.871210355 130.56, 283204.7135835848 6611082.961817445 130.56, 283204.8276541553 6611083.112203431 130.56, 283204.9018721243 6611083.266199188 130.56, 283204.9516152926 6611083.482681168 130.56, 283204.93796979263 6611083.664725202 130.56, 283202.6131904272 6611088.606443027 130.56, 283200.9756555509 6611091.376484471 130.56, 283196.27477149316 6611097.588139286 130.58, 283194.30404935544 6611100.006654555 130.73)</t>
  </si>
  <si>
    <t>POLYGON Z ((283194.30404935544 6611100.006654555 130.73, 283187.83138428384 6611106.840859786 130.81, 283179.7841060114 6611115.143617384 131.01, 283172.4109298904 6611122.682174454 131.08, 283164.4444042826 6611130.545689228 131.21, 283156.53318156255 6611138.243477448 131.66, 283156.3239190838 6611138.372925965 131.66, 283156.1038272466 6611138.382816633 131.66, 283155.8475288211 6611138.32567256 131.66, 283155.54419445014 6611138.081935903 131.66, 283155.4301237648 6611137.931549899 131.66, 283155.38492895593 6611137.654386475 131.66, 283155.4248540595 6611137.429782405 131.66, 283155.6196773987 6611137.140923423 131.66, 283161.0170794404 6611130.856130591 131.36, 283169.05742845644 6611121.589688391 131.11, 283177.4711078023 6611111.787187155 130.88, 283186.9628302464 6611101.244167043 130.71, 283195.83582614956 6611091.07862818 130.51, 283203.4447262997 6611082.815580741 130.51, 283203.72734057147 6611082.719667881 130.53, 283204.2915940867 6611082.7388732005 130.56, 283204.417468983 6611082.797785956 130.56, 283204.60492766445 6611082.871210355 130.56, 283204.7135835848 6611082.961817445 130.56, 283204.8276541553 6611083.112203431 130.56, 283204.9018721243 6611083.266199188 130.56, 283204.9516152926 6611083.482681168 130.56, 283204.93796979263 6611083.664725202 130.56, 283202.6131904272 6611088.606443027 130.56, 283200.9756555509 6611091.376484471 130.56, 283196.27477149316 6611097.588139286 130.58, 283194.30404935544 6611100.006654555 130.73))</t>
  </si>
  <si>
    <t>['FV128 S7D1 m3953-4022']</t>
  </si>
  <si>
    <t>LINESTRING Z (282195.3317769768 6611174.269253727 104.68, 282204.6391727355 6611170.894870556 105.05, 282212.8441501735 6611167.992007166 105.37, 282220.52280825615 6611165.377896641 105.75, 282222.3317128498 6611164.832340003 105.82000000000001, 282224.6894975868 6611164.24711169 105.92, 282227.4140806721 6611163.719064168 106.07000000000001, 282231.19747350825 6611163.1252463395 106.22, 282237.1321302506 6611161.9950415315 106.47, 282239.02160665044 6611161.562726606 106.52, 282241.4826694307 6611160.897828835 106.67, 282245.2690229436 6611159.560415002 106.82000000000001, 282251.40334236855 6611157.196683749 107.25, 282257.19439948956 6611154.813819952 107.35000000000001, 282257.80591125553 6611154.356631424 107.4, 282257.9011037898 6611154.076794829 107.4, 282257.8930542314 6611153.766129843 107.4, 282257.76093367185 6611153.416478139 107.4, 282257.5227911518 6611153.227104284 107.4, 282257.1886261547 6611153.086607868 107.4, 282256.7882921087 6611153.102779489 107.4, 282250.8073574236 6611154.4983448265 107.12, 282240.925094899 6611157.070973627 106.77, 282230.7265343296 6611160.254860957 106.12, 282220.2923564779 6611163.831754602 105.7, 282212.3328866975 6611166.561705271 105.32000000000001, 282202.7166674499 6611169.853565956 104.87, 282193.7606920564 6611173.226252904 104.62, 282192.09390722204 6611174.010061184 104.60000000000001, 282192.05037199275 6611174.194814117 104.60000000000001, 282192.0937622674 6611174.452053288 104.60000000000001, 282192.15711524826 6611174.596989525 104.60000000000001, 282192.4550373317 6611174.78094872 104.60000000000001, 282192.8082265465 6611174.909677017 104.60000000000001, 282193.24206032226 6611174.93065089 104.62, 282193.8815484253 6611174.78232227 104.67, 282195.3317769768 6611174.269253727 104.68)</t>
  </si>
  <si>
    <t>POLYGON Z ((282195.3317769768 6611174.269253727 104.68, 282204.6391727355 6611170.894870556 105.05, 282212.8441501735 6611167.992007166 105.37, 282220.52280825615 6611165.377896641 105.75, 282222.3317128498 6611164.832340003 105.82000000000001, 282224.6894975868 6611164.24711169 105.92, 282227.4140806721 6611163.719064168 106.07000000000001, 282231.19747350825 6611163.1252463395 106.22, 282237.1321302506 6611161.9950415315 106.47, 282239.02160665044 6611161.562726606 106.52, 282241.4826694307 6611160.897828835 106.67, 282245.2690229436 6611159.560415002 106.82000000000001, 282251.40334236855 6611157.196683749 107.25, 282257.19439948956 6611154.813819952 107.35000000000001, 282257.80591125553 6611154.356631424 107.4, 282257.9011037898 6611154.076794829 107.4, 282257.8930542314 6611153.766129843 107.4, 282257.76093367185 6611153.416478139 107.4, 282257.5227911518 6611153.227104284 107.4, 282257.1886261547 6611153.086607868 107.4, 282256.7882921087 6611153.102779489 107.4, 282250.8073574236 6611154.4983448265 107.12, 282240.925094899 6611157.070973627 106.77, 282230.7265343296 6611160.254860957 106.12, 282220.2923564779 6611163.831754602 105.7, 282212.3328866975 6611166.561705271 105.32000000000001, 282202.7166674499 6611169.853565956 104.87, 282193.7606920564 6611173.226252904 104.62, 282192.09390722204 6611174.010061184 104.60000000000001, 282192.05037199275 6611174.194814117 104.60000000000001, 282192.0937622674 6611174.452053288 104.60000000000001, 282192.15711524826 6611174.596989525 104.60000000000001, 282192.4550373317 6611174.78094872 104.60000000000001, 282192.8082265465 6611174.909677017 104.60000000000001, 282193.24206032226 6611174.93065089 104.62, 282193.8815484253 6611174.78232227 104.67, 282195.3317769768 6611174.269253727 104.68))</t>
  </si>
  <si>
    <t>['FV128 S7D1 m4042-4124']</t>
  </si>
  <si>
    <t>LINESTRING Z (282171.89249844867 6611185.643772154 103.99000000000001, 282164.0679626876 6611188.421772767 103.91, 282154.0748695532 6611191.988852322 103.81, 282143.874316377 6611195.705308571 103.71000000000001, 282135.41660779633 6611198.701381911 103.56, 282126.0494641226 6611201.97068567 103.49000000000001, 282116.583553639 6611205.369475823 103.29, 282107.30784652155 6611208.761083043 103.11, 282098.04130817356 6611211.8103307225 103.04, 282097.13728815946 6611212.143340327 103.01, 282096.8302325875 6611212.191242997 103.01, 282096.6146873113 6611212.140451918 103.01, 282096.4870425002 6611211.951114123 103.01, 282096.47079826205 6611211.771775774 103.01, 282096.5179433037 6611211.626875644 103.01, 282098.2056668162 6611210.519730251 103.06, 282106.86123599357 6611206.270200446 103.24000000000001, 282109.9402756775 6611204.77586206 103.26, 282114.8681467578 6611202.51136008 103.31, 282117.99783250154 6611201.243469033 103.36, 282123.9527469871 6611199.116973739 103.46000000000001, 282126.7589154976 6611198.380635707 103.46000000000001, 282137.4734415356 6611196.124371157 103.61, 282139.59395123203 6611195.470229214 103.61, 282142.40835016384 6611194.492066279 103.61, 282152.74654768145 6611190.8535473 103.79, 282163.5476017696 6611187.112834107 103.84, 282173.61310802295 6611183.679825778 103.99000000000001, 282173.9346389171 6611183.680836926 104.01, 282174.2099634544 6611183.7262132885 104.01, 282174.2995963411 6611183.828589237 104.01, 282174.37742485263 6611184.0224392135 104.01, 282174.35652346676 6611184.235276972 104.01, 282174.07744419016 6611184.592039841 104.04, 282173.6335384187 6611184.903462583 104.06, 282171.89249844867 6611185.643772154 103.99000000000001)</t>
  </si>
  <si>
    <t>POLYGON Z ((282171.89249844867 6611185.643772154 103.99000000000001, 282164.0679626876 6611188.421772767 103.91, 282154.0748695532 6611191.988852322 103.81, 282143.874316377 6611195.705308571 103.71000000000001, 282135.41660779633 6611198.701381911 103.56, 282126.0494641226 6611201.97068567 103.49000000000001, 282116.583553639 6611205.369475823 103.29, 282107.30784652155 6611208.761083043 103.11, 282098.04130817356 6611211.8103307225 103.04, 282097.13728815946 6611212.143340327 103.01, 282096.8302325875 6611212.191242997 103.01, 282096.6146873113 6611212.140451918 103.01, 282096.4870425002 6611211.951114123 103.01, 282096.47079826205 6611211.771775774 103.01, 282096.5179433037 6611211.626875644 103.01, 282098.2056668162 6611210.519730251 103.06, 282106.86123599357 6611206.270200446 103.24000000000001, 282109.9402756775 6611204.77586206 103.26, 282114.8681467578 6611202.51136008 103.31, 282117.99783250154 6611201.243469033 103.36, 282123.9527469871 6611199.116973739 103.46000000000001, 282126.7589154976 6611198.380635707 103.46000000000001, 282137.4734415356 6611196.124371157 103.61, 282139.59395123203 6611195.470229214 103.61, 282142.40835016384 6611194.492066279 103.61, 282152.74654768145 6611190.8535473 103.79, 282163.5476017696 6611187.112834107 103.84, 282173.61310802295 6611183.679825778 103.99000000000001, 282173.9346389171 6611183.680836926 104.01, 282174.2099634544 6611183.7262132885 104.01, 282174.2995963411 6611183.828589237 104.01, 282174.37742485263 6611184.0224392135 104.01, 282174.35652346676 6611184.235276972 104.01, 282174.07744419016 6611184.592039841 104.04, 282173.6335384187 6611184.903462583 104.06, 282171.89249844867 6611185.643772154 103.99000000000001))</t>
  </si>
  <si>
    <t>['FV128 S7D1 m4516-4574']</t>
  </si>
  <si>
    <t>LINESTRING Z (281753.1817076835 6611486.006081633 93.64, 281760.1599259203 6611481.647287376 93.41, 281768.7452251982 6611476.289096545 93.14, 281777.74096689385 6611470.471837637 92.76, 281786.2213257784 6611464.731398346 92.49, 281794.68294818286 6611458.118740888 92.46000000000001, 281796.42604902457 6611456.624862941 92.46000000000001, 281796.59549651697 6611456.388523995 92.46000000000001, 281796.62910420645 6611456.09417443 92.46000000000001, 281796.6156030085 6611455.834227054 92.46000000000001, 281796.48070167704 6611455.675681298 92.46000000000001, 281796.27331405797 6611455.6040614955 92.44, 281795.9888917621 6611455.680049724 92.44, 281792.775668027 6611457.578307753 92.36, 281783.7773633895 6611462.92368156 92.51, 281773.02166150033 6611469.161528576 92.76, 281762.95714227937 6611475.045463277 93.11, 281758.12687324686 6611477.944021951 93.34, 281756.37752666423 6611479.147160922 93.46000000000001, 281752.98918801366 6611481.995468693 93.59, 281751.1318705578 6611483.7809538115 93.71000000000001, 281748.4914637329 6611487.234529593 93.86, 281748.25750841567 6611488.089457877 93.86, 281748.30909376143 6611488.2153704455 93.86, 281748.5119331076 6611488.347672319 93.86, 281748.7456007069 6611488.376731573 93.86, 281749.0608153866 6611488.307999063 93.86, 281749.9023502844 6611487.950511576 93.86, 281753.1817076835 6611486.006081633 93.64)</t>
  </si>
  <si>
    <t>POLYGON Z ((281753.1817076835 6611486.006081633 93.64, 281760.1599259203 6611481.647287376 93.41, 281768.7452251982 6611476.289096545 93.14, 281777.74096689385 6611470.471837637 92.76, 281786.2213257784 6611464.731398346 92.49, 281794.68294818286 6611458.118740888 92.46000000000001, 281796.42604902457 6611456.624862941 92.46000000000001, 281796.59549651697 6611456.388523995 92.46000000000001, 281796.62910420645 6611456.09417443 92.46000000000001, 281796.6156030085 6611455.834227054 92.46000000000001, 281796.48070167704 6611455.675681298 92.46000000000001, 281796.27331405797 6611455.6040614955 92.44, 281795.9888917621 6611455.680049724 92.44, 281792.775668027 6611457.578307753 92.36, 281783.7773633895 6611462.92368156 92.51, 281773.02166150033 6611469.161528576 92.76, 281762.95714227937 6611475.045463277 93.11, 281758.12687324686 6611477.944021951 93.34, 281756.37752666423 6611479.147160922 93.46000000000001, 281752.98918801366 6611481.995468693 93.59, 281751.1318705578 6611483.7809538115 93.71000000000001, 281748.4914637329 6611487.234529593 93.86, 281748.25750841567 6611488.089457877 93.86, 281748.30909376143 6611488.2153704455 93.86, 281748.5119331076 6611488.347672319 93.86, 281748.7456007069 6611488.376731573 93.86, 281749.0608153866 6611488.307999063 93.86, 281749.9023502844 6611487.950511576 93.86, 281753.1817076835 6611486.006081633 93.64))</t>
  </si>
  <si>
    <t>['FV128 S7D1 m4590-4664']</t>
  </si>
  <si>
    <t>LINESTRING Z (281669.50767069426 6611529.0442878045 96.71000000000001, 281677.35533289285 6611524.857858727 96.46000000000001, 281686.20675762056 6611519.997896847 96.06, 281690.31674983574 6611517.797414893 95.96000000000001, 281691.63659408165 6611517.175610769 95.94, 281693.47636944766 6611516.416305497 95.86, 281698.18661372317 6611514.965053956 95.69, 281702.63330031454 6611513.487450752 95.51, 281705.1660281316 6611512.504656844 95.36, 281709.97164390155 6611510.22107503 95.21000000000001, 281712.2191185291 6611509.083309421 95.09, 281716.4142670545 6611506.824889576 94.91, 281720.2498352211 6611504.58899603 94.69, 281727.84754656255 6611500.304670578 94.46000000000001, 281733.33185414225 6611497.085696426 94.34, 281733.65620155877 6611496.785101222 94.34, 281733.68977321545 6611496.6012499435 94.34, 281733.59476079926 6611496.328595758 94.34, 281733.314994621 6611496.012406645 94.34, 281733.11757013865 6611495.939884388 94.34, 281731.7714823294 6611496.493750151 94.39, 281724.08143017616 6611500.645809299 94.59, 281715.7825358547 6611505.395449568 94.89, 281710.6688174952 6611508.158965267 95.11, 281707.38956709276 6611509.771901034 95.24, 281705.124006748 6611510.820899728 95.34, 281702.32949042873 6611511.907766865 95.39, 281696.64725010697 6611513.82877357 95.54, 281693.6852348171 6611514.729912649 95.71000000000001, 281691.6352922729 6611515.608705295 95.86, 281687.47100720985 6611517.653384707 96.04, 281681.65884839033 6611520.801607755 96.21000000000001, 281672.59635367163 6611525.771094027 96.49000000000001, 281668.21085548925 6611528.478693338 96.74000000000001, 281667.8611305711 6611528.831812621 96.79, 281667.76413341536 6611529.091724342 96.79, 281667.73872008955 6611529.254746692 96.79, 281667.7894030247 6611529.370696057 96.79, 281667.862719969 6611529.514730277 96.79, 281667.95870685123 6611529.576350828 96.79, 281668.13078999333 6611529.590898393 96.79, 281669.50767069426 6611529.0442878045 96.71000000000001)</t>
  </si>
  <si>
    <t>POLYGON Z ((281669.50767069426 6611529.0442878045 96.71000000000001, 281677.35533289285 6611524.857858727 96.46000000000001, 281686.20675762056 6611519.997896847 96.06, 281690.31674983574 6611517.797414893 95.96000000000001, 281691.63659408165 6611517.175610769 95.94, 281693.47636944766 6611516.416305497 95.86, 281698.18661372317 6611514.965053956 95.69, 281702.63330031454 6611513.487450752 95.51, 281705.1660281316 6611512.504656844 95.36, 281709.97164390155 6611510.22107503 95.21000000000001, 281712.2191185291 6611509.083309421 95.09, 281716.4142670545 6611506.824889576 94.91, 281720.2498352211 6611504.58899603 94.69, 281727.84754656255 6611500.304670578 94.46000000000001, 281733.33185414225 6611497.085696426 94.34, 281733.65620155877 6611496.785101222 94.34, 281733.68977321545 6611496.6012499435 94.34, 281733.59476079926 6611496.328595758 94.34, 281733.314994621 6611496.012406645 94.34, 281733.11757013865 6611495.939884388 94.34, 281731.7714823294 6611496.493750151 94.39, 281724.08143017616 6611500.645809299 94.59, 281715.7825358547 6611505.395449568 94.89, 281710.6688174952 6611508.158965267 95.11, 281707.38956709276 6611509.771901034 95.24, 281705.124006748 6611510.820899728 95.34, 281702.32949042873 6611511.907766865 95.39, 281696.64725010697 6611513.82877357 95.54, 281693.6852348171 6611514.729912649 95.71000000000001, 281691.6352922729 6611515.608705295 95.86, 281687.47100720985 6611517.653384707 96.04, 281681.65884839033 6611520.801607755 96.21000000000001, 281672.59635367163 6611525.771094027 96.49000000000001, 281668.21085548925 6611528.478693338 96.74000000000001, 281667.8611305711 6611528.831812621 96.79, 281667.76413341536 6611529.091724342 96.79, 281667.73872008955 6611529.254746692 96.79, 281667.7894030247 6611529.370696057 96.79, 281667.862719969 6611529.514730277 96.79, 281667.95870685123 6611529.576350828 96.79, 281668.13078999333 6611529.590898393 96.79, 281669.50767069426 6611529.0442878045 96.71000000000001))</t>
  </si>
  <si>
    <t>['FV128 S7D1 m4682-4729']</t>
  </si>
  <si>
    <t>LINESTRING Z (281634.4107863724 6611545.794239181 97.92, 281627.5587628781 6611549.217467644 98.2, 281620.0046893569 6611552.985549952 98.45, 281613.6771450094 6611556.21059563 98.77, 281610.4838443826 6611558.107054126 99.07000000000001, 281609.8623315368 6611558.67564816 99.12, 281609.80341844074 6611558.8015249465 99.12, 281609.7780051403 6611558.964547384 99.12, 281609.7879325169 6611559.074143464 99.12, 281609.9065534874 6611559.163848891 99.12, 281610.1121365128 6611559.215542075 99.12, 281610.6139463793 6611559.099772186 99.12, 281613.3930503435 6611558.06452456 98.9, 281620.0881180683 6611555.459114796 98.60000000000001, 281629.43280239205 6611551.719691747 98.25, 281634.82712052343 6611549.503322053 98.07000000000001, 281639.39448639227 6611547.3618590245 97.82000000000001, 281642.6103485871 6611545.714483187 97.7, 281645.80094106967 6611543.788135671 97.62, 281650.0570249135 6611540.760772049 97.4, 281651.74038317683 6611539.16180754 97.4, 281652.5178061334 6611538.207425306 97.36, 281652.542352885 6611537.9239411205 97.36, 281652.45185275073 6611537.701103164 97.36, 281652.3386826806 6611537.560678882 97.36, 281652.20829351735 6611537.4519494 97.36, 281651.9148460558 6611537.428305134 97.36, 281651.5923753282 6611537.527830136 97.36, 281648.1456247652 6611538.955039211 97.44, 281644.50040329923 6611540.741757002 97.49000000000001, 281637.5541623982 6611544.233789449 97.81, 281634.4107863724 6611545.794239181 97.92)</t>
  </si>
  <si>
    <t>POLYGON Z ((281634.4107863724 6611545.794239181 97.92, 281627.5587628781 6611549.217467644 98.2, 281620.0046893569 6611552.985549952 98.45, 281613.6771450094 6611556.21059563 98.77, 281610.4838443826 6611558.107054126 99.07000000000001, 281609.8623315368 6611558.67564816 99.12, 281609.80341844074 6611558.8015249465 99.12, 281609.7780051403 6611558.964547384 99.12, 281609.7879325169 6611559.074143464 99.12, 281609.9065534874 6611559.163848891 99.12, 281610.1121365128 6611559.215542075 99.12, 281610.6139463793 6611559.099772186 99.12, 281613.3930503435 6611558.06452456 98.9, 281620.0881180683 6611555.459114796 98.60000000000001, 281629.43280239205 6611551.719691747 98.25, 281634.82712052343 6611549.503322053 98.07000000000001, 281639.39448639227 6611547.3618590245 97.82000000000001, 281642.6103485871 6611545.714483187 97.7, 281645.80094106967 6611543.788135671 97.62, 281650.0570249135 6611540.760772049 97.4, 281651.74038317683 6611539.16180754 97.4, 281652.5178061334 6611538.207425306 97.36, 281652.542352885 6611537.9239411205 97.36, 281652.45185275073 6611537.701103164 97.36, 281652.3386826806 6611537.560678882 97.36, 281652.20829351735 6611537.4519494 97.36, 281651.9148460558 6611537.428305134 97.36, 281651.5923753282 6611537.527830136 97.36, 281648.1456247652 6611538.955039211 97.44, 281644.50040329923 6611540.741757002 97.49000000000001, 281637.5541623982 6611544.233789449 97.81, 281634.4107863724 6611545.794239181 97.92))</t>
  </si>
  <si>
    <t>['FV128 S8D1 m271-346']</t>
  </si>
  <si>
    <t>LINESTRING Z (279694.1168097142 6614496.587471369 104.9, 279708.17264196055 6614482.757414416 104.51, 279724.42333119316 6614465.1021723235 104.2, 279736.7450583022 6614449.982730574 103.8, 279742.0467277324 6614442.751988582 103.69, 279750.60509395064 6614430.665647602 103.3, 279759.32792254037 6614416.846676109 102.53, 279764.42811650754 6614407.946596205 101.99000000000001, 279764.0731443973 6614407.687447261 101.98, 279754.4068678202 6614423.400036685 102.76, 279743.6902194695 6614438.163095606 103.51, 279733.3354629142 6614451.266043265 103.55, 279718.328694975 6614467.794009455 104.16, 279702.74973140645 6614483.550116021 104.49000000000001, 279694.43539759505 6614491.345137467 104.79, 279693.96858938446 6614492.5124972565 104.79, 279693.87918913196 6614494.630093173 104.79, 279694.1168097142 6614496.587471369 104.9)</t>
  </si>
  <si>
    <t>POLYGON Z ((279694.1168097142 6614496.587471369 104.9, 279708.17264196055 6614482.757414416 104.51, 279724.42333119316 6614465.1021723235 104.2, 279736.7450583022 6614449.982730574 103.8, 279742.0467277324 6614442.751988582 103.69, 279750.60509395064 6614430.665647602 103.3, 279759.32792254037 6614416.846676109 102.53, 279764.42811650754 6614407.946596205 101.99000000000001, 279764.0731443973 6614407.687447261 101.98, 279754.4068678202 6614423.400036685 102.76, 279743.6902194695 6614438.163095606 103.51, 279733.3354629142 6614451.266043265 103.55, 279718.328694975 6614467.794009455 104.16, 279702.74973140645 6614483.550116021 104.49000000000001, 279694.43539759505 6614491.345137467 104.79, 279693.96858938446 6614492.5124972565 104.79, 279693.87918913196 6614494.630093173 104.79, 279694.1168097142 6614496.587471369 104.9))</t>
  </si>
  <si>
    <t>['FV128 S8D1 m440-480']</t>
  </si>
  <si>
    <t>LINESTRING Z (279563.7435048835 6614571.684961976 107.87, 279574.9050875928 6614568.2627994055 107.60000000000001, 279585.26705249934 6614564.330464372 107.09, 279594.25493247673 6614560.64317304 106.83, 279603.592501173 6614556.713248537 106.59, 279609.72358347976 6614553.31493682 106.32000000000001, 279613.9723802053 6614550.428709364 106.19, 279617.1397430835 6614547.469697603 106.18, 279618.32214582956 6614546.106911806 106.18, 279617.6617847185 6614546.357603706 106.18, 279609.4363108047 6614550.809568613 106.27, 279592.12860616634 6614559.459634944 106.88, 279578.89657502726 6614565.640969959 107.42, 279568.15225527436 6614570.009758094 107.8, 279563.7435048835 6614571.684961976 107.87)</t>
  </si>
  <si>
    <t>POLYGON Z ((279563.7435048835 6614571.684961976 107.87, 279574.9050875928 6614568.2627994055 107.60000000000001, 279585.26705249934 6614564.330464372 107.09, 279594.25493247673 6614560.64317304 106.83, 279603.592501173 6614556.713248537 106.59, 279609.72358347976 6614553.31493682 106.32000000000001, 279613.9723802053 6614550.428709364 106.19, 279617.1397430835 6614547.469697603 106.18, 279618.32214582956 6614546.106911806 106.18, 279617.6617847185 6614546.357603706 106.18, 279609.4363108047 6614550.809568613 106.27, 279592.12860616634 6614559.459634944 106.88, 279578.89657502726 6614565.640969959 107.42, 279568.15225527436 6614570.009758094 107.8, 279563.7435048835 6614571.684961976 107.87))</t>
  </si>
  <si>
    <t>['FV128 S8D1 m1113-1180']</t>
  </si>
  <si>
    <t>LINESTRING Z (279052.69056062296 6614903.054333948 106.58, 279044.0038155282 6614911.284978703 106.48, 279031.8861033467 6614922.558816153 106.10000000000001, 279020.53316641424 6614932.738741926 105.82000000000001, 279016.3075005178 6614936.989057553 105.78, 279013.8919383361 6614939.819701809 105.66, 279011.22702615225 6614943.556924117 105.62, 279008.8618225453 6614947.608529766 105.61, 279008.34797253436 6614948.589300247 105.58, 279008.351517912 6614948.850156269 105.60000000000001, 279008.6684121787 6614949.24334449 105.62, 279008.96638089395 6614949.3167986 105.65, 279009.3278073612 6614949.203687825 105.68, 279009.7672018457 6614948.842425734 105.68, 279017.28334442223 6614941.883095461 105.85000000000001, 279027.5772466196 6614932.431979056 106.11, 279037.40834769385 6614922.862073726 106.36, 279043.8402436846 6614916.131577571 106.51, 279050.02602441004 6614908.569533921 106.62, 279054.0363351151 6614903.605428428 106.74000000000001, 279054.557374588 6614902.814867328 106.75, 279054.57736737153 6614902.592059754 106.73, 279054.45155205147 6614902.312146746 106.73, 279054.0920299873 6614902.113681262 106.72, 279053.81305267126 6614902.138959049 106.73, 279052.69056062296 6614903.054333948 106.58)</t>
  </si>
  <si>
    <t>POLYGON Z ((279052.69056062296 6614903.054333948 106.58, 279044.0038155282 6614911.284978703 106.48, 279031.8861033467 6614922.558816153 106.10000000000001, 279020.53316641424 6614932.738741926 105.82000000000001, 279016.3075005178 6614936.989057553 105.78, 279013.8919383361 6614939.819701809 105.66, 279011.22702615225 6614943.556924117 105.62, 279008.8618225453 6614947.608529766 105.61, 279008.34797253436 6614948.589300247 105.58, 279008.351517912 6614948.850156269 105.60000000000001, 279008.6684121787 6614949.24334449 105.62, 279008.96638089395 6614949.3167986 105.65, 279009.3278073612 6614949.203687825 105.68, 279009.7672018457 6614948.842425734 105.68, 279017.28334442223 6614941.883095461 105.85000000000001, 279027.5772466196 6614932.431979056 106.11, 279037.40834769385 6614922.862073726 106.36, 279043.8402436846 6614916.131577571 106.51, 279050.02602441004 6614908.569533921 106.62, 279054.0363351151 6614903.605428428 106.74000000000001, 279054.557374588 6614902.814867328 106.75, 279054.57736737153 6614902.592059754 106.73, 279054.45155205147 6614902.312146746 106.73, 279054.0920299873 6614902.113681262 106.72, 279053.81305267126 6614902.138959049 106.73, 279052.69056062296 6614903.054333948 106.58))</t>
  </si>
  <si>
    <t>['FV128 S8D1 m1192-1294']</t>
  </si>
  <si>
    <t>LINESTRING Z (278914.3478204714 6615012.375746434 102.92, 278917.2864743972 6615010.994449154 102.81, 278930.2301091779 6615003.181696941 103.19, 278942.97460467747 6614994.944997649 103.55, 278950.62951525534 6614990.404046046 103.75, 278956.1917327711 6614987.268192076 103.91, 278964.3737060259 6614983.000933623 104.14, 278976.11620432464 6614975.568243858 104.56, 278982.6879009338 6614970.824085371 104.81, 278997.37445186864 6614959.076391369 105.22, 278997.50049744226 6614958.582797021 105.15, 278997.0975100612 6614958.348088816 105.15, 278996.66272807255 6614958.427665189 105.13, 278987.4762986131 6614965.689020314 105.04, 278979.03732709354 6614972.219661236 104.77, 278973.8056450463 6614975.566651185 104.56, 278964.4513624585 6614980.75379902 104.27, 278957.0511532844 6614984.668954168 104.02, 278951.1826775855 6614988.194188121 103.89, 278940.9703029188 6614994.554025153 103.53, 278918.30059961183 6615008.99395502 102.9, 278914.1768653655 6615011.597658871 102.9, 278913.91771625186 6615011.952634776 102.9, 278914.01818826573 6615012.174572668 102.9, 278914.3478204714 6615012.375746434 102.92)</t>
  </si>
  <si>
    <t>POLYGON Z ((278914.3478204714 6615012.375746434 102.92, 278917.2864743972 6615010.994449154 102.81, 278930.2301091779 6615003.181696941 103.19, 278942.97460467747 6614994.944997649 103.55, 278950.62951525534 6614990.404046046 103.75, 278956.1917327711 6614987.268192076 103.91, 278964.3737060259 6614983.000933623 104.14, 278976.11620432464 6614975.568243858 104.56, 278982.6879009338 6614970.824085371 104.81, 278997.37445186864 6614959.076391369 105.22, 278997.50049744226 6614958.582797021 105.15, 278997.0975100612 6614958.348088816 105.15, 278996.66272807255 6614958.427665189 105.13, 278987.4762986131 6614965.689020314 105.04, 278979.03732709354 6614972.219661236 104.77, 278973.8056450463 6614975.566651185 104.56, 278964.4513624585 6614980.75379902 104.27, 278957.0511532844 6614984.668954168 104.02, 278951.1826775855 6614988.194188121 103.89, 278940.9703029188 6614994.554025153 103.53, 278918.30059961183 6615008.99395502 102.9, 278914.1768653655 6615011.597658871 102.9, 278913.91771625186 6615011.952634776 102.9, 278914.01818826573 6615012.174572668 102.9, 278914.3478204714 6615012.375746434 102.92))</t>
  </si>
  <si>
    <t>['FV128 S8D1 m1933-2098']</t>
  </si>
  <si>
    <t>LINESTRING Z (278317.0988812324 6615225.068061205 104.79, 278307.02904294664 6615224.021660541 104.86, 278292.6671168215 6615222.058276575 105.06, 278276.6992537548 6615220.220317129 105.25, 278258.4372292994 6615218.007603657 105.51, 278242.8307250538 6615216.2775343135 105.75, 278229.4912944869 6615214.623311849 105.88, 278213.9074547419 6615212.810824765 106.09, 278199.45665073796 6615211.197031826 106.24000000000001, 278184.7151292489 6615209.478990969 106.54, 278168.00820940244 6615207.4669047985 106.65, 278156.362443328 6615206.101210147 106.86, 278152.81019919645 6615205.699817322 106.84, 278152.2856770172 6615206.008524011 106.81, 278152.03645764134 6615206.473101574 106.75, 278151.90857380396 6615207.057274393 106.69, 278152.259908442 6615207.387072299 106.7, 278152.9835709379 6615207.502316821 106.71000000000001, 278164.82406160946 6615208.910639322 106.68, 278184.0824219138 6615211.143577346 106.49000000000001, 278202.34087884123 6615213.205937589 106.23, 278217.14849916915 6615214.988305628 106.09, 278228.6982353375 6615216.4028808065 106.02, 278232.7729649063 6615217.249151763 106.01, 278244.3020869014 6615220.986069062 105.74000000000001, 278248.63138664607 6615221.648547257 105.67, 278257.31549284793 6615222.478970378 105.67, 278272.4321069085 6615223.791342264 105.47, 278288.77781278844 6615225.143024177 105.17, 278308.634999284 6615226.889744926 105, 278316.7820710705 6615227.447377241 104.84, 278317.3790456408 6615227.162241805 104.83, 278317.6735682088 6615226.643333102 104.82000000000001, 278317.70633044513 6615226.118006817 104.81, 278317.4990976787 6615225.49388271 104.81, 278317.0988812324 6615225.068061205 104.79)</t>
  </si>
  <si>
    <t>POLYGON Z ((278317.0988812324 6615225.068061205 104.79, 278307.02904294664 6615224.021660541 104.86, 278292.6671168215 6615222.058276575 105.06, 278276.6992537548 6615220.220317129 105.25, 278258.4372292994 6615218.007603657 105.51, 278242.8307250538 6615216.2775343135 105.75, 278229.4912944869 6615214.623311849 105.88, 278213.9074547419 6615212.810824765 106.09, 278199.45665073796 6615211.197031826 106.24000000000001, 278184.7151292489 6615209.478990969 106.54, 278168.00820940244 6615207.4669047985 106.65, 278156.362443328 6615206.101210147 106.86, 278152.81019919645 6615205.699817322 106.84, 278152.2856770172 6615206.008524011 106.81, 278152.03645764134 6615206.473101574 106.75, 278151.90857380396 6615207.057274393 106.69, 278152.259908442 6615207.387072299 106.7, 278152.9835709379 6615207.502316821 106.71000000000001, 278164.82406160946 6615208.910639322 106.68, 278184.0824219138 6615211.143577346 106.49000000000001, 278202.34087884123 6615213.205937589 106.23, 278217.14849916915 6615214.988305628 106.09, 278228.6982353375 6615216.4028808065 106.02, 278232.7729649063 6615217.249151763 106.01, 278244.3020869014 6615220.986069062 105.74000000000001, 278248.63138664607 6615221.648547257 105.67, 278257.31549284793 6615222.478970378 105.67, 278272.4321069085 6615223.791342264 105.47, 278288.77781278844 6615225.143024177 105.17, 278308.634999284 6615226.889744926 105, 278316.7820710705 6615227.447377241 104.84, 278317.3790456408 6615227.162241805 104.83, 278317.6735682088 6615226.643333102 104.82000000000001, 278317.70633044513 6615226.118006817 104.81, 278317.4990976787 6615225.49388271 104.81, 278317.0988812324 6615225.068061205 104.79))</t>
  </si>
  <si>
    <t>['FV128 S8D1 m2121-2197']</t>
  </si>
  <si>
    <t>LINESTRING Z (278117.8186803375 6615204.219436145 106.97, 278105.735959438 6615204.128911852 107.07000000000001, 278092.8913298781 6615204.609692615 107.27, 278079.7168028337 6615205.773314005 107.16, 278068.9415876648 6615207.030937488 107.29, 278059.1880058176 6615208.477259921 107.34, 278054.5086801215 6615209.162437935 107.38, 278054.2821287472 6615209.544598997 107.37, 278054.2810952829 6615209.976643172 107.35000000000001, 278054.55091613403 6615210.2937367 107.33, 278055.37150635757 6615210.3700625645 107.31, 278067.56883543055 6615208.842944496 107.33, 278079.9988056104 6615207.776923974 107.11, 278090.30369847897 6615207.315318674 107.05, 278100.5370073151 6615206.950607866 107.06, 278106.356526933 6615206.764837238 107.08, 278117.796968449 6615207.194828836 106.88, 278119.1437881889 6615207.313880619 106.87, 278123.1915351113 6615207.529740619 106.84, 278126.93856975937 6615207.752757735 106.79, 278128.4566080392 6615207.765887 106.8, 278129.09888731176 6615207.426419452 106.8, 278129.60632157023 6615206.707401515 106.8, 278129.6844856794 6615205.796237038 106.81, 278129.10418531403 6615204.824192453 106.85000000000001, 278128.61429638247 6615204.406495467 106.88, 278121.60657015647 6615204.117300086 106.91, 278117.8186803375 6615204.219436145 106.97)</t>
  </si>
  <si>
    <t>POLYGON Z ((278117.8186803375 6615204.219436145 106.97, 278105.735959438 6615204.128911852 107.07000000000001, 278092.8913298781 6615204.609692615 107.27, 278079.7168028337 6615205.773314005 107.16, 278068.9415876648 6615207.030937488 107.29, 278059.1880058176 6615208.477259921 107.34, 278054.5086801215 6615209.162437935 107.38, 278054.2821287472 6615209.544598997 107.37, 278054.2810952829 6615209.976643172 107.35000000000001, 278054.55091613403 6615210.2937367 107.33, 278055.37150635757 6615210.3700625645 107.31, 278067.56883543055 6615208.842944496 107.33, 278079.9988056104 6615207.776923974 107.11, 278090.30369847897 6615207.315318674 107.05, 278100.5370073151 6615206.950607866 107.06, 278106.356526933 6615206.764837238 107.08, 278117.796968449 6615207.194828836 106.88, 278119.1437881889 6615207.313880619 106.87, 278123.1915351113 6615207.529740619 106.84, 278126.93856975937 6615207.752757735 106.79, 278128.4566080392 6615207.765887 106.8, 278129.09888731176 6615207.426419452 106.8, 278129.60632157023 6615206.707401515 106.8, 278129.6844856794 6615205.796237038 106.81, 278129.10418531403 6615204.824192453 106.85000000000001, 278128.61429638247 6615204.406495467 106.88, 278121.60657015647 6615204.117300086 106.91, 278117.8186803375 6615204.219436145 106.97))</t>
  </si>
  <si>
    <t>['FV128 S8D1 m2698-2704']</t>
  </si>
  <si>
    <t>LINESTRING Z (277581.94030453207 6615373.421270899 107.8, 277576.45410492027 6615373.51657199 107.78, 277575.8815682687 6615373.849722131 107.78, 277575.95830834366 6615374.696627756 107.79, 277577.35397656227 6615378.126235512 107.64, 277577.8230057559 6615378.646278215 107.63, 277578.08480023337 6615378.542193185 107.67, 277579.4193769438 6615377.195724974 107.84, 277581.9808015185 6615374.311642157 107.86, 277582.2227989088 6615373.767353306 107.81, 277581.94030453207 6615373.421270899 107.8)</t>
  </si>
  <si>
    <t>POLYGON Z ((277581.94030453207 6615373.421270899 107.8, 277576.45410492027 6615373.51657199 107.78, 277575.8815682687 6615373.849722131 107.78, 277575.95830834366 6615374.696627756 107.79, 277577.35397656227 6615378.126235512 107.64, 277577.8230057559 6615378.646278215 107.63, 277578.08480023337 6615378.542193185 107.67, 277579.4193769438 6615377.195724974 107.84, 277581.9808015185 6615374.311642157 107.86, 277582.2227989088 6615373.767353306 107.81, 277581.94030453207 6615373.421270899 107.8))</t>
  </si>
  <si>
    <t>['FV128 S8D1 m4564-4574']</t>
  </si>
  <si>
    <t>LINESTRING Z (275805.3448450464 6615791.670066436 103.88, 275804.86023325415 6615791.754161913 103.88, 275804.69265540806 6615791.789438147 103.88, 275798.1723392145 6615793.776610897 103.96000000000001, 275798.07537821867 6615793.926034816 103.96000000000001, 275798.09072697395 6615794.0954184085 103.96000000000001, 275799.2584528101 6615796.561266397 103.92, 275801.2327910274 6615800.501038175 103.92, 275801.55604849936 6615800.853477122 103.9, 275801.8350332277 6615800.828196804 103.89, 275802.076903787 6615800.725915173 103.89, 275802.4021601156 6615800.435257526 103.88, 275802.58250687027 6615800.0974576 103.88, 275803.49014070956 6615796.810680282 103.88, 275804.4337283814 6615794.474972665 103.88, 275805.58023455646 6615792.050558681 103.88, 275805.6101901664 6615791.826842064 103.88, 275805.3448450464 6615791.670066436 103.88)</t>
  </si>
  <si>
    <t>POLYGON Z ((275805.3448450464 6615791.670066436 103.88, 275804.86023325415 6615791.754161913 103.88, 275804.69265540806 6615791.789438147 103.88, 275798.1723392145 6615793.776610897 103.96000000000001, 275798.07537821867 6615793.926034816 103.96000000000001, 275798.09072697395 6615794.0954184085 103.96000000000001, 275799.2584528101 6615796.561266397 103.92, 275801.2327910274 6615800.501038175 103.92, 275801.55604849936 6615800.853477122 103.9, 275801.8350332277 6615800.828196804 103.89, 275802.076903787 6615800.725915173 103.89, 275802.4021601156 6615800.435257526 103.88, 275802.58250687027 6615800.0974576 103.88, 275803.49014070956 6615796.810680282 103.88, 275804.4337283814 6615794.474972665 103.88, 275805.58023455646 6615792.050558681 103.88, 275805.6101901664 6615791.826842064 103.88, 275805.3448450464 6615791.670066436 103.88))</t>
  </si>
  <si>
    <t>['FV122 S1D1 m11406-11416']</t>
  </si>
  <si>
    <t>LINESTRING Z (278487.8826677268 6613939.1415735055 106.72, 278487.559714123 6613931.918117747 106.79, 278487.36057886475 6613931.494165758 106.8, 278486.9357918166 6613931.4623344885 106.79, 278486.5190614284 6613931.741177967 106.81, 278486.40745429916 6613932.394189623 106.83, 278486.8455920116 6613939.114989394 106.84, 278487.0782286844 6613939.576087382 106.83, 278487.5392590391 6613939.564453706 106.81, 278487.72950257105 6613939.446764414 106.82000000000001, 278487.8826677268 6613939.1415735055 106.72)</t>
  </si>
  <si>
    <t>POLYGON Z ((278487.8826677268 6613939.1415735055 106.72, 278487.559714123 6613931.918117747 106.79, 278487.36057886475 6613931.494165758 106.8, 278486.9357918166 6613931.4623344885 106.79, 278486.5190614284 6613931.741177967 106.81, 278486.40745429916 6613932.394189623 106.83, 278486.8455920116 6613939.114989394 106.84, 278487.0782286844 6613939.576087382 106.83, 278487.5392590391 6613939.564453706 106.81, 278487.72950257105 6613939.446764414 106.82000000000001, 278487.8826677268 6613939.1415735055 106.72))</t>
  </si>
  <si>
    <t>['FV122 S1D1 m11438-11444']</t>
  </si>
  <si>
    <t>LINESTRING Z (278489.0681364067 6613966.307192602 106.58, 278489.08749866055 6613965.190408674 106.59, 278489.0016742695 6613964.464876614 106.60000000000001, 278488.6348967615 6613964.297200688 106.60000000000001, 278488.364076127 6613964.301646623 106.59, 278488.0170905049 6613964.574171286 106.58, 278487.9795728072 6613965.823189186 106.58, 278488.08803237136 6613966.576806428 106.57000000000001, 278488.15308503003 6613970.0666814055 106.43, 278488.3327906501 6613971.828420277 106.44, 278488.54647066584 6613972.080284129 106.44, 278488.9640360926 6613972.032407039 106.42, 278489.19142558833 6613971.881216301 106.42, 278489.24856620765 6613971.624906496 106.43, 278489.203870237 6613969.690210659 106.43, 278489.04810798395 6613966.640502508 106.58, 278489.0681364067 6613966.307192602 106.58)</t>
  </si>
  <si>
    <t>POLYGON Z ((278489.0681364067 6613966.307192602 106.58, 278489.08749866055 6613965.190408674 106.59, 278489.0016742695 6613964.464876614 106.60000000000001, 278488.6348967615 6613964.297200688 106.60000000000001, 278488.364076127 6613964.301646623 106.59, 278488.0170905049 6613964.574171286 106.58, 278487.9795728072 6613965.823189186 106.58, 278488.08803237136 6613966.576806428 106.57000000000001, 278488.15308503003 6613970.0666814055 106.43, 278488.3327906501 6613971.828420277 106.44, 278488.54647066584 6613972.080284129 106.44, 278488.9640360926 6613972.032407039 106.42, 278489.19142558833 6613971.881216301 106.42, 278489.24856620765 6613971.624906496 106.43, 278489.203870237 6613969.690210659 106.43, 278489.04810798395 6613966.640502508 106.58, 278489.0681364067 6613966.307192602 106.58))</t>
  </si>
  <si>
    <t>['FV122 S1D1 m12584-12601']</t>
  </si>
  <si>
    <t>LINESTRING Z (278902.83281962597 6615010.124261756 102.29, 278901.40177048434 6615006.969119093 102.25, 278899.28591628245 6615004.016660295 102.29, 278895.2636873842 6615000.312770508 102.18, 278893.2824141456 6614998.623868901 102.09, 278892.5153568695 6614998.251378849 102.08, 278892.2671067775 6614998.5049143275 102.06, 278892.20983721 6614999.2032284755 102.08, 278893.8203931872 6615001.7896155035 102.07000000000001, 278894.5310508797 6615002.9808843145 102.06, 278897.54416076344 6615007.077568579 102.11, 278899.27895675297 6615009.150433606 102.14, 278901.5128955698 6615010.967120367 102.21000000000001, 278902.4030601919 6615011.589633111 102.26, 278902.7165078879 6615011.390461822 102.29, 278902.84342332644 6615011.017331664 102.32000000000001, 278902.83281962597 6615010.124261756 102.29)</t>
  </si>
  <si>
    <t>POLYGON Z ((278902.83281962597 6615010.124261756 102.29, 278901.40177048434 6615006.969119093 102.25, 278899.28591628245 6615004.016660295 102.29, 278895.2636873842 6615000.312770508 102.18, 278893.2824141456 6614998.623868901 102.09, 278892.5153568695 6614998.251378849 102.08, 278892.2671067775 6614998.5049143275 102.06, 278892.20983721 6614999.2032284755 102.08, 278893.8203931872 6615001.7896155035 102.07000000000001, 278894.5310508797 6615002.9808843145 102.06, 278897.54416076344 6615007.077568579 102.11, 278899.27895675297 6615009.150433606 102.14, 278901.5128955698 6615010.967120367 102.21000000000001, 278902.4030601919 6615011.589633111 102.26, 278902.7165078879 6615011.390461822 102.29, 278902.84342332644 6615011.017331664 102.32000000000001, 278902.83281962597 6615010.124261756 102.29))</t>
  </si>
  <si>
    <t>['FV122 S2D1 m8-59']</t>
  </si>
  <si>
    <t>LINESTRING Z (278797.920312105 6615085.627953649 103.18, 278799.87081330415 6615090.30309731 103.15, 278801.4320320247 6615094.340478872 103.16, 278801.95057812246 6615095.850514454 103.25, 278803.7387122242 6615104.387719095 103.16, 278806.3324826704 6615117.603350381 103.06, 278806.94449455256 6615121.586105427 103.03, 278807.26235814724 6615121.768254898 103.04, 278807.8320175054 6615121.957724916 103.04, 278808.40809461137 6615121.885435673 103.07000000000001, 278808.7849999878 6615121.4996986585 103.06, 278808.9028217768 6615121.24793562 103.05, 278807.90533473494 6615116.004265316 103.03, 278805.04187651165 6615102.029537469 103.07000000000001, 278803.56809321966 6615093.303124729 103.14, 278802.7089642292 6615088.810360088 103.04, 278801.98418799636 6615086.354662452 103.09, 278800.5675149134 6615083.5799363805 103.16, 278798.50866417703 6615080.8131715935 103.18, 278797.1648881586 6615079.618997299 103.18, 278796.6631021835 6615079.624283017 103.18, 278796.416624881 6615080.008247108 103.18, 278796.4236834281 6615080.640461326 103.2, 278797.920312105 6615085.627953649 103.18)</t>
  </si>
  <si>
    <t>POLYGON Z ((278797.920312105 6615085.627953649 103.18, 278799.87081330415 6615090.30309731 103.15, 278801.4320320247 6615094.340478872 103.16, 278801.95057812246 6615095.850514454 103.25, 278803.7387122242 6615104.387719095 103.16, 278806.3324826704 6615117.603350381 103.06, 278806.94449455256 6615121.586105427 103.03, 278807.26235814724 6615121.768254898 103.04, 278807.8320175054 6615121.957724916 103.04, 278808.40809461137 6615121.885435673 103.07000000000001, 278808.7849999878 6615121.4996986585 103.06, 278808.9028217768 6615121.24793562 103.05, 278807.90533473494 6615116.004265316 103.03, 278805.04187651165 6615102.029537469 103.07000000000001, 278803.56809321966 6615093.303124729 103.14, 278802.7089642292 6615088.810360088 103.04, 278801.98418799636 6615086.354662452 103.09, 278800.5675149134 6615083.5799363805 103.16, 278798.50866417703 6615080.8131715935 103.18, 278797.1648881586 6615079.618997299 103.18, 278796.6631021835 6615079.624283017 103.18, 278796.416624881 6615080.008247108 103.18, 278796.4236834281 6615080.640461326 103.2, 278797.920312105 6615085.627953649 103.18))</t>
  </si>
  <si>
    <t>['FV124 S3D1 m243-252']</t>
  </si>
  <si>
    <t>LINESTRING Z (292806.35943382606 6592373.358976564 99.95, 292804.6121875853 6592375.806978214 99.87, 292803.13392727065 6592378.230657172 99.84, 292802.88661476696 6592378.383590821 99.84, 292802.5361276489 6592378.395195446 99.84, 292802.06715158455 6592378.096109547 99.84, 292801.888887994 6592377.790824081 99.84, 292801.99958836107 6592377.348926474 99.84, 292803.3691095308 6592375.055606908 99.89, 292805.01588372816 6592372.4961635405 99.96000000000001, 292806.3872066365 6592370.222768969 99.97, 292806.78400892706 6592369.945835016 99.97, 292807.24222801917 6592370.01488396 99.97, 292807.56272145174 6592370.226957263 99.95, 292807.84601447405 6592370.583008944 99.93, 292807.8694363757 6592370.842032399 99.93, 292806.35943382606 6592373.358976564 99.95)</t>
  </si>
  <si>
    <t>POLYGON Z ((292806.35943382606 6592373.358976564 99.95, 292804.6121875853 6592375.806978214 99.87, 292803.13392727065 6592378.230657172 99.84, 292802.88661476696 6592378.383590821 99.84, 292802.5361276489 6592378.395195446 99.84, 292802.06715158455 6592378.096109547 99.84, 292801.888887994 6592377.790824081 99.84, 292801.99958836107 6592377.348926474 99.84, 292803.3691095308 6592375.055606908 99.89, 292805.01588372816 6592372.4961635405 99.96000000000001, 292806.3872066365 6592370.222768969 99.97, 292806.78400892706 6592369.945835016 99.97, 292807.24222801917 6592370.01488396 99.97, 292807.56272145174 6592370.226957263 99.95, 292807.84601447405 6592370.583008944 99.93, 292807.8694363757 6592370.842032399 99.93, 292806.35943382606 6592373.358976564 99.95))</t>
  </si>
  <si>
    <t>['FV124 S3D1 m351-360']</t>
  </si>
  <si>
    <t>LINESTRING Z (292747.6544597089 6592470.789994496 97.37, 292749.8421196431 6592467.769838998 97.37, 292751.7315947594 6592465.228622542 97.36, 292752.66493896965 6592464.109703138 97.41, 292752.87240169744 6592463.96037265 97.39, 292753.2147282173 6592463.969593514 97.39, 292753.5633075984 6592464.159039232 97.37, 292753.7180962799 6592464.315788886 97.37, 292753.70712680486 6592464.527702775 97.37, 292753.1041857152 6592465.968282216 97.42, 292752.23570277414 6592467.804497648 97.36, 292751.8213596581 6592468.776047546 97.39, 292750.30817806884 6592472.257496529 97.32000000000001, 292750.17315501394 6592472.430408414 97.3, 292749.87693113857 6592472.597809029 97.3, 292747.5980230223 6592471.387688117 97.32000000000001, 292747.50666548254 6592471.154895394 97.3, 292747.6544597089 6592470.789994496 97.37)</t>
  </si>
  <si>
    <t>POLYGON Z ((292747.6544597089 6592470.789994496 97.37, 292749.8421196431 6592467.769838998 97.37, 292751.7315947594 6592465.228622542 97.36, 292752.66493896965 6592464.109703138 97.41, 292752.87240169744 6592463.96037265 97.39, 292753.2147282173 6592463.969593514 97.39, 292753.5633075984 6592464.159039232 97.37, 292753.7180962799 6592464.315788886 97.37, 292753.70712680486 6592464.527702775 97.37, 292753.1041857152 6592465.968282216 97.42, 292752.23570277414 6592467.804497648 97.36, 292751.8213596581 6592468.776047546 97.39, 292750.30817806884 6592472.257496529 97.32000000000001, 292750.17315501394 6592472.430408414 97.3, 292749.87693113857 6592472.597809029 97.3, 292747.5980230223 6592471.387688117 97.32000000000001, 292747.50666548254 6592471.154895394 97.3, 292747.6544597089 6592470.789994496 97.37))</t>
  </si>
  <si>
    <t>['FV124 S3D1 m368-378']</t>
  </si>
  <si>
    <t>LINESTRING Z (292729.82987210574 6592506.259784188 96.63, 292730.27235368954 6592505.155118756 96.68, 292731.44119409204 6592502.086474148 96.77, 292732.85660539044 6592498.523469881 96.8, 292733.11849072913 6592498.198471749 96.8, 292733.4871012363 6592498.165140177 96.77, 292735.4364013921 6592499.284538698 96.73, 292735.5811215809 6592499.663164701 96.72, 292735.56374007557 6592500.026317023 96.72, 292733.46945219976 6592502.857240067 96.72, 292731.7755700144 6592505.451078423 96.61, 292730.8385164889 6592506.751124091 96.61, 292730.4852735456 6592506.8433295125 96.61, 292730.11041010416 6592506.696436225 96.61, 292729.925733997 6592506.542389157 96.61, 292729.82987210574 6592506.259784188 96.63)</t>
  </si>
  <si>
    <t>POLYGON Z ((292729.82987210574 6592506.259784188 96.63, 292730.27235368954 6592505.155118756 96.68, 292731.44119409204 6592502.086474148 96.77, 292732.85660539044 6592498.523469881 96.8, 292733.11849072913 6592498.198471749 96.8, 292733.4871012363 6592498.165140177 96.77, 292735.4364013921 6592499.284538698 96.73, 292735.5811215809 6592499.663164701 96.72, 292735.56374007557 6592500.026317023 96.72, 292733.46945219976 6592502.857240067 96.72, 292731.7755700144 6592505.451078423 96.61, 292730.8385164889 6592506.751124091 96.61, 292730.4852735456 6592506.8433295125 96.61, 292730.11041010416 6592506.696436225 96.61, 292729.925733997 6592506.542389157 96.61, 292729.82987210574 6592506.259784188 96.63))</t>
  </si>
  <si>
    <t>['FV124 S3D1 m1369-1373']</t>
  </si>
  <si>
    <t>LINESTRING Z (292392.320655871 6593432.54779907 103.84, 292392.1249579859 6593432.71615571 103.89, 292390.8792315158 6593433.712677151 103.89, 292390.6970476218 6593434.030470851 103.89, 292390.71315999446 6593434.4307715325 103.94, 292390.91866372235 6593434.592978275 103.94, 292391.17313107784 6593434.630229774 103.84, 292392.5411621884 6593433.542296437 103.89, 292392.8048999179 6593433.126732118 103.89, 292392.6384495642 6593432.729982965 103.79, 292392.320655871 6593432.54779907 103.84)</t>
  </si>
  <si>
    <t>POLYGON Z ((292392.320655871 6593432.54779907 103.84, 292392.1249579859 6593432.71615571 103.89, 292390.8792315158 6593433.712677151 103.89, 292390.6970476218 6593434.030470851 103.89, 292390.71315999446 6593434.4307715325 103.94, 292390.91866372235 6593434.592978275 103.94, 292391.17313107784 6593434.630229774 103.84, 292392.5411621884 6593433.542296437 103.89, 292392.8048999179 6593433.126732118 103.89, 292392.6384495642 6593432.729982965 103.79, 292392.320655871 6593432.54779907 103.84))</t>
  </si>
  <si>
    <t>2025-12-04T08:02:26Z</t>
  </si>
  <si>
    <t>['FV124 S3D10 m6-9']</t>
  </si>
  <si>
    <t>LINESTRING Z (292420.7630873587 6593430.8595414 104.21000000000001, 292418.9622046411 6593429.937654297 104.16, 292418.58087584574 6593430.052490403 104.14, 292418.3343603048 6593430.436365359 104.16, 292418.3667938709 6593430.795014209 104.17, 292418.6827334176 6593431.067761211 104.16, 292420.24281947454 6593431.770369587 104.2, 292420.6576393967 6593431.692680551 104.21000000000001, 292420.90685772616 6593431.338693002 104.22, 292420.7630873587 6593430.8595414 104.21000000000001)</t>
  </si>
  <si>
    <t>POLYGON Z ((292420.7630873587 6593430.8595414 104.21000000000001, 292418.9622046411 6593429.937654297 104.16, 292418.58087584574 6593430.052490403 104.14, 292418.3343603048 6593430.436365359 104.16, 292418.3667938709 6593430.795014209 104.17, 292418.6827334176 6593431.067761211 104.16, 292420.24281947454 6593431.770369587 104.2, 292420.6576393967 6593431.692680551 104.21000000000001, 292420.90685772616 6593431.338693002 104.22, 292420.7630873587 6593430.8595414 104.21000000000001))</t>
  </si>
  <si>
    <t>['FV124 S5D1 m7569-7579']</t>
  </si>
  <si>
    <t>LINESTRING Z (286548.21049643366 6609958.4485311005 154.32, 286547.16025471804 6609957.388521637 154.32, 286546.10275712155 6609956.359303124 154.32, 286545.92714629974 6609956.083914623 154.32, 286545.87650401896 6609955.857475406 154.32, 286545.98346313566 6609955.596673115 154.34, 286546.27155873686 6609955.339554599 154.36, 286548.6404635705 6609953.7689829115 154.41, 286550.54742941156 6609952.310561037 154.45000000000002, 286553.7354671594 6609949.58098408 154.44, 286553.9102873091 6609949.51492772 154.45000000000002, 286554.2236481924 6609949.536769823 154.47, 286554.3513237168 6609949.615607744 154.47, 286554.9914315456 6609950.250711093 154.49, 286554.97688255284 6609950.422787018 154.49, 286554.9043609547 6609950.620202689 154.49, 286552.77062092756 6609953.123712695 154.51, 286550.6802673087 6609955.884452966 154.46, 286549.1751654362 6609958.120091091 154.35, 286548.89519084105 6609958.466875514 154.35, 286548.77198974695 6609958.548345988 154.36, 286548.60623014055 6609958.603537154 154.37, 286548.4513729658 6609958.5572948735 154.37, 286548.21049643366 6609958.4485311005 154.32)</t>
  </si>
  <si>
    <t>POLYGON Z ((286548.21049643366 6609958.4485311005 154.32, 286547.16025471804 6609957.388521637 154.32, 286546.10275712155 6609956.359303124 154.32, 286545.92714629974 6609956.083914623 154.32, 286545.87650401896 6609955.857475406 154.32, 286545.98346313566 6609955.596673115 154.34, 286546.27155873686 6609955.339554599 154.36, 286548.6404635705 6609953.7689829115 154.41, 286550.54742941156 6609952.310561037 154.45000000000002, 286553.7354671594 6609949.58098408 154.44, 286553.9102873091 6609949.51492772 154.45000000000002, 286554.2236481924 6609949.536769823 154.47, 286554.3513237168 6609949.615607744 154.47, 286554.9914315456 6609950.250711093 154.49, 286554.97688255284 6609950.422787018 154.49, 286554.9043609547 6609950.620202689 154.49, 286552.77062092756 6609953.123712695 154.51, 286550.6802673087 6609955.884452966 154.46, 286549.1751654362 6609958.120091091 154.35, 286548.89519084105 6609958.466875514 154.35, 286548.77198974695 6609958.548345988 154.36, 286548.60623014055 6609958.603537154 154.37, 286548.4513729658 6609958.5572948735 154.37, 286548.21049643366 6609958.4485311005 154.32))</t>
  </si>
  <si>
    <t>['FV124 S5D1 m7588-7598']</t>
  </si>
  <si>
    <t>LINESTRING Z (286515.13098242076 6609991.136378579 152.75, 286514.67742471094 6609990.564736235 152.74, 286514.68926664756 6609990.362771605 152.74, 286514.8977335895 6609989.891883564 152.76, 286517.45735642966 6609986.76721293 152.9, 286520.2273625163 6609982.86009811 153.09, 286520.7528741937 6609982.229915611 153.14000000000001, 286521.145975418 6609982.134044939 153.14000000000001, 286521.40497311874 6609982.221078262 153.16, 286523.66572866193 6609984.447116762 153.16, 286523.76622260484 6609984.558550316 153.16, 286523.79878105386 6609984.696225976 153.16, 286523.7606598069 6609984.940749119 153.16, 286523.64557971753 6609985.111885562 153.16, 286520.3562200299 6609987.499079656 153.01, 286517.5740648949 6609989.830291897 152.82, 286516.05568851065 6609991.143029651 152.72, 286515.79842107923 6609991.296910163 152.72, 286515.6444289925 6609991.371124815 152.72, 286515.5348372994 6609991.381050506 152.74, 286515.4089663767 6609991.322138364 152.75, 286515.13098242076 6609991.136378579 152.75)</t>
  </si>
  <si>
    <t>POLYGON Z ((286515.13098242076 6609991.136378579 152.75, 286514.67742471094 6609990.564736235 152.74, 286514.68926664756 6609990.362771605 152.74, 286514.8977335895 6609989.891883564 152.76, 286517.45735642966 6609986.76721293 152.9, 286520.2273625163 6609982.86009811 153.09, 286520.7528741937 6609982.229915611 153.14000000000001, 286521.145975418 6609982.134044939 153.14000000000001, 286521.40497311874 6609982.221078262 153.16, 286523.66572866193 6609984.447116762 153.16, 286523.76622260484 6609984.558550316 153.16, 286523.79878105386 6609984.696225976 153.16, 286523.7606598069 6609984.940749119 153.16, 286523.64557971753 6609985.111885562 153.16, 286520.3562200299 6609987.499079656 153.01, 286517.5740648949 6609989.830291897 152.82, 286516.05568851065 6609991.143029651 152.72, 286515.79842107923 6609991.296910163 152.72, 286515.6444289925 6609991.371124815 152.72, 286515.5348372994 6609991.381050506 152.74, 286515.4089663767 6609991.322138364 152.75, 286515.13098242076 6609991.136378579 152.75))</t>
  </si>
  <si>
    <t>['FV124 S5D1 m7721-7731']</t>
  </si>
  <si>
    <t>LINESTRING Z (286420.51384474174 6610084.773664031 153.29, 286419.50074532826 6610083.680156429 153.29, 286418.5274603614 6610082.69353356 153.32, 286418.30929048324 6610082.391865647 153.32, 286418.22330807976 6610082.21885005 153.32, 286418.2260893325 6610082.027750476 153.32, 286418.2786850298 6610081.832139185 153.32, 286418.4145932115 6610081.669160699 153.31, 286418.8412669675 6610081.389445919 153.31, 286422.7602057231 6610078.633843091 153.27, 286426.2570566157 6610075.9867814 153.17000000000002, 286426.6429393435 6610075.8112072535 153.12, 286426.7860291494 6610075.838426006 153.1, 286427.0087849434 6610075.9689201275 153.1, 286427.3102672667 6610076.30322084 153.09, 286427.3500074708 6610076.631093807 153.09, 286427.31643520284 6610076.814937508 153.09, 286426.5644099532 6610077.716751692 153.09, 286424.1606584631 6610080.566149349 153.09, 286422.0657194231 6610083.498068588 153.1, 286421.37794612866 6610084.554777353 153.19, 286421.2221121771 6610084.719560523 153.21, 286421.1179344645 6610084.789263637 153.22, 286421.02281729656 6610084.848101514 153.24, 286420.8760809981 6610084.891525334 153.24, 286420.7547216475 6610084.882427679 153.26, 286420.51384474174 6610084.773664031 153.29)</t>
  </si>
  <si>
    <t>POLYGON Z ((286420.51384474174 6610084.773664031 153.29, 286419.50074532826 6610083.680156429 153.29, 286418.5274603614 6610082.69353356 153.32, 286418.30929048324 6610082.391865647 153.32, 286418.22330807976 6610082.21885005 153.32, 286418.2260893325 6610082.027750476 153.32, 286418.2786850298 6610081.832139185 153.32, 286418.4145932115 6610081.669160699 153.31, 286418.8412669675 6610081.389445919 153.31, 286422.7602057231 6610078.633843091 153.27, 286426.2570566157 6610075.9867814 153.17000000000002, 286426.6429393435 6610075.8112072535 153.12, 286426.7860291494 6610075.838426006 153.1, 286427.0087849434 6610075.9689201275 153.1, 286427.3102672667 6610076.30322084 153.09, 286427.3500074708 6610076.631093807 153.09, 286427.31643520284 6610076.814937508 153.09, 286426.5644099532 6610077.716751692 153.09, 286424.1606584631 6610080.566149349 153.09, 286422.0657194231 6610083.498068588 153.1, 286421.37794612866 6610084.554777353 153.19, 286421.2221121771 6610084.719560523 153.21, 286421.1179344645 6610084.789263637 153.22, 286421.02281729656 6610084.848101514 153.24, 286420.8760809981 6610084.891525334 153.24, 286420.7547216475 6610084.882427679 153.26, 286420.51384474174 6610084.773664031 153.29))</t>
  </si>
  <si>
    <t>['FV115 S1D1 m11-47']</t>
  </si>
  <si>
    <t>LINESTRING Z (260635.09153344162 6599168.428320728 35.15, 260630.19977023455 6599168.438885196 35.11, 260624.0442920783 6599168.473361329 35.04, 260618.92347501306 6599168.173109323 34.95, 260617.0474778669 6599167.981156142 34.92, 260616.62813842137 6599167.788021861 34.92, 260616.46423707317 6599167.6421040045 34.92, 260616.41540891258 6599167.435541915 34.910000000000004, 260616.44089203305 6599167.161976778 34.9, 260616.58415304282 6599166.857662674 34.88, 260616.72646463584 6599166.653900987 34.89, 260616.9104397033 6599166.466463201 34.910000000000004, 260617.23572909622 6599166.286333651 34.910000000000004, 260617.76848214236 6599166.0673410315 34.87, 260618.668993915 6599165.915542862 34.89, 260620.52344913167 6599165.647299035 34.910000000000004, 260624.03656835284 6599165.389738064 34.96, 260627.90026855408 6599165.120552444 34.980000000000004, 260629.01721170085 6599165.140059561 35.01, 260633.5863903036 6599165.339520001 35.03, 260639.65289238215 6599165.76519313 35.09, 260643.3487974012 6599165.973334232 35.15, 260647.34280107034 6599166.033945764 35.2, 260650.9771600768 6599166.117048605 35.22, 260651.2624933479 6599166.161560317 35.18, 260651.438210713 6599166.215989258 35.17, 260651.58583596448 6599166.293053065 35.19, 260651.67727698872 6599166.415386605 35.19, 260651.71523848557 6599166.612885117 35.22, 260651.67257775815 6599166.807631079 35.24, 260651.57012653738 6599167.007786443 35.25, 260651.3698276273 6599167.2368876375 35.27, 260651.15235110137 6599167.38716974 35.28, 260650.90863344353 6599167.469499401 35.28, 260644.81360917137 6599168.061118584 35.24, 260640.2677760284 6599168.341785404 35.230000000000004, 260636.44037814456 6599168.456987022 35.18, 260635.09153344162 6599168.428320728 35.15)</t>
  </si>
  <si>
    <t>POLYGON Z ((260635.09153344162 6599168.428320728 35.15, 260630.19977023455 6599168.438885196 35.11, 260624.0442920783 6599168.473361329 35.04, 260618.92347501306 6599168.173109323 34.95, 260617.0474778669 6599167.981156142 34.92, 260616.62813842137 6599167.788021861 34.92, 260616.46423707317 6599167.6421040045 34.92, 260616.41540891258 6599167.435541915 34.910000000000004, 260616.44089203305 6599167.161976778 34.9, 260616.58415304282 6599166.857662674 34.88, 260616.72646463584 6599166.653900987 34.89, 260616.9104397033 6599166.466463201 34.910000000000004, 260617.23572909622 6599166.286333651 34.910000000000004, 260617.76848214236 6599166.0673410315 34.87, 260618.668993915 6599165.915542862 34.89, 260620.52344913167 6599165.647299035 34.910000000000004, 260624.03656835284 6599165.389738064 34.96, 260627.90026855408 6599165.120552444 34.980000000000004, 260629.01721170085 6599165.140059561 35.01, 260633.5863903036 6599165.339520001 35.03, 260639.65289238215 6599165.76519313 35.09, 260643.3487974012 6599165.973334232 35.15, 260647.34280107034 6599166.033945764 35.2, 260650.9771600768 6599166.117048605 35.22, 260651.2624933479 6599166.161560317 35.18, 260651.438210713 6599166.215989258 35.17, 260651.58583596448 6599166.293053065 35.19, 260651.67727698872 6599166.415386605 35.19, 260651.71523848557 6599166.612885117 35.22, 260651.67257775815 6599166.807631079 35.24, 260651.57012653738 6599167.007786443 35.25, 260651.3698276273 6599167.2368876375 35.27, 260651.15235110137 6599167.38716974 35.28, 260650.90863344353 6599167.469499401 35.28, 260644.81360917137 6599168.061118584 35.24, 260640.2677760284 6599168.341785404 35.230000000000004, 260636.44037814456 6599168.456987022 35.18, 260635.09153344162 6599168.428320728 35.15))</t>
  </si>
  <si>
    <t>['FV115 S5D1 m9097-9107']</t>
  </si>
  <si>
    <t>LINESTRING Z (282351.7690718046 6605047.075227086 89.24, 282356.36739736533 6605049.491615393 89.2, 282356.90721674054 6605049.462836837 89.2, 282357.3856201248 6605048.97755269 89.2, 282357.43736581516 6605048.661476389 89.2, 282357.3052214349 6605048.422316547 89.2, 282356.98291521694 6605048.079832724 89.2, 282356.5772533685 6605047.815209153 89.2, 282353.01034501276 6605045.918188421 89.2, 282351.82595502667 6605045.151501574 89.2, 282350.75116078707 6605044.374893316 89.2, 282349.6628792243 6605043.338338593 89.2, 282349.1087961205 6605042.765714319 89.2, 282348.6017397207 6605042.37968596 89.2, 282348.3155531499 6605042.325234414 89.2, 282347.8092312665 6605042.391160107 89.2, 282347.5211152339 6605042.648275156 89.2, 282347.369737018 6605042.973370934 89.2, 282347.3179494517 6605043.399944959 89.2, 282347.47002033336 6605043.637300939 89.2, 282349.0471938609 6605045.192112115 89.2, 282350.3003409739 6605046.1635175105 89.2, 282351.3543486363 6605046.821468698 89.2, 282351.7690718046 6605047.075227086 89.24)</t>
  </si>
  <si>
    <t>POLYGON Z ((282351.7690718046 6605047.075227086 89.24, 282356.36739736533 6605049.491615393 89.2, 282356.90721674054 6605049.462836837 89.2, 282357.3856201248 6605048.97755269 89.2, 282357.43736581516 6605048.661476389 89.2, 282357.3052214349 6605048.422316547 89.2, 282356.98291521694 6605048.079832724 89.2, 282356.5772533685 6605047.815209153 89.2, 282353.01034501276 6605045.918188421 89.2, 282351.82595502667 6605045.151501574 89.2, 282350.75116078707 6605044.374893316 89.2, 282349.6628792243 6605043.338338593 89.2, 282349.1087961205 6605042.765714319 89.2, 282348.6017397207 6605042.37968596 89.2, 282348.3155531499 6605042.325234414 89.2, 282347.8092312665 6605042.391160107 89.2, 282347.5211152339 6605042.648275156 89.2, 282347.369737018 6605042.973370934 89.2, 282347.3179494517 6605043.399944959 89.2, 282347.47002033336 6605043.637300939 89.2, 282349.0471938609 6605045.192112115 89.2, 282350.3003409739 6605046.1635175105 89.2, 282351.3543486363 6605046.821468698 89.2, 282351.7690718046 6605047.075227086 89.24))</t>
  </si>
  <si>
    <t>['FV115 S6D1 m5510-5521']</t>
  </si>
  <si>
    <t>LINESTRING Z (283517.40078729135 6609740.912390146 107.73, 283515.39083135634 6609744.117925927 107.73, 283513.2632725816 6609746.912228943 107.73, 283513.21157725307 6609747.117807875 107.73, 283513.22146537056 6609747.33789909 107.69, 283513.31105853827 6609747.550771671 107.69, 283513.3898237521 6609747.644086676 107.69, 283516.39181044046 6609748.959292796 107.69, 283516.5222334721 6609748.957525641 107.69, 283516.66536412854 6609748.874248779 107.69, 283516.82030008 6609748.69949908 107.69, 283518.4224801822 6609743.431520168 107.86, 283519.943640457 6609739.37626133 107.65, 283519.93920384074 6609739.105452146 107.65, 283519.8124651562 6609738.926078278 107.65, 283519.5788390202 6609738.786519419 107.65, 283519.0970369439 6609738.679481909 107.65, 283518.92130990524 6609738.735576351 107.65, 283518.6884735534 6609738.937470923 107.65, 283517.40078729135 6609740.912390146 107.73)</t>
  </si>
  <si>
    <t>POLYGON Z ((283517.40078729135 6609740.912390146 107.73, 283515.39083135634 6609744.117925927 107.73, 283513.2632725816 6609746.912228943 107.73, 283513.21157725307 6609747.117807875 107.73, 283513.22146537056 6609747.33789909 107.69, 283513.31105853827 6609747.550771671 107.69, 283513.3898237521 6609747.644086676 107.69, 283516.39181044046 6609748.959292796 107.69, 283516.5222334721 6609748.957525641 107.69, 283516.66536412854 6609748.874248779 107.69, 283516.82030008 6609748.69949908 107.69, 283518.4224801822 6609743.431520168 107.86, 283519.943640457 6609739.37626133 107.65, 283519.93920384074 6609739.105452146 107.65, 283519.8124651562 6609738.926078278 107.65, 283519.5788390202 6609738.786519419 107.65, 283519.0970369439 6609738.679481909 107.65, 283518.92130990524 6609738.735576351 107.65, 283518.6884735534 6609738.937470923 107.65, 283517.40078729135 6609740.912390146 107.73))</t>
  </si>
  <si>
    <t>['FV115 S7D1 m1227-1302']</t>
  </si>
  <si>
    <t>LINESTRING Z (283989.5475321149 6612182.658734506 152.27, 283990.2932328761 6612190.225260149 152.47, 283991.3829882666 6612198.15236739 152.59, 283992.40009730146 6612203.836011744 152.57, 283993.7325912041 6612208.898440661 152.57, 283995.7528413881 6612215.786996758 152.47, 283998.19695645827 6612222.6974247545 152.29, 283999.4305599425 6612225.448454127 152.29, 283999.74194688397 6612226.002846866 152.29, 283999.9040285249 6612226.128791983 152.29, 284000.1096078326 6612226.180482883 152.29, 284000.329698103 6612226.170590248 152.29, 284000.47011896194 6612226.05742147 152.29, 284000.5389932032 6612225.930644262 152.29, 284000.61696321197 6612225.682505042 152.27, 284000.50841276173 6612225.260410374 152.27, 283999.1719206198 6612221.373590011 152.37, 283996.65278982697 6612213.967715673 152.47, 283995.0218262018 6612207.606405995 152.54, 283993.5465563174 6612201.522292574 152.47, 283992.5431968456 6612195.325116009 152.44, 283992.1342591485 6612188.2604604075 152.37, 283992.04327315505 6612181.046464359 152.27, 283992.08191989275 6612179.14448916 152.24, 283991.8039410912 6612176.075860551 152.17000000000002, 283991.0010645088 6612168.876128577 151.97, 283990.16093777464 6612162.041385092 151.82, 283989.4001279253 6612156.414881817 151.64000000000001, 283988.6416024399 6612152.144224634 151.47, 283988.4833427069 6612151.395153268 151.42000000000002, 283988.44352567533 6612151.288266965 151.37, 283988.34393016197 6612151.18679582 151.37, 283988.1709476907 6612151.162286448 151.37, 283987.85844680446 6612151.260908852 151.37, 283987.73885455035 6612151.382235581 151.42000000000002, 283987.66904240876 6612151.6095460905 151.44, 283987.6177951487 6612153.2615418 151.54, 283988.02228872676 6612160.055389495 151.77, 283988.82677889836 6612170.710399643 152.04, 283989.3410645746 6612179.714210708 152.27, 283989.5475321149 6612182.658734506 152.27)</t>
  </si>
  <si>
    <t>POLYGON Z ((283989.5475321149 6612182.658734506 152.27, 283990.2932328761 6612190.225260149 152.47, 283991.3829882666 6612198.15236739 152.59, 283992.40009730146 6612203.836011744 152.57, 283993.7325912041 6612208.898440661 152.57, 283995.7528413881 6612215.786996758 152.47, 283998.19695645827 6612222.6974247545 152.29, 283999.4305599425 6612225.448454127 152.29, 283999.74194688397 6612226.002846866 152.29, 283999.9040285249 6612226.128791983 152.29, 284000.1096078326 6612226.180482883 152.29, 284000.329698103 6612226.170590248 152.29, 284000.47011896194 6612226.05742147 152.29, 284000.5389932032 6612225.930644262 152.29, 284000.61696321197 6612225.682505042 152.27, 284000.50841276173 6612225.260410374 152.27, 283999.1719206198 6612221.373590011 152.37, 283996.65278982697 6612213.967715673 152.47, 283995.0218262018 6612207.606405995 152.54, 283993.5465563174 6612201.522292574 152.47, 283992.5431968456 6612195.325116009 152.44, 283992.1342591485 6612188.2604604075 152.37, 283992.04327315505 6612181.046464359 152.27, 283992.08191989275 6612179.14448916 152.24, 283991.8039410912 6612176.075860551 152.17000000000002, 283991.0010645088 6612168.876128577 151.97, 283990.16093777464 6612162.041385092 151.82, 283989.4001279253 6612156.414881817 151.64000000000001, 283988.6416024399 6612152.144224634 151.47, 283988.4833427069 6612151.395153268 151.42000000000002, 283988.44352567533 6612151.288266965 151.37, 283988.34393016197 6612151.18679582 151.37, 283988.1709476907 6612151.162286448 151.37, 283987.85844680446 6612151.260908852 151.37, 283987.73885455035 6612151.382235581 151.42000000000002, 283987.66904240876 6612151.6095460905 151.44, 283987.6177951487 6612153.2615418 151.54, 283988.02228872676 6612160.055389495 151.77, 283988.82677889836 6612170.710399643 152.04, 283989.3410645746 6612179.714210708 152.27, 283989.5475321149 6612182.658734506 152.27))</t>
  </si>
  <si>
    <t>['FV115 S7D1 m1322-1378']</t>
  </si>
  <si>
    <t>LINESTRING Z (284056.3761011353 6612276.470639272 150.68, 284056.23109736014 6612276.754985392 150.68, 284056.13688183797 6612276.8237892 150.68, 284055.85701322614 6612276.839097149 150.68, 284054.1154210053 6612276.5749817705 150.68, 284048.2987673745 6612274.349617198 150.73, 284041.47727311496 6612270.567926158 150.85, 284038.543276584 6612269.005551427 150.96, 284032.2391001221 6612264.724979341 151.1, 284027.2282128236 6612260.6386402 151.21, 284020.3350077614 6612254.512952153 151.43, 284015.2230716822 6612249.200251097 151.63, 284011.62152611447 6612244.9259724235 151.78, 284010.78140467044 6612243.7464726595 151.81, 284010.6909400481 6612243.41314321 151.81, 284010.7344729054 6612243.2283926 151.81, 284010.8722213399 6612242.974838185 151.81, 284011.01173963735 6612242.8517063195 151.81, 284011.4121030298 6612242.725034729 151.76, 284011.74629980605 6612242.755029578 151.71, 284012.4608281987 6612242.991647077 151.68, 284017.7355849715 6612246.109869478 151.41, 284020.2627949872 6612248.060664252 151.33, 284025.39573547355 6612252.829041237 151.16, 284032.3351454069 6612258.910364131 151.03, 284040.09427025466 6612264.837071267 150.93, 284044.3645257454 6612268.176870606 150.81, 284051.05993405555 6612272.562628731 150.71, 284056.26394040394 6612276.008692546 150.71, 284056.3644385077 6612276.120126607 150.66, 284056.3924874839 6612276.207989202 150.66, 284056.3761011353 6612276.470639272 150.68)</t>
  </si>
  <si>
    <t>POLYGON Z ((284056.3761011353 6612276.470639272 150.68, 284056.23109736014 6612276.754985392 150.68, 284056.13688183797 6612276.8237892 150.68, 284055.85701322614 6612276.839097149 150.68, 284054.1154210053 6612276.5749817705 150.68, 284048.2987673745 6612274.349617198 150.73, 284041.47727311496 6612270.567926158 150.85, 284038.543276584 6612269.005551427 150.96, 284032.2391001221 6612264.724979341 151.1, 284027.2282128236 6612260.6386402 151.21, 284020.3350077614 6612254.512952153 151.43, 284015.2230716822 6612249.200251097 151.63, 284011.62152611447 6612244.9259724235 151.78, 284010.78140467044 6612243.7464726595 151.81, 284010.6909400481 6612243.41314321 151.81, 284010.7344729054 6612243.2283926 151.81, 284010.8722213399 6612242.974838185 151.81, 284011.01173963735 6612242.8517063195 151.81, 284011.4121030298 6612242.725034729 151.76, 284011.74629980605 6612242.755029578 151.71, 284012.4608281987 6612242.991647077 151.68, 284017.7355849715 6612246.109869478 151.41, 284020.2627949872 6612248.060664252 151.33, 284025.39573547355 6612252.829041237 151.16, 284032.3351454069 6612258.910364131 151.03, 284040.09427025466 6612264.837071267 150.93, 284044.3645257454 6612268.176870606 150.81, 284051.05993405555 6612272.562628731 150.71, 284056.26394040394 6612276.008692546 150.71, 284056.3644385077 6612276.120126607 150.66, 284056.3924874839 6612276.207989202 150.66, 284056.3761011353 6612276.470639272 150.68))</t>
  </si>
  <si>
    <t>[1186]</t>
  </si>
  <si>
    <t>['FV1186 S1D1 m6-18']</t>
  </si>
  <si>
    <t>LINESTRING Z (285161.82981867174 6563287.025744798 23.96, 285160.5558270683 6563286.598240136 23.96, 285159.2438597855 6563286.083761867 23.97, 285158.27333715826 6563285.568626042 23.97, 285156.8846003768 6563284.759743521 24.01, 285154.1455039688 6563282.676482913 24.05, 285153.8251250804 6563282.353825302 24.05, 285153.7964550976 6563281.924508573 24.05, 285154.0013510084 6563281.6348374775 24.05, 285154.2559023885 6563281.56166179 24.05, 285154.6733787017 6563281.624457646 24.05, 285159.4550948589 6563283.302549086 24.02, 285160.78421291424 6563283.895834658 24.02, 285162.4763383332 6563284.727579844 24.02, 285164.20448190474 6563285.84735979 24.02, 285164.66696082463 6563286.297822558 24.02, 285164.83789147175 6563286.633956827 24.02, 285164.7279749083 6563287.085814986 24.02, 285164.5367163314 6563287.303946668 24.02, 285164.12095664325 6563287.371571084 23.96, 285161.82981867174 6563287.025744798 23.96)</t>
  </si>
  <si>
    <t>POLYGON Z ((285161.82981867174 6563287.025744798 23.96, 285160.5558270683 6563286.598240136 23.96, 285159.2438597855 6563286.083761867 23.97, 285158.27333715826 6563285.568626042 23.97, 285156.8846003768 6563284.759743521 24.01, 285154.1455039688 6563282.676482913 24.05, 285153.8251250804 6563282.353825302 24.05, 285153.7964550976 6563281.924508573 24.05, 285154.0013510084 6563281.6348374775 24.05, 285154.2559023885 6563281.56166179 24.05, 285154.6733787017 6563281.624457646 24.05, 285159.4550948589 6563283.302549086 24.02, 285160.78421291424 6563283.895834658 24.02, 285162.4763383332 6563284.727579844 24.02, 285164.20448190474 6563285.84735979 24.02, 285164.66696082463 6563286.297822558 24.02, 285164.83789147175 6563286.633956827 24.02, 285164.7279749083 6563287.085814986 24.02, 285164.5367163314 6563287.303946668 24.02, 285164.12095664325 6563287.371571084 23.96, 285161.82981867174 6563287.025744798 23.96))</t>
  </si>
  <si>
    <t>[1182]</t>
  </si>
  <si>
    <t>['FV1182 S1D1 m10-15']</t>
  </si>
  <si>
    <t>LINESTRING Z (282435.8307133415 6570018.28017184 1.93, 282435.678713385 6570018.042773866 1.95, 282432.2949533869 6570015.384961927 1.97, 282431.93544568087 6570015.296866827 1.99, 282431.6944515974 6570015.409013134 2, 282431.504025302 6570015.747620846 2.0100000000000002, 282431.50020676304 6570016.039256865 2.0100000000000002, 282431.75453791255 6570016.297554849 2.02, 282435.00337944936 6570018.907273616 1.94, 282435.29134521924 6570018.981735054 1.93, 282435.5250729533 6570018.900377999 1.94, 282435.8143084701 6570018.432320086 1.93, 282435.8307133415 6570018.28017184 1.93)</t>
  </si>
  <si>
    <t>POLYGON Z ((282435.8307133415 6570018.28017184 1.93, 282435.678713385 6570018.042773866 1.95, 282432.2949533869 6570015.384961927 1.97, 282431.93544568087 6570015.296866827 1.99, 282431.6944515974 6570015.409013134 2, 282431.504025302 6570015.747620846 2.0100000000000002, 282431.50020676304 6570016.039256865 2.0100000000000002, 282431.75453791255 6570016.297554849 2.02, 282435.00337944936 6570018.907273616 1.94, 282435.29134521924 6570018.981735054 1.93, 282435.5250729533 6570018.900377999 1.94, 282435.8143084701 6570018.432320086 1.93, 282435.8307133415 6570018.28017184 1.93))</t>
  </si>
  <si>
    <t>[1178]</t>
  </si>
  <si>
    <t>['FV1178 S1D1 m6-17']</t>
  </si>
  <si>
    <t>LINESTRING Z (279450.0956792083 6569166.404077619 3.77, 279450.10804101767 6569165.539111649 3.72, 279449.98188550514 6569164.586195591 3.74, 279449.76673088985 6569163.98283178 3.66, 279448.7014453338 6569161.527573849 3.54, 279446.6892377984 6569158.374258983 3.44, 279445.70830511284 6569157.076584165 3.34, 279445.43299335684 6569157.031110594 3.3000000000000003, 279445.08688690054 6569157.20296472 3.33, 279444.85764753993 6569157.334140248 3.3200000000000003, 279444.7695473735 6569157.693656172 3.3200000000000003, 279444.8418398702 6569157.938252997 3.33, 279445.71856462816 6569160.641553663 3.45, 279446.77800621616 6569163.700025433 3.66, 279447.33964105096 6569164.914993848 3.71, 279448.5350545492 6569166.4745708555 3.77, 279449.18419067096 6569166.878062485 3.7800000000000002, 279449.6452162058 6569166.866600986 3.7800000000000002, 279450.0956792083 6569166.404077619 3.77)</t>
  </si>
  <si>
    <t>POLYGON Z ((279450.0956792083 6569166.404077619 3.77, 279450.10804101767 6569165.539111649 3.72, 279449.98188550514 6569164.586195591 3.74, 279449.76673088985 6569163.98283178 3.66, 279448.7014453338 6569161.527573849 3.54, 279446.6892377984 6569158.374258983 3.44, 279445.70830511284 6569157.076584165 3.34, 279445.43299335684 6569157.031110594 3.3000000000000003, 279445.08688690054 6569157.20296472 3.33, 279444.85764753993 6569157.334140248 3.3200000000000003, 279444.7695473735 6569157.693656172 3.3200000000000003, 279444.8418398702 6569157.938252997 3.33, 279445.71856462816 6569160.641553663 3.45, 279446.77800621616 6569163.700025433 3.66, 279447.33964105096 6569164.914993848 3.71, 279448.5350545492 6569166.4745708555 3.77, 279449.18419067096 6569166.878062485 3.7800000000000002, 279449.6452162058 6569166.866600986 3.7800000000000002, 279450.0956792083 6569166.404077619 3.77))</t>
  </si>
  <si>
    <t>['FV1174 S1D1 m6-14']</t>
  </si>
  <si>
    <t>LINESTRING Z (280709.5841407359 6572662.476440548 27.42, 280708.3317478369 6572657.948820773 27.28, 280708.1915024818 6572657.730450312 27.27, 280707.9814405674 6572657.628872862 27.26, 280707.81116107275 6572657.634196628 27.26, 280707.63991056976 6572657.740055082 27.26, 280707.5673962495 6572657.826957461 27.26, 280707.509341741 6572657.962778305 27.26, 280707.5101692406 6572658.0832400825 27.26, 280708.6449416377 6572662.420581559 27.41, 280708.76249040256 6572662.721358121 27.41, 280708.8882759529 6572662.890810109 27.41, 280708.97248057066 6572662.933433795 27.42, 280709.08567656524 6572662.963396177 27.43, 280709.39274790406 6572662.915592215 27.43, 280709.4679599816 6572662.8585804645 27.43, 280709.49245508795 6572662.796101442 27.43, 280709.5532073522 6572662.69017123 27.43, 280709.58406898624 6572662.586938781 27.43, 280709.5841407359 6572662.476440548 27.42)</t>
  </si>
  <si>
    <t>POLYGON Z ((280709.5841407359 6572662.476440548 27.42, 280708.3317478369 6572657.948820773 27.28, 280708.1915024818 6572657.730450312 27.27, 280707.9814405674 6572657.628872862 27.26, 280707.81116107275 6572657.634196628 27.26, 280707.63991056976 6572657.740055082 27.26, 280707.5673962495 6572657.826957461 27.26, 280707.509341741 6572657.962778305 27.26, 280707.5101692406 6572658.0832400825 27.26, 280708.6449416377 6572662.420581559 27.41, 280708.76249040256 6572662.721358121 27.41, 280708.8882759529 6572662.890810109 27.41, 280708.97248057066 6572662.933433795 27.42, 280709.08567656524 6572662.963396177 27.43, 280709.39274790406 6572662.915592215 27.43, 280709.4679599816 6572662.8585804645 27.43, 280709.49245508795 6572662.796101442 27.43, 280709.5532073522 6572662.69017123 27.43, 280709.58406898624 6572662.586938781 27.43, 280709.5841407359 6572662.476440548 27.42))</t>
  </si>
  <si>
    <t>['FV1170 S1D1 m510-525']</t>
  </si>
  <si>
    <t>LINESTRING Z (275348.56767184555 6579587.487350304 49.370000000000005, 275351.2055520755 6579586.997988904 49.2, 275356.97700716316 6579585.612871167 48.84, 275360.8968347331 6579584.636062025 48.5, 275361.14599916025 6579584.503062164 48.49, 275361.25566819165 6579584.382660331 48.480000000000004, 275361.3825655597 6579584.23056691 48.46, 275361.4460797506 6579584.044016814 48.45, 275361.4616393836 6579583.771390545 48.410000000000004, 275361.4173497687 6579583.614666813 48.4, 275361.3341696935 6579583.361003092 48.4, 275361.1966705398 6579583.062018878 48.42, 275361.02014991024 6579582.887101441 48.4, 275360.8454289988 6579582.732111922 48.410000000000004, 275360.63715127227 6579582.650469532 48.45, 275360.443336797 6579582.617747067 48.43, 275352.55122761754 6579584.43546931 48.980000000000004, 275348.05072512996 6579585.54508186 49.27, 275347.7987955925 6579585.758693264 49.31, 275347.7235177199 6579585.926215325 49.31, 275347.63731052424 6579586.1951766815 49.36, 275347.6144865145 6579586.498594717 49.38, 275347.667774731 6579586.754958043 49.39, 275347.79897489294 6579586.98419458 49.38, 275348.0433780294 6579587.243388495 49.39, 275348.56767184555 6579587.487350304 49.370000000000005)</t>
  </si>
  <si>
    <t>POLYGON Z ((275348.56767184555 6579587.487350304 49.370000000000005, 275351.2055520755 6579586.997988904 49.2, 275356.97700716316 6579585.612871167 48.84, 275360.8968347331 6579584.636062025 48.5, 275361.14599916025 6579584.503062164 48.49, 275361.25566819165 6579584.382660331 48.480000000000004, 275361.3825655597 6579584.23056691 48.46, 275361.4460797506 6579584.044016814 48.45, 275361.4616393836 6579583.771390545 48.410000000000004, 275361.4173497687 6579583.614666813 48.4, 275361.3341696935 6579583.361003092 48.4, 275361.1966705398 6579583.062018878 48.42, 275361.02014991024 6579582.887101441 48.4, 275360.8454289988 6579582.732111922 48.410000000000004, 275360.63715127227 6579582.650469532 48.45, 275360.443336797 6579582.617747067 48.43, 275352.55122761754 6579584.43546931 48.980000000000004, 275348.05072512996 6579585.54508186 49.27, 275347.7987955925 6579585.758693264 49.31, 275347.7235177199 6579585.926215325 49.31, 275347.63731052424 6579586.1951766815 49.36, 275347.6144865145 6579586.498594717 49.38, 275347.667774731 6579586.754958043 49.39, 275347.79897489294 6579586.98419458 49.38, 275348.0433780294 6579587.243388495 49.39, 275348.56767184555 6579587.487350304 49.370000000000005))</t>
  </si>
  <si>
    <t>2025-12-12T11:06:21Z</t>
  </si>
  <si>
    <t>['FV1170 S1D1 m856-866']</t>
  </si>
  <si>
    <t>LINESTRING Z (275028.2165338477 6579659.914694304 71.35000000000001, 275022.800592907 6579663.568073463 71.33, 275022.55509275926 6579663.6304260865 71.32000000000001, 275022.2462092331 6579663.658321976 71.29, 275022.0469949815 6579663.565815624 71.29, 275021.8795378627 6579663.38003394 71.3, 275021.71394592227 6579663.103676524 71.33, 275021.7104773409 6579662.842813186 71.36, 275021.7468646993 6579662.578350379 71.37, 275021.83120680274 6579662.399963964 71.37, 275021.9680684323 6579662.246970168 71.37, 275022.1048646171 6579662.204480072 71.39, 275024.5514564292 6579660.4867807515 71.39, 275024.8505068581 6579660.238777347 71.4, 275027.51000722643 6579658.431533144 71.37, 275027.9803105667 6579658.077656283 71.33, 275029.4681674062 6579657.08943853 71.27, 275029.7263965766 6579656.945574315 71.27, 275029.87405660516 6579656.912148343 71.27, 275030.1275900927 6579657.049975288 71.31, 275030.4371771193 6579657.363554477 71.28, 275030.5511493803 6579657.624483244 71.31, 275030.5681814024 6579657.924302634 71.34, 275030.4511822976 6579658.186000372 71.39, 275028.2165338477 6579659.914694304 71.35000000000001)</t>
  </si>
  <si>
    <t>POLYGON Z ((275028.2165338477 6579659.914694304 71.35000000000001, 275022.800592907 6579663.568073463 71.33, 275022.55509275926 6579663.6304260865 71.32000000000001, 275022.2462092331 6579663.658321976 71.29, 275022.0469949815 6579663.565815624 71.29, 275021.8795378627 6579663.38003394 71.3, 275021.71394592227 6579663.103676524 71.33, 275021.7104773409 6579662.842813186 71.36, 275021.7468646993 6579662.578350379 71.37, 275021.83120680274 6579662.399963964 71.37, 275021.9680684323 6579662.246970168 71.37, 275022.1048646171 6579662.204480072 71.39, 275024.5514564292 6579660.4867807515 71.39, 275024.8505068581 6579660.238777347 71.4, 275027.51000722643 6579658.431533144 71.37, 275027.9803105667 6579658.077656283 71.33, 275029.4681674062 6579657.08943853 71.27, 275029.7263965766 6579656.945574315 71.27, 275029.87405660516 6579656.912148343 71.27, 275030.1275900927 6579657.049975288 71.31, 275030.4371771193 6579657.363554477 71.28, 275030.5511493803 6579657.624483244 71.31, 275030.5681814024 6579657.924302634 71.34, 275030.4511822976 6579658.186000372 71.39, 275028.2165338477 6579659.914694304 71.35000000000001))</t>
  </si>
  <si>
    <t>[1168]</t>
  </si>
  <si>
    <t>['FV1168 S1D1 m4811-4828']</t>
  </si>
  <si>
    <t>LINESTRING Z (273712.41508561204 6576777.709710931 6.15, 273709.8819256949 6576778.691823232 6.09, 273707.9412144732 6576779.560172942 6.0600000000000005, 273707.76172421715 6576779.797375999 6.09, 273707.74159155803 6576780.130689758 6.1000000000000005, 273707.8266340805 6576780.29378218 6.0600000000000005, 273709.1980963126 6576781.576303306 6.09, 273710.7640699758 6576783.233030511 6.12, 273712.59873386344 6576785.417991713 6.12, 273714.8016609378 6576788.232695358 6.12, 273716.67500911094 6576790.846113061 6.26, 273717.9443496628 6576793.222750319 6.24, 273718.7601801167 6576795.13806713 6.22, 273718.9719890213 6576795.370076781 6.16, 273719.3197650331 6576795.4391303 6.19, 273719.60519375897 6576795.262679655 6.22, 273719.7937484404 6576795.014612858 6.22, 273719.80474844814 6576794.80266769 6.22, 273717.0474425787 6576786.181588136 6.21, 273714.93983545696 6576780.083499489 6.08, 273714.1019369998 6576778.7025777 6.1000000000000005, 273713.5696818279 6576778.147913565 6.08, 273713.32618135714 6576777.898674554 6.11, 273712.8860976135 6576777.69732052 6.16, 273712.41508561204 6576777.709710931 6.15)</t>
  </si>
  <si>
    <t>POLYGON Z ((273712.41508561204 6576777.709710931 6.15, 273709.8819256949 6576778.691823232 6.09, 273707.9412144732 6576779.560172942 6.0600000000000005, 273707.76172421715 6576779.797375999 6.09, 273707.74159155803 6576780.130689758 6.1000000000000005, 273707.8266340805 6576780.29378218 6.0600000000000005, 273709.1980963126 6576781.576303306 6.09, 273710.7640699758 6576783.233030511 6.12, 273712.59873386344 6576785.417991713 6.12, 273714.8016609378 6576788.232695358 6.12, 273716.67500911094 6576790.846113061 6.26, 273717.9443496628 6576793.222750319 6.24, 273718.7601801167 6576795.13806713 6.22, 273718.9719890213 6576795.370076781 6.16, 273719.3197650331 6576795.4391303 6.19, 273719.60519375897 6576795.262679655 6.22, 273719.7937484404 6576795.014612858 6.22, 273719.80474844814 6576794.80266769 6.22, 273717.0474425787 6576786.181588136 6.21, 273714.93983545696 6576780.083499489 6.08, 273714.1019369998 6576778.7025777 6.1000000000000005, 273713.5696818279 6576778.147913565 6.08, 273713.32618135714 6576777.898674554 6.11, 273712.8860976135 6576777.69732052 6.16, 273712.41508561204 6576777.709710931 6.15))</t>
  </si>
  <si>
    <t>['FV109 S2D1 m4124-4132']</t>
  </si>
  <si>
    <t>LINESTRING Z (273726.03839297185 6576771.165717947 6.09, 273725.7693620691 6576771.190008013 6.09, 273719.3623180921 6576773.436007887 6.1000000000000005, 273719.1049823946 6576773.589831363 6.11, 273719.0088035383 6576773.859693764 6.11, 273719.09017936315 6576774.093434562 6.11, 273720.0783845161 6576777.027857536 6.12, 273721.0167691952 6576779.966778627 6.15, 273721.2113487484 6576780.230479888 6.17, 273721.5319313189 6576780.332124671 6.23, 273721.84088680753 6576780.193731235 6.24, 273722.0593338392 6576779.942965567 6.21, 273722.91124448273 6576777.696256855 6.22, 273723.8182371931 6576775.725844293 6.13, 273725.0115583036 6576773.588945285 6.13, 273726.21913724474 6576771.832481671 6.13, 273726.2989864127 6576771.6042749835 6.08, 273726.25206923485 6576771.307151025 6.0600000000000005, 273726.03839297185 6576771.165717947 6.09)</t>
  </si>
  <si>
    <t>POLYGON Z ((273726.03839297185 6576771.165717947 6.09, 273725.7693620691 6576771.190008013 6.09, 273719.3623180921 6576773.436007887 6.1000000000000005, 273719.1049823946 6576773.589831363 6.11, 273719.0088035383 6576773.859693764 6.11, 273719.09017936315 6576774.093434562 6.11, 273720.0783845161 6576777.027857536 6.12, 273721.0167691952 6576779.966778627 6.15, 273721.2113487484 6576780.230479888 6.17, 273721.5319313189 6576780.332124671 6.23, 273721.84088680753 6576780.193731235 6.24, 273722.0593338392 6576779.942965567 6.21, 273722.91124448273 6576777.696256855 6.22, 273723.8182371931 6576775.725844293 6.13, 273725.0115583036 6576773.588945285 6.13, 273726.21913724474 6576771.832481671 6.13, 273726.2989864127 6576771.6042749835 6.08, 273726.25206923485 6576771.307151025 6.0600000000000005, 273726.03839297185 6576771.165717947 6.09))</t>
  </si>
  <si>
    <t>[1164]</t>
  </si>
  <si>
    <t>['FV1164 S1D1 m13-58']</t>
  </si>
  <si>
    <t>LINESTRING Z (278555.34661277605 6578385.016193902 53.120000000000005, 278553.3518046512 6578382.614778583 53.18, 278551.7824036193 6578380.697285154 53.25, 278551.46819710906 6578380.554894602 53.27, 278551.2934158181 6578380.510408052 53.27, 278551.10320584866 6578380.517539468 53.28, 278550.91299587884 6578380.524670885 53.28, 278550.6973935341 6578380.584320011 53.28, 278550.43737116473 6578380.708250027 53.26, 278550.1590213118 6578381.185408128 53.25, 278550.14955820923 6578381.859273974 53.25, 278550.2526610944 6578382.111132134 53.25, 278551.810365509 6578383.899097519 53.230000000000004, 278553.8731200701 6578386.274287259 53.18, 278558.65750050114 6578391.869213953 53.01, 278565.77898738044 6578399.98531894 52.75, 278575.8108786548 6578412.188066976 52.480000000000004, 278579.98477494315 6578417.807985024 52.300000000000004, 278580.16495468246 6578417.91225367 52.32, 278580.3098448665 6578417.959439392 52.33, 278580.5145172111 6578418.001226638 52.34, 278580.80256457685 6578417.9651703155 52.34, 278580.9846767871 6578417.868365599 52.34, 278581.2311363766 6578417.705480501 52.36, 278581.38882247126 6578417.560656812 52.34, 278581.42874373577 6578417.446557455 52.34, 278581.4523365958 6578417.374112363 52.34, 278581.4641662714 6578417.28263963 52.35, 278581.466098745 6578417.081566271 52.34, 278581.44173912104 6578416.923046923 52.34, 278581.386588671 6578416.757263116 52.33, 278578.158511931 6578412.267373443 52.43, 278574.10847939935 6578407.01797779 52.59, 278569.20660001447 6578401.011775208 52.76, 278565.45494645817 6578396.619389568 52.82, 278561.67063612276 6578392.310312192 53.02, 278557.91081845807 6578387.938753139 53.120000000000005, 278555.34661277605 6578385.016193902 53.120000000000005)</t>
  </si>
  <si>
    <t>POLYGON Z ((278555.34661277605 6578385.016193902 53.120000000000005, 278553.3518046512 6578382.614778583 53.18, 278551.7824036193 6578380.697285154 53.25, 278551.46819710906 6578380.554894602 53.27, 278551.2934158181 6578380.510408052 53.27, 278551.10320584866 6578380.517539468 53.28, 278550.91299587884 6578380.524670885 53.28, 278550.6973935341 6578380.584320011 53.28, 278550.43737116473 6578380.708250027 53.26, 278550.1590213118 6578381.185408128 53.25, 278550.14955820923 6578381.859273974 53.25, 278550.2526610944 6578382.111132134 53.25, 278551.810365509 6578383.899097519 53.230000000000004, 278553.8731200701 6578386.274287259 53.18, 278558.65750050114 6578391.869213953 53.01, 278565.77898738044 6578399.98531894 52.75, 278575.8108786548 6578412.188066976 52.480000000000004, 278579.98477494315 6578417.807985024 52.300000000000004, 278580.16495468246 6578417.91225367 52.32, 278580.3098448665 6578417.959439392 52.33, 278580.5145172111 6578418.001226638 52.34, 278580.80256457685 6578417.9651703155 52.34, 278580.9846767871 6578417.868365599 52.34, 278581.2311363766 6578417.705480501 52.36, 278581.38882247126 6578417.560656812 52.34, 278581.42874373577 6578417.446557455 52.34, 278581.4523365958 6578417.374112363 52.34, 278581.4641662714 6578417.28263963 52.35, 278581.466098745 6578417.081566271 52.34, 278581.44173912104 6578416.923046923 52.34, 278581.386588671 6578416.757263116 52.33, 278578.158511931 6578412.267373443 52.43, 278574.10847939935 6578407.01797779 52.59, 278569.20660001447 6578401.011775208 52.76, 278565.45494645817 6578396.619389568 52.82, 278561.67063612276 6578392.310312192 53.02, 278557.91081845807 6578387.938753139 53.120000000000005, 278555.34661277605 6578385.016193902 53.120000000000005))</t>
  </si>
  <si>
    <t>['FV1164 S1D1 m602-620']</t>
  </si>
  <si>
    <t>LINESTRING Z (278719.88331570517 6578889.581680574 38.26, 278719.30575254175 6578889.081366775 38.24, 278717.23778992146 6578886.314905907 38.33, 278715.1691257169 6578883.206980477 38.51, 278713.2418187096 6578879.995885058 38.62, 278711.30391254683 6578876.333724575 38.79, 278710.4806834416 6578874.670293354 38.86, 278710.4454597649 6578874.502710353 38.87, 278710.4464256129 6578874.402173766 38.89, 278710.6059766287 6578874.166776698 38.92, 278710.7247070749 6578874.035515349 38.93, 278710.8596996846 6578873.973099985 38.94, 278711.1260197051 6578873.918914798 38.96, 278711.3442548246 6578873.999656152 38.95, 278711.6149416306 6578874.216289901 38.92, 278714.16809472337 6578877.461271994 38.78, 278716.90912952274 6578881.563196477 38.59, 278718.66371904575 6578884.307732334 38.410000000000004, 278720.21620356035 6578887.261373281 38.36, 278720.8494212391 6578888.600435731 38.29, 278720.89910753444 6578888.816937327 38.26, 278720.90990494774 6578888.93650148 38.26, 278720.818300162 6578889.1456726985 38.26, 278720.7294607806 6578889.274234697 38.26, 278720.5890034327 6578889.387368258 38.26, 278720.5219570297 6578889.423557787 38.26, 278720.2891272127 6578889.514898373 38.28, 278720.1613989477 6578889.54652293 38.27, 278719.88331570517 6578889.581680574 38.26)</t>
  </si>
  <si>
    <t>POLYGON Z ((278719.88331570517 6578889.581680574 38.26, 278719.30575254175 6578889.081366775 38.24, 278717.23778992146 6578886.314905907 38.33, 278715.1691257169 6578883.206980477 38.51, 278713.2418187096 6578879.995885058 38.62, 278711.30391254683 6578876.333724575 38.79, 278710.4806834416 6578874.670293354 38.86, 278710.4454597649 6578874.502710353 38.87, 278710.4464256129 6578874.402173766 38.89, 278710.6059766287 6578874.166776698 38.92, 278710.7247070749 6578874.035515349 38.93, 278710.8596996846 6578873.973099985 38.94, 278711.1260197051 6578873.918914798 38.96, 278711.3442548246 6578873.999656152 38.95, 278711.6149416306 6578874.216289901 38.92, 278714.16809472337 6578877.461271994 38.78, 278716.90912952274 6578881.563196477 38.59, 278718.66371904575 6578884.307732334 38.410000000000004, 278720.21620356035 6578887.261373281 38.36, 278720.8494212391 6578888.600435731 38.29, 278720.89910753444 6578888.816937327 38.26, 278720.90990494774 6578888.93650148 38.26, 278720.818300162 6578889.1456726985 38.26, 278720.7294607806 6578889.274234697 38.26, 278720.5890034327 6578889.387368258 38.26, 278720.5219570297 6578889.423557787 38.26, 278720.2891272127 6578889.514898373 38.28, 278720.1613989477 6578889.54652293 38.27, 278719.88331570517 6578889.581680574 38.26))</t>
  </si>
  <si>
    <t>['FV1164 S1D1 m649-690']</t>
  </si>
  <si>
    <t>LINESTRING Z (278736.56100753223 6578934.553490525 37.910000000000004, 278733.7860403294 6578946.315584812 38.01, 278732.40964268794 6578950.31722814 38.13, 278731.5251546295 6578952.64716913 38.19, 278731.5195579169 6578952.9188878145 38.22, 278731.57380926557 6578953.074707507 38.25, 278731.5882718925 6578953.123626108 38.300000000000004, 278732.0518018576 6578953.473518603 38.32, 278732.5254274809 6578953.6015108 38.34, 278732.73743008263 6578953.502006001 38.300000000000004, 278732.94583352515 6578953.362646489 38.29, 278734.11470328184 6578951.067293478 38.31, 278735.95759416244 6578947.003432752 38.18, 278736.12544109626 6578946.526207992 38.24, 278737.1508485117 6578943.309631809 38.11, 278738.11160323233 6578939.154670391 38.02, 278738.65361959254 6578935.479501129 37.95, 278738.8432421783 6578931.906470005 37.980000000000004, 278738.7529821046 6578928.348669276 37.95, 278738.26347328874 6578924.485395629 37.9, 278737.31789713487 6578919.909937802 37.94, 278735.7370395638 6578914.417491392 37.800000000000004, 278735.14391588897 6578914.189796233 37.85, 278734.4591214534 6578914.281772534 37.800000000000004, 278734.05934440414 6578914.860301551 37.730000000000004, 278734.97272612504 6578918.745566384 37.71, 278736.13620726997 6578923.9542667875 37.78, 278736.7191203565 6578927.628296638 37.76, 278736.8205079196 6578930.753160337 37.82, 278736.56100753223 6578934.553490525 37.910000000000004)</t>
  </si>
  <si>
    <t>POLYGON Z ((278736.56100753223 6578934.553490525 37.910000000000004, 278733.7860403294 6578946.315584812 38.01, 278732.40964268794 6578950.31722814 38.13, 278731.5251546295 6578952.64716913 38.19, 278731.5195579169 6578952.9188878145 38.22, 278731.57380926557 6578953.074707507 38.25, 278731.5882718925 6578953.123626108 38.300000000000004, 278732.0518018576 6578953.473518603 38.32, 278732.5254274809 6578953.6015108 38.34, 278732.73743008263 6578953.502006001 38.300000000000004, 278732.94583352515 6578953.362646489 38.29, 278734.11470328184 6578951.067293478 38.31, 278735.95759416244 6578947.003432752 38.18, 278736.12544109626 6578946.526207992 38.24, 278737.1508485117 6578943.309631809 38.11, 278738.11160323233 6578939.154670391 38.02, 278738.65361959254 6578935.479501129 37.95, 278738.8432421783 6578931.906470005 37.980000000000004, 278738.7529821046 6578928.348669276 37.95, 278738.26347328874 6578924.485395629 37.9, 278737.31789713487 6578919.909937802 37.94, 278735.7370395638 6578914.417491392 37.800000000000004, 278735.14391588897 6578914.189796233 37.85, 278734.4591214534 6578914.281772534 37.800000000000004, 278734.05934440414 6578914.860301551 37.730000000000004, 278734.97272612504 6578918.745566384 37.71, 278736.13620726997 6578923.9542667875 37.78, 278736.7191203565 6578927.628296638 37.76, 278736.8205079196 6578930.753160337 37.82, 278736.56100753223 6578934.553490525 37.910000000000004))</t>
  </si>
  <si>
    <t>2025-12-12T11:24:35Z</t>
  </si>
  <si>
    <t>['FV1164 S1D1 m843-858']</t>
  </si>
  <si>
    <t>LINESTRING Z (278629.92217120784 6579053.884547967 34.21, 278627.86100617144 6579051.8607993005 34.25, 278627.4781507059 6579051.403171813 34.27, 278626.6423644508 6579051.046717168 34.14, 278626.09069659153 6579051.166851687 34.19, 278625.25611679256 6579051.824827576 34.24, 278625.1108968735 6579052.330144396 34.22, 278625.2690206476 6579052.968786042 34.24, 278625.5649023422 6579053.464402782 34.26, 278625.84285396605 6579053.650245436 34.25, 278627.7408031911 6579055.980037193 34.33, 278631.3172597531 6579059.544448915 34.44, 278634.78714463866 6579062.596147559 34.43, 278635.534991409 6579063.091128006 34.410000000000004, 278635.9969201505 6579063.089591977 34.38, 278636.22441710776 6579062.827968533 34.36, 278636.2183820838 6579062.316221366 34.37, 278634.8964611472 6579060.024814497 34.300000000000004, 278632.05115065206 6579056.103071289 34.27, 278629.92217120784 6579053.884547967 34.21)</t>
  </si>
  <si>
    <t>POLYGON Z ((278629.92217120784 6579053.884547967 34.21, 278627.86100617144 6579051.8607993005 34.25, 278627.4781507059 6579051.403171813 34.27, 278626.6423644508 6579051.046717168 34.14, 278626.09069659153 6579051.166851687 34.19, 278625.25611679256 6579051.824827576 34.24, 278625.1108968735 6579052.330144396 34.22, 278625.2690206476 6579052.968786042 34.24, 278625.5649023422 6579053.464402782 34.26, 278625.84285396605 6579053.650245436 34.25, 278627.7408031911 6579055.980037193 34.33, 278631.3172597531 6579059.544448915 34.44, 278634.78714463866 6579062.596147559 34.43, 278635.534991409 6579063.091128006 34.410000000000004, 278635.9969201505 6579063.089591977 34.38, 278636.22441710776 6579062.827968533 34.36, 278636.2183820838 6579062.316221366 34.37, 278634.8964611472 6579060.024814497 34.300000000000004, 278632.05115065206 6579056.103071289 34.27, 278629.92217120784 6579053.884547967 34.21))</t>
  </si>
  <si>
    <t>['FV1156 S1D1 m6-18']</t>
  </si>
  <si>
    <t>LINESTRING Z (274029.7146004351 6567229.541536625 11.44, 274029.4466488423 6567231.916286904 11.31, 274029.0905098852 6567234.761071982 11.23, 274028.909025106 6567236.53535498 11.200000000000001, 274028.9460832948 6567237.948386762 11.23, 274029.1255667312 6567239.047214501 11.18, 274029.24850070046 6567239.407797807 11.200000000000001, 274029.39233873435 6567239.66604332 11.200000000000001, 274029.5670449622 6567239.821052206 11.18, 274029.8459636209 6567239.906389154 11.17, 274030.14758400747 6567239.909316565 11.21, 274030.4184901439 6567239.794472089 11.23, 274030.66047969554 6567239.58178398 11.24, 274030.76387026557 6567239.39164366 11.24, 274031.4282813265 6567237.403028862 11.32, 274031.8017040696 6567235.752064734 11.36, 274031.9191929352 6567234.827352307 11.38, 274031.659455418 6567230.611703664 11.46, 274031.3999760489 6567228.626068409 11.49, 274031.2000255727 6567228.30256814 11.47, 274030.79981669027 6567228.097584627 11.43, 274030.4755715525 6567228.066562458 11.42, 274030.3016102078 6567228.142526202 11.43, 274030.01339531364 6567228.399564965 11.41, 274029.8365835093 6567228.666644838 11.38, 274029.7146004351 6567229.541536625 11.44)</t>
  </si>
  <si>
    <t>POLYGON Z ((274029.7146004351 6567229.541536625 11.44, 274029.4466488423 6567231.916286904 11.31, 274029.0905098852 6567234.761071982 11.23, 274028.909025106 6567236.53535498 11.200000000000001, 274028.9460832948 6567237.948386762 11.23, 274029.1255667312 6567239.047214501 11.18, 274029.24850070046 6567239.407797807 11.200000000000001, 274029.39233873435 6567239.66604332 11.200000000000001, 274029.5670449622 6567239.821052206 11.18, 274029.8459636209 6567239.906389154 11.17, 274030.14758400747 6567239.909316565 11.21, 274030.4184901439 6567239.794472089 11.23, 274030.66047969554 6567239.58178398 11.24, 274030.76387026557 6567239.39164366 11.24, 274031.4282813265 6567237.403028862 11.32, 274031.8017040696 6567235.752064734 11.36, 274031.9191929352 6567234.827352307 11.38, 274031.659455418 6567230.611703664 11.46, 274031.3999760489 6567228.626068409 11.49, 274031.2000255727 6567228.30256814 11.47, 274030.79981669027 6567228.097584627 11.43, 274030.4755715525 6567228.066562458 11.42, 274030.3016102078 6567228.142526202 11.43, 274030.01339531364 6567228.399564965 11.41, 274029.8365835093 6567228.666644838 11.38, 274029.7146004351 6567229.541536625 11.44))</t>
  </si>
  <si>
    <t>[1134]</t>
  </si>
  <si>
    <t>['FV1134 S1D1 m6-14']</t>
  </si>
  <si>
    <t>LINESTRING Z (267489.611282866 6553666.556063613 6.61, 267489.4048061095 6553666.494300148 6.59, 267487.9279586415 6553665.823699646 6.53, 267486.78802736796 6553665.213156917 6.46, 267486.41232942796 6553664.945634876 6.46, 267486.31016830716 6553664.703697986 6.44, 267486.29589446646 6553664.433752065 6.41, 267486.5507585863 6553664.029057611 6.4, 267486.7837182239 6553663.827249012 6.4, 267487.1723433882 6553663.7922377195 6.43, 267488.08164907363 6553663.961458852 6.5, 267489.52788409457 6553664.403767904 6.58, 267490.671496007 6553664.943659668 6.68, 267491.8530816835 6553665.570540975 6.7700000000000005, 267492.75215329067 6553666.072189644 6.8, 267493.095263795 6553666.312510603 6.8, 267493.2237282528 6553666.511895312 6.8, 267493.18817836145 6553666.786329841 6.8, 267493.0946354387 6553667.086080222 6.8, 267492.79183282313 6553667.404682841 6.8100000000000005, 267492.08083462506 6553667.318052431 6.8, 267491.34003194526 6553667.123605249 6.75, 267489.611282866 6553666.556063613 6.61)</t>
  </si>
  <si>
    <t>POLYGON Z ((267489.611282866 6553666.556063613 6.61, 267489.4048061095 6553666.494300148 6.59, 267487.9279586415 6553665.823699646 6.53, 267486.78802736796 6553665.213156917 6.46, 267486.41232942796 6553664.945634876 6.46, 267486.31016830716 6553664.703697986 6.44, 267486.29589446646 6553664.433752065 6.41, 267486.5507585863 6553664.029057611 6.4, 267486.7837182239 6553663.827249012 6.4, 267487.1723433882 6553663.7922377195 6.43, 267488.08164907363 6553663.961458852 6.5, 267489.52788409457 6553664.403767904 6.58, 267490.671496007 6553664.943659668 6.68, 267491.8530816835 6553665.570540975 6.7700000000000005, 267492.75215329067 6553666.072189644 6.8, 267493.095263795 6553666.312510603 6.8, 267493.2237282528 6553666.511895312 6.8, 267493.18817836145 6553666.786329841 6.8, 267493.0946354387 6553667.086080222 6.8, 267492.79183282313 6553667.404682841 6.8100000000000005, 267492.08083462506 6553667.318052431 6.8, 267491.34003194526 6553667.123605249 6.75, 267489.611282866 6553666.556063613 6.61))</t>
  </si>
  <si>
    <t>[1132]</t>
  </si>
  <si>
    <t>['FV1132 S1D1 m8-21']</t>
  </si>
  <si>
    <t>LINESTRING Z (267770.67019935383 6552871.742792464 19.86, 267770.90997899097 6552872.06274241 19.86, 267771.0238077945 6552872.434220816 19.86, 267771.02542211616 6552872.675169601 19.86, 267770.95279505535 6552872.87257835 19.87, 267770.54585553077 6552873.15033109 19.88, 267770.04393800435 6552873.265864715 19.88, 267769.4098765344 6552873.252664041 19.89, 267766.1407290118 6552873.316111625 19.85, 267763.63805834006 6552873.189965184 19.78, 267760.76606648276 6552872.755538311 19.73, 267758.3679837621 6552872.117690539 19.72, 267757.9360907786 6552871.895411538 19.72, 267757.66731458716 6552871.588119256 19.72, 267757.6675860815 6552871.256590226 19.72, 267757.80556846876 6552870.892564531 19.72, 267758.071116023 6552870.71795919 19.72, 267758.4533663555 6552870.723707129 19.72, 267761.4775221634 6552871.174563386 19.740000000000002, 267764.3540927813 6552871.548304266 19.75, 267765.9781625235 6552871.623005462 19.78, 267768.84333498124 6552871.535675845 19.81, 267769.955703401 6552871.505788979 19.86, 267770.3867891806 6552871.607593562 19.86, 267770.67019935383 6552871.742792464 19.86)</t>
  </si>
  <si>
    <t>POLYGON Z ((267770.67019935383 6552871.742792464 19.86, 267770.90997899097 6552872.06274241 19.86, 267771.0238077945 6552872.434220816 19.86, 267771.02542211616 6552872.675169601 19.86, 267770.95279505535 6552872.87257835 19.87, 267770.54585553077 6552873.15033109 19.88, 267770.04393800435 6552873.265864715 19.88, 267769.4098765344 6552873.252664041 19.89, 267766.1407290118 6552873.316111625 19.85, 267763.63805834006 6552873.189965184 19.78, 267760.76606648276 6552872.755538311 19.73, 267758.3679837621 6552872.117690539 19.72, 267757.9360907786 6552871.895411538 19.72, 267757.66731458716 6552871.588119256 19.72, 267757.6675860815 6552871.256590226 19.72, 267757.80556846876 6552870.892564531 19.72, 267758.071116023 6552870.71795919 19.72, 267758.4533663555 6552870.723707129 19.72, 267761.4775221634 6552871.174563386 19.740000000000002, 267764.3540927813 6552871.548304266 19.75, 267765.9781625235 6552871.623005462 19.78, 267768.84333498124 6552871.535675845 19.81, 267769.955703401 6552871.505788979 19.86, 267770.3867891806 6552871.607593562 19.86, 267770.67019935383 6552871.742792464 19.86))</t>
  </si>
  <si>
    <t>[1130]</t>
  </si>
  <si>
    <t>['FV1130 S1D1 m8-16']</t>
  </si>
  <si>
    <t>LINESTRING Z (267493.68508273433 6553601.49524137 8.57, 267493.80277443875 6553601.575049177 8.58, 267494.4372861661 6553602.1507605 8.63, 267494.53854943125 6553602.382732678 8.63, 267494.57553561043 6553602.57026744 8.63, 267494.52274923807 6553602.876391626 8.63, 267494.39302787196 6553603.109081874 8.620000000000001, 267494.17461132293 6553603.249306411 8.63, 267493.80232478323 6553603.242663072 8.63, 267493.0786687407 6553603.1270357575 8.56, 267491.53090126964 6553602.784283631 8.45, 267490.5727595178 6553602.519005444 8.36, 267489.5676668305 6553602.067090202 8.33, 267487.7776036144 6553601.153474601 8.3, 267486.8097665684 6553600.55756426 8.25, 267486.37167695817 6553600.155024148 8.22, 267486.282263707 6553599.831573779 8.22, 267486.4057010487 6553599.529130281 8.22, 267486.6731334652 6553599.263942442 8.22, 267487.5499414718 6553599.2954530325 8.25, 267488.4257619239 6553599.427508821 8.31, 267490.1075597467 6553599.808414381 8.370000000000001, 267491.2775645319 6553600.195244657 8.44, 267492.9635814378 6553600.957503764 8.53, 267493.68508273433 6553601.49524137 8.57)</t>
  </si>
  <si>
    <t>POLYGON Z ((267493.68508273433 6553601.49524137 8.57, 267493.80277443875 6553601.575049177 8.58, 267494.4372861661 6553602.1507605 8.63, 267494.53854943125 6553602.382732678 8.63, 267494.57553561043 6553602.57026744 8.63, 267494.52274923807 6553602.876391626 8.63, 267494.39302787196 6553603.109081874 8.620000000000001, 267494.17461132293 6553603.249306411 8.63, 267493.80232478323 6553603.242663072 8.63, 267493.0786687407 6553603.1270357575 8.56, 267491.53090126964 6553602.784283631 8.45, 267490.5727595178 6553602.519005444 8.36, 267489.5676668305 6553602.067090202 8.33, 267487.7776036144 6553601.153474601 8.3, 267486.8097665684 6553600.55756426 8.25, 267486.37167695817 6553600.155024148 8.22, 267486.282263707 6553599.831573779 8.22, 267486.4057010487 6553599.529130281 8.22, 267486.6731334652 6553599.263942442 8.22, 267487.5499414718 6553599.2954530325 8.25, 267488.4257619239 6553599.427508821 8.31, 267490.1075597467 6553599.808414381 8.370000000000001, 267491.2775645319 6553600.195244657 8.44, 267492.9635814378 6553600.957503764 8.53, 267493.68508273433 6553601.49524137 8.57))</t>
  </si>
  <si>
    <t>[1230]</t>
  </si>
  <si>
    <t>['KV1230 S1D1 m701-711']</t>
  </si>
  <si>
    <t>LINESTRING Z (258784.78 6635746.79 68.59, 258781.84 6635746.11 68.7, 258779.58 6635744.95 68.77, 258779.31 6635744.33 68.84, 258779.9 6635743.93 68.84, 258782.29 6635744.34 68.71, 258785.14 6635745.22 68.61, 258788.03 6635746.38 68.55, 258788.31 6635747.03 68.45, 258787.71 6635747.39 68.53)</t>
  </si>
  <si>
    <t>POLYGON Z ((258784.78 6635746.79 68.59, 258781.84 6635746.11 68.7, 258779.58 6635744.95 68.77, 258779.31 6635744.33 68.84, 258779.9 6635743.93 68.84, 258782.29 6635744.34 68.71, 258785.14 6635745.22 68.61, 258788.03 6635746.38 68.55, 258788.31 6635747.03 68.45, 258787.71 6635747.39 68.53, 258784.78 6635746.79 68.59))</t>
  </si>
  <si>
    <t>2021-09-30</t>
  </si>
  <si>
    <t>2025-11-22T09:10:54Z</t>
  </si>
  <si>
    <t>['FV2708 S1D1 m1565 KD1 m55-59']</t>
  </si>
  <si>
    <t>LINESTRING (228294.1031860332 6633071.626661999, 228299.04920644674 6633070.472197628)</t>
  </si>
  <si>
    <t>POINT (228296.57619623997 6633071.049429814)</t>
  </si>
  <si>
    <t>[1152]</t>
  </si>
  <si>
    <t>['FV1152 S1D1 m6-22']</t>
  </si>
  <si>
    <t>LINESTRING Z (272490.6308453283 6571224.862160369 21.37, 272489.95773827075 6571227.755698887 21.34, 272489.0773466149 6571231.803070831 21.37, 272488.98654934147 6571232.132716571 21.36, 272488.90586294 6571232.240451532 21.35, 272488.8215798396 6571232.308329538 21.330000000000002, 272488.56700550474 6571232.381529274 21.32, 272488.3559581402 6571232.380483467 21.31, 272488.1793726819 6571232.31605553 21.3, 272488.0481125439 6571232.197310522 21.29, 272487.9857029028 6571232.0623070495 21.29, 272487.96232435945 6571231.803236838 21.29, 272488.5921049883 6571227.316392532 21.330000000000002, 272488.91653703095 6571224.343819276 21.330000000000002, 272489.6753012784 6571217.946758711 21.46, 272489.94602233404 6571215.380847628 21.59, 272490.0233320529 6571214.901738322 21.55, 272490.13848038425 6571214.730621252 21.56, 272490.3079457758 6571214.604829506 21.55, 272490.4239199474 6571214.554182471 21.55, 272490.6965510864 6571214.569761749 21.56, 272493.2621687898 6571215.282506027 21.6, 272493.4849053981 6571215.413086965 21.59, 272493.5771344007 6571215.655898713 21.57, 272493.5933195214 6571215.835255005 21.57, 272493.47802453267 6571216.2273836695 21.55, 272491.7894833662 6571220.558635831 21.490000000000002, 272490.8633069288 6571223.987325686 21.39, 272490.6308453283 6571224.862160369 21.37)</t>
  </si>
  <si>
    <t>POLYGON Z ((272490.6308453283 6571224.862160369 21.37, 272489.95773827075 6571227.755698887 21.34, 272489.0773466149 6571231.803070831 21.37, 272488.98654934147 6571232.132716571 21.36, 272488.90586294 6571232.240451532 21.35, 272488.8215798396 6571232.308329538 21.330000000000002, 272488.56700550474 6571232.381529274 21.32, 272488.3559581402 6571232.380483467 21.31, 272488.1793726819 6571232.31605553 21.3, 272488.0481125439 6571232.197310522 21.29, 272487.9857029028 6571232.0623070495 21.29, 272487.96232435945 6571231.803236838 21.29, 272488.5921049883 6571227.316392532 21.330000000000002, 272488.91653703095 6571224.343819276 21.330000000000002, 272489.6753012784 6571217.946758711 21.46, 272489.94602233404 6571215.380847628 21.59, 272490.0233320529 6571214.901738322 21.55, 272490.13848038425 6571214.730621252 21.56, 272490.3079457758 6571214.604829506 21.55, 272490.4239199474 6571214.554182471 21.55, 272490.6965510864 6571214.569761749 21.56, 272493.2621687898 6571215.282506027 21.6, 272493.4849053981 6571215.413086965 21.59, 272493.5771344007 6571215.655898713 21.57, 272493.5933195214 6571215.835255005 21.57, 272493.47802453267 6571216.2273836695 21.55, 272491.7894833662 6571220.558635831 21.490000000000002, 272490.8633069288 6571223.987325686 21.39, 272490.6308453283 6571224.862160369 21.37))</t>
  </si>
  <si>
    <t>['FV1152 S1D1 m1370-1390']</t>
  </si>
  <si>
    <t>LINESTRING Z (271683.76202449267 6572200.408930587 14.08, 271681.0740286376 6572202.570199774 13.96, 271678.6734887444 6572204.2434355905 13.94, 271676.4938895494 6572206.027322931 13.85, 271673.902549122 6572208.591733196 13.75, 271671.2766746131 6572211.330033019 13.64, 271671.0627830946 6572211.520109162 13.620000000000001, 271670.95587355143 6572211.559893938 13.620000000000001, 271670.71964537597 6572211.279849346 13.63, 271669.2693658569 6572208.678369636 13.700000000000001, 271668.39607424696 6572207.461318416 13.66, 271667.7534703753 6572206.685539147 13.620000000000001, 271667.7082900391 6572206.518843783 13.63, 271667.7291903423 6572206.416502974 13.65, 271667.9032246644 6572206.2300238805 13.67, 271669.16883596673 6572205.894804629 13.71, 271671.66117302293 6572205.127420902 13.790000000000001, 271673.3617614211 6572204.49176384 13.85, 271675.37685604126 6572203.556495798 13.870000000000001, 271677.41824649874 6572202.578672791 13.91, 271680.29415781226 6572201.163899345 14.030000000000001, 271683.0083771311 6572199.070581767 14.06, 271684.71921947505 6572197.991999292 14.11, 271685.0852008421 6572197.928833781 14.13, 271685.4048852959 6572198.020528346 14.13, 271685.69999995857 6572198.285213069 14.14, 271685.8392828419 6572198.604143153 14.120000000000001, 271685.81831009145 6572198.816990515 14.120000000000001, 271685.59977739374 6572199.178258247 14.11, 271683.76202449267 6572200.408930587 14.08)</t>
  </si>
  <si>
    <t>POLYGON Z ((271683.76202449267 6572200.408930587 14.08, 271681.0740286376 6572202.570199774 13.96, 271678.6734887444 6572204.2434355905 13.94, 271676.4938895494 6572206.027322931 13.85, 271673.902549122 6572208.591733196 13.75, 271671.2766746131 6572211.330033019 13.64, 271671.0627830946 6572211.520109162 13.620000000000001, 271670.95587355143 6572211.559893938 13.620000000000001, 271670.71964537597 6572211.279849346 13.63, 271669.2693658569 6572208.678369636 13.700000000000001, 271668.39607424696 6572207.461318416 13.66, 271667.7534703753 6572206.685539147 13.620000000000001, 271667.7082900391 6572206.518843783 13.63, 271667.7291903423 6572206.416502974 13.65, 271667.9032246644 6572206.2300238805 13.67, 271669.16883596673 6572205.894804629 13.71, 271671.66117302293 6572205.127420902 13.790000000000001, 271673.3617614211 6572204.49176384 13.85, 271675.37685604126 6572203.556495798 13.870000000000001, 271677.41824649874 6572202.578672791 13.91, 271680.29415781226 6572201.163899345 14.030000000000001, 271683.0083771311 6572199.070581767 14.06, 271684.71921947505 6572197.991999292 14.11, 271685.0852008421 6572197.928833781 14.13, 271685.4048852959 6572198.020528346 14.13, 271685.69999995857 6572198.285213069 14.14, 271685.8392828419 6572198.604143153 14.120000000000001, 271685.81831009145 6572198.816990515 14.120000000000001, 271685.59977739374 6572199.178258247 14.11, 271683.76202449267 6572200.408930587 14.08))</t>
  </si>
  <si>
    <t>[1118]</t>
  </si>
  <si>
    <t>['FV1118 S1D1 m6-13']</t>
  </si>
  <si>
    <t>LINESTRING Z (265481.17939814174 6558925.769846405 10.36, 265480.9172278837 6558925.090267709 10.38, 265480.52436109725 6558924.743936325 10.38, 265479.7462015426 6558924.804029331 10.38, 265478.1801362678 6558925.819174115 10.31, 265476.09979310806 6558927.704432409 10.25, 265475.2882799756 6558928.731932994 10.23, 265474.8843442265 6558929.823155355 10.200000000000001, 265474.9362687338 6558930.622142901 10.290000000000001, 265475.4006861418 6558930.982116813 10.23, 265477.0705875042 6558929.224265952 10.23, 265479.4225922463 6558927.455163463 10.33, 265479.8513372778 6558927.08500591 10.32, 265481.0469052578 6558926.083163936 10.31, 265481.17939814174 6558925.769846405 10.36)</t>
  </si>
  <si>
    <t>POLYGON Z ((265481.17939814174 6558925.769846405 10.36, 265480.9172278837 6558925.090267709 10.38, 265480.52436109725 6558924.743936325 10.38, 265479.7462015426 6558924.804029331 10.38, 265478.1801362678 6558925.819174115 10.31, 265476.09979310806 6558927.704432409 10.25, 265475.2882799756 6558928.731932994 10.23, 265474.8843442265 6558929.823155355 10.200000000000001, 265474.9362687338 6558930.622142901 10.290000000000001, 265475.4006861418 6558930.982116813 10.23, 265477.0705875042 6558929.224265952 10.23, 265479.4225922463 6558927.455163463 10.33, 265479.8513372778 6558927.08500591 10.32, 265481.0469052578 6558926.083163936 10.31, 265481.17939814174 6558925.769846405 10.36))</t>
  </si>
  <si>
    <t>[1116]</t>
  </si>
  <si>
    <t>['FV1116 S1D1 m3134-3146']</t>
  </si>
  <si>
    <t>LINESTRING Z (267912.4814525061 6568312.67549285 12.19, 267912.08908354933 6568312.891713404 12.21, 267911.54185131553 6568313.061630443 12.16, 267911.20590281376 6568312.901068846 12.17, 267911.08917632804 6568312.720730275 12.21, 267911.0303636085 6568312.625578672 12.18, 267911.0731474673 6568312.320346882 12.23, 267911.571836225 6568311.612339447 12.21, 267913.41905705264 6568309.928787569 12.200000000000001, 267915.3684687933 6568308.4871600345 12.18, 267918.5149927913 6568306.284563115 12.09, 267919.0875479912 6568306.172636032 12.09, 267919.41990065045 6568306.293339092 12.07, 267919.54741455225 6568306.59325329 12.07, 267919.61326657573 6568306.98914189 12.05, 267919.47990202636 6568307.292499593 12.030000000000001, 267917.6045091023 6568309.109187433 12.09, 267915.88330894633 6568310.630684349 12.1, 267914.3273174455 6568311.645036082 12.15, 267912.4814525061 6568312.67549285 12.19)</t>
  </si>
  <si>
    <t>POLYGON Z ((267912.4814525061 6568312.67549285 12.19, 267912.08908354933 6568312.891713404 12.21, 267911.54185131553 6568313.061630443 12.16, 267911.20590281376 6568312.901068846 12.17, 267911.08917632804 6568312.720730275 12.21, 267911.0303636085 6568312.625578672 12.18, 267911.0731474673 6568312.320346882 12.23, 267911.571836225 6568311.612339447 12.21, 267913.41905705264 6568309.928787569 12.200000000000001, 267915.3684687933 6568308.4871600345 12.18, 267918.5149927913 6568306.284563115 12.09, 267919.0875479912 6568306.172636032 12.09, 267919.41990065045 6568306.293339092 12.07, 267919.54741455225 6568306.59325329 12.07, 267919.61326657573 6568306.98914189 12.05, 267919.47990202636 6568307.292499593 12.030000000000001, 267917.6045091023 6568309.109187433 12.09, 267915.88330894633 6568310.630684349 12.1, 267914.3273174455 6568311.645036082 12.15, 267912.4814525061 6568312.67549285 12.19))</t>
  </si>
  <si>
    <t>['FV1114 S1D1 m1464-1472']</t>
  </si>
  <si>
    <t>LINESTRING Z (265766.7118868383 6568498.068502188 10.48, 265767.1645703437 6568498.40940803 10.44, 265767.8061291367 6568499.396304975 10.46, 265770.59509680513 6568504.810594515 10.55, 265770.5368777837 6568505.167453883 10.57, 265770.1897551422 6568505.439871737 10.6, 265769.8157391121 6568505.302833172 10.63, 265769.223776267 6568504.642977231 10.68, 265767.7123668302 6568502.699824778 10.64, 265765.7485019939 6568500.084230571 10.58, 265764.99995111325 6568499.247628798 10.53, 265764.8381212583 6568498.790070205 10.57, 265765.1128693145 6568498.383538816 10.52, 265766.13857448834 6568497.949443195 10.42, 265766.7118868383 6568498.068502188 10.48)</t>
  </si>
  <si>
    <t>POLYGON Z ((265766.7118868383 6568498.068502188 10.48, 265767.1645703437 6568498.40940803 10.44, 265767.8061291367 6568499.396304975 10.46, 265770.59509680513 6568504.810594515 10.55, 265770.5368777837 6568505.167453883 10.57, 265770.1897551422 6568505.439871737 10.6, 265769.8157391121 6568505.302833172 10.63, 265769.223776267 6568504.642977231 10.68, 265767.7123668302 6568502.699824778 10.64, 265765.7485019939 6568500.084230571 10.58, 265764.99995111325 6568499.247628798 10.53, 265764.8381212583 6568498.790070205 10.57, 265765.1128693145 6568498.383538816 10.52, 265766.13857448834 6568497.949443195 10.42, 265766.7118868383 6568498.068502188 10.48))</t>
  </si>
  <si>
    <t>['FV1114 S1D1 m1481-1489']</t>
  </si>
  <si>
    <t>LINESTRING Z (265749.84913049045 6568473.952597391 10.47, 265749.80080012407 6568474.419069795 10.43, 265749.381973558 6568474.898874755 10.49, 265748.268078528 6568475.803038554 10.42, 265747.8413893293 6568475.861624252 10.44, 265747.37147311855 6568475.552410677 10.5, 265745.8565440466 6568473.458886257 10.46, 265743.21126157173 6568469.859989718 10.46, 265743.0865941425 6568469.368940637 10.46, 265743.32050803606 6568469.066552315 10.48, 265743.60506893287 6568468.880145896 10.46, 265743.9247660211 6568468.971855406 10.42, 265749.54419735866 6568473.467765131 10.52, 265749.84913049045 6568473.952597391 10.47)</t>
  </si>
  <si>
    <t>POLYGON Z ((265749.84913049045 6568473.952597391 10.47, 265749.80080012407 6568474.419069795 10.43, 265749.381973558 6568474.898874755 10.49, 265748.268078528 6568475.803038554 10.42, 265747.8413893293 6568475.861624252 10.44, 265747.37147311855 6568475.552410677 10.5, 265745.8565440466 6568473.458886257 10.46, 265743.21126157173 6568469.859989718 10.46, 265743.0865941425 6568469.368940637 10.46, 265743.32050803606 6568469.066552315 10.48, 265743.60506893287 6568468.880145896 10.46, 265743.9247660211 6568468.971855406 10.42, 265749.54419735866 6568473.467765131 10.52, 265749.84913049045 6568473.952597391 10.47))</t>
  </si>
  <si>
    <t>['FV1110 S1D1 m7-13']</t>
  </si>
  <si>
    <t>LINESTRING Z (269911.5394947394 6570063.353553966 8.03, 269911.6519500192 6570063.152541047 8.09, 269913.03721725225 6570058.687856149 8.09, 269913.10988917283 6570058.379931438 8.1, 269913.1018718444 6570058.179743141 8.120000000000001, 269913.05122492916 6570058.063765972 8.120000000000001, 269912.9489575333 6570057.932355331 8.13, 269912.85208467365 6570057.860731454 8.14, 269912.68546059064 6570057.795401202 8.17, 269912.5025039439 6570057.771726965 8.17, 269912.3231436546 6570057.787910574 8.17, 269911.9707167011 6570057.890029016 8.16, 269910.3235110472 6570058.561026176 8.120000000000001, 269909.74999329716 6570058.773503827 8.11, 269908.7787217262 6570059.142417682 8.1, 269908.5304348194 6570059.285367538 8.120000000000001, 269908.34283376683 6570059.432887321 8.09, 269908.19231881335 6570059.657425523 8.08, 269908.15770655696 6570059.941824965 8.11, 269908.3078491343 6570060.269827558 8.120000000000001, 269910.3856389043 6570063.146252841 8.07, 269910.6680167463 6570063.49246064 8.03, 269910.9614070818 6570063.626717491 8.01)</t>
  </si>
  <si>
    <t>POLYGON Z ((269911.5394947394 6570063.353553966 8.03, 269911.6519500192 6570063.152541047 8.09, 269913.03721725225 6570058.687856149 8.09, 269913.10988917283 6570058.379931438 8.1, 269913.1018718444 6570058.179743141 8.120000000000001, 269913.05122492916 6570058.063765972 8.120000000000001, 269912.9489575333 6570057.932355331 8.13, 269912.85208467365 6570057.860731454 8.14, 269912.68546059064 6570057.795401202 8.17, 269912.5025039439 6570057.771726965 8.17, 269912.3231436546 6570057.787910574 8.17, 269911.9707167011 6570057.890029016 8.16, 269910.3235110472 6570058.561026176 8.120000000000001, 269909.74999329716 6570058.773503827 8.11, 269908.7787217262 6570059.142417682 8.1, 269908.5304348194 6570059.285367538 8.120000000000001, 269908.34283376683 6570059.432887321 8.09, 269908.19231881335 6570059.657425523 8.08, 269908.15770655696 6570059.941824965 8.11, 269908.3078491343 6570060.269827558 8.120000000000001, 269910.3856389043 6570063.146252841 8.07, 269910.6680167463 6570063.49246064 8.03, 269910.9614070818 6570063.626717491 8.01, 269911.5394947394 6570063.353553966 8.03))</t>
  </si>
  <si>
    <t>['FV1110 S1D1 m3980-4002']</t>
  </si>
  <si>
    <t>LINESTRING Z (271892.8474581271 6572669.115013038 15.05, 271892.8377818571 6572668.67388676 15.02, 271892.6541443105 6572668.308733534 15.02, 271892.3545325785 6572667.9942290075 15, 271892.0792738956 6572667.838253686 14.99, 271891.75779099634 6572667.726631985 14.950000000000001, 271891.4805897083 6572667.771740889 14.94, 271890.4676861671 6572668.124339202 14.99, 271888.0602504456 6572669.27584192 14.94, 271882.8380659077 6572672.51969851 14.89, 271879.000449194 6572674.965550141 14.790000000000001, 271878.7630330113 6572675.117568281 14.76, 271880.3218842762 6572677.920194224 14.790000000000001, 271882.7419822566 6572676.79768481 14.84, 271883.7730878036 6572676.312852836 14.83, 271886.2648782928 6572674.98296416 14.83, 271888.77868389897 6572673.229179909 14.93, 271891.45033538644 6572671.109559209 14.96, 271892.2643132885 6572670.222414865 15.040000000000001, 271892.70587158017 6572669.549700222 15.05, 271892.8474581271 6572669.115013038 15.05)</t>
  </si>
  <si>
    <t>POLYGON Z ((271892.8474581271 6572669.115013038 15.05, 271892.8377818571 6572668.67388676 15.02, 271892.6541443105 6572668.308733534 15.02, 271892.3545325785 6572667.9942290075 15, 271892.0792738956 6572667.838253686 14.99, 271891.75779099634 6572667.726631985 14.950000000000001, 271891.4805897083 6572667.771740889 14.94, 271890.4676861671 6572668.124339202 14.99, 271888.0602504456 6572669.27584192 14.94, 271882.8380659077 6572672.51969851 14.89, 271879.000449194 6572674.965550141 14.790000000000001, 271878.7630330113 6572675.117568281 14.76, 271880.3218842762 6572677.920194224 14.790000000000001, 271882.7419822566 6572676.79768481 14.84, 271883.7730878036 6572676.312852836 14.83, 271886.2648782928 6572674.98296416 14.83, 271888.77868389897 6572673.229179909 14.93, 271891.45033538644 6572671.109559209 14.96, 271892.2643132885 6572670.222414865 15.040000000000001, 271892.70587158017 6572669.549700222 15.05, 271892.8474581271 6572669.115013038 15.05))</t>
  </si>
  <si>
    <t>2021-10-15</t>
  </si>
  <si>
    <t>['RV70 S18D1 m2858 KD1 m0-83']</t>
  </si>
  <si>
    <t>LINESTRING Z (136407.45 7018318.39 27.580000000000002, 136407.06 7018316.29 27.62, 136406.16 7018314.31 27.68, 136404.81 7018312.72 27.740000000000002, 136403.13 7018311.56 27.82, 136401.25 7018310.83 27.88, 136399.22 7018310.63 27.94, 136397.05 7018310.99 28.01, 136395.05 7018311.9 28.03, 136393.36 7018313.38 28.04, 136391.58 7018317.09 28.05, 136391.45 7018319.23 28.01, 136391.89 7018321.33 28.01, 136392.87 7018323.23 27.94, 136394.29 7018324.81 27.89, 136396.17 7018325.95 27.86, 136398.23 7018326.53 27.79, 136400.32 7018326.6 27.740000000000002, 136402.37 7018326.05 27.7, 136404.22 7018325.04 27.66, 136405.81 7018323.53 27.59, 136406.89 7018321.64 27.59, 136407.4 7018319.53 27.6, 136407.42 7018319.35 27.6, 136407.45 7018318.39 27.580000000000002, 136404.38 7018317.83 28.05, 136404.31 7018319.95 28.03, 136403.38 7018321.61 28.23, 136402.56 7018322.47 28.240000000000002, 136400.73 7018323.45 28.28, 136398.74 7018323.55 28.34, 136397.4 7018323.23 28.38, 136395.21 7018321.28 28.27, 136394.7 7018320.26 28.3, 136394.42 7018318.26 28.3, 136394.94 7018316.38 28.29, 136396.14 7018314.85 28.26, 136397.96 7018313.85 28.22, 136400.1 7018313.65 28.16, 136402.09 7018314.36 28.11, 136403.61 7018315.87 28.07, 136404.38 7018317.83 28.05, 136407.45 7018318.39 27.580000000000002)</t>
  </si>
  <si>
    <t>[1108]</t>
  </si>
  <si>
    <t>['FV1108 S1D1 m2186-2199']</t>
  </si>
  <si>
    <t>LINESTRING Z (266105.67587801197 6572638.711230605 7.92, 266105.3661431283 6572638.618633163 7.930000000000001, 266103.35265595134 6572635.565561656 8.13, 266101.3882377221 6572632.277005143 8.21, 266099.8013647635 6572629.275844707 8.23, 266101.1524373954 6572628.551153996 8.17, 266102.8065101045 6572631.295101325 8.120000000000001, 266104.7220037776 6572634.598119203 7.99, 266105.939103737 6572636.507507417 7.86, 266106.6528582304 6572637.960026244 7.7700000000000005, 266106.73962657596 6572638.253573274 7.78, 266106.22311301116 6572638.54129121 7.88, 266105.67587801197 6572638.711230605 7.92)</t>
  </si>
  <si>
    <t>POLYGON Z ((266105.67587801197 6572638.711230605 7.92, 266105.3661431283 6572638.618633163 7.930000000000001, 266103.35265595134 6572635.565561656 8.13, 266101.3882377221 6572632.277005143 8.21, 266099.8013647635 6572629.275844707 8.23, 266101.1524373954 6572628.551153996 8.17, 266102.8065101045 6572631.295101325 8.120000000000001, 266104.7220037776 6572634.598119203 7.99, 266105.939103737 6572636.507507417 7.86, 266106.6528582304 6572637.960026244 7.7700000000000005, 266106.73962657596 6572638.253573274 7.78, 266106.22311301116 6572638.54129121 7.88, 266105.67587801197 6572638.711230605 7.92))</t>
  </si>
  <si>
    <t>['FV1108 S1D10 m9-22']</t>
  </si>
  <si>
    <t>LINESTRING Z (265263.4164363267 6570386.446897469 1.69, 265264.0202421655 6570385.679150811 1.69, 265264.1833506002 6570385.594111482 1.69, 265264.43516922765 6570385.601527509 1.69, 265264.57917280565 6570385.63876378 1.69, 265264.7502992059 6570385.753920553 1.69, 265264.86253565777 6570385.88443702 1.69, 265264.890483321 6570386.082834844 1.69, 265264.7477579281 6570386.839115563 1.69, 265263.3017556333 6570391.299407089 1.6300000000000001, 265262.0258245294 6570394.749801059 1.61, 265261.65031110845 6570395.486902673 1.61, 265260.33653418534 6570397.293171028 1.6500000000000001, 265259.42194552347 6570398.179373943 1.69, 265259.17552173464 6570398.231747033 1.69, 265258.9581676383 6570398.160945376 1.69, 265258.74628268136 6570398.03942033 1.69, 265258.60145423916 6570397.881706749 1.69, 265258.5717082715 6570397.663379219 1.69, 265258.9185977361 6570396.386377473 1.69, 265260.1866594383 6570392.5147623345 1.71, 265261.14372306026 6570390.429255387 1.69, 265262.62757117965 6570387.613089469 1.71, 265263.4164363267 6570386.446897469 1.69)</t>
  </si>
  <si>
    <t>POLYGON Z ((265263.4164363267 6570386.446897469 1.69, 265264.0202421655 6570385.679150811 1.69, 265264.1833506002 6570385.594111482 1.69, 265264.43516922765 6570385.601527509 1.69, 265264.57917280565 6570385.63876378 1.69, 265264.7502992059 6570385.753920553 1.69, 265264.86253565777 6570385.88443702 1.69, 265264.890483321 6570386.082834844 1.69, 265264.7477579281 6570386.839115563 1.69, 265263.3017556333 6570391.299407089 1.6300000000000001, 265262.0258245294 6570394.749801059 1.61, 265261.65031110845 6570395.486902673 1.61, 265260.33653418534 6570397.293171028 1.6500000000000001, 265259.42194552347 6570398.179373943 1.69, 265259.17552173464 6570398.231747033 1.69, 265258.9581676383 6570398.160945376 1.69, 265258.74628268136 6570398.03942033 1.69, 265258.60145423916 6570397.881706749 1.69, 265258.5717082715 6570397.663379219 1.69, 265258.9185977361 6570396.386377473 1.69, 265260.1866594383 6570392.5147623345 1.71, 265261.14372306026 6570390.429255387 1.69, 265262.62757117965 6570387.613089469 1.71, 265263.4164363267 6570386.446897469 1.69))</t>
  </si>
  <si>
    <t>['FV1108 S1D1 m0-17']</t>
  </si>
  <si>
    <t>LINESTRING Z (265422.39780348894 6570753.557239032 1.9000000000000001, 265418.4058718253 6570753.405104145 2.02, 265417.0633168223 6570753.556386696 2, 265415.0764963905 6570754.026999365 2.04, 265413.7791217556 6570754.344986588 2.05, 265412.5568959698 6570754.716468624 2, 265409.7565674886 6570756.636785671 1.99, 265407.2494192187 6570759.022900406 2.04, 265405.6131040185 6570760.9285972575 2.0300000000000002, 265405.63903209334 6570761.438602155 2.06, 265405.7394317128 6570761.660599978 2.06, 265405.9349838188 6570761.8237819085 2.05, 265406.17863570154 6570761.852025967 2.04, 265420.65053236415 6570756.125935638 1.8800000000000001, 265423.72396321094 6570754.894239324 1.86, 265423.862645655 6570754.761173768 1.86, 265423.897183916 6570754.587275754 1.86, 265423.8573985384 6570754.480360104 1.86, 265422.39780348894 6570753.557239032 1.9000000000000001)</t>
  </si>
  <si>
    <t>POLYGON Z ((265422.39780348894 6570753.557239032 1.9000000000000001, 265418.4058718253 6570753.405104145 2.02, 265417.0633168223 6570753.556386696 2, 265415.0764963905 6570754.026999365 2.04, 265413.7791217556 6570754.344986588 2.05, 265412.5568959698 6570754.716468624 2, 265409.7565674886 6570756.636785671 1.99, 265407.2494192187 6570759.022900406 2.04, 265405.6131040185 6570760.9285972575 2.0300000000000002, 265405.63903209334 6570761.438602155 2.06, 265405.7394317128 6570761.660599978 2.06, 265405.9349838188 6570761.8237819085 2.05, 265406.17863570154 6570761.852025967 2.04, 265420.65053236415 6570756.125935638 1.8800000000000001, 265423.72396321094 6570754.894239324 1.86, 265423.862645655 6570754.761173768 1.86, 265423.897183916 6570754.587275754 1.86, 265423.8573985384 6570754.480360104 1.86, 265422.39780348894 6570753.557239032 1.9000000000000001))</t>
  </si>
  <si>
    <t>2021-10-25</t>
  </si>
  <si>
    <t>['FV152 S7D1 m6886 KD1 m0-7', 'FV152 S7D1 m6886 KD1 m54-94']</t>
  </si>
  <si>
    <t>LINESTRING Z (263579.25 6639281.04 59.01, 263580.21 6639281.03 59.04, 263581.23 6639281.11 59.06, 263582.26 6639281.35 59.08, 263583.21 6639281.66 59.11, 263584.16 6639282.11 59.13, 263584.99 6639282.64 59.14, 263585.79 6639283.32 59.15, 263586.52 6639284.06 59.16, 263587.11 6639284.84 59.15, 263587.66 6639285.74 59.14, 263588.02 6639286.53 59.15, 263588.25 6639287.2 59.12, 263588.44 6639287.87 59.14, 263588.56 6639288.74 59.1, 263588.62 6639289.74 59.08, 263588.52 6639290.82 59.06, 263588.35 6639291.76 59.03, 263588.01 6639292.74 59, 263587.58 6639293.73 58.96, 263587.08 6639294.57 58.94, 263586.46 6639295.36 58.9, 263585.69 6639296.12 58.87, 263584.93 6639296.75 58.84, 263584.04 6639297.26 58.8, 263583.13 6639297.71 58.78, 263582.13 6639298.05 58.74, 263581.1 6639298.24 58.71, 263580.11 6639298.33 58.67, 263579.06 6639298.29 58.65, 263578.08 6639298.1 58.63, 263577.1 6639297.83 58.62, 263576.16 6639297.42 58.6, 263575.24 6639296.93 58.59, 263574.45 6639296.31 58.57, 263573.69 6639295.63 58.57, 263573.03 6639294.81 58.56, 263572.51 6639294.02 58.58, 263572.01 6639293.06 58.57, 263571.67 6639292.16 58.59, 263571.43 6639291.08 58.6, 263571.33 6639290.08 58.62, 263571.35 6639289.03 58.64, 263571.46 6639288.09 58.65, 263571.72 6639287.03 58.7, 263572.08 6639286.12 58.72, 263572.55 6639285.22 58.75, 263573.09 6639284.42 58.78, 263573.76 6639283.67 58.81, 263574.53 6639282.95 58.85, 263575.35 6639282.34 58.9, 263576.28 6639281.86 58.9, 263577.22 6639281.5 58.95, 263578.21 6639281.19 58.98)</t>
  </si>
  <si>
    <t>POLYGON Z ((263579.25 6639281.04 59.01, 263580.21 6639281.03 59.04, 263581.23 6639281.11 59.06, 263582.26 6639281.35 59.08, 263583.21 6639281.66 59.11, 263584.16 6639282.11 59.13, 263584.99 6639282.64 59.14, 263585.79 6639283.32 59.15, 263586.52 6639284.06 59.16, 263587.11 6639284.84 59.15, 263587.66 6639285.74 59.14, 263588.02 6639286.53 59.15, 263588.25 6639287.2 59.12, 263588.44 6639287.87 59.14, 263588.56 6639288.74 59.1, 263588.62 6639289.74 59.08, 263588.52 6639290.82 59.06, 263588.35 6639291.76 59.03, 263588.01 6639292.74 59, 263587.58 6639293.73 58.96, 263587.08 6639294.57 58.94, 263586.46 6639295.36 58.9, 263585.69 6639296.12 58.87, 263584.93 6639296.75 58.84, 263584.04 6639297.26 58.8, 263583.13 6639297.71 58.78, 263582.13 6639298.05 58.74, 263581.1 6639298.24 58.71, 263580.11 6639298.33 58.67, 263579.06 6639298.29 58.65, 263578.08 6639298.1 58.63, 263577.1 6639297.83 58.62, 263576.16 6639297.42 58.6, 263575.24 6639296.93 58.59, 263574.45 6639296.31 58.57, 263573.69 6639295.63 58.57, 263573.03 6639294.81 58.56, 263572.51 6639294.02 58.58, 263572.01 6639293.06 58.57, 263571.67 6639292.16 58.59, 263571.43 6639291.08 58.6, 263571.33 6639290.08 58.62, 263571.35 6639289.03 58.64, 263571.46 6639288.09 58.65, 263571.72 6639287.03 58.7, 263572.08 6639286.12 58.72, 263572.55 6639285.22 58.75, 263573.09 6639284.42 58.78, 263573.76 6639283.67 58.81, 263574.53 6639282.95 58.85, 263575.35 6639282.34 58.9, 263576.28 6639281.86 58.9, 263577.22 6639281.5 58.95, 263578.21 6639281.19 58.98, 263579.25 6639281.04 59.01))</t>
  </si>
  <si>
    <t>['FV152 S7D1 m6886 KD1 m7-54']</t>
  </si>
  <si>
    <t>LINESTRING Z (263580.74 6639281.02 58.73, 263581.77 6639281.15 58.76, 263582.78 6639281.46 58.75, 263583.72 6639281.81 58.76, 263584.63 6639282.32 58.78, 263585.45 6639282.91 58.82, 263586.21 6639283.65 58.8, 263586.88 6639284.41 58.8, 263587.45 6639285.27 58.81, 263587.93 6639286.2 58.8, 263588.17 6639286.85 58.8, 263588.38 6639287.56 58.78, 263588.52 6639288.22 58.78, 263588.65 6639289.27 58.76, 263588.63 6639290.29 58.72, 263588.49 6639291.3 58.69, 263588.23 6639292.29 58.66, 263587.87 6639293.26 58.63, 263587.38 6639294.18 58.61, 263586.81 6639295 58.58, 263586.15 6639295.77 58.54, 263585.33 6639296.5 58.51, 263584.51 6639297.08 58.47, 263583.6 6639297.57 58.44, 263582.66 6639297.95 58.4, 263581.65 6639298.2 58.39, 263580.65 6639298.33 58.35, 263579.63 6639298.38 58.31, 263578.59 6639298.24 58.28, 263577.57 6639298.04 58.27, 263576.62 6639297.67 58.25, 263575.68 6639297.22 58.23, 263574.82 6639296.71 58.22, 263574.04 6639296.02 58.21, 263573.32 6639295.28 58.21, 263572.72 6639294.45 58.2, 263572.19 6639293.59 58.21, 263571.78 6639292.61 58.21, 263571.48 6639291.63 58.23, 263571.32 6639290.62 58.24, 263571.26 6639289.61 58.25, 263571.32 6639288.58 58.28, 263571.5 6639287.56 58.3, 263571.85 6639286.59 58.34, 263572.23 6639285.64 58.36, 263572.81 6639284.77 58.4, 263573.41 6639283.95 58.45, 263574.12 6639283.22 58.48, 263574.9 6639282.55 58.51, 263575.8 6639282.01 58.56, 263576.69 6639281.57 58.6, 263577.63 6639281.28 58.63, 263578.66 6639281.05 58.67, 263579.74 6639280.98 58.71)</t>
  </si>
  <si>
    <t>POLYGON Z ((263580.74 6639281.02 58.73, 263581.77 6639281.15 58.76, 263582.78 6639281.46 58.75, 263583.72 6639281.81 58.76, 263584.63 6639282.32 58.78, 263585.45 6639282.91 58.82, 263586.21 6639283.65 58.8, 263586.88 6639284.41 58.8, 263587.45 6639285.27 58.81, 263587.93 6639286.2 58.8, 263588.17 6639286.85 58.8, 263588.38 6639287.56 58.78, 263588.52 6639288.22 58.78, 263588.65 6639289.27 58.76, 263588.63 6639290.29 58.72, 263588.49 6639291.3 58.69, 263588.23 6639292.29 58.66, 263587.87 6639293.26 58.63, 263587.38 6639294.18 58.61, 263586.81 6639295 58.58, 263586.15 6639295.77 58.54, 263585.33 6639296.5 58.51, 263584.51 6639297.08 58.47, 263583.6 6639297.57 58.44, 263582.66 6639297.95 58.4, 263581.65 6639298.2 58.39, 263580.65 6639298.33 58.35, 263579.63 6639298.38 58.31, 263578.59 6639298.24 58.28, 263577.57 6639298.04 58.27, 263576.62 6639297.67 58.25, 263575.68 6639297.22 58.23, 263574.82 6639296.71 58.22, 263574.04 6639296.02 58.21, 263573.32 6639295.28 58.21, 263572.72 6639294.45 58.2, 263572.19 6639293.59 58.21, 263571.78 6639292.61 58.21, 263571.48 6639291.63 58.23, 263571.32 6639290.62 58.24, 263571.26 6639289.61 58.25, 263571.32 6639288.58 58.28, 263571.5 6639287.56 58.3, 263571.85 6639286.59 58.34, 263572.23 6639285.64 58.36, 263572.81 6639284.77 58.4, 263573.41 6639283.95 58.45, 263574.12 6639283.22 58.48, 263574.9 6639282.55 58.51, 263575.8 6639282.01 58.56, 263576.69 6639281.57 58.6, 263577.63 6639281.28 58.63, 263578.66 6639281.05 58.67, 263579.74 6639280.98 58.71, 263580.74 6639281.02 58.73))</t>
  </si>
  <si>
    <t>[25010]</t>
  </si>
  <si>
    <t>['KV25010 S1D1 m550-559']</t>
  </si>
  <si>
    <t>LINESTRING Z (263571.56 6639273.46 58.67, 263573.57 6639272.46 58.72, 263573.78 6639272.15 58.73, 263573.69 6639271.79 58.75, 263572.04 6639270.15 58.7, 263570.47 6639268.51 58.68, 263568.97 6639266.81 58.65, 263567.3 6639264.75 58.62, 263566.73 6639264.64 58.62, 263566.55 6639265.05 58.61, 263566.65 6639265.55 58.61, 263567.25 6639267.45 58.61, 263567.93 6639269.67 58.6, 263568.57 6639272.02 58.61, 263569.11 6639274.15 58.59, 263569.39 6639274.43 58.6, 263569.73 6639274.43 58.6)</t>
  </si>
  <si>
    <t>POLYGON Z ((263571.56 6639273.46 58.67, 263573.57 6639272.46 58.72, 263573.78 6639272.15 58.73, 263573.69 6639271.79 58.75, 263572.04 6639270.15 58.7, 263570.47 6639268.51 58.68, 263568.97 6639266.81 58.65, 263567.3 6639264.75 58.62, 263566.73 6639264.64 58.62, 263566.55 6639265.05 58.61, 263566.65 6639265.55 58.61, 263567.25 6639267.45 58.61, 263567.93 6639269.67 58.6, 263568.57 6639272.02 58.61, 263569.11 6639274.15 58.59, 263569.39 6639274.43 58.6, 263569.73 6639274.43 58.6, 263571.56 6639273.46 58.67))</t>
  </si>
  <si>
    <t>[1104]</t>
  </si>
  <si>
    <t>['FV1104 S2D1 m1888-1900']</t>
  </si>
  <si>
    <t>LINESTRING Z (265899.6474660472 6576390.647839114 16.51, 265897.6394942567 6576390.216317956 16.5, 265894.350978383 6576389.287601881 16.42, 265894.18545084767 6576388.900706624 16.43, 265894.1965214277 6576388.578235604 16.42, 265894.36432931916 6576388.211476049 16.42, 265894.59448726574 6576388.090237051 16.43, 265896.1932103019 6576388.217142587 16.490000000000002, 265899.91775170993 6576388.634332058 16.57, 265901.7321696447 6576388.591074406 16.67, 265905.0831665954 6576388.097665631 16.7, 265905.4789894895 6576388.142297786 16.7, 265905.79128953954 6576388.485804118 16.71, 265905.9346759049 6576389.517641318 16.68, 265905.8847146395 6576389.743163589 16.67, 265905.08642775204 6576390.136706135 16.66, 265903.7699731549 6576390.577029972 16.63, 265902.3857019246 6576390.82255674 16.580000000000002, 265901.0405275399 6576390.833496106 16.56, 265899.6474660472 6576390.647839114 16.51)</t>
  </si>
  <si>
    <t>POLYGON Z ((265899.6474660472 6576390.647839114 16.51, 265897.6394942567 6576390.216317956 16.5, 265894.350978383 6576389.287601881 16.42, 265894.18545084767 6576388.900706624 16.43, 265894.1965214277 6576388.578235604 16.42, 265894.36432931916 6576388.211476049 16.42, 265894.59448726574 6576388.090237051 16.43, 265896.1932103019 6576388.217142587 16.490000000000002, 265899.91775170993 6576388.634332058 16.57, 265901.7321696447 6576388.591074406 16.67, 265905.0831665954 6576388.097665631 16.7, 265905.4789894895 6576388.142297786 16.7, 265905.79128953954 6576388.485804118 16.71, 265905.9346759049 6576389.517641318 16.68, 265905.8847146395 6576389.743163589 16.67, 265905.08642775204 6576390.136706135 16.66, 265903.7699731549 6576390.577029972 16.63, 265902.3857019246 6576390.82255674 16.580000000000002, 265901.0405275399 6576390.833496106 16.56, 265899.6474660472 6576390.647839114 16.51))</t>
  </si>
  <si>
    <t>['FV1104 S2D1 m1916-1924']</t>
  </si>
  <si>
    <t>LINESTRING Z (265924.90794099984 6576406.168752346 17.05, 265925.5620167084 6576406.06951698 17.05, 265927.6051363804 6576405.332530444 17.02, 265929.62272252404 6576404.869090697 17.04, 265931.39105218544 6576404.649166018 17.1, 265932.9236887003 6576404.711715797 17.05, 265933.70446991676 6576404.7919148505 17.09, 265933.9201648041 6576404.621751692 17.1, 265934.1115693839 6576404.182539987 17.14, 265934.1126751548 6576403.860968715 17.13, 265933.97697319556 6576403.581886694 17.13, 265933.04409035406 6576403.374775953 17.14, 265929.79758361296 6576403.356452384 17.11, 265927.9514038265 6576403.492991678 17.13, 265925.85133192333 6576404.044246272 17.1, 265924.48775271827 6576404.5189626785 17.12, 265924.2584944874 6576404.650166448 17.1, 265924.11532054783 6576404.733414396 17.09, 265923.8504953465 6576405.249576601 17.05, 265923.88371336093 6576405.72878481 17.07, 265924.02938009775 6576406.006967208 17.05, 265924.34631577623 6576406.179273208 17.05, 265924.88801147655 6576406.17055163 17.05, 265924.90794099984 6576406.168752346 17.05)</t>
  </si>
  <si>
    <t>POLYGON Z ((265924.90794099984 6576406.168752346 17.05, 265925.5620167084 6576406.06951698 17.05, 265927.6051363804 6576405.332530444 17.02, 265929.62272252404 6576404.869090697 17.04, 265931.39105218544 6576404.649166018 17.1, 265932.9236887003 6576404.711715797 17.05, 265933.70446991676 6576404.7919148505 17.09, 265933.9201648041 6576404.621751692 17.1, 265934.1115693839 6576404.182539987 17.14, 265934.1126751548 6576403.860968715 17.13, 265933.97697319556 6576403.581886694 17.13, 265933.04409035406 6576403.374775953 17.14, 265929.79758361296 6576403.356452384 17.11, 265927.9514038265 6576403.492991678 17.13, 265925.85133192333 6576404.044246272 17.1, 265924.48775271827 6576404.5189626785 17.12, 265924.2584944874 6576404.650166448 17.1, 265924.11532054783 6576404.733414396 17.09, 265923.8504953465 6576405.249576601 17.05, 265923.88371336093 6576405.72878481 17.07, 265924.02938009775 6576406.006967208 17.05, 265924.34631577623 6576406.179273208 17.05, 265924.88801147655 6576406.17055163 17.05, 265924.90794099984 6576406.168752346 17.05))</t>
  </si>
  <si>
    <t>[1060]</t>
  </si>
  <si>
    <t>['FV1060 S1D1 m201-209']</t>
  </si>
  <si>
    <t>LINESTRING Z (252936.44611209197 6596607.0485085 21.01, 252936.56464838155 6596607.359299545 21.09, 252936.69253466916 6596612.994297117 20.990000000000002, 252936.7543783042 6596614.455604579 21.02, 252936.64014744668 6596614.636740265 21.04, 252936.31668648118 6596614.726280755 21.080000000000002, 252935.98606472972 6596614.625570839 21.07, 252935.79957104882 6596614.341021042 21.06, 252935.8003267964 6596612.683153392 21.04, 252935.6186535316 6596607.786471372 21.09, 252935.65791741956 6596607.109752992 21.1, 252935.91076722185 6596606.906032038 21.09, 252936.21970508984 6596606.878088783 21.080000000000002, 252936.44611209197 6596607.0485085 21.01)</t>
  </si>
  <si>
    <t>POLYGON Z ((252936.44611209197 6596607.0485085 21.01, 252936.56464838155 6596607.359299545 21.09, 252936.69253466916 6596612.994297117 20.990000000000002, 252936.7543783042 6596614.455604579 21.02, 252936.64014744668 6596614.636740265 21.04, 252936.31668648118 6596614.726280755 21.080000000000002, 252935.98606472972 6596614.625570839 21.07, 252935.79957104882 6596614.341021042 21.06, 252935.8003267964 6596612.683153392 21.04, 252935.6186535316 6596607.786471372 21.09, 252935.65791741956 6596607.109752992 21.1, 252935.91076722185 6596606.906032038 21.09, 252936.21970508984 6596606.878088783 21.080000000000002, 252936.44611209197 6596607.0485085 21.01))</t>
  </si>
  <si>
    <t>['FV1060 S1D1 m967-975']</t>
  </si>
  <si>
    <t>LINESTRING Z (253079.85380995742 6597340.4179718625 28.34, 253081.73013308604 6597344.1666805735 28.42, 253081.95103274984 6597344.498353164 28.44, 253082.1666230926 6597344.54918264 28.45, 253082.36774043422 6597344.551084967 28.45, 253082.61147473566 6597344.468754241 28.45, 253083.06453889378 6597344.256968552 28.44, 253083.14346262408 6597344.018742403 28.43, 253083.15077368534 6597343.877419391 28.42, 253083.1101584668 6597343.539486317 28.38, 253081.2727968095 6597339.777206097 28.42, 253080.692577707 6597338.694349413 28.42, 253080.3638580296 6597338.392524262 28.42, 253080.06854191286 6597338.348906414 28.43, 253079.73691901745 6597338.45928167 28.42, 253079.4786619952 6597338.60320963 28.43, 253079.36803817571 6597338.824208704 28.41, 253079.3208145089 6597339.079661937 28.41, 253079.41030715752 6597339.5136464145 28.43, 253079.85380995742 6597340.4179718625 28.34)</t>
  </si>
  <si>
    <t>POLYGON Z ((253079.85380995742 6597340.4179718625 28.34, 253081.73013308604 6597344.1666805735 28.42, 253081.95103274984 6597344.498353164 28.44, 253082.1666230926 6597344.54918264 28.45, 253082.36774043422 6597344.551084967 28.45, 253082.61147473566 6597344.468754241 28.45, 253083.06453889378 6597344.256968552 28.44, 253083.14346262408 6597344.018742403 28.43, 253083.15077368534 6597343.877419391 28.42, 253083.1101584668 6597343.539486317 28.38, 253081.2727968095 6597339.777206097 28.42, 253080.692577707 6597338.694349413 28.42, 253080.3638580296 6597338.392524262 28.42, 253080.06854191286 6597338.348906414 28.43, 253079.73691901745 6597338.45928167 28.42, 253079.4786619952 6597338.60320963 28.43, 253079.36803817571 6597338.824208704 28.41, 253079.3208145089 6597339.079661937 28.41, 253079.41030715752 6597339.5136464145 28.43, 253079.85380995742 6597340.4179718625 28.34))</t>
  </si>
  <si>
    <t>['FV1058 S1D1 m8-15']</t>
  </si>
  <si>
    <t>LINESTRING Z (256471.80315865678 6602242.950991551 28.76, 256466.67958312668 6602244.509788227 29.17, 256466.49199883727 6602244.657375501 29.17, 256466.39495999404 6602244.917332975 29.2, 256466.47454794095 6602245.241682399 29.23, 256466.70451893707 6602245.562469565 29.26, 256466.83402419306 6602245.661266975 29.25, 256467.22808639045 6602245.685887507 29.23, 256472.2455143543 6602244.508436901 28.86, 256472.52914538674 6602244.3119695345 28.84, 256472.75848525146 6602243.959662941 28.810000000000002, 256472.7731403744 6602243.566502608 28.8, 256472.6446272149 6602243.256627835 28.79, 256472.2896150887 6602242.997391728 28.77, 256472.14378639287 6602242.9402596615 28.740000000000002, 256471.80315865678 6602242.950991551 28.76)</t>
  </si>
  <si>
    <t>POLYGON Z ((256471.80315865678 6602242.950991551 28.76, 256466.67958312668 6602244.509788227 29.17, 256466.49199883727 6602244.657375501 29.17, 256466.39495999404 6602244.917332975 29.2, 256466.47454794095 6602245.241682399 29.23, 256466.70451893707 6602245.562469565 29.26, 256466.83402419306 6602245.661266975 29.25, 256467.22808639045 6602245.685887507 29.23, 256472.2455143543 6602244.508436901 28.86, 256472.52914538674 6602244.3119695345 28.84, 256472.75848525146 6602243.959662941 28.810000000000002, 256472.7731403744 6602243.566502608 28.8, 256472.6446272149 6602243.256627835 28.79, 256472.2896150887 6602242.997391728 28.77, 256472.14378639287 6602242.9402596615 28.740000000000002, 256471.80315865678 6602242.950991551 28.76))</t>
  </si>
  <si>
    <t>['FV1058 S1D1 m296-359']</t>
  </si>
  <si>
    <t>LINESTRING Z (256153.84167735395 6602331.847303087 28.76, 256156.2058306887 6602330.327234462 28.740000000000002, 256158.4105369752 6602328.82159555 28.82, 256161.1253744148 6602327.068849698 28.88, 256164.46086465675 6602325.069041998 28.97, 256168.26482053235 6602322.805803983 29.060000000000002, 256172.57710376155 6602320.275528289 29.150000000000002, 256177.22014013943 6602317.514379192 29.18, 256181.76523560594 6602315.003223021 29.29, 256187.55975310708 6602312.087632329 29.400000000000002, 256194.67989870554 6602308.499487427 29.55, 256199.93889762773 6602305.883536912 29.67, 256205.54849029632 6602303.255952699 29.88, 256206.79344810118 6602302.691169346 29.96, 256207.1884580902 6602302.615233567 29.95, 256207.40765258195 6602302.705914478 29.95, 256207.59690569554 6602302.909822575 29.92, 256207.65115197765 6602303.176183763 29.92, 256207.58491119219 6602303.443401726 29.91, 256207.49968646155 6602303.611867195 29.91, 256207.30664565065 6602303.810183893 29.92, 256201.1556731794 6602307.782831434 29.71, 256197.6587527544 6602310.21922339 29.580000000000002, 256195.82195637716 6602311.460484237 29.55, 256194.4255780592 6602312.350429574 29.5, 256193.07280407677 6602312.94506433 29.45, 256190.03591644348 6602313.581590432 29.45, 256185.59823119917 6602314.837191506 29.43, 256176.8046134033 6602319.028900351 29.19, 256171.03525730286 6602322.4445672175 29.05, 256166.30613926027 6602325.253695069 28.93, 256161.89596017392 6602327.923442158 28.82, 256156.84785774845 6602330.982473113 28.69, 256154.66853850702 6602332.435579329 28.63, 256154.3776920203 6602332.552323891 28.63, 256154.04522511648 6602332.542223309 28.64, 256153.79523233348 6602332.444282531 28.67, 256153.71555386874 6602332.340975679 28.67, 256153.66036059835 6602332.1751706265 28.67, 256153.68940011013 6602332.051977945 28.67, 256153.75104150004 6602331.955976015 28.68, 256153.84167735395 6602331.847303087 28.76)</t>
  </si>
  <si>
    <t>POLYGON Z ((256153.84167735395 6602331.847303087 28.76, 256156.2058306887 6602330.327234462 28.740000000000002, 256158.4105369752 6602328.82159555 28.82, 256161.1253744148 6602327.068849698 28.88, 256164.46086465675 6602325.069041998 28.97, 256168.26482053235 6602322.805803983 29.060000000000002, 256172.57710376155 6602320.275528289 29.150000000000002, 256177.22014013943 6602317.514379192 29.18, 256181.76523560594 6602315.003223021 29.29, 256187.55975310708 6602312.087632329 29.400000000000002, 256194.67989870554 6602308.499487427 29.55, 256199.93889762773 6602305.883536912 29.67, 256205.54849029632 6602303.255952699 29.88, 256206.79344810118 6602302.691169346 29.96, 256207.1884580902 6602302.615233567 29.95, 256207.40765258195 6602302.705914478 29.95, 256207.59690569554 6602302.909822575 29.92, 256207.65115197765 6602303.176183763 29.92, 256207.58491119219 6602303.443401726 29.91, 256207.49968646155 6602303.611867195 29.91, 256207.30664565065 6602303.810183893 29.92, 256201.1556731794 6602307.782831434 29.71, 256197.6587527544 6602310.21922339 29.580000000000002, 256195.82195637716 6602311.460484237 29.55, 256194.4255780592 6602312.350429574 29.5, 256193.07280407677 6602312.94506433 29.45, 256190.03591644348 6602313.581590432 29.45, 256185.59823119917 6602314.837191506 29.43, 256176.8046134033 6602319.028900351 29.19, 256171.03525730286 6602322.4445672175 29.05, 256166.30613926027 6602325.253695069 28.93, 256161.89596017392 6602327.923442158 28.82, 256156.84785774845 6602330.982473113 28.69, 256154.66853850702 6602332.435579329 28.63, 256154.3776920203 6602332.552323891 28.63, 256154.04522511648 6602332.542223309 28.64, 256153.79523233348 6602332.444282531 28.67, 256153.71555386874 6602332.340975679 28.67, 256153.66036059835 6602332.1751706265 28.67, 256153.68940011013 6602332.051977945 28.67, 256153.75104150004 6602331.955976015 28.68, 256153.84167735395 6602331.847303087 28.76))</t>
  </si>
  <si>
    <t>['FV1058 S1D1 m375-406']</t>
  </si>
  <si>
    <t>LINESTRING Z (256140.46057848085 6602346.963393716 27.89, 256138.21731866713 6602349.708310168 27.57, 256137.14880755616 6602350.779573099 27.46, 256134.28133243066 6602353.62116836 27.25, 256129.94754035602 6602357.801109904 26.85, 256125.28367169815 6602362.774499542 26.34, 256123.34952070384 6602365.049372229 26.13, 256123.06593404157 6602365.135318719 26.12, 256122.6827379823 6602365.119762065 26.07, 256122.22536458506 6602364.839647771 26.080000000000002, 256122.05423840313 6602364.614005024 26.080000000000002, 256122.05437346024 6602364.282439884 26.14, 256122.81769839226 6602362.947430877 26.27, 256124.06414393493 6602360.955829719 26.400000000000002, 256127.3117480657 6602356.763668451 26.86, 256130.45947269205 6602353.133134491 27.2, 256132.69087336393 6602350.590232184 27.36, 256135.8891469471 6602347.407241514 27.67, 256138.14850513518 6602345.173268078 27.85, 256139.91847474512 6602343.415606953 27.96, 256141.14372737223 6602342.300018119 28.04, 256141.64574191128 6602341.963222062 28.05, 256142.01356133755 6602341.919888002 28.07, 256142.37587955676 6602342.037804691 28.080000000000002, 256142.72092742013 6602342.2979431 28.080000000000002, 256142.87663192418 6602342.575216749 28.07, 256142.9616314561 6602342.95935963 28.07, 256142.95428150406 6602343.211201195 28.060000000000002, 256142.85092960985 6602343.40140137 28.04, 256140.46057848085 6602346.963393716 27.89)</t>
  </si>
  <si>
    <t>POLYGON Z ((256140.46057848085 6602346.963393716 27.89, 256138.21731866713 6602349.708310168 27.57, 256137.14880755616 6602350.779573099 27.46, 256134.28133243066 6602353.62116836 27.25, 256129.94754035602 6602357.801109904 26.85, 256125.28367169815 6602362.774499542 26.34, 256123.34952070384 6602365.049372229 26.13, 256123.06593404157 6602365.135318719 26.12, 256122.6827379823 6602365.119762065 26.07, 256122.22536458506 6602364.839647771 26.080000000000002, 256122.05423840313 6602364.614005024 26.080000000000002, 256122.05437346024 6602364.282439884 26.14, 256122.81769839226 6602362.947430877 26.27, 256124.06414393493 6602360.955829719 26.400000000000002, 256127.3117480657 6602356.763668451 26.86, 256130.45947269205 6602353.133134491 27.2, 256132.69087336393 6602350.590232184 27.36, 256135.8891469471 6602347.407241514 27.67, 256138.14850513518 6602345.173268078 27.85, 256139.91847474512 6602343.415606953 27.96, 256141.14372737223 6602342.300018119 28.04, 256141.64574191128 6602341.963222062 28.05, 256142.01356133755 6602341.919888002 28.07, 256142.37587955676 6602342.037804691 28.080000000000002, 256142.72092742013 6602342.2979431 28.080000000000002, 256142.87663192418 6602342.575216749 28.07, 256142.9616314561 6602342.95935963 28.07, 256142.95428150406 6602343.211201195 28.060000000000002, 256142.85092960985 6602343.40140137 28.04, 256140.46057848085 6602346.963393716 27.89))</t>
  </si>
  <si>
    <t>[113]</t>
  </si>
  <si>
    <t>['FV113 S1D1 m2489-2501']</t>
  </si>
  <si>
    <t>LINESTRING Z (271924.98044868174 6572702.368488665 15.1, 271925.3825450571 6572702.482880118 15.13, 271926.50581062806 6572702.351366304 15.15, 271927.5649379569 6572701.95441418 15.19, 271930.08108033414 6572700.783054567 15.22, 271932.8711145434 6572699.084703491 15.32, 271934.49324170814 6572697.913667492 15.34, 271935.09048697643 6572697.407719775 15.38, 271935.30265063664 6572697.0872082375 15.41, 271935.398840165 6572696.817345412 15.4, 271935.4443090047 6572696.542014809 15.41, 271935.42272580136 6572696.302872145 15.450000000000001, 271935.32232767664 6572696.080888157 15.450000000000001, 271935.04167325166 6572695.865127293 15.42, 271934.6812326274 6572695.767067187 15.42, 271933.5044765616 6572695.973726676 15.36, 271930.2428839279 6572697.121955866 15.31, 271929.0813439492 6572697.608514471 15.26, 271927.7320653479 6572698.463607431 15.19, 271926.0010863846 6572699.875512816 15.19, 271925.06663829065 6572700.763484452 15.18, 271924.71400344756 6572701.197128322 15.120000000000001, 271924.59234561515 6572701.630016833 15.1, 271924.6808369361 6572702.0539843105 15.09, 271924.98044868174 6572702.368488665 15.1)</t>
  </si>
  <si>
    <t>POLYGON Z ((271924.98044868174 6572702.368488665 15.1, 271925.3825450571 6572702.482880118 15.13, 271926.50581062806 6572702.351366304 15.15, 271927.5649379569 6572701.95441418 15.19, 271930.08108033414 6572700.783054567 15.22, 271932.8711145434 6572699.084703491 15.32, 271934.49324170814 6572697.913667492 15.34, 271935.09048697643 6572697.407719775 15.38, 271935.30265063664 6572697.0872082375 15.41, 271935.398840165 6572696.817345412 15.4, 271935.4443090047 6572696.542014809 15.41, 271935.42272580136 6572696.302872145 15.450000000000001, 271935.32232767664 6572696.080888157 15.450000000000001, 271935.04167325166 6572695.865127293 15.42, 271934.6812326274 6572695.767067187 15.42, 271933.5044765616 6572695.973726676 15.36, 271930.2428839279 6572697.121955866 15.31, 271929.0813439492 6572697.608514471 15.26, 271927.7320653479 6572698.463607431 15.19, 271926.0010863846 6572699.875512816 15.19, 271925.06663829065 6572700.763484452 15.18, 271924.71400344756 6572701.197128322 15.120000000000001, 271924.59234561515 6572701.630016833 15.1, 271924.6808369361 6572702.0539843105 15.09, 271924.98044868174 6572702.368488665 15.1))</t>
  </si>
  <si>
    <t>['FV130 S1D1 m2009-2018']</t>
  </si>
  <si>
    <t>LINESTRING Z (272143.88302800513 6570942.655660931 22.94, 272145.1114201776 6570943.80048951 22.96, 272147.5147865659 6570946.054785283 22.92, 272149.15052023943 6570947.594808697 22.93, 272149.48009307834 6570947.796113143 22.89, 272149.7853152057 6570947.838888444 22.91, 272150.14133141714 6570947.776626145 22.92, 272150.41957896366 6570947.520473388 22.900000000000002, 272150.47501599183 6570947.244244916 22.900000000000002, 272150.5023585198 6570946.990642439 22.89, 272150.4672179797 6570946.712542072 22.92, 272146.02714415325 6570942.482271737 22.92, 272143.83827517706 6570940.489891514 22.94, 272143.5194921605 6570940.408158268 22.91, 272143.2096270673 6570940.536573827 22.900000000000002, 272142.9150475586 6570940.834381961 22.91, 272142.7970538443 6570941.196618667 22.91, 272142.8176607478 6570941.536302973 22.91, 272142.9524439699 6570941.805411837 22.88, 272143.88302800513 6570942.655660931 22.94)</t>
  </si>
  <si>
    <t>POLYGON Z ((272143.88302800513 6570942.655660931 22.94, 272145.1114201776 6570943.80048951 22.96, 272147.5147865659 6570946.054785283 22.92, 272149.15052023943 6570947.594808697 22.93, 272149.48009307834 6570947.796113143 22.89, 272149.7853152057 6570947.838888444 22.91, 272150.14133141714 6570947.776626145 22.92, 272150.41957896366 6570947.520473388 22.900000000000002, 272150.47501599183 6570947.244244916 22.900000000000002, 272150.5023585198 6570946.990642439 22.89, 272150.4672179797 6570946.712542072 22.92, 272146.02714415325 6570942.482271737 22.92, 272143.83827517706 6570940.489891514 22.94, 272143.5194921605 6570940.408158268 22.91, 272143.2096270673 6570940.536573827 22.900000000000002, 272142.9150475586 6570940.834381961 22.91, 272142.7970538443 6570941.196618667 22.91, 272142.8176607478 6570941.536302973 22.91, 272142.9524439699 6570941.805411837 22.88, 272143.88302800513 6570942.655660931 22.94))</t>
  </si>
  <si>
    <t>2024-06-19</t>
  </si>
  <si>
    <t>2025-11-22T09:11:08Z</t>
  </si>
  <si>
    <t>[18317]</t>
  </si>
  <si>
    <t>['PV18317 S7D1 m20-31']</t>
  </si>
  <si>
    <t>LINESTRING Z (258980.69312713554 6652360.129149579 66.47, 258981.60894880368 6652360.594254296 66.45, 258982.40976256924 6652361.100374709 66.42, 258983.57421418984 6652361.940135128 66.39, 258983.92814407116 6652362.296745651 66.37, 258984.52512385228 6652363.02837597 66.34, 258985.11870181115 6652363.793733523 66.34, 258985.37948587677 6652364.011238522 66.27, 258985.7618511633 6652364.030942174 66.28, 258985.8989880089 6652363.642263268 66.29, 258985.86481757616 6652363.376454632 66.29, 258985.66109701426 6652362.831341418 66.31, 258985.20874619816 6652361.9115728 66.34, 258984.63603676637 6652361.122515752 66.37, 258983.915563816 6652360.387781606 66.4, 258983.14727614558 6652359.779021766 66.42, 258981.41634515868 6652358.674709775 66.47, 258980.69312713554 6652360.129149579 66.47)</t>
  </si>
  <si>
    <t>POLYGON Z ((258980.69312713554 6652360.129149579 66.47, 258981.60894880368 6652360.594254296 66.45, 258982.40976256924 6652361.100374709 66.42, 258983.57421418984 6652361.940135128 66.39, 258983.92814407116 6652362.296745651 66.37, 258984.52512385228 6652363.02837597 66.34, 258985.11870181115 6652363.793733523 66.34, 258985.37948587677 6652364.011238522 66.27, 258985.7618511633 6652364.030942174 66.28, 258985.8989880089 6652363.642263268 66.29, 258985.86481757616 6652363.376454632 66.29, 258985.66109701426 6652362.831341418 66.31, 258985.20874619816 6652361.9115728 66.34, 258984.63603676637 6652361.122515752 66.37, 258983.915563816 6652360.387781606 66.4, 258983.14727614558 6652359.779021766 66.42, 258981.41634515868 6652358.674709775 66.47, 258980.69312713554 6652360.129149579 66.47))</t>
  </si>
  <si>
    <t>['PV18317 S7D1 m9-20']</t>
  </si>
  <si>
    <t>LINESTRING Z (258980.73876275995 6652359.969812644 66.47, 258981.3862648924 6652358.643169134 66.48, 258980.47674930329 6652358.188820953 66.59, 258977.10779941478 6652356.029973962 66.67, 258974.38876356118 6652354.297756572 66.74, 258972.4923668154 6652353.148412528 66.78, 258971.87516726187 6652352.96535295 66.78, 258971.49058512022 6652353.16916219 66.78, 258971.27119698652 6652353.585549965 66.76, 258971.20075832153 6652354.137398744 66.77, 258971.572580336 6652354.939573362 66.77, 258972.1361185341 6652355.416514141 66.77, 258973.44883412975 6652356.123737368 66.73, 258976.0546178043 6652357.494794832 66.68, 258979.64123634587 6652359.382554245 66.6, 258980.73876275995 6652359.969812644 66.47)</t>
  </si>
  <si>
    <t>POLYGON Z ((258980.73876275995 6652359.969812644 66.47, 258981.3862648924 6652358.643169134 66.48, 258980.47674930329 6652358.188820953 66.59, 258977.10779941478 6652356.029973962 66.67, 258974.38876356118 6652354.297756572 66.74, 258972.4923668154 6652353.148412528 66.78, 258971.87516726187 6652352.96535295 66.78, 258971.49058512022 6652353.16916219 66.78, 258971.27119698652 6652353.585549965 66.76, 258971.20075832153 6652354.137398744 66.77, 258971.572580336 6652354.939573362 66.77, 258972.1361185341 6652355.416514141 66.77, 258973.44883412975 6652356.123737368 66.73, 258976.0546178043 6652357.494794832 66.68, 258979.64123634587 6652359.382554245 66.6, 258980.73876275995 6652359.969812644 66.47))</t>
  </si>
  <si>
    <t>2022-02-09</t>
  </si>
  <si>
    <t>2025-11-22T09:11:09Z</t>
  </si>
  <si>
    <t>['RV13 S33D1 m4450-4533']</t>
  </si>
  <si>
    <t>LINESTRING (47204.99502612336 6739538.560520121, 47211.57835585065 6739520.057691227, 47217.31739858008 6739499.58274769, 47221.16269713355 6739479.421498918, 47224.183671414794 6739458.621969499)</t>
  </si>
  <si>
    <t>POINT (47216.27011009086 6739499.003743258)</t>
  </si>
  <si>
    <t>2022-03-13</t>
  </si>
  <si>
    <t>[9650]</t>
  </si>
  <si>
    <t>['KV9650 S1D1 m89-125']</t>
  </si>
  <si>
    <t>LINESTRING (103837.59656292945 6981046.4711545855, 103851.94018799264 6981045.560623106, 103873.57008207188 6981045.424151195)</t>
  </si>
  <si>
    <t>2022-09-01</t>
  </si>
  <si>
    <t>2025-11-22T09:11:15Z</t>
  </si>
  <si>
    <t>[356]</t>
  </si>
  <si>
    <t>['FV356 S1D1 m2592-2604']</t>
  </si>
  <si>
    <t>LINESTRING (193305.44734610163 6568474.426794068, 193303.40645357792 6568475.399056928, 193301.3387186787 6568476.277324763, 193299.5075037317 6568476.982671299, 193297.69235035882 6568477.648259974, 193296.26376910525 6568478.090366689, 193294.9821600545 6568478.443698005, 193294.1331077753 6568478.665999556)</t>
  </si>
  <si>
    <t>POINT (193299.86341624663 6568476.744304717)</t>
  </si>
  <si>
    <t>2022-09-14</t>
  </si>
  <si>
    <t>['KV18425 S1D1 m2201-2210']</t>
  </si>
  <si>
    <t>LINESTRING Z (256673.54495224616 6653446.3705393635 150.79, 256673.57192794004 6653446.6193625815 150.79, 256673.56080539466 6653446.750463809 150.79, 256673.53244189775 6653446.922845168 150.78, 256673.45349797021 6653447.088645521 150.78, 256673.35391397626 6653447.245825395 150.78, 256673.26159081253 6653447.362404963 150.77, 256673.1472679366 6653447.4504038105 150.77, 256673.02160529324 6653447.519122239 150.77, 256672.88460288238 6653447.568560247 150.77, 256672.7462408252 6653447.598038013 150.78, 256672.6065191221 6653447.607555536 150.78, 256672.45545765126 6653447.597792637 150.78, 256672.3123368332 6653447.557409549 150.78, 256672.1365563579 6653447.479145443 150.79, 256671.9580565908 6653447.360960852 150.79, 256671.86007762008 6653447.247317798 150.79, 256671.7713989484 6653447.123014799 150.79, 256671.7240004091 6653447.01595275 150.79, 256671.68386270013 6653446.868290395 150.79, 256671.2920031366 6653445.531388527 150.84, 256671.12011253892 6653444.9214586755 150.76, 256670.30237414988 6653442.18981365 150.85, 256670.12118326442 6653441.590543734 150.97, 256669.8624362634 6653440.735869585 151.01, 256669.8202590922 6653440.5582668595 151.02, 256669.8152831182 6653440.338024356 151.03, 256669.85362674456 6653440.164963173 151.04, 256669.92123091422 6653439.9798824 151.04, 256670.01083479513 6653439.823382346 151.05, 256670.1151775557 6653439.736063325 151.05, 256670.28598205635 6653439.594084934 151.05, 256670.48014591314 6653439.500647512 151.04, 256670.67838870434 6653439.467090818 151.04, 256670.83943029816 6653439.476173903 151.04, 256671.03313154686 6653439.523138003 151.04, 256671.22819244058 6653439.590062353 151.03, 256671.38605213666 6653439.699626476 151.03, 256671.47133169073 6653439.774028871 151.02, 256671.59470947974 6653439.9661532575 151.01, 256671.67884660454 6653440.170977058 151, 256671.9475737214 6653441.024971375 150.97, 256672.11674501325 6653441.594980742 150.84, 256672.94718279585 6653444.365866404 150.75, 256673.12701404272 6653444.945176059 150.83, 256673.54495224616 6653446.3705393635 150.79)</t>
  </si>
  <si>
    <t>POLYGON Z ((256673.54495224616 6653446.3705393635 150.79, 256673.57192794004 6653446.6193625815 150.79, 256673.56080539466 6653446.750463809 150.79, 256673.53244189775 6653446.922845168 150.78, 256673.45349797021 6653447.088645521 150.78, 256673.35391397626 6653447.245825395 150.78, 256673.26159081253 6653447.362404963 150.77, 256673.1472679366 6653447.4504038105 150.77, 256673.02160529324 6653447.519122239 150.77, 256672.88460288238 6653447.568560247 150.77, 256672.7462408252 6653447.598038013 150.78, 256672.6065191221 6653447.607555536 150.78, 256672.45545765126 6653447.597792637 150.78, 256672.3123368332 6653447.557409549 150.78, 256672.1365563579 6653447.479145443 150.79, 256671.9580565908 6653447.360960852 150.79, 256671.86007762008 6653447.247317798 150.79, 256671.7713989484 6653447.123014799 150.79, 256671.7240004091 6653447.01595275 150.79, 256671.68386270013 6653446.868290395 150.79, 256671.2920031366 6653445.531388527 150.84, 256671.12011253892 6653444.9214586755 150.76, 256670.30237414988 6653442.18981365 150.85, 256670.12118326442 6653441.590543734 150.97, 256669.8624362634 6653440.735869585 151.01, 256669.8202590922 6653440.5582668595 151.02, 256669.8152831182 6653440.338024356 151.03, 256669.85362674456 6653440.164963173 151.04, 256669.92123091422 6653439.9798824 151.04, 256670.01083479513 6653439.823382346 151.05, 256670.1151775557 6653439.736063325 151.05, 256670.28598205635 6653439.594084934 151.05, 256670.48014591314 6653439.500647512 151.04, 256670.67838870434 6653439.467090818 151.04, 256670.83943029816 6653439.476173903 151.04, 256671.03313154686 6653439.523138003 151.04, 256671.22819244058 6653439.590062353 151.03, 256671.38605213666 6653439.699626476 151.03, 256671.47133169073 6653439.774028871 151.02, 256671.59470947974 6653439.9661532575 151.01, 256671.67884660454 6653440.170977058 151, 256671.9475737214 6653441.024971375 150.97, 256672.11674501325 6653441.594980742 150.84, 256672.94718279585 6653444.365866404 150.75, 256673.12701404272 6653444.945176059 150.83, 256673.54495224616 6653446.3705393635 150.79))</t>
  </si>
  <si>
    <t>2022-10-14</t>
  </si>
  <si>
    <t>['RV70 S19D1 m3418-3438']</t>
  </si>
  <si>
    <t>LINESTRING Z (133625.48 7018672.63 16.72, 133633.95 7018674.6 16.66, 133640.65 7018676.22 16.61, 133644.65 7018677.32 16.56, 133644.79 7018677.36 16.56)</t>
  </si>
  <si>
    <t>POINT (133635.15321987783 7018674.922831057)</t>
  </si>
  <si>
    <t>['RV70 S19D1 m3416-3449']</t>
  </si>
  <si>
    <t>LINESTRING Z (133625.13 7018674.83 16.73, 133625.48 7018672.63 16.72, 133633.95 7018674.6 16.66, 133640.65 7018676.22 16.61, 133644.65 7018677.32 16.56, 133647.65 7018678.15 16.52, 133652.27 7018679.5 16.52, 133654.95 7018680.26 16.43)</t>
  </si>
  <si>
    <t>POINT (133639.24114964434 7018676.095992339)</t>
  </si>
  <si>
    <t>['EV134 S3D1 m8798-8801']</t>
  </si>
  <si>
    <t>LINESTRING Z (-32322.339001517743 6633604.918069097 3.161, -32322.075505056186 6633605.180173338 3.1630000000000003, -32321.704098617192 6633605.1887522545 3.169, -32321.453986366512 6633604.970658739 3.174, -32320.543331367546 6633603.175839924 3.193, -32318.571605645004 6633600.05597295 3.219, -32318.455286585144 6633599.329335487 3.218, -32318.863126080018 6633598.697623306 3.206, -32319.591288680444 6633598.420300301 3.189, -32320.347120614024 6633598.692366509 3.1830000000000003, -32320.564917921205 6633599.022340015 3.184, -32322.302898469847 6633602.10990615 3.1670000000000003, -32322.5767687083 6633602.820633917 3.164, -32322.697161266115 6633603.435848706 3.161, -32322.679188822396 6633604.288271709 3.1590000000000003, -32322.339001517743 6633604.918069097 3.161)</t>
  </si>
  <si>
    <t>POLYGON Z ((-32322.339001517743 6633604.918069097 3.161, -32322.075505056186 6633605.180173338 3.1630000000000003, -32321.704098617192 6633605.1887522545 3.169, -32321.453986366512 6633604.970658739 3.174, -32320.543331367546 6633603.175839924 3.193, -32318.571605645004 6633600.05597295 3.219, -32318.455286585144 6633599.329335487 3.218, -32318.863126080018 6633598.697623306 3.206, -32319.591288680444 6633598.420300301 3.189, -32320.347120614024 6633598.692366509 3.1830000000000003, -32320.564917921205 6633599.022340015 3.184, -32322.302898469847 6633602.10990615 3.1670000000000003, -32322.5767687083 6633602.820633917 3.164, -32322.697161266115 6633603.435848706 3.161, -32322.679188822396 6633604.288271709 3.1590000000000003, -32322.339001517743 6633604.918069097 3.161))</t>
  </si>
  <si>
    <t>[496]</t>
  </si>
  <si>
    <t>['FV496 S1D1 m4945-4946']</t>
  </si>
  <si>
    <t>LINESTRING Z (92614.28775681258 6465730.823483318 14.362, 92614.66740568221 6465728.698223914 14.348, 92615.35391224927 6465726.788037695 14.357, 92616.19914895546 6465725.209150822 14.366, 92617.17205270013 6465723.718028479 14.397, 92617.53886580578 6465723.422217756 14.418, 92617.93688371842 6465723.313849956 14.413, 92618.43623822392 6465723.497842393 14.416, 92618.69214850664 6465723.908836586 14.415, 92618.66038691887 6465724.405595478 14.418, 92618.17081458616 6465726.385181319 14.431, 92617.55472207861 6465728.2881002 14.426, 92616.70061844616 6465730.125857961 14.43, 92615.53264591878 6465731.738051058 14.414, 92615.05920730776 6465731.977572923 14.421, 92614.61495554878 6465731.810325404 14.453, 92614.32484090677 6465731.470154244 14.404, 92614.30178318842 6465730.8444667645 14.402)</t>
  </si>
  <si>
    <t>POLYGON Z ((92614.28775681258 6465730.823483318 14.362, 92614.66740568221 6465728.698223914 14.348, 92615.35391224927 6465726.788037695 14.357, 92616.19914895546 6465725.209150822 14.366, 92617.17205270013 6465723.718028479 14.397, 92617.53886580578 6465723.422217756 14.418, 92617.93688371842 6465723.313849956 14.413, 92618.43623822392 6465723.497842393 14.416, 92618.69214850664 6465723.908836586 14.415, 92618.66038691887 6465724.405595478 14.418, 92618.17081458616 6465726.385181319 14.431, 92617.55472207861 6465728.2881002 14.426, 92616.70061844616 6465730.125857961 14.43, 92615.53264591878 6465731.738051058 14.414, 92615.05920730776 6465731.977572923 14.421, 92614.61495554878 6465731.810325404 14.453, 92614.32484090677 6465731.470154244 14.404, 92614.30178318842 6465730.8444667645 14.402, 92614.28775681258 6465730.823483318 14.362))</t>
  </si>
  <si>
    <t>['FV496 S1D1 m5158-5161']</t>
  </si>
  <si>
    <t>LINESTRING Z (92820.71251566417 6465748.005989576 15.269, 92820.63710016565 6465747.677306519 15.268, 92820.36689886695 6465747.357499887 15.269, 92819.9797611725 6465747.341355506 15.26, 92818.97720367683 6465747.568137287 15.229, 92818.64558855921 6465747.860297211 15.247, 92818.60836922657 6465748.189382999 15.253, 92818.6332630479 6465748.545708097 15.256, 92818.9236465923 6465748.773709635 15.233, 92819.26011778542 6465748.873587887 15.245, 92820.40107091097 6465748.66617705 15.255, 92820.65854799148 6465748.460172296 15.284, 92820.73240874044 6465748.026368443 15.282)</t>
  </si>
  <si>
    <t>POLYGON Z ((92820.71251566417 6465748.005989576 15.269, 92820.63710016565 6465747.677306519 15.268, 92820.36689886695 6465747.357499887 15.269, 92819.9797611725 6465747.341355506 15.26, 92818.97720367683 6465747.568137287 15.229, 92818.64558855921 6465747.860297211 15.247, 92818.60836922657 6465748.189382999 15.253, 92818.6332630479 6465748.545708097 15.256, 92818.9236465923 6465748.773709635 15.233, 92819.26011778542 6465748.873587887 15.245, 92820.40107091097 6465748.66617705 15.255, 92820.65854799148 6465748.460172296 15.284, 92820.73240874044 6465748.026368443 15.282, 92820.71251566417 6465748.005989576 15.269))</t>
  </si>
  <si>
    <t>['FV496 S1D1 m5164-5168']</t>
  </si>
  <si>
    <t>LINESTRING Z (92824.02991046803 6465746.878729471 15.415, 92824.16786040139 6465747.526208883 15.411, 92824.38653941988 6465747.806468514 15.403, 92824.75707329909 6465747.891618344 15.389, 92827.41910531442 6465747.48245321 15.453, 92827.82900384365 6465747.316804227 15.431, 92828.07846879127 6465747.033118655 15.444, 92828.2330471832 6465746.691927913 15.383, 92828.27527993737 6465746.238955838 15.402, 92828.11900359194 6465745.87375163 15.4, 92827.82990980987 6465745.600754849 15.418, 92827.45708653645 6465745.49341006 15.376, 92827.02643942443 6465745.515399016 15.351, 92824.36726157676 6465746.182224019 15.302, 92824.04036924767 6465746.462680884 15.343, 92824.0359229914 6465746.822032296 15.325)</t>
  </si>
  <si>
    <t>POLYGON Z ((92824.02991046803 6465746.878729471 15.415, 92824.16786040139 6465747.526208883 15.411, 92824.38653941988 6465747.806468514 15.403, 92824.75707329909 6465747.891618344 15.389, 92827.41910531442 6465747.48245321 15.453, 92827.82900384365 6465747.316804227 15.431, 92828.07846879127 6465747.033118655 15.444, 92828.2330471832 6465746.691927913 15.383, 92828.27527993737 6465746.238955838 15.402, 92828.11900359194 6465745.87375163 15.4, 92827.82990980987 6465745.600754849 15.418, 92827.45708653645 6465745.49341006 15.376, 92827.02643942443 6465745.515399016 15.351, 92824.36726157676 6465746.182224019 15.302, 92824.04036924767 6465746.462680884 15.343, 92824.0359229914 6465746.822032296 15.325, 92824.02991046803 6465746.878729471 15.415))</t>
  </si>
  <si>
    <t>['FV496 S1D1 m4998-5012']</t>
  </si>
  <si>
    <t>LINESTRING Z (92672.46622896416 6465765.890926038 14.353, 92660.22628292034 6465760.951788004 14.413, 92659.64950740617 6465760.76456484 14.377, 92659.26566123177 6465760.837820123 14.36, 92658.90843751235 6465761.054129349 14.353, 92658.64581858495 6465761.440123837 14.336, 92658.51200900815 6465761.924981215 14.316, 92658.73113407393 6465762.496789495 14.346, 92659.22418689792 6465762.849668341 14.365, 92672.37306043261 6465766.079987143 14.506)</t>
  </si>
  <si>
    <t>POLYGON Z ((92672.46622896416 6465765.890926038 14.353, 92660.22628292034 6465760.951788004 14.413, 92659.64950740617 6465760.76456484 14.377, 92659.26566123177 6465760.837820123 14.36, 92658.90843751235 6465761.054129349 14.353, 92658.64581858495 6465761.440123837 14.336, 92658.51200900815 6465761.924981215 14.316, 92658.73113407393 6465762.496789495 14.346, 92659.22418689792 6465762.849668341 14.365, 92672.37306043261 6465766.079987143 14.506, 92672.46622896416 6465765.890926038 14.353))</t>
  </si>
  <si>
    <t>2023-03-13</t>
  </si>
  <si>
    <t>[5466]</t>
  </si>
  <si>
    <t>['FV5466 S1D1 m3733-3740']</t>
  </si>
  <si>
    <t>LINESTRING Z (-34888.57 6773427.61 60.59, -34888.56 6773427.53 60.6, -34888.6 6773427.49 60.6, -34888.69 6773427.5 60.6, -34889.52 6773428.41 60.61, -34890.37 6773430.04 60.63, -34890.92 6773431.57 60.660000000000004, -34891.37 6773433.13 60.68, -34891.56 6773434.31 60.7, -34891.66 6773435.08 60.71, -34891.64 6773435.69 60.72, -34891.47 6773436.53 60.72, -34891.19 6773437.52 60.730000000000004, -34891.09 6773437.42 60.72, -34890.67 6773436.38 60.7, -34890.03 6773434.67 60.67, -34889.57 6773433.07 60.65, -34889.18 6773431.57 60.64, -34888.77 6773430.04 60.59, -34888.6 6773429.28 60.6, -34888.54 6773428.49 60.59, -34888.57 6773427.82 60.58, -34888.57 6773427.61 60.59)</t>
  </si>
  <si>
    <t>POLYGON Z ((-34888.57 6773427.61 60.59, -34888.56 6773427.53 60.6, -34888.6 6773427.49 60.6, -34888.69 6773427.5 60.6, -34889.52 6773428.41 60.61, -34890.37 6773430.04 60.63, -34890.92 6773431.57 60.660000000000004, -34891.37 6773433.13 60.68, -34891.56 6773434.31 60.7, -34891.66 6773435.08 60.71, -34891.64 6773435.69 60.72, -34891.47 6773436.53 60.72, -34891.19 6773437.52 60.730000000000004, -34891.09 6773437.42 60.72, -34890.67 6773436.38 60.7, -34890.03 6773434.67 60.67, -34889.57 6773433.07 60.65, -34889.18 6773431.57 60.64, -34888.77 6773430.04 60.59, -34888.6 6773429.28 60.6, -34888.54 6773428.49 60.59, -34888.57 6773427.82 60.58, -34888.57 6773427.61 60.59))</t>
  </si>
  <si>
    <t>[5470]</t>
  </si>
  <si>
    <t>['FV5470 S1D1 m5-28']</t>
  </si>
  <si>
    <t>LINESTRING Z (-34861.08 6773465.73 59.19, -34860.99 6773465.76 59.19, -34860.54 6773466.25 59.160000000000004, -34859.99 6773466.8 59.1, -34858.8 6773467.98 59.04, -34857.61 6773469.09 58.97, -34856.47 6773470.02 58.88, -34855.06 6773471.18 58.800000000000004, -34853.51 6773472.47 58.71, -34852.32 6773473.58 58.620000000000005, -34850.95 6773475.04 58.54, -34850.15 6773476.1 58.480000000000004, -34849.52 6773477.12 58.44, -34848.89 6773478.33 58.39, -34848.4 6773479.51 58.38, -34848.17 6773480.5 58.36, -34848.05 6773481.63 58.370000000000005, -34848.3 6773481.59 58.370000000000005, -34849.57 6773480.87 58.4, -34851.01 6773479.87 58.46, -34852.46 6773478.69 58.52, -34853.7 6773477.53 58.57, -34855.2 6773475.66 58.65, -34856.67 6773473.55 58.76, -34857.58 6773472.08 58.83, -34859.11 6773469.3 58.99, -34859.54 6773468.49 59.04, -34860.24 6773467.28 59.11, -34861.19 6773465.76 59.19, -34861.08 6773465.73 59.19)</t>
  </si>
  <si>
    <t>POLYGON Z ((-34861.08 6773465.73 59.19, -34860.99 6773465.76 59.19, -34860.54 6773466.25 59.160000000000004, -34859.99 6773466.8 59.1, -34858.8 6773467.98 59.04, -34857.61 6773469.09 58.97, -34856.47 6773470.02 58.88, -34855.06 6773471.18 58.800000000000004, -34853.51 6773472.47 58.71, -34852.32 6773473.58 58.620000000000005, -34850.95 6773475.04 58.54, -34850.15 6773476.1 58.480000000000004, -34849.52 6773477.12 58.44, -34848.89 6773478.33 58.39, -34848.4 6773479.51 58.38, -34848.17 6773480.5 58.36, -34848.05 6773481.63 58.370000000000005, -34848.3 6773481.59 58.370000000000005, -34849.57 6773480.87 58.4, -34851.01 6773479.87 58.46, -34852.46 6773478.69 58.52, -34853.7 6773477.53 58.57, -34855.2 6773475.66 58.65, -34856.67 6773473.55 58.76, -34857.58 6773472.08 58.83, -34859.11 6773469.3 58.99, -34859.54 6773468.49 59.04, -34860.24 6773467.28 59.11, -34861.19 6773465.76 59.19, -34861.08 6773465.73 59.19))</t>
  </si>
  <si>
    <t>[4787]</t>
  </si>
  <si>
    <t>['KV4787 S1D1 m8-19']</t>
  </si>
  <si>
    <t>LINESTRING (213046.86074402992 6863284.907399519, 213046.30706074566 6863285.882717421, 213041.21092448971 6863286.948768743, 213035.74205920217 6863286.983068463, 213035.61392471456 6863286.277655769, 213037.35003612726 6863285.001554149, 213042.14966463397 6863283.7477958035, 213045.34467551718 6863283.7590920525, 213046.98501937673 6863284.684341652)</t>
  </si>
  <si>
    <t>POLYGON ((213046.86074402992 6863284.907399519, 213046.30706074566 6863285.882717421, 213041.21092448971 6863286.948768743, 213035.74205920217 6863286.983068463, 213035.61392471456 6863286.277655769, 213037.35003612726 6863285.001554149, 213042.14966463397 6863283.7477958035, 213045.34467551718 6863283.7590920525, 213046.98501937673 6863284.684341652, 213046.86074402992 6863284.907399519))</t>
  </si>
  <si>
    <t>[3900]</t>
  </si>
  <si>
    <t>['KV3900 S1D1 m6-25']</t>
  </si>
  <si>
    <t>LINESTRING (212257.26612257346 6860935.7572251195, 212257.94710651564 6860935.408947175, 212259.17604301538 6860932.25049573, 212261.0963996072 6860928.049080069, 212262.31051981752 6860923.895925661, 212263.07485533302 6860917.799920809, 212262.14684810082 6860917.732562985, 212260.30223280343 6860927.052837682, 212259.3453600519 6860930.0429098895, 212257.82003492193 6860933.080835102, 212256.80330164882 6860935.359757239)</t>
  </si>
  <si>
    <t>POLYGON ((212257.26612257346 6860935.7572251195, 212257.94710651564 6860935.408947175, 212259.17604301538 6860932.25049573, 212261.0963996072 6860928.049080069, 212262.31051981752 6860923.895925661, 212263.07485533302 6860917.799920809, 212262.14684810082 6860917.732562985, 212260.30223280343 6860927.052837682, 212259.3453600519 6860930.0429098895, 212257.82003492193 6860933.080835102, 212256.80330164882 6860935.359757239, 212257.26612257346 6860935.7572251195))</t>
  </si>
  <si>
    <t>[2950]</t>
  </si>
  <si>
    <t>['KV2950 S1D1 m414-429']</t>
  </si>
  <si>
    <t>LINESTRING (212268.3072120794 6860884.493066923, 212268.93322510022 6860884.373229005, 212268.03132219735 6860876.996295798, 212266.2290185683 6860869.124440743, 212265.6835885443 6860869.382971773, 212265.47310194 6860871.101640903, 212266.8885463233 6860880.360106625, 212268.10356628004 6860884.655685066)</t>
  </si>
  <si>
    <t>POLYGON ((212268.3072120794 6860884.493066923, 212268.93322510022 6860884.373229005, 212268.03132219735 6860876.996295798, 212266.2290185683 6860869.124440743, 212265.6835885443 6860869.382971773, 212265.47310194 6860871.101640903, 212266.8885463233 6860880.360106625, 212268.10356628004 6860884.655685066, 212268.3072120794 6860884.493066923))</t>
  </si>
  <si>
    <t>[2500]</t>
  </si>
  <si>
    <t>['KV2500 S1D1 m1894-1903']</t>
  </si>
  <si>
    <t>LINESTRING (212884.93152992975 6862455.325147398, 212885.5983498062 6862455.694336534, 212887.3604754004 6862455.479096884, 212889.72146794677 6862454.00497244, 212892.42549710063 6862451.506081618, 212892.71657735587 6862449.926164115, 212887.82007061137 6862451.680522825, 212884.93567119236 6862454.933138102, 212884.93134399102 6862454.944692104)</t>
  </si>
  <si>
    <t>POLYGON ((212884.93152992975 6862455.325147398, 212885.5983498062 6862455.694336534, 212887.3604754004 6862455.479096884, 212889.72146794677 6862454.00497244, 212892.42549710063 6862451.506081618, 212892.71657735587 6862449.926164115, 212887.82007061137 6862451.680522825, 212884.93567119236 6862454.933138102, 212884.93134399102 6862454.944692104, 212884.93152992975 6862455.325147398))</t>
  </si>
  <si>
    <t>[508]</t>
  </si>
  <si>
    <t>['KV508 S1D1 m7-18']</t>
  </si>
  <si>
    <t>LINESTRING (212393.8780738418 6861203.427591293, 212394.52746000577 6861202.5784249175, 212399.40529177146 6861201.462966134, 212404.25456481293 6861200.763963752, 212404.33778082707 6861201.752910096, 212402.1921354964 6861203.276310752, 212399.9148377768 6861204.116984148, 212395.3076972594 6861204.292048356, 212393.97946062393 6861203.687630183)</t>
  </si>
  <si>
    <t>POLYGON ((212393.8780738418 6861203.427591293, 212394.52746000577 6861202.5784249175, 212399.40529177146 6861201.462966134, 212404.25456481293 6861200.763963752, 212404.33778082707 6861201.752910096, 212402.1921354964 6861203.276310752, 212399.9148377768 6861204.116984148, 212395.3076972594 6861204.292048356, 212393.97946062393 6861203.687630183, 212393.8780738418 6861203.427591293))</t>
  </si>
  <si>
    <t>[1550]</t>
  </si>
  <si>
    <t>['KV1550 S1D1 m5-24']</t>
  </si>
  <si>
    <t>LINESTRING (210513.74559519603 6861199.654491096, 210515.1148806769 6861200.612860483, 210517.31591835048 6861204.757392544, 210517.98221602093 6861209.244544733, 210517.88115648204 6861218.127645491, 210516.90392948262 6861218.3558989605, 210516.3433206709 6861217.620004576, 210513.98256699683 6861209.023752562, 210512.94575412216 6861204.355351878, 210513.34863096772 6861199.911935377)</t>
  </si>
  <si>
    <t>POLYGON ((210513.74559519603 6861199.654491096, 210515.1148806769 6861200.612860483, 210517.31591835048 6861204.757392544, 210517.98221602093 6861209.244544733, 210517.88115648204 6861218.127645491, 210516.90392948262 6861218.3558989605, 210516.3433206709 6861217.620004576, 210513.98256699683 6861209.023752562, 210512.94575412216 6861204.355351878, 210513.34863096772 6861199.911935377, 210513.74559519603 6861199.654491096))</t>
  </si>
  <si>
    <t>[4708]</t>
  </si>
  <si>
    <t>['KV4708 S1D1 m309 KD1 m31-50']</t>
  </si>
  <si>
    <t>LINESTRING (211940.1627129488 6855720.592311729, 211942.4979917176 6855720.395896627, 211944.64116212528 6855722.20752354, 211944.81001450482 6855725.035671523, 211943.57793088612 6855726.482140891, 211941.28471269784 6855727.178584017, 211939.51499026682 6855726.398632841, 211938.18317927042 6855724.955190336, 211938.2719115179 6855722.664894722, 211938.61572470702 6855721.640035456, 211939.80297968612 6855720.544235754)</t>
  </si>
  <si>
    <t>POLYGON ((211940.1627129488 6855720.592311729, 211942.4979917176 6855720.395896627, 211944.64116212528 6855722.20752354, 211944.81001450482 6855725.035671523, 211943.57793088612 6855726.482140891, 211941.28471269784 6855727.178584017, 211939.51499026682 6855726.398632841, 211938.18317927042 6855724.955190336, 211938.2719115179 6855722.664894722, 211938.61572470702 6855721.640035456, 211939.80297968612 6855720.544235754, 211940.1627129488 6855720.592311729))</t>
  </si>
  <si>
    <t>2023-05-04</t>
  </si>
  <si>
    <t>[511]</t>
  </si>
  <si>
    <t>['FV511 S2D1 m6560-6562']</t>
  </si>
  <si>
    <t>LINESTRING Z (-50327.142935969634 6610750.621937506 18.44, -50327.03571965918 6610750.471202885 18.45, -50326.96840063622 6610750.102480623 18.44, -50327.15628377092 6610749.696444819 18.45, -50328.351264676196 6610748.8477998795 18.43, -50330.06660773489 6610747.814628744 18.41, -50331.51957261155 6610747.120306409 18.44, -50333.168732987135 6610746.484052477 18.45, -50335.35190040909 6610745.73501863 18.48, -50335.83052177343 6610745.677657404 18.48, -50335.99493427377 6610745.75299171 18.47, -50336.073988632765 6610745.881028923 18.47, -50336.11126917682 6610746.025426763 18.48, -50336.09769033652 6610746.175289149 18.48, -50335.99784809828 6610746.387845268 18.48, -50335.830785848666 6610746.564092116 18.47, -50334.58675600914 6610747.398220022 18.46, -50333.004009384895 6610748.413187051 18.45, -50331.34224142961 6610749.410921175 18.45, -50330.046380969696 6610750.038895728 18.44, -50328.78498627269 6610750.5088275755 18.44, -50328.03848918562 6610750.7433738755 18.44, -50327.448158264975 6610750.810758909 18.45, -50327.142935969634 6610750.621937506 18.44)</t>
  </si>
  <si>
    <t>POLYGON Z ((-50327.142935969634 6610750.621937506 18.44, -50327.03571965918 6610750.471202885 18.45, -50326.96840063622 6610750.102480623 18.44, -50327.15628377092 6610749.696444819 18.45, -50328.351264676196 6610748.8477998795 18.43, -50330.06660773489 6610747.814628744 18.41, -50331.51957261155 6610747.120306409 18.44, -50333.168732987135 6610746.484052477 18.45, -50335.35190040909 6610745.73501863 18.48, -50335.83052177343 6610745.677657404 18.48, -50335.99493427377 6610745.75299171 18.47, -50336.073988632765 6610745.881028923 18.47, -50336.11126917682 6610746.025426763 18.48, -50336.09769033652 6610746.175289149 18.48, -50335.99784809828 6610746.387845268 18.48, -50335.830785848666 6610746.564092116 18.47, -50334.58675600914 6610747.398220022 18.46, -50333.004009384895 6610748.413187051 18.45, -50331.34224142961 6610749.410921175 18.45, -50330.046380969696 6610750.038895728 18.44, -50328.78498627269 6610750.5088275755 18.44, -50328.03848918562 6610750.7433738755 18.44, -50327.448158264975 6610750.810758909 18.45, -50327.142935969634 6610750.621937506 18.44))</t>
  </si>
  <si>
    <t>[87191]</t>
  </si>
  <si>
    <t>['PV87191 S1D1 m4-10']</t>
  </si>
  <si>
    <t>LINESTRING Z (280407.0689391772 6756194.277104239 151.24, 280408.85434211546 6756193.369817385 151.28, 280407.29687545006 6756189.644812198 151.32, 280407.03318078 6756189.508265514 151.32, 280406.7794487813 6756189.370804586 151.32, 280404.5640104059 6756190.518485751 151.27, 280404.27272618096 6756190.957125301 151.25, 280404.3472240906 6756191.221546226 151.25, 280406.42612473544 6756194.607350646 151.23, 280407.0689391772 6756194.277104239 151.24)</t>
  </si>
  <si>
    <t>POLYGON Z ((280407.0689391772 6756194.277104239 151.24, 280408.85434211546 6756193.369817385 151.28, 280407.29687545006 6756189.644812198 151.32, 280407.03318078 6756189.508265514 151.32, 280406.7794487813 6756189.370804586 151.32, 280404.5640104059 6756190.518485751 151.27, 280404.27272618096 6756190.957125301 151.25, 280404.3472240906 6756191.221546226 151.25, 280406.42612473544 6756194.607350646 151.23, 280407.0689391772 6756194.277104239 151.24))</t>
  </si>
  <si>
    <t>['FV184 S2D1 m3884-3893']</t>
  </si>
  <si>
    <t>LINESTRING Z (280415.4300163179 6756148.790034095 152.17000000000002, 280416.96504841105 6756150.202594271 152.16, 280417.5851993292 6756149.404975283 152.18, 280419.18158681423 6756147.318756277 152.24, 280421.7759022078 6756143.942598401 152.34, 280421.7958284616 6756143.472390977 152.36, 280421.6492818261 6756143.302789585 152.37, 280421.4201088118 6756143.205290846 152.36, 280421.02033848513 6756143.341656486 152.35, 280418.4747337606 6756145.832683025 152.27, 280415.4300163179 6756148.790034095 152.17000000000002)</t>
  </si>
  <si>
    <t>2025-12-10T13:49:37Z</t>
  </si>
  <si>
    <t>[227]</t>
  </si>
  <si>
    <t>['FV227 S1D1 m14-19']</t>
  </si>
  <si>
    <t>LINESTRING Z (280425.1733844343 6756179.720972976 151.91, 280425.62650962477 6756177.805900992 151.93, 280430.62594734016 6756178.825720978 152.06, 280430.46406358003 6756179.729012257 152.07, 280425.1733844343 6756179.720972976 151.91)</t>
  </si>
  <si>
    <t>['FV184 S2D1 m3911-3915']</t>
  </si>
  <si>
    <t>LINESTRING Z (280380.2921353396 6756191.316004716 150.85, 280378.2470555126 6756189.488342217 150.85, 280379.9354933934 6756187.307083624 150.92000000000002, 280380.68559663126 6756186.322766915 150.95000000000002, 280381.0446575533 6756186.144248027 150.96, 280381.34904780745 6756186.225928816 150.97, 280382.28514270985 6756187.106022544 150.96, 280383.14654933 6756187.834407376 150.97, 280383.3325813656 6756188.202556596 150.96, 280383.18650499126 6756188.568900847 150.95000000000002, 280382.2871829191 6756189.428446821 150.92000000000002, 280380.2921353396 6756191.316004716 150.85)</t>
  </si>
  <si>
    <t>2025-12-11T09:12:10Z</t>
  </si>
  <si>
    <t>['FV1776 S1D1 m9-21']</t>
  </si>
  <si>
    <t>LINESTRING Z (279135.15213009116 6756270.971350815 127.91, 279134.9813105898 6756271.408986618 127.92, 279135.183684948 6756271.862608841 127.93, 279136.62934746605 6756274.040678825 128.01, 279138.4337638453 6756276.296340305 128.1, 279140.8923482965 6756278.783323993 128.18, 279142.63632976613 6756280.270937645 128.22, 279143.1834620029 6756280.321195541 128.23, 279143.4476974744 6756280.02568728 128.22, 279143.2034554145 6756279.334787091 128.21, 279141.62717450317 6756276.93763034 128.16, 279140.15811750037 6756274.942547395 128.11, 279138.89956913306 6756273.380246812 128.06, 279137.903265799 6756272.376587624 128.02, 279136.64253888873 6756271.447427176 127.96000000000001, 279135.51343863027 6756270.857821189 127.92, 279135.15213009116 6756270.971350815 127.91)</t>
  </si>
  <si>
    <t>POLYGON Z ((279135.15213009116 6756270.971350815 127.91, 279134.9813105898 6756271.408986618 127.92, 279135.183684948 6756271.862608841 127.93, 279136.62934746605 6756274.040678825 128.01, 279138.4337638453 6756276.296340305 128.1, 279140.8923482965 6756278.783323993 128.18, 279142.63632976613 6756280.270937645 128.22, 279143.1834620029 6756280.321195541 128.23, 279143.4476974744 6756280.02568728 128.22, 279143.2034554145 6756279.334787091 128.21, 279141.62717450317 6756276.93763034 128.16, 279140.15811750037 6756274.942547395 128.11, 279138.89956913306 6756273.380246812 128.06, 279137.903265799 6756272.376587624 128.02, 279136.64253888873 6756271.447427176 127.96000000000001, 279135.51343863027 6756270.857821189 127.92, 279135.15213009116 6756270.971350815 127.91))</t>
  </si>
  <si>
    <t>['FV184 S2D1 m3920-3927']</t>
  </si>
  <si>
    <t>LINESTRING Z (280376.63185588754 6756194.791585439 150.72, 280375.1612763785 6756193.453221544 150.72, 280374.12886742037 6756194.801138831 150.68, 280373.79104365566 6756195.23516634 150.67000000000002, 280372.2637363826 6756197.205478665 150.61, 280370.9565060786 6756198.950032151 150.56, 280370.96353944973 6756199.239916282 150.56, 280371.0911496943 6756199.455350581 150.56, 280371.30474301614 6756199.564975055 150.56, 280371.6862558406 6756199.485562265 150.56, 280373.20387792686 6756198.062987635 150.61, 280375.0187791352 6756196.342885768 150.67000000000002, 280376.63185588754 6756194.791585439 150.72)</t>
  </si>
  <si>
    <t>['KV7350 S1D1 m14-21']</t>
  </si>
  <si>
    <t>LINESTRING Z (280367.29804215766 6756162.894358072 151.36, 280367.6305358965 6756161.919468526 151.37, 280367.9630296421 6756160.944578991 151.39000000000001, 280365.687225003 6756160.339649437 151.45000000000002, 280362.79171804263 6756159.550470076 151.53, 280360.8547382515 6756159.024959972 151.59, 280360.5748690981 6756159.040596026 151.6, 280360.2707852947 6756159.339758192 151.61, 280360.37627336325 6756159.8324065255 151.6, 280360.5058821129 6756159.931025073 151.6, 280362.1903260063 6756160.660547808 151.54, 280364.9421602142 6756161.854727809 151.44, 280367.29804215766 6756162.894358072 151.36)</t>
  </si>
  <si>
    <t>POLYGON Z ((280367.29804215766 6756162.894358072 151.36, 280367.6305358965 6756161.919468526 151.37, 280367.9630296421 6756160.944578991 151.39000000000001, 280365.687225003 6756160.339649437 151.45000000000002, 280362.79171804263 6756159.550470076 151.53, 280360.8547382515 6756159.024959972 151.59, 280360.5748690981 6756159.040596026 151.6, 280360.2707852947 6756159.339758192 151.61, 280360.37627336325 6756159.8324065255 151.6, 280360.5058821129 6756159.931025073 151.6, 280362.1903260063 6756160.660547808 151.54, 280364.9421602142 6756161.854727809 151.44, 280367.29804215766 6756162.894358072 151.36))</t>
  </si>
  <si>
    <t>['PV87191 S1D1 m14-16']</t>
  </si>
  <si>
    <t>LINESTRING Z (280411.2786128541 6756199.205430528 151.22, 280410.80659053527 6756198.002972044 151.23, 280409.07100101426 6756198.905687737 151.19, 280409.67235006613 6756199.875253816 151.18, 280410.0439936507 6756200.202825711 151.18, 280410.52321012237 6756200.279408335 151.19, 280410.8636754275 6756200.157745775 151.20000000000002, 280410.96777935186 6756200.087913074 151.20000000000002, 280411.2527578309 6756199.69003845 151.21, 280411.2786128541 6756199.205430528 151.22)</t>
  </si>
  <si>
    <t>POLYGON Z ((280411.2786128541 6756199.205430528 151.22, 280410.80659053527 6756198.002972044 151.23, 280409.07100101426 6756198.905687737 151.19, 280409.67235006613 6756199.875253816 151.18, 280410.0439936507 6756200.202825711 151.18, 280410.52321012237 6756200.279408335 151.19, 280410.8636754275 6756200.157745775 151.20000000000002, 280410.96777935186 6756200.087913074 151.20000000000002, 280411.2527578309 6756199.69003845 151.21, 280411.2786128541 6756199.205430528 151.22))</t>
  </si>
  <si>
    <t>2025-12-10T13:47:20Z</t>
  </si>
  <si>
    <t>['FV184 S2D1 m3896-3902']</t>
  </si>
  <si>
    <t>LINESTRING Z (280412.8875011782 6756153.268439925 152.06, 280413.9076734852 6756154.188010357 152.04, 280411.4047811348 6756157.458030377 151.95000000000002, 280411.0457158676 6756157.636546113 151.95000000000002, 280410.6612928371 6756157.492812124 151.94, 280409.9368084594 6756156.778290896 151.94, 280408.93091674533 6756155.9136695145 151.95000000000002, 280408.75641751115 6756155.555972434 151.95000000000002, 280408.8977637867 6756155.201088002 151.96, 280411.83815647993 6756152.317174304 152.06, 280412.8875011782 6756153.268439925 152.06)</t>
  </si>
  <si>
    <t>2025-12-10T13:49:50Z</t>
  </si>
  <si>
    <t>['FV227 S1D1 m4-9']</t>
  </si>
  <si>
    <t>LINESTRING Z (280419.9972513196 6756179.717028867 151.74, 280420.69556812174 6756176.837685324 151.8, 280419.107258864 6756176.500362333 151.76, 280416.6193726743 6756175.961812794 151.72, 280416.25412228936 6756176.040215492 151.71, 280416.05779265845 6756176.298002705 151.70000000000002, 280415.6713313435 6756177.70648205 151.67000000000002, 280415.2096516518 6756179.130776036 151.64000000000001, 280415.2865557396 6756179.494504655 151.63, 280415.68594465824 6756179.704310652 151.63, 280417.82567614963 6756179.717236113 151.68, 280419.9972513196 6756179.717028867 151.74)</t>
  </si>
  <si>
    <t>['FV184 S2D1 m3906 KD1 m0-103']</t>
  </si>
  <si>
    <t>LINESTRING Z (280408.76201909326 6756167.447522849 151.64000000000001, 280407.7026513032 6756165.101115527 151.63, 280406.25993596256 6756163.0687186 151.61, 280404.46502914396 6756161.3260747865 151.59, 280402.5199937956 6756159.972357556 151.63, 280400.08050055837 6756158.984183514 151.56, 280397.6427707514 6756158.464878362 151.54, 280395.1451018895 6756158.3847573735 151.52, 280392.67630781804 6756158.771829869 151.51, 280390.3224524334 6756159.609610477 151.49, 280388.16891196766 6756160.870489991 151.26, 280386.2779997422 6756162.5059522465 151.19, 280384.7167630835 6756164.456022265 151.18, 280383.5522488954 6756166.660725013 151.16, 280382.80744102155 6756169.051642839 151.14000000000001, 280382.5141041718 6756171.526317117 151.12, 280382.68437788717 6756174.017000696 151.1, 280383.31887033075 6756176.445493225 151.08, 280384.3666427234 6756178.692116142 151.06, 280385.8310536545 6756180.723163855 151.05, 280387.63611813897 6756182.454004425 151.03, 280389.7282266378 6756183.8097890625 151.06, 280392.03483263415 6756184.761503818 151.14000000000001, 280394.4827024422 6756185.269010985 151.12, 280396.9850870709 6756185.337672437 151.1, 280401.624733784 6756184.146468049 151.21, 280403.7897943686 6756182.896049937 151.26, 280405.6929204108 6756181.282173991 151.32, 280407.2602684311 6756179.342901785 151.37, 280408.44647883694 6756177.136866669 151.42000000000002, 280409.202832141 6756174.75640797 151.48, 280409.5070304241 6756172.2810660815 151.53, 280409.35846308793 6756169.789041258 151.59, 280408.76201909326 6756167.447522849 151.64000000000001)</t>
  </si>
  <si>
    <t>2023-06-05</t>
  </si>
  <si>
    <t>[1163]</t>
  </si>
  <si>
    <t>['KV1163 S1D1 m1606-1619']</t>
  </si>
  <si>
    <t>LINESTRING (382950.4103720562 7312794.747124444, 382956.5977766431 7312789.115633325, 382958.7643657824 7312785.367201822, 382957.9942521007 7312784.483862288, 382955.2758962859 7312786.670562061, 382952.7137767639 7312789.888497637, 382950.3930212754 7312794.323854812)</t>
  </si>
  <si>
    <t>POLYGON ((382950.4103720562 7312794.747124444, 382956.5977766431 7312789.115633325, 382958.7643657824 7312785.367201822, 382957.9942521007 7312784.483862288, 382955.2758962859 7312786.670562061, 382952.7137767639 7312789.888497637, 382950.3930212754 7312794.323854812, 382950.4103720562 7312794.747124444))</t>
  </si>
  <si>
    <t>2023-06-09</t>
  </si>
  <si>
    <t>['EV39 S95D1 m2228-2231']</t>
  </si>
  <si>
    <t>LINESTRING Z (-44297.9444613799 6598925.34505061 6.748771697282791, -44297.78260308795 6598925.483955735 6.758771585524082, -44297.56407679338 6598925.523498225 6.758771533370018, -44297.21937035804 6598925.453688207 6.758771548271179, -44296.19803561957 6598925.225824663 6.768771600425244, -44295.171051966376 6598924.966743083 6.77877168238163, -44294.17528636695 6598924.702012585 6.7887717643380165, -44293.17958035553 6598924.366342835 6.798771905899048, -44292.22787695122 6598924.00659068 6.79877206236124, -44291.27766025846 6598923.565968971 6.798772270977497, -44290.343082381296 6598923.08705318 6.808772516846657, -44289.478076216765 6598922.547188027 6.7987728148698805, -44288.642920544255 6598921.940665003 6.798773157596588, -44287.83333398611 6598921.297275026 6.798773530125618, -44287.07488564844 6598920.580151132 6.788773954808712, -44286.775787688675 6598920.263510665 6.778774148523808, -44286.64401820104 6598920.052000887 6.778774290084839, -44286.53074176703 6598919.782336407 6.778774468898773, -44286.530980051495 6598919.498579393 6.77877467751503, -44286.6915303244 6598919.227726076 6.778774878680706, -44286.93996663834 6598919.050586435 6.778775035142899, -44287.19256518665 6598918.985534391 6.768775102198124, -44287.45931584365 6598918.963057817 6.778775139451027, -44288.38140701142 6598919.105710741 6.768775139451027, -44289.3998874129 6598919.353434786 6.778775064945221, -44290.36294823268 6598919.704683692 6.7687749159336095, -44291.35859465657 6598920.111292627 6.7687747296690945, -44292.26903057995 6598920.617145049 6.768774468898774, -44293.14396709483 6598921.1584373275 6.758774170875549, -44294.00041055854 6598921.7578843245 6.758773835599422, -44294.851145525 6598922.397052555 6.758773463070392, -44296.39664441254 6598923.561755176 6.7487727999687195, -44297.22323740239 6598924.227860111 6.748772412538528, -44297.8839290312 6598924.778904044 6.748772092163563, -44298.01147672371 6598924.9492655145 6.748771980404854, -44298.04251603701 6598925.156434383 6.7487718388438225, -44297.9444613799 6598925.34505061 6.748771697282791)</t>
  </si>
  <si>
    <t>POLYGON Z ((-44297.9444613799 6598925.34505061 6.748771697282791, -44297.78260308795 6598925.483955735 6.758771585524082, -44297.56407679338 6598925.523498225 6.758771533370018, -44297.21937035804 6598925.453688207 6.758771548271179, -44296.19803561957 6598925.225824663 6.768771600425244, -44295.171051966376 6598924.966743083 6.77877168238163, -44294.17528636695 6598924.702012585 6.7887717643380165, -44293.17958035553 6598924.366342835 6.798771905899048, -44292.22787695122 6598924.00659068 6.79877206236124, -44291.27766025846 6598923.565968971 6.798772270977497, -44290.343082381296 6598923.08705318 6.808772516846657, -44289.478076216765 6598922.547188027 6.7987728148698805, -44288.642920544255 6598921.940665003 6.798773157596588, -44287.83333398611 6598921.297275026 6.798773530125618, -44287.07488564844 6598920.580151132 6.788773954808712, -44286.775787688675 6598920.263510665 6.778774148523808, -44286.64401820104 6598920.052000887 6.778774290084839, -44286.53074176703 6598919.782336407 6.778774468898773, -44286.530980051495 6598919.498579393 6.77877467751503, -44286.6915303244 6598919.227726076 6.778774878680706, -44286.93996663834 6598919.050586435 6.778775035142899, -44287.19256518665 6598918.985534391 6.768775102198124, -44287.45931584365 6598918.963057817 6.778775139451027, -44288.38140701142 6598919.105710741 6.768775139451027, -44289.3998874129 6598919.353434786 6.778775064945221, -44290.36294823268 6598919.704683692 6.7687749159336095, -44291.35859465657 6598920.111292627 6.7687747296690945, -44292.26903057995 6598920.617145049 6.768774468898774, -44293.14396709483 6598921.1584373275 6.758774170875549, -44294.00041055854 6598921.7578843245 6.758773835599422, -44294.851145525 6598922.397052555 6.758773463070392, -44296.39664441254 6598923.561755176 6.7487727999687195, -44297.22323740239 6598924.227860111 6.748772412538528, -44297.8839290312 6598924.778904044 6.748772092163563, -44298.01147672371 6598924.9492655145 6.748771980404854, -44298.04251603701 6598925.156434383 6.7487718388438225, -44297.9444613799 6598925.34505061 6.748771697282791))</t>
  </si>
  <si>
    <t>['KV1116 S4D1 m9-21']</t>
  </si>
  <si>
    <t>LINESTRING (394470.66337533883 7324267.016059346, 394470.1399406023 7324265.998035015, 394475.35371295933 7324257.170041367, 394476.668414688 7324256.518821468, 394477.1827473482 7324257.291763548, 394470.7811972905 7324266.888973034)</t>
  </si>
  <si>
    <t>POLYGON ((394470.66337533883 7324267.016059346, 394470.1399406023 7324265.998035015, 394475.35371295933 7324257.170041367, 394476.668414688 7324256.518821468, 394477.1827473482 7324257.291763548, 394470.7811972905 7324266.888973034, 394470.66337533883 7324267.016059346))</t>
  </si>
  <si>
    <t>2023-06-12</t>
  </si>
  <si>
    <t>[1074]</t>
  </si>
  <si>
    <t>['KV1074 S3D1 m7-19']</t>
  </si>
  <si>
    <t>LINESTRING (392062.4998436368 7323380.52327861, 392062.9652209431 7323378.4306058325, 392066.0818677966 7323373.93914485, 392069.64276926714 7323369.78780994, 392069.48338216805 7323372.047358279, 392065.2604994925 7323379.57060616, 392063.79202102596 7323380.9539191015, 392062.6291422534 7323380.819579082)</t>
  </si>
  <si>
    <t>POLYGON ((392062.4998436368 7323380.52327861, 392062.9652209431 7323378.4306058325, 392066.0818677966 7323373.93914485, 392069.64276926714 7323369.78780994, 392069.48338216805 7323372.047358279, 392065.2604994925 7323379.57060616, 392063.79202102596 7323380.9539191015, 392062.6291422534 7323380.819579082, 392062.4998436368 7323380.52327861))</t>
  </si>
  <si>
    <t>2023-06-13</t>
  </si>
  <si>
    <t>[1124]</t>
  </si>
  <si>
    <t>['KV1124 S2D1 m158-169']</t>
  </si>
  <si>
    <t>LINESTRING (391364.6215925503 7322682.243914236, 391370.3041426017 7322679.53902389, 391374.64848208264 7322676.874110134, 391374.5407360869 7322675.717998551, 391368.43015058694 7322677.323628659, 391364.36373685766 7322680.368395376, 391364.4923410021 7322682.070355672)</t>
  </si>
  <si>
    <t>POLYGON ((391364.6215925503 7322682.243914236, 391370.3041426017 7322679.53902389, 391374.64848208264 7322676.874110134, 391374.5407360869 7322675.717998551, 391368.43015058694 7322677.323628659, 391364.36373685766 7322680.368395376, 391364.4923410021 7322682.070355672, 391364.6215925503 7322682.243914236))</t>
  </si>
  <si>
    <t>[1016]</t>
  </si>
  <si>
    <t>['KV1016 S1D1 m901-911']</t>
  </si>
  <si>
    <t>LINESTRING (391275.7606900084 7323591.590495735, 391267.97441919975 7323585.417814259, 391271.2840172646 7323582.80340946, 391276.9965109126 7323590.427618079, 391276.1744766352 7323591.251142135)</t>
  </si>
  <si>
    <t>POLYGON ((391275.7606900084 7323591.590495735, 391267.97441919975 7323585.417814259, 391271.2840172646 7323582.80340946, 391276.9965109126 7323590.427618079, 391276.1744766352 7323591.251142135, 391275.7606900084 7323591.590495735))</t>
  </si>
  <si>
    <t>2023-06-14</t>
  </si>
  <si>
    <t>[1005]</t>
  </si>
  <si>
    <t>['KV1005 S1D1 m5-23']</t>
  </si>
  <si>
    <t>LINESTRING (392988.89429280383 7324498.380980895, 392988.68739154853 7324502.527569221, 392983.32381057995 7324501.82596179, 392971.14632416505 7324497.342632127, 392971.1052006395 7324496.25091405, 392977.8473550435 7324497.525297027, 392981.8854275909 7324498.098326786, 392988.336693471 7324498.156554228)</t>
  </si>
  <si>
    <t>POLYGON ((392988.89429280383 7324498.380980895, 392988.68739154853 7324502.527569221, 392983.32381057995 7324501.82596179, 392971.14632416505 7324497.342632127, 392971.1052006395 7324496.25091405, 392977.8473550435 7324497.525297027, 392981.8854275909 7324498.098326786, 392988.336693471 7324498.156554228, 392988.89429280383 7324498.380980895))</t>
  </si>
  <si>
    <t>2023-06-15</t>
  </si>
  <si>
    <t>[1054]</t>
  </si>
  <si>
    <t>['KV1054 S1D1 m376-387']</t>
  </si>
  <si>
    <t>LINESTRING (392162.9684246301 7323496.1565356, 392161.84624771157 7323495.4181941105, 392163.9358108663 7323492.6949716015, 392165.90408384654 7323490.723798017, 392168.86437589023 7323487.376284594, 392170.3984956044 7323488.322120304, 392168.9827008039 7323490.495450542, 392163.1189932785 7323496.295850318)</t>
  </si>
  <si>
    <t>POLYGON ((392162.9684246301 7323496.1565356, 392161.84624771157 7323495.4181941105, 392163.9358108663 7323492.6949716015, 392165.90408384654 7323490.723798017, 392168.86437589023 7323487.376284594, 392170.3984956044 7323488.322120304, 392168.9827008039 7323490.495450542, 392163.1189932785 7323496.295850318, 392162.9684246301 7323496.1565356))</t>
  </si>
  <si>
    <t>2025-11-22T09:11:23Z</t>
  </si>
  <si>
    <t>['EV18 S35D10 m281 KD1 m43-44']</t>
  </si>
  <si>
    <t>LINESTRING (226527.01371750055 6569454.173579435, 226523.3730625041 6569439.919909466, 226522.07199563098 6569440.01347771, 226521.16610442428 6569454.135970909)</t>
  </si>
  <si>
    <t>2023-08-08</t>
  </si>
  <si>
    <t>[13400]</t>
  </si>
  <si>
    <t>['KV13400 S1D1 m7-19']</t>
  </si>
  <si>
    <t>LINESTRING (285262.88411052676 6665939.134847855, 285261.9500920435 6665938.519731542, 285262.24412630254 6665937.2523679, 285264.5448240777 6665934.148680517, 285265.34803583333 6665932.717596326, 285265.5494588368 6665932.728142606, 285266.54469229135 6665931.051423513, 285268.5866655065 6665929.246524279, 285269.4354090899 6665929.643384134, 285267.40584462945 6665934.617630154, 285263.0387552503 6665939.20394051)</t>
  </si>
  <si>
    <t>POLYGON ((285262.88411052676 6665939.134847855, 285261.9500920435 6665938.519731542, 285262.24412630254 6665937.2523679, 285264.5448240777 6665934.148680517, 285265.34803583333 6665932.717596326, 285265.5494588368 6665932.728142606, 285266.54469229135 6665931.051423513, 285268.5866655065 6665929.246524279, 285269.4354090899 6665929.643384134, 285267.40584462945 6665934.617630154, 285263.0387552503 6665939.20394051, 285262.88411052676 6665939.134847855))</t>
  </si>
  <si>
    <t>[1400]</t>
  </si>
  <si>
    <t>['KV1400 S2D1 m175-183']</t>
  </si>
  <si>
    <t>LINESTRING (284967.77210690023 6664869.900414306, 284963.3524194277 6664863.026426007, 284968.83696753654 6664860.83013475, 284969.6763843626 6664868.784347102, 284968.37926285603 6664869.596981091)</t>
  </si>
  <si>
    <t>POLYGON ((284967.77210690023 6664869.900414306, 284963.3524194277 6664863.026426007, 284968.83696753654 6664860.83013475, 284969.6763843626 6664868.784347102, 284968.37926285603 6664869.596981091, 284967.77210690023 6664869.900414306))</t>
  </si>
  <si>
    <t>['KV1700 S1D1 m9-23']</t>
  </si>
  <si>
    <t>LINESTRING (284925.4223027297 6665498.304778981, 284928.1004611227 6665499.264181535, 284939.86369202577 6665498.273993931, 284938.7533479157 6665497.222780123, 284932.8897888083 6665496.740112764, 284926.70649700897 6665497.180323369, 284925.5463559201 6665497.851022816)</t>
  </si>
  <si>
    <t>POLYGON ((284925.4223027297 6665498.304778981, 284928.1004611227 6665499.264181535, 284939.86369202577 6665498.273993931, 284938.7533479157 6665497.222780123, 284932.8897888083 6665496.740112764, 284926.70649700897 6665497.180323369, 284925.5463559201 6665497.851022816, 284925.4223027297 6665498.304778981))</t>
  </si>
  <si>
    <t>[9722]</t>
  </si>
  <si>
    <t>['KV9722 S1D1 m7-19']</t>
  </si>
  <si>
    <t>LINESTRING (284911.57582251786 6665542.883007845, 284911.9587735613 6665544.278193336, 284908.50911828934 6665545.004844534, 284904.72037595115 6665545.561598467, 284903.2205587521 6665545.861518986, 284901.75179692113 6665546.215432873, 284900.51184624643 6665545.618313336, 284903.1781709794 6665543.899436152, 284911.3443201992 6665542.740293077)</t>
  </si>
  <si>
    <t>POLYGON ((284911.57582251786 6665542.883007845, 284911.9587735613 6665544.278193336, 284908.50911828934 6665545.004844534, 284904.72037595115 6665545.561598467, 284903.2205587521 6665545.861518986, 284901.75179692113 6665546.215432873, 284900.51184624643 6665545.618313336, 284903.1781709794 6665543.899436152, 284911.3443201992 6665542.740293077, 284911.57582251786 6665542.883007845))</t>
  </si>
  <si>
    <t>['KV4100 S1D1 m7-17']</t>
  </si>
  <si>
    <t>LINESTRING (284247.9339337193 6664762.875091096, 284254.7445003662 6664755.23071585, 284253.64780483826 6664754.3239875855, 284251.3651528575 6664755.931478393, 284248.6973621445 6664759.247116127, 284247.4675156671 6664762.534122037)</t>
  </si>
  <si>
    <t>POLYGON ((284247.9339337193 6664762.875091096, 284254.7445003662 6664755.23071585, 284253.64780483826 6664754.3239875855, 284251.3651528575 6664755.931478393, 284248.6973621445 6664759.247116127, 284247.4675156671 6664762.534122037, 284247.9339337193 6664762.875091096))</t>
  </si>
  <si>
    <t>['KV4100 S3D1 m6-11']</t>
  </si>
  <si>
    <t>LINESTRING (284604.3075452013 6666259.633312206, 284605.80180129374 6666264.758494727, 284606.6621283351 6666264.116419996, 284605.6073305331 6666258.876158828, 284604.41324988316 6666258.868068614)</t>
  </si>
  <si>
    <t>POLYGON ((284604.3075452013 6666259.633312206, 284605.80180129374 6666264.758494727, 284606.6621283351 6666264.116419996, 284605.6073305331 6666258.876158828, 284604.41324988316 6666258.868068614, 284604.3075452013 6666259.633312206))</t>
  </si>
  <si>
    <t>2023-08-09</t>
  </si>
  <si>
    <t>[2685]</t>
  </si>
  <si>
    <t>['KV2685 S1D1 m8-19']</t>
  </si>
  <si>
    <t>LINESTRING (285113.2363795544 6666323.298141147, 285113.6937616832 6666322.155145517, 285119.8248843859 6666322.086549563, 285124.6469918952 6666324.047966811, 285124.5675749532 6666325.168841736, 285120.16290197335 6666324.812687351, 285113.65801643964 6666323.831578856)</t>
  </si>
  <si>
    <t>POLYGON ((285113.2363795544 6666323.298141147, 285113.6937616832 6666322.155145517, 285119.8248843859 6666322.086549563, 285124.6469918952 6666324.047966811, 285124.5675749532 6666325.168841736, 285120.16290197335 6666324.812687351, 285113.65801643964 6666323.831578856, 285113.2363795544 6666323.298141147))</t>
  </si>
  <si>
    <t>[12500]</t>
  </si>
  <si>
    <t>['KV12500 S1D1 m5-8']</t>
  </si>
  <si>
    <t>LINESTRING (284913.9305800968 6667218.288146715, 284917.29887749586 6667217.532656091, 284917.2160937806 6667216.119888762, 284915.14275859494 6667213.852637685, 284914.01176772127 6667217.580161327)</t>
  </si>
  <si>
    <t>POLYGON ((284913.9305800968 6667218.288146715, 284917.29887749586 6667217.532656091, 284917.2160937806 6667216.119888762, 284915.14275859494 6667213.852637685, 284914.01176772127 6667217.580161327, 284913.9305800968 6667218.288146715))</t>
  </si>
  <si>
    <t>[5255]</t>
  </si>
  <si>
    <t>['KV5255 S1D1 m11-24']</t>
  </si>
  <si>
    <t>LINESTRING (285029.17962833913 6666809.7379092565, 285030.0899153338 6666810.5217782445, 285038.2598129048 6666812.141892378, 285042.01047127903 6666812.290629432, 285041.9879673616 6666810.5729518775, 285030.6170688667 6666806.762698128, 285029.04862863664 6666809.310250222)</t>
  </si>
  <si>
    <t>POLYGON ((285029.17962833913 6666809.7379092565, 285030.0899153338 6666810.5217782445, 285038.2598129048 6666812.141892378, 285042.01047127903 6666812.290629432, 285041.9879673616 6666810.5729518775, 285030.6170688667 6666806.762698128, 285029.04862863664 6666809.310250222, 285029.17962833913 6666809.7379092565))</t>
  </si>
  <si>
    <t>['KV5255 S1D1 m6-8']</t>
  </si>
  <si>
    <t>LINESTRING (285026.3684928598 6666808.205852887, 285026.4608780602 6666807.3074581195, 285025.74119805405 6666806.445454363, 285024.79466968914 6666806.947374296, 285025.77673760394 6666808.385615255)</t>
  </si>
  <si>
    <t>POLYGON ((285026.3684928598 6666808.205852887, 285026.4608780602 6666807.3074581195, 285025.74119805405 6666806.445454363, 285024.79466968914 6666806.947374296, 285025.77673760394 6666808.385615255, 285026.3684928598 6666808.205852887))</t>
  </si>
  <si>
    <t>['KV5255 S1D1 m638-669']</t>
  </si>
  <si>
    <t>LINESTRING (285292.11495557695 6667193.501480661, 285295.75875546155 6667194.404566758, 285299.8956660405 6667192.298490439, 285302.3614413807 6667188.314446451, 285301.4329734739 6667184.071285115, 285299.41454875446 6667181.499242536, 285296.8711395296 6667180.152270149, 285291.5466212303 6667181.21159098, 285289.22865299403 6667183.814038764, 285288.378854392 6667185.872954497, 285288.1594497763 6667188.508919685, 285289.5956399545 6667191.32709713, 285291.41297332715 6667192.939780693)</t>
  </si>
  <si>
    <t>POLYGON ((285292.11495557695 6667193.501480661, 285295.75875546155 6667194.404566758, 285299.8956660405 6667192.298490439, 285302.3614413807 6667188.314446451, 285301.4329734739 6667184.071285115, 285299.41454875446 6667181.499242536, 285296.8711395296 6667180.152270149, 285291.5466212303 6667181.21159098, 285289.22865299403 6667183.814038764, 285288.378854392 6667185.872954497, 285288.1594497763 6667188.508919685, 285289.5956399545 6667191.32709713, 285291.41297332715 6667192.939780693, 285292.11495557695 6667193.501480661))</t>
  </si>
  <si>
    <t>[2940]</t>
  </si>
  <si>
    <t>['KV2940 S1D1 m5-25']</t>
  </si>
  <si>
    <t>LINESTRING (285580.185908315 6666398.602578387, 285580.9307112241 6666398.559082677, 285588.7956986201 6666393.612594019, 285597.3868261165 6666387.061018431, 285594.4473982691 6666384.096096648, 285591.24582738697 6666387.721000329, 285588.04563877033 6666390.318907281, 285585.745962254 6666392.674472842, 285581.90434542624 6666396.035384551, 285579.85912839894 6666398.164013128)</t>
  </si>
  <si>
    <t>POLYGON ((285580.185908315 6666398.602578387, 285580.9307112241 6666398.559082677, 285588.7956986201 6666393.612594019, 285597.3868261165 6666387.061018431, 285594.4473982691 6666384.096096648, 285591.24582738697 6666387.721000329, 285588.04563877033 6666390.318907281, 285585.745962254 6666392.674472842, 285581.90434542624 6666396.035384551, 285579.85912839894 6666398.164013128, 285580.185908315 6666398.602578387))</t>
  </si>
  <si>
    <t>[10759]</t>
  </si>
  <si>
    <t>['KV10759 S1D1 m155-205']</t>
  </si>
  <si>
    <t>LINESTRING (289013.9030699883 6673006.1257964885, 289013.01430803095 6673006.255122336, 289012.03112760675 6673004.648684034, 289008.128955264 6672998.946674472, 289004.828332203 6672993.4444089, 289000.42953554104 6672987.0455122795, 288997.0288058375 6672981.4485648265, 288994.927946071 6672977.640718839, 288993.42840921454 6672973.641971236, 288993.1295253564 6672971.449199862, 288995.36588637787 6672968.139324713, 288996.3660072385 6672967.333886622, 288999.19977683027 6672965.9875191115, 289003.27625864104 6672966.790718325, 289006.1617341502 6672970.207363544, 289013.6369081584 6672993.77412173, 289014.48390294163 6673005.869107998)</t>
  </si>
  <si>
    <t>POLYGON ((289013.9030699883 6673006.1257964885, 289013.01430803095 6673006.255122336, 289012.03112760675 6673004.648684034, 289008.128955264 6672998.946674472, 289004.828332203 6672993.4444089, 289000.42953554104 6672987.0455122795, 288997.0288058375 6672981.4485648265, 288994.927946071 6672977.640718839, 288993.42840921454 6672973.641971236, 288993.1295253564 6672971.449199862, 288995.36588637787 6672968.139324713, 288996.3660072385 6672967.333886622, 288999.19977683027 6672965.9875191115, 289003.27625864104 6672966.790718325, 289006.1617341502 6672970.207363544, 289013.6369081584 6672993.77412173, 289014.48390294163 6673005.869107998, 289013.9030699883 6673006.1257964885))</t>
  </si>
  <si>
    <t>['KV10759 S1D1 m6-16']</t>
  </si>
  <si>
    <t>LINESTRING (289020.2206574173 6673141.698516446, 289020.8749684625 6673146.5830740705, 289021.0792578031 6673151.48239297, 289019.74669932463 6673151.637284155, 289019.37590031524 6673145.58675445, 289019.99319285 6673141.711619212)</t>
  </si>
  <si>
    <t>POLYGON ((289020.2206574173 6673141.698516446, 289020.8749684625 6673146.5830740705, 289021.0792578031 6673151.48239297, 289019.74669932463 6673151.637284155, 289019.37590031524 6673145.58675445, 289019.99319285 6673141.711619212, 289020.2206574173 6673141.698516446))</t>
  </si>
  <si>
    <t>[10775]</t>
  </si>
  <si>
    <t>['KV10775 S3D1 m156-166']</t>
  </si>
  <si>
    <t>LINESTRING (288859.0549062975 6672398.348786879, 288854.8531540844 6672400.600028412, 288852.77267453575 6672405.943552187, 288854.47876101773 6672410.912580739, 288858.78220136836 6672412.841068699, 288862.1763037844 6672412.902176544, 288865.3694038763 6672410.731394683, 288867.32666708884 6672407.113862628, 288866.73595460725 6672402.080550274, 288864.1925717569 6672399.392085929, 288859.4311803939 6672398.405232529)</t>
  </si>
  <si>
    <t>POLYGON ((288859.0549062975 6672398.348786879, 288854.8531540844 6672400.600028412, 288852.77267453575 6672405.943552187, 288854.47876101773 6672410.912580739, 288858.78220136836 6672412.841068699, 288862.1763037844 6672412.902176544, 288865.3694038763 6672410.731394683, 288867.32666708884 6672407.113862628, 288866.73595460725 6672402.080550274, 288864.1925717569 6672399.392085929, 288859.4311803939 6672398.405232529, 288859.0549062975 6672398.348786879))</t>
  </si>
  <si>
    <t>[2270]</t>
  </si>
  <si>
    <t>['KV2270 S2D1 m13-34']</t>
  </si>
  <si>
    <t>LINESTRING (288587.6741688157 6673054.700062608, 288585.08453645074 6673053.811502059, 288583.4296276965 6673049.732563835, 288585.04466107325 6673046.659180332, 288588.70659858896 6673045.197708517, 288592.1938098003 6673047.652905451, 288592.78897860285 6673051.5028100135, 288591.3316544183 6673053.450921298, 288588.058731018 6673054.901098978)</t>
  </si>
  <si>
    <t>POLYGON ((288587.6741688157 6673054.700062608, 288585.08453645074 6673053.811502059, 288583.4296276965 6673049.732563835, 288585.04466107325 6673046.659180332, 288588.70659858896 6673045.197708517, 288592.1938098003 6673047.652905451, 288592.78897860285 6673051.5028100135, 288591.3316544183 6673053.450921298, 288588.058731018 6673054.901098978, 288587.6741688157 6673054.700062608))</t>
  </si>
  <si>
    <t>[13250]</t>
  </si>
  <si>
    <t>['KV13250 S1D1 m261-296']</t>
  </si>
  <si>
    <t>LINESTRING (288512.6838595808 6672491.52541352, 288510.0463045249 6672489.813678949, 288507.7839433726 6672486.885988572, 288507.64789913315 6672482.697057948, 288509.845309428 6672479.09892682, 288513.44878458045 6672476.904128692, 288517.4594826524 6672477.230684821, 288520.2458096231 6672479.011968658, 288522.2425572276 6672482.546566757, 288522.3457525885 6672486.938302701, 288520.57334592025 6672489.797545899, 288516.86843478965 6672491.585212013, 288513.0036402637 6672491.9534195)</t>
  </si>
  <si>
    <t>POLYGON ((288512.6838595808 6672491.52541352, 288510.0463045249 6672489.813678949, 288507.7839433726 6672486.885988572, 288507.64789913315 6672482.697057948, 288509.845309428 6672479.09892682, 288513.44878458045 6672476.904128692, 288517.4594826524 6672477.230684821, 288520.2458096231 6672479.011968658, 288522.2425572276 6672482.546566757, 288522.3457525885 6672486.938302701, 288520.57334592025 6672489.797545899, 288516.86843478965 6672491.585212013, 288513.0036402637 6672491.9534195, 288512.6838595808 6672491.52541352))</t>
  </si>
  <si>
    <t>[10850]</t>
  </si>
  <si>
    <t>['KV10850 S1D1 m183-186']</t>
  </si>
  <si>
    <t>LINESTRING (289499.8884542444 6672169.3063125, 289500.2675767434 6672170.769000131, 289498.6395410646 6672172.280035503, 289496.12172836316 6672171.386679379, 289496.1814410144 6672169.809488078, 289497.5153599879 6672168.315349508, 289499.70410748315 6672168.714186881)</t>
  </si>
  <si>
    <t>POLYGON ((289499.8884542444 6672169.3063125, 289500.2675767434 6672170.769000131, 289498.6395410646 6672172.280035503, 289496.12172836316 6672171.386679379, 289496.1814410144 6672169.809488078, 289497.5153599879 6672168.315349508, 289499.70410748315 6672168.714186881, 289499.8884542444 6672169.3063125))</t>
  </si>
  <si>
    <t>[7650]</t>
  </si>
  <si>
    <t>['KV7650 S2D1 m10-22']</t>
  </si>
  <si>
    <t>LINESTRING (289367.51612826186 6672207.462713785, 289366.44601409626 6672206.765255169, 289364.71438711626 6672204.052119598, 289364.976621178 6672202.027982062, 289367.12175229104 6672200.409024667, 289368.47640919057 6672200.632505967, 289371.01598474913 6672201.904014002, 289371.50260001584 6672205.235636599, 289368.0495027151 6672207.443211968)</t>
  </si>
  <si>
    <t>POLYGON ((289367.51612826186 6672207.462713785, 289366.44601409626 6672206.765255169, 289364.71438711626 6672204.052119598, 289364.976621178 6672202.027982062, 289367.12175229104 6672200.409024667, 289368.47640919057 6672200.632505967, 289371.01598474913 6672201.904014002, 289371.50260001584 6672205.235636599, 289368.0495027151 6672207.443211968, 289367.51612826186 6672207.462713785))</t>
  </si>
  <si>
    <t>[10270]</t>
  </si>
  <si>
    <t>['KV10270 S1D1 m134-160']</t>
  </si>
  <si>
    <t>LINESTRING (287121.67358774156 6672058.908100499, 287125.2731136285 6672061.824326347, 287126.03649376624 6672065.95455266, 287122.5561047534 6672070.264362059, 287120.19665736693 6672070.769788626, 287118.2423983369 6672070.581957008, 287115.5446275037 6672069.097888044, 287113.68517809256 6672066.995852831, 287113.19063942204 6672065.863740829, 287112.84955035127 6672064.689227346, 287114.81230613147 6672060.422935512, 287117.5605235996 6672058.845693095, 287121.2787636404 6672058.629666053)</t>
  </si>
  <si>
    <t>POLYGON ((287121.67358774156 6672058.908100499, 287125.2731136285 6672061.824326347, 287126.03649376624 6672065.95455266, 287122.5561047534 6672070.264362059, 287120.19665736693 6672070.769788626, 287118.2423983369 6672070.581957008, 287115.5446275037 6672069.097888044, 287113.68517809256 6672066.995852831, 287113.19063942204 6672065.863740829, 287112.84955035127 6672064.689227346, 287114.81230613147 6672060.422935512, 287117.5605235996 6672058.845693095, 287121.2787636404 6672058.629666053, 287121.67358774156 6672058.908100499))</t>
  </si>
  <si>
    <t>[4000]</t>
  </si>
  <si>
    <t>['KV4000 S1D1 m4-9']</t>
  </si>
  <si>
    <t>LINESTRING (287545.4039699362 6672959.232954992, 287545.82899777265 6672960.034282992, 287550.32873966056 6672959.103578146, 287550.499050947 6672958.200748215, 287545.38719363883 6672958.943718699)</t>
  </si>
  <si>
    <t>POLYGON ((287545.4039699362 6672959.232954992, 287545.82899777265 6672960.034282992, 287550.32873966056 6672959.103578146, 287550.499050947 6672958.200748215, 287545.38719363883 6672958.943718699, 287545.4039699362 6672959.232954992))</t>
  </si>
  <si>
    <t>['RV19 S1D1 m2917-2941']</t>
  </si>
  <si>
    <t>LINESTRING Z (254097.2025179476 6596354.204087178 -15.971, 254096.88803407588 6596354.615494986 -15.986, 254096.66404577025 6596354.93165133 -16.028, 254096.31833820674 6596354.86488287 -16.053, 254094.2828824269 6596353.925685708 -16.237, 254092.3389355666 6596353.081024298 -16.349, 254090.49434126876 6596352.363889717 -16.522, 254087.54653211273 6596351.305587225 -16.762, 254083.8515253048 6596350.217904913 -17.089, 254080.88003333067 6596349.406845371 -17.307, 254078.84180634544 6596348.94805223 -17.456, 254075.7459714574 6596348.323801196 -17.67, 254071.2382488528 6596347.423217104 -17.974, 254070.9611013515 6596347.273798997 -17.977, 254070.90358059504 6596347.177045139 -17.954, 254070.91026396822 6596346.930917071 -17.918, 254071.05319640113 6596346.854576174 -17.961, 254071.26991834873 6596346.862758921 -17.93, 254079.72700007271 6596348.477038689 -17.325, 254079.9274530931 6596348.497452115 -17.317, 254083.36537708653 6596347.826238793 -17.024, 254084.63418956805 6596347.654041933 -16.921, 254085.0586260498 6596347.793842935 -16.861, 254086.0980742458 6596348.116839452 -16.823, 254087.8719313384 6596348.883262451 -16.695, 254089.65711763248 6596349.6489464305 -16.573, 254091.46801188376 6596350.546966035 -16.44, 254094.37543380808 6596352.032284941 -16.212, 254096.951091993 6596353.315913331 -16.001, 254097.3291874592 6596353.704433042 -15.959, 254097.25887953962 6596354.021722202 -15.995)</t>
  </si>
  <si>
    <t>POLYGON Z ((254097.2025179476 6596354.204087178 -15.971, 254096.88803407588 6596354.615494986 -15.986, 254096.66404577025 6596354.93165133 -16.028, 254096.31833820674 6596354.86488287 -16.053, 254094.2828824269 6596353.925685708 -16.237, 254092.3389355666 6596353.081024298 -16.349, 254090.49434126876 6596352.363889717 -16.522, 254087.54653211273 6596351.305587225 -16.762, 254083.8515253048 6596350.217904913 -17.089, 254080.88003333067 6596349.406845371 -17.307, 254078.84180634544 6596348.94805223 -17.456, 254075.7459714574 6596348.323801196 -17.67, 254071.2382488528 6596347.423217104 -17.974, 254070.9611013515 6596347.273798997 -17.977, 254070.90358059504 6596347.177045139 -17.954, 254070.91026396822 6596346.930917071 -17.918, 254071.05319640113 6596346.854576174 -17.961, 254071.26991834873 6596346.862758921 -17.93, 254079.72700007271 6596348.477038689 -17.325, 254079.9274530931 6596348.497452115 -17.317, 254083.36537708653 6596347.826238793 -17.024, 254084.63418956805 6596347.654041933 -16.921, 254085.0586260498 6596347.793842935 -16.861, 254086.0980742458 6596348.116839452 -16.823, 254087.8719313384 6596348.883262451 -16.695, 254089.65711763248 6596349.6489464305 -16.573, 254091.46801188376 6596350.546966035 -16.44, 254094.37543380808 6596352.032284941 -16.212, 254096.951091993 6596353.315913331 -16.001, 254097.3291874592 6596353.704433042 -15.959, 254097.25887953962 6596354.021722202 -15.995, 254097.2025179476 6596354.204087178 -15.971))</t>
  </si>
  <si>
    <t>['RV19 S1D1 m2829-2832']</t>
  </si>
  <si>
    <t>LINESTRING Z (254173.60279723004 6596392.044538515 -12.043, 254173.4669678956 6596392.578290651 -12.12, 254173.48540071046 6596393.034966193 -12.103, 254173.7435103938 6596393.241472796 -12.093, 254175.2089587198 6596393.815877962 -12.036, 254175.5651223582 6596393.781460664 -11.986, 254175.80610877034 6596393.46419973 -11.978, 254176.0986770632 6596392.629854036 -11.975, 254175.97246879703 6596392.090871614 -12.033, 254175.73861304158 6596391.994459378 -11.991, 254174.22740371712 6596391.590557763 -12.015, 254174.00719787594 6596391.616100122 -12.037, 254173.71087171172 6596391.869966988 -12.049)</t>
  </si>
  <si>
    <t>POLYGON Z ((254173.60279723004 6596392.044538515 -12.043, 254173.4669678956 6596392.578290651 -12.12, 254173.48540071046 6596393.034966193 -12.103, 254173.7435103938 6596393.241472796 -12.093, 254175.2089587198 6596393.815877962 -12.036, 254175.5651223582 6596393.781460664 -11.986, 254175.80610877034 6596393.46419973 -11.978, 254176.0986770632 6596392.629854036 -11.975, 254175.97246879703 6596392.090871614 -12.033, 254175.73861304158 6596391.994459378 -11.991, 254174.22740371712 6596391.590557763 -12.015, 254174.00719787594 6596391.616100122 -12.037, 254173.71087171172 6596391.869966988 -12.049, 254173.60279723004 6596392.044538515 -12.043))</t>
  </si>
  <si>
    <t>['RV19 S1D1 m3052-3053']</t>
  </si>
  <si>
    <t>LINESTRING Z (253936.98281078498 6596325.615531209 -23.217, 253937.09145620582 6596325.362740032 -23.226, 253937.28173951854 6596325.2274608845 -23.241, 253940.44772671664 6596323.702794747 -23.236, 253940.63597812483 6596323.6234877175 -23.238, 253940.84427860964 6596323.676884731 -23.239, 253940.94872414443 6596323.8822492855 -23.222, 253941.18201210967 6596324.056859846 -23.242, 253941.31324012502 6596326.326523712 -23.18, 253941.130517899 6596326.751672292 -23.19, 253941.013005598 6596326.781686007 -23.209, 253940.7503824752 6596326.8546845205 -23.196, 253937.4136602014 6596326.201610738 -23.196, 253937.21087706482 6596326.05851075 -23.225, 253937.00852501433 6596325.747865076 -23.215)</t>
  </si>
  <si>
    <t>POLYGON Z ((253936.98281078498 6596325.615531209 -23.217, 253937.09145620582 6596325.362740032 -23.226, 253937.28173951854 6596325.2274608845 -23.241, 253940.44772671664 6596323.702794747 -23.236, 253940.63597812483 6596323.6234877175 -23.238, 253940.84427860964 6596323.676884731 -23.239, 253940.94872414443 6596323.8822492855 -23.222, 253941.18201210967 6596324.056859846 -23.242, 253941.31324012502 6596326.326523712 -23.18, 253941.130517899 6596326.751672292 -23.19, 253941.013005598 6596326.781686007 -23.209, 253940.7503824752 6596326.8546845205 -23.196, 253937.4136602014 6596326.201610738 -23.196, 253937.21087706482 6596326.05851075 -23.225, 253937.00852501433 6596325.747865076 -23.215, 253936.98281078498 6596325.615531209 -23.217))</t>
  </si>
  <si>
    <t>['RV19 S1D1 m2823-2826']</t>
  </si>
  <si>
    <t>LINESTRING Z (254179.49917701352 6596393.826187001 -11.838, 254179.30639884342 6596394.620515095 -11.876, 254179.3623076582 6596395.041240976 -11.853, 254179.64583782107 6596395.2014174815 -11.831, 254181.0881979187 6596395.50930533 -11.775, 254181.53485772293 6596395.379639153 -11.754, 254181.7277638538 6596395.110188213 -11.75, 254181.89191873724 6596394.5745874895 -11.697, 254181.82889350617 6596394.131990577 -11.755, 254181.5105057582 6596393.87357931 -11.782, 254180.13801721705 6596393.415949229 -11.84, 254179.78040174083 6596393.428125315 -11.82, 254179.5548156649 6596393.63270294 -11.861)</t>
  </si>
  <si>
    <t>POLYGON Z ((254179.49917701352 6596393.826187001 -11.838, 254179.30639884342 6596394.620515095 -11.876, 254179.3623076582 6596395.041240976 -11.853, 254179.64583782107 6596395.2014174815 -11.831, 254181.0881979187 6596395.50930533 -11.775, 254181.53485772293 6596395.379639153 -11.754, 254181.7277638538 6596395.110188213 -11.75, 254181.89191873724 6596394.5745874895 -11.697, 254181.82889350617 6596394.131990577 -11.755, 254181.5105057582 6596393.87357931 -11.782, 254180.13801721705 6596393.415949229 -11.84, 254179.78040174083 6596393.428125315 -11.82, 254179.5548156649 6596393.63270294 -11.861, 254179.49917701352 6596393.826187001 -11.838))</t>
  </si>
  <si>
    <t>[2700]</t>
  </si>
  <si>
    <t>['KV2700 S1D1 m6-11']</t>
  </si>
  <si>
    <t>LINESTRING (287521.6618056946 6672936.020453121, 287521.1534130108 6672934.933753699, 287525.9642591002 6672932.935755672, 287526.24233072664 6672933.8907111045, 287521.9030957783 6672936.341313457)</t>
  </si>
  <si>
    <t>POLYGON ((287521.6618056946 6672936.020453121, 287521.1534130108 6672934.933753699, 287525.9642591002 6672932.935755672, 287526.24233072664 6672933.8907111045, 287521.9030957783 6672936.341313457, 287521.6618056946 6672936.020453121))</t>
  </si>
  <si>
    <t>[9725]</t>
  </si>
  <si>
    <t>['KV9725 S1D1 m329-333']</t>
  </si>
  <si>
    <t>LINESTRING (287234.46742866363 6672620.388451844, 287236.91005805787 6672617.199370207, 287238.09164078813 6672618.1799695045, 287235.4168371145 6672621.014190186, 287234.719593417 6672620.60820737)</t>
  </si>
  <si>
    <t>POLYGON ((287234.46742866363 6672620.388451844, 287236.91005805787 6672617.199370207, 287238.09164078813 6672618.1799695045, 287235.4168371145 6672621.014190186, 287234.719593417 6672620.60820737, 287234.46742866363 6672620.388451844))</t>
  </si>
  <si>
    <t>[10051]</t>
  </si>
  <si>
    <t>['KV10051 S1D1 m523-528']</t>
  </si>
  <si>
    <t>LINESTRING (286628.44017578213 6673380.794583796, 286633.6234698235 6673380.046118053, 286634.33351047477 6673376.946329595, 286628.85496272764 6673375.111220719, 286628.11079067783 6673380.300316415)</t>
  </si>
  <si>
    <t>POLYGON ((286628.44017578213 6673380.794583796, 286633.6234698235 6673380.046118053, 286634.33351047477 6673376.946329595, 286628.85496272764 6673375.111220719, 286628.11079067783 6673380.300316415, 286628.44017578213 6673380.794583796))</t>
  </si>
  <si>
    <t>['KV10051 S1D1 m513-519']</t>
  </si>
  <si>
    <t>LINESTRING (286643.7756731296 6673380.124395281, 286643.2540945351 6673378.81532633, 286637.91637145425 6673378.155185478, 286637.8748164091 6673380.0216808645, 286643.61953554675 6673380.5018413775)</t>
  </si>
  <si>
    <t>POLYGON ((286643.7756731296 6673380.124395281, 286643.2540945351 6673378.81532633, 286637.91637145425 6673378.155185478, 286637.8748164091 6673380.0216808645, 286643.61953554675 6673380.5018413775, 286643.7756731296 6673380.124395281))</t>
  </si>
  <si>
    <t>[10052]</t>
  </si>
  <si>
    <t>['KV10052 S1D1 m4-8']</t>
  </si>
  <si>
    <t>LINESTRING (287211.03886040533 6673557.212473216, 287211.9404807526 6673555.965750608, 287214.21917392465 6673559.2600782635, 287212.997689532 6673560.078906415, 287210.671067085 6673557.300816147)</t>
  </si>
  <si>
    <t>POLYGON ((287211.03886040533 6673557.212473216, 287211.9404807526 6673555.965750608, 287214.21917392465 6673559.2600782635, 287212.997689532 6673560.078906415, 287210.671067085 6673557.300816147, 287211.03886040533 6673557.212473216))</t>
  </si>
  <si>
    <t>['KV10052 S1D1 m12-14']</t>
  </si>
  <si>
    <t>LINESTRING (287208.71675968345 6673554.512255168, 287207.45953473204 6673552.129669535, 287207.7833730971 6673551.284864792, 287209.9382452463 6673553.693425605, 287209.2984199336 6673554.177083166)</t>
  </si>
  <si>
    <t>POLYGON ((287208.71675968345 6673554.512255168, 287207.45953473204 6673552.129669535, 287207.7833730971 6673551.284864792, 287209.9382452463 6673553.693425605, 287209.2984199336 6673554.177083166, 287208.71675968345 6673554.512255168))</t>
  </si>
  <si>
    <t>[2955]</t>
  </si>
  <si>
    <t>['KV2955 S1D1 m4-23']</t>
  </si>
  <si>
    <t>LINESTRING (286591.8898346737 6673375.52373613, 286573.28502545547 6673370.814754605, 286573.46061613574 6673369.911550908, 286584.18231009727 6673370.782476517, 286592.4928252767 6673369.918694993, 286592.03984696604 6673374.94572598)</t>
  </si>
  <si>
    <t>POLYGON ((286591.8898346737 6673375.52373613, 286573.28502545547 6673370.814754605, 286573.46061613574 6673369.911550908, 286584.18231009727 6673370.782476517, 286592.4928252767 6673369.918694993, 286592.03984696604 6673374.94572598, 286591.8898346737 6673375.52373613))</t>
  </si>
  <si>
    <t>[7725]</t>
  </si>
  <si>
    <t>['KV7725 S1D1 m70 KD1 m19-32']</t>
  </si>
  <si>
    <t>LINESTRING (287269.28476747207 6673648.761158608, 287267.8260215492 6673646.836743322, 287268.03806206735 6673644.067415685, 287270.06215416186 6673641.639302071, 287273.7518031212 6673641.246374817, 287276.789665369 6673644.005505943, 287276.85497836897 6673646.75872115, 287273.3959346599 6673650.163146664, 287269.6265906837 6673649.567288163)</t>
  </si>
  <si>
    <t>POLYGON ((287269.28476747207 6673648.761158608, 287267.8260215492 6673646.836743322, 287268.03806206735 6673644.067415685, 287270.06215416186 6673641.639302071, 287273.7518031212 6673641.246374817, 287276.789665369 6673644.005505943, 287276.85497836897 6673646.75872115, 287273.3959346599 6673650.163146664, 287269.6265906837 6673649.567288163, 287269.28476747207 6673648.761158608))</t>
  </si>
  <si>
    <t>['KV7725 S1D1 m12-16']</t>
  </si>
  <si>
    <t>LINESTRING (287235.04361438594 6673592.629972665, 287237.1893984861 6673594.882806626, 287237.89847904956 6673594.250024066, 287235.7177933729 6673591.396470087, 287235.397831547 6673592.308018941)</t>
  </si>
  <si>
    <t>POLYGON ((287235.04361438594 6673592.629972665, 287237.1893984861 6673594.882806626, 287237.89847904956 6673594.250024066, 287235.7177933729 6673591.396470087, 287235.397831547 6673592.308018941, 287235.04361438594 6673592.629972665))</t>
  </si>
  <si>
    <t>['KV7725 S1D1 m5-10']</t>
  </si>
  <si>
    <t>LINESTRING (287230.7110434921 6673586.173342018, 287232.9997756601 6673589.5452294685, 287234.52366203046 6673588.853943729, 287231.99725731264 6673585.127518707, 287231.07818782434 6673586.073876616)</t>
  </si>
  <si>
    <t>POLYGON ((287230.7110434921 6673586.173342018, 287232.9997756601 6673589.5452294685, 287234.52366203046 6673588.853943729, 287231.99725731264 6673585.127518707, 287231.07818782434 6673586.073876616, 287230.7110434921 6673586.173342018))</t>
  </si>
  <si>
    <t>['KV4600 S1D1 m180-183']</t>
  </si>
  <si>
    <t>LINESTRING (287643.60763121734 6673299.657003438, 287643.5077549317 6673303.022521942, 287646.9641123112 6673302.152402214, 287645.5141134546 6673299.033014792, 287644.1983993112 6673299.477644819)</t>
  </si>
  <si>
    <t>POLYGON ((287643.60763121734 6673299.657003438, 287643.5077549317 6673303.022521942, 287646.9641123112 6673302.152402214, 287645.5141134546 6673299.033014792, 287644.1983993112 6673299.477644819, 287643.60763121734 6673299.657003438))</t>
  </si>
  <si>
    <t>['KV4600 S1D1 m143-177']</t>
  </si>
  <si>
    <t>LINESTRING (287638.11349359166 6673262.694872229, 287639.08343843784 6673264.926818358, 287641.8137547355 6673280.238879898, 287642.3638393045 6673288.477941409, 287643.5130777784 6673296.682262564, 287644.6023688881 6673296.172627642, 287643.1966578217 6673286.041009229, 287642.4573181033 6673275.881915148, 287639.19853703375 6673262.207806533, 287638.4848068432 6673262.762637422)</t>
  </si>
  <si>
    <t>POLYGON ((287638.11349359166 6673262.694872229, 287639.08343843784 6673264.926818358, 287641.8137547355 6673280.238879898, 287642.3638393045 6673288.477941409, 287643.5130777784 6673296.682262564, 287644.6023688881 6673296.172627642, 287643.1966578217 6673286.041009229, 287642.4573181033 6673275.881915148, 287639.19853703375 6673262.207806533, 287638.4848068432 6673262.762637422, 287638.11349359166 6673262.694872229))</t>
  </si>
  <si>
    <t>['KV4600 S1D1 m113-129']</t>
  </si>
  <si>
    <t>LINESTRING (287620.65041618864 6673239.731740372, 287628.32765104517 6673248.294208239, 287631.34357392153 6673251.63532392, 287632.53493466636 6673250.293788318, 287627.4677551902 6673244.024419444, 287621.2395161006 6673239.619446814)</t>
  </si>
  <si>
    <t>POLYGON ((287620.65041618864 6673239.731740372, 287628.32765104517 6673248.294208239, 287631.34357392153 6673251.63532392, 287632.53493466636 6673250.293788318, 287627.4677551902 6673244.024419444, 287621.2395161006 6673239.619446814, 287620.65041618864 6673239.731740372))</t>
  </si>
  <si>
    <t>['KV3700 S1D1 m5-13']</t>
  </si>
  <si>
    <t>LINESTRING (287394.48618040944 6673568.167254883, 287400.15636761277 6673568.619407105, 287403.16495038563 6673568.478232395, 287403.5357586567 6673567.195405408, 287395.39387696364 6673564.5315715475, 287394.36992887035 6673566.164852818, 287394.22941223497 6673567.579416484)</t>
  </si>
  <si>
    <t>POLYGON ((287394.48618040944 6673568.167254883, 287400.15636761277 6673568.619407105, 287403.16495038563 6673568.478232395, 287403.5357586567 6673567.195405408, 287395.39387696364 6673564.5315715475, 287394.36992887035 6673566.164852818, 287394.22941223497 6673567.579416484, 287394.48618040944 6673568.167254883))</t>
  </si>
  <si>
    <t>['KV3700 S2D1 m37-40']</t>
  </si>
  <si>
    <t>LINESTRING (287691.26985759044 6673458.618168205, 287693.07242946187 6673456.203159816, 287694.7989465211 6673459.005158406, 287692.218463624 6673459.523096552, 287691.36042057455 6673458.836155589)</t>
  </si>
  <si>
    <t>POLYGON ((287691.26985759044 6673458.618168205, 287693.07242946187 6673456.203159816, 287694.7989465211 6673459.005158406, 287692.218463624 6673459.523096552, 287691.36042057455 6673458.836155589, 287691.26985759044 6673458.618168205))</t>
  </si>
  <si>
    <t>[10200]</t>
  </si>
  <si>
    <t>['KV10200 S1D1 m294-298']</t>
  </si>
  <si>
    <t>LINESTRING (287678.4196533576 6673809.902201805, 287680.07224695163 6673807.495867273, 287676.20485288603 6673805.108230295, 287674.88068752945 6673806.747676082, 287677.9847983195 6673809.793473617)</t>
  </si>
  <si>
    <t>POLYGON ((287678.4196533576 6673809.902201805, 287680.07224695163 6673807.495867273, 287676.20485288603 6673805.108230295, 287674.88068752945 6673806.747676082, 287677.9847983195 6673809.793473617, 287678.4196533576 6673809.902201805))</t>
  </si>
  <si>
    <t>2023-08-12</t>
  </si>
  <si>
    <t>[6500]</t>
  </si>
  <si>
    <t>['KV6500 S1D1 m11-19']</t>
  </si>
  <si>
    <t>LINESTRING (287144.4166666141 6674063.776794335, 287145.4335538527 6674063.271197063, 287146.67913936835 6674060.28549782, 287147.21543505735 6674056.682473498, 287146.12934784347 6674055.99775652, 287144.61954092974 6674059.512269316, 287144.1007098802 6674063.415653602)</t>
  </si>
  <si>
    <t>POLYGON ((287144.4166666141 6674063.776794335, 287145.4335538527 6674063.271197063, 287146.67913936835 6674060.28549782, 287147.21543505735 6674056.682473498, 287146.12934784347 6674055.99775652, 287144.61954092974 6674059.512269316, 287144.1007098802 6674063.415653602, 287144.4166666141 6674063.776794335))</t>
  </si>
  <si>
    <t>[6900]</t>
  </si>
  <si>
    <t>['KV6900 S1D1 m7-18']</t>
  </si>
  <si>
    <t>LINESTRING (286377.3680164914 6674229.213528286, 286378.4612503499 6674233.5476508355, 286380.31409901223 6674239.645729921, 286381.76546548447 6674238.958288131, 286379.34015573165 6674229.344027832, 286377.4376393918 6674228.78530205)</t>
  </si>
  <si>
    <t>POLYGON ((286377.3680164914 6674229.213528286, 286378.4612503499 6674233.5476508355, 286380.31409901223 6674239.645729921, 286381.76546548447 6674238.958288131, 286379.34015573165 6674229.344027832, 286377.4376393918 6674228.78530205, 286377.3680164914 6674229.213528286))</t>
  </si>
  <si>
    <t>[97049]</t>
  </si>
  <si>
    <t>['KV97049 S1D1 m14-34']</t>
  </si>
  <si>
    <t>LINESTRING (287526.0060810368 6674404.007829016, 287525.5088414551 6674403.590209943, 287524.9075048069 6674401.091348896, 287527.09562073357 6674397.180456682, 287529.943912757 6674396.111033153, 287533.1773502418 6674395.253660572, 287536.1684963572 6674395.303307604, 287537.66154133924 6674399.16798659, 287534.6293279348 6674402.24606576, 287530.8328138334 6674403.66072777, 287526.6767717082 6674404.058199242)</t>
  </si>
  <si>
    <t>POLYGON ((287526.0060810368 6674404.007829016, 287525.5088414551 6674403.590209943, 287524.9075048069 6674401.091348896, 287527.09562073357 6674397.180456682, 287529.943912757 6674396.111033153, 287533.1773502418 6674395.253660572, 287536.1684963572 6674395.303307604, 287537.66154133924 6674399.16798659, 287534.6293279348 6674402.24606576, 287530.8328138334 6674403.66072777, 287526.6767717082 6674404.058199242, 287526.0060810368 6674404.007829016))</t>
  </si>
  <si>
    <t>['KV10200 S2D1 m4-13']</t>
  </si>
  <si>
    <t>LINESTRING (287702.999141449 6673829.997192565, 287706.24136743986 6673832.834089308, 287710.48951447336 6673835.1661942825, 287710.8179455851 6673834.399307075, 287704.537704644 6673827.831880218, 287703.29119377537 6673829.466813372)</t>
  </si>
  <si>
    <t>POLYGON ((287702.999141449 6673829.997192565, 287706.24136743986 6673832.834089308, 287710.48951447336 6673835.1661942825, 287710.8179455851 6673834.399307075, 287704.537704644 6673827.831880218, 287703.29119377537 6673829.466813372, 287702.999141449 6673829.997192565))</t>
  </si>
  <si>
    <t>2023-08-14</t>
  </si>
  <si>
    <t>[8700]</t>
  </si>
  <si>
    <t>['KV8700 S3D1 m11-18']</t>
  </si>
  <si>
    <t>LINESTRING (287539.3297700274 6674615.6463753395, 287542.3835756555 6674614.285971723, 287545.1890833974 6674612.48234147, 287544.8981716918 6674611.304896893, 287538.65351578174 6674613.006756862, 287538.9155935409 6674614.9337250525)</t>
  </si>
  <si>
    <t>POLYGON ((287539.3297700274 6674615.6463753395, 287542.3835756555 6674614.285971723, 287545.1890833974 6674612.48234147, 287544.8981716918 6674611.304896893, 287538.65351578174 6674613.006756862, 287538.9155935409 6674614.9337250525, 287539.3297700274 6674615.6463753395))</t>
  </si>
  <si>
    <t>['KV8700 S3D1 m6-8']</t>
  </si>
  <si>
    <t>LINESTRING (287534.38742261357 6674616.681076093, 287533.92546600336 6674615.145215261, 287535.9117121657 6674614.66158969, 287536.3865811203 6674616.4199402435, 287535.07136844273 6674616.864618936)</t>
  </si>
  <si>
    <t>POLYGON ((287534.38742261357 6674616.681076093, 287533.92546600336 6674615.145215261, 287535.9117121657 6674614.66158969, 287536.3865811203 6674616.4199402435, 287535.07136844273 6674616.864618936, 287534.38742261357 6674616.681076093))</t>
  </si>
  <si>
    <t>[6823]</t>
  </si>
  <si>
    <t>['KV6823 S1D1 m699-713']</t>
  </si>
  <si>
    <t>LINESTRING (288757.82614047703 6675226.885005273, 288758.29983304214 6675226.031699955, 288766.6158072445 6675223.989087769, 288770.69780691765 6675223.675360337, 288771.15534224594 6675225.144618473, 288764.6812208819 6675226.712578477, 288758.15958894696 6675227.457328151)</t>
  </si>
  <si>
    <t>POLYGON ((288757.82614047703 6675226.885005273, 288758.29983304214 6675226.031699955, 288766.6158072445 6675223.989087769, 288770.69780691765 6675223.675360337, 288771.15534224594 6675225.144618473, 288764.6812208819 6675226.712578477, 288758.15958894696 6675227.457328151, 288757.82614047703 6675226.885005273))</t>
  </si>
  <si>
    <t>[12352]</t>
  </si>
  <si>
    <t>['KV12352 S1D1 m13-19']</t>
  </si>
  <si>
    <t>LINESTRING (287666.05614064616 6675311.617780307, 287671.953818207 6675310.572407798, 287671.6591000948 6675309.328207659, 287665.87078578345 6675308.614811151, 287665.80002920807 6675311.23080979)</t>
  </si>
  <si>
    <t>POLYGON ((287666.05614064616 6675311.617780307, 287671.953818207 6675310.572407798, 287671.6591000948 6675309.328207659, 287665.87078578345 6675308.614811151, 287665.80002920807 6675311.23080979, 287666.05614064616 6675311.617780307))</t>
  </si>
  <si>
    <t>['KV12352 S1D1 m6-9']</t>
  </si>
  <si>
    <t>LINESTRING (287659.33344678907 6675310.333537221, 287662.3365789921 6675311.945205533, 287662.24988166464 6675309.204398784, 287659.60601449135 6675309.949378737)</t>
  </si>
  <si>
    <t>POLYGON ((287659.33344678907 6675310.333537221, 287662.3365789921 6675311.945205533, 287662.24988166464 6675309.204398784, 287659.60601449135 6675309.949378737, 287659.33344678907 6675310.333537221))</t>
  </si>
  <si>
    <t>[5530]</t>
  </si>
  <si>
    <t>['KV5530 S1D1 m8-14']</t>
  </si>
  <si>
    <t>LINESTRING (289881.37544932665 6673167.835125716, 289879.7060438762 6673165.028944136, 289879.2482303521 6673161.996995345, 289880.88038182247 6673161.82523035, 289881.8758863134 6673167.4380911775)</t>
  </si>
  <si>
    <t>POLYGON ((289881.37544932665 6673167.835125716, 289879.7060438762 6673165.028944136, 289879.2482303521 6673161.996995345, 289880.88038182247 6673161.82523035, 289881.8758863134 6673167.4380911775, 289881.37544932665 6673167.835125716))</t>
  </si>
  <si>
    <t>[9245]</t>
  </si>
  <si>
    <t>['KV9245 S1D1 m9-26']</t>
  </si>
  <si>
    <t>LINESTRING (287852.1053027569 6673241.598160462, 287852.06408767885 6673246.5564025175, 287853.4672183278 6673253.674510665, 287854.5644754502 6673258.298923657, 287858.25223560154 6673257.482576701, 287852.55750355544 6673241.71707092)</t>
  </si>
  <si>
    <t>POLYGON ((287852.1053027569 6673241.598160462, 287852.06408767885 6673246.5564025175, 287853.4672183278 6673253.674510665, 287854.5644754502 6673258.298923657, 287858.25223560154 6673257.482576701, 287852.55750355544 6673241.71707092, 287852.1053027569 6673241.598160462))</t>
  </si>
  <si>
    <t>[8100]</t>
  </si>
  <si>
    <t>['KV8100 S2D1 m124-140']</t>
  </si>
  <si>
    <t>LINESTRING (288394.64773361234 6673305.387990473, 288395.5216970437 6673305.292848204, 288403.50177426625 6673306.416751542, 288407.62069271866 6673306.993587054, 288410.5937777789 6673306.620910177, 288411.1515642856 6673302.112840723, 288410.065537282 6673301.427749628, 288395.0637049498 6673304.013389713, 288394.657406533 6673304.784699231)</t>
  </si>
  <si>
    <t>POLYGON ((288394.64773361234 6673305.387990473, 288395.5216970437 6673305.292848204, 288403.50177426625 6673306.416751542, 288407.62069271866 6673306.993587054, 288410.5937777789 6673306.620910177, 288411.1515642856 6673302.112840723, 288410.065537282 6673301.427749628, 288395.0637049498 6673304.013389713, 288394.657406533 6673304.784699231, 288394.64773361234 6673305.387990473))</t>
  </si>
  <si>
    <t>[2840]</t>
  </si>
  <si>
    <t>['KV2840 S1D1 m378-387']</t>
  </si>
  <si>
    <t>LINESTRING (287937.06115225784 6673589.693020558, 287936.66318243823 6673593.008804828, 287938.1275543634 6673597.824046511, 287940.9856084472 6673596.910700264, 287937.6675940354 6673589.8811390065)</t>
  </si>
  <si>
    <t>POLYGON ((287937.06115225784 6673589.693020558, 287936.66318243823 6673593.008804828, 287938.1275543634 6673597.824046511, 287940.9856084472 6673596.910700264, 287937.6675940354 6673589.8811390065, 287937.06115225784 6673589.693020558))</t>
  </si>
  <si>
    <t>['KV2840 S1D1 m4-14']</t>
  </si>
  <si>
    <t>LINESTRING (287961.951282094 6673265.418593933, 287962.4435989141 6673255.846744089, 287961.6100301004 6673254.332349879, 287958.0295475079 6673255.655823667, 287959.8982637116 6673260.916464206, 287961.30591199995 6673265.712679226)</t>
  </si>
  <si>
    <t>POLYGON ((287961.951282094 6673265.418593933, 287962.4435989141 6673255.846744089, 287961.6100301004 6673254.332349879, 287958.0295475079 6673255.655823667, 287959.8982637116 6673260.916464206, 287961.30591199995 6673265.712679226, 287961.951282094 6673265.418593933))</t>
  </si>
  <si>
    <t>[5459]</t>
  </si>
  <si>
    <t>['KV5459 S5D1 m4-15']</t>
  </si>
  <si>
    <t>LINESTRING (287917.6981495636 6673620.1699663, 287917.17705923435 6673618.860725289, 287927.58471151587 6673614.239728208, 287928.88528511254 6673618.6291412935, 287922.8638270672 6673619.122960431, 287917.7234179373 6673620.414063166)</t>
  </si>
  <si>
    <t>POLYGON ((287917.6981495636 6673620.1699663, 287917.17705923435 6673618.860725289, 287927.58471151587 6673614.239728208, 287928.88528511254 6673618.6291412935, 287922.8638270672 6673619.122960431, 287917.7234179373 6673620.414063166, 287917.6981495636 6673620.1699663))</t>
  </si>
  <si>
    <t>['KV5459 S1D1 m264 KD1 m15-67']</t>
  </si>
  <si>
    <t>LINESTRING (288121.92040356796 6673576.235831341, 288117.6031607356 6673572.612481181, 288116.91090153763 6673569.594206108, 288117.24249547545 6673565.032174987, 288120.25132994284 6673561.721628144, 288121.7912119316 6673561.208386487, 288124.1476828252 6673560.859974038, 288126.8009203482 6673561.119453053, 288128.0920945769 6673561.50238398, 288130.4665562033 6673562.715583828, 288132.7756425261 6673567.705248582, 288131.5080095293 6673572.924167398, 288127.5177052927 6673576.202194795, 288122.59999219305 6673576.341615113)</t>
  </si>
  <si>
    <t>POLYGON ((288121.92040356796 6673576.235831341, 288117.6031607356 6673572.612481181, 288116.91090153763 6673569.594206108, 288117.24249547545 6673565.032174987, 288120.25132994284 6673561.721628144, 288121.7912119316 6673561.208386487, 288124.1476828252 6673560.859974038, 288126.8009203482 6673561.119453053, 288128.0920945769 6673561.50238398, 288130.4665562033 6673562.715583828, 288132.7756425261 6673567.705248582, 288131.5080095293 6673572.924167398, 288127.5177052927 6673576.202194795, 288122.59999219305 6673576.341615113, 288121.92040356796 6673576.235831341))</t>
  </si>
  <si>
    <t>['KV5459 S1D1 m250-259']</t>
  </si>
  <si>
    <t>LINESTRING (288140.21413495764 6673568.614318555, 288139.2004915222 6673563.985014102, 288149.02432782983 6673564.756104377, 288149.4429764474 6673565.54669511, 288143.0001357636 6673567.705303287, 288140.28787319316 6673569.023038363)</t>
  </si>
  <si>
    <t>POLYGON ((288140.21413495764 6673568.614318555, 288139.2004915222 6673563.985014102, 288149.02432782983 6673564.756104377, 288149.4429764474 6673565.54669511, 288143.0001357636 6673567.705303287, 288140.28787319316 6673569.023038363, 288140.21413495764 6673568.614318555))</t>
  </si>
  <si>
    <t>['KV5459 S1D1 m10-15']</t>
  </si>
  <si>
    <t>LINESTRING (288375.2864164314 6673503.008734152, 288385.5193967621 6673497.952727501, 288386.86531366257 6673503.232579638, 288375.62985574 6673503.558135572)</t>
  </si>
  <si>
    <t>POLYGON ((288375.2864164314 6673503.008734152, 288385.5193967621 6673497.952727501, 288386.86531366257 6673503.232579638, 288375.62985574 6673503.558135572, 288375.2864164314 6673503.008734152))</t>
  </si>
  <si>
    <t>['KV5459 S6D1 m135 KD1 m28-56']</t>
  </si>
  <si>
    <t>LINESTRING (288544.6935266156 6673420.940090623, 288546.4910991702 6673418.525833396, 288549.8032570514 6673417.6648950055, 288552.8326033136 6673418.461054841, 288554.4315569877 6673421.572137855, 288554.8512312244 6673423.63514089, 288553.0735677486 6673426.394256334, 288548.0899849335 6673427.708870927, 288546.35227811744 6673426.436317135, 288544.78736210684 6673423.914840912, 288544.19775400066 6673421.415183285)</t>
  </si>
  <si>
    <t>POLYGON ((288544.6935266156 6673420.940090623, 288546.4910991702 6673418.525833396, 288549.8032570514 6673417.6648950055, 288552.8326033136 6673418.461054841, 288554.4315569877 6673421.572137855, 288554.8512312244 6673423.63514089, 288553.0735677486 6673426.394256334, 288548.0899849335 6673427.708870927, 288546.35227811744 6673426.436317135, 288544.78736210684 6673423.914840912, 288544.19775400066 6673421.415183285, 288544.6935266156 6673420.940090623))</t>
  </si>
  <si>
    <t>['KV5459 S6D1 m16-46']</t>
  </si>
  <si>
    <t>LINESTRING (288436.83591103606 6673483.480088331, 288437.8913078547 6673482.961488447, 288440.4917301035 6673481.728578788, 288450.9621028819 6673476.636728482, 288461.36475473666 6673471.046545519, 288463.01529593684 6673469.84619763, 288462.39601700753 6673469.435500757, 288441.9348776759 6673479.636103347, 288437.4647053903 6673479.816208736, 288435.4822458733 6673480.377203399, 288436.7521596081 6673482.993811585)</t>
  </si>
  <si>
    <t>POLYGON ((288436.83591103606 6673483.480088331, 288437.8913078547 6673482.961488447, 288440.4917301035 6673481.728578788, 288450.9621028819 6673476.636728482, 288461.36475473666 6673471.046545519, 288463.01529593684 6673469.84619763, 288462.39601700753 6673469.435500757, 288441.9348776759 6673479.636103347, 288437.4647053903 6673479.816208736, 288435.4822458733 6673480.377203399, 288436.7521596081 6673482.993811585, 288436.83591103606 6673483.480088331))</t>
  </si>
  <si>
    <t>['KV5459 S6D1 m4-13']</t>
  </si>
  <si>
    <t>LINESTRING (288426.1142877471 6673491.544350077, 288433.7446460088 6673485.176663625, 288432.2271267827 6673482.127892513, 288424.1733307758 6673486.176086353, 288425.71257369645 6673490.8532089535)</t>
  </si>
  <si>
    <t>POLYGON ((288426.1142877471 6673491.544350077, 288433.7446460088 6673485.176663625, 288432.2271267827 6673482.127892513, 288424.1733307758 6673486.176086353, 288425.71257369645 6673490.8532089535, 288426.1142877471 6673491.544350077))</t>
  </si>
  <si>
    <t>['KV5459 S3D1 m5-15']</t>
  </si>
  <si>
    <t>LINESTRING (288109.0939212054 6673567.434639205, 288109.9378488505 6673572.977862678, 288105.35130396776 6673571.914994825, 288099.28569217224 6673572.031571704, 288099.45994944125 6673571.1955163, 288108.27396273916 6673567.403950453)</t>
  </si>
  <si>
    <t>POLYGON ((288109.0939212054 6673567.434639205, 288109.9378488505 6673572.977862678, 288105.35130396776 6673571.914994825, 288099.28569217224 6673572.031571704, 288099.45994944125 6673571.1955163, 288108.27396273916 6673567.403950453, 288109.0939212054 6673567.434639205))</t>
  </si>
  <si>
    <t>['KV5459 S3D1 m150-161']</t>
  </si>
  <si>
    <t>LINESTRING (287957.616451049 6673606.908594994, 287958.4798721472 6673610.285279175, 287968.0453716222 6673606.594949292, 287968.71140868164 6673605.216967401, 287959.31605998136 6673605.69400056, 287957.46220443613 6673606.359435332)</t>
  </si>
  <si>
    <t>POLYGON ((287957.616451049 6673606.908594994, 287958.4798721472 6673610.285279175, 287968.0453716222 6673606.594949292, 287968.71140868164 6673605.216967401, 287959.31605998136 6673605.69400056, 287957.46220443613 6673606.359435332, 287957.616451049 6673606.908594994))</t>
  </si>
  <si>
    <t>['KV5459 S3D1 m165 KD2 m34-71']</t>
  </si>
  <si>
    <t>LINESTRING (287941.98539799766 6673619.366204928, 287939.3315697338 6673618.615775203, 287936.74247951776 6673616.388237368, 287935.8473673458 6673613.906338098, 287936.2692728031 6673609.562279269, 287938.57144651713 6673606.738963352, 287941.4590908475 6673605.087222994, 287942.82192385144 6673604.785068414, 287945.61973874323 6673605.42670717, 287948.178196608 6673606.740755674, 287950.33127315366 6673608.647532441, 287950.53729614656 6673613.647260948, 287947.16847378406 6673618.619595524, 287942.60575653333 6673619.698621639)</t>
  </si>
  <si>
    <t>POLYGON ((287941.98539799766 6673619.366204928, 287939.3315697338 6673618.615775203, 287936.74247951776 6673616.388237368, 287935.8473673458 6673613.906338098, 287936.2692728031 6673609.562279269, 287938.57144651713 6673606.738963352, 287941.4590908475 6673605.087222994, 287942.82192385144 6673604.785068414, 287945.61973874323 6673605.42670717, 287948.178196608 6673606.740755674, 287950.33127315366 6673608.647532441, 287950.53729614656 6673613.647260948, 287947.16847378406 6673618.619595524, 287942.60575653333 6673619.698621639, 287941.98539799766 6673619.366204928))</t>
  </si>
  <si>
    <t>[5900]</t>
  </si>
  <si>
    <t>['KV5900 S1D1 m322-334']</t>
  </si>
  <si>
    <t>LINESTRING (288200.4353494685 6673892.003231281, 288200.5753964674 6673892.307660182, 288201.8700771794 6673895.447362703, 288202.6453525993 6673898.170638302, 288203.4672516518 6673903.3356452435, 288208.58946062124 6673901.543691014, 288201.7584614739 6673891.882051762, 288200.8525566859 6673891.711216283)</t>
  </si>
  <si>
    <t>POLYGON ((288200.4353494685 6673892.003231281, 288200.5753964674 6673892.307660182, 288201.8700771794 6673895.447362703, 288202.6453525993 6673898.170638302, 288203.4672516518 6673903.3356452435, 288208.58946062124 6673901.543691014, 288201.7584614739 6673891.882051762, 288200.8525566859 6673891.711216283, 288200.4353494685 6673892.003231281))</t>
  </si>
  <si>
    <t>['KV5900 S2D1 m819-832']</t>
  </si>
  <si>
    <t>LINESTRING (288412.2635101187 6674500.572137994, 288426.99230865703 6674499.79900651, 288426.56859273894 6674496.318709222, 288412.2713088071 6674499.455513188, 288411.88357781 6674500.448994667)</t>
  </si>
  <si>
    <t>POLYGON ((288412.2635101187 6674500.572137994, 288426.99230865703 6674499.79900651, 288426.56859273894 6674496.318709222, 288412.2713088071 6674499.455513188, 288411.88357781 6674500.448994667, 288412.2635101187 6674500.572137994))</t>
  </si>
  <si>
    <t>['KV3025 S2D1 m67-95']</t>
  </si>
  <si>
    <t>LINESTRING (288330.0065256661 6673698.55617795, 288327.30205192266 6673696.926629048, 288326.21155348804 6673693.563011195, 288327.60359119205 6673689.241085413, 288330.294510689 6673688.036337362, 288332.96926280647 6673687.803596935, 288335.26350252423 6673688.78715845, 288336.8703712481 6673690.781523209, 288338.13580419036 6673693.320225452, 288336.8856661273 6673696.14943367, 288334.0657033643 6673699.069381796, 288330.6822250943 6673698.595252372)</t>
  </si>
  <si>
    <t>POLYGON ((288330.0065256661 6673698.55617795, 288327.30205192266 6673696.926629048, 288326.21155348804 6673693.563011195, 288327.60359119205 6673689.241085413, 288330.294510689 6673688.036337362, 288332.96926280647 6673687.803596935, 288335.26350252423 6673688.78715845, 288336.8703712481 6673690.781523209, 288338.13580419036 6673693.320225452, 288336.8856661273 6673696.14943367, 288334.0657033643 6673699.069381796, 288330.6822250943 6673698.595252372, 288330.0065256661 6673698.55617795))</t>
  </si>
  <si>
    <t>['KV5900 S1D1 m338 KD1 m60-64']</t>
  </si>
  <si>
    <t>LINESTRING (288213.0268612224 6673924.090526734, 288207.07481034193 6673922.503812669, 288205.47653541 6673919.984405381, 288205.45264108444 6673914.471872124, 288208.5321976719 6673910.9452142855, 288212.8859926981 6673910.012520554, 288216.57289108064 6673911.8865233995, 288218.5107564292 6673915.658735389, 288217.8158598654 6673920.386870253, 288213.7662655836 6673923.980788917)</t>
  </si>
  <si>
    <t>POLYGON ((288213.0268612224 6673924.090526734, 288207.07481034193 6673922.503812669, 288205.47653541 6673919.984405381, 288205.45264108444 6673914.471872124, 288208.5321976719 6673910.9452142855, 288212.8859926981 6673910.012520554, 288216.57289108064 6673911.8865233995, 288218.5107564292 6673915.658735389, 288217.8158598654 6673920.386870253, 288213.7662655836 6673923.980788917, 288213.0268612224 6673924.090526734))</t>
  </si>
  <si>
    <t>['KV5900 S2D1 m4-10']</t>
  </si>
  <si>
    <t>LINESTRING (288195.3712760837 6673931.072159048, 288197.584508469 6673933.254622271, 288202.6977010401 6673930.056794441, 288198.6937419123 6673925.299085168, 288195.1175668286 6673930.91940828)</t>
  </si>
  <si>
    <t>POLYGON ((288195.3712760837 6673931.072159048, 288197.584508469 6673933.254622271, 288202.6977010401 6673930.056794441, 288198.6937419123 6673925.299085168, 288195.1175668286 6673930.91940828, 288195.3712760837 6673931.072159048))</t>
  </si>
  <si>
    <t>['KV5900 S2D1 m14-17']</t>
  </si>
  <si>
    <t>LINESTRING (288191.69802771724 6673937.323161056, 288194.4915045734 6673935.297553494, 288193.4027840481 6673934.467589172, 288191.25692555186 6673936.913367935)</t>
  </si>
  <si>
    <t>POLYGON ((288191.69802771724 6673937.323161056, 288194.4915045734 6673935.297553494, 288193.4027840481 6673934.467589172, 288191.25692555186 6673936.913367935, 288191.69802771724 6673937.323161056))</t>
  </si>
  <si>
    <t>[2294]</t>
  </si>
  <si>
    <t>['KV2294 S1D1 m7-20']</t>
  </si>
  <si>
    <t>LINESTRING (288393.2783432217 6673951.295392155, 288393.45327940915 6673950.470476096, 288407.0442255108 6673950.577998634, 288406.31500359153 6673952.115810133, 288400.9458820266 6673951.946130609, 288393.6520521706 6673951.887690062)</t>
  </si>
  <si>
    <t>POLYGON ((288393.2783432217 6673951.295392155, 288393.45327940915 6673950.470476096, 288407.0442255108 6673950.577998634, 288406.31500359153 6673952.115810133, 288400.9458820266 6673951.946130609, 288393.6520521706 6673951.887690062, 288393.2783432217 6673951.295392155))</t>
  </si>
  <si>
    <t>['KV2294 S1D1 m178-191']</t>
  </si>
  <si>
    <t>LINESTRING (288227.9910003892 6673915.701998342, 288239.91637655545 6673917.992493894, 288240.33111488796 6673918.716346658, 288235.3887260561 6673919.6718871035, 288232.7096410452 6673919.826830209, 288227.2486771031 6673920.957476515, 288227.3372135058 6673916.041178461)</t>
  </si>
  <si>
    <t>POLYGON ((288227.9910003892 6673915.701998342, 288239.91637655545 6673917.992493894, 288240.33111488796 6673918.716346658, 288235.3887260561 6673919.6718871035, 288232.7096410452 6673919.826830209, 288227.2486771031 6673920.957476515, 288227.3372135058 6673916.041178461, 288227.9910003892 6673915.701998342))</t>
  </si>
  <si>
    <t>2023-08-15</t>
  </si>
  <si>
    <t>[12476]</t>
  </si>
  <si>
    <t>['KV12476 S1D1 m803 KD1 m10-27']</t>
  </si>
  <si>
    <t>LINESTRING (288287.61645164725 6675702.949266592, 288289.38153870427 6675702.690878847, 288292.86984613317 6675703.181090448, 288296.05997062573 6675704.670795199, 288298.68787347013 6675707.01900269, 288300.0280294657 6675710.569054712, 288300.2635763687 6675713.3905249685, 288299.5209453988 6675716.03418895, 288298.031553852 6675718.65408586, 288295.84663139173 6675720.789618907, 288293.0076051408 6675722.003082202, 288290.13768627506 6675722.682568586, 288287.19954231277 6675722.182853334, 288284.0936699349 6675720.130192115, 288282.2445045279 6675717.781585202, 288280.99241082126 6675715.465403729, 288280.5675018959 6675712.063314194, 288281.77976871957 6675708.499528339, 288284.50294670626 6675705.283634804, 288287.2949987977 6675703.258071866)</t>
  </si>
  <si>
    <t>POLYGON ((288287.61645164725 6675702.949266592, 288289.38153870427 6675702.690878847, 288292.86984613317 6675703.181090448, 288296.05997062573 6675704.670795199, 288298.68787347013 6675707.01900269, 288300.0280294657 6675710.569054712, 288300.2635763687 6675713.3905249685, 288299.5209453988 6675716.03418895, 288298.031553852 6675718.65408586, 288295.84663139173 6675720.789618907, 288293.0076051408 6675722.003082202, 288290.13768627506 6675722.682568586, 288287.19954231277 6675722.182853334, 288284.0936699349 6675720.130192115, 288282.2445045279 6675717.781585202, 288280.99241082126 6675715.465403729, 288280.5675018959 6675712.063314194, 288281.77976871957 6675708.499528339, 288284.50294670626 6675705.283634804, 288287.2949987977 6675703.258071866, 288287.61645164725 6675702.949266592))</t>
  </si>
  <si>
    <t>['KV5459 S8D1 m0-51']</t>
  </si>
  <si>
    <t>LINESTRING (288693.36103566084 6673337.687798335, 288697.3986997028 6673337.82317444, 288700.47147889197 6673340.626047574, 288700.5277217644 6673344.205689236, 288699.0476890565 6673347.784673593, 288695.2980487031 6673350.132886329, 288690.6475460271 6673352.399141252, 288687.3470874017 6673353.560635112, 288684.7657549028 6673353.776545602, 288682.33452763304 6673353.314098129, 288681.4878500692 6673351.8561295355, 288680.3047398826 6673350.741261168, 288679.3546719481 6673348.552590053, 288680.0854377793 6673345.686528048, 288683.17366857023 6673342.2937830025, 288692.70260971953 6673337.949020306)</t>
  </si>
  <si>
    <t>POLYGON ((288693.36103566084 6673337.687798335, 288697.3986997028 6673337.82317444, 288700.47147889197 6673340.626047574, 288700.5277217644 6673344.205689236, 288699.0476890565 6673347.784673593, 288695.2980487031 6673350.132886329, 288690.6475460271 6673352.399141252, 288687.3470874017 6673353.560635112, 288684.7657549028 6673353.776545602, 288682.33452763304 6673353.314098129, 288681.4878500692 6673351.8561295355, 288680.3047398826 6673350.741261168, 288679.3546719481 6673348.552590053, 288680.0854377793 6673345.686528048, 288683.17366857023 6673342.2937830025, 288692.70260971953 6673337.949020306, 288693.36103566084 6673337.687798335))</t>
  </si>
  <si>
    <t>[1241]</t>
  </si>
  <si>
    <t>['KV1241 S1D1 m304-317']</t>
  </si>
  <si>
    <t>LINESTRING (288702.7185388596 6673890.508921444, 288702.74270996114 6673888.420297032, 288707.0934026998 6673887.432570351, 288715.0530541871 6673886.97327083, 288714.97133391735 6673888.161121473, 288708.52048210095 6673890.174120164, 288705.41864255525 6673890.911193498, 288702.75187005557 6673890.797201088)</t>
  </si>
  <si>
    <t>POLYGON ((288702.7185388596 6673890.508921444, 288702.74270996114 6673888.420297032, 288707.0934026998 6673887.432570351, 288715.0530541871 6673886.97327083, 288714.97133391735 6673888.161121473, 288708.52048210095 6673890.174120164, 288705.41864255525 6673890.911193498, 288702.75187005557 6673890.797201088, 288702.7185388596 6673890.508921444))</t>
  </si>
  <si>
    <t>[5728]</t>
  </si>
  <si>
    <t>['KV5728 S1D1 m8-17']</t>
  </si>
  <si>
    <t>LINESTRING (284940.8304002697 6674094.328101745, 284941.1006152759 6674095.138258341, 284939.81929736905 6674098.718557436, 284936.3121782096 6674102.496571315, 284935.5972633831 6674101.790673739, 284937.7454397223 6674097.712953632, 284940.378178818 6674094.20955075)</t>
  </si>
  <si>
    <t>POLYGON ((284940.8304002697 6674094.328101745, 284941.1006152759 6674095.138258341, 284939.81929736905 6674098.718557436, 284936.3121782096 6674102.496571315, 284935.5972633831 6674101.790673739, 284937.7454397223 6674097.712953632, 284940.378178818 6674094.20955075, 284940.8304002697 6674094.328101745))</t>
  </si>
  <si>
    <t>['KV31 S1D1 m5-11']</t>
  </si>
  <si>
    <t>LINESTRING (285211.6946793998 6674791.198003226, 285213.167825843 6674790.888312713, 285217.28954267886 6674793.704988205, 285216.3928345537 6674795.018966016, 285211.6278150614 6674791.480989144, 285211.50711339 6674791.320634164)</t>
  </si>
  <si>
    <t>POLYGON ((285211.6946793998 6674791.198003226, 285213.167825843 6674790.888312713, 285217.28954267886 6674793.704988205, 285216.3928345537 6674795.018966016, 285211.6278150614 6674791.480989144, 285211.50711339 6674791.320634164, 285211.6946793998 6674791.198003226))</t>
  </si>
  <si>
    <t>[9425]</t>
  </si>
  <si>
    <t>['KV9425 S2D1 m5-30']</t>
  </si>
  <si>
    <t>LINESTRING (284581.6999819216 6675444.464752668, 284584.90674167103 6675444.499245872, 284588.41493485897 6675441.903935271, 284590.5826700274 6675437.992195941, 284589.8795481151 6675433.892233924, 284586.58317902917 6675429.877938738, 284582.94336895045 6675428.819643077, 284579.3903401202 6675429.330178607, 284577.1754699821 6675431.023328717, 284574.9454921307 6675433.688521768, 284574.3838580648 6675438.041535187, 284576.27292092063 6675442.2502875775, 284580.7251011119 6675444.4439991545)</t>
  </si>
  <si>
    <t>POLYGON ((284581.6999819216 6675444.464752668, 284584.90674167103 6675444.499245872, 284588.41493485897 6675441.903935271, 284590.5826700274 6675437.992195941, 284589.8795481151 6675433.892233924, 284586.58317902917 6675429.877938738, 284582.94336895045 6675428.819643077, 284579.3903401202 6675429.330178607, 284577.1754699821 6675431.023328717, 284574.9454921307 6675433.688521768, 284574.3838580648 6675438.041535187, 284576.27292092063 6675442.2502875775, 284580.7251011119 6675444.4439991545, 284581.6999819216 6675444.464752668))</t>
  </si>
  <si>
    <t>[6620]</t>
  </si>
  <si>
    <t>['KV6620 S1D1 m8-16']</t>
  </si>
  <si>
    <t>LINESTRING (284939.978493168 6674131.940098267, 284940.93149463437 6674131.582732497, 284943.4197814164 6674129.505457549, 284945.0090953377 6674126.052181345, 284944.77901513653 6674125.261992357, 284942.06761503394 6674128.089098962, 284939.7350692926 6674131.586032516)</t>
  </si>
  <si>
    <t>POLYGON ((284939.978493168 6674131.940098267, 284940.93149463437 6674131.582732497, 284943.4197814164 6674129.505457549, 284945.0090953377 6674126.052181345, 284944.77901513653 6674125.261992357, 284942.06761503394 6674128.089098962, 284939.7350692926 6674131.586032516, 284939.978493168 6674131.940098267))</t>
  </si>
  <si>
    <t>['KV8060 S1D1 m5-11']</t>
  </si>
  <si>
    <t>LINESTRING (281996.6565345333 6678670.711362361, 281990.79061565164 6678667.343801006, 281989.3859403016 6678671.290106668, 281996.55545856326 6678670.974148157)</t>
  </si>
  <si>
    <t>POLYGON ((281996.6565345333 6678670.711362361, 281990.79061565164 6678667.343801006, 281989.3859403016 6678671.290106668, 281996.55545856326 6678670.974148157, 281996.6565345333 6678670.711362361))</t>
  </si>
  <si>
    <t>[11650]</t>
  </si>
  <si>
    <t>['KV11650 S1D1 m8-26']</t>
  </si>
  <si>
    <t>LINESTRING (281868.49131144036 6679144.139668108, 281886.0922224445 6679141.7495972095, 281888.1346525212 6679143.5589774335, 281885.1575845195 6679146.114455932, 281871.29944360506 6679146.2047514, 281868.54442498705 6679145.029571874)</t>
  </si>
  <si>
    <t>POLYGON ((281868.49131144036 6679144.139668108, 281886.0922224445 6679141.7495972095, 281888.1346525212 6679143.5589774335, 281885.1575845195 6679146.114455932, 281871.29944360506 6679146.2047514, 281868.54442498705 6679145.029571874, 281868.49131144036 6679144.139668108))</t>
  </si>
  <si>
    <t>[5260]</t>
  </si>
  <si>
    <t>['KV5260 S1D1 m559-563']</t>
  </si>
  <si>
    <t>LINESTRING (282082.70182832005 6679469.823299833, 282082.54571836966 6679469.162806292, 282080.63504390896 6679466.296123413, 282082.65892565483 6679465.28236221, 282083.14580554457 6679469.718680461)</t>
  </si>
  <si>
    <t>POLYGON ((282082.70182832005 6679469.823299833, 282082.54571836966 6679469.162806292, 282080.63504390896 6679466.296123413, 282082.65892565483 6679465.28236221, 282083.14580554457 6679469.718680461, 282082.70182832005 6679469.823299833))</t>
  </si>
  <si>
    <t>['KV5260 S1D1 m9-23']</t>
  </si>
  <si>
    <t>LINESTRING (282380.7076745514 6679909.793926425, 282381.71961163613 6679901.9639822645, 282382.09271119116 6679899.083949823, 282382.54400437744 6679896.21042357, 282383.9180087737 6679896.41883404, 282382.60431961855 6679909.446530862, 282381.4364457227 6679909.806336688)</t>
  </si>
  <si>
    <t>POLYGON ((282380.7076745514 6679909.793926425, 282381.71961163613 6679901.9639822645, 282382.09271119116 6679899.083949823, 282382.54400437744 6679896.21042357, 282383.9180087737 6679896.41883404, 282382.60431961855 6679909.446530862, 282381.4364457227 6679909.806336688, 282380.7076745514 6679909.793926425))</t>
  </si>
  <si>
    <t>['KV5260 S1D1 m567 KD1 m18-45']</t>
  </si>
  <si>
    <t>LINESTRING (282073.4966209287 6679454.151850885, 282074.46650766395 6679450.376605211, 282076.8945753691 6679448.590791287, 282080.0214076434 6679448.549450412, 282081.8170672556 6679449.860118985, 282082.89553446707 6679451.727071833, 282083.00253241847 6679453.707772976, 282082.66936376924 6679455.390984425, 282081.5455101695 6679457.143673628, 282079.7730801663 6679458.086623196, 282078.19794348103 6679457.957287022, 282075.23959149444 6679457.095512188, 282073.84412875416 6679454.946054119)</t>
  </si>
  <si>
    <t>POLYGON ((282073.4966209287 6679454.151850885, 282074.46650766395 6679450.376605211, 282076.8945753691 6679448.590791287, 282080.0214076434 6679448.549450412, 282081.8170672556 6679449.860118985, 282082.89553446707 6679451.727071833, 282083.00253241847 6679453.707772976, 282082.66936376924 6679455.390984425, 282081.5455101695 6679457.143673628, 282079.7730801663 6679458.086623196, 282078.19794348103 6679457.957287022, 282075.23959149444 6679457.095512188, 282073.84412875416 6679454.946054119, 282073.4966209287 6679454.151850885))</t>
  </si>
  <si>
    <t>['KV5260 S4D1 m88-100']</t>
  </si>
  <si>
    <t>LINESTRING (281971.9171336099 6679474.422005225, 281972.38833185285 6679479.897451931, 281984.0310893712 6679475.117017097, 281983.8324392667 6679474.302776641, 281971.89967219555 6679473.943020501)</t>
  </si>
  <si>
    <t>POLYGON ((281971.9171336099 6679474.422005225, 281972.38833185285 6679479.897451931, 281984.0310893712 6679475.117017097, 281983.8324392667 6679474.302776641, 281971.89967219555 6679473.943020501, 281971.9171336099 6679474.422005225))</t>
  </si>
  <si>
    <t>['KV5260 S4D1 m4-8']</t>
  </si>
  <si>
    <t>LINESTRING (282065.8754365969 6679453.858403409, 282066.1347465314 6679456.901706233, 282061.53928063775 6679457.3878747905, 282061.3750656499 6679455.845957729, 282065.2920991733 6679454.049479534)</t>
  </si>
  <si>
    <t>POLYGON ((282065.8754365969 6679453.858403409, 282066.1347465314 6679456.901706233, 282061.53928063775 6679457.3878747905, 282061.3750656499 6679455.845957729, 282065.2920991733 6679454.049479534, 282065.8754365969 6679453.858403409))</t>
  </si>
  <si>
    <t>['KV5260 S3D1 m4-8']</t>
  </si>
  <si>
    <t>LINESTRING (282073.6744465217 6679437.094761207, 282073.5687093651 6679441.566419747, 282077.3219331484 6679440.750939084, 282075.2190776584 6679436.712399774, 282073.9562821209 6679436.787706063)</t>
  </si>
  <si>
    <t>POLYGON ((282073.6744465217 6679437.094761207, 282073.5687093651 6679441.566419747, 282077.3219331484 6679440.750939084, 282075.2190776584 6679436.712399774, 282073.9562821209 6679436.787706063, 282073.6744465217 6679437.094761207))</t>
  </si>
  <si>
    <t>[5729]</t>
  </si>
  <si>
    <t>['KV5729 S2D1 m6-16']</t>
  </si>
  <si>
    <t>LINESTRING (286744.934827031 6676199.380888638, 286745.3309596897 6676198.542959454, 286738.1441959665 6676193.00127012, 286736.4629872569 6676194.885218185, 286744.5189491585 6676199.784643828)</t>
  </si>
  <si>
    <t>POLYGON ((286744.934827031 6676199.380888638, 286745.3309596897 6676198.542959454, 286738.1441959665 6676193.00127012, 286736.4629872569 6676194.885218185, 286744.5189491585 6676199.784643828, 286744.934827031 6676199.380888638))</t>
  </si>
  <si>
    <t>['KV5729 S2D1 m1721-1733']</t>
  </si>
  <si>
    <t>LINESTRING (287604.4503302275 6677606.5360808605, 287607.14254596387 6677605.40861206, 287601.88159309316 6677594.474035472, 287600.6265976806 6677594.692037463, 287602.1743027514 6677599.513428035, 287603.6552170056 6677604.9079614235, 287604.15184988023 6677606.374825468)</t>
  </si>
  <si>
    <t>POLYGON ((287604.4503302275 6677606.5360808605, 287607.14254596387 6677605.40861206, 287601.88159309316 6677594.474035472, 287600.6265976806 6677594.692037463, 287602.1743027514 6677599.513428035, 287603.6552170056 6677604.9079614235, 287604.15184988023 6677606.374825468, 287604.4503302275 6677606.5360808605))</t>
  </si>
  <si>
    <t>['KV5729 S1D1 m64 KD1 m29-36']</t>
  </si>
  <si>
    <t>LINESTRING (286717.1975104715 6676179.175700921, 286719.85788914957 6676177.390933336, 286723.8537886435 6676176.856614335, 286727.8426821941 6676178.778388266, 286730.0243886473 6676182.904001631, 286730.04721067066 6676185.871811679, 286727.99645919877 6676189.049794151, 286724.04812437494 6676191.7356383195, 286719.85458139237 6676191.455478465, 286716.3264603374 6676188.468769167, 286714.67489653546 6676184.468527834, 286716.70791656687 6676179.650729758)</t>
  </si>
  <si>
    <t>POLYGON ((286717.1975104715 6676179.175700921, 286719.85788914957 6676177.390933336, 286723.8537886435 6676176.856614335, 286727.8426821941 6676178.778388266, 286730.0243886473 6676182.904001631, 286730.04721067066 6676185.871811679, 286727.99645919877 6676189.049794151, 286724.04812437494 6676191.7356383195, 286719.85458139237 6676191.455478465, 286716.3264603374 6676188.468769167, 286714.67489653546 6676184.468527834, 286716.70791656687 6676179.650729758, 286717.1975104715 6676179.175700921))</t>
  </si>
  <si>
    <t>['KV5729 S1D1 m48-58']</t>
  </si>
  <si>
    <t>LINESTRING (286700.5739530657 6676167.855257521, 286707.5493873023 6676174.826799205, 286708.93124979606 6676172.960288919, 286701.57330725517 6676167.060290504, 286701.0099971412 6676167.606592243)</t>
  </si>
  <si>
    <t>POLYGON ((286700.5739530657 6676167.855257521, 286707.5493873023 6676174.826799205, 286708.93124979606 6676172.960288919, 286701.57330725517 6676167.060290504, 286701.0099971412 6676167.606592243, 286700.5739530657 6676167.855257521))</t>
  </si>
  <si>
    <t>['KV5729 S1D1 m18-21']</t>
  </si>
  <si>
    <t>LINESTRING (286682.4894690527 6676144.263514133, 286681.1203535544 6676145.013071969, 286682.3733850643 6676147.328723012, 286683.5376263254 6676146.8813276775, 286682.8822830039 6676144.608963538)</t>
  </si>
  <si>
    <t>POLYGON ((286682.4894690527 6676144.263514133, 286681.1203535544 6676145.013071969, 286682.3733850643 6676147.328723012, 286683.5376263254 6676146.8813276775, 286682.8822830039 6676144.608963538, 286682.4894690527 6676144.263514133))</t>
  </si>
  <si>
    <t>['KV5729 S1D1 m6-15']</t>
  </si>
  <si>
    <t>LINESTRING (286679.2128487622 6676141.775632136, 286681.03098371887 6676140.999893477, 286677.39048528107 6676132.27123857, 286672.97723602416 6676134.61589026, 286677.18833276234 6676139.393342197, 286678.81136051565 6676142.044609437)</t>
  </si>
  <si>
    <t>POLYGON ((286679.2128487622 6676141.775632136, 286681.03098371887 6676140.999893477, 286677.39048528107 6676132.27123857, 286672.97723602416 6676134.61589026, 286677.18833276234 6676139.393342197, 286678.81136051565 6676142.044609437, 286679.2128487622 6676141.775632136))</t>
  </si>
  <si>
    <t>[12275]</t>
  </si>
  <si>
    <t>['KV12275 S1D1 m10-22']</t>
  </si>
  <si>
    <t>LINESTRING (287797.46347982937 6683052.178144676, 287804.58764108573 6683042.845369283, 287806.84228389745 6683043.238896239, 287807.17097292014 6683045.072698371, 287805.28935461084 6683046.320639322, 287802.7869137783 6683048.921809888, 287797.7871267431 6683052.683946011)</t>
  </si>
  <si>
    <t>POLYGON ((287797.46347982937 6683052.178144676, 287804.58764108573 6683042.845369283, 287806.84228389745 6683043.238896239, 287807.17097292014 6683045.072698371, 287805.28935461084 6683046.320639322, 287802.7869137783 6683048.921809888, 287797.7871267431 6683052.683946011, 287797.46347982937 6683052.178144676))</t>
  </si>
  <si>
    <t>[95991]</t>
  </si>
  <si>
    <t>['PV95991 S1D1 m1-17']</t>
  </si>
  <si>
    <t>LINESTRING (287778.50741668313 6683063.013795838, 287776.03465092997 6683060.110328689, 287777.76448755583 6683054.629586485, 287778.9366683657 6683054.0702886805, 287779.80576385756 6683053.740696514, 287782.0621096825 6683053.017895534, 287791.72092385596 6683050.804250073, 287792.22488390503 6683053.074345091, 287785.97863671684 6683062.132855737, 287783.90848884895 6683063.670825166, 287781.7101348138 6683064.2451455025, 287779.0495051517 6683063.361785216)</t>
  </si>
  <si>
    <t>POLYGON ((287778.50741668313 6683063.013795838, 287776.03465092997 6683060.110328689, 287777.76448755583 6683054.629586485, 287778.9366683657 6683054.0702886805, 287779.80576385756 6683053.740696514, 287782.0621096825 6683053.017895534, 287791.72092385596 6683050.804250073, 287792.22488390503 6683053.074345091, 287785.97863671684 6683062.132855737, 287783.90848884895 6683063.670825166, 287781.7101348138 6683064.2451455025, 287779.0495051517 6683063.361785216, 287778.50741668313 6683063.013795838))</t>
  </si>
  <si>
    <t>[13560]</t>
  </si>
  <si>
    <t>['KV13560 S1D1 m8-19']</t>
  </si>
  <si>
    <t>LINESTRING (289462.8393385194 6684367.6758476645, 289463.25163098215 6684367.1274475185, 289460.1279142144 6684358.099273888, 289459.0450843819 6684357.413933791, 289458.5008076986 6684359.521439708, 289459.28074962716 6684362.746824056, 289462.26012781233 6684367.832057964)</t>
  </si>
  <si>
    <t>POLYGON ((289462.8393385194 6684367.6758476645, 289463.25163098215 6684367.1274475185, 289460.1279142144 6684358.099273888, 289459.0450843819 6684357.413933791, 289458.5008076986 6684359.521439708, 289459.28074962716 6684362.746824056, 289462.26012781233 6684367.832057964, 289462.8393385194 6684367.6758476645))</t>
  </si>
  <si>
    <t>[2286]</t>
  </si>
  <si>
    <t>['KV2286 S1D1 m205-231']</t>
  </si>
  <si>
    <t>LINESTRING (289779.55152417324 6668838.753729104, 289783.11885010835 6668841.00477628, 289786.08340718946 6668845.768168258, 289786.0174340586 6668849.868131721, 289783.96691047214 6668854.539432975, 289781.2334419891 6668856.336783603, 289774.69203534524 6668858.296555605, 289768.2951481616 6668854.901811083, 289765.30618330755 6668850.9769258965, 289765.37104187324 6668846.955153032, 289766.9810209271 6668842.37605537, 289772.59966905543 6668838.705673907, 289778.7944822669 6668838.573887599)</t>
  </si>
  <si>
    <t>POLYGON ((289779.55152417324 6668838.753729104, 289783.11885010835 6668841.00477628, 289786.08340718946 6668845.768168258, 289786.0174340586 6668849.868131721, 289783.96691047214 6668854.539432975, 289781.2334419891 6668856.336783603, 289774.69203534524 6668858.296555605, 289768.2951481616 6668854.901811083, 289765.30618330755 6668850.9769258965, 289765.37104187324 6668846.955153032, 289766.9810209271 6668842.37605537, 289772.59966905543 6668838.705673907, 289778.7944822669 6668838.573887599, 289779.55152417324 6668838.753729104))</t>
  </si>
  <si>
    <t>[6550]</t>
  </si>
  <si>
    <t>['KV6550 S1D1 m652-687']</t>
  </si>
  <si>
    <t>LINESTRING (289584.7366376184 6668930.273405871, 289584.4155515715 6668931.184728758, 289581.9383187077 6668932.29786242, 289578.4241396004 6668934.374546899, 289572.4208888184 6668933.569304702, 289569.12507136597 6668931.972561313, 289566.121873458 6668928.774127362, 289565.7028803673 6668925.550221254, 289565.9562157684 6668922.098003466, 289567.08611436 6668918.38343545, 289570.0771566535 6668914.472811639, 289573.3160002043 6668912.356108322, 289576.07202418614 6668912.119882139, 289578.8735457979 6668912.773953027, 289581.40959327354 6668914.045964932, 289583.4041047065 6668916.174978847, 289586.0767072955 6668919.8276808085, 289586.7869604584 6668924.340754056, 289585.13439643674 6668929.435814113)</t>
  </si>
  <si>
    <t>POLYGON ((289584.7366376184 6668930.273405871, 289584.4155515715 6668931.184728758, 289581.9383187077 6668932.29786242, 289578.4241396004 6668934.374546899, 289572.4208888184 6668933.569304702, 289569.12507136597 6668931.972561313, 289566.121873458 6668928.774127362, 289565.7028803673 6668925.550221254, 289565.9562157684 6668922.098003466, 289567.08611436 6668918.38343545, 289570.0771566535 6668914.472811639, 289573.3160002043 6668912.356108322, 289576.07202418614 6668912.119882139, 289578.8735457979 6668912.773953027, 289581.40959327354 6668914.045964932, 289583.4041047065 6668916.174978847, 289586.0767072955 6668919.8276808085, 289586.7869604584 6668924.340754056, 289585.13439643674 6668929.435814113, 289584.7366376184 6668930.273405871))</t>
  </si>
  <si>
    <t>[11950]</t>
  </si>
  <si>
    <t>['KV11950 S1D1 m218-249']</t>
  </si>
  <si>
    <t>LINESTRING (289772.7150735429 6668935.913681816, 289775.8763921544 6668937.596437214, 289778.6042480084 6668942.21712678, 289778.51311081985 6668948.40569099, 289776.031240629 6668952.063725216, 289773.0401645062 6668953.35127215, 289769.9724221957 6668954.565086676, 289766.5739513866 6668954.480829162, 289762.17376229644 6668952.377990914, 289760.27626562235 6668950.578167196, 289758.6924960802 6668946.862947144, 289759.1989090332 6668941.309093533, 289762.0063630779 6668936.81761428, 289766.9897890523 6668935.192647206, 289772.1062868123 6668935.79231413)</t>
  </si>
  <si>
    <t>POLYGON ((289772.7150735429 6668935.913681816, 289775.8763921544 6668937.596437214, 289778.6042480084 6668942.21712678, 289778.51311081985 6668948.40569099, 289776.031240629 6668952.063725216, 289773.0401645062 6668953.35127215, 289769.9724221957 6668954.565086676, 289766.5739513866 6668954.480829162, 289762.17376229644 6668952.377990914, 289760.27626562235 6668950.578167196, 289758.6924960802 6668946.862947144, 289759.1989090332 6668941.309093533, 289762.0063630779 6668936.81761428, 289766.9897890523 6668935.192647206, 289772.1062868123 6668935.79231413, 289772.7150735429 6668935.913681816))</t>
  </si>
  <si>
    <t>2023-09-07</t>
  </si>
  <si>
    <t>[12350]</t>
  </si>
  <si>
    <t>['KV12350 S1D1 m135-183']</t>
  </si>
  <si>
    <t>LINESTRING (288081.92443620396 6675353.145004957, 288082.2848628978 6675347.264167166, 288083.7869044702 6675342.55618833, 288085.81688101956 6675339.75980084, 288088.1244097935 6675338.297926, 288096.19584156707 6675335.017783787, 288102.31004222075 6675334.061027152, 288106.3748393565 6675334.796757351, 288109.5150295918 6675336.858473952, 288112.22612647974 6675340.541178677, 288113.45045481087 6675347.178555866, 288112.35159715585 6675353.950439576, 288104.4943468948 6675360.0644158935, 288092.1054710002 6675362.5676466795, 288082.8868924922 6675355.355126997)</t>
  </si>
  <si>
    <t>POLYGON ((288081.92443620396 6675353.145004957, 288082.2848628978 6675347.264167166, 288083.7869044702 6675342.55618833, 288085.81688101956 6675339.75980084, 288088.1244097935 6675338.297926, 288096.19584156707 6675335.017783787, 288102.31004222075 6675334.061027152, 288106.3748393565 6675334.796757351, 288109.5150295918 6675336.858473952, 288112.22612647974 6675340.541178677, 288113.45045481087 6675347.178555866, 288112.35159715585 6675353.950439576, 288104.4943468948 6675360.0644158935, 288092.1054710002 6675362.5676466795, 288082.8868924922 6675355.355126997, 288081.92443620396 6675353.145004957))</t>
  </si>
  <si>
    <t>2023-09-13</t>
  </si>
  <si>
    <t>['KV51 S1D1 m5-9']</t>
  </si>
  <si>
    <t>LINESTRING (287747.48938391847 6673654.5541004855, 287747.36615033477 6673656.26900958, 287743.57113424066 6673655.227685259, 287743.61397522874 6673654.622460998, 287747.0571124941 6673653.529939737)</t>
  </si>
  <si>
    <t>POLYGON ((287747.48938391847 6673654.5541004855, 287747.36615033477 6673656.26900958, 287743.57113424066 6673655.227685259, 287743.61397522874 6673654.622460998, 287747.0571124941 6673653.529939737, 287747.48938391847 6673654.5541004855))</t>
  </si>
  <si>
    <t>2023-09-12</t>
  </si>
  <si>
    <t>['KV4600 S1D1 m9-12']</t>
  </si>
  <si>
    <t>LINESTRING (287523.87809133786 6673202.036387246, 287524.7115062855 6673199.610551587, 287527.47696025704 6673200.934654974, 287527.1990896961 6673202.669708874, 287524.24592631124 6673201.948076582)</t>
  </si>
  <si>
    <t>POLYGON ((287523.87809133786 6673202.036387246, 287524.7115062855 6673199.610551587, 287527.47696025704 6673200.934654974, 287527.1990896961 6673202.669708874, 287524.24592631124 6673201.948076582, 287523.87809133786 6673202.036387246))</t>
  </si>
  <si>
    <t>['KV5459 S6D1 m64-79']</t>
  </si>
  <si>
    <t>LINESTRING (288491.4143220332 6673452.333985192, 288490.256235193 6673451.653036482, 288480.17727564485 6673456.7779665, 288478.46923128393 6673459.488455913, 288479.5882058571 6673460.84136165, 288489.4619596056 6673456.018484694, 288490.88612062077 6673454.753093289, 288491.6792674278 6673453.066516836)</t>
  </si>
  <si>
    <t>POLYGON ((288491.4143220332 6673452.333985192, 288490.256235193 6673451.653036482, 288480.17727564485 6673456.7779665, 288478.46923128393 6673459.488455913, 288479.5882058571 6673460.84136165, 288489.4619596056 6673456.018484694, 288490.88612062077 6673454.753093289, 288491.6792674278 6673453.066516836, 288491.4143220332 6673452.333985192))</t>
  </si>
  <si>
    <t>['KV5459 S6D1 m97-125']</t>
  </si>
  <si>
    <t>LINESTRING (288529.2264031231 6673431.075054496, 288507.4703396354 6673442.0867067445, 288507.351873823 6673443.890579908, 288508.73571285064 6673444.625466998, 288510.0855022854 6673444.770751451, 288531.64640155784 6673434.138718832, 288529.73887416 6673430.889199086)</t>
  </si>
  <si>
    <t>POLYGON ((288529.2264031231 6673431.075054496, 288507.4703396354 6673442.0867067445, 288507.351873823 6673443.890579908, 288508.73571285064 6673444.625466998, 288510.0855022854 6673444.770751451, 288531.64640155784 6673434.138718832, 288529.73887416 6673430.889199086, 288529.2264031231 6673431.075054496))</t>
  </si>
  <si>
    <t>['KV5459 S6D1 m127-130']</t>
  </si>
  <si>
    <t>LINESTRING (288536.8756937789 6673430.332000023, 288535.54166508856 6673427.953459123, 288532.93481119804 6673429.365254409, 288534.7428312794 6673432.241024228, 288536.6739405963 6673430.790116787)</t>
  </si>
  <si>
    <t>POLYGON ((288536.8756937789 6673430.332000023, 288535.54166508856 6673427.953459123, 288532.93481119804 6673429.365254409, 288534.7428312794 6673432.241024228, 288536.6739405963 6673430.790116787, 288536.8756937789 6673430.332000023))</t>
  </si>
  <si>
    <t>['KV1016 S1D1 m64-65']</t>
  </si>
  <si>
    <t>LINESTRING Z (159874.26186711242 6565989.505667683 106.2, 159874.3675010557 6565990.119540652 106.24000000000001, 159874.585464311 6565990.864051177 106.23, 159874.8516569556 6565991.362896507 106.26, 159875.19951803738 6565991.763883447 106.26, 159875.62347014027 6565991.001703508 106.3, 159875.97294934333 6565990.417171661 106.25, 159875.12648250075 6565989.950546519 106.26, 159874.26636432036 6565989.555536246 106.23, 159874.26186711242 6565989.505667683 106.2)</t>
  </si>
  <si>
    <t>2023-10-04</t>
  </si>
  <si>
    <t>[8370]</t>
  </si>
  <si>
    <t>['KV8370 S3D1 m569-580']</t>
  </si>
  <si>
    <t>LINESTRING Z (265659.8703943549 6627647.004078335 143.47, 265659.99596249626 6627647.376523845 143.46, 265660.27762111544 6627647.537846624 143.46, 265662.4016427944 6627647.664198403 143.36, 265664.25485696597 6627647.788902124 143.27, 265664.57536952803 6627647.636785956 143.26, 265664.6906698587 6627647.268023097 143.26, 265664.40310781926 6627645.101949799 143.26, 265664.1448066224 6627642.92386223 143.24, 265663.9605271643 6627641.392418622 143.25, 265663.79824164626 6627639.889557628 143.23, 265663.4522600906 6627636.273719367 143.23, 265663.2668139573 6627635.905343026 143.22, 265662.9579291254 6627635.785973499 143.23, 265662.64332704904 6627635.877533433 143.24, 265662.43820965965 6627636.252400042 143.25, 265662.13619801746 6627637.856993915 143.28, 265661.76539341384 6627639.7770613255 143.32, 265661.44070968375 6627641.343092927 143.35, 265661.0872500861 6627642.780745209 143.37, 265660.8051029882 6627643.792469398 143.39000000000001, 265660.3347934163 6627645.428551971 143.43, 265659.8703943549 6627647.004078335 143.47)</t>
  </si>
  <si>
    <t>POLYGON Z ((265659.8703943549 6627647.004078335 143.47, 265659.99596249626 6627647.376523845 143.46, 265660.27762111544 6627647.537846624 143.46, 265662.4016427944 6627647.664198403 143.36, 265664.25485696597 6627647.788902124 143.27, 265664.57536952803 6627647.636785956 143.26, 265664.6906698587 6627647.268023097 143.26, 265664.40310781926 6627645.101949799 143.26, 265664.1448066224 6627642.92386223 143.24, 265663.9605271643 6627641.392418622 143.25, 265663.79824164626 6627639.889557628 143.23, 265663.4522600906 6627636.273719367 143.23, 265663.2668139573 6627635.905343026 143.22, 265662.9579291254 6627635.785973499 143.23, 265662.64332704904 6627635.877533433 143.24, 265662.43820965965 6627636.252400042 143.25, 265662.13619801746 6627637.856993915 143.28, 265661.76539341384 6627639.7770613255 143.32, 265661.44070968375 6627641.343092927 143.35, 265661.0872500861 6627642.780745209 143.37, 265660.8051029882 6627643.792469398 143.39000000000001, 265660.3347934163 6627645.428551971 143.43, 265659.8703943549 6627647.004078335 143.47))</t>
  </si>
  <si>
    <t>[1378]</t>
  </si>
  <si>
    <t>['FV1378 S1D1 m1952 KD1 m0-71']</t>
  </si>
  <si>
    <t>LINESTRING Z (265668.52939956984 6627662.446819575 143.09, 265668.66184463596 6627663.510575041 143.08, 265668.67375712894 6627665.01362925 143.1, 265668.49818884867 6627666.118368156 143.1, 265668.1543225867 6627667.254595756 143.12, 265667.5763698369 6627668.486937443 143.14000000000001, 265666.5874093338 6627669.867519457 143.19, 265665.58924569486 6627670.817619292 143.25, 265664.5455445089 6627671.540221327 143.3, 265663.62596015976 6627672.023796203 143.33, 265662.40223832737 6627672.457859314 143.37, 265660.96603733645 6627672.715872648 143.43, 265659.8136278973 6627672.724007654 143.49, 265658.20447983046 6627672.502511916 143.55, 265656.3325676618 6627671.807610869 143.65, 265655.05604471336 6627671.022119615 143.69, 265653.7689622253 6627669.7861867845 143.75, 265652.80442689394 6627668.4280767245 143.78, 265652.1558500427 6627666.998365986 143.8, 265651.7944557759 6627665.368675261 143.82, 265651.7174329624 6627663.940225966 143.8, 265651.82043079485 6627662.800315642 143.79, 265652.18590449565 6627661.391924048 143.77, 265653.03931731347 6627659.63957464 143.73, 265654.0091901199 6627658.420701896 143.69, 265655.37233925564 6627657.235257524 143.62, 265656.8311175419 6627656.424293272 143.55, 265658.7366547437 6627655.843638021 143.45000000000002, 265660.7652405741 6627655.745882851 143.36, 265662.7252267088 6627656.113974464 143.29, 265664.5646802152 6627656.92136482 143.20000000000002, 265666.16181047796 6627658.146253251 143.14000000000001, 265666.855443254 6627658.91120193 143.13, 265667.6861735365 6627660.218250463 143.11, 265668.17788669595 6627661.257590862 143.1, 265668.52939956984 6627662.446819575 143.09)</t>
  </si>
  <si>
    <t>POLYGON Z ((265668.52939956984 6627662.446819575 143.09, 265668.66184463596 6627663.510575041 143.08, 265668.67375712894 6627665.01362925 143.1, 265668.49818884867 6627666.118368156 143.1, 265668.1543225867 6627667.254595756 143.12, 265667.5763698369 6627668.486937443 143.14000000000001, 265666.5874093338 6627669.867519457 143.19, 265665.58924569486 6627670.817619292 143.25, 265664.5455445089 6627671.540221327 143.3, 265663.62596015976 6627672.023796203 143.33, 265662.40223832737 6627672.457859314 143.37, 265660.96603733645 6627672.715872648 143.43, 265659.8136278973 6627672.724007654 143.49, 265658.20447983046 6627672.502511916 143.55, 265656.3325676618 6627671.807610869 143.65, 265655.05604471336 6627671.022119615 143.69, 265653.7689622253 6627669.7861867845 143.75, 265652.80442689394 6627668.4280767245 143.78, 265652.1558500427 6627666.998365986 143.8, 265651.7944557759 6627665.368675261 143.82, 265651.7174329624 6627663.940225966 143.8, 265651.82043079485 6627662.800315642 143.79, 265652.18590449565 6627661.391924048 143.77, 265653.03931731347 6627659.63957464 143.73, 265654.0091901199 6627658.420701896 143.69, 265655.37233925564 6627657.235257524 143.62, 265656.8311175419 6627656.424293272 143.55, 265658.7366547437 6627655.843638021 143.45000000000002, 265660.7652405741 6627655.745882851 143.36, 265662.7252267088 6627656.113974464 143.29, 265664.5646802152 6627656.92136482 143.20000000000002, 265666.16181047796 6627658.146253251 143.14000000000001, 265666.855443254 6627658.91120193 143.13, 265667.6861735365 6627660.218250463 143.11, 265668.17788669595 6627661.257590862 143.1, 265668.52939956984 6627662.446819575 143.09))</t>
  </si>
  <si>
    <t>['FV1378 S1D1 m1933-1946']</t>
  </si>
  <si>
    <t>LINESTRING Z (265642.83513587114 6627665.275728167 144.22, 265640.65433865984 6627664.46145748 144.32, 265639.2464318685 6627663.955590172 144.39000000000001, 265637.1515757594 6627663.2257109145 144.48, 265633.4206367356 6627662.0255221715 144.67000000000002, 265631.443695312 6627661.407938761 144.78, 265631.1139795799 6627661.129572699 144.79, 265631.08229761245 6627660.810901398 144.79, 265631.2536000676 6627660.528564518 144.79, 265631.5262489139 6627660.409778291 144.81, 265631.6580192386 6627660.43090075 144.79, 265633.79134278034 6627660.546594516 144.67000000000002, 265635.72236007435 6627660.635933528 144.58, 265637.5281957135 6627660.653573525 144.49, 265639.67130557005 6627660.618215818 144.39000000000001, 265643.4025395148 6627660.494984187 144.23, 265643.9617876569 6627660.757751701 144.21, 265644.1154535449 6627661.248596896 144.20000000000002, 265643.84783687245 6627663.211780965 144.20000000000002, 265643.6647100365 6627664.6478837775 144.19, 265643.33731713134 6627665.141343412 144.21, 265642.83513587114 6627665.275728167 144.22)</t>
  </si>
  <si>
    <t>POLYGON Z ((265642.83513587114 6627665.275728167 144.22, 265640.65433865984 6627664.46145748 144.32, 265639.2464318685 6627663.955590172 144.39000000000001, 265637.1515757594 6627663.2257109145 144.48, 265633.4206367356 6627662.0255221715 144.67000000000002, 265631.443695312 6627661.407938761 144.78, 265631.1139795799 6627661.129572699 144.79, 265631.08229761245 6627660.810901398 144.79, 265631.2536000676 6627660.528564518 144.79, 265631.5262489139 6627660.409778291 144.81, 265631.6580192386 6627660.43090075 144.79, 265633.79134278034 6627660.546594516 144.67000000000002, 265635.72236007435 6627660.635933528 144.58, 265637.5281957135 6627660.653573525 144.49, 265639.67130557005 6627660.618215818 144.39000000000001, 265643.4025395148 6627660.494984187 144.23, 265643.9617876569 6627660.757751701 144.21, 265644.1154535449 6627661.248596896 144.20000000000002, 265643.84783687245 6627663.211780965 144.20000000000002, 265643.6647100365 6627664.6478837775 144.19, 265643.33731713134 6627665.141343412 144.21, 265642.83513587114 6627665.275728167 144.22))</t>
  </si>
  <si>
    <t>[4450]</t>
  </si>
  <si>
    <t>['KV4450 S1D1 m4-16']</t>
  </si>
  <si>
    <t>LINESTRING Z (265667.9108582275 6627691.112394766 143.5, 265667.55023372726 6627691.116850573 143.5, 265667.24570963654 6627690.766592354 143.51, 265666.2271116463 6627688.760482202 143.5, 265665.78481175785 6627687.858144458 143.41, 265664.4320422954 6627685.213043814 143.42000000000002, 265663.93577488477 6627684.254219023 143.51, 265662.3374879106 6627681.094437967 143.51, 265662.32305245777 6627680.734491651 143.51, 265662.5941515437 6627680.445372826 143.49, 265664.9301707881 6627679.855514146 143.39000000000001, 265665.26289087866 6627679.883031969 143.39000000000001, 265665.5334067531 6627680.175446783 143.38, 265666.36393731437 6627683.3974287035 143.41, 265666.6134257639 6627684.413127111 143.34, 265667.4366895276 6627687.675705862 143.37, 265667.7281312758 6627688.718630474 143.48, 265668.16752181144 6627690.463329632 143.49, 265668.15540926915 6627690.875208876 143.5, 265667.9108582275 6627691.112394766 143.5)</t>
  </si>
  <si>
    <t>POLYGON Z ((265667.9108582275 6627691.112394766 143.5, 265667.55023372726 6627691.116850573 143.5, 265667.24570963654 6627690.766592354 143.51, 265666.2271116463 6627688.760482202 143.5, 265665.78481175785 6627687.858144458 143.41, 265664.4320422954 6627685.213043814 143.42000000000002, 265663.93577488477 6627684.254219023 143.51, 265662.3374879106 6627681.094437967 143.51, 265662.32305245777 6627680.734491651 143.51, 265662.5941515437 6627680.445372826 143.49, 265664.9301707881 6627679.855514146 143.39000000000001, 265665.26289087866 6627679.883031969 143.39000000000001, 265665.5334067531 6627680.175446783 143.38, 265666.36393731437 6627683.3974287035 143.41, 265666.6134257639 6627684.413127111 143.34, 265667.4366895276 6627687.675705862 143.37, 265667.7281312758 6627688.718630474 143.48, 265668.16752181144 6627690.463329632 143.49, 265668.15540926915 6627690.875208876 143.5, 265667.9108582275 6627691.112394766 143.5))</t>
  </si>
  <si>
    <t>['FV1378 S1D1 m1856-1871']</t>
  </si>
  <si>
    <t>LINESTRING Z (265556.97197143617 6627638.978227626 148.01, 265556.5974910945 6627639.073856795 148.02, 265556.4089419516 6627639.397468882 148.03, 265556.2004263134 6627641.787745489 148.01, 265555.9648777277 6627644.370348741 147.98, 265556.0884113546 6627644.712855461 147.99, 265556.4499075649 6627644.868752781 147.99, 265557.7445527348 6627644.74066859 147.97, 265559.4590225007 6627644.5940798465 147.94, 265560.107701467 6627644.549997108 147.92000000000002, 265564.2242687204 6627644.490811435 147.85, 265566.8586115282 6627644.602534693 147.79, 265569.04658166535 6627644.784695472 147.73, 265571.14018058404 6627645.053475607 147.68, 265571.34839738155 6627645.019274141 147.68, 265571.49266694876 6627644.929263794 147.69, 265571.66600408347 6627644.676865856 147.68, 265571.64294542104 6627644.337556884 147.70000000000002, 265571.51030359016 6627644.156081395 147.70000000000002, 265571.3851219147 6627644.084382343 147.70000000000002, 265569.4533308093 6627643.393549763 147.75, 265567.7839173033 6627642.87537611 147.8, 265564.778973666 6627641.736132708 147.85, 265560.8555132396 6627640.358536593 147.95000000000002, 265556.97197143617 6627638.978227626 148.01)</t>
  </si>
  <si>
    <t>POLYGON Z ((265556.97197143617 6627638.978227626 148.01, 265556.5974910945 6627639.073856795 148.02, 265556.4089419516 6627639.397468882 148.03, 265556.2004263134 6627641.787745489 148.01, 265555.9648777277 6627644.370348741 147.98, 265556.0884113546 6627644.712855461 147.99, 265556.4499075649 6627644.868752781 147.99, 265557.7445527348 6627644.74066859 147.97, 265559.4590225007 6627644.5940798465 147.94, 265560.107701467 6627644.549997108 147.92000000000002, 265564.2242687204 6627644.490811435 147.85, 265566.8586115282 6627644.602534693 147.79, 265569.04658166535 6627644.784695472 147.73, 265571.14018058404 6627645.053475607 147.68, 265571.34839738155 6627645.019274141 147.68, 265571.49266694876 6627644.929263794 147.69, 265571.66600408347 6627644.676865856 147.68, 265571.64294542104 6627644.337556884 147.70000000000002, 265571.51030359016 6627644.156081395 147.70000000000002, 265571.3851219147 6627644.084382343 147.70000000000002, 265569.4533308093 6627643.393549763 147.75, 265567.7839173033 6627642.87537611 147.8, 265564.778973666 6627641.736132708 147.85, 265560.8555132396 6627640.358536593 147.95000000000002, 265556.97197143617 6627638.978227626 148.01))</t>
  </si>
  <si>
    <t>2023-10-05</t>
  </si>
  <si>
    <t>['KV2940 S1D1 m1022-1092']</t>
  </si>
  <si>
    <t>LINESTRING (285523.7141180672 6667295.970389908, 285526.36423139833 6667300.291580733, 285527.8953967276 6667304.8344266545, 285527.49833111174 6667309.489944175, 285525.528029967 6667314.226228703, 285523.20731931354 6667318.0230406355, 285519.5298655922 6667321.597755968, 285511.5754420747 6667324.9759194, 285506.64009563753 6667324.9629515475, 285504.3756957522 6667324.570656794, 285502.2213176987 6667323.580336414, 285501.21932347293 6667323.036133413, 285498.06273096765 6667320.162159668, 285493.8752509001 6667315.104829975, 285492.92649490584 6667311.655341599, 285492.5169852144 6667308.464556198, 285492.77017907734 6667303.828601876, 285494.5709845988 6667297.52833045, 285497.8455775875 6667293.452509739, 285501.8705720913 6667290.672305091, 285505.9742320956 6667289.238135877, 285510.83738677116 6667289.255325203, 285515.25229963765 6667290.57120607, 285519.6961041435 6667292.477000765, 285523.38060213823 6667295.320145937)</t>
  </si>
  <si>
    <t>POLYGON ((285523.7141180672 6667295.970389908, 285526.36423139833 6667300.291580733, 285527.8953967276 6667304.8344266545, 285527.49833111174 6667309.489944175, 285525.528029967 6667314.226228703, 285523.20731931354 6667318.0230406355, 285519.5298655922 6667321.597755968, 285511.5754420747 6667324.9759194, 285506.64009563753 6667324.9629515475, 285504.3756957522 6667324.570656794, 285502.2213176987 6667323.580336414, 285501.21932347293 6667323.036133413, 285498.06273096765 6667320.162159668, 285493.8752509001 6667315.104829975, 285492.92649490584 6667311.655341599, 285492.5169852144 6667308.464556198, 285492.77017907734 6667303.828601876, 285494.5709845988 6667297.52833045, 285497.8455775875 6667293.452509739, 285501.8705720913 6667290.672305091, 285505.9742320956 6667289.238135877, 285510.83738677116 6667289.255325203, 285515.25229963765 6667290.57120607, 285519.6961041435 6667292.477000765, 285523.38060213823 6667295.320145937, 285523.7141180672 6667295.970389908))</t>
  </si>
  <si>
    <t>2023-10-09</t>
  </si>
  <si>
    <t>['FV567 S3D1 m2239-2243']</t>
  </si>
  <si>
    <t>LINESTRING Z (-23044.67 6746663.38 42.86, -23044.35 6746663.23 42.86, -23043.62 6746663.42 42.88, -23042.49 6746663.75 42.89, -23041.21 6746664.23 42.9, -23039.98 6746664.8 42.92, -23038.71 6746665.59 42.910000000000004, -23037.68 6746666.53 42.89, -23036.72 6746667.71 42.87, -23035.9 6746669.08 42.84, -23035.44 6746670.25 42.84, -23035.31 6746670.88 42.85, -23035.34 6746671.28 42.82, -23035.52 6746671.5 42.800000000000004, -23035.83 6746671.62 42.78, -23036.2 6746671.56 42.77, -23036.89 6746671.3 42.74, -23037.81 6746670.8 42.75, -23038.78 6746670.15 42.75, -23039.88 6746669.17 42.77, -23041.28 6746667.71 42.82, -23042.52 6746666.39 42.83, -23043.77 6746665.07 42.82, -23044.44 6746664.24 42.82, -23044.74 6746663.81 42.81, -23044.76 6746663.58 42.81, -23044.67 6746663.38 42.86)</t>
  </si>
  <si>
    <t>POLYGON Z ((-23044.67 6746663.38 42.86, -23044.35 6746663.23 42.86, -23043.62 6746663.42 42.88, -23042.49 6746663.75 42.89, -23041.21 6746664.23 42.9, -23039.98 6746664.8 42.92, -23038.71 6746665.59 42.910000000000004, -23037.68 6746666.53 42.89, -23036.72 6746667.71 42.87, -23035.9 6746669.08 42.84, -23035.44 6746670.25 42.84, -23035.31 6746670.88 42.85, -23035.34 6746671.28 42.82, -23035.52 6746671.5 42.800000000000004, -23035.83 6746671.62 42.78, -23036.2 6746671.56 42.77, -23036.89 6746671.3 42.74, -23037.81 6746670.8 42.75, -23038.78 6746670.15 42.75, -23039.88 6746669.17 42.77, -23041.28 6746667.71 42.82, -23042.52 6746666.39 42.83, -23043.77 6746665.07 42.82, -23044.44 6746664.24 42.82, -23044.74 6746663.81 42.81, -23044.76 6746663.58 42.81, -23044.67 6746663.38 42.86))</t>
  </si>
  <si>
    <t>['RV3 S4D1 m524-551']</t>
  </si>
  <si>
    <t>LINESTRING Z (310509.94701986935 6755306.107397085 210.35, 310509.9400659648 6755305.772997953 210.34, 310509.7919644533 6755305.64698648 210.35, 310507.0216213531 6755305.1921110675 210.3, 310504.9133193706 6755304.813528022 210.27, 310500.9361398599 6755303.753465363 210.20000000000002, 310497.09900053404 6755302.362328821 210.17000000000002, 310493.1724623209 6755300.518444184 210.16, 310488.21665078215 6755297.524276288 210.19, 310485.4432117301 6755295.685865882 210.21, 310485.1739538453 6755295.633269984 210.20000000000002, 310484.9690071773 6755295.76694775 210.21, 310484.4153474805 6755296.499488743 210.21, 310484.3440166128 6755296.793426516 210.21, 310484.4757701232 6755297.020739792 210.21, 310486.920815988 6755298.921296773 210.19, 310491.23179106164 6755302.161868528 210.17000000000002, 310494.8571474266 6755304.680191654 210.17000000000002, 310497.5811799311 6755306.5100840265 210.19, 310500.28411340946 6755308.352262306 210.22, 310501.9867724179 6755309.689827375 210.26, 310503.72001931723 6755311.193147202 210.32, 310506.06965044246 6755313.344301427 210.38, 310506.33772000443 6755313.374644156 210.37, 310506.51979019307 6755313.219869354 210.35, 310506.787251848 6755312.524909689 210.37, 310507.364450635 6755311.0099873915 210.36, 310508.3083295729 6755309.029154467 210.35, 310508.8580040862 6755308.017854928 210.35, 310509.94701986935 6755306.107397085 210.35)</t>
  </si>
  <si>
    <t>POLYGON Z ((310509.94701986935 6755306.107397085 210.35, 310509.9400659648 6755305.772997953 210.34, 310509.7919644533 6755305.64698648 210.35, 310507.0216213531 6755305.1921110675 210.3, 310504.9133193706 6755304.813528022 210.27, 310500.9361398599 6755303.753465363 210.20000000000002, 310497.09900053404 6755302.362328821 210.17000000000002, 310493.1724623209 6755300.518444184 210.16, 310488.21665078215 6755297.524276288 210.19, 310485.4432117301 6755295.685865882 210.21, 310485.1739538453 6755295.633269984 210.20000000000002, 310484.9690071773 6755295.76694775 210.21, 310484.4153474805 6755296.499488743 210.21, 310484.3440166128 6755296.793426516 210.21, 310484.4757701232 6755297.020739792 210.21, 310486.920815988 6755298.921296773 210.19, 310491.23179106164 6755302.161868528 210.17000000000002, 310494.8571474266 6755304.680191654 210.17000000000002, 310497.5811799311 6755306.5100840265 210.19, 310500.28411340946 6755308.352262306 210.22, 310501.9867724179 6755309.689827375 210.26, 310503.72001931723 6755311.193147202 210.32, 310506.06965044246 6755313.344301427 210.38, 310506.33772000443 6755313.374644156 210.37, 310506.51979019307 6755313.219869354 210.35, 310506.787251848 6755312.524909689 210.37, 310507.364450635 6755311.0099873915 210.36, 310508.3083295729 6755309.029154467 210.35, 310508.8580040862 6755308.017854928 210.35, 310509.94701986935 6755306.107397085 210.35))</t>
  </si>
  <si>
    <t>2023-10-31</t>
  </si>
  <si>
    <t>[157]</t>
  </si>
  <si>
    <t>['FV157 S1D1 m6305-6308']</t>
  </si>
  <si>
    <t>LINESTRING Z (253288.3805777942 6631246.851676372 95.04, 253288.77480772202 6631245.992003528 95.18, 253288.91980647785 6631245.707562072 95.19, 253289.25516620235 6631244.752755355 95.22, 253289.26155195877 6631244.490939082 95.22, 253289.08674985403 6631244.225468476 95.22, 253288.8475960444 6631244.136645784 95.22, 253288.5449947905 6631244.234436523 95.22, 253287.9642259841 6631244.588562044 95.2, 253287.44232738603 6631245.0378214475 95.19, 253286.7093070831 6631245.707189253 95.02, 253286.0985671526 6631246.506127455 95, 253285.06012096765 6631247.906539302 94.96000000000001, 253284.76288936168 6631248.395698085 94.95, 253284.60700218743 6631248.781603271 94.94, 253284.2589455384 6631249.817942716 94.91, 253284.2054449829 6631250.1141768675 94.91, 253284.3757071604 6631250.44034485 94.91, 253284.7163246995 6631250.540055954 94.91, 253285.03976125864 6631250.450422188 94.91, 253285.831670399 6631249.765663255 94.93, 253286.19410204483 6631249.441396988 94.94, 253286.5873531472 6631249.013858482 94.96000000000001, 253287.27510442486 6631248.1777896155 94.99, 253287.9574114941 6631247.392452618 95.02, 253288.3805777942 6631246.851676372 95.04)</t>
  </si>
  <si>
    <t>POLYGON Z ((253288.3805777942 6631246.851676372 95.04, 253288.77480772202 6631245.992003528 95.18, 253288.91980647785 6631245.707562072 95.19, 253289.25516620235 6631244.752755355 95.22, 253289.26155195877 6631244.490939082 95.22, 253289.08674985403 6631244.225468476 95.22, 253288.8475960444 6631244.136645784 95.22, 253288.5449947905 6631244.234436523 95.22, 253287.9642259841 6631244.588562044 95.2, 253287.44232738603 6631245.0378214475 95.19, 253286.7093070831 6631245.707189253 95.02, 253286.0985671526 6631246.506127455 95, 253285.06012096765 6631247.906539302 94.96000000000001, 253284.76288936168 6631248.395698085 94.95, 253284.60700218743 6631248.781603271 94.94, 253284.2589455384 6631249.817942716 94.91, 253284.2054449829 6631250.1141768675 94.91, 253284.3757071604 6631250.44034485 94.91, 253284.7163246995 6631250.540055954 94.91, 253285.03976125864 6631250.450422188 94.91, 253285.831670399 6631249.765663255 94.93, 253286.19410204483 6631249.441396988 94.94, 253286.5873531472 6631249.013858482 94.96000000000001, 253287.27510442486 6631248.1777896155 94.99, 253287.9574114941 6631247.392452618 95.02, 253288.3805777942 6631246.851676372 95.04))</t>
  </si>
  <si>
    <t>['FV157 S1D1 m6335-6350']</t>
  </si>
  <si>
    <t>LINESTRING Z (253269.53398253463 6631221.634305241 95.47, 253269.8764086088 6631221.753947474 95.48, 253270.2442472715 6631221.599999358 95.48, 253270.36296658457 6631221.358132751 95.47, 253270.2670030732 6631220.964937488 95.46000000000001, 253269.68461223433 6631220.193882051 95.45, 253268.85042660008 6631219.08396157 95.44, 253268.47544718286 6631218.60556058 95.42, 253268.00444826423 6631218.065539277 95.41, 253267.4437596595 6631217.533656309 95.39, 253266.65480567058 6631216.811486842 95.37, 253266.21004894204 6631216.449940643 95.36, 253265.6710812281 6631216.046705169 95.35000000000001, 253264.55326504455 6631215.354376239 95.34, 253261.42627332723 6631213.447744833 95.32000000000001, 253259.16255286097 6631212.085730681 95.3, 253258.79384723847 6631212.008663268 95.3, 253258.49938421627 6631212.196143644 95.3, 253258.40602147017 6631212.495994876 95.3, 253258.6215712205 6631212.878339074 95.3, 253261.7430254275 6631215.388327371 95.37, 253265.89439597024 6631218.729238805 95.43, 253269.53398253463 6631221.634305241 95.47)</t>
  </si>
  <si>
    <t>POLYGON Z ((253269.53398253463 6631221.634305241 95.47, 253269.8764086088 6631221.753947474 95.48, 253270.2442472715 6631221.599999358 95.48, 253270.36296658457 6631221.358132751 95.47, 253270.2670030732 6631220.964937488 95.46000000000001, 253269.68461223433 6631220.193882051 95.45, 253268.85042660008 6631219.08396157 95.44, 253268.47544718286 6631218.60556058 95.42, 253268.00444826423 6631218.065539277 95.41, 253267.4437596595 6631217.533656309 95.39, 253266.65480567058 6631216.811486842 95.37, 253266.21004894204 6631216.449940643 95.36, 253265.6710812281 6631216.046705169 95.35000000000001, 253264.55326504455 6631215.354376239 95.34, 253261.42627332723 6631213.447744833 95.32000000000001, 253259.16255286097 6631212.085730681 95.3, 253258.79384723847 6631212.008663268 95.3, 253258.49938421627 6631212.196143644 95.3, 253258.40602147017 6631212.495994876 95.3, 253258.6215712205 6631212.878339074 95.3, 253261.7430254275 6631215.388327371 95.37, 253265.89439597024 6631218.729238805 95.43, 253269.53398253463 6631221.634305241 95.47))</t>
  </si>
  <si>
    <t>['FV157 S1D1 m6283-6294']</t>
  </si>
  <si>
    <t>LINESTRING Z (253308.32941057286 6631252.326025916 95.26, 253309.0911993823 6631252.970279287 95.37, 253309.85843239672 6631253.5638008015 95.37, 253310.38021906494 6631253.777691137 95.37, 253310.9228969268 6631253.668163618 95.36, 253311.2853284858 6631253.343897401 95.35000000000001, 253311.48111494488 6631252.73332535 95.33, 253311.3797071537 6631252.390862092 95.33, 253311.0717549284 6631251.986759936 95.32000000000001, 253310.3108703985 6631251.352472087 95.32000000000001, 253309.5110280606 6631250.731766795 95.2, 253307.17310266336 6631248.884156329 95.21000000000001, 253306.43486194612 6631248.277956466 95.29, 253305.65223784928 6631247.625546057 95.3, 253304.07883265725 6631246.34156051 95.32000000000001, 253303.6005250931 6631246.163915157 95.32000000000001, 253303.10405773422 6631246.2290592715 95.32000000000001, 253302.6736760311 6631246.579586351 95.32000000000001, 253302.50236050904 6631247.127652545 95.34, 253302.54849649407 6631247.525368992 95.35000000000001, 253302.87818828446 6631247.947593701 95.35000000000001, 253304.02948063746 6631248.898121302 95.35000000000001, 253305.2306005749 6631249.844127576 95.34, 253305.98967660437 6631250.458484428 95.24, 253308.32941057286 6631252.326025916 95.26)</t>
  </si>
  <si>
    <t>POLYGON Z ((253308.32941057286 6631252.326025916 95.26, 253309.0911993823 6631252.970279287 95.37, 253309.85843239672 6631253.5638008015 95.37, 253310.38021906494 6631253.777691137 95.37, 253310.9228969268 6631253.668163618 95.36, 253311.2853284858 6631253.343897401 95.35000000000001, 253311.48111494488 6631252.73332535 95.33, 253311.3797071537 6631252.390862092 95.33, 253311.0717549284 6631251.986759936 95.32000000000001, 253310.3108703985 6631251.352472087 95.32000000000001, 253309.5110280606 6631250.731766795 95.2, 253307.17310266336 6631248.884156329 95.21000000000001, 253306.43486194612 6631248.277956466 95.29, 253305.65223784928 6631247.625546057 95.3, 253304.07883265725 6631246.34156051 95.32000000000001, 253303.6005250931 6631246.163915157 95.32000000000001, 253303.10405773422 6631246.2290592715 95.32000000000001, 253302.6736760311 6631246.579586351 95.32000000000001, 253302.50236050904 6631247.127652545 95.34, 253302.54849649407 6631247.525368992 95.35000000000001, 253302.87818828446 6631247.947593701 95.35000000000001, 253304.02948063746 6631248.898121302 95.35000000000001, 253305.2306005749 6631249.844127576 95.34, 253305.98967660437 6631250.458484428 95.24, 253308.32941057286 6631252.326025916 95.26))</t>
  </si>
  <si>
    <t>['FV157 S1D1 m6289-6298']</t>
  </si>
  <si>
    <t>LINESTRING Z (253303.23149380475 6631253.391460476 95.28, 253303.2786272397 6631253.246517655 95.27, 253303.28864865913 6631252.914038529 95.27, 253303.05314918756 6631252.644028023 95.26, 253301.31119709683 6631251.606430396 95.25, 253300.51131742788 6631251.206774974 95.24, 253300.0737761755 6631251.035478103 95.24, 253299.53657974242 6631250.873223852 95.24, 253299.10627258307 6631250.781651121 95.23, 253298.5282911761 6631250.723573358 95.22, 253297.51455839325 6631250.624654713 95.2, 253296.52345078805 6631250.66434906 95.17, 253295.05036261334 6631250.818110873 95.13, 253295.08566610445 6631250.985716161 95.13, 253295.1970580579 6631251.216750242 95.14, 253295.48240376808 6631251.371714494 95.15, 253296.51060476145 6631251.6300814245 95.19, 253298.40574991232 6631252.141352432 95.22, 253301.00931379487 6631252.81943624 95.25, 253303.23149380475 6631253.391460476 95.28)</t>
  </si>
  <si>
    <t>POLYGON Z ((253303.23149380475 6631253.391460476 95.28, 253303.2786272397 6631253.246517655 95.27, 253303.28864865913 6631252.914038529 95.27, 253303.05314918756 6631252.644028023 95.26, 253301.31119709683 6631251.606430396 95.25, 253300.51131742788 6631251.206774974 95.24, 253300.0737761755 6631251.035478103 95.24, 253299.53657974242 6631250.873223852 95.24, 253299.10627258307 6631250.781651121 95.23, 253298.5282911761 6631250.723573358 95.22, 253297.51455839325 6631250.624654713 95.2, 253296.52345078805 6631250.66434906 95.17, 253295.05036261334 6631250.818110873 95.13, 253295.08566610445 6631250.985716161 95.13, 253295.1970580579 6631251.216750242 95.14, 253295.48240376808 6631251.371714494 95.15, 253296.51060476145 6631251.6300814245 95.19, 253298.40574991232 6631252.141352432 95.22, 253301.00931379487 6631252.81943624 95.25, 253303.23149380475 6631253.391460476 95.28))</t>
  </si>
  <si>
    <t>2023-11-08</t>
  </si>
  <si>
    <t>[505]</t>
  </si>
  <si>
    <t>['FV505 S4D1 m1354-1364']</t>
  </si>
  <si>
    <t>LINESTRING Z (-35275.38112140063 6556132.201302846 42.69, -35275.19220767019 6556132.174203071 42.69, -35275.02606058773 6556132.229726587 42.7, -35274.99518941657 6556132.237015304 42.7, -35274.84271926107 6556132.36427139 42.7, -35274.804644069634 6556132.451481886 42.71, -35274.75567815255 6556132.5477821035 42.71, -35274.73856860271 6556132.737596338 42.71, -35274.80138083454 6556132.934614594 42.72, -35274.8731980928 6556133.03173062 42.71, -35274.91864669358 6556133.0861842455 42.71, -35275.04500227212 6556133.248644629 42.71, -35275.17225835344 6556133.401114785 42.71, -35275.1913382964 6556133.4129060125 42.71, -35275.299514435 6556133.553584942 42.71, -35275.42587001319 6556133.716045323 42.71, -35275.4631293962 6556133.749618 42.71, -35275.5531260944 6556133.868515481 42.71, -35275.680382175604 6556134.020985637 42.71, -35275.77946859365 6556134.150773844 42.71, -35275.80763825693 6556134.173455796 42.71, -35275.93399383477 6556134.33591618 42.71, -35276.04397097812 6556134.456614664 42.71, -35276.061249915394 6556134.48838634 42.71, -35276.18850599637 6556134.6408565 42.71, -35276.314861574094 6556134.803316883 42.71, -35276.36939989438 6556134.868661237 42.71, -35276.4421176546 6556134.955787043 42.71, -35276.56937373546 6556135.108257203 42.71, -35276.61482233531 6556135.162710832 42.71, -35276.69662981562 6556135.2607273655 42.71, -35276.822985392995 6556135.4231877485 42.71, -35276.9502414735 6556135.575657911 42.71, -35277.07749755378 6556135.728128072 42.71, -35277.186574193765 6556135.858816783 42.71, -35277.20385313057 6556135.8905884605 42.71, -35277.33110921073 6556136.043058623 42.71, -35277.45836529089 6556136.195528784 42.71, -35277.53927226772 6556136.303535539 42.71, -35277.58472086745 6556136.357989171 42.71, -35277.71197694738 6556136.510459335 42.71, -35277.74743532424 6556136.564012463 42.71, -35277.82834230107 6556136.672019219 42.71, -35277.95559838065 6556136.824489385 42.71, -35278.081953957095 6556136.986949772 42.71, -35278.09923289402 6556137.0187214445 42.71, -35278.19831931067 6556137.148509655 42.71, -35278.324674886884 6556137.310970045 42.7, -35278.44194074313 6556137.462539707 42.7, -35278.47739911964 6556137.516092837 42.7, -35278.55830609612 6556137.624099595 42.7, -35278.64740228932 6556137.752987302 42.7, -35278.67467144912 6556137.785659479 42.7, -35278.80012652185 6556137.958110094 42.7, -35278.91649187426 6556138.119669981 42.7, -35279.02376750717 6556138.270339142 42.7, -35279.14922257967 6556138.442789755 42.7, -35279.1755912361 6556138.4854521565 42.7, -35279.25559770886 6556138.603449138 42.7, -35279.37106255768 6556138.774999251 42.7, -35279.48742790986 6556138.936559141 42.7, -35279.55834466242 6556139.043665398 42.7, -35279.60289275844 6556139.1081092525 42.7, -35279.68199872738 6556139.2360964585 42.7, -35279.709267887054 6556139.26876864 42.7, -35279.824732735404 6556139.440318751 42.7, -35279.930207360536 6556139.610968362 42.7, -35280.03658248868 6556139.771627749 42.7, -35280.0720408652 6556139.825180876 42.7, -35280.1520473368 6556139.943177862 42.7, -35280.17841599311 6556139.985840264 42.7, -35280.25752196147 6556140.113827473 42.7, -35280.3629965859 6556140.284477084 42.7, -35280.46847120987 6556140.455126696 42.7, -35280.56575661781 6556140.604895356 42.7, -35280.57394583465 6556140.625776304 42.7, -35280.654852809384 6556140.733783066 42.7, -35280.70120191155 6556140.778246478 42.7, -35280.87292139826 6556140.884367549 42.7, -35281.0627356387 6556140.901477112 42.69, -35281.25885340292 6556140.848655114 42.69, -35281.410423072404 6556140.731389258 42.68, -35281.526534365374 6556140.560570273 42.68, -35281.64174515486 6556140.39974151 42.68, -35281.7578564476 6556140.2289225245 42.67, -35281.873067237204 6556140.06809376 42.67, -35281.98827802646 6556139.907264996 42.660000000000004, -35282.11347903893 6556139.747336739 42.660000000000004, -35282.22868982807 6556139.586507971 42.65, -35282.3538908402 6556139.426579712 42.65, -35282.479091852554 6556139.266651449 42.64, -35282.603392361314 6556139.116713412 42.64, -35282.72859337379 6556138.956785149 42.64, -35282.86288410588 6556138.807747615 42.63, -35282.99717483844 6556138.658710075 42.63, -35283.122375849984 6556138.498781814 42.62, -35283.25666658243 6556138.349744274 42.62, -35283.39095731429 6556138.20070674 42.61, -35283.53433776682 6556138.062559927 42.61, -35283.66862849891 6556137.91352239 42.6, -35283.79382951069 6556137.753594124 42.6, -35283.840909741004 6556137.566481387 42.6, -35283.836322536226 6556137.505639543 42.6, -35283.81895890948 6556137.363074906 42.59, -35283.71348427818 6556137.192425289 42.59, -35283.55265551037 6556137.077214502 42.59, -35283.36824428348 6556137.000163604 42.6, -35283.349164339714 6556136.988372374 42.6, -35283.18383305671 6556136.923112705 42.6, -35283.116603002534 6556136.88683851 42.6, -35282.999421830405 6556136.846061805 42.6, -35282.8159111077 6556136.759020682 42.6, -35282.63149988151 6556136.681969784 42.61, -35282.44798915903 6556136.594928661 42.61, -35282.26357793354 6556136.517877763 42.61, -35282.19634787913 6556136.481603572 42.61, -35282.0900574344 6556136.431737145 42.61, -35281.906546712504 6556136.344696024 42.62, -35281.72303599084 6556136.257654903 42.62, -35281.57858565927 6556136.184206018 42.62, -35281.539525269065 6556136.170613783 42.62, -35281.36600477109 6556136.084473165 42.62, -35281.31785466068 6556136.059990206 42.62, -35281.18339455279 6556135.987441823 42.63, -35281.009874055046 6556135.901301206 42.63, -35280.827263837215 6556135.804269862 42.63, -35280.74095383985 6556135.756204446 42.63, -35280.65464384272 6556135.708139023 42.63, -35280.472033625 6556135.611107684 42.63, -35280.299413631205 6556135.514976843 42.64, -35280.12679363659 6556135.418846007 42.64, -35279.94418342016 6556135.321814663 42.64, -35279.9160137563 6556135.299132708 42.64, -35279.771563426475 6556135.225683827 42.64, -35279.628013599664 6556135.142244721 42.64, -35279.59984393616 6556135.119562765 42.65, -35279.42722394271 6556135.023431926 42.65, -35279.34181444894 6556134.965376287 42.65, -35279.25550445239 6556134.917310867 42.65, -35279.08378496242 6556134.811189807 42.65, -35278.91206547187 6556134.705068749 42.65, -35278.82665597857 6556134.647013108 42.65, -35278.74034598237 6556134.59894769 42.65, -35278.57861671585 6556134.493727131 42.660000000000004, -35278.53136710881 6556134.45925395 42.660000000000004, -35278.4077977289 6556134.377615851 42.660000000000004, -35278.23607823951 6556134.271494791 42.660000000000004, -35278.07434897323 6556134.166274236 42.660000000000004, -35278.046179309604 6556134.143592281 42.660000000000004, -35277.903529986506 6556134.050162956 42.660000000000004, -35277.75179094367 6556133.945842904 42.67, -35277.57188223698 6556133.818840901 42.67, -35277.41105347406 6556133.703630123 42.67, -35277.27839437476 6556133.611101298 42.67, -35277.25022471079 6556133.588419346 42.67, -35277.089395947754 6556133.47320857 42.67, -35276.984906512196 6556133.403361702 42.67, -35276.92856718507 6556133.357997795 42.67, -35276.75864870194 6556133.2318962915 42.67, -35276.59781993949 6556133.116685516 42.67, -35276.53239089227 6556133.060430884 42.67, -35276.44788190257 6556132.9923850205 42.68, -35276.28795364243 6556132.867184024 42.68, -35276.2407040362 6556132.832710842 42.68, -35276.12802538276 6556132.741983027 42.68, -35275.9680971232 6556132.616782028 42.68, -35275.818159085815 6556132.492481538 42.68, -35275.658230826724 6556132.367280539 42.68, -35275.55464189383 6556132.28744345 42.68, -35275.38112140063 6556132.201302846 42.69)</t>
  </si>
  <si>
    <t>POLYGON Z ((-35275.38112140063 6556132.201302846 42.69, -35275.19220767019 6556132.174203071 42.69, -35275.02606058773 6556132.229726587 42.7, -35274.99518941657 6556132.237015304 42.7, -35274.84271926107 6556132.36427139 42.7, -35274.804644069634 6556132.451481886 42.71, -35274.75567815255 6556132.5477821035 42.71, -35274.73856860271 6556132.737596338 42.71, -35274.80138083454 6556132.934614594 42.72, -35274.8731980928 6556133.03173062 42.71, -35274.91864669358 6556133.0861842455 42.71, -35275.04500227212 6556133.248644629 42.71, -35275.17225835344 6556133.401114785 42.71, -35275.1913382964 6556133.4129060125 42.71, -35275.299514435 6556133.553584942 42.71, -35275.42587001319 6556133.716045323 42.71, -35275.4631293962 6556133.749618 42.71, -35275.5531260944 6556133.868515481 42.71, -35275.680382175604 6556134.020985637 42.71, -35275.77946859365 6556134.150773844 42.71, -35275.80763825693 6556134.173455796 42.71, -35275.93399383477 6556134.33591618 42.71, -35276.04397097812 6556134.456614664 42.71, -35276.061249915394 6556134.48838634 42.71, -35276.18850599637 6556134.6408565 42.71, -35276.314861574094 6556134.803316883 42.71, -35276.36939989438 6556134.868661237 42.71, -35276.4421176546 6556134.955787043 42.71, -35276.56937373546 6556135.108257203 42.71, -35276.61482233531 6556135.162710832 42.71, -35276.69662981562 6556135.2607273655 42.71, -35276.822985392995 6556135.4231877485 42.71, -35276.9502414735 6556135.575657911 42.71, -35277.07749755378 6556135.728128072 42.71, -35277.186574193765 6556135.858816783 42.71, -35277.20385313057 6556135.8905884605 42.71, -35277.33110921073 6556136.043058623 42.71, -35277.45836529089 6556136.195528784 42.71, -35277.53927226772 6556136.303535539 42.71, -35277.58472086745 6556136.357989171 42.71, -35277.71197694738 6556136.510459335 42.71, -35277.74743532424 6556136.564012463 42.71, -35277.82834230107 6556136.672019219 42.71, -35277.95559838065 6556136.824489385 42.71, -35278.081953957095 6556136.986949772 42.71, -35278.09923289402 6556137.0187214445 42.71, -35278.19831931067 6556137.148509655 42.71, -35278.324674886884 6556137.310970045 42.7, -35278.44194074313 6556137.462539707 42.7, -35278.47739911964 6556137.516092837 42.7, -35278.55830609612 6556137.624099595 42.7, -35278.64740228932 6556137.752987302 42.7, -35278.67467144912 6556137.785659479 42.7, -35278.80012652185 6556137.958110094 42.7, -35278.91649187426 6556138.119669981 42.7, -35279.02376750717 6556138.270339142 42.7, -35279.14922257967 6556138.442789755 42.7, -35279.1755912361 6556138.4854521565 42.7, -35279.25559770886 6556138.603449138 42.7, -35279.37106255768 6556138.774999251 42.7, -35279.48742790986 6556138.936559141 42.7, -35279.55834466242 6556139.043665398 42.7, -35279.60289275844 6556139.1081092525 42.7, -35279.68199872738 6556139.2360964585 42.7, -35279.709267887054 6556139.26876864 42.7, -35279.824732735404 6556139.440318751 42.7, -35279.930207360536 6556139.610968362 42.7, -35280.03658248868 6556139.771627749 42.7, -35280.0720408652 6556139.825180876 42.7, -35280.1520473368 6556139.943177862 42.7, -35280.17841599311 6556139.985840264 42.7, -35280.25752196147 6556140.113827473 42.7, -35280.3629965859 6556140.284477084 42.7, -35280.46847120987 6556140.455126696 42.7, -35280.56575661781 6556140.604895356 42.7, -35280.57394583465 6556140.625776304 42.7, -35280.654852809384 6556140.733783066 42.7, -35280.70120191155 6556140.778246478 42.7, -35280.87292139826 6556140.884367549 42.7, -35281.0627356387 6556140.901477112 42.69, -35281.25885340292 6556140.848655114 42.69, -35281.410423072404 6556140.731389258 42.68, -35281.526534365374 6556140.560570273 42.68, -35281.64174515486 6556140.39974151 42.68, -35281.7578564476 6556140.2289225245 42.67, -35281.873067237204 6556140.06809376 42.67, -35281.98827802646 6556139.907264996 42.660000000000004, -35282.11347903893 6556139.747336739 42.660000000000004, -35282.22868982807 6556139.586507971 42.65, -35282.3538908402 6556139.426579712 42.65, -35282.479091852554 6556139.266651449 42.64, -35282.603392361314 6556139.116713412 42.64, -35282.72859337379 6556138.956785149 42.64, -35282.86288410588 6556138.807747615 42.63, -35282.99717483844 6556138.658710075 42.63, -35283.122375849984 6556138.498781814 42.62, -35283.25666658243 6556138.349744274 42.62, -35283.39095731429 6556138.20070674 42.61, -35283.53433776682 6556138.062559927 42.61, -35283.66862849891 6556137.91352239 42.6, -35283.79382951069 6556137.753594124 42.6, -35283.840909741004 6556137.566481387 42.6, -35283.836322536226 6556137.505639543 42.6, -35283.81895890948 6556137.363074906 42.59, -35283.71348427818 6556137.192425289 42.59, -35283.55265551037 6556137.077214502 42.59, -35283.36824428348 6556137.000163604 42.6, -35283.349164339714 6556136.988372374 42.6, -35283.18383305671 6556136.923112705 42.6, -35283.116603002534 6556136.88683851 42.6, -35282.999421830405 6556136.846061805 42.6, -35282.8159111077 6556136.759020682 42.6, -35282.63149988151 6556136.681969784 42.61, -35282.44798915903 6556136.594928661 42.61, -35282.26357793354 6556136.517877763 42.61, -35282.19634787913 6556136.481603572 42.61, -35282.0900574344 6556136.431737145 42.61, -35281.906546712504 6556136.344696024 42.62, -35281.72303599084 6556136.257654903 42.62, -35281.57858565927 6556136.184206018 42.62, -35281.539525269065 6556136.170613783 42.62, -35281.36600477109 6556136.084473165 42.62, -35281.31785466068 6556136.059990206 42.62, -35281.18339455279 6556135.987441823 42.63, -35281.009874055046 6556135.901301206 42.63, -35280.827263837215 6556135.804269862 42.63, -35280.74095383985 6556135.756204446 42.63, -35280.65464384272 6556135.708139023 42.63, -35280.472033625 6556135.611107684 42.63, -35280.299413631205 6556135.514976843 42.64, -35280.12679363659 6556135.418846007 42.64, -35279.94418342016 6556135.321814663 42.64, -35279.9160137563 6556135.299132708 42.64, -35279.771563426475 6556135.225683827 42.64, -35279.628013599664 6556135.142244721 42.64, -35279.59984393616 6556135.119562765 42.65, -35279.42722394271 6556135.023431926 42.65, -35279.34181444894 6556134.965376287 42.65, -35279.25550445239 6556134.917310867 42.65, -35279.08378496242 6556134.811189807 42.65, -35278.91206547187 6556134.705068749 42.65, -35278.82665597857 6556134.647013108 42.65, -35278.74034598237 6556134.59894769 42.65, -35278.57861671585 6556134.493727131 42.660000000000004, -35278.53136710881 6556134.45925395 42.660000000000004, -35278.4077977289 6556134.377615851 42.660000000000004, -35278.23607823951 6556134.271494791 42.660000000000004, -35278.07434897323 6556134.166274236 42.660000000000004, -35278.046179309604 6556134.143592281 42.660000000000004, -35277.903529986506 6556134.050162956 42.660000000000004, -35277.75179094367 6556133.945842904 42.67, -35277.57188223698 6556133.818840901 42.67, -35277.41105347406 6556133.703630123 42.67, -35277.27839437476 6556133.611101298 42.67, -35277.25022471079 6556133.588419346 42.67, -35277.089395947754 6556133.47320857 42.67, -35276.984906512196 6556133.403361702 42.67, -35276.92856718507 6556133.357997795 42.67, -35276.75864870194 6556133.2318962915 42.67, -35276.59781993949 6556133.116685516 42.67, -35276.53239089227 6556133.060430884 42.67, -35276.44788190257 6556132.9923850205 42.68, -35276.28795364243 6556132.867184024 42.68, -35276.2407040362 6556132.832710842 42.68, -35276.12802538276 6556132.741983027 42.68, -35275.9680971232 6556132.616782028 42.68, -35275.818159085815 6556132.492481538 42.68, -35275.658230826724 6556132.367280539 42.68, -35275.55464189383 6556132.28744345 42.68, -35275.38112140063 6556132.201302846 42.69))</t>
  </si>
  <si>
    <t>['FV505 S4D1 m1368 KD1 m71-77']</t>
  </si>
  <si>
    <t>LINESTRING Z (-35317.91072947532 6556129.317232874 41.92, -35318.1068472981 6556129.264410841 41.92, -35318.12682775082 6556129.266211846 41.93, -35318.29576109792 6556129.291510622 41.93, -35318.46838115179 6556129.387641485 41.93, -35318.59473677946 6556129.550101925 41.92, -35318.63756858371 6556129.745319245 41.92, -35318.59957807243 6556129.943322771 41.910000000000004, -35318.587786839926 6556129.962402723 41.910000000000004, -35318.49345698173 6556130.115042321 41.910000000000004, -35318.34188727278 6556130.2323082285 41.92, -35318.17942683492 6556130.358663855 41.92, -35318.02695662342 6556130.485919983 41.92, -35317.86449618568 6556130.612275612 41.92, -35317.712025974295 6556130.7395317415 41.93, -35317.559555763146 6556130.866787868 41.93, -35317.40618504945 6556131.004034221 41.93, -35317.26370506454 6556131.132190855 41.94, -35317.11033435073 6556131.269437207 41.94, -35316.966953862924 6556131.4075840665 41.94, -35316.82357337535 6556131.545730924 41.94, -35316.6801928879 6556131.68387778 41.95, -35316.5359118972 6556131.8320148615 41.95, -35316.39253140974 6556131.970161716 41.95, -35316.258240645635 6556132.1191993 41.96, -35316.12394988141 6556132.268236884 41.96, -35315.980569393956 6556132.406383739 41.96, -35315.846278629615 6556132.555421323 41.96, -35315.71198786551 6556132.704458906 41.97, -35315.586786824046 6556132.86438722 41.97, -35315.452496060054 6556133.013424801 41.97, -35315.328195521724 6556133.163362887 41.980000000000004, -35315.19300425402 6556133.322390694 41.980000000000004, -35315.06780321244 6556133.482319006 41.980000000000004, -35314.94350267423 6556133.63225709 41.980000000000004, -35314.818301632535 6556133.792185402 41.99, -35314.7030908172 6556133.953014213 41.99, -35314.577889775275 6556134.112942524 41.99, -35314.46267895948 6556134.273771337 42, -35314.3465676402 6556134.444590378 42, -35314.2313568244 6556134.605419187 42, -35314.11614600883 6556134.766247996 42, -35314.01002491522 6556134.937967539 42.01, -35313.89481409895 6556135.098796349 42.01, -35313.78869300557 6556135.270515886 42.01, -35313.6825719116 6556135.442235431 42.02, -35313.576450818335 6556135.613954964 42.02, -35313.4703297239 6556135.785674506 42.02, -35313.3741988556 6556135.958294549 42.02, -35313.268077761284 6556136.130014087 42.03, -35313.171946892864 6556136.302634127 42.03, -35313.07491552108 6556136.485244393 42.03, -35312.97878465231 6556136.657864436 42.04, -35312.89174350572 6556136.841375206 42.04, -35312.76654246228 6556137.001303511 42.04, -35312.74476100353 6556137.019482954 42.04, -35312.59679331002 6556137.096787941 42.04, -35312.40247650072 6556137.129629506 42.050000000000004, -35312.25532462308 6556137.086151277 42.050000000000004, -35312.2162642231 6556137.072559038 42.050000000000004, -35312.07541586924 6556136.959149226 42.050000000000004, -35312.05633592128 6556136.947357991 42.050000000000004, -35311.907298348844 6556136.813067227 42.06, -35311.758260776056 6556136.67877646 42.06, -35311.59923297784 6556136.543585195 42.06, -35311.50563424325 6556136.464648578 42.06, -35311.4492949018 6556136.419284656 42.06, -35311.3375167225 6556136.318566582 42.06, -35311.29935682588 6556136.294984117 42.07, -35311.14032902813 6556136.159792847 42.07, -35310.980400726665 6556136.034591809 42.07, -35310.83046265086 6556135.910291271 42.07, -35310.745053135324 6556135.852235614 42.07, -35310.66963384615 6556135.795080458 42.08, -35310.56604488613 6556135.715243341 42.08, -35310.50970554503 6556135.669879417 42.08, -35310.34887674032 6556135.554668606 42.08, -35310.1889484392 6556135.4294675635 42.08, -35310.01812940941 6556135.313356248 42.09, -35309.92363017169 6556135.244409862 42.09, -35309.85730060493 6556135.198145435 42.09, -35309.78188131575 6556135.140990281 42.09, -35309.69737230393 6556135.072944395 42.09, -35309.601887873374 6556134.903195249 42.09, -35309.57903653162 6556134.709778949 42.09, -35309.621614253614 6556134.572617298 42.09, -35309.6370074983 6556134.513576446 42.09, -35309.76130803197 6556134.363638368 42.08, -35309.9319576812 6556134.25816371 42.08, -35309.97462009336 6556134.231795047 42.08, -35310.112597556436 6556134.153589555 42.08, -35310.133478510776 6556134.145400336 42.08, -35310.28324720578 6556134.048114899 42.07, -35310.432115398 6556133.960819681 42.07, -35310.4538968557 6556133.942640239 42.07, -35310.61455628008 6556133.836265073 42.07, -35310.78520593012 6556133.730790415 42.07, -35310.955855580396 6556133.625315756 42.06, -35311.12740573415 6556133.509850866 42.06, -35311.29805538466 6556133.404376207 42.06, -35311.46870503528 6556133.298901546 42.06, -35311.639354686486 6556133.193426886 42.06, -35311.800014111795 6556133.087051718 42.06, -35311.970663763 6556132.9815770555 42.050000000000004, -35312.141313414206 6556132.876102396 42.050000000000004, -35312.31286356901 6556132.760637508 42.050000000000004, -35312.48351322091 6556132.655162843 42.050000000000004, -35312.654162872816 6556132.549688181 42.050000000000004, -35312.82481252507 6556132.444213517 42.050000000000004, -35312.995462177205 6556132.338738852 42.04, -35313.16611182969 6556132.23326419 42.04, -35313.33676148241 6556132.127789525 42.04, -35313.49742090877 6556132.02141436 42.04, -35313.668971064966 6556131.905949466 42.04, -35313.83962071792 6556131.800474801 42.04, -35314.01027037157 6556131.695000136 42.04, -35314.180920024635 6556131.589525472 42.03, -35314.3515696784 6556131.484050804 42.03, -35314.52221933217 6556131.378576137 42.03, -35314.692868985934 6556131.27310147 42.03, -35314.86441914318 6556131.157636578 42.03, -35315.025078571285 6556131.051261407 42.03, -35315.19572822563 6556130.94578674 42.02, -35315.3663778801 6556130.840312072 42.02, -35315.53702753503 6556130.734837405 42.02, -35315.707677190076 6556130.629362735 42.02, -35315.87832684512 6556130.523888065 42.02, -35316.04987700295 6556130.408423171 42.02, -35316.22052665858 6556130.302948499 42.01, -35316.39117631409 6556130.1974738315 42.01, -35316.561825969955 6556130.091999163 42.01, -35316.72248539957 6556129.985623989 42.01, -35316.89313505555 6556129.880149317 42.01, -35317.07377493847 6556129.775575146 42.01, -35317.24352409213 6556129.6800907 42, -35317.41417374811 6556129.574616033 42, -35317.593913128716 6556129.480032091 42, -35317.773652509204 6556129.385448147 42, -35317.91072947532 6556129.317232874 41.92)</t>
  </si>
  <si>
    <t>POLYGON Z ((-35317.91072947532 6556129.317232874 41.92, -35318.1068472981 6556129.264410841 41.92, -35318.12682775082 6556129.266211846 41.93, -35318.29576109792 6556129.291510622 41.93, -35318.46838115179 6556129.387641485 41.93, -35318.59473677946 6556129.550101925 41.92, -35318.63756858371 6556129.745319245 41.92, -35318.59957807243 6556129.943322771 41.910000000000004, -35318.587786839926 6556129.962402723 41.910000000000004, -35318.49345698173 6556130.115042321 41.910000000000004, -35318.34188727278 6556130.2323082285 41.92, -35318.17942683492 6556130.358663855 41.92, -35318.02695662342 6556130.485919983 41.92, -35317.86449618568 6556130.612275612 41.92, -35317.712025974295 6556130.7395317415 41.93, -35317.559555763146 6556130.866787868 41.93, -35317.40618504945 6556131.004034221 41.93, -35317.26370506454 6556131.132190855 41.94, -35317.11033435073 6556131.269437207 41.94, -35316.966953862924 6556131.4075840665 41.94, -35316.82357337535 6556131.545730924 41.94, -35316.6801928879 6556131.68387778 41.95, -35316.5359118972 6556131.8320148615 41.95, -35316.39253140974 6556131.970161716 41.95, -35316.258240645635 6556132.1191993 41.96, -35316.12394988141 6556132.268236884 41.96, -35315.980569393956 6556132.406383739 41.96, -35315.846278629615 6556132.555421323 41.96, -35315.71198786551 6556132.704458906 41.97, -35315.586786824046 6556132.86438722 41.97, -35315.452496060054 6556133.013424801 41.97, -35315.328195521724 6556133.163362887 41.980000000000004, -35315.19300425402 6556133.322390694 41.980000000000004, -35315.06780321244 6556133.482319006 41.980000000000004, -35314.94350267423 6556133.63225709 41.980000000000004, -35314.818301632535 6556133.792185402 41.99, -35314.7030908172 6556133.953014213 41.99, -35314.577889775275 6556134.112942524 41.99, -35314.46267895948 6556134.273771337 42, -35314.3465676402 6556134.444590378 42, -35314.2313568244 6556134.605419187 42, -35314.11614600883 6556134.766247996 42, -35314.01002491522 6556134.937967539 42.01, -35313.89481409895 6556135.098796349 42.01, -35313.78869300557 6556135.270515886 42.01, -35313.6825719116 6556135.442235431 42.02, -35313.576450818335 6556135.613954964 42.02, -35313.4703297239 6556135.785674506 42.02, -35313.3741988556 6556135.958294549 42.02, -35313.268077761284 6556136.130014087 42.03, -35313.171946892864 6556136.302634127 42.03, -35313.07491552108 6556136.485244393 42.03, -35312.97878465231 6556136.657864436 42.04, -35312.89174350572 6556136.841375206 42.04, -35312.76654246228 6556137.001303511 42.04, -35312.74476100353 6556137.019482954 42.04, -35312.59679331002 6556137.096787941 42.04, -35312.40247650072 6556137.129629506 42.050000000000004, -35312.25532462308 6556137.086151277 42.050000000000004, -35312.2162642231 6556137.072559038 42.050000000000004, -35312.07541586924 6556136.959149226 42.050000000000004, -35312.05633592128 6556136.947357991 42.050000000000004, -35311.907298348844 6556136.813067227 42.06, -35311.758260776056 6556136.67877646 42.06, -35311.59923297784 6556136.543585195 42.06, -35311.50563424325 6556136.464648578 42.06, -35311.4492949018 6556136.419284656 42.06, -35311.3375167225 6556136.318566582 42.06, -35311.29935682588 6556136.294984117 42.07, -35311.14032902813 6556136.159792847 42.07, -35310.980400726665 6556136.034591809 42.07, -35310.83046265086 6556135.910291271 42.07, -35310.745053135324 6556135.852235614 42.07, -35310.66963384615 6556135.795080458 42.08, -35310.56604488613 6556135.715243341 42.08, -35310.50970554503 6556135.669879417 42.08, -35310.34887674032 6556135.554668606 42.08, -35310.1889484392 6556135.4294675635 42.08, -35310.01812940941 6556135.313356248 42.09, -35309.92363017169 6556135.244409862 42.09, -35309.85730060493 6556135.198145435 42.09, -35309.78188131575 6556135.140990281 42.09, -35309.69737230393 6556135.072944395 42.09, -35309.601887873374 6556134.903195249 42.09, -35309.57903653162 6556134.709778949 42.09, -35309.621614253614 6556134.572617298 42.09, -35309.6370074983 6556134.513576446 42.09, -35309.76130803197 6556134.363638368 42.08, -35309.9319576812 6556134.25816371 42.08, -35309.97462009336 6556134.231795047 42.08, -35310.112597556436 6556134.153589555 42.08, -35310.133478510776 6556134.145400336 42.08, -35310.28324720578 6556134.048114899 42.07, -35310.432115398 6556133.960819681 42.07, -35310.4538968557 6556133.942640239 42.07, -35310.61455628008 6556133.836265073 42.07, -35310.78520593012 6556133.730790415 42.07, -35310.955855580396 6556133.625315756 42.06, -35311.12740573415 6556133.509850866 42.06, -35311.29805538466 6556133.404376207 42.06, -35311.46870503528 6556133.298901546 42.06, -35311.639354686486 6556133.193426886 42.06, -35311.800014111795 6556133.087051718 42.06, -35311.970663763 6556132.9815770555 42.050000000000004, -35312.141313414206 6556132.876102396 42.050000000000004, -35312.31286356901 6556132.760637508 42.050000000000004, -35312.48351322091 6556132.655162843 42.050000000000004, -35312.654162872816 6556132.549688181 42.050000000000004, -35312.82481252507 6556132.444213517 42.050000000000004, -35312.995462177205 6556132.338738852 42.04, -35313.16611182969 6556132.23326419 42.04, -35313.33676148241 6556132.127789525 42.04, -35313.49742090877 6556132.02141436 42.04, -35313.668971064966 6556131.905949466 42.04, -35313.83962071792 6556131.800474801 42.04, -35314.01027037157 6556131.695000136 42.04, -35314.180920024635 6556131.589525472 42.03, -35314.3515696784 6556131.484050804 42.03, -35314.52221933217 6556131.378576137 42.03, -35314.692868985934 6556131.27310147 42.03, -35314.86441914318 6556131.157636578 42.03, -35315.025078571285 6556131.051261407 42.03, -35315.19572822563 6556130.94578674 42.02, -35315.3663778801 6556130.840312072 42.02, -35315.53702753503 6556130.734837405 42.02, -35315.707677190076 6556130.629362735 42.02, -35315.87832684512 6556130.523888065 42.02, -35316.04987700295 6556130.408423171 42.02, -35316.22052665858 6556130.302948499 42.01, -35316.39117631409 6556130.1974738315 42.01, -35316.561825969955 6556130.091999163 42.01, -35316.72248539957 6556129.985623989 42.01, -35316.89313505555 6556129.880149317 42.01, -35317.07377493847 6556129.775575146 42.01, -35317.24352409213 6556129.6800907 42, -35317.41417374811 6556129.574616033 42, -35317.593913128716 6556129.480032091 42, -35317.773652509204 6556129.385448147 42, -35317.91072947532 6556129.317232874 41.92))</t>
  </si>
  <si>
    <t>['FV505 S4D1 m1372-1382']</t>
  </si>
  <si>
    <t>LINESTRING Z (-35316.72616147064 6556162.123781012 42.09, -35316.81705867429 6556162.232688328 42.09, -35316.85251704976 6556162.286241482 42.09, -35316.97068341391 6556162.427820992 42.09, -35317.09703899303 6556162.59028146 42.08, -35317.233384798164 6556162.753642437 42.08, -35317.3606408824 6556162.90611268 42.08, -35317.43335864507 6556162.993238535 42.08, -35317.48789696663 6556163.058582927 42.08, -35317.61605355679 6556163.201062946 42.08, -35317.752399361576 6556163.3644239195 42.07, -35317.8805559515 6556163.506903939 42.07, -35318.01780226105 6556163.660274692 42.07, -35318.06325086299 6556163.714728351 42.07, -35318.145058345515 6556163.812744938 42.07, -35318.26502572093 6556163.934343997 42.06, -35318.28320516134 6556163.956125462 42.06, -35318.42045147135 6556164.109496214 42.06, -35318.55859828659 6556164.252876745 42.06, -35318.69674510276 6556164.396257268 42.050000000000004, -35318.714924543165 6556164.418038733 42.050000000000004, -35318.83489191835 6556164.539637797 42.050000000000004, -35318.92668962688 6556164.638554891 42.050000000000004, -35318.97303873394 6556164.683018325 42.050000000000004, -35319.111185549526 6556164.826398852 42.050000000000004, -35319.259322591475 6556164.970679885 42.04, -35319.37020024622 6556165.081388217 42.04, -35319.39746940695 6556165.114060416 42.04, -35319.54650695459 6556165.248351224 42.04, -35319.60104527604 6556165.313695617 42.04, -35319.68465376983 6556165.391731755 42.04, -35319.83369131759 6556165.526022564 42.04, -35319.852771264035 6556165.537813799 42.04, -35319.98272886535 6556165.66031337 42.03, -35320.13086590695 6556165.804594407 42.03, -35320.279903454706 6556165.9388852175 42.02, -35320.298983400804 6556165.950676457 42.02, -35320.428941002116 6556166.073176029 42.02, -35320.54980888299 6556166.184784868 42.02, -35320.57797854964 6556166.207466842 42.02, -35320.72791660321 6556166.331767427 42.02, -35320.8769541512 6556166.466058237 42.01, -35320.99872253812 6556166.5676768515 42.01, -35321.03688243113 6556166.591259329 42.01, -35321.18591997889 6556166.72555014 42.01, -35321.27042897919 6556166.793596055 42, -35321.33585803269 6556166.849850727 42, -35321.49578631297 6556166.975051822 42, -35321.654814087204 6556167.110243141 42, -35321.72114364721 6556167.156507587 41.99, -35321.80475214124 6556167.234543727 41.99, -35321.96468042175 6556167.359744821 41.99, -35322.00284031464 6556167.3833273 41.99, -35322.12460870191 6556167.484945914 41.99, -35322.27454675641 6556167.609246501 41.980000000000004, -35322.43447503692 6556167.7344475975 41.980000000000004, -35322.59440331743 6556167.859648692 41.980000000000004, -35322.72616193129 6556167.962167816 41.97, -35322.7443413717 6556167.983949281 41.97, -35322.904269652325 6556168.109150378 41.97, -35323.06419793342 6556168.234351473 41.96, -35323.16778688028 6556168.314188631 41.96, -35323.224126214045 6556168.359552571 41.96, -35323.37406426901 6556168.48385316 41.96, -35323.44858304283 6556168.550998572 41.96, -35323.523101817 6556168.6181439785 41.96, -35323.60679496906 6556168.806973119 41.96, -35323.60966580326 6556168.998588435 41.96, -35323.54350555816 6556169.17390998 41.97, -35323.5317143189 6556169.19298993 41.97, -35323.3983240074 6556169.332037251 41.97, -35323.2103953755 6556169.405740173 41.980000000000004, -35323.0087898348 6556169.407710503 41.980000000000004, -35322.90249936946 6556169.357844029 41.99, -35322.824378571124 6556169.3306595255 41.99, -35322.6526590531 6556169.224538374 41.99, -35322.48003902845 6556169.128407453 41.99, -35322.308319510776 6556169.0222863 42, -35322.135699486826 6556168.926155376 42, -35322.107529820176 6556168.903473404 42.01, -35321.96307946311 6556168.830024452 42.01, -35321.791359945666 6556168.723903303 42.01, -35321.675979761174 6556168.663146097 42.01, -35321.60874969582 6556168.6268718755 42.01, -35321.43612967245 6556168.530740952 42.02, -35321.31075926218 6556168.469083239 42.02, -35321.26260914304 6556168.444600257 42.02, -35321.079998893896 6556168.34756883 42.03, -35320.90737887088 6556168.251437908 42.03, -35320.86831847206 6556168.237845657 42.03, -35320.72386811592 6556168.164396706 42.04, -35320.54125786736 6556168.0673652785 42.04, -35320.512187695014 6556168.054673533 42.04, -35320.36773733888 6556167.981224584 42.050000000000004, -35320.184226584504 6556167.894183385 42.050000000000004, -35320.0397762286 6556167.820734438 42.050000000000004, -35320.0007158299 6556167.807142187 42.050000000000004, -35319.82719530212 6556167.721001492 42.06, -35319.70182489313 6556167.659343781 42.06, -35319.643684548326 6556167.633960291 42.06, -35319.46017379465 6556167.5469190935 42.07, -35319.27666304121 6556167.459877895 42.07, -35319.20853247086 6556167.433593899 42.07, -35319.092251782306 6556167.382826919 42.07, -35318.90874102921 6556167.295785722 42.08, -35318.87967085687 6556167.28309398 42.08, -35318.72432977031 6556167.218734752 42.08, -35318.53991851176 6556167.1416837815 42.09, -35318.37548770523 6556167.066433821 42.09, -35318.35550725344 6556167.064632807 42.09, -35318.17109599488 6556166.987581841 42.1, -35317.986684736796 6556166.910530869 42.1, -35317.83134365117 6556166.846171642 42.1, -35317.80227347929 6556166.833479899 42.1, -35317.617862222134 6556166.756428925 42.11, -35317.52975120023 6556166.728343919 42.11, -35317.4325504587 6556166.68936818 42.11, -35317.23814897577 6556166.611416706 42.12, -35317.05283721292 6556166.544355963 42.12, -35316.95563647151 6556166.505380225 42.12, -35316.86752545042 6556166.477295221 42.13, -35316.68221368815 6556166.410234477 42.13, -35316.48691170022 6556166.342273228 42.13, -35316.301599938306 6556166.275212487 42.14, -35316.10629795084 6556166.207251239 42.14, -35316.07722777943 6556166.194559493 42.14, -35315.92098618951 6556166.140190498 42.15, -35315.82288494322 6556166.1112049855 42.15, -35315.72478369693 6556166.082219474 42.15, -35315.539471936296 6556166.015158731 42.160000000000004, -35315.343269443954 6556165.9571877085 42.160000000000004, -35315.18702785508 6556165.9028187115 42.160000000000004, -35315.15705717786 6556165.9001171915 42.160000000000004, -35314.96085468575 6556165.842146173 42.17, -35314.77554292616 6556165.775085433 42.17, -35314.57843992917 6556165.727104638 42.18, -35314.39222766424 6556165.670034123 42.18, -35314.294126418885 6556165.641048613 42.18, -35314.19692567957 6556165.602072876 42.19, -35314.1215064032 6556165.544917702 42.19, -35314.03699740721 6556165.476871793 42.19, -35313.94151301822 6556165.307122619 42.19, -35313.929552457994 6556165.104616584 42.19, -35313.98662297125 6556164.91840432 42.19, -35314.11182405241 6556164.758476047 42.18, -35314.237025133334 6556164.598547771 42.18, -35314.3613257088 6556164.448609722 42.17, -35314.486526789726 6556164.288681447 42.17, -35314.61172787042 6556164.128753174 42.160000000000004, -35314.7269387258 6556163.96792439 42.160000000000004, -35314.84214958071 6556163.80709561 42.15, -35314.96825116768 6556163.637177101 42.15, -35315.073471796466 6556163.475447818 42.15, -35315.188682650914 6556163.314619035 42.14, -35315.30479401164 6556163.143800025 42.14, -35315.41091514565 6556162.972080513 42.13, -35315.526126000215 6556162.811251727 42.13, -35315.63224713446 6556162.63953221 42.12, -35315.738368268474 6556162.467812697 42.12, -35315.83449917601 6556162.295192677 42.12, -35315.94062031014 6556162.123473158 42.11, -35316.09309055109 6556161.996217073 42.11, -35316.13485246536 6556161.979838644 42.11, -35316.280118661816 6556161.932504365 42.1, -35316.47992318019 6556161.950514477 42.1, -35316.652543202275 6556162.046645383 42.09, -35316.72616147064 6556162.123781012 42.09)</t>
  </si>
  <si>
    <t>POLYGON Z ((-35316.72616147064 6556162.123781012 42.09, -35316.81705867429 6556162.232688328 42.09, -35316.85251704976 6556162.286241482 42.09, -35316.97068341391 6556162.427820992 42.09, -35317.09703899303 6556162.59028146 42.08, -35317.233384798164 6556162.753642437 42.08, -35317.3606408824 6556162.90611268 42.08, -35317.43335864507 6556162.993238535 42.08, -35317.48789696663 6556163.058582927 42.08, -35317.61605355679 6556163.201062946 42.08, -35317.752399361576 6556163.3644239195 42.07, -35317.8805559515 6556163.506903939 42.07, -35318.01780226105 6556163.660274692 42.07, -35318.06325086299 6556163.714728351 42.07, -35318.145058345515 6556163.812744938 42.07, -35318.26502572093 6556163.934343997 42.06, -35318.28320516134 6556163.956125462 42.06, -35318.42045147135 6556164.109496214 42.06, -35318.55859828659 6556164.252876745 42.06, -35318.69674510276 6556164.396257268 42.050000000000004, -35318.714924543165 6556164.418038733 42.050000000000004, -35318.83489191835 6556164.539637797 42.050000000000004, -35318.92668962688 6556164.638554891 42.050000000000004, -35318.97303873394 6556164.683018325 42.050000000000004, -35319.111185549526 6556164.826398852 42.050000000000004, -35319.259322591475 6556164.970679885 42.04, -35319.37020024622 6556165.081388217 42.04, -35319.39746940695 6556165.114060416 42.04, -35319.54650695459 6556165.248351224 42.04, -35319.60104527604 6556165.313695617 42.04, -35319.68465376983 6556165.391731755 42.04, -35319.83369131759 6556165.526022564 42.04, -35319.852771264035 6556165.537813799 42.04, -35319.98272886535 6556165.66031337 42.03, -35320.13086590695 6556165.804594407 42.03, -35320.279903454706 6556165.9388852175 42.02, -35320.298983400804 6556165.950676457 42.02, -35320.428941002116 6556166.073176029 42.02, -35320.54980888299 6556166.184784868 42.02, -35320.57797854964 6556166.207466842 42.02, -35320.72791660321 6556166.331767427 42.02, -35320.8769541512 6556166.466058237 42.01, -35320.99872253812 6556166.5676768515 42.01, -35321.03688243113 6556166.591259329 42.01, -35321.18591997889 6556166.72555014 42.01, -35321.27042897919 6556166.793596055 42, -35321.33585803269 6556166.849850727 42, -35321.49578631297 6556166.975051822 42, -35321.654814087204 6556167.110243141 42, -35321.72114364721 6556167.156507587 41.99, -35321.80475214124 6556167.234543727 41.99, -35321.96468042175 6556167.359744821 41.99, -35322.00284031464 6556167.3833273 41.99, -35322.12460870191 6556167.484945914 41.99, -35322.27454675641 6556167.609246501 41.980000000000004, -35322.43447503692 6556167.7344475975 41.980000000000004, -35322.59440331743 6556167.859648692 41.980000000000004, -35322.72616193129 6556167.962167816 41.97, -35322.7443413717 6556167.983949281 41.97, -35322.904269652325 6556168.109150378 41.97, -35323.06419793342 6556168.234351473 41.96, -35323.16778688028 6556168.314188631 41.96, -35323.224126214045 6556168.359552571 41.96, -35323.37406426901 6556168.48385316 41.96, -35323.44858304283 6556168.550998572 41.96, -35323.523101817 6556168.6181439785 41.96, -35323.60679496906 6556168.806973119 41.96, -35323.60966580326 6556168.998588435 41.96, -35323.54350555816 6556169.17390998 41.97, -35323.5317143189 6556169.19298993 41.97, -35323.3983240074 6556169.332037251 41.97, -35323.2103953755 6556169.405740173 41.980000000000004, -35323.0087898348 6556169.407710503 41.980000000000004, -35322.90249936946 6556169.357844029 41.99, -35322.824378571124 6556169.3306595255 41.99, -35322.6526590531 6556169.224538374 41.99, -35322.48003902845 6556169.128407453 41.99, -35322.308319510776 6556169.0222863 42, -35322.135699486826 6556168.926155376 42, -35322.107529820176 6556168.903473404 42.01, -35321.96307946311 6556168.830024452 42.01, -35321.791359945666 6556168.723903303 42.01, -35321.675979761174 6556168.663146097 42.01, -35321.60874969582 6556168.6268718755 42.01, -35321.43612967245 6556168.530740952 42.02, -35321.31075926218 6556168.469083239 42.02, -35321.26260914304 6556168.444600257 42.02, -35321.079998893896 6556168.34756883 42.03, -35320.90737887088 6556168.251437908 42.03, -35320.86831847206 6556168.237845657 42.03, -35320.72386811592 6556168.164396706 42.04, -35320.54125786736 6556168.0673652785 42.04, -35320.512187695014 6556168.054673533 42.04, -35320.36773733888 6556167.981224584 42.050000000000004, -35320.184226584504 6556167.894183385 42.050000000000004, -35320.0397762286 6556167.820734438 42.050000000000004, -35320.0007158299 6556167.807142187 42.050000000000004, -35319.82719530212 6556167.721001492 42.06, -35319.70182489313 6556167.659343781 42.06, -35319.643684548326 6556167.633960291 42.06, -35319.46017379465 6556167.5469190935 42.07, -35319.27666304121 6556167.459877895 42.07, -35319.20853247086 6556167.433593899 42.07, -35319.092251782306 6556167.382826919 42.07, -35318.90874102921 6556167.295785722 42.08, -35318.87967085687 6556167.28309398 42.08, -35318.72432977031 6556167.218734752 42.08, -35318.53991851176 6556167.1416837815 42.09, -35318.37548770523 6556167.066433821 42.09, -35318.35550725344 6556167.064632807 42.09, -35318.17109599488 6556166.987581841 42.1, -35317.986684736796 6556166.910530869 42.1, -35317.83134365117 6556166.846171642 42.1, -35317.80227347929 6556166.833479899 42.1, -35317.617862222134 6556166.756428925 42.11, -35317.52975120023 6556166.728343919 42.11, -35317.4325504587 6556166.68936818 42.11, -35317.23814897577 6556166.611416706 42.12, -35317.05283721292 6556166.544355963 42.12, -35316.95563647151 6556166.505380225 42.12, -35316.86752545042 6556166.477295221 42.13, -35316.68221368815 6556166.410234477 42.13, -35316.48691170022 6556166.342273228 42.13, -35316.301599938306 6556166.275212487 42.14, -35316.10629795084 6556166.207251239 42.14, -35316.07722777943 6556166.194559493 42.14, -35315.92098618951 6556166.140190498 42.15, -35315.82288494322 6556166.1112049855 42.15, -35315.72478369693 6556166.082219474 42.15, -35315.539471936296 6556166.015158731 42.160000000000004, -35315.343269443954 6556165.9571877085 42.160000000000004, -35315.18702785508 6556165.9028187115 42.160000000000004, -35315.15705717786 6556165.9001171915 42.160000000000004, -35314.96085468575 6556165.842146173 42.17, -35314.77554292616 6556165.775085433 42.17, -35314.57843992917 6556165.727104638 42.18, -35314.39222766424 6556165.670034123 42.18, -35314.294126418885 6556165.641048613 42.18, -35314.19692567957 6556165.602072876 42.19, -35314.1215064032 6556165.544917702 42.19, -35314.03699740721 6556165.476871793 42.19, -35313.94151301822 6556165.307122619 42.19, -35313.929552457994 6556165.104616584 42.19, -35313.98662297125 6556164.91840432 42.19, -35314.11182405241 6556164.758476047 42.18, -35314.237025133334 6556164.598547771 42.18, -35314.3613257088 6556164.448609722 42.17, -35314.486526789726 6556164.288681447 42.17, -35314.61172787042 6556164.128753174 42.160000000000004, -35314.7269387258 6556163.96792439 42.160000000000004, -35314.84214958071 6556163.80709561 42.15, -35314.96825116768 6556163.637177101 42.15, -35315.073471796466 6556163.475447818 42.15, -35315.188682650914 6556163.314619035 42.14, -35315.30479401164 6556163.143800025 42.14, -35315.41091514565 6556162.972080513 42.13, -35315.526126000215 6556162.811251727 42.13, -35315.63224713446 6556162.63953221 42.12, -35315.738368268474 6556162.467812697 42.12, -35315.83449917601 6556162.295192677 42.12, -35315.94062031014 6556162.123473158 42.11, -35316.09309055109 6556161.996217073 42.11, -35316.13485246536 6556161.979838644 42.11, -35316.280118661816 6556161.932504365 42.1, -35316.47992318019 6556161.950514477 42.1, -35316.652543202275 6556162.046645383 42.09, -35316.72616147064 6556162.123781012 42.09))</t>
  </si>
  <si>
    <t>['FV505 S4D1 m695-704']</t>
  </si>
  <si>
    <t>LINESTRING Z (-34809.81738770788 6555622.180262006 26, -34809.84465691459 6555622.212933935 26, -34809.95553464885 6555622.3236412825 26, -34810.02915298706 6555622.400776244 26, -34810.09368159005 6555622.467020558 26, -34810.24181872059 6555622.61130029 26, -34810.370875926455 6555622.74378892 26, -34810.51901305711 6555622.888068655 26, -34810.66715018754 6555623.032348387 26, -34810.68532965833 6555623.054129677 26, -34810.80529712839 6555623.175727669 26, -34810.95433471305 6555623.310017214 26, -34811.04703297687 6555623.398943269 26, -34811.102471843944 6555623.454296945 26, -34811.241519238916 6555623.587686034 26, -34811.362387162866 6555623.699293838 26, -34811.38965636934 6555623.73196577 25.990000000000002, -34811.53869395435 6555623.866255313 25.990000000000002, -34811.6877315389 6555624.000544862 25.990000000000002, -34811.74407086079 6555624.045908343 25.990000000000002, -34811.83676912391 6555624.134834405 25.990000000000002, -34811.98580670904 6555624.269123951 25.990000000000002, -34812.05123576545 6555624.325378082 25.990000000000002, -34812.1348442937 6555624.403413498 25.990000000000002, -34812.2838818786 6555624.537703046 25.990000000000002, -34812.43291946384 6555624.67199259 25.990000000000002, -34812.58195704839 6555624.806282138 25.990000000000002, -34812.731895087985 6555624.930581495 25.990000000000002, -34812.750074558775 6555624.952362786 25.990000000000002, -34812.87184293766 6555625.053980398 25.990000000000002, -34812.9563519198 6555625.1220256295 25.990000000000002, -34813.04086090205 6555625.190070859 25.990000000000002, -34813.18080875173 6555625.313469761 25.990000000000002, -34813.34982671647 6555625.44956022 25.990000000000002, -34813.49886430183 6555625.583849766 25.990000000000002, -34813.6206326806 6555625.685467384 25.990000000000002, -34813.65879253112 6555625.709049582 25.990000000000002, -34813.80873057095 6555625.83334894 25.990000000000002, -34813.845989966765 6555625.866921332 25.990000000000002, -34813.968658800004 6555625.95854876 25.990000000000002, -34814.12858703022 6555626.083748571 25.990000000000002, -34814.27852506947 6555626.208047934 25.990000000000002, -34814.30669473042 6555626.230729677 25.990000000000002, -34814.438453299226 6555626.333247751 25.990000000000002, -34814.53205201763 6555626.412183625 25.990000000000002, -34814.598381529446 6555626.458447566 25.990000000000002, -34814.75830975908 6555626.583647382 25.990000000000002, -34814.91913844354 6555626.698857011 25.98, -34815.01273716171 6555626.777792885 25.98, -34815.07906667376 6555626.824056825 25.98, -34815.23989535833 6555626.939266455 25.98, -34815.39982358867 6555627.064466269 25.98, -34815.41890351381 6555627.076257373 25.98, -34815.56065227324 6555627.1796758985 25.98, -34815.7214809584 6555627.294885529 25.98, -34815.74056088389 6555627.306676627 25.98, -34815.8814091885 6555627.420085347 25.98, -34815.919569039484 6555627.443667546 25.98, -34816.05222806393 6555627.53619543 25.98, -34816.21305674885 6555627.65140506 25.98, -34816.24122640991 6555627.6740868045 25.98, -34816.37388543412 6555627.766614693 25.98, -34816.39296535996 6555627.778405788 25.98, -34816.54470430955 6555627.882724776 25.98, -34816.67826378869 6555627.965262471 25.98, -34816.706433449755 6555627.987944215 25.98, -34816.830002738745 6555628.0695814565 25.98, -34816.867262135376 6555628.103153846 25.98, -34817.038081011386 6555628.21926393 25.98, -34817.082629233715 6555628.283707347 25.98, -34817.15444666287 6555628.380822696 25.98, -34817.19179124804 6555628.52518763 25.98, -34817.20726935472 6555628.5769394925 25.98, -34817.17927007063 6555628.77584284 25.98, -34817.07315017446 6555628.947562173 25.990000000000002, -34816.92158160091 6555629.0648282785 25.990000000000002, -34816.75093310245 6555629.170303286 26, -34816.57938414905 6555629.285768484 26, -34816.408735650824 6555629.391243489 26.01, -34816.24717688793 6555629.507609137 26.01, -34816.08561812516 6555629.623974787 26.02, -34815.91406917258 6555629.739439981 26.02, -34815.75251041015 6555629.855805632 26.03, -34815.59095164749 6555629.972171281 26.03, -34815.42939288553 6555630.088536929 26.04, -34815.27692385856 6555630.215793222 26.04, -34815.1144646419 6555630.34214906 26.05, -34814.96199561481 6555630.469405353 26.05, -34814.79953639838 6555630.59576119 26.060000000000002, -34814.64706737164 6555630.723017481 26.060000000000002, -34814.494598345016 6555630.850273774 26.07, -34814.342129318626 6555630.977530066 26.07, -34814.19875002722 6555631.115677003 26.080000000000002, -34814.04538054601 6555631.252923482 26.080000000000002, -34813.90290170978 6555631.381080227 26.09, -34813.74953222845 6555631.518326705 26.09, -34813.60525248223 6555631.666463831 26.1, -34813.461873191176 6555631.804610765 26.1, -34813.29122469528 6555631.910085765 26.11, -34813.096908814856 6555631.942928071 26.11, -34813.02877839666 6555631.916644505 26.11, -34812.89980638458 6555631.894948402 26.11, -34812.739878163324 6555631.769748582 26.11, -34812.652582634706 6555631.620881374 26.11, -34812.644393355 6555631.600000539 26.11, -34812.58706839499 6555631.4538346995 26.11, -34812.58068002504 6555631.412973483 26.11, -34812.51696669473 6555631.225946431 26.11, -34812.48691093933 6555631.112452523 26.11, -34812.454153819126 6555631.028929186 26.11, -34812.43138688896 6555630.946306301 26.11, -34812.3904404887 6555630.841902128 26.1, -34812.32672715781 6555630.654875076 26.1, -34812.31034859759 6555630.613113408 26.1, -34812.2639142815 6555630.45785783 26.1, -34812.2484361761 6555630.406105973 26.1, -34812.20020094968 6555630.2708307775 26.1, -34812.136487618205 6555630.083803726 26.09, -34812.11191977782 6555630.021161219 26.09, -34812.06278409646 6555629.895876216 26.09, -34812.04001716548 6555629.813253333 26.09, -34811.99997121899 6555629.698858971 26.09, -34811.93625788647 6555629.51183192 26.09, -34811.90260031074 6555629.43829877 26.09, -34811.86255436414 6555629.32390441 26.09, -34811.798841030686 6555629.136877359 26.080000000000002, -34811.74241652305 6555628.980721331 26.080000000000002, -34811.725137507776 6555628.948949851 26.080000000000002, -34811.66142417432 6555628.761922796 26.080000000000002, -34811.62047777232 6555628.657518627 26.080000000000002, -34811.587720650714 6555628.573995289 26.080000000000002, -34811.51401712664 6555628.386067784 26.080000000000002, -34811.44850288308 6555628.219021111 26.07, -34811.44031360245 6555628.198140279 26.07, -34811.36661007814 6555628.0102127725 26.07, -34811.31747439504 6555627.884927768 26.07, -34811.2929065536 6555627.822285265 26.07, -34811.21920302848 6555627.63435776 26.07, -34811.15458923846 6555627.457320899 26.060000000000002, -34811.070895523415 6555627.268492936 26.060000000000002, -34811.00448082411 6555627.111436455 26.060000000000002, -34810.99719199783 6555627.080565433 26.060000000000002, -34810.923488472006 6555626.892637926 26.060000000000002, -34810.83889430144 6555626.713800157 26.060000000000002, -34810.8406952105 6555626.693819779 26.060000000000002, -34810.773380055674 6555626.546753488 26.060000000000002, -34810.76519077504 6555626.525872652 26.060000000000002, -34810.731533197686 6555626.452339507 26.05, -34810.6814970586 6555626.337044696 26.05, -34810.606893077376 6555626.159107381 26.05, -34810.523199360236 6555625.9702794235 26.05, -34810.50772125274 6555625.918527567 26.05, -34810.448595378315 6555625.7923421115 26.05, -34810.364901661174 6555625.60351415 26.05, -34810.35671238019 6555625.582633319 26.05, -34810.28030748933 6555625.424676382 26.04, -34810.196613771375 6555625.235848426 26.04, -34810.121109334286 6555625.067901302 26.04, -34810.038316069986 6555624.869083159 26.04, -34809.97010045918 6555624.732007056 26.04, -34809.953721897095 6555624.690245391 26.04, -34809.8691277242 6555624.511407624 26.04, -34809.78453355073 6555624.332569855 26.03, -34809.73359695554 6555624.227265236 26.03, -34809.69084964169 6555624.142841445 26.03, -34809.606255467865 6555623.964003682 26.03, -34809.56350815401 6555623.879579892 26.03, -34809.52166129404 6555623.785165915 26.03, -34809.4270769303 6555623.6054276945 26.03, -34809.34248275601 6555623.42658993 26.03, -34809.325203739456 6555623.39481845 26.03, -34809.25788858102 6555623.247752166 26.03, -34809.16330421646 6555623.068013948 26.02, -34809.15511493536 6555623.047133112 26.02, -34809.068719852134 6555622.888275726 26.02, -34809.0095939748 6555622.762090273 26.02, -34808.9841256768 6555622.709437961 26.02, -34808.96127354633 6555622.516022543 26.02, -34808.99926300696 6555622.318019662 26.01, -34809.12446281116 6555622.158091433 26.01, -34809.295111292624 6555622.052616422 26, -34809.48852671031 6555622.029764291 26, -34809.58662769804 6555622.058749213 26, -34809.684728686116 6555622.087734131 26, -34809.81738770788 6555622.180262006 26)</t>
  </si>
  <si>
    <t>POLYGON Z ((-34809.81738770788 6555622.180262006 26, -34809.84465691459 6555622.212933935 26, -34809.95553464885 6555622.3236412825 26, -34810.02915298706 6555622.400776244 26, -34810.09368159005 6555622.467020558 26, -34810.24181872059 6555622.61130029 26, -34810.370875926455 6555622.74378892 26, -34810.51901305711 6555622.888068655 26, -34810.66715018754 6555623.032348387 26, -34810.68532965833 6555623.054129677 26, -34810.80529712839 6555623.175727669 26, -34810.95433471305 6555623.310017214 26, -34811.04703297687 6555623.398943269 26, -34811.102471843944 6555623.454296945 26, -34811.241519238916 6555623.587686034 26, -34811.362387162866 6555623.699293838 26, -34811.38965636934 6555623.73196577 25.990000000000002, -34811.53869395435 6555623.866255313 25.990000000000002, -34811.6877315389 6555624.000544862 25.990000000000002, -34811.74407086079 6555624.045908343 25.990000000000002, -34811.83676912391 6555624.134834405 25.990000000000002, -34811.98580670904 6555624.269123951 25.990000000000002, -34812.05123576545 6555624.325378082 25.990000000000002, -34812.1348442937 6555624.403413498 25.990000000000002, -34812.2838818786 6555624.537703046 25.990000000000002, -34812.43291946384 6555624.67199259 25.990000000000002, -34812.58195704839 6555624.806282138 25.990000000000002, -34812.731895087985 6555624.930581495 25.990000000000002, -34812.750074558775 6555624.952362786 25.990000000000002, -34812.87184293766 6555625.053980398 25.990000000000002, -34812.9563519198 6555625.1220256295 25.990000000000002, -34813.04086090205 6555625.190070859 25.990000000000002, -34813.18080875173 6555625.313469761 25.990000000000002, -34813.34982671647 6555625.44956022 25.990000000000002, -34813.49886430183 6555625.583849766 25.990000000000002, -34813.6206326806 6555625.685467384 25.990000000000002, -34813.65879253112 6555625.709049582 25.990000000000002, -34813.80873057095 6555625.83334894 25.990000000000002, -34813.845989966765 6555625.866921332 25.990000000000002, -34813.968658800004 6555625.95854876 25.990000000000002, -34814.12858703022 6555626.083748571 25.990000000000002, -34814.27852506947 6555626.208047934 25.990000000000002, -34814.30669473042 6555626.230729677 25.990000000000002, -34814.438453299226 6555626.333247751 25.990000000000002, -34814.53205201763 6555626.412183625 25.990000000000002, -34814.598381529446 6555626.458447566 25.990000000000002, -34814.75830975908 6555626.583647382 25.990000000000002, -34814.91913844354 6555626.698857011 25.98, -34815.01273716171 6555626.777792885 25.98, -34815.07906667376 6555626.824056825 25.98, -34815.23989535833 6555626.939266455 25.98, -34815.39982358867 6555627.064466269 25.98, -34815.41890351381 6555627.076257373 25.98, -34815.56065227324 6555627.1796758985 25.98, -34815.7214809584 6555627.294885529 25.98, -34815.74056088389 6555627.306676627 25.98, -34815.8814091885 6555627.420085347 25.98, -34815.919569039484 6555627.443667546 25.98, -34816.05222806393 6555627.53619543 25.98, -34816.21305674885 6555627.65140506 25.98, -34816.24122640991 6555627.6740868045 25.98, -34816.37388543412 6555627.766614693 25.98, -34816.39296535996 6555627.778405788 25.98, -34816.54470430955 6555627.882724776 25.98, -34816.67826378869 6555627.965262471 25.98, -34816.706433449755 6555627.987944215 25.98, -34816.830002738745 6555628.0695814565 25.98, -34816.867262135376 6555628.103153846 25.98, -34817.038081011386 6555628.21926393 25.98, -34817.082629233715 6555628.283707347 25.98, -34817.15444666287 6555628.380822696 25.98, -34817.19179124804 6555628.52518763 25.98, -34817.20726935472 6555628.5769394925 25.98, -34817.17927007063 6555628.77584284 25.98, -34817.07315017446 6555628.947562173 25.990000000000002, -34816.92158160091 6555629.0648282785 25.990000000000002, -34816.75093310245 6555629.170303286 26, -34816.57938414905 6555629.285768484 26, -34816.408735650824 6555629.391243489 26.01, -34816.24717688793 6555629.507609137 26.01, -34816.08561812516 6555629.623974787 26.02, -34815.91406917258 6555629.739439981 26.02, -34815.75251041015 6555629.855805632 26.03, -34815.59095164749 6555629.972171281 26.03, -34815.42939288553 6555630.088536929 26.04, -34815.27692385856 6555630.215793222 26.04, -34815.1144646419 6555630.34214906 26.05, -34814.96199561481 6555630.469405353 26.05, -34814.79953639838 6555630.59576119 26.060000000000002, -34814.64706737164 6555630.723017481 26.060000000000002, -34814.494598345016 6555630.850273774 26.07, -34814.342129318626 6555630.977530066 26.07, -34814.19875002722 6555631.115677003 26.080000000000002, -34814.04538054601 6555631.252923482 26.080000000000002, -34813.90290170978 6555631.381080227 26.09, -34813.74953222845 6555631.518326705 26.09, -34813.60525248223 6555631.666463831 26.1, -34813.461873191176 6555631.804610765 26.1, -34813.29122469528 6555631.910085765 26.11, -34813.096908814856 6555631.942928071 26.11, -34813.02877839666 6555631.916644505 26.11, -34812.89980638458 6555631.894948402 26.11, -34812.739878163324 6555631.769748582 26.11, -34812.652582634706 6555631.620881374 26.11, -34812.644393355 6555631.600000539 26.11, -34812.58706839499 6555631.4538346995 26.11, -34812.58068002504 6555631.412973483 26.11, -34812.51696669473 6555631.225946431 26.11, -34812.48691093933 6555631.112452523 26.11, -34812.454153819126 6555631.028929186 26.11, -34812.43138688896 6555630.946306301 26.11, -34812.3904404887 6555630.841902128 26.1, -34812.32672715781 6555630.654875076 26.1, -34812.31034859759 6555630.613113408 26.1, -34812.2639142815 6555630.45785783 26.1, -34812.2484361761 6555630.406105973 26.1, -34812.20020094968 6555630.2708307775 26.1, -34812.136487618205 6555630.083803726 26.09, -34812.11191977782 6555630.021161219 26.09, -34812.06278409646 6555629.895876216 26.09, -34812.04001716548 6555629.813253333 26.09, -34811.99997121899 6555629.698858971 26.09, -34811.93625788647 6555629.51183192 26.09, -34811.90260031074 6555629.43829877 26.09, -34811.86255436414 6555629.32390441 26.09, -34811.798841030686 6555629.136877359 26.080000000000002, -34811.74241652305 6555628.980721331 26.080000000000002, -34811.725137507776 6555628.948949851 26.080000000000002, -34811.66142417432 6555628.761922796 26.080000000000002, -34811.62047777232 6555628.657518627 26.080000000000002, -34811.587720650714 6555628.573995289 26.080000000000002, -34811.51401712664 6555628.386067784 26.080000000000002, -34811.44850288308 6555628.219021111 26.07, -34811.44031360245 6555628.198140279 26.07, -34811.36661007814 6555628.0102127725 26.07, -34811.31747439504 6555627.884927768 26.07, -34811.2929065536 6555627.822285265 26.07, -34811.21920302848 6555627.63435776 26.07, -34811.15458923846 6555627.457320899 26.060000000000002, -34811.070895523415 6555627.268492936 26.060000000000002, -34811.00448082411 6555627.111436455 26.060000000000002, -34810.99719199783 6555627.080565433 26.060000000000002, -34810.923488472006 6555626.892637926 26.060000000000002, -34810.83889430144 6555626.713800157 26.060000000000002, -34810.8406952105 6555626.693819779 26.060000000000002, -34810.773380055674 6555626.546753488 26.060000000000002, -34810.76519077504 6555626.525872652 26.060000000000002, -34810.731533197686 6555626.452339507 26.05, -34810.6814970586 6555626.337044696 26.05, -34810.606893077376 6555626.159107381 26.05, -34810.523199360236 6555625.9702794235 26.05, -34810.50772125274 6555625.918527567 26.05, -34810.448595378315 6555625.7923421115 26.05, -34810.364901661174 6555625.60351415 26.05, -34810.35671238019 6555625.582633319 26.05, -34810.28030748933 6555625.424676382 26.04, -34810.196613771375 6555625.235848426 26.04, -34810.121109334286 6555625.067901302 26.04, -34810.038316069986 6555624.869083159 26.04, -34809.97010045918 6555624.732007056 26.04, -34809.953721897095 6555624.690245391 26.04, -34809.8691277242 6555624.511407624 26.04, -34809.78453355073 6555624.332569855 26.03, -34809.73359695554 6555624.227265236 26.03, -34809.69084964169 6555624.142841445 26.03, -34809.606255467865 6555623.964003682 26.03, -34809.56350815401 6555623.879579892 26.03, -34809.52166129404 6555623.785165915 26.03, -34809.4270769303 6555623.6054276945 26.03, -34809.34248275601 6555623.42658993 26.03, -34809.325203739456 6555623.39481845 26.03, -34809.25788858102 6555623.247752166 26.03, -34809.16330421646 6555623.068013948 26.02, -34809.15511493536 6555623.047133112 26.02, -34809.068719852134 6555622.888275726 26.02, -34809.0095939748 6555622.762090273 26.02, -34808.9841256768 6555622.709437961 26.02, -34808.96127354633 6555622.516022543 26.02, -34808.99926300696 6555622.318019662 26.01, -34809.12446281116 6555622.158091433 26.01, -34809.295111292624 6555622.052616422 26, -34809.48852671031 6555622.029764291 26, -34809.58662769804 6555622.058749213 26, -34809.684728686116 6555622.087734131 26, -34809.81738770788 6555622.180262006 26))</t>
  </si>
  <si>
    <t>['FV505 S4D1 m2506-2519']</t>
  </si>
  <si>
    <t>LINESTRING Z (-36184.29415657127 6556491.790149496 28.43, -36184.49036030017 6556491.84812155 28.43, -36184.67657373438 6556491.90519306 28.43, -36184.87187692034 6556491.973155413 28.44, -36185.0580903549 6556492.030226924 28.44, -36185.25429408485 6556492.088198979 28.44, -36185.440507520456 6556492.145270488 28.44, -36185.635810707114 6556492.213232843 28.44, -36185.82202414307 6556492.270304355 28.44, -36186.01822787442 6556492.32827641 28.44, -36186.214431605884 6556492.386248468 28.45, -36186.400645042304 6556492.44331998 28.45, -36186.59594823071 6556492.511282334 28.45, -36186.78216166748 6556492.5683538485 28.45, -36186.97836540046 6556492.626325903 28.45, -36187.16457883769 6556492.683397419 28.45, -36187.360782571486 6556492.741369475 28.45, -36187.546095465426 6556492.8084312845 28.45, -36187.74229919934 6556492.866403344 28.46, -36187.9285126382 6556492.9234748585 28.46, -36188.124716372346 6556492.981446917 28.46, -36188.32001956296 6556493.049409273 28.46, -36188.50623300241 6556493.1064807875 28.46, -36188.702436737716 6556493.164452846 28.46, -36188.88865017763 6556493.221524361 28.46, -36189.08485391375 6556493.27949642 28.47, -36189.2701668099 6556493.346558234 28.47, -36189.466370546375 6556493.404530293 28.47, -36189.65258398745 6556493.4616018105 28.47, -36189.84878772416 6556493.519573872 28.47, -36190.04499146133 6556493.577545932 28.47, -36190.23030435899 6556493.644607744 28.47, -36190.42650809686 6556493.702579806 28.47, -36190.61272153945 6556493.759651323 28.48, -36190.80892527767 6556493.817623385 28.48, -36190.994238176616 6556493.884685197 28.48, -36191.190441915416 6556493.942657257 28.48, -36191.376655358705 6556493.999728777 28.48, -36191.57285909797 6556494.057700842 28.48, -36191.75907254231 6556494.114772357 28.48, -36191.95437573816 6556494.182734718 28.490000000000002, -36192.15057947836 6556494.24070678 28.490000000000002, -36192.33679292281 6556494.297778302 28.490000000000002, -36192.53299666359 6556494.355750364 28.490000000000002, -36192.71921010886 6556494.412821883 28.490000000000002, -36192.91451330634 6556494.480784244 28.490000000000002, -36193.100726752076 6556494.537855762 28.490000000000002, -36193.29693049402 6556494.595827826 28.5, -36193.483143940335 6556494.652899348 28.5, -36193.678447138635 6556494.720861709 28.5, -36193.87465088128 6556494.778833775 28.5, -36194.060864328756 6556494.835905294 28.5, -36194.25706807175 6556494.893877359 28.5, -36194.44328151923 6556494.950948882 28.5, -36194.638584719156 6556495.0189112425 28.5, -36194.82479816722 6556495.075982766 28.51, -36195.02100191172 6556495.133954831 28.51, -36195.20721536025 6556495.191026354 28.51, -36195.40341910545 6556495.248998419 28.51, -36195.58873201057 6556495.316060238 28.51, -36195.78493575612 6556495.374032305 28.51, -36195.98113950167 6556495.4320043735 28.51, -36196.16735295183 6556495.489075896 28.52, -36196.362656153855 6556495.557038262 28.52, -36196.54886960436 6556495.614109784 28.52, -36196.74507335131 6556495.672081853 28.52, -36196.93128680263 6556495.729153376 28.52, -36197.12749054993 6556495.787125445 28.52, -36197.31280345726 6556495.854187267 28.52, -36197.50900720537 6556495.912159335 28.52, -36197.705210953834 6556495.9701314 28.53, -36197.89142440609 6556496.027202928 28.53, -36198.087628155015 6556496.085174999 28.53, -36198.27294106386 6556496.152236819 28.53, -36198.46914481337 6556496.210208889 28.53, -36198.655358266435 6556496.267280416 28.53, -36198.85156201641 6556496.325252485 28.53, -36199.036874926416 6556496.392314306 28.54, -36199.23307867686 6556496.450286379 28.54, -36199.429282427765 6556496.50825845 28.54, -36199.61549588246 6556496.565329978 28.54, -36199.81169963407 6556496.623302045 28.54, -36199.99701254477 6556496.690363874 28.54, -36200.193216296844 6556496.748335942 28.54, -36200.37942975259 6556496.80540747 28.54, -36200.57563350501 6556496.863379544 28.55, -36200.76184696134 6556496.920451072 28.55, -36200.957150170114 6556496.98841344 28.55, -36201.143363627256 6556497.0454849675 28.55, -36201.33956738084 6556497.103457041 28.55, -36201.53577113454 6556497.161429115 28.55, -36201.721084047924 6556497.22849094 28.55, -36201.91728780244 6556497.286463013 28.560000000000002, -36202.103501260746 6556497.343534541 28.560000000000002, -36202.29970501538 6556497.4015066195 28.560000000000002, -36202.485918474384 6556497.458578147 28.560000000000002, -36202.68122168572 6556497.526540519 28.560000000000002, -36202.86743514484 6556497.58361205 28.560000000000002, -36203.06363890087 6556497.641584125 28.560000000000002, -36203.25984265737 6556497.699556201 28.560000000000002, -36203.44605611742 6556497.756627733 28.57, -36203.64135933004 6556497.824590101 28.57, -36203.82847333478 6556497.8716713395 28.57, -36204.02557763702 6556497.919653117 28.57, -36204.224483028054 6556497.947654301 28.57, -36204.42338841979 6556497.975655486 28.57, -36204.62409490056 6556497.98367608 28.57, -36204.8257019259 6556497.981706375 28.57, -36205.02820949617 6556497.969746376 28.57, -36205.22162731434 6556497.946895532 28.57, -36205.42683651904 6556497.904964638 28.560000000000002, -36205.612065130146 6556497.861232653 28.560000000000002, -36205.8090851272 6556497.798420623 28.560000000000002, -36205.99611482746 6556497.734708048 28.560000000000002, -36206.18494561699 6556497.651014877 28.55, -36206.36378610961 6556497.566421164 28.55, -36206.534437394585 6556497.460946311 28.54, -36206.70508868003 6556497.355471455 28.54, -36206.86755075725 6556497.229115461 28.54, -36207.02002253686 6556497.101858926 28.53, -36207.16340456472 6556496.963711546 28.53, -36207.296796295326 6556496.82466362 28.52, -36207.4319891145 6556496.665635104 28.51, -36207.557191636646 6556496.505706041 28.51, -36207.66241356451 6556496.343975888 28.5, -36207.7685360366 6556496.172255438 28.5, -36207.8555784584 6556495.988743603 28.490000000000002, -36207.942620880436 6556495.805231765 28.48, -36208.00968270784 6556495.619918842 28.48, -36208.066754237865 6556495.43370537 28.47, -36208.124726311886 6556495.237501602 28.46, -36208.16271779116 6556495.039496748 28.46, -36208.18072867603 6556494.839690802 28.45, -36208.19873956044 6556494.639884858 28.44, -36208.20676014747 6556494.439178368 28.44, -36208.19480013952 6556494.236670792 28.43, -36208.17284983443 6556494.033262671 28.42, -36208.149998984416 6556493.839844847 28.42, -36208.10716754012 6556493.644625934 28.41, -36208.054345797864 6556493.448506479 28.400000000000002, -36207.99063321459 6556493.261476775 28.400000000000002, -36207.92782117508 6556493.064456776 28.39, -36207.86410859076 6556492.877427075 28.38, -36207.7904057093 6556492.689496828 28.38, -36207.716702827485 6556492.501566582 28.37, -36207.64299994544 6556492.3136363365 28.37, -36207.56839651952 6556492.135696385 28.36, -36207.494693636894 6556491.947766139 28.35, -36207.411000456894 6556491.758935353 28.35, -36207.32640673267 6556491.580094859 28.34, -36207.24181300844 6556491.40125437 28.34, -36207.15721928398 6556491.222413879 28.330000000000002, -36207.062635261915 6556491.042672843 28.330000000000002, -36206.96805123985 6556490.862931809 28.32, -36206.87346721743 6556490.683190773 28.310000000000002, -36206.77798265114 6556490.513440036 28.310000000000002, -36206.67250778782 6556490.342788754 28.3, -36206.56793346745 6556490.162147181 28.3, -36206.46245860332 6556489.991495901 28.29, -36206.356983739184 6556489.82084462 28.29, -36206.250608331175 6556489.660183638 28.28, -36206.13514316967 6556489.488631816 28.28, -36206.02876776119 6556489.327970834 28.27, -36205.91240205604 6556489.166409306 28.27, -36205.78604605328 6556489.00394724 28.26, -36205.66968034732 6556488.842385715 28.26, -36205.54332434444 6556488.679923648 28.25, -36205.42605809483 6556488.52835242 28.25, -36205.299702091026 6556488.365890357 28.240000000000002, -36205.162455247366 6556488.212518041 28.240000000000002, -36205.0351987005 6556488.060046271 28.23, -36204.89705131308 6556487.916664256 28.23, -36204.769794765976 6556487.764192485 28.22, -36204.63164737786 6556487.620810475 28.22, -36204.49349999067 6556487.477428457 28.21, -36204.34536230599 6556487.3331459 28.21, -36204.20721491822 6556487.189763887 28.21, -36204.05907723319 6556487.045481332 28.2, -36203.92002930178 6556486.912089614 28.2, -36203.770991073805 6556486.7777973525 28.19, -36203.62195284525 6556486.643505097 28.19, -36203.46202377719 6556486.51830259 28.18, -36203.312985548866 6556486.384010333 28.18, -36203.153056480805 6556486.258807827 28.18, -36203.003117708955 6556486.134505867 28.17, -36202.843188640545 6556486.009303365 28.17, -36202.68235902919 6556485.894091155 28.17, -36202.52242996113 6556485.768888651 28.16, -36202.43702000694 6556485.710832278 28.16, -36202.361600349774 6556485.653676446 28.16, -36202.190780441626 6556485.537563697 28.16, -36202.029950830154 6556485.422351492 28.16, -36201.85913092259 6556485.306238743 28.16, -36201.697400768055 6556485.201016836 28.150000000000002, -36201.52658086002 6556485.084904091 28.150000000000002, -36201.36575124948 6556484.969691884 28.150000000000002, -36201.19403079874 6556484.863569433 28.150000000000002, -36201.11861114146 6556484.806413605 28.14, -36201.03320118808 6556484.748357228 28.14, -36200.86148073757 6556484.642234781 28.14, -36200.69066083059 6556484.526122033 28.14, -36200.52893067687 6556484.420900129 28.14, -36200.35721022682 6556484.314777681 28.13, -36200.18548977678 6556484.208655233 28.13, -36200.033749920316 6556484.104333867 28.13, -36199.852939717006 6556483.987320581 28.13, -36199.7002993176 6556483.892989517 28.13, -36199.68121926754 6556483.881198134 28.13, -36199.50949881808 6556483.775075688 28.12, -36199.43317861832 6556483.727910156 28.12, -36199.33777836885 6556483.668953239 28.12, -36199.16515737667 6556483.572821089 28.12, -36199.09882747359 6556483.526556101 28.12, -36198.99343692744 6556483.466698644 28.12, -36198.82171647856 6556483.360576199 28.11, -36198.64909548673 6556483.26444405 28.11, -36198.4773750382 6556483.158321604 28.11, -36198.35290444293 6556483.086672764 28.11, -36198.30475404684 6556483.062189455 28.11, -36198.13303359831 6556482.956067014 28.1, -36198.05671339913 6556482.90890148 28.1, -36197.96041260718 6556482.859934863 28.1, -36197.77870186267 6556482.752911877 28.1, -36197.60608087166 6556482.65677973 28.1, -36197.43345988088 6556482.560647582 28.09, -36197.26083889033 6556482.4645154355 28.09, -36197.17452839494 6556482.416449363 28.09, -36197.07822760346 6556482.367482747 28.09, -36196.90560661326 6556482.2713506 28.09, -36196.85745621775 6556482.246867293 28.080000000000002, -36196.732985623414 6556482.175218452 28.080000000000002, -36196.55037433677 6556482.078185766 28.080000000000002, -36196.444983792375 6556482.018328311 28.080000000000002, -36196.37775334704 6556481.982053623 28.080000000000002, -36196.19424151804 6556481.89501123 28.080000000000002, -36196.10793102346 6556481.846945156 28.07, -36196.02162052889 6556481.798879084 28.07, -36195.83810870035 6556481.711836694 28.07, -36195.713638106594 6556481.640187857 28.07, -36195.66548771097 6556481.61570455 28.07, -36195.48197588266 6556481.528662162 28.060000000000002, -36195.36659504275 6556481.467904163 28.060000000000002, -36195.30935489421 6556481.432530016 28.060000000000002, -36195.12584306637 6556481.345487625 28.060000000000002, -36194.991382177104 6556481.272938249 28.060000000000002, -36194.942331239115 6556481.258445236 28.060000000000002, -36194.76971025055 6556481.162313096 28.05, -36194.634348818916 6556481.099754009 28.05, -36194.58619842352 6556481.075270707 28.05, -36194.402686596615 6556480.988228317 28.05, -36194.25733486866 6556480.924768691 28.05, -36194.21827422711 6556480.911176223 28.05, -36194.03476240032 6556480.824133836 28.04, -36193.88851013023 6556480.770664507 28.04, -36193.85035003128 6556480.747081746 28.04, -36193.66503711953 6556480.680019949 28.04, -36193.47972420789 6556480.612958155 28.04, -36193.28442100063 6556480.544995817 28.03, -36193.16723907646 6556480.5042184135 28.03, -36193.09820754675 6556480.487924316 28.03, -36192.902003797004 6556480.429952276 28.03, -36192.7548509849 6556480.386473248 28.03, -36192.70489950478 6556480.381970533 28.03, -36192.51778550865 6556480.334889333 28.02, -36192.32068121701 6556480.286907586 28.02, -36192.122676383005 6556480.248916138 28.02, -36191.92467154912 6556480.210924692 28.02, -36191.725766172865 6556480.182923538 28.02, -36191.606783164316 6556480.162126729 28.02, -36191.52686079685 6556480.154922388 28.02, -36191.32795542129 6556480.126921236 28.02, -36191.12814950314 6556480.10891038 28.02, -36191.058217432 6556480.102606578 28.02, -36190.927443042514 6556480.10088982 28.02, -36190.72763712506 6556480.082878964 28.01, -36190.52693066525 6556480.074858406 28.01, -36190.45609805174 6556480.078544902 28.01, -36190.32532366272 6556480.07682814 28.01, -36190.12371666089 6556480.078797878 28.01, -36189.92120911658 6556480.090757908 28.01, -36189.72959241073 6556480.093628189 28.01, -36189.52618432476 6556480.115578515 28.01, -36189.323676780914 6556480.127538549 28.01, -36189.12935844844 6556480.160379716 28.02, -36188.92595036281 6556480.182330045 28.02, -36188.73163203045 6556480.215171211 28.02, -36188.53731369856 6556480.248012376 28.02, -36188.332104528556 6556480.289943297 28.02, -36188.13688565465 6556480.3327747565 28.02, -36187.94076623826 6556480.385596516 28.02, -36187.75463711785 6556480.439318813 28.02, -36187.558517701924 6556480.4921405725 28.03, -36187.37148803938 6556480.555853167 28.03, -36187.174468081095 6556480.61866522 28.03, -36186.98743841902 6556480.682377814 28.03, -36186.79950821411 6556480.756080704 28.04, -36186.621568305534 6556480.830684136 28.04, -36186.48449012148 6556480.898899445 28.04, -36186.43273755815 6556480.914377323 28.04, -36186.25389710744 6556480.998971051 28.04, -36186.075056656264 6556481.083564779 28.05, -36185.89531566284 6556481.1781488005 28.05, -36185.7155746693 6556481.272732824 28.05, -36185.54492342856 6556481.378207686 28.060000000000002, -36185.37517273112 6556481.47369225 28.060000000000002, -36185.20452149084 6556481.57916711 28.07, -36185.08652335615 6556481.659173798 28.07, -36185.05385084159 6556481.686443056 28.07, -36185.03296970797 6556481.694632264 28.07, -36184.8714082205 6556481.810997963 28.080000000000002, -36184.699856437976 6556481.926463116 28.080000000000002, -36184.548285245895 6556482.043729358 28.080000000000002, -36184.38582321629 6556482.170085349 28.09, -36184.23335148161 6556482.297341884 28.09, -36184.11355226161 6556482.397329164 28.1, -36184.080879746936 6556482.42459842 28.1, -36183.92750746978 6556482.561845249 28.1, -36183.7841254879 6556482.699992621 28.11, -36183.640743506025 6556482.838139991 28.12, -36183.61896182969 6556482.856319498 28.12, -36183.497361523914 6556482.976287364 28.12, -36183.36306929437 6556483.125325574 28.13, -36183.22877706471 6556483.274363782 28.13, -36183.19610455015 6556483.30163304 28.13, -36183.161630949704 6556483.3488828875 28.14, -36183.094484835165 6556483.42340199 28.14, -36182.959292062325 6556483.582430494 28.150000000000002, -36182.868563185446 6556483.6951096915 28.150000000000002, -36182.83499012783 6556483.732369245 28.150000000000002, -36182.79961598455 6556483.789609386 28.150000000000002, -36182.719777945546 6556483.893198833 28.16, -36182.59457546787 6556484.053127878 28.16, -36182.53651910485 6556484.13853782 28.17, -36182.479363285005 6556484.213957466 28.17, -36182.35416080733 6556484.37388651 28.18, -36182.26343192975 6556484.48656571 28.18, -36182.2289583293 6556484.533815554 28.18, -36182.11464668962 6556484.684654846 28.19, -36182.0003350497 6556484.83549414 28.19, -36181.98854366818 6556484.854574187 28.19, -36181.86334119062 6556485.014503228 28.2, -36181.73903925507 6556485.164441977 28.21, -36181.613836776814 6556485.324371022 28.22, -36181.59025401436 6556485.362531116 28.22, -36181.53399873758 6556485.427960466 28.22, -36181.488634298556 6556485.484300063 28.22, -36181.36343181995 6556485.644229107 28.23, -36181.2391298851 6556485.794167851 28.240000000000002, -36181.2046562843 6556485.841417696 28.240000000000002, -36181.11392740661 6556485.954096892 28.240000000000002, -36180.98872492788 6556486.114025934 28.25, -36180.89799604972 6556486.22670513 28.25, -36180.87621437397 6556486.2448846325 28.26, -36180.86442299234 6556486.26396468 28.26, -36180.73922051396 6556486.423893718 28.26, -36180.60492828337 6556486.572931923 28.27, -36180.55866330105 6556486.639261812 28.27, -36180.536881624954 6556486.657441315 28.27, -36180.479725804646 6556486.732860959 28.27, -36180.35542386887 6556486.8827997055 28.28, -36180.22023109521 6556487.041828201 28.28, -36180.09592915943 6556487.191766945 28.29, -36180.05056472041 6556487.24810654 28.29, -36179.961636929074 6556487.340805141 28.29, -36179.836434449535 6556487.500734183 28.3, -36179.702142219176 6556487.6497723805 28.3, -36179.57784028351 6556487.799711122 28.310000000000002, -36179.53247584379 6556487.856050722 28.310000000000002, -36179.44264750916 6556487.958739618 28.310000000000002, -36179.30835527857 6556488.107777815 28.32, -36179.184053342324 6556488.257716556 28.32, -36179.049761111615 6556488.406754754 28.330000000000002, -36178.91546888079 6556488.55579295 28.330000000000002, -36178.825640545576 6556488.658481849 28.330000000000002, -36178.781176649616 6556488.704831151 28.34, -36178.64598387573 6556488.863859638 28.34, -36178.51169164467 6556489.012897836 28.35, -36178.47721804364 6556489.0601476785 28.35, -36178.3773994135 6556489.161936033 28.35, -36178.24310718314 6556489.3109742245 28.35, -36178.119705789955 6556489.450922672 28.36, -36177.97542326432 6556489.599060322 28.36, -36177.91826744366 6556489.674479964 28.37, -36177.84113103326 6556489.748098518 28.37, -36177.70683880267 6556489.897136711 28.37, -36177.57344711479 6556490.03618461 28.38, -36177.42826404574 6556490.194312556 28.38, -36177.29487235786 6556490.333360456 28.39, -36177.160580127034 6556490.482398645 28.39, -36177.03897982114 6556490.602366499 28.400000000000002, -36177.02718843939 6556490.621446545 28.400000000000002, -36176.882005370455 6556490.779574488 28.400000000000002, -36176.738623388344 6556490.9177218415 28.41, -36176.66058643465 6556491.001330689 28.41, -36176.60433115717 6556491.066760034 28.41, -36176.51540336548 6556491.159458631 28.42, -36176.46094917494 6556491.204907386 28.42, -36176.31666664954 6556491.353045034 28.42, -36176.24952053407 6556491.427564127 28.43, -36176.183274961775 6556491.492092929 28.43, -36176.038992436486 6556491.640230575 28.43, -36175.90560074872 6556491.779278472 28.44, -36175.793990737526 6556491.900146863 28.44, -36175.761318223085 6556491.927416118 28.44, -36175.61793624121 6556492.065563468 28.45, -36175.483644010266 6556492.214601655 28.45, -36175.34026202839 6556492.352749005 28.46, -36175.23954285483 6556492.46452765 28.46, -36175.2059697971 6556492.501787195 28.46, -36175.06168727111 6556492.649924841 28.47, -36174.91830528958 6556492.788072188 28.48, -36174.78401305829 6556492.937110377 28.48, -36174.65152191464 6556493.066167972 28.48, -36174.50633884547 6556493.2242959095 28.490000000000002, -36174.36295686371 6556493.362443257 28.5, -36174.21867433807 6556493.5105809 28.5, -36174.08528265054 6556493.649628792 28.51, -36173.94100012537 6556493.79776643 28.51, -36173.80760843761 6556493.936814323 28.52, -36173.6633259122 6556494.084951964 28.52, -36173.519943930674 6556494.223099307 28.53, -36173.486370872706 6556494.260358855 28.53, -36173.38565169927 6556494.3721374925 28.53, -36173.242269717506 6556494.510284837 28.54, -36173.10797748645 6556494.659323023 28.54, -36172.96369496116 6556494.80746066 28.55, -36172.90834022744 6556494.862899706 28.55, -36172.8203129794 6556494.945608003 28.55, -36172.68602074811 6556495.0946461875 28.560000000000002, -36172.54263876658 6556495.2327935295 28.560000000000002, -36172.40834653564 6556495.381831709 28.57, -36172.320319287595 6556495.464540008 28.57, -36172.26496455388 6556495.519979054 28.57, -36172.120682028355 6556495.668116692 28.580000000000002, -36171.98729034106 6556495.807164574 28.580000000000002, -36171.84300781577 6556495.955302213 28.59, -36171.74318918609 6556496.057090553 28.59, -36171.709616128355 6556496.094350098 28.59, -36171.56533360295 6556496.242487735 28.6, -36171.42195162154 6556496.380635075 28.6, -36171.287659390364 6556496.529673252 28.61, -36171.15516824694 6556496.658730842 28.61, -36171.00998517743 6556496.816858771 28.62, -36170.86660319613 6556496.9550061105 28.63, -36170.72232067073 6556497.103143743 28.63, -36170.588028439786 6556497.252181919 28.64, -36170.44464645826 6556497.390329259 28.64, -36170.31035422697 6556497.539367434 28.650000000000002, -36170.166972245905 6556497.677514771 28.650000000000002, -36170.0226897205 6556497.825652405 28.66, -36169.990017206524 6556497.852921656 28.66, -36169.889298033086 6556497.964700284 28.66, -36169.74501550791 6556498.112837914 28.67, -36169.61162382073 6556498.251885795 28.67, -36169.46734129521 6556498.400023428 28.68, -36169.411986561725 6556498.455462469 28.68, -36169.323959314264 6556498.538170761 28.68, -36169.189667082974 6556498.687208936 28.69, -36169.04628510156 6556498.825356272 28.69, -36168.91199287027 6556498.974394443 28.7, -36168.82396562316 6556499.057102734 28.7, -36168.76861088921 6556499.112541778 28.7, -36168.62432836392 6556499.260679407 28.71, -36168.49093667697 6556499.399727282 28.71, -36168.346654151566 6556499.54786491 28.72, -36168.24683552259 6556499.649653243 28.72, -36168.21236192004 6556499.696903083 28.72, -36168.0689799391 6556499.835050415 28.73, -36167.92469741416 6556499.9831880415 28.73, -36167.791305726976 6556500.122235917 28.740000000000002, -36167.65881458379 6556500.2512935 28.740000000000002, -36167.64702320204 6556500.270373542 28.740000000000002, -36167.51363151462 6556500.409421417 28.75, -36167.369348989334 6556500.557559042 28.75, -36167.22596700862 6556500.695706371 28.76, -36167.091674777446 6556500.84474454 28.76, -36166.94829279627 6556500.982891872 28.77, -36166.81400056486 6556501.131930038 28.77, -36166.67061858415 6556501.270077369 28.78, -36166.52633605944 6556501.418214988 28.78, -36166.49276300077 6556501.455474532 28.79, -36166.39294437191 6556501.557262864 28.79, -36166.248661846854 6556501.705400486 28.8, -36166.11527015967 6556501.844448357 28.8, -36165.97098763462 6556501.992585979 28.810000000000002, -36165.91563290078 6556502.048025019 28.810000000000002, -36165.82670510956 6556502.140723598 28.810000000000002, -36165.69331342238 6556502.2797714695 28.82, -36165.54903089744 6556502.427909092 28.82, -36165.415639210376 6556502.5669569615 28.830000000000002, -36165.3276119635 6556502.649665249 28.830000000000002, -36165.27135668532 6556502.715094581 28.830000000000002, -36165.12797470484 6556502.853241905 28.84, -36164.9936824732 6556503.0022800695 28.84, -36164.8503004926 6556503.140427397 28.85, -36164.749581318814 6556503.252206016 28.85, -36164.70601796766 6556503.288565014 28.85, -36164.572626280715 6556503.427612881 28.86, -36164.42834375566 6556503.575750499 28.86, -36164.29495206848 6556503.714798366 28.87, -36164.16246092599 6556503.8438559435 28.87, -36164.15066954377 6556503.862935984 28.87, -36164.00728756329 6556504.001083307 28.88, -36163.87299533165 6556504.150121465 28.88, -36163.72961335152 6556504.288268788 28.89, -36163.59532111953 6556504.437306951 28.89, -36163.45103859459 6556504.585444566 28.900000000000002, -36163.30765661434 6556504.723591885 28.900000000000002, -36163.1733643827 6556504.872630045 28.91, -36163.02998240234 6556505.010777364 28.91, -36162.99640934449 6556505.048036904 28.91, -36162.895690170815 6556505.159815523 28.92, -36162.75230819057 6556505.297962842 28.92, -36162.60802566609 6556505.446100452 28.93, -36162.47463397856 6556505.58514832 28.93, -36162.42926953838 6556505.6414879 28.94, -36162.3965970251 6556505.668757145 28.94, -36162.33035145374 6556505.733285932 28.94, -36162.19695976656 6556505.872333796 28.94, -36162.052677242085 6556506.020471403 28.95, -36161.91838501033 6556506.169509561 28.95, -36161.851238894626 6556506.244028636 28.96, -36161.78409277857 6556506.318547716 28.96, -36161.65070109186 6556506.4575955765 28.96, -36161.51730940468 6556506.5966434395 28.97, -36161.50551802234 6556506.6157234805 28.97, -36161.37212633516 6556506.754771341 28.97, -36161.271407161374 6556506.866549958 28.98, -36161.25961577869 6556506.885629999 28.98, -36161.237834103405 6556506.903809497 28.98, -36161.103541871766 6556507.052847649 28.98, -36160.969249640126 6556507.201885802 28.990000000000002, -36160.83495740802 6556507.350923956 28.990000000000002, -36160.7106554691 6556507.500862654 29, -36160.666191573604 6556507.5472119395 29, -36160.60993629543 6556507.612641267 29, -36160.57546269253 6556507.659891101 29, -36160.44117046078 6556507.808929251 29.01, -36160.30687822914 6556507.957967401 29.01, -36160.18257628998 6556508.107906098 29.02, -36160.0473835133 6556508.266934539 29.02, -36160.01381045522 6556508.304194079 29.03, -36159.92308157403 6556508.416873238 29.03, -36159.78788879758 6556508.57590168 29.04, -36159.663586858194 6556508.725840376 29.05, -36159.53838437435 6556508.885769363 29.05, -36159.43676465575 6556509.007538264 29.060000000000002, -36159.414082435076 6556509.035708058 29.060000000000002, -36159.323353554006 6556509.148387211 29.07, -36159.27888965816 6556509.194736499 29.07, -36159.154587718775 6556509.344675192 29.080000000000002, -36159.02938523481 6556509.504604177 29.080000000000002, -36158.9041827505 6556509.6645331625 29.09, -36158.86970914714 6556509.711782994 29.09, -36158.78897055867 6556509.825362693 29.1, -36158.663768074475 6556509.985291675 29.1, -36158.5485558823 6556510.146121209 29.11, -36158.43334369094 6556510.306950735 29.12, -36158.329022336635 6556510.458690518 29.13, -36158.20201876189 6556510.638600086 29.13, -36158.086806569714 6556510.799429618 29.14, -36157.98068412556 6556510.971149979 29.150000000000002, -36157.87456168083 6556511.142870345 29.16, -36157.816505312105 6556511.228280257 29.16, -36157.76843923621 6556511.31459071 29.16, -36157.662316791364 6556511.486311076 29.17, -36157.55619434605 6556511.658031442 29.18, -36157.46006219392 6556511.830652347 29.19, -36157.35393974837 6556512.002372713 29.19, -36157.34124782041 6556512.031443046 29.19, -36157.25780759577 6556512.174993621 29.2, -36157.16167544306 6556512.347614529 29.21, -36157.064642744604 6556512.530225729 29.22, -36156.978500884026 6556512.703747183 29.22, -36156.89325956872 6556512.867278339 29.23, -36156.881468185224 6556512.886358384 29.23, -36156.79442577937 6556513.069870127 29.240000000000002, -36156.70828391821 6556513.243391581 29.240000000000002, -36156.62124151189 6556513.426903322 29.25, -36156.544189397595 6556513.611315613 29.26, -36156.481630301685 6556513.746676984 29.26, -36156.45714699058 6556513.794827356 29.27, -36156.38009487593 6556513.979239644 29.27, -36156.30304276117 6556514.163651934 29.28, -36156.22599064605 6556514.348064222 29.29, -36156.14893853082 6556514.532476509 29.3, -36156.10726056446 6556514.659648677 29.3, -36156.08097616234 6556514.727779637 29.3, -36156.01391433913 6556514.913092468 29.310000000000002, -36155.946852515684 6556515.098405302 29.32, -36155.878890146734 6556515.293708425 29.32, -36155.81182832294 6556515.479021258 29.330000000000002, -36155.781941738795 6556515.587113385 29.34, -36155.76834926498 6556515.62617401 29.34, -36155.75385624543 6556515.675224929 29.34, -36155.68679442105 6556515.860537759 29.35, -36155.62882234366 6556516.056741429 29.35, -36155.58174110355 6556516.243855352 29.36, -36155.52376902534 6556516.440059019 29.37, -36155.480289965984 6556516.587211775 29.37, -36155.4657969469 6556516.636262688 29.37, -36155.418715705746 6556516.823376612 29.38, -36155.37073391909 6556517.020480825 29.39, -36155.322752132546 6556517.2175850365 29.39, -36155.284760637325 6556517.415589796 29.400000000000002, -36155.23677884997 6556517.612694009 29.41, -36155.23497775884 6556517.632674597 29.41, -36155.19878735463 6556517.810698768 29.42, -36155.16169640422 6556517.998713237 29.42, -36155.12370490818 6556518.196717995 29.43, -36155.09570370428 6556518.395623298 29.44, -36155.05771220755 6556518.593628055 29.44, -36155.05320947955 6556518.643579518 29.44, -36155.034213731415 6556518.742581895 29.45, -36155.02971100318 6556518.792533359 29.45, -36155.00170979812 6556518.991438662 29.46, -36154.973708593054 6556519.190343963 29.46, -36154.95569768001 6556519.390149814 29.47, -36154.92769647401 6556519.589055117 29.48, -36154.90968556004 6556519.788860966 29.48, -36154.89707792038 6556519.928725061 29.490000000000002, -36154.89167464583 6556519.988666817 29.490000000000002, -36154.87366373127 6556520.188472665 29.490000000000002, -36154.86564310896 6556520.389179059 29.5, -36154.84763219394 6556520.588984907 29.51, -36154.8396115707 6556520.789691302 29.51, -36154.83159094723 6556520.9903976945 29.52, -36154.829789855634 6556521.010378282 29.52, -36154.840764982044 6556521.112082296 29.52, -36154.84355090803 6556521.192905181 29.53, -36154.866401706706 6556521.38632292 29.53, -36154.919223382254 6556521.582442295 29.54, -36154.99292618793 6556521.770372475 29.54, -36155.0775198316 6556521.949212902 29.54, -36155.18299460574 6556522.119864132 29.55, -36155.30935051048 6556522.282326162 29.55, -36155.44749779941 6556522.42570815 29.55, -36155.60742676433 6556522.550910652 29.55, -36155.768256275915 6556522.666122856 29.55, -36155.95176801027 6556522.753165275 29.55, -36156.13618029095 6556522.830217402 29.55, -36156.31330391695 6556522.876398108 29.54, -36156.521298966836 6556522.915290158 29.54, -36156.722005362506 6556522.923310785 29.53, -36156.92361230438 6556522.92134112 29.53, -36157.067078583175 6556522.893987594 29.53, -36157.12792088429 6556522.88940058 29.52, -36157.31404997187 6556522.835678358 29.52, -36157.33493110316 6556522.827489155 29.52, -36157.501079605776 6556522.771965841 29.51, -36157.680820584996 6556522.677381907 29.51, -36157.85147181817 6556522.571907126 29.5, -36158.01393385057 6556522.445551222 29.490000000000002, -36158.06928858941 6556522.390112195 29.490000000000002, -36158.15731584362 6556522.3074039295 29.490000000000002, -36158.28251834365 6556522.1474749595 29.48, -36158.38774025813 6556521.985744895 29.47, -36158.424915503594 6556521.908524193 29.47, -36158.484772972064 6556521.803133703 29.46, -36158.571815392585 6556521.619621962 29.46, -36158.64886752039 6556521.435209677 29.45, -36158.709625534364 6556521.319828892 29.44, -36158.73500939517 6556521.261688227 29.44, -36158.822051814874 6556521.078176489 29.44, -36158.84473403811 6556521.0500067 29.44, -36158.91908452788 6556520.895565289 29.43, -36159.005226401845 6556520.722043842 29.42, -36159.0922688212 6556520.538532099 29.41, -36159.14033490466 6556520.452221647 29.41, -36159.18840098765 6556520.365911193 29.41, -36159.26365202258 6556520.201479492 29.400000000000002, -36159.27544340654 6556520.1823994545 29.400000000000002, -36159.372476118384 6556519.999788258 29.400000000000002, -36159.458617991535 6556519.826266806 29.39, -36159.55475015729 6556519.653645901 29.38, -36159.57923347142 6556519.605495526 29.38, -36159.65178286831 6556519.471034701 29.37, -36159.74791503337 6556519.298413799 29.37, -36159.84404719854 6556519.125792892 29.36, -36159.90480521135 6556519.010412104 29.35, -36159.941079909215 6556518.9431816945 29.35, -36160.03721207427 6556518.770560786 29.35, -36160.14333453169 6556518.598840425 29.34, -36160.23946669593 6556518.426219521 29.330000000000002, -36160.33649940591 6556518.243608318 29.32, -36160.38366494223 6556518.167288158 29.32, -36160.44262186298 6556518.071887957 29.32, -36160.45441324706 6556518.052807914 29.32, -36160.53875402687 6556517.899267049 29.310000000000002, -36160.64487648383 6556517.727546684 29.3, -36160.75099894055 6556517.555826322 29.3, -36160.80995586049 6556517.460426121 29.29, -36160.85712139658 6556517.384105962 29.29, -36160.87980361865 6556517.355936176 29.29, -36160.96234330721 6556517.22237589 29.28, -36161.06846576382 6556517.050655524 29.28, -36161.17458821938 6556516.878935163 29.27, -36161.24533652351 6556516.76445492 29.26, -36161.28071067529 6556516.707214799 29.26, -36161.38593258569 6556516.545484724 29.26, -36161.502045334084 6556516.3746649055 29.25, -36161.60816778941 6556516.202944541 29.240000000000002, -36161.724280538154 6556516.032124718 29.240000000000002, -36161.77144607366 6556515.955804558 29.23, -36161.82950244786 6556515.870394648 29.23, -36161.9093404985 6556515.766805243 29.23, -36161.945615195786 6556515.699574825 29.22, -36162.06082739832 6556515.538745298 29.22, -36162.16604930803 6556515.377015224 29.21, -36162.28216205572 6556515.206195402 29.2, -36162.30484427791 6556515.178025614 29.2, -36162</t>
  </si>
  <si>
    <t>POLYGON Z ((-36184.29415657127 6556491.790149496 28.43, -36184.49036030017 6556491.84812155 28.43, -36184.67657373438 6556491.90519306 28.43, -36184.87187692034 6556491.973155413 28.44, -36185.0580903549 6556492.030226924 28.44, -36185.25429408485 6556492.088198979 28.44, -36185.440507520456 6556492.145270488 28.44, -36185.635810707114 6556492.213232843 28.44, -36185.82202414307 6556492.270304355 28.44, -36186.01822787442 6556492.32827641 28.44, -36186.214431605884 6556492.386248468 28.45, -36186.400645042304 6556492.44331998 28.45, -36186.59594823071 6556492.511282334 28.45, -36186.78216166748 6556492.5683538485 28.45, -36186.97836540046 6556492.626325903 28.45, -36187.16457883769 6556492.683397419 28.45, -36187.360782571486 6556492.741369475 28.45, -36187.546095465426 6556492.8084312845 28.45, -36187.74229919934 6556492.866403344 28.46, -36187.9285126382 6556492.9234748585 28.46, -36188.124716372346 6556492.981446917 28.46, -36188.32001956296 6556493.049409273 28.46, -36188.50623300241 6556493.1064807875 28.46, -36188.702436737716 6556493.164452846 28.46, -36188.88865017763 6556493.221524361 28.46, -36189.08485391375 6556493.27949642 28.47, -36189.2701668099 6556493.346558234 28.47, -36189.466370546375 6556493.404530293 28.47, -36189.65258398745 6556493.4616018105 28.47, -36189.84878772416 6556493.519573872 28.47, -36190.04499146133 6556493.577545932 28.47, -36190.23030435899 6556493.644607744 28.47, -36190.42650809686 6556493.702579806 28.47, -36190.61272153945 6556493.759651323 28.48, -36190.80892527767 6556493.817623385 28.48, -36190.994238176616 6556493.884685197 28.48, -36191.190441915416 6556493.942657257 28.48, -36191.376655358705 6556493.999728777 28.48, -36191.57285909797 6556494.057700842 28.48, -36191.75907254231 6556494.114772357 28.48, -36191.95437573816 6556494.182734718 28.490000000000002, -36192.15057947836 6556494.24070678 28.490000000000002, -36192.33679292281 6556494.297778302 28.490000000000002, -36192.53299666359 6556494.355750364 28.490000000000002, -36192.71921010886 6556494.412821883 28.490000000000002, -36192.91451330634 6556494.480784244 28.490000000000002, -36193.100726752076 6556494.537855762 28.490000000000002, -36193.29693049402 6556494.595827826 28.5, -36193.483143940335 6556494.652899348 28.5, -36193.678447138635 6556494.720861709 28.5, -36193.87465088128 6556494.778833775 28.5, -36194.060864328756 6556494.835905294 28.5, -36194.25706807175 6556494.893877359 28.5, -36194.44328151923 6556494.950948882 28.5, -36194.638584719156 6556495.0189112425 28.5, -36194.82479816722 6556495.075982766 28.51, -36195.02100191172 6556495.133954831 28.51, -36195.20721536025 6556495.191026354 28.51, -36195.40341910545 6556495.248998419 28.51, -36195.58873201057 6556495.316060238 28.51, -36195.78493575612 6556495.374032305 28.51, -36195.98113950167 6556495.4320043735 28.51, -36196.16735295183 6556495.489075896 28.52, -36196.362656153855 6556495.557038262 28.52, -36196.54886960436 6556495.614109784 28.52, -36196.74507335131 6556495.672081853 28.52, -36196.93128680263 6556495.729153376 28.52, -36197.12749054993 6556495.787125445 28.52, -36197.31280345726 6556495.854187267 28.52, -36197.50900720537 6556495.912159335 28.52, -36197.705210953834 6556495.9701314 28.53, -36197.89142440609 6556496.027202928 28.53, -36198.087628155015 6556496.085174999 28.53, -36198.27294106386 6556496.152236819 28.53, -36198.46914481337 6556496.210208889 28.53, -36198.655358266435 6556496.267280416 28.53, -36198.85156201641 6556496.325252485 28.53, -36199.036874926416 6556496.392314306 28.54, -36199.23307867686 6556496.450286379 28.54, -36199.429282427765 6556496.50825845 28.54, -36199.61549588246 6556496.565329978 28.54, -36199.81169963407 6556496.623302045 28.54, -36199.99701254477 6556496.690363874 28.54, -36200.193216296844 6556496.748335942 28.54, -36200.37942975259 6556496.80540747 28.54, -36200.57563350501 6556496.863379544 28.55, -36200.76184696134 6556496.920451072 28.55, -36200.957150170114 6556496.98841344 28.55, -36201.143363627256 6556497.0454849675 28.55, -36201.33956738084 6556497.103457041 28.55, -36201.53577113454 6556497.161429115 28.55, -36201.721084047924 6556497.22849094 28.55, -36201.91728780244 6556497.286463013 28.560000000000002, -36202.103501260746 6556497.343534541 28.560000000000002, -36202.29970501538 6556497.4015066195 28.560000000000002, -36202.485918474384 6556497.458578147 28.560000000000002, -36202.68122168572 6556497.526540519 28.560000000000002, -36202.86743514484 6556497.58361205 28.560000000000002, -36203.06363890087 6556497.641584125 28.560000000000002, -36203.25984265737 6556497.699556201 28.560000000000002, -36203.44605611742 6556497.756627733 28.57, -36203.64135933004 6556497.824590101 28.57, -36203.82847333478 6556497.8716713395 28.57, -36204.02557763702 6556497.919653117 28.57, -36204.224483028054 6556497.947654301 28.57, -36204.42338841979 6556497.975655486 28.57, -36204.62409490056 6556497.98367608 28.57, -36204.8257019259 6556497.981706375 28.57, -36205.02820949617 6556497.969746376 28.57, -36205.22162731434 6556497.946895532 28.57, -36205.42683651904 6556497.904964638 28.560000000000002, -36205.612065130146 6556497.861232653 28.560000000000002, -36205.8090851272 6556497.798420623 28.560000000000002, -36205.99611482746 6556497.734708048 28.560000000000002, -36206.18494561699 6556497.651014877 28.55, -36206.36378610961 6556497.566421164 28.55, -36206.534437394585 6556497.460946311 28.54, -36206.70508868003 6556497.355471455 28.54, -36206.86755075725 6556497.229115461 28.54, -36207.02002253686 6556497.101858926 28.53, -36207.16340456472 6556496.963711546 28.53, -36207.296796295326 6556496.82466362 28.52, -36207.4319891145 6556496.665635104 28.51, -36207.557191636646 6556496.505706041 28.51, -36207.66241356451 6556496.343975888 28.5, -36207.7685360366 6556496.172255438 28.5, -36207.8555784584 6556495.988743603 28.490000000000002, -36207.942620880436 6556495.805231765 28.48, -36208.00968270784 6556495.619918842 28.48, -36208.066754237865 6556495.43370537 28.47, -36208.124726311886 6556495.237501602 28.46, -36208.16271779116 6556495.039496748 28.46, -36208.18072867603 6556494.839690802 28.45, -36208.19873956044 6556494.639884858 28.44, -36208.20676014747 6556494.439178368 28.44, -36208.19480013952 6556494.236670792 28.43, -36208.17284983443 6556494.033262671 28.42, -36208.149998984416 6556493.839844847 28.42, -36208.10716754012 6556493.644625934 28.41, -36208.054345797864 6556493.448506479 28.400000000000002, -36207.99063321459 6556493.261476775 28.400000000000002, -36207.92782117508 6556493.064456776 28.39, -36207.86410859076 6556492.877427075 28.38, -36207.7904057093 6556492.689496828 28.38, -36207.716702827485 6556492.501566582 28.37, -36207.64299994544 6556492.3136363365 28.37, -36207.56839651952 6556492.135696385 28.36, -36207.494693636894 6556491.947766139 28.35, -36207.411000456894 6556491.758935353 28.35, -36207.32640673267 6556491.580094859 28.34, -36207.24181300844 6556491.40125437 28.34, -36207.15721928398 6556491.222413879 28.330000000000002, -36207.062635261915 6556491.042672843 28.330000000000002, -36206.96805123985 6556490.862931809 28.32, -36206.87346721743 6556490.683190773 28.310000000000002, -36206.77798265114 6556490.513440036 28.310000000000002, -36206.67250778782 6556490.342788754 28.3, -36206.56793346745 6556490.162147181 28.3, -36206.46245860332 6556489.991495901 28.29, -36206.356983739184 6556489.82084462 28.29, -36206.250608331175 6556489.660183638 28.28, -36206.13514316967 6556489.488631816 28.28, -36206.02876776119 6556489.327970834 28.27, -36205.91240205604 6556489.166409306 28.27, -36205.78604605328 6556489.00394724 28.26, -36205.66968034732 6556488.842385715 28.26, -36205.54332434444 6556488.679923648 28.25, -36205.42605809483 6556488.52835242 28.25, -36205.299702091026 6556488.365890357 28.240000000000002, -36205.162455247366 6556488.212518041 28.240000000000002, -36205.0351987005 6556488.060046271 28.23, -36204.89705131308 6556487.916664256 28.23, -36204.769794765976 6556487.764192485 28.22, -36204.63164737786 6556487.620810475 28.22, -36204.49349999067 6556487.477428457 28.21, -36204.34536230599 6556487.3331459 28.21, -36204.20721491822 6556487.189763887 28.21, -36204.05907723319 6556487.045481332 28.2, -36203.92002930178 6556486.912089614 28.2, -36203.770991073805 6556486.7777973525 28.19, -36203.62195284525 6556486.643505097 28.19, -36203.46202377719 6556486.51830259 28.18, -36203.312985548866 6556486.384010333 28.18, -36203.153056480805 6556486.258807827 28.18, -36203.003117708955 6556486.134505867 28.17, -36202.843188640545 6556486.009303365 28.17, -36202.68235902919 6556485.894091155 28.17, -36202.52242996113 6556485.768888651 28.16, -36202.43702000694 6556485.710832278 28.16, -36202.361600349774 6556485.653676446 28.16, -36202.190780441626 6556485.537563697 28.16, -36202.029950830154 6556485.422351492 28.16, -36201.85913092259 6556485.306238743 28.16, -36201.697400768055 6556485.201016836 28.150000000000002, -36201.52658086002 6556485.084904091 28.150000000000002, -36201.36575124948 6556484.969691884 28.150000000000002, -36201.19403079874 6556484.863569433 28.150000000000002, -36201.11861114146 6556484.806413605 28.14, -36201.03320118808 6556484.748357228 28.14, -36200.86148073757 6556484.642234781 28.14, -36200.69066083059 6556484.526122033 28.14, -36200.52893067687 6556484.420900129 28.14, -36200.35721022682 6556484.314777681 28.13, -36200.18548977678 6556484.208655233 28.13, -36200.033749920316 6556484.104333867 28.13, -36199.852939717006 6556483.987320581 28.13, -36199.7002993176 6556483.892989517 28.13, -36199.68121926754 6556483.881198134 28.13, -36199.50949881808 6556483.775075688 28.12, -36199.43317861832 6556483.727910156 28.12, -36199.33777836885 6556483.668953239 28.12, -36199.16515737667 6556483.572821089 28.12, -36199.09882747359 6556483.526556101 28.12, -36198.99343692744 6556483.466698644 28.12, -36198.82171647856 6556483.360576199 28.11, -36198.64909548673 6556483.26444405 28.11, -36198.4773750382 6556483.158321604 28.11, -36198.35290444293 6556483.086672764 28.11, -36198.30475404684 6556483.062189455 28.11, -36198.13303359831 6556482.956067014 28.1, -36198.05671339913 6556482.90890148 28.1, -36197.96041260718 6556482.859934863 28.1, -36197.77870186267 6556482.752911877 28.1, -36197.60608087166 6556482.65677973 28.1, -36197.43345988088 6556482.560647582 28.09, -36197.26083889033 6556482.4645154355 28.09, -36197.17452839494 6556482.416449363 28.09, -36197.07822760346 6556482.367482747 28.09, -36196.90560661326 6556482.2713506 28.09, -36196.85745621775 6556482.246867293 28.080000000000002, -36196.732985623414 6556482.175218452 28.080000000000002, -36196.55037433677 6556482.078185766 28.080000000000002, -36196.444983792375 6556482.018328311 28.080000000000002, -36196.37775334704 6556481.982053623 28.080000000000002, -36196.19424151804 6556481.89501123 28.080000000000002, -36196.10793102346 6556481.846945156 28.07, -36196.02162052889 6556481.798879084 28.07, -36195.83810870035 6556481.711836694 28.07, -36195.713638106594 6556481.640187857 28.07, -36195.66548771097 6556481.61570455 28.07, -36195.48197588266 6556481.528662162 28.060000000000002, -36195.36659504275 6556481.467904163 28.060000000000002, -36195.30935489421 6556481.432530016 28.060000000000002, -36195.12584306637 6556481.345487625 28.060000000000002, -36194.991382177104 6556481.272938249 28.060000000000002, -36194.942331239115 6556481.258445236 28.060000000000002, -36194.76971025055 6556481.162313096 28.05, -36194.634348818916 6556481.099754009 28.05, -36194.58619842352 6556481.075270707 28.05, -36194.402686596615 6556480.988228317 28.05, -36194.25733486866 6556480.924768691 28.05, -36194.21827422711 6556480.911176223 28.05, -36194.03476240032 6556480.824133836 28.04, -36193.88851013023 6556480.770664507 28.04, -36193.85035003128 6556480.747081746 28.04, -36193.66503711953 6556480.680019949 28.04, -36193.47972420789 6556480.612958155 28.04, -36193.28442100063 6556480.544995817 28.03, -36193.16723907646 6556480.5042184135 28.03, -36193.09820754675 6556480.487924316 28.03, -36192.902003797004 6556480.429952276 28.03, -36192.7548509849 6556480.386473248 28.03, -36192.70489950478 6556480.381970533 28.03, -36192.51778550865 6556480.334889333 28.02, -36192.32068121701 6556480.286907586 28.02, -36192.122676383005 6556480.248916138 28.02, -36191.92467154912 6556480.210924692 28.02, -36191.725766172865 6556480.182923538 28.02, -36191.606783164316 6556480.162126729 28.02, -36191.52686079685 6556480.154922388 28.02, -36191.32795542129 6556480.126921236 28.02, -36191.12814950314 6556480.10891038 28.02, -36191.058217432 6556480.102606578 28.02, -36190.927443042514 6556480.10088982 28.02, -36190.72763712506 6556480.082878964 28.01, -36190.52693066525 6556480.074858406 28.01, -36190.45609805174 6556480.078544902 28.01, -36190.32532366272 6556480.07682814 28.01, -36190.12371666089 6556480.078797878 28.01, -36189.92120911658 6556480.090757908 28.01, -36189.72959241073 6556480.093628189 28.01, -36189.52618432476 6556480.115578515 28.01, -36189.323676780914 6556480.127538549 28.01, -36189.12935844844 6556480.160379716 28.02, -36188.92595036281 6556480.182330045 28.02, -36188.73163203045 6556480.215171211 28.02, -36188.53731369856 6556480.248012376 28.02, -36188.332104528556 6556480.289943297 28.02, -36188.13688565465 6556480.3327747565 28.02, -36187.94076623826 6556480.385596516 28.02, -36187.75463711785 6556480.439318813 28.02, -36187.558517701924 6556480.4921405725 28.03, -36187.37148803938 6556480.555853167 28.03, -36187.174468081095 6556480.61866522 28.03, -36186.98743841902 6556480.682377814 28.03, -36186.79950821411 6556480.756080704 28.04, -36186.621568305534 6556480.830684136 28.04, -36186.48449012148 6556480.898899445 28.04, -36186.43273755815 6556480.914377323 28.04, -36186.25389710744 6556480.998971051 28.04, -36186.075056656264 6556481.083564779 28.05, -36185.89531566284 6556481.1781488005 28.05, -36185.7155746693 6556481.272732824 28.05, -36185.54492342856 6556481.378207686 28.060000000000002, -36185.37517273112 6556481.47369225 28.060000000000002, -36185.20452149084 6556481.57916711 28.07, -36185.08652335615 6556481.659173798 28.07, -36185.05385084159 6556481.686443056 28.07, -36185.03296970797 6556481.694632264 28.07, -36184.8714082205 6556481.810997963 28.080000000000002, -36184.699856437976 6556481.926463116 28.080000000000002, -36184.548285245895 6556482.043729358 28.080000000000002, -36184.38582321629 6556482.170085349 28.09, -36184.23335148161 6556482.297341884 28.09, -36184.11355226161 6556482.397329164 28.1, -36184.080879746936 6556482.42459842 28.1, -36183.92750746978 6556482.561845249 28.1, -36183.7841254879 6556482.699992621 28.11, -36183.640743506025 6556482.838139991 28.12, -36183.61896182969 6556482.856319498 28.12, -36183.497361523914 6556482.976287364 28.12, -36183.36306929437 6556483.125325574 28.13, -36183.22877706471 6556483.274363782 28.13, -36183.19610455015 6556483.30163304 28.13, -36183.161630949704 6556483.3488828875 28.14, -36183.094484835165 6556483.42340199 28.14, -36182.959292062325 6556483.582430494 28.150000000000002, -36182.868563185446 6556483.6951096915 28.150000000000002, -36182.83499012783 6556483.732369245 28.150000000000002, -36182.79961598455 6556483.789609386 28.150000000000002, -36182.719777945546 6556483.893198833 28.16, -36182.59457546787 6556484.053127878 28.16, -36182.53651910485 6556484.13853782 28.17, -36182.479363285005 6556484.213957466 28.17, -36182.35416080733 6556484.37388651 28.18, -36182.26343192975 6556484.48656571 28.18, -36182.2289583293 6556484.533815554 28.18, -36182.11464668962 6556484.684654846 28.19, -36182.0003350497 6556484.83549414 28.19, -36181.98854366818 6556484.854574187 28.19, -36181.86334119062 6556485.014503228 28.2, -36181.73903925507 6556485.164441977 28.21, -36181.613836776814 6556485.324371022 28.22, -36181.59025401436 6556485.362531116 28.22, -36181.53399873758 6556485.427960466 28.22, -36181.488634298556 6556485.484300063 28.22, -36181.36343181995 6556485.644229107 28.23, -36181.2391298851 6556485.794167851 28.240000000000002, -36181.2046562843 6556485.841417696 28.240000000000002, -36181.11392740661 6556485.954096892 28.240000000000002, -36180.98872492788 6556486.114025934 28.25, -36180.89799604972 6556486.22670513 28.25, -36180.87621437397 6556486.2448846325 28.26, -36180.86442299234 6556486.26396468 28.26, -36180.73922051396 6556486.423893718 28.26, -36180.60492828337 6556486.572931923 28.27, -36180.55866330105 6556486.639261812 28.27, -36180.536881624954 6556486.657441315 28.27, -36180.479725804646 6556486.732860959 28.27, -36180.35542386887 6556486.8827997055 28.28, -36180.22023109521 6556487.041828201 28.28, -36180.09592915943 6556487.191766945 28.29, -36180.05056472041 6556487.24810654 28.29, -36179.961636929074 6556487.340805141 28.29, -36179.836434449535 6556487.500734183 28.3, -36179.702142219176 6556487.6497723805 28.3, -36179.57784028351 6556487.799711122 28.310000000000002, -36179.53247584379 6556487.856050722 28.310000000000002, -36179.44264750916 6556487.958739618 28.310000000000002, -36179.30835527857 6556488.107777815 28.32, -36179.184053342324 6556488.257716556 28.32, -36179.049761111615 6556488.406754754 28.330000000000002, -36178.91546888079 6556488.55579295 28.330000000000002, -36178.825640545576 6556488.658481849 28.330000000000002, -36178.781176649616 6556488.704831151 28.34, -36178.64598387573 6556488.863859638 28.34, -36178.51169164467 6556489.012897836 28.35, -36178.47721804364 6556489.0601476785 28.35, -36178.3773994135 6556489.161936033 28.35, -36178.24310718314 6556489.3109742245 28.35, -36178.119705789955 6556489.450922672 28.36, -36177.97542326432 6556489.599060322 28.36, -36177.91826744366 6556489.674479964 28.37, -36177.84113103326 6556489.748098518 28.37, -36177.70683880267 6556489.897136711 28.37, -36177.57344711479 6556490.03618461 28.38, -36177.42826404574 6556490.194312556 28.38, -36177.29487235786 6556490.333360456 28.39, -36177.160580127034 6556490.482398645 28.39, -36177.03897982114 6556490.602366499 28.400000000000002, -36177.02718843939 6556490.621446545 28.400000000000002, -36176.882005370455 6556490.779574488 28.400000000000002, -36176.738623388344 6556490.9177218415 28.41, -36176.66058643465 6556491.001330689 28.41, -36176.60433115717 6556491.066760034 28.41, -36176.51540336548 6556491.159458631 28.42, -36176.46094917494 6556491.204907386 28.42, -36176.31666664954 6556491.353045034 28.42, -36176.24952053407 6556491.427564127 28.43, -36176.183274961775 6556491.492092929 28.43, -36176.038992436486 6556491.640230575 28.43, -36175.90560074872 6556491.779278472 28.44, -36175.793990737526 6556491.900146863 28.44, -36175.761318223085 6556491.927416118 28.44, -36175.61793624121 6556492.065563468 28.45, -36175.483644010266 6556492.214601655 28.45, -36175.34026202839 6556492.352749005 28.46, -36175.23954285483 6556492.46452765 28.46, -36175.2059697971 6556492.501787195 28.46, -36175.06168727111 6556492.649924841 28.47, -36174.91830528958 6556492.788072188 28.48, -36174.78401305829 6556492.937110377 28.48, -36174.65152191464 6556493.066167972 28.48, -36174.50633884547 6556493.2242959095 28.490000000000002, -36174.36295686371 6556493.362443257 28.5, -36174.21867433807 6556493.5105809 28.5, -36174.08528265054 6556493.649628792 28.51, -36173.94100012537 6556493.79776643 28.51, -36173.80760843761 6556493.936814323 28.52, -36173.6633259122 6556494.084951964 28.52, -36173.519943930674 6556494.223099307 28.53, -36173.486370872706 6556494.260358855 28.53, -36173.38565169927 6556494.3721374925 28.53, -36173.242269717506 6556494.510284837 28.54, -36173.10797748645 6556494.659323023 28.54, -36172.96369496116 6556494.80746066 28.55, -36172.90834022744 6556494.862899706 28.55, -36172.8203129794 6556494.945608003 28.55, -36172.68602074811 6556495.0946461875 28.560000000000002, -36172.54263876658 6556495.2327935295 28.560000000000002, -36172.40834653564 6556495.381831709 28.57, -36172.320319287595 6556495.464540008 28.57, -36172.26496455388 6556495.519979054 28.57, -36172.120682028355 6556495.668116692 28.580000000000002, -36171.98729034106 6556495.807164574 28.580000000000002, -36171.84300781577 6556495.955302213 28.59, -36171.74318918609 6556496.057090553 28.59, -36171.709616128355 6556496.094350098 28.59, -36171.56533360295 6556496.242487735 28.6, -36171.42195162154 6556496.380635075 28.6, -36171.287659390364 6556496.529673252 28.61, -36171.15516824694 6556496.658730842 28.61, -36171.00998517743 6556496.816858771 28.62, -36170.86660319613 6556496.9550061105 28.63, -36170.72232067073 6556497.103143743 28.63, -36170.588028439786 6556497.252181919 28.64, -36170.44464645826 6556497.390329259 28.64, -36170.31035422697 6556497.539367434 28.650000000000002, -36170.166972245905 6556497.677514771 28.650000000000002, -36170.0226897205 6556497.825652405 28.66, -36169.990017206524 6556497.852921656 28.66, -36169.889298033086 6556497.964700284 28.66, -36169.74501550791 6556498.112837914 28.67, -36169.61162382073 6556498.251885795 28.67, -36169.46734129521 6556498.400023428 28.68, -36169.411986561725 6556498.455462469 28.68, -36169.323959314264 6556498.538170761 28.68, -36169.189667082974 6556498.687208936 28.69, -36169.04628510156 6556498.825356272 28.69, -36168.91199287027 6556498.974394443 28.7, -36168.82396562316 6556499.057102734 28.7, -36168.76861088921 6556499.112541778 28.7, -36168.62432836392 6556499.260679407 28.71, -36168.49093667697 6556499.399727282 28.71, -36168.346654151566 6556499.54786491 28.72, -36168.24683552259 6556499.649653243 28.72, -36168.21236192004 6556499.696903083 28.72, -36168.0689799391 6556499.835050415 28.73, -36167.92469741416 6556499.9831880415 28.73, -36167.791305726976 6556500.122235917 28.740000000000002, -36167.65881458379 6556500.2512935 28.740000000000002, -36167.64702320204 6556500.270373542 28.740000000000002, -36167.51363151462 6556500.409421417 28.75, -36167.369348989334 6556500.557559042 28.75, -36167.22596700862 6556500.695706371 28.76, -36167.091674777446 6556500.84474454 28.76, -36166.94829279627 6556500.982891872 28.77, -36166.81400056486 6556501.131930038 28.77, -36166.67061858415 6556501.270077369 28.78, -36166.52633605944 6556501.418214988 28.78, -36166.49276300077 6556501.455474532 28.79, -36166.39294437191 6556501.557262864 28.79, -36166.248661846854 6556501.705400486 28.8, -36166.11527015967 6556501.844448357 28.8, -36165.97098763462 6556501.992585979 28.810000000000002, -36165.91563290078 6556502.048025019 28.810000000000002, -36165.82670510956 6556502.140723598 28.810000000000002, -36165.69331342238 6556502.2797714695 28.82, -36165.54903089744 6556502.427909092 28.82, -36165.415639210376 6556502.5669569615 28.830000000000002, -36165.3276119635 6556502.649665249 28.830000000000002, -36165.27135668532 6556502.715094581 28.830000000000002, -36165.12797470484 6556502.853241905 28.84, -36164.9936824732 6556503.0022800695 28.84, -36164.8503004926 6556503.140427397 28.85, -36164.749581318814 6556503.252206016 28.85, -36164.70601796766 6556503.288565014 28.85, -36164.572626280715 6556503.427612881 28.86, -36164.42834375566 6556503.575750499 28.86, -36164.29495206848 6556503.714798366 28.87, -36164.16246092599 6556503.8438559435 28.87, -36164.15066954377 6556503.862935984 28.87, -36164.00728756329 6556504.001083307 28.88, -36163.87299533165 6556504.150121465 28.88, -36163.72961335152 6556504.288268788 28.89, -36163.59532111953 6556504.437306951 28.89, -36163.45103859459 6556504.585444566 28.900000000000002, -36163.30765661434 6556504.723591885 28.900000000000002, -36163.1733643827 6556504.872630045 28.91, -36163.02998240234 6556505.010777364 28.91, -36162.99640934449 6556505.048036904 28.91, -36162.895690170815 6556505.159815523 28.92, -36162.75230819057 6556505.297962842 28.92, -36162.60802566609 6556505.446100452 28.93, -36162.47463397856 6556505.58514832 28.93, -36162.42926953838 6556505.6414879 28.94, -36162.3965970251 6556505.668757145 28.94, -36162.33035145374 6556505.733285932 28.94, -36162.19695976656 6556505.872333796 28.94, -36162.052677242085 6556506.020471403 28.95, -36161.91838501033 6556506.169509561 28.95, -36161.851238894626 6556506.244028636 28.96, -36161.78409277857 6556506.318547716 28.96, -36161.65070109186 6556506.4575955765 28.96, -36161.51730940468 6556506.5966434395 28.97, -36161.50551802234 6556506.6157234805 28.97, -36161.37212633516 6556506.754771341 28.97, -36161.271407161374 6556506.866549958 28.98, -36161.25961577869 6556506.885629999 28.98, -36161.237834103405 6556506.903809497 28.98, -36161.103541871766 6556507.052847649 28.98, -36160.969249640126 6556507.201885802 28.990000000000002, -36160.83495740802 6556507.350923956 28.990000000000002, -36160.7106554691 6556507.500862654 29, -36160.666191573604 6556507.5472119395 29, -36160.60993629543 6556507.612641267 29, -36160.57546269253 6556507.659891101 29, -36160.44117046078 6556507.808929251 29.01, -36160.30687822914 6556507.957967401 29.01, -36160.18257628998 6556508.107906098 29.02, -36160.0473835133 6556508.266934539 29.02, -36160.01381045522 6556508.304194079 29.03, -36159.92308157403 6556508.416873238 29.03, -36159.78788879758 6556508.57590168 29.04, -36159.663586858194 6556508.725840376 29.05, -36159.53838437435 6556508.885769363 29.05, -36159.43676465575 6556509.007538264 29.060000000000002, -36159.414082435076 6556509.035708058 29.060000000000002, -36159.323353554006 6556509.148387211 29.07, -36159.27888965816 6556509.194736499 29.07, -36159.154587718775 6556509.344675192 29.080000000000002, -36159.02938523481 6556509.504604177 29.080000000000002, -36158.9041827505 6556509.6645331625 29.09, -36158.86970914714 6556509.711782994 29.09, -36158.78897055867 6556509.825362693 29.1, -36158.663768074475 6556509.985291675 29.1, -36158.5485558823 6556510.146121209 29.11, -36158.43334369094 6556510.306950735 29.12, -36158.329022336635 6556510.458690518 29.13, -36158.20201876189 6556510.638600086 29.13, -36158.086806569714 6556510.799429618 29.14, -36157.98068412556 6556510.971149979 29.150000000000002, -36157.87456168083 6556511.142870345 29.16, -36157.816505312105 6556511.228280257 29.16, -36157.76843923621 6556511.31459071 29.16, -36157.662316791364 6556511.486311076 29.17, -36157.55619434605 6556511.658031442 29.18, -36157.46006219392 6556511.830652347 29.19, -36157.35393974837 6556512.002372713 29.19, -36157.34124782041 6556512.031443046 29.19, -36157.25780759577 6556512.174993621 29.2, -36157.16167544306 6556512.347614529 29.21, -36157.064642744604 6556512.530225729 29.22, -36156.978500884026 6556512.703747183 29.22, -36156.89325956872 6556512.867278339 29.23, -36156.881468185224 6556512.886358384 29.23, -36156.79442577937 6556513.069870127 29.240000000000002, -36156.70828391821 6556513.243391581 29.240000000000002, -36156.62124151189 6556513.426903322 29.25, -36156.544189397595 6556513.611315613 29.26, -36156.481630301685 6556513.746676984 29.26, -36156.45714699058 6556513.794827356 29.27, -36156.38009487593 6556513.979239644 29.27, -36156.30304276117 6556514.163651934 29.28, -36156.22599064605 6556514.348064222 29.29, -36156.14893853082 6556514.532476509 29.3, -36156.10726056446 6556514.659648677 29.3, -36156.08097616234 6556514.727779637 29.3, -36156.01391433913 6556514.913092468 29.310000000000002, -36155.946852515684 6556515.098405302 29.32, -36155.878890146734 6556515.293708425 29.32, -36155.81182832294 6556515.479021258 29.330000000000002, -36155.781941738795 6556515.587113385 29.34, -36155.76834926498 6556515.62617401 29.34, -36155.75385624543 6556515.675224929 29.34, -36155.68679442105 6556515.860537759 29.35, -36155.62882234366 6556516.056741429 29.35, -36155.58174110355 6556516.243855352 29.36, -36155.52376902534 6556516.440059019 29.37, -36155.480289965984 6556516.587211775 29.37, -36155.4657969469 6556516.636262688 29.37, -36155.418715705746 6556516.823376612 29.38, -36155.37073391909 6556517.020480825 29.39, -36155.322752132546 6556517.2175850365 29.39, -36155.284760637325 6556517.415589796 29.400000000000002, -36155.23677884997 6556517.612694009 29.41, -36155.23497775884 6556517.632674597 29.41, -36155.19878735463 6556517.810698768 29.42, -36155.16169640422 6556517.998713237 29.42, -36155.12370490818 6556518.196717995 29.43, -36155.09570370428 6556518.395623298 29.44, -36155.05771220755 6556518.593628055 29.44, -36155.05320947955 6556518.643579518 29.44, -36155.034213731415 6556518.742581895 29.45, -36155.02971100318 6556518.792533359 29.45, -36155.00170979812 6556518.991438662 29.46, -36154.973708593054 6556519.190343963 29.46, -36154.95569768001 6556519.390149814 29.47, -36154.92769647401 6556519.589055117 29.48, -36154.90968556004 6556519.788860966 29.48, -36154.89707792038 6556519.928725061 29.490000000000002, -36154.89167464583 6556519.988666817 29.490000000000002, -36154.87366373127 6556520.188472665 29.490000000000002, -36154.86564310896 6556520.389179059 29.5, -36154.84763219394 6556520.588984907 29.51, -36154.8396115707 6556520.789691302 29.51, -36154.83159094723 6556520.9903976945 29.52, -36154.829789855634 6556521.010378282 29.52, -36154.840764982044 6556521.112082296 29.52, -36154.84355090803 6556521.192905181 29.53, -36154.866401706706 6556521.38632292 29.53, -36154.919223382254 6556521.582442295 29.54, -36154.99292618793 6556521.770372475 29.54, -36155.0775198316 6556521.949212902 29.54, -36155.18299460574 6556522.119864132 29.55, -36155.30935051048 6556522.282326162 29.55, -36155.44749779941 6556522.42570815 29.55, -36155.60742676433 6556522.550910652 29.55, -36155.768256275915 6556522.666122856 29.55, -36155.95176801027 6556522.753165275 29.55, -36156.13618029095 6556522.830217402 29.55, -36156.31330391695 6556522.876398108 29.54, -36156.521298966836 6556522.915290158 29.54, -36156.722005362506 6556522.923310785 29.53, -36156.92361230438 6556522.92134112 29.53, -36157.067078583175 6556522.893987594 29.53, -36157.12792088429 6556522.88940058 29.52, -36157.31404997187 6556522.835678358 29.52, -36157.33493110316 6556522.827489155 29.52, -36157.501079605776 6556522.771965841 29.51, -36157.680820584996 6556522.677381907 29.51, -36157.85147181817 6556522.571907126 29.5, -36158.01393385057 6556522.445551222 29.490000000000002, -36158.06928858941 6556522.390112195 29.490000000000002, -36158.15731584362 6556522.3074039295 29.490000000000002, -36158.28251834365 6556522.1474749595 29.48, -36158.38774025813 6556521.985744895 29.47, -36158.424915503594 6556521.908524193 29.47, -36158.484772972064 6556521.803133703 29.46, -36158.571815392585 6556521.619621962 29.46, -36158.64886752039 6556521.435209677 29.45, -36158.709625534364 6556521.319828892 29.44, -36158.73500939517 6556521.261688227 29.44, -36158.822051814874 6556521.078176489 29.44, -36158.84473403811 6556521.0500067 29.44, -36158.91908452788 6556520.895565289 29.43, -36159.005226401845 6556520.722043842 29.42, -36159.0922688212 6556520.538532099 29.41, -36159.14033490466 6556520.452221647 29.41, -36159.18840098765 6556520.365911193 29.41, -36159.26365202258 6556520.201479492 29.400000000000002, -36159.27544340654 6556520.1823994545 29.400000000000002, -36159.372476118384 6556519.999788258 29.400000000000002, -36159.458617991535 6556519.826266806 29.39, -36159.55475015729 6556519.653645901 29.38, -36159.57923347142 6556519.605495526 29.38, -36159.65178286831 6556519.471034701 29.37, -36159.74791503337 6556519.298413799 29.37, -36159.84404719854 6556519.125792892 29.36, -36159.90480521135 6556519.010412104 29.35, -36159.941079909215 6556518.9431816945 29.35, -36160.03721207427 6556518.770560786 29.35, -36160.14333453169 6556518.598840425 29.34, -36160.23946669593 6556518.426219521 29.330000000000002, -36160.33649940591 6556518.243608318 29.32, -36160.38366494223 6556518.167288158 29.32, -36160.44262186298 6556518.071887957 29.32, -36160.45441324706 6556518.052807914 29.32, -36160.53875402687 6556517.899267049 29.310000000000002, -36160.64487648383 6556517.727546684 29.3, -36160.75099894055 6556517.555826322 29.3, -36160.80995586049 6556517.460426121 29.29, -36160.85712139658 6556517.384105962 29.29, -36160.87980361865 6556517.355936176 29.29, -36160.96234330721 6556517.22237589 29.28, -36161.06846576382 6556517.050655524 29.28, -36161.17458821938 6556516.878935163 29.27, -36161.24533652351 6556516.76445492 29.26, -36161.28071067529 6556516.707214799 29.26, -36161.38593258569 6556516.545484724 29.26, -36161.502045334084 6556516.3746649055 29.25, -36161.60816778941 6556516.202944541 29.240000000000002, -36161.724280538154 6556516.032124718 29.240000000000002, -36161.77144607366 6556515.955804558 29.23, -36161.82950244786 6556515.870394648 29.23, -36161.9093404985 6556515.766805243 29.23, -36161.945615195786 6556515.699574825 29.22, -36162.06082739832 6556515.538745298 29.22, -36162.16604930803 6556515.377015224 29.21, -36162.28216205572 6556515.206195402 29.2, -36162.30484427791 6556515.178025614 29.2, -36162.3</t>
  </si>
  <si>
    <t>['FV505 S4D1 m709 KD1 m63-67']</t>
  </si>
  <si>
    <t>LINESTRING Z (-34856.804885044345 6555629.950472122 25.6, -34856.99830054131 6555629.9276199965 25.6, -34857.19450258999 6555629.98558988 25.6, -34857.34354022262 6555630.119879487 25.6, -34857.439025066444 6555630.28962759 25.6, -34857.45098654041 6555630.492132829 25.6, -34857.39391711494 6555630.678344685 25.6, -34857.259627506835 6555630.827382321 25.6, -34857.08897894656 6555630.932857357 25.6, -34856.908340193215 6555631.037431937 25.6, -34856.738592088805 6555631.13291678 25.6, -34856.56794352888 6555631.238391816 25.6, -34856.39729496953 6555631.343866849 25.6, -34856.22664641007 6555631.449341888 25.6, -34856.05599785072 6555631.554816922 25.6, -34855.88534929196 6555631.660291955 25.6, -34855.71470073296 6555631.765766992 25.6, -34855.54315171845 6555631.881232219 25.6, -34855.382493353216 6555631.987607708 25.6, -34855.211844795034 6555632.093082741 25.6, -34855.04029578145 6555632.208547969 25.6, -34854.87963741657 6555632.314923459 25.6, -34854.708088403335 6555632.4303886825 25.6, -34854.54652958305 6555632.546754365 25.6, -34854.3758810258 6555632.652229394 25.6, -34854.2143222054 6555632.76859508 25.6, -34854.05276338628 6555632.884960757 25.6, -34853.88121437363 6555633.000425982 25.6, -34853.71965555439 6555633.116791661 25.6, -34853.558096735156 6555633.23315734 25.6, -34853.39653791592 6555633.349523019 25.6, -34853.23497909703 6555633.465888698 25.6, -34853.072519822395 6555633.592244568 25.6, -34852.91096100386 6555633.708610249 25.6, -34852.748501729686 6555633.8349661175 25.6, -34852.596933104214 6555633.952232251 25.6, -34852.43447383016 6555634.078588121 25.6, -34852.27291501174 6555634.194953797 25.6, -34852.12044593145 6555634.322210122 25.6, -34851.95798665739 6555634.448565991 25.6, -34851.80551757687 6555634.575822316 25.6, -34851.64395875903 6555634.692187992 25.6, -34851.49148967862 6555634.819444316 25.6, -34851.339020597865 6555634.946700643 25.6, -34851.18655151827 6555635.073956963 25.6, -34851.02319178963 6555635.210303022 25.6, -34850.87072270946 6555635.337559344 25.6, -34850.7182536294 6555635.464815667 25.6, -34850.56578454934 6555635.5920719905 25.6, -34850.42240520683 6555635.73021896 25.6, -34850.26993612689 6555635.857475282 25.6, -34850.11656659155 6555635.994721795 25.6, -34849.96409751172 6555636.121978114 25.6, -34849.82071816933 6555636.260125085 25.6, -34849.667348633986 6555636.397371598 25.6, -34849.52396929159 6555636.535518564 25.6, -34849.371500212466 6555636.662774883 25.6, -34849.22812086996 6555636.800921851 25.6, -34849.084741527564 6555636.939068819 25.6, -34848.931371992454 6555637.076315329 25.6, -34848.787992650294 6555637.214462295 25.6, -34848.6437128525 6555637.362599453 25.6, -34848.50033351034 6555637.500746418 25.6, -34848.35695416783 6555637.638893386 25.6, -34848.2135748259 6555637.777040348 25.6, -34848.07928522013 6555637.926077965 25.6, -34847.935905878316 6555638.0642249305 25.6, -34847.791626080405 6555638.212362084 25.6, -34847.65823693096 6555638.351409505 25.6, -34847.51395713305 6555638.499546659 25.6, -34847.50216602872 6555638.518626589 25.59, -34847.436822137795 6555638.573165011 25.6, -34847.38056798349 6555638.63859408 25.6, -34847.22719844896 6555638.775840584 25.6, -34847.040171335684 6555638.8395539215 25.61, -34846.84036748484 6555638.821544804 25.61, -34846.65685701871 6555638.734504792 25.61, -34846.529600706184 6555638.582035712 25.61, -34846.4549967231 6555638.40409834 25.61, -34846.4377177062 6555638.372326848 25.61, -34846.3876815656 6555638.257031995 25.61, -34846.371303004096 6555638.215270314 25.61, -34846.29669902101 6555638.037332938 25.6, -34846.21300530131 6555637.848504911 25.6, -34846.12841112551 6555637.669667079 25.6, -34846.05290668551 6555637.501719899 25.59, -34845.967412053375 6555637.332872259 25.59, -34845.960123228375 6555637.302001227 25.59, -34845.86553885904 6555637.12226294 25.59, -34845.77095448994 6555636.942524654 25.59, -34845.68545985711 6555636.773677016 25.59, -34845.60815450491 6555636.62571022 25.59, -34845.590875487425 6555636.593938732 25.59, -34845.51357013511 6555636.445971935 25.580000000000002, -34845.48630092514 6555636.413299989 25.580000000000002, -34845.39081609901 6555636.243551897 25.580000000000002, -34845.29623172851 6555636.063813613 25.580000000000002, -34845.19075671001 6555635.893165065 25.580000000000002, -34845.094371428015 6555635.733407166 25.580000000000002, -34845.006175426766 6555635.594530109 25.580000000000002, -34844.97980667208 6555635.551867971 25.580000000000002, -34844.87433165312 6555635.381219424 25.580000000000002, -34844.768856633804 6555635.210570878 25.580000000000002, -34844.65249096602 6555635.0490120705 25.57, -34844.54701594659 6555634.878363522 25.57, -34844.511557454825 6555634.824810739 25.57, -34844.47519850766 6555634.781248147 25.57, -34844.45701903396 6555634.75946685 25.57, -34844.448829752626 6555634.738586011 25.57, -34844.430650278926 6555634.716804715 25.57, -34844.31518506666 6555634.545255715 25.57, -34844.1988193983 6555634.383696909 25.57, -34844.14599670656 6555634.187580061 25.57, -34844.1730955533 6555633.998666861 25.57, -34844.18578711187 6555633.96959674 25.560000000000002, -34844.27921548253 6555633.8269475 25.560000000000002, -34844.44077428931 6555633.710581829 25.55, -34844.63689113315 6555633.657759132 25.55, -34844.83210752148 6555633.6149266325 25.55, -34844.89384958707 6555633.600348979 25.54, -34844.914730427554 6555633.592159698 25.54, -34844.93471081217 6555633.593960608 25.54, -34845.02732391027 6555633.572094131 25.54, -34845.04820475064 6555633.56390485 25.54, -34845.07907578361 6555633.556616021 25.54, -34845.222540299874 6555633.529261624 25.54, -34845.253411332145 6555633.521972803 25.54, -34845.41775668878 6555633.486429128 25.5, -34845.61297307862 6555633.443596625 25.5, -34845.809089924325 6555633.39077393 25.5, -34846.004306315095 6555633.347941426 25.5, -34846.19952270528 6555633.305108926 25.5, -34846.39563955157 6555633.252286231 25.5, -34846.590855943155 6555633.209453727 25.5, -34846.786972790374 6555633.156631032 25.5, -34846.973099445226 6555633.10290788 25.5, -34847.169216292445 6555633.050085188 25.5, -34847.36533314071 6555632.99726249 25.5, -34847.561449989094 6555632.944439792 25.5, -34847.74757664488 6555632.890716644 25.5, -34847.94369349384 6555632.837893948 25.5, -34848.139810342924 6555632.78507125 25.5, -34848.326837455155 6555632.721357905 25.5, -34848.52295430517 6555632.668535209 25.5, -34848.709981417865 6555632.6048218645 25.5, -34848.906098268344 6555632.551999166 25.5, -34849.09312538151 6555632.488285822 25.5, -34849.290142688085 6555632.425472931 25.5, -34849.47626934643 6555632.37174978 25.5, -34849.66329646064 6555632.308036433 25.5, -34849.86031376838 6555632.245223539 25.5, -34850.04734088306 6555632.181510195 25.5, -34850.23526845325 6555632.1078066565 25.5, -34850.43228576169 6555632.044993765 25.5, -34850.61931287707 6555631.981280416 25.5, -34850.80724044819 6555631.907576876 25.5, -34850.994267564034 6555631.84386353 25.5, -34851.18129468069 6555631.780150183 25.5, -34851.37831199053 6555631.717337287 25.5, -34851.5653391073 6555631.653623942 25.5, -34851.76145596255 6555631.60080124 25.5, -34851.94848307979 6555631.537087894 25.5, -34852.13551019749 6555631.473374544 25.5, -34852.33252750861 6555631.410561651 25.5, -34852.51955462713 6555631.346848302 25.5, -34852.71657193883 6555631.284035409 25.5, -34852.90359905793 6555631.220322059 25.5, -34853.090626176796 6555631.15660871 25.5, -34853.28674303449 6555631.1037860075 25.5, -34853.47377015394 6555631.040072659 25.5, -34853.66079727386 6555630.976359309 25.5, -34853.85781458742 6555630.913546414 25.5, -34854.04484170792 6555630.849833066 25.5, -34854.241859022295 6555630.787020166 25.5, -34854.42888614349 6555630.723306816 25.5, -34854.615913265035 6555630.659593463 25.5, -34854.812930579414 6555630.59678057 25.5, -34854.99905724637 6555630.543057411 25.5, -34855.18608436873 6555630.479344058 25.5, -34855.38310168462 6555630.416531162 25.5, -34855.57012880768 6555630.35281781 25.5, -34855.76714612392 6555630.290004915 25.5, -34855.95417324721 6555630.2262915615 25.5, -34856.14120037074 6555630.162578209 25.5, -34856.33821768814 6555630.099765314 25.5, -34856.524344357196 6555630.046042155 25.5, -34856.72136167507 6555629.983229256 25.5, -34856.804885044345 6555629.950472122 25.6)</t>
  </si>
  <si>
    <t>POLYGON Z ((-34856.804885044345 6555629.950472122 25.6, -34856.99830054131 6555629.9276199965 25.6, -34857.19450258999 6555629.98558988 25.6, -34857.34354022262 6555630.119879487 25.6, -34857.439025066444 6555630.28962759 25.6, -34857.45098654041 6555630.492132829 25.6, -34857.39391711494 6555630.678344685 25.6, -34857.259627506835 6555630.827382321 25.6, -34857.08897894656 6555630.932857357 25.6, -34856.908340193215 6555631.037431937 25.6, -34856.738592088805 6555631.13291678 25.6, -34856.56794352888 6555631.238391816 25.6, -34856.39729496953 6555631.343866849 25.6, -34856.22664641007 6555631.449341888 25.6, -34856.05599785072 6555631.554816922 25.6, -34855.88534929196 6555631.660291955 25.6, -34855.71470073296 6555631.765766992 25.6, -34855.54315171845 6555631.881232219 25.6, -34855.382493353216 6555631.987607708 25.6, -34855.211844795034 6555632.093082741 25.6, -34855.04029578145 6555632.208547969 25.6, -34854.87963741657 6555632.314923459 25.6, -34854.708088403335 6555632.4303886825 25.6, -34854.54652958305 6555632.546754365 25.6, -34854.3758810258 6555632.652229394 25.6, -34854.2143222054 6555632.76859508 25.6, -34854.05276338628 6555632.884960757 25.6, -34853.88121437363 6555633.000425982 25.6, -34853.71965555439 6555633.116791661 25.6, -34853.558096735156 6555633.23315734 25.6, -34853.39653791592 6555633.349523019 25.6, -34853.23497909703 6555633.465888698 25.6, -34853.072519822395 6555633.592244568 25.6, -34852.91096100386 6555633.708610249 25.6, -34852.748501729686 6555633.8349661175 25.6, -34852.596933104214 6555633.952232251 25.6, -34852.43447383016 6555634.078588121 25.6, -34852.27291501174 6555634.194953797 25.6, -34852.12044593145 6555634.322210122 25.6, -34851.95798665739 6555634.448565991 25.6, -34851.80551757687 6555634.575822316 25.6, -34851.64395875903 6555634.692187992 25.6, -34851.49148967862 6555634.819444316 25.6, -34851.339020597865 6555634.946700643 25.6, -34851.18655151827 6555635.073956963 25.6, -34851.02319178963 6555635.210303022 25.6, -34850.87072270946 6555635.337559344 25.6, -34850.7182536294 6555635.464815667 25.6, -34850.56578454934 6555635.5920719905 25.6, -34850.42240520683 6555635.73021896 25.6, -34850.26993612689 6555635.857475282 25.6, -34850.11656659155 6555635.994721795 25.6, -34849.96409751172 6555636.121978114 25.6, -34849.82071816933 6555636.260125085 25.6, -34849.667348633986 6555636.397371598 25.6, -34849.52396929159 6555636.535518564 25.6, -34849.371500212466 6555636.662774883 25.6, -34849.22812086996 6555636.800921851 25.6, -34849.084741527564 6555636.939068819 25.6, -34848.931371992454 6555637.076315329 25.6, -34848.787992650294 6555637.214462295 25.6, -34848.6437128525 6555637.362599453 25.6, -34848.50033351034 6555637.500746418 25.6, -34848.35695416783 6555637.638893386 25.6, -34848.2135748259 6555637.777040348 25.6, -34848.07928522013 6555637.926077965 25.6, -34847.935905878316 6555638.0642249305 25.6, -34847.791626080405 6555638.212362084 25.6, -34847.65823693096 6555638.351409505 25.6, -34847.51395713305 6555638.499546659 25.6, -34847.50216602872 6555638.518626589 25.59, -34847.436822137795 6555638.573165011 25.6, -34847.38056798349 6555638.63859408 25.6, -34847.22719844896 6555638.775840584 25.6, -34847.040171335684 6555638.8395539215 25.61, -34846.84036748484 6555638.821544804 25.61, -34846.65685701871 6555638.734504792 25.61, -34846.529600706184 6555638.582035712 25.61, -34846.4549967231 6555638.40409834 25.61, -34846.4377177062 6555638.372326848 25.61, -34846.3876815656 6555638.257031995 25.61, -34846.371303004096 6555638.215270314 25.61, -34846.29669902101 6555638.037332938 25.6, -34846.21300530131 6555637.848504911 25.6, -34846.12841112551 6555637.669667079 25.6, -34846.05290668551 6555637.501719899 25.59, -34845.967412053375 6555637.332872259 25.59, -34845.960123228375 6555637.302001227 25.59, -34845.86553885904 6555637.12226294 25.59, -34845.77095448994 6555636.942524654 25.59, -34845.68545985711 6555636.773677016 25.59, -34845.60815450491 6555636.62571022 25.59, -34845.590875487425 6555636.593938732 25.59, -34845.51357013511 6555636.445971935 25.580000000000002, -34845.48630092514 6555636.413299989 25.580000000000002, -34845.39081609901 6555636.243551897 25.580000000000002, -34845.29623172851 6555636.063813613 25.580000000000002, -34845.19075671001 6555635.893165065 25.580000000000002, -34845.094371428015 6555635.733407166 25.580000000000002, -34845.006175426766 6555635.594530109 25.580000000000002, -34844.97980667208 6555635.551867971 25.580000000000002, -34844.87433165312 6555635.381219424 25.580000000000002, -34844.768856633804 6555635.210570878 25.580000000000002, -34844.65249096602 6555635.0490120705 25.57, -34844.54701594659 6555634.878363522 25.57, -34844.511557454825 6555634.824810739 25.57, -34844.47519850766 6555634.781248147 25.57, -34844.45701903396 6555634.75946685 25.57, -34844.448829752626 6555634.738586011 25.57, -34844.430650278926 6555634.716804715 25.57, -34844.31518506666 6555634.545255715 25.57, -34844.1988193983 6555634.383696909 25.57, -34844.14599670656 6555634.187580061 25.57, -34844.1730955533 6555633.998666861 25.57, -34844.18578711187 6555633.96959674 25.560000000000002, -34844.27921548253 6555633.8269475 25.560000000000002, -34844.44077428931 6555633.710581829 25.55, -34844.63689113315 6555633.657759132 25.55, -34844.83210752148 6555633.6149266325 25.55, -34844.89384958707 6555633.600348979 25.54, -34844.914730427554 6555633.592159698 25.54, -34844.93471081217 6555633.593960608 25.54, -34845.02732391027 6555633.572094131 25.54, -34845.04820475064 6555633.56390485 25.54, -34845.07907578361 6555633.556616021 25.54, -34845.222540299874 6555633.529261624 25.54, -34845.253411332145 6555633.521972803 25.54, -34845.41775668878 6555633.486429128 25.5, -34845.61297307862 6555633.443596625 25.5, -34845.809089924325 6555633.39077393 25.5, -34846.004306315095 6555633.347941426 25.5, -34846.19952270528 6555633.305108926 25.5, -34846.39563955157 6555633.252286231 25.5, -34846.590855943155 6555633.209453727 25.5, -34846.786972790374 6555633.156631032 25.5, -34846.973099445226 6555633.10290788 25.5, -34847.169216292445 6555633.050085188 25.5, -34847.36533314071 6555632.99726249 25.5, -34847.561449989094 6555632.944439792 25.5, -34847.74757664488 6555632.890716644 25.5, -34847.94369349384 6555632.837893948 25.5, -34848.139810342924 6555632.78507125 25.5, -34848.326837455155 6555632.721357905 25.5, -34848.52295430517 6555632.668535209 25.5, -34848.709981417865 6555632.6048218645 25.5, -34848.906098268344 6555632.551999166 25.5, -34849.09312538151 6555632.488285822 25.5, -34849.290142688085 6555632.425472931 25.5, -34849.47626934643 6555632.37174978 25.5, -34849.66329646064 6555632.308036433 25.5, -34849.86031376838 6555632.245223539 25.5, -34850.04734088306 6555632.181510195 25.5, -34850.23526845325 6555632.1078066565 25.5, -34850.43228576169 6555632.044993765 25.5, -34850.61931287707 6555631.981280416 25.5, -34850.80724044819 6555631.907576876 25.5, -34850.994267564034 6555631.84386353 25.5, -34851.18129468069 6555631.780150183 25.5, -34851.37831199053 6555631.717337287 25.5, -34851.5653391073 6555631.653623942 25.5, -34851.76145596255 6555631.60080124 25.5, -34851.94848307979 6555631.537087894 25.5, -34852.13551019749 6555631.473374544 25.5, -34852.33252750861 6555631.410561651 25.5, -34852.51955462713 6555631.346848302 25.5, -34852.71657193883 6555631.284035409 25.5, -34852.90359905793 6555631.220322059 25.5, -34853.090626176796 6555631.15660871 25.5, -34853.28674303449 6555631.1037860075 25.5, -34853.47377015394 6555631.040072659 25.5, -34853.66079727386 6555630.976359309 25.5, -34853.85781458742 6555630.913546414 25.5, -34854.04484170792 6555630.849833066 25.5, -34854.241859022295 6555630.787020166 25.5, -34854.42888614349 6555630.723306816 25.5, -34854.615913265035 6555630.659593463 25.5, -34854.812930579414 6555630.59678057 25.5, -34854.99905724637 6555630.543057411 25.5, -34855.18608436873 6555630.479344058 25.5, -34855.38310168462 6555630.416531162 25.5, -34855.57012880768 6555630.35281781 25.5, -34855.76714612392 6555630.290004915 25.5, -34855.95417324721 6555630.2262915615 25.5, -34856.14120037074 6555630.162578209 25.5, -34856.33821768814 6555630.099765314 25.5, -34856.524344357196 6555630.046042155 25.5, -34856.72136167507 6555629.983229256 25.5, -34856.804885044345 6555629.950472122 25.6))</t>
  </si>
  <si>
    <t>['FV505 S4D1 m1368 KD1 m0-109']</t>
  </si>
  <si>
    <t>LINESTRING Z (-35294.42877712881 6556139.7697081845 42.42, -35294.24174906348 6556139.833420916 42.43, -35294.05472099804 6556139.897133651 42.43, -35294.00296886952 6556139.912611584 42.43, -35293.8676929333 6556139.960846381 42.43, -35293.79415934929 6556139.994503756 42.44, -35293.679764365195 6556140.034549341 42.44, -35293.491835796856 6556140.108252299 42.44, -35293.30300672597 6556140.191945479 42.45, -35293.12506838271 6556140.266548938 42.45, -35292.93623931217 6556140.350242119 42.46, -35292.872695953236 6556140.3847999945 42.46, -35292.757400466246 6556140.434835801 42.46, -35292.577661116724 6556140.529419705 42.46, -35292.397921767435 6556140.624003614 42.47, -35292.218182418495 6556140.7185875205 42.47, -35292.143748331815 6556140.762235119 42.47, -35292.04843329394 6556140.814071931 42.480000000000004, -35291.89956512116 6556140.901367123 42.480000000000004, -35291.87868416938 6556140.909556341 42.480000000000004, -35291.69804431696 6556141.014130474 42.49, -35291.527394689736 6556141.119605105 42.49, -35291.36673528631 6556141.225980243 42.49, -35291.195185155724 6556141.341445098 42.5, -35291.06629743148 6556141.4305412965 42.5, -35291.033625248936 6556141.457810456 42.5, -35290.87296584586 6556141.564185592 42.51, -35290.70051521144 6556141.689640675 42.51, -35290.54894552927 6556141.806906536 42.52, -35290.38648511958 6556141.93326212 42.52, -35290.23401493381 6556142.060518206 42.52, -35290.071554524126 6556142.186873789 42.53, -35290.01620038296 6556142.242312612 42.53, -35289.92817405891 6556142.325020602 42.53, -35289.7757038736 6556142.452276683 42.54, -35289.622333184234 6556142.589522995 42.54, -35289.47895271948 6556142.727669805 42.54, -35289.33557225391 6556142.865816618 42.550000000000004, -35289.20128150913 6556143.014854158 42.550000000000004, -35289.05790104403 6556143.1530009685 42.56, -35288.92361029924 6556143.302038506 42.56, -35288.789319554344 6556143.451076043 42.57, -35288.65502880921 6556143.600113582 42.57, -35288.575191701646 6556143.70370252 42.57, -35288.53072828823 6556143.750051623 42.57, -35288.395537039265 6556143.909079385 42.58, -35288.270336014335 6556144.069007648 42.58, -35288.15512521309 6556144.229836415 42.58, -35288.02992418781 6556144.389764678 42.59, -35287.914713386446 6556144.550593445 42.59, -35287.79950258462 6556144.711422212 42.6, -35287.68339127919 6556144.882241203 42.6, -35287.57817070105 6556145.043970474 42.6, -35287.472049619304 6556145.215689965 42.61, -35287.36592853733 6556145.387409455 42.61, -35287.269797678106 6556145.560029456 42.61, -35287.16367659613 6556145.731748946 42.62, -35287.06664523308 6556145.914359165 42.62, -35286.98050459777 6556146.087879663 42.63, -35286.8834732346 6556146.270489882 42.63, -35286.79643209453 6556146.454000605 42.63, -35286.71029145864 6556146.627521103 42.64, -35286.633240542025 6556146.81193233 42.64, -35286.5824735997 6556146.928212999 42.64, -35286.556189625175 6556146.996343557 42.64, -35286.53260716237 6556147.03450344 42.64, -35286.53080615413 6556147.054483889 42.64, -35286.47913870786 6556147.180754784 42.65, -35286.401187286596 6556147.37515623 42.65, -35286.33412659273 6556147.560467958 42.65, -35286.26706589863 6556147.7457796885 42.660000000000004, -35286.19910470012 6556147.941081641 42.660000000000004, -35286.14203422889 6556148.127293872 42.660000000000004, -35286.08406325348 6556148.323496329 42.660000000000004, -35286.0269927819 6556148.509708558 42.67, -35285.99530578137 6556148.637780456 42.67, -35285.97901202913 6556148.7068115175 42.67, -35285.92104105279 6556148.903013971 42.67, -35285.883050523 6556149.101017436 42.68, -35285.87125929189 6556149.1200973755 42.68, -35285.83506976976 6556149.298120395 42.68, -35285.81697500881 6556149.387131902 42.68, -35285.79797974345 6556149.486133634 42.68, -35285.7599892132 6556149.684137096 42.68, -35285.734690418234 6556149.853070391 42.69, -35285.72199868236 6556149.882140556 42.69, -35285.69399837451 6556150.081044525 42.69, -35285.685893836664 6556150.170956536 42.69, -35285.665998066426 6556150.279948493 42.69, -35285.63799775776 6556150.478852459 42.69, -35285.61998767289 6556150.678656928 42.7, -35285.601977587445 6556150.878461398 42.7, -35285.59207203984 6556150.988353859 42.7, -35285.5902710316 6556151.008334306 42.7, -35285.59395772498 6556151.079166374 42.7, -35285.57594763872 6556151.278970843 42.7, -35285.576032314566 6556151.389763807 42.7, -35285.56792777567 6556151.479675818 42.71, -35285.55990791216 6556151.680380793 42.71, -35285.56187827187 6556151.8819862725 42.71, -35285.55926143378 6556152.022749905 42.71, -35285.563848631224 6556152.08359175 42.71, -35285.56663481926 6556152.164414044 42.71, -35285.56581898988 6556152.28519723 42.71, -35285.56778934854 6556152.486802708 42.71, -35285.58065043471 6556152.679318467 42.72, -35285.59261101612 6556152.881824451 42.72, -35285.59809871728 6556152.932676072 42.72, -35285.614561820286 6556153.085230941 42.72, -35285.626522401115 6556153.287736922 42.72, -35285.64937370946 6556153.481153186 42.72, -35285.66763782129 6556153.613727604 42.72, -35285.68131473637 6556153.685460178 42.72, -35285.704166044015 6556153.878876441 42.730000000000004, -35285.71604195004 6556153.970589463 42.730000000000004, -35285.73610707023 6556154.083183435 42.730000000000004, -35285.770749609685 6556154.257519758 42.730000000000004, -35285.768948600395 6556154.277500207 42.730000000000004, -35285.811780353775 6556154.47271748 42.730000000000004, -35285.824556764215 6556154.554440275 42.730000000000004, -35285.85461210739 6556154.667934752 42.730000000000004, -35285.89744386019 6556154.863152026 42.730000000000004, -35285.93298690312 6556155.027498128 42.730000000000004, -35285.94027561252 6556155.0583693 42.730000000000004, -35285.99309758842 6556155.25448708 42.730000000000004, -35286.007675007335 6556155.31622943 42.730000000000004, -35286.04591956374 6556155.450604859 42.730000000000004, -35286.09325383906 6556155.5958710145 42.730000000000004, -35286.10144305276 6556155.616751971 42.730000000000004, -35286.09964204347 6556155.636732416 42.730000000000004, -35286.162454241654 6556155.833750699 42.730000000000004, -35286.22616694437 6556156.020778758 42.730000000000004, -35286.233455653535 6556156.051649935 42.730000000000004, -35286.28987964685 6556156.20780682 42.74, -35286.320835493156 6556156.311311074 42.74, -35286.36268206732 6556156.40572561 42.74, -35286.427295274334 6556156.582763447 42.74, -35286.444574206835 6556156.614535128 42.74, -35286.5009981991 6556156.770692016 42.74, -35286.54194426839 6556156.875096776 42.74, -35286.58469134709 6556156.959521088 42.74, -35286.65839427186 6556157.147449654 42.74, -35286.725708991755 6556157.294516822 42.74, -35286.74298792437 6556157.326288501 42.74, -35286.79392421676 6556157.4315937655 42.74, -35286.827581576654 6556157.50512735 42.74, -35286.92216545227 6556157.684866704 42.74, -35286.92945416074 6556157.715737881 42.74, -35287.00675910455 6556157.863705549 42.74, -35287.08496455173 6556158.001683006 42.74, -35287.10134297912 6556158.043444908 42.74, -35287.20591707737 6556158.224084769 42.730000000000004, -35287.29231173918 6556158.382943167 42.730000000000004, -35287.406876060646 6556158.564483533 42.730000000000004, -35287.512350663426 6556158.73513317 42.730000000000004, -35287.61782526586 6556158.905782809 42.730000000000004, -35287.723299868405 6556159.076432448 42.730000000000004, -35287.8396651994 6556159.237992365 42.730000000000004, -35287.95603053004 6556159.399552286 42.730000000000004, -35288.07239586068 6556159.5611122055 42.730000000000004, -35288.19875141501 6556159.723572627 42.730000000000004, -35288.31511674542 6556159.885132548 42.730000000000004, -35288.44237280439 6556160.037602753 42.730000000000004, -35288.56962886336 6556160.190072954 42.72, -35288.70687514555 6556160.343443663 42.72, -35288.83413120441 6556160.495913865 42.72, -35288.97137748683 6556160.649284574 42.72, -35289.109524274245 6556160.792665058 42.72, -35289.247671061545 6556160.936045543 42.72, -35289.385817848844 6556161.079426032 42.72, -35289.515775423264 6556161.201925564 42.71, -35289.53485536494 6556161.213716799 42.71, -35289.682992376154 6556161.35799779 42.71, -35289.83202989248 6556161.49228856 42.71, -35289.98106740846 6556161.626579328 42.71, -35290.103736274876 6556161.718207685 42.71, -35290.13100543013 6556161.750879873 42.71, -35290.290933675366 6556161.876080924 42.7, -35290.35636271513 6556161.932335582 42.7, -35290.44087169727 6556162.000381468 42.7, -35290.600799942506 6556162.125582522 42.7, -35290.74254875083 6556162.229002116 42.7, -35290.76072818774 6556162.250783574 42.7, -35290.92155693902 6556162.3659944 42.69, -35291.016956650186 6556162.424950572 42.69, -35291.09237591352 6556162.482105737 42.69, -35291.253204664565 6556162.597316564 42.69, -35291.414933920954 6556162.702537171 42.69, -35291.596643625526 6556162.809558786 42.68, -35291.730203221436 6556162.892097429 42.68, -35291.76836310595 6556162.915679899 42.68, -35291.94098309206 6556163.011810786 42.68, -35292.11270257295 6556163.117931899 42.67, -35292.15086245758 6556163.141514368 42.67, -35292.285322559415 6556163.214062787 42.67, -35292.46793276991 6556163.31109418 42.67, -35292.64145326184 6556163.397234847 42.660000000000004, -35292.82496397814 6556163.484276018 42.660000000000004, -35292.92126419558 6556163.533241969 42.660000000000004, -35293.008474694565 6556163.571317189 42.660000000000004, -35293.19288591703 6556163.648368136 42.65, -35293.26011596806 6556163.6846423475 42.65, -35293.36640641 6556163.734508801 42.65, -35293.56080785615 6556163.812460258 42.65, -35293.71704941825 6556163.866829239 42.65, -35293.74611958454 6556163.87952098 42.64, -35293.930530807585 6556163.956571929 42.64, -35294.07768265158 6556164.000050182 42.64, -35294.11584253656 6556164.023632652 42.64, -35294.31114448968 6556164.091593883 42.63, -35294.49735672446 6556164.148664382 42.63, -35294.5364171149 6556164.162256631 42.63, -35294.69355918316 6556164.20663539 42.63, -35294.88976164267 6556164.264606398 42.62, -35294.919732315 6556164.267307915 42.62, -35295.07687438384 6556164.311686675 42.62, -35295.273076843936 6556164.369657681 42.61, -35295.39205902768 6556164.390453975 42.61, -35295.47108031495 6556164.407648242 42.61, -35295.6681832812 6556164.455629026 42.61, -35295.80624540837 6556164.488216551 42.6, -35295.856196529116 6556164.4927190775 42.6, -35296.05420000176 6556164.530709635 42.6, -35296.252203474054 6556164.568700196 42.59, -35296.272183922 6556164.57050121 42.59, -35296.451107452274 6556164.596700535 42.59, -35296.65001143108 6556164.624700869 42.59, -35296.729032719624 6556164.641895138 42.58, -35296.848915410344 6556164.652701203 42.58, -35297.04871989554 6556164.670711314 42.58, -35297.19767275383 6556164.694209123 42.57, -35297.247623875155 6556164.698711651 42.57, -35297.44832886651 6556164.706731539 42.57, -35297.6481333524 6556164.724741652 42.56, -35297.68809424993 6556164.728343672 42.56, -35297.848838344216 6556164.73276154 42.56, -35298.04954333685 6556164.740781425 42.56, -35298.15034608578 6556164.739796257 42.550000000000004, -35298.25114883494 6556164.738811089 42.550000000000004, -35298.45275433338 6556164.736840753 42.550000000000004, -35298.65435983264 6556164.734870416 42.54, -35298.704310954316 6556164.739372943 42.54, -35298.855965331546 6556164.732900081 42.54, -35299.048481112346 6556164.720039014 42.53, -35299.14928386232 6556164.719053844 42.53, -35299.25098711811 6556164.708078451 42.53, -35299.45349312422 6556164.696117886 42.52, -35299.65689963568 6556164.674167105 42.52, -35299.768593116314 6556164.664092217 42.52, -35299.85031592345 6556164.651315812 42.51, -35300.053722436074 6556164.629365025 42.51, -35300.19628709636 6556164.612001428 42.51, -35300.24803923012 6556164.596523509 42.5, -35300.4523462489 6556164.564582497 42.5, -35300.64666304353 6556164.531740983 42.49, -35300.84097983851 6556164.498899465 42.49, -35300.90272219712 6556164.48432205 42.49, -35301.03619713918 6556164.456067724 42.480000000000004, -35301.2314144409 6556164.413235982 42.480000000000004, -35301.29315679951 6556164.398658567 42.480000000000004, -35301.42753224773 6556164.360414017 42.480000000000004, -35301.62274954934 6556164.317582277 42.47, -35301.81886735733 6556164.264760309 42.47, -35302.014985165326 6556164.211938342 42.46, -35302.108499210095 6556164.180081993 42.46, -35302.202013254515 6556164.148225646 42.46, -35302.38904134417 6556164.084512948 42.45, -35302.46167443402 6556164.060845812 42.45, -35302.58605965879 6556164.021700756 42.45, -35302.77308774879 6556163.957988058 42.44, -35302.96101634507 6556163.884285134 42.44, -35303.14894494112 6556163.81058221 42.43, -35303.32688331278 6556163.73597878 42.43, -35303.43218859425 6556163.685042489 42.42, -35303.5157124151 6556163.652285632 42.42, -35303.694551293156 6556163.567691978 42.42, -35303.71543224796 6556163.559502765 42.42, -35303.88338039548 6556163.483998832 42.410000000000004, -35304.062219273765 6556163.399405177 42.410000000000004, -35304.241958657745 6556163.3048212975 42.4, -35304.42169804196 6556163.210237418 42.4, -35304.59144720144 6556163.114753032 42.39, -35304.771186586004 6556163.020169148 42.39, -35304.94183625153 6556162.91469454 42.38, -35305.1124859174 6556162.809219926 42.38, -35305.283135582926 6556162.703745312 42.37, -35305.443795023835 6556162.597370195 42.37, -35305.61534519517 6556162.481905361 42.36, -35305.701570533565 6556162.419177827 42.36, -35305.77690514189 6556162.365540016 42.36, -35305.93846508872 6556162.249174671 42.35, -35306.10002503579 6556162.132809329 42.35, -35306.262485488434 6556162.006453755 42.34, -35306.404064985225 6556161.888287403 42.34, -35306.57741616876 6556161.75284211 42.34, -35306.72988639632 6556161.625586035 42.33, -35306.82880347688 6556161.533788332 42.33, -35306.87326690438 6556161.487439229 42.33, -35307.02573713241 6556161.3601831505 42.32, -35307.16911764047 6556161.222036343 42.32, -35307.180908876355 6556161.202956401 42.32, -35307.31249814865 6556161.083889537 42.31, -35307.45677916205 6556160.935752504 42.31, -35307.60015967104 6556160.79760569 42.31, -35307.73445045925 6556160.648568152 42.300000000000004, -35307.86874124757 6556160.4995306125 42.300000000000004, -35308.00303203601 6556160.3504930725 42.29, -35308.1273325989 6556160.200555027 42.29, -35308.26252389292 6556160.041527261 42.28, -35308.38682445604 6556159.891589214 42.28, -35308.51202552405 6556159.731660943 42.28, -35308.62723636697 6556159.570832166 42.27, -35308.75243743521 6556159.410903891 42.27, -35308.86854878371 6556159.240084885 42.27, -35308.973769400734 6556159.078355602 42.26, -35309.08988074877 6556158.907536597 42.26, -35309.10257248976 6556158.878466428 42.26, -35309.19600187102 6556158.735817087 42.25, -35309.30122248817 6556158.5740877995 42.25, -35309.408244115184 6556158.392378065 42.25, -35309.50437501201 6556158.219758048 42.24, -35309.600505908486 6556158.047138032 42.24, -35309.696636804496 6556157.874518015 42.24, -35309.78367798019 6556157.691007266 42.230000000000004, -35309.87071915588 6556157.507496521 42.230000000000004, -35309.95685982634 6556157.333975996 42.230000000000004, -35310.04390100157 6556157.150465245 42.22, -35310.120951951016 6556156.9660539925 42.22, -35310.19800290023 6556156.78164274 42.22, -35310.275053849095 6556156.597231484 42.22, -35310.343015077524 6556156.401929499 42.21, -35310.410075801075 6556156.216617738 42.21, -35310.47713652381 6556156.031305978 42.21, -35310.54509775166 6556155.836003989 42.2, -35310.60306875338 6556155.639801501 42.2, -35310.63025324396 6556155.561680707 42.2, -35310.66013924999 6556155.453589235 42.2, -35310.71811025124 6556155.257386741 42.2, -35310.74979726656 6556155.129314819 42.19, -35310.76609102683 6556155.060283745 42.19, -35310.813171297195 6556154.873170973 42.19, -35310.86115207174 6556154.676067978 42.19, -35310.899142620736 6556154.478064476 42.19, -35310.937133169384 6556154.280060972 42.19, -35310.96333248273 6556154.1011374155 42.18, -35310.97512371803 6556154.08205747 42.18, -35310.98502927169 6556153.972164987 42.18, -35311.00312404067 6556153.883153461 42.18, -35311.03112436284 6556153.684249453 42.18, -35311.05912468454 6556153.485345448 42.18, -35311.077134780586 6556153.285540936 42.18, -35311.09514487651 6556153.085736419 42.18, -35311.10414992436 6556152.985834162 42.17, -35311.11315497151 6556152.885931909 42.17, -35311.124861533404 6556152.756058974 42.17, -35311.131165066734 6556152.686127394 42.17, -35311.13918493583 6556152.4854223775 42.17, -35311.147204804234 6556152.284717362 42.17, -35311.14523444709 6556152.083111838 42.17, -35311.14965229633 6556151.922367724 42.17, -35311.15325431526 6556151.882406818 42.17, -35311.15038345312 6556151.69079152 42.17, -35311.14669675985 6556151.619959437 42.160000000000004, -35311.1384228688 6556151.488285497 42.160000000000004, -35311.12646228459 6556151.285779469 42.160000000000004, -35311.12449192605 6556151.084173943 42.160000000000004, -35311.11073033186 6556150.901648369 42.160000000000004, -35311.102541115484 6556150.880767413 42.160000000000004, -35311.08968002547 6556150.688251614 42.160000000000004, -35311.07051540364 6556150.56566739 42.160000000000004, -35311.06772921444 6556150.484845079 42.160000000000004, -35311.03488767252 6556150.290528271 42.160000000000004, -35311.01293686102 6556150.087121737 42.160000000000004, -35310.98648352595 6556149.933666337 42.160000000000004, -35310.980095318635 6556149.892804928 42.160000000000004, -35310.94815428043 6556149.688497893 42.160000000000004, -35310.928989657434 6556149.5659136735 42.160000000000004, -35310.915312737576 6556149.4941810835 42.160000000000004, -35310.872480968595 6556149.298963769 42.160000000000004, -35310.8296491995 6556149.103746451 42.160000000000004, -35310.80868356663 6556149.001142686 42.160000000000004, -35310.78681742982 6556148.908529138 42.160000000000004, -35310.733995434246 6556148.712411323 42.160000000000004, -35310.71212929732 6556148.619797776 42.160000000000004, -35310.681173438556 6556148.516293504 42.160000000000004, -35310.62745093822 6556148.330165911 42.160000000000004, -35310.56463871617 6556148.133147589 42.160000000000004, -35310.500925989356 6556147.946119495 42.160000000000004, -35310.47725884337 6556147.8734864 42.160000000000004, -35310.438113767304 6556147.749101171 42.160000000000004, -35310.37440103991 6556147.562073076 42.160000000000004, -35310.35073389346 6556147.489439981 42.160000000000004, -35310.300698087085 6556147.374144474 42.160000000000004, -35310.236985359574 6556147.187116379 42.160000000000004, -35310.152391675976 6556147.008277498 42.160000000000004, -35310.136913746246 6556146.956525362 42.160000000000004, -35310.07868872234 6556146.820348901 42.160000000000004, -35309.994995542686 6556146.631519797 42.160000000000004, -35309.969527386944 6556146.578867156 42.160000000000004, -35309.910401858855 6556146.452680917 42.160000000000004, -35309.825808174326 6556146.27384204 42.160000000000004, -35309.731224264135 6556146.09410266 42.160000000000004, -35309.636640354176 6556145.914363278 42.160000000000004, -35309.54115593934 6556145.744614124 42.160000000000004, -35309.523877000785 6556145.712842437 42.160000000000004, -35309.44657202868 6556145.564874745 42.160000000000004, -35309.34109738807 6556145.394225087 42.17, -35309.27198163315 6556145.267138345 42.17, -35309.23562274757 6556145.2235754235 42.17, -35309.13014810672 6556145.052925767 42.17, -35309.02467346564 6556144.882276111 42.17, -35308.90830809483 6556144.720716176 42.17, -35308.792843228206 6556144.5491660135 42.17, -35308.67647785705 6556144.387606079 42.17, -35308.56011248613 6556144.226046144 42.18, -35308.50557415711 6556144.160701765 42.18, -35308.43285638513 6556144.073575931 42.18, -35308.316491013626 6556143.912015995 42.18, -35308.19832463446 6556143.770436512 42.18, -35308.05198858678 6556143.606175066 42.18, -35307.92473248555 6556143.4537048545 42.18, -35307.86929365259 6556143.3983507035 42.18, -35307.78748615924 6556143.300334138 42.19, -35307.64933932864 6556143.156953651 42.19, -35307.53027244494 6556143.025364396 42.19, -35307.51119249838 6556143.01357316 42.19, -35307.37304566766 6556142.870192672 42.19, -35307.22490861185 6556142.725911678 42.19, -35307.178559500375 6556142.681448259 42.19, -35307.0858612773 6556142.592521417 42.2, -35306.936823717784 6556142.45823065 42.2, -35306.8068661046 6556142.33573112 42.2, -35306.78778615792 6556142.323939885 42.2, -35306.638748598285 6556142.18964912 42.2, -35306.47882030939 6556142.064448074 42.2, -35306.44156091951 6556142.030875384 42.21, -35306.328882246045 6556141.940147535 42.21, -35306.168953957385 6556141.814946492 42.21, -35306.03719533724 6556141.71242741 42.21, -35306.00902566896 6556141.6897454485 42.21, -35305.84819687635 6556141.574534633 42.21, -35305.6773778589 6556141.458423313 42.22, -35305.64920819015 6556141.435741352 42.22, -35305.51654906699 6556141.343212492 42.22, -35305.34482954594 6556141.2370914 42.22, -35305.23125036911 6556141.156353778 42.22, -35305.18400075403 6556141.121880583 42.230000000000004, -35305.01228123321 6556141.01575949 42.230000000000004, -35304.83966120891 6556140.919628624 42.230000000000004, -35304.810591037036 6556140.906936887 42.230000000000004, -35304.66794168868 6556140.81350753 42.230000000000004, -35304.485331439646 6556140.716476156 42.24, -35304.36995125585 6556140.655718987 42.24, -35304.31271141581 6556140.620345292 42.24, -35304.12920066342 6556140.533304146 42.24, -35303.95568013645 6556140.447163505 42.25, -35303.927510468406 6556140.424481541 42.25, -35303.77306988777 6556140.350132135 42.25, -35303.588658632594 6556140.273081214 42.25, -35303.462387720705 6556140.221413768 42.25, -35303.40514788125 6556140.186040069 42.26, -35303.2207366263 6556140.1089891475 42.26, -35303.14261583297 6556140.081804672 42.26, -35303.03542486811 6556140.041928456 42.26, -35302.851013613516 6556139.964877538 42.26, -35302.83103316312 6556139.963076533 42.26, -35302.65571163071 6556139.896916339 42.27, -35302.48039009806 6556139.830756152 42.27, -35302.28418761201 6556139.772785184 42.27, -35302.16700642253 6556139.7320084665 42.28, -35302.088885630365 6556139.704823986 42.28, -35301.892683144775 6556139.646853015 42.28, -35301.705570381135 6556139.599772774 42.28, -35301.50936789659 6556139.541801802 42.29, -35301.31136440497 6556139.503811282 42.29, -35301.11426141742 6556139.455830537 42.29, -35300.92714865517 6556139.408750296 42.300000000000004, -35300.729145164485 6556139.370759777 42.300000000000004, -35300.53114167461 6556139.332769254 42.300000000000004, -35300.33223768091 6556139.304768959 42.31, -35300.13333368767 6556139.276768669 42.31, -35299.934429695015 6556139.248768374 42.31, -35299.73462519888 6556139.230758306 42.32, -35299.53572120692 6556139.202758012 42.32, -35299.405848284834 6556139.191051466 42.32, -35299.33591671148 6556139.184747944 42.32, -35299.13521171315 6556139.176728099 42.33, -35299.065280140145 6556139.170424572 42.33, -35298.93450671504 6556139.168708252 42.33, -35298.77466311981 6556139.154300197 42.33, -35298.73380171764 6556139.160688407 42.33, -35298.53309672023 6556139.152668565 42.34, -35298.33149121981 6556139.154638942 42.34, -35298.301520545734 6556139.151937432 42.34, -35298.12988571962 6556139.156609326 42.35, -35298.02908296953 6556139.157594518 42.35, -35297.92828021967 6556139.158579708 42.35, -35297.72577421705 6556139.170540311 42.35, -35297.53415894252 6556139.173411197 42.36, -35297.33075243677 6556139.195362025 42.36, -35297.2090687349 6556139.204536433 42.36, -35297.128246434964 6556139.207322631 42.37, -35296.934830154525 6556139.230173964 42.37, -35296.73142365005 6556139.252124791 42.37, -35296.6696812961 6556139.266702221 42.37, -35296.537106866715 6556139.284966352 42.38, -35296.497145968955 6556139.281364338 42.38, -35296.33279985958 6556139.316907404 42.38, -35296.21021565527 6556139.336072039 42.38, -35296.13848307694 6556139.349748964 42.39, -35296.05676027399 6556139.362525385 42.39, -35295.944166294765 6556139.38259052 42.39, -35295.73895878496 6556139.424521797 42.39, -35295.5446420036 6556139.457363353 42.4, -35295.34852421528 6556139.510185362 42.4, -35295.15330693091 6556139.553017142 42.410000000000004, -35295.100654298556 6556139.578485301 42.410000000000004, -35295.08067384979 6556139.576684293 42.410000000000004, -35294.96717936767 6556139.606739653 42.410000000000004, -35294.79104202951 6556139.661362665 42.410000000000004, -35294.77106158051 6556139.659561659 42.410000000000004, -35294.57404329034 6556139.722373887 42.42, -35294.42877712881 6556139.7697081845 42.42)</t>
  </si>
  <si>
    <t>POLYGON Z ((-35294.42877712881 6556139.7697081845 42.42, -35294.24174906348 6556139.833420916 42.43, -35294.05472099804 6556139.897133651 42.43, -35294.00296886952 6556139.912611584 42.43, -35293.8676929333 6556139.960846381 42.43, -35293.79415934929 6556139.994503756 42.44, -35293.679764365195 6556140.034549341 42.44, -35293.491835796856 6556140.108252299 42.44, -35293.30300672597 6556140.191945479 42.45, -35293.12506838271 6556140.266548938 42.45, -35292.93623931217 6556140.350242119 42.46, -35292.872695953236 6556140.3847999945 42.46, -35292.757400466246 6556140.434835801 42.46, -35292.577661116724 6556140.529419705 42.46, -35292.397921767435 6556140.624003614 42.47, -35292.218182418495 6556140.7185875205 42.47, -35292.143748331815 6556140.762235119 42.47, -35292.04843329394 6556140.814071931 42.480000000000004, -35291.89956512116 6556140.901367123 42.480000000000004, -35291.87868416938 6556140.909556341 42.480000000000004, -35291.69804431696 6556141.014130474 42.49, -35291.527394689736 6556141.119605105 42.49, -35291.36673528631 6556141.225980243 42.49, -35291.195185155724 6556141.341445098 42.5, -35291.06629743148 6556141.4305412965 42.5, -35291.033625248936 6556141.457810456 42.5, -35290.87296584586 6556141.564185592 42.51, -35290.70051521144 6556141.689640675 42.51, -35290.54894552927 6556141.806906536 42.52, -35290.38648511958 6556141.93326212 42.52, -35290.23401493381 6556142.060518206 42.52, -35290.071554524126 6556142.186873789 42.53, -35290.01620038296 6556142.242312612 42.53, -35289.92817405891 6556142.325020602 42.53, -35289.7757038736 6556142.452276683 42.54, -35289.622333184234 6556142.589522995 42.54, -35289.47895271948 6556142.727669805 42.54, -35289.33557225391 6556142.865816618 42.550000000000004, -35289.20128150913 6556143.014854158 42.550000000000004, -35289.05790104403 6556143.1530009685 42.56, -35288.92361029924 6556143.302038506 42.56, -35288.789319554344 6556143.451076043 42.57, -35288.65502880921 6556143.600113582 42.57, -35288.575191701646 6556143.70370252 42.57, -35288.53072828823 6556143.750051623 42.57, -35288.395537039265 6556143.909079385 42.58, -35288.270336014335 6556144.069007648 42.58, -35288.15512521309 6556144.229836415 42.58, -35288.02992418781 6556144.389764678 42.59, -35287.914713386446 6556144.550593445 42.59, -35287.79950258462 6556144.711422212 42.6, -35287.68339127919 6556144.882241203 42.6, -35287.57817070105 6556145.043970474 42.6, -35287.472049619304 6556145.215689965 42.61, -35287.36592853733 6556145.387409455 42.61, -35287.269797678106 6556145.560029456 42.61, -35287.16367659613 6556145.731748946 42.62, -35287.06664523308 6556145.914359165 42.62, -35286.98050459777 6556146.087879663 42.63, -35286.8834732346 6556146.270489882 42.63, -35286.79643209453 6556146.454000605 42.63, -35286.71029145864 6556146.627521103 42.64, -35286.633240542025 6556146.81193233 42.64, -35286.5824735997 6556146.928212999 42.64, -35286.556189625175 6556146.996343557 42.64, -35286.53260716237 6556147.03450344 42.64, -35286.53080615413 6556147.054483889 42.64, -35286.47913870786 6556147.180754784 42.65, -35286.401187286596 6556147.37515623 42.65, -35286.33412659273 6556147.560467958 42.65, -35286.26706589863 6556147.7457796885 42.660000000000004, -35286.19910470012 6556147.941081641 42.660000000000004, -35286.14203422889 6556148.127293872 42.660000000000004, -35286.08406325348 6556148.323496329 42.660000000000004, -35286.0269927819 6556148.509708558 42.67, -35285.99530578137 6556148.637780456 42.67, -35285.97901202913 6556148.7068115175 42.67, -35285.92104105279 6556148.903013971 42.67, -35285.883050523 6556149.101017436 42.68, -35285.87125929189 6556149.1200973755 42.68, -35285.83506976976 6556149.298120395 42.68, -35285.81697500881 6556149.387131902 42.68, -35285.79797974345 6556149.486133634 42.68, -35285.7599892132 6556149.684137096 42.68, -35285.734690418234 6556149.853070391 42.69, -35285.72199868236 6556149.882140556 42.69, -35285.69399837451 6556150.081044525 42.69, -35285.685893836664 6556150.170956536 42.69, -35285.665998066426 6556150.279948493 42.69, -35285.63799775776 6556150.478852459 42.69, -35285.61998767289 6556150.678656928 42.7, -35285.601977587445 6556150.878461398 42.7, -35285.59207203984 6556150.988353859 42.7, -35285.5902710316 6556151.008334306 42.7, -35285.59395772498 6556151.079166374 42.7, -35285.57594763872 6556151.278970843 42.7, -35285.576032314566 6556151.389763807 42.7, -35285.56792777567 6556151.479675818 42.71, -35285.55990791216 6556151.680380793 42.71, -35285.56187827187 6556151.8819862725 42.71, -35285.55926143378 6556152.022749905 42.71, -35285.563848631224 6556152.08359175 42.71, -35285.56663481926 6556152.164414044 42.71, -35285.56581898988 6556152.28519723 42.71, -35285.56778934854 6556152.486802708 42.71, -35285.58065043471 6556152.679318467 42.72, -35285.59261101612 6556152.881824451 42.72, -35285.59809871728 6556152.932676072 42.72, -35285.614561820286 6556153.085230941 42.72, -35285.626522401115 6556153.287736922 42.72, -35285.64937370946 6556153.481153186 42.72, -35285.66763782129 6556153.613727604 42.72, -35285.68131473637 6556153.685460178 42.72, -35285.704166044015 6556153.878876441 42.730000000000004, -35285.71604195004 6556153.970589463 42.730000000000004, -35285.73610707023 6556154.083183435 42.730000000000004, -35285.770749609685 6556154.257519758 42.730000000000004, -35285.768948600395 6556154.277500207 42.730000000000004, -35285.811780353775 6556154.47271748 42.730000000000004, -35285.824556764215 6556154.554440275 42.730000000000004, -35285.85461210739 6556154.667934752 42.730000000000004, -35285.89744386019 6556154.863152026 42.730000000000004, -35285.93298690312 6556155.027498128 42.730000000000004, -35285.94027561252 6556155.0583693 42.730000000000004, -35285.99309758842 6556155.25448708 42.730000000000004, -35286.007675007335 6556155.31622943 42.730000000000004, -35286.04591956374 6556155.450604859 42.730000000000004, -35286.09325383906 6556155.5958710145 42.730000000000004, -35286.10144305276 6556155.616751971 42.730000000000004, -35286.09964204347 6556155.636732416 42.730000000000004, -35286.162454241654 6556155.833750699 42.730000000000004, -35286.22616694437 6556156.020778758 42.730000000000004, -35286.233455653535 6556156.051649935 42.730000000000004, -35286.28987964685 6556156.20780682 42.74, -35286.320835493156 6556156.311311074 42.74, -35286.36268206732 6556156.40572561 42.74, -35286.427295274334 6556156.582763447 42.74, -35286.444574206835 6556156.614535128 42.74, -35286.5009981991 6556156.770692016 42.74, -35286.54194426839 6556156.875096776 42.74, -35286.58469134709 6556156.959521088 42.74, -35286.65839427186 6556157.147449654 42.74, -35286.725708991755 6556157.294516822 42.74, -35286.74298792437 6556157.326288501 42.74, -35286.79392421676 6556157.4315937655 42.74, -35286.827581576654 6556157.50512735 42.74, -35286.92216545227 6556157.684866704 42.74, -35286.92945416074 6556157.715737881 42.74, -35287.00675910455 6556157.863705549 42.74, -35287.08496455173 6556158.001683006 42.74, -35287.10134297912 6556158.043444908 42.74, -35287.20591707737 6556158.224084769 42.730000000000004, -35287.29231173918 6556158.382943167 42.730000000000004, -35287.406876060646 6556158.564483533 42.730000000000004, -35287.512350663426 6556158.73513317 42.730000000000004, -35287.61782526586 6556158.905782809 42.730000000000004, -35287.723299868405 6556159.076432448 42.730000000000004, -35287.8396651994 6556159.237992365 42.730000000000004, -35287.95603053004 6556159.399552286 42.730000000000004, -35288.07239586068 6556159.5611122055 42.730000000000004, -35288.19875141501 6556159.723572627 42.730000000000004, -35288.31511674542 6556159.885132548 42.730000000000004, -35288.44237280439 6556160.037602753 42.730000000000004, -35288.56962886336 6556160.190072954 42.72, -35288.70687514555 6556160.343443663 42.72, -35288.83413120441 6556160.495913865 42.72, -35288.97137748683 6556160.649284574 42.72, -35289.109524274245 6556160.792665058 42.72, -35289.247671061545 6556160.936045543 42.72, -35289.385817848844 6556161.079426032 42.72, -35289.515775423264 6556161.201925564 42.71, -35289.53485536494 6556161.213716799 42.71, -35289.682992376154 6556161.35799779 42.71, -35289.83202989248 6556161.49228856 42.71, -35289.98106740846 6556161.626579328 42.71, -35290.103736274876 6556161.718207685 42.71, -35290.13100543013 6556161.750879873 42.71, -35290.290933675366 6556161.876080924 42.7, -35290.35636271513 6556161.932335582 42.7, -35290.44087169727 6556162.000381468 42.7, -35290.600799942506 6556162.125582522 42.7, -35290.74254875083 6556162.229002116 42.7, -35290.76072818774 6556162.250783574 42.7, -35290.92155693902 6556162.3659944 42.69, -35291.016956650186 6556162.424950572 42.69, -35291.09237591352 6556162.482105737 42.69, -35291.253204664565 6556162.597316564 42.69, -35291.414933920954 6556162.702537171 42.69, -35291.596643625526 6556162.809558786 42.68, -35291.730203221436 6556162.892097429 42.68, -35291.76836310595 6556162.915679899 42.68, -35291.94098309206 6556163.011810786 42.68, -35292.11270257295 6556163.117931899 42.67, -35292.15086245758 6556163.141514368 42.67, -35292.285322559415 6556163.214062787 42.67, -35292.46793276991 6556163.31109418 42.67, -35292.64145326184 6556163.397234847 42.660000000000004, -35292.82496397814 6556163.484276018 42.660000000000004, -35292.92126419558 6556163.533241969 42.660000000000004, -35293.008474694565 6556163.571317189 42.660000000000004, -35293.19288591703 6556163.648368136 42.65, -35293.26011596806 6556163.6846423475 42.65, -35293.36640641 6556163.734508801 42.65, -35293.56080785615 6556163.812460258 42.65, -35293.71704941825 6556163.866829239 42.65, -35293.74611958454 6556163.87952098 42.64, -35293.930530807585 6556163.956571929 42.64, -35294.07768265158 6556164.000050182 42.64, -35294.11584253656 6556164.023632652 42.64, -35294.31114448968 6556164.091593883 42.63, -35294.49735672446 6556164.148664382 42.63, -35294.5364171149 6556164.162256631 42.63, -35294.69355918316 6556164.20663539 42.63, -35294.88976164267 6556164.264606398 42.62, -35294.919732315 6556164.267307915 42.62, -35295.07687438384 6556164.311686675 42.62, -35295.273076843936 6556164.369657681 42.61, -35295.39205902768 6556164.390453975 42.61, -35295.47108031495 6556164.407648242 42.61, -35295.6681832812 6556164.455629026 42.61, -35295.80624540837 6556164.488216551 42.6, -35295.856196529116 6556164.4927190775 42.6, -35296.05420000176 6556164.530709635 42.6, -35296.252203474054 6556164.568700196 42.59, -35296.272183922 6556164.57050121 42.59, -35296.451107452274 6556164.596700535 42.59, -35296.65001143108 6556164.624700869 42.59, -35296.729032719624 6556164.641895138 42.58, -35296.848915410344 6556164.652701203 42.58, -35297.04871989554 6556164.670711314 42.58, -35297.19767275383 6556164.694209123 42.57, -35297.247623875155 6556164.698711651 42.57, -35297.44832886651 6556164.706731539 42.57, -35297.6481333524 6556164.724741652 42.56, -35297.68809424993 6556164.728343672 42.56, -35297.848838344216 6556164.73276154 42.56, -35298.04954333685 6556164.740781425 42.56, -35298.15034608578 6556164.739796257 42.550000000000004, -35298.25114883494 6556164.738811089 42.550000000000004, -35298.45275433338 6556164.736840753 42.550000000000004, -35298.65435983264 6556164.734870416 42.54, -35298.704310954316 6556164.739372943 42.54, -35298.855965331546 6556164.732900081 42.54, -35299.048481112346 6556164.720039014 42.53, -35299.14928386232 6556164.719053844 42.53, -35299.25098711811 6556164.708078451 42.53, -35299.45349312422 6556164.696117886 42.52, -35299.65689963568 6556164.674167105 42.52, -35299.768593116314 6556164.664092217 42.52, -35299.85031592345 6556164.651315812 42.51, -35300.053722436074 6556164.629365025 42.51, -35300.19628709636 6556164.612001428 42.51, -35300.24803923012 6556164.596523509 42.5, -35300.4523462489 6556164.564582497 42.5, -35300.64666304353 6556164.531740983 42.49, -35300.84097983851 6556164.498899465 42.49, -35300.90272219712 6556164.48432205 42.49, -35301.03619713918 6556164.456067724 42.480000000000004, -35301.2314144409 6556164.413235982 42.480000000000004, -35301.29315679951 6556164.398658567 42.480000000000004, -35301.42753224773 6556164.360414017 42.480000000000004, -35301.62274954934 6556164.317582277 42.47, -35301.81886735733 6556164.264760309 42.47, -35302.014985165326 6556164.211938342 42.46, -35302.108499210095 6556164.180081993 42.46, -35302.202013254515 6556164.148225646 42.46, -35302.38904134417 6556164.084512948 42.45, -35302.46167443402 6556164.060845812 42.45, -35302.58605965879 6556164.021700756 42.45, -35302.77308774879 6556163.957988058 42.44, -35302.96101634507 6556163.884285134 42.44, -35303.14894494112 6556163.81058221 42.43, -35303.32688331278 6556163.73597878 42.43, -35303.43218859425 6556163.685042489 42.42, -35303.5157124151 6556163.652285632 42.42, -35303.694551293156 6556163.567691978 42.42, -35303.71543224796 6556163.559502765 42.42, -35303.88338039548 6556163.483998832 42.410000000000004, -35304.062219273765 6556163.399405177 42.410000000000004, -35304.241958657745 6556163.3048212975 42.4, -35304.42169804196 6556163.210237418 42.4, -35304.59144720144 6556163.114753032 42.39, -35304.771186586004 6556163.020169148 42.39, -35304.94183625153 6556162.91469454 42.38, -35305.1124859174 6556162.809219926 42.38, -35305.283135582926 6556162.703745312 42.37, -35305.443795023835 6556162.597370195 42.37, -35305.61534519517 6556162.481905361 42.36, -35305.701570533565 6556162.419177827 42.36, -35305.77690514189 6556162.365540016 42.36, -35305.93846508872 6556162.249174671 42.35, -35306.10002503579 6556162.132809329 42.35, -35306.262485488434 6556162.006453755 42.34, -35306.404064985225 6556161.888287403 42.34, -35306.57741616876 6556161.75284211 42.34, -35306.72988639632 6556161.625586035 42.33, -35306.82880347688 6556161.533788332 42.33, -35306.87326690438 6556161.487439229 42.33, -35307.02573713241 6556161.3601831505 42.32, -35307.16911764047 6556161.222036343 42.32, -35307.180908876355 6556161.202956401 42.32, -35307.31249814865 6556161.083889537 42.31, -35307.45677916205 6556160.935752504 42.31, -35307.60015967104 6556160.79760569 42.31, -35307.73445045925 6556160.648568152 42.300000000000004, -35307.86874124757 6556160.4995306125 42.300000000000004, -35308.00303203601 6556160.3504930725 42.29, -35308.1273325989 6556160.200555027 42.29, -35308.26252389292 6556160.041527261 42.28, -35308.38682445604 6556159.891589214 42.28, -35308.51202552405 6556159.731660943 42.28, -35308.62723636697 6556159.570832166 42.27, -35308.75243743521 6556159.410903891 42.27, -35308.86854878371 6556159.240084885 42.27, -35308.973769400734 6556159.078355602 42.26, -35309.08988074877 6556158.907536597 42.26, -35309.10257248976 6556158.878466428 42.26, -35309.19600187102 6556158.735817087 42.25, -35309.30122248817 6556158.5740877995 42.25, -35309.408244115184 6556158.392378065 42.25, -35309.50437501201 6556158.219758048 42.24, -35309.600505908486 6556158.047138032 42.24, -35309.696636804496 6556157.874518015 42.24, -35309.78367798019 6556157.691007266 42.230000000000004, -35309.87071915588 6556157.507496521 42.230000000000004, -35309.95685982634 6556157.333975996 42.230000000000004, -35310.04390100157 6556157.150465245 42.22, -35310.120951951016 6556156.9660539925 42.22, -35310.19800290023 6556156.78164274 42.22, -35310.275053849095 6556156.597231484 42.22, -35310.343015077524 6556156.401929499 42.21, -35310.410075801075 6556156.216617738 42.21, -35310.47713652381 6556156.031305978 42.21, -35310.54509775166 6556155.836003989 42.2, -35310.60306875338 6556155.639801501 42.2, -35310.63025324396 6556155.561680707 42.2, -35310.66013924999 6556155.453589235 42.2, -35310.71811025124 6556155.257386741 42.2, -35310.74979726656 6556155.129314819 42.19, -35310.76609102683 6556155.060283745 42.19, -35310.813171297195 6556154.873170973 42.19, -35310.86115207174 6556154.676067978 42.19, -35310.899142620736 6556154.478064476 42.19, -35310.937133169384 6556154.280060972 42.19, -35310.96333248273 6556154.1011374155 42.18, -35310.97512371803 6556154.08205747 42.18, -35310.98502927169 6556153.972164987 42.18, -35311.00312404067 6556153.883153461 42.18, -35311.03112436284 6556153.684249453 42.18, -35311.05912468454 6556153.485345448 42.18, -35311.077134780586 6556153.285540936 42.18, -35311.09514487651 6556153.085736419 42.18, -35311.10414992436 6556152.985834162 42.17, -35311.11315497151 6556152.885931909 42.17, -35311.124861533404 6556152.756058974 42.17, -35311.131165066734 6556152.686127394 42.17, -35311.13918493583 6556152.4854223775 42.17, -35311.147204804234 6556152.284717362 42.17, -35311.14523444709 6556152.083111838 42.17, -35311.14965229633 6556151.922367724 42.17, -35311.15325431526 6556151.882406818 42.17, -35311.15038345312 6556151.69079152 42.17, -35311.14669675985 6556151.619959437 42.160000000000004, -35311.1384228688 6556151.488285497 42.160000000000004, -35311.12646228459 6556151.285779469 42.160000000000004, -35311.12449192605 6556151.084173943 42.160000000000004, -35311.11073033186 6556150.901648369 42.160000000000004, -35311.102541115484 6556150.880767413 42.160000000000004, -35311.08968002547 6556150.688251614 42.160000000000004, -35311.07051540364 6556150.56566739 42.160000000000004, -35311.06772921444 6556150.484845079 42.160000000000004, -35311.03488767252 6556150.290528271 42.160000000000004, -35311.01293686102 6556150.087121737 42.160000000000004, -35310.98648352595 6556149.933666337 42.160000000000004, -35310.980095318635 6556149.892804928 42.160000000000004, -35310.94815428043 6556149.688497893 42.160000000000004, -35310.928989657434 6556149.5659136735 42.160000000000004, -35310.915312737576 6556149.4941810835 42.160000000000004, -35310.872480968595 6556149.298963769 42.160000000000004, -35310.8296491995 6556149.103746451 42.160000000000004, -35310.80868356663 6556149.001142686 42.160000000000004, -35310.78681742982 6556148.908529138 42.160000000000004, -35310.733995434246 6556148.712411323 42.160000000000004, -35310.71212929732 6556148.619797776 42.160000000000004, -35310.681173438556 6556148.516293504 42.160000000000004, -35310.62745093822 6556148.330165911 42.160000000000004, -35310.56463871617 6556148.133147589 42.160000000000004, -35310.500925989356 6556147.946119495 42.160000000000004, -35310.47725884337 6556147.8734864 42.160000000000004, -35310.438113767304 6556147.749101171 42.160000000000004, -35310.37440103991 6556147.562073076 42.160000000000004, -35310.35073389346 6556147.489439981 42.160000000000004, -35310.300698087085 6556147.374144474 42.160000000000004, -35310.236985359574 6556147.187116379 42.160000000000004, -35310.152391675976 6556147.008277498 42.160000000000004, -35310.136913746246 6556146.956525362 42.160000000000004, -35310.07868872234 6556146.820348901 42.160000000000004, -35309.994995542686 6556146.631519797 42.160000000000004, -35309.969527386944 6556146.578867156 42.160000000000004, -35309.910401858855 6556146.452680917 42.160000000000004, -35309.825808174326 6556146.27384204 42.160000000000004, -35309.731224264135 6556146.09410266 42.160000000000004, -35309.636640354176 6556145.914363278 42.160000000000004, -35309.54115593934 6556145.744614124 42.160000000000004, -35309.523877000785 6556145.712842437 42.160000000000004, -35309.44657202868 6556145.564874745 42.160000000000004, -35309.34109738807 6556145.394225087 42.17, -35309.27198163315 6556145.267138345 42.17, -35309.23562274757 6556145.2235754235 42.17, -35309.13014810672 6556145.052925767 42.17, -35309.02467346564 6556144.882276111 42.17, -35308.90830809483 6556144.720716176 42.17, -35308.792843228206 6556144.5491660135 42.17, -35308.67647785705 6556144.387606079 42.17, -35308.56011248613 6556144.226046144 42.18, -35308.50557415711 6556144.160701765 42.18, -35308.43285638513 6556144.073575931 42.18, -35308.316491013626 6556143.912015995 42.18, -35308.19832463446 6556143.770436512 42.18, -35308.05198858678 6556143.606175066 42.18, -35307.92473248555 6556143.4537048545 42.18, -35307.86929365259 6556143.3983507035 42.18, -35307.78748615924 6556143.300334138 42.19, -35307.64933932864 6556143.156953651 42.19, -35307.53027244494 6556143.025364396 42.19, -35307.51119249838 6556143.01357316 42.19, -35307.37304566766 6556142.870192672 42.19, -35307.22490861185 6556142.725911678 42.19, -35307.178559500375 6556142.681448259 42.19, -35307.0858612773 6556142.592521417 42.2, -35306.936823717784 6556142.45823065 42.2, -35306.8068661046 6556142.33573112 42.2, -35306.78778615792 6556142.323939885 42.2, -35306.638748598285 6556142.18964912 42.2, -35306.47882030939 6556142.064448074 42.2, -35306.44156091951 6556142.030875384 42.21, -35306.328882246045 6556141.940147535 42.21, -35306.168953957385 6556141.814946492 42.21, -35306.03719533724 6556141.71242741 42.21, -35306.00902566896 6556141.6897454485 42.21, -35305.84819687635 6556141.574534633 42.21, -35305.6773778589 6556141.458423313 42.22, -35305.64920819015 6556141.435741352 42.22, -35305.51654906699 6556141.343212492 42.22, -35305.34482954594 6556141.2370914 42.22, -35305.23125036911 6556141.156353778 42.22, -35305.18400075403 6556141.121880583 42.230000000000004, -35305.01228123321 6556141.01575949 42.230000000000004, -35304.83966120891 6556140.919628624 42.230000000000004, -35304.810591037036 6556140.906936887 42.230000000000004, -35304.66794168868 6556140.81350753 42.230000000000004, -35304.485331439646 6556140.716476156 42.24, -35304.36995125585 6556140.655718987 42.24, -35304.31271141581 6556140.620345292 42.24, -35304.12920066342 6556140.533304146 42.24, -35303.95568013645 6556140.447163505 42.25, -35303.927510468406 6556140.424481541 42.25, -35303.77306988777 6556140.350132135 42.25, -35303.588658632594 6556140.273081214 42.25, -35303.462387720705 6556140.221413768 42.25, -35303.40514788125 6556140.186040069 42.26, -35303.2207366263 6556140.1089891475 42.26, -35303.14261583297 6556140.081804672 42.26, -35303.03542486811 6556140.041928456 42.26, -35302.851013613516 6556139.964877538 42.26, -35302.83103316312 6556139.963076533 42.26, -35302.65571163071 6556139.896916339 42.27, -35302.48039009806 6556139.830756152 42.27, -35302.28418761201 6556139.772785184 42.27, -35302.16700642253 6556139.7320084665 42.28, -35302.088885630365 6556139.704823986 42.28, -35301.892683144775 6556139.646853015 42.28, -35301.705570381135 6556139.599772774 42.28, -35301.50936789659 6556139.541801802 42.29, -35301.31136440497 6556139.503811282 42.29, -35301.11426141742 6556139.455830537 42.29, -35300.92714865517 6556139.408750296 42.300000000000004, -35300.729145164485 6556139.370759777 42.300000000000004, -35300.53114167461 6556139.332769254 42.300000000000004, -35300.33223768091 6556139.304768959 42.31, -35300.13333368767 6556139.276768669 42.31, -35299.934429695015 6556139.248768374 42.31, -35299.73462519888 6556139.230758306 42.32, -35299.53572120692 6556139.202758012 42.32, -35299.405848284834 6556139.191051466 42.32, -35299.33591671148 6556139.184747944 42.32, -35299.13521171315 6556139.176728099 42.33, -35299.065280140145 6556139.170424572 42.33, -35298.93450671504 6556139.168708252 42.33, -35298.77466311981 6556139.154300197 42.33, -35298.73380171764 6556139.160688407 42.33, -35298.53309672023 6556139.152668565 42.34, -35298.33149121981 6556139.154638942 42.34, -35298.301520545734 6556139.151937432 42.34, -35298.12988571962 6556139.156609326 42.35, -35298.02908296953 6556139.157594518 42.35, -35297.92828021967 6556139.158579708 42.35, -35297.72577421705 6556139.170540311 42.35, -35297.53415894252 6556139.173411197 42.36, -35297.33075243677 6556139.195362025 42.36, -35297.2090687349 6556139.204536433 42.36, -35297.128246434964 6556139.207322631 42.37, -35296.934830154525 6556139.230173964 42.37, -35296.73142365005 6556139.252124791 42.37, -35296.6696812961 6556139.266702221 42.37, -35296.537106866715 6556139.284966352 42.38, -35296.497145968955 6556139.281364338 42.38, -35296.33279985958 6556139.316907404 42.38, -35296.21021565527 6556139.336072039 42.38, -35296.13848307694 6556139.349748964 42.39, -35296.05676027399 6556139.362525385 42.39, -35295.944166294765 6556139.38259052 42.39, -35295.73895878496 6556139.424521797 42.39, -35295.5446420036 6556139.457363353 42.4, -35295.34852421528 6556139.510185362 42.4, -35295.15330693091 6556139.553017142 42.410000000000004, -35295.100654298556 6556139.578485301 42.410000000000004, -35295.08067384979 6556139.576684293 42.410000000000004, -35294.96717936767 6556139.606739653 42.410000000000004, -35294.79104202951 6556139.661362665 42.410000000000004, -35294.77106158051 6556139.659561659 42.410000000000004, -35294.57404329034 6556139.722373887 42.42, -35294.42877712881 6556139.7697081845 42.42))</t>
  </si>
  <si>
    <t>['FV505 S4D1 m1368 KD1 m18-22']</t>
  </si>
  <si>
    <t>LINESTRING Z (-35291.236310406006 6556171.388120885 42.76, -35291.19725001778 6556171.374528636 42.76, -35291.052799698664 6556171.3010797035 42.77, -35290.879279215354 6556171.214939026 42.77, -35290.80205894413 6556171.177764308 42.77, -35290.69576850813 6556171.127897846 42.77, -35290.512257801485 6556171.040856664 42.78, -35290.41685809544 6556170.981900487 42.78, -35290.33963782457 6556170.944725767 42.78, -35290.157027624315 6556170.8476943625 42.78, -35290.02166702389 6556170.785136161 42.79, -35289.983507141704 6556170.761553688 42.79, -35289.80089694145 6556170.664522286 42.79, -35289.64735690644 6556170.580182625 42.79, -35289.62827696535 6556170.568391387 42.79, -35289.45565698913 6556170.472260493 42.79, -35289.28393751918 6556170.366139372 42.800000000000004, -35289.235787413316 6556170.341656395 42.800000000000004, -35289.11131754343 6556170.2700084755 42.800000000000004, -35288.929607850034 6556170.16298685 42.800000000000004, -35288.89144796762 6556170.139404382 42.800000000000004, -35288.75788838079 6556170.056865734 42.81, -35288.5952586286 6556169.961635343 42.81, -35288.442619100446 6556169.86730546 42.81, -35288.42353915959 6556169.855514224 42.81, -35288.25181969034 6556169.749393106 42.81, -35288.13373802067 6556169.71860659 42.82, -35288.054716739105 6556169.701412318 42.82, -35287.861300470075 6556169.724263601 42.82, -35287.71153177763 6556169.821548977 42.83, -35287.69065082504 6556169.829738185 42.83, -35287.575439990265 6556169.990566927 42.83, -35287.54555397795 6556170.0986583745 42.83, -35287.5274592014 6556170.187669878 42.83, -35287.499458858976 6556170.386573844 42.84, -35287.48144873977 6556170.58637831 42.84, -35287.45344839664 6556170.785282276 42.84, -35287.44534384273 6556170.875194285 42.84, -35287.42544805352 6556170.984186238 42.84, -35287.39744771039 6556171.183090196 42.84, -35287.36944736587 6556171.3819941655 42.84, -35287.341447022045 6556171.580898122 42.84, -35287.31344667729 6556171.779802086 42.84, -35287.28544633242 6556171.97870605 42.84, -35287.24745576375 6556172.176709505 42.84, -35287.20946519519 6556172.374712959 42.84, -35287.181464849156 6556172.573616921 42.84, -35287.14347427967 6556172.771620376 42.84, -35287.10638421576 6556172.959633611 42.83, -35287.06839364581 6556173.157637066 42.83, -35287.030403075274 6556173.355640522 42.83, -35286.982422281406 6556173.5527434675 42.83, -35286.94443171029 6556173.750746923 42.83, -35286.89645091561 6556173.947849872 42.83, -35286.85846034391 6556174.145853326 42.83, -35286.811380054685 6556174.332966053 42.83, -35286.76339925954 6556174.530068998 42.83, -35286.71541846346 6556174.727171947 42.83, -35286.667437667376 6556174.924274894 42.83, -35286.620357377105 6556175.111387619 42.83, -35286.57237658044 6556175.308490566 42.83, -35286.514405560214 6556175.504693004 42.83, -35286.46642476274 6556175.701795953 42.83, -35286.40935424843 6556175.888008171 42.83, -35286.35138322727 6556176.084210611 42.82, -35286.3034024291 6556176.281313558 42.82, -35286.24633191398 6556176.467525772 42.82, -35286.17837066855 6556176.662827706 42.82, -35286.12130015262 6556176.8490399225 42.82, -35286.063329130295 6556177.04524236 42.82, -35286.006258613896 6556177.231454576 42.82, -35285.93829736742 6556177.42675651 42.82, -35285.871236627456 6556177.612068216 42.82, -35285.81326560385 6556177.8082706565 42.82, -35285.7462048633 6556177.993582365 42.82, -35285.67914412264 6556178.178894073 42.82, -35285.61118287465 6556178.374196004 42.82, -35285.534131910536 6556178.558607206 42.82, -35285.46707116882 6556178.7439189125 42.82, -35285.3991099206 6556178.939220841 42.82, -35285.322058955324 6556179.123632043 42.82, -35285.25499821303 6556179.30894375 42.81, -35285.177947247284 6556179.493354951 42.81, -35285.109985998366 6556179.688656878 42.81, -35285.04292525526 6556179.8739685835 42.81, -35284.96587428881 6556180.058379783 42.81, -35284.927883708035 6556180.256383233 42.81, -35284.970715417876 6556180.451600509 42.81, -35285.08708071557 6556180.613160447 42.81, -35285.258800169686 6556180.719281578 42.81, -35285.4468133949 6556180.756371651 42.81, -35285.64293118124 6556180.7035497185 42.81, -35285.80449111655 6556180.587184418 42.81, -35285.89792050305 6556180.444535128 42.81, -35285.994051410235 6556180.271915161 42.81, -35286.091082824045 6556180.089304978 42.81, -35286.197203953634 6556179.91758552 42.81, -35286.29333486047 6556179.744965554 42.800000000000004, -35286.38946576684 6556179.572345591 42.800000000000004, -35286.48649717984 6556179.389735402 42.800000000000004, -35286.592618308845 6556179.218015944 42.800000000000004, -35286.68874921522 6556179.045395977 42.800000000000004, -35286.78488012077 6556178.872776012 42.800000000000004, -35286.89100124978 6556178.701056552 42.800000000000004, -35286.988032661844 6556178.518446361 42.800000000000004, -35287.08416356705 6556178.345826396 42.800000000000004, -35287.18029447214 6556178.173206427 42.800000000000004, -35287.28641560045 6556178.001486967 42.800000000000004, -35287.38254650531 6556177.828867001 42.800000000000004, -35287.479577916325 6556177.646256809 42.800000000000004, -35287.575708820834 6556177.4736368405 42.800000000000004, -35287.68182994833 6556177.301917381 42.800000000000004, -35287.777960852836 6556177.129297411 42.800000000000004, -35287.8840819801 6556176.957577948 42.79, -35287.990203107125 6556176.785858487 42.79, -35288.09632423462 6556176.61413902 42.79, -35288.20244536118 6556176.442419561 42.79, -35288.30856648821 6556176.270700095 42.79, -35288.41378710838 6556176.108970855 42.79, -35288.51990823459 6556175.937251394 42.79, -35288.63601958461 6556175.766432432 42.79, -35288.74124020478 6556175.60470319 42.79, -35288.85735155444 6556175.4338842295 42.79, -35288.972562397365 6556175.273055495 42.79, -35289.08867374656 6556175.102236536 42.79, -35289.2038845896 6556174.941407802 42.79, -35289.31909543229 6556174.780579062 42.79, -35289.43430627498 6556174.619750326 42.79, -35289.55950734101 6556174.459822095 42.79, -35289.67471818393 6556174.298993356 42.78, -35289.79991924972 6556174.139065125 42.78, -35289.91513009218 6556173.978236386 42.78, -35290.04033115797 6556173.818308154 42.78, -35290.16553222353 6556173.658379922 42.78, -35290.29073328921 6556173.498451688 42.78, -35290.41503384872 6556173.34851368 42.78, -35290.540234914515 6556173.1885854425 42.78, -35290.66453547368 6556173.038647434 42.78, -35290.799726762925 6556172.879619704 42.78, -35290.924027321744 6556172.729681696 42.78, -35290.97938147723 6556172.674242883 42.78, -35290.99117271346 6556172.655162942 42.78, -35291.059218610986 6556172.570653964 42.78, -35291.137254732545 6556172.487045493 42.77, -35291.19350939372 6556172.42161646 42.77, -35291.31780995289 6556172.271678449 42.77, -35291.45210073551 6556172.122640943 42.76, -35291.46749399626 6556172.063600102 42.76, -35291.520061976975 6556171.927338997 42.76, -35291.51719114592 6556171.735723732 42.76, -35291.433498018654 6556171.546894643 42.76, -35291.284460512456 6556171.412603863 42.76, -35291.236310406006 6556171.388120885 42.76)</t>
  </si>
  <si>
    <t>POLYGON Z ((-35291.236310406006 6556171.388120885 42.76, -35291.19725001778 6556171.374528636 42.76, -35291.052799698664 6556171.3010797035 42.77, -35290.879279215354 6556171.214939026 42.77, -35290.80205894413 6556171.177764308 42.77, -35290.69576850813 6556171.127897846 42.77, -35290.512257801485 6556171.040856664 42.78, -35290.41685809544 6556170.981900487 42.78, -35290.33963782457 6556170.944725767 42.78, -35290.157027624315 6556170.8476943625 42.78, -35290.02166702389 6556170.785136161 42.79, -35289.983507141704 6556170.761553688 42.79, -35289.80089694145 6556170.664522286 42.79, -35289.64735690644 6556170.580182625 42.79, -35289.62827696535 6556170.568391387 42.79, -35289.45565698913 6556170.472260493 42.79, -35289.28393751918 6556170.366139372 42.800000000000004, -35289.235787413316 6556170.341656395 42.800000000000004, -35289.11131754343 6556170.2700084755 42.800000000000004, -35288.929607850034 6556170.16298685 42.800000000000004, -35288.89144796762 6556170.139404382 42.800000000000004, -35288.75788838079 6556170.056865734 42.81, -35288.5952586286 6556169.961635343 42.81, -35288.442619100446 6556169.86730546 42.81, -35288.42353915959 6556169.855514224 42.81, -35288.25181969034 6556169.749393106 42.81, -35288.13373802067 6556169.71860659 42.82, -35288.054716739105 6556169.701412318 42.82, -35287.861300470075 6556169.724263601 42.82, -35287.71153177763 6556169.821548977 42.83, -35287.69065082504 6556169.829738185 42.83, -35287.575439990265 6556169.990566927 42.83, -35287.54555397795 6556170.0986583745 42.83, -35287.5274592014 6556170.187669878 42.83, -35287.499458858976 6556170.386573844 42.84, -35287.48144873977 6556170.58637831 42.84, -35287.45344839664 6556170.785282276 42.84, -35287.44534384273 6556170.875194285 42.84, -35287.42544805352 6556170.984186238 42.84, -35287.39744771039 6556171.183090196 42.84, -35287.36944736587 6556171.3819941655 42.84, -35287.341447022045 6556171.580898122 42.84, -35287.31344667729 6556171.779802086 42.84, -35287.28544633242 6556171.97870605 42.84, -35287.24745576375 6556172.176709505 42.84, -35287.20946519519 6556172.374712959 42.84, -35287.181464849156 6556172.573616921 42.84, -35287.14347427967 6556172.771620376 42.84, -35287.10638421576 6556172.959633611 42.83, -35287.06839364581 6556173.157637066 42.83, -35287.030403075274 6556173.355640522 42.83, -35286.982422281406 6556173.5527434675 42.83, -35286.94443171029 6556173.750746923 42.83, -35286.89645091561 6556173.947849872 42.83, -35286.85846034391 6556174.145853326 42.83, -35286.811380054685 6556174.332966053 42.83, -35286.76339925954 6556174.530068998 42.83, -35286.71541846346 6556174.727171947 42.83, -35286.667437667376 6556174.924274894 42.83, -35286.620357377105 6556175.111387619 42.83, -35286.57237658044 6556175.308490566 42.83, -35286.514405560214 6556175.504693004 42.83, -35286.46642476274 6556175.701795953 42.83, -35286.40935424843 6556175.888008171 42.83, -35286.35138322727 6556176.084210611 42.82, -35286.3034024291 6556176.281313558 42.82, -35286.24633191398 6556176.467525772 42.82, -35286.17837066855 6556176.662827706 42.82, -35286.12130015262 6556176.8490399225 42.82, -35286.063329130295 6556177.04524236 42.82, -35286.006258613896 6556177.231454576 42.82, -35285.93829736742 6556177.42675651 42.82, -35285.871236627456 6556177.612068216 42.82, -35285.81326560385 6556177.8082706565 42.82, -35285.7462048633 6556177.993582365 42.82, -35285.67914412264 6556178.178894073 42.82, -35285.61118287465 6556178.374196004 42.82, -35285.534131910536 6556178.558607206 42.82, -35285.46707116882 6556178.7439189125 42.82, -35285.3991099206 6556178.939220841 42.82, -35285.322058955324 6556179.123632043 42.82, -35285.25499821303 6556179.30894375 42.81, -35285.177947247284 6556179.493354951 42.81, -35285.109985998366 6556179.688656878 42.81, -35285.04292525526 6556179.8739685835 42.81, -35284.96587428881 6556180.058379783 42.81, -35284.927883708035 6556180.256383233 42.81, -35284.970715417876 6556180.451600509 42.81, -35285.08708071557 6556180.613160447 42.81, -35285.258800169686 6556180.719281578 42.81, -35285.4468133949 6556180.756371651 42.81, -35285.64293118124 6556180.7035497185 42.81, -35285.80449111655 6556180.587184418 42.81, -35285.89792050305 6556180.444535128 42.81, -35285.994051410235 6556180.271915161 42.81, -35286.091082824045 6556180.089304978 42.81, -35286.197203953634 6556179.91758552 42.81, -35286.29333486047 6556179.744965554 42.800000000000004, -35286.38946576684 6556179.572345591 42.800000000000004, -35286.48649717984 6556179.389735402 42.800000000000004, -35286.592618308845 6556179.218015944 42.800000000000004, -35286.68874921522 6556179.045395977 42.800000000000004, -35286.78488012077 6556178.872776012 42.800000000000004, -35286.89100124978 6556178.701056552 42.800000000000004, -35286.988032661844 6556178.518446361 42.800000000000004, -35287.08416356705 6556178.345826396 42.800000000000004, -35287.18029447214 6556178.173206427 42.800000000000004, -35287.28641560045 6556178.001486967 42.800000000000004, -35287.38254650531 6556177.828867001 42.800000000000004, -35287.479577916325 6556177.646256809 42.800000000000004, -35287.575708820834 6556177.4736368405 42.800000000000004, -35287.68182994833 6556177.301917381 42.800000000000004, -35287.777960852836 6556177.129297411 42.800000000000004, -35287.8840819801 6556176.957577948 42.79, -35287.990203107125 6556176.785858487 42.79, -35288.09632423462 6556176.61413902 42.79, -35288.20244536118 6556176.442419561 42.79, -35288.30856648821 6556176.270700095 42.79, -35288.41378710838 6556176.108970855 42.79, -35288.51990823459 6556175.937251394 42.79, -35288.63601958461 6556175.766432432 42.79, -35288.74124020478 6556175.60470319 42.79, -35288.85735155444 6556175.4338842295 42.79, -35288.972562397365 6556175.273055495 42.79, -35289.08867374656 6556175.102236536 42.79, -35289.2038845896 6556174.941407802 42.79, -35289.31909543229 6556174.780579062 42.79, -35289.43430627498 6556174.619750326 42.79, -35289.55950734101 6556174.459822095 42.79, -35289.67471818393 6556174.298993356 42.78, -35289.79991924972 6556174.139065125 42.78, -35289.91513009218 6556173.978236386 42.78, -35290.04033115797 6556173.818308154 42.78, -35290.16553222353 6556173.658379922 42.78, -35290.29073328921 6556173.498451688 42.78, -35290.41503384872 6556173.34851368 42.78, -35290.540234914515 6556173.1885854425 42.78, -35290.66453547368 6556173.038647434 42.78, -35290.799726762925 6556172.879619704 42.78, -35290.924027321744 6556172.729681696 42.78, -35290.97938147723 6556172.674242883 42.78, -35290.99117271346 6556172.655162942 42.78, -35291.059218610986 6556172.570653964 42.78, -35291.137254732545 6556172.487045493 42.77, -35291.19350939372 6556172.42161646 42.77, -35291.31780995289 6556172.271678449 42.77, -35291.45210073551 6556172.122640943 42.76, -35291.46749399626 6556172.063600102 42.76, -35291.520061976975 6556171.927338997 42.76, -35291.51719114592 6556171.735723732 42.76, -35291.433498018654 6556171.546894643 42.76, -35291.284460512456 6556171.412603863 42.76, -35291.236310406006 6556171.388120885 42.76))</t>
  </si>
  <si>
    <t>['FV505 S4D1 m713-723']</t>
  </si>
  <si>
    <t>LINESTRING Z (-34841.787226254935 6555660.9158463655 26.27, -34841.95787481719 6555660.810371385 26.26, -34842.15219075105 6555660.777529122 26.26, -34842.34020348126 6555660.814618201 26.26, -34842.50013170845 6555660.939818095 26.26, -34842.52740091097 6555660.972490045 26.26, -34842.605606687604 6555661.11046666 26.26, -34842.64475215436 6555661.2348512495 26.26, -34842.669319983106 6555661.297493777 26.26, -34842.74302347086 6555661.485421353 26.27, -34842.81672695768 6555661.673348927 26.27, -34842.84858360537 6555661.7668624865 26.27, -34842.88044025295 6555661.860376047 26.28, -34842.954143739305 6555662.048303623 26.28, -34843.027847225894 6555662.236231196 26.28, -34843.10155071202 6555662.424158772 26.29, -34843.16796537931 6555662.581215317 26.29, -34843.17525419791 6555662.61208635 26.29, -34843.24895768333 6555662.800013929 26.29, -34843.283515703515 6555662.86355691 26.3, -34843.323561626254 6555662.977951314 26.3, -34843.40725530335 6555663.166779348 26.3, -34843.48095878831 6555663.354706925 26.3, -34843.48824760644 6555663.385577959 26.310000000000002, -34843.5555627303 6555663.532644313 26.310000000000002, -34843.6137881208 6555663.668820013 26.310000000000002, -34843.63925640681 6555663.721472349 26.310000000000002, -34843.713860348915 6555663.899409731 26.32, -34843.79755402461 6555664.088237769 26.32, -34843.83031112817 6555664.17176114 26.32, -34843.882148157805 6555664.267075616 26.32, -34843.96584183327 6555664.45590365 26.330000000000002, -34844.040445774444 6555664.633841038 26.330000000000002, -34844.07410333573 6555664.707374215 26.330000000000002, -34844.12413944909 6555664.822669076 26.330000000000002, -34844.20873358147 6555665.001506921 26.34, -34844.2514808767 6555665.085930748 26.34, -34844.30331790587 6555665.1812452255 26.34, -34844.36973257025 6555665.338301771 26.34, -34844.38791203813 6555665.360083072 26.34, -34844.47160571162 6555665.54891111 26.35, -34844.548010567785 6555665.706868116 26.35, -34844.5561998433 6555665.7277489565 26.35, -34844.65078416688 6555665.90748726 26.35, -34844.67535199376 6555665.970129792 26.35, -34844.73537829798 6555666.08632511 26.36, -34844.829962621094 6555666.2660634145 26.36, -34844.85543090617 6555666.318715748 26.36, -34844.91455675196 6555666.4449012615 26.36, -34844.95820450445 6555666.519334899 26.37, -34845.009141074144 6555666.624639571 26.37, -34845.08554592903 6555666.782596575 26.37, -34845.10372539691 6555666.804377873 26.37, -34845.199210177176 6555666.974125989 26.37, -34845.2674257562 6555667.111202153 26.38, -34845.28380430711 6555667.15296384 26.38, -34845.37838862883 6555667.332702144 26.38, -34845.47297295043 6555667.512440453 26.38, -34845.491152417846 6555667.534221753 26.38, -34845.57844792202 6555667.683089028 26.39, -34845.673032243154 6555667.862827336 26.39, -34845.76851702237 6555668.032575451 26.39, -34845.86310134304 6555668.212313762 26.400000000000002, -34845.9076495535 6555668.276757204 26.400000000000002, -34845.96857631416 6555668.382962335 26.400000000000002, -34846.0631606346 6555668.562700643 26.400000000000002, -34846.107708844705 6555668.627144087 26.400000000000002, -34846.16863560537 6555668.733349218 26.41, -34846.264120383654 6555668.903097338 26.41, -34846.32504714397 6555669.00930247 26.41, -34846.369595353724 6555669.073745914 26.41, -34846.474169865716 6555669.25438468 26.42, -34846.51781761693 6555669.32881832 26.42, -34846.57964483567 6555669.42503326 26.42, -34846.64335811976 6555669.612060387 26.42, -34846.64254280971 6555669.732843152 26.43, -34846.63533914136 6555669.81276469 26.43, -34846.54919954261 6555669.9862849405 26.43, -34846.39582997502 6555670.123531403 26.44, -34846.208802848705 6555670.187244686 26.45, -34846.09891073557 6555670.177339645 26.45, -34846.008999006706 6555670.169235518 26.45, -34845.83547875902 6555670.0830959175 26.45, -34845.779139440856 6555670.037732399 26.45, -34845.686441188795 6555669.948806274 26.45, -34845.537403617636 6555669.814516633 26.45, -34845.4537950987 6555669.736481165 26.44, -34845.38926650584 6555669.6702368 26.44, -34845.240228934796 6555669.53594716 26.44, -34845.20296954224 6555669.50237475 26.44, -34845.09119136422 6555669.40165752 26.44, -34844.941253335215 6555669.277358072 26.44, -34844.83037561586 6555669.166650648 26.44, -34844.792215764755 6555669.143068433 26.44, -34844.64317819441 6555669.00877879 26.44, -34844.56865940895 6555668.94163397 26.44, -34844.49414062372 6555668.874489153 26.44, -34844.33421240258 6555668.749289246 26.44, -34844.18517483235 6555668.614999609 26.44, -34844.03523680335 6555668.490700162 26.43, -34843.922558167134 6555668.399973122 26.43, -34843.87620904087 6555668.355510065 26.43, -34843.72627101233 6555668.231210619 26.43, -34843.56634279131 6555668.106010718 26.43, -34843.52908339922 6555668.072438307 26.43, -34843.41640476277 6555667.981711271 26.43, -34843.36915517808 6555667.947238407 26.43, -34843.25737700064 6555667.846521177 26.43, -34843.124717980856 6555667.753993226 26.43, -34843.09744877997 6555667.721321276 26.43, -34842.9366201018 6555667.606111565 26.43, -34842.9184406345 6555667.584330265 26.43, -34842.78668207303 6555667.481812122 26.43, -34842.626753852936 6555667.35661222 26.43, -34842.589494460146 6555667.323039812 26.43, -34842.46682563273 6555667.231412318 26.43, -34842.38231665583 6555667.163367044 26.43, -34842.306897412636 6555667.106212418 26.42, -34842.146068734466 6555666.991002708 26.42, -34842.04247983219 6555666.911166326 26.42, -34841.98614051414 6555666.86580281 26.42, -34841.83530202799 6555666.751493559 26.42, -34841.66448315827 6555666.635383394 26.42, -34841.504554938525 6555666.510183495 26.42, -34841.48547501303 6555666.498392389 26.42, -34841.343726260704 6555666.394973788 26.42, -34841.17290739098 6555666.278863623 26.42, -34841.05932829762 6555666.198126783 26.42, -34841.01207871339 6555666.163653917 26.42, -34840.851250036154 6555666.048444209 26.42, -34840.77493033488 6555666.001279779 26.42, -34840.680431166664 6555665.932334047 26.42, -34840.519602489425 6555665.817124342 26.42, -34840.3487836204 6555665.701014179 26.42, -34840.1870544852 6555665.595794665 26.42, -34840.06438565871 6555665.504167177 26.42, -34840.01623561641 6555665.479684503 26.42, -34839.85450648132 6555665.3744649915 26.42, -34839.68368761311 6555665.258354828 26.42, -34839.607367912075 6555665.211190397 26.42, -34839.52195847826 6555665.153135316 26.42, -34839.35113960982 6555665.037025156 26.42, -34839.32206949324 6555665.024333589 26.42, -34839.17942028376 6555664.930905187 26.42, -34839.00770095771 6555664.824785218 26.42, -34838.855061556795 6555664.730456358 26.42, -34838.835981631884 6555664.718665249 26.42, -34838.67425249785 6555664.613445737 26.42, -34838.578852872364 6555664.5544902 26.42, -34838.502533172374 6555664.50732577 26.42, -34838.3308138469 6555664.401205801 26.42, -34838.19266692747 6555664.257826445 26.42, -34838.16719864297 6555664.205174111 26.42, -34838.118963447516 6555664.069898871 26.41, -34838.126982414164 6555663.869194586 26.41, -34838.15056462912 6555663.831034733 26.41, -34838.21312199731 6555663.695674343 26.400000000000002, -34838.366491546854 6555663.55842788 26.400000000000002, -34838.53714010585 6555663.452952908 26.39, -34838.70778866543 6555663.347477932 26.39, -34838.84666573454 6555663.25928197 26.38, -34838.87843722501 6555663.242002958 26.38, -34839.039095593034 6555663.13562753 26.37, -34839.21064461069 6555663.0201623645 26.37, -34839.37220343703 6555662.903796737 26.36, -34839.543752455036 6555662.788331574 26.36, -34839.705311281374 6555662.671965948 26.35, -34839.86687010818 6555662.555600322 26.34, -34840.02842893463 6555662.4392347 26.34, -34840.18089802773 6555662.311978426 26.330000000000002, -34840.34335731261 6555662.1856226055 26.330000000000002, -34840.49582640582 6555662.0583663285 26.32, -34840.6482954988 6555661.931110055 26.310000000000002, -34840.81075478403 6555661.804754235 26.310000000000002, -34840.96322387725 6555661.677497958 26.3, -34841.10660323687 6555661.539351032 26.3, -34841.259072330315 6555661.412094755 26.29, -34841.41244188184 6555661.274848285 26.28, -34841.55582124158 6555661.136701357 26.28, -34841.69920060097 6555660.99855443 26.27, -34841.787226254935 6555660.9158463655 26.27)</t>
  </si>
  <si>
    <t>POLYGON Z ((-34841.787226254935 6555660.9158463655 26.27, -34841.95787481719 6555660.810371385 26.26, -34842.15219075105 6555660.777529122 26.26, -34842.34020348126 6555660.814618201 26.26, -34842.50013170845 6555660.939818095 26.26, -34842.52740091097 6555660.972490045 26.26, -34842.605606687604 6555661.11046666 26.26, -34842.64475215436 6555661.2348512495 26.26, -34842.669319983106 6555661.297493777 26.26, -34842.74302347086 6555661.485421353 26.27, -34842.81672695768 6555661.673348927 26.27, -34842.84858360537 6555661.7668624865 26.27, -34842.88044025295 6555661.860376047 26.28, -34842.954143739305 6555662.048303623 26.28, -34843.027847225894 6555662.236231196 26.28, -34843.10155071202 6555662.424158772 26.29, -34843.16796537931 6555662.581215317 26.29, -34843.17525419791 6555662.61208635 26.29, -34843.24895768333 6555662.800013929 26.29, -34843.283515703515 6555662.86355691 26.3, -34843.323561626254 6555662.977951314 26.3, -34843.40725530335 6555663.166779348 26.3, -34843.48095878831 6555663.354706925 26.3, -34843.48824760644 6555663.385577959 26.310000000000002, -34843.5555627303 6555663.532644313 26.310000000000002, -34843.6137881208 6555663.668820013 26.310000000000002, -34843.63925640681 6555663.721472349 26.310000000000002, -34843.713860348915 6555663.899409731 26.32, -34843.79755402461 6555664.088237769 26.32, -34843.83031112817 6555664.17176114 26.32, -34843.882148157805 6555664.267075616 26.32, -34843.96584183327 6555664.45590365 26.330000000000002, -34844.040445774444 6555664.633841038 26.330000000000002, -34844.07410333573 6555664.707374215 26.330000000000002, -34844.12413944909 6555664.822669076 26.330000000000002, -34844.20873358147 6555665.001506921 26.34, -34844.2514808767 6555665.085930748 26.34, -34844.30331790587 6555665.1812452255 26.34, -34844.36973257025 6555665.338301771 26.34, -34844.38791203813 6555665.360083072 26.34, -34844.47160571162 6555665.54891111 26.35, -34844.548010567785 6555665.706868116 26.35, -34844.5561998433 6555665.7277489565 26.35, -34844.65078416688 6555665.90748726 26.35, -34844.67535199376 6555665.970129792 26.35, -34844.73537829798 6555666.08632511 26.36, -34844.829962621094 6555666.2660634145 26.36, -34844.85543090617 6555666.318715748 26.36, -34844.91455675196 6555666.4449012615 26.36, -34844.95820450445 6555666.519334899 26.37, -34845.009141074144 6555666.624639571 26.37, -34845.08554592903 6555666.782596575 26.37, -34845.10372539691 6555666.804377873 26.37, -34845.199210177176 6555666.974125989 26.37, -34845.2674257562 6555667.111202153 26.38, -34845.28380430711 6555667.15296384 26.38, -34845.37838862883 6555667.332702144 26.38, -34845.47297295043 6555667.512440453 26.38, -34845.491152417846 6555667.534221753 26.38, -34845.57844792202 6555667.683089028 26.39, -34845.673032243154 6555667.862827336 26.39, -34845.76851702237 6555668.032575451 26.39, -34845.86310134304 6555668.212313762 26.400000000000002, -34845.9076495535 6555668.276757204 26.400000000000002, -34845.96857631416 6555668.382962335 26.400000000000002, -34846.0631606346 6555668.562700643 26.400000000000002, -34846.107708844705 6555668.627144087 26.400000000000002, -34846.16863560537 6555668.733349218 26.41, -34846.264120383654 6555668.903097338 26.41, -34846.32504714397 6555669.00930247 26.41, -34846.369595353724 6555669.073745914 26.41, -34846.474169865716 6555669.25438468 26.42, -34846.51781761693 6555669.32881832 26.42, -34846.57964483567 6555669.42503326 26.42, -34846.64335811976 6555669.612060387 26.42, -34846.64254280971 6555669.732843152 26.43, -34846.63533914136 6555669.81276469 26.43, -34846.54919954261 6555669.9862849405 26.43, -34846.39582997502 6555670.123531403 26.44, -34846.208802848705 6555670.187244686 26.45, -34846.09891073557 6555670.177339645 26.45, -34846.008999006706 6555670.169235518 26.45, -34845.83547875902 6555670.0830959175 26.45, -34845.779139440856 6555670.037732399 26.45, -34845.686441188795 6555669.948806274 26.45, -34845.537403617636 6555669.814516633 26.45, -34845.4537950987 6555669.736481165 26.44, -34845.38926650584 6555669.6702368 26.44, -34845.240228934796 6555669.53594716 26.44, -34845.20296954224 6555669.50237475 26.44, -34845.09119136422 6555669.40165752 26.44, -34844.941253335215 6555669.277358072 26.44, -34844.83037561586 6555669.166650648 26.44, -34844.792215764755 6555669.143068433 26.44, -34844.64317819441 6555669.00877879 26.44, -34844.56865940895 6555668.94163397 26.44, -34844.49414062372 6555668.874489153 26.44, -34844.33421240258 6555668.749289246 26.44, -34844.18517483235 6555668.614999609 26.44, -34844.03523680335 6555668.490700162 26.43, -34843.922558167134 6555668.399973122 26.43, -34843.87620904087 6555668.355510065 26.43, -34843.72627101233 6555668.231210619 26.43, -34843.56634279131 6555668.106010718 26.43, -34843.52908339922 6555668.072438307 26.43, -34843.41640476277 6555667.981711271 26.43, -34843.36915517808 6555667.947238407 26.43, -34843.25737700064 6555667.846521177 26.43, -34843.124717980856 6555667.753993226 26.43, -34843.09744877997 6555667.721321276 26.43, -34842.9366201018 6555667.606111565 26.43, -34842.9184406345 6555667.584330265 26.43, -34842.78668207303 6555667.481812122 26.43, -34842.626753852936 6555667.35661222 26.43, -34842.589494460146 6555667.323039812 26.43, -34842.46682563273 6555667.231412318 26.43, -34842.38231665583 6555667.163367044 26.43, -34842.306897412636 6555667.106212418 26.42, -34842.146068734466 6555666.991002708 26.42, -34842.04247983219 6555666.911166326 26.42, -34841.98614051414 6555666.86580281 26.42, -34841.83530202799 6555666.751493559 26.42, -34841.66448315827 6555666.635383394 26.42, -34841.504554938525 6555666.510183495 26.42, -34841.48547501303 6555666.498392389 26.42, -34841.343726260704 6555666.394973788 26.42, -34841.17290739098 6555666.278863623 26.42, -34841.05932829762 6555666.198126783 26.42, -34841.01207871339 6555666.163653917 26.42, -34840.851250036154 6555666.048444209 26.42, -34840.77493033488 6555666.001279779 26.42, -34840.680431166664 6555665.932334047 26.42, -34840.519602489425 6555665.817124342 26.42, -34840.3487836204 6555665.701014179 26.42, -34840.1870544852 6555665.595794665 26.42, -34840.06438565871 6555665.504167177 26.42, -34840.01623561641 6555665.479684503 26.42, -34839.85450648132 6555665.3744649915 26.42, -34839.68368761311 6555665.258354828 26.42, -34839.607367912075 6555665.211190397 26.42, -34839.52195847826 6555665.153135316 26.42, -34839.35113960982 6555665.037025156 26.42, -34839.32206949324 6555665.024333589 26.42, -34839.17942028376 6555664.930905187 26.42, -34839.00770095771 6555664.824785218 26.42, -34838.855061556795 6555664.730456358 26.42, -34838.835981631884 6555664.718665249 26.42, -34838.67425249785 6555664.613445737 26.42, -34838.578852872364 6555664.5544902 26.42, -34838.502533172374 6555664.50732577 26.42, -34838.3308138469 6555664.401205801 26.42, -34838.19266692747 6555664.257826445 26.42, -34838.16719864297 6555664.205174111 26.42, -34838.118963447516 6555664.069898871 26.41, -34838.126982414164 6555663.869194586 26.41, -34838.15056462912 6555663.831034733 26.41, -34838.21312199731 6555663.695674343 26.400000000000002, -34838.366491546854 6555663.55842788 26.400000000000002, -34838.53714010585 6555663.452952908 26.39, -34838.70778866543 6555663.347477932 26.39, -34838.84666573454 6555663.25928197 26.38, -34838.87843722501 6555663.242002958 26.38, -34839.039095593034 6555663.13562753 26.37, -34839.21064461069 6555663.0201623645 26.37, -34839.37220343703 6555662.903796737 26.36, -34839.543752455036 6555662.788331574 26.36, -34839.705311281374 6555662.671965948 26.35, -34839.86687010818 6555662.555600322 26.34, -34840.02842893463 6555662.4392347 26.34, -34840.18089802773 6555662.311978426 26.330000000000002, -34840.34335731261 6555662.1856226055 26.330000000000002, -34840.49582640582 6555662.0583663285 26.32, -34840.6482954988 6555661.931110055 26.310000000000002, -34840.81075478403 6555661.804754235 26.310000000000002, -34840.96322387725 6555661.677497958 26.3, -34841.10660323687 6555661.539351032 26.3, -34841.259072330315 6555661.412094755 26.29, -34841.41244188184 6555661.274848285 26.28, -34841.55582124158 6555661.136701357 26.28, -34841.69920060097 6555660.99855443 26.27, -34841.787226254935 6555660.9158463655 26.27))</t>
  </si>
  <si>
    <t>['FV505 S4D1 m709 KD1 m0-104']</t>
  </si>
  <si>
    <t>LINESTRING Z (-34817.67341382452 6555638.378094752 26.16, -34817.375849750126 6555638.774270894 26.18, -34817.087375409785 6555639.181337678 26.19, -34816.81708053732 6555639.610185752 26.2, -34816.56676604424 6555640.040834735 26.22, -34816.335531474324 6555640.4832748175 26.23, -34816.11338663718 6555640.936605544 26.25, -34815.91122217884 6555641.39173718 26.26, -34815.738127833 6555641.859560371 26.27, -34815.576824587304 6555642.3083036365 26.28, -34815.57502367522 6555642.32828402 26.29, -34815.4210092501 6555642.807898312 26.3, -34815.296064936556 6555643.300204158 26.310000000000002, -34815.19200145721 6555643.784320724 26.32, -34815.10701789893 6555644.280228393 26.34, -34815.03202452883 6555644.777036516 26.35, -34814.987001725705 6555645.276546009 26.36, -34814.961959300446 6555645.777856411 26.37, -34814.94780751853 6555646.270077081 26.38, -34814.96272584796 6555646.774989307 26.400000000000002, -34814.9885348212 6555647.270811802 26.41, -34815.04431436118 6555647.769335665 26.42, -34815.110084088985 6555648.2687599845 26.43, -34815.19673465041 6555648.759995029 26.44, -34815.30336558982 6555649.253030983 26.45, -34815.31065441028 6555649.28390201 26.45, -34815.43087736284 6555649.737877664 26.46, -34815.579269969836 6555650.21453507 26.47, -34815.68212874106 6555650.525946698 26.47, -34815.737652765005 6555650.692092931 26.47, -34815.92780704098 6555651.152371783 26.48, -34816.12795150478 6555651.613551096 26.490000000000002, -34816.33898661379 6555652.065640675 26.5, -34816.5808927475 6555652.5104414355 26.5, -34816.834589983104 6555652.936162275 26.51, -34817.09827740758 6555653.362783575 26.52, -34817.39373631426 6555653.772125867 26.52, -34817.690095676924 6555654.17147797 26.53, -34818.008236332564 6555654.552650609 26.53, -34818.336367177544 6555654.934723709 26.53, -34818.68717977323 6555655.288627151 26.54, -34819.04798255849 6555655.643431055 26.54, -34819.42147690477 6555655.969164847 26.54, -34819.81585208862 6555656.286709366 26.55, -34820.21112772997 6555656.594263696 26.55, -34820.61819447565 6555656.882738106 26.55, -34821.04704251711 6555657.15303305 26.55, -34821.477691473556 6555657.403347614 26.55, -34821.91923107824 6555657.644572451 26.55, -34822.363472055644 6555657.855826718 26.54, -34822.82859387214 6555658.058891709 26.54, -34823.29551660421 6555658.241976324 26.54, -34823.7642402529 6555658.405080558 26.54, -34824.24475500791 6555658.549104869 26.53, -34824.72617022181 6555658.683138992 26.53, -34825.220277000335 6555658.788103 26.52, -34825.706194504746 6555658.872186173 26.52, -34825.90419740032 6555658.910175702 26.52, -34826.04406006774 6555658.922782103 26.52, -34826.20300265914 6555658.947179613 26.51, -34826.702512187534 6555658.99220248 26.5, -34827.20292217564 6555659.027235158 26.490000000000002, -34827.70603353751 6555659.032297267 26.48, -34828.2100453591 6555659.027369184 26.47, -34828.675897334935 6555658.998858885 26.46, -34828.70586790703 6555659.001560259 26.46, -34829.20439182967 6555658.945780761 26.44, -34829.22437221126 6555658.947581675 26.44, -34829.70381621143 6555658.880011072 26.43, -34830.041596626164 6555658.819814451 26.42, -34830.195051318966 6555658.793360547 26.42, -34830.359396660235 6555658.757816911 26.41, -34830.68808734347 6555658.686729638 26.41, -34831.17293409398 6555658.559217887 26.39, -34831.64869111264 6555658.420815486 26.38, -34832.117159314104 6555658.251542057 26.37, -34832.58652797458 6555658.072278433 26.36, -34833.04770736059 6555657.87213397 26.34, -34833.50069747167 6555657.651108663 26.330000000000002, -34833.94459784997 6555657.419192704 26.32, -34834.370318761794 6555657.165495451 26.3, -34834.79694013181 6555656.901808005 26.29, -34835.205382035114 6555656.616339254 26.27, -34835.59384355624 6555656.32906959 26.26, -34835.60563466209 6555656.309989667 26.26, -34835.99679755571 6555655.9927494265 26.240000000000002, -34836.36888052395 6555655.663718079 26.23, -34836.732774216216 6555655.313805884 26.21, -34837.07758798206 6555654.952102586 26.2, -34837.41331201361 6555654.579508638 26.18, -34837.72995611897 6555654.195123582 26.17, -34838.03751048935 6555653.799847874 26.150000000000002, -34838.3259849333 6555653.392781057 26.13, -34838.59627990774 6555652.963932939 26.12, -34838.846594497096 6555652.533283912 26.1, -34839.08781935135 6555652.091744227 26.09, -34839.30906382075 6555651.6484036315 26.07, -34839.51212881948 6555651.183281735 26.060000000000002, -34839.695213433006 6555650.716358921 26.04, -34839.85831766168 6555650.247635194 26.03, -34840.00234196137 6555649.767120361 26.01, -34840.04401847487 6555649.639949235 26.01, -34840.13637606788 6555649.28570507 26, -34840.24134005362 6555648.791598213 25.98, -34840.33541338914 6555648.306581093 25.97, -34840.40041660401 6555647.808872408 25.96, -34840.45542962453 6555647.310263267 25.94, -34840.48047206714 6555646.808952757 25.93, -34840.49552431586 6555646.306741789 25.92, -34840.48969572212 6555645.812720102 25.900000000000002, -34840.45479700726 6555645.306006851 25.89, -34840.420883918414 6555644.900095979 25.88, -34840.4090076416 6555644.80838334 25.88, -34840.34323789016 6555644.308958913 25.87, -34840.28484213306 6555643.951198086 25.87, -34840.256587296724 6555643.817723766 25.86, -34840.236521739746 6555643.705130284 25.86, -34840.14995631727 6555643.324687707 25.86, -34840.03243468772 6555642.840741388 25.85, -34839.88404202461 6555642.364083887 25.84, -34839.72565916763 6555641.886525937 25.830000000000002, -34839.57825213228 6555641.510670816 25.830000000000002, -34839.54549501301 6555641.427147459 25.830000000000002, -34839.34535047319 6555640.965968069 25.82, -34839.12432509218 6555640.512977958 25.82, -34838.89240906178 6555640.069077589 25.810000000000002, -34838.63961219066 6555639.633366501 25.810000000000002, -34838.37502421485 6555639.216735342 25.810000000000002, -34838.090455854544 6555638.798303272 25.8, -34837.78410619777 6555638.398050678 25.8, -34837.47595562949 6555638.017778471 25.8, -34837.137834485504 6555637.634804898 25.8, -34836.79791242967 6555637.27181171 25.8, -34836.43620907923 6555636.92699799 25.8, -34836.063615080784 6555636.591274019 25.8, -34835.67922998045 6555636.274629974 25.8, -34835.283954233164 6555635.967075663 25.810000000000002, -34834.86689719197 6555635.677700832 25.810000000000002, -34834.4480392409 6555635.408306381 25.810000000000002, -34834.01829064323 6555635.148001671 25.82, -34833.575850488734 6555634.916767083 25.82, -34833.23880016431 6555634.745388462 25.830000000000002, -34833.13250988023 6555634.695522687 25.830000000000002, -34832.667387979105 6555634.492457766 25.830000000000002, -34832.56109769503 6555634.442591993 25.830000000000002, -34832.20136562432 6555634.299383035 25.84, -34831.732641904615 6555634.136278884 25.85, -34831.25212708488 6555633.992254659 25.85, -34830.77071181126 6555633.858220628 25.86, -34830.28659517376 6555633.754157172 25.87, -34829.79158789164 6555633.659183451 25.88, -34829.68259624415 6555633.63928825 25.88, -34829.29477970104 6555633.5841901135 25.89, -34828.79527014645 6555633.539167351 25.89, -34828.29486013902 6555633.50413478 25.900000000000002, -34827.79264922277 6555633.489082593 25.91, -34827.2986275896 6555633.49491124 25.91, -34826.79191440169 6555633.529810006 25.92, -34826.294290951686 6555633.57559942 25.93, -34825.79486659332 6555633.641369213 25.94, -34825.30453197239 6555633.718029655 25.95, -34824.811495988164 6555633.824660664 25.96, -34824.32664928585 6555633.952172511 25.97, -34823.850892320974 6555634.090575005 25.98, -34823.373334447504 6555634.248957875 25.990000000000002, -34822.903965855716 6555634.428221586 26, -34822.45277673635 6555634.6292665815 26.01, -34821.99978670722 6555634.850291964 26.02, -34821.55588641518 6555635.082207984 26.03, -34821.227280951105 6555635.264087869 26.04, -34821.120175404474 6555635.335004838 26.04, -34820.69355412945 6555635.59869234 26.060000000000002, -34820.28511232522 6555635.884161133 26.07, -34819.88576025725 6555636.180520567 26.080000000000002, -34819.494597469806 6555636.497760831 26.09, -34819.112524416996 6555636.825891743 26.11, -34818.74863083428 6555637.175803945 26.12, -34818.40471763187 6555637.527517054 26.13, -34818.06899370882 6555637.900110997 26.150000000000002, -34817.75234971056 6555638.284496039 26.16, -34817.67341382452 6555638.378094752 26.16)</t>
  </si>
  <si>
    <t>POLYGON Z ((-34817.67341382452 6555638.378094752 26.16, -34817.375849750126 6555638.774270894 26.18, -34817.087375409785 6555639.181337678 26.19, -34816.81708053732 6555639.610185752 26.2, -34816.56676604424 6555640.040834735 26.22, -34816.335531474324 6555640.4832748175 26.23, -34816.11338663718 6555640.936605544 26.25, -34815.91122217884 6555641.39173718 26.26, -34815.738127833 6555641.859560371 26.27, -34815.576824587304 6555642.3083036365 26.28, -34815.57502367522 6555642.32828402 26.29, -34815.4210092501 6555642.807898312 26.3, -34815.296064936556 6555643.300204158 26.310000000000002, -34815.19200145721 6555643.784320724 26.32, -34815.10701789893 6555644.280228393 26.34, -34815.03202452883 6555644.777036516 26.35, -34814.987001725705 6555645.276546009 26.36, -34814.961959300446 6555645.777856411 26.37, -34814.94780751853 6555646.270077081 26.38, -34814.96272584796 6555646.774989307 26.400000000000002, -34814.9885348212 6555647.270811802 26.41, -34815.04431436118 6555647.769335665 26.42, -34815.110084088985 6555648.2687599845 26.43, -34815.19673465041 6555648.759995029 26.44, -34815.30336558982 6555649.253030983 26.45, -34815.31065441028 6555649.28390201 26.45, -34815.43087736284 6555649.737877664 26.46, -34815.579269969836 6555650.21453507 26.47, -34815.68212874106 6555650.525946698 26.47, -34815.737652765005 6555650.692092931 26.47, -34815.92780704098 6555651.152371783 26.48, -34816.12795150478 6555651.613551096 26.490000000000002, -34816.33898661379 6555652.065640675 26.5, -34816.5808927475 6555652.5104414355 26.5, -34816.834589983104 6555652.936162275 26.51, -34817.09827740758 6555653.362783575 26.52, -34817.39373631426 6555653.772125867 26.52, -34817.690095676924 6555654.17147797 26.53, -34818.008236332564 6555654.552650609 26.53, -34818.336367177544 6555654.934723709 26.53, -34818.68717977323 6555655.288627151 26.54, -34819.04798255849 6555655.643431055 26.54, -34819.42147690477 6555655.969164847 26.54, -34819.81585208862 6555656.286709366 26.55, -34820.21112772997 6555656.594263696 26.55, -34820.61819447565 6555656.882738106 26.55, -34821.04704251711 6555657.15303305 26.55, -34821.477691473556 6555657.403347614 26.55, -34821.91923107824 6555657.644572451 26.55, -34822.363472055644 6555657.855826718 26.54, -34822.82859387214 6555658.058891709 26.54, -34823.29551660421 6555658.241976324 26.54, -34823.7642402529 6555658.405080558 26.54, -34824.24475500791 6555658.549104869 26.53, -34824.72617022181 6555658.683138992 26.53, -34825.220277000335 6555658.788103 26.52, -34825.706194504746 6555658.872186173 26.52, -34825.90419740032 6555658.910175702 26.52, -34826.04406006774 6555658.922782103 26.52, -34826.20300265914 6555658.947179613 26.51, -34826.702512187534 6555658.99220248 26.5, -34827.20292217564 6555659.027235158 26.490000000000002, -34827.70603353751 6555659.032297267 26.48, -34828.2100453591 6555659.027369184 26.47, -34828.675897334935 6555658.998858885 26.46, -34828.70586790703 6555659.001560259 26.46, -34829.20439182967 6555658.945780761 26.44, -34829.22437221126 6555658.947581675 26.44, -34829.70381621143 6555658.880011072 26.43, -34830.041596626164 6555658.819814451 26.42, -34830.195051318966 6555658.793360547 26.42, -34830.359396660235 6555658.757816911 26.41, -34830.68808734347 6555658.686729638 26.41, -34831.17293409398 6555658.559217887 26.39, -34831.64869111264 6555658.420815486 26.38, -34832.117159314104 6555658.251542057 26.37, -34832.58652797458 6555658.072278433 26.36, -34833.04770736059 6555657.87213397 26.34, -34833.50069747167 6555657.651108663 26.330000000000002, -34833.94459784997 6555657.419192704 26.32, -34834.370318761794 6555657.165495451 26.3, -34834.79694013181 6555656.901808005 26.29, -34835.205382035114 6555656.616339254 26.27, -34835.59384355624 6555656.32906959 26.26, -34835.60563466209 6555656.309989667 26.26, -34835.99679755571 6555655.9927494265 26.240000000000002, -34836.36888052395 6555655.663718079 26.23, -34836.732774216216 6555655.313805884 26.21, -34837.07758798206 6555654.952102586 26.2, -34837.41331201361 6555654.579508638 26.18, -34837.72995611897 6555654.195123582 26.17, -34838.03751048935 6555653.799847874 26.150000000000002, -34838.3259849333 6555653.392781057 26.13, -34838.59627990774 6555652.963932939 26.12, -34838.846594497096 6555652.533283912 26.1, -34839.08781935135 6555652.091744227 26.09, -34839.30906382075 6555651.6484036315 26.07, -34839.51212881948 6555651.183281735 26.060000000000002, -34839.695213433006 6555650.716358921 26.04, -34839.85831766168 6555650.247635194 26.03, -34840.00234196137 6555649.767120361 26.01, -34840.04401847487 6555649.639949235 26.01, -34840.13637606788 6555649.28570507 26, -34840.24134005362 6555648.791598213 25.98, -34840.33541338914 6555648.306581093 25.97, -34840.40041660401 6555647.808872408 25.96, -34840.45542962453 6555647.310263267 25.94, -34840.48047206714 6555646.808952757 25.93, -34840.49552431586 6555646.306741789 25.92, -34840.48969572212 6555645.812720102 25.900000000000002, -34840.45479700726 6555645.306006851 25.89, -34840.420883918414 6555644.900095979 25.88, -34840.4090076416 6555644.80838334 25.88, -34840.34323789016 6555644.308958913 25.87, -34840.28484213306 6555643.951198086 25.87, -34840.256587296724 6555643.817723766 25.86, -34840.236521739746 6555643.705130284 25.86, -34840.14995631727 6555643.324687707 25.86, -34840.03243468772 6555642.840741388 25.85, -34839.88404202461 6555642.364083887 25.84, -34839.72565916763 6555641.886525937 25.830000000000002, -34839.57825213228 6555641.510670816 25.830000000000002, -34839.54549501301 6555641.427147459 25.830000000000002, -34839.34535047319 6555640.965968069 25.82, -34839.12432509218 6555640.512977958 25.82, -34838.89240906178 6555640.069077589 25.810000000000002, -34838.63961219066 6555639.633366501 25.810000000000002, -34838.37502421485 6555639.216735342 25.810000000000002, -34838.090455854544 6555638.798303272 25.8, -34837.78410619777 6555638.398050678 25.8, -34837.47595562949 6555638.017778471 25.8, -34837.137834485504 6555637.634804898 25.8, -34836.79791242967 6555637.27181171 25.8, -34836.43620907923 6555636.92699799 25.8, -34836.063615080784 6555636.591274019 25.8, -34835.67922998045 6555636.274629974 25.8, -34835.283954233164 6555635.967075663 25.810000000000002, -34834.86689719197 6555635.677700832 25.810000000000002, -34834.4480392409 6555635.408306381 25.810000000000002, -34834.01829064323 6555635.148001671 25.82, -34833.575850488734 6555634.916767083 25.82, -34833.23880016431 6555634.745388462 25.830000000000002, -34833.13250988023 6555634.695522687 25.830000000000002, -34832.667387979105 6555634.492457766 25.830000000000002, -34832.56109769503 6555634.442591993 25.830000000000002, -34832.20136562432 6555634.299383035 25.84, -34831.732641904615 6555634.136278884 25.85, -34831.25212708488 6555633.992254659 25.85, -34830.77071181126 6555633.858220628 25.86, -34830.28659517376 6555633.754157172 25.87, -34829.79158789164 6555633.659183451 25.88, -34829.68259624415 6555633.63928825 25.88, -34829.29477970104 6555633.5841901135 25.89, -34828.79527014645 6555633.539167351 25.89, -34828.29486013902 6555633.50413478 25.900000000000002, -34827.79264922277 6555633.489082593 25.91, -34827.2986275896 6555633.49491124 25.91, -34826.79191440169 6555633.529810006 25.92, -34826.294290951686 6555633.57559942 25.93, -34825.79486659332 6555633.641369213 25.94, -34825.30453197239 6555633.718029655 25.95, -34824.811495988164 6555633.824660664 25.96, -34824.32664928585 6555633.952172511 25.97, -34823.850892320974 6555634.090575005 25.98, -34823.373334447504 6555634.248957875 25.990000000000002, -34822.903965855716 6555634.428221586 26, -34822.45277673635 6555634.6292665815 26.01, -34821.99978670722 6555634.850291964 26.02, -34821.55588641518 6555635.082207984 26.03, -34821.227280951105 6555635.264087869 26.04, -34821.120175404474 6555635.335004838 26.04, -34820.69355412945 6555635.59869234 26.060000000000002, -34820.28511232522 6555635.884161133 26.07, -34819.88576025725 6555636.180520567 26.080000000000002, -34819.494597469806 6555636.497760831 26.09, -34819.112524416996 6555636.825891743 26.11, -34818.74863083428 6555637.175803945 26.12, -34818.40471763187 6555637.527517054 26.13, -34818.06899370882 6555637.900110997 26.150000000000002, -34817.75234971056 6555638.284496039 26.16, -34817.67341382452 6555638.378094752 26.16))</t>
  </si>
  <si>
    <t>['FV505 S4D10 m4-14']</t>
  </si>
  <si>
    <t>LINESTRING Z (-34813.47307840898 6555661.737677204 26.78, -34813.42132654716 6555661.753155295 26.78, -34813.28515088197 6555661.811380676 26.79, -34813.22250837309 6555661.8359485 26.79, -34813.09722335532 6555661.885084148 26.79, -34812.941067312146 6555661.94150861 26.79, -34812.90929582913 6555661.958787615 26.79, -34812.846653320594 6555661.983355439 26.8, -34812.80489164812 6555661.999733988 26.8, -34812.72136830329 6555662.032491086 26.8, -34812.543430966674 6555662.107095016 26.8, -34812.490778647596 6555662.132563295 26.8, -34812.470798268914 6555662.130762381 26.8, -34812.35550344095 6555662.180798487 26.8, -34812.24020861334 6555662.230834592 26.810000000000002, -34812.1666754582 6555662.264492146 26.810000000000002, -34812.04139044136 6555662.313627793 26.810000000000002, -34811.98873812263 6555662.339096072 26.810000000000002, -34811.79991014046 6555662.42278973 26.82, -34811.62197280512 6555662.497393659 26.82, -34811.43314482353 6555662.581087315 26.830000000000002, -34811.254307031166 6555662.665681431 26.830000000000002, -34811.06547904981 6555662.749375091 26.84, -34810.88664125814 6555662.833969206 26.84, -34810.70780346624 6555662.918563322 26.85, -34810.51897548593 6555663.002256976 26.86, -34810.34013769473 6555663.086851092 26.86, -34810.160399446264 6555663.181435396 26.87, -34809.981561655295 6555663.266029512 26.87, -34809.80272386491 6555663.350623625 26.88, -34809.62298561749 6555663.445207926 26.88, -34809.44324736972 6555663.539792228 26.89, -34809.2644095798 6555663.624386343 26.89, -34809.094661521725 6555663.719871102 26.900000000000002, -34808.91492327512 6555663.814455402 26.900000000000002, -34808.73518502794 6555663.909039706 26.91, -34808.5554467818 6555664.003624004 26.91, -34808.38479826704 6555664.1090989495 26.92, -34808.20506002032 6555664.203683256 26.93, -34808.03531196364 6555664.29916801 26.93, -34807.86466344923 6555664.404642957 26.94, -34807.684925203794 6555664.4992272565 26.94, -34807.5142766902 6555664.604702201 26.95, -34807.34452863352 6555664.7001869595 26.95, -34807.173880119924 6555664.805661902 26.96, -34807.109436698374 6555664.850210103 26.96, -34806.99324141734 6555664.910236394 26.96, -34806.82259290409 6555665.015711336 26.97, -34806.75814948324 6555665.060259534 26.97, -34806.65194439108 6555665.121186281 26.97, -34806.481295878184 6555665.226661224 26.98, -34806.45951458532 6555665.244840685 26.98, -34806.32063755405 6555665.333036626 26.98, -34806.14908858354 6555665.44850176 26.990000000000002, -34806.12820774829 6555665.456691033 26.990000000000002, -34805.97844007134 6555665.553976701 26.990000000000002, -34805.817781747435 6555665.6603521025 27, -34805.646232777624 6555665.775817234 27.01, -34805.49646510079 6555665.873102902 27.01, -34805.47558426566 6555665.881292176 27.01, -34805.314025484724 6555665.997657766 27.02, -34805.17604891199 6555666.075863517 27.02, -34805.13428724208 6555666.092242058 27.02, -34804.940871826606 6555666.115094116 27.03, -34804.74466988398 6555666.05712421 27.03, -34804.59473190026 6555665.932824811 27.03, -34804.5001476059 6555665.753086569 27.03, -34804.488186193514 6555665.550581421 27.03, -34804.53076316661 6555665.413420155 27.03, -34804.545255643665 6555665.364369666 27.02, -34804.67954522965 6555665.215332138 27.02, -34804.81383481575 6555665.066294613 27.01, -34804.93903467106 6555664.906366435 27.01, -34805.01616965234 6555664.832748129 27, -34805.07332425669 6555664.757328907 27, -34805.20761384303 6555664.608291375 26.990000000000002, -34805.318321220926 6555664.49741369 26.990000000000002, -34805.34190342901 6555664.4592538485 26.990000000000002, -34805.47619301488 6555664.310216319 26.98, -34805.52065605775 6555664.263867207 26.98, -34805.6104826011 6555664.161178787 26.98, -34805.744772186736 6555664.012141259 26.97, -34805.81281743769 6555663.927632302 26.97, -34805.87906177284 6555663.863103727 26.96, -34806.004261627444 6555663.70317555 26.96, -34806.138551213546 6555663.554138019 26.96, -34806.26285061077 6555663.404200027 26.95, -34806.38805046491 6555663.244271851 26.94, -34806.522340051015 6555663.095234317 26.94, -34806.64753990527 6555662.935306137 26.93, -34806.77183930215 6555662.785368146 26.93, -34806.89703915641 6555662.625439967 26.92, -34807.02223901055 6555662.465511789 26.92, -34807.14743886469 6555662.305583607 26.91, -34807.272638718714 6555662.145655424 26.91, -34807.386947926716 6555661.994816977 26.900000000000002, -34807.512147780275 6555661.834888795 26.89, -34807.627357445424 6555661.674060154 26.89, -34807.7525572991 6555661.514131973 26.88, -34807.86866742128 6555661.3433131445 26.88, -34807.98387708573 6555661.182484505 26.87, -34808.109076939756 6555661.022556319 26.87, -34808.22428660374 6555660.861727681 26.86, -34808.340396725456 6555660.69090885 26.86, -34808.45560639002 6555660.530080206 26.85, -34808.570816054125 6555660.369251567 26.84, -34808.67693598627 6555660.1975322785 26.84, -34808.792145650135 6555660.036703636 26.830000000000002, -34808.9082557715 6555659.865884801 26.830000000000002, -34809.013475245796 6555659.704155704 26.82, -34809.03705745342 6555659.665995859 26.82, -34809.12958536716 6555659.53333687 26.82, -34809.189441341674 6555659.427947076 26.810000000000002, -34809.235705298604 6555659.361617581 26.810000000000002, -34809.28196925577 6555659.295288082 26.810000000000002, -34809.340924773365 6555659.199888474 26.8, -34809.42256204027 6555659.076319219 26.8, -34809.44704470434 6555659.028169188 26.8, -34809.51689086808 6555658.923679851 26.79, -34809.54047307512 6555658.885520005 26.79, -34809.55316463555 6555658.856449898 26.79, -34809.5994285926 6555658.790120399 26.79, -34809.62391125609 6555658.74197037 26.78, -34809.659284566995 6555658.684730604 26.78, -34809.76540449774 6555658.513011313 26.77, -34809.84794222168 6555658.3794518635 26.77, -34809.87152442837 6555658.341292025 26.77, -34809.97764435923 6555658.169572731 26.76, -34810.00122656638 6555658.131412884 26.76, -34810.013918126584 6555658.102342776 26.76, -34810.04929143691 6555658.04510301 26.76, -34810.07377410075 6555657.99695298 26.75, -34810.17989403091 6555657.825233686 26.75, -34810.32327334734 6555657.687086786 26.740000000000002, -34810.50121067767 6555657.612482857 26.73, -34810.70281537657 6555657.610511619 26.73, -34810.79002570885 6555657.6485863 26.73, -34810.858156119706 6555657.674869876 26.73, -34810.88722623023 6555657.687561437 26.73, -34811.02537312743 6555657.830940754 26.73, -34811.1335494566 6555657.971618703 26.73, -34811.14173873165 6555657.992499536 26.73, -34811.258104335866 6555658.15405832 26.73, -34811.30265253945 6555658.218501744 26.740000000000002, -34811.35629047558 6555658.29383581 26.740000000000002, -34811.37446993985 6555658.315617102 26.740000000000002, -34811.50082573306 6555658.478076342 26.740000000000002, -34811.617191336816 6555658.639635126 26.740000000000002, -34811.644460533396 6555658.672307067 26.740000000000002, -34811.66263999732 6555658.694088361 26.740000000000002, -34811.74444758694 6555658.792104177 26.740000000000002, -34811.81536452961 6555658.89920973 26.740000000000002, -34811.870803379454 6555658.954563422 26.75, -34811.90716230823 6555658.998126007 26.75, -34811.988069440355 6555659.106132015 26.75, -34812.1144252331 6555659.268591258 26.75, -34812.25167167233 6555659.421960766 26.75, -34812.26985113637 6555659.443742063 26.75, -34812.36074845749 6555659.552648529 26.75, -34812.37892792211 6555659.574429818 26.75, -34812.46163596818 6555659.662455453 26.75, -34812.5070846288 6555659.716908686 26.75, -34812.53435382503 6555659.749580625 26.75, -34812.5525332893 6555659.771361919 26.75, -34812.6443310678 6555659.870278197 26.75, -34812.78157750657 6555660.02364771 26.76, -34812.91972440295 6555660.167027032 26.76, -34812.93790386722 6555660.188808324 26.76, -34813.02061191329 6555660.276833958 26.76, -34813.057871299214 6555660.310406353 26.76, -34813.176938273595 6555660.441994573 26.76, -34813.196018195245 6555660.4537856765 26.76, -34813.33416509151 6555660.597164999 26.76, -34813.47231198754 6555660.740544322 26.76, -34813.53774102684 6555660.796798473 26.76, -34813.59317987668 6555660.852152165 26.76, -34813.620449072914 6555660.884824106 26.76, -34813.747705321875 6555661.037293165 26.77, -34813.79323914088 6555661.202538937 26.77, -34813.80052795762 6555661.2334099645 26.77, -34813.78513502341 6555661.292450647 26.77, -34813.77252861974 6555661.432313298 26.77, -34813.749846868566 6555661.460482953 26.77, -34813.700881536584 6555661.556783019 26.78, -34813.6763988703 6555661.604933051 26.78, -34813.51484008157 6555661.721298655 26.78, -34813.47307840898 6555661.737677204 26.78)</t>
  </si>
  <si>
    <t>POLYGON Z ((-34813.47307840898 6555661.737677204 26.78, -34813.42132654716 6555661.753155295 26.78, -34813.28515088197 6555661.811380676 26.79, -34813.22250837309 6555661.8359485 26.79, -34813.09722335532 6555661.885084148 26.79, -34812.941067312146 6555661.94150861 26.79, -34812.90929582913 6555661.958787615 26.79, -34812.846653320594 6555661.983355439 26.8, -34812.80489164812 6555661.999733988 26.8, -34812.72136830329 6555662.032491086 26.8, -34812.543430966674 6555662.107095016 26.8, -34812.490778647596 6555662.132563295 26.8, -34812.470798268914 6555662.130762381 26.8, -34812.35550344095 6555662.180798487 26.8, -34812.24020861334 6555662.230834592 26.810000000000002, -34812.1666754582 6555662.264492146 26.810000000000002, -34812.04139044136 6555662.313627793 26.810000000000002, -34811.98873812263 6555662.339096072 26.810000000000002, -34811.79991014046 6555662.42278973 26.82, -34811.62197280512 6555662.497393659 26.82, -34811.43314482353 6555662.581087315 26.830000000000002, -34811.254307031166 6555662.665681431 26.830000000000002, -34811.06547904981 6555662.749375091 26.84, -34810.88664125814 6555662.833969206 26.84, -34810.70780346624 6555662.918563322 26.85, -34810.51897548593 6555663.002256976 26.86, -34810.34013769473 6555663.086851092 26.86, -34810.160399446264 6555663.181435396 26.87, -34809.981561655295 6555663.266029512 26.87, -34809.80272386491 6555663.350623625 26.88, -34809.62298561749 6555663.445207926 26.88, -34809.44324736972 6555663.539792228 26.89, -34809.2644095798 6555663.624386343 26.89, -34809.094661521725 6555663.719871102 26.900000000000002, -34808.91492327512 6555663.814455402 26.900000000000002, -34808.73518502794 6555663.909039706 26.91, -34808.5554467818 6555664.003624004 26.91, -34808.38479826704 6555664.1090989495 26.92, -34808.20506002032 6555664.203683256 26.93, -34808.03531196364 6555664.29916801 26.93, -34807.86466344923 6555664.404642957 26.94, -34807.684925203794 6555664.4992272565 26.94, -34807.5142766902 6555664.604702201 26.95, -34807.34452863352 6555664.7001869595 26.95, -34807.173880119924 6555664.805661902 26.96, -34807.109436698374 6555664.850210103 26.96, -34806.99324141734 6555664.910236394 26.96, -34806.82259290409 6555665.015711336 26.97, -34806.75814948324 6555665.060259534 26.97, -34806.65194439108 6555665.121186281 26.97, -34806.481295878184 6555665.226661224 26.98, -34806.45951458532 6555665.244840685 26.98, -34806.32063755405 6555665.333036626 26.98, -34806.14908858354 6555665.44850176 26.990000000000002, -34806.12820774829 6555665.456691033 26.990000000000002, -34805.97844007134 6555665.553976701 26.990000000000002, -34805.817781747435 6555665.6603521025 27, -34805.646232777624 6555665.775817234 27.01, -34805.49646510079 6555665.873102902 27.01, -34805.47558426566 6555665.881292176 27.01, -34805.314025484724 6555665.997657766 27.02, -34805.17604891199 6555666.075863517 27.02, -34805.13428724208 6555666.092242058 27.02, -34804.940871826606 6555666.115094116 27.03, -34804.74466988398 6555666.05712421 27.03, -34804.59473190026 6555665.932824811 27.03, -34804.5001476059 6555665.753086569 27.03, -34804.488186193514 6555665.550581421 27.03, -34804.53076316661 6555665.413420155 27.03, -34804.545255643665 6555665.364369666 27.02, -34804.67954522965 6555665.215332138 27.02, -34804.81383481575 6555665.066294613 27.01, -34804.93903467106 6555664.906366435 27.01, -34805.01616965234 6555664.832748129 27, -34805.07332425669 6555664.757328907 27, -34805.20761384303 6555664.608291375 26.990000000000002, -34805.318321220926 6555664.49741369 26.990000000000002, -34805.34190342901 6555664.4592538485 26.990000000000002, -34805.47619301488 6555664.310216319 26.98, -34805.52065605775 6555664.263867207 26.98, -34805.6104826011 6555664.161178787 26.98, -34805.744772186736 6555664.012141259 26.97, -34805.81281743769 6555663.927632302 26.97, -34805.87906177284 6555663.863103727 26.96, -34806.004261627444 6555663.70317555 26.96, -34806.138551213546 6555663.554138019 26.96, -34806.26285061077 6555663.404200027 26.95, -34806.38805046491 6555663.244271851 26.94, -34806.522340051015 6555663.095234317 26.94, -34806.64753990527 6555662.935306137 26.93, -34806.77183930215 6555662.785368146 26.93, -34806.89703915641 6555662.625439967 26.92, -34807.02223901055 6555662.465511789 26.92, -34807.14743886469 6555662.305583607 26.91, -34807.272638718714 6555662.145655424 26.91, -34807.386947926716 6555661.994816977 26.900000000000002, -34807.512147780275 6555661.834888795 26.89, -34807.627357445424 6555661.674060154 26.89, -34807.7525572991 6555661.514131973 26.88, -34807.86866742128 6555661.3433131445 26.88, -34807.98387708573 6555661.182484505 26.87, -34808.109076939756 6555661.022556319 26.87, -34808.22428660374 6555660.861727681 26.86, -34808.340396725456 6555660.69090885 26.86, -34808.45560639002 6555660.530080206 26.85, -34808.570816054125 6555660.369251567 26.84, -34808.67693598627 6555660.1975322785 26.84, -34808.792145650135 6555660.036703636 26.830000000000002, -34808.9082557715 6555659.865884801 26.830000000000002, -34809.013475245796 6555659.704155704 26.82, -34809.03705745342 6555659.665995859 26.82, -34809.12958536716 6555659.53333687 26.82, -34809.189441341674 6555659.427947076 26.810000000000002, -34809.235705298604 6555659.361617581 26.810000000000002, -34809.28196925577 6555659.295288082 26.810000000000002, -34809.340924773365 6555659.199888474 26.8, -34809.42256204027 6555659.076319219 26.8, -34809.44704470434 6555659.028169188 26.8, -34809.51689086808 6555658.923679851 26.79, -34809.54047307512 6555658.885520005 26.79, -34809.55316463555 6555658.856449898 26.79, -34809.5994285926 6555658.790120399 26.79, -34809.62391125609 6555658.74197037 26.78, -34809.659284566995 6555658.684730604 26.78, -34809.76540449774 6555658.513011313 26.77, -34809.84794222168 6555658.3794518635 26.77, -34809.87152442837 6555658.341292025 26.77, -34809.97764435923 6555658.169572731 26.76, -34810.00122656638 6555658.131412884 26.76, -34810.013918126584 6555658.102342776 26.76, -34810.04929143691 6555658.04510301 26.76, -34810.07377410075 6555657.99695298 26.75, -34810.17989403091 6555657.825233686 26.75, -34810.32327334734 6555657.687086786 26.740000000000002, -34810.50121067767 6555657.612482857 26.73, -34810.70281537657 6555657.610511619 26.73, -34810.79002570885 6555657.6485863 26.73, -34810.858156119706 6555657.674869876 26.73, -34810.88722623023 6555657.687561437 26.73, -34811.02537312743 6555657.830940754 26.73, -34811.1335494566 6555657.971618703 26.73, -34811.14173873165 6555657.992499536 26.73, -34811.258104335866 6555658.15405832 26.73, -34811.30265253945 6555658.218501744 26.740000000000002, -34811.35629047558 6555658.29383581 26.740000000000002, -34811.37446993985 6555658.315617102 26.740000000000002, -34811.50082573306 6555658.478076342 26.740000000000002, -34811.617191336816 6555658.639635126 26.740000000000002, -34811.644460533396 6555658.672307067 26.740000000000002, -34811.66263999732 6555658.694088361 26.740000000000002, -34811.74444758694 6555658.792104177 26.740000000000002, -34811.81536452961 6555658.89920973 26.740000000000002, -34811.870803379454 6555658.954563422 26.75, -34811.90716230823 6555658.998126007 26.75, -34811.988069440355 6555659.106132015 26.75, -34812.1144252331 6555659.268591258 26.75, -34812.25167167233 6555659.421960766 26.75, -34812.26985113637 6555659.443742063 26.75, -34812.36074845749 6555659.552648529 26.75, -34812.37892792211 6555659.574429818 26.75, -34812.46163596818 6555659.662455453 26.75, -34812.5070846288 6555659.716908686 26.75, -34812.53435382503 6555659.749580625 26.75, -34812.5525332893 6555659.771361919 26.75, -34812.6443310678 6555659.870278197 26.75, -34812.78157750657 6555660.02364771 26.76, -34812.91972440295 6555660.167027032 26.76, -34812.93790386722 6555660.188808324 26.76, -34813.02061191329 6555660.276833958 26.76, -34813.057871299214 6555660.310406353 26.76, -34813.176938273595 6555660.441994573 26.76, -34813.196018195245 6555660.4537856765 26.76, -34813.33416509151 6555660.597164999 26.76, -34813.47231198754 6555660.740544322 26.76, -34813.53774102684 6555660.796798473 26.76, -34813.59317987668 6555660.852152165 26.76, -34813.620449072914 6555660.884824106 26.76, -34813.747705321875 6555661.037293165 26.77, -34813.79323914088 6555661.202538937 26.77, -34813.80052795762 6555661.2334099645 26.77, -34813.78513502341 6555661.292450647 26.77, -34813.77252861974 6555661.432313298 26.77, -34813.749846868566 6555661.460482953 26.77, -34813.700881536584 6555661.556783019 26.78, -34813.6763988703 6555661.604933051 26.78, -34813.51484008157 6555661.721298655 26.78, -34813.47307840898 6555661.737677204 26.78))</t>
  </si>
  <si>
    <t>[2030]</t>
  </si>
  <si>
    <t>['KV2030 S1D1 m221-224']</t>
  </si>
  <si>
    <t>LINESTRING (251515.2766508308 6597353.560944376, 251513.77423058884 6597353.894651903, 251513.21814144705 6597354.690815353, 251514.06220162672 6597355.930647848, 251515.47117708065 6597355.3015588075, 251515.45452260322 6597353.928932739)</t>
  </si>
  <si>
    <t>POLYGON ((251515.2766508308 6597353.560944376, 251513.77423058884 6597353.894651903, 251513.21814144705 6597354.690815353, 251514.06220162672 6597355.930647848, 251515.47117708065 6597355.3015588075, 251515.45452260322 6597353.928932739, 251515.2766508308 6597353.560944376))</t>
  </si>
  <si>
    <t>[1255]</t>
  </si>
  <si>
    <t>['KV1255 S1D1 m17-26']</t>
  </si>
  <si>
    <t>LINESTRING (251772.6690663876 6596769.883456628, 251771.58556173628 6596770.18942232, 251770.27789073435 6596773.4809642965, 251770.3454824569 6596778.044389372, 251771.74119641568 6596778.332103615, 251772.7577783603 6596774.076931495, 251772.7933511725 6596770.042789476)</t>
  </si>
  <si>
    <t>POLYGON ((251772.6690663876 6596769.883456628, 251771.58556173628 6596770.18942232, 251770.27789073435 6596773.4809642965, 251770.3454824569 6596778.044389372, 251771.74119641568 6596778.332103615, 251772.7577783603 6596774.076931495, 251772.7933511725 6596770.042789476, 251772.6690663876 6596769.883456628))</t>
  </si>
  <si>
    <t>['KV1255 S1D1 m375-380']</t>
  </si>
  <si>
    <t>LINESTRING (251714.29210893754 6597115.017338048, 251713.7104734883 6597115.513601531, 251714.21320389982 6597120.807793121, 251714.9472333944 6597120.379658701, 251714.79763178588 6597118.111162996, 251714.39580680532 6597115.468405428)</t>
  </si>
  <si>
    <t>POLYGON ((251714.29210893754 6597115.017338048, 251713.7104734883 6597115.513601531, 251714.21320389982 6597120.807793121, 251714.9472333944 6597120.379658701, 251714.79763178588 6597118.111162996, 251714.39580680532 6597115.468405428, 251714.29210893754 6597115.017338048))</t>
  </si>
  <si>
    <t>[4440]</t>
  </si>
  <si>
    <t>['KV4440 S1D1 m690-703']</t>
  </si>
  <si>
    <t>LINESTRING (251729.48311235412 6597404.618362443, 251728.90311487482 6597404.879982418, 251727.827244293 6597412.8023537025, 251727.68312446517 6597417.603121606, 251728.51618237677 6597417.470001464, 251730.00230560187 6597409.989648629, 251729.67742143647 6597405.063453917)</t>
  </si>
  <si>
    <t>POLYGON ((251729.48311235412 6597404.618362443, 251728.90311487482 6597404.879982418, 251727.827244293 6597412.8023537025, 251727.68312446517 6597417.603121606, 251728.51618237677 6597417.470001464, 251730.00230560187 6597409.989648629, 251729.67742143647 6597405.063453917, 251729.48311235412 6597404.618362443))</t>
  </si>
  <si>
    <t>2023-11-14</t>
  </si>
  <si>
    <t>['KV4440 S1D110 m26-31']</t>
  </si>
  <si>
    <t>LINESTRING (251873.47888020994 6596745.280271235, 251874.68705081719 6596746.26165369, 251877.10406927462 6596742.450320242, 251875.32313586265 6596740.892418558, 251872.74804787038 6596744.63599076, 251873.16933529827 6596745.244827275)</t>
  </si>
  <si>
    <t>POLYGON ((251873.47888020994 6596745.280271235, 251874.68705081719 6596746.26165369, 251877.10406927462 6596742.450320242, 251875.32313586265 6596740.892418558, 251872.74804787038 6596744.63599076, 251873.16933529827 6596745.244827275, 251873.47888020994 6596745.280271235))</t>
  </si>
  <si>
    <t>[1940]</t>
  </si>
  <si>
    <t>['KV1940 S1D1 m5-12']</t>
  </si>
  <si>
    <t>LINESTRING (251336.09993255642 6596859.401355555, 251336.56574611765 6596857.237403263, 251336.99597770718 6596852.897937773, 251336.29035163237 6596853.067392242, 251335.28181015476 6596855.110827884, 251335.47235012386 6596859.632667324)</t>
  </si>
  <si>
    <t>POLYGON ((251336.09993255642 6596859.401355555, 251336.56574611765 6596857.237403263, 251336.99597770718 6596852.897937773, 251336.29035163237 6596853.067392242, 251335.28181015476 6596855.110827884, 251335.47235012386 6596859.632667324, 251336.09993255642 6596859.401355555))</t>
  </si>
  <si>
    <t>[1880]</t>
  </si>
  <si>
    <t>['KV1880 S1D1 m4-9']</t>
  </si>
  <si>
    <t>LINESTRING (253350.57962905348 6597839.11461418, 253350.29677939886 6597838.530075476, 253354.31704414787 6597835.831996403, 253354.74600162325 6597836.563313523, 253350.89903617385 6597839.562740841)</t>
  </si>
  <si>
    <t>POLYGON ((253350.57962905348 6597839.11461418, 253350.29677939886 6597838.530075476, 253354.31704414787 6597835.831996403, 253354.74600162325 6597836.563313523, 253350.89903617385 6597839.562740841, 253350.57962905348 6597839.11461418))</t>
  </si>
  <si>
    <t>[4240]</t>
  </si>
  <si>
    <t>['KV4240 S1D1 m444-455']</t>
  </si>
  <si>
    <t>LINESTRING (252307.8465855594 6597023.910201791, 252312.60762976998 6597017.420927042, 252313.8676086856 6597014.523631312, 252313.61105333143 6597014.082609643, 252306.96295166702 6597023.27590088, 252307.39785266898 6597024.006732702)</t>
  </si>
  <si>
    <t>POLYGON ((252307.8465855594 6597023.910201791, 252312.60762976998 6597017.420927042, 252313.8676086856 6597014.523631312, 252313.61105333143 6597014.082609643, 252306.96295166702 6597023.27590088, 252307.39785266898 6597024.006732702, 252307.8465855594 6597023.910201791))</t>
  </si>
  <si>
    <t>['KV4240 S1D1 m12-21']</t>
  </si>
  <si>
    <t>LINESTRING (252288.64815758937 6596603.3138662, 252285.66882964992 6596595.211830002, 252285.0378375189 6596594.873617766, 252285.20638916746 6596596.225059093, 252287.88909277492 6596603.363799908, 252288.22238886927 6596603.241360156)</t>
  </si>
  <si>
    <t>POLYGON ((252288.64815758937 6596603.3138662, 252285.66882964992 6596595.211830002, 252285.0378375189 6596594.873617766, 252285.20638916746 6596596.225059093, 252287.88909277492 6596603.363799908, 252288.22238886927 6596603.241360156, 252288.64815758937 6596603.3138662))</t>
  </si>
  <si>
    <t>[4280]</t>
  </si>
  <si>
    <t>['KV4280 S1D1 m6-13']</t>
  </si>
  <si>
    <t>LINESTRING (252440.7517641727 6596463.525104294, 252441.16474682285 6596462.883702524, 252443.49430775034 6596465.779485555, 252444.98546606032 6596468.730384922, 252444.7780615994 6596469.123739098, 252440.36198352848 6596463.3943730835)</t>
  </si>
  <si>
    <t>POLYGON ((252440.7517641727 6596463.525104294, 252441.16474682285 6596462.883702524, 252443.49430775034 6596465.779485555, 252444.98546606032 6596468.730384922, 252444.7780615994 6596469.123739098, 252440.36198352848 6596463.3943730835, 252440.7517641727 6596463.525104294))</t>
  </si>
  <si>
    <t>2023-11-20</t>
  </si>
  <si>
    <t>[5960]</t>
  </si>
  <si>
    <t>['KV5960 S1D1 m9-17']</t>
  </si>
  <si>
    <t>LINESTRING (253439.5386188171 6596430.363262114, 253440.40625194216 6596429.625209077, 253441.27248414527 6596426.519639068, 253442.725203752 6596423.07413537, 253442.5074528186 6596422.094443128, 253440.91504873434 6596422.276878271, 253439.570869116 6596425.034030286, 253438.98443715007 6596426.591269661, 253439.17080982734 6596430.2198244445)</t>
  </si>
  <si>
    <t>POLYGON ((253439.5386188171 6596430.363262114, 253440.40625194216 6596429.625209077, 253441.27248414527 6596426.519639068, 253442.725203752 6596423.07413537, 253442.5074528186 6596422.094443128, 253440.91504873434 6596422.276878271, 253439.570869116 6596425.034030286, 253438.98443715007 6596426.591269661, 253439.17080982734 6596430.2198244445, 253439.5386188171 6596430.363262114))</t>
  </si>
  <si>
    <t>2023-11-21</t>
  </si>
  <si>
    <t>[6140]</t>
  </si>
  <si>
    <t>['KV6140 S1D1 m6-22']</t>
  </si>
  <si>
    <t>LINESTRING (253333.04399561122 6596426.90646587, 253330.17278143376 6596426.413289173, 253328.23413358696 6596432.861361955, 253324.1306272439 6596440.132491705, 253325.05796873724 6596440.30627467, 253330.49249223672 6596434.768343889, 253335.59627649034 6596427.655063058, 253335.083356928 6596426.772884428, 253333.5645996141 6596426.95054133)</t>
  </si>
  <si>
    <t>POLYGON ((253333.04399561122 6596426.90646587, 253330.17278143376 6596426.413289173, 253328.23413358696 6596432.861361955, 253324.1306272439 6596440.132491705, 253325.05796873724 6596440.30627467, 253330.49249223672 6596434.768343889, 253335.59627649034 6596427.655063058, 253335.083356928 6596426.772884428, 253333.5645996141 6596426.95054133, 253333.04399561122 6596426.90646587))</t>
  </si>
  <si>
    <t>2023-08-29</t>
  </si>
  <si>
    <t>[13137]</t>
  </si>
  <si>
    <t>['KV13137 S1D1 m197-203']</t>
  </si>
  <si>
    <t>LINESTRING Z (258398.2289805231 6651177.320215876 11.41, 258398.79477587715 6651175.686105014 11.370000000000001, 258399.56518603658 6651173.580699078 11.35, 258399.59748225549 6651173.13184777 11.36, 258399.06623334964 6651172.552344565 11.34, 258398.3276889885 6651172.745860283 11.34, 258397.6794063534 6651173.547734797 11.35, 258396.81972162638 6651174.631485272 11.38, 258395.99814516207 6651175.6122263195 11.26, 258395.56684786332 6651176.131860065 11.41, 258395.5779836899 6651176.901754605 11.43, 258396.8164377275 6651178.09392027 11.44, 258397.57486778815 6651178.289998751 11.43, 258398.06684061262 6651177.755226531 11.42, 258398.2289805231 6651177.320215876 11.41)</t>
  </si>
  <si>
    <t>POLYGON Z ((258398.2289805231 6651177.320215876 11.41, 258398.79477587715 6651175.686105014 11.370000000000001, 258399.56518603658 6651173.580699078 11.35, 258399.59748225549 6651173.13184777 11.36, 258399.06623334964 6651172.552344565 11.34, 258398.3276889885 6651172.745860283 11.34, 258397.6794063534 6651173.547734797 11.35, 258396.81972162638 6651174.631485272 11.38, 258395.99814516207 6651175.6122263195 11.26, 258395.56684786332 6651176.131860065 11.41, 258395.5779836899 6651176.901754605 11.43, 258396.8164377275 6651178.09392027 11.44, 258397.57486778815 6651178.289998751 11.43, 258398.06684061262 6651177.755226531 11.42, 258398.2289805231 6651177.320215876 11.41))</t>
  </si>
  <si>
    <t>['KV13016 S2D1 m1023-1031']</t>
  </si>
  <si>
    <t>LINESTRING Z (258527.54851656285 6651973.802872598 52.63, 258526.73951444903 6651974.202017747 52.64, 258526.92631487583 6651975.172620656 52.69, 258527.57659950317 6651975.431628241 52.72, 258528.38678679673 6651975.736017664 52.76, 258529.1571801371 6651976.031842036 52.800000000000004, 258529.995271653 6651976.334406362 52.84, 258530.81589282388 6651976.6269452805 52.870000000000005, 258531.67558015318 6651976.916928784 52.92, 258532.3697837983 6651977.161895662 52.95, 258533.26853715206 6651977.449323937 52.99, 258534.08697531492 6651977.708501015 53.03, 258534.4179845302 6651976.771035385 52.99, 258533.74877554274 6651976.479759296 52.95, 258532.8490555177 6651976.091878145 52.9, 258532.23783775655 6651975.830314049 52.870000000000005, 258531.90808650613 6651975.673190248 52.85, 258531.14594519467 6651975.332151723 52.81, 258530.36706102666 6651974.992208618 52.77, 258529.68523455865 6651974.679421725 52.74, 258529.18781688745 6651974.443918914 52.71, 258528.29780263765 6651974.033066966 52.660000000000004, 258527.54851656285 6651973.802872598 52.63)</t>
  </si>
  <si>
    <t>POLYGON Z ((258527.54851656285 6651973.802872598 52.63, 258526.73951444903 6651974.202017747 52.64, 258526.92631487583 6651975.172620656 52.69, 258527.57659950317 6651975.431628241 52.72, 258528.38678679673 6651975.736017664 52.76, 258529.1571801371 6651976.031842036 52.800000000000004, 258529.995271653 6651976.334406362 52.84, 258530.81589282388 6651976.6269452805 52.870000000000005, 258531.67558015318 6651976.916928784 52.92, 258532.3697837983 6651977.161895662 52.95, 258533.26853715206 6651977.449323937 52.99, 258534.08697531492 6651977.708501015 53.03, 258534.4179845302 6651976.771035385 52.99, 258533.74877554274 6651976.479759296 52.95, 258532.8490555177 6651976.091878145 52.9, 258532.23783775655 6651975.830314049 52.870000000000005, 258531.90808650613 6651975.673190248 52.85, 258531.14594519467 6651975.332151723 52.81, 258530.36706102666 6651974.992208618 52.77, 258529.68523455865 6651974.679421725 52.74, 258529.18781688745 6651974.443918914 52.71, 258528.29780263765 6651974.033066966 52.660000000000004, 258527.54851656285 6651973.802872598 52.63))</t>
  </si>
  <si>
    <t>['KV13016 S2D1 m944-983']</t>
  </si>
  <si>
    <t>LINESTRING Z (258473.66885185835 6651918.626558045 50.33, 258473.93744600177 6651919.390775511 50.36, 258474.20749535706 6651920.17723468 50.38, 258474.466870091 6651920.886213126 50.4, 258474.78520539743 6651921.7253552 50.43, 258474.99945168104 6651922.258591178 50.45, 258475.16953749442 6651922.716537433 50.46, 258475.4560892032 6651923.412569249 50.49, 258475.7567133718 6651924.152354128 50.51, 258476.0340456895 6651924.793146929 50.53, 258476.35844887767 6651925.553712872 50.550000000000004, 258476.6940139114 6651926.313548507 50.58, 258477.0351598062 6651927.073019001 50.6, 258477.38673989318 6651927.820638347 50.63, 258477.73831985905 6651928.568257725 50.65, 258478.14667723165 6651929.412678257 50.68, 258478.46865665086 6651930.050549901 50.7, 258478.769527226 6651930.6227919925 50.72, 258478.92602734227 6651930.9587742705 50.730000000000004, 258479.2268977919 6651931.5310163945 50.75, 258479.61608864838 6651932.253838101 50.77, 258480.01716894412 6651932.987050367 50.800000000000004, 258480.41970436982 6651933.742504364 50.82, 258480.89915800857 6651934.559936381 50.85, 258481.385647689 6651935.399244994 50.88, 258481.89446102572 6651936.237093021 50.9, 258482.2889918731 6651936.870217901 50.93, 258482.5279907227 6651937.267813169 50.94, 258483.02758449755 6651938.050422271 50.97, 258483.37722726428 6651938.597136601 50.980000000000004, 258483.87536546405 6651939.35750412 51.01, 258484.32934340465 6651940.042581869 51.03, 258484.80491739468 6651940.715078202 51.06, 258485.31834269068 6651941.452108745 51.08, 258485.69516200997 6651941.985876658 51.1, 258486.24910889438 6651942.74259294 51.13, 258486.80936414018 6651943.510064991 51.15, 258487.2385944814 6651944.073909222 51.17, 258487.75808749648 6651944.732363856 51.2, 258488.15650236778 6651945.253550555 51.21, 258488.76771304358 6651946.028857381 51.24, 258489.27944176787 6651946.654314824 51.26, 258489.8149493357 6651947.300553439 51.29, 258490.34827390226 6651947.913429585 51.31, 258490.76828428538 6651948.422035119 51.33, 258491.38774542476 6651949.152128673 51.35, 258491.92592283222 6651949.753519046 51.38, 258492.27653881934 6651950.143812012 51.39, 258492.7972455291 6651950.7351770885 51.410000000000004, 258493.0085856927 6651950.967055715 51.42, 258493.83603618032 6651950.42150649 51.39, 258493.48858670823 6651949.651278856 51.36, 258493.20009681245 6651949.011215135 51.33, 258492.8092148964 6651948.176818476 51.300000000000004, 258492.72502098908 6651948.003631781 51.29, 258492.35719027906 6651947.178895443 51.26, 258492.30672188805 6651947.092849817 51.26, 258491.90589305924 6651946.192093303 51.22, 258491.46550970635 6651945.372103926 51.19, 258491.20855408107 6651945.042693772 51.18, 258490.73467686662 6651944.481770269 51.15, 258490.21591199384 6651943.834436075 51.13, 258489.63624416132 6651943.112907502 51.11, 258489.0543932841 6651942.358016473 51.08, 258488.48443170922 6651941.613516077 51.050000000000004, 258487.91446992144 6651940.869015767 51.03, 258487.35494222003 6651940.112664391 51, 258486.79541430715 6651939.356313092 50.97, 258486.2470481031 6651938.599231571 50.95, 258485.70984361338 6651937.841419817 50.92, 258485.17676464104 6651937.061001289 50.9, 258484.65484738984 6651936.279852522 50.870000000000005, 258484.20863299567 6651935.627772107 50.85, 258484.08876981976 6651935.423413994 50.84, 258483.61659325266 6651934.717190039 50.82, 258483.0988011157 6651933.913434629 50.79, 258482.60478790296 6651933.130460346 50.76, 258482.11708310046 6651932.3582418095 50.74, 258481.62646759287 6651931.541539954 50.71, 258481.14774146653 6651930.735228684 50.69, 258480.66828752137 6651929.917796622 50.660000000000004, 258480.20630394455 6651929.11038998 50.63, 258479.74917352895 6651928.291497382 50.61, 258479.28646195872 6651927.4729700005 50.58, 258478.8453464812 6651926.641861176 50.56, 258478.58936364733 6651926.156029684 50.54, 258478.35788758865 6651925.702100089 50.53, 258477.97913030832 6651924.967427323 50.5, 258477.54917627806 6651924.135588305 50.480000000000004, 258477.21457909004 6651923.476205367 50.46, 258477.0588062447 6651923.151343998 50.45, 258476.72760695987 6651922.458233397 50.42, 258476.32410207362 6651921.602326987 50.4, 258475.9184140935 6651920.713058084 50.370000000000005, 258475.6699543197 6651920.170892219 50.35, 258475.5001086805 6651919.802277864 50.34, 258475.1589620221 6651919.0428074915 50.32, 258474.8085960173 6651918.228098091 50.29, 258474.04425456843 6651917.853708442 50.300000000000004, 258473.66885185835 6651918.626558045 50.33)</t>
  </si>
  <si>
    <t>POLYGON Z ((258473.66885185835 6651918.626558045 50.33, 258473.93744600177 6651919.390775511 50.36, 258474.20749535706 6651920.17723468 50.38, 258474.466870091 6651920.886213126 50.4, 258474.78520539743 6651921.7253552 50.43, 258474.99945168104 6651922.258591178 50.45, 258475.16953749442 6651922.716537433 50.46, 258475.4560892032 6651923.412569249 50.49, 258475.7567133718 6651924.152354128 50.51, 258476.0340456895 6651924.793146929 50.53, 258476.35844887767 6651925.553712872 50.550000000000004, 258476.6940139114 6651926.313548507 50.58, 258477.0351598062 6651927.073019001 50.6, 258477.38673989318 6651927.820638347 50.63, 258477.73831985905 6651928.568257725 50.65, 258478.14667723165 6651929.412678257 50.68, 258478.46865665086 6651930.050549901 50.7, 258478.769527226 6651930.6227919925 50.72, 258478.92602734227 6651930.9587742705 50.730000000000004, 258479.2268977919 6651931.5310163945 50.75, 258479.61608864838 6651932.253838101 50.77, 258480.01716894412 6651932.987050367 50.800000000000004, 258480.41970436982 6651933.742504364 50.82, 258480.89915800857 6651934.559936381 50.85, 258481.385647689 6651935.399244994 50.88, 258481.89446102572 6651936.237093021 50.9, 258482.2889918731 6651936.870217901 50.93, 258482.5279907227 6651937.267813169 50.94, 258483.02758449755 6651938.050422271 50.97, 258483.37722726428 6651938.597136601 50.980000000000004, 258483.87536546405 6651939.35750412 51.01, 258484.32934340465 6651940.042581869 51.03, 258484.80491739468 6651940.715078202 51.06, 258485.31834269068 6651941.452108745 51.08, 258485.69516200997 6651941.985876658 51.1, 258486.24910889438 6651942.74259294 51.13, 258486.80936414018 6651943.510064991 51.15, 258487.2385944814 6651944.073909222 51.17, 258487.75808749648 6651944.732363856 51.2, 258488.15650236778 6651945.253550555 51.21, 258488.76771304358 6651946.028857381 51.24, 258489.27944176787 6651946.654314824 51.26, 258489.8149493357 6651947.300553439 51.29, 258490.34827390226 6651947.913429585 51.31, 258490.76828428538 6651948.422035119 51.33, 258491.38774542476 6651949.152128673 51.35, 258491.92592283222 6651949.753519046 51.38, 258492.27653881934 6651950.143812012 51.39, 258492.7972455291 6651950.7351770885 51.410000000000004, 258493.0085856927 6651950.967055715 51.42, 258493.83603618032 6651950.42150649 51.39, 258493.48858670823 6651949.651278856 51.36, 258493.20009681245 6651949.011215135 51.33, 258492.8092148964 6651948.176818476 51.300000000000004, 258492.72502098908 6651948.003631781 51.29, 258492.35719027906 6651947.178895443 51.26, 258492.30672188805 6651947.092849817 51.26, 258491.90589305924 6651946.192093303 51.22, 258491.46550970635 6651945.372103926 51.19, 258491.20855408107 6651945.042693772 51.18, 258490.73467686662 6651944.481770269 51.15, 258490.21591199384 6651943.834436075 51.13, 258489.63624416132 6651943.112907502 51.11, 258489.0543932841 6651942.358016473 51.08, 258488.48443170922 6651941.613516077 51.050000000000004, 258487.91446992144 6651940.869015767 51.03, 258487.35494222003 6651940.112664391 51, 258486.79541430715 6651939.356313092 50.97, 258486.2470481031 6651938.599231571 50.95, 258485.70984361338 6651937.841419817 50.92, 258485.17676464104 6651937.061001289 50.9, 258484.65484738984 6651936.279852522 50.870000000000005, 258484.20863299567 6651935.627772107 50.85, 258484.08876981976 6651935.423413994 50.84, 258483.61659325266 6651934.717190039 50.82, 258483.0988011157 6651933.913434629 50.79, 258482.60478790296 6651933.130460346 50.76, 258482.11708310046 6651932.3582418095 50.74, 258481.62646759287 6651931.541539954 50.71, 258481.14774146653 6651930.735228684 50.69, 258480.66828752137 6651929.917796622 50.660000000000004, 258480.20630394455 6651929.11038998 50.63, 258479.74917352895 6651928.291497382 50.61, 258479.28646195872 6651927.4729700005 50.58, 258478.8453464812 6651926.641861176 50.56, 258478.58936364733 6651926.156029684 50.54, 258478.35788758865 6651925.702100089 50.53, 258477.97913030832 6651924.967427323 50.5, 258477.54917627806 6651924.135588305 50.480000000000004, 258477.21457909004 6651923.476205367 50.46, 258477.0588062447 6651923.151343998 50.45, 258476.72760695987 6651922.458233397 50.42, 258476.32410207362 6651921.602326987 50.4, 258475.9184140935 6651920.713058084 50.370000000000005, 258475.6699543197 6651920.170892219 50.35, 258475.5001086805 6651919.802277864 50.34, 258475.1589620221 6651919.0428074915 50.32, 258474.8085960173 6651918.228098091 50.29, 258474.04425456843 6651917.853708442 50.300000000000004, 258473.66885185835 6651918.626558045 50.33))</t>
  </si>
  <si>
    <t>[11570]</t>
  </si>
  <si>
    <t>['KV11570 S1D1 m195-200']</t>
  </si>
  <si>
    <t>LINESTRING Z (258401.69679000927 6651193.47742194 11.790000000000001, 258400.94928804628 6651193.191280218 11.78, 258400.2954462519 6651193.479769563 11.8, 258399.65611041736 6651195.275050845 11.870000000000001, 258399.76699580406 6651196.027249877 11.88, 258400.4266393446 6651196.341477157 11.86, 258400.46571393963 6651196.338920348 11.86, 258400.79432927587 6651196.306249293 11.86, 258404.2787664855 6651196.01123988 11.84, 258404.6551983595 6651195.852587438 11.83, 258404.80594438213 6651195.0721006105 11.81, 258404.38925138186 6651194.529775042 11.81, 258401.69679000927 6651193.47742194 11.790000000000001)</t>
  </si>
  <si>
    <t>POLYGON Z ((258401.69679000927 6651193.47742194 11.790000000000001, 258400.94928804628 6651193.191280218 11.78, 258400.2954462519 6651193.479769563 11.8, 258399.65611041736 6651195.275050845 11.870000000000001, 258399.76699580406 6651196.027249877 11.88, 258400.4266393446 6651196.341477157 11.86, 258400.46571393963 6651196.338920348 11.86, 258400.79432927587 6651196.306249293 11.86, 258404.2787664855 6651196.01123988 11.84, 258404.6551983595 6651195.852587438 11.83, 258404.80594438213 6651195.0721006105 11.81, 258404.38925138186 6651194.529775042 11.81, 258401.69679000927 6651193.47742194 11.790000000000001))</t>
  </si>
  <si>
    <t>['KV13016 S2D1 m205-212']</t>
  </si>
  <si>
    <t>LINESTRING Z (258379.35545989312 6651206.21950549 12.55, 258379.38843234562 6651207.32302507 12.57, 258379.437423284 6651208.414327945 12.6, 258379.44879527736 6651209.530429527 12.64, 258379.44754769152 6651210.625020018 12.67, 258379.4448446597 6651211.697368839 12.700000000000001, 258380.01516664738 6651212.274312148 12.71, 258380.74520919006 6651212.036674524 12.71, 258381.12846052318 6651211.039938908 12.65, 258381.5367114583 6651209.996893561 12.61, 258381.95807016388 6651208.897148239 12.58, 258382.39981405868 6651207.851911277 12.540000000000001, 258382.82772297904 6651206.852253575 12.5, 258382.59839498092 6651206.174816264 12.5, 258382.06567520997 6651206.086823965 12.49, 258381.0191650117 6651205.943106234 12.5, 258379.8983924018 6651205.692563931 12.52, 258379.35545989312 6651206.21950549 12.55)</t>
  </si>
  <si>
    <t>POLYGON Z ((258379.35545989312 6651206.21950549 12.55, 258379.38843234562 6651207.32302507 12.57, 258379.437423284 6651208.414327945 12.6, 258379.44879527736 6651209.530429527 12.64, 258379.44754769152 6651210.625020018 12.67, 258379.4448446597 6651211.697368839 12.700000000000001, 258380.01516664738 6651212.274312148 12.71, 258380.74520919006 6651212.036674524 12.71, 258381.12846052318 6651211.039938908 12.65, 258381.5367114583 6651209.996893561 12.61, 258381.95807016388 6651208.897148239 12.58, 258382.39981405868 6651207.851911277 12.540000000000001, 258382.82772297904 6651206.852253575 12.5, 258382.59839498092 6651206.174816264 12.5, 258382.06567520997 6651206.086823965 12.49, 258381.0191650117 6651205.943106234 12.5, 258379.8983924018 6651205.692563931 12.52, 258379.35545989312 6651206.21950549 12.55))</t>
  </si>
  <si>
    <t>['KV13016 S2D1 m1176-1191']</t>
  </si>
  <si>
    <t>LINESTRING Z (258380.10770784845 6651172.139990671 11.58, 258379.63471661296 6651171.165781675 11.56, 258379.1449787885 6651170.192668603 11.540000000000001, 258378.65645643338 6651169.152465296 11.52, 258378.17569919425 6651168.145259258 11.39, 258376.82978618253 6651164.882798128 11.42, 258376.51478850786 6651164.009934926 11.38, 258376.1252878065 6651162.940914977 11.34, 258375.99763468042 6651162.70356252 11.34, 258375.0986708296 6651162.673043013 11.34, 258374.69965163525 6651163.257577748 11.370000000000001, 258374.87533627963 6651164.228905159 11.42, 258375.10465077774 6651165.420092178 11.450000000000001, 258375.52465163145 6651169.011187446 11.58, 258375.61831581747 6651169.58581783 11.6, 258375.70469433992 6651170.306114939 11.61, 258375.82770828606 6651171.414910633 11.64, 258375.93543134013 6651172.547043873 11.67, 258376.04509776033 6651173.623207655 11.71, 258376.70838607394 6651173.993034995 11.700000000000001, 258377.6976451729 6651173.604412858 11.67, 258378.74758004982 6651173.200651966 11.64, 258379.84920969943 6651172.815845444 11.61, 258380.10770784845 6651172.139990671 11.58)</t>
  </si>
  <si>
    <t>POLYGON Z ((258380.10770784845 6651172.139990671 11.58, 258379.63471661296 6651171.165781675 11.56, 258379.1449787885 6651170.192668603 11.540000000000001, 258378.65645643338 6651169.152465296 11.52, 258378.17569919425 6651168.145259258 11.39, 258376.82978618253 6651164.882798128 11.42, 258376.51478850786 6651164.009934926 11.38, 258376.1252878065 6651162.940914977 11.34, 258375.99763468042 6651162.70356252 11.34, 258375.0986708296 6651162.673043013 11.34, 258374.69965163525 6651163.257577748 11.370000000000001, 258374.87533627963 6651164.228905159 11.42, 258375.10465077774 6651165.420092178 11.450000000000001, 258375.52465163145 6651169.011187446 11.58, 258375.61831581747 6651169.58581783 11.6, 258375.70469433992 6651170.306114939 11.61, 258375.82770828606 6651171.414910633 11.64, 258375.93543134013 6651172.547043873 11.67, 258376.04509776033 6651173.623207655 11.71, 258376.70838607394 6651173.993034995 11.700000000000001, 258377.6976451729 6651173.604412858 11.67, 258378.74758004982 6651173.200651966 11.64, 258379.84920969943 6651172.815845444 11.61, 258380.10770784845 6651172.139990671 11.58))</t>
  </si>
  <si>
    <t>['KV2566 S1D1 m5-19']</t>
  </si>
  <si>
    <t>LINESTRING (253335.43284396606 6596395.367930699, 253332.24704219724 6596395.196891888, 253334.8929319158 6596380.784392487, 253335.8108236053 6596383.158892779, 253337.43313405395 6596395.158735273, 253335.994239277 6596395.252983115)</t>
  </si>
  <si>
    <t>POLYGON ((253335.43284396606 6596395.367930699, 253332.24704219724 6596395.196891888, 253334.8929319158 6596380.784392487, 253335.8108236053 6596383.158892779, 253337.43313405395 6596395.158735273, 253335.994239277 6596395.252983115, 253335.43284396606 6596395.367930699))</t>
  </si>
  <si>
    <t>[12650]</t>
  </si>
  <si>
    <t>['KV12650 S1D1 m2069-2074']</t>
  </si>
  <si>
    <t>LINESTRING Z (56900.84877523733 6457080.694328038 4.69, 56900.736829941045 6457080.342053284 4.7, 56900.49384544039 6457080.212796188 4.7, 56900.21074541757 6457080.197811994 4.7, 56899.89002119837 6457080.437759666 4.68, 56898.97025544086 6457081.8582243305 4.64, 56897.72691048309 6457083.5993951345 4.59, 56897.74169473472 6457083.9905307 4.6000000000000005, 56898.0452889998 6457084.235133587 4.6000000000000005, 56899.0692899155 6457084.54625614 4.62, 56900.066013719304 6457084.890002114 4.65, 56900.40830504923 6457084.778947858 4.66, 56900.58766107692 6457084.4207993895 4.66, 56900.65383518534 6457083.358283252 4.66, 56900.738194039615 6457082.274018162 4.65, 56900.830754218914 6457081.168895179 4.68, 56900.86856024666 6457080.803254623 4.68, 56900.84877523733 6457080.694328038 4.69)</t>
  </si>
  <si>
    <t>POLYGON Z ((56900.84877523733 6457080.694328038 4.69, 56900.736829941045 6457080.342053284 4.7, 56900.49384544039 6457080.212796188 4.7, 56900.21074541757 6457080.197811994 4.7, 56899.89002119837 6457080.437759666 4.68, 56898.97025544086 6457081.8582243305 4.64, 56897.72691048309 6457083.5993951345 4.59, 56897.74169473472 6457083.9905307 4.6000000000000005, 56898.0452889998 6457084.235133587 4.6000000000000005, 56899.0692899155 6457084.54625614 4.62, 56900.066013719304 6457084.890002114 4.65, 56900.40830504923 6457084.778947858 4.66, 56900.58766107692 6457084.4207993895 4.66, 56900.65383518534 6457083.358283252 4.66, 56900.738194039615 6457082.274018162 4.65, 56900.830754218914 6457081.168895179 4.68, 56900.86856024666 6457080.803254623 4.68, 56900.84877523733 6457080.694328038 4.69))</t>
  </si>
  <si>
    <t>['EV39 S123D1 m256-276']</t>
  </si>
  <si>
    <t>LINESTRING Z (56875.42136315309 6457093.7915469445 4.14, 56875.62690537056 6457094.065027248 4.15, 56875.609957280976 6457094.438869202 4.15, 56875.169232075976 6457095.363745349 4.16, 56874.73830848222 6457096.398439164 4.14, 56874.43218671065 6457097.140231295 4.15, 56874.07845735579 6457098.137846412 4.15, 56873.748640735226 6457098.38866867 4.14, 56873.39209245704 6457098.339988209 4.13, 56871.981610753224 6457097.4193314 4.09, 56870.08426881884 6457096.230176949 4.0200000000000005, 56867.205005094525 6457094.524885109 3.92, 56865.23581520555 6457093.432709823 3.86, 56862.21838373586 6457091.870568185 3.7800000000000002, 56859.216991190566 6457090.48812812 3.71, 56857.236563070735 6457089.60827779 3.68, 56856.22094490955 6457089.165588538 3.64, 56855.955502114724 6457088.897454509 3.64, 56855.9460641655 6457088.566219359 3.64, 56856.21598030557 6457088.320743416 3.63, 56856.58982232062 6457088.337691527 3.64, 56858.65119072428 6457089.109688141 3.67, 56861.789150647935 6457090.218302321 3.75, 56864.78128699015 6457091.158798511 3.83, 56868.00304202322 6457092.078800392 3.91, 56871.26402143616 6457092.874545865 4.01, 56874.33282436442 6457093.546562344 4.1, 56875.33971365332 6457093.778708534 4.14, 56875.42136315309 6457093.7915469445 4.14)</t>
  </si>
  <si>
    <t>POLYGON Z ((56875.42136315309 6457093.7915469445 4.14, 56875.62690537056 6457094.065027248 4.15, 56875.609957280976 6457094.438869202 4.15, 56875.169232075976 6457095.363745349 4.16, 56874.73830848222 6457096.398439164 4.14, 56874.43218671065 6457097.140231295 4.15, 56874.07845735579 6457098.137846412 4.15, 56873.748640735226 6457098.38866867 4.14, 56873.39209245704 6457098.339988209 4.13, 56871.981610753224 6457097.4193314 4.09, 56870.08426881884 6457096.230176949 4.0200000000000005, 56867.205005094525 6457094.524885109 3.92, 56865.23581520555 6457093.432709823 3.86, 56862.21838373586 6457091.870568185 3.7800000000000002, 56859.216991190566 6457090.48812812 3.71, 56857.236563070735 6457089.60827779 3.68, 56856.22094490955 6457089.165588538 3.64, 56855.955502114724 6457088.897454509 3.64, 56855.9460641655 6457088.566219359 3.64, 56856.21598030557 6457088.320743416 3.63, 56856.58982232062 6457088.337691527 3.64, 56858.65119072428 6457089.109688141 3.67, 56861.789150647935 6457090.218302321 3.75, 56864.78128699015 6457091.158798511 3.83, 56868.00304202322 6457092.078800392 3.91, 56871.26402143616 6457092.874545865 4.01, 56874.33282436442 6457093.546562344 4.1, 56875.33971365332 6457093.778708534 4.14, 56875.42136315309 6457093.7915469445 4.14))</t>
  </si>
  <si>
    <t>['EV39 S123D1 m284-305']</t>
  </si>
  <si>
    <t>LINESTRING Z (56932.18124949938 6457115.492977246 5.53, 56932.10905600322 6457115.247847062 5.54, 56931.76552809053 6457115.006808551 5.5200000000000005, 56928.64806415251 6457114.127814313 5.44, 56925.64238166291 6457113.148276587 5.39, 56922.66059377376 6457111.985473036 5.3, 56919.67809656734 6457110.701977332 5.24, 56917.61620168568 6457109.69858072 5.18, 56915.69674782426 6457108.712659556 5.16, 56913.582444426895 6457107.573059214 5.16, 56913.245681301516 6457107.633305368 5.17, 56913.01926323853 6457107.915150689 5.16, 56912.681918727234 6457109.434576526 5.17, 56912.396291420504 6457110.405987115 5.18, 56911.81061609386 6457111.736255425 5.16, 56911.813634905324 6457112.108315154 5.16, 56912.07087631285 6457112.397306896 5.15, 56913.75663788564 6457112.568861043 5.14, 56916.720622850175 6457112.968469462 5.17, 56919.96663485741 6457113.483787226 5.26, 56924.18138410646 6457114.254781949 5.36, 56927.38264334708 6457114.945164107 5.44, 56930.54485988367 6457115.649093877 5.51, 56931.60166581243 6457115.876784488 5.54, 56932.04111803591 6457115.726869358 5.5600000000000005, 56932.12205824244 6457115.619015664 5.55, 56932.18124949938 6457115.492977246 5.53)</t>
  </si>
  <si>
    <t>POLYGON Z ((56932.18124949938 6457115.492977246 5.53, 56932.10905600322 6457115.247847062 5.54, 56931.76552809053 6457115.006808551 5.5200000000000005, 56928.64806415251 6457114.127814313 5.44, 56925.64238166291 6457113.148276587 5.39, 56922.66059377376 6457111.985473036 5.3, 56919.67809656734 6457110.701977332 5.24, 56917.61620168568 6457109.69858072 5.18, 56915.69674782426 6457108.712659556 5.16, 56913.582444426895 6457107.573059214 5.16, 56913.245681301516 6457107.633305368 5.17, 56913.01926323853 6457107.915150689 5.16, 56912.681918727234 6457109.434576526 5.17, 56912.396291420504 6457110.405987115 5.18, 56911.81061609386 6457111.736255425 5.16, 56911.813634905324 6457112.108315154 5.16, 56912.07087631285 6457112.397306896 5.15, 56913.75663788564 6457112.568861043 5.14, 56916.720622850175 6457112.968469462 5.17, 56919.96663485741 6457113.483787226 5.26, 56924.18138410646 6457114.254781949 5.36, 56927.38264334708 6457114.945164107 5.44, 56930.54485988367 6457115.649093877 5.51, 56931.60166581243 6457115.876784488 5.54, 56932.04111803591 6457115.726869358 5.5600000000000005, 56932.12205824244 6457115.619015664 5.55, 56932.18124949938 6457115.492977246 5.53))</t>
  </si>
  <si>
    <t>LINESTRING Z (56883.79849535582 6457105.119402546 4.47, 56883.71402687923 6457104.060268657 4.45, 56883.734920787625 6457102.941416041 4.43, 56883.89272764872 6457101.890847088 4.42, 56884.2095600458 6457100.705329121 4.41, 56884.6797080189 6457099.546379024 4.42, 56885.23488789931 6457098.550909737 4.43, 56885.89881256444 6457097.646364142 4.44, 56886.716052794654 6457096.768386421 4.47, 56887.510289377766 6457096.083657962 4.49, 56888.527725477354 6457095.419260005 4.53, 56889.422323696315 6457094.957021851 4.5600000000000005, 56890.541012478585 6457094.5250976095 4.61, 56891.5550481127 6457094.273584217 4.65, 56892.55891849537 6457094.1336705815 4.7, 56893.58257389284 6457094.10268354 4.75, 56894.584298506845 6457094.164220465 4.8, 56895.565874446824 6457094.338248191 4.86, 56896.55814303475 6457094.632076978 4.92, 56897.51760636509 6457095.009337357 4.97, 56898.36350601021 6457095.467174335 5.0200000000000005, 56899.209223831305 6457096.035720005 5.07, 56900.01393508882 6457096.708555152 5.12, 56900.70240950555 6457097.432016639 5.17, 56901.32723735622 6457098.23159945 5.21, 56901.877544167626 6457099.0982112195 5.26, 56902.31250520138 6457100.0254327515 5.3, 56902.6620707243 6457101.010590878 5.33, 56902.89736334368 6457101.955633499 5.36, 56903.058662362164 6457103.199105887 5.39, 56903.063972686185 6457104.386060156 5.41, 56902.91418536997 6457105.5264797285 5.43, 56902.64745198557 6457106.5968335485 5.43, 56902.24095071189 6457107.6796621485 5.43, 56901.76296519354 6457108.638052616 5.43, 56901.17890807561 6457109.5354697 5.41, 56900.459720147424 6457110.384569993 5.4, 56899.633569557336 6457111.162713484 5.37, 56898.79583523708 6457111.811072506 5.34, 56897.78214535309 6457112.404695541 5.3100000000000005, 56896.784148828825 6457112.83591067 5.2700000000000005, 56895.6592227855 6457113.197951109 5.21, 56894.61987405032 6457113.391346239 5.16, 56893.48996525444 6457113.472068759 5.1000000000000005, 56892.357565080805 6457113.412132314 5.05, 56891.36689672194 6457113.248979224 4.99, 56890.73919578246 6457113.093681792 4.96, 56889.77331314265 6457112.757246293 4.91, 56888.8593115235 6457112.325613645 4.8500000000000005, 56887.967240659986 6457111.801457022 4.8100000000000005, 56887.168766624294 6457111.198505869 4.75, 56886.422173616884 6457110.500357568 4.7, 56885.7600850765 6457109.734289217 4.65, 56885.18428311858 6457108.920267662 4.6000000000000005, 56884.68032904237 6457108.009266844 4.5600000000000005, 56884.2735360323 6457107.059405192 4.5200000000000005, 56883.98832621507 6457106.118817707 4.49, 56883.79849535582 6457105.119402546 4.47)</t>
  </si>
  <si>
    <t>POLYGON Z ((56883.79849535582 6457105.119402546 4.47, 56883.71402687923 6457104.060268657 4.45, 56883.734920787625 6457102.941416041 4.43, 56883.89272764872 6457101.890847088 4.42, 56884.2095600458 6457100.705329121 4.41, 56884.6797080189 6457099.546379024 4.42, 56885.23488789931 6457098.550909737 4.43, 56885.89881256444 6457097.646364142 4.44, 56886.716052794654 6457096.768386421 4.47, 56887.510289377766 6457096.083657962 4.49, 56888.527725477354 6457095.419260005 4.53, 56889.422323696315 6457094.957021851 4.5600000000000005, 56890.541012478585 6457094.5250976095 4.61, 56891.5550481127 6457094.273584217 4.65, 56892.55891849537 6457094.1336705815 4.7, 56893.58257389284 6457094.10268354 4.75, 56894.584298506845 6457094.164220465 4.8, 56895.565874446824 6457094.338248191 4.86, 56896.55814303475 6457094.632076978 4.92, 56897.51760636509 6457095.009337357 4.97, 56898.36350601021 6457095.467174335 5.0200000000000005, 56899.209223831305 6457096.035720005 5.07, 56900.01393508882 6457096.708555152 5.12, 56900.70240950555 6457097.432016639 5.17, 56901.32723735622 6457098.23159945 5.21, 56901.877544167626 6457099.0982112195 5.26, 56902.31250520138 6457100.0254327515 5.3, 56902.6620707243 6457101.010590878 5.33, 56902.89736334368 6457101.955633499 5.36, 56903.058662362164 6457103.199105887 5.39, 56903.063972686185 6457104.386060156 5.41, 56902.91418536997 6457105.5264797285 5.43, 56902.64745198557 6457106.5968335485 5.43, 56902.24095071189 6457107.6796621485 5.43, 56901.76296519354 6457108.638052616 5.43, 56901.17890807561 6457109.5354697 5.41, 56900.459720147424 6457110.384569993 5.4, 56899.633569557336 6457111.162713484 5.37, 56898.79583523708 6457111.811072506 5.34, 56897.78214535309 6457112.404695541 5.3100000000000005, 56896.784148828825 6457112.83591067 5.2700000000000005, 56895.6592227855 6457113.197951109 5.21, 56894.61987405032 6457113.391346239 5.16, 56893.48996525444 6457113.472068759 5.1000000000000005, 56892.357565080805 6457113.412132314 5.05, 56891.36689672194 6457113.248979224 4.99, 56890.73919578246 6457113.093681792 4.96, 56889.77331314265 6457112.757246293 4.91, 56888.8593115235 6457112.325613645 4.8500000000000005, 56887.967240659986 6457111.801457022 4.8100000000000005, 56887.168766624294 6457111.198505869 4.75, 56886.422173616884 6457110.500357568 4.7, 56885.7600850765 6457109.734289217 4.65, 56885.18428311858 6457108.920267662 4.6000000000000005, 56884.68032904237 6457108.009266844 4.5600000000000005, 56884.2735360323 6457107.059405192 4.5200000000000005, 56883.98832621507 6457106.118817707 4.49, 56883.79849535582 6457105.119402546 4.47))</t>
  </si>
  <si>
    <t>LINESTRING Z (56904.94611223013 6457107.096076564 5.3, 56904.782795282896 6457107.633926634 5.3, 56904.43192108133 6457108.550783089 5.3, 56903.98210373038 6457109.48653353 5.3, 56903.49342556216 6457110.325122935 5.29, 56902.89492976479 6457111.173513963 5.28, 56902.23849735939 6457111.936509491 5.2700000000000005, 56901.50772572495 6457112.655825312 5.25, 56900.74985879811 6457113.297055883 5.24, 56899.945820790075 6457113.87196674 5.21, 56899.10559512023 6457114.37966682 5.18, 56898.18924810062 6457114.823720354 5.15, 56897.24491472432 6457115.179705211 5.12, 56896.28346946789 6457115.456713757 5.09, 56895.28405443032 6457115.64654468 5.05, 56894.28749435395 6457115.755617174 5.01, 56893.29468029569 6457115.793914659 4.96, 56892.28386329784 6457115.743252404 4.91, 56891.2776833743 6457115.631798561 4.88, 56890.28077760764 6457115.39876153 4.83, 56889.34020814131 6457115.120444468 4.79, 56888.42067837034 6457114.73962001 4.75, 56887.556593846064 6457114.303532094 4.71, 56886.70356559759 6457113.765827829 4.67, 56885.864266796154 6457113.156457489 4.62, 56885.09039666882 6457112.490932629 4.59, 56884.411905487475 6457111.766580085 4.55, 56883.7706748292 6457111.008713039 4.51, 56883.19309073972 6457110.174724629 4.47, 56882.69091875682 6457109.28369065 4.43, 56882.28127075406 6457108.414587425 4.4, 56881.933487214264 6457107.449395996 4.37, 56881.67466343363 6457106.466201633 4.36, 56881.4857236229 6457105.476769879 4.34, 56881.37754226121 6457104.490193098 4.32, 56881.36741302797 6457103.474738911 4.3, 56881.446243557264 6457102.441281802 4.3, 56881.60119544581 6457101.471471268 4.29, 56881.80517340265 6457100.487222037 4.28, 56882.12164218811 6457099.523121473 4.28, 56882.52421575191 6457098.6217764355 4.28, 56883.015749073995 6457097.70242848 4.29, 56883.565219011856 6457096.86847607 4.29, 56884.15818686469 6457096.070893139 4.3, 56884.82460290054 6457095.307006524 4.32, 56885.529879754235 6457094.6402809825 4.34, 56886.320370318484 6457094.026327547 4.36, 56887.20694906841 6457093.47423859 4.38, 56888.0698149284 6457092.994706762 4.42, 56888.970650543226 6457092.602352583 4.45, 56889.95669985964 6457092.262770508 4.48, 56890.911726024235 6457092.026586882 4.5200000000000005, 56891.9237977289 6457091.865815367 4.55, 56892.91126548522 6457091.767617555 4.59, 56893.938485098304 6457091.776564222 4.63, 56894.93111734069 6457091.848975641 4.68, 56895.91358432936 6457092.0329868095 4.71, 56896.88053973834 6457092.268697194 4.7700000000000005, 56897.8555146298 6457092.594258372 4.8, 56898.79946637177 6457093.023217981 4.8500000000000005, 56899.64625705418 6457093.491038391 4.88, 56900.51461486344 6457094.087752222 4.93, 56901.2957950391 6457094.722435802 4.97, 56902.00887337193 6457095.383323598 5.01, 56902.69271067518 6457096.167576662 5.05, 56903.29668060859 6457096.958958155 5.08, 56903.82612950349 6457097.817368606 5.12, 56904.29656892922 6457098.691108799 5.15, 56904.68339495454 6457099.642752431 5.18, 56904.9894625615 6457100.591541073 5.21, 56905.20478833007 6457101.538365789 5.23, 56905.35735860048 6457102.571295256 5.25, 56905.40385728143 6457103.543251325 5.26, 56905.384927300096 6457104.571361886 5.28, 56905.301641523954 6457105.554901674 5.29, 56905.20089826302 6457106.117355669 5.3, 56904.94611223013 6457107.096076564 5.3)</t>
  </si>
  <si>
    <t>POLYGON Z ((56904.94611223013 6457107.096076564 5.3, 56904.782795282896 6457107.633926634 5.3, 56904.43192108133 6457108.550783089 5.3, 56903.98210373038 6457109.48653353 5.3, 56903.49342556216 6457110.325122935 5.29, 56902.89492976479 6457111.173513963 5.28, 56902.23849735939 6457111.936509491 5.2700000000000005, 56901.50772572495 6457112.655825312 5.25, 56900.74985879811 6457113.297055883 5.24, 56899.945820790075 6457113.87196674 5.21, 56899.10559512023 6457114.37966682 5.18, 56898.18924810062 6457114.823720354 5.15, 56897.24491472432 6457115.179705211 5.12, 56896.28346946789 6457115.456713757 5.09, 56895.28405443032 6457115.64654468 5.05, 56894.28749435395 6457115.755617174 5.01, 56893.29468029569 6457115.793914659 4.96, 56892.28386329784 6457115.743252404 4.91, 56891.2776833743 6457115.631798561 4.88, 56890.28077760764 6457115.39876153 4.83, 56889.34020814131 6457115.120444468 4.79, 56888.42067837034 6457114.73962001 4.75, 56887.556593846064 6457114.303532094 4.71, 56886.70356559759 6457113.765827829 4.67, 56885.864266796154 6457113.156457489 4.62, 56885.09039666882 6457112.490932629 4.59, 56884.411905487475 6457111.766580085 4.55, 56883.7706748292 6457111.008713039 4.51, 56883.19309073972 6457110.174724629 4.47, 56882.69091875682 6457109.28369065 4.43, 56882.28127075406 6457108.414587425 4.4, 56881.933487214264 6457107.449395996 4.37, 56881.67466343363 6457106.466201633 4.36, 56881.4857236229 6457105.476769879 4.34, 56881.37754226121 6457104.490193098 4.32, 56881.36741302797 6457103.474738911 4.3, 56881.446243557264 6457102.441281802 4.3, 56881.60119544581 6457101.471471268 4.29, 56881.80517340265 6457100.487222037 4.28, 56882.12164218811 6457099.523121473 4.28, 56882.52421575191 6457098.6217764355 4.28, 56883.015749073995 6457097.70242848 4.29, 56883.565219011856 6457096.86847607 4.29, 56884.15818686469 6457096.070893139 4.3, 56884.82460290054 6457095.307006524 4.32, 56885.529879754235 6457094.6402809825 4.34, 56886.320370318484 6457094.026327547 4.36, 56887.20694906841 6457093.47423859 4.38, 56888.0698149284 6457092.994706762 4.42, 56888.970650543226 6457092.602352583 4.45, 56889.95669985964 6457092.262770508 4.48, 56890.911726024235 6457092.026586882 4.5200000000000005, 56891.9237977289 6457091.865815367 4.55, 56892.91126548522 6457091.767617555 4.59, 56893.938485098304 6457091.776564222 4.63, 56894.93111734069 6457091.848975641 4.68, 56895.91358432936 6457092.0329868095 4.71, 56896.88053973834 6457092.268697194 4.7700000000000005, 56897.8555146298 6457092.594258372 4.8, 56898.79946637177 6457093.023217981 4.8500000000000005, 56899.64625705418 6457093.491038391 4.88, 56900.51461486344 6457094.087752222 4.93, 56901.2957950391 6457094.722435802 4.97, 56902.00887337193 6457095.383323598 5.01, 56902.69271067518 6457096.167576662 5.05, 56903.29668060859 6457096.958958155 5.08, 56903.82612950349 6457097.817368606 5.12, 56904.29656892922 6457098.691108799 5.15, 56904.68339495454 6457099.642752431 5.18, 56904.9894625615 6457100.591541073 5.21, 56905.20478833007 6457101.538365789 5.23, 56905.35735860048 6457102.571295256 5.25, 56905.40385728143 6457103.543251325 5.26, 56905.384927300096 6457104.571361886 5.28, 56905.301641523954 6457105.554901674 5.29, 56905.20089826302 6457106.117355669 5.3, 56904.94611223013 6457107.096076564 5.3))</t>
  </si>
  <si>
    <t>[5386]</t>
  </si>
  <si>
    <t>['KV5386 S1D1 m7-19']</t>
  </si>
  <si>
    <t>LINESTRING (252642.65953352273 6595957.350187289, 252643.83663784983 6595955.5194814345, 252646.02625036196 6595948.138715949, 252646.12361367978 6595946.155557904, 252645.32936373423 6595945.671647032, 252643.9402354693 6595947.739639531, 252642.08027770265 6595953.121992617, 252641.14086133568 6595956.232595483, 252642.11215903546 6595957.419640071)</t>
  </si>
  <si>
    <t>POLYGON ((252642.65953352273 6595957.350187289, 252643.83663784983 6595955.5194814345, 252646.02625036196 6595948.138715949, 252646.12361367978 6595946.155557904, 252645.32936373423 6595945.671647032, 252643.9402354693 6595947.739639531, 252642.08027770265 6595953.121992617, 252641.14086133568 6595956.232595483, 252642.11215903546 6595957.419640071, 252642.65953352273 6595957.350187289))</t>
  </si>
  <si>
    <t>[5240]</t>
  </si>
  <si>
    <t>['KV5240 S1D1 m6-16']</t>
  </si>
  <si>
    <t>LINESTRING (252648.62432339264 6595933.114445295, 252648.0172623343 6595932.01516017, 252650.0086530176 6595923.9549913285, 252650.83639500797 6595923.822455477, 252651.39647673012 6595927.672192542, 252650.39744166366 6595931.088247087, 252649.22032497323 6595932.918950637)</t>
  </si>
  <si>
    <t>POLYGON ((252648.62432339264 6595933.114445295, 252648.0172623343 6595932.01516017, 252650.0086530176 6595923.9549913285, 252650.83639500797 6595923.822455477, 252651.39647673012 6595927.672192542, 252650.39744166366 6595931.088247087, 252649.22032497323 6595932.918950637, 252648.62432339264 6595933.114445295))</t>
  </si>
  <si>
    <t>[5460]</t>
  </si>
  <si>
    <t>['KV5460 S1D1 m9-21']</t>
  </si>
  <si>
    <t>LINESTRING (252063.756936936 6596662.977844959, 252060.6611870937 6596663.48322831, 252059.2316067853 6596658.015528942, 252059.31115594623 6596652.225094082, 252060.3160596241 6596651.243122902, 252061.78308887788 6596655.033106866, 252064.12621313165 6596662.797173641)</t>
  </si>
  <si>
    <t>POLYGON ((252063.756936936 6596662.977844959, 252060.6611870937 6596663.48322831, 252059.2316067853 6596658.015528942, 252059.31115594623 6596652.225094082, 252060.3160596241 6596651.243122902, 252061.78308887788 6596655.033106866, 252064.12621313165 6596662.797173641, 252063.756936936 6596662.977844959))</t>
  </si>
  <si>
    <t>2023-11-27</t>
  </si>
  <si>
    <t>['KV1240 S1D1 m372-393']</t>
  </si>
  <si>
    <t>LINESTRING (292579.11335844034 6678531.415365049, 292577.8086546998 6678530.752779599, 292576.5385783373 6678529.329288791, 292576.3770626503 6678527.854054773, 292576.1996229523 6678526.000253906, 292578.3129344299 6678523.871375405, 292581.29214951495 6678523.780451739, 292583.28861617297 6678524.783256743, 292584.1004582591 6678527.337679349, 292583.2968993408 6678530.218142015, 292581.0637392589 6678531.606038373, 292579.27997330495 6678531.707254908)</t>
  </si>
  <si>
    <t>POLYGON ((292579.11335844034 6678531.415365049, 292577.8086546998 6678530.752779599, 292576.5385783373 6678529.329288791, 292576.3770626503 6678527.854054773, 292576.1996229523 6678526.000253906, 292578.3129344299 6678523.871375405, 292581.29214951495 6678523.780451739, 292583.28861617297 6678524.783256743, 292584.1004582591 6678527.337679349, 292583.2968993408 6678530.218142015, 292581.0637392589 6678531.606038373, 292579.27997330495 6678531.707254908, 292579.11335844034 6678531.415365049))</t>
  </si>
  <si>
    <t>['KV1240 S1D1 m12-20']</t>
  </si>
  <si>
    <t>LINESTRING (292851.2503971082 6678681.052279555, 292851.7033237521 6678680.513212766, 292861.3128461929 6678681.709724749, 292864.7188538484 6678683.268960848, 292864.56550006097 6678684.58346876, 292861.2280782763 6678684.136429631, 292851.4513467661 6678681.264108048)</t>
  </si>
  <si>
    <t>POLYGON ((292851.2503971082 6678681.052279555, 292851.7033237521 6678680.513212766, 292861.3128461929 6678681.709724749, 292864.7188538484 6678683.268960848, 292864.56550006097 6678684.58346876, 292861.2280782763 6678684.136429631, 292851.4513467661 6678681.264108048, 292851.2503971082 6678681.052279555))</t>
  </si>
  <si>
    <t>2023-11-28</t>
  </si>
  <si>
    <t>[5220]</t>
  </si>
  <si>
    <t>['KV5220 S1D1 m0-20']</t>
  </si>
  <si>
    <t>LINESTRING (253737.2089029227 6596051.067469219, 253736.55616506017 6596050.3954049265, 253724.32234717772 6596059.950964325, 253718.00602109736 6596064.898151465, 253718.53948264554 6596065.399326148, 253737.28764348556 6596051.140495842)</t>
  </si>
  <si>
    <t>POLYGON ((253737.2089029227 6596051.067469219, 253736.55616506017 6596050.3954049265, 253724.32234717772 6596059.950964325, 253718.00602109736 6596064.898151465, 253718.53948264554 6596065.399326148, 253737.28764348556 6596051.140495842, 253737.2089029227 6596051.067469219))</t>
  </si>
  <si>
    <t>[5360]</t>
  </si>
  <si>
    <t>['KV5360 S2D1 m36-43']</t>
  </si>
  <si>
    <t>LINESTRING (253553.77279726593 6596377.532677545, 253557.69202074193 6596377.957441141, 253557.2611830409 6596379.02425362, 253552.7922028272 6596378.892330479, 253551.1432292753 6596378.732213249, 253551.3048440733 6596377.202797359, 253553.1933589956 6596377.458917927)</t>
  </si>
  <si>
    <t>POLYGON ((253553.77279726593 6596377.532677545, 253557.69202074193 6596377.957441141, 253557.2611830409 6596379.02425362, 253552.7922028272 6596378.892330479, 253551.1432292753 6596378.732213249, 253551.3048440733 6596377.202797359, 253553.1933589956 6596377.458917927, 253553.77279726593 6596377.532677545))</t>
  </si>
  <si>
    <t>[5200]</t>
  </si>
  <si>
    <t>['KV5200 S1D1 m417-418']</t>
  </si>
  <si>
    <t>LINESTRING (253965.00319358413 6596659.903069332, 253964.6109033712 6596660.34191149, 253965.56794019163 6596660.971784991, 253965.95732403715 6596660.488461483, 253965.23922019528 6596660.032829334)</t>
  </si>
  <si>
    <t>POLYGON ((253965.00319358413 6596659.903069332, 253964.6109033712 6596660.34191149, 253965.56794019163 6596660.971784991, 253965.95732403715 6596660.488461483, 253965.23922019528 6596660.032829334, 253965.00319358413 6596659.903069332))</t>
  </si>
  <si>
    <t>[3440]</t>
  </si>
  <si>
    <t>['KV3440 S1D1 m309-320']</t>
  </si>
  <si>
    <t>LINESTRING (253957.35962684875 6596343.872553167, 253954.00722340448 6596342.717938451, 253952.1718756997 6596353.201599314, 253954.02070281788 6596353.460511233, 253957.1126838321 6596343.575987784)</t>
  </si>
  <si>
    <t>['KV3440 S1D1 m82-87']</t>
  </si>
  <si>
    <t>LINESTRING (253984.3093024897 6596577.686050339, 253983.5248119205 6596577.346429177, 253983.38014386245 6596571.649119227, 253984.13920728627 6596571.5995276105, 253984.38741606704 6596576.530660419)</t>
  </si>
  <si>
    <t>POLYGON ((253984.3093024897 6596577.686050339, 253983.5248119205 6596577.346429177, 253983.38014386245 6596571.649119227, 253984.13920728627 6596571.5995276105, 253984.38741606704 6596576.530660419, 253984.3093024897 6596577.686050339))</t>
  </si>
  <si>
    <t>['FV465 S4D1 m9660-9714']</t>
  </si>
  <si>
    <t>LINESTRING Z (29959.66 6492105.9 18.414797759354116, 29959.33 6492105.54 18.444798534214495, 29958.86 6492105.53 18.454798899292946, 29958.57 6492105.8100000005 18.464798705577852, 29958.55 6492106.3 18.454798005223275, 29959.4 6492108.91 18.474793557226658, 29959.43 6492109.07 18.48479329645634, 29960.71 6492112.640000001 18.574787119925023, 29961.91 6492115.67 18.644781785309316, 29963.63 6492119.62 18.71477471470833, 29965.77 6492123.850000001 18.774766921401024, 29968.12 6492128.13 18.86475889712572, 29970.79 6492132.43 18.964750597178938, 29974.04 6492137.26 19.084741082787513, 29977.760000000002 6492142.4 19.224730756282806, 29982.09 6492147.86 19.434719491004945, 29985.63 6492152.140000001 19.55471055775881, 29986.07 6492152.29 19.584709998965263, 29986.39 6492152.11 19.554710021317007, 29986.49 6492151.84 19.54471034169197, 29986.38 6492151.5200000005 19.534710893034937, 29984.940000000002 6492149.83 19.49471445441246, 29981.38 6492145.47 19.384723529219627, 29978.34 6492141.58 19.274731516242028, 29975.47 6492137.600000001 19.134739503264427, 29972.11 6492132.68 19.014749233722686, 29968.91 6492127.71 18.914758912026883, 29967.06 6492124.5200000005 18.84476497679949, 29966.21 6492122.2700000005 18.804768903255464, 29965.440000000002 6492119.26 18.734773887693883, 29964.7 6492116.38 18.664778648614885, 29963.97 6492114.26 18.604782299399375, 29962.77 6492111.5200000005 18.55478720933199, 29961.260000000002 6492108.72 18.48479243963957, 29959.99 6492106.49 18.454796649217606, 29959.66 6492105.9 18.414797759354116)</t>
  </si>
  <si>
    <t>POLYGON Z ((29959.66 6492105.9 18.414797759354116, 29959.33 6492105.54 18.444798534214495, 29958.86 6492105.53 18.454798899292946, 29958.57 6492105.8100000005 18.464798705577852, 29958.55 6492106.3 18.454798005223275, 29959.4 6492108.91 18.474793557226658, 29959.43 6492109.07 18.48479329645634, 29960.71 6492112.640000001 18.574787119925023, 29961.91 6492115.67 18.644781785309316, 29963.63 6492119.62 18.71477471470833, 29965.77 6492123.850000001 18.774766921401024, 29968.12 6492128.13 18.86475889712572, 29970.79 6492132.43 18.964750597178938, 29974.04 6492137.26 19.084741082787513, 29977.760000000002 6492142.4 19.224730756282806, 29982.09 6492147.86 19.434719491004945, 29985.63 6492152.140000001 19.55471055775881, 29986.07 6492152.29 19.584709998965263, 29986.39 6492152.11 19.554710021317007, 29986.49 6492151.84 19.54471034169197, 29986.38 6492151.5200000005 19.534710893034937, 29984.940000000002 6492149.83 19.49471445441246, 29981.38 6492145.47 19.384723529219627, 29978.34 6492141.58 19.274731516242028, 29975.47 6492137.600000001 19.134739503264427, 29972.11 6492132.68 19.014749233722686, 29968.91 6492127.71 18.914758912026883, 29967.06 6492124.5200000005 18.84476497679949, 29966.21 6492122.2700000005 18.804768903255464, 29965.440000000002 6492119.26 18.734773887693883, 29964.7 6492116.38 18.664778648614885, 29963.97 6492114.26 18.604782299399375, 29962.77 6492111.5200000005 18.55478720933199, 29961.260000000002 6492108.72 18.48479243963957, 29959.99 6492106.49 18.454796649217606, 29959.66 6492105.9 18.414797759354116))</t>
  </si>
  <si>
    <t>['KV5200 S1D1 m423 KD1 m12-35']</t>
  </si>
  <si>
    <t>LINESTRING (253975.7068663691 6596665.524705027, 253977.55434469483 6596664.633416217, 253979.4625987284 6596665.804206966, 253979.91695651214 6596666.924808049, 253978.58657712137 6596668.765079906, 253975.91975166925 6596668.782971611, 253975.20466355534 6596667.154518001, 253975.2136372164 6596666.159994295)</t>
  </si>
  <si>
    <t>POLYGON ((253975.7068663691 6596665.524705027, 253977.55434469483 6596664.633416217, 253979.4625987284 6596665.804206966, 253979.91695651214 6596666.924808049, 253978.58657712137 6596668.765079906, 253975.91975166925 6596668.782971611, 253975.20466355534 6596667.154518001, 253975.2136372164 6596666.159994295, 253975.7068663691 6596665.524705027))</t>
  </si>
  <si>
    <t>[5600]</t>
  </si>
  <si>
    <t>['KV5600 S1D1 m73-108']</t>
  </si>
  <si>
    <t>LINESTRING (254292.0120714018 6596700.029166633, 254292.81815585846 6596700.177586185, 254311.28717704874 6596690.909345364, 254318.24649461027 6596687.629826394, 254323.3134445196 6596684.641304891, 254322.805870279 6596683.836840721, 254309.34459546232 6596690.343695954, 254291.98002402612 6596699.014992149, 254291.86699459612 6596699.636594279)</t>
  </si>
  <si>
    <t>POLYGON ((254292.0120714018 6596700.029166633, 254292.81815585846 6596700.177586185, 254311.28717704874 6596690.909345364, 254318.24649461027 6596687.629826394, 254323.3134445196 6596684.641304891, 254322.805870279 6596683.836840721, 254309.34459546232 6596690.343695954, 254291.98002402612 6596699.014992149, 254291.86699459612 6596699.636594279, 254292.0120714018 6596700.029166633))</t>
  </si>
  <si>
    <t>['KV5200 S2D1 m4-7']</t>
  </si>
  <si>
    <t>LINESTRING (253977.95842572552 6596679.002354751, 253978.58544864107 6596679.1959117465, 253979.6450720259 6596681.483093003, 253979.2071709108 6596681.746228411, 253977.9051312464 6596679.318536231)</t>
  </si>
  <si>
    <t>POLYGON ((253977.95842572552 6596679.002354751, 253978.58544864107 6596679.1959117465, 253979.6450720259 6596681.483093003, 253979.2071709108 6596681.746228411, 253977.9051312464 6596679.318536231, 253977.95842572552 6596679.002354751))</t>
  </si>
  <si>
    <t>[99122]</t>
  </si>
  <si>
    <t>['KV99122 S1D1 m3-11']</t>
  </si>
  <si>
    <t>LINESTRING (254916.4733498951 6596641.486873708, 254916.92626353222 6596633.238047763, 254918.44495502103 6596633.061028618, 254924.90278775265 6596637.364609321, 254925.91320818145 6596638.817638884, 254916.79877621972 6596641.767217733)</t>
  </si>
  <si>
    <t>POLYGON ((254916.4733498951 6596641.486873708, 254916.92626353222 6596633.238047763, 254918.44495502103 6596633.061028618, 254924.90278775265 6596637.364609321, 254925.91320818145 6596638.817638884, 254916.79877621972 6596641.767217733, 254916.4733498951 6596641.486873708))</t>
  </si>
  <si>
    <t>[4077]</t>
  </si>
  <si>
    <t>['KV4077 S1D1 m131-136']</t>
  </si>
  <si>
    <t>LINESTRING (254577.3009123695 6596597.174856366, 254581.56446191648 6596594.685778698, 254581.4466111705 6596594.012231298, 254576.95575229288 6596596.504956423, 254576.76336706884 6596597.131717586)</t>
  </si>
  <si>
    <t>POLYGON ((254577.3009123695 6596597.174856366, 254581.56446191648 6596594.685778698, 254581.4466111705 6596594.012231298, 254576.95575229288 6596596.504956423, 254576.76336706884 6596597.131717586, 254577.3009123695 6596597.174856366))</t>
  </si>
  <si>
    <t>[4050]</t>
  </si>
  <si>
    <t>['KV4050 S2D1 m11-16']</t>
  </si>
  <si>
    <t>LINESTRING (254552.3056999641 6596608.095535331, 254553.74914684938 6596606.851176439, 254555.18854107425 6596604.322798706, 254556.79550959956 6596606.808956495, 254554.49370387744 6596608.935672271, 254552.77365943248 6596609.427490038, 254552.01938397807 6596608.415725666, 254552.23361873336 6596609.60787121)</t>
  </si>
  <si>
    <t>POINT (254554.36999328574 6596607.266553248)</t>
  </si>
  <si>
    <t>[3560]</t>
  </si>
  <si>
    <t>['KV3560 S1D1 m491-505']</t>
  </si>
  <si>
    <t>LINESTRING (254422.89402521445 6596440.518801679, 254423.35788760788 6596438.210338466, 254424.71289645307 6596435.609239437, 254427.94955308683 6596427.926971729, 254437.5928263353 6596430.726618913, 254429.82458074077 6596435.655599491, 254423.52105646467 6596440.712433057)</t>
  </si>
  <si>
    <t>POLYGON ((254422.89402521445 6596440.518801679, 254423.35788760788 6596438.210338466, 254424.71289645307 6596435.609239437, 254427.94955308683 6596427.926971729, 254437.5928263353 6596430.726618913, 254429.82458074077 6596435.655599491, 254423.52105646467 6596440.712433057, 254422.89402521445 6596440.518801679))</t>
  </si>
  <si>
    <t>[4300]</t>
  </si>
  <si>
    <t>['KV4300 S2D1 m394-408']</t>
  </si>
  <si>
    <t>LINESTRING (255065.40945529804 6597578.6048211185, 255053.32492476635 6597572.232747541, 255052.88159975345 6597573.635208834, 255064.56643858884 6597579.720596022, 255065.17453020514 6597579.189654255)</t>
  </si>
  <si>
    <t>POLYGON ((255065.40945529804 6597578.6048211185, 255053.32492476635 6597572.232747541, 255052.88159975345 6597573.635208834, 255064.56643858884 6597579.720596022, 255065.17453020514 6597579.189654255, 255065.40945529804 6597578.6048211185))</t>
  </si>
  <si>
    <t>['KV4300 S2D1 m792-801']</t>
  </si>
  <si>
    <t>LINESTRING (255440.66623046162 6597683.257474001, 255440.04043322479 6597679.490019191, 255435.6290874221 6597680.915720064, 255431.34234674915 6597681.808458079, 255431.22846535294 6597682.418902048, 255437.19171135945 6597683.784744212, 255440.62596574507 6597683.863134542)</t>
  </si>
  <si>
    <t>POLYGON ((255440.66623046162 6597683.257474001, 255440.04043322479 6597679.490019191, 255435.6290874221 6597680.915720064, 255431.34234674915 6597681.808458079, 255431.22846535294 6597682.418902048, 255437.19171135945 6597683.784744212, 255440.62596574507 6597683.863134542, 255440.66623046162 6597683.257474001))</t>
  </si>
  <si>
    <t>2023-12-07</t>
  </si>
  <si>
    <t>[582]</t>
  </si>
  <si>
    <t>['FV582 S1D1 m664-668']</t>
  </si>
  <si>
    <t>LINESTRING Z (-32828.04876354197 6724723.242817271 44.980000000000004, -32828.24968760577 6724724.022112103 45, -32828.461629606434 6724724.934780149 45, -32828.591097915196 6724725.926683841 45.01, -32828.699445997016 6724726.854699381 45.03, -32828.796248611994 6724727.862126405 45.03, -32828.8688687972 6724728.896446377 45.02, -32828.8584148424 6724729.107787881 45.01, -32828.68083051173 6724729.2137406245 45.01, -32828.32295132661 6724729.37457075 45, -32828.15564511204 6724729.340110217 44.99, -32828.02550995385 6724729.189418829 44.99, -32827.62929528393 6724728.219551017 44.980000000000004, -32827.25979770697 6724727.344793854 44.96, -32826.81792871363 6724726.4797872985 44.95, -32826.33311593637 6724725.77071735 44.94, -32826.111108170124 6724725.485033752 44.93, -32825.72105435585 6724724.891103164 44.75, -32824.98716502497 6724723.943095459 44.74, -32824.24479243648 6724722.983718154 44.71, -32823.50945991557 6724722.045636915 44.7, -32822.97068540193 6724721.359130425 44.660000000000004, -32822.3807990076 6724720.117835121 44.69, -32822.038545967895 6724719.125404026 44.69, -32821.80998906854 6724718.048140395 44.7, -32821.67548781284 6724717.369728995 44.71, -32821.714805344585 6724716.959858816 44.72, -32821.92431544175 6724716.564596269 44.74, -32822.20855581632 6724716.352514914 44.76, -32822.618777652504 6724716.249975996 44.78, -32822.94363946351 6724716.246525593 44.79, -32823.3715676791 6724716.440512367 44.81, -32824.22707245906 6724716.970342363 44.79, -32824.95064722933 6724717.501263899 44.800000000000004, -32825.672602991806 6724718.113040102 44.82, -32825.90400972753 6724718.612951539 44.83, -32826.15797986183 6724719.166824695 44.82, -32826.78162348375 6724720.524526743 44.81, -32827.17963309237 6724721.342611618 44.81, -32827.67060681933 6724722.427618739 44.81, -32828.04876354197 6724723.242817271 44.980000000000004)</t>
  </si>
  <si>
    <t>POLYGON Z ((-32828.04876354197 6724723.242817271 44.980000000000004, -32828.24968760577 6724724.022112103 45, -32828.461629606434 6724724.934780149 45, -32828.591097915196 6724725.926683841 45.01, -32828.699445997016 6724726.854699381 45.03, -32828.796248611994 6724727.862126405 45.03, -32828.8688687972 6724728.896446377 45.02, -32828.8584148424 6724729.107787881 45.01, -32828.68083051173 6724729.2137406245 45.01, -32828.32295132661 6724729.37457075 45, -32828.15564511204 6724729.340110217 44.99, -32828.02550995385 6724729.189418829 44.99, -32827.62929528393 6724728.219551017 44.980000000000004, -32827.25979770697 6724727.344793854 44.96, -32826.81792871363 6724726.4797872985 44.95, -32826.33311593637 6724725.77071735 44.94, -32826.111108170124 6724725.485033752 44.93, -32825.72105435585 6724724.891103164 44.75, -32824.98716502497 6724723.943095459 44.74, -32824.24479243648 6724722.983718154 44.71, -32823.50945991557 6724722.045636915 44.7, -32822.97068540193 6724721.359130425 44.660000000000004, -32822.3807990076 6724720.117835121 44.69, -32822.038545967895 6724719.125404026 44.69, -32821.80998906854 6724718.048140395 44.7, -32821.67548781284 6724717.369728995 44.71, -32821.714805344585 6724716.959858816 44.72, -32821.92431544175 6724716.564596269 44.74, -32822.20855581632 6724716.352514914 44.76, -32822.618777652504 6724716.249975996 44.78, -32822.94363946351 6724716.246525593 44.79, -32823.3715676791 6724716.440512367 44.81, -32824.22707245906 6724716.970342363 44.79, -32824.95064722933 6724717.501263899 44.800000000000004, -32825.672602991806 6724718.113040102 44.82, -32825.90400972753 6724718.612951539 44.83, -32826.15797986183 6724719.166824695 44.82, -32826.78162348375 6724720.524526743 44.81, -32827.17963309237 6724721.342611618 44.81, -32827.67060681933 6724722.427618739 44.81, -32828.04876354197 6724723.242817271 44.980000000000004))</t>
  </si>
  <si>
    <t>[4330]</t>
  </si>
  <si>
    <t>['KV4330 S1D1 m9-25']</t>
  </si>
  <si>
    <t>LINESTRING (255631.24315183307 6598362.770800109, 255633.6898988676 6598363.237293923, 255641.46498424627 6598363.190280659, 255643.37688471368 6598363.300649532, 255646.71740526496 6598363.083737736, 255646.2788462944 6598362.196483119, 255642.31223259043 6598361.002280267, 255632.36987912847 6598360.50881113, 255631.11873611665 6598362.343348266)</t>
  </si>
  <si>
    <t>POLYGON ((255631.24315183307 6598362.770800109, 255633.6898988676 6598363.237293923, 255641.46498424627 6598363.190280659, 255643.37688471368 6598363.300649532, 255646.71740526496 6598363.083737736, 255646.2788462944 6598362.196483119, 255642.31223259043 6598361.002280267, 255632.36987912847 6598360.50881113, 255631.11873611665 6598362.343348266, 255631.24315183307 6598362.770800109))</t>
  </si>
  <si>
    <t>['KV4330 S1D1 m6-13']</t>
  </si>
  <si>
    <t>LINESTRING (255627.7006121761 6598356.724729774, 255625.4136310917 6598347.336228176, 255627.00468568955 6598348.371989287, 255633.40438435783 6598355.338103593, 255628.29993719156 6598356.585303692)</t>
  </si>
  <si>
    <t>POLYGON ((255627.7006121761 6598356.724729774, 255625.4136310917 6598347.336228176, 255627.00468568955 6598348.371989287, 255633.40438435783 6598355.338103593, 255628.29993719156 6598356.585303692, 255627.7006121761 6598356.724729774))</t>
  </si>
  <si>
    <t>[5010]</t>
  </si>
  <si>
    <t>['KV5010 S4D1 m20-56']</t>
  </si>
  <si>
    <t>LINESTRING (256074.79366872163 6598941.699401408, 256074.5031137114 6598939.585271777, 256074.84784793595 6598937.887816599, 256076.060641755 6598935.374702051, 256078.58294896592 6598934.295451676, 256081.15500383772 6598933.983526128, 256083.0268789831 6598934.621551866, 256085.97177708356 6598937.780843002, 256086.15850266206 6598940.6610849695, 256084.52804388475 6598943.659135173, 256081.58613222573 6598945.368623173, 256078.09329031047 6598945.59506978, 256075.47798405166 6598942.872278356)</t>
  </si>
  <si>
    <t>POLYGON ((256074.79366872163 6598941.699401408, 256074.5031137114 6598939.585271777, 256074.84784793595 6598937.887816599, 256076.060641755 6598935.374702051, 256078.58294896592 6598934.295451676, 256081.15500383772 6598933.983526128, 256083.0268789831 6598934.621551866, 256085.97177708356 6598937.780843002, 256086.15850266206 6598940.6610849695, 256084.52804388475 6598943.659135173, 256081.58613222573 6598945.368623173, 256078.09329031047 6598945.59506978, 256075.47798405166 6598942.872278356, 256074.79366872163 6598941.699401408))</t>
  </si>
  <si>
    <t>2023-12-12</t>
  </si>
  <si>
    <t>[3867]</t>
  </si>
  <si>
    <t>['KV3867 S1D1 m7-16']</t>
  </si>
  <si>
    <t>LINESTRING (256139.51226553277 6601413.35916503, 256141.0196481706 6601413.038028152, 256147.72456146736 6601408.415282923, 256146.8539827655 6601407.868717049, 256144.7708447602 6601408.685066065, 256140.53239575215 6601411.39452309, 256139.3406473582 6601412.990605811)</t>
  </si>
  <si>
    <t>POLYGON ((256139.51226553277 6601413.35916503, 256141.0196481706 6601413.038028152, 256147.72456146736 6601408.415282923, 256146.8539827655 6601407.868717049, 256144.7708447602 6601408.685066065, 256140.53239575215 6601411.39452309, 256139.3406473582 6601412.990605811, 256139.51226553277 6601413.35916503))</t>
  </si>
  <si>
    <t>[6085]</t>
  </si>
  <si>
    <t>['KV6085 S1D1 m8-15']</t>
  </si>
  <si>
    <t>LINESTRING (256327.43457201056 6601699.531836976, 256332.24983951458 6601696.260308978, 256331.7035692086 6601694.843962211, 256326.29754643334 6601698.466476392, 256326.84442870287 6601699.804611112)</t>
  </si>
  <si>
    <t>POLYGON ((256327.43457201056 6601699.531836976, 256332.24983951458 6601696.260308978, 256331.7035692086 6601694.843962211, 256326.29754643334 6601698.466476392, 256326.84442870287 6601699.804611112, 256327.43457201056 6601699.531836976))</t>
  </si>
  <si>
    <t>[3692]</t>
  </si>
  <si>
    <t>['KV3692 S1D1 m8-22']</t>
  </si>
  <si>
    <t>LINESTRING (256142.94865278885 6602331.647337116, 256133.77590542103 6602322.895435533, 256133.30313995623 6602321.47434612, 256134.85356794673 6602321.909768183, 256142.31432233888 6602328.87430148, 256143.52990295287 6602331.15175198)</t>
  </si>
  <si>
    <t>POLYGON ((256142.94865278885 6602331.647337116, 256133.77590542103 6602322.895435533, 256133.30313995623 6602321.47434612, 256134.85356794673 6602321.909768183, 256142.31432233888 6602328.87430148, 256143.52990295287 6602331.15175198, 256142.94865278885 6602331.647337116))</t>
  </si>
  <si>
    <t>['KV5085 S1D1 m613-625']</t>
  </si>
  <si>
    <t>LINESTRING (256082.89169752374 6597301.864886913, 256084.3012999523 6597301.237524297, 256091.39010050392 6597294.07784536, 256090.89657192922 6597293.395113372, 256088.48717590183 6597295.1816471275, 256086.1057818815 6597297.312554984, 256084.66146088348 6597298.545201103, 256082.57653235414 6597300.511727875, 256082.29662867333 6597301.546089055)</t>
  </si>
  <si>
    <t>POLYGON ((256082.89169752374 6597301.864886913, 256084.3012999523 6597301.237524297, 256091.39010050392 6597294.07784536, 256090.89657192922 6597293.395113372, 256088.48717590183 6597295.1816471275, 256086.1057818815 6597297.312554984, 256084.66146088348 6597298.545201103, 256082.57653235414 6597300.511727875, 256082.29662867333 6597301.546089055, 256082.89169752374 6597301.864886913))</t>
  </si>
  <si>
    <t>[3640]</t>
  </si>
  <si>
    <t>['KV3640 S1D1 m329-334']</t>
  </si>
  <si>
    <t>LINESTRING (255537.22353069065 6596936.281542722, 255533.087671754 6596940.737872929, 255533.81645698484 6596941.449938914, 255537.58798744154 6596937.251781187, 255537.69614996677 6596936.552376972)</t>
  </si>
  <si>
    <t>POLYGON ((255537.22353069065 6596936.281542722, 255533.087671754 6596940.737872929, 255533.81645698484 6596941.449938914, 255537.58798744154 6596937.251781187, 255537.69614996677 6596936.552376972, 255537.22353069065 6596936.281542722))</t>
  </si>
  <si>
    <t>['FV170 S3D1 m1592-1675']</t>
  </si>
  <si>
    <t>LINESTRING Z (302527.95387415146 6648621.982992541 146.51, 302480.5153927369 6648668.036525539 146.98, 302468.50816065364 6648679.693899683 147.1)</t>
  </si>
  <si>
    <t>POINT (302498.230880077 6648650.838304662)</t>
  </si>
  <si>
    <t>LINESTRING Z (595203.41 7714340.5200000005 5.73, 595208.1900000001 7714341.3 5.65, 595208.33 7714340.44 5.65, 595208.36 7714340.17 5.64, 595208.35 7714339.9 5.64, 595208.31 7714339.640000001 5.63, 595208.22 7714339.38 5.62, 595208.11 7714339.13 5.61, 595207.96 7714338.9 5.61, 595207.78 7714338.7 5.6000000000000005, 595207.58 7714338.5200000005 5.6000000000000005, 595207.36 7714338.37 5.6000000000000005, 595207.11 7714338.25 5.59, 595206.85 7714338.17 5.59, 595206.59 7714338.12 5.59, 595205.26 7714338.12 5.59, 595203.7000000001 7714338.600000001 5.63, 595203.41 7714340.5200000005 5.73)</t>
  </si>
  <si>
    <t>POLYGON Z ((595203.41 7714340.5200000005 5.73, 595208.1900000001 7714341.3 5.65, 595208.33 7714340.44 5.65, 595208.36 7714340.17 5.64, 595208.35 7714339.9 5.64, 595208.31 7714339.640000001 5.63, 595208.22 7714339.38 5.62, 595208.11 7714339.13 5.61, 595207.96 7714338.9 5.61, 595207.78 7714338.7 5.6000000000000005, 595207.58 7714338.5200000005 5.6000000000000005, 595207.36 7714338.37 5.6000000000000005, 595207.11 7714338.25 5.59, 595206.85 7714338.17 5.59, 595206.59 7714338.12 5.59, 595205.26 7714338.12 5.59, 595203.7000000001 7714338.600000001 5.63, 595203.41 7714340.5200000005 5.73))</t>
  </si>
  <si>
    <t>['FV7868 S1D1 m5744 SD1 m49-77']</t>
  </si>
  <si>
    <t>LINESTRING Z (595203.36 7714387.51 5.86, 595199.46 7714397.96 5.9, 595199.4 7714398.17 5.9, 595199.35 7714398.38 5.9, 595199.34 7714398.600000001 5.9, 595199.34 7714398.82 5.89, 595199.46 7714400.24 5.88, 595199.49 7714400.390000001 5.88, 595199.54 7714400.54 5.88, 595199.61 7714400.67 5.87, 595200 7714401.3100000005 5.84, 595200.11 7714401.46 5.8100000000000005, 595200.25 7714401.59 5.78, 595200.42 7714401.68 5.75, 595200.59 7714401.75 5.73, 595200.78 7714401.78 5.71, 595200.97 7714401.78 5.69, 595201.16 7714401.73 5.66, 595201.33 7714401.66 5.63, 595201.49 7714401.55 5.61, 595201.62 7714401.41 5.58, 595201.73 7714401.26 5.5600000000000005, 595202.1 7714400.5600000005 5.47, 595202.18 7714400.38 5.46, 595202.22 7714400.2 5.44, 595202.22 7714400.01 5.43, 595202.1900000001 7714399.82 5.43, 595202.01 7714399.19 5.43, 595201.96 7714398.96 5.44, 595201.9400000001 7714398.72 5.44, 595201.9500000001 7714398.48 5.43, 595201.98 7714398.25 5.41, 595202.04 7714398.0200000005 5.4, 595204.96 7714389.34 5.34, 595207.38 7714383.72 5.3500000000000005, 595207.46 7714383.51 5.33, 595207.53 7714383.29 5.32, 595208.77 7714378.5600000005 5.44, 595208.81 7714378.36 5.44, 595209.3200000001 7714376.100000001 5.48, 595209.35 7714375.91 5.49, 595209.34 7714375.72 5.51, 595209.29 7714375.53 5.5200000000000005, 595209.2000000001 7714375.36 5.54, 595209.09 7714375.21 5.5600000000000005, 595208.9500000001 7714375.08 5.59, 595208.78 7714374.98 5.61, 595208.6 7714374.91 5.64, 595208.41 7714374.88 5.67, 595208.22 7714374.890000001 5.69, 595208.04 7714374.93 5.72, 595207.86 7714375.01 5.73, 595207.7000000001 7714375.12 5.74, 595207.5700000001 7714375.25 5.75, 595207.46 7714375.42 5.76, 595207.39 7714375.59 5.76, 595203.36 7714387.51 5.86)</t>
  </si>
  <si>
    <t>POLYGON Z ((595203.36 7714387.51 5.86, 595199.46 7714397.96 5.9, 595199.4 7714398.17 5.9, 595199.35 7714398.38 5.9, 595199.34 7714398.600000001 5.9, 595199.34 7714398.82 5.89, 595199.46 7714400.24 5.88, 595199.49 7714400.390000001 5.88, 595199.54 7714400.54 5.88, 595199.61 7714400.67 5.87, 595200 7714401.3100000005 5.84, 595200.11 7714401.46 5.8100000000000005, 595200.25 7714401.59 5.78, 595200.42 7714401.68 5.75, 595200.59 7714401.75 5.73, 595200.78 7714401.78 5.71, 595200.97 7714401.78 5.69, 595201.16 7714401.73 5.66, 595201.33 7714401.66 5.63, 595201.49 7714401.55 5.61, 595201.62 7714401.41 5.58, 595201.73 7714401.26 5.5600000000000005, 595202.1 7714400.5600000005 5.47, 595202.18 7714400.38 5.46, 595202.22 7714400.2 5.44, 595202.22 7714400.01 5.43, 595202.1900000001 7714399.82 5.43, 595202.01 7714399.19 5.43, 595201.96 7714398.96 5.44, 595201.9400000001 7714398.72 5.44, 595201.9500000001 7714398.48 5.43, 595201.98 7714398.25 5.41, 595202.04 7714398.0200000005 5.4, 595204.96 7714389.34 5.34, 595207.38 7714383.72 5.3500000000000005, 595207.46 7714383.51 5.33, 595207.53 7714383.29 5.32, 595208.77 7714378.5600000005 5.44, 595208.81 7714378.36 5.44, 595209.3200000001 7714376.100000001 5.48, 595209.35 7714375.91 5.49, 595209.34 7714375.72 5.51, 595209.29 7714375.53 5.5200000000000005, 595209.2000000001 7714375.36 5.54, 595209.09 7714375.21 5.5600000000000005, 595208.9500000001 7714375.08 5.59, 595208.78 7714374.98 5.61, 595208.6 7714374.91 5.64, 595208.41 7714374.88 5.67, 595208.22 7714374.890000001 5.69, 595208.04 7714374.93 5.72, 595207.86 7714375.01 5.73, 595207.7000000001 7714375.12 5.74, 595207.5700000001 7714375.25 5.75, 595207.46 7714375.42 5.76, 595207.39 7714375.59 5.76, 595203.36 7714387.51 5.86))</t>
  </si>
  <si>
    <t>2024-01-08</t>
  </si>
  <si>
    <t>[49811]</t>
  </si>
  <si>
    <t>['KV49811 S3D1 m16-28']</t>
  </si>
  <si>
    <t>LINESTRING (536647.2441209586 7532768.321485674, 536649.7892709313 7532767.632660306, 536652.4539329696 7532766.209606978, 536654.4462057172 7532764.5429033805, 536655.9931928985 7532762.602304945, 536656.2887140055 7532761.591803826, 536656.0210641925 7532760.629099347, 536654.0431160277 7532761.281328795, 536651.716561069 7532762.541901548, 536647.9618528795 7532765.354497056, 536646.7631074451 7532767.902132786)</t>
  </si>
  <si>
    <t>POLYGON ((536647.2441209586 7532768.321485674, 536649.7892709313 7532767.632660306, 536652.4539329696 7532766.209606978, 536654.4462057172 7532764.5429033805, 536655.9931928985 7532762.602304945, 536656.2887140055 7532761.591803826, 536656.0210641925 7532760.629099347, 536654.0431160277 7532761.281328795, 536651.716561069 7532762.541901548, 536647.9618528795 7532765.354497056, 536646.7631074451 7532767.902132786, 536647.2441209586 7532768.321485674))</t>
  </si>
  <si>
    <t>['KV49811 S1D1 m8-18']</t>
  </si>
  <si>
    <t>LINESTRING (536218.8688418898 7531361.335812849, 536218.9139460356 7531362.016605931, 536218.4014957149 7531362.622721085, 536216.5988127437 7531362.084668254, 536213.0736949657 7531360.976234792, 536210.1100138306 7531359.3627244225, 536209.4005012697 7531357.836399797, 536210.4734617211 7531357.3942020135, 536213.3402469706 7531357.824437243, 536215.6364145959 7531358.815379202, 536217.2588483265 7531359.629673097, 536218.589830809 7531361.164667871)</t>
  </si>
  <si>
    <t>POLYGON ((536218.8688418898 7531361.335812849, 536218.9139460356 7531362.016605931, 536218.4014957149 7531362.622721085, 536216.5988127437 7531362.084668254, 536213.0736949657 7531360.976234792, 536210.1100138306 7531359.3627244225, 536209.4005012697 7531357.836399797, 536210.4734617211 7531357.3942020135, 536213.3402469706 7531357.824437243, 536215.6364145959 7531358.815379202, 536217.2588483265 7531359.629673097, 536218.589830809 7531361.164667871, 536218.8688418898 7531361.335812849))</t>
  </si>
  <si>
    <t>[49630]</t>
  </si>
  <si>
    <t>['KV49630 S1D1 m5-13']</t>
  </si>
  <si>
    <t>LINESTRING (538977.3649130479 7539056.225594336, 538975.1861722418 7539055.467994725, 538975.6000510197 7539053.846250612, 538977.4485322785 7539050.673889058, 538979.4586213924 7539047.615468309, 538980.3502050551 7539048.197575198, 538980.0342626022 7539050.5455783745, 538980.0430154419 7539053.578654868, 538979.8895049378 7539056.263620726, 538979.4304432886 7539056.992641076, 538977.8656402734 7539056.344641604)</t>
  </si>
  <si>
    <t>POLYGON ((538977.3649130479 7539056.225594336, 538975.1861722418 7539055.467994725, 538975.6000510197 7539053.846250612, 538977.4485322785 7539050.673889058, 538979.4586213924 7539047.615468309, 538980.3502050551 7539048.197575198, 538980.0342626022 7539050.5455783745, 538980.0430154419 7539053.578654868, 538979.8895049378 7539056.263620726, 538979.4304432886 7539056.992641076, 538977.8656402734 7539056.344641604, 538977.3649130479 7539056.225594336))</t>
  </si>
  <si>
    <t>[6040]</t>
  </si>
  <si>
    <t>['KV6040 S1D1 m1984-1999']</t>
  </si>
  <si>
    <t>LINESTRING (256255.66279802046 6597514.131669452, 256258.26031901338 6597514.197989115, 256255.08367993453 6597506.329741379, 256251.20154804934 6597499.422894332, 256250.46212459012 6597499.772290427, 256251.79738391153 6597505.023786623, 256252.48452218447 6597514.493811547, 256255.27400545796 6597514.011669897)</t>
  </si>
  <si>
    <t>POLYGON ((256255.66279802046 6597514.131669452, 256258.26031901338 6597514.197989115, 256255.08367993453 6597506.329741379, 256251.20154804934 6597499.422894332, 256250.46212459012 6597499.772290427, 256251.79738391153 6597505.023786623, 256252.48452218447 6597514.493811547, 256255.27400545796 6597514.011669897, 256255.66279802046 6597514.131669452))</t>
  </si>
  <si>
    <t>['KV6040 S1D1 m1735-1770']</t>
  </si>
  <si>
    <t>LINESTRING (256107.63895802238 6597341.223208805, 256093.09868521366 6597326.330010959, 256083.0167607445 6597316.698142328, 256083.05639036547 6597317.309776822, 256090.0041279582 6597324.475724923, 256100.35145936304 6597334.693448295, 256101.90295291992 6597337.485262178, 256106.24882121195 6597342.150819957, 256107.31314280495 6597341.724511633)</t>
  </si>
  <si>
    <t>POLYGON ((256107.63895802238 6597341.223208805, 256093.09868521366 6597326.330010959, 256083.0167607445 6597316.698142328, 256083.05639036547 6597317.309776822, 256090.0041279582 6597324.475724923, 256100.35145936304 6597334.693448295, 256101.90295291992 6597337.485262178, 256106.24882121195 6597342.150819957, 256107.31314280495 6597341.724511633, 256107.63895802238 6597341.223208805))</t>
  </si>
  <si>
    <t>['KV6040 S1D1 m1700-1709']</t>
  </si>
  <si>
    <t>LINESTRING (256065.26353876336 6597298.126986268, 256065.1453382734 6597297.531610224, 256058.71029709943 6597291.170026566, 256058.14764038761 6597291.965863769, 256063.567565279 6597299.074429888, 256064.56424980308 6597298.306306147)</t>
  </si>
  <si>
    <t>POLYGON ((256065.26353876336 6597298.126986268, 256065.1453382734 6597297.531610224, 256058.71029709943 6597291.170026566, 256058.14764038761 6597291.965863769, 256063.567565279 6597299.074429888, 256064.56424980308 6597298.306306147, 256065.26353876336 6597298.126986268))</t>
  </si>
  <si>
    <t>['KV6040 S1D1 m1497-1513']</t>
  </si>
  <si>
    <t>LINESTRING (255941.55160093814 6597146.407499871, 255941.1477160156 6597144.914923592, 255933.21408424265 6597134.306566285, 255932.1990352802 6597133.914509343, 255931.28212660638 6597133.895780085, 255930.93221453635 6597134.3763257405, 255940.03372380006 6597146.505898941, 255940.97349125767 6597146.701825692)</t>
  </si>
  <si>
    <t>POLYGON ((255941.55160093814 6597146.407499871, 255941.1477160156 6597144.914923592, 255933.21408424265 6597134.306566285, 255932.1990352802 6597133.914509343, 255931.28212660638 6597133.895780085, 255930.93221453635 6597134.3763257405, 255940.03372380006 6597146.505898941, 255940.97349125767 6597146.701825692, 255941.55160093814 6597146.407499871))</t>
  </si>
  <si>
    <t>[99561]</t>
  </si>
  <si>
    <t>['KV99561 S1D1 m6-21']</t>
  </si>
  <si>
    <t>LINESTRING (256619.82672649444 6597539.905727406, 256618.75199639934 6597539.818874417, 256617.20833667254 6597546.551988304, 256612.8494116971 6597553.455964185, 256613.87361655998 6597553.99276939, 256617.80806526548 6597548.791317322, 256620.09279656358 6597540.502719497)</t>
  </si>
  <si>
    <t>POLYGON ((256619.82672649444 6597539.905727406, 256618.75199639934 6597539.818874417, 256617.20833667254 6597546.551988304, 256612.8494116971 6597553.455964185, 256613.87361655998 6597553.99276939, 256617.80806526548 6597548.791317322, 256620.09279656358 6597540.502719497, 256619.82672649444 6597539.905727406))</t>
  </si>
  <si>
    <t>2024-01-10</t>
  </si>
  <si>
    <t>[3221]</t>
  </si>
  <si>
    <t>['KV3221 S1D1 m845-876']</t>
  </si>
  <si>
    <t>LINESTRING (256894.71324018462 6596903.2509094635, 256891.83287283787 6596904.006411865, 256871.60618872373 6596902.576540172, 256866.3716294323 6596901.842519454, 256863.41473731986 6596900.972588955, 256864.38622329096 6596899.458131262, 256883.55446906097 6596900.967477373, 256889.9953878989 6596901.534291004, 256894.49034389804 6596902.617610131)</t>
  </si>
  <si>
    <t>POLYGON ((256894.71324018462 6596903.2509094635, 256891.83287283787 6596904.006411865, 256871.60618872373 6596902.576540172, 256866.3716294323 6596901.842519454, 256863.41473731986 6596900.972588955, 256864.38622329096 6596899.458131262, 256883.55446906097 6596900.967477373, 256889.9953878989 6596901.534291004, 256894.49034389804 6596902.617610131, 256894.71324018462 6596903.2509094635))</t>
  </si>
  <si>
    <t>['KV3221 S1D1 m5-16']</t>
  </si>
  <si>
    <t>LINESTRING (256636.24279873032 6597503.288077819, 256637.34313562437 6597493.479162776, 256638.6343394832 6597493.395686717, 256637.6642519148 6597503.196180456, 256636.61970861896 6597503.576391382)</t>
  </si>
  <si>
    <t>POLYGON ((256636.24279873032 6597503.288077819, 256637.34313562437 6597493.479162776, 256638.6343394832 6597493.395686717, 256637.6642519148 6597503.196180456, 256636.61970861896 6597503.576391382, 256636.24279873032 6597503.288077819))</t>
  </si>
  <si>
    <t>[4890]</t>
  </si>
  <si>
    <t>['KV4890 S1D1 m10-23']</t>
  </si>
  <si>
    <t>LINESTRING (258612.16117155433 6598129.11240863, 258610.95940854092 6598130.674660536, 258610.54092865845 6598136.028014632, 258611.02339924907 6598141.245414112, 258612.23562749126 6598142.239663234, 258613.32521147307 6598141.41044161, 258614.11820204268 6598134.804730754, 258612.6856117521 6598129.0452707615)</t>
  </si>
  <si>
    <t>POLYGON ((258612.16117155433 6598129.11240863, 258610.95940854092 6598130.674660536, 258610.54092865845 6598136.028014632, 258611.02339924907 6598141.245414112, 258612.23562749126 6598142.239663234, 258613.32521147307 6598141.41044161, 258614.11820204268 6598134.804730754, 258612.6856117521 6598129.0452707615, 258612.16117155433 6598129.11240863))</t>
  </si>
  <si>
    <t>[5715]</t>
  </si>
  <si>
    <t>['KV5715 S1D1 m9-20']</t>
  </si>
  <si>
    <t>LINESTRING (258680.35353640595 6598111.841631739, 258679.45773080215 6598110.905238612, 258678.96382924626 6598100.808734945, 258680.53565167735 6598100.406446589, 258681.49317793935 6598104.610717918, 258681.6210974809 6598110.152352425, 258681.0286762923 6598111.642007082)</t>
  </si>
  <si>
    <t>POLYGON ((258680.35353640595 6598111.841631739, 258679.45773080215 6598110.905238612, 258678.96382924626 6598100.808734945, 258680.53565167735 6598100.406446589, 258681.49317793935 6598104.610717918, 258681.6210974809 6598110.152352425, 258681.0286762923 6598111.642007082, 258680.35353640595 6598111.841631739))</t>
  </si>
  <si>
    <t>[50429]</t>
  </si>
  <si>
    <t>['KV50429 S1D1 m9-19']</t>
  </si>
  <si>
    <t>LINESTRING (545025.047702497 7548229.517148013, 545030.4336890301 7548228.652252623, 545033.0126220171 7548228.41853673, 545034.240411018 7548228.60725858, 545034.9070222611 7548228.908837206, 545034.1733194876 7548229.342062078, 545033.3821843524 7548229.718527825, 545028.8950232333 7548230.253435849, 545026.5985312338 7548230.3248232305, 545024.9282445904 7548229.905351196)</t>
  </si>
  <si>
    <t>POLYGON ((545025.047702497 7548229.517148013, 545030.4336890301 7548228.652252623, 545033.0126220171 7548228.41853673, 545034.240411018 7548228.60725858, 545034.9070222611 7548228.908837206, 545034.1733194876 7548229.342062078, 545033.3821843524 7548229.718527825, 545028.8950232333 7548230.253435849, 545026.5985312338 7548230.3248232305, 545024.9282445904 7548229.905351196, 545025.047702497 7548229.517148013))</t>
  </si>
  <si>
    <t>2024-01-11</t>
  </si>
  <si>
    <t>[6180]</t>
  </si>
  <si>
    <t>['KV6180 S1D1 m956-964']</t>
  </si>
  <si>
    <t>LINESTRING (255295.4695558284 6595246.254661941, 255294.50812603394 6595246.696803869, 255290.1048781215 6595239.96965662, 255290.983253037 6595239.3877316555, 255295.3467721597 6595245.503250679)</t>
  </si>
  <si>
    <t>POLYGON ((255295.4695558284 6595246.254661941, 255294.50812603394 6595246.696803869, 255290.1048781215 6595239.96965662, 255290.983253037 6595239.3877316555, 255295.3467721597 6595245.503250679, 255295.4695558284 6595246.254661941))</t>
  </si>
  <si>
    <t>['KV6180 S1D1 m1522-1528']</t>
  </si>
  <si>
    <t>LINESTRING (255078.64394610494 6594729.921989898, 255073.76963338736 6594726.118016404, 255076.7341824448 6594723.568980322, 255079.72818811768 6594728.477914076, 255078.81012316627 6594729.676671259)</t>
  </si>
  <si>
    <t>POLYGON ((255078.64394610494 6594729.921989898, 255073.76963338736 6594726.118016404, 255076.7341824448 6594723.568980322, 255079.72818811768 6594728.477914076, 255078.81012316627 6594729.676671259, 255078.64394610494 6594729.921989898))</t>
  </si>
  <si>
    <t>['KV1003 S1D1 m6-25']</t>
  </si>
  <si>
    <t>LINESTRING (254536.04623929606 6596413.720905493, 254535.91823168367 6596412.891673148, 254518.79832514998 6596418.273686086, 254517.80799648722 6596419.488514689, 254518.92735894307 6596420.253123064, 254533.28814216013 6596415.307814074, 254536.12331798242 6596414.117917885)</t>
  </si>
  <si>
    <t>POLYGON ((254536.04623929606 6596413.720905493, 254535.91823168367 6596412.891673148, 254518.79832514998 6596418.273686086, 254517.80799648722 6596419.488514689, 254518.92735894307 6596420.253123064, 254533.28814216013 6596415.307814074, 254536.12331798242 6596414.117917885, 254536.04623929606 6596413.720905493))</t>
  </si>
  <si>
    <t>2024-01-13</t>
  </si>
  <si>
    <t>[1]</t>
  </si>
  <si>
    <t>['KV1 S1D1 m50-67']</t>
  </si>
  <si>
    <t>LINESTRING Z (481511.67 7463219.38 29.5, 481511.33 7463220.32 29.45, 481510.76 7463221.84 29.53, 481510.06 7463223.59 29.5, 481509.64 7463224.5 29.63, 481509.12 7463225.66 29.7, 481508.06 7463227.82 29.75, 481506.92 7463229.93 29.79, 481505.98 7463231.56 29.82, 481505.76 7463231.93 29.85, 481505.76 7463232.3 29.87, 481505.99 7463232.53 29.86, 481508.35 7463232.58 29.86, 481510.49 7463232.81 29.87, 481511.54 7463233.02 29.86, 481513.62 7463233.63 29.86, 481514.25 7463233.83 29.89, 481514.55 7463233.84 29.88, 481514.74 7463233.73 29.86, 481514.81 7463233.68 29.84, 481514.85 7463233.62 29.830000000000002, 481514.88 7463233.54 29.82, 481514.9 7463233.43 29.82, 481514.9 7463233.32 29.82, 481514.87 7463233.19 29.82, 481514.49 7463231.49 29.75, 481514.05 7463229.15 29.71, 481513.65 7463226.41 29.64, 481513.54 7463225.53 29.64, 481513.5 7463225.08 29.62, 481513.41 7463224.1 29.51, 481513.35 7463223.54 29.61, 481513.21 7463221.34 29.560000000000002, 481513.18 7463220.64 29.45, 481513.15 7463219.63 29.54, 481513.14 7463218.9 29.53, 481513.14 7463217.92 29.51, 481513.09 7463217.71 29.51, 481512.98 7463217.56 29.51, 481512.82 7463217.46 29.5, 481512.63 7463217.44 29.5, 481512.45 7463217.49 29.5, 481512.22 7463217.71 29.490000000000002, 481511.67 7463219.38 29.5)</t>
  </si>
  <si>
    <t>POLYGON Z ((481511.67 7463219.38 29.5, 481511.33 7463220.32 29.45, 481510.76 7463221.84 29.53, 481510.06 7463223.59 29.5, 481509.64 7463224.5 29.63, 481509.12 7463225.66 29.7, 481508.06 7463227.82 29.75, 481506.92 7463229.93 29.79, 481505.98 7463231.56 29.82, 481505.76 7463231.93 29.85, 481505.76 7463232.3 29.87, 481505.99 7463232.53 29.86, 481508.35 7463232.58 29.86, 481510.49 7463232.81 29.87, 481511.54 7463233.02 29.86, 481513.62 7463233.63 29.86, 481514.25 7463233.83 29.89, 481514.55 7463233.84 29.88, 481514.74 7463233.73 29.86, 481514.81 7463233.68 29.84, 481514.85 7463233.62 29.830000000000002, 481514.88 7463233.54 29.82, 481514.9 7463233.43 29.82, 481514.9 7463233.32 29.82, 481514.87 7463233.19 29.82, 481514.49 7463231.49 29.75, 481514.05 7463229.15 29.71, 481513.65 7463226.41 29.64, 481513.54 7463225.53 29.64, 481513.5 7463225.08 29.62, 481513.41 7463224.1 29.51, 481513.35 7463223.54 29.61, 481513.21 7463221.34 29.560000000000002, 481513.18 7463220.64 29.45, 481513.15 7463219.63 29.54, 481513.14 7463218.9 29.53, 481513.14 7463217.92 29.51, 481513.09 7463217.71 29.51, 481512.98 7463217.56 29.51, 481512.82 7463217.46 29.5, 481512.63 7463217.44 29.5, 481512.45 7463217.49 29.5, 481512.22 7463217.71 29.490000000000002, 481511.67 7463219.38 29.5))</t>
  </si>
  <si>
    <t>['RV80 S5D1 m1649 KD1 m42-90', 'RV80 S5D1 m1626-1645', 'RV80 S5D1 m1653-1671']</t>
  </si>
  <si>
    <t>LINESTRING Z (481472.79 7463240.33 29.39, 481472.55 7463240.33 28.93, 481472.35 7463240.44 29.150000000000002, 481472.23 7463240.63 29.37, 481472.23 7463240.64 29.43, 481472.2 7463240.84 29.400000000000002, 481472.24 7463241.03 29.38, 481472.46 7463241.28 29.39, 481475.08 7463242.72 29.45, 481477.72 7463244.35 29.5, 481480.44 7463246.22 29.54, 481482.73 7463248 29.59, 481485.61 7463250.44 29.64, 481486.34 7463251.11 29.7, 481486.54 7463251.14 29.7, 481486.74 7463251.09 29.71, 481486.9 7463250.97 29.7, 481487 7463250.8 29.7, 481487.5 7463247.99 29.7, 481488.36 7463245.28 29.71, 481489.62 7463242.74 29.69, 481490.07 7463241.95 29.7, 481490.14 7463241.76 29.72, 481490.13 7463241.56 29.73, 481490.04 7463241.39 29.72, 481489.89 7463241.26 29.71, 481489.73 7463241.19 29.7, 481489.56 7463241.19 29.7, 481487.15 7463241.34 29.63, 481483.67 7463241.39 29.59, 481480.26 7463241.22 29.5, 481476.97 7463240.93 29.44, 481473.83 7463240.51 29.41, 481472.79 7463240.33 29.39)</t>
  </si>
  <si>
    <t>POLYGON Z ((481472.79 7463240.33 29.39, 481472.55 7463240.33 28.93, 481472.35 7463240.44 29.150000000000002, 481472.23 7463240.63 29.37, 481472.23 7463240.64 29.43, 481472.2 7463240.84 29.400000000000002, 481472.24 7463241.03 29.38, 481472.46 7463241.28 29.39, 481475.08 7463242.72 29.45, 481477.72 7463244.35 29.5, 481480.44 7463246.22 29.54, 481482.73 7463248 29.59, 481485.61 7463250.44 29.64, 481486.34 7463251.11 29.7, 481486.54 7463251.14 29.7, 481486.74 7463251.09 29.71, 481486.9 7463250.97 29.7, 481487 7463250.8 29.7, 481487.5 7463247.99 29.7, 481488.36 7463245.28 29.71, 481489.62 7463242.74 29.69, 481490.07 7463241.95 29.7, 481490.14 7463241.76 29.72, 481490.13 7463241.56 29.73, 481490.04 7463241.39 29.72, 481489.89 7463241.26 29.71, 481489.73 7463241.19 29.7, 481489.56 7463241.19 29.7, 481487.15 7463241.34 29.63, 481483.67 7463241.39 29.59, 481480.26 7463241.22 29.5, 481476.97 7463240.93 29.44, 481473.83 7463240.51 29.41, 481472.79 7463240.33 29.39))</t>
  </si>
  <si>
    <t>2024-09-11</t>
  </si>
  <si>
    <t>['RV80 S5D1 m1649 KD1 m0-102']</t>
  </si>
  <si>
    <t>LINESTRING Z (481505.99 7463265.27 29.88, 481507.99 7463265.3 29.84, 481509.98 7463265 29.86, 481511.87 7463264.4 29.85, 481513.65 7463263.5 29.85, 481515.27 7463262.32 29.88, 481516.67 7463260.91 29.87, 481517.83 7463259.28 29.87, 481518.73 7463257.49 29.85, 481519.33 7463255.57 29.86, 481519.6 7463253.62 29.85, 481519.58 7463251.62 29.87, 481519.21 7463249.66 29.88, 481518.54 7463247.78 29.86, 481517.61 7463246.01 29.87, 481516.38 7463244.45 29.86, 481514.93 7463243.08 29.86, 481513.27 7463241.96 29.87, 481511.45 7463241.12 29.87, 481509.53 7463240.58 29.88, 481507.55 7463240.34 29.84, 481505.55 7463240.47 29.84, 481502.65 7463241.21 29.87, 481501.74 7463241.59 29.82, 481500.02 7463242.62 29.830000000000002, 481498.14 7463244.19 29.85, 481496.91 7463245.75 29.84, 481495.89 7463247.47 29.86, 481495.18 7463249.33 29.830000000000002, 481494.79 7463251.3 29.85, 481494.7 7463253.28 29.84, 481494.92 7463255.28 29.830000000000002, 481495.47 7463257.2 29.85, 481496.3 7463259 29.87, 481497.43 7463260.68 29.87, 481498.78 7463262.12 29.87, 481500.38 7463263.34 29.88, 481502.14 7463264.28 29.88, 481504.03 7463264.93 29.88, 481505.99 7463265.27 29.88)</t>
  </si>
  <si>
    <t>POLYGON Z ((481505.99 7463265.27 29.88, 481507.99 7463265.3 29.84, 481509.98 7463265 29.86, 481511.87 7463264.4 29.85, 481513.65 7463263.5 29.85, 481515.27 7463262.32 29.88, 481516.67 7463260.91 29.87, 481517.83 7463259.28 29.87, 481518.73 7463257.49 29.85, 481519.33 7463255.57 29.86, 481519.6 7463253.62 29.85, 481519.58 7463251.62 29.87, 481519.21 7463249.66 29.88, 481518.54 7463247.78 29.86, 481517.61 7463246.01 29.87, 481516.38 7463244.45 29.86, 481514.93 7463243.08 29.86, 481513.27 7463241.96 29.87, 481511.45 7463241.12 29.87, 481509.53 7463240.58 29.88, 481507.55 7463240.34 29.84, 481505.55 7463240.47 29.84, 481502.65 7463241.21 29.87, 481501.74 7463241.59 29.82, 481500.02 7463242.62 29.830000000000002, 481498.14 7463244.19 29.85, 481496.91 7463245.75 29.84, 481495.89 7463247.47 29.86, 481495.18 7463249.33 29.830000000000002, 481494.79 7463251.3 29.85, 481494.7 7463253.28 29.84, 481494.92 7463255.28 29.830000000000002, 481495.47 7463257.2 29.85, 481496.3 7463259 29.87, 481497.43 7463260.68 29.87, 481498.78 7463262.12 29.87, 481500.38 7463263.34 29.88, 481502.14 7463264.28 29.88, 481504.03 7463264.93 29.88, 481505.99 7463265.27 29.88))</t>
  </si>
  <si>
    <t>['RV80 S5D1 m1649 KD1 m42-90', 'RV80 S5D1 m1610-1645', 'RV80 S5D1 m1653-1689']</t>
  </si>
  <si>
    <t>LINESTRING Z (481525.7 7463261.61 29.68, 481525.94 7463261.78 29.66, 481526.35 7463261.75 29.650000000000002, 481528.44 7463261.26 29.650000000000002, 481531.55 7463260.66 29.59, 481534.66 7463260.18 29.560000000000002, 481537.95 7463259.78 29.5, 481541.03 7463259.55 29.47, 481543.38 7463259.42 29.46, 481543.72 7463259.23 29.490000000000002, 481543.83 7463258.99 29.5, 481543.79 7463258.67 29.5, 481543.44 7463258.42 29.490000000000002, 481540.51 7463257.74 29.53, 481537.86 7463256.88 29.57, 481534.89 7463255.76 29.580000000000002, 481532.07 7463254.41 29.64, 481529.23 7463252.8 29.67, 481528.21 7463252.2 29.69, 481527.86 7463252.1 29.67, 481527.64 7463252.16 29.69, 481527.47 7463252.31 29.7, 481527.4 7463252.62 29.72, 481527.33 7463254.8 29.68, 481526.76 7463257.9 29.68, 481526.1 7463259.96 29.69, 481525.68 7463260.96 29.7, 481525.59 7463261.34 29.69, 481525.7 7463261.61 29.68)</t>
  </si>
  <si>
    <t>POLYGON Z ((481525.7 7463261.61 29.68, 481525.94 7463261.78 29.66, 481526.35 7463261.75 29.650000000000002, 481528.44 7463261.26 29.650000000000002, 481531.55 7463260.66 29.59, 481534.66 7463260.18 29.560000000000002, 481537.95 7463259.78 29.5, 481541.03 7463259.55 29.47, 481543.38 7463259.42 29.46, 481543.72 7463259.23 29.490000000000002, 481543.83 7463258.99 29.5, 481543.79 7463258.67 29.5, 481543.44 7463258.42 29.490000000000002, 481540.51 7463257.74 29.53, 481537.86 7463256.88 29.57, 481534.89 7463255.76 29.580000000000002, 481532.07 7463254.41 29.64, 481529.23 7463252.8 29.67, 481528.21 7463252.2 29.69, 481527.86 7463252.1 29.67, 481527.64 7463252.16 29.69, 481527.47 7463252.31 29.7, 481527.4 7463252.62 29.72, 481527.33 7463254.8 29.68, 481526.76 7463257.9 29.68, 481526.1 7463259.96 29.69, 481525.68 7463260.96 29.7, 481525.59 7463261.34 29.69, 481525.7 7463261.61 29.68))</t>
  </si>
  <si>
    <t>2024-01-15</t>
  </si>
  <si>
    <t>[6096]</t>
  </si>
  <si>
    <t>['KV6096 S1D1 m63-65']</t>
  </si>
  <si>
    <t>LINESTRING (254470.96867542458 6596313.087534097, 254468.9233192327 6596314.438165387, 254469.2931681197 6596315.486150904, 254471.20065848329 6596314.289688297, 254471.29488736895 6596313.378961447)</t>
  </si>
  <si>
    <t>POLYGON ((254470.96867542458 6596313.087534097, 254468.9233192327 6596314.438165387, 254469.2931681197 6596315.486150904, 254471.20065848329 6596314.289688297, 254471.29488736895 6596313.378961447, 254470.96867542458 6596313.087534097))</t>
  </si>
  <si>
    <t>[1860]</t>
  </si>
  <si>
    <t>['KV1860 S1D1 m8-19']</t>
  </si>
  <si>
    <t>LINESTRING (254498.52051281524 6595721.459173186, 254498.2944686365 6595721.395732211, 254492.28100775467 6595720.012012352, 254488.11410087498 6595718.150579273, 254488.27247226637 6595717.001154214, 254494.49959259378 6595717.734385282, 254498.45376281833 6595719.91121759, 254498.44461202 6595720.905736622)</t>
  </si>
  <si>
    <t>POLYGON ((254498.52051281524 6595721.459173186, 254498.2944686365 6595721.395732211, 254492.28100775467 6595720.012012352, 254488.11410087498 6595718.150579273, 254488.27247226637 6595717.001154214, 254494.49959259378 6595717.734385282, 254498.45376281833 6595719.91121759, 254498.44461202 6595720.905736622, 254498.52051281524 6595721.459173186))</t>
  </si>
  <si>
    <t>['KV1860 S1D1 m532-537']</t>
  </si>
  <si>
    <t>LINESTRING (254243.45784961927 6595274.6646289835, 254240.607580133 6595273.019056551, 254232.47060366097 6595272.332592323, 254239.6581269508 6595263.175223923, 254243.38820910943 6595273.597070622)</t>
  </si>
  <si>
    <t>POLYGON ((254243.45784961927 6595274.6646289835, 254240.607580133 6595273.019056551, 254232.47060366097 6595272.332592323, 254239.6581269508 6595263.175223923, 254243.38820910943 6595273.597070622, 254243.45784961927 6595274.6646289835))</t>
  </si>
  <si>
    <t>['KV1860 S1D1 m539-549']</t>
  </si>
  <si>
    <t>LINESTRING (254248.4734612916 6595267.368789446, 254245.308296616 6595258.540574742, 254248.78396483223 6595256.862046016, 254249.57531704544 6595266.638017953, 254248.78730084904 6595267.38182025)</t>
  </si>
  <si>
    <t>POLYGON ((254248.4734612916 6595267.368789446, 254245.308296616 6595258.540574742, 254248.78396483223 6595256.862046016, 254249.57531704544 6595266.638017953, 254248.78730084904 6595267.38182025, 254248.4734612916 6595267.368789446))</t>
  </si>
  <si>
    <t>2024-01-18</t>
  </si>
  <si>
    <t>[4640]</t>
  </si>
  <si>
    <t>['KV4640 S3D1 m101-113']</t>
  </si>
  <si>
    <t>LINESTRING (254633.85955963342 6595154.337619796, 254633.6506631199 6595153.401977216, 254632.78924743223 6595150.923029851, 254631.10232227997 6595147.3029110255, 254627.33960177275 6595144.577383797, 254626.21446769687 6595144.952188088, 254630.4265963639 6595149.85963344, 254633.56889072486 6595154.680411118)</t>
  </si>
  <si>
    <t>POLYGON ((254633.85955963342 6595154.337619796, 254633.6506631199 6595153.401977216, 254632.78924743223 6595150.923029851, 254631.10232227997 6595147.3029110255, 254627.33960177275 6595144.577383797, 254626.21446769687 6595144.952188088, 254630.4265963639 6595149.85963344, 254633.56889072486 6595154.680411118, 254633.85955963342 6595154.337619796))</t>
  </si>
  <si>
    <t>[14845]</t>
  </si>
  <si>
    <t>['KV14845 S1D1 m5-9']</t>
  </si>
  <si>
    <t>LINESTRING (255289.33169705016 6595222.196628477, 255286.90078371248 6595224.107818673, 255287.75334447887 6595224.968171119, 255290.60864505853 6595223.107587684, 255289.6269725828 6595222.099276754)</t>
  </si>
  <si>
    <t>POLYGON ((255289.33169705016 6595222.196628477, 255286.90078371248 6595224.107818673, 255287.75334447887 6595224.968171119, 255290.60864505853 6595223.107587684, 255289.6269725828 6595222.099276754, 255289.33169705016 6595222.196628477))</t>
  </si>
  <si>
    <t>2024-01-25</t>
  </si>
  <si>
    <t>[12345]</t>
  </si>
  <si>
    <t>['KV12345 S2D1 m14-38']</t>
  </si>
  <si>
    <t>LINESTRING (255723.05694390042 6595119.004641119, 255725.34926385322 6595121.446835138, 255726.28155575038 6595123.977209833, 255726.5961689453 6595126.547632876, 255725.2447533808 6595129.22607608, 255722.34508585022 6595131.547044385, 255715.89014679767 6595130.9046779685, 255712.89712366904 6595127.134340829, 255713.24378422424 6595123.002283028, 255713.6330903565 6595119.615671832, 255717.92431392084 6595117.517155608, 255723.02738164412 6595118.548697133)</t>
  </si>
  <si>
    <t>POLYGON ((255723.05694390042 6595119.004641119, 255725.34926385322 6595121.446835138, 255726.28155575038 6595123.977209833, 255726.5961689453 6595126.547632876, 255725.2447533808 6595129.22607608, 255722.34508585022 6595131.547044385, 255715.89014679767 6595130.9046779685, 255712.89712366904 6595127.134340829, 255713.24378422424 6595123.002283028, 255713.6330903565 6595119.615671832, 255717.92431392084 6595117.517155608, 255723.02738164412 6595118.548697133, 255723.05694390042 6595119.004641119))</t>
  </si>
  <si>
    <t>['EV45 S1D1 m6042-6046']</t>
  </si>
  <si>
    <t>LINESTRING Z (815565.2659352921 7777086.487930828 32.44, 815566.5045246172 7777086.3164259745 32.47, 815567.5977953848 7777086.054704847 32.49, 815568.2748321552 7777085.679368004 32.49, 815568.4769141444 7777085.484908076 32.51, 815568.5886613631 7777085.231608876 32.5, 815568.6159755136 7777084.941060597 32.51, 815568.5235352567 7777084.636840431 32.52, 815568.4154361264 7777084.411151634 32.51, 815568.1876122149 7777084.222830414 32.5, 815567.4316589528 7777083.918995388 32.5, 815566.3244200491 7777083.790076336 32.49, 815565.1328369721 7777083.777026596 32.46, 815565.2659352921 7777086.487930828 32.44)</t>
  </si>
  <si>
    <t>POLYGON Z ((815565.2659352921 7777086.487930828 32.44, 815566.5045246172 7777086.3164259745 32.47, 815567.5977953848 7777086.054704847 32.49, 815568.2748321552 7777085.679368004 32.49, 815568.4769141444 7777085.484908076 32.51, 815568.5886613631 7777085.231608876 32.5, 815568.6159755136 7777084.941060597 32.51, 815568.5235352567 7777084.636840431 32.52, 815568.4154361264 7777084.411151634 32.51, 815568.1876122149 7777084.222830414 32.5, 815567.4316589528 7777083.918995388 32.5, 815566.3244200491 7777083.790076336 32.49, 815565.1328369721 7777083.777026596 32.46, 815565.2659352921 7777086.487930828 32.44))</t>
  </si>
  <si>
    <t>['EV45 S1D1 m6043-6045']</t>
  </si>
  <si>
    <t>LINESTRING Z (815562.1700259915 7777086.197232302 32.43, 815562.1257494658 7777084.320575731 32.43, 815561.158045993 7777084.464440572 32.410000000000004, 815560.1412900563 7777084.649558075 32.39, 815558.9949929423 7777084.8700857805 32.37, 815558.7163073518 7777084.988030941 32.39, 815558.516182744 7777085.172674428 32.37, 815558.4790521741 7777085.461265311 32.38, 815558.5400561739 7777085.718390331 32.36, 815558.7443324991 7777085.9224296585 32.36, 815559.032953009 7777086.010599688 32.39, 815560.0812636777 7777086.076735153 32.39, 815561.2081057171 7777086.158529488 32.410000000000004, 815562.1700259915 7777086.197232302 32.43)</t>
  </si>
  <si>
    <t>POLYGON Z ((815562.1700259915 7777086.197232302 32.43, 815562.1257494658 7777084.320575731 32.43, 815561.158045993 7777084.464440572 32.410000000000004, 815560.1412900563 7777084.649558075 32.39, 815558.9949929423 7777084.8700857805 32.37, 815558.7163073518 7777084.988030941 32.39, 815558.516182744 7777085.172674428 32.37, 815558.4790521741 7777085.461265311 32.38, 815558.5400561739 7777085.718390331 32.36, 815558.7443324991 7777085.9224296585 32.36, 815559.032953009 7777086.010599688 32.39, 815560.0812636777 7777086.076735153 32.39, 815561.2081057171 7777086.158529488 32.410000000000004, 815562.1700259915 7777086.197232302 32.43))</t>
  </si>
  <si>
    <t>[14940]</t>
  </si>
  <si>
    <t>['KV14940 S1D1 m5-17']</t>
  </si>
  <si>
    <t>LINESTRING (255795.32091209793 6594173.18446487, 255790.48732721177 6594172.81646226, 255791.38238830928 6594185.399833494, 255792.2206551578 6594185.42368683, 255795.17291471778 6594173.272225568)</t>
  </si>
  <si>
    <t>POLYGON ((255795.32091209793 6594173.18446487, 255790.48732721177 6594172.81646226, 255791.38238830928 6594185.399833494, 255792.2206551578 6594185.42368683, 255795.17291471778 6594173.272225568, 255795.32091209793 6594173.18446487))</t>
  </si>
  <si>
    <t>[13000]</t>
  </si>
  <si>
    <t>['KV13000 S1D1 m6-11']</t>
  </si>
  <si>
    <t>LINESTRING (255360.2230136722 6594392.867568562, 255358.9876770561 6594391.987366044, 255359.78252325245 6594387.747990192, 255361.26176531514 6594388.176830807, 255361.2964279046 6594391.07810579, 255360.78814352723 6594392.629868889)</t>
  </si>
  <si>
    <t>POLYGON ((255360.2230136722 6594392.867568562, 255358.9876770561 6594391.987366044, 255359.78252325245 6594387.747990192, 255361.26176531514 6594388.176830807, 255361.2964279046 6594391.07810579, 255360.78814352723 6594392.629868889, 255360.2230136722 6594392.867568562))</t>
  </si>
  <si>
    <t>2024-01-29</t>
  </si>
  <si>
    <t>[14860]</t>
  </si>
  <si>
    <t>['KV14860 S1D1 m7-21']</t>
  </si>
  <si>
    <t>LINESTRING (255281.40763415897 6594399.771628102, 255280.9188425828 6594398.117087977, 255268.18442885418 6594397.123765585, 255267.63584985802 6594398.142124796, 255268.3909927268 6594399.165157925, 255276.77765771173 6594399.469250735, 255279.59196583548 6594400.034710708, 255281.23431496846 6594399.995064168)</t>
  </si>
  <si>
    <t>POLYGON ((255281.40763415897 6594399.771628102, 255280.9188425828 6594398.117087977, 255268.18442885418 6594397.123765585, 255267.63584985802 6594398.142124796, 255268.3909927268 6594399.165157925, 255276.77765771173 6594399.469250735, 255279.59196583548 6594400.034710708, 255281.23431496846 6594399.995064168, 255281.40763415897 6594399.771628102))</t>
  </si>
  <si>
    <t>[12070]</t>
  </si>
  <si>
    <t>['KV12070 S2D1 m30-34']</t>
  </si>
  <si>
    <t>LINESTRING (255602.64351474034 6594553.258430113, 255605.81565291126 6594551.533939237, 255605.45983563885 6594550.786468989, 255602.43639566246 6594552.434312017, 255602.27388057022 6594553.438746093)</t>
  </si>
  <si>
    <t>POLYGON ((255602.64351474034 6594553.258430113, 255605.81565291126 6594551.533939237, 255605.45983563885 6594550.786468989, 255602.43639566246 6594552.434312017, 255602.27388057022 6594553.438746093, 255602.64351474034 6594553.258430113))</t>
  </si>
  <si>
    <t>[12420]</t>
  </si>
  <si>
    <t>['KV12420 S1D1 m382-389']</t>
  </si>
  <si>
    <t>LINESTRING (255310.73676240098 6594416.505592321, 255309.95416439653 6594416.199049473, 255309.19027989745 6594410.3075824, 255309.8967750582 6594409.792677638, 255310.77289726186 6594415.9225403145)</t>
  </si>
  <si>
    <t>POLYGON ((255310.73676240098 6594416.505592321, 255309.95416439653 6594416.199049473, 255309.19027989745 6594410.3075824, 255309.8967750582 6594409.792677638, 255310.77289726186 6594415.9225403145, 255310.73676240098 6594416.505592321))</t>
  </si>
  <si>
    <t>[14780]</t>
  </si>
  <si>
    <t>['KV14780 S1D1 m2-12']</t>
  </si>
  <si>
    <t>LINESTRING (255091.31094836138 6594411.127013821, 255088.37686005936 6594410.5583087215, 255088.11958391443 6594416.058259413, 255088.0656339201 6594419.869874805, 255088.82512622187 6594419.820515788, 255091.4690396786 6594411.194912025)</t>
  </si>
  <si>
    <t>POLYGON ((255091.31094836138 6594411.127013821, 255088.37686005936 6594410.5583087215, 255088.11958391443 6594416.058259413, 255088.0656339201 6594419.869874805, 255088.82512622187 6594419.820515788, 255091.4690396786 6594411.194912025, 255091.31094836138 6594411.127013821))</t>
  </si>
  <si>
    <t>['RV163 S1D1 m5369 KD5 m6-27']</t>
  </si>
  <si>
    <t>LINESTRING Z (269370.6537698644 6652427.355529184 123.74000000000001, 269370.4409004133 6652427.334697102 123.72, 269370.18817562377 6652427.427999537 123.7, 269369.9146187514 6652427.734171427 123.72, 269369.91824542626 6652428.105560322 123.69, 269374.3178845021 6652432.407291028 123.64, 269379.2891040912 6652437.139283826 123.57000000000001, 269383.37350905477 6652440.736283709 123.55, 269387.36461153574 6652444.080558613 123.49000000000001, 269388.9788072965 6652445.480951544 123.51, 269389.31034081907 6652445.591459321 123.48, 269389.76325212023 6652445.37949174 123.52, 269389.93807399 6652445.092343127 123.52, 269390.00600768137 6652444.734541033 123.44, 269389.3972865775 6652444.11677296 123.48, 269386.06834834145 6652441.315082133 123.55, 269382.3118553344 6652438.009755501 123.62, 269378.2419430822 6652434.351159153 123.69, 269374.3622553406 6652430.795825068 123.72, 269371.4708318388 6652428.054819942 123.73, 269370.6537698644 6652427.355529184 123.74000000000001)</t>
  </si>
  <si>
    <t>POLYGON Z ((269370.6537698644 6652427.355529184 123.74000000000001, 269370.4409004133 6652427.334697102 123.72, 269370.18817562377 6652427.427999537 123.7, 269369.9146187514 6652427.734171427 123.72, 269369.91824542626 6652428.105560322 123.69, 269374.3178845021 6652432.407291028 123.64, 269379.2891040912 6652437.139283826 123.57000000000001, 269383.37350905477 6652440.736283709 123.55, 269387.36461153574 6652444.080558613 123.49000000000001, 269388.9788072965 6652445.480951544 123.51, 269389.31034081907 6652445.591459321 123.48, 269389.76325212023 6652445.37949174 123.52, 269389.93807399 6652445.092343127 123.52, 269390.00600768137 6652444.734541033 123.44, 269389.3972865775 6652444.11677296 123.48, 269386.06834834145 6652441.315082133 123.55, 269382.3118553344 6652438.009755501 123.62, 269378.2419430822 6652434.351159153 123.69, 269374.3622553406 6652430.795825068 123.72, 269371.4708318388 6652428.054819942 123.73, 269370.6537698644 6652427.355529184 123.74000000000001))</t>
  </si>
  <si>
    <t>['RV163 S1D1 m2127 KD5 m7-20']</t>
  </si>
  <si>
    <t>LINESTRING Z (266523.13994557713 6650993.5340857515 112.44, 266523.1480982745 6650993.513251284 112.44, 266523.1843338012 6650993.027717142 112.41, 266522.7730849432 6650991.266748192 112.34, 266522.36274304456 6650989.184203367 112.27, 266522.0366392315 6650988.80193461 112.26, 266519.68325231783 6650987.338077023 112.2, 266518.3797402409 6650986.592560062 112.16, 266517.8833359385 6650986.547265993 112.17, 266516.3298053609 6650987.140590859 112.16, 266514.58332893375 6650987.821782295 112.09, 266514.10051144636 6650988.0364665305 112.11, 266513.84687271656 6650988.4513438605 112.17, 266514.063368585 6650988.954090004 112.19, 266514.7798924025 6650989.4314741 112.22, 266518.6578179829 6650991.751362776 112.36, 266522.4433474834 6650993.938997258 112.41, 266522.9379405121 6650993.853849248 112.41, 266523.13994557713 6650993.5340857515 112.44)</t>
  </si>
  <si>
    <t>POLYGON Z ((266523.13994557713 6650993.5340857515 112.44, 266523.1480982745 6650993.513251284 112.44, 266523.1843338012 6650993.027717142 112.41, 266522.7730849432 6650991.266748192 112.34, 266522.36274304456 6650989.184203367 112.27, 266522.0366392315 6650988.80193461 112.26, 266519.68325231783 6650987.338077023 112.2, 266518.3797402409 6650986.592560062 112.16, 266517.8833359385 6650986.547265993 112.17, 266516.3298053609 6650987.140590859 112.16, 266514.58332893375 6650987.821782295 112.09, 266514.10051144636 6650988.0364665305 112.11, 266513.84687271656 6650988.4513438605 112.17, 266514.063368585 6650988.954090004 112.19, 266514.7798924025 6650989.4314741 112.22, 266518.6578179829 6650991.751362776 112.36, 266522.4433474834 6650993.938997258 112.41, 266522.9379405121 6650993.853849248 112.41, 266523.13994557713 6650993.5340857515 112.44))</t>
  </si>
  <si>
    <t>['RV163 S1D1 m2127 KD5 m5-21']</t>
  </si>
  <si>
    <t>LINESTRING Z (266508.91724472295 6650990.034748782 112.26, 266508.75509767793 6650990.129862235 112.24000000000001, 266508.7650605123 6650990.571010058 112.23, 266511.0414508744 6650991.961493808 112.31, 266514.5905545915 6650994.090247543 112.38, 266518.6813543751 6650996.43097128 112.41, 266520.8861830809 6650997.697353455 112.45, 266525.8121722557 6651000.605140227 112.57000000000001, 266526.0549393241 6651000.623257973 112.62, 266526.38919767714 6651000.4321252545 112.63, 266526.3656468587 6651000.062539402 112.62, 266526.26238070993 6650999.92122685 112.60000000000001, 266526.069435633 6650999.788066638 112.60000000000001, 266524.16806547134 6650998.65484514 112.54, 266521.2720765432 6650996.9690533215 112.45, 266519.11072841345 6650995.738905184 112.42, 266515.1322536903 6650993.418110455 112.35000000000001, 266511.61847786524 6650991.346425228 112.29, 266509.3067592835 6650990.009386364 112.24000000000001, 266508.91724472295 6650990.034748782 112.26)</t>
  </si>
  <si>
    <t>POLYGON Z ((266508.91724472295 6650990.034748782 112.26, 266508.75509767793 6650990.129862235 112.24000000000001, 266508.7650605123 6650990.571010058 112.23, 266511.0414508744 6650991.961493808 112.31, 266514.5905545915 6650994.090247543 112.38, 266518.6813543751 6650996.43097128 112.41, 266520.8861830809 6650997.697353455 112.45, 266525.8121722557 6651000.605140227 112.57000000000001, 266526.0549393241 6651000.623257973 112.62, 266526.38919767714 6651000.4321252545 112.63, 266526.3656468587 6651000.062539402 112.62, 266526.26238070993 6650999.92122685 112.60000000000001, 266526.069435633 6650999.788066638 112.60000000000001, 266524.16806547134 6650998.65484514 112.54, 266521.2720765432 6650996.9690533215 112.45, 266519.11072841345 6650995.738905184 112.42, 266515.1322536903 6650993.418110455 112.35000000000001, 266511.61847786524 6650991.346425228 112.29, 266509.3067592835 6650990.009386364 112.24000000000001, 266508.91724472295 6650990.034748782 112.26))</t>
  </si>
  <si>
    <t>['RV163 S1D1 m2127 KD2 m8-12']</t>
  </si>
  <si>
    <t>LINESTRING Z (266521.878126348 6650985.732016827 112.25, 266522.29934622615 6650985.502838841 112.25, 266522.4107665685 6650985.181263353 112.25, 266522.5448345152 6650984.4457156295 112.25, 266522.39808933926 6650983.826115426 112.25, 266521.93248384533 6650983.788068233 112.25, 266521.1788168205 6650984.338820946 112.25, 266520.90977926494 6650984.584304705 112.25, 266520.8717320773 6650985.049910207 112.25, 266521.31650197844 6650985.411344889 112.25, 266521.878126348 6650985.732016827 112.25)</t>
  </si>
  <si>
    <t>POLYGON Z ((266521.878126348 6650985.732016827 112.25, 266522.29934622615 6650985.502838841 112.25, 266522.4107665685 6650985.181263353 112.25, 266522.5448345152 6650984.4457156295 112.25, 266522.39808933926 6650983.826115426 112.25, 266521.93248384533 6650983.788068233 112.25, 266521.1788168205 6650984.338820946 112.25, 266520.90977926494 6650984.584304705 112.25, 266520.8717320773 6650985.049910207 112.25, 266521.31650197844 6650985.411344889 112.25, 266521.878126348 6650985.732016827 112.25))</t>
  </si>
  <si>
    <t>LINESTRING Z (269375.2899811602 6652448.182252681 123.67, 269377.0309740831 6652447.551781283 123.65, 269379.59898494533 6652446.7356078215 123.56, 269381.49940417486 6652446.20115261 123.54, 269383.0103192097 6652445.802574988 123.52, 269383.30199335725 6652445.5851739235 123.51, 269383.34275357355 6652445.370492655 123.5, 269383.3826078719 6652445.145847302 123.49000000000001, 269383.26484866685 6652444.95562481 123.47, 269382.0872647617 6652443.937486598 123.51, 269377.5399781384 6652439.890295205 123.56, 269374.630438166 6652437.171030372 123.60000000000001, 269371.70640451607 6652434.402850902 123.66, 269371.00257211656 6652433.843962284 123.64, 269370.6012919775 6652433.960817579 123.62, 269370.5469429731 6652434.026037593 123.62, 269370.3476632915 6652434.265177648 123.62, 269370.1393355306 6652435.62029622 123.62, 269369.7036648852 6652439.115885266 123.66, 269369.41925019684 6652440.739129244 123.67, 269368.58953876985 6652443.547199518 123.75, 269368.58229244 6652443.577997694 123.75, 269368.01978629216 6652444.905038939 123.77, 269367.8594590848 6652445.351612965 123.81, 269366.4491089769 6652447.740290917 123.85000000000001, 269364.47533665434 6652450.3409375865 123.99000000000001, 269363.42458935344 6652451.601858084 124.03, 269363.3376364856 6652452.30296876 124.02, 269363.66826826305 6652452.845555889 124.05, 269364.04509371734 6652453.012224512 124.04, 269364.65018618753 6652453.037582046 124.04, 269365.1846210646 6652452.727784359 124.04, 269368.21006901923 6652451.307420086 123.93, 269371.65219561185 6652449.718568271 123.83, 269372.77088676306 6652449.204954223 123.83, 269373.255502212 6652449.010197018 123.73, 269374.4249196921 6652448.502017471 123.69, 269375.2899811602 6652448.182252681 123.67)</t>
  </si>
  <si>
    <t>POLYGON Z ((269375.2899811602 6652448.182252681 123.67, 269377.0309740831 6652447.551781283 123.65, 269379.59898494533 6652446.7356078215 123.56, 269381.49940417486 6652446.20115261 123.54, 269383.0103192097 6652445.802574988 123.52, 269383.30199335725 6652445.5851739235 123.51, 269383.34275357355 6652445.370492655 123.5, 269383.3826078719 6652445.145847302 123.49000000000001, 269383.26484866685 6652444.95562481 123.47, 269382.0872647617 6652443.937486598 123.51, 269377.5399781384 6652439.890295205 123.56, 269374.630438166 6652437.171030372 123.60000000000001, 269371.70640451607 6652434.402850902 123.66, 269371.00257211656 6652433.843962284 123.64, 269370.6012919775 6652433.960817579 123.62, 269370.5469429731 6652434.026037593 123.62, 269370.3476632915 6652434.265177648 123.62, 269370.1393355306 6652435.62029622 123.62, 269369.7036648852 6652439.115885266 123.66, 269369.41925019684 6652440.739129244 123.67, 269368.58953876985 6652443.547199518 123.75, 269368.58229244 6652443.577997694 123.75, 269368.01978629216 6652444.905038939 123.77, 269367.8594590848 6652445.351612965 123.81, 269366.4491089769 6652447.740290917 123.85000000000001, 269364.47533665434 6652450.3409375865 123.99000000000001, 269363.42458935344 6652451.601858084 124.03, 269363.3376364856 6652452.30296876 124.02, 269363.66826826305 6652452.845555889 124.05, 269364.04509371734 6652453.012224512 124.04, 269364.65018618753 6652453.037582046 124.04, 269365.1846210646 6652452.727784359 124.04, 269368.21006901923 6652451.307420086 123.93, 269371.65219561185 6652449.718568271 123.83, 269372.77088676306 6652449.204954223 123.83, 269373.255502212 6652449.010197018 123.73, 269374.4249196921 6652448.502017471 123.69, 269375.2899811602 6652448.182252681 123.67))</t>
  </si>
  <si>
    <t>['RV163 S1D1 m4514 KD5 m8-31']</t>
  </si>
  <si>
    <t>LINESTRING Z (268472.24680791923 6652012.08612561 117.73, 268470.62899757037 6652013.519162631 117.81, 268470.5628738079 6652013.896895457 117.84, 268470.7685000504 6652014.280061795 117.85000000000001, 268471.1978660597 6652014.472096095 117.88, 268473.5095543514 6652014.8144884035 117.92, 268476.32669771946 6652015.191299595 117.97, 268477.6727670581 6652015.41050385 117.61, 268480.97815477586 6652015.853438156 118.05, 268482.23635779554 6652015.99021206 118.08, 268483.39220154186 6652016.106152363 118.06, 268489.07087263104 6652016.6849485515 117.96000000000001, 268489.81184335775 6652016.547257847 117.94, 268489.9567750929 6652016.26282546 117.92, 268489.8526022419 6652015.890528624 117.9, 268488.2999960864 6652014.394100836 117.84, 268473.09738331544 6652011.717446852 117.73, 268472.71330988716 6652011.692085611 117.73, 268472.24680791923 6652012.08612561 117.73)</t>
  </si>
  <si>
    <t>POLYGON Z ((268472.24680791923 6652012.08612561 117.73, 268470.62899757037 6652013.519162631 117.81, 268470.5628738079 6652013.896895457 117.84, 268470.7685000504 6652014.280061795 117.85000000000001, 268471.1978660597 6652014.472096095 117.88, 268473.5095543514 6652014.8144884035 117.92, 268476.32669771946 6652015.191299595 117.97, 268477.6727670581 6652015.41050385 117.61, 268480.97815477586 6652015.853438156 118.05, 268482.23635779554 6652015.99021206 118.08, 268483.39220154186 6652016.106152363 118.06, 268489.07087263104 6652016.6849485515 117.96000000000001, 268489.81184335775 6652016.547257847 117.94, 268489.9567750929 6652016.26282546 117.92, 268489.8526022419 6652015.890528624 117.9, 268488.2999960864 6652014.394100836 117.84, 268473.09738331544 6652011.717446852 117.73, 268472.71330988716 6652011.692085611 117.73, 268472.24680791923 6652012.08612561 117.73))</t>
  </si>
  <si>
    <t>LINESTRING Z (268497.9852005209 6652021.138880657 118.16, 268491.08184292616 6652020.460449857 118.15, 268484.7337608302 6652019.811908392 118.12, 268481.14031844825 6652019.405209129 118.09, 268475.70259799005 6652018.714088371 118.08, 268470.5502144054 6652017.956840151 118.05, 268466.87524594227 6652017.426947894 118.03, 268466.5400880176 6652017.497604733 118.03, 268466.3471466191 6652017.695983279 118.03, 268466.32450184796 6652017.888925894 118.02, 268466.4241446748 6652018.100890336 118.02, 268466.61799378385 6652018.244010925 118.03, 268466.8861208529 6652018.320099446 118.03, 268471.4578650028 6652018.989485057 118.06, 268475.2560268135 6652019.548363225 118.08, 268481.75357301766 6652020.404339732 118.10000000000001, 268488.31543205853 6652021.083678322 118.15, 268494.287592996 6652021.6860242905 118.17, 268497.8384607026 6652022.066454509 118.17, 268498.20894573105 6652021.942353329 118.17, 268498.3339491262 6652021.659732727 118.18, 268498.24517575285 6652021.346314987 118.17, 268497.9852005209 6652021.138880657 118.16)</t>
  </si>
  <si>
    <t>POLYGON Z ((268497.9852005209 6652021.138880657 118.16, 268491.08184292616 6652020.460449857 118.15, 268484.7337608302 6652019.811908392 118.12, 268481.14031844825 6652019.405209129 118.09, 268475.70259799005 6652018.714088371 118.08, 268470.5502144054 6652017.956840151 118.05, 268466.87524594227 6652017.426947894 118.03, 268466.5400880176 6652017.497604733 118.03, 268466.3471466191 6652017.695983279 118.03, 268466.32450184796 6652017.888925894 118.02, 268466.4241446748 6652018.100890336 118.02, 268466.61799378385 6652018.244010925 118.03, 268466.8861208529 6652018.320099446 118.03, 268471.4578650028 6652018.989485057 118.06, 268475.2560268135 6652019.548363225 118.08, 268481.75357301766 6652020.404339732 118.10000000000001, 268488.31543205853 6652021.083678322 118.15, 268494.287592996 6652021.6860242905 118.17, 268497.8384607026 6652022.066454509 118.17, 268498.20894573105 6652021.942353329 118.17, 268498.3339491262 6652021.659732727 118.18, 268498.24517575285 6652021.346314987 118.17, 268497.9852005209 6652021.138880657 118.16))</t>
  </si>
  <si>
    <t>2024-02-04</t>
  </si>
  <si>
    <t>[12530]</t>
  </si>
  <si>
    <t>['KV12530 S2D1 m3-8']</t>
  </si>
  <si>
    <t>LINESTRING (258319.28921839147 6591898.851556319, 258321.59455113971 6591900.434660524, 258323.39074810117 6591895.138283006, 258318.80453500265 6591897.419792004)</t>
  </si>
  <si>
    <t>POLYGON ((258319.28921839147 6591898.851556319, 258321.59455113971 6591900.434660524, 258323.39074810117 6591895.138283006, 258318.80453500265 6591897.419792004, 258319.28921839147 6591898.851556319))</t>
  </si>
  <si>
    <t>2024-02-13</t>
  </si>
  <si>
    <t>[5760]</t>
  </si>
  <si>
    <t>['KV5760 S2D1 m371-377']</t>
  </si>
  <si>
    <t>LINESTRING (254701.64127914916 6594426.342322332, 254707.23218968246 6594425.665709849, 254707.1431575778 6594424.297893394, 254701.93513287607 6594425.1729344865, 254701.44216625576 6594425.8192394)</t>
  </si>
  <si>
    <t>POLYGON ((254701.64127914916 6594426.342322332, 254707.23218968246 6594425.665709849, 254707.1431575778 6594424.297893394, 254701.93513287607 6594425.1729344865, 254701.44216625576 6594425.8192394, 254701.64127914916 6594426.342322332))</t>
  </si>
  <si>
    <t>[4400]</t>
  </si>
  <si>
    <t>['KV4400 S1D1 m639-643']</t>
  </si>
  <si>
    <t>LINESTRING (254344.628612094 6594522.6681104405, 254345.12183812406 6594520.804459527, 254344.07411028785 6594511.804611182, 254342.57446666528 6594511.06479637, 254342.72399742663 6594516.851069864, 254344.17011969042 6594522.619825469)</t>
  </si>
  <si>
    <t>POLYGON ((254344.628612094 6594522.6681104405, 254345.12183812406 6594520.804459527, 254344.07411028785 6594511.804611182, 254342.57446666528 6594511.06479637, 254342.72399742663 6594516.851069864, 254344.17011969042 6594522.619825469, 254344.628612094 6594522.6681104405))</t>
  </si>
  <si>
    <t>['KV5760 S2D1 m388-390']</t>
  </si>
  <si>
    <t>LINESTRING (254733.7285515252 6594422.266002008, 254731.31643871532 6594421.585424137, 254733.24530704558 6594420.700491198, 254733.98407514766 6594421.556982464)</t>
  </si>
  <si>
    <t>POLYGON ((254733.7285515252 6594422.266002008, 254731.31643871532 6594421.585424137, 254733.24530704558 6594420.700491198, 254733.98407514766 6594421.556982464, 254733.7285515252 6594422.266002008))</t>
  </si>
  <si>
    <t>['KV5760 S2D1 m382 KD1 m20-41']</t>
  </si>
  <si>
    <t>LINESTRING (254720.82057209197 6594424.557905931, 254717.83601559486 6594424.439471119, 254716.63281167025 6594422.30660608, 254717.9095923923 6594419.710799522, 254718.69415132297 6594418.822166632, 254721.10626877035 6594419.502736519, 254722.6054022098 6594421.459995806, 254721.4175010823 6594424.284534647)</t>
  </si>
  <si>
    <t>POLYGON ((254720.82057209197 6594424.557905931, 254717.83601559486 6594424.439471119, 254716.63281167025 6594422.30660608, 254717.9095923923 6594419.710799522, 254718.69415132297 6594418.822166632, 254721.10626877035 6594419.502736519, 254722.6054022098 6594421.459995806, 254721.4175010823 6594424.284534647, 254720.82057209197 6594424.557905931))</t>
  </si>
  <si>
    <t>['KV5760 S2D1 m603 KD1 m23-44']</t>
  </si>
  <si>
    <t>LINESTRING (254953.15631346282 6594387.8004180845, 254956.42722845022 6594386.3704711, 254959.6423112736 6594387.758369482, 254962.46385811942 6594390.009421966, 254963.24321027618 6594393.766866753, 254960.9940889172 6594397.955747761, 254959.0803503306 6594399.074093066, 254955.2973270568 6594399.543429825, 254952.34866361972 6594397.613338897, 254951.14314610054 6594396.318124166, 254950.22272376704 6594394.68051346, 254950.48828369245 6594391.324159699, 254952.33253171478 6594387.999161889)</t>
  </si>
  <si>
    <t>POLYGON ((254953.15631346282 6594387.8004180845, 254956.42722845022 6594386.3704711, 254959.6423112736 6594387.758369482, 254962.46385811942 6594390.009421966, 254963.24321027618 6594393.766866753, 254960.9940889172 6594397.955747761, 254959.0803503306 6594399.074093066, 254955.2973270568 6594399.543429825, 254952.34866361972 6594397.613338897, 254951.14314610054 6594396.318124166, 254950.22272376704 6594394.68051346, 254950.48828369245 6594391.324159699, 254952.33253171478 6594387.999161889, 254953.15631346282 6594387.8004180845))</t>
  </si>
  <si>
    <t>['KV5760 S2D1 m584-598']</t>
  </si>
  <si>
    <t>LINESTRING (254925.85326353222 6594397.616499654, 254932.05286200513 6594396.934144138, 254939.8198103529 6594396.283886622, 254939.44938395123 6594395.3140661735, 254925.8754821637 6594396.732820903, 254925.61485921033 6594397.363983186)</t>
  </si>
  <si>
    <t>POLYGON ((254925.85326353222 6594397.616499654, 254932.05286200513 6594396.934144138, 254939.8198103529 6594396.283886622, 254939.44938395123 6594395.3140661735, 254925.8754821637 6594396.732820903, 254925.61485921033 6594397.363983186, 254925.85326353222 6594397.616499654))</t>
  </si>
  <si>
    <t>['KV5760 S3D1 m5-23']</t>
  </si>
  <si>
    <t>LINESTRING (254973.55174110053 6594391.499645734, 254973.98058953145 6594391.092067194, 254988.56025060188 6594389.9096206175, 254991.7865897677 6594390.157728167, 254991.29863271647 6594390.8818374295, 254982.9378740091 6594391.503590394, 254973.50264199526 6594391.88253327)</t>
  </si>
  <si>
    <t>POLYGON ((254973.55174110053 6594391.499645734, 254973.98058953145 6594391.092067194, 254988.56025060188 6594389.9096206175, 254991.7865897677 6594390.157728167, 254991.29863271647 6594390.8818374295, 254982.9378740091 6594391.503590394, 254973.50264199526 6594391.88253327, 254973.55174110053 6594391.499645734))</t>
  </si>
  <si>
    <t>['KV5760 S3D1 m104-109']</t>
  </si>
  <si>
    <t>LINESTRING (255072.1003695416 6594397.366437961, 255072.33138286494 6594396.2793456605, 255076.83419727386 6594396.288217887, 255076.6920803379 6594398.74313203, 255071.84021765305 6594397.830045272)</t>
  </si>
  <si>
    <t>POLYGON ((255072.1003695416 6594397.366437961, 255072.33138286494 6594396.2793456605, 255076.83419727386 6594396.288217887, 255076.6920803379 6594398.74313203, 255071.84021765305 6594397.830045272, 255072.1003695416 6594397.366437961))</t>
  </si>
  <si>
    <t>['KV5760 S3D1 m89-100']</t>
  </si>
  <si>
    <t>LINESTRING (255057.44548192262 6594395.113868519, 255068.76996909495 6594395.516909364, 255068.6177384698 6594397.816136867, 255064.8703872517 6594396.820104571, 255057.39637457114 6594395.496754771)</t>
  </si>
  <si>
    <t>POLYGON ((255057.44548192262 6594395.113868519, 255068.76996909495 6594395.516909364, 255068.6177384698 6594397.816136867, 255064.8703872517 6594396.820104571, 255057.39637457114 6594395.496754771, 255057.44548192262 6594395.113868519))</t>
  </si>
  <si>
    <t>['KV5760 S3D1 m113 KD1 m33-58']</t>
  </si>
  <si>
    <t>LINESTRING (255087.5970180379 6594397.42020178, 255088.71656881637 6594394.678416763, 255091.42958832165 6594394.122407655, 255094.2018692512 6594394.478282126, 255096.25382240233 6594396.712435889, 255096.69658964558 6594398.883653995, 255092.9735778517 6594401.414934664, 255090.21647851082 6594401.292591852, 255087.89314803272 6594399.612116614, 255087.16815937724 6594397.827767142)</t>
  </si>
  <si>
    <t>POLYGON ((255087.5970180379 6594397.42020178, 255088.71656881637 6594394.678416763, 255091.42958832165 6594394.122407655, 255094.2018692512 6594394.478282126, 255096.25382240233 6594396.712435889, 255096.69658964558 6594398.883653995, 255092.9735778517 6594401.414934664, 255090.21647851082 6594401.292591852, 255087.89314803272 6594399.612116614, 255087.16815937724 6594397.827767142, 255087.5970180379 6594397.42020178))</t>
  </si>
  <si>
    <t>[12700]</t>
  </si>
  <si>
    <t>['KV12700 S1D1 m5-17']</t>
  </si>
  <si>
    <t>LINESTRING (254948.48053785527 6594363.949136683, 254952.22437840072 6594375.744269071, 254951.4101113127 6594376.176911858, 254947.86840013522 6594363.9889411675)</t>
  </si>
  <si>
    <t>POLYGON ((254948.48053785527 6594363.949136683, 254952.22437840072 6594375.744269071, 254951.4101113127 6594376.176911858, 254947.86840013522 6594363.9889411675, 254948.48053785527 6594363.949136683))</t>
  </si>
  <si>
    <t>[11700]</t>
  </si>
  <si>
    <t>['KV11700 S3D1 m364 KD1 m18-29']</t>
  </si>
  <si>
    <t>LINESTRING (254782.8369326433 6593819.62987505, 254781.41103003806 6593821.163251678, 254779.9358329644 6593820.801354812, 254779.82224849652 6593819.055441185, 254781.0807246914 6593818.4486941425, 254782.41733496945 6593819.042958211)</t>
  </si>
  <si>
    <t>POLYGON ((254782.8369326433 6593819.62987505, 254781.41103003806 6593821.163251678, 254779.9358329644 6593820.801354812, 254779.82224849652 6593819.055441185, 254781.0807246914 6593818.4486941425, 254782.41733496945 6593819.042958211, 254782.8369326433 6593819.62987505))</t>
  </si>
  <si>
    <t>[12950]</t>
  </si>
  <si>
    <t>['KV12950 S1D1 m4-6']</t>
  </si>
  <si>
    <t>LINESTRING (254717.1640732656 6594408.256725406, 254717.31245322243 6594410.536419765, 254715.78449538857 6594408.748551708, 254716.92722466897 6594408.115795336)</t>
  </si>
  <si>
    <t>POLYGON ((254717.1640732656 6594408.256725406, 254717.31245322243 6594410.536419765, 254715.78449538857 6594408.748551708, 254716.92722466897 6594408.115795336, 254717.1640732656 6594408.256725406))</t>
  </si>
  <si>
    <t>['KV11700 S2D1 m0 KD1 m9-21']</t>
  </si>
  <si>
    <t>LINESTRING (254073.07009704376 6594020.120567887, 254074.7615722902 6594019.172621313, 254075.8722350229 6594019.792550893, 254076.2415958442 6594020.829384423, 254075.04350757928 6594022.359362256, 254073.652732276 6594022.070406375, 254073.1194376658 6594020.876753734)</t>
  </si>
  <si>
    <t>POLYGON ((254073.07009704376 6594020.120567887, 254074.7615722902 6594019.172621313, 254075.8722350229 6594019.792550893, 254076.2415958442 6594020.829384423, 254075.04350757928 6594022.359362256, 254073.652732276 6594022.070406375, 254073.1194376658 6594020.876753734, 254073.07009704376 6594020.120567887))</t>
  </si>
  <si>
    <t>['KV11700 S3D1 m0 KD1 m1-19']</t>
  </si>
  <si>
    <t>LINESTRING (254423.4541787904 6593922.44030061, 254421.78214640805 6593923.688339303, 254420.10461876218 6593922.580366523, 254419.81824827357 6593920.544180728, 254421.58413337008 6593919.513378936, 254423.3799366634 6593920.0775999995, 254423.65181439114 6593921.891377539)</t>
  </si>
  <si>
    <t>POLYGON ((254423.4541787904 6593922.44030061, 254421.78214640805 6593923.688339303, 254420.10461876218 6593922.580366523, 254419.81824827357 6593920.544180728, 254421.58413337008 6593919.513378936, 254423.3799366634 6593920.0775999995, 254423.65181439114 6593921.891377539, 254423.4541787904 6593922.44030061))</t>
  </si>
  <si>
    <t>['KV4400 S1D1 m660-672']</t>
  </si>
  <si>
    <t>LINESTRING (254325.37461124657 6594499.466100969, 254335.31948704695 6594500.794449573, 254337.68979573913 6594500.483580048, 254337.8621352738 6594499.634769774, 254326.3252101157 6594498.332031308, 254325.38396848374 6594499.085789983)</t>
  </si>
  <si>
    <t>POLYGON ((254325.37461124657 6594499.466100969, 254335.31948704695 6594500.794449573, 254337.68979573913 6594500.483580048, 254337.8621352738 6594499.634769774, 254326.3252101157 6594498.332031308, 254325.38396848374 6594499.085789983, 254325.37461124657 6594499.466100969))</t>
  </si>
  <si>
    <t>['KV5760 S1D1 m8-19']</t>
  </si>
  <si>
    <t>LINESTRING (254018.48610685015 6594702.726409068, 254023.08026089816 6594699.690405532, 254027.9597751441 6594695.183972151, 254027.70403991613 6594694.753955466, 254022.77289785273 6594697.510421048, 254017.86585860152 6594700.72319847, 254018.04901200815 6594702.308232087)</t>
  </si>
  <si>
    <t>POLYGON ((254018.48610685015 6594702.726409068, 254023.08026089816 6594699.690405532, 254027.9597751441 6594695.183972151, 254027.70403991613 6594694.753955466, 254022.77289785273 6594697.510421048, 254017.86585860152 6594700.72319847, 254018.04901200815 6594702.308232087, 254018.48610685015 6594702.726409068))</t>
  </si>
  <si>
    <t>2024-02-19</t>
  </si>
  <si>
    <t>['KV11700 S4D1 m659-667']</t>
  </si>
  <si>
    <t>LINESTRING (255359.25018050146 6593971.528947809, 255361.5800378756 6593974.448756324, 255364.51058007975 6593978.379312559, 255367.42550800732 6593973.913007034, 255359.94830291407 6593970.445067248, 255360.00676886365 6593971.34583109)</t>
  </si>
  <si>
    <t>POLYGON ((255359.25018050146 6593971.528947809, 255361.5800378756 6593974.448756324, 255364.51058007975 6593978.379312559, 255367.42550800732 6593973.913007034, 255359.94830291407 6593970.445067248, 255360.00676886365 6593971.34583109, 255359.25018050146 6593971.528947809))</t>
  </si>
  <si>
    <t>['KV11290 S1D1 m9-26']</t>
  </si>
  <si>
    <t>LINESTRING (255652.524263427 6593279.708182095, 255669.27927143208 6593276.712662189, 255669.55559134352 6593278.604360674, 255664.75684650976 6593279.406726231, 255659.4250692515 6593280.154306389, 255654.85421613554 6593281.310435462, 255653.02232830593 6593281.507336972, 255652.85492502828 6593280.066438761)</t>
  </si>
  <si>
    <t>POLYGON ((255652.524263427 6593279.708182095, 255669.27927143208 6593276.712662189, 255669.55559134352 6593278.604360674, 255664.75684650976 6593279.406726231, 255659.4250692515 6593280.154306389, 255654.85421613554 6593281.310435462, 255653.02232830593 6593281.507336972, 255652.85492502828 6593280.066438761, 255652.524263427 6593279.708182095))</t>
  </si>
  <si>
    <t>[12870]</t>
  </si>
  <si>
    <t>['KV12870 S1D1 m353-371']</t>
  </si>
  <si>
    <t>LINESTRING (255678.01716737496 6594107.551904326, 255680.07581762905 6594098.127246322, 255683.01154186824 6594090.466006744, 255684.50093923838 6594091.050664016, 255683.00552811986 6594099.768767669, 255679.76789454673 6594108.655649351, 255678.3226337374 6594107.610273387)</t>
  </si>
  <si>
    <t>POLYGON ((255678.01716737496 6594107.551904326, 255680.07581762905 6594098.127246322, 255683.01154186824 6594090.466006744, 255684.50093923838 6594091.050664016, 255683.00552811986 6594099.768767669, 255679.76789454673 6594108.655649351, 255678.3226337374 6594107.610273387, 255678.01716737496 6594107.551904326))</t>
  </si>
  <si>
    <t>[12422]</t>
  </si>
  <si>
    <t>['KV12422 S3D1 m303-310']</t>
  </si>
  <si>
    <t>LINESTRING (255742.20174353727 6593465.661366139, 255744.7931535562 6593467.347226918, 255748.96767048436 6593469.567050431, 255749.59456777407 6593468.610715786, 255743.309902339 6593464.752018463, 255742.4461474338 6593465.567359288)</t>
  </si>
  <si>
    <t>POLYGON ((255742.20174353727 6593465.661366139, 255744.7931535562 6593467.347226918, 255748.96767048436 6593469.567050431, 255749.59456777407 6593468.610715786, 255743.309902339 6593464.752018463, 255742.4461474338 6593465.567359288, 255742.20174353727 6593465.661366139))</t>
  </si>
  <si>
    <t>[14665]</t>
  </si>
  <si>
    <t>['KV14665 S1D1 m6-11']</t>
  </si>
  <si>
    <t>LINESTRING (255696.98836966656 6593322.478424155, 255696.77187689976 6593321.509732501, 255691.3196570503 6593322.242742999, 255691.52154210684 6593324.128098495, 255697.28044056162 6593323.207705191)</t>
  </si>
  <si>
    <t>POLYGON ((255696.98836966656 6593322.478424155, 255696.77187689976 6593321.509732501, 255691.3196570503 6593322.242742999, 255691.52154210684 6593324.128098495, 255697.28044056162 6593323.207705191, 255696.98836966656 6593322.478424155))</t>
  </si>
  <si>
    <t>[12720]</t>
  </si>
  <si>
    <t>['KV12720 S1D1 m57-60']</t>
  </si>
  <si>
    <t>LINESTRING (258731.25405195422 6590265.604699802, 258732.39614754557 6590266.893989591, 258733.29925161225 6590268.366054126, 258732.6518025631 6590269.021597111, 258730.6740612327 6590266.780751975, 258731.15907064144 6590265.990429859)</t>
  </si>
  <si>
    <t>POLYGON ((258731.25405195422 6590265.604699802, 258732.39614754557 6590266.893989591, 258733.29925161225 6590268.366054126, 258732.6518025631 6590269.021597111, 258730.6740612327 6590266.780751975, 258731.15907064144 6590265.990429859, 258731.25405195422 6590265.604699802))</t>
  </si>
  <si>
    <t>[14400]</t>
  </si>
  <si>
    <t>['KV14400 S2D1 m4-14']</t>
  </si>
  <si>
    <t>LINESTRING (258747.41094770838 6589951.231401109, 258747.13563373944 6589950.48968333, 258752.1625006243 6589950.24654781, 258757.15524955632 6589949.469612632, 258757.2314588542 6589951.820851279, 258752.57479523116 6589951.6159952665, 258747.3726845428 6589951.524173143)</t>
  </si>
  <si>
    <t>POLYGON ((258747.41094770838 6589951.231401109, 258747.13563373944 6589950.48968333, 258752.1625006243 6589950.24654781, 258757.15524955632 6589949.469612632, 258757.2314588542 6589951.820851279, 258752.57479523116 6589951.6159952665, 258747.3726845428 6589951.524173143, 258747.41094770838 6589951.231401109))</t>
  </si>
  <si>
    <t>[14300]</t>
  </si>
  <si>
    <t>['KV14300 S1D1 m8-13']</t>
  </si>
  <si>
    <t>LINESTRING (259016.90991849406 6589951.178088947, 259017.22776259863 6589952.319094254, 259019.91693857836 6589955.26280847, 259020.46161580962 6589954.156065867, 259017.26099500182 6589950.697854643)</t>
  </si>
  <si>
    <t>POLYGON ((259016.90991849406 6589951.178088947, 259017.22776259863 6589952.319094254, 259019.91693857836 6589955.26280847, 259020.46161580962 6589954.156065867, 259017.26099500182 6589950.697854643, 259016.90991849406 6589951.178088947))</t>
  </si>
  <si>
    <t>[12620]</t>
  </si>
  <si>
    <t>['KV12620 S1D1 m12-14']</t>
  </si>
  <si>
    <t>LINESTRING (260011.23395434 6589099.211656069, 260012.3805754712 6589101.65113491, 260013.35473477485 6589101.287731061, 260012.83449929027 6589099.109920429, 260011.90162686224 6589098.8677332215)</t>
  </si>
  <si>
    <t>POLYGON ((260011.23395434 6589099.211656069, 260012.3805754712 6589101.65113491, 260013.35473477485 6589101.287731061, 260012.83449929027 6589099.109920429, 260011.90162686224 6589098.8677332215, 260011.23395434 6589099.211656069))</t>
  </si>
  <si>
    <t>[11900]</t>
  </si>
  <si>
    <t>['KV11900 S1D1 m7-10']</t>
  </si>
  <si>
    <t>LINESTRING (259930.2325031075 6589122.137640012, 259930.64766329664 6589121.497107917, 259932.10576895086 6589123.994923257, 259931.59700697425 6589124.418085402, 259929.95006025318 6589122.535245736)</t>
  </si>
  <si>
    <t>POLYGON ((259930.2325031075 6589122.137640012, 259930.64766329664 6589121.497107917, 259932.10576895086 6589123.994923257, 259931.59700697425 6589124.418085402, 259929.95006025318 6589122.535245736, 259930.2325031075 6589122.137640012))</t>
  </si>
  <si>
    <t>['FV3908 S1D1 m4016-4022']</t>
  </si>
  <si>
    <t>LINESTRING Z (88493.47258589428 6459170.471804416 5.408, 88497.08441836486 6459169.266129622 5.56, 88497.45526771422 6459168.947142149 5.558, 88497.46063734981 6459168.598864262 5.594, 88497.32724414585 6459168.287451298 5.559, 88497.26017085626 6459168.32807723 5.537, 88496.85596109595 6459168.269164504 5.515, 88493.05050694465 6459168.698586535 5.38, 88492.683442768 6459168.882579697 5.353, 88492.63094234158 6459169.291843132 5.327, 88492.81720848073 6459170.225895563 5.277, 88493.10919923818 6459170.576897789 5.3, 88493.47237076843 6459170.583994372 5.292)</t>
  </si>
  <si>
    <t>POLYGON Z ((88493.47258589428 6459170.471804416 5.408, 88497.08441836486 6459169.266129622 5.56, 88497.45526771422 6459168.947142149 5.558, 88497.46063734981 6459168.598864262 5.594, 88497.32724414585 6459168.287451298 5.559, 88497.26017085626 6459168.32807723 5.537, 88496.85596109595 6459168.269164504 5.515, 88493.05050694465 6459168.698586535 5.38, 88492.683442768 6459168.882579697 5.353, 88492.63094234158 6459169.291843132 5.327, 88492.81720848073 6459170.225895563 5.277, 88493.10919923818 6459170.576897789 5.3, 88493.47237076843 6459170.583994372 5.292, 88493.47258589428 6459170.471804416 5.408))</t>
  </si>
  <si>
    <t>[14825]</t>
  </si>
  <si>
    <t>['KV14825 S1D1 m9-17']</t>
  </si>
  <si>
    <t>LINESTRING (258754.41779800833 6589818.026285087, 258759.57528527005 6589811.622144926, 258760.84864352047 6589812.378243071, 258755.45495243144 6589818.830976864, 258754.52640753152 6589818.655827967)</t>
  </si>
  <si>
    <t>POLYGON ((258754.41779800833 6589818.026285087, 258759.57528527005 6589811.622144926, 258760.84864352047 6589812.378243071, 258755.45495243144 6589818.830976864, 258754.52640753152 6589818.655827967, 258754.41779800833 6589818.026285087))</t>
  </si>
  <si>
    <t>2024-03-12</t>
  </si>
  <si>
    <t>[1031]</t>
  </si>
  <si>
    <t>['KV1031 S1D1 m1955-1964']</t>
  </si>
  <si>
    <t>LINESTRING (-17170.830913301324 6671353.780863641, -17165.201246658573 6671361.348861857, -17163.32980160293 6671359.483025963, -17170.12806259835 6671352.846895402, -17170.490731287806 6671353.495996816)</t>
  </si>
  <si>
    <t>POLYGON ((-17170.830913301324 6671353.780863641, -17165.201246658573 6671361.348861857, -17163.32980160293 6671359.483025963, -17170.12806259835 6671352.846895402, -17170.490731287806 6671353.495996816, -17170.830913301324 6671353.780863641))</t>
  </si>
  <si>
    <t>['KV1031 S1D1 m1974-1986']</t>
  </si>
  <si>
    <t>LINESTRING (-17156.298910960148 6671365.635064418, -17156.63108527509 6671367.588737285, -17160.483051081188 6671369.4175987365, -17162.10647296399 6671368.732312136, -17164.402462309867 6671367.54374251, -17163.467177750077 6671363.3838480115, -17161.132442010567 6671362.671358553, -17158.339758022397 6671363.033985581, -17156.709216238756 6671364.857889159)</t>
  </si>
  <si>
    <t>POLYGON ((-17156.298910960148 6671365.635064418, -17156.63108527509 6671367.588737285, -17160.483051081188 6671369.4175987365, -17162.10647296399 6671368.732312136, -17164.402462309867 6671367.54374251, -17163.467177750077 6671363.3838480115, -17161.132442010567 6671362.671358553, -17158.339758022397 6671363.033985581, -17156.709216238756 6671364.857889159, -17156.298910960148 6671365.635064418))</t>
  </si>
  <si>
    <t>['KV1031 S1D1 m2000-2009']</t>
  </si>
  <si>
    <t>LINESTRING (-17142.86818925885 6671386.919324142, -17137.889362661983 6671395.267299545, -17136.823633540887 6671394.733559899, -17140.019637715304 6671386.06677493, -17142.57320478192 6671386.877775764)</t>
  </si>
  <si>
    <t>POLYGON ((-17142.86818925885 6671386.919324142, -17137.889362661983 6671395.267299545, -17136.823633540887 6671394.733559899, -17140.019637715304 6671386.06677493, -17142.57320478192 6671386.877775764, -17142.86818925885 6671386.919324142))</t>
  </si>
  <si>
    <t>['KV1031 S1D1 m3163-3173']</t>
  </si>
  <si>
    <t>LINESTRING (-16410.02798197721 6672288.476896791, -16409.12795680802 6672290.719698968, -16403.855119513697 6672296.657374635, -16401.850206929492 6672294.694124803, -16409.644275633036 6672288.501891685)</t>
  </si>
  <si>
    <t>POLYGON ((-16410.02798197721 6672288.476896791, -16409.12795680802 6672290.719698968, -16403.855119513697 6672296.657374635, -16401.850206929492 6672294.694124803, -16409.644275633036 6672288.501891685, -16410.02798197721 6672288.476896791))</t>
  </si>
  <si>
    <t>2024-03-18</t>
  </si>
  <si>
    <t>['KV1036 S1D1 m132-156']</t>
  </si>
  <si>
    <t>LINESTRING (-17289.71859471238 6671443.634099333, -17282.258447638596 6671440.382763432, -17270.75150407158 6671432.375155402, -17271.467345520272 6671429.4294853145, -17273.575271266687 6671426.916893147, -17286.948172531964 6671432.276279635, -17293.941958579468 6671434.728492401, -17296.729379777797 6671437.626142891, -17295.203543007083 6671441.969668447, -17293.262398861814 6671443.298421373, -17290.06657450233 6671443.299490403)</t>
  </si>
  <si>
    <t>POLYGON ((-17289.71859471238 6671443.634099333, -17282.258447638596 6671440.382763432, -17270.75150407158 6671432.375155402, -17271.467345520272 6671429.4294853145, -17273.575271266687 6671426.916893147, -17286.948172531964 6671432.276279635, -17293.941958579468 6671434.728492401, -17296.729379777797 6671437.626142891, -17295.203543007083 6671441.969668447, -17293.262398861814 6671443.298421373, -17290.06657450233 6671443.299490403, -17289.71859471238 6671443.634099333))</t>
  </si>
  <si>
    <t>['KV1036 S2D1 m64-67']</t>
  </si>
  <si>
    <t>LINESTRING (-17389.424600381753 6671431.844095489, -17390.49717730825 6671429.106669834, -17388.762428566173 6671425.747970546, -17385.87339279236 6671425.182885617, -17383.093775930058 6671426.54012994, -17382.255668117316 6671428.701289454, -17382.230370217934 6671431.055971665, -17385.16337120987 6671433.443890466, -17387.671067700314 6671433.49261562, -17389.159877163416 6671432.111445124)</t>
  </si>
  <si>
    <t>POLYGON ((-17389.424600381753 6671431.844095489, -17390.49717730825 6671429.106669834, -17388.762428566173 6671425.747970546, -17385.87339279236 6671425.182885617, -17383.093775930058 6671426.54012994, -17382.255668117316 6671428.701289454, -17382.230370217934 6671431.055971665, -17385.16337120987 6671433.443890466, -17387.671067700314 6671433.49261562, -17389.159877163416 6671432.111445124, -17389.424600381753 6671431.844095489))</t>
  </si>
  <si>
    <t>['FV540 S1D1 m3755 SD4 m0-16', 'FV540 S1D1 m3755 SD1 m4-12']</t>
  </si>
  <si>
    <t>LINESTRING Z (-34652.27140244178 6729934.590833477 42.84, -34652.278646104154 6729934.62171258 42.84, -34652.262254325324 6729934.69071445 42.85, -34652.23587444879 6729934.75880151 42.85, -34651.70850141323 6729935.788191021 42.87, -34650.94645391172 6729937.400399748 42.910000000000004, -34649.99509835197 6729939.649942213 42.96, -34649.47657406295 6729941.022586231 42.980000000000004, -34648.97070745716 6729942.476964641 43.02, -34648.910704037524 6729942.582259648 43.02, -34648.82439557649 6729942.644857827 43.02, -34648.7317582675 6729942.6665888075 43.02, -34648.58376643853 6729942.63289043 43.01, -34648.554716959945 6729942.620157896 43.01, -34648.5084357243 6729942.575631447 43, -34648.45491082885 6729942.500225896 42.99, -34648.44042350864 6729942.438467691 42.99, -34648.436839097645 6729942.367636196 42.980000000000004, -34649.61179043981 6729931.738620937 42.7, -34649.62635259412 6729931.689595262 42.69, -34649.68452638213 6729931.604276442 42.68, -34649.76809040457 6729931.571642547 42.68, -34649.83892189583 6729931.5680581285 42.68, -34649.90792376455 6729931.584449904 42.69, -34650.02953572478 6729931.686235328 42.69, -34651.11931965267 6729932.873812395 42.75, -34652.27140244178 6729934.590833477 42.84)</t>
  </si>
  <si>
    <t>POLYGON Z ((-34652.27140244178 6729934.590833477 42.84, -34652.278646104154 6729934.62171258 42.84, -34652.262254325324 6729934.69071445 42.85, -34652.23587444879 6729934.75880151 42.85, -34651.70850141323 6729935.788191021 42.87, -34650.94645391172 6729937.400399748 42.910000000000004, -34649.99509835197 6729939.649942213 42.96, -34649.47657406295 6729941.022586231 42.980000000000004, -34648.97070745716 6729942.476964641 43.02, -34648.910704037524 6729942.582259648 43.02, -34648.82439557649 6729942.644857827 43.02, -34648.7317582675 6729942.6665888075 43.02, -34648.58376643853 6729942.63289043 43.01, -34648.554716959945 6729942.620157896 43.01, -34648.5084357243 6729942.575631447 43, -34648.45491082885 6729942.500225896 42.99, -34648.44042350864 6729942.438467691 42.99, -34648.436839097645 6729942.367636196 42.980000000000004, -34649.61179043981 6729931.738620937 42.7, -34649.62635259412 6729931.689595262 42.69, -34649.68452638213 6729931.604276442 42.68, -34649.76809040457 6729931.571642547 42.68, -34649.83892189583 6729931.5680581285 42.68, -34649.90792376455 6729931.584449904 42.69, -34650.02953572478 6729931.686235328 42.69, -34651.11931965267 6729932.873812395 42.75, -34652.27140244178 6729934.590833477 42.84))</t>
  </si>
  <si>
    <t>2024-04-08</t>
  </si>
  <si>
    <t>[1202]</t>
  </si>
  <si>
    <t>['KV1202 S2D1 m32-49']</t>
  </si>
  <si>
    <t>LINESTRING (-31403.865933839115 6713817.897367951, -31401.103354143095 6713819.942532882, -31391.72765887587 6713827.284929083)</t>
  </si>
  <si>
    <t>POINT (-31397.774900980825 6713822.562395538)</t>
  </si>
  <si>
    <t>['KV1202 S2D1 m51-70']</t>
  </si>
  <si>
    <t>LINESTRING (-31389.942679633386 6713828.683072246, -31376.912646480487 6713840.390786653)</t>
  </si>
  <si>
    <t>POINT (-31383.42766305694 6713834.536929449)</t>
  </si>
  <si>
    <t>2024-04-23</t>
  </si>
  <si>
    <t>[1159]</t>
  </si>
  <si>
    <t>['KV1159 S1D1 m6-14']</t>
  </si>
  <si>
    <t>LINESTRING Z (-34901.04832075059 6648479.80279088 42.89, -34901.56321265036 6648479.899962192 42.9, -34901.78478809097 6648480.010752387 42.9, -34901.97911982972 6648480.199638951 42.9, -34902.08082516119 6648480.410319089 42.910000000000004, -34902.129860457964 6648480.646425562 42.93, -34902.069923917414 6648480.862552858 42.95, -34901.9291664412 6648481.081403731 42.95, -34901.72575082793 6648481.2139845295 42.96, -34901.20722418884 6648481.378346019 42.980000000000004, -34900.69505487848 6648481.47278385 42.99, -34900.166540141334 6648481.525448931 43.01, -34899.661636351026 6648481.539974014 43.03, -34899.14855984878 6648481.533612725 43.03, -34898.64638063067 6648481.518170533 43.02, -34898.10787780071 6648481.459139213 43.02, -34897.59116953809 6648481.381946082 43.02, -34897.085358559736 6648481.295672049 43.01, -34896.57319124788 6648481.168533458 42.99, -34896.08463488112 6648481.003254878 42.96, -34895.58699761308 6648480.827079009 42.95, -34895.10116581782 6648480.631833153 42.93, -34894.61624221329 6648480.426598202 42.9, -34894.393758596736 6648480.32579711 42.89, -34894.1758159271 6648480.175050551 42.88, -34894.05413241591 6648479.962554048 42.86, -34894.129507178324 6648479.687400397 42.85, -34894.324750062544 6648479.533933229 42.84, -34894.578110135626 6648479.516681586 42.84, -34894.851448394824 6648479.501246326 42.83, -34895.35544397624 6648479.496710322 42.85, -34897.423187176464 6648479.5739172865 42.89, -34898.97876209917 6648479.63477388 42.910000000000004, -34900.518898812355 6648479.754656847 42.87, -34901.04832075059 6648479.80279088 42.89)</t>
  </si>
  <si>
    <t>POLYGON Z ((-34901.04832075059 6648479.80279088 42.89, -34901.56321265036 6648479.899962192 42.9, -34901.78478809097 6648480.010752387 42.9, -34901.97911982972 6648480.199638951 42.9, -34902.08082516119 6648480.410319089 42.910000000000004, -34902.129860457964 6648480.646425562 42.93, -34902.069923917414 6648480.862552858 42.95, -34901.9291664412 6648481.081403731 42.95, -34901.72575082793 6648481.2139845295 42.96, -34901.20722418884 6648481.378346019 42.980000000000004, -34900.69505487848 6648481.47278385 42.99, -34900.166540141334 6648481.525448931 43.01, -34899.661636351026 6648481.539974014 43.03, -34899.14855984878 6648481.533612725 43.03, -34898.64638063067 6648481.518170533 43.02, -34898.10787780071 6648481.459139213 43.02, -34897.59116953809 6648481.381946082 43.02, -34897.085358559736 6648481.295672049 43.01, -34896.57319124788 6648481.168533458 42.99, -34896.08463488112 6648481.003254878 42.96, -34895.58699761308 6648480.827079009 42.95, -34895.10116581782 6648480.631833153 42.93, -34894.61624221329 6648480.426598202 42.9, -34894.393758596736 6648480.32579711 42.89, -34894.1758159271 6648480.175050551 42.88, -34894.05413241591 6648479.962554048 42.86, -34894.129507178324 6648479.687400397 42.85, -34894.324750062544 6648479.533933229 42.84, -34894.578110135626 6648479.516681586 42.84, -34894.851448394824 6648479.501246326 42.83, -34895.35544397624 6648479.496710322 42.85, -34897.423187176464 6648479.5739172865 42.89, -34898.97876209917 6648479.63477388 42.910000000000004, -34900.518898812355 6648479.754656847 42.87, -34901.04832075059 6648479.80279088 42.89))</t>
  </si>
  <si>
    <t>['EV6 S82D1 m9726 KD1 m0-103']</t>
  </si>
  <si>
    <t>LINESTRING Z (303715.35 7058581.51 87.54, 303713.39 7058581.38 87.54, 303711.41 7058581.94 87.54, 303709.58 7058582.72 87.54, 303709.23 7058582.97 87.54, 303707.61 7058584.15 87.54, 303706.26 7058585.7 87.54, 303705.34 7058587.34 87.54, 303705.31 7058587.39 87.54, 303704.69 7058589.28 87.54, 303704.44 7058591.29 87.54, 303704.63 7058593.32 87.54, 303705.21 7058595.23 87.53, 303706.14 7058597.01 87.53, 303707.4 7058598.51 87.53, 303708.93 7058599.76 87.53, 303709.17 7058599.88 87.53, 303710.74 7058600.71 87.53, 303712.64 7058601.27 87.53, 303714.59 7058601.44 87.53, 303716.58 7058601.19 87.53, 303718.49 7058600.52 87.53, 303720.26 7058599.52 87.54, 303721.73 7058598.18 87.54, 303722.98 7058596.58 87.53, 303724.11 7058593.81 87.53, 303724.38 7058591.85 87.53, 303724.26 7058590.16 87.53, 303724.23 7058589.78 87.53, 303723.92 7058588.65 87.53, 303723.73 7058587.93 87.53, 303723.7 7058587.85 87.53, 303722.78 7058586.02 87.53, 303722.33 7058585.47 87.53, 303721.55 7058584.52 87.53, 303720 7058583.19 87.53, 303719.1 7058582.77 87.53, 303717.3 7058581.91 87.54, 303715.35 7058581.51 87.54)</t>
  </si>
  <si>
    <t>POLYGON Z ((303715.35 7058581.51 87.54, 303713.39 7058581.38 87.54, 303711.41 7058581.94 87.54, 303709.58 7058582.72 87.54, 303709.23 7058582.97 87.54, 303707.61 7058584.15 87.54, 303706.26 7058585.7 87.54, 303705.34 7058587.34 87.54, 303705.31 7058587.39 87.54, 303704.69 7058589.28 87.54, 303704.44 7058591.29 87.54, 303704.63 7058593.32 87.54, 303705.21 7058595.23 87.53, 303706.14 7058597.01 87.53, 303707.4 7058598.51 87.53, 303708.93 7058599.76 87.53, 303709.17 7058599.88 87.53, 303710.74 7058600.71 87.53, 303712.64 7058601.27 87.53, 303714.59 7058601.44 87.53, 303716.58 7058601.19 87.53, 303718.49 7058600.52 87.53, 303720.26 7058599.52 87.54, 303721.73 7058598.18 87.54, 303722.98 7058596.58 87.53, 303724.11 7058593.81 87.53, 303724.38 7058591.85 87.53, 303724.26 7058590.16 87.53, 303724.23 7058589.78 87.53, 303723.92 7058588.65 87.53, 303723.73 7058587.93 87.53, 303723.7 7058587.85 87.53, 303722.78 7058586.02 87.53, 303722.33 7058585.47 87.53, 303721.55 7058584.52 87.53, 303720 7058583.19 87.53, 303719.1 7058582.77 87.53, 303717.3 7058581.91 87.54, 303715.35 7058581.51 87.54))</t>
  </si>
  <si>
    <t>2024-05-08</t>
  </si>
  <si>
    <t>LINESTRING Z (303714.5145363542 7058603.417998196 87.59, 303716.506899666 7058603.237463774 87.59, 303718.5117434493 7058602.665057437 87.59, 303720.3479638521 7058601.833849686 87.59, 303721.967087795 7058600.767308057 87.59, 303723.38344181207 7058599.384219209 87.59, 303724.5812930822 7058597.745844726 87.59, 303725.50852103624 7058595.966138207 87.59, 303726.1038641003 7058594.029366813 87.58, 303726.3508862937 7058591.98681623 87.58, 303726.2928751798 7058590.025918696 87.59, 303725.9056600759 7058588.088225232 87.58, 303725.1934599002 7058586.233591099 87.59, 303724.1690631403 7058584.50121666 87.59, 303722.8893807171 7058582.987344925 87.59, 303721.39361298445 7058581.679187404 87.59, 303719.6781124327 7058580.667230167 87.58, 303716.8346343194 7058579.724753342 87.60000000000001, 303714.8512357671 7058579.463536187 87.58, 303712.834701737 7058579.585621377 87.59, 303710.8884385289 7058579.993491326 87.58, 303708.9660825131 7058580.740541207 87.58, 303707.28429044486 7058581.771398132 87.58, 303705.8337896087 7058583.096741143 87.59, 303704.51917186537 7058584.643091576 87.59, 303703.52000307 7058586.397792675 87.60000000000001, 303702.8548286874 7058588.339486362 87.59, 303702.5102888036 7058590.278630901 87.59, 303702.47416635323 7058592.326367273 87.59, 303702.77230178035 7058594.280365244 87.58, 303703.43743533804 7058596.178418864 87.58, 303704.40760227613 7058597.994819407 87.58, 303705.6109936824 7058599.564195827 87.58, 303707.0782403405 7058600.89441454 87.59, 303708.75159642234 7058602.019622111 87.59, 303709.6332976371 7058602.4386962205 87.59, 303710.5799079266 7058602.783017084 87.58, 303712.54955147504 7058603.275788696 87.59, 303714.5145363542 7058603.417998196 87.59)</t>
  </si>
  <si>
    <t>POLYGON Z ((303714.5145363542 7058603.417998196 87.59, 303716.506899666 7058603.237463774 87.59, 303718.5117434493 7058602.665057437 87.59, 303720.3479638521 7058601.833849686 87.59, 303721.967087795 7058600.767308057 87.59, 303723.38344181207 7058599.384219209 87.59, 303724.5812930822 7058597.745844726 87.59, 303725.50852103624 7058595.966138207 87.59, 303726.1038641003 7058594.029366813 87.58, 303726.3508862937 7058591.98681623 87.58, 303726.2928751798 7058590.025918696 87.59, 303725.9056600759 7058588.088225232 87.58, 303725.1934599002 7058586.233591099 87.59, 303724.1690631403 7058584.50121666 87.59, 303722.8893807171 7058582.987344925 87.59, 303721.39361298445 7058581.679187404 87.59, 303719.6781124327 7058580.667230167 87.58, 303716.8346343194 7058579.724753342 87.60000000000001, 303714.8512357671 7058579.463536187 87.58, 303712.834701737 7058579.585621377 87.59, 303710.8884385289 7058579.993491326 87.58, 303708.9660825131 7058580.740541207 87.58, 303707.28429044486 7058581.771398132 87.58, 303705.8337896087 7058583.096741143 87.59, 303704.51917186537 7058584.643091576 87.59, 303703.52000307 7058586.397792675 87.60000000000001, 303702.8548286874 7058588.339486362 87.59, 303702.5102888036 7058590.278630901 87.59, 303702.47416635323 7058592.326367273 87.59, 303702.77230178035 7058594.280365244 87.58, 303703.43743533804 7058596.178418864 87.58, 303704.40760227613 7058597.994819407 87.58, 303705.6109936824 7058599.564195827 87.58, 303707.0782403405 7058600.89441454 87.59, 303708.75159642234 7058602.019622111 87.59, 303709.6332976371 7058602.4386962205 87.59, 303710.5799079266 7058602.783017084 87.58, 303712.54955147504 7058603.275788696 87.59, 303714.5145363542 7058603.417998196 87.59))</t>
  </si>
  <si>
    <t>['EV6 S82D1 m9731-9742']</t>
  </si>
  <si>
    <t>LINESTRING Z (303704.3437143959 7058609.8894973 87.4, 303703.9917459679 7058609.874204204 87.4, 303703.6722543767 7058610.177436116 87.39, 303703.62518759514 7058610.220855415 87.39, 303702.8764272278 7058612.399025984 87.33, 303702.1183941583 7058614.58787561 87.27, 303701.22311628936 7058617.247569391 87.21000000000001, 303701.19094747637 7058617.360116695 87.2, 303700.583650933 7058619.127298466 87.16, 303700.5399682255 7058619.360962647 87.15, 303700.49123172613 7058619.665161148 87.15, 303700.9303468042 7058620.205660112 87.14, 303701.0194265722 7058620.189355833 87.14, 303701.654367138 7058620.094474478 87.14, 303701.9397121428 7058619.733496728 87.15, 303703.10719598795 7058617.806524549 87.21000000000001, 303704.8005442566 7058615.090578378 87.3, 303705.21513596876 7058614.4297527885 87.32000000000001, 303706.2783786982 7058612.730687902 87.37, 303706.8878293523 7058611.705237111 87.4, 303706.88220411213 7058611.625430067 87.4, 303706.88598330744 7058611.394578516 87.4, 303706.8825992431 7058611.20433364 87.4, 303706.6156233663 7058610.972515512 87.41, 303706.5230278253 7058610.938940385 87.41, 303705.58933771023 7058610.493454445 87.4, 303704.3437143959 7058609.8894973 87.4)</t>
  </si>
  <si>
    <t>POLYGON Z ((303704.3437143959 7058609.8894973 87.4, 303703.9917459679 7058609.874204204 87.4, 303703.6722543767 7058610.177436116 87.39, 303703.62518759514 7058610.220855415 87.39, 303702.8764272278 7058612.399025984 87.33, 303702.1183941583 7058614.58787561 87.27, 303701.22311628936 7058617.247569391 87.21000000000001, 303701.19094747637 7058617.360116695 87.2, 303700.583650933 7058619.127298466 87.16, 303700.5399682255 7058619.360962647 87.15, 303700.49123172613 7058619.665161148 87.15, 303700.9303468042 7058620.205660112 87.14, 303701.0194265722 7058620.189355833 87.14, 303701.654367138 7058620.094474478 87.14, 303701.9397121428 7058619.733496728 87.15, 303703.10719598795 7058617.806524549 87.21000000000001, 303704.8005442566 7058615.090578378 87.3, 303705.21513596876 7058614.4297527885 87.32000000000001, 303706.2783786982 7058612.730687902 87.37, 303706.8878293523 7058611.705237111 87.4, 303706.88220411213 7058611.625430067 87.4, 303706.88598330744 7058611.394578516 87.4, 303706.8825992431 7058611.20433364 87.4, 303706.6156233663 7058610.972515512 87.41, 303706.5230278253 7058610.938940385 87.41, 303705.58933771023 7058610.493454445 87.4, 303704.3437143959 7058609.8894973 87.4))</t>
  </si>
  <si>
    <t>['EV6 S82D1 m9711-9721']</t>
  </si>
  <si>
    <t>LINESTRING Z (303724.87101370597 7058572.982634681 87.41, 303725.15917137766 7058572.661560568 87.41, 303725.1841769456 7058572.589619955 87.4, 303725.243460808 7058572.435059696 87.4, 303725.63638663216 7058571.324616563 87.41, 303726.3394869112 7058569.209817469 87.42, 303726.388794897 7058569.055960367 87.42, 303727.369065928 7058566.179742206 87.43, 303728.22852805647 7058563.723082405 87.45, 303728.2647396467 7058563.098952681 87.45, 303728.0420180397 7058562.783811716 87.46000000000001, 303727.9858102739 7058562.697544567 87.46000000000001, 303727.55697921943 7058562.587414654 87.46000000000001, 303727.13491619145 7058562.857774453 87.46000000000001, 303726.90463607135 7058563.004336539 87.46000000000001, 303726.0875377145 7058564.355211813 87.45, 303725.9797807542 7058564.533239586 87.45, 303724.4797528952 7058567.0049735475 87.44, 303722.8334708875 7058569.677499697 87.42, 303721.9264579057 7058571.175068873 87.41, 303721.91788833175 7058571.195723783 87.41, 303721.87420556846 7058571.429387926 87.41, 303721.8527157634 7058571.551207937 87.42, 303722.0754373929 7058571.866348901 87.42, 303722.375285187 7058571.995595662 87.42, 303723.2035911057 7058572.36830625 87.42, 303724.147960069 7058572.8230650695 87.42, 303724.4385351341 7058572.962990858 87.42, 303724.87101370597 7058572.982634681 87.41)</t>
  </si>
  <si>
    <t>POLYGON Z ((303724.87101370597 7058572.982634681 87.41, 303725.15917137766 7058572.661560568 87.41, 303725.1841769456 7058572.589619955 87.4, 303725.243460808 7058572.435059696 87.4, 303725.63638663216 7058571.324616563 87.41, 303726.3394869112 7058569.209817469 87.42, 303726.388794897 7058569.055960367 87.42, 303727.369065928 7058566.179742206 87.43, 303728.22852805647 7058563.723082405 87.45, 303728.2647396467 7058563.098952681 87.45, 303728.0420180397 7058562.783811716 87.46000000000001, 303727.9858102739 7058562.697544567 87.46000000000001, 303727.55697921943 7058562.587414654 87.46000000000001, 303727.13491619145 7058562.857774453 87.46000000000001, 303726.90463607135 7058563.004336539 87.46000000000001, 303726.0875377145 7058564.355211813 87.45, 303725.9797807542 7058564.533239586 87.45, 303724.4797528952 7058567.0049735475 87.44, 303722.8334708875 7058569.677499697 87.42, 303721.9264579057 7058571.175068873 87.41, 303721.91788833175 7058571.195723783 87.41, 303721.87420556846 7058571.429387926 87.41, 303721.8527157634 7058571.551207937 87.42, 303722.0754373929 7058571.866348901 87.42, 303722.375285187 7058571.995595662 87.42, 303723.2035911057 7058572.36830625 87.42, 303724.147960069 7058572.8230650695 87.42, 303724.4385351341 7058572.962990858 87.42, 303724.87101370597 7058572.982634681 87.41))</t>
  </si>
  <si>
    <t>['FV5470 S1D1 m426-431']</t>
  </si>
  <si>
    <t>LINESTRING Z (-35168.04 6773656.93 70.04, -35167.85 6773657.26 70.03, -35167.9 6773658.24 70.04, -35168.23 6773659.39 70.07000000000001, -35168.92 6773660.68 70.11, -35169.84 6773661.77 70.17, -35170.8 6773662.76 70.2, -35172.03 6773663.78 70.29, -35173.21 6773664.59 70.33, -35174.13 6773665.1 70.37, -35174.46 6773665.14 70.4, -35174.64 6773665 70.41, -35174.72 6773664.68 70.38, -35174.49 6773663.57 70.37, -35174.14 6773662.22 70.37, -35173.6 6773660.81 70.34, -35172.93 6773659.54 70.29, -35172.04 6773658.29 70.24, -35171.05 6773657.48 70.22, -35170.03 6773657.04 70.14, -35169.03 6773656.85 70.09, -35168.27 6773656.85 70.06, -35168.04 6773656.93 70.04)</t>
  </si>
  <si>
    <t>POLYGON Z ((-35168.04 6773656.93 70.04, -35167.85 6773657.26 70.03, -35167.9 6773658.24 70.04, -35168.23 6773659.39 70.07000000000001, -35168.92 6773660.68 70.11, -35169.84 6773661.77 70.17, -35170.8 6773662.76 70.2, -35172.03 6773663.78 70.29, -35173.21 6773664.59 70.33, -35174.13 6773665.1 70.37, -35174.46 6773665.14 70.4, -35174.64 6773665 70.41, -35174.72 6773664.68 70.38, -35174.49 6773663.57 70.37, -35174.14 6773662.22 70.37, -35173.6 6773660.81 70.34, -35172.93 6773659.54 70.29, -35172.04 6773658.29 70.24, -35171.05 6773657.48 70.22, -35170.03 6773657.04 70.14, -35169.03 6773656.85 70.09, -35168.27 6773656.85 70.06, -35168.04 6773656.93 70.04))</t>
  </si>
  <si>
    <t>2024-05-28</t>
  </si>
  <si>
    <t>['KV1110 S1D1 m44-53']</t>
  </si>
  <si>
    <t>LINESTRING (-33208.5682096096 6706720.573445296, -33212.410312794964 6706729.260459408)</t>
  </si>
  <si>
    <t>POINT (-33210.48926120228 6706724.916952352)</t>
  </si>
  <si>
    <t>2024-06-07</t>
  </si>
  <si>
    <t>[7410]</t>
  </si>
  <si>
    <t>['FV7410 S2D1 m13354-13355']</t>
  </si>
  <si>
    <t>LINESTRING Z (411517.75975097046 7378442.0620979685 3.381572, 411514.13576705504 7378438.908107198 3.341317, 411509.7430041634 7378435.094209229 3.299595, 411506.33626458514 7378432.128829522 3.265139, 411502.81618012197 7378429.071796081 3.2354789999999998, 411499.2565563569 7378425.969290245 3.192347, 411494.9721087121 7378422.248556553 3.164129, 411491.5745469995 7378419.289134143 3.134734, 411488.1560827688 7378416.304565272 3.107354, 411484.5106490118 7378413.128912851 3.084837, 411481.8752685311 7378410.852385537 3.046431, 411479.5589297366 7378408.8707041 3.041209, 411478.23039070546 7378407.741141302 3.011321, 411476.7627282052 7378406.559181098 3.011653, 411475.3763484628 7378405.478000457 2.993393, 411473.16705678473 7378403.868933871 2.965181, 411469.98600056156 7378401.770959615 2.942108, 411466.7475001406 7378399.830266628 2.89588, 411463.61724125955 7378398.034127758 2.870065, 411460.54884308984 7378396.391376788 2.81856, 411458.24423019734 7378395.308532182 2.79168, 411455.9142553062 7378394.308977912 2.7514000000000003, 411453.17437148857 7378393.249353087 2.7194469999999997, 411450.4711801288 7378392.300281589 2.689345, 411446.5428087256 7378390.957067852 2.633619, 411445.6958667641 7378390.677849651 2.6346439999999998, 411445.0773335544 7378390.999336588 2.611155, 411444.9148549661 7378391.498460213 2.593361, 411445.2532029902 7378392.105062714 2.582733, 411446.07842895464 7378392.387467415 2.60035, 411449.46980876254 7378393.5346527975 2.6451279999999997, 411452.2149195735 7378394.477826594 2.673159, 411454.00503892684 7378395.12713364 2.698031, 411455.8639339403 7378395.904393069 2.724447, 411458.1797964201 7378396.929814733 2.7407909999999998, 411461.12927506067 7378398.37878909 2.798865, 411464.9395172271 7378400.507219994 2.853279, 411468.22017278185 7378402.43255084 2.908702, 411470.66947045806 7378403.965764635 2.941888, 411473.0608567342 7378405.621401682 2.951424, 411475.92597719637 7378407.80241424 2.988686, 411478.0098022934 7378409.5114770895 3.001942, 411485.4076829881 7378415.879913397 3.066315, 411493.21619971166 7378422.685936435 3.137809, 411499.92433103273 7378428.526881239 3.192711, 411505.3749648287 7378433.25766753 3.24032, 411511.42220489803 7378438.507199204 3.312726, 411516.8057899513 7378443.152625539 3.347672, 411517.702176758 7378443.9421689985 3.470743, 411519.9511972127 7378445.9437615955 3.467585, 411520.6534246845 7378445.898408483 3.479678, 411520.9646613826 7378445.53515808 3.4730309999999998, 411520.92753937363 7378444.841019742 3.482943, 411518.6592384903 7378442.853172916 3.477604)</t>
  </si>
  <si>
    <t>POLYGON Z ((411517.75975097046 7378442.0620979685 3.381572, 411514.13576705504 7378438.908107198 3.341317, 411509.7430041634 7378435.094209229 3.299595, 411506.33626458514 7378432.128829522 3.265139, 411502.81618012197 7378429.071796081 3.2354789999999998, 411499.2565563569 7378425.969290245 3.192347, 411494.9721087121 7378422.248556553 3.164129, 411491.5745469995 7378419.289134143 3.134734, 411488.1560827688 7378416.304565272 3.107354, 411484.5106490118 7378413.128912851 3.084837, 411481.8752685311 7378410.852385537 3.046431, 411479.5589297366 7378408.8707041 3.041209, 411478.23039070546 7378407.741141302 3.011321, 411476.7627282052 7378406.559181098 3.011653, 411475.3763484628 7378405.478000457 2.993393, 411473.16705678473 7378403.868933871 2.965181, 411469.98600056156 7378401.770959615 2.942108, 411466.7475001406 7378399.830266628 2.89588, 411463.61724125955 7378398.034127758 2.870065, 411460.54884308984 7378396.391376788 2.81856, 411458.24423019734 7378395.308532182 2.79168, 411455.9142553062 7378394.308977912 2.7514000000000003, 411453.17437148857 7378393.249353087 2.7194469999999997, 411450.4711801288 7378392.300281589 2.689345, 411446.5428087256 7378390.957067852 2.633619, 411445.6958667641 7378390.677849651 2.6346439999999998, 411445.0773335544 7378390.999336588 2.611155, 411444.9148549661 7378391.498460213 2.593361, 411445.2532029902 7378392.105062714 2.582733, 411446.07842895464 7378392.387467415 2.60035, 411449.46980876254 7378393.5346527975 2.6451279999999997, 411452.2149195735 7378394.477826594 2.673159, 411454.00503892684 7378395.12713364 2.698031, 411455.8639339403 7378395.904393069 2.724447, 411458.1797964201 7378396.929814733 2.7407909999999998, 411461.12927506067 7378398.37878909 2.798865, 411464.9395172271 7378400.507219994 2.853279, 411468.22017278185 7378402.43255084 2.908702, 411470.66947045806 7378403.965764635 2.941888, 411473.0608567342 7378405.621401682 2.951424, 411475.92597719637 7378407.80241424 2.988686, 411478.0098022934 7378409.5114770895 3.001942, 411485.4076829881 7378415.879913397 3.066315, 411493.21619971166 7378422.685936435 3.137809, 411499.92433103273 7378428.526881239 3.192711, 411505.3749648287 7378433.25766753 3.24032, 411511.42220489803 7378438.507199204 3.312726, 411516.8057899513 7378443.152625539 3.347672, 411517.702176758 7378443.9421689985 3.470743, 411519.9511972127 7378445.9437615955 3.467585, 411520.6534246845 7378445.898408483 3.479678, 411520.9646613826 7378445.53515808 3.4730309999999998, 411520.92753937363 7378444.841019742 3.482943, 411518.6592384903 7378442.853172916 3.477604, 411517.75975097046 7378442.0620979685 3.381572))</t>
  </si>
  <si>
    <t>['FV7410 S2D1 m13351-13354']</t>
  </si>
  <si>
    <t>LINESTRING Z (411525.48094919545 7378439.625915159 3.580767, 411526.1741457021 7378439.606161396 3.581301, 411526.54427996185 7378439.205682211 3.5849409999999997, 411526.4852169844 7378438.5081109265 3.58462, 411525.59610356233 7378437.740281313 3.603099, 411521.326493366 7378433.999381941 3.554959, 411516.30563598627 7378429.620773782 3.502778, 411511.000916281 7378424.980675023 3.449058, 411504.5502086817 7378419.345499039 3.387639, 411497.1893806069 7378412.904043624 3.319152, 411490.17265619774 7378406.791556277 3.243365, 411483.69793454814 7378401.235590959 3.207144, 411479.16058162093 7378397.483638939 3.168408, 411474.9553256889 7378394.305766169 3.138587, 411473.1191991098 7378393.0427804105 3.117434, 411471.1567573883 7378391.744701233 3.0907270000000002, 411468.091481957 7378389.931691935 3.052067, 411465.00675533817 7378388.216126688 2.9968269999999997, 411461.909799304 7378386.586719288 2.9676169999999997, 411457.8209172569 7378384.525033188 2.946636, 411455.7042503793 7378383.624971515 2.930859, 411454.58325590007 7378383.1837719735 2.9358779999999998, 411451.2819638515 7378381.949220713 2.9229279999999997, 411448.79392975493 7378381.113019105 2.9181, 411448.18836772325 7378381.441936332 2.908354, 411447.50693919056 7378383.3896407755 2.890976, 411447.84595551144 7378384.0373093365 2.890834, 411451.84403948777 7378385.3974314 2.947826, 411456.2030243277 7378386.928412672 2.9393219999999998, 411457.8263160007 7378387.555392068 2.933156, 411460.22266275284 7378388.570780908 2.96491, 411461.870902186 7378389.32846728 2.970806, 411464.27092934033 7378390.486020638 2.989898, 411466.59680843714 7378391.687180924 3.020332, 411468.190246182 7378392.534972551 3.037774, 411470.67117044143 7378393.946414414 3.060288, 411473.0574601022 7378395.403129217 3.088627, 411475.32060858456 7378396.865721473 3.120978, 411476.73769965634 7378397.849433615 3.139909, 411478.1506870499 7378398.862841674 3.166292, 411480.1414543656 7378400.3451255085 3.176878, 411481.49864534056 7378401.395271874 3.173097, 411482.1550023599 7378401.918973205 3.177269, 411484.2848025556 7378403.681376678 3.187914, 411486.56697846437 7378405.633014292 3.201602, 411489.86555971147 7378408.496776181 3.248482, 411492.4829243999 7378410.789618827 3.261597, 411497.73098668404 7378415.370357933 3.315098, 411501.77055782813 7378418.902285176 3.351788, 411507.0239534306 7378423.499530692 3.414185, 411511.5436623586 7378427.4344981555 3.449777, 411517.5804624671 7378432.72399671 3.498925, 411523.0013947772 7378437.467314919 3.547903)</t>
  </si>
  <si>
    <t>POLYGON Z ((411525.48094919545 7378439.625915159 3.580767, 411526.1741457021 7378439.606161396 3.581301, 411526.54427996185 7378439.205682211 3.5849409999999997, 411526.4852169844 7378438.5081109265 3.58462, 411525.59610356233 7378437.740281313 3.603099, 411521.326493366 7378433.999381941 3.554959, 411516.30563598627 7378429.620773782 3.502778, 411511.000916281 7378424.980675023 3.449058, 411504.5502086817 7378419.345499039 3.387639, 411497.1893806069 7378412.904043624 3.319152, 411490.17265619774 7378406.791556277 3.243365, 411483.69793454814 7378401.235590959 3.207144, 411479.16058162093 7378397.483638939 3.168408, 411474.9553256889 7378394.305766169 3.138587, 411473.1191991098 7378393.0427804105 3.117434, 411471.1567573883 7378391.744701233 3.0907270000000002, 411468.091481957 7378389.931691935 3.052067, 411465.00675533817 7378388.216126688 2.9968269999999997, 411461.909799304 7378386.586719288 2.9676169999999997, 411457.8209172569 7378384.525033188 2.946636, 411455.7042503793 7378383.624971515 2.930859, 411454.58325590007 7378383.1837719735 2.9358779999999998, 411451.2819638515 7378381.949220713 2.9229279999999997, 411448.79392975493 7378381.113019105 2.9181, 411448.18836772325 7378381.441936332 2.908354, 411447.50693919056 7378383.3896407755 2.890976, 411447.84595551144 7378384.0373093365 2.890834, 411451.84403948777 7378385.3974314 2.947826, 411456.2030243277 7378386.928412672 2.9393219999999998, 411457.8263160007 7378387.555392068 2.933156, 411460.22266275284 7378388.570780908 2.96491, 411461.870902186 7378389.32846728 2.970806, 411464.27092934033 7378390.486020638 2.989898, 411466.59680843714 7378391.687180924 3.020332, 411468.190246182 7378392.534972551 3.037774, 411470.67117044143 7378393.946414414 3.060288, 411473.0574601022 7378395.403129217 3.088627, 411475.32060858456 7378396.865721473 3.120978, 411476.73769965634 7378397.849433615 3.139909, 411478.1506870499 7378398.862841674 3.166292, 411480.1414543656 7378400.3451255085 3.176878, 411481.49864534056 7378401.395271874 3.173097, 411482.1550023599 7378401.918973205 3.177269, 411484.2848025556 7378403.681376678 3.187914, 411486.56697846437 7378405.633014292 3.201602, 411489.86555971147 7378408.496776181 3.248482, 411492.4829243999 7378410.789618827 3.261597, 411497.73098668404 7378415.370357933 3.315098, 411501.77055782813 7378418.902285176 3.351788, 411507.0239534306 7378423.499530692 3.414185, 411511.5436623586 7378427.4344981555 3.449777, 411517.5804624671 7378432.72399671 3.498925, 411523.0013947772 7378437.467314919 3.547903, 411525.48094919545 7378439.625915159 3.580767))</t>
  </si>
  <si>
    <t>2024-07-02</t>
  </si>
  <si>
    <t>['EV6 S15D1 m357 KD3 m624-640']</t>
  </si>
  <si>
    <t>LINESTRING Z (267259.6154717646 6638469.759997988 154.33614074468613, 267260.15997288894 6638468.89679077 154.33614184737206, 267260.8303911792 6638467.981964072 154.33614314377309, 267260.89383147535 6638467.684855468 154.3461433672905, 267260.6918657195 6638467.341520878 154.3461432480812, 267260.3331732986 6638467.153068198 154.34614287555218, 267259.3657754198 6638466.78881805 154.32614177286627, 267258.4056275195 6638466.393770126 154.31614069998264, 267256.5523676678 6638465.567447789 154.26613865852357, 267254.7561794326 6638464.705803747 154.22613670647144, 267252.6130609001 6638463.785243277 154.1661343371868, 267250.8096109002 6638463.064909375 154.1061323106289, 267249.0188395538 6638462.373563663 154.02613029897213, 267247.10759142996 6638461.683110973 153.9461281234026, 267246.7280537993 6638461.597015914 153.9361276614666, 267246.31045666966 6638461.644981063 153.91612709522246, 267246.01422934106 6638461.812529924 153.89612663328649, 267245.65634778596 6638462.51814094 153.88612584352492, 267245.9416121249 6638463.225631929 153.90612590312958, 267246.2749354956 6638463.4666206455 153.91612621605395, 267247.2323574022 6638463.942288066 153.96612725913525, 267249.1426655582 6638464.954313657 154.05612928569317, 267251.1018788341 6638466.062363392 154.13613132715224, 267253.03300866147 6638467.193056103 154.196133338809, 267254.8971025017 6638468.3599752365 154.25613523125648, 267256.6751364807 6638469.574894695 154.29613700449468, 267257.53652242967 6638470.209979583 154.3061378389597, 267258.35624149133 6638470.828754933 154.31613862872123, 267258.7149456509 6638470.906695189 154.32613906085493, 267259.00030382385 6638470.730086774 154.33613950788975, 267259.6154717646 6638469.759997988 154.33614074468613)</t>
  </si>
  <si>
    <t>POLYGON Z ((267259.6154717646 6638469.759997988 154.33614074468613, 267260.15997288894 6638468.89679077 154.33614184737206, 267260.8303911792 6638467.981964072 154.33614314377309, 267260.89383147535 6638467.684855468 154.3461433672905, 267260.6918657195 6638467.341520878 154.3461432480812, 267260.3331732986 6638467.153068198 154.34614287555218, 267259.3657754198 6638466.78881805 154.32614177286627, 267258.4056275195 6638466.393770126 154.31614069998264, 267256.5523676678 6638465.567447789 154.26613865852357, 267254.7561794326 6638464.705803747 154.22613670647144, 267252.6130609001 6638463.785243277 154.1661343371868, 267250.8096109002 6638463.064909375 154.1061323106289, 267249.0188395538 6638462.373563663 154.02613029897213, 267247.10759142996 6638461.683110973 153.9461281234026, 267246.7280537993 6638461.597015914 153.9361276614666, 267246.31045666966 6638461.644981063 153.91612709522246, 267246.01422934106 6638461.812529924 153.89612663328649, 267245.65634778596 6638462.51814094 153.88612584352492, 267245.9416121249 6638463.225631929 153.90612590312958, 267246.2749354956 6638463.4666206455 153.91612621605395, 267247.2323574022 6638463.942288066 153.96612725913525, 267249.1426655582 6638464.954313657 154.05612928569317, 267251.1018788341 6638466.062363392 154.13613132715224, 267253.03300866147 6638467.193056103 154.196133338809, 267254.8971025017 6638468.3599752365 154.25613523125648, 267256.6751364807 6638469.574894695 154.29613700449468, 267257.53652242967 6638470.209979583 154.3061378389597, 267258.35624149133 6638470.828754933 154.31613862872123, 267258.7149456509 6638470.906695189 154.32613906085493, 267259.00030382385 6638470.730086774 154.33613950788975, 267259.6154717646 6638469.759997988 154.33614074468613))</t>
  </si>
  <si>
    <t>['EV6 S15D1 m357 KD5 m8-45']</t>
  </si>
  <si>
    <t>LINESTRING Z (267265.0439661627 6638480.197655893 154.3261430990696, 267265.3455049387 6638481.1950170705 154.33614303946496, 267265.68691275676 6638482.078246703 154.34614308416843, 267266.18955941824 6638482.966928461 154.3561433374882, 267266.7882302463 6638483.8067050595 154.36614373981953, 267267.46028223005 6638484.569493081 154.38614427626132, 267268.22654880874 6638485.263447286 154.40614496171474, 267269.0109461918 6638485.825150852 154.41614573657512, 267269.9203559349 6638486.32527058 154.43614669024944, 267270.85786080634 6638486.692234891 154.4561477482319, 267271.77906785905 6638486.990353675 154.4861488211155, 267272.8280133265 6638487.14626921 154.5061501175165, 267273.82714885275 6638487.19619626 154.53615139901638, 267274.8462247397 6638487.133801342 154.54615276992322, 267275.81368112046 6638486.945489287 154.5661541110277, 267276.8028874289 6638486.664783926 154.58615552663804, 267277.73231947154 6638486.278994873 154.59615692734718, 267278.953466521 6638485.565322908 154.61615883469582, 267279.8820289072 6638484.838032355 154.63616038441657, 267280.5669234963 6638484.082634968 154.64616162121297, 267281.4275920077 6638482.939557 154.6561632603407, 267281.9204617309 6638482.060945127 154.65616430342197, 267282.29829515144 6638481.132499909 154.6661652123928, 267282.56109227164 6638480.154221335 154.6561659872532, 267282.7215317697 6638479.15509761 154.66616665780543, 267282.7859588441 6638478.0943666315 154.6661672091484, 267282.70000450255 6638477.147755459 154.65616753697395, 267282.5696689432 6638476.154941772 154.64616780519486, 267282.2500111563 6638475.179318947 154.6461678349972, 267281.8451983334 6638474.261660798 154.63616771578788, 267281.3660995837 6638473.411026873 154.6261674773693, 267280.790976683 6638472.609298073 154.60616708993913, 267280.09809140884 6638471.83835531 154.586166523695, 267279.32547978195 6638471.18516319 154.5661658233404, 267278.49760609237 6638470.587221394 154.55616500377656, 267277.6108394837 6638470.115185007 154.5361640650034, 267276.7014181398 6638469.725577592 154.51616305172445, 267275.72223476134 6638469.452816041 154.49616190433503, 267274.7231109898 6638469.292376446 154.47616066753864, 267273.73484459333 6638469.2515087975 154.46615940093994, 267272.73206649406 6638469.382749084 154.4361580300331, 267271.72838360484 6638469.504025045 154.4261566591263, 267270.7699749884 6638469.79198026 154.40615528821945, 267269.88855492556 6638470.15331664 154.40615397691727, 267268.98446839844 6638470.707594407 154.38615254640578, 267268.1800251608 6638471.252824363 154.36615125000478, 267267.41904664086 6638471.944804919 154.34614993870258, 267266.7214732258 6638472.671214112 154.32614870190622, 267266.0166146554 6638473.759958304 154.3261472862959, 267265.68410230736 6638474.413033248 154.326146556139, 267265.3352569874 6638475.328799899 154.32614569187166, 267265.0117690272 6638476.30254296 154.3261448276043, 267264.92290107196 6638477.204749599 154.32614430606367, 267264.84308095026 6638478.206599537 154.31614373981952, 267264.9263092417 6638479.233830272 154.32614338219167, 267265.0439661627 6638480.197655893 154.3261430990696)</t>
  </si>
  <si>
    <t>POLYGON Z ((267265.0439661627 6638480.197655893 154.3261430990696, 267265.3455049387 6638481.1950170705 154.33614303946496, 267265.68691275676 6638482.078246703 154.34614308416843, 267266.18955941824 6638482.966928461 154.3561433374882, 267266.7882302463 6638483.8067050595 154.36614373981953, 267267.46028223005 6638484.569493081 154.38614427626132, 267268.22654880874 6638485.263447286 154.40614496171474, 267269.0109461918 6638485.825150852 154.41614573657512, 267269.9203559349 6638486.32527058 154.43614669024944, 267270.85786080634 6638486.692234891 154.4561477482319, 267271.77906785905 6638486.990353675 154.4861488211155, 267272.8280133265 6638487.14626921 154.5061501175165, 267273.82714885275 6638487.19619626 154.53615139901638, 267274.8462247397 6638487.133801342 154.54615276992322, 267275.81368112046 6638486.945489287 154.5661541110277, 267276.8028874289 6638486.664783926 154.58615552663804, 267277.73231947154 6638486.278994873 154.59615692734718, 267278.953466521 6638485.565322908 154.61615883469582, 267279.8820289072 6638484.838032355 154.63616038441657, 267280.5669234963 6638484.082634968 154.64616162121297, 267281.4275920077 6638482.939557 154.6561632603407, 267281.9204617309 6638482.060945127 154.65616430342197, 267282.29829515144 6638481.132499909 154.6661652123928, 267282.56109227164 6638480.154221335 154.6561659872532, 267282.7215317697 6638479.15509761 154.66616665780543, 267282.7859588441 6638478.0943666315 154.6661672091484, 267282.70000450255 6638477.147755459 154.65616753697395, 267282.5696689432 6638476.154941772 154.64616780519486, 267282.2500111563 6638475.179318947 154.6461678349972, 267281.8451983334 6638474.261660798 154.63616771578788, 267281.3660995837 6638473.411026873 154.6261674773693, 267280.790976683 6638472.609298073 154.60616708993913, 267280.09809140884 6638471.83835531 154.586166523695, 267279.32547978195 6638471.18516319 154.5661658233404, 267278.49760609237 6638470.587221394 154.55616500377656, 267277.6108394837 6638470.115185007 154.5361640650034, 267276.7014181398 6638469.725577592 154.51616305172445, 267275.72223476134 6638469.452816041 154.49616190433503, 267274.7231109898 6638469.292376446 154.47616066753864, 267273.73484459333 6638469.2515087975 154.46615940093994, 267272.73206649406 6638469.382749084 154.4361580300331, 267271.72838360484 6638469.504025045 154.4261566591263, 267270.7699749884 6638469.79198026 154.40615528821945, 267269.88855492556 6638470.15331664 154.40615397691727, 267268.98446839844 6638470.707594407 154.38615254640578, 267268.1800251608 6638471.252824363 154.36615125000478, 267267.41904664086 6638471.944804919 154.34614993870258, 267266.7214732258 6638472.671214112 154.32614870190622, 267266.0166146554 6638473.759958304 154.3261472862959, 267265.68410230736 6638474.413033248 154.326146556139, 267265.3352569874 6638475.328799899 154.32614569187166, 267265.0117690272 6638476.30254296 154.3261448276043, 267264.92290107196 6638477.204749599 154.32614430606367, 267264.84308095026 6638478.206599537 154.31614373981952, 267264.9263092417 6638479.233830272 154.32614338219167, 267265.0439661627 6638480.197655893 154.3261430990696))</t>
  </si>
  <si>
    <t>2023-04-01</t>
  </si>
  <si>
    <t>['FV317 S1D1 m95-172']</t>
  </si>
  <si>
    <t>LINESTRING (253358.8511001308 6596408.76569506, 253391.2220183852 6596411.447945241, 253435.14361628485 6596413.37417529)</t>
  </si>
  <si>
    <t>2024-07-22</t>
  </si>
  <si>
    <t>[1047]</t>
  </si>
  <si>
    <t>['KV1047 S1D1 m54-62']</t>
  </si>
  <si>
    <t>LINESTRING (-28293.46654608124 6709892.583339336, -28289.54774093884 6709894.1121678995, -28285.952459893306 6709895.428451765)</t>
  </si>
  <si>
    <t>POINT (-28289.71694820924 6709894.025588124)</t>
  </si>
  <si>
    <t>2024-07-26</t>
  </si>
  <si>
    <t>[1069]</t>
  </si>
  <si>
    <t>['KV1069 S1D1 m4-6']</t>
  </si>
  <si>
    <t>LINESTRING (31457.757619667624 6493156.451870836, 31458.788474875735 6493156.811864897, 31460.182523677126 6493155.216926773, 31459.288203310978 6493155.009232342, 31457.807384764194 6493156.176061119)</t>
  </si>
  <si>
    <t>POLYGON ((31457.757619667624 6493156.451870836, 31458.788474875735 6493156.811864897, 31460.182523677126 6493155.216926773, 31459.288203310978 6493155.009232342, 31457.807384764194 6493156.176061119, 31457.757619667624 6493156.451870836))</t>
  </si>
  <si>
    <t>2024-08-05</t>
  </si>
  <si>
    <t>[1039]</t>
  </si>
  <si>
    <t>['KV1039 S1D1 m396-409']</t>
  </si>
  <si>
    <t>LINESTRING (29579.22628374747 6491908.858970799, 29578.12682597444 6491914.725821874, 29577.518138768384 6491920.983454845, 29579.04340616736 6491922.498010189, 29580.122537372226 6491921.581169804, 29579.86556264496 6491908.86083176)</t>
  </si>
  <si>
    <t>POLYGON ((29579.22628374747 6491908.858970799, 29578.12682597444 6491914.725821874, 29577.518138768384 6491920.983454845, 29579.04340616736 6491922.498010189, 29580.122537372226 6491921.581169804, 29579.86556264496 6491908.86083176, 29579.22628374747 6491908.858970799))</t>
  </si>
  <si>
    <t>['KV1039 S3D1 m0 KD1 m21-53']</t>
  </si>
  <si>
    <t>LINESTRING (29573.20386059495 6491931.363503264, 29578.365933933936 6491930.742939504, 29581.864485618193 6491932.773656318, 29583.915379552345 6491936.642585854, 29584.19034942222 6491939.274470136, 29582.84117730119 6491941.291997801, 29581.93203399575 6491942.24462563, 29580.250945928332 6491943.469964859, 29576.855182520696 6491944.755258352, 29576.1112452246 6491944.867180764, 29571.971086809528 6491942.913602367, 29569.816371858353 6491938.8210245175, 29570.453224582656 6491934.865118959, 29572.450241451734 6491931.690234903)</t>
  </si>
  <si>
    <t>POLYGON ((29573.20386059495 6491931.363503264, 29578.365933933936 6491930.742939504, 29581.864485618193 6491932.773656318, 29583.915379552345 6491936.642585854, 29584.19034942222 6491939.274470136, 29582.84117730119 6491941.291997801, 29581.93203399575 6491942.24462563, 29580.250945928332 6491943.469964859, 29576.855182520696 6491944.755258352, 29576.1112452246 6491944.867180764, 29571.971086809528 6491942.913602367, 29569.816371858353 6491938.8210245175, 29570.453224582656 6491934.865118959, 29572.450241451734 6491931.690234903, 29573.20386059495 6491931.363503264))</t>
  </si>
  <si>
    <t>2024-08-06</t>
  </si>
  <si>
    <t>[98163]</t>
  </si>
  <si>
    <t>['PV98163 S1D1 m20-42']</t>
  </si>
  <si>
    <t>LINESTRING (29471.228919795016 6491995.34875855, 29467.78759018617 6491995.762563915, 29464.992317717348 6491992.29803464, 29465.3723671076 6491989.553647756, 29467.525714037067 6491987.630525498, 29470.113130026963 6491987.398111766, 29471.574952367402 6491988.335542959, 29473.456824851106 6491991.437637478, 29471.77719944861 6491995.2828305205)</t>
  </si>
  <si>
    <t>POLYGON ((29471.228919795016 6491995.34875855, 29467.78759018617 6491995.762563915, 29464.992317717348 6491992.29803464, 29465.3723671076 6491989.553647756, 29467.525714037067 6491987.630525498, 29470.113130026963 6491987.398111766, 29471.574952367402 6491988.335542959, 29473.456824851106 6491991.437637478, 29471.77719944861 6491995.2828305205, 29471.228919795016 6491995.34875855))</t>
  </si>
  <si>
    <t>['KV1039 S2D1 m10-38']</t>
  </si>
  <si>
    <t>LINESTRING (29583.417065373855 6491906.803445025, 29583.749486995046 6491907.550596433, 29583.611773020122 6491920.925580853, 29588.229351203656 6491933.593982387, 29589.131130298774 6491933.170731883, 29584.849114105396 6491906.754983532, 29583.791049618565 6491906.567331302)</t>
  </si>
  <si>
    <t>POLYGON ((29583.417065373855 6491906.803445025, 29583.749486995046 6491907.550596433, 29583.611773020122 6491920.925580853, 29588.229351203656 6491933.593982387, 29589.131130298774 6491933.170731883, 29584.849114105396 6491906.754983532, 29583.791049618565 6491906.567331302, 29583.417065373855 6491906.803445025))</t>
  </si>
  <si>
    <t>[1030]</t>
  </si>
  <si>
    <t>['KV1030 S1D1 m9-20']</t>
  </si>
  <si>
    <t>LINESTRING (29559.027897736174 6491545.4034351, 29562.188467793458 6491535.364538908, 29560.374226232 6491534.154570609, 29557.614953352662 6491538.916559764, 29557.824392604467 6491541.545075542, 29558.460902195307 6491545.31416788)</t>
  </si>
  <si>
    <t>POLYGON ((29559.027897736174 6491545.4034351, 29562.188467793458 6491535.364538908, 29560.374226232 6491534.154570609, 29557.614953352662 6491538.916559764, 29557.824392604467 6491541.545075542, 29558.460902195307 6491545.31416788, 29559.027897736174 6491545.4034351))</t>
  </si>
  <si>
    <t>2024-08-19</t>
  </si>
  <si>
    <t>['RV3 S22D10 m12-22']</t>
  </si>
  <si>
    <t>LINESTRING Z (276235.9069475643 6920447.710859254 559.666478, 276235.8175104924 6920447.744550133 559.666366, 276235.6261282291 6920447.75899918 559.664934, 276235.4762827445 6920447.716885435 559.662698, 276235.3741373515 6920447.6542111775 559.660461, 276235.298586131 6920447.579989536 559.658224, 276235.24527870934 6920447.511064322 559.6563, 276235.17522824206 6920447.419586807 559.65375, 276235.11405004817 6920447.339370088 559.651513, 276234.3985286701 6920446.377875993 559.624671, 276234.3403682416 6920446.297771753 559.622437, 276234.2824227557 6920446.217658548 559.620178, 276234.2246860863 6920446.137534796 559.617981, 276234.1671602288 6920446.057400358 559.615723, 276234.109838641 6920445.977247675 559.613464, 276234.05272032355 6920445.897076805 559.611267, 276233.9958062756 6920445.81688769 559.609009, 276233.93908923364 6920445.736676821 559.60675, 276233.88256678486 6920445.656438345 559.604553, 276233.8262422703 6920445.576177048 559.602295, 276233.7701090778 6920445.495884371 559.600037, 276233.7141641439 6920445.415559517 559.597839, 276233.65840811876 6920445.335197431 559.595581, 276233.6028361526 6920445.254800459 559.593384, 276233.54744817584 6920445.174367597 559.591125, 276233.49224263406 6920445.093890938 559.588867, 276233.4372153276 6920445.013367761 559.58667, 276233.3823645392 6920444.932802202 559.584412, 276233.3276906407 6920444.852185213 559.582153, 276233.2731887122 6920444.771518134 559.579956, 276233.21885954344 6920444.690797901 559.577698, 276233.1646977279 6920444.61001888 559.575439, 276233.11070468026 6920444.529186986 559.573242, 276233.0568745079 6920444.448289593 559.570984, 276233.0032094847 6920444.367330562 559.568726, 276232.9497052016 6920444.286304167 559.566528, 276232.896363794 6920444.205212285 559.56427, 276232.8431777202 6920444.124047404 559.562012, 276232.79014783935 6920444.042807472 559.559814, 276232.73727236455 6920443.961495612 559.557556, 276232.68455080874 6920443.8801048435 559.555298, 276232.6319780436 6920443.7986335205 559.553101, 276232.57955571753 6920443.71707651 559.550842, 276232.52728097554 6920443.635436018 559.548645, 276232.4751522644 6920443.553704134 559.546387, 276232.42316772684 6920443.471882991 559.544128, 276232.3713272936 6920443.389971591 559.541931, 276232.31967414997 6920443.307927819 559.539673, 276232.2682959659 6920443.225700451 559.537415, 276232.21718826215 6920443.143282775 559.535217, 276232.16634869634 6920443.060669942 559.532959, 276232.1157770592 6920442.977858959 559.530701, 276232.06547001004 6920442.89484505 559.528503, 276232.0154274093 6920442.811626211 559.526245, 276231.96564392047 6920442.728197805 559.523987, 276231.9161213306 6920442.644556705 559.52179, 276231.86685502226 6920442.5606942 559.519531, 276231.8178458543 6920442.476608225 559.517273, 276231.76908969635 6920442.392297072 559.515076, 276231.7205864091 6920442.307758736 559.512817, 276231.67233209545 6920442.222980461 559.510559, 276231.62432782294 6920442.137963172 559.508362, 276231.5765720365 6920442.052698958 559.506104, 276231.5290627406 6920441.967187953 559.503906, 276231.4817974536 6920441.881423318 559.501648, 276231.4347758966 6920441.795401057 559.49939, 276231.38799672434 6920441.709116255 559.497192, 276231.34145944996 6920441.622561927 559.494934, 276231.29516286636 6920441.535735144 559.492676, 276231.24910270533 6920441.4486322 559.490479, 276231.2032833286 6920441.361243758 559.48822, 276231.1576978918 6920441.273572312 559.485962, 276231.1123504789 6920441.185604533 559.483765, 276231.0672368906 6920441.0973377125 559.481506, 276231.02235805424 6920441.008770776 559.479248, 276230.9777122776 6920440.919893824 559.477051, 276230.9332979366 6920440.830697941 559.474792, 276230.88911637635 6920440.741188047 559.472534, 276230.84516648465 6920440.651348177 559.470337, 276230.80144853867 6920440.561182323 559.468079, 276230.75796049804 6920440.470675586 559.465881, 276230.714701087 6920440.379824045 559.463623, 276230.67167223094 6920440.288626565 559.461365, 276230.6288719587 6920440.1970692435 559.459167, 276230.5863012677 6920440.105152013 559.456909, 276230.5439596021 6920440.012866895 559.454651, 276230.501845755 6920439.920210959 559.452454, 276230.4599615372 6920439.827167031 559.450195, 276230.4420205639 6920439.787041757 559.449219, 276230.42000967264 6920439.732329037 559.447937, 276230.39927900175 6920439.621260945 559.44574, 276230.4165552298 6920439.47794349 559.443481, 276230.4759818979 6920439.355531535 559.442261, 276230.6341894946 6920439.21995711 559.4422, 276230.7744637534 6920439.178130316 559.443481, 276230.920948077 6920439.186798704 559.44574, 276231.0285591247 6920439.228448615 559.447937, 276231.0655801876 6920439.251513422 559.448853, 276231.11454995157 6920439.288317655 559.450195, 276231.196644271 6920439.351577531 559.452454, 276231.27816197096 6920439.41548319 559.454651, 276231.35909571964 6920439.480030142 559.456909, 276231.43944489106 6920439.545209402 559.459167, 276231.51920442656 6920439.611020317 559.461365, 276231.59837284184 6920439.67745598 559.463623, 276231.676942804 6920439.74451188 559.465881, 276231.754915961 6920439.81218289 559.468079, 276231.83228639606 6920439.880470435 559.470337, 276231.9090492134 6920439.949361809 559.472534, 276231.9852044828 6920440.0188580165 559.474792, 276232.0607476565 6920440.088951356 559.477051, 276232.13567446533 6920440.159638109 559.479248, 276232.20998170663 6920440.230915489 559.481506, 276232.2836688246 6920440.302775518 559.483765, 276232.35672876553 6920440.375217689 559.485962, 276232.42916183034 6920440.448231947 559.48822, 276232.50096124434 6920440.521821775 559.490479, 276232.5721259635 6920440.59597221 559.492676, 276232.6426522753 6920440.6706875125 559.494934, 276232.71253769717 6920440.745960847 559.497192, 276232.7817778206 6920440.821786499 559.49939, 276232.8503680285 6920440.898155768 559.501648, 276232.9183097357 6920440.97507457 559.503906, 276232.9855949149 6920441.052528428 559.506104, 276233.052224285 6920441.130513277 559.508362, 276233.1181939943 6920441.209031396 559.510559, 276233.18349863635 6920441.288077141 559.512817, 276233.24813545076 6920441.367639678 559.515076, 276233.31210216344 6920441.447715154 559.517273, 276233.3753961291 6920441.52830877 559.519531, 276233.43801317166 6920441.60940377 559.52179, 276233.4999524325 6920441.691002217 559.523987, 276233.5612082966 6920441.773095478 559.526245, 276233.6217787685 6920441.855683697 559.528503, 276233.68165937037 6920441.938760166 559.530701, 276233.7408495456 6920442.022316903 559.532959, 276233.79934629996 6920442.106354112 559.535217, 276233.85714336997 6920442.190868226 559.537415, 276233.9142409871 6920442.275848189 559.539673, 276233.9627798375 6920442.349303873 559.541565, 276234.02631934837 6920442.447198967 559.544128, 276234.081295266 6920442.533558077 559.546387, 276234.1355597123 6920442.620368845 559.548645, 276234.18910742016 6920442.707627622 559.550842, 276234.2419367656 6920442.795325499 559.553101, 276234.2940426902 6920442.883461829 559.555298, 276234.3454254265 6920442.97202556 559.557556, 276234.39608219004 6920443.061019904 559.559814, 276234.4460053005 6920443.150435362 559.562012, 276234.49519754254 6920443.240268734 559.56427, 276234.54365251254 6920443.330514452 559.566528, 276234.59136700805 6920443.421169728 559.568726, 276234.6383414008 6920443.512225517 559.570984, 276234.6845689153 6920443.603685293 559.573242, 276234.7264400546 6920443.688170593 559.575256, 276234.7750347619 6920443.787626843 559.577698, 276234.81970146147 6920443.879853158 559.579956, 276234.8640525972 6920443.972212761 559.582153, 276234.9080858259 6920444.064700807 559.584412, 276234.9518034911 6920444.157322141 559.58667, 276234.9952053145 6920444.250072775 559.588867, 276235.0382880246 6920444.34294893 559.591125, 276235.08105254924 6920444.435949532 559.593384, 276235.1234993064 6920444.529080572 559.595581, 276235.16562567384 6920444.622333204 559.597839, 276235.2074356433 6920444.715707155 559.600037, 276235.2489252231 6920444.809202704 559.602295, 276235.2900954113 6920444.902819775 559.604553, 276235.3309440037 6920444.996555517 559.60675, 276235.37147292646 6920445.090408797 559.609009, 276235.4116832465 6920445.18438054 559.611267, 276235.4515716226 6920445.27846596 559.613464, 276235.4911380555 6920445.372665071 559.615723, 276235.5303816165 6920445.466978926 559.617981, 276235.56930402265 6920445.561403403 559.620178, 276235.6079052746 6920445.6559385 559.622437, 276235.64618330664 6920445.750583354 559.624695, 276235.68414097343 6920445.845335769 559.626892, 276235.72177414445 6920445.940194024 559.62915, 276235.75908189174 6920446.035159184 559.631409, 276235.7960679276 6920446.13022698 559.633606, 276235.8327305359 6920446.225401547 559.635864, 276235.8690692283 6920446.320675892 559.638062, 276235.905082869 6920446.416048098 559.64032, 276235.94077159656 6920446.511520157 559.642578, 276235.9761356893 6920446.607096059 559.644775, 276236.011176169 6920446.702761694 559.647034, 276236.0458897403 6920446.798527325 559.649292, 276236.08027784206 6920446.894384827 559.651489, 276236.1143406833 6920446.990337192 559.653748, 276236.14807905245 6920447.0863813525 559.656006, 276236.171505825 6920447.169229698 559.657837, 276236.1797772306 6920447.294285853 559.660461, 276236.15752617526 6920447.414867326 559.66272, 276236.0866327458 6920447.556414895 559.664917, 276235.94626697106 6920447.688189859 559.666382, 276235.9069475643 6920447.710859254 559.666478)</t>
  </si>
  <si>
    <t>POLYGON Z ((276235.9069475643 6920447.710859254 559.666478, 276235.8175104924 6920447.744550133 559.666366, 276235.6261282291 6920447.75899918 559.664934, 276235.4762827445 6920447.716885435 559.662698, 276235.3741373515 6920447.6542111775 559.660461, 276235.298586131 6920447.579989536 559.658224, 276235.24527870934 6920447.511064322 559.6563, 276235.17522824206 6920447.419586807 559.65375, 276235.11405004817 6920447.339370088 559.651513, 276234.3985286701 6920446.377875993 559.624671, 276234.3403682416 6920446.297771753 559.622437, 276234.2824227557 6920446.217658548 559.620178, 276234.2246860863 6920446.137534796 559.617981, 276234.1671602288 6920446.057400358 559.615723, 276234.109838641 6920445.977247675 559.613464, 276234.05272032355 6920445.897076805 559.611267, 276233.9958062756 6920445.81688769 559.609009, 276233.93908923364 6920445.736676821 559.60675, 276233.88256678486 6920445.656438345 559.604553, 276233.8262422703 6920445.576177048 559.602295, 276233.7701090778 6920445.495884371 559.600037, 276233.7141641439 6920445.415559517 559.597839, 276233.65840811876 6920445.335197431 559.595581, 276233.6028361526 6920445.254800459 559.593384, 276233.54744817584 6920445.174367597 559.591125, 276233.49224263406 6920445.093890938 559.588867, 276233.4372153276 6920445.013367761 559.58667, 276233.3823645392 6920444.932802202 559.584412, 276233.3276906407 6920444.852185213 559.582153, 276233.2731887122 6920444.771518134 559.579956, 276233.21885954344 6920444.690797901 559.577698, 276233.1646977279 6920444.61001888 559.575439, 276233.11070468026 6920444.529186986 559.573242, 276233.0568745079 6920444.448289593 559.570984, 276233.0032094847 6920444.367330562 559.568726, 276232.9497052016 6920444.286304167 559.566528, 276232.896363794 6920444.205212285 559.56427, 276232.8431777202 6920444.124047404 559.562012, 276232.79014783935 6920444.042807472 559.559814, 276232.73727236455 6920443.961495612 559.557556, 276232.68455080874 6920443.8801048435 559.555298, 276232.6319780436 6920443.7986335205 559.553101, 276232.57955571753 6920443.71707651 559.550842, 276232.52728097554 6920443.635436018 559.548645, 276232.4751522644 6920443.553704134 559.546387, 276232.42316772684 6920443.471882991 559.544128, 276232.3713272936 6920443.389971591 559.541931, 276232.31967414997 6920443.307927819 559.539673, 276232.2682959659 6920443.225700451 559.537415, 276232.21718826215 6920443.143282775 559.535217, 276232.16634869634 6920443.060669942 559.532959, 276232.1157770592 6920442.977858959 559.530701, 276232.06547001004 6920442.89484505 559.528503, 276232.0154274093 6920442.811626211 559.526245, 276231.96564392047 6920442.728197805 559.523987, 276231.9161213306 6920442.644556705 559.52179, 276231.86685502226 6920442.5606942 559.519531, 276231.8178458543 6920442.476608225 559.517273, 276231.76908969635 6920442.392297072 559.515076, 276231.7205864091 6920442.307758736 559.512817, 276231.67233209545 6920442.222980461 559.510559, 276231.62432782294 6920442.137963172 559.508362, 276231.5765720365 6920442.052698958 559.506104, 276231.5290627406 6920441.967187953 559.503906, 276231.4817974536 6920441.881423318 559.501648, 276231.4347758966 6920441.795401057 559.49939, 276231.38799672434 6920441.709116255 559.497192, 276231.34145944996 6920441.622561927 559.494934, 276231.29516286636 6920441.535735144 559.492676, 276231.24910270533 6920441.4486322 559.490479, 276231.2032833286 6920441.361243758 559.48822, 276231.1576978918 6920441.273572312 559.485962, 276231.1123504789 6920441.185604533 559.483765, 276231.0672368906 6920441.0973377125 559.481506, 276231.02235805424 6920441.008770776 559.479248, 276230.9777122776 6920440.919893824 559.477051, 276230.9332979366 6920440.830697941 559.474792, 276230.88911637635 6920440.741188047 559.472534, 276230.84516648465 6920440.651348177 559.470337, 276230.80144853867 6920440.561182323 559.468079, 276230.75796049804 6920440.470675586 559.465881, 276230.714701087 6920440.379824045 559.463623, 276230.67167223094 6920440.288626565 559.461365, 276230.6288719587 6920440.1970692435 559.459167, 276230.5863012677 6920440.105152013 559.456909, 276230.5439596021 6920440.012866895 559.454651, 276230.501845755 6920439.920210959 559.452454, 276230.4599615372 6920439.827167031 559.450195, 276230.4420205639 6920439.787041757 559.449219, 276230.42000967264 6920439.732329037 559.447937, 276230.39927900175 6920439.621260945 559.44574, 276230.4165552298 6920439.47794349 559.443481, 276230.4759818979 6920439.355531535 559.442261, 276230.6341894946 6920439.21995711 559.4422, 276230.7744637534 6920439.178130316 559.443481, 276230.920948077 6920439.186798704 559.44574, 276231.0285591247 6920439.228448615 559.447937, 276231.0655801876 6920439.251513422 559.448853, 276231.11454995157 6920439.288317655 559.450195, 276231.196644271 6920439.351577531 559.452454, 276231.27816197096 6920439.41548319 559.454651, 276231.35909571964 6920439.480030142 559.456909, 276231.43944489106 6920439.545209402 559.459167, 276231.51920442656 6920439.611020317 559.461365, 276231.59837284184 6920439.67745598 559.463623, 276231.676942804 6920439.74451188 559.465881, 276231.754915961 6920439.81218289 559.468079, 276231.83228639606 6920439.880470435 559.470337, 276231.9090492134 6920439.949361809 559.472534, 276231.9852044828 6920440.0188580165 559.474792, 276232.0607476565 6920440.088951356 559.477051, 276232.13567446533 6920440.159638109 559.479248, 276232.20998170663 6920440.230915489 559.481506, 276232.2836688246 6920440.302775518 559.483765, 276232.35672876553 6920440.375217689 559.485962, 276232.42916183034 6920440.448231947 559.48822, 276232.50096124434 6920440.521821775 559.490479, 276232.5721259635 6920440.59597221 559.492676, 276232.6426522753 6920440.6706875125 559.494934, 276232.71253769717 6920440.745960847 559.497192, 276232.7817778206 6920440.821786499 559.49939, 276232.8503680285 6920440.898155768 559.501648, 276232.9183097357 6920440.97507457 559.503906, 276232.9855949149 6920441.052528428 559.506104, 276233.052224285 6920441.130513277 559.508362, 276233.1181939943 6920441.209031396 559.510559, 276233.18349863635 6920441.288077141 559.512817, 276233.24813545076 6920441.367639678 559.515076, 276233.31210216344 6920441.447715154 559.517273, 276233.3753961291 6920441.52830877 559.519531, 276233.43801317166 6920441.60940377 559.52179, 276233.4999524325 6920441.691002217 559.523987, 276233.5612082966 6920441.773095478 559.526245, 276233.6217787685 6920441.855683697 559.528503, 276233.68165937037 6920441.938760166 559.530701, 276233.7408495456 6920442.022316903 559.532959, 276233.79934629996 6920442.106354112 559.535217, 276233.85714336997 6920442.190868226 559.537415, 276233.9142409871 6920442.275848189 559.539673, 276233.9627798375 6920442.349303873 559.541565, 276234.02631934837 6920442.447198967 559.544128, 276234.081295266 6920442.533558077 559.546387, 276234.1355597123 6920442.620368845 559.548645, 276234.18910742016 6920442.707627622 559.550842, 276234.2419367656 6920442.795325499 559.553101, 276234.2940426902 6920442.883461829 559.555298, 276234.3454254265 6920442.97202556 559.557556, 276234.39608219004 6920443.061019904 559.559814, 276234.4460053005 6920443.150435362 559.562012, 276234.49519754254 6920443.240268734 559.56427, 276234.54365251254 6920443.330514452 559.566528, 276234.59136700805 6920443.421169728 559.568726, 276234.6383414008 6920443.512225517 559.570984, 276234.6845689153 6920443.603685293 559.573242, 276234.7264400546 6920443.688170593 559.575256, 276234.7750347619 6920443.787626843 559.577698, 276234.81970146147 6920443.879853158 559.579956, 276234.8640525972 6920443.972212761 559.582153, 276234.9080858259 6920444.064700807 559.584412, 276234.9518034911 6920444.157322141 559.58667, 276234.9952053145 6920444.250072775 559.588867, 276235.0382880246 6920444.34294893 559.591125, 276235.08105254924 6920444.435949532 559.593384, 276235.1234993064 6920444.529080572 559.595581, 276235.16562567384 6920444.622333204 559.597839, 276235.2074356433 6920444.715707155 559.600037, 276235.2489252231 6920444.809202704 559.602295, 276235.2900954113 6920444.902819775 559.604553, 276235.3309440037 6920444.996555517 559.60675, 276235.37147292646 6920445.090408797 559.609009, 276235.4116832465 6920445.18438054 559.611267, 276235.4515716226 6920445.27846596 559.613464, 276235.4911380555 6920445.372665071 559.615723, 276235.5303816165 6920445.466978926 559.617981, 276235.56930402265 6920445.561403403 559.620178, 276235.6079052746 6920445.6559385 559.622437, 276235.64618330664 6920445.750583354 559.624695, 276235.68414097343 6920445.845335769 559.626892, 276235.72177414445 6920445.940194024 559.62915, 276235.75908189174 6920446.035159184 559.631409, 276235.7960679276 6920446.13022698 559.633606, 276235.8327305359 6920446.225401547 559.635864, 276235.8690692283 6920446.320675892 559.638062, 276235.905082869 6920446.416048098 559.64032, 276235.94077159656 6920446.511520157 559.642578, 276235.9761356893 6920446.607096059 559.644775, 276236.011176169 6920446.702761694 559.647034, 276236.0458897403 6920446.798527325 559.649292, 276236.08027784206 6920446.894384827 559.651489, 276236.1143406833 6920446.990337192 559.653748, 276236.14807905245 6920447.0863813525 559.656006, 276236.171505825 6920447.169229698 559.657837, 276236.1797772306 6920447.294285853 559.660461, 276236.15752617526 6920447.414867326 559.66272, 276236.0866327458 6920447.556414895 559.664917, 276235.94626697106 6920447.688189859 559.666382, 276235.9069475643 6920447.710859254 559.666478))</t>
  </si>
  <si>
    <t>2024-08-21</t>
  </si>
  <si>
    <t>['FV42 S1D1 m7328-7340']</t>
  </si>
  <si>
    <t>LINESTRING Z (130095.35861025023 6502418.008174502 53.43, 130097.13916146779 6502417.003790456 53.480000000000004, 130098.86893472087 6502415.993901175 53.5, 130099.00944594323 6502415.317551089 53.51, 130097.83118286275 6502414.065487598 53.49, 130095.63758256647 6502411.80823543 53.480000000000004, 130092.78126830916 6502408.66503947 53.57, 130091.02801425807 6502406.720306682 53.61, 130091.0089550888 6502406.732072 53.620000000000005, 130089.83622951421 6502407.561288993 53.59, 130088.74703446409 6502408.312620246 53.57, 130090.14621300274 6502410.5706846705 53.5, 130091.68389250623 6502413.027528871 53.45, 130093.33922522602 6502415.674964688 53.42, 130094.67957725708 6502417.837733097 53.43, 130095.35861025023 6502418.008174502 53.43)</t>
  </si>
  <si>
    <t>POLYGON Z ((130095.35861025023 6502418.008174502 53.43, 130097.13916146779 6502417.003790456 53.480000000000004, 130098.86893472087 6502415.993901175 53.5, 130099.00944594323 6502415.317551089 53.51, 130097.83118286275 6502414.065487598 53.49, 130095.63758256647 6502411.80823543 53.480000000000004, 130092.78126830916 6502408.66503947 53.57, 130091.02801425807 6502406.720306682 53.61, 130091.0089550888 6502406.732072 53.620000000000005, 130089.83622951421 6502407.561288993 53.59, 130088.74703446409 6502408.312620246 53.57, 130090.14621300274 6502410.5706846705 53.5, 130091.68389250623 6502413.027528871 53.45, 130093.33922522602 6502415.674964688 53.42, 130094.67957725708 6502417.837733097 53.43, 130095.35861025023 6502418.008174502 53.43))</t>
  </si>
  <si>
    <t>['FV42 S1D1 m7319-7325']</t>
  </si>
  <si>
    <t>LINESTRING Z (130085.07395893225 6502399.872255226 53.59, 130086.97032486048 6502401.955013384 53.59, 130088.86669079488 6502404.037771477 53.63, 130088.83944347891 6502404.070384547 53.63, 130088.06338326406 6502404.61262294 53.6, 130086.98416490993 6502405.363059886 53.57, 130086.93889222591 6502405.306776668 53.58, 130085.79304546287 6502403.518791822 53.56, 130084.44718832453 6502401.4068010375 53.550000000000004, 130083.95304500713 6502400.60631585 53.56, 130084.12348653167 6502399.92728282 53.58, 130084.41935083119 6502399.749908774 53.58, 130085.07395893225 6502399.872255226 53.59)</t>
  </si>
  <si>
    <t>POLYGON Z ((130085.07395893225 6502399.872255226 53.59, 130086.97032486048 6502401.955013384 53.59, 130088.86669079488 6502404.037771477 53.63, 130088.83944347891 6502404.070384547 53.63, 130088.06338326406 6502404.61262294 53.6, 130086.98416490993 6502405.363059886 53.57, 130086.93889222591 6502405.306776668 53.58, 130085.79304546287 6502403.518791822 53.56, 130084.44718832453 6502401.4068010375 53.550000000000004, 130083.95304500713 6502400.60631585 53.56, 130084.12348653167 6502399.92728282 53.58, 130084.41935083119 6502399.749908774 53.58, 130085.07395893225 6502399.872255226 53.59))</t>
  </si>
  <si>
    <t>2024-08-22</t>
  </si>
  <si>
    <t>['FV220 S4D1 m5172-5176']</t>
  </si>
  <si>
    <t>LINESTRING Z (293460.5085038279 6559380.213593685 2.74, 293460.65148800827 6559380.351356691 2.74, 293460.7183642171 6559380.536154483 2.74, 293460.71640075056 6559380.737201376 2.75, 293460.63204275066 6559380.915545301 2.75, 293460.4834191298 6559381.049465028 2.75, 293460.29862133606 6559381.116341236 2.74, 293460.0966763628 6559381.104415233 2.74, 293457.3192814886 6559379.707652413 2.74, 293457.8607056079 6559378.694669821 2.7, 293460.5085038279 6559380.213593685 2.74)</t>
  </si>
  <si>
    <t>POLYGON Z ((293460.5085038279 6559380.213593685 2.74, 293460.65148800827 6559380.351356691 2.74, 293460.7183642171 6559380.536154483 2.74, 293460.71640075056 6559380.737201376 2.75, 293460.63204275066 6559380.915545301 2.75, 293460.4834191298 6559381.049465028 2.75, 293460.29862133606 6559381.116341236 2.74, 293460.0966763628 6559381.104415233 2.74, 293457.3192814886 6559379.707652413 2.74, 293457.8607056079 6559378.694669821 2.7, 293460.5085038279 6559380.213593685 2.74))</t>
  </si>
  <si>
    <t>['FV220 S4D1 m5093-5170']</t>
  </si>
  <si>
    <t>LINESTRING Z (293454.99381519185 6559377.0850176625 2.68, 293454.31830400624 6559378.170348617 2.77, 293448.2538794171 6559375.071241647 2.79, 293443.18896609696 6559372.364120534 2.7800000000000002, 293438.8329380321 6559369.944618624 2.82, 293433.6423547536 6559366.957564233 2.7800000000000002, 293429.3425930516 6559364.382337279 2.75, 293423.3854796599 6559360.691032354 2.7800000000000002, 293420.86997182644 6559359.07983414 2.7600000000000002, 293418.3635284255 6559357.457775238 2.7800000000000002, 293414.984475813 6559355.291681185 2.8000000000000003, 293412.50522573286 6559353.637040265 2.86, 293409.74539568555 6559351.766648319 2.7800000000000002, 293405.6784479334 6559349.10012862 2.7600000000000002, 293396.0221019326 6559342.699110612 2.77, 293389.99370475044 6559338.662706848 2.7600000000000002, 293389.91678233456 6559338.589293048 2.75, 293389.8209166047 6559338.417151894 2.75, 293389.8029550628 6559338.217901042 2.74, 293389.8565274743 6559338.032288733 2.73, 293389.9834299932 6559337.880240054 2.72, 293390.1555711455 6559337.784374326 2.7, 293390.34485945664 6559337.767310862 2.69, 293390.55129492644 6559337.829049662 2.67, 293392.4279900666 6559338.704398294 2.71, 293396.000258366 6559340.451335771 2.67, 293399.69199339976 6559342.297982251 2.7, 293403.90789967705 6559344.388638442 2.65, 293406.1918260294 6559345.659147272 2.64, 293408.3588960925 6559346.970320603 2.66, 293409.882076966 6559348.269233082 2.65, 293411.3970914502 6559349.5889686905 2.7, 293413.4922091167 6559351.438933487 2.73, 293415.8869337103 6559353.492890457 2.75, 293417.4445762555 6559354.728435215 2.69, 293419.0211621192 6559356.062707264 2.68, 293420.5444266394 6559357.25113349 2.72, 293422.1564559339 6559358.421514438 2.74, 293423.8156036816 6559359.557517342 2.73, 293425.50831502525 6559360.620190121 2.73, 293427.18747150013 6559361.643910789 2.74, 293428.9082742766 6559362.683964191 2.71, 293431.4927053597 6559364.168427116 2.73, 293434.1160884835 6559365.6393351145 2.73, 293438.471218545 6559368.048874744 2.73, 293442.8444774195 6559370.436692957 2.71, 293447.2195323468 6559372.844436064 2.74, 293452.48810299824 6559375.6938941395 2.68, 293454.99381519185 6559377.0850176625 2.68)</t>
  </si>
  <si>
    <t>POLYGON Z ((293454.99381519185 6559377.0850176625 2.68, 293454.31830400624 6559378.170348617 2.77, 293448.2538794171 6559375.071241647 2.79, 293443.18896609696 6559372.364120534 2.7800000000000002, 293438.8329380321 6559369.944618624 2.82, 293433.6423547536 6559366.957564233 2.7800000000000002, 293429.3425930516 6559364.382337279 2.75, 293423.3854796599 6559360.691032354 2.7800000000000002, 293420.86997182644 6559359.07983414 2.7600000000000002, 293418.3635284255 6559357.457775238 2.7800000000000002, 293414.984475813 6559355.291681185 2.8000000000000003, 293412.50522573286 6559353.637040265 2.86, 293409.74539568555 6559351.766648319 2.7800000000000002, 293405.6784479334 6559349.10012862 2.7600000000000002, 293396.0221019326 6559342.699110612 2.77, 293389.99370475044 6559338.662706848 2.7600000000000002, 293389.91678233456 6559338.589293048 2.75, 293389.8209166047 6559338.417151894 2.75, 293389.8029550628 6559338.217901042 2.74, 293389.8565274743 6559338.032288733 2.73, 293389.9834299932 6559337.880240054 2.72, 293390.1555711455 6559337.784374326 2.7, 293390.34485945664 6559337.767310862 2.69, 293390.55129492644 6559337.829049662 2.67, 293392.4279900666 6559338.704398294 2.71, 293396.000258366 6559340.451335771 2.67, 293399.69199339976 6559342.297982251 2.7, 293403.90789967705 6559344.388638442 2.65, 293406.1918260294 6559345.659147272 2.64, 293408.3588960925 6559346.970320603 2.66, 293409.882076966 6559348.269233082 2.65, 293411.3970914502 6559349.5889686905 2.7, 293413.4922091167 6559351.438933487 2.73, 293415.8869337103 6559353.492890457 2.75, 293417.4445762555 6559354.728435215 2.69, 293419.0211621192 6559356.062707264 2.68, 293420.5444266394 6559357.25113349 2.72, 293422.1564559339 6559358.421514438 2.74, 293423.8156036816 6559359.557517342 2.73, 293425.50831502525 6559360.620190121 2.73, 293427.18747150013 6559361.643910789 2.74, 293428.9082742766 6559362.683964191 2.71, 293431.4927053597 6559364.168427116 2.73, 293434.1160884835 6559365.6393351145 2.73, 293438.471218545 6559368.048874744 2.73, 293442.8444774195 6559370.436692957 2.71, 293447.2195323468 6559372.844436064 2.74, 293452.48810299824 6559375.6938941395 2.68, 293454.99381519185 6559377.0850176625 2.68))</t>
  </si>
  <si>
    <t>[17972]</t>
  </si>
  <si>
    <t>['KV17972 S1D1 m472-479']</t>
  </si>
  <si>
    <t>LINESTRING Z (262004.42606862145 6650412.810096822 41.64, 262004.39931999557 6650413.091007752 41.660000000000004, 262004.43956918913 6650413.367601303 41.68, 262004.5677154628 6650413.616195741 41.69, 262004.7551263857 6650413.827468666 41.71, 262004.98920232846 6650413.979897041 41.72, 262005.2573436716 6650414.051957816 41.72, 262005.53793449007 6650414.056211424 41.72, 262005.81837517943 6650413.971134817 41.72, 262006.04985072635 6650413.822208625 41.71, 262006.23794428838 6650413.609073049 41.69, 262006.34500712957 6650413.3564891545 41.68, 262007.77550657818 6650408.585130304 41.4, 262007.81557181364 6650408.336863777 41.38, 262007.78792249787 6650408.081793255 41.37, 262007.6988584291 6650407.830680274 41.36, 262007.53936323343 6650407.6176083125 41.35, 262007.3387860078 6650407.463021111 41.35, 262007.09569344693 6650407.344676057 41.34, 262006.8464511324 6650407.304899729 41.33, 262006.57845944815 6650407.322169066 41.33, 262006.33853365536 6650407.426969772 41.34, 262006.12452379896 6650407.585937912 41.34, 262005.96849552786 6650407.7746721925 41.35, 262005.85513267718 6650408.016494568 41.37, 262004.42606862145 6650412.810096822 41.64)</t>
  </si>
  <si>
    <t>POLYGON Z ((262004.42606862145 6650412.810096822 41.64, 262004.39931999557 6650413.091007752 41.660000000000004, 262004.43956918913 6650413.367601303 41.68, 262004.5677154628 6650413.616195741 41.69, 262004.7551263857 6650413.827468666 41.71, 262004.98920232846 6650413.979897041 41.72, 262005.2573436716 6650414.051957816 41.72, 262005.53793449007 6650414.056211424 41.72, 262005.81837517943 6650413.971134817 41.72, 262006.04985072635 6650413.822208625 41.71, 262006.23794428838 6650413.609073049 41.69, 262006.34500712957 6650413.3564891545 41.68, 262007.77550657818 6650408.585130304 41.4, 262007.81557181364 6650408.336863777 41.38, 262007.78792249787 6650408.081793255 41.37, 262007.6988584291 6650407.830680274 41.36, 262007.53936323343 6650407.6176083125 41.35, 262007.3387860078 6650407.463021111 41.35, 262007.09569344693 6650407.344676057 41.34, 262006.8464511324 6650407.304899729 41.33, 262006.57845944815 6650407.322169066 41.33, 262006.33853365536 6650407.426969772 41.34, 262006.12452379896 6650407.585937912 41.34, 262005.96849552786 6650407.7746721925 41.35, 262005.85513267718 6650408.016494568 41.37, 262004.42606862145 6650412.810096822 41.64))</t>
  </si>
  <si>
    <t>['KV17972 S1D1 m341-347']</t>
  </si>
  <si>
    <t>LINESTRING Z (262044.82582377174 6650282.987039704 32.52, 262043.3685731694 6650287.69309299 32.84, 262043.31733640857 6650287.942078483 32.85, 262043.33453275458 6650288.208989981 32.87, 262043.4396294911 6650288.447903357 32.88, 262043.58867640843 6650288.672817675 32.89, 262043.7892576098 6650288.82740695 32.9, 262044.01488943349 6650288.935712392 32.9, 262044.2871887241 6650288.985173831 32.9, 262044.54888909138 6650288.9571458185 32.89, 262044.7895403859 6650288.8634691015 32.87, 262045.00427579097 6650288.7156247 32.86, 262045.16589513124 6650288.526532503 32.84, 262045.2792652356 6650288.284711475 32.82, 262046.71705046998 6650283.6245830925 32.53, 262046.75568785865 6650283.35407445 32.51, 262046.71544189937 6650283.077480486 32.5, 262046.61521212553 6650282.827085994 32.49, 262046.4382484838 6650282.60397012 32.480000000000004, 262046.21533371814 6650282.450819557 32.480000000000004, 262045.94575132843 6650282.356513002 32.480000000000004, 262045.66515092723 6650282.35225611 32.480000000000004, 262045.3992997529 6650282.402886371 32.480000000000004, 262045.1566471948 6650282.55252932 32.49, 262044.95594411943 6650282.744139521 32.51, 262044.82582377174 6650282.987039704 32.52)</t>
  </si>
  <si>
    <t>POLYGON Z ((262044.82582377174 6650282.987039704 32.52, 262043.3685731694 6650287.69309299 32.84, 262043.31733640857 6650287.942078483 32.85, 262043.33453275458 6650288.208989981 32.87, 262043.4396294911 6650288.447903357 32.88, 262043.58867640843 6650288.672817675 32.89, 262043.7892576098 6650288.82740695 32.9, 262044.01488943349 6650288.935712392 32.9, 262044.2871887241 6650288.985173831 32.9, 262044.54888909138 6650288.9571458185 32.89, 262044.7895403859 6650288.8634691015 32.87, 262045.00427579097 6650288.7156247 32.86, 262045.16589513124 6650288.526532503 32.84, 262045.2792652356 6650288.284711475 32.82, 262046.71705046998 6650283.6245830925 32.53, 262046.75568785865 6650283.35407445 32.51, 262046.71544189937 6650283.077480486 32.5, 262046.61521212553 6650282.827085994 32.49, 262046.4382484838 6650282.60397012 32.480000000000004, 262046.21533371814 6650282.450819557 32.480000000000004, 262045.94575132843 6650282.356513002 32.480000000000004, 262045.66515092723 6650282.35225611 32.480000000000004, 262045.3992997529 6650282.402886371 32.480000000000004, 262045.1566471948 6650282.55252932 32.49, 262044.95594411943 6650282.744139521 32.51, 262044.82582377174 6650282.987039704 32.52))</t>
  </si>
  <si>
    <t>['KV17972 S1D1 m1014-1019']</t>
  </si>
  <si>
    <t>LINESTRING Z (261892.50749592003 6650916.241764856 52.19, 261893.06669013557 6650919.176270714 52.33, 261893.1445903774 6650919.428100801 52.35, 261893.28732789273 6650919.64224742 52.36, 261893.4844550236 6650919.830551799 52.370000000000005, 261893.716356092 6650919.94960868 52.38, 261893.97744871708 6650919.99977803 52.39, 261894.22793906755 6650919.972458319 52.39, 261894.4867256985 6650919.899933524 52.39, 261894.7069981393 6650919.751719488 52.39, 261894.87974299287 6650919.561900006 52.39, 261894.9993778696 6650919.330835034 52.38, 261895.0498727188 6650919.070725749 52.36, 261895.0270793839 6650918.804174699 52.35, 261894.4678867253 6650915.869668577 52.21, 261894.38926941386 6650915.60671717 52.2, 261894.24653184612 6650915.39257051 52.19, 261894.04453928542 6650915.215747341 52.18, 261893.81822035342 6650915.09633047 52.18, 261893.56900930952 6650915.056562485 52.17, 261893.30591957874 6650915.062359581 52.160000000000004, 261893.05901453242 6650915.145285811 52.160000000000004, 261892.83802472052 6650915.282378646 52.160000000000004, 261892.65483207014 6650915.484039449 52.17, 261892.54636196245 6650915.714384563 52.17, 261892.48470241512 6650915.975213818 52.18, 261892.49889036478 6650916.108309355 52.19, 261892.4968936185 6650916.164275778 52.19, 261892.50534453124 6650916.208400982 52.19, 261892.50749592003 6650916.241764856 52.19)</t>
  </si>
  <si>
    <t>POLYGON Z ((261892.50749592003 6650916.241764856 52.19, 261893.06669013557 6650919.176270714 52.33, 261893.1445903774 6650919.428100801 52.35, 261893.28732789273 6650919.64224742 52.36, 261893.4844550236 6650919.830551799 52.370000000000005, 261893.716356092 6650919.94960868 52.38, 261893.97744871708 6650919.99977803 52.39, 261894.22793906755 6650919.972458319 52.39, 261894.4867256985 6650919.899933524 52.39, 261894.7069981393 6650919.751719488 52.39, 261894.87974299287 6650919.561900006 52.39, 261894.9993778696 6650919.330835034 52.38, 261895.0498727188 6650919.070725749 52.36, 261895.0270793839 6650918.804174699 52.35, 261894.4678867253 6650915.869668577 52.21, 261894.38926941386 6650915.60671717 52.2, 261894.24653184612 6650915.39257051 52.19, 261894.04453928542 6650915.215747341 52.18, 261893.81822035342 6650915.09633047 52.18, 261893.56900930952 6650915.056562485 52.17, 261893.30591957874 6650915.062359581 52.160000000000004, 261893.05901453242 6650915.145285811 52.160000000000004, 261892.83802472052 6650915.282378646 52.160000000000004, 261892.65483207014 6650915.484039449 52.17, 261892.54636196245 6650915.714384563 52.17, 261892.48470241512 6650915.975213818 52.18, 261892.49889036478 6650916.108309355 52.19, 261892.4968936185 6650916.164275778 52.19, 261892.50534453124 6650916.208400982 52.19, 261892.50749592003 6650916.241764856 52.19))</t>
  </si>
  <si>
    <t>['KV14400 S1D1 m473-481']</t>
  </si>
  <si>
    <t>LINESTRING Z (261904.0468588607 6650994.094789299 55.81, 261909.59008289658 6650996.171881404 55.96, 261909.94893705266 6650996.260417892 55.97, 261910.325817697 6650996.280786879 55.980000000000004, 261910.70884320888 6650996.222586961 55.980000000000004, 261911.05893770405 6650996.0883377325 55.99, 261911.37610120277 6650995.878039183 55.99, 261911.65618563283 6650995.614293834 55.99, 261911.8552499025 6650995.311102497 55.99, 261912.00535346442 6650994.944062929 55.980000000000004, 261912.0773052107 6650994.582062524 55.97, 261912.06967093746 6650994.202858697 55.96, 261911.98946707926 6650993.828334088 55.94, 261911.82768033544 6650993.492572472 55.93, 261911.59404105626 6650993.1726113865 55.910000000000004, 261911.31446380008 6650992.922617554 55.9, 261910.98894857016 6650992.742590979 55.89, 261910.61749537525 6650992.632531678 55.88, 261910.24962763648 6650992.578078884 55.870000000000005, 261909.8644504525 6650992.602914959 55.870000000000005, 261908.47963748322 6650992.859720486 55.86, 261907.0667587071 6650993.028995976 55.85, 261905.66560707582 6650993.119343106 55.83, 261904.24827111245 6650993.1325616175 55.81, 261904.0487433561 6650993.167762477 55.81, 261903.88772907475 6650993.2786526885 55.81, 261903.78612315177 6650993.441549846 55.81, 261903.73619196066 6650993.623450018 55.81, 261903.77701142995 6650993.821833531 55.81, 261903.88824913854 6650993.9821737865 55.81, 261904.0468588607 6650994.094789299 55.81)</t>
  </si>
  <si>
    <t>POLYGON Z ((261904.0468588607 6650994.094789299 55.81, 261909.59008289658 6650996.171881404 55.96, 261909.94893705266 6650996.260417892 55.97, 261910.325817697 6650996.280786879 55.980000000000004, 261910.70884320888 6650996.222586961 55.980000000000004, 261911.05893770405 6650996.0883377325 55.99, 261911.37610120277 6650995.878039183 55.99, 261911.65618563283 6650995.614293834 55.99, 261911.8552499025 6650995.311102497 55.99, 261912.00535346442 6650994.944062929 55.980000000000004, 261912.0773052107 6650994.582062524 55.97, 261912.06967093746 6650994.202858697 55.96, 261911.98946707926 6650993.828334088 55.94, 261911.82768033544 6650993.492572472 55.93, 261911.59404105626 6650993.1726113865 55.910000000000004, 261911.31446380008 6650992.922617554 55.9, 261910.98894857016 6650992.742590979 55.89, 261910.61749537525 6650992.632531678 55.88, 261910.24962763648 6650992.578078884 55.870000000000005, 261909.8644504525 6650992.602914959 55.870000000000005, 261908.47963748322 6650992.859720486 55.86, 261907.0667587071 6650993.028995976 55.85, 261905.66560707582 6650993.119343106 55.83, 261904.24827111245 6650993.1325616175 55.81, 261904.0487433561 6650993.167762477 55.81, 261903.88772907475 6650993.2786526885 55.81, 261903.78612315177 6650993.441549846 55.81, 261903.73619196066 6650993.623450018 55.81, 261903.77701142995 6650993.821833531 55.81, 261903.88824913854 6650993.9821737865 55.81, 261904.0468588607 6650994.094789299 55.81))</t>
  </si>
  <si>
    <t>['KV17972 S1D1 m101-108']</t>
  </si>
  <si>
    <t>LINESTRING Z (262126.44519113927 6650064.64336931 31.63, 262126.45005860645 6650064.631888402 31.63, 262126.44862619176 6650064.609645754 31.63, 262126.45764491922 6650064.575562612 31.63, 262126.45821514365 6650064.497353764 31.63, 262126.47682282486 6650064.350978633 31.63, 262126.49585475455 6650064.037064479 31.63, 262126.54580219463 6650063.419638324 31.63, 262126.63939728614 6650062.17402428 31.63, 262126.84405509595 6650059.692838773 31.61, 262126.8380335462 6650059.425207839 31.61, 262126.7489729626 6650059.174092006 31.61, 262126.60622415453 6650058.959935997 31.61, 262126.41537079884 6650058.78238023 31.62, 262126.17712909877 6650058.652546037 31.62, 262125.92714978126 6650058.601639882 31.63, 262125.6647166529 6650058.618540443 31.62, 262125.40658077807 6650058.702168966 31.62, 262125.19741163708 6650058.849648742 31.61, 262125.0190257681 6650059.039815888 31.61, 262124.90005779752 6650059.281993781 31.61, 262124.84952645272 6650059.542099267 31.61, 262124.45768118068 6650064.514513132 31.62, 262124.4700028363 6650064.792905802 31.63, 262124.54717994 6650065.0336194355 31.63, 262124.68506123262 6650065.259256278 31.63, 262124.88708173996 6650065.436092772 31.64, 262125.12947434423 6650065.543324636 31.650000000000002, 262125.38575310988 6650065.604992467 31.650000000000002, 262125.6481857424 6650065.5880918745 31.64, 262125.89443756544 6650065.494061208 31.64, 262126.11548987334 6650065.356983613 31.63, 262126.28685935336 6650065.144933457 31.63, 262126.3953760248 6650064.9145960985 31.63, 262126.44519113927 6650064.64336931 31.63)</t>
  </si>
  <si>
    <t>POLYGON Z ((262126.44519113927 6650064.64336931 31.63, 262126.45005860645 6650064.631888402 31.63, 262126.44862619176 6650064.609645754 31.63, 262126.45764491922 6650064.575562612 31.63, 262126.45821514365 6650064.497353764 31.63, 262126.47682282486 6650064.350978633 31.63, 262126.49585475455 6650064.037064479 31.63, 262126.54580219463 6650063.419638324 31.63, 262126.63939728614 6650062.17402428 31.63, 262126.84405509595 6650059.692838773 31.61, 262126.8380335462 6650059.425207839 31.61, 262126.7489729626 6650059.174092006 31.61, 262126.60622415453 6650058.959935997 31.61, 262126.41537079884 6650058.78238023 31.62, 262126.17712909877 6650058.652546037 31.62, 262125.92714978126 6650058.601639882 31.63, 262125.6647166529 6650058.618540443 31.62, 262125.40658077807 6650058.702168966 31.62, 262125.19741163708 6650058.849648742 31.61, 262125.0190257681 6650059.039815888 31.61, 262124.90005779752 6650059.281993781 31.61, 262124.84952645272 6650059.542099267 31.61, 262124.45768118068 6650064.514513132 31.62, 262124.4700028363 6650064.792905802 31.63, 262124.54717994 6650065.0336194355 31.63, 262124.68506123262 6650065.259256278 31.63, 262124.88708173996 6650065.436092772 31.64, 262125.12947434423 6650065.543324636 31.650000000000002, 262125.38575310988 6650065.604992467 31.650000000000002, 262125.6481857424 6650065.5880918745 31.64, 262125.89443756544 6650065.494061208 31.64, 262126.11548987334 6650065.356983613 31.63, 262126.28685935336 6650065.144933457 31.63, 262126.3953760248 6650064.9145960985 31.63, 262126.44519113927 6650064.64336931 31.63))</t>
  </si>
  <si>
    <t>[10673, 17972]</t>
  </si>
  <si>
    <t>['KV10673 S1D1 m0-4', 'KV17972 S1D1 m589-597']</t>
  </si>
  <si>
    <t>LINESTRING Z (261967.90683398544 6650524.50459686 46.61, 261969.7154712095 6650520.122039425 46.39, 261971.51709681525 6650515.717600205 46.2, 261975.1378287439 6650506.9187665 45.83, 261975.22598655964 6650506.633897173 45.82, 261975.23454868328 6650506.331822844 45.81, 261975.16494864662 6650506.0347861145 45.800000000000004, 261975.04653504334 6650505.763230456 45.79, 261974.83536053915 6650505.531155805 45.79, 261974.6047210657 6650505.345005697 45.79, 261974.31696909035 6650505.229541551 45.79, 261974.01748550634 6650505.19300604 45.79, 261973.71600279873 6650505.212436899 45.79, 261973.4370033741 6650505.319758714 45.800000000000004, 261973.17833690828 6650505.48160757 45.800000000000004, 261972.96863525515 6650505.707305604 45.81, 261972.83437991425 6650505.972811041 45.83, 261971.01528055003 6650510.367207677 46.03, 261969.2080689752 6650514.772006931 46.2, 261967.39942877894 6650519.154564567 46.39, 261965.5866441716 6650523.559725626 46.6, 261965.5062210804 6650523.877599273 46.62, 261965.50467660156 6650524.201556406 46.63, 261965.5973260491 6650524.508274889 46.65, 261965.75625448112 6650524.799553948 46.67, 261965.98976061778 6650525.030188694 46.68, 261966.26921273232 6650525.190857062 46.69, 261966.5771450762 6650525.271517277 46.68, 261966.9079746834 6650525.272529195 46.67, 261967.22820367632 6650525.196051866 46.65, 261967.50920035518 6650525.032763193 46.64, 261967.73493258812 6650524.794863992 46.62, 261967.81565870036 6650524.655650919 46.61, 261967.8671877268 6650524.585324698 46.61, 261967.87620328876 6650524.551241113 46.61, 261967.90683398544 6650524.50459686 46.61)</t>
  </si>
  <si>
    <t>POLYGON Z ((261967.90683398544 6650524.50459686 46.61, 261969.7154712095 6650520.122039425 46.39, 261971.51709681525 6650515.717600205 46.2, 261975.1378287439 6650506.9187665 45.83, 261975.22598655964 6650506.633897173 45.82, 261975.23454868328 6650506.331822844 45.81, 261975.16494864662 6650506.0347861145 45.800000000000004, 261975.04653504334 6650505.763230456 45.79, 261974.83536053915 6650505.531155805 45.79, 261974.6047210657 6650505.345005697 45.79, 261974.31696909035 6650505.229541551 45.79, 261974.01748550634 6650505.19300604 45.79, 261973.71600279873 6650505.212436899 45.79, 261973.4370033741 6650505.319758714 45.800000000000004, 261973.17833690828 6650505.48160757 45.800000000000004, 261972.96863525515 6650505.707305604 45.81, 261972.83437991425 6650505.972811041 45.83, 261971.01528055003 6650510.367207677 46.03, 261969.2080689752 6650514.772006931 46.2, 261967.39942877894 6650519.154564567 46.39, 261965.5866441716 6650523.559725626 46.6, 261965.5062210804 6650523.877599273 46.62, 261965.50467660156 6650524.201556406 46.63, 261965.5973260491 6650524.508274889 46.65, 261965.75625448112 6650524.799553948 46.67, 261965.98976061778 6650525.030188694 46.68, 261966.26921273232 6650525.190857062 46.69, 261966.5771450762 6650525.271517277 46.68, 261966.9079746834 6650525.272529195 46.67, 261967.22820367632 6650525.196051866 46.65, 261967.50920035518 6650525.032763193 46.64, 261967.73493258812 6650524.794863992 46.62, 261967.81565870036 6650524.655650919 46.61, 261967.8671877268 6650524.585324698 46.61, 261967.87620328876 6650524.551241113 46.61, 261967.90683398544 6650524.50459686 46.61))</t>
  </si>
  <si>
    <t>2024-09-25</t>
  </si>
  <si>
    <t>['KV17972 S1D1 m497-503']</t>
  </si>
  <si>
    <t>LINESTRING (262001.2540074111 6650432.016706285, 262001.5800027347 6650432.408525185, 262001.17695364487 6650434.02951001, 262000.50341120956 6650435.536571585, 261999.90474477492 6650437.038807565, 261999.2392958367 6650437.213044498, 261998.85714406383 6650436.824845196, 261999.07650999806 6650435.853702437, 261999.53626366038 6650434.529301232, 262000.39293901683 6650432.072195251, 262000.9285610249 6650431.92508958)</t>
  </si>
  <si>
    <t>POLYGON ((262001.2540074111 6650432.016706285, 262001.5800027347 6650432.408525185, 262001.17695364487 6650434.02951001, 262000.50341120956 6650435.536571585, 261999.90474477492 6650437.038807565, 261999.2392958367 6650437.213044498, 261998.85714406383 6650436.824845196, 261999.07650999806 6650435.853702437, 261999.53626366038 6650434.529301232, 262000.39293901683 6650432.072195251, 262000.9285610249 6650431.92508958, 262001.2540074111 6650432.016706285))</t>
  </si>
  <si>
    <t>2024-09-30</t>
  </si>
  <si>
    <t>[1610]</t>
  </si>
  <si>
    <t>['KV1610 S1D1 m9-22']</t>
  </si>
  <si>
    <t>LINESTRING (13260.812370986387 6469482.466144319, 13262.83003114292 6469481.969668411, 13267.449807185854 6469483.154708263, 13270.474052047299 6469485.650427885, 13272.044287018653 6469487.369265055, 13261.302875334048 6469483.8344367305, 13260.270401779213 6469482.611773184)</t>
  </si>
  <si>
    <t>POLYGON ((13260.812370986387 6469482.466144319, 13262.83003114292 6469481.969668411, 13267.449807185854 6469483.154708263, 13270.474052047299 6469485.650427885, 13272.044287018653 6469487.369265055, 13261.302875334048 6469483.8344367305, 13260.270401779213 6469482.611773184, 13260.812370986387 6469482.466144319))</t>
  </si>
  <si>
    <t>['KV1610 S1D1 m54 KD1 m15-42']</t>
  </si>
  <si>
    <t>LINESTRING (13300.063100439205 6469507.920708827, 13301.164514556294 6469507.143532928, 13302.37649355916 6469505.958947668, 13305.289867202519 6469505.576985897, 13306.74619601824 6469506.421096783, 13307.899476111284 6469507.898875766, 13308.142350646143 6469510.591532347, 13306.76803690067 6469513.067452637, 13304.468132421025 6469513.834993364, 13302.117344630766 6469513.562516187, 13300.78182759235 6469511.814710526, 13300.234203939734 6469510.61097073, 13299.959561629046 6469509.688563717, 13300.39487669809 6469508.678559274)</t>
  </si>
  <si>
    <t>POLYGON ((13300.063100439205 6469507.920708827, 13301.164514556294 6469507.143532928, 13302.37649355916 6469505.958947668, 13305.289867202519 6469505.576985897, 13306.74619601824 6469506.421096783, 13307.899476111284 6469507.898875766, 13308.142350646143 6469510.591532347, 13306.76803690067 6469513.067452637, 13304.468132421025 6469513.834993364, 13302.117344630766 6469513.562516187, 13300.78182759235 6469511.814710526, 13300.234203939734 6469510.61097073, 13299.959561629046 6469509.688563717, 13300.39487669809 6469508.678559274, 13300.063100439205 6469507.920708827))</t>
  </si>
  <si>
    <t>['KV1550 S5D1 m7-25']</t>
  </si>
  <si>
    <t>LINESTRING (16458.837454786233 6467796.556738592, 16458.826551222708 6467796.3218479, 16459.68650453014 6467778.004554836, 16460.511071204266 6467778.218504424, 16459.924028236594 6467795.6024512695, 16459.325562901853 6467796.553183544)</t>
  </si>
  <si>
    <t>POLYGON ((16458.837454786233 6467796.556738592, 16458.826551222708 6467796.3218479, 16459.68650453014 6467778.004554836, 16460.511071204266 6467778.218504424, 16459.924028236594 6467795.6024512695, 16459.325562901853 6467796.553183544, 16458.837454786233 6467796.556738592))</t>
  </si>
  <si>
    <t>2024-10-14</t>
  </si>
  <si>
    <t>[1024]</t>
  </si>
  <si>
    <t>['KV1024 S1D1 m1895-1901']</t>
  </si>
  <si>
    <t>LINESTRING (215856.5336406564 6635827.168592888, 215858.3398964575 6635829.0316004725, 215856.06808344694 6635830.960688658, 215854.13936012518 6635831.47720863, 215853.83369245043 6635831.388797792, 215853.55316096672 6635831.186663818, 215853.6717234031 6635830.819832357, 215854.70388608833 6635828.683737692, 215856.5336406564 6635827.168592888)</t>
  </si>
  <si>
    <t>POLYGON ((215856.5336406564 6635827.168592888, 215858.3398964575 6635829.0316004725, 215856.06808344694 6635830.960688658, 215854.13936012518 6635831.47720863, 215853.83369245043 6635831.388797792, 215853.55316096672 6635831.186663818, 215853.6717234031 6635830.819832357, 215854.70388608833 6635828.683737692, 215856.5336406564 6635827.168592888))</t>
  </si>
  <si>
    <t>[28]</t>
  </si>
  <si>
    <t>['KV28 S1D1 m7-19']</t>
  </si>
  <si>
    <t>LINESTRING (216171.84225963277 6635678.142878762, 216174.26295387186 6635682.586339551, 216174.6348826739 6635683.541743098, 216174.93000925647 6635684.89431209, 216175.03212052758 6635685.713818803, 216174.93763230724 6635688.683707353, 216174.77825506916 6635688.885946024, 216174.40428179572 6635688.936887596, 216174.09691436344 6635688.826220416, 216173.89897078119 6635688.450053105, 216172.5976432872 6635685.296166643, 216172.38525805023 6635684.73104523, 216170.77351736376 6635678.548777049, 216171.1911613244 6635678.036122614, 216171.85823133512 6635678.130478203)</t>
  </si>
  <si>
    <t>POLYGON ((216171.84225963277 6635678.142878762, 216174.26295387186 6635682.586339551, 216174.6348826739 6635683.541743098, 216174.93000925647 6635684.89431209, 216175.03212052758 6635685.713818803, 216174.93763230724 6635688.683707353, 216174.77825506916 6635688.885946024, 216174.40428179572 6635688.936887596, 216174.09691436344 6635688.826220416, 216173.89897078119 6635688.450053105, 216172.5976432872 6635685.296166643, 216172.38525805023 6635684.73104523, 216170.77351736376 6635678.548777049, 216171.1911613244 6635678.036122614, 216171.85823133512 6635678.130478203, 216171.84225963277 6635678.142878762))</t>
  </si>
  <si>
    <t>[1015]</t>
  </si>
  <si>
    <t>['KV1015 S1D1 m10-17']</t>
  </si>
  <si>
    <t>LINESTRING Z (215232.42810344242 6636460.593884751 6.48, 215232.32866912236 6636460.400268087 6.48, 215232.30430755496 6636460.156172408 6.48, 215232.39242617862 6636459.981710616 6.49, 215233.62200736545 6636458.735839403 6.51, 215233.7971342503 6636458.666505898 6.51, 215234.0295346321 6636458.682220977 6.51, 215234.22646538942 6636458.823638769 6.51, 215235.83942174888 6636460.444032837 6.45, 215237.75215128524 6636462.443921536 6.38, 215238.03071626875 6636462.914483854 6.38, 215238.96060050133 6636464.598451329 6.34, 215238.99922186055 6636464.8079127 6.36, 215238.96716222458 6636464.978074566 6.3500000000000005, 215238.87648593698 6636465.11919179 6.3500000000000005, 215238.7440107374 6636465.22997444 6.36, 215238.58875022363 6636465.264243395 6.38, 215238.43398054776 6636465.231393562 6.37, 215236.55264105118 6636464.302395515 6.36, 215236.23287133983 6636464.103318372 6.37, 215235.94113116502 6636463.902091352 6.37, 215235.8019648968 6636463.778603275 6.37, 215234.03509235964 6636462.13647441 6.42, 215232.59615205752 6636460.7263375865 6.47)</t>
  </si>
  <si>
    <t>POLYGON Z ((215232.42810344242 6636460.593884751 6.48, 215232.32866912236 6636460.400268087 6.48, 215232.30430755496 6636460.156172408 6.48, 215232.39242617862 6636459.981710616 6.49, 215233.62200736545 6636458.735839403 6.51, 215233.7971342503 6636458.666505898 6.51, 215234.0295346321 6636458.682220977 6.51, 215234.22646538942 6636458.823638769 6.51, 215235.83942174888 6636460.444032837 6.45, 215237.75215128524 6636462.443921536 6.38, 215238.03071626875 6636462.914483854 6.38, 215238.96060050133 6636464.598451329 6.34, 215238.99922186055 6636464.8079127 6.36, 215238.96716222458 6636464.978074566 6.3500000000000005, 215238.87648593698 6636465.11919179 6.3500000000000005, 215238.7440107374 6636465.22997444 6.36, 215238.58875022363 6636465.264243395 6.38, 215238.43398054776 6636465.231393562 6.37, 215236.55264105118 6636464.302395515 6.36, 215236.23287133983 6636464.103318372 6.37, 215235.94113116502 6636463.902091352 6.37, 215235.8019648968 6636463.778603275 6.37, 215234.03509235964 6636462.13647441 6.42, 215232.59615205752 6636460.7263375865 6.47, 215232.42810344242 6636460.593884751 6.48))</t>
  </si>
  <si>
    <t>['KV1015 S1D1 m25-30']</t>
  </si>
  <si>
    <t>LINESTRING Z (215224.98341174214 6636451.460506034 6.71, 215224.89309743582 6636451.679857212 6.72, 215224.89418316487 6636451.914558042 6.71, 215225.92167638405 6636453.915261774 6.65, 215226.16454081854 6636454.287940021 6.640000000000001, 215226.4247136528 6636454.592209489 6.62, 215227.1394327939 6636455.3088215 6.59, 215227.38986564666 6636455.4125946015 6.59, 215227.61970866885 6636455.394964878 6.59, 215227.81214410038 6636455.257222304 6.59, 215228.9511783432 6636454.00711463 6.59, 215229.03503432858 6636453.777078744 6.59, 215229.00287086854 6636453.578302271 6.58, 215228.89868285006 6636453.396230484 6.59, 215228.0055553586 6636452.559140274 6.63, 215227.6776206796 6636452.3271494135 6.63, 215227.28156222962 6636452.089203701 6.65, 215225.57521180692 6636451.236229585 6.69, 215225.27553967625 6636451.225674979 6.71, 215225.0335032376 6636451.378402449 6.72)</t>
  </si>
  <si>
    <t>POLYGON Z ((215224.98341174214 6636451.460506034 6.71, 215224.89309743582 6636451.679857212 6.72, 215224.89418316487 6636451.914558042 6.71, 215225.92167638405 6636453.915261774 6.65, 215226.16454081854 6636454.287940021 6.640000000000001, 215226.4247136528 6636454.592209489 6.62, 215227.1394327939 6636455.3088215 6.59, 215227.38986564666 6636455.4125946015 6.59, 215227.61970866885 6636455.394964878 6.59, 215227.81214410038 6636455.257222304 6.59, 215228.9511783432 6636454.00711463 6.59, 215229.03503432858 6636453.777078744 6.59, 215229.00287086854 6636453.578302271 6.58, 215228.89868285006 6636453.396230484 6.59, 215228.0055553586 6636452.559140274 6.63, 215227.6776206796 6636452.3271494135 6.63, 215227.28156222962 6636452.089203701 6.65, 215225.57521180692 6636451.236229585 6.69, 215225.27553967625 6636451.225674979 6.71, 215225.0335032376 6636451.378402449 6.72, 215224.98341174214 6636451.460506034 6.71))</t>
  </si>
  <si>
    <t>[1088]</t>
  </si>
  <si>
    <t>['KV1088 S1D1 m14-19']</t>
  </si>
  <si>
    <t>LINESTRING (214190.0985455261 6636985.171857524, 214192.52228052507 6636982.525520506, 214192.56091629056 6636982.0753243705, 214192.42228345422 6636981.739402065, 214192.07369182876 6636981.386104238, 214191.6145380673 6636981.354374275, 214191.16697999905 6636981.40001527, 214188.85564883816 6636984.261309063, 214188.82595698955 6636984.900885715, 214189.20295993827 6636985.3302593855, 214189.60387961683 6636985.411195005)</t>
  </si>
  <si>
    <t>POLYGON ((214190.0985455261 6636985.171857524, 214192.52228052507 6636982.525520506, 214192.56091629056 6636982.0753243705, 214192.42228345422 6636981.739402065, 214192.07369182876 6636981.386104238, 214191.6145380673 6636981.354374275, 214191.16697999905 6636981.40001527, 214188.85564883816 6636984.261309063, 214188.82595698955 6636984.900885715, 214189.20295993827 6636985.3302593855, 214189.60387961683 6636985.411195005, 214190.0985455261 6636985.171857524))</t>
  </si>
  <si>
    <t>['KV12 S1D1 m6-12']</t>
  </si>
  <si>
    <t>LINESTRING (16976.945065460226 6467978.944309334, 16977.399820652965 6467976.818900418, 16979.365638168005 6467973.9461214915, 16980.11483182822 6467974.8105635755, 16979.22398530162 6467977.315555519, 16977.433610318694 6467979.0419975305)</t>
  </si>
  <si>
    <t>POLYGON ((16976.945065460226 6467978.944309334, 16977.399820652965 6467976.818900418, 16979.365638168005 6467973.9461214915, 16980.11483182822 6467974.8105635755, 16979.22398530162 6467977.315555519, 16977.433610318694 6467979.0419975305, 16976.945065460226 6467978.944309334))</t>
  </si>
  <si>
    <t>[6115]</t>
  </si>
  <si>
    <t>['KV6115 S12D1 m6-32']</t>
  </si>
  <si>
    <t>LINESTRING (15326.51356282126 6466890.422697798, 15329.670037057833 6466890.113957024, 15333.019554437662 6466892.00889226, 15334.903069589403 6466894.972490947, 15335.768651680846 6466898.139794413, 15334.743498116033 6466900.1780291805, 15333.368083236099 6466902.664238484, 15331.818532098492 6466903.731908521, 15329.673987675167 6466904.467643635, 15326.901369006431 6466904.650518706, 15324.557905289636 6466903.183304101, 15322.499260207464 6466901.366143998, 15321.435830062896 6466897.266934561, 15322.694378815766 6466893.197658678, 15325.730477172998 6466890.597574619)</t>
  </si>
  <si>
    <t>POLYGON ((15326.51356282126 6466890.422697798, 15329.670037057833 6466890.113957024, 15333.019554437662 6466892.00889226, 15334.903069589403 6466894.972490947, 15335.768651680846 6466898.139794413, 15334.743498116033 6466900.1780291805, 15333.368083236099 6466902.664238484, 15331.818532098492 6466903.731908521, 15329.673987675167 6466904.467643635, 15326.901369006431 6466904.650518706, 15324.557905289636 6466903.183304101, 15322.499260207464 6466901.366143998, 15321.435830062896 6466897.266934561, 15322.694378815766 6466893.197658678, 15325.730477172998 6466890.597574619, 15326.51356282126 6466890.422697798))</t>
  </si>
  <si>
    <t>[6000]</t>
  </si>
  <si>
    <t>['KV6000 S1D1 m7-17']</t>
  </si>
  <si>
    <t>LINESTRING (16748.122668258846 6467812.994340744, 16748.805164787336 6467811.9996272065, 16749.879673132848 6467809.292101677, 16750.87266766408 6467807.573197981, 16753.898103655432 6467804.25559555, 16753.299821375636 6467808.468385905, 16750.663147432613 6467811.749638283, 16748.279382777284 6467813.155132482)</t>
  </si>
  <si>
    <t>POLYGON ((16748.122668258846 6467812.994340744, 16748.805164787336 6467811.9996272065, 16749.879673132848 6467809.292101677, 16750.87266766408 6467807.573197981, 16753.898103655432 6467804.25559555, 16753.299821375636 6467808.468385905, 16750.663147432613 6467811.749638283, 16748.279382777284 6467813.155132482, 16748.122668258846 6467812.994340744))</t>
  </si>
  <si>
    <t>['KV3300 S2D1 m126-139']</t>
  </si>
  <si>
    <t>LINESTRING (16103.291868967703 6467887.231700555, 16104.994877862337 6467886.786670916, 16115.104394456721 6467881.238810319, 16115.02716165164 6467879.977136537, 16101.598735368229 6467885.133233126, 16102.957030866935 6467887.756463338)</t>
  </si>
  <si>
    <t>POLYGON ((16103.291868967703 6467887.231700555, 16104.994877862337 6467886.786670916, 16115.104394456721 6467881.238810319, 16115.02716165164 6467879.977136537, 16101.598735368229 6467885.133233126, 16102.957030866935 6467887.756463338, 16103.291868967703 6467887.231700555))</t>
  </si>
  <si>
    <t>['KV16 S1D1 m4-18']</t>
  </si>
  <si>
    <t>LINESTRING (16079.396270584082 6467872.860461399, 16076.2454116093 6467873.887992217, 16076.587426766288 6467859.087279315, 16077.326193885005 6467859.23292812, 16079.640568900271 6467872.909251012)</t>
  </si>
  <si>
    <t>POLYGON ((16079.396270584082 6467872.860461399, 16076.2454116093 6467873.887992217, 16076.587426766288 6467859.087279315, 16077.326193885005 6467859.23292812, 16079.640568900271 6467872.909251012, 16079.396270584082 6467872.860461399))</t>
  </si>
  <si>
    <t>[4700]</t>
  </si>
  <si>
    <t>['KV4700 S2D1 m7-25']</t>
  </si>
  <si>
    <t>LINESTRING (16450.209515254828 6468513.8770364635, 16447.93263563997 6468517.317011312, 16444.250531595608 6468521.199169397, 16438.352060471487 6468524.543021573, 16435.93106832495 6468525.008447233, 16436.251600143325 6468523.686786227, 16443.17847350164 6468517.652143391, 16449.15800067509 6468513.657178144)</t>
  </si>
  <si>
    <t>POLYGON ((16450.209515254828 6468513.8770364635, 16447.93263563997 6468517.317011312, 16444.250531595608 6468521.199169397, 16438.352060471487 6468524.543021573, 16435.93106832495 6468525.008447233, 16436.251600143325 6468523.686786227, 16443.17847350164 6468517.652143391, 16449.15800067509 6468513.657178144, 16450.209515254828 6468513.8770364635))</t>
  </si>
  <si>
    <t>['KV4700 S2D1 m373-386']</t>
  </si>
  <si>
    <t>LINESTRING (16126.655032735667 6468665.6717855865, 16125.70229764143 6468665.2374172965, 16120.430967709282 6468663.589048481, 16116.957917612279 6468661.303934089, 16115.695240147354 6468658.196542849, 16117.518116748019 6468658.05173595, 16126.931527503766 6468665.109170074)</t>
  </si>
  <si>
    <t>POLYGON ((16126.655032735667 6468665.6717855865, 16125.70229764143 6468665.2374172965, 16120.430967709282 6468663.589048481, 16116.957917612279 6468661.303934089, 16115.695240147354 6468658.196542849, 16117.518116748019 6468658.05173595, 16126.931527503766 6468665.109170074, 16126.655032735667 6468665.6717855865))</t>
  </si>
  <si>
    <t>['KV21 S1D1 m6-16']</t>
  </si>
  <si>
    <t>LINESTRING (16060.139791279391 6468704.798259061, 16060.776050073211 6468702.166666128, 16060.796373206424 6468697.13580898, 16059.083207897667 6468694.241170348, 16058.08112964651 6468694.521565589, 16057.843911815144 6468699.095313004, 16060.033597493079 6468704.56380295)</t>
  </si>
  <si>
    <t>POLYGON ((16060.139791279391 6468704.798259061, 16060.776050073211 6468702.166666128, 16060.796373206424 6468697.13580898, 16059.083207897667 6468694.241170348, 16058.08112964651 6468694.521565589, 16057.843911815144 6468699.095313004, 16060.033597493079 6468704.56380295, 16060.139791279391 6468704.798259061))</t>
  </si>
  <si>
    <t>['KV4700 S3D1 m31-52']</t>
  </si>
  <si>
    <t>LINESTRING (16138.302912364481 6468610.607686881, 16128.286799598893 6468626.032326026, 16125.923948543379 6468628.234434794, 16128.615613310132 6468622.156059991, 16135.779495046649 6468608.92604116, 16137.664290281129 6468609.966058271)</t>
  </si>
  <si>
    <t>POLYGON ((16138.302912364481 6468610.607686881, 16128.286799598893 6468626.032326026, 16125.923948543379 6468628.234434794, 16128.615613310132 6468622.156059991, 16135.779495046649 6468608.92604116, 16137.664290281129 6468609.966058271, 16138.302912364481 6468610.607686881))</t>
  </si>
  <si>
    <t>['KV13016 S2D1 m1195 KD2 m4-82']</t>
  </si>
  <si>
    <t>LINESTRING (258385.49973426657 6651180.759747681, 258387.48526790802 6651181.230263133, 258388.88657713577 6651181.964175528, 258390.50607532883 6651183.734586317, 258391.97095797048 6651185.4400588125, 258392.6059631257 6651188.250608836, 258392.43705027192 6651191.413982778, 258390.68137241734 6651194.456020767, 258388.6326464592 6651196.46646198, 258386.3657325541 6651197.440409686, 258383.4656933328 6651197.930403665, 258380.62245603395 6651196.990635207, 258378.27390439296 6651195.568165084, 258376.46555563633 6651193.209681653, 258375.54087307787 6651190.568203612, 258375.3941514427 6651188.326145526, 258376.00582929762 6651186.184566821, 258377.0568977084 6651183.864122485, 258379.20983126046 6651182.297181717, 258381.68177662135 6651181.0095879715, 258383.91785294682 6651180.713151737)</t>
  </si>
  <si>
    <t>POLYGON ((258385.49973426657 6651180.759747681, 258387.48526790802 6651181.230263133, 258388.88657713577 6651181.964175528, 258390.50607532883 6651183.734586317, 258391.97095797048 6651185.4400588125, 258392.6059631257 6651188.250608836, 258392.43705027192 6651191.413982778, 258390.68137241734 6651194.456020767, 258388.6326464592 6651196.46646198, 258386.3657325541 6651197.440409686, 258383.4656933328 6651197.930403665, 258380.62245603395 6651196.990635207, 258378.27390439296 6651195.568165084, 258376.46555563633 6651193.209681653, 258375.54087307787 6651190.568203612, 258375.3941514427 6651188.326145526, 258376.00582929762 6651186.184566821, 258377.0568977084 6651183.864122485, 258379.20983126046 6651182.297181717, 258381.68177662135 6651181.0095879715, 258383.91785294682 6651180.713151737, 258385.49973426657 6651180.759747681))</t>
  </si>
  <si>
    <t>['KV21 S1D1 m6-17']</t>
  </si>
  <si>
    <t>LINESTRING (16060.354138904659 6468704.603231733, 16060.678364170366 6468698.747660542, 16059.802803917555 6468694.231654292, 16058.128874324262 6468694.279477677, 16057.756917287188 6468698.386038237, 16059.915666851273 6468704.330786398, 16060.00358918478 6468705.096193043)</t>
  </si>
  <si>
    <t>POLYGON ((16060.354138904659 6468704.603231733, 16060.678364170366 6468698.747660542, 16059.802803917555 6468694.231654292, 16058.128874324262 6468694.279477677, 16057.756917287188 6468698.386038237, 16059.915666851273 6468704.330786398, 16060.00358918478 6468705.096193043, 16060.354138904659 6468704.603231733))</t>
  </si>
  <si>
    <t>['KV5500 S1D1 m8-21']</t>
  </si>
  <si>
    <t>LINESTRING (15628.789991923142 6469291.837036319, 15627.775499854644 6469292.2090890305, 15624.315430686984 6469288.089188744, 15620.898114192416 6469283.007842678, 15621.402040670742 6469282.552237833, 15625.734176698374 6469286.643803778, 15628.82603540289 6469290.966407898)</t>
  </si>
  <si>
    <t>POLYGON ((15628.789991923142 6469291.837036319, 15627.775499854644 6469292.2090890305, 15624.315430686984 6469288.089188744, 15620.898114192416 6469283.007842678, 15621.402040670742 6469282.552237833, 15625.734176698374 6469286.643803778, 15628.82603540289 6469290.966407898, 15628.789991923142 6469291.837036319))</t>
  </si>
  <si>
    <t>['KV2000 S7D1 m13-27']</t>
  </si>
  <si>
    <t>LINESTRING (29534.85294310382 6691952.042099552, 29540.950065523968 6691949.002706282, 29547.207971292955 6691946.685713906, 29548.169639865693 6691947.687511443, 29544.8091151978 6691949.709143709, 29541.175381192414 6691950.921570614, 29536.9768690801 6691952.724895367, 29534.930180115567 6691952.640159436)</t>
  </si>
  <si>
    <t>POLYGON ((29534.85294310382 6691952.042099552, 29540.950065523968 6691949.002706282, 29547.207971292955 6691946.685713906, 29548.169639865693 6691947.687511443, 29544.8091151978 6691949.709143709, 29541.175381192414 6691950.921570614, 29536.9768690801 6691952.724895367, 29534.930180115567 6691952.640159436, 29534.85294310382 6691952.042099552))</t>
  </si>
  <si>
    <t>[1830]</t>
  </si>
  <si>
    <t>['KV1830 S1D1 m6-20']</t>
  </si>
  <si>
    <t>LINESTRING (233274.89552597085 6753684.774585059, 233276.6801232624 6753682.226067217, 233277.57963546488 6753676.68082218, 233276.56897762563 6753672.95568406, 233275.22750237025 6753670.641569841, 233274.33305317507 6753672.396694593, 233274.16679901094 6753679.932747779, 233273.9125483001 6753683.383820249, 233274.53190342407 6753684.801850887)</t>
  </si>
  <si>
    <t>POLYGON ((233274.89552597085 6753684.774585059, 233276.6801232624 6753682.226067217, 233277.57963546488 6753676.68082218, 233276.56897762563 6753672.95568406, 233275.22750237025 6753670.641569841, 233274.33305317507 6753672.396694593, 233274.16679901094 6753679.932747779, 233273.9125483001 6753683.383820249, 233274.53190342407 6753684.801850887, 233274.89552597085 6753684.774585059))</t>
  </si>
  <si>
    <t>[2650]</t>
  </si>
  <si>
    <t>['KV2650 S1D1 m1088-1097']</t>
  </si>
  <si>
    <t>LINESTRING (232605.7387749508 6754656.118375029, 232606.6819075417 6754655.018946237, 232608.18480731815 6754654.615266079, 232609.7148674889 6754654.500209085, 232611.6144134904 6754655.45295153, 232612.135819901 6754656.509326375, 232612.6414525871 6754658.3718055105, 232611.82872486848 6754661.205415882, 232610.19647747267 6754661.920665687, 232608.47069980507 6754662.262849325, 232606.66342531075 6754661.593835039, 232605.50263267464 6754660.742053809, 232604.62219439534 6754658.829504384, 232605.12572955713 6754656.745805123)</t>
  </si>
  <si>
    <t>POLYGON ((232605.7387749508 6754656.118375029, 232606.6819075417 6754655.018946237, 232608.18480731815 6754654.615266079, 232609.7148674889 6754654.500209085, 232611.6144134904 6754655.45295153, 232612.135819901 6754656.509326375, 232612.6414525871 6754658.3718055105, 232611.82872486848 6754661.205415882, 232610.19647747267 6754661.920665687, 232608.47069980507 6754662.262849325, 232606.66342531075 6754661.593835039, 232605.50263267464 6754660.742053809, 232604.62219439534 6754658.829504384, 232605.12572955713 6754656.745805123, 232605.7387749508 6754656.118375029))</t>
  </si>
  <si>
    <t>[3056]</t>
  </si>
  <si>
    <t>['FV3056 S1D1 m675-678']</t>
  </si>
  <si>
    <t>LINESTRING Z (227456.54180969135 6563553.7054257905 2.73, 227456.6517027588 6563553.363897003 2.7600000000000002, 227456.3556018388 6563553.089122347 2.77, 227453.32326558797 6563551.222078386 2.91, 227452.292143295 6563551.1542649735 2.93, 227451.22074134817 6563551.642783722 2.89, 227450.92938123416 6563552.312196667 2.85, 227451.0276741344 6563552.95652527 2.79, 227452.23773257987 6563553.67144508 2.74, 227452.9218519192 6563553.680104466 2.73, 227456.22373065463 6563553.744154796 2.71, 227456.54180969135 6563553.7054257905 2.73)</t>
  </si>
  <si>
    <t>POLYGON Z ((227456.54180969135 6563553.7054257905 2.73, 227456.6517027588 6563553.363897003 2.7600000000000002, 227456.3556018388 6563553.089122347 2.77, 227453.32326558797 6563551.222078386 2.91, 227452.292143295 6563551.1542649735 2.93, 227451.22074134817 6563551.642783722 2.89, 227450.92938123416 6563552.312196667 2.85, 227451.0276741344 6563552.95652527 2.79, 227452.23773257987 6563553.67144508 2.74, 227452.9218519192 6563553.680104466 2.73, 227456.22373065463 6563553.744154796 2.71, 227456.54180969135 6563553.7054257905 2.73))</t>
  </si>
  <si>
    <t>['KV2000 S3D1 m216-219']</t>
  </si>
  <si>
    <t>LINESTRING (30056.811419864418 6689443.8763921745, 30060.061881302856 6689444.515842358, 30059.825208200316 6689445.6047317395, 30056.56729044381 6689444.470828192)</t>
  </si>
  <si>
    <t>POLYGON ((30056.811419864418 6689443.8763921745, 30060.061881302856 6689444.515842358, 30059.825208200316 6689445.6047317395, 30056.56729044381 6689444.470828192, 30056.811419864418 6689443.8763921745))</t>
  </si>
  <si>
    <t>2024-10-25</t>
  </si>
  <si>
    <t>['FV5216 S2D1 m671-676']</t>
  </si>
  <si>
    <t>LINESTRING Z (-38755.2043370445 6733502.257967198 49.980000000000004, -38749.87566351169 6733500.943824733 50.1, -38749.72050335433 6733500.768453083 50.09, -38749.6579840926 6733500.5713526085 50.08, -38749.72264661535 6733500.305326842 50.07, -38749.87712634972 6733500.15832477 50.04, -38750.027030345635 6733500.061264615 50.02, -38750.249520229176 6733500.051432715 50.02, -38755.1878099055 6733501.229085389 49.910000000000004, -38755.41563420079 6733501.380897933 49.93, -38755.55173274374 6733501.544450913 49.95, -38755.603348474484 6733501.7506246315 49.96, -38755.56049300847 6733501.99850394 49.95, -38755.4141713531 6733502.166397931 49.96, -38755.2043370445 6733502.257967198 49.980000000000004)</t>
  </si>
  <si>
    <t>POLYGON Z ((-38755.2043370445 6733502.257967198 49.980000000000004, -38749.87566351169 6733500.943824733 50.1, -38749.72050335433 6733500.768453083 50.09, -38749.6579840926 6733500.5713526085 50.08, -38749.72264661535 6733500.305326842 50.07, -38749.87712634972 6733500.15832477 50.04, -38750.027030345635 6733500.061264615 50.02, -38750.249520229176 6733500.051432715 50.02, -38755.1878099055 6733501.229085389 49.910000000000004, -38755.41563420079 6733501.380897933 49.93, -38755.55173274374 6733501.544450913 49.95, -38755.603348474484 6733501.7506246315 49.96, -38755.56049300847 6733501.99850394 49.95, -38755.4141713531 6733502.166397931 49.96, -38755.2043370445 6733502.257967198 49.980000000000004))</t>
  </si>
  <si>
    <t>['FV5210 S1D1 m4222-4224']</t>
  </si>
  <si>
    <t>LINESTRING Z (-38765.460539866355 6733496.842074717 50.050000000000004, -38765.35715190414 6733496.651302017 50.04, -38764.782894450356 6733494.564097032 50.09, -38764.78579636628 6733494.3125571115 50.1, -38764.893079631496 6733494.131014122 50.120000000000005, -38765.04298364185 6733494.03395395 50.13, -38765.238253839896 6733493.991411443 50.14, -38765.46615639923 6733494.032436602 50.15, -38765.6576877723 6733494.140635015 50.15, -38765.7947014831 6733494.294199618 50.15, -38766.092655513086 6733495.439516261 50.13, -38766.34806702775 6733496.389562706 50.11, -38766.33875907399 6733496.711021327 50.09, -38766.2323909516 6733496.882575929 50.08, -38766.07066825731 6733496.998697721 50.08, -38765.875398057164 6733497.041240225 50.06, -38765.669302563765 6733496.982068585 50.050000000000004, -38765.460539866355 6733496.842074717 50.050000000000004)</t>
  </si>
  <si>
    <t>POLYGON Z ((-38765.460539866355 6733496.842074717 50.050000000000004, -38765.35715190414 6733496.651302017 50.04, -38764.782894450356 6733494.564097032 50.09, -38764.78579636628 6733494.3125571115 50.1, -38764.893079631496 6733494.131014122 50.120000000000005, -38765.04298364185 6733494.03395395 50.13, -38765.238253839896 6733493.991411443 50.14, -38765.46615639923 6733494.032436602 50.15, -38765.6576877723 6733494.140635015 50.15, -38765.7947014831 6733494.294199618 50.15, -38766.092655513086 6733495.439516261 50.13, -38766.34806702775 6733496.389562706 50.11, -38766.33875907399 6733496.711021327 50.09, -38766.2323909516 6733496.882575929 50.08, -38766.07066825731 6733496.998697721 50.08, -38765.875398057164 6733497.041240225 50.06, -38765.669302563765 6733496.982068585 50.050000000000004, -38765.460539866355 6733496.842074717 50.050000000000004))</t>
  </si>
  <si>
    <t>2024-10-28</t>
  </si>
  <si>
    <t>[95465]</t>
  </si>
  <si>
    <t>['PV95465 S1D1 m7-43']</t>
  </si>
  <si>
    <t>LINESTRING (232349.43430134055 6754640.990919358, 232345.2416185618 6754644.660355891, 232328.69607608533 6754660.081414884, 232331.0084159898 6754660.645197938, 232336.7998271956 6754655.961037695, 232344.53911113285 6754648.883188272, 232350.29988909652 6754640.746894523)</t>
  </si>
  <si>
    <t>POLYGON ((232349.43430134055 6754640.990919358, 232345.2416185618 6754644.660355891, 232328.69607608533 6754660.081414884, 232331.0084159898 6754660.645197938, 232336.7998271956 6754655.961037695, 232344.53911113285 6754648.883188272, 232350.29988909652 6754640.746894523, 232349.43430134055 6754640.990919358))</t>
  </si>
  <si>
    <t>['KV525 S1D1 m8-18']</t>
  </si>
  <si>
    <t>LINESTRING (232044.213751934 6754197.23047981, 232035.34629611566 6754197.09366762, 232033.8108210676 6754198.08136715, 232036.10675829335 6754198.422637466, 232043.8504260393 6754198.275195476, 232044.13701447804 6754197.51575087, 232044.1641467939 6754197.513706622)</t>
  </si>
  <si>
    <t>POLYGON ((232044.213751934 6754197.23047981, 232035.34629611566 6754197.09366762, 232033.8108210676 6754198.08136715, 232036.10675829335 6754198.422637466, 232043.8504260393 6754198.275195476, 232044.13701447804 6754197.51575087, 232044.1641467939 6754197.513706622, 232044.213751934 6754197.23047981))</t>
  </si>
  <si>
    <t>[1800]</t>
  </si>
  <si>
    <t>['KV1800 S1D1 m530-550']</t>
  </si>
  <si>
    <t>LINESTRING (30076.773085331835 6687646.699787088, 30076.887246819155 6687639.805671239, 30077.68820569542 6687635.446508826, 30078.632145132404 6687630.798709563, 30081.53784765629 6687626.258544779, 30082.088205415756 6687629.351515352, 30080.745623851253 6687635.930952797, 30077.523718262964 6687646.670664466)</t>
  </si>
  <si>
    <t>POLYGON ((30076.773085331835 6687646.699787088, 30076.887246819155 6687639.805671239, 30077.68820569542 6687635.446508826, 30078.632145132404 6687630.798709563, 30081.53784765629 6687626.258544779, 30082.088205415756 6687629.351515352, 30080.745623851253 6687635.930952797, 30077.523718262964 6687646.670664466, 30076.773085331835 6687646.699787088))</t>
  </si>
  <si>
    <t>['KV1700 S1D1 m12-16']</t>
  </si>
  <si>
    <t>LINESTRING (231901.55135964951 6754869.648590147, 231899.853821814 6754870.436188013, 231901.0598870177 6754872.827128633, 231901.91274790384 6754873.500677364, 231902.7574238418 6754872.039531318, 231901.22641256865 6754870.187355609)</t>
  </si>
  <si>
    <t>POLYGON ((231901.55135964951 6754869.648590147, 231899.853821814 6754870.436188013, 231901.0598870177 6754872.827128633, 231901.91274790384 6754873.500677364, 231902.7574238418 6754872.039531318, 231901.22641256865 6754870.187355609, 231901.55135964951 6754869.648590147))</t>
  </si>
  <si>
    <t>[5654]</t>
  </si>
  <si>
    <t>['PV5654 S3D1 m220-224']</t>
  </si>
  <si>
    <t>LINESTRING (30329.95332447026 6688769.697554345, 30329.901206202165 6688768.724713181, 30334.19654474134 6688769.826671994, 30334.02168021514 6688770.828743441, 30329.649439120956 6688770.265872233)</t>
  </si>
  <si>
    <t>POLYGON ((30329.95332447026 6688769.697554345, 30329.901206202165 6688768.724713181, 30334.19654474134 6688769.826671994, 30334.02168021514 6688770.828743441, 30329.649439120956 6688770.265872233, 30329.95332447026 6688769.697554345))</t>
  </si>
  <si>
    <t>['KV1700 S2D1 m138-185']</t>
  </si>
  <si>
    <t>LINESTRING (231902.6691570729 6755065.946006329, 231900.5100449178 6755066.399491246, 231898.3018060822 6755067.214431008, 231894.8383052883 6755070.773609153, 231893.6744186972 6755074.729538493, 231893.58505755523 6755078.392024485, 231894.62314079865 6755081.522303332, 231896.96404084598 6755084.420181294, 231901.11061334802 6755087.025381701, 231905.32620716933 6755087.579505289, 231909.13484144316 6755086.643888492, 231911.16809111548 6755085.4620414805, 231913.42349077552 6755083.391431879, 231915.00536198984 6755080.130669959, 231915.24122291384 6755076.4571399195, 231915.27800923784 6755074.050741655, 231914.23910529882 6755070.909340713, 231911.50287611218 6755067.61643525, 231909.57564473565 6755066.297224679, 231906.94367978524 6755065.400084756, 231903.24964730308 6755065.902233047)</t>
  </si>
  <si>
    <t>POLYGON ((231902.6691570729 6755065.946006329, 231900.5100449178 6755066.399491246, 231898.3018060822 6755067.214431008, 231894.8383052883 6755070.773609153, 231893.6744186972 6755074.729538493, 231893.58505755523 6755078.392024485, 231894.62314079865 6755081.522303332, 231896.96404084598 6755084.420181294, 231901.11061334802 6755087.025381701, 231905.32620716933 6755087.579505289, 231909.13484144316 6755086.643888492, 231911.16809111548 6755085.4620414805, 231913.42349077552 6755083.391431879, 231915.00536198984 6755080.130669959, 231915.24122291384 6755076.4571399195, 231915.27800923784 6755074.050741655, 231914.23910529882 6755070.909340713, 231911.50287611218 6755067.61643525, 231909.57564473565 6755066.297224679, 231906.94367978524 6755065.400084756, 231903.24964730308 6755065.902233047, 231902.6691570729 6755065.946006329))</t>
  </si>
  <si>
    <t>2024-10-30</t>
  </si>
  <si>
    <t>['FV585 S1D1 m5193-5203']</t>
  </si>
  <si>
    <t>LINESTRING Z (-30340.302717923652 6732197.213693207 44.37, -30340.06751063012 6732197.252575884 44.37, -30339.848619016004 6732197.333239339 44.37, -30339.710467494675 6732197.522014507 44.37, -30336.586643157993 6732205.6758003635 44.37, -30336.61363156361 6732206.040848054 44.37, -30336.864086294197 6732206.275293692 44.37, -30337.291728506214 6732206.334611675 44.37, -30337.587930370122 6732206.069671149 44.37, -30338.79820771655 6732203.632441497 44.37, -30339.53410410625 6732201.756047637 44.37, -30340.185677254456 6732199.700713029 44.37, -30340.61111586017 6732197.69516374 44.37, -30340.528699160204 6732197.385467666 44.37, -30340.302717923652 6732197.213693207 44.37)</t>
  </si>
  <si>
    <t>POLYGON Z ((-30340.302717923652 6732197.213693207 44.37, -30340.06751063012 6732197.252575884 44.37, -30339.848619016004 6732197.333239339 44.37, -30339.710467494675 6732197.522014507 44.37, -30336.586643157993 6732205.6758003635 44.37, -30336.61363156361 6732206.040848054 44.37, -30336.864086294197 6732206.275293692 44.37, -30337.291728506214 6732206.334611675 44.37, -30337.587930370122 6732206.069671149 44.37, -30338.79820771655 6732203.632441497 44.37, -30339.53410410625 6732201.756047637 44.37, -30340.185677254456 6732199.700713029 44.37, -30340.61111586017 6732197.69516374 44.37, -30340.528699160204 6732197.385467666 44.37, -30340.302717923652 6732197.213693207 44.37))</t>
  </si>
  <si>
    <t>['FV585 S1D1 m5209-5211']</t>
  </si>
  <si>
    <t>LINESTRING Z (-30325.81886235485 6732211.407114693 44.92, -30325.830679962994 6732211.38805419 44.92, -30325.83250984887 6732211.368078746 44.92, -30325.834339734633 6732211.3481033025 44.92, -30325.836169620627 6732211.328127855 44.92, -30325.84798722854 6732211.309067354 44.92, -30325.8498171143 6732211.28909191 44.92, -30325.851647000294 6732211.269116466 44.92, -30325.863464608206 6732211.250055964 44.92, -30325.865294494084 6732211.230080519 44.93, -30325.867124379845 6732211.210105074 44.93, -30325.868954265607 6732211.190129628 44.93, -30325.88077187375 6732211.171069127 44.93, -30325.882601759513 6732211.151093684 44.93, -30325.884431645274 6732211.131118239 44.93, -30325.896249252954 6732211.112057739 44.93, -30325.89807913918 6732211.092082291 44.93, -30325.89990902471 6732211.07210685 44.93, -30325.91172663297 6732211.053046347 44.93, -30325.913556518615 6732211.033070902 44.93, -30325.915386404376 6732211.013095457 44.93, -30325.917216290254 6732210.993120012 44.93, -30325.9290338984 6732210.974059509 44.94, -30325.930863784277 6732210.954084065 44.94, -30325.932693669805 6732210.9341086205 44.94, -30325.94542622054 6732210.905060397 44.94, -30325.947256106534 6732210.88508495 44.94, -30325.949085991946 6732210.86510951 44.94, -30325.960903600208 6732210.846049007 44.94, -30325.962733485736 6732210.826073561 44.94, -30325.964563371846 6732210.806098115 44.94, -30325.966393257375 6732210.786122672 44.94, -30325.97821086552 6732210.767062168 44.94, -30325.980040751165 6732210.747086726 44.94, -30325.98187063681 6732210.727111283 44.95, -30325.993688244955 6732210.708050778 44.95, -30325.9955181306 6732210.688075334 44.95, -30325.99734801636 6732210.668099888 44.95, -30326.009165624273 6732210.649039388 44.95, -30326.01099551015 6732210.629063942 44.95, -30326.01282539568 6732210.609088499 44.95, -30326.014655281557 6732210.589113053 44.95, -30326.026472889353 6732210.570052551 44.95, -30326.02830277523 6732210.550077106 44.95, -30326.030132660875 6732210.530101662 44.95, -30326.04195026902 6732210.511041159 44.95, -30326.04378015455 6732210.491065716 44.95, -30326.045610040077 6732210.471090271 44.95, -30326.04743992584 6732210.451114825 44.95, -30326.059257533634 6732210.432054325 44.95, -30326.06108741951 6732210.412078877 44.95, -30326.06291730504 6732210.392103437 44.95, -30326.0747349133 6732210.373042933 44.95, -30326.076564798714 6732210.3530674875 44.95, -30326.07839468436 6732210.333092042 44.95, -30326.090212292504 6732210.31403154 44.95, -30326.09204217815 6732210.294056095 44.95, -30326.108434500173 6732210.225056984 44.95, -30326.110264385818 6732210.205081537 44.95, -30326.112094271346 6732210.185106095 44.95, -30326.122996936436 6732210.176033315 44.97, -30326.143887324026 6732210.167875477 44.96, -30326.16294782562 6732210.179693087 44.95, -30326.18292327004 6732210.181522975 44.95, -30326.201983771985 6732210.19334058 44.95, -30326.241019718116 6732210.206988073 44.95, -30326.260995162767 6732210.208817959 44.95, -30326.280055664596 6732210.220635565 44.95, -30326.300031109247 6732210.222465452 44.95, -30326.31909161096 6732210.23428306 44.94, -30326.339067055495 6732210.236112945 44.94, -30326.358127557207 6732210.247930554 44.94, -30326.378103001975 6732210.249760439 44.94, -30326.397163503454 6732210.261578047 44.94, -30326.4162240054 6732210.273395654 44.94, -30326.43619945005 6732210.275225541 44.94, -30326.455259951763 6732210.287043148 44.93, -30326.47523539653 6732210.288873034 44.93, -30326.494295897894 6732210.3006906435 44.93, -30326.51427134243 6732210.302520528 44.93, -30326.53333184414 6732210.314338137 44.93, -30326.572367790854 6732210.32798563 44.93, -30326.592343235272 6732210.329815517 44.93, -30327.068932429538 6732210.51447583 44.910000000000004, -30327.2059390645 6732210.668028087 44.9, -30327.31656565494 6732210.889664512 44.9, -30327.28652583831 6732210.997699575 44.89, -30327.21455194673 6732211.343610089 44.88, -30327.19449985202 6732211.452560093 44.88, -30327.062752925674 6732211.571421171 44.88, -30326.88289727387 6732211.665732086 44.88, -30326.640447109472 6732211.673736623 44.88, -30326.492461161222 6732211.640037033 44.9, -30326.472485716455 6732211.638207148 44.910000000000004, -30326.43253482727 6732211.634547377 44.910000000000004, -30326.39349888137 6732211.620899879 44.910000000000004, -30326.32449976809 6732211.60450756 44.910000000000004, -30326.29453660117 6732211.601762731 44.92, -30326.205562043935 6732211.583540521 44.92, -30326.116587486467 6732211.565318314 44.92, -30326.09661204205 6732211.563488427 44.92, -30326.01762520708 6732211.546181159 44.93, -30325.998564705253 6732211.534363552 44.93, -30325.879626981216 6732211.5133965155 44.93, -30325.840591035434 6732211.499749021 44.93, -30325.810627868632 6732211.497004192 44.93, -30325.81886235485 6732211.407114693 44.92)</t>
  </si>
  <si>
    <t>POLYGON Z ((-30325.81886235485 6732211.407114693 44.92, -30325.830679962994 6732211.38805419 44.92, -30325.83250984887 6732211.368078746 44.92, -30325.834339734633 6732211.3481033025 44.92, -30325.836169620627 6732211.328127855 44.92, -30325.84798722854 6732211.309067354 44.92, -30325.8498171143 6732211.28909191 44.92, -30325.851647000294 6732211.269116466 44.92, -30325.863464608206 6732211.250055964 44.92, -30325.865294494084 6732211.230080519 44.93, -30325.867124379845 6732211.210105074 44.93, -30325.868954265607 6732211.190129628 44.93, -30325.88077187375 6732211.171069127 44.93, -30325.882601759513 6732211.151093684 44.93, -30325.884431645274 6732211.131118239 44.93, -30325.896249252954 6732211.112057739 44.93, -30325.89807913918 6732211.092082291 44.93, -30325.89990902471 6732211.07210685 44.93, -30325.91172663297 6732211.053046347 44.93, -30325.913556518615 6732211.033070902 44.93, -30325.915386404376 6732211.013095457 44.93, -30325.917216290254 6732210.993120012 44.93, -30325.9290338984 6732210.974059509 44.94, -30325.930863784277 6732210.954084065 44.94, -30325.932693669805 6732210.9341086205 44.94, -30325.94542622054 6732210.905060397 44.94, -30325.947256106534 6732210.88508495 44.94, -30325.949085991946 6732210.86510951 44.94, -30325.960903600208 6732210.846049007 44.94, -30325.962733485736 6732210.826073561 44.94, -30325.964563371846 6732210.806098115 44.94, -30325.966393257375 6732210.786122672 44.94, -30325.97821086552 6732210.767062168 44.94, -30325.980040751165 6732210.747086726 44.94, -30325.98187063681 6732210.727111283 44.95, -30325.993688244955 6732210.708050778 44.95, -30325.9955181306 6732210.688075334 44.95, -30325.99734801636 6732210.668099888 44.95, -30326.009165624273 6732210.649039388 44.95, -30326.01099551015 6732210.629063942 44.95, -30326.01282539568 6732210.609088499 44.95, -30326.014655281557 6732210.589113053 44.95, -30326.026472889353 6732210.570052551 44.95, -30326.02830277523 6732210.550077106 44.95, -30326.030132660875 6732210.530101662 44.95, -30326.04195026902 6732210.511041159 44.95, -30326.04378015455 6732210.491065716 44.95, -30326.045610040077 6732210.471090271 44.95, -30326.04743992584 6732210.451114825 44.95, -30326.059257533634 6732210.432054325 44.95, -30326.06108741951 6732210.412078877 44.95, -30326.06291730504 6732210.392103437 44.95, -30326.0747349133 6732210.373042933 44.95, -30326.076564798714 6732210.3530674875 44.95, -30326.07839468436 6732210.333092042 44.95, -30326.090212292504 6732210.31403154 44.95, -30326.09204217815 6732210.294056095 44.95, -30326.108434500173 6732210.225056984 44.95, -30326.110264385818 6732210.205081537 44.95, -30326.112094271346 6732210.185106095 44.95, -30326.122996936436 6732210.176033315 44.97, -30326.143887324026 6732210.167875477 44.96, -30326.16294782562 6732210.179693087 44.95, -30326.18292327004 6732210.181522975 44.95, -30326.201983771985 6732210.19334058 44.95, -30326.241019718116 6732210.206988073 44.95, -30326.260995162767 6732210.208817959 44.95, -30326.280055664596 6732210.220635565 44.95, -30326.300031109247 6732210.222465452 44.95, -30326.31909161096 6732210.23428306 44.94, -30326.339067055495 6732210.236112945 44.94, -30326.358127557207 6732210.247930554 44.94, -30326.378103001975 6732210.249760439 44.94, -30326.397163503454 6732210.261578047 44.94, -30326.4162240054 6732210.273395654 44.94, -30326.43619945005 6732210.275225541 44.94, -30326.455259951763 6732210.287043148 44.93, -30326.47523539653 6732210.288873034 44.93, -30326.494295897894 6732210.3006906435 44.93, -30326.51427134243 6732210.302520528 44.93, -30326.53333184414 6732210.314338137 44.93, -30326.572367790854 6732210.32798563 44.93, -30326.592343235272 6732210.329815517 44.93, -30327.068932429538 6732210.51447583 44.910000000000004, -30327.2059390645 6732210.668028087 44.9, -30327.31656565494 6732210.889664512 44.9, -30327.28652583831 6732210.997699575 44.89, -30327.21455194673 6732211.343610089 44.88, -30327.19449985202 6732211.452560093 44.88, -30327.062752925674 6732211.571421171 44.88, -30326.88289727387 6732211.665732086 44.88, -30326.640447109472 6732211.673736623 44.88, -30326.492461161222 6732211.640037033 44.9, -30326.472485716455 6732211.638207148 44.910000000000004, -30326.43253482727 6732211.634547377 44.910000000000004, -30326.39349888137 6732211.620899879 44.910000000000004, -30326.32449976809 6732211.60450756 44.910000000000004, -30326.29453660117 6732211.601762731 44.92, -30326.205562043935 6732211.583540521 44.92, -30326.116587486467 6732211.565318314 44.92, -30326.09661204205 6732211.563488427 44.92, -30326.01762520708 6732211.546181159 44.93, -30325.998564705253 6732211.534363552 44.93, -30325.879626981216 6732211.5133965155 44.93, -30325.840591035434 6732211.499749021 44.93, -30325.810627868632 6732211.497004192 44.93, -30325.81886235485 6732211.407114693 44.92))</t>
  </si>
  <si>
    <t>['FV585 S1D1 m5200-5203']</t>
  </si>
  <si>
    <t>LINESTRING Z (-30332.29597480793 6732202.049782685 44.37, -30332.065265598125 6732202.14950663 44.37, -30330.477212910424 6732203.323401811 44.37, -30330.348972471198 6732203.623871793 44.37, -30330.401425981894 6732203.930823014 44.37, -30330.592869311105 6732204.14979126 44.37, -30331.40255986352 6732204.546253552 44.37, -30331.73223135923 6732204.465666757 44.37, -30331.917576668202 6732204.31142949 44.37, -30332.621679967968 6732202.452266353 44.37, -30332.620918310015 6732202.240694287 44.37, -30332.500227334793 6732202.128922809 44.37, -30332.29597480793 6732202.049782685 44.37)</t>
  </si>
  <si>
    <t>POLYGON Z ((-30332.29597480793 6732202.049782685 44.37, -30332.065265598125 6732202.14950663 44.37, -30330.477212910424 6732203.323401811 44.37, -30330.348972471198 6732203.623871793 44.37, -30330.401425981894 6732203.930823014 44.37, -30330.592869311105 6732204.14979126 44.37, -30331.40255986352 6732204.546253552 44.37, -30331.73223135923 6732204.465666757 44.37, -30331.917576668202 6732204.31142949 44.37, -30332.621679967968 6732202.452266353 44.37, -30332.620918310015 6732202.240694287 44.37, -30332.500227334793 6732202.128922809 44.37, -30332.29597480793 6732202.049782685 44.37))</t>
  </si>
  <si>
    <t>['FV585 S1D1 m5203-5219']</t>
  </si>
  <si>
    <t>LINESTRING Z (-30343.07514725998 6732208.727646416 44.37, -30342.819964511436 6732208.764699185 44.37, -30342.558300514473 6732208.982445925 44.37, -30341.43005155248 6732213.602642285 44.37, -30339.527094859164 6732221.072616193 44.37, -30339.346779224114 6732221.831606505 44.37, -30338.923021792783 6732222.7193689495 44.37, -30338.827489298885 6732222.992620595 44.37, -30338.886194049614 6732223.451217577 44.37, -30339.014127900708 6732223.593867196 44.37, -30339.41813488619 6732223.691306244 44.37, -30339.71609001665 6732223.517170211 44.37, -30339.851573405438 6732223.247578343 44.37, -30340.837014823104 6732220.296246908 44.37, -30341.321311844746 6732218.527734885 44.37, -30342.135438596248 6732215.137705165 44.37, -30343.418921336066 6732209.262715379 44.37, -30343.359224940417 6732208.924886007 44.37, -30343.07514725998 6732208.727646416 44.37)</t>
  </si>
  <si>
    <t>POLYGON Z ((-30343.07514725998 6732208.727646416 44.37, -30342.819964511436 6732208.764699185 44.37, -30342.558300514473 6732208.982445925 44.37, -30341.43005155248 6732213.602642285 44.37, -30339.527094859164 6732221.072616193 44.37, -30339.346779224114 6732221.831606505 44.37, -30338.923021792783 6732222.7193689495 44.37, -30338.827489298885 6732222.992620595 44.37, -30338.886194049614 6732223.451217577 44.37, -30339.014127900708 6732223.593867196 44.37, -30339.41813488619 6732223.691306244 44.37, -30339.71609001665 6732223.517170211 44.37, -30339.851573405438 6732223.247578343 44.37, -30340.837014823104 6732220.296246908 44.37, -30341.321311844746 6732218.527734885 44.37, -30342.135438596248 6732215.137705165 44.37, -30343.418921336066 6732209.262715379 44.37, -30343.359224940417 6732208.924886007 44.37, -30343.07514725998 6732208.727646416 44.37))</t>
  </si>
  <si>
    <t>[4552]</t>
  </si>
  <si>
    <t>['KV4552 S1D1 m12-17']</t>
  </si>
  <si>
    <t>LINESTRING Z (-30322.980069176177 6732209.193183854 45.13, -30322.80120512226 6732209.166727165 45.13, -30322.781229678192 6732209.16489728 45.13, -30322.691340180114 6732209.156662796 45.14, -30322.672279678634 6732209.144845189 45.14, -30322.59237790259 6732209.137525646 45.15, -30322.542439292767 6732209.132950932 45.160000000000004, -30322.493415625417 6732209.118388496 45.160000000000004, -30322.423501571524 6732209.111983897 45.17, -30322.393538405653 6732209.10923907 45.17, -30322.304563850164 6732209.091016865 45.18, -30322.224662074354 6732209.083697324 45.19, -30322.194698908483 6732209.080952496 45.19, -30322.105724353343 6732209.062730289 45.2, -30321.99585941201 6732209.05266592 45.2, -30321.976798910764 6732209.040848313 45.2, -30321.90688485722 6732209.034443713 45.21, -30321.807922580396 6732209.015306563 45.22, -30321.708045361214 6732209.006157136 45.22, -30321.60908308439 6732208.98701999 45.230000000000004, -30321.509205865208 6732208.977870563 45.24, -30321.410243588733 6732208.958733413 45.24, -30321.390268144896 6732208.956903528 45.25, -30321.311281312373 6732208.939596266 45.25, -30321.21140409331 6732208.930446839 45.26, -30321.112441817182 6732208.91130969 45.27, -30321.01256459835 6732208.902160264 45.28, -30320.99258915463 6732208.900330378 45.28, -30320.913602322224 6732208.883023116 45.28, -30320.893626878387 6732208.881193229 45.28, -30320.81372510339 6732208.873873691 45.29, -30320.794664602377 6732208.862056084 45.29, -30320.714762827498 6732208.854736542 45.300000000000004, -30320.694787383778 6732208.852906655 45.300000000000004, -30320.615800551837 6732208.835599391 45.31, -30320.595825108 6732208.833769508 45.31, -30320.515923333354 6732208.826449966 45.31, -30320.495947889518 6732208.824620078 45.32, -30320.416961057694 6732208.807312817 45.32, -30320.396985613974 6732208.805482932 45.32, -30320.317083839327 6732208.798163392 45.33, -30320.297108395724 6732208.796333505 45.33, -30320.2181215639 6732208.779026243 45.34, -30320.19814612018 6732208.777196356 45.34, -30320.119159288122 6732208.759889096 45.35, -30320.099183844868 6732208.758059209 45.35, -30320.01928207022 6732208.750739669 45.35, -30319.999306626618 6732208.7489097845 45.36, -30319.92031979491 6732208.73160252 45.36, -30319.900344351307 6732208.729772635 45.36, -30319.820442577126 6732208.722453093 45.37, -30319.800467133522 6732208.720623208 45.37, -30319.721480301698 6732208.703315946 45.38, -30319.701504858327 6732208.70148606 45.38, -30319.62160308403 6732208.69416652 45.39, -30319.592554861447 6732208.681433969 45.39, -30319.522640809184 6732208.67502937 45.4, -30319.492677643895 6732208.672284543 45.4, -30319.423678534222 6732208.655892225 45.4, -30319.3937153687 6732208.653147396 45.410000000000004, -30319.32380131667 6732208.646742798 45.410000000000004, -30319.293838151265 6732208.643997971 45.42, -30319.224839042057 6732208.627605649 45.42, -30319.194875876652 6732208.624860822 45.42, -30319.12496182439 6732208.618456224 45.43, -30319.095913601806 6732208.605723674 45.43, -30319.025999549776 6732208.599319078 45.44, -30318.996036384488 6732208.596574249 45.44, -30318.96607321943 6732208.59382942 45.44, -30318.927037275396 6732208.580181928 45.45, -30318.897074110224 6732208.577437099 45.45, -30318.827160058194 6732208.571032502 45.46, -30318.797196893254 6732208.568287674 45.46, -30318.728197783814 6732208.551895353 45.46, -30318.69823461864 6732208.549150526 45.47, -30318.628320566844 6732208.542745927 45.47, -30318.59835740179 6732208.540001101 45.480000000000004, -30318.52935829258 6732208.523608781 45.480000000000004, -30318.49939512741 6732208.520863954 45.480000000000004, -30318.429481075727 6732208.514459357 45.49, -30318.400432853377 6732208.501726805 45.49, -30318.33051880158 6732208.495322207 45.5, -30318.290567914722 6732208.491662437 45.5, -30318.23155652755 6732208.476185058 45.51, -30318.201593362843 6732208.473440231 45.51, -30318.13167931093 6732208.4670356335 45.52, -30318.10171614634 6732208.464290803 45.52, -30318.042704758816 6732208.448813427 45.52, -30318.022729315446 6732208.446983544 45.53, -30317.949155493756 6732208.480529833 45.53, -30317.908289664658 6732208.486857782 45.54, -30317.855606228462 6732208.512246237 45.54, -30317.813825456775 6732208.52856191 45.54, -30317.79293507093 6732208.536719745 45.54, -30317.77112974273 6732208.554865304 45.550000000000004, -30317.71661642159 6732208.6002292 45.54, -30317.69481109327 6732208.618374757 45.54, -30317.67392070708 6732208.626532597 45.54, -30317.61757750099 6732208.691871934 45.54, -30317.580294795334 6732208.769028878 45.550000000000004, -30317.567562245647 6732208.798077104 45.54, -30317.542097146972 6732208.856173546 45.54, -30317.52661976975 6732208.915184935 45.550000000000004, -30317.524789884686 6732208.935160377 45.550000000000004, -30317.522045056452 6732208.965123543 45.550000000000004, -30317.520215171273 6732208.985098987 45.54, -30317.513810572797 6732209.055013039 45.54, -30317.497418252984 6732209.124012148 45.54, -30317.53721584438 6732209.34923168 45.53, -30317.688708258327 6732209.564540138 45.51, -30317.860252763145 6732209.670898601 45.5, -30318.413160576252 6732209.792049442 45.45, -30319.073188501876 6732209.953227821 45.38, -30322.583985283156 6732210.768345823 45.12, -30322.58490022598 6732210.758358098 45.1, -30322.587645054213 6732210.728394933 45.11, -30322.58947494009 6732210.708419488 45.11, -30322.604952318943 6732210.6494081 45.11, -30322.619514754973 6732210.600384433 45.11, -30322.633162248065 6732210.561348489 45.11, -30322.64772468421 6732210.512324818 45.11, -30322.650469512446 6732210.482361654 45.11, -30322.666861834354 6732210.41336254 45.11, -30322.678679441917 6732210.394302038 45.11, -30322.69598670618 6732210.3153152075 45.11, -30322.712379027973 6732210.246316092 45.11, -30322.72694146377 6732210.197292426 45.11, -30322.807988127926 6732209.862284588 45.13, -30322.980069176177 6732209.193183854 45.13)</t>
  </si>
  <si>
    <t>POLYGON Z ((-30322.980069176177 6732209.193183854 45.13, -30322.80120512226 6732209.166727165 45.13, -30322.781229678192 6732209.16489728 45.13, -30322.691340180114 6732209.156662796 45.14, -30322.672279678634 6732209.144845189 45.14, -30322.59237790259 6732209.137525646 45.15, -30322.542439292767 6732209.132950932 45.160000000000004, -30322.493415625417 6732209.118388496 45.160000000000004, -30322.423501571524 6732209.111983897 45.17, -30322.393538405653 6732209.10923907 45.17, -30322.304563850164 6732209.091016865 45.18, -30322.224662074354 6732209.083697324 45.19, -30322.194698908483 6732209.080952496 45.19, -30322.105724353343 6732209.062730289 45.2, -30321.99585941201 6732209.05266592 45.2, -30321.976798910764 6732209.040848313 45.2, -30321.90688485722 6732209.034443713 45.21, -30321.807922580396 6732209.015306563 45.22, -30321.708045361214 6732209.006157136 45.22, -30321.60908308439 6732208.98701999 45.230000000000004, -30321.509205865208 6732208.977870563 45.24, -30321.410243588733 6732208.958733413 45.24, -30321.390268144896 6732208.956903528 45.25, -30321.311281312373 6732208.939596266 45.25, -30321.21140409331 6732208.930446839 45.26, -30321.112441817182 6732208.91130969 45.27, -30321.01256459835 6732208.902160264 45.28, -30320.99258915463 6732208.900330378 45.28, -30320.913602322224 6732208.883023116 45.28, -30320.893626878387 6732208.881193229 45.28, -30320.81372510339 6732208.873873691 45.29, -30320.794664602377 6732208.862056084 45.29, -30320.714762827498 6732208.854736542 45.300000000000004, -30320.694787383778 6732208.852906655 45.300000000000004, -30320.615800551837 6732208.835599391 45.31, -30320.595825108 6732208.833769508 45.31, -30320.515923333354 6732208.826449966 45.31, -30320.495947889518 6732208.824620078 45.32, -30320.416961057694 6732208.807312817 45.32, -30320.396985613974 6732208.805482932 45.32, -30320.317083839327 6732208.798163392 45.33, -30320.297108395724 6732208.796333505 45.33, -30320.2181215639 6732208.779026243 45.34, -30320.19814612018 6732208.777196356 45.34, -30320.119159288122 6732208.759889096 45.35, -30320.099183844868 6732208.758059209 45.35, -30320.01928207022 6732208.750739669 45.35, -30319.999306626618 6732208.7489097845 45.36, -30319.92031979491 6732208.73160252 45.36, -30319.900344351307 6732208.729772635 45.36, -30319.820442577126 6732208.722453093 45.37, -30319.800467133522 6732208.720623208 45.37, -30319.721480301698 6732208.703315946 45.38, -30319.701504858327 6732208.70148606 45.38, -30319.62160308403 6732208.69416652 45.39, -30319.592554861447 6732208.681433969 45.39, -30319.522640809184 6732208.67502937 45.4, -30319.492677643895 6732208.672284543 45.4, -30319.423678534222 6732208.655892225 45.4, -30319.3937153687 6732208.653147396 45.410000000000004, -30319.32380131667 6732208.646742798 45.410000000000004, -30319.293838151265 6732208.643997971 45.42, -30319.224839042057 6732208.627605649 45.42, -30319.194875876652 6732208.624860822 45.42, -30319.12496182439 6732208.618456224 45.43, -30319.095913601806 6732208.605723674 45.43, -30319.025999549776 6732208.599319078 45.44, -30318.996036384488 6732208.596574249 45.44, -30318.96607321943 6732208.59382942 45.44, -30318.927037275396 6732208.580181928 45.45, -30318.897074110224 6732208.577437099 45.45, -30318.827160058194 6732208.571032502 45.46, -30318.797196893254 6732208.568287674 45.46, -30318.728197783814 6732208.551895353 45.46, -30318.69823461864 6732208.549150526 45.47, -30318.628320566844 6732208.542745927 45.47, -30318.59835740179 6732208.540001101 45.480000000000004, -30318.52935829258 6732208.523608781 45.480000000000004, -30318.49939512741 6732208.520863954 45.480000000000004, -30318.429481075727 6732208.514459357 45.49, -30318.400432853377 6732208.501726805 45.49, -30318.33051880158 6732208.495322207 45.5, -30318.290567914722 6732208.491662437 45.5, -30318.23155652755 6732208.476185058 45.51, -30318.201593362843 6732208.473440231 45.51, -30318.13167931093 6732208.4670356335 45.52, -30318.10171614634 6732208.464290803 45.52, -30318.042704758816 6732208.448813427 45.52, -30318.022729315446 6732208.446983544 45.53, -30317.949155493756 6732208.480529833 45.53, -30317.908289664658 6732208.486857782 45.54, -30317.855606228462 6732208.512246237 45.54, -30317.813825456775 6732208.52856191 45.54, -30317.79293507093 6732208.536719745 45.54, -30317.77112974273 6732208.554865304 45.550000000000004, -30317.71661642159 6732208.6002292 45.54, -30317.69481109327 6732208.618374757 45.54, -30317.67392070708 6732208.626532597 45.54, -30317.61757750099 6732208.691871934 45.54, -30317.580294795334 6732208.769028878 45.550000000000004, -30317.567562245647 6732208.798077104 45.54, -30317.542097146972 6732208.856173546 45.54, -30317.52661976975 6732208.915184935 45.550000000000004, -30317.524789884686 6732208.935160377 45.550000000000004, -30317.522045056452 6732208.965123543 45.550000000000004, -30317.520215171273 6732208.985098987 45.54, -30317.513810572797 6732209.055013039 45.54, -30317.497418252984 6732209.124012148 45.54, -30317.53721584438 6732209.34923168 45.53, -30317.688708258327 6732209.564540138 45.51, -30317.860252763145 6732209.670898601 45.5, -30318.413160576252 6732209.792049442 45.45, -30319.073188501876 6732209.953227821 45.38, -30322.583985283156 6732210.768345823 45.12, -30322.58490022598 6732210.758358098 45.1, -30322.587645054213 6732210.728394933 45.11, -30322.58947494009 6732210.708419488 45.11, -30322.604952318943 6732210.6494081 45.11, -30322.619514754973 6732210.600384433 45.11, -30322.633162248065 6732210.561348489 45.11, -30322.64772468421 6732210.512324818 45.11, -30322.650469512446 6732210.482361654 45.11, -30322.666861834354 6732210.41336254 45.11, -30322.678679441917 6732210.394302038 45.11, -30322.69598670618 6732210.3153152075 45.11, -30322.712379027973 6732210.246316092 45.11, -30322.72694146377 6732210.197292426 45.11, -30322.807988127926 6732209.862284588 45.13, -30322.980069176177 6732209.193183854 45.13))</t>
  </si>
  <si>
    <t>['FV585 S1D1 m5218-5271']</t>
  </si>
  <si>
    <t>LINESTRING Z (-30324.99960041116 6732241.899180324 44.37, -30324.828357452876 6732242.669073178 44.37, -30323.87470349006 6732246.922544322 44.37, -30323.186756623327 6732250.364418473 44.37, -30322.881323279813 6732252.159386842 44.37, -30322.635892928345 6732253.849064992 44.37, -30321.916755650425 6732259.060672343 44.37, -30321.44754128228 6732263.962813648 44.37, -30321.14049706247 6732268.084159457 44.37, -30320.97953752475 6732271.050589367 44.37, -30320.937219820917 6732271.842364187 44.37, -30320.977932245703 6732272.057596019 44.37, -30321.174788416596 6732272.3274179 44.37, -30321.536176273716 6732272.340380576 44.37, -30321.839621108375 6732272.106318359 44.37, -30321.890704773716 6732271.768565732 44.37, -30322.186013648286 6732266.236129663 44.37, -30322.670020649442 6732260.952625026 44.37, -30322.792700214428 6732259.503490465 44.37, -30323.343947515823 6732255.464944554 44.37, -30324.022673659143 6732250.914356643 44.37, -30325.696220949292 6732242.980220924 44.37, -30326.14971678448 6732241.108172222 44.37, -30329.466908140108 6732229.084488118 44.37, -30331.812376382877 6732221.181689746 44.37, -30331.76594422711 6732221.358723923 44.37, -30331.868796261377 6732221.005570512 44.37, -30331.776391902356 6732220.694959505 44.37, -30331.5113747695 6732220.50953752 44.37, -30331.179950037273 6732220.499319822 44.37, -30330.957398651633 6732220.619934123 44.37, -30330.811012613238 6732220.898598752 44.37, -30329.918967229547 6732224.0397733385 44.37, -30327.96111852606 6732230.789638752 44.37, -30325.911928339163 6732238.31671636 44.37, -30324.99960041116 6732241.899180324 44.37)</t>
  </si>
  <si>
    <t>POLYGON Z ((-30324.99960041116 6732241.899180324 44.37, -30324.828357452876 6732242.669073178 44.37, -30323.87470349006 6732246.922544322 44.37, -30323.186756623327 6732250.364418473 44.37, -30322.881323279813 6732252.159386842 44.37, -30322.635892928345 6732253.849064992 44.37, -30321.916755650425 6732259.060672343 44.37, -30321.44754128228 6732263.962813648 44.37, -30321.14049706247 6732268.084159457 44.37, -30320.97953752475 6732271.050589367 44.37, -30320.937219820917 6732271.842364187 44.37, -30320.977932245703 6732272.057596019 44.37, -30321.174788416596 6732272.3274179 44.37, -30321.536176273716 6732272.340380576 44.37, -30321.839621108375 6732272.106318359 44.37, -30321.890704773716 6732271.768565732 44.37, -30322.186013648286 6732266.236129663 44.37, -30322.670020649442 6732260.952625026 44.37, -30322.792700214428 6732259.503490465 44.37, -30323.343947515823 6732255.464944554 44.37, -30324.022673659143 6732250.914356643 44.37, -30325.696220949292 6732242.980220924 44.37, -30326.14971678448 6732241.108172222 44.37, -30329.466908140108 6732229.084488118 44.37, -30331.812376382877 6732221.181689746 44.37, -30331.76594422711 6732221.358723923 44.37, -30331.868796261377 6732221.005570512 44.37, -30331.776391902356 6732220.694959505 44.37, -30331.5113747695 6732220.50953752 44.37, -30331.179950037273 6732220.499319822 44.37, -30330.957398651633 6732220.619934123 44.37, -30330.811012613238 6732220.898598752 44.37, -30329.918967229547 6732224.0397733385 44.37, -30327.96111852606 6732230.789638752 44.37, -30325.911928339163 6732238.31671636 44.37, -30324.99960041116 6732241.899180324 44.37))</t>
  </si>
  <si>
    <t>['RV9 S1D1 m3082-3085']</t>
  </si>
  <si>
    <t>LINESTRING Z (85647.28 6468543.79 25.580000000000002, 85648.61 6468542.95 25.62, 85649.95 6468542.22 25.62, 85651.55 6468541.41 25.650000000000002, 85653.11 6468540.62 25.69, 85654.87 6468539.84 25.75, 85656.27 6468539.29 25.78, 85657.8 6468538.77 25.84, 85658.69 6468538.54 25.86, 85659.06 6468538.52 25.88, 85659.44 6468538.7 25.87, 85659.67 6468538.96 25.89, 85659.76 6468539.34 25.900000000000002, 85659.68 6468539.7 25.89, 85659.43 6468540.1 25.89, 85655.71 6468542.83 25.78, 85654.74 6468543.46 25.740000000000002, 85653.73 6468543.95 25.72, 85651.74 6468544.82 25.69, 85649.65 6468545.52 25.650000000000002, 85647.89 6468545.91 25.64, 85647.51 6468545.84 25.650000000000002, 85647.21 6468545.53 25.61, 85647.01 6468545.05 25.63, 85646.91 6468544.48 25.64, 85646.98 6468544.13 25.62, 85647.3 6468543.79 25.62)</t>
  </si>
  <si>
    <t>POLYGON Z ((85647.28 6468543.79 25.580000000000002, 85648.61 6468542.95 25.62, 85649.95 6468542.22 25.62, 85651.55 6468541.41 25.650000000000002, 85653.11 6468540.62 25.69, 85654.87 6468539.84 25.75, 85656.27 6468539.29 25.78, 85657.8 6468538.77 25.84, 85658.69 6468538.54 25.86, 85659.06 6468538.52 25.88, 85659.44 6468538.7 25.87, 85659.67 6468538.96 25.89, 85659.76 6468539.34 25.900000000000002, 85659.68 6468539.7 25.89, 85659.43 6468540.1 25.89, 85655.71 6468542.83 25.78, 85654.74 6468543.46 25.740000000000002, 85653.73 6468543.95 25.72, 85651.74 6468544.82 25.69, 85649.65 6468545.52 25.650000000000002, 85647.89 6468545.91 25.64, 85647.51 6468545.84 25.650000000000002, 85647.21 6468545.53 25.61, 85647.01 6468545.05 25.63, 85646.91 6468544.48 25.64, 85646.98 6468544.13 25.62, 85647.3 6468543.79 25.62, 85647.28 6468543.79 25.580000000000002))</t>
  </si>
  <si>
    <t>2024-11-07</t>
  </si>
  <si>
    <t>[5692]</t>
  </si>
  <si>
    <t>['KV5692 S1D1 m215-223']</t>
  </si>
  <si>
    <t>LINESTRING (31664.029782264377 6671195.527583795, 31667.143430277938 6671198.529939958, 31671.99504304293 6671199.734545741, 31671.214915123477 6671197.785292417, 31667.769317907805 6671195.725857764, 31664.09220459865 6671195.440819077)</t>
  </si>
  <si>
    <t>POLYGON ((31664.029782264377 6671195.527583795, 31667.143430277938 6671198.529939958, 31671.99504304293 6671199.734545741, 31671.214915123477 6671197.785292417, 31667.769317907805 6671195.725857764, 31664.09220459865 6671195.440819077, 31664.029782264377 6671195.527583795))</t>
  </si>
  <si>
    <t>[1082]</t>
  </si>
  <si>
    <t>['KV1082 S1D1 m11-25']</t>
  </si>
  <si>
    <t>LINESTRING (-5980.287323038734 6749215.843052311, -5984.975867689587 6749228.4242615905)</t>
  </si>
  <si>
    <t>POINT (-5982.631595364161 6749222.133656952)</t>
  </si>
  <si>
    <t>[1035]</t>
  </si>
  <si>
    <t>['KV1035 S9D1 m9-45']</t>
  </si>
  <si>
    <t>LINESTRING (-35055.252647369634 6785741.163339314, -35055.17715574603 6785737.375801741, -35053.75588479277 6785726.396926644, -35052.32514213701 6785719.14745903, -35050.93634257023 6785714.708151453, -35049.599950430566 6785711.848284235, -35048.12788231787 6785711.11586374, -35046.18590014614 6785710.752962199, -35041.13741591084 6785712.789675439, -35039.5917517792 6785716.172612164, -35039.280239896616 6785719.675232432, -35041.33489894809 6785724.634010911, -35045.409049778595 6785729.990082129, -35054.84944636666 6785740.875962893)</t>
  </si>
  <si>
    <t>POLYGON ((-35055.252647369634 6785741.163339314, -35055.17715574603 6785737.375801741, -35053.75588479277 6785726.396926644, -35052.32514213701 6785719.14745903, -35050.93634257023 6785714.708151453, -35049.599950430566 6785711.848284235, -35048.12788231787 6785711.11586374, -35046.18590014614 6785710.752962199, -35041.13741591084 6785712.789675439, -35039.5917517792 6785716.172612164, -35039.280239896616 6785719.675232432, -35041.33489894809 6785724.634010911, -35045.409049778595 6785729.990082129, -35054.84944636666 6785740.875962893, -35055.252647369634 6785741.163339314))</t>
  </si>
  <si>
    <t>[4852]</t>
  </si>
  <si>
    <t>['FV4852 S1D1 m402-410']</t>
  </si>
  <si>
    <t>LINESTRING (-50569.39295360935 6625391.174617353, -50562.603229949484 6625392.949855485)</t>
  </si>
  <si>
    <t>['FV4852 S1D1 m397-399']</t>
  </si>
  <si>
    <t>LINESTRING (-50559.584786131396 6625393.642337275, -50557.325231595314 6625394.427428901)</t>
  </si>
  <si>
    <t>['FV4852 S1D1 m417-423']</t>
  </si>
  <si>
    <t>LINESTRING (-50574.978525687475 6625375.166750577, -50572.343253581086 6625370.247404297)</t>
  </si>
  <si>
    <t>['FV4852 S1D1 m920-924']</t>
  </si>
  <si>
    <t>LINESTRING (-50415.51356411213 6624904.396630142, -50402.107507405686 6624907.417435327)</t>
  </si>
  <si>
    <t>2022-07-01</t>
  </si>
  <si>
    <t>[228]</t>
  </si>
  <si>
    <t>['FV228 S1D1 m8293-8299']</t>
  </si>
  <si>
    <t>LINESTRING (270826.18828853307 6764376.301071616, 270825.7882423177 6764376.918899514, 270825.4758959075 6764377.128975928, 270825.06044635974 6764377.088839073, 270824.153172033 6764376.499739915, 270823.9253005285 6764376.168247476, 270823.9873909285 6764375.784490288, 270824.41448520694 6764375.164912383, 270825.1835590106 6764373.953600657, 270825.9147924061 6764372.577204562, 270826.50958646106 6764371.946778237, 270827.4093198117 6764372.335326851, 270828.07750422205 6764372.839374283, 270827.9988112948 6764373.302387233, 270827.5313170746 6764373.969253492, 270826.18828853307 6764376.301071616)</t>
  </si>
  <si>
    <t>2024-12-10</t>
  </si>
  <si>
    <t>[17772]</t>
  </si>
  <si>
    <t>['KV17772 S1D1 m334-337']</t>
  </si>
  <si>
    <t>LINESTRING Z (270872.9962574623 6651890.738309405 157.108, 270873.7626639631 6651889.963380518 157.172, 270874.38794506737 6651889.315809982 157.217, 270874.4318769317 6651889.279667732 157.216, 270874.68867501203 6651889.16489964 157.222, 270874.93659705005 6651889.239809332 157.215, 270875.31667907117 6651889.619162902 157.212, 270875.64114412025 6651890.016633057 157.225, 270875.9049195186 6651890.409574431 157.231, 270876.1534777107 6651890.900343943 157.249, 270876.1635325387 6651890.95568921 157.236, 270876.2818340055 6651891.3508052705 157.25, 270876.35547925136 6651891.840398096 157.244, 270876.44244099886 6651892.53171593 157.223, 270876.6031400941 6651894.011998558 157.168, 270876.6054953446 6651894.037904867 157.168, 270876.46853565617 6651893.956925664 157.163, 270875.79170721537 6651893.31923507 157.168, 270874.7925882916 6651892.407446359 157.171, 270873.6971808141 6651891.420022536 157.145, 270872.9734310411 6651890.763491185 157.112, 270872.9962574623 6651890.738309405 157.108)</t>
  </si>
  <si>
    <t>POLYGON Z ((270872.9962574623 6651890.738309405 157.108, 270873.7626639631 6651889.963380518 157.172, 270874.38794506737 6651889.315809982 157.217, 270874.4318769317 6651889.279667732 157.216, 270874.68867501203 6651889.16489964 157.222, 270874.93659705005 6651889.239809332 157.215, 270875.31667907117 6651889.619162902 157.212, 270875.64114412025 6651890.016633057 157.225, 270875.9049195186 6651890.409574431 157.231, 270876.1534777107 6651890.900343943 157.249, 270876.1635325387 6651890.95568921 157.236, 270876.2818340055 6651891.3508052705 157.25, 270876.35547925136 6651891.840398096 157.244, 270876.44244099886 6651892.53171593 157.223, 270876.6031400941 6651894.011998558 157.168, 270876.6054953446 6651894.037904867 157.168, 270876.46853565617 6651893.956925664 157.163, 270875.79170721537 6651893.31923507 157.168, 270874.7925882916 6651892.407446359 157.171, 270873.6971808141 6651891.420022536 157.145, 270872.9734310411 6651890.763491185 157.112, 270872.9962574623 6651890.738309405 157.108))</t>
  </si>
  <si>
    <t>2025-01-10</t>
  </si>
  <si>
    <t>2025-11-22T09:11:36Z</t>
  </si>
  <si>
    <t>['KV17852 S1D1 m524 KD1 m7-15']</t>
  </si>
  <si>
    <t>LINESTRING Z (266098.58 6649037.14 94.15, 266098.7 6649036.14 94.2, 266099.12 6649033.42 94.16, 266099.12 6649033.32 94.16, 266099.09 6649033.23 94.16, 266099.03 6649033.15 94.10000000000001, 266098.96 6649033.08 94.08, 266098.86 6649033.05 94.13, 266098.75 6649033.03 94.17, 266098.65 6649033.05 94.12, 266098.56 6649033.11 94.09, 266098.47 6649033.19 94.09, 266098.43 6649033.28 94.11, 266098.04 6649035.26 94.14, 266097.77 6649036.79 94.13, 266097.69 6649037.23 94.12, 266097.37 6649039.22 94.13, 266097.21 6649040.39 94.05, 266097.09 6649041.21 93.99, 266096.86 6649043.2 94.21000000000001, 266096.66 6649045.21 93.98, 266096.69 6649045.36 93.98, 266096.74 6649045.51 94.07000000000001, 266096.83 6649045.63 94.22, 266096.95 6649045.74 94, 266097.09 6649045.81 94.25, 266097.24 6649045.85 94.24, 266097.4 6649045.83 94.23, 266097.55 6649045.79 94.08, 266097.69 6649045.72 94.01, 266097.8 6649045.6 94.01, 266097.88 6649045.47 94.01, 266097.93 6649045.31 94.12, 266098.17 6649041.13 93.94, 266098.23 6649040.46 94.08, 266098.26 6649040.13 94.15, 266098.58 6649037.14 94.15)</t>
  </si>
  <si>
    <t>POLYGON Z ((266098.58 6649037.14 94.15, 266098.7 6649036.14 94.2, 266099.12 6649033.42 94.16, 266099.12 6649033.32 94.16, 266099.09 6649033.23 94.16, 266099.03 6649033.15 94.10000000000001, 266098.96 6649033.08 94.08, 266098.86 6649033.05 94.13, 266098.75 6649033.03 94.17, 266098.65 6649033.05 94.12, 266098.56 6649033.11 94.09, 266098.47 6649033.19 94.09, 266098.43 6649033.28 94.11, 266098.04 6649035.26 94.14, 266097.77 6649036.79 94.13, 266097.69 6649037.23 94.12, 266097.37 6649039.22 94.13, 266097.21 6649040.39 94.05, 266097.09 6649041.21 93.99, 266096.86 6649043.2 94.21000000000001, 266096.66 6649045.21 93.98, 266096.69 6649045.36 93.98, 266096.74 6649045.51 94.07000000000001, 266096.83 6649045.63 94.22, 266096.95 6649045.74 94, 266097.09 6649045.81 94.25, 266097.24 6649045.85 94.24, 266097.4 6649045.83 94.23, 266097.55 6649045.79 94.08, 266097.69 6649045.72 94.01, 266097.8 6649045.6 94.01, 266097.88 6649045.47 94.01, 266097.93 6649045.31 94.12, 266098.17 6649041.13 93.94, 266098.23 6649040.46 94.08, 266098.26 6649040.13 94.15, 266098.58 6649037.14 94.15))</t>
  </si>
  <si>
    <t>['KV17852 S2D1 m6-30']</t>
  </si>
  <si>
    <t>LINESTRING Z (266132.36 6649069.65 95.34, 266130.87 6649069.51 95.38, 266129.39 6649069.32 95.17, 266127.9 6649069.1 95.06, 266126.42 6649068.85 95.18, 266124.96 6649068.56 95.23, 266123.49 6649068.23 95.03, 266122.04 6649067.86 95.22, 266120.6 6649067.46 95.14, 266119.16 6649067.02 94.98, 266110.37 6649064.5 94.62, 266110.2 6649064.46 94.55, 266110 6649064.45 94.54, 266109.8 6649064.49 94.54, 266109.61 6649064.57 94.61, 266109.45 6649064.67 94.78, 266109.31 6649064.82 94.76, 266109.2 6649064.98 94.78, 266109.13 6649065.16 94.72, 266109.08 6649065.36 94.66, 266109.09 6649065.56 94.64, 266109.13 6649065.75 94.68, 266109.21 6649065.93 94.77, 266109.32 6649066.09 94.74, 266109.47 6649066.23 94.72, 266109.63 6649066.33 94.67, 266109.82 6649066.41 94.55, 266113.79 6649067.54 94.68, 266115.18 6649067.96 94.69, 266116.58 6649068.33 94.74, 266117.99 6649068.68 94.77, 266119.4 6649068.99 94.93, 266120.82 6649069.26 95.08, 266122.24 6649069.51 94.92, 266123.68 6649069.72 94.92, 266125.11 6649069.89 95.25, 266126.55 6649070.03 95.27, 266127.99 6649070.14 95.33, 266129.44 6649070.21 95.24, 266130.89 6649070.24 95.12, 266132.33 6649070.24 95.35000000000001, 266132.36 6649069.65 95.34)</t>
  </si>
  <si>
    <t>POLYGON Z ((266132.36 6649069.65 95.34, 266130.87 6649069.51 95.38, 266129.39 6649069.32 95.17, 266127.9 6649069.1 95.06, 266126.42 6649068.85 95.18, 266124.96 6649068.56 95.23, 266123.49 6649068.23 95.03, 266122.04 6649067.86 95.22, 266120.6 6649067.46 95.14, 266119.16 6649067.02 94.98, 266110.37 6649064.5 94.62, 266110.2 6649064.46 94.55, 266110 6649064.45 94.54, 266109.8 6649064.49 94.54, 266109.61 6649064.57 94.61, 266109.45 6649064.67 94.78, 266109.31 6649064.82 94.76, 266109.2 6649064.98 94.78, 266109.13 6649065.16 94.72, 266109.08 6649065.36 94.66, 266109.09 6649065.56 94.64, 266109.13 6649065.75 94.68, 266109.21 6649065.93 94.77, 266109.32 6649066.09 94.74, 266109.47 6649066.23 94.72, 266109.63 6649066.33 94.67, 266109.82 6649066.41 94.55, 266113.79 6649067.54 94.68, 266115.18 6649067.96 94.69, 266116.58 6649068.33 94.74, 266117.99 6649068.68 94.77, 266119.4 6649068.99 94.93, 266120.82 6649069.26 95.08, 266122.24 6649069.51 94.92, 266123.68 6649069.72 94.92, 266125.11 6649069.89 95.25, 266126.55 6649070.03 95.27, 266127.99 6649070.14 95.33, 266129.44 6649070.21 95.24, 266130.89 6649070.24 95.12, 266132.33 6649070.24 95.35000000000001, 266132.36 6649069.65 95.34))</t>
  </si>
  <si>
    <t>['KV17852 S1D1 m483-518']</t>
  </si>
  <si>
    <t>LINESTRING Z (266046.61 6649069.04 93.32000000000001, 266046.53 6649069.06 93.32000000000001, 266046.45 6649069.09 93.32000000000001, 266046.37 6649069.13 93.32000000000001, 266046.3 6649069.18 93.32000000000001, 266046.23 6649069.22 93.31, 266046.17 6649069.28 93.31, 266046.1 6649069.34 93.31, 266046.05 6649069.41 93.31, 266046 6649069.47 93.3, 266045.96 6649069.55 93.3, 266045.93 6649069.63 93.3, 266045.9 6649069.71 93.29, 266045.88 6649069.8 93.29, 266045.87 6649069.88 93.29, 266045.87 6649069.97 93.29, 266045.87 6649070.05 93.28, 266045.88 6649070.14 93.28, 266045.9 6649070.22 93.28, 266045.93 6649070.29 93.28, 266045.95 6649070.38 93.27, 266046 6649070.45 93.27, 266046.05 6649070.52 93.27, 266046.09 6649070.59 93.27, 266046.16 6649070.65 93.27, 266046.23 6649070.71 93.27, 266046.29 6649070.76 93.26, 266046.37 6649070.81 93.26, 266046.44 6649070.84 93.26, 266046.52 6649070.87 93.26, 266046.6 6649070.9 93.26, 266046.69 6649070.91 93.26, 266046.77 6649070.92 93.26, 266046.86 6649070.92 93.26, 266046.94 6649070.92 93.26, 266047.39 6649070.84 93.27, 266047.86 6649070.78 93.28, 266048.32 6649070.71 93.29, 266048.77 6649070.63 93.29, 266049.23 6649070.55 93.3, 266074.37 6649065.76 93.92, 266075.02 6649065.63 93.93, 266075.67 6649065.5 93.94, 266076.32 6649065.36 93.95, 266076.96 6649065.21 93.96000000000001, 266077.61 6649065.05 93.97, 266078.26 6649064.89 93.99, 266078.9 6649064.74 94, 266079.54 6649064.57 94.01, 266079.62 6649064.54 94.01, 266079.7 6649064.5 94.01, 266079.78 6649064.46 94.01, 266079.84 6649064.42 94.01, 266079.92 6649064.36 94.01, 266079.97 6649064.31 94.01, 266080.03 6649064.24 94.02, 266080.08 6649064.18 94.02, 266080.13 6649064.1 94.02, 266080.16 6649064.03 94.02, 266080.19 6649063.94 94.02, 266080.21 6649063.86 94.02, 266080.24 6649063.78 94.02, 266080.24 6649063.7 94.02, 266080.24 6649063.61 94.02, 266080.23 6649063.53 94.02, 266080.22 6649063.44 94.02, 266080.2 6649063.36 94.02, 266080.17 6649063.28 94.02, 266080.13 6649063.21 94.02, 266080.09 6649063.13 94.01, 266080.04 6649063.06 94.01, 266079.99 6649063 94.01, 266079.93 6649062.93 94.01, 266079.86 6649062.88 94.01, 266079.79 6649062.84 94.01, 266079.72 6649062.79 94.01, 266079.64 6649062.76 94.01, 266079.56 6649062.74 94.01, 266079.48 6649062.71 94, 266079.39 6649062.7 94, 266079.3 6649062.7 94, 266079.22 6649062.7 94, 266079.13 6649062.7 94, 266079.06 6649062.72 94, 266078.97 6649062.75 94, 266078.46 6649062.93 93.99, 266077.95 6649063.09 93.98, 266077.45 6649063.26 93.97, 266076.93 6649063.42 93.97, 266076.42 6649063.56 93.96000000000001, 266075.9 6649063.7 93.95, 266075.38 6649063.83 93.94, 266074.86 6649063.96 93.93, 266074.33 6649064.08 93.93, 266073.8 6649064.18 93.92, 266073.28 6649064.29 93.91, 266072.75 6649064.38 93.9, 266072.22 6649064.47 93.89, 266056.91 6649067.04 93.54, 266055.76 6649067.23 93.51, 266054.61 6649067.44 93.48, 266053.46 6649067.64 93.46000000000001, 266052.32 6649067.85 93.43, 266051.17 6649068.08 93.41, 266050.03 6649068.31 93.38, 266048.89 6649068.55 93.36, 266047.75 6649068.79 93.34, 266046.61 6649069.04 93.32000000000001)</t>
  </si>
  <si>
    <t>POLYGON Z ((266046.61 6649069.04 93.32000000000001, 266046.53 6649069.06 93.32000000000001, 266046.45 6649069.09 93.32000000000001, 266046.37 6649069.13 93.32000000000001, 266046.3 6649069.18 93.32000000000001, 266046.23 6649069.22 93.31, 266046.17 6649069.28 93.31, 266046.1 6649069.34 93.31, 266046.05 6649069.41 93.31, 266046 6649069.47 93.3, 266045.96 6649069.55 93.3, 266045.93 6649069.63 93.3, 266045.9 6649069.71 93.29, 266045.88 6649069.8 93.29, 266045.87 6649069.88 93.29, 266045.87 6649069.97 93.29, 266045.87 6649070.05 93.28, 266045.88 6649070.14 93.28, 266045.9 6649070.22 93.28, 266045.93 6649070.29 93.28, 266045.95 6649070.38 93.27, 266046 6649070.45 93.27, 266046.05 6649070.52 93.27, 266046.09 6649070.59 93.27, 266046.16 6649070.65 93.27, 266046.23 6649070.71 93.27, 266046.29 6649070.76 93.26, 266046.37 6649070.81 93.26, 266046.44 6649070.84 93.26, 266046.52 6649070.87 93.26, 266046.6 6649070.9 93.26, 266046.69 6649070.91 93.26, 266046.77 6649070.92 93.26, 266046.86 6649070.92 93.26, 266046.94 6649070.92 93.26, 266047.39 6649070.84 93.27, 266047.86 6649070.78 93.28, 266048.32 6649070.71 93.29, 266048.77 6649070.63 93.29, 266049.23 6649070.55 93.3, 266074.37 6649065.76 93.92, 266075.02 6649065.63 93.93, 266075.67 6649065.5 93.94, 266076.32 6649065.36 93.95, 266076.96 6649065.21 93.96000000000001, 266077.61 6649065.05 93.97, 266078.26 6649064.89 93.99, 266078.9 6649064.74 94, 266079.54 6649064.57 94.01, 266079.62 6649064.54 94.01, 266079.7 6649064.5 94.01, 266079.78 6649064.46 94.01, 266079.84 6649064.42 94.01, 266079.92 6649064.36 94.01, 266079.97 6649064.31 94.01, 266080.03 6649064.24 94.02, 266080.08 6649064.18 94.02, 266080.13 6649064.1 94.02, 266080.16 6649064.03 94.02, 266080.19 6649063.94 94.02, 266080.21 6649063.86 94.02, 266080.24 6649063.78 94.02, 266080.24 6649063.7 94.02, 266080.24 6649063.61 94.02, 266080.23 6649063.53 94.02, 266080.22 6649063.44 94.02, 266080.2 6649063.36 94.02, 266080.17 6649063.28 94.02, 266080.13 6649063.21 94.02, 266080.09 6649063.13 94.01, 266080.04 6649063.06 94.01, 266079.99 6649063 94.01, 266079.93 6649062.93 94.01, 266079.86 6649062.88 94.01, 266079.79 6649062.84 94.01, 266079.72 6649062.79 94.01, 266079.64 6649062.76 94.01, 266079.56 6649062.74 94.01, 266079.48 6649062.71 94, 266079.39 6649062.7 94, 266079.3 6649062.7 94, 266079.22 6649062.7 94, 266079.13 6649062.7 94, 266079.06 6649062.72 94, 266078.97 6649062.75 94, 266078.46 6649062.93 93.99, 266077.95 6649063.09 93.98, 266077.45 6649063.26 93.97, 266076.93 6649063.42 93.97, 266076.42 6649063.56 93.96000000000001, 266075.9 6649063.7 93.95, 266075.38 6649063.83 93.94, 266074.86 6649063.96 93.93, 266074.33 6649064.08 93.93, 266073.8 6649064.18 93.92, 266073.28 6649064.29 93.91, 266072.75 6649064.38 93.9, 266072.22 6649064.47 93.89, 266056.91 6649067.04 93.54, 266055.76 6649067.23 93.51, 266054.61 6649067.44 93.48, 266053.46 6649067.64 93.46000000000001, 266052.32 6649067.85 93.43, 266051.17 6649068.08 93.41, 266050.03 6649068.31 93.38, 266048.89 6649068.55 93.36, 266047.75 6649068.79 93.34, 266046.61 6649069.04 93.32000000000001))</t>
  </si>
  <si>
    <t>[15359]</t>
  </si>
  <si>
    <t>['KV15359 S1D1 m6-32']</t>
  </si>
  <si>
    <t>LINESTRING Z (266537.01 6649127.57 90.03, 266535.26 6649125.28 90.07000000000001, 266534.57 6649124.33 90.18, 266534.08 6649123.62 90.13, 266533.89 6649123.37 90.11, 266533.25 6649122.39 90.18, 266532.63 6649121.39 90.22, 266532.04 6649120.37 90.26, 266531.46 6649119.35 90.27, 266530.92 6649118.3 90.3, 266530.4 6649117.24 90.37, 266529.92 6649116.27 90.39, 266529.02 6649114.75 90.52, 266528.44 6649113.93 90.55, 266527.98 6649113.51 90.58, 266527.56 6649113.23 90.59, 266527.07 6649113.04 90.59, 266526.36 6649112.9 90.61, 266525.88 6649112.87 90.60000000000001, 266525.38 6649112.93 90.64, 266525 6649113 90.67, 266524.72 6649113.12 90.7, 266524.31 6649113.43 90.7, 266524.09 6649113.95 90.72, 266524.08 6649114.33 90.72, 266524.27 6649114.75 90.67, 266532.25 6649124.93 90.22, 266535.26 6649128.77 90.05, 266535.86 6649129.54 90.01, 266539.36 6649133.16 89.91, 266539.5 6649133.23 89.96000000000001, 266539.67 6649133.28 89.94, 266539.84 6649133.28 89.99, 266540 6649133.26 90, 266540.15 6649133.19 89.96000000000001, 266540.3 6649133.1 89.99, 266540.41 6649132.98 90, 266540.49 6649132.83 90, 266540.55 6649132.68 89.99, 266540.57 6649132.5 89.99, 266540.55 6649132.34 89.99, 266540.49 6649132.18 89.93, 266537.01 6649127.57 90.03)</t>
  </si>
  <si>
    <t>POLYGON Z ((266537.01 6649127.57 90.03, 266535.26 6649125.28 90.07000000000001, 266534.57 6649124.33 90.18, 266534.08 6649123.62 90.13, 266533.89 6649123.37 90.11, 266533.25 6649122.39 90.18, 266532.63 6649121.39 90.22, 266532.04 6649120.37 90.26, 266531.46 6649119.35 90.27, 266530.92 6649118.3 90.3, 266530.4 6649117.24 90.37, 266529.92 6649116.27 90.39, 266529.02 6649114.75 90.52, 266528.44 6649113.93 90.55, 266527.98 6649113.51 90.58, 266527.56 6649113.23 90.59, 266527.07 6649113.04 90.59, 266526.36 6649112.9 90.61, 266525.88 6649112.87 90.60000000000001, 266525.38 6649112.93 90.64, 266525 6649113 90.67, 266524.72 6649113.12 90.7, 266524.31 6649113.43 90.7, 266524.09 6649113.95 90.72, 266524.08 6649114.33 90.72, 266524.27 6649114.75 90.67, 266532.25 6649124.93 90.22, 266535.26 6649128.77 90.05, 266535.86 6649129.54 90.01, 266539.36 6649133.16 89.91, 266539.5 6649133.23 89.96000000000001, 266539.67 6649133.28 89.94, 266539.84 6649133.28 89.99, 266540 6649133.26 90, 266540.15 6649133.19 89.96000000000001, 266540.3 6649133.1 89.99, 266540.41 6649132.98 90, 266540.49 6649132.83 90, 266540.55 6649132.68 89.99, 266540.57 6649132.5 89.99, 266540.55 6649132.34 89.99, 266540.49 6649132.18 89.93, 266537.01 6649127.57 90.03))</t>
  </si>
  <si>
    <t>['KV17852 S1D1 m524 KD1 m0-55']</t>
  </si>
  <si>
    <t>LINESTRING Z (266099.36 6649059.8 94.25, 266099.3 6649059.41 94.25, 266099.2 6649059.02 94.24, 266099.07 6649058.64 94.23, 266098.91 6649058.29 94.23, 266098.69 6649057.94 94.38, 266098.46 6649057.62 94.38, 266098.2 6649057.33 94.36, 266097.89 6649057.06 94.37, 266097.58 6649056.82 94.34, 266097.23 6649056.62 94.34, 266096.87 6649056.45 94.34, 266096.49 6649056.33 94.33, 266096.1 6649056.23 94.31, 266095.71 6649056.17 94.3, 266095.31 6649056.16 94.3, 266094.91 6649056.19 94.3, 266094.51 6649056.25 94.27, 266094.13 6649056.36 94.26, 266093.76 6649056.5 94.29, 266093.41 6649056.68 94.27, 266093.06 6649056.9 94.29, 266092.75 6649057.14 94.28, 266092.46 6649057.41 94.29, 266092.2 6649057.72 94.28, 266091.97 6649058.05 94.28, 266091.78 6649058.39 94.28, 266091.63 6649058.77 94.28, 266091.5 6649059.14 94.28, 266091.42 6649059.53 94.28, 266091.38 6649059.92 94.29, 266091.38 6649060.33 94.29, 266091.41 6649060.72 94.3, 266091.49 6649061.12 94.3, 266091.6 6649061.5 94.31, 266091.75 6649061.87 94.31, 266091.94 6649062.22 94.31, 266092.16 6649062.56 94.32000000000001, 266092.41 6649062.86 94.32000000000001, 266092.7 6649063.14 94.33, 266093 6649063.39 94.33, 266093.34 6649063.61 94.34, 266093.69 6649063.79 94.35000000000001, 266094.07 6649063.95 94.35000000000001, 266094.45 6649064.06 94.36, 266094.84 6649064.13 94.37, 266095.23 6649064.17 94.38, 266095.63 6649064.16 94.17, 266096.03 6649064.11 94.17, 266096.42 6649064.03 94.18, 266096.8 6649063.9 94.19, 266097.16 6649063.74 94.2, 266097.52 6649063.55 94.21000000000001, 266097.84 6649063.32 94.22, 266098.14 6649063.06 94.23, 266098.41 6649062.76 94.24, 266098.66 6649062.45 94.25, 266098.87 6649062.11 94.25, 266099.04 6649061.75 94.26, 266099.19 6649061.37 94.27, 266099.28 6649060.99 94.26, 266099.35 6649060.6 94.26, 266099.37 6649060.2 94.26, 266099.36 6649059.8 94.25)</t>
  </si>
  <si>
    <t>POLYGON Z ((266099.36 6649059.8 94.25, 266099.3 6649059.41 94.25, 266099.2 6649059.02 94.24, 266099.07 6649058.64 94.23, 266098.91 6649058.29 94.23, 266098.69 6649057.94 94.38, 266098.46 6649057.62 94.38, 266098.2 6649057.33 94.36, 266097.89 6649057.06 94.37, 266097.58 6649056.82 94.34, 266097.23 6649056.62 94.34, 266096.87 6649056.45 94.34, 266096.49 6649056.33 94.33, 266096.1 6649056.23 94.31, 266095.71 6649056.17 94.3, 266095.31 6649056.16 94.3, 266094.91 6649056.19 94.3, 266094.51 6649056.25 94.27, 266094.13 6649056.36 94.26, 266093.76 6649056.5 94.29, 266093.41 6649056.68 94.27, 266093.06 6649056.9 94.29, 266092.75 6649057.14 94.28, 266092.46 6649057.41 94.29, 266092.2 6649057.72 94.28, 266091.97 6649058.05 94.28, 266091.78 6649058.39 94.28, 266091.63 6649058.77 94.28, 266091.5 6649059.14 94.28, 266091.42 6649059.53 94.28, 266091.38 6649059.92 94.29, 266091.38 6649060.33 94.29, 266091.41 6649060.72 94.3, 266091.49 6649061.12 94.3, 266091.6 6649061.5 94.31, 266091.75 6649061.87 94.31, 266091.94 6649062.22 94.31, 266092.16 6649062.56 94.32000000000001, 266092.41 6649062.86 94.32000000000001, 266092.7 6649063.14 94.33, 266093 6649063.39 94.33, 266093.34 6649063.61 94.34, 266093.69 6649063.79 94.35000000000001, 266094.07 6649063.95 94.35000000000001, 266094.45 6649064.06 94.36, 266094.84 6649064.13 94.37, 266095.23 6649064.17 94.38, 266095.63 6649064.16 94.17, 266096.03 6649064.11 94.17, 266096.42 6649064.03 94.18, 266096.8 6649063.9 94.19, 266097.16 6649063.74 94.2, 266097.52 6649063.55 94.21000000000001, 266097.84 6649063.32 94.22, 266098.14 6649063.06 94.23, 266098.41 6649062.76 94.24, 266098.66 6649062.45 94.25, 266098.87 6649062.11 94.25, 266099.04 6649061.75 94.26, 266099.19 6649061.37 94.27, 266099.28 6649060.99 94.26, 266099.35 6649060.6 94.26, 266099.37 6649060.2 94.26, 266099.36 6649059.8 94.25))</t>
  </si>
  <si>
    <t>['KV17852 S1D1 m391-423']</t>
  </si>
  <si>
    <t>LINESTRING Z (265962.43 6649092.97 92.17, 265987.33 6649085.96 92.47, 265987.41 6649085.93 92.48, 265987.48 6649085.9 92.48, 265987.54 6649085.86 92.48, 265987.6 6649085.81 92.48, 265987.66 6649085.77 92.48, 265987.71 6649085.71 92.48, 265987.76 6649085.65 92.49, 265987.79 6649085.58 92.49, 265987.82 6649085.52 92.49, 265987.85 6649085.45 92.49, 265987.87 6649085.38 92.5, 265987.87 6649085.3 92.5, 265987.88 6649085.23 92.5, 265987.88 6649085.14 92.5, 265987.86 6649085.08 92.5, 265987.85 6649085 92.51, 265987.82 6649084.93 92.51, 265987.78 6649084.86 92.51, 265987.74 6649084.8 92.51, 265987.69 6649084.74 92.51, 265987.65 6649084.68 92.52, 265987.58 6649084.64 92.52, 265987.52 6649084.59 92.52, 265987.46 6649084.56 92.52, 265987.39 6649084.53 92.52, 265987.32 6649084.5 92.52, 265987.24 6649084.49 92.52, 265987.17 6649084.49 92.52, 265987.09 6649084.48 92.52, 265987.02 6649084.49 92.52, 265986.94 6649084.51 92.52, 265961.92 6649091.05 92.22, 265959.03 6649091.81 92.19, 265957.58 6649092.19 92.17, 265957.49 6649092.21 92.17, 265957.41 6649092.24 92.17, 265957.33 6649092.28 92.17, 265957.26 6649092.33 92.17, 265957.18 6649092.39 92.17, 265957.12 6649092.44 92.16, 265957.06 6649092.51 92.16, 265957.01 6649092.57 92.16, 265956.97 6649092.65 92.16, 265956.92 6649092.72 92.15, 265956.89 6649092.8 92.15, 265956.86 6649092.89 92.15, 265956.84 6649092.97 92.15, 265956.83 6649093.06 92.14, 265956.82 6649093.15 92.14, 265956.83 6649093.23 92.14, 265956.84 6649093.32 92.14, 265956.85 6649093.41 92.13, 265956.88 6649093.49 92.13, 265956.92 6649093.56 92.13, 265956.96 6649093.65 92.13, 265957 6649093.72 92.12, 265957.06 6649093.79 92.12, 265957.12 6649093.86 92.12, 265957.18 6649093.91 92.12, 265957.25 6649093.97 92.12, 265957.32 6649094.02 92.11, 265957.39 6649094.05 92.11, 265957.48 6649094.09 92.11, 265957.56 6649094.12 92.11, 265957.64 6649094.14 92.11, 265957.73 6649094.14 92.11, 265957.82 6649094.16 92.11, 265957.91 6649094.15 92.11, 265958 6649094.14 92.11, 265958.07 6649094.12 92.11, 265959.53 6649093.74 92.13, 265962.02 6649093.09 92.16, 265962.43 6649092.97 92.17)</t>
  </si>
  <si>
    <t>POLYGON Z ((265962.43 6649092.97 92.17, 265987.33 6649085.96 92.47, 265987.41 6649085.93 92.48, 265987.48 6649085.9 92.48, 265987.54 6649085.86 92.48, 265987.6 6649085.81 92.48, 265987.66 6649085.77 92.48, 265987.71 6649085.71 92.48, 265987.76 6649085.65 92.49, 265987.79 6649085.58 92.49, 265987.82 6649085.52 92.49, 265987.85 6649085.45 92.49, 265987.87 6649085.38 92.5, 265987.87 6649085.3 92.5, 265987.88 6649085.23 92.5, 265987.88 6649085.14 92.5, 265987.86 6649085.08 92.5, 265987.85 6649085 92.51, 265987.82 6649084.93 92.51, 265987.78 6649084.86 92.51, 265987.74 6649084.8 92.51, 265987.69 6649084.74 92.51, 265987.65 6649084.68 92.52, 265987.58 6649084.64 92.52, 265987.52 6649084.59 92.52, 265987.46 6649084.56 92.52, 265987.39 6649084.53 92.52, 265987.32 6649084.5 92.52, 265987.24 6649084.49 92.52, 265987.17 6649084.49 92.52, 265987.09 6649084.48 92.52, 265987.02 6649084.49 92.52, 265986.94 6649084.51 92.52, 265961.92 6649091.05 92.22, 265959.03 6649091.81 92.19, 265957.58 6649092.19 92.17, 265957.49 6649092.21 92.17, 265957.41 6649092.24 92.17, 265957.33 6649092.28 92.17, 265957.26 6649092.33 92.17, 265957.18 6649092.39 92.17, 265957.12 6649092.44 92.16, 265957.06 6649092.51 92.16, 265957.01 6649092.57 92.16, 265956.97 6649092.65 92.16, 265956.92 6649092.72 92.15, 265956.89 6649092.8 92.15, 265956.86 6649092.89 92.15, 265956.84 6649092.97 92.15, 265956.83 6649093.06 92.14, 265956.82 6649093.15 92.14, 265956.83 6649093.23 92.14, 265956.84 6649093.32 92.14, 265956.85 6649093.41 92.13, 265956.88 6649093.49 92.13, 265956.92 6649093.56 92.13, 265956.96 6649093.65 92.13, 265957 6649093.72 92.12, 265957.06 6649093.79 92.12, 265957.12 6649093.86 92.12, 265957.18 6649093.91 92.12, 265957.25 6649093.97 92.12, 265957.32 6649094.02 92.11, 265957.39 6649094.05 92.11, 265957.48 6649094.09 92.11, 265957.56 6649094.12 92.11, 265957.64 6649094.14 92.11, 265957.73 6649094.14 92.11, 265957.82 6649094.16 92.11, 265957.91 6649094.15 92.11, 265958 6649094.14 92.11, 265958.07 6649094.12 92.11, 265959.53 6649093.74 92.13, 265962.02 6649093.09 92.16, 265962.43 6649092.97 92.17))</t>
  </si>
  <si>
    <t>['KV17852 S1D1 m129-194']</t>
  </si>
  <si>
    <t>LINESTRING Z (265764.53 6649119.94 89.69, 265764.81 6649120 89.69, 265765.05 6649119.96 89.69, 265765.22 6649119.88 89.69, 265765.33 6649119.78 89.69, 265765.4 6649119.67 89.68, 265765.42 6649119.51 89.67, 265765.41 6649119.35 89.67, 265765.32 6649119.17 89.65, 265765.17 6649119.04 89.65, 265764.98 6649118.94 89.64, 265753.79 6649115.42 89.36, 265753.18 6649115.24 89.34, 265752.56 6649115.05 89.33, 265751.94 6649114.88 89.32000000000001, 265751.32 6649114.7 89.3, 265750.7 6649114.54 89.29, 265750.07 6649114.38 89.27, 265749.44 6649114.23 89.26, 265748.82 6649114.09 89.24, 265702.55 6649103.77 88.13, 265702.17 6649103.75 88.13, 265701.96 6649103.84 88.13, 265701.81 6649103.92 88.13, 265701.73 6649104.05 88.13, 265701.68 6649104.16 88.13, 265701.7 6649104.37 88.14, 265701.76 6649104.52 88.15, 265701.91 6649104.68 88.15, 265702.09 6649104.78 88.16, 265713.26 6649108.26 88.46000000000001, 265713.89 6649108.45 88.48, 265714.5 6649108.63 88.5, 265715.12 6649108.81 88.51, 265715.74 6649108.98 88.53, 265716.37 6649109.14 88.54, 265717 6649109.29 88.56, 265717.62 6649109.45 88.57000000000001, 265718.25 6649109.59 88.59, 265764.53 6649119.94 89.69)</t>
  </si>
  <si>
    <t>POLYGON Z ((265764.53 6649119.94 89.69, 265764.81 6649120 89.69, 265765.05 6649119.96 89.69, 265765.22 6649119.88 89.69, 265765.33 6649119.78 89.69, 265765.4 6649119.67 89.68, 265765.42 6649119.51 89.67, 265765.41 6649119.35 89.67, 265765.32 6649119.17 89.65, 265765.17 6649119.04 89.65, 265764.98 6649118.94 89.64, 265753.79 6649115.42 89.36, 265753.18 6649115.24 89.34, 265752.56 6649115.05 89.33, 265751.94 6649114.88 89.32000000000001, 265751.32 6649114.7 89.3, 265750.7 6649114.54 89.29, 265750.07 6649114.38 89.27, 265749.44 6649114.23 89.26, 265748.82 6649114.09 89.24, 265702.55 6649103.77 88.13, 265702.17 6649103.75 88.13, 265701.96 6649103.84 88.13, 265701.81 6649103.92 88.13, 265701.73 6649104.05 88.13, 265701.68 6649104.16 88.13, 265701.7 6649104.37 88.14, 265701.76 6649104.52 88.15, 265701.91 6649104.68 88.15, 265702.09 6649104.78 88.16, 265713.26 6649108.26 88.46000000000001, 265713.89 6649108.45 88.48, 265714.5 6649108.63 88.5, 265715.12 6649108.81 88.51, 265715.74 6649108.98 88.53, 265716.37 6649109.14 88.54, 265717 6649109.29 88.56, 265717.62 6649109.45 88.57000000000001, 265718.25 6649109.59 88.59, 265764.53 6649119.94 89.69))</t>
  </si>
  <si>
    <t>['RV9 S11D1 m5302-5308']</t>
  </si>
  <si>
    <t>LINESTRING Z (84531.54708279873 6543622.898717734 205.20000000000002, 84531.2380949239 6543622.661346145 205.20000000000002, 84530.33396177518 6543622.420441807 205.20000000000002, 84529.45520668139 6543622.136357308 205.21, 84529.02282783948 6543622.235457943 205.19, 84528.85177220427 6543622.5067353435 205.18, 84528.87596237031 6543623.885034451 205.16, 84528.82778967009 6543625.694863208 205.12, 84528.6645152357 6543627.467253425 205.09, 84528.51741125318 6543628.219695486 205.09, 84528.60543659568 6543628.643241262 205.08, 84528.938681425 6543628.827478488 205.09, 84529.31245623308 6543628.745058791 205.08, 84529.52767716598 6543628.418404771 205.09, 84529.84247337584 6543627.36482273 205.1, 84530.3858081164 6543626.013328133 205.13, 84531.06374511519 6543624.42490325 205.15, 84531.5609442505 6543623.290294636 205.20000000000002, 84531.54708279873 6543622.898717734 205.20000000000002)</t>
  </si>
  <si>
    <t>POLYGON Z ((84531.54708279873 6543622.898717734 205.20000000000002, 84531.2380949239 6543622.661346145 205.20000000000002, 84530.33396177518 6543622.420441807 205.20000000000002, 84529.45520668139 6543622.136357308 205.21, 84529.02282783948 6543622.235457943 205.19, 84528.85177220427 6543622.5067353435 205.18, 84528.87596237031 6543623.885034451 205.16, 84528.82778967009 6543625.694863208 205.12, 84528.6645152357 6543627.467253425 205.09, 84528.51741125318 6543628.219695486 205.09, 84528.60543659568 6543628.643241262 205.08, 84528.938681425 6543628.827478488 205.09, 84529.31245623308 6543628.745058791 205.08, 84529.52767716598 6543628.418404771 205.09, 84529.84247337584 6543627.36482273 205.1, 84530.3858081164 6543626.013328133 205.13, 84531.06374511519 6543624.42490325 205.15, 84531.5609442505 6543623.290294636 205.20000000000002, 84531.54708279873 6543622.898717734 205.20000000000002))</t>
  </si>
  <si>
    <t>['RV9 S11D1 m5297 KD1 m57-59']</t>
  </si>
  <si>
    <t>LINESTRING Z (84516.30349173007 6543599.253134185 205.19, 84516.74833899213 6543599.354238658 205.16, 84517.04122324684 6543599.180125011 205.18, 84517.49483477132 6543597.748011658 205.19, 84518.03368550143 6543596.356700278 205.19, 84517.99879464449 6543595.957411376 205.19, 84517.68532228848 6543595.680222888 205.17000000000002, 84515.83836021152 6543595.212852322 205.14000000000001, 84514.08533441799 6543594.684499503 205.11, 84512.3332937808 6543594.075391976 205.05, 84510.653038794 6543593.387636053 205.01, 84509.69115072663 6543592.991948764 205.01, 84509.30517936236 6543593.055581072 205, 84509.08435263112 6543593.332464105 205.02, 84509.1646658919 6543593.777039518 205.03, 84509.4901987781 6543593.982306421 205.08, 84510.20000453404 6543594.466868154 205.07, 84511.8332745799 6543595.542973611 205.08, 84513.27741490764 6543596.640380428 205.12, 84514.85907952994 6543597.974309687 205.14000000000001, 84516.29353753553 6543599.2542553125 205.17000000000002, 84516.30349173007 6543599.253134185 205.19)</t>
  </si>
  <si>
    <t>POLYGON Z ((84516.30349173007 6543599.253134185 205.19, 84516.74833899213 6543599.354238658 205.16, 84517.04122324684 6543599.180125011 205.18, 84517.49483477132 6543597.748011658 205.19, 84518.03368550143 6543596.356700278 205.19, 84517.99879464449 6543595.957411376 205.19, 84517.68532228848 6543595.680222888 205.17000000000002, 84515.83836021152 6543595.212852322 205.14000000000001, 84514.08533441799 6543594.684499503 205.11, 84512.3332937808 6543594.075391976 205.05, 84510.653038794 6543593.387636053 205.01, 84509.69115072663 6543592.991948764 205.01, 84509.30517936236 6543593.055581072 205, 84509.08435263112 6543593.332464105 205.02, 84509.1646658919 6543593.777039518 205.03, 84509.4901987781 6543593.982306421 205.08, 84510.20000453404 6543594.466868154 205.07, 84511.8332745799 6543595.542973611 205.08, 84513.27741490764 6543596.640380428 205.12, 84514.85907952994 6543597.974309687 205.14000000000001, 84516.29353753553 6543599.2542553125 205.17000000000002, 84516.30349173007 6543599.253134185 205.19))</t>
  </si>
  <si>
    <t>['RV9 S11D1 m5297 KD1 m0-88']</t>
  </si>
  <si>
    <t>LINESTRING Z (84525.11580830452 6543600.165823459 205.32, 84524.44191397494 6543602.237655195 205.37, 84524.24106457224 6543604.03443835 205.36, 84524.4170480154 6543606.312963508 205.33, 84524.97859494254 6543608.255729689 205.33, 84525.9305977039 6543610.174680254 205.34, 84527.34134259581 6543611.870595363 205.32, 84529.11662137852 6543613.223039511 205.32, 84531.07066773821 6543614.283176712 205.32, 84533.21414909401 6543614.787713461 205.32, 84535.33381479356 6543614.901794433 205.31, 84537.5346764379 6543614.573270472 205.33, 84539.471564735 6543613.780534812 205.32, 84541.194522587 6543612.69939954 205.32, 84542.7608969534 6543611.212520665 205.31, 84543.94411966729 6543609.456301363 205.33, 84544.7587654108 6543607.560146112 205.34, 84545.16600261268 6543605.447784743 205.33, 84545.13274128741 6543603.183426885 205.32, 84544.64508653508 6543601.091212268 205.34, 84543.94010451873 6543599.396452003 205.34, 84542.78592683119 6543597.651479345 205.33, 84540.79783929349 6543596.020589612 205.33, 84538.75196335971 6543594.950633894 205.32, 84537.27962574939 6543594.229380345 205.32, 84535.13865872915 6543593.926169255 205.33, 84532.83027120895 6543594.105515787 205.34, 84530.56910686457 6543594.793647306 205.34, 84528.2627583596 6543596.333626852 205.35, 84526.62558303855 6543597.8183994 205.33, 84525.63977885363 6543599.179406677 205.36, 84525.11580830452 6543600.165823459 205.32)</t>
  </si>
  <si>
    <t>POLYGON Z ((84525.11580830452 6543600.165823459 205.32, 84524.44191397494 6543602.237655195 205.37, 84524.24106457224 6543604.03443835 205.36, 84524.4170480154 6543606.312963508 205.33, 84524.97859494254 6543608.255729689 205.33, 84525.9305977039 6543610.174680254 205.34, 84527.34134259581 6543611.870595363 205.32, 84529.11662137852 6543613.223039511 205.32, 84531.07066773821 6543614.283176712 205.32, 84533.21414909401 6543614.787713461 205.32, 84535.33381479356 6543614.901794433 205.31, 84537.5346764379 6543614.573270472 205.33, 84539.471564735 6543613.780534812 205.32, 84541.194522587 6543612.69939954 205.32, 84542.7608969534 6543611.212520665 205.31, 84543.94411966729 6543609.456301363 205.33, 84544.7587654108 6543607.560146112 205.34, 84545.16600261268 6543605.447784743 205.33, 84545.13274128741 6543603.183426885 205.32, 84544.64508653508 6543601.091212268 205.34, 84543.94010451873 6543599.396452003 205.34, 84542.78592683119 6543597.651479345 205.33, 84540.79783929349 6543596.020589612 205.33, 84538.75196335971 6543594.950633894 205.32, 84537.27962574939 6543594.229380345 205.32, 84535.13865872915 6543593.926169255 205.33, 84532.83027120895 6543594.105515787 205.34, 84530.56910686457 6543594.793647306 205.34, 84528.2627583596 6543596.333626852 205.35, 84526.62558303855 6543597.8183994 205.33, 84525.63977885363 6543599.179406677 205.36, 84525.11580830452 6543600.165823459 205.32))</t>
  </si>
  <si>
    <t>['RV9 S11D1 m5297 KD1 m4-21']</t>
  </si>
  <si>
    <t>LINESTRING Z (84559.50863765588 6543611.785877155 205, 84559.54301820666 6543611.106614034 205, 84559.21035082254 6543610.569495653 205.04, 84558.18622387049 6543609.979209454 205.07, 84556.71922017343 6543609.126309563 205.1, 84555.3562428726 6543608.302015135 205.13, 84553.81816678063 6543607.265591209 205.18, 84553.4707552885 6543607.224076005 205.19, 84553.17128035211 6543607.429173309 205.19, 84552.95323983417 6543608.088799999 205.19, 84552.74739576533 6543608.767213946 205.18, 84552.15622681822 6543610.678521008 205.18, 84551.79726518207 6543611.787479332 205.18, 84551.85767011304 6543612.234296782 205.17000000000002, 84552.16217338393 6543612.431851592 205.18, 84554.27847527276 6543612.51607002 205.1, 84556.59960251185 6543612.71834568 205.08, 84558.22828495438 6543612.948208185 205.01, 84558.79876524472 6543612.732748808 205, 84559.22428123688 6543612.483214272 205, 84559.50863765588 6543611.785877155 205)</t>
  </si>
  <si>
    <t>POLYGON Z ((84559.50863765588 6543611.785877155 205, 84559.54301820666 6543611.106614034 205, 84559.21035082254 6543610.569495653 205.04, 84558.18622387049 6543609.979209454 205.07, 84556.71922017343 6543609.126309563 205.1, 84555.3562428726 6543608.302015135 205.13, 84553.81816678063 6543607.265591209 205.18, 84553.4707552885 6543607.224076005 205.19, 84553.17128035211 6543607.429173309 205.19, 84552.95323983417 6543608.088799999 205.19, 84552.74739576533 6543608.767213946 205.18, 84552.15622681822 6543610.678521008 205.18, 84551.79726518207 6543611.787479332 205.18, 84551.85767011304 6543612.234296782 205.17000000000002, 84552.16217338393 6543612.431851592 205.18, 84554.27847527276 6543612.51607002 205.1, 84556.59960251185 6543612.71834568 205.08, 84558.22828495438 6543612.948208185 205.01, 84558.79876524472 6543612.732748808 205, 84559.22428123688 6543612.483214272 205, 84559.50863765588 6543611.785877155 205))</t>
  </si>
  <si>
    <t>['RV9 S11D1 m5279-5293']</t>
  </si>
  <si>
    <t>LINESTRING Z (84536.88468132558 6543585.352652524 205.15, 84536.88970955333 6543585.755304723 205.17000000000002, 84537.24411971163 6543586.037962885 205.20000000000002, 84538.83872720983 6543586.412790216 205.19, 84541.3209226334 6543587.060627008 205.20000000000002, 84541.76101339736 6543586.940497037 205.19, 84541.93641767761 6543586.618327653 205.17000000000002, 84541.73604185792 6543584.302228366 205.13, 84541.63463060558 6543582.327799044 205.1, 84541.63204691547 6543577.650755463 205, 84541.95669475378 6543572.836051764 204.92000000000002, 84541.87539641466 6543572.472231149 204.91, 84541.60958883975 6543572.2602375 204.95000000000002, 84541.25558649679 6543572.249705863 204.91, 84540.95512624207 6543572.535557745 204.91, 84539.68680052226 6543577.295258953 205, 84538.28614863305 6543581.596082248 205.06, 84537.72317677835 6543583.131236436 205.09, 84536.88468132558 6543585.352652524 205.15)</t>
  </si>
  <si>
    <t>POLYGON Z ((84536.88468132558 6543585.352652524 205.15, 84536.88970955333 6543585.755304723 205.17000000000002, 84537.24411971163 6543586.037962885 205.20000000000002, 84538.83872720983 6543586.412790216 205.19, 84541.3209226334 6543587.060627008 205.20000000000002, 84541.76101339736 6543586.940497037 205.19, 84541.93641767761 6543586.618327653 205.17000000000002, 84541.73604185792 6543584.302228366 205.13, 84541.63463060558 6543582.327799044 205.1, 84541.63204691547 6543577.650755463 205, 84541.95669475378 6543572.836051764 204.92000000000002, 84541.87539641466 6543572.472231149 204.91, 84541.60958883975 6543572.2602375 204.95000000000002, 84541.25558649679 6543572.249705863 204.91, 84540.95512624207 6543572.535557745 204.91, 84539.68680052226 6543577.295258953 205, 84538.28614863305 6543581.596082248 205.06, 84537.72317677835 6543583.131236436 205.09, 84536.88468132558 6543585.352652524 205.15))</t>
  </si>
  <si>
    <t>['EV134 S3D1 m16562-16622']</t>
  </si>
  <si>
    <t>LINESTRING Z (-25770.333511400386 6635979.447753723 65.11, -25770.67360434623 6635979.191141242 65.053, -25770.98496086488 6635978.975605722 65.047, -25772.118382749264 6635977.770369964 64.94, -25772.401639095275 6635977.550862072 64.948, -25772.744860439794 6635977.2721223105 64.921, -25773.096485650167 6635977.0961340945 64.885, -25773.497419272782 6635977.017395177 64.864, -25773.943605266395 6635977.024047354 64.826, -25774.279537362396 6635977.161816034 64.808, -25774.630421185866 6635977.4371164385 64.832, -25774.896367711714 6635977.745548787 64.855, -25775.025232242187 6635978.091026286 64.883, -25775.086947611067 6635978.506004866 64.901, -25774.940084174625 6635978.936636357 64.921, -25774.697387838736 6635979.274726296 64.959, -25774.356366669643 6635979.497352749 64.986, -25773.971021144534 6635979.668573853 65.025, -25772.857797775418 6635980.041586941 65.092, -25765.162690834957 6635982.531045585 65.365, -25759.700876027928 6635984.388300018 65.528, -25753.18014163291 6635986.76167374 65.694, -25746.761798093794 6635989.26237933 65.842, -25741.425108102732 6635991.532312695 65.957, -25737.17290361831 6635993.470306867 66.018, -25732.214918404818 6635995.940486789 66.07, -25727.16384115105 6635998.623208949 66.132, -25720.991348619456 6636002.061487914 66.21, -25716.003915290697 6636005.024053514 66.238, -25709.137440421968 6636009.357313096 66.236, -25703.332677209866 6636013.276416051 66.188, -25697.65933611081 6636017.3608044125 66.162, -25691.15341534186 6636022.185159491 65.926, -25684.66495722113 6636027.169977977 65.798, -25679.2607316816 6636031.540690165 65.65, -25673.000182415708 6636036.738293197 65.438, -25665.207457917975 6636043.570045796 65.074, -25656.541229160503 6636051.350401425 64.78, -25654.334261969896 6636053.216429863 64.685, -25653.96798885695 6636053.333932517 64.672, -25653.520544029656 6636053.417392881 64.628, -25653.137800125056 6636053.205309255 64.601, -25652.849372909288 6636052.8937086165 64.61, -25652.73956162529 6636052.49450574 64.586, -25652.79492764396 6636052.062225051 64.552, -25653.007017282536 6636051.697234651 64.537, -25653.679355640314 6636051.239308736 64.545, -25655.739426185726 6636050.007034252 64.587, -25656.65566982492 6636049.324032526 64.588, -25659.205846761237 6636047.179255892 64.659, -25671.759534807177 6636036.066405103 65.126, -25677.87020036392 6636030.915323582 65.435, -25684.140391777153 6636025.933499498 65.883, -25691.5001470492 6636020.2593310755 66.012, -25698.046046255622 6636015.3954877155 65.892, -25703.823042615084 6636011.34832071 66.071, -25712.460213767015 6636005.64033483 66.146, -25721.47639538534 6636000.211634862 66.157, -25729.384515672806 6635995.890217836 66.116, -25735.594115862856 6635992.716745383 65.968, -25741.86422497302 6635989.8452398395 65.851, -25747.23556575959 6635987.614059353 65.763, -25754.83364397753 6635984.715883749 65.535, -25762.540028786403 6635982.024873883 65.313, -25770.288550844998 6635979.441397783 65.128)</t>
  </si>
  <si>
    <t>POLYGON Z ((-25770.333511400386 6635979.447753723 65.11, -25770.67360434623 6635979.191141242 65.053, -25770.98496086488 6635978.975605722 65.047, -25772.118382749264 6635977.770369964 64.94, -25772.401639095275 6635977.550862072 64.948, -25772.744860439794 6635977.2721223105 64.921, -25773.096485650167 6635977.0961340945 64.885, -25773.497419272782 6635977.017395177 64.864, -25773.943605266395 6635977.024047354 64.826, -25774.279537362396 6635977.161816034 64.808, -25774.630421185866 6635977.4371164385 64.832, -25774.896367711714 6635977.745548787 64.855, -25775.025232242187 6635978.091026286 64.883, -25775.086947611067 6635978.506004866 64.901, -25774.940084174625 6635978.936636357 64.921, -25774.697387838736 6635979.274726296 64.959, -25774.356366669643 6635979.497352749 64.986, -25773.971021144534 6635979.668573853 65.025, -25772.857797775418 6635980.041586941 65.092, -25765.162690834957 6635982.531045585 65.365, -25759.700876027928 6635984.388300018 65.528, -25753.18014163291 6635986.76167374 65.694, -25746.761798093794 6635989.26237933 65.842, -25741.425108102732 6635991.532312695 65.957, -25737.17290361831 6635993.470306867 66.018, -25732.214918404818 6635995.940486789 66.07, -25727.16384115105 6635998.623208949 66.132, -25720.991348619456 6636002.061487914 66.21, -25716.003915290697 6636005.024053514 66.238, -25709.137440421968 6636009.357313096 66.236, -25703.332677209866 6636013.276416051 66.188, -25697.65933611081 6636017.3608044125 66.162, -25691.15341534186 6636022.185159491 65.926, -25684.66495722113 6636027.169977977 65.798, -25679.2607316816 6636031.540690165 65.65, -25673.000182415708 6636036.738293197 65.438, -25665.207457917975 6636043.570045796 65.074, -25656.541229160503 6636051.350401425 64.78, -25654.334261969896 6636053.216429863 64.685, -25653.96798885695 6636053.333932517 64.672, -25653.520544029656 6636053.417392881 64.628, -25653.137800125056 6636053.205309255 64.601, -25652.849372909288 6636052.8937086165 64.61, -25652.73956162529 6636052.49450574 64.586, -25652.79492764396 6636052.062225051 64.552, -25653.007017282536 6636051.697234651 64.537, -25653.679355640314 6636051.239308736 64.545, -25655.739426185726 6636050.007034252 64.587, -25656.65566982492 6636049.324032526 64.588, -25659.205846761237 6636047.179255892 64.659, -25671.759534807177 6636036.066405103 65.126, -25677.87020036392 6636030.915323582 65.435, -25684.140391777153 6636025.933499498 65.883, -25691.5001470492 6636020.2593310755 66.012, -25698.046046255622 6636015.3954877155 65.892, -25703.823042615084 6636011.34832071 66.071, -25712.460213767015 6636005.64033483 66.146, -25721.47639538534 6636000.211634862 66.157, -25729.384515672806 6635995.890217836 66.116, -25735.594115862856 6635992.716745383 65.968, -25741.86422497302 6635989.8452398395 65.851, -25747.23556575959 6635987.614059353 65.763, -25754.83364397753 6635984.715883749 65.535, -25762.540028786403 6635982.024873883 65.313, -25770.288550844998 6635979.441397783 65.128, -25770.333511400386 6635979.447753723 65.11))</t>
  </si>
  <si>
    <t>['EV134 S3D1 m16537-16539']</t>
  </si>
  <si>
    <t>LINESTRING Z (-25791.826300033485 6635970.3098442 64.093, -25792.990692346822 6635970.102057433 64.01, -25794.151903065736 6635970.11951806 63.971, -25795.35616540932 6635970.278483515 63.975, -25798.80782523204 6635970.800312097 63.935, -25799.885953754536 6635970.91887729 63.832, -25799.945811517537 6635971.265885037 63.867, -25799.123607436428 6635971.567185704 63.919, -25795.073352088802 6635972.360051871 64.199, -25792.787328650244 6635972.838093737 64.267, -25792.099769726512 6635972.876309839 64.278, -25791.410355302505 6635972.8465546975 64.279, -25790.973951414577 6635972.446314046 64.206, -25790.816059657955 6635972.062877625 64.193, -25790.772187025053 6635971.481148358 64.143, -25790.979362564278 6635970.867201256 64.104, -25791.340082562878 6635970.545797258 64.076, -25791.812567986548 6635970.2853331845 64.006)</t>
  </si>
  <si>
    <t>POLYGON Z ((-25791.826300033485 6635970.3098442 64.093, -25792.990692346822 6635970.102057433 64.01, -25794.151903065736 6635970.11951806 63.971, -25795.35616540932 6635970.278483515 63.975, -25798.80782523204 6635970.800312097 63.935, -25799.885953754536 6635970.91887729 63.832, -25799.945811517537 6635971.265885037 63.867, -25799.123607436428 6635971.567185704 63.919, -25795.073352088802 6635972.360051871 64.199, -25792.787328650244 6635972.838093737 64.267, -25792.099769726512 6635972.876309839 64.278, -25791.410355302505 6635972.8465546975 64.279, -25790.973951414577 6635972.446314046 64.206, -25790.816059657955 6635972.062877625 64.193, -25790.772187025053 6635971.481148358 64.143, -25790.979362564278 6635970.867201256 64.104, -25791.340082562878 6635970.545797258 64.076, -25791.812567986548 6635970.2853331845 64.006, -25791.826300033485 6635970.3098442 64.093))</t>
  </si>
  <si>
    <t>['EV39 S47D1 m5366-5369']</t>
  </si>
  <si>
    <t>LINESTRING Z (27998.18341686396 6896436.23111753 6.370018276274204, 27999.118762266182 6896436.979827501 6.370018238089979, 27999.404018789297 6896437.124475747 6.370018223188818, 27999.687912987138 6896437.037700144 6.3800181989744305, 27999.894303270674 6896436.76684317 6.390018171034754, 27999.88274208625 6896436.425625203 6.35001815892756, 27999.38891950983 6896435.444621072 6.320018153339625, 27998.192470978305 6896436.220209081 6.39001827441156, 27998.18341686396 6896436.23111753 6.370018276274204)</t>
  </si>
  <si>
    <t>POLYGON Z ((27998.18341686396 6896436.23111753 6.370018276274204, 27999.118762266182 6896436.979827501 6.370018238089979, 27999.404018789297 6896437.124475747 6.370018223188818, 27999.687912987138 6896437.037700144 6.3800181989744305, 27999.894303270674 6896436.76684317 6.390018171034754, 27999.88274208625 6896436.425625203 6.35001815892756, 27999.38891950983 6896435.444621072 6.320018153339625, 27998.192470978305 6896436.220209081 6.39001827441156, 27998.18341686396 6896436.23111753 6.370018276274204))</t>
  </si>
  <si>
    <t>[1310]</t>
  </si>
  <si>
    <t>['KV1310 S1D1 m114-119']</t>
  </si>
  <si>
    <t>LINESTRING Z (27996.22671690944 6896433.916159482 6.420018322840333, 27997.579866926593 6896432.985071644 6.350018183141947, 27996.68772019673 6896432.051135521 6.390018210150302, 27995.87749564578 6896431.240465892 6.380018235296011, 27995.364798386116 6896430.814922493 6.420018253922462, 27995.093941414787 6896430.608532186 6.410018266029656, 27994.741814982088 6896430.611039243 6.400018291175366, 27994.52358905581 6896430.862860817 6.4000183181837205, 27994.48617097753 6896431.218695928 6.410018335878849, 27994.566456393048 6896431.432721158 6.420018338672817, 27995.19167240977 6896432.31091342 6.410018330290914, 27996.18771894439 6896433.929849442 6.400018325634301, 27996.216735625872 6896433.917086652 6.4200183237716555, 27996.22671690944 6896433.916159482 6.420018322840333)</t>
  </si>
  <si>
    <t>POLYGON Z ((27996.22671690944 6896433.916159482 6.420018322840333, 27997.579866926593 6896432.985071644 6.350018183141947, 27996.68772019673 6896432.051135521 6.390018210150302, 27995.87749564578 6896431.240465892 6.380018235296011, 27995.364798386116 6896430.814922493 6.420018253922462, 27995.093941414787 6896430.608532186 6.410018266029656, 27994.741814982088 6896430.611039243 6.400018291175366, 27994.52358905581 6896430.862860817 6.4000183181837205, 27994.48617097753 6896431.218695928 6.410018335878849, 27994.566456393048 6896431.432721158 6.420018338672817, 27995.19167240977 6896432.31091342 6.410018330290914, 27996.18771894439 6896433.929849442 6.400018325634301, 27996.216735625872 6896433.917086652 6.4200183237716555, 27996.22671690944 6896433.916159482 6.420018322840333))</t>
  </si>
  <si>
    <t>[7536]</t>
  </si>
  <si>
    <t>['FV7536 S1D1 m9-18']</t>
  </si>
  <si>
    <t>LINESTRING Z (545053.29 7548230.44 7.140000000000001, 545053.39 7548230.19 7.16, 545053.5700000001 7548230.04 7.18, 545054.06 7548229.91 7.19, 545055.17 7548229.71 7.25, 545056.3 7548229.55 7.3, 545057.71 7548229.4 7.34, 545059.25 7548229.390000001 7.42, 545060.81 7548229.47 7.5, 545061.6 7548229.5600000005 7.5600000000000005, 545061.74 7548229.640000001 7.58, 545061.88 7548229.890000001 7.58, 545061.89 7548230.09 7.59, 545061.74 7548230.43 7.57, 545061.39 7548230.54 7.5600000000000005, 545060.97 7548230.58 7.5200000000000005, 545060.16 7548230.67 7.48, 545059.27 7548230.76 7.44, 545058.0700000001 7548230.87 7.36, 545056.63 7548230.96 7.3, 545055.3 7548230.99 7.22, 545054.1900000001 7548230.99 7.16, 545053.5700000001 7548230.95 7.13, 545053.33 7548230.7 7.140000000000001, 545053.29 7548230.44 7.140000000000001)</t>
  </si>
  <si>
    <t>POLYGON Z ((545053.29 7548230.44 7.140000000000001, 545053.39 7548230.19 7.16, 545053.5700000001 7548230.04 7.18, 545054.06 7548229.91 7.19, 545055.17 7548229.71 7.25, 545056.3 7548229.55 7.3, 545057.71 7548229.4 7.34, 545059.25 7548229.390000001 7.42, 545060.81 7548229.47 7.5, 545061.6 7548229.5600000005 7.5600000000000005, 545061.74 7548229.640000001 7.58, 545061.88 7548229.890000001 7.58, 545061.89 7548230.09 7.59, 545061.74 7548230.43 7.57, 545061.39 7548230.54 7.5600000000000005, 545060.97 7548230.58 7.5200000000000005, 545060.16 7548230.67 7.48, 545059.27 7548230.76 7.44, 545058.0700000001 7548230.87 7.36, 545056.63 7548230.96 7.3, 545055.3 7548230.99 7.22, 545054.1900000001 7548230.99 7.16, 545053.5700000001 7548230.95 7.13, 545053.33 7548230.7 7.140000000000001, 545053.29 7548230.44 7.140000000000001))</t>
  </si>
  <si>
    <t>['FV560 S1D1 m7710-7720']</t>
  </si>
  <si>
    <t>LINESTRING Z (-47484.72200013511 6724818.4247887535 19.420817, -47485.13123714831 6724817.610179299 19.299765, -47485.495050893514 6724816.745574413 19.215656, -47485.73955632595 6724815.940292148 19.138778, -47485.846299241064 6724815.470674008 19.096821, -47485.872376614134 6724815.004927514 19.05056, -47485.803174561355 6724814.667820242 19.017782, -47485.61516904808 6724814.486383028 18.998654, -47485.34575763985 6724814.437828451 18.984524, -47484.58486462745 6724814.315587049 18.907184, -47483.30950844276 6724814.12752021 18.769682, -47482.37589707319 6724813.964064878 18.6897, -47480.90484256775 6724813.652793218 18.550574, -47479.740971199935 6724813.350127507 18.436051, -47478.6013265372 6724812.977580785 18.307689, -47477.797678149655 6724812.698359607 18.218321, -47477.44214686297 6724812.565697506 18.165397, -47477.21443963866 6724812.572587262 18.147969, -47476.86585589696 6724812.920030335 18.162547, -47476.37952429848 6724813.4599979045 18.18872, -47476.694068497396 6724813.645526577 18.295065, -47478.35176395427 6724814.523532545 18.656374, -47479.90136405232 6724815.552542631 18.915624, -47481.16363845009 6724816.537308859 19.086925, -47482.05821506225 6724817.098096142 19.312648, -47482.81306360918 6724817.498780362 19.388051, -47483.196267925436 6724817.856074326 19.455552, -47483.57874557143 6724818.001594014 19.511218, -47484.37134429964 6724818.274205574 19.520122, -47484.55340346915 6724818.333546098 19.508694)</t>
  </si>
  <si>
    <t>POLYGON Z ((-47484.72200013511 6724818.4247887535 19.420817, -47485.13123714831 6724817.610179299 19.299765, -47485.495050893514 6724816.745574413 19.215656, -47485.73955632595 6724815.940292148 19.138778, -47485.846299241064 6724815.470674008 19.096821, -47485.872376614134 6724815.004927514 19.05056, -47485.803174561355 6724814.667820242 19.017782, -47485.61516904808 6724814.486383028 18.998654, -47485.34575763985 6724814.437828451 18.984524, -47484.58486462745 6724814.315587049 18.907184, -47483.30950844276 6724814.12752021 18.769682, -47482.37589707319 6724813.964064878 18.6897, -47480.90484256775 6724813.652793218 18.550574, -47479.740971199935 6724813.350127507 18.436051, -47478.6013265372 6724812.977580785 18.307689, -47477.797678149655 6724812.698359607 18.218321, -47477.44214686297 6724812.565697506 18.165397, -47477.21443963866 6724812.572587262 18.147969, -47476.86585589696 6724812.920030335 18.162547, -47476.37952429848 6724813.4599979045 18.18872, -47476.694068497396 6724813.645526577 18.295065, -47478.35176395427 6724814.523532545 18.656374, -47479.90136405232 6724815.552542631 18.915624, -47481.16363845009 6724816.537308859 19.086925, -47482.05821506225 6724817.098096142 19.312648, -47482.81306360918 6724817.498780362 19.388051, -47483.196267925436 6724817.856074326 19.455552, -47483.57874557143 6724818.001594014 19.511218, -47484.37134429964 6724818.274205574 19.520122, -47484.55340346915 6724818.333546098 19.508694, -47484.72200013511 6724818.4247887535 19.420817))</t>
  </si>
  <si>
    <t>['FV560 S1D1 m7727-7735']</t>
  </si>
  <si>
    <t>LINESTRING Z (-47494.437904140796 6724819.7403323995 19.492944, -47495.496442194446 6724820.977580181 19.585181, -47496.94562145241 6724822.684371313 19.579324, -47498.4427096931 6724824.479329623 19.597891, -47499.20162990177 6724825.329387055 19.602919, -47499.13595001178 6724825.39906762 19.61504, -47497.56185599184 6724824.576236326 19.60159, -47495.80028848478 6724823.682695118 19.642361, -47494.17363019928 6724822.846991299 19.6513, -47493.25838919589 6724822.378964575 19.679345, -47493.03542353853 6724822.253651618 19.683921, -47492.878179179505 6724822.099549302 19.6694, -47492.71580893395 6724821.932484236 19.667291, -47492.70001989696 6724821.637612401 19.675819, -47492.826289697085 6724821.3124715015 19.668129, -47493.157974724076 6724820.9703525165 19.657167, -47493.944680520566 6724820.214250561 19.617988, -47494.392847304465 6724819.779965997 19.519913)</t>
  </si>
  <si>
    <t>POLYGON Z ((-47494.437904140796 6724819.7403323995 19.492944, -47495.496442194446 6724820.977580181 19.585181, -47496.94562145241 6724822.684371313 19.579324, -47498.4427096931 6724824.479329623 19.597891, -47499.20162990177 6724825.329387055 19.602919, -47499.13595001178 6724825.39906762 19.61504, -47497.56185599184 6724824.576236326 19.60159, -47495.80028848478 6724823.682695118 19.642361, -47494.17363019928 6724822.846991299 19.6513, -47493.25838919589 6724822.378964575 19.679345, -47493.03542353853 6724822.253651618 19.683921, -47492.878179179505 6724822.099549302 19.6694, -47492.71580893395 6724821.932484236 19.667291, -47492.70001989696 6724821.637612401 19.675819, -47492.826289697085 6724821.3124715015 19.668129, -47493.157974724076 6724820.9703525165 19.657167, -47493.944680520566 6724820.214250561 19.617988, -47494.392847304465 6724819.779965997 19.519913, -47494.437904140796 6724819.7403323995 19.492944))</t>
  </si>
  <si>
    <t>2025-02-21</t>
  </si>
  <si>
    <t>[3452]</t>
  </si>
  <si>
    <t>['FV3452 S1D1 m4-10']</t>
  </si>
  <si>
    <t>LINESTRING Z (165012.29 6523124.13 29.98, 165013.47 6523121.67 29.97, 165014.03 6523120.67 29.97, 165014.83000000002 6523119.25 29.96, 165014.89 6523118.92 29.96, 165014.82 6523118.73 29.96, 165014.68 6523118.59 29.96, 165014.54 6523118.49 29.96, 165012.09 6523117.67 29.96, 165011.79 6523117.72 29.96, 165011.66999999998 6523117.83 29.96, 165011.59 6523117.91 29.96, 165011.52000000002 6523118.14 29.96, 165011.26 6523120.7 29.96, 165011.03 6523122.51 30, 165010.81 6523123.5 29.98, 165012.29 6523124.13 29.98)</t>
  </si>
  <si>
    <t>POLYGON Z ((165012.29 6523124.13 29.98, 165013.47 6523121.67 29.97, 165014.03 6523120.67 29.97, 165014.83000000002 6523119.25 29.96, 165014.89 6523118.92 29.96, 165014.82 6523118.73 29.96, 165014.68 6523118.59 29.96, 165014.54 6523118.49 29.96, 165012.09 6523117.67 29.96, 165011.79 6523117.72 29.96, 165011.66999999998 6523117.83 29.96, 165011.59 6523117.91 29.96, 165011.52000000002 6523118.14 29.96, 165011.26 6523120.7 29.96, 165011.03 6523122.51 30, 165010.81 6523123.5 29.98, 165012.29 6523124.13 29.98))</t>
  </si>
  <si>
    <t>[416]</t>
  </si>
  <si>
    <t>['FV416 S1D1 m17224-17231']</t>
  </si>
  <si>
    <t>LINESTRING Z (155086.31 6525370.17 44.61, 155086.57 6525369.2 44.61, 155086.78 6525369 44.61, 155087 6525368.79 44.61, 155087.61 6525368.65 44.61, 155088.91 6525368.94 44.61, 155090.89 6525369.7 44.61, 155092.46 6525370.46 44.6, 155093.08000000002 6525370.93 44.550000000000004, 155093.39 6525371.22 44.53, 155093.45 6525371.51 44.51, 155093.06 6525372.35 44.51, 155092.58000000002 6525372.59 44.51, 155091.45 6525372.31 44.51, 155089.79 6525372.05 44.52, 155087.93 6525372.1 44.59, 155086.81 6525372 44.61, 155086.48 6525371.79 44.62, 155086.25 6525371.51 44.62, 155086.11 6525371.13 44.62, 155086.31 6525370.17 44.61)</t>
  </si>
  <si>
    <t>POLYGON Z ((155086.31 6525370.17 44.61, 155086.57 6525369.2 44.61, 155086.78 6525369 44.61, 155087 6525368.79 44.61, 155087.61 6525368.65 44.61, 155088.91 6525368.94 44.61, 155090.89 6525369.7 44.61, 155092.46 6525370.46 44.6, 155093.08000000002 6525370.93 44.550000000000004, 155093.39 6525371.22 44.53, 155093.45 6525371.51 44.51, 155093.06 6525372.35 44.51, 155092.58000000002 6525372.59 44.51, 155091.45 6525372.31 44.51, 155089.79 6525372.05 44.52, 155087.93 6525372.1 44.59, 155086.81 6525372 44.61, 155086.48 6525371.79 44.62, 155086.25 6525371.51 44.62, 155086.11 6525371.13 44.62, 155086.31 6525370.17 44.61))</t>
  </si>
  <si>
    <t>[418]</t>
  </si>
  <si>
    <t>['FV418 S1D1 m10823-10834']</t>
  </si>
  <si>
    <t>LINESTRING Z (158077.21 6535231.69 98.16, 158077.52 6535232.08 98.16, 158077.8 6535232.29 98.17, 158078.02 6535232.31 98.17, 158078.22 6535232.16 98.17, 158079.72 6535230.97 98.17, 158080.71 6535230.32 98.18, 158080.99 6535230.09 98.17, 158081.12 6535229.7 98.13, 158080.94 6535229.41 98.11, 158079.32 6535228.47 98.09, 158077.86 6535227.34 98.03, 158076.47 6535226.07 97.98, 158075.13 6535224.53 97.95, 158074.22 6535223.24 97.94, 158074.03 6535222.96 97.94, 158073.9 6535222.81 97.94, 158073.62 6535222.82 97.93, 158073.45 6535222.96 97.93, 158073.32 6535223.07 97.93, 158073.17 6535223.36 97.93, 158073.3 6535223.87 97.93, 158075.33000000002 6535228.27 98.01, 158076.49 6535230.37 98.05, 158077.21 6535231.69 98.16)</t>
  </si>
  <si>
    <t>POLYGON Z ((158077.21 6535231.69 98.16, 158077.52 6535232.08 98.16, 158077.8 6535232.29 98.17, 158078.02 6535232.31 98.17, 158078.22 6535232.16 98.17, 158079.72 6535230.97 98.17, 158080.71 6535230.32 98.18, 158080.99 6535230.09 98.17, 158081.12 6535229.7 98.13, 158080.94 6535229.41 98.11, 158079.32 6535228.47 98.09, 158077.86 6535227.34 98.03, 158076.47 6535226.07 97.98, 158075.13 6535224.53 97.95, 158074.22 6535223.24 97.94, 158074.03 6535222.96 97.94, 158073.9 6535222.81 97.94, 158073.62 6535222.82 97.93, 158073.45 6535222.96 97.93, 158073.32 6535223.07 97.93, 158073.17 6535223.36 97.93, 158073.3 6535223.87 97.93, 158075.33000000002 6535228.27 98.01, 158076.49 6535230.37 98.05, 158077.21 6535231.69 98.16))</t>
  </si>
  <si>
    <t>[422]</t>
  </si>
  <si>
    <t>['FV422 S2D1 m3039-3051']</t>
  </si>
  <si>
    <t>LINESTRING Z (144595.17 6503893.52 16.25, 144595.65 6503892 16.25, 144596.98 6503889.43 16.25, 144597.84 6503888.3 16.25, 144599.45 6503886.75 16.25, 144601.16 6503885.53 16.25, 144602.17 6503885.12 16.25, 144602.43 6503885.12 16.25, 144602.74 6503885.41 16.25, 144602.94 6503885.82 16.25, 144602.99 6503886.17 16.25, 144602.74 6503886.65 16.25, 144600.59 6503889.47 16.25, 144596.8 6503894.18 16.25, 144596.32 6503894.58 16.25, 144596.04 6503894.6 16.25, 144595.8 6503894.57 16.25, 144595.63 6503894.5 16.25, 144595.38 6503894.27 16.25, 144595.26 6503894.13 16.25, 144595.17 6503893.52 16.25)</t>
  </si>
  <si>
    <t>POLYGON Z ((144595.17 6503893.52 16.25, 144595.65 6503892 16.25, 144596.98 6503889.43 16.25, 144597.84 6503888.3 16.25, 144599.45 6503886.75 16.25, 144601.16 6503885.53 16.25, 144602.17 6503885.12 16.25, 144602.43 6503885.12 16.25, 144602.74 6503885.41 16.25, 144602.94 6503885.82 16.25, 144602.99 6503886.17 16.25, 144602.74 6503886.65 16.25, 144600.59 6503889.47 16.25, 144596.8 6503894.18 16.25, 144596.32 6503894.58 16.25, 144596.04 6503894.6 16.25, 144595.8 6503894.57 16.25, 144595.63 6503894.5 16.25, 144595.38 6503894.27 16.25, 144595.26 6503894.13 16.25, 144595.17 6503893.52 16.25))</t>
  </si>
  <si>
    <t>[417]</t>
  </si>
  <si>
    <t>['FV417 S2D1 m5946-5958']</t>
  </si>
  <si>
    <t>LINESTRING Z (147779.87 6528813.32 178.69, 147780.18 6528813.58 178.66, 147780.8 6528813.92 178.6, 147784.96 6528816.09 178.54, 147786.29 6528816.55 178.52, 147790.8 6528817.24 178.5, 147791.36 6528817.13 178.49, 147791.68 6528816.75 178.48, 147791.73 6528816.31 178.48, 147791.54 6528815.91 178.48, 147791.11 6528815.57 178.48, 147786.24 6528813.3 178.61, 147785.2 6528812.98 178.61, 147780.8 6528812.04 178.65, 147780.4 6528812.15 178.65, 147779.98 6528812.57 178.69, 147779.83000000002 6528812.86 178.70000000000002, 147779.87 6528813.32 178.69)</t>
  </si>
  <si>
    <t>POLYGON Z ((147779.87 6528813.32 178.69, 147780.18 6528813.58 178.66, 147780.8 6528813.92 178.6, 147784.96 6528816.09 178.54, 147786.29 6528816.55 178.52, 147790.8 6528817.24 178.5, 147791.36 6528817.13 178.49, 147791.68 6528816.75 178.48, 147791.73 6528816.31 178.48, 147791.54 6528815.91 178.48, 147791.11 6528815.57 178.48, 147786.24 6528813.3 178.61, 147785.2 6528812.98 178.61, 147780.8 6528812.04 178.65, 147780.4 6528812.15 178.65, 147779.98 6528812.57 178.69, 147779.83000000002 6528812.86 178.70000000000002, 147779.87 6528813.32 178.69))</t>
  </si>
  <si>
    <t>['FV416 S1D1 m8-21']</t>
  </si>
  <si>
    <t>LINESTRING Z (145148.35 6528397.01 173.14000000000001, 145150.56 6528396.96 173.14000000000001, 145153 6528396.34 173.14000000000001, 145155.19 6528395.21 173.14000000000001, 145157.9 6528393.17 173.14000000000001, 145158.62 6528392.61 173.14000000000001, 145158.85 6528392.28 173.14000000000001, 145158.91 6528392.01 173.14000000000001, 145158.83 6528391.72 173.14000000000001, 145158.63 6528391.52 173.14000000000001, 145158.35 6528391.31 173.14000000000001, 145158.02 6528391.24 173.14000000000001, 145157.78 6528391.23 173.14000000000001, 145153.73 6528392.31 173.14000000000001, 145150.07 6528393.54 173.14000000000001, 145148.36 6528394.59 173.14000000000001, 145147.67 6528395.31 173.14000000000001, 145147.43 6528395.81 173.14000000000001, 145147.37 6528396.17 173.14000000000001, 145147.45 6528396.39 173.14000000000001, 145147.66 6528396.65 173.14000000000001, 145148.35 6528397.01 173.14000000000001)</t>
  </si>
  <si>
    <t>POLYGON Z ((145148.35 6528397.01 173.14000000000001, 145150.56 6528396.96 173.14000000000001, 145153 6528396.34 173.14000000000001, 145155.19 6528395.21 173.14000000000001, 145157.9 6528393.17 173.14000000000001, 145158.62 6528392.61 173.14000000000001, 145158.85 6528392.28 173.14000000000001, 145158.91 6528392.01 173.14000000000001, 145158.83 6528391.72 173.14000000000001, 145158.63 6528391.52 173.14000000000001, 145158.35 6528391.31 173.14000000000001, 145158.02 6528391.24 173.14000000000001, 145157.78 6528391.23 173.14000000000001, 145153.73 6528392.31 173.14000000000001, 145150.07 6528393.54 173.14000000000001, 145148.36 6528394.59 173.14000000000001, 145147.67 6528395.31 173.14000000000001, 145147.43 6528395.81 173.14000000000001, 145147.37 6528396.17 173.14000000000001, 145147.45 6528396.39 173.14000000000001, 145147.66 6528396.65 173.14000000000001, 145148.35 6528397.01 173.14000000000001))</t>
  </si>
  <si>
    <t>[3454]</t>
  </si>
  <si>
    <t>['FV3454 S1D1 m3906-3911']</t>
  </si>
  <si>
    <t>LINESTRING Z (164881.58000000002 6523037.34 33.18, 164881.89 6523037.36 33.18, 164882.11 6523037.3 33.18, 164882.3 6523037.15 33.18, 164882.63 6523036.56 33.21, 164884.15 6523033.37 33.32, 164881.9 6523032.56 33.31, 164881.12 6523036.16 33.24, 164881.14 6523036.73 33.21, 164881.25 6523037.03 33.19, 164881.58000000002 6523037.34 33.18)</t>
  </si>
  <si>
    <t>POLYGON Z ((164881.58000000002 6523037.34 33.18, 164881.89 6523037.36 33.18, 164882.11 6523037.3 33.18, 164882.3 6523037.15 33.18, 164882.63 6523036.56 33.21, 164884.15 6523033.37 33.32, 164881.9 6523032.56 33.31, 164881.12 6523036.16 33.24, 164881.14 6523036.73 33.21, 164881.25 6523037.03 33.19, 164881.58000000002 6523037.34 33.18))</t>
  </si>
  <si>
    <t>['FV3454 S1D1 m3097 KD1 m0-59']</t>
  </si>
  <si>
    <t>LINESTRING Z (165511.14 6522786.33 71.87, 165511.04 6522785.37 71.87, 165511.11 6522784.33 71.87, 165511.37 6522783.24 71.89, 165511.86 6522782.17 71.9, 165512.57 6522781.18 71.93, 165513.47 6522780.35 71.95, 165514.52000000002 6522779.72 71.98, 165515.64 6522779.32 72.01, 165516.77000000002 6522779.15 72.04, 165517.84 6522779.19 72.06, 165518.82 6522779.39 72.09, 165519.7 6522779.73 72.11, 165520.58000000002 6522780.24 72.13, 165521.41999999998 6522780.95 72.15, 165522.15 6522781.84 72.16, 165522.72 6522782.9 72.17, 165523.07 6522784.09 72.17, 165523.16999999998 6522785.32 72.17, 165523.03 6522786.5 72.16, 165522.66999999998 6522787.61 72.15, 165522.15 6522788.57 72.13, 165521.52000000002 6522789.37 72.11, 165520.82 6522790.01 72.09, 165519.98 6522790.55 72.06, 165519 6522790.97 72.04, 165517.89 6522791.22 72.01, 165516.69 6522791.26 71.98, 165515.49 6522791.05 71.95, 165514.34 6522790.6 71.93, 165513.32 6522789.95 71.9, 165512.47 6522789.13 71.89, 165511.84 6522788.21 71.87, 165511.4 6522787.26 71.87, 165511.14 6522786.33 71.87)</t>
  </si>
  <si>
    <t>POLYGON Z ((165511.14 6522786.33 71.87, 165511.04 6522785.37 71.87, 165511.11 6522784.33 71.87, 165511.37 6522783.24 71.89, 165511.86 6522782.17 71.9, 165512.57 6522781.18 71.93, 165513.47 6522780.35 71.95, 165514.52000000002 6522779.72 71.98, 165515.64 6522779.32 72.01, 165516.77000000002 6522779.15 72.04, 165517.84 6522779.19 72.06, 165518.82 6522779.39 72.09, 165519.7 6522779.73 72.11, 165520.58000000002 6522780.24 72.13, 165521.41999999998 6522780.95 72.15, 165522.15 6522781.84 72.16, 165522.72 6522782.9 72.17, 165523.07 6522784.09 72.17, 165523.16999999998 6522785.32 72.17, 165523.03 6522786.5 72.16, 165522.66999999998 6522787.61 72.15, 165522.15 6522788.57 72.13, 165521.52000000002 6522789.37 72.11, 165520.82 6522790.01 72.09, 165519.98 6522790.55 72.06, 165519 6522790.97 72.04, 165517.89 6522791.22 72.01, 165516.69 6522791.26 71.98, 165515.49 6522791.05 71.95, 165514.34 6522790.6 71.93, 165513.32 6522789.95 71.9, 165512.47 6522789.13 71.89, 165511.84 6522788.21 71.87, 165511.4 6522787.26 71.87, 165511.14 6522786.33 71.87))</t>
  </si>
  <si>
    <t>['FV3452 S1D1 m14-16']</t>
  </si>
  <si>
    <t>LINESTRING Z (165009.91999999998 6523126.98 30.09, 165009.52000000002 6523128.47 30.09, 165009.56 6523128.73 30.09, 165009.64 6523128.86 30.09, 165009.76 6523128.94 30.09, 165009.89 6523128.97 30.09, 165010.22 6523128.97 30.09, 165010.34 6523128.88 30.09, 165010.46 6523128.74 30.09, 165011.05 6523127.28 30.09, 165009.91999999998 6523126.98 30.09)</t>
  </si>
  <si>
    <t>POLYGON Z ((165009.91999999998 6523126.98 30.09, 165009.52000000002 6523128.47 30.09, 165009.56 6523128.73 30.09, 165009.64 6523128.86 30.09, 165009.76 6523128.94 30.09, 165009.89 6523128.97 30.09, 165010.22 6523128.97 30.09, 165010.34 6523128.88 30.09, 165010.46 6523128.74 30.09, 165011.05 6523127.28 30.09, 165009.91999999998 6523126.98 30.09))</t>
  </si>
  <si>
    <t>['FV416 S1D1 m15655-15661']</t>
  </si>
  <si>
    <t>LINESTRING Z (154827.59 6526488.82 93.97, 154828.22 6526489.1 94.05, 154828.99 6526489.56 94.05, 154829.49 6526489.88 94.06, 154829.77 6526489.94 94.07000000000001, 154829.98 6526489.87 94.07000000000001, 154830.14 6526489.66 94.04, 154831.91 6526484.6 93.73, 154831.85 6526484.3 93.73, 154831.63 6526484.04 93.73, 154831.32 6526483.86 93.73, 154831.04 6526483.82 93.73, 154830.83000000002 6526483.84 93.73, 154830.57 6526484.06 93.73, 154827.48 6526488.24 93.98, 154827.39 6526488.46 93.98, 154827.59 6526488.82 93.97)</t>
  </si>
  <si>
    <t>POLYGON Z ((154827.59 6526488.82 93.97, 154828.22 6526489.1 94.05, 154828.99 6526489.56 94.05, 154829.49 6526489.88 94.06, 154829.77 6526489.94 94.07000000000001, 154829.98 6526489.87 94.07000000000001, 154830.14 6526489.66 94.04, 154831.91 6526484.6 93.73, 154831.85 6526484.3 93.73, 154831.63 6526484.04 93.73, 154831.32 6526483.86 93.73, 154831.04 6526483.82 93.73, 154830.83000000002 6526483.84 93.73, 154830.57 6526484.06 93.73, 154827.48 6526488.24 93.98, 154827.39 6526488.46 93.98, 154827.59 6526488.82 93.97))</t>
  </si>
  <si>
    <t>[411]</t>
  </si>
  <si>
    <t>['FV411 S1D1 m9-19']</t>
  </si>
  <si>
    <t>LINESTRING Z (159499.81 6523306.48 3.79, 159499.61 6523308.85 3.79, 159499.17 6523310.94 3.7800000000000002, 159498.41 6523312.37 3.91, 159497.93 6523312.75 3.91, 159497.56 6523312.74 3.92, 159497.35 6523312.6 3.94, 159497.07 6523312.28 3.94, 159496.77 6523311.27 3.95, 159496.77 6523308.95 3.92, 159497.23 6523306.12 3.85, 159498.06 6523303.83 3.73, 159498.88 6523302.67 3.66, 159499.32 6523302.36 3.66, 159499.59 6523302.5 3.66, 159499.81 6523303.12 3.66, 159499.87 6523304.36 3.66, 159499.81 6523306.48 3.79)</t>
  </si>
  <si>
    <t>POLYGON Z ((159499.81 6523306.48 3.79, 159499.61 6523308.85 3.79, 159499.17 6523310.94 3.7800000000000002, 159498.41 6523312.37 3.91, 159497.93 6523312.75 3.91, 159497.56 6523312.74 3.92, 159497.35 6523312.6 3.94, 159497.07 6523312.28 3.94, 159496.77 6523311.27 3.95, 159496.77 6523308.95 3.92, 159497.23 6523306.12 3.85, 159498.06 6523303.83 3.73, 159498.88 6523302.67 3.66, 159499.32 6523302.36 3.66, 159499.59 6523302.5 3.66, 159499.81 6523303.12 3.66, 159499.87 6523304.36 3.66, 159499.81 6523306.48 3.79))</t>
  </si>
  <si>
    <t>['FV416 S1D10 m500-510']</t>
  </si>
  <si>
    <t>LINESTRING Z (155081.79 6526893.59 105.22, 155081.68 6526893.21 105.22, 155081.34 6526893.03 105.22, 155081.13 6526893.03 105.22, 155078.97 6526893.09 105.2, 155076.95 6526893.09 105.22, 155075.3 6526892.93 105.21000000000001, 155073.54 6526892.61 105.2, 155072.75 6526892.49 105.19, 155072.46 6526892.57 105.19, 155072.28 6526892.75 105.18, 155072.19 6526893.01 105.19, 155072.21 6526893.22 105.19, 155072.41 6526893.51 105.19, 155073.19 6526893.91 105.2, 155076.28 6526895.38 105.24000000000001, 155078.86 6526896.72 105.29, 155079.93 6526897.36 105.32000000000001, 155080.24 6526897.38 105.32000000000001, 155080.59 6526897.16 105.34, 155080.81 6526896.52 105.3, 155081.28 6526895.02 105.26, 155081.79 6526893.59 105.22)</t>
  </si>
  <si>
    <t>POLYGON Z ((155081.79 6526893.59 105.22, 155081.68 6526893.21 105.22, 155081.34 6526893.03 105.22, 155081.13 6526893.03 105.22, 155078.97 6526893.09 105.2, 155076.95 6526893.09 105.22, 155075.3 6526892.93 105.21000000000001, 155073.54 6526892.61 105.2, 155072.75 6526892.49 105.19, 155072.46 6526892.57 105.19, 155072.28 6526892.75 105.18, 155072.19 6526893.01 105.19, 155072.21 6526893.22 105.19, 155072.41 6526893.51 105.19, 155073.19 6526893.91 105.2, 155076.28 6526895.38 105.24000000000001, 155078.86 6526896.72 105.29, 155079.93 6526897.36 105.32000000000001, 155080.24 6526897.38 105.32000000000001, 155080.59 6526897.16 105.34, 155080.81 6526896.52 105.3, 155081.28 6526895.02 105.26, 155081.79 6526893.59 105.22))</t>
  </si>
  <si>
    <t>['FV416 S1D1 m16428-16441']</t>
  </si>
  <si>
    <t>LINESTRING Z (155339.89 6526090.3 58.92, 155337.91 6526091.34 58.81, 155336.03 6526092.46 58.69, 155334.51 6526093.56 58.58, 155333.62 6526094.42 58.53, 155333.07 6526095.22 58.49, 155332.9 6526095.86 58.49, 155333.05 6526096.37 58.47, 155333.28 6526096.54 58.45, 155333.7 6526096.49 58.45, 155337.08000000002 6526095.1 58.620000000000005, 155339.77 6526093.84 58.75, 155341.16 6526093.07 58.86, 155341.86 6526092.49 58.88, 155343.57 6526090.68 59.01, 155343.69 6526090.4 59.02, 155343.63 6526090.1 59.04, 155343.38 6526089.77 59.04, 155343 6526089.38 59.04, 155342.75 6526089.25 59.04, 155342.43 6526089.26 59.03, 155339.89 6526090.3 58.92)</t>
  </si>
  <si>
    <t>POLYGON Z ((155339.89 6526090.3 58.92, 155337.91 6526091.34 58.81, 155336.03 6526092.46 58.69, 155334.51 6526093.56 58.58, 155333.62 6526094.42 58.53, 155333.07 6526095.22 58.49, 155332.9 6526095.86 58.49, 155333.05 6526096.37 58.47, 155333.28 6526096.54 58.45, 155333.7 6526096.49 58.45, 155337.08000000002 6526095.1 58.620000000000005, 155339.77 6526093.84 58.75, 155341.16 6526093.07 58.86, 155341.86 6526092.49 58.88, 155343.57 6526090.68 59.01, 155343.69 6526090.4 59.02, 155343.63 6526090.1 59.04, 155343.38 6526089.77 59.04, 155343 6526089.38 59.04, 155342.75 6526089.25 59.04, 155342.43 6526089.26 59.03, 155339.89 6526090.3 58.92))</t>
  </si>
  <si>
    <t>['FV416 S2D1 m11006-11008']</t>
  </si>
  <si>
    <t>LINESTRING Z (164994.26 6523087.99 30.05, 164994.76 6523087.07 30.05, 164993.79 6523086.4 30.05, 164993.47 6523086.38 30.05, 164993.29 6523086.49 30.05, 164993.19 6523086.6 30.05, 164993.13 6523086.73 30.05, 164993.08000000002 6523086.96 30.05, 164993.15 6523087.12 30.05, 164993.26 6523087.24 30.05, 164994.26 6523087.99 30.05)</t>
  </si>
  <si>
    <t>POLYGON Z ((164994.26 6523087.99 30.05, 164994.76 6523087.07 30.05, 164993.79 6523086.4 30.05, 164993.47 6523086.38 30.05, 164993.29 6523086.49 30.05, 164993.19 6523086.6 30.05, 164993.13 6523086.73 30.05, 164993.08000000002 6523086.96 30.05, 164993.15 6523087.12 30.05, 164993.26 6523087.24 30.05, 164994.26 6523087.99 30.05))</t>
  </si>
  <si>
    <t>['FV3454 S1D1 m3898-3902']</t>
  </si>
  <si>
    <t>LINESTRING Z (164885.81 6523030.15 33.410000000000004, 164886.96 6523026.71 33.56, 164886.99 6523026.4 33.58, 164886.84 6523026.2 33.59, 164886.57 6523025.97 33.59, 164886.31 6523025.9 33.59, 164886.05 6523025.94 33.59, 164885.95 6523026.05 33.54, 164883.7 6523029.42 33.4, 164885.81 6523030.15 33.410000000000004)</t>
  </si>
  <si>
    <t>POLYGON Z ((164885.81 6523030.15 33.410000000000004, 164886.96 6523026.71 33.56, 164886.99 6523026.4 33.58, 164886.84 6523026.2 33.59, 164886.57 6523025.97 33.59, 164886.31 6523025.9 33.59, 164886.05 6523025.94 33.59, 164885.95 6523026.05 33.54, 164883.7 6523029.42 33.4, 164885.81 6523030.15 33.410000000000004))</t>
  </si>
  <si>
    <t>['FV416 S2D1 m11038-11040']</t>
  </si>
  <si>
    <t>LINESTRING Z (165046.29 6523102.14 29.900000000000002, 165046.05 6523103.29 29.91, 165047.44 6523103.15 29.91, 165047.76 6523102.92 29.91, 165047.85 6523102.74 29.91, 165047.77000000002 6523102.49 29.91, 165047.66 6523102.33 29.91, 165047.45 6523102.14 29.91, 165047.2 6523102.1 29.91, 165046.29 6523102.14 29.900000000000002)</t>
  </si>
  <si>
    <t>POLYGON Z ((165046.29 6523102.14 29.900000000000002, 165046.05 6523103.29 29.91, 165047.44 6523103.15 29.91, 165047.76 6523102.92 29.91, 165047.85 6523102.74 29.91, 165047.77000000002 6523102.49 29.91, 165047.66 6523102.33 29.91, 165047.45 6523102.14 29.91, 165047.2 6523102.1 29.91, 165046.29 6523102.14 29.900000000000002))</t>
  </si>
  <si>
    <t>['FV418 S1D1 m8713-8774']</t>
  </si>
  <si>
    <t>LINESTRING Z (158112.96 6533404.23 77.89, 158113.68 6533411.16 77.98, 158114.44 6533418.96 78.10000000000001, 158115.08000000002 6533425.38 78.19, 158115.82 6533432.46 78.2, 158116.51 6533439.18 78.33, 158117.17 6533446.42 78.42, 158117.96 6533454.5 78.42, 158118.6 6533458.43 78.43, 158118.99 6533459.79 78.43, 158119.5 6533461.16 78.44, 158120.02 6533462 78.44, 158120.54 6533462.66 78.47, 158120.82 6533462.87 78.47, 158121.2 6533462.92 78.48, 158121.53 6533462.88 78.48, 158121.74 6533462.73 78.48, 158121.88 6533462.51 78.48, 158121.97 6533461.94 78.49, 158121.41 6533457.87 78.49, 158120.74 6533452.52 78.41, 158120.14 6533447.48 78.41, 158119.31 6533441.3 78.39, 158118.5 6533434.97 78.29, 158117.85 6533430.03 78.26, 158117.11 6533424.71 78.21000000000001, 158116.34 6533419 78.13, 158115.39 6533412.6 77.99, 158114.55 6533406.7 77.94, 158114.06 6533403.81 77.9, 158113.86 6533403.56 77.9, 158113.59 6533403.36 77.9, 158113.35 6533403.33 77.9, 158113.14 6533403.41 77.88, 158112.97 6533403.61 77.88, 158112.94 6533403.76 77.88, 158112.96 6533404.23 77.89)</t>
  </si>
  <si>
    <t>POLYGON Z ((158112.96 6533404.23 77.89, 158113.68 6533411.16 77.98, 158114.44 6533418.96 78.10000000000001, 158115.08000000002 6533425.38 78.19, 158115.82 6533432.46 78.2, 158116.51 6533439.18 78.33, 158117.17 6533446.42 78.42, 158117.96 6533454.5 78.42, 158118.6 6533458.43 78.43, 158118.99 6533459.79 78.43, 158119.5 6533461.16 78.44, 158120.02 6533462 78.44, 158120.54 6533462.66 78.47, 158120.82 6533462.87 78.47, 158121.2 6533462.92 78.48, 158121.53 6533462.88 78.48, 158121.74 6533462.73 78.48, 158121.88 6533462.51 78.48, 158121.97 6533461.94 78.49, 158121.41 6533457.87 78.49, 158120.74 6533452.52 78.41, 158120.14 6533447.48 78.41, 158119.31 6533441.3 78.39, 158118.5 6533434.97 78.29, 158117.85 6533430.03 78.26, 158117.11 6533424.71 78.21000000000001, 158116.34 6533419 78.13, 158115.39 6533412.6 77.99, 158114.55 6533406.7 77.94, 158114.06 6533403.81 77.9, 158113.86 6533403.56 77.9, 158113.59 6533403.36 77.9, 158113.35 6533403.33 77.9, 158113.14 6533403.41 77.88, 158112.97 6533403.61 77.88, 158112.94 6533403.76 77.88, 158112.96 6533404.23 77.89))</t>
  </si>
  <si>
    <t>['FV418 S1D1 m8799-8890']</t>
  </si>
  <si>
    <t>LINESTRING Z (158123.79 6533487.06 78.54, 158124.51 6533492.82 78.54, 158125.25 6533498.68 78.54, 158126.01 6533505.53 78.53, 158126.69 6533513.14 78.52, 158127.16 6533518.98 78.52, 158127.45 6533524.97 78.59, 158127.73 6533532.04 78.65, 158128.19 6533539.11 78.7, 158128.44 6533546.56 78.73, 158129.05 6533551.4 78.73, 158129.92 6533557.39 78.73, 158130.85 6533564.14 78.79, 158131.83000000002 6533570.77 78.81, 158132.66 6533576.34 78.84, 158132.79 6533576.62 78.86, 158133.04 6533576.72 78.86, 158133.35 6533576.7 78.86, 158133.57 6533576.6 78.86, 158133.78 6533576.42 78.87, 158133.87 6533576.22 78.87, 158133.4 6533571.31 78.86, 158132.67 6533563.76 78.82000000000001, 158132.1 6533557.84 78.82000000000001, 158131.47 6533551.67 78.83, 158130.82 6533543.97 78.8, 158130.18 6533536.94 78.75, 158129.59 6533531.21 78.72, 158128.96 6533524.38 78.71000000000001, 158128.29 6533516.79 78.60000000000001, 158127.68 6533510.57 78.59, 158126.98 6533504.05 78.56, 158126.22 6533497.22 78.56, 158125.2 6533488.2 78.5, 158124.93 6533485.79 78.48, 158124.74 6533485.42 78.48, 158124.57 6533485.23 78.48, 158124.35 6533485.14 78.48, 158124.08000000002 6533485.17 78.48, 158123.89 6533485.33 78.48, 158123.75 6533485.6 78.48, 158123.79 6533487.06 78.54)</t>
  </si>
  <si>
    <t>POLYGON Z ((158123.79 6533487.06 78.54, 158124.51 6533492.82 78.54, 158125.25 6533498.68 78.54, 158126.01 6533505.53 78.53, 158126.69 6533513.14 78.52, 158127.16 6533518.98 78.52, 158127.45 6533524.97 78.59, 158127.73 6533532.04 78.65, 158128.19 6533539.11 78.7, 158128.44 6533546.56 78.73, 158129.05 6533551.4 78.73, 158129.92 6533557.39 78.73, 158130.85 6533564.14 78.79, 158131.83000000002 6533570.77 78.81, 158132.66 6533576.34 78.84, 158132.79 6533576.62 78.86, 158133.04 6533576.72 78.86, 158133.35 6533576.7 78.86, 158133.57 6533576.6 78.86, 158133.78 6533576.42 78.87, 158133.87 6533576.22 78.87, 158133.4 6533571.31 78.86, 158132.67 6533563.76 78.82000000000001, 158132.1 6533557.84 78.82000000000001, 158131.47 6533551.67 78.83, 158130.82 6533543.97 78.8, 158130.18 6533536.94 78.75, 158129.59 6533531.21 78.72, 158128.96 6533524.38 78.71000000000001, 158128.29 6533516.79 78.60000000000001, 158127.68 6533510.57 78.59, 158126.98 6533504.05 78.56, 158126.22 6533497.22 78.56, 158125.2 6533488.2 78.5, 158124.93 6533485.79 78.48, 158124.74 6533485.42 78.48, 158124.57 6533485.23 78.48, 158124.35 6533485.14 78.48, 158124.08000000002 6533485.17 78.48, 158123.89 6533485.33 78.48, 158123.75 6533485.6 78.48, 158123.79 6533487.06 78.54))</t>
  </si>
  <si>
    <t>['FV418 S2D1 m4-15']</t>
  </si>
  <si>
    <t>LINESTRING Z (158075.11 6535268.12 97.84, 158076.01 6535265.02 97.89, 158076.47 6535262.6 97.95, 158076.66 6535262.31 97.96000000000001, 158076.93 6535262.2 97.97, 158077.25 6535262.31 97.97, 158077.51 6535262.54 97.97, 158079.26 6535264.02 97.99000000000001, 158079.77 6535264.41 98.01, 158079.98 6535264.63 98, 158080.05 6535264.79 98, 158080.03 6535265.13 98, 158077.74 6535267.88 98, 158076.44 6535269.64 97.96000000000001, 158075.06 6535271.54 97.85000000000001, 158074.38 6535272.58 97.84, 158074.13 6535272.8 97.85000000000001, 158073.87 6535272.8 97.85000000000001, 158073.61 6535272.57 97.82000000000001, 158073.5 6535272.43 97.8, 158073.48 6535272.23 97.82000000000001, 158073.83000000002 6535271.33 97.82000000000001, 158075.11 6535268.12 97.84)</t>
  </si>
  <si>
    <t>POLYGON Z ((158075.11 6535268.12 97.84, 158076.01 6535265.02 97.89, 158076.47 6535262.6 97.95, 158076.66 6535262.31 97.96000000000001, 158076.93 6535262.2 97.97, 158077.25 6535262.31 97.97, 158077.51 6535262.54 97.97, 158079.26 6535264.02 97.99000000000001, 158079.77 6535264.41 98.01, 158079.98 6535264.63 98, 158080.05 6535264.79 98, 158080.03 6535265.13 98, 158077.74 6535267.88 98, 158076.44 6535269.64 97.96000000000001, 158075.06 6535271.54 97.85000000000001, 158074.38 6535272.58 97.84, 158074.13 6535272.8 97.85000000000001, 158073.87 6535272.8 97.85000000000001, 158073.61 6535272.57 97.82000000000001, 158073.5 6535272.43 97.8, 158073.48 6535272.23 97.82000000000001, 158073.83000000002 6535271.33 97.82000000000001, 158075.11 6535268.12 97.84))</t>
  </si>
  <si>
    <t>['FV418 S2D1 m1880-1891']</t>
  </si>
  <si>
    <t>LINESTRING Z (158976.8 6536701.05 51.300000000000004, 158979.84 6536702.13 51.28, 158980.8 6536702.65 51.28, 158982.4 6536703.66 51.28, 158982.91 6536704.1 51.28, 158983.04 6536704.25 51.28, 158983.14 6536704.47 51.28, 158983.09 6536704.82 51.28, 158982.91 6536704.99 51.28, 158982.7 6536705.18 51.28, 158982.24 6536705.35 51.27, 158981.89 6536705.4 51.27, 158980.41 6536705.3 51.26, 158979.37 6536705.16 51.22, 158978.23 6536704.83 51.22, 158976.95 6536704.29 51.22, 158975.51 6536703.48 51.21, 158974.33000000002 6536702.58 51.22, 158973.44 6536701.77 51.22, 158973.09 6536701.33 51.24, 158972.96 6536701 51.25, 158973.04 6536700.76 51.25, 158973.25 6536700.54 51.25, 158973.54 6536700.45 51.25, 158976.8 6536701.05 51.300000000000004)</t>
  </si>
  <si>
    <t>POLYGON Z ((158976.8 6536701.05 51.300000000000004, 158979.84 6536702.13 51.28, 158980.8 6536702.65 51.28, 158982.4 6536703.66 51.28, 158982.91 6536704.1 51.28, 158983.04 6536704.25 51.28, 158983.14 6536704.47 51.28, 158983.09 6536704.82 51.28, 158982.91 6536704.99 51.28, 158982.7 6536705.18 51.28, 158982.24 6536705.35 51.27, 158981.89 6536705.4 51.27, 158980.41 6536705.3 51.26, 158979.37 6536705.16 51.22, 158978.23 6536704.83 51.22, 158976.95 6536704.29 51.22, 158975.51 6536703.48 51.21, 158974.33000000002 6536702.58 51.22, 158973.44 6536701.77 51.22, 158973.09 6536701.33 51.24, 158972.96 6536701 51.25, 158973.04 6536700.76 51.25, 158973.25 6536700.54 51.25, 158973.54 6536700.45 51.25, 158976.8 6536701.05 51.300000000000004))</t>
  </si>
  <si>
    <t>['FV3454 S1D1 m3082-3094']</t>
  </si>
  <si>
    <t>LINESTRING Z (165509 6522763.5 71.64, 165510.24 6522768.55 71.69, 165511.16999999998 6522773.25 71.77, 165511.58000000002 6522773.64 71.77, 165514.9 6522772.62 71.77, 165515.1 6522772.12 71.79, 165512.51 6522766.24 71.89, 165510.86 6522762.73 71.8, 165510.44 6522762.36 71.8, 165509.82 6522762.26 71.77, 165509.38 6522762.47 71.75, 165509.08000000002 6522762.91 71.7, 165509 6522763.5 71.64)</t>
  </si>
  <si>
    <t>POLYGON Z ((165509 6522763.5 71.64, 165510.24 6522768.55 71.69, 165511.16999999998 6522773.25 71.77, 165511.58000000002 6522773.64 71.77, 165514.9 6522772.62 71.77, 165515.1 6522772.12 71.79, 165512.51 6522766.24 71.89, 165510.86 6522762.73 71.8, 165510.44 6522762.36 71.8, 165509.82 6522762.26 71.77, 165509.38 6522762.47 71.75, 165509.08000000002 6522762.91 71.7, 165509 6522763.5 71.64))</t>
  </si>
  <si>
    <t>[415]</t>
  </si>
  <si>
    <t>['FV415 S1D1 m2517-2520']</t>
  </si>
  <si>
    <t>LINESTRING Z (143560.64 6515182.64 36.51, 143560.86 6515182.41 36.51, 143561.08 6515182.31 36.51, 143561.21 6515182.3 36.51, 143561.43 6515182.41 36.51, 143561.56 6515182.56 36.51, 143561.55 6515184.86 36.660000000000004, 143560.54 6515184.82 36.660000000000004, 143560.64 6515182.64 36.51)</t>
  </si>
  <si>
    <t>POLYGON Z ((143560.64 6515182.64 36.51, 143560.86 6515182.41 36.51, 143561.08 6515182.31 36.51, 143561.21 6515182.3 36.51, 143561.43 6515182.41 36.51, 143561.56 6515182.56 36.51, 143561.55 6515184.86 36.660000000000004, 143560.54 6515184.82 36.660000000000004, 143560.64 6515182.64 36.51))</t>
  </si>
  <si>
    <t>[3498]</t>
  </si>
  <si>
    <t>['FV3498 S1D1 m6289-6292']</t>
  </si>
  <si>
    <t>LINESTRING Z (141461 6500144.22 10.98, 141462.24 6500145.52 10.98, 141460.43 6500146.98 10.83, 141460.28 6500147.04 10.83, 141460.14 6500147.06 10.83, 141459.8 6500147.02 10.83, 141459.65 6500146.94 10.83, 141459.54 6500146.83 10.83, 141459.44 6500146.69 10.83, 141459.38 6500146.55 10.83, 141459.35 6500146.32 10.83, 141459.37 6500146.15 10.83, 141459.45 6500145.94 10.83, 141459.54 6500145.86 10.83, 141461 6500144.22 10.98)</t>
  </si>
  <si>
    <t>POLYGON Z ((141461 6500144.22 10.98, 141462.24 6500145.52 10.98, 141460.43 6500146.98 10.83, 141460.28 6500147.04 10.83, 141460.14 6500147.06 10.83, 141459.8 6500147.02 10.83, 141459.65 6500146.94 10.83, 141459.54 6500146.83 10.83, 141459.44 6500146.69 10.83, 141459.38 6500146.55 10.83, 141459.35 6500146.32 10.83, 141459.37 6500146.15 10.83, 141459.45 6500145.94 10.83, 141459.54 6500145.86 10.83, 141461 6500144.22 10.98))</t>
  </si>
  <si>
    <t>['FV416 S2D1 m11027-11034']</t>
  </si>
  <si>
    <t>LINESTRING Z (165042.41999999998 6523103.54 29.89, 165042.66 6523102.06 29.900000000000002, 165038.86 6523101.77 29.900000000000002, 165036.44 6523101.48 29.900000000000002, 165035.99 6523101.42 29.900000000000002, 165035.85 6523101.52 29.900000000000002, 165035.72 6523101.7 29.900000000000002, 165035.63 6523101.89 29.900000000000002, 165035.46 6523104.32 29.900000000000002, 165035.5 6523104.51 29.900000000000002, 165035.65 6523104.66 29.900000000000002, 165035.75 6523104.75 29.900000000000002, 165035.9 6523104.81 29.900000000000002, 165036.32 6523104.72 29.900000000000002, 165038.87 6523104.15 29.900000000000002, 165041.63 6523103.65 29.89, 165042.41999999998 6523103.54 29.89)</t>
  </si>
  <si>
    <t>POLYGON Z ((165042.41999999998 6523103.54 29.89, 165042.66 6523102.06 29.900000000000002, 165038.86 6523101.77 29.900000000000002, 165036.44 6523101.48 29.900000000000002, 165035.99 6523101.42 29.900000000000002, 165035.85 6523101.52 29.900000000000002, 165035.72 6523101.7 29.900000000000002, 165035.63 6523101.89 29.900000000000002, 165035.46 6523104.32 29.900000000000002, 165035.5 6523104.51 29.900000000000002, 165035.65 6523104.66 29.900000000000002, 165035.75 6523104.75 29.900000000000002, 165035.9 6523104.81 29.900000000000002, 165036.32 6523104.72 29.900000000000002, 165038.87 6523104.15 29.900000000000002, 165041.63 6523103.65 29.89, 165042.41999999998 6523103.54 29.89))</t>
  </si>
  <si>
    <t>['FV3454 S1D1 m3101-3111']</t>
  </si>
  <si>
    <t>LINESTRING Z (165515.66 6522798.05 71.82000000000001, 165518.7 6522798.26 71.74, 165519.03 6522798.53 71.8, 165519.11 6522798.96 71.8, 165518.21 6522804.33 71.72, 165517.95 6522808 71.69, 165517.62 6522808.83 71.63, 165517.07 6522809.21 71.58, 165516.49 6522809.23 71.57000000000001, 165516.06 6522809.05 71.56, 165515.79 6522808.68 71.56, 165515.62 6522808.11 71.56, 165515.66999999998 6522806.82 71.56, 165515.58000000002 6522803.4 71.62, 165515.16 6522798.72 71.73, 165515.29 6522798.38 71.73, 165515.66 6522798.05 71.82000000000001)</t>
  </si>
  <si>
    <t>POLYGON Z ((165515.66 6522798.05 71.82000000000001, 165518.7 6522798.26 71.74, 165519.03 6522798.53 71.8, 165519.11 6522798.96 71.8, 165518.21 6522804.33 71.72, 165517.95 6522808 71.69, 165517.62 6522808.83 71.63, 165517.07 6522809.21 71.58, 165516.49 6522809.23 71.57000000000001, 165516.06 6522809.05 71.56, 165515.79 6522808.68 71.56, 165515.62 6522808.11 71.56, 165515.66999999998 6522806.82 71.56, 165515.58000000002 6522803.4 71.62, 165515.16 6522798.72 71.73, 165515.29 6522798.38 71.73, 165515.66 6522798.05 71.82000000000001))</t>
  </si>
  <si>
    <t>['FV416 S2D1 m11011-11018']</t>
  </si>
  <si>
    <t>LINESTRING Z (164997.15 6523090.37 30.04, 164999.5 6523092.71 30.04, 165000.03 6523093.23 30.04, 165000.97 6523094.3 30.04, 165001.65 6523095.05 30.04, 165001.91 6523095.18 30.04, 165002.07 6523095.21 30.04, 165002.28 6523095.12 30.04, 165002.49 6523094.88 30.04, 165002.85 6523094.02 30.04, 165003.35 6523092.76 30.04, 165003.3 6523092.36 30.04, 165003.22 6523092.21 30.04, 165003.1 6523092.07 30.04, 165002.87 6523091.87 30.04, 165002.33000000002 6523091.57 30.04, 164999.21 6523089.96 30.04, 164997.8 6523089.2 30.04, 164997.15 6523090.37 30.04)</t>
  </si>
  <si>
    <t>POLYGON Z ((164997.15 6523090.37 30.04, 164999.5 6523092.71 30.04, 165000.03 6523093.23 30.04, 165000.97 6523094.3 30.04, 165001.65 6523095.05 30.04, 165001.91 6523095.18 30.04, 165002.07 6523095.21 30.04, 165002.28 6523095.12 30.04, 165002.49 6523094.88 30.04, 165002.85 6523094.02 30.04, 165003.35 6523092.76 30.04, 165003.3 6523092.36 30.04, 165003.22 6523092.21 30.04, 165003.1 6523092.07 30.04, 165002.87 6523091.87 30.04, 165002.33000000002 6523091.57 30.04, 164999.21 6523089.96 30.04, 164997.8 6523089.2 30.04, 164997.15 6523090.37 30.04))</t>
  </si>
  <si>
    <t>2025-02-24</t>
  </si>
  <si>
    <t>[3718]</t>
  </si>
  <si>
    <t>['FV3718 S1D1 m5-16']</t>
  </si>
  <si>
    <t>LINESTRING (130116.83652459679 6502449.499835646, 130118.77962601226 6502451.376717992, 130121.55609165935 6502454.373207436, 130121.72618148092 6502454.435480701, 130122.0579283968 6502454.471203591, 130122.2592092083 6502454.429688411, 130122.3876216556 6502454.238248772, 130122.48541104782 6502453.971295213, 130122.46435657417 6502453.626000164, 130120.50461034966 6502450.585581471, 130119.219842794 6502448.231685148, 130117.67891835677 6502445.845968479, 130116.92628632061 6502445.9941303, 130115.26365127176 6502447.174148637, 130115.1830280259 6502447.699132357, 130116.83652459679 6502449.499835646)</t>
  </si>
  <si>
    <t>POLYGON ((130116.83652459679 6502449.499835646, 130118.77962601226 6502451.376717992, 130121.55609165935 6502454.373207436, 130121.72618148092 6502454.435480701, 130122.0579283968 6502454.471203591, 130122.2592092083 6502454.429688411, 130122.3876216556 6502454.238248772, 130122.48541104782 6502453.971295213, 130122.46435657417 6502453.626000164, 130120.50461034966 6502450.585581471, 130119.219842794 6502448.231685148, 130117.67891835677 6502445.845968479, 130116.92628632061 6502445.9941303, 130115.26365127176 6502447.174148637, 130115.1830280259 6502447.699132357, 130116.83652459679 6502449.499835646))</t>
  </si>
  <si>
    <t>['FV410 S3D1 m152-162']</t>
  </si>
  <si>
    <t>LINESTRING Z (147446.85 6513891.1 38.38, 147446.74 6513890.92 38.38, 147446.65 6513890.75 38.38, 147446.63 6513890.11 38.44, 147447.09 6513886.95 38.62, 147447.69 6513882.96 38.800000000000004, 147447.87 6513882.24 38.800000000000004, 147447.96 6513882.02 38.800000000000004, 147448.1 6513881.89 38.800000000000004, 147448.23 6513881.78 38.800000000000004, 147448.49 6513881.76 38.800000000000004, 147448.8 6513881.83 38.800000000000004, 147449.06 6513881.96 38.800000000000004, 147449.24 6513882.15 38.800000000000004, 147449.36 6513882.3 38.800000000000004, 147449.42 6513882.53 38.800000000000004, 147449.45 6513882.85 38.800000000000004, 147449 6513885.77 38.68, 147448.3 6513890.67 38.44, 147447.89 6513891.2 38.38, 147447.67 6513891.27 38.38, 147447.22 6513891.25 38.38, 147446.85 6513891.1 38.38)</t>
  </si>
  <si>
    <t>POLYGON Z ((147446.85 6513891.1 38.38, 147446.74 6513890.92 38.38, 147446.65 6513890.75 38.38, 147446.63 6513890.11 38.44, 147447.09 6513886.95 38.62, 147447.69 6513882.96 38.800000000000004, 147447.87 6513882.24 38.800000000000004, 147447.96 6513882.02 38.800000000000004, 147448.1 6513881.89 38.800000000000004, 147448.23 6513881.78 38.800000000000004, 147448.49 6513881.76 38.800000000000004, 147448.8 6513881.83 38.800000000000004, 147449.06 6513881.96 38.800000000000004, 147449.24 6513882.15 38.800000000000004, 147449.36 6513882.3 38.800000000000004, 147449.42 6513882.53 38.800000000000004, 147449.45 6513882.85 38.800000000000004, 147449 6513885.77 38.68, 147448.3 6513890.67 38.44, 147447.89 6513891.2 38.38, 147447.67 6513891.27 38.38, 147447.22 6513891.25 38.38, 147446.85 6513891.1 38.38))</t>
  </si>
  <si>
    <t>['FV415 S1D1 m2523-2525']</t>
  </si>
  <si>
    <t>LINESTRING Z (143560.5 6515187.9 36.88, 143561.49 6515187.95 36.88, 143561.32 6515190.11 37.03, 143561.07 6515190.35 37.03, 143560.8 6515190.3 37.03, 143560.56 6515190.24 37.03, 143560.42 6515189.95 37.03, 143560.5 6515187.9 36.88)</t>
  </si>
  <si>
    <t>POLYGON Z ((143560.5 6515187.9 36.88, 143561.49 6515187.95 36.88, 143561.32 6515190.11 37.03, 143561.07 6515190.35 37.03, 143560.8 6515190.3 37.03, 143560.56 6515190.24 37.03, 143560.42 6515189.95 37.03, 143560.5 6515187.9 36.88))</t>
  </si>
  <si>
    <t>[4780]</t>
  </si>
  <si>
    <t>['FV4780 S1D1 m1380-1387']</t>
  </si>
  <si>
    <t>LINESTRING Z (-39388.45846686466 6622756.084893583 4.46, -39388.2540959242 6622755.89513283 4.44, -39389.35201978043 6622755.783208556 4.39, -39390.690649198834 6622755.904628602 4.3500000000000005, -39392.36349416035 6622756.116795356 4.28, -39393.83117434417 6622756.703159195 4.3100000000000005, -39394.88019023009 6622757.241476242 4.34, -39395.92014492268 6622757.879691018 4.38, -39397.148093053955 6622758.555101638 4.39, -39397.04463820474 6622758.918380373 4.4, -39396.06917519437 6622758.346447056 4.4, -39394.94021867402 6622757.69008742 4.37, -39393.74316844798 6622757.118199029 4.33, -39392.28366580012 6622756.552720847 4.32, -39391.049442228395 6622756.279619517 4.3500000000000005, -39389.8879103387 6622756.204478939 4.39, -39388.45846686466 6622756.084893583 4.46)</t>
  </si>
  <si>
    <t>POLYGON Z ((-39388.45846686466 6622756.084893583 4.46, -39388.2540959242 6622755.89513283 4.44, -39389.35201978043 6622755.783208556 4.39, -39390.690649198834 6622755.904628602 4.3500000000000005, -39392.36349416035 6622756.116795356 4.28, -39393.83117434417 6622756.703159195 4.3100000000000005, -39394.88019023009 6622757.241476242 4.34, -39395.92014492268 6622757.879691018 4.38, -39397.148093053955 6622758.555101638 4.39, -39397.04463820474 6622758.918380373 4.4, -39396.06917519437 6622758.346447056 4.4, -39394.94021867402 6622757.69008742 4.37, -39393.74316844798 6622757.118199029 4.33, -39392.28366580012 6622756.552720847 4.32, -39391.049442228395 6622756.279619517 4.3500000000000005, -39389.8879103387 6622756.204478939 4.39, -39388.45846686466 6622756.084893583 4.46))</t>
  </si>
  <si>
    <t>2025-03-03</t>
  </si>
  <si>
    <t>['FV547 S2D120 m470-485']</t>
  </si>
  <si>
    <t>LINESTRING Z (-57631.317392121884 6610970.332565863 5.7700000000000005, -57635.983641679166 6610962.303753884 5.84, -57637.96811758552 6610958.746318412 5.84, -57638.55544449948 6610957.600795692 5.8500000000000005, -57638.66706366534 6610957.258338547 5.8500000000000005, -57638.55075552908 6610957.096697367 5.84, -57638.31364486914 6610956.9341832595 5.84, -57638.082936616265 6610956.92335133 5.83, -57637.890415787464 6610957.046934805 5.83, -57637.76786739868 6610957.28766692 5.84, -57635.20886940928 6610962.293989437 5.8100000000000005, -57631.13570324762 6610970.225441073 5.74, -57631.317392121884 6610970.332565863 5.7700000000000005)</t>
  </si>
  <si>
    <t>POLYGON Z ((-57631.317392121884 6610970.332565863 5.7700000000000005, -57635.983641679166 6610962.303753884 5.84, -57637.96811758552 6610958.746318412 5.84, -57638.55544449948 6610957.600795692 5.8500000000000005, -57638.66706366534 6610957.258338547 5.8500000000000005, -57638.55075552908 6610957.096697367 5.84, -57638.31364486914 6610956.9341832595 5.84, -57638.082936616265 6610956.92335133 5.83, -57637.890415787464 6610957.046934805 5.83, -57637.76786739868 6610957.28766692 5.84, -57635.20886940928 6610962.293989437 5.8100000000000005, -57631.13570324762 6610970.225441073 5.74, -57631.317392121884 6610970.332565863 5.7700000000000005))</t>
  </si>
  <si>
    <t>['FV511 S2D1 m6576-6581']</t>
  </si>
  <si>
    <t>LINESTRING Z (-50325.06537062093 6610773.55088025 18.81, -50325.652014534804 6610773.301849969 18.84, -50326.13147515524 6610773.012889375 18.81, -50325.106319789775 6610770.764411438 18.78, -50324.28020757483 6610768.987246826 18.75, -50323.7335269734 6610769.239898155 18.81, -50323.177760807564 6610769.481653401 18.78, -50324.170194949955 6610771.646583661 18.79, -50325.02175330627 6610773.476418184 18.81, -50325.06537062093 6610773.55088025 18.81)</t>
  </si>
  <si>
    <t>POLYGON Z ((-50325.06537062093 6610773.55088025 18.81, -50325.652014534804 6610773.301849969 18.84, -50326.13147515524 6610773.012889375 18.81, -50325.106319789775 6610770.764411438 18.78, -50324.28020757483 6610768.987246826 18.75, -50323.7335269734 6610769.239898155 18.81, -50323.177760807564 6610769.481653401 18.78, -50324.170194949955 6610771.646583661 18.79, -50325.02175330627 6610773.476418184 18.81, -50325.06537062093 6610773.55088025 18.81))</t>
  </si>
  <si>
    <t>['RV13 S19D1 m1926-1980']</t>
  </si>
  <si>
    <t>LINESTRING Z (36461.26165143348 6646018.877746391 269.04, 36492.452787531074 6645972.217365008 268.16)</t>
  </si>
  <si>
    <t>POINT (36476.85721948228 6645995.5475557)</t>
  </si>
  <si>
    <t>['RV13 S19D1 m1925-1982']</t>
  </si>
  <si>
    <t>LINESTRING Z (36492.452787531074 6645972.217365008 268.16, 36492.329393245105 6645971.30253481 268.2, 36491.79032705724 6645970.576462432 268.24, 36490.950843646366 6645970.199791229 268.28000000000003, 36490.07141049672 6645970.269640505 268.32, 36489.21919715963 6645970.528264344 268.36, 36488.31796639034 6645971.02285324 268.41, 36487.2524425874 6645972.146378525 268.43, 36487.01644825487 6645972.872421652 268.44, 36487.158906051016 6645973.664731324 268.45, 36488.15442587249 6645975.758521468 268.47, 36488.30414537073 6645976.519974191 268.48, 36488.030939633085 6645977.279595824 268.49, 36472.39816341852 6646000.53264061 268.71, 36471.810042193625 6646001.039039898 268.72, 36471.01863965276 6646001.19148115 268.72, 36468.69981632609 6646001.039830751 268.74, 36467.97829652281 6646001.185921673 268.74, 36467.40560582862 6646001.640590345 268.75, 36459.33054666757 6646013.688216114 268.85, 36458.9448037633 6646014.427867364 268.87, 36458.70790244627 6646015.143927488 268.89, 36458.57446241786 6646015.890848701 268.92, 36458.53722614335 6646016.58876499 268.94, 36458.655177661276 6646017.443695873 268.96, 36458.80672012438 6646018.003669298 268.98, 36459.11890594737 6646018.448387943 268.99, 36459.52003798151 6646018.764235643 269.01, 36459.918452576734 6646018.939410626 269.02, 36460.26786224346 6646019.018381861 269.03000000000003, 36460.60003112024 6646019.018394274 269.04, 36460.8096794021 6646018.999343239 269.04, 36461.26165143348 6646018.877746391 269.04)</t>
  </si>
  <si>
    <t>POINT (36475.15493030188 6645993.898741687)</t>
  </si>
  <si>
    <t>2025-03-20</t>
  </si>
  <si>
    <t>['FV180 S2D1 m2026-2034']</t>
  </si>
  <si>
    <t>LINESTRING Z (283988.08071269636 6702027.336155694 206.354, 283988.523772985 6702027.28162731 206.374, 283988.8183299613 6702027.097007433 206.399, 283989.1039332776 6702026.726354389 206.442, 283989.2221963276 6702026.44833665 206.481, 283989.25289747503 6702026.223521731 206.497, 283989.31594919704 6702025.384970841 206.389, 283989.62866453873 6702022.044328029 206.513, 283989.65522627864 6702021.8841839405 206.53300000000002, 283989.75477127323 6702021.02723154 206.71, 283989.8025668161 6702020.527611088 206.719, 283989.6775858265 6702020.116099552 206.72, 283989.41299641866 6702019.836882713 206.709, 283989.0195525129 6702019.6317176735 206.685, 283988.66929921147 6702019.6134772645 206.655, 283988.24176104343 6702019.749967697 206.64000000000001, 283988.00693959306 6702020.0496809315 206.617, 283987.84552382224 6702020.449175007 206.59900000000002, 283987.7956989221 6702020.860578228 206.592, 283987.73599991517 6702021.70284122 206.422, 283987.3119447173 6702025.199315992 206.3, 283987.18964109686 6702026.214056021 206.367, 283987.20783979405 6702026.63331076 206.364, 283987.40143526456 6702026.94914865 206.373, 283987.64898339123 6702027.1957663065 206.358, 283987.950734118 6702027.320903013 206.35500000000002, 283988.08071269636 6702027.336155694 206.354)</t>
  </si>
  <si>
    <t>POLYGON Z ((283988.08071269636 6702027.336155694 206.354, 283988.523772985 6702027.28162731 206.374, 283988.8183299613 6702027.097007433 206.399, 283989.1039332776 6702026.726354389 206.442, 283989.2221963276 6702026.44833665 206.481, 283989.25289747503 6702026.223521731 206.497, 283989.31594919704 6702025.384970841 206.389, 283989.62866453873 6702022.044328029 206.513, 283989.65522627864 6702021.8841839405 206.53300000000002, 283989.75477127323 6702021.02723154 206.71, 283989.8025668161 6702020.527611088 206.719, 283989.6775858265 6702020.116099552 206.72, 283989.41299641866 6702019.836882713 206.709, 283989.0195525129 6702019.6317176735 206.685, 283988.66929921147 6702019.6134772645 206.655, 283988.24176104343 6702019.749967697 206.64000000000001, 283988.00693959306 6702020.0496809315 206.617, 283987.84552382224 6702020.449175007 206.59900000000002, 283987.7956989221 6702020.860578228 206.592, 283987.73599991517 6702021.70284122 206.422, 283987.3119447173 6702025.199315992 206.3, 283987.18964109686 6702026.214056021 206.367, 283987.20783979405 6702026.63331076 206.364, 283987.40143526456 6702026.94914865 206.373, 283987.64898339123 6702027.1957663065 206.358, 283987.950734118 6702027.320903013 206.35500000000002, 283988.08071269636 6702027.336155694 206.354))</t>
  </si>
  <si>
    <t>2025-03-21</t>
  </si>
  <si>
    <t>[5286]</t>
  </si>
  <si>
    <t>['FV5286 S1D10 m264-341']</t>
  </si>
  <si>
    <t>LINESTRING Z (-41632.09015529428 6730955.491461989 2.622, -41625.94008766755 6730957.127929771 2.342, -41619.17731249647 6730958.899648962 2.07, -41617.907930934336 6730958.660487275 2.062, -41616.56122452044 6730957.956952872 2.091, -41615.55741025705 6730956.874878966 2.126, -41615.00219998823 6730955.403804035 2.119, -41614.94649109943 6730954.406563832 2.195, -41615.23083790031 6730953.0617489 2.203, -41616.015867292765 6730951.661065547 2.194, -41617.194571733475 6730950.646965073 2.235, -41618.89492801158 6730950.117793522 2.275, -41620.69414973981 6730950.1587141715 2.324, -41624.24859939993 6730951.754445183 2.463, -41632.09015529428 6730955.491461989 2.622)</t>
  </si>
  <si>
    <t>POLYGON Z ((-41632.09015529428 6730955.491461989 2.622, -41625.94008766755 6730957.127929771 2.342, -41619.17731249647 6730958.899648962 2.07, -41617.907930934336 6730958.660487275 2.062, -41616.56122452044 6730957.956952872 2.091, -41615.55741025705 6730956.874878966 2.126, -41615.00219998823 6730955.403804035 2.119, -41614.94649109943 6730954.406563832 2.195, -41615.23083790031 6730953.0617489 2.203, -41616.015867292765 6730951.661065547 2.194, -41617.194571733475 6730950.646965073 2.235, -41618.89492801158 6730950.117793522 2.275, -41620.69414973981 6730950.1587141715 2.324, -41624.24859939993 6730951.754445183 2.463, -41632.09015529428 6730955.491461989 2.622))</t>
  </si>
  <si>
    <t>['FV5286 S1D1 m760-767']</t>
  </si>
  <si>
    <t>LINESTRING Z (-41866.11058115109 6731069.983799997 14.149000000000001, -41866.3681818546 6731069.634715221 14.167, -41866.793836138444 6731069.474271277 14.207, -41867.13897116098 6731069.533082329 14.195, -41867.49359164084 6731069.796226361 14.18, -41867.72452808928 6731070.1890552975 14.165000000000001, -41868.050295951194 6731071.207006819 14.13, -41868.26270398148 6731072.6597778555 14.13, -41868.29785524774 6731074.761095322 14.055, -41868.12635542324 6731076.149489096 14.025, -41868.086637165514 6731076.330177168 14.016, -41867.75723243097 6731076.638438047 13.994, -41867.28534052253 6731076.68787818 13.97, -41867.007343042176 6731076.588883698 13.956, -41866.80568638968 6731076.404215449 13.959, -41866.66565442504 6731076.008633891 13.964, -41866.26530703658 6731074.364393179 13.983, -41866.038548903656 6731072.914336642 14.039, -41866.004358356004 6731070.868505857 14.116, -41866.11058115109 6731069.983799997 14.149000000000001)</t>
  </si>
  <si>
    <t>POLYGON Z ((-41866.11058115109 6731069.983799997 14.149000000000001, -41866.3681818546 6731069.634715221 14.167, -41866.793836138444 6731069.474271277 14.207, -41867.13897116098 6731069.533082329 14.195, -41867.49359164084 6731069.796226361 14.18, -41867.72452808928 6731070.1890552975 14.165000000000001, -41868.050295951194 6731071.207006819 14.13, -41868.26270398148 6731072.6597778555 14.13, -41868.29785524774 6731074.761095322 14.055, -41868.12635542324 6731076.149489096 14.025, -41868.086637165514 6731076.330177168 14.016, -41867.75723243097 6731076.638438047 13.994, -41867.28534052253 6731076.68787818 13.97, -41867.007343042176 6731076.588883698 13.956, -41866.80568638968 6731076.404215449 13.959, -41866.66565442504 6731076.008633891 13.964, -41866.26530703658 6731074.364393179 13.983, -41866.038548903656 6731072.914336642 14.039, -41866.004358356004 6731070.868505857 14.116, -41866.11058115109 6731069.983799997 14.149000000000001))</t>
  </si>
  <si>
    <t>2025-03-28</t>
  </si>
  <si>
    <t>['FV5244 S1D1 m157 SD1 m12-16']</t>
  </si>
  <si>
    <t>LINESTRING Z (-49654.754198661656 6738386.817571664 16.205000000000002, -49654.564412193955 6738386.78909418 16.195, -49654.38361596863 6738386.640563166 16.211000000000002, -49654.27296884102 6738386.320167961 16.2, -49654.49286417209 6738385.5586496135 16.218, -49655.0234734097 6738384.396497673 16.137, -49655.707949472126 6738382.84149544 16.063, -49655.87784074992 6738382.757344702 16.088, -49656.69352560351 6738383.166543653 16.023, -49657.4826309327 6738383.77779083 15.995000000000001, -49656.58300402947 6738384.976628245 16.071, -49655.79107726703 6738385.945597485 16.125, -49655.41430146189 6738386.396584979 16.138, -49655.1286853574 6738386.6333124405 16.159, -49654.754198661656 6738386.817571664 16.205000000000002)</t>
  </si>
  <si>
    <t>POLYGON Z ((-49654.754198661656 6738386.817571664 16.205000000000002, -49654.564412193955 6738386.78909418 16.195, -49654.38361596863 6738386.640563166 16.211000000000002, -49654.27296884102 6738386.320167961 16.2, -49654.49286417209 6738385.5586496135 16.218, -49655.0234734097 6738384.396497673 16.137, -49655.707949472126 6738382.84149544 16.063, -49655.87784074992 6738382.757344702 16.088, -49656.69352560351 6738383.166543653 16.023, -49657.4826309327 6738383.77779083 15.995000000000001, -49656.58300402947 6738384.976628245 16.071, -49655.79107726703 6738385.945597485 16.125, -49655.41430146189 6738386.396584979 16.138, -49655.1286853574 6738386.6333124405 16.159, -49654.754198661656 6738386.817571664 16.205000000000002))</t>
  </si>
  <si>
    <t>['FV5244 S1D1 m157 SD1 m6-9']</t>
  </si>
  <si>
    <t>LINESTRING Z (-49657.425091878395 6738380.097836354 15.94, -49657.3826377145 6738379.912628285 15.938, -49659.025269319885 6738378.069728576 15.807, -49659.303801457165 6738377.954236672 15.82, -49659.59450381482 6738377.958723378 15.799, -49659.883957602084 6738378.174631494 15.825000000000001, -49660.04177877563 6738378.562811738 15.789, -49659.175224898616 6738380.9502890445 15.887, -49659.056661446695 6738381.012954664 15.884, -49657.52604944492 6738380.260202432 15.933, -49657.425091878395 6738380.097836354 15.94)</t>
  </si>
  <si>
    <t>POLYGON Z ((-49657.425091878395 6738380.097836354 15.94, -49657.3826377145 6738379.912628285 15.938, -49659.025269319885 6738378.069728576 15.807, -49659.303801457165 6738377.954236672 15.82, -49659.59450381482 6738377.958723378 15.799, -49659.883957602084 6738378.174631494 15.825000000000001, -49660.04177877563 6738378.562811738 15.789, -49659.175224898616 6738380.9502890445 15.887, -49659.056661446695 6738381.012954664 15.884, -49657.52604944492 6738380.260202432 15.933, -49657.425091878395 6738380.097836354 15.94))</t>
  </si>
  <si>
    <t>['EV16 S40D1 m5304-5307']</t>
  </si>
  <si>
    <t>LINESTRING (212692.6182055712 6736352.887005672, 212692.27813581843 6736352.318935413, 212692.14816094155 6736351.80015534, 212692.34733466536 6736351.07120876, 212692.7468444967 6736350.77454221, 212693.2617967074 6736350.586214851)</t>
  </si>
  <si>
    <t>LINESTRING (212690.2446405564 6736337.024743708, 212689.50737842952 6736342.699436018)</t>
  </si>
  <si>
    <t>['EV16 S41D1 m4012-4017']</t>
  </si>
  <si>
    <t>LINESTRING (218695.52323709865 6734642.776004455, 218699.0872370951 6734638.782004462, 218698.2992370964 6734645.741004447, 218695.52323709865 6734642.776004455)</t>
  </si>
  <si>
    <t>['EV16 S41D1 m3819-3995']</t>
  </si>
  <si>
    <t>LINESTRING (218613.59286552173 6734699.325037726, 218629.3533748857 6734689.618429873, 218651.77062488045 6734673.7285838695, 218679.61079443875 6734650.943807189, 218678.37163694482 6734649.791390148, 218654.47034826083 6734669.664474269, 218629.61025061505 6734687.45168653, 218616.74021064048 6734695.710940903, 218610.6432910732 6734698.145286059, 218602.2278648895 6734701.246949857, 218568.21444721182 6734720.047607662, 218527.83362101956 6734738.9592495235, 218528.2408573983 6734739.831448146, 218546.99505837547 6734732.43281541, 218556.62056174502 6734728.427322871, 218587.40014796908 6734714.203143921, 218613.59286552173 6734699.325037726)</t>
  </si>
  <si>
    <t>['EV16 S41D1 m4009-4102']</t>
  </si>
  <si>
    <t>LINESTRING (218690.04911310325 6734637.031367494, 218690.80334707105 6734635.759165836, 218692.01821695868 6734633.78917164, 218706.17183580628 6734619.08509153, 218726.88880644157 6734598.036027424, 218753.74665200245 6734572.667439911, 218754.60815174907 6734573.511382661, 218724.18193962652 6734605.011856801, 218689.80376720423 6734640.9394951, 218689.59257881588 6734639.750459381, 218689.68919046794 6734638.449035083, 218690.04911310325 6734637.031367494)</t>
  </si>
  <si>
    <t>['EV16 S41D1 m6340-6349']</t>
  </si>
  <si>
    <t>LINESTRING (220356.93823562987 6733125.136006834, 220363.7772356235 6733120.033006839, 220363.79923562368 6733121.225006837, 220362.03123562486 6733127.685006825, 220361.51123562525 6733130.025006823, 220356.93823562987 6733125.136006834)</t>
  </si>
  <si>
    <t>['FV544 S1D10 m797 KD1 m14-19']</t>
  </si>
  <si>
    <t>LINESTRING Z (-33043.042825433076 6664801.423935395 39.95, -33042.29641382897 6664801.2149704425 39.95, -33040.574758984265 6664800.766133153 39.94, -33040.371361867525 6664800.6771122925 39.94, -33040.28238848818 6664800.548152275 39.95, -33040.29058987356 6664800.347467851 39.95, -33040.903683829005 6664799.365921358 39.99, -33041.531314058 6664798.335340633 40.01, -33041.71567484189 6664798.190982303 40.01, -33041.944506493164 6664798.221889696 40.01, -33042.19601250719 6664798.446221289 39.980000000000004, -33043.250113804825 6664799.700429843 39.97, -33044.4985329808 6664801.032761029 39.96, -33044.58930954896 6664801.252529271 39.96, -33044.54568488267 6664801.510417662 39.95, -33044.25325106911 6664801.735579638 39.94, -33044.111589609645 6664801.742824036 39.94, -33043.042825433076 6664801.423935395 39.95)</t>
  </si>
  <si>
    <t>POLYGON Z ((-33043.042825433076 6664801.423935395 39.95, -33042.29641382897 6664801.2149704425 39.95, -33040.574758984265 6664800.766133153 39.94, -33040.371361867525 6664800.6771122925 39.94, -33040.28238848818 6664800.548152275 39.95, -33040.29058987356 6664800.347467851 39.95, -33040.903683829005 6664799.365921358 39.99, -33041.531314058 6664798.335340633 40.01, -33041.71567484189 6664798.190982303 40.01, -33041.944506493164 6664798.221889696 40.01, -33042.19601250719 6664798.446221289 39.980000000000004, -33043.250113804825 6664799.700429843 39.97, -33044.4985329808 6664801.032761029 39.96, -33044.58930954896 6664801.252529271 39.96, -33044.54568488267 6664801.510417662 39.95, -33044.25325106911 6664801.735579638 39.94, -33044.111589609645 6664801.742824036 39.94, -33043.042825433076 6664801.423935395 39.95))</t>
  </si>
  <si>
    <t>2025-05-14</t>
  </si>
  <si>
    <t>[4040]</t>
  </si>
  <si>
    <t>['KV4040 S2D1 m0 KD1 m36-80']</t>
  </si>
  <si>
    <t>LINESTRING (98143.50455079699 6470150.837034557, 98145.92652621394 6470151.184406467, 98148.23191735841 6470152.014635084, 98151.76260451658 6470155.859724413, 98152.55653485225 6470158.593373076, 98152.94637187046 6470161.603706758, 98151.91612667509 6470165.554991253, 98150.1736290133 6470167.515607001, 98147.15035513765 6470169.808655655, 98144.09946253634 6470170.669190419, 98141.77995028079 6470171.152389228, 98140.34870085784 6470170.64793706, 98138.88515721413 6470170.001002148, 98135.83167851053 6470168.338760648, 98133.77259737707 6470166.1490140185, 98132.85412109381 6470163.18136865, 98132.73390194122 6470158.517580136, 98133.9730133111 6470155.453288506, 98136.14960458863 6470152.697096998, 98138.54537926562 6470151.219329178, 98140.77986028558 6470150.599024037, 98143.01190386806 6470150.651780933)</t>
  </si>
  <si>
    <t>POLYGON ((98143.50455079699 6470150.837034557, 98145.92652621394 6470151.184406467, 98148.23191735841 6470152.014635084, 98151.76260451658 6470155.859724413, 98152.55653485225 6470158.593373076, 98152.94637187046 6470161.603706758, 98151.91612667509 6470165.554991253, 98150.1736290133 6470167.515607001, 98147.15035513765 6470169.808655655, 98144.09946253634 6470170.669190419, 98141.77995028079 6470171.152389228, 98140.34870085784 6470170.64793706, 98138.88515721413 6470170.001002148, 98135.83167851053 6470168.338760648, 98133.77259737707 6470166.1490140185, 98132.85412109381 6470163.18136865, 98132.73390194122 6470158.517580136, 98133.9730133111 6470155.453288506, 98136.14960458863 6470152.697096998, 98138.54537926562 6470151.219329178, 98140.77986028558 6470150.599024037, 98143.01190386806 6470150.651780933, 98143.50455079699 6470150.837034557))</t>
  </si>
  <si>
    <t>['KV4040 S1D1 m6-28']</t>
  </si>
  <si>
    <t>LINESTRING (98051.21547796583 6470262.549434735, 98122.74042993435 6470182.0085087, 98128.19885167916 6470174.791088619, 98128.99908729194 6470175.785992508, 98130.03327143082 6470177.216797191, 98122.74306024279 6470185.1704604775, 98114.43551924947 6470194.82020202, 98083.86551250186 6470229.884974119, 98068.34438827488 6470247.480806077, 98060.94486908632 6470255.92795121, 98057.28314010618 6470260.495272944, 98054.2892819866 6470265.39817369, 98051.70323497197 6470263.441630002)</t>
  </si>
  <si>
    <t>POLYGON ((98051.21547796583 6470262.549434735, 98122.74042993435 6470182.0085087, 98128.19885167916 6470174.791088619, 98128.99908729194 6470175.785992508, 98130.03327143082 6470177.216797191, 98122.74306024279 6470185.1704604775, 98114.43551924947 6470194.82020202, 98083.86551250186 6470229.884974119, 98068.34438827488 6470247.480806077, 98060.94486908632 6470255.92795121, 98057.28314010618 6470260.495272944, 98054.2892819866 6470265.39817369, 98051.70323497197 6470263.441630002, 98051.21547796583 6470262.549434735))</t>
  </si>
  <si>
    <t>2025-05-18</t>
  </si>
  <si>
    <t>[2145]</t>
  </si>
  <si>
    <t>['KV2145 S1D1 m5-19']</t>
  </si>
  <si>
    <t>LINESTRING (107378.62124737492 6472844.011375896, 107386.82474640216 6472843.6529645845, 107392.00383019808 6472841.3765523145, 107391.4956917339 6472840.373474336, 107388.11648252758 6472840.710430845, 107385.63917675894 6472840.95745627, 107382.08994620887 6472841.54678335, 107378.7553334203 6472842.271653627, 107378.64028874831 6472843.54986406)</t>
  </si>
  <si>
    <t>POLYGON ((107378.62124737492 6472844.011375896, 107386.82474640216 6472843.6529645845, 107392.00383019808 6472841.3765523145, 107391.4956917339 6472840.373474336, 107388.11648252758 6472840.710430845, 107385.63917675894 6472840.95745627, 107382.08994620887 6472841.54678335, 107378.7553334203 6472842.271653627, 107378.64028874831 6472843.54986406, 107378.62124737492 6472844.011375896))</t>
  </si>
  <si>
    <t>2025-05-19</t>
  </si>
  <si>
    <t>[4043]</t>
  </si>
  <si>
    <t>['KV4043 S2D1 m3-17']</t>
  </si>
  <si>
    <t>LINESTRING (109825.04732061079 6474786.326498632, 109835.73903965455 6474777.431012199, 109833.37912047392 6474775.568901296, 109831.50356012181 6474777.458691152, 109829.05426572211 6474780.358160872, 109824.67238912621 6474785.287592092, 109824.40253237903 6474785.785140502, 109824.57348700322 6474786.1380925365, 109824.87391769007 6474786.366112662)</t>
  </si>
  <si>
    <t>POLYGON ((109825.04732061079 6474786.326498632, 109835.73903965455 6474777.431012199, 109833.37912047392 6474775.568901296, 109831.50356012181 6474777.458691152, 109829.05426572211 6474780.358160872, 109824.67238912621 6474785.287592092, 109824.40253237903 6474785.785140502, 109824.57348700322 6474786.1380925365, 109824.87391769007 6474786.366112662, 109825.04732061079 6474786.326498632))</t>
  </si>
  <si>
    <t>[4025]</t>
  </si>
  <si>
    <t>['PV4025 S1D1 m12-18']</t>
  </si>
  <si>
    <t>LINESTRING (109013.58791966306 6478251.901205341, 109014.82534632704 6478250.3880841695, 109011.37359630578 6478247.929071327, 109009.98936790565 6478247.551143792, 109008.61168805725 6478247.654583947, 109008.9914754986 6478248.681722933, 109013.13109414146 6478252.058753213)</t>
  </si>
  <si>
    <t>POLYGON ((109013.58791966306 6478251.901205341, 109014.82534632704 6478250.3880841695, 109011.37359630578 6478247.929071327, 109009.98936790565 6478247.551143792, 109008.61168805725 6478247.654583947, 109008.9914754986 6478248.681722933, 109013.13109414146 6478252.058753213, 109013.58791966306 6478251.901205341))</t>
  </si>
  <si>
    <t>[4083]</t>
  </si>
  <si>
    <t>['PV4083 S10D1 m11-26']</t>
  </si>
  <si>
    <t>LINESTRING (107070.15024209849 6474709.643010598, 107069.14028423623 6474712.198921113, 107069.75711228471 6474713.639503573, 107076.79126853042 6474714.9885538295, 107082.41768087854 6474716.567872623, 107083.36338980874 6474715.677505288, 107075.91497310769 6474711.600869238, 107069.73462590983 6474709.684514485)</t>
  </si>
  <si>
    <t>2025-05-28</t>
  </si>
  <si>
    <t>['KV4050 S1D1 m4-19']</t>
  </si>
  <si>
    <t>LINESTRING (110886.31921563658 6476761.2280117115, 110888.84213701903 6476765.5291596055, 110891.36395535892 6476769.819208664, 110893.73281716643 6476773.339770413, 110896.31995462638 6476771.424817518, 110891.7689291545 6476765.912048755, 110890.32248999999 6476764.071212467, 110887.15527618269 6476759.766572203, 110886.2661784406 6476761.109962234)</t>
  </si>
  <si>
    <t>POLYGON ((110886.31921563658 6476761.2280117115, 110888.84213701903 6476765.5291596055, 110891.36395535892 6476769.819208664, 110893.73281716643 6476773.339770413, 110896.31995462638 6476771.424817518, 110891.7689291545 6476765.912048755, 110890.32248999999 6476764.071212467, 110887.15527618269 6476759.766572203, 110886.2661784406 6476761.109962234, 110886.31921563658 6476761.2280117115))</t>
  </si>
  <si>
    <t>2025-05-29</t>
  </si>
  <si>
    <t>[5056]</t>
  </si>
  <si>
    <t>['KV5056 S4D1 m169-184']</t>
  </si>
  <si>
    <t>LINESTRING (109824.35064502322 6474739.899674197, 109824.38906850084 6474739.92949168, 109828.53284554707 6474742.791677033, 109831.1068126185 6474744.66618995, 109835.69575209933 6474748.560324256, 109833.44865326566 6474751.114670323, 109831.64460312616 6474748.480046543, 109827.5218427513 6474744.875965494, 109825.45643236663 6474743.063116621, 109823.37926203222 6474741.072086976, 109824.10629758175 6474740.058415456)</t>
  </si>
  <si>
    <t>POLYGON ((109824.35064502322 6474739.899674197, 109824.38906850084 6474739.92949168, 109828.53284554707 6474742.791677033, 109831.1068126185 6474744.66618995, 109835.69575209933 6474748.560324256, 109833.44865326566 6474751.114670323, 109831.64460312616 6474748.480046543, 109827.5218427513 6474744.875965494, 109825.45643236663 6474743.063116621, 109823.37926203222 6474741.072086976, 109824.10629758175 6474740.058415456, 109824.35064502322 6474739.899674197))</t>
  </si>
  <si>
    <t>[2170]</t>
  </si>
  <si>
    <t>['KV2170 S6D1 m4-14']</t>
  </si>
  <si>
    <t>LINESTRING (109861.54088244104 6474780.174490203, 109859.95424027334 6474777.764903282, 109862.11693382071 6474775.6112640705, 109865.75408154272 6474784.2740452485, 109865.2058045314 6474784.765569283, 109861.76926794101 6474780.510539573)</t>
  </si>
  <si>
    <t>POLYGON ((109861.54088244104 6474780.174490203, 109859.95424027334 6474777.764903282, 109862.11693382071 6474775.6112640705, 109865.75408154272 6474784.2740452485, 109865.2058045314 6474784.765569283, 109861.76926794101 6474780.510539573, 109861.54088244104 6474780.174490203))</t>
  </si>
  <si>
    <t>2025-06-05</t>
  </si>
  <si>
    <t>['KV4040 S3D1 m7-15']</t>
  </si>
  <si>
    <t>LINESTRING (98121.04076584498 6470141.99247171, 98125.9291142135 6470148.233368427, 98126.92856819538 6470147.929615458, 98129.13960122614 6470145.046559345, 98126.56627141044 6470142.808327483, 98122.72320296336 6470139.791269251, 98121.71411655348 6470140.813672012, 98120.80661192082 6470141.612659862)</t>
  </si>
  <si>
    <t>POLYGON ((98121.04076584498 6470141.99247171, 98125.9291142135 6470148.233368427, 98126.92856819538 6470147.929615458, 98129.13960122614 6470145.046559345, 98126.56627141044 6470142.808327483, 98122.72320296336 6470139.791269251, 98121.71411655348 6470140.813672012, 98120.80661192082 6470141.612659862, 98121.04076584498 6470141.99247171))</t>
  </si>
  <si>
    <t>['KV4040 S3D1 m18-22']</t>
  </si>
  <si>
    <t>LINESTRING (98118.69226395997 6470138.823022076, 98119.50001361175 6470137.7426532665, 98118.11992994003 6470136.694739686, 98116.8456650835 6470135.871520932, 98115.87995487417 6470136.564309439, 98118.29504590714 6470138.81867085)</t>
  </si>
  <si>
    <t>POLYGON ((98118.69226395997 6470138.823022076, 98119.50001361175 6470137.7426532665, 98118.11992994003 6470136.694739686, 98116.8456650835 6470135.871520932, 98115.87995487417 6470136.564309439, 98118.29504590714 6470138.81867085, 98118.69226395997 6470138.823022076))</t>
  </si>
  <si>
    <t>['KV4040 S4D1 m0 KD1 m12-60']</t>
  </si>
  <si>
    <t>LINESTRING (98328.801328586 6470053.902782091, 98331.90509121784 6470052.397851601, 98334.56195685384 6470051.970104387, 98337.74313630495 6470052.038386464, 98340.45952535531 6470052.950191697, 98341.94445319648 6470053.516527898, 98343.70535384142 6470055.512489852, 98344.52436074254 6470056.808282242, 98345.21246521862 6470058.330470087, 98346.00225026696 6470061.199123671, 98345.77291035856 6470064.2949804505, 98343.97648611944 6470067.180489889, 98338.57256181241 6470071.8577422155, 98332.45146603859 6470071.76387729, 98328.10652103985 6470068.876275937, 98326.3442868194 6470065.646975851, 98325.65022510244 6470061.916346027, 98326.18762781721 6470057.892014222, 98328.69962773263 6470054.4738193285)</t>
  </si>
  <si>
    <t>POLYGON ((98328.801328586 6470053.902782091, 98331.90509121784 6470052.397851601, 98334.56195685384 6470051.970104387, 98337.74313630495 6470052.038386464, 98340.45952535531 6470052.950191697, 98341.94445319648 6470053.516527898, 98343.70535384142 6470055.512489852, 98344.52436074254 6470056.808282242, 98345.21246521862 6470058.330470087, 98346.00225026696 6470061.199123671, 98345.77291035856 6470064.2949804505, 98343.97648611944 6470067.180489889, 98338.57256181241 6470071.8577422155, 98332.45146603859 6470071.76387729, 98328.10652103985 6470068.876275937, 98326.3442868194 6470065.646975851, 98325.65022510244 6470061.916346027, 98326.18762781721 6470057.892014222, 98328.69962773263 6470054.4738193285, 98328.801328586 6470053.902782091))</t>
  </si>
  <si>
    <t>['KV4040 S5D1 m5-10']</t>
  </si>
  <si>
    <t>LINESTRING (98327.3138012145 6470043.199749748, 98328.84151782893 6470042.965565798, 98329.38044687558 6470042.035994025, 98327.59960359958 6470037.810591075, 98325.82118529594 6470038.664637605, 98326.94032835704 6470043.428439272)</t>
  </si>
  <si>
    <t>POLYGON ((98327.3138012145 6470043.199749748, 98328.84151782893 6470042.965565798, 98329.38044687558 6470042.035994025, 98327.59960359958 6470037.810591075, 98325.82118529594 6470038.664637605, 98326.94032835704 6470043.428439272, 98327.3138012145 6470043.199749748))</t>
  </si>
  <si>
    <t>['KV4040 S5D1 m13-16']</t>
  </si>
  <si>
    <t>LINESTRING (98323.96949984506 6470032.988705595, 98324.88197925466 6470035.317821097, 98325.87355414248 6470034.936432763, 98324.97495925619 6470032.336779149, 98323.87520766631 6470032.818899654)</t>
  </si>
  <si>
    <t>POLYGON ((98323.96949984506 6470032.988705595, 98324.88197925466 6470035.317821097, 98325.87355414248 6470034.936432763, 98324.97495925619 6470032.336779149, 98323.87520766631 6470032.818899654, 98323.96949984506 6470032.988705595))</t>
  </si>
  <si>
    <t>['KV4040 S5D1 m37-45']</t>
  </si>
  <si>
    <t>LINESTRING (98314.60514774738 6470013.971870728, 98315.27508269023 6470013.107440371, 98314.6789892352 6470012.372033948, 98311.35405002575 6470007.406920455, 98309.63895830675 6470008.8824727, 98314.25686638756 6470014.041005337)</t>
  </si>
  <si>
    <t>POLYGON ((98314.60514774738 6470013.971870728, 98315.27508269023 6470013.107440371, 98314.6789892352 6470012.372033948, 98311.35405002575 6470007.406920455, 98309.63895830675 6470008.8824727, 98314.25686638756 6470014.041005337, 98314.60514774738 6470013.971870728))</t>
  </si>
  <si>
    <t>[97546]</t>
  </si>
  <si>
    <t>['PV97546 S3D1 m0 KD1 m27-67']</t>
  </si>
  <si>
    <t>LINESTRING (98299.60801125836 6470005.116624863, 98293.86573054665 6470004.905702804, 98289.32459775818 6470000.849497418, 98288.69467087457 6469996.2376815835, 98289.2666136297 6469991.738856181, 98294.41858308122 6469987.726392396, 98297.27827350609 6469986.96397784, 98299.78031922795 6469987.224799828, 98302.8796953528 6469988.523666126, 98304.85976759979 6469990.519707287, 98306.02625558898 6469991.970710691, 98306.91066436318 6469996.522950818, 98305.79155403958 6470000.359873575, 98303.46441565047 6470003.209779955, 98300.40925464756 6470005.191953989)</t>
  </si>
  <si>
    <t>POLYGON ((98299.60801125836 6470005.116624863, 98293.86573054665 6470004.905702804, 98289.32459775818 6470000.849497418, 98288.69467087457 6469996.2376815835, 98289.2666136297 6469991.738856181, 98294.41858308122 6469987.726392396, 98297.27827350609 6469986.96397784, 98299.78031922795 6469987.224799828, 98302.8796953528 6469988.523666126, 98304.85976759979 6469990.519707287, 98306.02625558898 6469991.970710691, 98306.91066436318 6469996.522950818, 98305.79155403958 6470000.359873575, 98303.46441565047 6470003.209779955, 98300.40925464756 6470005.191953989, 98299.60801125836 6470005.116624863))</t>
  </si>
  <si>
    <t>['RV9 S17D1 m4286-4300']</t>
  </si>
  <si>
    <t>LINESTRING Z (74171.04771081283 6587660.363885896 311.91, 74174.0167581921 6587667.655199992 312.06, 74174.27044307586 6587667.862477176 312.07, 74174.6912407864 6587667.815089925 312.08, 74176.78228963504 6587666.849613973 312.07, 74176.98864995514 6587666.534376247 312.06, 74176.93162643467 6587666.181414368 312.06, 74174.19062471739 6587661.78440845 311.94, 74171.73965416965 6587657.815202369 311.86, 74169.74946982396 6587654.613949958 311.78000000000003, 74169.48884860706 6587654.396223306 311.78000000000003, 74169.10854559817 6587654.394127705 311.77, 74168.85988181934 6587654.691668314 311.81, 74168.86891638226 6587655.027572938 311.81, 74171.04771081283 6587660.363885896 311.91)</t>
  </si>
  <si>
    <t>POLYGON Z ((74171.04771081283 6587660.363885896 311.91, 74174.0167581921 6587667.655199992 312.06, 74174.27044307586 6587667.862477176 312.07, 74174.6912407864 6587667.815089925 312.08, 74176.78228963504 6587666.849613973 312.07, 74176.98864995514 6587666.534376247 312.06, 74176.93162643467 6587666.181414368 312.06, 74174.19062471739 6587661.78440845 311.94, 74171.73965416965 6587657.815202369 311.86, 74169.74946982396 6587654.613949958 311.78000000000003, 74169.48884860706 6587654.396223306 311.78000000000003, 74169.10854559817 6587654.394127705 311.77, 74168.85988181934 6587654.691668314 311.81, 74168.86891638226 6587655.027572938 311.81, 74171.04771081283 6587660.363885896 311.91))</t>
  </si>
  <si>
    <t>['FV3820 S1D10 m175-181']</t>
  </si>
  <si>
    <t>LINESTRING Z (74211.63846632064 6587674.312490972 312.02, 74216.09001893143 6587671.65493657 312.06, 74216.2590741599 6587671.366363447 312.07, 74216.20898946072 6587671.023850925 312.08, 74215.95280985517 6587670.794390836 312.11, 74215.62174706586 6587670.820438496 312.1, 74210.92799591413 6587672.707884804 312.02, 74211.63846632064 6587674.312490972 312.02)</t>
  </si>
  <si>
    <t>POLYGON Z ((74211.63846632064 6587674.312490972 312.02, 74216.09001893143 6587671.65493657 312.06, 74216.2590741599 6587671.366363447 312.07, 74216.20898946072 6587671.023850925 312.08, 74215.95280985517 6587670.794390836 312.11, 74215.62174706586 6587670.820438496 312.1, 74210.92799591413 6587672.707884804 312.02, 74211.63846632064 6587674.312490972 312.02))</t>
  </si>
  <si>
    <t>['FV3820 S1D10 m184-190']</t>
  </si>
  <si>
    <t>LINESTRING Z (74207.39800697245 6587674.037525202 312.04, 74202.90910809976 6587675.8008387275 312.04, 74202.66876153252 6587676.018825393 312.04, 74202.66822714108 6587676.423191531 312.04, 74203.65778355842 6587678.614059615 312.05, 74203.917152445 6587678.820698357 312.05, 74204.26971155632 6587678.780998251 312.05, 74208.46772848291 6587676.275520809 312.03000000000003, 74207.39800697245 6587674.037525202 312.04)</t>
  </si>
  <si>
    <t>POLYGON Z ((74207.39800697245 6587674.037525202 312.04, 74202.90910809976 6587675.8008387275 312.04, 74202.66876153252 6587676.018825393 312.04, 74202.66822714108 6587676.423191531 312.04, 74203.65778355842 6587678.614059615 312.05, 74203.917152445 6587678.820698357 312.05, 74204.26971155632 6587678.780998251 312.05, 74208.46772848291 6587676.275520809 312.03000000000003, 74207.39800697245 6587674.037525202 312.04))</t>
  </si>
  <si>
    <t>['RV9 S17D1 m4309-4323']</t>
  </si>
  <si>
    <t>LINESTRING Z (74194.61826364952 6587705.013411729 312.07, 74194.29772718908 6587704.723815985 312.07, 74193.96985591593 6587704.72704513 312.08, 74192.83135260397 6587705.304480395 312.08, 74191.83888920466 6587705.7980861515 312.09000000000003, 74191.6394659882 6587706.123772832 312.08, 74191.69842835871 6587706.442824195 312.07, 74193.1824382199 6587708.780162479 312.06, 74195.75889181625 6587712.89247469 312.03000000000003, 74198.94994444464 6587718.013728453 312.12, 74199.22761953558 6587718.229535854 312.12, 74199.6320434194 6587718.139071448 312.11, 74199.83008428785 6587717.90338663 312.11, 74199.77943981043 6587717.504783509 312.09000000000003, 74198.29134843202 6587713.954984944 312.05, 74196.28197199211 6587709.048816394 312.04, 74194.61826364952 6587705.013411729 312.07)</t>
  </si>
  <si>
    <t>POLYGON Z ((74194.61826364952 6587705.013411729 312.07, 74194.29772718908 6587704.723815985 312.07, 74193.96985591593 6587704.72704513 312.08, 74192.83135260397 6587705.304480395 312.08, 74191.83888920466 6587705.7980861515 312.09000000000003, 74191.6394659882 6587706.123772832 312.08, 74191.69842835871 6587706.442824195 312.07, 74193.1824382199 6587708.780162479 312.06, 74195.75889181625 6587712.89247469 312.03000000000003, 74198.94994444464 6587718.013728453 312.12, 74199.22761953558 6587718.229535854 312.12, 74199.6320434194 6587718.139071448 312.11, 74199.83008428785 6587717.90338663 312.11, 74199.77943981043 6587717.504783509 312.09000000000003, 74198.29134843202 6587713.954984944 312.05, 74196.28197199211 6587709.048816394 312.04, 74194.61826364952 6587705.013411729 312.07))</t>
  </si>
  <si>
    <t>['KV4040 S4D1 m136 KD1 m69-74']</t>
  </si>
  <si>
    <t>LINESTRING (98437.49869548599 6469930.423688741, 98441.91873727378 6469933.292552651, 98443.53669396706 6469937.489734509, 98444.0744065455 6469941.9539563265, 98442.20634854672 6469945.4746508645, 98438.61506311578 6469949.170906711, 98432.72647928342 6469949.849326728, 98427.94248546328 6469948.116468682, 98424.91806698125 6469944.937230395, 98423.55303276883 6469938.572523259, 98425.35776096635 6469934.430319333, 98428.82040156983 6469930.982640059, 98432.81757551082 6469929.700761696, 98436.49056845577 6469929.8872309765)</t>
  </si>
  <si>
    <t>POLYGON ((98437.49869548599 6469930.423688741, 98441.91873727378 6469933.292552651, 98443.53669396706 6469937.489734509, 98444.0744065455 6469941.9539563265, 98442.20634854672 6469945.4746508645, 98438.61506311578 6469949.170906711, 98432.72647928342 6469949.849326728, 98427.94248546328 6469948.116468682, 98424.91806698125 6469944.937230395, 98423.55303276883 6469938.572523259, 98425.35776096635 6469934.430319333, 98428.82040156983 6469930.982640059, 98432.81757551082 6469929.700761696, 98436.49056845577 6469929.8872309765, 98437.49869548599 6469930.423688741))</t>
  </si>
  <si>
    <t>['KV4040 S8D1 m5-10']</t>
  </si>
  <si>
    <t>LINESTRING (98409.95807015721 6469934.934020144, 98412.26935960702 6469935.763808595, 98413.75915860565 6469935.970850119, 98414.89949158748 6469934.666045759, 98414.74651952379 6469933.571502956, 98412.83924793551 6469932.81268389, 98410.1154707133 6469932.933208235, 98409.78079851443 6469934.705386347)</t>
  </si>
  <si>
    <t>POLYGON ((98409.95807015721 6469934.934020144, 98412.26935960702 6469935.763808595, 98413.75915860565 6469935.970850119, 98414.89949158748 6469934.666045759, 98414.74651952379 6469933.571502956, 98412.83924793551 6469932.81268389, 98410.1154707133 6469932.933208235, 98409.78079851443 6469934.705386347, 98409.95807015721 6469934.934020144))</t>
  </si>
  <si>
    <t>['KV4040 S8D1 m14-17']</t>
  </si>
  <si>
    <t>LINESTRING (98406.41921621212 6469933.3322312115, 98406.4889734459 6469932.214995334, 98404.18393541966 6469931.911603606, 98403.56313955196 6469932.1542693395, 98403.6027162848 6469932.542706716, 98403.84640281904 6469933.19068348, 98406.31329665048 6469933.455157171)</t>
  </si>
  <si>
    <t>POLYGON ((98406.41921621212 6469933.3322312115, 98406.4889734459 6469932.214995334, 98404.18393541966 6469931.911603606, 98403.56313955196 6469932.1542693395, 98403.6027162848 6469932.542706716, 98403.84640281904 6469933.19068348, 98406.31329665048 6469933.455157171, 98406.41921621212 6469933.3322312115))</t>
  </si>
  <si>
    <t>['KV4040 S7D1 m6-10']</t>
  </si>
  <si>
    <t>LINESTRING (98434.2737887266 6469919.056653347, 98431.60891607223 6469919.406642139, 98431.60895734583 6469915.919267704, 98432.9135759385 6469915.819994446, 98433.84110341384 6469915.97219394, 98434.1762254439 6469918.505922573)</t>
  </si>
  <si>
    <t>POLYGON ((98434.2737887266 6469919.056653347, 98431.60891607223 6469919.406642139, 98431.60895734583 6469915.919267704, 98432.9135759385 6469915.819994446, 98433.84110341384 6469915.97219394, 98434.1762254439 6469918.505922573, 98434.2737887266 6469919.056653347))</t>
  </si>
  <si>
    <t>['KV4040 S7D1 m13-19']</t>
  </si>
  <si>
    <t>LINESTRING (98433.2267419321 6469912.267079216, 98431.48519556475 6469912.321158795, 98431.34164230386 6469907.424310857, 98431.98642247933 6469906.719456994, 98432.66705885943 6469906.773462034, 98433.17772415734 6469909.0538249705, 98433.33638043382 6469911.77373283)</t>
  </si>
  <si>
    <t>POLYGON ((98433.2267419321 6469912.267079216, 98431.48519556475 6469912.321158795, 98431.34164230386 6469907.424310857, 98431.98642247933 6469906.719456994, 98432.66705885943 6469906.773462034, 98433.17772415734 6469909.0538249705, 98433.33638043382 6469911.77373283, 98433.2267419321 6469912.267079216))</t>
  </si>
  <si>
    <t>['KV4040 S7D1 m186-197']</t>
  </si>
  <si>
    <t>LINESTRING (98412.41049206926 6469732.125081129, 98416.10257325228 6469741.1009221375, 98416.9226089404 6469740.546416407, 98416.56728317571 6469739.03516598, 98416.12784129917 6469737.453991212, 98414.53770983021 6469730.798238629, 98413.41863879893 6469731.091660956, 98412.07021877996 6469731.924265855)</t>
  </si>
  <si>
    <t>POLYGON ((98412.41049206926 6469732.125081129, 98416.10257325228 6469741.1009221375, 98416.9226089404 6469740.546416407, 98416.56728317571 6469739.03516598, 98416.12784129917 6469737.453991212, 98414.53770983021 6469730.798238629, 98413.41863879893 6469731.091660956, 98412.07021877996 6469731.924265855, 98412.41049206926 6469732.125081129))</t>
  </si>
  <si>
    <t>LINESTRING (98412.26900948258 6469731.724599013, 98414.38098152721 6469737.3404077105, 98415.89167371625 6469740.7747923955, 98416.44882689446 6469740.953512806, 98416.90728531405 6469740.5704043405, 98416.42952111631 6469738.264262393, 98414.44082845579 6469731.009949919, 98413.41863879893 6469731.091660956, 98412.23333394458 6469731.548819055)</t>
  </si>
  <si>
    <t>POLYGON ((98412.26900948258 6469731.724599013, 98414.38098152721 6469737.3404077105, 98415.89167371625 6469740.7747923955, 98416.44882689446 6469740.953512806, 98416.90728531405 6469740.5704043405, 98416.42952111631 6469738.264262393, 98414.44082845579 6469731.009949919, 98413.41863879893 6469731.091660956, 98412.23333394458 6469731.548819055, 98412.26900948258 6469731.724599013))</t>
  </si>
  <si>
    <t>['KV4040 S7D1 m200 KD1 m4-59']</t>
  </si>
  <si>
    <t>LINESTRING (98408.8425033603 6469725.70446953, 98407.88119024003 6469725.802406618, 98406.80285212764 6469725.856199271, 98405.7319229113 6469725.80831673, 98404.5967235759 6469725.710915229, 98403.47705602611 6469725.5334378015, 98402.33661951724 6469725.268369334, 98401.2069836859 6469724.934920335, 98400.09174876643 6469724.510297171, 98399.12769655953 6469723.767509573, 98396.49202267773 6469721.26632203, 98394.61515139951 6469719.2372848485, 98393.21869419026 6469715.645491986, 98392.4303318322 6469711.453501538, 98394.00193771964 6469705.428768972, 98397.33027839748 6469702.230254828, 98400.27788128966 6469699.945179538, 98405.27148988185 6469698.32630872, 98413.0373214829 6469699.676907316, 98417.75674263819 6469704.668253257, 98420.33775719517 6469712.097706067, 98419.69932022406 6469716.760241826, 98416.7944721579 6469721.732164449, 98409.66251150914 6469725.789129664)</t>
  </si>
  <si>
    <t>POLYGON ((98408.8425033603 6469725.70446953, 98407.88119024003 6469725.802406618, 98406.80285212764 6469725.856199271, 98405.7319229113 6469725.80831673, 98404.5967235759 6469725.710915229, 98403.47705602611 6469725.5334378015, 98402.33661951724 6469725.268369334, 98401.2069836859 6469724.934920335, 98400.09174876643 6469724.510297171, 98399.12769655953 6469723.767509573, 98396.49202267773 6469721.26632203, 98394.61515139951 6469719.2372848485, 98393.21869419026 6469715.645491986, 98392.4303318322 6469711.453501538, 98394.00193771964 6469705.428768972, 98397.33027839748 6469702.230254828, 98400.27788128966 6469699.945179538, 98405.27148988185 6469698.32630872, 98413.0373214829 6469699.676907316, 98417.75674263819 6469704.668253257, 98420.33775719517 6469712.097706067, 98419.69932022406 6469716.760241826, 98416.7944721579 6469721.732164449, 98409.66251150914 6469725.789129664, 98408.8425033603 6469725.70446953))</t>
  </si>
  <si>
    <t>['KV4040 S10D1 m3-14']</t>
  </si>
  <si>
    <t>LINESTRING (98398.26639384922 6469693.455703842, 98400.17353413667 6469692.700734697, 98398.44906076323 6469688.447126554, 98396.5792913533 6469683.87191918, 98395.46044512308 6469683.47009045, 98397.9182021002 6469693.177202105)</t>
  </si>
  <si>
    <t>POLYGON ((98398.26639384922 6469693.455703842, 98400.17353413667 6469692.700734697, 98398.44906076323 6469688.447126554, 98396.5792913533 6469683.87191918, 98395.46044512308 6469683.47009045, 98397.9182021002 6469693.177202105, 98398.26639384922 6469693.455703842))</t>
  </si>
  <si>
    <t>[7645]</t>
  </si>
  <si>
    <t>['KV7645 S1D1 m282-306', 'KV7645 S2D1 m0-63']</t>
  </si>
  <si>
    <t>LINESTRING Z (273930.47209460323 7041761.653721007 44.109, 273930.45878706954 7041761.635606432 44.109, 273931.1553526735 7041762.357650737 44.082, 273931.9834158098 7041762.925047013 44.065, 273932.91501248034 7041763.296647572 44.055, 273933.8972181277 7041763.518291318 44.022, 273934.89166978095 7041763.543546367 44.018, 273935.88583248237 7041763.365273472 43.993, 273936.77112014854 7041762.965046014 43.993, 273937.60110176506 7041762.363157989 43.991, 273938.28732597956 7041761.642040934 44.003, 273938.87990366714 7041760.858329502 44.036, 273939.26223126194 7041760.235812344 44.052, 273940.4388368691 7041758.390240495 44.088, 273941.66685084626 7041756.4488014495 44.147, 273942.2860790448 7041755.459665793 44.212, 273942.7140702887 7041754.64542654 44.25, 273942.8290729535 7041754.3846506495 44.262, 273942.91360199597 7041753.89038516 44.285000000000004, 273942.8596926454 7041753.509142823 44.309, 273942.7346037008 7041753.185051402 44.32, 273942.50834885985 7041752.833989427 44.326, 273941.94777521194 7041752.505458135 44.349000000000004, 273941.6941632054 7041752.492226677 44.33, 273940.6865402061 7041752.593236338 44.331, 273939.69648221903 7041752.730109495 44.328, 273937.6690046502 7041753.114478691 44.275, 273935.5896849735 7041753.531575491 44.259, 273933.47208485927 7041753.960391244 44.273, 273932.5032585074 7041754.170972441 44.255, 273931.60742919834 7041754.63511207 44.253, 273930.8471066141 7041755.27220467 44.226, 273930.22746344795 7041756.041778096 44.219, 273929.73142632213 7041756.914953146 44.215, 273929.4734006027 7041757.864625275 44.204, 273929.45371066354 7041758.852669006 44.173, 273929.5750845946 7041759.807720838 44.168, 273929.9426648504 7041760.770509217 44.146, 273930.47209460323 7041761.653721007 44.109)</t>
  </si>
  <si>
    <t>2025-06-09</t>
  </si>
  <si>
    <t>['KV4040 S13D1 m4-8']</t>
  </si>
  <si>
    <t>LINESTRING (98426.40732706775 6469708.541463123, 98431.70864327875 6469708.315379453, 98431.25602481747 6469710.906929837, 98429.64054794284 6469711.3854773855, 98426.7589474449 6469711.993009627, 98426.24521867989 6469709.275635205)</t>
  </si>
  <si>
    <t>POLYGON ((98426.40732706775 6469708.541463123, 98431.70864327875 6469708.315379453, 98431.25602481747 6469710.906929837, 98429.64054794284 6469711.3854773855, 98426.7589474449 6469711.993009627, 98426.24521867989 6469709.275635205, 98426.40732706775 6469708.541463123))</t>
  </si>
  <si>
    <t>['KV4040 S13D1 m12-18']</t>
  </si>
  <si>
    <t>LINESTRING (98434.53681235283 6469710.729697969, 98434.14531462 6469708.863302976, 98441.13931815396 6469708.509649469, 98441.0702452723 6469709.750159197, 98435.20504458662 6469710.661624349)</t>
  </si>
  <si>
    <t>POLYGON ((98434.53681235283 6469710.729697969, 98434.14531462 6469708.863302976, 98441.13931815396 6469708.509649469, 98441.0702452723 6469709.750159197, 98435.20504458662 6469710.661624349, 98434.53681235283 6469710.729697969))</t>
  </si>
  <si>
    <t>[4044]</t>
  </si>
  <si>
    <t>['KV4044 S6D1 m5-20']</t>
  </si>
  <si>
    <t>LINESTRING (98461.82329027011 6469946.257093605, 98453.88180470403 6469944.688881836, 98454.78132288542 6469941.020168715, 98458.17736088746 6469941.627339887, 98463.8112071965 6469943.912820457, 98467.33883675927 6469945.056049768, 98468.27867207112 6469945.677964938, 98468.3618877483 6469947.250576531, 98462.97270641738 6469946.610962268)</t>
  </si>
  <si>
    <t>POLYGON ((98461.82329027011 6469946.257093605, 98453.88180470403 6469944.688881836, 98454.78132288542 6469941.020168715, 98458.17736088746 6469941.627339887, 98463.8112071965 6469943.912820457, 98467.33883675927 6469945.056049768, 98468.27867207112 6469945.677964938, 98468.3618877483 6469947.250576531, 98462.97270641738 6469946.610962268, 98461.82329027011 6469946.257093605))</t>
  </si>
  <si>
    <t>['FV540 S1D1 m3608-3661']</t>
  </si>
  <si>
    <t>LINESTRING (-34620.22319284105 6730046.65861103, -34620.54968053766 6730046.458585779, -34620.84876082663 6730046.480471245, -34621.3855584549 6730046.673306356, -34621.88401266432 6730046.860438473, -34622.18800629943 6730047.07514397, -34622.477211285965 6730047.276350519, -34622.36817450158 6730047.63301158, -34621.958929009386 6730048.351797441, -34621.42257952003 6730049.322862889, -34619.929155524704 6730051.722187137, -34619.48209289962 6730052.6952335695, -34618.98244339193 6730053.683057148, -34618.232410107856 6730055.300301713, -34617.79573907901 6730056.466982909, -34617.5146496942 6730057.453416305, -34617.11960099044 6730058.716683131, -34616.562890500994 6730060.8033568375, -34616.37217697012 6730061.859729191, -34616.16447609977 6730062.992670415, -34616.129908084404 6730063.6767897345, -34615.6168827269 6730067.351871114, -34615.28645653429 6730068.782940647, -34614.88698164758 6730070.565319583, -34614.38125337241 6730072.196302489, -34613.7916880938 6730074.165095893, -34613.024087141035 6730076.276899331, -34612.18365339271 6730078.163182149, -34611.37720448978 6730079.783335226, -34610.39874283981 6730081.581292343, -34609.44053819927 6730083.5065554185, -34608.516308721504 6730085.278680901, -34607.18885187362 6730087.917379523, -34605.860345298424 6730090.036151861, -34604.45896815078 6730092.381372478, -34603.91057146783 6730093.395844267, -34603.436700538965 6730094.05982132, -34602.95351887506 6730094.711114222, -34602.46327328216 6730094.69469468, -34602.19161366124 6730094.337907741, -34602.17141486588 6730093.532649443, -34607.73104989936 6730082.540434873, -34610.6330994399 6730076.203757863, -34611.53162575548 6730073.964535822, -34612.229632445145 6730072.170062386, -34613.18353868625 6730069.295014068, -34613.81203983154 6730066.800941951, -34614.502458381234 6730064.078792664, -34614.991840576055 6730061.428436275, -34615.46198859881 6730059.509677283, -34615.914585312596 6730057.859492354, -34616.79285899433 6730055.492965235, -34617.64593434124 6730053.1452889675, -34618.66060484969 6730050.7651510015, -34620.201282339985 6730046.65535214)</t>
  </si>
  <si>
    <t>POLYGON ((-34620.22319284105 6730046.65861103, -34620.54968053766 6730046.458585779, -34620.84876082663 6730046.480471245, -34621.3855584549 6730046.673306356, -34621.88401266432 6730046.860438473, -34622.18800629943 6730047.07514397, -34622.477211285965 6730047.276350519, -34622.36817450158 6730047.63301158, -34621.958929009386 6730048.351797441, -34621.42257952003 6730049.322862889, -34619.929155524704 6730051.722187137, -34619.48209289962 6730052.6952335695, -34618.98244339193 6730053.683057148, -34618.232410107856 6730055.300301713, -34617.79573907901 6730056.466982909, -34617.5146496942 6730057.453416305, -34617.11960099044 6730058.716683131, -34616.562890500994 6730060.8033568375, -34616.37217697012 6730061.859729191, -34616.16447609977 6730062.992670415, -34616.129908084404 6730063.6767897345, -34615.6168827269 6730067.351871114, -34615.28645653429 6730068.782940647, -34614.88698164758 6730070.565319583, -34614.38125337241 6730072.196302489, -34613.7916880938 6730074.165095893, -34613.024087141035 6730076.276899331, -34612.18365339271 6730078.163182149, -34611.37720448978 6730079.783335226, -34610.39874283981 6730081.581292343, -34609.44053819927 6730083.5065554185, -34608.516308721504 6730085.278680901, -34607.18885187362 6730087.917379523, -34605.860345298424 6730090.036151861, -34604.45896815078 6730092.381372478, -34603.91057146783 6730093.395844267, -34603.436700538965 6730094.05982132, -34602.95351887506 6730094.711114222, -34602.46327328216 6730094.69469468, -34602.19161366124 6730094.337907741, -34602.17141486588 6730093.532649443, -34607.73104989936 6730082.540434873, -34610.6330994399 6730076.203757863, -34611.53162575548 6730073.964535822, -34612.229632445145 6730072.170062386, -34613.18353868625 6730069.295014068, -34613.81203983154 6730066.800941951, -34614.502458381234 6730064.078792664, -34614.991840576055 6730061.428436275, -34615.46198859881 6730059.509677283, -34615.914585312596 6730057.859492354, -34616.79285899433 6730055.492965235, -34617.64593434124 6730053.1452889675, -34618.66060484969 6730050.7651510015, -34620.201282339985 6730046.65535214, -34620.22319284105 6730046.65861103))</t>
  </si>
  <si>
    <t>['FV540 S1D1 m3458-3490']</t>
  </si>
  <si>
    <t>LINESTRING (-34533.70127654425 6730193.167532885, -34533.28114402632 6730193.3197377045, -34532.3066187707 6730194.451629359, -34525.419160305406 6730203.26903763, -34522.990735023166 6730206.986939444, -34520.07202638162 6730211.479376857, -34518.48502568819 6730214.056891497, -34517.22946105595 6730215.949241228, -34516.40935975418 6730217.736862256, -34516.857395832194 6730217.961683294, -34517.26547975978 6730217.739889546, -34517.873533293256 6730216.92637247, -34522.40710439673 6730210.798407278, -34527.040924668894 6730204.674054677, -34531.33026170323 6730198.080398681, -34533.818456701236 6730193.659531511, -34533.76864936552 6730193.166253285)</t>
  </si>
  <si>
    <t>POLYGON ((-34533.70127654425 6730193.167532885, -34533.28114402632 6730193.3197377045, -34532.3066187707 6730194.451629359, -34525.419160305406 6730203.26903763, -34522.990735023166 6730206.986939444, -34520.07202638162 6730211.479376857, -34518.48502568819 6730214.056891497, -34517.22946105595 6730215.949241228, -34516.40935975418 6730217.736862256, -34516.857395832194 6730217.961683294, -34517.26547975978 6730217.739889546, -34517.873533293256 6730216.92637247, -34522.40710439673 6730210.798407278, -34527.040924668894 6730204.674054677, -34531.33026170323 6730198.080398681, -34533.818456701236 6730193.659531511, -34533.76864936552 6730193.166253285, -34533.70127654425 6730193.167532885))</t>
  </si>
  <si>
    <t>['FV540 S1D1 m3236-3239']</t>
  </si>
  <si>
    <t>LINESTRING (-34380.57807414897 6730392.690540414, -34380.138072146336 6730392.493948004, -34379.50353298115 6730392.343383881, -34379.13827394182 6730392.401504578, -34378.93957466702 6730392.727990347, -34378.89524177136 6730393.152382285, -34379.263798164786 6730393.450781899, -34379.57453857025 6730393.759323381, -34379.96963597112 6730394.00545415, -34382.10508739494 6730394.791433212, -34382.48727311182 6730394.998167602, -34382.84908779862 6730395.089442553, -34383.206887164386 6730394.955259467, -34383.44231344329 6730394.634234952, -34383.33902193268 6730394.319061781, -34383.03100778046 6730393.992186852, -34382.57608688704 6730393.643468436, -34380.602391289896 6730392.684786891)</t>
  </si>
  <si>
    <t>POLYGON ((-34380.57807414897 6730392.690540414, -34380.138072146336 6730392.493948004, -34379.50353298115 6730392.343383881, -34379.13827394182 6730392.401504578, -34378.93957466702 6730392.727990347, -34378.89524177136 6730393.152382285, -34379.263798164786 6730393.450781899, -34379.57453857025 6730393.759323381, -34379.96963597112 6730394.00545415, -34382.10508739494 6730394.791433212, -34382.48727311182 6730394.998167602, -34382.84908779862 6730395.089442553, -34383.206887164386 6730394.955259467, -34383.44231344329 6730394.634234952, -34383.33902193268 6730394.319061781, -34383.03100778046 6730393.992186852, -34382.57608688704 6730393.643468436, -34380.602391289896 6730392.684786891, -34380.57807414897 6730392.690540414))</t>
  </si>
  <si>
    <t>[5364]</t>
  </si>
  <si>
    <t>['FV5364 S1D1 m8-12']</t>
  </si>
  <si>
    <t>LINESTRING (-34234.249618595466 6730631.266851075, -34236.09742355265 6730632.468082477, -34236.51035317592 6730632.89104353, -34236.76062077074 6730633.391515643, -34236.51469400048 6730633.953812672, -34235.89089649671 6730633.894975159, -34234.963157035876 6730633.39548158, -34233.8667408427 6730632.712723919, -34232.43406386627 6730631.731395669, -34231.626272837864 6730630.989853495, -34231.679417157546 6730630.444093831, -34232.13125989551 6730630.115793588, -34232.75560023426 6730630.32160046, -34234.26823854679 6730631.292217522)</t>
  </si>
  <si>
    <t>POLYGON ((-34234.249618595466 6730631.266851075, -34236.09742355265 6730632.468082477, -34236.51035317592 6730632.89104353, -34236.76062077074 6730633.391515643, -34236.51469400048 6730633.953812672, -34235.89089649671 6730633.894975159, -34234.963157035876 6730633.39548158, -34233.8667408427 6730632.712723919, -34232.43406386627 6730631.731395669, -34231.626272837864 6730630.989853495, -34231.679417157546 6730630.444093831, -34232.13125989551 6730630.115793588, -34232.75560023426 6730630.32160046, -34234.26823854679 6730631.292217522, -34234.249618595466 6730631.266851075))</t>
  </si>
  <si>
    <t>2025-09-15</t>
  </si>
  <si>
    <t>['RV3 S8D1 m17 SD1 m8-21']</t>
  </si>
  <si>
    <t>LINESTRING Z (302977.3643228088 6792185.0027376665 235.56, 302977.65239272406 6792185.076669177 235.56, 302977.87728268554 6792185.337229472 235.56, 302977.8739931724 6792185.628841187 235.57, 302977.5595489475 6792186.250451952 235.58, 302976.2020387619 6792188.635580059 235.62, 302975.43278332375 6792189.881678737 235.65, 302974.8659055624 6792190.707341084 235.67000000000002, 302974.2899840754 6792191.54388114 235.70000000000002, 302973.793622168 6792192.262600436 235.71, 302973.4211214918 6792192.799149732 235.73000000000002, 302972.90379501553 6792193.399257437 235.74, 302972.48503255995 6792193.86974968 235.75, 302971.8608891709 6792194.509826408 235.77, 302971.24474636803 6792195.018579857 235.79, 302970.6286035639 6792195.527333308 235.8, 302970.3706680825 6792195.671620584 235.81, 302970.08639225055 6792195.748016824 235.82, 302969.7131346511 6792195.62165694 235.82, 302969.619820251 6792195.590066969 235.82, 302969.4565285285 6792195.343926181 235.83, 302969.3603370097 6792195.1719691865 235.83, 302969.3835479344 6792194.878523473 235.83, 302969.44935268984 6792194.611291954 235.82, 302969.6825294945 6792194.198065337 235.82, 302970.15976081125 6792193.380655832 235.8, 302971.02783257584 6792192.225911353 235.77, 302971.8969474825 6792191.191612471 235.73000000000002, 302972.80407127994 6792190.13372422 235.70000000000002, 302973.64697199326 6792189.142019199 235.67000000000002, 302974.3641774982 6792188.3125627525 235.65, 302975.18899075757 6792187.342613161 235.62, 302975.83201246243 6792186.580256931 235.6, 302976.55734471185 6792185.729962094 235.58, 302976.8657484664 6792185.370080903 235.57, 302977.0575007384 6792185.161570566 235.57, 302977.3643228088 6792185.0027376665 235.56)</t>
  </si>
  <si>
    <t>POLYGON Z ((302977.3643228088 6792185.0027376665 235.56, 302977.65239272406 6792185.076669177 235.56, 302977.87728268554 6792185.337229472 235.56, 302977.8739931724 6792185.628841187 235.57, 302977.5595489475 6792186.250451952 235.58, 302976.2020387619 6792188.635580059 235.62, 302975.43278332375 6792189.881678737 235.65, 302974.8659055624 6792190.707341084 235.67000000000002, 302974.2899840754 6792191.54388114 235.70000000000002, 302973.793622168 6792192.262600436 235.71, 302973.4211214918 6792192.799149732 235.73000000000002, 302972.90379501553 6792193.399257437 235.74, 302972.48503255995 6792193.86974968 235.75, 302971.8608891709 6792194.509826408 235.77, 302971.24474636803 6792195.018579857 235.79, 302970.6286035639 6792195.527333308 235.8, 302970.3706680825 6792195.671620584 235.81, 302970.08639225055 6792195.748016824 235.82, 302969.7131346511 6792195.62165694 235.82, 302969.619820251 6792195.590066969 235.82, 302969.4565285285 6792195.343926181 235.83, 302969.3603370097 6792195.1719691865 235.83, 302969.3835479344 6792194.878523473 235.83, 302969.44935268984 6792194.611291954 235.82, 302969.6825294945 6792194.198065337 235.82, 302970.15976081125 6792193.380655832 235.8, 302971.02783257584 6792192.225911353 235.77, 302971.8969474825 6792191.191612471 235.73000000000002, 302972.80407127994 6792190.13372422 235.70000000000002, 302973.64697199326 6792189.142019199 235.67000000000002, 302974.3641774982 6792188.3125627525 235.65, 302975.18899075757 6792187.342613161 235.62, 302975.83201246243 6792186.580256931 235.6, 302976.55734471185 6792185.729962094 235.58, 302976.8657484664 6792185.370080903 235.57, 302977.0575007384 6792185.161570566 235.57, 302977.3643228088 6792185.0027376665 235.56))</t>
  </si>
  <si>
    <t>['FV401 S2D1 m5052-5097']</t>
  </si>
  <si>
    <t>LINESTRING Z (94072.26261501672 6466574.763421278 12.493, 94072.62511649617 6466574.936258167 12.516, 94072.99449260283 6466575.005871333 12.533, 94073.4010898358 6466574.884041906 12.530000000000001, 94073.81908617442 6466574.608285751 12.535, 94075.39951926877 6466573.054714233 12.551, 94077.45701713423 6466570.985717501 12.581, 94079.53233558818 6466568.890985484 12.624, 94081.12379633967 6466567.246897113 12.641, 94083.6585323253 6466564.551802477 12.671000000000001, 94085.9600801231 6466562.06163238 12.681000000000001, 94088.84787724091 6466558.8481064 12.691, 94091.63234418468 6466555.637775216 12.738, 94094.69233439385 6466552.009494922 12.771, 94096.2323542118 6466550.194962331 12.792, 94097.91727404989 6466548.189428054 12.804, 94100.0020749406 6466545.716608635 12.826, 94101.6004401308 6466543.834493692 12.836, 94102.50060276955 6466542.740058098 12.85, 94102.67670368194 6466542.4366177935 12.848, 94102.63266982482 6466542.11260306 12.851, 94102.45838172885 6466541.895791673 12.845, 94102.21977508202 6466541.679695979 12.83, 94101.88714476902 6466541.548453608 12.823, 94101.59328585054 6466541.6260087965 12.825000000000001, 94100.97598668066 6466542.249528702 12.805, 94099.56210269377 6466543.922016481 12.8, 94098.00276644796 6466545.790585237 12.805, 94096.43615685886 6466547.611516912 12.787, 94094.91520572605 6466549.414286297 12.790000000000001, 94093.34866797022 6466551.247283363 12.778, 94092.03973134432 6466552.810804755 12.755, 94090.88016721711 6466554.1658233 12.746, 94089.7751272585 6466555.286608604 12.732000000000001, 94088.69248190301 6466556.241419264 12.732000000000001, 94087.60102530284 6466557.030024949 12.715, 94086.18496452773 6466557.833543901 12.676, 94084.6663561 6466558.603972445 12.653, 94083.13944905536 6466559.517990985 12.647, 94081.95140066877 6466560.351440452 12.637, 94080.95848229475 6466561.184560548 12.603, 94080.17447047436 6466562.02517441 12.581, 94078.27160750795 6466564.406293774 12.559000000000001, 94075.6153022137 6466568.150416129 12.541, 94073.32066625485 6466571.382379844 12.491, 94072.33684401365 6466572.779040409 12.476, 94072.0406176296 6466573.32559227 12.469, 94071.86025234463 6466573.919134902 12.474, 94071.93253775343 6466574.334181822 12.475, 94072.19077295804 6466574.702438513 12.493, 94072.26261501672 6466574.763421278 12.493)</t>
  </si>
  <si>
    <t>POLYGON Z ((94072.26261501672 6466574.763421278 12.493, 94072.62511649617 6466574.936258167 12.516, 94072.99449260283 6466575.005871333 12.533, 94073.4010898358 6466574.884041906 12.530000000000001, 94073.81908617442 6466574.608285751 12.535, 94075.39951926877 6466573.054714233 12.551, 94077.45701713423 6466570.985717501 12.581, 94079.53233558818 6466568.890985484 12.624, 94081.12379633967 6466567.246897113 12.641, 94083.6585323253 6466564.551802477 12.671000000000001, 94085.9600801231 6466562.06163238 12.681000000000001, 94088.84787724091 6466558.8481064 12.691, 94091.63234418468 6466555.637775216 12.738, 94094.69233439385 6466552.009494922 12.771, 94096.2323542118 6466550.194962331 12.792, 94097.91727404989 6466548.189428054 12.804, 94100.0020749406 6466545.716608635 12.826, 94101.6004401308 6466543.834493692 12.836, 94102.50060276955 6466542.740058098 12.85, 94102.67670368194 6466542.4366177935 12.848, 94102.63266982482 6466542.11260306 12.851, 94102.45838172885 6466541.895791673 12.845, 94102.21977508202 6466541.679695979 12.83, 94101.88714476902 6466541.548453608 12.823, 94101.59328585054 6466541.6260087965 12.825000000000001, 94100.97598668066 6466542.249528702 12.805, 94099.56210269377 6466543.922016481 12.8, 94098.00276644796 6466545.790585237 12.805, 94096.43615685886 6466547.611516912 12.787, 94094.91520572605 6466549.414286297 12.790000000000001, 94093.34866797022 6466551.247283363 12.778, 94092.03973134432 6466552.810804755 12.755, 94090.88016721711 6466554.1658233 12.746, 94089.7751272585 6466555.286608604 12.732000000000001, 94088.69248190301 6466556.241419264 12.732000000000001, 94087.60102530284 6466557.030024949 12.715, 94086.18496452773 6466557.833543901 12.676, 94084.6663561 6466558.603972445 12.653, 94083.13944905536 6466559.517990985 12.647, 94081.95140066877 6466560.351440452 12.637, 94080.95848229475 6466561.184560548 12.603, 94080.17447047436 6466562.02517441 12.581, 94078.27160750795 6466564.406293774 12.559000000000001, 94075.6153022137 6466568.150416129 12.541, 94073.32066625485 6466571.382379844 12.491, 94072.33684401365 6466572.779040409 12.476, 94072.0406176296 6466573.32559227 12.469, 94071.86025234463 6466573.919134902 12.474, 94071.93253775343 6466574.334181822 12.475, 94072.19077295804 6466574.702438513 12.493, 94072.26261501672 6466574.763421278 12.493))</t>
  </si>
  <si>
    <t>['FV401 S2D1 m5191-5193']</t>
  </si>
  <si>
    <t>LINESTRING Z (94010.04639294423 6466648.113006212 10.558, 94009.35313234996 6466647.424476797 10.557, 94008.63329682022 6466646.674944772 10.521, 94009.36976300465 6466645.898935729 10.523, 94009.79811851389 6466645.727881382 10.521, 94010.28454465047 6466645.722655662 10.564, 94010.69673916517 6466646.02384231 10.608, 94011.01735181053 6466646.414694192 10.615, 94010.94993554516 6466646.887489954 10.616, 94010.81537990295 6466647.250595956 10.569, 94010.04639294423 6466648.113006212 10.558)</t>
  </si>
  <si>
    <t>POLYGON Z ((94010.04639294423 6466648.113006212 10.558, 94009.35313234996 6466647.424476797 10.557, 94008.63329682022 6466646.674944772 10.521, 94009.36976300465 6466645.898935729 10.523, 94009.79811851389 6466645.727881382 10.521, 94010.28454465047 6466645.722655662 10.564, 94010.69673916517 6466646.02384231 10.608, 94011.01735181053 6466646.414694192 10.615, 94010.94993554516 6466646.887489954 10.616, 94010.81537990295 6466647.250595956 10.569, 94010.04639294423 6466648.113006212 10.558))</t>
  </si>
  <si>
    <t>['FV401 S2D1 m5196-5198']</t>
  </si>
  <si>
    <t>LINESTRING Z (94005.7316875084 6466651.062678503 10.389, 94005.48279316741 6466650.7539459495 10.395, 94005.4970992445 6466650.249679363 10.394, 94005.66686760291 6466649.819045217 10.405, 94006.39939623373 6466649.066525353 10.434000000000001, 94007.06865004089 6466649.734061852 10.447000000000001, 94007.82338140532 6466650.502608095 10.424, 94007.04900807148 6466651.270937705 10.417, 94006.56260682235 6466651.434099652 10.422, 94006.14570229728 6466651.418025312 10.427, 94005.7316875084 6466651.062678503 10.389)</t>
  </si>
  <si>
    <t>POLYGON Z ((94005.7316875084 6466651.062678503 10.389, 94005.48279316741 6466650.7539459495 10.395, 94005.4970992445 6466650.249679363 10.394, 94005.66686760291 6466649.819045217 10.405, 94006.39939623373 6466649.066525353 10.434000000000001, 94007.06865004089 6466649.734061852 10.447000000000001, 94007.82338140532 6466650.502608095 10.424, 94007.04900807148 6466651.270937705 10.417, 94006.56260682235 6466651.434099652 10.422, 94006.14570229728 6466651.418025312 10.427, 94005.7316875084 6466651.062678503 10.389))</t>
  </si>
  <si>
    <t>['FV401 S2D1 m4996-5035']</t>
  </si>
  <si>
    <t>LINESTRING Z (94113.83068166825 6466528.750849965 12.837, 94114.2423952499 6466528.258364451 12.844, 94115.5032664112 6466526.686059635 12.853, 94117.02930926258 6466524.760106945 12.879, 94118.44094225386 6466522.9610677445 12.905000000000001, 94119.86513833102 6466521.1337449765 12.917, 94121.35300663818 6466519.1971188905 12.927, 94122.95166673261 6466517.1268607965 12.928, 94124.2183254676 6466515.450423683 12.936, 94125.23339094367 6466514.088194418 12.932, 94126.40639997832 6466512.489535423 12.946, 94127.65409651346 6466510.814792302 12.94, 94128.95594826201 6466509.025560161 12.928, 94130.23547226313 6466507.30169908 12.925, 94131.77854345716 6466505.160958852 12.918000000000001, 94133.33548034792 6466503.029039817 12.895, 94134.76628134749 6466501.039165391 12.866, 94136.08372496563 6466499.199247841 12.842, 94136.66627471091 6466498.231770792 12.842, 94136.72322116129 6466497.55167391 12.831, 94136.61266989616 6466497.068621171 12.84, 94136.43975389679 6466496.844645395 12.859, 94136.14918386127 6466496.733789145 12.871, 94135.74339912436 6466496.684529743 12.857000000000001, 94135.47110523662 6466496.778265971 12.835, 94134.86137167172 6466497.2049442995 12.834, 94134.11814950453 6466497.950369787 12.841000000000001, 94132.38032486115 6466499.7352900095 12.854000000000001, 94130.7089212726 6466501.509247039 12.849, 94129.19983215438 6466503.152011415 12.853, 94127.54423825658 6466504.967813245 12.835, 94125.87440719141 6466506.838203658 12.819, 94123.791866944 6466509.257503118 12.792, 94122.08511681197 6466511.30019561 12.783, 94120.67057388328 6466512.987831194 12.784, 94119.14734415541 6466514.855185745 12.778, 94117.91582385002 6466516.395695162 12.762, 94116.51447300497 6466518.174702231 12.755, 94115.51624742162 6466519.500218164 12.738, 94114.74191093759 6466520.708154472 12.743, 94114.19101533212 6466521.737186644 12.751, 94113.73480706866 6466522.778885926 12.762, 94113.33729081717 6466523.937065395 12.771, 94113.03583387175 6466525.100747583 12.769, 94112.82098856027 6466526.220477634 12.786, 94112.69464441692 6466527.306146521 12.792, 94112.68612522364 6466528.111688504 12.807, 94112.79752609687 6466528.457852665 12.807, 94113.205606531 6466528.836867093 12.825000000000001, 94113.50316027511 6466528.890764769 12.841000000000001, 94113.83068166825 6466528.750849965 12.837)</t>
  </si>
  <si>
    <t>POLYGON Z ((94113.83068166825 6466528.750849965 12.837, 94114.2423952499 6466528.258364451 12.844, 94115.5032664112 6466526.686059635 12.853, 94117.02930926258 6466524.760106945 12.879, 94118.44094225386 6466522.9610677445 12.905000000000001, 94119.86513833102 6466521.1337449765 12.917, 94121.35300663818 6466519.1971188905 12.927, 94122.95166673261 6466517.1268607965 12.928, 94124.2183254676 6466515.450423683 12.936, 94125.23339094367 6466514.088194418 12.932, 94126.40639997832 6466512.489535423 12.946, 94127.65409651346 6466510.814792302 12.94, 94128.95594826201 6466509.025560161 12.928, 94130.23547226313 6466507.30169908 12.925, 94131.77854345716 6466505.160958852 12.918000000000001, 94133.33548034792 6466503.029039817 12.895, 94134.76628134749 6466501.039165391 12.866, 94136.08372496563 6466499.199247841 12.842, 94136.66627471091 6466498.231770792 12.842, 94136.72322116129 6466497.55167391 12.831, 94136.61266989616 6466497.068621171 12.84, 94136.43975389679 6466496.844645395 12.859, 94136.14918386127 6466496.733789145 12.871, 94135.74339912436 6466496.684529743 12.857000000000001, 94135.47110523662 6466496.778265971 12.835, 94134.86137167172 6466497.2049442995 12.834, 94134.11814950453 6466497.950369787 12.841000000000001, 94132.38032486115 6466499.7352900095 12.854000000000001, 94130.7089212726 6466501.509247039 12.849, 94129.19983215438 6466503.152011415 12.853, 94127.54423825658 6466504.967813245 12.835, 94125.87440719141 6466506.838203658 12.819, 94123.791866944 6466509.257503118 12.792, 94122.08511681197 6466511.30019561 12.783, 94120.67057388328 6466512.987831194 12.784, 94119.14734415541 6466514.855185745 12.778, 94117.91582385002 6466516.395695162 12.762, 94116.51447300497 6466518.174702231 12.755, 94115.51624742162 6466519.500218164 12.738, 94114.74191093759 6466520.708154472 12.743, 94114.19101533212 6466521.737186644 12.751, 94113.73480706866 6466522.778885926 12.762, 94113.33729081717 6466523.937065395 12.771, 94113.03583387175 6466525.100747583 12.769, 94112.82098856027 6466526.220477634 12.786, 94112.69464441692 6466527.306146521 12.792, 94112.68612522364 6466528.111688504 12.807, 94112.79752609687 6466528.457852665 12.807, 94113.205606531 6466528.836867093 12.825000000000001, 94113.50316027511 6466528.890764769 12.841000000000001, 94113.83068166825 6466528.750849965 12.837))</t>
  </si>
  <si>
    <t>2025-09-26</t>
  </si>
  <si>
    <t>['FV582 S2D1 m4240-4241']</t>
  </si>
  <si>
    <t>LINESTRING Z (-31247.281380767585 6729377.648839206 51.234319, -31251.907586261397 6729377.520433832 51.309614, -31251.66300158901 6729379.539986587 51.298581, -31247.261548215058 6729378.660039614 51.205871, -31247.08075425215 6729378.576961784 51.209935, -31246.944622038747 6729378.431854578 51.213999, -31246.873238558066 6729378.246131996 51.218063, -31246.87714040617 6729378.047202093 51.222127, -31246.95575018192 6729377.864422315 51.226191, -31247.097468776512 6729377.724764502 51.230255)</t>
  </si>
  <si>
    <t>POLYGON Z ((-31247.281380767585 6729377.648839206 51.234319, -31251.907586261397 6729377.520433832 51.309614, -31251.66300158901 6729379.539986587 51.298581, -31247.261548215058 6729378.660039614 51.205871, -31247.08075425215 6729378.576961784 51.209935, -31246.944622038747 6729378.431854578 51.213999, -31246.873238558066 6729378.246131996 51.218063, -31246.87714040617 6729378.047202093 51.222127, -31246.95575018192 6729377.864422315 51.226191, -31247.097468776512 6729377.724764502 51.230255, -31247.281380767585 6729377.648839206 51.234319))</t>
  </si>
  <si>
    <t>['FV582 S2D1 m4239-4240']</t>
  </si>
  <si>
    <t>LINESTRING Z (-31260.08947916492 6729377.588357503 51.32999, -31256.67674831231 6729377.824299775 51.330782, -31256.560204165406 6729379.824570856 51.299382, -31260.310992201557 6729379.629551819 51.291043, -31260.651287549408 6729379.493680602 51.295056, -31260.922197712352 6729379.246964195 51.299069, -31261.089218241163 6729378.920825422 51.303082, -31261.13107331365 6729378.556806263 51.307095, -31261.042433066177 6729378.201272654 51.311109, -31260.834587362595 6729377.899506819 51.315122, -31260.534009953262 6729377.689947887 51.319135)</t>
  </si>
  <si>
    <t>POLYGON Z ((-31260.08947916492 6729377.588357503 51.32999, -31256.67674831231 6729377.824299775 51.330782, -31256.560204165406 6729379.824570856 51.299382, -31260.310992201557 6729379.629551819 51.291043, -31260.651287549408 6729379.493680602 51.295056, -31260.922197712352 6729379.246964195 51.299069, -31261.089218241163 6729378.920825422 51.303082, -31261.13107331365 6729378.556806263 51.307095, -31261.042433066177 6729378.201272654 51.311109, -31260.834587362595 6729377.899506819 51.315122, -31260.534009953262 6729377.689947887 51.319135, -31260.08947916492 6729377.588357503 51.32999))</t>
  </si>
  <si>
    <t>['FV354 S1D1 m2695 SD1 m238-240']</t>
  </si>
  <si>
    <t>LINESTRING (195815.77102217817 6562750.877124456, 195815.79071131395 6562751.412351221, 195815.5891828896 6562751.987595465, 195813.55303696927 6562751.132380582, 195813.4499354256 6562750.84984162, 195813.75110978796 6562750.6580615165, 195815.6913718544 6562750.816380018)</t>
  </si>
  <si>
    <t>POLYGON ((195815.77102217817 6562750.877124456, 195815.79071131395 6562751.412351221, 195815.5891828896 6562751.987595465, 195813.55303696927 6562751.132380582, 195813.4499354256 6562750.84984162, 195813.75110978796 6562750.6580615165, 195815.6913718544 6562750.816380018, 195815.77102217817 6562750.877124456))</t>
  </si>
  <si>
    <t>['FV82 S7D1 m1587-1599']</t>
  </si>
  <si>
    <t>LINESTRING Z (516703.7688934109 7619968.822017357 6.76, 516702.13883896393 7619968.777649839 6.74, 516702.049619744 7619968.777052366 6.75, 516701.91954766837 7619968.820782638 6.75, 516701.73645649 7619968.908759192 6.74, 516701.6386784475 7619968.975006396 6.74, 516701.54878725414 7619969.074757407 6.73, 516701.4584480835 7619969.2414074 6.73, 516701.40896176064 7619969.363729644 6.72, 516701.3878633684 7619969.486241987 6.71, 516701.3860714372 7619969.753837899 6.72, 516701.6395191369 7619971.271979935 6.7, 516701.8773421937 7619972.700814733 6.67, 516702.19796258037 7619975.0891323835 6.69, 516702.3974195497 7619976.796468555 6.67, 516702.53940529586 7619978.001655033 6.66, 516702.66628933564 7619979.039485432 6.62, 516702.8169083034 7619980.166677438 6.62, 516702.89637355466 7619980.412516877 6.62, 516703.0290070159 7619980.591810409 6.63, 516703.1379054367 7619980.681742354 6.63, 516703.3765766363 7619980.772543417 6.63, 516703.5063494229 7619980.773412541 6.63, 516703.6361968839 7619980.763131841 6.640000000000001, 516703.78647069377 7619980.730687292 6.62, 516703.88830373745 7619980.66446733 6.62, 516704.0187486132 7619980.564988015 6.62, 516704.11689965153 7619980.442991752 6.62, 516704.186737574 7619980.309655536 6.62, 516704.2365225316 7619980.142734025 6.62, 516704.40620631835 7619979.028837519 6.63, 516704.5591458846 7619977.992881181 6.67, 516704.8175780821 7619976.34436328 6.68, 516705.0576232362 7619975.019081814 6.69, 516705.24691262847 7619974.005669645 6.66, 516705.5792392866 7619972.223842809 6.68, 516706.0993627644 7619969.651600514 6.71, 516706.1088179279 7619969.450957909 6.71, 516706.07719611627 7619969.328092469 6.71, 516706.02950199664 7619969.182818714 6.71, 516705.9291621131 7619969.026041996 6.71, 516705.79608013126 7619968.913647288 6.72, 516705.577834337 7619968.800682152 6.71, 516705.3996946253 7619968.754887644 6.73, 516705.2497187986 7619968.742732779 6.73, 516703.7688934109 7619968.822017357 6.76)</t>
  </si>
  <si>
    <t>POLYGON Z ((516703.7688934109 7619968.822017357 6.76, 516702.13883896393 7619968.777649839 6.74, 516702.049619744 7619968.777052366 6.75, 516701.91954766837 7619968.820782638 6.75, 516701.73645649 7619968.908759192 6.74, 516701.6386784475 7619968.975006396 6.74, 516701.54878725414 7619969.074757407 6.73, 516701.4584480835 7619969.2414074 6.73, 516701.40896176064 7619969.363729644 6.72, 516701.3878633684 7619969.486241987 6.71, 516701.3860714372 7619969.753837899 6.72, 516701.6395191369 7619971.271979935 6.7, 516701.8773421937 7619972.700814733 6.67, 516702.19796258037 7619975.0891323835 6.69, 516702.3974195497 7619976.796468555 6.67, 516702.53940529586 7619978.001655033 6.66, 516702.66628933564 7619979.039485432 6.62, 516702.8169083034 7619980.166677438 6.62, 516702.89637355466 7619980.412516877 6.62, 516703.0290070159 7619980.591810409 6.63, 516703.1379054367 7619980.681742354 6.63, 516703.3765766363 7619980.772543417 6.63, 516703.5063494229 7619980.773412541 6.63, 516703.6361968839 7619980.763131841 6.640000000000001, 516703.78647069377 7619980.730687292 6.62, 516703.88830373745 7619980.66446733 6.62, 516704.0187486132 7619980.564988015 6.62, 516704.11689965153 7619980.442991752 6.62, 516704.186737574 7619980.309655536 6.62, 516704.2365225316 7619980.142734025 6.62, 516704.40620631835 7619979.028837519 6.63, 516704.5591458846 7619977.992881181 6.67, 516704.8175780821 7619976.34436328 6.68, 516705.0576232362 7619975.019081814 6.69, 516705.24691262847 7619974.005669645 6.66, 516705.5792392866 7619972.223842809 6.68, 516706.0993627644 7619969.651600514 6.71, 516706.1088179279 7619969.450957909 6.71, 516706.07719611627 7619969.328092469 6.71, 516706.02950199664 7619969.182818714 6.71, 516705.9291621131 7619969.026041996 6.71, 516705.79608013126 7619968.913647288 6.72, 516705.577834337 7619968.800682152 6.71, 516705.3996946253 7619968.754887644 6.73, 516705.2497187986 7619968.742732779 6.73, 516703.7688934109 7619968.822017357 6.76))</t>
  </si>
  <si>
    <t>['FV82 S7D1 m1569-1579']</t>
  </si>
  <si>
    <t>LINESTRING Z (516698.55921102205 7619926.761540632 6.44, 516698.46683060273 7619926.627118183 6.45, 516698.34996794903 7619926.514832489 6.44, 516698.2085484127 7619926.435833381 6.43, 516697.9495197136 7619926.356046892 6.44, 516697.77911456896 7619926.366056381 6.45, 516697.5962443802 7619926.42058375 6.44, 516697.4374831927 7619926.508723519 6.44, 516697.2864597722 7619926.652666745 6.45, 516697.16750705004 7619926.852576327 6.45, 516697.12613110134 7619926.974952948 6.43, 516697.1169004788 7619927.14214609 6.43, 516697.24739728705 7619928.246902283 6.45, 516697.33793629514 7619929.262188349 6.51, 516697.3768236627 7619930.723141787 6.55, 516697.40760001505 7619932.184040928 6.5600000000000005, 516697.4290463945 7619933.221165109 6.54, 516697.3773449068 7619934.280100245 6.57, 516697.2662789656 7619936.3310172465 6.62, 516697.26876690844 7619936.565190813 6.61, 516697.29633412044 7619936.688028987 6.63, 516697.3764731642 7619936.833519774 6.62, 516697.4771134875 7619936.945696819 6.63, 516697.6183085087 7619937.058145381 6.62, 516697.7193966899 7619937.103423463 6.63, 516697.82867045543 7619937.137606022 6.63, 516697.9461298062 7619937.160693057 6.63, 516698.0799603325 7619937.161589047 6.62, 516698.1977182734 7619937.14007678 6.63, 516698.6285686034 7619936.998007091 6.63, 516699.27871302876 7619936.812804428 6.640000000000001, 516700.22933572 7619936.573862225 6.640000000000001, 516701.35802604404 7619936.391864412 6.63, 516701.4880997925 7619936.348134112 6.62, 516701.60600712977 7619936.304322345 6.62, 516701.7281192714 7619936.238238081 6.62, 516701.8464746062 7619936.127527352 6.62, 516701.9160896181 7619936.027640565 6.62, 516702.0066539871 7619935.82754111 6.62, 516702.0360129475 7619935.682783432 6.6000000000000005, 516702.0372822613 7619935.493236335 6.6000000000000005, 516701.9980715055 7619935.292267831 6.59, 516701.29866701533 7619933.748838903 6.57, 516700.8191772484 7619932.67519656 6.54, 516700.4483637689 7619931.724935616 6.5600000000000005, 516699.78642714635 7619930.036803739 6.5200000000000005, 516699.31962501747 7619928.885194346 6.5, 516698.9692371147 7619927.912769738 6.44, 516698.55921102205 7619926.761540632 6.44)</t>
  </si>
  <si>
    <t>POLYGON Z ((516698.55921102205 7619926.761540632 6.44, 516698.46683060273 7619926.627118183 6.45, 516698.34996794903 7619926.514832489 6.44, 516698.2085484127 7619926.435833381 6.43, 516697.9495197136 7619926.356046892 6.44, 516697.77911456896 7619926.366056381 6.45, 516697.5962443802 7619926.42058375 6.44, 516697.4374831927 7619926.508723519 6.44, 516697.2864597722 7619926.652666745 6.45, 516697.16750705004 7619926.852576327 6.45, 516697.12613110134 7619926.974952948 6.43, 516697.1169004788 7619927.14214609 6.43, 516697.24739728705 7619928.246902283 6.45, 516697.33793629514 7619929.262188349 6.51, 516697.3768236627 7619930.723141787 6.55, 516697.40760001505 7619932.184040928 6.5600000000000005, 516697.4290463945 7619933.221165109 6.54, 516697.3773449068 7619934.280100245 6.57, 516697.2662789656 7619936.3310172465 6.62, 516697.26876690844 7619936.565190813 6.61, 516697.29633412044 7619936.688028987 6.63, 516697.3764731642 7619936.833519774 6.62, 516697.4771134875 7619936.945696819 6.63, 516697.6183085087 7619937.058145381 6.62, 516697.7193966899 7619937.103423463 6.63, 516697.82867045543 7619937.137606022 6.63, 516697.9461298062 7619937.160693057 6.63, 516698.0799603325 7619937.161589047 6.62, 516698.1977182734 7619937.14007678 6.63, 516698.6285686034 7619936.998007091 6.63, 516699.27871302876 7619936.812804428 6.640000000000001, 516700.22933572 7619936.573862225 6.640000000000001, 516701.35802604404 7619936.391864412 6.63, 516701.4880997925 7619936.348134112 6.62, 516701.60600712977 7619936.304322345 6.62, 516701.7281192714 7619936.238238081 6.62, 516701.8464746062 7619936.127527352 6.62, 516701.9160896181 7619936.027640565 6.62, 516702.0066539871 7619935.82754111 6.62, 516702.0360129475 7619935.682783432 6.6000000000000005, 516702.0372822613 7619935.493236335 6.6000000000000005, 516701.9980715055 7619935.292267831 6.59, 516701.29866701533 7619933.748838903 6.57, 516700.8191772484 7619932.67519656 6.54, 516700.4483637689 7619931.724935616 6.5600000000000005, 516699.78642714635 7619930.036803739 6.5200000000000005, 516699.31962501747 7619928.885194346 6.5, 516698.9692371147 7619927.912769738 6.44, 516698.55921102205 7619926.761540632 6.44))</t>
  </si>
  <si>
    <t>[82, 2350]</t>
  </si>
  <si>
    <t>['KV2350 S1D1 m7-10', 'FV82 S7D1 m1591-1593', 'FV82 S7D1 m1583 KD1 m19-29']</t>
  </si>
  <si>
    <t>LINESTRING Z (516725.76946818986 7619956.280384166 6.34, 516723.9196078639 7619956.959299902 6.41, 516722.91868060693 7619957.443203014 6.45, 516721.68922895263 7619958.137430645 6.51, 516720.5368312549 7619958.832175445 6.54, 516719.1188876693 7619959.815049265 6.59, 516718.1361469873 7619960.611285436 6.62, 516717.07861556386 7619961.674628614 6.62, 516716.36744057 7619962.494986367 6.65, 516715.549629283 7619963.493034912 6.63, 516714.8660960509 7619964.425081643 6.640000000000001, 516714.09612915985 7619965.546104934 6.640000000000001, 516713.3090446614 7619966.800817712 6.640000000000001, 516712.92710860516 7619967.5118794395 6.63, 516711.9975836688 7619969.445808261 6.59, 516711.71688438376 7619970.179849185 6.59, 516710.88996326685 7619972.538178454 6.57, 516710.42965263035 7619974.051539193 6.54, 516710.4296740036 7619974.653657152 6.55, 516710.57830476057 7619974.866509262 6.57, 516710.84874717006 7619975.05787688 6.57, 516711.09988369176 7619975.104160883 6.5600000000000005, 516711.3759503256 7619975.061409313 6.5600000000000005, 516711.628431613 7619974.906996437 6.55, 516711.7963470189 7619974.662814301 6.53, 516712.11700225365 7619974.018243764 6.5200000000000005, 516712.5072720726 7619973.273786767 6.54, 516713.09879771137 7619972.15156724 6.55, 516713.83736490505 7619970.87422861 6.57, 516714.5792410376 7619969.708415669 6.59, 516715.65650190203 7619968.121138168 6.59, 516717.03949024 7619966.301753369 6.6000000000000005, 516718.3599301826 7619964.738407639 6.59, 516720.2385816123 7619962.788543199 6.57, 516721.54874668224 7619961.5484898295 6.53, 516722.6466101288 7619960.518869945 6.54, 516723.3068049441 7619960.043832369 6.5, 516724.18733922904 7619959.369566507 6.38, 516725.52875519963 7619958.308130042 6.3500000000000005, 516725.66746252 7619958.186406591 6.390000000000001, 516726.4094402476 7619957.611565305 6.3, 516726.52794523793 7619957.478556084 6.36, 516726.65884088306 7619957.312178976 6.29, 516726.7089268911 7619957.100658604 6.3100000000000005, 516726.70629220724 7619956.888784658 6.3100000000000005, 516726.6791005609 7619956.71019701 6.32, 516726.5464674951 7619956.530902223 6.32, 516726.3569834845 7619956.36237651 6.3100000000000005, 516726.2396748422 7619956.316988475 6.3100000000000005, 516725.76946818986 7619956.280384166 6.34)</t>
  </si>
  <si>
    <t>POLYGON Z ((516725.76946818986 7619956.280384166 6.34, 516723.9196078639 7619956.959299902 6.41, 516722.91868060693 7619957.443203014 6.45, 516721.68922895263 7619958.137430645 6.51, 516720.5368312549 7619958.832175445 6.54, 516719.1188876693 7619959.815049265 6.59, 516718.1361469873 7619960.611285436 6.62, 516717.07861556386 7619961.674628614 6.62, 516716.36744057 7619962.494986367 6.65, 516715.549629283 7619963.493034912 6.63, 516714.8660960509 7619964.425081643 6.640000000000001, 516714.09612915985 7619965.546104934 6.640000000000001, 516713.3090446614 7619966.800817712 6.640000000000001, 516712.92710860516 7619967.5118794395 6.63, 516711.9975836688 7619969.445808261 6.59, 516711.71688438376 7619970.179849185 6.59, 516710.88996326685 7619972.538178454 6.57, 516710.42965263035 7619974.051539193 6.54, 516710.4296740036 7619974.653657152 6.55, 516710.57830476057 7619974.866509262 6.57, 516710.84874717006 7619975.05787688 6.57, 516711.09988369176 7619975.104160883 6.5600000000000005, 516711.3759503256 7619975.061409313 6.5600000000000005, 516711.628431613 7619974.906996437 6.55, 516711.7963470189 7619974.662814301 6.53, 516712.11700225365 7619974.018243764 6.5200000000000005, 516712.5072720726 7619973.273786767 6.54, 516713.09879771137 7619972.15156724 6.55, 516713.83736490505 7619970.87422861 6.57, 516714.5792410376 7619969.708415669 6.59, 516715.65650190203 7619968.121138168 6.59, 516717.03949024 7619966.301753369 6.6000000000000005, 516718.3599301826 7619964.738407639 6.59, 516720.2385816123 7619962.788543199 6.57, 516721.54874668224 7619961.5484898295 6.53, 516722.6466101288 7619960.518869945 6.54, 516723.3068049441 7619960.043832369 6.5, 516724.18733922904 7619959.369566507 6.38, 516725.52875519963 7619958.308130042 6.3500000000000005, 516725.66746252 7619958.186406591 6.390000000000001, 516726.4094402476 7619957.611565305 6.3, 516726.52794523793 7619957.478556084 6.36, 516726.65884088306 7619957.312178976 6.29, 516726.7089268911 7619957.100658604 6.3100000000000005, 516726.70629220724 7619956.888784658 6.3100000000000005, 516726.6791005609 7619956.71019701 6.32, 516726.5464674951 7619956.530902223 6.32, 516726.3569834845 7619956.36237651 6.3100000000000005, 516726.2396748422 7619956.316988475 6.3100000000000005, 516725.76946818986 7619956.280384166 6.34))</t>
  </si>
  <si>
    <t>['KV2350 S1D1 m7-10', 'FV82 S7D1 m1575-1576', 'FV82 S7D1 m1583 KD1 m0-9', 'FV82 S7D1 m1583 KD1 m75-77']</t>
  </si>
  <si>
    <t>LINESTRING Z (516705.89743430604 7619931.984434663 6.48, 516707.0799833035 7619934.05516671 6.5200000000000005, 516707.5984341571 7619934.761110401 6.55, 516708.547981958 7619935.893654681 6.5600000000000005, 516710.1485174301 7619937.320469312 6.59, 516710.9471676238 7619937.97253937 6.59, 516711.6292547426 7619938.467724045 6.61, 516712.59868208563 7619939.054036942 6.58, 516713.4671706129 7619939.572771835 6.58, 516714.9377561983 7619940.418901625 6.57, 516715.758400191 7619940.814663053 6.58, 516716.5062697646 7619941.1764859995 6.57, 516717.8289686166 7619941.698266759 6.53, 516719.18839030707 7619942.186843401 6.48, 516720.62899544934 7619942.664814713 6.45, 516722.33703618817 7619943.178030918 6.390000000000001, 516723.4875160898 7619943.3753004465 6.36, 516724.52939558716 7619943.438038314 6.36, 516724.79772887664 7619943.339484694 6.3500000000000005, 516724.84676824114 7619943.284061888 6.32, 516725.00597796205 7619943.129024887 6.33, 516725.10848601675 7619942.9624573365 6.33, 516725.1788494709 7619942.751072912 6.34, 516725.196491933 7619942.539334948 6.33, 516725.1580308506 7619942.22686779 6.3100000000000005, 516725.0577658229 7619942.058940475 6.3, 516724.5976113207 7619941.732495236 6.29, 516724.19791482855 7619941.462207131 6.29, 516723.9877035992 7619941.360444603 6.3, 516722.5392116717 7619940.848967483 6.32, 516720.92939754244 7619940.202605715 6.38, 516719.2395943897 7619939.388453839 6.44, 516717.1986085384 7619938.3266419815 6.5, 516715.4897958957 7619937.322809646 6.53, 516713.99982792465 7619936.342745702 6.53, 516712.2394121522 7619935.171314862 6.5200000000000005, 516710.7462825993 7619934.057427743 6.48, 516709.38713186205 7619932.922138461 6.46, 516708.0481825895 7619931.798135584 6.45, 516707.17697913 7619931.078678498 6.42, 516706.8499042688 7619930.864631317 6.43, 516706.5297453462 7619930.82903577 6.42, 516706.2290422938 7619930.916224211 6.42, 516705.9885740065 7619931.0930187795 6.46, 516705.8363554441 7619931.415358754 6.42, 516705.89743430604 7619931.984434663 6.48)</t>
  </si>
  <si>
    <t>POLYGON Z ((516705.89743430604 7619931.984434663 6.48, 516707.0799833035 7619934.05516671 6.5200000000000005, 516707.5984341571 7619934.761110401 6.55, 516708.547981958 7619935.893654681 6.5600000000000005, 516710.1485174301 7619937.320469312 6.59, 516710.9471676238 7619937.97253937 6.59, 516711.6292547426 7619938.467724045 6.61, 516712.59868208563 7619939.054036942 6.58, 516713.4671706129 7619939.572771835 6.58, 516714.9377561983 7619940.418901625 6.57, 516715.758400191 7619940.814663053 6.58, 516716.5062697646 7619941.1764859995 6.57, 516717.8289686166 7619941.698266759 6.53, 516719.18839030707 7619942.186843401 6.48, 516720.62899544934 7619942.664814713 6.45, 516722.33703618817 7619943.178030918 6.390000000000001, 516723.4875160898 7619943.3753004465 6.36, 516724.52939558716 7619943.438038314 6.36, 516724.79772887664 7619943.339484694 6.3500000000000005, 516724.84676824114 7619943.284061888 6.32, 516725.00597796205 7619943.129024887 6.33, 516725.10848601675 7619942.9624573365 6.33, 516725.1788494709 7619942.751072912 6.34, 516725.196491933 7619942.539334948 6.33, 516725.1580308506 7619942.22686779 6.3100000000000005, 516725.0577658229 7619942.058940475 6.3, 516724.5976113207 7619941.732495236 6.29, 516724.19791482855 7619941.462207131 6.29, 516723.9877035992 7619941.360444603 6.3, 516722.5392116717 7619940.848967483 6.32, 516720.92939754244 7619940.202605715 6.38, 516719.2395943897 7619939.388453839 6.44, 516717.1986085384 7619938.3266419815 6.5, 516715.4897958957 7619937.322809646 6.53, 516713.99982792465 7619936.342745702 6.53, 516712.2394121522 7619935.171314862 6.5200000000000005, 516710.7462825993 7619934.057427743 6.48, 516709.38713186205 7619932.922138461 6.46, 516708.0481825895 7619931.798135584 6.45, 516707.17697913 7619931.078678498 6.42, 516706.8499042688 7619930.864631317 6.43, 516706.5297453462 7619930.82903577 6.42, 516706.2290422938 7619930.916224211 6.42, 516705.9885740065 7619931.0930187795 6.46, 516705.8363554441 7619931.415358754 6.42, 516705.89743430604 7619931.984434663 6.48))</t>
  </si>
  <si>
    <t>[2350]</t>
  </si>
  <si>
    <t>['KV2350 S1D1 m4-16']</t>
  </si>
  <si>
    <t>LINESTRING Z (516724.7990871936 7619948.580148979 6.4, 516723.67610081076 7619948.516867138 6.43, 516721.5677890033 7619948.4246789 6.5200000000000005, 516720.45689408825 7619948.372629907 6.55, 516720.12787922425 7619948.448476528 6.5600000000000005, 516719.9486918682 7619948.558778588 6.57, 516719.7976684544 7619948.702720456 6.58, 516719.69929118303 7619948.858165582 6.58, 516719.6166872612 7619949.080618434 6.6000000000000005, 516719.5871779366 7619949.247675564 6.59, 516719.6098662612 7619949.49313492 6.58, 516719.76657233114 7619950.921427673 6.58, 516719.8369179161 7619952.527546778 6.57, 516719.9769898519 7619952.807244042 6.57, 516720.0695176214 7619952.919367634 6.57, 516720.22685775085 7619953.043076052 6.58, 516720.4369933914 7619953.1559880925 6.57, 516720.6475027596 7619953.213151007 6.5600000000000005, 516720.84614478634 7619953.225633054 6.5600000000000005, 516721.1059922339 7619953.182773807 6.5600000000000005, 516723.1789788315 7619952.494201713 6.47, 516725.11761345767 7619951.882782696 6.41, 516729.9488134974 7619950.5325437905 6.25, 516730.936007845 7619950.282708287 6.22, 516731.08650824096 7619950.216815894 6.22, 516731.2167313978 7619950.150787485 6.21, 516731.3187160088 7619950.06226899 6.23, 516731.4169443668 7619949.929123974 6.23, 516731.4788232804 7619949.773434459 6.23, 516731.5088569814 7619949.528328666 6.23, 516731.48977649177 7619949.349795379 6.22, 516731.40978943685 7619949.18200384 6.25, 516731.3173368295 7619949.058729998 6.25, 516731.1561659279 7619948.901544187 6.24, 516730.9985268892 7619948.822434392 6.23, 516730.8081450485 7619948.787706287 6.24, 516729.76611834555 7619948.747265455 6.26, 516728.7768124854 7619948.707178671 6.32, 516727.39810844127 7619948.6756309755 6.38, 516725.7762268003 7619948.6201525945 6.41, 516724.7990871936 7619948.580148979 6.4)</t>
  </si>
  <si>
    <t>POLYGON Z ((516724.7990871936 7619948.580148979 6.4, 516723.67610081076 7619948.516867138 6.43, 516721.5677890033 7619948.4246789 6.5200000000000005, 516720.45689408825 7619948.372629907 6.55, 516720.12787922425 7619948.448476528 6.5600000000000005, 516719.9486918682 7619948.558778588 6.57, 516719.7976684544 7619948.702720456 6.58, 516719.69929118303 7619948.858165582 6.58, 516719.6166872612 7619949.080618434 6.6000000000000005, 516719.5871779366 7619949.247675564 6.59, 516719.6098662612 7619949.49313492 6.58, 516719.76657233114 7619950.921427673 6.58, 516719.8369179161 7619952.527546778 6.57, 516719.9769898519 7619952.807244042 6.57, 516720.0695176214 7619952.919367634 6.57, 516720.22685775085 7619953.043076052 6.58, 516720.4369933914 7619953.1559880925 6.57, 516720.6475027596 7619953.213151007 6.5600000000000005, 516720.84614478634 7619953.225633054 6.5600000000000005, 516721.1059922339 7619953.182773807 6.5600000000000005, 516723.1789788315 7619952.494201713 6.47, 516725.11761345767 7619951.882782696 6.41, 516729.9488134974 7619950.5325437905 6.25, 516730.936007845 7619950.282708287 6.22, 516731.08650824096 7619950.216815894 6.22, 516731.2167313978 7619950.150787485 6.21, 516731.3187160088 7619950.06226899 6.23, 516731.4169443668 7619949.929123974 6.23, 516731.4788232804 7619949.773434459 6.23, 516731.5088569814 7619949.528328666 6.23, 516731.48977649177 7619949.349795379 6.22, 516731.40978943685 7619949.18200384 6.25, 516731.3173368295 7619949.058729998 6.25, 516731.1561659279 7619948.901544187 6.24, 516730.9985268892 7619948.822434392 6.23, 516730.8081450485 7619948.787706287 6.24, 516729.76611834555 7619948.747265455 6.26, 516728.7768124854 7619948.707178671 6.32, 516727.39810844127 7619948.6756309755 6.38, 516725.7762268003 7619948.6201525945 6.41, 516724.7990871936 7619948.580148979 6.4))</t>
  </si>
  <si>
    <t>['FV82 S7D1 m1574-1577', 'FV82 S7D1 m1590-1594', 'FV82 S7D1 m1583 KD1 m39-65']</t>
  </si>
  <si>
    <t>LINESTRING Z (516689.21915162203 7619935.831144359 6.51, 516689.0864188484 7619936.878387098 6.51, 516688.9584877205 7619937.814158687 6.54, 516688.81816646067 7619938.783298364 6.57, 516688.6876721746 7619939.496046241 6.5600000000000005, 516688.4983871033 7619940.509459626 6.58, 516688.27650926425 7619941.544955598 6.59, 516688.07662478887 7619942.3241411885 6.6000000000000005, 516687.89776376507 7619942.99196417 6.63, 516687.68999240344 7619943.7376460275 6.640000000000001, 516687.46975638415 7619944.527845823 6.62, 516687.25778061495 7619945.295800247 6.640000000000001, 516687.10850179184 7619945.785415946 6.62, 516686.91762409295 7619946.43085794 6.65, 516686.82999779785 7619946.7982325265 6.65, 516686.65984509676 7619947.376911226 6.65, 516686.51785685355 7619947.989229357 6.66, 516686.3594976787 7619948.623738622 6.65, 516686.2588100389 7619949.124829793 6.63, 516686.13687545306 7619949.77073309 6.640000000000001, 516686.08890873997 7619950.272176984 6.65, 516686.0194712919 7619950.951882497 6.65, 516685.995986494 7619951.431189519 6.66, 516685.97603499005 7619951.988572485 6.66, 516685.9779272012 7619952.311944682 6.66, 516685.9775069868 7619952.980961605 6.65, 516686.01883471926 7619953.471852573 6.66, 516686.0594910816 7619954.063092 6.65, 516686.0966887398 7619954.5651056655 6.65, 516686.15799524396 7619955.1007316075 6.65, 516686.2282331522 7619955.513763689 6.66, 516686.33745891857 7619956.16121352 6.640000000000001, 516686.519831713 7619956.786852087 6.640000000000001, 516686.75763777574 7619957.613567462 6.66, 516686.95983994094 7619958.306240703 6.66, 516687.31863734353 7619959.234118603 6.63, 516687.6864405675 7619960.028252866 6.63, 516688.16719881457 7619960.912345609 6.640000000000001, 516688.6565152174 7619961.729593734 6.640000000000001, 516689.1782001214 7619962.558208883 6.63, 516689.72834728163 7619963.375864278 6.65, 516690.24988225143 7619964.226779313 6.640000000000001, 516690.7992825231 7619965.155933242 6.63, 516691.5562811321 7619966.57709112 6.61, 516692.0474120537 7619967.728861956 6.58, 516692.54657872836 7619968.89183701 6.5600000000000005, 516693.018800504 7619970.44489335 6.5600000000000005, 516693.24632802303 7619971.594900141 6.5600000000000005, 516693.389736454 7619972.588239313 6.54, 516693.48890838446 7619973.525530764 6.53, 516693.53730025806 7619974.17257377 6.53, 516693.6160949579 7619974.518761378 6.54, 516693.72867624403 7619974.664469206 6.54, 516693.87775620015 7619974.810421335 6.54, 516694.1366307087 7619974.912507069 6.55, 516694.37980598945 7619974.936435439 6.5600000000000005, 516695.22686402715 7619975.02015777 6.55, 516695.8469683963 7619975.080060444 6.5600000000000005, 516696.2280275443 7619975.104912019 6.5600000000000005, 516696.4591112035 7619975.117609316 6.5600000000000005, 516696.65819944727 7619975.063190459 6.57, 516696.79660585267 7619974.986064725 6.57, 516696.93944089604 7619974.853216995 6.5600000000000005, 516697.0787430584 7619974.642293314 6.5600000000000005, 516697.08991431235 7619974.185204593 6.55, 516696.86803639744 7619973.403196127 6.57, 516696.4869275059 7619972.174108536 6.57, 516696.14833786956 7619971.25751487 6.61, 516695.8771972769 7619970.56437936 6.59, 516695.5978710585 7619969.882339411 6.61, 516695.2698050277 7619969.211123564 6.61, 516694.7893494665 7619968.282430123 6.62, 516694.296578015 7619967.375954999 6.640000000000001, 516693.84699788265 7619966.68162533 6.65, 516693.2488593698 7619965.76329483 6.68, 516692.6698781701 7619965.012347639 6.7, 516692.2275125323 7619964.451870508 6.7, 516691.5997163495 7619963.722897522 6.7, 516690.80713955546 7619962.769815376 6.7, 516690.1760332338 7619961.929317311 6.69, 516689.62994132494 7619961.111688957 6.69, 516689.16871471016 7619960.339229917 6.7, 516688.78867109434 7619959.556163855 6.69, 516688.40937329124 7619958.661599555 6.7, 516688.0786658514 7619957.778510763 6.69, 516687.7971456521 7619956.8176988205 6.68, 516687.56819674873 7619955.879539317 6.69, 516687.43899248645 7619955.187354439 6.7, 516687.38910657837 7619954.763308164 6.7, 516687.32824793144 7619954.16078321 6.69, 516687.29960900254 7619953.591924817 6.69, 516687.2771143072 7619952.710898324 6.68, 516687.2873615653 7619951.7854895815 6.66, 516687.35993255774 7619950.637491253 6.67, 516687.4672122419 7619949.7573330505 6.69, 516687.6560486362 7619948.81081856 6.67, 516687.9299004769 7619947.887173569 6.67, 516688.14946492633 7619947.197322282 6.66, 516688.5083324771 7619946.296546859 6.640000000000001, 516688.86608117755 7619945.563018935 6.640000000000001, 516689.45797557605 7619944.385044686 6.640000000000001, 516689.79920453887 7619943.696007666 6.63, 516690.06676388 7619943.106830669 6.62, 516690.6594055628 7619941.817358416 6.61, 516690.97727242735 7619940.983210936 6.61, 516691.28762551036 7619940.059810582 6.59, 516691.6280833289 7619938.880154171 6.5600000000000005, 516691.8990761368 7619937.778085212 6.54, 516692.0967722101 7619936.720127055 6.54, 516692.2878499375 7619935.439118038 6.53, 516692.4560128298 7619933.946099426 6.49, 516692.4469805513 7619933.477725162 6.46, 516692.24938152963 7619933.309147764 6.48, 516692.08798329055 7619933.185413972 6.49, 516691.9666174637 7619933.140000409 6.5, 516691.82902972435 7619933.0944782905 6.49, 516691.5979421489 7619933.081781427 6.47, 516690.56658252014 7619933.2644349905 6.49, 516690.12799412647 7619933.350702647 6.46, 516689.8477185701 7619933.415729092 6.45, 516689.6564396804 7619933.514802084 6.47, 516689.52989920677 7619933.636608947 6.47, 516689.4478943723 7619933.769864155 6.46, 516689.3778321473 7619933.936650265 6.47, 516689.3286707848 7619934.616491361 6.48, 516689.26838754385 7619935.14015343 6.48, 516689.21915162203 7619935.831144359 6.51)</t>
  </si>
  <si>
    <t>POLYGON Z ((516689.21915162203 7619935.831144359 6.51, 516689.0864188484 7619936.878387098 6.51, 516688.9584877205 7619937.814158687 6.54, 516688.81816646067 7619938.783298364 6.57, 516688.6876721746 7619939.496046241 6.5600000000000005, 516688.4983871033 7619940.509459626 6.58, 516688.27650926425 7619941.544955598 6.59, 516688.07662478887 7619942.3241411885 6.6000000000000005, 516687.89776376507 7619942.99196417 6.63, 516687.68999240344 7619943.7376460275 6.640000000000001, 516687.46975638415 7619944.527845823 6.62, 516687.25778061495 7619945.295800247 6.640000000000001, 516687.10850179184 7619945.785415946 6.62, 516686.91762409295 7619946.43085794 6.65, 516686.82999779785 7619946.7982325265 6.65, 516686.65984509676 7619947.376911226 6.65, 516686.51785685355 7619947.989229357 6.66, 516686.3594976787 7619948.623738622 6.65, 516686.2588100389 7619949.124829793 6.63, 516686.13687545306 7619949.77073309 6.640000000000001, 516686.08890873997 7619950.272176984 6.65, 516686.0194712919 7619950.951882497 6.65, 516685.995986494 7619951.431189519 6.66, 516685.97603499005 7619951.988572485 6.66, 516685.9779272012 7619952.311944682 6.66, 516685.9775069868 7619952.980961605 6.65, 516686.01883471926 7619953.471852573 6.66, 516686.0594910816 7619954.063092 6.65, 516686.0966887398 7619954.5651056655 6.65, 516686.15799524396 7619955.1007316075 6.65, 516686.2282331522 7619955.513763689 6.66, 516686.33745891857 7619956.16121352 6.640000000000001, 516686.519831713 7619956.786852087 6.640000000000001, 516686.75763777574 7619957.613567462 6.66, 516686.95983994094 7619958.306240703 6.66, 516687.31863734353 7619959.234118603 6.63, 516687.6864405675 7619960.028252866 6.63, 516688.16719881457 7619960.912345609 6.640000000000001, 516688.6565152174 7619961.729593734 6.640000000000001, 516689.1782001214 7619962.558208883 6.63, 516689.72834728163 7619963.375864278 6.65, 516690.24988225143 7619964.226779313 6.640000000000001, 516690.7992825231 7619965.155933242 6.63, 516691.5562811321 7619966.57709112 6.61, 516692.0474120537 7619967.728861956 6.58, 516692.54657872836 7619968.89183701 6.5600000000000005, 516693.018800504 7619970.44489335 6.5600000000000005, 516693.24632802303 7619971.594900141 6.5600000000000005, 516693.389736454 7619972.588239313 6.54, 516693.48890838446 7619973.525530764 6.53, 516693.53730025806 7619974.17257377 6.53, 516693.6160949579 7619974.518761378 6.54, 516693.72867624403 7619974.664469206 6.54, 516693.87775620015 7619974.810421335 6.54, 516694.1366307087 7619974.912507069 6.55, 516694.37980598945 7619974.936435439 6.5600000000000005, 516695.22686402715 7619975.02015777 6.55, 516695.8469683963 7619975.080060444 6.5600000000000005, 516696.2280275443 7619975.104912019 6.5600000000000005, 516696.4591112035 7619975.117609316 6.5600000000000005, 516696.65819944727 7619975.063190459 6.57, 516696.79660585267 7619974.986064725 6.57, 516696.93944089604 7619974.853216995 6.5600000000000005, 516697.0787430584 7619974.642293314 6.5600000000000005, 516697.08991431235 7619974.185204593 6.55, 516696.86803639744 7619973.403196127 6.57, 516696.4869275059 7619972.174108536 6.57, 516696.14833786956 7619971.25751487 6.61, 516695.8771972769 7619970.56437936 6.59, 516695.5978710585 7619969.882339411 6.61, 516695.2698050277 7619969.211123564 6.61, 516694.7893494665 7619968.282430123 6.62, 516694.296578015 7619967.375954999 6.640000000000001, 516693.84699788265 7619966.68162533 6.65, 516693.2488593698 7619965.76329483 6.68, 516692.6698781701 7619965.012347639 6.7, 516692.2275125323 7619964.451870508 6.7, 516691.5997163495 7619963.722897522 6.7, 516690.80713955546 7619962.769815376 6.7, 516690.1760332338 7619961.929317311 6.69, 516689.62994132494 7619961.111688957 6.69, 516689.16871471016 7619960.339229917 6.7, 516688.78867109434 7619959.556163855 6.69, 516688.40937329124 7619958.661599555 6.7, 516688.0786658514 7619957.778510763 6.69, 516687.7971456521 7619956.8176988205 6.68, 516687.56819674873 7619955.879539317 6.69, 516687.43899248645 7619955.187354439 6.7, 516687.38910657837 7619954.763308164 6.7, 516687.32824793144 7619954.16078321 6.69, 516687.29960900254 7619953.591924817 6.69, 516687.2771143072 7619952.710898324 6.68, 516687.2873615653 7619951.7854895815 6.66, 516687.35993255774 7619950.637491253 6.67, 516687.4672122419 7619949.7573330505 6.69, 516687.6560486362 7619948.81081856 6.67, 516687.9299004769 7619947.887173569 6.67, 516688.14946492633 7619947.197322282 6.66, 516688.5083324771 7619946.296546859 6.640000000000001, 516688.86608117755 7619945.563018935 6.640000000000001, 516689.45797557605 7619944.385044686 6.640000000000001, 516689.79920453887 7619943.696007666 6.63, 516690.06676388 7619943.106830669 6.62, 516690.6594055628 7619941.817358416 6.61, 516690.97727242735 7619940.983210936 6.61, 516691.28762551036 7619940.059810582 6.59, 516691.6280833289 7619938.880154171 6.5600000000000005, 516691.8990761368 7619937.778085212 6.54, 516692.0967722101 7619936.720127055 6.54, 516692.2878499375 7619935.439118038 6.53, 516692.4560128298 7619933.946099426 6.49, 516692.4469805513 7619933.477725162 6.46, 516692.24938152963 7619933.309147764 6.48, 516692.08798329055 7619933.185413972 6.49, 516691.9666174637 7619933.140000409 6.5, 516691.82902972435 7619933.0944782905 6.49, 516691.5979421489 7619933.081781427 6.47, 516690.56658252014 7619933.2644349905 6.49, 516690.12799412647 7619933.350702647 6.46, 516689.8477185701 7619933.415729092 6.45, 516689.6564396804 7619933.514802084 6.47, 516689.52989920677 7619933.636608947 6.47, 516689.4478943723 7619933.769864155 6.46, 516689.3778321473 7619933.936650265 6.47, 516689.3286707848 7619934.616491361 6.48, 516689.26838754385 7619935.14015343 6.48, 516689.21915162203 7619935.831144359 6.51))</t>
  </si>
  <si>
    <t>['FV82 S7D1 m1583 KD1 m0-77']</t>
  </si>
  <si>
    <t>LINESTRING Z (516708.06616547843 7619959.384171431 6.88, 516708.5062438575 7619959.0749103455 6.88, 516708.8773052476 7619958.776337294 6.8500000000000005, 516709.22846303956 7619958.421879303 6.86, 516709.5998234133 7619958.078707044 6.86, 516709.89833542466 7619957.712746107 6.86, 516710.25820201007 7619957.269143971 6.8500000000000005, 516710.48769705684 7619956.913871028 6.84, 516710.729657306 7619956.514080305 6.82, 516710.93932352646 7619956.091772568 6.83, 516711.1165462936 7619955.669247469 6.84, 516711.30623427365 7619955.202204584 6.84, 516711.447331729 7619954.723685806 6.86, 516711.5596675939 7619954.300725971 6.8500000000000005, 516711.6565288144 7619953.766159155 6.8500000000000005, 516711.70751012716 7619953.420840527 6.86, 516711.7261226059 7619953.064154688 6.86, 516711.7497617579 7619952.562548243 6.86, 516711.7287910093 7619952.060642887 6.83, 516711.69963464706 7619951.569833017 6.84, 516711.62984908436 7619951.089901238 6.8500000000000005, 516711.5473741877 7619950.687936751 6.8500000000000005, 516711.4366605352 7619950.263482392 6.8500000000000005, 516711.3094262146 7619949.883518668 6.86, 516711.1262373213 7619949.3805264095 6.86, 516710.93846996076 7619948.9555558 6.86, 516710.7383867696 7619948.552803348 6.87, 516710.5579831435 7619948.239385404 6.86, 516710.28903183126 7619947.825021239 6.86, 516709.9795258905 7619947.410385399 6.86, 516709.6375762097 7619946.995532235 6.87, 516709.30726989155 7619946.658809434 6.86, 516708.9688525725 7619946.322032336 6.86, 516708.55728756083 7619946.007065912 6.86, 516708.1699057983 7619945.714562223 6.87, 516707.72957892914 7619945.45515491 6.86, 516707.2366804001 7619945.173094854 6.86, 516706.77990744595 7619944.947028531 6.87, 516706.40785091923 7619944.788431725 6.87, 516705.93838866224 7619944.640332869 6.86, 516705.4688516681 7619944.503383928 6.87, 516705.00705214567 7619944.422238546 6.86, 516704.5167897045 7619944.352052945 6.86, 516704.05882155854 7619944.304384392 6.87, 516703.49916823197 7619944.300636232 6.88, 516702.9272738583 7619944.307956551 6.8500000000000005, 516702.4565419575 7619944.349405447 6.84, 516701.99775245215 7619944.424385391 6.84, 516701.416925903 7619944.554299865 6.83, 516700.9291509722 7619944.718288541 6.82, 516700.3192644192 7619944.948361644 6.82, 516699.5584301962 7619945.311228155 6.82, 516699.106408123 7619945.586959866 6.84, 516698.58890164475 7619945.951455863 6.8500000000000005, 516698.1362079586 7619946.327536222 6.84, 516697.72001350403 7619946.703861012 6.8500000000000005, 516697.1969591196 7619947.291326738 6.86, 516696.7591441369 7619947.868212875 6.8500000000000005, 516696.4393106722 7619948.390137248 6.890000000000001, 516696.1599572143 7619948.923482973 6.88, 516695.86776577705 7619949.557095753 6.890000000000001, 516695.64849793597 7619950.202347049 6.86, 516695.4899126559 7619950.870305229 6.87, 516695.37999282376 7619951.538589182 6.87, 516695.3271478369 7619952.162653877 6.8500000000000005, 516695.3183156809 7619952.876215825 6.84, 516695.3588952152 7619953.478605242 6.87, 516695.44851322746 7619954.025571273 6.87, 516695.5667432056 7619954.53927785 6.82, 516695.70915650594 7619955.075446976 6.84, 516695.9363607989 7619955.667935364 6.8100000000000005, 516696.1681429015 7619956.182402115 6.83, 516696.4086329135 7619956.607724546 6.82, 516696.7375960566 7619957.145142577 6.82, 516697.0993757745 7619957.627028699 6.83, 516697.546095578 7619958.1429345235 6.84, 516697.98928229796 7619958.58076447 6.8500000000000005, 516698.48931960145 7619959.007824793 6.88, 516698.8969029206 7619959.311612579 6.890000000000001, 516699.4299806296 7619959.649691677 6.890000000000001, 516699.88667687133 7619959.886906485 6.88, 516700.40825995663 7619960.124555863 6.87, 516700.99893462396 7619960.340367342 6.87, 516701.53733655246 7619960.488926944 6.88, 516702.0272972293 7619960.603711282 6.87, 516702.4973540424 7619960.662610771 6.8500000000000005, 516703.0160760207 7619960.721836263 6.83, 516703.47839529 7619960.724932472 6.83, 516703.8596805896 7619960.716335724 6.84, 516704.2694285944 7619960.696779331 6.84, 516704.84987815586 7619960.622614677 6.84, 516705.32901662186 7619960.536621242 6.8500000000000005, 516705.82880570175 7619960.395014571 6.84, 516706.2962260606 7619960.242040857 6.8500000000000005, 516706.75974041916 7619960.066740405 6.84, 516707.1869053202 7619959.868895882 6.84, 516707.6591282112 7619959.604451296 6.82, 516708.06616547843 7619959.384171431 6.88)</t>
  </si>
  <si>
    <t>POLYGON Z ((516708.06616547843 7619959.384171431 6.88, 516708.5062438575 7619959.0749103455 6.88, 516708.8773052476 7619958.776337294 6.8500000000000005, 516709.22846303956 7619958.421879303 6.86, 516709.5998234133 7619958.078707044 6.86, 516709.89833542466 7619957.712746107 6.86, 516710.25820201007 7619957.269143971 6.8500000000000005, 516710.48769705684 7619956.913871028 6.84, 516710.729657306 7619956.514080305 6.82, 516710.93932352646 7619956.091772568 6.83, 516711.1165462936 7619955.669247469 6.84, 516711.30623427365 7619955.202204584 6.84, 516711.447331729 7619954.723685806 6.86, 516711.5596675939 7619954.300725971 6.8500000000000005, 516711.6565288144 7619953.766159155 6.8500000000000005, 516711.70751012716 7619953.420840527 6.86, 516711.7261226059 7619953.064154688 6.86, 516711.7497617579 7619952.562548243 6.86, 516711.7287910093 7619952.060642887 6.83, 516711.69963464706 7619951.569833017 6.84, 516711.62984908436 7619951.089901238 6.8500000000000005, 516711.5473741877 7619950.687936751 6.8500000000000005, 516711.4366605352 7619950.263482392 6.8500000000000005, 516711.3094262146 7619949.883518668 6.86, 516711.1262373213 7619949.3805264095 6.86, 516710.93846996076 7619948.9555558 6.86, 516710.7383867696 7619948.552803348 6.87, 516710.5579831435 7619948.239385404 6.86, 516710.28903183126 7619947.825021239 6.86, 516709.9795258905 7619947.410385399 6.86, 516709.6375762097 7619946.995532235 6.87, 516709.30726989155 7619946.658809434 6.86, 516708.9688525725 7619946.322032336 6.86, 516708.55728756083 7619946.007065912 6.86, 516708.1699057983 7619945.714562223 6.87, 516707.72957892914 7619945.45515491 6.86, 516707.2366804001 7619945.173094854 6.86, 516706.77990744595 7619944.947028531 6.87, 516706.40785091923 7619944.788431725 6.87, 516705.93838866224 7619944.640332869 6.86, 516705.4688516681 7619944.503383928 6.87, 516705.00705214567 7619944.422238546 6.86, 516704.5167897045 7619944.352052945 6.86, 516704.05882155854 7619944.304384392 6.87, 516703.49916823197 7619944.300636232 6.88, 516702.9272738583 7619944.307956551 6.8500000000000005, 516702.4565419575 7619944.349405447 6.84, 516701.99775245215 7619944.424385391 6.84, 516701.416925903 7619944.554299865 6.83, 516700.9291509722 7619944.718288541 6.82, 516700.3192644192 7619944.948361644 6.82, 516699.5584301962 7619945.311228155 6.82, 516699.106408123 7619945.586959866 6.84, 516698.58890164475 7619945.951455863 6.8500000000000005, 516698.1362079586 7619946.327536222 6.84, 516697.72001350403 7619946.703861012 6.8500000000000005, 516697.1969591196 7619947.291326738 6.86, 516696.7591441369 7619947.868212875 6.8500000000000005, 516696.4393106722 7619948.390137248 6.890000000000001, 516696.1599572143 7619948.923482973 6.88, 516695.86776577705 7619949.557095753 6.890000000000001, 516695.64849793597 7619950.202347049 6.86, 516695.4899126559 7619950.870305229 6.87, 516695.37999282376 7619951.538589182 6.87, 516695.3271478369 7619952.162653877 6.8500000000000005, 516695.3183156809 7619952.876215825 6.84, 516695.3588952152 7619953.478605242 6.87, 516695.44851322746 7619954.025571273 6.87, 516695.5667432056 7619954.53927785 6.82, 516695.70915650594 7619955.075446976 6.84, 516695.9363607989 7619955.667935364 6.8100000000000005, 516696.1681429015 7619956.182402115 6.83, 516696.4086329135 7619956.607724546 6.82, 516696.7375960566 7619957.145142577 6.82, 516697.0993757745 7619957.627028699 6.83, 516697.546095578 7619958.1429345235 6.84, 516697.98928229796 7619958.58076447 6.8500000000000005, 516698.48931960145 7619959.007824793 6.88, 516698.8969029206 7619959.311612579 6.890000000000001, 516699.4299806296 7619959.649691677 6.890000000000001, 516699.88667687133 7619959.886906485 6.88, 516700.40825995663 7619960.124555863 6.87, 516700.99893462396 7619960.340367342 6.87, 516701.53733655246 7619960.488926944 6.88, 516702.0272972293 7619960.603711282 6.87, 516702.4973540424 7619960.662610771 6.8500000000000005, 516703.0160760207 7619960.721836263 6.83, 516703.47839529 7619960.724932472 6.83, 516703.8596805896 7619960.716335724 6.84, 516704.2694285944 7619960.696779331 6.84, 516704.84987815586 7619960.622614677 6.84, 516705.32901662186 7619960.536621242 6.8500000000000005, 516705.82880570175 7619960.395014571 6.84, 516706.2962260606 7619960.242040857 6.8500000000000005, 516706.75974041916 7619960.066740405 6.84, 516707.1869053202 7619959.868895882 6.84, 516707.6591282112 7619959.604451296 6.82, 516708.06616547843 7619959.384171431 6.88))</t>
  </si>
  <si>
    <t>[92161]</t>
  </si>
  <si>
    <t>['PV92161 S1D1 m4-14']</t>
  </si>
  <si>
    <t>LINESTRING Z (273006.77796123293 6760327.636704737 247.96, 273008.58472944295 6760325.647010289 247.88, 273009.88312133716 6760324.265446393 247.83, 273009.9025631463 6760324.254390609 247.83, 273010.28087749577 6760324.023820965 247.82, 273010.6903806091 6760324.001928911 247.8, 273011.02852391545 6760324.144114571 247.8, 273011.1653077481 6760324.267015636 247.79, 273011.39694529795 6760324.665305745 247.79, 273011.346409642 6760325.218910809 247.79, 273010.48566314625 6760326.917636635 247.83, 273009.090094871 6760329.666629535 247.88, 273007.1786127023 6760333.4448458785 247.95000000000002, 273006.67975260795 6760333.481531408 247.97, 273005.3356276303 6760332.32136802 248.02, 273003.824378436 6760331.220221224 248.08, 273003.78822686535 6760330.731349003 248.08, 273006.77796123293 6760327.636704737 247.96)</t>
  </si>
  <si>
    <t>POLYGON Z ((273006.77796123293 6760327.636704737 247.96, 273008.58472944295 6760325.647010289 247.88, 273009.88312133716 6760324.265446393 247.83, 273009.9025631463 6760324.254390609 247.83, 273010.28087749577 6760324.023820965 247.82, 273010.6903806091 6760324.001928911 247.8, 273011.02852391545 6760324.144114571 247.8, 273011.1653077481 6760324.267015636 247.79, 273011.39694529795 6760324.665305745 247.79, 273011.346409642 6760325.218910809 247.79, 273010.48566314625 6760326.917636635 247.83, 273009.090094871 6760329.666629535 247.88, 273007.1786127023 6760333.4448458785 247.95000000000002, 273006.67975260795 6760333.481531408 247.97, 273005.3356276303 6760332.32136802 248.02, 273003.824378436 6760331.220221224 248.08, 273003.78822686535 6760330.731349003 248.08, 273006.77796123293 6760327.636704737 247.96))</t>
  </si>
  <si>
    <t>2025-10-12</t>
  </si>
  <si>
    <t>[4200]</t>
  </si>
  <si>
    <t>['KV4200 S1D1 m9-29']</t>
  </si>
  <si>
    <t>LINESTRING (195589.72194965847 6558907.423200298, 195593.59604116995 6558908.333251716, 195597.42800509412 6558908.64277325, 195600.85577925656 6558908.93979457, 195606.7573221291 6558908.838273575, 195610.36980321357 6558908.706797369, 195609.95706637856 6558907.431272922, 195600.236009827 6558906.584825568, 195594.94883892278 6558906.156489494, 195590.3112968856 6558906.146053774, 195589.69182184344 6558907.045373837)</t>
  </si>
  <si>
    <t>POLYGON ((195589.72194965847 6558907.423200298, 195593.59604116995 6558908.333251716, 195597.42800509412 6558908.64277325, 195600.85577925656 6558908.93979457, 195606.7573221291 6558908.838273575, 195610.36980321357 6558908.706797369, 195609.95706637856 6558907.431272922, 195600.236009827 6558906.584825568, 195594.94883892278 6558906.156489494, 195590.3112968856 6558906.146053774, 195589.69182184344 6558907.045373837, 195589.72194965847 6558907.423200298))</t>
  </si>
  <si>
    <t>['KV4200 S1D1 m11-22']</t>
  </si>
  <si>
    <t>LINESTRING (195591.58531136642 6558898.719468177, 195592.91855400678 6558898.825637658, 195596.75052732253 6558899.135158784, 195603.40232086997 6558900.785488927, 195601.5122444181 6558897.379939901, 195593.5550362044 6558889.615844944, 195591.43831755663 6558897.959548502)</t>
  </si>
  <si>
    <t>POLYGON ((195591.58531136642 6558898.719468177, 195592.91855400678 6558898.825637658, 195596.75052732253 6558899.135158784, 195603.40232086997 6558900.785488927, 195601.5122444181 6558897.379939901, 195593.5550362044 6558889.615844944, 195591.43831755663 6558897.959548502, 195591.58531136642 6558898.719468177))</t>
  </si>
  <si>
    <t>['KV2700 S1D1 m8-11']</t>
  </si>
  <si>
    <t>LINESTRING (195494.37828108406 6560019.529989682, 195495.42462094402 6560018.138052445, 195497.7541607952 6560019.260608396, 195496.8809312617 6560020.873580282, 195494.1781849265 6560019.836721817)</t>
  </si>
  <si>
    <t>POLYGON ((195494.37828108406 6560019.529989682, 195495.42462094402 6560018.138052445, 195497.7541607952 6560019.260608396, 195496.8809312617 6560020.873580282, 195494.1781849265 6560019.836721817, 195494.37828108406 6560019.529989682))</t>
  </si>
  <si>
    <t>['KV2700 S1D1 m14-19']</t>
  </si>
  <si>
    <t>LINESTRING (195486.78392239253 6560015.282456191, 195487.71212852426 6560014.358457975, 195491.86518409272 6560016.107144593, 195490.7941187793 6560018.1273194365, 195486.49687934062 6560015.942808609)</t>
  </si>
  <si>
    <t>POLYGON ((195486.78392239253 6560015.282456191, 195487.71212852426 6560014.358457975, 195491.86518409272 6560016.107144593, 195490.7941187793 6560018.1273194365, 195486.49687934062 6560015.942808609, 195486.78392239253 6560015.282456191))</t>
  </si>
  <si>
    <t>2025-10-13</t>
  </si>
  <si>
    <t>[2150]</t>
  </si>
  <si>
    <t>['KV2150 S2D1 m117-129']</t>
  </si>
  <si>
    <t>LINESTRING (194693.49067779887 6560600.761322403, 194692.69710772845 6560594.729789856, 194692.51123883663 6560588.593709857, 194693.0179532207 6560587.15521744, 194693.80172409886 6560589.250923941, 194694.2614592954 6560594.996031224, 194693.96080650488 6560600.880271322)</t>
  </si>
  <si>
    <t>POLYGON ((194693.49067779887 6560600.761322403, 194692.69710772845 6560594.729789856, 194692.51123883663 6560588.593709857, 194693.0179532207 6560587.15521744, 194693.80172409886 6560589.250923941, 194694.2614592954 6560594.996031224, 194693.96080650488 6560600.880271322, 194693.49067779887 6560600.761322403))</t>
  </si>
  <si>
    <t>[3890]</t>
  </si>
  <si>
    <t>['KV3890 S1D1 m6-16']</t>
  </si>
  <si>
    <t>LINESTRING (195436.10173398 6560582.876312267, 195441.96900565125 6560574.15465977, 195441.0735089982 6560573.611061229, 195439.28781079518 6560574.681822067, 195438.21138869255 6560576.19921378, 195436.02813003777 6560579.862692109, 195435.40328495041 6560582.853784593)</t>
  </si>
  <si>
    <t>POLYGON ((195436.10173398 6560582.876312267, 195441.96900565125 6560574.15465977, 195441.0735089982 6560573.611061229, 195439.28781079518 6560574.681822067, 195438.21138869255 6560576.19921378, 195436.02813003777 6560579.862692109, 195435.40328495041 6560582.853784593, 195436.10173398 6560582.876312267))</t>
  </si>
  <si>
    <t>[1960]</t>
  </si>
  <si>
    <t>['KV1960 S1D1 m9-17']</t>
  </si>
  <si>
    <t>LINESTRING (195723.22255508805 6560825.479329607, 195724.0053163994 6560826.848351542, 195725.49444509757 6560825.957936872, 195728.28803396557 6560824.460235918, 195730.47282316547 6560823.413689888, 195729.56179252762 6560821.663484043, 195723.05568998854 6560825.336073333)</t>
  </si>
  <si>
    <t>POLYGON ((195723.22255508805 6560825.479329607, 195724.0053163994 6560826.848351542, 195725.49444509757 6560825.957936872, 195728.28803396557 6560824.460235918, 195730.47282316547 6560823.413689888, 195729.56179252762 6560821.663484043, 195723.05568998854 6560825.336073333, 195723.22255508805 6560825.479329607))</t>
  </si>
  <si>
    <t>2025-10-14</t>
  </si>
  <si>
    <t>[5380]</t>
  </si>
  <si>
    <t>['KV5380 S1D1 m9-30']</t>
  </si>
  <si>
    <t>LINESTRING (195998.12465621333 6563302.5166535815, 195996.34524412878 6563302.423727412, 195995.53815143724 6563298.652244082, 195995.64323276927 6563295.713850883, 195995.92134336883 6563286.577318969, 195996.41849956044 6563284.010252082, 195997.8175554566 6563281.281786317, 195998.51474945882 6563282.232672765, 195998.17415895005 6563302.199574311)</t>
  </si>
  <si>
    <t>POLYGON ((195998.12465621333 6563302.5166535815, 195996.34524412878 6563302.423727412, 195995.53815143724 6563298.652244082, 195995.64323276927 6563295.713850883, 195995.92134336883 6563286.577318969, 195996.41849956044 6563284.010252082, 195997.8175554566 6563281.281786317, 195998.51474945882 6563282.232672765, 195998.17415895005 6563302.199574311, 195998.12465621333 6563302.5166535815))</t>
  </si>
  <si>
    <t>2025-10-18</t>
  </si>
  <si>
    <t>[1970]</t>
  </si>
  <si>
    <t>['KV1970 S1D1 m606-607']</t>
  </si>
  <si>
    <t>LINESTRING (193428.9958076466 6565010.086375476, 193429.89698952826 6565010.7072650725, 193429.87916428113 6565009.556734, 193428.95914127823 6565009.630776929)</t>
  </si>
  <si>
    <t>POLYGON ((193428.9958076466 6565010.086375476, 193429.89698952826 6565010.7072650725, 193429.87916428113 6565009.556734, 193428.95914127823 6565009.630776929, 193428.9958076466 6565010.086375476))</t>
  </si>
  <si>
    <t>['KV1970 S1D1 m612-621']</t>
  </si>
  <si>
    <t>LINESTRING (193421.614319231 6565019.918537289, 193422.4104576491 6565020.234723336, 193427.6672884563 6565013.660375626, 193426.71691975888 6565012.428317803, 193421.34962116677 6565019.559580062)</t>
  </si>
  <si>
    <t>POLYGON ((193421.614319231 6565019.918537289, 193422.4104576491 6565020.234723336, 193427.6672884563 6565013.660375626, 193426.71691975888 6565012.428317803, 193421.34962116677 6565019.559580062, 193421.614319231 6565019.918537289))</t>
  </si>
  <si>
    <t>[1950]</t>
  </si>
  <si>
    <t>['KV1950 S1D1 m8-19']</t>
  </si>
  <si>
    <t>LINESTRING (193932.17329008545 6565770.755775636, 193932.43739743577 6565772.110182024, 193921.7695166687 6565773.73926481, 193922.35111242306 6565771.38861513, 193932.1482837493 6565770.444633256)</t>
  </si>
  <si>
    <t>POLYGON ((193932.17329008545 6565770.755775636, 193932.43739743577 6565772.110182024, 193921.7695166687 6565773.73926481, 193922.35111242306 6565771.38861513, 193932.1482837493 6565770.444633256, 193932.17329008545 6565770.755775636))</t>
  </si>
  <si>
    <t>[2135]</t>
  </si>
  <si>
    <t>['KV2135 S2D1 m199 KD1 m14-32']</t>
  </si>
  <si>
    <t>LINESTRING (193227.65854437795 6566980.740762842, 193227.9366988407 6566978.414385519, 193231.4549713474 6566978.130854057, 193232.5589924284 6566980.345844464, 193230.3433907361 6566983.454675613, 193227.2884909885 6566981.855459994)</t>
  </si>
  <si>
    <t>POLYGON ((193227.65854437795 6566980.740762842, 193227.9366988407 6566978.414385519, 193231.4549713474 6566978.130854057, 193232.5589924284 6566980.345844464, 193230.3433907361 6566983.454675613, 193227.2884909885 6566981.855459994, 193227.65854437795 6566980.740762842))</t>
  </si>
  <si>
    <t>['KV2030 S2D1 m569-572']</t>
  </si>
  <si>
    <t>LINESTRING (194453.54367113096 6565879.300955452, 194450.6989253548 6565877.527298878, 194450.41306874633 6565879.697533235, 194453.87677886174 6565879.654478978)</t>
  </si>
  <si>
    <t>POLYGON ((194453.54367113096 6565879.300955452, 194450.6989253548 6565877.527298878, 194450.41306874633 6565879.697533235, 194453.87677886174 6565879.654478978, 194453.54367113096 6565879.300955452))</t>
  </si>
  <si>
    <t>['KV2030 S2D1 m561-566']</t>
  </si>
  <si>
    <t>LINESTRING (194442.8355463586 6565874.691244709, 194442.93362618284 6565875.913598107, 194447.04377462814 6565878.122541103, 194448.0382170012 6565876.04084131, 194443.22403623216 6565874.660072881)</t>
  </si>
  <si>
    <t>POLYGON ((194442.8355463586 6565874.691244709, 194442.93362618284 6565875.913598107, 194447.04377462814 6565878.122541103, 194448.0382170012 6565876.04084131, 194443.22403623216 6565874.660072881, 194442.8355463586 6565874.691244709))</t>
  </si>
  <si>
    <t>[4750]</t>
  </si>
  <si>
    <t>['KV4750 S1D1 m7-15']</t>
  </si>
  <si>
    <t>LINESTRING (194642.43569296884 6567600.3817536095, 194643.86690234888 6567599.953772201, 194649.82652377943 6567602.170914536, 194650.88790789293 6567602.935728783, 194650.55434243707 6567603.577603737, 194648.56709489168 6567603.737047962, 194642.33625845227 6567601.004843796)</t>
  </si>
  <si>
    <t>POLYGON ((194642.43569296884 6567600.3817536095, 194643.86690234888 6567599.953772201, 194649.82652377943 6567602.170914536, 194650.88790789293 6567602.935728783, 194650.55434243707 6567603.577603737, 194648.56709489168 6567603.737047962, 194642.33625845227 6567601.004843796, 194642.43569296884 6567600.3817536095))</t>
  </si>
  <si>
    <t>2025-10-23</t>
  </si>
  <si>
    <t>[3230]</t>
  </si>
  <si>
    <t>['KV3230 S1D1 m359-365']</t>
  </si>
  <si>
    <t>LINESTRING (193342.91274145024 6567440.812565965, 193343.12391918403 6567441.008051932, 193346.33034481533 6567446.062228893, 193348.95965393627 6567443.311556875, 193345.23913417966 6567441.15078513, 193342.95586292597 6567440.563037871)</t>
  </si>
  <si>
    <t>POLYGON ((193342.91274145024 6567440.812565965, 193343.12391918403 6567441.008051932, 193346.33034481533 6567446.062228893, 193348.95965393627 6567443.311556875, 193345.23913417966 6567441.15078513, 193342.95586292597 6567440.563037871, 193342.91274145024 6567440.812565965))</t>
  </si>
  <si>
    <t>[2130]</t>
  </si>
  <si>
    <t>['KV2130 S1D1 m647 KD1 m8-41']</t>
  </si>
  <si>
    <t>LINESTRING (193358.62653669866 6567461.847914626, 193355.34327265195 6567460.334146269, 193352.6283508736 6567457.242345874, 193352.58633046463 6567452.939792295, 193354.4394605116 6567449.401656907, 193356.43624825263 6567448.502617222, 193359.79510327167 6567447.67278802, 193363.27457608405 6567448.768120052, 193365.65638377826 6567451.506500693, 193366.27893483767 6567454.453724018, 193365.7911574685 6567457.031847883, 193364.0875468761 6567459.786217318, 193359.16871887154 6567461.871337494)</t>
  </si>
  <si>
    <t>POLYGON ((193358.62653669866 6567461.847914626, 193355.34327265195 6567460.334146269, 193352.6283508736 6567457.242345874, 193352.58633046463 6567452.939792295, 193354.4394605116 6567449.401656907, 193356.43624825263 6567448.502617222, 193359.79510327167 6567447.67278802, 193363.27457608405 6567448.768120052, 193365.65638377826 6567451.506500693, 193366.27893483767 6567454.453724018, 193365.7911574685 6567457.031847883, 193364.0875468761 6567459.786217318, 193359.16871887154 6567461.871337494, 193358.62653669866 6567461.847914626))</t>
  </si>
  <si>
    <t>2025-10-27</t>
  </si>
  <si>
    <t>['KV3230 S3D1 m4-9']</t>
  </si>
  <si>
    <t>LINESTRING (193373.98435033316 6567468.763911687, 193374.85447576625 6567467.150383939, 193372.1404043528 6567463.141394782, 193369.62830853608 6567466.419451589, 193373.4174134232 6567468.932613478)</t>
  </si>
  <si>
    <t>POLYGON ((193373.98435033316 6567468.763911687, 193374.85447576625 6567467.150383939, 193372.1404043528 6567463.141394782, 193369.62830853608 6567466.419451589, 193373.4174134232 6567468.932613478, 193373.98435033316 6567468.763911687))</t>
  </si>
  <si>
    <t>['KV2130 S1D1 m638-643']</t>
  </si>
  <si>
    <t>LINESTRING (193344.96146287 6567469.021964773, 193347.44469424983 6567464.672526066, 193350.20878740662 6567467.447201747, 193346.77672700258 6567470.721108448, 193344.98103906645 6567469.478942161)</t>
  </si>
  <si>
    <t>POLYGON ((193344.96146287 6567469.021964773, 193347.44469424983 6567464.672526066, 193350.20878740662 6567467.447201747, 193346.77672700258 6567470.721108448, 193344.98103906645 6567469.478942161, 193344.96146287 6567469.021964773))</t>
  </si>
  <si>
    <t>[5300]</t>
  </si>
  <si>
    <t>['KV5300 S2D1 m14-44']</t>
  </si>
  <si>
    <t>LINESTRING (195264.44625188858 6567330.934638006, 195268.88853580668 6567331.574315389, 195271.19519567047 6567334.398037432, 195271.28527147602 6567338.39457064, 195270.4321550468 6567340.2298898, 195267.08414434321 6567342.130756459, 195262.7969543549 6567341.489848428, 195261.7681550837 6567339.838754244, 195260.46229691972 6567337.02437645, 195261.05711922736 6567333.901248288, 195263.9712158757 6567330.816100543)</t>
  </si>
  <si>
    <t>POLYGON ((195264.44625188858 6567330.934638006, 195268.88853580668 6567331.574315389, 195271.19519567047 6567334.398037432, 195271.28527147602 6567338.39457064, 195270.4321550468 6567340.2298898, 195267.08414434321 6567342.130756459, 195262.7969543549 6567341.489848428, 195261.7681550837 6567339.838754244, 195260.46229691972 6567337.02437645, 195261.05711922736 6567333.901248288, 195263.9712158757 6567330.816100543, 195264.44625188858 6567330.934638006))</t>
  </si>
  <si>
    <t>[3055]</t>
  </si>
  <si>
    <t>['KV3055 S2D1 m6-16']</t>
  </si>
  <si>
    <t>LINESTRING (195564.5780312874 6567437.719472833, 195565.232203788 6567437.275721873, 195568.1023409284 6567427.819711189, 195564.3886654079 6567426.730000395, 195564.26649946067 6567432.890728337, 195564.25098758488 6567437.510778024)</t>
  </si>
  <si>
    <t>POLYGON ((195564.5780312874 6567437.719472833, 195565.232203788 6567437.275721873, 195568.1023409284 6567427.819711189, 195564.3886654079 6567426.730000395, 195564.26649946067 6567432.890728337, 195564.25098758488 6567437.510778024, 195564.5780312874 6567437.719472833))</t>
  </si>
  <si>
    <t>['KV3055 S1D1 m286 KD1 m24-56']</t>
  </si>
  <si>
    <t>LINESTRING (195571.71200238215 6567418.986749257, 195568.51553339954 6567419.477279629, 195563.36836314737 6567416.4891905645, 195562.56562458404 6567412.560870974, 195563.03136146726 6567409.761278953, 195564.57553999755 6567406.864240961, 195567.53249960882 6567405.319244877, 195571.50619802362 6567405.851351959, 195574.26939668373 6567407.632191129, 195576.45667534083 6567411.841193471, 195576.2069595714 6567415.473454313, 195572.1448611138 6567418.650170479)</t>
  </si>
  <si>
    <t>POLYGON ((195571.71200238215 6567418.986749257, 195568.51553339954 6567419.477279629, 195563.36836314737 6567416.4891905645, 195562.56562458404 6567412.560870974, 195563.03136146726 6567409.761278953, 195564.57553999755 6567406.864240961, 195567.53249960882 6567405.319244877, 195571.50619802362 6567405.851351959, 195574.26939668373 6567407.632191129, 195576.45667534083 6567411.841193471, 195576.2069595714 6567415.473454313, 195572.1448611138 6567418.650170479, 195571.71200238215 6567418.986749257))</t>
  </si>
  <si>
    <t>['KV3055 S1D1 m271-280']</t>
  </si>
  <si>
    <t>LINESTRING (195571.25409047893 6567387.2509015165, 195569.8783067502 6567387.439229686, 195569.82124878833 6567394.198659612, 195569.98141973122 6567397.350793708, 195572.43133236992 6567397.154834958, 195571.48874302354 6567387.3104175385)</t>
  </si>
  <si>
    <t>POLYGON ((195571.25409047893 6567387.2509015165, 195569.8783067502 6567387.439229686, 195569.82124878833 6567394.198659612, 195569.98141973122 6567397.350793708, 195572.43133236992 6567397.154834958, 195571.48874302354 6567387.3104175385, 195571.25409047893 6567387.2509015165))</t>
  </si>
  <si>
    <t>[5630]</t>
  </si>
  <si>
    <t>['KV5630 S1D1 m129-161']</t>
  </si>
  <si>
    <t>LINESTRING (194687.19210531254 6567670.190520347, 194675.24942877417 6567675.991255021, 194669.6649794918 6567677.445840516, 194666.80279471038 6567675.438706216, 194666.66299774603 6567670.830992282, 194667.856137491 6567667.436029944, 194669.18301161117 6567665.707916023, 194672.28093104798 6567664.922545506, 194687.3213478531 6567669.509121177)</t>
  </si>
  <si>
    <t>POLYGON ((194687.19210531254 6567670.190520347, 194675.24942877417 6567675.991255021, 194669.6649794918 6567677.445840516, 194666.80279471038 6567675.438706216, 194666.66299774603 6567670.830992282, 194667.856137491 6567667.436029944, 194669.18301161117 6567665.707916023, 194672.28093104798 6567664.922545506, 194687.3213478531 6567669.509121177, 194687.19210531254 6567670.190520347))</t>
  </si>
  <si>
    <t>[5519]</t>
  </si>
  <si>
    <t>['KV5519 S1D1 m313-319']</t>
  </si>
  <si>
    <t>LINESTRING (193369.15022459038 6567442.792090939, 193371.69248817972 6567445.595837823, 193375.94493427896 6567440.019015522, 193375.63624224666 6567439.540593507, 193370.57887185953 6567441.547382845, 193369.20050966926 6567442.6314601945)</t>
  </si>
  <si>
    <t>POLYGON ((193369.15022459038 6567442.792090939, 193371.69248817972 6567445.595837823, 193375.94493427896 6567440.019015522, 193375.63624224666 6567439.540593507, 193370.57887185953 6567441.547382845, 193369.20050966926 6567442.6314601945, 193369.15022459038 6567442.792090939))</t>
  </si>
  <si>
    <t>[96968]</t>
  </si>
  <si>
    <t>['PV96968 S1D1 m17-36']</t>
  </si>
  <si>
    <t>LINESTRING (193803.5928169178 6567827.354942635, 193805.43243308755 6567825.36154248, 193806.91267086758 6567825.544412058, 193807.8874222017 6567827.087681184, 193807.6953051095 6567828.557075797, 193806.35044537426 6567829.056729333, 193805.03600707877 6567829.005913279, 193803.83910636476 6567827.55880828)</t>
  </si>
  <si>
    <t>POLYGON ((193803.5928169178 6567827.354942635, 193805.43243308755 6567825.36154248, 193806.91267086758 6567825.544412058, 193807.8874222017 6567827.087681184, 193807.6953051095 6567828.557075797, 193806.35044537426 6567829.056729333, 193805.03600707877 6567829.005913279, 193803.83910636476 6567827.55880828, 193803.5928169178 6567827.354942635))</t>
  </si>
  <si>
    <t>2025-10-31</t>
  </si>
  <si>
    <t>[5641]</t>
  </si>
  <si>
    <t>['KV5641 S1D1 m87-104']</t>
  </si>
  <si>
    <t>LINESTRING (195203.46520594746 6568809.537988414, 195201.9280646303 6568811.506463778, 195200.39835992386 6568812.635564505, 195198.70807784225 6568812.692710416, 195196.9438945774 6568811.827528877, 195195.87165793782 6568809.989840107, 195196.57113877498 6568806.243163892, 195198.73125947133 6568805.309592394, 195200.95192570583 6568805.131664578, 195203.00447710918 6568806.6559506245, 195203.64458230324 6568808.908511318)</t>
  </si>
  <si>
    <t>POLYGON ((195203.46520594746 6568809.537988414, 195201.9280646303 6568811.506463778, 195200.39835992386 6568812.635564505, 195198.70807784225 6568812.692710416, 195196.9438945774 6568811.827528877, 195195.87165793782 6568809.989840107, 195196.57113877498 6568806.243163892, 195198.73125947133 6568805.309592394, 195200.95192570583 6568805.131664578, 195203.00447710918 6568806.6559506245, 195203.64458230324 6568808.908511318, 195203.46520594746 6568809.537988414))</t>
  </si>
  <si>
    <t>[2710]</t>
  </si>
  <si>
    <t>['KV2710 S1D1 m295-310']</t>
  </si>
  <si>
    <t>LINESTRING (194669.5965302558 6568665.825792706, 194669.34134196164 6568671.2369087385, 194690.18569950364 6568669.865983168, 194689.2050355188 6568669.172997061, 194679.70656285755 6568667.94456532, 194669.96118839446 6568665.572847905)</t>
  </si>
  <si>
    <t>POLYGON ((194669.5965302558 6568665.825792706, 194669.34134196164 6568671.2369087385, 194690.18569950364 6568669.865983168, 194689.2050355188 6568669.172997061, 194679.70656285755 6568667.94456532, 194669.96118839446 6568665.572847905, 194669.5965302558 6568665.825792706))</t>
  </si>
  <si>
    <t>['KV2710 S2D1 m99-106']</t>
  </si>
  <si>
    <t>LINESTRING (194643.08007085574 6568687.011428369, 194643.11860613944 6568686.91886409, 194643.84417615726 6568685.149488797, 194644.28448146716 6568683.548401444, 194646.97714007838 6568677.796244342, 194649.04873097735 6568679.553598717, 194643.02530095447 6568687.116479642)</t>
  </si>
  <si>
    <t>POLYGON ((194643.08007085574 6568687.011428369, 194643.11860613944 6568686.91886409, 194643.84417615726 6568685.149488797, 194644.28448146716 6568683.548401444, 194646.97714007838 6568677.796244342, 194649.04873097735 6568679.553598717, 194643.02530095447 6568687.116479642, 194643.08007085574 6568687.011428369))</t>
  </si>
  <si>
    <t>2025-11-03</t>
  </si>
  <si>
    <t>[5677]</t>
  </si>
  <si>
    <t>['KV5677 S1D1 m113-130']</t>
  </si>
  <si>
    <t>LINESTRING (195639.99366709404 6569289.569654955, 195636.00216085103 6569291.73436059, 195634.00103865587 6569295.5850884225, 195636.16889506002 6569299.560728594, 195640.9353720768 6569301.33773938, 195644.0626586459 6569300.002679045, 195646.15237561596 6569293.38251697, 195641.0850551632 6569289.784277586)</t>
  </si>
  <si>
    <t>POLYGON ((195639.99366709404 6569289.569654955, 195636.00216085103 6569291.73436059, 195634.00103865587 6569295.5850884225, 195636.16889506002 6569299.560728594, 195640.9353720768 6569301.33773938, 195644.0626586459 6569300.002679045, 195646.15237561596 6569293.38251697, 195641.0850551632 6569289.784277586, 195639.99366709404 6569289.569654955))</t>
  </si>
  <si>
    <t>[1745]</t>
  </si>
  <si>
    <t>['KV1745 S1D1 m822-835']</t>
  </si>
  <si>
    <t>LINESTRING (192858.7009243563 6567691.645603952, 192857.00260460842 6567690.899099495, 192853.75009623443 6567689.696439679, 192851.75602171797 6567689.700794645, 192845.7335863624 6567689.57171365, 192846.2767834323 6567682.984982158, 192852.47174890764 6567685.180443887, 192859.1851604652 6567690.09662593, 192858.6602383533 6567691.212695011)</t>
  </si>
  <si>
    <t>POLYGON ((192858.7009243563 6567691.645603952, 192857.00260460842 6567690.899099495, 192853.75009623443 6567689.696439679, 192851.75602171797 6567689.700794645, 192845.7335863624 6567689.57171365, 192846.2767834323 6567682.984982158, 192852.47174890764 6567685.180443887, 192859.1851604652 6567690.09662593, 192858.6602383533 6567691.212695011, 192858.7009243563 6567691.645603952))</t>
  </si>
  <si>
    <t>2025-11-04</t>
  </si>
  <si>
    <t>['KV3270 S1D1 m583-590']</t>
  </si>
  <si>
    <t>LINESTRING (193040.620227605 6567859.049527527, 193037.79979529098 6567864.198158275, 193036.68953510036 6567863.829157152, 193037.0532953305 6567861.641230387, 193039.96605186118 6567857.637142533, 193040.88465625508 6567858.480163597)</t>
  </si>
  <si>
    <t>POLYGON ((193040.620227605 6567859.049527527, 193037.79979529098 6567864.198158275, 193036.68953510036 6567863.829157152, 193037.0532953305 6567861.641230387, 193039.96605186118 6567857.637142533, 193040.88465625508 6567858.480163597, 193040.620227605 6567859.049527527))</t>
  </si>
  <si>
    <t>2025-11-06</t>
  </si>
  <si>
    <t>2025-11-22T09:11:41Z</t>
  </si>
  <si>
    <t>[5681]</t>
  </si>
  <si>
    <t>['PV5681 S2D1 m98-121']</t>
  </si>
  <si>
    <t>LINESTRING (194130.5385383129 6568848.28055026, 194132.96152451786 6568849.617946784, 194132.90476489137 6568854.700077113, 194129.65327092254 6568858.350287919, 194126.56843297248 6568858.285174824, 194122.06056235783 6568855.885175633, 194121.39578536153 6568851.4761847, 194124.8822785999 6568846.889977476, 194129.71193071333 6568847.575313455)</t>
  </si>
  <si>
    <t>POLYGON ((194130.5385383129 6568848.28055026, 194132.96152451786 6568849.617946784, 194132.90476489137 6568854.700077113, 194129.65327092254 6568858.350287919, 194126.56843297248 6568858.285174824, 194122.06056235783 6568855.885175633, 194121.39578536153 6568851.4761847, 194124.8822785999 6568846.889977476, 194129.71193071333 6568847.575313455, 194130.5385383129 6568848.28055026))</t>
  </si>
  <si>
    <t>2025-11-07</t>
  </si>
  <si>
    <t>[5710]</t>
  </si>
  <si>
    <t>['KV5710 S1D1 m4-14']</t>
  </si>
  <si>
    <t>LINESTRING (203225.13962392625 6561411.148454138, 203228.70923437632 6561416.204002052, 203230.43469768768 6561419.670002133, 203231.78367202875 6561419.184885981, 203230.10618357488 6561409.532097404, 203225.42512350855 6561410.824353694)</t>
  </si>
  <si>
    <t>POLYGON ((203225.13962392625 6561411.148454138, 203228.70923437632 6561416.204002052, 203230.43469768768 6561419.670002133, 203231.78367202875 6561419.184885981, 203230.10618357488 6561409.532097404, 203225.42512350855 6561410.824353694, 203225.13962392625 6561411.148454138))</t>
  </si>
  <si>
    <t>['KV2710 S1D1 m324-329']</t>
  </si>
  <si>
    <t>LINESTRING (194642.76988523168 6568651.292586872, 194644.31571981125 6568655.16116139, 194646.28258665587 6568658.548586311, 194648.80664967129 6568656.422363846, 194642.66445172153 6568650.909613124)</t>
  </si>
  <si>
    <t>POLYGON ((194642.76988523168 6568651.292586872, 194644.31571981125 6568655.16116139, 194646.28258665587 6568658.548586311, 194648.80664967129 6568656.422363846, 194642.66445172153 6568650.909613124, 194642.76988523168 6568651.292586872))</t>
  </si>
  <si>
    <t>[4002]</t>
  </si>
  <si>
    <t>['FV4002 S1D1 m7-21']</t>
  </si>
  <si>
    <t>LINESTRING Z (54914.55084265291 6457232.731546041 35.29, 54914.68188372726 6457232.50852432 35.28, 54914.68046485016 6457232.267135943 35.26, 54914.584556569695 6457232.094559976 35.25, 54913.62545661745 6457230.932336871 35.160000000000004, 54912.4816687968 6457229.504830535 35.050000000000004, 54911.286180849886 6457228.061812415 34.97, 54910.36790636368 6457226.906008491 34.9, 54909.684056057886 6457226.121742945 34.87, 54908.88218481431 6457225.368137596 34.82, 54907.76904003136 6457224.622188698 34.79, 54906.99122808478 6457224.138140326 34.78, 54905.65933533595 6457223.421778873 34.78, 54905.10614562 6457223.19944938 34.800000000000004, 54904.72142258269 6457223.1734090615 34.800000000000004, 54904.41460446024 6457223.230983476 34.82, 54904.189255594916 6457223.412107009 34.83, 54904.04181164637 6457223.6768452795 34.84, 54904.07656397048 6457224.066205402 34.84, 54904.533828227024 6457224.6794955265 34.85, 54905.29112804547 6457225.497457889 34.87, 54906.08479789336 6457226.271921529 34.9, 54907.220929273986 6457227.388154434 34.96, 54908.0156718574 6457228.061891038 35, 54909.73030664108 6457229.4585727425 35.08, 54911.12779358396 6457230.571604537 35.15, 54912.149122222385 6457231.416316543 35.2, 54913.11518638296 6457232.205582414 35.25, 54913.7856704194 6457232.840094021 35.28, 54914.12314872653 6457232.900540516 35.29, 54914.33191307011 6457232.8718441175 35.29, 54914.466336841346 6457232.799467365 35.29, 54914.55084265291 6457232.731546041 35.29)</t>
  </si>
  <si>
    <t>POLYGON Z ((54914.55084265291 6457232.731546041 35.29, 54914.68188372726 6457232.50852432 35.28, 54914.68046485016 6457232.267135943 35.26, 54914.584556569695 6457232.094559976 35.25, 54913.62545661745 6457230.932336871 35.160000000000004, 54912.4816687968 6457229.504830535 35.050000000000004, 54911.286180849886 6457228.061812415 34.97, 54910.36790636368 6457226.906008491 34.9, 54909.684056057886 6457226.121742945 34.87, 54908.88218481431 6457225.368137596 34.82, 54907.76904003136 6457224.622188698 34.79, 54906.99122808478 6457224.138140326 34.78, 54905.65933533595 6457223.421778873 34.78, 54905.10614562 6457223.19944938 34.800000000000004, 54904.72142258269 6457223.1734090615 34.800000000000004, 54904.41460446024 6457223.230983476 34.82, 54904.189255594916 6457223.412107009 34.83, 54904.04181164637 6457223.6768452795 34.84, 54904.07656397048 6457224.066205402 34.84, 54904.533828227024 6457224.6794955265 34.85, 54905.29112804547 6457225.497457889 34.87, 54906.08479789336 6457226.271921529 34.9, 54907.220929273986 6457227.388154434 34.96, 54908.0156718574 6457228.061891038 35, 54909.73030664108 6457229.4585727425 35.08, 54911.12779358396 6457230.571604537 35.15, 54912.149122222385 6457231.416316543 35.2, 54913.11518638296 6457232.205582414 35.25, 54913.7856704194 6457232.840094021 35.28, 54914.12314872653 6457232.900540516 35.29, 54914.33191307011 6457232.8718441175 35.29, 54914.466336841346 6457232.799467365 35.29, 54914.55084265291 6457232.731546041 35.29))</t>
  </si>
  <si>
    <t>2025-11-26T12:00:57Z</t>
  </si>
  <si>
    <t>['FV453 S1D1 m10526-10553']</t>
  </si>
  <si>
    <t>LINESTRING Z (95050.58398575941 6474417.31338478 35.480000000000004, 95040.12920533551 6474433.175160336 35.34, 95036.64335943537 6474438.40599951 35.21, 95034.68029675266 6474441.428399149 35.1, 95029.53317224543 6474448.668805708 34.96, 95026.29709455877 6474453.092657603 34.92, 95026.22410026175 6474452.163627876 34.92, 95026.35232401948 6474451.347386072 34.92, 95026.67796810676 6474450.151344713 34.92, 95027.54441786167 6474448.253073327 34.92, 95029.44112635631 6474444.713499169 35.02, 95032.56702985457 6474439.957466107 35.03, 95034.44205724535 6474436.963056138 35.21, 95039.53036047111 6474429.627311646 35.34, 95048.74265190959 6474415.990062001 35.39)</t>
  </si>
  <si>
    <t>POLYGON Z ((95050.58398575941 6474417.31338478 35.480000000000004, 95040.12920533551 6474433.175160336 35.34, 95036.64335943537 6474438.40599951 35.21, 95034.68029675266 6474441.428399149 35.1, 95029.53317224543 6474448.668805708 34.96, 95026.29709455877 6474453.092657603 34.92, 95026.22410026175 6474452.163627876 34.92, 95026.35232401948 6474451.347386072 34.92, 95026.67796810676 6474450.151344713 34.92, 95027.54441786167 6474448.253073327 34.92, 95029.44112635631 6474444.713499169 35.02, 95032.56702985457 6474439.957466107 35.03, 95034.44205724535 6474436.963056138 35.21, 95039.53036047111 6474429.627311646 35.34, 95048.74265190959 6474415.990062001 35.39, 95050.58398575941 6474417.31338478 35.480000000000004))</t>
  </si>
  <si>
    <t>['FV453 S1D1 m10551-10564']</t>
  </si>
  <si>
    <t>LINESTRING Z (95054.29 6474411.55 35.35, 95052.56 6474414.08 35.37, 95051.86 6474415.12 35.35, 95050.75 6474416.78 35.32, 95049.87 6474418.09 35.29, 95049.46 6474418.47 35.29, 95048.89 6474418.57 35.31, 95048.47 6474418.43 35.300000000000004, 95048.14 6474418.09 35.300000000000004, 95048.01 6474417.67 35.31, 95048.12 6474417.15 35.31, 95048.97 6474415.92 35.34, 95049.82 6474414.7 35.35, 95050.58 6474413.58 35.38, 95051 6474412.94 35.36, 95052.66 6474410.38 35.34, 95053.56 6474409.08 35.29, 95054.22 6474408.08 35.25, 95054.46 6474407.8 35.22, 95054.84 6474407.62 35.230000000000004, 95055.39 6474407.7 35.21, 95055.68 6474407.89 35.21, 95055.94 6474408.36 35.230000000000004, 95055.99 6474408.75 35.230000000000004, 95055.81 6474409.24 35.24, 95055.16 6474410.23 35.28, 95054.29 6474411.55 35.35)</t>
  </si>
  <si>
    <t>POLYGON Z ((95054.29 6474411.55 35.35, 95052.56 6474414.08 35.37, 95051.86 6474415.12 35.35, 95050.75 6474416.78 35.32, 95049.87 6474418.09 35.29, 95049.46 6474418.47 35.29, 95048.89 6474418.57 35.31, 95048.47 6474418.43 35.300000000000004, 95048.14 6474418.09 35.300000000000004, 95048.01 6474417.67 35.31, 95048.12 6474417.15 35.31, 95048.97 6474415.92 35.34, 95049.82 6474414.7 35.35, 95050.58 6474413.58 35.38, 95051 6474412.94 35.36, 95052.66 6474410.38 35.34, 95053.56 6474409.08 35.29, 95054.22 6474408.08 35.25, 95054.46 6474407.8 35.22, 95054.84 6474407.62 35.230000000000004, 95055.39 6474407.7 35.21, 95055.68 6474407.89 35.21, 95055.94 6474408.36 35.230000000000004, 95055.99 6474408.75 35.230000000000004, 95055.81 6474409.24 35.24, 95055.16 6474410.23 35.28, 95054.29 6474411.55 35.35))</t>
  </si>
  <si>
    <t>2025-12-04</t>
  </si>
  <si>
    <t>2025-12-04T07:44:06Z</t>
  </si>
  <si>
    <t>[191]</t>
  </si>
  <si>
    <t>['RV191 S1D1 m933 KD1 m10-28']</t>
  </si>
  <si>
    <t>LINESTRING Z (268711.06420145486 6651542.340574641 122.09, 268710.75440697547 6651542.248180353 122.06, 268709.60400049505 6651541.860486425 122.06, 268708.3503291769 6651541.441994391 122.05, 268708.20358438254 6651541.374963114 122.06, 268707.2950348763 6651540.995421254 122.14, 268706.2714446957 6651540.566058852 122.14, 268705.2043745413 6651540.100463253 122.14, 268704.1463626762 6651539.623997661 122.13, 268703.0965032529 6651539.126697921 122.14, 268702.0656662638 6651538.617622333 122.14, 268701.07468584576 6651538.104923346 122.15, 268700.86453296663 6651538.1139819985 122.15, 268700.61452368856 6651538.2371754795 122.16, 268700.4786494153 6651538.510736795 122.15, 268700.38353864476 6651539.453707481 122.15, 268700.2159616887 6651540.594149539 122.15, 268699.99675232574 6651541.719192554 122.15, 268699.75670883583 6651542.836083126 122.14, 268699.48133783386 6651543.895906379 122.13, 268699.50760742696 6651544.184866567 122.13, 268699.6679399543 6651544.401360016 122.13, 268699.89802130836 6651544.501001091 122.12, 268700.955126459 6651544.41494534 122.13, 268703.33474523266 6651544.178519372 122.16, 268704.5186666819 6651544.050795164 122.17, 268705.694435672 6651543.9439051 122.19, 268706.88198049075 6651543.856037479 122.18, 268707.6501254117 6651543.796251326 122.12, 268707.8004934162 6651543.792627752 122.11, 268708.0613728497 6651543.7890039915 122.09, 268709.21721370233 6651543.794437057 122.09, 268710.85586267314 6651543.806210132 122.14, 268710.9763382432 6651543.805304101 122.15, 268711.70372090105 6651543.849688626 122.22, 268712.80340025073 6651543.900413351 122.23, 268713.22008257476 6651543.84243945 122.23, 268713.4148358335 6651543.5534789255 122.23, 268713.3949069956 6651543.223756348 122.22, 268713.22642204014 6651543.028097057 122.22, 268713.0072107034 6651542.937514286 122.21000000000001, 268711.9437641722 6651542.62228674 122.17, 268711.06420145486 6651542.340574641 122.09)</t>
  </si>
  <si>
    <t>POLYGON Z ((268711.06420145486 6651542.340574641 122.09, 268710.75440697547 6651542.248180353 122.06, 268709.60400049505 6651541.860486425 122.06, 268708.3503291769 6651541.441994391 122.05, 268708.20358438254 6651541.374963114 122.06, 268707.2950348763 6651540.995421254 122.14, 268706.2714446957 6651540.566058852 122.14, 268705.2043745413 6651540.100463253 122.14, 268704.1463626762 6651539.623997661 122.13, 268703.0965032529 6651539.126697921 122.14, 268702.0656662638 6651538.617622333 122.14, 268701.07468584576 6651538.104923346 122.15, 268700.86453296663 6651538.1139819985 122.15, 268700.61452368856 6651538.2371754795 122.16, 268700.4786494153 6651538.510736795 122.15, 268700.38353864476 6651539.453707481 122.15, 268700.2159616887 6651540.594149539 122.15, 268699.99675232574 6651541.719192554 122.15, 268699.75670883583 6651542.836083126 122.14, 268699.48133783386 6651543.895906379 122.13, 268699.50760742696 6651544.184866567 122.13, 268699.6679399543 6651544.401360016 122.13, 268699.89802130836 6651544.501001091 122.12, 268700.955126459 6651544.41494534 122.13, 268703.33474523266 6651544.178519372 122.16, 268704.5186666819 6651544.050795164 122.17, 268705.694435672 6651543.9439051 122.19, 268706.88198049075 6651543.856037479 122.18, 268707.6501254117 6651543.796251326 122.12, 268707.8004934162 6651543.792627752 122.11, 268708.0613728497 6651543.7890039915 122.09, 268709.21721370233 6651543.794437057 122.09, 268710.85586267314 6651543.806210132 122.14, 268710.9763382432 6651543.805304101 122.15, 268711.70372090105 6651543.849688626 122.22, 268712.80340025073 6651543.900413351 122.23, 268713.22008257476 6651543.84243945 122.23, 268713.4148358335 6651543.5534789255 122.23, 268713.3949069956 6651543.223756348 122.22, 268713.22642204014 6651543.028097057 122.22, 268713.0072107034 6651542.937514286 122.21000000000001, 268711.9437641722 6651542.62228674 122.17, 268711.06420145486 6651542.340574641 122.09))</t>
  </si>
  <si>
    <t>2025-12-08T13:32:25Z</t>
  </si>
  <si>
    <t>['RV19 S4D1 m7423-7433']</t>
  </si>
  <si>
    <t>LINESTRING Z (238226.57 6591119.86 62.620000000000005, 238226.54 6591119.86 62.620000000000005, 238226.51 6591119.86 62.620000000000005, 238226.48 6591119.87 62.620000000000005, 238226.45 6591119.88 62.620000000000005, 238226.42 6591119.88 62.620000000000005, 238226.39 6591119.89 62.620000000000005, 238226.37 6591119.91 62.620000000000005, 238226.34 6591119.92 62.63, 238226.31 6591119.93 62.63, 238226.29 6591119.94 62.63, 238226.27 6591119.97 62.63, 238226.24 6591119.98 62.63, 238226.22 6591120 62.63, 238226.2 6591120.02 62.63, 238226.17 6591120.04 62.63, 238226.16 6591120.08 62.63, 238226.14 6591120.1 62.63, 238226.13 6591120.12 62.64, 238226.11 6591120.15 62.64, 238226.1 6591120.17 62.64, 238226.09 6591120.2 62.64, 238226.08 6591120.23 62.64, 238226.07 6591120.26 62.63, 238226.08 6591120.29 62.63, 238226.07 6591120.33 62.63, 238226.07 6591120.36 62.63, 238226.06 6591120.39 62.63, 238226.07 6591120.42 62.63, 238226.07 6591120.45 62.63, 238226.08 6591120.47 62.63, 238226.08 6591120.5 62.63, 238226.1 6591120.52 62.63, 238226.11 6591120.55 62.63, 238226.12 6591120.58 62.620000000000005, 238226.13 6591120.61 62.620000000000005, 238226.15 6591120.64 62.620000000000005, 238226.17 6591120.66 62.620000000000005, 238226.18 6591120.69 62.620000000000005, 238226.2 6591120.71 62.620000000000005, 238226.23 6591120.72 62.620000000000005, 238226.25 6591120.75 62.620000000000005, 238226.27 6591120.77 62.620000000000005, 238226.3 6591120.79 62.61, 238226.32 6591120.79 62.61, 238226.34 6591120.81 62.61, 238226.37 6591120.82 62.61, 238226.41 6591120.84 62.61, 238226.44 6591120.84 62.61, 238226.48 6591120.85 62.61, 238226.51 6591120.86 62.61, 238226.54 6591120.87 62.61, 238226.57 6591120.87 62.61, 238226.6 6591120.88 62.61, 238226.62 6591120.89 62.61, 238226.65 6591120.9 62.61, 238226.68 6591120.9 62.6, 238226.71 6591120.9 62.6, 238226.74 6591120.91 62.6, 238226.78 6591120.91 62.6, 238226.81 6591120.92 62.6, 238226.83 6591120.93 62.6, 238226.86 6591120.94 62.6, 238226.89 6591120.94 62.6, 238226.92 6591120.95 62.6, 238226.95 6591120.96 62.6, 238226.98 6591120.97 62.6, 238227.01 6591120.97 62.6, 238227.06 6591120.98 62.6, 238227.09 6591120.99 62.59, 238227.12 6591120.99 62.59, 238227.15 6591121 62.59, 238227.19 6591121.01 62.59, 238227.22 6591121.02 62.59, 238227.27 6591121.03 62.59, 238227.3 6591121.04 62.59, 238227.33 6591121.05 62.59, 238227.36 6591121.05 62.59, 238227.39 6591121.06 62.59, 238227.42 6591121.06 62.59, 238227.44 6591121.07 62.59, 238227.47 6591121.07 62.59, 238227.5 6591121.08 62.58, 238227.53 6591121.09 62.58, 238227.57 6591121.09 62.58, 238227.6 6591121.1 62.58, 238227.62 6591121.11 62.58, 238227.65 6591121.12 62.58, 238227.68 6591121.12 62.58, 238227.71 6591121.13 62.58, 238227.74 6591121.14 62.58, 238227.77 6591121.15 62.58, 238227.8 6591121.15 62.58, 238227.82 6591121.16 62.58, 238227.85 6591121.17 62.58, 238227.88 6591121.18 62.58, 238227.91 6591121.18 62.57, 238227.95 6591121.19 62.57, 238227.98 6591121.2 62.57, 238228.03 6591121.2 62.57, 238228.06 6591121.21 62.57, 238228.09 6591121.22 62.57, 238228.12 6591121.23 62.57, 238228.14 6591121.23 62.57, 238228.17 6591121.24 62.57, 238228.2 6591121.25 62.57, 238228.23 6591121.26 62.57, 238228.26 6591121.26 62.57, 238228.29 6591121.27 62.57, 238228.33 6591121.28 62.56, 238228.35 6591121.29 62.56, 238228.38 6591121.29 62.56, 238228.41 6591121.3 62.56, 238228.44 6591121.31 62.56, 238228.47 6591121.31 62.56, 238228.5 6591121.32 62.56, 238228.52 6591121.33 62.56, 238228.55 6591121.34 62.56, 238228.58 6591121.34 62.56, 238228.61 6591121.35 62.56, 238228.64 6591121.36 62.56, 238228.67 6591121.37 62.56, 238228.7 6591121.37 62.550000000000004, 238228.73 6591121.38 62.550000000000004, 238228.76 6591121.39 62.550000000000004, 238228.79 6591121.4 62.550000000000004, 238228.82 6591121.4 62.550000000000004, 238228.84 6591121.41 62.550000000000004, 238228.87 6591121.42 62.550000000000004, 238228.9 6591121.43 62.550000000000004, 238228.93 6591121.43 62.550000000000004, 238228.96 6591121.44 62.550000000000004, 238228.99 6591121.45 62.550000000000004, 238229.01 6591121.46 62.550000000000004, 238229.05 6591121.46 62.550000000000004, 238229.08 6591121.47 62.550000000000004, 238229.1 6591121.48 62.54, 238229.14 6591121.48 62.54, 238229.17 6591121.49 62.54, 238229.19 6591121.5 62.54, 238229.22 6591121.52 62.54, 238229.25 6591121.52 62.54, 238229.28 6591121.53 62.54, 238229.31 6591121.54 62.54, 238229.33 6591121.55 62.54, 238229.37 6591121.55 62.54, 238229.4 6591121.56 62.54, 238229.43 6591121.57 62.54, 238229.46 6591121.58 62.54, 238229.48 6591121.58 62.53, 238229.51 6591121.59 62.53, 238229.54 6591121.6 62.53, 238229.57 6591121.61 62.53, 238229.6 6591121.61 62.53, 238229.62 6591121.62 62.53, 238229.65 6591121.63 62.53, 238229.68 6591121.64 62.53, 238229.71 6591121.64 62.53, 238229.75 6591121.65 62.53, 238229.78 6591121.66 62.53, 238229.8 6591121.68 62.53, 238229.83 6591121.68 62.53, 238229.86 6591121.69 62.53, 238229.89 6591121.7 62.52, 238229.91 6591121.71 62.52, 238229.94 6591121.71 62.52, 238229.97 6591121.72 62.52, 238230 6591121.73 62.52, 238230.03 6591121.74 62.52, 238230.07 6591121.74 62.52, 238230.09 6591121.75 62.52, 238230.12 6591121.76 62.52, 238230.15 6591121.77 62.52, 238230.18 6591121.78 62.52, 238230.21 6591121.79 62.52, 238230.23 6591121.8 62.52, 238230.26 6591121.81 62.51, 238230.29 6591121.81 62.51, 238230.32 6591121.82 62.51, 238230.34 6591121.83 62.51, 238230.38 6591121.84 62.51, 238230.41 6591121.84 62.51, 238230.44 6591121.85 62.51, 238230.47 6591121.86 62.51, 238230.49 6591121.88 62.51, 238230.52 6591121.88 62.51, 238230.55 6591121.89 62.51, 238230.58 6591121.9 62.51, 238230.61 6591121.9 62.51, 238230.63 6591121.91 62.5, 238230.66 6591121.92 62.5, 238230.7 6591121.93 62.5, 238230.73 6591121.93 62.5, 238230.75 6591121.95 62.5, 238230.78 6591121.96 62.5, 238230.81 6591121.97 62.5, 238230.84 6591121.97 62.5, 238230.87 6591121.98 62.5, 238230.89 6591121.99 62.5, 238230.92 6591122 62.5, 238230.95 6591122 62.5, 238230.98 6591122.02 62.5, 238231.02 6591122.03 62.49, 238231.04 6591122.04 62.49, 238231.07 6591122.04 62.49, 238231.1 6591122.05 62.49, 238231.13 6591122.06 62.49, 238231.15 6591122.07 62.49, 238231.18 6591122.08 62.49, 238231.21 6591122.09 62.49, 238231.24 6591122.1 62.49, 238231.26 6591122.11 62.49, 238231.29 6591122.11 62.49, 238231.33 6591122.12 62.49, 238231.36 6591122.13 62.49, 238231.39 6591122.15 62.480000000000004, 238231.44 6591122.16 62.480000000000004, 238231.47 6591122.17 62.480000000000004, 238231.5 6591122.18 62.480000000000004, 238231.55 6591122.19 62.480000000000004, 238231.58 6591122.21 62.480000000000004, 238231.62 6591122.22 62.480000000000004, 238231.64 6591122.22 62.480000000000004, 238231.67 6591122.23 62.480000000000004, 238231.7 6591122.24 62.480000000000004, 238231.73 6591122.25 62.480000000000004, 238231.75 6591122.26 62.47, 238231.78 6591122.27 62.47, 238231.81 6591122.28 62.47, 238231.84 6591122.29 62.47, 238231.87 6591122.29 62.47, 238231.9 6591122.31 62.47, 238231.93 6591122.32 62.47, 238231.96 6591122.33 62.47, 238231.99 6591122.33 62.47, 238232.01 6591122.34 62.47, 238232.04 6591122.35 62.47, 238232.07 6591122.37 62.47, 238232.1 6591122.37 62.46, 238232.12 6591122.38 62.46, 238232.15 6591122.39 62.46, 238232.18 6591122.4 62.46, 238232.22 6591122.41 62.46, 238232.24 6591122.42 62.46, 238232.27 6591122.43 62.46, 238232.3 6591122.44 62.46, 238232.33 6591122.44 62.46, 238232.35 6591122.46 62.46, 238232.38 6591122.47 62.46, 238232.41 6591122.48 62.46, 238232.44 6591122.48 62.46, 238232.46 6591122.49 62.45, 238232.5 6591122.51 62.45, 238232.53 6591122.51 62.45, 238232.56 6591122.52 62.45, 238232.58 6591122.53 62.45, 238232.61 6591122.55 62.45, 238232.64 6591122.55 62.45, 238232.66 6591122.56 62.45, 238232.69 6591122.57 62.45, 238232.72 6591122.58 62.45, 238232.76 6591122.59 62.45, 238232.78 6591122.6 62.45, 238232.81 6591122.61 62.45, 238232.84 6591122.62 62.440000000000005, 238232.87 6591122.63 62.440000000000005, 238232.89 6591122.64 62.440000000000005, 238232.92 6591122.65 62.440000000000005, 238232.95 6591122.66 62.440000000000005, 238232.98 6591122.67 62.440000000000005, 238233 6591122.68 62.440000000000005, 238233.03 6591122.69 62.440000000000005, 238233.07 6591122.7 62.440000000000005, 238233.09 6591122.72 62.440000000000005, 238233.12 6591122.72 62.440000000000005, 238233.15 6591122.73 62.440000000000005, 238233.18 6591122.74 62.43, 238233.2 6591122.76 62.43, 238233.23 6591122.76 62.43, 238233.26 6591122.77 62.43, 238233.29 6591122.78 62.43, 238233.32 6591122.8 62.43, 238233.35 6591122.8 62.43, 238233.38 6591122.81 62.43, 238233.4 6591122.82 62.43, 238233.43 6591122.84 62.43, 238233.46 6591122.84 62.43, 238233.49 6591122.85 62.43, 238233.51 6591122.86 62.43, 238233.54 6591122.88 62.42, 238233.57 6591122.88 62.42, 238233.6 6591122.89 62.42, 238233.63 6591122.9 62.42, 238233.66 6591122.92 62.42, 238233.69 6591122.92 62.42, 238233.71 6591122.93 62.42, 238233.74 6591122.95 62.42, 238233.77 6591122.96 62.42, 238233.79 6591122.96 62.42, 238233.82 6591122.97 62.42, 238233.86 6591122.99 62.42, 238233.89 6591122.99 62.410000000000004, 238233.91 6591123 62.410000000000004, 238233.94 6591123.02 62.410000000000004, 238233.97 6591123.03 62.410000000000004, 238233.99 6591123.04 62.410000000000004, 238234.02 6591123.04 62.410000000000004, 238234.05 6591123.06 62.410000000000004, 238234.07 6591123.07 62.410000000000004, 238234.1 6591123.08 62.410000000000004, 238234.14 6591123.08 62.410000000000004, 238234.17 6591123.1 62.410000000000004, 238234.19 6591123.11 62.4, 238234.22 6591123.13 62.4, 238234.25 6591123.13 62.4, 238234.27 6591123.14 62.4, 238234.3 6591123.16 62.4, 238234.33 6591123.17 62.4, 238234.35 6591123.17 62.4, 238234.39 6591123.18 62.4, 238234.42 6591123.2 62.4, 238234.45 6591123.21 62.4, 238234.5 6591123.23 62.4, 238234.53 6591123.24 62.4, 238234.55 6591123.25 62.39, 238234.58 6591123.26 62.39, 238234.61 6591123.27 62.39, 238234.64 6591123.28 62.39, 238234.67 6591123.3 62.39, 238234.7 6591123.3 62.39, 238234.72 6591123.31 62.39, 238234.75 6591123.33 62.39, 238234.78 6591123.34 62.39, 238234.81 6591123.34 62.39, 238234.83 6591123.36 62.39, 238234.86 6591123.37 62.39, 238234.9 6591123.38 62.39, 238234.92 6591123.39 62.38, 238234.95 6591123.4 62.38, 238234.97 6591123.41 62.38, 238234.99 6591123.42 62.38, 238235.02 6591123.42 62.38, 238235.04 6591123.43 62.38, 238235.07 6591123.44 62.38, 238235.1 6591123.45 62.38, 238235.13 6591123.44 62.38, 238235.16 6591123.45 62.38, 238235.19 6591123.45 62.38, 238235.22 6591123.46 62.38, 238235.25 6591123.45 62.38, 238235.28 6591123.45 62.38, 238235.31 6591123.45 62.38, 238235.34 6591123.45 62.38, 238235.37 6591123.44 62.38, 238235.4 6591123.43 62.38, 238235.43 6591123.43 62.38, 238235.46 6591123.42 62.38, 238235.49 6591123.4 62.38, 238235.52 6591123.39 62.38, 238235.54 6591123.38 62.38, 238235.57 6591123.37 62.38, 238235.6 6591123.35 62.38, 238235.63 6591123.34 62.38, 238235.64 6591123.32 62.38, 238235.67 6591123.31 62.38, 238235.69 6591123.28 62.38, 238235.72 6591123.27 62.38, 238235.74 6591123.25 62.38, 238235.76 6591123.23 62.38, 238235.78 6591123.21 62.38, 238235.8 6591123.18 62.38, 238235.82 6591123.16 62.38, 238235.84 6591123.13 62.38, 238235.86 6591123.11 62.38, 238235.87 6591123.09 62.38, 238235.88 6591123.06 62.38, 238235.9 6591123.03 62.38, 238235.91 6591123 62.38, 238235.92 6591122.97 62.39, 238235.93 6591122.95 62.39, 238235.94 6591122.92 62.39, 238235.95 6591122.89 62.39, 238235.95 6591122.86 62.39, 238235.96 6591122.83 62.39, 238235.97 6591122.8 62.39, 238235.97 6591122.77 62.39, 238235.97 6591122.74 62.39, 238235.97 6591122.69 62.39, 238235.98 6591122.66 62.39, 238235.97 6591122.63 62.39, 238235.97 6591122.6 62.39, 238235.98 6591122.56 62.39, 238235.98 6591122.53 62.39, 238235.97 6591122.5 62.39, 238235.98 6591122.44 62.39, 238235.97 6591122.41 62.39, 238235.97 6591122.38 62.39, 238235.98 6591122.35 62.39, 238235.98 6591122.32 62.39, 238235.97 6591122.29 62.39, 238235.98 6591122.26 62.39, 238235.98 6591122.2 62.39, 238235.98 6591122.17 62.39, 238235.98 6591122.14 62.39, 238235.99 6591122.11 62.39, 238235.98 6591122.08 62.39, 238235.98 6591122.05 62.4, 238235.99 6591122.02 62.4, 238235.99 6591121.99 62.4, 238235.98 6591121.96 62.4, 238235.99 6591121.93 62.4, 238235.99 6591121.9 62.4, 238236 6591121.87 62.4, 238235.99 6591121.84 62.4, 238235.99 6591121.81 62.4, 238236 6591121.78 62.4, 238235.99 6591121.75 62.4, 238236 6591121.72 62.4, 238236 6591121.69 62.4, 238236.01 6591121.66 62.4, 238236 6591121.63 62.4, 238236 6591121.6 62.4, 238236.01 6591121.58 62.4, 238236.01 6591121.55 62.4, 238236.01 6591121.52 62.4, 238236.01 6591121.49 62.4, 238236.02 6591121.46 62.4, 238236.02 6591121.43 62.4, 238236.02 6591121.4 62.4, 238236.02 6591121.37 62.4, 238236.03 6591121.33 62.4, 238236.02 6591121.3 62.4, 238236.02 6591121.27 62.4, 238236.03 6591121.24 62.4, 238236.03 6591121.21 62.4, 238236.03 6591121.18 62.4, 238236.03 6591121.15 62.4, 238236.04 6591121.12 62.4, 238236.04 6591121.09 62.4, 238236.04 6591121.03 62.4, 238236.05 6591121 62.4, 238236.05 6591120.94 62.4, 238236.06 6591120.91 62.4, 238236.06 6591120.88 62.4, 238236.06 6591120.83 62.4, 238236.07 6591120.8 62.4, 238236.07 6591120.77 62.4, 238236.07 6591120.74 62.4, 238236.07 6591120.71 62.4, 238236.08 6591120.68 62.4, 238236.09 6591120.65 62.4, 238236.08 6591120.62 62.410000000000004, 238236.09 6591120.59 62.410000000000004, 238236.09 6591120.56 62.410000000000004, 238236.09 6591120.52 62.410000000000004, 238236.1 6591120.49 62.410000000000004, 238236.1 6591120.46 62.410000000000004, 238236.11 6591120.43 62.410000000000004, 238236.1 6591120.4 62.410000000000004, 238236.11 6591120.37 62.4, 238236.12 6591120.34 62.4, 238236.12 6591120.29 62.4, 238236.12 6591120.26 62.4, 238236.13 6591120.23 62.4, 238236.14 6591120.2 62.4, 238236.13 6591120.17 62.4, 238236.14 6591120.14 62.4, 238236.15 6591120.11 62.4, 238236.14 6591120.08 62.4, 238236.15 6591120.05 62.4, 238236.16 6591120.02 62.4, 238236.16 6591119.99 62.4, 238236.16 6591119.97 62.4, 238236.17 6591119.92 62.4, 238236.17 6591119.89 62.4, 238236.17 6591119.86 62.4, 238236.17 6591119.83 62.4, 238236.17 6591119.8 62.4, 238236.17 6591119.77 62.4, 238236.17 6591119.74 62.4, 238236.15 6591119.72 62.4, 238236.15 6591119.69 62.4, 238236.14 6591119.66 62.4, 238236.13 6591119.63 62.4, 238236.12 6591119.61 62.4, 238236.11 6591119.58 62.4, 238236.1 6591119.55 62.4, 238236.08 6591119.52 62.4, 238236.07 6591119.49 62.4, 238236.06 6591119.47 62.4, 238236.04 6591119.44 62.4, 238236.02 6591119.42 62.4, 238236 6591119.4 62.4, 238235.99 6591119.37 62.4, 238235.97 6591119.35 62.4, 238235.95 6591119.33 62.4, 238235.92 6591119.3 62.4, 238235.9 6591119.29 62.4, 238235.88 6591119.27 62.4, 238235.86 6591119.25 62.4, 238235.83 6591119.23 62.4, 238235.81 6591119.21 62.4, 238235.77 6591119.21 62.4, 238235.75 6591119.19 62.4, 238235.72 6591119.18 62.4, 238235.7 6591119.16 62.4, 238235.67 6591119.16 62.4, 238235.64 6591119.15 62.4, 238235.61 6591119.14 62.4, 238235.59 6591119.13 62.4, 238235.56 6591119.13 62.4, 238235.53 6591119.12 62.4, 238235.49 6591119.11 62.4, 238235.46 6591119.11 62.4, 238235.43 6591119.11 62.4, 238235.4 6591119.11 62.4, 238235.37 6591119.11 62.4, 238235.34 6591119.12 62.4, 238235.31 6591119.12 62.4, 238235.28 6591119.12 62.4, 238235.25 6591119.13 62.410000000000004, 238235.22 6591119.14 62.410000000000004, 238235.19 6591119.14 62.410000000000004, 238235.16 6591119.14 62.410000000000004, 238235.14 6591119.15 62.410000000000004, 238235.11 6591119.16 62.410000000000004, 238235.08 6591119.16 62.410000000000004, 238235.05 6591119.17 62.410000000000004, 238235.02 6591119.17 62.410000000000004, 238234.99 6591119.18 62.42, 238234.96 6591119.18 62.42, 238234.93 6591119.19 62.42, 238234.9 6591119.2 62.42, 238234.87 6591119.2 62.42, 238234.84 6591119.2 62.42, 238234.81 6591119.21 62.42, 238234.78 6591119.22 62.42, 238234.75 6591119.22 62.42, 238234.72 6591119.23 62.42, 238234.69 6591119.23 62.42, 238234.66 6591119.24 62.42, 238234.63 6591119.24 62.42, 238234.6 6591119.25 62.42, 238234.57 6591119.26 62.43, 238234.54 6591119.26 62.43, 238234.51 6591119.26 62.43, 238234.48 6591119.26 62.43, 238234.45 6591119.28 62.43, 238234.42 6591119.28 62.43, 238234.39 6591119.28 62.43, 238234.36 6591119.28 62.43, 238234.34 6591119.3 62.43, 238234.31 6591119.3 62.43, 238234.28 6591119.3 62.43, 238234.25 6591119.3 62.43, 238234.22 6591119.32 62.43, 238234.19 6591119.32 62.43, 238234.16 6591119.32 62.440000000000005, 238234.13 6591119.33 62.440000000000005, 238234.1 6591119.33 62.440000000000005, 238234.07 6591119.34 62.440000000000005, 238234.04 6591119.34 62.440000000000005, 238234.01 6591119.35 62.440000000000005, 238233.98 6591119.35 62.440000000000005, 238233.95 6591119.35 62.440000000000005, 238233.92 6591119.36 62.440000000000005, 238233.89 6591119.37 62.440000000000005, 238233.86 6591119.37 62.440000000000005, 238233.83 6591119.37 62.440000000000005, 238233.8 6591119.38 62.45, 238233.77 6591119.39 62.45, 238233.74 6591119.39 62.45, 238233.71 6591119.39 62.45, 238233.68 6591119.4 62.45, 238233.65 6591119.4 62.45, 238233.62 6591119.4 62.45, 238233.59 6591119.41 62.45, 238233.56 6591119.42 62.45, 238233.53 6591119.42 62.45, 238233.5 6591119.42 62.45, 238233.47 6591119.42 62.45, 238233.44 6591119.43 62.45, 238233.41 6591119.44 62.46, 238233.38 6591119.44 62.46, 238233.35 6591119.45 62.46, 238233.32 6591119.45 62.46, 238233.29 6591119.45 62.46, 238233.26 6591119.45 62.46, 238233.24 6591119.47 62.46, 238233.21 6591119.47 62.46, 238233.18 6591119.47 62.46, 238233.15 6591119.47 62.46, 238233.12 6591119.48 62.46, 238233.09 6591119.48 62.46, 238233.06 6591119.48 62.46, 238233.03 6591119.49 62.47, 238233 6591119.5 62.47, 238232.97 6591119.5 62.47, 238232.94 6591119.5 62.47, 238232.91 6591119.51 62.47, 238232.88 6591119.51 62.47, 238232.85 6591119.51 62.47, 238232.82 6591119.51 62.47, 238232.79 6591119.52 62.47, 238232.76 6591119.53 62.47, 238232.73 6591119.53 62.47, 238232.7 6591119.54 62.47, 238232.67 6591119.54 62.47, 238232.64 6591119.54 62.480000000000004, 238232.61 6591119.54 62.480000000000004, 238232.58 6591119.55 62.480000000000004, 238232.55 6591119.55 62.480000000000004, 238232.52 6591119.55 62.480000000000004, 238232.49 6591119.56 62.480000000000004, 238232.46 6591119.57 62.480000000000004, 238232.43 6591119.57 62.480000000000004, 238232.4 6591119.57 62.480000000000004, 238232.37 6591119.57 62.480000000000004, 238232.34 6591119.58 62.480000000000004, 238232.31 6591119.58 62.480000000000004, 238232.28 6591119.58 62.480000000000004, 238232.26 6591119.58 62.49, 238232.22 6591119.59 62.49, 238232.19 6591119.59 62.49, 238232.16 6591119.59 62.49, 238232.13 6591119.6 62.49, 238232.1 6591119.61 62.49, 238232.07 6591119.61 62.49, 238232.04 6591119.61 62.49, 238232.01 6591119.62 62.49, 238231.98 6591119.62 62.49, 238231.95 6591119.62 62.49, 238231.92 6591119.63 62.49, 238231.89 6591119.63 62.49, 238231.86 6591119.63 62.5, 238231.83 6591119.63 62.5, 238231.8 6591119.64 62.5, 238231.77 6591119.64 62.5, 238231.74 6591119.64 62.5, 238231.71 6591119.64 62.5, 238231.68 6591119.65 62.5, 238231.65 6591119.65 62.5, 238231.62 6591119.65 62.5, 238231.59 6591119.66 62.5, 238231.54 6591119.66 62.5, 238231.51 6591119.66 62.5, 238231.48 6591119.67 62.5, 238231.45 6591119.67 62.51, 238231.42 6591119.67 62.51, 238231.39 6591119.68 62.51, 238231.36 6591119.69 62.51, 238231.33 6591119.69 62.51, 238231.3 6591119.69 62.51, 238231.24 6591119.7 62.51, 238231.21 6591119.7 62.51, 238231.18 6591119.7 62.51, 238231.15 6591119.71 62.51, 238231.12 6591119.71 62.51, 238231.09 6591119.71 62.51, 238231.06 6591119.71 62.52, 238231.03 6591119.72 62.52, 238231 6591119.72 62.52, 238230.97 6591119.72 62.52, 238230.94 6591119.71 62.52, 238230.91 6591119.72 62.52, 238230.88 6591119.72 62.52, 238230.85 6591119.72 62.52, 238230.82 6591119.73 62.52, 238230.79 6591119.73 62.52, 238230.76 6591119.73 62.52, 238230.73 6591119.73 62.52, 238230.7 6591119.74 62.52, 238230.67 6591119.74 62.52, 238230.64 6591119.74 62.53, 238230.61 6591119.74 62.53, 238230.58 6591119.75 62.53, 238230.55 6591119.75 62.53, 238230.52 6591119.75 62.53, 238230.49 6591119.76 62.53, 238230.46 6591119.76 62.53, 238230.43 6591119.76 62.53, 238230.4 6591119.76 62.53, 238230.37 6591119.77 62.53, 238230.34 6591119.77 62.53, 238230.31 6591119.77 62.53, 238230.28 6591119.77 62.53, 238230.25 6591119.78 62.53, 238230.22 6591119.77 62.54, 238230.19 6591119.77 62.54, 238230.16 6591119.77 62.54, 238230.13 6591119.78 62.54, 238230.1 6591119.78 62.54, 238230.07 6591119.78 62.54, 238230.04 6591119.79 62.54, 238230.01 6591119.79 62.54, 238229.98 6591119.79 62.54, 238229.95 6591119.79 62.54, 238229.92 6591119.8 62.54, 238229.89 6591119.8 62.54, 238229.86 6591119.79 62.54, 238229.83 6591119.79 62.54, 238229.8 6591119.8 62.550000000000004, 238229.77 6591119.8 62.550000000000004, 238229.74 6591119.8 62.550000000000004, 238229.71 6591119.81 62.550000000000004, 238229.68 6591119.81 62.550000000000004, 238229.65 6591119.81 62.550000000000004, 238229.62 6591119.81 62.550000000000004, 238229.59 6591119.82 62.550000000000004, 238229.56 6591119.81 62.550000000000004, 238229.53 6591119.81 62.550000000000004, 238229.5 6591119.81 62.550000000000004, 238229.47 6591119.82 62.550000000000004, 238229.44 6591119.82 62.550000000000004, 238229.41 6591119.82 62.550000000000004, 238229.38 6591119.83 62.56, 238229.35 6591119.83 62.56, 238229.33 6591119.82 62.56, 238229.29 6591119.82 62.56, 238229.26 6591119.83 62.56, 238229.23 6591119.83 62.56, 238229.2 6591119.83 62.56, 238229.17 6591119.83 62.56, 238229.14 6591119.84 62.56, 238229.11 6591119.83 62.56, 238229.08 6591119.83 62.56, 238229.02 6591119.84 62.56, 238228.99 6591119.84 62.56, 238228.96 6591119.84 62.57, 238228.93 6591119.85 62.57, 238228.9 6591119.84 62.57, 238228.87 6591119.84 62.57, 238228.84 6591119.84 62.57, 238228.81 6591119.85 62.57, 238228.78 6591119.85 62.57, 238228.75 6591119.85 62.57, 238228.72 6591119.84 62.57, 238228.69 6591119.85 62.57, 238228.66 6591119.85 62.57, 238228.63 6591119.85 62.57, 238228.6 6591119.86 62.57, 238228.57 6591119.85 62.57, 238228.54 6591119.85 62.57, 238228.51 6591119.85 62.58, 238228.48 6591119.86 62.58, 238228.45 6591119.86 62.58, 238228.43 6591119.86 62.58, 238228.4 6591119.85 62.58, 238228.37 6591119.86 62.58, 238228.34 6591119.86 62.58, 238228.31 6591119.86 62.58, 238228.28 6591119.86 62.58, 238228.25 6591119.86 62.58, 238228.22 6591119.86 62.58, 238228.19 6591119.86 62.58, 238228.16 6591119.87 62.58, 238228.13 6591119.86 62.58, 238228.1 6591119.86 62.59, 238228.07 6591119.86 62.59, 238228.04 6591119.87 62.59, 238228.01 6591119.87 62.59, 238227.98 6591119.86 62.59, 238227.95 6591119.86 62.59, 238227.92 6591119.87 62.59, 238227.89 6591119.87 62.59, 238227.86 6591119.86 62.59, 238227.83 6591119.87 62.59, 238227.8 6591119.87 62.59, 238227.77 6591119.87 62.59, 238227.74 6591119.86 62.59, 238227.71 6591119.87 62.59, 238227.68 6591119.87 62.59, 238227.65 6591119.87 62.6, 238227.61 6591119.86 62.6, 238227.58 6591119.87 62.6, 238227.55 6591119.87 62.6, 238227.52 6591119.87 62.6, 238227.49 6591119.86 62.6, 238227.46 6591119.87 62.6, 238227.43 6591119.87 62.6, 238227.4 6591119.87 62.6, 238227.37 6591119.87 62.6, 238227.34 6591119.87 62.6, 238227.31 6591119.87 62.6, 238227.28 6591119.87 62.6, 238227.25 6591119.87 62.6, 238227.22 6591119.87 62.6, 238227.19 6591119.87 62.61, 238227.16 6591119.86 62.61, 238227.13 6591119.87 62.61, 238227.1 6591119.87 62.61, 238227.07 6591119.87 62.61, 238227.05 6591119.86 62.61, 238227.01 6591119.87 62.61, 238226.98 6591119.87 62.61, 238226.95 6591119.86 62.61, 238226.92 6591119.87 62.61, 238226.89 6591119.87 62.61, 238226.86 6591119.86 62.61, 238226.83 6591119.86 62.61, 238226.8 6591119.87 62.61, 238226.77 6591119.87 62.61, 238226.74 6591119.86 62.620000000000005, 238226.71 6591119.87 62.620000000000005, 238226.68 6591119.87 62.620000000000005, 238226.65 6591119.86 62.620000000000005, 238226.62 6591119.86 62.620000000000005, 238226.57 6591119.86 62.620000000000005)</t>
  </si>
  <si>
    <t>POLYGON Z ((238226.57 6591119.86 62.620000000000005, 238226.54 6591119.86 62.620000000000005, 238226.51 6591119.86 62.620000000000005, 238226.48 6591119.87 62.620000000000005, 238226.45 6591119.88 62.620000000000005, 238226.42 6591119.88 62.620000000000005, 238226.39 6591119.89 62.620000000000005, 238226.37 6591119.91 62.620000000000005, 238226.34 6591119.92 62.63, 238226.31 6591119.93 62.63, 238226.29 6591119.94 62.63, 238226.27 6591119.97 62.63, 238226.24 6591119.98 62.63, 238226.22 6591120 62.63, 238226.2 6591120.02 62.63, 238226.17 6591120.04 62.63, 238226.16 6591120.08 62.63, 238226.14 6591120.1 62.63, 238226.13 6591120.12 62.64, 238226.11 6591120.15 62.64, 238226.1 6591120.17 62.64, 238226.09 6591120.2 62.64, 238226.08 6591120.23 62.64, 238226.07 6591120.26 62.63, 238226.08 6591120.29 62.63, 238226.07 6591120.33 62.63, 238226.07 6591120.36 62.63, 238226.06 6591120.39 62.63, 238226.07 6591120.42 62.63, 238226.07 6591120.45 62.63, 238226.08 6591120.47 62.63, 238226.08 6591120.5 62.63, 238226.1 6591120.52 62.63, 238226.11 6591120.55 62.63, 238226.12 6591120.58 62.620000000000005, 238226.13 6591120.61 62.620000000000005, 238226.15 6591120.64 62.620000000000005, 238226.17 6591120.66 62.620000000000005, 238226.18 6591120.69 62.620000000000005, 238226.2 6591120.71 62.620000000000005, 238226.23 6591120.72 62.620000000000005, 238226.25 6591120.75 62.620000000000005, 238226.27 6591120.77 62.620000000000005, 238226.3 6591120.79 62.61, 238226.32 6591120.79 62.61, 238226.34 6591120.81 62.61, 238226.37 6591120.82 62.61, 238226.41 6591120.84 62.61, 238226.44 6591120.84 62.61, 238226.48 6591120.85 62.61, 238226.51 6591120.86 62.61, 238226.54 6591120.87 62.61, 238226.57 6591120.87 62.61, 238226.6 6591120.88 62.61, 238226.62 6591120.89 62.61, 238226.65 6591120.9 62.61, 238226.68 6591120.9 62.6, 238226.71 6591120.9 62.6, 238226.74 6591120.91 62.6, 238226.78 6591120.91 62.6, 238226.81 6591120.92 62.6, 238226.83 6591120.93 62.6, 238226.86 6591120.94 62.6, 238226.89 6591120.94 62.6, 238226.92 6591120.95 62.6, 238226.95 6591120.96 62.6, 238226.98 6591120.97 62.6, 238227.01 6591120.97 62.6, 238227.06 6591120.98 62.6, 238227.09 6591120.99 62.59, 238227.12 6591120.99 62.59, 238227.15 6591121 62.59, 238227.19 6591121.01 62.59, 238227.22 6591121.02 62.59, 238227.27 6591121.03 62.59, 238227.3 6591121.04 62.59, 238227.33 6591121.05 62.59, 238227.36 6591121.05 62.59, 238227.39 6591121.06 62.59, 238227.42 6591121.06 62.59, 238227.44 6591121.07 62.59, 238227.47 6591121.07 62.59, 238227.5 6591121.08 62.58, 238227.53 6591121.09 62.58, 238227.57 6591121.09 62.58, 238227.6 6591121.1 62.58, 238227.62 6591121.11 62.58, 238227.65 6591121.12 62.58, 238227.68 6591121.12 62.58, 238227.71 6591121.13 62.58, 238227.74 6591121.14 62.58, 238227.77 6591121.15 62.58, 238227.8 6591121.15 62.58, 238227.82 6591121.16 62.58, 238227.85 6591121.17 62.58, 238227.88 6591121.18 62.58, 238227.91 6591121.18 62.57, 238227.95 6591121.19 62.57, 238227.98 6591121.2 62.57, 238228.03 6591121.2 62.57, 238228.06 6591121.21 62.57, 238228.09 6591121.22 62.57, 238228.12 6591121.23 62.57, 238228.14 6591121.23 62.57, 238228.17 6591121.24 62.57, 238228.2 6591121.25 62.57, 238228.23 6591121.26 62.57, 238228.26 6591121.26 62.57, 238228.29 6591121.27 62.57, 238228.33 6591121.28 62.56, 238228.35 6591121.29 62.56, 238228.38 6591121.29 62.56, 238228.41 6591121.3 62.56, 238228.44 6591121.31 62.56, 238228.47 6591121.31 62.56, 238228.5 6591121.32 62.56, 238228.52 6591121.33 62.56, 238228.55 6591121.34 62.56, 238228.58 6591121.34 62.56, 238228.61 6591121.35 62.56, 238228.64 6591121.36 62.56, 238228.67 6591121.37 62.56, 238228.7 6591121.37 62.550000000000004, 238228.73 6591121.38 62.550000000000004, 238228.76 6591121.39 62.550000000000004, 238228.79 6591121.4 62.550000000000004, 238228.82 6591121.4 62.550000000000004, 238228.84 6591121.41 62.550000000000004, 238228.87 6591121.42 62.550000000000004, 238228.9 6591121.43 62.550000000000004, 238228.93 6591121.43 62.550000000000004, 238228.96 6591121.44 62.550000000000004, 238228.99 6591121.45 62.550000000000004, 238229.01 6591121.46 62.550000000000004, 238229.05 6591121.46 62.550000000000004, 238229.08 6591121.47 62.550000000000004, 238229.1 6591121.48 62.54, 238229.14 6591121.48 62.54, 238229.17 6591121.49 62.54, 238229.19 6591121.5 62.54, 238229.22 6591121.52 62.54, 238229.25 6591121.52 62.54, 238229.28 6591121.53 62.54, 238229.31 6591121.54 62.54, 238229.33 6591121.55 62.54, 238229.37 6591121.55 62.54, 238229.4 6591121.56 62.54, 238229.43 6591121.57 62.54, 238229.46 6591121.58 62.54, 238229.48 6591121.58 62.53, 238229.51 6591121.59 62.53, 238229.54 6591121.6 62.53, 238229.57 6591121.61 62.53, 238229.6 6591121.61 62.53, 238229.62 6591121.62 62.53, 238229.65 6591121.63 62.53, 238229.68 6591121.64 62.53, 238229.71 6591121.64 62.53, 238229.75 6591121.65 62.53, 238229.78 6591121.66 62.53, 238229.8 6591121.68 62.53, 238229.83 6591121.68 62.53, 238229.86 6591121.69 62.53, 238229.89 6591121.7 62.52, 238229.91 6591121.71 62.52, 238229.94 6591121.71 62.52, 238229.97 6591121.72 62.52, 238230 6591121.73 62.52, 238230.03 6591121.74 62.52, 238230.07 6591121.74 62.52, 238230.09 6591121.75 62.52, 238230.12 6591121.76 62.52, 238230.15 6591121.77 62.52, 238230.18 6591121.78 62.52, 238230.21 6591121.79 62.52, 238230.23 6591121.8 62.52, 238230.26 6591121.81 62.51, 238230.29 6591121.81 62.51, 238230.32 6591121.82 62.51, 238230.34 6591121.83 62.51, 238230.38 6591121.84 62.51, 238230.41 6591121.84 62.51, 238230.44 6591121.85 62.51, 238230.47 6591121.86 62.51, 238230.49 6591121.88 62.51, 238230.52 6591121.88 62.51, 238230.55 6591121.89 62.51, 238230.58 6591121.9 62.51, 238230.61 6591121.9 62.51, 238230.63 6591121.91 62.5, 238230.66 6591121.92 62.5, 238230.7 6591121.93 62.5, 238230.73 6591121.93 62.5, 238230.75 6591121.95 62.5, 238230.78 6591121.96 62.5, 238230.81 6591121.97 62.5, 238230.84 6591121.97 62.5, 238230.87 6591121.98 62.5, 238230.89 6591121.99 62.5, 238230.92 6591122 62.5, 238230.95 6591122 62.5, 238230.98 6591122.02 62.5, 238231.02 6591122.03 62.49, 238231.04 6591122.04 62.49, 238231.07 6591122.04 62.49, 238231.1 6591122.05 62.49, 238231.13 6591122.06 62.49, 238231.15 6591122.07 62.49, 238231.18 6591122.08 62.49, 238231.21 6591122.09 62.49, 238231.24 6591122.1 62.49, 238231.26 6591122.11 62.49, 238231.29 6591122.11 62.49, 238231.33 6591122.12 62.49, 238231.36 6591122.13 62.49, 238231.39 6591122.15 62.480000000000004, 238231.44 6591122.16 62.480000000000004, 238231.47 6591122.17 62.480000000000004, 238231.5 6591122.18 62.480000000000004, 238231.55 6591122.19 62.480000000000004, 238231.58 6591122.21 62.480000000000004, 238231.62 6591122.22 62.480000000000004, 238231.64 6591122.22 62.480000000000004, 238231.67 6591122.23 62.480000000000004, 238231.7 6591122.24 62.480000000000004, 238231.73 6591122.25 62.480000000000004, 238231.75 6591122.26 62.47, 238231.78 6591122.27 62.47, 238231.81 6591122.28 62.47, 238231.84 6591122.29 62.47, 238231.87 6591122.29 62.47, 238231.9 6591122.31 62.47, 238231.93 6591122.32 62.47, 238231.96 6591122.33 62.47, 238231.99 6591122.33 62.47, 238232.01 6591122.34 62.47, 238232.04 6591122.35 62.47, 238232.07 6591122.37 62.47, 238232.1 6591122.37 62.46, 238232.12 6591122.38 62.46, 238232.15 6591122.39 62.46, 238232.18 6591122.4 62.46, 238232.22 6591122.41 62.46, 238232.24 6591122.42 62.46, 238232.27 6591122.43 62.46, 238232.3 6591122.44 62.46, 238232.33 6591122.44 62.46, 238232.35 6591122.46 62.46, 238232.38 6591122.47 62.46, 238232.41 6591122.48 62.46, 238232.44 6591122.48 62.46, 238232.46 6591122.49 62.45, 238232.5 6591122.51 62.45, 238232.53 6591122.51 62.45, 238232.56 6591122.52 62.45, 238232.58 6591122.53 62.45, 238232.61 6591122.55 62.45, 238232.64 6591122.55 62.45, 238232.66 6591122.56 62.45, 238232.69 6591122.57 62.45, 238232.72 6591122.58 62.45, 238232.76 6591122.59 62.45, 238232.78 6591122.6 62.45, 238232.81 6591122.61 62.45, 238232.84 6591122.62 62.440000000000005, 238232.87 6591122.63 62.440000000000005, 238232.89 6591122.64 62.440000000000005, 238232.92 6591122.65 62.440000000000005, 238232.95 6591122.66 62.440000000000005, 238232.98 6591122.67 62.440000000000005, 238233 6591122.68 62.440000000000005, 238233.03 6591122.69 62.440000000000005, 238233.07 6591122.7 62.440000000000005, 238233.09 6591122.72 62.440000000000005, 238233.12 6591122.72 62.440000000000005, 238233.15 6591122.73 62.440000000000005, 238233.18 6591122.74 62.43, 238233.2 6591122.76 62.43, 238233.23 6591122.76 62.43, 238233.26 6591122.77 62.43, 238233.29 6591122.78 62.43, 238233.32 6591122.8 62.43, 238233.35 6591122.8 62.43, 238233.38 6591122.81 62.43, 238233.4 6591122.82 62.43, 238233.43 6591122.84 62.43, 238233.46 6591122.84 62.43, 238233.49 6591122.85 62.43, 238233.51 6591122.86 62.43, 238233.54 6591122.88 62.42, 238233.57 6591122.88 62.42, 238233.6 6591122.89 62.42, 238233.63 6591122.9 62.42, 238233.66 6591122.92 62.42, 238233.69 6591122.92 62.42, 238233.71 6591122.93 62.42, 238233.74 6591122.95 62.42, 238233.77 6591122.96 62.42, 238233.79 6591122.96 62.42, 238233.82 6591122.97 62.42, 238233.86 6591122.99 62.42, 238233.89 6591122.99 62.410000000000004, 238233.91 6591123 62.410000000000004, 238233.94 6591123.02 62.410000000000004, 238233.97 6591123.03 62.410000000000004, 238233.99 6591123.04 62.410000000000004, 238234.02 6591123.04 62.410000000000004, 238234.05 6591123.06 62.410000000000004, 238234.07 6591123.07 62.410000000000004, 238234.1 6591123.08 62.410000000000004, 238234.14 6591123.08 62.410000000000004, 238234.17 6591123.1 62.410000000000004, 238234.19 6591123.11 62.4, 238234.22 6591123.13 62.4, 238234.25 6591123.13 62.4, 238234.27 6591123.14 62.4, 238234.3 6591123.16 62.4, 238234.33 6591123.17 62.4, 238234.35 6591123.17 62.4, 238234.39 6591123.18 62.4, 238234.42 6591123.2 62.4, 238234.45 6591123.21 62.4, 238234.5 6591123.23 62.4, 238234.53 6591123.24 62.4, 238234.55 6591123.25 62.39, 238234.58 6591123.26 62.39, 238234.61 6591123.27 62.39, 238234.64 6591123.28 62.39, 238234.67 6591123.3 62.39, 238234.7 6591123.3 62.39, 238234.72 6591123.31 62.39, 238234.75 6591123.33 62.39, 238234.78 6591123.34 62.39, 238234.81 6591123.34 62.39, 238234.83 6591123.36 62.39, 238234.86 6591123.37 62.39, 238234.9 6591123.38 62.39, 238234.92 6591123.39 62.38, 238234.95 6591123.4 62.38, 238234.97 6591123.41 62.38, 238234.99 6591123.42 62.38, 238235.02 6591123.42 62.38, 238235.04 6591123.43 62.38, 238235.07 6591123.44 62.38, 238235.1 6591123.45 62.38, 238235.13 6591123.44 62.38, 238235.16 6591123.45 62.38, 238235.19 6591123.45 62.38, 238235.22 6591123.46 62.38, 238235.25 6591123.45 62.38, 238235.28 6591123.45 62.38, 238235.31 6591123.45 62.38, 238235.34 6591123.45 62.38, 238235.37 6591123.44 62.38, 238235.4 6591123.43 62.38, 238235.43 6591123.43 62.38, 238235.46 6591123.42 62.38, 238235.49 6591123.4 62.38, 238235.52 6591123.39 62.38, 238235.54 6591123.38 62.38, 238235.57 6591123.37 62.38, 238235.6 6591123.35 62.38, 238235.63 6591123.34 62.38, 238235.64 6591123.32 62.38, 238235.67 6591123.31 62.38, 238235.69 6591123.28 62.38, 238235.72 6591123.27 62.38, 238235.74 6591123.25 62.38, 238235.76 6591123.23 62.38, 238235.78 6591123.21 62.38, 238235.8 6591123.18 62.38, 238235.82 6591123.16 62.38, 238235.84 6591123.13 62.38, 238235.86 6591123.11 62.38, 238235.87 6591123.09 62.38, 238235.88 6591123.06 62.38, 238235.9 6591123.03 62.38, 238235.91 6591123 62.38, 238235.92 6591122.97 62.39, 238235.93 6591122.95 62.39, 238235.94 6591122.92 62.39, 238235.95 6591122.89 62.39, 238235.95 6591122.86 62.39, 238235.96 6591122.83 62.39, 238235.97 6591122.8 62.39, 238235.97 6591122.77 62.39, 238235.97 6591122.74 62.39, 238235.97 6591122.69 62.39, 238235.98 6591122.66 62.39, 238235.97 6591122.63 62.39, 238235.97 6591122.6 62.39, 238235.98 6591122.56 62.39, 238235.98 6591122.53 62.39, 238235.97 6591122.5 62.39, 238235.98 6591122.44 62.39, 238235.97 6591122.41 62.39, 238235.97 6591122.38 62.39, 238235.98 6591122.35 62.39, 238235.98 6591122.32 62.39, 238235.97 6591122.29 62.39, 238235.98 6591122.26 62.39, 238235.98 6591122.2 62.39, 238235.98 6591122.17 62.39, 238235.98 6591122.14 62.39, 238235.99 6591122.11 62.39, 238235.98 6591122.08 62.39, 238235.98 6591122.05 62.4, 238235.99 6591122.02 62.4, 238235.99 6591121.99 62.4, 238235.98 6591121.96 62.4, 238235.99 6591121.93 62.4, 238235.99 6591121.9 62.4, 238236 6591121.87 62.4, 238235.99 6591121.84 62.4, 238235.99 6591121.81 62.4, 238236 6591121.78 62.4, 238235.99 6591121.75 62.4, 238236 6591121.72 62.4, 238236 6591121.69 62.4, 238236.01 6591121.66 62.4, 238236 6591121.63 62.4, 238236 6591121.6 62.4, 238236.01 6591121.58 62.4, 238236.01 6591121.55 62.4, 238236.01 6591121.52 62.4, 238236.01 6591121.49 62.4, 238236.02 6591121.46 62.4, 238236.02 6591121.43 62.4, 238236.02 6591121.4 62.4, 238236.02 6591121.37 62.4, 238236.03 6591121.33 62.4, 238236.02 6591121.3 62.4, 238236.02 6591121.27 62.4, 238236.03 6591121.24 62.4, 238236.03 6591121.21 62.4, 238236.03 6591121.18 62.4, 238236.03 6591121.15 62.4, 238236.04 6591121.12 62.4, 238236.04 6591121.09 62.4, 238236.04 6591121.03 62.4, 238236.05 6591121 62.4, 238236.05 6591120.94 62.4, 238236.06 6591120.91 62.4, 238236.06 6591120.88 62.4, 238236.06 6591120.83 62.4, 238236.07 6591120.8 62.4, 238236.07 6591120.77 62.4, 238236.07 6591120.74 62.4, 238236.07 6591120.71 62.4, 238236.08 6591120.68 62.4, 238236.09 6591120.65 62.4, 238236.08 6591120.62 62.410000000000004, 238236.09 6591120.59 62.410000000000004, 238236.09 6591120.56 62.410000000000004, 238236.09 6591120.52 62.410000000000004, 238236.1 6591120.49 62.410000000000004, 238236.1 6591120.46 62.410000000000004, 238236.11 6591120.43 62.410000000000004, 238236.1 6591120.4 62.410000000000004, 238236.11 6591120.37 62.4, 238236.12 6591120.34 62.4, 238236.12 6591120.29 62.4, 238236.12 6591120.26 62.4, 238236.13 6591120.23 62.4, 238236.14 6591120.2 62.4, 238236.13 6591120.17 62.4, 238236.14 6591120.14 62.4, 238236.15 6591120.11 62.4, 238236.14 6591120.08 62.4, 238236.15 6591120.05 62.4, 238236.16 6591120.02 62.4, 238236.16 6591119.99 62.4, 238236.16 6591119.97 62.4, 238236.17 6591119.92 62.4, 238236.17 6591119.89 62.4, 238236.17 6591119.86 62.4, 238236.17 6591119.83 62.4, 238236.17 6591119.8 62.4, 238236.17 6591119.77 62.4, 238236.17 6591119.74 62.4, 238236.15 6591119.72 62.4, 238236.15 6591119.69 62.4, 238236.14 6591119.66 62.4, 238236.13 6591119.63 62.4, 238236.12 6591119.61 62.4, 238236.11 6591119.58 62.4, 238236.1 6591119.55 62.4, 238236.08 6591119.52 62.4, 238236.07 6591119.49 62.4, 238236.06 6591119.47 62.4, 238236.04 6591119.44 62.4, 238236.02 6591119.42 62.4, 238236 6591119.4 62.4, 238235.99 6591119.37 62.4, 238235.97 6591119.35 62.4, 238235.95 6591119.33 62.4, 238235.92 6591119.3 62.4, 238235.9 6591119.29 62.4, 238235.88 6591119.27 62.4, 238235.86 6591119.25 62.4, 238235.83 6591119.23 62.4, 238235.81 6591119.21 62.4, 238235.77 6591119.21 62.4, 238235.75 6591119.19 62.4, 238235.72 6591119.18 62.4, 238235.7 6591119.16 62.4, 238235.67 6591119.16 62.4, 238235.64 6591119.15 62.4, 238235.61 6591119.14 62.4, 238235.59 6591119.13 62.4, 238235.56 6591119.13 62.4, 238235.53 6591119.12 62.4, 238235.49 6591119.11 62.4, 238235.46 6591119.11 62.4, 238235.43 6591119.11 62.4, 238235.4 6591119.11 62.4, 238235.37 6591119.11 62.4, 238235.34 6591119.12 62.4, 238235.31 6591119.12 62.4, 238235.28 6591119.12 62.4, 238235.25 6591119.13 62.410000000000004, 238235.22 6591119.14 62.410000000000004, 238235.19 6591119.14 62.410000000000004, 238235.16 6591119.14 62.410000000000004, 238235.14 6591119.15 62.410000000000004, 238235.11 6591119.16 62.410000000000004, 238235.08 6591119.16 62.410000000000004, 238235.05 6591119.17 62.410000000000004, 238235.02 6591119.17 62.410000000000004, 238234.99 6591119.18 62.42, 238234.96 6591119.18 62.42, 238234.93 6591119.19 62.42, 238234.9 6591119.2 62.42, 238234.87 6591119.2 62.42, 238234.84 6591119.2 62.42, 238234.81 6591119.21 62.42, 238234.78 6591119.22 62.42, 238234.75 6591119.22 62.42, 238234.72 6591119.23 62.42, 238234.69 6591119.23 62.42, 238234.66 6591119.24 62.42, 238234.63 6591119.24 62.42, 238234.6 6591119.25 62.42, 238234.57 6591119.26 62.43, 238234.54 6591119.26 62.43, 238234.51 6591119.26 62.43, 238234.48 6591119.26 62.43, 238234.45 6591119.28 62.43, 238234.42 6591119.28 62.43, 238234.39 6591119.28 62.43, 238234.36 6591119.28 62.43, 238234.34 6591119.3 62.43, 238234.31 6591119.3 62.43, 238234.28 6591119.3 62.43, 238234.25 6591119.3 62.43, 238234.22 6591119.32 62.43, 238234.19 6591119.32 62.43, 238234.16 6591119.32 62.440000000000005, 238234.13 6591119.33 62.440000000000005, 238234.1 6591119.33 62.440000000000005, 238234.07 6591119.34 62.440000000000005, 238234.04 6591119.34 62.440000000000005, 238234.01 6591119.35 62.440000000000005, 238233.98 6591119.35 62.440000000000005, 238233.95 6591119.35 62.440000000000005, 238233.92 6591119.36 62.440000000000005, 238233.89 6591119.37 62.440000000000005, 238233.86 6591119.37 62.440000000000005, 238233.83 6591119.37 62.440000000000005, 238233.8 6591119.38 62.45, 238233.77 6591119.39 62.45, 238233.74 6591119.39 62.45, 238233.71 6591119.39 62.45, 238233.68 6591119.4 62.45, 238233.65 6591119.4 62.45, 238233.62 6591119.4 62.45, 238233.59 6591119.41 62.45, 238233.56 6591119.42 62.45, 238233.53 6591119.42 62.45, 238233.5 6591119.42 62.45, 238233.47 6591119.42 62.45, 238233.44 6591119.43 62.45, 238233.41 6591119.44 62.46, 238233.38 6591119.44 62.46, 238233.35 6591119.45 62.46, 238233.32 6591119.45 62.46, 238233.29 6591119.45 62.46, 238233.26 6591119.45 62.46, 238233.24 6591119.47 62.46, 238233.21 6591119.47 62.46, 238233.18 6591119.47 62.46, 238233.15 6591119.47 62.46, 238233.12 6591119.48 62.46, 238233.09 6591119.48 62.46, 238233.06 6591119.48 62.46, 238233.03 6591119.49 62.47, 238233 6591119.5 62.47, 238232.97 6591119.5 62.47, 238232.94 6591119.5 62.47, 238232.91 6591119.51 62.47, 238232.88 6591119.51 62.47, 238232.85 6591119.51 62.47, 238232.82 6591119.51 62.47, 238232.79 6591119.52 62.47, 238232.76 6591119.53 62.47, 238232.73 6591119.53 62.47, 238232.7 6591119.54 62.47, 238232.67 6591119.54 62.47, 238232.64 6591119.54 62.480000000000004, 238232.61 6591119.54 62.480000000000004, 238232.58 6591119.55 62.480000000000004, 238232.55 6591119.55 62.480000000000004, 238232.52 6591119.55 62.480000000000004, 238232.49 6591119.56 62.480000000000004, 238232.46 6591119.57 62.480000000000004, 238232.43 6591119.57 62.480000000000004, 238232.4 6591119.57 62.480000000000004, 238232.37 6591119.57 62.480000000000004, 238232.34 6591119.58 62.480000000000004, 238232.31 6591119.58 62.480000000000004, 238232.28 6591119.58 62.480000000000004, 238232.26 6591119.58 62.49, 238232.22 6591119.59 62.49, 238232.19 6591119.59 62.49, 238232.16 6591119.59 62.49, 238232.13 6591119.6 62.49, 238232.1 6591119.61 62.49, 238232.07 6591119.61 62.49, 238232.04 6591119.61 62.49, 238232.01 6591119.62 62.49, 238231.98 6591119.62 62.49, 238231.95 6591119.62 62.49, 238231.92 6591119.63 62.49, 238231.89 6591119.63 62.49, 238231.86 6591119.63 62.5, 238231.83 6591119.63 62.5, 238231.8 6591119.64 62.5, 238231.77 6591119.64 62.5, 238231.74 6591119.64 62.5, 238231.71 6591119.64 62.5, 238231.68 6591119.65 62.5, 238231.65 6591119.65 62.5, 238231.62 6591119.65 62.5, 238231.59 6591119.66 62.5, 238231.54 6591119.66 62.5, 238231.51 6591119.66 62.5, 238231.48 6591119.67 62.5, 238231.45 6591119.67 62.51, 238231.42 6591119.67 62.51, 238231.39 6591119.68 62.51, 238231.36 6591119.69 62.51, 238231.33 6591119.69 62.51, 238231.3 6591119.69 62.51, 238231.24 6591119.7 62.51, 238231.21 6591119.7 62.51, 238231.18 6591119.7 62.51, 238231.15 6591119.71 62.51, 238231.12 6591119.71 62.51, 238231.09 6591119.71 62.51, 238231.06 6591119.71 62.52, 238231.03 6591119.72 62.52, 238231 6591119.72 62.52, 238230.97 6591119.72 62.52, 238230.94 6591119.71 62.52, 238230.91 6591119.72 62.52, 238230.88 6591119.72 62.52, 238230.85 6591119.72 62.52, 238230.82 6591119.73 62.52, 238230.79 6591119.73 62.52, 238230.76 6591119.73 62.52, 238230.73 6591119.73 62.52, 238230.7 6591119.74 62.52, 238230.67 6591119.74 62.52, 238230.64 6591119.74 62.53, 238230.61 6591119.74 62.53, 238230.58 6591119.75 62.53, 238230.55 6591119.75 62.53, 238230.52 6591119.75 62.53, 238230.49 6591119.76 62.53, 238230.46 6591119.76 62.53, 238230.43 6591119.76 62.53, 238230.4 6591119.76 62.53, 238230.37 6591119.77 62.53, 238230.34 6591119.77 62.53, 238230.31 6591119.77 62.53, 238230.28 6591119.77 62.53, 238230.25 6591119.78 62.53, 238230.22 6591119.77 62.54, 238230.19 6591119.77 62.54, 238230.16 6591119.77 62.54, 238230.13 6591119.78 62.54, 238230.1 6591119.78 62.54, 238230.07 6591119.78 62.54, 238230.04 6591119.79 62.54, 238230.01 6591119.79 62.54, 238229.98 6591119.79 62.54, 238229.95 6591119.79 62.54, 238229.92 6591119.8 62.54, 238229.89 6591119.8 62.54, 238229.86 6591119.79 62.54, 238229.83 6591119.79 62.54, 238229.8 6591119.8 62.550000000000004, 238229.77 6591119.8 62.550000000000004, 238229.74 6591119.8 62.550000000000004, 238229.71 6591119.81 62.550000000000004, 238229.68 6591119.81 62.550000000000004, 238229.65 6591119.81 62.550000000000004, 238229.62 6591119.81 62.550000000000004, 238229.59 6591119.82 62.550000000000004, 238229.56 6591119.81 62.550000000000004, 238229.53 6591119.81 62.550000000000004, 238229.5 6591119.81 62.550000000000004, 238229.47 6591119.82 62.550000000000004, 238229.44 6591119.82 62.550000000000004, 238229.41 6591119.82 62.550000000000004, 238229.38 6591119.83 62.56, 238229.35 6591119.83 62.56, 238229.33 6591119.82 62.56, 238229.29 6591119.82 62.56, 238229.26 6591119.83 62.56, 238229.23 6591119.83 62.56, 238229.2 6591119.83 62.56, 238229.17 6591119.83 62.56, 238229.14 6591119.84 62.56, 238229.11 6591119.83 62.56, 238229.08 6591119.83 62.56, 238229.02 6591119.84 62.56, 238228.99 6591119.84 62.56, 238228.96 6591119.84 62.57, 238228.93 6591119.85 62.57, 238228.9 6591119.84 62.57, 238228.87 6591119.84 62.57, 238228.84 6591119.84 62.57, 238228.81 6591119.85 62.57, 238228.78 6591119.85 62.57, 238228.75 6591119.85 62.57, 238228.72 6591119.84 62.57, 238228.69 6591119.85 62.57, 238228.66 6591119.85 62.57, 238228.63 6591119.85 62.57, 238228.6 6591119.86 62.57, 238228.57 6591119.85 62.57, 238228.54 6591119.85 62.57, 238228.51 6591119.85 62.58, 238228.48 6591119.86 62.58, 238228.45 6591119.86 62.58, 238228.43 6591119.86 62.58, 238228.4 6591119.85 62.58, 238228.37 6591119.86 62.58, 238228.34 6591119.86 62.58, 238228.31 6591119.86 62.58, 238228.28 6591119.86 62.58, 238228.25 6591119.86 62.58, 238228.22 6591119.86 62.58, 238228.19 6591119.86 62.58, 238228.16 6591119.87 62.58, 238228.13 6591119.86 62.58, 238228.1 6591119.86 62.59, 238228.07 6591119.86 62.59, 238228.04 6591119.87 62.59, 238228.01 6591119.87 62.59, 238227.98 6591119.86 62.59, 238227.95 6591119.86 62.59, 238227.92 6591119.87 62.59, 238227.89 6591119.87 62.59, 238227.86 6591119.86 62.59, 238227.83 6591119.87 62.59, 238227.8 6591119.87 62.59, 238227.77 6591119.87 62.59, 238227.74 6591119.86 62.59, 238227.71 6591119.87 62.59, 238227.68 6591119.87 62.59, 238227.65 6591119.87 62.6, 238227.61 6591119.86 62.6, 238227.58 6591119.87 62.6, 238227.55 6591119.87 62.6, 238227.52 6591119.87 62.6, 238227.49 6591119.86 62.6, 238227.46 6591119.87 62.6, 238227.43 6591119.87 62.6, 238227.4 6591119.87 62.6, 238227.37 6591119.87 62.6, 238227.34 6591119.87 62.6, 238227.31 6591119.87 62.6, 238227.28 6591119.87 62.6, 238227.25 6591119.87 62.6, 238227.22 6591119.87 62.6, 238227.19 6591119.87 62.61, 238227.16 6591119.86 62.61, 238227.13 6591119.87 62.61, 238227.1 6591119.87 62.61, 238227.07 6591119.87 62.61, 238227.05 6591119.86 62.61, 238227.01 6591119.87 62.61, 238226.98 6591119.87 62.61, 238226.95 6591119.86 62.61, 238226.92 6591119.87 62.61, 238226.89 6591119.87 62.61, 238226.86 6591119.86 62.61, 238226.83 6591119.86 62.61, 238226.8 6591119.87 62.61, 238226.77 6591119.87 62.61, 238226.74 6591119.86 62.620000000000005, 238226.71 6591119.87 62.620000000000005, 238226.68 6591119.87 62.620000000000005, 238226.65 6591119.86 62.620000000000005, 238226.62 6591119.86 62.620000000000005, 238226.57 6591119.86 62.620000000000005))</t>
  </si>
  <si>
    <t>['RV19 S4D1 m7418 KD1 m74-84']</t>
  </si>
  <si>
    <t>LINESTRING Z (238245 6591123.56 62.56, 238245 6591123.51 62.56, 238244.99 6591123.46 62.56, 238244.99 6591123.41 62.56, 238244.99 6591123.36 62.56, 238244.99 6591123.31 62.56, 238244.98 6591123.26 62.56, 238244.98 6591123.21 62.56, 238244.98 6591123.16 62.56, 238244.98 6591123.11 62.56, 238244.98 6591123.06 62.57, 238244.98 6591123.01 62.57, 238244.98 6591122.96 62.57, 238244.97 6591122.91 62.57, 238244.98 6591122.86 62.57, 238244.97 6591122.81 62.57, 238244.98 6591122.76 62.57, 238244.97 6591122.71 62.57, 238244.98 6591122.66 62.57, 238244.97 6591122.61 62.57, 238244.98 6591122.55 62.57, 238244.98 6591122.5 62.57, 238244.98 6591122.45 62.57, 238244.98 6591122.4 62.57, 238244.98 6591122.35 62.57, 238244.99 6591122.3 62.57, 238244.98 6591122.25 62.57, 238244.99 6591122.2 62.57, 238244.99 6591122.15 62.57, 238245 6591122.1 62.58, 238245 6591122.05 62.58, 238245 6591122.01 62.58, 238245.01 6591121.96 62.58, 238245.01 6591121.91 62.58, 238245.01 6591121.86 62.58, 238245.01 6591121.81 62.58, 238245.02 6591121.76 62.58, 238245.02 6591121.71 62.58, 238245.03 6591121.68 62.58, 238245.04 6591121.61 62.58, 238245.04 6591121.55 62.58, 238245.05 6591121.5 62.58, 238245.05 6591121.45 62.58, 238245.06 6591121.41 62.58, 238245.06 6591121.36 62.58, 238245.07 6591121.31 62.58, 238245.07 6591121.26 62.58, 238245.08 6591121.21 62.57, 238245.09 6591121.16 62.57, 238245.09 6591121.11 62.57, 238245.1 6591121.06 62.57, 238245.11 6591121.02 62.57, 238245.12 6591120.96 62.57, 238245.12 6591120.91 62.57, 238245.13 6591120.86 62.57, 238245.14 6591120.81 62.57, 238245.15 6591120.76 62.57, 238245.16 6591120.71 62.57, 238245.16 6591120.67 62.57, 238245.18 6591120.62 62.57, 238245.18 6591120.57 62.57, 238245.19 6591120.52 62.57, 238245.2 6591120.46 62.57, 238245.21 6591120.42 62.57, 238245.23 6591120.37 62.57, 238245.23 6591120.32 62.57, 238245.25 6591120.27 62.56, 238245.25 6591120.23 62.56, 238245.27 6591120.18 62.56, 238245.27 6591120.13 62.56, 238245.29 6591120.08 62.56, 238245.3 6591120.03 62.56, 238245.31 6591119.98 62.56, 238245.33 6591119.93 62.56, 238245.33 6591119.88 62.56, 238245.35 6591119.84 62.56, 238245.35 6591119.79 62.56, 238245.37 6591119.74 62.56, 238245.38 6591119.68 62.56, 238245.4 6591119.64 62.56, 238245.41 6591119.59 62.56, 238245.42 6591119.54 62.56, 238245.44 6591119.5 62.56, 238245.45 6591119.45 62.550000000000004, 238245.47 6591119.4 62.550000000000004, 238245.47 6591119.35 62.550000000000004, 238245.49 6591119.3 62.550000000000004, 238245.51 6591119.26 62.550000000000004, 238245.52 6591119.21 62.550000000000004, 238245.54 6591119.16 62.550000000000004, 238245.55 6591119.12 62.550000000000004, 238245.57 6591119.06 62.550000000000004, 238245.59 6591119.02 62.550000000000004, 238245.6 6591118.97 62.550000000000004, 238245.62 6591118.92 62.550000000000004, 238245.63 6591118.88 62.550000000000004, 238245.65 6591118.83 62.550000000000004, 238245.66 6591118.79 62.550000000000004, 238245.68 6591118.73 62.550000000000004, 238245.7 6591118.69 62.550000000000004, 238245.71 6591118.64 62.54, 238245.74 6591118.6 62.54, 238245.75 6591118.55 62.54, 238245.77 6591118.5 62.54, 238245.79 6591118.45 62.54, 238245.8 6591118.41 62.54, 238245.83 6591118.36 62.54, 238245.84 6591118.32 62.54, 238245.86 6591118.27 62.54, 238245.88 6591118.22 62.54, 238245.9 6591118.17 62.54, 238245.92 6591118.13 62.54, 238245.93 6591118.09 62.54, 238245.96 6591118.03 62.54, 238245.97 6591117.99 62.54, 238246 6591117.94 62.54, 238246.02 6591117.9 62.54, 238246.04 6591117.86 62.53, 238246.06 6591117.8 62.53, 238246.07 6591117.76 62.53, 238246.1 6591117.72 62.53, 238246.13 6591117.67 62.53, 238246.14 6591117.63 62.53, 238246.17 6591117.58 62.53, 238246.19 6591117.54 62.53, 238246.21 6591117.49 62.53, 238246.23 6591117.45 62.53, 238246.25 6591117.41 62.53, 238246.28 6591117.35 62.53, 238246.29 6591117.31 62.53, 238246.32 6591117.27 62.53, 238246.35 6591117.23 62.53, 238246.36 6591117.18 62.53, 238246.39 6591117.13 62.52, 238246.42 6591117.09 62.52, 238246.44 6591117.05 62.52, 238246.46 6591117.01 62.52, 238246.48 6591116.96 62.52, 238246.51 6591116.92 62.52, 238246.54 6591116.88 62.52, 238246.56 6591116.82 62.52, 238246.59 6591116.78 62.52, 238246.62 6591116.74 62.52, 238246.63 6591116.71 62.52, 238246.66 6591116.66 62.52, 238246.68 6591116.61 62.52, 238246.71 6591116.57 62.52, 238246.74 6591116.53 62.52, 238246.76 6591116.49 62.51, 238246.79 6591116.44 62.51, 238246.82 6591116.4 62.51, 238246.84 6591116.36 62.51, 238246.87 6591116.31 62.51, 238246.89 6591116.27 62.51, 238246.93 6591116.23 62.51, 238246.96 6591116.19 62.51, 238246.98 6591116.15 62.51, 238247.01 6591116.11 62.51, 238247.04 6591116.07 62.51, 238247.06 6591116.03 62.51, 238247.09 6591115.98 62.51, 238247.13 6591115.94 62.51, 238247.15 6591115.9 62.51, 238247.18 6591115.86 62.51, 238247.21 6591115.82 62.5, 238247.24 6591115.78 62.5, 238247.27 6591115.74 62.5, 238247.29 6591115.69 62.5, 238247.32 6591115.66 62.5, 238247.36 6591115.62 62.5, 238247.38 6591115.57 62.5, 238247.41 6591115.54 62.5, 238247.45 6591115.5 62.5, 238247.47 6591115.46 62.5, 238247.51 6591115.42 62.5, 238247.54 6591115.38 62.5, 238247.56 6591115.34 62.5, 238247.6 6591115.3 62.5, 238247.63 6591115.26 62.5, 238247.66 6591115.22 62.49, 238247.69 6591115.19 62.49, 238247.73 6591115.14 62.49, 238247.75 6591115.11 62.49, 238247.79 6591115.07 62.49, 238247.83 6591115.03 62.49, 238247.85 6591115 62.49, 238247.89 6591114.96 62.49, 238247.92 6591114.91 62.49, 238247.95 6591114.88 62.49, 238247.99 6591114.84 62.49, 238248.02 6591114.8 62.49, 238248.05 6591114.77 62.49, 238248.08 6591114.73 62.49, 238248.12 6591114.69 62.49, 238248.15 6591114.65 62.480000000000004, 238248.19 6591114.62 62.480000000000004, 238248.22 6591114.58 62.480000000000004, 238248.26 6591114.54 62.480000000000004, 238248.29 6591114.51 62.480000000000004, 238248.33 6591114.47 62.480000000000004, 238248.36 6591114.44 62.480000000000004, 238248.39 6591114.4 62.480000000000004, 238248.43 6591114.36 62.480000000000004, 238248.47 6591114.33 62.480000000000004, 238248.5 6591114.3 62.480000000000004, 238248.53 6591114.26 62.480000000000004, 238248.57 6591114.22 62.480000000000004, 238248.61 6591114.19 62.480000000000004, 238248.64 6591114.15 62.480000000000004, 238248.68 6591114.12 62.47, 238248.72 6591114.09 62.47, 238248.75 6591114.05 62.47, 238248.79 6591114.02 62.47, 238248.83 6591113.99 62.47, 238248.86 6591113.94 62.47, 238248.9 6591113.91 62.47, 238248.94 6591113.88 62.47, 238248.98 6591113.84 62.47, 238248.99 6591113.82 62.47, 238249.01 6591113.81 62.47, 238249.05 6591113.79 62.47, 238249.09 6591113.75 62.47, 238249.13 6591113.72 62.47, 238249.16 6591113.69 62.47, 238249.2 6591113.65 62.47, 238249.24 6591113.62 62.46, 238249.27 6591113.59 62.46, 238249.31 6591113.55 62.46, 238249.35 6591113.52 62.46, 238249.39 6591113.49 62.46, 238249.43 6591113.46 62.46, 238249.47 6591113.43 62.46, 238249.51 6591113.39 62.46, 238249.55 6591113.37 62.46, 238249.58 6591113.34 62.46, 238249.61 6591113.31 62.46, 238249.63 6591113.3 62.46, 238249.67 6591113.27 62.46, 238249.71 6591113.24 62.46, 238249.74 6591113.21 62.46, 238249.78 6591113.19 62.46, 238249.83 6591113.15 62.45, 238249.87 6591113.12 62.45, 238249.9 6591113.1 62.45, 238249.95 6591113.06 62.45, 238249.99 6591113.04 62.45, 238250.03 6591113 62.45, 238250.07 6591112.98 62.45, 238250.1 6591112.95 62.45, 238250.15 6591112.92 62.45, 238250.2 6591112.89 62.45, 238250.23 6591112.87 62.45, 238250.27 6591112.83 62.45, 238250.32 6591112.81 62.45, 238250.36 6591112.78 62.45, 238250.39 6591112.75 62.45, 238250.44 6591112.73 62.440000000000005, 238250.48 6591112.7 62.440000000000005, 238250.53 6591112.67 62.440000000000005, 238250.57 6591112.64 62.440000000000005, 238250.61 6591112.62 62.440000000000005, 238250.65 6591112.59 62.440000000000005, 238250.67 6591112.58 62.440000000000005, 238250.7 6591112.56 62.440000000000005, 238250.74 6591112.54 62.440000000000005, 238250.79 6591112.51 62.440000000000005, 238250.82 6591112.49 62.440000000000005, 238250.87 6591112.46 62.440000000000005, 238250.91 6591112.43 62.440000000000005, 238250.96 6591112.41 62.440000000000005, 238250.99 6591112.38 62.440000000000005, 238251.04 6591112.36 62.440000000000005, 238251.08 6591112.34 62.440000000000005, 238251.13 6591112.31 62.43, 238251.17 6591112.29 62.43, 238251.19 6591112.28 62.43, 238251.21 6591112.26 62.43, 238251.26 6591112.24 62.43, 238251.3 6591112.22 62.43, 238251.35 6591112.19 62.43, 238251.39 6591112.17 62.43, 238251.43 6591112.14 62.43, 238251.48 6591112.12 62.43, 238251.52 6591112.1 62.43, 238251.57 6591112.07 62.43, 238251.62 6591112.06 62.43, 238251.66 6591112.03 62.43, 238251.7 6591112.01 62.43, 238251.74 6591111.99 62.43, 238251.79 6591111.97 62.42, 238251.84 6591111.95 62.42, 238251.89 6591111.92 62.42, 238251.93 6591111.9 62.42, 238251.97 6591111.88 62.42, 238252.02 6591111.86 62.42, 238252.06 6591111.84 62.42, 238252.11 6591111.82 62.42, 238252.16 6591111.8 62.42, 238252.21 6591111.78 62.42, 238252.24 6591111.76 62.42, 238252.29 6591111.73 62.42, 238252.34 6591111.72 62.42, 238252.39 6591111.7 62.42, 238252.43 6591111.68 62.42, 238252.48 6591111.67 62.42, 238252.53 6591111.64 62.410000000000004, 238252.57 6591111.63 62.410000000000004, 238252.62 6591111.6 62.410000000000004, 238252.66 6591111.59 62.410000000000004, 238252.71 6591111.58 62.410000000000004, 238252.74 6591111.56 62.410000000000004, 238252.76 6591111.55 62.410000000000004, 238252.81 6591111.54 62.410000000000004, 238252.86 6591111.52 62.410000000000004, 238252.89 6591111.5 62.410000000000004, 238252.94 6591111.49 62.410000000000004, 238252.99 6591111.47 62.410000000000004, 238253.04 6591111.46 62.410000000000004, 238253.09 6591111.43 62.410000000000004, 238253.14 6591111.42 62.410000000000004, 238253.19 6591111.4 62.410000000000004, 238253.23 6591111.39 62.410000000000004, 238253.27 6591111.37 62.410000000000004, 238253.32 6591111.36 62.4, 238253.37 6591111.35 62.4, 238253.42 6591111.33 62.4, 238253.47 6591111.32 62.4, 238253.52 6591111.3 62.4, 238253.57 6591111.29 62.4, 238253.62 6591111.27 62.4, 238253.66 6591111.26 62.4, 238253.7 6591111.25 62.4, 238253.75 6591111.23 62.4, 238253.8 6591111.22 62.4, 238253.85 6591111.2 62.4, 238253.9 6591111.19 62.4, 238253.95 6591111.17 62.4, 238254 6591111.16 62.4, 238254.05 6591111.15 62.4, 238254.1 6591111.14 62.4, 238254.15 6591111.13 62.39, 238254.2 6591111.11 62.39, 238254.25 6591111.11 62.39, 238254.29 6591111.09 62.39, 238254.32 6591111.09 62.39, 238254.34 6591111.08 62.39, 238254.38 6591111.07 62.39, 238254.43 6591111.06 62.39, 238254.48 6591111.04 62.39, 238254.53 6591111.04 62.39, 238254.58 6591111.03 62.39, 238254.63 6591111.02 62.39, 238254.68 6591111.01 62.39, 238254.73 6591111 62.39, 238254.78 6591110.99 62.39, 238254.83 6591110.98 62.39, 238254.88 6591110.97 62.39, 238254.93 6591110.96 62.39, 238254.98 6591110.96 62.39, 238255.02 6591110.95 62.38, 238255.07 6591110.94 62.38, 238255.12 6591110.94 62.38, 238255.17 6591110.92 62.38, 238255.22 6591110.92 62.38, 238255.27 6591110.91 62.38, 238255.32 6591110.9 62.38, 238255.37 6591110.89 62.38, 238255.42 6591110.89 62.38, 238255.47 6591110.88 62.38, 238255.52 6591110.88 62.38, 238255.57 6591110.87 62.38, 238255.62 6591110.86 62.38, 238255.67 6591110.86 62.38, 238255.72 6591110.85 62.38, 238255.77 6591110.85 62.38, 238255.79 6591110.85 62.38, 238255.82 6591110.84 62.38, 238255.87 6591110.84 62.38, 238255.92 6591110.83 62.370000000000005, 238255.97 6591110.83 62.370000000000005, 238256.02 6591110.83 62.370000000000005, 238256.07 6591110.82 62.370000000000005, 238256.12 6591110.82 62.370000000000005, 238256.17 6591110.81 62.370000000000005, 238256.22 6591110.81 62.370000000000005, 238256.27 6591110.81 62.370000000000005, 238256.32 6591110.81 62.370000000000005, 238256.36 6591110.8 62.370000000000005, 238256.42 6591110.8 62.370000000000005, 238256.47 6591110.79 62.370000000000005, 238256.52 6591110.8 62.370000000000005, 238256.57 6591110.8 62.370000000000005, 238256.62 6591110.79 62.370000000000005, 238256.67 6591110.79 62.370000000000005, 238256.72 6591110.79 62.370000000000005, 238256.77 6591110.79 62.370000000000005, 238256.8 6591110.78 62.370000000000005, 238256.82 6591110.78 62.370000000000005, 238256.87 6591110.79 62.370000000000005, 238256.92 6591110.78 62.36, 238256.97 6591110.79 62.36, 238257.02 6591110.78 62.36, 238257.07 6591110.79 62.36, 238257.12 6591110.79 62.36, 238257.17 6591110.79 62.36, 238257.22 6591110.79 62.36, 238257.27 6591110.79 62.36, 238257.32 6591110.79 62.36, 238257.36 6591110.79 62.36, 238257.42 6591110.8 62.36, 238257.47 6591110.79 62.36, 238257.51 6591110.8 62.36, 238257.56 6591110.81 62.36, 238257.61 6591110.8 62.36, 238257.66 6591110.81 62.36, 238257.72 6591110.81 62.36, 238257.77 6591110.81 62.36, 238257.8 6591110.82 62.36, 238257.82 6591110.81 62.36, 238257.87 6591110.82 62.36, 238257.92 6591110.82 62.35, 238257.97 6591110.83 62.35, 238258.02 6591110.84 62.35, 238258.07 6591110.84 62.35, 238258.12 6591110.84 62.35, 238258.17 6591110.84 62.35, 238258.22 6591110.85 62.35, 238258.26 6591110.85 62.35, 238258.31 6591110.86 62.35, 238258.35 6591110.87 62.35, 238258.41 6591110.87 62.35, 238258.46 6591110.88 62.35, 238258.52 6591110.88 62.35, 238258.57 6591110.9 62.35, 238258.62 6591110.9 62.35, 238258.66 6591110.91 62.35, 238258.71 6591110.91 62.35, 238258.76 6591110.92 62.35, 238258.78 6591110.93 62.35, 238258.81 6591110.92 62.35, 238258.86 6591110.94 62.35, 238258.91 6591110.95 62.35, 238258.96 6591110.95 62.35, 238259 6591110.96 62.34, 238259.06 6591110.97 62.34, 238259.11 6591110.98 62.34, 238259.16 6591110.98 62.34, 238259.21 6591111 62.34, 238259.26 6591111 62.34, 238259.3 6591111.01 62.34, 238259.34 6591111.02 62.34, 238259.4 6591111.03 62.34, 238259.45 6591111.05 62.34, 238259.5 6591111.05 62.34, 238259.55 6591111.07 62.34, 238259.6 6591111.07 62.34, 238259.65 6591111.09 62.34, 238259.69 6591111.1 62.34, 238259.74 6591111.11 62.34, 238259.77 6591111.12 62.34, 238259.79 6591111.12 62.34, 238259.84 6591111.13 62.34, 238259.89 6591111.15 62.34, 238259.94 6591111.15 62.34, 238259.99 6591111.17 62.34, 238260.04 6591111.19 62.34, 238260.08 6591111.19 62.34, 238260.13 6591111.21 62.34, 238260.18 6591111.22 62.34, 238260.23 6591111.24 62.33, 238260.28 6591111.24 62.33, 238260.32 6591111.26 62.33, 238260.37 6591111.28 62.33, 238260.42 6591111.29 62.33, 238260.47 6591111.31 62.33, 238260.51 6591111.32 62.33, 238260.57 6591111.34 62.33, 238260.61 6591111.34 62.33, 238260.66 6591111.36 62.33, 238260.71 6591111.38 62.33, 238260.74 6591111.39 62.33, 238260.8 6591111.41 62.33, 238260.85 6591111.42 62.33, 238260.9 6591111.44 62.33, 238260.94 6591111.46 62.33, 238260.99 6591111.48 62.33, 238261.04 6591111.5 62.33, 238261.08 6591111.51 62.33, 238261.14 6591111.53 62.33, 238261.18 6591111.54 62.33, 238261.23 6591111.56 62.33, 238261.27 6591111.58 62.33, 238261.32 6591111.6 62.33, 238261.37 6591111.62 62.33, 238261.42 6591111.63 62.33, 238261.46 6591111.65 62.33, 238261.5 6591111.68 62.33, 238261.55 6591111.69 62.32, 238261.59 6591111.71 62.32, 238261.65 6591111.73 62.32, 238261.69 6591111.75 62.32, 238261.72 6591111.76 62.32, 238261.78 6591111.79 62.32, 238261.82 6591111.81 62.32, 238261.88 6591111.83 62.32, 238261.92 6591111.85 62.32, 238261.96 6591111.88 62.32, 238262.01 6591111.89 62.32, 238262.05 6591111.91 62.32, 238262.1 6591111.93 62.32, 238262.15 6591111.96 62.32, 238262.19 6591111.98 62.32, 238262.23 6591112 62.32, 238262.28 6591112.02 62.32, 238262.33 6591112.04 62.32, 238262.37 6591112.07 62.32, 238262.41 6591112.09 62.32, 238262.46 6591112.11 62.32, 238262.51 6591112.14 62.32, 238262.55 6591112.15 62.32, 238262.59 6591112.18 62.32, 238262.63 6591112.21 62.32, 238262.68 6591112.22 62.32, 238262.73 6591112.25 62.32, 238262.77 6591112.27 62.32, 238262.81 6591112.3 62.32, 238262.86 6591112.33 62.32, 238262.9 6591112.34 62.32, 238262.94 6591112.37 62.32, 238262.98 6591112.4 62.32, 238263.03 6591112.42 62.32, 238263.07 6591112.45 62.31, 238263.12 6591112.47 62.31, 238263.16 6591112.5 62.31, 238263.19 6591112.52 62.31, 238263.21 6591112.53 62.31, 238263.25 6591112.55 62.31, 238263.29 6591112.58 62.31, 238263.33 6591112.61 62.31, 238263.38 6591112.63 62.31, 238263.42 6591112.66 62.31, 238263.46 6591112.68 62.31, 238263.49 6591112.71 62.31, 238263.54 6591112.74 62.31, 238263.58 6591112.76 62.31, 238263.62 6591112.79 62.31, 238263.64 6591112.81 62.31, 238263.66 6591112.82 62.31, 238263.71 6591112.85 62.31, 238263.75 6591112.88 62.31, 238263.79 6591112.91 62.31, 238263.84 6591112.93 62.31, 238263.87 6591112.96 62.31, 238263.91 6591113 62.31, 238263.95 6591113.02 62.31, 238264 6591113.05 62.31, 238264.04 6591113.07 62.31, 238264.07 6591113.11 62.31, 238264.12 6591113.14 62.31, 238264.16 6591113.16 62.31, 238264.19 6591113.2 62.31, 238264.23 6591113.23 62.31, 238264.28 6591113.25 62.31, 238264.32 6591113.29 62.31, 238264.35 6591113.32 62.31, 238264.4 6591113.35 62.31, 238264.43 6591113.38 62.31, 238264.47 6591113.41 62.31, 238264.51 6591113.44 62.31, 238264.55 6591113.47 62.31, 238264.59 6591113.51 62.31, 238264.62 6591113.53 62.31, 238264.67 6591113.57 62.31, 238264.7 6591113.6 62.31, 238264.74 6591113.63 62.31, 238264.79 6591113.67 62.31, 238264.82 6591113.7 62.31, 238264.85 6591113.73 62.31, 238264.9 6591113.76 62.31, 238264.93 6591113.8 62.31, 238264.97 6591113.83 62.31, 238265 6591113.86 62.31, 238265.05 6591113.9 62.31, 238265.08 6591113.93 62.31, 238265.11 6591113.96 62.31, 238265.16 6591114 62.31, 238265.19 6591114.04 62.31, 238265.22 6591114.07 62.31, 238265.27 6591114.1 62.31, 238265.3 6591114.14 62.300000000000004, 238265.33 6591114.17 62.300000000000004, 238265.37 6591114.21 62.300000000000004, 238265.41 6591114.24 62.300000000000004, 238265.44 6591114.27 62.300000000000004, 238265.48 6591114.31 62.300000000000004, 238265.51 6591114.35 62.300000000000004, 238265.53 6591114.37 62.300000000000004, 238265.54 6591114.39 62.300000000000004, 238265.59 6591114.42 62.300000000000004, 238265.62 6591114.46 62.300000000000004, 238265.65 6591114.49 62.300000000000004, 238265.69 6591114.52 62.300000000000004, 238265.72 6591114.56 62.300000000000004, 238265.75 6591114.6 62.300000000000004, 238265.79 6591114.63 62.300000000000004, 238265.82 6591114.67 62.300000000000004, 238265.86 6591114.71 62.300000000000004, 238265.89 6591114.75 62.300000000000004, 238265.92 6591114.78 62.300000000000004, 238265.94 6591114.81 62.300000000000004, 238265.99 6591114.86 62.300000000000004, 238266.02 6591114.89 62.300000000000004, 238266.06 6591114.93 62.300000000000004, 238266.09 6591114.97 62.300000000000004, 238266.12 6591115.01 62.300000000000004, 238266.16 6591115.05 62.300000000000004, 238266.19 6591115.09 62.300000000000004, 238266.21 6591115.13 62.300000000000004, 238266.25 6591115.17 62.300000000000004, 238266.28 6591115.2 62.300000000000004, 238266.32 6591115.24 62.300000000000004, 238266.35 6591115.28 62.300000000000004, 238266.37 6591115.32 62.300000000000004, 238266.41 6591115.36 62.300000000000004, 238266.44 6591115.4 62.300000000000004, 238266.46 6591115.43 62.300000000000004, 238266.5 6591115.47 62.300000000000004, 238266.53 6591115.51 62.300000000000004, 238266.57 6591115.56 62.300000000000004, 238266.59 6591115.6 62.300000000000004, 238266.62 6591115.63 62.300000000000004, 238266.65 6591115.67 62.300000000000004, 238266.68 6591115.72 62.300000000000004, 238266.71 6591115.76 62.300000000000004, 238266.74 6591115.79 62.300000000000004, 238266.77 6591115.84 62.300000000000004, 238266.8 6591115.88 62.300000000000004, 238266.83 6591115.92 62.300000000000004, 238266.85 6591115.97 62.300000000000004, 238266.89 6591116 62.300000000000004, 238266.91 6591116.04 62.300000000000004, 238266.93 6591116.09 62.300000000000004, 238266.97 6591116.13 62.300000000000004, 238266.99 6591116.17 62.300000000000004, 238267.03 6591116.21 62.300000000000004, 238267.05 6591116.25 62.300000000000004, 238267.07 6591116.3 62.300000000000004, 238267.11 6591116.33 62.300000000000004, 238267.13 6591116.38 62.300000000000004, 238267.16 6591116.42 62.300000000000004, 238267.18 6591116.47 62.300000000000004, 238267.21 6591116.51 62.300000000000004, 238267.24 6591116.55 62.300000000000004, 238267.26 6591116.59 62.300000000000004, 238267.29 6591116.64 62.300000000000004, 238267.31 6591116.68 62.300000000000004, 238267.33 6591116.73 62.300000000000004, 238267.37 6591116.76 62.300000000000004, 238267.39 6591116.81 62.300000000000004, 238267.42 6591116.85 62.300000000000004, 238267.44 6591116.9 62.300000000000004, 238267.46 6591116.94 62.31, 238267.49 6591116.98 62.31, 238267.51 6591117.02 62.31, 238267.54 6591117.07 62.31, 238267.56 6591117.12 62.31, 238267.58 6591117.16 62.31, 238267.61 6591117.2 62.31, 238267.63 6591117.24 62.31, 238267.66 6591117.29 62.31, 238267.67 6591117.33 62.31, 238267.69 6591117.38 62.31, 238267.72 6591117.42 62.31, 238267.74 6591117.47 62.31, 238267.77 6591117.51 62.31, 238267.78 6591117.56 62.31, 238267.81 6591117.61 62.31, 238267.83 6591117.65 62.31, 238267.85 6591117.69 62.31, 238267.87 6591117.74 62.31, 238267.89 6591117.78 62.31, 238267.92 6591117.83 62.31, 238267.93 6591117.88 62.31, 238267.95 6591117.93 62.31, 238267.98 6591117.96 62.31, 238267.99 6591118.01 62.31, 238268.02 6591118.06 62.31, 238268.03 6591118.11 62.31, 238268.06 6591118.15 62.31, 238268.07 6591118.2 62.31, 238268.09 6591118.24 62.31, 238268.11 6591118.29 62.31, 238268.13 6591118.34 62.31, 238268.15 6591118.38 62.31, 238268.16 6591118.43 62.31, 238268.19 6591118.48 62.31, 238268.2 6591118.53 62.31, 238268.22 6591118.57 62.31, 238268.24 6591118.61 62.31, 238268.25 6591118.66 62.31, 238268.27 6591118.71 62.31, 238268.29 6591118.76 62.31, 238268.31 6591118.81 62.31, 238268.32 6591118.86 62.31, 238268.33 6591118.9 62.31, 238268.36 6591118.94 62.31, 238268.37 6591118.99 62.31, 238268.39 6591119.04 62.31, 238268.4 6591119.09 62.31, 238268.42 6591119.14 62.31, 238268.43 6591119.19 62.31, 238268.44 6591119.23 62.31, 238268.46 6591119.28 62.31, 238268.47 6591119.33 62.31, 238268.49 6591119.37 62.31, 238268.5 6591119.42 62.32, 238268.52 6591119.47 62.32, 238268.53 6591119.52 62.32, 238268.55 6591119.57 62.32, 238268.56 6591119.62 62.32, 238268.57 6591119.67 62.32, 238268.59 6591119.72 62.32, 238268.59 6591119.76 62.32, 238268.61 6591119.81 62.32, 238268.62 6591119.85 62.32, 238268.64 6591119.9 62.32, 238268.65 6591119.95 62.32, 238268.65 6591120 62.32, 238268.67 6591120.05 62.32, 238268.68 6591120.1 62.32, 238268.69 6591120.15 62.32, 238268.7 6591120.2 62.32, 238268.72 6591120.25 62.32, 238268.72 6591120.3 62.32, 238268.74 6591120.35 62.32, 238268.74 6591120.4 62.32, 238268.76 6591120.45 62.32, 238268.76 6591120.5 62.32, 238268.77 6591120.54 62.32, 238268.78 6591120.59 62.32, 238268.79 6591120.64 62.32, 238268.8 6591120.69 62.32, 238268.81 6591120.74 62.32, 238268.82 6591120.79 62.32, 238268.82 6591120.84 62.32, 238268.84 6591120.89 62.32, 238268.84 6591120.94 62.32, 238268.85 6591120.99 62.33, 238268.86 6591121.04 62.33, 238268.86 6591121.09 62.33, 238268.87 6591121.14 62.33, 238268.88 6591121.19 62.33, 238268.89 6591121.24 62.33, 238268.89 6591121.29 62.33, 238268.9 6591121.34 62.33, 238268.9 6591121.39 62.33, 238268.91 6591121.44 62.33, 238268.92 6591121.49 62.33, 238268.92 6591121.54 62.33, 238268.93 6591121.59 62.33, 238268.93 6591121.64 62.33, 238268.94 6591121.69 62.33, 238268.94 6591121.74 62.33, 238268.95 6591121.78 62.33, 238268.95 6591121.83 62.33, 238268.96 6591121.88 62.33, 238268.96 6591121.93 62.33, 238268.95 6591121.99 62.33, 238268.96 6591122.04 62.33, 238268.96 6591122.08 62.33, 238268.97 6591122.13 62.33, 238268.97 6591122.18 62.33, 238268.98 6591122.23 62.34, 238268.97 6591122.28 62.34, 238268.98 6591122.32 62.34, 238268.98 6591122.37 62.34, 238268.98 6591122.42 62.34, 238268.98 6591122.47 62.34, 238268.98 6591122.53 62.34, 238268.99 6591122.58 62.34, 238268.98 6591122.63 62.34, 238268.99 6591122.68 62.34, 238268.98 6591122.73 62.34, 238268.99 6591122.78 62.34, 238268.99 6591122.83 62.34, 238268.99 6591122.88 62.34, 238268.99 6591122.93 62.34, 238268.98 6591122.98 62.34, 238268.98 6591123.03 62.34, 238268.98 6591123.08 62.34, 238268.98 6591123.13 62.34, 238268.98 6591123.18 62.34, 238268.98 6591123.23 62.34, 238268.97 6591123.28 62.34, 238268.98 6591123.33 62.35, 238268.97 6591123.38 62.35, 238268.97 6591123.41 62.35, 238268.96 6591123.43 62.35, 238268.97 6591123.48 62.35, 238268.96 6591123.53 62.34, 238268.96 6591123.58 62.34, 238268.95 6591123.63 62.34, 238268.96 6591123.68 62.34, 238268.95 6591123.73 62.34, 238268.95 6591123.77 62.34, 238268.94 6591123.83 62.34, 238268.93 6591123.88 62.34, 238268.93 6591123.93 62.34, 238268.92 6591123.98 62.34, 238268.92 6591124.03 62.34, 238268.91 6591124.08 62.34, 238268.91 6591124.13 62.34, 238268.9 6591124.18 62.34, 238268.9 6591124.23 62.34, 238268.89 6591124.27 62.34, 238268.88 6591124.32 62.34, 238268.88 6591124.37 62.34, 238268.87 6591124.42 62.34, 238268.87 6591124.47 62.34, 238268.86 6591124.53 62.34, 238268.86 6591124.58 62.33, 238268.84 6591124.63 62.33, 238268.84 6591124.67 62.33, 238268.83 6591124.72 62.33, 238268.82 6591124.74 62.33, 238268.82 6591124.77 62.33, 238268.81 6591124.82 62.33, 238268.8 6591124.87 62.33, 238268.8 6591124.92 62.33, 238268.78 6591124.97 62.33, 238268.78 6591125.02 62.33, 238268.77 6591125.07 62.33, 238268.76 6591125.12 62.33, 238268.75 6591125.17 62.33, 238268.74 6591125.21 62.33, 238268.73 6591125.26 62.33, 238268.72 6591125.31 62.33, 238268.71 6591125.36 62.33, 238268.7 6591125.4 62.33, 238268.69 6591125.46 62.33, 238268.67 6591125.51 62.33, 238268.66 6591125.56 62.33, 238268.65 6591125.6 62.33, 238268.64 6591125.65 62.33, 238268.63 6591125.67 62.33, 238268.63 6591125.7 62.33, 238268.61 6591125.75 62.32, 238268.61 6591125.79 62.32, 238268.59 6591125.85 62.32, 238268.57 6591125.9 62.32, 238268.57 6591125.94 62.32, 238268.55 6591125.99 62.32, 238268.54 6591126.04 62.32, 238268.52 6591126.08 62.32, 238268.51 6591126.14 62.32, 238268.5 6591126.19 62.32, 238268.48 6591126.23 62.32, 238268.47 6591126.28 62.32, 238268.45 6591126.33 62.32, 238268.44 6591126.37 62.32, 238268.42 6591126.42 62.32, 238268.41 6591126.48 62.32, 238268.39 6591126.52 62.32, 238268.37 6591126.57 62.32, 238268.36 6591126.61 62.32, 238268.34 6591126.66 62.32, 238268.33 6591126.7 62.32, 238268.31 6591126.76 62.32, 238268.3 6591126.81 62.32, 238268.28 6591126.85 62.32, 238268.26 6591126.9 62.32, 238268.25 6591126.94 62.32, 238268.23 6591126.99 62.32, 238268.21 6591127.04 62.32, 238268.19 6591127.09 62.31, 238268.17 6591127.13 62.31, 238268.16 6591127.18 62.31, 238268.14 6591127.22 62.31, 238268.12 6591127.27 62.31, 238268.1 6591127.32 62.31, 238268.08 6591127.36 62.31, 238268.06 6591127.41 62.31, 238268.04 6591127.45 62.31, 238268.03 6591127.51 62.31, 238268 6591127.55 62.31, 238267.98 6591127.59 62.31, 238267.97 6591127.64 62.31, 238267.94 6591127.68 62.31, 238267.93 6591127.74 62.31, 238267.9 6591127.78 62.31, 238267.88 6591127.82 62.31, 238267.86 6591127.87 62.31, 238267.84 6591127.91 62.31, 238267.82 6591127.96 62.31, 238267.8 6591128 62.31, 238267.77 6591128.05 62.31, 238267.75 6591128.09 62.31, 238267.73 6591128.13 62.31, 238267.71 6591128.19 62.31, 238267.69 6591128.23 62.31, 238267.66 6591128.27 62.31, 238267.64 6591128.31 62.31, 238267.61 6591128.36 62.31, 238267.6 6591128.41 62.31, 238267.57 6591128.45 62.31, 238267.54 6591128.49 62.31, 238267.53 6591128.54 62.31, 238267.5 6591128.58 62.31, 238267.47 6591128.62 62.31, 238267.45 6591128.67 62.31, 238267.42 6591128.72 62.31, 238267.4 6591128.76 62.31, 238267.38 6591128.8 62.31, 238267.35 6591128.84 62.31, 238267.33 6591128.88 62.31, 238267.3 6591128.93 62.300000000000004, 238267.27 6591128.97 62.300000000000004, 238267.25 6591129.01 62.300000000000004, 238267.22 6591129.06 62.300000000000004, 238267.2 6591129.1 62.300000000000004, 238267.17 6591129.14 62.300000000000004, 238267.14 6591129.18 62.300000000000004, 238267.12 6591129.23 62.300000000000004, 238267.09 6591129.27 62.300000000000004, 238267.06 6591129.31 62.300000000000004, 238267.04 6591129.35 62.300000000000004, 238267.01 6591129.4 62.300000000000004, 238266.98 6591129.44 62.300000000000004, 238266.95 6591129.48 62.300000000000004, 238266.92 6591129.52 62.300000000000004, 238266.9 6591129.56 62.300000000000004, 238266.87 6591129.6 62.300000000000004, 238266.84 6591129.64 62.300000000000004, 238266.81 6591129.69 62.300000000000004, 238266.78 6591129.73 62.300000000000004, 238266.75 6591129.76 62.300000000000004, 238266.73 6591129.8 62.300000000000004, 238266.69 6591129.85 62.300000000000004, 238266.66 6591129.89 62.300000000000004, 238266.64 6591129.93 62.300000000000004, 238266.6 6591129.97 62.300000000000004, 238266.57 6591130.01 62.300000000000004, 238266.55 6591130.05 62.300000000000004, 238266.51 6591130.08 62.300000000000004, 238266.49 6591130.13 62.300000000000004, 238266.46 6591130.17 62.300000000000004, 238266.42 6591130.2 62.300000000000004, 238266.4 6591130.25 62.300000000000004, 238266.36 6591130.29 62.300000000000004, 238266.33 6591130.32 62.300000000000004, 238266.3 6591130.36 62.300000000000004, 238266.27 6591130.4 62.300000000000004, 238266.23 6591130.44 62.300000000000004, 238266.21 6591130.47 62.300000000000004, 238266.17 6591130.52 62.300000000000004, 238266.14 6591130.56 62.300000000000004, 238266.11 6591130.59 62.300000000000004, 238266.07 6591130.63 62.300000000000004, 238266.04 6591130.67 62.300000000000004, 238266.01 6591130.7 62.300000000000004, 238265.98 6591130.75 62.300000000000004, 238265.94 6591130.78 62.300000000000004, 238265.91 6591130.82 62.300000000000004, 238265.88 6591130.85 62.300000000000004, 238265.84 6591130.89 62.300000000000004, 238265.8 6591130.93 62.300000000000004, 238265.78 6591130.96 62.300000000000004, 238265.74 6591131 62.300000000000004, 238265.7 6591131.04 62.300000000000004, 238265.67 6591131.07 62.300000000000004, 238265.64 6591131.11 62.300000000000004, 238265.6 6591131.15 62.300000000000004, 238265.57 6591131.18 62.300000000000004, 238265.53 6591131.22 62.300000000000004, 238265.49 6591131.25 62.300000000000004, 238265.47 6591131.29 62.300000000000004, 238265.43 6591131.33 62.300000000000004, 238265.39 6591131.36 62.300000000000004, 238265.35 6591131.39 62.300000000000004, 238265.32 6591131.43 62.300000000000004, 238265.28 6591131.46 62.300000000000004, 238265.24 6591131.5 62.300000000000004, 238265.21 6591131.54 62.300000000000004, 238265.17 6591131.57 62.300000000000004, 238265.13 6591131.61 62.300000000000004, 238265.09 6591131.64 62.300000000000004, 238265.07 6591131.67 62.300000000000004, 238265.03 6591131.71 62.300000000000004, 238264.99 6591131.74 62.300000000000004, 238264.96 6591131.77 62.300000000000004, 238264.91 6591131.81 62.300000000000004, 238264.88 6591131.83 62.300000000000004, 238264.83 6591131.87 62.300000000000004, 238264.8 6591131.9 62.300000000000004, 238264.76 6591131.93 62.300000000000004, 238264.72 6591131.96 62.300000000000004, 238264.68 6591132 62.300000000000004, 238264.65 6591132.03 62.300000000000004, 238264.61 6591132.06 62.300000000000004, 238264.57 6591132.1 62.300000000000004, 238264.54 6591132.12 62.300000000000004, 238264.49 6591132.16 62.300000000000004, 238264.45 6591132.19 62.300000000000004, 238264.41 6591132.22 62.300000000000004, 238264.38 6591132.25 62.300000000000004, 238264.34 6591132.28 62.300000000000004, 238264.29 6591132.31 62.300000000000004, 238264.25 6591132.34 62.300000000000004, 238264.22 6591132.37 62.300000000000004, 238264.18 6591132.41 62.300000000000004, 238264.13 6591132.43 62.300000000000004, 238264.09 6591132.46 62.300000000000004, 238264.06 6591132.49 62.300000000000004, 238264.02 6591132.52 62.300000000000004, 238263.97 6591132.55 62.300000000000004, 238263.93 6591132.58 62.300000000000004, 238263.9 6591132.61 62.300000000000004, 238263.85 6591132.64 62.300000000000004, 238263.81 6591132.67 62.300000000000004, 238263.77 6591132.69 62.300000000000004, 238263.73 6591132.72 62.300000000000004, 238263.69 6591132.75 62.300000000000004, 238263.64 6591132.78 62.300000000000004, 238263.6 6591132.81 62.300000000000004, 238263.56 6591132.83 62.300000000000004, 238263.52 6591132.86 62.300000000000004, 238263.48 6591132.89 62.300000000000004, 238263.43 6591132.91 62.300000000000004, 238263.39 6591132.94 62.300000000000004, 238263.36 6591132.97 62.300000000000004, 238263.31 6591133 62.300000000000004, 238263.27 6591133.02 62.300000000000004, 238263.23 6591133.04 62.300000000000004, 238263.18 6591133.07 62.300000000000004, 238263.14 6591133.1 62.300000000000004, 238263.1 6591133.13 62.300000000000004, 238263.05 6591133.15 62.300000000000004, 238263.01 6591133.17 62.300000000000004, 238262.96 6591133.2 62.300000000000004, 238262.92 6591133.22 62.300000000000004, 238262.88 6591133.25 62.300000000000004, 238262.83 6591133.27 62.300000000000004, 238262.79 6591133.29 62.300000000000004, 238262.74 6591133.32 62.300000000000004, 238262.71 6591133.34 62.31, 23826</t>
  </si>
  <si>
    <t>POLYGON Z ((238245 6591123.56 62.56, 238245 6591123.51 62.56, 238244.99 6591123.46 62.56, 238244.99 6591123.41 62.56, 238244.99 6591123.36 62.56, 238244.99 6591123.31 62.56, 238244.98 6591123.26 62.56, 238244.98 6591123.21 62.56, 238244.98 6591123.16 62.56, 238244.98 6591123.11 62.56, 238244.98 6591123.06 62.57, 238244.98 6591123.01 62.57, 238244.98 6591122.96 62.57, 238244.97 6591122.91 62.57, 238244.98 6591122.86 62.57, 238244.97 6591122.81 62.57, 238244.98 6591122.76 62.57, 238244.97 6591122.71 62.57, 238244.98 6591122.66 62.57, 238244.97 6591122.61 62.57, 238244.98 6591122.55 62.57, 238244.98 6591122.5 62.57, 238244.98 6591122.45 62.57, 238244.98 6591122.4 62.57, 238244.98 6591122.35 62.57, 238244.99 6591122.3 62.57, 238244.98 6591122.25 62.57, 238244.99 6591122.2 62.57, 238244.99 6591122.15 62.57, 238245 6591122.1 62.58, 238245 6591122.05 62.58, 238245 6591122.01 62.58, 238245.01 6591121.96 62.58, 238245.01 6591121.91 62.58, 238245.01 6591121.86 62.58, 238245.01 6591121.81 62.58, 238245.02 6591121.76 62.58, 238245.02 6591121.71 62.58, 238245.03 6591121.68 62.58, 238245.04 6591121.61 62.58, 238245.04 6591121.55 62.58, 238245.05 6591121.5 62.58, 238245.05 6591121.45 62.58, 238245.06 6591121.41 62.58, 238245.06 6591121.36 62.58, 238245.07 6591121.31 62.58, 238245.07 6591121.26 62.58, 238245.08 6591121.21 62.57, 238245.09 6591121.16 62.57, 238245.09 6591121.11 62.57, 238245.1 6591121.06 62.57, 238245.11 6591121.02 62.57, 238245.12 6591120.96 62.57, 238245.12 6591120.91 62.57, 238245.13 6591120.86 62.57, 238245.14 6591120.81 62.57, 238245.15 6591120.76 62.57, 238245.16 6591120.71 62.57, 238245.16 6591120.67 62.57, 238245.18 6591120.62 62.57, 238245.18 6591120.57 62.57, 238245.19 6591120.52 62.57, 238245.2 6591120.46 62.57, 238245.21 6591120.42 62.57, 238245.23 6591120.37 62.57, 238245.23 6591120.32 62.57, 238245.25 6591120.27 62.56, 238245.25 6591120.23 62.56, 238245.27 6591120.18 62.56, 238245.27 6591120.13 62.56, 238245.29 6591120.08 62.56, 238245.3 6591120.03 62.56, 238245.31 6591119.98 62.56, 238245.33 6591119.93 62.56, 238245.33 6591119.88 62.56, 238245.35 6591119.84 62.56, 238245.35 6591119.79 62.56, 238245.37 6591119.74 62.56, 238245.38 6591119.68 62.56, 238245.4 6591119.64 62.56, 238245.41 6591119.59 62.56, 238245.42 6591119.54 62.56, 238245.44 6591119.5 62.56, 238245.45 6591119.45 62.550000000000004, 238245.47 6591119.4 62.550000000000004, 238245.47 6591119.35 62.550000000000004, 238245.49 6591119.3 62.550000000000004, 238245.51 6591119.26 62.550000000000004, 238245.52 6591119.21 62.550000000000004, 238245.54 6591119.16 62.550000000000004, 238245.55 6591119.12 62.550000000000004, 238245.57 6591119.06 62.550000000000004, 238245.59 6591119.02 62.550000000000004, 238245.6 6591118.97 62.550000000000004, 238245.62 6591118.92 62.550000000000004, 238245.63 6591118.88 62.550000000000004, 238245.65 6591118.83 62.550000000000004, 238245.66 6591118.79 62.550000000000004, 238245.68 6591118.73 62.550000000000004, 238245.7 6591118.69 62.550000000000004, 238245.71 6591118.64 62.54, 238245.74 6591118.6 62.54, 238245.75 6591118.55 62.54, 238245.77 6591118.5 62.54, 238245.79 6591118.45 62.54, 238245.8 6591118.41 62.54, 238245.83 6591118.36 62.54, 238245.84 6591118.32 62.54, 238245.86 6591118.27 62.54, 238245.88 6591118.22 62.54, 238245.9 6591118.17 62.54, 238245.92 6591118.13 62.54, 238245.93 6591118.09 62.54, 238245.96 6591118.03 62.54, 238245.97 6591117.99 62.54, 238246 6591117.94 62.54, 238246.02 6591117.9 62.54, 238246.04 6591117.86 62.53, 238246.06 6591117.8 62.53, 238246.07 6591117.76 62.53, 238246.1 6591117.72 62.53, 238246.13 6591117.67 62.53, 238246.14 6591117.63 62.53, 238246.17 6591117.58 62.53, 238246.19 6591117.54 62.53, 238246.21 6591117.49 62.53, 238246.23 6591117.45 62.53, 238246.25 6591117.41 62.53, 238246.28 6591117.35 62.53, 238246.29 6591117.31 62.53, 238246.32 6591117.27 62.53, 238246.35 6591117.23 62.53, 238246.36 6591117.18 62.53, 238246.39 6591117.13 62.52, 238246.42 6591117.09 62.52, 238246.44 6591117.05 62.52, 238246.46 6591117.01 62.52, 238246.48 6591116.96 62.52, 238246.51 6591116.92 62.52, 238246.54 6591116.88 62.52, 238246.56 6591116.82 62.52, 238246.59 6591116.78 62.52, 238246.62 6591116.74 62.52, 238246.63 6591116.71 62.52, 238246.66 6591116.66 62.52, 238246.68 6591116.61 62.52, 238246.71 6591116.57 62.52, 238246.74 6591116.53 62.52, 238246.76 6591116.49 62.51, 238246.79 6591116.44 62.51, 238246.82 6591116.4 62.51, 238246.84 6591116.36 62.51, 238246.87 6591116.31 62.51, 238246.89 6591116.27 62.51, 238246.93 6591116.23 62.51, 238246.96 6591116.19 62.51, 238246.98 6591116.15 62.51, 238247.01 6591116.11 62.51, 238247.04 6591116.07 62.51, 238247.06 6591116.03 62.51, 238247.09 6591115.98 62.51, 238247.13 6591115.94 62.51, 238247.15 6591115.9 62.51, 238247.18 6591115.86 62.51, 238247.21 6591115.82 62.5, 238247.24 6591115.78 62.5, 238247.27 6591115.74 62.5, 238247.29 6591115.69 62.5, 238247.32 6591115.66 62.5, 238247.36 6591115.62 62.5, 238247.38 6591115.57 62.5, 238247.41 6591115.54 62.5, 238247.45 6591115.5 62.5, 238247.47 6591115.46 62.5, 238247.51 6591115.42 62.5, 238247.54 6591115.38 62.5, 238247.56 6591115.34 62.5, 238247.6 6591115.3 62.5, 238247.63 6591115.26 62.5, 238247.66 6591115.22 62.49, 238247.69 6591115.19 62.49, 238247.73 6591115.14 62.49, 238247.75 6591115.11 62.49, 238247.79 6591115.07 62.49, 238247.83 6591115.03 62.49, 238247.85 6591115 62.49, 238247.89 6591114.96 62.49, 238247.92 6591114.91 62.49, 238247.95 6591114.88 62.49, 238247.99 6591114.84 62.49, 238248.02 6591114.8 62.49, 238248.05 6591114.77 62.49, 238248.08 6591114.73 62.49, 238248.12 6591114.69 62.49, 238248.15 6591114.65 62.480000000000004, 238248.19 6591114.62 62.480000000000004, 238248.22 6591114.58 62.480000000000004, 238248.26 6591114.54 62.480000000000004, 238248.29 6591114.51 62.480000000000004, 238248.33 6591114.47 62.480000000000004, 238248.36 6591114.44 62.480000000000004, 238248.39 6591114.4 62.480000000000004, 238248.43 6591114.36 62.480000000000004, 238248.47 6591114.33 62.480000000000004, 238248.5 6591114.3 62.480000000000004, 238248.53 6591114.26 62.480000000000004, 238248.57 6591114.22 62.480000000000004, 238248.61 6591114.19 62.480000000000004, 238248.64 6591114.15 62.480000000000004, 238248.68 6591114.12 62.47, 238248.72 6591114.09 62.47, 238248.75 6591114.05 62.47, 238248.79 6591114.02 62.47, 238248.83 6591113.99 62.47, 238248.86 6591113.94 62.47, 238248.9 6591113.91 62.47, 238248.94 6591113.88 62.47, 238248.98 6591113.84 62.47, 238248.99 6591113.82 62.47, 238249.01 6591113.81 62.47, 238249.05 6591113.79 62.47, 238249.09 6591113.75 62.47, 238249.13 6591113.72 62.47, 238249.16 6591113.69 62.47, 238249.2 6591113.65 62.47, 238249.24 6591113.62 62.46, 238249.27 6591113.59 62.46, 238249.31 6591113.55 62.46, 238249.35 6591113.52 62.46, 238249.39 6591113.49 62.46, 238249.43 6591113.46 62.46, 238249.47 6591113.43 62.46, 238249.51 6591113.39 62.46, 238249.55 6591113.37 62.46, 238249.58 6591113.34 62.46, 238249.61 6591113.31 62.46, 238249.63 6591113.3 62.46, 238249.67 6591113.27 62.46, 238249.71 6591113.24 62.46, 238249.74 6591113.21 62.46, 238249.78 6591113.19 62.46, 238249.83 6591113.15 62.45, 238249.87 6591113.12 62.45, 238249.9 6591113.1 62.45, 238249.95 6591113.06 62.45, 238249.99 6591113.04 62.45, 238250.03 6591113 62.45, 238250.07 6591112.98 62.45, 238250.1 6591112.95 62.45, 238250.15 6591112.92 62.45, 238250.2 6591112.89 62.45, 238250.23 6591112.87 62.45, 238250.27 6591112.83 62.45, 238250.32 6591112.81 62.45, 238250.36 6591112.78 62.45, 238250.39 6591112.75 62.45, 238250.44 6591112.73 62.440000000000005, 238250.48 6591112.7 62.440000000000005, 238250.53 6591112.67 62.440000000000005, 238250.57 6591112.64 62.440000000000005, 238250.61 6591112.62 62.440000000000005, 238250.65 6591112.59 62.440000000000005, 238250.67 6591112.58 62.440000000000005, 238250.7 6591112.56 62.440000000000005, 238250.74 6591112.54 62.440000000000005, 238250.79 6591112.51 62.440000000000005, 238250.82 6591112.49 62.440000000000005, 238250.87 6591112.46 62.440000000000005, 238250.91 6591112.43 62.440000000000005, 238250.96 6591112.41 62.440000000000005, 238250.99 6591112.38 62.440000000000005, 238251.04 6591112.36 62.440000000000005, 238251.08 6591112.34 62.440000000000005, 238251.13 6591112.31 62.43, 238251.17 6591112.29 62.43, 238251.19 6591112.28 62.43, 238251.21 6591112.26 62.43, 238251.26 6591112.24 62.43, 238251.3 6591112.22 62.43, 238251.35 6591112.19 62.43, 238251.39 6591112.17 62.43, 238251.43 6591112.14 62.43, 238251.48 6591112.12 62.43, 238251.52 6591112.1 62.43, 238251.57 6591112.07 62.43, 238251.62 6591112.06 62.43, 238251.66 6591112.03 62.43, 238251.7 6591112.01 62.43, 238251.74 6591111.99 62.43, 238251.79 6591111.97 62.42, 238251.84 6591111.95 62.42, 238251.89 6591111.92 62.42, 238251.93 6591111.9 62.42, 238251.97 6591111.88 62.42, 238252.02 6591111.86 62.42, 238252.06 6591111.84 62.42, 238252.11 6591111.82 62.42, 238252.16 6591111.8 62.42, 238252.21 6591111.78 62.42, 238252.24 6591111.76 62.42, 238252.29 6591111.73 62.42, 238252.34 6591111.72 62.42, 238252.39 6591111.7 62.42, 238252.43 6591111.68 62.42, 238252.48 6591111.67 62.42, 238252.53 6591111.64 62.410000000000004, 238252.57 6591111.63 62.410000000000004, 238252.62 6591111.6 62.410000000000004, 238252.66 6591111.59 62.410000000000004, 238252.71 6591111.58 62.410000000000004, 238252.74 6591111.56 62.410000000000004, 238252.76 6591111.55 62.410000000000004, 238252.81 6591111.54 62.410000000000004, 238252.86 6591111.52 62.410000000000004, 238252.89 6591111.5 62.410000000000004, 238252.94 6591111.49 62.410000000000004, 238252.99 6591111.47 62.410000000000004, 238253.04 6591111.46 62.410000000000004, 238253.09 6591111.43 62.410000000000004, 238253.14 6591111.42 62.410000000000004, 238253.19 6591111.4 62.410000000000004, 238253.23 6591111.39 62.410000000000004, 238253.27 6591111.37 62.410000000000004, 238253.32 6591111.36 62.4, 238253.37 6591111.35 62.4, 238253.42 6591111.33 62.4, 238253.47 6591111.32 62.4, 238253.52 6591111.3 62.4, 238253.57 6591111.29 62.4, 238253.62 6591111.27 62.4, 238253.66 6591111.26 62.4, 238253.7 6591111.25 62.4, 238253.75 6591111.23 62.4, 238253.8 6591111.22 62.4, 238253.85 6591111.2 62.4, 238253.9 6591111.19 62.4, 238253.95 6591111.17 62.4, 238254 6591111.16 62.4, 238254.05 6591111.15 62.4, 238254.1 6591111.14 62.4, 238254.15 6591111.13 62.39, 238254.2 6591111.11 62.39, 238254.25 6591111.11 62.39, 238254.29 6591111.09 62.39, 238254.32 6591111.09 62.39, 238254.34 6591111.08 62.39, 238254.38 6591111.07 62.39, 238254.43 6591111.06 62.39, 238254.48 6591111.04 62.39, 238254.53 6591111.04 62.39, 238254.58 6591111.03 62.39, 238254.63 6591111.02 62.39, 238254.68 6591111.01 62.39, 238254.73 6591111 62.39, 238254.78 6591110.99 62.39, 238254.83 6591110.98 62.39, 238254.88 6591110.97 62.39, 238254.93 6591110.96 62.39, 238254.98 6591110.96 62.39, 238255.02 6591110.95 62.38, 238255.07 6591110.94 62.38, 238255.12 6591110.94 62.38, 238255.17 6591110.92 62.38, 238255.22 6591110.92 62.38, 238255.27 6591110.91 62.38, 238255.32 6591110.9 62.38, 238255.37 6591110.89 62.38, 238255.42 6591110.89 62.38, 238255.47 6591110.88 62.38, 238255.52 6591110.88 62.38, 238255.57 6591110.87 62.38, 238255.62 6591110.86 62.38, 238255.67 6591110.86 62.38, 238255.72 6591110.85 62.38, 238255.77 6591110.85 62.38, 238255.79 6591110.85 62.38, 238255.82 6591110.84 62.38, 238255.87 6591110.84 62.38, 238255.92 6591110.83 62.370000000000005, 238255.97 6591110.83 62.370000000000005, 238256.02 6591110.83 62.370000000000005, 238256.07 6591110.82 62.370000000000005, 238256.12 6591110.82 62.370000000000005, 238256.17 6591110.81 62.370000000000005, 238256.22 6591110.81 62.370000000000005, 238256.27 6591110.81 62.370000000000005, 238256.32 6591110.81 62.370000000000005, 238256.36 6591110.8 62.370000000000005, 238256.42 6591110.8 62.370000000000005, 238256.47 6591110.79 62.370000000000005, 238256.52 6591110.8 62.370000000000005, 238256.57 6591110.8 62.370000000000005, 238256.62 6591110.79 62.370000000000005, 238256.67 6591110.79 62.370000000000005, 238256.72 6591110.79 62.370000000000005, 238256.77 6591110.79 62.370000000000005, 238256.8 6591110.78 62.370000000000005, 238256.82 6591110.78 62.370000000000005, 238256.87 6591110.79 62.370000000000005, 238256.92 6591110.78 62.36, 238256.97 6591110.79 62.36, 238257.02 6591110.78 62.36, 238257.07 6591110.79 62.36, 238257.12 6591110.79 62.36, 238257.17 6591110.79 62.36, 238257.22 6591110.79 62.36, 238257.27 6591110.79 62.36, 238257.32 6591110.79 62.36, 238257.36 6591110.79 62.36, 238257.42 6591110.8 62.36, 238257.47 6591110.79 62.36, 238257.51 6591110.8 62.36, 238257.56 6591110.81 62.36, 238257.61 6591110.8 62.36, 238257.66 6591110.81 62.36, 238257.72 6591110.81 62.36, 238257.77 6591110.81 62.36, 238257.8 6591110.82 62.36, 238257.82 6591110.81 62.36, 238257.87 6591110.82 62.36, 238257.92 6591110.82 62.35, 238257.97 6591110.83 62.35, 238258.02 6591110.84 62.35, 238258.07 6591110.84 62.35, 238258.12 6591110.84 62.35, 238258.17 6591110.84 62.35, 238258.22 6591110.85 62.35, 238258.26 6591110.85 62.35, 238258.31 6591110.86 62.35, 238258.35 6591110.87 62.35, 238258.41 6591110.87 62.35, 238258.46 6591110.88 62.35, 238258.52 6591110.88 62.35, 238258.57 6591110.9 62.35, 238258.62 6591110.9 62.35, 238258.66 6591110.91 62.35, 238258.71 6591110.91 62.35, 238258.76 6591110.92 62.35, 238258.78 6591110.93 62.35, 238258.81 6591110.92 62.35, 238258.86 6591110.94 62.35, 238258.91 6591110.95 62.35, 238258.96 6591110.95 62.35, 238259 6591110.96 62.34, 238259.06 6591110.97 62.34, 238259.11 6591110.98 62.34, 238259.16 6591110.98 62.34, 238259.21 6591111 62.34, 238259.26 6591111 62.34, 238259.3 6591111.01 62.34, 238259.34 6591111.02 62.34, 238259.4 6591111.03 62.34, 238259.45 6591111.05 62.34, 238259.5 6591111.05 62.34, 238259.55 6591111.07 62.34, 238259.6 6591111.07 62.34, 238259.65 6591111.09 62.34, 238259.69 6591111.1 62.34, 238259.74 6591111.11 62.34, 238259.77 6591111.12 62.34, 238259.79 6591111.12 62.34, 238259.84 6591111.13 62.34, 238259.89 6591111.15 62.34, 238259.94 6591111.15 62.34, 238259.99 6591111.17 62.34, 238260.04 6591111.19 62.34, 238260.08 6591111.19 62.34, 238260.13 6591111.21 62.34, 238260.18 6591111.22 62.34, 238260.23 6591111.24 62.33, 238260.28 6591111.24 62.33, 238260.32 6591111.26 62.33, 238260.37 6591111.28 62.33, 238260.42 6591111.29 62.33, 238260.47 6591111.31 62.33, 238260.51 6591111.32 62.33, 238260.57 6591111.34 62.33, 238260.61 6591111.34 62.33, 238260.66 6591111.36 62.33, 238260.71 6591111.38 62.33, 238260.74 6591111.39 62.33, 238260.8 6591111.41 62.33, 238260.85 6591111.42 62.33, 238260.9 6591111.44 62.33, 238260.94 6591111.46 62.33, 238260.99 6591111.48 62.33, 238261.04 6591111.5 62.33, 238261.08 6591111.51 62.33, 238261.14 6591111.53 62.33, 238261.18 6591111.54 62.33, 238261.23 6591111.56 62.33, 238261.27 6591111.58 62.33, 238261.32 6591111.6 62.33, 238261.37 6591111.62 62.33, 238261.42 6591111.63 62.33, 238261.46 6591111.65 62.33, 238261.5 6591111.68 62.33, 238261.55 6591111.69 62.32, 238261.59 6591111.71 62.32, 238261.65 6591111.73 62.32, 238261.69 6591111.75 62.32, 238261.72 6591111.76 62.32, 238261.78 6591111.79 62.32, 238261.82 6591111.81 62.32, 238261.88 6591111.83 62.32, 238261.92 6591111.85 62.32, 238261.96 6591111.88 62.32, 238262.01 6591111.89 62.32, 238262.05 6591111.91 62.32, 238262.1 6591111.93 62.32, 238262.15 6591111.96 62.32, 238262.19 6591111.98 62.32, 238262.23 6591112 62.32, 238262.28 6591112.02 62.32, 238262.33 6591112.04 62.32, 238262.37 6591112.07 62.32, 238262.41 6591112.09 62.32, 238262.46 6591112.11 62.32, 238262.51 6591112.14 62.32, 238262.55 6591112.15 62.32, 238262.59 6591112.18 62.32, 238262.63 6591112.21 62.32, 238262.68 6591112.22 62.32, 238262.73 6591112.25 62.32, 238262.77 6591112.27 62.32, 238262.81 6591112.3 62.32, 238262.86 6591112.33 62.32, 238262.9 6591112.34 62.32, 238262.94 6591112.37 62.32, 238262.98 6591112.4 62.32, 238263.03 6591112.42 62.32, 238263.07 6591112.45 62.31, 238263.12 6591112.47 62.31, 238263.16 6591112.5 62.31, 238263.19 6591112.52 62.31, 238263.21 6591112.53 62.31, 238263.25 6591112.55 62.31, 238263.29 6591112.58 62.31, 238263.33 6591112.61 62.31, 238263.38 6591112.63 62.31, 238263.42 6591112.66 62.31, 238263.46 6591112.68 62.31, 238263.49 6591112.71 62.31, 238263.54 6591112.74 62.31, 238263.58 6591112.76 62.31, 238263.62 6591112.79 62.31, 238263.64 6591112.81 62.31, 238263.66 6591112.82 62.31, 238263.71 6591112.85 62.31, 238263.75 6591112.88 62.31, 238263.79 6591112.91 62.31, 238263.84 6591112.93 62.31, 238263.87 6591112.96 62.31, 238263.91 6591113 62.31, 238263.95 6591113.02 62.31, 238264 6591113.05 62.31, 238264.04 6591113.07 62.31, 238264.07 6591113.11 62.31, 238264.12 6591113.14 62.31, 238264.16 6591113.16 62.31, 238264.19 6591113.2 62.31, 238264.23 6591113.23 62.31, 238264.28 6591113.25 62.31, 238264.32 6591113.29 62.31, 238264.35 6591113.32 62.31, 238264.4 6591113.35 62.31, 238264.43 6591113.38 62.31, 238264.47 6591113.41 62.31, 238264.51 6591113.44 62.31, 238264.55 6591113.47 62.31, 238264.59 6591113.51 62.31, 238264.62 6591113.53 62.31, 238264.67 6591113.57 62.31, 238264.7 6591113.6 62.31, 238264.74 6591113.63 62.31, 238264.79 6591113.67 62.31, 238264.82 6591113.7 62.31, 238264.85 6591113.73 62.31, 238264.9 6591113.76 62.31, 238264.93 6591113.8 62.31, 238264.97 6591113.83 62.31, 238265 6591113.86 62.31, 238265.05 6591113.9 62.31, 238265.08 6591113.93 62.31, 238265.11 6591113.96 62.31, 238265.16 6591114 62.31, 238265.19 6591114.04 62.31, 238265.22 6591114.07 62.31, 238265.27 6591114.1 62.31, 238265.3 6591114.14 62.300000000000004, 238265.33 6591114.17 62.300000000000004, 238265.37 6591114.21 62.300000000000004, 238265.41 6591114.24 62.300000000000004, 238265.44 6591114.27 62.300000000000004, 238265.48 6591114.31 62.300000000000004, 238265.51 6591114.35 62.300000000000004, 238265.53 6591114.37 62.300000000000004, 238265.54 6591114.39 62.300000000000004, 238265.59 6591114.42 62.300000000000004, 238265.62 6591114.46 62.300000000000004, 238265.65 6591114.49 62.300000000000004, 238265.69 6591114.52 62.300000000000004, 238265.72 6591114.56 62.300000000000004, 238265.75 6591114.6 62.300000000000004, 238265.79 6591114.63 62.300000000000004, 238265.82 6591114.67 62.300000000000004, 238265.86 6591114.71 62.300000000000004, 238265.89 6591114.75 62.300000000000004, 238265.92 6591114.78 62.300000000000004, 238265.94 6591114.81 62.300000000000004, 238265.99 6591114.86 62.300000000000004, 238266.02 6591114.89 62.300000000000004, 238266.06 6591114.93 62.300000000000004, 238266.09 6591114.97 62.300000000000004, 238266.12 6591115.01 62.300000000000004, 238266.16 6591115.05 62.300000000000004, 238266.19 6591115.09 62.300000000000004, 238266.21 6591115.13 62.300000000000004, 238266.25 6591115.17 62.300000000000004, 238266.28 6591115.2 62.300000000000004, 238266.32 6591115.24 62.300000000000004, 238266.35 6591115.28 62.300000000000004, 238266.37 6591115.32 62.300000000000004, 238266.41 6591115.36 62.300000000000004, 238266.44 6591115.4 62.300000000000004, 238266.46 6591115.43 62.300000000000004, 238266.5 6591115.47 62.300000000000004, 238266.53 6591115.51 62.300000000000004, 238266.57 6591115.56 62.300000000000004, 238266.59 6591115.6 62.300000000000004, 238266.62 6591115.63 62.300000000000004, 238266.65 6591115.67 62.300000000000004, 238266.68 6591115.72 62.300000000000004, 238266.71 6591115.76 62.300000000000004, 238266.74 6591115.79 62.300000000000004, 238266.77 6591115.84 62.300000000000004, 238266.8 6591115.88 62.300000000000004, 238266.83 6591115.92 62.300000000000004, 238266.85 6591115.97 62.300000000000004, 238266.89 6591116 62.300000000000004, 238266.91 6591116.04 62.300000000000004, 238266.93 6591116.09 62.300000000000004, 238266.97 6591116.13 62.300000000000004, 238266.99 6591116.17 62.300000000000004, 238267.03 6591116.21 62.300000000000004, 238267.05 6591116.25 62.300000000000004, 238267.07 6591116.3 62.300000000000004, 238267.11 6591116.33 62.300000000000004, 238267.13 6591116.38 62.300000000000004, 238267.16 6591116.42 62.300000000000004, 238267.18 6591116.47 62.300000000000004, 238267.21 6591116.51 62.300000000000004, 238267.24 6591116.55 62.300000000000004, 238267.26 6591116.59 62.300000000000004, 238267.29 6591116.64 62.300000000000004, 238267.31 6591116.68 62.300000000000004, 238267.33 6591116.73 62.300000000000004, 238267.37 6591116.76 62.300000000000004, 238267.39 6591116.81 62.300000000000004, 238267.42 6591116.85 62.300000000000004, 238267.44 6591116.9 62.300000000000004, 238267.46 6591116.94 62.31, 238267.49 6591116.98 62.31, 238267.51 6591117.02 62.31, 238267.54 6591117.07 62.31, 238267.56 6591117.12 62.31, 238267.58 6591117.16 62.31, 238267.61 6591117.2 62.31, 238267.63 6591117.24 62.31, 238267.66 6591117.29 62.31, 238267.67 6591117.33 62.31, 238267.69 6591117.38 62.31, 238267.72 6591117.42 62.31, 238267.74 6591117.47 62.31, 238267.77 6591117.51 62.31, 238267.78 6591117.56 62.31, 238267.81 6591117.61 62.31, 238267.83 6591117.65 62.31, 238267.85 6591117.69 62.31, 238267.87 6591117.74 62.31, 238267.89 6591117.78 62.31, 238267.92 6591117.83 62.31, 238267.93 6591117.88 62.31, 238267.95 6591117.93 62.31, 238267.98 6591117.96 62.31, 238267.99 6591118.01 62.31, 238268.02 6591118.06 62.31, 238268.03 6591118.11 62.31, 238268.06 6591118.15 62.31, 238268.07 6591118.2 62.31, 238268.09 6591118.24 62.31, 238268.11 6591118.29 62.31, 238268.13 6591118.34 62.31, 238268.15 6591118.38 62.31, 238268.16 6591118.43 62.31, 238268.19 6591118.48 62.31, 238268.2 6591118.53 62.31, 238268.22 6591118.57 62.31, 238268.24 6591118.61 62.31, 238268.25 6591118.66 62.31, 238268.27 6591118.71 62.31, 238268.29 6591118.76 62.31, 238268.31 6591118.81 62.31, 238268.32 6591118.86 62.31, 238268.33 6591118.9 62.31, 238268.36 6591118.94 62.31, 238268.37 6591118.99 62.31, 238268.39 6591119.04 62.31, 238268.4 6591119.09 62.31, 238268.42 6591119.14 62.31, 238268.43 6591119.19 62.31, 238268.44 6591119.23 62.31, 238268.46 6591119.28 62.31, 238268.47 6591119.33 62.31, 238268.49 6591119.37 62.31, 238268.5 6591119.42 62.32, 238268.52 6591119.47 62.32, 238268.53 6591119.52 62.32, 238268.55 6591119.57 62.32, 238268.56 6591119.62 62.32, 238268.57 6591119.67 62.32, 238268.59 6591119.72 62.32, 238268.59 6591119.76 62.32, 238268.61 6591119.81 62.32, 238268.62 6591119.85 62.32, 238268.64 6591119.9 62.32, 238268.65 6591119.95 62.32, 238268.65 6591120 62.32, 238268.67 6591120.05 62.32, 238268.68 6591120.1 62.32, 238268.69 6591120.15 62.32, 238268.7 6591120.2 62.32, 238268.72 6591120.25 62.32, 238268.72 6591120.3 62.32, 238268.74 6591120.35 62.32, 238268.74 6591120.4 62.32, 238268.76 6591120.45 62.32, 238268.76 6591120.5 62.32, 238268.77 6591120.54 62.32, 238268.78 6591120.59 62.32, 238268.79 6591120.64 62.32, 238268.8 6591120.69 62.32, 238268.81 6591120.74 62.32, 238268.82 6591120.79 62.32, 238268.82 6591120.84 62.32, 238268.84 6591120.89 62.32, 238268.84 6591120.94 62.32, 238268.85 6591120.99 62.33, 238268.86 6591121.04 62.33, 238268.86 6591121.09 62.33, 238268.87 6591121.14 62.33, 238268.88 6591121.19 62.33, 238268.89 6591121.24 62.33, 238268.89 6591121.29 62.33, 238268.9 6591121.34 62.33, 238268.9 6591121.39 62.33, 238268.91 6591121.44 62.33, 238268.92 6591121.49 62.33, 238268.92 6591121.54 62.33, 238268.93 6591121.59 62.33, 238268.93 6591121.64 62.33, 238268.94 6591121.69 62.33, 238268.94 6591121.74 62.33, 238268.95 6591121.78 62.33, 238268.95 6591121.83 62.33, 238268.96 6591121.88 62.33, 238268.96 6591121.93 62.33, 238268.95 6591121.99 62.33, 238268.96 6591122.04 62.33, 238268.96 6591122.08 62.33, 238268.97 6591122.13 62.33, 238268.97 6591122.18 62.33, 238268.98 6591122.23 62.34, 238268.97 6591122.28 62.34, 238268.98 6591122.32 62.34, 238268.98 6591122.37 62.34, 238268.98 6591122.42 62.34, 238268.98 6591122.47 62.34, 238268.98 6591122.53 62.34, 238268.99 6591122.58 62.34, 238268.98 6591122.63 62.34, 238268.99 6591122.68 62.34, 238268.98 6591122.73 62.34, 238268.99 6591122.78 62.34, 238268.99 6591122.83 62.34, 238268.99 6591122.88 62.34, 238268.99 6591122.93 62.34, 238268.98 6591122.98 62.34, 238268.98 6591123.03 62.34, 238268.98 6591123.08 62.34, 238268.98 6591123.13 62.34, 238268.98 6591123.18 62.34, 238268.98 6591123.23 62.34, 238268.97 6591123.28 62.34, 238268.98 6591123.33 62.35, 238268.97 6591123.38 62.35, 238268.97 6591123.41 62.35, 238268.96 6591123.43 62.35, 238268.97 6591123.48 62.35, 238268.96 6591123.53 62.34, 238268.96 6591123.58 62.34, 238268.95 6591123.63 62.34, 238268.96 6591123.68 62.34, 238268.95 6591123.73 62.34, 238268.95 6591123.77 62.34, 238268.94 6591123.83 62.34, 238268.93 6591123.88 62.34, 238268.93 6591123.93 62.34, 238268.92 6591123.98 62.34, 238268.92 6591124.03 62.34, 238268.91 6591124.08 62.34, 238268.91 6591124.13 62.34, 238268.9 6591124.18 62.34, 238268.9 6591124.23 62.34, 238268.89 6591124.27 62.34, 238268.88 6591124.32 62.34, 238268.88 6591124.37 62.34, 238268.87 6591124.42 62.34, 238268.87 6591124.47 62.34, 238268.86 6591124.53 62.34, 238268.86 6591124.58 62.33, 238268.84 6591124.63 62.33, 238268.84 6591124.67 62.33, 238268.83 6591124.72 62.33, 238268.82 6591124.74 62.33, 238268.82 6591124.77 62.33, 238268.81 6591124.82 62.33, 238268.8 6591124.87 62.33, 238268.8 6591124.92 62.33, 238268.78 6591124.97 62.33, 238268.78 6591125.02 62.33, 238268.77 6591125.07 62.33, 238268.76 6591125.12 62.33, 238268.75 6591125.17 62.33, 238268.74 6591125.21 62.33, 238268.73 6591125.26 62.33, 238268.72 6591125.31 62.33, 238268.71 6591125.36 62.33, 238268.7 6591125.4 62.33, 238268.69 6591125.46 62.33, 238268.67 6591125.51 62.33, 238268.66 6591125.56 62.33, 238268.65 6591125.6 62.33, 238268.64 6591125.65 62.33, 238268.63 6591125.67 62.33, 238268.63 6591125.7 62.33, 238268.61 6591125.75 62.32, 238268.61 6591125.79 62.32, 238268.59 6591125.85 62.32, 238268.57 6591125.9 62.32, 238268.57 6591125.94 62.32, 238268.55 6591125.99 62.32, 238268.54 6591126.04 62.32, 238268.52 6591126.08 62.32, 238268.51 6591126.14 62.32, 238268.5 6591126.19 62.32, 238268.48 6591126.23 62.32, 238268.47 6591126.28 62.32, 238268.45 6591126.33 62.32, 238268.44 6591126.37 62.32, 238268.42 6591126.42 62.32, 238268.41 6591126.48 62.32, 238268.39 6591126.52 62.32, 238268.37 6591126.57 62.32, 238268.36 6591126.61 62.32, 238268.34 6591126.66 62.32, 238268.33 6591126.7 62.32, 238268.31 6591126.76 62.32, 238268.3 6591126.81 62.32, 238268.28 6591126.85 62.32, 238268.26 6591126.9 62.32, 238268.25 6591126.94 62.32, 238268.23 6591126.99 62.32, 238268.21 6591127.04 62.32, 238268.19 6591127.09 62.31, 238268.17 6591127.13 62.31, 238268.16 6591127.18 62.31, 238268.14 6591127.22 62.31, 238268.12 6591127.27 62.31, 238268.1 6591127.32 62.31, 238268.08 6591127.36 62.31, 238268.06 6591127.41 62.31, 238268.04 6591127.45 62.31, 238268.03 6591127.51 62.31, 238268 6591127.55 62.31, 238267.98 6591127.59 62.31, 238267.97 6591127.64 62.31, 238267.94 6591127.68 62.31, 238267.93 6591127.74 62.31, 238267.9 6591127.78 62.31, 238267.88 6591127.82 62.31, 238267.86 6591127.87 62.31, 238267.84 6591127.91 62.31, 238267.82 6591127.96 62.31, 238267.8 6591128 62.31, 238267.77 6591128.05 62.31, 238267.75 6591128.09 62.31, 238267.73 6591128.13 62.31, 238267.71 6591128.19 62.31, 238267.69 6591128.23 62.31, 238267.66 6591128.27 62.31, 238267.64 6591128.31 62.31, 238267.61 6591128.36 62.31, 238267.6 6591128.41 62.31, 238267.57 6591128.45 62.31, 238267.54 6591128.49 62.31, 238267.53 6591128.54 62.31, 238267.5 6591128.58 62.31, 238267.47 6591128.62 62.31, 238267.45 6591128.67 62.31, 238267.42 6591128.72 62.31, 238267.4 6591128.76 62.31, 238267.38 6591128.8 62.31, 238267.35 6591128.84 62.31, 238267.33 6591128.88 62.31, 238267.3 6591128.93 62.300000000000004, 238267.27 6591128.97 62.300000000000004, 238267.25 6591129.01 62.300000000000004, 238267.22 6591129.06 62.300000000000004, 238267.2 6591129.1 62.300000000000004, 238267.17 6591129.14 62.300000000000004, 238267.14 6591129.18 62.300000000000004, 238267.12 6591129.23 62.300000000000004, 238267.09 6591129.27 62.300000000000004, 238267.06 6591129.31 62.300000000000004, 238267.04 6591129.35 62.300000000000004, 238267.01 6591129.4 62.300000000000004, 238266.98 6591129.44 62.300000000000004, 238266.95 6591129.48 62.300000000000004, 238266.92 6591129.52 62.300000000000004, 238266.9 6591129.56 62.300000000000004, 238266.87 6591129.6 62.300000000000004, 238266.84 6591129.64 62.300000000000004, 238266.81 6591129.69 62.300000000000004, 238266.78 6591129.73 62.300000000000004, 238266.75 6591129.76 62.300000000000004, 238266.73 6591129.8 62.300000000000004, 238266.69 6591129.85 62.300000000000004, 238266.66 6591129.89 62.300000000000004, 238266.64 6591129.93 62.300000000000004, 238266.6 6591129.97 62.300000000000004, 238266.57 6591130.01 62.300000000000004, 238266.55 6591130.05 62.300000000000004, 238266.51 6591130.08 62.300000000000004, 238266.49 6591130.13 62.300000000000004, 238266.46 6591130.17 62.300000000000004, 238266.42 6591130.2 62.300000000000004, 238266.4 6591130.25 62.300000000000004, 238266.36 6591130.29 62.300000000000004, 238266.33 6591130.32 62.300000000000004, 238266.3 6591130.36 62.300000000000004, 238266.27 6591130.4 62.300000000000004, 238266.23 6591130.44 62.300000000000004, 238266.21 6591130.47 62.300000000000004, 238266.17 6591130.52 62.300000000000004, 238266.14 6591130.56 62.300000000000004, 238266.11 6591130.59 62.300000000000004, 238266.07 6591130.63 62.300000000000004, 238266.04 6591130.67 62.300000000000004, 238266.01 6591130.7 62.300000000000004, 238265.98 6591130.75 62.300000000000004, 238265.94 6591130.78 62.300000000000004, 238265.91 6591130.82 62.300000000000004, 238265.88 6591130.85 62.300000000000004, 238265.84 6591130.89 62.300000000000004, 238265.8 6591130.93 62.300000000000004, 238265.78 6591130.96 62.300000000000004, 238265.74 6591131 62.300000000000004, 238265.7 6591131.04 62.300000000000004, 238265.67 6591131.07 62.300000000000004, 238265.64 6591131.11 62.300000000000004, 238265.6 6591131.15 62.300000000000004, 238265.57 6591131.18 62.300000000000004, 238265.53 6591131.22 62.300000000000004, 238265.49 6591131.25 62.300000000000004, 238265.47 6591131.29 62.300000000000004, 238265.43 6591131.33 62.300000000000004, 238265.39 6591131.36 62.300000000000004, 238265.35 6591131.39 62.300000000000004, 238265.32 6591131.43 62.300000000000004, 238265.28 6591131.46 62.300000000000004, 238265.24 6591131.5 62.300000000000004, 238265.21 6591131.54 62.300000000000004, 238265.17 6591131.57 62.300000000000004, 238265.13 6591131.61 62.300000000000004, 238265.09 6591131.64 62.300000000000004, 238265.07 6591131.67 62.300000000000004, 238265.03 6591131.71 62.300000000000004, 238264.99 6591131.74 62.300000000000004, 238264.96 6591131.77 62.300000000000004, 238264.91 6591131.81 62.300000000000004, 238264.88 6591131.83 62.300000000000004, 238264.83 6591131.87 62.300000000000004, 238264.8 6591131.9 62.300000000000004, 238264.76 6591131.93 62.300000000000004, 238264.72 6591131.96 62.300000000000004, 238264.68 6591132 62.300000000000004, 238264.65 6591132.03 62.300000000000004, 238264.61 6591132.06 62.300000000000004, 238264.57 6591132.1 62.300000000000004, 238264.54 6591132.12 62.300000000000004, 238264.49 6591132.16 62.300000000000004, 238264.45 6591132.19 62.300000000000004, 238264.41 6591132.22 62.300000000000004, 238264.38 6591132.25 62.300000000000004, 238264.34 6591132.28 62.300000000000004, 238264.29 6591132.31 62.300000000000004, 238264.25 6591132.34 62.300000000000004, 238264.22 6591132.37 62.300000000000004, 238264.18 6591132.41 62.300000000000004, 238264.13 6591132.43 62.300000000000004, 238264.09 6591132.46 62.300000000000004, 238264.06 6591132.49 62.300000000000004, 238264.02 6591132.52 62.300000000000004, 238263.97 6591132.55 62.300000000000004, 238263.93 6591132.58 62.300000000000004, 238263.9 6591132.61 62.300000000000004, 238263.85 6591132.64 62.300000000000004, 238263.81 6591132.67 62.300000000000004, 238263.77 6591132.69 62.300000000000004, 238263.73 6591132.72 62.300000000000004, 238263.69 6591132.75 62.300000000000004, 238263.64 6591132.78 62.300000000000004, 238263.6 6591132.81 62.300000000000004, 238263.56 6591132.83 62.300000000000004, 238263.52 6591132.86 62.300000000000004, 238263.48 6591132.89 62.300000000000004, 238263.43 6591132.91 62.300000000000004, 238263.39 6591132.94 62.300000000000004, 238263.36 6591132.97 62.300000000000004, 238263.31 6591133 62.300000000000004, 238263.27 6591133.02 62.300000000000004, 238263.23 6591133.04 62.300000000000004, 238263.18 6591133.07 62.300000000000004, 238263.14 6591133.1 62.300000000000004, 238263.1 6591133.13 62.300000000000004, 238263.05 6591133.15 62.300000000000004, 238263.01 6591133.17 62.300000000000004, 238262.96 6591133.2 62.300000000000004, 238262.92 6591133.22 62.300000000000004, 238262.88 6591133.25 62.300000000000004, 238262.83 6591133.27 62.300000000000004, 238262.79 6591133.29 62.300000000000004, 238262.74 6591133.32 62.300000000000004, 238262.71 6591133.34 62.31, 238262.</t>
  </si>
  <si>
    <t>['RV19 S4D1 m7402-7414']</t>
  </si>
  <si>
    <t>LINESTRING Z (238278.54 6591125.72 62.160000000000004, 238278.31 6591125.57 62.160000000000004, 238278 6591125.31 62.160000000000004, 238277.97 6591125.14 62.160000000000004, 238277.93 6591124.94 62.160000000000004, 238277.98 6591124.2 62.160000000000004, 238277.99 6591123.37 62.160000000000004, 238277.99 6591122.47 62.160000000000004, 238278 6591121.93 62.160000000000004, 238278 6591121.59 62.160000000000004, 238278.13 6591121.31 62.160000000000004, 238278.41 6591121.1 62.160000000000004, 238278.69 6591121.02 62.160000000000004, 238278.73 6591121.03 62.160000000000004, 238278.95 6591121.03 62.15, 238278.99 6591121.03 62.15, 238279.28 6591121.15 62.15, 238279.88 6591121.36 62.14, 238281.33 6591121.92 62.120000000000005, 238281.64 6591122.03 62.11, 238281.92 6591122.12 62.11, 238282.86 6591122.44 62.1, 238283.74 6591122.64 62.1, 238284.93 6591122.96 62.09, 238285.31 6591123.05 62.09, 238285.65 6591123.14 62.09, 238285.9 6591123.21 62.08, 238287.19 6591123.52 62.08, 238288.06 6591123.73 62.07, 238288.94 6591123.9 62.07, 238289.21 6591123.97 62.07, 238289.37 6591124.01 62.07, 238289.59 6591124.2 62.07, 238289.68 6591124.45 62.07, 238289.62 6591124.73 62.07, 238289.5 6591124.9 62.07, 238289.29 6591125.02 62.07, 238288.94 6591125.04 62.07, 238288.42 6591125 62.07, 238287.46 6591124.95 62.08, 238287.19 6591124.95 62.08, 238286.69 6591124.94 62.08, 238286.54 6591124.93 62.08, 238285.43 6591124.96 62.09, 238284.74 6591124.99 62.09, 238283.4 6591125.06 62.1, 238283.27 6591125.07 62.1, 238282.97 6591125.1 62.1, 238282.38 6591125.15 62.11, 238280.83 6591125.32 62.13, 238279.63 6591125.55 62.15, 238279.12 6591125.63 62.15, 238278.93 6591125.66 62.160000000000004, 238278.67 6591125.7 62.160000000000004, 238278.54 6591125.72 62.160000000000004)</t>
  </si>
  <si>
    <t>POLYGON Z ((238278.54 6591125.72 62.160000000000004, 238278.31 6591125.57 62.160000000000004, 238278 6591125.31 62.160000000000004, 238277.97 6591125.14 62.160000000000004, 238277.93 6591124.94 62.160000000000004, 238277.98 6591124.2 62.160000000000004, 238277.99 6591123.37 62.160000000000004, 238277.99 6591122.47 62.160000000000004, 238278 6591121.93 62.160000000000004, 238278 6591121.59 62.160000000000004, 238278.13 6591121.31 62.160000000000004, 238278.41 6591121.1 62.160000000000004, 238278.69 6591121.02 62.160000000000004, 238278.73 6591121.03 62.160000000000004, 238278.95 6591121.03 62.15, 238278.99 6591121.03 62.15, 238279.28 6591121.15 62.15, 238279.88 6591121.36 62.14, 238281.33 6591121.92 62.120000000000005, 238281.64 6591122.03 62.11, 238281.92 6591122.12 62.11, 238282.86 6591122.44 62.1, 238283.74 6591122.64 62.1, 238284.93 6591122.96 62.09, 238285.31 6591123.05 62.09, 238285.65 6591123.14 62.09, 238285.9 6591123.21 62.08, 238287.19 6591123.52 62.08, 238288.06 6591123.73 62.07, 238288.94 6591123.9 62.07, 238289.21 6591123.97 62.07, 238289.37 6591124.01 62.07, 238289.59 6591124.2 62.07, 238289.68 6591124.45 62.07, 238289.62 6591124.73 62.07, 238289.5 6591124.9 62.07, 238289.29 6591125.02 62.07, 238288.94 6591125.04 62.07, 238288.42 6591125 62.07, 238287.46 6591124.95 62.08, 238287.19 6591124.95 62.08, 238286.69 6591124.94 62.08, 238286.54 6591124.93 62.08, 238285.43 6591124.96 62.09, 238284.74 6591124.99 62.09, 238283.4 6591125.06 62.1, 238283.27 6591125.07 62.1, 238282.97 6591125.1 62.1, 238282.38 6591125.15 62.11, 238280.83 6591125.32 62.13, 238279.63 6591125.55 62.15, 238279.12 6591125.63 62.15, 238278.93 6591125.66 62.160000000000004, 238278.67 6591125.7 62.160000000000004, 238278.54 6591125.72 62.160000000000004))</t>
  </si>
  <si>
    <t>2025-12-09</t>
  </si>
  <si>
    <t>2025-12-09T13:53:20Z</t>
  </si>
  <si>
    <t>['KV3900 S1D1 m219-227']</t>
  </si>
  <si>
    <t>LINESTRING (55300.98322273168 6456853.296121873, 55300.38846636593 6456854.047957429, 55305.83109393157 6456859.490132784, 55306.349272191 6456859.117501877, 55301.13335950597 6456853.200652044)</t>
  </si>
  <si>
    <t>POLYGON ((55300.98322273168 6456853.296121873, 55300.38846636593 6456854.047957429, 55305.83109393157 6456859.490132784, 55306.349272191 6456859.117501877, 55301.13335950597 6456853.200652044, 55300.98322273168 6456853.296121873))</t>
  </si>
  <si>
    <t>2025-12-10T07:33:40Z</t>
  </si>
  <si>
    <t>['KV11700 S1D1 m4-7']</t>
  </si>
  <si>
    <t>LINESTRING (55431.880479429674 6456838.568335301, 55432.93352640205 6456839.404728544, 55434.97447491682 6456836.940797064, 55432.83829435526 6456835.743064881, 55431.73586987617 6456838.023044458)</t>
  </si>
  <si>
    <t>POLYGON ((55431.880479429674 6456838.568335301, 55432.93352640205 6456839.404728544, 55434.97447491682 6456836.940797064, 55432.83829435526 6456835.743064881, 55431.73586987617 6456838.023044458, 55431.880479429674 6456838.568335301))</t>
  </si>
  <si>
    <t>2025-12-10T08:17:56Z</t>
  </si>
  <si>
    <t>[8620]</t>
  </si>
  <si>
    <t>['KV8620 S2D1 m4-10']</t>
  </si>
  <si>
    <t>LINESTRING (53868.268721706525 6458174.436856191, 53871.40076013247 6458178.868411982, 53871.900186594634 6458178.014718623, 53870.203751048946 6458175.117301895, 53868.40414641349 6458174.264358878)</t>
  </si>
  <si>
    <t>POLYGON ((53868.268721706525 6458174.436856191, 53871.40076013247 6458178.868411982, 53871.900186594634 6458178.014718623, 53870.203751048946 6458175.117301895, 53868.40414641349 6458174.264358878, 53868.268721706525 6458174.436856191))</t>
  </si>
  <si>
    <t>2025-12-11</t>
  </si>
  <si>
    <t>2025-12-17T20:11:11Z</t>
  </si>
  <si>
    <t>[12300]</t>
  </si>
  <si>
    <t>['KV12300 S1D1 m4-15']</t>
  </si>
  <si>
    <t>LINESTRING (54824.63102883566 6456630.823782474, 54823.083751537546 6456629.885834907, 54820.564237486746 6456633.762811396, 54817.96767429402 6456639.074747176, 54819.289128681354 6456639.48776809, 54824.5170368767 6456631.240898125)</t>
  </si>
  <si>
    <t>POLYGON ((54824.63102883566 6456630.823782474, 54823.083751537546 6456629.885834907, 54820.564237486746 6456633.762811396, 54817.96767429402 6456639.074747176, 54819.289128681354 6456639.48776809, 54824.5170368767 6456631.240898125, 54824.63102883566 6456630.823782474))</t>
  </si>
  <si>
    <t>2025-12-13T14:00:07Z</t>
  </si>
  <si>
    <t>['FV220 S4D1 m4914-4926']</t>
  </si>
  <si>
    <t>LINESTRING Z (293271.9306551254 6559222.551021294 -35.249, 293272.2774820243 6559223.235149108 -35.239, 293271.9286305596 6559223.890024226 -35.215, 293271.17907876044 6559224.031052178 -35.2, 293258.76803647797 6559220.262844249 -34.875, 293257.00455894816 6559219.476957927 -34.839, 293256.7134242236 6559218.867915774 -34.78, 293256.90515478584 6559218.4893312855 -34.803, 293257.72062226484 6559218.188524768 -34.823, 293259.2338860774 6559218.06190085 -34.847, 293261.2131646754 6559218.278223177 -34.897, 293263.2051010984 6559218.728167034 -34.972, 293265.57605273207 6559219.503456941 -35.063, 293267.43043784413 6559220.273264142 -35.124, 293269.7637750399 6559221.307215723 -35.201, 293271.9255383475 6559222.562455968 -35.275)</t>
  </si>
  <si>
    <t>['FV220 S4D1 m4901-4902']</t>
  </si>
  <si>
    <t>LINESTRING Z (293251.78597569035 6559206.694354214 3.917, 293254.44622285553 6559207.409332625 4.002, 293253.5330581019 6559209.8241909 3.901, 293253.31122963957 6559210.28250852 3.891, 293252.59871239087 6559210.577737511 3.883, 293252.0944675838 6559210.270336639 3.864, 293251.87467158167 6559209.601642021 3.865, 293251.6719777574 6559208.084054711 3.896, 293251.7871812872 6559206.716603784 3.936)</t>
  </si>
  <si>
    <t>POLYGON Z ((293251.78597569035 6559206.694354214 3.917, 293254.44622285553 6559207.409332625 4.002, 293253.5330581019 6559209.8241909 3.901, 293253.31122963957 6559210.28250852 3.891, 293252.59871239087 6559210.577737511 3.883, 293252.0944675838 6559210.270336639 3.864, 293251.87467158167 6559209.601642021 3.865, 293251.6719777574 6559208.084054711 3.896, 293251.7871812872 6559206.716603784 3.936, 293251.78597569035 6559206.694354214 3.917))</t>
  </si>
  <si>
    <t>2025-12-14</t>
  </si>
  <si>
    <t>2025-12-14T08:33:57Z</t>
  </si>
  <si>
    <t>[1460]</t>
  </si>
  <si>
    <t>['KV1460 S1D1 m4-22']</t>
  </si>
  <si>
    <t>LINESTRING (36872.32423333672 6460758.429964944, 36872.43042896903 6460756.180987019, 36872.78192905773 6460751.700462653, 36873.84042083268 6460746.844959518, 36875.39006837143 6460740.279836956, 36876.37420619954 6460740.490554067, 36875.62570000795 6460758.684081609, 36872.53289518785 6460758.888810543)</t>
  </si>
  <si>
    <t>POLYGON ((36872.32423333672 6460758.429964944, 36872.43042896903 6460756.180987019, 36872.78192905773 6460751.700462653, 36873.84042083268 6460746.844959518, 36875.39006837143 6460740.279836956, 36876.37420619954 6460740.490554067, 36875.62570000795 6460758.684081609, 36872.53289518785 6460758.888810543, 36872.32423333672 6460758.429964944))</t>
  </si>
  <si>
    <t>2025-12-15T08:55:03Z</t>
  </si>
  <si>
    <t>[5000]</t>
  </si>
  <si>
    <t>['KV5000 S1D1 m424-439']</t>
  </si>
  <si>
    <t>LINESTRING (54400.91708488768 6457011.753412892, 54400.26223637402 6457013.028793289, 54400.62731952098 6457014.896971326, 54403.49851285847 6457015.528570737, 54408.498449597566 6457012.416640014, 54414.173615999636 6457006.039178957, 54414.2492399881 6457004.593117277, 54408.64350085857 6457007.245341851, 54404.80720425543 6457009.844505196, 54400.93010626541 6457011.392559264)</t>
  </si>
  <si>
    <t>POLYGON ((54400.91708488768 6457011.753412892, 54400.26223637402 6457013.028793289, 54400.62731952098 6457014.896971326, 54403.49851285847 6457015.528570737, 54408.498449597566 6457012.416640014, 54414.173615999636 6457006.039178957, 54414.2492399881 6457004.593117277, 54408.64350085857 6457007.245341851, 54404.80720425543 6457009.844505196, 54400.93010626541 6457011.392559264, 54400.91708488768 6457011.753412892))</t>
  </si>
  <si>
    <t>2025-12-20</t>
  </si>
  <si>
    <t>2025-12-20T19:13:51Z</t>
  </si>
  <si>
    <t>[3500]</t>
  </si>
  <si>
    <t>['KV3500 S1D1 m8-21']</t>
  </si>
  <si>
    <t>LINESTRING (54371.210741507704 6457115.5786396125, 54372.1816293365 6457116.424025315, 54385.80851673026 6457116.811270245, 54385.31078348262 6457115.193866912, 54377.96705919097 6457114.470281347, 54371.52914425661 6457115.284502619)</t>
  </si>
  <si>
    <t>POLYGON ((54371.210741507704 6457115.5786396125, 54372.1816293365 6457116.424025315, 54385.80851673026 6457116.811270245, 54385.31078348262 6457115.193866912, 54377.96705919097 6457114.470281347, 54371.52914425661 6457115.284502619, 54371.210741507704 6457115.5786396125))</t>
  </si>
  <si>
    <t>2026-01-05</t>
  </si>
  <si>
    <t>2026-01-05T10:03:26Z</t>
  </si>
  <si>
    <t>[1120]</t>
  </si>
  <si>
    <t>['KV1120 S1D1 m9-20']</t>
  </si>
  <si>
    <t>LINESTRING (47005.588896064786 6463661.98957931, 47010.51990643324 6463661.345679985, 47017.58259206405 6463661.491011801, 47017.36152792652 6463662.314007378, 47009.1755267299 6463664.050039208, 47005.84273632511 6463663.477148969, 47005.65245398303 6463662.544022439)</t>
  </si>
  <si>
    <t>POLYGON ((47005.588896064786 6463661.98957931, 47010.51990643324 6463661.345679985, 47017.58259206405 6463661.491011801, 47017.36152792652 6463662.314007378, 47009.1755267299 6463664.050039208, 47005.84273632511 6463663.477148969, 47005.65245398303 6463662.544022439, 47005.588896064786 6463661.98957931))</t>
  </si>
  <si>
    <t>Plastring/Erosjonssikring</t>
  </si>
  <si>
    <t>2018-08-02</t>
  </si>
  <si>
    <t>2025-11-22T09:21:14Z</t>
  </si>
  <si>
    <t>['FV40 S10D1 m5619-5655']</t>
  </si>
  <si>
    <t>LINESTRING Z (203209.05819992 6619535.19163416 -999999, 203174.360886063 6619544.50850547 -999999)</t>
  </si>
  <si>
    <t>POLYGON ((203174.23122005095 6619544.025611356, 203174.49055207503 6619544.991399584, 203209.18786593204 6619535.674528274, 203208.92853390795 6619534.708740045, 203174.23122005095 6619544.025611356))</t>
  </si>
  <si>
    <t>['FV40 S10D1 m5555-5572']</t>
  </si>
  <si>
    <t>LINESTRING Z (203270.742313444 6619522.18014146 -999999, 203254.518106501 6619526.03539855 -999999)</t>
  </si>
  <si>
    <t>POLYGON ((203254.40251329634 6619525.548943814, 203254.63369970565 6619526.521853287, 203270.85790664866 6619522.666596197, 203270.62672023935 6619521.693686724, 203254.40251329634 6619525.548943814))</t>
  </si>
  <si>
    <t>2018-07-09</t>
  </si>
  <si>
    <t>[2738]</t>
  </si>
  <si>
    <t>['FV2738 S2D1 m130-215']</t>
  </si>
  <si>
    <t>LINESTRING Z (211371.408087154 6647691.39182643 -999999, 211366.345544766 6647693.11118045 -999999, 211353.068310955 6647699.41547852 -999999, 211344.471540862 6647705.14665858 -999999, 211338.071723126 6647711.64199598 -999999, 211331.194307052 6647719.18804973 -999999, 211323.075135297 6647731.60560653 -999999, 211317.439474902 6647740.29789629 -999999, 211311.994853843 6647747.65291071 -999999)</t>
  </si>
  <si>
    <t>POLYGON ((211366.18475355275 6647692.637739656, 211366.13108264198 6647692.6595102195, 211352.85384883097 6647698.96380829, 211352.79096085695 6647698.999453373, 211344.19419076396 6647704.730633433, 211344.15311649774 6647704.76116419, 211344.1153783286 6647704.79573373, 211337.7155605926 6647711.291071131, 211337.70217671286 6647711.305194186, 211330.82476063888 6647718.851247936, 211330.79902722992 6647718.881857205, 211330.77582224505 6647718.914425048, 211322.65665049004 6647731.331981848, 211322.65559777463 6647731.333598685, 211317.02837539828 6647740.012873875, 211311.59298281022 6647747.355421764, 211312.39672487578 6647747.950399657, 211317.84134593478 6647740.595385237, 211317.85901242436 6647740.569904135, 211323.4941480091 6647731.878423828, 211331.59085514295 6647719.495224684, 211338.43471502303 6647711.985989535, 211344.79164206065 6647705.534182993, 211353.31550879084 6647699.851605175, 211366.53380294875 6647693.57529284, 211371.56887836725 6647691.865267225, 211371.24729594076 6647690.918385636, 211366.18475355275 6647692.637739656))</t>
  </si>
  <si>
    <t>['FV2738 S1D1 m2750-2784']</t>
  </si>
  <si>
    <t>LINESTRING Z (211732.594171822 6646860.44825692 -999999, 211728.6505206 6646866.11725555 -999999, 211724.213912976 6646876.83905731 -999999, 211719.65406625 6646890.88831478 -999999)</t>
  </si>
  <si>
    <t>POLYGON ((211728.24006799914 6646865.831723305, 211728.21174635674 6646865.877511596, 211728.18851218378 6646865.926079653, 211723.7519045598 6646876.647881413, 211723.73833466467 6646876.684702945, 211719.17848793865 6646890.733960415, 211720.12964456133 6646891.042669144, 211724.68342937963 6646877.012088903, 211729.0918534112 6646866.358397492, 211733.00462442287 6646860.733789165, 211732.18371922115 6646860.162724676, 211728.24006799914 6646865.831723305))</t>
  </si>
  <si>
    <t>[2774]</t>
  </si>
  <si>
    <t>['FV2774 S1D1 m4278-4353']</t>
  </si>
  <si>
    <t>LINESTRING Z (197724.404492228 6630315.51391146 -999999, 197715.132752583 6630326.91897174 -999999, 197705.943063731 6630336.43686376 -999999, 197696.917476465 6630343.3291304 -999999, 197689.286752686 6630348.252178 -999999, 197678.045794001 6630353.83163195 -999999, 197665.820225796 6630359.16493351 -999999)</t>
  </si>
  <si>
    <t>POLYGON ((197714.75823606952 6630326.587019402, 197705.60959350478 6630336.0623991955, 197696.62976534723 6630342.919722516, 197689.03929328622 6630347.816801267, 197677.83455358708 6630353.378277909, 197665.62030054716 6630358.706643323, 197666.02015104482 6630359.623223697, 197678.24571924983 6630354.289922137, 197678.2680922065 6630354.279497452, 197689.5090508915 6630348.700043502, 197689.55781612094 6630348.6723263245, 197697.18853989994 6630343.749278724, 197697.22093326668 6630343.726514307, 197706.2465205327 6630336.834247667, 197706.27558688237 6630336.810264823, 197706.30276446123 6630336.784161017, 197715.49245331323 6630327.2662689965, 197715.52072419223 6630327.23437312, 197724.79246383722 6630315.82931284, 197724.01652061878 6630315.19851008, 197714.75823606952 6630326.587019402))</t>
  </si>
  <si>
    <t>2018-07-26</t>
  </si>
  <si>
    <t>[2936]</t>
  </si>
  <si>
    <t>['FV2936 S1D1 m1023-1044']</t>
  </si>
  <si>
    <t>LINESTRING Z (147597.223532663 6739448.62159972 -999999, 147587.268020518 6739453.1308611 -999999, 147578.366621423 6739457.23018963 -999999)</t>
  </si>
  <si>
    <t>POLYGON ((147587.06172479384 6739452.675403007, 147587.05887045016 6739452.676706667, 147578.15747135514 6739456.776035197, 147578.57577149084 6739457.684344063, 147587.47574543487 6739453.585671852, 147597.42982838716 6739449.077057812, 147597.01723693882 6739448.166141627, 147587.06172479384 6739452.675403007))</t>
  </si>
  <si>
    <t>2018-07-12</t>
  </si>
  <si>
    <t>['RV52 S1D1 m4301-4312']</t>
  </si>
  <si>
    <t>LINESTRING Z (167877.845915612 6746897.86404937 -999999, 167869.279467093 6746904.4868499 -999999)</t>
  </si>
  <si>
    <t>POLYGON ((167868.97364874533 6746904.091280515, 167869.58528544067 6746904.882419285, 167878.15173395968 6746898.259618755, 167877.54009726434 6746897.468479985, 167868.97364874533 6746904.091280515))</t>
  </si>
  <si>
    <t>2018-07-16</t>
  </si>
  <si>
    <t>['RV52 S2D1 m503-557']</t>
  </si>
  <si>
    <t>LINESTRING Z (165552.345955699 6750473.10077904 -999999, 165543.028597271 6750492.36082197 -999999, 165533.58617363 6750510.807941 -999999, 165527.395445547 6750522.00127763 -999999)</t>
  </si>
  <si>
    <t>POLYGON ((165542.58095077547 6750492.138011944, 165533.14474967055 6750510.572974363, 165526.95790649884 6750521.75928676, 165527.83298459518 6750522.2432685, 165534.02371267817 6750511.04993187, 165534.03125502146 6750511.035762322, 165543.47367866247 6750492.588643292, 165543.4786953777 6750492.578564236, 165552.7960538057 6750473.318521306, 165551.89585759232 6750472.883036774, 165542.58095077547 6750492.138011944))</t>
  </si>
  <si>
    <t>2018-07-11</t>
  </si>
  <si>
    <t>[2910]</t>
  </si>
  <si>
    <t>['FV2910 S2D1 m3612-3658']</t>
  </si>
  <si>
    <t>LINESTRING Z (165915.021023735 6724768.11188559 -999999, 165911.106962304 6724762.89313701 -999999, 165898.71243444 6724743.8664495 -999999, 165889.362176577 6724729.84106271 -999999)</t>
  </si>
  <si>
    <t>POLYGON ((165911.51688426267 6724762.606366288, 165899.13138255847 6724743.593534726, 165899.12845958714 6724743.589099403, 165889.77820172414 6724729.563712612, 165888.94615142987 6724730.118412808, 165898.294936008 6724744.141589671, 165910.68801418555 6724763.1660517845, 165910.70696230387 6724763.19313701, 165914.62102373486 6724768.411885589, 165915.42102373514 6724767.81188559, 165911.51688426267 6724762.606366288))</t>
  </si>
  <si>
    <t>['FV2910 S2D1 m3800-3818']</t>
  </si>
  <si>
    <t>LINESTRING Z (165807.493058317 6724615.46348979 -999999, 165796.729389382 6724600.56831156 -999999)</t>
  </si>
  <si>
    <t>POLYGON ((165797.13465097887 6724600.275458289, 165796.32412778513 6724600.861164831, 165807.08779672012 6724615.756343061, 165807.89831991386 6724615.17063652, 165797.13465097887 6724600.275458289))</t>
  </si>
  <si>
    <t>2019-04-23</t>
  </si>
  <si>
    <t>['FV165 S2D1 m5963-5968']</t>
  </si>
  <si>
    <t>LINESTRING Z (243852.164292898 6632020.45955908 -999999, 243854.454004508 6632023.83387093 -999999)</t>
  </si>
  <si>
    <t>POLYGON ((243854.0402666207 6632024.114621638, 243854.86774239532 6632023.553120221, 243852.5780307853 6632020.178808372, 243851.7505550107 6632020.740309789, 243854.0402666207 6632024.114621638))</t>
  </si>
  <si>
    <t>['FV165 S2D1 m5714-5769']</t>
  </si>
  <si>
    <t>LINESTRING Z (243871.446074884 6632211.59022302 -999999, 243874.097319907 6632224.24389245 -999999, 243874.940897869 6632232.31813866 -999999, 243875.181920144 6632239.18727349 -999999, 243874.820386731 6632246.41794173 -999999, 243874.338342182 6632252.4434986 -999999, 243873.49476422 6632257.86649979 -999999, 243872.289652846 6632262.0843896 -999999)</t>
  </si>
  <si>
    <t>POLYGON ((243873.60269007648 6632224.321341156, 243874.44181073664 6632232.35292462, 243874.681481764 6632239.183548893, 243874.32138351828 6632246.385513786, 243873.84142026113 6632252.385054509, 243873.00547627982 6632257.758980108, 243871.80889087217 6632261.9470290365, 243872.77041481982 6632262.2217501635, 243873.97552619383 6632258.0038603535, 243873.9888224545 6632257.943353293, 243874.8324004165 6632252.520352104, 243874.83674982126 6632252.483371211, 243875.31879437028 6632246.4578143405, 243875.31976290044 6632246.442910538, 243875.68129631344 6632239.212242299, 243875.6816126409 6632239.16974042, 243875.4405903659 6632232.3006055895, 243875.43819111542 6632232.266182649, 243874.59461315343 6632224.191936439, 243874.5866934748 6632224.141357035, 243871.93544845178 6632211.487687605, 243870.95670131623 6632211.692758434, 243873.60269007648 6632224.321341156))</t>
  </si>
  <si>
    <t>2018-12-19</t>
  </si>
  <si>
    <t>[714, 1084]</t>
  </si>
  <si>
    <t>['KV1084 S1D1 m3758-3944', 'FV714 S3D1 m4063-4338']</t>
  </si>
  <si>
    <t>LINESTRING Z (226459.58996582 7043794.93005371 65.365, 226455.08996582 7043775.17004395 65.865, 226451.260009766 7043758.08996582 66.325, 226447.699951172 7043739.57995605 66.805, 226444.790039063 7043720.88000488 67.285, 226442.859985352 7043703.06994629 67.725, 226441.380004883 7043685.56994629 68.145, 226440.359985352 7043667.20996094 68.575, 226439.939941406 7043650.22998047 68.925, 226439.859985352 7043632.48999023 69.306, 226440.260009766 7043616.95996094 69.546, 226440.680053711 7043604.98999023 69.726, 226442.079956055 7043587.25 69.946, 226443.680053711 7043573.20996094 70.076, 226445.58996582 7043558.45996094 70.136, 226447.920043945 7043542.40002441 70.206, 226450.680053711 7043527.17004395 70.136, 226454.229980469 7043509 70.086, 226457.670043945 7043493.10998535 69.996, 226461.260009766 7043475.23999023 69.896, 226463.859985352 7043463.29003906 69.836, 226465.209960938 7043455.44995117 69.826, 226468.430053711 7043433.29003906 69.636, 226469.369995117 7043416.55004883 69.506, 226468.609985352 7043397.89001465 69.296, 226466.949951172 7043381.33996582 69.056, 226464.420043945 7043368.17004395 68.816, 226461.189941406 7043355.48999023 68.566, 226456.979980469 7043342.63000488 68.296, 226451.680053711 7043329.33996582 67.986, 226446.859985352 7043318.89001465 67.716, 226440.510009766 7043307.9699707 67.466)</t>
  </si>
  <si>
    <t>POLYGON ((226455.57766845214 7043775.059831271, 226451.74956702336 7043757.988024031, 226448.19263517178 7043739.494271306, 226445.28587806426 7043720.814595103, 226443.35771010382 7043703.021937753, 226441.8788346391 7043685.535003855, 226440.8596422024 7043667.189905906, 226440.43991353744 7043650.222670449, 226440.36001437154 7043632.4953020755, 226440.7597839514 7043616.975166138, 226441.17936318845 7043605.018438185, 226442.57772343943 7043587.297989829, 226444.17640499913 7043573.270376291, 226446.08533460106 7043558.527964064, 226448.41359958355 7043542.480524519, 226451.1714309782 7043527.262564507, 226454.71973141577 7043509.100844761, 226458.15872315734 7043493.215780565, 226458.1602498716 7043493.208464533, 226461.74942889 7043475.342385929, 226464.34855519404 7043463.39633821, 226464.35273395822 7043463.374884867, 226465.70270954422 7043455.534796977, 226465.70476422607 7043455.521851839, 226468.92485699907 7043433.361939728, 226468.9292673794 7043433.318069638, 226469.8692087854 7043416.578079408, 226469.8695809137 7043416.52970106, 226469.1095711487 7043397.86966688, 226469.10748895592 7043397.840113106, 226467.44745477592 7043381.290064276, 226467.44097353818 7043381.24564172, 226464.91106631118 7043368.075719849, 226464.904570121 7043368.0466163, 226461.674467582 7043355.36656258, 226461.66512644102 7043355.334429366, 226457.45516550404 7043342.474444016, 226457.4444124371 7043342.444794333, 226452.14448567908 7043329.154755273, 226452.1340827539 7043329.130543691, 226447.3140143949 7043318.680592521, 226447.2922198046 7043318.6386715025, 226440.9422442186 7043307.7186275525, 226440.0777753134 7043308.221313848, 226446.41586215413 7043319.12091274, 226451.22050408562 7043329.537419277, 226456.50970416793 7043342.800560242, 226460.70954785543 7043355.629640867, 226463.93183555035 7043368.279016725, 226466.4546900526 7043381.41222427, 226468.11100266408 7043397.9251701655, 226468.86942374558 7043416.546198414, 226467.93207714823 7043433.239976113, 226464.716100146 7043455.371564467, 226463.36909162416 7043463.194420902, 226460.77143992396 7043475.133691079, 226460.7698038394 7043475.141511046, 226457.18057403626 7043493.007842445, 226453.74130125667 7043508.894204785, 226453.73925829685 7043508.904126386, 226450.18933153883 7043527.074170336, 226450.18806722746 7043527.080885103, 226447.42805746145 7043542.310865563, 226447.4252248086 7043542.328232891, 226445.0951466836 7043558.388169421, 226445.09410546458 7043558.395754181, 226443.18419335558 7043573.145754181, 226443.1832695236 7043573.153344059, 226441.58317186762 7043587.193383119, 226441.58150560714 7043587.210666159, 226440.18160326313 7043604.950656389, 226440.1803612799 7043604.972455285, 226439.7603173349 7043616.942425995, 226439.76017555373 7043616.947086149, 226439.36015113973 7043632.477115438, 226439.3599904304 7043632.492243761, 226439.4399464844 7043650.232234001, 226439.440094323 7043650.242345487, 226439.86013826902 7043667.222325957, 226439.86075520603 7043667.237696501, 226440.88077473702 7043685.597681851, 226440.88178338303 7043685.612081038, 226442.36176385204 7043703.112081038, 226442.3628956894 7043703.123815273, 226444.2929494004 7043720.933873863, 226444.29598496557 7043720.956884974, 226447.20589707457 7043739.656836144, 226447.20895011965 7043739.674391036, 226450.76900871366 7043758.184400806, 226450.77212511553 7043758.19936677, 226454.60208116952 7043775.279444899, 226454.6024478983 7043775.281067713, 226459.1024478983 7043795.041077473, 226460.07748374168 7043794.819029947, 226455.57766845214 7043775.059831271))</t>
  </si>
  <si>
    <t>2011-11-21</t>
  </si>
  <si>
    <t>[714]</t>
  </si>
  <si>
    <t>['FV714 S3D1 m4835-5226']</t>
  </si>
  <si>
    <t>LINESTRING Z (226879.199951172 7044559.37011719 106.656, 226877.810058594 7044541.08007813 105.346, 226875.790039063 7044521.80004883 104.016, 226873.280029297 7044505.19995117 102.806, 226870.109985352 7044488.40991211 101.606, 226866.790039062 7044474.14990234 100.596, 226862.83996582 7044459.07006836 99.486, 226859.150024414 7044446.64990234 98.596, 226855.359985352 7044434.48999023 97.686, 226850.599975586 7044421.48999023 96.726, 226845.569946289 7044410.58007813 95.856, 226840.229980469 7044397.38989258 94.866, 226836.300048828 7044388.7199707 94.226, 226829.060058594 7044374.10009766 93.096, 226825.810058594 7044367.84008789 92.586, 226817.239990234 7044352.41992188 91.366, 226807.800048828 7044336.33007813 90.076, 226797.699951172 7044320.67993164 88.796, 226791.619995117 7044311.51000977 88.026, 226781.58996582 7044296.88989258 86.806, 226770.969970703 7044281.95996094 85.496, 226757.400024414 7044263.29003906 83.946, 226748.650024414 7044251.66992188 82.916, 226738.290039063 7044238.04003906 81.716, 226729.140014648 7044225.81005859 80.676, 226720.109985352 7044214.14990234 79.626)</t>
  </si>
  <si>
    <t>POLYGON ((226878.30862112922 7044541.042191477, 226878.30733665684 7044541.027976995, 226876.28731712583 7044521.747947696, 226876.28441953848 7044521.725296268, 226873.77440977248 7044505.125198608, 226873.77134886 7044505.107187562, 226870.601304915 7044488.317148502, 226870.5969617381 7044488.296536631, 226867.2770154481 7044474.036526861, 226867.2737205123 7044474.023204847, 226863.3236472703 7044458.9433708675, 226863.31926076795 7044458.927673302, 226859.62931936196 7044446.507507281, 226859.62737528846 7044446.501120142, 226855.83733622645 7044434.341208031, 226855.82950117034 7044434.318074854, 226851.06949140434 7044421.318074854, 226851.05403940423 7044421.280643511, 226846.02896532285 7044410.381479055, 226840.69344066232 7044397.20226356, 226840.68537997032 7044397.183467547, 226836.75544832932 7044388.513545668, 226836.74811661677 7044388.49808051, 226829.50812638277 7044373.878207469, 226829.5038179294 7044373.869711783, 226826.2538179294 7044367.6097020125, 226826.24709740674 7044367.597194753, 226817.67702904672 7044352.177028743, 226817.6712460608 7044352.16690328, 226808.23130465482 7044336.07705953, 226808.22015766206 7044336.058953495, 226798.12006000604 7044320.408807005, 226798.11667397385 7044320.403630886, 226792.03671791888 7044311.233709017, 226792.0322963176 7044311.227153411, 226782.00226702058 7044296.607036221, 226781.9974028166 7044296.600073509, 226771.37740769962 7044281.670141869, 226771.37442300783 7044281.665990988, 226757.80447671883 7044262.996069107, 226757.79944765315 7044262.989271581, 226749.04944765315 7044251.369154401, 226749.04808758016 7044251.367356654, 226738.68925275668 7044237.7389875, 226729.54036729917 7044225.510529368, 226729.5353303565 7044225.503912399, 226720.5053010605 7044213.843756149, 226719.7146696435 7044214.456048531, 226728.74215294997 7044226.112917235, 226737.88968641183 7044238.339568282, 226737.89197589684 7044238.342604285, 226748.25127915305 7044251.971589723, 226756.99805791146 7044263.58742905, 226770.5640154234 7044282.251863057, 226781.18006715967 7044297.176250964, 226791.20545719468 7044311.789605807, 226797.28151934006 7044320.953654797, 226807.37417396653 7044336.592268279, 226816.80578388087 7044352.6679114755, 226825.369570714 7044368.076775103, 226828.61410456928 7044374.326256221, 226835.84818282197 7044388.934191067, 226839.7703583781 7044397.58700205, 226845.1064860957 7044410.7677071495, 226845.11588247077 7044410.789424849, 226850.13742724762 7044421.680934398, 226854.8862694201 7044434.650434731, 226858.671680181 7044446.795497459, 226862.35834967566 7044459.204650383, 226866.30461872424 7044474.269961441, 226869.6206202397 7044488.513027406, 226872.78701472568 7044505.28373722, 226875.29395109246 7044521.863508773, 226877.3120368472 7044541.12508119, 226878.70138863678 7044559.408003843, 226879.6985137072 7044559.332230537, 226878.30862112922 7044541.042191477))</t>
  </si>
  <si>
    <t>2018-07-31</t>
  </si>
  <si>
    <t>[2740]</t>
  </si>
  <si>
    <t>['FV2740 S1D1 m4505-4530']</t>
  </si>
  <si>
    <t>LINESTRING Z (210651.97315193 6647683.2950666 -999999, 210643.564970038 6647683.39340791 -999999, 210634.468398985 6647683.00004268 -999999, 210627.584507378 6647682.16414155 -999999)</t>
  </si>
  <si>
    <t>POLYGON ((210643.57285291638 6647682.893281516, 210634.50939720715 6647682.5013483, 210627.64477894115 6647681.667787504, 210627.52423581484 6647682.660495595, 210634.40812742183 6647683.496396725, 210634.44679755127 6647683.499575839, 210643.54336860427 6647683.89294107, 210643.57081759136 6647683.893373715, 210651.97899948337 6647683.795032404, 210651.96730437662 6647682.795100795, 210643.57285291638 6647682.893281516))</t>
  </si>
  <si>
    <t>['FV2740 S1D1 m4562-4586']</t>
  </si>
  <si>
    <t>LINESTRING Z (210594.738510279 6647681.86911763 -999999, 210586.674522967 6647682.7541894 -999999, 210577.922146495 6647684.18013838 -999999, 210570.546548344 6647686.19613521 -999999)</t>
  </si>
  <si>
    <t>POLYGON ((210586.61997250348 6647682.257174062, 210586.59412235566 6647682.260695994, 210577.84174588366 6647683.686644974, 210577.79031574196 6647683.697830748, 210570.41471759096 6647685.713827577, 210570.67837909702 6647686.678442842, 210578.0285569497 6647684.669394228, 210586.7420444714 6647683.249781088, 210594.79306074252 6647682.366132968, 210594.6839598155 6647681.372102291, 210586.61997250348 6647682.257174062))</t>
  </si>
  <si>
    <t>[360]</t>
  </si>
  <si>
    <t>['FV360 S2D1 m5049-5139']</t>
  </si>
  <si>
    <t>LINESTRING Z (179071.01953125 6610719.16979981 53.335, 179069.881103516 6610724.36206055 54.098, 179056.533203125 6610742.05859375 53.312, 179041.749389648 6610757.78918457 52.518, 179026.638671875 6610771.45300293 51.781, 179006.739013672 6610784.82373047 50.232)</t>
  </si>
  <si>
    <t>POLYGON ((179069.4161111389 6610724.14822381, 179056.15032008753 6610741.735897144, 179041.3989617738 6610757.431954324, 179026.32998185567 6610771.058031362, 179006.46015962109 6610784.4087118935, 179007.0178677229 6610785.238749046, 179026.9175259259 6610771.868021506, 179026.9740234813 6610771.823865843, 179042.0847412543 6610758.160047484, 179042.11373748523 6610758.131603398, 179056.89755096223 6610742.401012578, 179056.93238416826 6610742.359682598, 179070.28028455927 6610724.663149398, 179070.31030980503 6610724.618540493, 179070.33537090264 6610724.570965173, 179070.3551779986 6610724.520973686, 179070.36950200648 6610724.46914423, 179071.50792974047 6610719.27688349, 179070.53113275953 6610719.06271613, 179069.4161111389 6610724.14822381))</t>
  </si>
  <si>
    <t>[5172]</t>
  </si>
  <si>
    <t>['FV5172 S1D1 m679-682']</t>
  </si>
  <si>
    <t>LINESTRING Z (-34122.1900024414 6722957 36.615, -34121.8300018311 6722954.57000732 36.585, -34121.8700027466 6722952.51000977 36.695, -34122.3700027466 6722950.05999756 36.925)</t>
  </si>
  <si>
    <t>POLYGON ((-34121.335400149925 6722954.643281988, -34121.33102010892 6722954.601901534, -34121.33009606858 6722954.560300178, -34121.37009698408 6722952.500302629, -34121.373044810265 6722952.454938821, -34121.380100619586 6722952.410030243, -34121.880100619586 6722949.960018033, -34122.85990487361 6722950.159977088, -34122.3690231991 6722952.56530928, -34122.33071755859 6722954.538002269, -34122.68460412257 6722956.926725332, -34121.695400760225 6722957.073274668, -34121.335400149925 6722954.643281988))</t>
  </si>
  <si>
    <t>['FV5172 S1D1 m680-683']</t>
  </si>
  <si>
    <t>LINESTRING Z (-34123.8799972534 6722956.51000977 36.445, -34123.7699966431 6722954.2199707 36.585, -34123.4700012207 6722951.85998535 36.775, -34123.3899993897 6722950.91998291 36.915, -34123.4400024414 6722950.05999756 36.875)</t>
  </si>
  <si>
    <t>POLYGON ((-34123.27151384693 6722954.263558166, -34122.97399262718 6722951.923036719, -34122.9718022898 6722951.902386119, -34122.8918004588 6722950.962383679, -34122.89084243605 6722950.8909598915, -34122.94084548775 6722950.030974542, -34123.93915939505 6722950.089020579, -34123.891234772884 6722950.913259732, -34123.96731944875 6722951.807236532, -34124.26600523663 6722954.156919331, -34124.26942081392 6722954.195981169, -34124.37942142422 6722956.486020239, -34123.380573082584 6722956.5339993015, -34123.27151384693 6722954.263558166))</t>
  </si>
  <si>
    <t>2012-10-22</t>
  </si>
  <si>
    <t>['EV39 S15D1 m7303-7305']</t>
  </si>
  <si>
    <t>LINESTRING Z (158218.439941406 7011256.48999024 2.342, 158219.060058594 7011257.25 2.322, 158219.439941406 7011260.08996582 2.192, 158219.780029297 7011261.13000488 2.172)</t>
  </si>
  <si>
    <t>POLYGON ((158218.5832269179 7011257.456496595, 158218.9443554061 7011260.156256971, 158218.95248915744 7011260.201277569, 158218.96470388284 7011260.2453662595, 158219.30479177384 7011261.285405319, 158220.25526682014 7011260.974604441, 158219.92944271883 7011259.978186159, 158219.5556445939 7011257.183708849, 158219.54746958372 7011257.138507727, 158219.53518087868 7011257.094247585, 158219.51888219413 7011257.051301978, 158219.4987110892 7011257.01003336, 158219.47483780576 7011256.970790033, 158219.4474638319 7011256.933903208, 158218.82734664387 7011256.173893448, 158218.0525361681 7011256.806087032, 158218.5832269179 7011257.456496595))</t>
  </si>
  <si>
    <t>['EV39 S15D1 m7297-7306']</t>
  </si>
  <si>
    <t>LINESTRING Z (158230.16003418 7011231.69995117 2.212, 158226.979980469 7011235.5 2.342, 158220.58996582 7011234.84997559 2.412)</t>
  </si>
  <si>
    <t>POLYGON Z ((158230.16003418 7011231.69995117 2.212, 158226.979980469 7011235.5 2.342, 158220.58996582 7011234.84997559 2.412, 158230.16003418 7011231.69995117 2.212))</t>
  </si>
  <si>
    <t>2013-03-12</t>
  </si>
  <si>
    <t>['FV86 S10D1 m2607-2680']</t>
  </si>
  <si>
    <t>LINESTRING Z (583685.540039063 7695883.98999786 -3.078, 583682.920043945 7695879.23999786 -3.078, 583681.229980469 7695873.59999847 -3.078, 583678.109985352 7695864.88000488 -3.078, 583676.199951172 7695860.05999756 -3.078, 583674.239990234 7695853.49000549 -3.078, 583672.270019531 7695849.08999634 -3.078, 583668.109985352 7695841.28999329 -3.078, 583665.530029297 7695835.72000122 -3.078, 583663.359985352 7695831.67999268 -3.078, 583662.050048828 7695828.66000366 -3.078, 583659.329956055 7695824.07000733 -3.078, 583653.780029297 7695821.17999268 -3.078, 583648.08996582 7695820.52000427 -3.078, 583641.569946289 7695820.97000122 -3.078, 583636.290039063 7695823.02000427 -3.078, 583633.219970703 7695824.30999756 -3.078, 583629.900024414 7695826.05999756 -3.078, 583626.979980469 7695828.8500061 -3.078, 583624.770019531 7695831.33999634 -3.078, 583623.58996582 7695835.00999451 -3.078, 583623.310058594 7695840.22999573 -3.078, 583624.630004883 7695845.33999634 -3.078, 583625.270019531 7695848.25999451 -3.078, 583626.83996582 7695852.96000671 -3.078, 583628.709960938 7695858.49000549 -3.078, 583629.790039063 7695862.3999939 -3.078, 583632.989990234 7695873 -3.078, 583634.869995117 7695879.25 -3.078, 583637.729980469 7695888.08999634 -3.078, 583639.119995117 7695892.38999939 -3.078, 583639.599975586 7695895.58000183 -3.078, 583639.709960938 7695897.48999786 -3.078)</t>
  </si>
  <si>
    <t>POLYGON ((583683.3836654436 7695879.045293285, 583681.7089388458 7695873.456475395, 583681.7007536743 7695873.431556821, 583678.5807585573 7695864.7115632305, 583678.5748188375 7695864.695804362, 583676.67283691 7695859.896117054, 583674.7191243338 7695853.34707014, 583674.696339587 7695853.285688902, 583672.726368884 7695848.885679752, 583672.7111952371 7695848.854700789, 583668.5577738296 7695841.067096588, 583665.9837237382 7695835.509855189, 583665.9705078899 7695835.483403229, 583663.8103656678 7695831.4618289, 583662.5087559805 7695828.461036959, 583662.4801906924 7695828.40509588, 583659.7600979194 7695823.8150995495, 583659.7346778541 7695823.776408513, 583659.7057882284 7695823.740234412, 583659.6736767048 7695823.706887357, 583659.6386185656 7695823.676653221, 583659.6009143541 7695823.649791195, 583659.5608872974 7695823.626531556, 583654.0109605393 7695820.736516907, 583653.9696326655 7695820.717336693, 583653.9267304213 7695820.701998141, 583653.882610045 7695820.690628613, 583653.83763789 7695820.683322518, 583648.147574413 7695820.023334107, 583648.1016060642 7695820.020139784, 583648.0555388529 7695820.021190894, 583641.5355193219 7695820.471187844, 583641.4856563687 7695820.477157218, 583641.4366437146 7695820.4880983, 583641.3889757888 7695820.503900718, 583636.1090685629 7695822.553903768, 583636.0963507645 7695822.5590434875, 583633.0262824045 7695823.849036778, 583632.9868200332 7695823.867684589, 583629.6668737441 7695825.617684589, 583629.6270115098 7695825.641113383, 583629.5894839796 7695825.668124317, 583629.5546120743 7695825.6984864045, 583626.6345681293 7695828.488494944, 583626.6060250707 7695828.518106476, 583624.3960641327 7695831.008096716, 583624.3637176191 7695831.04858811, 583624.3357361692 7695831.092210219, 583624.3124203992 7695831.138494393, 583624.2940207993 7695831.186943383, 583623.1139670883 7695834.856941553, 583623.1025974344 7695834.898316147, 583623.0948170068 7695834.940513196, 583623.0906831049 7695834.983221942, 583622.810775879 7695840.203223162, 583622.8106476698 7695840.254259465, 583622.8157227646 7695840.305042967, 583622.8259482865 7695840.355044561, 583624.1435802833 7695845.456085688, 583624.7816137368 7695848.367044872, 583624.7957771287 7695848.418405822, 583626.3657234176 7695853.118418022, 583626.3663137198 7695853.120174398, 583628.2317773758 7695858.63677262, 583629.3080889366 7695862.533125699, 583629.3113745746 7695862.544494099, 583632.5112540935 7695873.1442628475, 583634.391187632 7695879.394025666, 583634.3942726455 7695879.403909487, 583637.254239283 7695888.243847981, 583638.631648974 7695892.504857663, 583639.1021231408 7695895.631680183, 583639.2107878634 7695897.518742279, 583640.2091340126 7695897.461253441, 583640.0991486607 7695895.551257411, 583640.0944100575 7695895.505607251, 583639.6144295884 7695892.315604811, 583639.6067140766 7695892.275523827, 583639.5957550418 7695892.236205717, 583638.2057403938 7695887.936202667, 583635.3473112679 7695879.101016454, 583633.468797719 7695872.855974334, 583630.2704136414 7695862.2611584645, 583629.1919110643 7695858.356873692, 583629.1836130382 7695858.329837803, 583627.3139146795 7695852.800716607, 583625.7527137803 7695848.126885836, 583625.1184106773 7695845.232945978, 583625.1141151906 7695845.214947509, 583623.8134745993 7695840.1796864, 583624.0857819968 7695835.101414689, 583625.2138129825 7695831.593208567, 583627.3402737891 7695829.197298955, 583630.1949482906 7695826.469748827, 583633.4337975328 7695824.762496456, 583636.4774037135 7695823.483622147, 583641.6801291087 7695821.4635860985, 583648.0782759328 7695821.022000526, 583653.6308559948 7695821.666042285, 583658.972525436 7695824.4476110535, 583661.6038639501 7695828.8878398, 583662.9012781995 7695831.878959382, 583662.9195067591 7695831.916590671, 583665.0825515199 7695835.943568707, 583667.6562909108 7695841.50013932, 583667.6688096459 7695841.525288841, 583671.8207223654 7695849.310064273, 583673.7702347597 7695853.664378964, 583675.7208170722 7695860.202932911, 583675.7351176866 7695860.244198078, 583677.6420492879 7695865.056375982, 583680.7547877785 7695873.756088215, 583682.4410855682 7695879.383520936, 583682.4590470514 7695879.433600195, 583682.4822280285 7695879.481487452, 583685.1022231465 7695884.231487452, 583685.9778549795 7695883.748508268, 583683.3836654436 7695879.045293285))</t>
  </si>
  <si>
    <t>['FV86 S10D1 m2964-3041']</t>
  </si>
  <si>
    <t>LINESTRING Z (583559 7695469.53997803 -3.077, 583557.010009766 7695475.44000244 -3.077, 583557.699951172 7695480.09002686 -3.077, 583561.219970703 7695490.35998535 -3.077, 583563.810058594 7695498.97000122 -3.077, 583568.040039063 7695510.26998901 -3.077, 583572.069946289 7695522.73999023 -3.077, 583574.75 7695530.92999268 -3.077, 583573.83996582 7695535.77999878 -3.077, 583571.880004883 7695540.19000244 -3.077, 583568.439941406 7695544.63000488 -3.077, 583565.319946289 7695547.13000488 -3.077, 583559.479980469 7695549.54000855 -3.077, 583552.650024414 7695550.22000122 -3.077, 583546.709960938 7695550.16000366 -3.077, 583541.650024414 7695547.23001099 -3.077, 583538.060058594 7695543.70001221 -3.077, 583536.66003418 7695539.6000061 -3.077, 583534.760009766 7695534.16000366 -3.077, 583532.719970703 7695524.25 -3.077, 583530.170043945 7695513.05999756 -3.077, 583527.829956055 7695501.6499939 -3.077, 583524.760009766 7695492.54998779 -3.077, 583522.770019531 7695487.84002686 -3.077, 583520.670043945 7695483.58001709 -3.077, 583518.609985352 7695481.33001709 -3.077)</t>
  </si>
  <si>
    <t>POLYGON ((583556.5362327845 7695475.28020453, 583556.5232659148 7695475.325632761, 583556.5146444291 7695475.372082023, 583556.5104452955 7695475.419137641, 583556.5107060015 7695475.466379528, 583556.5154242198 7695475.513385936, 583557.2053656258 7695480.163410356, 583557.2141339874 7695480.208270944, 583557.2269625303 7695480.252143314, 583560.7439023402 7695490.513116454, 583563.3312539989 7695499.114036492, 583563.3417917013 7695499.145289888, 583567.567773725 7695510.434596214, 583571.5941737164 7695522.893744772, 583571.5947423951 7695522.895493475, 583574.2349462243 7695530.96371828, 583573.3593207202 7695535.6303441385, 583571.4476821102 7695539.9316203045, 583568.0810124689 7695544.276895188, 583565.0631035201 7695546.695095246, 583559.3572453288 7695549.049756146, 583552.6277151695 7695549.719750381, 583546.8466180327 7695549.66135846, 583541.9554092919 7695546.829068827, 583538.4949948515 7695543.426457391, 583537.13320832 7695539.438431866, 583537.1320708434 7695539.435138308, 583535.243026578 7695534.026573379, 583533.2097017213 7695524.149185667, 583533.2074735522 7695524.138910073, 583530.6587557133 7695512.954212808, 583528.3197610021 7695501.549539364, 583528.3037227881 7695501.490165609, 583525.233776499 7695492.390159499, 583525.2205875756 7695492.355390562, 583523.2305973406 7695487.645429632, 583523.2184905048 7695487.618952697, 583521.1185149187 7695483.358942927, 583521.0956653188 7695483.317631027, 583521.0690212576 7695483.278658327, 583521.03882027 7695483.2423722735, 583518.978761677 7695480.9923722735, 583518.241209027 7695481.667661906, 583520.253106584 7695483.865060329, 583522.3151095549 7695488.048038865, 583524.2921905814 7695492.727445943, 583527.3463409569 7695501.780629438, 583529.6802389979 7695513.160452097, 583529.6825410958 7695513.171087488, 583532.2312997435 7695524.355963836, 583534.2702787477 7695534.260817993, 583534.2879731026 7695534.324871452, 583536.1874230511 7695539.763229126, 583537.586884454 7695543.861586444, 583537.6039243793 7695543.904808641, 583537.6249025993 7695543.946262611, 583537.6496379862 7695543.985590438, 583537.6779169732 7695544.022452563, 583537.7094953976 7695544.056530716, 583541.2994612176 7695547.586529496, 583541.3306221868 7695547.614695558, 583541.3640372837 7695547.640146774, 583541.3994706867 7695547.662703525, 583546.4594072107 7695550.5926961955, 583546.5052034045 7695550.616155338, 583546.553168081 7695550.634783609, 583546.6027932707 7695550.648383728, 583546.6535534187 7695550.656811663, 583546.7049109499 7695550.659978157, 583552.6449744259 7695550.719975716, 583552.6995596805 7695550.717541426, 583559.5295157356 7695550.037548756, 583559.5776568087 7695550.030375078, 583559.6248722911 7695550.018554639, 583559.6707147645 7695550.0021994505, 583565.5106805845 7695547.592195781, 583565.5535357145 7695547.572086298, 583565.5942969925 7695547.54801408, 583565.6325990421 7695547.520194906, 583568.7525941592 7695545.020194906, 583568.796372363 7695544.98065709, 583568.8351893763 7695544.93623852, 583572.2752528533 7695540.496236079, 583572.3091937377 7695540.446511556, 583572.336912222 7695540.3930681525, 583574.2968731589 7695535.983064493, 583574.3173602149 7695535.928641276, 583574.3313898322 7695535.872207458, 583575.2414240122 7695531.022201358, 583575.2481891939 7695530.972507703, 583575.2499421397 7695530.922386307, 583575.2466652136 7695530.872341439, 583575.2383913842 7695530.822876595, 583575.2252038938 7695530.774489435, 583572.5454361482 7695522.585360869, 583568.5158116355 7695510.116234467, 583568.5083059557 7695510.094700342, 583564.2841100194 7695498.810165377, 583561.6987752981 7695490.215950077, 583561.6929593447 7695490.197868896, 583558.187806966 7695479.971286597, 583557.5222660359 7695475.485714994, 583559.4737769815 7695469.69977594, 583558.5262230185 7695469.3801801205, 583556.5362327845 7695475.28020453))</t>
  </si>
  <si>
    <t>2018-07-10</t>
  </si>
  <si>
    <t>['FV51 S1D1 m3868-3908']</t>
  </si>
  <si>
    <t>LINESTRING Z (168993.895726724 6746979.446224 -999999, 168999.791280471 6746975.63145393 -999999, 169010.281898169 6746965.57433283 -999999, 169017.998137633 6746957.59799541 -999999, 169024.32718798 6746952.39603622 -999999)</t>
  </si>
  <si>
    <t>POLYGON ((169000.06290611 6746976.051239009, 169000.10150083032 6746976.023580604, 169000.13729793424 6746975.99238594, 169010.62791563224 6746965.935264839, 169010.64126220217 6746965.921978471, 169018.33766299885 6746957.966148438, 169024.64467051785 6746952.78230664, 169024.00970544215 6746952.009765799, 169017.68065509514 6746957.211724989, 169017.6387735998 6746957.250349768, 169009.92908229041 6746965.21991831, 168999.47965496645 6746975.237551117, 168993.624101085 6746979.026438922, 168994.167352363 6746979.866009079, 169000.06290611 6746976.051239009))</t>
  </si>
  <si>
    <t>2013-09-09</t>
  </si>
  <si>
    <t>['FV669 S3D1 m0-3']</t>
  </si>
  <si>
    <t>LINESTRING Z (156276.989990234 7035911.25 2.05, 156275.010009766 7035911.76000977 2.05, 156274.420043945 7035911.67004395 2.04, 156273.770019531 7035911.23999023 2.02, 156272.479980469 7035910.34997559 1.99, 156271.099975586 7035908.32995606 1.97, 156269.989990234 7035906.70996094 2.02)</t>
  </si>
  <si>
    <t>POLYGON Z ((156276.989990234 7035911.25 2.05, 156275.010009766 7035911.76000977 2.05, 156274.420043945 7035911.67004395 2.04, 156273.770019531 7035911.23999023 2.02, 156272.479980469 7035910.34997559 1.99, 156271.099975586 7035908.32995606 1.97, 156269.989990234 7035906.70996094 2.02, 156276.989990234 7035911.25 2.05))</t>
  </si>
  <si>
    <t>['FV670 S3D1 m3938-3940']</t>
  </si>
  <si>
    <t>LINESTRING Z (171485.300048828 6989675.65002441 0.663, 171482.520019531 6989676.93005371 1.673, 171486.479980469 6989681.11999512 1.803, 171489.189941406 6989683.4699707 1.823, 171496.560058594 6989689.64001465 1.983, 171498.290039063 6989691.31994629 2.043, 171498.670043945 6989692.31005859 2.163, 171499.280029297 6989694.51000977 2.323, 171500.290039063 6989697.85998535 2.443, 171500.739990234 6989698.79003906 2.423)</t>
  </si>
  <si>
    <t>POLYGON ((171482.31090280236 6989676.475883924, 171482.26668597077 6989676.498982825, 171482.22499101126 6989676.526372929, 171482.1862329868 6989676.557781574, 171482.15079772385 6989676.5928960955, 171482.11903797163 6989676.631366936, 171482.09126989046 6989676.672811128, 171482.06776990465 6989676.716816107, 171482.0487719507 6989676.762943812, 171482.0344651485 6989676.810735054, 171482.02499191862 6989676.859714084, 171482.02044656477 6989676.909393327, 171482.02087433476 6989676.959278239, 171482.0262709703 6989677.008872228, 171482.03658274916 6989677.057681599, 171482.0517070202 6989677.105220466, 171482.0714932251 6989677.151015591, 171482.0957443971 6989677.194611097, 171482.12421912194 6989677.235572999, 171482.15663394096 6989677.273493534, 171486.116594879 6989681.463434944, 171486.15240832441 6989681.49774701, 171488.8623692614 6989683.84772259, 171488.86898184655 6989683.853356878, 171496.22496039126 6989690.011564375, 171497.8627015144 6989691.601925179, 171498.19463879513 6989692.466796132, 171498.79820757892 6989694.643605549, 171498.80131393127 6989694.654341328, 171499.81132369727 6989698.004316907, 171499.82418583016 6989698.041591422, 171499.8399452422 6989698.077736475, 171500.2898964132 6989699.007790185, 171501.1900840548 6989698.572287935, 171500.75734545395 6989697.677812785, 171499.7603578368 6989694.371028749, 171499.15186566307 6989692.176462811, 171499.1368441927 6989692.130900758, 171498.7568393107 6989691.140788458, 171498.7347160628 6989691.091336654, 171498.7073724508 6989691.044568652, 171498.67512947987 6989691.001033495, 171498.63836567226 6989690.961242271, 171496.90838520328 6989689.281310631, 171496.88101815345 6989689.256628472, 171489.51423172443 6989683.089372936, 171486.8263112802 6989680.758510036, 171483.3618851119 6989677.092882296, 171485.50916555664 6989676.104194196, 171485.09093209938 6989675.195854625, 171482.31090280236 6989676.475883924))</t>
  </si>
  <si>
    <t>['EV39 S20D1 m1941-3308', 'EV39 S20D1 m3308']</t>
  </si>
  <si>
    <t>LINESTRING Z (132075.75 6999830.52001953 66.118, 132083.13999939 6999838.58001709 66.218, 132096.279998779 6999853.15002441 66.418, 132109.599998474 6999867.59002686 66.518, 132122.830001831 6999882.04998779 66.619, 132136.240005493 6999896.39001465 66.719, 132149.660003662 6999910.7199707 66.819, 132163.160003662 6999924.95001221 67.019, 132176.669998169 6999939.17999268 67.119, 132184.809997559 6999947.66998291 67.219, 132193.039993286 6999956.15002442 67.219, 132201.369995117 6999964.5300293 67.319, 132209.699996948 6999972.90002441 67.419, 132218.029998779 6999981.2800293 67.519, 132226.449996948 6999989.53997803 67.519, 132234.960006714 6999997.70001221 67.619, 132243.470001221 7000005.84997559 67.719, 132252.080001831 7000014 67.719, 132260.679992676 7000022.04998779 67.819, 132269.380004883 7000030.08996582 67.919, 132278.070007324 7000038.0300293 67.919, 132302.160003662 7000060.01000977 68.119, 132326.350006104 7000081.89001465 68.119, 132350.540008545 7000103.86999512 68.119, 132374.720001221 7000125.75 68.019, 132398.809997559 7000147.73999023 67.819, 132422.989990234 7000169.61999512 67.62, 132471.260009766 7000213.47998047 67.12, 132477.75 7000219.42004395 67.12, 132484.130004883 7000225.26000977 67.02, 132490.600006104 7000230.98999023 67.02, 132497.079986572 7000236.81994629 67.02, 132503.660003662 7000242.54003906 66.92, 132510.130004883 7000248.27001953 66.92, 132516.700012207 7000253.98999023 66.92, 132523.359985352 7000259.60998535 66.82, 132530.030029297 7000265.2199707 66.82, 132535.030029297 7000269.2800293 66.82, 132540.140014648 7000273.32995606 66.82, 132545.140014648 7000277.29003906 66.82, 132550.239990234 7000281.22998047 66.82, 132555.429992676 7000285.17004395 66.82, 132562.359985352 7000290.35998535 66.82, 132569.380004883 7000295.54003906 66.92, 132576.400024414 7000300.60998535 66.92, 132583.510009766 7000305.68005371 66.92, 132590.609985352 7000310.65002441 66.92, 132597.719970703 7000315.61999512 67.02, 132604.91998291 7000320.57995606 67.02, 132612.119995117 7000325.43994141 67.12, 132619.320007324 7000330.40002441 67.12, 132647.049987793 7000349.32995605 67.42, 132674.890014648 7000368.34997559 67.62, 132688.75 7000377.81005859 67.82, 132702.630004883 7000387.38000488 67.82, 132716.590026855 7000396.82995606 67.92, 132730.450012207 7000406.30004883 68.02, 132736.260009766 7000410.2800293 68.021, 132742.059997559 7000414.27001953 68.021, 132747.770019531 7000418.26000977 68.021, 132753.58001709 7000422.23999024 68.021, 132759.280029297 7000426.22998047 68.021, 132764.989990234 7000430.32995606 68.021, 132770.710021973 7000434.42004395 68.021, 132776.41998291 7000438.51000977 67.921, 132782.049987793 7000442.70996094 67.921, 132787.58001709 7000447.02001953 67.921, 132792.789978027 7000451.06005859 67.921, 132798.010009766 7000455.19995117 67.821, 132803.130004883 7000459.44995117 67.821, 132808.159973145 7000463.70996094 67.821, 132813.289978027 7000467.95996094 67.721, 132818.219970703 7000472.31994629 67.721, 132823.16998291 7000476.79003906 67.621, 132828.109985352 7000481.25 67.621, 132832.859985352 7000485.73999023 67.521, 132837.710021973 7000490.31005859 67.521, 132842.479980469 7000495 67.421, 132847.359985352 7000499.86999512 67.321, 132852.359985352 7000504.93994141 67.321, 132857.159973145 7000510.02001953 67.221, 132861.969970703 7000515.09997559 67.121, 132866.770019531 7000520.18994141 67.021, 132871.58001709 7000525.36999512 67.021, 132876.289978027 7000530.56005859 66.921, 132881 7000535.76000977 66.821, 132885.710021973 7000540.94995117 66.721, 132890.41998291 7000546.14001465 66.721, 132901.989990234 7000559.04003906 66.521, 132907.83001709 7000565.5300293 66.421, 132913.659973145 7000571.93005371 66.321, 132919.5 7000578.42004395 66.221, 132925.429992676 7000584.81005859 66.121, 132931.260009766 7000591.19995117 66.021, 132937.190002441 7000597.58996582 65.921, 132943.210021973 7000603.86999512 65.821, 132949.229980469 7000610.15002441 65.721, 132955.340026855 7000616.31005859 65.621, 132960.890014648 7000621.82995606 65.621, 132966.539978027 7000627.33996582 65.521, 132972.280029297 7000632.82995606 65.421, 132978.020019531 7000638.22998047 65.321, 132983.75 7000643.5300293 65.221, 132989.570007324 7000648.81994629 65.121, 132995.5 7000654.09997559 65.121, 133001.510009766 7000659.17004395 65.021, 133007.530029297 7000664.33996582 64.921, 133013.530029297 7000669.41003418 64.821, 133019.630004883 7000674.36999512 64.721, 133025.729980469 7000679.32995606 64.621, 133032.020019531 7000684.18005371 64.521, 133038.199951172 7000688.93005371 64.521, 133044.479980469 7000693.67004395 64.421, 133050.849975586 7000698.41003418 64.321, 133057.219970703 7000703.04003906 64.221, 133063.680053711 7000707.56994629 64.121, 133070.140014648 7000712.08996582 64.022, 133076.689941406 7000716.51000977 64.022, 133083.229980469 7000720.82995605 63.922, 133089.780029297 7000725.14001465 63.822, 133098.760009766 7000730.83996582 63.722)</t>
  </si>
  <si>
    <t>POLYGON ((132082.77007116503 6999838.916405754, 132095.90869394477 6999853.484886651, 132095.91247995317 6999853.489037556, 132109.23179047855 6999867.928292887, 132122.46110773174 6999882.3875039285, 132122.46480438055 6999882.391500341, 132135.87480804254 6999896.731527201, 132149.2950529436 6999911.061746904, 132149.297268048 6999911.064096948, 132162.797268048 6999925.294138458, 132176.30739048021 6999939.524253721, 132176.30908389713 6999939.526028644, 132184.44908328712 6999948.016018874, 132184.4511938321 6999948.0182068115, 132192.68118955908 6999956.498248321, 132192.68538350938 6999956.502518258, 132201.0153853404 6999964.882523138, 132209.34549294412 6999973.252624657, 132217.6753890022 6999981.632523138, 132217.67985396512 6999981.636958717, 132226.09985213412 6999989.896907448, 132226.1039424117 6999989.900874495, 132234.6139521777 6999998.060908674, 132243.1241690647 7000006.2110851575, 132243.1262804707 7000006.213095468, 132251.7362810807 7000014.363119878, 132251.7383138346 7000014.365033304, 132260.3383046796 7000022.4150210945, 132260.34064307268 7000022.417195969, 132269.04065527965 7000030.457173999, 132269.04273787068 7000030.459087701, 132277.73274031168 7000038.39915118, 132301.82299637905 7000060.379368798, 132301.8245991615 7000060.380824847, 132326.0141810384 7000082.260449324, 132350.20376371182 7000104.240048376, 132350.20452769785 7000104.240741126, 132374.38371367473 7000126.12001604, 132398.47290655045 7000148.109272848, 132398.47451671175 7000148.110736236, 132422.65412714164 7000169.9903952405, 132470.92309567393 7000213.849425611, 132477.41240196626 7000219.788863104, 132483.79240564303 7000225.62882782, 132483.79850645512 7000225.634320861, 132490.26704274846 7000231.363003947, 132496.74556843008 7000237.191651154, 132496.75195146605 7000237.19729622, 132503.3302299475 7000242.915877595, 132509.79850645474 7000248.64433062, 132509.80168938212 7000248.647125526, 132516.37169670613 7000254.367096226, 132516.37755519446 7000254.372117793, 132523.03752833945 7000259.992112913, 132523.03814893187 7000259.992635736, 132529.70819287686 7000265.602621087, 132529.7148471595 7000265.60812044, 132534.7148471595 7000269.668179039, 132534.71946471912 7000269.671883409, 132539.82945007013 7000273.7218101695, 132544.82957886785 7000277.681995213, 132544.83433699113 7000277.685717174, 132549.93431257713 7000281.625658584, 132549.9376596557 7000281.628221881, 132555.12766209772 7000285.568285361, 132555.13027191345 7000285.570253226, 132562.06026458944 7000290.760194626, 132562.06311074784 7000290.762310429, 132569.08313027883 7000295.942364139, 132569.0872621795 7000295.945380532, 132576.10728171052 7000301.015326822, 132576.10972739197 7000301.017081946, 132583.21971274397 7000306.087150306, 132583.2232790666 7000306.0896700015, 132590.32325465258 7000311.059640702, 132597.43351111314 7000316.029801054, 132597.43631992588 7000316.031750189, 132604.63633213288 7000320.991711129, 132604.64024738764 7000320.994381009, 132611.83829328624 7000325.853039106, 132619.03635181303 7000330.811776218, 132619.03810385027 7000330.812977714, 132646.76800771794 7000349.742857062, 132674.6079598209 7000368.762825532, 132688.46715317512 7000378.222368014, 132702.3461880667 7000387.791645518, 132702.34971984333 7000387.794058375, 132716.30884456303 7000397.243402178, 132730.16768845025 7000406.712715021, 132735.97703201315 7000410.692247489, 132741.77510493694 7000414.680920422, 132747.48362687882 7000418.669862486, 132747.48744941148 7000418.672507198, 132753.29535961006 7000422.651057778, 132758.99083991325 7000426.637875689, 132764.6983626026 7000430.736100523, 132764.69916632006 7000430.73667642, 132770.4190315301 7000434.826645234, 132776.1248908296 7000438.913673108, 132781.746784869 7000443.107573636, 132787.2726503785 7000447.414387004, 132787.27362137593 7000447.415141874, 132792.48142537713 7000451.453508348, 132797.69494858207 7000455.588239153, 132802.8087493529 7000459.833097356, 132807.8368304182 7000464.091508811, 132807.84098982337 7000464.094992939, 132812.9647830316 7000468.339846821, 132817.88678976006 7000472.692769561, 132822.83487636124 7000477.161123418, 132827.7706759409 7000481.617289911, 132832.5165167766 7000486.103348644, 132832.51709107612 7000486.10389065, 132837.36326054754 7000490.6703150915, 132842.12810534585 7000495.355228587, 132847.0053842816 7000500.222503352, 132852.00022874578 7000505.287221984, 132856.79654286648 7000510.3634120645, 132856.79690431114 7000510.363794197, 132861.60655529576 7000515.443384232, 132866.40493414662 7000520.53157921, 132871.2116738485 7000525.708124421, 132875.91955597023 7000530.895897175, 132880.62942023197 7000536.095674239, 132885.3397642131 7000541.2859708, 132890.04873752766 7000546.474945986, 132901.61776960138 7000559.373883036, 132901.6183157008 7000559.374490912, 132907.45834255678 7000565.864481152, 132907.46038507274 7000565.866737143, 132913.28931641692 7000572.265636643, 132919.12832546677 7000578.754495802, 132919.13350053356 7000578.760158844, 132925.06205408243 7000585.148622716, 132930.8906452143 7000591.536952399, 132930.89351029927 7000591.540066063, 132936.82350297426 7000597.930080714, 132936.8290559492 7000597.9359681755, 132942.8490754812 7000604.215997475, 132948.869032225 7000610.496024938, 132948.87498966264 7000610.502134517, 132954.98503604863 7000616.6621686965, 132954.98743580095 7000616.664571705, 132960.53742359395 7000622.1844691755, 132960.54092250584 7000622.187915103, 132966.19088588483 7000627.697924863, 132966.19438293003 7000627.701302269, 132971.93443420003 7000633.1912925085, 132971.9374249856 7000633.194129488, 132977.6774152196 7000638.594153898, 132977.68050486123 7000638.597036037, 132983.41048533024 7000643.897084867, 132983.41369836882 7000643.900030939, 132989.2337056928 7000649.189947929, 132989.2375115719 7000649.193371751, 132995.16750424792 7000654.473401051, 132995.17759712203 7000654.482148828, 133001.18592436187 7000659.550797802, 133007.2042739699 7000664.719285563, 133007.2073125126 7000664.721874026, 133013.2073125126 7000669.791942385, 133013.21459008756 7000669.797975033, 133019.31456567356 7000674.757935973, 133025.41454125958 7000679.717896913, 133025.4246662897 7000679.725914709, 133031.71470535168 7000684.576012359, 133031.71531705826 7000684.576483279, 133037.89524869926 7000689.326483279, 133037.8987337315 7000689.329137729, 133044.17876302853 7000694.0691279685, 133044.1814941833 7000694.071174773, 133050.5514893003 7000698.811165003, 133050.5560026563 7000698.814484321, 133056.9259977733 7000703.444489201, 133056.93290579575 7000703.449421203, 133063.39298880374 7000707.979328433, 133063.3934056737 7000707.9796204325, 133069.8533666107 7000712.499639963, 133069.86032850106 7000712.504424092, 133076.41025525905 7000716.924468042, 133076.4143638854 7000716.927211196, 133082.9544029484 7000721.247157476, 133082.9551359053 7000721.247640699, 133089.50518473328 7000725.557699299, 133089.51207963104 7000725.562155594, 133098.49206010005 7000731.262106764, 133099.02795943196 7000730.4178248765, 133090.05144472411 7000724.720073563, 133083.5051913941 7000720.412512474, 133076.9675800527 7000716.094169797, 133070.42320195932 7000711.677870216, 133063.96691003896 7000707.160417888, 133057.51051054566 7000702.633093594, 133051.14621451925 7000698.007231074, 133044.77983583268 7000693.269931874, 133038.50291688673 7000688.53228924, 133032.32502809432 7000683.7838594075, 133026.0404089553 7000678.93794093, 133019.94544409242 7000673.982054267, 133013.84913580984 7000669.025075254, 133007.8542705006 7000663.959345766, 133001.8357650931 7000658.790724208, 133001.83241264397 7000658.787870712, 132995.82750775403 7000653.722108846, 132989.9044147677 7000648.448222987, 132984.0879145771 7000643.161493698, 132978.36108508648 7000637.864359423, 132972.6241348407 7000632.46719495, 132966.88732984313 7000626.980309561, 132961.24086475052 7000621.473711432, 132955.6938218061 7000615.956742845, 132949.58797608345 7000609.800943695, 132943.57097021703 7000603.523994592, 132937.5537492475 7000597.246884728, 132931.6279483932 7000590.8613870805, 132925.79935722772 7000584.473057361, 132925.79649214246 7000584.469943696, 132919.86910872094 7000578.082740724, 132914.03164767823 7000571.595601858, 132914.02960516224 7000571.593345867, 132908.20067381565 7000565.1944463635, 132902.36193792123 7000558.705890762, 132890.79220354263 7000545.806170674, 132890.79024677028 7000545.804001743, 132886.08028583328 7000540.613938263, 132881.3704187416 7000535.424167525, 132876.66055779502 7000530.224394121, 132871.95028094994 7000525.033982213, 132871.9464156809 7000525.029771557, 132867.1364181219 7000519.849717847, 132867.13378076552 7000519.846899482, 132862.33373193754 7000514.756933662, 132862.33303953687 7000514.756200923, 132857.52322285358 7000509.67643589, 132852.72341563052 7000504.596548876, 132852.71598595203 7000504.588852286, 132847.71598595203 7000499.518905996, 132847.71317558357 7000499.516078943, 132842.8331707006 7000494.646083823, 132842.8305307685 7000494.643468813, 132838.0605722725 7000489.953527403, 132838.05291624888 7000489.94615817, 132833.20316678216 7000485.376360388, 132828.4534539274 7000480.886641585, 132828.445046688 7000480.878874818, 132823.50506981855 7000476.418936965, 132818.55507725177 7000471.948861931, 132818.55120811597 7000471.945404201, 132813.62121543995 7000467.585418851, 132813.60896134863 7000467.574928941, 132808.4810456196 7000463.326659719, 132803.45314760978 7000459.068403299, 132803.44935757123 7000459.065225475, 132798.32936245424 7000454.815225475, 132798.32070101297 7000454.808197486, 132793.10066927396 7000450.668304906, 132793.09637374105 7000450.664936246, 132787.88689874328 7000446.625274006, 132782.3573545045 7000442.315593466, 132782.3489593546 7000442.309191673, 132776.7189544716 7000438.109240503, 132776.71114017794 7000438.103527981, 132771.00117924094 7000434.013562161, 132765.28121622524 7000429.923523204, 132759.5716569284 7000425.823836007, 132759.56675958584 7000425.820363891, 132753.86674737884 7000421.830373662, 132753.8625872095 7000421.827492813, 132748.0545070779 7000417.848825824, 132742.34639021117 7000413.860166814, 132742.3433824631 7000413.858081433, 132736.5433946701 7000409.868091202, 132736.5425798855 7000409.867531872, 132730.7325823265 7000405.887551403, 132730.7320892413 7000405.887214061, 132716.8721038893 7000396.417121291, 132716.87031189466 7000396.415902565, 132702.9120609212 7000386.967150226, 132689.03381681629 7000377.3984179525, 132689.03187367256 7000377.397084944, 132675.17198014498 7000367.937064618, 132647.3320426201 7000348.917106108, 132619.60278811734 7000329.98767001, 132612.40365062797 7000325.028189602, 132612.3997306394 7000325.025516462, 132605.20168238744 7000320.166856775, 132598.00502919243 7000315.209209799, 132590.89658070463 7000310.240313376, 132583.79852908698 7000305.27168945, 132576.69154690843 7000300.203762627, 132569.674821245 7000295.13619521, 132562.6582868378 7000289.958713163, 132555.73102154673 7000284.770814329, 132550.5439997495 7000280.833013647, 132545.4480825958 7000276.896207544, 132540.45051538694 7000272.938051355, 132535.3429136129 7000268.890013702, 132530.34856230384 7000264.834541907, 132523.68213230814 7000259.227596146, 132517.02541786904 7000253.610350874, 132510.45991770722 7000247.894304194, 132503.99150209024 7000242.16572797, 132503.98803876794 7000242.16268913, 132497.41123722537 7000236.445391676, 132490.93442424593 7000230.618285365, 132490.93150453188 7000230.615679139, 132484.4645762744 7000224.888420166, 132478.08759923995 7000219.051225901, 132471.59759113495 7000213.111146064, 132471.59625443709 7000213.109927067, 132423.32623490508 7000169.249941717, 132423.32547108125 7000169.249249114, 132399.14628509537 7000147.369974181, 132375.05709222954 7000125.380717382, 132375.05548206816 7000125.379253994, 132350.87587177916 7000103.499595128, 132326.6862509372 7000081.519961394, 132326.6854106045 7000081.519199573, 132302.49621110418 7000059.639920959, 132278.4071445795 7000037.66078886, 132269.71831589582 7000029.721797844, 132261.02051495737 7000021.683863323, 132252.422708842 7000013.63592054, 132243.8147806548 7000005.487857836, 132235.3059499205 6999997.339008994, 132226.79810791038 6999989.1810534205, 132218.38239003348 6999980.925303621, 132210.05460672482 6999972.547530572, 132201.72449895027 6999964.177428882, 132193.39671282383 6999955.799653007, 132185.16985988515 6999947.322849771, 132177.0317613731 6999938.83484215, 132163.52267502234 6999924.605818233, 132150.02385061694 6999910.3770158915, 132136.60507961788 6999896.048370221, 132123.1970584886 6999881.710463388, 132109.96889257326 6999867.252510722, 132109.96751729984 6999867.251013715, 132096.6494222734 6999852.813076086, 132083.51130422423 6999838.245154849, 132083.50853846077 6999838.242113327, 132076.11853907077 6999830.182115767, 132075.38146092923 6999830.8579232935, 132082.77007116503 6999838.916405754))</t>
  </si>
  <si>
    <t>2013-11-12</t>
  </si>
  <si>
    <t>[6422]</t>
  </si>
  <si>
    <t>['FV6422 S1D1 m8504-8505']</t>
  </si>
  <si>
    <t>LINESTRING Z (230946.260009766 7064744.72998047 7.053, 230948.909912109 7064741.40997314 6.963)</t>
  </si>
  <si>
    <t>POLYGON ((230949.30069671708 7064741.721882406, 230948.5191275009 7064741.098063874, 230945.86922515792 7064744.418071204, 230946.6507943741 7064745.0418897355, 230949.30069671708 7064741.721882406))</t>
  </si>
  <si>
    <t>['FV6422 S1D1 m5492-5494']</t>
  </si>
  <si>
    <t>LINESTRING Z (233566.489990234 7065908.91003418 17.883, 233564.440002441 7065909.93005371 17.833, 233559.840026855 7065912.27001953 17.713)</t>
  </si>
  <si>
    <t>POLYGON ((233564.21726505057 7065909.482406466, 233564.21330249787 7065909.484400105, 233559.61332691187 7065911.824365925, 233560.06672679813 7065912.715673136, 233564.66472554838 7065910.376712914, 233566.71272762443 7065909.357681423, 233566.26725284357 7065908.462386936, 233564.21726505057 7065909.482406466))</t>
  </si>
  <si>
    <t>['FV6422 S1D1 m5498-5505']</t>
  </si>
  <si>
    <t>LINESTRING Z (233558.5 7065907.33996582 17.743, 233555.66998291 7065908.68994141 17.653, 233552.059997559 7065910.56994629 17.533)</t>
  </si>
  <si>
    <t>POLYGON ((233555.45471090483 7065908.238656618, 233555.43903462353 7065908.246474513, 233551.82904927252 7065910.126479393, 233552.29094584548 7065911.013413187, 233555.89316153948 7065909.137454582, 233558.71527200518 7065907.791250613, 233558.28472799482 7065906.888681028, 233555.45471090483 7065908.238656618))</t>
  </si>
  <si>
    <t>['FV6422 S1D1 m5696-5698']</t>
  </si>
  <si>
    <t>LINESTRING Z (233376.309997559 7065992.83996582 9.123, 233376.510009766 7065997.05004883 8.933)</t>
  </si>
  <si>
    <t>POLYGON ((233376.0105730628 7065997.07377602, 233377.0094464692 7065997.02632164, 233376.8094342622 7065992.816238631, 233375.8105608558 7065992.86369301, 233376.0105730628 7065997.07377602))</t>
  </si>
  <si>
    <t>['FV6422 S1D1 m5727-5728']</t>
  </si>
  <si>
    <t>LINESTRING Z (233344.700012207 7065986.25 7.993, 233345.149993897 7065991.06005859 7.823)</t>
  </si>
  <si>
    <t>POLYGON ((233344.65216754764 7065991.106630319, 233345.64782024638 7065991.013486861, 233345.19783855637 7065986.203428271, 233344.20218585763 7065986.296571729, 233344.65216754764 7065991.106630319))</t>
  </si>
  <si>
    <t>['FV6422 S1D1 m5875-5876']</t>
  </si>
  <si>
    <t>LINESTRING Z (233199.199996948 7065971.80004883 7.343, 233199.169998169 7065975.38000488 7.313)</t>
  </si>
  <si>
    <t>POLYGON ((233198.67001572272 7065975.3758152025, 233199.6699806153 7065975.384194558, 233199.6999793943 7065971.8042385075, 233198.70001450172 7065971.795859152, 233198.67001572272 7065975.3758152025))</t>
  </si>
  <si>
    <t>['FV6422 S1D1 m5792-5793']</t>
  </si>
  <si>
    <t>LINESTRING Z (233280.549987793 7065978.41003418 7.473, 233280.959991455 7065984.06005859 7.433)</t>
  </si>
  <si>
    <t>POLYGON ((233280.46130276006 7065984.096246786, 233281.45868014992 7065984.023870394, 233281.04867648793 7065978.373845983, 233280.05129909806 7065978.446222376, 233280.46130276006 7065984.096246786))</t>
  </si>
  <si>
    <t>['FV6422 S1D1 m5971-5972']</t>
  </si>
  <si>
    <t>LINESTRING Z (233103.63999939 7065964.73999024 6.683, 233103.349998474 7065968.31005859 6.673)</t>
  </si>
  <si>
    <t>POLYGON ((233102.85163998156 7065968.269576334, 233103.84835696645 7065968.350540846, 233104.13835788245 7065964.780472496, 233103.14164089755 7065964.699507984, 233102.85163998156 7065968.269576334))</t>
  </si>
  <si>
    <t>['FV6422 S1D1 m6456-6457']</t>
  </si>
  <si>
    <t>LINESTRING Z (232665.660003662 7065790.06005859 5.963, 232664.649993897 7065792.16003418 5.943)</t>
  </si>
  <si>
    <t>POLYGON ((232664.1994017193 7065791.943316185, 232665.10058607472 7065792.376752174, 232666.1105958397 7065790.276776585, 232665.20941148428 7065789.843340595, 232664.1994017193 7065791.943316185))</t>
  </si>
  <si>
    <t>['FV6422 S1D1 m6459-6463']</t>
  </si>
  <si>
    <t>LINESTRING Z (232672.690002441 7065778.76000977 5.893, 232671.619995117 7065777.77001953 5.893, 232669.670013428 7065776.02001953 5.903)</t>
  </si>
  <si>
    <t>POLYGON ((232671.95955925967 7065777.40300973, 232671.9539517249 7065777.397899947, 232670.00397003588 7065775.647899947, 232669.33605682012 7065776.3921391135, 232671.28321535437 7065778.13960549, 232672.35043829834 7065779.12701957, 232673.02956658366 7065778.39299997, 232671.95955925967 7065777.40300973))</t>
  </si>
  <si>
    <t>[6046]</t>
  </si>
  <si>
    <t>['PV6046 S29D1 m328-330']</t>
  </si>
  <si>
    <t>LINESTRING Z (232575.279998779 7065711.82995605 5.103, 232573.660003662 7065713.54003906 5.103)</t>
  </si>
  <si>
    <t>POLYGON ((232573.29701846864 7065713.196176079, 232574.02298885534 7065713.88390204, 232575.64298397236 7065712.173819031, 232574.91701358565 7065711.486093069, 232573.29701846864 7065713.196176079))</t>
  </si>
  <si>
    <t>['FV6422 S1D1 m6575-6577']</t>
  </si>
  <si>
    <t>LINESTRING Z (232583.679992676 7065705.09997559 5.193, 232581.709991455 7065703.67004395 5.163)</t>
  </si>
  <si>
    <t>POLYGON ((232582.00370148206 7065703.26540285, 232581.41628142793 7065704.07468505, 232583.38628264895 7065705.50461669, 232583.97370270308 7065704.695334489, 232582.00370148206 7065703.26540285))</t>
  </si>
  <si>
    <t>['FV6422 S1D1 m6875-6876']</t>
  </si>
  <si>
    <t>LINESTRING Z (232331.099975586 7065552.7199707 3.393, 232331.25 7065557.05004883 3.433)</t>
  </si>
  <si>
    <t>POLYGON ((232330.75029983453 7065557.067361964, 232331.74970016547 7065557.032735696, 232331.59967575147 7065552.702657566, 232330.60027542053 7065552.737283834, 232330.75029983453 7065557.067361964))</t>
  </si>
  <si>
    <t>['FV6422 S1D1 m6843-6844']</t>
  </si>
  <si>
    <t>LINESTRING Z (232358.030029297 7065561.14001465 3.563, 232356.320007324 7065564.43005371 3.513)</t>
  </si>
  <si>
    <t>POLYGON ((232355.8763548667 7065564.199462086, 232356.76365978128 7065564.660645334, 232358.4736817543 7065561.370606274, 232357.5863768397 7065560.909423026, 232355.8763548667 7065564.199462086))</t>
  </si>
  <si>
    <t>['FV6422 S1D1 m6964-6965']</t>
  </si>
  <si>
    <t>LINESTRING Z (232241.479980469 7065546.45996094 4.463, 232240.900024414 7065549.27001953 4.483)</t>
  </si>
  <si>
    <t>POLYGON ((232240.41034463662 7065549.168956601, 232241.3897041914 7065549.37108246, 232241.9696602464 7065546.56102387, 232240.99030069163 7065546.358898011, 232240.41034463662 7065549.168956601))</t>
  </si>
  <si>
    <t>['FV6422 S1D1 m6842-6845']</t>
  </si>
  <si>
    <t>LINESTRING Z (232367.66998291 7065547.9699707 3.653, 232364.359985352 7065545.9699707 3.633)</t>
  </si>
  <si>
    <t>POLYGON ((232364.6185630439 7065545.542024936, 232364.10140766008 7065546.397916465, 232367.4114052181 7065548.397916465, 232367.92856060193 7065547.542024936, 232364.6185630439 7065545.542024936))</t>
  </si>
  <si>
    <t>['FV6422 S1D1 m7115-7116']</t>
  </si>
  <si>
    <t>LINESTRING Z (232102.950012207 7065484.45996094 4.383, 232100.559997559 7065490.55004883 4.393)</t>
  </si>
  <si>
    <t>POLYGON ((232100.09455629965 7065490.367389491, 232101.02543881835 7065490.732708169, 232103.41545346635 7065484.642620279, 232102.48457094765 7065484.277301601, 232100.09455629965 7065490.367389491))</t>
  </si>
  <si>
    <t>['FV6422 S1D1 m8239-8242']</t>
  </si>
  <si>
    <t>LINESTRING Z (231161.349975586 7064896.15002442 4.573, 231159.079956055 7064894.84997559 4.583)</t>
  </si>
  <si>
    <t>POLYGON ((231159.32844251546 7064894.416092565, 231158.83146959456 7064895.283858614, 231161.10148912555 7064896.583907444, 231161.59846204644 7064895.716141395, 231159.32844251546 7064894.416092565))</t>
  </si>
  <si>
    <t>['FV6422 S1D1 m8242-8246']</t>
  </si>
  <si>
    <t>LINESTRING Z (231151.790039063 7064907.73999023 4.673, 231149.319946289 7064904.16998291 4.753)</t>
  </si>
  <si>
    <t>POLYGON ((231149.7311205675 7064903.885490884, 231148.9087720105 7064904.454474936, 231151.3788647845 7064908.024482256, 231152.2012133415 7064907.455498204, 231149.7311205675 7064903.885490884))</t>
  </si>
  <si>
    <t>['FV6422 S1D1 m8240-8241']</t>
  </si>
  <si>
    <t>LINESTRING Z (231154.459960938 7064905.19000244 4.633, 231153.189941406 7064908.14001465 4.643)</t>
  </si>
  <si>
    <t>POLYGON ((231152.73069240485 7064907.942301841, 231153.64919040713 7064908.337727459, 231154.91920993914 7064905.387715248, 231154.00071193685 7064904.992289631, 231152.73069240485 7064907.942301841))</t>
  </si>
  <si>
    <t>['FV6422 S1D1 m8051-8052']</t>
  </si>
  <si>
    <t>LINESTRING Z (231303.280029297 7065019.5 4.053, 231302.010009766 7065021 4.063)</t>
  </si>
  <si>
    <t>POLYGON ((231301.62841558634 7065020.676911959, 231302.39160394567 7065021.323088041, 231303.66162347666 7065019.823088041, 231302.89843511733 7065019.176911959, 231301.62841558634 7065020.676911959))</t>
  </si>
  <si>
    <t>2025-11-22T09:21:16Z</t>
  </si>
  <si>
    <t>['FV6422 S1D1 m7957-7958']</t>
  </si>
  <si>
    <t>LINESTRING Z (231359.760009766 7065093.84997559 3.943, 231356.91003418 7065097.64001465 3.963)</t>
  </si>
  <si>
    <t>POLYGON ((231356.51041136237 7065097.3395123985, 231357.30965699765 7065097.940516902, 231360.15963258364 7065094.1504778415, 231359.36038694836 7065093.549473338, 231356.51041136237 7065097.3395123985))</t>
  </si>
  <si>
    <t>['FV6422 S1D1 m7892-7893']</t>
  </si>
  <si>
    <t>LINESTRING Z (231412.969970703 7065133.58996582 3.753, 231410.780029297 7065135.47998047 3.733)</t>
  </si>
  <si>
    <t>POLYGON ((231410.45334792434 7065135.101457973, 231411.10671066964 7065135.858502966, 231413.29665207566 7065133.968488317, 231412.64328933036 7065133.211443324, 231410.45334792434 7065135.101457973))</t>
  </si>
  <si>
    <t>['FV6422 S1D1 m8784-8792']</t>
  </si>
  <si>
    <t>LINESTRING Z (230767.110107422 7064535.64001465 3.373, 230765.669921875 7064535.01000977 3.323, 230759.899902344 7064532.61999512 3.273)</t>
  </si>
  <si>
    <t>POLYGON ((230765.8703109225 7064534.551922192, 230765.86126320204 7064534.548069843, 230760.09124367105 7064532.158055193, 230759.70856101697 7064533.081935047, 230765.4740377411 7064535.47006801, 230766.9097183745 7064536.098102229, 230767.3104964695 7064535.181927072, 230765.8703109225 7064534.551922192))</t>
  </si>
  <si>
    <t>['FV6422 S1D1 m8921-8922']</t>
  </si>
  <si>
    <t>LINESTRING Z (230629.199951172 7064518.88000488 3.293, 230628.949951172 7064523.15002441 3.303)</t>
  </si>
  <si>
    <t>POLYGON ((230628.45080593464 7064523.120800584, 230629.44909640934 7064523.179248237, 230629.69909640934 7064518.909228707, 230628.70080593464 7064518.850781053, 230628.45080593464 7064523.120800584))</t>
  </si>
  <si>
    <t>['FV6422 S1D1 m9301-9305']</t>
  </si>
  <si>
    <t>LINESTRING Z (230286.370117188 7064351.39001465 12.863, 230285.149902344 7064360.13000488 13.393)</t>
  </si>
  <si>
    <t>POLYGON ((230284.65470518137 7064360.060868999, 230285.64509950666 7064360.199140761, 230286.86531435064 7064351.459150531, 230285.87492002535 7064351.320878769, 230284.65470518137 7064360.060868999))</t>
  </si>
  <si>
    <t>['FV6422 S1D1 m9306-9309']</t>
  </si>
  <si>
    <t>LINESTRING Z (230289.239990234 7064337.79998779 13.303, 230291.860107422 7064339.38000488 13.053, 230292.290039063 7064339.6499939 13.013)</t>
  </si>
  <si>
    <t>POLYGON ((230291.5980316152 7064339.805841391, 230292.0241324331 7064340.073424726, 230292.5559456929 7064339.226563075, 230292.1260140519 7064338.956574054, 230292.11830954466 7064338.95183241, 230289.49819235667 7064337.37181532, 230288.98178811133 7064338.22816026, 230291.5980316152 7064339.805841391))</t>
  </si>
  <si>
    <t>['FV6422 S1D1 m8920-8924']</t>
  </si>
  <si>
    <t>LINESTRING Z (230629.830078125 7064507.23001099 3.323, 230632.75 7064507.92999268 3.333, 230634.320068359 7064508.26998901 3.323)</t>
  </si>
  <si>
    <t>POLYGON ((230632.6334394186 7064508.416216529, 230632.64417836943 7064508.418666173, 230634.21424672843 7064508.758662502, 230634.42588998956 7064507.781315518, 230632.86120461635 7064507.442484867, 230629.9466387064 7064506.7437871415, 230629.7135175436 7064507.716234839, 230632.6334394186 7064508.416216529))</t>
  </si>
  <si>
    <t>['FV6422 S1D1 m8503-8511']</t>
  </si>
  <si>
    <t>LINESTRING Z (230955.58996582 7064730.94000244 6.993, 230958.479980469 7064735.47998047 7.083, 230959.650024414 7064736.85998535 7.003)</t>
  </si>
  <si>
    <t>POLYGON ((230958.0581891899 7064735.748480222, 230958.09860741376 7064735.803329496, 230959.26865135875 7064737.183334376, 230960.03139746925 7064736.536636324, 230958.88343550646 7064735.182675973, 230956.0117570991 7064730.671502687, 230955.1681745409 7064731.208502192, 230958.0581891899 7064735.748480222))</t>
  </si>
  <si>
    <t>['FV6422 S1D1 m9962-9963']</t>
  </si>
  <si>
    <t>LINESTRING Z (229660 7064177.80999756 18.283, 229659.370117188 7064179.05999756 18.273)</t>
  </si>
  <si>
    <t>POLYGON ((229658.92360344698 7064178.834996495, 229659.816630929 7064179.2849986255, 229660.44651374102 7064178.0349986255, 229659.55348625898 7064177.584996495, 229658.92360344698 7064178.834996495))</t>
  </si>
  <si>
    <t>['FV6422 S1D1 m10473-10475']</t>
  </si>
  <si>
    <t>LINESTRING Z (229213.429931641 7063931.15000153 17.273, 229213.239990234 7063927.76000214 17.363)</t>
  </si>
  <si>
    <t>POLYGON ((229213.739207239 7063927.732031049, 229212.740773229 7063927.787973231, 229212.930714636 7063931.17797262, 229213.929148646 7063931.122030439, 229213.739207239 7063927.732031049))</t>
  </si>
  <si>
    <t>['FV6422 S1D1 m10368-10369']</t>
  </si>
  <si>
    <t>LINESTRING Z (229308.760009766 7063974.15999985 15.403, 229307.959960937 7063976.94000053 15.403)</t>
  </si>
  <si>
    <t>POLYGON ((229307.47946295765 7063976.801719325, 229308.44045891636 7063977.078281736, 229309.24050774536 7063974.298281056, 229308.27951178665 7063974.021718645, 229307.47946295765 7063976.801719325))</t>
  </si>
  <si>
    <t>['FV6422 S1D1 m10323-10324']</t>
  </si>
  <si>
    <t>LINESTRING Z (229348.820068359 7063993.46999979 16.213, 229347.639892578 7063997.07999992 16.133)</t>
  </si>
  <si>
    <t>POLYGON ((229347.16464427116 7063996.924632463, 229348.11514088485 7063997.235367377, 229349.29531666584 7063993.6253672475, 229348.34482005215 7063993.314632333, 229347.16464427116 7063996.924632463))</t>
  </si>
  <si>
    <t>['FV6422 S1D1 m8784-8786']</t>
  </si>
  <si>
    <t>LINESTRING Z (230759.669921875 7064549.25 3.373, 230758.939941406 7064555.40002441 3.273)</t>
  </si>
  <si>
    <t>POLYGON ((230758.44342677863 7064555.341090338, 230759.43645603335 7064555.458958482, 230760.16643650236 7064549.308934072, 230759.17340724764 7064549.191065928, 230758.44342677863 7064555.341090338))</t>
  </si>
  <si>
    <t>['RV7 S25D1 m4624-4706']</t>
  </si>
  <si>
    <t>LINESTRING Z (51830.25 6731576.00976563 114.466, 51830.3198242188 6731576.12988281 114.466, 51830.3901367188 6731576.24023438 114.466, 51830.4501953125 6731576.33007813 114.466, 51830.4702148438 6731576.35009766 114.466, 51830.5 6731576.37988281 114.466, 51830.5400390625 6731576.45996094 114.466, 51830.6201171875 6731576.54980469 114.466, 51830.7001953125 6731576.64013672 114.466, 51830.7900390625 6731576.74023437 114.466, 51830.8701171875 6731576.81982422 114.466, 51830.9599609375 6731576.89990234 114.466, 51831.0297851562 6731576.97998047 114.466, 51831.1201171875 6731577.04980469 114.466, 51831.2099609375 6731577.12011719 114.466, 51831.2900390625 6731577.18017578 114.466, 51831.3798828125 6731577.25 114.466, 51831.4702148438 6731577.31005859 114.466, 51832.3901367188 6731577.74023438 114.476, 51832.4599609375 6731577.75976563 114.476, 51832.5 6731577.77001953 114.476, 51833.3798828125 6731577.93017578 114.486, 51834.3798828125 6731578.08007813 114.496, 51835.080078125 6731578.16992188 114.496, 51835.3701171875 6731578.20019531 114.506, 51835.4799804688 6731578.20996094 114.506, 51836.3901367188 6731578.29003906 114.506, 51837.41015625 6731578.35009766 114.516, 51837.5400390625 6731578.35009766 114.516, 51837.8500976563 6731578.35986328 114.516, 51838.16015625 6731578.37988281 114.526, 51838.2001953125 6731578.37011719 114.526, 51838.8500976562 6731578.37988281 114.556, 51839.5498046875 6731578.37988281 114.576, 51840.2299804688 6731578.37011719 114.596, 51840.91015625 6731578.35009766 114.626, 51841.580078125 6731578.31005859 114.646, 51842.259765625 6731578.25 114.676, 51842.8999023438 6731578.18994141 114.696, 51842.919921875 6731578.18994141 114.696, 51843.58984375 6731578.10986328 114.726, 51844.25 6731578.02978516 114.746, 51844.740234375 6731577.95996094 114.766, 51844.8999023438 6731577.93017578 114.776, 51845.5297851563 6731577.81982422 114.796, 51845.5498046875 6731577.81982422 114.796, 51845.6201171875 6731577.79980469 114.796, 51846.2001953125 6731577.68994141 114.816, 51846.419921875 6731577.64990234 114.826, 51847.0698242188 6731577.52978516 114.836, 51848.0600585938 6731577.33984375 114.856, 51848.2700195313 6731577.29980469 114.866, 51849.0498046875 6731577.14990234 114.876, 51850.0200195313 6731576.95996094 114.896, 51851.009765625 6731576.77001953 114.906, 51851.990234375 6731576.58007813 114.916, 51852.8701171875 6731576.41992188 114.926, 51852.9799804688 6731576.39990234 114.936, 51853.3598632813 6731576.31982422 114.976, 51853.9599609375 6731576.20996094 114.986, 51854.9501953125 6731576.00976563 114.986, 51855.9301757813 6731575.81982422 114.996, 51856.919921875 6731575.62988281 114.996, 51857.8999023438 6731575.43994141 114.996, 51858.8901367188 6731575.25 114.986, 51859.8701171875 6731575.06005859 114.986, 51860.8598632813 6731574.87988281 114.976, 51861.830078125 6731574.68994141 114.966, 51862.5600585938 6731574.54980469 114.966, 51862.8198242188 6731574.5 114.956, 51863.7998046875 6731574.31005859 114.946, 51864.7900390625 6731574.12011719 114.936, 51865.8701171875 6731573.91015625 114.926, 51865.9702148438 6731573.89013672 114.926, 51866.0698242188 6731573.87011719 114.926, 51866.169921875 6731573.85009766 114.916, 51866.259765625 6731573.83007813 114.916, 51866.3598632812 6731573.81005859 114.916, 51866.4599609375 6731573.79003906 114.916, 51866.5600585938 6731573.77001953 114.916, 51866.66015625 6731573.75 114.916, 51866.759765625 6731573.74023438 114.916, 51866.8598632813 6731573.72021484 114.916, 51866.9599609375 6731573.70019531 114.916, 51867.0600585938 6731573.68017578 114.906, 51867.1499023438 6731573.66015625 114.906, 51867.0297851563 6731572.54003906 114.936, 51866.8198242188 6731570.91992188 114.976, 51866.919921875 6731570.89990234 114.976, 51867.0200195313 6731570.87988281 114.976, 51867.1201171875 6731570.85986328 114.976, 51867.2202148438 6731570.83984375 114.976, 51867.3198242188 6731570.83007813 114.966, 51867.41015625 6731570.81005859 114.966, 51867.509765625 6731570.79003906 114.966, 51867.6000976563 6731570.77001953 114.966, 51867.7001953125 6731570.75 114.966, 51867.7998046875 6731570.72998047 114.966, 51867.8999023438 6731570.70996094 114.966, 51868 6731570.68994141 114.966, 51868.1000976563 6731570.66992188 114.956, 51868.2001953125 6731570.64990234 114.956, 51868.2998046875 6731570.64013672 114.956, 51868.3999023438 6731570.62011719 114.956, 51868.490234375 6731570.60009766 114.956, 51868.58984375 6731570.58007813 114.956, 51868.6899414063 6731570.56005859 114.956, 51868.7900390625 6731570.54003906 114.956, 51868.8901367188 6731570.52001953 114.956, 51868.990234375 6731570.5 114.946, 51869.08984375 6731570.47998047 114.946, 51869.1899414063 6731570.45996094 114.946, 51869.2900390625 6731570.43994141 114.946, 51869.3798828125 6731570.43017578 114.946, 51869.4702148438 6731570.41015625 114.946, 51869.5698242187 6731570.39013672 114.946, 51869.669921875 6731570.37011719 114.946, 51869.7700195313 6731570.35009766 114.946, 51869.8701171875 6731570.33007813 114.936, 51869.9702148438 6731570.31005859 114.936, 51870.0698242188 6731570.29003906 114.936, 51870.169921875 6731570.27001953 114.936, 51870.2700195313 6731570.25 114.936, 51870.3598632813 6731570.22998047 114.936, 51870.4599609375 6731570.22021484 114.936, 51870.5600585938 6731570.20019531 114.936, 51870.66015625 6731570.18017578 114.936, 51870.759765625 6731570.16015625 114.926, 51870.8598632813 6731570.14013672 114.926, 51870.9599609375 6731570.12011719 114.926, 51871.0600585938 6731570.10009766 114.926, 51871.16015625 6731570.08007813 114.926, 51871.25 6731570.06005859 114.926, 51871.3500976563 6731570.04980469 114.926, 51871.4399414063 6731570.04003906 114.926, 51871.5400390625 6731570.02001953 114.926, 51871.6401367188 6731570 114.916, 51871.740234375 6731569.97998047 114.916, 51871.83984375 6731569.95996094 114.916, 51871.9399414063 6731569.93994141 114.916, 51872.0400390625 6731569.91992187 114.916, 51872.1401367188 6731569.89990234 114.916, 51872.2299804688 6731569.87988281 114.916, 51872.330078125 6731569.85986328 114.916, 51872.4301757813 6731569.83984375 114.916, 51872.5297851562 6731569.83007813 114.906, 51872.6298828125 6731569.81005859 114.906, 51872.7299804688 6731569.79003906 114.906, 51872.830078125 6731569.77001953 114.906, 51872.9301757813 6731569.75 114.906, 51873.0297851562 6731569.72998047 114.906, 51873.1201171875 6731569.70996094 114.906, 51873.2202148438 6731569.68994141 114.906, 51873.3198242187 6731569.66992188 114.906, 51873.41015625 6731569.64990234 114.896, 51873.509765625 6731569.62988281 114.896, 51873.6098632812 6731569.62011719 114.896, 51873.7099609375 6731569.60009766 114.896, 51873.759765625 6731569.58007812 114.896, 51873.8100585938 6731569.58007812 114.896, 51873.91015625 6731569.56005859 114.886, 51874 6731569.54003906 114.876, 51874.1000976563 6731569.52001953 114.866, 51874.2001953125 6731569.5 114.856, 51874.2998046875 6731569.47998047 114.846, 51874.3999023437 6731569.45996094 114.836, 51874.5 6731569.43994141 114.826, 51874.6000976563 6731569.41992188 114.816, 51874.7001953125 6731569.41015625 114.806, 51874.7998046875 6731569.39013672 114.796, 51875.2001953125 6731570.95996094 114.746, 51875.509765625 6731572.06005859 114.716, 51875.6098632813 6731572.04003906 114.706, 51875.7099609375 6731572.02001953 114.696, 51875.8100585937 6731572 114.686, 51875.91015625 6731571.97998047 114.676, 51876.009765625 6731571.95996094 114.666, 51876.1098632813 6731571.93994141 114.656, 51876.2099609375 6731571.91992188 114.646, 51876.25 6731571.91015625 114.646, 51876.2998046875 6731571.91015625 114.646, 51876.3999023438 6731571.89013672 114.646, 51876.5 6731571.87011719 114.636, 51876.6000976562 6731571.85009766 114.636, 51877.580078125 6731571.66015625 114.626, 51878.5698242188 6731571.47021484 114.616, 51879.2099609375 6731571.35009766 114.606, 51879.5498046875 6731571.27978516 114.666, 51880.1899414063 6731571.16015625 114.756, 51880.5400390625 6731571.08007813 114.756, 51881.1298828125 6731570.97021485 114.746, 51881.509765625 6731571.29980469 114.736, 51881.6098632812 6731571.37011719 114.726, 51881.66015625 6731571.41015625 114.716, 51882.1201171875 6731571.79980469 114.666, 51882.830078125 6731572.37011719 114.646, 51884.0498046875 6731573.37011719 114.596, 51884.08984375 6731573.41015625 114.596, 51884.1298828125 6731573.43994141 114.596, 51884.0698242188 6731573.45996094 114.596, 51884.1098632813 6731573.45996094 114.596, 51884.1298828125 6731573.43994141 114.596, 51885.0400390625 6731573.27001953 114.586, 51886.0297851563 6731573.08007813 114.576, 51887.009765625 6731572.89990234 114.566, 51888 6731572.70996094 114.556, 51888.1899414063 6731572.66992188 114.546, 51888.9799804688 6731572.52001953 114.546, 51889.919921875 6731572.33007813 114.536, 51889.9702148437 6731572.31982422 114.526, 51890.9501953125 6731572.12988281 114.516, 51891.9399414063 6731571.93994141 114.506, 51892.919921875 6731571.75 114.496, 51893.91015625 6731571.56005859 114.486, 51894.6899414063 6731571.41992188 114.476, 51894.7998046875 6731571.39990234 114.476, 51895.3100585937 6731571.29003906 114.466, 51895.830078125 6731571.18994141 114.456, 51896.3598632812 6731571.10009766 114.446, 51896.8999023437 6731570.99023438 114.436, 51897.4799804688 6731570.87988281 114.426, 51898.0698242188 6731570.77001953 114.426, 51898.6899414063 6731570.64013672 114.416, 51898.7001953125 6731570.64013672 114.416, 51899.330078125 6731570.43994141 114.416, 51899.9399414063 6731570.18994141 114.406, 51900.240234375 6731570.04980469 114.406, 51900.5400390625 6731569.87988281 114.406, 51900.759765625 6731569.75976563 114.406, 51901.1201171875 6731569.50976562 114.396, 51901.3999023438 6731569.31005859 114.396, 51901.669921875 6731569.08984375 114.396, 51901.9301757813 6731568.85009766 114.396, 51902.1899414063 6731568.60986328 114.406, 51902.4301757813 6731568.35009766 114.406, 51902.669921875 6731568.06982422 114.406, 51902.8798828125 6731567.79003906 114.416, 51903.1000976562 6731567.5 114.416, 51903.2900390625 6731567.18994141 114.426, 51903.4702148438 6731566.87011719 114.426, 51903.6401367187 6731566.54003906 114.436, 51903.7900390625 6731566.20996094 114.446, 51903.919921875 6731565.85986328 114.456, 51904.0498046875 6731565.52001953 114.466, 51904.1499023438 6731565.16015625 114.476, 51904.240234375 6731564.79980469 114.486, 51904.2998046875 6731564.43017578 114.506, 51904.3598632812 6731564.06005859 114.516, 51904.3999023437 6731563.5 114.536, 51904.3999023437 6731563.31982422 114.546, 51904.3999023437 6731562.93994141 114.566, 51904.3901367188 6731562.56982422 114.576, 51904.33984375 6731562.18994141 114.596, 51904.2900390625 6731561.81982422 114.606, 51904.2299804688 6731561.56005859 114.616, 51904.1801757812 6731561.33007812 114.626, 51904.0698242187 6731560.93994141 114.636, 51903.7099609375 6731559.99023438 114.666, 51903.2099609375 6731559.06005859 114.686, 51902.5400390625 6731558.16992188 114.706, 51902.4599609375 6731558.08007813 114.706, 51902.4702148438 6731558.06982422 114.646, 51902.4599609375 6731558.06982422 114.646, 51901.240234375 6731556.95019531 114.666, 51900.3798828125 6731556.39990234 114.676, 51900.2099609375 6731556.31982422 114.676, 51900.080078125 6731556.27001953 114.676, 51898.990234375 6731555.87988281 114.686, 51897.91015625 6731555.56005859 114.696, 51896.83984375 6731555.31982422 114.696, 51895.7797851562 6731555.12988281 114.706, 51894.740234375 6731555.00976562 114.716, 51893.7001953125 6731554.93994141 114.726, 51892.669921875 6731554.93017578 114.736, 51892.419921875 6731554.93994141 114.736, 51892.3798828125 6731554.93017578 114.736, 51891.66015625 6731554.93994141 114.736, 51890.6499023438 6731554.95996094 114.746, 51889.6298828125 6731554.97998047 114.756, 51888.6201171875 6731555.04003906 114.766, 51887.6098632813 6731555.08984375 114.776, 51886.6000976563 6731555.16015625 114.776, 51885.6000976563 6731555.25 114.786, 51884.58984375 6731555.35009766 114.786, 51883.7299804688 6731555.43994141 114.796, 51883.6000976563 6731555.47998047 114.796, 51882.6098632813 6731555.66992188 114.786, 51881.6298828125 6731555.85986328 114.776, 51880.6401367187 6731556.04980469 114.776, 51879.66015625 6731556.24023438 114.766, 51878.0297851563 6731556.56005859 114.856, 51874.740234375 6731557.18994141 114.846, 51869.8198242188 6731558.16015625 114.846, 51868.3500976563 6731558.43994141 114.846, 51864.91015625 6731559.10986328 114.836, 51862.4399414063 6731559.58984375 114.826, 51859.9799804687 6731560.06005859 114.816, 51857.5200195313 6731560.54003906 114.806, 51855.0698242188 6731561.02001953 114.786, 51852.6098632813 6731561.5 114.766, 51850.1401367187 6731561.97998047 114.736, 51849.16015625 6731562.16992188 114.726, 51846.8598632812 6731562.60986328 114.696, 51845.2299804688 6731562.93017578 114.676, 51843.6298828125 6731563.24023438 114.656, 51840.2998046875 6731563.89013672 114.606, 51836.5 6731564.62988281 114.546, 51835.3901367187 6731564.85009766 114.546, 51833.58984375 6731565.20019531 114.516, 51831.2202148438 6731566.60986328 114.466, 51830.7099609375 6731567.02001953 114.456, 51829.5200195312 6731568.14990234 114.426, 51829 6731568.75 114.416, 51828.1899414063 6731569.85009766 114.396, 51827.66015625 6731570.75 114.376, 51827.509765625 6731571.00976563 114.366, 51826.990234375 6731572.35986328 114.346, 51826.8100585937 6731573.27978516 114.326, 51826.7797851562 6731573.77978516 114.326, 51826.919921875 6731574.49023438 114.146, 51826.9599609375 6731574.02978516 114.136, 51827.1401367188 6731573.14990234 114.146, 51827.66015625 6731571.77001953 114.176, 51827.7998046875 6731571.50976563 114.186, 51828.3198242188 6731570.52978516 114.216, 51829.240234375 6731570.00976563 114.096, 51829.9399414063 6731570.29003906 113.886, 51831.1801757813 6731569.47998047 113.836, 51831.580078125 6731568.47998047 113.996, 51833.740234375 6731565.97021485 114.316, 51835.6899414063 6731566.39990234 114.316, 51836.8701171875 6731566.56005859 114.226, 51840.919921875 6731567.04980469 113.976, 51844.2797851563 6731566.60986328 113.976, 51845.8999023438 6731566.37988281 113.976, 51847.5400390625 6731566.12988281 113.976, 51849.9702148438 6731566.31005859 113.846, 51850.9599609375 6731566.14990234 113.846, 51853.3798828125 6731565.50976563 113.916, 51855.8100585938 6731564.85986328 113.976, 51858.3198242187 6731564.62988281 113.936, 51860.8198242188 6731564.39990234 113.886, 51863.2900390625 6731563.95019531 113.886, 51865.75 6731563.5 113.886, 51869.2099609375 6731562.89013672 113.876, 51870.6899414062 6731562.62011719 113.876, 51875.5400390625 6731561.31005859 113.976, 51878.8598632813 6731560.85009766 113.936, 51880.4399414063 6731560.24023438 113.916, 51881.3798828125 6731559.85986328 113.976, 51882.3701171875 6731559.68994141 113.976, 51883.3598632813 6731559.52001953 113.976, 51884.3500976562 6731559.35009766 113.976, 51884.490234375 6731559.33007813 113.976, 51885.3500976563 6731559.22021484 113.976, 51886.2099609375 6731558.43994141 113.976, 51887.2202148438 6731558.33007812 113.976, 51888.2202148438 6731558.27001953 113.966, 51889.25 6731558.25 113.946, 51890.4501953125 6731559.24023438 113.676, 51891.490234375 6731559.31982422 113.636, 51892.509765625 6731559.31982422 113.626, 51893.2001953125 6731559.12988281 113.666, 51893.240234375 6731559.12011719 113.666, 51893.490234375 6731559.08984375 113.676, 51894.4501953125 6731558.77001953 113.746, 51895.4799804688 6731558.85009766 113.746, 51896.4702148438 6731558.64990234 113.816, 51897.6899414062 6731559.68994141 113.586, 51898.9702148438 6731560.97998047 113.316, 51900.4799804688 6731563.54003906 112.736, 51901.1401367188 6731563.85986328 112.706, 51901.1401367188 6731563.95996094 112.376, 51900.91015625 6731564.47021484 112.256, 51900.75 6731564.97021484 112.246, 51900.5698242188 6731565.45996094 112.246, 51900.330078125 6731565.91015625 112.246, 51900.0498046875 6731566.33007812 112.246, 51899.7099609375 6731566.72021484 112.246, 51899.3500976562 6731567.06982422 112.246, 51898.9501953125 6731567.37011719 112.256, 51898.5200195312 6731567.60986328 112.256, 51898.2299804687 6731567.72998047 112.246, 51898.0600585938 6731567.81005859 112.256, 51897.6098632813 6731567.95019531 112.256, 51897.1401367188 6731568.04003906 112.256, 51896.5200195313 6731567.89013672 112.076, 51896.509765625 6731567.89013672 112.076, 51896.080078125 6731567.87988281 112.096, 51895.66015625 6731567.83984375 112.076, 51895.2700195313 6731567.79003906 112.046, 51894.9301757813 6731567.75976563 112.036, 51894.6098632813 6731567.72998047 112.006, 51894.3100585938 6731567.72021484 111.996, 51894.0297851563 6731567.72998047 111.976, 51893.9702148438 6731567.72021484 111.976, 51893.1899414063 6731567.89013672 111.996, 51892.2099609375 6731568.10009766 112.026, 51891.2998046875 6731568.70019531 112.306, 51890.3198242188 6731568.89013672 112.316, 51889.330078125 6731569.06982422 112.326, 51889.2797851563 6731569.08984375 112.326, 51888.3500976562 6731569.25 112.336, 51887.5600585937 6731569.39990234 112.336, 51887.3798828125 6731569.49023438 112.376, 51886.3901367188 6731569.66015625 112.376, 51885.3901367188 6731569.83007813 112.376, 51884.41015625 6731570.02001953 112.376, 51883.5 6731570.16992188 112.376, 51883.4599609375 6731570.12988281 112.376, 51883.3999023438 6731570.08984375 112.376, 51882.1801757813 6731569.02978516 112.376, 51881.4702148438 6731568.41015625 112.376, 51880.9799804688 6731567.95019531 112.376, 51880.9399414063 6731567.91015625 112.376, 51880.83984375 6731567.81005859 112.376, 51880.4501953125 6731567.47021484 112.376, 51879.8500976563 6731567.56982422 112.376, 51879.509765625 6731567.64013672 112.376, 51878.8999023438 6731567.89990234 112.376, 51878.5698242188 6731568.04003906 112.376, 51877.919921875 6731568.16015625 112.376, 51876.9301757813 6731568.33007813 112.376, 51875.9501953125 6731568.50976563 112.376, 51875.8500976563 6731568.52001953 112.376, 51875.75 6731568.54003906 112.376, 51875.66015625 6731568.56005859 112.376, 51875.6098632813 6731568.56982422 112.376, 51875.5600585938 6731568.56982422 112.376, 51875.4599609375 6731568.56982422 112.376, 51875.3598632813 6731568.58007813 112.376, 51875.25 6731568.58984375 112.376, 51875.1499023438 6731568.58984375 112.376, 51875.0498046875 6731568.60009766 112.376, 51874.9399414062 6731568.60009766 112.376, 51874.83984375 6731568.60986328 112.376, 51874.5200195313 6731567.45996094 112.376, 51874.1000976563 6731565.81005859 112.376, 51874 6731565.81982422 112.376, 51873.8999023437 6731565.83007813 112.376, 51873.7900390625 6731565.81982422 112.376, 51873.7001953125 6731565.83007813 112.376, 51873.6000976563 6731565.83984375 112.376, 51873.490234375 6731565.83984375 112.376, 51873.3901367187 6731565.85009766 112.376, 51873.2900390625 6731565.85009766 112.376, 51873.1801757813 6731565.85986328 112.376, 51873.080078125 6731565.87011719 112.376, 51873.0297851562 6731565.85986328 112.376, 51872.9799804688 6731565.87988281 112.376, 51872.8901367188 6731565.89990234 112.376, 51872.7900390625 6731565.91015625 112.376, 51872.6899414063 6731565.93017578 112.376, 51872.58984375 6731565.93994141 112.376, 51872.490234375 6731565.95996094 112.376, 51872.3701171875 6731565.85986328 112.296, 51872.2700195312 6731565.87011719 112.296, 51872.169921875 6731565.89013672 112.296, 51872.0698242188 6731565.91015625 112.296, 51871.9702148438 6731565.93017578 112.296, 51871.8701171875 6731565.95019531 112.296, 51871.7700195312 6731565.97021485 112.296, 51871.6899414063 6731565.97998047 112.296, 51871.58984375 6731566 112.296, 51871.490234375 6731566.02001953 112.296, 51871.3901367188 6731566.02978516 112.296, 51871.2900390625 6731566.04980469 112.296, 51871.1899414062 6731566.06982422 112.296, 51871.08984375 6731566.08007813 112.296, 51870.990234375 6731566.10009766 112.296, 51870.8901367188 6731566.12011719 112.296, 51870.7900390625 6731566.14013672 112.296, 51870.7001953125 6731566.16015625 112.296, 51870.6000976563 6731566.18017578 112.296, 51870.5 6731566.20019531 112.296, 51870.3999023437 6731566.20996094 112.296, 51870.2998046875 6731566.22021484 112.296, 51870.2001953125 6731566.24023438 112.296, 51870.1000976563 6731566.25976562 112.296, 51870 6731566.27978516 112.296, 51869.8999023438 6731566.29980469 112.296, 51869.7998046875 6731566.31005859 112.296, 51869.7001953125 6731566.33007812 112.296, 51869.6098632812 6731566.35009766 112.296, 51869.509765625 6731566.37011719 112.296, 51869.41015625 6731566.39013672 112.296, 51869.3100585938 6731566.41015625 112.296, 51869.2099609375 6731566.41992188 112.296, 51869.1098632813 6731566.43017578 112.296, 51869.009765625 6731566.45019531 112.296, 51868.91015625 6731566.47021484 112.296, 51868.8100585937 6731566.49023438 112.296, 51868.7202148438 6731566.50976563 112.296, 51868.6201171875 6731566.52001953 112.296, 51868.5297851562 6731566.54003906 112.296, 51868.4301757813 6731566.56005859 112.296, 51868.330078125 6731566.58007813 112.296, 51868.2299804688 6731566.60009766 112.296, 51868.1298828125 6731566.60986328 112.296, 51868.0297851563 6731566.62011719 112.296, 51867.9301757813 6731566.64990234 112.306, 51867.830078125 6731566.66992188 112.306, 51867.7299804687 6731566.68994141 112.306, 51867.6401367188 6731566.70996094 112.306, 51867.5400390625 6731566.72998047 112.306, 51867.4399414062 6731566.75 112.306, 51867.33984375 6731566.75976563 112.306, 51867.240234375 6731566.77978516 112.306, 51867.1401367188 6731566.79980469 112.306, 51867.0400390625 6731566.81982422 112.306, 51866.9399414062 6731566.83007813 112.306, 51866.83984375 6731566.85009766 112.306, 51866.740234375 6731566.85986328 112.306, 51866.6401367188 6731566.87988281 112.306, 51866.5498046875 6731566.89990234 112.306, 51866.4501953125 6731566.91992188 112.306, 51866.3500976563 6731566.93994141 112.306, 51866.25 6731566.95996094 112.306, 51866.1499023438 6731566.97021484 112.306, 51866.0600585938 6731566.99023438 112.306, 51866.2900390625 6731568.68017578 112.316, 51866.41015625 6731569.85009766 112.326, 51866.3100585938 6731569.87011719 112.326, 51866.2202148438 6731569.87988281 112.326, 51866.1201171875 6731569.89990234 112.326, 51866.0200195313 6731569.91992187 112.326, 51865.919921875 6731569.93994141 112.326, 51865.8198242187 6731569.95996094 112.326, 51865.7202148438 6731569.97998047 112.326, 51865.6201171875 6731569.97998047 112.326, 51865.5200195313 6731570 112.326, 51865.419921875 6731570.02001953 112.326, 51865.3198242187 6731570.04003906 112.326, 51865.2299804688 6731570.06005859 112.326, 51865.1298828125 6731570.06982422 112.326, 51864.0400390625 6731570.25976563 112.326, 51863.0600585938 6731570.43994141 112.326, 51862.0600585938 6731570.60986328 112.326, 51861.7998046875 6731570.64990234 112.316, 51861.0698242188 6731570.77001953 112.316, 51860.1000976563 6731571.02978516 112.376, 51859.1201171875 6731571.20996094 112.376, 51858.1298828125 6731571.39990234 112.376, 51857.1499023438 6731571.58984375 112.376, 51856.16015625 6731571.77978516 112.376, 51855.1801757812 6731571.97021484 112.376, 51854.1899414063 6731572.16015625 112.376, 51853.2202148438 6731572.35986328 112.376, 51852.6098632813 6731572.47021484 112.376, 51852.2202148438 6731572.5 112.296, 51852.1201171875 6731572.52978516 112.296, 51851.240234375 6731572.70996094 112.296, 51850.2797851563 6731573.04003906 112.376, 51849.2998046875 6731573.25 112.376, 51848.330078125 6731573.45996094 112.376, 51847.5600585938 6731573.62988281 112.376, 51847.3500976563 6731573.66992188 112.376, 51846.3598632813 6731573.89013672 112.376, 51845.7202148438 6731574.04003906 112.376, 51845.5400390625 6731574.08984375 112.376, 51845.0698242188 6731574.20996094 112.376, 51845.009765625 6731574.22998047 112.376, 51845 6731574.22998047 112.376, 51844.490234375 6731574.35986328 112.376, 51844.3500976563 6731574.39013672 112.376, 51843.9599609375 6731574.47021484 112.376, 51843.419921875 6731574.58984375 112.376, 51842.8701171875 6731574.70019531 112.376, 51842.8500976563 6731574.70996094 112.376, 51842.3198242187 6731574.81005859 112.376, 51841.759765625 6731574.89990234 112.376, 51841.2001953125 6731574.97998047 112.376, 51840.6298828125 6731575.04980469 112.376, 51840.0400390625 6731575.12011719 112.376, 51839.4501953125 6731575.18017578 112.376, 51838.8901367187 6731575.22021484 112.376, 51838.8500976562 6731575.22021484 112.376, 51838.58984375 6731575.24023438 112.376, 51838.330078125 6731575.24023438 112.376, 51838.2001953125 6731575.22998047 112.376, 51836.91015625 6731576.22021484 113.086, 51835.990234375 6731576.22998047 113.146, 51835.8798828125 6731576.22998047 113.156, 51835.5698242188 6731576.20996094 113.156, 51834.8500976562 6731576.20996094 113.216, 51833.8598632813 6731576.04003906 113.186, 51832.9799804687 6731575.87011719 113.176, 51832.9501953125 6731575.87988281 113.176, 51832.8701171875 6731575.83984375 113.176, 51831.9501953125 6731575.37988281 113.146, 51831.7299804688 6731575.47021484 113.286, 51831.6201171875 6731575.52001953 113.366, 51831.5 6731575.56982422 113.446, 51831.3798828125 6731575.60986328 113.526, 51831.2700195313 6731575.66015625 113.606, 51831.16015625 6731575.70019531 113.686, 51831.0498046875 6731575.72021484 113.756, 51830.9399414063 6731575.72998047 113.826, 51830.830078125 6731575.74023438 113.896, 51830.7299804688 6731575.75 113.976, 51830.66015625 6731575.74023438 114.016, 51830.6298828125 6731575.75 114.046, 51830.6000976562 6731575.74023438 114.056, 51830.5297851562 6731575.72021484 114.106, 51830.4301757813 6731575.68994141 114.156, 51830.33984375 6731575.64990234 114.216, 51830.2900390625 6731575.64013672 114.246, 51830.1801757813 6731575.87011719 114.466, 51830.25 6731576.00976563 114.466)</t>
  </si>
  <si>
    <t>['RV7 S25D1 m4821-4858']</t>
  </si>
  <si>
    <t>LINESTRING Z (51662.83984375 6731576.77978516 107.966, 51663.8100585938 6731577.16992188 107.986, 51664.7998046875 6731577.54980469 107.996, 51665.7900390625 6731577.89013672 108.016, 51666.7900390625 6731578.22998047 108.036, 51667.7900390625 6731578.52978516 108.056, 51668.8100585938 6731578.81982422 108.076, 51669.8100585938 6731579.10986328 108.086, 51670.7998046875 6731579.47998047 108.016, 51671.7998046875 6731579.81005859 107.966, 51672.7998046875 6731580.12988281 107.906, 51673.8198242188 6731580.41015625 107.866, 51673.9799804688 6731580.45996094 107.856, 51674.8500976562 6731580.64013672 107.846, 51675.8901367188 6731580.83984375 107.836, 51676.9399414063 6731580.93017578 107.886, 51678 6731581.02978516 107.936, 51679.0400390625 6731581.12988281 107.956, 51680.08984375 6731581.22998047 107.976, 51681.1298828125 6731581.31982422 107.986, 51682.1899414063 6731581.35986328 108.016, 51683.25 6731581.31982422 108.096, 51684.2900390625 6731581.31982422 108.146, 51685.3598632813 6731582.25976563 108.146, 51686.4301757813 6731582.20996094 108.186, 51687.5 6731582.12988281 108.226, 51688.5600585938 6731582.02978516 108.276, 51689.6298828125 6731581.93994141 108.316, 51690.3999023438 6731581.87011719 108.346, 51690.669921875 6731581.81982422 108.366, 51690.6801757812 6731581.81982422 108.366, 51691.66015625 6731581.68994141 108.416, 51692.669921875 6731581.50976563 108.476, 51693.6499023438 6731581.31982422 108.546, 51694.66015625 6731581.16015625 108.606, 51695.669921875 6731581.12988281 108.626, 51696.6899414063 6731581.12011719 108.646, 51697.7001953125 6731581.06982422 108.676, 51698.7099609375 6731581.02978516 108.706, 51699.3100585938 6731581.00976563 108.716, 51710.6098632813 6731578.45996094 109.016, 51711.3999023438 6731577.81005859 108.926, 51711.5 6731577.79980469 109.666, 51710.5 6731577.95019531 109.616, 51709.5 6731578.10009766 109.576, 51708.509765625 6731578.24023438 109.526, 51707.5200195313 6731578.37988281 109.476, 51706.509765625 6731578.52978516 109.436, 51705.5200195313 6731578.66992188 109.386, 51704.5297851563 6731578.81005859 109.336, 51703.5200195313 6731578.93994141 109.296, 51702.5297851563 6731579.06982422 109.246, 51701.5200195313 6731579.20019531 109.206, 51700.5297851563 6731579.33984375 109.156, 51699.5297851563 6731579.47021484 109.106, 51698.5297851563 6731579.58984375 109.066, 51697.5297851562 6731579.70996094 109.016, 51696.5297851563 6731579.83007813 108.976, 51695.5297851563 6731579.93994141 108.926, 51694.5400390625 6731580.06982422 108.876, 51693.5297851562 6731580.18017578 108.836, 51692.5297851563 6731580.29003906 108.786, 51691.5297851563 6731580.39013672 108.746, 51690.5400390625 6731580.5 108.696, 51690.5297851563 6731580.5 108.696, 51690.2700195313 6731580.52978516 108.686, 51689.5 6731580.60009766 108.656, 51688.4599609375 6731580.68017578 108.606, 51687.419921875 6731580.75 108.576, 51686.3798828125 6731580.79003906 108.536, 51685.33984375 6731580.81982422 108.506, 51684.2998046875 6731580.81005859 108.476, 51683.259765625 6731580.79980469 108.446, 51682.2202148438 6731580.75976562 108.416, 51681.1801757813 6731580.70019531 108.396, 51680.1401367188 6731580.62011719 108.376, 51679.1098632812 6731580.52001953 108.366, 51678.0698242188 6731580.41015625 108.346, 51677.0400390625 6731580.27001953 108.336, 51676.009765625 6731580.10009766 108.336, 51674.990234375 6731579.91992187 108.336, 51674.1201171875 6731579.75976563 108.336, 51673.9599609375 6731579.72021484 108.336, 51672.9501953125 6731579.50976563 108.336, 51671.9301757812 6731579.27001953 108.336, 51670.919921875 6731579.02001953 108.336, 51669.919921875 6731578.74023438 108.336, 51668.919921875 6731578.43994141 108.346, 51667.9301757812 6731578.12011719 108.346, 51666.9399414063 6731577.77978516 108.346, 51665.9599609375 6731577.43017578 108.346, 51664.990234375 6731577.04980469 108.346, 51664.0297851563 6731576.66992187 108.356, 51663.0698242188 6731576.25 108.356, 51662.83984375 6731576.77978516 107.966)</t>
  </si>
  <si>
    <t>2013-11-05</t>
  </si>
  <si>
    <t>['FV98 S8D1 m5402-5404']</t>
  </si>
  <si>
    <t>LINESTRING Z (954028.98828125 7862255.7109375 -999999, 954030.33984375 7862255.75976562 -999999, 954031.69921875 7862256 -999999, 954033.4296875 7862247.75 -999999, 954030.30859375 7862248.75 -999999, 954028.98828125 7862255.7109375 -999999, 954030.3984375 7862255.56054688 -999999, 954028.98828125 7862255.7109375 -999999)</t>
  </si>
  <si>
    <t>['EV6 S201D1 m13037-13077']</t>
  </si>
  <si>
    <t>LINESTRING Z (802562.030273438 7790125.58007813 8.356, 802566.900390625 7790125.26953125 8.466, 802571.759765625 7790124.84960938 8.566, 802576.599609375 7790124.3203125 8.676, 802581.4296875 7790123.69042969 8.786, 802586.240234375 7790122.95996094 8.896, 802591.049804687 7790122.11035156 9.006, 802595.8203125 7790121.16992188 9.106, 802600.58984375 7790120.12011719 9.216)</t>
  </si>
  <si>
    <t>POLYGON ((802566.9322088988 7790125.76851782, 802566.943437592 7790125.767674762, 802571.802812592 7790125.3477528915, 802571.8141227271 7790125.346645903, 802576.6539664771 7790124.817349023, 802576.6642661103 7790124.816114383, 802581.4943442353 7790124.186231573, 802581.5047507128 7790124.184763094, 802586.3152975878 7790123.454294344, 802586.3272125903 7790123.452337615, 802591.1367829023 7790122.602728235, 802591.1465105538 7790122.600910399, 802595.9170183667 7790121.660480719, 802595.9277929814 7790121.6582332, 802600.6973242314 7790120.608428511, 802600.4823632686 7790119.63180587, 802595.7182069535 7790120.680427501, 802590.9579536675 7790121.618835664, 802586.159201864 7790122.466533958, 802581.359819813 7790123.195307359, 802576.5400960288 7790123.823839876, 802571.7110572916 7790124.351955093, 802566.8629532583 7790124.770902986, 802561.9984551641 7790125.0810915595, 802562.0620917118 7790126.0790647, 802566.9322088988 7790125.76851782))</t>
  </si>
  <si>
    <t>2013-09-01</t>
  </si>
  <si>
    <t>['FV572 S1D1 m6697-6771']</t>
  </si>
  <si>
    <t>LINESTRING Z (56696.6599731445 6736024.83007813 3.342, 56711.6199951172 6736049.58007813 4.092, 56716.5200195313 6736054.16992188 3.652, 56720.3499755859 6736056.17993164 -0.018, 56722.549987793 6736057.43994141 3.522, 56728.6199951172 6736060.67993164 4.052, 56730.9600219727 6736061.57006836 3.832, 56756.3099975586 6736075.40991211 4.782)</t>
  </si>
  <si>
    <t>POLYGON ((56711.192090132696 6736049.8387233, 56711.217502320214 6736049.876725308, 56711.246279237916 6736049.912247426, 56711.27818031854 6736049.9449927, 56716.17820473264 6736054.53483645, 56716.21231048627 6736054.564022303, 56716.24889639507 6736054.590031681, 56716.287667574295 6736054.612654946, 56720.10947080488 6736056.618385999, 56722.3014932536 6736057.873819808, 56722.314543594526 6736057.881037804, 56728.38455091873 6736061.121028034, 56728.442224559454 6736061.14726196, 56730.75036841057 6736062.025270515, 56756.07040360687 6736075.848768281, 56756.54959151033 6736074.97105594, 56731.19961592443 6736061.13121219, 56731.13779253045 6736061.10273804, 56728.827435255494 6736060.223887507, 56722.792010999474 6736057.002356695, 56720.5984701253 6736055.746053242, 56720.58232754291 6736055.737198574, 56716.81237639363 6736053.758680153, 56712.012190915455 6736049.262355348, 56697.08787812901 6736024.571432959, 56696.232068159996 6736025.0887233, 56711.192090132696 6736049.8387233))</t>
  </si>
  <si>
    <t>['FV572 S1D1 m7584-7631']</t>
  </si>
  <si>
    <t>LINESTRING Z (56203.5899963379 6735402.02978516 17.302, 56233.9400024414 6735417.81005859 14.982, 56240.8300018311 6735432.60009766 26.342)</t>
  </si>
  <si>
    <t>POLYGON ((56233.55854399761 6735418.175268905, 56240.37676922103 6735432.8112379005, 56241.283234441165 6735432.388957419, 56234.393235051466 6735417.5989183495, 56234.371511387144 6735417.557471912, 56234.34600817957 6735417.518237856, 56234.31694880875 6735417.481559829, 56234.28458780279 6735417.447759089, 56234.24920860845 6735417.417131693, 56234.21112110854 6735417.389945905, 56234.170658907686 6735417.366439841, 56203.820652804185 6735401.586166411, 56203.35933987161 6735402.473403909, 56233.55854399761 6735418.175268905))</t>
  </si>
  <si>
    <t>['FV500 S3D1 m3568-3571']</t>
  </si>
  <si>
    <t>LINESTRING Z (509.329956054687 6689314.12011719 22.971, 507.199951171875 6689312.0300293 22.981)</t>
  </si>
  <si>
    <t>POLYGON ((507.5501447080974 6689311.673147685, 506.8497576356526 6689312.386910914, 508.9797625184646 6689314.476998805, 509.68014959090937 6689313.7632355755, 507.5501447080974 6689311.673147685))</t>
  </si>
  <si>
    <t>['FV500 S3D1 m3325-3329']</t>
  </si>
  <si>
    <t>LINESTRING Z (636.219970703125 6689517.92993164 17.671, 638 6689519.45996094 17.491, 638.68994140625 6689520.75 17.421, 639.170043945312 6689521.22998047 17.361)</t>
  </si>
  <si>
    <t>POLYGON ((637.6031842209978 6689519.77820053, 638.2490377873947 6689520.985805002, 638.2742631674713 6689521.027869757, 638.3034886414283 6689521.067260556, 638.3364329709224 6689521.10359834, 638.8165355099844 6689521.58357881, 639.5235523806397 6689520.876382129, 639.0958804771078 6689520.448818964, 638.4409036188553 6689519.224155938, 638.417260806782 6689519.184473338, 638.390056771723 6689519.1471419595, 638.3595236936397 6689519.112480418, 638.3259221649953 6689519.080784541, 636.5458928681203 6689517.55075524, 635.8940485381297 6689518.309108039, 637.6031842209978 6689519.77820053))</t>
  </si>
  <si>
    <t>['FV500 S3D1 m3268-3273']</t>
  </si>
  <si>
    <t>LINESTRING Z (676.9599609375 6689557.02001953 17.841, 677.93994140625 6689557.86010742 17.901, 679.069946289063 6689558.90991211 17.741, 680.089965820313 6689559.94995117 17.621)</t>
  </si>
  <si>
    <t>POLYGON ((677.6069415780106 6689558.233217075, 678.7211141004346 6689559.26831308, 679.7329934741721 6689560.300052218, 680.4469381664538 6689559.599850122, 679.4269186352038 6689558.559811062, 679.4102613799674 6689558.54359853, 678.2802564971545 6689557.49379384, 678.265360456771 6689557.4804991465, 677.285379988021 6689556.640411257, 676.634541886979 6689557.399627804, 677.6069415780106 6689558.233217075))</t>
  </si>
  <si>
    <t>['FV500 S3D1 m3451-3455']</t>
  </si>
  <si>
    <t>LINESTRING Z (561.180053710938 6689421 24.571, 559.68994140625 6689419.14990234 24.601, 558.130004882813 6689417.56005859 24.301)</t>
  </si>
  <si>
    <t>POLYGON ((560.0793434636618 6689418.836268736, 560.0468357057313 6689418.799721731, 558.4868991822942 6689417.209877981, 557.7731105833317 6689417.910239199, 559.3158983542204 6689419.482605419, 560.7906516535262 6689421.313633604, 561.5694557683497 6689420.686366396, 560.0793434636618 6689418.836268736))</t>
  </si>
  <si>
    <t>['FV500 S3D1 m3455-3458']</t>
  </si>
  <si>
    <t>LINESTRING Z (558.130004882813 6689417.56005859 24.301, 556.930053710937 6689417.66992188 23.311, 554.93994140625 6689418.22998047 22.211, 553.170043945313 6689418.38989258 21.331, 551.670043945312 6689419.10009766 20.361, 550.880004882813 6689420.43994141 19.491)</t>
  </si>
  <si>
    <t>POLYGON Z ((558.130004882813 6689417.56005859 24.301, 556.930053710937 6689417.66992188 23.311, 554.93994140625 6689418.22998047 22.211, 553.170043945313 6689418.38989258 21.331, 551.670043945312 6689419.10009766 20.361, 550.880004882813 6689420.43994141 19.491, 558.130004882813 6689417.56005859 24.301))</t>
  </si>
  <si>
    <t>['FV500 S3D1 m3566-3568']</t>
  </si>
  <si>
    <t>LINESTRING Z (508.010009765625 6689315.41992187 22.891, 509.97998046875 6689314.79003906 22.851, 512.219970703125 6689314.32006836 23.431)</t>
  </si>
  <si>
    <t>POLYGON ((510.1077897707734 6689315.274109951, 512.3226399243669 6689314.809413874, 512.1173014818831 6689313.830722847, 509.8773112475082 6689314.300693546, 509.8277039718454 6689314.3137913635, 507.8577332687204 6689314.943674174, 508.1622862625296 6689315.896169567, 510.1077897707734 6689315.274109951))</t>
  </si>
  <si>
    <t>['FV500 S3D1 m3085-3090']</t>
  </si>
  <si>
    <t>LINESTRING Z (806.2099609375 6689686.62988281 20.151, 805.530029296875 6689689.01000977 20.311, 805.930053710938 6689690.66992188 20.351, 807.22998046875 6689692.13989258 19.961, 808.099975585938 6689692.15991211 20.011)</t>
  </si>
  <si>
    <t>POLYGON Z ((806.2099609375 6689686.62988281 20.151, 805.530029296875 6689689.01000977 20.311, 805.930053710938 6689690.66992188 20.351, 807.22998046875 6689692.13989258 19.961, 808.099975585938 6689692.15991211 20.011, 806.2099609375 6689686.62988281 20.151))</t>
  </si>
  <si>
    <t>['FV500 S3D1 m3324-3333']</t>
  </si>
  <si>
    <t>LINESTRING Z (648.219970703125 6689501.11010742 21.091, 650.31005859375 6689503.37011719 20.921, 652.359985351563 6689505.54003906 20.931, 654.329956054687 6689507.37011719 20.681)</t>
  </si>
  <si>
    <t>POLYGON ((649.9429747769343 6689503.709601316, 649.9465985182545 6689503.713478186, 651.9965252760675 6689505.883400056, 652.019677968075 6689505.9063598, 653.9896486711991 6689507.736437931, 654.670263438175 6689507.00379645, 652.7122435992611 6689505.184820523, 650.6753408257538 6689503.028685013, 648.5870545199407 6689500.770623295, 647.8528868863093 6689501.449591545, 649.9429747769343 6689503.709601316))</t>
  </si>
  <si>
    <t>['FV500 S3D1 m3316-3324']</t>
  </si>
  <si>
    <t>LINESTRING Z (658.630004882813 6689504.90991211 21.131, 657.949951171875 6689505.38989258 21.041, 655.680053710937 6689506.45996094 21.021, 654.93994140625 6689507.62988281 20.731, 654.369995117187 6689509.2199707 21.161, 654.239990234375 6689510.43994141 21.191, 655.630004882812 6689512.7199707 21.031, 656.81005859375 6689514.13989258 20.891, 658.530029296875 6689513.14990234 20.651, 660.5 6689512.25 20.761, 661.660034179688 6689511.40991211 20.791, 661.969970703125 6689510.98999023 20.901)</t>
  </si>
  <si>
    <t>POLYGON Z ((658.630004882813 6689504.90991211 21.131, 657.949951171875 6689505.38989258 21.041, 655.680053710937 6689506.45996094 21.021, 654.93994140625 6689507.62988281 20.731, 654.369995117187 6689509.2199707 21.161, 654.239990234375 6689510.43994141 21.191, 655.630004882812 6689512.7199707 21.031, 656.81005859375 6689514.13989258 20.891, 658.530029296875 6689513.14990234 20.651, 660.5 6689512.25 20.761, 661.660034179688 6689511.40991211 20.791, 661.969970703125 6689510.98999023 20.901, 658.630004882813 6689504.90991211 21.131))</t>
  </si>
  <si>
    <t>2013-12-13</t>
  </si>
  <si>
    <t>[616]</t>
  </si>
  <si>
    <t>['FV616 S3D10 m674-736']</t>
  </si>
  <si>
    <t>LINESTRING Z (-8670.65991210937 6897143.88000488 11.456, -8669.28002929688 6897146.02999878 11.306, -8667.8798828125 6897148.1499939 11.166, -8666.4599609375 6897150.27000427 11.016, -8665.01000976562 6897152.36000061 10.866, -8663.57006835938 6897154.42999268 10.716, -8662.10009765625 6897156.49000549 10.566, -8660.6201171875 6897158.55000305 10.426, -8659.1298828125 6897160.58999634 10.276, -8656.15991210937 6897164.63999939 9.996, -8655.97998046875 6897164.86999512 9.976, -8654.65991210937 6897166.6499939 9.856, -8653.15991210937 6897168.67999268 9.726, -8651.68994140625 6897170.71000671 9.586, -8650.2099609375 6897172.74000549 9.466, -8649.34008789063 6897173.92999268 9.386, -8648.73999023438 6897174.75999451 9.336, -8647.27001953125 6897176.78999329 9.226, -8645.80004882813 6897178.82000732 9.116, -8644.32006835938 6897180.8500061 9.026, -8642.85009765625 6897182.88000488 8.926, -8641.3798828125 6897184.91000366 8.836, -8639.90991210938 6897186.92999268 8.756, -8638.42993164063 6897188.96000671 8.676, -8636.9599609375 6897190.99000549 8.606, -8635.48999023437 6897193.02000427 8.526, -8634.02001953125 6897195.05000305 8.466)</t>
  </si>
  <si>
    <t>POLYGON ((-8669.700819273115 6897146.300065061, -8669.697248053128 6897146.305550063, -8668.297101568747 6897148.425545183, -8668.295311750653 6897148.428236236, -8666.875389875653 6897150.548246605, -8666.870778043301 6897150.555011823, -8665.420826871421 6897152.6450081635, -8665.420467300308 6897152.645525762, -8663.980525894069 6897154.715517832, -8663.977072138008 6897154.720419821, -8662.507101434878 6897156.780432631, -8662.506165381328 6897156.781739963, -8661.026184912578 6897158.841737523, -8661.023862707607 6897158.844942967, -8659.533628332607 6897160.884936257, -8659.533086807516 6897160.88567613, -8656.563116104386 6897164.93567918, -8656.553718635367 6897164.9480844755, -8656.377755304853 6897165.173007756, -8655.061782581966 6897166.947483921, -8653.563473451446 6897168.975194393, -8652.094916206155 6897171.003256452, -8652.09396667574 6897171.004563295, -8650.61398620699 6897173.0345620755, -8650.613613346108 6897173.035072827, -8649.744511092389 6897174.224005571, -8649.145178744247 6897175.052948894, -8647.674993284694 6897177.083244477, -8646.205023628036 6897179.113257062, -8646.20407409762 6897179.114563905, -8644.724568876083 6897181.143910818, -8643.255071409694 6897183.173256068, -8641.7848334295 6897185.203286796, -8641.784166319216 6897185.20420571, -8640.314195616096 6897187.224194731, -8638.834432748816 6897189.25391061, -8637.364934690944 6897191.283256678, -8635.89496398775 6897193.313255457, -8634.424993284696 6897195.343254237, -8633.615045777804 6897194.756751862, -8635.085016480924 6897192.726753082, -8636.55498718412 6897190.696754303, -8638.024957887186 6897188.666755523, -8638.025905317816 6897188.66545157, -8639.505756932997 6897186.635614282, -8640.975265303277 6897184.616260586, -8642.445134583382 6897182.586738943, -8643.915094605936 6897180.556754912, -8643.91604308989 6897180.555449515, -8645.395547814316 6897178.526103284, -8646.865044731345 6897176.496743548, -8648.334909156401 6897174.466891535, -8648.934899380763 6897173.637038296, -8648.936435482023 6897173.634925344, -8649.806121822494 6897172.445193568, -8651.285440392436 6897170.416102675, -8652.754937309464 6897168.386742938, -8652.757782959312 6897168.382852736, -8654.257782959312 6897166.352853956, -8654.258300926376 6897166.352154249, -8655.578369285757 6897164.572155469, -8655.586173942753 6897164.561910034, -8655.761310310589 6897164.338043811, -8658.72640766558 6897160.294686306, -8660.215204217258 6897158.256661264, -8661.693560856025 6897156.198923927, -8663.161323007329 6897154.142006176, -8664.599372351062 6897152.074734046, -8666.046810211596 6897149.988360455, -8667.463554615635 6897147.8730942, -8668.861006974541 6897145.75717832, -8670.239122133135 6897143.609938599, -8671.080702085605 6897144.150071161, -8669.700819273115 6897146.300065061))</t>
  </si>
  <si>
    <t>['FV616 S3D300 m1440-1470']</t>
  </si>
  <si>
    <t>LINESTRING Z (-8234.21997070313 6896836.55999756 3.566, -8234.080078125 6896835.80000305 3.566, -8233.88989257813 6896834.47000122 3.556, -8233.7099609375 6896833.16000366 3.546, -8233.56005859375 6896831.83999634 3.536, -8233.43994140625 6896830.50999451 3.526, -8233.34008789062 6896829.17999268 3.516, -8233.26000976563 6896827.83999634 3.516, -8233.21997070313 6896826.50999451 3.506, -8233.19995117187 6896825.17999268 3.496, -8233.19995117187 6896823.8500061 3.496, -8233.22998046875 6896822.50999451 3.496, -8233.2900390625 6896821.17999268 3.486, -8233.3701171875 6896819.8500061 3.486, -8233.48999023438 6896818.52000427 3.486, -8233.6201171875 6896817.19000244 3.486, -8233.77001953125 6896815.86000061 3.486, -8233.9599609375 6896814.53999329 3.486, -8234.169921875 6896813.22999573 3.486, -8234.39990234375 6896811.91000366 3.486, -8234.65991210937 6896810.61000061 3.496, -8234.94995117187 6896809.30999756 3.496, -8235.18994140625 6896808.30999756 3.496)</t>
  </si>
  <si>
    <t>POLYGON ((-8233.58833926842 6896835.8905176725, -8233.585113036434 6896835.870781302, -8233.394927489564 6896834.540779472, -8233.394543313747 6896834.538038756, -8233.214611673116 6896833.228041196, -8233.21315415292 6896833.216421909, -8233.06325180917 6896831.896414588, -8233.062085338084 6896831.884970073, -8232.941968150584 6896830.5549682425, -8232.941344643159 6896830.547428022, -8232.841491127529 6896829.217426193, -8232.840978319513 6896829.209819447, -8232.760900194524 6896827.869823107, -8232.760236182228 6896827.855041782, -8232.720197119728 6896826.525039952, -8232.720027336129 6896826.517519786, -8232.700007804868 6896825.187517957, -8232.69995117187 6896825.17999268, -8232.69995117187 6896823.8500061, -8232.700076673593 6896823.838804048, -8232.730105970473 6896822.498792457, -8232.730489474023 6896822.487439107, -8232.790548067773 6896821.157437278, -8232.790942908485 6896821.149942239, -8232.871021033485 6896819.819955658, -8232.872135751182 6896819.8051230395, -8232.992008798063 6896818.475121209, -8232.992366339524 6896818.471316908, -8233.122493292643 6896817.141315077, -8233.123263041669 6896817.134002817, -8233.273165385419 6896815.804000988, -8233.275116894367 6896815.788786988, -8233.465058300617 6896814.468779667, -8233.46626188335 6896814.460865268, -8233.67622282085 6896813.150867708, -8233.677342265759 6896813.144174238, -8233.907322734509 6896811.824182168, -8233.909612669955 6896811.811942273, -8234.169622435575 6896810.511939223, -8234.17191012976 6896810.501124222, -8234.46194919226 6896809.201121172, -8234.463756443443 6896809.193315574, -8234.703746677824 6896808.193315574, -8235.676136134676 6896808.426679547, -8235.4370807987 6896809.422783978, -8235.149117714554 6896810.71348215, -8234.891413199077 6896812.001959355, -8234.663083919027 6896813.31247429, -8234.454293463474 6896814.615168926, -8234.266014617171 6896815.923622204, -8234.117383090774 6896817.242348763, -8233.987800168925 6896818.566790157, -8233.868766308318 6896819.887481143, -8233.789360764411 6896821.206297085, -8233.729727705464 6896822.526875415, -8233.69995117187 6896823.855607829, -8233.69995117187 6896825.176229829, -8233.71985746276 6896826.498708511, -8233.759560708842 6896827.817555323, -8233.838970055369 6896829.146360584, -8233.938254941026 6896830.468788529, -8234.057514446178 6896831.789293641, -8234.206106999225 6896833.09776723, -8234.38505354947 6896834.4005928105, -8234.573627483958 6896835.719324345, -8234.71170955971 6896836.469482938, -8233.728231846551 6896836.650512183, -8233.58833926842 6896835.8905176725))</t>
  </si>
  <si>
    <t>['FV616 S3D300 m1432-1440']</t>
  </si>
  <si>
    <t>LINESTRING Z (-8236.01000976563 6896844.27999878 3.646, -8235.81005859375 6896843.61000061 3.646, -8235.44995117188 6896842.30999756 3.626, -8235.1298828125 6896841.02999878 3.616, -8234.830078125 6896839.72999573 3.596, -8234.56005859375 6896838.41999817 3.586, -8234.31005859375 6896837.11000061 3.576, -8234.21997070313 6896836.55999756 3.566)</t>
  </si>
  <si>
    <t>POLYGON ((-8235.330939624897 6896843.752986671, -8235.328203744506 6896843.743476842, -8234.968096322636 6896842.443473792, -8234.964886044982 6896842.431289863, -8234.644817685601 6896841.151291083, -8234.642671123935 6896841.142358785, -8234.342866436435 6896839.842355735, -8234.340372811252 6896839.830934849, -8234.070353280002 6896838.520937288, -8234.068922188075 6896838.513726667, -8233.818922188075 6896837.203729107, -8233.816633803 6896837.190821251, -8233.726545912381 6896836.640818201, -8234.71339549388 6896836.47917692, -8234.802423804676 6896837.022711041, -8235.05050595982 6896838.3226591125, -8235.318603384256 6896839.623331587, -8235.61606225195 6896840.913162772, -8235.933487922366 6896842.182593064, -8236.2905925587 6896843.471755931, -8236.489128734484 6896844.137012719, -8235.530890796777 6896844.422984841, -8235.330939624897 6896843.752986671))</t>
  </si>
  <si>
    <t>['FV616 S3D10 m1619-1677']</t>
  </si>
  <si>
    <t>LINESTRING Z (-8469.61010742187 6896657.79000855 3.846, -8468.53002929687 6896658.26998901 3.836, -8467.4599609375 6896658.76998901 3.816, -8466.38989257813 6896659.27999878 3.806, -8465.34008789063 6896659.82000732 3.786, -8464.2900390625 6896660.39001465 3.776, -8463.26000976563 6896660.97000122 3.766, -8462.23999023438 6896661.54000854 3.766, -8461.21997070313 6896662.13000488 3.766, -8460.21997070312 6896662.73001099 3.756, -8459.22998046875 6896663.35998535 3.766, -8458.26000976563 6896664.01000977 3.766, -8457.2900390625 6896664.67001343 3.766, -8456.34008789063 6896665.35998535 3.766, -8455.39990234375 6896666.07000732 3.766, -8454.46997070313 6896666.79000855 3.786, -8453.5400390625 6896667.51998901 3.796, -8452.63989257813 6896668.26998901 3.806, -8451.75 6896669.04000855 3.826, -8450.8701171875 6896669.82998657 3.846, -8450.01000976563 6896670.63000488 3.856, -8449.15991210938 6896671.45001221 3.876, -8448.330078125 6896672.27999878 3.896, -8447.48999023438 6896673.14001465 3.906, -8446.65991210938 6896674.01000977 3.926, -8445.86010742187 6896674.8999939 3.946, -8445.06005859375 6896675.79000854 3.966, -8444.27001953125 6896676.69000244 3.986, -8443.5 6896677.61999512 4.006, -8442.72998046875 6896678.52999878 4.026, -8441.97998046875 6896679.47000122 4.046, -8441.21997070312 6896680.44000244 4.076, -8440.47998046875 6896681.42001343 4.096, -8439.02001953125 6896683.38000488 4.136, -8437.580078125 6896685.36999512 4.176, -8436.169921875 6896687.36999512 4.226, -8434.73999023438 6896689.42001343 4.266, -8433.32006835937 6896691.48001099 4.306, -8430.47998046875 6896695.58999634 4.396)</t>
  </si>
  <si>
    <t>POLYGON ((-8468.737404595693 6896658.724981194, -8467.673357033469 6896659.2221679175, -8466.611860208952 6896659.728092372, -8465.573741884713 6896660.262089569, -8464.531984355319 6896660.82759606, -8463.50533157199 6896661.40568139, -8463.50391927253 6896661.406473616, -8462.487131547581 6896661.974674938, -8461.47378496056 6896662.560811536, -8460.482856963295 6896663.155374389, -8459.503410025882 6896663.778639585, -8458.539827774981 6896664.424382794, -8457.57766336535 6896665.079074765, -8456.637693340239 6896665.761797142, -8455.703626123608 6896666.467198589, -8454.77739101256 6896667.184337774, -8453.85450300785 6896667.908789101, -8452.963535934952 6896668.651140836, -8452.080629370534 6896669.415115413, -8451.207427200234 6896670.1990954075, -8450.353868346305 6896670.993022648, -8449.510297301813 6896671.806734384, -8448.685719605299 6896672.6314637, -8447.84971667477 6896673.487297709, -8447.026817452894 6896674.349768706, -8446.231999786552 6896675.234203518, -8445.43387595157 6896676.122076707, -8444.650540340506 6896677.014434191, -8443.88512180589 6896677.938870009, -8443.881689743659 6896677.942970257, -8443.11632566515 6896678.847472136, -8442.372197871682 6896679.780114724, -8441.6163041527 6896680.74486263, -8440.879988399603 6896681.720007296, -8439.423068359289 6896683.675916355, -8437.98695077822 6896685.660622092, -8436.579290346439 6896687.6570823165, -8435.150878797947 6896689.704921349, -8433.731746292813 6896691.763773706, -8433.731411919342 6896691.764258198, -8430.891324028722 6896695.874243548, -8430.068636908778 6896695.305749131, -8432.908557503031 6896691.196005882, -8434.328312300937 6896689.136250714, -8434.329897312306 6896689.13396484, -8435.759828952925 6896687.083946531, -8435.761283170186 6896687.081872908, -8437.171439420186 6896685.081872908, -8437.175002075935 6896685.076885252, -8438.614943482185 6896683.086895012, -8438.619036478362 6896683.081320111, -8440.078997415862 6896681.12132866, -8440.080956247235 6896681.118716781, -8440.820946481605 6896680.138705791, -8440.826391243116 6896680.13162733, -8441.586401008746 6896679.16162611, -8441.589140352944 6896679.158161511, -8442.339140352944 6896678.218159071, -8442.348290725091 6896678.207023643, -8443.116583231074 6896677.299060969, -8443.88489772536 6896676.3711275505, -8443.894258127713 6896676.360148884, -8444.684297190213 6896675.460154985, -8444.688211248418 6896675.455748833, -8445.488240027704 6896674.565756496, -8446.288019744698 6896673.675800152, -8446.298157138188 6896673.664852791, -8447.128235263188 6896672.794857671, -8447.132317194046 6896672.790629482, -8447.972405084665 6896671.930613612, -8447.976492234011 6896671.926477893, -8448.806326218391 6896671.096491323, -8448.812785036187 6896671.090147242, -8449.662882692437 6896670.270139912, -8449.669476419469 6896670.263894186, -8450.529583841339 6896669.463875877, -8450.536082786779 6896669.457936817, -8451.415965599279 6896668.667958796, -8451.422831016871 6896668.66190743, -8452.312723595001 6896667.89188789, -8452.31983112293 6896667.885852751, -8453.2199776073 6896667.135852751, -8453.231306166743 6896667.126690143, -8454.161237807373 6896666.396709682, -8454.163869711998 6896666.39465784, -8455.093801352617 6896665.67465661, -8455.098577781988 6896665.671004176, -8456.038763328868 6896664.960982206, -8456.046253245378 6896664.955434733, -8456.996204417248 6896664.265462813, -8457.008760622999 6896664.256634137, -8457.97873132613 6896663.596630477, -8457.981659251333 6896663.594653307, -8458.951629954452 6896662.944628887, -8458.961548614207 6896662.938150857, -8459.951538848576 6896662.308176497, -8459.962720899199 6896662.301265683, -8460.96272089921 6896661.701259573, -8460.969624606703 6896661.697192182, -8461.989644137953 6896661.107195842, -8461.99608072748 6896661.103536144, -8463.015393646767 6896660.533923692, -8464.04471725614 6896659.95433448, -8464.05149932934 6896659.95058457, -8465.10154815747 6896659.380577239, -8465.111377381134 6896659.375382193, -8466.161182068634 6896658.835373654, -8466.174769903362 6896658.828642785, -8467.244838262732 6896658.318633014, -8467.24829757121 6896658.317000467, -8468.31836593058 6896657.817000467, -8468.326979232494 6896657.813074716, -8469.407057357494 6896657.333094256, -8469.813157486245 6896658.246922843, -8468.737404595693 6896658.724981194))</t>
  </si>
  <si>
    <t>['FV616 S3D10 m1322-1401']</t>
  </si>
  <si>
    <t>LINESTRING Z (-8258.94995117188 6896867.47000122 3.626, -8258.13989257813 6896866.63000488 3.596, -8257.34008789063 6896865.75999451 3.556, -8256.56005859375 6896864.88000488 3.526, -8255.80004882813 6896863.99000549 3.496, -8255.05004882813 6896863.08999634 3.466, -8254.32006835938 6896862.16000366 3.436, -8253.61010742187 6896861.22999573 3.406, -8252.919921875 6896860.27999878 3.376, -8252.25 6896859.32000732 3.346, -8251.60009765625 6896858.36000061 3.316, -8250.94995117188 6896857.36000061 3.286, -8250.34008789062 6896856.36999512 3.266, -8249.73999023438 6896855.3500061 3.236, -8249.15991210938 6896854.33000183 3.216, -8248.60009765625 6896853.30000305 3.186, -8248.06005859375 6896852.25999451 3.166, -8247.55004882813 6896851.21000671 3.146, -8247.05004882812 6896850.1499939 3.126, -8246.57006835938 6896849.08000183 3.106, -8246.11010742187 6896848 3.086, -8245.67993164062 6896846.91000366 3.066, -8245.26000976563 6896845.80000305 3.046, -8244.8701171875 6896844.69999695 3.026, -8244.5 6896843.58999634 3.006, -8244.14990234375 6896842.47000122 2.996, -8243.81005859375 6896841.3500061 2.976, -8243.5 6896840.21000672 2.966, -8243.22998046875 6896839.08000183 2.946, -8242.9599609375 6896837.94000244 2.936, -8242.7099609375 6896836.78999329 2.926, -8242.5 6896835.63000488 2.906, -8242.2900390625 6896834.47000122 2.896, -8242.1201171875 6896833.32000732 2.886, -8241.96997070313 6896832.1499939 2.876, -8241.84008789063 6896830.97999573 2.866, -8241.72998046875 6896829.82000732 2.866, -8241.64990234375 6896828.6499939 2.856, -8241.59008789063 6896827.47999573 2.846, -8241.5400390625 6896826.30000305 2.846, -8241.52001953125 6896825.11999512 2.836, -8241.53002929688 6896823.96000671 2.836, -8241.56005859375 6896822.77999878 2.826, -8241.61010742188 6896821.61000061 2.826, -8241.67993164063 6896820.44000244 2.826, -8241.77001953125 6896819.27000427 2.826, -8241.8798828125 6896818.1000061 2.816, -8242.03002929687 6896816.92999268 2.816, -8242.18994140625 6896815.77000427 2.826, -8242.3798828125 6896814.61999512 2.826, -8242.580078125 6896813.46000671 2.826, -8242.80004882813 6896812.30999756 2.826, -8243.06005859375 6896811.16000366 2.836, -8243.330078125 6896810.02999878 2.836, -8243.6201171875 6896808.88000488 2.846, -8243.93994140625 6896807.75999451 2.846, -8244.28002929688 6896806.63000488 2.856, -8244.63989257813 6896805.52000427 2.866, -8245.02001953125 6896804.3999939 2.866, -8245.419921875 6896803.30000305 2.876, -8245.85009765625 6896802.21000671 2.886, -8246.2900390625 6896801.13000488 2.896, -8246.75 6896800.03999329 2.916, -8247.23999023438 6896798.97999573 2.936)</t>
  </si>
  <si>
    <t>POLYGON ((-8257.779983730705 6896866.977086457, -8257.771799588078 6896866.9683945235, -8256.971994900578 6896866.098384153, -8256.965922544541 6896866.091657432, -8256.18589324766 6896865.211667802, -8256.17982997296 6896865.204698884, -8255.41982020734 6896864.314699494, -8255.415936587777 6896864.310095769, -8254.665936587777 6896863.410086619, -8254.65674012061 6896863.398716699, -8253.92675965186 6896862.46872402, -8253.922637678697 6896862.463399201, -8253.212676741186 6896861.533391271, -8253.205593328366 6896861.523880654, -8252.515407781497 6896860.573883704, -8252.509890547712 6896860.566135654, -8251.839968672712 6896859.606144194, -8251.835955604758 6896859.600305801, -8251.186053261008 6896858.640299092, -8251.180903908997 6896858.632537952, -8250.530757424627 6896857.632537952, -8250.52424281084 6896857.622245518, -8249.914379529579 6896856.632240027, -8249.909140008187 6896856.623537864, -8249.309042351948 6896855.603548843, -8249.305359035361 6896855.597181586, -8248.725280910361 6896854.577177316, -8248.720605671755 6896854.568769193, -8248.160791218625 6896853.538770413, -8248.156355660492 6896853.530422322, -8247.616316597992 6896852.490413782, -8247.610307155968 6896852.478451929, -8247.100297390349 6896851.42846413, -8247.09783203725 6896851.423313939, -8246.59783203724 6896850.363301129, -8246.59384651628 6896850.354638594, -8246.11386604754 6896849.284646524, -8246.110050251908 6896849.275918498, -8245.650089314397 6896848.195916668, -8245.645017289973 6896848.183551543, -8245.214841508723 6896847.093555204, -8245.212277586086 6896847.086920831, -8244.792355711097 6896845.976920221, -8244.78873756963 6896845.967043516, -8244.3988449915 6896844.867037416, -8244.395790537534 6896844.858155823, -8244.025673350034 6896843.748155213, -8244.022772044125 6896843.739172337, -8243.672674387875 6896842.619177217, -8243.671443681716 6896842.615181482, -8243.331599931716 6896841.495186362, -8243.327585445853 6896841.481229808, -8243.017526852103 6896840.341230429, -8243.01369118628 6896840.326212304, -8242.74367165503 6896839.196207413, -8242.74344220827 6896839.195242973, -8242.47342267702 6896838.055243582, -8242.47137258012 6896838.046216454, -8242.22137258012 6896836.896207305, -8242.2179555136 6896836.879047559, -8242.0079945761 6896835.719059149, -8241.79803343341 6896834.559054355, -8241.795409458853 6896834.543087164, -8241.625487583853 6896833.393093264, -8241.624184098418 6896833.383649846, -8241.474037614049 6896832.213636426, -8241.473023384648 6896832.205160581, -8241.343140572148 6896831.035162411, -8241.342325288364 6896831.027243923, -8241.232217866484 6896829.867255513, -8241.231147449256 6896829.854148477, -8241.151069324256 6896828.684135058, -8241.150554469914 6896828.675522333, -8241.090740016794 6896827.505524163, -8241.090537032685 6896827.501183942, -8241.040488204555 6896826.3211912615, -8241.040111004784 6896826.308484624, -8241.020091473534 6896825.128476694, -8241.02003814596 6896825.115680683, -8241.03004791159 6896823.955692274, -8241.030191123366 6896823.947286636, -8241.060220420235 6896822.767278706, -8241.06051543146 6896822.7586299, -8241.11056425959 6896821.5886317305, -8241.110995443674 6896821.58021415, -8241.180819662424 6896820.410215979, -8241.181407267632 6896820.401616901, -8241.271495158251 6896819.231618731, -8241.272209381132 6896819.223259704, -8241.382072662382 6896818.053261534, -8241.383949723418 6896818.036363574, -8241.534096207788 6896816.866350154, -8241.534713746141 6896816.8617101405, -8241.694625855522 6896815.70172173, -8241.696624851771 6896815.688525579, -8241.886566258021 6896814.538516429, -8241.887166794138 6896814.534960273, -8242.087362106638 6896813.374971863, -8242.088981307037 6896813.366071012, -8242.308952010168 6896812.216061862, -8242.312358752695 6896812.199732469, -8242.572368518315 6896811.049738569, -8242.573749780267 6896811.043798075, -8242.843769311517 6896809.913793195, -8242.845259938671 6896809.907723164, -8243.135299001171 6896808.757729264, -8243.139334950929 6896808.742715255, -8243.459159169679 6896807.622704885, -8243.46115568066 6896807.615896526, -8243.80124357129 6896806.485906896, -8243.804400673855 6896806.475805616, -8244.164263955105 6896805.365805006, -8244.166419106888 6896805.359309304, -8244.546546060008 6896804.239298934, -8244.550109878805 6896804.22915796, -8244.950012222555 6896803.12916711, -8244.954831743104 6896803.1164515065, -8245.385007524354 6896802.026455167, -8245.38704258715 6896802.021380087, -8245.8269839934 6896800.941378257, -8245.829373980781 6896800.935614339, -8246.289334918281 6896799.845602749, -8246.29614429679 6896799.830195767, -8246.78613453117 6896798.770198207, -8247.69384593759 6896799.189793253, -8247.207390172789 6896800.242144682, -8246.751917118414 6896801.321520925, -8246.314184132789 6896802.396101355, -8245.887508231084 6896803.477229562, -8245.491765601544 6896804.5657785, -8245.11446585301 6896805.677458762, -8244.757289924659 6896806.779170215, -8244.419749542112 6896807.900695392, -8244.103034124812 6896809.009818876, -8243.815660595857 6896810.149244037, -8243.547076151875 6896811.27324322, -8243.289578489128 6896812.412126372, -8243.07202480727 6896813.549499309, -8242.872905510842 6896814.703252977, -8242.684345529751 6896815.844898223, -8242.525664475437 6896816.995956668, -8242.37689810149 6896818.155215605, -8242.268221858356 6896819.3125723135, -8242.178786875766 6896820.474090973, -8242.109470467742 6896821.635580096, -8242.05978668569 6896822.797044535, -8242.029974410034 6896823.968524568, -8242.020056129117 6896825.11791121, -8242.039859291734 6896826.285165759, -8242.08954668565 6896827.456636967, -8242.149029947495 6896828.620156883, -8242.228364470307 6896829.779305606, -8242.337474368878 6896830.9287850475, -8242.46644708445 6896832.090584968, -8242.615443547233 6896833.251636867, -8242.783485881559 6896834.388910449, -8242.99200562909 6896835.540951745, -8243.200407970335 6896836.69232925, -8243.447566029912 6896837.82926537, -8243.71640448781 6896838.96427837, -8243.984507385308 6896840.086262338, -8244.290625852556 6896841.211774967, -8244.627754006215 6896842.322820518, -8244.975819700978 6896843.436315204, -8245.342958319745 6896844.537382932, -8245.729524837658 6896845.6280052, -8246.14632733536 6896846.7297602035, -8246.572744178826 6896847.810231999, -8247.028220135477 6896848.879702961, -8247.504299687527 6896849.940998949, -8248.00104764424 6896850.994117344, -8248.506885380239 6896852.035515934, -8249.041661336301 6896853.065388772, -8249.596921371724 6896854.08700791, -8250.172803185238 6896855.099633423, -8250.768460217107 6896856.112074691, -8251.372464913136 6896857.092569801, -8252.016752875568 6896858.0835587215, -8252.662058545271 6896859.036775429, -8253.327231429834 6896859.989961633, -8254.01113621174 6896860.931313505, -8254.715455985875 6896861.853931837, -8255.438842444224 6896862.775523769, -8256.182233104222 6896863.667601631, -8256.937287769137 6896864.551798415, -8257.711247540085 6896865.424940713, -8258.50394539397 6896866.287220422, -8259.309860019306 6896867.122919642, -8258.590042324455 6896867.817082797, -8257.779983730705 6896866.977086457))</t>
  </si>
  <si>
    <t>['FV616 S3D10 m827-869']</t>
  </si>
  <si>
    <t>LINESTRING Z (-8688.6298828125 6897054.88999939 15.356, -8688.38989257813 6897053.61999893 15.386, -8688.1298828125 6897052.34999848 15.416, -8687.8701171875 6897051.08000183 15.456, -8687.580078125 6897049.83000183 15.486, -8687.2900390625 6897048.56000137 15.516, -8686.97998046875 6897047.29999924 15.546, -8686.65991210938 6897046.04999924 15.576, -8686.330078125 6897044.79999924 15.606, -8685.97998046875 6897043.54999924 15.636, -8685.6201171875 6897042.31000137 15.666, -8685.23999023437 6897041.08000183 15.696, -8684.85009765625 6897039.84000015 15.716, -8684.4599609375 6897038.61000061 15.746, -8684.05004882813 6897037.38000107 15.776, -8683.6201171875 6897036.15999985 15.796, -8683.17993164062 6897034.95000076 15.826, -8682.72998046875 6897033.74000168 15.846, -8682.26000976562 6897032.52000046 15.876, -8681.7900390625 6897031.3199997 15.896, -8681.30004882812 6897030.12999916 15.926, -8680.7900390625 6897028.93000031 15.946, -8680.28002929688 6897027.75 15.966, -8679.75 6897026.56999969 15.986, -8679.2099609375 6897025.38999939 16.016, -8678.65991210938 6897024.21999931 16.036, -8678.10009765625 6897023.04999924 16.056, -8677.52001953125 6897021.89999962 16.076, -8676.919921875 6897020.75 16.096, -8676.32006835938 6897019.61000061 16.116, -8675.7099609375 6897018.45999909 16.126, -8675.080078125 6897017.34000015 16.146, -8674.43994140625 6897016.20999909 16.166, -8673.80004882813 6897015.09000015 16.186, -8673.13989257812 6897013.97000027 16.196)</t>
  </si>
  <si>
    <t>POLYGON ((-8687.899292124066 6897053.716568013, -8687.640043296966 6897052.450284316, -8687.381573840566 6897051.18662469, -8687.09301755373 6897049.943015103, -8687.092628306877 6897049.941324222, -8686.803521995595 6897048.67540802, -8686.495025117558 6897047.42175232, -8686.175992576595 6897046.175797622, -8685.84758813823 6897044.931215294, -8685.49914017985 6897043.687105428, -8685.141134152538 6897042.453507186, -8684.762645067782 6897041.228807395, -8684.373308247863 6897039.99057323, -8683.984459889145 6897038.7646355545, -8683.577050832826 6897037.5421467805, -8683.14938102811 6897036.3285638895, -8682.710665697545 6897035.122606187, -8682.262352258891 6897033.917011265, -8681.79393314062 6897032.701037817, -8681.326050046944 6897031.50636746, -8680.83878194221 6897030.322977941, -8680.330470051898 6897029.126974011, -8679.822472958325 6897027.951630384, -8679.294619689577 6897026.776474549, -8678.756380015187 6897025.600405961, -8678.20814714132 6897024.434268569, -8677.65132269117 6897023.27051754, -8677.07514879883 6897022.128258027, -8676.477040843087 6897020.982071377, -8675.8779808598 6897019.843580066, -8675.271146294921 6897018.699747608, -8674.64465164616 6897017.585773185, -8674.00534840685 6897016.457243424, -8673.367587857963 6897015.340976158, -8672.709149645803 6897014.223891046, -8673.570635510436 6897013.716109494, -8674.230791760447 6897014.836109374, -8674.234188233922 6897014.841961894, -8674.874080812042 6897015.961960834, -8674.874985062732 6897015.963550278, -8675.515121781482 6897017.093551338, -8675.515885277648 6897017.094903993, -8676.145768090148 6897018.214902934, -8676.151650946327 6897018.225670397, -8676.761758368208 6897019.375671918, -8676.76255085036 6897019.377171821, -8677.36240436598 6897020.517171211, -8677.363198828476 6897020.518687349, -8677.963296484726 6897021.668686969, -8677.966441798539 6897021.674817118, -8678.546519923539 6897022.824816737, -8678.5511273683 6897022.834193312, -8679.110941821431 6897024.004193381, -8679.112401805654 6897024.007271608, -8679.662450633774 6897025.177271688, -8679.664609211946 6897025.181925012, -8680.204648274446 6897026.361925312, -8680.20610107428 6897026.365129462, -8680.73613037116 6897027.545129772, -8680.738994739098 6897027.551629834, -8681.249004504718 6897028.731630144, -8681.250203106192 6897028.734426659, -8681.760212871812 6897029.934425509, -8681.762389243602 6897029.939627576, -8682.252379477983 6897031.129628116, -8682.255607086698 6897031.137663706, -8682.725577789817 6897032.337664465, -8682.726587750716 6897032.340264588, -8683.196558453847 6897033.560265808, -8683.198626961645 6897033.565730441, -8683.648578133514 6897034.775729521, -8683.649805165795 6897034.779065479, -8684.089990712675 6897035.989064569, -8684.091692005868 6897035.993815643, -8684.521623646498 6897037.213816863, -8684.524400627011 6897037.2219176395, -8684.93431273638 6897038.45191718, -8684.936560974866 6897038.458830493, -8685.326697693616 6897039.688830032, -8685.327074952136 6897039.690024621, -8685.716967530256 6897040.930026301, -8685.71769755077 6897040.932368095, -8686.0978245039 6897042.1623676345, -8686.100304410324 6897042.17064488, -8686.460167691574 6897043.410642751, -8686.461452710833 6897043.415149397, -8686.811550367083 6897044.665149397, -8686.813530892443 6897044.672431918, -8687.143364876823 6897045.922431918, -8687.144285452185 6897045.925973175, -8687.464353811554 6897047.175973175, -8687.465496472421 6897047.180524514, -8687.775555066171 6897048.440526644, -8687.777488880623 6897048.448678978, -8688.067334794203 6897049.717833693, -8688.35717775877 6897050.966988557, -8688.35997513958 6897050.979806088, -8688.619731542434 6897052.24975765, -8688.879732093665 6897053.5197130935, -8688.88119748319 6897053.52715772, -8689.12118771756 6897054.79715818, -8688.13857790744 6897054.9828405995, -8687.899292124066 6897053.716568013))</t>
  </si>
  <si>
    <t>['FV616 S3D10 m140-146']</t>
  </si>
  <si>
    <t>LINESTRING Z (-8349.67993164063 6897628.48999024 7.336, -8349.830078125 6897627.96002197 7.336, -8350.15991210937 6897626.7199707 7.346, -8350.77001953125 6897624.25 7.356, -8351.1201171875 6897622.76000977 7.356)</t>
  </si>
  <si>
    <t>POLYGON ((-8349.347914080803 6897627.827605729, -8349.675568581444 6897626.595748495, -8350.283926309674 6897624.132861289, -8350.633373064042 6897622.645641251, -8351.606861310958 6897622.87437829, -8351.256763654708 6897624.36436852, -8351.255430360587 6897624.369901321, -8350.645322938706 6897626.839872021, -8350.643111586729 6897626.848494103, -8350.31327760236 6897628.088545373, -8350.31114415266 6897628.096313852, -8350.16099766829 6897628.626282122, -8349.19886561297 6897628.353698358, -8349.347914080803 6897627.827605729))</t>
  </si>
  <si>
    <t>['FV616 S3D10 m1712-1720']</t>
  </si>
  <si>
    <t>LINESTRING Z (-8501.919921875 6896647.94000244 4.256, -8509.88989257813 6896646.20001221 4.316)</t>
  </si>
  <si>
    <t>POLYGON ((-8509.783245413579 6896645.711518216, -8509.996539742682 6896646.688506204, -8502.026569039552 6896648.428496433, -8501.813274710448 6896647.451508446, -8509.783245413579 6896645.711518216))</t>
  </si>
  <si>
    <t>['FV616 S3D10 m1778-1786']</t>
  </si>
  <si>
    <t>LINESTRING Z (-8565.22998046875 6896634.05999756 4.806, -8566.25 6896633.82998657 4.816, -8568.69995117188 6896633.25 4.846, -8571.169921875 6896632.64001465 4.876, -8573.63989257812 6896632.01000977 4.916)</t>
  </si>
  <si>
    <t>POLYGON ((-8566.137411768232 6896633.342820272, -8568.582417410398 6896632.764004476, -8571.048192569511 6896632.15505526, -8573.516316223717 6896631.525521499, -8573.763468932522 6896632.494498041, -8571.293498229403 6896633.1245029215, -8571.289800584755 6896633.1254310645, -8568.819829881635 6896633.735416414, -8568.815134526134 6896633.736551945, -8566.365183354254 6896634.3165385155, -8566.359986656484 6896634.317739516, -8565.339967125234 6896634.547750506, -8565.119993812266 6896633.572244615, -8566.137411768232 6896633.342820272))</t>
  </si>
  <si>
    <t>['FV616 S3D10 m2116-2125']</t>
  </si>
  <si>
    <t>LINESTRING Z (-8471.18994140625 6896400.9699707 8.346, -8469.830078125 6896398.83001709 8.386, -8468.4599609375 6896396.70001221 8.436, -8467.06005859375 6896394.58001709 8.476, -8466.01000976563 6896393.03997803 8.506)</t>
  </si>
  <si>
    <t>POLYGON ((-8469.408816179655 6896399.099350119, -8468.041068013212 6896396.973028155, -8466.644859914724 6896394.858627556, -8465.59689886557 6896393.321650507, -8466.423120665691 6896392.758305553, -8467.473169493811 6896394.298344613, -8467.47729944489 6896394.304499265, -8468.87720178864 6896396.424494385, -8468.880475772095 6896396.429517711, -8470.250592959595 6896398.559522591, -8470.252080758777 6896398.561849647, -8471.611944040027 6896400.701803258, -8470.767938772473 6896401.238138143, -8469.408816179655 6896399.099350119))</t>
  </si>
  <si>
    <t>['FV616 S3D10 m2968-2978']</t>
  </si>
  <si>
    <t>LINESTRING Z (-7758.81005859375 6895970.45996094 10.106, -7757.46997070313 6895968.31005859 10.056, -7756.1201171875 6895966.18005371 10.006, -7754.75 6895964.06005859 9.956, -7753.35009765625 6895961.93994141 9.906)</t>
  </si>
  <si>
    <t>POLYGON ((-7757.04663904667 6895968.57612961, -7755.698975392369 6895966.449580227, -7754.331399051913 6895964.333516583, -7752.932849511226 6895962.2154481895, -7753.767345801274 6895961.66443463, -7755.167248145024 6895963.7845518105, -7755.169933575344 6895963.788662584, -7756.540050762844 6895965.908657704, -7756.542450487862 6895965.912407332, -7757.8923040034915 6895968.042412212, -7757.894288976989 6895968.045570401, -7759.234376867609 6895970.195472751, -7758.385740319891 6895970.72444913, -7757.04663904667 6895968.57612961))</t>
  </si>
  <si>
    <t>['FV616 S3D10 m2883-2900']</t>
  </si>
  <si>
    <t>LINESTRING Z (-7802.4599609375 6896043.40997314 12.056, -7801.03002929688 6896041.38000488 12.006, -7799.60009765625 6896039.34002686 11.946, -7798.2099609375 6896037.28997803 11.886, -7796.830078125 6896035.22998047 11.826, -7795.47998046875 6896033.15002442 11.776, -7794.1298828125 6896031.05999756 11.716, -7792.80004882813 6896028.96002197 11.656)</t>
  </si>
  <si>
    <t>POLYGON ((-7800.6212621733575 6896041.667944872, -7800.620597006887 6896041.66699826, -7799.190665366257 6896039.62702024, -7799.186269015306 6896039.620643781, -7797.796132296556 6896037.570594951, -7797.794546525356 6896037.568242053, -7796.414663712856 6896035.508244492, -7796.410683758673 6896035.502208986, -7795.060586102423 6896033.422252936, -7795.059987216369 6896033.421328065, -7793.709889560119 6896031.331301206, -7793.707459585626 6896031.327501985, -7792.377625601255 6896029.227526395, -7793.222472055004 6896028.692517545, -7794.551099611189 6896030.790588033, -7795.899674846679 6896032.8782581, -7797.2475043235545 6896034.9547198005, -7798.624585791636 6896037.010535293, -7800.011752816571 6896039.056204686, -7801.439129534336 6896041.092537786, -7802.868728061022 6896043.122033148, -7802.051193813978 6896043.697913132, -7800.6212621733575 6896041.667944872))</t>
  </si>
  <si>
    <t>['FV616 S3D10 m2802-2845']</t>
  </si>
  <si>
    <t>LINESTRING Z (-7859.9599609375 6896097 12.876, -7857.85009765625 6896095.69000244 12.876, -7855.77001953125 6896094.35998535 12.876, -7853.69995117187 6896093 12.876, -7851.64990234375 6896091.61999512 12.876, -7849.6201171875 6896090.20001221 12.876, -7847.61010742187 6896088.77001953 12.866, -7845.61010742188 6896087.30999756 12.866, -7843.6298828125 6896085.83001709 12.856, -7841.67993164063 6896084.32000732 12.846, -7839.73999023438 6896082.7800293 12.836, -7837.82006835937 6896081.2199707 12.826, -7835.919921875 6896079.65002442 12.806, -7834.0400390625 6896078.03997803 12.796, -7832.17993164063 6896076.40997314 12.776, -7830.34008789062 6896074.76000977 12.746, -7828.52001953125 6896073.09002686 12.726, -7826.72998046875 6896071.39001465 12.696)</t>
  </si>
  <si>
    <t>POLYGON ((-7857.586354132499 6896096.114783976, -7857.580747962972 6896096.111251467, -7855.500669837972 6896094.781234377, -7855.4954792706 6896094.777870077, -7853.425410911221 6896093.417884727, -7853.420740107051 6896093.414778473, -7851.37069127893 6896092.034773593, -7851.363288590902 6896092.029693249, -7849.333503434652 6896090.6097103385, -7849.330267475321 6896090.607427409, -7847.320257709692 6896089.177434729, -7847.3152987762505 6896089.173860913, -7845.31529877626 6896087.713838943, -7845.310779382084 6896087.71050065, -7843.330554772704 6896086.2305201795, -7843.323749297693 6896086.2253426155, -7841.373798125823 6896084.715332845, -7841.36906035668 6896084.711618153, -7839.42911895043 6896083.1716401335, -7839.42467905999 6896083.168074224, -7837.504757184981 6896081.608015625, -7837.501596281223 6896081.605425673, -7835.601449796853 6896080.035479392, -7835.594675475566 6896080.02978063, -7833.714792663066 6896078.4197342405, -7833.710510799681 6896078.416024734, -7831.850403377811 6896076.786019844, -7831.846108854703 6896076.782212777, -7830.006265104694 6896075.1322494075, -7830.002051063379 6896075.128426794, -7828.181982704009 6896073.458443884, -7828.175700684885 6896073.452579659, -7826.385661622385 6896071.75256745, -7827.074299315115 6896071.027461851, -7828.861222580632 6896072.724514968, -7830.676028572431 6896074.389669453, -7832.511618103601 6896076.0358176585, -7834.3674369026 6896077.662064445, -7836.2418063152 6896079.2673888225, -7838.136965287571 6896080.833214302, -7840.053091600572 6896082.390188766, -7841.98844523655 6896083.926524889, -7843.932635723092 6896085.432073681, -7845.907185158539 6896086.907812639, -7847.902447517646 6896088.364376079, -7849.908353452918 6896089.791449147, -7851.9328375471105 6896091.2077235775, -7853.976835582294 6896092.583655323, -7856.04197487681 6896093.940402395, -7858.116655975031 6896095.266968587, -7860.223704461251 6896096.575218463, -7859.696217413749 6896097.424781537, -7857.586354132499 6896096.114783976))</t>
  </si>
  <si>
    <t>['FV616 S3D10 m2687-2710']</t>
  </si>
  <si>
    <t>LINESTRING Z (-7963.97998046875 6896146.77001953 10.266, -7959.03002929687 6896144.5300293 10.456, -7949.89990234375 6896140.36999512 10.806, -7942.89990234375 6896137.20001221 11.076)</t>
  </si>
  <si>
    <t>POLYGON ((-7958.823889855781 6896144.985558148, -7958.822715868794 6896144.98502506, -7949.693114100418 6896140.825230175, -7942.693639302083 6896137.655485105, -7943.106165385417 6896136.744539315, -7950.106165385417 6896139.914522225, -7950.107215771826 6896139.914999359, -7959.236755825533 6896144.0747661255, -7964.186119909839 6896146.314490682, -7963.773841027661 6896147.225548378, -7958.823889855781 6896144.985558148))</t>
  </si>
  <si>
    <t>['FV616 S3D10 m2511-2518']</t>
  </si>
  <si>
    <t>LINESTRING Z (-8124.71997070313 6896217.30999756 7.196, -8124.14990234375 6896217.07000733 7.176, -8121.830078125 6896216.13000488 7.126, -8119.51000976563 6896215.19000244 7.086, -8118.52001953125 6896214.78997803 7.066)</t>
  </si>
  <si>
    <t>POLYGON ((-8123.9590064723025 6896217.532143808, -8121.642314851919 6896216.5934107, -8119.322471403114 6896215.653499384, -8118.332699169605 6896215.253563062, -8118.707339892895 6896214.326392998, -8119.697330127275 6896214.726417407, -8122.01783361264 6896215.666595906, -8124.337674805917 6896216.606605234, -8124.34390437183 6896216.609178497, -8124.9139727312095 6896216.849168728, -8124.52596867505 6896217.770826393, -8123.9590064723025 6896217.532143808))</t>
  </si>
  <si>
    <t>['FV616 S3D10 m4098-4129']</t>
  </si>
  <si>
    <t>LINESTRING Z (-6847.6201171875 6895327.61999512 9.745, -6845.990234375 6895325.67004395 9.785, -6844.33984375 6895323.73999023 9.825, -6842.68994140625 6895321.83996582 9.865, -6841 6895319.93994141 9.895, -6839.2998046875 6895318.06005859 9.925, -6837.580078125 6895316.19995117 9.955, -6835.83984375 6895314.34997559 9.995, -6834.08984375 6895312.5300293 10.025, -6832.31005859375 6895310.70996094 10.055, -6830.509765625 6895308.93005371 10.085, -6828.7099609375 6895307.16003418 10.115, -6826.89013671875 6895305.40002441 10.135, -6826.10009765625 6895304.66003418 10.135)</t>
  </si>
  <si>
    <t>POLYGON ((-6845.608399717868 6895325.992859942, -6843.961068427827 6895324.066383969, -6842.314362014958 6895322.170039987, -6840.627775704009 6895320.273787757, -6838.930809921838 6895318.397475785, -6837.214408390233 6895316.540964818, -6835.477532007545 6895314.694558988, -6833.730888014115 6895312.878102842, -6831.9555223721745 6895311.062554027, -6830.158702135074 6895309.286080205, -6828.360860468893 6895307.517991209, -6826.5454132166715 6895305.762214543, -6825.758292179686 6895305.024957482, -6826.441903132814 6895304.295110878, -6827.231942195314 6895305.035101108, -6827.237734166196 6895305.040613761, -6829.057558384946 6895306.8006235305, -6829.060552219727 6895306.803543292, -6830.860356907227 6895308.573562822, -6830.861300176172 6895308.574492943, -6832.661593144922 6895310.354400173, -6832.667545947686 6895310.360385781, -6834.447331103936 6895312.1804541405, -6834.450255172683 6895312.183469627, -6836.200255172683 6895314.003415917, -6836.204034036955 6895314.007389199, -6837.944268411955 6895315.857364779, -6837.947213705771 6895315.8605230255, -6839.666940268271 6895317.7206304455, -6839.670636464027 6895317.724672553, -6841.370831776527 6895319.604555373, -6841.37360399553 6895319.607646278, -6843.06354540178 6895321.507670688, -6843.067469656593 6895321.5121359555, -6844.717372000343 6895323.412160365, -6844.719855211371 6895323.415042097, -6846.370245836371 6895325.345095817, -6846.373868203514 6895325.349380442, -6848.003751016014 6895327.299331612, -6847.236483358986 6895327.940658628, -6845.608399717868 6895325.992859942))</t>
  </si>
  <si>
    <t>['FV616 S3D10 m4953-4963']</t>
  </si>
  <si>
    <t>LINESTRING Z (-6062.3701171875 6895060.7199707 28.024, -6059.89013671875 6895060.29003906 27.934, -6054.93017578125 6895059.45996094 27.764, -6052.43994140625 6895059.05004883 27.674)</t>
  </si>
  <si>
    <t>POLYGON ((-6059.806167573598 6895060.782939974, -6054.8483052746 6895059.953213073, -6052.358730367538 6895059.543409517, -6052.521152444962 6895058.556688143, -6055.011386819962 6895058.966600253, -6055.012705901206 6895058.966819197, -6059.972666838706 6895059.796897316, -6059.975543264083 6895059.7973873345, -6062.455523732833 6895060.227318975, -6062.284710642167 6895061.2126224255, -6059.806167573598 6895060.782939974))</t>
  </si>
  <si>
    <t>['FV616 S3D10 m544-556']</t>
  </si>
  <si>
    <t>LINESTRING Z (-8546.6298828125 6897290.26998901 6.776, -8547.669921875 6897289.47000122 6.816, -8551.64990234375 6897286.3999939 6.966, -8555.6201171875 6897283.32000733 7.116)</t>
  </si>
  <si>
    <t>POLYGON ((-8547.364806401603 6897289.073889285, -8551.343970929682 6897286.004511352, -8555.313640534083 6897282.924947764, -8555.926593840917 6897283.715066896, -8551.956378997167 6897286.795053466, -8551.95528764898 6897286.795897696, -8547.97530718023 6897289.865905016, -8547.974767138636 6897289.866320997, -8546.934728076136 6897290.666308787, -8546.325037548864 6897289.873669233, -8547.364806401603 6897289.073889285))</t>
  </si>
  <si>
    <t>['FV560 S2D100 m1329-1336']</t>
  </si>
  <si>
    <t>LINESTRING Z (-48120.7700195313 6721546.03997803 34.887, -48121.1900024414 6721543.79998779 34.877, -48121.700012207 6721541.57000732 35.047, -48121.5800170898 6721539.94000244 35.057, -48120.4000244141 6721537.70001221 34.887)</t>
  </si>
  <si>
    <t>POLYGON ((-48120.69856574153 6721543.707846757, -48120.70258743317 6721543.688513085, -48121.19584504785 6721541.531780171, -48121.08902505907 6721540.0807452705, -48119.957650833676 6721537.933047863, -48120.84239799452 6721537.466976557, -48122.02239067022 6721539.706966787, -48122.04397666772 6721539.753611694, -48122.06066009238 6721539.802226157, -48122.07226465343 6721539.852296475, -48122.078667727685 6721539.903293567, -48122.19866284489 6721541.533298447, -48122.19984377384 6721541.582984407, -48122.196086188495 6721541.632542149, -48122.187427215234 6721541.6814820245, -48121.6796192282 6721543.901835379, -48121.26145623117 6721546.132119063, -48120.27858283143 6721545.947836997, -48120.69856574153 6721543.707846757))</t>
  </si>
  <si>
    <t>['FV560 S2D100 m1327-1335']</t>
  </si>
  <si>
    <t>LINESTRING Z (-48118.4000244141 6721538.59997559 34.737, -48118.8200073242 6721539.17999268 34.737, -48119.0599975586 6721540.05999756 34.917, -48119.1799926758 6721540.96002197 34.947, -48118.3800048828 6721542.39001465 34.957, -48118.1500244141 6721543.59997559 34.957, -48117.7199707031 6721544.82000732 34.997, -48117.6599731445 6721546.52001953 34.997)</t>
  </si>
  <si>
    <t>POLYGON ((-48119.2249881581 6721538.886751271, -48119.24973519423 6721538.924387599, -48119.270994715516 6721538.964098325, -48119.28859418732 6721539.00556117, -48119.302390778845 6721539.048439639, -48119.54238101325 6721539.928444519, -48119.55561209595 6721539.993920103, -48119.675607213154 6721540.893944512, -48119.67957774427 6721540.939656328, -48119.679341099254 6721540.98553965, -48119.67489927094 6721541.031208078, -48119.66628966547 6721541.076277025, -48119.65358478725 6721541.120366948, -48119.63689162842 6721541.163106551, -48119.61635076779 6721541.20413591, -48118.85603677102 6721542.5632109605, -48118.64123009563 6721543.69334035, -48118.632784334775 6721543.7301403275, -48118.621585743305 6721543.76619807, -48118.21696166885 6721544.914087733, -48118.15966204622 6721546.537654765, -48117.16028424278 6721546.502384296, -48117.22028180138 6721544.802372085, -48117.22462041221 6721544.751977257, -48117.23402836293 6721544.70227864, -48117.2484093739 6721544.653784839, -48117.66588414248 6721543.469438673, -48117.88879920127 6721542.29664989, -48117.90163881721 6721542.244529574, -48117.91999185658 6721542.194086052, -48117.94364679081 6721542.1459007105, -48118.662385369345 6721540.861142473, -48118.56880681367 6721540.159255711, -48118.36159440426 6721539.399441747, -48117.995043580195 6721538.893216999, -48118.805005248 6721538.30673418, -48119.2249881581 6721538.886751271))</t>
  </si>
  <si>
    <t>['FV560 S2D100 m1346-1347']</t>
  </si>
  <si>
    <t>LINESTRING Z (-48123.7800292969 6721526.90997314 34.737, -48124.2100219727 6721528.01000977 34.667, -48124.75 6721528.78997803 34.707, -48125.5 6721529.7199707 34.887, -48126.2399902344 6721529.91998291 34.807)</t>
  </si>
  <si>
    <t>POLYGON Z ((-48123.7800292969 6721526.90997314 34.737, -48124.2100219727 6721528.01000977 34.667, -48124.75 6721528.78997803 34.707, -48125.5 6721529.7199707 34.887, -48126.2399902344 6721529.91998291 34.807, -48123.7800292969 6721526.90997314 34.737))</t>
  </si>
  <si>
    <t>['FV560 S2D100 m1348-1349']</t>
  </si>
  <si>
    <t>LINESTRING Z (-48127.3400268555 6721528.36999512 34.957, -48126.8800048828 6721527.5 34.747, -48125.8699951172 6721526.72998047 34.527)</t>
  </si>
  <si>
    <t>POLYGON ((-48126.48940120698 6721527.830944354, -48125.56685189921 6721527.1276036445, -48126.173138335194 6721526.332357295, -48127.18314810079 6721527.102376825, -48127.224334286846 6721527.137457228, -48127.26148915144 6721527.17678219, -48127.29417769498 6721527.219891304, -48127.3220172082 6721527.2662798595, -48127.7820391809 6721528.136274979, -48126.898014530096 6721528.6037152605, -48126.48940120698 6721527.830944354))</t>
  </si>
  <si>
    <t>2014-05-22</t>
  </si>
  <si>
    <t>[602]</t>
  </si>
  <si>
    <t>['FV602 S1D1 m37-41']</t>
  </si>
  <si>
    <t>LINESTRING Z (-13698.5100097656 6798363.06994629 17.349, -13700.1600036621 6798361.84997559 17.709, -13703.5299987793 6798360.14001465 18.269, -13704.8999938965 6798359.18994141 18.549, -13707.3299865723 6798357.45996094 18.919, -13710.8099975586 6798355.2800293 19.509, -13713.4400024414 6798353.5300293 19.959, -13716.2300109863 6798351.92004395 20.379, -13718.5400085449 6798350.31005859 20.719, -13719.9100036621 6798349.07995606 20.999, -13721.4800109863 6798347.83996582 21.239, -13722.6199951172 6798346.5300293 21.549, -13723.4899902344 6798345.2199707 21.759, -13724.3099975586 6798343.76000977 21.929, -13725.3800048828 6798341.68994141 22.199, -13725.9299926758 6798340.75 22.199, -13726.549987793 6798340.61999512 22.159, -13726.8200073242 6798339.94995117 22.139, -13727.0400085449 6798339.56005859 22.339, -13727.9899902344 6798339.55004883 22.399, -13728.7799987793 6798339.10998535 22.339, -13730.4200134277 6798339.06005859 22.399, -13731.8599853516 6798338.69995117 22.559, -13734.0799865723 6798338.38000488 22.649, -13736.6000061035 6798338.33996582 22.619, -13739.2799987793 6798338.38000488 22.859, -13740.200012207 6798338.76000977 22.869, -13741.3699951172 6798339.29003906 22.849, -13742.4100036621 6798339.40002441 22.969)</t>
  </si>
  <si>
    <t>POLYGON ((-13699.86274353021 6798361.447935276, -13699.89733458351 6798361.424528819, -13699.933758440066 6798361.404090964, -13703.27321073548 6798359.709627683, -13704.612525289676 6798358.780831002, -13707.04000366305 6798357.052640535, -13707.06455603383 6798357.036231511, -13710.538738789299 6798354.859950763, -13713.16301806121 6798353.113760573, -13713.19009870424 6798353.096961034, -13715.961623719057 6798351.497641678, -13718.228862493928 6798349.917457655, -13719.575955583547 6798348.707918587, -13719.600102884244 6798348.68757677, -13721.133480121522 6798347.476516937, -13722.221469099146 6798346.226327169, -13723.063167122946 6798344.958878982, -13723.86980766118 6798343.522716601, -13724.935833238018 6798341.460351449, -13724.948453254872 6798341.437427663, -13725.498441047872 6798340.497486253, -13725.523681089999 6798340.458605259, -13725.55241344772 6798340.42222885, -13725.58439116153 6798340.388669689, -13725.619339377678 6798340.358216222, -13725.656957710444 6798340.331130202, -13725.696922824023 6798340.307644437, -13725.738891211635 6798340.287960791, -13725.782502148026 6798340.27224845, -13725.827380790046 6798340.2606424615, -13726.186036290994 6798340.185437086, -13726.35624831375 6798339.763061951, -13726.384547638278 6798339.704238203, -13726.604548858977 6798339.314345623, -13726.629859896366 6798339.27408991, -13726.658880598787 6798339.236420693, -13726.691348483186 6798339.201678678, -13726.726969887795 6798339.170178097, -13726.765422628256 6798339.142203861, -13726.806358911666 6798339.11800899, -13726.849408482263 6798339.097812318, -13726.894181970269 6798339.081796518, -13726.940274413613 6798339.070106447, -13726.987268920699 6798339.062847838, -13727.034740441035 6798339.060086343, -13727.857672411148 6798339.0514152795, -13728.536683201788 6798338.673181584, -13728.579470391662 6798338.651958751, -13728.62408732475 6798338.63491523, -13728.670126888926 6798338.62220654, -13728.71716899116 6798338.6139486395, -13728.764784390662 6798338.610216881, -13730.35096207681 6798338.561929073, -13731.738681257637 6798338.214888992, -13731.788662318066 6798338.205064289, -13734.008663538765 6798337.885117999, -13734.072043378525 6798337.880067978, -13736.592062909724 6798337.840028918, -13736.607475264216 6798337.840021612, -13739.287467940017 6798337.880060672, -13739.334455036287 6798337.8829792105, -13739.380959365835 6798337.890303992, -13739.426568657536 6798337.901970079, -13739.470878575037 6798337.91787405, -13740.390892002737 6798338.297878941, -13740.406338892251 6798338.304565703, -13741.502821913777 6798338.801297844, -13742.46258756932 6798338.902797166, -13742.35741975488 6798339.897251654, -13741.31741120998 6798339.787266304, -13741.264772616902 6798339.778841909, -13741.213330105673 6798339.764861209, -13741.16366843195 6798339.745483127, -13740.001352690822 6798339.218927243, -13739.177219915706 6798338.878525162, -13736.600243196086 6798338.8400251595, -13734.119780550018 6798338.879435725, -13731.956549464689 6798339.191200309, -13730.541317521664 6798339.545120768, -13730.488667581028 6798339.555322769, -13730.435227816339 6798339.559827059, -13728.916931256384 6798339.60604837, -13728.233305811913 6798339.986852596, -13728.18869436142 6798340.008869786, -13728.142115789144 6798340.026344763, -13728.094031211478 6798340.039104527, -13728.044916653856 6798340.047022762, -13727.995258338266 6798340.050021077, -13727.333714514822 6798340.0569916265, -13727.271540694292 6798340.167177885, -13727.01374680345 6798340.806884339, -13726.993212065383 6798340.851408699, -13726.968415115945 6798340.893707698, -13726.939594411944 6798340.933374574, -13726.907027104113 6798340.970027876, -13726.871026371933 6798341.003315131, -13726.831938411995 6798341.032916237, -13726.790139108823 6798341.0585465375, -13726.746030420247 6798341.079959562, -13726.700036512008 6798341.096949397, -13726.652599678753 6798341.1093526585, -13726.24958174586 6798341.193860256, -13725.8181665582 6798341.931158438, -13724.754169203381 6798343.989599731, -13724.745940989918 6798344.00486345, -13723.92593366572 6798345.46482438, -13723.906510305063 6798345.496576974, -13723.036515187863 6798346.8066355735, -13722.997168266276 6798346.858267652, -13721.857184135377 6798348.1682041725, -13721.825041652008 6798348.201841268, -13721.789911764157 6798348.232345111, -13720.232299387408 6798349.462545834, -13718.874056623454 6798350.682096063, -13718.82590332936 6798350.720258751, -13716.51590577076 6798352.330244111, -13716.47991472346 6798352.353112215, -13713.70371431694 6798353.955129525, -13711.08698193879 6798355.6962980265, -13711.075428097069 6798355.703758729, -13707.607935695762 6798357.875848538, -13705.18997680575 6798359.597261815, -13705.184926231314 6798359.600810689, -13703.814931114113 6798360.550883929, -13703.756244001335 6798360.585899276, -13700.42359235226 6798362.276911858, -13698.80726989749 6798363.471986604, -13698.212749633709 6798362.667905976, -13699.86274353021 6798361.447935276))</t>
  </si>
  <si>
    <t>['FV602 S1D1 m37-40']</t>
  </si>
  <si>
    <t>LINESTRING Z (-13741.4400024414 6798341.13000488 22.759, -13740.5 6798341.69995117 22.769, -13739.6400146484 6798342.20996094 22.999, -13738.8299865723 6798342.7800293 23.029, -13737.1199951172 6798342.76000977 22.729, -13735.3800048828 6798343.06005859 22.459, -13733 6798343.08996582 22.339, -13733.5100097656 6798342.05004883 21.919)</t>
  </si>
  <si>
    <t>POLYGON Z ((-13741.4400024414 6798341.13000488 22.759, -13740.5 6798341.69995117 22.769, -13739.6400146484 6798342.20996094 22.999, -13738.8299865723 6798342.7800293 23.029, -13737.1199951172 6798342.76000977 22.729, -13735.3800048828 6798343.06005859 22.459, -13733 6798343.08996582 22.339, -13733.5100097656 6798342.05004883 21.919, -13741.4400024414 6798341.13000488 22.759))</t>
  </si>
  <si>
    <t>['FV602 S1D1 m37-38']</t>
  </si>
  <si>
    <t>LINESTRING Z (-13727.5899963379 6798339.77001953 21.559, -13727.3299865723 6798339.81994629 21.499, -13727.1400146484 6798339.84997559 21.529)</t>
  </si>
  <si>
    <t>POLYGON ((-13727.42427346344 6798340.310975802, -13727.408053419387 6798340.313814255, -13727.218081495486 6798340.343843555, -13727.061947801312 6798339.356107624, -13727.243786337702 6798339.327363987, -13727.495709446759 6798339.278990018, -13727.68428322904 6798340.261049042, -13727.42427346344 6798340.310975802))</t>
  </si>
  <si>
    <t>['FV602 S1D1 m40-41']</t>
  </si>
  <si>
    <t>LINESTRING Z (-13723.8599853516 6798349.56994629 21.579, -13722.6099853516 6798351.31005859 21.269, -13721.1400146484 6798352.47998047 20.859, -13718.799987793 6798353.84997559 20.529, -13716.8500061035 6798355.16003418 20.269, -13714.1400146484 6798356.68994141 19.979, -13711.3200073242 6798358.43005371 19.399, -13709.9200134277 6798359.18994141 19.229, -13708.7699890137 6798359.86999512 18.929, -13706.2399902344 6798361.77001953 18.519, -13703.8900146484 6798363.36999512 18.199, -13702.2699890137 6798364.48999023 17.809, -13701.3099975586 6798365.54003906 17.389, -13700.6499938965 6798365.25 16.849)</t>
  </si>
  <si>
    <t>POLYGON ((-13723.016071073404 6798351.601768011, -13722.987593626243 6798351.637796276, -13722.955930674258 6798351.671059744, -13722.921349326356 6798351.701277806, -13721.451378623155 6798352.871199686, -13721.392634916041 6798352.911469752, -13719.065968838171 6798354.273642654, -13717.12883837373 6798355.57506739, -13717.095812223717 6798355.595441289, -13714.394296768187 6798357.120563452, -13711.582572766334 6798358.855564449, -13711.558526832296 6798358.869494769, -13710.166607226523 6798359.624999911, -13709.048209994622 6798360.2863512505, -13706.540245577993 6798362.169827895, -13706.52138478706 6798362.183319791, -13704.172884039393 6798363.78229124, -13702.600849500817 6798364.8691079905, -13701.679021273372 6798365.877413478, -13701.645091857203 6798365.9111344805, -13701.60809524079 6798365.941458755, -13701.56837006322 6798365.968108737, -13701.526279938782 6798365.990840493, -13701.4822101287 6798366.009445952, -13701.436564014752 6798366.023754816, -13701.389759407004 6798366.03363611, -13701.342224719507 6798366.038999389, -13701.294395048906 6798366.039795562, -13701.246708191902 6798366.036017342, -13701.199600637983 6798366.02769931, -13701.153503574142 6798366.014917605, -13701.108838938193 6798365.99778922, -13700.448835276095 6798365.70775016, -13700.851152516907 6798364.79224984, -13701.182904402323 6798364.938038432, -13701.900965298926 6798364.152615812, -13701.941225231154 6798364.113274985, -13701.985651998093 6798364.078708743, -13703.605677632793 6798362.958713633, -13703.60862009574 6798362.956694859, -13705.949008806365 6798361.363246472, -13708.469733670107 6798359.470186755, -13708.515487390843 6798359.43961282, -13709.665511804844 6798358.75955911, -13709.681493919605 6798358.750500351, -13711.069271207585 6798357.997243573, -13713.877449206266 6798356.264430671, -13713.894208528181 6798356.2545343, -13716.587291299918 6798354.734172752, -13718.521155522769 6798353.43494238, -13718.547367525358 6798353.418486307, -13720.856584830679 6798352.066528986, -13722.244359532684 6798350.962025349, -13723.453899629798 6798349.278236869, -13724.266071073404 6798349.861655711, -13723.016071073404 6798351.601768011))</t>
  </si>
  <si>
    <t>['FV165 S2D1 m6019-6023']</t>
  </si>
  <si>
    <t>LINESTRING Z (243807.213638642 6632007.20333397 -999999, 243811.431528452 6632006.96231169 -999999)</t>
  </si>
  <si>
    <t>POLYGON ((243811.46005334792 6632007.461497357, 243811.40300355607 6632006.463126022, 243807.18511374606 6632006.704148303, 243807.2421635379 6632007.7025196375, 243811.46005334792 6632007.461497357))</t>
  </si>
  <si>
    <t>['FV165 S2D1 m6005-6010']</t>
  </si>
  <si>
    <t>LINESTRING Z (243819.987819208 6632006.84180056 -999999, 243823.964686743 6632006.48026714 -999999)</t>
  </si>
  <si>
    <t>POLYGON ((243824.009954617 6632006.978213743, 243823.91941886902 6632005.982320537, 243819.942551334 6632006.343853957, 243820.033087082 6632007.3397471635, 243824.009954617 6632006.978213743))</t>
  </si>
  <si>
    <t>['FV165 S2D1 m5854-5859']</t>
  </si>
  <si>
    <t>LINESTRING Z (243857.828316356 6632120.72482541 -999999, 243857.346271806 6632126.02731546 -999999)</t>
  </si>
  <si>
    <t>POLYGON ((243856.84832520277 6632125.982047587, 243857.8442184092 6632126.072583334, 243858.32626295922 6632120.770093284, 243857.33036975277 6632120.679557537, 243856.84832520277 6632125.982047587))</t>
  </si>
  <si>
    <t>['FV165 S2D1 m5812-5816']</t>
  </si>
  <si>
    <t>LINESTRING Z (243858.069338631 6632165.67547967 -999999, 243859.274450005 6632169.04979151 -999999)</t>
  </si>
  <si>
    <t>POLYGON ((243858.80357904933 6632169.217959709, 243859.74532096068 6632168.881623311, 243858.54020958667 6632165.507311471, 243857.59846767533 6632165.843647869, 243858.80357904933 6632169.217959709))</t>
  </si>
  <si>
    <t>2014-03-03</t>
  </si>
  <si>
    <t>['EV39 S21D1 m1197-1496']</t>
  </si>
  <si>
    <t>LINESTRING Z (127776.82 6993937.01 127776.823, 127776 6993936.45 127776.003, 127775.17 6993935.87 127775.173, 127774.35 6993935.3 127774.353, 127773.52 6993934.73 127773.523, 127772.71 6993934.16 127772.713, 127771.88 6993933.59 127771.883, 127771.06 6993933.02 127771.063, 127770.23 6993932.45 127770.233, 127769.41 6993931.87 127769.413, 127768.6 6993931.3 127768.603, 127767.77 6993930.73 127767.773, 127766.95 6993930.16 127766.953, 127766.12 6993929.58 127766.123, 127765.3 6993929.02 127765.303, 127764.47 6993928.45 127764.473, 127763.66 6993927.87 127763.663, 127762.83 6993927.31 127762.833, 127762.01 6993926.73 127762.013, 127761.18 6993926.16 127761.183, 127760.36 6993925.59 127760.363, 127759.54 6993925.02 127759.543, 127758.72 6993924.45 127758.723, 127757.89 6993923.88 127757.893, 127757.07 6993923.31 127757.073, 127756.24 6993922.73 127756.243, 127755.43 6993922.17 127755.433, 127754.61 6993921.59 127754.613, 127753.78 6993921.02 127753.783, 127752.96 6993920.44 127752.963, 127752.13 6993919.88 127752.133, 127751.32 6993919.31 127751.323, 127750.49 6993918.73 127750.493, 127749.67 6993918.17 127749.673, 127748.84 6993917.59 127748.843, 127748.02 6993917.02 127748.023, 127747.19 6993916.45 127747.193, 127746.38 6993915.88 127746.383, 127745.55 6993915.31 127745.553, 127744.73 6993914.74 127744.733, 127743.9 6993914.17 127743.903, 127743.08 6993913.59 127743.083, 127742.26 6993913.03 127742.263, 127741.44 6993912.45 127741.443, 127740.61 6993911.88 127740.613, 127739.79 6993911.31 127739.793, 127738.97 6993910.74 127738.973, 127738.15 6993910.17 127738.153, 127737.33 6993909.59 127737.333, 127736.5 6993909.03 127736.503, 127735.68 6993908.45 127735.683, 127734.85 6993907.88 127734.853, 127734.04 6993907.31 127734.043, 127733.21 6993906.74 127733.213, 127732.39 6993906.17 127732.393, 127731.56 6993905.6 127731.563, 127730.74 6993905.03 127730.743, 127729.91 6993904.45 127729.913, 127729.1 6993903.89 127729.103, 127728.27 6993903.31 127728.273, 127727.45 6993902.74 127727.453, 127726.62 6993902.18 127726.623, 127725.8 6993901.6 127725.803, 127724.99 6993901.03 127724.993, 127724.16 6993900.45 127724.163, 127723.34 6993899.89 127723.343, 127722.51 6993899.31 127722.513, 127721.69 6993898.74 127721.693, 127720.87 6993898.17 127720.873, 127720.05 6993897.6 127720.053, 127719.22 6993897.03 127719.223, 127718.4 6993896.46 127718.402, 127717.57 6993895.89 127717.572, 127716.76 6993895.31 127716.762, 127715.93 6993894.75 127715.932, 127715.11 6993894.17 127715.112, 127714.28 6993893.6 127714.282, 127713.46 6993893.04 127713.462, 127712.64 6993892.46 127712.642, 127711.82 6993891.89 127711.822, 127710.99 6993891.32 127710.992, 127710.17 6993890.75 127710.172, 127709.35 6993890.17 127709.352, 127708.53 6993889.6 127708.532, 127707.71 6993889.04 127707.712, 127706.88 6993888.46 127706.882, 127706.06 6993887.89 127706.062, 127705.23 6993887.32 127705.232, 127704.42 6993886.75 127704.422, 127703.59 6993886.17 127703.592, 127702.77 6993885.61 127702.772, 127701.94 6993885.03 127701.942, 127701.12 6993884.46 127701.122, 127700.29 6993883.9 127700.292, 127699.48 6993883.32 127699.482, 127698.65 6993882.75 127698.652, 127697.83 6993882.18 127697.832, 127697 6993881.61 127697.002, 127696.18 6993881.03 127696.182, 127695.36 6993880.47 127695.362, 127694.54 6993879.9 127694.542, 127693.72 6993879.32 127693.722, 127692.89 6993878.75 127692.892, 127692.07 6993878.18 127692.072, 127691.25 6993877.61 127691.252, 127690.43 6993877.03 127690.432, 127689.6 6993876.47 127689.602, 127688.78 6993875.89 127688.782, 127687.95 6993875.32 127687.952, 127687.14 6993874.76 127687.142, 127686.31 6993874.18 127686.312, 127685.49 6993873.61 127685.492, 127684.66 6993873.04 127684.662, 127683.84 6993872.47 127683.842, 127683.01 6993871.89 127683.012, 127682.2 6993871.32 127682.202, 127681.37 6993870.76 127681.372, 127680.55 6993870.18 127680.552, 127679.73 6993869.61 127679.732, 127678.9 6993869.04 127678.902, 127678.09 6993868.47 127678.092, 127677.26 6993867.89 127677.262, 127676.44 6993867.33 127676.442, 127675.61 6993866.76 127675.612, 127674.79 6993866.18 127674.792, 127673.97 6993865.62 127673.972, 127673.15 6993865.04 127673.152, 127672.32 6993864.47 127672.322, 127671.5 6993863.9 127671.502, 127670.67 6993863.33 127670.672, 127669.86 6993862.75 127669.862, 127669.03 6993862.19 127669.032, 127668.21 6993861.62 127668.212, 127667.38 6993861.04 127667.382, 127666.56 6993860.47 127666.562, 127665.74 6993859.9 127665.742, 127664.92 6993859.33 127664.922, 127664.1 6993858.75 127664.102, 127663.27 6993858.19 127663.272, 127662.45 6993857.62 127662.452, 127661.62 6993857.04 127661.622, 127660.81 6993856.48 127660.812, 127659.98 6993855.9 127659.982, 127659.16 6993855.33 127659.162, 127658.33 6993854.76 127658.332, 127657.51 6993854.19 127657.512, 127656.69 6993853.61 127656.692, 127655.87 6993853.05 127655.872, 127655.04 6993852.48 127655.042, 127654.22 6993851.9 127654.222, 127653.39 6993851.34 127653.392, 127652.58 6993850.76 127652.582, 127651.75 6993850.19 127651.752, 127650.93 6993849.61 127650.932, 127650.11 6993849.05 127650.112, 127649.28 6993848.48 127649.282, 127648.47 6993847.9 127648.472, 127647.64 6993847.34 127647.642, 127646.82 6993846.76 127646.822, 127645.99 6993846.19 127645.992, 127645.17 6993845.62 127645.172, 127644.35 6993845.05 127644.352, 127643.53 6993844.48 127643.532, 127642.7 6993843.91 127642.702, 127641.88 6993843.34 127641.882, 127641.05 6993842.76 127641.052, 127640.24 6993842.2 127640.242, 127639.41 6993841.62 127639.412, 127638.59 6993841.05 127638.592, 127637.76 6993840.48 127637.762, 127636.94 6993839.91 127636.942, 127636.11 6993839.34 127636.112, 127635.3 6993838.76 127635.302, 127634.48 6993838.2 127634.482, 127633.65 6993837.62 127633.652, 127632.83 6993837.05 127632.832, 127632 6993836.48 127632.002, 127631.19 6993835.91 127631.192, 127630.36 6993835.34 127630.362, 127629.54 6993834.77 127629.542, 127628.71 6993834.2 127628.712, 127627.89 6993833.62 127627.892, 127627.07 6993833.06 127627.072, 127626.25 6993832.48 127626.252, 127625.42 6993831.91 127625.422, 127624.6 6993831.33 127624.602, 127623.77 6993830.77 127623.772, 127622.96 6993830.2 127622.962, 127622.13 6993829.62 127622.132, 127621.31 6993829.06 127621.312, 127620.49 6993828.48 127620.492, 127619.66 6993827.91 127619.662, 127618.84 6993827.34 127618.842, 127618.02 6993826.77 127618.022, 127617.2 6993826.2 127617.202, 127616.37 6993825.63 127616.372, 127615.55 6993825.06 127615.552, 127614.72 6993824.48 127614.722, 127613.91 6993823.92 127613.912, 127613.08 6993823.34 127613.082, 127612.26 6993822.77 127612.262, 127611.43 6993822.21 127611.432, 127610.61 6993821.63 127610.612, 127609.79 6993821.06 127609.792, 127608.97 6993820.48 127608.972, 127608.14 6993819.92 127608.142, 127607.32 6993819.34 127607.322, 127606.49 6993818.77 127606.492, 127605.68 6993818.2 127605.682, 127604.86 6993817.63 127604.862, 127604.03 6993817.06 127604.032, 127603.21 6993816.49 127603.212, 127602.38 6993815.92 127602.382, 127601.57 6993815.34 127601.572, 127600.74 6993814.78 127600.742, 127599.92 6993814.2 127599.922, 127599.09 6993813.63 127599.092, 127598.27 6993813.07 127598.272, 127597.44 6993812.49 127597.442, 127596.63 6993811.92 127596.632, 127595.8 6993811.35 127595.802, 127594.98 6993810.78 127594.982, 127594.15 6993810.2 127594.152, 127593.33 6993809.63 127593.332, 127592.51 6993809.07 127592.512, 127591.69 6993808.49 127591.692, 127590.87 6993807.92 127590.872, 127590.04 6993807.35 127590.042, 127589.22 6993806.78 127589.222, 127588.4 6993806.2 127588.402, 127587.58 6993805.64 127587.582, 127586.75 6993805.07 127586.752, 127585.92 6993804.5 127585.922, 127585.09 6993803.95 127585.092, 127584.26 6993803.39 127584.262, 127583.41 6993802.85 127583.412, 127582.58 6993802.3 127582.582, 127581.73 6993801.76 127581.732, 127580.89 6993801.22 127580.892, 127580.03 6993800.7 127580.032, 127579.18 6993800.17 127579.182, 127578.33 6993799.65 127578.332, 127577.46 6993799.14 127577.462, 127576.6 6993798.63 127576.602, 127575.74 6993798.12 127575.742, 127574.87 6993797.62 127574.872, 127574 6993797.13 127574.002, 127573.12 6993796.64 127573.122, 127572.25 6993796.15 127572.252, 127571.37 6993795.67 127571.372, 127570.49 6993795.2 127570.492, 127569.61 6993794.73 127569.612, 127568.72 6993794.26 127568.722, 127567.83 6993793.8 127567.832, 127566.93 6993793.35 127566.932, 127566.03 6993792.9 127566.032, 127565.14 6993792.47 127565.142, 127564.24 6993792.03 127564.242, 127563.34 6993791.59 127563.342, 127562.43 6993791.16 127562.432, 127561.52 6993790.74 127561.522, 127560.61 6993790.32 127560.612, 127559.7 6993789.92 127559.702, 127558.79 6993789.51 127558.792, 127557.86 6993789.1 127557.862, 127556.94 6993788.71 127556.942, 127556.02 6993788.32 127556.022, 127555.1 6993787.93 127555.102, 127554.17 6993787.56 127554.172, 127553.24 6993787.18 127553.242, 127552.3 6993786.81 127552.302, 127551.38 6993786.45 127551.382, 127550.44 6993786.08 127550.442, 127549.5 6993785.74 127549.502, 127548.56 6993785.39 127548.562, 127547.62 6993785.05 127547.622, 127546.68 6993784.71 127546.682, 127545.73 6993784.38 127545.732, 127544.78 6993784.05 127544.782, 127543.84 6993783.73 127543.842, 127542.88 6993783.42 127542.882, 127541.93 6993783.11 127541.932, 127540.97 6993782.81 127540.972, 127540.02 6993782.51 127540.022, 127539.06 6993782.22 127539.062, 127538.11 6993781.93 127538.112, 127537.14 6993781.65 127537.142, 127536.18 6993781.37 127536.182, 127535.21 6993781.1 127535.212, 127534.25 6993780.84 127534.252, 127533.28 6993780.57 127533.282, 127532.32 6993780.31 127532.322, 127531.35 6993780.04 127531.352, 127530.38 6993779.78 127530.382, 127529.41 6993779.52 127529.412, 127528.45 6993779.27 127528.452, 127527.48 6993779.02 127527.482, 127526.51 6993778.76 127526.512, 127525.54 6993778.51 127525.542, 127524.57 6993778.26 127524.572, 127523.59 6993778.01 127523.592)</t>
  </si>
  <si>
    <t>POLYGON ((127776.28419845237 6993936.038613988, 127775.45639967397 6993935.460152191, 127775.45538553098 6993935.459445377, 127774.63538553099 6993934.889445377, 127774.6330536218 6993934.887834199, 127773.80540945612 6993934.319452061, 127772.9977467032 6993933.751096791, 127772.9930536221 6993933.7478342, 127772.1642218867 6993933.178636502, 127771.34538553098 6993932.609445376, 127771.3430536218 6993932.6078341985, 127770.51590667162 6993932.039793522, 127769.69873236034 6993931.46179218, 127769.6977467032 6993931.461096791, 127768.8877467032 6993930.89109679, 127768.8830536218 6993930.887834199, 127768.0542218004 6993930.318636443, 127767.23589298871 6993929.749798122, 127766.40639967397 6993929.170152191, 127766.40198082326 6993929.167099509, 127765.58251784739 6993928.607466257, 127764.75710131839 6993928.040613943, 127763.9510936557 6993927.463472653, 127763.93965065507 6993927.45551778, 127763.1142261478 6993926.898604859, 127762.29873236002 6993926.321792181, 127762.2930536221 6993926.3178342, 127761.4642218867 6993925.748636502, 127760.64538553098 6993925.179445377, 127759.82538553097 6993924.609445376, 127759.00538553066 6993924.039445377, 127759.0030536221 6993924.0378342, 127758.1742218867 6993923.468636502, 127757.3558931812 6993922.899798255, 127756.52639967366 6993922.3201521905, 127756.52434090007 6993922.318721199, 127755.71654489025 6993921.760244945, 127754.89873236034 6993921.18179218, 127754.8930536221 6993921.1778342, 127754.06590669618 6993920.609793539, 127753.24873236004 6993920.031792181, 127753.23965065507 6993920.02551778, 127752.41372611953 6993919.468267491, 127751.6077467032 6993918.90109679, 127751.60639967366 6993918.90015219, 127750.77639967366 6993918.3201521905, 127750.77198082327 6993918.31709951, 127749.95419843875 6993917.7586139785, 127749.12639967397 6993917.180152191, 127749.12538553098 6993917.179445377, 127748.30538553098 6993916.609445376, 127748.3030536218 6993916.6078341985, 127747.47540945612 6993916.039452061, 127746.6677467032 6993915.47109679, 127746.6630536221 6993915.4678342, 127745.83422185997 6993914.898636484, 127745.01538553066 6993914.329445377, 127745.0130536221 6993914.3278342, 127744.18590670683 6993913.759793547, 127743.36873236034 6993913.18179218, 127743.36198082294 6993913.177099509, 127742.5453759009 6993912.6194180995, 127741.72873236034 6993912.04179218, 127741.7230536221 6993912.0378342, 127740.8942218867 6993911.468636502, 127740.07538553097 6993910.899445376, 127739.25538553066 6993910.329445377, 127738.43706375202 6993909.760611945, 127737.61873236034 6993909.18179218, 127737.60965065475 6993909.175517779, 127736.78422613248 6993908.618604848, 127735.96873236033 6993908.04179218, 127735.9630536221 6993908.0378342, 127735.13540949822 6993907.469452091, 127734.32774670317 6993906.90109679, 127734.32305362179 6993906.897834199, 127733.4942218004 6993906.328636442, 127732.67538553098 6993905.759445377, 127732.6730536221 6993905.7578342, 127731.84422185997 6993905.188636484, 127731.02589304914 6993904.619798164, 127730.19639967398 6993904.040152191, 127730.19434090007 6993904.038721199, 127729.3853721077 6993903.479434133, 127728.55639967398 6993902.900152191, 127728.55538553066 6993902.899445376, 127727.73538553066 6993902.329445377, 127727.72965065506 6993902.32551778, 127726.90422615457 6993901.768604863, 127726.08873236034 6993901.19179218, 127726.08774670288 6993901.19109679, 127725.27774670288 6993900.621096791, 127725.27639967398 6993900.620152191, 127724.44639967398 6993900.040152191, 127724.44198082326 6993900.0370995095, 127723.62419843875 6993899.478613978, 127722.79639967397 6993898.900152191, 127722.79538553066 6993898.899445376, 127721.97538553066 6993898.329445377, 127721.15538553098 6993897.759445377, 127720.33538553098 6993897.189445376, 127720.3330536218 6993897.187834199, 127719.5042218004 6993896.618636442, 127718.68538553097 6993896.049445377, 127718.6830536221 6993896.0478342, 127717.85710134283 6993895.48061396, 127717.05109365568 6993894.903472653, 127717.03965065474 6993894.895517779, 127716.21422613249 6993894.338604848, 127715.39873236034 6993893.76179218, 127715.3930536221 6993893.7578342, 127714.5630536221 6993893.1878341995, 127714.56198082294 6993893.187099509, 127713.74537590091 6993892.629418099, 127712.92873236033 6993892.05179218, 127712.92538553098 6993892.049445377, 127712.10538553099 6993891.479445376, 127712.1030536218 6993891.477834199, 127711.2742218004 6993890.908636442, 127710.45706375202 6993890.340611945, 127709.63873236034 6993889.76179218, 127709.63538553099 6993889.759445377, 127708.81538553098 6993889.189445376, 127708.81198082294 6993889.187099509, 127707.99419845238 6993888.628613988, 127707.16639967398 6993888.050152191, 127707.16538553099 6993888.049445377, 127706.34538553098 6993887.479445376, 127706.3430536218 6993887.477834199, 127705.51540945611 6993886.909452061, 127704.70774670319 6993886.3410967905, 127704.70639967397 6993886.340152191, 127703.87639967397 6993885.760152191, 127703.87198082294 6993885.757099509, 127703.05419845237 6993885.198613988, 127702.22639967398 6993884.620152191, 127702.22538553098 6993884.619445377, 127701.40538553098 6993884.049445377, 127701.39965065474 6993884.045517779, 127700.57542759062 6993883.489415471, 127699.7710936557 6993882.913472653, 127699.7630536221 6993882.9078342, 127698.9342218867 6993882.338636502, 127698.11538553098 6993881.7694453765, 127698.1130536218 6993881.767834199, 127697.2859066716 6993881.199793522, 127696.46873236033 6993880.62179218, 127696.46198082325 6993880.61709951, 127695.64368801376 6993880.058265395, 127694.82706377012 6993879.490611958, 127694.00873236034 6993878.9117921805, 127694.0030536221 6993878.9078342, 127693.1742218867 6993878.338636502, 127692.35538553099 6993877.7694453765, 127691.53706377011 6993877.200611958, 127690.71873236033 6993876.62179218, 127690.70965065506 6993876.61551778, 127689.88422615458 6993876.0586048635, 127689.06873236033 6993875.48179218, 127689.0630536218 6993875.477834199, 127688.23369776297 6993874.908276562, 127687.4253721077 6993874.349434133, 127686.59639967397 6993873.770152191, 127686.59538553066 6993873.7694453765, 127685.77538553067 6993873.199445377, 127685.7730536221 6993873.1978342, 127684.9442218867 6993872.628636502, 127684.12589298871 6993872.059798121, 127683.2970739531 6993871.480623374, 127682.48774670287 6993870.911096791, 127682.47965065506 6993870.90551778, 127681.65422615457 6993870.3486048635, 127680.83873236034 6993869.77179218, 127680.83538553066 6993869.7694453765, 127680.01538553066 6993869.199445377, 127680.0130536221 6993869.1978342, 127679.18540949881 6993868.629452091, 127678.37774670319 6993868.06109679, 127678.37639967397 6993868.060152191, 127677.54639967397 6993867.480152191, 127677.54198082293 6993867.477099509, 127676.72251771577 6993866.917466168, 127675.89590670684 6993866.349793547, 127675.07873236033 6993865.77179218, 127675.07198082293 6993865.767099509, 127674.2553759009 6993865.209418099, 127673.43873236033 6993864.63179218, 127673.4330536221 6993864.6278342, 127672.60422185998 6993864.058636484, 127671.78538553066 6993863.489445377, 127671.7830536221 6993863.4878342, 127670.95710134317 6993862.92061396, 127670.1510936557 6993862.343472653, 127670.13965065475 6993862.335517779, 127669.3125317267 6993861.777461635, 127668.49589298872 6993861.209798122, 127667.66639967398 6993860.630152191, 127667.66538553099 6993860.629445377, 127666.84538553098 6993860.0594453765, 127666.02538553067 6993859.489445377, 127665.20706375202 6993858.920611945, 127664.38873236034 6993858.34179218, 127664.37965065475 6993858.335517779, 127663.55253172669 6993857.777461635, 127662.73589298871 6993857.209798122, 127661.90639967397 6993856.630152191, 127661.90434089974 6993856.628721198, 127661.09537201207 6993856.069434066, 127660.26639967397 6993855.490152191, 127660.26538553098 6993855.489445377, 127659.44538553098 6993854.919445377, 127659.4430536221 6993854.9178342, 127658.61422185997 6993854.348636484, 127657.79706377012 6993853.780611958, 127656.97873236034 6993853.201792181, 127656.97198082326 6993853.19709951, 127656.15251784738 6993852.637466257, 127655.32590667161 6993852.069793522, 127654.50873236034 6993851.491792181, 127654.49965065507 6993851.48551778, 127653.67542760808 6993850.929415483, 127652.8710936557 6993850.353472653, 127652.8630536218 6993850.347834199, 127652.0359066716 6993849.779793522, 127651.21873236033 6993849.201792181, 127651.21198082325 6993849.19709951, 127650.39251784739 6993848.637466257, 127649.56710131839 6993848.070613943, 127648.7610936557 6993847.493472653, 127648.74965065507 6993847.48551778, 127647.92422615457 6993846.928604864, 127647.10873236034 6993846.35179218, 127647.1030536218 6993846.347834199, 127646.2742218004 6993845.7786364425, 127645.45538553098 6993845.209445377, 127644.63538553099 6993844.639445377, 127643.81538553066 6993844.069445377, 127643.8130536221 6993844.0678342, 127642.9842218867 6993843.498636502, 127642.16589298872 6993842.929798122, 127641.33639967398 6993842.350152191, 127641.33434089975 6993842.348721198, 127640.52537201208 6993841.789434066, 127639.69639967398 6993841.210152191, 127639.69538553098 6993841.209445377, 127638.87538553098 6993840.639445377, 127638.87305362179 6993840.637834199, 127638.04422180039 6993840.068636443, 127637.22538553098 6993839.499445377, 127637.2230536221 6993839.4978342, 127636.39710134317 6993838.93061396, 127635.5910936557 6993838.353472653, 127635.58198082294 6993838.347099509, 127634.76419845237 6993837.788613988, 127633.93639967397 6993837.210152191, 127633.93538553097 6993837.209445377, 127633.11538553098 6993836.639445377, 127633.1130536218 6993836.637834199, 127632.28540945612 6993836.069452061, 127631.4777467032 6993835.501096791, 127631.4730536221 6993835.4978342, 127630.6442218867 6993834.928636502, 127629.82538553097 6993834.359445376, 127629.82305362179 6993834.3578341985, 127628.99590667163 6993833.789793522, 127628.17873236033 6993833.21179218, 127628.17198082326 6993833.207099509, 127627.35537588308 6993832.649418087, 127626.53873236003 6993832.071792181, 127626.5330536221 6993832.0678342, 127625.70590670683 6993831.499793547, 127624.88873236034 6993830.92179218, 127624.87965065507 6993830.91551778, 127624.0537261116 6993830.358267485, 127623.24774670288 6993829.791096791, 127623.24639967398 6993829.790152191, 127622.41639967398 6993829.210152191, 127622.41198082326 6993829.207099509, 127621.59537588307 6993828.649418087, 127620.77873236004 6993828.071792181, 127620.7730536221 6993828.0678342, 127619.9442218867 6993827.498636502, 127619.12538553098 6993826.929445377, 127618.30538553098 6993826.359445376, 127617.48538553066 6993825.789445377, 127617.4830536221 6993825.7878342, 127616.6542218867 6993825.218636502, 127615.8358931812 6993824.649798255, 127615.00639967366 6993824.0701521905, 127615.00434090006 6993824.068721199, 127614.1953721077 6993823.509434133, 127613.36639967398 6993822.930152191, 127613.36538553098 6993822.929445377, 127612.54538553098 6993822.359445376, 127612.53965065474 6993822.355517779, 127611.71422613249 6993821.798604848, 127610.89873236034 6993821.22179218, 127610.89538553098 6993821.219445377, 127610.07706373415 6993820.650611932, 127609.25873236003 6993820.071792181, 127609.24965065507 6993820.06551778, 127608.42422615457 6993819.508604864, 127607.60873236034 6993818.93179218, 127607.60305362211 6993818.9278342, 127606.77540948537 6993818.359452082, 127605.96774670287 6993817.791096791, 127605.96538553097 6993817.789445377, 127605.14538553098 6993817.219445377, 127605.1430536221 6993817.2178342, 127604.31422185997 6993816.648636484, 127603.49538553067 6993816.079445377, 127603.4930536221 6993816.0778342, 127602.66710134318 6993815.51061396, 127601.86109365571 6993814.933472653, 127601.84965065475 6993814.925517779, 127601.02422613249 6993814.368604848, 127600.20873236033 6993813.79179218, 127600.2030536221 6993813.7878342, 127599.3730536221 6993813.2178342, 127599.37198082294 6993813.217099509, 127598.55419845237 6993812.658613988, 127597.72707399917 6993812.080623406, 127596.9177467032 6993811.51109679, 127596.9130536221 6993811.5078342, 127596.08422185997 6993810.938636484, 127595.26589304913 6993810.369798164, 127594.43639967397 6993809.790152191, 127594.43538553097 6993809.789445377, 127593.61538553098 6993809.219445377, 127593.61198082294 6993809.217099509, 127592.7953759009 6993808.6594181, 127591.97873236034 6993808.08179218, 127591.97538553098 6993808.079445377, 127591.15538553098 6993807.509445377, 127591.1530536221 6993807.5078342, 127590.32422185996 6993806.938636484, 127589.50706377013 6993806.370611958, 127588.68873236033 6993805.79179218, 127588.68198082325 6993805.7870995095, 127587.86251784739 6993805.227466257, 127587.0330536218 6993804.657834199, 127586.2030536221 6993804.0878342, 127586.19619018213 6993804.083203907, 127585.36792522392 6993803.534353633, 127584.53965065506 6993802.97551778, 127584.52811639589 6993802.967964932, 127583.68217849861 6993802.430545562, 127582.85619018214 6993801.883203907, 127582.84811639588 6993801.8779649325, 127581.99924954021 6993801.338684812, 127581.16037879567 6993800.799410762, 127581.14870966929 6993800.792134007, 127580.29164241224 6993800.2739072945, 127579.44455064561 6993799.745720663, 127579.44092794407 6993799.743483168, 127578.59092794408 6993799.2234831685, 127578.58285975012 6993799.218651015, 127577.71395056251 6993798.709290456, 127575.99503825854 6993797.689935486, 127575.98914193793 6993797.686493028, 127575.11914193792 6993797.186493028, 127575.11536832903 6993797.184346029, 127574.24536832904 6993796.694346028, 127574.24324283631 6993796.693155723, 127573.36430697348 6993796.203748253, 127572.49536832867 6993795.714346029, 127572.48942606551 6993795.711052214, 127571.60942606551 6993795.231052213, 127571.60555420423 6993795.22896234, 127570.72555420424 6993794.758962341, 127569.84555420424 6993794.288962341, 127569.84348723385 6993794.287864601, 127568.95348723386 6993793.817864601, 127568.94957567712 6993793.815820972, 127568.05957567712 6993793.3558209725, 127568.05360679782 6993793.352786404, 127567.15360679782 6993792.902786404, 127566.25360679746 6993792.452786405, 127566.24751598516 6993792.449792497, 127565.35856165508 6993792.020297708, 127564.4596050658 6993791.58080782, 127563.55960506616 6993791.14080782, 127563.55361597954 6993791.137928973, 127562.64361597954 6993790.707928973, 127562.6395290887 6993790.706020308, 127561.72952908871 6993790.286020308, 127560.8195290887 6993789.866020308, 127560.81120072734 6993789.862268346, 127559.90330000866 6993789.463191107, 127558.99539061365 6993789.054133028, 127558.99169897928 6993789.052487681, 127558.06169897929 6993788.642487681, 127558.0551464146 6993788.639654611, 127556.2151464146 6993787.859654612, 127555.295146415 6993787.469654611, 127555.2848337245 6993787.4654179355, 127554.3569821368 6993787.09627268, 127553.429122615 6993786.717147284, 127553.42313241561 6993786.714744674, 127552.48313241561 6993786.344744674, 127552.48219967404 6993786.344378609, 127551.56266590522 6993785.984561048, 127550.62313241561 6993785.614744674, 127550.61006804077 6993785.609811887, 127549.67227218203 6993785.27060913, 127548.7344686798 6993784.921426974, 127548.73006804076 6993784.919811887, 127546.85006804076 6993784.239811887, 127546.84406746566 6993784.237684568, 127544.94406746567 6993783.577684568, 127544.94113189861 6993783.576675046, 127544.0011318986 6993783.256675047, 127543.99364619571 6993783.254192428, 127543.03437787776 6993782.944428699, 127542.08510861386 6993782.634667151, 127542.0791374969 6993782.632760012, 127541.11985194159 6993782.332983275, 127540.17056568389 6993782.033208667, 127540.16458850831 6993782.03136218, 127539.205285247 6993781.741572653, 127538.25598137392 6993781.451785155, 127538.24866824612 6993781.449613575, 127537.27933437194 6993781.169805859, 127536.32000000011 6993780.890000001, 127536.31407803169 6993780.888312258, 127535.3440780317 6993780.618312257, 127535.34070773776 6993780.617386813, 127534.38239451365 6993780.357843649, 127533.41407803127 6993780.088312257, 127533.41070773819 6993780.087386815, 127532.45239462204 6993779.827843678, 127531.48407803128 6993779.558312257, 127531.47945099733 6993779.557048202, 127530.50945099733 6993779.297048202, 127529.53945099775 6993779.037048202, 127529.53600575971 6993779.036137883, 127528.5760057597 6993778.786137883, 127528.57478804034 6993778.785822403, 127527.60712247796 6993778.536424062, 127526.63945099732 6993778.277048201, 127526.63478804033 6993778.275822403, 127525.66478804033 6993778.025822403, 127524.69478804035 6993777.775822403, 127524.69359287183 6993777.775515942, 127523.71359287182 6993777.525515942, 127523.46640712817 6993778.494484058, 127524.44580934674 6993778.744331562, 127525.41521195965 6993778.994177597, 127526.38287752203 6993779.243575937, 127527.35054900267 6993779.502951798, 127527.35521195966 6993779.504177596, 127528.32460314655 6993779.754020686, 127529.28227001484 6993780.0034131, 127530.25054900226 6993780.262951798, 127531.21823244632 6993780.522330866, 127532.18592196873 6993780.791687743, 127532.18929226181 6993780.792613185, 127533.14760537796 6993781.052156322, 127534.11592196873 6993781.321687743, 127534.11929226224 6993781.322613186, 127535.0776055944 6993781.58215638, 127536.0429557943 6993781.850862106, 127536.99999999988 6993782.13, 127537.00133175388 6993782.130386425, 127537.96766691003 6993782.4093285315, 127538.91401862608 6993782.698214845, 127538.91541149169 6993782.69863782, 127539.87241710421 6993782.987733265, 127540.81943431612 6993783.286791332, 127540.8208625031 6993783.287239988, 127541.77787095052 6993783.586305129, 127542.72489138614 6993783.89533285, 127542.72635380429 6993783.895807573, 127543.68260111945 6993784.204595769, 127544.61739878709 6993784.522824761, 127546.51292548675 6993785.181270878, 127548.38772781797 6993785.85939087, 127549.3255313202 6993786.208573026, 127549.32993195923 6993786.210188113, 127550.2633653373 6993786.547812952, 127551.1968675844 6993786.915255326, 127551.19780032597 6993786.915621391, 127552.11733409479 6993787.275438951, 127553.05386472718 6993787.644073349, 127553.98087738501 6993788.022852715, 127553.98516627551 6993788.024582064, 127554.9099863188 6993788.392521221, 127555.82485358501 6993788.780345389, 127557.66156715046 6993789.558952225, 127558.58645188279 6993789.966697107, 127559.49460938634 6993790.375866972, 127559.49879927265 6993790.377731654, 127560.40461793316 6993790.775893703, 127561.31047091131 6993791.193979693, 127562.21842316783 6993791.61303458, 127563.12337992244 6993792.040651508, 127564.02039493385 6993792.479192181, 127564.9203949342 6993792.91919218, 127564.92248401484 6993792.920207503, 127565.80942844493 6993793.348731217, 127566.70639320253 6993793.797213595, 127567.60339862829 6993794.245716308, 127568.48846406017 6993794.703165858, 127569.37547787298 6993795.171588883, 127570.25444579577 6993795.64103766, 127571.13250527455 6993796.110001245, 127572.00759165086 6993796.587321087, 127572.87463167132 6993797.075653971, 127572.87675716369 6993797.076844277, 127573.75569299432 6993797.566251729, 127574.62274017025 6993798.054588644, 127575.48789817373 6993798.551805887, 127577.20496174147 6993799.570064514, 127577.20714024988 6993799.571348985, 127578.07308344301 6993800.078970857, 127578.91725595244 6993800.595405804, 127579.76544935438 6993801.124279337, 127579.77129033071 6993801.1278659925, 127580.62540574362 6993801.6443078695, 127581.45962120433 6993802.180589237, 127581.46188360412 6993802.182035067, 127582.30782150106 6993802.719454437, 127583.13380981787 6993803.2667960925, 127583.14188360411 6993803.272035067, 127583.98606440902 6993803.808338166, 127584.81034934493 6993804.36448222, 127584.81380981786 6993804.366796093, 127585.64035892862 6993804.914509359, 127586.4669463779 6993805.4821658, 127587.2969463782 6993806.052165801, 127587.29801917674 6993806.05290049, 127588.1146241079 6993806.610581907, 127588.93126763967 6993807.18820782, 127588.93461446934 6993807.1905546235, 127589.75461446933 6993807.760554623, 127589.7569463779 6993807.7621658, 127590.5857781133 6993808.331363498, 127591.40293624798 6993808.899388055, 127592.22126763966 6993809.47820782, 127592.22801917706 6993809.482900491, 127593.04631195006 6993810.041734579, 127593.86410701128 6993810.6102018785, 127594.69360032602 6993811.189847809, 127594.69461446934 6993811.1905546235, 127595.51461446934 6993811.760554623, 127595.5169463779 6993811.7621658, 127596.34459050119 6993812.330547909, 127597.15225329681 6993812.89890321, 127597.15360032603 6993812.899847809, 127597.98360032603 6993813.479847809, 127597.98801917706 6993813.482900491, 127598.80748228423 6993814.042533832, 127599.63409329316 6993814.610206453, 127600.45126763967 6993815.18820782, 127600.46034934526 6993815.194482221, 127601.28457240938 6993815.750584529, 127602.0889063443 6993816.326527347, 127602.0969463779 6993816.3321658, 127602.92577814004 6993816.901363516, 127603.74461446934 6993817.470554623, 127603.7469463779 6993817.4721658, 127604.5757781133 6993818.041363498, 127605.39343153263 6993818.609732338, 127606.20225329713 6993819.178903209, 127606.2069463779 6993819.1821658, 127607.03409329317 6993819.750206453, 127607.85126763966 6993820.32820782, 127607.86034934493 6993820.33448222, 127608.68577385221 6993820.891395141, 127609.50126763996 6993821.468207819, 127609.50461446901 6993821.470554623, 127610.32293624798 6993822.039388055, 127611.14126763966 6993822.61820782, 127611.15034934525 6993822.624482221, 127611.97746827331 6993823.182538365, 127612.79410701129 6993823.750201878, 127613.62360032603 6993824.329847809, 127613.62565909994 6993824.331278801, 127614.43462779731 6993824.890565802, 127615.26360032635 6993825.4698478095, 127615.26461446902 6993825.470554623, 127616.08461446901 6993826.040554623, 127616.0869463779 6993826.0421658, 127616.91577814003 6993826.611363516, 127617.73461446934 6993827.180554623, 127618.55461446902 6993827.750554623, 127619.37461446902 6993828.320554623, 127619.3769463779 6993828.3221658, 127620.20409330382 6993828.890206461, 127621.02126763997 6993829.468207819, 127621.02801917674 6993829.47290049, 127621.84580156126 6993830.0313860215, 127622.6729260469 6993830.609376626, 127623.48225329713 6993831.178903209, 127623.49034934494 6993831.18448222, 127624.31577384543 6993831.741395136, 127625.13126763966 6993832.31820782, 127625.1369463779 6993832.3221658, 127625.96409330382 6993832.890206461, 127626.78126763998 6993833.468207819, 127626.78801917675 6993833.47290049, 127627.6046241079 6993834.030581907, 127628.42126763967 6993834.60820782, 127628.42694637821 6993834.612165801, 127629.2557781996 6993835.181363557, 127630.07461446902 6993835.750554623, 127630.0769463779 6993835.7521658, 127630.90459050119 6993836.3205479095, 127631.7122532968 6993836.88890321, 127631.7169463782 6993836.8921658015, 127632.54577819961 6993837.461363558, 127633.36410701128 6993838.030201878, 127634.19360032602 6993838.609847809, 127634.19801917706 6993838.612900491, 127635.01342730531 6993839.169764578, 127635.8189063443 6993839.746527347, 127635.8269463779 6993839.7521658, 127636.6557781133 6993840.321363498, 127637.47461446901 6993840.890554624, 127637.4769463782 6993840.8921658015, 127638.3057781996 6993841.461363558, 127639.12410701129 6993842.030201878, 127639.95360032603 6993842.609847809, 127639.95565910026 6993842.611278802, 127640.76462798793 6993843.170565934, 127641.59360032603 6993843.749847809, 127641.59461446902 6993843.750554623, 127642.41461446902 6993844.320554623, 127642.4169463779 6993844.3221658, 127643.24577814003 6993844.891363516, 127644.06461446935 6993845.460554623, 127644.88461446902 6993846.030554623, 127645.70461446902 6993846.600554624, 127645.70694637821 6993846.602165801, 127646.53409332839 6993847.170206478, 127647.35126763966 6993847.74820782, 127647.36034934493 6993847.75448222, 127648.18457239193 6993848.310584517, 127648.9889063443 6993848.886527347, 127648.9969463782 6993848.8921658015, 127649.8269463782 6993849.462165801, 127649.82801917674 6993849.4629004905, 127650.6446241079 6993850.020581908, 127651.46126763966 6993850.59820782, 127651.4669463782 6993850.602165801, 127652.29289868161 6993851.169386057, 127653.0989063443 6993851.746527347, 127653.11034934493 6993851.75448222, 127653.93577384543 6993852.311395137, 127654.75126763966 6993852.88820782, 127654.7569463782 6993852.8921658015, 127655.5869463782 6993853.462165801, 127655.58801917674 6993853.4629004905, 127656.4046241079 6993854.020581908, 127657.22126763966 6993854.59820782, 127657.22461446933 6993854.600554624, 127658.04461446934 6993855.170554623, 127658.0469463779 6993855.1721658, 127658.8757781133 6993855.741363498, 127659.69410701128 6993856.310201879, 127660.52360032602 6993856.889847809, 127660.52565910025 6993856.891278802, 127661.33462798792 6993857.450565934, 127662.16360032602 6993858.029847809, 127662.16461446902 6993858.030554623, 127662.98461446902 6993858.600554624, 127662.99034934526 6993858.604482221, 127663.8157738675 6993859.161395152, 127664.63126763966 6993859.73820782, 127664.63461446902 6993859.740554623, 127665.45461446902 6993860.310554624, 127666.27461446934 6993860.880554623, 127667.09410701129 6993861.450201878, 127667.92360032603 6993862.029847809, 127667.92461446903 6993862.030554623, 127668.74461446902 6993862.600554624, 127668.75034934525 6993862.604482221, 127669.57457240937 6993863.160584529, 127670.3789063443 6993863.736527347, 127670.3869463779 6993863.7421658, 127671.21577814003 6993864.311363516, 127672.03461446935 6993864.880554623, 127672.0369463779 6993864.8821658, 127672.86409329316 6993865.450206453, 127673.68126763967 6993866.02820782, 127673.68801917706 6993866.032900491, 127674.50462409909 6993866.5905819, 127675.32126763967 6993867.16820782, 127675.3269463779 6993867.1721658, 127676.1569463779 6993867.7421658, 127676.15801917706 6993867.742900491, 127676.97580154763 6993868.301386012, 127677.80292600083 6993868.879376594, 127678.6122532968 6993869.4489032095, 127678.6169463779 6993869.4521658, 127679.44577814003 6993870.021363516, 127680.26293622988 6993870.589388042, 127681.08126763966 6993871.16820782, 127681.09034934493 6993871.17448222, 127681.9162738884 6993871.731732515, 127682.72225329712 6993872.298903209, 127682.72360032602 6993872.299847809, 127683.55360032602 6993872.879847809, 127683.55461446902 6993872.880554623, 127684.37461446902 6993873.450554623, 127684.3769463779 6993873.4521658, 127685.20577814004 6993874.021363516, 127686.02410695086 6993874.590201836, 127686.85360032602 6993875.169847809, 127686.85565909994 6993875.171278801, 127687.66565909993 6993875.731278801, 127687.6669463782 6993875.732165801, 127688.4940933284 6993876.300206478, 127689.31126763967 6993876.87820782, 127689.32034934494 6993876.88448222, 127690.14577384542 6993877.4413951365, 127690.96126763966 6993878.01820782, 127690.96461446934 6993878.020554624, 127691.78461446935 6993878.590554623, 127692.60461446902 6993879.160554623, 127692.6069463779 6993879.1621658, 127693.43409329317 6993879.730206453, 127694.25126763966 6993880.30820782, 127694.25461446933 6993880.310554624, 127695.07461446934 6993880.880554623, 127695.07801917674 6993880.88290049, 127695.8946241079 6993881.4405819075, 127696.71126763966 6993882.01820782, 127696.7169463782 6993882.022165801, 127697.54577819961 6993882.591363558, 127698.36461446901 6993883.160554623, 127698.3669463779 6993883.1621658, 127699.19289865682 6993883.72938604, 127699.99890634429 6993884.306527347, 127700.01034934525 6993884.314482221, 127700.83746827331 6993884.872538365, 127701.65410701129 6993885.440201879, 127702.48360032603 6993886.019847809, 127702.48801917706 6993886.022900491, 127703.30580154763 6993886.581386012, 127704.13292600084 6993887.159376594, 127704.9422532968 6993887.72890321, 127704.9469463782 6993887.732165801, 127705.7757781996 6993888.301363558, 127706.59410701129 6993888.870201878, 127707.42360032603 6993889.449847809, 127707.42801917707 6993889.452900491, 127708.24631195006 6993890.011734579, 127709.06293624798 6993890.579388055, 127709.88126763966 6993891.15820782, 127709.88461446902 6993891.160554623, 127710.70461446902 6993891.7305546235, 127710.70694637821 6993891.732165801, 127711.53577819961 6993892.301363558, 127712.35293624797 6993892.869388055, 127713.17126763967 6993893.44820782, 127713.17801917707 6993893.452900491, 127713.99748228423 6993894.012533831, 127714.82409329317 6993894.580206453, 127715.64126763966 6993895.15820782, 127715.65034934525 6993895.164482221, 127716.47457240963 6993895.720584529, 127717.27890634432 6993896.296527347, 127717.2869463779 6993896.3021658, 127718.1157781133 6993896.871363498, 127718.93461446902 6993897.4405546235, 127718.9369463782 6993897.442165801, 127719.76577819961 6993898.011363558, 127720.58461446901 6993898.580554623, 127721.40461446902 6993899.150554623, 127722.22410695086 6993899.720201836, 127723.05360032602 6993900.299847809, 127723.05801917674 6993900.30290049, 127723.87580156125 6993900.861386022, 127724.7029260469 6993901.439376626, 127725.51175994735 6993902.008556037, 127726.33126763966 6993902.5882078195, 127726.34034934493 6993902.59448222, 127727.16746824919 6993903.152538349, 127727.98410695087 6993903.720201836, 127728.81360032603 6993904.299847809, 127728.81565909994 6993904.301278801, 127729.6246278923 6993904.860565867, 127730.45360032603 6993905.439847809, 127730.45461446934 6993905.4405546235, 127731.27461446934 6993906.010554623, 127731.2769463779 6993906.0121658, 127732.1057781133 6993906.581363498, 127732.92461446903 6993907.150554623, 127732.92694637821 6993907.152165801, 127733.75459054449 6993907.720547939, 127734.56225329683 6993908.288903209, 127734.5669463779 6993908.2921658, 127735.39409329316 6993908.860206453, 127736.21126763966 6993909.43820782, 127736.22034934525 6993909.444482221, 127737.0457738675 6993910.001395152, 127737.86126763966 6993910.57820782, 127737.86461446901 6993910.580554623, 127738.68461446902 6993911.150554623, 127739.50461446933 6993911.720554623, 127740.32461446902 6993912.290554623, 127740.3269463779 6993912.2921658, 127741.15409329317 6993912.860206453, 127741.97126763966 6993913.43820782, 127741.97801917706 6993913.442900491, 127742.7946240991 6993914.000581901, 127743.61126763966 6993914.57820782, 127743.6169463779 6993914.5821658, 127744.44577814003 6993915.151363516, 127745.26461446934 6993915.720554623, 127745.2669463779 6993915.7221658, 127746.09459050119 6993916.290547909, 127746.90225329681 6993916.85890321, 127746.9069463782 6993916.862165801, 127747.73577819961 6993917.431363557, 127748.55410701128 6993918.000201878, 127749.38360032602 6993918.579847809, 127749.38801917674 6993918.582900491, 127750.20580151681 6993919.141385992, 127751.03292614516 6993919.719376695, 127751.84225329681 6993920.288903209, 127751.85034934494 6993920.29448222, 127752.67577385221 6993920.851395141, 127753.49126763997 6993921.428207819, 127753.4969463779 6993921.4321658, 127754.32409329317 6993922.000206453, 127755.14126763966 6993922.57820782, 127755.14565909993 6993922.581278801, 127755.95462779731 6993923.140565802, 127756.78360032635 6993923.7198478095, 127756.78461446903 6993923.720554623, 127757.60461446902 6993924.290554623, 127757.6069463779 6993924.2921658, 127758.43577814003 6993924.861363516, 127759.25461446933 6993925.430554623, 127760.07461446902 6993926.000554623, 127760.89461446901 6993926.570554623, 127760.89694637789 6993926.5721658, 127761.72409330381 6993927.140206461, 127762.54126763997 6993927.718207819, 127762.55034934494 6993927.72448222, 127763.37457239193 6993928.280584517, 127764.1789063443 6993928.856527347, 127764.1869463782 6993928.862165801, 127765.01694637821 6993929.432165801, 127765.01801917674 6993929.43290049, 127765.83580156125 6993929.9913860215, 127766.66360032602 6993930.569847809, 127766.66461446902 6993930.570554623, 127767.48461446902 6993931.140554624, 127767.48694637821 6993931.1421658015, 127768.31459054389 6993931.710547939, 127769.12176000953 6993932.2785560815, 127769.94126763966 6993932.85820782, 127769.9469463782 6993932.862165801, 127770.7757781996 6993933.431363557, 127771.59461446902 6993934.000554623, 127771.5969463779 6993934.0021658, 127772.42459050119 6993934.5705479095, 127773.23225329681 6993935.13890321, 127773.23694637821 6993935.1421658015, 127774.06577819961 6993935.711363558, 127774.88410701128 6993936.280201878, 127775.71360032602 6993936.859847809, 127775.71801917706 6993936.862900491, 127776.53801917707 6993937.42290049, 127777.10198082295 6993936.597099509, 127776.28419845237 6993936.038613988))</t>
  </si>
  <si>
    <t>['EV6 S42D1 m8677-8957', 'EV6 S42D1 m8522 KD3 m0-143']</t>
  </si>
  <si>
    <t>LINESTRING Z (248531.73 6806553.29 178.916, 248540.25 6806463.39 177.856, 248540.9 6806411.45 177.876, 248539.36 6806380.45 179.876, 248538.93 6806339.44 179.876, 248533.4 6806297.82 179.315, 248532.94 6806277.58 179.915)</t>
  </si>
  <si>
    <t>POLYGON ((248540.74776958203 6806463.437174603, 248540.7499608518 6806463.39625673, 248541.3999608518 6806411.4562567305, 248541.39938417808 6806411.425191883, 248539.85986988075 6806380.4349690145, 248539.42997251716 6806339.434757665, 248539.4256440607 6806339.374144362, 248533.8992490278 6806297.781276139, 248533.43987091776 6806277.568639297, 248532.44012908224 6806277.591360703, 248532.90012908223 6806297.831360703, 248532.90435593927 6806297.885855638, 248538.4303466371 6806339.475680746, 248538.86002748282 6806380.455242336, 248538.8606158219 6806380.474808117, 248540.39984465644 6806411.459284657, 248539.75029574265 6806463.3632394, 248531.23223041798 6806553.242825396, 248532.22776958204 6806553.337174604, 248540.74776958203 6806463.437174603))</t>
  </si>
  <si>
    <t>2014-09-09</t>
  </si>
  <si>
    <t>[709]</t>
  </si>
  <si>
    <t>['FV709 S1D1 m3461-3597']</t>
  </si>
  <si>
    <t>LINESTRING Z (252268.27 7027723.34 39.824, 252271.38 7027733.56 39.694, 252273.53 7027743.26 39.604, 252275.77 7027754.4 39.384, 252276.92 7027762.53 39.384, 252279.57 7027773.36 39.294, 252279.88 7027780.99 39.074, 252281.49 7027790.55 39.024, 252283.76 7027799.36 39.114, 252289.37 7027811.68 38.994, 252293.87 7027819.55 39.044, 252297.39 7027827.88 38.904, 252303.25 7027834.98 38.864, 252309.41 7027840.48 38.844, 252313.53 7027843.69 38.674)</t>
  </si>
  <si>
    <t>POLYGON ((252270.89603015513 7027733.687070106, 252273.04078197814 7027743.363392284, 252275.2769566046 7027754.484367883, 252276.42492829196 7027762.600028594, 252276.43432809398 7027762.648839386, 252279.0724422724 7027773.4302645, 252279.38041217063 7027781.010297802, 252279.38694313908 7027781.073035727, 252280.99694313906 7027790.633035727, 252281.00581418863 7027790.674756162, 252283.27581418864 7027799.484756162, 252283.2885790471 7027799.526620183, 252283.30495600437 7027799.567207534, 252288.91495600436 7027811.887207533, 252288.93594632574 7027811.92818825, 252293.42108571174 7027819.772198688, 252296.929432476 7027828.07462157, 252296.9503826638 7027828.118194453, 252296.9754432853 7027828.159540212, 252297.0043800229 7027828.198272263, 252302.8643800229 7027835.298272263, 252302.88964679895 7027835.326620211, 252302.91699211535 7027835.352968832, 252309.07699211536 7027840.852968832, 252309.10269841945 7027840.874418229, 252313.22269841944 7027844.084418229, 252313.83730158056 7027843.295581772, 252309.73051399266 7027840.095875909, 252303.61139547656 7027834.632377233, 252297.82212809168 7027827.618077159, 252294.330567524 7027819.355378429, 252294.30405367425 7027819.301811749, 252289.81549328633 7027811.451818359, 252284.2332339477 7027799.1927390285, 252281.97951190078 7027790.445914696, 252280.37830495145 7027780.938126848, 252280.06958782938 7027773.339702198, 252280.06508766647 7027773.290084319, 252280.05567190604 7027773.241160614, 252277.4115864435 7027762.435332102, 252276.26507170804 7027754.329971407, 252276.26018853058 7027754.301434264, 252274.0201885306 7027743.161434263, 252274.01815266328 7027743.151801214, 252271.8681526633 7027733.451801213, 252271.85834260823 7027733.4144378165, 252268.74834260822 7027723.194437817, 252267.79165739176 7027723.485562183, 252270.89603015513 7027733.687070106))</t>
  </si>
  <si>
    <t>2014-09-10</t>
  </si>
  <si>
    <t>[82, 1180]</t>
  </si>
  <si>
    <t>['KV1180 S2D1 m0-14', 'FV82 S14D1 m11958-12136']</t>
  </si>
  <si>
    <t>LINESTRING Z (544543.104003906 7690666.55603027 3.57, 544540.837036133 7690666.02404785 3.481, 544537.95703125 7690665.30297852 3.503, 544534.391967773 7690663.30505371 3.527, 544532.555053711 7690661.90905762 3.514, 544530.057983398 7690660.66296387 3.44, 544527.484985352 7690658.70703125 3.252, 544525.665039063 7690657.02600098 3.213, 544523.026977539 7690655.33703613 3.251, 544521.229980469 7690653.82202148 3.243, 544519.796020508 7690652.14196777 3.107, 544517.616943359 7690650.34997559 3.232, 544515.689941406 7690648.18005371 3.049, 544513.307006836 7690645.66101074 3.246, 544512.104003906 7690644.12597656 3.016, 544510.473022461 7690642.46704102 3.042, 544509.166015625 7690640.62902832 3.138, 544507.656005859 7690638.68200684 3.278, 544506.047973633 7690636.67700195 3.303, 544505.03894043 7690635.31103516 3.353, 544502.807006836 7690631.76196289 3.337, 544501.58605957 7690629.70898438 3.51, 544500.553955078 7690627.99304199 3.494, 544498.939941406 7690625.67199707 3.627, 544497.41394043 7690623.00097656 3.85, 544496.014038086 7690620.0880127 3.924, 544495.291992188 7690618.07800293 3.899, 544493.933959961 7690615.31005859 4.031, 544493.04296875 7690613.29797363 4.076, 544492.395019531 7690611.62304688 4.118, 544491.561035156 7690609.37695313 4.18, 544491.098022461 7690607.71398926 4.131, 544490.400024414 7690605.48095703 4.19, 544489.626953125 7690603.17395019 4.18, 544488.786987305 7690599.95300293 4.277, 544488.212036133 7690596.76794434 4.249, 544487.594970703 7690593.68395996 4.192, 544487.198974609 7690591.03503418 4.165, 544486.681030273 7690588.65405273 4.247, 544486.144042969 7690585.69995117 4.189, 544485.405029297 7690582.55603027 4.189, 544485.006958008 7690580.81396484 4.332, 544485.030029297 7690578.68103027 4.377, 544484.75402832 7690576.03796387 4.391, 544484.418945312 7690573.16601563 4.38, 544483.886962891 7690570.83898926 4.345, 544483.433959961 7690568.29797363 4.413, 544482.915039063 7690565.5579834 4.464, 544482.338989258 7690563.18896484 4.416, 544481.896972656 7690560.39404297 4.462, 544481.452026367 7690557.64001465 4.458, 544480.859985352 7690554.53503418 4.47, 544480.37097168 7690552.07397461 4.492, 544480.062988281 7690549.125 4.601, 544479.312011719 7690545.97497559 4.585, 544478.626953125 7690542.80004883 4.632, 544478.029052734 7690539.77294922 4.598, 544477.49597168 7690537.10705566 4.691, 544477.183959961 7690535.10302734 4.692, 544476.646972656 7690532.12597656 4.713, 544476.019042969 7690529.3079834 4.734, 544475.474975586 7690526.99401856 4.788, 544475.034057617 7690524.73706055 4.779, 544474.590942383 7690523.09899902 4.829, 544473.890991211 7690521.07800293 4.869, 544473.500976563 7690519.60205078 4.848, 544472.96105957 7690518.22094727 4.918, 544472.458984375 7690516.66503906 4.861, 544471.797973633 7690515.28601074 4.813, 544471.047973633 7690513.6340332 4.738, 544470.031005859 7690511.4630127 4.741, 544469.235961914 7690509.81201172 4.685, 544468.423950195 7690507.68798828 4.73, 544467.951049805 7690506.36206055 4.732, 544467.623046875 7690504.52001953 4.813, 544467.166992188 7690503.13598633 4.859, 544469.755981445 7690503.30102539 4.89, 544470.683959961 7690504.51293945 4.605, 544471.83605957 7690505.89294434 4.842, 544473.213989258 7690507.93798828 4.619, 544473.901000977 7690510.12902832 4.719, 544474.272949219 7690512.39697266 4.971, 544475.454956055 7690514.04602051 4.71, 544475.488037109 7690516.48205567 4.998, 544476.342041016 7690520.18395996 5.201, 544477.359008789 7690522.95605469 4.942, 544477.433959961 7690524.78503418 4.9, 544477.83203125 7690527.76696777 4.895, 544478.573974609 7690530.78796387 4.811, 544479.496948242 7690532.56799316 5.017, 544479.600952148 7690533.86901856 4.984, 544480.484985352 7690535.96704102 4.54, 544480.541015625 7690539.50695801 4.747, 544481.428955078 7690542.34301758 4.708, 544481.859985352 7690544.1920166 4.758, 544481.906005859 7690546.89196777 4.621, 544482.593994141 7690550.38500977 4.835, 544482.822998047 7690551.68896484 4.595, 544482.75 7690553.3470459 4.437, 544482.74597168 7690554.24304199 4.329, 544482.947021484 7690555.94897461 4.357, 544483.791015625 7690557.65100098 4.305, 544484.229003906 7690559.73999023 4.436, 544484.827026367 7690561.90405273 4.519, 544484.633056641 7690563.45300293 4.485, 544485.972045898 7690566.74597168 4.396, 544486.483032227 7690569.4720459 4.576, 544486.687988281 7690571.54504395 4.486, 544486.297973633 7690573.29602051 4.487, 544486.738037109 7690574.93505859 4.538, 544487.212036133 7690577.06298828 4.426, 544487.303955078 7690578.77197266 4.608, 544488.241943359 7690581.62194824 4.271, 544489.141967773 7690583.31005859 4.055, 544490.151000977 7690585.96301269 4.125, 544490.824951172 7690589.06994629 4.094, 544490.91394043 7690591.67504883 4.019, 544491.378051758 7690594.26403809 4.234, 544491.816040039 7690596.49194336 4.105, 544491.737060547 7690599.32800293 4.157, 544491.933959961 7690601.65100098 4.056, 544492.771972656 7690603.70898438 4.111, 544493.069946289 7690606.43896484 4.202, 544493.206054687 7690608.55700684 4.209, 544494.602050781 7690610.4029541 4.064, 544495.425048828 7690612.55200195 3.914, 544496.598022461 7690614.60705566 3.99, 544497.053955078 7690615.74499512 3.937, 544498.402954102 7690617.81494141 3.817, 544499.16003418 7690619.70397949 3.571, 544499.848022461 7690621.36401367 3.65, 544500.526000977 7690623.25402832 3.626, 544502.512939453 7690625.05603027 3.268, 544503.416992188 7690626.21203613 3.162, 544504.852050781 7690628.73803711 3.296, 544506.569946289 7690631.29699707 3.222, 544507.713989258 7690634.47094727 3.242, 544509.337036133 7690635.51098633 3.067, 544510.49597168 7690637.12304688 3.105, 544511.46105957 7690638.28198242 2.978, 544513.050048828 7690640.44897461 3.083, 544514.102050781 7690642.60595703 3.004, 544515.25 7690644.88793945 3.035, 544517.222045898 7690646.78100586 3.148, 544517.186035156 7690646.83898926 3.142, 544518.510009766 7690648.57800293 3.142, 544519.569946289 7690649.89404297 3.234, 544521.531005859 7690651.60803223 3.189, 544522.728027344 7690652.62902832 3.17, 544524.842041016 7690654.99902344 3.245, 544527.162963867 7690657.59094238 3.317, 544535.91796875 7690660.56005859 2.946, 544535.043945313 7690659.39099121 2.787, 544533.362060547 7690658.04602051 2.71, 544531.628051758 7690656.81103516 2.704, 544529.99597168 7690655.44702149 2.594, 544528.937011719 7690654.68896484 2.734, 544527.437988281 7690653.1739502 2.493, 544525.713989258 7690651.80895996 2.451, 544523.87902832 7690650.46594238 2.444, 544521.979980469 7690648.81103516 2.523, 544519.786010742 7690646.91101074 2.332, 544518.657958984 7690645.45703125 2.599, 544517.170043945 7690644.51904297 2.598, 544515.791992188 7690643.14599609 2.638, 544514.598022461 7690641.50305176 2.694, 544512.843994141 7690639.28295898 2.72, 544511.396972656 7690637.375 2.939, 544510.104003906 7690635.85400391 2.798, 544509.145019531 7690633.52294922 2.344, 544507.739990234 7690631.18103027 2.712, 544506.662963867 7690629.71496582 2.483, 544505.057983398 7690627.05505371 2.768, 544503.812988281 7690624.88598633 2.361, 544503.371948242 7690623.55297852 2.643, 544501.895996094 7690621.7590332 2.881, 544501.219970703 7690620.04003906 2.98, 544500.630004883 7690618.25598145 3.056, 544499.692993164 7690616.55505371 2.921, 544498.588989258 7690613.80297852 3.07, 544498.024047852 7690611.89501953 3.078, 544496.673950195 7690609.51501465 3.006, 544496.019042969 7690607.61804199 2.924, 544495.833007812 7690605.02294922 2.683, 544494.918945312 7690603.19299316 2.954, 544494.093994141 7690600.29003906 3.169, 544493.308959961 7690598.35205078 3.005, 544492.687011719 7690595.5949707 3.459, 544492.298950195 7690592.17199707 3.38, 544492.176025391 7690589.38793945 3.609, 544491.906982422 7690586.62805176 3.161, 544491.444946289 7690584.50500488 3.256, 544490.948974609 7690582.70397949 3.239, 544490.180053711 7690578.93395996 3.115, 544489.37902832 7690575.79199219 3.308, 544488.435058594 7690571.65905762 3.586, 544487.782958984 7690568.78601074 3.397, 544486.936035156 7690565.37805176 3.619, 544486.70300293 7690562.1920166 3.431, 544486.005981445 7690559.31994629 3.428, 544486.459960938 7690556.19299316 2.989, 544485.920043945 7690554.87805176 3.098, 544485.07800293 7690549.7800293 2.967, 544484.932983398 7690547.03894043 2.662, 544484.803955078 7690544.20495606 2.902, 544483.415039062 7690540.88793945 3.049, 544483.437988281 7690537.55505371 3.195, 544482.984985352 7690533.97302246 2.802, 544482.723022461 7690531.20996094 3.043, 544481.493041992 7690528.94494629 3.267, 544481.066040039 7690525.93200684 3.033, 544480.409057617 7690522.98400879 3.118, 544479.875976563 7690520.30004883 2.947, 544478.946044922 7690518.66601563 3.007, 544478.223022461 7690516.62597656 3.202, 544477.951049805 7690513.7220459 3.079, 544477.255004883 7690511.46105957 3.382, 544475.989990234 7690508.55700684 3.236, 544474.562988281 7690505.44604492 3.239, 544472.79296875 7690503.93505859 3.529, 544472.173950195 7690502.99804687 3.364, 544477.566040039 7690500.95996094 0.782, 544478.906982422 7690503.42004395 0.47, 544480.287963867 7690505.46398926 0.232, 544481.479980469 7690507.72595215 0.094, 544481.66394043 7690511.86499024 0.307, 544482.302978516 7690513.79504395 0.346, 544484.735961914 7690516.45300293 0.087, 544484.5 7690519.13098145 0.434, 544484.998046875 7690524.36901856 0.269, 544486.365966797 7690529.69702149 0.287, 544486.043945313 7690532.75695801 0.486, 544487.234008789 7690535.93896484 0.586, 544487.469970703 7690538.9239502 0.191, 544486.911010742 7690540.55200195 0.2, 544488.176025391 7690544.67199707 0.148, 544488.550048828 7690546.75598144 0.247, 544489.53894043 7690550.7989502 0.496, 544491.175048828 7690556.2409668 0.228, 544490.400024414 7690559.50598145 0.503, 544492.008056641 7690562.75500488 0.498, 544492.525024414 7690566.27294922 0.225, 544493.295043945 7690568.65100098 0.641, 544493.967041016 7690572.16796875 0.466, 544494.394042969 7690575.20495606 0.307, 544495.173950195 7690578.41699219 0.313, 544495.561035156 7690580.32202149 0.448, 544496.151000977 7690583.61401367 0.529, 544496.567016602 7690586.09399414 0.572, 544496.581054687 7690588.11096191 0.636, 544496.505004883 7690590.67199707 0.912, 544496.250976563 7690594.00598145 1.183, 544497.358032227 7690596.43200684 1.091, 544497.671020508 7690599.17004395 1.144, 544499.104980469 7690602.52294922 1.139, 544500.134033203 7690605.34094238 1.136, 544501.25 7690608.71398926 0.974, 544502.396972656 7690610.75 0.807, 544503.459960938 7690613.12304688 0.764, 544504.979980469 7690615.65905762 0.749, 544505.718994141 7690618.54003906 0.818, 544506.425048828 7690621.07104492 0.908, 544507.448974609 7690623.45605469 0.813, 544508.270019531 7690625.12902832 0.869, 544509.237060547 7690626.77905274 0.957, 544509.936035156 7690628.52294922 0.926, 544510.92199707 7690630.93505859 1.11, 544511.801025391 7690632.3840332 1.225, 544513.04699707 7690634.00695801 1.235, 544514.036987305 7690635.8840332 1.292, 544515.602050781 7690638.11804199 1.25, 544517.141967773 7690639.98498535 1.265, 544518.467041016 7690641.65405273 1.269, 544519.685058594 7690643.64599609 1.379, 544521.072998047 7690644.67297363 1.258, 544522.41003418 7690645.66394043 1.143, 544524.574951172 7690646.75402832 0.909, 544525.764038086 7690647.52600098 0.882, 544526.616943359 7690648.75 0.977, 544528.347045898 7690650.08105469 0.903, 544529.364013672 7690651.45300293 0.917, 544530.67199707 7690651.66101074 1.027, 544532.021972656 7690653.01098633 1.192, 544533.255981445 7690654.87597656 1.392, 544534.66003418 7690656.27099609 1.685, 544536.349975586 7690657.46704102 2.003, 544537.991943359 7690658.63903809 1.698)</t>
  </si>
  <si>
    <t>POLYGON Z ((544543.104003906 7690666.55603027 3.57, 544540.837036133 7690666.02404785 3.481, 544537.95703125 7690665.30297852 3.503, 544534.391967773 7690663.30505371 3.527, 544532.555053711 7690661.90905762 3.514, 544530.057983398 7690660.66296387 3.44, 544527.484985352 7690658.70703125 3.252, 544525.665039063 7690657.02600098 3.213, 544523.026977539 7690655.33703613 3.251, 544521.229980469 7690653.82202148 3.243, 544519.796020508 7690652.14196777 3.107, 544517.616943359 7690650.34997559 3.232, 544515.689941406 7690648.18005371 3.049, 544513.307006836 7690645.66101074 3.246, 544512.104003906 7690644.12597656 3.016, 544510.473022461 7690642.46704102 3.042, 544509.166015625 7690640.62902832 3.138, 544507.656005859 7690638.68200684 3.278, 544506.047973633 7690636.67700195 3.303, 544505.03894043 7690635.31103516 3.353, 544502.807006836 7690631.76196289 3.337, 544501.58605957 7690629.70898438 3.51, 544500.553955078 7690627.99304199 3.494, 544498.939941406 7690625.67199707 3.627, 544497.41394043 7690623.00097656 3.85, 544496.014038086 7690620.0880127 3.924, 544495.291992188 7690618.07800293 3.899, 544493.933959961 7690615.31005859 4.031, 544493.04296875 7690613.29797363 4.076, 544492.395019531 7690611.62304688 4.118, 544491.561035156 7690609.37695313 4.18, 544491.098022461 7690607.71398926 4.131, 544490.400024414 7690605.48095703 4.19, 544489.626953125 7690603.17395019 4.18, 544488.786987305 7690599.95300293 4.277, 544488.212036133 7690596.76794434 4.249, 544487.594970703 7690593.68395996 4.192, 544487.198974609 7690591.03503418 4.165, 544486.681030273 7690588.65405273 4.247, 544486.144042969 7690585.69995117 4.189, 544485.405029297 7690582.55603027 4.189, 544485.006958008 7690580.81396484 4.332, 544485.030029297 7690578.68103027 4.377, 544484.75402832 7690576.03796387 4.391, 544484.418945312 7690573.16601563 4.38, 544483.886962891 7690570.83898926 4.345, 544483.433959961 7690568.29797363 4.413, 544482.915039063 7690565.5579834 4.464, 544482.338989258 7690563.18896484 4.416, 544481.896972656 7690560.39404297 4.462, 544481.452026367 7690557.64001465 4.458, 544480.859985352 7690554.53503418 4.47, 544480.37097168 7690552.07397461 4.492, 544480.062988281 7690549.125 4.601, 544479.312011719 7690545.97497559 4.585, 544478.626953125 7690542.80004883 4.632, 544478.029052734 7690539.77294922 4.598, 544477.49597168 7690537.10705566 4.691, 544477.183959961 7690535.10302734 4.692, 544476.646972656 7690532.12597656 4.713, 544476.019042969 7690529.3079834 4.734, 544475.474975586 7690526.99401856 4.788, 544475.034057617 7690524.73706055 4.779, 544474.590942383 7690523.09899902 4.829, 544473.890991211 7690521.07800293 4.869, 544473.500976563 7690519.60205078 4.848, 544472.96105957 7690518.22094727 4.918, 544472.458984375 7690516.66503906 4.861, 544471.797973633 7690515.28601074 4.813, 544471.047973633 7690513.6340332 4.738, 544470.031005859 7690511.4630127 4.741, 544469.235961914 7690509.81201172 4.685, 544468.423950195 7690507.68798828 4.73, 544467.951049805 7690506.36206055 4.732, 544467.623046875 7690504.52001953 4.813, 544467.166992188 7690503.13598633 4.859, 544469.755981445 7690503.30102539 4.89, 544470.683959961 7690504.51293945 4.605, 544471.83605957 7690505.89294434 4.842, 544473.213989258 7690507.93798828 4.619, 544473.901000977 7690510.12902832 4.719, 544474.272949219 7690512.39697266 4.971, 544475.454956055 7690514.04602051 4.71, 544475.488037109 7690516.48205567 4.998, 544476.342041016 7690520.18395996 5.201, 544477.359008789 7690522.95605469 4.942, 544477.433959961 7690524.78503418 4.9, 544477.83203125 7690527.76696777 4.895, 544478.573974609 7690530.78796387 4.811, 544479.496948242 7690532.56799316 5.017, 544479.600952148 7690533.86901856 4.984, 544480.484985352 7690535.96704102 4.54, 544480.541015625 7690539.50695801 4.747, 544481.428955078 7690542.34301758 4.708, 544481.859985352 7690544.1920166 4.758, 544481.906005859 7690546.89196777 4.621, 544482.593994141 7690550.38500977 4.835, 544482.822998047 7690551.68896484 4.595, 544482.75 7690553.3470459 4.437, 544482.74597168 7690554.24304199 4.329, 544482.947021484 7690555.94897461 4.357, 544483.791015625 7690557.65100098 4.305, 544484.229003906 7690559.73999023 4.436, 544484.827026367 7690561.90405273 4.519, 544484.633056641 7690563.45300293 4.485, 544485.972045898 7690566.74597168 4.396, 544486.483032227 7690569.4720459 4.576, 544486.687988281 7690571.54504395 4.486, 544486.297973633 7690573.29602051 4.487, 544486.738037109 7690574.93505859 4.538, 544487.212036133 7690577.06298828 4.426, 544487.303955078 7690578.77197266 4.608, 544488.241943359 7690581.62194824 4.271, 544489.141967773 7690583.31005859 4.055, 544490.151000977 7690585.96301269 4.125, 544490.824951172 7690589.06994629 4.094, 544490.91394043 7690591.67504883 4.019, 544491.378051758 7690594.26403809 4.234, 544491.816040039 7690596.49194336 4.105, 544491.737060547 7690599.32800293 4.157, 544491.933959961 7690601.65100098 4.056, 544492.771972656 7690603.70898438 4.111, 544493.069946289 7690606.43896484 4.202, 544493.206054687 7690608.55700684 4.209, 544494.602050781 7690610.4029541 4.064, 544495.425048828 7690612.55200195 3.914, 544496.598022461 7690614.60705566 3.99, 544497.053955078 7690615.74499512 3.937, 544498.402954102 7690617.81494141 3.817, 544499.16003418 7690619.70397949 3.571, 544499.848022461 7690621.36401367 3.65, 544500.526000977 7690623.25402832 3.626, 544502.512939453 7690625.05603027 3.268, 544503.416992188 7690626.21203613 3.162, 544504.852050781 7690628.73803711 3.296, 544506.569946289 7690631.29699707 3.222, 544507.713989258 7690634.47094727 3.242, 544509.337036133 7690635.51098633 3.067, 544510.49597168 7690637.12304688 3.105, 544511.46105957 7690638.28198242 2.978, 544513.050048828 7690640.44897461 3.083, 544514.102050781 7690642.60595703 3.004, 544515.25 7690644.88793945 3.035, 544517.222045898 7690646.78100586 3.148, 544517.186035156 7690646.83898926 3.142, 544518.510009766 7690648.57800293 3.142, 544519.569946289 7690649.89404297 3.234, 544521.531005859 7690651.60803223 3.189, 544522.728027344 7690652.62902832 3.17, 544524.842041016 7690654.99902344 3.245, 544527.162963867 7690657.59094238 3.317, 544535.91796875 7690660.56005859 2.946, 544535.043945313 7690659.39099121 2.787, 544533.362060547 7690658.04602051 2.71, 544531.628051758 7690656.81103516 2.704, 544529.99597168 7690655.44702149 2.594, 544528.937011719 7690654.68896484 2.734, 544527.437988281 7690653.1739502 2.493, 544525.713989258 7690651.80895996 2.451, 544523.87902832 7690650.46594238 2.444, 544521.979980469 7690648.81103516 2.523, 544519.786010742 7690646.91101074 2.332, 544518.657958984 7690645.45703125 2.599, 544517.170043945 7690644.51904297 2.598, 544515.791992188 7690643.14599609 2.638, 544514.598022461 7690641.50305176 2.694, 544512.843994141 7690639.28295898 2.72, 544511.396972656 7690637.375 2.939, 544510.104003906 7690635.85400391 2.798, 544509.145019531 7690633.52294922 2.344, 544507.739990234 7690631.18103027 2.712, 544506.662963867 7690629.71496582 2.483, 544505.057983398 7690627.05505371 2.768, 544503.812988281 7690624.88598633 2.361, 544503.371948242 7690623.55297852 2.643, 544501.895996094 7690621.7590332 2.881, 544501.219970703 7690620.04003906 2.98, 544500.630004883 7690618.25598145 3.056, 544499.692993164 7690616.55505371 2.921, 544498.588989258 7690613.80297852 3.07, 544498.024047852 7690611.89501953 3.078, 544496.673950195 7690609.51501465 3.006, 544496.019042969 7690607.61804199 2.924, 544495.833007812 7690605.02294922 2.683, 544494.918945312 7690603.19299316 2.954, 544494.093994141 7690600.29003906 3.169, 544493.308959961 7690598.35205078 3.005, 544492.687011719 7690595.5949707 3.459, 544492.298950195 7690592.17199707 3.38, 544492.176025391 7690589.38793945 3.609, 544491.906982422 7690586.62805176 3.161, 544491.444946289 7690584.50500488 3.256, 544490.948974609 7690582.70397949 3.239, 544490.180053711 7690578.93395996 3.115, 544489.37902832 7690575.79199219 3.308, 544488.435058594 7690571.65905762 3.586, 544487.782958984 7690568.78601074 3.397, 544486.936035156 7690565.37805176 3.619, 544486.70300293 7690562.1920166 3.431, 544486.005981445 7690559.31994629 3.428, 544486.459960938 7690556.19299316 2.989, 544485.920043945 7690554.87805176 3.098, 544485.07800293 7690549.7800293 2.967, 544484.932983398 7690547.03894043 2.662, 544484.803955078 7690544.20495606 2.902, 544483.415039062 7690540.88793945 3.049, 544483.437988281 7690537.55505371 3.195, 544482.984985352 7690533.97302246 2.802, 544482.723022461 7690531.20996094 3.043, 544481.493041992 7690528.94494629 3.267, 544481.066040039 7690525.93200684 3.033, 544480.409057617 7690522.98400879 3.118, 544479.875976563 7690520.30004883 2.947, 544478.946044922 7690518.66601563 3.007, 544478.223022461 7690516.62597656 3.202, 544477.951049805 7690513.7220459 3.079, 544477.255004883 7690511.46105957 3.382, 544475.989990234 7690508.55700684 3.236, 544474.562988281 7690505.44604492 3.239, 544472.79296875 7690503.93505859 3.529, 544472.173950195 7690502.99804687 3.364, 544477.566040039 7690500.95996094 0.782, 544478.906982422 7690503.42004395 0.47, 544480.287963867 7690505.46398926 0.232, 544481.479980469 7690507.72595215 0.094, 544481.66394043 7690511.86499024 0.307, 544482.302978516 7690513.79504395 0.346, 544484.735961914 7690516.45300293 0.087, 544484.5 7690519.13098145 0.434, 544484.998046875 7690524.36901856 0.269, 544486.365966797 7690529.69702149 0.287, 544486.043945313 7690532.75695801 0.486, 544487.234008789 7690535.93896484 0.586, 544487.469970703 7690538.9239502 0.191, 544486.911010742 7690540.55200195 0.2, 544488.176025391 7690544.67199707 0.148, 544488.550048828 7690546.75598144 0.247, 544489.53894043 7690550.7989502 0.496, 544491.175048828 7690556.2409668 0.228, 544490.400024414 7690559.50598145 0.503, 544492.008056641 7690562.75500488 0.498, 544492.525024414 7690566.27294922 0.225, 544493.295043945 7690568.65100098 0.641, 544493.967041016 7690572.16796875 0.466, 544494.394042969 7690575.20495606 0.307, 544495.173950195 7690578.41699219 0.313, 544495.561035156 7690580.32202149 0.448, 544496.151000977 7690583.61401367 0.529, 544496.567016602 7690586.09399414 0.572, 544496.581054687 7690588.11096191 0.636, 544496.505004883 7690590.67199707 0.912, 544496.250976563 7690594.00598145 1.183, 544497.358032227 7690596.43200684 1.091, 544497.671020508 7690599.17004395 1.144, 544499.104980469 7690602.52294922 1.139, 544500.134033203 7690605.34094238 1.136, 544501.25 7690608.71398926 0.974, 544502.396972656 7690610.75 0.807, 544503.459960938 7690613.12304688 0.764, 544504.979980469 7690615.65905762 0.749, 544505.718994141 7690618.54003906 0.818, 544506.425048828 7690621.07104492 0.908, 544507.448974609 7690623.45605469 0.813, 544508.270019531 7690625.12902832 0.869, 544509.237060547 7690626.77905274 0.957, 544509.936035156 7690628.52294922 0.926, 544510.92199707 7690630.93505859 1.11, 544511.801025391 7690632.3840332 1.225, 544513.04699707 7690634.00695801 1.235, 544514.036987305 7690635.8840332 1.292, 544515.602050781 7690638.11804199 1.25, 544517.141967773 7690639.98498535 1.265, 544518.467041016 7690641.65405273 1.269, 544519.685058594 7690643.64599609 1.379, 544521.072998047 7690644.67297363 1.258, 544522.41003418 7690645.66394043 1.143, 544524.574951172 7690646.75402832 0.909, 544525.764038086 7690647.52600098 0.882, 544526.616943359 7690648.75 0.977, 544528.347045898 7690650.08105469 0.903, 544529.364013672 7690651.45300293 0.917, 544530.67199707 7690651.66101074 1.027, 544532.021972656 7690653.01098633 1.192, 544533.255981445 7690654.87597656 1.392, 544534.66003418 7690656.27099609 1.685, 544536.349975586 7690657.46704102 2.003, 544537.991943359 7690658.63903809 1.698, 544543.104003906 7690666.55603027 3.57))</t>
  </si>
  <si>
    <t>2014-09-24</t>
  </si>
  <si>
    <t>['EV6 S99D1 m7737-8331']</t>
  </si>
  <si>
    <t>LINESTRING Z (380488.75 7162581.26 86.725, 380493.86 7162592.67 87.195, 380499.21 7162604.02 87.445, 380506.72 7162617.65 87.835, 380514.16 7162631.68 88.155, 380520.08 7162642.65 88.315, 380529.17 7162659.14 88.665, 380537.88 7162674.25 88.914, 380547.03 7162688.85 89.004, 380554.12 7162700.76 89.164, 380562.5 7162713.89 89.284, 380572.14 7162728.93 89.334, 380584.03 7162746.95 89.414, 380595.03 7162763.05 89.304, 380609.59 7162783.77 89.144, 380622.08 7162800.02 89.074, 380624.35 7162803.03 89.074, 380636.95 7162820.27 88.724, 380639.46 7162823.38 88.784, 380650.44 7162836.04 88.514, 380658.46 7162846.42 88.274, 380666.93 7162856.84 88.114, 380677.29 7162869.21 87.784, 380685.82 7162879.49 87.464, 380695.92 7162890.82 87.094, 380706.97 7162903.13 86.634, 380717.54 7162915.27 86.174, 380731.79 7162929.84 85.584, 380742.35 7162940.69 85.094, 380754.37 7162952.98 84.504, 380762.3 7162961.57 84.004, 380776.41 7162974.89 83.184, 380787.7 7162985.7 82.624, 380798.1 7162994.88 82.014, 380804.12 7163000.67 81.804, 380813.14 7163008.84 81.424, 380823.27 7163017.97 80.864, 380831.61 7163025.45 80.484, 380840.17 7163032.95 80.134, 380844.36 7163035.69 79.944, 380848.1 7163037.42 79.904, 380850.9 7163039.23 79.534, 380852.89 7163041.02 79.094)</t>
  </si>
  <si>
    <t>POLYGON ((380493.4036732984 7162592.874367173, 380493.40772620076 7162592.883186328, 380498.7577262008 7162604.233186328, 380498.77207532874 7162604.261292317, 380506.28014295007 7162617.887785218, 380513.71826697444 7162631.914247591, 380513.7199835917 7162631.917456439, 380519.63998359174 7162642.887456439, 380519.64212210913 7162642.8913772, 380528.7321221091 7162659.3813772, 380528.7368165522 7162659.389704025, 380537.4468165522 7162674.499704026, 380537.4563272216 7162674.515520954, 380546.6032902316 7162689.110675045, 380553.69036488305 7162701.015760955, 380553.6985265058 7162701.028998315, 380562.0785265058 7162714.158998315, 380562.0790473887 7162714.15981271, 380571.7190473887 7162729.19981271, 380571.72266122815 7162729.205369478, 380583.61266122817 7162747.225369479, 380583.61715777236 7162747.232066118, 380594.61715777236 7162763.332066118, 380594.6209041516 7162763.337472758, 380609.1809041516 7162784.057472758, 380609.1935701378 7162784.074702091, 380621.68217529356 7162800.3228873415, 380623.94853674964 7162803.328062665, 380636.5463216002 7162820.565031777, 380636.56091183267 7162820.584022925, 380639.0709118327 7162823.694022926, 380639.0822736164 7162823.707601556, 380650.0529971213 7162836.356905706, 380658.06434073416 7162846.725702053, 380658.07201134623 7162846.735380412, 380666.5420113462 7162857.155380412, 380666.5466779234 7162857.161036112, 380676.90594455774 7162869.5301604625, 380685.43521523935 7162879.809281519, 380685.4467682647 7162879.822713197, 380695.54676826467 7162891.152713197, 380695.54791738617 7162891.1539977975, 380706.5953895448 7162903.461181713, 380717.1629046186 7162915.598327692, 380717.18254299846 7162915.619606195, 380731.43211625784 7162930.189169872, 380741.99169057095 7162941.038732495, 380741.99254190084 7162941.039605074, 380754.0075030003 7162953.324452987, 380761.93261467514 7162961.909157814, 380761.9567714733 7162961.933585173, 380776.06548497186 7162975.252370701, 380787.3542071487 7162986.0611472055, 380787.36911766086 7162986.074855809, 380797.7611028691 7162995.247781213, 380803.77339779196 7163001.030370517, 380803.78433899063 7163001.040582901, 380812.80433899065 7163009.210582901, 380812.80525438295 7163009.211409978, 380822.93525438296 7163018.3414099775, 380822.9361592418 7163018.3422235185, 380831.2761592418 7163025.822223519, 380831.28049894125 7163025.8260705415, 380839.84049894125 7163033.3260705415, 380839.8963484103 7163033.368467212, 380844.0863484103 7163036.108467212, 380844.15008625813 7163036.143801963, 380847.8581301328 7163037.859020119, 380850.5951761744 7163039.628324881, 380852.5556208538 7163041.391739944, 380853.22437914624 7163040.648260055, 380851.23437914625 7163038.858260056, 380851.2038649593 7163038.83292811, 380851.17143906886 7163038.810094259, 380848.3714390688 7163037.000094258, 380848.30991374183 7163036.966198037, 380844.6030736406 7163035.251536707, 380840.4730663931 7163032.550768245, 380831.9416820641 7163025.075840387, 380823.60429367353 7163017.598182693, 380813.4752038039 7163008.469002978, 380804.4612080475 7163000.304441412, 380798.446602208 7162994.519629483, 380798.43088233913 7162994.505144191, 380788.03847645654 7162985.33184746, 380776.75579285127 7162974.528852794, 380776.7532285267 7162974.5264148265, 380762.6557267724 7162961.218213313, 380754.73738532484 7162952.640842186, 380754.72745809914 7162952.630394927, 380742.70788428356 7162940.340830685, 380732.148309429 7162929.491267505, 380732.1474570015 7162929.490393804, 380717.9075843917 7162914.930748616, 380707.34709538135 7162902.801672308, 380707.3420826138 7162902.796002203, 380696.292658212 7162890.486643435, 380686.19912725606 7162879.163900293, 380677.67478476063 7162868.8907184815, 380677.67332207656 7162868.8889638875, 380667.31567609706 7162856.5217746245, 380658.8518837265 7162846.109411401, 380650.83565926587 7162835.734297947, 380650.8177263836 7162835.712398444, 380639.8435274926 7162823.059087154, 380637.34661076067 7162819.965297896, 380624.7536783998 7162802.734968223, 380624.7492028397 7162802.728940051, 380622.4792028397 7162799.71894005, 380622.47642986226 7162799.7152979085, 380609.99294711533 7162783.473777121, 380595.44098681136 7162762.765218227, 380584.44511751836 7162746.67126408, 380572.5591640936 7162728.657396904, 380562.9212135382 7162713.620594379, 380554.54565724725 7162700.497556896, 380547.459635117 7162688.594239044, 380547.45367277844 7162688.584479046, 380538.3085740966 7162673.992299729, 380529.60557047185 7162658.894436954, 380520.5189559047 7162642.4105784055, 380514.600880549 7162631.444144849, 380507.1617330255 7162617.415752409, 380507.15792467125 7162617.408707683, 380499.6555429258 7162603.792534155, 380494.31434304855 7162592.461203574, 380489.20632670156 7162581.055632827, 380488.29367329844 7162581.464367173, 380493.4036732984 7162592.874367173))</t>
  </si>
  <si>
    <t>['EV6 S99D1 m7735-8324']</t>
  </si>
  <si>
    <t>LINESTRING Z (380836.72 7163048.27 80.074, 380833.09 7163044.57 80.354, 380829.01 7163040.28 80.634, 380825.15 7163038.12 80.854, 380823.39 7163035.55 80.924, 380815.76 7163029.08 81.274, 380802.12 7163016.67 81.874, 380791.97 7163007.35 82.394, 380779.57 7162995.7 83.034, 380764.87 7162981.91 83.774, 380750.68 7162967.83 84.454, 380738.52 7162956.08 85.054, 380731.59 7162949.33 85.494, 380723.86 7162940.99 85.824, 380713.4 7162929.88 86.314, 380701.38 7162916.98 86.794, 380691.4 7162905.88 87.134, 380678.44 7162890.93 87.674, 380664.65 7162874.88 88.114, 380653.06 7162860.69 88.534, 380639.42 7162844.1 88.704, 380629.92 7162832.16 89.104, 380619.11 7162817.87 89.264, 380609.52 7162804.78 89.444, 380601.9 7162794.64 89.494, 380596.36 7162787.72 89.514, 380591.89 7162780.87 89.604, 380587.48 7162774.09 89.654, 380579.83 7162762.93 89.774, 380570.86 7162750.21 89.764, 380564.08 7162739.78 89.724, 380555.58 7162726.68 89.614, 380546.59 7162712.32 89.534, 380538.87 7162699.91 89.364, 380533.2 7162690.59 89.334, 380525.28 7162677.02 89.164, 380516.92 7162661.99 88.955, 380508.22 7162647.12 88.545, 380501.33 7162634.33 88.355, 380496.76 7162625.8 88.125, 380491.99 7162617.78 87.815, 380488.85 7162610.73 87.785, 380485.37 7162604.4 87.715, 380479.85 7162593.24 87.375, 380475.19 7162586.17 87.045)</t>
  </si>
  <si>
    <t>POLYGON ((380833.449633361 7163044.222611271, 380829.3723098888 7163039.935425561, 380829.33606066386 7163039.900942692, 380829.29654682206 7163039.870255057, 380829.25416398793 7163039.843669911, 380825.49636346335 7163037.740859254, 380823.80253547634 7163035.267485432, 380823.7757905818 7163035.231934555, 380823.74599153106 7163035.19890168, 380823.7133742319 7163035.1686483165, 380816.09003003105 7163028.704292225, 380802.45733130595 7163016.300935101, 380792.3102789878 7163006.98364174, 380779.91236138326 7162995.335598185, 380765.21719878534 7162981.550135933, 380751.03217503044 7162967.475073602, 380751.0274397083 7162967.470436864, 380738.8681568494 7162955.721129824, 380731.9480241342 7162948.980740816, 380724.22670980147 7162940.650111899, 380724.224042273 7162940.64725633, 380713.7649287364 7162929.538197879, 380701.7488411527 7162916.6423967285, 380691.7748389218 7162905.549067594, 380678.81852544984 7162890.603320186, 380665.03330471984 7162874.558882715, 380653.44724600815 7162860.373708159, 380653.4462203567 7162860.372456561, 380639.8087672999 7162843.785554345, 380630.3150699665 7162831.853475803, 380619.51107222406 7162817.571410332, 380609.9233395983 7162804.484505215, 380609.919715999 7162804.479621706, 380602.299715999 7162794.339621705, 380602.2903243215 7162794.327514921, 380596.7654798753 7162787.426445685, 380592.3089348368 7162780.597064586, 380587.8991370439 7162773.8173754625, 380587.89240874123 7162773.80730046, 380580.24240874127 7162762.647300459, 380580.23861742875 7162762.641847615, 380571.2740628477 7162749.929569547, 380564.4993268492 7162739.507667414, 380556.00164833147 7162726.411245228, 380547.0141787501 7162712.055287142, 380539.2958689271 7162699.648004124, 380533.62953222176 7162690.334025624, 380525.71443996695 7162676.772434475, 380517.35695516184 7162661.746956411, 380517.3515627744 7162661.737505304, 380508.65601242176 7162646.875110621, 380501.7704624245 7162634.093371221, 380497.20073230367 7162625.563874955, 380497.18973613204 7162625.544408809, 380492.4347753453 7162617.549694867, 380489.3067453353 7162610.526570163, 380489.28815178975 7162610.489120344, 380485.813370539 7162604.168613069, 380480.2981732546 7162593.018322906, 380480.2674729358 7162592.964833964, 380475.6074729358 7162585.894833963, 380474.7725270642 7162586.4451660365, 380479.4155243424 7162593.489370062, 380484.9218267454 7162604.621677094, 380484.9318482102 7162604.640879657, 380488.4017678324 7162610.952543798, 380491.5332546647 7162617.983429838, 380491.56026386796 7162618.035591191, 380496.3245481193 7162626.0459810635, 380500.88926769636 7162634.566125045, 380500.8898086628 7162634.567132003, 380507.7798086628 7162647.357132003, 380507.78843722556 7162647.372494697, 380516.4856896136 7162662.2377984915, 380524.84304483817 7162677.263043589, 380524.84816827014 7162677.2720344355, 380532.7681682701 7162690.842034436, 380532.7728387811 7162690.849871686, 380538.4428387811 7162700.169871686, 380538.44544441946 7162700.174107098, 380546.1654444195 7162712.584107098, 380546.1661999285 7162712.585317733, 380555.1561999285 7162726.945317732, 380555.1605588695 7162726.952156458, 380563.6605588695 7162740.052156459, 380570.44078737503 7162750.482508303, 380570.45138257125 7162750.498152385, 380579.4194688025 7162763.215438545, 380587.0641660721 7162774.367702797, 380591.4708629561 7162781.142624537, 380591.471267682 7162781.143245761, 380595.94126768195 7162787.993245761, 380595.9696756785 7162788.032485078, 380601.5048870837 7162794.946503656, 380609.1184573492 7162805.077947553, 380618.7066604017 7162818.165494786, 380618.7112423782 7162818.171649397, 380629.5212423782 7162832.461649397, 380629.5287357591 7162832.471307394, 380639.0287357591 7162844.411307394, 380639.0337796433 7162844.417543439, 380652.6732658029 7162861.0069184685, 380664.2627539919 7162875.196291842, 380664.2707555854 7162875.20584302, 380678.0607555854 7162891.25584302, 380678.0621971526 7162891.257513371, 380691.0221971526 7162906.2075133715, 380691.0281864147 7162906.214297259, 380701.00818641466 7162917.31429726, 380701.01418959117 7162917.320855901, 380713.0341895912 7162930.2208559, 380713.035957727 7162930.22274367, 380723.49461840553 7162941.331321122, 380731.22329019854 7162949.6698881015, 380731.2411288265 7162949.688174405, 380738.1711288265 7162956.438174405, 380738.1725602917 7162956.439563137, 380750.33017726167 7162968.187260455, 380764.51782496955 7162982.264926398, 380764.5279139282 7162982.27466028, 380779.22777655086 7162996.064531407, 380791.6276386167 7163007.714401815, 380791.63182562066 7163007.718290767, 380801.7818256207 7163017.038290767, 380801.78351517784 7163017.039835051, 380815.42351517786 7163029.449835051, 380815.43662576814 7163029.461351683, 380823.01540793554 7163035.887920572, 380824.7374645237 7163038.402514568, 380824.76517373236 7163038.43923149, 380824.79614000674 7163038.473246522, 380824.8301012567 7163038.504271771, 380824.8667700434 7163038.532044648, 380824.9058360121 7163038.556330089, 380828.6998220383 7163040.679389628, 380832.72769011126 7163044.91457444, 380832.73308652156 7163044.920161062, 380836.3630865215 7163048.620161061, 380837.07691347844 7163047.919838938, 380833.449633361 7163044.222611271))</t>
  </si>
  <si>
    <t>2015-01-07</t>
  </si>
  <si>
    <t>[2388]</t>
  </si>
  <si>
    <t>['FV2388 S2D1 m6815-6842']</t>
  </si>
  <si>
    <t>LINESTRING Z (253299.65 6750037.26 455.274, 253295.99 6750046.44 457.354, 253294.48 6750051.69 458.244, 253290.63 6750061.46 459.524, 253285.73 6750073.14 461.214, 253286 6750074.77 461.564)</t>
  </si>
  <si>
    <t>POLYGON ((253295.52555259757 6750046.254828161, 253295.50948054166 6750046.301793451, 253294.00607234982 6750051.528874913, 253290.16681753367 6750061.271607264, 253285.268930062 6750072.946571686, 253285.25287546066 6750072.990493565, 253285.24099451883 6750073.035723256, 253285.23339116547 6750073.0818651095, 253285.23013191114 6750073.1285155, 253285.23124526624 6750073.175266352, 253285.23672149173 6750073.221708709, 253285.50672149172 6750074.851708709, 253286.49327850828 6750074.68829129, 253286.24683498946 6750073.20050264, 253291.091069938 6750061.653428313, 253291.09518451244 6750061.643312219, 253294.94518451244 6750051.873312219, 253294.96051945834 6750051.828206549, 253296.4636505292 6750046.602088588, 253300.11444740242 6750037.44517184, 253299.18555259757 6750037.07482816, 253295.52555259757 6750046.254828161))</t>
  </si>
  <si>
    <t>['FV2388 S2D1 m6813-6841']</t>
  </si>
  <si>
    <t>LINESTRING Z (253298.69 6750036.56 455.284, 253294.86 6750046.01 457.404, 253293.4 6750051.31 458.304, 253289.88 6750061.12 459.614, 253284.82 6750072.96 461.184, 253283.94 6750074.51 461.534)</t>
  </si>
  <si>
    <t>POLYGON ((253294.3966119105 6750045.822192975, 253294.37795548298 6750045.877210378, 253292.92298421686 6750051.158955385, 253289.41439295036 6750060.937160023, 253284.3712902185 6750072.737621751, 253283.50518959304 6750074.263139898, 253284.37481040697 6750074.756860102, 253285.25481040697 6750073.206860102, 253285.2797731322 6750073.156490883, 253290.3397731322 6750061.316490883, 253290.35062080075 6750061.288866995, 253293.87062080074 6750051.478866994, 253293.882044517 6750051.442789622, 253295.33431711304 6750046.1708411565, 253299.1533880895 6750036.747807024, 253298.2266119105 6750036.372192975, 253294.3966119105 6750045.822192975))</t>
  </si>
  <si>
    <t>['FV2388 S2D1 m6719-6753']</t>
  </si>
  <si>
    <t>LINESTRING Z (253194.31 6750105.01 475.974, 253195.25 6750105.24 475.444, 253197.25 6750106.96 475.314, 253200.15 6750108.5 475.444, 253204.25 6750109.05 475.344, 253207.79 6750108.18 475.054, 253207.98 6750106.09 473.674, 253212.04 6750104.89 473.454, 253217.68 6750104.01 473.304, 253222.91 6750104.09 473.074, 253226.4 6750104.79 473.034, 253228.4 6750106.03 473.064)</t>
  </si>
  <si>
    <t>POLYGON ((253195.01480521396 6750105.697201968, 253196.92398036562 6750107.339092598, 253196.96800137768 6750107.372888335, 253197.0154966142 6750107.401597285, 253199.9154966142 6750108.941597285, 253199.95553864297 6750108.960635193, 253199.99710976504 6750108.976051022, 253200.03988309726 6750108.987723556, 253200.08352230338 6750108.995561011, 253204.18352230338 6750109.545561011, 253204.23012222812 6750109.549604718, 253204.27689611554 6750109.549276074, 253204.32343461845 6750109.544577958, 253204.36933044952 6750109.535551484, 253207.90933044953 6750108.665551484, 253207.95500108865 6750108.651990085, 253207.99917370337 6750108.634143547, 253208.04144725617 6750108.612173897, 253208.0814379507 6750108.586280594, 253208.11878271645 6750108.556698719, 253208.15314250492 6750108.5236968445, 253208.1842053679 6750108.4875745885, 253208.21168928954 6750108.448659902, 253208.23534474673 6750108.407306085, 253208.25495697453 6750108.363888585, 253208.270347916 6750108.318801584, 253208.28137783863 6750108.272454419, 253208.28794660323 6750108.225267873, 253208.44721742344 6750106.473288851, 253212.14988434094 6750105.37890454, 253217.71496940282 6750104.510593396, 253222.8565678585 6750104.589241174, 253226.21321080165 6750105.26249334, 253228.13653016553 6750106.454951346, 253228.66346983446 6750105.605048655, 253226.66346983446 6750104.365048654, 253226.6245391167 6750104.34325378, 253226.58382051304 6750104.325016109, 253226.54163824418 6750104.310480858, 253226.4983281851 6750104.299763763, 253223.0083281851 6750103.599763763, 253222.96320947647 6750103.59283931, 253222.91764728897 6750103.590058484, 253217.68764728896 6750103.510058484, 253217.64515695954 6750103.5112155145, 253217.6029184431 6750103.515977294, 253211.9629184431 6750104.395977294, 253211.8982775574 6750104.410505735, 253207.8382775574 6750105.6105057355, 253207.7913956843 6750105.626935844, 253207.74637560616 6750105.64793706, 253207.7036617358 6750105.673302071, 253207.6636757204 6750105.702780488, 253207.62681227925 6750105.736081317, 253207.59343530738 6750105.772875831, 253207.56387428334 6750105.812800815, 253207.53842101688 6750105.8554621525, 253207.5173267682 6750105.900438716, 253207.5007997678 6750105.947286519, 253207.48900316085 6750105.99554311, 253207.4820533968 6750106.044732126, 253207.32434149575 6750107.779563038, 253204.2226257961 6750108.5418491, 253200.30532819347 6750108.016357958, 253197.53374650254 6750106.544552508, 253195.57601963438 6750104.860907402, 253195.53897321434 6750104.831962647, 253195.4993719983 6750104.806625328, 253195.45756609834 6750104.78511945, 253195.41392511807 6750104.767635146, 253195.368834885 6750104.754326993, 253194.428834885 6750104.524326992, 253194.191165115 6750105.495673007, 253195.01480521396 6750105.697201968))</t>
  </si>
  <si>
    <t>['FV2388 S2D1 m6258-6260']</t>
  </si>
  <si>
    <t>LINESTRING Z (252765.51 6750182.56 503.344, 252765.07 6750183.13 503.414, 252763.26 6750183.97 503.524)</t>
  </si>
  <si>
    <t>POLYGON ((252764.74879399152 6750182.727847055, 252763.04951797044 6750183.516461341, 252763.47048202957 6750184.423538659, 252765.28048202957 6750183.583538659, 252765.32289079492 6750183.561330785, 252765.36298136797 6750183.535168999, 252765.40038624752 6750183.505293122, 252765.4347625516 6750183.471977018, 252765.46579516056 6750183.435526089, 252765.90579516056 6750182.8655260885, 252765.11420483945 6750182.254473911, 252764.74879399152 6750182.727847055))</t>
  </si>
  <si>
    <t>['FV2388 S2D1 m6165-6334']</t>
  </si>
  <si>
    <t>LINESTRING Z (252681.33 6750143 512.754, 252680.53 6750143.58 512.904, 252679.58 6750144.95 513.114, 252679.4 6750145.99 513.474, 252680.79 6750147.98 513.544, 252684.74 6750149.96 513.314, 252690.52 6750152.56 512.844, 252696.38 6750155.04 512.264, 252704.62 6750158.97 511.434, 252708.04 6750160.47 511.084, 252711.91 6750162.06 510.484, 252716.92 6750164.23 509.674, 252721.98 6750166.5 509.014, 252723.03 6750166.54 508.874, 252725.61 6750167.63 508.454, 252734.64 6750171.57 507.084, 252741.07 6750174.31 506.294, 252742.66 6750175.76 506.074, 252745.99 6750177.31 505.674, 252750.43 6750179.37 505.014, 252755.88 6750182.37 504.124, 252762.49 6750185.35 503.504, 252763.21 6750186.98 503.374, 252765.04 6750187.99 503.274, 252767.77 6750188.73 502.994, 252770.73 6750189.27 502.844, 252774.24 6750190.44 502.634, 252777.68 6750192.11 502.444, 252783.01 6750194.69 502.004, 252787.87 6750196.9 501.534, 252792.27 6750199.21 501.174, 252796.6 6750201.19 500.814, 252803.49 6750205.09 500.284, 252812.7 6750209.16 499.304, 252817.61 6750211.89 498.744, 252820.39 6750213.18 498.384, 252822.74 6750214.82 498.094, 252824.76 6750216.32 497.874, 252827.18 6750217.26 497.654, 252828.84 6750218.03 497.344, 252829.93 6750219.7 497.324, 252830.8 6750219.76 497.154)</t>
  </si>
  <si>
    <t>POLYGON ((252680.23651621424 6750143.1751947785, 252680.19296568184 6750143.210665641, 252680.15366829475 6750143.250797255, 252680.11911995945 6750143.295083184, 252679.16911995944 6750144.665083184, 252679.14062806746 6750144.71135318, 252679.1173255103 6750144.760441786, 252679.0994875098 6750144.811769227, 252679.08732474706 6750144.864729283, 252678.90732474707 6750145.904729283, 252678.90135887498 6750145.953162133, 252678.9001427243 6750146.001945876, 252678.90368787924 6750146.050615829, 252678.91196057104 6750146.098708399, 252678.92488199958 6750146.145765483, 252678.94232908398 6750146.19133885, 252678.964135635 6750146.234994398, 252678.99009393813 6750146.276316294, 252680.38009393815 6750148.266316295, 252680.410492715 6750148.30553682, 252680.4446293885 6750148.341551022, 252680.4821677349 6750148.374004184, 252680.52273802622 6750148.402576665, 252680.56594067172 6750148.4269870445, 252684.5159406717 6750150.406987044, 252684.53488326934 6750150.415990271, 252690.31488326934 6750153.01599027, 252690.32512873836 6750153.020461932, 252696.17484043003 6750155.496107836, 252704.40475687294 6750159.421298566, 252704.41916925245 6750159.427894104, 252707.83916925246 6750160.927894104, 252707.84998579408 6750160.932487407, 252711.71561219855 6750162.520690503, 252716.71829953848 6750164.687523144, 252721.77534262228 6750166.956196622, 252721.81996831397 6750166.9736980675, 252721.86606485868 6750166.986845749, 252721.91320858264 6750166.995518826, 252721.96096618733 6750166.999637582, 252722.91961940445 6750167.036157705, 252725.41272140582 6750168.089444985, 252734.44004327487 6750172.028276454, 252734.44399047765 6750172.029978551, 252740.79584797035 6750174.736679877, 252742.32308575563 6750176.129443895, 252742.36215190194 6750176.161604919, 252742.40426860284 6750176.189652711, 252742.44900449994 6750176.213300009, 252745.77900449993 6750177.763300009, 252745.77956440824 6750177.763560207, 252750.203958088 6750179.816319437, 252755.6388863767 6750182.808023082, 252755.67450230566 6750182.825818712, 252762.10998284695 6750185.727139742, 252762.75263257773 6750187.182027328, 252762.77335452597 6750187.223599528, 252762.79784498145 6750187.263069321, 252762.82589257706 6750187.30009606, 252762.85725524562 6750187.334360182, 252762.8916623088 6750187.365565967, 252762.92881681345 6750187.39344409, 252762.96839809424 6750187.417753949, 252764.79839809425 6750188.427753949, 252764.85244935754 6750188.453491917, 252764.9091893332 6750188.472585298, 252767.6391893332 6750189.212585298, 252767.68026482666 6750189.221881692, 252770.60545482882 6750189.755531219, 252774.050962378 6750190.904033736, 252777.4616387054 6750192.559798116, 252777.4621533274 6750192.560047584, 252782.7921533274 6750195.140047584, 252782.80302797025 6750195.145151161, 252787.6501290548 6750197.349285604, 252792.03758305052 6750199.652698952, 252792.06207048538 6750199.664714544, 252796.3724634167 6750201.635748725, 252803.2437008901 6750205.525128427, 252803.28789875272 6750205.547334763, 252812.47699830844 6750209.608098628, 252817.36702741525 6750212.326994648, 252817.39954021966 6750212.343548983, 252820.13979016498 6750213.615103814, 252822.4478196156 6750215.225813729, 252824.46191118058 6750216.721426277, 252824.4989469093 6750216.746440247, 252824.53806828902 6750216.768047225, 252824.57896276438 6750216.786074586, 252826.98408440643 6750217.720295389, 252828.4996149902 6750218.423282467, 252829.51129448623 6750219.973286833, 252829.5414959567 6750220.014745307, 252829.57578594104 6750220.052891485, 252829.61380358052 6750220.087323927, 252829.65514878754 6750220.117680274, 252829.6993864561 6750220.143641064, 252829.74605104068 6750220.164933093, 252829.79465145548 6750220.181332288, 252829.8446762426 6750220.192666071, 252829.8955989544 6750220.198815164, 252830.7655989544 6750220.258815164, 252830.83440104558 6750219.261184836, 252830.21268028519 6750219.218307543, 252829.25870551376 6750217.756713168, 252829.23150603203 6750217.718996742, 252829.20092027282 6750217.683970296, 252829.16721278336 6750217.651936785, 252829.13067511193 6750217.623173282, 252829.09162328613 6750217.597928569, 252829.05039507916 6750217.576420999, 252827.39039507916 6750216.806420999, 252827.36103723562 6750216.793925414, 252825.00392451408 6750215.878352704, 252823.03808881942 6750214.418573723, 252823.0261453797 6750214.409974609, 252820.67614537972 6750212.769974608, 252820.63925438217 6750212.746557671, 252820.60045978034 6750212.726451016, 252817.83701837374 6750211.44413468, 252812.94297258474 6750208.723005352, 252812.90210124728 6750208.702665237, 252803.71475004283 6750204.642673988, 252796.8462991099 6750200.754871573, 252796.80792951462 6750200.735285456, 252792.49033717564 6750198.760959167, 252788.10241694946 6750196.457301049, 252788.07697202975 6750196.44484884, 252783.22244001616 6750194.237335311, 252777.89810381492 6750191.660076887, 252774.4583612946 6750189.990201885, 252774.3981138831 6750189.965658352, 252770.88811388312 6750188.795658351, 252770.81973517334 6750188.778118308, 252767.88046885192 6750188.241900804, 252765.2289047044 6750187.523161804, 252763.5992339328 6750186.623726023, 252762.94736742225 6750185.147972672, 252762.9238058656 6750185.10137886, 252762.89551386374 6750185.057496143, 252762.86279992736 6750185.016803039, 252762.82602078633 6750184.97974329, 252762.78557749957 6750184.946721012, 252762.7419110817 6750184.918096298, 252762.69549769434 6750184.894181288, 252756.10366019243 6750181.922369525, 252750.6711136233 6750178.931976918, 252750.64043559175 6750178.916439793, 252746.20071559417 6750176.856569704, 252742.9403718491 6750175.338992285, 252741.40691424438 6750173.940556104, 252741.36343747462 6750173.905161207, 252741.31627157558 6750173.874855988, 252741.26600952237 6750173.850021449, 252734.83798675667 6750171.110864003, 252725.80995672513 6750167.171723546, 252725.80458702063 6750167.169417878, 252723.22458702064 6750166.079417878, 252723.182205627 6750166.063729649, 252723.1385808333 6750166.051932174, 252723.0940690197 6750166.044121829, 252723.04903381268 6750166.040362418, 252722.09606372647 6750166.004058795, 252717.12465737775 6750163.773803378, 252717.1187266149 6750163.771188783, 252712.10872661488 6750161.601188783, 252712.10001420593 6750161.597512593, 252708.235449468 6750160.009745684, 252704.82808920648 6750158.51528943, 252696.59524312706 6750154.5887014335, 252696.57487126163 6750154.579538068, 252690.72001901327 6750152.101716638, 252684.95468246366 6750149.508312654, 252681.1273427097 6750147.5897980435, 252679.927780667 6750145.872439436, 252680.05383416358 6750145.1441303445, 252680.89238489993 6750143.934851914, 252681.62348378575 6750143.404805222, 252681.03651621423 6750142.595194778, 252680.23651621424 6750143.1751947785))</t>
  </si>
  <si>
    <t>['FV2388 S2D1 m6148-6366']</t>
  </si>
  <si>
    <t>LINESTRING Z (252669.43 6750126.47 514.304, 252672.5 6750127.94 513.994, 252676.76 6750129.87 513.714, 252678.98 6750131.17 513.314, 252684.29 6750133.84 512.794, 252692.8 6750137.83 511.884, 252700.54 6750141.36 511.084, 252708.75 6750145.1 510.264, 252718.3 6750149.51 509.264, 252725.69 6750152.98 508.374, 252734.81 6750157.3 507.424, 252743.34 6750161.56 506.184, 252749.11 6750164.49 505.464, 252757.26 6750168.47 504.514, 252766.22 6750172.52 503.504, 252773.21 6750175.99 502.684, 252776.62 6750177.61 502.234, 252777.98 6750177.86 502.104, 252779.17 6750178.59 502.014, 252782.68 6750180.63 501.534, 252787.73 6750182.79 500.994, 252792.29 6750185.03 500.444, 252795.69 6750186.49 500.174, 252800.29 6750187.5 499.774, 252807.8 6750191.18 498.994, 252814.6 6750194.37 498.244, 252821.77 6750197.49 497.824, 252824.22 6750198.68 497.634, 252827.2 6750200.13 497.264, 252831.11 6750201.7 496.954, 252834.29 6750202.6 496.854, 252837.34 6750202.98 496.404, 252841.07 6750204.09 495.184, 252844.45 6750204.67 493.994, 252846.66 6750204.52 493.294, 252848.42 6750203.72 492.564, 252850.35 6750202.19 492.124, 252851.75 6750200.72 491.714, 252852.15 6750199.44 492.134, 252854.16 6750197.52 491.534, 252855.49 6750198.51 490.394, 252857.3 6750200 489.074, 252858.43 6750200.2 488.814, 252859.12 6750199 488.894, 252861.91 6750197.3 488.654, 252865.43 6750196.17 487.924, 252867.13 6750196.16 487.114, 252868.87 6750199.55 487.174, 252867.9 6750201.49 487.834, 252866.43 6750203.02 488.524, 252864.21 6750204.56 488.964, 252862.23 6750205.72 489.414, 252860.29 6750205.58 489.544)</t>
  </si>
  <si>
    <t>POLYGON ((252672.28406436127 6750128.390967627, 252672.29366253022 6750128.395439182, 252676.52987510496 6750130.31466225, 252678.72733979108 6750131.601465895, 252678.75538426303 6750131.616707701, 252684.06538426303 6750134.286707701, 252684.07774217438 6750134.2927103, 252692.58774217436 6750138.2827103, 252692.59252301694 6750138.284921204, 252700.33252301696 6750141.814921204, 252708.54155023355 6750145.554478112, 252718.08893054922 6750149.963268394, 252725.47672022792 6750153.43223053, 252734.591256258 6750157.749642334, 252743.11510697086 6750162.006571295, 252748.88361601756 6750164.935814191, 252748.89059270226 6750164.939288814, 252757.04059270228 6750168.919288813, 252757.05405678035 6750168.9256175915, 252766.00579574416 6750172.971883529, 252772.98767552918 6750176.437852465, 252772.99544457797 6750176.441625919, 252776.40544457798 6750178.061625919, 252776.44560950628 6750178.07860213, 252776.48710078822 6750178.092014315, 252776.52960285544 6750178.101760467, 252777.79796846973 6750178.334915911, 252778.90855102433 6750179.016197645, 252778.91875399242 6750179.022290925, 252782.4287539924 6750181.062290925, 252782.48337000143 6750181.089713654, 252787.52131563728 6750183.244557728, 252792.06954806016 6750185.478777164, 252792.09271423114 6750185.489432612, 252795.49271423114 6750186.949432612, 252795.53705717277 6750186.966034129, 252795.5827716488 6750186.978366748, 252800.1240108426 6750187.975464919, 252807.57998755507 6750191.6289927885, 252807.58764663013 6750191.63266549, 252814.38764663014 6750194.82266549, 252814.4004966645 6750194.828474011, 252821.5609313828 6750197.944311713, 252824.00139071877 6750199.129677676, 252826.9812341683 6750200.579601502, 252827.0136910234 6750200.59399242, 252830.92369102337 6750202.16399242, 252830.97383876715 6750202.181103023, 252834.15383876718 6750203.081103022, 252834.19072479053 6750203.090045338, 252834.2281828551 6750203.096163925, 252837.23708371492 6750203.471043377, 252840.9273872534 6750204.56923022, 252840.98543715893 6750204.582797246, 252844.36543715894 6750205.162797246, 252844.4244678242 6750205.169347682, 252844.4838587513 6750205.168852268, 252846.6938587513 6750205.018852267, 252846.73841686954 6750205.013812509, 252846.7823442574 6750205.004800868, 252846.82528759365 6750204.991889829, 252846.86690147212 6750204.975183238, 252848.62690147213 6750204.175183238, 252848.68068892107 6750204.146662965, 252848.73061140042 6750204.111816995, 252850.6606114004 6750202.5818169955, 252850.7120689656 6750202.534827586, 252852.1120689656 6750201.064827586, 252852.14210103668 6750201.030252763, 252852.16884362514 6750200.993075114, 252852.19207237748 6750200.953606535, 252852.21159241907 6750200.912178143, 252852.227239989 6750200.869137497, 252852.58872891232 6750199.712372943, 252854.200095043 6750198.173157534, 252855.18165140128 6750198.90378971, 252856.98222113546 6750200.386026674, 252857.0234752755 6750200.4165742155, 252857.0676440486 6750200.44273097, 252857.1142619058 6750200.464221241, 252857.1628374844 6750200.480818515, 252857.21285878686 6750200.492347853, 252858.34285878687 6750200.692347853, 252858.3934499262 6750200.698662302, 252858.44442108925 6750200.699791989, 252858.49524231127 6750200.695725167, 252858.54538518665 6750200.68650412, 252858.5943283627 6750200.672224724, 252858.64156296046 6750200.653035444, 252858.68659786566 6750200.6291358005, 252858.7289648349 6750200.600774285, 252858.76822336434 6750200.568245782, 252858.8039652696 6750200.531888501, 252858.8358189298 6750200.492080462, 252858.86345315154 6750200.449235562, 252859.48958469494 6750199.360311138, 252862.11941598513 6750197.757904976, 252865.5097219855 6750196.6695396975, 252866.82554425948 6750196.661799567, 252868.30950286068 6750199.55296029, 252867.4867817863 6750201.198402438, 252866.1040149866 6750202.637608699, 252863.94073714418 6750204.138260896, 252862.11117627853 6750205.210124837, 252860.32598888475 6750205.081296882, 252860.25401111526 6750206.0787031185, 252862.19401111527 6750206.218703118, 252862.24414446097 6750206.219799894, 252862.29413553857 6750206.215869572, 252862.34348152674 6750206.206951684, 252862.39168609263 6750206.193135929, 252862.43826438402 6750206.174561268, 252862.48274790603 6750206.1514145285, 252864.46274790601 6750204.991414528, 252864.49498978592 6750204.970829431, 252866.71498978592 6750203.430829431, 252866.7543740613 6750203.4005016005, 252866.79055235506 6750203.366413047, 252868.26055235506 6750201.836413047, 252868.29351502494 6750201.798457331, 252868.32249977105 6750201.757383514, 252868.34721359552 6750201.713606798, 252869.31721359552 6750199.773606798, 252869.33618865805 6750199.730743285, 252869.3510662324 6750199.686291159, 252869.36171555452 6750199.640641124, 252869.36804302395 6750199.594194414, 252869.36999302646 6750199.547359265, 252869.36754842283 6750199.500547326, 252869.36073069947 6750199.454170044, 252869.34959977964 6750199.408635042, 252869.33425349675 6750199.364342544, 252869.31482673454 6750199.321681852, 252867.57482673455 6750195.931681853, 252867.54974972786 6750195.888319736, 252867.52045989572 6750195.847684342, 252867.4872512059 6750195.810183511, 252867.450456958 6750195.776193619, 252867.41044643812 6750195.746055807, 252867.36762121262 6750195.720072553, 252867.3224110976 6750195.698504638, 252867.27526984515 6750195.681568529, 252867.22667058933 6750195.6694342075, 252867.17710109742 6750195.662223457, 252867.1270588745 6750195.66000865, 252865.42705887448 6750195.67000865, 252865.37637086946 6750195.672884404, 252865.32623579015 6750195.680885506, 252865.27717053806 6750195.693929464, 252861.75717053807 6750196.8239294635, 252861.70204784579 6750196.845295808, 252861.6498323512 6750196.873018976, 252858.85983235118 6750198.5730189765, 252858.8183680555 6750198.601229176, 252858.77993830168 6750198.633451175, 252858.74492970892 6750198.669360806, 252858.71369447807 6750198.708596803, 252858.68654684845 6750198.750764438, 252858.1715111562 6750199.646478686, 252857.51641858747 6750199.530533098, 252855.80777886452 6750198.123973326, 252855.78855051802 6750198.108916981, 252854.45855051803 6750197.118916981, 252854.4169444933 6750197.091071652, 252854.37276242135 6750197.067526628, 252854.32644725833 6750197.048517964, 252854.27846334595 6750197.034236235, 252854.22929175626 6750197.024824624, 252854.17942546855 6750197.020377491, 252854.12936442706 6750197.02093942, 252854.07961052845 6750197.026504779, 252854.03066259014 6750197.037017769, 252853.9830113492 6750197.052372993, 252853.9371345424 6750197.072416501, 252853.8934921166 6750197.096947346, 252853.85252161746 6750197.125719586, 252853.81463380277 6750197.158444762, 252851.80463380276 6750199.078444763, 252851.7699121772 6750199.11514119, 252851.7390708212 6750199.15515406, 252851.71242459025 6750199.198074887, 252851.69024551238 6750199.243465497, 252851.672760011 6750199.290862503, 252851.30753234326 6750200.459591039, 252850.0120186177 6750201.819880452, 252848.1573641629 6750203.290150563, 252846.5356595501 6750204.027289024, 252844.47571358562 6750204.167104361, 252841.18399290578 6750203.602252883, 252837.4826127466 6750202.50076978, 252837.4425650171 6750202.4906326365, 252837.4018171449 6750202.483836075, 252834.389562054 6750202.108538719, 252831.2716890632 6750201.226121835, 252827.40279302897 6750199.672626496, 252824.4387658317 6750198.230398498, 252821.98845198128 6750197.040245921, 252821.9695033355 6750197.031525989, 252814.8059693064 6750193.914339633, 252808.01619854258 6750190.729138348, 252800.51001244492 6750187.051007211, 252800.4548005213 6750187.027939847, 252800.3972283512 6750187.011633252, 252795.84363168132 6750186.011821809, 252792.49900475933 6750184.57559966, 252787.95045193986 6750182.341222837, 252787.92662999858 6750182.330286346, 252782.90477752947 6750180.182325686, 252779.42638369245 6750178.16069508, 252778.2414489757 6750177.433802355, 252778.20113760236 6750177.411560304, 252778.15895123355 6750177.393120512, 252778.1152475618 6750177.378639328, 252778.07039714456 6750177.368239534, 252776.77511731963 6750177.130136625, 252773.42845626257 6750175.540227267, 252766.44232447082 6750172.072147535, 252766.42594321966 6750172.064382408, 252757.47272235726 6750168.017446639, 252749.33290916687 6750164.042421302, 252743.56638398243 6750161.114185809, 252743.5633970107 6750161.112681572, 252735.0333970107 6750156.852681573, 252735.02404317234 6750156.84813108, 252725.90404317234 6750152.528131081, 252725.90251501912 6750152.527410378, 252718.5125150191 6750149.057410377, 252718.50961951277 6750149.056062053, 252708.95961951278 6750144.646062053, 252708.95727720635 6750144.644987737, 252700.74737807573 6750140.905033688, 252693.00987322722 6750137.376171657, 252684.50847800795 6750133.390206096, 252679.21888134556 6750130.730465401, 252677.01266020894 6750129.438534105, 252676.96633746978 6750129.414560818, 252672.71116024762 6750127.486745786, 252669.64593563872 6750126.019032373, 252669.21406436127 6750126.920967626, 252672.28406436127 6750128.390967627))</t>
  </si>
  <si>
    <t>['FV2388 S2D1 m6074-6139']</t>
  </si>
  <si>
    <t>LINESTRING Z (252602.34 6750095.38 516.724, 252607.3 6750097.57 516.654, 252614.75 6750101.02 516.434, 252620.18 6750103.3 516.364, 252625.83 6750105.88 516.274, 252633.2 6750109.45 515.914, 252640.33 6750113.01 515.544, 252646.02 6750115.59 515.414, 252652.08 6750118.41 515.114, 252656.45 6750119.69 514.994, 252658.14 6750120.48 514.874, 252659.57 6750121.68 514.784, 252660.11 6750122.96 514.514, 252659.94 6750124.02 514.554)</t>
  </si>
  <si>
    <t>POLYGON ((252607.09395123718 6750098.025591836, 252614.53989178032 6750101.473711953, 252614.55642706045 6750101.4810092375, 252619.9793210557 6750103.758025501, 252625.6171417438 6750106.332463974, 252632.97932817478 6750109.898679112, 252640.10664419903 6750113.457339006, 252640.1235206967 6750113.465374897, 252645.8112797139 6750116.044358775, 252651.8690488139 6750118.863320634, 252651.9037509027 6750118.877906247, 252651.93945195386 6750118.889839814, 252656.27283200785 6750120.1591136055, 252657.86884013203 6750120.905176575, 252659.15620027072 6750121.985478789, 252659.59361637163 6750123.022316954, 252659.4463087812 6750123.940823106, 252660.43369121882 6750124.099176893, 252660.6036912188 6750123.039176893, 252660.60891197153 6750122.992967327, 252660.60981697546 6750122.946472582, 252660.606398402 6750122.900094855, 252660.59868582292 6750122.854235325, 252660.58674595447 6750122.809290694, 252660.5706820805 6750122.765649747, 252660.0306820805 6750121.485649747, 252660.01024479725 6750121.442967262, 252659.9858638416 6750121.402408096, 252659.95775761592 6750121.364335571, 252659.92617789315 6750121.3290907405, 252659.89140756163 6750121.296989322, 252658.46140756164 6750120.096989322, 252658.42692668614 6750120.070520969, 252658.39027721368 6750120.047147466, 252658.35173614137 6750120.027045471, 252656.66173614137 6750119.237045471, 252656.62665430031 6750119.2222465845, 252656.59054804614 6750119.2101601865, 252652.25674999485 6750117.940763961, 252646.23095118607 6750115.136679366, 252646.22647930327 6750115.134625102, 252640.54499266844 6750112.558485293, 252633.42335580097 6750109.002660994, 252633.417971954 6750109.000013081, 252626.047971954 6750105.430013081, 252626.0376896192 6750105.4251758335, 252620.3876896192 6750102.845175833, 252620.37357293954 6750102.838990762, 252614.95190653353 6750100.56248995, 252607.51010821966 6750097.116288047, 252607.50195631717 6750097.112601218, 252602.54195631717 6750094.922601217, 252602.13804368282 6750095.837398782, 252607.09395123718 6750098.025591836))</t>
  </si>
  <si>
    <t>['FV2388 S2D1 m6072-6159']</t>
  </si>
  <si>
    <t>LINESTRING Z (252595.59 6750103.73 516.364, 252596.05 6750104.99 516.604, 252596.78 6750106.15 516.974, 252598.71 6750107.24 516.924, 252601.43 6750108.45 516.814, 252602.31 6750108.41 516.664, 252606.58 6750110.43 516.594, 252610.6 6750112.06 516.554, 252613.34 6750112.43 515.964, 252620.72 6750116.22 515.874, 252628.36 6750119.75 515.504, 252635.94 6750123.4 515.334, 252641.67 6750125.99 515.054, 252647.95 6750129.14 514.874, 252653.15 6750131.63 514.674, 252657.95 6750134.17 514.554, 252663.94 6750137.56 514.264, 252666.5 6750138.88 514.024, 252665.71 6750140.34 514.724, 252666.45 6750141.34 514.694, 252667.65 6750141.78 514.704, 252668.5 6750141.24 514.344, 252669.52 6750140.29 513.674, 252670.13 6750140.31 513.634, 252671.44 6750141.58 513.604, 252672.19 6750142.86 513.694, 252672.92 6750143.03 513.544, 252673.13 6750141.61 513.594, 252673.35 6750140.1 513.494)</t>
  </si>
  <si>
    <t>POLYGON ((252595.5803213401 6750105.161469988, 252595.60106057712 6750105.210121318, 252595.6268226702 6750105.256309872, 252596.3568226702 6750106.416309872, 252596.38521599994 6750106.456831539, 252596.41747534947 6750106.494348483, 252596.4532848111 6750106.52849331, 252596.49229371193 6750106.558931647, 252596.53412004773 6750106.58536542, 252598.46412004772 6750107.67536542, 252598.50677494463 6750107.696836488, 252601.22677494463 6750108.906836488, 252601.2699819178 6750108.923702664, 252601.31456588526 6750108.936492513, 252601.36014319115 6750108.945095977, 252601.40632163177 6750108.949439021, 252601.45270383047 6750108.94948427, 252602.208539237 6750108.915128116, 252606.366184359 6750110.881976627, 252606.39212069096 6750110.893358787, 252610.41212069098 6750112.5233587865, 252610.45149888285 6750112.537438392, 252610.4919159156 6750112.548178072, 252610.53308905155 6750112.555502699, 252613.18798052677 6750112.914009942, 252620.49158476794 6750116.66477689, 252620.510282556 6750116.673892711, 252628.14666486418 6750120.202221187, 252635.72307432155 6750123.850492232, 252635.73405751723 6750123.8556179255, 252641.45485300568 6750126.4414574215, 252647.72582404775 6750129.586928565, 252647.73405746734 6750129.590964325, 252652.92500855535 6750132.076631288, 252657.70988833468 6750134.608630172, 252663.69373203287 6750137.995146054, 252663.71085543337 6750138.004401583, 252665.8175156323 6750139.090648249, 252665.270248943 6750140.10205251, 252665.24977388323 6750140.144572465, 252665.23339883907 6750140.188833425, 252665.221269691 6750140.234441082, 252665.21349449398 6750140.280989132, 252665.21014251484 6750140.328062892, 252665.21124361537 6750140.375242996, 252665.21678798622 6750140.422109132, 252665.22672623422 6750140.468243781, 252665.24096982257 6750140.513235945, 252665.25939185938 6750140.556684802, 252665.2818282283 6750140.59820328, 252665.3080790504 6750140.637421503, 252666.0480790504 6750141.637421503, 252666.0787887696 6750141.674966002, 252666.11299184815 6750141.709358235, 252666.15036641096 6750141.740274546, 252666.19056073713 6750141.767423992, 252666.23319656966 6750141.790551077, 252666.2778726753 6750141.809438158, 252667.47787267528 6750142.249438158, 252667.52653537836 6750142.264516757, 252667.57647985296 6750142.274565252, 252667.62718759105 6750142.279479323, 252667.6781321605 6750142.279207954, 252667.72878467056 6750142.273753963, 252667.7786192625 6750142.26317397, 252667.82711856897 6750142.247577814, 252667.87377908514 6750142.2271274105, 252667.9181163959 6750142.202035068, 252668.7681163959 6750141.662035068, 252668.80573769764 6750141.635631723, 252668.84077551714 6750141.605885292, 252669.70980842263 6750140.7964918995, 252669.9206152317 6750140.803403598, 252671.04304752898 6750141.891563154, 252671.75860031982 6750143.112773251, 252671.78643240518 6750143.155183327, 252671.81841839475 6750143.1945550935, 252671.85422905823 6750143.230483299, 252671.89349579797 6750143.2625981355, 252671.93581444307 6750143.290569046, 252671.9807494095 6750143.314108127, 252672.0278381835 6750143.332973092, 252672.0765960823 6750143.346969765, 252672.80659608232 6750143.516969765, 252672.85440118288 6750143.525678117, 252672.90282584145 6750143.529704962, 252672.951412704 6750143.529012267, 252672.99970288447 6750143.523606574, 252673.0472402989 6750143.51353894, 252673.093575973 6750143.498904449, 252673.1382722824 6750143.479841318, 252673.18090708603 6750143.456529592, 252673.22107771298 6750143.429189443, 252673.25840476566 6750143.398079088, 252673.29253570305 6750143.363492354, 252673.3231481703 6750143.325755901, 252673.34995304333 6750143.285226136, 252673.37269715944 6750143.2422858495, 252673.39116570834 6750143.197340597, 252673.405184261 6750143.15081487, 252673.41462041705 6750143.10314809, 252673.62462041705 6750141.68314809, 252673.62477623386 6750141.682086604, 252673.84477623386 6750140.172086603, 252672.85522376615 6750140.027913396, 252672.63530110315 6750141.537382584, 252672.50616843053 6750142.410565417, 252671.87139968018 6750141.32722675, 252671.8468490223 6750141.289356106, 252671.8189834882 6750141.253853536, 252671.78803011723 6750141.2210083045, 252670.47803011723 6750139.951008304, 252670.4435230826 6750139.920508951, 252670.4063561859 6750139.893313956, 252670.36684474305 6750139.869654036, 252670.32532396063 6750139.849729915, 252670.28214609195 6750139.833710627, 252670.2376774487 6750139.821732074, 252670.19229529327 6750139.813895881, 252670.14638463804 6750139.810268528, 252669.53638463802 6750139.790268528, 252669.4874945589 6750139.791057723, 252669.438915344 6750139.796618527, 252669.3911115782 6750139.806897759, 252669.34454043047 6750139.821797118, 252669.29964728164 6750139.84117411, 252669.2568614652 6750139.864843427, 252669.2165921611 6750139.892578708, 252669.17922448285 6750139.924114708, 252668.1929650792 6750140.842689643, 252667.59030073133 6750141.225558758, 252666.76279699558 6750140.922140721, 252666.3011042052 6750140.298231545, 252666.93975105698 6750139.11794749, 252666.96119716892 6750139.073124756, 252666.97808847338 6750139.026394712, 252666.99025815082 6750138.978218866, 252666.99758601288 6750138.929073004, 252666.9999996892 6750138.879442496, 252666.99747534216 6750138.829817493, 252666.99003790235 6750138.780688096, 252666.97776082234 6750138.7325395085, 252666.96076535122 6750138.685847248, 252666.93921933716 6750138.64107245, 252666.9133355697 6750138.598657314, 252666.88336967834 6750138.559020733, 252666.84961760778 6750138.52255416, 252666.81241269526 6750138.489617742, 252666.77212237843 6750138.460536758, 252666.72914456663 6750138.435598416, 252664.17779636694 6750137.1200595, 252658.19626796714 6750133.734853946, 252658.18385925054 6750133.728061259, 252653.38385925052 6750131.188061259, 252653.36594253266 6750131.179035675, 252648.17007775555 6750128.69101581, 252641.89417595227 6750125.543071435, 252641.8759424828 6750125.534382075, 252636.15146516022 6750122.946878364, 252628.57692567844 6750119.299507769, 252628.56971744398 6750119.296107288, 252620.93916117208 6750115.770470686, 252613.56841523206 6750111.98522311, 252613.51661780872 6750111.962232804, 252613.46255153377 6750111.945251486, 252613.40691094846 6750111.934497301, 252610.7294227408 6750111.572938674, 252606.7810087277 6750109.971964832, 252602.52381564098 6750107.958023373, 252602.47882160658 6750107.939362916, 252602.43222533635 6750107.925169135, 252602.38446906174 6750107.915576741, 252602.33600602334 6750107.910676772, 252602.28729616952 6750107.91051573, 252601.5252983399 6750107.945151995, 252598.93506575178 6750106.79287941, 252597.13588688633 6750105.776762849, 252596.50146497966 6750104.768640367, 252596.0596786599 6750103.558530013, 252595.1203213401 6750103.901469988, 252595.5803213401 6750105.161469988))</t>
  </si>
  <si>
    <t>['FV2388 S2D1 m6266-6267']</t>
  </si>
  <si>
    <t>LINESTRING Z (252771.62 6750185.26 502.674, 252771.29 6750186.31 502.764, 252770.8 6750187.41 502.904)</t>
  </si>
  <si>
    <t>POLYGON ((252770.82159932458 6750186.1327352105, 252770.34326560996 6750187.20654559, 252771.25673439002 6750187.61345441, 252771.74673439004 6750186.513454409, 252771.76699685847 6750186.459913298, 252772.09699685845 6750185.409913298, 252771.14300314154 6750185.110086702, 252770.82159932458 6750186.1327352105))</t>
  </si>
  <si>
    <t>['FV2388 S2D1 m6366-6384']</t>
  </si>
  <si>
    <t>LINESTRING Z (252867.9 6750201.49 487.834, 252869.16 6750201.84 488.014, 252870.61 6750203.3 489.644, 252872.45 6750203.15 490.414, 252873.41 6750203.81 491.394, 252875.05 6750202.99 492.084, 252877.37 6750201.66 492.394, 252878.21 6750200.28 492.054, 252879.92 6750198.83 491.954, 252880.93 6750197.67 491.314, 252880.65 6750196.41 490.264, 252881.13 6750194.95 489.444, 252881.53 6750193.19 488.464, 252881.78 6750192.05 487.704, 252881.91 6750190.75 486.694, 252881.33 6750189.51 486.334, 252880.29 6750189.55 485.974, 252875.26 6750193.02 486.224)</t>
  </si>
  <si>
    <t>POLYGON Z ((252867.9 6750201.49 487.834, 252869.16 6750201.84 488.014, 252870.61 6750203.3 489.644, 252872.45 6750203.15 490.414, 252873.41 6750203.81 491.394, 252875.05 6750202.99 492.084, 252877.37 6750201.66 492.394, 252878.21 6750200.28 492.054, 252879.92 6750198.83 491.954, 252880.93 6750197.67 491.314, 252880.65 6750196.41 490.264, 252881.13 6750194.95 489.444, 252881.53 6750193.19 488.464, 252881.78 6750192.05 487.704, 252881.91 6750190.75 486.694, 252881.33 6750189.51 486.334, 252880.29 6750189.55 485.974, 252875.26 6750193.02 486.224, 252867.9 6750201.49 487.834))</t>
  </si>
  <si>
    <t>2015-01-20</t>
  </si>
  <si>
    <t>['EV10 S2D1 m9010-9120']</t>
  </si>
  <si>
    <t>LINESTRING Z (423890.39 7541048.4 5.266, 423895.93 7541051.37 4.226, 423900.72 7541052 3.856, 423906.26 7541057.86 3.646, 423911.09 7541064.07 3.466, 423915.08 7541069.55 3.546, 423918.94 7541076.49 3.696, 423924.12 7541083.97 4.456, 423929.02 7541093.46 5.156, 423932.08 7541097.41 5.446, 423935.38 7541102.99 5.936, 423940.82 7541106.12 5.877, 423944.59 7541109.68 6.087, 423948.45 7541114.4 6.807, 423953.53 7541117.83 7.167, 423955.8 7541123.53 8.877, 423959.51 7541126.55 9.067)</t>
  </si>
  <si>
    <t>POLYGON ((423895.6937568639 7541051.810669015, 423895.7344734175 7541051.830184045, 423895.776784431 7541051.845946414, 423895.82034487097 7541051.857827585, 423895.8647995153 7541051.865730669, 423900.4786914244 7541052.472568227, 423905.8801147455 7541058.18598712, 423910.69045729534 7541064.370713255, 423914.6578533893 7541069.819668291, 423918.50304021145 7541076.733035272, 423918.5289434751 7541076.774662139, 423923.6905493684 7541084.228100765, 423928.575726606 7541093.689393006, 423928.59847586515 7541093.728918954, 423928.62473191734 7541093.766207679, 423931.6655625316 7541097.691462884, 423934.94962889183 7541103.244520548, 423934.9780561896 7541103.287390607, 423935.01073758566 7541103.32711314, 423935.04732718604 7541103.363267731, 423935.08743773337 7541103.395471726, 423935.1306447048 7541103.423384284, 423940.5195641597 7541106.523994191, 423944.22331986076 7541110.021439892, 423948.06294828915 7541114.716529577, 423948.09547149116 7541114.752575576, 423948.13133729127 7541114.785297389, 423948.17020753585 7541114.8143865075, 423953.122495185 7541118.15815553, 423955.3354811705 7541123.7149925865, 423955.3566660928 7541123.761203475, 423955.3824337527 7541123.805024416, 423955.41251779016 7541123.8460024325, 423955.4466072268 7541123.8837139355, 423955.4843496805 7541123.917769101, 423959.1943496805 7541126.937769101, 423959.8256503195 7541126.162230899, 423956.2164367538 7541123.224272687, 423953.9945188295 7541117.645007414, 423953.9738096508 7541117.599711064, 423953.948696763 7541117.556699761, 423953.91942934936 7541117.516400284, 423953.8862978162 7541117.479212506, 423953.8496309118 7541117.445505423, 423953.8097924642 7541117.415613493, 423948.7906021585 7541114.0266720075, 423944.9770517109 7541109.363470423, 423944.93328345055 7541109.316466683, 423941.1632834505 7541105.756466683, 423941.11837050796 7541105.718783052, 423941.0693552952 7541105.686615717, 423935.74339637236 7541102.622231263, 423932.5103711082 7541097.155479453, 423932.4752680827 7541097.103792321, 423929.4432848553 7541093.189957762, 423924.564273394 7541083.740606993, 423924.5310565249 7541083.685337861, 423919.3650298344 7541076.225515536, 423915.51695978857 7541069.306964728, 423915.48420850013 7541069.255694905, 423911.49420850014 7541063.775694906, 423911.4846761087 7541063.763029694, 423906.6546761087 7541057.553029694, 423906.62333458255 7541057.516506214, 423901.0833345825 7541051.656506213, 423901.04816125886 7541051.622759774, 423901.00986911077 7541051.592598602, 423900.9688220641 7541051.56630935, 423900.9254102277 7541051.544141866, 423900.8800461849 7541051.52630683, 423900.8331610728 7541051.512973746, 423900.7852004847 7541051.504269331, 423896.0857505894 7541050.886178844, 423890.6262431361 7541047.959330985, 423890.1537568639 7541048.840669015, 423895.6937568639 7541051.810669015))</t>
  </si>
  <si>
    <t>['EV10 S2D1 m9010-9125']</t>
  </si>
  <si>
    <t>LINESTRING Z (423956.24 7541137.55 11.527, 423950.22 7541131.64 11.127, 423944.61 7541125.93 10.866, 423941.98 7541121.82 10.096, 423937.01 7541117.2 9.606, 423932.32 7541112.55 9.146, 423927.48 7541107.84 9.416, 423923.02 7541103.38 9.356, 423919.34 7541098.27 8.516, 423915.37 7541093.35 8.256, 423911.74 7541089.28 8.396, 423906.97 7541083.5 8.806, 423903.32 7541078.41 8.546, 423900.49 7541073.4 8.206, 423897.39 7541068.17 8.026, 423894.3 7541064.2 8.206, 423891.35 7541057.71 7.306, 423890.28 7541051.67 6.166, 423890.39 7541048.4 5.266)</t>
  </si>
  <si>
    <t>POLYGON ((423950.57349946466 7541131.286363886, 423945.0031176332 7541125.616688261, 423942.40115430916 7541121.55050223, 423942.37699390267 7541121.516033158, 423942.3500198541 7541121.483718411, 423942.32042333845 7541121.453787015, 423937.3563194295 7541116.839267888, 423932.67203601496 7541112.194935718, 423932.66870831524 7541112.191667039, 423927.83114710305 7541107.484040322, 423923.40212447656 7541103.055017696, 423919.7457370483 7541097.977805804, 423919.7291192372 7541097.956015575, 423915.7591192372 7541093.036015575, 423915.7431477172 7541093.017192576, 423912.11953223456 7541088.954350975, 423907.36643815297 7541083.194836553, 423903.7420640583 7541078.1405724045, 423900.9253461401 7541073.154085914, 423900.92011904664 7541073.14505372, 423897.82011904666 7541067.91505372, 423897.7845690518 7541067.862892098, 423894.7307845305 7541063.93942137, 423891.83131748583 7541057.560593871, 423890.7814800737 7541051.634408853, 423890.88971734187 7541048.416810064, 423889.89028265816 7541048.383189937, 423889.7802826582 7541051.653189937, 423889.7812545261 7541051.705397066, 423889.78766576975 7541051.75721815, 423890.8576657697 7541057.79721815, 423890.866689265 7541057.838104385, 423890.87910194317 7541057.878092296, 423890.89481676125 7541057.916901472, 423893.84481676127 7541064.406901472, 423893.8721798615 7541064.458785489, 423893.9054309482 7541064.507107902, 423896.97600633657 7541068.452151362, 423900.0572202843 7541073.650457474, 423902.8846538599 7541078.655914087, 423902.9136733464 7541078.70137373, 423906.56367334636 7541083.79137373, 423906.5843624929 7541083.818251022, 423911.3543624929 7541089.598251022, 423911.3668522828 7541089.612807424, 423914.9886341238 7541093.673593123, 423918.9422731761 7541098.573317087, 423922.61426295177 7541103.672194195, 423922.6391171697 7541103.703926333, 423922.6664466094 7541103.73355339, 423927.1264466094 7541108.19355339, 423927.13129168475 7541108.198332961, 423931.9696201835 7541112.9067063555, 423936.65796398505 7541117.555064282, 423936.66957666154 7541117.566212986, 423941.59307008656 7541122.142981522, 423944.1888456908 7541126.19949777, 423944.2189925859 7541126.241629912, 423944.2533372626 7541126.280416454, 423949.8633372626 7541131.990416454, 423949.8697214211 7541131.996798146, 423955.8897214211 7541137.906798146, 423956.59027857886 7541137.193201854, 423950.57349946466 7541131.286363886))</t>
  </si>
  <si>
    <t>2015-01-27</t>
  </si>
  <si>
    <t>[710]</t>
  </si>
  <si>
    <t>['FV710 S5D1 m4079-4105']</t>
  </si>
  <si>
    <t>LINESTRING Z (239831.96 7062669.23 0.415, 239829.33 7062666.19 2.835, 239825.3 7062661.63 4.995, 239822.12 7062659.9 6.905, 239816.61 7062657.61 11.025, 239815.08 7062657.03 12.175, 239814.93 7062656.97 12.175, 239817.93 7062652.31 12.255, 239820.09 7062653.96 10.015, 239823.29 7062656.67 6.755, 239826.45 7062652.99 6.735, 239823.34 7062650.42 9.605, 239820.81 7062648.3 12.205, 239824.22 7062644.2 12.495, 239828.4 7062640.11 12.915, 239828.41 7062640.14 12.915, 239830.26 7062647.99 7.625, 239832.75 7062654.77 5.105, 239835.88 7062660.78 2.555, 239838.57 7062662.76 1.055, 239839.49 7062664.09 0.415)</t>
  </si>
  <si>
    <t>POLYGON Z ((239831.96 7062669.23 0.415, 239829.33 7062666.19 2.835, 239825.3 7062661.63 4.995, 239822.12 7062659.9 6.905, 239816.61 7062657.61 11.025, 239815.08 7062657.03 12.175, 239814.93 7062656.97 12.175, 239817.93 7062652.31 12.255, 239820.09 7062653.96 10.015, 239823.29 7062656.67 6.755, 239826.45 7062652.99 6.735, 239823.34 7062650.42 9.605, 239820.81 7062648.3 12.205, 239824.22 7062644.2 12.495, 239828.4 7062640.11 12.915, 239828.41 7062640.14 12.915, 239830.26 7062647.99 7.625, 239832.75 7062654.77 5.105, 239835.88 7062660.78 2.555, 239838.57 7062662.76 1.055, 239839.49 7062664.09 0.415, 239831.96 7062669.23 0.415))</t>
  </si>
  <si>
    <t>2014-12-19</t>
  </si>
  <si>
    <t>['EV18 S39D1 m0-1', 'EV18 S38D1 m2830-3145']</t>
  </si>
  <si>
    <t>LINESTRING Z (236105.209960938 6583484.0300293 35.346, 236100.550048828 6583475.19995117 35.216, 236095.900024414 6583466.35009766 35.076, 236091.270019531 6583457.51000977 34.946, 236086.66003418 6583448.63989258 34.796, 236082.060058594 6583439.76000977 34.656, 236077.449951172 6583430.87988281 34.496, 236072.849975586 6583421.98999024 34.346, 236068.25 6583413.11010742 34.186, 236059.040039063 6583395.33007813 33.866, 236054.430053711 6583386.45996094 33.716, 236049.829956055 6583377.57006836 33.556, 236045.209960938 6583368.67993164 33.396, 236040.609985352 6583359.80004883 33.246, 236036.010009766 6583350.90991211 33.086, 236031.400024414 6583342.02001953 32.926, 236026.800048828 6583333.13989258 32.766, 236022.210021973 6583324.27001953 32.616, 236017.640014648 6583315.38989258 32.456, 236013.090026855 6583306.5 32.296, 236008.630004883 6583297.55004883 32.146, 236004.159973145 6583288.62011719 32.006, 235999.659973145 6583279.69995117 31.846, 235995.16998291 6583270.77001953 31.686, 235990.710021973 6583261.84008789 31.536, 235986.260009766 6583252.89990234 31.376, 235981.83001709 6583243.93994141 31.216, 235977.429992676 6583234.98999024 31.056, 235973.030029297 6583226.01000977 30.896, 235969.130004883 6583216.80004883 30.736, 235964.619995117 6583207.88989258 30.616, 235962.530029297 6583203.56005859 30.616)</t>
  </si>
  <si>
    <t>POLYGON ((236100.99245930646 6583474.966985141, 236096.342797719 6583466.117822157, 236091.71331338093 6583457.278728146, 236087.10384751097 6583448.409610494, 236082.50402588837 6583439.530024898, 236077.8938693073 6583430.649802818, 236073.29404862228 6583421.760209609, 236068.69397111627 6583412.880129926, 236059.4840113266 6583395.10010285, 236059.48369813574 6583395.099499234, 236054.87391885498 6583386.229778549, 236050.27402660256 6583377.34028292, 236050.2736231898 6583377.339504978, 236045.6537783146 6583368.449657364, 236041.05400693737 6583359.5701687625, 236036.45408537795 6583350.680136457, 236031.84394402636 6583341.789942608, 236027.2440657639 6583332.910003538, 236022.65434543867 6583324.040722834, 236018.0848507718 6583315.161592046, 236013.53634095917 6583306.274587185, 236009.07751716056 6583297.327040397, 236009.07711697443 6583297.326239139, 236004.60708523644 6583288.396307499, 236004.60638482322 6583288.394913697, 236000.10653502078 6583279.475045407, 235995.61699651452 6583270.546012189, 235991.15748662245 6583261.616983651, 235986.70792275807 6583252.677698833, 235982.27847560545 6583243.718841261, 235977.87884603144 6583234.769693222, 235973.48508395013 6583225.802369115, 235969.59042565268 6583216.605080333, 235969.576112953 6583216.574244512, 235965.0682330196 6583207.668296045, 235962.98031728307 6583203.342709264, 235962.0797413109 6583203.777407916, 235964.16970713093 6583208.107241906, 235964.173887047 6583208.115696898, 235968.67621601804 6583217.010678661, 235972.5696085273 6583226.204978268, 235972.58102966056 6583226.23000824, 235976.9809930396 6583235.20998871, 235976.98128611088 6583235.210585839, 235981.38131052486 6583244.160537009, 235981.38180774136 6583244.161545516, 235985.81180041737 6583253.121506446, 235985.8123947382 6583253.122704465, 235990.2624069452 6583262.062890015, 235990.26270814158 6583262.063494103, 235994.7226690786 6583270.993425744, 235994.7232711653 6583270.994627226, 235999.2132614003 6583279.924558866, 235999.21356146678 6583279.925154664, 236003.71321014746 6583288.844624278, 236008.18269239736 6583297.773458187, 236012.64251457743 6583306.723008433, 236012.64493669532 6583306.727804191, 236017.1949244883 6583315.617696771, 236017.19543357828 6583315.6186887175, 236021.76544090328 6583324.498815668, 236021.76595731798 6583324.499816358, 236026.355984173 6583333.369689408, 236030.9560545372 6583342.249999418, 236035.56603746663 6583351.139887431, 236040.16590974006 6583360.029824483, 236044.76599364364 6583368.909916512, 236044.7662938032 6583368.910495022, 236049.38608688142 6583377.800242965, 236053.98598316344 6583386.689746381, 236053.98639463825 6583386.690539836, 236058.59622317506 6583395.560355295, 236067.8060277364 6583413.340082699, 236072.40595532503 6583422.219872864, 236077.0058781357 6583431.109663441, 236077.0061882616 6583431.110261801, 236081.6161935555 6583439.990192039, 236086.21606688565 6583448.869877452, 236086.21637510724 6583448.870471476, 236090.82636045822 6583457.740588666, 236090.82709310937 6583457.741992927, 236095.4570979924 6583466.582080817, 236095.45740476414 6583466.582665597, 236100.10742917814 6583475.432519107, 236100.10784804026 6583475.433314542, 236104.76776015025 6583484.263392672, 236105.65216172574 6583483.796665927, 236100.99245930646 6583474.966985141))</t>
  </si>
  <si>
    <t>['EV18 S38D1 m1408 KD3 m262-381']</t>
  </si>
  <si>
    <t>LINESTRING Z (235153.039993286 6582095.2199707 6.264, 235156.429992676 6582097.19995117 6.464, 235164.550003052 6582102.16003418 6.644, 235172.850006104 6582107.73999024 6.944, 235181.160003662 6582113.31994629 7.394, 235189.460006714 6582118.90002441 7.994, 235197.770004272 6582124.47998047 8.674, 235206.070007324 6582130.06005859 9.354, 235214.38999939 6582135.64001465 10.034, 235222.690002441 6582141.22998047 10.724, 235231 6582146.8100586 11.404, 235239.300003052 6582152.39001465 12.084, 235247.61000061 6582157.9699707 12.764, 235251.61000061 6582160.66003418 12.764)</t>
  </si>
  <si>
    <t>POLYGON ((235156.1735606543 6582097.629214453, 235164.2800729835 6582102.581052223, 235172.57104450828 6582108.154936535, 235180.88115639155 6582113.7349694455, 235189.1810409156 6582119.31496788, 235197.49115613126 6582124.89500304, 235205.79104152558 6582130.47500206, 235205.79150783658 6582130.47531518, 235214.11109637143 6582136.055000604, 235222.41069648165 6582141.644695047, 235222.41126784508 6582141.645079283, 235230.7211520671 6582147.225081309, 235239.0210414566 6582152.804960946, 235247.33112151187 6582158.384972485, 235251.33097265073 6582161.074935853, 235251.88902856928 6582160.245132507, 235247.88902856928 6582157.5550690275, 235239.5788481723 6582151.97499005, 235231.27896159538 6582146.395112305, 235222.96902284588 6582140.815073574, 235214.66930534935 6582135.225300073, 235214.6684988774 6582135.224758061, 235206.34874004277 6582129.644958422, 235198.0489700704 6582124.065037, 235189.73885485475 6582118.48500184, 235181.4389694604 6582112.90500282, 235173.12885151486 6582107.324965836, 235164.82896464772 6582101.745087884, 235164.8106459636 6582101.733343106, 235156.6906355876 6582096.773260096, 235156.68216389272 6582096.768199299, 235153.2921645027 6582094.78821883, 235152.78782206928 6582095.651722571, 235156.1735606543 6582097.629214453))</t>
  </si>
  <si>
    <t>2015-03-20</t>
  </si>
  <si>
    <t>2025-11-22T09:21:19Z</t>
  </si>
  <si>
    <t>['EV8 S9D1 m17922-18273']</t>
  </si>
  <si>
    <t>LINESTRING Z (719714.2 7693745.77 253.95, 719716.08 7693745.81 254.37, 719720.41 7693747.04 256.12, 719723.01 7693749.2 255.69, 719725.67 7693752.22 259.34, 719728.75 7693751.74 258.83, 719733.7 7693746.63 258.55, 719737.53 7693743.39 257.07, 719740.59 7693739.68 256.6, 719744.16 7693735.2 255.89, 719748.36 7693733.86 255.89, 719752.57 7693729.6 254.24, 719757.73 7693728.05 254.36, 719759.65 7693726.53 253.98, 719761.8 7693725.36 254.38, 719764.53 7693724.08 253.56, 719770.13 7693722.5 254.57, 719775 7693722.59 254.88, 719779.25 7693723.03 257.51, 719780.87 7693721.61 255.13, 719785.05 7693719.73 254.42, 719788.56 7693719.93 255.55, 719794.53 7693721.62 257.75, 719799.17 7693720.17 256.38, 719802.53 7693722.83 258.57, 719806.33 7693727.82 262.75, 719812.33 7693729.56 262.98, 719813.9 7693731.39 263.13, 719821.86 7693733.05 264.48, 719824.91 7693729.38 262.67, 719827.49 7693724.6 259.84, 719828.08 7693722.73 260.25, 719829.45 7693720.86 259.35, 719831.23 7693719.24 258.04, 719832.17 7693718.21 258.6, 719833.08 7693716.7 258.6, 719833.16 7693715.26 258.46, 719835.35 7693713.1 256.25, 719837.33 7693712.41 256, 719838.82 7693711.84 255.81, 719840.91 7693710.87 255.81, 719842.89 7693710.25 255.52, 719845.08 7693710.36 255.52, 719845.99 7693711.51 255.52, 719846.65 7693711.99 255.83, 719849.05 7693711.82 256.75, 719851.16 7693710.5 256.31, 719853.4 7693708.41 255.77, 719854.9 7693708.02 255.77, 719856.3 7693707.77 256.82, 719857.56 7693706.84 254.98, 719857.09 7693705.43 254.8, 719857.13 7693703.85 253.78, 719857.72 7693702.68 252.1, 719857.89 7693701.87 252.03, 719857.76 7693700.83 251.94, 719856.27 7693699.48 251.77, 719855.68 7693698.9 251.69, 719856.29 7693697.95 251.6, 719857.54 7693697.51 251.48, 719859.81 7693697.11 251.28, 719862.48 7693696.04 251.17, 719866.73 7693694.82 251.01, 719870.76 7693694.14 250.86, 719872.55 7693693.42 250.78, 719875.83 7693692.31 250.34, 719878.75 7693691.37 250.46, 719882.59 7693690.39 250.62, 719884.52 7693690.03 250.7, 719886.69 7693690.8 250.7, 719889.32 7693692.42 250.71, 719891.95 7693692.35 250.72, 719894.42 7693692.02 250.95, 719895.86 7693691.28 250.87, 719896.71 7693690.22 250.81, 719897.85 7693689.21 250.81, 719898.97 7693688.11 250.94, 719902.24 7693686.57 250.85, 719910.15 7693681.07 249.74, 719914.88 7693679.46 249.15, 719918.91 7693678.8 249.66, 719924.75 7693677.14 250.42, 719930.97 7693675.29 249.92, 719935.59 7693673.43 249.54, 719939.77 7693672.84 249.51, 719944.63 7693671.54 249.63, 719950.06 7693670.8 249.76, 719956.49 7693670.21 249.91, 719960.8 7693668.94 250.02, 719965.03 7693664.25 249.9, 719968.39 7693663.05 249.62, 719972.95 7693661.49 249.26, 719975.71 7693660.27 249.04, 719978.47 7693659.05 249.13, 719982.28 7693657.41 248.81, 719986.1 7693655.77 248.58, 719989.73 7693654.4 248.74, 719993.37 7693653.03 248.6, 719997 7693651.66 248.58, 719999.16 7693648.9 248.03, 720003.35 7693646.66 247.54, 720007.53 7693644.42 247.45, 720012.08 7693642.56 247.37, 720016.04 7693640.43 247.12, 720019.99 7693638.3 247.34, 720023 7693636.68 246.83, 720026.02 7693635.07 246.64, 720029.03 7693633.45 246.95, 720033.21 7693631.17 246.57, 720037.39 7693628.89 246.51, 720040.74 7693626.61 246.52, 720042.27 7693624.13 246.09, 720040.71 7693621.04 245.86, 720036.54 7693623.43 246.05, 720032.38 7693625.81 246.21, 720028.5 7693628.05 246.36, 720024.63 7693630.29 246.52, 720021.39 7693631.96 246.63, 720018.16 7693633.62 246.75, 720014.92 7693635.29 246.85, 720011.92 7693636.93 246.99, 720008.91 7693638.58 247.12, 720005.9 7693640.23 247.22, 720002.03 7693642.15 247.39, 719998.15 7693644.07 247.54, 719994.27 7693645.83 247.68, 719990.38 7693647.59 247.83, 719986.49 7693649.36 247.98, 719983.36 7693650.86 248.1, 719980.23 7693652.37 248.23, 719976.68 7693653.82 248.36, 719973.14 7693655.28 248.48, 719968.86 7693656.97 248.51, 719957.86 7693661.4 248.28, 719948.26 7693664.89 248.08, 719940.88 7693667.34 247.92, 719932.7 7693669.66 248.09, 719924.19 7693672.26 248.21, 719913.86 7693675.2 248.72, 719903.7 7693678.02 249.11, 719896.11 7693680.2 249.39, 719886.84 7693682.93 249.73, 719876.83 7693685.86 249.86, 719863.78 7693689.42 250.02, 719854.86 7693691.75 250.43, 719825.41 7693700.23 251.71, 719813.79 7693703.54 252.27, 719800.65 7693707.92 252.41, 719787.59 7693712.62 253.05, 719774.42 7693717.43 253.35, 719758.49 7693723.47 253.77, 719746.56 7693728.41 254.09, 719732.8 7693734.38 254.19, 719722.48 7693738.6 254.27, 719713.18 7693743.05 254.25)</t>
  </si>
  <si>
    <t>POLYGON Z ((719714.2 7693745.77 253.95, 719716.08 7693745.81 254.37, 719720.41 7693747.04 256.12, 719723.01 7693749.2 255.69, 719725.67 7693752.22 259.34, 719728.75 7693751.74 258.83, 719733.7 7693746.63 258.55, 719737.53 7693743.39 257.07, 719740.59 7693739.68 256.6, 719744.16 7693735.2 255.89, 719748.36 7693733.86 255.89, 719752.57 7693729.6 254.24, 719757.73 7693728.05 254.36, 719759.65 7693726.53 253.98, 719761.8 7693725.36 254.38, 719764.53 7693724.08 253.56, 719770.13 7693722.5 254.57, 719775 7693722.59 254.88, 719779.25 7693723.03 257.51, 719780.87 7693721.61 255.13, 719785.05 7693719.73 254.42, 719788.56 7693719.93 255.55, 719794.53 7693721.62 257.75, 719799.17 7693720.17 256.38, 719802.53 7693722.83 258.57, 719806.33 7693727.82 262.75, 719812.33 7693729.56 262.98, 719813.9 7693731.39 263.13, 719821.86 7693733.05 264.48, 719824.91 7693729.38 262.67, 719827.49 7693724.6 259.84, 719828.08 7693722.73 260.25, 719829.45 7693720.86 259.35, 719831.23 7693719.24 258.04, 719832.17 7693718.21 258.6, 719833.08 7693716.7 258.6, 719833.16 7693715.26 258.46, 719835.35 7693713.1 256.25, 719837.33 7693712.41 256, 719838.82 7693711.84 255.81, 719840.91 7693710.87 255.81, 719842.89 7693710.25 255.52, 719845.08 7693710.36 255.52, 719845.99 7693711.51 255.52, 719846.65 7693711.99 255.83, 719849.05 7693711.82 256.75, 719851.16 7693710.5 256.31, 719853.4 7693708.41 255.77, 719854.9 7693708.02 255.77, 719856.3 7693707.77 256.82, 719857.56 7693706.84 254.98, 719857.09 7693705.43 254.8, 719857.13 7693703.85 253.78, 719857.72 7693702.68 252.1, 719857.89 7693701.87 252.03, 719857.76 7693700.83 251.94, 719856.27 7693699.48 251.77, 719855.68 7693698.9 251.69, 719856.29 7693697.95 251.6, 719857.54 7693697.51 251.48, 719859.81 7693697.11 251.28, 719862.48 7693696.04 251.17, 719866.73 7693694.82 251.01, 719870.76 7693694.14 250.86, 719872.55 7693693.42 250.78, 719875.83 7693692.31 250.34, 719878.75 7693691.37 250.46, 719882.59 7693690.39 250.62, 719884.52 7693690.03 250.7, 719886.69 7693690.8 250.7, 719889.32 7693692.42 250.71, 719891.95 7693692.35 250.72, 719894.42 7693692.02 250.95, 719895.86 7693691.28 250.87, 719896.71 7693690.22 250.81, 719897.85 7693689.21 250.81, 719898.97 7693688.11 250.94, 719902.24 7693686.57 250.85, 719910.15 7693681.07 249.74, 719914.88 7693679.46 249.15, 719918.91 7693678.8 249.66, 719924.75 7693677.14 250.42, 719930.97 7693675.29 249.92, 719935.59 7693673.43 249.54, 719939.77 7693672.84 249.51, 719944.63 7693671.54 249.63, 719950.06 7693670.8 249.76, 719956.49 7693670.21 249.91, 719960.8 7693668.94 250.02, 719965.03 7693664.25 249.9, 719968.39 7693663.05 249.62, 719972.95 7693661.49 249.26, 719975.71 7693660.27 249.04, 719978.47 7693659.05 249.13, 719982.28 7693657.41 248.81, 719986.1 7693655.77 248.58, 719989.73 7693654.4 248.74, 719993.37 7693653.03 248.6, 719997 7693651.66 248.58, 719999.16 7693648.9 248.03, 720003.35 7693646.66 247.54, 720007.53 7693644.42 247.45, 720012.08 7693642.56 247.37, 720016.04 7693640.43 247.12, 720019.99 7693638.3 247.34, 720023 7693636.68 246.83, 720026.02 7693635.07 246.64, 720029.03 7693633.45 246.95, 720033.21 7693631.17 246.57, 720037.39 7693628.89 246.51, 720040.74 7693626.61 246.52, 720042.27 7693624.13 246.09, 720040.71 7693621.04 245.86, 720036.54 7693623.43 246.05, 720032.38 7693625.81 246.21, 720028.5 7693628.05 246.36, 720024.63 7693630.29 246.52, 720021.39 7693631.96 246.63, 720018.16 7693633.62 246.75, 720014.92 7693635.29 246.85, 720011.92 7693636.93 246.99, 720008.91 7693638.58 247.12, 720005.9 7693640.23 247.22, 720002.03 7693642.15 247.39, 719998.15 7693644.07 247.54, 719994.27 7693645.83 247.68, 719990.38 7693647.59 247.83, 719986.49 7693649.36 247.98, 719983.36 7693650.86 248.1, 719980.23 7693652.37 248.23, 719976.68 7693653.82 248.36, 719973.14 7693655.28 248.48, 719968.86 7693656.97 248.51, 719957.86 7693661.4 248.28, 719948.26 7693664.89 248.08, 719940.88 7693667.34 247.92, 719932.7 7693669.66 248.09, 719924.19 7693672.26 248.21, 719913.86 7693675.2 248.72, 719903.7 7693678.02 249.11, 719896.11 7693680.2 249.39, 719886.84 7693682.93 249.73, 719876.83 7693685.86 249.86, 719863.78 7693689.42 250.02, 719854.86 7693691.75 250.43, 719825.41 7693700.23 251.71, 719813.79 7693703.54 252.27, 719800.65 7693707.92 252.41, 719787.59 7693712.62 253.05, 719774.42 7693717.43 253.35, 719758.49 7693723.47 253.77, 719746.56 7693728.41 254.09, 719732.8 7693734.38 254.19, 719722.48 7693738.6 254.27, 719713.18 7693743.05 254.25, 719714.2 7693745.77 253.95))</t>
  </si>
  <si>
    <t>['EV8 S10D1 m294-299']</t>
  </si>
  <si>
    <t>LINESTRING Z (720346.64 7693159.57 242.29, 720348.22 7693160.28 243.17, 720348.03 7693163.22 243.15, 720347.46 7693163.9 243.19, 720345.51 7693164.47 243.35, 720343.84 7693163.24 242.95, 720344.74 7693160.68 241.91)</t>
  </si>
  <si>
    <t>POLYGON Z ((720346.64 7693159.57 242.29, 720348.22 7693160.28 243.17, 720348.03 7693163.22 243.15, 720347.46 7693163.9 243.19, 720345.51 7693164.47 243.35, 720343.84 7693163.24 242.95, 720344.74 7693160.68 241.91, 720346.64 7693159.57 242.29))</t>
  </si>
  <si>
    <t>['EV8 S9D1 m18383-18390']</t>
  </si>
  <si>
    <t>LINESTRING Z (720124.17 7693540.52 240.58, 720114.91 7693532.64 231.36, 720107.12 7693526.73 226.88, 720104.65 7693529.44 226.32, 720104.21 7693530.08 226.55, 720112.62 7693535.38 231.56, 720122.61 7693541.84 239.8)</t>
  </si>
  <si>
    <t>POLYGON Z ((720124.17 7693540.52 240.58, 720114.91 7693532.64 231.36, 720107.12 7693526.73 226.88, 720104.65 7693529.44 226.32, 720104.21 7693530.08 226.55, 720112.62 7693535.38 231.56, 720122.61 7693541.84 239.8, 720124.17 7693540.52 240.58))</t>
  </si>
  <si>
    <t>['EV8 S9D1 m17848-17851']</t>
  </si>
  <si>
    <t>LINESTRING Z (719641.99 7693760.06 256.12, 719635.98 7693748.63 246.31, 719634.9 7693748.87 246.04, 719634.18 7693749.24 246.06, 719633.72 7693749.54 246.76, 719639.85 7693760.94 256.03)</t>
  </si>
  <si>
    <t>POLYGON Z ((719641.99 7693760.06 256.12, 719635.98 7693748.63 246.31, 719634.9 7693748.87 246.04, 719634.18 7693749.24 246.06, 719633.72 7693749.54 246.76, 719639.85 7693760.94 256.03, 719641.99 7693760.06 256.12))</t>
  </si>
  <si>
    <t>['EV8 S9D1 m17549-17552']</t>
  </si>
  <si>
    <t>LINESTRING Z (719370.79 7693884.49 265.79, 719369.86 7693881.82 265.27, 719369.48 7693880.82 265.2, 719367.04 7693876.52 264.84, 719366.73 7693876.27 264.75, 719366.1 7693876.8 264.49, 719364.83 7693877.86 264.57, 719368.12 7693885.21 265.79, 719368.37 7693885.49 265.82)</t>
  </si>
  <si>
    <t>POLYGON Z ((719370.79 7693884.49 265.79, 719369.86 7693881.82 265.27, 719369.48 7693880.82 265.2, 719367.04 7693876.52 264.84, 719366.73 7693876.27 264.75, 719366.1 7693876.8 264.49, 719364.83 7693877.86 264.57, 719368.12 7693885.21 265.79, 719368.37 7693885.49 265.82, 719370.79 7693884.49 265.79))</t>
  </si>
  <si>
    <t>['EV8 S9D1 m16584-16588']</t>
  </si>
  <si>
    <t>LINESTRING Z (718477.22 7694245.02 281.661, 718476.78 7694241.29 279.481, 718473.3 7694234.97 276.381, 718471.98 7694235.21 276.141, 718470.94 7694235.66 276.341, 718472.31 7694239.19 278.001, 718473.23 7694241.93 279.111, 718475.32 7694246.03 281.561)</t>
  </si>
  <si>
    <t>POLYGON Z ((718477.22 7694245.02 281.661, 718476.78 7694241.29 279.481, 718473.3 7694234.97 276.381, 718471.98 7694235.21 276.141, 718470.94 7694235.66 276.341, 718472.31 7694239.19 278.001, 718473.23 7694241.93 279.111, 718475.32 7694246.03 281.561, 718477.22 7694245.02 281.661))</t>
  </si>
  <si>
    <t>['EV8 S9D1 m13143-13148']</t>
  </si>
  <si>
    <t>LINESTRING Z (715547.83 7695780.75 153.535, 715548.82 7695781.63 153.475, 715548.4 7695783.59 153.435, 715546.03 7695784.88 153.405, 715544.43 7695783.93 153.355, 715543.86 7695783.15 153.485, 715544.31 7695781.94 153.245, 715545.92 7695781.45 152.675)</t>
  </si>
  <si>
    <t>POLYGON Z ((715547.83 7695780.75 153.535, 715548.82 7695781.63 153.475, 715548.4 7695783.59 153.435, 715546.03 7695784.88 153.405, 715544.43 7695783.93 153.355, 715543.86 7695783.15 153.485, 715544.31 7695781.94 153.245, 715545.92 7695781.45 152.675, 715547.83 7695780.75 153.535))</t>
  </si>
  <si>
    <t>2015-04-07</t>
  </si>
  <si>
    <t>[2094]</t>
  </si>
  <si>
    <t>['FV2094 S5D1 m5964-5965']</t>
  </si>
  <si>
    <t>LINESTRING Z (348892.21 6752876.04 366.975, 348892.58 6752876.01 366.975, 348892.79 6752876.31 366.975)</t>
  </si>
  <si>
    <t>POLYGON Z ((348892.21 6752876.04 366.975, 348892.58 6752876.01 366.975, 348892.79 6752876.31 366.975, 348892.21 6752876.04 366.975))</t>
  </si>
  <si>
    <t>LINESTRING Z (348892.27 6752876.67 366.975, 348892.06 6752876.38 366.975, 348892.21 6752876.04 366.975)</t>
  </si>
  <si>
    <t>POLYGON Z ((348892.27 6752876.67 366.975, 348892.06 6752876.38 366.975, 348892.21 6752876.04 366.975, 348892.27 6752876.67 366.975))</t>
  </si>
  <si>
    <t>['FV2094 S5D1 m5964-5966']</t>
  </si>
  <si>
    <t>LINESTRING Z (348892.79 6752876.31 366.975, 348892.64 6752876.64 366.975, 348892.27 6752876.67 366.975)</t>
  </si>
  <si>
    <t>POLYGON Z ((348892.79 6752876.31 366.975, 348892.64 6752876.64 366.975, 348892.27 6752876.67 366.975, 348892.79 6752876.31 366.975))</t>
  </si>
  <si>
    <t>['FV2094 S4D1 m1234-1241']</t>
  </si>
  <si>
    <t>LINESTRING Z (341924.98 6748117.13 394.501, 341925.53 6748117.43 394.561, 341926.4 6748117.09 394.491, 341926.72 6748116.26 394.271, 341927.72 6748115.6 394.081, 341928.5 6748115.74 394.171, 341928.6 6748116.16 394.351, 341929.22 6748116.5 394.721, 341929.98 6748116.45 394.711, 341930.22 6748115.79 394.341, 341930.73 6748115.13 394.211, 341930.55 6748112.46 394.211, 341930.58 6748112.53 394.141, 341929.88 6748111.58 393.701, 341928.11 6748111.7 393.671, 341927.01 6748113.08 393.741, 341927.45 6748114.04 393.831, 341925.43 6748114.42 394.001, 341924.29 6748115 394.051, 341923.86 6748116.13 394.301, 341924.98 6748117.13 394.501)</t>
  </si>
  <si>
    <t>['FV2094 S4D1 m2613-2614']</t>
  </si>
  <si>
    <t>LINESTRING Z (343126.67 6748440.26 387.922, 343127.15 6748440.22 387.922, 343127.44 6748440.61 387.922)</t>
  </si>
  <si>
    <t>POLYGON Z ((343126.67 6748440.26 387.922, 343127.15 6748440.22 387.922, 343127.44 6748440.61 387.922, 343126.67 6748440.26 387.922))</t>
  </si>
  <si>
    <t>LINESTRING Z (343126.75 6748441.11 387.922, 343126.47 6748440.7 387.922, 343126.67 6748440.26 387.922)</t>
  </si>
  <si>
    <t>POLYGON Z ((343126.75 6748441.11 387.922, 343126.47 6748440.7 387.922, 343126.67 6748440.26 387.922, 343126.75 6748441.11 387.922))</t>
  </si>
  <si>
    <t>LINESTRING Z (343127.44 6748440.61 387.922, 343127.23 6748441.07 387.922, 343126.75 6748441.11 387.922)</t>
  </si>
  <si>
    <t>POLYGON Z ((343127.44 6748440.61 387.922, 343127.23 6748441.07 387.922, 343126.75 6748441.11 387.922, 343127.44 6748440.61 387.922))</t>
  </si>
  <si>
    <t>['FV302 S2D1 m1755-1982']</t>
  </si>
  <si>
    <t>LINESTRING Z (212150.48 6554839.53 83.273, 212150.15 6554839.83 83.273, 212149.82 6554839.91 83.373, 212148.44 6554840.03 83.333, 212146.88 6554840.12 83.333, 212145.28 6554840.31 83.573, 212144.54 6554840.36 83.823, 212143.35 6554840 84.133, 212141.76 6554838.76 84.453, 212139.91 6554836.49 84.633, 212137.63 6554833.75 84.713, 212136.5 6554832.06 84.663, 212135.35 6554830.29 84.693, 212132.97 6554826.37 84.743, 212131.39 6554824.84 84.713, 212129.86 6554823.16 84.713, 212128.51 6554821.64 84.763, 212125.35 6554818.05 84.853, 212122.93 6554815.45 84.893, 212121.26 6554813.73 84.923, 212118.77 6554811.03 84.913, 212117.14 6554809.34 84.893, 212115.46 6554807.63 84.993, 212112.75 6554804.93 85.203, 212111.23 6554803.2 85.243, 212109.58 6554801.6 85.253, 212107.97 6554799.89 85.243, 212105.64 6554797.34 85.343, 212103.34 6554794.66 85.243, 212101.68 6554792.77 85.233, 212099.33 6554789.98 85.233, 212097.71 6554788.24 85.263, 212096 6554786.52 85.403, 212093.57 6554784.17 85.493, 212092.12 6554782.46 85.543, 212089.79 6554779.85 85.583, 212087.25 6554777.04 85.733, 212084.72 6554774.32 85.723, 212081.35 6554770.58 85.673, 212079.61 6554768.81 85.763, 212077.28 6554765.93 85.783, 212074.73 6554763.18 85.833, 212071.82 6554759.27 85.783, 212070.08 6554757.52 85.783, 212068.7 6554755.99 85.863, 212067.3 6554754.18 85.863, 212065.64 6554752.3 85.933, 212062.16 6554748.71 85.973, 212059.94 6554745.94 86.103, 212058.4 6554744.23 86.083, 212055.09 6554740.8 86.043, 212052.87 6554738.12 86.113, 212050.57 6554735.37 86.083, 212048.21 6554732.84 86.173, 212045.82 6554730.03 86.183, 212044.23 6554728.18 86.243, 212041.8 6554725.42 86.063, 212040.29 6554723.54 86.113, 212038.79 6554721.53 86.073, 212037.08 6554719.75 86.083, 212035.48 6554717.91 86.053, 212032.45 6554714.13 86.063, 212031.12 6554712.47 86.043, 212028.39 6554709.29 86.063, 212026.75 6554706.93 86.033, 212025.4 6554705.44 86.073, 212023.32 6554702.76 85.993, 212021.77 6554701.18 86.013, 212018.67 6554697.69 86.033, 212016.73 6554695.44 86.003, 212015.23 6554693.64 85.943, 212013.69 6554691.9 85.963, 212011.5 6554689.12 85.933, 212009.92 6554687.52 85.963, 212008.42 6554685.74 85.953, 212006.24 6554683.18 86.013, 212004.67 6554681.47 86.013, 212003.4 6554679.86 86.013, 212000.63 6554676.96 85.993, 211996.6 6554671.92 85.583)</t>
  </si>
  <si>
    <t>POLYGON ((212149.90812835205 6554839.374152919, 212149.7389810394 6554839.415158329, 212148.40393582822 6554839.531249216, 212146.8512017325 6554839.620830029, 212146.8210392641 6554839.623488538, 212145.2336363267 6554839.811992636, 212144.59738863836 6554839.854982345, 212143.58399015685 6554839.548408015, 212142.11195740654 6554838.400407631, 212140.29758652346 6554836.1741255205, 212140.29434049194 6554836.170183824, 212138.03109064815 6554833.450313398, 212136.91747931103 6554831.784823876, 212135.7734334406 6554830.023988058, 212133.39739375762 6554826.110510933, 212133.3737402115 6554826.0750528155, 212133.34715265554 6554826.041738101, 212133.3178243034 6554826.01080889, 212131.74910136033 6554824.491729078, 212130.23177022615 6554822.825639989, 212128.88457963787 6554821.308803178, 212125.725315277 6554817.71963892, 212125.71599540033 6554817.709342742, 212123.29599540032 6554815.109342743, 212123.28872902537 6554815.101699144, 212121.6232035652 6554813.386307652, 212119.1375582575 6554810.691029607, 212119.1298841441 6554810.682892808, 212117.4998841441 6554808.992892807, 212117.49666821575 6554808.989589121, 212115.81666821573 6554807.279589121, 212115.81289926945 6554807.275793696, 212113.1146586467 6554804.587509681, 212111.6056150714 6554802.869979822, 212111.5780729181 6554802.841049803, 212109.93623950586 6554801.248968918, 212108.33659788876 6554799.549970679, 212106.0143634142 6554797.00846943, 212103.71942835508 6554794.334371188, 212103.71567203564 6554794.330044667, 212102.05908663935 6554792.443932378, 212099.71242005227 6554789.65788992, 212099.69594698722 6554789.639290736, 212098.07594698723 6554787.899290736, 212098.0645826516 6554787.887478876, 212096.3545826516 6554786.167478875, 212096.34758750154 6554786.160579732, 212093.93536243448 6554783.827769482, 212092.50135456657 6554782.136629169, 212092.49299418632 6554782.1270205155, 212090.16299418634 6554779.517020515, 212090.16092421015 6554779.514716194, 212087.62092421015 6554776.704716194, 212087.61610897887 6554776.69946481, 212085.08880230045 6554773.982360397, 212081.72144946968 6554770.245298205, 212081.70656219104 6554770.229481236, 212079.98351067115 6554768.476721931, 212077.66871671277 6554765.615517382, 212077.6466340784 6554765.590030218, 212075.11498851498 6554762.859824218, 212072.22110518432 6554758.971479261, 212072.17456498207 6554758.917461103, 212070.44313962397 6554757.176085024, 212069.0839389923 6554755.669145194, 212067.69549829277 6554753.874089718, 212067.6748025447 6554753.849057327, 212066.01480254473 6554751.969057327, 212065.9990107705 6554751.951989559, 212062.5354176603 6554748.378915058, 212060.33015942082 6554745.627309057, 212060.3115390168 6554745.605397611, 212058.7715390168 6554743.895397611, 212058.75979108954 6554743.882796355, 212055.46295657588 6554740.466439139, 212053.25505111227 6554737.801039751, 212053.25353843506 6554737.7992223995, 212050.95353843507 6554735.0492223995, 212050.93562373435 6554735.028943868, 212048.58344269873 6554732.507326063, 212046.20086931295 6554729.706057773, 212046.19919391006 6554729.704098207, 212044.60919391006 6554727.854098206, 212044.60527582755 6554727.849594108, 212042.182746895 6554725.098079765, 212040.68539675488 6554723.23382926, 212039.19071655662 6554721.230957794, 212039.15057219838 6554721.183607607, 212037.4491644793 6554719.412551618, 212035.86387125895 6554717.589464415, 212032.8401679704 6554713.817319718, 212031.5102049695 6554712.157365898, 212031.49937555043 6554712.144309669, 212028.78601608417 6554708.983693148, 212027.16059439437 6554706.644671692, 212027.12053214182 6554706.594282959, 212025.7833179305 6554705.118394681, 212023.71499334354 6554702.453438002, 212023.676925687 6554702.4098513825, 212022.135598408 6554700.838691963, 212019.04626999298 6554697.360706102, 212017.11142038653 6554695.116679497, 212015.61411063987 6554693.3199078, 212015.60441612563 6554693.30862021, 212014.07390596316 6554691.579342495, 212011.89276664745 6554688.8105903035, 212011.85576996065 6554688.768677164, 212010.2896315915 6554687.182714257, 212008.80234417252 6554685.417799855, 212008.80067598412 6554685.4158306075, 212006.6206759841 6554682.855830607, 212006.6083087384 6554682.841845193, 212005.05097087487 6554681.145636437, 212003.79256617845 6554679.550335996, 212003.76156453206 6554679.514643533, 212001.0067658014 6554676.630558219, 211996.99050998563 6554671.6077469755, 211996.2094900144 6554672.232253024, 212000.23949001438 6554677.272253024, 212000.26843546794 6554677.305356467, 212003.02208999623 6554680.18824388, 212004.27743382155 6554681.779664004, 212004.30169126161 6554681.8081548065, 212005.86537706867 6554683.511277565, 212008.038487378 6554686.063186919, 212009.5376558275 6554687.842200145, 212009.56423003937 6554687.871322836, 212011.12455826832 6554689.451402055, 212013.29723335255 6554692.209409697, 212013.31558387438 6554692.23137979, 212014.8506526432 6554693.965808138, 212016.34588936015 6554695.7600922, 212016.35132372132 6554695.766503103, 212018.29132372132 6554698.016503103, 212018.2961771712 6554698.022048932, 212021.39617717118 6554701.512048931, 212021.413074313 6554701.530148617, 212022.94277718876 6554703.089458645, 212025.00500665646 6554705.7465619985, 212025.02946785817 6554705.775717041, 212026.35781149784 6554707.241814836, 212027.97940560564 6554709.575328308, 212028.01062444958 6554709.615690331, 212030.73509898677 6554712.789254078, 212032.0597950305 6554714.442634102, 212035.08986785464 6554718.222724974, 212035.10269723894 6554718.2380893575, 212036.7026972389 6554720.078089357, 212036.7194278016 6554720.096392393, 212038.40788309506 6554721.85396574, 212039.8892834434 6554723.839042206, 212039.900173224 6554723.853105549, 212041.410173224 6554725.733105549, 212041.42472417245 6554725.750405892, 212043.8527516763 6554728.508165525, 212045.4399658805 6554730.354924192, 212047.82913068705 6554733.163942227, 212047.84437626565 6554733.181056132, 212050.19514446124 6554735.7011593245, 212052.48570314073 6554738.43987079, 212054.70494888772 6554741.118960249, 212054.73020891045 6554741.147203646, 212058.0342263784 6554744.571004225, 212059.55883562585 6554746.263914493, 212061.7698405792 6554749.022690943, 212061.80098922952 6554749.05801044, 212065.27289484977 6554752.639660204, 212066.91444284352 6554754.498762751, 212068.30450170723 6554756.295910282, 212068.32871513828 6554756.324884386, 212069.70871513826 6554757.854884385, 212069.72543501793 6554757.872538896, 212071.4402342064 6554759.597193252, 212074.3288948157 6554763.478520738, 212074.3633659216 6554763.519969782, 212076.9018946118 6554766.2575987615, 212079.22128328722 6554769.124482618, 212079.25343780895 6554769.160518764, 212080.98582234472 6554770.922771999, 212084.34855053033 6554774.654701795, 212084.35389102114 6554774.66053519, 212086.88146469847 6554777.377926653, 212089.4180372194 6554780.184134835, 212091.74276443428 6554782.788228411, 212093.18864543343 6554784.493370831, 212093.22241249846 6554784.529420268, 212095.64888104016 6554786.876005071, 212097.34963835403 6554788.586708335, 212098.9555853595 6554790.311614378, 212101.2975799477 6554793.09211008, 212101.30432796435 6554793.099955332, 212102.96243740758 6554794.987802831, 212105.26057164493 6554797.665628812, 212105.27088263075 6554797.677271949, 212107.60088263074 6554800.227271949, 212107.60596250877 6554800.232748749, 212109.21596250875 6554801.942748749, 212109.23192708188 6554801.958950196, 212110.86757775702 6554803.5450357, 212112.3743849286 6554805.260020178, 212112.39710073054 6554805.284206304, 212115.1052061215 6554807.982318686, 212116.78171618457 6554809.688766429, 212118.40623330142 6554811.373081722, 212120.8924417425 6554814.068970393, 212120.90127097463 6554814.078300857, 212122.5675974849 6554815.794517382, 212124.9792731632 6554818.385573896, 212128.13468472302 6554821.970361079, 212128.13615967656 6554821.972029234, 212129.48615967654 6554823.492029235, 212129.49032880928 6554823.496664834, 212131.0203288093 6554825.176664834, 212131.0421756966 6554825.19919111, 212132.57597954918 6554826.684456866, 212134.92260624238 6554830.549489067, 212134.93072408016 6554830.562410909, 212136.08072408015 6554832.332410908, 212136.08435361626 6554832.337917404, 212137.21435361626 6554834.027917405, 212137.24565950807 6554834.069816176, 212139.5240264268 6554836.807853613, 212141.37241347655 6554839.0758744795, 212141.41026038796 6554839.117326466, 212141.45251493616 6554839.154275202, 212143.04251493615 6554840.394275202, 212143.0800984977 6554840.420895686, 212143.1199720919 6554840.443944998, 212143.16179740324 6554840.463227571, 212143.20521955672 6554840.478579798, 212144.39521955673 6554840.838579798, 212144.43897052866 6554840.849686681, 212144.48354489513 6554840.856802598, 212144.52857937303 6554840.859869553, 212144.5737069295 6554840.858862549, 212145.3137069295 6554840.808862548, 212145.3389607359 6554840.806511462, 212146.92391977579 6554840.618297576, 212148.4687982675 6554840.529169971, 212148.48331480823 6554840.528120294, 212149.86331480823 6554840.408120294, 212149.9007878541 6554840.40343016, 212149.93780001294 6554840.395925053, 212150.26780001292 6554840.315925053, 212150.3157210929 6554840.301737766, 212150.36198648068 6554840.2828374235, 212150.40613394626 6554840.259412857, 212150.44772241954 6554840.231698097, 212150.48633639686 6554840.199970037, 212150.81633639688 6554839.899970037, 212150.14366360314 6554839.160029964, 212149.90812835205 6554839.374152919))</t>
  </si>
  <si>
    <t>['EV6 S80D1 m866-882']</t>
  </si>
  <si>
    <t>LINESTRING Z (295549.77 7045936.41 5.128, 295560.96 7045924.28 4.948)</t>
  </si>
  <si>
    <t>POLYGON ((295561.32750624506 7045924.619026784, 295560.592493755 7045923.940973217, 295549.402493755 7045936.070973217, 295550.13750624505 7045936.749026784, 295561.32750624506 7045924.619026784))</t>
  </si>
  <si>
    <t>2024-05-06</t>
  </si>
  <si>
    <t>[6810, 6]</t>
  </si>
  <si>
    <t>['FV6810 S1D1 m1136', 'EV6 S80D1 m1856-1872']</t>
  </si>
  <si>
    <t>LINESTRING Z (295179.17 7046792.49 23.947, 295177.91 7046808.06 24.227)</t>
  </si>
  <si>
    <t>POLYGON ((295177.41162921034 7046808.019669415, 295178.4083707896 7046808.100330584, 295179.6683707896 7046792.530330584, 295178.67162921035 7046792.449669416, 295177.41162921034 7046808.019669415))</t>
  </si>
  <si>
    <t>['EV6 S80D1 m503-520']</t>
  </si>
  <si>
    <t>LINESTRING Z (295766.91 7045644.8 3.879, 295775.57 7045629.72 3.869)</t>
  </si>
  <si>
    <t>POLYGON ((295776.0035897593 7045629.968997832, 295775.1364102407 7045629.471002167, 295766.4764102407 7045644.551002167, 295767.34358975926 7045645.048997832, 295776.0035897593 7045629.968997832))</t>
  </si>
  <si>
    <t>['EV6 S80D1 m1856-1878']</t>
  </si>
  <si>
    <t>LINESTRING Z (295159.67 7046790.64 23.947, 295157.81 7046812.62 24.387)</t>
  </si>
  <si>
    <t>POLYGON ((295157.31178067916 7046812.577839494, 295158.30821932084 7046812.6621605065, 295160.1682193208 7046790.682160506, 295159.17178067914 7046790.597839493, 295157.31178067916 7046812.577839494))</t>
  </si>
  <si>
    <t>['EV6 S80D1 m865-882']</t>
  </si>
  <si>
    <t>LINESTRING Z (295535.85 7045922.88 4.518, 295546.91 7045910.68 4.318)</t>
  </si>
  <si>
    <t>POLYGON ((295547.28043681325 7045911.015822225, 295546.5395631867 7045910.344177774, 295535.4795631867 7045922.544177774, 295536.22043681325 7045923.215822225, 295547.28043681325 7045911.015822225))</t>
  </si>
  <si>
    <t>['EV6 S80D1 m503-519']</t>
  </si>
  <si>
    <t>LINESTRING Z (295750.76 7045634.29 3.249, 295758.66 7045620.16 3.309)</t>
  </si>
  <si>
    <t>POLYGON ((295759.0964214425 7045620.404000665, 295758.22357855743 7045619.915999335, 295750.32357855747 7045634.045999335, 295751.19642144255 7045634.534000665, 295759.0964214425 7045620.404000665))</t>
  </si>
  <si>
    <t>2015-04-27</t>
  </si>
  <si>
    <t>['EV39 S41D1 m5343-5345']</t>
  </si>
  <si>
    <t>LINESTRING Z (47329.38 6913216.64 15.229, 47334.09 6913218.02 17.889, 47341.47 6913219.72 21.969, 47341.97 6913217.89 21.939, 47336.83 6913216.73 19.209, 47330.31 6913214.95 15.359, 47329.29 6913214.48 15.429)</t>
  </si>
  <si>
    <t>POLYGON Z ((47329.38 6913216.64 15.229, 47334.09 6913218.02 17.889, 47341.47 6913219.72 21.969, 47341.97 6913217.89 21.939, 47336.83 6913216.73 19.209, 47330.31 6913214.95 15.359, 47329.29 6913214.48 15.429, 47329.38 6913216.64 15.229))</t>
  </si>
  <si>
    <t>['EV39 S41D1 m5268-5272']</t>
  </si>
  <si>
    <t>LINESTRING Z (47299.74 6913278.59 10.779, 47304.43 6913281.17 13.709, 47309.01 6913283.28 16.399, 47313.57 6913285.64 19.849, 47314.68 6913283.26 19.679, 47312.1 6913281.24 17.559, 47308.65 6913279.66 15.419, 47305 6913278.01 13.269, 47300.74 6913276.25 10.859)</t>
  </si>
  <si>
    <t>POLYGON Z ((47299.74 6913278.59 10.779, 47304.43 6913281.17 13.709, 47309.01 6913283.28 16.399, 47313.57 6913285.64 19.849, 47314.68 6913283.26 19.679, 47312.1 6913281.24 17.559, 47308.65 6913279.66 15.419, 47305 6913278.01 13.269, 47300.74 6913276.25 10.859, 47299.74 6913278.59 10.779))</t>
  </si>
  <si>
    <t>['FV42 S17D1 m109-235']</t>
  </si>
  <si>
    <t>LINESTRING Z (-2972.07 6527351.12 169.268, -2971.01 6527353.27 169.978, -2977.94 6527350.56 169.928, -2982.96 6527347.62 169.498, -2989.57 6527344.72 169.568, -2995.12 6527342.44 169.508, -3001.33 6527339.55 169.438, -3007.34 6527336.98 169.298, -3013.63 6527333.89 169.398, -3020.14 6527330.55 169.448, -3025.13 6527326.58 169.088, -3029.08 6527323.76 169.038, -3033.7 6527320.93 168.948, -3039.49 6527317.11 169.048, -3043.31 6527315.08 169.348, -3045.9 6527314.32 169.268, -3046.12 6527314.29 169.538, -3048.44 6527311.69 169.228, -3052.64 6527308.3 169.068, -3058.67 6527303.84 169.058, -3063.31 6527300.53 169.028, -3066.05 6527298.52 168.998, -3070.59 6527295.01 168.838, -3074.68 6527291.39 168.778, -3076.49 6527289.46 168.028, -3076.44 6527289.66 168.188, -3075.73 6527287.57 167.848, -3074.08 6527286.65 167.058, -3072.57 6527288.56 167.218, -3070.35 6527289.1 166.708, -3068.38 6527289.27 166.368, -3061.64 6527294.55 166.148, -3058.03 6527296.81 166.388, -3054.83 6527298.94 165.868, -3051.52 6527301.4 165.938, -3047.99 6527304.11 165.938, -3043.51 6527306.92 166.098, -3040.28 6527309.2 165.788, -3036.91 6527311.33 165.768, -3032.64 6527314.68 165.948, -3027.13 6527318.19 166.098, -3023 6527320.81 166.388, -3021.8 6527322.4 166.778, -3020.24 6527324.53 166.908, -3020.44 6527325.55 166.678, -3019.62 6527327.52 166.748, -3019.85 6527327.96 167.738, -3019.27 6527328.76 168.298, -3018.48 6527329.1 168.358, -3018.11 6527328.74 167.498, -3017.34 6527328.99 167.488, -3017.13 6527328.07 166.668, -3016.21 6527328.19 166.788, -3015.55 6527327.31 166.588, -3012.56 6527329.09 167.148, -3006.82 6527332.27 167.218, -3000.72 6527334.65 167.188, -2996.03 6527336.37 166.988, -2991.54 6527338.67 167.078, -2991.54 6527338.68 167.088, -2987.38 6527339.42 166.768, -2981.41 6527341.72 167.098, -2976.38 6527344.12 167.548, -2974.1 6527347.88 167.938, -2972.07 6527351.12 169.268)</t>
  </si>
  <si>
    <t>2015-05-07</t>
  </si>
  <si>
    <t>['KV18470 S2D1 m2-92', 'KV18470 S1D1 m357-423']</t>
  </si>
  <si>
    <t>LINESTRING Z (86347 6466248.82 47.984, 86346.98 6466248.72 47.964, 86347.67 6466248.63 47.984, 86347.54 6466246.38 47.894, 86346.86 6466242.66 47.654, 86346.58 6466238.95 47.404, 86346.8 6466238.85 47.464, 86347.39 6466239.35 47.554, 86349.13 6466242.31 47.784, 86352.59 6466247.88 48.104, 86357.06 6466255.39 48.714, 86361.21 6466261.72 49.114, 86364 6466267.26 49.384, 86366.36 6466273.17 49.494, 86367.53 6466277.72 49.574, 86367.43 6466280.75 49.704, 86366.53 6466283.4 49.834, 86363.18 6466288.47 50.224, 86358.89 6466293.79 50.794, 86354.3 6466299.83 51.384, 86351.16 6466304.72 51.864, 86347.65 6466311.02 52.374, 86344.89 6466317.77 52.984, 86343.84 6466323.35 53.324, 86342.99 6466329.37 53.614, 86341.45 6466335.05 54.074, 86339.45 6466341.53 54.614, 86337.58 6466347.62 55.064, 86335.38 6466354.76 55.684, 86333.4 6466359.94 56.164, 86333.67 6466360.61 56.144, 86334.2 6466360.84 56.124, 86336.19 6466355.46 55.694, 86338.88 6466347.38 55.024, 86341.07 6466340.38 54.394, 86343.39 6466332.84 53.794, 86344.5 6466328.34 53.514, 86344.94 6466323.88 53.304, 86345.5 6466319.88 53.074, 86346.42 6466316.8 52.864, 86350.12 6466309.18 52.134, 86354.4 6466302.08 51.504, 86358.7 6466296.11 50.984, 86362.74 6466291.26 50.454, 86366.01 6466286.98 50.084, 86368.15 6466283.11 49.824, 86369.03 6466279.04 49.644, 86368.29 6466274.78 49.514, 86366.73 6466270.18 49.394, 86364.86 6466265.98 49.304, 86361.71 6466260.36 49.044, 86357.16 6466252.68 48.594, 86352.63 6466246.11 48.004, 86349.49 6466240.89 47.694, 86346.7 6466237.26 47.344, 86344.07 6466233.32 46.884, 86343.46 6466233.82 46.884, 86345.06 6466237.31 47.264, 86345.89 6466239.72 47.444, 86346.47 6466243.39 47.634, 86346.96 6466246.62 47.874, 86347 6466248.82 47.984)</t>
  </si>
  <si>
    <t>2014-11-06</t>
  </si>
  <si>
    <t>2025-11-22T09:21:23Z</t>
  </si>
  <si>
    <t>['FV306 S1D1 m480-491']</t>
  </si>
  <si>
    <t>LINESTRING Z (237234.020019531 6591333.07995605 -999999, 237237.770019531 6591336.57995606 -999999, 237242.969970703 6591337.2800293 -999999, 237246.979980469 6591338.72998047 -999999, 237249.050048828 6591346.02001953 -999999, 237250.010009766 6591350.93005371 -999999)</t>
  </si>
  <si>
    <t>POLYGON ((237237.42886040529 6591336.945483694, 237237.468191699 6591336.978578638, 237237.51071298218 6591337.007460579, 237237.55597485142 6591337.031824266, 237237.60349893832 6591337.051412201, 237237.65278296542 6591337.06601736, 237237.70330605458 6591337.075485385, 237242.85025029842 6591337.768422263, 237246.56899046036 6591339.113055309, 237248.5633519827 6591346.136482017, 237249.51930029946 6591351.025992333, 237250.50071923254 6591350.834115087, 237249.54075829455 6591345.924080907, 237249.5310332482 6591345.883439929, 237247.4609648892 6591338.593400869, 237247.44589199527 6591338.548524002, 237247.42664243685 6591338.505273802, 237247.4033887767 6591338.464037986, 237247.37633947225 6591338.42518621, 237247.3457370071 6591338.389066764, 237247.311855717 6591338.356003439, 237247.27499933087 6591338.326292631, 237247.23549824778 6591338.300200683, 237247.1937065753 6591338.277961497, 237247.149998955 6591338.259774435, 237243.139989189 6591336.809823265, 237243.08901196797 6591336.794406836, 237243.03668417942 6591336.784499975, 237237.99467362487 6591336.105690396, 237234.3611786567 6591332.714428416, 237233.67886040529 6591333.445483684, 237237.42886040529 6591336.945483694))</t>
  </si>
  <si>
    <t>['FV306 S1D1 m476-485']</t>
  </si>
  <si>
    <t>LINESTRING Z (237253.770019531 6591348.68994141 -999999, 237252.800048828 6591342.25 -999999, 237251.669921875 6591336.31994629 -999999, 237248.939941406 6591334.22998047 -999999, 237243.790039063 6591334.18994141 -999999, 237240.389892578 6591332.92004395 -999999)</t>
  </si>
  <si>
    <t>POLYGON ((237253.2944720941 6591342.175530987, 237253.29120908244 6591342.156396558, 237252.16108212943 6591336.226342848, 237252.148688615 6591336.175785239, 237252.13110589917 6591336.126790146, 237252.10852455543 6591336.079888612, 237252.08118933585 6591336.035588987, 237252.04939651824 6591335.994371422, 237252.01349069487 6591335.956682659, 237251.9738610377 6591335.922931195, 237249.24388056868 6591333.832965375, 237249.20602388744 6591333.806660126, 237249.1659054047 6591333.783953261, 237249.1238661426 6591333.765037795, 237249.08026345077 6591333.750074517, 237249.03546796858 6591333.73919062, 237248.98986047454 6591333.732478624, 237248.94382864956 6591333.72999558, 237243.88224173733 6591333.6906431485, 237240.5648312537 6591332.451646192, 237240.21495390232 6591333.388441708, 237243.6151003873 6591334.658339168, 237243.65666188832 6591334.671823687, 237243.69924195917 6591334.681628186, 237243.74251542593 6591334.6876777895, 237243.78615181943 6591334.689926299, 237248.76880619346 6591334.728665053, 237251.21448089613 6591336.600977545, 237252.30707132682 6591342.3340679025, 237253.2755962649 6591348.764410423, 237254.26444279708 6591348.615472397, 237253.2944720941 6591342.175530987))</t>
  </si>
  <si>
    <t>2015-08-05</t>
  </si>
  <si>
    <t>['FV46 S7D1 m3770-3771']</t>
  </si>
  <si>
    <t>LINESTRING Z (-2267.50100000001 6619002.708 59.587, -2269.31500000001 6619001.211 58.394, -2270.79100000001 6619000.166 57.128, -2272.007 6618999.205 56.042, -2273.29100000001 6618998.227 54.903, -2274.50100000001 6618997.398 53.93, -2275.65400000001 6618996.507 52.791, -2276.65600000001 6618995.838 52.023, -2278.68100000001 6618994.345 50.719, -2280.72300000001 6618993.01 49.179, -2282.51100000001 6618991.562 48.29, -2283.79700000001 6618990.594 47.36, -2285.50600000001 6618989 46.161, -2286.95900000001 6618987.687 45.506, -2289.00500000001 6618986.559 45.445)</t>
  </si>
  <si>
    <t>POLYGON ((-2268.996751603358 6619000.825360326, -2269.026083388856 6619000.802922566, -2270.4913230597963 6618999.7655408215, -2271.6969791591623 6618998.812715565, -2271.704034395894 6618998.807241477, -2272.988034395904 6618997.829241477, -2273.0084014638933 6618997.81452204, -2274.2065928845823 6618996.993612381, -2275.348266483786 6618996.111365046, -2275.3763626579894 6618996.091166493, -2276.368667848138 6618995.428639375, -2278.3842852468374 6618993.942557015, -2278.407397406324 6618993.926500752, -2280.428099874395 6618992.605424456, -2282.1963258727487 6618991.173438301, -2282.2103046298557 6618991.162522473, -2283.4752417223176 6618990.210376979, -2285.1649628609166 6618988.63435855, -2285.1707707019154 6618988.629026527, -2286.6237707019154 6618987.3160265265, -2286.668750549069 6618987.279869485, -2286.717597120292 6618987.249136265, -2288.763597120292 6618986.121136266, -2289.246402879728 6618986.996863735, -2287.2511957777733 6618988.096860612, -2285.8441542207156 6618989.368330374, -2284.1380371391033 6618990.959641449, -2284.0976953701643 6618990.993477526, -2282.8187815679685 6618991.9561435925, -2281.037674127271 6618993.398561698, -2280.996602593696 6618993.428499248, -2278.96638469727 6618994.755796452, -2276.9527147531826 6618996.240442985, -2276.9336373420306 6618996.253833508, -2275.946035103563 6618996.913220631, -2274.806733516234 6618997.793634954, -2274.783598536127 6618997.81047796, -2273.5839670709724 6618998.632374228, -2272.3135176637256 6618999.600052983, -2271.101020840848 6619000.558284435, -2271.079916611164 6619000.574077434, -2269.618997097889 6619001.608400531, -2267.8192483966623 6619003.093639674, -2267.182751603358 6619002.322360326, -2268.996751603358 6619000.825360326))</t>
  </si>
  <si>
    <t>LINESTRING Z (-2288.50200000001 6618987 44.76, -2289.00500000001 6618986.559 45.445)</t>
  </si>
  <si>
    <t>POLYGON ((-2288.6753774413037 6618986.183035947, -2289.3346225587165 6618986.934964053, -2288.8316225587164 6618987.375964053, -2288.1723774413035 6618986.624035947, -2288.6753774413037 6618986.183035947))</t>
  </si>
  <si>
    <t>['FV46 S7D1 m3769-3770']</t>
  </si>
  <si>
    <t>LINESTRING Z (-2289.87500000001 6618987.192 44.767, -2289.55400000001 6618987.583 44.671, -2288.007 6618989.101 44.763)</t>
  </si>
  <si>
    <t>POLYGON ((-2289.940449679222 6618987.900264314, -2289.904192512445 6618987.939882619, -2288.357192512435 6618989.457882619, -2287.656807487565 6618988.74411738, -2289.1846135227083 6618987.244951536, -2289.488550320798 6618986.874735685, -2290.261449679222 6618987.509264315, -2289.940449679222 6618987.900264314))</t>
  </si>
  <si>
    <t>[5128, 49]</t>
  </si>
  <si>
    <t>['FV5128 S1D1 m0-50', 'FV49 S11D1 m1291-1312']</t>
  </si>
  <si>
    <t>LINESTRING Z (-5709.46000000001 6728848.61 38.915, -5703.42000000001 6728845.73 39.275, -5697.06000000001 6728842.44 40.035, -5690.18000000001 6728838.35 40.245, -5685.21000000001 6728834.4 34.505)</t>
  </si>
  <si>
    <t>POLYGON ((-5703.204801200079 6728846.181319706, -5703.190269544724 6728846.174098996, -5696.830269544725 6728842.884098996, -5696.804499725525 6728842.869790193, -5689.924499725525 6728838.779790192, -5689.868902688837 6728838.7414313005, -5684.898902688837 6728834.791431301, -5685.521097311183 6728834.0085686995, -5690.4645972535745 6728837.937507285, -5697.302826328397 6728842.002675442, -5703.642523222359 6728845.282172735, -5709.675198799941 6728848.158680295, -5709.244801200079 6728849.061319706, -5703.204801200079 6728846.181319706))</t>
  </si>
  <si>
    <t>[48]</t>
  </si>
  <si>
    <t>['FV48 S7D140 m1254-1324']</t>
  </si>
  <si>
    <t>LINESTRING Z (-11120.82 6728568.58 33.535, -11114.78 6728568.06 33.685, -11108.29 6728567.19 33.705, -11102.32 6728566.08 33.765, -11097.18 6728565.3 33.845, -11091.49 6728564.18 33.945, -11086.95 6728563.41 34.075, -11079.3 6728562.24 34.185, -11066.38 6728559.32 34.525, -11057.94 6728557.4 34.475, -11053.96 6728556.25 34.415, -11051.72 6728556.11 34.125)</t>
  </si>
  <si>
    <t>POLYGON ((-11114.737112289818 6728568.558157248, -11114.713568040774 6728568.555567144, -11108.223568040774 6728567.685567145, -11108.198601567714 6728567.681575352, -11102.23676947466 6728566.5730940085, -11097.104983352423 6728565.794340472, -11097.08343463977 6728565.790586517, -11091.399897791027 6728564.671858702, -11086.870395073498 6728563.903639078, -11079.224408383356 6728562.734252878, -11079.18977687899 6728562.727699563, -11066.26977687899 6728559.807699563, -11066.269089580313 6728559.80754372, -11057.829089580315 6728557.88754372, -11057.801205419439 6728557.88034994, -11053.873982140653 6728556.745599494, -11051.688810856996 6728556.60902629, -11051.751189143002 6728555.610973711, -11053.991189143002 6728555.750973711, -11054.045503322064 6728555.757365062, -11054.098794580561 6728555.769650061, -11058.06495612102 6728556.915651511, -11066.490566883667 6728558.83237813, -11079.393022925691 6728561.748413087, -11087.025591616644 6728562.915747122, -11087.03360778369 6728562.917039821, -11091.573607783688 6728563.6870398205, -11091.58656536023 6728563.689413482, -11097.265832074576 6728564.807300779, -11102.395016647577 6728565.585659528, -11102.411398432287 6728565.588424648, -11108.368965671374 6728566.6961130295, -11114.834690518086 6728567.562858886, -11120.862887710182 6728568.081842751, -11120.777112289818 6728569.078157249, -11114.737112289818 6728568.558157248))</t>
  </si>
  <si>
    <t>['FV49 S11D105 m209-247']</t>
  </si>
  <si>
    <t>LINESTRING Z (-5835.98000000001 6728868.08 36.265, -5840.53000000001 6728869.7 36.625, -5843.66000000001 6728871.46 36.615, -5846.49000000001 6728873.23 36.615, -5848.39000000001 6728874.81 36.625, -5851.81000000001 6728878.56 36.625, -5854.26000000001 6728882.75 36.475, -5855.56000000001 6728887.81 36.155, -5855.71000000001 6728890.14 36.125, -5855.41000000001 6728892.54 35.965, -5855.48000000001 6728894.35 35.935, -5856.55000000001 6728896.76 36.295)</t>
  </si>
  <si>
    <t>POLYGON ((-5840.697709052425 6728869.228965316, -5840.737136270396 6728869.244923561, -5840.775064508402 6728869.264175051, -5843.905064508402 6728871.024175051, -5843.925134102345 6728871.036085023, -5846.7551341023445 6728872.806085023, -5846.809693985973 6728872.845557865, -5848.709693985974 6728874.425557864, -5848.759434640793 6728874.473075607, -5852.179434640793 6728878.223075607, -5852.212755498513 6728878.263709587, -5852.2416276802105 6728878.307616273, -5854.69162768021 6728882.497616273, -5854.713104132459 6728882.538584189, -5854.73070272342 6728882.581361492, -5854.744272836903 6728882.625582078, -5856.0442728369035 6728887.685582077, -5856.053781131621 6728887.731385789, -5856.058967088073 6728887.777877655, -5856.208967088072 6728890.107877655, -5856.209774521469 6728890.1550142495, -5856.206138938368 6728890.202017367, -5855.911204879275 6728892.56148984, -5855.975918554372 6728894.234800582, -5857.006983934221 6728896.5571067175, -5856.093016065799 6728896.962893282, -5855.023016065798 6728894.552893282, -5855.005863123693 6728894.50872688, -5854.99296773052 6728894.463135177, -5854.98444568158 6728894.416527569, -5854.980373501293 6728894.369322571, -5854.910373501293 6728892.559322571, -5854.910458962825 6728892.518581499, -5854.913861061652 6728892.477982633, -5855.207994051567 6728890.124918713, -5855.064048198743 6728887.888959799, -5853.793110316763 6728882.942078505, -5851.405007811985 6728878.857935853, -5848.043797432808 6728875.172398157, -5846.196253849653 6728873.63601981, -5843.404761672701 6728871.890104207, -5840.322111519695 6728870.156729042, -5835.812290947594 6728868.551034684, -5836.147709052425 6728867.608965316, -5840.697709052425 6728869.228965316))</t>
  </si>
  <si>
    <t>['EV136 S4D1 m12824-12888']</t>
  </si>
  <si>
    <t>LINESTRING Z (107625.5 6962904.19 19.584, 107625.21 6962903.5 19.954, 107624.07 6962903.6 20.284, 107622.65 6962904.38 20.574, 107621.06 6962906.12 20.864, 107619.07 6962908.05 21.314, 107617.73 6962909.68 21.504, 107615.81 6962912.44 21.764, 107613.53 6962915.76 22.394, 107610.5 6962919.23 22.604, 107609.3 6962920.42 22.814, 107608 6962921.67 22.844, 107605.04 6962925.1 22.984, 107602.05 6962928.01 23.154, 107600.96 6962929.32 23.294, 107599.48 6962931.83 23.464, 107598.24 6962933.53 23.544, 107597.29 6962934.7 23.594, 107595.31 6962936.74 23.674, 107594.06 6962938.5 23.714, 107593.34 6962939.52 23.774, 107593.24 6962941.04 23.584, 107593.28 6962941.99 23.414, 107592.54 6962943.26 23.414, 107591.88 6962944.54 23.324, 107590.71 6962946.56 23.314, 107590.29 6962947.38 23.174, 107590.28 6962948.24 23.024, 107590.36 6962949.13 22.754, 107589.93 6962949.78 22.744, 107588.97 6962951.04 22.534, 107589.09 6962952.56 22.214, 107589.57 6962953.32 21.664, 107589.84 6962953.94 21.354, 107589.96 6962954.33 21.084, 107590.16 6962954.97 20.684, 107590.13 6962955.31 20.624, 107591.37 6962956.44 19.884, 107591.61 6962957.71 18.944, 107596.46 6962957.67 18.974, 107598.92 6962954.25 19.384, 107600.07 6962951.69 19.364, 107600.57 6962950.79 19.344, 107602.21 6962947.91 19.194, 107604.02 6962945.13 19.284, 107607.39 6962940.37 19.164, 107609.88 6962936.97 18.964, 107611.75 6962934.44 18.844, 107615.52 6962929.44 18.834, 107617.44 6962927.17 18.734, 107619.06 6962924.19 18.614, 107621.23 6962919.73 18.464, 107623.71 6962915.34 18.234, 107625.3 6962911.96 17.674, 107625.88 6962910.46 17.024, 107625.04 6962909.53 17.784)</t>
  </si>
  <si>
    <t>POLYGON Z ((107625.5 6962904.19 19.584, 107625.21 6962903.5 19.954, 107624.07 6962903.6 20.284, 107622.65 6962904.38 20.574, 107621.06 6962906.12 20.864, 107619.07 6962908.05 21.314, 107617.73 6962909.68 21.504, 107615.81 6962912.44 21.764, 107613.53 6962915.76 22.394, 107610.5 6962919.23 22.604, 107609.3 6962920.42 22.814, 107608 6962921.67 22.844, 107605.04 6962925.1 22.984, 107602.05 6962928.01 23.154, 107600.96 6962929.32 23.294, 107599.48 6962931.83 23.464, 107598.24 6962933.53 23.544, 107597.29 6962934.7 23.594, 107595.31 6962936.74 23.674, 107594.06 6962938.5 23.714, 107593.34 6962939.52 23.774, 107593.24 6962941.04 23.584, 107593.28 6962941.99 23.414, 107592.54 6962943.26 23.414, 107591.88 6962944.54 23.324, 107590.71 6962946.56 23.314, 107590.29 6962947.38 23.174, 107590.28 6962948.24 23.024, 107590.36 6962949.13 22.754, 107589.93 6962949.78 22.744, 107588.97 6962951.04 22.534, 107589.09 6962952.56 22.214, 107589.57 6962953.32 21.664, 107589.84 6962953.94 21.354, 107589.96 6962954.33 21.084, 107590.16 6962954.97 20.684, 107590.13 6962955.31 20.624, 107591.37 6962956.44 19.884, 107591.61 6962957.71 18.944, 107596.46 6962957.67 18.974, 107598.92 6962954.25 19.384, 107600.07 6962951.69 19.364, 107600.57 6962950.79 19.344, 107602.21 6962947.91 19.194, 107604.02 6962945.13 19.284, 107607.39 6962940.37 19.164, 107609.88 6962936.97 18.964, 107611.75 6962934.44 18.844, 107615.52 6962929.44 18.834, 107617.44 6962927.17 18.734, 107619.06 6962924.19 18.614, 107621.23 6962919.73 18.464, 107623.71 6962915.34 18.234, 107625.3 6962911.96 17.674, 107625.88 6962910.46 17.024, 107625.04 6962909.53 17.784, 107625.5 6962904.19 19.584))</t>
  </si>
  <si>
    <t>['EV136 S4D1 m12885-12888']</t>
  </si>
  <si>
    <t>LINESTRING Z (107613.75 6962895.72 21.934, 107615.21 6962897.22 21.774, 107616.38 6962898.31 21.044, 107616.82 6962898.63 21.154, 107617.54 6962899.15 20.314, 107618.98 6962900.63 20.194, 107619.15 6962900.71 20.474, 107618.26 6962901.89 20.614, 107617.74 6962902.61 20.724, 107616.81 6962902.09 20.944, 107615.49 6962900.92 21.014, 107615.02 6962899.56 20.864, 107614.56 6962898.86 21.344, 107614.05 6962898.32 21.564, 107613.02 6962897.05 21.744, 107613.08 6962896.93 21.334, 107614.32 6962897.96 21.144, 107614.71 6962898.73 20.844, 107615.02 6962899.42 19.944, 107615.33 6962900.07 19.494, 107616.33 6962901.14 19.404, 107616.99 6962901.79 19.384, 107617.74 6962902.11 19.424, 107617.94 6962901.96 19.364, 107618.06 6962902.05 19.994, 107618.29 6962901.87 20.254, 107618.8 6962901.01 20.134, 107618.86 6962900.98 19.714, 107618.79 6962900.91 19.354, 107618.79 6962900.76 19.274, 107618.41 6962900.3 19.334, 107617.46 6962899.61 19.344, 107616.48 6962898.77 19.354, 107615.57 6962898.02 20.334, 107614.72 6962897.39 21.184, 107613.83 6962896.64 21.344, 107613 6962895.84 21.644, 107612.84 6962895.71 21.724, 107613.75 6962895.72 21.934)</t>
  </si>
  <si>
    <t>2015-10-29</t>
  </si>
  <si>
    <t>['FV17 S7D1 m395-499']</t>
  </si>
  <si>
    <t>LINESTRING Z (325382.42 7144360.69 15.915, 325394.82 7144361.09 16.045, 325398.94 7144361.49 16.065, 325404.59 7144362.63 16.045, 325407.81 7144364.96 17.065, 325410.73 7144365.96 17.145, 325414.19 7144366.64 17.115, 325417.89 7144366.37 16.635, 325424.35 7144367.6 16.925, 325431.25 7144369.06 17.075, 325439.08 7144370.21 17.165, 325447.19 7144370.96 17.035, 325454.01 7144371.94 17.165, 325462.65 7144372.95 17.105, 325470.39 7144374.69 17.435, 325476.36 7144375.18 16.035, 325480.07 7144378.12 16.115, 325482.48 7144379.23 15.645, 325483.11 7144380.88 16.525, 325483.62 7144385.11 16.905, 325485.18 7144389.94 16.625)</t>
  </si>
  <si>
    <t>POLYGON ((325394.78774785233 7144361.589219687, 325398.8662027755 7144361.985186184, 325404.38477165817 7144363.098667339, 325407.5168873968 7144365.365074069, 325407.5582794757 7144365.392014788, 325407.6021274475 7144365.414740588, 325407.6480035126 7144365.433029743, 325410.56800351257 7144366.433029743, 325410.6335785884 7144366.45061483, 325414.0935785884 7144367.130614829, 325414.13755113236 7144367.137241507, 325414.1819385464 7144367.139935008, 325414.22638972645 7144367.138674029, 325417.860942271 7144366.873449925, 325424.2514764862 7144368.090223467, 325431.1464946056 7144369.54916933, 325431.17734394973 7144369.554692933, 325439.00734394975 7144370.704692934, 325439.0339572547 7144370.707875553, 325447.13138273975 7144371.456712681, 325453.9388829626 7144372.434916526, 325453.9519462375 7144372.436618325, 325462.5659095584 7144373.443574686, 325470.2803338886 7144375.177825117, 325470.3490990105 7144375.1883243015, 325476.1681570921 7144375.6659354335, 325479.759459181 7144378.511872938, 325479.8082856081 7144378.546034713, 325479.8608294758 7144378.574145012, 325482.08562419703 7144379.598842995, 325482.6209558294 7144381.0009020325, 325483.1235949764 7144385.169850252, 325483.1316398007 7144385.217258173, 325483.14420142974 7144385.263674073, 325484.70420142973 7144390.093674073, 325485.65579857025 7144389.786325928, 325484.1106290943 7144385.002243511, 325483.6064050236 7144380.820149749, 325483.59538696456 7144380.7600021055, 325483.5771091931 7144380.701649217, 325482.9471091931 7144379.0516492175, 325482.92768382374 7144379.007336142, 325482.9040663545 7144378.9651080845, 325482.8764779387 7144378.925360469, 325482.84517691354 7144378.88846549, 325482.81045638106 7144378.854768632, 325482.77264146344 7144378.82458543, 325482.73208625853 7144378.79819852, 325482.6891705242 7144378.775854989, 325480.33358640695 7144377.690917905, 325476.670540819 7144374.788127062, 325476.6306926759 7144374.759612707, 325476.5882448619 7144374.735135658, 325476.5436050364 7144374.714930982, 325476.49720191007 7144374.699192724, 325476.44948112796 7144374.6880720295, 325476.4009009895 7144374.681675699, 325470.46564960893 7144374.194527764, 325462.75966611144 7144372.462174884, 325462.70805376256 7144372.453381675, 325454.0745966264 7144371.444146524, 325447.2611170374 7144370.465083474, 325447.2360427453 7144370.462124447, 325439.1393920657 7144369.713358971, 325431.3381673209 7144368.5675852215, 325424.4535053944 7144367.110830669, 325424.4435211149 7144367.108824063, 325417.9835211149 7144365.878824064, 325417.9404899444 7144365.872555766, 325417.89707687334 7144365.870050085, 325417.85361027357 7144365.871325971, 325414.2205568118 7144366.136440682, 325410.8598072736 7144365.475946554, 325408.0426280253 7144364.51115914, 325404.8831126032 7144362.224925931, 325404.83825254097 7144362.195983092, 325404.7905622873 7144362.171988243, 325404.7405855329 7144362.153214936, 325404.6888920353 7144362.139877194, 325399.03889203526 7144360.999877194, 325398.98831650877 7144360.99233996, 325394.8683165088 7144360.59233996, 325394.83612064697 7144360.590259942, 325382.43612064695 7144360.190259943, 325382.403879353 7144361.189740058, 325394.78774785233 7144361.589219687))</t>
  </si>
  <si>
    <t>['FV17 S6D1 m11837-11838', 'FV17 S7D1 m0-11']</t>
  </si>
  <si>
    <t>LINESTRING Z (325203.64 7144025.45 11.474, 325202.98 7144028.42 12.004, 325203.64 7144025.52 11.484, 325210.6 7144026.53 9.984, 325211.41 7144028.35 10.114, 325208.51 7144035.04 11.394)</t>
  </si>
  <si>
    <t>POLYGON ((325202.4919064699 7144028.311534771, 325202.4836349178 7144028.359819395, 325202.48012812005 7144028.40868171, 325202.48141973943 7144028.457652673, 325202.4874973773 7144028.506262197, 325202.49830269266 7144028.554043665, 325202.5137319621 7144028.600538408, 325202.5336370755 7144028.64530011, 325202.55782695784 7144028.68789909, 325202.58606940333 7144028.7279264275, 325202.61809330445 7144028.764997889, 325202.6535912543 7144028.798757615, 325202.6922224977 7144028.828881535, 325202.7336162019 7144028.85508048, 325202.77737501665 7144028.87710296, 325202.82307888824 7144028.894737574, 325202.8702890916 7144028.907815043, 325202.91855244234 7144028.916209832, 325202.96740564617 7144028.919841357, 325203.01637974696 7144028.918674758, 325203.0650046278 7144028.9127212325, 325203.11281352426 7144028.902037932, 325203.15934750467 7144028.886727407, 325203.20415987563 7144028.866936629, 325203.24682047 7144028.842855575, 325203.28691977635 7144028.814715405, 325203.32407286944 7144028.782786246, 325203.35792310594 7144028.747374596, 325203.3881455474 7144028.70882038, 325203.4144500798 7144028.667493693, 325203.43658419815 7144028.623791241, 325203.4543354305 7144028.578132537, 325203.46753337776 7144028.5309558725, 325204.02508259617 7144026.081118397, 325210.2553142579 7144026.985218108, 325210.86389601394 7144028.352648719, 325208.0512472082 7144034.841138551, 325208.9687527918 7144035.238861449, 325211.8687527918 7144028.548861449, 325211.8868389122 7144028.500414931, 325211.899824434 7144028.450359473, 325211.9075704552 7144028.399230499, 325211.90999411896 7144028.347574922, 325211.90706950007 7144028.295945286, 325211.8988278823 7144028.244893856, 325211.88535742374 7144028.194966714, 325211.8668022138 7144028.146697915, 325211.0568022138 7144026.326697916, 325211.0340264711 7144026.28176418, 325211.00684488233 7144026.239350311, 325210.9755333704 7144026.199886857, 325210.9404097816 7144026.163774413, 325210.90183065896 7144026.131379562, 325210.8601876231 7144026.103031148, 325210.81590339664 7144026.079016937, 325210.7694275131 7144026.0595807005, 325210.72123175394 7144026.044919737, 325210.67180535913 7144026.035182872, 325203.71180535917 7144025.025182871, 325203.66234270023 7144025.0204994455, 325203.6126594304 7144025.020748066, 325203.5632461203 7144025.025926278, 325203.51459067455 7144025.035982953, 325203.46717351506 7144025.050818792, 325203.42146283673 7144025.070287304, 325203.37790998485 7144025.094196261, 325203.33694499836 7144025.122309585, 325203.29897236376 7144025.154349687, 325203.26436702115 7144025.190000203, 325203.2334706622 7144025.228909125, 325203.2065883563 7144025.270692264, 325203.18398553797 7144025.314937057, 325203.171847327 7144025.345966073, 325203.15190646995 7144025.341534771, 325202.4919064699 7144028.311534771))</t>
  </si>
  <si>
    <t>['FV17 S7D1 m493-502']</t>
  </si>
  <si>
    <t>LINESTRING Z (325486.68 7144406.87 20.785, 325477.64 7144410.28 26.785, 325476.79 7144411.73 27.435, 325481.35 7144417.2 25.625, 325483.95 7144421.13 24.475, 325483.46 7144426.16 24.805, 325481.84 7144431.84 25.085, 325478.39 7144438.9 25.475, 325478.33 7144448.38 24.705, 325477.4 7144456.42 24.145, 325473.41 7144466.37 24.825)</t>
  </si>
  <si>
    <t>POLYGON ((325477.4635312051 7144409.8121765675, 325477.4189971555 7144409.831493877, 325477.37654622574 7144409.855038698, 325477.336578548 7144409.882589102, 325477.2994708482 7144409.913885405, 325477.26557289436 7144409.9486326175, 325477.2352042006 7144409.986503218, 325477.20865101495 7144410.02714025, 325476.3586510149 7144411.477140251, 325476.33512633695 7144411.52241881, 325476.31633881957 7144411.5698591685, 325476.30248412036 7144411.6189672705, 325476.2937065254 7144411.669231693, 325476.2900974467 7144411.720128972, 325476.2916944699 7144411.771129049, 325476.29848096333 7144411.8217008, 325476.31038625084 7144411.871317556, 325476.3272863479 7144411.919462599, 325476.34900525317 7144411.965634534, 325476.37531678064 7144412.009352515, 325476.40594691626 7144412.050161255, 325480.94824850553 7144417.498930924, 325483.4351640311 7144421.257999391, 325482.9667482832 7144426.066430436, 325481.37132233777 7144431.660269554, 325477.9407687709 7144438.680474824, 325477.92292008694 7144438.721572551, 325477.9088222388 7144438.76410312, 325477.89858843794 7144438.807724995, 325477.89230086585 7144438.852087874, 325477.8900100141 7144438.896835507, 325477.8301823815 7144448.349601461, 325476.91100459365 7144456.296041691, 325472.9459226595 7144466.183902655, 325473.8740773405 7144466.556097345, 325477.8640773405 7144456.606097345, 325477.8787435422 7144456.56423807, 325477.889642422 7144456.5212437585, 325477.8966882146 7144456.477452741, 325478.8266882146 7144448.437452741, 325478.8299899859 7144448.383164493, 325478.8892686872 7144439.017129683, 325482.28923122917 7144432.059525176, 325482.3068495256 7144432.0190293845, 325482.3208258105 7144431.977136939, 325483.9408258105 7144426.297136939, 325483.9512392827 7144426.253187806, 325483.9576443078 7144426.208478273, 325484.4476443078 7144421.178478273, 325484.4499999832 7144421.129870248, 325484.44761908014 7144421.081263452, 325484.4405241533 7144421.033118345, 325484.428782414 7144420.985891013, 325484.4125050937 7144420.940028849, 325484.3918463899 7144420.895966311, 325484.36700200575 7144420.8541208105, 325481.7670020057 7144416.924120811, 325481.7340530837 7144416.879838746, 325477.39904530597 7144411.679730732, 325477.9819214217 7144410.685412653, 325486.8564687949 7144407.337823433, 325486.50353120506 7144406.402176567, 325477.4635312051 7144409.8121765675))</t>
  </si>
  <si>
    <t>['FV17 S7D1 m2-200']</t>
  </si>
  <si>
    <t>LINESTRING Z (325202.98 7144028.42 12.004, 325213.43 7144042.39 11.574, 325215.27 7144047.68 11.584, 325217.87 7144055.35 11.764, 325219.03 7144059.78 11.894, 325220.97 7144066.88 12.064, 325222.81 7144074.1 12.004, 325224.55 7144080.53 11.924, 325225.6 7144085.86 12.134, 325226.23 7144089.58 12.304, 325226.92 7144094.94 12.454, 325227.67 7144099.87 12.454, 325228.8 7144104.63 12.714, 325230.17 7144113.44 12.984, 325231.41 7144120.48 13.014, 325232.04 7144127.88 13.324, 325232.31 7144133.87 13.444, 325232.83 7144137.96 13.554, 325232.85 7144144.63 13.734, 325234.01 7144149.98 13.694, 325233.98 7144155.49 13.734, 325234.8 7144162.79 13.724, 325235.08 7144165.19 13.794, 325235.5 7144168.08 13.784, 325236.34 7144173.84 13.734, 325239.49 7144197.61 14.184, 325239.99 7144200.13 14.134, 325240.39 7144201.9 14.104, 325240.63 7144204.55 14.214, 325241.43 7144207.63 14.174, 325242.45 7144211.36 14.174, 325243.24 7144214.52 14.124, 325243.51 7144217.87 14.314, 325244.39 7144218.79 13.954, 325245.14 7144218.87 13.564, 325244.47 7144213.69 13.204, 325241.34 7144198.87 13.114, 325240.3 7144192.37 12.844, 325238.57 7144182.41 13.034, 325237.75 7144176.42 13.044, 325236.8 7144168.27 12.894, 325236.17 7144162.47 12.814, 325235.56 7144154.41 12.594, 325234.88 7144146.89 12.614, 325234.34 7144137.98 12.484, 325233.65 7144129.02 12.364, 325233.22 7144125.51 12.344, 325232.68 7144119.58 12.114, 325231.31 7144111.07 11.954, 325230.07 7144102.54 11.574, 325228.61 7144095 11.504, 325227.11 7144086.44 11.344, 325225.79 7144079.06 11.044, 325224.28 7144073.15 11.054, 325221.99 7144066.43 11.344, 325219.65 7144058.2 11.234, 325216.68 7144048.74 11.144, 325213.51 7144040.47 10.984, 325208.58 7144035.06 11.414, 325208.53 7144035.01 11.414)</t>
  </si>
  <si>
    <t>POLYGON Z ((325202.98 7144028.42 12.004, 325213.43 7144042.39 11.574, 325215.27 7144047.68 11.584, 325217.87 7144055.35 11.764, 325219.03 7144059.78 11.894, 325220.97 7144066.88 12.064, 325222.81 7144074.1 12.004, 325224.55 7144080.53 11.924, 325225.6 7144085.86 12.134, 325226.23 7144089.58 12.304, 325226.92 7144094.94 12.454, 325227.67 7144099.87 12.454, 325228.8 7144104.63 12.714, 325230.17 7144113.44 12.984, 325231.41 7144120.48 13.014, 325232.04 7144127.88 13.324, 325232.31 7144133.87 13.444, 325232.83 7144137.96 13.554, 325232.85 7144144.63 13.734, 325234.01 7144149.98 13.694, 325233.98 7144155.49 13.734, 325234.8 7144162.79 13.724, 325235.08 7144165.19 13.794, 325235.5 7144168.08 13.784, 325236.34 7144173.84 13.734, 325239.49 7144197.61 14.184, 325239.99 7144200.13 14.134, 325240.39 7144201.9 14.104, 325240.63 7144204.55 14.214, 325241.43 7144207.63 14.174, 325242.45 7144211.36 14.174, 325243.24 7144214.52 14.124, 325243.51 7144217.87 14.314, 325244.39 7144218.79 13.954, 325245.14 7144218.87 13.564, 325244.47 7144213.69 13.204, 325241.34 7144198.87 13.114, 325240.3 7144192.37 12.844, 325238.57 7144182.41 13.034, 325237.75 7144176.42 13.044, 325236.8 7144168.27 12.894, 325236.17 7144162.47 12.814, 325235.56 7144154.41 12.594, 325234.88 7144146.89 12.614, 325234.34 7144137.98 12.484, 325233.65 7144129.02 12.364, 325233.22 7144125.51 12.344, 325232.68 7144119.58 12.114, 325231.31 7144111.07 11.954, 325230.07 7144102.54 11.574, 325228.61 7144095 11.504, 325227.11 7144086.44 11.344, 325225.79 7144079.06 11.044, 325224.28 7144073.15 11.054, 325221.99 7144066.43 11.344, 325219.65 7144058.2 11.234, 325216.68 7144048.74 11.144, 325213.51 7144040.47 10.984, 325208.58 7144035.06 11.414, 325208.53 7144035.01 11.414, 325202.98 7144028.42 12.004))</t>
  </si>
  <si>
    <t>['EV39 S57D1 m4596-4626']</t>
  </si>
  <si>
    <t>LINESTRING Z (17664.11 6844178.18 -999999, 17665.62 6844182.76 -999999, 17666.92 6844184.89 -999999, 17668.36 6844186.01 -999999, 17679.82 6844188.98 -999999, 17693.71 6844193.1 -999999, 17691.22 6844195.17 -999999, 17688.09 6844195.23 -999999, 17687.22 6844193.95 -999999, 17685.65 6844193.28 -999999, 17681.13 6844192.99 -999999, 17672.59 6844191.87 -999999, 17669.57 6844190.89 -999999, 17667.27 6844189.26 -999999, 17666.45 6844188.62 -999999, 17663.81 6844184.09 -999999, 17662.19 6844179.03 -999999, 17662.01 6844178.31 -999999, 17661.99 6844178.16 -999999)</t>
  </si>
  <si>
    <t>POLYGON Z ((17664.11 6844178.18 -999999, 17665.62 6844182.76 -999999, 17666.92 6844184.89 -999999, 17668.36 6844186.01 -999999, 17679.82 6844188.98 -999999, 17693.71 6844193.1 -999999, 17691.22 6844195.17 -999999, 17688.09 6844195.23 -999999, 17687.22 6844193.95 -999999, 17685.65 6844193.28 -999999, 17681.13 6844192.99 -999999, 17672.59 6844191.87 -999999, 17669.57 6844190.89 -999999, 17667.27 6844189.26 -999999, 17666.45 6844188.62 -999999, 17663.81 6844184.09 -999999, 17662.19 6844179.03 -999999, 17662.01 6844178.31 -999999, 17661.99 6844178.16 -999999, 17664.11 6844178.18 -999999))</t>
  </si>
  <si>
    <t>2015-11-20</t>
  </si>
  <si>
    <t>['EV18 S22D1 m267-278']</t>
  </si>
  <si>
    <t>LINESTRING Z (164302.66 6541116.56 129.652, 164305.23 6541118.29 128.132, 164307.62 6541119.75 126.472, 164309.71 6541121.68 124.912, 164311.3 6541123.53 124.842)</t>
  </si>
  <si>
    <t>POLYGON ((164304.95079045583 6541118.704779496, 164304.96934721313 6541118.716685042, 164307.31713100808 6541120.150896063, 164309.34960175442 6541122.027770963, 164310.92080608994 6541123.855901794, 164311.67919391004 6541123.204098207, 164310.08919391004 6541121.354098206, 164310.04921304318 6541121.312665668, 164307.95921304318 6541119.382665669, 164307.9213973793 6541119.351051859, 164307.88065278687 6541119.323314958, 164305.50006244212 6541117.869063116, 164302.9392095442 6541116.145220503, 164302.38079045582 6541116.974779496, 164304.95079045583 6541118.704779496))</t>
  </si>
  <si>
    <t>['EV18 S22D1 m268-279']</t>
  </si>
  <si>
    <t>LINESTRING Z (164311.53 6541101.96 128.502, 164312.96 6541102.78 127.922, 164315.05 6541103.83 127.032, 164316.99 6541104.68 126.102, 164321.16 6541106.55 124.192)</t>
  </si>
  <si>
    <t>POLYGON ((164312.71127750678 6541103.213747763, 164312.73553851966 6541103.226785232, 164314.82553851965 6541104.276785232, 164314.84934293534 6541104.287970242, 164316.78737230843 6541105.137106823, 164320.9554092222 6541107.006226494, 164321.3645907778 6541106.093773506, 164317.1945907778 6541104.223773506, 164317.19065706464 6541104.222029758, 164315.2627064057 6541103.377309108, 164313.19677160544 6541102.339399281, 164311.7787224932 6541101.526252237, 164311.2812775068 6541102.393747763, 164312.71127750678 6541103.213747763))</t>
  </si>
  <si>
    <t>['EV18 S22D1 m290-303']</t>
  </si>
  <si>
    <t>LINESTRING Z (164330.86 6541111.64 124.182, 164333.88 6541113.47 124.612, 164337.15 6541114.94 126.422, 164339.55 6541116.03 127.792, 164341.95 6541117.41 128.672)</t>
  </si>
  <si>
    <t>POLYGON ((164333.62088052375 6541113.897617933, 164333.6749916406 6541113.926039003, 164336.94411563227 6541115.395645201, 164339.32148208024 6541116.475365796, 164341.7007644379 6541117.843453152, 164342.19923556212 6541116.976546848, 164339.7992355621 6541115.596546848, 164339.75675854724 6541115.574751822, 164337.35675854725 6541114.484751822, 164337.3550083594 6541114.483960997, 164334.11293410856 6541113.026514774, 164331.11911947624 6541111.212382066, 164330.60088052374 6541112.067617933, 164333.62088052375 6541113.897617933))</t>
  </si>
  <si>
    <t>2019-06-25</t>
  </si>
  <si>
    <t>['EV134 S6D10 m1453-1512', 'EV134 S6D10 m1522-1599', 'EV134 S6D1 m2406-2729', 'EV134 S6D20 m0-240']</t>
  </si>
  <si>
    <t>LINESTRING Z (93.8399999999929 6653243.67 123.081, 97.5699999999933 6653246.35 124.251, 99.2899999999927 6653247.19 124.571, 105.679999999993 6653252.11 125.061, 114.659999999993 6653259.27 125.741, 122.949999999993 6653264.37 126.401, 129.339999999993 6653268.08 127.251, 135.109999999993 6653272.23 127.791, 142.419999999993 6653277.29 128.421, 147.589999999993 6653281.17 129.121, 152.189999999993 6653284.14 129.631, 156.109999999993 6653286.91 130.041, 159.419999999993 6653289.55 130.741, 165.359999999993 6653294.08 131.841, 169.919999999993 6653297.23 132.671, 174.289999999993 6653301.16 133.711, 176.429999999993 6653303.42 134.241, 181.609999999993 6653307.85 135.561, 186.849999999993 6653311.29 136.611, 191.629999999993 6653313.48 137.301, 196.979999999993 6653316.63 138.061, 199.799999999993 6653318.4 138.591, 201.479999999993 6653320.17 138.741, 201.359999999993 6653321.05 138.641, 200.339999999993 6653322.61 138.911, 198.889999999993 6653323.68 139.141, 197.069999999993 6653321.91 139.301, 196.999999999993 6653321.56 138.721, 197.019999999993 6653320.73 138.451, 196.479999999993 6653319.92 138.141, 193.699999999993 6653317.98 137.681, 188.139999999993 6653315.65 137.111, 180.669999999993 6653310.91 135.531, 173.549999999993 6653305.68 134.111, 164.929999999993 6653298.14 132.121, 156.099999999993 6653291.69 130.681, 149.209999999993 6653286.71 129.501, 139.109999999993 6653279.23 128.341, 131.709999999993 6653274.32 127.591, 121.379999999993 6653267.08 126.401, 114.839999999993 6653262.85 125.911, 106.919999999993 6653257.25 125.301, 101.029999999993 6653252.42 124.781, 96.3899999999931 6653248.66 124.301, 94.8299999999927 6653247.17 123.991, 92.6399999999931 6653245.35 123.441)</t>
  </si>
  <si>
    <t>POLYGON Z ((93.8399999999929 6653243.67 123.081, 97.5699999999933 6653246.35 124.251, 99.2899999999927 6653247.19 124.571, 105.679999999993 6653252.11 125.061, 114.659999999993 6653259.27 125.741, 122.949999999993 6653264.37 126.401, 129.339999999993 6653268.08 127.251, 135.109999999993 6653272.23 127.791, 142.419999999993 6653277.29 128.421, 147.589999999993 6653281.17 129.121, 152.189999999993 6653284.14 129.631, 156.109999999993 6653286.91 130.041, 159.419999999993 6653289.55 130.741, 165.359999999993 6653294.08 131.841, 169.919999999993 6653297.23 132.671, 174.289999999993 6653301.16 133.711, 176.429999999993 6653303.42 134.241, 181.609999999993 6653307.85 135.561, 186.849999999993 6653311.29 136.611, 191.629999999993 6653313.48 137.301, 196.979999999993 6653316.63 138.061, 199.799999999993 6653318.4 138.591, 201.479999999993 6653320.17 138.741, 201.359999999993 6653321.05 138.641, 200.339999999993 6653322.61 138.911, 198.889999999993 6653323.68 139.141, 197.069999999993 6653321.91 139.301, 196.999999999993 6653321.56 138.721, 197.019999999993 6653320.73 138.451, 196.479999999993 6653319.92 138.141, 193.699999999993 6653317.98 137.681, 188.139999999993 6653315.65 137.111, 180.669999999993 6653310.91 135.531, 173.549999999993 6653305.68 134.111, 164.929999999993 6653298.14 132.121, 156.099999999993 6653291.69 130.681, 149.209999999993 6653286.71 129.501, 139.109999999993 6653279.23 128.341, 131.709999999993 6653274.32 127.591, 121.379999999993 6653267.08 126.401, 114.839999999993 6653262.85 125.911, 106.919999999993 6653257.25 125.301, 101.029999999993 6653252.42 124.781, 96.3899999999931 6653248.66 124.301, 94.8299999999927 6653247.17 123.991, 92.6399999999931 6653245.35 123.441, 93.8399999999929 6653243.67 123.081))</t>
  </si>
  <si>
    <t>2015-12-10</t>
  </si>
  <si>
    <t>['EV6 S149D1 m3387-3388']</t>
  </si>
  <si>
    <t>LINESTRING Z (541915.99 7523427.34 82.072, 541921.6 7523427.86 84.442, 541926.82 7523428.31 86.712)</t>
  </si>
  <si>
    <t>POLYGON ((541921.5538520105 7523428.3578658085, 541921.557055829 7523428.358152385, 541926.777055829 7523428.808152384, 541926.862944171 7523427.811847615, 541921.6445465197 7523427.36198575, 541916.0361479894 7523426.842134192, 541915.9438520105 7523427.837865808, 541921.5538520105 7523428.3578658085))</t>
  </si>
  <si>
    <t>['EV6 S149D1 m2902-2949']</t>
  </si>
  <si>
    <t>LINESTRING Z (541866.25 7522943.1 104.602, 541867.61 7522948.35 104.272, 541868.99 7522954.8 103.932, 541871.09 7522964.14 103.622, 541872.55 7522972.91 103.282, 541873.57 7522979.47 102.942, 541874.24 7522984.44 102.622, 541874.9 7522988.68 102.392, 541876.6 7522987.3 102.422, 541878.08 7522984.26 102.512, 541877.02 7522978.29 102.512, 541877.38 7522975.87 103.082, 541876.48 7522972.05 103.132, 541876.66 7522961.79 103.542, 541874.2 7522953.15 103.972, 541871.74 7522946.81 104.432, 541870.42 7522942.4 104.772)</t>
  </si>
  <si>
    <t>POLYGON Z ((541866.25 7522943.1 104.602, 541867.61 7522948.35 104.272, 541868.99 7522954.8 103.932, 541871.09 7522964.14 103.622, 541872.55 7522972.91 103.282, 541873.57 7522979.47 102.942, 541874.24 7522984.44 102.622, 541874.9 7522988.68 102.392, 541876.6 7522987.3 102.422, 541878.08 7522984.26 102.512, 541877.02 7522978.29 102.512, 541877.38 7522975.87 103.082, 541876.48 7522972.05 103.132, 541876.66 7522961.79 103.542, 541874.2 7522953.15 103.972, 541871.74 7522946.81 104.432, 541870.42 7522942.4 104.772, 541866.25 7522943.1 104.602))</t>
  </si>
  <si>
    <t>['EV6 S149D1 m2900-2901']</t>
  </si>
  <si>
    <t>LINESTRING Z (541849.21 7522945.62 95.442, 541852.57 7522944.39 97.932, 541856.22 7522943.39 99.892, 541861.45 7522941.95 102.852, 541864.7 7522941.43 104.442, 541870.25 7522940.88 104.812)</t>
  </si>
  <si>
    <t>POLYGON ((541852.7222645727 7522944.866709418, 541856.3521175735 7522943.872229143, 541856.3527281958 7522943.872061433, 541861.5561827249 7522942.43937032, 541864.7642091757 7522941.926086088, 541870.2993080231 7522941.377562779, 541870.2006919769 7522940.382437221, 541864.6506919769 7522940.932437221, 541864.6210047493 7522940.936279683, 541861.3710047493 7522941.456279684, 541861.3172718041 7522941.467938567, 541856.0875772231 7522942.907854473, 541852.4378824264 7522943.907770856, 541852.3981190586 7522943.920471574, 541849.0381190586 7522945.150471575, 541849.3818809413 7522946.089528426, 541852.7222645727 7522944.866709418))</t>
  </si>
  <si>
    <t>['EV6 S149D1 m2851-2898']</t>
  </si>
  <si>
    <t>LINESTRING Z (541856.13 7522894.41 106.482, 541857.87 7522902.82 106.202, 541859.06 7522909.05 105.982, 541860.47 7522915.71 105.512, 541862.22 7522924.41 105.162, 541864.01 7522931.23 104.862, 541865.28 7522939.03 104.692, 541869.91 7522938.84 104.852, 541868.78 7522935.02 104.882, 541868.78 7522930.33 104.892, 541866.25 7522923.07 105.182, 541864.14 7522914.73 105.592, 541862.67 7522909.1 105.902, 541861.03 7522902.41 106.142, 541859.2 7522893.95 106.372)</t>
  </si>
  <si>
    <t>POLYGON Z ((541856.13 7522894.41 106.482, 541857.87 7522902.82 106.202, 541859.06 7522909.05 105.982, 541860.47 7522915.71 105.512, 541862.22 7522924.41 105.162, 541864.01 7522931.23 104.862, 541865.28 7522939.03 104.692, 541869.91 7522938.84 104.852, 541868.78 7522935.02 104.882, 541868.78 7522930.33 104.892, 541866.25 7522923.07 105.182, 541864.14 7522914.73 105.592, 541862.67 7522909.1 105.902, 541861.03 7522902.41 106.142, 541859.2 7522893.95 106.372, 541856.13 7522894.41 106.482))</t>
  </si>
  <si>
    <t>['EV6 S149D1 m2788-2846']</t>
  </si>
  <si>
    <t>LINESTRING Z (541855.53 7522889.81 106.562, 541854.66 7522885 106.742, 541853.83 7522879.42 106.742, 541852.76 7522872.24 107.152, 541851.41 7522867.4 107.512, 541850.43 7522861.62 107.602, 541848.56 7522854.2 107.932, 541847.85 7522849.6 108.042, 541847.09 7522841.28 108.412, 541846.37 7522836.33 108.632, 541846.04 7522833.34 108.792, 541847.19 7522832.96 108.812, 541847.58 7522836.45 108.662, 541848.03 7522841.97 108.492, 541850.22 7522849.03 108.052, 541850.37 7522853.8 107.972, 541852.89 7522860.97 107.602, 541852.76 7522866.97 107.422, 541856.11 7522871.33 107.062, 541858.13 7522878.21 107.032, 541857.79 7522884.8 106.732, 541858.31 7522889.72 106.472)</t>
  </si>
  <si>
    <t>POLYGON Z ((541855.53 7522889.81 106.562, 541854.66 7522885 106.742, 541853.83 7522879.42 106.742, 541852.76 7522872.24 107.152, 541851.41 7522867.4 107.512, 541850.43 7522861.62 107.602, 541848.56 7522854.2 107.932, 541847.85 7522849.6 108.042, 541847.09 7522841.28 108.412, 541846.37 7522836.33 108.632, 541846.04 7522833.34 108.792, 541847.19 7522832.96 108.812, 541847.58 7522836.45 108.662, 541848.03 7522841.97 108.492, 541850.22 7522849.03 108.052, 541850.37 7522853.8 107.972, 541852.89 7522860.97 107.602, 541852.76 7522866.97 107.422, 541856.11 7522871.33 107.062, 541858.13 7522878.21 107.032, 541857.79 7522884.8 106.732, 541858.31 7522889.72 106.472, 541855.53 7522889.81 106.562))</t>
  </si>
  <si>
    <t>['EV6 S149D1 m2849-2851']</t>
  </si>
  <si>
    <t>LINESTRING Z (541839.9 7522896.52 97.212, 541842.28 7522895.57 99.242, 541846.63 7522894.68 101.872, 541851.75 7522893.06 104.642, 541854.99 7522892.58 106.242, 541858.83 7522891.93 106.372)</t>
  </si>
  <si>
    <t>POLYGON ((541842.4239274375 7522896.050910548, 541846.7302226834 7522895.16985244, 541846.7808330199 7522895.156706828, 541851.8627681248 7522893.548750798, 541855.0632743305 7522893.074601731, 541855.073448353 7522893.072987193, 541858.913448353 7522892.422987193, 541858.746551647 7522891.437012807, 541854.9116303301 7522892.086153134, 541851.6767256695 7522892.565398268, 541851.6375896668 7522892.572799921, 541851.5991669801 7522892.583293172, 541846.5041279879 7522894.195395353, 541842.1797773166 7522895.08014756, 541842.1366420173 7522895.090992183, 541842.0946411153 7522895.105627215, 541839.7146411153 7522896.055627214, 541840.0853588848 7522896.984372785, 541842.4239274375 7522896.050910548))</t>
  </si>
  <si>
    <t>['EV6 S149D1 m2769-2772']</t>
  </si>
  <si>
    <t>LINESTRING Z (541828.18 7522817.1 100.192, 541834.24 7522816.76 103.932, 541842.74 7522817.25 108.802, 541843.48 7522817.44 108.992)</t>
  </si>
  <si>
    <t>POLYGON ((541834.2396152598 7522817.260807928, 541842.6627165825 7522817.746374945, 541843.3556548761 7522817.924291534, 541843.6043451239 7522816.9557084665, 541842.8643451239 7522816.765708466, 541842.8169210801 7522816.755952282, 541842.7687757555 7522816.750828731, 541834.2687757555 7522816.260828731, 541834.2119912436 7522816.260785107, 541828.1519912437 7522816.600785106, 541828.2080087564 7522817.599214893, 541834.2396152598 7522817.260807928))</t>
  </si>
  <si>
    <t>['EV6 S149D1 m2769-2775']</t>
  </si>
  <si>
    <t>LINESTRING Z (541828.18 7522817.1 100.192, 541828.75 7522820.9 101.872, 541835.45 7522819.65 105.262, 541842.49 7522820.7 108.752, 541844 7522820.69 108.642)</t>
  </si>
  <si>
    <t>POLYGON Z ((541828.18 7522817.1 100.192, 541828.75 7522820.9 101.872, 541835.45 7522819.65 105.262, 541842.49 7522820.7 108.752, 541844 7522820.69 108.642, 541828.18 7522817.1 100.192))</t>
  </si>
  <si>
    <t>['EV6 S149D1 m2765-2769']</t>
  </si>
  <si>
    <t>LINESTRING Z (541828.18 7522817.1 100.192, 541827.09 7522812.7 101.612, 541832.43 7522813.15 104.332, 541841.98 7522813.85 108.972, 541843.31 7522813.61 109.122)</t>
  </si>
  <si>
    <t>POLYGON Z ((541828.18 7522817.1 100.192, 541827.09 7522812.7 101.612, 541832.43 7522813.15 104.332, 541841.98 7522813.85 108.972, 541843.31 7522813.61 109.122, 541828.18 7522817.1 100.192))</t>
  </si>
  <si>
    <t>['EV6 S149D1 m2660-2753', 'EV6 S148D10 m2443-2563']</t>
  </si>
  <si>
    <t>LINESTRING Z (541798.43 7522709.39 102.772, 541793.51 7522710.07 101.842, 541771.32 7522712.16 97.862, 541767.77 7522712.5 97.862)</t>
  </si>
  <si>
    <t>POLYGON ((541793.4523024329 7522709.573221455, 541771.27311422 7522711.66220313, 541771.2723308066 7522711.662277539, 541767.7223308067 7522712.002277539, 541767.8176691934 7522712.997722461, 541771.3672775716 7522712.657759968, 541793.55688578 7522710.56779687, 541793.5784549576 7522710.565291751, 541798.4984549576 7522709.885291751, 541798.3615450425 7522708.894708249, 541793.4523024329 7522709.573221455))</t>
  </si>
  <si>
    <t>['EV6 S149D1 m2661-2753', 'EV6 S148D10 m2448-2563']</t>
  </si>
  <si>
    <t>LINESTRING Z (541798.57 7522710.38 102.772, 541793.65 7522711.06 101.842, 541774.6 7522716.37 98.392, 541768.76 7522718.02 97.842)</t>
  </si>
  <si>
    <t>POLYGON ((541793.5815450426 7522710.564708249, 541793.5157478051 7522710.578360769, 541774.4657478051 7522715.8883607695, 541774.4640546705 7522715.888835925, 541768.6240546706 7522717.538835924, 541768.8959453295 7522718.501164075, 541774.7350991184 7522716.851403159, 541793.7518133359 7522711.550681243, 541798.6384549574 7522710.875291751, 541798.5015450425 7522709.884708249, 541793.5815450426 7522710.564708249))</t>
  </si>
  <si>
    <t>['EV6 S149D1 m2659-2660']</t>
  </si>
  <si>
    <t>LINESTRING Z (541818.76 7522708.08 102.942, 541819.69 7522707.73 102.862, 541820.74 7522707.69 103.472)</t>
  </si>
  <si>
    <t>POLYGON ((541819.7901448939 7522708.226547637, 541820.7590338127 7522708.189637583, 541820.7209661873 7522707.190362418, 541819.6709661873 7522707.230362418, 541819.6175720216 7522707.235273624, 541819.5650107941 7522707.245874295, 541819.5138869708 7522707.262042522, 541818.5838869709 7522707.612042522, 541818.9361130291 7522708.547957478, 541819.7901448939 7522708.226547637))</t>
  </si>
  <si>
    <t>['EV6 S149D1 m2514-2515']</t>
  </si>
  <si>
    <t>LINESTRING Z (541788.34 7522564.8 105.242, 541783.87 7522565.03 103.092)</t>
  </si>
  <si>
    <t>POLYGON ((541783.8443069197 7522564.530660571, 541783.8956930803 7522565.52933943, 541788.3656930802 7522565.2993394295, 541788.3143069197 7522564.30066057, 541783.8443069197 7522564.530660571))</t>
  </si>
  <si>
    <t>['EV6 S149D1 m2512-2515']</t>
  </si>
  <si>
    <t>LINESTRING Z (541788.34 7522564.8 105.242, 541788.42 7522561.77 106.032, 541783.83 7522561.86 103.562)</t>
  </si>
  <si>
    <t>POLYGON Z ((541788.34 7522564.8 105.242, 541788.42 7522561.77 106.032, 541783.83 7522561.86 103.562, 541788.34 7522564.8 105.242))</t>
  </si>
  <si>
    <t>['EV6 S149D1 m2515-2520']</t>
  </si>
  <si>
    <t>LINESTRING Z (541788.34 7522564.8 105.242, 541788.06 7522569.58 105.732, 541784 7522569.34 103.642)</t>
  </si>
  <si>
    <t>POLYGON Z ((541788.34 7522564.8 105.242, 541788.06 7522569.58 105.732, 541784 7522569.34 103.642, 541788.34 7522564.8 105.242))</t>
  </si>
  <si>
    <t>['EV6 S149D1 m2420-2421']</t>
  </si>
  <si>
    <t>LINESTRING Z (541792.05 7522470.23 109.982, 541787.46 7522470.17 107.872)</t>
  </si>
  <si>
    <t>POLYGON ((541787.4665353894 7522469.670042713, 541787.4534646105 7522470.669957287, 541792.0434646106 7522470.729957287, 541792.0565353895 7522469.730042714, 541787.4665353894 7522469.670042713))</t>
  </si>
  <si>
    <t>['EV6 S149D1 m2421-2424']</t>
  </si>
  <si>
    <t>LINESTRING Z (541792.05 7522470.23 109.982, 541791.92 7522473.64 110.332, 541787.38 7522473.59 107.922)</t>
  </si>
  <si>
    <t>POLYGON Z ((541792.05 7522470.23 109.982, 541791.92 7522473.64 110.332, 541787.38 7522473.59 107.922, 541792.05 7522470.23 109.982))</t>
  </si>
  <si>
    <t>['EV6 S149D1 m2417-2421']</t>
  </si>
  <si>
    <t>LINESTRING Z (541792.05 7522470.23 109.982, 541792.34 7522466.81 110.622, 541787.51 7522466.93 108.042)</t>
  </si>
  <si>
    <t>POLYGON Z ((541792.05 7522470.23 109.982, 541792.34 7522466.81 110.622, 541787.51 7522466.93 108.042, 541792.05 7522470.23 109.982))</t>
  </si>
  <si>
    <t>['EV6 S149D1 m2341-2342']</t>
  </si>
  <si>
    <t>LINESTRING Z (541794.4 7522391.14 111.172, 541789.7 7522390.97 109.291)</t>
  </si>
  <si>
    <t>POLYGON ((541789.7180732877 7522390.470326751, 541789.6819267122 7522391.469673249, 541794.3819267122 7522391.639673249, 541794.4180732878 7522390.64032675, 541789.7180732877 7522390.470326751))</t>
  </si>
  <si>
    <t>['EV6 S149D1 m2337-2338']</t>
  </si>
  <si>
    <t>LINESTRING Z (541794.53 7522386.94 111.692, 541789.85 7522386.81 109.661)</t>
  </si>
  <si>
    <t>POLYGON ((541789.8638835336 7522386.310192789, 541789.8361164663 7522387.30980721, 541794.5161164664 7522387.439807211, 541794.5438835337 7522386.44019279, 541789.8638835336 7522386.310192789))</t>
  </si>
  <si>
    <t>['EV6 S149D1 m2333-2335']</t>
  </si>
  <si>
    <t>LINESTRING Z (541794.62 7522383.27 111.051, 541789.94 7522383.16 109.281)</t>
  </si>
  <si>
    <t>POLYGON ((541789.9517488917 7522382.660138056, 541789.9282511082 7522383.659861945, 541794.6082511082 7522383.769861944, 541794.6317488918 7522382.770138055, 541789.9517488917 7522382.660138056))</t>
  </si>
  <si>
    <t>['EV6 S149D1 m1887-1890']</t>
  </si>
  <si>
    <t>LINESTRING Z (541818.39 7521939.56 125.231, 541816.78 7521939.56 124.931, 541816.31 7521939.49 125.241, 541813.37 7521939.07 124.131, 541812.13 7521938.89 123.081, 541807.71 7521939.18 121.441, 541798.15 7521935.96 116.041)</t>
  </si>
  <si>
    <t>POLYGON ((541816.8170298202 7521939.06, 541816.383655651 7521938.995454911, 541816.3807106782 7521938.995025254, 541813.441269729 7521938.575105119, 541812.2018278198 7521938.395186131, 541812.1496542931 7521938.39038644, 541812.0972649532 7521938.391072733, 541807.7759122564 7521938.674600399, 541798.3096000633 7521935.486156334, 541797.9903999368 7521936.433843666, 541807.5503999367 7521939.6538436655, 541807.5973335225 7521939.667140909, 541807.6453395032 7521939.675801392, 541807.6939609426 7521939.679742682, 541807.7427350468 7521939.678927266, 541812.1102372045 7521939.392371695, 541813.2981721802 7521939.564813869, 541813.2992893219 7521939.564974747, 541816.2378161118 7521939.984764288, 541816.7063443491 7521940.054545089, 541816.7430713155 7521940.058634407, 541816.78 7521940.06, 541818.39 7521940.06, 541818.39 7521939.06, 541816.8170298202 7521939.06))</t>
  </si>
  <si>
    <t>['EV6 S149D1 m1885-1889']</t>
  </si>
  <si>
    <t>LINESTRING Z (541818.39 7521939.56 125.231, 541816.01 7521936.98 124.971, 541811.81 7521936.98 123.421, 541807.45 7521937.71 121.431, 541802.61 7521935.3 118.781, 541798.46 7521934.63 116.041)</t>
  </si>
  <si>
    <t>POLYGON ((541816.377510927 7521936.640978293, 541816.3406260163 7521936.6049180925, 541816.3002221407 7521936.572850017, 541816.2567293326 7521936.545115376, 541816.2106105008 7521936.52200936, 541816.1623565034 7521936.503777892, 541816.1124809242 7521936.490615019, 541816.0615146058 7521936.482660835, 541816.01 7521936.48, 541811.81 7521936.48, 541811.768574428 7521936.481719034, 541811.7274337037 7521936.486864313, 541807.5275452475 7521937.190056645, 541802.8328666853 7521934.852417113, 541802.7867688952 7521934.832289878, 541802.7388821248 7521934.816896079, 541802.6896910095 7521934.806391508, 541798.5396910094 7521934.136391508, 541798.3803089905 7521935.123608491, 541802.4552204052 7521935.781485756, 541807.2271333146 7521938.1575828865, 541807.2751055695 7521938.1784142805, 541807.3249913683 7521938.194120689, 541807.3762449038 7521938.204530268, 541807.4283054037 7521938.209529122, 541807.4806032673 7521938.209062561, 541807.5325662963 7521938.203135688, 541811.8515684871 7521937.48, 541815.7909884278 7521937.48, 541818.022489073 7521939.8990217075, 541818.757510927 7521939.220978292, 541816.377510927 7521936.640978293))</t>
  </si>
  <si>
    <t>['EV6 S149D1 m1889-1892']</t>
  </si>
  <si>
    <t>LINESTRING Z (541818.39 7521939.56 125.231, 541816.58 7521941.79 125.491, 541812.02 7521941.05 123.741, 541807.38 7521940.74 121.941, 541804.97 7521940.66 120.781, 541802.13 7521939.64 118.901, 541798.1 7521937.85 116.141)</t>
  </si>
  <si>
    <t>POLYGON ((541816.374266876 7521941.250072512, 541812.1000925842 7521940.556456508, 541812.053330867 7521940.551112183, 541807.413330867 7521940.241112184, 541807.3965883735 7521940.24027525, 541805.0650878795 7521940.162881043, 541802.3162350995 7521939.175617015, 541798.3029640225 7521937.39304748, 541797.8970359775 7521938.306952519, 541801.9270359775 7521940.096952519, 541801.9609923539 7521940.110570309, 541804.8009923538 7521941.130570309, 541804.8506958741 7521941.145557953, 541804.9016855258 7521941.155311148, 541804.9534116265 7521941.159724751, 541807.3550333703 7521941.239446634, 541811.963162365 7521941.547317321, 541816.4999074158 7521942.283543492, 541816.5473053457 7521942.288929914, 541816.5950008723 7521942.289774924, 541816.6425598564 7521942.2860708255, 541816.6895494013 7521942.2778513385, 541816.7355417938 7521942.2651912775, 541816.7801183966 7521942.248205879, 541816.82287346 7521942.227049748, 541816.863417814 7521942.201915456, 541816.9013824115 7521942.173031782, 541816.9364216868 7521942.140661634, 541816.9682167018 7521942.105099655, 541818.7782167018 7521939.875099654, 541818.0017832982 7521939.244900345, 541816.374266876 7521941.250072512))</t>
  </si>
  <si>
    <t>['EV6 S149D1 m1793-1798']</t>
  </si>
  <si>
    <t>LINESTRING Z (541822.76 7521847.96 128.571, 541822.49 7521845.1 128.111, 541818.36 7521844.51 126.061, 541809.3 7521842.93 121.871, 541805.84 7521843.25 120.141, 541801.78 7521843.48 118.411, 541796.32 7521844.46 115.521, 541789.7 7521845.37 112.771, 541783.44 7521847.63 109.251)</t>
  </si>
  <si>
    <t>POLYGON ((541822.9877866795 7521845.053006153, 541822.9810523291 7521845.005832011, 541822.9698577481 7521844.959513198, 541822.9543046171 7521844.914470427, 541822.9345342052 7521844.871112822, 541822.9107260872 7521844.8298341995, 541822.883096512 7521844.791009495, 541822.8518964397 7521844.754991352, 541822.8174092603 7521844.722106924, 541822.7799482212 7521844.692654901, 541822.7398535811 7521844.666902795, 541822.6974895198 7521844.645084514, 541822.6532408303 7521844.627398231, 541822.6075094235 7521844.614004593, 541822.5607106781 7521844.605025253, 541818.4383238867 7521844.016112855, 541809.3859000172 7521842.437434078, 541809.3421316424 7521842.431778237, 541809.2980350351 7521842.430003861, 541809.2539537363 7521842.432124773, 541805.8028251756 7521842.751304293, 541801.7517202189 7521842.980800387, 541801.6916679686 7521842.987864397, 541796.241755698 7521843.966053778, 541789.6319091889 7521844.874658057, 541789.5804041865 7521844.884513809, 541789.5302146907 7521844.899709718, 541783.2702146907 7521847.159709718, 541783.6097853092 7521848.100290282, 541789.820257208 7521845.858171035, 541796.388090811 7521844.955341944, 541796.4083320313 7521844.952135604, 541801.8385198714 7521843.977486505, 541805.8682797811 7521843.749199613, 541805.8860462637 7521843.747875227, 541809.2797194703 7521843.434009496, 541818.2740999828 7521845.002565921, 541818.2892893219 7521845.004974746, 541822.0292448839 7521845.539254112, 541822.2622133205 7521848.006993847, 541823.2577866795 7521847.913006153, 541822.9877866795 7521845.053006153))</t>
  </si>
  <si>
    <t>['EV6 S149D1 m1798-1799']</t>
  </si>
  <si>
    <t>LINESTRING Z (541822.76 7521847.96 128.571, 541818.28 7521848.02 125.981, 541809.59 7521847.96 121.341, 541802.26 7521848.42 117.941, 541789.82 7521849.95 112.241, 541783.19 7521851 108.741)</t>
  </si>
  <si>
    <t>POLYGON ((541818.2783779982 7521847.519976882, 541809.5934521616 7521847.460011917, 541809.5586837067 7521847.460981674, 541802.2286837067 7521847.9209816735, 541802.1989647194 7521847.923739288, 541789.7589647194 7521849.453739288, 541789.7417892228 7521849.4561548075, 541783.1117892228 7521850.506154807, 541783.2682107771 7521851.493845193, 541789.8896439901 7521850.445201924, 541802.3062169474 7521848.9180832235, 541809.6039489403 7521848.460108228, 541818.2765478384 7521848.519988082, 541818.2866958281 7521848.519955164, 541822.7666958281 7521848.459955164, 541822.753304172 7521847.460044836, 541818.2783779982 7521847.519976882))</t>
  </si>
  <si>
    <t>['EV6 S149D1 m1798-1803']</t>
  </si>
  <si>
    <t>LINESTRING Z (541822.77 7521848.07 127.881, 541821.22 7521850.28 103.801, 541818.25 7521850.91 118.561, 541812.32 7521851.42 122.751, 541807.14 7521852.63 120.621, 541797.2 7521854.14 116.351, 541789.86 7521854.3 112.691, 541786.18 7521854.62 110.781, 541782.94 7521854.28 108.651)</t>
  </si>
  <si>
    <t>POLYGON ((541820.9236797385 7521849.831730729, 541818.1764232072 7521850.414482114, 541812.2771564695 7521850.921838949, 541812.2062663402 7521850.933107142, 541807.0454396559 7521852.138628433, 541797.1568253367 7521853.640822359, 541789.849103406 7521853.80011875, 541789.8166851917 7521853.801879706, 541786.1844747112 7521854.1177240955, 541782.9921826039 7521853.78273048, 541782.887817396 7521854.777269521, 541786.1278173961 7521855.117269521, 541786.1755457432 7521855.119980159, 541786.2233148083 7521855.118120294, 541789.887134304 7521854.799527294, 541797.210896594 7521854.6398812495, 541797.2750941985 7521854.634328697, 541807.2150941986 7521853.124328697, 541807.2537336597 7521853.1168928575, 541812.3986940556 7521851.915077784, 541818.2928435304 7521851.408161051, 541818.3537521042 7521851.399117063, 541821.3237521042 7521850.769117063, 541821.3690922502 7521850.7572541265, 541821.4131224968 7521850.741198115, 541821.4554560015 7521850.721090095, 541821.4957208291 7521850.69710673, 541821.5335632197 7521850.669458737, 541821.5686506965 7521850.638389023, 541821.6006749867 7521850.604170565, 541821.6293547304 7521850.567103997, 541823.1793547304 7521848.357103997, 541822.3606452696 7521847.782896004, 541820.9236797385 7521849.831730729))</t>
  </si>
  <si>
    <t>['EV6 S149D1 m1662-1665']</t>
  </si>
  <si>
    <t>LINESTRING Z (541827.45 7521715.8 130.901, 541824.64 7521713.03 129.711, 541822.41 7521713.41 128.341, 541810.71 7521715.18 121.881)</t>
  </si>
  <si>
    <t>POLYGON Z ((541827.45 7521715.8 130.901, 541824.64 7521713.03 129.711, 541822.41 7521713.41 128.341, 541810.71 7521715.18 121.881, 541827.45 7521715.8 130.901))</t>
  </si>
  <si>
    <t>['EV6 S149D1 m1665-1669']</t>
  </si>
  <si>
    <t>LINESTRING Z (541827.45 7521715.8 130.901, 541825.67 7521719.46 129.691, 541823.53 7521719.84 128.451, 541821.13 7521720.26 127.061, 541815.46 7521720.28 123.821, 541811.25 7521720.62 121.881)</t>
  </si>
  <si>
    <t>POLYGON Z ((541827.45 7521715.8 130.901, 541825.67 7521719.46 129.691, 541823.53 7521719.84 128.451, 541821.13 7521720.26 127.061, 541815.46 7521720.28 123.821, 541811.25 7521720.62 121.881, 541827.45 7521715.8 130.901))</t>
  </si>
  <si>
    <t>['EV6 S149D1 m1347-1348']</t>
  </si>
  <si>
    <t>LINESTRING Z (541741.71 7521418.08 135.981, 541738.55 7521420.51 133.621)</t>
  </si>
  <si>
    <t>POLYGON ((541738.2452052399 7521420.113641381, 541738.8547947602 7521420.906358618, 541742.0147947602 7521418.476358619, 541741.4052052398 7521417.683641382, 541738.2452052399 7521420.113641381))</t>
  </si>
  <si>
    <t>['EV6 S149D1 m1344-1345']</t>
  </si>
  <si>
    <t>LINESTRING Z (541739.88 7521415.71 135.541, 541736.64 7521418.04 133.001)</t>
  </si>
  <si>
    <t>POLYGON ((541736.3480787216 7521417.634066548, 541736.9319212785 7521418.445933452, 541740.1719212785 7521416.115933452, 541739.5880787215 7521415.304066548, 541736.3480787216 7521417.634066548))</t>
  </si>
  <si>
    <t>['EV6 S149D1 m1340-1341']</t>
  </si>
  <si>
    <t>LINESTRING Z (541737.38 7521412.46 135.771, 541734.22 7521414.9 133.411)</t>
  </si>
  <si>
    <t>POLYGON ((541733.9144188431 7521414.504247354, 541734.5255811568 7521415.295752646, 541737.6855811569 7521412.855752646, 541737.0744188431 7521412.064247354, 541733.9144188431 7521414.504247354))</t>
  </si>
  <si>
    <t>['EV6 S149D1 m1283-1284']</t>
  </si>
  <si>
    <t>LINESTRING Z (541707.94 7521365.15 136.511, 541703.94 7521367.35 134.111)</t>
  </si>
  <si>
    <t>POLYGON ((541703.6990406251 7521366.911892045, 541704.1809593748 7521367.788107954, 541708.1809593748 7521365.588107955, 541707.6990406251 7521364.711892046, 541703.6990406251 7521366.911892045))</t>
  </si>
  <si>
    <t>['EV6 S149D1 m1280-1281']</t>
  </si>
  <si>
    <t>LINESTRING Z (541706.49 7521362.52 136.311, 541702.49 7521364.73 134.121)</t>
  </si>
  <si>
    <t>POLYGON ((541702.2482010581 7521364.292354857, 541702.7317989419 7521365.167645144, 541706.7317989419 7521362.957645143, 541706.2482010581 7521362.082354856, 541702.2482010581 7521364.292354857))</t>
  </si>
  <si>
    <t>['EV6 S149D1 m1277-1278']</t>
  </si>
  <si>
    <t>LINESTRING Z (541701.04 7521362.1 134.131, 541705.05 7521359.9 136.511)</t>
  </si>
  <si>
    <t>POLYGON ((541705.2904976334 7521360.338361596, 541704.8095023667 7521359.461638405, 541700.7995023667 7521361.661638404, 541701.2804976334 7521362.538361595, 541705.2904976334 7521360.338361596))</t>
  </si>
  <si>
    <t>['EV6 S149D1 m1033-1034']</t>
  </si>
  <si>
    <t>LINESTRING Z (541572.33 7521154.88 138.941, 541568.63 7521156.41 65.551)</t>
  </si>
  <si>
    <t>POLYGON ((541568.4389344087 7521155.947945956, 541568.8210655913 7521156.872054044, 541572.5210655913 7521155.342054044, 541572.1389344087 7521154.417945956, 541568.4389344087 7521155.947945956))</t>
  </si>
  <si>
    <t>['EV6 S149D1 m1029-1031']</t>
  </si>
  <si>
    <t>LINESTRING Z (541571.48 7521151.32 139.861, 541570.64 7521151.8 138.251, 541567.68 7521153.04 136.461)</t>
  </si>
  <si>
    <t>POLYGON ((541570.4185401455 7521151.350672934, 541567.4868076419 7521152.578831146, 541567.8731923582 7521153.501168855, 541570.8331923581 7521152.261168854, 541570.888069469 7521152.234121571, 541571.728069469 7521151.754121572, 541571.231930531 7521150.885878429, 541570.4185401455 7521151.350672934))</t>
  </si>
  <si>
    <t>['EV6 S149D1 m1026-1027']</t>
  </si>
  <si>
    <t>LINESTRING Z (541568.77 7521148.68 139.261, 541566.35 7521149.68 138.011)</t>
  </si>
  <si>
    <t>POLYGON ((541566.1590490026 7521149.217898586, 541566.5409509974 7521150.142101414, 541568.9609509974 7521149.142101414, 541568.5790490026 7521148.217898586, 541566.1590490026 7521149.217898586))</t>
  </si>
  <si>
    <t>['EV6 S148D1 m12561-12562']</t>
  </si>
  <si>
    <t>LINESTRING Z (539891.71 7520322.91 200.53, 539894.13 7520319.77 198.88, 539894.62 7520319.14 198.55, 539897.55 7520315.49 197.76)</t>
  </si>
  <si>
    <t>POLYGON ((539894.5253552548 7520320.076097119, 539895.0123175938 7520319.450002682, 539897.9399127618 7520315.802998464, 539897.1600872383 7520315.177001537, 539894.2300872382 7520318.827001536, 539894.2253238914 7520318.833029693, 539893.7353238914 7520319.463029693, 539893.7339694925 7520319.464779035, 539891.3139694924 7520322.604779036, 539892.1060305075 7520323.2152209645, 539894.5253552548 7520320.076097119))</t>
  </si>
  <si>
    <t>['EV6 S148D1 m12560-12561']</t>
  </si>
  <si>
    <t>LINESTRING Z (539889.87 7520322.35 200.22, 539890.18 7520322.11 199.97, 539891.1 7520321.27 199.49, 539892.84 7520318.78 198.49, 539893.54 7520317.77 198.09, 539896.67 7520313.72 197.41)</t>
  </si>
  <si>
    <t>POLYGON ((539890.4860865959 7520322.505361855, 539890.5171346823 7520322.479242747, 539891.4371346822 7520321.639242746, 539891.4757811257 7520321.599831086, 539891.5098478092 7520321.556399673, 539893.2498478092 7520319.066399674, 539893.2509495644 7520319.06481653, 539893.9435569838 7520318.065482967, 539897.0656210168 7520314.025751551, 539896.2743789833 7520313.414248449, 539893.1443789833 7520317.464248449, 539893.1290504356 7520317.48518347, 539892.4295997538 7520318.494390883, 539890.7219149552 7520320.938146715, 539889.857859061 7520321.727067314, 539889.5639134041 7520321.954638145, 539890.1760865959 7520322.745361854, 539890.4860865959 7520322.505361855))</t>
  </si>
  <si>
    <t>['EV6 S148D1 m12558-12559']</t>
  </si>
  <si>
    <t>LINESTRING Z (539889.05 7520321.36 200.73, 539889.96 7520319.73 199.95, 539892.29 7520316.87 198.39, 539895.07 7520313.42 197.82)</t>
  </si>
  <si>
    <t>POLYGON ((539890.3752586406 7520320.011907859, 539892.6776420742 7520317.185806305, 539892.6793310079 7520317.183721798, 539895.4593310078 7520313.733721797, 539894.6806689921 7520313.1062782025, 539891.9015106743 7520316.5552336695, 539889.5723579258 7520319.414193695, 539889.5463200774 7520319.449163889, 539889.523427659 7520319.486269429, 539888.613427659 7520321.116269429, 539889.4865723411 7520321.603730571, 539890.3752586406 7520320.011907859))</t>
  </si>
  <si>
    <t>['EV6 S148D1 m12481-12482']</t>
  </si>
  <si>
    <t>LINESTRING Z (539834.42 7520264.94 198.1, 539833.47 7520267.16 198.7, 539831.32 7520269.44 199.13, 539828.93 7520271.59 200.56, 539828.24 7520272.2 200.98, 539826.22 7520274.71 202.4)</t>
  </si>
  <si>
    <t>POLYGON ((539833.04527422 7520266.881608845, 539830.9703261666 7520269.082018875, 539828.597210723 7520271.216829837, 539827.9088302156 7520271.825398113, 539827.8783594051 7520271.854723183, 539827.8504756698 7520271.886518268, 539825.8304756698 7520274.396518268, 539826.6095243301 7520275.023481732, 539828.6029387765 7520272.546516257, 539829.2611697845 7520271.964601887, 539829.264396427 7520271.9617244, 539831.6543964269 7520269.8117244, 539831.6837719489 7520269.783030567, 539833.8337719489 7520267.5030305665, 539833.8624898675 7520267.469760721, 539833.8881752501 7520267.434097538, 539833.910629641 7520267.3963165665, 539833.9296795485 7520267.356709717, 539834.8796795486 7520265.136709717, 539833.9603204515 7520264.743290284, 539833.04527422 7520266.881608845))</t>
  </si>
  <si>
    <t>['EV6 S148D1 m12479-12480']</t>
  </si>
  <si>
    <t>LINESTRING Z (539825.4 7520273.64 202.1, 539826.99 7520271.28 200.5, 539827.94 7520270.49 200.03, 539828.31 7520270.18 199.84, 539830.11 7520268.69 198.96, 539833.61 7520264.17 197.92)</t>
  </si>
  <si>
    <t>POLYGON ((539827.3646975275 7520271.618702348, 539828.259693986 7520270.874442135, 539828.2611099315 7520270.873260241, 539828.6299716313 7520270.564213951, 539830.4288276471 7520269.075160917, 539830.4692613241 7520269.037751781, 539830.5053345377 7520268.996121877, 539834.0053345377 7520264.476121876, 539833.2146654623 7520263.863878123, 539829.7485451328 7520268.34012495, 539827.9911723529 7520269.794839083, 539827.9888900685 7520269.796739759, 539827.6195968286 7520270.106147609, 539826.6703060139 7520270.8955578655, 539826.6353722684 7520270.927524225, 539826.603619129 7520270.962651891, 539826.5753313855 7520271.000625807, 539824.9853313855 7520273.360625806, 539825.8146686145 7520273.919374193, 539827.3646975275 7520271.618702348))</t>
  </si>
  <si>
    <t>['EV6 S148D1 m12478-12479']</t>
  </si>
  <si>
    <t>LINESTRING Z (539824.43 7520273.34 202.63, 539826.19 7520270.45 200.88, 539827.13 7520269.59 200.34, 539829 7520267.89 199.28, 539831.35 7520265.04 198.55, 539832.12 7520263.34 198.21)</t>
  </si>
  <si>
    <t>POLYGON ((539826.5800209694 7520270.770857764, 539827.4669223472 7520269.9594373545, 539829.336336397 7520268.259970036, 539829.3857696832 7520268.2080907915, 539831.7357696831 7520265.358090792, 539831.7622556362 7520265.322922764, 539831.7855452957 7520265.285561184, 539831.8054580926 7520265.246295724, 539832.5754580926 7520263.546295724, 539831.6645419074 7520263.133704276, 539830.9219576033 7520264.773176116, 539828.6370833429 7520267.544193836, 539826.793663603 7520269.220029963, 539826.792493269 7520269.221097294, 539825.8524932689 7520270.081097295, 539825.8192674258 7520270.114504309, 539825.7893336664 7520270.150890507, 539825.7629578005 7520270.1899327785, 539824.0029578006 7520273.079932778, 539824.8570421995 7520273.600067222, 539826.5800209694 7520270.770857764))</t>
  </si>
  <si>
    <t>['EV6 S148D1 m12373-12374']</t>
  </si>
  <si>
    <t>LINESTRING Z (539739.32 7520211.04 207.36, 539742.65 7520207.62 205.97, 539746.54 7520203.06 205.39, 539749.76 7520199.34 204.79)</t>
  </si>
  <si>
    <t>POLYGON ((539743.008235594 7520207.968808342, 539743.030392747 7520207.944501707, 539746.9192241204 7520203.385871613, 539750.138045657 7520199.6672330685, 539749.381954343 7520199.012766931, 539746.1619543431 7520202.732766931, 539746.159607253 7520202.735498292, 539742.2802858913 7520207.282980403, 539738.961764406 7520210.691191658, 539739.678235594 7520211.388808342, 539743.008235594 7520207.968808342))</t>
  </si>
  <si>
    <t>['EV6 S148D1 m12371-12372']</t>
  </si>
  <si>
    <t>LINESTRING Z (539724.34 7520227.6 207.31, 539722.87 7520229.86 208.6, 539720.28 7520233.48 211.13, 539717.42 7520237.32 213.44)</t>
  </si>
  <si>
    <t>POLYGON ((539722.4569089531 7520229.5780802565, 539719.8761434859 7520233.185173304, 539717.0189997327 7520237.021338343, 539717.8210002674 7520237.618661658, 539720.6810002674 7520233.778661658, 539720.6866389124 7520233.7709377855, 539723.2766389124 7520230.150937785, 539723.289137044 7520230.132624538, 539724.759137044 7520227.872624537, 539723.920862956 7520227.327375462, 539722.4569089531 7520229.5780802565))</t>
  </si>
  <si>
    <t>LINESTRING Z (539719.23 7520238.77 214.31, 539722.02 7520234.52 212.12, 539724.76 7520231.69 210.02, 539726.51 7520229.87 208.67)</t>
  </si>
  <si>
    <t>POLYGON ((539722.4120666842 7520234.833868877, 539725.1192192129 7520232.037795281, 539725.1204165325 7520232.036554359, 539726.8704165325 7520230.216554359, 539726.1495834675 7520229.523445642, 539724.4001810291 7520231.342824178, 539721.6607807871 7520234.172204719, 539721.6296702881 7520234.207521655, 539721.6020183428 7520234.245607335, 539718.8120183428 7520238.495607335, 539719.6479816572 7520239.044392664, 539722.4120666842 7520234.833868877))</t>
  </si>
  <si>
    <t>['EV6 S148D1 m12369-12370']</t>
  </si>
  <si>
    <t>LINESTRING Z (539715.84 7520236.43 214.35, 539719 7520231.36 211.87, 539721.21 7520228.55 209.77, 539722.73 7520226.64 208.33)</t>
  </si>
  <si>
    <t>POLYGON ((539719.4098888659 7520231.647639171, 539721.602126224 7520228.860224249, 539723.1212324774 7520226.951347312, 539722.3387675226 7520226.328652687, 539720.8187675226 7520228.2386526875, 539720.8169864723 7520228.240903951, 539718.6069864724 7520231.050903952, 539718.5756720419 7520231.095527348, 539715.4156720418 7520236.1655273475, 539716.2643279581 7520236.694472652, 539719.4098888659 7520231.647639171))</t>
  </si>
  <si>
    <t>['EV6 S148D1 m12225-12228']</t>
  </si>
  <si>
    <t>LINESTRING Z (539627.12 7520117.23 209.03, 539628.98 7520119.59 209.01)</t>
  </si>
  <si>
    <t>POLYGON ((539628.5873031924 7520119.899498331, 539629.3726968076 7520119.280501668, 539627.5126968076 7520116.920501669, 539626.7273031924 7520117.539498332, 539628.5873031924 7520119.899498331))</t>
  </si>
  <si>
    <t>['EV6 S148D1 m12228-12229']</t>
  </si>
  <si>
    <t>LINESTRING Z (539628.98 7520119.59 209.01, 539634.4 7520114.29 208.67, 539638.68 7520110.55 208.45, 539646.36 7520103.09 208.25)</t>
  </si>
  <si>
    <t>POLYGON ((539634.7395549534 7520114.65728571, 539639.0090031167 7520110.92650624, 539639.0283791125 7520110.908653027, 539646.7083791124 7520103.448653027, 539646.0116208876 7520102.731346972, 539638.3410736069 7520110.182165034, 539634.0709968833 7520113.91349376, 539634.0504261978 7520113.932511319, 539628.6304261978 7520119.232511319, 539629.3295738022 7520119.9474886805, 539634.7395549534 7520114.65728571))</t>
  </si>
  <si>
    <t>['EV6 S148D1 m12224-12225']</t>
  </si>
  <si>
    <t>LINESTRING Z (539627.12 7520117.23 209.03, 539632.03 7520112.01 208.8, 539636.75 7520107.28 208.4, 539643.59 7520101.08 208.25)</t>
  </si>
  <si>
    <t>POLYGON ((539632.3891431695 7520112.357952165, 539637.0950785883 7520107.642046545, 539643.9257968827 7520101.450459787, 539643.2542031172 7520100.709540213, 539636.4142031173 7520106.909540214, 539636.396072677 7520106.926820938, 539631.676072677 7520111.656820937, 539631.6657976044 7520111.667426482, 539626.7557976043 7520116.8874264825, 539627.4842023957 7520117.572573518, 539632.3891431695 7520112.357952165))</t>
  </si>
  <si>
    <t>['EV6 S148D1 m12228-12232']</t>
  </si>
  <si>
    <t>LINESTRING Z (539628.98 7520119.59 209.01, 539632.75 7520119.52 211.94, 539636.23 7520115.23 211.76, 539641.65 7520112.81 211.89, 539647.45 7520106.36 210.71)</t>
  </si>
  <si>
    <t>POLYGON ((539632.7592822198 7520120.019913833, 539632.8075275454 7520120.016679556, 539632.8552348567 7520120.008800189, 539632.9019579814 7520119.996349421, 539632.9472599513 7520119.979443697, 539632.9907170894 7520119.958241124, 539633.0319229718 7520119.932939992, 539633.0704922295 7520119.903776928, 539633.1060641516 7520119.871024671, 539633.1383060592 7520119.83498953, 539636.5430007979 7520115.637822741, 539641.8538505047 7520113.266557742, 539641.9004133339 7520113.2427738, 539641.9442378704 7520113.214257437, 539641.9848448888 7520113.181320482, 539642.0217903476 7520113.144323103, 539647.8217903476 7520106.694323104, 539647.0782096523 7520106.025676897, 539641.3492015976 7520112.396728957, 539636.0261494953 7520114.773442258, 539635.9842540858 7520114.794558907, 539635.9445223592 7520114.81950942, 539635.9073041355 7520114.848074119, 539635.8729271045 7520114.880001504, 539635.8416939408 7520114.91501047, 539632.5082003203 7520119.024403467, 539628.9707177802 7520119.090086167, 539628.9892822198 7520120.089913833, 539632.7592822198 7520120.019913833))</t>
  </si>
  <si>
    <t>['EV6 S148D1 m12222-12225']</t>
  </si>
  <si>
    <t>LINESTRING Z (539627.12 7520117.23 209.03, 539625.98 7520115.01 212.16, 539631.18 7520109.4 211.99, 539635.77 7520104.98 212.02, 539641.47 7520100.83 210.36)</t>
  </si>
  <si>
    <t>POLYGON ((539626.5847394253 7520115.093090758, 539631.5370476997 7520109.750312024, 539636.0920723499 7520105.36399199, 539641.7642966368 7520101.234214658, 539641.1757033631 7520100.425785342, 539635.4757033632 7520104.575785343, 539635.4231791565 7520104.619839894, 539630.8331791565 7520109.039839894, 539630.813300749 7520109.060100516, 539625.613300749 7520114.670100516, 539625.5806499405 7520114.709135363, 539625.5521360704 7520114.751286919, 539625.5280545192 7520114.796118531, 539625.5086547517 7520114.84316578, 539625.4941377336 7520114.891941294, 539625.4846538493 7520114.941939798, 539625.4803013441 7520114.992643352, 539625.4811253062 7520115.043526704, 539625.4871172003 7520115.094062748, 539625.4982149551 7520115.143727972, 539625.514303607 7520115.192007883, 539625.5352164909 7520115.238402342, 539626.6752164909 7520117.458402343, 539627.5647835091 7520117.001597658, 539626.5847394253 7520115.093090758))</t>
  </si>
  <si>
    <t>['EV6 S148D1 m12219-12242']</t>
  </si>
  <si>
    <t>LINESTRING Z (539605.34 7520130.97 213.12, 539605.87 7520133.92 213.68, 539607.95 7520141.8 214.66, 539611.25 7520151.07 215.66, 539612.73 7520156.07 216.2)</t>
  </si>
  <si>
    <t>POLYGON ((539605.3778792792 7520134.008414909, 539605.3865582306 7520134.047608995, 539607.4665582306 7520141.927608995, 539607.478956847 7520141.967685265, 539610.7744101658 7520151.224913225, 539612.2505622678 7520156.211913569, 539613.2094377321 7520155.928086432, 539611.7294377321 7520150.928086432, 539611.721043153 7520150.902314736, 539608.4280838089 7520141.652092578, 539606.3585685737 7520133.8118137065, 539605.8321207208 7520130.88158509, 539604.8478792792 7520131.058414909, 539605.3778792792 7520134.008414909))</t>
  </si>
  <si>
    <t>['EV6 S148D1 m12220-12243']</t>
  </si>
  <si>
    <t>LINESTRING Z (539606.5 7520130.77 213.75, 539607.28 7520133.95 214.16, 539609.22 7520141.11 215.16, 539612.39 7520150.63 216.22, 539614.36 7520155.7 216.71)</t>
  </si>
  <si>
    <t>POLYGON ((539606.794394578 7520134.069110764, 539606.7974009896 7520134.080760067, 539608.7374009895 7520141.2407600675, 539608.7456085435 7520141.267964383, 539611.9156085436 7520150.787964382, 539611.9239459299 7520150.811090043, 539613.8939459298 7520155.881090043, 539614.8260540701 7520155.518909957, 539612.8605070952 7520150.460370281, 539609.6988819013 7520140.965521118, 539607.7641722976 7520133.825046497, 539606.985605422 7520130.650889236, 539606.014394578 7520130.889110764, 539606.794394578 7520134.069110764))</t>
  </si>
  <si>
    <t>['EV6 S148D1 m12218-12241']</t>
  </si>
  <si>
    <t>LINESTRING Z (539603.52 7520131.27 213.56, 539604.64 7520134.17 214.08, 539606.37 7520141.87 215.25, 539609.86 7520151.36 216.35, 539611.54 7520156.29 216.64)</t>
  </si>
  <si>
    <t>POLYGON ((539604.1602622878 7520134.31566209, 539605.8821612248 7520141.979605336, 539605.9007272116 7520142.042577664, 539609.3886583357 7520151.526951982, 539611.066724919 7520156.451278324, 539612.0132750811 7520156.128721676, 539610.333275081 7520151.198721676, 539610.3292727884 7520151.187422336, 539606.850627387 7520141.728297734, 539605.1278387752 7520134.060394664, 539605.1184326847 7520134.024734153, 539605.10642364 7520133.989863973, 539603.98642364 7520131.089863973, 539603.05357636 7520131.450136026, 539604.1602622878 7520134.31566209))</t>
  </si>
  <si>
    <t>['EV6 S148D1 m12102-12105']</t>
  </si>
  <si>
    <t>LINESTRING Z (539553.64 7520021.22 217.45, 539559.57 7520018.83 214.92, 539565.52 7520016.35 212.39, 539570.75 7520014.24 210.5)</t>
  </si>
  <si>
    <t>POLYGON ((539559.7569082183 7520019.293751353, 539559.7623627671 7520019.29151551, 539565.7097226747 7520016.812615917, 539570.9370702641 7520014.703686011, 539570.5629297359 7520013.776313989, 539565.3329297359 7520015.886313989, 539565.3276372328 7520015.88848449, 539559.3803579212 7520018.367350489, 539553.4530917817 7520020.756248646, 539553.8269082183 7520021.683751353, 539559.7569082183 7520019.293751353))</t>
  </si>
  <si>
    <t>['EV6 S148D1 m12100-12103']</t>
  </si>
  <si>
    <t>LINESTRING Z (539553.14 7520019.98 217.05, 539558.56 7520017.3 214.77, 539564.57 7520014.96 212.08, 539571.6 7520011.71 209.63)</t>
  </si>
  <si>
    <t>POLYGON ((539558.7619049548 7520017.757949888, 539564.7514101752 7520015.425929553, 539564.7798156244 7520015.413847336, 539571.8098156244 7520012.163847336, 539571.3901843756 7520011.256152664, 539564.3742005274 7520014.499672935, 539558.3785898248 7520016.834070447, 539558.3383800604 7520016.85179848, 539552.9183800603 7520019.531798481, 539553.3616199397 7520020.42820152, 539558.7619049548 7520017.757949888))</t>
  </si>
  <si>
    <t>['EV6 S148D1 m12098-12102']</t>
  </si>
  <si>
    <t>LINESTRING Z (539552.28 7520018.24 217.49, 539557.55 7520015.62 215.44, 539564.36 7520013.44 212.49, 539569.77 7520010.93 210.53)</t>
  </si>
  <si>
    <t>POLYGON ((539557.7385935978 7520016.084621988, 539564.5124386072 7520013.916195833, 539564.5704324843 7520013.893561649, 539569.9804324843 7520011.383561648, 539569.5595675157 7520010.476438351, 539564.1778585508 7520012.973312566, 539557.3975613929 7520015.143804167, 539557.3619476424 7520015.156711417, 539557.3274132645 7520015.172277826, 539552.0574132645 7520017.792277826, 539552.5025867355 7520018.687722174, 539557.7385935978 7520016.084621988))</t>
  </si>
  <si>
    <t>['EV6 S148D1 m12069-12077']</t>
  </si>
  <si>
    <t>LINESTRING Z (539550.86 7519992.59 214.95, 539544.89 7519991.65 216.82, 539540 7519992.39 218.57, 539535.69 7519993.47 219.72)</t>
  </si>
  <si>
    <t>POLYGON ((539544.9677688574 7519991.156085023, 539544.9170124844 7519991.150730208, 539544.8659746541 7519991.150577551, 539544.8151871567 7519991.155628644, 539539.9251871567 7519991.895628643, 539539.8784674287 7519991.904995016, 539535.5684674287 7519992.984995016, 539535.8115325712 7519993.955004984, 539540.0983961184 7519992.880802517, 539544.8884867603 7519992.155921726, 539550.7822311426 7519993.0839149775, 539550.9377688573 7519992.096085022, 539544.9677688574 7519991.156085023))</t>
  </si>
  <si>
    <t>['EV6 S148D1 m12070-12077']</t>
  </si>
  <si>
    <t>LINESTRING Z (539536.15 7519995.23 220.11, 539540.39 7519994.14 218.92, 539544.88 7519993.57 217.28, 539550.24 7519993.79 215.35)</t>
  </si>
  <si>
    <t>POLYGON ((539540.48409863 7519994.632067189, 539544.9013812027 7519994.071298578, 539550.2194948769 7519994.289579363, 539550.2605051231 7519993.2904206375, 539544.9005051231 7519993.070420638, 539544.8586935597 7519993.070454171, 539544.8170309885 7519993.073980944, 539540.3270309885 7519993.643980944, 539540.2655100881 7519993.655745664, 539536.0255100881 7519994.745745664, 539536.274489912 7519995.714254336, 539540.48409863 7519994.632067189))</t>
  </si>
  <si>
    <t>['EV6 S148D1 m12067-12071']</t>
  </si>
  <si>
    <t>LINESTRING Z (539535.06 7519991.71 220.38, 539539 7519990.29 219.28, 539544.7 7519990.03 217.36, 539550.55 7519991.21 215.11)</t>
  </si>
  <si>
    <t>POLYGON ((539539.0983574077 7519990.7860334115, 539544.661385095 7519990.532281271, 539550.4511364624 7519991.700128555, 539550.6488635377 7519990.719871445, 539544.7988635376 7519989.539871445, 539544.7383264268 7519989.531471079, 539544.6772166721 7519989.53051935, 539538.9772166722 7519989.79051935, 539538.9274107883 7519989.795297255, 539538.8783317995 7519989.8050290225, 539538.8304711741 7519989.819617202, 539534.8904711741 7519991.2396172015, 539535.229528826 7519992.180382798, 539539.0983574077 7519990.7860334115))</t>
  </si>
  <si>
    <t>['EV6 S148D1 m12098-12099']</t>
  </si>
  <si>
    <t>LINESTRING Z (539552.28 7520018.24 217.49, 539552.09 7520018.34 217.56, 539548.5 7520020.8 219.52, 539548.91 7520021.5 219.3)</t>
  </si>
  <si>
    <t>POLYGON Z ((539552.28 7520018.24 217.49, 539552.09 7520018.34 217.56, 539548.5 7520020.8 219.52, 539548.91 7520021.5 219.3, 539552.28 7520018.24 217.49))</t>
  </si>
  <si>
    <t>['EV6 S148D1 m12099-12102']</t>
  </si>
  <si>
    <t>LINESTRING Z (539553.64 7520021.22 217.45, 539553.52 7520021.27 217.5, 539550 7520022.61 219.29, 539548.91 7520021.5 219.3)</t>
  </si>
  <si>
    <t>POLYGON Z ((539553.64 7520021.22 217.45, 539553.52 7520021.27 217.5, 539550 7520022.61 219.29, 539548.91 7520021.5 219.3, 539553.64 7520021.22 217.45))</t>
  </si>
  <si>
    <t>['EV6 S148D1 m12099-12100']</t>
  </si>
  <si>
    <t>LINESTRING Z (539553.14 7520019.98 217.05, 539552.82 7520020.15 217.19, 539548.91 7520021.5 219.3)</t>
  </si>
  <si>
    <t>POLYGON ((539552.6199073588 7520019.690121999, 539548.7468184127 7520021.027377773, 539549.0731815874 7520021.972622227, 539552.9831815873 7520020.622622227, 539553.0194851975 7520020.608481904, 539553.0545776128 7520020.59155786, 539553.3745776128 7520020.42155786, 539552.9054223872 7520019.53844214, 539552.6199073588 7520019.690121999))</t>
  </si>
  <si>
    <t>['EV6 S148D1 m12068-12070']</t>
  </si>
  <si>
    <t>LINESTRING Z (539536.15 7519995.23 220.11, 539535.24 7519995.47 220.37, 539532.42 7519996.64 221.19, 539531.45 7519995.75 221.1)</t>
  </si>
  <si>
    <t>POLYGON Z ((539536.15 7519995.23 220.11, 539535.24 7519995.47 220.37, 539532.42 7519996.64 221.19, 539531.45 7519995.75 221.1, 539536.15 7519995.23 220.11))</t>
  </si>
  <si>
    <t>['EV6 S148D1 m12066-12068']</t>
  </si>
  <si>
    <t>LINESTRING Z (539535.06 7519991.71 220.38, 539533.19 7519992.38 220.91, 539530.8 7519994.29 220.91, 539531.45 7519995.75 221.1)</t>
  </si>
  <si>
    <t>POLYGON Z ((539535.06 7519991.71 220.38, 539533.19 7519992.38 220.91, 539530.8 7519994.29 220.91, 539531.45 7519995.75 221.1, 539535.06 7519991.71 220.38))</t>
  </si>
  <si>
    <t>['EV6 S148D1 m12068-12069']</t>
  </si>
  <si>
    <t>LINESTRING Z (539531.45 7519995.75 221.1, 539532.56 7519995.04 220.59, 539534.31 7519993.81 220.09, 539535.69 7519993.47 219.72)</t>
  </si>
  <si>
    <t>POLYGON ((539532.8294191597 7519995.461204601, 539532.8475150495 7519995.449066127, 539534.5207348329 7519994.27303165, 539535.8096115825 7519993.955482306, 539535.5703884173 7519992.9845176935, 539534.1903884175 7519993.324517693, 539534.1459296971 7519993.337685553, 539534.1028819619 7519993.354915262, 539534.0616154171 7519993.376058646, 539534.0224849506 7519993.400933873, 539532.2814006188 7519994.624667432, 539531.1805808403 7519995.328795399, 539531.7194191596 7519996.171204601, 539532.8294191597 7519995.461204601))</t>
  </si>
  <si>
    <t>[6908, 6910]</t>
  </si>
  <si>
    <t>['FV6908 S1D1 m3317-3539', 'FV6910 S1D1 m1621-2273']</t>
  </si>
  <si>
    <t>LINESTRING Z (327745.6 7081002.72 33.101, 327738.47 7081000.92 33.751, 327736.49 7080992.3 33.961, 327735.49 7080984.53 34.371, 327748.33 7080970.32 33.501, 327757.45 7080952.12 32.601, 327763.46 7080945.68 33.111, 327778.42 7080942.07 32.731, 327786.39 7080930.52 31.991, 327791.06 7080925.65 32.061, 327794.59 7080919.78 31.481, 327800.17 7080913.06 31.741, 327803.17 7080905 31.601, 327801.16 7080888.67 31.152, 327795.64 7080873.76 30.222, 327787.04 7080866.06 30.212, 327780.92 7080861.97 29.662, 327774.8 7080854.11 29.322, 327766.2 7080847.34 29.142, 327762.54 7080838.09 29.182, 327759 7080830.51 28.572, 327756.99 7080820.12 29.172, 327746.2 7080810.19 28.092, 327739.63 7080801.05 28.342, 327720.53 7080784.31 28.162, 327714.88 7080776.46 28.092, 327709 7080769.28 27.882, 327701.82 7080760.28 28.532, 327698.31 7080752.31 28.052, 327695.02 7080737.82 27.182, 327694.83 7080729.49 27.132, 327691.71 7080723.4 26.412, 327685.8 7080713.59 25.892, 327683.58 7080708.98 25.892, 327675.5 7080700.25 25.432, 327671.84 7080693.97 25.192, 327673.2 7080667.36 25.072, 327672.15 7080657.47 25.072, 327669.03 7080650.15 24.802, 327663.59 7080634.32 24.502, 327664.82 7080630.82 24.532, 327662.51 7080624.16 25.012, 327662.94 7080617.63 24.562, 327660.43 7080610.27 24.582, 327656.18 7080595.95 24.162, 327655.22 7080591.77 24.202, 327649.34 7080583.34 23.782, 327645.57 7080577.29 23.422, 327641.49 7080568.89 23.402, 327637.97 7080553.47 22.972, 327634.13 7080543.78 22.952, 327630.64 7080537.92 23.152, 327626.09 7080528.24 23.522, 327626.31 7080520.65 23.752, 327630.74 7080509.68 22.602, 327634.59 7080498.47 22.262, 327642.1 7080484.25 22.022, 327642.36 7080479.58 21.512, 327640 7080474.19 21.572, 327638.61 7080467.14 21.972, 327640.52 7080460.52 21.482, 327640.78 7080451.32 21.332, 327636.84 7080436.43 21.472, 327641.78 7080423.81 21.432, 327641.3 7080420.25 23.562, 327653.05 7080411.32 21.892, 327655.1 7080397.02 20.562, 327653.9 7080383.14 20.322, 327650.2 7080374.25 20.732, 327640.64 7080361.56 20.532, 327637.52 7080358.92 20.422, 327623.54 7080348.91 20.762, 327623.24 7080345 20.452, 327612.71 7080335.04 20.282, 327614.35 7080333.53 19.422)</t>
  </si>
  <si>
    <t>POLYGON ((327738.8888571197 7081000.510055111, 327736.982786812 7080992.21191064, 327736.0152885494 7080984.69444914, 327748.70098428783 7080970.65521733, 327748.7296385182 7080970.620481372, 327748.75505143765 7080970.583308328, 327748.7770169319 7080970.543999693, 327757.86472511926 7080952.408441688, 327763.7231628962 7080946.130847797, 327778.53728850646 7080942.5560487695, 327778.58724745567 7080942.541198779, 327778.63538914826 7080942.521228895, 327778.6811904923 7080942.496356104, 327778.72415382526 7080942.466850665, 327778.7638123215 7080942.433033178, 327778.7997350646 7080942.395271088, 327778.8315317299 7080942.353974709, 327786.7787044927 7080930.837055585, 327791.42088611453 7080925.99606533, 327791.45715391665 7080925.953757743, 327791.4884886136 7080925.907677139, 327794.9989246014 7080920.07020993, 327800.5546730916 7080913.3794160485, 327800.58802299586 7080913.334329682, 327800.61611417646 7080913.285792253, 327800.6385932469 7080913.23441436, 327803.6385932469 7080905.17441436, 327803.6531225757 7080905.128812176, 327803.66322522535 7080905.082029733, 327803.66880862863 7080905.034495681, 327803.66982162703 7080904.986645556, 327803.6662549386 7080904.938917794, 327801.65625493857 7080888.608917794, 327801.6458440648 7080888.551866412, 327801.6288971376 7080888.496404279, 327796.10889713763 7080873.586404279, 327796.08983767434 7080873.54172021, 327796.06653187086 7080873.49909664, 327796.0391997273 7080873.458935924, 327796.0080992515 7080873.421617168, 327795.973524023 7080873.387492649, 327787.373524023 7080865.687492649, 327787.31782018265 7080865.644288626, 327781.2649270636 7080861.599136198, 327775.1945138929 7080853.802821244, 327775.15449285496 7080853.757388577, 327775.1092738023 7080853.717126337, 327766.61528789246 7080847.030581614, 327763.0049283863 7080837.906039147, 327762.99303047574 7080837.8784264, 327759.47916687484 7080830.3543907795, 327757.4808984534 7080820.025033119, 327757.4681007517 7080819.973645393, 327757.4499397548 7080819.92389946, 327757.4266191912 7080819.876353367, 327757.3984006691 7080819.831540482, 327757.3656007416 7080819.789963513, 327757.3285873553 7080819.752088866, 327746.5761772697 7080809.8566827355, 327740.03599452815 7080800.75816367, 327740.00017752795 7080800.713891985, 327739.95955882256 7080800.673980077, 327720.9024777123 7080783.971595899, 327715.2858161921 7080776.167915734, 327715.2668345828 7080776.143205104, 327709.3888620791 7080768.965680857, 327702.25139264204 7080760.018992147, 327698.7869524664 7080752.152442803, 327695.51872334734 7080737.758327321, 327695.3298699867 7080729.478598404, 327695.32681484404 7080729.433652766, 327695.3197266693 7080729.389164543, 327695.3086630027 7080729.345494879, 327695.2937136566 7080729.302998276, 327695.2749999865 7080729.262019712, 327692.1549999865 7080723.172019712, 327692.1382835111 7080723.141982106, 327686.24034531857 7080713.352003481, 327684.03048668744 7080708.7630628105, 327684.0067556921 7080708.719462903, 327683.97881840135 7080708.678430965, 327683.9469501777 7080708.640371428, 327675.9043011692 7080699.95072714, 327672.34694657294 7080693.846850947, 327673.69934825413 7080667.385520994, 327673.6998129551 7080667.346324842, 327673.69720569724 7080667.307212742, 327672.64720569726 7080657.417212741, 327672.63954898005 7080657.368305378, 327672.627093595 7080657.320394848, 327672.60996163235 7080657.27395078, 327669.4970130124 7080649.970494403, 327664.1193314781 7080634.321836555, 327665.2917186767 7080630.985775421, 327665.30543342 7080630.939809828, 327665.31468037027 7080630.892741538, 327665.31937442085 7080630.845003756, 327665.3194723692 7080630.797035846, 327665.3149733137 7080630.749279291, 327665.30591866246 7080630.702173631, 327665.292391752 7080630.65615241, 327663.0155727238 7080624.091817031, 327663.4389194597 7080617.662853808, 327663.43973024836 7080617.613578097, 327663.4356861515 7080617.564461925, 327663.42682645755 7080617.5159824565, 327663.41323723877 7080617.4686106695, 327660.9064781029 7080610.118113761, 327656.6638002309 7080595.822785025, 327655.707313222 7080591.658081174, 327655.6943692841 7080591.611969046, 327655.67707277293 7080591.56730693, 327655.6555823926 7080591.524504624, 327655.6300953279 7080591.48395486, 327649.7575042832 7080583.064576883, 327646.0082630636 7080577.047890045, 327641.96473556 7080568.722980479, 327638.45746062545 7080553.3587249415, 327638.44754033076 7080553.321827019, 327638.43483145075 7080553.2857943475, 327634.5948314508 7080543.595794348, 327634.57864047197 7080543.559270014, 327634.55958505854 7080543.524154974, 327631.08210021874 7080537.685168968, 327626.5932460797 7080528.135255108, 327626.8071926661 7080520.754097875, 327631.2036237405 7080509.867224537, 327631.21288786107 7080509.842410193, 327635.0502696621 7080498.669150456, 327642.54212818673 7080484.483500892, 327642.5646419289 7080484.434683182, 327642.5817843411 7080484.383730507, 327642.5933572543 7080484.331231888, 327642.5992268838 7080484.277794216, 327642.8592268838 7080479.607794216, 327642.859638154 7080479.560981191, 327642.8556693393 7080479.514334895, 327642.8473552326 7080479.468264253, 327642.8347687195 7080479.4231731435, 327642.81802013994 7080479.379456859, 327640.4799699861 7080474.039588076, 327639.12399746064 7080467.162173468, 327641.00040436216 7080460.6586060915, 327641.0103605068 7080460.617706567, 327641.0168411803 7080460.57611454, 327641.01980045036 7080460.534124795, 327641.2798004504 7080451.334124796, 327641.27886505536 7080451.286330184, 327641.2733696348 7080451.23884334, 327641.26336442115 7080451.1920983335, 327637.36516747554 7080436.460079927, 327642.2455996132 7080423.992255316, 327642.2616605609 7080423.944175646, 327642.2727707921 7080423.894716861, 327642.27881611075 7080423.844387318, 327642.27973438054 7080423.793704328, 327642.27551616303 7080423.743188832, 327641.8344356439 7080420.471841649, 327653.35254163377 7080411.718081097, 327653.3897892309 7080411.686801416, 327653.4238213318 7080411.652050617, 327653.4543158838 7080411.614157554, 327653.48098431056 7080411.573480817, 327653.5035742433 7080411.530405337, 327653.5218719086 7080411.485338749, 327653.53570415213 7080411.438707526, 327653.5449400763 7080411.3909529485, 327655.5949400763 7080397.090952948, 327655.5998029921 7080397.034034567, 327655.5981417794 7080396.976932987, 327654.3981417795 7080383.096932987, 327654.391100263 7080383.046082314, 327654.3788818153 7080382.996221674, 327654.3616152372 7080382.947876672, 327650.6616152372 7080374.057876673, 327650.64392580534 7080374.019935054, 327650.6231244849 7080373.983606175, 327650.59935709165 7080373.949144697, 327641.03935709165 7080361.259144696, 327641.00341876765 7080361.216595283, 327640.9629711207 7080361.178306857, 327637.8429711207 7080358.538306857, 327637.8110865359 7080358.513467555, 327624.0206944718 7080348.639231177, 327623.73853473336 7080344.961749253, 327623.7329056748 7080344.916071485, 327623.7231004338 7080344.871104807, 327623.7092020861 7080344.827230204, 327623.6913283865 7080344.784819407, 327623.66963077127 7080344.744231745, 327623.64429307525 7080344.705811099, 327623.6155299741 7080344.669882992, 327623.5835851652 7080344.636751829, 327613.4428262603 7080335.044922893, 327614.6886740062 7080333.897831371, 327614.01132599375 7080333.1621686295, 327612.3713259938 7080334.672168629, 327612.3374736889 7080334.706497155, 327612.30708502384 7080334.7439264925, 327612.2804425433 7080334.784108633, 327612.2577939614 7080334.826669977, 327612.23934985773 7080334.8712148005, 327612.2252817202 7080334.917328939, 327612.21572035033 7080334.964583636, 327612.21075464675 7080335.012539533, 327612.2104307792 7080335.060750749, 327612.21475175885 7080335.108769031, 327612.22367741057 7080335.156147919, 327612.2371247462 7080335.202446897, 327612.25496873644 7080335.247235492, 327612.27704347315 7080335.290097273, 327612.3031437119 7080335.330633723, 327612.33302678034 7080335.368467947, 327612.3664148348 7080335.403248171, 327622.7562272906 7080345.230649127, 327623.0414652666 7080348.948250747, 327623.0475115761 7080348.996343224, 327623.0581861818 7080349.043624267, 327623.07338876626 7080349.0896495385, 327623.09297645895 7080349.133986504, 327623.1167651791 7080349.176218494, 327623.1445313656 7080349.215948622, 327623.176014078 7080349.252803513, 327623.2109174489 7080349.286436814, 327623.2489134641 7080349.316532445, 327637.21246878715 7080359.31475768, 327640.2743124948 7080361.905548509, 327649.76264796866 7080374.500420597, 327653.4085467991 7080383.260431571, 327654.59691351326 7080397.005873231, 327652.5841649253 7080411.046021919, 327640.9974583662 7080419.851918903, 327640.9607293826 7080419.882718843, 327640.92711850576 7080419.916894324, 327640.8969346404 7080419.954131252, 327640.87045519485 7080419.994087397, 327640.8479235316 7080420.036395537, 327640.8295467305 7080420.080666834, 327640.81549368583 7080420.126494407, 327640.80589355365 7080420.173457073, 327640.80083456513 7080420.221123216, 327640.80036321556 7080420.269054755, 327640.804483837 7080420.316811168, 327641.26717018645 7080423.748401592, 327636.3744003869 7080436.247744683, 327636.35782358237 7080436.297690128, 327636.3465880153 7080436.349101215, 327636.3408181463 7080436.401408447, 327636.3405778901 7080436.454032397, 327636.3458699081 7080436.506390132, 327636.3566355789 7080436.5579016665, 327640.2781591038 7080451.378075598, 327640.02199333074 7080460.442402951, 327638.12959563785 7080467.001393908, 327638.11860374716 7080467.047643501, 327638.1120537772 7080467.094727942, 327638.1100049356 7080467.142221614, 327638.1124757425 7080467.189695203, 327638.11944386346 7080467.2367195785, 327639.50944386347 7080474.286719579, 327639.5228793957 7080474.339518992, 327639.54197986005 7080474.390543141, 327641.8541432101 7080479.6712890975, 327641.6068467605 7080484.113113788, 327634.1478718133 7080498.236499107, 327634.1311132343 7080498.2714479, 327634.11711213895 7080498.307589807, 327630.2714154524 7080509.505059899, 327625.84637625946 7080520.462775463, 327625.83161292464 7080520.504584024, 327625.820611457 7080520.547536084, 327625.8134583682 7080520.591293885, 327625.81020990765 7080520.635513331, 327625.5902099077 7080528.225513331, 327625.59104606154 7080528.2723259535, 327625.59625728463 7080528.318855127, 327625.60579788254 7080528.36469286, 327625.6195841986 7080528.409437227, 327625.63749534765 7080528.452695886, 327630.18749534764 7080538.132695885, 327630.2104149415 7080538.175845026, 327633.6799227241 7080544.001436891, 327637.4910612937 7080553.618606875, 327641.0025393745 7080569.001275058, 327641.01833849645 7080569.0559380185, 327641.0402459207 7080569.108451981, 327645.1202459207 7080577.5084519815, 327645.1456465819 7080577.5544318, 327648.9156465819 7080583.6044318, 327648.9299046721 7080583.6260451395, 327654.75440265384 7080591.976473369, 327655.69268677797 7080596.061918826, 327655.70066515286 7080596.092260691, 327659.95066515286 7080610.412260691, 327659.9567627612 7080610.43138933, 327662.43451613886 7080617.696833497, 327662.0110805403 7080624.127146192, 327662.01029151893 7080624.177071437, 327662.0144858958 7080624.226826436, 327662.0236218419 7080624.275915001, 327662.037608248 7080624.32384759, 327664.2904031434 7080630.818918588, 327663.11828132335 7080634.154224579, 327663.1046154894 7080634.19999218, 327663.0953791352 7080634.246854939, 327663.0906565492 7080634.294385198, 327663.0904908284 7080634.342149209, 327663.09488348506 7080634.389711094, 327663.1037944331 7080634.436636816, 327663.11714235373 7080634.482498143, 327668.55714235373 7080650.312498143, 327668.5700383677 7080650.34604922, 327671.6606951221 7080657.597205451, 327672.6986463308 7080667.373717313, 327671.3406517459 7080693.944479006, 327671.3405150406 7080693.9926886605, 327671.345021926 7080694.040687383, 327671.35413050256 7080694.088028943, 327671.3677560902 7080694.134273216, 327671.38577201497 7080694.178990281, 327671.4080107873 7080694.221764414, 327675.06801078725 7080700.501764414, 327675.0981218283 7080700.547479302, 327675.1330498223 7080700.589628573, 327683.1620740219 7080709.264551996, 327685.34951331257 7080713.80693719, 327685.3717164889 7080713.848017895, 327691.27284166124 7080723.643286582, 327694.3327434341 7080729.615979466, 327694.52013001335 7080737.831401597, 327694.5237797221 7080737.881363147, 327694.53241044417 7080737.93070874, 327697.82241044415 7080752.420708739, 327697.83523394837 7080752.466834933, 327697.85241023666 7080752.511523221, 327701.3624102367 7080760.481523221, 327701.3814543248 7080760.520161802, 327701.4037535044 7080760.557017788, 327701.42914226046 7080760.591817619, 327708.60914226045 7080769.591817619, 327708.6131654172 7080769.596794896, 327714.4832894432 7080776.7647354575, 327720.12418380793 7080784.602084265, 327720.15992514044 7080784.646221056, 327720.20044117747 7080784.686019923, 327739.2574059457 7080801.388302133, 327745.79400547186 7080810.48183633, 327745.8257709401 7080810.52159103, 327745.8614126447 7080810.557911134, 327756.5303506216 7080820.376498169, 327758.5091015466 7080830.604966881, 327758.5185215522 7080830.644827683, 327758.5311725094 7080830.683783728, 327758.54696952424 7080830.7215736, 327762.0806052665 7080838.287946178, 327765.7350716137 7080847.523960853, 327765.7570113479 7080847.571864301, 327765.7838701917 7080847.617193042, 327765.81534989446 7080847.65944373, 327765.8511008939 7080847.698147195, 327765.8907261977 7080847.732873663, 327774.4428889427 7080854.465215731, 327780.5254861071 7080862.277178756, 327780.56044260744 7080862.317445653, 327780.59948854084 7080862.353760868, 327780.6421798173 7080862.385711374, 327786.73280127277 7080866.4560776735, 327795.21413538634 7080874.04983031, 327800.6708657773 7080888.788933595, 327802.6588363431 7080904.939958141, 327799.7310462401 7080912.805954218, 327794.2053269084 7080919.460583951, 327794.182248957 7080919.490622933, 327794.1615113864 7080919.5223228615, 327790.6603641167 7080925.344343958, 327786.0291138855 7080930.17393467, 327786.00254530215 7080930.203963836, 327785.9784682701 7080930.236025291, 327778.1169813685 7080941.628769797, 327763.34271149355 7080945.1939512305, 327763.2961003242 7080945.207626317, 327763.25103611156 7080945.225759872, 327763.2079441913 7080945.248180744, 327763.1672312838 7080945.274677315, 327763.1292816551 7080945.304999498, 327763.09445349075 7080945.338861099, 327757.08445349074 7080951.7788611, 327757.05360539723 7080951.8152520405, 327757.02636593045 7080951.8544172915, 327757.0029830681 7080951.896000307, 327747.91343866644 7080970.035222688, 327735.1190157122 7080984.194782671, 327735.08863248973 7080984.231832058, 327735.0619351011 7080984.271619579, 327735.03916871356 7080984.313779855, 327735.02054239507 7080984.357925722, 327735.00622719456 7080984.40365178, 327734.99635457137 7080984.450538117, 327734.9910151876 7080984.498154168, 327734.9902580758 7080984.546062666, 327734.99409018876 7080984.593823656, 327735.99409018876 7080992.363823656, 327736.0026903188 7080992.411934243, 327737.9826903188 7081001.031934243, 327737.9962665594 7081001.079926943, 327738.0145566631 7081001.126328299, 327738.03737863497 7081001.170676594, 327738.06450538617 7081001.212530542, 327738.09566699306 7081001.251473679, 327738.1305533835 7081001.287118502, 327738.1688174222 7081001.319110329, 327738.21007836435 7081001.347130827, 327738.25392564497 7081001.370901179, 327738.29992296366 7081001.390184859, 327738.3476126262 7081001.404789986, 327745.4776126262 7081003.204789986, 327745.72238737374 7081002.235210014, 327738.8888571197 7081000.510055111))</t>
  </si>
  <si>
    <t>['FV6908 S1D1 m3319-3539', 'FV6910 S1D1 m1615-2273']</t>
  </si>
  <si>
    <t>LINESTRING Z (327748.61 7081005.22 33.231, 327755.42 7081004.09 34.421, 327751.59 7081000.39 34.241, 327749.81 7080995.36 33.891, 327748.12 7080988.04 33.461, 327750.51 7080983.72 33.431, 327768.44 7080959.8 33.561, 327772.8 7080957.2 33.561, 327776.89 7080954.01 33.281, 327791.73 7080945.64 33.061, 327800.21 7080935.51 32.831, 327810.36 7080923.65 32.121, 327817.4 7080907.29 31.342, 327816.33 7080884.35 30.592, 327813.05 7080872.99 30.532, 327805.11 7080862.37 30.002, 327784.18 7080847.7 30.172, 327779.1 7080841.28 29.982, 327773.79 7080827.36 29.302, 327773.52 7080820.32 28.232, 327771.46 7080812.66 28.652, 327767.53 7080808.33 29.222, 327749.36 7080794.32 28.372, 327740.18 7080783.96 28.132, 327735.07 7080777.2 27.482, 327732.04 7080772.79 27.922, 327726.82 7080770.17 28.002, 327721.26 7080761.46 28.142, 327718.48 7080757.55 27.542, 327707.84 7080744.25 27.022, 327708.77 7080727.68 26.702, 327707.98 7080721.81 26.842, 327704.23 7080714.87 26.542, 327699.42 7080709.1 26.752, 327688.02 7080695.95 26.222, 327685.87 7080691.01 26.052, 327685.65 7080682.15 25.592, 327685.88 7080666.72 25.632, 327684.74 7080660.19 25.492, 327678.42 7080635.51 25.292, 327675.25 7080617.77 24.862, 327669.76 7080597.74 24.352, 327663.24 7080581.92 24.522, 327653.94 7080573.28 24.042, 327650.3 7080557.43 23.552, 327645.05 7080538.48 23.692, 327639.61 7080531.72 23.812, 327637.13 7080526.47 23.432, 327637.22 7080525.1 23.352, 327639.66 7080516.92 23.242, 327644.65 7080502.65 22.832, 327644.19 7080499.33 22.572, 327646.23 7080493.57 22.292, 327649.83 7080487.72 22.332, 327650.03 7080480.55 22.072, 327650.17 7080476.66 21.872, 327649.33 7080471.22 21.872, 327648.43 7080465.91 21.792, 327647.78 7080460.57 21.712, 327647.23 7080455.14 21.432, 327647.17 7080451.68 21.332, 327645.82 7080446.57 21.342, 327644.53 7080441.87 21.192, 327644.39 7080439 21.302, 327646.07 7080436.89 21.402, 327647.14 7080430.97 21.432, 327649.29 7080426.66 21.302, 327653.1 7080422.81 21.282, 327659.03 7080417.35 21.192, 327661.28 7080413.68 21.332, 327662.37 7080410.44 21.402, 327663.03 7080406.41 21.532, 327663.77 7080400.79 21.662, 327663.27 7080394.45 21.352, 327662.82 7080386.93 21.412, 327662.12 7080382.36 21.322, 327660.34 7080375.93 21.342, 327656.57 7080369.31 21.332, 327653.69 7080365.67 21.252, 327648.45 7080359.68 20.902, 327645.68 7080354.84 20.952, 327642.76 7080352.05 20.862, 327639.37 7080348.76 20.732, 327634.2 7080344.75 20.612, 327630.22 7080341.26 20.372, 327624.98 7080336.11 20.342, 327619.67 7080331.16 19.972, 327614.92 7080327.44 19.382, 327615.76 7080331.26 19.422)</t>
  </si>
  <si>
    <t>POLYGON ((327755.5018471053 7081004.583255564, 327755.548771563 7081004.5731334025, 327755.5945090751 7081004.558557982, 327755.63863805827 7081004.539663651, 327755.6807517557 7081004.516624568, 327755.7204619865 7081004.489653093, 327755.7574027234 7081004.4589978345, 327755.7912334672 7081004.424941357, 327755.8216423844 7081004.387797574, 327755.84834918234 7081004.347908855, 327755.87110769254 7081004.305642875, 327755.88970813935 7081004.261389217, 327755.9039790742 7081004.215555787, 327755.91378895537 7081004.168565053, 327755.9190473608 7081004.120850149, 327755.9197058213 7081004.072850885, 327755.9157582676 7081004.025009693, 327755.9072410861 7081003.977767545, 327755.8942327835 7081003.931559894, 327755.87685326324 7081003.886812658, 327755.85526272014 7081003.843938291, 327755.82966016396 7081003.803331986, 327755.8002815851 7081003.7653680295, 327755.76739777916 7081003.730396353, 327752.02207778534 7081000.112202102, 327750.29080984683 7080995.219911244, 327748.6503084035 7080988.114307358, 327750.9307915626 7080983.9922624845, 327768.7808724595 7080960.1788807195, 327773.0560881681 7080957.62944016, 327773.10750391264 7080957.594260503, 327777.1681057021 7080954.427189669, 327791.97563205124 7080946.075505333, 327792.0138101884 7080946.051645207, 327792.0496873336 7080946.0244476665, 327792.08297261276 7080945.994133215, 327792.1133961652 7080945.960947628, 327800.5916478251 7080935.833036153, 327810.7398768945 7080923.975105437, 327810.7705777952 7080923.935352193, 327810.7971353655 7080923.892719328, 327810.8192816004 7080923.84763707, 327817.85928160045 7080907.48763707, 327817.8752785993 7080907.445274767, 327817.88737742254 7080907.401638919, 327817.89547883696 7080907.357087422, 327817.89951639593 7080907.311985683, 327817.8994569838 7080907.26670362, 327816.8294569838 7080884.326703619, 327816.823303403 7080884.268441722, 327816.81037713116 7080884.21129956, 327813.53037713113 7080872.851299561, 327813.5159256853 7080872.808579892, 327813.4976838141 7080872.767336122, 327813.47579991975 7080872.7279037805, 327813.4504520332 7080872.6906036595, 327805.5104520332 7080862.070603659, 327805.47658802464 7080862.029980559, 327805.43862261827 7080861.993161607, 327805.39698057255 7080861.960558733, 327784.52678209485 7080847.3324740855, 327779.5397773589 7080841.029999597, 327774.28648038773 7080827.258644825, 327774.019632681 7080820.300837952, 327774.01434634486 7080820.245022061, 327774.0028443768 7080820.190148901, 327771.9428443768 7080812.530148901, 327771.9283745165 7080812.484999108, 327771.9096932562 7080812.441422839, 327771.8869685688 7080812.399811911, 327771.86040478374 7080812.360540472, 327771.8302407501 7080812.323961629, 327767.9002407501 7080807.9939616285, 327767.86910071166 7080807.962561968, 327767.8353080369 7080807.934036614, 327749.70281350374 7080793.95295525, 327740.5671289108 7080783.642966972, 327735.47569140524 7080776.907523227, 327732.45210274233 7080772.506854579, 327732.4215427917 7080772.466851275, 327732.3871152564 7080772.430123634, 327732.34916911804 7080772.397043951, 327732.30808902526 7080772.367947545, 327732.26429139473 7080772.343129358, 327727.1673599977 7080769.784899423, 327721.6814517664 7080761.190967644, 327721.6674995374 7080761.170268871, 327718.8874995374 7080757.260268871, 327718.8704344047 7080757.237652476, 327708.3499338569 7080744.087026792, 327709.269214337 7080727.708018668, 327709.2696225994 7080727.660576864, 327709.26553247706 7080727.613309938, 327708.475532477 7080721.743309938, 327708.4674878805 7080721.698844404, 327708.45546167955 7080721.655286744, 327708.4395520992 7080721.612992721, 327708.4198890825 7080721.572307772, 327704.6698890825 7080714.6323077725, 327704.64403084817 7080714.589681508, 327704.61405607616 7080714.549842335, 327699.80405607616 7080708.779842335, 327699.7977971405 7080708.772480045, 327688.4479232449 7080695.680300947, 327686.3674224284 7080690.899987442, 327686.150092521 7080682.147519353, 327686.37994446186 7080666.727452186, 327686.3784419008 7080666.680557997, 327686.37255041394 7080666.634011107, 327685.23255041393 7080660.104011107, 327685.224370653 7080660.065963431, 327678.90895370516 7080635.403860539, 327675.7422034956 7080617.6820470635, 327675.732214853 7080617.637830277, 327670.242214853 7080597.607830278, 327670.2222785087 7080597.549478137, 327663.7022785087 7080581.729478137, 327663.67909382796 7080581.680841872, 327663.65081036213 7080581.634982727, 327663.6177565406 7080581.592433219, 327663.58031618665 7080581.553687437, 327654.39291431697 7080573.018294733, 327650.78731450567 7080557.318086763, 327650.78184991574 7080557.29650596, 327645.53184991574 7080538.34650596, 327645.51578205795 7080538.298211457, 327645.4948877011 7080538.251800672, 327645.4693833554 7080538.207754521, 327645.4395333006 7080538.166529415, 327640.03674497246 7080531.452770389, 327637.6374143809 7080526.373542322, 327637.7152334685 7080525.188962878, 327640.1358141587 7080517.074065317, 327645.12197556725 7080502.815042613, 327645.13548064965 7080502.769618305, 327645.1446246497 7080502.723119464, 327645.14932542667 7080502.675963788, 327645.14954075334 7080502.62857488, 327645.1452686954 7080502.581378434, 327644.7019909923 7080499.3820697935, 327646.683614503 7080493.786897528, 327650.25582915836 7080487.982048713, 327650.2808952937 7080487.936086635, 327650.3010181311 7080487.8877555365, 327650.3159770579 7080487.837585284, 327650.32560807496 7080487.7861259105, 327650.32980559464 7080487.733941578, 327650.5297492188 7080480.565962654, 327650.66967649927 7080476.677983216, 327650.6691413511 7080476.630709873, 327650.66414376866 7080476.583698389, 327649.8241437687 7080471.143698389, 327649.82296927884 7080471.136445885, 327648.9249235042 7080465.837975814, 327648.2769462238 7080460.514593234, 327647.7295622304 7080455.110420354, 327647.669924839 7080451.671330783, 327647.665259403 7080451.6113114, 327647.6534145034 7080451.552287753, 327646.3034145034 7080446.442287753, 327646.3021682086 7080446.437660215, 327645.026726303 7080441.790701334, 327644.898592057 7080439.163949292, 327646.4611568009 7080437.201442381, 327646.4899486418 7080437.161372692, 327646.5146509387 7080437.118660321, 327646.5350231356 7080437.0737212105, 327646.5508668441 7080437.026992986, 327646.562027775 7080436.978930696, 327647.61931829766 7080431.129248552, 327649.7016936046 7080426.954812472, 327653.44722276815 7080423.169960167, 327659.3686760532 7080417.717829486, 327659.4011098929 7080417.68507827, 327659.43038989825 7080417.64947943, 327659.4562672365 7080417.611335499, 327661.7062672365 7080413.941335499, 327661.732959076 7080413.891726417, 327661.75390102516 7080413.839429665, 327662.84390102513 7080410.599429666, 327662.855258688 7080410.5605155835, 327662.8634266438 7080410.520809326, 327663.5234266438 7080406.490809326, 327663.52572114114 7080406.47527289, 327664.2657211411 7080400.85527289, 327664.2698295898 7080400.803053015, 327664.2684523192 7080400.75068988, 327663.7688244457 7080394.415408445, 327663.31910717796 7080386.900133214, 327663.3142357525 7080386.854296492, 327662.6142357525 7080382.284296493, 327662.6018768706 7080382.226603293, 327660.82187687064 7080375.796603292, 327660.8092384605 7080375.75732902, 327660.79340510356 7080375.719230428, 327660.774484606 7080375.682566923, 327657.004484606 7080369.062566923, 327656.98448882264 7080369.03035913, 327656.9621102704 7080368.999758907, 327654.0821102704 7080365.359758907, 327654.0663272634 7080365.340792177, 327648.85917508433 7080359.388341499, 327646.1139559477 7080354.591640914, 327646.0881184484 7080354.551141328, 327646.058513538 7080354.513308247, 327646.0254145045 7080354.478490912, 327643.1068233013 7080351.689836988, 327639.71822165867 7080348.401194097, 327639.676440975 7080348.364912758, 327634.5183354258 7080344.364138435, 327630.560340339 7080340.8934341995, 327625.3304777007 7080335.753397447, 327625.32093820034 7080335.744266295, 327620.01093820034 7080330.794266295, 327619.9782881868 7080330.76635245, 327615.2282881868 7080327.04635245, 327615.1882656637 7080327.0180597985, 327615.1456653476 7080326.993821615, 327615.1008965893 7080326.973870808, 327615.0543895765 7080326.958399085, 327615.0065912001 7080326.947555116, 327614.95796075964 7080326.941443102, 327614.90896555025 7080326.940121775, 327614.86007637205 7080326.9436038295, 327614.8117630063 7080326.951855808, 327614.7644897013 7080326.964798415, 327614.7187107112 7080326.982307284, 327614.6748659312 7080327.004214172, 327614.6333766704 7080327.030308572, 327614.59464160353 7080327.06033974, 327614.5590329399 7080327.094019103, 327614.5268928469 7080327.1310230335, 327614.49853016215 7080327.170995956, 327614.4742174257 7080327.213553768, 327614.4541882611 7080327.258287525, 327614.4386351308 7080327.304767376, 327614.4277074865 7080327.352546692, 327614.421510333 7080327.401166356, 327614.4201032195 7080327.450159177, 327614.423499667 7080327.499054377, 327614.4316670389 7080327.547382117, 327615.2716670389 7080331.367382117, 327616.2483329611 7080331.152617883, 327615.70715655445 7080328.691553748, 327619.3447867248 7080331.540392534, 327624.6342317568 7080336.471231123, 327629.86952229927 7080341.616602553, 327629.89034665184 7080341.635937056, 327633.8703466519 7080345.125937056, 327633.893559025 7080345.145087242, 327639.0416633311 7080349.138104315, 327642.41177834134 7080352.408805903, 327642.4145854955 7080352.411509087, 327645.2821011429 7080355.151361367, 327648.0160440523 7080359.928359086, 327648.04284665035 7080359.970217418, 327648.0736727366 7080360.009207822, 327653.3055471606 7080365.989919235, 327656.15431635716 7080369.590446969, 327659.8747236487 7080376.123363752, 327661.6302387081 7080382.464915344, 327662.3222709922 7080386.982897541, 327662.77089282207 7080394.479866786, 327662.77154768084 7080394.48931012, 327663.26741241594 7080400.77687496, 327662.5353040932 7080406.336940872, 327661.88314119965 7080410.319087024, 327660.82414761547 7080413.466921164, 327658.6401154074 7080417.029320366, 327652.7613239468 7080422.442170513, 327652.74460522307 7080422.458297636, 327648.93460522307 7080426.308297637, 327648.8994457694 7080426.347802318, 327648.8686555351 7080426.390799625, 327648.8425789773 7080426.436808539, 327646.6925789773 7080430.746808538, 327646.67349069385 7080430.790085944, 327646.65857728885 7080430.834973435, 327646.64797222504 7080430.8810693035, 327645.6003776423 7080436.677106621, 327643.9988431991 7080438.688557618, 327643.9688879641 7080438.73043618, 327643.9433984201 7080438.775173336, 327643.9226448715 7080438.822294671, 327643.9068473998 7080438.871300486, 327643.89617352944 7080438.921671097, 327643.8907364518 7080438.972872349, 327643.89059382444 7080439.024361277, 327644.03059382446 7080441.894361277, 327644.0362521824 7080441.948823173, 327644.04783179145 7080442.002339785, 327645.33719755267 7080446.700028992, 327646.6711246561 7080451.749190102, 327646.730075161 7080455.148669217, 327646.7325453037 7080455.190386755, 327647.28254530375 7080460.620386756, 327647.28366345324 7080460.630415497, 327647.9336634532 7080465.970415497, 327647.93703072116 7080465.993554115, 327648.83641683415 7080471.299932181, 327649.66861741315 7080476.689421646, 327649.53032350074 7080480.532016784, 327649.5301944054 7080480.536058421, 327649.3339313061 7080487.572090533, 327645.80417084164 7080493.307951287, 327645.7789141036 7080493.354311535, 327645.7586863874 7080493.403076429, 327643.7186863874 7080499.163076429, 327643.7049034584 7080499.208833398, 327643.6955517299 7080499.255697186, 327643.69071662694 7080499.303239706, 327643.6904423166 7080499.351026672, 327643.6947313046 7080499.398621567, 327644.1381538975 7080502.598975932, 327639.18802443275 7080516.754957387, 327639.18086174893 7080516.777078565, 327636.7408617489 7080524.957078565, 327636.72787733 7080525.01159594, 327636.7210754271 7080525.067223933, 327636.6310754271 7080526.437223933, 327636.6303200629 7080526.487887439, 327636.6346961348 7080526.538367252, 327636.64415870287 7080526.58814497, 327636.65861059184 7080526.636709405, 327636.6779033889 7080526.683561827, 327639.1579033889 7080531.933561827, 327639.186230408 7080531.985366412, 327639.2204666994 7080532.033470585, 327644.595722105 7080538.713015906, 327649.8151775148 7080557.55276448, 327653.4526854943 7080573.391913237, 327653.46619765455 7080573.43972269, 327653.4843878022 7080573.485955154, 327653.50707634067 7080573.530154163, 327653.5340392595 7080573.571883328, 327653.56501034595 7080573.610730645, 327653.59968381334 7080573.646312563, 327662.81945111137 7080582.211773794, 327669.2859507801 7080597.90196164, 327674.76178759936 7080617.880287959, 327677.9277965044 7080635.597952936, 327677.935629347 7080635.634036569, 327684.2507985541 7080660.295172017, 327685.3793539322 7080666.75961642, 327685.15005553816 7080682.142547814, 327685.1501540697 7080682.162411525, 327685.3701540697 7080691.022411524, 327685.3736704996 7080691.070473358, 327685.3817974438 7080691.117973441, 327685.3944594092 7080691.164470536, 327685.41153877584 7080691.209532719, 327687.56153877586 7080696.1495327195, 327687.5840539534 7080696.194849024, 327687.6110340914 7080696.237657584, 327687.6422028595 7080696.277519954, 327699.03903781064 7080709.423869043, 327703.8139005997 7080715.151718999, 327707.4966589726 7080721.967277161, 327708.268118037 7080727.699510969, 327707.34078566305 7080744.221981332, 327707.3405839396 7080744.274157785, 327707.34582070296 7080744.326071166, 327707.35643892654 7080744.377156157, 327707.3723229811 7080744.426856455, 327707.3932998942 7080744.474630843, 327707.41914123367 7080744.519959069, 327707.4495655953 7080744.562347524, 327718.08071251196 7080757.85128117, 327720.8452659254 7080761.739555934, 327726.3985482336 7080770.439032356, 327726.42984501465 7080770.482696478, 327726.4656458134 7080770.522750776, 327726.50553733925 7080770.558732858, 327726.54905907746 7080770.590227339, 327726.59570860525 7080770.616870642, 327731.70074212557 7080773.17916716, 327734.65789725765 7080777.483145421, 327734.671135721 7080777.501508353, 327739.78113572096 7080784.261508353, 327739.80577763356 7080784.291598584, 327748.98577763356 7080794.651598584, 327749.0187140508 7080794.685409225, 327749.05469196313 7080794.715963386, 327767.1895677619 7080808.698880829, 327771.00854011584 7080812.906552659, 327773.02252617764 7080820.395452287, 327773.290367319 7080827.379162049, 327773.2953948227 7080827.433251066, 327773.30626044335 7080827.486475458, 327773.3228359275 7080827.538206985, 327778.6328359275 7080841.458206985, 327778.65333263663 7080841.504695943, 327778.6784413439 7080841.548864835, 327778.70790279296 7080841.590257604, 327783.787902793 7080848.010257604, 327783.81968536007 7080848.046660296, 327783.8548336801 7080848.079824781, 327783.8930194274 7080848.109441267, 327804.7574756453 7080862.73350112, 327812.5949269718 7080873.216339041, 327815.8332868449 7080884.432122014, 327816.89517455624 7080907.198200611, 327809.930739516 7080923.382597949, 327799.8301231055 7080935.184894563, 327799.8266038348 7080935.189052371, 327791.40505435114 7080945.249228818, 327776.64436794876 7080953.574494666, 327776.612664224 7080953.593965305, 327776.58249608736 7080953.615739497, 327772.5171059966 7080956.786544972, 327768.1839118319 7080959.37055984, 327768.14333947125 7080959.397517043, 327768.1055827834 7080959.428294303, 327768.0710001259 7080959.462599507, 327768.0399197307 7080959.5001070555, 327750.1099197307 7080983.420107055, 327750.0724921061 7080983.477952808, 327747.6824921061 7080987.797952808, 327747.6596106147 7080987.844957405, 327747.6417620902 7080987.894094203, 327747.6291416525 7080987.9448260395, 327747.6218872679 7080987.996598316, 327747.6200782412 7080988.04884506, 327747.6237343486 7080988.1009951085, 327747.63281562174 7080988.152478361, 327749.32281562174 7080995.472478361, 327749.3386433974 7080995.526802138, 327751.1186433974 7081000.556802138, 327751.13606721413 7081000.599630689, 327751.15737283544 7081000.640666584, 327751.1823780665 7081000.679558905, 327751.21086907526 7081000.715975063, 327751.24260222085 7081000.749603647, 327754.3581119756 7081003.759365029, 327748.5281528947 7081004.726744436, 327748.6918471053 7081005.713255564, 327755.5018471053 7081004.583255564))</t>
  </si>
  <si>
    <t>['FV6908 S1D1 m3319-3539', 'FV6910 S1D1 m1619-2273']</t>
  </si>
  <si>
    <t>LINESTRING Z (327745.6 7081002.72 33.101, 327746.96 7081002.74 33.201, 327748.61 7081005.22 33.231, 327748.31 7081002.76 33.201, 327748.11 7080999.8 33.281, 327746.29 7080994.6 33.051, 327745.58 7080993.29 33.011, 327745.76 7080988.31 32.841, 327746.88 7080983.97 32.751, 327750.5 7080978.87 32.591, 327756.1 7080972.27 32.351, 327761.46 7080964.88 32.241, 327763.51 7080960.48 32.171, 327766.35 7080954.92 32.071, 327768.98 7080952.86 32.091, 327774.53 7080950.68 32.051, 327781.24 7080948.31 31.851, 327785.26 7080946 31.691, 327788.85 7080942.85 31.681, 327794.09 7080936.79 31.531, 327800.72 7080927.7 31.281, 327804.8 7080923.44 31.041, 327808.18 7080917.83 30.881, 327811.57 7080907.34 30.601, 327812.53 7080897.93 30.302, 327811.13 7080889.25 30.222, 327809 7080881.14 30.182, 327805.68 7080872.17 29.922, 327800.19 7080865.72 29.532, 327793.55 7080859.88 29.242, 327786.52 7080855.13 28.952, 327780.77 7080849.41 28.832, 327777.38 7080845.22 28.762, 327770.57 7080830.23 28.302, 327768.34 7080823.94 28.102, 327766.85 7080815.93 28.132, 327760.78 7080808.91 27.842, 327754.9 7080804.22 27.682, 327748.56 7080799.04 27.422, 327745.73 7080795.21 27.332, 327741.45 7080790.32 27.182, 327738 7080785.76 27.062, 327734.91 7080780.75 27.112, 327731.66 7080778.56 26.922, 327726.27 7080776.4 26.792, 327722.48 7080771.36 26.562, 327717.08 7080764.76 26.262, 327714.29 7080759.96 26.302, 327710.97 7080753.71 26.062, 327707.8 7080749.67 26.182, 327705.86 7080746.42 26.052, 327703.49 7080736.82 25.922, 327703.39 7080731.47 25.702, 327703.87 7080726.3 25.522, 327702.08 7080720.14 25.432, 327698.51 7080715.03 25.282, 327693.45 7080709.29 25.012, 327691.68 7080705.91 24.972, 327688.81 7080702.28 24.882, 327682.14 7080694.48 24.772, 327681.03 7080691.46 24.722, 327681.13 7080686.8 24.702, 327681.57 7080679.82 24.352, 327681.88 7080673.17 24.262, 327681.55 7080666.82 24.122, 327680.4 7080661.66 24.092, 327679.03 7080653.82 24.002, 327677.06 7080645.9 23.892, 327673.84 7080637.36 23.672, 327672.97 7080631.27 23.532, 327673.4 7080626.4 23.522, 327672.12 7080621.94 23.432, 327670.88 7080614.94 23.332, 327668.93 7080607.24 23.242, 327666.44 7080600.71 23.182, 327664.71 7080597.13 23.102, 327662.35 7080591.52 22.872, 327659.33 7080585.39 22.832, 327656.88 7080580.94 22.882, 327652.97 7080577.06 22.602, 327650.42 7080572.4 22.562, 327648.87 7080566.74 22.572, 327647.42 7080560.11 22.592, 327646.68 7080554.51 22.572, 327645.4 7080549.08 22.382, 327644.02 7080545.16 22.222, 327643.85 7080542.43 22.242, 327641.7 7080539.47 22.172, 327639.13 7080536.16 22.182, 327636.6 7080533.69 22.052, 327635.02 7080530.37 22.012, 327633.99 7080526.06 21.872, 327634.59 7080520.56 22.042, 327635.7 7080515.34 21.882, 327638.91 7080507.54 21.812, 327640.78 7080502.13 21.642, 327644.59 7080492.31 21.562, 327647.01 7080484.45 21.472, 327647.59 7080478.55 21.352, 327646.63 7080473.85 21.172, 327645.67 7080469.12 21.172, 327645.62 7080461.96 21.252, 327645.88 7080460.03 21.092, 327645.44 7080451.59 21.172, 327643.68 7080446.28 20.972, 327642.35 7080439.49 20.902, 327642.16 7080435.56 20.822, 327644.35 7080428.86 20.992, 327647.65 7080423.12 20.832, 327656.56 7080416.89 20.802, 327659.08 7080411.93 20.582, 327660.61 7080403.19 20.622, 327659.85 7080393.55 20.462, 327659.29 7080383.34 20.482, 327657.98 7080378.46 20.282, 327654.61 7080371.29 20.322, 327649.96 7080366.11 20.092, 327642.78 7080356.74 19.912, 327635.79 7080350.09 19.502, 327626.35 7080341.29 19.372, 327620.68 7080336.26 19.382, 327615.76 7080331.26 19.422, 327615.06 7080332.39 19.422, 327614.35 7080333.53 19.422, 327617.85 7080336.66 19.402, 327624.45 7080343.17 19.452, 327633.3 7080352.01 19.622, 327640.9 7080358.25 19.862, 327648.4 7080367.55 20.152, 327652.12 7080372.42 20.232, 327655.89 7080378.87 20.262, 327656.81 7080384.07 20.482, 327657.63 7080393.48 20.462, 327657.5 7080402.7 20.442, 327656.69 7080411 20.482, 327653.95 7080414.8 20.722, 327645.94 7080420.94 20.852, 327641.95 7080427.97 20.882, 327638.84 7080435.17 21.012, 327638.88 7080439 20.832, 327640.93 7080446.12 21.052, 327642.48 7080452.8 20.992, 327642.62 7080459.49 21.012, 327640.99 7080461.41 21.222, 327640.78 7080470.67 21.192, 327642.02 7080473.41 21.202, 327644.13 7080473.91 21.102, 327644.5 7080478.42 21.212, 327644.31 7080483.66 21.462, 327641.73 7080491.1 21.552, 327638.19 7080500.76 21.722, 327635.63 7080506.86 21.882, 327632.88 7080514.21 21.942, 327630.86 7080519.31 21.952, 327630 7080522.92 21.952, 327630.19 7080526.74 21.952, 327631.78 7080532.37 22.882, 327633.94 7080536.22 22.142, 327634.05 7080538.21 22.052, 327636.57 7080539.06 22.032, 327639.33 7080544.28 22.212, 327641.51 7080550.54 22.302, 327642.48 7080555.25 22.442, 327642.87 7080558.4 22.422, 327643.5 7080561.7 22.412, 327645.13 7080567.46 22.592, 327648.04 7080575.47 22.562, 327649.81 7080578.51 22.612, 327653.27 7080583.25 22.712, 327655.89 7080586.46 22.782, 327659.13 7080593.37 22.882, 327661.16 7080598.37 23.082, 327662.71 7080601.27 23.202, 327665.03 7080608.24 23.382, 327666.2 7080615.93 23.332, 327667.15 7080622.03 23.372, 327668.58 7080627.48 23.542, 327668.99 7080632.61 23.512, 327669.16 7080638.37 23.682, 327673 7080647.35 23.952, 327674.98 7080654.1 24.112, 327676.65 7080661.66 24.032, 327677.43 7080667.72 24.092, 327677.94 7080672.8 24.152, 327677.06 7080679.08 24.442, 327675.79 7080686.78 24.582, 327677.06 7080693.48 24.702, 327679.5 7080698.67 24.812, 327683.56 7080703.59 24.802, 327687.26 7080709.33 24.962, 327687.96 7080712.44 25.082, 327691.21 7080713.46 25.052, 327694.42 7080717.25 25.262, 327698.71 7080724.34 25.452, 327699.2 7080726.66 25.522, 327699.06 7080729.38 25.532, 327698.92 7080738.26 25.862, 327700.51 7080745.44 25.992, 327703.61 7080752.14 26.142, 327706.07 7080757.05 26.172, 327713.49 7080767.9 26.282, 327718.04 7080773.3 26.502, 327723.04 7080779.51 26.542, 327728.15 7080784.67 26.912, 327732.78 7080789.03 26.952, 327737.79 7080793.64 27.102, 327742.43 7080798.32 27.242, 327746.03 7080802.17 27.522, 327749.95 7080807.66 27.682, 327756.91 7080813.04 27.882, 327761.16 7080818.11 27.972, 327762.44 7080824.32 28.112, 327764.63 7080831.59 28.462, 327769.48 7080841.25 28.612, 327777.46 7080852.05 28.902, 327783.06 7080857.98 29.012, 327791.62 7080863.44 29.292, 327796.98 7080868.31 29.592, 327801.37 7080874.32 29.962, 327803.96 7080881.81 30.292, 327806.47 7080890.72 30.342, 327807.36 7080897.7 30.412, 327806.75 7080906.98 30.701, 327804.09 7080914.64 30.961, 327801.12 7080920.61 31.121, 327797.17 7080925.28 31.411, 327790.56 7080933.34 31.621, 327785.74 7080940.37 31.751, 327783.71 7080943 31.761, 327779.33 7080945.29 31.801, 327773.87 7080947.06 31.881, 327767.37 7080949.19 32.001, 327763.35 7080951.6 32.221, 327761.08 7080955.44 32.221, 327759.07 7080963.05 32.141, 327754.26 7080969.55 32.241, 327748.11 7080976.68 32.531, 327743.41 7080982.19 32.751, 327741.58 7080987.15 32.851, 327741.56 7080993.26 32.991, 327743.36 7080996.85 33.031, 327744.14 7081000.76 33.191)</t>
  </si>
  <si>
    <t>POLYGON Z ((327745.6 7081002.72 33.101, 327746.96 7081002.74 33.201, 327748.61 7081005.22 33.231, 327748.31 7081002.76 33.201, 327748.11 7080999.8 33.281, 327746.29 7080994.6 33.051, 327745.58 7080993.29 33.011, 327745.76 7080988.31 32.841, 327746.88 7080983.97 32.751, 327750.5 7080978.87 32.591, 327756.1 7080972.27 32.351, 327761.46 7080964.88 32.241, 327763.51 7080960.48 32.171, 327766.35 7080954.92 32.071, 327768.98 7080952.86 32.091, 327774.53 7080950.68 32.051, 327781.24 7080948.31 31.851, 327785.26 7080946 31.691, 327788.85 7080942.85 31.681, 327794.09 7080936.79 31.531, 327800.72 7080927.7 31.281, 327804.8 7080923.44 31.041, 327808.18 7080917.83 30.881, 327811.57 7080907.34 30.601, 327812.53 7080897.93 30.302, 327811.13 7080889.25 30.222, 327809 7080881.14 30.182, 327805.68 7080872.17 29.922, 327800.19 7080865.72 29.532, 327793.55 7080859.88 29.242, 327786.52 7080855.13 28.952, 327780.77 7080849.41 28.832, 327777.38 7080845.22 28.762, 327770.57 7080830.23 28.302, 327768.34 7080823.94 28.102, 327766.85 7080815.93 28.132, 327760.78 7080808.91 27.842, 327754.9 7080804.22 27.682, 327748.56 7080799.04 27.422, 327745.73 7080795.21 27.332, 327741.45 7080790.32 27.182, 327738 7080785.76 27.062, 327734.91 7080780.75 27.112, 327731.66 7080778.56 26.922, 327726.27 7080776.4 26.792, 327722.48 7080771.36 26.562, 327717.08 7080764.76 26.262, 327714.29 7080759.96 26.302, 327710.97 7080753.71 26.062, 327707.8 7080749.67 26.182, 327705.86 7080746.42 26.052, 327703.49 7080736.82 25.922, 327703.39 7080731.47 25.702, 327703.87 7080726.3 25.522, 327702.08 7080720.14 25.432, 327698.51 7080715.03 25.282, 327693.45 7080709.29 25.012, 327691.68 7080705.91 24.972, 327688.81 7080702.28 24.882, 327682.14 7080694.48 24.772, 327681.03 7080691.46 24.722, 327681.13 7080686.8 24.702, 327681.57 7080679.82 24.352, 327681.88 7080673.17 24.262, 327681.55 7080666.82 24.122, 327680.4 7080661.66 24.092, 327679.03 7080653.82 24.002, 327677.06 7080645.9 23.892, 327673.84 7080637.36 23.672, 327672.97 7080631.27 23.532, 327673.4 7080626.4 23.522, 327672.12 7080621.94 23.432, 327670.88 7080614.94 23.332, 327668.93 7080607.24 23.242, 327666.44 7080600.71 23.182, 327664.71 7080597.13 23.102, 327662.35 7080591.52 22.872, 327659.33 7080585.39 22.832, 327656.88 7080580.94 22.882, 327652.97 7080577.06 22.602, 327650.42 7080572.4 22.562, 327648.87 7080566.74 22.572, 327647.42 7080560.11 22.592, 327646.68 7080554.51 22.572, 327645.4 7080549.08 22.382, 327644.02 7080545.16 22.222, 327643.85 7080542.43 22.242, 327641.7 7080539.47 22.172, 327639.13 7080536.16 22.182, 327636.6 7080533.69 22.052, 327635.02 7080530.37 22.012, 327633.99 7080526.06 21.872, 327634.59 7080520.56 22.042, 327635.7 7080515.34 21.882, 327638.91 7080507.54 21.812, 327640.78 7080502.13 21.642, 327644.59 7080492.31 21.562, 327647.01 7080484.45 21.472, 327647.59 7080478.55 21.352, 327646.63 7080473.85 21.172, 327645.67 7080469.12 21.172, 327645.62 7080461.96 21.252, 327645.88 7080460.03 21.092, 327645.44 7080451.59 21.172, 327643.68 7080446.28 20.972, 327642.35 7080439.49 20.902, 327642.16 7080435.56 20.822, 327644.35 7080428.86 20.992, 327647.65 7080423.12 20.832, 327656.56 7080416.89 20.802, 327659.08 7080411.93 20.582, 327660.61 7080403.19 20.622, 327659.85 7080393.55 20.462, 327659.29 7080383.34 20.482, 327657.98 7080378.46 20.282, 327654.61 7080371.29 20.322, 327649.96 7080366.11 20.092, 327642.78 7080356.74 19.912, 327635.79 7080350.09 19.502, 327626.35 7080341.29 19.372, 327620.68 7080336.26 19.382, 327615.76 7080331.26 19.422, 327615.06 7080332.39 19.422, 327614.35 7080333.53 19.422, 327617.85 7080336.66 19.402, 327624.45 7080343.17 19.452, 327633.3 7080352.01 19.622, 327640.9 7080358.25 19.862, 327648.4 7080367.55 20.152, 327652.12 7080372.42 20.232, 327655.89 7080378.87 20.262, 327656.81 7080384.07 20.482, 327657.63 7080393.48 20.462, 327657.5 7080402.7 20.442, 327656.69 7080411 20.482, 327653.95 7080414.8 20.722, 327645.94 7080420.94 20.852, 327641.95 7080427.97 20.882, 327638.84 7080435.17 21.012, 327638.88 7080439 20.832, 327640.93 7080446.12 21.052, 327642.48 7080452.8 20.992, 327642.62 7080459.49 21.012, 327640.99 7080461.41 21.222, 327640.78 7080470.67 21.192, 327642.02 7080473.41 21.202, 327644.13 7080473.91 21.102, 327644.5 7080478.42 21.212, 327644.31 7080483.66 21.462, 327641.73 7080491.1 21.552, 327638.19 7080500.76 21.722, 327635.63 7080506.86 21.882, 327632.88 7080514.21 21.942, 327630.86 7080519.31 21.952, 327630 7080522.92 21.952, 327630.19 7080526.74 21.952, 327631.78 7080532.37 22.882, 327633.94 7080536.22 22.142, 327634.05 7080538.21 22.052, 327636.57 7080539.06 22.032, 327639.33 7080544.28 22.212, 327641.51 7080550.54 22.302, 327642.48 7080555.25 22.442, 327642.87 7080558.4 22.422, 327643.5 7080561.7 22.412, 327645.13 7080567.46 22.592, 327648.04 7080575.47 22.562, 327649.81 7080578.51 22.612, 327653.27 7080583.25 22.712, 327655.89 7080586.46 22.782, 327659.13 7080593.37 22.882, 327661.16 7080598.37 23.082, 327662.71 7080601.27 23.202, 327665.03 7080608.24 23.382, 327666.2 7080615.93 23.332, 327667.15 7080622.03 23.372, 327668.58 7080627.48 23.542, 327668.99 7080632.61 23.512, 327669.16 7080638.37 23.682, 327673 7080647.35 23.952, 327674.98 7080654.1 24.112, 327676.65 7080661.66 24.032, 327677.43 7080667.72 24.092, 327677.94 7080672.8 24.152, 327677.06 7080679.08 24.442, 327675.79 7080686.78 24.582, 327677.06 7080693.48 24.702, 327679.5 7080698.67 24.812, 327683.56 7080703.59 24.802, 327687.26 7080709.33 24.962, 327687.96 7080712.44 25.082, 327691.21 7080713.46 25.052, 327694.42 7080717.25 25.262, 327698.71 7080724.34 25.452, 327699.2 7080726.66 25.522, 327699.06 7080729.38 25.532, 327698.92 7080738.26 25.862, 327700.51 7080745.44 25.992, 327703.61 7080752.14 26.142, 327706.07 7080757.05 26.172, 327713.49 7080767.9 26.282, 327718.04 7080773.3 26.502, 327723.04 7080779.51 26.542, 327728.15 7080784.67 26.912, 327732.78 7080789.03 26.952, 327737.79 7080793.64 27.102, 327742.43 7080798.32 27.242, 327746.03 7080802.17 27.522, 327749.95 7080807.66 27.682, 327756.91 7080813.04 27.882, 327761.16 7080818.11 27.972, 327762.44 7080824.32 28.112, 327764.63 7080831.59 28.462, 327769.48 7080841.25 28.612, 327777.46 7080852.05 28.902, 327783.06 7080857.98 29.012, 327791.62 7080863.44 29.292, 327796.98 7080868.31 29.592, 327801.37 7080874.32 29.962, 327803.96 7080881.81 30.292, 327806.47 7080890.72 30.342, 327807.36 7080897.7 30.412, 327806.75 7080906.98 30.701, 327804.09 7080914.64 30.961, 327801.12 7080920.61 31.121, 327797.17 7080925.28 31.411, 327790.56 7080933.34 31.621, 327785.74 7080940.37 31.751, 327783.71 7080943 31.761, 327779.33 7080945.29 31.801, 327773.87 7080947.06 31.881, 327767.37 7080949.19 32.001, 327763.35 7080951.6 32.221, 327761.08 7080955.44 32.221, 327759.07 7080963.05 32.141, 327754.26 7080969.55 32.241, 327748.11 7080976.68 32.531, 327743.41 7080982.19 32.751, 327741.58 7080987.15 32.851, 327741.56 7080993.26 32.991, 327743.36 7080996.85 33.031, 327744.14 7081000.76 33.191, 327745.6 7081002.72 33.101))</t>
  </si>
  <si>
    <t>[6910]</t>
  </si>
  <si>
    <t>['FV6910 S1D1 m1601-1767']</t>
  </si>
  <si>
    <t>LINESTRING Z (327648.43 7080465.91 21.792, 327650.49 7080466.11 22.242, 327653.23 7080461.76 22.872, 327653.53 7080456.71 22.862, 327654.09 7080451.39 22.812, 327654.81 7080444.77 22.832, 327657.07 7080438.43 23.112, 327659.45 7080432.78 23.332, 327661.17 7080430.54 23.432, 327663.89 7080429.13 23.612, 327667.24 7080429.28 23.662, 327668.26 7080426.89 23.672, 327669.26 7080424.3 23.702, 327670.51 7080423.61 23.692, 327670.92 7080422.17 23.672, 327672.84 7080418.91 23.812, 327677.34 7080416.91 24.112, 327677.94 7080408.41 24.242, 327677.63 7080399.97 24.282, 327677 7080393.47 24.232, 327676.25 7080385.25 24.122, 327675.74 7080375.15 24.042, 327676.04 7080370.93 24.172, 327673.66 7080366.96 23.992, 327671.52 7080363.89 23.872, 327668.87 7080358.03 23.802, 327667.83 7080355.74 23.852, 327666.1 7080350.72 23.862, 327665.51 7080347.39 23.882, 327663.26 7080342.16 24.122, 327660.48 7080336.86 24.162, 327657.13 7080332.16 24.162, 327654.56 7080327.13 24.182, 327651.9 7080322.68 24.182, 327649.47 7080320.26 24.252, 327646.84 7080316.46 24.362, 327646.18 7080313.12 24.632, 327642.39 7080310.88 24.592, 327639.12 7080308.36 24.552, 327632.73 7080305.19 24.612, 327614.92 7080327.44 19.382, 327619.67 7080331.16 19.972, 327624.98 7080336.11 20.342, 327630.22 7080341.26 20.372, 327634.2 7080344.75 20.612, 327639.37 7080348.76 20.732, 327642.76 7080352.05 20.862, 327645.68 7080354.84 20.952, 327648.45 7080359.68 20.902, 327653.69 7080365.67 21.252, 327656.57 7080369.31 21.332, 327660.34 7080375.93 21.342, 327662.12 7080382.36 21.322, 327662.82 7080386.93 21.412, 327663.27 7080394.45 21.352, 327663.77 7080400.79 21.662, 327663.03 7080406.41 21.532, 327662.37 7080410.44 21.402, 327661.28 7080413.68 21.332, 327659.03 7080417.35 21.192, 327653.1 7080422.81 21.282, 327649.29 7080426.66 21.302, 327647.14 7080430.97 21.432, 327646.07 7080436.89 21.402, 327644.39 7080439 21.302, 327644.53 7080441.87 21.192, 327645.82 7080446.57 21.342, 327647.17 7080451.68 21.332, 327647.23 7080455.14 21.432, 327647.78 7080460.57 21.712)</t>
  </si>
  <si>
    <t>POLYGON Z ((327648.43 7080465.91 21.792, 327650.49 7080466.11 22.242, 327653.23 7080461.76 22.872, 327653.53 7080456.71 22.862, 327654.09 7080451.39 22.812, 327654.81 7080444.77 22.832, 327657.07 7080438.43 23.112, 327659.45 7080432.78 23.332, 327661.17 7080430.54 23.432, 327663.89 7080429.13 23.612, 327667.24 7080429.28 23.662, 327668.26 7080426.89 23.672, 327669.26 7080424.3 23.702, 327670.51 7080423.61 23.692, 327670.92 7080422.17 23.672, 327672.84 7080418.91 23.812, 327677.34 7080416.91 24.112, 327677.94 7080408.41 24.242, 327677.63 7080399.97 24.282, 327677 7080393.47 24.232, 327676.25 7080385.25 24.122, 327675.74 7080375.15 24.042, 327676.04 7080370.93 24.172, 327673.66 7080366.96 23.992, 327671.52 7080363.89 23.872, 327668.87 7080358.03 23.802, 327667.83 7080355.74 23.852, 327666.1 7080350.72 23.862, 327665.51 7080347.39 23.882, 327663.26 7080342.16 24.122, 327660.48 7080336.86 24.162, 327657.13 7080332.16 24.162, 327654.56 7080327.13 24.182, 327651.9 7080322.68 24.182, 327649.47 7080320.26 24.252, 327646.84 7080316.46 24.362, 327646.18 7080313.12 24.632, 327642.39 7080310.88 24.592, 327639.12 7080308.36 24.552, 327632.73 7080305.19 24.612, 327614.92 7080327.44 19.382, 327619.67 7080331.16 19.972, 327624.98 7080336.11 20.342, 327630.22 7080341.26 20.372, 327634.2 7080344.75 20.612, 327639.37 7080348.76 20.732, 327642.76 7080352.05 20.862, 327645.68 7080354.84 20.952, 327648.45 7080359.68 20.902, 327653.69 7080365.67 21.252, 327656.57 7080369.31 21.332, 327660.34 7080375.93 21.342, 327662.12 7080382.36 21.322, 327662.82 7080386.93 21.412, 327663.27 7080394.45 21.352, 327663.77 7080400.79 21.662, 327663.03 7080406.41 21.532, 327662.37 7080410.44 21.402, 327661.28 7080413.68 21.332, 327659.03 7080417.35 21.192, 327653.1 7080422.81 21.282, 327649.29 7080426.66 21.302, 327647.14 7080430.97 21.432, 327646.07 7080436.89 21.402, 327644.39 7080439 21.302, 327644.53 7080441.87 21.192, 327645.82 7080446.57 21.342, 327647.17 7080451.68 21.332, 327647.23 7080455.14 21.432, 327647.78 7080460.57 21.712, 327648.43 7080465.91 21.792))</t>
  </si>
  <si>
    <t>2016-01-21</t>
  </si>
  <si>
    <t>['EV10 S32D1 m4765-4767']</t>
  </si>
  <si>
    <t>LINESTRING Z (607431.88 7598268.56 21.343, 607431.48 7598270.83 21.263, 607432.74 7598271.29 21.153, 607433.5 7598270.84 21.083, 607433.72 7598269.6 21.183)</t>
  </si>
  <si>
    <t>POLYGON Z ((607431.88 7598268.56 21.343, 607431.48 7598270.83 21.263, 607432.74 7598271.29 21.153, 607433.5 7598270.84 21.083, 607433.72 7598269.6 21.183, 607431.88 7598268.56 21.343))</t>
  </si>
  <si>
    <t>['EV10 S32D1 m4665-4668']</t>
  </si>
  <si>
    <t>LINESTRING Z (607330.79 7598264.47 15.883, 607331.06 7598265.63 15.733, 607332.35 7598266.07 15.743, 607333.6 7598265.29 15.883, 607332.9 7598264.12 16.073, 607332.83 7598264.08 16.063)</t>
  </si>
  <si>
    <t>POLYGON Z ((607330.79 7598264.47 15.883, 607331.06 7598265.63 15.733, 607332.35 7598266.07 15.743, 607333.6 7598265.29 15.883, 607332.9 7598264.12 16.073, 607332.83 7598264.08 16.063, 607330.79 7598264.47 15.883))</t>
  </si>
  <si>
    <t>['EV10 S32D1 m4565-4571']</t>
  </si>
  <si>
    <t>LINESTRING Z (607231.75 7598251.16 13.423, 607234.55 7598250.88 13.443, 607235.97 7598248.8 12.683, 607232.99 7598247.24 11.863, 607230.96 7598247.76 11.993, 607230.1 7598249.95 12.933)</t>
  </si>
  <si>
    <t>POLYGON Z ((607231.75 7598251.16 13.423, 607234.55 7598250.88 13.443, 607235.97 7598248.8 12.683, 607232.99 7598247.24 11.863, 607230.96 7598247.76 11.993, 607230.1 7598249.95 12.933, 607231.75 7598251.16 13.423))</t>
  </si>
  <si>
    <t>['EV10 S32D1 m4566-4569']</t>
  </si>
  <si>
    <t>LINESTRING Z (607234.81 7598269.05 12.863, 607236.69 7598268.86 12.773, 607236.5 7598266.63 13.693, 607236.35 7598266.3 13.853, 607233.93 7598266.93 13.823)</t>
  </si>
  <si>
    <t>POLYGON Z ((607234.81 7598269.05 12.863, 607236.69 7598268.86 12.773, 607236.5 7598266.63 13.693, 607236.35 7598266.3 13.853, 607233.93 7598266.93 13.823, 607234.81 7598269.05 12.863))</t>
  </si>
  <si>
    <t>['EV10 S32D1 m3434-3436']</t>
  </si>
  <si>
    <t>LINESTRING Z (606147.92 7598191.07 9.952, 606147.34 7598193.68 8.892, 606149.62 7598194.2 8.732, 606150.07 7598192.07 9.732)</t>
  </si>
  <si>
    <t>POLYGON Z ((606147.92 7598191.07 9.952, 606147.34 7598193.68 8.892, 606149.62 7598194.2 8.732, 606150.07 7598192.07 9.732, 606147.92 7598191.07 9.952))</t>
  </si>
  <si>
    <t>['EV10 S32D1 m3383-3387']</t>
  </si>
  <si>
    <t>LINESTRING Z (606106.45 7598160.24 8.632, 606106.12 7598159.1 8.092, 606106.22 7598158.07 7.362, 606109.5 7598158.76 7.522, 606109.59 7598160.52 8.652)</t>
  </si>
  <si>
    <t>POLYGON Z ((606106.45 7598160.24 8.632, 606106.12 7598159.1 8.092, 606106.22 7598158.07 7.362, 606109.5 7598158.76 7.522, 606109.59 7598160.52 8.652, 606106.45 7598160.24 8.632))</t>
  </si>
  <si>
    <t>['EV10 S32D1 m3351-3354']</t>
  </si>
  <si>
    <t>LINESTRING Z (606070.64 7598163.66 7.812, 606069.65 7598165.57 7.232, 606072.15 7598166.04 7.182, 606072.84 7598164.43 7.912)</t>
  </si>
  <si>
    <t>POLYGON Z ((606070.64 7598163.66 7.812, 606069.65 7598165.57 7.232, 606072.15 7598166.04 7.182, 606072.84 7598164.43 7.912, 606070.64 7598163.66 7.812))</t>
  </si>
  <si>
    <t>2016-01-27</t>
  </si>
  <si>
    <t>[7682]</t>
  </si>
  <si>
    <t>['FV7682 S1D1 m2310-2367']</t>
  </si>
  <si>
    <t>LINESTRING Z (514367.42 7622122.83 122.466, 514372 7622126.58 123.706, 514375.89 7622127.88 123.906, 514377.95 7622128.22 123.736, 514380.02 7622128.82 123.606, 514382.64 7622130.92 124.066, 514386.97 7622132.56 123.686, 514392.74 7622135.07 123.246, 514395.56 7622135.51 122.886, 514399.27 7622136.78 122.596, 514407.81 7622141.08 122.096, 514410.46 7622141.42 121.676, 514414.22 7622142.96 121.406, 514418.28 7622145.55 121.036)</t>
  </si>
  <si>
    <t>POLYGON ((514371.6832431319 7622126.966865722, 514371.71966489725 7622126.9940196015, 514371.7584009723 7622127.017755536, 514371.7991315712 7622127.0378775755, 514371.8415204419 7622127.054219601, 514375.73152044194 7622128.354219601, 514375.76966905803 7622128.365304506, 514375.8085772955 7622128.373325798, 514377.83930114465 7622128.708493811, 514379.78506587306 7622129.272483588, 514382.32728941675 7622131.31014368, 514382.36970719043 7622131.340644502, 514382.415076094 7622131.366552614, 514382.4629007775 7622131.387585143, 514386.781615622 7622133.023310857, 514392.5405497794 7622135.52849712, 514392.58028001996 7622135.543803259, 514392.6211684029 7622135.5556738125, 514392.6629184432 7622135.564022706, 514395.43957221124 7622135.997259463, 514399.07569702994 7622137.2419706555, 514407.5851390449 7622141.526584316, 514407.6369062656 7622141.549082679, 514407.69087940746 7622141.565603011, 514407.7463706323 7622141.575934778, 514410.3312489079 7622141.9075795375, 514413.98894387495 7622143.405678009, 514418.0110921527 7622145.97153122, 514418.5489078474 7622145.12846878, 514414.4889078473 7622142.53846878, 514414.45013018785 7622142.516108013, 514414.4095080709 7622142.4973049695, 514410.64950807096 7622140.957304969, 514410.6085672334 7622140.942582178, 514410.5665014966 7622140.9314742265, 514410.5236293677 7622140.924065222, 514407.95846621844 7622140.59494995, 514399.4948609551 7622136.333415684, 514399.43193395325 7622136.306948846, 514395.72193395323 7622135.036948846, 514395.6799668913 7622135.024605372, 514395.6370815568 7622135.015977294, 514392.8805478439 7622134.585879836, 514387.16945022054 7622132.1015028795, 514387.14709922246 7622132.092414857, 514382.8910268506 7622130.48041516, 514380.3327105833 7622128.42985632, 514380.2928751743 7622128.401026088, 514380.25040047086 7622128.376248242, 514380.20569729526 7622128.355762438, 514380.1591980242 7622128.339766817, 514378.0891980242 7622127.739766817, 514378.0314227045 7622127.726674202, 514376.0107119574 7622127.393158836, 514372.245646534 7622126.134910751, 514367.7367568681 7622122.443134278, 514367.1032431319 7622123.216865722, 514371.6832431319 7622126.966865722))</t>
  </si>
  <si>
    <t>['FV7682 S1D1 m2382-2459']</t>
  </si>
  <si>
    <t>LINESTRING Z (514287.17 7622077.96 133.676, 514292.89 7622082.07 133.276, 514296.96 7622085.73 133.206, 514300.91 7622088.36 132.836, 514305.3 7622092.23 132.556, 514308.93 7622095.39 132.366, 514310.1 7622096.59 132.326, 514314.02 7622099.29 131.876, 514318.05 7622102.54 131.266, 514324.53 7622107.01 130.616, 514329.07 7622109.59 129.946, 514334.13 7622111.88 128.896, 514340.42 7622114.97 127.856, 514346.4 7622117.36 126.756, 514352.42 7622119.59 125.496)</t>
  </si>
  <si>
    <t>POLYGON ((514292.57601706503 7622082.4600815065, 514296.6256690662 7622086.101783306, 514296.6828930966 7622086.146187175, 514300.604734935 7622088.757438829, 514304.9693587595 7622092.605068488, 514304.9717049226 7622092.607123776, 514308.58627823205 7622095.75369448, 514309.7419999301 7622096.939050068, 514309.7776601039 7622096.972226362, 514309.81637904386 7622097.00177561, 514313.7208251652 7622099.691062479, 514317.7361237744 7622102.929206519, 514317.7660889969 7622102.9515756825, 514324.24608899694 7622107.421575682, 514324.28296239534 7622107.444709583, 514328.8229623953 7622110.024709583, 514328.8638448956 7622110.0455217585, 514333.9166380337 7622112.332260155, 514340.19953797647 7622115.418772209, 514340.2344385329 7622115.434291871, 514346.21443853294 7622117.824291872, 514346.2263174559 7622117.828864985, 514352.24631745584 7622120.058864985, 514352.59368254413 7622119.121135015, 514346.5796511097 7622116.893345962, 514340.62330835336 7622114.512800948, 514334.3504620235 7622111.43122779, 514334.3361551044 7622111.424478241, 514329.29707424156 7622109.143945598, 514324.79597828654 7622106.586054063, 514318.34931213676 7622102.139048248, 514314.33387622563 7622098.900793481, 514314.30362095614 7622098.87822439, 514310.42387657077 7622096.205951471, 514309.28800006985 7622095.040949931, 514309.25829507736 7622095.012876224, 514305.62947137834 7622091.853900222, 514301.24064124044 7622087.984931513, 514301.1871069034 7622087.943812826, 514297.26733126637 7622085.333936895, 514293.2243309338 7622081.698216694, 514293.1817595122 7622081.663950265, 514287.4617595122 7622077.553950265, 514286.8782404878 7622078.366049735, 514292.57601706503 7622082.4600815065))</t>
  </si>
  <si>
    <t>2015-11-17</t>
  </si>
  <si>
    <t>[2520]</t>
  </si>
  <si>
    <t>['FV2520 S1D250 m139-151']</t>
  </si>
  <si>
    <t>LINESTRING Z (256633.47 6786256.66 371.289, 256633 6786255.4 370.879, 256634.77 6786253.96 370.889, 256638.69 6786257.34 374.309, 256642.41 6786261.18 376.239, 256644.51 6786265.65 376.549, 256644.46 6786267.72 376.649, 256641.62 6786264.91 376.079, 256639.34 6786261.66 375.439, 256637.76 6786259.46 374.369, 256633.47 6786256.66 371.289, 256633 6786255.4 370.879, 256633.47 6786256.66 371.289)</t>
  </si>
  <si>
    <t>2016-03-14</t>
  </si>
  <si>
    <t>2025-11-22T09:21:27Z</t>
  </si>
  <si>
    <t>['EV39 S5D1 m8570-8589']</t>
  </si>
  <si>
    <t>LINESTRING Z (227970.71 7025342.18 319.896, 227969.66 7025340.17 320.166, 227971.28 7025340.95 320.176, 227974.23 7025345.11 320.076, 227976.46 7025351.27 319.736, 227976.76 7025353.91 319.586, 227976.02 7025354.61 319.266, 227975.54 7025354.89 318.846, 227975.95 7025355.52 318.936, 227977.16 7025355.31 319.486, 227977.76 7025356.12 319.406, 227976.68 7025356.97 319.256, 227973.3 7025357.5 319.516, 227972.98 7025355.06 319.316, 227972.4 7025352.35 319.636, 227971.27 7025348.67 319.806, 227968.12 7025344.77 320.046, 227966.51 7025341.96 320.306, 227967.85 7025340.82 320.116, 227970.51 7025344.71 319.816, 227973.18 7025348.29 319.476, 227973.88 7025349.28 319.446, 227974.46 7025350.56 319.386, 227974.71 7025352.56 319.266, 227974.58 7025354.14 318.926, 227974.36 7025354.81 318.876, 227974.39 7025355.53 318.796, 227975.23 7025355.83 318.866, 227975.86 7025355.49 318.886, 227975.3 7025354.64 318.846, 227975.13 7025353.62 319.096, 227974.21 7025349.68 319.416, 227972.96 7025346.68 319.676, 227972.21 7025344.62 319.726, 227970.71 7025342.18 319.896)</t>
  </si>
  <si>
    <t>2016-03-15</t>
  </si>
  <si>
    <t>['FV715 S6D1 m485-486']</t>
  </si>
  <si>
    <t>LINESTRING Z (263373.22 7061639.83 145.445, 263384.15 7061634.6 145.445)</t>
  </si>
  <si>
    <t>POLYGON ((263384.3658153532 7061635.0510252025, 263383.9341846469 7061634.148974797, 263373.0041846468 7061639.378974797, 263373.4358153531 7061640.281025203, 263384.3658153532 7061635.0510252025))</t>
  </si>
  <si>
    <t>['FV715 S6D1 m395-413']</t>
  </si>
  <si>
    <t>LINESTRING Z (263342.22 7061574.31 145.446, 263338.46 7061568.57 152.976, 263336.16 7061556.7 152.976)</t>
  </si>
  <si>
    <t>POLYGON ((263338.9321569806 7061568.378310705, 263336.6508700049 7061556.604886183, 263335.66912999505 7061556.795113818, 263337.9691299951 7061568.665113818, 263337.98066771997 7061568.712269341, 263337.99672413414 7061568.758083684, 263338.017147873 7061568.802124953, 263338.0417464007 7061568.843977968, 263341.80174640066 7061574.5839779675, 263342.6382535993 7061574.036022032, 263338.9321569806 7061568.378310705))</t>
  </si>
  <si>
    <t>['FV715 S5D1 m6772-6858']</t>
  </si>
  <si>
    <t>LINESTRING Z (262678.31 7060695.75 177.1, 262749.13 7060746.5 170.1)</t>
  </si>
  <si>
    <t>POLYGON ((262748.8387569591 7060746.906420338, 262749.4212430409 7060746.093579662, 262678.6012430409 7060695.343579662, 262678.0187569591 7060696.156420338, 262748.8387569591 7060746.906420338))</t>
  </si>
  <si>
    <t>['FV715 S5D1 m5373-5431']</t>
  </si>
  <si>
    <t>LINESTRING Z (261488.34 7060125.71 161.221, 261510.39 7060160.52 162.461, 261513.2 7060166.38 162.391, 261514.74 7060170.89 162.441, 261514.58 7060177.2 162.441)</t>
  </si>
  <si>
    <t>POLYGON ((261509.95187169814 7060160.762711069, 261512.73637552885 7060166.569541122, 261514.2378909795 7060170.96683637, 261514.0801606615 7060177.187325786, 261515.07983933846 7060177.2126742145, 261515.23983933846 7060170.902674214, 261515.23900022227 7060170.858396548, 261515.23424651756 7060170.814366807, 261515.22561551648 7060170.770930397, 261515.213174928 7060170.728428073, 261513.67317492803 7060166.218428073, 261513.65084553417 7060166.163809565, 261510.84084553417 7060160.303809565, 261510.8123894253 7060160.252442205, 261488.76238942528 7060125.442442206, 261487.91761057472 7060125.977557794, 261509.95187169814 7060160.762711069))</t>
  </si>
  <si>
    <t>['FV715 S5D1 m5245-5272']</t>
  </si>
  <si>
    <t>LINESTRING Z (261456.7 7060027.43 157.572, 261457.22 7060024.94 157.572, 261452.46 7060015.46 157.572, 261445.85 7060003.87 157.572)</t>
  </si>
  <si>
    <t>POLYGON ((261457.7094410943 7060025.042212598, 261457.71697863826 7060024.994883815, 261457.7199502838 7060024.947050798, 261457.7183287296 7060024.899153003, 261457.71212887336 7060024.851630481, 261457.70140767514 7060024.804919838, 261457.68626363392 7060024.759450219, 261457.66683588293 7060024.715639367, 261452.90683588292 7060015.235639366, 261452.89432896997 7060015.212293832, 261446.28432896998 7060003.622293832, 261445.41567103003 7060004.117706168, 261452.01910831386 7060015.696199076, 261456.69490717098 7060025.008504364, 261456.2105589057 7060027.327787402, 261457.18944109432 7060027.532212597, 261457.7094410943 7060025.042212598))</t>
  </si>
  <si>
    <t>['FV715 S5D1 m4776-4807']</t>
  </si>
  <si>
    <t>LINESTRING Z (261378.79 7059552.84 159.694, 261372.05 7059559.58 156.284, 261370.27 7059570.39 156.284, 261367.95 7059581.61 150.624, 261366.69 7059584.39 150.624, 261364.35 7059585.9 150.624)</t>
  </si>
  <si>
    <t>POLYGON ((261371.6964466094 7059559.22644661, 261371.66174808357 7059559.264943737, 261371.63122096207 7059559.306825848, 261371.6051932301 7059559.351642961, 261371.58394453124 7059559.398913557, 261371.56770316302 7059559.448129757, 261371.55664362365 7059559.49876278, 261369.77829711852 7059570.298721049, 261367.47162413227 7059581.454268854, 261366.2953105231 7059584.049627452, 261364.07889567196 7059585.479878061, 261364.62110432805 7059586.320121939, 261366.96110432805 7059584.810121939, 261366.99987671015 7059584.782398298, 261367.03583305943 7059584.751108702, 261367.06864661918 7059584.716537498, 261367.09801919313 7059584.678998854, 261367.12368385537 7059584.638833907, 261367.1454073759 7059584.596407659, 261368.40540737592 7059581.81640766, 261368.42544131412 7059581.764775828, 261368.43964214894 7059581.7112450795, 261370.7596421489 7059570.491245079, 261370.76335637632 7059570.47123722, 261372.51723528354 7059559.819871497, 261379.1435533906 7059553.19355339, 261378.4364466094 7059552.48644661, 261371.6964466094 7059559.22644661))</t>
  </si>
  <si>
    <t>['FV715 S5D1 m4111-4142']</t>
  </si>
  <si>
    <t>LINESTRING Z (261125.02 7058947.66 211.557, 261135.44 7058977.15 204.907)</t>
  </si>
  <si>
    <t>POLYGON ((261134.9685638892 7058977.31657729, 261135.9114361108 7058976.983422711, 261125.49143611078 7058947.49342271, 261124.5485638892 7058947.82657729, 261134.9685638892 7058977.31657729))</t>
  </si>
  <si>
    <t>['FV715 S5D1 m3432-3477']</t>
  </si>
  <si>
    <t>LINESTRING Z (260737.92 7058476.98 212.069, 260734.7 7058457.74 218.559, 260729.19 7058439.54 223.409, 260725.57 7058428.92 226.219, 260722.83 7058420.65 227.919)</t>
  </si>
  <si>
    <t>POLYGON ((260735.19314143134 7058457.657468014, 260735.1785497805 7058457.5951203685, 260729.6685497805 7058439.395120368, 260729.66326128022 7058439.378681183, 260726.04395327435 7058428.760711287, 260723.3046278254 7058420.49274725, 260722.35537217458 7058420.807252751, 260725.0953721746 7058429.07725275, 260725.0967387198 7058429.081318817, 260728.7139525053 7058439.693144895, 260734.21215415548 7058457.85417394, 260737.42685856868 7058477.062531986, 260738.41314143135 7058476.897468015, 260735.19314143134 7058457.657468014))</t>
  </si>
  <si>
    <t>['FV715 S6D1 m598-601']</t>
  </si>
  <si>
    <t>LINESTRING Z (263418.96 7061731.44 243.015, 263426.76 7061723.87 243.015)</t>
  </si>
  <si>
    <t>POLYGON ((263427.108223755 7061724.228803869, 263426.411776245 7061723.511196131, 263418.611776245 7061731.081196131, 263419.30822375504 7061731.79880387, 263427.108223755 7061724.228803869))</t>
  </si>
  <si>
    <t>['FV715 S6D1 m8582-8588']</t>
  </si>
  <si>
    <t>LINESTRING Z (264854.44 7068006.62 187.198, 264863.53 7068000.47 191.728)</t>
  </si>
  <si>
    <t>POLYGON ((264863.81018226146 7068000.88412305, 264863.2498177386 7068000.05587695, 264854.1598177386 7068006.20587695, 264854.72018226143 7068007.03412305, 264863.81018226146 7068000.88412305))</t>
  </si>
  <si>
    <t>['FV715 S6D1 m8574-8576']</t>
  </si>
  <si>
    <t>LINESTRING Z (264822.22 7067988.93 186.638, 264811.65 7067988.57 186.638, 264800.59 7067989.37 186.638)</t>
  </si>
  <si>
    <t>POLYGON ((264811.66701945994 7067988.070289746, 264811.61392787675 7067988.071302896, 264800.55392787675 7067988.871302896, 264800.6260721233 7067989.868697104, 264811.659553262 7067989.070615286, 264822.20298054005 7067989.429710254, 264822.2370194599 7067988.430289745, 264811.66701945994 7067988.070289746))</t>
  </si>
  <si>
    <t>['FV715 S6D1 m7864-7997']</t>
  </si>
  <si>
    <t>LINESTRING Z (264749.92 7067424.95 170.469, 264748.08 7067420.14 170.469, 264748.49 7067407.85 170.469, 264745.83 7067376.94 163.069, 264752.23 7067353.72 161.069, 264756.54 7067336.58 159.069, 264761.49 7067320.92 159.069, 264770.49 7067296.58 159.069, 264773.09 7067289.75 151.889, 264778.82 7067281.73 151.889)</t>
  </si>
  <si>
    <t>POLYGON ((264748.58309017477 7067420.055707921, 264748.989722002 7067407.866670953, 264748.98815879883 7067407.8071303, 264746.3358444913 7067376.986440359, 264752.7120256582 7067353.852858062, 264752.71490437683 7067353.841933364, 264757.0212573031 7067336.716437041, 264761.96313125134 7067321.082144913, 264770.9581379521 7067296.755649013, 264773.5343357554 7067289.988175553, 264779.2268324576 7067282.020667081, 264778.4131675424 7067281.43933292, 264772.68316754245 7067289.45933292, 264772.65982067696 7067289.49515544, 264772.6396198488 7067289.532841718, 264772.6227127932 7067289.572116144, 264770.02271279314 7067296.402116144, 264770.0210327201 7067296.406593857, 264761.0210327201 7067320.746593857, 264761.01325009513 7067320.7693031905, 264756.0632500951 7067336.429303191, 264756.05509562313 7067336.458066636, 264751.7464732656 7067353.59258803, 264745.34797434177 7067376.807141938, 264745.33810044074 7067376.850362823, 264745.3320939305 7067376.89428845, 264745.330002035 7067376.938573467, 264745.3318412012 7067376.9828697, 264747.9892832905 7067407.863146008, 264747.580277998 7067420.123329046, 264747.581099491 7067420.17314034, 264747.58687374846 7067420.222622636, 264747.59754344734 7067420.271284709, 264747.61300266563 7067420.31864347, 264749.4530026656 7067425.128643471, 264750.38699733437 7067424.77135653, 264748.58309017477 7067420.055707921))</t>
  </si>
  <si>
    <t>['FV715 S6D1 m7514-7533']</t>
  </si>
  <si>
    <t>LINESTRING Z (265095.82 7067143.78 150.071, 265114.48 7067138.92 146.851)</t>
  </si>
  <si>
    <t>POLYGON ((265114.60602093674 7067139.403858164, 265114.3539790632 7067138.4361418355, 265095.69397906325 7067143.296141836, 265095.94602093677 7067144.263858165, 265114.60602093674 7067139.403858164))</t>
  </si>
  <si>
    <t>['FV715 S6D1 m6084-6086']</t>
  </si>
  <si>
    <t>LINESTRING Z (265829.92 7066012.61 148.629, 265814.8 7066012.62 148.629)</t>
  </si>
  <si>
    <t>POLYGON ((265814.79966931225 7066012.120000109, 265814.8003306877 7066013.119999891, 265829.9203306877 7066013.109999891, 265829.91966931225 7066012.110000109, 265814.79966931225 7066012.120000109))</t>
  </si>
  <si>
    <t>['FV715 S6D1 m5691-5709']</t>
  </si>
  <si>
    <t>LINESTRING Z (265862.75 7065643.67 176.711, 265873.46 7065638.63 176.711, 265880.17 7065629.51 180.951)</t>
  </si>
  <si>
    <t>POLYGON ((265873.6728985182 7065639.082409351, 265873.71671203955 7065639.059067511, 265873.7579949284 7065639.031495981, 265873.7963402236 7065638.999966558, 265873.8313699223 7065638.964790055, 265873.86273870646 7065638.926313236, 265880.5727387064 7065629.806313236, 265879.76726129354 7065629.213686763, 265873.1323921392 7065638.231571516, 265862.5371014818 7065643.217590649, 265862.9628985182 7065644.122409351, 265873.6728985182 7065639.082409351))</t>
  </si>
  <si>
    <t>['FV715 S6D1 m4032-4131']</t>
  </si>
  <si>
    <t>LINESTRING Z (265080.89 7064415.05 139.085, 265078.54 7064418.19 139.085, 265075.44 7064419.58 139.085, 265072.25 7064420.3 139.085, 265068.79 7064420.27 139.085, 265057.62 7064416.32 139.085, 265049.95 7064412.5 139.085, 265032.53 7064404.43 139.085, 265012.15 7064394.38 139.085, 264991.7 7064383.44 136.085, 264987.7 7064383.93 136.085, 264984.1 7064385.61 136.085, 264981.74 7064387.87 133.005)</t>
  </si>
  <si>
    <t>POLYGON ((265078.21727910725 7064417.786741526, 265075.2810968724 7064419.103287753, 265072.196416257 7064419.799516606, 265068.877905189 7064419.770743389, 265057.8155304687 7064415.858802464, 265050.17290629447 7064412.052436838, 265050.160172984 7064412.046318045, 265032.74568786554 7064403.978872872, 265012.37855872745 7064393.935219887, 264991.9358534132 7064382.999122277, 264991.88964975957 7064382.977363028, 264991.8414674955 7064382.960430456, 264991.7918093052 7064382.94850122, 264991.74119327124 7064382.941699775, 264991.69014746905 7064382.940097082, 264991.63920445804 7064382.9437098615, 264987.63920445804 7064383.433709861, 264987.58756764466 7064383.442805002, 264987.5371671744 7064383.4572575, 264987.4885572673 7064383.4769084295, 264983.88855726726 7064385.15690843, 264983.8405044256 7064385.182610193, 264983.79553403443 7064385.213388761, 264983.7541802802 7064385.248878523, 264981.3941802802 7064387.508878523, 264982.08581971977 7064388.231121478, 264984.3862205568 7064386.028195253, 264987.83954649675 7064384.416643146, 264991.60370100586 7064383.95553422, 265011.91414658685 7064394.820877723, 265011.9288610317 7064394.828439022, 265032.3088610317 7064404.878439022, 265032.31982701604 7064404.883681955, 265049.7334171182 7064412.950712502, 265057.39709370554 7064416.767563162, 265057.4533029999 7064416.791393795, 265068.6233029999 7064420.741393794, 265068.67625908065 7064420.756891161, 265068.7306003052 7064420.766459138, 265068.78566490277 7064420.769981206, 265072.2456649028 7064420.799981207, 265072.30322779226 7064420.797158729, 265072.3600835074 7064420.787731095, 265075.5500835074 7064420.0677310955, 265075.59811302915 7064420.054341934, 265075.6445702087 7064420.036235717, 265078.74457020866 7064418.646235717, 265078.7896854395 7064418.623194162, 265078.8322376019 7064418.595705786, 265078.87178989 7064418.564052762, 265078.907936292 7064418.528560017, 265078.94030575815 7064418.489591889, 265081.2903057582 7064415.3495918885, 265080.48969424184 7064414.750408111, 265078.21727910725 7064417.786741526))</t>
  </si>
  <si>
    <t>['FV715 S6D1 m3125-3129']</t>
  </si>
  <si>
    <t>LINESTRING Z (264381.85 7063743.76 145.437, 264372.16 7063746.68 141.557)</t>
  </si>
  <si>
    <t>POLYGON ((264372.0157369301 7063746.20126399, 264372.3042630699 7063747.158736009, 264381.9942630699 7063744.238736009, 264381.7057369301 7063743.28126399, 264372.0157369301 7063746.20126399))</t>
  </si>
  <si>
    <t>['FV715 S6D1 m938-1186']</t>
  </si>
  <si>
    <t>LINESTRING Z (263659.75 7061966.57 151.784, 263689.6 7061982.31 151.784, 263732.17 7062002.59 144.104, 263780.85 7062024.37 144.104, 263801.95 7062033.32 144.104, 263832.64 7062049.17 144.104, 263853.97 7062062.56 144.104, 263882.28 7062082.96 136.094, 263884.16 7062084.37 136.094)</t>
  </si>
  <si>
    <t>POLYGON ((263689.3667848795 7061982.752278993, 263689.3849591247 7061982.761394973, 263731.95495912473 7062003.041394973, 263731.96580052364 7062003.046401768, 263780.64580052363 7062024.826401768, 263780.6547530888 7062024.830302774, 263801.7373553247 7062033.772923154, 263832.391927453 7062049.604626257, 263853.6906412021 7062062.974986177, 263881.98381757975 7062083.362863185, 263883.8599999999 7062084.7700000005, 263884.46 7062083.97, 263882.5800000001 7062082.56, 263882.5723108803 7062082.5543470085, 263854.26231088024 7062062.154347008, 263854.235837704 7062062.136525897, 263832.905837704 7062048.746525898, 263832.86943575717 7062048.725748682, 263802.17943575716 7062032.875748683, 263802.1452469112 7062032.859697226, 263781.0497422491 7062023.911604016, 263732.3796500677 7062002.13603689, 263689.82422070036 7061981.86297822, 263659.9832151205 7061966.127721007, 263659.5167848795 7061967.012278994, 263689.3667848795 7061982.752278993))</t>
  </si>
  <si>
    <t>['FV715 S6D1 m699-713']</t>
  </si>
  <si>
    <t>LINESTRING Z (263484.95 7061822.53 163.094, 263485.93 7061811.27 163.094, 263489.67 7061801.79 163.094, 263489.96 7061800.95 163.094)</t>
  </si>
  <si>
    <t>POLYGON ((263486.4218095196 7061811.385824336, 263490.1351128777 7061801.973493899, 263490.1426266661 7061801.95316873, 263490.43262666615 7061801.11316873, 263489.4873733339 7061800.78683127, 263489.20090995764 7061801.616587256, 263485.4648871223 7061811.0865061, 263485.4493964748 7061811.132086071, 263485.43836101034 7061811.178944501, 263485.43188302725 7061811.226647013, 263484.4518830273 7061822.486647014, 263485.44811697275 7061822.573352987, 263486.4218095196 7061811.385824336))</t>
  </si>
  <si>
    <t>['FV715 S6D1 m638-644']</t>
  </si>
  <si>
    <t>LINESTRING Z (263438.28 7061762.11 145.444, 263450.24 7061762.15 145.445)</t>
  </si>
  <si>
    <t>POLYGON ((263450.2383277685 7061762.649997204, 263450.24167223147 7061761.650002797, 263438.2816722315 7061761.610002797, 263438.27832776855 7061762.609997204, 263450.2383277685 7061762.649997204))</t>
  </si>
  <si>
    <t>['FV715 S6D1 m587-929']</t>
  </si>
  <si>
    <t>LINESTRING Z (263651.21 7061962.35 145.444, 263632.06 7061950.34 145.444, 263620.64 7061942.68 154.094, 263599.83 7061928.86 154.094, 263570.63 7061906.6 154.094, 263556.32 7061895 154.094, 263534.08 7061875.55 154.094, 263520.58 7061862.24 160.424, 263496.99 7061836.62 163.094, 263479.31 7061817.36 163.094, 263463.97 7061797.9 162.094, 263447.4 7061776.44 161.094, 263429.24 7061747.89 161.095, 263419.56 7061732.26 161.095, 263411.18 7061718.82 161.095)</t>
  </si>
  <si>
    <t>POLYGON ((263632.33215352613 7061949.920486837, 263620.91852372594 7061942.264759667, 263620.9166106362 7061942.263482826, 263600.1201769604 7061928.452492273, 263570.9390612843 7061906.206888337, 263556.64211915794 7061894.617473336, 263534.42040129297 7061875.183461984, 263520.9396419598 7061861.892431856, 263497.35808226565 7061836.281598479, 263479.69104064564 7061817.035714905, 263464.36422222195 7061797.592436774, 263447.8096681466 7061776.152440971, 263429.6634982429 7061747.62418377, 263419.9850804013 7061731.996738433, 263419.98428267206 7061731.9954547025, 263411.60428267205 7061718.555454703, 263410.75571732793 7061719.084545298, 263419.1353174838 7061732.52390402, 263428.8149195987 7061748.153261567, 263428.8181145028 7061748.158351686, 263446.97811450285 7061776.708351687, 263447.00424396666 7061776.74557677, 263463.5742439666 7061798.20557677, 263463.5773314593 7061798.209534194, 263478.91733145935 7061817.669534194, 263478.9416611762 7061817.698122036, 263496.6216611762 7061836.9581220355, 263496.62217473617 7061836.958680639, 263520.2121747362 7061862.578680639, 263520.22896102496 7061862.59605005, 263533.72896102496 7061875.90605005, 263533.750843555 7061875.926372202, 263555.990843555 7061895.376372202, 263556.0051432839 7061895.388413759, 263570.3151432839 7061906.988413759, 263570.32687172864 7061906.997634569, 263599.52687172865 7061929.25763457, 263599.5533893638 7061929.276517174, 263620.36243145383 7061943.095881022, 263631.7814762741 7061950.755240332, 263631.7943447181 7061950.763588564, 263650.9443447181 7061962.773588563, 263651.4756552819 7061961.926411436, 263632.33215352613 7061949.920486837))</t>
  </si>
  <si>
    <t>['FV715 S6D1 m413-414']</t>
  </si>
  <si>
    <t>LINESTRING Z (263356.85 7061566.54 145.446, 263342.22 7061574.31 145.446)</t>
  </si>
  <si>
    <t>POLYGON ((263341.98547388223 7061573.868414787, 263342.4545261177 7061574.751585213, 263357.0845261177 7061566.981585213, 263356.61547388224 7061566.098414787, 263341.98547388223 7061573.868414787))</t>
  </si>
  <si>
    <t>['FV715 S6D1 m474-485']</t>
  </si>
  <si>
    <t>LINESTRING Z (263368.35 7061629.09 145.445, 263373.22 7061639.83 145.445)</t>
  </si>
  <si>
    <t>POLYGON ((263372.7646281853 7061640.036486102, 263373.67537181464 7061639.623513898, 263368.80537181464 7061628.883513898, 263367.8946281853 7061629.296486102, 263372.7646281853 7061640.036486102))</t>
  </si>
  <si>
    <t>['FV715 S5D1 m5216-5217']</t>
  </si>
  <si>
    <t>LINESTRING Z (261434.93 7059978.78 163.592, 261426.63 7059982.65 159.202)</t>
  </si>
  <si>
    <t>POLYGON ((261426.4187067252 7059982.196838713, 261426.8412932748 7059983.1031612875, 261435.1412932748 7059979.233161287, 261434.7187067252 7059978.326838713, 261426.4187067252 7059982.196838713))</t>
  </si>
  <si>
    <t>['FV715 S5D1 m5221-5222']</t>
  </si>
  <si>
    <t>LINESTRING Z (261438.18 7059982.52 163.942, 261427.79 7059986.4 159.202)</t>
  </si>
  <si>
    <t>POLYGON ((261427.61508071265 7059985.931595001, 261427.96491928736 7059986.868404999, 261438.35491928735 7059982.988404999, 261438.00508071264 7059982.051595001, 261427.61508071265 7059985.931595001))</t>
  </si>
  <si>
    <t>['FV715 S5D1 m5008-5009']</t>
  </si>
  <si>
    <t>LINESTRING Z (261407.41 7059782.33 158.973, 261401.48 7059782.26 155.473)</t>
  </si>
  <si>
    <t>POLYGON ((261401.4859017811 7059781.760034832, 261401.47409821893 7059782.759965167, 261407.40409821892 7059782.829965168, 261407.4159017811 7059781.8300348325, 261401.4859017811 7059781.760034832))</t>
  </si>
  <si>
    <t>['FV715 S5D1 m5020-5021']</t>
  </si>
  <si>
    <t>LINESTRING Z (261405.99 7059794.77 158.923, 261399.91 7059794.85 155.783)</t>
  </si>
  <si>
    <t>POLYGON ((261399.90342162206 7059794.350043276, 261399.91657837795 7059795.349956723, 261405.99657837793 7059795.269956723, 261405.98342162205 7059794.270043276, 261399.90342162206 7059794.350043276))</t>
  </si>
  <si>
    <t>2016-03-18</t>
  </si>
  <si>
    <t>[705]</t>
  </si>
  <si>
    <t>['FV705 S4D1 m2230-2264']</t>
  </si>
  <si>
    <t>LINESTRING Z (303632.64 7018712.51 160.701, 303633.42 7018716.29 161.921, 303638.1 7018721.92 162.321, 303645.21 7018726.9 161.401, 303645 7018730.08 162.491, 303650.92 7018733.88 162.681, 303654.96 7018735.98 162.951, 303656.24 7018735.53 162.901, 303659.63 7018730.28 161.831, 303661.64 7018727.11 162.041, 303661.99 7018724.12 162.001, 303660.8 7018723.78 161.941, 303658.66 7018723.32 162.051, 303649.67 7018725.52 162.091, 303645.83 7018721.79 161.911, 303641.18 7018715.5 161.841, 303639.39 7018711.96 161.521, 303635.89 7018709.15 161.391)</t>
  </si>
  <si>
    <t>POLYGON Z ((303632.64 7018712.51 160.701, 303633.42 7018716.29 161.921, 303638.1 7018721.92 162.321, 303645.21 7018726.9 161.401, 303645 7018730.08 162.491, 303650.92 7018733.88 162.681, 303654.96 7018735.98 162.951, 303656.24 7018735.53 162.901, 303659.63 7018730.28 161.831, 303661.64 7018727.11 162.041, 303661.99 7018724.12 162.001, 303660.8 7018723.78 161.941, 303658.66 7018723.32 162.051, 303649.67 7018725.52 162.091, 303645.83 7018721.79 161.911, 303641.18 7018715.5 161.841, 303639.39 7018711.96 161.521, 303635.89 7018709.15 161.391, 303632.64 7018712.51 160.701))</t>
  </si>
  <si>
    <t>2014-11-27</t>
  </si>
  <si>
    <t>[1117]</t>
  </si>
  <si>
    <t>['KV1117 S1D1 m11-14']</t>
  </si>
  <si>
    <t>LINESTRING Z (319573.479980469 6683288.54003906 136.114, 319574.490234375 6683293 136.434, 319576.540039063 6683298.95019531 139.054, 319578.439941406 6683303.12988281 141.314, 319580.390136719 6683302.88964844 141.494, 319579.120117188 6683298.75976563 139.454, 319577.009765625 6683292.28027344 136.294, 319576.370117188 6683288.5 136.124)</t>
  </si>
  <si>
    <t>POLYGON Z ((319573.479980469 6683288.54003906 136.114, 319574.490234375 6683293 136.434, 319576.540039063 6683298.95019531 139.054, 319578.439941406 6683303.12988281 141.314, 319580.390136719 6683302.88964844 141.494, 319579.120117188 6683298.75976563 139.454, 319577.009765625 6683292.28027344 136.294, 319576.370117188 6683288.5 136.124, 319573.479980469 6683288.54003906 136.114))</t>
  </si>
  <si>
    <t>[1235]</t>
  </si>
  <si>
    <t>['PV1235 S1D1 m140-165']</t>
  </si>
  <si>
    <t>LINESTRING Z (326507.209991455 6679808.77978516 141.492, 326502.380004883 6679814.52978516 141.362, 326497.299987793 6679819.31005859 140.912, 326492.410003662 6679822.47021484 140.932, 326488.079986572 6679824.31005859 140.912, 326484.75 6679826.60986328 140.942, 326480.229980469 6679828.68994141 141.062, 326475.630004883 6679830.22021484 141.022, 326472 6679829.87988281 141.032, 326468.159973145 6679828.20019531 140.832, 326463.229980469 6679825.52001953 140.252, 326464.059997559 6679815.62988281 138.432)</t>
  </si>
  <si>
    <t>POLYGON ((326502.0160077218 6679814.185742303, 326496.99043485196 6679818.914783965, 326492.17480979237 6679822.026885604, 326487.8844534759 6679823.849877313, 326487.8389141176 6679823.872012848, 326487.79584702046 6679823.898640658, 326484.5015610616 6679826.173789262, 326480.0459952834 6679828.224206271, 326475.57196710486 6679829.71258079, 326472.1267186265 6679829.389570642, 326468.37997143983 6679827.750685121, 326463.7555223556 6679825.236617202, 326464.5582460082 6679815.671697674, 326463.5617491098 6679815.588067945, 326462.7317320198 6679825.478204666, 326462.7300204957 6679825.52634607, 326462.7329496483 6679825.574428751, 326462.7404922889 6679825.6220064, 326462.752578406 6679825.668637397, 326462.76909581514 6679825.713888909, 326462.7898912001 6679825.757340906, 326462.8147715361 6679825.798590064, 326462.84350588144 6679825.837253503, 326462.87582752126 6679825.872972345, 326462.91143644287 6679825.905415046, 326462.95000212087 6679825.934280468, 326462.991166585 6679825.95930068, 326467.921159261 6679828.6394764595, 326467.9595961952 6679828.65828818, 326471.7996230502 6679830.33797568, 326471.84935095813 6679830.356647811, 326471.9007790993 6679830.369939147, 326471.9533270528 6679830.37769968, 326475.5833319358 6679830.71803171, 326475.6350932176 6679830.720188948, 326475.68679987337 6679830.716978696, 326475.73789680446 6679830.708435418, 326475.7878354579 6679830.694650831, 326480.3878110439 6679829.164377401, 326480.4390053566 6679829.144153471, 326484.9590248876 6679827.064075341, 326484.997508839 6679827.044304731, 326485.0341395515 6679827.021281213, 326488.32230152795 6679824.750362044, 326492.6055367581 6679822.930396117, 326492.64432887087 6679822.911906697, 326492.6813900826 6679822.89015461, 326497.5713742136 6679819.72999836, 326497.60827011376 6679819.703710734, 326497.6426352051 6679819.674191466, 326502.7226522951 6679814.893918036, 326502.7628577557 6679814.851380679, 326507.59284432774 6679809.101380679, 326506.8271385823 6679808.458189641, 326502.0160077218 6679814.185742303))</t>
  </si>
  <si>
    <t>2016-04-19</t>
  </si>
  <si>
    <t>[7802]</t>
  </si>
  <si>
    <t>['FV7802 S1D1 m903-944']</t>
  </si>
  <si>
    <t>LINESTRING Z (587387.69 7631699.9 21.436, 587389.59 7631697.63 21.807, 587393.5 7631692.06 21.907, 587396.38 7631688.57 21.967, 587402.21 7631680.78 22.267, 587408.68 7631671.84 22.537, 587412 7631667.51 22.527)</t>
  </si>
  <si>
    <t>POLYGON ((587389.9734175022 7631697.950922138, 587389.9992359165 7631697.917273328, 587393.8980441615 7631692.36321657, 587396.7656459536 7631688.888240787, 587396.7803081133 7631688.869588742, 587402.6103081133 7631681.079588742, 587402.6150526841 7631681.073142155, 587409.0809972839 7631672.138745752, 587412.3967884311 7631667.814235009, 587411.6032115689 7631667.20576499, 587408.283211569 7631671.53576499, 587408.2749473159 7631671.546857845, 587401.8072937968 7631680.483615567, 587395.9868016468 7631688.260911253, 587393.1143540464 7631691.741759213, 587393.0907640834 7631691.772726672, 587389.1929590768 7631697.325354264, 587387.3065824977 7631699.579077862, 587388.0734175022 7631700.220922139, 587389.9734175022 7631697.950922138))</t>
  </si>
  <si>
    <t>2016-04-27</t>
  </si>
  <si>
    <t>['FV421 S5D1 m2249-2261']</t>
  </si>
  <si>
    <t>LINESTRING Z (144084.12 6511651.71 48.251, 144078.32 6511676.29 48.032, 144080.99 6511678.34 47.942)</t>
  </si>
  <si>
    <t>POLYGON ((144077.83336421492 6511676.175171377, 144077.82462238226 6511676.222169212, 144077.82040872925 6511676.269787079, 144077.82076177234 6511676.317589709, 144077.82567828437 6511676.365140146, 144077.8351133242 6511676.412003736, 144077.84898064737 6511676.457752107, 144077.8671534946 6511676.501967079, 144077.8894657503 6511676.544244489, 144077.91571346123 6511676.5841978835, 144077.9456567006 6511676.6214620555, 144077.97902176133 6511676.655696378, 144078.0155036577 6511676.6865879195, 144080.68550365767 6511678.736587919, 144081.2944963423 6511677.94341208, 144078.88086517778 6511676.090249576, 144084.60663578508 6511651.824828623, 144083.6333642149 6511651.595171377, 144077.83336421492 6511676.175171377))</t>
  </si>
  <si>
    <t>2016-04-28</t>
  </si>
  <si>
    <t>['RV70 S10D1 m2682-2685']</t>
  </si>
  <si>
    <t>LINESTRING Z (169693.71 6977894.55 137.638, 169691.96 6977895 138.518, 169691.81 6977895.06 138.518, 169691.83 6977896.69 138.498, 169691.98 6977896.72 138.508, 169693.78 6977897.05 137.668)</t>
  </si>
  <si>
    <t>POLYGON Z ((169693.71 6977894.55 137.638, 169691.96 6977895 138.518, 169691.81 6977895.06 138.518, 169691.83 6977896.69 138.498, 169691.98 6977896.72 138.508, 169693.78 6977897.05 137.668, 169693.71 6977894.55 137.638))</t>
  </si>
  <si>
    <t>2019-07-05</t>
  </si>
  <si>
    <t>['EV39 S83D1 m5963-5967']</t>
  </si>
  <si>
    <t>LINESTRING Z (-34258.09 6684067.49 42.994, -34258.82 6684066.8 42.794, -34260.08 6684066.27 42.994, -34261.85 6684067.9 45.084, -34261.9 6684067.84 45.084, -34258.94 6684068.59 44.984, -34257.77 6684067.92 44.754, -34258.09 6684067.49 42.994)</t>
  </si>
  <si>
    <t>['EV39 S83D105 m832-840']</t>
  </si>
  <si>
    <t>LINESTRING Z (-35260.58 6684858.79 31.944, -35258.23 6684858.42 30.384, -35255.48 6684857.26 29.474, -35252.51 6684856.8 28.464, -35249.9 6684855.95 27.164, -35246.46 6684854.98 25.824, -35246.65 6684854.76 25.294, -35248.69 6684855.71 26.084, -35252.3 6684856.44 27.484, -35255.73 6684857.07 28.964, -35260.27 6684858.68 30.674, -35260.58 6684858.79 31.944)</t>
  </si>
  <si>
    <t>2016-07-05</t>
  </si>
  <si>
    <t>['FV6682 S1D1 m2572-2848']</t>
  </si>
  <si>
    <t>LINESTRING Z (266851.97 7031817.93 95.512, 266852.17 7031818.32 95.512, 266852.37 7031818.73 95.522, 266852.56 7031819.14 95.522, 266852.75 7031819.54 95.522, 266852.93 7031819.96 95.512, 266853.11 7031820.37 95.512, 266853.15 7031820.47 95.532, 266853.49 7031821.28 95.702, 266853.59 7031821.56 95.702, 266853.08 7031821.76 96.522, 266852.83 7031822.6 96.732, 266852.91 7031823.64 96.842, 266853.21 7031824.6 96.872, 266853.52 7031825.54 96.882, 266853.83 7031826.5 96.902, 266854.13 7031827.45 96.922, 266855.08 7031828.17 96.662, 266854.59 7031829.42 97.022, 266854.87 7031830.38 97.052, 266855.15 7031831.35 97.092, 266855.41 7031832.32 97.122, 266855.72 7031833.28 97.142, 266856.12 7031834.19 97.122, 266856.53 7031835.09 97.092, 266858.03 7031834.56 95.862, 266858.08 7031834.8 95.872, 266858.24 7031835.43 95.902, 266858.34 7031835.86 95.912, 266858.44 7031836.29 95.922, 266858.54 7031836.71 95.972, 266858.63 7031837.14 96.012, 266858.74 7031837.56 96.052, 266858.83 7031837.99 96.092, 266858.94 7031838.42 96.122, 266859.04 7031838.84 96.152, 266859.06 7031838.97 96.152, 266859.24 7031839.81 96.202, 266859.42 7031840.8 96.262, 266859.62 7031841.78 96.312, 266859.79 7031842.77 96.382, 266859.94 7031843.76 96.442, 266860.1 7031844.75 96.512, 266860.25 7031845.74 96.592, 266860.36 7031846.74 96.672, 266860.4 7031847.12 96.712, 266860.46 7031847.71 96.772, 266860.56 7031848.69 96.852, 266860.65 7031849.67 96.942, 266860.76 7031850.63 97.022, 266860.81 7031851.61 97.112, 266860.85 7031852.59 97.202, 266860.9 7031853.56 97.292, 266860.94 7031854.54 97.372, 266860.98 7031855.52 97.452, 266860.99 7031855.71 97.462, 266860.96 7031856.5 97.502, 266860.92 7031857.48 97.542, 266860.88 7031858.45 97.582, 266860.83 7031859.43 97.612, 266860.79 7031860.41 97.642, 266860.74 7031861.39 97.672, 266860.7 7031862.35 97.692, 266860.65 7031863.33 97.702, 266860.61 7031864.31 97.712, 266860.56 7031865.28 97.722, 266860.52 7031866.26 97.722, 266860.42 7031867.23 97.742, 266860.28 7031868.2 97.782, 266860.15 7031869.17 97.802, 266860.01 7031870.14 97.832, 266859.87 7031871.12 97.852, 266859.73 7031872.08 97.862, 266859.57 7031873.04 97.882, 266859.48 7031873.48 97.902, 266859.37 7031874.02 97.912, 266859.17 7031874.99 97.942, 266858.96 7031875.97 97.972, 266858.76 7031876.96 98.012, 266858.53 7031877.92 98.052, 266858.27 7031878.89 98.102, 266858 7031879.86 98.162, 266857.74 7031880.83 98.212, 266857.48 7031881.8 98.272, 266857.21 7031882.77 98.332, 266856.93 7031883.73 98.392, 266856.61 7031884.7 98.472, 266856.29 7031885.65 98.552, 266855.97 7031886.61 98.632, 266855.68 7031887.57 98.692, 266855.52 7031888.56 98.712, 266855.36 7031889.55 98.722, 266855.2 7031890.54 98.732, 266855.04 7031891.53 98.752, 266854.88 7031892.51 98.762, 266854.71 7031893.5 98.782, 266854.55 7031894.49 98.792, 266854.52 7031894.69 98.792, 266854.42 7031895.42 98.802, 266854.25 7031896.34 98.802, 266854.08 7031897.25 98.812, 266853.88 7031898.16 98.812, 266853.68 7031899.07 98.812, 266853.49 7031899.79 98.802, 266853.44 7031899.98 98.802, 266853.16 7031900.86 98.812, 266853.32 7031900.93 98.812, 266853.22 7031901.19 98.812, 266852.98 7031901.8 98.812, 266852.78 7031902.3 98.812, 266852.63 7031902.68 98.822, 266852.3 7031903.41 98.822, 266852.26 7031903.54 98.822, 266851.86 7031904.39 98.822, 266851.79 7031904.53 98.832, 266851.29 7031905.16 98.902, 266851.08 7031905.53 98.912, 266850.82 7031905.97 98.922, 266850.45 7031906.57 98.942, 266850.34 7031906.76 98.942, 266849.86 7031907.57 98.952, 266849.84 7031907.63 98.952, 266849.37 7031908.36 98.962, 266849.18 7031908.66 98.962, 266848.85 7031909.13 98.972, 266848.48 7031909.67 98.982, 266848.3 7031909.9 98.992, 266847.74 7031910.65 99.012, 266847.34 7031911.22 99.012, 266847.19 7031911.42 99.012, 266847.06 7031911.59 99.012, 266846.85 7031911.91 99.002, 266846.61 7031912.25 99.002, 266846.43 7031912.51 98.992, 266846.15 7031912.91 98.992, 266846.05 7031913.08 98.992, 266845.84 7031913.35 98.992, 266845.46 7031913.9 98.982, 266845.26 7031914.17 98.982, 266844.97 7031914.57 98.982, 266844.87 7031914.7 98.982, 266844.67 7031914.98 98.982, 266844.27 7031915.5 98.982, 266844.07 7031915.76 98.982, 266843.67 7031916.31 98.992, 266843.46 7031916.57 98.992, 266843.21 7031916.89 98.992, 266843.06 7031917.1 99.002, 266842.86 7031917.36 99.002, 266842.45 7031917.9 99.002, 266842.26 7031918.16 99.002, 266841.85 7031918.71 99.012, 266841.65 7031918.96 99.012, 266841.25 7031919.51 99.012, 266841.06 7031919.76 99.022, 266840.64 7031920.31 99.022, 266840.46 7031920.55 99.022, 266840.02 7031921.09 99.042, 266839.84 7031921.33 99.042, 266839.41 7031921.88 99.052, 266839.22 7031922.11 99.062, 266838.68 7031922.57 99.132, 266838.5 7031922.82 99.132, 266838.08 7031923.39 99.132, 266837.91 7031923.63 99.132, 266837.49 7031924.2 99.132, 266837.32 7031924.44 99.132, 266836.79 7031924.92 99.202, 266836.55 7031925.09 99.232, 266835.91 7031925.51 99.352, 266835.05 7031925.19 99.732, 266834.57 7031925.74 99.762, 266834.38 7031925.95 99.782, 266833.9 7031926.48 99.822, 266833.71 7031926.68 99.842, 266833.25 7031927.24 99.872, 266833.07 7031927.46 99.872, 266832.68 7031928.08 99.862, 266832.56 7031928.31 99.842, 266832.22 7031928.99 99.802, 266832.1 7031929.23 99.792, 266831.86 7031929.68 99.772, 266831.73 7031929.89 99.762, 266831.62 7031930.11 99.752, 266831.21 7031930.74 99.742, 266830.98 7031930.88 99.782, 266830.25 7031931.26 99.952, 266830.06 7031931.44 99.972, 266829.54 7031931.99 100.022, 266829.4 7031932.19 100.032, 266828.95 7031932.81 100.032, 266828.82 7031933.01 100.042, 266828.43 7031933.66 100.022, 266828.34 7031933.82 100.012, 266828.31 7031933.87 100.012, 266827.93 7031934.56 99.992, 266827.83 7031934.77 99.972, 266827.46 7031935.45 99.952, 266827.35 7031935.65 99.942, 266826.95 7031936.23 99.942, 266826.91 7031936.29 99.952, 266826.79 7031936.47 99.952, 266826.34 7031937.12 99.952, 266826.21 7031937.3 99.962, 266825.72 7031937.91 99.992, 266825.6 7031938.08 99.992, 266825.13 7031938.71 100.012, 266824.99 7031938.88 100.022, 266824.52 7031939.51 100.042, 266824.4 7031939.67 100.052, 266823.92 7031940.31 100.072, 266823.79 7031940.47 100.072, 266823.3 7031941.1 100.102, 266823.17 7031941.25 100.112, 266822.64 7031941.87 100.162, 266822.5 7031942 100.172, 266821.93 7031942.59 100.242, 266821.82 7031942.74 100.252, 266821.32 7031943.39 100.272, 266821.22 7031943.53 100.272, 266820.75 7031944.21 100.282, 266820.67 7031944.37 100.282, 266820.3 7031945.12 100.232, 266820.23 7031945.28 100.232, 266819.83 7031946.03 100.192, 266819.74 7031946.17 100.202, 266819.21 7031946.81 100.232, 266819.12 7031946.94 100.242, 266818.49 7031947.52 100.322, 266818.36 7031947.63 100.352, 266817.29 7031947.88 100.652, 266817.21 7031948.02 100.652, 266816.77 7031948.75 100.642, 266816.7 7031948.88 100.632, 266816.35 7031949.46 100.632, 266816.25 7031949.61 100.632, 266816.17 7031949.73 100.632, 266815.69 7031950.44 100.642, 266815.61 7031950.56 100.642, 266815.03 7031951.2 100.702, 266814.94 7031951.3 100.712, 266814.14 7031951.79 100.882, 266814.06 7031951.89 100.892, 266813.55 7031952.6 100.912, 266813.49 7031952.72 100.912, 266813.2 7031953.21 100.902, 266813.03 7031953.46 100.902, 266812.96 7031953.58 100.902, 266812.48 7031954.31 100.912, 266812.41 7031954.41 100.912, 266812.01 7031954.91 100.942, 266811.87 7031955.1 100.952, 266811.76 7031955.16 100.972, 266811.2 7031955.86 101.022, 266811.14 7031955.94 101.022, 266810.61 7031956.66 101.052, 266810.54 7031956.75 101.052, 266810.34 7031957.01 101.062, 266810 7031957.47 101.082, 266809.94 7031957.55 101.082, 266809.35 7031958.23 101.142, 266809.28 7031958.31 101.152, 266808.62 7031958.94 101.242, 266808.55 7031959.01 101.252, 266807.9 7031959.65 101.342, 266807.83 7031959.72 101.352, 266807.22 7031960.41 101.412, 266807.17 7031960.48 101.412, 266806.89 7031960.89 101.422, 266806.68 7031961.24 101.422, 266806.64 7031961.32 101.422, 266806.18 7031962.13 101.402, 266806.15 7031962.2 101.392, 266805.73 7031963.04 101.352, 266805.7 7031963.12 101.352, 266805.34 7031964 101.282, 266805.32 7031964.07 101.282, 266804.95 7031964.96 101.212, 266804.91 7031965.02 101.212, 266804.89 7031965.08 101.212, 266804.53 7031965.89 101.152, 266804.51 7031965.95 101.152, 266804.05 7031966.78 101.132, 266804.02 7031966.83 101.132, 266803.52 7031967.64 101.132, 266803.49 7031967.69 101.132, 266802.79 7031968.34 101.232, 266802.75 7031968.38 101.242, 266802.06 7031969.05 101.342, 266802.02 7031969.09 101.342, 266801.68 7031969.44 101.382, 266801.37 7031969.79 101.412, 266801.34 7031969.83 101.422, 266800.71 7031970.55 101.482, 266800.09 7031971.34 101.522, 266799.98 7031971.52 101.532, 266799.91 7031971.62 101.532, 266799.57 7031972.13 101.532, 266799.55 7031972.19 101.532, 266799.32 7031972.56 101.532, 266799.12 7031972.87 101.532, 266799.01 7031973.04 101.542, 266798.64 7031973.65 101.552, 266798.48 7031973.89 101.552, 266798.17 7031974.4 101.562, 266797.96 7031974.75 101.572, 266797.7 7031975.15 101.582, 266797.55 7031975.41 101.582, 266797.43 7031975.61 101.582, 266797.25 7031975.91 101.592, 266796.9 7031976.46 101.612, 266796.76 7031976.66 101.622, 266796.52 7031977.03 101.632, 266796.35 7031977.3 101.642, 266796.28 7031977.4 101.652, 266795.77 7031978.13 101.692, 266795.28 7031978.86 101.742, 266795.23 7031978.92 101.742, 266794.81 7031979.54 101.782, 266794.61 7031979.84 101.802, 266794.32 7031980.23 101.842, 266794.13 7031980.5 101.872, 266791.94 7031979.38 103.022, 266791.81 7031979.64 103.032, 266791.44 7031980.39 103.062, 266791.04 7031981.23 103.102, 266790.96 7031981.4 103.112, 266790.67 7031982.03 103.142, 266790.51 7031982.42 103.152, 266790.32 7031982.85 103.172, 266790.06 7031983.45 103.202, 266789.97 7031983.67 103.212, 266789.65 7031984.48 103.242, 266789.31 7031985.32 103.282, 266789.24 7031985.52 103.292, 266789.01 7031986.15 103.312, 266788.87 7031986.56 103.332, 266788.72 7031986.99 103.352, 266788.5 7031987.6 103.382, 266788.42 7031987.82 103.383, 266788.16 7031988.65 103.423, 266787.89 7031989.52 103.453, 266787.83 7031989.71 103.463, 266787.65 7031990.38 103.493, 266787.53 7031990.77 103.513, 266787.41 7031991.24 103.533, 266787.25 7031991.83 103.553, 266787.19 7031992.1 103.563, 266786.99 7031992.89 103.593, 266786.97 7031992.95 103.603, 266786.77 7031993.83 103.633, 266786.75 7031993.96 103.643, 266786.58 7031994.69 103.673, 266786.52 7031995.03 103.683, 266786.41 7031995.56 103.703, 266786.31 7031996.1 103.723, 266786.25 7031996.43 103.743, 266786.12 7031997.17 103.773, 266786.11 7031997.32 103.773, 266785.97 7031998.18 103.813, 266785.96 7031998.24 103.813, 266785.85 7031999.06 103.843, 266785.81 7031999.32 103.853, 266785.74 7031999.94 103.883, 266785.69 7032000.4 103.903, 266785.64 7032000.83 103.913, 266785.58 7032001.48 103.943, 266785.55 7032001.71 103.953, 266785.49 7032002.55 103.983, 266785.43 7032003.49 104.023, 266785.42 7032003.62 104.033, 266785.38 7032004.37 104.063, 266785.37 7032004.7 104.073, 266785.35 7032005.26 104.093, 266785.33 7032005.77 104.113, 266785.33 7032006.14 104.133, 266785.32 7032006.85 104.163, 266785.32 7032007.04 104.163, 266785.32 7032007.92 104.203, 266785.35 7032008.81 104.233, 266785.35 7032009 104.243, 266785.38 7032009.71 104.273, 266785.39 7032010.07 104.283, 266785.42 7032010.59 104.303, 266785.45 7032011.14 104.333, 266785.48 7032011.48 104.343, 266785.49 7032011.62 104.343, 266785.52 7032012.02 104.363, 266785.54 7032012.2 104.373, 266785.55 7032012.36 104.373, 266785.57 7032012.54 104.383, 266785.63 7032013.21 104.413, 266785.65 7032013.47 104.423, 266785.73 7032014.13 104.453, 266785.75 7032014.32 104.453, 266785.76 7032014.38 104.463, 266785.84 7032015 104.483, 266785.88 7032015.32 104.493, 266785.88 7032015.38 104.503, 266785.91 7032015.54 104.503, 266785.95 7032015.88 104.523, 266786.01 7032016.23 104.533, 266786.04 7032016.44 104.543, 266786.08 7032016.7 104.553, 266786.09 7032016.76 104.553, 266786.15 7032017.16 104.573, 266786.21 7032017.49 104.583, 266786.24 7032017.65 104.593, 266786.28 7032017.86 104.603, 266786.32 7032018.07 104.603, 266786.4 7032018.52 104.623, 266786.5 7032019.02 104.643, 266786.57 7032019.38 104.663, 266786.61 7032019.57 104.673, 266786.68 7032019.91 104.683, 266786.73 7032020.16 104.693, 266786.75 7032020.25 104.693, 266786.84 7032020.61 104.713, 266786.88 7032020.81 104.723, 266786.94 7032021.12 104.733, 266786.99 7032021.31 104.743, 266787.07 7032021.65 104.753, 266787.09 7032021.72 104.753, 266787.16 7032021.98 104.763, 266787.28 7032022.46 104.783, 266787.33 7032022.63 104.793, 266787.34 7032022.68 104.793, 266787.38 7032022.85 104.803, 266787.57 7032023.53 104.833, 266787.59 7032023.6 104.833, 266787.62 7032023.7 104.833, 266787.83 7032024.42 104.863, 266787.86 7032024.55 104.873, 266787.92 7032024.71 104.883, 266788.09 7032025.32 104.903, 266788.12 7032025.4 104.903, 266788.23 7032025.73 104.923, 266788.26 7032025.86 104.923, 266788.38 7032026.2 104.943, 266788.39 7032026.25 104.943, 266788.56 7032026.74 104.963, 266788.64 7032026.97 104.973, 266788.68 7032027.09 104.983, 266788.9 7032027.73 105.003, 266788.97 7032027.92 105.013, 266789.02 7032028.06 105.023, 266789.27 7032028.73 105.053, 266789.29 7032028.79 105.053, 266789.41 7032029.12 105.063, 266789.6 7032029.58 105.083, 266789.65 7032029.71 105.093, 266789.83 7032030.16 105.113, 266789.94 7032030.41 105.123, 266790.04 7032030.69 105.133, 266790.26 7032031.2 105.153, 266790.29 7032031.27 105.153, 266790.47 7032031.65 105.173, 266790.63 7032032.04 105.193, 266790.66 7032032.08 105.193, 266790.72 7032032.23 105.203, 266790.89 7032032.62 105.213, 266791 7032032.86 105.223, 266791.19 7032033.24 105.243, 266791.34 7032033.57 105.253, 266791.38 7032033.66 105.263, 266791.68 7032034.26 105.293, 266791.76 7032034.44 105.293, 266791.8 7032034.5 105.303, 266792.17 7032035.24 105.333, 266792.19 7032035.29 105.333, 266792.28 7032035.45 105.343, 266792.59 7032036.02 105.363, 266792.61 7032036.08 105.373, 266792.71 7032036.25 105.383, 266792.78 7032036.38 105.383, 266793.01 7032036.81 105.403, 266793.05 7032036.87 105.403, 266793.25 7032037.23 105.423, 266793.29 7032037.3 105.423, 266793.45 7032037.58 105.443, 266793.48 7032037.64 105.443, 266793.82 7032038.21 105.463, 266793.89 7032038.34 105.473, 266793.92 7032038.4 105.473, 266793.96 7032038.46 105.483, 266794.35 7032039.11 105.513, 266794.4 7032039.17 105.513, 266794.83 7032039.86 105.543, 266794.86 7032039.92 105.543, 266794.91 7032040.01 105.553, 266794.99 7032040.12 105.553, 266795.3 7032040.6 105.583, 266795.34 7032040.67 105.583, 266795.43 7032040.79 105.583, 266795.48 7032040.89 105.593, 266796.75 7032040.07 103.553, 266800.14 7032044.41 103.683, 266808.59 7032053.58 104.113, 266814.05 7032054.39 106.343, 266814.17 7032054.04 106.373, 266814.21 7032053.9 106.373, 266814.36 7032053.49 106.403, 266814.49 7032053.09 106.433, 266814.65 7032052.58 106.483, 266814.8 7032052.04 106.523, 266814.86 7032051.66 106.543, 266814.89 7032051.28 106.563, 266814.93 7032050.9 106.583, 266814.94 7032050.52 106.603, 266814.9 7032050.14 106.613, 266814.84 7032049.76 106.613, 266814.77 7032049.39 106.623, 266814.7 7032049.01 106.623, 266814.77 7032048.62 107.113, 266814.83 7032048.15 107.653, 266814.84 7032047.72 108.053, 266814.85 7032047.3 108.453, 266814.79 7032046.87 108.733, 266814.73 7032046.45 109.013, 266814.66 7032046.03 109.283, 266814.57 7032045.62 109.563, 266814.47 7032045.29 109.693, 266814.4 7032045.11 109.783, 266814.38 7032045.04 109.813, 266814.12 7032044.36 110.073, 266813.98 7032043.99 110.173, 266813.81 7032043.54 110.113, 266813.64 7032043.11 110.063, 266813.46 7032042.69 110.003, 266813.27 7032042.28 109.943, 266813.03 7032041.73 109.753, 266813.01 7032041.49 109.593, 266812.95 7032040.96 109.113, 266813.23 7032040.56 108.933, 266813.1 7032040.43 108.923, 266812.74 7032040.06 108.903, 266812.69 7032040 108.893, 266812.63 7032039.94 108.893, 266812.15 7032039.43 108.853, 266812.1 7032039.37 108.853, 266811.69 7032038.93 108.813, 266811.51 7032038.73 108.803, 266811.24 7032038.42 108.783, 266810.94 7032038.08 108.753, 266810.78 7032037.89 108.743, 266810.38 7032037.42 108.713, 266810.35 7032037.37 108.703, 266809.91 7032036.84 108.673, 266809.84 7032036.76 108.663, 266809.49 7032036.31 108.633, 266809.3 7032036.07 108.623, 266809.07 7032035.76 108.593, 266808.79 7032035.38 108.573, 266808.66 7032035.21 108.563, 266808.28 7032034.68 108.523, 266807.87 7032034.1 108.483, 266807.78 7032033.97 108.483, 266807.49 7032033.53 108.453, 266807.3 7032033.26 108.433, 266807.1 7032032.95 108.413, 266806.83 7032032.54 108.383, 266806.74 7032032.37 108.383, 266806.38 7032031.79 108.343, 266806.05 7032031.25 108.303, 266806.02 7032031.21 108.303, 266805.94 7032031.05 108.293, 266805.69 7032030.61 108.273, 266805.51 7032030.31 108.253, 266805.35 7032030.02 108.233, 266805.09 7032029.54 108.203, 266805.02 7032029.42 108.193, 266804.7 7032028.81 108.163, 266804.39 7032028.19 108.123, 266804.31 7032028.01 108.113, 266804.09 7032027.59 108.083, 266803.93 7032027.23 108.063, 266803.8 7032026.96 108.053, 266803.58 7032026.44 108.023, 266803.52 7032026.33 108.013, 266803.25 7032025.71 107.973, 266803.23 7032025.65 107.973, 266802.98 7032025.08 107.943, 266802.89 7032024.86 107.923, 266802.73 7032024.44 107.903, 266802.58 7032024.05 107.883, 266802.48 7032023.8 107.863, 266802.28 7032023.23 107.833, 266802.25 7032023.16 107.833, 266802.03 7032022.51 107.793, 266801.99 7032022.43 107.793, 266801.81 7032021.86 107.753, 266801.72 7032021.6 107.743, 266801.6 7032021.21 107.723, 266801.47 7032020.78 107.693, 266801.4 7032020.55 107.683, 266801.23 7032019.95 107.653, 266801.21 7032019.9 107.643, 266801.03 7032019.23 107.613, 266801 7032019.11 107.603, 266800.87 7032018.57 107.573, 266800.79 7032018.28 107.563, 266800.7 7032017.91 107.533, 266800.6 7032017.43 107.513, 266800.55 7032017.24 107.503, 266800.41 7032016.59 107.463, 266800.27 7032015.9 107.433, 266800.25 7032015.74 107.423, 266800.16 7032015.22 107.393, 266800.1 7032014.89 107.373, 266800.05 7032014.55 107.353, 266799.97 7032014.04 107.323, 266799.94 7032013.88 107.323, 266799.85 7032013.19 107.283, 266799.77 7032012.52 107.243, 266799.75 7032012.33 107.233, 266799.69 7032011.83 107.213, 266799.66 7032011.46 107.193, 266799.63 7032011.15 107.173, 266799.59 7032010.6 107.143, 266799.57 7032010.46 107.133, 266799.53 7032009.78 107.103, 266799.5 7032009.1 107.063, 266799.49 7032008.87 107.053, 266799.47 7032008.42 107.023, 266799.46 7032008.01 107.003, 266799.46 7032007.74 106.993, 266799.45 7032007.15 106.963, 266799.45 7032007.05 106.953, 266799.46 7032006.36 106.913, 266799.46 7032006.28 106.913, 266799.47 7032005.68 106.883, 266799.49 7032005.43 106.863, 266799.5 7032005 106.843, 266799.52 7032004.56 106.823, 266799.54 7032004.32 106.813, 266799.58 7032003.7 106.773, 266799.58 7032003.63 106.773, 266799.64 7032002.95 106.733, 266799.65 7032002.84 106.733, 266799.39 7032002.24 106.383, 266799.25 7032001.92 106.203, 266799.08 7032001.51 105.963, 266798.88 7032001 105.673, 266798.79 7032000.76 105.543, 266798.52 7032000.05 105.153, 266798.25 7031999.26 104.713, 266798.18 7031999.1 104.623, 266797.99 7031998.49 104.303, 266797.87 7031998.12 104.103, 266797.74 7031997.72 103.883, 266797.57 7031997.14 103.573, 266797.51 7031996.93 103.463, 266797.29 7031996.14 103.043, 266797.09 7031995.34 102.633, 266797.03 7031995.13 102.523, 266796.89 7031994.54 102.213, 266796.79 7031994.1 101.993, 266796.71 7031993.72 101.803, 266796.57 7031993.06 101.463, 266796.62 7031992.2 102.343, 266796.91 7031991.54 102.303, 266796.98 7031991.36 102.303, 266797.21 7031990.87 102.273, 266797.36 7031990.53 102.253, 266797.52 7031990.2 102.243, 266797.75 7031989.7 102.213, 266797.84 7031989.54 102.203, 266798.17 7031988.89 102.173, 266798.51 7031988.24 102.143, 266798.6 7031988.07 102.133, 266798.85 7031987.61 102.113, 266799.04 7031987.28 102.093, 266799.22 7031986.97 102.073, 266799.5 7031986.48 102.053, 266799.58 7031986.35 102.043, 266799.96 7031985.73 102.013, 266800.35 7031985.12 101.973, 266800.47 7031984.92 101.963, 266800.59 7031984.75 101.953, 266800.74 7031984.52 101.943, 266800.97 7031984.16 101.923, 266801.15 7031983.91 101.913, 266801.49 7031983.41 101.883, 266801.57 7031983.32 101.873, 266802.07 7031982.6 101.843, 266802.59 7031981.89 101.803, 266802.65 7031981.79 101.803, 266802.84 7031981.53 101.783, 266803.09 7031981.17 101.763, 266803.24 7031980.97 101.753, 266803.61 7031980.45 101.733, 266803.81 7031980.17 101.713, 266803.95 7031979.97 101.703, 266804.11 7031979.74 101.693, 266804.39 7031979.35 101.673, 266804.63 7031979.01 101.653, 266804.98 7031978.54 101.633, 266805.14 7031978.3 101.623, 266805.55 7031977.73 101.593, 266805.66 7031977.58 101.583, 266805.88 7031977.27 101.573, 266806.13 7031976.92 101.563, 266806.17 7031976.87 101.553, 266806.52 7031976.37 101.543, 266806.59 7031976.28 101.533, 266806.7 7031976.14 101.533, 266807.28 7031975.33 101.503, 266807.86 7031974.52 101.473, 266808.15 7031974.12 101.453, 266808.43 7031973.72 101.443, 266808.47 7031973.68 101.443, 266809.02 7031972.91 101.413, 266809.05 7031972.87 101.413, 266809.6 7031972.12 101.383, 266809.63 7031972.06 101.383, 266810.19 7031971.31 101.353, 266810.22 7031971.25 101.353, 266810.77 7031970.5 101.323, 266810.81 7031970.44 101.323, 266811.31 7031969.75 101.303, 266811.35 7031969.7 101.293, 266811.4 7031969.64 101.293, 266811.94 7031968.89 101.273, 266811.99 7031968.84 101.263, 266812.52 7031968.09 101.243, 266812.57 7031968.03 101.233, 266813.11 7031967.28 101.213, 266813.16 7031967.22 101.203, 266813.7 7031966.48 101.183, 266813.75 7031966.42 101.183, 266813.99 7031966.09 101.163, 266814.28 7031965.69 101.153, 266814.34 7031965.61 101.153, 266814.87 7031964.88 101.123, 266814.92 7031964.8 101.123, 266815.46 7031964.08 101.093, 266815.51 7031964 101.093, 266816.05 7031963.28 101.063, 266816.11 7031963.19 101.063, 266816.63 7031962.48 101.033, 266816.7 7031962.39 101.033, 266817.03 7031961.94 101.013, 266817.22 7031961.68 101.003, 266817.29 7031961.6 101.003, 266817.82 7031960.87 100.973, 266817.88 7031960.79 100.973, 266818.4 7031960.08 100.953, 266818.47 7031959.99 100.943, 266818.61 7031959.8 100.933, 266819 7031959.27 100.923, 266819.07 7031959.19 100.913, 266819.59 7031958.49 100.893, 266819.67 7031958.38 100.883, 266819.84 7031958.13 100.873, 266820.18 7031957.69 100.863, 266820.25 7031957.58 100.853, 266820.77 7031956.89 100.833, 266820.85 7031956.78 100.823, 266821.36 7031956.09 100.803, 266821.45 7031955.98 100.803, 266821.96 7031955.29 100.773, 266822.04 7031955.18 100.773, 266822.55 7031954.5 100.743, 266822.64 7031954.38 100.743, 266822.75 7031954.24 100.733, 266823.15 7031953.7 100.713, 266823.24 7031953.58 100.713, 266823.74 7031952.91 100.683, 266823.83 7031952.78 100.683, 266824.33 7031952.11 100.653, 266824.43 7031951.98 100.653, 266824.93 7031951.31 100.623, 266825.03 7031951.18 100.623, 266825.53 7031950.52 100.603, 266825.63 7031950.39 100.593, 266826.13 7031949.72 100.573, 266826.23 7031949.59 100.563, 266826.72 7031948.93 100.543, 266826.84 7031948.79 100.533, 266827.33 7031948.14 100.513, 266827.44 7031948 100.503, 266827.92 7031947.35 100.483, 266828.03 7031947.2 100.473, 266828.53 7031946.55 100.453, 266828.63 7031946.4 100.443, 266829.12 7031945.76 100.423, 266829.24 7031945.61 100.423, 266829.72 7031944.97 100.393, 266829.84 7031944.81 100.393, 266830.32 7031944.18 100.363, 266830.45 7031944.02 100.363, 266830.92 7031943.39 100.333, 266831.05 7031943.23 100.333, 266831.53 7031942.6 100.303, 266831.66 7031942.43 100.303, 266832.13 7031941.81 100.283, 266832.26 7031941.64 100.273, 266832.73 7031941.02 100.253, 266832.86 7031940.85 100.243, 266832.92 7031940.78 100.243, 266833.34 7031940.23 100.223, 266833.47 7031940.06 100.213, 266833.94 7031939.44 100.193, 266834.08 7031939.26 100.183, 266834.55 7031938.65 100.163, 266834.68 7031938.47 100.153, 266835.15 7031937.87 100.133, 266835.29 7031937.67 100.123, 266835.76 7031937.08 100.103, 266835.9 7031936.88 100.093, 266836.36 7031936.3 100.073, 266836.51 7031936.09 100.063, 266836.97 7031935.51 100.043, 266837.1 7031935.33 100.043, 266837.58 7031934.72 100.013, 266837.73 7031934.52 100.013, 266837.88 7031934.33 100.003, 266838.19 7031933.94 99.983, 266838.34 7031933.73 99.983, 266838.79 7031933.14 99.953, 266838.96 7031932.94 99.953, 266839.39 7031932.36 99.933, 266839.57 7031932.15 99.923, 266840.01 7031931.57 99.903, 266840.18 7031931.37 99.893, 266840.61 7031930.79 99.873, 266840.78 7031930.58 99.863, 266841.21 7031930.02 99.843, 266841.4 7031929.78 99.833, 266841.84 7031929.22 99.823, 266842.01 7031929 99.823, 266842.45 7031928.44 99.813, 266842.63 7031928.21 99.803, 266843.06 7031927.66 99.793, 266843.24 7031927.43 99.793, 266843.67 7031926.88 99.783, 266843.86 7031926.64 99.773, 266844.29 7031926.1 99.763, 266844.47 7031925.86 99.763, 266844.9 7031925.3 99.753, 266845.09 7031925.08 99.743, 266845.51 7031924.53 99.733, 266845.71 7031924.28 99.733, 266846.13 7031923.75 99.723, 266846.32 7031923.5 99.713, 266846.74 7031922.97 99.703, 266846.94 7031922.72 99.703, 266847.36 7031922.19 99.693, 266847.56 7031921.94 99.683, 266847.98 7031921.41 99.673, 266848.18 7031921.16 99.673, 266848.33 7031920.96 99.663, 266848.59 7031920.63 99.653, 266848.8 7031920.38 99.653, 266849.21 7031919.84 99.643, 266849.42 7031919.59 99.633, 266849.82 7031919.07 99.623, 266850.04 7031918.81 99.623, 266850.14 7031918.68 99.623, 266850.44 7031918.29 99.613, 266850.66 7031918.03 99.603, 266851.06 7031917.51 99.593, 266851.28 7031917.25 99.593, 266851.41 7031917.1 99.593, 266851.71 7031916.71 99.583, 266851.9 7031916.47 99.573, 266852.16 7031916.15 99.573, 266852.4 7031915.85 99.563, 266852.52 7031915.68 99.563, 266852.68 7031915.49 99.553, 266853.2 7031914.84 99.543, 266853.86 7031913.95 99.533, 266854.06 7031913.68 99.523, 266854.5 7031913.06 99.513, 266854.88 7031912.49 99.502, 266855.11 7031912.13 99.502, 266855.67 7031911.27 99.482, 266855.71 7031911.2 99.482, 266856.28 7031910.26 99.472, 266856.42 7031910.02 99.462, 266856.84 7031909.29 99.452, 266857.12 7031908.77 99.442, 266857.36 7031908.32 99.432, 266857.78 7031907.49 99.422, 266857.86 7031907.33 99.422, 266858.34 7031906.33 99.402, 266858.39 7031906.19 99.402, 266858.78 7031905.32 99.392, 266858.96 7031904.88 99.382, 266859.2 7031904.29 99.372, 266859.49 7031903.56 99.362, 266859.6 7031903.27 99.362, 266859.98 7031902.22 99.342, 266860.05 7031902.01 99.342, 266860.32 7031901.17 99.322, 266860.65 7031900.11 99.302, 266860.94 7031899.05 99.272, 266861.2 7031897.97 99.252, 266861.44 7031896.89 99.232, 266861.61 7031896.03 99.212, 266861.65 7031895.82 99.202, 266861.84 7031894.84 99.182, 266862.02 7031893.86 99.152, 266862.21 7031892.88 99.132, 266862.63 7031891.94 99.112, 266862.82 7031890.96 99.082, 266863.01 7031889.97 99.062, 266863.19 7031888.98 99.042, 266863.38 7031888 99.012, 266863.57 7031887.02 98.992, 266861.99 7031885.71 98.472, 266862.37 7031884.76 98.642, 266862.74 7031883.81 98.822, 266863.13 7031882.87 98.992, 266863.51 7031881.92 99.172, 266863.9 7031880.98 99.352, 266864.08 7031879.99 99.322, 266864.75 7031879.1 99.802, 266864.94 7031878.12 99.782, 266865.12 7031877.14 99.752, 266865.31 7031876.15 99.732, 266865.5 7031875.17 99.712, 266865.6 7031874.64 99.692, 266865.69 7031874.16 99.682, 266868.33 7031873.56 101.662, 266868.51 7031872.5 101.632, 266868.68 7031871.43 101.612, 266868.83 7031870.37 101.592, 266868.97 7031869.3 101.562, 266869.09 7031868.23 101.542, 266869.21 7031867.16 101.522, 266869.31 7031866.1 101.492, 266869.41 7031865.02 101.472, 266869.49 7031863.95 101.442, 266869.56 7031862.88 101.422, 266869.61 7031861.81 101.402, 266869.66 7031860.73 101.372, 266869.69 7031859.65 101.352, 266869.71 7031858.58 101.332, 266869.72 7031857.51 101.302, 266869.72 7031856.43 101.282, 266869.71 7031855.57 101.262, 266869.71 7031855.36 101.242, 266869.68 7031854.29 101.162, 266869.65 7031853.2 101.072, 266869.6 7031852.13 100.982, 266869.53 7031851.06 100.902, 266869.46 7031849.98 100.812, 266869.37 7031848.92 100.722, 266869.28 7031847.84 100.642, 266869.17 7031846.78 100.552, 266869.09 7031846.11 100.502, 266869.05 7031845.73 100.462, 266868.94 7031844.74 100.382, 266868.82 7031843.74 100.292, 266868.71 7031842.75 100.202, 266868.58 7031841.76 100.122, 266868.47 7031840.76 100.032, 266868.36 7031839.77 99.942, 266868.24 7031838.77 99.862, 266868.14 7031837.92 99.782, 266868.13 7031837.74 99.772, 266868.03 7031837.07 99.732, 266867.93 7031836.41 99.682, 266867.81 7031835.76 99.642, 266867.67 7031835.11 99.602, 266867.52 7031834.45 99.552, 266867.35 7031833.81 99.512, 266867.16 7031833.17 99.512, 266866.96 7031832.53 99.512, 266862.16 7031833.31 95.512)</t>
  </si>
  <si>
    <t>POLYGON Z ((266851.97 7031817.93 95.512, 266852.17 7031818.32 95.512, 266852.37 7031818.73 95.522, 266852.56 7031819.14 95.522, 266852.75 7031819.54 95.522, 266852.93 7031819.96 95.512, 266853.11 7031820.37 95.512, 266853.15 7031820.47 95.532, 266853.49 7031821.28 95.702, 266853.59 7031821.56 95.702, 266853.08 7031821.76 96.522, 266852.83 7031822.6 96.732, 266852.91 7031823.64 96.842, 266853.21 7031824.6 96.872, 266853.52 7031825.54 96.882, 266853.83 7031826.5 96.902, 266854.13 7031827.45 96.922, 266855.08 7031828.17 96.662, 266854.59 7031829.42 97.022, 266854.87 7031830.38 97.052, 266855.15 7031831.35 97.092, 266855.41 7031832.32 97.122, 266855.72 7031833.28 97.142, 266856.12 7031834.19 97.122, 266856.53 7031835.09 97.092, 266858.03 7031834.56 95.862, 266858.08 7031834.8 95.872, 266858.24 7031835.43 95.902, 266858.34 7031835.86 95.912, 266858.44 7031836.29 95.922, 266858.54 7031836.71 95.972, 266858.63 7031837.14 96.012, 266858.74 7031837.56 96.052, 266858.83 7031837.99 96.092, 266858.94 7031838.42 96.122, 266859.04 7031838.84 96.152, 266859.06 7031838.97 96.152, 266859.24 7031839.81 96.202, 266859.42 7031840.8 96.262, 266859.62 7031841.78 96.312, 266859.79 7031842.77 96.382, 266859.94 7031843.76 96.442, 266860.1 7031844.75 96.512, 266860.25 7031845.74 96.592, 266860.36 7031846.74 96.672, 266860.4 7031847.12 96.712, 266860.46 7031847.71 96.772, 266860.56 7031848.69 96.852, 266860.65 7031849.67 96.942, 266860.76 7031850.63 97.022, 266860.81 7031851.61 97.112, 266860.85 7031852.59 97.202, 266860.9 7031853.56 97.292, 266860.94 7031854.54 97.372, 266860.98 7031855.52 97.452, 266860.99 7031855.71 97.462, 266860.96 7031856.5 97.502, 266860.92 7031857.48 97.542, 266860.88 7031858.45 97.582, 266860.83 7031859.43 97.612, 266860.79 7031860.41 97.642, 266860.74 7031861.39 97.672, 266860.7 7031862.35 97.692, 266860.65 7031863.33 97.702, 266860.61 7031864.31 97.712, 266860.56 7031865.28 97.722, 266860.52 7031866.26 97.722, 266860.42 7031867.23 97.742, 266860.28 7031868.2 97.782, 266860.15 7031869.17 97.802, 266860.01 7031870.14 97.832, 266859.87 7031871.12 97.852, 266859.73 7031872.08 97.862, 266859.57 7031873.04 97.882, 266859.48 7031873.48 97.902, 266859.37 7031874.02 97.912, 266859.17 7031874.99 97.942, 266858.96 7031875.97 97.972, 266858.76 7031876.96 98.012, 266858.53 7031877.92 98.052, 266858.27 7031878.89 98.102, 266858 7031879.86 98.162, 266857.74 7031880.83 98.212, 266857.48 7031881.8 98.272, 266857.21 7031882.77 98.332, 266856.93 7031883.73 98.392, 266856.61 7031884.7 98.472, 266856.29 7031885.65 98.552, 266855.97 7031886.61 98.632, 266855.68 7031887.57 98.692, 266855.52 7031888.56 98.712, 266855.36 7031889.55 98.722, 266855.2 7031890.54 98.732, 266855.04 7031891.53 98.752, 266854.88 7031892.51 98.762, 266854.71 7031893.5 98.782, 266854.55 7031894.49 98.792, 266854.52 7031894.69 98.792, 266854.42 7031895.42 98.802, 266854.25 7031896.34 98.802, 266854.08 7031897.25 98.812, 266853.88 7031898.16 98.812, 266853.68 7031899.07 98.812, 266853.49 7031899.79 98.802, 266853.44 7031899.98 98.802, 266853.16 7031900.86 98.812, 266853.32 7031900.93 98.812, 266853.22 7031901.19 98.812, 266852.98 7031901.8 98.812, 266852.78 7031902.3 98.812, 266852.63 7031902.68 98.822, 266852.3 7031903.41 98.822, 266852.26 7031903.54 98.822, 266851.86 7031904.39 98.822, 266851.79 7031904.53 98.832, 266851.29 7031905.16 98.902, 266851.08 7031905.53 98.912, 266850.82 7031905.97 98.922, 266850.45 7031906.57 98.942, 266850.34 7031906.76 98.942, 266849.86 7031907.57 98.952, 266849.84 7031907.63 98.952, 266849.37 7031908.36 98.962, 266849.18 7031908.66 98.962, 266848.85 7031909.13 98.972, 266848.48 7031909.67 98.982, 266848.3 7031909.9 98.992, 266847.74 7031910.65 99.012, 266847.34 7031911.22 99.012, 266847.19 7031911.42 99.012, 266847.06 7031911.59 99.012, 266846.85 7031911.91 99.002, 266846.61 7031912.25 99.002, 266846.43 7031912.51 98.992, 266846.15 7031912.91 98.992, 266846.05 7031913.08 98.992, 266845.84 7031913.35 98.992, 266845.46 7031913.9 98.982, 266845.26 7031914.17 98.982, 266844.97 7031914.57 98.982, 266844.87 7031914.7 98.982, 266844.67 7031914.98 98.982, 266844.27 7031915.5 98.982, 266844.07 7031915.76 98.982, 266843.67 7031916.31 98.992, 266843.46 7031916.57 98.992, 266843.21 7031916.89 98.992, 266843.06 7031917.1 99.002, 266842.86 7031917.36 99.002, 266842.45 7031917.9 99.002, 266842.26 7031918.16 99.002, 266841.85 7031918.71 99.012, 266841.65 7031918.96 99.012, 266841.25 7031919.51 99.012, 266841.06 7031919.76 99.022, 266840.64 7031920.31 99.022, 266840.46 7031920.55 99.022, 266840.02 7031921.09 99.042, 266839.84 7031921.33 99.042, 266839.41 7031921.88 99.052, 266839.22 7031922.11 99.062, 266838.68 7031922.57 99.132, 266838.5 7031922.82 99.132, 266838.08 7031923.39 99.132, 266837.91 7031923.63 99.132, 266837.49 7031924.2 99.132, 266837.32 7031924.44 99.132, 266836.79 7031924.92 99.202, 266836.55 7031925.09 99.232, 266835.91 7031925.51 99.352, 266835.05 7031925.19 99.732, 266834.57 7031925.74 99.762, 266834.38 7031925.95 99.782, 266833.9 7031926.48 99.822, 266833.71 7031926.68 99.842, 266833.25 7031927.24 99.872, 266833.07 7031927.46 99.872, 266832.68 7031928.08 99.862, 266832.56 7031928.31 99.842, 266832.22 7031928.99 99.802, 266832.1 7031929.23 99.792, 266831.86 7031929.68 99.772, 266831.73 7031929.89 99.762, 266831.62 7031930.11 99.752, 266831.21 7031930.74 99.742, 266830.98 7031930.88 99.782, 266830.25 7031931.26 99.952, 266830.06 7031931.44 99.972, 266829.54 7031931.99 100.022, 266829.4 7031932.19 100.032, 266828.95 7031932.81 100.032, 266828.82 7031933.01 100.042, 266828.43 7031933.66 100.022, 266828.34 7031933.82 100.012, 266828.31 7031933.87 100.012, 266827.93 7031934.56 99.992, 266827.83 7031934.77 99.972, 266827.46 7031935.45 99.952, 266827.35 7031935.65 99.942, 266826.95 7031936.23 99.942, 266826.91 7031936.29 99.952, 266826.79 7031936.47 99.952, 266826.34 7031937.12 99.952, 266826.21 7031937.3 99.962, 266825.72 7031937.91 99.992, 266825.6 7031938.08 99.992, 266825.13 7031938.71 100.012, 266824.99 7031938.88 100.022, 266824.52 7031939.51 100.042, 266824.4 7031939.67 100.052, 266823.92 7031940.31 100.072, 266823.79 7031940.47 100.072, 266823.3 7031941.1 100.102, 266823.17 7031941.25 100.112, 266822.64 7031941.87 100.162, 266822.5 7031942 100.172, 266821.93 7031942.59 100.242, 266821.82 7031942.74 100.252, 266821.32 7031943.39 100.272, 266821.22 7031943.53 100.272, 266820.75 7031944.21 100.282, 266820.67 7031944.37 100.282, 266820.3 7031945.12 100.232, 266820.23 7031945.28 100.232, 266819.83 7031946.03 100.192, 266819.74 7031946.17 100.202, 266819.21 7031946.81 100.232, 266819.12 7031946.94 100.242, 266818.49 7031947.52 100.322, 266818.36 7031947.63 100.352, 266817.29 7031947.88 100.652, 266817.21 7031948.02 100.652, 266816.77 7031948.75 100.642, 266816.7 7031948.88 100.632, 266816.35 7031949.46 100.632, 266816.25 7031949.61 100.632, 266816.17 7031949.73 100.632, 266815.69 7031950.44 100.642, 266815.61 7031950.56 100.642, 266815.03 7031951.2 100.702, 266814.94 7031951.3 100.712, 266814.14 7031951.79 100.882, 266814.06 7031951.89 100.892, 266813.55 7031952.6 100.912, 266813.49 7031952.72 100.912, 266813.2 7031953.21 100.902, 266813.03 7031953.46 100.902, 266812.96 7031953.58 100.902, 266812.48 7031954.31 100.912, 266812.41 7031954.41 100.912, 266812.01 7031954.91 100.942, 266811.87 7031955.1 100.952, 266811.76 7031955.16 100.972, 266811.2 7031955.86 101.022, 266811.14 7031955.94 101.022, 266810.61 7031956.66 101.052, 266810.54 7031956.75 101.052, 266810.34 7031957.01 101.062, 266810 7031957.47 101.082, 266809.94 7031957.55 101.082, 266809.35 7031958.23 101.142, 266809.28 7031958.31 101.152, 266808.62 7031958.94 101.242, 266808.55 7031959.01 101.252, 266807.9 7031959.65 101.342, 266807.83 7031959.72 101.352, 266807.22 7031960.41 101.412, 266807.17 7031960.48 101.412, 266806.89 7031960.89 101.422, 266806.68 7031961.24 101.422, 266806.64 7031961.32 101.422, 266806.18 7031962.13 101.402, 266806.15 7031962.2 101.392, 266805.73 7031963.04 101.352, 266805.7 7031963.12 101.352, 266805.34 7031964 101.282, 266805.32 7031964.07 101.282, 266804.95 7031964.96 101.212, 266804.91 7031965.02 101.212, 266804.89 7031965.08 101.212, 266804.53 7031965.89 101.152, 266804.51 7031965.95 101.152, 266804.05 7031966.78 101.132, 266804.02 7031966.83 101.132, 266803.52 7031967.64 101.132, 266803.49 7031967.69 101.132, 266802.79 7031968.34 101.232, 266802.75 7031968.38 101.242, 266802.06 7031969.05 101.342, 266802.02 7031969.09 101.342, 266801.68 7031969.44 101.382, 266801.37 7031969.79 101.412, 266801.34 7031969.83 101.422, 266800.71 7031970.55 101.482, 266800.09 7031971.34 101.522, 266799.98 7031971.52 101.532, 266799.91 7031971.62 101.532, 266799.57 7031972.13 101.532, 266799.55 7031972.19 101.532, 266799.32 7031972.56 101.532, 266799.12 7031972.87 101.532, 266799.01 7031973.04 101.542, 266798.64 7031973.65 101.552, 266798.48 7031973.89 101.552, 266798.17 7031974.4 101.562, 266797.96 7031974.75 101.572, 266797.7 7031975.15 101.582, 266797.55 7031975.41 101.582, 266797.43 7031975.61 101.582, 266797.25 7031975.91 101.592, 266796.9 7031976.46 101.612, 266796.76 7031976.66 101.622, 266796.52 7031977.03 101.632, 266796.35 7031977.3 101.642, 266796.28 7031977.4 101.652, 266795.77 7031978.13 101.692, 266795.28 7031978.86 101.742, 266795.23 7031978.92 101.742, 266794.81 7031979.54 101.782, 266794.61 7031979.84 101.802, 266794.32 7031980.23 101.842, 266794.13 7031980.5 101.872, 266791.94 7031979.38 103.022, 266791.81 7031979.64 103.032, 266791.44 7031980.39 103.062, 266791.04 7031981.23 103.102, 266790.96 7031981.4 103.112, 266790.67 7031982.03 103.142, 266790.51 7031982.42 103.152, 266790.32 7031982.85 103.172, 266790.06 7031983.45 103.202, 266789.97 7031983.67 103.212, 266789.65 7031984.48 103.242, 266789.31 7031985.32 103.282, 266789.24 7031985.52 103.292, 266789.01 7031986.15 103.312, 266788.87 7031986.56 103.332, 266788.72 7031986.99 103.352, 266788.5 7031987.6 103.382, 266788.42 7031987.82 103.383, 266788.16 7031988.65 103.423, 266787.89 7031989.52 103.453, 266787.83 7031989.71 103.463, 266787.65 7031990.38 103.493, 266787.53 7031990.77 103.513, 266787.41 7031991.24 103.533, 266787.25 7031991.83 103.553, 266787.19 7031992.1 103.563, 266786.99 7031992.89 103.593, 266786.97 7031992.95 103.603, 266786.77 7031993.83 103.633, 266786.75 7031993.96 103.643, 266786.58 7031994.69 103.673, 266786.52 7031995.03 103.683, 266786.41 7031995.56 103.703, 266786.31 7031996.1 103.723, 266786.25 7031996.43 103.743, 266786.12 7031997.17 103.773, 266786.11 7031997.32 103.773, 266785.97 7031998.18 103.813, 266785.96 7031998.24 103.813, 266785.85 7031999.06 103.843, 266785.81 7031999.32 103.853, 266785.74 7031999.94 103.883, 266785.69 7032000.4 103.903, 266785.64 7032000.83 103.913, 266785.58 7032001.48 103.943, 266785.55 7032001.71 103.953, 266785.49 7032002.55 103.983, 266785.43 7032003.49 104.023, 266785.42 7032003.62 104.033, 266785.38 7032004.37 104.063, 266785.37 7032004.7 104.073, 266785.35 7032005.26 104.093, 266785.33 7032005.77 104.113, 266785.33 7032006.14 104.133, 266785.32 7032006.85 104.163, 266785.32 7032007.04 104.163, 266785.32 7032007.92 104.203, 266785.35 7032008.81 104.233, 266785.35 7032009 104.243, 266785.38 7032009.71 104.273, 266785.39 7032010.07 104.283, 266785.42 7032010.59 104.303, 266785.45 7032011.14 104.333, 266785.48 7032011.48 104.343, 266785.49 7032011.62 104.343, 266785.52 7032012.02 104.363, 266785.54 7032012.2 104.373, 266785.55 7032012.36 104.373, 266785.57 7032012.54 104.383, 266785.63 7032013.21 104.413, 266785.65 7032013.47 104.423, 266785.73 7032014.13 104.453, 266785.75 7032014.32 104.453, 266785.76 7032014.38 104.463, 266785.84 7032015 104.483, 266785.88 7032015.32 104.493, 266785.88 7032015.38 104.503, 266785.91 7032015.54 104.503, 266785.95 7032015.88 104.523, 266786.01 7032016.23 104.533, 266786.04 7032016.44 104.543, 266786.08 7032016.7 104.553, 266786.09 7032016.76 104.553, 266786.15 7032017.16 104.573, 266786.21 7032017.49 104.583, 266786.24 7032017.65 104.593, 266786.28 7032017.86 104.603, 266786.32 7032018.07 104.603, 266786.4 7032018.52 104.623, 266786.5 7032019.02 104.643, 266786.57 7032019.38 104.663, 266786.61 7032019.57 104.673, 266786.68 7032019.91 104.683, 266786.73 7032020.16 104.693, 266786.75 7032020.25 104.693, 266786.84 7032020.61 104.713, 266786.88 7032020.81 104.723, 266786.94 7032021.12 104.733, 266786.99 7032021.31 104.743, 266787.07 7032021.65 104.753, 266787.09 7032021.72 104.753, 266787.16 7032021.98 104.763, 266787.28 7032022.46 104.783, 266787.33 7032022.63 104.793, 266787.34 7032022.68 104.793, 266787.38 7032022.85 104.803, 266787.57 7032023.53 104.833, 266787.59 7032023.6 104.833, 266787.62 7032023.7 104.833, 266787.83 7032024.42 104.863, 266787.86 7032024.55 104.873, 266787.92 7032024.71 104.883, 266788.09 7032025.32 104.903, 266788.12 7032025.4 104.903, 266788.23 7032025.73 104.923, 266788.26 7032025.86 104.923, 266788.38 7032026.2 104.943, 266788.39 7032026.25 104.943, 266788.56 7032026.74 104.963, 266788.64 7032026.97 104.973, 266788.68 7032027.09 104.983, 266788.9 7032027.73 105.003, 266788.97 7032027.92 105.013, 266789.02 7032028.06 105.023, 266789.27 7032028.73 105.053, 266789.29 7032028.79 105.053, 266789.41 7032029.12 105.063, 266789.6 7032029.58 105.083, 266789.65 7032029.71 105.093, 266789.83 7032030.16 105.113, 266789.94 7032030.41 105.123, 266790.04 7032030.69 105.133, 266790.26 7032031.2 105.153, 266790.29 7032031.27 105.153, 266790.47 7032031.65 105.173, 266790.63 7032032.04 105.193, 266790.66 7032032.08 105.193, 266790.72 7032032.23 105.203, 266790.89 7032032.62 105.213, 266791 7032032.86 105.223, 266791.19 7032033.24 105.243, 266791.34 7032033.57 105.253, 266791.38 7032033.66 105.263, 266791.68 7032034.26 105.293, 266791.76 7032034.44 105.293, 266791.8 7032034.5 105.303, 266792.17 7032035.24 105.333, 266792.19 7032035.29 105.333, 266792.28 7032035.45 105.343, 266792.59 7032036.02 105.363, 266792.61 7032036.08 105.373, 266792.71 7032036.25 105.383, 266792.78 7032036.38 105.383, 266793.01 7032036.81 105.403, 266793.05 7032036.87 105.403, 266793.25 7032037.23 105.423, 266793.29 7032037.3 105.423, 266793.45 7032037.58 105.443, 266793.48 7032037.64 105.443, 266793.82 7032038.21 105.463, 266793.89 7032038.34 105.473, 266793.92 7032038.4 105.473, 266793.96 7032038.46 105.483, 266794.35 7032039.11 105.513, 266794.4 7032039.17 105.513, 266794.83 7032039.86 105.543, 266794.86 7032039.92 105.543, 266794.91 7032040.01 105.553, 266794.99 7032040.12 105.553, 266795.3 7032040.6 105.583, 266795.34 7032040.67 105.583, 266795.43 7032040.79 105.583, 266795.48 7032040.89 105.593, 266796.75 7032040.07 103.553, 266800.14 7032044.41 103.683, 266808.59 7032053.58 104.113, 266814.05 7032054.39 106.343, 266814.17 7032054.04 106.373, 266814.21 7032053.9 106.373, 266814.36 7032053.49 106.403, 266814.49 7032053.09 106.433, 266814.65 7032052.58 106.483, 266814.8 7032052.04 106.523, 266814.86 7032051.66 106.543, 266814.89 7032051.28 106.563, 266814.93 7032050.9 106.583, 266814.94 7032050.52 106.603, 266814.9 7032050.14 106.613, 266814.84 7032049.76 106.613, 266814.77 7032049.39 106.623, 266814.7 7032049.01 106.623, 266814.77 7032048.62 107.113, 266814.83 7032048.15 107.653, 266814.84 7032047.72 108.053, 266814.85 7032047.3 108.453, 266814.79 7032046.87 108.733, 266814.73 7032046.45 109.013, 266814.66 7032046.03 109.283, 266814.57 7032045.62 109.563, 266814.47 7032045.29 109.693, 266814.4 7032045.11 109.783, 266814.38 7032045.04 109.813, 266814.12 7032044.36 110.073, 266813.98 7032043.99 110.173, 266813.81 7032043.54 110.113, 266813.64 7032043.11 110.063, 266813.46 7032042.69 110.003, 266813.27 7032042.28 109.943, 266813.03 7032041.73 109.753, 266813.01 7032041.49 109.593, 266812.95 7032040.96 109.113, 266813.23 7032040.56 108.933, 266813.1 7032040.43 108.923, 266812.74 7032040.06 108.903, 266812.69 7032040 108.893, 266812.63 7032039.94 108.893, 266812.15 7032039.43 108.853, 266812.1 7032039.37 108.853, 266811.69 7032038.93 108.813, 266811.51 7032038.73 108.803, 266811.24 7032038.42 108.783, 266810.94 7032038.08 108.753, 266810.78 7032037.89 108.743, 266810.38 7032037.42 108.713, 266810.35 7032037.37 108.703, 266809.91 7032036.84 108.673, 266809.84 7032036.76 108.663, 266809.49 7032036.31 108.633, 266809.3 7032036.07 108.623, 266809.07 7032035.76 108.593, 266808.79 7032035.38 108.573, 266808.66 7032035.21 108.563, 266808.28 7032034.68 108.523, 266807.87 7032034.1 108.483, 266807.78 7032033.97 108.483, 266807.49 7032033.53 108.453, 266807.3 7032033.26 108.433, 266807.1 7032032.95 108.413, 266806.83 7032032.54 108.383, 266806.74 7032032.37 108.383, 266806.38 7032031.79 108.343, 266806.05 7032031.25 108.303, 266806.02 7032031.21 108.303, 266805.94 7032031.05 108.293, 266805.69 7032030.61 108.273, 266805.51 7032030.31 108.253, 266805.35 7032030.02 108.233, 266805.09 7032029.54 108.203, 266805.02 7032029.42 108.193, 266804.7 7032028.81 108.163, 266804.39 7032028.19 108.123, 266804.31 7032028.01 108.113, 266804.09 7032027.59 108.083, 266803.93 7032027.23 108.063, 266803.8 7032026.96 108.053, 266803.58 7032026.44 108.023, 266803.52 7032026.33 108.013, 266803.25 7032025.71 107.973, 266803.23 7032025.65 107.973, 266802.98 7032025.08 107.943, 266802.89 7032024.86 107.923, 266802.73 7032024.44 107.903, 266802.58 7032024.05 107.883, 266802.48 7032023.8 107.863, 266802.28 7032023.23 107.833, 266802.25 7032023.16 107.833, 266802.03 7032022.51 107.793, 266801.99 7032022.43 107.793, 266801.81 7032021.86 107.753, 266801.72 7032021.6 107.743, 266801.6 7032021.21 107.723, 266801.47 7032020.78 107.693, 266801.4 7032020.55 107.683, 266801.23 7032019.95 107.653, 266801.21 7032019.9 107.643, 266801.03 7032019.23 107.613, 266801 7032019.11 107.603, 266800.87 7032018.57 107.573, 266800.79 7032018.28 107.563, 266800.7 7032017.91 107.533, 266800.6 7032017.43 107.513, 266800.55 7032017.24 107.503, 266800.41 7032016.59 107.463, 266800.27 7032015.9 107.433, 266800.25 7032015.74 107.423, 266800.16 7032015.22 107.393, 266800.1 7032014.89 107.373, 266800.05 7032014.55 107.353, 266799.97 7032014.04 107.323, 266799.94 7032013.88 107.323, 266799.85 7032013.19 107.283, 266799.77 7032012.52 107.243, 266799.75 7032012.33 107.233, 266799.69 7032011.83 107.213, 266799.66 7032011.46 107.193, 266799.63 7032011.15 107.173, 266799.59 7032010.6 107.143, 266799.57 7032010.46 107.133, 266799.53 7032009.78 107.103, 266799.5 7032009.1 107.063, 266799.49 7032008.87 107.053, 266799.47 7032008.42 107.023, 266799.46 7032008.01 107.003, 266799.46 7032007.74 106.993, 266799.45 7032007.15 106.963, 266799.45 7032007.05 106.953, 266799.46 7032006.36 106.913, 266799.46 7032006.28 106.913, 266799.47 7032005.68 106.883, 266799.49 7032005.43 106.863, 266799.5 7032005 106.843, 266799.52 7032004.56 106.823, 266799.54 7032004.32 106.813, 266799.58 7032003.7 106.773, 266799.58 7032003.63 106.773, 266799.64 7032002.95 106.733, 266799.65 7032002.84 106.733, 266799.39 7032002.24 106.383, 266799.25 7032001.92 106.203, 266799.08 7032001.51 105.963, 266798.88 7032001 105.673, 266798.79 7032000.76 105.543, 266798.52 7032000.05 105.153, 266798.25 7031999.26 104.713, 266798.18 7031999.1 104.623, 266797.99 7031998.49 104.303, 266797.87 7031998.12 104.103, 266797.74 7031997.72 103.883, 266797.57 7031997.14 103.573, 266797.51 7031996.93 103.463, 266797.29 7031996.14 103.043, 266797.09 7031995.34 102.633, 266797.03 7031995.13 102.523, 266796.89 7031994.54 102.213, 266796.79 7031994.1 101.993, 266796.71 7031993.72 101.803, 266796.57 7031993.06 101.463, 266796.62 7031992.2 102.343, 266796.91 7031991.54 102.303, 266796.98 7031991.36 102.303, 266797.21 7031990.87 102.273, 266797.36 7031990.53 102.253, 266797.52 7031990.2 102.243, 266797.75 7031989.7 102.213, 266797.84 7031989.54 102.203, 266798.17 7031988.89 102.173, 266798.51 7031988.24 102.143, 266798.6 7031988.07 102.133, 266798.85 7031987.61 102.113, 266799.04 7031987.28 102.093, 266799.22 7031986.97 102.073, 266799.5 7031986.48 102.053, 266799.58 7031986.35 102.043, 266799.96 7031985.73 102.013, 266800.35 7031985.12 101.973, 266800.47 7031984.92 101.963, 266800.59 7031984.75 101.953, 266800.74 7031984.52 101.943, 266800.97 7031984.16 101.923, 266801.15 7031983.91 101.913, 266801.49 7031983.41 101.883, 266801.57 7031983.32 101.873, 266802.07 7031982.6 101.843, 266802.59 7031981.89 101.803, 266802.65 7031981.79 101.803, 266802.84 7031981.53 101.783, 266803.09 7031981.17 101.763, 266803.24 7031980.97 101.753, 266803.61 7031980.45 101.733, 266803.81 7031980.17 101.713, 266803.95 7031979.97 101.703, 266804.11 7031979.74 101.693, 266804.39 7031979.35 101.673, 266804.63 7031979.01 101.653, 266804.98 7031978.54 101.633, 266805.14 7031978.3 101.623, 266805.55 7031977.73 101.593, 266805.66 7031977.58 101.583, 266805.88 7031977.27 101.573, 266806.13 7031976.92 101.563, 266806.17 7031976.87 101.553, 266806.52 7031976.37 101.543, 266806.59 7031976.28 101.533, 266806.7 7031976.14 101.533, 266807.28 7031975.33 101.503, 266807.86 7031974.52 101.473, 266808.15 7031974.12 101.453, 266808.43 7031973.72 101.443, 266808.47 7031973.68 101.443, 266809.02 7031972.91 101.413, 266809.05 7031972.87 101.413, 266809.6 7031972.12 101.383, 266809.63 7031972.06 101.383, 266810.19 7031971.31 101.353, 266810.22 7031971.25 101.353, 266810.77 7031970.5 101.323, 266810.81 7031970.44 101.323, 266811.31 7031969.75 101.303, 266811.35 7031969.7 101.293, 266811.4 7031969.64 101.293, 266811.94 7031968.89 101.273, 266811.99 7031968.84 101.263, 266812.52 7031968.09 101.243, 266812.57 7031968.03 101.233, 266813.11 7031967.28 101.213, 266813.16 7031967.22 101.203, 266813.7 7031966.48 101.183, 266813.75 7031966.42 101.183, 266813.99 7031966.09 101.163, 266814.28 7031965.69 101.153, 266814.34 7031965.61 101.153, 266814.87 7031964.88 101.123, 266814.92 7031964.8 101.123, 266815.46 7031964.08 101.093, 266815.51 7031964 101.093, 266816.05 7031963.28 101.063, 266816.11 7031963.19 101.063, 266816.63 7031962.48 101.033, 266816.7 7031962.39 101.033, 266817.03 7031961.94 101.013, 266817.22 7031961.68 101.003, 266817.29 7031961.6 101.003, 266817.82 7031960.87 100.973, 266817.88 7031960.79 100.973, 266818.4 7031960.08 100.953, 266818.47 7031959.99 100.943, 266818.61 7031959.8 100.933, 266819 7031959.27 100.923, 266819.07 7031959.19 100.913, 266819.59 7031958.49 100.893, 266819.67 7031958.38 100.883, 266819.84 7031958.13 100.873, 266820.18 7031957.69 100.863, 266820.25 7031957.58 100.853, 266820.77 7031956.89 100.833, 266820.85 7031956.78 100.823, 266821.36 7031956.09 100.803, 266821.45 7031955.98 100.803, 266821.96 7031955.29 100.773, 266822.04 7031955.18 100.773, 266822.55 7031954.5 100.743, 266822.64 7031954.38 100.743, 266822.75 7031954.24 100.733, 266823.15 7031953.7 100.713, 266823.24 7031953.58 100.713, 266823.74 7031952.91 100.683, 266823.83 7031952.78 100.683, 266824.33 7031952.11 100.653, 266824.43 7031951.98 100.653, 266824.93 7031951.31 100.623, 266825.03 7031951.18 100.623, 266825.53 7031950.52 100.603, 266825.63 7031950.39 100.593, 266826.13 7031949.72 100.573, 266826.23 7031949.59 100.563, 266826.72 7031948.93 100.543, 266826.84 7031948.79 100.533, 266827.33 7031948.14 100.513, 266827.44 7031948 100.503, 266827.92 7031947.35 100.483, 266828.03 7031947.2 100.473, 266828.53 7031946.55 100.453, 266828.63 7031946.4 100.443, 266829.12 7031945.76 100.423, 266829.24 7031945.61 100.423, 266829.72 7031944.97 100.393, 266829.84 7031944.81 100.393, 266830.32 7031944.18 100.363, 266830.45 7031944.02 100.363, 266830.92 7031943.39 100.333, 266831.05 7031943.23 100.333, 266831.53 7031942.6 100.303, 266831.66 7031942.43 100.303, 266832.13 7031941.81 100.283, 266832.26 7031941.64 100.273, 266832.73 7031941.02 100.253, 266832.86 7031940.85 100.243, 266832.92 7031940.78 100.243, 266833.34 7031940.23 100.223, 266833.47 7031940.06 100.213, 266833.94 7031939.44 100.193, 266834.08 7031939.26 100.183, 266834.55 7031938.65 100.163, 266834.68 7031938.47 100.153, 266835.15 7031937.87 100.133, 266835.29 7031937.67 100.123, 266835.76 7031937.08 100.103, 266835.9 7031936.88 100.093, 266836.36 7031936.3 100.073, 266836.51 7031936.09 100.063, 266836.97 7031935.51 100.043, 266837.1 7031935.33 100.043, 266837.58 7031934.72 100.013, 266837.73 7031934.52 100.013, 266837.88 7031934.33 100.003, 266838.19 7031933.94 99.983, 266838.34 7031933.73 99.983, 266838.79 7031933.14 99.953, 266838.96 7031932.94 99.953, 266839.39 7031932.36 99.933, 266839.57 7031932.15 99.923, 266840.01 7031931.57 99.903, 266840.18 7031931.37 99.893, 266840.61 7031930.79 99.873, 266840.78 7031930.58 99.863, 266841.21 7031930.02 99.843, 266841.4 7031929.78 99.833, 266841.84 7031929.22 99.823, 266842.01 7031929 99.823, 266842.45 7031928.44 99.813, 266842.63 7031928.21 99.803, 266843.06 7031927.66 99.793, 266843.24 7031927.43 99.793, 266843.67 7031926.88 99.783, 266843.86 7031926.64 99.773, 266844.29 7031926.1 99.763, 266844.47 7031925.86 99.763, 266844.9 7031925.3 99.753, 266845.09 7031925.08 99.743, 266845.51 7031924.53 99.733, 266845.71 7031924.28 99.733, 266846.13 7031923.75 99.723, 266846.32 7031923.5 99.713, 266846.74 7031922.97 99.703, 266846.94 7031922.72 99.703, 266847.36 7031922.19 99.693, 266847.56 7031921.94 99.683, 266847.98 7031921.41 99.673, 266848.18 7031921.16 99.673, 266848.33 7031920.96 99.663, 266848.59 7031920.63 99.653, 266848.8 7031920.38 99.653, 266849.21 7031919.84 99.643, 266849.42 7031919.59 99.633, 266849.82 7031919.07 99.623, 266850.04 7031918.81 99.623, 266850.14 7031918.68 99.623, 266850.44 7031918.29 99.613, 266850.66 7031918.03 99.603, 266851.06 7031917.51 99.593, 266851.28 7031917.25 99.593, 266851.41 7031917.1 99.593, 266851.71 7031916.71 99.583, 266851.9 7031916.47 99.573, 266852.16 7031916.15 99.573, 266852.4 7031915.85 99.563, 266852.52 7031915.68 99.563, 266852.68 7031915.49 99.553, 266853.2 7031914.84 99.543, 266853.86 7031913.95 99.533, 266854.06 7031913.68 99.523, 266854.5 7031913.06 99.513, 266854.88 7031912.49 99.502, 266855.11 7031912.13 99.502, 266855.67 7031911.27 99.482, 266855.71 7031911.2 99.482, 266856.28 7031910.26 99.472, 266856.42 7031910.02 99.462, 266856.84 7031909.29 99.452, 266857.12 7031908.77 99.442, 266857.36 7031908.32 99.432, 266857.78 7031907.49 99.422, 266857.86 7031907.33 99.422, 266858.34 7031906.33 99.402, 266858.39 7031906.19 99.402, 266858.78 7031905.32 99.392, 266858.96 7031904.88 99.382, 266859.2 7031904.29 99.372, 266859.49 7031903.56 99.362, 266859.6 7031903.27 99.362, 266859.98 7031902.22 99.342, 266860.05 7031902.01 99.342, 266860.32 7031901.17 99.322, 266860.65 7031900.11 99.302, 266860.94 7031899.05 99.272, 266861.2 7031897.97 99.252, 266861.44 7031896.89 99.232, 266861.61 7031896.03 99.212, 266861.65 7031895.82 99.202, 266861.84 7031894.84 99.182, 266862.02 7031893.86 99.152, 266862.21 7031892.88 99.132, 266862.63 7031891.94 99.112, 266862.82 7031890.96 99.082, 266863.01 7031889.97 99.062, 266863.19 7031888.98 99.042, 266863.38 7031888 99.012, 266863.57 7031887.02 98.992, 266861.99 7031885.71 98.472, 266862.37 7031884.76 98.642, 266862.74 7031883.81 98.822, 266863.13 7031882.87 98.992, 266863.51 7031881.92 99.172, 266863.9 7031880.98 99.352, 266864.08 7031879.99 99.322, 266864.75 7031879.1 99.802, 266864.94 7031878.12 99.782, 266865.12 7031877.14 99.752, 266865.31 7031876.15 99.732, 266865.5 7031875.17 99.712, 266865.6 7031874.64 99.692, 266865.69 7031874.16 99.682, 266868.33 7031873.56 101.662, 266868.51 7031872.5 101.632, 266868.68 7031871.43 101.612, 266868.83 7031870.37 101.592, 266868.97 7031869.3 101.562, 266869.09 7031868.23 101.542, 266869.21 7031867.16 101.522, 266869.31 7031866.1 101.492, 266869.41 7031865.02 101.472, 266869.49 7031863.95 101.442, 266869.56 7031862.88 101.422, 266869.61 7031861.81 101.402, 266869.66 7031860.73 101.372, 266869.69 7031859.65 101.352, 266869.71 7031858.58 101.332, 266869.72 7031857.51 101.302, 266869.72 7031856.43 101.282, 266869.71 7031855.57 101.262, 266869.71 7031855.36 101.242, 266869.68 7031854.29 101.162, 266869.65 7031853.2 101.072, 266869.6 7031852.13 100.982, 266869.53 7031851.06 100.902, 266869.46 7031849.98 100.812, 266869.37 7031848.92 100.722, 266869.28 7031847.84 100.642, 266869.17 7031846.78 100.552, 266869.09 7031846.11 100.502, 266869.05 7031845.73 100.462, 266868.94 7031844.74 100.382, 266868.82 7031843.74 100.292, 266868.71 7031842.75 100.202, 266868.58 7031841.76 100.122, 266868.47 7031840.76 100.032, 266868.36 7031839.77 99.942, 266868.24 7031838.77 99.862, 266868.14 7031837.92 99.782, 266868.13 7031837.74 99.772, 266868.03 7031837.07 99.732, 266867.93 7031836.41 99.682, 266867.81 7031835.76 99.642, 266867.67 7031835.11 99.602, 266867.52 7031834.45 99.552, 266867.35 7031833.81 99.512, 266867.16 7031833.17 99.512, 266866.96 7031832.53 99.512, 266862.16 7031833.31 95.512, 266851.97 7031817.93 95.512))</t>
  </si>
  <si>
    <t>['FV6682 S1D1 m2588-2589']</t>
  </si>
  <si>
    <t>LINESTRING Z (266860.25 7031833.72 95.512, 266862.16 7031833.31 95.512)</t>
  </si>
  <si>
    <t>POLYGON ((266862.2649393325 7031833.798863719, 266862.05506066745 7031832.82113628, 266860.1450606675 7031833.23113628, 266860.3549393325 7031834.208863719, 266862.2649393325 7031833.798863719))</t>
  </si>
  <si>
    <t>['FV6682 S1D1 m2449-2548']</t>
  </si>
  <si>
    <t>LINESTRING Z (266840.65 7031792.45 95.702, 266838.61 7031792.97 95.332, 266837.94 7031792.2 95.492, 266837.27 7031791.43 95.642, 266836.58 7031790.66 95.802, 266835.89 7031789.9 95.962, 266835.18 7031789.15 96.122, 266834.43 7031788.46 96.082, 266833.66 7031787.77 96.042, 266832.89 7031787.1 96.002, 266832.43 7031786.05 97.462, 266831.64 7031785.38 97.422, 266830.85 7031784.73 97.382, 266830.04 7031784.08 97.342, 266829.24 7031783.43 97.302, 266828.42 7031782.8 97.262, 266827.8 7031781.92 98.222, 266826.96 7031781.29 98.182, 266826.18 7031780.72 98.142, 266825.4 7031780.13 98.092, 266824.63 7031779.54 98.052, 266823.86 7031778.95 98.012, 266823.1 7031778.34 97.972, 266822.34 7031777.74 97.932, 266821.59 7031777.11 97.892, 266820.84 7031776.49 97.852, 266820.1 7031775.87 97.812, 266819.36 7031775.23 97.772, 266818.63 7031774.59 97.732, 266817.91 7031773.94 97.692, 266817.18 7031773.29 97.652, 266816.83 7031772.96 97.632, 266816.47 7031772.63 97.622, 266815.76 7031771.96 97.592, 266815.06 7031771.29 97.562, 266814.36 7031770.62 97.532, 266813.66 7031769.94 97.512, 266812.73 7031769.48 96.482, 266812.06 7031768.78 96.452, 266811.38 7031768.08 96.432, 266810.71 7031767.37 96.402, 266810.04 7031766.66 96.372, 266809.38 7031765.94 96.342, 266808.73 7031765.22 96.322, 266808.07 7031764.49 96.292, 266807.43 7031763.76 96.262, 266806.8 7031763.01 96.232, 266806.17 7031762.27 96.212, 266805.55 7031761.52 96.182, 266804.93 7031760.77 96.152, 266804.32 7031760 96.132, 266803.71 7031759.23 96.102, 266803.12 7031758.47 96.072, 266802.52 7031757.69 96.042, 266801.94 7031756.91 96.022, 266801.36 7031756.13 95.992, 266800.98 7031755.6 95.972, 266800.78 7031755.33 95.962, 266800.2 7031754.52 95.932, 266799.62 7031753.71 95.912, 266799.03 7031752.89 95.882, 266798.45 7031752.08 95.852, 266797.87 7031751.27 95.822, 266797.28 7031750.46 95.802, 266796.7 7031749.65 95.772, 266796.11 7031748.83 95.742, 266795.53 7031748.02 95.722, 266794.96 7031747.21 95.692, 266794.38 7031746.39 95.662, 266795.18 7031744.59 95.132, 266794.6 7031743.78 95.112, 266794.02 7031742.97 95.082, 266793.44 7031742.15 95.052, 266792.87 7031741.34 95.022, 266792.29 7031740.53 95.002, 266791.71 7031739.71 94.972, 266791.13 7031738.9 94.942, 266790.55 7031738.08 94.922, 266789.97 7031737.27 94.892, 266789.23 7031736.56 94.662, 266788.49 7031735.87 94.432, 266787.75 7031735.17 94.212, 266787.01 7031734.47 93.982, 266786.27 7031733.77 93.752, 266785.7 7031732.95 93.722, 266785.12 7031732.14 93.702, 266784.55 7031731.32 93.672, 266783.97 7031730.5 93.642, 266783.39 7031729.69 93.612, 266782.82 7031728.86 93.592, 266782.24 7031728.04 93.562, 266781.67 7031727.22 93.532, 266781.1 7031726.41 93.512, 266780.52 7031725.59 93.482, 266779.79 7031724.89 93.252, 266779.05 7031724.18 93.022, 266778.31 7031723.48 92.802, 266777.59 7031722.77 92.572, 266776.85 7031722.07 92.342, 266777.75 7031720.23 92.812)</t>
  </si>
  <si>
    <t>POLYGON ((266838.78499332356 7031792.409405727, 266838.31719728047 7031791.871789379, 266837.64719728066 7031791.1017893795, 266837.64236759243 7031791.096319949, 266836.9523675924 7031790.32631995, 266836.9501903611 7031790.32390612, 266836.2601903611 7031789.56390612, 266836.25310353586 7031789.5562619865, 266835.54310353583 7031788.8062619865, 266835.51852826553 7031788.782034495, 266834.76852826553 7031788.0920344945, 266834.7636800505 7031788.087632407, 266833.9936800505 7031787.397632407, 266833.9882106207 7031787.392802719, 266833.30292001454 7031786.796510893, 266832.8879785057 7031785.849361797, 266832.8678750157 7031785.808617584, 266832.8441560074 7031785.769866457, 266832.81701732747 7031785.733428383, 266832.7866830592 7031785.69960423, 266832.7534036715 7031785.6686732825, 266831.9634036715 7031784.998673283, 266831.95768228336 7031784.993893839, 266831.1676822833 7031784.34389384, 266831.16293428943 7031784.340035732, 266830.35411816865 7031783.690985758, 266829.55529631267 7031783.041943, 266829.5446216529 7031783.033508324, 266828.78493493696 7031782.449846579, 266828.2087412165 7031781.632023234, 266828.1764698827 7031781.590955281, 266828.1400904857 7031781.553477884, 266828.1 7031781.52, 266827.26 7031780.89, 266827.2550082948 7031780.886304439, 266826.47834122763 7031780.318740044, 266825.7028733952 7031779.732168222, 266824.1685793535 7031778.55654032, 266823.4129728181 7031777.950066653, 266823.40982214414 7031777.947558617, 266822.6557819071 7031777.352263694, 266821.9115960432 7031776.727147568, 266821.90857349173 7031776.7246288415, 266821.15984525107 7031776.105680162, 266820.4241128263 7031775.489255698, 266819.6883501189 7031774.852920384, 266818.9623517301 7031774.216428646, 266818.2450515462 7031773.56886598, 266818.2424993056 7031773.566577704, 266817.51782148017 7031772.921316626, 266817.1730064344 7031772.596205297, 266817.16786231427 7031772.591422929, 266816.81052965886 7031772.263867996, 266816.10444921866 7031771.597566735, 266814.7070653576 7031770.260070753, 266814.008392842 7031769.58136031, 266813.96933552553 7031769.547174934, 266813.92694466823 7031769.51722282, 266813.8816770936 7031769.491826746, 266813.03044553136 7031769.070787478, 266812.4212088437 7031768.434271536, 266812.4186396905 7031768.431607158, 266811.74116308644 7031767.734204771, 266811.0736485856 7031767.026838658, 266810.4061320021 7031766.3194703385, 266809.74986084475 7031765.603538168, 266809.1011340208 7031764.884948454, 266808.4434504726 7031764.15751039, 266807.80945317633 7031763.434357223, 266807.18285243236 7031762.688403957, 266807.18071566167 7031762.685877207, 266806.5530635083 7031761.948634994, 266805.31868753175 7031760.455438249, 266804.1034472696 7031758.921446444, 266803.5156357787 7031758.1642655395, 266802.91879810544 7031757.388376565, 266801.7638200166 7031755.835130169, 266801.3863480525 7031755.308656113, 266801.38177859643 7031755.302386224, 266801.18417928106 7031755.035627149, 266800.6065273468 7031754.228906344, 266800.02652734664 7031753.418906344, 266800.0258610291 7031753.41797804, 266799.43619470944 7031752.598441798, 266798.85652734665 7031751.788906344, 266798.2765273468 7031750.978906344, 266798.27415216964 7031750.975617555, 266797.68534643925 7031750.167257146, 266797.10652734665 7031749.3589063445, 266797.1058610291 7031749.35797804, 266796.5161947457 7031748.53844185, 266795.93772213795 7031747.730574931, 266795.36890320963 7031746.922253297, 266795.3682078198 7031746.92126764, 266794.95234699856 7031746.3333264785, 266795.6369057743 7031744.793069233, 266795.6540306779 7031744.749043756, 266795.6669243744 7031744.703598651, 266795.6754717743 7031744.657139562, 266795.67959658324 7031744.610081185, 266795.6792619832 7031744.562843562, 266795.6744709608 7031744.515848338, 266795.66526628076 7031744.469514993, 266795.65173010423 7031744.424257101, 266795.6339832555 7031744.380478632, 266795.61218414316 7031744.3385703545, 266795.58652734663 7031744.298906344, 266795.0065273466 7031743.488906344, 266794.42737096385 7031742.680084499, 266793.8485561991 7031741.861760177, 266793.2789032097 7031741.052253297, 266793.27652734664 7031741.048906344, 266792.6973709923 7031740.240084539, 266792.1182078198 7031739.42126764, 266792.11652734666 7031739.418906344, 266791.5373709923 7031738.610084539, 266790.9582078198 7031737.79126764, 266790.9565273468 7031737.788906344, 266790.3765273468 7031736.978906344, 266790.34795588773 7031736.942663251, 266790.31616441085 7031736.909208924, 266789.57616441086 7031736.199208924, 266789.57098301244 7031736.194308073, 266788.8322958693 7031735.505532224, 266786.6510952972 7031733.442234385, 266786.1105546233 7031732.664614469, 266786.1065273468 7031732.658906344, 266785.52856092487 7031731.851746341, 266784.9605546233 7031731.034614469, 266784.9582078198 7031731.03126764, 266784.37820781977 7031730.21126764, 266784.3765273466 7031730.208906344, 266783.79938604496 7031729.402898665, 266783.23216580047 7031728.576946379, 266783.2282078198 7031728.57126764, 266782.64938805223 7031727.752936244, 266782.0805546234 7031726.934614469, 266782.0789032096 7031726.9322532965, 266781.5089032096 7031726.122253297, 266781.5082078198 7031726.12126764, 266780.9282078198 7031725.30126764, 266780.89885581104 7031725.263705234, 266780.8660600412 7031725.229108814, 266780.13611186674 7031724.529158509, 266779.39616441086 7031723.819208924, 266779.3935999267 7031723.816765791, 266778.65737364744 7031723.120335528, 266777.94107240555 7031722.413982913, 266777.93359992676 7031722.406765791, 266777.4606944156 7031721.95942274, 266778.1991493639 7031720.449692624, 266777.3008506361 7031720.010307377, 266776.40085063607 7031721.850307377, 266776.38158985437 7031721.895094496, 266776.3667824611 7031721.941544521, 266776.3565692369 7031721.98921583, 266776.3510472834 7031722.037655192, 266776.35026910034 7031722.086402071, 266776.35424208624 7031722.134993007, 266776.36292846815 7031722.182966026, 266776.37624566077 7031722.229865025, 266776.39406705135 7031722.275244114, 266776.4162232039 7031722.318671854, 266776.4425034697 7031722.3597353585, 266776.47265799047 7031722.398044216, 266776.50640007324 7031722.433234209, 266777.2426263526 7031723.129664472, 266777.9589275945 7031723.836017087, 266777.96640007326 7031723.843234209, 266778.70511353586 7031724.542017214, 266779.4438355891 7031725.250791076, 266780.1394144472 7031725.917784531, 266780.6914438577 7031726.698239904, 266781.2602677092 7031727.506568535, 266781.8294453766 7031728.3253855305, 266781.8317921802 7031728.32873236, 266782.40979354066 7031729.145906698, 266782.97783419956 7031729.973053622, 266782.9834726534 7031729.981093656, 266783.5626290077 7031730.789915461, 266784.140611917 7031731.607063713, 266784.7094453767 7031732.425385531, 266784.7134726532 7031732.4310936555, 266785.29143907514 7031733.238253659, 266785.85944537673 7031734.055385531, 266785.89091903827 7031734.096033164, 266785.92640007305 7031734.1332342075, 266788.146400073 7031736.233234208, 266788.14901698753 7031736.235691926, 266788.88640880695 7031736.9232599735, 266789.5904272144 7031737.598737095, 266790.1426290218 7031738.369915481, 266790.7217921802 7031739.1887323605, 266790.72347265336 7031739.191093656, 266791.3026290077 7031739.999915461, 266791.8817921802 7031740.81873236, 266791.88347265334 7031740.821093656, 266792.46227784536 7031741.629425044, 266793.0310967903 7031742.437746704, 266793.0317921804 7031742.4387323605, 266793.6117921804 7031743.25873236, 266793.6134726532 7031743.261093656, 266794.19347265316 7031744.071093656, 266794.60687297303 7031744.648428585, 266793.9230942257 7031746.186930766, 266793.9060531961 7031746.230706475, 266793.89319561777 7031746.275888241, 266793.8846349825 7031746.322077254, 266793.8804468537 7031746.368865809, 266793.8806681993 7031746.415840913, 266793.8852970654 7031746.462587923, 266793.89429259393 7031746.50869421, 266793.90757538273 7031746.553752804, 266793.92502818676 7031746.597365978, 266793.946496953 7031746.639148767, 266793.9717921802 7031746.67873236, 266794.5514438577 7031747.498239904, 266795.1210967904 7031748.307746703, 266795.1234726532 7031748.311093655, 266795.7034726532 7031749.121093656, 266795.7041389709 7031749.12202196, 266796.29380529065 7031749.941558202, 266796.8734726534 7031750.751093656, 266796.8758478304 7031750.754382445, 266797.4646535504 7031751.56274284, 266798.0434726532 7031752.371093656, 266798.6234726534 7031753.1810936555, 266798.6241389709 7031753.18202196, 266799.2138052906 7031754.001558201, 266799.7934726534 7031754.811093655, 266800.3734726532 7031755.621093656, 266800.3782214036 7031755.627613775, 266800.57591235073 7031755.894496554, 266800.9536519475 7031756.421343886, 266800.95876882947 7031756.428351383, 266802.1187688295 7031757.988351383, 266802.1236880056 7031757.994855381, 266802.7236880056 7031758.77485538, 266802.7250442282 7031758.776610401, 266803.3150442282 7031759.536610402, 266803.3180803192 7031759.540481825, 266804.5380803192 7031761.080481824, 266804.5446288407 7031761.088573491, 266805.7846288407 7031762.588573491, 266805.7892843383 7031762.594122793, 266806.4182117772 7031763.332862959, 266807.0471475676 7031764.081596043, 266807.054030872 7031764.089616769, 266807.694030872 7031764.819616769, 266807.6991117696 7031764.825323606, 266808.3589889974 7031765.555187812, 266809.0088659792 7031766.275051546, 266809.01142292994 7031766.277862315, 266809.6714229299 7031766.997862315, 266809.6763514144 7031767.003161342, 266810.34635141445 7031767.713161342, 266811.01635141444 7031768.423161342, 266811.0213603095 7031768.428392842, 266811.700070831 7031769.127065438, 266812.3687911563 7031769.825728465, 266812.4001935254 7031769.855802727, 266812.43408998364 7031769.883035064, 266812.4702241963 7031769.907219537, 266812.50832290633 7031769.928173255, 266813.3679340897 7031770.353357282, 266814.01160715794 7031770.97863969, 266814.0142715354 7031770.981208844, 266815.4142715354 7031772.321208844, 266815.4168386587 7031772.323648586, 266816.12683865865 7031772.993648586, 266816.1321376857 7031772.99857707, 266816.48954884714 7031773.326203968, 266816.8369935656 7031773.653794703, 266816.8475006944 7031773.663422297, 266817.5762206735 7031774.312282553, 266818.2949484538 7031774.96113402, 266818.30038323015 7031774.965969128, 266819.0303832301 7031775.605969128, 266819.03292403364 7031775.6081815865, 266819.77292403363 7031776.248181586, 266819.77889006864 7031776.253260241, 266820.5188900687 7031776.873260241, 266820.5214265083 7031776.875371159, 266821.26991025364 7031777.494117722, 266822.01840395684 7031778.122852433, 266822.03017785586 7031778.132441383, 266822.7885974678 7031778.731193707, 266823.54702718183 7031779.339933347, 266823.55589244876 7031779.346886126, 266825.0958924488 7031780.526886126, 266825.0983665311 7031780.528769671, 266825.87836653105 7031781.118769671, 266825.88499170524 7031781.123695561, 266826.6624843531 7031781.691863265, 266827.43677622837 7031782.2725821715, 266828.01125878346 7031783.087976766, 266828.04226009396 7031783.127585963, 266828.07708408684 7031783.163880031, 266828.11537834705 7031783.196491675, 266828.9299836426 7031783.822346963, 266829.7247036873 7031784.468057, 266829.7270657105 7031784.469964269, 266830.5346799083 7031785.118049736, 266831.3194392179 7031785.763737775, 266832.0184175086 7031786.356542149, 266832.4320214943 7031787.300638203, 266832.4515145205 7031787.340271688, 266832.47442912107 7031787.378030294, 266832.50058648974 7031787.413619383, 266832.5297825163 7031787.44676125, 266832.5617893793 7031787.47719728, 266833.32903703995 7031788.144802388, 266834.09388144483 7031788.830182439, 266834.8287658077 7031789.506276053, 266835.52331321343 7031790.23995289, 266836.2087170839 7031790.994890487, 266836.8951976181 7031791.760962966, 266837.56280271936 7031792.52821062, 266838.2328027195 7031793.298210621, 266838.26759653236 7031793.334362272, 266838.30583841813 7031793.36684472, 266838.34714327345 7031793.395330861, 266838.39109515 7031793.419533832, 266838.43725144316 7031793.439209906, 266838.48514734977 7031793.45416094, 266838.5343005482 7031793.464236373, 266838.58421605563 7031793.469334746, 266838.63439121266 7031793.469404714, 266838.6843207451 7031793.464445575, 266838.73350185243 7031793.454507267, 266840.77350185247 7031792.934507268, 266840.5264981476 7031791.965492733, 266838.78499332356 7031792.409405727))</t>
  </si>
  <si>
    <t>['FV6682 S1D1 m2548-2576']</t>
  </si>
  <si>
    <t>LINESTRING Z (266856.93 7031820.31 95.512, 266859.18 7031819.15 96.342, 266858.78 7031818.35 96.342, 266858.72 7031818.23 96.342, 266858.49 7031817.67 96.342, 266858.26 7031817.12 96.342, 266858.01 7031816.57 96.342, 266857.75 7031816.03 96.342, 266857.48 7031815.5 96.342, 266857.19 7031814.98 96.342, 266856.89 7031814.45 96.342, 266856.57 7031813.94 96.342, 266856.46 7031813.77 96.342, 266856.37 7031813.63 96.342, 266856.01 7031813.08 96.512, 266855.63 7031812.48 96.682, 266855.47 7031812.23 96.672, 266854.92 7031811.39 96.632, 266854.38 7031810.55 96.592, 266853.84 7031809.71 96.552, 266853.3 7031808.87 96.512, 266852.75 7031808.03 96.472, 266852.21 7031807.18 96.432, 266852.07 7031806.97 96.422, 266851.65 7031806.32 96.392, 266851.08 7031805.45 96.352, 266850.48 7031804.59 96.312, 266849.89 7031803.73 96.272, 266849.29 7031802.88 96.222, 266848.68 7031802.04 96.182, 266848.05 7031801.2 96.142, 266847.42 7031800.38 96.102, 266846.78 7031799.55 96.062, 266846.13 7031798.73 96.022, 266845.47 7031797.93 95.982, 266844.82 7031797.12 95.942, 266844.14 7031796.32 95.902, 266843.46 7031795.53 95.862, 266842.77 7031794.75 95.822, 266842.07 7031793.97 95.782, 266841.36 7031793.21 95.742, 266840.65 7031792.45 95.702)</t>
  </si>
  <si>
    <t>POLYGON ((266859.40912018594 7031819.594414154, 266859.451252545 7031819.570026258, 266859.4908135326 7031819.541656671, 266859.5274281258 7031819.509574329, 266859.5607492322 7031819.4740833575, 266859.5904609803 7031819.435520199, 266859.616281714 7031819.394250417, 266859.6379666625 7031819.350665234, 266859.65531026083 7031819.305177821, 266859.66814809816 7031819.258219381, 266859.6763584767 7031819.210235062, 266859.67986356514 7031819.161679737, 266859.6786301366 7031819.113013694, 266859.67266988347 7031819.064698266, 266859.6620393068 7031819.017191466, 266859.6468391803 7031818.970943641, 266859.6272135956 7031818.9263932025, 266859.22721359564 7031818.126393202, 266859.17548399884 7031818.022934009, 266858.9525099092 7031817.4800405735, 266858.95128993853 7031817.477096935, 266858.72128993855 7031816.927096935, 266858.71518323873 7031816.913098528, 266858.46518323873 7031816.363098528, 266858.4605008349 7031816.353092191, 266858.2005008349 7031815.813092191, 266858.1955197485 7031815.80303711, 266857.9255197485 7031815.2730371095, 266857.91668193706 7031815.256465843, 266857.6266819371 7031814.736465843, 266857.6251284276 7031814.733700891, 266857.3251284276 7031814.203700891, 266857.3135319472 7031814.184254465, 266856.9935319472 7031813.674254465, 266856.9897850792 7031813.668374362, 266856.8801881153 7031813.498997236, 266856.79058923735 7031813.3596212035, 266856.78835075843 7031813.356170412, 266856.4304037728 7031812.809306962, 266856.0524095377 7031812.21247396, 266856.0511357003 7031812.210473152, 266855.8911357003 7031811.960473152, 266855.8883092644 7031811.95610703, 266855.3394565944 7031811.117859315, 266854.2605892377 7031809.4396212045, 266853.72058923764 7031808.599621205, 266853.7183092643 7031808.596107029, 266853.1701920223 7031807.758982514, 266852.63203506765 7031806.911883604, 266852.62602514715 7031806.902649902, 266852.4880132169 7031806.695632006, 266852.06995833415 7031806.0486423075, 266852.0682305648 7031806.045986871, 266851.4982305648 7031805.175986871, 266851.4900634772 7031805.163909202, 266850.8911883525 7031804.305521524, 266850.3023005283 7031803.447142662, 266850.29848393175 7031803.441658402, 266849.6984839317 7031802.591658401, 266849.69457621675 7031802.586200604, 266849.08457621676 7031801.746200604, 266849.07999999996 7031801.74, 266848.44999999995 7031800.9, 266848.44649167533 7031800.8953783475, 266847.81649167533 7031800.075378347, 266847.8159570373 7031800.0746837305, 266847.17595703737 7031799.24468373, 266847.17182904773 7031799.239403803, 266846.5218290477 7031798.419403804, 266846.5156866394 7031798.411808523, 266845.8578432799 7031797.614422632, 266845.2099642682 7031796.80706571, 266845.20096965885 7031796.79617579, 266844.52096965886 7031795.99617579, 266844.5189502783 7031795.993814951, 266843.8389502783 7031795.203814951, 266843.8344982813 7031795.19871306, 266843.1444982813 7031794.418713059, 266843.1421211419 7031794.416045129, 266842.4421211419 7031793.636045129, 266842.43536772556 7031793.628669624, 266841.72536772554 7031792.868669624, 266841.01536772563 7031792.108669625, 266840.2846322744 7031792.791330376, 266840.9946322744 7031793.5513303755, 266841.7012186935 7031794.307676401, 266842.396685533 7031795.082625166, 266843.08325844014 7031795.85875106, 266843.76003635523 7031796.645007757, 266844.43445612007 7031797.438442773, 266845.0800357318 7031798.242934289, 266845.08431336057 7031798.248191477, 266845.74120505067 7031799.044423829, 266846.3860892813 7031799.857970089, 266847.0237752927 7031800.684969135, 266847.6517407566 7031801.502321009, 266848.2776879905 7031802.33691732, 266848.88345161226 7031803.171083619, 266849.4795894561 7031804.015612232, 266850.0676994717 7031804.872857339, 266850.0699365228 7031804.876090798, 266850.66576491744 7031805.7301114965, 266851.2309013787 7031806.592688201, 266851.6500416659 7031807.2413576925, 266851.6539748529 7031807.247350098, 266851.7909190189 7031807.452766347, 266852.32796493237 7031808.298116396, 266852.3316907357 7031808.303892971, 266852.88054339937 7031809.142140675, 266853.4194107624 7031809.980378795, 266854.49941076234 7031811.660378795, 266854.5016907356 7031811.66389297, 266855.0502661601 7031812.501717256, 266855.20822502207 7031812.748527978, 266855.5875904623 7031813.347526041, 266855.59164924157 7031813.353829588, 266855.9505229109 7031813.902108804, 266856.03941076266 7031814.040378796, 266856.0402149208 7031814.041625638, 266856.1483209876 7031814.208698651, 266856.4604496088 7031814.7061536405, 266856.7540904307 7031815.224919093, 266857.0387435184 7031815.735331526, 266857.30193328724 7031816.251963294, 266857.55710268853 7031816.781930512, 266857.8016565044 7031817.319948907, 266858.02809539274 7031817.861433205, 266858.25749009073 7031818.419959427, 266858.27278640517 7031818.453606799, 266858.3327864052 7031818.573606798, 266858.5119279618 7031818.931889913, 266856.70087981405 7031819.865585846, 266857.15912018594 7031820.754414153, 266859.40912018594 7031819.594414154))</t>
  </si>
  <si>
    <t>['FV6682 S1D1 m3355-3356']</t>
  </si>
  <si>
    <t>LINESTRING Z (267198.88 7032375.68 -999999, 267198.33 7032376.2 -999999)</t>
  </si>
  <si>
    <t>POLYGON ((267197.9864943086 7032375.836676673, 267198.6735056914 7032376.563323327, 267199.2235056914 7032376.043323327, 267198.5364943086 7032375.316676673, 267197.9864943086 7032375.836676673))</t>
  </si>
  <si>
    <t>['FV6682 S1D1 m3426-3437']</t>
  </si>
  <si>
    <t>LINESTRING Z (267253.19 7032420.31 118.254, 267250.01 7032433.34 118.414, 267252.11 7032442.73 118.434, 267257.38 7032453.65 118.784, 267261.84 7032458.4 119.024, 267265.32 7032457.69 117.244, 267266.47 7032455.96 117.424, 267263.46 7032454.24 117.814, 267260.23 7032451.15 120.134, 267256.61 7032445.39 120.294, 267254.99 7032439.69 120.884, 267253.92 7032436.18 119.764, 267255.24 7032428.84 119.304, 267258.88 7032424.89 119.134)</t>
  </si>
  <si>
    <t>POLYGON Z ((267253.19 7032420.31 118.254, 267250.01 7032433.34 118.414, 267252.11 7032442.73 118.434, 267257.38 7032453.65 118.784, 267261.84 7032458.4 119.024, 267265.32 7032457.69 117.244, 267266.47 7032455.96 117.424, 267263.46 7032454.24 117.814, 267260.23 7032451.15 120.134, 267256.61 7032445.39 120.294, 267254.99 7032439.69 120.884, 267253.92 7032436.18 119.764, 267255.24 7032428.84 119.304, 267258.88 7032424.89 119.134, 267253.19 7032420.31 118.254))</t>
  </si>
  <si>
    <t>['FV6682 S1D1 m2310-2341']</t>
  </si>
  <si>
    <t>LINESTRING Z (266663 7031645.98 87.502, 266667.96 7031641.37 90.212, 266673.48 7031636.25 93.232, 266674.13 7031636.86 93.262, 266674.76 7031637.47 93.282, 266675.39 7031638.11 93.312, 266675.99 7031638.76 93.332, 266676.58 7031639.41 93.362, 266677.17 7031640.08 93.382, 266677.74 7031640.76 93.412, 266678.29 7031641.45 93.432, 266678.83 7031642.15 93.452, 266679.35 7031642.86 93.482, 266679.87 7031643.6 93.502, 266680.36 7031644.33 93.532, 266680.84 7031645.06 93.552, 266681.31 7031645.81 93.582, 266681.76 7031646.58 93.602, 266682.19 7031647.35 93.632, 266682.62 7031648.12 93.652, 266683.02 7031648.92 93.672, 266683.41 7031649.71 93.702, 266683.79 7031650.52 93.722, 266684.14 7031651.33 93.752, 266684.48 7031652.14 93.772, 266684.78 7031652.89 93.792, 266684.93 7031653.28 93.812, 266685.12 7031653.8 93.822, 266685.41 7031654.64 93.852, 266685.69 7031655.47 93.872, 266685.84 7031655.81 93.882, 266686.04 7031655.77 93.922, 266686.07 7031655.84 94.062, 266686.11 7031655.91 94.212, 266686.15 7031655.94 94.312, 266686.18 7031655.98 94.412, 266678.37 7031666.67 89.212)</t>
  </si>
  <si>
    <t>POLYGON ((266668.3002088278 7031641.736412361, 266673.47800292424 7031636.933820736, 266673.78499760485 7031637.221923436, 266674.407883345 7031637.825035024, 266675.0280427504 7031638.455038231, 266675.62117889704 7031639.097602389, 266676.20724221016 7031639.7432653615, 266676.7907282603 7031640.405868164, 266677.35285524477 7031641.076475794, 266677.8965362558 7031641.758548336, 266678.43030079047 7031642.450465325, 266678.94372152776 7031643.1514821015, 266679.4578308917 7031643.883099273, 266679.9435276739 7031644.606688357, 266680.4192201711 7031645.330137363, 266680.8822140605 7031646.068957399, 266681.32584404456 7031646.828057594, 266681.75345727004 7031647.593783602, 266682.1778915118 7031648.353817012, 266682.57221889764 7031649.142471784, 266682.95945270656 7031649.926868474, 266683.33406867494 7031650.725391985, 266683.6799794527 7031651.525928357, 266684.0173319025 7031652.329620957, 266684.3145237431 7031653.072600559, 266684.46181409416 7031653.4555554725, 266684.64883274643 7031653.967395994, 266684.93679688533 7031654.801499017, 266685.2162322465 7031655.629825266, 266685.23254109925 7031655.671820103, 266685.3825410993 7031656.011820103, 266685.40414460417 7031656.055010354, 266685.42981395853 7031656.095915042, 266685.4535794815 7031656.126724068, 266677.96626984305 7031666.375039053, 266678.77373015694 7031666.964960947, 266686.58373015694 7031656.274960947, 266686.6106619737 7031656.234028079, 266686.6334580184 7031656.190655705, 266686.65189937426 7031656.145260342, 266686.6658089436 7031656.098277937, 266686.67505314876 7031656.050159675, 266686.67954321497 7031656.001367649, 266686.67923602276 7031655.952370423, 266686.6741345223 7031655.903638532, 266686.6642877047 7031655.8556399625, 266686.64979013184 7031655.808835658, 266686.63078102807 7031655.763675095, 266686.6074429434 7031655.720591962, 266686.58000000025 7031655.680000001, 266686.5500000003 7031655.640000001, 266686.51987447427 7031655.603558514, 266686.5072346682 7031655.590918709, 266686.4995725152 7031655.573040351, 266686.4782459155 7031655.5292916335, 266686.4527668932 7031655.48782365, 266686.4233768647 7031655.449029316, 266686.3903543033 7031655.4132762095, 266686.354012101 7031655.380903096, 266686.31469460373 7031655.352216713, 266686.2727743485 7031655.327488867, 266686.22864853387 7031655.306953857, 266686.1827352561 7031655.290806253, 266686.1549303377 7031655.283978107, 266685.8837677535 7031654.480174733, 266685.8826266661 7031654.476831269, 266685.5926266661 7031653.63683127, 266685.58963246184 7031653.628403523, 266685.39963246183 7031653.108403523, 266685.3966728032 7031653.100510461, 266685.24667280325 7031652.710510461, 266685.2442383455 7031652.704304662, 266684.94423834543 7031651.954304662, 266684.9410316841 7031651.9464805275, 266684.60103168414 7031651.136480528, 266684.5989842929 7031651.131673454, 266684.24898429285 7031650.321673454, 266684.2426623305 7031650.307639894, 266683.8626623305 7031649.4976398945, 266683.85834287916 7031649.488666174, 266683.4683428792 7031648.698666174, 266683.4672135955 7031648.696393202, 266683.0672135955 7031647.896393202, 266683.05654273013 7031647.876216398, 266682.62654273014 7031647.106216397, 266682.19654273 7031646.336216398, 266682.19168597215 7031646.32771599, 266681.74168597214 7031645.55771599, 266681.73368148354 7031645.544492937, 266681.2636814836 7031644.794492937, 266681.25777767936 7031644.785296868, 266680.7777776793 7031644.055296868, 266680.7751481602 7031644.051338906, 266680.2851481602 7031643.321338906, 266680.27909584827 7031643.312527241, 266679.75909584825 7031642.572527242, 266679.75338304683 7031642.56456453, 266679.23338304687 7031641.85456453, 266679.22589112783 7031641.844598273, 266678.6858911278 7031641.144598273, 266678.68098661985 7031641.138343999, 266678.13098661986 7031640.448343999, 266678.1231852569 7031640.438800593, 266677.5531852569 7031639.758800593, 266677.54524563265 7031639.749559816, 266676.9552456327 7031639.079559816, 266676.95022765716 7031639.073947204, 266676.36022765713 7031638.423947204, 266676.35740172217 7031638.420859948, 266675.7574017222 7031637.770859948, 266675.74632622977 7031637.759241369, 266675.11632622976 7031637.119241368, 266675.10780567926 7031637.110790855, 266674.47780567926 7031636.500790856, 266674.4721571022 7031636.495406367, 266673.8221571022 7031635.885406367, 266673.78400982486 7031635.853039011, 266673.742818971 7031635.824645808, 266673.6989969203 7031635.800511014, 266673.65298239473 7031635.780876252, 266673.605236066 7031635.765938095, 266673.55623594363 7031635.755846096, 266673.5064725896 7031635.75070129, 266673.45644420676 7031635.750555184, 266673.40665165137 7031635.75540924, 266673.35759341874 7031635.765214863, 266673.3097606524 7031635.779873884, 266673.26363222743 7031635.799239546, 266673.2196699558 7031635.82311797, 266673.17831396323 7031635.851270097, 266673.139978283 7031635.883414087, 266667.61997828307 7031641.003414087, 266667.6196045572 7031641.003761086, 266662.6596045572 7031645.613761086, 266663.3403954428 7031646.346238915, 266668.3002088278 7031641.736412361))</t>
  </si>
  <si>
    <t>['FV6682 S1D1 m3638-3639']</t>
  </si>
  <si>
    <t>LINESTRING Z (267433.99 7032521.45 119.734, 267434.17 7032522.37 119.744)</t>
  </si>
  <si>
    <t>POLYGON ((267433.6793036726 7032522.466005803, 267434.6606963274 7032522.273994197, 267434.4806963274 7032521.353994197, 267433.4993036726 7032521.546005803, 267433.6793036726 7032522.466005803))</t>
  </si>
  <si>
    <t>['FV6682 S1D1 m3124-3125']</t>
  </si>
  <si>
    <t>LINESTRING Z (267048.68 7032207.72 111.463, 267050.4 7032204.5 112.633)</t>
  </si>
  <si>
    <t>POLYGON ((267050.8410247231 7032204.735578423, 267049.95897527697 7032204.264421577, 267048.23897527694 7032207.484421576, 267049.12102472305 7032207.955578423, 267050.8410247231 7032204.735578423))</t>
  </si>
  <si>
    <t>['FV6682 S1D1 m2970-3349']</t>
  </si>
  <si>
    <t>LINESTRING Z (267193.69 7032373.16 118.463, 267193.4 7032373.25 117.653, 267186.51 7032367.82 117.483, 267189.21 7032363.68 116.243, 267188.83 7032363.35 116.463, 267188.45 7032363.02 116.543, 267187.69 7032362.35 116.713, 267186.95 7032361.68 116.883, 267186.19 7032361.01 117.053, 267185.44 7032360.34 117.213, 267184.74 7032359.63 117.183, 267184.05 7032358.92 117.153, 267183 7032358.57 118.623, 267182.3 7032357.87 118.583, 267181.6 7032357.16 118.553, 267180.89 7032356.47 118.523, 267180.18 7032355.78 118.493, 267179.47 7032355.08 118.453, 267178.77 7032354.39 118.423, 267178.05 7032353.71 118.393, 267177.62 7032353.29 118.373, 267177.33 7032353.02 118.353, 267176.61 7032352.34 118.313, 267175.9 7032351.66 118.283, 267175.55 7032351.34 118.263, 267175.18 7032350.99 118.243, 267174.45 7032350.32 118.203, 267173.74 7032349.66 118.163, 267173 7032349 118.123, 267172.27 7032348.36 118.083, 267171.54 7032347.71 118.043, 267170.79 7032347.07 118.003, 267170.05 7032346.44 117.963, 267169.3 7032345.8 117.923, 267168.54 7032345.18 117.883, 267167.78 7032344.57 117.843, 267167.02 7032343.96 117.803, 267166.25 7032343.35 117.763, 267165.48 7032342.75 117.723, 267164.7 7032342.14 117.683, 267163.92 7032341.55 117.643, 267163.13 7032340.97 117.603, 267162.35 7032340.39 117.563, 267161.55 7032339.82 117.533, 267160.75 7032339.25 117.493, 267159.95 7032338.68 117.453, 267158.96 7032338.39 118.413, 267158.16 7032337.84 118.373, 267157.34 7032337.3 118.333, 267156.53 7032336.76 118.293, 267155.7 7032336.23 118.253, 267154.89 7032335.7 118.213, 267154.06 7032335.17 118.173, 267153.23 7032334.66 118.133, 267152.39 7032334.15 118.093, 267151.56 7032333.64 118.053, 267150.72 7032333.15 118.013, 267149.88 7032332.65 117.973, 267149.03 7032332.16 117.933, 267148.18 7032331.69 117.893, 267147.67 7032331.39 117.873, 267147.32 7032331.2 117.863, 267146.46 7032330.74 117.833, 267145.61 7032330.27 117.813, 267144.75 7032329.82 117.783, 267143.87 7032329.37 117.763, 267143.39 7032328.18 115.233, 267142.5 7032327.74 115.213, 267141.63 7032327.3 115.183, 267140.74 7032326.87 115.163, 267139.85 7032326.45 115.133, 267138.97 7032326.03 115.103, 267138.07 7032325.62 115.083, 267137.17 7032325.21 115.053, 267136.28 7032324.81 115.033, 267135.38 7032324.43 115.003, 267134.47 7032324.04 114.983, 267133.56 7032323.66 114.953, 267132.65 7032323.29 114.923, 267131.86 7032322.97 114.903, 267128.95 7032327.61 115.243, 267124.73 7032325.1 115.243, 267123.83 7032324.8 114.223, 267122.93 7032324.49 114.193, 267122.02 7032324.19 114.173, 267121.12 7032323.9 114.143, 267120.21 7032323.62 114.123, 267119.3 7032323.33 114.093, 267118.39 7032323.07 114.073, 267117.48 7032322.79 114.043, 267116.56 7032322.54 114.013, 267115.64 7032322.28 113.993, 267114.72 7032322.03 113.963, 267113.81 7032321.79 113.943, 267112.88 7032321.56 113.913, 267111.95 7032321.33 113.893, 267111.47 7032321.21 113.873, 267110.79 7032321.04 113.863, 267110.09 7032320.83 113.853, 267109.39 7032320.6 113.843, 267108.71 7032320.35 113.823, 267107.8 7032319.99 113.813, 267106.99 7032319.42 113.803, 267106.59 7032319.13 113.783, 267106.16 7032318.9 113.773, 267105.54 7032318.54 113.763, 267105.19 7032318.34 113.753, 267104.53 7032317.93 113.733, 267103.63 7032317.36 113.713, 267102.74 7032316.79 113.683, 267101.85 7032316.2 113.663, 267100.97 7032315.61 113.633, 267100.09 7032315.01 113.613, 267099.22 7032314.4 113.583, 267098.36 7032313.79 113.553, 267097.84 7032313.41 113.543, 267097.5 7032313.16 113.523, 267096.65 7032312.54 113.493, 267095.8 7032311.89 113.453, 267094.96 7032311.25 113.413, 267094.12 7032310.59 113.373, 267093.29 7032309.93 113.343, 267092.47 7032309.26 113.303, 267091.65 7032308.58 113.263, 267090.83 7032307.9 113.223, 267090.02 7032307.21 113.183, 267089.23 7032306.51 113.153, 267088.44 7032305.8 113.113, 267087.65 7032305.09 113.073, 267086.87 7032304.37 113.033, 267086.09 7032303.64 113.003, 267085.33 7032302.9 112.963, 267084.57 7032302.16 112.923, 267083.81 7032301.42 112.883, 267083.07 7032300.66 112.853, 267082.32 7032299.9 112.813, 267081.6 7032299.13 112.773, 267080.87 7032298.36 112.733, 267080.15 7032297.57 112.703, 267079.44 7032296.78 112.663, 267078.73 7032295.99 112.623, 267078.03 7032295.19 112.583, 267077.34 7032294.38 112.543, 267076.66 7032293.57 112.513, 267075.99 7032292.75 112.473, 267075.32 7032291.92 112.433, 267074.66 7032291.09 112.393, 267074.42 7032290.79 112.383, 267073.94 7032290.16 112.363, 267073.24 7032289.17 112.323, 267072.55 7032288.16 112.283, 267071.9 7032287.11 112.243, 267070.49 7032284.69 112.213, 267072.9 7032281.34 111.173, 267073.49 7032280.47 112.083, 267073.27 7032280.02 112.163, 267072.84 7032279.03 112.323, 267072.42 7032278.03 112.483, 267072.11 7032276.99 112.443, 267072.08 7032276.87 112.443, 267071.96 7032276.44 112.423, 267071.85 7032276.09 112.413, 267071.56 7032275.21 112.383, 267071.25 7032274.36 112.363, 267070.91 7032273.51 112.333, 267070.53 7032272.67 112.303, 267070.13 7032271.84 112.283, 267069.7 7032271.03 112.253, 267068.82 7032270.49 113.723, 267068.32 7032269.75 113.843, 267068.02 7032269.34 113.913, 267067.75 7032268.99 113.963, 267067.17 7032268.19 114.073, 267066.57 7032267.39 114.193, 267065.98 7032266.59 114.313, 267065.38 7032265.79 114.423, 267064.79 7032265.01 114.543, 267064.5 7032264 113.513, 267063.92 7032263.19 113.523, 267063.35 7032262.38 113.533, 267062.77 7032261.57 113.543, 267062.2 7032260.76 113.553, 267061.85 7032260.28 113.553, 267061.61 7032259.95 113.563, 267061.03 7032259.15 113.583, 267060.44 7032258.35 113.603, 267059.86 7032257.54 113.623, 267059.27 7032256.74 113.643, 267058.68 7032255.94 113.663, 267058.09 7032255.14 113.683, 267057.49 7032254.35 113.703, 267056.9 7032253.56 113.733, 267056.3 7032252.76 113.753, 267055.7 7032251.97 113.773, 267055.1 7032251.18 113.793, 267054.5 7032250.39 113.813, 267053.89 7032249.61 113.833, 267053.29 7032248.82 113.853, 267052.68 7032248.03 113.873, 267052.06 7032247.26 113.893, 267051.45 7032246.47 113.913, 267050.84 7032245.69 113.933, 267050.22 7032244.92 113.953, 267049.6 7032244.13 113.973, 267048.99 7032243.36 113.993, 267048.36 7032242.59 114.013, 267047.73 7032241.81 114.033, 267047.12 7032241.04 114.013, 267046.5 7032240.26 114.003, 267046.14 7032239.28 112.993, 267045.52 7032238.5 112.973, 267044.9 7032237.73 112.953, 267044.27 7032236.95 112.943, 267043.89 7032236.5 112.933, 267043.64 7032236.19 112.933, 267043.01 7032235.42 112.913, 267042.38 7032234.65 112.903, 267041.74 7032233.88 112.893, 267041.11 7032233.12 112.883, 267040.21 7032232.58 113.873, 267039.58 7032231.81 113.863, 267038.94 7032231.06 113.853, 267038.3 7032230.3 113.843, 267037.66 7032229.54 113.833, 267037 7032228.79 113.813, 267036.36 7032228.04 113.803, 267036.02 7032227.65 113.803, 267035.71 7032227.28 113.793, 267035.05 7032226.53 113.783, 267034.4 7032225.77 113.773, 267033.75 7032225.02 113.763, 267033.09 7032224.25 113.753, 267032.44 7032223.5 113.743, 267031.78 7032222.75 113.733, 267031.13 7032221.99 113.723, 267030.73 7032221.53 113.713, 267030.48 7032221.23 113.703, 267029.82 7032220.47 113.693, 267029.17 7032219.72 113.673, 267028.51 7032218.95 113.663, 267027.85 7032218.2 113.643, 267027.2 7032217.45 113.633, 267026.79 7032216.47 112.613, 267026.14 7032215.71 112.603, 267025.48 7032214.96 112.583, 267024.83 7032214.2 112.563, 267024.18 7032213.44 112.553, 267023.65 7032212.58 112.033, 267023 7032211.82 112.023, 267022.34 7032211.06 112.003, 267021.69 7032210.31 111.993, 267021.04 7032209.55 111.973, 267020.37 7032208.79 111.953, 267019.72 7032208.04 111.943, 267019.06 7032207.28 111.923, 267018.41 7032206.53 111.913, 267017.76 7032205.76 111.893, 267017.1 7032205.01 111.883, 267016.45 7032204.25 111.863, 267015.8 7032203.5 111.853, 267015.01 7032202.85 112.333, 267014.36 7032202.09 112.323, 267013.7 7032201.33 112.303, 267013.05 7032200.58 112.293, 267012.4 7032199.83 112.273, 267011.74 7032199.06 112.253, 267011.09 7032198.31 112.243, 267010.43 7032197.55 112.223, 267009.78 7032196.79 112.213, 267009.13 7032196.04 112.193, 267008.47 7032195.28 112.183, 267006.63 7032195.55 112.163, 267005.97 7032194.79 112.153, 267005.32 7032194.04 112.133, 267004.66 7032193.27 112.113, 267004.01 7032192.52 112.103, 267003.62 7032192.07 112.093, 267003.36 7032191.77 112.083, 267002.7 7032191.01 112.063, 267002.05 7032190.25 112.043, 267001.39 7032189.49 112.023, 267000.74 7032188.74 112.003, 267000.09 7032187.98 111.983, 266999.47 7032187.27 111.963, 266999.43 7032187.22 111.963, 266998.79 7032186.49 111.943, 266998.15 7032185.76 111.923, 266997.5 7032185.03 111.893, 266996.85 7032184.31 111.873, 266996.19 7032183.59 111.853, 266995.53 7032182.88 111.833, 266994.87 7032182.16 111.813, 266994.2 7032181.45 111.793, 266993.52 7032180.74 111.773, 266992.84 7032180.04 111.753, 266992.16 7032179.35 111.733, 266991.48 7032178.65 111.713, 266990.79 7032177.98 111.693, 266990.1 7032177.29 111.673, 266989.4 7032176.61 111.653, 266988.69 7032175.93 111.633, 266988 7032175.25 111.603, 266987.28 7032174.59 111.583, 266986.58 7032173.92 111.563, 266985.85 7032173.26 111.543, 266985.14 7032172.61 111.523, 266984.41 7032171.95 111.503, 266983.69 7032171.3 111.483, 266982.95 7032170.66 111.463, 266982.22 7032170.03 111.443, 266981.48 7032169.39 111.423, 266980.73 7032168.76 111.403, 266979.99 7032168.13 111.383, 266979.24 7032167.51 111.363, 266978.49 7032166.89 111.333, 266977.73 7032166.28 111.313, 266976.97 7032165.67 111.293, 266976.21 7032165.06 111.273, 266975.44 7032164.47 111.253, 266974.36 7032164.27 111.233, 266973.59 7032163.68 111.213, 266972.82 7032163.09 111.193, 266972.04 7032162.51 111.173, 266971.25 7032161.94 111.153, 266970.47 7032161.37 111.133, 266969.68 7032160.8 111.113, 266968.89 7032160.23 111.093, 266968.09 7032159.68 111.073, 266967.3 7032159.13 111.043, 266966.49 7032158.58 111.023, 266965.69 7032158.03 111.003, 266964.88 7032157.49 110.983, 266964.07 7032156.96 110.963, 266963.26 7032156.43 110.943, 266962.43 7032155.9 110.923, 266961.62 7032155.39 110.903, 266960.8 7032154.87 110.883, 266959.97 7032154.36 110.863, 266959.13 7032153.85 110.843, 266958.3 7032153.36 110.823, 266957.47 7032152.85 110.803, 266957.76 7032150.43 110.273, 266956.91 7032149.94 110.253, 266956.05 7032149.46 110.233, 266955.54 7032149.16 110.223, 266955.23 7032148.99 110.213, 266954.76 7032148.75 110.203, 266954.44 7032148.58 110.193, 266953.63 7032148.21 110.183, 266952.81 7032147.87 110.163, 266951.98 7032147.56 110.143, 266951.14 7032147.29 110.133, 266950.28 7032147.04 110.113, 266949.43 7032146.83 110.103, 266948.56 7032146.65 110.083, 266947.68 7032146.53 110.063, 266947.63 7032146.51 110.063, 266946.61 7032146.36 110.053, 266945.53 7032146.16 110.033, 266944.46 7032145.93 110.023, 266943.4 7032145.66 110.003, 266942.35 7032145.36 109.983, 266941.31 7032145.01 109.973, 266940.28 7032144.64 109.953, 266939.32 7032144.11 109.543, 266938.37 7032143.55 109.123, 266938.1 7032143.38 109.003, 266937.5 7032142.99 108.713, 266936.66 7032142.45 108.293, 266936.14 7032142.12 108.043, 266935.8 7032141.9 107.873, 266932.94 7032145.62 109.353, 266910.72 7032134.06 108.853)</t>
  </si>
  <si>
    <t>POLYGON ((266935.9157028614 7032142.569843512, 266936.39085223235 7032142.871380613, 266937.2285617736 7032143.4099081755, 266937.82750582485 7032143.799221808, 266937.8335933652 7032143.80311642, 266938.10359336523 7032143.97311642, 266938.11609375227 7032143.980733813, 266939.0660937523 7032144.540733813, 266939.07834080135 7032144.547722323, 266940.0383408014 7032145.077722322, 266940.07399697736 7032145.095590556, 266940.1109638572 7032145.110560073, 266941.1409638572 7032145.480560073, 266941.1505198002 7032145.483884022, 266942.1905198002 7032145.833884022, 266942.2126394361 7032145.840761974, 266943.2626394362 7032146.140761974, 266943.2765823092 7032146.144528713, 266944.3365823092 7032146.414528713, 266944.3549234786 7032146.41883425, 266945.4249234786 7032146.648834251, 266945.4389553699 7032146.651641003, 266946.51895536983 7032146.851641003, 266946.537253005 7032146.854679568, 266947.5007571896 7032146.996371359, 266947.5524181277 7032147.0134489285, 266947.6124433976 7032147.025415084, 266948.4754712018 7032147.143100694, 266949.31934642454 7032147.317695567, 266950.1501988501 7032147.52296499, 266950.99368325394 7032147.768163945, 266951.8159376649 7032148.032460005, 266952.6267165841 7032148.335281048, 266953.4303099983 7032148.668478317, 266954.21863944706 7032149.028579423, 266954.5254223871 7032149.19155786, 266954.53261142154 7032149.195302633, 266954.9960467199 7032149.431950444, 266955.2929808118 7032149.594785269, 266955.7964899368 7032149.890967107, 266955.8063169202 7032149.896598851, 266956.6632895381 7032150.37490915, 266957.22427122336 7032150.698298592, 266956.9735518802 7032152.790508282, 266956.970148134 7032152.83782987, 266956.9712448903 7032152.885261035, 266956.9768322744 7032152.9323747195, 266956.9868599793 7032152.978746729, 266957.0012377188 7032153.023959546, 266957.01983604045 7032153.067606088, 266957.0424874911 7032153.109293375, 266957.06898812443 7032153.148646071, 266957.0990993375 7032153.185309854, 266957.13255001866 7032153.218954617, 266957.16903898906 7032153.249277434, 266957.208237714 7032153.276005288, 266958.03823771403 7032153.786005288, 266958.04581013706 7032153.790566503, 266958.87315069896 7032154.278996472, 266959.70937244996 7032154.786702536, 266960.53522008046 7032155.29415108, 266961.3522289875 7032155.812254289, 266961.3535933649 7032155.813116419, 266962.1622466633 7032156.322268496, 266962.98856246256 7032156.849915934, 266964.6044379716 7032157.907217193, 266965.40967844875 7032158.444044178, 266966.2067355886 7032158.992020962, 266966.20912442054 7032158.993653126, 266967.0167103243 7032159.542013925, 266967.80431558704 7032160.090346702, 266967.8067355883 7032160.092020961, 266968.60205165576 7032160.638800759, 266969.3874421515 7032161.205474913, 266970.17621427064 7032161.774588974, 266970.95499170525 7032162.343695561, 266970.9574421515 7032162.345474914, 266971.7445301401 7032162.913373842, 266972.51875488076 7032163.489079418, 266973.2858924488 7032164.076886126, 266974.0558924487 7032164.666886126, 266974.0945466358 7032164.69371513, 266974.1355516161 7032164.716791811, 266974.17854425876 7032164.735911809, 266974.2231438312 7032164.750905801, 266974.26895536983 7032164.761641002, 266975.23106311413 7032164.9398091035, 266975.9014206465 7032165.45345968, 266976.6570271818 7032166.059933347, 266977.41702718183 7032166.669933347, 266978.1742103654 7032167.277672481, 266979.6686349801 7032168.513063495, 266980.405877207 7032169.140715661, 266980.4084039568 7032169.142852432, 266981.1556471761 7032169.770536737, 266981.89292403334 7032170.408181586, 266981.89332508796 7032170.408528073, 266982.62312448694 7032171.038354951, 266983.3588987326 7032171.674700244, 266984.0748123157 7032172.321011119, 266984.8035213724 7032172.979843964, 266985.5123729665 7032173.628792606, 266985.5146763943 7032173.63088823, 266986.23940517486 7032174.28612247, 266986.9342715354 7032174.951208844, 266986.9421376857 7032174.958577069, 266987.6554745987 7032175.61246924, 266988.3390366406 7032176.286124585, 266988.34415779775 7032176.291099946, 266989.05287815776 7032176.9698743755, 266989.74900845333 7032177.646115234, 266990.43644660927 7032178.333553391, 266990.44168358593 7032178.33871392, 266991.1264466114 7032179.003628742, 266991.8013603097 7032179.698392842, 266991.80387541454 7032179.700963359, 266992.48261324054 7032180.3896826245, 266993.16012567666 7032181.087121897, 266993.83762075694 7032181.794506466, 266994.5038679999 7032182.500529664, 266995.16142293 7032183.217862315, 266995.1637870147 7032183.220423338, 266995.8226004599 7032183.929146892, 266996.48013915523 7032184.646461832, 266997.1277174385 7032185.363779317, 266997.77529876836 7032186.091062963, 266998.41403087194 7032186.819616769, 266999.04660367063 7032187.541145118, 266999.0795655957 7032187.582347524, 266999.0933832449 7032187.598876602, 266999.7116910934 7032188.306938817, 267000.3600189986 7032189.064983752, 267000.3621554586 7032189.067465269, 267001.0121554586 7032189.817465269, 267001.01248344086 7032189.817843328, 267001.67124582833 7032190.576418199, 267002.32001899864 7032191.334983751, 267002.32248344086 7032191.337843328, 267002.9823194363 7032192.097654474, 267003.2421554582 7032192.397465269, 267003.6321554589 7032192.847465269, 267004.2812607256 7032193.596432884, 267004.94037169876 7032194.365395687, 267004.9421554586 7032194.367465269, 267005.5921554586 7032195.117465269, 267005.5924834408 7032195.117843328, 267006.25248344085 7032195.877843328, 267006.287150263 7032195.913942383, 267006.3252523437 7032195.946394836, 267006.366407911 7032195.974875524, 267006.4102045975 7032195.999099077, 267006.45620357274 7032196.018822783, 267006.50394393964 7032196.033849015, 267006.5529473531 7032196.044027215, 267006.6027228127 7032196.049255401, 267006.652771582 7032196.049481186, 267006.7025921865 7032196.044702309, 267008.27188400243 7032195.8144257935, 267008.75231963827 7032196.367654707, 267009.40108312987 7032197.116227967, 267010.0500189986 7032197.874983751, 267010.05248344084 7032197.877843328, 267010.71231963823 7032198.637654707, 267011.3612607256 7032199.386432884, 267012.0203716988 7032200.155395687, 267012.02215545863 7032200.157465269, 267012.6721554586 7032200.907465269, 267013.3221554586 7032201.657465269, 267013.32248344086 7032201.657843328, 267013.9812458283 7032202.4164181985, 267014.63001899864 7032203.174983751, 267014.6598321802 7032203.206906848, 267014.69231771637 7032203.236106159, 267015.449764538 7032203.859321899, 267016.07108312985 7032204.576227967, 267016.7200189986 7032205.334983751, 267016.7246432415 7032205.340313947, 267017.381246923 7032206.086454494, 267018.02793069347 7032206.852526038, 267018.0321554586 7032206.857465269, 267018.6821554586 7032207.607465269, 267018.68248344085 7032207.607843328, 267019.3423196382 7032208.367654707, 267019.9921554586 7032209.117465269, 267019.9949370893 7032209.120647566, 267020.6624568034 7032209.877834108, 267021.3100189986 7032210.634983751, 267021.3121554586 7032210.637465268, 267021.96215545863 7032211.387465268, 267021.9624834407 7032211.387843328, 267022.62124583963 7032212.146418212, 267023.24474327604 7032212.875430599, 267023.7543408719 7032213.702324811, 267023.7759634419 7032213.7345411, 267023.8000189986 7032213.764983752, 267024.45001899864 7032214.524983752, 267025.1000189986 7032215.284983751, 267025.1046432415 7032215.290313947, 267025.7623122982 7032216.037665147, 267026.359022396 7032216.735356954, 267026.73874052713 7032217.642975902, 267026.7617346927 7032217.690673057, 267026.7896440041 7032217.735671064, 267026.8221554586 7032217.777465269, 267027.4721554586 7032218.527465269, 267027.4746432415 7032218.530313947, 267028.13249144814 7032219.277868727, 267028.7903716989 7032220.045395686, 267028.7921554586 7032220.0474652685, 267029.4421554586 7032220.7974652685, 267029.4424834407 7032220.797843328, 267030.0991469606 7032221.554001321, 267030.3458893603 7032221.850092201, 267030.3526972389 7032221.858089358, 267030.75135173823 7032222.316542032, 267031.40001899865 7032223.074983751, 267031.40464324155 7032223.080313947, 267032.06339396624 7032223.828894316, 267032.71126074163 7032224.576432903, 267033.3703716989 7032225.345395686, 267033.3721554586 7032225.347465268, 267034.0210831121 7032226.096227946, 267034.6700189984 7032226.854983752, 267034.6746432415 7032226.860313947, 267035.3306356636 7032227.605759881, 267035.63673975936 7032227.971109931, 267035.6431136352 7032227.978567601, 267035.9813745635 7032228.366572783, 267036.61965667736 7032229.1145596355, 267036.6246432415 7032229.120313947, 267037.2810489554 7032229.866229531, 267038.557544401 7032231.382067872, 267038.55965667736 7032231.384559635, 267039.1962979246 7032232.130623597, 267039.8230213503 7032232.896618895, 267039.851703621 7032232.928745903, 267039.8830441888 7032232.958285471, 267039.9168105298 7032232.985018438, 267039.9527521223 7032233.008746463, 267040.7795448598 7032233.504822105, 267041.3550603254 7032234.19909473, 267041.35548034945 7032234.199600748, 267041.99424506654 7032234.968114548, 267042.6230213505 7032235.736618895, 267043.2519025926 7032236.505251525, 267043.5007934805 7032236.813876226, 267043.507985042 7032236.822590409, 267043.8844612231 7032237.2684174655, 267044.51079184137 7032238.043874422, 267045.12956752 7032238.812353893, 267045.69844959467 7032239.528044245, 267046.0306651203 7032240.432408731, 267046.05165566405 7032240.481330875, 267046.0777286017 7032240.527744031, 267046.1085883726 7032240.571122062, 267046.7283341258 7032241.350802204, 267047.33808031917 7032242.1204818245, 267047.34102940984 7032242.124168553, 267047.97102940985 7032242.904168554, 267047.9730213503 7032242.906618895, 267048.6005266689 7032243.67356984, 267049.2073721222 7032244.439587872, 267049.8266681232 7032245.22869084, 267049.8305544191 7032245.233579558, 267050.4483279593 7032246.00081444, 267051.0551903549 7032246.77680242, 267051.66424735426 7032247.565581157, 267051.67055441905 7032247.573579558, 267052.2873601423 7032248.339612473, 267052.8930282832 7032249.124002361, 267053.49182179937 7032249.912413823, 267053.4961409692 7032249.91801796, 267054.1039615496 7032250.695231161, 267054.7018217993 7032251.482413823, 267055.30182179937 7032252.272413823, 267055.9009072545 7032253.061209672, 267056.4996957279 7032253.859594303, 267057.0893923048 7032254.649188025, 267057.09182179935 7032254.652413823, 267057.68969027046 7032255.43960731, 267058.2775985455 7032256.236771073, 267058.8675985457 7032257.036771073, 267059.45551567804 7032257.8339468455, 267060.03347265336 7032258.6410936555, 267060.0375985455 7032258.646771072, 267060.626390004 7032259.445132373, 267061.20519477833 7032260.243483786, 267061.2056319578 7032260.244085849, 267061.4456319578 7032260.574085849, 267061.445996235 7032260.574586079, 267061.7935177413 7032261.051187002, 267062.3610967903 7032261.857746704, 267062.3634726534 7032261.861093656, 267062.94227784534 7032262.669425044, 267063.51109679026 7032263.477746704, 267063.51347265334 7032263.481093656, 267064.043233272 7032264.220931761, 267064.30941799306 7032265.147988893, 267064.3241267431 7032265.191554698, 267064.34277552605 7032265.233585039, 267064.36520662357 7032265.2737244535, 267064.39123032906 7032265.311633469, 267064.98061350995 7032266.090818013, 267065.57879275875 7032266.888390345, 267066.16759854567 7032267.686771072, 267066.16999999987 7032267.6899999995, 267066.7675710189 7032268.486761359, 267067.34519477835 7032269.283483786, 267067.35410887236 7032269.295401728, 267067.62023246475 7032269.640376755, 267067.9109515623 7032270.037692855, 267068.40570551564 7032270.769928706, 267068.43782474566 7032270.812400489, 267068.4742786033 7032270.851215608, 267068.51465362916 7032270.885933825, 267068.5584918901 7032270.916161365, 267069.32229507697 7032271.384858775, 267069.68380547373 7032272.065843475, 267070.07694528083 7032272.881608576, 267070.4498778734 7032273.705985885, 267070.7829025479 7032274.538547572, 267071.0875768933 7032275.37394497, 267071.37403956125 7032276.243210997, 267071.48057695804 7032276.582193623, 267071.59657610604 7032276.997857237, 267071.62492874986 7032277.111267813, 267071.6308339871 7032277.132828331, 267071.9408339871 7032278.172828331, 267071.9590089472 7032278.223616242, 267072.37900894723 7032279.223616242, 267072.381391356 7032279.229193654, 267072.811391356 7032280.219193653, 267072.8208078195 7032280.239605065, 267072.9135146865 7032280.429232748, 267072.49007188063 7032281.053631462, 267070.0841179576 7032284.398007248, 267070.05801554763 7032284.438227419, 267070.0358856632 7032284.480762889, 267070.01793181046 7032284.525222501, 267070.00431909296 7032284.571197405, 267069.9951726931 7032284.618264819, 267069.99057672115 7032284.665991907, 267069.9905734416 7032284.713939774, 267069.9951628846 7032284.761667491, 267070.0043028457 7032284.808736155, 267070.01790927385 7032284.854712921, 267070.0358570445 7032284.899174989, 267070.05798111006 7032284.941713486, 267071.4679811101 7032287.361713486, 267071.4748674267 7032287.373177308, 267072.12486742664 7032288.4231773075, 267072.13714594656 7032288.442048809, 267072.82714594656 7032289.452048808, 267072.831744767 7032289.458665316, 267073.53174476704 7032290.448665316, 267073.54228414 7032290.463021608, 267074.02228414 7032291.093021608, 267074.0295655953 7032291.102347524, 267074.2691055345 7032291.401772448, 267074.92864727083 7032292.231196146, 267074.93094129936 7032292.2340594325, 267075.60094129934 7032293.064059433, 267075.6028110578 7032293.066361696, 267076.2728110578 7032293.886361697, 267076.2770544485 7032293.891485155, 267076.95705444855 7032294.701485154, 267076.9593783847 7032294.704233227, 267077.6493783847 7032295.514233228, 267077.6537116527 7032295.519252304, 267078.3537116526 7032296.319252304, 267078.35811895045 7032296.324222209, 267079.7781189505 7032297.904222209, 267079.78045358695 7032297.906801795, 267080.5004535869 7032298.696801795, 267080.50714751036 7032298.70400301, 267081.23596341297 7032299.4727540305, 267081.95478797186 7032300.241496962, 267081.9641130004 7032300.251204276, 267082.7129346868 7032301.010010252, 267083.451764406 7032301.768808342, 267083.4611916584 7032301.778235594, 267084.9811916584 7032303.258235594, 267085.7411916586 7032303.998235594, 267085.7483409288 7032304.005060377, 267086.5283409288 7032304.735060377, 267086.5308599487 7032304.737401723, 267087.31085994875 7032305.457401723, 267087.31577779097 7032305.461881049, 267088.8957777909 7032306.881881049, 267088.8984065393 7032306.884226905, 267089.6884065393 7032307.584226905, 267089.6957667721 7032307.590621615, 267090.5057667721 7032308.280621615, 267090.5108320653 7032308.28487898, 267091.3308320653 7032308.96487898, 267092.15083206526 7032309.64487898, 267092.1536383034 7032309.647188942, 267092.9736383034 7032310.317188942, 267092.97880385385 7032310.321352729, 267093.80880385387 7032310.981352729, 267093.811089224 7032310.98315917, 267094.65108922403 7032311.64315917, 267094.6569783925 7032311.64771586, 267095.4966264589 7032312.28744772, 267096.3462749461 7032312.937178916, 267096.3553492844 7032312.943956627, 267097.204576007 7032313.563392589, 267097.5438047748 7032313.812825507, 267097.5449917054 7032313.813695561, 267098.06499170535 7032314.193695561, 267098.0707282408 7032314.197825759, 267098.9307282408 7032314.807825759, 267098.9329530953 7032314.809394767, 267099.80295309535 7032315.419394766, 267099.8083315875 7032315.423113671, 267100.6883315875 7032316.023113672, 267100.6915617849 7032316.025297677, 267101.5715617849 7032316.615297677, 267101.57373141864 7032316.616744132, 267102.46373141865 7032317.206744132, 267102.47033891745 7032317.211049761, 267103.36033891747 7032317.781049761, 267103.3624739596 7032317.7824095385, 267104.26247395965 7032318.352409538, 267104.26615839923 7032318.354720625, 267104.9261583992 7032318.764720625, 267104.94193053065 7032318.77412157, 267105.29042838665 7032318.973263202, 267105.9089322411 7032319.332394473, 267105.9241738752 7032319.340892321, 267106.32411487796 7032319.554814253, 267106.69651621423 7032319.8248052215, 267106.7022532968 7032319.828903209, 267107.5122532968 7032320.39890321, 267107.56250206486 7032320.429994012, 267107.61606780195 7032320.454939724, 267108.526067802 7032320.814939723, 267108.5374671777 7032320.819289276, 267109.2174671777 7032321.069289276, 267109.23392335523 7032321.075015874, 267109.93392335525 7032321.305015874, 267109.94632605725 7032321.308913142, 267110.6463260572 7032321.518913142, 267110.66873218754 7032321.52507125, 267111.3487321875 7032321.69507125, 267111.8287321874 7032321.81507125, 267111.8299606009 7032321.815376702, 267112.7599606009 7032322.045376701, 267113.68621886225 7032322.274451326, 267114.59068675793 7032322.512992309, 267115.50644986617 7032322.76184098, 267116.4240214975 7032323.021154702, 267116.4288851262 7032323.022502735, 267117.3408828361 7032323.2703281995, 267118.2429570755 7032323.547889505, 267118.25263943616 7032323.550761974, 267119.15537779906 7032323.80868722, 267120.058182104 7032324.096394087, 267120.0629570755 7032324.097889504, 267120.96979852644 7032324.3769176435, 267121.86505105946 7032324.665387904, 267122.77030244755 7032324.963822427, 267123.66716654703 7032325.2727422835, 267123.6718861171 7032325.274341648, 267124.52073859866 7032325.557292475, 267128.69440130575 7032328.039731669, 267128.7370864708 7032328.0624022875, 267128.7817610832 7032328.080845694, 267128.82800770673 7032328.094889555, 267128.87539421656 7032328.104402647, 267128.92347783694 7032328.10929608, 267128.97180927836 7032328.109524129, 267129.01993693557 7032328.105084665, 267129.0674111076 7032328.096019168, 267129.1137881995 7032328.082412347, 267129.15863486746 7032328.064391343, 267129.2015320677 7032328.0421245415, 267129.24207897217 7032328.015820002, 267129.2798967138 7032327.985723513, 267129.31463192665 7032327.952116294, 267129.34596004756 7032327.915312367, 267129.37358834903 7032327.875655624, 267132.0608467547 7032323.5908174785, 267132.4619789194 7032323.753301393, 267133.36949947884 7032324.122293269, 267134.27518207364 7032324.500490396, 267135.18304035085 7032324.889572515, 267135.18551398156 7032324.89062478, 267136.0802462207 7032325.268400614, 267136.96387296123 7032325.665536229, 267137.8627176939 7032326.07500994, 267138.75865963387 7032326.483161269, 267139.6346352069 7032326.901240519, 267139.636612251 7032326.902178802, 267140.52454362455 7032327.321202596, 267141.40839577967 7032327.748232288, 267142.2743441377 7032328.1861831825, 267142.2784099262 7032328.188216287, 267142.9975852686 7032328.543763647, 267143.40630106523 7032329.557038226, 267143.42777925095 7032329.603325543, 267143.453863304 7032329.647182702, 267143.48428155086 7032329.688152916, 267143.518717176 7032329.725809468, 267143.5568115216 7032329.7597601535, 267143.5981678232 7032329.789651364, 267143.642355342 7032329.815171775, 267144.5202671 7032330.264103925, 267145.3730897256 7032330.710348321, 267146.21805317537 7032331.177563406, 267146.2241738749 7032331.180892321, 267147.0828116783 7032331.640163705, 267147.42389928666 7032331.825325549, 267147.92648993625 7032332.120967108, 267147.9380531757 7032332.127563407, 267148.78414995177 7032332.595405153, 267149.6272596197 7032333.081433079, 267150.4642580701 7032333.579646443, 267150.4680644875 7032333.581889451, 267151.3031173949 7032334.069003646, 267152.12823771406 7032334.576005288, 267152.13051093294 7032334.577393758, 267152.969372426 7032335.086702522, 267153.7945517488 7032335.593740419, 267154.61856247653 7032336.119915944, 267155.42623616336 7032336.648393788, 267155.43090552336 7032336.651412106, 267156.2567511783 7032337.178759331, 267157.0626499019 7032337.716025147, 267157.06500471523 7032337.717585432, 267157.8808424383 7032338.254844421, 267158.67673558864 7032338.802020961, 267158.72181976965 7032338.829625042, 267158.7695663948 7032338.852314873, 267158.8194417391 7032338.869836821, 267159.72852882335 7032339.1361350585, 267161.2598626053 7032340.227210378, 267162.05572524294 7032340.794262508, 267162.8316486168 7032341.37123117, 267162.83409703744 7032341.373040242, 267163.62121652655 7032341.950925437, 267164.3951545233 7032342.536340076, 267165.17198203976 7032343.143859031, 267165.17267521174 7032343.144400145, 267165.94109168946 7032343.743166231, 267166.7082695399 7032344.350930503, 267167.4670271819 7032344.959933347, 267168.2254769294 7032345.568689065, 267168.97964926285 7032346.183934916, 267169.72544036445 7032346.820343323, 267169.725877207 7032346.820715662, 267170.4656587249 7032347.450529657, 267171.21143407887 7032348.086924626, 267171.9375006944 7032348.733422297, 267171.94038323045 7032348.735969128, 267172.6687819058 7032349.374565227, 267173.4033488862 7032350.02971956, 267174.1095766615 7032350.686212986, 267174.11190924665 7032350.688367537, 267174.8391353127 7032351.355821597, 267175.20640007325 7032351.703234209, 267175.2126154001 7032351.7090144055, 267175.55834075564 7032352.025106159, 267176.26415779797 7032352.701099946, 267176.2666882336 7032352.703506576, 267176.9866882336 7032353.383506576, 267176.98929073574 7032353.385946986, 267177.274911057 7032353.651869355, 267177.7006302381 7032354.06768809, 267177.7066882336 7032354.073506576, 267178.42280410597 7032354.749838233, 267179.1189786005 7032355.436067378, 267179.82896290853 7032356.136051907, 267179.83153292834 7032356.138567567, 267180.54153292836 7032356.828567566, 267181.2477002631 7032357.514842864, 267181.94394809305 7032358.221037092, 267181.94644660933 7032358.22355339, 267182.64644660935 7032358.92355339, 267182.6807034536 7032358.954772291, 267182.71770388697 7032358.982684995, 267182.75712997915 7032359.00705166, 267182.79864295735 7032359.027662912, 267182.8418861171 7032359.044341649, 267183.7763264145 7032359.355821747, 267184.3814324333 7032359.978467071, 267184.38394809305 7032359.981037091, 267185.08394809306 7032360.691037091, 267185.1068933274 7032360.712880604, 267185.8568933274 7032361.382880604, 267185.85935243394 7032361.385062911, 267186.6168677061 7032362.052872427, 267187.3544122066 7032362.720649204, 267187.35935243394 7032362.7250629105, 267188.11935243395 7032363.39506291, 267188.12215667224 7032363.397516559, 267188.5531782071 7032363.771824734, 267186.09119470156 7032367.54686611, 267186.06630679005 7032367.5894868, 267186.0457421032 7032367.634353548, 267186.0297010179 7032367.681029184, 267186.0183398341 7032367.729058913, 267186.01176925213 7032367.777974748, 267186.0100532938 7032367.827300064, 267186.013208679 7032367.876554252, 267186.0212046625 7032367.925257389, 267186.0339633337 7032367.972934929, 267186.05136037554 7032368.019122312, 267186.073226276 7032368.063369501, 267186.0993479799 7032368.105245366, 267186.1294709643 7032368.144341877, 267186.1633017193 7032368.180278091, 267186.200510607 7032368.212703853, 267193.090510607 7032373.642703853, 267193.1299290984 7032373.67078701, 267193.1718781338 7032373.694927426, 267193.2159646539 7032373.714898905, 267193.2617755713 7032373.730514315, 267193.3088816413 7032373.741627343, 267193.35684148344 7032373.74813386, 267193.40520571766 7032373.749972899, 267193.45352117467 7032373.747127231, 267193.50133514235 7032373.739623518, 267193.54819960723 7032373.727532068, 267193.8381996072 7032373.637532068, 267193.5418003928 7032372.682467932, 267193.50295202906 7032372.694524321, 267187.1785158281 7032367.7102444125, 267189.6288052985 7032363.95313389, 267189.6529587105 7032363.9119214965, 267189.67306906375 7032363.868592264, 267189.6889528028 7032363.823541676, 267189.7004649505 7032363.777180925, 267189.707500431 7032363.729933167, 267189.7099950287 7032363.682229648, 267189.7079259743 7032363.634505779, 267189.70131215296 7032363.587197153, 267189.69021393167 7032363.540735575, 267189.6747326082 7032363.495545119, 267189.65500948677 7032363.4520382555, 267189.631224588 7032363.410612089, 267189.60359500616 7032363.371644732, 267189.57237292733 7032363.335491856, 267189.5378433278 7032363.30248344, 267188.7792500084 7032362.643705031, 267188.0231322939 7032361.9771275725, 267187.2855877934 7032361.309350795, 267187.2806475661 7032361.304937089, 267186.5218807345 7032360.636024225, 267185.784925463 7032359.977677515, 267185.0973143304 7032359.280243366, 267184.40856756666 7032358.571532928, 267184.37367270014 7032358.538901609, 267184.3358227604 7032358.50974965, 267184.2953633107 7032358.484343202, 267184.25266373844 7032358.462914221, 267184.20811388287 7032358.445658351, 267183.27009075676 7032358.132983976, 267182.6548071483 7032357.517700368, 267181.9560519069 7032356.808962909, 267181.9484670719 7032356.801432434, 267181.23846707196 7032356.111432433, 267180.52975662134 7032355.422685658, 267179.82103709143 7032354.723948093, 267179.12100075785 7032354.033912275, 267179.1133117664 7032354.026493424, 267178.3963652167 7032353.349377238, 267177.9693697619 7032352.93231191, 267177.96070926427 7032352.924053013, 267177.6720148613 7032352.655268569, 267176.95458120183 7032351.977692335, 267176.24584220204 7032351.298900054, 267176.2373845999 7032351.2909855945, 267175.8905168093 7032350.973849328, 267175.52359992673 7032350.626765791, 267175.51809075335 7032350.621632463, 267174.7892605104 7032349.952706076, 267174.0804233385 7032349.293787015, 267174.07280742354 7032349.286852283, 267173.33280742355 7032348.626852283, 267173.32961676957 7032348.624030872, 267172.60106294637 7032347.985298754, 267171.8724993056 7032347.336577703, 267171.8645596352 7032347.329656677, 267171.1145596352 7032346.689656678, 267171.11412279296 7032346.689284339, 267170.3743414005 7032346.0594704505, 267169.62455963553 7032345.419656677, 267169.61606336373 7032345.41256749, 267168.8560633637 7032344.79256749, 267168.85297281784 7032344.790066653, 267168.0929728179 7032344.1800666535, 267167.33297281817 7032343.570066653, 267167.3304818252 7032343.568080319, 267166.5604818252 7032342.958080319, 267166.55732478824 7032342.955599855, 267165.7876716489 7032342.355870136, 267165.00801796024 7032341.746140969, 267165.00163346896 7032341.741230329, 267164.22163346893 7032341.151230329, 267164.21590296255 7032341.146959757, 267163.4271299138 7032340.567860557, 267162.64835138316 7032339.988768829, 267162.64013739437 7032339.982789621, 267161.8401373944 7032339.412789621, 267160.2401373947 7032338.272789622, 267160.19308278756 7032338.243066642, 267160.1430162955 7032338.218757428, 267160.0905582609 7032338.200163178, 267159.1773369424 7032337.932653903, 267158.44326441135 7032337.427979038, 267158.43499528477 7032337.422414567, 267157.6161748385 7032336.883191346, 267156.80735009816 7032336.343974853, 267156.7990944767 7032336.338587894, 267155.97143753746 7032335.810084066, 267155.16376383667 7032335.281606212, 267155.159094477 7032335.2785878945, 267154.329094477 7032334.748587894, 267154.3217622856 7032334.743994711, 267153.4917622856 7032334.233994711, 267153.48948906705 7032334.232606242, 267152.6506274762 7032333.72329742, 267151.82176228595 7032333.213994712, 267151.81193551247 7032333.2081105495, 267150.97384374955 7032332.719223688, 267150.1357419299 7032332.220353558, 267150.1297141521 7032332.2168223895, 267149.2797141521 7032331.726822389, 267149.27194682433 7032331.722436594, 267148.4277723467 7032331.255657765, 267147.92351006373 7032330.959032892, 267147.9085459309 7032330.950573283, 267147.55854593095 7032330.760573284, 267147.55582612514 7032330.759107679, 267146.6988980479 7032330.3007508, 267145.85194682464 7032329.832436594, 267145.84181098675 7032329.826983446, 267144.98181098676 7032329.376983447, 267144.977644658 7032329.374828225, 267144.26386268914 7032329.009826082, 267143.8536989348 7032327.992961774, 267143.83176813537 7032327.945818628, 267143.8050601684 7032327.901207861, 267143.7738638469 7032327.85961188, 267143.73851651984 7032327.821480495, 267143.69940042426 7032327.787226047, 267143.6569385516 7032327.757218958, 267143.6115900738 7032327.731783713, 267142.72362759797 7032327.292791029, 267141.8556558623 7032326.8538168175, 267141.8475159848 7032326.849792496, 267140.9575159848 7032326.419792497, 267140.953387749 7032326.417821199, 267140.0643773559 7032325.998288204, 267139.18536479305 7032325.578759481, 267139.1772823061 7032325.57499006, 267138.2772823061 7032325.16499006, 267137.3772823061 7032324.75499006, 267137.37496925064 7032324.753943417, 267136.4849692507 7032324.353943417, 267136.4744860185 7032324.349375219, 267135.575724345 7032323.969898068, 267134.6669596491 7032323.580427485, 267134.662667648 7032323.578611685, 267133.752667648 7032323.198611685, 267133.7483250415 7032323.196822195, 267132.8383250415 7032322.826822195, 267132.8377163814 7032322.826575184, 267132.0477163814 7032322.506575184, 267132.00066710485 7032322.490195075, 267131.9522213176 7032322.47857836, 267131.90285997844 7032322.471840365, 267131.8530731352 7032322.470047983, 267131.80335506034 7032322.473219011, 267131.7541993434 7032322.481321965, 267131.70609399094 7032322.494276403, 267131.65951658186 7032322.511953715, 267131.614929526 7032322.534178405, 267131.5727754733 7032322.5607298305, 267131.5334729195 7032322.591344397, 267131.4974120513 7032322.625718168, 267131.46495087276 7032322.66350989, 267131.43641165097 7032322.704344376, 267128.7858783677 7032326.930624251, 267124.98559869424 7032324.670268331, 267124.9380553694 7032324.645343026, 267124.8881138829 7032324.625658351, 267123.990477712 7032324.326446294, 267123.092833453 7032324.0172577165, 267123.0865475464 7032324.015139109, 267122.1765475464 7032323.71513911, 267122.17334688373 7032323.714095878, 267121.2733468837 7032323.424095878, 267121.26704292453 7032323.422110496, 267120.359434131 7032323.142846252, 267119.451817896 7032322.853605913, 267119.43736056384 7032322.849238026, 267118.532216236 7032322.590625362, 267117.6270429245 7032322.312110496, 267117.6111148738 7032322.307497265, 267116.69355013384 7032322.058159021, 267115.7759785025 7032321.798845299, 267115.7711148738 7032321.797497265, 267114.8511148738 7032321.547497265, 267114.8475081439 7032321.546531621, 267113.93750814395 7032321.306531621, 267113.9300393996 7032321.304623298, 267113.0000393996 7032321.074623298, 267112.0706539129 7032320.844775275, 267111.5912678126 7032320.72492875, 267110.9225424365 7032320.557747406, 267110.2399006246 7032320.352954863, 267109.554354643 7032320.127704039, 267108.8882590516 7032319.882815954, 267108.03916808165 7032319.546911835, 267107.2806296911 7032319.013125559, 267106.8834837858 7032318.725194778, 267106.8258261248 7032318.689107679, 267106.40352109476 7032318.463223593, 267105.79106775887 7032318.107605527, 267105.78806946933 7032318.1058784295, 267105.4460418635 7032317.910434083, 267104.7956888737 7032317.506426923, 267103.89859530877 7032316.938267666, 267103.012981804 7032316.371076994, 267102.1273552412 7032315.783976238, 267101.25005757995 7032315.195788034, 267100.37436981907 7032314.598728197, 267099.50816146954 7032313.991386711, 267098.6521546119 7032313.384219055, 267098.1356024491 7032313.006738629, 267097.7961952252 7032312.757174494, 267097.7946507156 7032312.756043374, 267096.9492262543 7032312.139380826, 267096.1037250539 7032311.492821083, 267096.1030216075 7032311.49228414, 267095.2659831728 7032310.854540571, 267094.43005603424 7032310.197740676, 267093.6037927455 7032309.540712036, 267092.787768991 7032308.873960921, 267091.96916793473 7032308.19512102, 267091.15171466727 7032307.517232945, 267090.34794452443 7032306.83253986, 267089.5629119484 7032306.136941374, 267087.98669606127 7032304.720342286, 267087.2104035278 7032304.003764563, 267086.43526743614 7032303.278316682, 267085.67880834144 7032302.5417644065, 267084.1635848194 7032301.066415187, 267083.428235594 7032300.3111916585, 267083.42588699964 7032300.308795724, 267082.68061485194 7032299.553586614, 267081.9652120281 7032298.788503039, 267081.9628524896 7032298.78599699, 267081.23623486224 7032298.019564698, 267080.5207181898 7032297.234483905, 267079.1041012036 7032295.658248104, 267078.40847162437 7032294.86324287, 267077.7217885319 7032294.057136631, 267077.04508429265 7032293.251062464, 267076.37812721677 7032292.434786639, 267075.7102110099 7032291.607368055, 267075.05135272915 7032290.778803853, 267075.05043440463 7032290.777652476, 267074.8141303113 7032290.48227236, 267074.3431134031 7032289.864062668, 267073.6505812945 7032288.884624399, 267072.96920580993 7032287.88724869, 267072.3286523922 7032286.852508554, 267071.08535346447 7032284.718619615, 267073.3058820424 7032281.631992753, 267073.31381679996 7032281.620634382, 267073.9038167999 7032280.750634382, 267073.9286940351 7032280.709890691, 267073.9495722669 7032280.666960228, 267073.96626117546 7032280.622234335, 267073.9786086296 7032280.576120719, 267073.986</t>
  </si>
  <si>
    <t>['FV6682 S1D1 m3349-3350']</t>
  </si>
  <si>
    <t>LINESTRING Z (267194.61 7032372.74 0.133, 267193.69 7032373.16 118.463)</t>
  </si>
  <si>
    <t>POLYGON ((267193.48235382524 7032372.7051559985, 267193.89764617477 7032373.614844002, 267194.81764617475 7032373.194844002, 267194.4023538252 7032372.285155999, 267193.48235382524 7032372.7051559985))</t>
  </si>
  <si>
    <t>['FV6682 S1D1 m2848-3351']</t>
  </si>
  <si>
    <t>LINESTRING Z (266814.05 7032054.39 106.343, 266810.91 7032073.63 104.543, 266811.13 7032074.81 104.653, 266815.57 7032077.24 105.003, 266825.31 7032082.39 105.143, 266829.49 7032084.62 105.113, 266830.97 7032085.27 105.373, 266840.58 7032089.62 105.433, 266845.45 7032091.88 105.213, 266849.96 7032094.04 105.523, 266849.67 7032094.64 105.553, 266852.24 7032096.37 105.563, 266853.98 7032095.93 105.583, 266854.58 7032096.21 105.513, 266862.44 7032099.9 105.673, 266864.74 7032100.96 105.553, 266869.41 7032103.23 105.723, 266873.13 7032104.99 105.703, 266881.1 7032108.7 106.013, 266881.85 7032108.99 105.903, 266889.23 7032112.49 106.413, 266890.72 7032113.13 106.313, 266896.66 7032115.88 106.553, 266900.66 7032117.86 106.443, 266904.08 7032119.63 106.613, 266906.77 7032122.95 106.713, 266912.28 7032125.99 107.503, 266918.43 7032129.18 107.683, 266924.87 7032132.49 107.703, 266929.85 7032135.61 107.353, 266933.14 7032136.98 107.843, 266935.84 7032138.27 107.393, 266942.32 7032140.63 107.333, 266948.76 7032142.17 107.773, 266958.61 7032145.85 107.903, 266962.95 7032149.24 108.023, 266968.6 7032153.03 108.153, 266971.14 7032154.34 108.223, 266971.85 7032153.82 108.183, 266978.64 7032158.7 108.233, 266978.88 7032159.8 108.203, 266981.79 7032162.32 108.493, 266986.07 7032166.04 108.613, 266991.07 7032170.65 108.783, 266997.83 7032177.57 109.103, 267002.65 7032182.7 109.223, 267007.11 7032186.59 109.353, 267009.85 7032191.17 109.333, 267015.2 7032197.3 109.483, 267020.19 7032202.95 109.663, 267024.74 7032207.93 109.793, 267029.4 7032213.68 109.813, 267034.13 7032219.05 110.063, 267034.86 7032219.46 110.053, 267039.15 7032224.01 110.043, 267041.5 7032226.91 110.113, 267046.27 7032232.41 110.123, 267049.6 7032236.58 110.273, 267054.85 7032243.45 110.323, 267059.93 7032250 110.453, 267064.59 7032256.24 110.533, 267068.99 7032262.71 110.793, 267072.77 7032268.29 110.843, 267075.03 7032271.87 110.793, 267075.78 7032274.14 111.003, 267076.27 7032277.61 111.103, 267078.33 7032284.43 111.433, 267081.88 7032288.04 111.703, 267087.59 7032294.57 111.973, 267093.08 7032300.39 112.343, 267097.31 7032303.41 112.563, 267101.87 7032306.88 112.563, 267105.42 7032310.17 112.903, 267109.94 7032312.73 113.043, 267114.51 7032314.31 113.063, 267120.05 7032316.13 113.213, 267127.13 7032318.43 113.483, 267132.91 7032320 113.653, 267135.62 7032321.33 113.823, 267141.69 7032323.75 113.973, 267144.49 7032325.16 113.993, 267149.92 7032327.48 114.113, 267157.66 7032331.98 114.493, 267163.44 7032335.84 114.623, 267169.22 7032340.16 114.883, 267173.57 7032343.81 115.043, 267178.87 7032348.42 115.403, 267185.22 7032354.67 115.713, 267190.53 7032359.8 115.913, 267197.18 7032366.11 115.933, 267198.5 7032369.74 118.273, 267196.9 7032371.14 118.333, 267196.28 7032371.64 118.343, 267195.73 7032372.17 118.373, 267195.04 7032372.49 118.403, 267194.61 7032372.74 0.133)</t>
  </si>
  <si>
    <t>POLYGON ((266810.41652856616 7032073.549464641, 266810.41141499067 7032073.592410261, 266810.41003177816 7032073.635637123, 266810.41238927766 7032073.678821809, 266810.4184698505 7032073.721641215, 266810.6384698505 7032074.901641214, 266810.6498521609 7032074.949492123, 266810.66588089353 7032074.995993158, 266810.6864009374 7032075.040694324, 266810.7112137187 7032075.083163047, 266810.7400791224 7032075.122988353, 266810.77271781623 7032075.15978485, 266810.8088139533 7032075.193196455, 266810.84801822895 7032075.222899843, 266810.8899512608 7032075.248607572, 266815.3299512608 7032077.678607573, 266815.33628553164 7032077.682015325, 266825.0754674554 7032082.831582769, 266829.25465110684 7032085.061147253, 266829.28894171846 7032085.077794242, 266830.7663709364 7032085.726665181, 266840.37166513863 7032090.074535086, 266845.2367676136 7032092.332262313, 266849.29146281205 7032094.274200589, 266849.2198255236 7032094.422415669, 266849.201174912 7032094.466209791, 266849.18677330023 7032094.511578986, 266849.1767512114 7032094.558112073, 266849.17119947664 7032094.605387316, 266849.17016841157 7032094.652976257, 266849.17366736097 7032094.700447592, 266849.18166461354 7032094.747371087, 266849.1940876895 7032094.793321468, 266849.2108239975 7032094.837882285, 266849.23172185506 7032094.880649678, 266849.2565918632 7032094.921236044, 266849.28520862287 7032094.959273544, 266849.3173127782 7032094.994417442, 266849.3526133666 7032095.026349226, 266849.3907904558 7032095.054779496, 266851.9607904558 7032096.7847794965, 266852.0006700729 7032096.809000212, 266852.04263380065 7032096.829398067, 266852.0863162145 7032096.845795433, 266852.1313369234 7032096.858049522, 266852.17730388197 7032096.866053623, 266852.2238168051 7032096.869738036, 266852.2704706533 7032096.869070676, 266852.3168591597 7032096.864057355, 266852.3625783683 7032096.854741729, 266853.92993151664 7032096.458399553, 266854.3680372744 7032096.662848907, 266862.22751754196 7032100.352604911, 266862.23072134564 7032100.354095194, 266864.5260452159 7032101.411940107, 266869.1914144643 7032103.679689186, 266869.1961657589 7032103.681967828, 266872.9161657589 7032105.441967828, 266872.91899326944 7032105.443294782, 266880.8889932694 7032109.153294782, 266880.9196774035 7032109.166351543, 266881.6524424045 7032109.449687343, 266889.01574633655 7032112.941769154, 266889.032668292 7032112.949412883, 266890.5162636689 7032113.586661904, 266896.444026146 7032116.330996384, 266900.43416684284 7032118.30611603, 266903.7573313706 7032120.025999425, 266906.3815138502 7032123.264767393, 266906.41362081526 7032123.300704828, 266906.44903833856 7032123.333384418, 266906.48743741144 7032123.362502586, 266906.52846132853 7032123.387788842, 266912.03846132854 7032126.4277888425, 266912.0497782228 7032126.433844493, 266918.19977822277 7032129.623844492, 266918.201435219 7032129.624700057, 266924.6225426923 7032132.924989768, 266929.5845418119 7032136.033712109, 266929.6203849003 7032136.05415865, 266929.65779193194 7032136.071579959, 266932.9359874355 7032137.436664409, 266935.6244496441 7032138.721151908, 266935.6688956368 7032138.73981198, 266942.1488956368 7032141.0998119805, 266942.2037133934 7032141.116289446, 266948.6138118752 7032142.649139083, 266958.3628888913 7032146.291433847, 266962.6422132181 7032149.634039715, 266962.6714638464 7032149.655231997, 266968.32146384637 7032153.445231997, 266968.3708122447 7032153.474379312, 266970.91081224475 7032154.784379312, 266970.95667226927 7032154.805178399, 266971.0043917824 7032154.821259193, 266971.05348676635 7032154.832458587, 266971.1034592519 7032154.838662986, 266971.15380236943 7032154.839809458, 266971.2040054898 7032154.835886375, 266971.25355940405 7032154.826933529, 266971.3019614881 7032154.813041728, 266971.3487208007 7032154.794351876, 266971.39336306334 7032154.771053544, 266971.43543547083 7032154.743383047, 266971.85277021956 7032154.4377294285, 266978.1923918673 7032158.9940407155, 266978.3914921193 7032159.906583537, 266978.4033128555 7032159.950895216, 266978.41914396966 7032159.99393741, 266978.4388522742 7032160.035348006, 266978.4622719628 7032160.074778615, 266978.4892060052 7032160.111897505, 266978.51942780474 7032160.146392396, 266978.5526831048 7032160.177973081, 266981.4623404395 7032162.697676341, 266985.7364641514 7032166.412568913, 266990.7214669752 7032171.008741517, 266997.4689378993 7032177.915915894, 267002.28560818965 7032183.042372033, 267002.3213462489 7032183.076811242, 267006.7216145165 7032186.9147133855, 267009.42092323874 7032191.426696578, 267009.44549962477 7032191.463903804, 267009.47329320654 7032191.498773466, 267014.8232932066 7032197.628773466, 267014.8252359692 7032197.630986285, 267019.8152359692 7032203.280986286, 267019.8208696036 7032203.287257692, 267024.360877657 7032208.256321451, 267029.01155067893 7032213.994812841, 267029.02479574905 7032214.010487171, 267033.75479574903 7032219.380487171, 267033.7941999875 7032219.42045695, 267033.8378356783 7032219.4557585595, 267033.88515296334 7032219.485947163, 267034.54858302046 7032219.858558565, 267038.77334032144 7032224.339361763, 267041.11153358617 7032227.224791749, 267041.12226878316 7032227.237595983, 267045.8856219792 7032232.729931953, 267049.20596220874 7032236.887835484, 267054.4527226202 7032243.753596251, 267054.45490202255 7032243.756427133, 267059.53211023274 7032250.302827483, 267064.18276745814 7032256.530316987, 267068.5762944049 7032262.990798656, 267072.35151087155 7032268.56373725, 267074.5744740453 7032272.085068295, 267075.2911793403 7032274.2542963205, 267075.7749117567 7032277.679911597, 267075.781705783 7032277.7175581595, 267075.79135813215 7032277.75457511, 267077.85135813215 7032284.574575109, 267077.8675597112 7032284.620128849, 267077.8880853554 7032284.663904781, 267077.912743139 7032284.705493579, 267077.9413024985 7032284.744506363, 267077.9734963886 7032284.780578343, 267081.513236619 7032288.38014517, 267087.2136045522 7032294.899129864, 267087.2262855173 7032294.913091497, 267092.71628551726 7032300.733091496, 267092.7513250401 7032300.766792743, 267092.7894719117 7032300.796931726, 267097.0132746754 7032303.812507222, 267101.54791731585 7032307.263211161, 267105.08013122104 7032310.53672771, 267105.12487632537 7032310.573611219, 267105.1735908642 7032310.60506613, 267109.6935908642 7032313.16506613, 267109.73425098887 7032313.1857053265, 267109.7766223052 7032313.202554473, 267114.3466223052 7032314.782554472, 267114.3539454669 7032314.785023139, 267119.8939454669 7032316.605023139, 267119.8955177146 7032316.605536774, 267126.9755177146 7032318.905536774, 267126.9989358268 7032318.91251651, 267132.7327116564 7032320.469960811, 267135.39971193904 7032321.778857628, 267135.4348324749 7032321.794449123, 267141.48458571127 7032324.206377101, 267144.2651181871 7032325.606573813, 267144.2935514489 7032325.619791221, 267149.6952738115 7032327.927709431, 267157.3952480989 7032332.404438668, 267163.1512888074 7032336.248438172, 267168.90939213766 7032340.552072495, 267173.2452085277 7032344.190171304, 267178.53023871855 7032348.787150395, 267184.8692636346 7032355.026348148, 267184.87259398954 7032355.029595695, 267190.1825939896 7032360.159595695, 267190.1858403439 7032360.162703916, 267196.75036916503 7032366.391602693, 267197.913111282 7032369.589143515, 267196.5783059829 7032370.75709815, 267195.9661237744 7032371.25079348, 267195.9330533794 7032371.279961054, 267195.4434929188 7032371.7517193165, 267194.8296375107 7032372.036405883, 267194.78868977126 7032372.057746407, 267194.35868977127 7032372.307746407, 267194.8613102287 7032373.172253594, 267195.2713295847 7032372.933870248, 267195.94036248926 7032372.623594117, 267195.98926183366 7032372.597531638, 267196.03497702937 7032372.566218388, 267196.0769466206 7032372.530038945, 267196.61105512676 7032372.015352567, 267197.21387622564 7032371.529206519, 267197.2292523039 7032371.516288348, 267198.82925230387 7032370.116288348, 267198.86519454984 7032370.081515652, 267198.89748341107 7032370.043326454, 267198.9257958715 7032370.002102797, 267198.94984869484 7032369.958257077, 267198.96940125816 7032369.912227928, 267198.98425795865 7032369.864475819, 267198.99427017086 7032369.815478462, 267198.9993377332 7032369.765726022, 267198.99940994993 7032369.715716221, 267198.99448609876 7032369.665949355, 267198.9846154375 7032369.616923286, 267198.96989671176 7032369.569128469, 267197.64989671175 7032365.939128469, 267197.6320895878 7032365.896423305, 267197.6104110857 7032365.855547063, 267197.585046845 7032365.8168497775, 267197.55621406727 7032365.780662824, 267197.52415965614 7032365.747296084, 267190.8757898399 7032359.43884292, 267185.56907873997 7032354.312020332, 267179.22073636536 7032348.063651852, 267179.1981422225 7032348.042743215, 267173.8981422225 7032343.432743215, 267173.8913894957 7032343.426974162, 267169.54138949566 7032339.776974163, 267169.5193343976 7032339.759501663, 267163.73933439766 7032335.439501663, 267163.7176820329 7032335.424196334, 267157.9376820329 7032331.564196334, 267157.91131022864 7032331.547746407, 267150.17131022864 7032327.047746407, 267150.11644855107 7032327.02020878, 267144.7008724999 7032324.706371498, 267141.9148818129 7032323.3034261875, 267141.8751675251 7032323.285550877, 267135.82302757335 7032320.872671358, 267133.13028806093 7032319.551142372, 267133.08648039034 7032319.532180941, 267133.04106417316 7032319.51748349, 267127.27285852435 7032317.950687145, 267120.2052689199 7032315.654718771, 267114.6697256707 7032313.836182902, 267110.1466081761 7032312.272391734, 267105.7171218303 7032309.763656104, 267102.20986877894 7032306.51327229, 267102.1727849436 7032306.482103935, 267097.6127849436 7032303.012103936, 267097.60052808834 7032303.003068274, 267093.4102360125 7032300.011417666, 267087.96018666105 7032294.23376972, 267082.2563954478 7032287.7108701365, 267082.23650361144 7032287.689421657, 267078.7729798895 7032284.167359505, 267076.7597275737 7032277.502126111, 267076.27508824336 7032274.070088403, 267076.2668680605 7032274.026160236, 267076.2547582784 7032273.983141538, 267075.5047582784 7032271.713141538, 267075.4821401062 7032271.656530273, 267075.4528005693 7032271.603092378, 267073.1928005693 7032268.023092378, 267073.1839593453 7032268.009575928, 267069.40395934525 7032262.429575928, 267069.403451365 7032262.42882751, 267065.00345136505 7032255.9588275105, 267064.9906154874 7032255.940822409, 267060.33061548736 7032249.700822408, 267060.3250979774 7032249.693572867, 267055.2461927478 7032243.144984431, 267049.99727737973 7032236.276403749, 267049.99070848373 7032236.267995384, 267046.6607084838 7032232.097995384, 267046.64773121686 7032232.082404017, 267041.88320580375 7032226.588716434, 267039.53846641385 7032223.695208251, 267039.5137947031 7032223.666993566, 267035.2237947031 7032219.116993566, 267035.18734807766 7032219.082053924, 267035.14756363415 7032219.050968025, 267035.10484703665 7032219.024052837, 267034.4489941035 7032218.655697079, 267029.78198764083 7032213.357214055, 267025.1284493211 7032207.615187159, 267025.1091303964 7032207.592742308, 267020.561973645 7032202.61585426, 267015.57573868183 7032196.970117277, 267010.2561153965 7032190.874922747, 267007.5390767612 7032186.333303422, 267007.5098678731 7032186.289823911, 267007.47627063206 7032186.249638686, 267007.4386537511 7032186.213188758, 267002.9973784694 7032182.339520407, 266998.1943918104 7032177.2276279675, 266998.1876640556 7032177.220605634, 266991.4276640556 7032170.300605634, 266991.40892624634 7032170.282401035, 266986.40892624634 7032165.672401034, 266986.39800203027 7032165.66262132, 266982.11800203024 7032161.9426213205, 266982.11731689516 7032161.942026919, 266979.33305215713 7032159.530911063, 266979.1285078807 7032158.593416463, 266979.1146958484 7032158.542952709, 266979.0956861573 7032158.494208538, 266979.07168695313 7032158.447717669, 266979.042961014 7032158.403989154, 266979.0098228733 7032158.363501795, 266978.9726353752 7032158.326698906, 266978.93180570274 7032158.293983459, 266972.1418057027 7032153.413983459, 266972.10130142723 7032153.38774129, 266972.05845577875 7032153.365526471, 266972.01366794965 7032153.347545979, 266971.96735522774 7032153.333967336, 266971.91994910827 7032153.324917056, 266971.87189127353 7032153.320479458, 266971.823629478 7032153.320695889, 266971.7756133764 7032153.325564332, 266971.7282903343 7032153.3350394275, 266971.68210126006 7032153.349032897, 266971.63747649686 7032153.367414361, 266971.59483181324 7032153.390012562, 266971.55456452916 7032153.416616953, 266971.0941912236 7032153.753791768, 266968.854698598 7032152.598777855, 266963.24354445405 7032148.834835518, 266958.9177867819 7032145.455960285, 266958.8761257262 7032145.426706841, 266958.83170610963 7032145.401841098, 266958.7849883694 7032145.381620805, 266948.9349883694 7032141.701620805, 266948.8762866066 7032141.683710554, 266942.4641678487 7032140.150377807, 266936.0337776312 7032137.808445567, 266933.3555503559 7032136.528848092, 266933.33220806805 7032136.518420042, 266930.080399746 7032135.1643235665, 266925.1354581881 7032132.066287892, 266925.098564781 7032132.045299943, 266918.65939405403 7032128.735726167, 266912.5159190886 7032125.5491106985, 266907.0970232679 7032122.559375073, 266904.46848614985 7032119.315232608, 266904.4340407261 7032119.276934617, 266904.39583790593 7032119.242383673, 266904.35428313183 7032119.211946459, 266904.30981742014 7032119.185946002, 266900.8898174201 7032117.415946002, 266900.8818125769 7032117.411893784, 266896.8818125769 7032115.431893784, 266896.87006178405 7032115.426266546, 266890.93006178405 7032112.676266546, 266890.91733170795 7032112.670587117, 266889.435863672 7032112.034251854, 266882.0642536634 7032108.538230847, 266882.03032259643 7032108.523648458, 266881.29588247836 7032108.239664945, 266873.34242262854 7032104.537364312, 266869.6262158523 7032102.779158956, 266864.95858553564 7032100.510310815, 266864.94927865436 7032100.505904807, 266862.65088321577 7032099.446644301, 266854.79248245806 7032095.75739509, 266854.79144273285 7032095.75690843, 266854.1914427328 7032095.4769084295, 266854.14621021744 7032095.458434348, 266854.09939054615 7032095.444463289, 266854.05143080396 7032095.435128663, 266854.0027889627 7032095.430519607, 266853.9539295075 7032095.4306801325, 266853.9053190019 7032095.435608709, 266853.8574216317 7032095.445258271, 266852.33394055546 7032095.830506359, 266850.3088164756 7032094.467290539, 266850.4101744764 7032094.257584331, 266850.4293722253 7032094.212307034, 266850.4440291039 7032094.16536278, 266850.45400331623 7032094.117205722, 266850.45919836836 7032094.068301749, 266850.45956400153 7032094.019123976, 266850.4550966785 7032093.970148164, 266850.44583961763 7032093.921848124, 266850.43188237504 7032093.874691125, 266850.41335997795 7032093.829133382, 266850.3904516184 7032093.785615637, 266850.36337891995 7032093.744558894, 266850.3324037933 7032093.706360352, 266850.2978259025 7032093.671389556, 266850.25997976627 7032093.639984826, 266850.21923152125 7032093.612449981, 266850.17597538023 7032093.589051405, 266845.6659753802 7032091.429051405, 266845.66047356254 7032091.426457412, 266840.79047356255 7032089.166457412, 266840.78618698136 7032089.164492669, 266831.1761869813 7032084.814492668, 266831.1710582815 7032084.812205758, 266829.7085210922 7032084.169875236, 266825.54534889315 7032081.948852747, 266825.54371446837 7032081.947984675, 266815.80689385324 7032076.799665767, 266811.57806741586 7032074.485240486, 266811.41754887527 7032073.624277405, 266814.5434714338 7032054.470535358, 266813.5565285662 7032054.309464641, 266810.41652856616 7032073.549464641))</t>
  </si>
  <si>
    <t>['FV6682 S1D1 m2943-2968']</t>
  </si>
  <si>
    <t>LINESTRING Z (266886.61 7032121.52 108.493, 266908.47 7032132.88 108.793)</t>
  </si>
  <si>
    <t>POLYGON ((266908.2394386665 7032133.3236682, 266908.70056133345 7032132.4363318, 266886.84056133346 7032121.0763318, 266886.3794386665 7032121.963668199, 266908.2394386665 7032133.3236682))</t>
  </si>
  <si>
    <t>['FV6682 S1D1 m2843-2941']</t>
  </si>
  <si>
    <t>LINESTRING Z (266808.59 7032053.58 104.113, 266806.38 7032062.82 104.113, 266804.94 7032071.91 106.033, 266804.7 7032072.36 106.083, 266804.53 7032072.66 106.123, 266804.38 7032072.93 106.153, 266804.22 7032073.33 106.193, 266804.08 7032073.75 106.233, 266804.03 7032074.03 106.263, 266804 7032074.32 106.283, 266803.96 7032074.89 106.343, 266803.97 7032075.17 106.363, 266803.99 7032075.45 106.393, 266804.01 7032075.71 106.423, 266804.05 7032075.99 106.443, 266804.17 7032076.37 106.463, 266804.32 7032076.75 106.483, 266804.48 7032077.11 106.503, 266804.68 7032077.46 106.523, 266804.88 7032077.74 106.533, 266805.1 7032078 106.543, 266805.3 7032078.2 106.543, 266805.52 7032078.37 106.533, 266805.73 7032078.54 106.533, 266805.97 7032078.7 106.533, 266806.21 7032078.86 106.523, 266806.45 7032078.99 106.523, 266806.7 7032079.13 106.523, 266806.96 7032079.26 106.523, 266807.27 7032079.17 106.453, 266807.53 7032079.5 106.723, 266807.8 7032079.82 107.003, 266808.08 7032080.12 107.283, 266808.37 7032080.39 107.553, 266809.16 7032081.57 108.833, 266809.81 7032082.52 109.313, 266810.44 7032083.45 109.263, 266811.05 7032084.36 108.673, 266811.91 7032084.66 108.753, 266812.77 7032084.96 108.833, 266813.61 7032085.29 108.913, 266814.46 7032085.62 108.993, 266815.31 7032085.97 109.073, 266816.14 7032086.32 109.083, 266816.98 7032086.7 109.093, 266818.28 7032086.2 108.103, 266820.93 7032087.65 108.143, 266822.87 7032088.6 108.143, 266824.58 7032089.57 108.193, 266825.49 7032090.05 108.203, 266826.95 7032089.43 106.213, 266834.89 7032093.78 106.313, 266869.27 7032112.49 107.903, 266884.4 7032120.36 108.483)</t>
  </si>
  <si>
    <t>POLYGON ((266805.8937157304 7032062.70369175, 266805.88615822594 7032062.74176764, 266804.4592994797 7032071.7488134755, 266804.26183447684 7032072.119060356, 266804.09498890716 7032072.413493714, 266804.09292136214 7032072.417178534, 266803.9429213621 7032072.6871785335, 266803.9157616545 7032072.744304662, 266803.75576165447 7032073.144304662, 266803.74565835093 7032073.171886117, 266803.605658351 7032073.591886117, 266803.5877862123 7032073.662104681, 266803.5377862123 7032073.942104681, 266803.5326541031 7032073.978550425, 266803.5026541031 7032074.268550425, 266803.50122661947 7032074.284998359, 266803.4612266195 7032074.8549983585, 266803.4603185728 7032074.907845764, 266803.47031857277 7032075.187845765, 266803.47127065004 7032075.205623525, 266803.49127065006 7032075.485623525, 266803.49147275725 7032075.488348249, 266803.51147275727 7032075.748348249, 266803.5150252532 7032075.780710678, 266803.55502525315 7032076.060710678, 266803.5624791965 7032076.101011109, 266803.57320866745 7032076.140565684, 266803.69320866745 7032076.520565684, 266803.70492238936 7032076.553583267, 266803.8549223894 7032076.933583267, 266803.86309422564 7032076.953069232, 266804.0230942256 7032077.313069233, 266804.045878429 7032077.35806947, 266804.24587842904 7032077.70806947, 266804.2731332643 7032077.750619097, 266804.4731332643 7032078.030619097, 266804.4983068574 7032078.062971121, 266804.7183068574 7032078.3229711205, 266804.7464466092 7032078.35355339, 266804.9464466092 7032078.55355339, 266804.99427624955 7032078.595642501, 266805.20979882474 7032078.7621826725, 266805.4154008857 7032078.928622436, 266805.4526499017 7032078.956025147, 266805.69264990167 7032079.116025147, 266805.9326499018 7032079.276025147, 266805.9718584259 7032079.299645984, 266806.2087664249 7032079.42797115, 266806.455698316 7032079.566253008, 266806.47639320244 7032079.577213596, 266806.73639320245 7032079.7072135955, 266806.77901874925 7032079.726096327, 266806.8232177432 7032079.740926828, 266806.86860591924 7032079.751576161, 266806.9147886736 7032079.75795174, 266806.9613644942 7032079.759998138, 266807.00792845193 7032079.757697562, 266807.0540757207 7032079.751070014, 266807.085346105 7032079.743552808, 266807.1372541639 7032079.809436114, 266807.14785425813 7032079.822435469, 266807.4178542581 7032080.14243547, 266807.434472366 7032080.161159125, 266807.71447236603 7032080.461159125, 266807.7392907363 7032080.485946988, 266807.9868086528 7032080.716394703, 266808.74451734463 7032081.8481621165, 266808.74734636943 7032081.852341958, 266809.39669129933 7032082.801384548, 266810.02535704925 7032083.729414941, 266810.63467833586 7032084.638402434, 266810.66203973984 7032084.67541534, 266810.692688877 7032084.709755288, 266810.72636601387 7032084.7411312675, 266810.76278575667 7032084.769277386, 266810.8016394698 7032084.793955121, 266810.842597891 7032084.814955344, 266810.8853139219 7032084.8321000915, 266811.7453139219 7032085.132100091, 266812.596178822 7032085.428913428, 266813.42717381375 7032085.755375747, 266813.42904152226 7032085.75610517, 266814.27431420714 7032086.084269859, 266815.11767076136 7032086.431534322, 266815.93978650344 7032086.778209636, 266816.7739160651 7032087.155553961, 266816.81995171745 7032087.173692461, 266816.8675547461 7032087.187192021, 266816.91625896754 7032087.1959204385, 266816.9655874142 7032087.199792234, 266817.01505700545 7032087.198769492, 266817.0641832783 7032087.1928622285, 266817.11248513206 7032087.182128292, 266817.1594895396 7032087.166672803, 266818.24324500817 7032086.749843777, 266820.6899942923 7032088.088631121, 266820.7101043752 7032088.099050013, 266822.6364883075 7032089.04238235, 266824.3333012269 7032090.0049019605, 266824.3467262826 7032090.01224809, 266825.2567262826 7032090.492248089, 266825.30137190345 7032090.513054469, 266825.3478480748 7032090.529367114, 266825.39570376626 7032090.541027718, 266825.44447456 7032090.547923121, 266825.4936871575 7032090.549986404, 266825.5428639729 7032090.547197547, 266825.5915277673 7032090.539583611, 266825.6392062807 7032090.527218488, 266825.6854368146 7032090.510222176, 266826.92233508825 7032089.984964005, 266834.64976176666 7032094.21850381, 266834.6509946982 7032094.219177033, 266869.03099469823 7032112.929177033, 266869.0392682471 7032112.933579597, 266884.1692682471 7032120.803579597, 266884.63073175296 7032119.916420404, 266869.50488915865 7032112.048582914, 266835.1296222773 7032093.341158733, 266827.19023823336 7032088.9914961895, 266827.14511859807 7032088.96964282, 266827.0980373567 7032088.952417607, 266827.0494678358 7032088.939993724, 266826.9998983245 7032088.932496073, 266826.9498271651 7032088.9300000295, 266826.8997577433 7032088.932530688, 266826.85019342724 7032088.940062608, 266826.80163250706 7032088.952520066, 266826.7545631854 7032088.969777823, 266825.5131876665 7032089.496937291, 266824.82004246174 7032089.131322238, 266823.1166987731 7032088.165098039, 266823.0898956248 7032088.150949987, 266821.1600686873 7032087.205931642, 266818.52000570775 7032085.761368879, 266818.4766604713 7032085.740299381, 266818.4314880756 7032085.723500931, 266818.38490821427 7032085.711129602, 266818.3373536578 7032085.7033003345, 266818.28926623234 7032085.700085871, 266818.24109271495 7032085.701516075, 266818.1932806825 7032085.707577662, 266818.14627435344 7032085.71821431, 266818.1005104604 7032085.733327197, 266816.9956215332 7032086.158284477, 266816.3460839349 7032085.864446039, 266816.33427662385 7032085.859286864, 266815.50427662383 7032085.509286864, 266815.50037490245 7032085.5076609505, 266814.65037490247 7032085.157660951, 266814.64095847774 7032085.1538948305, 266813.79189308546 7032084.824257678, 266812.95282618626 7032084.494624253, 266812.9346860781 7032084.487899909, 266812.07468607806 7032084.187899909, 266811.3723472164 7032083.942897981, 266810.85532166413 7032083.171597566, 266810.8539593453 7032083.169575928, 266810.2239593453 7032082.239575927, 266810.22265363054 7032082.2376580415, 266809.57407867524 7032081.2897408, 266808.78548265534 7032080.1118378835, 266808.7506351278 7032080.0657826355, 266808.7107092637 7032080.024053012, 266808.4335534528 7032079.7660113955, 266808.1740711356 7032079.487994627, 266807.91755482985 7032079.183975302, 266807.66274583613 7032078.860563886, 266807.6302950783 7032078.823319374, 266807.59432754474 7032078.789458749, 266807.55519430776 7032078.759312519, 266807.5132773401 7032078.733174937, 266807.46898578573 7032078.711301126, 266807.4227519666 7032078.693904593, 266807.3750271627 7032078.681155142, 266807.32627720747 7032078.673177219, 266807.27697794046 7032078.670048694, 266807.227610563 7032078.671800105, 266807.1786569413 7032078.678414356, 266807.1305949028 7032078.689826886, 266807.00855160935 7032078.72525881, 266806.93408261583 7032078.688024313, 266806.69430168404 7032078.553746992, 266806.68814157415 7032078.550354017, 266806.4682870112 7032078.431266129, 266806.2473500982 7032078.283974853, 266806.02660887793 7032078.136814039, 266805.8345991143 7032077.981377564, 266805.82572375046 7032077.9743575, 266805.63098208286 7032077.823875302, 266805.46825929446 7032077.661152514, 266805.2749435897 7032077.432688499, 266805.1015705493 7032077.189966242, 266804.92665001145 7032076.883855301, 266804.7811976091 7032076.556587395, 266804.641513194 7032076.202720211, 266804.53916408744 7032075.878614707, 266804.50727808324 7032075.655412677, 266804.48863201943 7032075.4130138485, 266804.4693636644 7032075.143256878, 266804.46062598913 7032074.898601969, 266804.49819543306 7032074.363237393, 266804.5254509956 7032074.099766956, 266804.5658283463 7032073.873653791, 266804.6896952563 7032073.502053061, 266804.8324688392 7032073.145119104, 266804.96605266473 7032072.904668218, 266805.1350110929 7032072.606506286, 266805.1411764707 7032072.595294118, 266805.38117647066 7032072.145294118, 266805.40451600926 7032072.094999668, 266805.4221433654 7032072.042430266, 266805.43384177407 7032071.98823236, 266806.870802607 7032062.9174171025, 266809.0762842696 7032053.696308251, 266808.1037157304 7032053.46369175, 266805.8937157304 7032062.70369175))</t>
  </si>
  <si>
    <t>['FV6682 S1D1 m2835-2841']</t>
  </si>
  <si>
    <t>LINESTRING Z (266804.6 7032049.26 105.243, 266804.3 7032049.08 105.203, 266802.64 7032049.77 106.003, 266805.14 7032052.21 106.123, 266807.6 7032052.51 105.963)</t>
  </si>
  <si>
    <t>POLYGON Z ((266804.6 7032049.26 105.243, 266804.3 7032049.08 105.203, 266802.64 7032049.77 106.003, 266805.14 7032052.21 106.123, 266807.6 7032052.51 105.963, 266804.6 7032049.26 105.243))</t>
  </si>
  <si>
    <t>['FV6682 S1D1 m2761-2762']</t>
  </si>
  <si>
    <t>LINESTRING Z (266796.57 7031993.06 101.463, 266796.62 7031992.2 102.343)</t>
  </si>
  <si>
    <t>POLYGON ((266797.11915708496 7031992.229020761, 266796.120842915 7031992.170979239, 266796.07084291504 7031993.030979238, 266797.069157085 7031993.089020761, 266797.11915708496 7031992.229020761))</t>
  </si>
  <si>
    <t>['FV6682 S1D1 m2781-2854']</t>
  </si>
  <si>
    <t>LINESTRING Z (266799.45 7032007.15 106.963, 266801.16 7032007.71 107.643, 266801.97 7032007.97 107.953, 266803.15 7032008.32 108.373, 266804.49 7032008.69 108.823, 266805.15 7032008.87 109.033, 266807.02 7032009.32 109.583, 266807.15 7032009.35 109.623, 266809.16 7032009.79 110.133, 266809.57 7032009.87 110.233, 266811.19 7032010.17 110.583, 266812.11 7032010.31 110.763, 266812.14 7032010.59 110.783, 266812.18 7032010.95 110.813, 266812.19 7032011.09 110.823, 266812.25 7032011.59 110.853, 266812.32 7032012.09 110.893, 266812.34 7032012.21 110.903, 266812.39 7032012.59 110.933, 266812.44 7032012.84 110.953, 266812.48 7032013.08 110.963, 266812.55 7032013.47 110.993, 266812.57 7032013.59 111.003, 266812.67 7032014.08 111.043, 266812.77 7032014.57 111.073, 266812.81 7032014.72 111.083, 266812.88 7032015.06 111.113, 266812.94 7032015.34 111.133, 266813 7032015.56 111.153, 266813.1 7032015.96 111.183, 266813.12 7032016.04 111.183, 266813.26 7032016.53 111.223, 266813.39 7032017.02 111.263, 266813.45 7032017.18 111.273, 266813.54 7032017.49 111.293, 266813.64 7032017.79 111.313, 266813.69 7032017.97 111.333, 266813.83 7032018.39 111.363, 266813.86 7032018.46 111.373, 266814.03 7032018.94 111.403, 266814.04 7032018.99 111.413, 266814.2 7032019.4 111.443, 266814.27 7032019.59 111.453, 266814.38 7032019.88 111.483, 266814.49 7032020.18 111.503, 266814.57 7032020.34 111.513, 266814.74 7032020.77 111.553, 266814.96 7032021.27 111.583, 266815 7032021.36 111.593, 266815.16 7032021.73 111.623, 266815.26 7032021.94 111.643, 266815.39 7032022.2 111.663, 266815.54 7032022.5 111.683, 266815.6 7032022.65 111.693, 266815.82 7032023.08 111.733, 266816.07 7032023.55 111.773, 266816.12 7032023.64 111.783, 266816.31 7032023.99 111.803, 266816.42 7032024.2 111.823, 266816.55 7032024.43 111.843, 266816.74 7032024.75 111.873, 266816.8 7032024.86 111.883, 266817.07 7032025.29 111.913, 266817.33 7032025.72 111.953, 266817.4 7032025.84 111.963, 266817.6 7032026.15 111.993, 266817.75 7032026.38 112.013, 266817.88 7032026.57 112.023, 266818.1 7032026.91 112.053, 266818.16 7032026.99 112.063, 266818.45 7032027.41 112.103, 266818.75 7032027.81 112.133, 266818.84 7032027.94 112.143, 266819.05 7032028.22 112.173, 266819.22 7032028.45 112.193, 266819.36 7032028.62 112.213, 266819.62 7032028.94 112.243, 266819.67 7032029.01 112.243, 266819.98 7032029.41 112.283, 266820.02 7032029.44 112.283, 266820.31 7032029.79 112.323, 266820.43 7032029.93 112.333, 266820.65 7032030.17 112.353, 266820.85 7032030.41 112.373, 266820.98 7032030.55 112.393, 266821.28 7032030.88 112.423, 266821.32 7032030.92 112.433, 266821.67 7032031.29 112.463, 266821.71 7032031.34 112.473, 266821.75 7032031.39 112.473, 266822.01 7032031.65 112.503, 266822.11 7032031.75 112.513, 266821.82 7032032.13 112.683, 266821.79 7032032.6 113.163, 266821.79 7032032.8 113.333, 266822.08 7032033.24 113.423, 266822.37 7032033.69 113.523, 266822.82 7032034.39 113.583, 266823.26 7032035.11 113.633, 266823.67 7032035.85 113.693, 266824.07 7032036.6 113.743, 266824.42 7032037.27 113.653, 266824.74 7032037.88 113.523, 266825.04 7032038.5 113.393, 266825.09 7032038.62 113.363, 266825.25 7032038.95 113.273, 266825.51 7032039.55 113.133, 266825.78 7032040.3 112.863, 266826.02 7032041.08 112.583, 266826.25 7032041.86 112.303, 266826.45 7032042.64 112.033, 266826.59 7032043.42 111.633, 266826.7 7032044.21 111.223, 266826.77 7032045.07 110.703, 266826.8 7032045.81 110.223, 266820.9 7032048.17 108.403, 266817.94 7032049.34 107.503, 266814.94 7032050.52 106.603)</t>
  </si>
  <si>
    <t>POLYGON ((266801.0043892025 7032008.185168685, 266801.0071856756 7032008.186075396, 266801.8171856756 7032008.446075396, 266801.82781752606 7032008.4493580535, 266803.0078175261 7032008.799358054, 266803.01692024973 7032008.801964501, 266804.3569202497 7032009.171964501, 266804.3584412973 7032009.172381911, 266805.01844129735 7032009.352381911, 266805.0330185845 7032009.356122771, 266806.9030185845 7032009.806122771, 266806.90757024905 7032009.807195598, 266807.03757024906 7032009.837195598, 266807.04307909135 7032009.83843415, 266809.0530790913 7032010.278434151, 266809.0642448202 7032010.280745296, 266809.47424482025 7032010.360745296, 266809.47895536997 7032010.361641003, 266811.09895536996 7032010.661641003, 266811.1147790017 7032010.664309419, 266811.6543020198 7032010.746410747, 266811.6819716289 7032010.99543723, 266811.6912706501 7032011.125623525, 266811.69356158073 7032011.14957261, 266811.7535615807 7032011.64957261, 266811.75482912664 7032011.659323922, 266811.82482912665 7032012.159323922, 266811.8268030381 7032012.172199493, 266811.8453923036 7032012.283735086, 266811.8942728522 7032012.655227256, 266811.8997096622 7032012.688058067, 266811.94812849135 7032012.930152213, 266811.98680303805 7032013.1621994935, 266811.9878643965 7032013.168332032, 266812.0573146348 7032013.555269074, 266812.0768030381 7032013.672199493, 266812.0800979706 7032013.689980006, 266812.1800979706 7032014.179980006, 266812.2800979706 7032014.669980006, 266812.2868825303 7032014.698831326, 266812.3231739236 7032014.834924051, 266812.3902714784 7032015.1608264595, 266812.39109879296 7032015.164764544, 266812.45109879295 7032015.444764544, 266812.4576180894 7032015.471558703, 266812.51621868805 7032015.686427564, 266812.61492874986 7032016.081267812, 266812.63492874993 7032016.161267812, 266812.63923802617 7032016.177360564, 266812.7779352639 7032016.662800896, 266812.90671922115 7032017.148217349, 266812.92183541117 7032017.19556172, 266812.9751418896 7032017.337712329, 266813.0598268865 7032017.629405097, 266813.065658351 7032017.648113883, 266813.16164110176 7032017.936062135, 266813.20824104524 7032018.103821931, 266813.21565835096 7032018.128113883, 266813.355658351 7032018.548113883, 266813.3704274846 7032018.586959648, 266813.3940723614 7032018.642131028, 266813.546732115 7032019.073170332, 266813.5497096621 7032019.0880580675, 266813.56013146794 7032019.130449963, 266813.5742111902 7032019.171771243, 266813.73247727833 7032019.577328094, 266813.80082844174 7032019.76285268, 266813.80250123685 7032019.767327117, 266813.911517105 7032020.054732587, 266814.0205618421 7032020.352127325, 266814.04278640443 7032020.403606798, 266814.11303575267 7032020.544105494, 266814.2750196399 7032020.953829444, 266814.2823424838 7032020.971369307, 266814.50234248384 7032021.471369307, 266814.503094225 7032021.473069231, 266814.54207123874 7032021.560767513, 266814.701071482 7032021.928455575, 266814.7085697406 7032021.944966791, 266814.8085697406 7032022.154966791, 266814.81278640457 7032022.163606798, 266814.9427864046 7032022.423606798, 266815.0834855732 7032022.705005135, 266815.13576165435 7032022.835695338, 266815.1548759186 7032022.877737903, 266815.3748759186 7032023.307737903, 266815.3785638055 7032023.3148064865, 266815.6285638055 7032023.784806486, 266815.6329213621 7032023.792821466, 266815.681736906 7032023.880689445, 266815.8688045048 7032024.2252876535, 266815.9770842323 7032024.432003497, 266815.98471858085 7032024.446028629, 266816.11471858085 7032024.676028629, 266816.12007262796 7032024.685269376, 266816.3054179697 7032024.997429952, 266816.36105221324 7032025.099426066, 266816.37655500567 7032025.125884066, 266816.6443142611 7032025.552315473, 266816.9000955972 7032025.975338452, 266816.9681105495 7032026.091935513, 266816.9798516757 7032026.111063435, 266817.17985167564 7032026.421063435, 266817.1811947018 7032026.423133891, 266817.33119470184 7032026.653133891, 266817.3373463691 7032026.662341957, 266817.4637116658 7032026.847029699, 266817.6802149214 7032027.181625639, 266817.69999999984 7032027.21, 266817.7541199034 7032027.282159871, 266818.0385515498 7032027.694095359, 266818.0500000002 7032027.71, 266818.34430584684 7032028.102407795, 266818.4289039034 7032028.2246049885, 266818.44000000035 7032028.240000001, 266818.6489510584 7032028.518601411, 266818.8179119289 7032028.747195531, 266818.83403488225 7032028.767853627, 266818.97298470803 7032028.936578415, 266819.2221551014 7032029.243249669, 266819.2631332656 7032029.300619098, 266819.27479247376 7032029.316285832, 266819.58479247376 7032029.716285832, 266819.613691862 7032029.750320949, 266819.64551228494 7032029.781642259, 266819.67133661034 7032029.802876473, 266819.9249892197 7032030.1090089325, 266819.9303716992 7032030.1153956875, 266820.0503716992 7032030.255395687, 266820.06142292975 7032030.267862313, 266820.2734463775 7032030.49916062, 266820.46588936 7032030.7300921995, 266820.4836032546 7032030.7502255505, 266820.6118063611 7032030.888290434, 266820.9100299633 7032031.2163363965, 266820.9264466092 7032031.23355339, 266820.9615370916 7032031.268643873, 266821.2925177198 7032031.618537679, 266821.319565596 7032031.652347525, 266821.35956559575 7032031.702347524, 266821.39644660894 7032031.74355339, 266821.4472099485 7032031.7943167295, 266821.422524377 7032031.82666334, 266821.39474658127 7032031.867018005, 266821.3710513968 7032031.909897407, 266821.35166630725 7032031.954889885, 266821.33677741763 7032032.001563495, 266821.3265276674 7032032.049470149, 266821.32101545855 7032032.098149923, 266821.2910154585 7032032.568149922, 266821.29 7032032.6, 266821.29 7032032.8, 266821.29235637817 7032032.848485314, 266821.2994033027 7032032.896513629, 266821.31107435265 7032032.943632253, 266821.32725952246 7032032.98939707, 266821.34780625853 7032033.0333767235, 266821.3725208976 7032033.07515668, 266821.6611066108 7032033.513010866, 266821.94956260436 7032033.960614994, 266822.39632991696 7032034.655586368, 266822.8278049308 7032035.361636392, 266823.2307051075 7032036.088822076, 266823.62781646237 7032036.833405866, 266823.97682557587 7032037.501509027, 266823.97722638724 7032037.502274682, 266824.29345573456 7032038.105086875, 266824.58383507305 7032038.705204175, 266824.62846153846 7032038.812307692, 266824.6400929464 7032038.838136753, 266824.7954519017 7032039.158564598, 266825.0449227493 7032039.734266554, 266825.3055708075 7032040.458288938, 266825.5412463526 7032041.22423446, 266825.7678877054 7032041.992844265, 266825.96110792685 7032042.746403128, 266826.09613086947 7032043.498673809, 266826.20280722296 7032044.264803984, 266826.2708225758 7032045.100421176, 266826.286091192 7032045.477047042, 266820.7152526198 7032047.705382471, 266817.7565917549 7032048.874853151, 266814.7569818823 7032050.0546997, 266815.1230181177 7032050.985300299, 266818.1230181177 7032049.805300299, 266818.12379784946 7032049.80499285, 266821.0837978495 7032048.63499285, 266821.0856953382 7032048.634238346, 266826.98569533817 7032046.274238345, 266827.0287510074 7032046.254604292, 266827.0697577203 7032046.230987852, 266827.1083481737 7032046.203600563, 266827.1441767072 7032046.172687736, 266827.17692239943 7032046.138526262, 266827.20629194245 7032046.101422129, 266827.2320222688 7032046.061707686, 266827.2538829083 7032046.019738659, 266827.27167805197 7032045.975890974, 266827.28524830606 7032045.930557378, 266827.29447211983 7032045.884143932, 266827.2992668742 7032045.837066368, 266827.2995896219 7032045.789746366, 266827.2695896219 7032045.049746367, 266827.26835188415 7032045.029436475, 266827.19835188414 7032044.169436474, 266827.1952223803 7032044.141044985, 266827.0852223803 7032043.351044985, 266827.08213560353 7032043.331667969, 266826.9421356035 7032042.551667969, 266826.934331933 7032042.515812324, 266826.73433193297 7032041.735812325, 266826.7295847289 7032041.718583991, 266826.4995847289 7032040.938583991, 266826.4978895044 7032040.932957076, 266826.2578895044 7032040.152957075, 266826.25044370594 7032040.1306402655, 266825.9804437059 7032039.3806402655, 266825.9687778126 7032039.351196281, 266825.7087778126 7032038.751196281, 266825.6999070536 7032038.731863247, 266825.546088737 7032038.414612969, 266825.50153846154 7032038.307692308, 266825.4900796257 7032038.282219536, 266825.1900796257 7032037.662219536, 266825.18277361273 7032037.647725318, 266824.8629742546 7032037.038107791, 266824.5131744241 7032036.368490973, 266824.5111764706 7032036.364705882, 266824.1111764706 7032035.614705882, 266824.1073571344 7032035.607680506, 266823.6973571344 7032034.867680507, 266823.6866409169 7032034.849274996, 266823.2466409169 7032034.129274995, 266823.24058923754 7032034.119621204, 266822.7905892375 7032033.419621205, 266822.7902855176 7032033.419149334, 266822.5002855176 7032032.969149333, 266822.4974791024 7032032.96484332, 266822.29 7032032.65004744, 266822.29 7032032.6159412265, 266822.3093389722 7032032.312963995, 266822.507475623 7032032.053336659, 266822.5346729988 7032032.013918253, 266822.55797441077 7032031.972078651, 266822.577166091 7032031.928201693, 266822.59207197453 7032031.882689907, 266822.60255531425 7032031.835960819, 266822.60851993563 7032031.788443124, 266822.60991111904 7032031.740572751, 266822.6067161018 7032031.692788863, 266822.598964195 7032031.645529832, 266822.586726515 7032031.599229214, 266822.57011533057 7032031.554311772, 266822.54928303324 7032031.51118958, 266822.52442073927 7032031.470258242, 266822.4957565361 7032031.431893265, 266822.46355338994 7032031.396446609, 266822.36355338997 7032031.296446609, 266822.12313499564 7032031.056028214, 266822.1004344043 7032031.027652475, 266822.060434404 7032030.977652475, 266822.03323420853 7032030.946400073, 266821.68323420855 7032030.576400073, 266821.67355339084 7032030.56644661, 266821.6419665609 7032030.53485978, 266821.3499700367 7032030.213663603, 266821.34639674536 7032030.2097744495, 266821.2255237409 7032030.079603522, 266821.03411064 7032029.849907801, 266821.01857707027 7032029.832137686, 266820.804206554 7032029.598278941, 266820.6923462038 7032029.4677752, 266820.4050107803 7032029.120991068, 266820.36489104235 7032029.07799148, 266820.3369392782 7032029.054335783, 266820.0711901421 7032028.711433672, 266820.0268667344 7032028.649380902, 266820.0080570002 7032028.624703688, 266819.74805700016 7032028.304703687, 266819.7459651177 7032028.302146373, 266819.6142973618 7032028.142264098, 266819.45208807103 7032027.922804469, 266819.44999999966 7032027.919999999, 266819.24569414614 7032027.647592195, 266819.1610960966 7032027.5253950115, 266819.1499999998 7032027.51, 266818.8558801005 7032027.117840135, 266818.5714484502 7032026.705904641, 266818.5600000001 7032026.69, 266818.5103835845 7032026.623844779, 266818.29978507856 7032026.298374361, 266818.2926536309 7032026.287658043, 266818.1657804572 7032026.102228019, 266818.0194793837 7032025.877899707, 266817.8262335935 7032025.578368732, 266817.76188945054 7032025.468064487, 266817.75786599173 7032025.46129033, 266817.4978659917 7032025.03129033, 266817.4934449943 7032025.024115934, 266817.2316022567 7032024.60710713, 266817.17894778674 7032024.510573935, 266817.169927372 7032024.494730623, 266816.9826537516 7032024.179322421, 266816.8592105814 7032023.960922966, 266816.75291576766 7032023.757996503, 266816.749426716 7032023.751454069, 266816.559426716 7032023.401454069, 266816.5570786379 7032023.3971785335, 266816.50929397164 7032023.311166135, 266816.2633083244 7032022.848713118, 266816.0556530907 7032022.442841525, 266816.0042383456 7032022.314304662, 266815.9872135954 7032022.276393202, 266815.83721359546 7032021.976393202, 266815.7093634671 7032021.720692946, 266815.6153291168 7032021.52322081, 266815.458928518 7032021.161544425, 266815.456905775 7032021.156930769, 266815.41728321597 7032021.06778001, 266815.2014856591 7032020.577331018, 266815.03498036007 7032020.156170555, 266815.01721359557 7032020.116393202, 266814.94977142935 7032019.98150887, 266814.8494381579 7032019.707872675, 266814.8474987632 7032019.702672883, 266814.7383458527 7032019.414906119, 266814.6691715583 7032019.22714732, 266814.66578880977 7032019.218228757, 266814.5217044877 7032018.849012682, 266814.5202903379 7032018.841941933, 266814.5013136126 7032018.773076429, 266814.3313136126 7032018.293076429, 266814.3195725154 7032018.263040352, 266814.2977649688 7032018.212156076, 266814.16835889796 7032017.823937864, 266814.1217589548 7032017.656178068, 266814.114341649 7032017.631886117, 266814.01744073024 7032017.341183362, 266813.9301731135 7032017.040594903, 266813.91816458886 7032017.004438279, 266813.8669006231 7032016.867734371, 266813.7432807789 7032016.4017826505, 266813.74076197384 7032016.392639437, 266813.60305068135 7032015.910649913, 266813.58507125004 7032015.838732188, 266813.4850712501 7032015.438732187, 266813.4823819106 7032015.428441296, 266813.42601113516 7032015.221748454, 266813.369322785 7032014.957202819, 266813.2997285216 7032014.61917354, 266813.2931174697 7032014.591168674, 266813.2569374892 7032014.455493747, 266813.1599020294 7032013.980019994, 266813.06171028636 7032013.498880453, 266813.0431969619 7032013.387800506, 266813.0421356035 7032013.381667968, 266812.9726853652 7032012.994730926, 266812.93319696194 7032012.757800506, 266812.9302903378 7032012.741941933, 266812.88355531654 7032012.508266826, 266812.8357271478 7032012.144772744, 266812.83319696196 7032012.127800507, 266812.8142677838 7032012.014225437, 266812.74585259234 7032011.525545498, 266812.6878720565 7032011.042374367, 266812.6787293499 7032010.914376475, 266812.67694186734 7032010.894784237, 266812.637050132 7032010.535758618, 266812.6071545769 7032010.256733438, 266812.59924985486 7032010.206875902, 266812.58635819226 7032010.158069514, 266812.5686109943 7032010.110811757, 266812.54618915886 7032010.065584334, 266812.51932123245 7032010.022848248, 266812.48828108073 7032009.983039109, 266812.45338509703 7032009.946562694, 266812.4149889773 7032009.913790808, 266812.3734840945 7032009.885057495, 266812.32929350936 7032009.8606556365, 266812.282867658 7032009.84083396, 266812.23467976064 7032009.825794509, 266812.1852209983 7032009.815690581, 266811.2731542291 7032009.676897812, 266809.6634020083 7032009.378795549, 266809.2613512481 7032009.30034662, 266807.2596787559 7032008.862169556, 266807.1347081597 7032008.833330189, 266805.2742982148 7032008.385637956, 266804.62231939344 7032008.207825551, 266803.2876434421 7032007.839295624, 266802.1175166959 7032007.492224131, 266801.31421382044 7032007.234373825, 266799.6056107975 7032006.674831315, 266799.29438920255 7032007.625168686, 266801.0043892025 7032008.185168685))</t>
  </si>
  <si>
    <t>['FV6682 S1D1 m2575-2576']</t>
  </si>
  <si>
    <t>LINESTRING Z (266855.44 7031820.88 95.512, 266856.93 7031820.31 95.512)</t>
  </si>
  <si>
    <t>POLYGON ((266857.1086491552 7031820.77699516, 266856.7513508448 7031819.8430048395, 266855.2613508448 7031820.41300484, 266855.6186491552 7031821.34699516, 266857.1086491552 7031820.77699516))</t>
  </si>
  <si>
    <t>['FV6682 S1D1 m2576-2588']</t>
  </si>
  <si>
    <t>LINESTRING Z (266860.25 7031833.72 95.512, 266855.44 7031820.88 95.512)</t>
  </si>
  <si>
    <t>POLYGON ((266855.9082245057 7031820.704598141, 266854.9717754943 7031821.055401859, 266859.7817754943 7031833.895401859, 266860.7182245057 7031833.544598141, 266855.9082245057 7031820.704598141))</t>
  </si>
  <si>
    <t>['FV6682 S1D1 m2387-2449']</t>
  </si>
  <si>
    <t>LINESTRING Z (266721.24 7031677 90.602, 266725.3 7031677.92 90.772, 266728.37 7031678.77 90.902, 266732.4 7031680.1 91.082, 266734.39 7031680.85 91.172, 266736.36 7031681.65 91.262, 266738.31 7031682.51 91.352, 266740.22 7031683.42 91.442, 266742.12 7031684.38 91.532, 266743.98 7031685.39 91.612, 266744.91 7031685.91 91.662, 266745.83 7031686.45 91.682, 266746.74 7031687 91.712, 266747.64 7031687.57 91.732, 266748.53 7031688.13 91.762, 266749.41 7031688.73 91.782, 266750.29 7031689.32 91.812, 266751.16 7031689.93 91.832, 266752.03 7031690.55 91.862, 266752.88 7031691.18 91.882, 266753.73 7031691.83 91.912, 266754.56 7031692.48 91.932, 266755.38 7031693.16 91.962, 266756.2 7031693.84 91.982, 266757 7031694.53 92.012, 266757.8 7031695.22 92.032, 266758.59 7031695.94 92.062, 266759.37 7031696.67 92.082, 266760.14 7031697.4 92.112, 266760.89 7031698.14 92.132, 266761.64 7031698.89 92.162, 266762.38 7031699.66 92.182, 266763.11 7031700.43 92.212, 266763.82 7031701.22 92.232, 266764.53 7031702.01 92.262, 266765.22 7031702.82 92.282, 266765.91 7031703.63 92.312, 266766.58 7031704.45 92.332, 266767.24 7031705.28 92.362, 266767.89 7031706.13 92.382, 266768.52 7031706.97 92.412, 266769.18 7031707.98 92.412, 266769.77 7031708.69 92.462, 266770.1 7031709.18 92.472, 266770.35 7031709.54 92.482, 266770.92 7031710.37 92.512, 266771.49 7031711.19 92.532, 266772.05 7031712.02 92.562, 266772.62 7031712.84 92.582, 266773.19 7031713.66 92.612, 266773.76 7031714.48 92.632, 266774.33 7031715.3 92.662, 266774.9 7031716.12 92.682, 266775.47 7031716.94 92.712, 266776.04 7031717.76 92.732, 266776.61 7031718.58 92.762, 266777.18 7031719.4 92.792, 266777.75 7031720.23 92.812)</t>
  </si>
  <si>
    <t>POLYGON ((266725.1779737618 7031678.405025046, 266728.2248558546 7031679.248624323, 266732.23341086006 7031680.571546942, 266734.2077408174 7031681.315641147, 266736.1650133488 7031682.110472633, 266738.10154496884 7031682.964532731, 266739.9996991057 7031683.868888891, 266741.88790814247 7031684.822931352, 266743.7386838376 7031685.827922455, 266744.66141469975 7031686.3438579915, 266745.5741244641 7031686.87957894, 266746.4768933635 7031687.425208494, 266747.37247395935 7031687.9924095385, 266747.37371949235 7031687.993195808, 266748.25593278516 7031688.548296306, 266749.1283315875 7031689.143113672, 266749.1315617849 7031689.145297677, 266750.007226627 7031689.732391151, 266750.8713841931 7031690.338294731, 266751.7360229007 7031690.95447404, 266752.5792571425 7031691.5794594195, 266753.42398630176 7031692.225428777, 266754.24621370365 7031692.869341803, 266755.8771040253 7031694.221787434, 266756.67343657586 7031694.90862426, 266757.4682552792 7031695.594155391, 266758.2507547027 7031696.307319423, 266759.0271654386 7031697.033960239, 266759.79237759113 7031697.759421112, 266760.53763304796 7031698.494739829, 266761.2829348284 7031699.240041609, 266762.01831634034 7031700.005235885, 266762.74256813084 7031700.769172705, 266764.1536823687 7031702.33928573, 266764.83937838464 7031703.144233228, 266765.52605438326 7031703.950331139, 266766.1907120104 7031704.763792713, 266766.8456987994 7031705.587488221, 266767.49140183604 7031706.431869115, 266768.1102925649 7031707.257056753, 266768.7614422023 7031708.253513017, 266768.7954457742 7031708.299559146, 266769.36934974644 7031708.99018935, 266769.6852815366 7031709.459300189, 266769.689315017 7031709.465197904, 266769.9385718215 7031709.824127703, 266770.5078341995 7031710.653053622, 266770.5094453766 7031710.655385531, 266771.0774616484 7031711.472531746, 266771.6355177795 7031712.299650654, 266771.6394453766 7031712.30538553, 266773.3494453766 7031714.765385531, 266773.9194453767 7031715.585385531, 266774.4894453766 7031716.405385531, 266775.05944537657 7031717.225385531, 266775.6294453767 7031718.045385531, 266776.76863648236 7031719.684221858, 266777.33783419954 7031720.513053622, 266778.16216580046 7031719.946946379, 266777.59216580045 7031719.116946379, 266777.5905546234 7031719.11461447, 266776.4505546234 7031717.474614469, 266775.88055462326 7031716.654614469, 266775.31055462343 7031715.83461447, 266774.7405546234 7031715.014614469, 266774.1705546233 7031714.194614469, 266772.4625383516 7031711.737468254, 266771.9044822205 7031710.910349346, 266771.9005546234 7031710.90461447, 266771.3313635176 7031710.085778142, 266770.76216580044 7031709.256946378, 266770.76068498293 7031709.254802096, 266770.5127227895 7031708.897736536, 266770.1847184634 7031708.410699811, 266770.1545542258 7031708.370440855, 266769.5828760302 7031707.682489128, 266768.9385577977 7031706.696486983, 266768.92 7031706.67, 266768.29 7031705.83, 266768.28717891645 7031705.826274946, 266767.6371789164 7031704.976274947, 266767.6313527292 7031704.968803854, 266766.97135272925 7031704.138803854, 266766.9671889422 7031704.133638304, 266766.29718894215 7031703.313638303, 266766.29062161513 7031703.305766772, 266765.6006216151 7031702.495766772, 266764.91062161536 7031701.685766772, 266764.90188104956 7031701.675777791, 266763.4818810495 7031700.095777791, 266763.4728524896 7031700.08599699, 266762.74285248964 7031699.315996991, 266762.7405064878 7031699.31353922, 266762.0005064878 7031698.54353922, 266761.9935533906 7031698.5364466095, 266761.2435533906 7031697.7864466095, 266761.24117264006 7031697.784081783, 266760.49117264006 7031697.044081784, 266760.48400300986 7031697.037147511, 266759.71400300984 7031696.30714751, 266759.711659071 7031696.304939622, 266758.931659071 7031695.574939623, 266758.9268017944 7031695.570453588, 266758.13680179435 7031694.850453587, 266758.1265634239 7031694.84137574, 266757.3265634239 7031694.151375741, 266756.52656342415 7031693.46137574, 266756.5191679347 7031693.45512102, 266754.8791679347 7031692.09512102, 266754.8682819979 7031692.086347603, 266754.0382819979 7031691.436347603, 266754.0337250539 7031691.432821084, 266753.1837250539 7031690.782821083, 266753.1777267814 7031690.778305136, 266752.3277267814 7031690.148305136, 266752.32017619745 7031690.142817271, 266751.4501761974 7031689.522817271, 266751.44704690465 7031689.5206052335, 266750.57704690465 7031688.910605234, 266750.56843821506 7031688.9047023235, 266749.69005757995 7031688.315788034, 266748.8116684125 7031687.7168863285, 266748.7962805077 7031687.706804193, 266747.9069039485 7031687.147196471, 266747.00752604066 7031686.577590462, 266746.99862958514 7031686.572085596, 266746.08862958517 7031686.022085596, 266746.0831002844 7031686.018792109, 266745.16310028435 7031685.478792109, 266745.1540158458 7031685.473587045, 266744.2240158458 7031684.953587045, 266744.21859806246 7031684.950601587, 266742.3585980625 7031683.940601587, 266742.3454838561 7031683.933729868, 266740.4454838561 7031682.973729868, 266740.4350585212 7031682.968613434, 266738.52505852125 7031682.0586134335, 266738.5117623416 7031682.05251562, 266736.5617623416 7031681.192515621, 266736.54812544544 7031681.186741091, 266734.57812544546 7031680.386741091, 266734.56633445446 7031680.382125914, 266732.57633445447 7031679.632125914, 266732.55669935193 7031679.625189181, 266728.5266993519 7031678.295189181, 266728.50341711333 7031678.288128778, 266725.4334171133 7031677.438128779, 266725.4104990515 7031677.4323628815, 266721.3504990515 7031676.512362882, 266721.1295009485 7031677.487637118, 266725.1779737618 7031678.405025046))</t>
  </si>
  <si>
    <t>['FV6682 S1D1 m2379-2404']</t>
  </si>
  <si>
    <t>LINESTRING Z (266713.37 7031671.87 90.192, 266718.24 7031671.31 90.162, 266727 7031669.05 90.022, 266739.67 7031671.85 90.352, 266745.7 7031673.19 90.292, 266745.47 7031674.99 89.762, 266744.45 7031677.32 89.822, 266743.99 7031678.8 90.402, 266736.93 7031677.26 90.252, 266726.26 7031675.43 89.902, 266721.24 7031677 90.602)</t>
  </si>
  <si>
    <t>POLYGON Z ((266713.37 7031671.87 90.192, 266718.24 7031671.31 90.162, 266727 7031669.05 90.022, 266739.67 7031671.85 90.352, 266745.7 7031673.19 90.292, 266745.47 7031674.99 89.762, 266744.45 7031677.32 89.822, 266743.99 7031678.8 90.402, 266736.93 7031677.26 90.252, 266726.26 7031675.43 89.902, 266721.24 7031677 90.602, 266713.37 7031671.87 90.192))</t>
  </si>
  <si>
    <t>['FV6682 S1D1 m2365-2379']</t>
  </si>
  <si>
    <t>LINESTRING Z (266699.06 7031673.12 89.822, 266700.98 7031663.77 93.662, 266702.05 7031663.88 93.712, 266703.11 7031663.99 93.752, 266704.18 7031664.11 93.792, 266705.25 7031664.24 93.842, 266706.3 7031664.37 93.882, 266707.37 7031664.5 93.932, 266708.44 7031664.64 93.972, 266709.5 7031664.8 94.022, 266710.56 7031664.95 94.062, 266711.62 7031665.11 94.112, 266712.68 7031665.27 94.152, 266713.74 7031665.44 94.192, 266713.37 7031671.87 91.662)</t>
  </si>
  <si>
    <t>POLYGON Z ((266699.06 7031673.12 89.822, 266700.98 7031663.77 93.662, 266702.05 7031663.88 93.712, 266703.11 7031663.99 93.752, 266704.18 7031664.11 93.792, 266705.25 7031664.24 93.842, 266706.3 7031664.37 93.882, 266707.37 7031664.5 93.932, 266708.44 7031664.64 93.972, 266709.5 7031664.8 94.022, 266710.56 7031664.95 94.062, 266711.62 7031665.11 94.112, 266712.68 7031665.27 94.152, 266713.74 7031665.44 94.192, 266713.37 7031671.87 91.662, 266699.06 7031673.12 89.822))</t>
  </si>
  <si>
    <t>['FV6682 S1D1 m2304-2365']</t>
  </si>
  <si>
    <t>LINESTRING Z (266656.86 7031640.49 86.702, 266659.42 7031640.7 84.882, 266664.85 7031648.7 85.972, 266668.84 7031655.03 86.372, 266672.63 7031659.35 87.102, 266675.38 7031663.63 88.272, 266681.39 7031669.76 89.232, 266687.61 7031671.39 89.862, 266699.06 7031673.12 90.052)</t>
  </si>
  <si>
    <t>POLYGON ((266659.1406644553 7031641.178765217, 266664.4315367908 7031648.973788915, 266668.41701753973 7031655.2966192765, 266668.4393352145 7031655.329111568, 266668.46414314513 7031655.359744787, 266672.2295252628 7031659.651684298, 266674.95934690756 7031663.90027944, 266674.98911827605 7031663.941787552, 266675.0229692895 7031663.980041528, 266681.0329692895 7031670.110041528, 266681.0727022758 7031670.146422248, 266681.11611879326 7031670.178316967, 266681.1627148162 7031670.205355414, 266681.21194940835 7031670.227223701, 266681.26325100195 7031670.2436679555, 266687.4832510019 7031671.873667955, 266687.5353019667 7031671.884388717, 266698.9853019667 7031673.614388717, 266699.1346980333 7031672.625611283, 266687.7110087886 7031670.899586619, 266681.6503445573 7031669.311341813, 266675.7729322474 7031663.316576844, 266673.05065309245 7031659.0797205595, 266673.0293633133 7031659.049152955, 266673.0058568549 7031659.020255213, 266669.2419137962 7031654.729956001, 266665.2729824603 7031648.433380724, 266665.26370355935 7031648.41919871, 266659.83370355936 7031640.41919871, 266659.8038660106 7031640.379614473, 266659.7702555332 7031640.343179231, 266659.7332024768 7031640.310251095, 266659.693071027 7031640.281153711, 266659.6502556264 7031640.256173067, 266659.6051770976 7031640.235554694, 266659.55827850674 7031640.219501244, 266659.51002080896 7031640.208170503, 266659.4608783179 7031640.201673839, 266656.9008783179 7031639.991673839, 266656.8191216821 7031640.988326161, 266659.1406644553 7031641.178765217))</t>
  </si>
  <si>
    <t>['FV6682 S1D1 m2221-2304']</t>
  </si>
  <si>
    <t>LINESTRING Z (266615.01 7031588.49 83.282, 266615.02 7031589.55 83.332, 266615.37 7031590.49 83.382, 266615.71 7031591.43 83.432, 266616.07 7031592.43 83.472, 266616.42 7031593.45 83.522, 266616.75 7031594.47 83.572, 266617.05 7031595.5 83.622, 266617.12 7031595.72 83.632, 266617.19 7031595.96 83.642, 266617.34 7031596.52 83.672, 266617.62 7031597.56 83.722, 266617.88 7031598.6 83.772, 266618.12 7031599.65 83.822, 266618.35 7031600.69 83.872, 266618.55 7031601.75 83.912, 266618.71 7031602.63 83.952, 266618.73 7031602.76 83.962, 266618.89 7031603.52 84.012, 266619.09 7031604.29 84.062, 266619.33 7031605.04 84.112, 266619.6 7031605.78 84.162, 266619.91 7031606.5 84.212, 266620.25 7031607.22 84.262, 266620.63 7031607.9 84.302, 266621.05 7031608.57 84.352, 266621.5 7031609.22 84.402, 266621.98 7031609.85 84.452, 266622.49 7031610.44 84.502, 266623.02 7031611.02 84.552, 266623.6 7031611.56 84.602, 266623.8 7031611.75 84.612, 266624.19 7031612.08 84.652, 266624.75 7031612.54 84.682, 266624.94 7031612.71 84.702, 266625.7 7031613.32 84.742, 266626.46 7031613.93 84.792, 266626.89 7031614.28 84.822, 266627.23 7031614.54 84.842, 266627.99 7031615.15 84.892, 266628.77 7031615.75 84.942, 266629.54 7031616.35 84.992, 266630.32 7031616.94 85.042, 266631.1 7031617.53 85.092, 266631.63 7031617.94 85.122, 266631.89 7031618.12 85.132, 266632.68 7031618.7 85.182, 266633.47 7031619.28 85.232, 266634.26 7031619.86 85.282, 266635.05 7031620.43 85.332, 266635.85 7031621 85.382, 266636.66 7031621.56 85.432, 266637.45 7031622.12 85.482, 266638.27 7031622.68 85.532, 266638.87 7031623.09 85.562, 266639.07 7031623.23 85.572, 266639.89 7031623.77 85.622, 266640.7 7031624.32 85.672, 266641.52 7031624.86 85.722, 266642.34 7031625.39 85.772, 266643.17 7031625.92 85.822, 266643.99 7031626.44 85.872, 266644.43 7031626.72 85.892, 266644.88 7031627.01 85.922, 266645.82 7031627.66 85.962, 266646.75 7031628.33 86.012, 266647.65 7031629.03 86.062, 266648.53 7031629.76 86.112, 266649.38 7031630.52 86.162, 266650.2 7031631.31 86.212, 266651.01 7031632.13 86.262, 266651.78 7031632.97 86.312, 266652.52 7031633.83 86.362, 266653.24 7031634.72 86.402, 266653.93 7031635.63 86.452, 266654.58 7031636.58 86.502, 266655.2 7031637.53 86.552, 266655.8 7031638.51 86.602, 266656.35 7031639.5 86.652, 266656.87 7031640.52 86.702, 266656.93 7031640.64 86.702)</t>
  </si>
  <si>
    <t>POLYGON ((266614.52002224844 7031589.5547167715, 266614.522311082 7031589.59801813, 266614.5283430268 7031589.6409583455, 266614.5380727167 7031589.683214464, 266614.5514269749 7031589.724468679, 266614.9006091216 7031590.662272159, 266615.23968377867 7031591.599713858, 266615.59828543 7031592.595829556, 266615.94563578477 7031593.608107734, 266616.2720089425 7031594.616897493, 266616.5699478335 7031595.639821019, 266616.57353711006 7031595.651601829, 266616.6416981901 7031595.8658223655, 266616.7084542947 7031596.094700439, 266616.8570259743 7031596.649368042, 266616.85719212075 7031596.6499867365, 266617.1360211658 7031597.685637475, 266617.3936998108 7031598.716352056, 266617.6321774235 7031599.759691612, 266617.8601137892 7031600.790360396, 266618.058361705 7031601.841074349, 266618.21684836206 7031602.712750963, 266618.2358141511 7031602.836028592, 266618.2407251075 7031602.86300524, 266618.4007251075 7031603.62300524, 266618.40605814854 7031603.645699182, 266618.60605814855 7031604.415699182, 266618.61378792644 7031604.442387864, 266618.85378792643 7031605.192387864, 266618.86028889153 7031605.21138108, 266619.1302888915 7031605.95138108, 266619.1407580449 7031605.977729175, 266619.4507580449 7031606.697729175, 266619.4578756766 7031606.713503153, 266619.79787567665 7031607.433503153, 266619.8135282588 7031607.463910678, 266620.1935282588 7031608.143910679, 266620.2063564558 7031608.1655675955, 266620.6263564558 7031608.835567595, 266620.6389039043 7031608.85460499, 266621.0889039043 7031609.50460499, 266621.10228414 7031609.523021608, 266621.58228414 7031610.153021608, 266621.60173269233 7031610.176976824, 266622.11173269234 7031610.766976825, 266622.1208950588 7031610.777285551, 266622.6508950588 7031611.35728555, 266622.67929073604 7031611.385946987, 266623.2574493384 7031611.924232583, 266623.45562526863 7031612.112499717, 266623.4770288792 7031612.1316931425, 266623.86702887923 7031612.461693143, 266623.87263028836 7031612.466363127, 266624.4244713232 7031612.9196611205, 266624.60660257033 7031613.082620657, 266624.62702718185 7031613.099933347, 266625.38702718186 7031613.709933347, 266626.14569201454 7031614.318861699, 266626.5743643005 7031614.667781002, 266626.5862749464 7031614.6771789165, 266626.9216084965 7031614.933610454, 266627.67702718184 7031615.539933347, 266627.68514461967 7031615.546311995, 266628.4639069541 7031616.145359945, 266629.2326752117 7031616.744400145, 266629.23836653074 7031616.748769671, 266630.01836653077 7031617.3387696715, 266630.7962063244 7031617.927135669, 266631.324063925 7031618.335478341, 266631.3453950109 7031618.351096096, 266631.59969012084 7031618.527146557, 266633.1740970374 7031619.683040243, 266633.96409703745 7031620.263040243, 266633.9674421515 7031620.265474914, 266634.7574421515 7031620.835474913, 266634.7598626053 7031620.837210378, 266635.5598626053 7031621.407210378, 266635.56565910025 7031621.411278802, 266636.37324373436 7031621.969608919, 266637.16084808455 7031622.527910737, 266637.1680191771 7031622.532900491, 266637.98796016583 7031623.09286019, 266638.5855777553 7031623.50123221, 266638.783268827 7031623.63961596, 266638.79500471556 7031623.647585433, 266639.61205065675 7031624.185640076, 266640.4191244202 7031624.733653126, 266640.4250047152 7031624.737585433, 266641.2450047152 7031625.277585433, 266641.2485867303 7031625.279922418, 266642.0685867303 7031625.809922418, 266642.070905523 7031625.811412105, 266642.900905523 7031626.341412106, 266642.90222898714 7031626.342254289, 266643.72189548146 7031626.862042799, 266644.1603536446 7031627.141061629, 266644.6023124753 7031627.425879542, 266645.5316507544 7031628.068507076, 266646.45028009673 7031628.730315312, 266647.33682181506 7031629.419847759, 266648.2036377999 7031630.138911019, 266649.03979502345 7031630.886533949, 266649.8486356445 7031631.665782839, 266650.6477274902 7031632.474740016, 266651.40611655434 7031633.302073541, 266652.13604685874 7031634.150370922, 266652.8463314867 7031635.028361643, 266653.5242234268 7031635.922393042, 266654.1642648737 7031636.857838234, 266654.77734044666 7031637.797228225, 266655.36805488693 7031638.76206181, 266655.90859399986 7031639.735032214, 266656.4236598446 7031640.745353677, 266656.48278640443 7031640.8636067975, 266657.37721359555 7031640.416393202, 266657.31721359555 7031640.296393202, 266657.3154530734 7031640.292906276, 266656.7954530734 7031639.272906276, 266656.78707863804 7031639.257178535, 266656.23707863805 7031638.2671785345, 266656.226425652 7031638.24892307, 266655.626425652 7031637.26892307, 266655.61871759343 7031637.256731676, 266654.99871759344 7031636.306731676, 266654.9926536307 7031636.297658042, 266654.34265363065 7031635.347658042, 266654.328418319 7031635.327902594, 266653.638418319 7031634.4179025935, 266653.62872412824 7031634.405526548, 266652.90872412827 7031633.515526548, 266652.899005437 7031633.503879043, 266652.159005437 7031632.643879043, 266652.1485770701 7031632.632137685, 266651.3785770701 7031631.792137685, 266651.36571573577 7031631.778622261, 266650.55571573577 7031630.958622261, 266650.5469052202 7031630.949921164, 266649.7269052202 7031630.159921164, 266649.7132692295 7031630.147264677, 266648.86326922954 7031629.387264677, 266648.84923112893 7031629.375173433, 266647.9692311289 7031628.645173433, 266647.9569703068 7031628.635323891, 266647.0569703068 7031627.935323891, 266647.04226726684 7031627.924315585, 266646.11226726684 7031627.254315585, 266646.104377444 7031627.248746466, 266645.164377444 7031626.5987464655, 266645.15085066686 7031626.589714482, 266644.70085066685 7031626.299714482, 266644.6984377456 7031626.298169255, 266644.2584377456 7031626.018169256, 266644.25777101284 7031626.017745711, 266643.43843341526 7031625.49816577, 266642.61025588674 7031624.969329517, 266641.79320927704 7031624.441238416, 266640.9779493322 7031623.904359916, 266640.1708755798 7031623.356346874, 266640.16499528446 7031623.352414567, 266639.35091977083 7031622.816316059, 266639.156731173 7031622.68038404, 266639.1520952526 7031622.677177679, 266638.5520952526 7031622.267177679, 266637.7355881681 7031621.7095630625, 266636.94915191544 7031621.152089262, 266636.9443408997 7031621.148721198, 266636.1372535253 7031620.5907348655, 266635.34135024913 7031620.02365378, 266634.55423546094 7031619.455735516, 266633.76590296254 7031618.876959758, 266632.1859029626 7031617.716959758, 266632.1746049891 7031617.708903904, 266631.92547704995 7031617.536430716, 266631.40593607497 7031617.134521659, 266631.4016334689 7031617.131230329, 266630.62163346895 7031616.541230329, 266629.84449477616 7031615.9533946505, 266629.0773247883 7031615.355599855, 266629.07485538034 7031615.353688005, 266628.29894701974 7031614.756835421, 266627.54297281813 7031614.150066653, 266627.5337250536 7031614.142821084, 266627.1997516842 7031613.8874296835, 266626.7756356995 7031613.542218998, 266626.7729728179 7031613.540066653, 266626.0129728179 7031612.9300666535, 266625.2634169849 7031612.328449471, 266625.08339742967 7031612.167379343, 266625.06736971164 7031612.153636873, 266624.5101874386 7031611.695951434, 266624.13394894 7031611.377595781, 266623.94437473133 7031611.197500283, 266623.94070926396 7031611.194053012, 266623.3754857575 7031610.667810437, 266622.8637572143 7031610.107805617, 266622.3683613454 7031609.534700591, 266621.9046156512 7031608.926034368, 266621.46758690657 7031608.294770626, 266621.06033029227 7031607.6450993605, 266620.6948183019 7031606.991025272, 266620.3658196454 7031606.294322235, 266620.06485018955 7031605.595296402, 266619.80315227556 7031604.878050268, 266619.5704478846 7031604.150849045, 266619.3768729664 7031603.40558561, 266619.22210035974 7031602.670415728, 266619.2041858489 7031602.553971408, 266619.2019349551 7031602.540557281, 266619.04193495505 7031601.660557281, 266619.0413308269 7031601.65729607, 266618.84133082686 7031600.59729607, 266618.83820373035 7031600.5820318675, 266618.6082037304 7031599.542031867, 266618.6074292533 7031599.5385876, 266618.3674292533 7031598.488587599, 266618.36507125007 7031598.478732187, 266618.10507125006 7031597.438732187, 266618.1028078793 7031597.430013263, 266617.82289112697 7031596.390322468, 266617.6729740257 7031595.830631957, 266617.67000000004 7031595.82, 266617.60000000003 7031595.58, 266617.5964628899 7031595.568398171, 266617.52833007666 7031595.354266472, 266617.2300521665 7031594.330178981, 266617.22572225926 7031594.316089857, 266616.89572225924 7031593.296089858, 266616.892932316 7031593.287719304, 266616.542932316 7031592.267719303, 266616.5404437059 7031592.260640265, 266616.18044370593 7031591.260640265, 266616.18018811283 7031591.259931959, 266615.8401881128 7031590.31993196, 266615.83857302513 7031590.315531321, 266615.51915107225 7031589.457655218, 266615.5099777516 7031588.485283229, 266614.51002224843 7031588.494716772, 266614.52002224844 7031589.5547167715))</t>
  </si>
  <si>
    <t>['FV6682 S1D1 m2202-2221']</t>
  </si>
  <si>
    <t>LINESTRING Z (266615.01 7031588.49 83.282, 266609.5 7031573.45 83.282)</t>
  </si>
  <si>
    <t>POLYGON ((266609.96948522393 7031573.278001091, 266609.03051477607 7031573.621998909, 266614.5405147761 7031588.661998909, 266615.47948522394 7031588.3180010915, 266609.96948522393 7031573.278001091))</t>
  </si>
  <si>
    <t>['FV6682 S1D1 m2335-2572']</t>
  </si>
  <si>
    <t>LINESTRING Z (266671.82 7031671.88 87.412, 266672.29 7031672.17 87.432, 266672.77 7031672.45 87.462, 266673.23 7031672.74 87.482, 266673.71 7031673.02 87.512, 266674.17 7031673.3 87.532, 266674.64 7031673.56 87.552, 266675.13 7031673.8 87.572, 266675.61 7031674.03 87.602, 266676.09 7031674.27 87.622, 266676.57 7031674.5 87.642, 266677.05 7031674.75 87.662, 266677.53 7031674.97 87.692, 266677.95 7031675.17 87.702, 266678.37 7031675.37 87.722, 266678.5 7031675.41 87.732, 266679.46 7031675.8 87.772, 266680.41 7031676.17 87.822, 266681.37 7031676.54 87.862, 266682.34 7031676.91 87.912, 266683.32 7031677.2 87.952, 266684.31 7031677.5 88.002, 266685.29 7031677.79 88.042, 266686.28 7031678.08 88.092, 266687.28 7031678.34 88.132, 266688.29 7031678.56 88.172, 266689.3 7031678.77 88.222, 266690.32 7031678.97 88.262, 266691.35 7031679.12 88.312, 266692.36 7031679.26 88.352, 266693.39 7031679.4 88.402, 266694.14 7031679.49 88.432, 266694.41 7031679.52 88.442, 266695.4 7031679.64 88.482, 266696.38 7031679.75 88.532, 266697.37 7031679.86 88.572, 266698.35 7031679.98 88.622, 266699.33 7031680.11 88.662, 266700.32 7031680.23 88.712, 266701.3 7031680.36 88.752, 266702.28 7031680.5 88.802, 266703.27 7031680.63 88.842, 266704.24 7031680.75 88.882, 266705.23 7031680.87 88.932, 266706.21 7031681 88.972, 266707.19 7031681.14 89.022, 266708.17 7031681.28 89.062, 266709.15 7031681.43 89.112, 266710.13 7031681.58 89.152, 266711.11 7031681.74 89.192, 266712.09 7031681.9 89.242, 266713.06 7031682.06 89.282, 266714.04 7031682.23 89.332, 266715.01 7031682.41 89.372, 266715.99 7031682.59 89.422, 266716.97 7031682.78 89.462, 266717.94 7031682.96 89.512, 266718.9 7031683.16 89.552, 266719.88 7031683.36 89.592, 266720.85 7031683.56 89.642, 266720.96 7031683.59 89.642, 266721.79 7031683.77 89.682, 266722.75 7031683.99 89.732, 266723.7 7031684.23 89.772, 266724.63 7031684.47 89.822, 266725.57 7031684.73 89.862, 266726.5 7031685.01 89.912, 266727.43 7031685.29 89.952, 266728.36 7031685.59 89.992, 266729.28 7031685.9 90.042, 266730.2 7031686.23 90.082, 266731.11 7031686.56 90.132, 266732.03 7031686.91 90.172, 266732.93 7031687.27 90.222, 266733.83 7031687.65 90.262, 266734.72 7031688.03 90.302, 266735.61 7031688.42 90.352, 266736.49 7031688.83 90.392, 266737.36 7031689.26 90.442, 266738.24 7031689.69 90.482, 266739.1 7031690.14 90.532, 266739.96 7031690.6 90.572, 266740.82 7031691.06 90.622, 266741.66 7031691.54 90.662, 266742.5 7031692.04 90.692, 266743.33 7031692.54 90.712, 266744.16 7031693.06 90.742, 266744.98 7031693.58 90.762, 266745.79 7031694.12 90.782, 266746.6 7031694.67 90.812, 266747.39 7031695.23 90.842, 266748.18 7031695.8 90.862, 266748.96 7031696.38 90.882, 266749.74 7031696.97 90.912, 266750.5 7031697.57 90.942, 266751.26 7031698.18 90.962, 266752 7031698.8 90.992, 266752.74 7031699.44 91.012, 266753.48 7031700.08 91.032, 266754.2 7031700.74 91.062, 266754.9 7031701.4 91.092, 266755.61 7031702.07 91.112, 266756.33 7031702.73 91.132, 266757.06 7031703.37 91.162, 266757.74 7031704.07 91.192, 266758.43 7031704.76 91.212, 266759.11 7031705.47 91.242, 266759.72 7031706.22 91.262, 266760.34 7031706.98 91.282, 266760.96 7031707.73 91.312, 266761.58 7031708.49 91.342, 266762.19 7031709.23 91.362, 266762.82 7031709.99 91.382, 266763.43 7031710.75 91.412, 266764.05 7031711.5 91.442, 266764.68 7031712.26 91.462, 266765.02 7031712.68 91.472, 266765.3 7031713.02 91.492, 266765.93 7031713.81 91.512, 266766.49 7031714.64 91.532, 266767.06 7031715.46 91.562, 266767.62 7031716.29 91.592, 266768.18 7031717.12 91.612, 266768.74 7031717.96 91.632, 266769.3 7031718.78 91.662, 266769.86 7031719.61 91.692, 266770.43 7031720.44 91.712, 266770.99 7031721.26 91.742, 266771.55 7031722.09 91.762, 266772.11 7031722.93 91.792, 266772.67 7031723.76 91.812, 266773.23 7031724.58 91.842, 266773.8 7031725.41 91.872, 266774.36 7031726.24 91.902, 266774.92 7031727.06 91.922, 266775.48 7031727.9 91.952, 266776.04 7031728.73 91.982, 266776.6 7031729.56 92.012, 266777.17 7031730.38 92.032, 266777.73 7031731.21 92.062, 266778.29 7031732.04 92.092, 266778.86 7031732.88 92.112, 266779.42 7031733.7 92.142, 266780 7031734.52 92.172, 266780.58 7031735.33 92.202, 266781.16 7031736.15 92.222, 266781.75 7031736.96 92.252, 266782.34 7031737.76 92.282, 266782.93 7031738.58 92.312, 266783.52 7031739.39 92.332, 266784.1 7031740.2 92.362, 266784.68 7031741.01 92.392, 266785.27 7031741.82 92.422, 266785.86 7031742.63 92.442, 266786.45 7031743.44 92.472, 266787.04 7031744.26 92.502, 266787.63 7031745.07 92.522, 266788.22 7031745.88 92.552, 266788.81 7031746.68 92.582, 266789.39 7031747.49 92.612, 266789.98 7031748.3 92.632, 266790.57 7031749.11 92.662, 266791.16 7031749.93 92.692, 266791.74 7031750.74 92.722, 266792.33 7031751.55 92.742, 266792.92 7031752.36 92.772, 266793.5 7031753.17 92.802, 266794.09 7031753.98 92.822, 266794.68 7031754.79 92.852, 266795.27 7031755.61 92.882, 266795.88 7031756.4 92.912, 266796.48 7031757.2 92.932, 266797.08 7031758 92.962, 266797.29 7031758.27 92.972, 266797.69 7031758.8 92.992, 266798.3 7031759.61 93.022, 266798.91 7031760.42 93.042, 266799.53 7031761.23 93.072, 266800.14 7031762.03 93.102, 266800.75 7031762.84 93.132, 266801.4 7031763.62 93.152, 266802.05 7031764.41 93.182, 266802.69 7031765.18 93.212, 266803.36 7031765.95 93.232, 266804.01 7031766.71 93.262, 266804.68 7031767.49 93.292, 266805.36 7031768.24 93.322, 266806.03 7031768.99 93.342, 266806.72 7031769.74 93.372, 266807.44 7031770.45 93.402, 266808.15 7031771.17 93.432, 266808.87 7031771.89 93.452, 266809.59 7031772.6 93.482, 266810.3 7031773.32 93.512, 266811.02 7031774.04 93.532, 266811.73 7031774.75 93.562, 266812.45 7031775.47 93.592, 266813.17 7031776.19 93.622, 266813.53 7031776.53 93.632, 266813.9 7031776.88 93.652, 266814.65 7031777.56 93.692, 266815.41 7031778.25 93.732, 266816.17 7031778.91 93.772, 266816.93 7031779.57 93.812, 266817.69 7031780.23 93.852, 266818.46 7031780.9 93.892, 266819.23 7031781.57 93.932, 266820 7031782.22 93.972, 266820.79 7031782.86 94.012, 266821.59 7031783.49 94.062, 266822.39 7031784.11 94.102, 266823.18 7031784.74 94.142, 266823.98 7031785.37 94.182, 266824.76 7031785.98 94.222, 266825.54 7031786.56 94.262, 266826.32 7031787.16 94.302, 266827.09 7031787.76 94.342, 266827.87 7031788.36 94.382, 266828.64 7031788.98 94.422, 266829.36 7031789.65 94.462, 266830.09 7031790.32 94.502, 266830.81 7031790.98 94.542, 266831.54 7031791.64 94.582, 266832.26 7031792.3 94.622, 266832.99 7031792.97 94.662, 266833.7 7031793.62 94.702, 266834.43 7031794.29 94.742, 266835.17 7031794.95 94.782, 266835.89 7031795.62 94.832, 266836.61 7031796.29 94.872, 266837.25 7031797.04 94.912, 266837.88 7031797.78 94.952, 266838.53 7031798.54 94.992, 266839.16 7031799.28 95.032, 266839.79 7031800.04 95.072, 266840.44 7031800.78 95.112, 266841.07 7031801.54 95.152, 266841.7 7031802.28 95.192, 266842.35 7031803.03 95.232, 266842.98 7031803.79 95.272, 266843.61 7031804.53 95.312, 266844.18 7031805.34 95.352, 266844.75 7031806.14 95.392, 266845.31 7031806.96 95.432, 266845.87 7031807.76 95.472, 266846.43 7031808.57 95.512, 266846.99 7031809.38 95.552, 266847.39 7031810 95.582, 266847.52 7031810.21 95.592, 266848.05 7031811.06 95.642, 266848.59 7031811.91 95.682, 266849.09 7031812.77 95.722, 266849.59 7031813.64 95.762, 266850.1 7031814.51 95.802, 266850.57 7031815.39 95.842, 266850.72 7031815.65 95.852, 266851.06 7031816.27 95.672, 266851.38 7031816.85 95.512, 266851.47 7031816.99 95.512, 266851.54 7031817.12 95.512, 266851.76 7031817.53 95.512, 266851.97 7031817.93 95.512)</t>
  </si>
  <si>
    <t>POLYGON ((266672.0274463364 7031672.595518006, 266672.03806448705 7031672.60188945, 266672.51063017466 7031672.877552768, 266672.9633495383 7031673.162962802, 266672.9780644877 7031673.171889451, 266673.4540231277 7031673.449531991, 266673.91002652637 7031673.727099277, 266673.9279693076 7031673.737517021, 266674.3979693076 7031673.99751702, 266674.42006627546 7031674.0090313535, 266674.91006627545 7031674.249031354, 266674.9139399094 7031674.250908014, 266675.3901510532 7031674.479092522, 266675.8663932028 7031674.717213595, 266675.87393990945 7031674.720908014, 266676.34642426786 7031674.94730677, 266676.81903279055 7031675.193457042, 266676.84167264495 7031675.204532412, 266677.31834158296 7031675.423005675, 266678.15503320965 7031675.821430259, 266678.22295707546 7031675.847889504, 266678.3320638954 7031675.881460833, 266679.2718114767 7031676.263233288, 266679.27854022325 7031676.265910237, 266680.2285402232 7031676.635910237, 266680.23018484266 7031676.636547435, 266681.1901848427 7031677.006547435, 266681.19180207653 7031677.007167529, 266682.16180207656 7031677.377167529, 266682.1981224174 7031677.389448383, 266683.17655783746 7031677.6789853955, 266684.16499630245 7031677.978512202, 266684.16812241735 7031677.979448383, 266685.14812241733 7031678.269448383, 266685.14944173914 7031678.269836822, 266686.1394417392 7031678.559836822, 266686.15418307425 7031678.563911254, 266687.15418307425 7031678.823911253, 266687.17358436977 7031678.828544484, 266688.1835843697 7031679.048544484, 266688.18821643176 7031679.049530494, 266689.1982164318 7031679.259530494, 266689.2037927695 7031679.260656875, 266690.22379276954 7031679.460656875, 266690.2479445477 7031679.464780771, 266691.27794454765 7031679.614780772, 266691.2813494506 7031679.615264679, 266692.2913494506 7031679.755264679, 266692.2926580549 7031679.755444308, 266693.32265805494 7031679.895444308, 266693.3304273898 7031679.89643842, 266694.0804273898 7031679.98643842, 266694.0847842382 7031679.9869418675, 266694.3523078194 7031680.016666709, 266695.3398343162 7031680.136366891, 266695.34422778594 7031680.1368797235, 266696.3242277859 7031680.246879724, 266696.3247842368 7031680.246941867, 266697.31200498197 7031680.356633062, 266698.2867378433 7031680.475988106, 266699.26424944744 7031680.605658012, 266699.2698343162 7031680.606366891, 266700.2570398808 7031680.726028172, 266701.2317676434 7031680.855328794, 266702.2092893221 7031680.994974747, 266702.21490228013 7031680.995744175, 266703.2049022801 7031681.125744175, 266703.20861230005 7031681.1262172405, 266704.1786123 7031681.246217241, 266704.1798343162 7031681.246366891, 266705.16703988076 7031681.366028172, 266706.14176764345 7031681.495328793, 266707.11928932206 7031681.634974747, 266708.0968180263 7031681.774621705, 266709.0743504073 7031681.924244007, 266710.051890252 7031682.073867453, 266711.02943405043 7031682.233466441, 266712.0090295609 7031682.393400402, 266712.9765820866 7031682.552996694, 266713.95165471284 7031682.722141947, 266714.918773892 7031682.901607361, 266714.91967424 7031682.901773583, 266715.89725154114 7031683.081328597, 266716.8748333121 7031683.270859757, 266716.87877389195 7031683.271607361, 266717.8433867601 7031683.450607686, 266718.7980228729 7031683.64949021, 266718.8000199939 7031683.64990203, 266719.7795257177 7031683.849801158, 266720.7336210671 7031684.046521847, 266720.8284412961 7031684.07238191, 266720.85402960755 7031684.078641254, 266721.68116699037 7031684.258020446, 266722.63290753897 7031684.476127655, 266723.5762955492 7031684.714457259, 266724.5008743302 7031684.9530582335, 266725.4312626786 7031685.210399692, 266726.3558538267 7031685.48877122, 266727.2811618873 7031685.767358593, 266728.2034137013 7031686.064859177, 266729.11574741895 7031686.372275974, 266730.03036282206 7031686.700344543, 266730.93586781604 7031687.028714485, 266731.84824601107 7031687.375814885, 266732.73989215505 7031687.732473343, 266733.6345883004 7031688.110233938, 266734.5214878961 7031688.488910169, 266735.4040527426 7031688.875652068, 266736.2736191557 7031689.280790965, 266737.1384564469 7031689.708239282, 266737.1404864981 7031689.709236933, 266738.0142948747 7031690.136211481, 266738.8661766209 7031690.581963557, 266739.7241738749 7031691.040892321, 266740.5780048473 7031691.497592608, 266741.4080743897 7031691.971918061, 266742.2431241071 7031692.468971465, 266743.06824772625 7031692.966033886, 266743.8933833924 7031693.482986351, 266744.70740387554 7031693.999194463, 266745.5108821182 7031694.534846624, 266746.3149573296 7031695.08082362, 266747.0991399898 7031695.636699936, 266747.8845301401 7031696.203373842, 266748.6600025207 7031696.78000715, 266749.43423945265 7031697.365647906, 266750.18859750306 7031697.961193737, 266750.9429234924 7031698.566639596, 266751.6758871642 7031699.180744293, 266752.41292403336 7031699.818181586, 266753.14746147994 7031700.453457216, 266753.85954884917 7031701.1062039705, 266754.5569156248 7031701.7637212165, 266755.26683865866 7031702.433648586, 266755.2721376857 7031702.438577071, 266755.9921376857 7031703.098577071, 266756.00038323045 7031703.105969128, 266756.7153193186 7031703.73276241, 266757.3813603095 7031704.418392843, 266757.3864466095 7031704.423553391, 266758.0726317359 7031705.109738518, 266758.73488570214 7031705.80120957, 266759.3321012506 7031706.535490982, 266759.3325674895 7031706.536063364, 266759.9525674895 7031707.2960633645, 266759.95462884073 7031707.298573492, 266760.5735940745 7031708.047321759, 266761.1925674897 7031708.806063364, 266761.1941854243 7031708.8080363395, 266761.8041854243 7031709.54803634, 266761.8050603254 7031709.549094731, 266762.43253929995 7031710.306053494, 266763.04006665293 7031711.0629728185, 266763.0446288407 7031711.068573492, 266763.6646288407 7031711.818573492, 266763.6650603254 7031711.819094731, 266764.29320588463 7031712.576857627, 266764.6313775647 7031712.994599114, 266764.63403488224 7031712.9978536265, 266764.9115350689 7031713.334818139, 266765.52666112897 7031714.106166691, 266766.07551777933 7031714.919650654, 266766.0794453766 7031714.92538553, 266766.6474616424 7031715.742531737, 266767.7647431334 7031717.398502518, 266768.32397485286 7031718.237350098, 266768.327099509 7031718.241980823, 266768.88630536187 7031719.060817964, 266769.4455177793 7031719.889650655, 266769.4478341995 7031719.893053622, 266770.0174661614 7031720.722517706, 266770.57630535244 7031721.54081795, 266771.1347431334 7031722.368502518, 266771.69397485285 7031723.207350098, 266771.6955177793 7031723.209650654, 266772.2555177793 7031724.039650654, 266772.257099509 7031724.041980823, 266772.817099509 7031724.861980823, 266772.8178341995 7031724.863053622, 266773.38666897925 7031725.691356897, 266773.9455177793 7031726.519650655, 266773.9470995091 7031726.521980823, 266774.50552423554 7031727.339674172, 266775.0639748527 7031728.177350098, 266775.0655177793 7031728.179650655, 266775.6255177793 7031729.009650655, 266776.1855177795 7031729.839650654, 266776.18944537657 7031729.84538553, 266776.7574616424 7031730.662531737, 266777.8755177793 7031732.319650655, 266777.8762621128 7031732.32075071, 266778.4462621128 7031733.1607507095, 266778.447099509 7031733.161980823, 266779.007099509 7031733.981980823, 266779.01179218036 7031733.98873236, 266779.5917921804 7031734.80873236, 266779.5934726532 7031734.811093655, 266780.1726290218 7031735.619915481, 266780.7517921802 7031736.4387323605, 266780.7558478303 7031736.444382445, 266781.34584783035 7031737.254382445, 266781.34759854566 7031737.256771073, 266781.93585480656 7031738.05440668, 266782.5241389709 7031738.87202196, 266782.52584783034 7031738.874382445, 266783.11465355044 7031739.68274284, 266783.69347265316 7031740.491093656, 266784.27347265335 7031741.301093656, 266784.27584783017 7031741.304382444, 266784.8658478302 7031742.114382445, 266785.45584783034 7031742.9243824445, 266786.0449899674 7031743.733204701, 266786.634138971 7031744.55202196, 266786.63584783016 7031744.554382444, 266787.2258478302 7031745.364382445, 266787.8158478303 7031746.1743824445, 266787.81759854563 7031746.176771073, 266788.405515672 7031746.973946837, 266788.9834726532 7031747.781093656, 266788.98584783036 7031747.784382445, 266789.57584783033 7031748.594382444, 266790.1649899674 7031749.403204701, 266790.75380523026 7031750.221558116, 266791.3334726532 7031751.031093656, 266791.33584783034 7031751.034382445, 266791.92584783037 7031751.844382444, 266792.51465357083 7031752.652742868, 266793.09347265336 7031753.461093656, 266793.0958478302 7031753.4643824445, 266793.6858478302 7031754.274382445, 266794.2749899437 7031755.083204668, 266794.8641389709 7031755.90202196, 266794.8742473543 7031755.915581157, 266795.48210411874 7031756.702805492, 266796.08 7031757.5, 266796.68000000005 7031758.3, 266796.6853238915 7031758.306970307, 266796.8930936993 7031758.574102917, 266797.29074901476 7031759.100996209, 266797.9005924928 7031759.910788369, 266798.51059249294 7031760.72078837, 266798.512960257 7031760.723906963, 266799.1326789076 7031761.533539394, 266799.7414917753 7031762.331982499, 266800.35059249296 7031763.14078837, 266800.36588936014 7031763.160092199, 266801.01488777704 7031763.9388903, 266801.66389384004 7031764.727682284, 266801.6654803496 7031764.729600749, 266802.30548034963 7031765.4996007485, 266802.31280271936 7031765.50821062, 266802.98140395724 7031766.276603088, 266803.63001899864 7031767.034983751, 266803.63071515417 7031767.035795957, 266804.30071515415 7031767.815795957, 266804.3095833317 7031767.825844446, 266804.9883463431 7031768.574480121, 266805.6571193963 7031769.323106673, 266805.66203449416 7031769.3285282655, 266806.3520344941 7031770.0785282655, 266806.36892759474 7031770.096017087, 266807.0864379461 7031770.803562016, 266807.7939829131 7031771.521072405, 266807.7964466095 7031771.523553391, 266808.51644660946 7031772.243553391, 266808.51892759476 7031772.246017086, 266809.2364379376 7031772.953562007, 266809.9439829128 7031773.671072406, 266809.94644660945 7031773.673553391, 266810.6664466095 7031774.393553391, 266811.3764466094 7031775.10355339, 266812.0964466095 7031775.823553391, 266812.8164466092 7031776.543553391, 266812.8266882336 7031776.553506576, 266813.1865437392 7031776.89337011, 266813.5564000733 7031777.243234209, 266813.56415555417 7031777.250416668, 266814.31403107475 7031777.930303806, 266815.07390611933 7031778.620190361, 266815.0821566722 7031778.627516559, 266817.36197307997 7031780.607357125, 266818.13178937935 7031781.277197281, 266818.90178937925 7031781.947197281, 266818.9074739623 7031781.952069307, 266819.6774739623 7031782.602069306, 266819.68525943474 7031782.608507885, 266820.4752594347 7031783.248507885, 266820.48065570113 7031783.252818158, 266821.2806557012 7031783.882818158, 266821.28371416725 7031783.885207526, 266822.0809703509 7031784.503081068, 266822.8682563021 7031785.130916701, 266822.87065570115 7031785.132818158, 266823.67065570113 7031785.762818158, 266823.6719820398 7031785.763859031, 266824.45198203984 7031786.373859031, 266824.4616486171 7031786.381231171, 266825.23837654915 7031786.958798094, 266826.01390698086 7031787.555359965, 266826.7826752118 7031788.154400145, 266826.7851446194 7031788.156311994, 266827.5607444258 7031788.752927231, 266828.31248364813 7031789.358223747, 266829.019384652 7031790.016034404, 266829.0219092466 7031790.018367537, 266829.75190924667 7031790.688367537, 266830.4721376857 7031791.34857707, 266830.4746763946 7031791.350888231, 266831.2034030109 7031792.009736951, 266831.92202413117 7031792.668472978, 266832.65190924663 7031793.338367537, 266832.6523729663 7031793.338792605, 266833.36214100604 7031793.988580247, 266834.09190924664 7031794.658367537, 266834.09719257645 7031794.663147717, 266834.83325104404 7031795.319632296, 266835.5493846521 7031795.986034404, 266836.2483276983 7031796.636439738, 266836.86947040743 7031797.36434135, 266837.4992843383 7031798.104122793, 266837.50001899863 7031798.104983752, 266838.1496511859 7031798.864553694, 266838.7771558191 7031799.601622628, 266839.4050603254 7031800.359094731, 266839.4143412822 7031800.369970495, 266840.05962303816 7031801.104598955, 266840.6850603254 7031801.859094731, 266840.6892843383 7031801.864122793, 266841.31928433833 7031802.604122793, 266841.3221554586 7031802.607465269, 266841.96856195235 7031803.353318916, 266842.5950603254 7031804.109094731, 266842.5992843383 7031804.114122793, 266843.21435267886 7031804.836584019, 266843.7710967904 7031805.627746703, 266843.77278962167 7031805.630137394, 266844.33990400215 7031806.426087402, 266844.897099509 7031807.241980823, 266844.9003840398 7031807.246731172, 266845.45954916364 7031808.045538492, 266846.0187211983 7031808.8543409, 266846.57418042433 7031809.657772995, 266846.96732276474 7031810.267143623, 266847.0948674267 7031810.473177307, 266847.0957206629 7031810.474550646, 266847.6257206629 7031811.324550645, 266847.62796493236 7031811.3281163955, 266848.16269036196 7031812.169813831, 266848.6571169763 7031813.020227607, 266849.15649302804 7031813.889141938, 266849.15865101496 7031813.8928597495, 266849.6636350328 7031814.754303074, 266850.1289623408 7031815.625554204, 266850.1369072067 7031815.639861226, 266850.28419932065 7031815.8951675575, 266850.6215937958 7031816.510416306, 266850.622211158 7031816.511538671, 266850.942211158 7031817.091538671, 266850.9594107618 7031817.120378794, 266851.03894239996 7031817.244094676, 266851.0995920423 7031817.356729726, 266851.3183514184 7031817.764417655, 266851.5273010487 7031818.16241695, 266852.41269895126 7031817.69758305, 266852.2026989513 7031817.29758305, 266852.20058013406 7031817.293591148, 266851.980580134 7031816.883591148, 266851.98023554985 7031816.882950088, 266851.91023554985 7031816.752950088, 266851.8905892382 7031816.719621206, 266851.8096735334 7031816.593752331, 266851.4980982366 7031816.029022105, 266851.1584062042 7031815.409583694, 266851.1530927933 7031815.400138774, 266851.0071823072 7031815.147227264, 266850.54103765916 7031814.274445795, 266850.53134898504 7031814.25714025, 266850.0224359728 7031813.388994523, 266849.523506972 7031812.5208580615, 266849.5222535933 7031812.518689771, 266849.0222535933 7031811.658689772, 266849.01203506766 7031811.641883604, 266848.47316471644 7031810.793661755, 266847.94470704155 7031809.946135296, 266847.8151325733 7031809.736822693, 266847.8101483241 7031809.728936565, 266847.4101483241 7031809.108936565, 266847.40127880155 7031809.0956590995, 266846.84127880156 7031808.2856591, 266846.2812788017 7031807.4756591, 266846.2796159602 7031807.473268827, 266845.7212719342 7031806.675634505, 266845.162900491 7031805.858019177, 266845.1572103783 7031805.849862605, 266844.5880603207 7031805.051055507, 266844.0189032096 7031804.242253297, 266843.99071566167 7031804.205877207, 266843.362844183 7031803.468377375, 266842.73493967456 7031802.71090527, 266842.72784454137 7031802.7025347315, 266842.0792874877 7031801.95419967, 266841.452844183 7031801.218377375, 266840.8249396746 7031800.46090527, 266840.81565871777 7031800.450029505, 266840.1703769618 7031799.715401045, 266839.54493967455 7031798.96090527, 266839.5407156617 7031798.955877207, 266838.91071566177 7031798.215877207, 266838.9099810014 7031798.215016249, 266838.2603488014 7031797.455446292, 266837.6307156617 7031796.715877207, 266837.63034332264 7031796.715440365, 266836.9903433226 7031795.965440365, 266836.95061534795 7031795.923965597, 266836.230615348 7031795.253965597, 266835.5106153479 7031794.583965597, 266835.50280742353 7031794.576852283, 266834.7654661222 7031793.919223555, 266834.03809075337 7031793.251632463, 266834.0376270337 7031793.2512073945, 266833.32785899396 7031792.601419752, 266832.59809075337 7031791.931632463, 266831.8778623143 7031791.271422929, 266831.8753236054 7031791.269111769, 266831.1465969149 7031790.610262982, 266830.4279766847 7031789.951527771, 266829.69935706106 7031789.282794691, 266828.980615348 7031788.613965597, 266828.95357955864 7031788.59055442, 266828.1835795586 7031787.97055442, 266828.1748553806 7031787.963688006, 266827.39609301917 7031787.364640035, 266826.62732478825 7031786.765599855, 266826.6248553806 7031786.7636880055, 266825.8448553806 7031786.163688005, 266825.8383513829 7031786.158768829, 266825.0632294819 7031785.582396134, 266824.28868207824 7031784.976660344, 266823.49054687796 7031784.348128874, 266822.7017436979 7031783.7190833, 266822.6962858328 7031783.714792474, 266821.89781970717 7031783.095981226, 266821.1020573127 7031782.469318341, 266820.3186658217 7031781.834672069, 266819.55538657145 7031781.19034543, 266818.78821062075 7031780.52280272, 266818.0182106207 7031779.85280272, 266815.74200900906 7031777.876101006, 266814.98609388067 7031777.189809639, 266814.2397601579 7031776.513133577, 266813.87359992677 7031776.166765791, 266813.5185036587 7031775.831396878, 266812.8035533908 7031775.11644661, 266812.0835533905 7031774.396446609, 266811.3735533906 7031773.68644661, 266810.65478957136 7031772.96768279, 266809.9460170872 7031772.248927594, 266809.94107240526 7031772.243982913, 266809.2223172645 7031771.535210483, 266808.5047895545 7031770.817682773, 266807.79601708695 7031770.098927595, 266807.79107240523 7031770.0939829135, 266807.0797316441 7031769.392521885, 266806.4004428898 7031768.654164543, 266805.7328806037 7031767.906893328, 266805.7304166683 7031767.904155554, 266805.0549180926 7031767.15912036, 266804.38963344065 7031766.38460987, 266803.73998100136 7031765.625016249, 266803.7371972806 7031765.62178938, 266803.07090713753 7031764.856052946, 266802.43531530607 7031764.091356524, 266801.78610615997 7031763.302317716, 266801.7841106399 7031763.299907801, 266801.1419968767 7031762.529371285, 266800.53940750705 7031761.72921163, 266800.53760174237 7031761.726828672, 266799.9276017424 7031760.926828672, 266799.927039743 7031760.926093037, 266799.3082297616 7031760.117647738, 266798.699407507 7031759.30921163, 266798.0894075072 7031758.499211631, 266798.0890945752 7031758.498796547, 266797.6890945752 7031757.968796547, 266797.6846761085 7031757.963029693, 266797.4773686255 7031757.696491501, 266796.87999999995 7031756.9, 266796.27999999997 7031756.100000001, 266796.27575264574 7031756.094418843, 266795.67092151195 7031755.311112949, 266795.0858610291 7031754.49797804, 266795.08415216964 7031754.495617555, 266794.4941521697 7031753.685617556, 266793.90534642915 7031752.877257132, 266793.3265273466 7031752.0689063445, 266793.3241521698 7031752.065617556, 266792.73415216984 7031751.255617555, 266792.1453464496 7031750.44725716, 266791.5665273468 7031749.638906344, 266791.56586102897 7031749.63797804, 266790.975861029 7031748.81797804, 266790.97415216983 7031748.815617556, 266790.3841521698 7031748.005617555, 266789.7953464496 7031747.19725716, 266789.2165273468 7031746.388906344, 266789.21240145434 7031746.383228927, 266788.62328033056 7031745.584420624, 266788.03415216965 7031744.775617556, 266787.44501003256 7031743.966795299, 266786.855861029 7031743.14797804, 266786.85415216984 7031743.145617556, 266786.2641521698 7031742.335617555, 266785.67415216967 7031741.525617556, 266785.08534642914 7031740.717257132, 266784.5065273466 7031739.908906344, 266783.92652734683 7031739.098906344, 266783.92415216967 7031739.095617555, 266783.33501005627 7031738.286795332, 266782.74586102914 7031737.46797804, 266782.74240145436 7031737.463228927, 266782.1532803306 7031736.664420623, 266781.5661996437 7031735.858428495, 266780.9882078198 7031735.04126764, 266780.98652734683 7031735.038906344, 266780.40737096383 7031734.230084498, 266779.83058191556 7031733.41462412, 266779.2733201682 7031732.598633705, 266778.70411071565 7031731.759798722, 266777.58448222064 7031730.100349345, 266777.5805546234 7031730.094614469, 266777.0125383516 7031729.277468254, 266776.45448222046 7031728.450349346, 266775.8952568813 7031727.6214975035, 266775.3360251473 7031726.782649902, 266775.33290049084 7031726.778019177, 266774.77369464753 7031725.95918205, 266774.21448222065 7031725.1303493455, 266774.21216580045 7031725.1269463785, 266773.6425338596 7031724.297482324, 266773.0836946381 7031723.479182036, 266772.5252568666 7031722.651497481, 266771.9660251471 7031721.812649902, 266771.96448222065 7031721.810349345, 266771.40448222065 7031720.980349345, 266771.40290049085 7031720.978019177, 266770.84290049085 7031720.158019178, 266770.84216580045 7031720.156946379, 266770.2733310207 7031719.328643103, 266769.71448222065 7031718.500349346, 266769.71290049097 7031718.4980191775, 266769.1544757523 7031717.68032581, 266768.5960251471 7031716.842649902, 266768.59448222065 7031716.8403493455, 266767.47448222066 7031715.180349345, 266767.4705546234 7031715.1746144695, 266766.9025383576 7031714.357468262, 266766.34448222065 7031713.530349345, 266766.3209167006 7031713.4982563015, 266765.6909167006 7031712.7082563015, 266765.68596511777 7031712.702146373, 266765.4073006034 7031712.363768034, 266765.0686224353 7031711.945400885, 266765.0649396746 7031711.940905269, 266764.43515553395 7031711.181165671, 266763.8176724944 7031710.4342103815, 266763.20993334707 7031709.677027182, 266763.2049396746 7031709.67090527, 266762.57537780266 7031708.911433806, 266761.9666260887 7031708.172948119, 266761.34743251035 7031707.413936636, 266761.3453711593 7031707.411426509, 266760.72640593885 7031706.6626782585, 266760.10766564 7031705.904222407, 266759.49789874937 7031705.154509017, 266759.4710999463 7031705.124157798, 266758.7910999463 7031704.414157798, 266758.7835533905 7031704.406446609, 266758.09611523454 7031703.719008453, 266757.4186396905 7031703.021607158, 266757.38961676956 7031702.994030872, 266756.66378049256 7031702.3576812595, 266755.9505296569 7031701.703867994, 266755.24316134135 7031701.036351414, 266754.5430064344 7031700.376205297, 266754.5378623143 7031700.37142293, 266753.8178623143 7031699.71142293, 266753.8070759663 7031699.701818414, 266753.06707596633 7031699.061818414, 266752.32707596663 7031698.421818414, 266752.32110993133 7031698.416739759, 266751.58110993134 7031697.796739759, 266751.57297281787 7031697.790066653, 266750.81297281786 7031697.1800666535, 266750.80982214445 7031697.177558618, 266750.04982214444 7031696.577558617, 266750.04163346894 7031696.571230329, 266749.26163346897 7031695.981230329, 266749.2583513832 7031695.978768829, 266748.4783513832 7031695.398768829, 266748.4725578485 7031695.3945250865, 266747.6825578485 7031694.824525087, 266747.6791519155 7031694.822089263, 266746.88915191544 7031694.262089263, 266746.88087557943 7031694.256346874, 266746.07087557943 7031693.706346874, 266746.0673500981 7031693.703974853, 266745.2573500981 7031693.163974853, 266745.24777101283 7031693.157745711, 266744.4277710128 7031692.63774571, 266744.4254581879 7031692.636287891, 266743.5954581879 7031692.116287892, 266743.5880063169 7031692.111709514, 266742.7580063169 7031691.611709514, 266742.75574192987 7031691.610353557, 266741.91574192984 7031691.110353557, 266741.9080694693 7031691.1058784295, 266741.06806946936 7031690.625878429, 266741.05582612514 7031690.6191076785, 266740.19582612516 7031690.159107679, 266739.3358261251 7031689.699107679, 266739.33181098674 7031689.696983446, 266738.47181098675 7031689.246983447, 266738.4595135019 7031689.240763067, 266737.5805296613 7031688.811259599, 266736.7115435531 7031688.381760718, 266736.70116074313 7031688.376776942, 266735.82116074313 7031687.966776942, 266735.8106793164 7031687.962039508, 266734.9206793164 7031687.572039508, 266734.91633589653 7031687.570160664, 266734.0263358966 7031687.190160664, 266734.02448601887 7031687.18937522, 266733.12448601885 7031686.809375219, 266733.11569533794 7031686.805761654, 266732.215695338 7031686.4457616545, 266732.2077864145 7031686.442675712, 266731.28778641444 7031686.092675711, 266731.280456728 7031686.089952657, 266730.37045672804 7031685.759952658, 266730.36881617486 7031685.759360968, 266729.4488161749 7031685.429360968, 266729.43965812307 7031685.426175894, 266728.519658123 7031685.116175894, 266728.5135013899 7031685.114145691, 266727.5835013899 7031684.814145691, 266727.5741461737 7031684.811228781, 266726.6441461737 7031684.531228781, 266725.7141461733 7031684.2512287805, 266725.7032930276 7031684.24809444, 266724.7632930276 7031683.98809444, 266724.75493900914 7031683.985861338, 266723.82493900915 7031683.745861338, 266723.82246810885 7031683.745230404, 266722.87246810884 7031683.5052304035, 266722.8616880785 7031683.502633841, 266721.9016880785 7031683.28263384, 266721.89597039245 7031683.281358745, 266721.0788470204 7031683.104151267, 266720.9815587039 7031683.0776180895, 266720.95096890145 7031683.070300826, 266719.9809689015 7031682.870300827, 266719.9799800061 7031682.870097971, 266719.000978951 7031682.670301837, 266718.04197712714 7031682.47050979, 266718.031226108 7031682.468392639, 266717.06319789344 7031682.288758538, 266716.08516668784 7031682.099140243, 266716.08032576 7031682.098226417, 266715.1007759403 7031681.918309104, 266714.131226108 7031681.73839264, 266714.1254584326 7031681.737357274, 266713.1454584326 7031681.567357273, 266713.1413746354 7031681.56666627, 266712.1713746354 7031681.40666627, 266712.1705659495 7031681.40653356, 266711.1905659495 7031681.24653356, 266710.21056594956 7031681.0865335595, 266710.2056495932 7031681.085755993, 266709.2256495932 7031680.935755992, 266708.2456495927 7031680.785755993, 266708.2407106784 7031680.785025254, 266707.2607106784 7031680.645025253, 266706.28071067797 7031680.505025253, 266706.2757505526 7031680.504341988, 266705.29575055256 7031680.374341988, 266705.2901656838 7031680.373633109, 266704.3007765784 7031680.2537071565, 266703.3332437142 7031680.134012369, 266702.3479063771 7031680.004624639, 266701.37071067793 7031679.865025253, 266701.36575055256 7031679.864341988, 266700.3857505526 7031679.734341988, 266700.3801656838 7031679.733633109, 266699.39296011924 7031679.6139718285, 266698.41575055255 7031679.484341988, 266698.41077059525 7031679.483706806, 266697.43077059527 7031679.363706806, 266697.4252157632 7031679.363058133, 266696.4354938933 7031679.253089036, 266695.45797010843 7031679.1433669785, 266694.4701656838 7031679.0236331085, 266694.4652157618 7031679.023058132, 266694.19739533233 7031678.993300308, 266693.45346115483 7031678.904028206, 266692.42799653753 7031678.764644666, 266691.4203537758 7031678.624971412, 266690.4041818823 7031678.476985213, 266689.3989985594 7031678.279890444, 266688.3941019397 7031678.070951543, 266687.3961625035 7031677.853578596, 266686.4132187519 7031677.598013221, 266685.43121824466 7031677.310356507, 266684.45344216254 7031677.021014605, 266683.46500369755 7031676.721487798, 266683.46187758265 7031676.720551617, 266682.5002733549 7031676.435995264, 266681.5490069984 7031676.073141087, 266680.59063796105 7031675.703769687, 266679.6448338425 7031675.335403873, 266678.68818852335 7031674.946766712, 266678.64704292454 7031674.932110496, 266678.5519718087 7031674.902857845, 266677.7449667904 7031674.5185697405, 266677.73832735507 7031674.515467588, 266677.2697868881 7031674.300719874, 266676.80096720945 7031674.056542958, 266676.7860600906 7031674.049091985, 266676.3098489468 7031673.820907478, 266675.8336067972 7031673.5827864045, 266675.82606009056 7031673.579091986, 266675.34800091316 7031673.350021963, 266674.8711256969 7031673.116450428, 266674.4211101794 7031672.867505674, 266673.96997347364 7031672.592900722, 266673.9619355123 7031672.588110548, 266673.4893698132 7031672.312447225, 266673.0366504617 7031672.027037199, 266673.02193551295 7031672.01811055, 266672.547284037 7031671.741230522, 266672.0825536636 7031671.454481994, 266671.55744633643 7031672.305518006, 266672.0274463364 7031672.595518006))</t>
  </si>
  <si>
    <t>['FV6682 S1D1 m2326-2335']</t>
  </si>
  <si>
    <t>LINESTRING Z (266665.86 7031667.89 87.942, 266671.82 7031671.88 87.412)</t>
  </si>
  <si>
    <t>POLYGON ((266671.54184604215 7031672.295488117, 266672.09815395786 7031671.4645118825, 266666.13815395784 7031667.474511882, 266665.5818460421 7031668.305488117, 266671.54184604215 7031672.295488117))</t>
  </si>
  <si>
    <t>['FV6682 S1D1 m2206-2326']</t>
  </si>
  <si>
    <t>LINESTRING Z (266596.92 7031579.13 84.992, 266597.11 7031580.13 85.022, 266597.29 7031581.13 85.052, 266597.41 7031581.69 85.072, 266597.51 7031582.12 85.082, 266597.75 7031583.09 85.112, 266597.99 7031584.07 85.142, 266598.23 7031585.04 85.172, 266598.48 7031586.02 85.202, 266598.72 7031587 85.232, 266598.96 7031587.98 85.262, 266599.2 7031588.95 85.292, 266599.45 7031589.93 85.322, 266599.69 7031590.9 85.352, 266600 7031591.86 85.372, 266600.3 7031592.81 85.402, 266600.61 7031593.76 85.432, 266600.91 7031594.72 85.462, 266601.22 7031595.68 85.492, 266601.52 7031596.63 85.522, 266601.78 7031597.41 85.552, 266602.02 7031598.19 85.572, 266602.28 7031598.97 85.592, 266602.53 7031599.75 85.622, 266602.58 7031599.93 85.622, 266602.64 7031600.11 85.632, 266602.81 7031600.52 85.642, 266603.13 7031601.3 85.672, 266603.44 7031602.06 85.692, 266603.75 7031602.84 85.722, 266604.07 7031603.62 85.752, 266604.38 7031604.39 85.772, 266604.66 7031605.06 85.802, 266604.75 7031605.28 85.802, 266605.02 7031605.99 85.832, 266605.32 7031606.7 85.852, 266605.64 7031607.37 85.872, 266605.97 7031608.05 85.902, 266606.31 7031608.72 85.922, 266606.65 7031609.37 85.942, 266606.98 7031610.02 85.962, 266607.33 7031610.67 85.982, 266607.68 7031611.3 86.012, 266608.04 7031611.93 86.032, 266608.39 7031612.56 86.062, 266608.77 7031613.19 86.082, 266609.13 7031613.8 86.102, 266609.52 7031614.4 86.132, 266609.89 7031615.01 86.162, 266610.28 7031615.62 86.182, 266610.67 7031616.22 86.212, 266611.08 7031616.81 86.242, 266611.47 7031617.41 86.262, 266611.89 7031617.99 86.292, 266612.32 7031618.57 86.322, 266612.75 7031619.15 86.352, 266613.19 7031619.73 86.382, 266613.63 7031620.3 86.412, 266614.08 7031620.89 86.442, 266614.53 7031621.46 86.472, 266614.84 7031621.86 86.492, 266614.89 7031621.93 86.502, 266615.47 7031622.62 86.532, 266615.99 7031623.24 86.572, 266616.17 7031623.44 86.582, 266616.88 7031624.24 86.632, 266617.59 7031625.02 86.682, 266617.98 7031625.47 86.712, 266618.3 7031625.81 86.722, 266619.02 7031626.6 86.772, 266619.75 7031627.38 86.812, 266620.46 7031628.17 86.862, 266621.19 7031628.96 86.912, 266621.92 7031629.74 86.952, 266622.41 7031630.29 86.982, 266622.64 7031630.53 86.992, 266623.39 7031631.3 87.042, 266624.14 7031632.08 87.082, 266624.88 7031632.85 87.132, 266625.63 7031633.63 87.182, 266626.38 7031634.4 87.222, 266627.13 7031635.18 87.272, 266627.89 7031635.96 87.322, 266628.64 7031636.74 87.362, 266629.2 7031637.33 87.402, 266629.4 7031637.51 87.402, 266630.18 7031638.27 87.452, 266630.95 7031639.03 87.502, 266631.73 7031639.8 87.542, 266632.51 7031640.56 87.592, 266633.29 7031641.32 87.642, 266634.07 7031642.09 87.682, 266634.48 7031642.49 87.712, 266634.67 7031642.67 87.722, 266635.05 7031643.04 87.742, 266635.41 7031643.4 87.762, 266635.79 7031643.77 87.782, 266636.15 7031644.12 87.812, 266636.52 7031644.47 87.822, 266636.89 7031644.82 87.842, 266637.27 7031645.16 87.862, 266637.66 7031645.5 87.892, 266638.04 7031645.85 87.912, 266638.44 7031646.2 87.932, 266638.83 7031646.55 87.952, 266639.23 7031646.91 87.972, 266639.64 7031647.27 88.002, 266640.06 7031647.65 88.022, 266640.48 7031648.03 88.052, 266640.92 7031648.41 88.072, 266641.08 7031648.56 88.082, 266641.55 7031648.99 88.112, 266642.05 7031649.42 88.132, 266642.76 7031650.07 88.172, 266643.49 7031650.71 88.212, 266644.2 7031651.33 88.252, 266644.93 7031651.93 88.292, 266645.59 7031652.53 88.332, 266646.3 7031653.11 88.372, 266646.97 7031653.7 88.402, 266647.67 7031654.26 88.442, 266648.34 7031654.82 88.472, 266649.03 7031655.35 88.502, 266649.71 7031655.9 88.542, 266650.39 7031656.43 88.572, 266651 7031656.91 88.602, 266651.61 7031657.38 88.632, 266651.66 7031657.42 88.632, 266652.11 7031657.76 88.652, 266652.55 7031658.1 88.672, 266652.99 7031658.45 88.692, 266653.45 7031658.79 88.712, 266653.9 7031659.14 88.732, 266654.36 7031659.5 88.762, 266654.84 7031659.86 88.782, 266655.31 7031660.22 88.802, 266655.81 7031660.6 88.822, 266656.32 7031660.98 88.842, 266656.85 7031661.38 88.862, 266657.4 7031661.79 88.892, 266657.96 7031662.22 88.912, 266658.56 7031662.66 88.942, 266658.85 7031662.87 88.952, 266658.99 7031662.98 88.952, 266659.19 7031663.13 88.962, 266659.86 7031663.62 88.982, 266660.01 7031663.72 88.992, 266660.54 7031664.12 89.012, 266661.09 7031664.51 89.032, 266661.73 7031664.97 89.062, 266662.37 7031665.43 89.082, 266662.8 7031665.74 89.102, 266663.59 7031666.3 89.132, 266664.17 7031666.71 89.162, 266664.75 7031667.12 89.182, 266665.3 7031667.51 88.562, 266665.86 7031667.89 87.942)</t>
  </si>
  <si>
    <t>POLYGON ((266596.6183365644 7031580.220955535, 266596.797908338 7031581.218576499, 266596.80109879293 7031581.234764544, 266596.9210987929 7031581.794764545, 266596.9229959865 7031581.803256748, 266597.0229959865 7031582.233256748, 266597.02463584027 7031582.240090102, 266597.26449290576 7031583.209512408, 266597.50435134413 7031584.188934365, 266597.50463584025 7031584.190090102, 266597.74463584024 7031585.160090102, 266597.74551594246 7031585.163592872, 266597.9949224567 7031586.141266407, 266598.2343513441 7031587.118934365, 266598.4743513442 7031588.098934365, 266598.4746358403 7031588.100090102, 266598.71463584027 7031589.070090102, 266598.7155159425 7031589.073592872, 266598.96506957087 7031590.051843096, 266599.20463584026 7031591.020090101, 266599.2141924269 7031591.053646196, 266599.5236955684 7031592.012107537, 266599.82320866745 7031592.960565683, 266599.82466715045 7031592.9651086135, 266600.1336948618 7031593.912129019, 266600.43276001094 7031594.869137497, 266600.43419242685 7031594.873646195, 266600.7436955657 7031595.832107528, 266601.0432086674 7031596.780565684, 266601.045658351 7031596.788113883, 266601.30382006464 7031597.562599024, 266601.5421104956 7031598.337042925, 266601.54565835104 7031598.348113883, 266601.8047426627 7031599.125366817, 266602.0508657115 7031599.89327073, 266602.09824104526 7031600.063821931, 266602.1056583508 7031600.088113883, 266602.1656583508 7031600.268113883, 266602.1781289434 7031600.301507512, 266602.34777070436 7031600.710643523, 266602.6672236989 7031601.4893101975, 266602.9761829442 7031602.24675867, 266603.28535196127 7031603.02466781, 266603.2874156908 7031603.029778178, 266603.60679195507 7031603.808257822, 266603.9161782411 7031604.5767334355, 266603.9186655131 7031604.582796502, 266604.1979394632 7031605.251059168, 266604.2848669926 7031605.463548685, 266604.55265193764 7031606.167723911, 266604.55942689185 7031606.184608356, 266604.85942689184 7031606.894608356, 266604.86881899135 7031606.915489437, 266605.18881899136 7031607.585489437, 266605.1901716686 7031607.5882990435, 266605.52017166856 7031608.268299043, 266605.5241252961 7031608.276264775, 266605.8641252961 7031608.946264775, 266605.86695089354 7031608.951748763, 266606.20554234233 7031609.599055945, 266606.5341666154 7031610.246346179, 266606.53976445 7031610.257049911, 266606.88976445 7031610.907049911, 266606.89292136196 7031610.912821465, 266607.24292136193 7031611.542821465, 266607.2458784289 7031611.548069469, 266607.60438409017 7031612.175454376, 266607.95292136195 7031612.802821465, 266607.9618543456 7031612.818246584, 266608.3406154145 7031613.446192568, 266608.69939626876 7031614.054126793, 266608.71077819174 7031614.072494175, 266609.0965340153 7031614.665964673, 266609.46249524655 7031615.269306162, 266609.4687389256 7031615.279330851, 266609.8587389256 7031615.889330851, 266609.86077819194 7031615.892494176, 266610.2507781919 7031616.492494175, 266610.25940560567 7031616.505328308, 266610.6649926484 7031617.088977954, 266611.0507781917 7031617.682494176, 266611.0650289392 7031617.703254906, 266611.48502893926 7031618.283254907, 266611.48834411416 7031618.287779364, 266612.34834411414 7031619.447779364, 266612.35165436455 7031619.452193241, 266612.79165436456 7031620.032193241, 266612.7942048397 7031620.035526089, 266613.2333185266 7031620.6043779105, 266613.6824388736 7031621.1932245875, 266613.68755861715 7031621.199822144, 266614.13616761926 7031621.768060213, 266614.43880985794 7031622.158566328, 266614.48313326563 7031622.220619098, 266614.5072568645 7031622.251726113, 266615.0870804205 7031622.941516207, 266615.6069042284 7031623.561306131, 266615.6183529267 7031623.5744823655, 266615.79719069274 7031623.773190995, 266616.5060375482 7031624.571891677, 266616.5102445389 7031624.576572279, 266617.21614453924 7031625.352068054, 266617.6021554585 7031625.7974652685, 266617.6159000037 7031625.812682349, 266617.9331532211 7031626.149763892, 266618.65045358695 7031626.936801794, 266618.6549396226 7031626.941659071, 266619.3814917652 7031627.717975059, 266620.0881189505 7031628.504222209, 266620.0927765418 7031628.5093330685, 266620.82277654175 7031629.299333069, 266620.8249396226 7031629.301659071, 266621.55074930587 7031630.077181746, 266622.0366700784 7031630.622603022, 266622.0490058973 7031630.635952681, 266622.27900589735 7031630.8759526815, 266622.2818255953 7031630.878871174, 266623.0307007418 7031631.647716324, 266623.77953985106 7031632.426508998, 266624.5194935124 7031633.19646078, 266625.2695834675 7031633.976554358, 266625.27182559506 7031633.978871173, 266626.02070077334 7031634.747716357, 266626.7695834677 7031635.526554358, 266626.7718852059 7031635.528932363, 266627.5307303496 7031636.307747115, 266628.27846140036 7031637.085387409, 266628.8373468546 7031637.674213155, 266628.8655176345 7031637.701647073, 266629.05815865693 7031637.875023993, 266629.8299125902 7031638.626989364, 266630.5987528523 7031639.385844688, 266631.3787349094 7031640.155826975, 266631.3810676366 7031640.158114794, 266632.1610676366 7031640.9181147935, 266632.93989755085 7031641.676974711, 266633.7187349095 7031642.445826975, 266633.7208380738 7031642.447890974, 266634.1308380738 7031642.847890974, 266634.13612767635 7031642.852976343, 266634.3236434567 7031643.030622871, 266634.6988035325 7031643.395910313, 266635.0564466092 7031643.7535533905, 266635.0611916588 7031643.758235595, 266635.4411916588 7031644.128235594, 266635.80146080314 7031644.47849746, 266635.8064000733 7031644.483234209, 266636.1764000733 7031644.833234209, 266636.5464000728 7031645.183234208, 266636.55660257034 7031645.192620657, 266636.93660257035 7031645.532620657, 266636.94143239985 7031645.536886365, 266637.3262850173 7031645.872398904, 266637.7012621228 7031646.217772553, 266637.71074769576 7031646.226288347, 266638.1083833041 7031646.574219504, 266638.49578129844 7031646.921884371, 266638.895517634 7031647.281647073, 266638.9000994137 7031647.285720113, 266639.307302924 7031647.643264658, 266639.7245433376 7031648.02076789, 266640.14454333804 7031648.40076789, 266640.1531900649 7031648.408411504, 266640.58547058696 7031648.781744682, 266640.73802943627 7031648.9247686025, 266640.7424932687 7031648.928902705, 266641.21249326866 7031649.358902706, 266641.2239803657 7031649.369092599, 266641.7180967417 7031649.794032682, 266642.4223729663 7031650.438792606, 266642.43038323044 7031650.445969128, 266643.1603832304 7031651.085969128, 266643.16112339706 7031651.0866167545, 266643.8711233971 7031651.706616755, 266643.8825174623 7031651.716270422, 266644.60288734315 7031652.308355255, 266645.25366360287 7031652.899970037, 266645.27367818856 7031652.9172215285, 266645.97650813306 7031653.4913643, 266646.63955981605 7031654.075245633, 266646.65765247634 7031654.090434405, 266647.3534622595 7031654.647082231, 266648.01934493263 7031655.203640884, 266648.0354224185 7031655.216525531, 266648.7204451325 7031655.742702398, 266649.39556537505 7031656.288755536, 266649.4026283509 7031656.294363626, 266650.0817148983 7031656.82365167, 266650.69080481917 7031657.302935543, 266650.6948309291 7031657.306070496, 266651.3012159631 7031657.773285194, 266651.347652476 7031657.810434405, 266651.3585834555 7031657.818933662, 266651.8064209586 7031658.157299776, 266652.24149195413 7031658.493490999, 266652.67873821675 7031658.841300527, 266652.69280446955 7031658.852088071, 266653.14787162683 7031659.188442057, 266653.5924370793 7031659.534215187, 266654.051845869 7031659.8937525, 266654.0599999998 7031659.899999999, 266654.5379729689 7031660.2584797265, 266655.0059615614 7031660.616939073, 266655.0074583663 7031660.618081097, 266655.5074583663 7031660.998081096, 266655.5112593383 7031661.000941413, 266656.02002516534 7031661.380021835, 266656.5487965473 7031661.779094575, 266656.55116745067 7031661.780872932, 266657.0983118943 7031662.188744244, 266657.6554869716 7031662.616575107, 266657.664318168 7031662.623202497, 266658.264318168 7031663.063202498, 266658.2667450939 7031663.0649710605, 266658.548801306 7031663.269218663, 266658.6810892235 7031663.373159169, 266658.6900000007 7031663.380000001, 266658.8900000007 7031663.53, 266658.89484069875 7031663.533585167, 266659.56484069873 7031664.023585167, 266659.5826499026 7031664.036025148, 266659.7204755003 7031664.127908879, 266660.2387965468 7031664.519094575, 266660.2507856115 7031664.5278664455, 266660.7994807874 7031664.916941206, 266661.4381819759 7031665.376007685, 266662.0778904594 7031665.835798158, 266662.507599212 7031666.145588189, 266662.5108480849 7031666.147910738, 266663.3008480849 7031666.707910738, 266663.3013820911 7031666.708288749, 266663.881382091 7031667.118288749, 266664.4610837645 7031667.528077863, 266665.0107856115 7031667.917866445, 266665.01924929087 7031667.923737887, 266665.57924929087 7031668.303737887, 266666.1407507091 7031667.476262112, 266665.5850127716 7031667.0991542265, 266665.03921438847 7031666.712133555, 266665.03861790895 7031666.711711251, 266664.45861790894 7031666.301711251, 266663.8788853037 7031665.891900271, 266663.0907809571 7031665.333244026, 266662.662400788 7031665.024411811, 266662.66181802406 7031665.023992314, 266662.02181802405 7031664.563992314, 266661.3818180241 7031664.103992314, 266661.3792143885 7031664.102133554, 266660.835274091 7031663.716430435, 266660.31120345317 7031663.320905425, 266660.2873500974 7031663.303974852, 266660.14638984855 7031663.210001353, 266659.48759044835 7031662.728192836, 266659.2944938133 7031662.583370361, 266659.1589107765 7031662.476840831, 266659.14325490606 7031662.46502894, 266658.8544710291 7031662.255909581, 266658.2601340371 7031661.820062453, 266657.70451302844 7031661.393424893, 266657.69883254933 7031661.389127068, 266657.1500206076 7031660.980012711, 266656.6212034527 7031660.580905425, 266656.6187406617 7031660.579058587, 266656.1106479092 7031660.200479672, 266655.6132912351 7031659.8224886, 266655.1440384386 7031659.463060927, 266655.1400000002 7031659.460000001, 266654.66410917015 7031659.103081878, 266654.208154131 7031658.746247499, 266654.2069703066 7031658.745323891, 266653.75697030657 7031658.395323891, 266653.74719553045 7031658.387911929, 266653.2943242708 7031658.053180998, 266652.8612617832 7031657.708699473, 266652.8557237504 7031657.704357499, 266652.4157237504 7031657.364357499, 266652.41141654446 7031657.361066338, 266651.96694088716 7031657.025240285, 266651.92234752397 7031656.989565595, 266651.9151690709 7031656.983929504, 266651.30719016667 7031656.515486741, 266650.69919518084 7031656.037064457, 266650.69737164915 7031656.035636374, 266650.02092841803 7031655.508408562, 266649.344434625 7031654.961244464, 266649.33457758155 7031654.953474469, 266648.65274908184 7031654.429751129, 266647.9906550674 7031653.876359116, 266647.9823475236 7031653.869565595, 266647.29157330457 7031653.31694622, 266646.6304401839 7031652.734754368, 266646.61632181145 7031652.722778472, 266645.9165571025 7031652.151139696, 266645.26633639715 7031651.560029963, 266645.2474825377 7031651.543729578, 266644.5232516474 7031650.948471312, 266643.8192470143 7031650.333706703, 266643.09366049565 7031649.697576057, 266642.3876270337 7031649.051207394, 266642.37601963425 7031649.040907402, 266641.8818414235 7031648.615914141, 266641.4197512374 7031648.193150778, 266641.26197056373 7031648.045231397, 266641.2468099351 7031648.031588497, 266640.8111774176 7031647.655360414, 266640.39545666194 7031647.279232111, 266639.9754566624 7031646.89923211, 266639.9699005863 7031646.894279887, 266639.5622039711 7031646.536302372, 266639.164482366 7031646.178352927, 266639.1639548707 7031646.177878858, 266638.7739548707 7031645.827878858, 266638.7692523042 7031645.823711653, 266638.3740493836 7031645.477909097, 266637.9987378772 7031645.132227447, 266637.98856760014 7031645.123113635, 266637.60099627025 7031644.785230937, 266637.2285637389 7031644.452001831, 266636.8635999272 7031644.106765792, 266636.49608577153 7031643.759117266, 266636.1386739024 7031643.411633504, 266635.7611964469 7031643.044089667, 266635.40355339076 7031642.68644661, 266635.3988083416 7031642.681764406, 266635.0188083416 7031642.311764406, 266635.0138723236 7031642.3070236575, 266634.8265357678 7031642.129546921, 266634.42021655134 7031641.733137929, 266633.6412650905 7031640.964173025, 266633.6389323636 7031640.961885206, 266632.8589323636 7031640.201885206, 266632.08010247117 7031639.4430253105, 266631.3012650906 7031638.674173025, 266630.5312350822 7031637.914143403, 266630.5289323634 7031637.911885206, 266629.7489323634 7031637.151885206, 266629.73448236554 7031637.138352927, 266629.54910755286 7031636.971515596, 266629.0026531454 7031636.395786845, 266629.0004165325 7031636.393445642, 266628.2504165325 7031635.6134456415, 266628.24811479414 7031635.611067637, 266627.4892696371 7031634.83225287, 266626.7404165323 7031634.053445642, 266626.73817440495 7031634.051128827, 266625.98929924035 7031633.282283657, 266625.24046014895 7031632.503491002, 266624.5005064876 7031631.73353922, 266623.7504165325 7031630.953445641, 266623.7481744047 7031630.9511288265, 266622.99959018047 7031630.182582357, 266622.7772833654 7031629.950610028, 266622.29332992155 7031629.407396979, 266622.2850603774 7031629.398340929, 266621.5561455933 7031628.619500475, 266620.8295699281 7031627.8332062615, 266620.12188104953 7031627.045777791, 266620.1150603774 7031627.038340929, 266619.3873194641 7031626.260754747, 266618.66954641306 7031625.473198205, 266618.66409999627 7031625.46731765, 266618.35112831555 7031625.13478524, 266617.96784454153 7031624.692534731, 266617.95975546114 7031624.68342772, 266617.25187368947 7031623.905754789, 266616.5439624518 7031623.108108324, 266616.5416470733 7031623.105517635, 266616.36748643994 7031622.91200582, 266615.85309577157 7031622.298693869, 266615.8527431355 7031622.298273887, 266615.28541767265 7031621.623352215, 266615.2468667344 7031621.569380902, 266615.23520752625 7031621.553714168, 266614.92520752625 7031621.153714168, 266614.9224413829 7031621.150177856, 266614.47502880293 7031620.583455254, 266614.0275611264 7031619.996775412, 266614.0257951603 7031619.994473911, 266613.58707737643 7031619.426134964, 266613.15001295204 7031618.850004586, 266612.2933261679 7031617.694473575, 266611.8823579081 7031617.126945978, 266611.4992218083 7031616.537505824, 266611.49059439433 7031616.5246716915, 266611.0850073488 7031615.94102204, 266610.70024739293 7031615.349083647, 266610.31444211816 7031614.745644627, 266609.9475047535 7031614.140693838, 266609.9392218083 7031614.127505825, 266609.55511125794 7031613.536566516, 266609.20060373127 7031612.935873208, 266609.19814565446 7031612.931753416, 266608.8227496428 7031612.309386343, 266608.47707863804 7031611.687178534, 266608.47412157105 7031611.681930531, 266608.1156159098 7031611.054545623, 266607.7686760795 7031610.430053929, 266607.4230991193 7031609.788268146, 266607.0958333846 7031609.14365382, 266607.0930491065 7031609.138251237, 266606.7544788125 7031608.490984498, 266606.41788694356 7031607.827700521, 266606.09050904337 7031607.153103636, 266605.7761161702 7031606.4948435575, 266605.4841141966 7031605.80377222, 266605.2173480624 7031605.10227609, 266605.2127734783 7031605.090683578, 266605.1227734783 7031604.870683577, 266605.1213344869 7031604.867203497, 266604.84259799105 7031604.2002268825, 266604.53382175893 7031603.433266564, 266604.5325843092 7031603.430221822, 266604.2136302537 7031602.652771312, 266603.90464803873 7031601.87533219, 266603.90296730597 7031601.871158072, 266603.592967306 7031601.111158072, 266603.5925843092 7031601.110221822, 266603.2725843092 7031600.330221822, 266603.27187105664 7031600.328492488, 266603.1087019097 7031599.9349668985, 266603.0583588972 7031599.783937861, 266603.0117589548 7031599.616178068, 266603.0061411441 7031599.597390659, 266602.7561411441 7031598.817390659, 266602.754341649 7031598.811886117, 266602.4961799361 7031598.037400979, 266602.2578895044 7031597.262957076, 266602.25434164907 7031597.251886117, 266601.9955964424 7031596.475650497, 266601.69679133256 7031595.529434316, 266601.6958075731 7031595.526353804, 266601.38653445104 7031594.568604781, 266601.087239989 7031593.610862503, 266601.0853328495 7031593.604891386, 266600.77607292804 7031592.6571593685, 266600.47679133253 7031591.7094343165, 266600.4758075731 7031591.706353805, 266600.1711716154 7031590.762965033, 266599.93536415976 7031589.809909899, 266599.93448405754 7031589.8064071275, 266599.6849304368 7031588.828156935, 266599.44550708856 7031587.860487569, 266599.20564865577 7031586.881065635, 266598.96564865584 7031585.901065635, 266598.9644840575 7031585.896407127, 266598.71493043675 7031584.918156935, 266598.47550709423 7031583.950487592, 266598.23564865586 7031582.971065635, 266598.23536415974 7031582.969909898, 266597.996208097 7031582.003320811, 266597.8979895584 7031581.580981095, 266597.7806299996 7031581.033303154, 266597.60209166195 7031580.0414235005, 266597.60121222585 7031580.036669677, 266597.41121222585 7031579.036669677, 266596.4287877741 7031579.223330323, 266596.6183365644 7031580.220955535))</t>
  </si>
  <si>
    <t>['FV6682 S1D1 m2082-2092']</t>
  </si>
  <si>
    <t>LINESTRING Z (266619.38 7031446.24 78.452, 266621.31 7031444.75 78.652, 266627.64 7031442 78.642, 266630.87 7031436.92 78.662, 266631.64 7031431.1 78.632, 266630.34 7031427.81 78.682, 266618.79 7031427.34 78.632, 266614.24 7031428.78 78.642, 266613.37 7031428.18 78.302)</t>
  </si>
  <si>
    <t>POLYGON Z ((266619.38 7031446.24 78.452, 266621.31 7031444.75 78.652, 266627.64 7031442 78.642, 266630.87 7031436.92 78.662, 266631.64 7031431.1 78.632, 266630.34 7031427.81 78.682, 266618.79 7031427.34 78.632, 266614.24 7031428.78 78.642, 266613.37 7031428.18 78.302, 266619.38 7031446.24 78.452))</t>
  </si>
  <si>
    <t>['FV6682 S1D1 m2084-2088']</t>
  </si>
  <si>
    <t>LINESTRING Z (266612.08 7031431.92 78.042, 266614.84 7031434.82 78.612, 266614.56 7031440 78.692, 266614.07 7031441.17 78.422)</t>
  </si>
  <si>
    <t>POLYGON Z ((266612.08 7031431.92 78.042, 266614.84 7031434.82 78.612, 266614.56 7031440 78.692, 266614.07 7031441.17 78.422, 266612.08 7031431.92 78.042))</t>
  </si>
  <si>
    <t>['FV6682 S1D1 m1652-1659']</t>
  </si>
  <si>
    <t>LINESTRING Z (266492.94 7031086.04 62.682, 266493.98 7031085.89 62.362, 266498.22 7031086.1 62.362, 266501.83 7031087.89 62.392, 266504.05 7031091.33 62.372, 266503.43 7031095.27 62.392, 266501.21 7031099.99 62.432, 266501.16 7031100.28 62.022)</t>
  </si>
  <si>
    <t>POLYGON Z ((266492.94 7031086.04 62.682, 266493.98 7031085.89 62.362, 266498.22 7031086.1 62.362, 266501.83 7031087.89 62.392, 266504.05 7031091.33 62.372, 266503.43 7031095.27 62.392, 266501.21 7031099.99 62.432, 266501.16 7031100.28 62.022, 266492.94 7031086.04 62.682))</t>
  </si>
  <si>
    <t>['FV6682 S1D1 m1650-1663']</t>
  </si>
  <si>
    <t>LINESTRING Z (266545.08 7031099.5 62.332, 266544.62 7031099.47 62.422, 266544.79 7031097.87 62.382, 266544.27 7031095.6 62.422, 266544.95 7031092.3 62.452, 266542.77 7031088.81 62.412, 266538.01 7031083.83 62.432, 266534.1 7031081.63 62.372, 266529.77 7031078.46 62.392, 266523.96 7031076.36 62.412, 266517.48 7031075.66 62.392, 266511.25 7031075.06 62.382, 266504.64 7031074.2 62.392, 266499.23 7031077.94 62.382, 266495.16 7031080.53 62.432, 266492.71 7031081.8 62.402)</t>
  </si>
  <si>
    <t>POLYGON ((266545.08089044015 7031099.486346585, 266545.1110631184 7031099.522175456, 266545.1172014073 7031099.5228276495, 266545.2872014073 7031097.92282765, 266545.2899949496 7031097.8677527, 266545.28670644533 7031097.812705087, 266545.2773758965 7031097.758354421, 266544.7816633032 7031095.594378292, 266545.4397112733 7031092.4009102015, 266545.4470856758 7031092.35390576, 266545.4499588693 7031092.30641319, 266545.4483048365 7031092.2588625485, 266545.442138555 7031092.211684414, 266545.4315158617 7031092.165305995, 266545.41653294716 7031092.120147256, 266545.3973254846 7031092.076617121, 266545.3740674016 7031092.03510976, 266543.1940674016 7031088.54510976, 266543.16481878987 7031088.503213228, 266543.1314470055 7031088.464520533, 266538.3714470055 7031083.484520533, 266538.3357239747 7031083.450653335, 266538.296843868 7031083.42046295, 266538.25518353056 7031083.394241998, 266534.3712372162 7031081.208901361, 266530.0653585933 7031078.05656066, 266530.0257415654 7031078.03035334, 266529.9838163853 7031078.008023725, 266529.939961442 7031077.989773343, 266524.129961442 7031075.889773344, 266524.0726354905 7031075.872851926, 266524.01369993325 7031075.8628920475, 266517.5336999332 7031075.162892047, 266517.5279323137 7031075.16230281, 266511.30623642565 7031074.563102563, 266504.70450924966 7031073.704178907, 266504.652241872 7031073.700149886, 266504.5998399262 7031073.701615442, 266504.5478794378 7031073.708559463, 266504.4969315799 7031073.720905618, 266504.447556394 7031073.738518192, 266504.40029663424 7031073.761203582, 266504.3556718009 7031073.788712418, 266498.9535164675 7031077.523289302, 266494.91023959644 7031080.096283675, 266492.4798943061 7031081.356095315, 266492.94010569394 7031082.243904685, 266495.3901056939 7031080.973904685, 266495.4284377461 7031080.951830744, 266499.4984377461 7031078.361830744, 266499.5143281991 7031078.351287583, 266504.7661635668 7031074.720628751, 266511.18549075036 7031075.555821093, 266511.2020676863 7031075.55769719, 266517.4291822037 7031076.157419295, 266523.8465539115 7031076.850653893, 266529.53254699724 7031078.9058321165, 266533.8046414067 7031082.03343934, 266533.8548164694 7031082.065758002, 266537.6999671232 7031084.229269879, 266542.37310880184 7031089.118397097, 266544.4198927344 7031092.395129173, 266543.78028872673 7031095.499089798, 266543.7723077347 7031095.552016575, 266543.7700301765 7031095.60549323, 266543.7734821523 7031095.658906934, 266543.7826241035 7031095.711645579, 266544.2839737558 7031097.900229638, 266544.12279859267 7031099.41717235, 266544.1200065859 7031099.467433704, 266544.1222825104 7031099.51772107, 266544.12960329733 7031099.567524735, 266544.1418947433 7031099.61633989, 266544.1590322622 7031099.663671745, 266544.1808421483 7031099.709040543, 266544.20710333664 7031099.751986427, 266544.23754964385 7031099.792074098, 266544.2718724664 7031099.8288972275, 266544.3097239082 7031099.862082576, 266544.3507203072 7031099.891293777, 266544.39444612415 7031099.916234747, 266544.44045815425 7031099.936652682, 266544.48829001974 7031099.952340627, 266544.53745689715 7031099.96313957, 266544.58746043104 7031099.968940053, 266545.04746043106 7031099.998940053, 266545.08089044015 7031099.486346585))</t>
  </si>
  <si>
    <t>['FV6682 S1D1 m1662-1664']</t>
  </si>
  <si>
    <t>LINESTRING Z (266507.91 7031104.34 62.452, 266517.98 7031100.57 62.312, 266527.59 7031100.93 62.342, 266534.41 7031103.15 62.362, 266540.05 7031104.05 62.372, 266542.97 7031102.5 62.392, 266543.92 7031102.44 63.002)</t>
  </si>
  <si>
    <t>POLYGON ((266518.0614408877 7031101.073401564, 266527.50157096155 7031101.42703807, 266534.2552362936 7031103.625445261, 266534.2928647291 7031103.636085722, 266534.3312096195 7031103.643753052, 266539.9712096195 7031104.543753051, 266540.01706372947 7031104.548914023, 266540.06319835567 7031104.549825773, 266540.10922057234 7031104.546480537, 266540.1547384109 7031104.538906806, 266540.19936419866 7031104.527169085, 266540.2427178605 7031104.511367344, 266540.2844301559 7031104.4916361645, 266543.10916099855 7031102.992207121, 266543.951516152 7031102.939005744, 266543.88848384796 7031101.940994257, 266542.93848384795 7031102.000994257, 266542.8857510426 7031102.007148995, 266542.83396810363 7031102.018860391, 266542.7837188588 7031102.0359964045, 266542.7355698441 7031102.058363835, 266539.9634542903 7031103.52986353, 266534.52749460057 7031102.662423154, 266527.7447637064 7031100.454554739, 266527.7002263128 7031100.442301158, 266527.6547481467 7031100.434210047, 266527.6087173604 7031100.430350462, 266517.9987173604 7031100.070350463, 266517.949282354 7031100.070944466, 266517.90014766454 7031100.076417581, 266517.85179366666 7031100.086716299, 266517.8046931025 7031100.101739932, 266507.7346931025 7031103.871739931, 266508.08530689747 7031104.808260068, 266518.0614408877 7031101.073401564))</t>
  </si>
  <si>
    <t>['FV6682 S1D1 m1672-1681']</t>
  </si>
  <si>
    <t>LINESTRING Z (266588.38 7031136.74 64.782, 266581.44 7031139.99 64.742, 266574.72 7031140.98 64.672, 266570.23 7031138.83 64.732, 266568.98 7031133.62 64.962, 266569.82 7031131.38 64.712, 266569.85 7031129.13 64.962, 266571.75 7031124.65 64.842, 266571.68 7031120.2 64.462)</t>
  </si>
  <si>
    <t>POLYGON ((266581.29446410626 7031139.506043781, 266574.79820623825 7031140.463081771, 266570.66066057666 7031138.481851664, 266569.5019189782 7031133.652216682, 266570.2881645888 7031131.55556172, 266570.3015624846 7031131.514527222, 266570.3113711339 7031131.472490047, 266570.31751742965 7031131.429763513, 266570.3199555615 7031131.386666074, 266570.3486466272 7031129.234836143, 266572.2103132767 7031124.845222149, 266572.2281235149 7031124.796280226, 266572.2407460817 7031124.745751154, 266572.2480440213 7031124.6941831745, 266572.2499381506 7031124.6421358045, 266572.17993815057 7031120.192135804, 266571.1800618494 7031120.207864196, 266571.248398628 7031124.552130834, 266569.3896867233 7031128.934777851, 266569.3729518785 7031128.980249909, 266569.3606970175 7031129.027128277, 266569.35303722636 7031129.074972719, 266569.3500444385 7031129.123333925, 266569.32120738394 7031131.286113019, 266568.5118354112 7031133.44443828, 266568.4967703433 7031133.491590114, 266568.4864414127 7031133.540000495, 266568.48094985326 7031133.589194951, 266568.48034948786 7031133.638691328, 266568.48464620055 7031133.6880045105, 266568.4937978794 7031133.73665118, 266569.7437978794 7031138.94665118, 266569.7576670808 7031138.994017113, 266569.77613847953 7031139.039784938, 266569.7990320987 7031139.083508714, 266569.82612487307 7031139.124762416, 266569.8571528232 7031139.163144087, 266569.8918136267 7031139.198279753, 266569.92976956454 7031139.22982707, 266569.9706508113 7031139.2574786525, 266570.01405903854 7031139.280965078, 266574.50405903853 7031141.430965078, 266574.54959875427 7031141.450067459, 266574.5968007455 7031141.4645843, 266574.6452045537 7031141.47437399, 266574.6943379964 7031141.479341027, 266574.7437217737 7031141.479436961, 266574.79287414346 7031141.474660853, 266581.5128741435 7031140.484660853, 266581.56055137963 7031140.475249796, 266581.60708979727 7031140.4612547085, 266581.6520497599 7031140.4428077955, 266588.5920497599 7031137.1928077955, 266588.1679502401 7031136.287192205, 266581.29446410626 7031139.506043781))</t>
  </si>
  <si>
    <t>['FV6682 S1D1 m1564-1609']</t>
  </si>
  <si>
    <t>LINESTRING Z (266365.59 7031019.71 58.551, 266368.32 7031020.09 59.381, 266368.7 7031020.79 59.091, 266372.29 7031021.32 59.041, 266373.48 7031021.37 59.351, 266374.34 7031021.57 59.131, 266374.81 7031022.09 59.161, 266375.28 7031022.65 59.041, 266376.4 7031022.34 58.981, 266380.18 7031021.69 59.131, 266382.31 7031022.68 59.161, 266385.07 7031022.8 59.081, 266385.98 7031022.7 59.281, 266400.98 7031025.5 59.161, 266403.83 7031025.99 59.031, 266404.42 7031025.89 59.201, 266409.09 7031026.17 59.191, 266412.49 7031028.46 59.081, 266412.94 7031028.68 59.381, 266416.01 7031033.74 59.441, 266417.92 7031034.95 58.031)</t>
  </si>
  <si>
    <t>POLYGON ((266368.00101935875 7031020.550420279, 266368.2605732842 7031021.028545931, 266368.28742520814 7031021.07245715, 266368.3186491393 7031021.113375202, 266368.3539142012 7031021.150866485, 266368.39284669404 7031021.184533708, 266368.4350340547 7031021.214020103, 266368.4800292286 7031021.239013206, 266368.5273554072 7031021.259248169, 266368.57651108044 7031021.274510564, 266368.6269753515 7031021.284638656, 266372.21697535145 7031021.814638657, 266372.2690101164 7031021.8195592305, 266373.4122895775 7031021.867596182, 266374.0741283561 7031022.021512178, 266374.43291109696 7031022.418463294, 266374.89701287297 7031022.971435624, 266374.92930692324 7031023.0063907495, 266374.96477792534 7031023.038117307, 266375.003104545 7031023.066327885, 266375.0439395788 7031023.09076692, 266375.08691309945 7031023.111213019, 266375.1316358071 7031023.1274809595, 266375.1777025557 7031023.1394233685, 266375.2246960236 7031023.146932058, 266375.2721904939 7031023.149939008, 266375.31975571095 7031023.148416978, 266375.3669607784 7031023.142379755, 266375.4133780626 7031023.131882032, 266376.50932825985 7031022.828538674, 266380.11085171846 7031022.209229085, 266382.0992567338 7031023.133417331, 266382.1445884344 7031023.151846387, 266382.19150450855 7031023.165755925, 266382.2395555767 7031023.17501271, 266382.2882813878 7031023.179528079, 266385.04828138783 7031023.299528079, 266385.0864970187 7031023.299727774, 266385.1246162757 7031023.297008111, 266385.9610268327 7031023.205094864, 266400.88825144345 7031025.991510124, 266400.89527815155 7031025.992769934, 266403.7452781516 7031026.482769934, 266403.8012434721 7031026.489172378, 266403.85757378297 7031026.489239108, 266403.9135541155 7031026.482969279, 266404.4471654827 7031026.392526674, 266408.9238623543 7031026.660936765, 266412.21068268537 7031028.87470693, 266412.2703949342 7031028.90919218, 266412.5886141746 7031029.064766031, 266415.5825259547 7031033.999356783, 266415.60820596793 7031034.037592936, 266415.63729555137 7031034.073303756, 266415.6695478548 7031034.1061862055, 266415.7046891896 7031034.135961247, 266415.742421351 7031034.162376215, 266417.652421351 7031035.372376215, 266418.18757864897 7031034.527623786, 266416.3766438443 7031033.380382365, 266413.3674740453 7031028.420643217, 266413.3409082457 7031028.381214828, 266413.31071769126 7031028.344487864, 266413.2771753454 7031028.310794384, 266413.2405844765 7031028.280439025, 266413.2012759158 7031028.25369624, 266413.15960506577 7031028.230807819, 266412.7406529908 7031028.025986806, 266409.36931731465 7031025.75529307, 266409.3236206952 7031025.727935106, 266409.27527328505 7031025.705593056, 266409.22482366103 7031025.688520426, 266409.1728442526 7031025.676910931, 266409.11992484715 7031025.6708963, 266404.4499248471 7031025.3908963, 266404.3930105134 7031025.390728964, 266404.3364458845 7031025.3970307205, 266403.83060087933 7031025.482767163, 266401.0682396908 7031025.007834888, 266386.0717485565 7031022.208489876, 266386.0232184426 7031022.2018713355, 266385.97427360853 7031022.200032793, 266385.9253837243 7031022.202991889, 266385.05345465196 7031022.29880827, 266382.430804165 7031022.184779988, 266380.3907432662 7031021.236582669, 266380.34400106315 7031021.217661508, 266380.29559074383 7031021.203544679, 266380.2460047076 7031021.194375769, 266380.19574731274 7031021.19024804, 266380.145329746 7031021.191203475, 266380.0952648234 7031021.197232357, 266376.31526482344 7031021.847232357, 266376.26662193745 7031021.858117968, 266375.45637126814 7031022.082383779, 266375.19298712705 7031021.768564376, 266375.18093683815 7031021.754730165, 266374.7109368382 7031021.234730165, 266374.6751574493 7031021.198961614, 266374.6359466463 7031021.166991834, 266374.5937058776 7031021.1391481375, 266374.54886761337 7031021.115715596, 266374.5018909174 7031021.096934116, 266374.45325674745 7031021.082995987, 266373.5932567474 7031020.882995986, 266373.5474162284 7031020.874565794, 266373.50098988356 7031020.87044077, 266372.33713603264 7031020.821539348, 266369.02021564153 7031020.3318547215, 266368.75942671584 7031019.851454069, 266368.73523163924 7031019.811463313, 266368.7074079988 7031019.773906592, 266368.6761989358 7031019.739112101, 266368.6418771753 7031019.707383894, 266368.60474264313 7031019.678999237, 266368.5651198449 7031019.654206171, 266368.52335503034 7031019.633221353, 266368.4798131676 7031019.616228165, 266368.4348747536 7031019.603375102, 266368.38893248944 7031019.594774484, 266365.65893248946 7031019.214774484, 266365.5210675106 7031020.205225516, 266368.00101935875 7031020.550420279))</t>
  </si>
  <si>
    <t>['FV6682 S1D1 m1563-1609']</t>
  </si>
  <si>
    <t>LINESTRING Z (266362.9 7031023.73 59.191, 266363.81 7031024.77 59.131, 266364.12 7031028.03 59.161, 266366.47 7031031.35 59.331, 266367.47 7031031.83 59.431, 266369.61 7031032.77 59.461, 266375.33 7031035.39 59.301, 266378.28 7031036.97 59.191, 266380.38 7031039.11 59.131, 266380.95 7031039.17 59.271, 266383.08 7031041.2 59.221, 266389.83 7031046.06 59.141, 266399.56 7031046.37 59.271, 266402.88 7031045.8 59.421, 266404.73 7031044.45 59.381, 266408.02 7031041.56 59.281, 266408.97 7031039.94 59.261, 266417.65 7031038.28 58.311)</t>
  </si>
  <si>
    <t>POLYGON ((266363.3275123538 7031024.9778816765, 266363.6222454067 7031028.077332492, 266363.629871385 7031028.128863242, 266363.6428173641 7031028.179320903, 266363.6609428244 7031028.228157789, 266363.6840510269 7031028.274843814, 266363.7118911481 7031028.31887223, 266366.0618911481 7031031.6388722295, 266366.09324953303 7031031.678723418, 266366.12848312117 7031031.715193403, 266366.16722950485 7031031.747907058, 266366.209090144 7031031.7765278965, 266366.25363446603 7031031.800761528, 266367.25363446603 7031032.280761529, 266367.26891748526 7031032.287783598, 266369.4053372788 7031033.2262109835, 266375.1076414781 7031035.838105564, 266377.9766133399 7031037.374707443, 266380.02312708047 7031039.460202398, 266380.05932102934 7031039.493620904, 266380.0986278713 7031039.5233155275, 266380.14066604705 7031039.548998018, 266380.18502748397 7031039.570419068, 266380.2312815569 7031039.587370742, 266380.27897926857 7031039.599688485, 266380.3276576081 7031039.607252727, 266380.72831138736 7031039.649426809, 266382.73504514026 7031041.56194771, 266382.78784763714 7031041.605767171, 266389.53784763714 7031046.46576717, 266389.5792518347 7031046.492579886, 266389.6230965434 7031046.515182336, 266389.6689550263 7031046.533354536, 266389.7163809466 7031046.546919614, 266389.76491271163 7031046.555745544, 266389.8140779659 7031046.559746424, 266399.5440779659 7031046.869746424, 266399.59451742773 7031046.868807124, 266399.6446054991 7031046.862789924, 266402.9646054991 7031046.292789924, 266403.00955641025 7031046.282923531, 266403.0534097557 7031046.268965944, 266403.09579402214 7031046.251035409, 266403.1363501419 7031046.229283827, 266403.174734535 7031046.203895474, 266405.02473453496 7031044.853895474, 266405.05997920496 7031044.825651067, 266408.349979205 7031041.935651067, 266408.3880587822 7031041.898426849, 266408.42196354736 7031041.857363929, 266408.4513089258 7031041.812928073, 266409.286615472 7031040.388510595, 266417.74392001133 7031038.771099819, 266417.5560799887 7031037.788900182, 266408.87607998867 7031039.448900182, 266408.8301079692 7031039.459968522, 266408.78538710746 7031039.4753301395, 266408.7423173752 7031039.494847641, 266408.70128397696 7031039.518346471, 266408.6626539047 7031039.545616459, 266408.62677265564 7031039.576413711, 266408.59396114235 7031039.610462783, 266408.5645128225 7031039.64745915, 266408.5386910742 7031039.687071927, 266407.6294641919 7031041.237543031, 266404.4170046413 7031044.059429992, 266402.67991423066 7031045.327036507, 266399.52530597727 7031045.868640937, 266389.99837156147 7031045.565110652, 266383.4000605351 7031040.814326714, 266381.29495485977 7031038.80805229, 266381.259543825 7031038.7773390515, 266381.2214122164 7031038.750076901, 266381.1808951719 7031038.726505445, 266381.13834879483 7031038.706831854, 266381.09414702444 7031038.691229037, 266381.04867834906 7031038.6798341265, 266381.00234239193 7031038.672747273, 266380.6110287085 7031038.631556359, 266378.63687291957 7031036.619797602, 266378.59972894 7031036.585586934, 266378.55932366755 7031036.555297349, 266378.5160692434 7031036.529237805, 266375.56606924336 7031034.949237805, 266375.53821788926 7031034.935417432, 266369.81821788923 7031032.315417432, 266369.8110825147 7031032.312216402, 266367.6787830886 7031031.375598897, 266366.80322135665 7031030.955329265, 266364.60513384145 7031027.849946054, 266364.3077545933 7031024.722667508, 266364.3001510723 7031024.6712481575, 266364.28725046286 7031024.620896024, 266364.26919218263 7031024.572155264, 266364.24617138837 7031024.525552623, 266364.218436867 7031024.481591738, 266364.18628834723 7031024.440747695, 266363.27628834726 7031023.400747696, 266362.5237116528 7031024.059252305, 266363.3275123538 7031024.9778816765))</t>
  </si>
  <si>
    <t>['FV6682 S1D1 m1672-1677']</t>
  </si>
  <si>
    <t>LINESTRING Z (266573.88 7031117.49 64.472, 266579.93 7031115.05 64.772, 266583.7 7031115.41 64.952, 266585.66 7031117.22 64.772, 266586.6 7031123.37 64.652, 266588.34 7031129.99 64.932)</t>
  </si>
  <si>
    <t>POLYGON Z ((266573.88 7031117.49 64.472, 266579.93 7031115.05 64.772, 266583.7 7031115.41 64.952, 266585.66 7031117.22 64.772, 266586.6 7031123.37 64.652, 266588.34 7031129.99 64.932, 266573.88 7031117.49 64.472))</t>
  </si>
  <si>
    <t>['FV6682 S1D1 m1982-2087']</t>
  </si>
  <si>
    <t>LINESTRING Z (266519.44 7031347.35 73.482, 266518.12 7031346.08 72.982, 266513.94 7031350.39 71.982, 266511.84 7031352.54 70.982, 266510.96 7031353.45 70.982, 266510.09 7031354.35 70.982, 266508 7031356.49 71.982, 266503.8 7031360.81 72.982, 266505.37 7031362.31 73.482, 266506.97 7031363.77 73.982, 266508.17 7031364.87 74.052, 266509.4 7031365.94 74.122, 266510.64 7031367 74.192, 266511.89 7031368.04 74.262, 266513.22 7031369.12 74.342, 266514.56 7031370.18 74.412, 266515.92 7031371.22 74.492, 266517.29 7031372.24 74.562, 266518.23 7031372.93 74.612, 266519.19 7031373.58 74.652, 266520.17 7031374.21 74.692, 266521.15 7031374.82 74.742, 266522.09 7031375.38 74.782, 266523.04 7031375.91 74.822, 266524 7031376.43 74.862, 266524.97 7031376.92 74.902, 266525.49 7031377.17 74.942, 266525.99 7031377.45 74.972, 266526.8 7031377.89 75.032, 266527.59 7031378.38 75.092, 266528.37 7031378.88 75.152, 266529.15 7031379.41 75.212, 266529.89 7031379.96 75.272, 266530.62 7031380.54 75.332, 266531.34 7031381.13 75.392, 266532.03 7031381.75 75.442, 266532.7 7031382.39 75.502, 266533.36 7031383.06 75.562, 266533.99 7031383.74 75.622, 266534.59 7031384.44 75.682, 266535.18 7031385.16 75.742, 266535.76 7031385.9 75.802, 266536.29 7031386.65 75.862, 266536.82 7031387.42 75.922, 266537.11 7031387.89 75.952, 266537.6 7031388.65 75.982, 266538.11 7031389.38 76.002, 266538.65 7031390.1 76.032, 266539.22 7031390.8 76.052, 266539.81 7031391.46 76.082, 266540.42 7031392.12 76.102, 266541.05 7031392.75 76.132, 266541.71 7031393.37 76.152, 266542.4 7031393.96 76.182, 266543.12 7031394.53 76.202, 266543.84 7031395.08 76.232, 266544.6 7031395.59 76.262, 266547.99 7031398.7 76.632, 266548.42 7031399.26 76.682, 266548.84 7031399.83 76.702, 266549.29 7031400.39 76.722, 266549.75 7031400.93 76.742, 266550.23 7031401.47 76.752, 266550.73 7031401.98 76.772, 266551.25 7031402.48 76.792, 266551.78 7031402.96 76.812, 266552.33 7031403.42 76.832, 266552.89 7031403.86 76.852, 266553.46 7031404.29 76.862, 266554.05 7031404.7 76.882, 266554.64 7031405.1 76.902, 266555.26 7031405.46 76.922, 266555.89 7031405.81 76.942, 266556.52 7031406.15 76.952, 266557.16 7031406.46 76.972, 266557.64 7031406.67 77.002, 266558.35 7031407.02 77.052, 266559.06 7031407.39 77.102, 266559.74 7031407.75 77.142, 266560.42 7031408.13 77.192, 266561.08 7031408.52 77.242, 266561.74 7031408.92 77.282, 266562.39 7031409.34 77.332, 266563.02 7031409.78 77.372, 266563.66 7031410.22 77.422, 266564.28 7031410.67 77.462, 266564.89 7031411.12 77.492, 266565.5 7031411.54 77.522, 266566.12 7031411.96 77.542, 266566.76 7031412.37 77.572, 266567.34 7031412.73 77.592, 266567.93 7031413.09 77.622, 266568.53 7031413.43 77.642, 266569.14 7031413.77 77.672, 266569.74 7031414.09 77.692, 266570.36 7031414.4 77.722, 266570.97 7031414.7 77.742, 266571.6 7031414.99 77.762, 266572.23 7031415.27 77.792, 266572.87 7031415.55 77.812, 266573.51 7031415.81 77.842, 266574.16 7031416.05 77.862, 266574.8 7031416.29 77.892, 266575.46 7031416.51 77.912, 266576.11 7031416.73 77.932, 266576.77 7031416.93 77.962, 266577.59 7031417.22 78.042, 266579.79 7031418.44 78.292, 266580.53 7031418.98 78.312, 266581.28 7031419.49 78.342, 266582.06 7031419.97 78.372, 266582.85 7031420.44 78.402, 266583.64 7031420.88 78.432, 266584.47 7031421.29 78.462, 266585.29 7031421.69 78.492, 266586.13 7031422.05 78.512, 266592.27 7031423.87 79.202, 266596.53 7031431.19 79.462, 266607.76 7031439.56 79.882, 266609.21 7031440.1 79.932, 266611.2 7031434.44 78.932, 266612.19 7031431.59 77.932, 266612.6 7031430.42 77.932, 266613.01 7031429.23 77.932, 266613.99 7031426.4 78.932, 266615.97 7031420.72 79.932, 266615.56 7031420.56 79.882, 266612.5 7031418.28 79.462, 266611.31 7031416.24 79.202, 266611.09 7031415.71 79.192, 266610.86 7031415.2 79.172, 266610.62 7031414.68 79.162, 266610.36 7031414.17 79.152, 266610.08 7031413.67 79.132, 266609.8 7031413.18 79.122, 266609.5 7031412.7 79.112, 266609.18 7031412.23 79.092, 266608.86 7031411.76 79.082, 266608.51 7031411.31 79.072, 266608.16 7031410.86 79.052, 266607.8 7031410.42 79.042, 266607.43 7031409.99 79.032, 266607.04 7031409.58 79.012, 266606.64 7031409.18 79.002, 266606.22 7031408.79 78.992, 266605.77 7031408.38 78.972, 266605.31 7031407.99 78.962, 266604.8 7031407.58 78.942, 266604.29 7031407.2 78.932, 266603.76 7031406.83 78.912, 266603.22 7031406.49 78.902, 266602.67 7031406.15 78.882, 266602.11 7031405.84 78.872, 266601.54 7031405.54 78.852, 266600.96 7031405.25 78.842, 266600.37 7031404.99 78.822, 266599.78 7031404.75 78.812, 266599.17 7031404.52 78.792, 266598.56 7031404.32 78.782, 266597.94 7031404.14 78.762, 266597.32 7031403.97 78.752, 266596.7 7031403.83 78.732, 266596.06 7031403.7 78.722, 266594.05 7031403.11 78.512, 266592.01 7031401.94 78.292, 266591.21 7031401.37 78.262, 266590.41 7031400.83 78.232, 266589.57 7031400.31 78.192, 266588.72 7031399.83 78.162, 266587.87 7031399.36 78.132, 266586.98 7031398.93 78.102, 266586.1 7031398.53 78.072, 266585.19 7031398.15 78.042, 266584.56 7031397.91 78.022, 266583.93 7031397.67 78.002, 266583.29 7031397.46 77.982, 266582.65 7031397.26 77.962, 266577.74 7031395.03 77.572, 266576.54 7031394.2 77.462, 266575.59 7031393.5 77.422, 266574.63 7031392.83 77.372, 266573.65 7031392.18 77.332, 266572.67 7031391.55 77.282, 266571.67 7031390.94 77.242, 266570.67 7031390.34 77.192, 266569.64 7031389.77 77.142, 266568.61 7031389.21 77.102, 266567.45 7031388.84 77.022, 266566.28 7031388.5 76.942, 266565.53 7031388.29 76.882, 266563.63 7031388.27 76.392, 266563.07 7031387.71 76.342, 266562.5 7031387.16 76.292, 266562.14 7031386.57 76.282, 266561.78 7031385.99 76.282, 266561.4 7031385.42 76.272, 266561.02 7031384.85 76.262, 266560.62 7031384.29 76.262, 266560.22 7031383.75 76.252, 266559.81 7031383.22 76.242, 266559.38 7031382.69 76.242, 266558.94 7031382.17 76.232, 266558.51 7031381.67 76.222, 266558.06 7031381.17 76.222, 266557.6 7031380.68 76.212, 266557.13 7031380.2 76.202, 266556.67 7031379.73 76.202, 266556.18 7031379.27 76.192, 266555.7 7031378.83 76.182, 266555.39 7031378.05 76.152, 266554.53 7031377.03 75.952, 266554.04 7031376.25 75.922, 266553.6 7031375.59 75.892, 266553.16 7031374.94 75.862, 266552.71 7031374.29 75.832, 266552.25 7031373.66 75.802, 266551.77 7031373.04 75.772, 266551.29 7031372.42 75.742, 266550.8 7031371.8 75.712, 266550.3 7031371.2 75.682, 266549.78 7031370.6 75.652, 266549.26 7031370.01 75.622, 266548.73 7031369.43 75.592, 266548.19 7031368.86 75.562, 266547.64 7031368.3 75.532, 266547.09 7031367.75 75.502, 266546.52 7031367.2 75.472, 266545.95 7031366.66 75.442, 266545.37 7031366.13 75.422, 266544.78 7031365.61 75.392, 266544.18 7031365.11 75.362, 266543.58 7031364.6 75.332, 266542.96 7031364.11 75.302, 266542.34 7031363.63 75.272, 266541.71 7031363.16 75.242, 266541.08 7031362.7 75.212, 266540.43 7031362.25 75.182, 266539.79 7031361.81 75.152, 266539.12 7031361.38 75.122, 266538.46 7031360.95 75.092, 266537.79 7031360.54 75.062, 266537.12 7031360.14 75.032, 266536.43 7031359.75 75.002, 266535.75 7031359.37 74.972, 266534.89 7031358.92 74.942, 266534.04 7031358.49 74.902, 266533.46 7031358.2 74.862, 266532.89 7031357.89 74.822, 266532.33 7031357.58 74.782, 266531.77 7031357.25 74.742, 266531.18 7031356.89 74.692, 266530.61 7031356.52 74.652, 266530.04 7031356.13 74.612, 266529.48 7031355.72 74.562, 266528.33 7031354.86 74.492, 266527.18 7031353.99 74.412, 266526.05 7031353.09 74.342, 266524.93 7031352.18 74.262, 266523.88 7031351.3 74.192, 266522.84 7031350.41 74.122, 266521.81 7031349.51 74.052, 266520.79 7031348.59 73.982)</t>
  </si>
  <si>
    <t>POLYGON Z ((266519.44 7031347.35 73.482, 266518.12 7031346.08 72.982, 266513.94 7031350.39 71.982, 266511.84 7031352.54 70.982, 266510.96 7031353.45 70.982, 266510.09 7031354.35 70.982, 266508 7031356.49 71.982, 266503.8 7031360.81 72.982, 266505.37 7031362.31 73.482, 266506.97 7031363.77 73.982, 266508.17 7031364.87 74.052, 266509.4 7031365.94 74.122, 266510.64 7031367 74.192, 266511.89 7031368.04 74.262, 266513.22 7031369.12 74.342, 266514.56 7031370.18 74.412, 266515.92 7031371.22 74.492, 266517.29 7031372.24 74.562, 266518.23 7031372.93 74.612, 266519.19 7031373.58 74.652, 266520.17 7031374.21 74.692, 266521.15 7031374.82 74.742, 266522.09 7031375.38 74.782, 266523.04 7031375.91 74.822, 266524 7031376.43 74.862, 266524.97 7031376.92 74.902, 266525.49 7031377.17 74.942, 266525.99 7031377.45 74.972, 266526.8 7031377.89 75.032, 266527.59 7031378.38 75.092, 266528.37 7031378.88 75.152, 266529.15 7031379.41 75.212, 266529.89 7031379.96 75.272, 266530.62 7031380.54 75.332, 266531.34 7031381.13 75.392, 266532.03 7031381.75 75.442, 266532.7 7031382.39 75.502, 266533.36 7031383.06 75.562, 266533.99 7031383.74 75.622, 266534.59 7031384.44 75.682, 266535.18 7031385.16 75.742, 266535.76 7031385.9 75.802, 266536.29 7031386.65 75.862, 266536.82 7031387.42 75.922, 266537.11 7031387.89 75.952, 266537.6 7031388.65 75.982, 266538.11 7031389.38 76.002, 266538.65 7031390.1 76.032, 266539.22 7031390.8 76.052, 266539.81 7031391.46 76.082, 266540.42 7031392.12 76.102, 266541.05 7031392.75 76.132, 266541.71 7031393.37 76.152, 266542.4 7031393.96 76.182, 266543.12 7031394.53 76.202, 266543.84 7031395.08 76.232, 266544.6 7031395.59 76.262, 266547.99 7031398.7 76.632, 266548.42 7031399.26 76.682, 266548.84 7031399.83 76.702, 266549.29 7031400.39 76.722, 266549.75 7031400.93 76.742, 266550.23 7031401.47 76.752, 266550.73 7031401.98 76.772, 266551.25 7031402.48 76.792, 266551.78 7031402.96 76.812, 266552.33 7031403.42 76.832, 266552.89 7031403.86 76.852, 266553.46 7031404.29 76.862, 266554.05 7031404.7 76.882, 266554.64 7031405.1 76.902, 266555.26 7031405.46 76.922, 266555.89 7031405.81 76.942, 266556.52 7031406.15 76.952, 266557.16 7031406.46 76.972, 266557.64 7031406.67 77.002, 266558.35 7031407.02 77.052, 266559.06 7031407.39 77.102, 266559.74 7031407.75 77.142, 266560.42 7031408.13 77.192, 266561.08 7031408.52 77.242, 266561.74 7031408.92 77.282, 266562.39 7031409.34 77.332, 266563.02 7031409.78 77.372, 266563.66 7031410.22 77.422, 266564.28 7031410.67 77.462, 266564.89 7031411.12 77.492, 266565.5 7031411.54 77.522, 266566.12 7031411.96 77.542, 266566.76 7031412.37 77.572, 266567.34 7031412.73 77.592, 266567.93 7031413.09 77.622, 266568.53 7031413.43 77.642, 266569.14 7031413.77 77.672, 266569.74 7031414.09 77.692, 266570.36 7031414.4 77.722, 266570.97 7031414.7 77.742, 266571.6 7031414.99 77.762, 266572.23 7031415.27 77.792, 266572.87 7031415.55 77.812, 266573.51 7031415.81 77.842, 266574.16 7031416.05 77.862, 266574.8 7031416.29 77.892, 266575.46 7031416.51 77.912, 266576.11 7031416.73 77.932, 266576.77 7031416.93 77.962, 266577.59 7031417.22 78.042, 266579.79 7031418.44 78.292, 266580.53 7031418.98 78.312, 266581.28 7031419.49 78.342, 266582.06 7031419.97 78.372, 266582.85 7031420.44 78.402, 266583.64 7031420.88 78.432, 266584.47 7031421.29 78.462, 266585.29 7031421.69 78.492, 266586.13 7031422.05 78.512, 266592.27 7031423.87 79.202, 266596.53 7031431.19 79.462, 266607.76 7031439.56 79.882, 266609.21 7031440.1 79.932, 266611.2 7031434.44 78.932, 266612.19 7031431.59 77.932, 266612.6 7031430.42 77.932, 266613.01 7031429.23 77.932, 266613.99 7031426.4 78.932, 266615.97 7031420.72 79.932, 266615.56 7031420.56 79.882, 266612.5 7031418.28 79.462, 266611.31 7031416.24 79.202, 266611.09 7031415.71 79.192, 266610.86 7031415.2 79.172, 266610.62 7031414.68 79.162, 266610.36 7031414.17 79.152, 266610.08 7031413.67 79.132, 266609.8 7031413.18 79.122, 266609.5 7031412.7 79.112, 266609.18 7031412.23 79.092, 266608.86 7031411.76 79.082, 266608.51 7031411.31 79.072, 266608.16 7031410.86 79.052, 266607.8 7031410.42 79.042, 266607.43 7031409.99 79.032, 266607.04 7031409.58 79.012, 266606.64 7031409.18 79.002, 266606.22 7031408.79 78.992, 266605.77 7031408.38 78.972, 266605.31 7031407.99 78.962, 266604.8 7031407.58 78.942, 266604.29 7031407.2 78.932, 266603.76 7031406.83 78.912, 266603.22 7031406.49 78.902, 266602.67 7031406.15 78.882, 266602.11 7031405.84 78.872, 266601.54 7031405.54 78.852, 266600.96 7031405.25 78.842, 266600.37 7031404.99 78.822, 266599.78 7031404.75 78.812, 266599.17 7031404.52 78.792, 266598.56 7031404.32 78.782, 266597.94 7031404.14 78.762, 266597.32 7031403.97 78.752, 266596.7 7031403.83 78.732, 266596.06 7031403.7 78.722, 266594.05 7031403.11 78.512, 266592.01 7031401.94 78.292, 266591.21 7031401.37 78.262, 266590.41 7031400.83 78.232, 266589.57 7031400.31 78.192, 266588.72 7031399.83 78.162, 266587.87 7031399.36 78.132, 266586.98 7031398.93 78.102, 266586.1 7031398.53 78.072, 266585.19 7031398.15 78.042, 266584.56 7031397.91 78.022, 266583.93 7031397.67 78.002, 266583.29 7031397.46 77.982, 266582.65 7031397.26 77.962, 266577.74 7031395.03 77.572, 266576.54 7031394.2 77.462, 266575.59 7031393.5 77.422, 266574.63 7031392.83 77.372, 266573.65 7031392.18 77.332, 266572.67 7031391.55 77.282, 266571.67 7031390.94 77.242, 266570.67 7031390.34 77.192, 266569.64 7031389.77 77.142, 266568.61 7031389.21 77.102, 266567.45 7031388.84 77.022, 266566.28 7031388.5 76.942, 266565.53 7031388.29 76.882, 266563.63 7031388.27 76.392, 266563.07 7031387.71 76.342, 266562.5 7031387.16 76.292, 266562.14 7031386.57 76.282, 266561.78 7031385.99 76.282, 266561.4 7031385.42 76.272, 266561.02 7031384.85 76.262, 266560.62 7031384.29 76.262, 266560.22 7031383.75 76.252, 266559.81 7031383.22 76.242, 266559.38 7031382.69 76.242, 266558.94 7031382.17 76.232, 266558.51 7031381.67 76.222, 266558.06 7031381.17 76.222, 266557.6 7031380.68 76.212, 266557.13 7031380.2 76.202, 266556.67 7031379.73 76.202, 266556.18 7031379.27 76.192, 266555.7 7031378.83 76.182, 266555.39 7031378.05 76.152, 266554.53 7031377.03 75.952, 266554.04 7031376.25 75.922, 266553.6 7031375.59 75.892, 266553.16 7031374.94 75.862, 266552.71 7031374.29 75.832, 266552.25 7031373.66 75.802, 266551.77 7031373.04 75.772, 266551.29 7031372.42 75.742, 266550.8 7031371.8 75.712, 266550.3 7031371.2 75.682, 266549.78 7031370.6 75.652, 266549.26 7031370.01 75.622, 266548.73 7031369.43 75.592, 266548.19 7031368.86 75.562, 266547.64 7031368.3 75.532, 266547.09 7031367.75 75.502, 266546.52 7031367.2 75.472, 266545.95 7031366.66 75.442, 266545.37 7031366.13 75.422, 266544.78 7031365.61 75.392, 266544.18 7031365.11 75.362, 266543.58 7031364.6 75.332, 266542.96 7031364.11 75.302, 266542.34 7031363.63 75.272, 266541.71 7031363.16 75.242, 266541.08 7031362.7 75.212, 266540.43 7031362.25 75.182, 266539.79 7031361.81 75.152, 266539.12 7031361.38 75.122, 266538.46 7031360.95 75.092, 266537.79 7031360.54 75.062, 266537.12 7031360.14 75.032, 266536.43 7031359.75 75.002, 266535.75 7031359.37 74.972, 266534.89 7031358.92 74.942, 266534.04 7031358.49 74.902, 266533.46 7031358.2 74.862, 266532.89 7031357.89 74.822, 266532.33 7031357.58 74.782, 266531.77 7031357.25 74.742, 266531.18 7031356.89 74.692, 266530.61 7031356.52 74.652, 266530.04 7031356.13 74.612, 266529.48 7031355.72 74.562, 266528.33 7031354.86 74.492, 266527.18 7031353.99 74.412, 266526.05 7031353.09 74.342, 266524.93 7031352.18 74.262, 266523.88 7031351.3 74.192, 266522.84 7031350.41 74.122, 266521.81 7031349.51 74.052, 266520.79 7031348.59 73.982, 266519.44 7031347.35 73.482))</t>
  </si>
  <si>
    <t>['FV6682 S1D1 m1896-1996']</t>
  </si>
  <si>
    <t>LINESTRING Z (266482.06 7031332.74 73.322, 266476.67 7031336.37 72.402, 266472.21 7031341.42 72.072, 266471.19 7031342.73 72.012, 266470.28 7031344.47 72.262, 266469.93 7031345.74 72.262, 266468.71 7031349.39 72.142, 266467.95 7031351.15 72.132, 266467.8 7031355.54 72.222, 266470.32 7031359.22 72.212, 266472.41 7031361.33 72.082, 266475.71 7031365.27 72.152, 266477.84 7031366.13 72.192, 266481.3 7031366.69 72.162, 266482.62 7031365.43 72.132, 266498.03 7031367.46 72.222, 266501.17 7031370.11 72.312, 266512.99 7031370.63 72.192, 266513.42 7031370.63 72.272, 266515.23 7031370.69 74.452)</t>
  </si>
  <si>
    <t>POLYGON ((266476.39069981023 7031335.955281536, 266476.35654351546 7031335.980455353, 266476.3246445755 7031336.008434473, 266476.2952327107 7031336.039017404, 266471.83523271076 7031341.089017404, 266471.8154861071 7031341.112821244, 266470.79548610706 7031342.422821244, 266470.7695142532 7031342.459460286, 266470.74693480553 7031342.498281997, 266469.83693480556 7031344.238281996, 266469.8148180128 7031344.286681374, 266469.7979701548 7031344.337157129, 266469.45153499185 7031345.594221864, 266468.2425335986 7031349.211316195, 266467.4909688232 7031350.951781992, 266467.4744876871 7031350.995442437, 266467.46214895236 7031351.040449303, 266467.45406010724 7031351.086410514, 266467.4502916174 7031351.132925682, 266467.3002916174 7031355.522925681, 266467.30128147046 7031355.575774688, 266467.3078449964 7031355.6282238765, 266467.31990884134 7031355.679687077, 266467.3373381799 7031355.729589135, 266467.3599382219 7031355.777372348, 266467.3874563897 7031355.822502689, 266469.90745638974 7031359.502502689, 266469.93454828765 7031359.538476023, 266469.96476704936 7031359.571865814, 266472.040084547 7031361.66704281, 266475.32668798923 7031365.591048131, 266475.35992719245 7031365.62700004, 266475.396523432 7031365.6595284855, 266475.43612576695 7031365.688321532, 266475.4783544292 7031365.713103068, 266475.52280446555 7031365.733635451, 266477.65280446556 7031366.593635451, 266477.7056230321 7031366.6116044335, 266477.7601146916 7031366.623577083, 266481.2201146916 7031367.183577084, 266481.2710428949 7031367.189160782, 266481.3222751316 7031367.189503573, 266481.3732734919 7031367.184601855, 266481.4235025217 7031367.174507097, 266481.47243484436 7031367.159325287, 266481.51955669804 7031367.139215824, 266481.56437332975 7031367.114389848, 266481.6064141899 7031367.085108017, 266481.6452378734 7031367.051677773, 266482.7920584293 7031365.956985423, 266497.8194668814 7031367.936585628, 266500.8475201047 7031370.492108254, 266500.88475074817 7031370.52064932, 266500.92449239874 7031370.545575502, 266500.96639521676 7031370.566667376, 266501.0100903378 7031370.583739274, 266501.05519312003 7031370.596640916, 266501.1013065305 7031370.605258728, 266501.1480246394 7031370.609516851, 266512.9680246394 7031371.12951685, 266512.99 7031371.13, 266513.4117149787 7031371.13, 266515.21343451337 7031371.18972551, 266515.2465654866 7031370.190274491, 266513.4365654866 7031370.13027449, 266513.42 7031370.13, 266513.0009929971 7031370.13, 266501.36223716236 7031369.617973517, 266498.3524798953 7031367.077891747, 266498.31478062633 7031367.049025554, 266498.27451321494 7031367.023865516, 266498.2320407913 7031367.002638525, 266498.1877463704 7031366.985536004, 266498.1420293977 7031366.972712185, 266498.0953021476 7031366.964282712, 266482.6853021476 7031364.934282712, 266482.6358685143 7031364.930251873, 266482.58627873915 7031364.93113842, 266482.537020772 7031364.936933627, 266482.48857929785 7031364.9475804735, 266482.44143096753 7031364.962974196, 266482.3960397077 7031364.982963326, 266482.35285215604 7031365.007351174, 266482.3122932663 7031365.035897772, 266482.27476212656 7031365.068322227, 266481.13454199437 7031366.156714172, 266477.97521875374 7031365.6453786185, 266476.0130722441 7031364.85315045, 266472.79331201076 7031361.008951869, 266472.7652329506 7031360.978134186, 266470.70702151017 7031358.900226942, 266468.3053154662 7031355.392973672, 266468.4464823709 7031351.2614889275, 266469.16903117683 7031349.588218008, 266469.1842115679 7031349.548503593, 266470.4042115679 7031345.898503593, 266470.41202984523 7031345.872842871, 266470.7478314592 7031344.654362728, 266471.61218881916 7031343.0016354695, 266472.5950088743 7031341.739386182, 266477.00239380804 7031336.748961537, 266482.33930018975 7031333.154718464, 266481.78069981025 7031332.325281536, 266476.39069981023 7031335.955281536))</t>
  </si>
  <si>
    <t>['FV6682 S1D1 m1917-1994']</t>
  </si>
  <si>
    <t>LINESTRING Z (266494.07 7031326.96 71.922, 266494.78 7031327.97 71.922, 266496.13 7031328.1 72.122, 266496.77 7031328.44 72.392, 266498.73 7031330.29 72.222, 266508.25 7031334.62 72.322, 266515.68 7031338.3 72.432, 266517.3 7031339.53 72.542, 266517.98 7031341.31 72.152, 266520.97 7031348.75 73.992)</t>
  </si>
  <si>
    <t>POLYGON ((266494.37095564895 7031328.257546029, 266494.4003316768 7031328.295348988, 266494.43318852613 7031328.330169129, 266494.4692249635 7031328.361687218, 266494.5081106048 7031328.389614295, 266494.549488944 7031328.413694324, 266494.5929806222 7031328.433706537, 266494.63818690507 7031328.449467461, 266494.68469333876 7031328.460832599, 266494.7320735496 7031328.4676977545, 266495.9831698401 7031328.588173693, 266496.4758517787 7031328.849910974, 266498.3867971974 7031330.653609456, 266498.42874399835 7031330.68905491, 266498.4743250486 7031330.719686303, 266498.522990474 7031330.745134108, 266508.03547845397 7031335.071717401, 266515.41549611854 7031338.726961682, 266516.8838924969 7031339.841855229, 266517.5129226116 7031341.488434058, 266517.51606329874 7031341.49644768, 266520.50606329873 7031348.93644768, 266521.4339367012 7031348.56355232, 266518.4455415262 7031341.127545596, 266517.76707738836 7031339.351565942, 266517.74854440143 7031339.3090748545, 266517.726155791 7031339.268482808, 266517.7001040066 7031339.230138726, 266517.6706129856 7031339.194372208, 266517.6379362286 7031339.161490698, 266517.6023546202 7031339.131776842, 266515.9823546202 7031337.901776842, 266515.94331711065 7031337.874954003, 266515.9019167073 7031337.851945343, 266508.4719167073 7031334.171945344, 266508.45700952597 7031334.164865892, 266499.01271846355 7031329.869300734, 266497.1132028026 7031328.076390545, 266497.07936870423 7031328.0472010635, 266497.04306365066 7031328.021148902, 266497.00457761344 7031327.998442141, 266496.3645776134 7031327.658442141, 266496.32021006354 7031327.63759311, 266496.2740140914 7031327.621189034, 266496.22643376276 7031327.609387597, 266496.17792645044 7031327.602302245, 266495.05680768756 7031327.4943426605, 266494.4790443511 7031326.672453971, 266493.6609556489 7031327.247546029, 266494.37095564895 7031328.257546029))</t>
  </si>
  <si>
    <t>['FV6682 S1D1 m1676-1678']</t>
  </si>
  <si>
    <t>LINESTRING Z (266588.33 7031127.21 65.482, 266588.6 7031127.21 65.482)</t>
  </si>
  <si>
    <t>POLYGON ((266588.6 7031127.71, 266588.6 7031126.71, 266588.33 7031126.71, 266588.33 7031127.71, 266588.6 7031127.71))</t>
  </si>
  <si>
    <t>['FV6682 S1D1 m1488-1492']</t>
  </si>
  <si>
    <t>LINESTRING Z (266337.24 7030946.07 56.731, 266337.87 7030946.53 56.761)</t>
  </si>
  <si>
    <t>POLYGON ((266337.5751524355 7030946.933812969, 266338.1648475645 7030946.126187031, 266337.5348475645 7030945.666187031, 266336.9451524355 7030946.473812969, 266337.5751524355 7030946.933812969))</t>
  </si>
  <si>
    <t>['FV6682 S1D1 m1663-1664']</t>
  </si>
  <si>
    <t>LINESTRING Z (266509.8 7031105.48 63.332, 266509.42 7031106.24 63.822)</t>
  </si>
  <si>
    <t>POLYGON ((266508.9727864045 7031106.016393202, 266509.8672135955 7031106.463606798, 266510.2472135955 7031105.703606798, 266509.3527864045 7031105.256393203, 266508.9727864045 7031106.016393202))</t>
  </si>
  <si>
    <t>['FV6682 S1D1 m2941-2944']</t>
  </si>
  <si>
    <t>LINESTRING Z (266887 7032120.42 108.313, 266886.78 7032120.54 108.213, 266886 7032120.51 108.143, 266884.57 7032119.94 108.403, 266880.45 7032130.17 110.273, 266881.55 7032131.4 109.963, 266882.35 7032131.34 110.053, 266882.92 7032131.79 110.203)</t>
  </si>
  <si>
    <t>POLYGON Z ((266887 7032120.42 108.313, 266886.78 7032120.54 108.213, 266886 7032120.51 108.143, 266884.57 7032119.94 108.403, 266880.45 7032130.17 110.273, 266881.55 7032131.4 109.963, 266882.35 7032131.34 110.053, 266882.92 7032131.79 110.203, 266887 7032120.42 108.313))</t>
  </si>
  <si>
    <t>2016-07-07</t>
  </si>
  <si>
    <t>['EV6 S47D1 m15394-15415']</t>
  </si>
  <si>
    <t>LINESTRING Z (221215.172 6839575.226 -999999, 221213.415 6839611.707 -999999)</t>
  </si>
  <si>
    <t>POLYGON ((221212.91557888905 6839611.682946852, 221213.91442111097 6839611.731053148, 221215.67142111095 6839575.250053148, 221214.67257888903 6839575.201946852, 221212.91557888905 6839611.682946852))</t>
  </si>
  <si>
    <t>['EV6 S47D1 m15518-15527']</t>
  </si>
  <si>
    <t>LINESTRING Z (221068.392 6839578.485 -999999, 221067.355 6839593.969 -999999)</t>
  </si>
  <si>
    <t>POLYGON ((221066.85611756615 6839593.935588666, 221067.85388243388 6839594.002411333, 221068.89088243386 6839578.518411334, 221067.89311756613 6839578.451588667, 221066.85611756615 6839593.935588666))</t>
  </si>
  <si>
    <t>['EV6 S47D1 m6744-6747']</t>
  </si>
  <si>
    <t>LINESTRING Z (228954.985 6836764.186 -999999, 228955.163 6836763.823 -999999, 228955.335 6836763.458 -999999, 228955.499 6836763.09 -999999, 228955.657 6836762.718 -999999, 228955.808 6836762.344 -999999, 228955.95 6836761.966 -999999, 228956.087 6836761.587 -999999, 228956.216 6836761.205 -999999, 228956.338 6836760.82 -999999, 228956.453 6836760.432 -999999, 228956.56 6836760.043 -999999, 228956.66 6836759.652 -999999, 228956.752 6836759.259 -999999, 228956.837 6836758.865 -999999, 228956.914 6836758.469 -999999, 228956.985 6836758.071 -999999, 228957.048 6836757.672 -999999, 228957.102 6836757.273 -999999, 228957.15 6836756.872 -999999, 228957.189 6836756.47 -999999, 228957.221 6836756.068 -999999, 228957.246 6836755.665 -999999, 228957.263 6836755.262 -999999, 228957.272 6836754.858 -999999, 228957.273 6836754.455 -999999, 228957.268 6836754.051 -999999, 228957.254 6836753.647 -999999, 228957.233 6836753.245 -999999, 228957.204 6836752.842 -999999, 228957.168 6836752.44 -999999, 228957.124 6836752.039 -999999, 228957.072 6836751.639 -999999, 228957.013 6836751.239 -999999, 228954.059 6836740.483 -999999, 228944.123 6836700.647 -999999, 228943.906 6836699.791 -999999, 228943.681 6836698.939 -999999, 228943.449 6836698.088 -999999, 228943.21 6836697.24 -999999, 228942.963 6836696.393 -999999, 228942.707 6836695.549 -999999, 228942.445 6836694.707 -999999, 228942.176 6836693.867 -999999, 228912.967 6836604.21 -999999, 228912.736 6836603.513 -999999, 228912.502 6836602.818 -999999, 228912.261 6836602.124 -999999, 228881.228 6836513.537 -999999, 228880.993 6836513.004 -999999, 228880.766 6836512.469 -999999, 228880.545 6836511.931 -999999, 228880.333 6836511.389 -999999, 228880.128 6836510.845 -999999, 228879.93 6836510.298 -999999, 228879.74 6836509.749 -999999, 228879.557 6836509.197 -999999, 228879.383 6836508.642 -999999, 228879.215 6836508.085 -999999, 228879.054 6836507.525 -999999, 228878.902 6836506.965 -999999, 228878.757 6836506.401 -999999, 228878.62 6836505.836 -999999, 228878.49 6836505.269 -999999, 228878.369 6836504.701 -999999, 228878.254 6836504.13 -999999, 228878.149 6836503.559 -999999, 228878.05 6836502.986 -999999, 228877.96 6836502.411 -999999, 228877.877 6836501.836 -999999, 228877.803 6836501.259 -999999, 228877.736 6836500.681 -999999, 228877.677 6836500.102 -999999, 228877.625 6836499.522 -999999, 228877.581 6836498.943 -999999, 228877.546 6836498.362 -999999, 228877.518 6836497.781 -999999, 228877.499 6836497.201 -999999, 228877.487 6836496.618 -999999, 228877.483 6836496.037 -999999, 228877.488 6836495.456 -999999, 228877.5 6836494.874 -999999, 228877.519 6836494.293 -999999, 228877.547 6836493.712 -999999, 228877.583 6836493.132 -999999, 228877.627 6836492.552 -999999, 228877.678 6836491.972 -999999, 228877.737 6836491.394 -999999, 228877.805 6836490.816 -999999, 228877.881 6836490.239 -999999, 228877.964 6836489.664 -999999, 228878.055 6836489.09 -999999, 228878.153 6836488.516 -999999, 228878.26 6836487.945 -999999, 228878.373 6836487.374 -999999, 228878.496 6836486.805 -999999, 228878.625 6836486.239 -999999, 228878.762 6836485.673 -999999, 228878.907 6836485.111 -999999, 228879.061 6836484.55 -999999, 228879.221 6836483.991 -999999, 228879.389 6836483.433 -999999, 228879.564 6836482.879 -999999, 228879.747 6836482.327 -999999, 228879.938 6836481.777 -999999, 228880.136 6836481.231 -999999, 228880.341 6836480.687 -999999, 228880.554 6836480.146 -999999, 228880.775 6836479.607 -999999, 228881.002 6836479.072 -999999, 228881.237 6836478.54 -999999, 228881.479 6836478.011 -999999, 228881.728 6836477.486 -999999, 228881.984 6836476.963 -999999, 228882.247 6836476.445 -999999, 228882.518 6836475.93 -999999, 228882.796 6836475.42 -999999, 228883.079 6836474.912 -999999, 228883.371 6836474.408 -999999, 228883.669 6836473.909 -999999, 228883.974 6836473.414 -999999, 228884.286 6836472.923 -999999, 228884.604 6836472.436 -999999, 228884.929 6836471.954 -999999, 228885.26 6836471.476 -999999, 228885.598 6836471.002 -999999, 228885.942 6836470.534 -999999, 228886.292 6836470.069 -999999, 228886.649 6836469.61 -999999, 228887.012 6836469.156 -999999, 228887.382 6836468.707 -999999)</t>
  </si>
  <si>
    <t>POLYGON ((228955.61193160535 6836764.043137261, 228955.6152969555 6836764.036137195, 228955.7872969555 6836763.671137195, 228955.7917008353 6836763.66152972, 228955.95570083533 6836763.29352972, 228955.95920998105 6836763.28546553, 228956.11720998105 6836762.913465531, 228956.12063747214 6836762.90519053, 228956.27163747212 6836762.5311905295, 228956.27606273515 6836762.519833091, 228956.41806273517 6836762.141833091, 228956.4202218774 6836762.135974663, 228956.5572218774 6836761.756974664, 228956.56071795206 6836761.746972816, 228956.68971795205 6836761.364972816, 228956.69264141071 6836761.356039616, 228956.81464141072 6836760.9710396165, 228956.81738659012 6836760.962086231, 228956.93238659014 6836760.574086231, 228956.93509477432 6836760.564607046, 228957.0420947743 6836760.175607045, 228957.04440826917 6836760.166889583, 228957.14440826917 6836759.775889583, 228957.14683824047 6836759.765967221, 228957.23883824048 6836759.372967221, 228957.24075550845 6836759.364442178, 228957.32575550844 6836758.970442179, 228957.32780769488 6836758.96043483, 228957.40480769487 6836758.564434829, 228957.40622906774 6836758.556809708, 228957.47722906774 6836758.158809708, 228957.47888148265 6836758.148981287, 228957.54188148267 6836757.749981287, 228957.54348284297 6836757.739057829, 228957.59748284298 6836757.340057828, 228957.59845597242 6836757.332426151, 228957.6464559724 6836756.931426152, 228957.6476635063 6836756.920280788, 228957.68666350632 6836756.518280787, 228957.68742336959 6836756.509675492, 228957.71942336956 6836756.107675492, 228957.72004069068 6836756.098957859, 228957.7450406907 6836755.695957859, 228957.74555572835 6836755.68607307, 228957.76255572835 6836755.28307307, 228957.76287597744 6836755.273135851, 228957.77187597743 6836754.869135851, 228957.77199846067 6836754.859240691, 228957.77299846066 6836754.456240691, 228957.77296171157 6836754.448812355, 228957.7679617116 6836754.044812355, 228957.76770005445 6836754.033683661, 228957.75370005443 6836753.629683661, 228957.7533191699 6836753.620916163, 228957.7323191699 6836753.218916163, 228957.73171043504 6836753.209112649, 228957.70271043503 6836752.806112649, 228957.70200707798 6836752.797402351, 228957.666007078 6836752.395402351, 228957.6650169777 6836752.385464472, 228957.6210169777 6836751.984464471, 228957.61982780867 6836751.974542385, 228957.56782780864 6836751.5745423855, 228957.56664810868 6836751.566039405, 228957.5076481087 6836751.166039404, 228957.49514736468 6836751.106584296, 228954.5427095379 6836740.3562724255, 228944.60813708484 6836700.525995831, 228944.60766894356 6836700.524134158, 228944.39066894355 6836699.6681341585, 228944.38942684056 6836699.663334461, 228944.16442684058 6836698.811334461, 228944.16339498953 6836698.807489263, 228943.93139498951 6836697.956489263, 228943.93025144175 6836697.952364276, 228943.69125144175 6836697.104364276, 228943.6900063467 6836697.100021762, 228943.4430063467 6836696.253021762, 228943.44147404187 6836696.247870433, 228943.18547404188 6836695.403870433, 228943.18442123933 6836695.400443747, 228942.92242123935 6836694.558443747, 228942.92117915224 6836694.554509296, 228942.65217915224 6836693.714509295, 228942.6514070663 6836693.712119008, 228913.4424070663 6836604.055119009, 228913.44161332014 6836604.0527034765, 228913.21061332015 6836603.355703477, 228913.20986221675 6836603.353455024, 228912.97586221676 6836602.658455024, 228912.97433097375 6836602.653977284, 228912.73333097374 6836601.959977284, 228912.73288340197 6836601.958694057, 228881.69988340198 6836513.371694056, 228881.68550550475 6836513.335285565, 228881.45191594926 6836512.805484573, 228881.22740559556 6836512.276352242, 228881.00910613526 6836511.744926406, 228880.7997821148 6836511.209767827, 228880.59703424358 6836510.671744207, 228880.40134870468 6836510.131138198, 228880.21357131237 6836509.588560364, 228880.03288218862 6836509.043530876, 228879.86091503745 6836508.495014963, 228879.69463742187 6836507.943725487, 228879.53556439656 6836507.3904280085, 228879.38541821294 6836506.837257858, 228879.2421086837 6836506.279833206, 228879.10665579556 6836505.721213631, 228878.9782199437 6836505.161035724, 228878.85860754902 6836504.599549442, 228878.74499133247 6836504.035420227, 228878.64124181215 6836503.471220454, 228878.54337376726 6836502.904772073, 228878.45444574914 6836502.336620847, 228878.37243543312 6836501.768477091, 228878.29932449444 6836501.1984093655, 228878.23307306657 6836500.626867197, 228878.17473165318 6836500.054330276, 228878.12330543945 6836499.4807302, 228878.07985951033 6836498.909021269, 228878.04527580788 6836498.334931808, 228878.017605808 6836497.760779312, 228877.99883152219 6836497.187669533, 228877.98696457827 6836496.611133842, 228877.98301481194 6836496.037430279, 228877.98795564746 6836495.46330519, 228877.9998315231 6836494.887325221, 228878.0186064858 6836494.313206624, 228878.04625389026 6836493.739522982, 228878.08182702644 6836493.166400233, 228878.12534069907 6836492.592810912, 228878.17577118834 6836492.019287701, 228878.2340247103 6836491.4486006545, 228878.30117064083 6836490.877860244, 228878.37631368343 6836490.307366356, 228878.45837552665 6836489.738865634, 228878.54836776995 6836489.171222254, 228878.64518908146 6836488.604126001, 228878.7509792994 6836488.039581941, 228878.86263729006 6836487.475363244, 228878.98412055708 6836486.913379676, 228879.11175451986 6836486.353373297, 228879.2470834064 6836485.794277313, 228879.39018291514 6836485.239643354, 228879.54244424432 6836484.684977084, 228879.70075653685 6836484.131873513, 228879.86679660864 6836483.580383274, 228880.03971246502 6836483.032981076, 228880.220487808 6836482.487691517, 228880.40921033025 6836481.9442497, 228880.60498257418 6836481.4043929055, 228880.80758566628 6836480.866753481, 228881.0179541848 6836480.332437197, 228881.2364692989 6836479.79949762, 228881.4608482105 6836479.270675074, 228881.69304303234 6836478.745025521, 228881.93224425917 6836478.2221435, 228882.17844236223 6836477.7030511135, 228882.43148123982 6836477.186100596, 228882.69117653856 6836476.674609475, 228882.95876938713 6836476.166084318, 228883.233913258 6836475.66132398, 228883.5137454184 6836475.15901042, 228883.8019747218 6836474.661518746, 228884.0964997218 6836474.168337622, 228884.39786487303 6836473.679236802, 228884.7063455949 6836473.193775155, 228885.0206303765 6836472.712464812, 228885.34183036297 6836472.236100525, 228885.66910141887 6836471.763485525, 228886.0030073031 6836471.295226978, 228886.34319181045 6836470.832417822, 228886.68910489898 6836470.372847577, 228887.0416149129 6836469.919620416, 228887.40021323817 6836469.47112554, 228887.76786587053 6836469.024974103, 228886.9961341295 6836468.389025898, 228886.62613412947 6836468.838025898, 228886.62148169012 6836468.843757387, 228886.25848169014 6836469.297757387, 228886.2543238914 6836469.303029694, 228885.89732389137 6836469.762029693, 228885.89251605363 6836469.768313158, 228885.54251605365 6836470.233313158, 228885.53912616422 6836470.237870514, 228885.1951261642 6836470.705870515, 228885.19090127051 6836470.71170597, 228884.85290127053 6836471.185705969, 228884.84893486547 6836471.191350293, 228884.51793486546 6836471.669350293, 228884.51443612063 6836471.6744704135, 228884.18943612062 6836472.156470413, 228884.18534868467 6836472.162630147, 228883.86734868467 6836472.649630148, 228883.8639923949 6836472.654840382, 228883.5519923949 6836473.145840381, 228883.54831854225 6836473.151711425, 228883.24331854226 6836473.646711425, 228883.23972310583 6836473.652638247, 228882.94172310585 6836474.151638247, 228882.9383652389 6836474.157346527, 228882.64636523888 6836474.661346527, 228882.64220556724 6836474.6686676685, 228882.35920556725 6836475.176667669, 228882.35698643568 6836475.180694567, 228882.0789864357 6836475.690694567, 228882.07552225282 6836475.697162195, 228881.80452225282 6836476.212162196, 228881.80117196025 6836476.218643293, 228881.53817196024 6836476.736643293, 228881.53491328063 6836476.74317935, 228881.27891328064 6836477.266179349, 228881.27623626424 6836477.271734914, 228881.02723626423 6836477.796734914, 228881.02431849297 6836477.802998252, 228880.78231849297 6836478.331998252, 228880.77963452725 6836478.337968259, 228880.54463452726 6836478.869968259, 228880.54171848294 6836478.876702982, 228880.31471848293 6836479.411702982, 228880.31237706007 6836479.417316011, 228880.09137706007 6836479.956316011, 228880.08876026538 6836479.962827979, 228879.87576026536 6836480.503827979, 228879.87311878309 6836480.510684468, 228879.6681187831 6836481.054684468, 228879.665952658 6836481.060543272, 228879.467952658 6836481.606543272, 228879.4656705602 6836481.612972867, 228879.2746705602 6836482.162972867, 228879.2724010479 6836482.16966013, 228879.0894010479 6836482.72166013, 228879.0872216759 6836482.728393128, 228878.91222167588 6836483.282393129, 228878.91022878047 6836483.288853827, 228878.74222878047 6836483.846853827, 228878.7403029797 6836483.853412302, 228878.5803029797 6836484.412412302, 228878.57883692603 6836484.417641509, 228878.42483692605 6836484.978641509, 228878.42285461514 6836484.986087045, 228878.27785461512 6836485.548087046, 228878.27603327637 6836485.555372013, 228878.13903327638 6836486.121372012, 228878.13750134912 6836486.12789165, 228878.00850134913 6836486.69389165, 228878.00728812284 6836486.69935578, 228877.88428812282 6836487.26835578, 228877.88251243377 6836487.276933284, 228877.7695124338 6836487.847933284, 228877.7685541658 6836487.852907699, 228877.6615541658 6836488.423907698, 228877.66013178724 6836488.431851768, 228877.56213178724 6836489.005851768, 228877.56116744402 6836489.011709473, 228877.47016744403 6836489.585709473, 228877.46912905853 6836489.592566456, 228877.38612905852 6836490.167566456, 228877.3852816293 6836490.173706072, 228877.3092816293 6836490.750706072, 228877.3084246978 6836490.757579376, 228877.2404246978 6836491.335579377, 228877.23958470268 6836491.343225774, 228877.1805847027 6836491.921225774, 228877.17992182937 6836491.928203471, 228877.12892182937 6836492.508203471, 228877.1284325829 6836492.514177645, 228877.0844325829 6836493.094177645, 228877.08396036513 6836493.101025126, 228877.0479603651 6836493.681025126, 228877.04757962632 6836493.687931549, 228877.01957962633 6836494.268931548, 228877.01926714485 6836494.276657617, 228877.00026714485 6836494.857657617, 228877.00010624735 6836494.863692912, 228876.98810624736 6836495.445692913, 228876.98801851415 6836495.451697233, 228876.98301851415 6836496.032697232, 228876.98301184928 6836496.040442259, 228876.98701184927 6836496.621442259, 228876.98710588328 6836496.6282894155, 228876.9991058833 6836497.211289416, 228876.99926806608 6836497.21737053, 228877.01826806608 6836497.79737053, 228877.01857962634 6836497.805068452, 228877.04657962633 6836498.386068451, 228877.0469047816 6836498.392065977, 228877.0819047816 6836498.973065977, 228877.0824375143 6836498.980887305, 228877.1264375143 6836499.559887305, 228877.12699747866 6836499.566648502, 228877.17899747865 6836500.146648502, 228877.17957585107 6836500.152687435, 228877.23857585108 6836500.731687435, 228877.2393257074 6836500.738572972, 228877.3063257074 6836501.316572972, 228877.30706194794 6836501.322603839, 228877.38106194793 6836501.89960384, 228877.38212905853 6836501.907433544, 228877.46512905852 6836502.4824335445, 228877.4660144749 6836502.488319474, 228877.5560144749 6836503.0633194735, 228877.5572997597 6836503.071126219, 228877.65629975972 6836503.64412622, 228877.65724516468 6836503.6494277725, 228877.76224516466 6836504.220427772, 228877.7638421714 6836504.228718301, 228877.87884217143 6836504.799718302, 228877.87997315198 6836504.805176495, 228878.00097315197 6836505.373176495, 228878.00264554014 6836505.380739118, 228878.13264554014 6836505.947739118, 228878.13408091507 6836505.953824628, 228878.2710809151 6836506.518824628, 228878.2727476174 6836506.525497509, 228878.41774761738 6836507.089497509, 228878.4194593627 6836507.095975315, 228878.5714593627 6836507.655975316, 228878.57346534808 6836507.663153713, 228878.73446534807 6836508.223153712, 228878.7363002682 6836508.229383402, 228878.90430026822 6836508.786383402, 228878.90589787965 6836508.791577962, 228879.07989787965 6836509.346577962, 228879.0824010479 6836509.35433987, 228879.2654010479 6836509.90633987, 228879.2674967317 6836509.912525721, 228879.45749673172 6836510.4615257215, 228879.45985284582 6836510.468181238, 228879.65785284582 6836511.015181237, 228879.660118783 6836511.021315532, 228879.86511878303 6836511.5653155325, 228879.86735326346 6836511.571134887, 228880.07935326346 6836512.113134886, 228880.08250088137 6836512.120985697, 228880.30350088136 6836512.658985697, 228880.3057184829 6836512.664297017, 228880.5327184829 6836513.199297017, 228880.53549449524 6836513.205714434, 228880.76259240208 6836513.720791814, 228911.7888919255 6836602.2886645915, 228912.0288928123 6836602.979787477, 228912.26175956795 6836603.671421645, 228912.49198672548 6836604.366089734, 228941.70020390028 6836694.020686853, 228941.96819168274 6836694.857526026, 228942.22904622075 6836695.695844808, 228942.48374595947 6836696.5355580095, 228942.72936130335 6836697.377809816, 228942.96716795393 6836698.221575673, 228943.19808142583 6836699.068590174, 228943.42194021432 6836699.916268787, 228943.63809519509 6836700.768935439, 228953.57386291516 6836740.604004169, 228953.57685263533 6836740.615415704, 228956.52279282128 6836751.342068596, 228956.57672554333 6836751.707714169, 228956.62752802795 6836752.098502512, 228956.6704383444 6836752.489571532, 228956.70560318406 6836752.882245575, 228956.73393704818 6836753.275988583, 228956.7544519156 6836753.66870176, 228956.76810717213 6836754.062753448, 228956.7729923227 6836754.457473614, 228956.7720138177 6836754.851811123, 228956.76323474493 6836755.245893946, 228956.74665286727 6836755.638981987, 228956.7222298747 6836756.032680627, 228956.69091939097 6836756.426018579, 228956.65287778378 6836756.818139761, 228956.60600123476 6836757.209754264, 228956.55325753463 6836757.599471604, 228956.49189574528 6836757.98809627, 228956.42245204697 6836758.377372212, 228956.34716727986 6836758.764551015, 228956.26416587672 6836759.14928693, 228956.1743260631 6836759.533059177, 228956.07670916288 6836759.914741257, 228955.97221258937 6836760.294640016, 228955.85994407773 6836760.673424211, 228955.7407783302 6836761.049480054, 228955.61497710008 6836761.422007727, 228955.4808394002 6836761.7930893935, 228955.34208067352 6836762.162461215, 228955.1950392161 6836762.526656614, 228955.0405091253 6836762.890486954, 228954.88045033364 6836763.249643266, 228954.71235852988 6836763.60634971, 228954.53606839463 6836763.965862739, 228955.43393160534 6836764.406137261, 228955.61193160535 6836764.043137261))</t>
  </si>
  <si>
    <t>['EV6 S47D1 m9464 KD3 m218-266']</t>
  </si>
  <si>
    <t>LINESTRING Z (226376.119 6837208.615 -999999, 226373.226 6837220.42 -999999, 226369.462 6837237.299 -999999, 226371.365 6837251.502 -999999)</t>
  </si>
  <si>
    <t>POLYGON ((226372.74037016527 6837220.300988809, 226372.7379868781 6837220.311173566, 226368.97398687812 6837237.190173565, 226368.96630102774 6837237.233558966, 226368.9624645085 6837237.277452546, 226368.9625071127 6837237.321513453, 226368.96642850948 6837237.365399531, 226370.86942850947 6837251.568399532, 226371.8605714905 6837251.435600469, 226369.96940059183 6837237.320886714, 226373.71287474709 6837220.533931277, 226376.60462983474 6837208.734011191, 226375.63337016528 6837208.4959888095, 226372.74037016527 6837220.300988809))</t>
  </si>
  <si>
    <t>['EV6 S47D1 m9464 KD3 m268-296']</t>
  </si>
  <si>
    <t>LINESTRING Z (226376.793 6837206.068 -999999, 226383.875 6837194.067 -999999, 226391.975 6837180.788 -999999, 226397.529 6837174.401 -999999)</t>
  </si>
  <si>
    <t>POLYGON ((226384.3037563749 6837194.324257282, 226392.37992856707 6837181.084320178, 226397.90630021755 6837174.729092282, 226397.15169978247 6837174.072907717, 226391.59769978246 6837180.459907717, 226391.57149955007 6837180.4927248955, 226391.5481454798 6837180.52762485, 226383.4481454798 6837193.80662485, 226383.4443875149 6837193.812888041, 226376.3623875149 6837205.813888041, 226377.2236124851 6837206.322111959, 226384.3037563749 6837194.324257282))</t>
  </si>
  <si>
    <t>['EV6 S47D1 m10669-10718']</t>
  </si>
  <si>
    <t>LINESTRING Z (225327.015 6837941.071 -999999, 225341.616 6837931.109 -999999, 225361.15 6837916.763 -999999, 225365.356 6837913.322 -999999, 225367.608 6837909.936 -999999, 225365.354 6837907.594 -999999)</t>
  </si>
  <si>
    <t>POLYGON ((225341.8977991826 6837931.52202448, 225341.91196438437 6837931.51199514, 225361.44596438436 6837917.165995141, 225361.4666038637 6837917.149990948, 225365.6726038637 6837913.708990947, 225365.7094439873 6837913.67566276, 225365.7427949645 6837913.638843266, 225365.77232755933 6837913.598895943, 225368.02432755934 6837910.212895943, 225368.0491060049 6837910.171426193, 225368.06976679378 6837910.127758776, 225368.08611706068 6837910.08230132, 225368.09800417844 6837910.0354781635, 225368.1053171826 6837909.987726394, 225368.10798780742 6837909.9394917665, 225368.105991123 6837909.8912245445, 225368.0993457681 6837909.843375294, 225368.0881137761 6837909.796390681, 225368.07239999587 6837909.750709299, 225368.05235111315 6837909.706757577, 225368.0281542812 6837909.664945799, 225368.0000353737 6837909.625664269, 225367.96825687625 6837909.589279676, 225365.71425687624 6837907.247279676, 225364.99374312375 6837907.9407203235, 225366.96931823614 6837909.993425254, 225364.98126550013 6837912.982566712, 225360.8435068077 6837916.367737341, 225341.32703116932 6837930.700867243, 225326.73320081743 6837940.657975521, 225327.2967991826 6837941.48402448, 225341.8977991826 6837931.52202448))</t>
  </si>
  <si>
    <t>['EV6 S47D1 m11412-11559']</t>
  </si>
  <si>
    <t>LINESTRING Z (224505.924 6838038.703 -999999, 224506.14 6838039.027 -999999, 224506.363 6838039.348 -999999, 224506.592 6838039.663 -999999, 224506.828 6838039.974 -999999, 224507.07 6838040.28 -999999, 224507.319 6838040.581 -999999, 224507.573 6838040.877 -999999, 224507.832 6838041.167 -999999, 224508.098 6838041.453 -999999, 224508.37 6838041.732 -999999, 224508.647 6838042.007 -999999, 224508.93 6838042.275 -999999, 224509.218 6838042.538 -999999, 224509.511 6838042.795 -999999, 224509.811 6838043.046 -999999, 224510.114 6838043.29 -999999, 224510.422 6838043.529 -999999, 224510.736 6838043.762 -999999, 224511.053 6838043.988 -999999, 224511.376 6838044.207 -999999, 224511.703 6838044.42 -999999, 224512.034 6838044.626 -999999, 224512.369 6838044.826 -999999, 224512.708 6838045.018 -999999, 224513.051 6838045.204 -999999, 224513.398 6838045.382 -999999, 224513.748 6838045.554 -999999, 224514.102 6838045.719 -999999, 224514.458 6838045.876 -999999, 224514.818 6838046.026 -999999, 224515.182 6838046.169 -999999, 224515.548 6838046.304 -999999, 224515.916 6838046.432 -999999, 224516.287 6838046.552 -999999, 224516.661 6838046.665 -999999, 224517.036 6838046.77 -999999, 224517.414 6838046.867 -999999, 224517.793 6838046.958 -999999, 224518.175 6838047.04 -999999, 224518.557 6838047.114 -999999, 224518.942 6838047.181 -999999, 224519.327 6838047.24 -999999, 224519.714 6838047.291 -999999, 224520.101 6838047.334 -999999, 224520.49 6838047.369 -999999, 224520.879 6838047.397 -999999, 224521.268 6838047.417 -999999, 224521.659 6838047.428 -999999, 224522.049 6838047.432 -999999, 224591.722 6838055.477 -999999, 224647.862 6838066.463 -999999)</t>
  </si>
  <si>
    <t>POLYGON ((224505.72397485285 6838039.304350098, 224505.72936496747 6838039.31226982, 224505.95236496747 6838039.63326982, 224505.95857644596 6838039.642009505, 224506.18757644595 6838039.957009505, 224506.19369689765 6838039.965249298, 224506.42969689766 6838040.276249299, 224506.43582120794 6838040.28415447, 224506.67782120794 6838040.59015447, 224506.68473781165 6838040.598705266, 224506.93373781163 6838040.899705266, 224506.9395527339 6838040.906606776, 224507.19355273392 6838041.202606776, 224507.2000768058 6838041.210058991, 224507.4590768058 6838041.500058991, 224507.46587693942 6838041.507520051, 224507.73187693942 6838041.79352005, 224507.7399838955 6838041.802033621, 224508.0119838955 6838042.081033621, 224508.01772991192 6838042.086832052, 224508.29472991193 6838042.3618320525, 224508.3031988474 6838042.370043755, 224508.5861988474 6838042.638043755, 224508.59283492173 6838042.6442149915, 224508.88083492173 6838042.907214991, 224508.88829381057 6838042.913890714, 224509.18129381057 6838043.170890714, 224509.19015402804 6838043.178481241, 224509.49015402803 6838043.429481241, 224509.49740018937 6838043.435429273, 224509.8004001894 6838043.679429273, 224509.80747384223 6838043.685021157, 224510.11547384222 6838043.924021157, 224510.12404993357 6838043.930529274, 224510.43804993358 6838044.163529274, 224510.44574548685 6838044.169126906, 224510.76274548686 6838044.395126906, 224510.77240597006 6838044.401844162, 224511.09540597003 6838044.620844162, 224511.10310064637 6838044.625958164, 224511.4301006464 6838044.838958164, 224511.43880796694 6838044.844502732, 224511.76980796695 6838045.050502732, 224511.77769504106 6838045.055310806, 224512.11269504105 6838045.255310806, 224512.1225908644 6838045.261066131, 224512.4615908644 6838045.453066131, 224512.4696520457 6838045.457534132, 224512.8126520457 6838045.643534131, 224512.82278962003 6838045.648882032, 224513.16978962 6838045.826882033, 224513.17747558095 6838045.830741553, 224513.52747558095 6838046.002741552, 224513.53676754134 6838046.007189638, 224513.89076754136 6838046.172189638, 224513.90024317472 6838046.176486812, 224514.25624317472 6838046.333486812, 224514.2656923083 6838046.337538462, 224514.6256923083 6838046.487538462, 224514.6351738136 6838046.491375746, 224514.99917381362 6838046.634375746, 224515.00896914434 6838046.638105876, 224515.37496914435 6838046.773105876, 224515.38373968698 6838046.776248397, 224515.75173968697 6838046.904248398, 224515.76212399866 6838046.9077333035, 224516.13312399868 6838047.027733304, 224516.1423870599 6838047.0306304395, 224516.51638705988 6838047.143630439, 224516.5261850378 6838047.14648201, 224516.9011850378 6838047.25148201, 224516.91171985024 6838047.254308212, 224517.28971985023 6838047.351308212, 224517.29726500684 6838047.353182004, 224517.67626500686 6838047.444182004, 224517.688060667 6838047.446863719, 224518.07006066697 6838047.52886372, 224518.07990913748 6838047.530874453, 224518.4619091375 6838047.604874453, 224518.47127541734 6838047.606596484, 224518.85627541735 6838047.673596484, 224518.86626081288 6838047.675230286, 224519.25126081286 6838047.734230286, 224519.26167334116 6838047.735714058, 224519.64867334117 6838047.786714058, 224519.6587842375 6838047.7879418675, 224520.04578423747 6838047.830941867, 224520.05619384896 6838047.831988362, 224520.44519384895 6838047.866988362, 224520.4541031542 6838047.867709751, 224520.84310315418 6838047.895709751, 224520.85332696798 6838047.8963404605, 224521.242326968 6838047.916340461, 224521.2539390672 6838047.916802252, 224521.6449390672 6838047.927802252, 224521.65387206496 6838047.9279737035, 224522.01767379933 6838047.931705003, 224591.6451942201 6838055.971453568, 224647.7659766283 6838066.953692891, 224647.9580233717 6838065.97230711, 224591.8180233717 6838054.98630711, 224591.77935291294 6838054.980300249, 224522.10635291293 6838046.935300249, 224522.05412793506 6838046.932026297, 224521.66859523894 6838046.928072115, 224521.28786966237 6838046.917361166, 224520.90978813876 6838046.897922527, 224520.530354731 6838046.870611125, 224520.15101643922 6838046.83648043, 224519.77427746027 6838046.794620544, 224519.39754074812 6838046.74497307, 224519.02274013293 6838046.6875360925, 224518.64741594082 6838046.622219934, 224518.27502519 6838046.550081412, 224517.9038533787 6838046.470405787, 224517.53451485853 6838046.381725562, 224517.16556298823 6838046.287047436, 224516.80072848452 6838046.184893776, 224516.43625852384 6838046.074773173, 224516.07508723627 6838045.957952271, 224515.71666024 6838045.833282012, 224515.35994807063 6838045.70170785, 224515.00558657464 6838045.562494406, 224514.65505306798 6838045.416438778, 224514.30851700902 6838045.263612482, 224513.96390136398 6838045.102986546, 224513.62238400127 6838044.935155157, 224513.28430980528 6838044.761733811, 224512.95039915378 6838044.580662729, 224512.62038998512 6838044.393754882, 224512.29427069373 6838044.199056797, 224511.97157432188 6838043.998224613, 224511.6527702973 6838043.790563277, 224511.3384638093 6838043.577457639, 224511.0301289102 6838043.357635282, 224510.72427315536 6838043.130678623, 224510.42408818784 6838042.897742885, 224510.1282507665 6838042.659510771, 224509.83632037984 6838042.415262347, 224509.5514690235 6838042.165409792, 224509.2705110969 6838041.908840575, 224508.99508406248 6838041.648012146, 224508.72516674286 6838041.380043688, 224508.46011964144 6838041.108175522, 224508.20156078084 6838040.830176146, 224507.94922213777 6838040.547634807, 224507.70138587058 6838040.258817741, 224507.45876751485 6838039.965532097, 224507.2232804665 6838039.667767483, 224506.9934056254 6838039.364839195, 224506.7705761563 6838039.058327044, 224506.55336801638 6838038.745664205, 224506.34002514716 6838038.425649902, 224505.50797485284 6838038.980350098, 224505.72397485285 6838039.304350098))</t>
  </si>
  <si>
    <t>['EV6 S47D1 m10843-10861']</t>
  </si>
  <si>
    <t>LINESTRING Z (225133.792 6837844.864 -999999, 225133.193 6837845.193 -999999, 225132.588 6837845.515 -999999, 225131.982 6837845.831 -999999, 225131.371 6837846.139 -999999, 225130.757 6837846.441 -999999, 225130.139 6837846.737 -999999, 225129.519 6837847.024 -999999, 225128.894 6837847.305 -999999, 225128.268 6837847.578 -999999, 225127.638 6837847.845 -999999, 225127.004 6837848.105 -999999, 225126.368 6837848.356 -999999, 225125.73 6837848.601 -999999, 225125.216 6837848.827 -999999, 225124.706 6837849.061 -999999, 225124.199 6837849.302 -999999, 225123.696 6837849.549 -999999, 225123.196 6837849.804 -999999, 225122.7 6837850.066 -999999, 225122.207 6837850.334 -999999, 225121.719 6837850.609 -999999, 225121.233 6837850.891 -999999, 225120.753 6837851.179 -999999, 225120.276 6837851.475 -999999)</t>
  </si>
  <si>
    <t>POLYGON ((225132.95517870173 6837844.753168366, 225132.3549466403 6837845.072630718, 225131.7538641854 6837845.386066454, 225131.1481215798 6837845.691416246, 225130.5386615193 6837845.991183246, 225129.92597811567 6837846.284636785, 225129.31145866786 6837846.569099821, 225128.6915424474 6837846.847814153, 225128.0705058916 6837847.118649584, 225127.44558333565 6837847.383497715, 225126.8173597592 6837847.641128835, 225126.1865989618 6837847.8900611615, 225125.55075561203 6837848.134232981, 225125.52875006804 6837848.143289977, 225125.01475006802 6837848.369289977, 225125.00748856596 6837848.372552003, 225124.49748856598 6837848.606552003, 225124.49134442484 6837848.609421674, 225123.98434442483 6837848.850421675, 225123.9786111162 6837848.8531918675, 225123.4756111162 6837849.100191867, 225123.46883695867 6837849.103582271, 225122.96883695867 6837849.358582271, 225122.9624657803 6837849.361889415, 225122.4664657803 6837849.6238894155, 225122.4611984796 6837849.6267121285, 225121.9681984796 6837849.894712129, 225121.9615304187 6837849.898403071, 225121.4735304187 6837850.173403071, 225121.4680610565 6837850.176530757, 225120.9820610565 6837850.458530757, 225120.9757521225 6837850.462253537, 225120.4957521225 6837850.750253537, 225120.48936291263 6837850.754152396, 225120.01236291265 6837851.050152396, 225120.53963708738 6837851.899847603, 225121.01345709813 6837851.60582093, 225121.48710705692 6837851.321630955, 225121.9672141033 6837851.043050324, 225122.44914961507 6837850.771467811, 225122.93617626774 6837850.506714986, 225123.4263605227 6837850.247787013, 225123.91978880222 6837849.996138589, 225124.41653104583 6837849.752211485, 225124.9175932466 6837849.514033988, 225125.42089364497 6837849.283107923, 225125.9203549525 6837849.063500422, 225126.54724438797 6837848.822767018, 225126.55154996688 6837848.821090754, 225127.18754996688 6837848.570090755, 225127.1937141202 6837848.567610584, 225127.8277141202 6837848.3076105835, 225127.83310601686 6837848.305362511, 225128.46310601686 6837848.038362511, 225128.46787158327 6837848.036313593, 225129.09387158326 6837847.763313593, 225129.09903063337 6837847.761028989, 225129.72403063337 6837847.48002899, 225129.72903946292 6837847.477743787, 225130.34903946292 6837847.190743786, 225130.35498590858 6837847.187943552, 225130.9729859086 6837846.891943552, 225130.97767911913 6837846.889665495, 225131.59167911913 6837846.587665495, 225131.5960670784 6837846.58548047, 225132.2070670784 6837846.27748047, 225132.2131829882 6837846.2743445905, 225132.8191829882 6837845.95834459, 225132.8229153712 6837845.95637826, 225133.4279153712 6837845.63437826, 225133.43370656398 6837845.631246906, 225134.03270656397 6837845.302246906, 225133.551293436 6837844.425753094, 225132.95517870173 6837844.753168366))</t>
  </si>
  <si>
    <t>['EV6 S47D1 m10875-10898']</t>
  </si>
  <si>
    <t>LINESTRING Z (225110.871 6837858.228 -999999, 225110.164 6837858.426 -999999, 225109.454 6837858.614 -999999, 225108.742 6837858.795 -999999, 225108.029 6837858.969 -999999, 225107.314 6837859.135 -999999, 225106.597 6837859.293 -999999, 225105.878 6837859.442 -999999, 225105.158 6837859.586 -999999, 225104.436 6837859.72 -999999, 225103.713 6837859.847 -999999, 225102.988 6837859.965 -999999, 225102.262 6837860.076 -999999, 225101.535 6837860.18 -999999, 225100.954 6837860.275 -999999, 225100.373 6837860.378 -999999, 225099.794 6837860.489 -999999, 225099.217 6837860.606 -999999, 225098.64 6837860.731 -999999, 225098.066 6837860.864 -999999, 225097.493 6837861.004 -999999, 225096.922 6837861.151 -999999, 225096.353 6837861.305 -999999, 225095.786 6837861.467 -999999, 225095.221 6837861.636 -999999, 225094.658 6837861.812 -999999, 225094.098 6837861.995 -999999, 225093.54 6837862.185 -999999, 225092.984 6837862.383 -999999, 225092.431 6837862.587 -999999, 225091.881 6837862.799 -999999, 225091.333 6837863.018 -999999, 225090.789 6837863.243 -999999)</t>
  </si>
  <si>
    <t>POLYGON ((225110.03258141273 6837857.943566812, 225109.3284108163 6837858.130023252, 225108.62113254252 6837858.309822925, 225107.91318771808 6837858.4825892635, 225107.20365846364 6837858.647319133, 225106.492465786 6837858.804039416, 225105.77823957746 6837858.952050133, 225105.06334653992 6837859.09502874, 225104.34712608086 6837859.227956083, 225103.62958351301 6837859.3539974475, 225102.91005290486 6837859.471107257, 225102.1888112191 6837859.581379746, 225101.46419400786 6837859.685038879, 225101.45431587292 6837859.686552868, 225100.87331587292 6837859.781552869, 225100.86672064022 6837859.782676618, 225100.2857206402 6837859.885676617, 225100.27885942618 6837859.886942414, 225099.69985942618 6837859.997942414, 225099.6946357157 6837859.998972716, 225099.11763571572 6837860.115972715, 225099.11113680873 6837860.117335509, 225098.53413680874 6837860.242335509, 225098.5271364571 6837860.243904711, 225097.95313645707 6837860.376904711, 225097.94732678047 6837860.378287464, 225097.37432678047 6837860.518287464, 225097.36834312888 6837860.519788615, 225096.79734312888 6837860.666788615, 225096.7913745818 6837860.668364527, 225096.22237458182 6837860.822364527, 225096.2156394357 6837860.824238026, 225095.64863943568 6837860.986238026, 225095.64271502226 6837860.98797034, 225095.07771502226 6837861.15697034, 225095.07181423964 6837861.158775096, 225094.50881423964 6837861.334775096, 225094.50268955308 6837861.336733059, 225093.94268955308 6837861.519733059, 225093.93683575545 6837861.521686059, 225093.37883575546 6837861.711686059, 225093.37226120362 6837861.713975906, 225092.8162612036 6837861.911975907, 225092.81095078302 6837861.913900897, 225092.25795078304 6837862.117900897, 225092.25116945687 6837862.120458496, 225091.70116945685 6837862.332458495, 225091.6954507494 6837862.334703246, 225091.1474507494 6837862.553703247, 225091.14189912405 6837862.555960548, 225090.59789912403 6837862.780960548, 225090.98010087595 6837863.705039452, 225091.52133185172 6837863.481184728, 225092.0636967974 6837863.264436694, 225092.60744910222 6837863.054844896, 225093.15439945765 6837862.853076592, 225093.70445949383 6837862.657191902, 225094.25624338296 6837862.469308499, 225094.81025438604 6837862.288265618, 225095.36724094403 6837862.114145486, 225095.9263280961 6837861.9469141085, 225096.4869995959 6837861.78672225, 225097.0496459587 6837861.634441864, 225097.61466966567 6837861.488980419, 225098.1817725531 6837861.35042125, 225098.7493689749 6837861.218905006, 225099.31961825016 6837861.095367468, 225099.890755169 6837860.979556343, 225100.46371441637 6837860.869714414, 225101.03798549724 6837860.7679073205, 225101.61075262414 6837860.674253487, 225102.33280599213 6837860.5709611215, 225102.33756813806 6837860.570256469, 225103.06356813808 6837860.459256468, 225103.06832237937 6837860.4585061455, 225103.79332237935 6837860.340506146, 225103.79950407348 6837860.339460197, 225104.52250407348 6837860.212460197, 225104.52723967956 6837860.211604842, 225105.24923967957 6837860.077604842, 225105.25605806778 6837860.076290338, 225105.97605806778 6837859.932290338, 225105.97946041526 6837859.931597574, 225106.69846041527 6837859.7825975735, 225106.7045997735 6837859.781285048, 225107.42159977352 6837859.623285049, 225107.4270763957 6837859.62204592, 225108.14207639568 6837859.45604592, 225108.14754082228 6837859.454744864, 225108.86054082226 6837859.280744865, 225108.8651885542 6837859.27958702, 225109.5771885542 6837859.09858702, 225109.5819837026 6837859.097342706, 225110.2919837026 6837858.909342706, 225110.29884022253 6837858.907474936, 225111.00584022255 6837858.709474936, 225110.73615977747 6837857.746525064, 225110.03258141273 6837857.943566812))</t>
  </si>
  <si>
    <t>['EV6 S47D1 m11054-11056']</t>
  </si>
  <si>
    <t>LINESTRING Z (224940.302 6837839.467 -999999, 224942.404 6837839.454 -999999, 224942.378 6837837.332 -999999)</t>
  </si>
  <si>
    <t>POLYGON Z ((224940.302 6837839.467 -999999, 224942.404 6837839.454 -999999, 224942.378 6837837.332 -999999, 224940.302 6837839.467 -999999))</t>
  </si>
  <si>
    <t>['EV6 S47D1 m11052-11056']</t>
  </si>
  <si>
    <t>LINESTRING Z (224939.895 6837837.026 -999999, 224944.913 6837841.881 -999999)</t>
  </si>
  <si>
    <t>POLYGON ((224944.5653310389 6837842.240341472, 224945.2606689611 6837841.521658528, 224940.2426689611 6837836.666658527, 224939.5473310389 6837837.385341472, 224944.5653310389 6837842.240341472))</t>
  </si>
  <si>
    <t>['EV6 S47D1 m6529-6541']</t>
  </si>
  <si>
    <t>LINESTRING Z (229161.274 6836811.993 -999999, 229159.885 6836808.303 -999999, 229148.122 6836799.224 -999999)</t>
  </si>
  <si>
    <t>POLYGON ((229160.3529453397 6836808.126854722, 229160.33473093034 6836808.084500366, 229160.31269262746 6836808.044003829, 229160.28701781455 6836808.00570944, 229160.25792479498 6836807.969942802, 229160.2256609357 6836807.937008024, 229160.19050056415 6836807.907185138, 229148.42750056414 6836798.828185138, 229147.81649943587 6836799.6198148625, 229159.46708241256 6836808.612048378, 229160.80605466032 6836812.169145278, 229161.7419453397 6836811.816854722, 229160.3529453397 6836808.126854722))</t>
  </si>
  <si>
    <t>['EV6 S47D1 m14087-14219']</t>
  </si>
  <si>
    <t>LINESTRING Z (222108.648 6838798.407 -999999, 222187.953 6838741.53 -999999, 222202.433 6838733.401 -999999, 222222.755 6838734.844 -999999)</t>
  </si>
  <si>
    <t>POLYGON ((222188.2219044948 6838741.952441436, 222202.5470796456 6838733.910359336, 222222.71958577106 6838735.342744255, 222222.79041422895 6838734.345255744, 222202.46841422893 6838732.902255744, 222202.41990894475 6838732.901171405, 222202.37152692277 6838732.904793329, 222202.3237237161 6838732.913087412, 222202.276949428 6838732.925975559, 222202.23164447362 6838732.94333642, 222202.18823543322 6838732.965006528, 222187.70823543324 6838741.094006529, 222187.66159922932 6838741.123692739, 222108.3565992293 6838798.000692738, 222108.93940077067 6838798.813307261, 222188.2219044948 6838741.952441436))</t>
  </si>
  <si>
    <t>['EV6 S47D1 m14201-14237']</t>
  </si>
  <si>
    <t>LINESTRING Z (222091.659 6838747.766 -999999, 222062.91 6838770.388 -999999)</t>
  </si>
  <si>
    <t>POLYGON ((222062.60080620312 6838769.995063369, 222063.2191937969 6838770.780936631, 222091.9681937969 6838748.158936631, 222091.34980620313 6838747.373063369, 222062.60080620312 6838769.995063369))</t>
  </si>
  <si>
    <t>['EV6 S47D1 m14238-14250']</t>
  </si>
  <si>
    <t>LINESTRING Z (222043.302 6838767.304 -999999, 222051.934 6838767.331 -999999, 222056.498 6838768.095 -999999, 222062.84 6838772.036 -999999)</t>
  </si>
  <si>
    <t>POLYGON ((222051.89166341178 6838767.830870022, 222056.3180103539 6838768.57182731, 222062.576096907 6838772.46068242, 222063.103903093 6838771.611317581, 222056.761903093 6838767.67031758, 222056.71929122842 6838767.646636094, 222056.67457569533 6838767.627216905, 222056.6281815745 6838767.612244619, 222056.58054990403 6838767.601861567, 222052.01654990404 6838766.837861568, 222051.97619652352 6838766.832783729, 222051.9355639405 6838766.831002446, 222043.30356394048 6838766.804002445, 222043.3004360595 6838767.803997554, 222051.89166341178 6838767.830870022))</t>
  </si>
  <si>
    <t>['EV6 S47D1 m6559-6563']</t>
  </si>
  <si>
    <t>LINESTRING Z (229151.922 6836958.288 -999999, 229152.123 6836953.7 -999999, 229157.056 6836933.725 -999999, 229159.274 6836924.216 -999999)</t>
  </si>
  <si>
    <t>POLYGON ((229152.62034357048 6836953.771582551, 229157.5414166244 6836933.844877858, 229157.54292929088 6836933.838577575, 229159.76092929087 6836924.329577575, 229158.78707070914 6836924.102422425, 229156.56980663355 6836933.6082673725, 229151.63758337562 6836953.580122142, 229151.62809984537 6836953.6287691295, 229151.62347913807 6836953.678116022, 229151.42247913807 6836958.266116021, 229152.4215208619 6836958.309883978, 229152.62034357048 6836953.771582551))</t>
  </si>
  <si>
    <t>['EV6 S47D1 m6543-6548']</t>
  </si>
  <si>
    <t>LINESTRING Z (229146.454 6836802.163 -999999, 229139.853 6836783.23 -999999, 229133.951 6836766.505 -999999, 229129.658 6836754.31 -999999)</t>
  </si>
  <si>
    <t>POLYGON ((229140.32512749778 6836783.06539251, 229140.32450349355 6836783.063613536, 229134.4225668346 6836766.33879303, 229130.12962995443 6836754.143972333, 229129.18637004556 6836754.476027667, 229133.47937004556 6836766.671027667, 229139.38118282545 6836783.3954975605, 229145.98187250222 6836802.32760749, 229146.92612749778 6836801.998392509, 229140.32512749778 6836783.06539251))</t>
  </si>
  <si>
    <t>['EV6 S47D1 m10974-11042']</t>
  </si>
  <si>
    <t>LINESTRING Z (225092.283 6838307.471 -999999, 225100.964 6838309.258 -999999, 225113.369 6838313.289 -999999, 225127.63 6838312.46 -999999, 225153.354 6838306.594 -999999, 225165.965 6838307.673 -999999, 225177.833 6838313.232 -999999, 225185.283 6838320.275 -999999)</t>
  </si>
  <si>
    <t>POLYGON ((225100.83593798516 6838309.742122033, 225113.21447863345 6838313.764524076, 225113.2593370756 6838313.776825832, 225113.30514459035 6838313.784905723, 225113.35150473868 6838313.788693822, 225113.3980162989 6838313.788157344, 225127.6590162989 6838312.959157344, 225127.70033285534 6838312.955028574, 225127.74116436692 6838312.94748588, 225153.38910425713 6838307.098830328, 225165.83359960106 6838308.163584153, 225177.548010325 6838313.650642564, 225184.93951069642 6838320.638338821, 225185.62648930357 6838319.91166118, 225178.1764893036 6838312.868661179, 225178.13595099983 6838312.834230353, 225178.09198470163 6838312.804300427, 225178.04508790246 6838312.779210069, 225166.17708790244 6838307.22021007, 225166.1363910184 6838307.203292518, 225166.09436246718 6838307.190024481, 225166.05132880065 6838307.180509048, 225166.00762438012 6838307.174820151, 225153.3966243801 6838306.09582015, 225153.34508420134 6838306.094079497, 225153.293638866 6838306.097656839, 225153.24283563308 6838306.10651412, 225127.55942378295 6838311.963258558, 225113.4339776689 6838312.7843787335, 225101.11852136656 6838308.782475924, 225101.0648121344 6838308.768268529, 225092.3838121344 6838306.981268529, 225092.1821878656 6838307.960731471, 225100.83593798516 6838309.742122033))</t>
  </si>
  <si>
    <t>['EV6 S47D1 m10940-10944']</t>
  </si>
  <si>
    <t>LINESTRING Z (225248.838 6838384.487 -999999, 225255.399 6838390.477 -999999, 225258.063 6838394.646 -999999, 225260.073 6838397.707 -999999)</t>
  </si>
  <si>
    <t>POLYGON ((225255.0131806955 6838390.801795119, 225257.64167352358 6838394.915228528, 225257.6450523924 6838394.920444525, 225259.65505239242 6838397.9814445255, 225260.49094760758 6838397.432555475, 225258.48265325464 6838394.37415298, 225255.82032647642 6838390.207771472, 225255.79521195198 6838390.172014608, 225255.76707148945 6838390.13858697, 225255.73612000243 6838390.10774385, 225249.17512000242 6838384.11774385, 225248.50087999756 6838384.85625615, 225255.0131806955 6838390.801795119))</t>
  </si>
  <si>
    <t>['EV6 S47D1 m11084-11121']</t>
  </si>
  <si>
    <t>LINESTRING Z (224969.255 6838211.358 -999999, 224970.852 6838215.506 -999999, 224972.517 6838217.408 -999999, 224973.672 6838217.84 -999999, 224982.287 6838220.954 -999999, 224990.427 6838223.937 -999999, 224996.661 6838225.818 -999999, 225003.38 6838228.425 -999999, 225019.342 6838236.32 -999999)</t>
  </si>
  <si>
    <t>POLYGON ((224970.38538810797 6838215.6856478285, 224970.40295699728 6838215.72590994, 224970.42399196594 6838215.764474608, 224970.44833064903 6838215.801044158, 224970.4757851805 6838215.835336317, 224972.14078518047 6838217.737336317, 224972.17509274985 6838217.772827948, 224972.21273277304 6838217.804763726, 224972.25333838572 6838217.832832382, 224972.29651381876 6838217.856760341, 224972.3418382559 6838217.876314385, 224973.4968382559 6838218.308314385, 224973.50203157845 6838218.310224134, 224982.11599375648 6838221.423849, 224990.25495741036 6838224.406469218, 224990.2825654225 6838224.415684293, 224996.49810847756 6838226.291115234, 225003.17833014863 6838228.88306908, 225019.12032702996 6838236.768175295, 225019.56367297005 6838235.871824706, 225003.60167297005 6838227.9768247055, 225003.56086484814 6838227.958858491, 224996.84186484813 6838225.351858491, 224996.8054345775 6838225.339315707, 224990.58537274643 6838223.462521304, 224982.45904258965 6838220.484530781, 224982.45696842155 6838220.483775866, 224973.8445703327 6838217.3707163595, 224972.81020344808 6838216.983836278, 224971.28670591227 6838215.243480534, 224969.72161189205 6838211.178352172, 224968.78838810796 6838211.537647828, 224970.38538810797 6838215.6856478285))</t>
  </si>
  <si>
    <t>['EV6 S47D1 m15577-15582']</t>
  </si>
  <si>
    <t>LINESTRING Z (221010.857 6839607.088 -999999, 221011.436 6839607.013 -999999, 221012.017 6839606.944 -999999, 221012.599 6839606.884 -999999, 221013.181 6839606.832 -999999, 221013.763 6839606.787 -999999, 221014.348 6839606.749 -999999, 221014.931 6839606.719 -999999, 221015.516 6839606.696 -999999, 221016.1 6839606.681 -999999, 221016.685 6839606.674 -999999, 221017.269 6839606.673 -999999, 221017.854 6839606.681 -999999, 221018.438 6839606.697 -999999, 221019.022 6839606.72 -999999, 221019.606 6839606.751 -999999, 221020.19 6839606.789 -999999, 221020.773 6839606.835 -999999, 221021.355 6839606.888 -999999, 221021.937 6839606.948 -999999, 221022.518 6839607.016 -999999, 221023.098 6839607.093 -999999, 221023.676 6839607.175 -999999, 221024.253 6839607.267 -999999, 221024.83 6839607.365 -999999, 221025.405 6839607.471 -999999, 221025.979 6839607.584 -999999, 221026.632 6839607.766 -999999, 221027.287 6839607.942 -999999, 221027.944 6839608.11 -999999, 221028.604 6839608.271 -999999, 221029.264 6839608.425 -999999, 221029.927 6839608.571 -999999, 221030.592 6839608.709 -999999, 221031.258 6839608.84 -999999, 221031.925 6839608.963 -999999, 221032.593 6839609.079 -999999, 221033.262 6839609.188 -999999, 221033.933 6839609.289 -999999, 221034.605 6839609.381 -999999, 221035.279 6839609.467 -999999, 221035.952 6839609.546 -999999, 221036.627 6839609.616 -999999, 221037.303 6839609.679 -999999, 221037.979 6839609.734 -999999, 221038.655 6839609.782 -999999, 221039.334 6839609.822 -999999, 221040.011 6839609.855 -999999, 221040.689 6839609.879 -999999, 221041.367 6839609.896 -999999, 221042.046 6839609.906 -999999, 221042.724 6839609.908 -999999, 221043.402 6839609.902 -999999, 221044.081 6839609.888 -999999, 221044.759 6839609.868 -999999, 221045.437 6839609.839 -999999, 221046.114 6839609.803 -999999, 221052.444 6839609.387 -999999, 221058.774 6839608.997 -999999)</t>
  </si>
  <si>
    <t>POLYGON ((221011.49759986807 6839607.509198037, 221012.07212361682 6839607.440967161, 221012.64688766748 6839607.381713135, 221013.2225220319 6839607.330281886, 221013.79847886373 6839607.285749141, 221014.37705398415 6839607.248166484, 221014.95366979134 6839607.218495001, 221015.53224138104 6839607.195747743, 221016.10941078977 6839607.180923185, 221016.68841937112 6839607.173994877, 221017.26600939687 6839607.173005855, 221017.84373432328 6839607.180906366, 221018.42131438054 6839607.196730477, 221018.99890877111 6839607.219478201, 221019.57651426943 6839607.250138767, 221020.15410106757 6839607.28772147, 221020.730661467 6839607.333213371, 221021.30668848826 6839607.38566944, 221021.88229858218 6839607.445010686, 221022.45603378897 6839607.512160418, 221023.0299820724 6839607.588357001, 221023.60151486704 6839607.669439508, 221024.17177232998 6839607.760364441, 221024.74281094305 6839607.8573519355, 221025.31138414738 6839607.96216717, 221025.86341745174 6839608.070842715, 221026.49775966103 6839608.247642535, 221026.50225121964 6839608.2488718815, 221027.15725121964 6839608.4248718815, 221027.16313165607 6839608.4264137, 221027.82013165604 6839608.5944137005, 221027.82550496724 6839608.595756037, 221028.48550496725 6839608.756756037, 221028.49038519213 6839608.757920604, 221029.15038519213 6839608.911920604, 221029.1564707603 6839608.913300586, 221029.8194707603 6839609.059300587, 221029.82540508892 6839609.060569683, 221030.49040508893 6839609.198569682, 221030.49550069592 6839609.199599515, 221031.16150069592 6839609.330599515, 221031.1673249706 6839609.331709303, 221031.83432497058 6839609.454709304, 221031.83945390547 6839609.455627512, 221032.50745390548 6839609.571627512, 221032.5125953518 6839609.5724927485, 221033.1815953518 6839609.681492749, 221033.18757755883 6839609.6824302785, 221033.85857755883 6839609.783430278, 221033.86518023835 6839609.784379127, 221034.53718023837 6839609.876379128, 221034.5417148683 6839609.876978822, 221035.2157148683 6839609.962978822, 221035.22070781395 6839609.963590396, 221035.89370781393 6839610.042590396, 221035.90042473827 6839610.0433328785, 221036.5754247383 6839610.113332879, 221036.58060341736 6839610.113842703, 221037.25660341737 6839610.176842703, 221037.26245350568 6839610.177353269, 221037.93845350566 6839610.23235327, 221037.9435862049 6839610.232744287, 221038.6195862049 6839610.280744286, 221038.62559589688 6839610.281134649, 221039.3045958969 6839610.321134649, 221039.309656672 6839610.321407051, 221039.986656672 6839610.354407052, 221039.9933119639 6839610.354687036, 221040.6713119639 6839610.378687035, 221040.67646706593 6839610.3788429005, 221041.35446706592 6839610.3958429005, 221041.3596370277 6839610.395945784, 221042.0386370277 6839610.405945784, 221042.04452508062 6839610.405997825, 221042.7225250806 6839610.407997824, 221042.72842460554 6839610.4079804225, 221043.40642460555 6839610.401980422, 221043.41230708733 6839610.401893753, 221044.09130708734 6839610.387893753, 221044.09574284995 6839610.387782602, 221044.77374284994 6839610.367782601, 221044.78036689412 6839610.367543247, 221045.45836689413 6839610.3385432465, 221045.46355037604 6839610.33829458, 221046.14055037603 6839610.30229458, 221046.14678866952 6839610.301923745, 221052.47576824718 6839609.885990806, 221058.8047473845 6839609.496053703, 221058.7432526155 6839608.497946298, 221052.4132526155 6839608.887946297, 221052.41121133047 6839608.888076255, 221046.08432930772 6839609.303871346, 221045.413040677 6839609.339567639, 221044.7409443842 6839609.36831512, 221044.06847477774 6839609.388151982, 221043.39463389775 6839609.4020456085, 221042.7225250748 6839609.407993474, 221042.05041913863 6839609.406010861, 221041.37694818163 6839609.396092289, 221040.70411090998 6839609.379221738, 221040.0320166297 6839609.355430791, 221039.36087433656 6839609.322716321, 221038.6874101794 6839609.283042438, 221038.0169811036 6839609.235438008, 221037.34647303942 6839609.180884836, 221036.67598722415 6839609.1183987325, 221036.00693625087 6839609.049015669, 221035.33979019223 6839608.970702833, 221034.67055385342 6839608.885310659, 221034.00412425736 6839608.794073273, 221033.3394164145 6839608.694020379, 221032.67597755548 6839608.5859264545, 221032.01311296556 6839608.470818233, 221031.35159045682 6839608.348828324, 221030.69104982022 6839608.218902163, 221030.03156590127 6839608.082046854, 221029.37457631697 6839607.937370414, 221028.72005788653 6839607.784649447, 221028.0651853578 6839607.6249002395, 221027.41381329473 6839607.458339347, 221026.76399741802 6839607.283732332, 221026.11324033898 6839607.102357465, 221026.07557837447 6839607.0934160445, 221025.50157837447 6839606.980416045, 221025.49564651022 6839606.979285439, 221024.9206465102 6839606.873285439, 221024.91372301735 6839606.872059379, 221024.33672301736 6839606.774059379, 221024.33172823707 6839606.773237036, 221023.75472823708 6839606.681237035, 221023.746231018 6839606.679956967, 221023.168231018 6839606.597956968, 221023.1638019686 6839606.597348812, 221022.5838019686 6839606.5203488115, 221022.57612305498 6839606.51938978, 221021.99512305498 6839606.45138978, 221021.98827463502 6839606.450636037, 221021.40627463502 6839606.390636037, 221021.40034501397 6839606.3900604155, 221020.81834501395 6839606.337060415, 221020.81232888275 6839606.336549161, 221020.22932888276 6839606.290549161, 221020.22246559075 6839606.290055128, 221019.63846559075 6839606.252055128, 221019.6325037824 6839606.251702945, 221019.0485037824 6839606.220702944, 221019.04167652698 6839606.220387315, 221018.45767652697 6839606.197387315, 221018.45169349172 6839606.197187547, 221017.86769349172 6839606.181187547, 221017.8608369671 6839606.181046746, 221017.2758369671 6839606.173046746, 221017.26814383751 6839606.173000733, 221016.6841438375 6839606.174000733, 221016.6790175221 6839606.174035791, 221016.09401752212 6839606.1810357915, 221016.08716176785 6839606.181164848, 221015.50316176785 6839606.196164848, 221015.49635705695 6839606.196385995, 221014.91135705696 6839606.219385994, 221014.9053050085 6839606.219660669, 221014.32230500848 6839606.249660669, 221014.3155896726 6839606.250051535, 221013.7305896726 6839606.288051534, 221013.72445525017 6839606.288487911, 221013.14245525017 6839606.333487912, 221013.13650371286 6839606.333983855, 221012.55450371283 6839606.3859838545, 221012.5477253642 6839606.386636036, 221011.9657253642 6839606.446636037, 221011.95803399695 6839606.447489164, 221011.37703399695 6839606.516489164, 221011.37176977747 6839606.517142683, 221010.79276977747 6839606.592142683, 221010.9212302225 6839607.583857317, 221011.49759986807 6839607.509198037))</t>
  </si>
  <si>
    <t>['EV6 S47D1 m6520-6523']</t>
  </si>
  <si>
    <t>LINESTRING Z (229176.273 6836842.799 -999999, 229178.737 6836841.413 -999999, 229186.547 6836837.556 -999999, 229198.023 6836831.93 -999999, 229204.78 6836828.891 -999999, 229222.182 6836817.717 -999999)</t>
  </si>
  <si>
    <t>POLYGON ((229178.97043329207 6836841.855367514, 229186.76774772775 6836838.004632332, 229198.2356506508 6836832.382601847, 229204.9850897342 6836829.347002413, 229205.01827654312 6836829.330572848, 229205.05015636224 6836829.311732147, 229222.45215636224 6836818.137732147, 229221.91184363776 6836817.296267853, 229204.54106816728 6836828.450218267, 229197.8179102658 6836831.473997586, 229197.8029053115 6836831.481047521, 229186.3269053115 6836837.1070475215, 229186.3256001584 6836837.107689717, 229178.5156001584 6836840.964689717, 229178.49186938017 6836840.977212232, 229176.02786938017 6836842.363212232, 229176.5181306198 6836843.234787768, 229178.97043329207 6836841.855367514))</t>
  </si>
  <si>
    <t>['EV6 S47D1 m13283-13291']</t>
  </si>
  <si>
    <t>LINESTRING Z (222933.429 6838357.822 -999999, 222933.593 6838358.379 -999999, 222933.75 6838358.936 -999999, 222933.898 6838359.495 -999999, 222934.04 6838360.058 -999999, 222934.175 6838360.621 -999999, 222934.303 6838361.186 -999999, 222934.423 6838361.754 -999999, 222934.536 6838362.321 -999999, 222934.642 6838362.891 -999999, 222934.74 6838363.462 -999999, 222934.832 6838364.034 -999999, 222934.916 6838364.608 -999999, 222934.991 6838365.182 -999999, 222935.06 6838365.757 -999999, 222935.122 6838366.333 -999999, 222935.176 6838366.91 -999999, 222935.223 6838367.488 -999999, 222935.263 6838368.066 -999999, 222935.295 6838368.644 -999999, 222936.072 6838378.138 -999999)</t>
  </si>
  <si>
    <t>POLYGON ((222933.11253903914 6838358.51744017, 222933.2676722881 6838359.067817366, 222933.41390166729 6838359.620129683, 222933.55446627736 6838360.177438665, 222933.6880509208 6838360.734536105, 222933.8145518964 6838361.292919316, 222933.93320462876 6838361.85454225, 222934.04501522996 6838362.415574205, 222934.14979278916 6838362.9790007025, 222934.2467612989 6838363.543990693, 222934.3377821877 6838364.109903175, 222934.42071255733 6838364.676594034, 222934.4948742526 6838365.2441782085, 222934.56319809725 6838365.813543581, 222934.62449942422 6838366.3830526825, 222934.67789165414 6838366.953558547, 222934.72440087094 6838367.525522958, 222934.76395505384 6838368.0970809, 222934.79576451733 6838368.671639335, 222934.79666612888 6838368.684784224, 222935.57366612885 6838378.178784224, 222936.57033387112 6838378.097215776, 222935.79387128144 6838368.6097822795, 222935.7622354827 6838368.038360665, 222935.76180697986 6838368.031480486, 222935.72180697985 6838367.453480486, 222935.7213551252 6838367.447476313, 222935.6743551252 6838366.869476314, 222935.67382462355 6838366.863409827, 222935.61982462354 6838366.286409827, 222935.61912839653 6838366.279489651, 222935.55712839653 6838365.703489652, 222935.55643841924 6838365.69742739, 222935.48743841925 6838365.12242739, 222935.48678574408 6838365.1172196325, 222935.41178574407 6838364.5432196325, 222935.41073053205 6838364.53560041, 222935.32673053205 6838363.96160041, 222935.32565552415 6838363.954600859, 222935.23365552415 6838363.38260086, 222935.2327946923 6838363.377422277, 222935.1347946923 6838362.806422276, 222935.13357223623 6838362.799584812, 222935.02757223623 6838362.229584812, 222935.02635675017 6838362.223274581, 222934.91335675018 6838361.65627458, 222934.9122016641 6838361.650647536, 222934.7922016641 6838361.082647536, 222934.7906426164 6838361.075525212, 222934.66264261637 6838360.510525213, 222934.66121715872 6838360.504411517, 222934.52621715874 6838359.941411517, 222934.52481691822 6838359.935719357, 222934.3828169182 6838359.372719357, 222934.38134632236 6838359.367029954, 222934.23334632238 6838358.808029953, 222934.23124798323 6838358.800352004, 222934.07424798323 6838358.243352004, 222934.07264159428 6838358.237776981, 222933.9086415943 6838357.680776981, 222932.94935840572 6838357.963223019, 222933.11253903914 6838358.51744017))</t>
  </si>
  <si>
    <t>['EV6 S47D1 m5109-5170']</t>
  </si>
  <si>
    <t>LINESTRING Z (230375.077 6836170.906 -999999, 230371.393 6836174.488 -999999, 230364.74 6836181.15 -999999, 230350.945 6836192.723 -999999, 230347.091 6836198.248 -999999, 230342.039 6836205.113 -999999, 230340.767 6836206.805 -999999, 230340.236 6836207.322 -999999, 230338.56 6836207.834 -999999, 230329.512 6836210.232 -999999)</t>
  </si>
  <si>
    <t>POLYGON ((230371.04444412907 6836174.129518752, 230371.0392077131 6836174.134685667, 230364.40177130327 6836180.781101024, 230350.62364496867 6836192.339945247, 230350.59126061897 6836192.369632698, 230350.56160726587 6836192.402048273, 230350.53491384393 6836192.436941711, 230346.68453783804 6836197.956746441, 230341.63780586683 6836204.814587887, 230340.39053945147 6836206.473687553, 230339.97402575667 6836206.879219719, 230338.42286533123 6836207.353082569, 230329.38390690554 6836209.748686273, 230329.64009309444 6836210.715313727, 230338.68809309445 6836208.317313727, 230338.70608027314 6836208.312184644, 230340.38208027315 6836207.800184644, 230340.4268321234 6836207.784150517, 230340.46985898764 6836207.76393888, 230340.5107719338 6836207.739732431, 230340.54920113806 6836207.71174998, 230340.58479922768 6836207.680244467, 230341.11579922767 6836207.163244467, 230341.1423433241 6836207.135329213, 230341.16665960706 6836207.105453322, 230342.43865960705 6836205.413453322, 230342.44170772433 6836205.409355342, 230347.49370772432 6836198.544355342, 230347.50108615606 6836198.534058289, 230351.31715194817 6836193.06343984, 230365.06135503133 6836181.533054753, 230365.0937922869 6836181.503314333, 230371.74419306903 6836174.843917066, 230375.42555587093 6836171.264481248, 230374.72844412905 6836170.5475187525, 230371.04444412907 6836174.129518752))</t>
  </si>
  <si>
    <t>['EV6 S47D1 m5169-5184']</t>
  </si>
  <si>
    <t>LINESTRING Z (230330.704 6836229.552 -999999, 230330.428 6836225.933 -999999, 230330.207 6836223.057 -999999, 230330.022 6836220.205 -999999, 230329.854 6836217.567 -999999, 230329.8 6836215.194 -999999, 230329.745 6836212.821 -999999, 230329.322 6836210.141 -999999, 230329.272 6836209.826 -999999, 230328.704 6836207.639 -999999)</t>
  </si>
  <si>
    <t>POLYGON ((230330.9265522567 6836225.8949783305, 230330.70575854686 6836223.021661824, 230330.52097043727 6836220.1729283715, 230330.3536382425 6836217.545414504, 230330.2998705913 6836215.182624943, 230330.24486575596 6836212.809414405, 230330.23888596447 6836212.743047104, 230329.81588596446 6836210.063047104, 230329.76581776422 6836209.747616228, 230329.7559446484 6836209.700311587, 230329.1879446484 6836207.513311587, 230328.2200553516 6836207.764688414, 230328.78197448212 6836209.928274925, 230328.8281480651 6836210.219168497, 230329.24590798322 6836212.865968925, 230329.30013180504 6836215.205480363, 230329.3541294087 6836217.578375057, 230329.35501085856 6836217.598777928, 230329.52301085857 6836220.236777929, 230329.5230486161 6836220.237365359, 230329.7080486161 6836223.089365359, 230329.70846969986 6836223.095308483, 230329.9294586788 6836225.971165059, 230330.20544774333 6836229.59002167, 230331.20255225667 6836229.51397833, 230330.9265522567 6836225.8949783305))</t>
  </si>
  <si>
    <t>['EV6 S47D1 m5161-5207']</t>
  </si>
  <si>
    <t>LINESTRING Z (230287.039 6836219.838 -999999, 230286.562 6836217.439 -999999, 230287.201 6836216.05 -999999, 230294.267 6836209.477 -999999, 230304.42 6836199.828 -999999, 230312.34 6836192.89 -999999, 230319.343 6836189.605 -999999)</t>
  </si>
  <si>
    <t>POLYGON ((230287.0840353099 6836217.500596896, 230287.61392587674 6836216.348769044, 230294.6075513253 6836209.84309397, 230294.6114432111 6836209.839434648, 230304.75709385355 6836200.19741918, 230312.6163149979 6836193.312662071, 230319.55534113751 6836190.057671229, 230319.13065886247 6836189.152328772, 230312.12765886248 6836192.437328771, 230312.0862814605 6836192.459155593, 230312.04712511014 6836192.484754026, 230312.01053258585 6836192.513899982, 230304.09053258586 6836199.451899982, 230304.0755567889 6836199.465565352, 230293.92449297354 6836209.11272528, 230286.8604486747 6836215.68390603, 230286.8263990978 6836215.718829101, 230286.795914215 6836215.756903588, 230286.7692841198 6836215.7977671735, 230286.74676222348 6836215.841031001, 230286.1077622235 6836217.230031001, 230286.0884306613 6836217.278587777, 230286.07427326028 6836217.328897197, 230286.06544470257 6836217.380409586, 230286.06204144793 6836217.432562128, 230286.06410067988 6836217.484785009, 230286.07159989953 6836217.536507648, 230286.5485998995 6836219.935507649, 230287.52940010047 6836219.740492352, 230287.0840353099 6836217.500596896))</t>
  </si>
  <si>
    <t>['EV6 S47D1 m4652-4665']</t>
  </si>
  <si>
    <t>LINESTRING Z (230792.722 6835896.777 -999999, 230787.929 6835894.359 -999999, 230786.116 6835892.821 -999999, 230783.467 6835888.37 -999999, 230780.266 6835883.652 -999999, 230776.257 6835879.755 -999999, 230769.264 6835870.489 -999999)</t>
  </si>
  <si>
    <t>POLYGON ((230788.20719447284 6835893.939321514, 230786.50302653015 6835892.4936456755, 230783.89666361414 6835888.114286921, 230783.8807582596 6835888.089279315, 230780.6797582596 6835883.371279315, 230780.64911431025 6835883.330715974, 230780.6145098229 6835883.293473985, 230776.63300237712 6835879.423198476, 230769.66309887345 6835870.187802242, 230768.86490112654 6835870.790197758, 230775.85790112655 6835880.056197758, 230775.88209824896 6835880.085830284, 230775.90849017713 6835880.113526015, 230779.88089513074 6835883.974953329, 230783.04491832337 6835888.638452681, 230785.68633638587 6835893.07671308, 230785.71704879033 6835893.122393318, 230785.75259638127 6835893.164420748, 230785.79254833097 6835893.202286006, 230787.60554833096 6835894.740286006, 230787.65274477258 6835894.775752984, 230787.7037926658 6835894.805409741, 230792.4967926658 6835897.22340974, 230792.94720733422 6835896.330590259, 230788.20719447284 6835893.939321514))</t>
  </si>
  <si>
    <t>['EV6 S47D1 m4617-4633']</t>
  </si>
  <si>
    <t>LINESTRING Z (230776.285 6835834.095 -999999, 230772.034 6835832.612 -999999, 230757.442 6835838.421 -999999, 230752.097 6835840.324 -999999)</t>
  </si>
  <si>
    <t>POLYGON ((230772.19869528816 6835832.139903122, 230772.14973265733 6835832.125578421, 230772.09956523284 6835832.11631744, 230772.04871526477 6835832.112216585, 230771.99771210866 6835832.1133185495, 230771.94708671476 6835832.119611859, 230771.89736610078 6835832.131031001, 230771.84906786564 6835832.1474571, 230757.26562178598 6835837.953051829, 230751.92929524498 6835839.852963786, 230752.26470475504 6835840.795036214, 230757.60970475504 6835838.8920362145, 230757.6269321344 6835838.885542899, 230772.04552829074 6835833.145574075, 230776.12030471186 6835834.567096878, 230776.44969528815 6835833.622903122, 230772.19869528816 6835832.139903122))</t>
  </si>
  <si>
    <t>['EV6 S47D1 m11113-11135']</t>
  </si>
  <si>
    <t>LINESTRING Z (224957.362 6838120.013 -999999, 224950.234 6838123.41 -999999, 224943.194 6838132.144 -999999, 224939.133 6838141.598 -999999, 224939.322 6838148.142 -999999, 224944.874 6838156.094 -999999, 224949.626 6838163.814 -999999)</t>
  </si>
  <si>
    <t>POLYGON ((224950.0188931145 6838122.958636479, 224949.97939799278 6838122.979677077, 224949.94194230583 6838123.004164685, 224949.90682608442 6838123.031903149, 224949.87433061952 6838123.0626702765, 224949.84471620928 6838123.096219615, 224942.80471620927 6838131.830219615, 224942.77784048012 6838131.866851567, 224942.75440090493 6838131.905771883, 224942.73459101992 6838131.946659206, 224938.67359101993 6838141.400659206, 224938.65490125163 6838141.4516388485, 224938.64184966625 6838141.504344516, 224938.6345901801 6838141.558154657, 224938.6332084037 6838141.61243469, 224938.8222084037 6838148.15643469, 224938.82594154545 6838148.204657878, 224938.83431662814 6838148.252294736, 224938.84725528065 6838148.298899495, 224938.8646364276 6838148.344036043, 224938.88629742234 6838148.387282009, 224938.9120355688 6838148.428232712, 224944.4557698827 6838156.368393962, 224949.20020114438 6838164.0760979485, 224950.0517988556 6838163.551902052, 224945.29979885562 6838155.831902051, 224945.2839644312 6838155.807767288, 224939.8174790992 6838147.978247951, 224939.63597853502 6838141.693910956, 224943.62633406895 6838132.404371134, 224950.55185500928 6838123.812396717, 224957.5771068855 6838120.464363521, 224957.1468931145 6838119.56163648, 224950.0188931145 6838122.958636479))</t>
  </si>
  <si>
    <t>['EV6 S47D1 m6534-6541']</t>
  </si>
  <si>
    <t>LINESTRING Z (229166.443 6836872.91 -999999, 229168.471 6836854.214 -999999, 229167.528 6836842.531 -999999)</t>
  </si>
  <si>
    <t>POLYGON ((229168.96808414106 6836854.26791991, 229168.97095270426 6836854.220877027, 229168.96937916472 6836854.173773042, 229168.02637916472 6836842.490773043, 229167.02962083527 6836842.571226958, 229167.96881633328 6836854.207092284, 229165.94591585893 6836872.85608009, 229166.94008414107 6836872.963919911, 229168.96808414106 6836854.26791991))</t>
  </si>
  <si>
    <t>['EV6 S47D1 m5180-5212']</t>
  </si>
  <si>
    <t>LINESTRING Z (230321.328 6836215.503 -999999, 230315.51 6836219.725 -999999, 230312.705 6836221.621 -999999, 230309.204 6836223.467 -999999, 230301.851 6836227.351 -999999, 230297.885 6836229.423 -999999, 230293.682 6836231.103 -999999)</t>
  </si>
  <si>
    <t>POLYGON ((230315.22308691 6836219.315426501, 230312.44762951037 6836221.1914576, 230308.97079362173 6836223.024716398, 230301.6184690666 6836226.9083594605, 230297.6759111285 6836228.968112373, 230293.49641894153 6836230.638715959, 230293.86758105847 6836231.567284041, 230298.07058105848 6836229.887284041, 230298.11652737058 6836229.866164842, 230302.08252737057 6836227.794164841, 230302.0845321345 6836227.793111685, 230309.43736924237 6836223.909197728, 230312.93820637825 6836222.063283603, 230312.98500268973 6836222.035244485, 230315.79000268976 6836220.139244485, 230315.80366384337 6836220.129674618, 230321.62166384337 6836215.907674618, 230321.03433615665 6836215.098325381, 230315.22308691 6836219.315426501))</t>
  </si>
  <si>
    <t>['EV6 S47D1 m6574-6596']</t>
  </si>
  <si>
    <t>LINESTRING Z (229128.053 6836967.31 -999999, 229128.847 6836967.204 -999999, 229129.638 6836967.091 -999999, 229130.429 6836966.97 -999999, 229131.219 6836966.841 -999999, 229132.007 6836966.704 -999999, 229132.795 6836966.561 -999999, 229133.58 6836966.41 -999999, 229134.364 6836966.251 -999999, 229135.146 6836966.084 -999999, 229135.927 6836965.911 -999999, 229136.706 6836965.729 -999999, 229137.483 6836965.541 -999999, 229138.259 6836965.345 -999999, 229139.033 6836965.141 -999999, 229139.804 6836964.93 -999999, 229140.574 6836964.711 -999999, 229141.341 6836964.485 -999999, 229142.107 6836964.253 -999999, 229142.869 6836964.013 -999999, 229143.631 6836963.764 -999999, 229144.388 6836963.509 -999999, 229145.144 6836963.248 -999999, 229145.473 6836963.093 -999999, 229145.8 6836962.934 -999999, 229146.123 6836962.767 -999999, 229146.442 6836962.595 -999999, 229146.759 6836962.415 -999999, 229147.071 6836962.229 -999999, 229147.379 6836962.037 -999999, 229147.685 6836961.84 -999999, 229147.985 6836961.636 -999999, 229148.281 6836961.426 -999999, 229148.573 6836961.209 -999999, 229148.862 6836960.988 -999999, 229149.145 6836960.76 -999999, 229149.424 6836960.527 -999999, 229149.698 6836960.289 -999999, 229149.967 6836960.045 -999999, 229150.231 6836959.795 -999999, 229150.49 6836959.541 -999999)</t>
  </si>
  <si>
    <t>POLYGON ((229128.91316362994 6836967.699603041, 229128.91771067807 6836967.698974747, 229129.70871067807 6836967.585974747, 229129.71360598295 6836967.58525068, 229130.50460598295 6836967.46425068, 229130.509578366 6836967.463464413, 229131.29957836602 6836967.334464413, 229131.30464420526 6836967.333610465, 229132.09264420526 6836967.196610465, 229132.09627789346 6836967.195964895, 229132.88427789346 6836967.052964895, 229132.88944689534 6836967.0519987615, 229133.6744468953 6836966.900998762, 229133.67937989146 6836966.900024119, 229134.46337989147 6836966.741024119, 229134.4684228989 6836966.739974292, 229135.2504228989 6836966.572974292, 229135.2541342929 6836966.572166953, 229136.03513429288 6836966.399166954, 229136.0407531105 6836966.397888314, 229136.8197531105 6836966.215888314, 229136.8235851883 6836966.214977082, 229137.6005851883 6836966.026977082, 229137.6054433833 6836966.025775843, 229138.3814433833 6836965.829775843, 229138.3864311261 6836965.828488684, 229139.1604311261 6836965.624488684, 229139.16498207272 6836965.623266246, 229139.93598207273 6836965.412266246, 229139.94078302273 6836965.41092661, 229140.71078302272 6836965.191926611, 229140.7153201253 6836965.190612992, 229141.4823201253 6836964.9646129925, 229141.48593434194 6836964.963533214, 229142.25193434194 6836964.7315332135, 229142.25720620525 6836964.729904703, 229143.01920620527 6836964.489904704, 229143.0243044088 6836964.488268915, 229143.7863044088 6836964.239268915, 229143.79061535263 6836964.237838516, 229144.54761535264 6836963.982838515, 229144.55116872996 6836963.981626666, 229145.30716872995 6836963.720626666, 229145.3570971253 6836963.700315835, 229145.6860971253 6836963.545315836, 229145.6916426971 6836963.542661396, 229146.01864269708 6836963.383661396, 229146.0296366404 6836963.378147514, 229146.3526366404 6836963.211147513, 229146.3602966894 6836963.20710258, 229146.67929668943 6836963.03510258, 229146.68888686915 6836963.029795209, 229147.00588686913 6836962.849795209, 229147.0150322709 6836962.844473488, 229147.3270322709 6836962.658473488, 229147.33550396413 6836962.653308441, 229147.64350396412 6836962.46130844, 229147.64965649048 6836962.45741059, 229147.9556564905 6836962.26041059, 229147.96615501062 6836962.253463251, 229148.2661550106 6836962.049463251, 229148.27431438802 6836962.043795519, 229148.57031438802 6836961.833795519, 229148.57923790746 6836961.827315525, 229148.87123790747 6836961.610315525, 229148.8767250537 6836961.606178916, 229149.1657250537 6836961.385178916, 229149.17568794568 6836961.377358283, 229149.45868794568 6836961.149358283, 229149.46549791447 6836961.14377218, 229149.74449791448 6836960.91077218, 229149.75188466112 6836960.90448066, 229150.02588466113 6836960.66648066, 229150.03392503556 6836960.659343584, 229150.30292503556 6836960.4153435845, 229150.3107960288 6836960.4080486065, 229150.57479602878 6836960.1580486065, 229150.5810908227 6836960.1519823745, 229150.8400908227 6836959.897982375, 229150.1399091773 6836959.184017626, 229149.88403006745 6836959.434956984, 229149.6271003223 6836959.678261667, 229149.36605678222 6836959.915044655, 229149.09977816994 6836960.146337756, 229148.8278824759 6836960.373404769, 229148.5532439675 6836960.594668303, 229148.2720043312 6836960.809733907, 229147.98718811697 6836961.021395272, 229147.6997371276 6836961.225330095, 229147.40905053332 6836961.422996979, 229147.111405555 6836961.614618093, 229146.81070627866 6836961.802066993, 229146.50751226346 6836961.982817271, 229146.19987911783 6836962.1574985515, 229145.8895158357 6836962.324841764, 229145.57582640112 6836962.487027942, 229145.2571219326 6836962.641994336, 229144.95531888912 6836962.784181179, 229144.22660559378 6836963.035760769, 229143.47353694524 6836963.289436471, 229142.71624029378 6836963.536899549, 229141.95942525126 6836963.775266491, 229141.1978706937 6836964.005920092, 229140.4349453202 6836964.230719484, 229139.66961410004 6836964.44839161, 229138.90329052854 6836964.65811181, 229138.13405944937 6836964.860854885, 229137.36298272436 6836965.055611378, 229136.5903290312 6836965.242559762, 229135.81605257984 6836965.4234561855, 229135.03971989188 6836965.595422325, 229134.26209588512 6836965.761487809, 229133.48308418875 6836965.919476151, 229132.70313510176 6836966.069504574, 229131.9195376902 6836966.211705627, 229131.13588653394 6836966.347949546, 229130.3509058063 6836966.4761299435, 229129.5648399582 6836966.596375162, 229128.77856135127 6836966.708700677, 229127.98683637008 6836966.814396959, 229128.11916362995 6836967.80560304, 229128.91316362994 6836967.699603041))</t>
  </si>
  <si>
    <t>['EV6 S47D1 m5037-5041']</t>
  </si>
  <si>
    <t>LINESTRING Z (230515.565 6836190.808 -999999, 230514.619 6836192.592 -999999, 230511.562 6836193.533 -999999)</t>
  </si>
  <si>
    <t>POLYGON Z ((230515.565 6836190.808 -999999, 230514.619 6836192.592 -999999, 230511.562 6836193.533 -999999, 230515.565 6836190.808 -999999))</t>
  </si>
  <si>
    <t>['EV6 S47D1 m5038-5042']</t>
  </si>
  <si>
    <t>LINESTRING Z (230526.379 6836197.413 -999999, 230521.888 6836196.13 -999999, 230517.319 6836195.491 -999999, 230513.642 6836194.977 -999999, 230508.878 6836192.018 -999999)</t>
  </si>
  <si>
    <t>POLYGON ((230522.02534642507 6836195.649233987, 230521.95725376686 6836195.63481931, 230517.38825376684 6836194.995819311, 230513.81596739983 6836194.496457005, 230509.14181235892 6836191.59326121, 230508.61418764107 6836192.44273879, 230513.37818764106 6836195.40173879, 230513.423809102 6836195.426880797, 230513.47179875284 6836195.44713991, 230513.521635726 6836195.462296241, 230513.57277910327 6836195.472185286, 230517.24976443264 6836195.986183235, 230521.78419703976 6836196.620348793, 230526.24165357492 6836197.893766013, 230526.51634642505 6836196.932233986, 230522.02534642507 6836195.649233987))</t>
  </si>
  <si>
    <t>['EV6 S47D1 m5052-5053']</t>
  </si>
  <si>
    <t>LINESTRING Z (230455.752 6836164.255 -999999, 230458.589 6836165.96 -999999)</t>
  </si>
  <si>
    <t>POLYGON ((230458.33144118226 6836166.388559746, 230458.84655881775 6836165.531440254, 230456.00955881775 6836163.826440254, 230455.49444118227 6836164.683559746, 230458.33144118226 6836166.388559746))</t>
  </si>
  <si>
    <t>['EV6 S47D1 m4992-5025']</t>
  </si>
  <si>
    <t>LINESTRING Z (230524.777 6836139.805 -999999, 230522.324 6836147.057 -999999, 230520.368 6836156.92 -999999, 230519.205 6836165.648 -999999, 230517.577 6836172.269 -999999, 230517.742 6836175.9 -999999)</t>
  </si>
  <si>
    <t>POLYGON ((230521.8503618159 6836146.896791166, 230521.8335515636 6836146.959735766, 230519.8775515636 6836156.822735766, 230519.872380596 6836156.853959055, 230518.71297121944 6836165.555012398, 230517.09146220217 6836172.149613875, 230517.0822902876 6836172.196458285, 230517.07762720235 6836172.243963847, 230517.0775154463 6836172.291697591, 230517.2425154463 6836175.922697591, 230518.2414845537 6836175.87730241, 230518.07975854844 6836172.318350137, 230519.6905377978 6836165.767386125, 230519.70061940397 6836165.714040945, 230520.86152825446 6836157.001734456, 230522.80809811645 6836147.1862853, 230525.2506381841 6836139.965208834, 230524.3033618159 6836139.644791165, 230521.8503618159 6836146.896791166))</t>
  </si>
  <si>
    <t>['EV6 S47D1 m13076-13139']</t>
  </si>
  <si>
    <t>LINESTRING Z (223012.285 6838210.932 -999999, 223050.834 6838187.04 -999999, 223066.505 6838180.199 -999999)</t>
  </si>
  <si>
    <t>POLYGON ((223051.06691397767 6838187.483889342, 223066.70503966513 6838180.657240256, 223066.30496033488 6838179.740759744, 223050.63396033488 6838186.581759744, 223050.5705969034 6838186.615007284, 223012.0215969034 6838210.507007284, 223012.54840309662 6838211.356992716, 223051.06691397767 6838187.483889342))</t>
  </si>
  <si>
    <t>['EV6 S47D1 m4417-4448']</t>
  </si>
  <si>
    <t>LINESTRING Z (230837.046 6835686.482 -999999, 230856.278 6835664.084 -999999)</t>
  </si>
  <si>
    <t>POLYGON ((230856.6573460146 6835664.409724732, 230855.89865398538 6835663.758275268, 230836.6666539854 6835686.156275268, 230837.4253460146 6835686.807724732, 230856.6573460146 6835664.409724732))</t>
  </si>
  <si>
    <t>['EV6 S47D1 m4360-4403']</t>
  </si>
  <si>
    <t>LINESTRING Z (230884.159 6835622.305 -999999, 230871.809 6835641.49 -999999, 230862.18 6835654.716 -999999)</t>
  </si>
  <si>
    <t>POLYGON ((230871.39633934924 6835641.207304434, 230861.77577870875 6835654.421712475, 230862.58422129124 6835655.010287525, 230872.21322129125 6835641.784287525, 230872.22942183478 6835641.760639023, 230884.5794218348 6835622.5756390225, 230883.73857816524 6835622.034360977, 230871.39633934924 6835641.207304434))</t>
  </si>
  <si>
    <t>['EV6 S47D1 m6549-6572']</t>
  </si>
  <si>
    <t>LINESTRING Z (229182.941 6836975.883 -999999, 229182.444 6836975.486 -999999, 229181.943 6836975.096 -999999, 229181.437 6836974.712 -999999, 229180.926 6836974.334 -999999, 229180.411 6836973.963 -999999, 229179.89 6836973.599 -999999, 229179.366 6836973.241 -999999, 229178.837 6836972.89 -999999, 229178.303 6836972.544 -999999, 229177.765 6836972.206 -999999, 229177.223 6836971.876 -999999, 229176.677 6836971.55 -999999, 229176.127 6836971.233 -999999, 229175.573 6836970.923 -999999, 229175.015 6836970.619 -999999, 229174.453 6836970.322 -999999, 229173.888 6836970.032 -999999, 229173.319 6836969.75 -999999, 229172.746 6836969.474 -999999, 229172.17 6836969.207 -999999, 229171.591 6836968.946 -999999, 229171.008 6836968.692 -999999, 229170.423 6836968.446 -999999, 229169.834 6836968.207 -999999, 229169.243 6836967.976 -999999, 229168.648 6836967.751 -999999, 229168.052 6836967.534 -999999, 229167.451 6836967.325 -999999, 229166.849 6836967.124 -999999, 229166.244 6836966.929 -999999, 229165.637 6836966.744 -999999, 229165.028 6836966.564 -999999, 229164.416 6836966.393 -999999, 229163.802 6836966.229 -999999, 229163.186 6836966.074 -999999, 229162.789 6836965.974 -999999, 229162.394 6836965.866 -999999, 229162.001 6836965.75 -999999, 229161.61 6836965.627 -999999, 229161.221 6836965.496 -999999, 229160.836 6836965.358 -999999, 229160.453 6836965.213 -999999, 229160.073 6836965.06 -999999, 229159.696 6836964.9 -999999, 229159.321 6836964.733 -999999, 229158.951 6836964.559 -999999, 229158.583 6836964.377 -999999, 229158.22 6836964.189 -999999, 229157.859 6836963.994 -999999, 229157.502 6836963.792 -999999, 229157.15 6836963.583 -999999, 229156.802 6836963.367 -999999, 229156.457 6836963.144 -999999, 229156.118 6836962.916 -999999, 229155.782 6836962.68 -999999, 229155.452 6836962.438 -999999, 229155.126 6836962.191 -999999, 229154.804 6836961.937 -999999, 229154.488 6836961.676 -999999, 229154.177 6836961.41 -999999, 229153.871 6836961.137 -999999, 229153.569 6836960.86 -999999, 229153.274 6836960.575 -999999, 229152.983 6836960.287 -999999, 229152.699 6836959.991 -999999)</t>
  </si>
  <si>
    <t>POLYGON ((229182.756059862 6836975.095335639, 229182.75113384263 6836975.09145114, 229182.25013384264 6836974.70145114, 229182.24526214795 6836974.697706648, 229181.73926214795 6836974.313706649, 229181.73435033666 6836974.310026398, 229181.22335033666 6836973.932026397, 229181.21825611388 6836973.92830755, 229180.70325611386 6836973.557307551, 229180.69736146147 6836973.553125491, 229180.1763614615 6836973.189125491, 229180.17205944573 6836973.1861532135, 229179.64805944572 6836972.8281532135, 229179.6424406903 6836972.824370015, 229179.1134406903 6836972.473370015, 229179.10888624174 6836972.470383661, 229178.57488624175 6836972.124383661, 229178.56898906588 6836972.120620954, 229178.03098906588 6836971.782620954, 229178.02502346577 6836971.778931157, 229177.48302346576 6836971.448931157, 229177.47932226202 6836971.446699525, 229176.93332226202 6836971.120699525, 229176.9266793761 6836971.116802344, 229176.37667937612 6836970.799802344, 229176.3711577722 6836970.796666432, 229175.8171577722 6836970.486666433, 229175.81220551408 6836970.483931985, 229175.2542055141 6836970.179931984, 229175.2486185296 6836970.176933961, 229174.68661852958 6836969.879933961, 229174.68131814696 6836969.877173265, 229174.11631814696 6836969.587173265, 229174.11003072537 6836969.584001834, 229173.54103072535 6836969.302001834, 229173.53597871796 6836969.299533313, 229172.962978718 6836969.023533314, 229172.95627794386 6836969.020366684, 229172.38027794386 6836968.753366684, 229172.37547690747 6836968.751171919, 229171.79647690745 6836968.490171919, 229171.79070800057 6836968.487615103, 229171.20770800058 6836968.233615102, 229171.20181714342 6836968.231093377, 229170.61681714343 6836967.9850933775, 229170.61099861478 6836967.982689607, 229170.02199861477 6836967.743689607, 229170.01602139897 6836967.74130889, 229169.42502139896 6836967.51030889, 229169.41985312957 6836967.508321723, 229168.82485312957 6836967.283321723, 229168.8190614005 6836967.281172375, 229168.22306140052 6836967.064172375, 229168.2162298345 6836967.061741002, 229167.6152298345 6836966.852741002, 229167.60935020723 6836966.850737192, 229167.00735020722 6836966.649737191, 229167.0023864728 6836966.648108636, 229166.39738647282 6836966.453108636, 229166.38976892046 6836966.450720351, 229165.78276892044 6836966.265720352, 229165.77872244237 6836966.264505736, 229165.16972244237 6836966.084505736, 229165.16255226848 6836966.082444513, 229164.55055226848 6836965.911444513, 229164.54502718625 6836965.909934803, 229163.93102718625 6836965.745934803, 229163.92400851997 6836965.744114528, 229163.3080689663 6836965.589129738, 229162.91601205803 6836965.490374849, 229162.53072092915 6836965.385029427, 229162.14680431737 6836965.271710528, 229161.7648231317 6836965.151547649, 229161.38515789955 6836965.023691234, 229161.00888502673 6836964.888819399, 229160.63490962065 6836964.747236021, 229160.26405885175 6836964.59791979, 229159.89538839884 6836964.441454877, 229159.52911657587 6836964.278341825, 229159.16823946705 6836964.1086320495, 229158.8088196754 6836963.930875522, 229158.45380541787 6836963.747011389, 229158.1009536047 6836963.556412764, 229157.75277677385 6836963.359405145, 229157.40950054326 6836963.155584883, 229157.0695750533 6836962.944596647, 229156.73225598413 6836962.726561423, 229156.4012425235 6836962.503932902, 229156.0735636565 6836962.273777506, 229155.75083538383 6836962.037110107, 229155.43183725487 6836961.795415205, 229155.1180762652 6836961.5479143, 229154.80972490547 6836961.29323169, 229154.50596367184 6836961.033423047, 229154.20643360057 6836960.766195238, 229153.91174691665 6836960.495903147, 229153.6235741112 6836960.217498912, 229153.33931354812 6836959.936168869, 229153.05979107565 6836959.6448355885, 229152.33820892434 6836960.337164412, 229152.62220892435 6836960.633164411, 229152.631283213 6836960.642380502, 229152.922283213 6836960.930380503, 229152.92659398942 6836960.934595695, 229153.2215939894 6836961.219595695, 229153.2310271998 6836961.228475762, 229153.53302719982 6836961.505475761, 229153.5381375192 6836961.5100986045, 229153.8441375192 6836961.7830986045, 229153.85200696441 6836961.789973061, 229154.16300696443 6836962.05597306, 229154.16959080464 6836962.061506919, 229154.48559080463 6836962.322506919, 229154.49433599602 6836962.329566179, 229154.816335996 6836962.583566179, 229154.82404761954 6836962.589528242, 229155.15004761954 6836962.836528243, 229155.15631816848 6836962.841202498, 229155.4863181685 6836963.083202498, 229155.49461537713 6836963.089157767, 229155.8306153771 6836963.325157767, 229155.83895761325 6836963.33089197, 229156.17795761325 6836963.55889197, 229156.18557626117 6836963.563915651, 229156.53057626117 6836963.786915651, 229156.5383185691 6836963.791820083, 229156.8863185691 6836964.007820083, 229156.89473062227 6836964.012927371, 229157.24673062228 6836964.221927372, 229157.2557705671 6836964.227167861, 229157.6127705671 6836964.42916786, 229157.6213689345 6836964.433922126, 229157.9823689345 6836964.628922126, 229157.99005565373 6836964.632988285, 229158.35305565374 6836964.820988285, 229158.3613439495 6836964.825183663, 229158.7293439495 6836965.007183663, 229158.73821927365 6836965.011464764, 229159.10821927365 6836965.185464764, 229159.1175917879 6836965.189754967, 229159.4925917879 6836965.356754967, 229159.50066237352 6836965.360264285, 229159.87766237353 6836965.520264284, 229159.88625292314 6836965.523816266, 229160.26625292315 6836965.676816267, 229160.27596735957 6836965.680610356, 229160.65896735957 6836965.8256103555, 229160.66728979186 6836965.828677029, 229161.05228979184 6836965.96667703, 229161.061425113 6836965.969852146, 229161.450425113 6836966.100852146, 229161.45995982955 6836966.103956966, 229161.85095982955 6836966.226956965, 229161.859454463 6836966.229546516, 229162.252454463 6836966.345546517, 229162.26213137663 6836966.34829728, 229162.65713137662 6836966.45629728, 229162.66687028733 6836966.458854961, 229163.06387028733 6836966.558854961, 229163.6764755608 6836966.713000785, 229164.2842059102 6836966.875326155, 229164.8898549441 6836967.04455162, 229165.49325175528 6836967.222895505, 229166.0944127704 6836967.406115913, 229166.69312745877 6836967.599090069, 229167.2897037401 6836967.79827916, 229167.88434555894 6836968.005068079, 229168.47403608676 6836968.219770838, 229169.06355726163 6836968.442699012, 229169.64898232307 6836968.671519976, 229170.23208453524 6836968.908126816, 229170.81122937248 6836969.1516646445, 229171.38839948885 6836969.403124697, 229171.9621167729 6836969.661743368, 229172.53235991893 6836969.926074826, 229173.0994883546 6836970.199246638, 229173.66281440243 6836970.478434592, 229174.22202338072 6836970.765462209, 229174.77857846036 6836971.059584733, 229175.33131063808 6836971.360714809, 229175.88007149452 6836971.667783158, 229176.42398417226 6836971.981274646, 229176.96482230857 6836972.304192655, 229177.5019808027 6836972.631244875, 229178.03404915184 6836972.965518298, 229178.56282844764 6836973.308135594, 229179.0867370734 6836973.655757386, 229179.6057818188 6836974.010371926, 229180.12167609486 6836974.370804779, 229180.63118505914 6836974.7378491005, 229181.13718243554 6836975.11214853, 229181.63829052303 6836975.4924360905, 229182.1343909474 6836975.878622049, 229182.62894013798 6836976.273664361, 229183.253059862 6836975.49233564, 229182.756059862 6836975.095335639))</t>
  </si>
  <si>
    <t>['EV6 S47D1 m10636-10666']</t>
  </si>
  <si>
    <t>LINESTRING Z (225352.706 6837833.956 -999999, 225334.581 6837847.056 -999999, 225329.855 6837851.538 -999999)</t>
  </si>
  <si>
    <t>POLYGON ((225334.2881118867 6837846.650763583, 225334.23693608987 6837846.693205257, 225329.51093608988 6837851.175205257, 225330.19906391014 6837851.900794743, 225334.90089000555 6837847.441720566, 225352.9988881133 6837834.361236417, 225352.4131118867 6837833.550763584, 225334.2881118867 6837846.650763583))</t>
  </si>
  <si>
    <t>['EV6 S47D1 m10546-10595']</t>
  </si>
  <si>
    <t>LINESTRING Z (225382.75 6837806.21 -999999, 225417.513 6837778.189 -999999, 225420.16 6837777.381 -999999)</t>
  </si>
  <si>
    <t>POLYGON ((225417.75148150712 6837778.638979066, 225420.30597615507 6837777.859216439, 225420.01402384494 6837776.9027835615, 225417.36702384494 6837777.710783562, 225417.3220706352 6837777.726889648, 225417.27885885176 6837777.747210545, 225417.2377826202 6837777.77156091, 225417.1992165882 6837777.799718649, 225382.4362165882 6837805.820718649, 225383.0637834118 6837806.599281351, 225417.75148150712 6837778.638979066))</t>
  </si>
  <si>
    <t>['EV6 S47D1 m10675-10720']</t>
  </si>
  <si>
    <t>LINESTRING Z (225286.521 6837881.077 -999999, 225323.301 6837856.619 -999999)</t>
  </si>
  <si>
    <t>POLYGON ((225323.57786402068 6837857.035348789, 225323.02413597933 6837856.202651211, 225286.24413597933 6837880.660651211, 225286.7978640207 6837881.4933487885, 225323.57786402068 6837857.035348789))</t>
  </si>
  <si>
    <t>['EV6 S47D1 m14255-14272']</t>
  </si>
  <si>
    <t>LINESTRING Z (222015.322 6838767.867 -999999, 222037.096 6838767.572 -999999)</t>
  </si>
  <si>
    <t>POLYGON ((222037.10277351266 6838768.071954117, 222037.08922648733 6838767.072045882, 222015.31522648732 6838767.367045882, 222015.32877351265 6838768.366954117, 222037.10277351266 6838768.071954117))</t>
  </si>
  <si>
    <t>['EV6 S47D1 m12537-12566']</t>
  </si>
  <si>
    <t>LINESTRING Z (223463.212 6837939.698 -999999, 223513.666 6837925.831 -999999, 223514.293 6837925.62 -999999, 223514.924 6837925.416 -999999, 223515.557 6837925.22 -999999, 223516.192 6837925.033 -999999, 223516.829 6837924.851 -999999, 223517.469 6837924.679 -999999, 223518.111 6837924.514 -999999, 223518.754 6837924.356 -999999, 223519.399 6837924.206 -999999, 223520.047 6837924.064 -999999, 223520.695 6837923.929 -999999, 223521.346 6837923.803 -999999, 223521.998 6837923.685 -999999, 223522.651 6837923.573 -999999, 223523.305 6837923.47 -999999, 223523.961 6837923.375 -999999, 223524.618 6837923.288 -999999, 223525.276 6837923.208 -999999, 223525.935 6837923.136 -999999, 223526.594 6837923.074 -999999, 223527.254 6837923.018 -999999, 223527.915 6837922.97 -999999, 223528.576 6837922.93 -999999, 223529.238 6837922.898 -999999, 223529.9 6837922.874 -999999, 223530.562 6837922.858 -999999, 223531.225 6837922.849 -999999, 223531.888 6837922.849 -999999, 223532.55 6837922.857 -999999, 223533.212 6837922.873 -999999, 223533.875 6837922.897 -999999, 223534.536 6837922.928 -999999, 223535.197 6837922.968 -999999, 223535.858 6837923.015 -999999, 223536.518 6837923.071 -999999, 223537.178 6837923.133 -999999, 223537.837 6837923.205 -999999, 223538.495 6837923.284 -999999, 223539.152 6837923.371 -999999, 223539.807 6837923.466 -999999, 223540.462 6837923.568 -999999, 223541.116 6837923.678 -999999, 223541.767 6837923.797 -999999, 223542.418 6837923.924 -999999, 223543.067 6837924.058 -999999, 223543.714 6837924.198 -999999, 223544.359 6837924.349 -999999, 223545.002 6837924.506 -999999)</t>
  </si>
  <si>
    <t>POLYGON ((223513.79850850205 6837926.313121869, 223513.8254736717 6837926.304886219, 223514.44964731587 6837926.094837353, 223515.074856246 6837925.892709585, 223515.701575831 6837925.698654231, 223516.33130590164 6837925.513206163, 223516.96257372882 6837925.332843927, 223517.59611891757 6837925.162578657, 223518.2328895511 6837924.998922654, 223518.87028901375 6837924.8422988355, 223519.50914701747 6837924.693727206, 223520.15150543192 6837924.55296348, 223520.79349902726 6837924.419214814, 223521.4380310348 6837924.294466685, 223522.08478578183 6837924.177415977, 223522.73215937946 6837924.066380996, 223523.379727098 6837923.964394031, 223524.0296515754 6837923.870273871, 223524.68099326373 6837923.784023145, 223525.33332761715 6837923.704711977, 223525.98557244643 6837923.633450024, 223526.6385542017 6837923.572016232, 223527.29324420737 6837923.516466777, 223527.94820882168 6837923.468905049, 223528.603172505 6837923.429270334, 223529.25912872946 6837923.39756248, 223529.91509859948 6837923.373781095, 223530.57143411547 6837923.357918001, 223531.22839351837 6837923.349, 223531.88497893867 6837923.349, 223532.54093825238 6837923.356927001, 223533.1969150807 6837923.372781426, 223533.85424375278 6837923.396576129, 223534.50918599006 6837923.427292028, 223535.1641667646 6837923.466927779, 223535.81913072968 6837923.513498589, 223536.47348093256 6837923.569019213, 223537.12746271343 6837923.630453865, 223537.78004459088 6837923.701752644, 223538.43237803102 6837923.780072312, 223539.08329470205 6837923.866266757, 223539.73264627464 6837923.96044752, 223540.38206289575 6837924.0615780465, 223541.0295751462 6837924.170486836, 223541.67417393142 6837924.288316721, 223542.31957675895 6837924.414224799, 223542.9635738544 6837924.547191842, 223543.60413363972 6837924.685798286, 223544.2427111016 6837924.835294716, 223544.88340018256 6837924.991730464, 223545.12059981746 6837924.020269536, 223544.47759981744 6837923.863269537, 223544.47297268445 6837923.862163039, 223543.82797268446 6837923.711163038, 223543.8197444037 6837923.70930979, 223543.1727444037 6837923.569309791, 223543.16810319954 6837923.568328536, 223542.51910319953 6837923.434328536, 223542.51373746726 6837923.433251248, 223541.86273746725 6837923.306251248, 223541.85690808558 6837923.305149885, 223541.2059080856 6837923.186149885, 223541.19893296235 6837923.184925844, 223540.54493296234 6837923.074925844, 223540.5389353296 6837923.073954501, 223539.8839353296 6837922.971954501, 223539.87876815244 6837922.971177474, 223539.22376815244 6837922.876177474, 223539.2176370711 6837922.875326948, 223538.5606370711 6837922.788326948, 223538.55460236015 6837922.787565151, 223537.89660236015 6837922.708565151, 223537.89130506685 6837922.707957789, 223537.23230506686 6837922.63595779, 223537.22476381392 6837922.635191658, 223536.56476381392 6837922.573191658, 223536.560272351 6837922.572790157, 223535.900272351 6837922.516790156, 223535.8934626595 6837922.516259185, 223535.23246265948 6837922.469259186, 223535.22720193706 6837922.468912991, 223534.56620193706 6837922.428912991, 223534.5594235738 6837922.428548966, 223533.89842357382 6837922.397548965, 223533.8930877007 6837922.397327272, 223533.2300877007 6837922.373327272, 223533.22408106396 6837922.373145973, 223532.56208106395 6837922.3571459735, 223532.5560418545 6837922.357036505, 223531.8940418545 6837922.349036505, 223531.888 6837922.349, 223531.225 6837922.349, 223531.21821329524 6837922.349046062, 223530.55521329524 6837922.358046061, 223530.54991893604 6837922.358145974, 223529.88791893603 6837922.3741459735, 223529.8818850123 6837922.37432826, 223529.2198850123 6837922.3983282605, 223529.21385900342 6837922.398583128, 223528.5518590034 6837922.430583128, 223528.54579806293 6837922.43091299, 223527.88479806294 6837922.47091299, 223527.87878673192 6837922.4713131245, 223527.2177867319 6837922.519313125, 223527.2117276497 6837922.519790157, 223526.55172764973 6837922.575790157, 223526.54716584645 6837922.576198271, 223525.88816584644 6837922.63819827, 223525.88069493315 6837922.638957789, 223525.22169493316 6837922.710957789, 223525.21565410166 6837922.711654986, 223524.55765410163 6837922.791654986, 223524.5523629289 6837922.792326948, 223523.89536292892 6837922.879326948, 223523.8893390013 6837922.880161945, 223523.23333900128 6837922.9751619445, 223523.2272126263 6837922.976087938, 223522.57321262633 6837923.079087938, 223522.56647619972 6837923.080196056, 223521.9134761997 6837923.192196055, 223521.90895574502 6837923.192992764, 223521.25695574502 6837923.310992764, 223521.25098904726 6837923.312110075, 223520.59998904727 6837923.438110074, 223520.59302287243 6837923.439509789, 223519.94502287242 6837923.57450979, 223519.93997174271 6837923.575589362, 223519.29197174273 6837923.717589362, 223519.28574325307 6837923.7189959865, 223518.64074325305 6837923.868995986, 223518.634687655 6837923.870444067, 223517.991687655 6837924.028444068, 223517.98654012624 6837924.029737944, 223517.34454012624 6837924.194737943, 223517.3392297334 6837924.196133892, 223516.69922973338 6837924.368133892, 223516.69163943603 6837924.370238026, 223516.05463943604 6837924.552238026, 223516.05075327161 6837924.553365387, 223515.4157532716 6837924.740365387, 223515.40910895236 6837924.742372281, 223514.77610895236 6837924.938372281, 223514.77019023258 6837924.940245278, 223514.13919023258 6837925.144245278, 223514.1335263283 6837925.146113781, 223513.5198927537 6837925.35261567, 223463.07949149795 6837939.215878131, 223463.34450850205 6837940.180121869, 223513.79850850205 6837926.313121869))</t>
  </si>
  <si>
    <t>['EV6 S47D1 m12473-12533']</t>
  </si>
  <si>
    <t>LINESTRING Z (223606.29 6837899.874 -999999, 223586.318 6837903.608 -999999, 223585.32 6837903.92 -999999, 223584.322 6837904.239 -999999, 223583.328 6837904.566 -999999, 223582.336 6837904.9 -999999, 223581.346 6837905.242 -999999, 223580.359 6837905.589 -999999, 223579.374 6837905.946 -999999, 223578.393 6837906.309 -999999, 223577.413 6837906.679 -999999, 223576.437 6837907.056 -999999, 223575.463 6837907.441 -999999, 223574.492 6837907.833 -999999, 223573.524 6837908.231 -999999, 223572.559 6837908.637 -999999, 223571.597 6837909.051 -999999, 223570.639 6837909.472 -999999, 223569.683 6837909.898 -999999, 223568.73 6837910.333 -999999, 223567.781 6837910.774 -999999, 223566.835 6837911.223 -999999, 223565.892 6837911.678 -999999, 223564.952 6837912.14 -999999, 223564.017 6837912.609 -999999, 223563.084 6837913.085 -999999, 223562.155 6837913.568 -999999, 223548.702 6837924.505 -999999)</t>
  </si>
  <si>
    <t>POLYGON ((223586.22611130343 6837903.116516056, 223586.16880804984 6837903.130777031, 223585.17080804985 6837903.442777031, 223585.16776798444 6837903.443738083, 223584.16976798442 6837903.7627380835, 223584.16575085922 6837903.764040838, 223583.17175085924 6837904.091040838, 223583.16845378847 6837904.092138199, 223582.17645378847 6837904.4261382, 223582.17273987393 6837904.427404897, 223581.1827398739 6837904.769404897, 223581.18016502802 6837904.770302256, 223580.19316502803 6837905.117302256, 223580.18862670113 6837905.118922411, 223579.20362670114 6837905.475922412, 223579.20048294574 6837905.477073746, 223578.21948294574 6837905.840073746, 223578.21639254267 6837905.841228896, 223577.23639254266 6837906.211228895, 223577.23283816193 6837906.212586329, 223576.25683816193 6837906.58958633, 223576.2531993608 6837906.591008252, 223575.27919936078 6837906.976008252, 223575.27582374093 6837906.977356766, 223574.30482374094 6837907.369356766, 223574.301865399 6837907.370562076, 223573.333865399 6837907.768562076, 223573.33009961303 6837907.770128391, 223572.36509961303 6837908.176128391, 223572.3613491414 6837908.1777243335, 223571.3993491414 6837908.591724333, 223571.3958388781 6837908.593250939, 223570.43783887808 6837909.014250939, 223570.43548760918 6837909.015291442, 223569.47948760918 6837909.441291442, 223569.4753795847 6837909.4431442395, 223568.52237958473 6837909.878144239, 223568.51928993844 6837909.879567238, 223567.57028993842 6837910.320567238, 223567.566607958 6837910.3222965, 223566.620607958 6837910.7712965, 223566.61771895367 6837910.772679063, 223565.67471895367 6837911.227679063, 223565.6714536086 6837911.229269247, 223564.7314536086 6837911.691269246, 223564.72781979054 6837911.69307357, 223563.79281979054 6837912.16207357, 223563.78977255928 6837912.1636151215, 223562.8567725593 6837912.639615121, 223562.85335370328 6837912.641375964, 223561.92435370327 6837913.124375964, 223561.88055818685 6837913.150050611, 223561.8395918745 6837913.180033875, 223548.3865918745 6837924.117033875, 223549.01740812548 6837924.892966125, 223562.4308637449 6837913.988114857, 223563.31294024238 6837913.529511037, 223564.24270644863 6837913.055160862, 223565.17436695215 6837912.587835968, 223566.1109166195 6837912.12753177, 223567.05083881615 6837911.6740168175, 223567.99355454932 6837911.22657563, 223568.93916765894 6837910.787149516, 223569.88857054547 6837910.353791431, 223570.84133809342 6837909.929231833, 223571.79640893833 6837909.509519071, 223572.75477886127 6837909.097081287, 223573.7160206811 6837908.692662449, 223574.6806574008 6837908.296045285, 223575.64849085006 6837907.905323645, 223576.61898407098 6837907.521709795, 223577.59138716097 6837907.146099175, 223578.56806413262 6837906.777353789, 223579.54594717606 6837906.415507158, 223580.52710806954 6837906.05989859, 223581.5105486646 6837905.7141499715, 223582.4974057303 6837905.373235713, 223583.4858995794 6837905.040416211, 223584.47624331553 6837904.7146190265, 223585.47071348096 6837904.3967472995, 223586.4389621208 6837904.094048326, 223606.38188869657 6837900.365483944, 223606.19811130344 6837899.382516055, 223586.22611130343 6837903.116516056))</t>
  </si>
  <si>
    <t>['EV6 S47D1 m10511-10543']</t>
  </si>
  <si>
    <t>LINESTRING Z (225447.066 6837753.932 -999999, 225436.494 6837763.355 -999999, 225423.634 6837773.352 -999999, 225422.556 6837775.276 -999999)</t>
  </si>
  <si>
    <t>POLYGON ((225436.17385951328 6837762.970561997, 225423.32712958395 6837772.957246219, 225423.2893167496 6837772.989793627, 225423.2549357805 6837773.02594737, 225423.22432899344 6837773.0653474815, 225423.19780112704 6837773.107601671, 225422.11980112706 6837775.03160167, 225422.99219887296 6837775.520398329, 225424.02074639048 6837773.68466046, 225436.80087041605 6837763.749753782, 225436.82668782872 6837763.728254349, 225447.3986878287 6837754.305254349, 225446.73331217127 6837753.5587456515, 225436.17385951328 6837762.970561997))</t>
  </si>
  <si>
    <t>['EV6 S47D1 m10371-10420']</t>
  </si>
  <si>
    <t>LINESTRING Z (225548.513 6837648.883 -999999, 225548.089 6837649.337 -999999, 225547.671 6837649.797 -999999, 225547.257 6837650.262 -999999, 225546.851 6837650.732 -999999, 225546.45 6837651.207 -999999, 225546.055 6837651.687 -999999, 225545.667 6837652.173 -999999, 225545.284 6837652.662 -999999, 225544.908 6837653.157 -999999, 225544.537 6837653.657 -999999, 225544.173 6837654.161 -999999, 225543.816 6837654.669 -999999, 225543.466 6837655.183 -999999, 225543.121 6837655.7 -999999, 225542.782 6837656.221 -999999, 225542.451 6837656.747 -999999, 225542.127 6837657.278 -999999, 225541.81 6837657.812 -999999, 225541.498 6837658.35 -999999, 225541.194 6837658.892 -999999, 225540.896 6837659.439 -999999, 225540.606 6837659.988 -999999, 225540.323 6837660.541 -999999, 225540.045 6837661.098 -999999, 225539.777 6837661.658 -999999, 225539.514 6837662.221 -999999, 225539.259 6837662.788 -999999, 225539.011 6837663.359 -999999, 225538.77 6837663.931 -999999, 225538.536 6837664.508 -999999, 225538.375 6837664.984 -999999, 225538.208 6837665.458 -999999, 225538.032 6837665.93 -999999, 225537.849 6837666.398 -999999, 225537.66 6837666.864 -999999, 225537.463 6837667.327 -999999, 225537.259 6837667.786 -999999, 225537.049 6837668.243 -999999, 225536.831 6837668.697 -999999, 225536.607 6837669.147 -999999, 225536.376 6837669.593 -999999, 225536.137 6837670.036 -999999, 225535.893 6837670.476 -999999, 225535.641 6837670.912 -999999, 225535.383 6837671.343 -999999, 225535.118 6837671.771 -999999, 225534.848 6837672.195 -999999, 225534.57 6837672.614 -999999, 225534.286 6837673.029 -999999, 225533.996 6837673.44 -999999, 225533.701 6837673.846 -999999, 225533.397 6837674.247 -999999, 225533.089 6837674.645 -999999, 225532.774 6837675.037 -999999, 225532.454 6837675.425 -999999, 225532.128 6837675.808 -999999, 225531.795 6837676.185 -999999, 225531.458 6837676.557 -999999, 225531.114 6837676.925 -999999, 225530.765 6837677.287 -999999, 225530.41 6837677.644 -999999, 225530.051 6837677.995 -999999, 225529.685 6837678.341 -999999, 225529.315 6837678.681 -999999, 225528.939 6837679.016 -999999, 225528.559 6837679.344 -999999, 225528.173 6837679.667 -999999, 225527.783 6837679.984 -999999, 225515.626 6837693.415 -999999, 225515.46 6837694.774 -999999)</t>
  </si>
  <si>
    <t>POLYGON ((225547.7235794478 6837648.99572618, 225547.71895717192 6837649.000743691, 225547.30095717192 6837649.460743691, 225547.29756131218 6837649.464519104, 225546.8835613122 6837649.929519104, 225546.87862470216 6837649.935148147, 225546.47262470215 6837650.405148147, 225546.46894099136 6837650.409461764, 225546.06794099137 6837650.884461764, 225546.0639188184 6837650.889287361, 225545.66891881838 6837651.36928736, 225545.66425203282 6837651.375044833, 225545.2762520328 6837651.861044833, 225545.2733664353 6837651.864693956, 225544.89036643534 6837652.353693956, 225544.88584141672 6837652.359560348, 225544.5098414167 6837652.854560348, 225544.50646338266 6837652.859059829, 225544.13546338267 6837653.359059829, 225544.13166038564 6837653.364254723, 225543.76766038564 6837653.868254724, 225543.76391439035 6837653.873512672, 225543.40691439033 6837654.381512672, 225543.4027162937 6837654.387581134, 225543.0527162937 6837654.901581135, 225543.05009865598 6837654.905464287, 225542.705098656 6837655.422464287, 225542.70190688633 6837655.427307935, 225542.36290688632 6837655.948307935, 225542.35881641728 6837655.954700065, 225542.02781641728 6837656.480700065, 225542.02418035993 6837656.486567677, 225541.70018035994 6837657.0175676765, 225541.697050539 6837657.022767829, 225541.38005053898 6837657.556767829, 225541.3774704493 6837657.561165019, 225541.0654704493 6837658.099165019, 225541.06191173324 6837658.105404367, 225540.75791173324 6837658.647404367, 225540.7549295672 6837658.652798924, 225540.4569295672 6837659.199798924, 225540.4538907574 6837659.205463242, 225540.1638907574 6837659.754463241, 225540.16089869066 6837659.760217594, 225539.87789869067 6837660.313217594, 225539.87562588288 6837660.317714534, 225539.5976258829 6837660.874714534, 225539.59398742166 6837660.882158266, 225539.32598742165 6837661.442158266, 225539.3239906897 6837661.446381086, 225539.0609906897 6837662.009381086, 225539.05799411386 6837662.015917988, 225538.80299411385 6837662.582917987, 225538.80038839142 6837662.588813172, 225538.55238839143 6837663.159813172, 225538.5502278148 6837663.164863467, 225538.30922781478 6837663.736863467, 225538.30665303936 6837663.743091527, 225538.07265303936 6837664.320091528, 225538.06235948377 6837664.347798061, 225537.902367559 6837664.820817664, 225537.7379226784 6837665.287565408, 225537.5648929667 6837665.751599635, 225537.38447818765 6837666.212988251, 225537.19825348863 6837666.672145446, 225537.00447550748 6837667.127572883, 225536.80336515288 6837667.580071181, 225536.5964382232 6837668.030383594, 225536.38180668827 6837668.477368535, 225536.16117465598 6837668.920602527, 225535.93395524533 6837669.359303209, 225535.6983302795 6837669.796047392, 225535.4578855854 6837670.229636184, 225535.21002268707 6837670.658478341, 225534.95591544194 6837671.082975329, 225534.6945529485 6837671.505100412, 225534.42877068414 6837671.922477006, 225534.15534603532 6837672.334581062, 225533.8753947828 6837672.743664759, 225533.58946226738 6837673.148900152, 225533.2994876693 6837673.547983835, 225533.00005594722 6837673.942957917, 225532.6963779103 6837674.335373041, 225532.38623933378 6837674.72132327, 225532.0707347522 6837675.103872576, 225531.750221446 6837675.480426553, 225531.42233517353 6837675.851637136, 225531.090068093 6837676.2184126675, 225530.7513678893 6837676.580743118, 225530.4077272456 6837676.93718413, 225530.05793623603 6837677.288945793, 225529.70445845515 6837677.634546632, 225529.3440833168 6837677.975229139, 225528.97951728964 6837678.310235759, 225528.60932004038 6837678.640065755, 225528.2351913102 6837678.962997922, 225527.85486156563 6837679.281253124, 225527.4676287862 6837679.59600387, 225527.43896433437 6837679.621178472, 225527.41230273643 6837679.648465294, 225515.25530273642 6837693.079465294, 225515.22296043034 6837693.119096122, 225515.19483654152 6837693.16182403, 225515.1712254289 6837693.207201806, 225515.1523742184 6837693.254754504, 225515.13848021635 6837693.303984413, 225515.12968884443 6837693.354376268, 225514.96368884444 6837694.713376268, 225515.95631115555 6837694.834623733, 225516.10308858656 6837693.632994041, 225528.1280400165 6837680.347880719, 225528.4883712138 6837680.054996131, 225528.49387324153 6837680.050458425, 225528.87987324153 6837679.727458424, 225528.88570619153 6837679.722501076, 225529.26570619154 6837679.394501076, 225529.27161308512 6837679.389320955, 225529.6476130851 6837679.054320955, 225529.6533126446 6837679.049163761, 225530.0233126446 6837678.709163761, 225530.0284866296 6837678.704341348, 225530.3944866296 6837678.358341348, 225530.40054750192 6837678.352514396, 225530.75954750192 6837678.001514397, 225530.76454511972 6837677.996558872, 225531.11954511973 6837677.639558871, 225531.12495763504 6837677.634030979, 225531.47395763503 6837677.272030979, 225531.47926346955 6837677.266441939, 225531.82326346956 6837676.89844194, 225531.82855542647 6837676.89269134, 225532.16555542647 6837676.52069134, 225532.1697448257 6837676.516008029, 225532.50274482567 6837676.139008029, 225532.50874881478 6837676.132083847, 225532.83474881478 6837675.749083847, 225532.8397354372 6837675.743132319, 225533.15973543722 6837675.355132319, 225533.1637544674 6837675.350195554, 225533.4787544674 6837674.958195554, 225533.48442390043 6837674.951006436, 225533.79242390042 6837674.553006437, 225533.79544460206 6837674.549062741, 225534.09944460206 6837674.14806274, 225534.1054972525 6837674.139908102, 225534.4004972525 6837673.733908103, 225534.40453901966 6837673.728263542, 225534.69453901963 6837673.317263542, 225534.6986292409 6837673.311377601, 225534.98262924093 6837672.896377601, 225534.98663604725 6837672.890431554, 225535.26463604724 6837672.471431554, 225535.2697488087 6837672.463566458, 225535.5397488087 6837672.039566457, 225535.54311140414 6837672.034211501, 225535.80811140416 6837671.606211501, 225535.8120097217 6837671.5998086035, 225536.0700097217 6837671.168808603, 225536.07389430152 6837671.162204963, 225536.32589430152 6837670.726204963, 225536.33026601453 6837670.718483881, 225536.5742660145 6837670.278483882, 225536.57704403147 6837670.2734052455, 225536.81604403147 6837669.830405246, 225536.81998268593 6837669.822955159, 225537.05098268593 6837669.376955158, 225537.0546107638 6837669.369810691, 225537.2786107638 6837668.919810691, 225537.2817305395 6837668.913430083, 225537.49973053948 6837668.459430083, 225537.503328228 6837668.451772271, 225537.71332822798 6837667.994772271, 225537.7159057744 6837667.989069233, 225537.9199057744 6837667.530069232, 225537.92308493488 6837667.522759681, 225538.1200849349 6837667.059759681, 225538.12334155914 6837667.051921791, 225538.31234155913 6837666.585921791, 225538.31466541777 6837666.580087119, 225538.4976654178 6837666.112087118, 225538.5004901024 6837666.104691224, 225538.6764901024 6837665.632691224, 225538.6795869327 6837665.624149826, 225538.8465869327 6837665.150149827, 225538.84864051623 6837665.14420194, 225539.00490337767 6837664.682207393, 225539.23208055625 6837664.122031188, 225539.47070577255 6837663.555667603, 225539.71632774547 6837662.990142819, 225539.9685310991 6837662.429361245, 225540.2290208154 6837661.871734969, 225540.49422417837 6837661.317578689, 225540.7692490507 6837660.766539646, 225541.04962393935 6837660.21866928, 225541.33660804588 6837659.675378679, 225541.63159596987 6837659.1339075565, 225541.93233132196 6837658.59772808, 225542.24125069907 6837658.06504018, 225542.55540033113 6837657.535841746, 225542.8760218691 6837657.010378671, 225543.2031626029 6837656.490511523, 225543.53851127872 6837655.975123145, 225543.8806016367 6837655.462483391, 225544.2272070463 6837654.953468589, 225544.58022958523 6837654.451128394, 225544.94045482096 6837653.95235499, 225545.3078602574 6837653.457199415, 225545.67991781599 6837652.967389598, 225546.05919924923 6837652.483137324, 225546.44343590984 6837652.001851197, 225546.834085263 6837651.52713806, 225547.2312293834 6837651.056705498, 225547.63292806596 6837650.5916848555, 225548.04275032436 6837650.131377247, 225548.45674880708 6837649.67578083, 225548.8784205522 6837649.22427382, 225548.1475794478 6837648.54172618, 225547.7235794478 6837648.99572618))</t>
  </si>
  <si>
    <t>['EV6 S47D1 m8780-8782']</t>
  </si>
  <si>
    <t>LINESTRING Z (226989.326 6836962.079 -999999, 226989.305 6836961.575 -999999, 226989.29 6836961.07 -999999, 226989.283 6836960.566 -999999, 226989.285 6836960.061 -999999, 226989.294 6836959.556 -999999, 226989.311 6836959.053 -999999, 226989.337 6836958.549 -999999, 226989.37 6836958.045 -999999, 226989.411 6836957.542 -999999, 226989.46 6836957.04 -999999, 226989.517 6836956.539 -999999, 226989.582 6836956.039 -999999, 226989.654 6836955.54 -999999, 226989.734 6836955.041 -999999, 226989.823 6836954.545 -999999, 226989.92 6836954.049 -999999, 226990.023 6836953.556 -999999, 226990.135 6836953.063 -999999, 226990.255 6836952.573 -999999, 226990.382 6836952.085 -999999, 226990.516 6836951.599 -999999, 226990.659 6836951.115 -999999, 226990.809 6836950.633 -999999, 226990.966 6836950.154 -999999, 226991.132 6836949.677 -999999, 226991.305 6836949.203 -999999, 226991.485 6836948.732 -999999, 226991.672 6836948.264 -999999, 226991.868 6836947.799 -999999, 226992.069 6836947.336 -999999)</t>
  </si>
  <si>
    <t>POLYGON ((226989.80469089196 6836961.557169258, 226989.78989690304 6836961.059104963, 226989.78301375086 6836960.563518006, 226989.78498235648 6836960.06644509, 226989.79384949594 6836959.568900041, 226989.81056472668 6836959.074325862, 226989.83615773855 6836958.57821517, 226989.86867114512 6836958.081646779, 226989.9090228556 6836957.586600184, 226989.95724676878 6836957.092551115, 226990.01334314747 6836956.59949347, 226990.07737580567 6836956.10693456, 226990.14831567905 6836955.615281828, 226990.22696034695 6836955.124735712, 226990.31445205412 6836954.637141478, 226990.41008855993 6836954.148113572, 226990.51154131794 6836953.662519303, 226990.62164666128 6836953.177859176, 226990.73979068705 6836952.695437738, 226990.86497321643 6836952.2144214045, 226990.99680136345 6836951.736298423, 226991.13748725635 6836951.260130786, 226991.28529944798 6836950.785160944, 226991.43971453252 6836950.3140474055, 226991.60298446676 6836949.844892233, 226991.77340111206 6836949.377970326, 226991.95070746052 6836948.914018714, 226992.13456563163 6836948.4538816875, 226992.3277071918 6836947.995663189, 226992.52764519898 6836947.5351094715, 226991.610354801 6836947.136890529, 226991.409354801 6836947.599890528, 226991.40725695118 6836947.604794328, 226991.21125695118 6836948.069794329, 226991.20769326488 6836948.078475728, 226991.02069326487 6836948.546475727, 226991.01794490137 6836948.553507606, 226990.83794490137 6836949.0245076055, 226990.8353061411 6836949.031571651, 226990.6623061411 6836949.505571651, 226990.6597783191 6836949.512662895, 226990.49377831907 6836949.989662895, 226990.4908707896 6836949.998268714, 226990.33387078962 6836950.477268714, 226990.33158410058 6836950.484426588, 226990.1815841006 6836950.966426588, 226990.17949114597 6836950.97332693, 226990.03649114596 6836951.45732693, 226990.03398616056 6836951.466099065, 226989.89998616057 6836951.952099064, 226989.8981177373 6836951.959071624, 226989.77111773728 6836952.447071624, 226989.76935134418 6836952.454065635, 226989.64935134418 6836952.944065635, 226989.6474238589 6836952.952232195, 226989.53542385888 6836953.445232195, 226989.53356768363 6836953.453745378, 226989.43056768365 6836953.946745378, 226989.4292955688 6836953.953035625, 226989.3322955688 6836954.449035625, 226989.3308599732 6836954.456692616, 226989.2418599732 6836954.952692617, 226989.24030440382 6836954.961850406, 226989.16030440383 6836955.4608504055, 226989.15912491336 6836955.468595178, 226989.08712491335 6836955.967595178, 226989.0861721913 6836955.974542385, 226989.0211721913 6836956.474542385, 226989.02020496203 6836956.482478409, 226988.96320496203 6836956.983478409, 226988.9623650202 6836956.991426067, 226988.9133650202 6836957.493426068, 226988.9126527768 6836957.501379252, 226988.8716527768 6836958.004379252, 226988.871068349 6836958.012331856, 226988.838068349 6836958.516331856, 226988.83766398745 6836958.523240603, 226988.81166398744 6836959.027240603, 226988.81128531854 6836959.036111035, 226988.79428531855 6836959.539111035, 226988.79407938506 6836959.547090524, 226988.78507938507 6836960.052090524, 226988.78500392113 6836960.059019817, 226988.78300392113 6836960.564019817, 226988.78304821832 6836960.572943774, 226988.79004821833 6836961.076943775, 226988.79022042078 6836961.0848449385, 226988.80522042076 6836961.589844938, 226988.80543346345 6836961.595815273, 226988.82643346346 6836962.099815273, 226989.82556653654 6836962.058184727, 226989.80469089196 6836961.557169258))</t>
  </si>
  <si>
    <t>['EV6 S47D1 m5907-5931']</t>
  </si>
  <si>
    <t>LINESTRING Z (229763.506 6836664.048 -999999, 229762.382 6836664.075 -999999, 229761.257 6836664.11 -999999, 229760.133 6836664.152 -999999, 229759.01 6836664.201 -999999, 229757.886 6836664.258 -999999, 229756.764 6836664.322 -999999, 229755.642 6836664.394 -999999, 229754.519 6836664.473 -999999, 229753.397 6836664.56 -999999, 229752.277 6836664.654 -999999, 229751.157 6836664.755 -999999, 229750.037 6836664.864 -999999, 229748.919 6836664.981 -999999, 229747.801 6836665.104 -999999, 229746.683 6836665.235 -999999, 229745.567 6836665.374 -999999, 229744.452 6836665.519 -999999, 229743.337 6836665.672 -999999, 229742.224 6836665.832 -999999, 229741.112 6836666 -999999, 229740 6836666.175 -999999, 229738.891 6836666.358 -999999)</t>
  </si>
  <si>
    <t>POLYGON ((229762.3699927877 6836663.575144194, 229762.36645196704 6836663.5752418, 229761.24145196704 6836663.610241801, 229761.23832975596 6836663.6103487, 229760.11432975595 6836663.652348699, 229760.11120417507 6836663.6524752835, 229758.98820417508 6836663.701475284, 229758.98467666897 6836663.7016416835, 229757.86067666896 6836663.7586416835, 229757.8575257865 6836663.758811439, 229756.7355257865 6836663.822811439, 229756.73198029798 6836663.823026314, 229755.60998029797 6836663.895026315, 229755.6069130689 6836663.895232612, 229754.48391306892 6836663.974232612, 229754.48034597572 6836663.974496373, 229753.35834597572 6836664.061496372, 229753.35518273612 6836664.061751752, 229752.23518273613 6836664.155751753, 229752.23209294069 6836664.156020727, 229751.1120929407 6836664.257020727, 229751.1085681055 6836664.257351176, 229749.9885681055 6836664.366351176, 229749.9849586179 6836664.366715681, 229748.86695861787 6836664.48371568, 229748.86432097555 6836664.4839987885, 229747.74632097557 6836664.606998789, 229747.74281133074 6836664.607397464, 229746.62481133072 6836664.738397464, 229746.6212015157 6836664.738833751, 229745.5052015157 6836664.87783375, 229745.50252051995 6836664.878175034, 229744.38752051993 6836665.023175035, 229744.3840270898 6836665.023641864, 229743.26902708982 6836665.176641864, 229743.26585357738 6836665.177087698, 229742.15285357737 6836665.337087698, 229742.1493080409 6836665.337610365, 229741.03730804092 6836665.5056103645, 229741.03426962145 6836665.506078966, 229739.92226962146 6836665.681078966, 229739.91859411265 6836665.681671427, 229738.80959411265 6836665.864671427, 229738.97240588735 6836666.851328573, 229740.0795692357 6836666.668631645, 229741.18821175458 6836666.494160026, 229742.2969201562 6836666.3266573185, 229743.40656043403 6836666.167140298, 229744.51822701623 6836666.014597708, 229745.6301394194 6836665.869999234, 229746.7429943521 6836665.731390959, 229747.8574346302 6836665.6008080635, 229748.97236057508 6836665.478146263, 229750.08723718792 6836665.36147313, 229751.20367006733 6836665.252820288, 229752.32036270355 6836665.152118541, 229753.43723599357 6836665.0583809605, 229754.55587093014 6836664.971641889, 229755.67555365994 6836664.8928752495, 229756.79424729667 6836664.821087422, 229757.9128991231 6836664.757278406, 229759.0335598108 6836664.700447748, 229760.15323320718 6836664.651592898, 229761.27410942386 6836664.609709623, 229762.3957777286 6836664.5748132765, 229763.51800721232 6836664.547855807, 229763.49399278767 6836663.548144194, 229762.3699927877 6836663.575144194))</t>
  </si>
  <si>
    <t>['EV6 S47D1 m5939-5987']</t>
  </si>
  <si>
    <t>LINESTRING Z (229695.178 6836697.363 -999999, 229696.161 6836696.703 -999999, 229697.15 6836696.049 -999999, 229698.142 6836695.402 -999999, 229699.139 6836694.762 -999999, 229700.14 6836694.128 -999999, 229701.145 6836693.501 -999999, 229702.155 6836692.882 -999999, 229703.169 6836692.268 -999999, 229704.187 6836691.661 -999999, 229705.209 6836691.063 -999999, 229706.235 6836690.47 -999999, 229707.265 6836689.885 -999999, 229708.298 6836689.305 -999999, 229709.336 6836688.734 -999999, 229710.378 6836688.169 -999999, 229711.423 6836687.612 -999999, 229712.473 6836687.061 -999999, 229713.525 6836686.518 -999999, 229714.058 6836686.29 -999999, 229714.588 6836686.056 -999999, 229715.115 6836685.815 -999999, 229715.638 6836685.566 -999999, 229716.157 6836685.311 -999999, 229716.674 6836685.05 -999999, 229717.187 6836684.78 -999999, 229717.697 6836684.504 -999999, 229718.202 6836684.223 -999999, 229718.704 6836683.933 -999999, 229719.203 6836683.638 -999999, 229719.696 6836683.335 -999999, 229720.186 6836683.026 -999999, 229720.672 6836682.711 -999999, 229721.153 6836682.389 -999999, 229721.63 6836682.062 -999999, 229722.104 6836681.727 -999999, 229722.572 6836681.387 -999999, 229723.036 6836681.04 -999999, 229723.495 6836680.687 -999999, 229723.95 6836680.328 -999999, 229724.4 6836679.963 -999999, 229724.844 6836679.592 -999999, 229725.284 6836679.215 -999999, 229725.719 6836678.833 -999999, 229726.149 6836678.444 -999999, 229726.573 6836678.051 -999999, 229726.993 6836677.651 -999999, 229727.407 6836677.246 -999999, 229727.816 6836676.835 -999999, 229728.218 6836676.419 -999999, 229728.617 6836675.998 -999999, 229729.008 6836675.572 -999999, 229729.394 6836675.14 -999999, 229729.775 6836674.703 -999999, 229730.149 6836674.262 -999999, 229730.518 6836673.815 -999999, 229730.881 6836673.363 -999999, 229731.238 6836672.908 -999999, 229731.588 6836672.447 -999999, 229731.933 6836671.981 -999999, 229732.271 6836671.511 -999999)</t>
  </si>
  <si>
    <t>POLYGON ((229696.43825540136 6836697.119091965, 229697.424471669 6836696.466932775, 229698.41362769564 6836695.821787666, 229699.40782128435 6836695.1835891735, 229700.40610001876 6836694.551312732, 229701.40796874708 6836693.926266273, 229702.4151286784 6836693.309006869, 229703.4265282987 6836692.696581458, 229704.44129487578 6836692.091509442, 229705.46035927176 6836691.495227143, 229706.48357070397 6836690.903838859, 229707.51086255405 6836690.320376983, 229708.5408953778 6836689.742042968, 229709.57566406438 6836689.172820502, 229710.61476113193 6836688.609394548, 229711.65676191106 6836688.053993176, 229712.70383591333 6836687.504528628, 229713.73826819047 6836686.970596379, 229714.25464732366 6836686.749706243, 229714.25994758063 6836686.74740264, 229714.78994758063 6836686.51340264, 229714.7959410505 6836686.510709269, 229715.32294105052 6836686.2697092695, 229715.32993328385 6836686.266446213, 229715.85293328387 6836686.0174462125, 229715.85848860082 6836686.014759152, 229716.37748860082 6836685.759759152, 229716.3823318116 6836685.757346922, 229716.89933181158 6836685.496346922, 229716.90687321612 6836685.492459111, 229717.41987321613 6836685.222459111, 229717.42497489872 6836685.219736225, 229717.9349748987 6836684.943736224, 229717.94011524468 6836684.940915298, 229718.44511524469 6836684.659915298, 229718.45211006075 6836684.65594914, 229718.95411006076 6836684.36594914, 229718.9584518303 6836684.36341174, 229719.4574518303 6836684.0684117405, 229719.46480762662 6836684.063977425, 229719.9578076266 6836683.760977425, 229719.9627041676 6836683.757928939, 229720.4527041676 6836683.448928938, 229720.4579477268 6836683.445576493, 229720.9439477268 6836683.130576493, 229720.95014695197 6836683.126492808, 229721.43114695197 6836682.804492808, 229721.43571377083 6836682.801398987, 229721.91271377084 6836682.474398986, 229721.9185782938 6836682.47031675, 229722.39257829377 6836682.13531675, 229722.39788023476 6836682.1315175, 229722.86588023475 6836681.7915175, 229722.8714474191 6836681.78741384, 229723.33544741911 6836681.44041384, 229723.34081364857 6836681.436344093, 229723.79981364857 6836681.083344093, 229723.80471024543 6836681.079529698, 229724.25971024545 6836680.720529698, 229724.264971332 6836680.716320821, 229724.714971332 6836680.351320822, 229724.72060191157 6836680.346685307, 229725.1646019116 6836679.975685307, 229725.16932461638 6836679.9716892075, 229725.60932461638 6836679.594689207, 229725.61392437562 6836679.590699223, 229726.04892437562 6836679.208699223, 229726.05443408227 6836679.203788317, 229726.48443408226 6836678.814788317, 229726.48889367958 6836678.810704632, 229726.91289367958 6836678.417704632, 229726.91782758638 6836678.413068965, 229727.33782758637 6836678.013068965, 229727.34264707743 6836678.008417013, 229727.75664707745 6836677.603417014, 229727.76141466192 6836677.598690016, 229728.1704146619 6836677.187690016, 229728.17555177055 6836677.182451471, 229728.57755177055 6836676.766451471, 229728.58090838042 6836676.762944046, 229728.97990838042 6836676.341944046, 229728.9853616363 6836676.336097183, 229729.3763616363 6836675.910097183, 229729.3808462974 6836675.9051450705, 229729.7668462974 6836675.4731450705, 229729.77087541137 6836675.468580164, 229730.15187541136 6836675.031580164, 229730.1563321163 6836675.026397305, 229730.53033211632 6836674.585397305, 229730.53459134547 6836674.58030695, 229730.90359134547 6836674.13330695, 229730.90784469433 6836674.128083239, 229731.2708446943 6836673.676083239, 229731.27436907907 6836673.671643431, 229731.63136907908 6836673.216643431, 229731.63623086258 6836673.210344472, 229731.98623086256 6836672.749344472, 229731.98985496516 6836672.74451065, 229732.33485496516 6836672.27851065, 229732.33893092445 6836672.272924792, 229732.67693092447 6836671.802924792, 229731.86506907555 6836671.219075208, 229731.5290877455 6836671.686268181, 229731.18794247645 6836672.147061501, 229730.8421749825 6836672.602486686, 229730.48938053203 6836673.052126672, 229730.13026438028 6836673.4992905855, 229729.76552135975 6836673.941133757, 229729.39587853977 6836674.376996012, 229729.01912522624 6836674.80912514, 229728.6373795193 6836675.23636386, 229728.25134159753 6836675.656957605, 229727.85676144308 6836676.073294059, 229727.45899754835 6836676.484910428, 229727.0549532828 6836676.890930461, 229726.64574706144 6836677.291240893, 229726.23062369815 6836677.686596478, 229725.81132373825 6836678.075240073, 229725.38630265323 6836678.459735892, 229724.95636337827 6836678.83729176, 229724.52102438014 6836679.21029813, 229724.08219647498 6836679.576976403, 229723.63764501727 6836679.937557029, 229723.18772622416 6836680.2925479, 229722.7338557604 6836680.641602963, 229722.27532197183 6836680.984515085, 229721.8127583489 6836681.32056558, 229721.3443393978 6836681.6516211685, 229720.8725610823 6836681.975041524, 229720.3969374848 6836682.293442352, 229719.91666365374 6836682.604730945, 229719.4317352782 6836682.910532717, 229718.94485124396 6836683.209773817, 229718.4517126784 6836683.50130864, 229717.9553713862 6836683.788039666, 229717.45644665186 6836684.065659171, 229716.95156807295 6836684.338887579, 229716.4448810012 6836684.6055649845, 229715.934083279 6836684.863433855, 229715.42028073006 6836685.115880193, 229714.90355026204 6836685.361895273, 229714.3830468716 6836685.599924337, 229713.85869584742 6836685.831430262, 229713.32835267633 6836686.058293757, 229713.2956677822 6836686.073695225, 229712.2436677822 6836686.616695224, 229712.24066569234 6836686.618257672, 229711.19066569235 6836687.169257672, 229711.187815466 6836687.170765102, 229710.14281546598 6836687.727765102, 229710.13966820145 6836687.729457108, 229709.09766820146 6836688.294457109, 229709.0950082227 6836688.295909869, 229708.0570082227 6836688.866909868, 229708.053210102 6836688.869020751, 229707.020210102 6836689.449020751, 229707.01806782084 6836689.450230522, 229705.9880678208 6836690.035230522, 229705.98479793814 6836690.037104021, 229704.95879793816 6836690.630104021, 229704.9564871101 6836690.63144787, 229703.9344871101 6836691.2294478705, 229703.93093181713 6836691.231547924, 229702.91293181712 6836691.838547924, 229702.91001742706 6836691.840299139, 229701.89601742706 6836692.454299139, 229701.89372886874 6836692.455693308, 229700.88372886874 6836693.074693308, 229700.8803420918 6836693.076787563, 229699.87534209184 6836693.703787562, 229699.87246392012 6836693.70559682, 229698.8714639201 6836694.339596821, 229698.868898556 6836694.341232594, 229697.87189855598 6836694.981232594, 229697.8688532319 6836694.9832031, 229696.8768532319 6836695.6302031, 229696.87420888664 6836695.631939738, 229695.88520888664 6836696.285939738, 229695.8822870642 6836696.287886643, 229694.8992870642 6836696.947886643, 229695.45671293582 6836697.778113357, 229696.43825540136 6836697.119091965))</t>
  </si>
  <si>
    <t>['EV6 S47D1 m5872-5911']</t>
  </si>
  <si>
    <t>LINESTRING Z (229771.244 6836607.701 -999999, 229768.836 6836608.992 -999999, 229766.417 6836610.268 -999999, 229763.992 6836611.529 -999999, 229761.558 6836612.774 -999999, 229759.117 6836614.005 -999999, 229756.668 6836615.22 -999999, 229754.213 6836616.42 -999999, 229751.749 6836617.605 -999999, 229749.277 6836618.775 -999999, 229746.799 6836619.929 -999999, 229744.314 6836621.068 -999999, 229741.822 6836622.191 -999999, 229739.322 6836623.298 -999999, 229736.816 6836624.391 -999999)</t>
  </si>
  <si>
    <t>POLYGON ((229768.60123096927 6836608.550540674, 229766.1850197209 6836609.825069633, 229763.76281221706 6836611.084617536, 229761.33158020285 6836612.3282017, 229758.89331883227 6836613.557820605, 229756.4471041035 6836614.771438774, 229753.99485950038 6836615.970091941, 229751.53369486373 6836617.153728343, 229749.06450601056 6836618.322397824, 229746.58929020495 6836619.47510123, 229744.10711815712 6836620.612805038, 229741.61806440362 6836621.734477335, 229739.1208321336 6836622.840251785, 229736.61610878006 6836623.932694971, 229737.01589121993 6836624.849305029, 229739.52189121992 6836623.75630503, 229739.52444123774 6836623.755184367, 229742.02444123774 6836622.6481843665, 229742.0274257034 6836622.64685116, 229744.51942570342 6836621.52385116, 229744.52233365347 6836621.522529525, 229747.00733365346 6836620.383529524, 229747.01008217916 6836620.382259653, 229749.48808217916 6836619.228259654, 229749.49090170235 6836619.2269359045, 229751.96290170235 6836618.056935905, 229751.9657043464 6836618.055598742, 229754.42970434637 6836616.870598742, 229754.43257224775 6836616.869208223, 229756.88757224777 6836615.669208223, 229756.8902157263 6836615.667906431, 229759.3392157263 6836614.452906431, 229759.3421417829 6836614.451442804, 229761.7831417829 6836613.2204428045, 229761.78569408035 6836613.219146499, 229764.21969408036 6836611.974146499, 229764.2226763683 6836611.9726084005, 229766.6476763683 6836610.711608401, 229766.6502800045 6836610.710244774, 229769.06928000454 6836609.434244773, 229769.07225288608 6836609.432663787, 229771.48025288607 6836608.141663788, 229771.00774711394 6836607.260336213, 229768.60123096927 6836608.550540674))</t>
  </si>
  <si>
    <t>['EV6 S47D1 m5959-6013']</t>
  </si>
  <si>
    <t>LINESTRING Z (229649.453 6836673.411 -999999, 229650.059 6836672.769 -999999, 229650.671 6836672.133 -999999, 229651.288 6836671.502 -999999, 229651.911 6836670.877 -999999, 229652.539 6836670.258 -999999, 229653.173 6836669.644 -999999, 229653.812 6836669.034 -999999, 229654.457 6836668.432 -999999, 229655.106 6836667.834 -999999, 229655.761 6836667.243 -999999, 229656.421 6836666.657 -999999, 229657.086 6836666.076 -999999, 229657.756 6836665.501 -999999, 229658.431 6836664.933 -999999, 229659.11 6836664.371 -999999, 229659.796 6836663.814 -999999, 229660.486 6836663.263 -999999, 229661.179 6836662.719 -999999, 229661.879 6836662.18 -999999, 229662.583 6836661.648 -999999, 229663.291 6836661.121 -999999, 229664.004 6836660.602 -999999, 229664.722 6836660.087 -999999, 229665.444 6836659.58 -999999, 229666.171 6836659.079 -999999, 229666.901 6836658.584 -999999, 229667.637 6836658.095 -999999, 229668.498 6836657.473 -999999, 229669.365 6836656.859 -999999, 229670.235 6836656.25 -999999, 229671.11 6836655.647 -999999, 229671.991 6836655.051 -999999, 229672.875 6836654.462 -999999, 229673.763 6836653.88 -999999, 229674.656 6836653.304 -999999, 229675.554 6836652.735 -999999, 229676.455 6836652.173 -999999, 229677.361 6836651.617 -999999, 229678.271 6836651.068 -999999, 229679.185 6836650.527 -999999, 229680.103 6836649.991 -999999, 229681.025 6836649.463 -999999, 229681.952 6836648.942 -999999, 229682.882 6836648.429 -999999, 229683.815 6836647.921 -999999, 229684.753 6836647.421 -999999, 229685.694 6836646.927 -999999, 229686.639 6836646.442 -999999, 229687.588 6836645.963 -999999, 229688.54 6836645.492 -999999, 229689.496 6836645.027 -999999, 229690.455 6836644.569 -999999, 229691.418 6836644.119 -999999, 229692.383 6836643.676 -999999, 229693.353 6836643.241 -999999)</t>
  </si>
  <si>
    <t>POLYGON ((229650.42095167376 6836673.1139590675, 229651.02989722427 6836672.481133299, 229651.64381653408 6836671.853283891, 229652.26356289737 6836671.231547973, 229652.8884244211 6836670.615641471, 229653.51955158202 6836670.004423684, 229654.15521606395 6836669.397607825, 229654.79698830316 6836668.798620402, 229655.44289033624 6836668.203474923, 229656.0944666353 6836667.615564094, 229656.75147657518 6836667.032218905, 229657.41330659267 6836666.453988469, 229658.07978617237 6836665.882009725, 229658.75137292268 6836665.316881912, 229659.42699480426 6836664.757677939, 229660.10959046995 6836664.2034420995, 229660.79637410186 6836663.655010533, 229661.4858977533 6836663.11373944, 229662.18225394137 6836662.577545176, 229662.88300211646 6836662.0480025215, 229663.5874094782 6836661.523676703, 229664.29684147838 6836661.007273886, 229665.01138771354 6836660.494751169, 229665.72953571673 6836659.990456102, 229666.45317049997 6836659.491775186, 229667.17966062343 6836658.99915517, 229667.91369686168 6836658.511459898, 229667.92979683555 6836658.5003023725, 229668.7888896272 6836657.879680171, 229669.65285252754 6836657.267831012, 229670.5202311233 6836656.6606659945, 229671.39194908438 6836656.059927788, 229672.26970633314 6836655.466121522, 229673.1506652967 6836654.879147734, 229674.03555460335 6836654.299186498, 229674.9253224394 6836653.725271298, 229675.8201203008 6836653.15830027, 229676.71807459017 6836652.598200037, 229677.62090797914 6836652.044143342, 229678.52748789324 6836651.497206669, 229679.43839856808 6836650.958035252, 229680.35329729255 6836650.423846019, 229681.2717285987 6836649.897889697, 229682.19524161977 6836649.378849476, 229683.12230062563 6836648.867471766, 229684.0521509755 6836648.361186689, 229684.9868044798 6836647.862970535, 229685.92435965818 6836647.370778975, 229686.86580254303 6836646.887604584, 229687.8115137106 6836646.410264596, 229688.76021445807 6836645.940896893, 229689.7130927573 6836645.477415294, 229690.6685800298 6836645.021092906, 229691.62814115174 6836644.572699858, 229692.5896031991 6836644.1313240165, 229693.5575954729 6836643.697224389, 229693.1484045271 6836642.784775612, 229692.1784045271 6836643.219775612, 229692.17439704188 6836643.221594008, 229691.20939704188 6836643.664594008, 229691.20632553456 6836643.666016644, 229690.24332553454 6836644.116016644, 229690.2395219987 6836644.117813529, 229689.28052199873 6836644.575813529, 229689.2772979777 6836644.577367455, 229688.3212979777 6836645.042367455, 229688.31827817194 6836645.043848874, 229687.36627817192 6836645.514848875, 229687.36270153918 6836645.516636243, 229686.4137015392 6836645.995636242, 229686.41069833853 6836645.9971648045, 229685.46569833852 6836646.482164805, 229685.46159227076 6836646.484296208, 229684.52059227077 6836646.978296208, 229684.51780354755 6836646.979771455, 229683.57980354756 6836647.479771455, 229683.57590376554 6836647.481872466, 229682.64290376555 6836647.989872466, 229682.64049866423 6836647.99119056, 229681.7104986642 6836648.50419056, 229681.70702566404 6836648.506124359, 229680.78002566405 6836649.027124359, 229680.7765252023 6836649.029110297, 229679.8545252023 6836649.557110297, 229679.85088903856 6836649.559212943, 229678.93288903855 6836650.095212942, 229678.93031820786 6836650.096724292, 229678.01631820787 6836650.637724292, 229678.01271508707 6836650.6398774665, 229677.10271508707 6836651.188877466, 229677.09947635818 6836651.190848167, 229676.19347635817 6836651.746848168, 229676.19038155038 6836651.748762948, 229675.2893815504 6836652.310762948, 229675.2863844508 6836652.312647165, 229674.38838445078 6836652.881647164, 229674.38497943536 6836652.883824021, 229673.49197943538 6836653.459824021, 229673.48891870363 6836653.461814105, 229672.60091870363 6836654.043814105, 229672.5977585342 6836654.045902452, 229671.7137585342 6836654.634902452, 229671.7108358311 6836654.63686471, 229670.82983583107 6836655.23286471, 229670.82627647714 6836655.235295054, 229669.95127647714 6836655.838295054, 229669.94826882775 6836655.84038404, 229669.07826882775 6836656.44938404, 229669.0760305051 6836656.450960013, 229668.2090305051 6836657.064960013, 229668.20520316443 6836657.0676976275, 229667.35214385236 6836657.683961148, 229666.62430313832 6836658.167540101, 229666.62038793543 6836658.170168066, 229665.89038793542 6836658.6651680665, 229665.88727911 6836658.667293239, 229665.16027911 6836659.16829324, 229665.15666055953 6836659.170810501, 229664.43466055955 6836659.677810501, 229664.43057854995 6836659.68070757, 229663.71257854992 6836660.19570757, 229663.70974561968 6836660.19775458, 229662.9967456197 6836660.71675458, 229662.9924522229 6836660.719914941, 229662.28445222293 6836661.246914941, 229662.28155139307 6836661.249090565, 229661.57755139304 6836661.781090565, 229661.57395320013 6836661.783835324, 229660.87395320015 6836662.322835324, 229660.8702647049 6836662.325703016, 229660.1772647049 6836662.869703016, 229660.17399787097 6836662.87228953, 229659.48399787096 6836663.42328953, 229659.48083151603 6836663.425839175, 229658.79483151602 6836663.982839175, 229658.79119292423 6836663.985822056, 229658.11219292425 6836664.547822056, 229658.1090717755 6836664.550426846, 229657.4340717755 6836665.118426846, 229657.43037118771 6836665.121571645, 229656.76037118773 6836665.696571645, 229656.75702839057 6836665.69946623, 229656.09202839056 6836666.28046623, 229656.0890291071 6836666.283107867, 229655.4290291071 6836666.869107868, 229655.42604821542 6836666.871775941, 229654.77104821542 6836667.462775941, 229654.76718952972 6836667.466294322, 229654.11818952972 6836668.064294322, 229654.11584087482 6836668.0664723655, 229653.47084087483 6836668.6684723655, 229653.46674866552 6836668.672335078, 229652.82774866553 6836669.282335078, 229652.82515719294 6836669.284826809, 229652.19115719292 6836669.898826809, 229652.18800745936 6836669.901904176, 229651.56000745937 6836670.520904176, 229651.55688047214 6836670.524013655, 229650.93388047215 6836671.149013655, 229650.93050295903 6836671.152434748, 229650.31350295903 6836671.783434748, 229650.3107141205 6836671.786309814, 229649.69871412052 6836672.422309814, 229649.69539919868 6836672.425788029, 229649.08939919868 6836673.067788029, 229649.81660080134 6836673.754211972, 229650.42095167376 6836673.1139590675))</t>
  </si>
  <si>
    <t>['EV6 S47D1 m5453-5471']</t>
  </si>
  <si>
    <t>LINESTRING Z (230155.973 6836481.975 -999999, 230156.394 6836481.307 -999999, 230156.807 6836480.636 -999999, 230157.214 6836479.962 -999999, 230157.614 6836479.282 -999999, 230158.008 6836478.6 -999999, 230158.396 6836477.914 -999999, 230158.776 6836477.224 -999999, 230159.151 6836476.531 -999999, 230159.519 6836475.834 -999999, 230159.879 6836475.133 -999999, 230160.233 6836474.429 -999999, 230160.581 6836473.722 -999999, 230160.922 6836473.011 -999999, 230161.256 6836472.297 -999999, 230161.583 6836471.58 -999999, 230161.903 6836470.861 -999999, 230162.217 6836470.137 -999999, 230162.523 6836469.41 -999999, 230162.822 6836468.682 -999999, 230163.114 6836467.951 -999999, 230163.4 6836467.216 -999999, 230163.678 6836466.478 -999999, 230163.95 6836465.738 -999999, 230164.213 6836464.996 -999999, 230164.47 6836464.251 -999999, 230164.721 6836463.504 -999999, 230164.963 6836462.754 -999999, 230165.199 6836462.002 -999999, 230165.427 6836461.248 -999999, 230165.649 6836460.492 -999999, 230165.863 6836459.733 -999999, 230166.07 6836458.972 -999999)</t>
  </si>
  <si>
    <t>POLYGON ((230156.81700005874 6836481.573591354, 230156.81980736853 6836481.569084118, 230157.23280736853 6836480.898084118, 230157.2350163168 6836480.894460891, 230157.6420163168 6836480.220460892, 230157.64496710768 6836480.215510064, 230158.04496710768 6836479.535510063, 230158.0469447577 6836479.532117645, 230158.4409447577 6836478.850117645, 230158.44321050643 6836478.846154047, 230158.83121050644 6836478.160154047, 230158.8339738713 6836478.155203002, 230159.21397387132 6836477.465203002, 230159.2157455995 6836477.461957576, 230159.5907455995 6836476.768957576, 230159.59315600112 6836476.764448219, 230159.9611560011 6836476.067448218, 230159.96377654042 6836476.062415913, 230160.3237765404 6836475.361415913, 230160.3257048241 6836475.35762146, 230160.6797048241 6836474.653621459, 230160.68160080985 6836474.649810582, 230161.02960080985 6836473.942810583, 230161.03183076796 6836473.938221226, 230161.37283076794 6836473.227221226, 230161.3748969185 6836473.222859343, 230161.7088969185 6836472.508859343, 230161.7109221321 6836472.504474947, 230162.03792213212 6836471.787474947, 230162.03980091715 6836471.783304998, 230162.35980091713 6836471.064304997, 230162.36171615074 6836471.059945955, 230162.67571615076 6836470.3359459555, 230162.67784154837 6836470.330971821, 230162.98384154835 6836469.603971821, 230162.9855099092 6836469.5999594275, 230163.2845099092 6836468.871959427, 230163.28632590652 6836468.867476285, 230163.57832590654 6836468.136476286, 230163.5799666342 6836468.132314908, 230163.86596663418 6836467.397314908, 230163.8679035188 6836467.392256339, 230164.14590351883 6836466.654256339, 230164.1473013577 6836466.650499959, 230164.4193013577 6836465.910499958, 230164.42127195757 6836465.905041139, 230164.68427195755 6836465.163041139, 230164.68566626025 6836465.159053999, 230164.94266626026 6836464.414053999, 230164.94395958373 6836464.410255496, 230165.19495958372 6836463.663255496, 230165.19684234782 6836463.657538464, 230165.43884234782 6836462.907538464, 230165.4400590306 6836462.903715334, 230165.6760590306 6836462.1517153345, 230165.67759753484 6836462.146721801, 230165.90559753485 6836461.3927218, 230165.90674333525 6836461.388877011, 230166.12874333526 6836460.632877011, 230166.13023757847 6836460.627684903, 230166.34423757848 6836459.868684904, 230166.34546958705 6836459.8642368, 230166.55246958704 6836459.1032368, 230165.58753041297 6836458.8407632, 230165.38113615007 6836459.599536312, 230165.1684955165 6836460.353715007, 230164.9478218483 6836461.10519831, 230164.72115867352 6836461.854777405, 230164.48654164572 6836462.602370646, 230164.24608182802 6836463.347597354, 230163.9966794569 6836464.089842658, 230163.74102246747 6836464.830949495, 230163.47969750076 6836465.568223735, 230163.20939003362 6836466.30361905, 230162.9330512245 6836467.037209126, 230162.6488444181 6836467.767600745, 230162.35857125826 6836468.494277731, 230162.0613155503 6836469.218030758, 230161.7572076984 6836469.940535361, 230161.44523108203 6836470.659869979, 230161.12712893676 6836471.374605737, 230160.80207988588 6836472.087327968, 230160.47012563914 6836472.796954711, 230160.13127250376 6836473.503478403, 230159.78533907255 6836474.206279943, 230159.43325124733 6836474.906477201, 230159.0755194476 6836475.60306051, 230158.71003766544 6836476.295290952, 230158.3371342666 6836476.984416433, 230157.95939377722 6836477.670313637, 230157.57391331007 6836478.351858998, 230157.1820374292 6836479.030182224, 230156.78449400418 6836479.706006046, 230156.38008048313 6836480.375722786, 230155.9695843103 6836481.042654825, 230155.54999994126 6836481.708408645, 230156.39600005874 6836482.241591354, 230156.81700005874 6836481.573591354))</t>
  </si>
  <si>
    <t>['EV6 S47D1 m5014-5052']</t>
  </si>
  <si>
    <t>LINESTRING Z (230486.096 6836138.371 -999999, 230475.861 6836146.415 -999999, 230475.372 6836146.761 -999999, 230474.887 6836147.113 -999999, 230474.407 6836147.472 -999999, 230473.932 6836147.837 -999999, 230473.461 6836148.209 -999999, 230472.995 6836148.585 -999999, 230472.534 6836148.969 -999999, 230472.078 6836149.358 -999999, 230471.628 6836149.753 -999999, 230471.183 6836150.154 -999999, 230470.742 6836150.56 -999999, 230470.307 6836150.973 -999999, 230469.878 6836151.391 -999999, 230469.454 6836151.814 -999999, 230469.035 6836152.243 -999999, 230468.622 6836152.678 -999999, 230468.215 6836153.117 -999999, 230467.814 6836153.562 -999999, 230467.418 6836154.012 -999999, 230467.028 6836154.467 -999999, 230466.644 6836154.928 -999999, 230466.266 6836155.392 -999999, 230465.894 6836155.863 -999999, 230465.528 6836156.337 -999999, 230465.169 6836156.817 -999999, 230464.816 6836157.301 -999999, 230464.469 6836157.79 -999999, 230464.128 6836158.283 -999999, 230463.794 6836158.781 -999999, 230463.466 6836159.282 -999999, 230463.146 6836159.788 -999999, 230462.83 6836160.299 -999999, 230462.523 6836160.813 -999999, 230462.222 6836161.33 -999999, 230461.927 6836161.852 -999999, 230461.64 6836162.379 -999999, 230461.359 6836162.909 -999999, 230461.085 6836163.441 -999999, 230460.818 6836163.977 -999999, 230460.558 6836164.518 -999999, 230460.456 6836164.637 -999999, 230460.347 6836164.749 -999999, 230460.232 6836164.857 -999999, 230460.113 6836164.96 -999999, 230459.989 6836165.056 -999999, 230459.86 6836165.146 -999999, 230459.728 6836165.228 -999999, 230459.59 6836165.305 -999999, 230459.45 6836165.376 -999999, 230459.306 6836165.438 -999999, 230459.159 6836165.494 -999999, 230459.009 6836165.542 -999999, 230458.858 6836165.583 -999999, 230458.704 6836165.616 -999999, 230458.55 6836165.641 -999999, 230458.394 6836165.66 -999999, 230458.237 6836165.67 -999999)</t>
  </si>
  <si>
    <t>POLYGON ((230475.56192896445 6836146.014107471, 230475.08319979682 6836146.352840175, 230475.07831116964 6836146.356343515, 230474.59331116962 6836146.708343515, 230474.5875341338 6836146.712599956, 230474.10753413383 6836147.071599957, 230474.1023463444 6836147.075532914, 230473.6273463444 6836147.440532914, 230473.62209682987 6836147.444622599, 230473.15109682988 6836147.816622598, 230473.14702585427 6836147.819872469, 230472.68102585425 6836148.195872469, 230472.67498977747 6836148.200821061, 230472.2139897775 6836148.58482106, 230472.20949829245 6836148.588607253, 230471.75349829244 6836148.977607253, 230471.74815691978 6836148.982229402, 230471.29815691977 6836149.377229402, 230471.29328711945 6836149.381560519, 230470.84828711944 6836149.78256052, 230470.8443452627 6836149.786150889, 230470.40334526272 6836150.192150888, 230470.39773482087 6836150.19739624, 230469.96273482087 6836150.610396241, 230469.95806763673 6836150.614885206, 230469.52906763673 6836151.032885206, 230469.52486427376 6836151.037029438, 230469.10086427376 6836151.460029438, 230469.09630221812 6836151.464640162, 230468.67730221813 6836151.8936401615, 230468.67239624 6836151.898734821, 230468.25939624 6836152.3337348215, 230468.2553356378 6836152.338062881, 230467.8483356378 6836152.77706288, 230467.84356051925 6836152.78228712, 230467.44256051927 6836153.22728712, 230467.43864324148 6836153.231686053, 230467.04264324147 6836153.681686053, 230467.0383716988 6836153.686604314, 230466.6483716988 6836154.141604314, 230466.6438210607 6836154.146989778, 230466.2598210607 6836154.607989778, 230466.25635220433 6836154.612200718, 230465.87835220434 6836155.076200718, 230465.87362259883 6836155.08209683, 230465.50162259882 6836155.55309683, 230465.49824735415 6836155.557418843, 230465.13224735414 6836156.031418843, 230465.12759995635 6836156.037534134, 230464.76859995635 6836156.517534134, 230464.76502934904 6836156.522368513, 230464.41202934904 6836157.006368513, 230464.40823373228 6836157.011644387, 230464.0612337323 6836157.500644387, 230464.05778382905 6836157.50556853, 230463.71678382903 6836157.99856853, 230463.71274615603 6836158.004496418, 230463.37874615603 6836158.502496419, 230463.37567707 6836158.5071279025, 230463.04767707 6836159.008127902, 230463.04341438427 6836159.014752179, 230462.7234143843 6836159.520752179, 230462.7207433254 6836159.5250232695, 230462.40474332537 6836160.036023269, 230462.40073857782 6836160.042612341, 230462.09373857782 6836160.556612342, 230462.0908985083 6836160.561428338, 230461.78989850832 6836161.078428338, 230461.78670305043 6836161.083998851, 230461.49170305041 6836161.60599885, 230461.48789309664 6836161.61286588, 230461.20089309665 6836162.13986588, 230461.1982480424 6836162.1447881125, 230460.9172480424 6836162.674788113, 230460.914492108 6836162.680061725, 230460.64049210798 6836163.212061725, 230460.63745291295 6836163.218061432, 230460.37045291296 6836163.754061433, 230460.36734251393 6836163.760417844, 230460.1357267996 6836164.242356696, 230460.0866573125 6836164.299604431, 230459.99651973994 6836164.392222854, 230459.8971072216 6836164.485584175, 230459.79610854638 6836164.573003197, 230459.69272880958 6836164.653039122, 230459.58483847076 6836164.728311451, 230459.47412596754 6836164.797087401, 230459.3550187445 6836164.863545778, 230459.23785078063 6836164.922966675, 230459.11805137096 6836164.974546976, 230458.9936855096 6836165.021924447, 230458.86722675292 6836165.062391249, 230458.74002270104 6836165.096930098, 230458.61149956702 6836165.124470769, 230458.47968692053 6836165.145868926, 230458.3478450131 6836165.161926595, 230458.2052172723 6836165.171011164, 230458.26878272768 6836166.168988836, 230458.4257827277 6836166.158988836, 230458.4544507247 6836166.156332258, 230458.6104507247 6836166.137332258, 230458.63011997318 6836166.134539045, 230458.7841199732 6836166.109539046, 230458.80876454664 6836166.104901207, 230458.96276454665 6836166.071901206, 230458.9890178315 6836166.065529095, 230459.1400178315 6836166.024529096, 230459.16138786473 6836166.0182120735, 230459.31138786476 6836165.970212073, 230459.33699766343 6836165.961243868, 230459.48399766342 6836165.905243868, 230459.5037291749 6836165.897241956, 230459.6477291749 6836165.835241956, 230459.67615135334 6836165.821932243, 230459.81615135333 6836165.750932243, 230459.83362697292 6836165.741630161, 230459.97162697293 6836165.664630162, 230459.99184160167 6836165.652720625, 230460.12384160166 6836165.570720624, 230460.14609079764 6836165.556063477, 230460.27509079766 6836165.466063477, 230460.29508659628 6836165.451361854, 230460.4190865963 6836165.355361854, 230460.4402233045 6836165.338054108, 230460.55922330447 6836165.235054108, 230460.5742867091 6836165.221471959, 230460.68928670912 6836165.113471959, 230460.70531974497 6836165.097721895, 230460.81431974497 6836164.9857218955, 230460.83562830114 6836164.962395687, 230460.93762830112 6836164.843395687, 230460.96442989452 6836164.809229705, 230460.98816596638 6836164.772867105, 230461.00865748606 6836164.734582156, 230461.26712477824 6836164.196771367, 230461.53104766973 6836163.666948633, 230461.80214560145 6836163.140583307, 230462.08044319725 6836162.615680368, 230462.36422888975 6836162.094582598, 230462.6557170979 6836161.578796684, 230462.95369492922 6836161.066987584, 230463.2572844518 6836160.558697634, 230463.56993189815 6836160.053119011, 230463.88648037284 6836159.552576736, 230464.21080124105 6836159.057196385, 230464.5412562616 6836158.564482013, 230464.87850602967 6836158.076903903, 230465.22188561398 6836157.593005871, 230465.5711998785 6836157.114059401, 230465.9260998098 6836156.639541388, 230466.2880769052 6836156.170751379, 230466.65603487263 6836155.704869113, 230467.02992485723 6836155.245914212, 230467.40992260678 6836154.789718997, 230467.79550855423 6836154.339868724, 230468.18741107977 6836153.894524946, 230468.58407040156 6836153.454341907, 230468.98664689256 6836153.020113211, 230469.3951688037 6836152.589829842, 230469.8094316956 6836152.165680008, 230470.2290462908 6836151.74705507, 230470.65361329785 6836151.333374396, 230471.08348009898 6836150.925247985, 230471.51969338642 6836150.5236548, 230471.96029210478 6836150.126620898, 230472.40518869186 6836149.736100561, 230472.85626710445 6836149.3512990195, 230473.31201150993 6836148.971676783, 230473.7729470792 6836148.599763104, 230474.23929202856 6836148.231439705, 230474.70907258007 6836147.870450439, 230475.1835926258 6836147.515548987, 230475.66325502444 6836147.167422876, 230476.1498002032 6836146.823159825, 230476.16996335864 6836146.808117849, 230486.40496335863 6836138.764117849, 230485.78703664136 6836137.9778821515, 230475.56192896445 6836146.014107471))</t>
  </si>
  <si>
    <t>['EV6 S47D1 m5045-5052']</t>
  </si>
  <si>
    <t>LINESTRING Z (230485.996 6836177.241 -999999, 230484.503 6836176.947 -999999, 230483.008 6836176.663 -999999, 230481.512 6836176.387 -999999, 230480.014 6836176.119 -999999, 230478.514 6836175.861 -999999, 230477.013 6836175.612 -999999, 230475.511 6836175.371 -999999, 230474.007 6836175.139 -999999, 230472.501 6836174.916 -999999, 230470.995 6836174.702 -999999, 230470.388 6836174.371 -999999, 230469.785 6836174.033 -999999, 230469.185 6836173.688 -999999, 230468.589 6836173.338 -999999, 230467.997 6836172.981 -999999, 230467.409 6836172.617 -999999, 230466.825 6836172.246 -999999, 230466.245 6836171.87 -999999, 230465.668 6836171.487 -999999, 230465.097 6836171.098 -999999, 230464.53 6836170.703 -999999, 230463.966 6836170.302 -999999, 230463.408 6836169.894 -999999, 230462.854 6836169.481 -999999, 230462.304 6836169.061 -999999, 230461.759 6836168.636 -999999, 230461.218 6836168.204 -999999, 230460.682 6836167.767 -999999, 230460.152 6836167.324 -999999, 230459.626 6836166.875 -999999, 230459.105 6836166.421 -999999, 230458.589 6836165.96 -999999)</t>
  </si>
  <si>
    <t>POLYGON ((230484.59960427592 6836176.456421143, 230484.59631446667 6836176.455784761, 230483.10131446668 6836176.171784761, 230483.09871505992 6836176.17129808, 230481.6027150599 6836175.8952980805, 230481.60005451884 6836175.894814667, 230480.10205451885 6836175.626814667, 230480.09875543544 6836175.626235841, 230478.59875543544 6836175.36823584, 230478.59582644168 6836175.367741007, 230477.0948264417 6836175.1187410075, 230477.0922131698 6836175.118314601, 230475.59021316978 6836174.877314601, 230475.5872261023 6836174.876844578, 230474.08322610232 6836174.644844579, 230474.08023862256 6836174.64439298, 230472.57423862253 6836174.42139298, 230472.57134251102 6836174.420972798, 230471.15493099194 6836174.219703166, 230470.62993484398 6836173.933420259, 230470.03186412525 6836173.5981832715, 230469.4362199305 6836173.25568786, 230468.84470785694 6836172.908323388, 230468.2576997914 6836172.554333726, 230467.67465279263 6836172.193399869, 230467.09505363647 6836171.825195611, 230466.51925904964 6836171.451921879, 230465.94702393643 6836171.072084706, 230465.3806672568 6836170.68624802, 230464.8177754471 6836170.294109986, 230464.25843640062 6836169.896423891, 230463.70498540747 6836169.491750048, 230463.15515895683 6836169.081861375, 230462.6094717079 6836168.665154749, 230462.0687433122 6836168.243485817, 230461.53198018495 6836167.814869049, 230461.00031715253 6836167.381404973, 230460.474649919 6836166.942026512, 230459.9525605843 6836166.4963647025, 230459.43581566596 6836166.0460725855, 230458.92212274784 6836165.587133758, 230458.25587725217 6836166.332866242, 230458.77187725218 6836166.793866242, 230458.77651673445 6836166.797959871, 230459.29751673443 6836167.251959871, 230459.30137901058 6836167.255290959, 230459.8273790106 6836167.704290959, 230459.83133857255 6836167.7076355675, 230460.36133857255 6836168.1506355675, 230460.36605088637 6836168.154525686, 230460.90205088636 6836168.591525686, 230460.90600490134 6836168.594716084, 230461.44700490133 6836169.026716084, 230461.4515290829 6836169.030286235, 230461.9965290829 6836169.455286235, 230462.00054319834 6836169.458383907, 230462.55054319833 6836169.878383907, 230462.55515899384 6836169.881866627, 230463.10915899384 6836170.294866628, 230463.1128829033 6836170.29761603, 230463.6708829033 6836170.70561603, 230463.67627009872 6836170.709500411, 230464.24027009873 6836171.11050041, 230464.2441922205 6836171.113260787, 230464.8111922205 6836171.508260787, 230464.81548879674 6836171.511220816, 230465.38648879674 6836171.900220815, 230465.391483506 6836171.903579678, 230465.968483506 6836172.286579679, 230465.9730145422 6836172.289552036, 230466.5530145422 6836172.665552036, 230466.5568896618 6836172.668038916, 230467.1408896618 6836173.039038915, 230467.14582269266 6836173.042132573, 230467.73382269265 6836173.406132573, 230467.73879550467 6836173.409171038, 230468.33079550468 6836173.766171039, 230468.33580614877 6836173.769152959, 230468.93180614876 6836174.1191529585, 230468.935764438 6836174.121453152, 230469.535764438 6836174.466453152, 230469.54052213367 6836174.469154299, 230470.14352213367 6836174.8071543, 230470.1486246059 6836174.809975422, 230470.7556246059 6836175.140975421, 230470.7958275076 6836175.160617834, 230470.83762546038 6836175.176587457, 230470.88068372998 6836175.188756397, 230470.92465748897 6836175.197027202, 230472.4292087379 6836175.410821337, 230473.93226705576 6836175.6333857495, 230475.43327965122 6836175.864924926, 230476.93247956957 6836176.1054756455, 230478.4307082633 6836176.354015915, 230479.9275940842 6836176.611480276, 230481.4226146126 6836176.878947234, 230482.91598454572 6836177.154462007, 230484.40803951587 6836177.43790255, 230485.8993957241 6836177.731578857, 230486.09260427594 6836176.750421144, 230484.59960427592 6836176.456421143))</t>
  </si>
  <si>
    <t>['EV6 S47D1 m5147-5155']</t>
  </si>
  <si>
    <t>LINESTRING Z (230325.052 6836186.312 -999999, 230313.999 6836166.699 -999999)</t>
  </si>
  <si>
    <t>POLYGON ((230314.43459130373 6836166.453520437, 230313.5634086963 6836166.944479563, 230324.61640869628 6836186.557479563, 230325.4875913037 6836186.066520437, 230314.43459130373 6836166.453520437))</t>
  </si>
  <si>
    <t>['EV6 S47D1 m13038-13050']</t>
  </si>
  <si>
    <t>LINESTRING Z (223111.24 6838202.377 -999999, 223113.116 6838202.87 -999999, 223113.477 6838202.962 -999999, 223113.84 6838203.045 -999999, 223114.205 6838203.121 -999999, 223114.571 6838203.19 -999999, 223114.939 6838203.25 -999999, 223115.307 6838203.303 -999999, 223115.677 6838203.349 -999999, 223116.048 6838203.387 -999999, 223116.419 6838203.417 -999999, 223116.792 6838203.44 -999999, 223117.163 6838203.454 -999999, 223117.536 6838203.462 -999999, 223117.909 6838203.461 -999999, 223118.281 6838203.453 -999999, 223118.653 6838203.437 -999999, 223119.026 6838203.413 -999999, 223119.396 6838203.382 -999999, 223119.767 6838203.342 -999999, 223120.136 6838203.296 -999999, 223120.505 6838203.242 -999999, 223120.872 6838203.179 -999999, 223121.238 6838203.109 -999999, 223121.603 6838203.032 -999999, 223121.965 6838202.947 -999999, 223122.327 6838202.855 -999999, 223122.686 6838202.756 -999999, 223123.043 6838202.648 -999999, 223123.397 6838202.534 -999999, 223123.75 6838202.413 -999999, 223124.099 6838202.284 -999999, 223124.446 6838202.147 -999999, 223124.789 6838202.004 -999999, 223125.13 6838201.853 -999999)</t>
  </si>
  <si>
    <t>POLYGON ((223112.98891830532 6838203.353580648, 223112.99252285835 6838203.354513566, 223113.35352285835 6838203.446513566, 223113.36555114036 6838203.449420919, 223113.72855114035 6838203.532420918, 223113.73807642784 6838203.534501364, 223114.10307642783 6838203.610501365, 223114.112369448 6838203.612344666, 223114.478369448 6838203.6813446665, 223114.49054067925 6838203.683483838, 223114.85854067927 6838203.743483838, 223114.86772454315 6838203.744893735, 223115.23572454313 6838203.797893736, 223115.24531274533 6838203.799180091, 223115.61531274533 6838203.845180091, 223115.62605360596 6838203.846397693, 223115.99705360597 6838203.884397693, 223116.00770027304 6838203.885373286, 223116.37870027302 6838203.915373286, 223116.38822734755 6838203.916052146, 223116.76122734754 6838203.939052146, 223116.7731454957 6838203.939644381, 223117.14414549572 6838203.953644381, 223117.15227860457 6838203.953885038, 223117.52527860456 6838203.961885039, 223117.53734047798 6838203.961998204, 223117.910340478 6838203.960998204, 223117.9197502031 6838203.96088442, 223118.29175020306 6838203.95288442, 223118.302485512 6838203.95253816, 223118.674485512 6838203.93653816, 223118.68510519224 6838203.935968192, 223119.05810519226 6838203.911968192, 223119.06774562612 6838203.911254255, 223119.4377456261 6838203.880254256, 223119.44959773403 6838203.879118983, 223119.820597734 6838203.839118983, 223119.828851874 6838203.8381595975, 223120.197851874 6838203.792159597, 223120.20839959066 6838203.790730532, 223120.57739959066 6838203.736730532, 223120.5895937132 6838203.7347919475, 223120.9565937132 6838203.671791947, 223120.96592597573 6838203.670098677, 223121.33192597574 6838203.600098678, 223121.34120788658 6838203.598232186, 223121.70620788657 6838203.521232186, 223121.71729481235 6838203.5187614355, 223122.07929481234 6838203.433761436, 223122.08815676483 6838203.4315951, 223122.45015676483 6838203.339595101, 223122.45992147515 6838203.337008176, 223122.81892147515 6838203.238008176, 223122.83078044315 6838203.234579798, 223123.18778044317 6838203.126579798, 223123.19626568313 6838203.123930279, 223123.55026568312 6838203.009930279, 223123.55912790605 6838203.006984716, 223123.91212790605 6838202.885984716, 223123.92335077256 6838202.88198775, 223124.27235077255 6838202.75298775, 223124.28261378198 6838202.749065564, 223124.629613782 6838202.612065564, 223124.6384032252 6838202.608498644, 223124.9814032252 6838202.465498644, 223124.991447066 6838202.461181786, 223125.332447066 6838202.310181786, 223124.927552934 6838201.395818214, 223124.59155123623 6838201.544604889, 223124.2579745841 6838201.683676205, 223123.92049617972 6838201.816916958, 223123.5822368455 6838201.941946913, 223123.23928947293 6838202.0595011115, 223122.89396512593 6838202.1707072565, 223122.5471279035 6838202.275632803, 223122.19894780542 6838202.371649043, 223121.84626430407 6838202.461281313, 223121.49423463075 6838202.5439402135, 223121.13942424842 6838202.618790624, 223120.7827321273 6838202.687010428, 223120.42649137712 6838202.748163472, 223120.0688666673 6838202.800498796, 223119.7092711817 6838202.845326418, 223119.34832158082 6838202.884242817, 223118.9890711429 6838202.914342177, 223118.62620162056 6838202.93769035, 223118.26488027567 6838202.953231053, 223117.90295412746 6838202.961014411, 223117.5406911266 6838202.961985626, 223117.17778891555 6838202.9542022, 223116.81681712446 6838202.940580624, 223116.45453943053 6838202.918241785, 223116.0936282705 6838202.889057593, 223115.73332341504 6838202.8521530535, 223115.37348756898 6838202.807416705, 223115.01487396008 6838202.755768549, 223114.65755814372 6838202.697510536, 223114.30228581314 6838202.630532965, 223113.94669633804 6838202.556492417, 223113.59448099168 6838202.47595833, 223113.2412811761 6838202.385946188, 223111.36708169468 6838201.893419352, 223111.1129183053 6838202.860580648, 223112.98891830532 6838203.353580648))</t>
  </si>
  <si>
    <t>['EV6 S47D1 m13632-13704']</t>
  </si>
  <si>
    <t>LINESTRING Z (222586.158 6838457.43 -999999, 222551.825 6838469.027 -999999, 222536.035 6838474.672 -999999, 222520.726 6838483.48 -999999, 222520.256 6838484.49 -999999)</t>
  </si>
  <si>
    <t>POLYGON ((222551.66499161778 6838468.55329406, 222551.6566806993 6838468.556183036, 222535.86668069928 6838474.201183037, 222535.8253290632 6838474.218085803, 222535.78565115575 6838474.2386120055, 222520.47665115574 6838483.046612006, 222520.4337398699 6838483.074310443, 222520.39387812198 6838483.10624198, 222520.35748184254 6838483.142073429, 222520.32493080237 6838483.181430915, 222520.2965646496 6838483.223903769, 222520.27267936614 6838483.269048815, 222519.80267936614 6838484.279048814, 222520.70932063385 6838484.700951186, 222521.11254199856 6838483.834454211, 222536.24551115563 6838475.127733175, 222551.98917655426 6838469.499298015, 222586.31800838222 6838457.90370594, 222585.99799161777 6838456.95629406, 222551.66499161778 6838468.55329406))</t>
  </si>
  <si>
    <t>['EV6 S47D1 m9464 KD3 m123-213']</t>
  </si>
  <si>
    <t>LINESTRING Z (226306.864 6837304.743 -999999, 226340.798 6837286.75 -999999, 226364.349 6837259.494 -999999, 226368.749 6837254.735 -999999)</t>
  </si>
  <si>
    <t>POLYGON ((226341.0322279149 6837287.19174346, 226341.07209757392 6837287.168175226, 226341.10961541958 6837287.141018964, 226341.14445954098 6837287.110507679, 226341.1763309682 6837287.076903163, 226364.72183556546 6837259.827263093, 226369.1161295042 6837255.074434717, 226368.38187049582 6837254.3955652835, 226363.9818704958 6837259.154565283, 226363.97066903178 6837259.1670968365, 226340.48095564032 6837286.352168731, 226306.6297720851 6837304.30125654, 226307.0982279149 6837305.184743459, 226341.0322279149 6837287.19174346))</t>
  </si>
  <si>
    <t>['EV6 S47D1 m9464 KD3 m298-335']</t>
  </si>
  <si>
    <t>LINESTRING Z (226432.503 6837150.961 -999999, 226424.398 6837156.329 -999999, 226412.839 6837162.427 -999999, 226405.02 6837167.716 -999999, 226399.349 6837172.638 -999999)</t>
  </si>
  <si>
    <t>POLYGON ((226424.14267182013 6837155.898386835, 226412.60569799636 6837161.984766832, 226412.55885707276 6837162.01285034, 226404.73985707274 6837167.30185034, 226404.69226357003 6837167.338390635, 226399.02126357003 6837172.260390636, 226399.67673642994 6837173.015609365, 226405.32503791398 6837168.113309964, 226413.0964904973 6837162.856472425, 226424.63130200363 6837156.771233168, 226424.67409070698 6837156.745861993, 226432.779090707 6837151.377861993, 226432.226909293 6837150.544138007, 226424.14267182013 6837155.898386835))</t>
  </si>
  <si>
    <t>['EV6 S47D1 m9464 KD2 m4-6']</t>
  </si>
  <si>
    <t>LINESTRING Z (226589.27 6837352.056 -999999, 226605.525 6837356.113 -999999)</t>
  </si>
  <si>
    <t>POLYGON ((226605.40392179563 6837356.598118613, 226605.64607820436 6837355.627881387, 226589.39107820435 6837351.570881387, 226589.14892179563 6837352.5411186125, 226605.40392179563 6837356.598118613))</t>
  </si>
  <si>
    <t>['EV6 S47D1 m8004-8240']</t>
  </si>
  <si>
    <t>LINESTRING Z (227497.728 6836772.151 -999999, 227509.841 6836773.806 -999999, 227544.086 6836764.737 -999999, 227588.992 6836756.572 -999999, 227635.603 6836754.387 -999999, 227663.293 6836758.025 -999999, 227687.921 6836755.727 -999999, 227716.666 6836748.988 -999999, 227731.994 6836747.769 -999999, 227743.919 6836751.096 -999999, 227801.971 6836738.543 -999999)</t>
  </si>
  <si>
    <t>POLYGON ((227509.77331382048 6836774.301397397, 227509.8224437929 6836774.305655548, 227509.8717542716 6836774.305053279, 227509.92076558678 6836774.299596446, 227509.9690009787 6836774.289338131, 227544.19489321654 6836765.225398382, 227589.0486796308 6836757.069892079, 227635.581975425 6836754.888534646, 227663.22786814743 6836758.520739692, 227663.2836015769 6836758.524911663, 227663.33945243477 6836758.522837495, 227687.96745243476 6836756.224837495, 227688.035126012 6836756.213801041, 227716.74332180733 6836749.483429448, 227731.94514351984 6836748.274464112, 227743.78463449937 6836751.577607633, 227743.8319121605 6836751.588357297, 227743.8800087026 6836751.59447736, 227743.92847187715 6836751.595910275, 227743.9768459883 6836751.592642569, 227744.02467617756 6836751.584704967, 227802.07667617756 6836739.031704967, 227801.86532382242 6836738.054295032, 227743.934222552 6836750.581152234, 227732.12836550063 6836747.287392368, 227732.0855880934 6836747.27745995, 227732.04210415375 6836747.271319389, 227731.9982491272 6836747.269018056, 227731.9543613219 6836747.270573702, 227716.6263613219 6836748.489573701, 227716.5888982385 6836748.493980447, 227716.551873988 6836748.501198959, 227687.8403315107 6836755.232355151, 227663.30245750715 6836757.521945637, 227635.66813185258 6836753.891260308, 227635.62394184532 6836753.887438754, 227635.57958703744 6836753.887548468, 227588.96858703744 6836756.072548468, 227588.90255438886 6836756.080065571, 227543.99655438887 6836764.245065571, 227543.9579990213 6836764.253661868, 227509.80963704363 6836773.297069512, 227497.7956861795 6836771.655602602, 227497.6603138205 6836772.646397397, 227509.77331382048 6836774.301397397))</t>
  </si>
  <si>
    <t>['EV6 S47D1 m8276-8316']</t>
  </si>
  <si>
    <t>LINESTRING Z (227488.034 6836774.885 -999999, 227462.018 6836788.046 -999999, 227445.071 6836797.428 -999999, 227436.947 6836805.544 -999999, 227427.603 6836810.839 -999999)</t>
  </si>
  <si>
    <t>POLYGON ((227461.79229657727 6836787.599840875, 227461.77582971007 6836787.608560232, 227444.82882971005 6836796.990560233, 227444.78921214904 6836797.01496779, 227444.75203518657 6836797.042952669, 227444.71762081652 6836797.074272488, 227436.6415493907 6836805.142391111, 227427.35649136474 6836810.403990238, 227427.84950863526 6836811.274009761, 227437.19350863525 6836805.9790097615, 227437.23152007518 6836805.95515487, 227437.26723950627 6836805.927987836, 227437.30037918346 6836805.897727512, 227445.37465816337 6836797.83139957, 227462.25201809246 6836788.487952892, 227488.25970342275 6836775.331159125, 227487.80829657728 6836774.4388408745, 227461.79229657727 6836787.599840875))</t>
  </si>
  <si>
    <t>['EV6 S47D1 m8319-8361']</t>
  </si>
  <si>
    <t>LINESTRING Z (227354.363 6836821.706 -999999, 227382.985 6836822.491 -999999, 227390.133 6836822.093 -999999, 227401.65 6836820.56 -999999, 227411.036 6836818.459 -999999, 227424.393 6836812.39 -999999)</t>
  </si>
  <si>
    <t>POLYGON ((227382.9712919271 6836822.990812054, 227383.01279689986 6836822.990226734, 227390.16079689987 6836822.592226734, 227390.1989719231 6836822.588628597, 227401.71597192308 6836821.055628596, 227401.75921917873 6836821.0479253745, 227411.14521917872 6836818.946925375, 227411.19487111265 6836818.933088567, 227411.24283470944 6836818.914213579, 227424.59983470946 6836812.845213579, 227424.18616529056 6836811.93478642, 227410.87628021196 6836817.982378884, 227401.5622350881 6836820.067272215, 227390.08604654783 6836821.594839902, 227382.97794343374 6836821.990618447, 227354.3767080729 6836821.206187947, 227354.34929192712 6836822.205812054, 227382.9712919271 6836822.990812054))</t>
  </si>
  <si>
    <t>['EV6 S47D1 m8666-8679']</t>
  </si>
  <si>
    <t>LINESTRING Z (227072.954 6836918.823 -999999, 227089.753 6836932.703 -999999, 227101.961 6836951.214 -999999, 227112.407 6836966.922 -999999, 227113.925 6836969.221 -999999)</t>
  </si>
  <si>
    <t>POLYGON ((227089.37681394164 6836933.040769393, 227101.54359932794 6836951.489275642, 227101.54465706457 6836951.490872823, 227111.9902026423 6836967.198189493, 227113.5077503746 6836969.496504537, 227114.34224962536 6836968.945495463, 227112.82424962538 6836966.646495463, 227112.82334293544 6836966.645127177, 227102.37787335383 6836950.937924785, 227090.17040067207 6836932.427724358, 227090.14112442327 6836932.387786687, 227090.10804126982 6836932.350940776, 227090.07147570676 6836932.317548025, 227073.27247570676 6836918.4375480255, 227072.63552429323 6836919.208451974, 227089.37681394164 6836933.040769393))</t>
  </si>
  <si>
    <t>['EV6 S47D1 m10700-10748']</t>
  </si>
  <si>
    <t>LINESTRING Z (225352.01 6837944.523 -999999, 225350.224 6837947.366 -999999, 225349.852 6837948.073 -999999, 225349.475 6837948.776 -999999, 225349.091 6837949.477 -999999, 225348.703 6837950.174 -999999, 225348.308 6837950.868 -999999, 225347.907 6837951.558 -999999, 225347.501 6837952.245 -999999, 225347.089 6837952.929 -999999, 225346.671 6837953.61 -999999, 225346.248 6837954.286 -999999, 225345.82 6837954.96 -999999, 225345.391 6837955.489 -999999, 225344.957 6837956.014 -999999, 225344.517 6837956.535 -999999, 225344.073 6837957.051 -999999, 225343.622 6837957.561 -999999, 225343.166 6837958.068 -999999, 225342.704 6837958.569 -999999, 225342.237 6837959.064 -999999, 225341.764 6837959.555 -999999, 225341.287 6837960.041 -999999, 225340.804 6837960.522 -999999, 225340.316 6837960.997 -999999, 225339.824 6837961.467 -999999, 225339.326 6837961.932 -999999, 225338.823 6837962.392 -999999, 225338.315 6837962.846 -999999, 225337.803 6837963.294 -999999, 225337.285 6837963.738 -999999, 225318.593 6837980.874 -999999, 225318.475 6837980.984 -999999, 225318.353 6837981.09 -999999, 225318.225 6837981.188 -999999, 225318.093 6837981.281 -999999, 225317.955 6837981.367 -999999, 225317.816 6837981.446 -999999, 225317.671 6837981.518 -999999, 225317.523 6837981.584 -999999, 225317.372 6837981.641 -999999, 225317.219 6837981.692 -999999, 225317.064 6837981.735 -999999, 225316.906 6837981.771 -999999, 225316.747 6837981.798 -999999, 225316.587 6837981.818 -999999, 225316.426 6837981.831 -999999, 225316.265 6837981.835 -999999, 225316.103 6837981.831 -999999, 225315.943 6837981.82 -999999, 225315.782 6837981.801 -999999, 225315.623 6837981.774 -999999, 225315.465 6837981.739 -999999)</t>
  </si>
  <si>
    <t>POLYGON ((225349.80061272453 6837947.100024033, 225349.7815137394 6837947.133178375, 225349.4104312839 6837947.838434546, 225349.03541419707 6837948.537736965, 225348.65330079125 6837949.235292949, 225348.26728203666 6837949.9287338555, 225347.87456983555 6837950.6187142795, 225347.47561992516 6837951.3051866945, 225347.07161512683 6837951.988810577, 225346.66177579455 6837952.669223449, 225346.24599816327 6837953.346602797, 225345.82502203502 6837954.01936843, 225345.41342410553 6837954.6675390005, 225345.00413149598 6837955.172237813, 225344.57330436382 6837955.693399666, 225344.13648973955 6837956.210627891, 225343.6962028339 6837956.722312674, 225343.2488380188 6837957.228201932, 225342.7963222422 6837957.731328026, 225342.3383580047 6837958.2279515825, 225341.8750990761 6837958.718986207, 225341.40552509864 6837959.206429807, 225340.93215784134 6837959.6887285225, 225340.45320458643 6837960.165698534, 225339.96892912657 6837960.637073213, 225339.48068125933 6837961.103488859, 225338.9866569808 6837961.564776588, 225338.48768243773 6837962.021095256, 225337.98377327254 6837962.471439274, 225337.4756675366 6837962.916031793, 225336.95960431322 6837963.358371698, 225336.94711982872 6837963.369439299, 225318.2551198287 6837980.505439299, 225318.25206179908 6837980.508266294, 225318.14046045544 6837980.612301446, 225318.03675135763 6837980.70240935, 225317.92891759888 6837980.784969572, 225317.81656804247 6837980.864124942, 225317.6991427855 6837980.937302999, 225317.58110182642 6837981.004391027, 225317.4579025757 6837981.065565827, 225317.33272637054 6837981.121387648, 225317.20458885963 6837981.169757437, 225317.07301685208 6837981.213614773, 225316.94156413293 6837981.250082302, 225316.8085318076 6837981.2803934645, 225316.6741025994 6837981.303221066, 225316.53584594064 6837981.320503148, 225316.39964943493 6837981.331500381, 225316.26496168203 6837981.3348466605, 225316.12632923853 6837981.331423637, 225315.9894745041 6837981.322014875, 225315.8531992671 6837981.305932703, 225315.71898218564 6837981.283141124, 225315.57313806462 6837981.250833882, 225315.35686193538 6837982.227166118, 225315.51486193537 6837982.262166118, 225315.53929265088 6837982.266943282, 225315.6982926509 6837982.293943282, 225315.723400433 6837982.297554217, 225315.884400433 6837982.316554218, 225315.90870595112 6837982.318822532, 225316.06870595113 6837982.329822532, 225316.09065808347 6837982.3308476545, 225316.25265808348 6837982.334847654, 225316.27741852726 6837982.334845756, 225316.43841852725 6837982.330845756, 225316.46624170066 6837982.329377974, 225316.62724170065 6837982.316377974, 225316.64901736594 6837982.314138939, 225316.80901736594 6837982.294138939, 225316.83070735194 6837982.290943283, 225316.98970735192 6837982.263943282, 225317.01707725457 6837982.2585057365, 225317.1750772546 6837982.222505737, 225317.19766160692 6837982.216803461, 225317.3526616069 6837982.173803461, 225317.37711388298 6837982.166341648, 225317.53011388297 6837982.115341648, 225317.5485797902 6837982.108781549, 225317.69957979018 6837982.051781549, 225317.72664163582 6837982.040650943, 225317.87464163583 6837981.974650944, 225317.89337055187 6837981.965829586, 225318.03837055186 6837981.893829586, 225318.06305843376 6837981.880697747, 225318.20205843376 6837981.801697746, 225318.21944644142 6837981.791344293, 225318.35744644143 6837981.705344294, 225318.3809767669 6837981.689741217, 225318.5129767669 6837981.596741216, 225318.52895525182 6837981.585002777, 225318.65695525182 6837981.487002777, 225318.68093614158 6837981.467435937, 225318.80293614158 6837981.361435938, 225318.81593820092 6837981.349733706, 225318.93241506594 6837981.241153576, 225337.61673026497 6837964.112198663, 225338.1283956868 6837963.673628301, 225338.13225230388 6837963.670288347, 225338.64425230387 6837963.222288347, 225338.6481828548 6837963.218812534, 225339.15618285481 6837962.764812534, 225339.1604302602 6837962.760972654, 225339.6634302602 6837962.3009726545, 225339.66723755668 6837962.297454416, 225340.16523755668 6837961.832454416, 225340.1693776668 6837961.828544281, 225340.6613776668 6837961.358544282, 225340.66474882775 6837961.355293533, 225341.15274882776 6837960.880293532, 225341.1568191179 6837960.876286142, 225341.6398191179 6837960.395286142, 225341.64384204443 6837960.391233859, 225342.12084204442 6837959.905233858, 225342.12409224192 6837959.901891304, 225342.59709224192 6837959.410891305, 225342.60068990657 6837959.407117548, 225343.06768990657 6837958.912117548, 225343.07157044523 6837958.907957177, 225343.53357044523 6837958.4069571765, 225343.53775643278 6837958.402360816, 225343.99375643278 6837957.895360815, 225343.99655434774 6837957.892223551, 225344.44755434775 6837957.382223551, 225344.45200543685 6837957.377120958, 225344.89600543684 6837956.861120958, 225344.8989988941 6837956.857609431, 225345.3389988941 6837956.336609432, 225345.34237115938 6837956.332573492, 225345.7763711594 6837955.807573492, 225345.7793487539 6837955.803936891, 225346.2083487539 6837955.274936891, 225346.24208841435 6837955.2280324055, 225346.67008841434 6837954.554032406, 225346.6718581911 6837954.551224874, 225347.09485819112 6837953.875224874, 225347.09712966337 6837953.871559764, 225347.51512966337 6837953.190559763, 225347.51730382387 6837953.186984174, 225347.92930382385 6837952.5029841745, 225347.93145078982 6837952.499385766, 225348.33745078984 6837951.812385766, 225348.3392979039 6837951.809233999, 225348.7402979039 6837951.1192339985, 225348.74254478957 6837951.115327366, 225349.13754478958 6837950.421327366, 225349.13987152083 6837950.417193903, 225349.5278715208 6837949.720193903, 225349.5295167568 6837949.7172146, 225349.91351675682 6837949.0162146, 225349.91563744465 6837949.012302015, 225350.29263744465 6837948.309302015, 225350.2944862606 6837948.3058216255, 225350.65757150957 6837947.615764446, 225352.43338727547 6837944.788975967, 225351.58661272455 6837944.257024033, 225349.80061272453 6837947.100024033))</t>
  </si>
  <si>
    <t>['EV6 S47D1 m4630-4639']</t>
  </si>
  <si>
    <t>LINESTRING Z (230600.983 6835761.561 -999999, 230600.148 6835761.343 -999999, 230599.311 6835761.133 -999999, 230598.471 6835760.929 -999999, 230597.631 6835760.734 -999999, 230596.789 6835760.545 -999999, 230595.944 6835760.365 -999999, 230595.099 6835760.192 -999999, 230594.252 6835760.027 -999999, 230593.403 6835759.869 -999999, 230592.553 6835759.719 -999999, 230591.702 6835759.577 -999999, 230590.849 6835759.442 -999999, 230589.996 6835759.316 -999999, 230589.141 6835759.196 -999999, 230588.285 6835759.084 -999999, 230587.428 6835758.981 -999999, 230586.571 6835758.885 -999999, 230585.712 6835758.796 -999999, 230584.852 6835758.715 -999999, 230583.993 6835758.642 -999999, 230583.132 6835758.576 -999999, 230582.27 6835758.52 -999999, 230581.409 6835758.469 -999999, 230580.547 6835758.428 -999999, 230579.684 6835758.393 -999999, 230578.822 6835758.367 -999999, 230577.959 6835758.349 -999999, 230577.096 6835758.337 -999999, 230576.232 6835758.334 -999999, 230575.369 6835758.339 -999999, 230574.507 6835758.352 -999999, 230573.644 6835758.371 -999999, 230572.781 6835758.399 -999999)</t>
  </si>
  <si>
    <t>POLYGON ((230600.2743052877 6835760.859215984, 230600.2696767669 6835760.858031172, 230599.4326767669 6835760.648031172, 230599.4289986645 6835760.647123149, 230598.5889986645 6835760.443123148, 230598.58406485323 6835760.4419514, 230597.74406485324 6835760.2469514, 230597.74050791393 6835760.246139348, 230596.89850791392 6835760.057139347, 230596.89317162056 6835760.055972113, 230596.04817162055 6835759.875972114, 230596.04428663672 6835759.8751606485, 230595.19928663672 6835759.702160648, 230595.19460542084 6835759.701225506, 230594.34760542086 6835759.536225506, 230594.34347998656 6835759.535439818, 230593.49447998655 6835759.377439818, 230593.48989266716 6835759.376608221, 230592.63989266718 6835759.2266082205, 230592.63529347026 6835759.2258187095, 230591.78429347023 6835759.0838187095, 230591.78015966393 6835759.083146715, 230590.92715966393 6835758.948146715, 230590.9220641682 6835758.947367179, 230590.06906416823 6835758.821367179, 230590.06549431372 6835758.820853011, 230589.2104943137 6835758.700853012, 230589.20586766963 6835758.700225672, 230588.34986766963 6835758.588225671, 230588.34466397561 6835758.587572553, 230587.48766397563 6835758.484572553, 230587.48366120012 6835758.484107828, 230586.6266612001 6835758.388107828, 230586.62252858747 6835758.387662283, 230585.76352858747 6835758.298662283, 230585.75888552156 6835758.298203106, 230584.89888552157 6835758.217203106, 230584.8943386583 6835758.216795786, 230584.0353386583 6835758.143795786, 230584.03121541353 6835758.143462557, 230583.17021541356 6835758.077462558, 230583.16441426927 6835758.077051791, 230582.30241426924 6835758.021051791, 230582.2995649044 6835758.020874849, 230581.4385649044 6835757.969874849, 230581.4327550466 6835757.96956462, 230580.5707550466 6835757.928564621, 230580.5672614435 6835757.928410695, 230579.70426144352 6835757.893410695, 230579.69907435126 6835757.893227288, 230578.83707435124 6835757.867227287, 230578.8324264688 6835757.867108723, 230577.96942646883 6835757.849108724, 230577.96595181935 6835757.84904833, 230577.10295181934 6835757.83704833, 230577.09773610093 6835757.837003014, 230576.23373610093 6835757.834003014, 230576.2291031773 6835757.834008391, 230575.3661031773 6835757.839008391, 230575.36146025397 6835757.83905685, 230574.49946025398 6835757.852056851, 230574.4959945555 6835757.852121134, 230573.6329945555 6835757.871121135, 230573.6277860521 6835757.871262961, 230572.76478605208 6835757.899262961, 230572.7972139479 6835758.898737039, 230573.65761009586 6835758.870821522, 230574.51627268805 6835758.851917014, 230575.3742183799 6835758.838978158, 230576.23258038843 6835758.834005029, 230577.09165594287 6835758.836987931, 230577.95031082723 6835758.848927513, 230578.80924923162 6835758.866842797, 230579.66633164388 6835758.892694471, 230580.52499147563 6835758.927518451, 230581.38233914852 6835758.968297168, 230582.23901012444 6835759.019040745, 230583.09668401134 6835759.0747596985, 230583.95272217251 6835759.140379348, 230584.80738703965 6835759.213010938, 230585.66279189003 6835759.293578139, 230586.517404181 6835759.382123533, 230587.3703364731 6835759.477667874, 230588.22273247968 6835759.580114535, 230589.0738174721 6835759.691471451, 230589.92471988048 6835759.810896349, 230590.77338604978 6835759.936256182, 230591.62177202522 6835760.070525943, 230592.46840513503 6835760.211797273, 230593.31381169692 6835760.360986667, 230594.15845564066 6835760.518175999, 230595.00105175053 6835760.682318098, 230595.84176920707 6835760.854441318, 230596.6821571222 6835761.0334588615, 230597.51971212364 6835761.221461113, 230598.35546525253 6835761.415475231, 230599.1911605744 6835761.61842981, 230600.02400611425 6835761.827387473, 230600.8566947123 6835762.044784016, 230601.1093052877 6835761.0772159835, 230600.2743052877 6835760.859215984))</t>
  </si>
  <si>
    <t>['EV6 S47D1 m8685-8735']</t>
  </si>
  <si>
    <t>LINESTRING Z (227048.288 6836985.716 -999999, 227082.701 6836975.328 -999999, 227092.498 6836971.797 -999999, 227094.532 6836971.043 -999999, 227095.271 6836970.99 -999999)</t>
  </si>
  <si>
    <t>POLYGON ((227082.84549171294 6836975.80666705, 227082.87053313988 6836975.798381244, 227092.66753313987 6836972.267381244, 227092.67179229745 6836972.265824314, 227094.6389121655 6836971.536616653, 227095.30676740117 6836971.488719053, 227095.23523259885 6836970.491280948, 227094.49623259885 6836970.544280947, 227094.44935013348 6836970.549878311, 227094.40320467218 6836970.559872932, 227094.35820770255 6836970.574175686, 227092.3263337817 6836971.327387553, 227082.54387826193 6836974.853145482, 227048.14350828706 6836985.237332949, 227048.43249171294 6836986.194667051, 227082.84549171294 6836975.80666705))</t>
  </si>
  <si>
    <t>['EV6 S47D1 m6833-6840']</t>
  </si>
  <si>
    <t>LINESTRING Z (228878.565 6836975.371 -999999, 228883.909 6836956.444 -999999)</t>
  </si>
  <si>
    <t>POLYGON ((228884.3901875209 6836956.579862319, 228883.42781247912 6836956.308137681, 228878.0838124791 6836975.2351376815, 228879.0461875209 6836975.506862319, 228884.3901875209 6836956.579862319))</t>
  </si>
  <si>
    <t>['EV6 S47D1 m8641-8717']</t>
  </si>
  <si>
    <t>LINESTRING Z (227097.612 6836817.175 -999999, 227089.067 6836829.801 -999999, 227077.858 6836849.462 -999999, 227077.377 6836850.184 -999999, 227076.888 6836850.902 -999999, 227076.393 6836851.616 -999999, 227075.893 6836852.325 -999999, 227075.386 6836853.03 -999999, 227074.872 6836853.73 -999999, 227074.352 6836854.425 -999999, 227073.826 6836855.117 -999999, 227073.293 6836855.802 -999999, 227072.754 6836856.484 -999999, 227072.21 6836857.159 -999999, 227071.658 6836857.83 -999999, 227071.101 6836858.496 -999999, 227070.539 6836859.157 -999999, 227069.97 6836859.813 -999999, 227069.394 6836860.464 -999999, 227068.813 6836861.109 -999999, 227068.227 6836861.749 -999999, 227067.634 6836862.384 -999999, 227067.035 6836863.013 -999999, 227066.432 6836863.637 -999999, 227065.822 6836864.256 -999999, 227065.206 6836864.868 -999999, 227064.586 6836865.476 -999999, 227063.96 6836866.077 -999999, 227063.328 6836866.673 -999999, 227062.691 6836867.263 -999999, 227062.049 6836867.847 -999999, 227061.401 6836868.425 -999999, 227060.748 6836868.998 -999999, 227060.091 6836869.565 -999999, 227059.427 6836870.126 -999999, 227058.759 6836870.679 -999999, 227058.086 6836871.228 -999999, 227057.383 6836871.722 -999999, 227056.687 6836872.221 -999999, 227055.994 6836872.728 -999999, 227055.306 6836873.241 -999999, 227054.623 6836873.76 -999999, 227053.945 6836874.285 -999999, 227053.272 6836874.817 -999999, 227052.603 6836875.355 -999999, 227051.94 6836875.9 -999999, 227051.281 6836876.449 -999999, 227050.628 6836877.006 -999999, 227049.98 6836877.569 -999999, 227049.339 6836878.137 -999999, 227048.702 6836878.712 -999999, 227048.069 6836879.292 -999999, 227047.443 6836879.878 -999999, 227046.822 6836880.471 -999999, 227046.206 6836881.068 -999999, 227045.596 6836881.672 -999999, 227044.992 6836882.281 -999999, 227044.394 6836882.896 -999999, 227043.802 6836883.516 -999999, 227043.214 6836884.142 -999999, 227042.634 6836884.773 -999999, 227042.373 6836885.097 -999999, 227042.12 6836885.425 -999999, 227041.872 6836885.76 -999999, 227041.63 6836886.097 -999999, 227041.396 6836886.441 -999999, 227041.168 6836886.787 -999999, 227040.948 6836887.139 -999999, 227040.733 6836887.495 -999999, 227040.525 6836887.855 -999999, 227040.325 6836888.218 -999999, 227040.131 6836888.586 -999999, 227039.945 6836888.957 -999999, 227039.766 6836889.332 -999999, 227039.593 6836889.71 -999999, 227039.428 6836890.091 -999999, 227039.271 6836890.475 -999999, 227039.121 6836890.862 -999999, 227038.978 6836891.253 -999999, 227038.844 6836891.646 -999999, 227038.716 6836892.041 -999999, 227038.596 6836892.439 -999999, 227038.484 6836892.839 -999999, 227038.38 6836893.241 -999999, 227038.283 6836893.644 -999999, 227038.194 6836894.051 -999999, 227038.113 6836894.458 -999999, 227038.039 6836894.867 -999999, 227037.975 6836895.277 -999999, 227037.917 6836895.689 -999999, 227037.867 6836896.101 -999999, 227037.825 6836896.514 -999999, 227037.792 6836896.928 -999999, 227037.766 6836897.342 -999999, 227037.748 6836897.757 -999999, 227037.738 6836898.173 -999999, 227037.737 6836898.588 -999999, 227037.743 6836899.004 -999999, 227037.757 6836899.418 -999999, 227037.779 6836899.833 -999999, 227037.809 6836900.247 -999999, 227037.847 6836900.661 -999999, 227037.893 6836901.074 -999999, 227037.947 6836901.486 -999999, 227038.009 6836901.896 -999999, 227038.078 6836902.306 -999999, 227038.155 6836902.714 -999999, 227038.241 6836903.121 -999999, 227038.334 6836903.525 -999999, 227038.435 6836903.928 -999999, 227038.543 6836904.329 -999999, 227038.66 6836904.728 -999999, 227038.784 6836905.124 -999999, 227038.915 6836905.518 -999999, 227039.055 6836905.909 -999999, 227039.201 6836906.299 -999999, 227039.355 6836906.684 -999999, 227039.516 6836907.067 -999999, 227039.685 6836907.446 -999999, 227039.861 6836907.823 -999999, 227040.044 6836908.195 -999999, 227040.234 6836908.565 -999999, 227040.432 6836908.93 -999999, 227040.636 6836909.292 -999999, 227040.847 6836909.649 -999999, 227052.283 6836932.654 -999999)</t>
  </si>
  <si>
    <t>POLYGON ((227088.6529173939 6836829.52075797, 227088.63263256222 6836829.553361294, 227077.43224504235 6836849.199254686, 227076.96230240012 6836849.904657155, 227076.47590828437 6836850.618830928, 227075.98323278961 6836851.329478006, 227075.48572000142 6836852.034951139, 227074.98151494717 6836852.736064676, 227074.47030951272 6836853.432258848, 227073.95279211373 6836854.123940756, 227073.42965084387 6836854.81217984, 227072.89954764734 6836855.493456932, 227072.36319820175 6836856.172103169, 227071.82227132306 6836856.843290013, 227071.273156312 6836857.510783079, 227070.71875843027 6836858.173671749, 227070.15967146817 6836858.83124556, 227069.59390244246 6836859.483520571, 227069.02100806576 6836860.13101057, 227068.44285775238 6836860.772846976, 227067.85989099863 6836861.409534215, 227067.2702340388 6836862.0409544, 227066.67417796914 6836862.666863028, 227066.07414907066 6836863.287788455, 227065.46772368817 6836863.903161097, 227064.85475541832 6836864.512149054, 227064.23781040288 6836865.1171531975, 227063.6153335456 6836865.714770755, 227062.9865917889 6836866.307698109, 227062.35288687146 6836866.894646148, 227061.71435415457 6836867.475492109, 227061.0696912933 6836868.050515464, 227060.41976613243 6836868.620817327, 227059.76630989817 6836869.18475901, 227059.10622682856 6836869.742449675, 227058.44154732995 6836870.292700816, 227057.78384795805 6836870.829219324, 227057.09552724168 6836871.312904151, 227057.09166338918 6836871.315646731, 227056.39566338918 6836871.814646731, 227056.3917727536 6836871.817464533, 227055.6987727536 6836872.3244645335, 227055.695119789 6836872.327162602, 227055.007119789 6836872.840162602, 227055.00348792487 6836872.84289644, 227054.32048792485 6836873.361896439, 227054.3168781233 6836873.364665463, 227053.6388781233 6836873.889665463, 227053.63493225098 6836873.892752641, 227052.96193225097 6836874.424752641, 227052.9586591168 6836874.427362359, 227052.2896591168 6836874.96536236, 227052.28549364806 6836874.968749153, 227051.62249364806 6836875.513749153, 227051.61996514237 6836875.515841583, 227050.96096514235 6836876.064841582, 227050.95651677874 6836876.068591484, 227050.30351677875 6836876.625591484, 227050.300069299 6836876.628559335, 227049.65206929902 6836877.191559335, 227049.64839826 6836877.194780431, 227049.00739826 6836877.762780431, 227049.00397074744 6836877.765845855, 227048.36697074742 6836878.340845855, 227048.36421680992 6836878.343350415, 227047.73121680992 6836878.923350415, 227047.72730108 6836878.926976922, 227047.10130108002 6836879.512976921, 227047.09769288576 6836879.516388333, 227046.47669288574 6836880.109388334, 227046.47402722866 6836880.111952718, 227045.85802722868 6836880.708952718, 227045.85419828683 6836880.712703568, 227045.24419828682 6836881.316703568, 227045.24099227414 6836881.319906952, 227044.63699227414 6836881.928906952, 227044.63352681883 6836881.932435834, 227044.03552681883 6836882.547435833, 227044.032375199 6836882.550706642, 227043.440375199 6836883.170706642, 227043.43755835714 6836883.173681012, 227042.84955835715 6836883.7996810125, 227042.84588337617 6836883.803636067, 227042.26588337615 6836884.434636067, 227042.24462304544 6836884.459335231, 227041.98362304544 6836884.783335231, 227041.9770921943 6836884.791619894, 227041.72409219432 6836885.119619894, 227041.71813641756 6836885.1275009895, 227041.47013641757 6836885.462500989, 227041.46586741405 6836885.468355829, 227041.22386741405 6836885.805355829, 227041.2165814602 6836885.815779249, 227040.9825814602 6836886.159779249, 227040.97849569737 6836886.165881557, 227040.75049569737 6836886.511881557, 227040.7440008477 6836886.52200053, 227040.5240008477 6836886.874000531, 227040.5199978916 6836886.880515581, 227040.3049978916 6836887.236515581, 227040.30006746328 6836887.244861201, 227040.09206746327 6836887.604861202, 227040.08707046532 6836887.61371651, 227039.88707046534 6836887.97671651, 227039.8826974194 6836887.984829618, 227039.6886974194 6836888.352829617, 227039.68402761954 6836888.361911422, 227039.49802761956 6836888.732911422, 227039.49377011225 6836888.741612934, 227039.31477011225 6836889.116612934, 227039.31135376464 6836889.123921167, 227039.13835376463 6836889.501921167, 227039.134178264 6836889.511297673, 227038.96917826403 6836889.892297673, 227038.9651881345 6836889.901777441, 227038.80818813448 6836890.28577744, 227038.80479448897 6836890.294300189, 227038.65479448898 6836890.681300189, 227038.65141967378 6836890.690260903, 227038.50841967377 6836891.081260903, 227038.5047532651 6836891.091638518, 227038.3707532651 6836891.484638518, 227038.36835040254 6836891.491865447, 227038.2403504025 6836891.886865447, 227038.23728594242 6836891.8966641035, 227038.11728594243 6836892.294664104, 227038.11451799018 6836892.3041850375, 227038.0025179902 6836892.704185037, 227037.99993661093 6836892.713769671, 227037.89593661093 6836893.115769671, 227037.89388309885 6836893.123994195, 227037.79688309884 6836893.526994195, 227037.79454216317 6836893.537187353, 227037.70554216317 6836893.944187352, 227037.7036171987 6836893.953405389, 227037.62261719874 6836894.360405388, 227037.62098823758 6836894.368980757, 227037.54698823756 6836894.777980757, 227037.5449825022 6836894.789885073, 227037.48098250222 6836895.199885073, 227037.4798820734 6836895.207298933, 227037.4218820734 6836895.619298933, 227037.4206418364 6836895.628762359, 227037.3706418364 6836896.040762358, 227037.36956558135 6836896.050413449, 227037.32756558136 6836896.46341345, 227037.32658089738 6836896.474270942, 227037.29358089736 6836896.888270942, 227037.2929831135 6836896.896660776, 227037.2669831135 6836897.310660776, 227037.26646965244 6836897.320333623, 227037.24846965243 6836897.735333623, 227037.24814439932 6836897.74498424, 227037.23814439934 6836898.1609842405, 227037.2380014516 6836898.171795185, 227037.23700145158 6836898.586795185, 227037.23705199818 6836898.595210789, 227037.24305199817 6836899.011210788, 227037.24328564267 6836899.020898553, 227037.2572856427 6836899.4348985525, 227037.25770109196 6836899.444468858, 227037.27970109196 6836899.859468858, 227037.28030760202 6836899.86913713, 227037.31030760202 6836900.283137131, 227037.31109301763 6836900.292701608, 227037.34909301763 6836900.706701607, 227037.35007282355 6836900.716347821, 227037.39607282355 6836901.129347821, 227037.3972401496 6836901.138978233, 227037.4512401496 6836901.550978232, 227037.45262062034 6836901.560759808, 227037.51462062035 6836901.970759808, 227037.51593366585 6836901.978979456, 227037.58493366587 6836902.388979456, 227037.58667331332 6836902.39872587, 227037.6636733133 6836902.80672587, 227037.6658017599 6836902.817368669, 227037.7518017599 6836903.22436867, 227037.7537434922 6836903.233165484, 227037.8467434922 6836903.637165484, 227037.84899962522 6836903.646550963, 227037.9499996252 6836904.049550963, 227037.95220374735 6836904.058029914, 227038.06020374736 6836904.459029914, 227038.06320251973 6836904.469692494, 227038.18020251972 6836904.868692494, 227038.18284585042 6836904.877411906, 227038.30684585043 6836905.273411905, 227038.3095380667 6836905.281752571, 227038.4405380667 6836905.675752572, 227038.44426538923 6836905.686549477, 227038.58426538922 6836906.077549477, 227038.58673679963 6836906.0842985315, 227038.73273679963 6836906.474298531, 227038.73676165444 6836906.484695338, 227038.89076165445 6836906.869695338, 227038.89406912285 6836906.877759456, 227039.05506912284 6836907.260759455, 227039.0593430004 6836907.270628055, 227039.2283430004 6836907.649628055, 227039.23193913663 6836907.65750852, 227039.40793913664 6836908.03450852, 227039.41234850883 6836908.043707588, 227039.59534850882 6836908.415707588, 227039.5992164909 6836908.423402343, 227039.7892164909 6836908.793402343, 227039.79450117954 6836908.80341306, 227039.99250117954 6836909.168413059, 227039.99640517982 6836909.175473323, 227040.2004051798 6836909.537473324, 227040.20556074133 6836909.546405276, 227040.40733830899 6836909.887801445, 227051.83526990603 6836932.876570804, 227052.73073009396 6836932.431429196, 227041.29473009397 6836909.426429196, 227041.27743925867 6836909.394594724, 227041.06906310102 6836909.042034117, 227040.86957530412 6836908.688041065, 227040.67619783184 6836908.3315623915, 227040.49075063044 6836907.970428368, 227040.31190310145 6836907.606869455, 227040.1398930654 6836907.238416141, 227039.97484700775 6836906.868283265, 227039.81761975668 6836906.49425819, 227039.66730873042 6836906.118480624, 227039.524523161 6836905.737067116, 227039.38765993805 6836905.354827687, 227039.25984459295 6836904.970405961, 227039.13851553784 6836904.582935754, 227039.024355923 6836904.193622195, 227038.91893545457 6836903.802199901, 227038.82017374324 6836903.408130894, 227038.72926699766 6836903.0132241715, 227038.6453202234 6836902.615941181, 227038.57024475982 6836902.218138725, 227038.50275706672 6836901.817124897, 227038.44211793115 6836901.41612416, 227038.38939022733 6836901.01383131, 227038.34446384586 6836900.610470537, 227038.30734558584 6836900.206076862, 227038.278042485 6836899.80169407, 227038.2565524732 6836899.396314302, 227038.2428781218 6836898.991944197, 227038.23700868821 6836898.584996802, 227038.23798552132 6836898.179611062, 227038.24773956992 6836897.773842639, 227038.26532046715 6836897.368505286, 227038.29075327973 6836896.9635366555, 227038.32298594873 6836896.559163172, 227038.36394315338 6836896.156417325, 227038.4127832084 6836895.753975272, 227038.46959549643 6836895.350412123, 227038.53208649103 6836894.950079188, 227038.60423470903 6836894.551314037, 227038.6834637227 6836894.153212697, 227038.77034067374 6836893.755921472, 227038.86512500807 6836893.362126764, 227038.96682027128 6836892.969035457, 227039.0761452361 6836892.578589154, 227039.19323213006 6836892.190250956, 227039.318475687 6836891.803757167, 227039.44947064092 6836891.419570474, 227039.58893582338 6836891.038235604, 227039.73554778515 6836890.659976743, 227039.88886554822 6836890.284982978, 227040.04978210878 6836889.913412011, 227040.2189675426 6836889.543746728, 227040.39414328896 6836889.176758434, 227040.57568384882 6836888.814653338, 227040.76515345025 6836888.455247084, 227040.96047605935 6836888.100736548, 227041.1635077748 6836887.749335502, 227041.37402553263 6836887.400757262, 227041.58881256997 6836887.057098001, 227041.8114838367 6836886.719184588, 227042.03984184752 6836886.383478794, 227042.27601928604 6836886.054587072, 227042.51892463185 6836885.726468964, 227042.76568607474 6836885.406556896, 227043.01314946287 6836885.099360965, 227043.58028980522 6836884.482351386, 227044.16503935397 6836883.8598119, 227044.7540564132 6836883.242935926, 227045.3487491589 6836882.6313372, 227045.94941198904 6836882.025701995, 227046.55589729693 6836881.425182116, 227047.16864465922 6836880.831334429, 227047.78651152892 6836880.241326291, 227048.4087507004 6836879.658846811, 227049.03841092892 6836879.081906949, 227049.67232251176 6836878.509694767, 227050.3097740781 6836877.944839089, 227050.95421372427 6836877.384932421, 227051.603269957 6836876.8312964, 227052.25877398613 6836876.285208825, 227052.91843272533 6836875.742955413, 227053.58370980472 6836875.20794933, 227054.2531025614 6836874.678800821, 227054.92732321398 6836874.156727307, 227055.60670236274 6836873.64047873, 227056.29105989222 6836873.1301947, 227056.98028869805 6836872.625953712, 227057.67241113703 6836872.129733745, 227058.37347275834 6836871.637095849, 227058.4020542677 6836871.615439931, 227059.07505426768 6836871.06643993, 227059.07784285274 6836871.064148328, 227059.74584285275 6836870.511148329, 227059.7496873982 6836870.507933035, 227060.4136873982 6836869.946933035, 227060.41767491229 6836869.943528073, 227061.0746749123 6836869.376528072, 227061.07778167378 6836869.37382449, 227061.7307816738 6836868.80082449, 227061.73382475862 6836868.798132256, 227062.3818247586 6836868.220132256, 227062.38545108237 6836868.216865744, 227063.02745108237 6836867.632865745, 227063.0307614281 6836867.62982717, 227063.6677614281 6836867.03982717, 227063.67104125593 6836867.036761869, 227064.30304125592 6836866.440761868, 227064.30627790737 6836866.437682146, 227064.93227790738 6836865.836682146, 227064.93608175692 6836865.832991265, 227065.55608175692 6836865.224991265, 227065.5583998813 6836865.222703149, 227066.17439988127 6836864.610703149, 227066.17813292253 6836864.6069549, 227066.78813292255 6836863.9879549, 227066.7915517704 6836863.984451471, 227067.3945517704 6836863.360451471, 227067.39708265502 6836863.357813212, 227067.996082655 6836862.728813211, 227067.9994319336 6836862.725261632, 227068.59243193362 6836862.090261633, 227068.595768353 6836862.086653523, 227069.18176835298 6836861.4466535235, 227069.18450384098 6836861.443641445, 227069.765503841 6836860.798641444, 227069.76846534165 6836860.795324173, 227070.34446534165 6836860.144324173, 227070.34771152568 6836860.140618686, 227070.91671152567 6836859.484618685, 227070.91992699832 6836859.480874392, 227071.48192699833 6836858.819874393, 227071.48454358795 6836858.816771439, 227072.04154358795 6836858.150771439, 227072.04413117623 6836858.147651876, 227072.59613117622 6836857.476651876, 227072.59930650395 6836857.472752205, 227073.14330650395 6836856.797752205, 227073.146279373 6836856.794027247, 227073.68527937302 6836856.1120272465, 227073.6876140615 6836856.109050065, 227074.2206140615 6836855.424050065, 227074.22405892686 6836855.419570803, 227074.75005892687 6836854.727570803, 227074.75234535633 6836854.724538972, 227075.27234535632 6836854.029538972, 227075.27501938137 6836854.025931375, 227075.78901938137 6836853.325931375, 227075.79193092455 6836853.321924793, 227076.29893092456 6836852.6169247925, 227076.3016116671 6836852.613160555, 227076.8016116671 6836851.904160555, 227076.80390954457 6836851.900874265, 227077.29890954457 6836851.186874264, 227077.30125974084 6836851.183454057, 227077.79025974084 6836850.465454058, 227077.79311379284 6836850.461217084, 227078.27411379284 6836849.739217084, 227078.2923674378 6836849.709638706, 227089.4918514441 6836830.0653301105, 227098.0260826061 6836817.455242029, 227097.19791739387 6836816.89475797, 227088.6529173939 6836829.52075797))</t>
  </si>
  <si>
    <t>['EV6 S47D1 m14021-14023']</t>
  </si>
  <si>
    <t>LINESTRING Z (222271.832 6838692.243 -999999, 222272.874 6838695.331 -999999, 222273.055 6838695.86 -999999, 222273.242 6838696.385 -999999, 222273.436 6838696.909 -999999, 222273.637 6838697.43 -999999, 222273.845 6838697.948 -999999, 222274.06 6838698.464 -999999, 222274.282 6838698.976 -999999, 222274.511 6838699.485 -999999, 222274.747 6838699.991 -999999, 222274.99 6838700.495 -999999, 222275.24 6838700.994 -999999, 222275.495 6838701.49 -999999, 222275.758 6838701.983 -999999, 222276.026 6838702.473 -999999, 222276.303 6838702.958 -999999, 222276.584 6838703.441 -999999, 222276.873 6838703.918 -999999, 222277.168 6838704.392 -999999, 222277.47 6838704.863 -999999, 222277.777 6838705.329 -999999, 222278.091 6838705.79 -999999, 222278.411 6838706.248 -999999, 222278.737 6838706.701 -999999, 222279.069 6838707.15 -999999, 222279.407 6838707.595 -999999, 222279.752 6838708.034 -999999, 222280.101 6838708.47 -999999, 222280.457 6838708.9 -999999, 222280.819 6838709.326 -999999, 222281.186 6838709.746 -999999)</t>
  </si>
  <si>
    <t>POLYGON ((222272.40024456455 6838695.490861776, 222272.40092521545 6838695.492864908, 222272.58192521543 6838696.021864908, 222272.583987127 6838696.0277703, 222272.770987127 6838696.5527703, 222272.77310403483 6838696.558598887, 222272.96710403482 6838697.082598887, 222272.9695120562 6838697.088969437, 222273.1705120562 6838697.609969437, 222273.1730091649 6838697.616312922, 222273.3810091649 6838698.134312922, 222273.3834615385 6838698.140307692, 222273.5984615385 6838698.656307692, 222273.60126578133 6838698.66290429, 222273.82326578134 6838699.17490429, 222273.82602248696 6838699.181145089, 222274.05502248695 6838699.690145089, 222274.0578626837 6838699.696344677, 222274.2938626837 6838700.202344677, 222274.29661565935 6838700.208149593, 222274.53961565933 6838700.712149593, 222274.54296572015 6838700.71896507, 222274.79296572015 6838701.21796507, 222274.79532484908 6838701.222613232, 222275.0503248491 6838701.7186132325, 222275.0538483023 6838701.725340561, 222275.31684830232 6838702.218340561, 222275.31932620815 6838702.222927706, 222275.58732620816 6838702.712927707, 222275.59182334997 6838702.720973057, 222275.86882334997 6838703.205973056, 222275.87081875966 6838703.209434634, 222276.15181875965 6838703.692434634, 222276.1563649631 6838703.700091248, 222276.4453649631 6838704.177091248, 222276.4484984813 6838704.182193982, 222276.74349848132 6838704.656193983, 222276.74709166525 6838704.661881777, 222277.04909166525 6838705.132881777, 222277.05246476532 6838705.138071496, 222277.35946476532 6838705.604071496, 222277.36375361934 6838705.610473674, 222277.67775361933 6838706.071473674, 222277.68113194228 6838706.076370696, 222278.0011319423 6838706.534370695, 222278.00516486997 6838706.540057952, 222278.33116486997 6838706.993057952, 222278.33496776168 6838706.998271054, 222278.66696776167 6838707.447271054, 222278.67083271037 6838707.452428189, 222279.0088327104 6838707.8974281885, 222279.0138719069 6838707.903950323, 222279.3588719069 6838708.342950324, 222279.36165295614 6838708.3464566935, 222279.71065295613 6838708.782456693, 222279.71586352645 6838708.788857172, 222280.07186352645 6838709.218857173, 222280.0759862089 6838709.223772283, 222280.43798620888 6838709.649772283, 222280.44248960828 6838709.654998367, 222280.80948960828 6838710.074998367, 222281.5625103917 6838709.417001634, 222281.19778010354 6838708.999599124, 222280.84009089257 6838708.578672042, 222280.48876818168 6838708.154321576, 222280.1437454199 6838707.723290275, 222279.80267456349 6838707.289289967, 222279.46911637826 6838706.850137919, 222279.14095051555 6838706.406323244, 222278.81887141903 6838705.958771615, 222278.5025717965 6838705.506067781, 222278.19241547515 6838705.050710889, 222277.88923784107 6838704.590512916, 222277.5907240543 6838704.124950023, 222277.29908355715 6838703.656348004, 222277.01394222793 6838703.185716813, 222276.73618587892 6838702.708292199, 222276.46246229182 6838702.22902888, 222276.19792470298 6838701.745359408, 222275.9379389656 6838701.258009717, 222275.68586683983 6838700.76770472, 222275.43873519017 6838700.274429947, 222275.19877947317 6838699.7767440155, 222274.96557855306 6838699.276745433, 222274.7393771547 6838698.7739659045, 222274.52015998113 6838698.268383955, 222274.3077840686 6838697.758681765, 222274.1022610136 6838697.246850311, 222273.903713642 6838696.732207621, 222273.71197249816 6838696.214308862, 222273.52706229713 6838695.695175945, 222273.34741723 6838695.170135941, 222272.30575543546 6838692.083138224, 222271.35824456453 6838692.402861776, 222272.40024456455 6838695.490861776))</t>
  </si>
  <si>
    <t>['EV6 S47D1 m13706-13811']</t>
  </si>
  <si>
    <t>LINESTRING Z (222425.344 6838535.531 -999999, 222433.857 6838530.539 -999999, 222451.099 6838520.338 -999999, 222462.565 6838513.885 -999999, 222475.294 6838508.362 -999999, 222485.086 6838504.004 -999999, 222496.066 6838498.632 -999999, 222505.958 6838493.545 -999999, 222510.905 6838491.001 -999999, 222514.181 6838488.225 -999999, 222515.553 6838486.718 -999999, 222519.041 6838485.764 -999999)</t>
  </si>
  <si>
    <t>POLYGON ((222434.10992085945 6838530.970313156, 222434.1115966942 6838530.969326066, 222451.34894160694 6838520.771080187, 222462.78771644583 6838514.333402353, 222475.4930190955 6838508.820684423, 222475.49730293994 6838508.818801832, 222485.28930293996 6838504.460801832, 222485.30573711058 6838504.453127601, 222496.28573711056 6838499.081127602, 222496.2946628339 6838499.076649647, 222506.18666283393 6838493.989649647, 222511.13366182067 6838491.445650168, 222511.18275480001 6838491.416755062, 222511.228242469 6838491.382463375, 222514.504242469 6838488.606463375, 222514.55072571032 6838488.56160496, 222515.82497147968 6838487.161977866, 222519.17290966134 6838486.246286058, 222518.90909033865 6838485.281713943, 222515.42109033867 6838486.235713943, 222515.37630509763 6838486.2502619205, 222515.3330870425 6838486.268958475, 222515.2918194934 6838486.29163778, 222515.25286847068 6838486.318098681, 222515.21657944832 6838486.348106486, 222515.1832742897 6838486.38139504, 222513.8330639843 6838487.864461315, 222510.62543076745 6838490.582529023, 222505.72933817934 6838493.100349832, 222495.84177766676 6838498.185066808, 222484.8744103557 6838503.550886224, 222475.09283463447 6838507.904246824, 222462.3659809045 6838513.426315577, 222462.3197719564 6838513.4492670465, 222450.85377195638 6838519.902267047, 222450.8444033058 6838519.9076739345, 222433.6032402771 6838530.108178751, 222425.09107914055 6838535.099686844, 222425.59692085948 6838535.962313157, 222434.10992085945 6838530.970313156))</t>
  </si>
  <si>
    <t>['EV6 S47D1 m13826-14005']</t>
  </si>
  <si>
    <t>LINESTRING Z (222411.965 6838541.848 -999999, 222325.825 6838583.159 -999999, 222258.63 6838625.587 -999999, 222252.855 6838628.822 -999999, 222251.751 6838629.93 -999999)</t>
  </si>
  <si>
    <t>POLYGON ((222325.60878846276 6838582.708164585, 222325.5580527439 6838582.736224454, 222258.37417000165 6838625.157204839, 222252.61064081462 6838628.385779197, 222252.57151798383 6838628.410128726, 222252.5348030441 6838628.437976681, 222252.50080785147 6838628.469086523, 222251.39680785144 6838629.577086523, 222252.10519214853 6838630.282913476, 222253.16007309026 6838629.224210503, 222258.8743591854 6838626.023220803, 222258.89694725611 6838626.009775546, 222326.06739419376 6838583.597278743, 222412.18121153724 6838542.298835415, 222411.74878846275 6838541.397164585, 222325.60878846276 6838582.708164585))</t>
  </si>
  <si>
    <t>['EV6 S47D1 m12631-13070']</t>
  </si>
  <si>
    <t>LINESTRING Z (223451.274 6837949.034 -999999, 223387.075 6837982.842 -999999, 223343.152 6838009.723 -999999, 223316.207 6838023.571 -999999, 223276.115 6838053.245 -999999, 223221.206 6838086.642 -999999, 223130.324 6838148.824 -999999, 223092.767 6838167.752 -999999, 223072.834 6838177.625 -999999)</t>
  </si>
  <si>
    <t>POLYGON ((223386.8420239757 6837982.399595014, 223386.813998165 6837982.415528381, 223342.90688399086 6838009.286806211, 223315.97844906515 6838023.126292827, 223315.94312482464 6838023.146300234, 223315.90954015308 6838023.169107429, 223275.8357826635 6838052.829605277, 223220.94617339497 6838086.214811359, 223220.9236593444 6838086.229345478, 223130.0691869905 6838148.3925109, 223092.5435216572 6838167.304718836, 223072.61207612618 6838177.176948893, 223073.05592387382 6838178.073051107, 223092.9889238738 6838168.200051107, 223092.9920275449 6838168.198500397, 223130.5490275449 6838149.270500396, 223130.6063406556 6838149.236654522, 223221.477278445 6838087.062223352, 223276.37482660502 6838053.6721886415, 223276.4124598469 6838053.646892572, 223316.47174783325 6838023.997104293, 223343.38055093485 6838010.167707174, 223343.41300183503 6838010.149471619, 223387.32224589388 6837983.276890294, 223451.5069760243 6837949.476404986, 223451.0410239757 6837948.591595014, 223386.8420239757 6837982.399595014))</t>
  </si>
  <si>
    <t>['EV6 S47D1 m12449-12464']</t>
  </si>
  <si>
    <t>LINESTRING Z (223615.013 6837896.951 -999999, 223630.953 6837895.916 -999999)</t>
  </si>
  <si>
    <t>POLYGON ((223630.98539727344 6837896.414949313, 223630.92060272658 6837895.417050688, 223614.98060272657 6837896.452050688, 223615.04539727344 6837897.449949313, 223630.98539727344 6837896.414949313))</t>
  </si>
  <si>
    <t>['EV6 S47D1 m12286-12447']</t>
  </si>
  <si>
    <t>LINESTRING Z (223796.769 6837878.231 -999999, 223772.142 6837877.794 -999999, 223740.123 6837881.17 -999999, 223720.618 6837882.157 -999999, 223668.087 6837887.554 -999999, 223660.086 6837889.114 -999999, 223643.625 6837892.985 -999999, 223632.704 6837895.797 -999999)</t>
  </si>
  <si>
    <t>POLYGON ((223772.15087097933 6837877.2940787, 223772.0895719189 6837877.296756301, 223740.08412267326 6837880.671327545, 223720.5927311263 6837881.657638924, 223720.56689931793 6837881.659618134, 223668.03589931794 6837887.056618134, 223667.9913139969 6837887.063241211, 223659.9903139969 6837888.623241211, 223659.9715413125 6837888.627277072, 223643.51054131248 6837892.498277072, 223643.5003238311 6837892.500793585, 223632.5793238311 6837895.312793585, 223632.8286761689 6837896.281206416, 223643.74458066293 6837893.470518435, 223660.19111110768 6837889.602921123, 223668.1605427566 6837888.049076182, 223720.65621043716 6837882.655706201, 223740.1482688737 6837881.669361075, 223740.17542808107 6837881.667243699, 223772.163860848 6837878.294466628, 223796.76012902067 6837878.730921299, 223796.77787097933 6837877.7310787, 223772.15087097933 6837877.2940787))</t>
  </si>
  <si>
    <t>['EV6 S47D1 m11594-12283']</t>
  </si>
  <si>
    <t>LINESTRING Z (223800.876 6837880.469 -999999, 223833.964 6837880.318 -999999, 223886.63 6837879.802 -999999, 223915.187 6837881.986 -999999, 223916.298 6837882.043 -999999, 223917.41 6837882.107 -999999, 223918.521 6837882.18 -999999, 223919.631 6837882.259 -999999, 223920.741 6837882.347 -999999, 223921.851 6837882.443 -999999, 223922.96 6837882.546 -999999, 223924.068 6837882.656 -999999, 223925.174 6837882.775 -999999, 223926.28 6837882.9 -999999, 223927.386 6837883.035 -999999, 223928.491 6837883.175 -999999, 223929.594 6837883.325 -999999, 223930.696 6837883.48 -999999, 223931.798 6837883.645 -999999, 223932.898 6837883.817 -999999, 223933.996 6837883.996 -999999, 223935.094 6837884.182 -999999, 223936.191 6837884.378 -999999, 223937.285 6837884.579 -999999, 223942.696 6837885.338 -999999, 223948.103 6837886.128 -999999, 223953.505 6837886.951 -999999, 223958.902 6837887.805 -999999, 223964.294 6837888.691 -999999, 223969.681 6837889.608 -999999, 223975.062 6837890.558 -999999, 223980.437 6837891.539 -999999, 223985.806 6837892.551 -999999, 223991.17 6837893.595 -999999, 223996.527 6837894.672 -999999, 224001.878 6837895.779 -999999, 224007.222 6837896.918 -999999, 224012.559 6837898.088 -999999, 224017.89 6837899.291 -999999, 224026.154 6837901.252 -999999, 224034.428 6837903.17 -999999, 224042.713 6837905.043 -999999, 224048.028 6837906.38 -999999, 224053.335 6837907.749 -999999, 224058.633 6837909.15 -999999, 224063.923 6837910.581 -999999, 224069.204 6837912.045 -999999, 224074.477 6837913.539 -999999, 224079.74 6837915.065 -999999, 224084.995 6837916.621 -999999, 224090.24 6837918.209 -999999, 224095.475 6837919.828 -999999, 224100.701 6837921.478 -999999, 224105.918 6837923.159 -999999, 224111.123 6837924.87 -999999, 224116.319 6837926.613 -999999, 224121.504 6837928.386 -999999, 224126.679 6837930.19 -999999, 224249.123 6837976.347 -999999, 224277.005 6837986.329 -999999, 224304.945 6837996.15 -999999, 224332.94 6838005.809 -999999, 224338.813 6838007.839 -999999, 224344.698 6838009.832 -999999, 224350.595 6838011.792 -999999, 224356.503 6838013.716 -999999, 224362.423 6838015.604 -999999, 224368.354 6838017.458 -999999, 224374.296 6838019.275 -999999, 224380.248 6838021.058 -999999, 224386.212 6838022.804 -999999, 224392.185 6838024.515 -999999, 224398.169 6838026.189 -999999, 224417.265 6838030.416 -999999, 224436.338 6838034.746 -999999, 224453.457 6838038.696 -999999, 224470.559 6838042.717 -999999)</t>
  </si>
  <si>
    <t>POLYGON ((223833.96628177023 6837880.817994794, 223833.96889856108 6837880.8179760035, 223886.61335444238 6837880.302187084, 223915.14887203145 6837882.484544138, 223915.1613811298 6837882.485343242, 223916.27082560558 6837882.542263436, 223917.3792435542 6837882.606057275, 223918.48686050458 6837882.678834986, 223919.59349365253 6837882.757595363, 223920.69970037503 6837882.845294635, 223921.8063388052 6837882.941003905, 223922.91218179578 6837883.043710693, 223924.01655670008 6837883.153350801, 223925.11917896054 6837883.271987374, 223926.22163211685 6837883.396586509, 223927.3242860245 6837883.5311780805, 223928.4258874816 6837883.670747495, 223929.52549112932 6837883.820285616, 223930.62415867925 6837883.974816896, 223931.7223582375 6837884.139247864, 223932.81915262417 6837884.310746623, 223933.91401948917 6837884.489235848, 223935.00827248316 6837884.674601109, 223936.10185223309 6837884.869990015, 223937.19464761668 6837885.0707686925, 223937.21554504597 6837885.074152512, 223942.62512901248 6837885.832953885, 223948.02920314524 6837886.622526395, 223953.42827313684 6837887.4450800065, 223958.8223906454 6837888.298623892, 223964.21151088257 6837889.184150696, 223969.595581916 6837890.1006521145, 223974.97364813442 6837891.050134163, 223980.34580597063 6837892.030615435, 223985.71193067776 6837893.042073473, 223991.07296227445 6837894.08549573, 223996.4270769305 6837895.161915645, 224001.77523865175 6837896.26832847, 224007.11635091144 6837897.406712987, 224012.45043266698 6837898.576073239, 224017.77724429025 6837899.778128084, 224026.03855852 6837901.738490766, 224026.0410887643 6837901.739084236, 224034.3150887643 6837903.657084236, 224034.31774670992 6837903.657692743, 224042.59686846565 6837905.529363842, 224047.90456468696 6837906.86452656, 224053.20863997473 6837908.232772098, 224058.50380471392 6837909.633022344, 224063.79093122866 6837911.063245036, 224069.06906268903 6837912.526449818, 224074.33922902605 6837914.019646956, 224079.5994004263 6837915.544826807, 224084.851576522 6837917.099990653, 224090.09369070403 6837918.687116928, 224095.32586446588 6837920.305242873, 224100.549056918 6837921.95435645, 224105.76325593103 6837923.634453927, 224110.96541941186 6837925.344521499, 224116.15860164966 6837927.08657628, 224121.34081715933 6837928.85862413, 224126.50849674206 6837930.660072239, 224248.94663287833 6837976.814861773, 224248.95447034863 6837976.817741709, 224276.83647034864 6837986.799741709, 224276.83919323765 6837986.800707661, 224304.77919323766 6837996.621707661, 224304.7819208886 6837996.622657597, 224332.77678976223 6838006.281612355, 224338.64965753452 6838008.31156665, 224338.65261860614 6838008.31257978, 224344.53761860615 6838010.305579781, 224344.54029652703 6838010.306478255, 224350.43729652703 6838012.266478255, 224350.44017313543 6838012.267424697, 224356.34817313543 6838014.191424697, 224356.3510793589 6838014.1923613325, 224362.2710793589 6838016.080361333, 224362.27382127024 6838016.081227102, 224368.20482127022 6838017.935227102, 224368.20778851706 6838017.936144541, 224374.14978851707 6838019.753144542, 224374.15251802088 6838019.75397069, 224380.10451802087 6838021.53697069, 224380.10751808732 6838021.53785918, 224386.07151808732 6838023.283859179, 224386.0743099828 6838023.284667722, 224392.0473099828 6838024.995667722, 224392.05029845863 6838024.996513753, 224398.03429845863 6838026.670513754, 224398.06093812842 6838026.67718299, 224417.15562101186 6838030.90389144, 224436.2264446459 6838035.233397355, 224453.34357259757 6838039.182965403, 224470.44456123657 6838043.203727613, 224470.67343876345 6838042.230272387, 224453.57143876344 6838038.209272387, 224453.56941520376 6838038.208801045, 224436.45041520376 6838034.258801045, 224436.44869452875 6838034.258407218, 224417.37569452878 6838029.928407218, 224417.3730618716 6838029.92781701, 224398.2904733225 6838025.703785705, 224392.3211971115 6838024.033904626, 224386.35108714638 6838022.3237324925, 224380.38998328662 6838020.578580357, 224374.44084795497 6838018.796438507, 224368.50169655203 6838016.980309577, 224362.5735509179 6838015.1272018375, 224356.65637517656 6838013.240102546, 224350.75126654893 6838011.317044151, 224344.85704367355 6838009.357967191, 224338.9748635521 6838007.365922163, 224333.10334246547 6838005.33643335, 224305.10944419797 6837995.677813394, 224277.1721696263 6837985.85777139, 224249.29546041187 6837975.877665538, 224126.85536712167 6837929.722138228, 224126.84358582285 6837929.717864949, 224121.66858582283 6837927.913864949, 224121.66577720028 6837927.912895215, 224116.48077720028 6837926.139895215, 224116.47801678983 6837926.138960275, 224111.28201678983 6837924.395960275, 224111.27914135862 6837924.395005394, 224106.07414135864 6837922.684005394, 224106.071344129 6837922.68309499, 224100.854344129 6837921.002094991, 224100.851539485 6837921.001200395, 224095.62553948502 6837919.351200394, 224095.62272885148 6837919.350322089, 224090.38772885146 6837917.731322089, 224090.38488720843 6837917.730452513, 224085.13988720844 6837916.142452514, 224085.1369571871 6837916.141575181, 224079.88195718708 6837914.585575181, 224079.8792395001 6837914.584778842, 224074.61623950012 6837913.058778841, 224074.6132998787 6837913.057936238, 224069.34029987868 6837911.563936238, 224069.33757251248 6837911.563171832, 224064.0565725125 6837910.099171832, 224064.05356251748 6837910.098347507, 224058.76356251747 6837908.667347508, 224058.76082590266 6837908.666615538, 224053.46282590265 6837907.265615538, 224053.459892104 6837907.264849235, 224048.152892104 6837905.895849235, 224048.14997606637 6837905.895106363, 224042.83497606637 6837904.558106363, 224042.8232532901 6837904.555307256, 224034.5395830975 6837902.682607887, 224026.26817716684 6837900.76520922, 224018.00544148003 6837898.804509235, 224018.00006303968 6837898.803264285, 224012.66906303968 6837897.600264286, 224012.66606949107 6837897.599598399, 224007.32906949107 6837896.4295983985, 224007.32622704186 6837896.428983922, 224001.98222704185 6837895.289983923, 224001.97929372473 6837895.289367912, 223996.62829372473 6837894.1823679125, 223996.6255507366 6837894.181808454, 223991.2685507366 6837893.1048084535, 223991.26552299177 6837893.104209456, 223985.90152299177 6837892.060209456, 223985.89861389095 6837892.059652193, 223980.52961389095 6837891.047652193, 223980.52677287275 6837891.047125187, 223975.15177287275 6837890.066125187, 223975.1489292071 6837890.0656146705, 223969.7679292071 6837889.11561467, 223969.76490535002 6837889.115090381, 223964.37790535 6837888.198090381, 223964.37507156737 6837888.197616375, 223958.98307156737 6837887.311616375, 223958.98014574504 6837887.311144512, 223953.58314574504 6837886.457144513, 223953.58030654065 6837886.456703607, 223948.17830654065 6837885.633703606, 223948.17528597094 6837885.6332528535, 223942.76828597093 6837884.843252854, 223942.76545495403 6837884.842847489, 223937.36493948908 6837884.085318152, 223936.28135238332 6837883.886231307, 223936.27894190626 6837883.885794533, 223935.18194190628 6837883.689794534, 223935.17750973097 6837883.6890232, 223934.07950973097 6837883.503023201, 223934.07644980407 6837883.502514611, 223932.97844980404 6837883.3235146105, 223932.97524323798 6837883.323002548, 223931.875243238 6837883.151002548, 223931.87203857006 6837883.150512093, 223930.77003857004 6837882.985512094, 223930.7656411841 6837882.984873648, 223929.6636411841 6837882.829873648, 223929.6613761993 6837882.829560349, 223928.5583761993 6837882.679560348, 223928.55384601935 6837882.678965346, 223927.44884601934 6837882.538965346, 223927.44658111074 6837882.538683641, 223926.34058111074 6837882.403683641, 223926.3361524522 6837882.403163103, 223925.2301524522 6837882.278163103, 223925.22748874844 6837882.2778692795, 223924.12148874844 6837882.15886928, 223924.11739615904 6837882.158445964, 223923.00939615903 6837882.048445963, 223923.00623923025 6837882.048142658, 223921.89723923025 6837881.9451426575, 223921.894082417 6837881.944859552, 223920.78408241703 6837881.848859552, 223920.7805156524 6837881.848563933, 223919.6705156524 6837881.760563932, 223919.66649580002 6837881.760261543, 223918.55649580003 6837881.681261543, 223918.55378259448 6837881.681075856, 223917.44278259447 6837881.608075856, 223917.43872943535 6837881.6078260625, 223916.32672943536 6837881.543826062, 223916.32361887023 6837881.543656757, 223915.21887842947 6837881.486977905, 223886.66812796856 6837879.303455861, 223886.62510143893 6837879.302023997, 223833.96040988434 6837879.818011177, 223800.87371822976 6837879.969005206, 223800.87828177022 6837880.9689947935, 223833.96628177023 6837880.817994794))</t>
  </si>
  <si>
    <t>['EV6 S47D1 m5056-5189']</t>
  </si>
  <si>
    <t>LINESTRING Z (230452.398 6836166.129 -999999, 230420.87 6836207.638 -999999, 230411.471 6836218.839 -999999, 230393.9 6836238.888 -999999, 230378.061 6836255.991 -999999, 230364.836 6836269.751 -999999)</t>
  </si>
  <si>
    <t>POLYGON ((230420.47917651647 6836207.325903134, 230411.0914337542 6836218.5134876305, 230393.5284920306 6836238.553292913, 230377.69729804958 6836255.647863951, 230364.47550796147 6836269.404524186, 230365.19649203855 6836270.097475815, 230378.42149203853 6836256.337475815, 230378.4278494445 6836256.330737377, 230394.2668494445 6836239.2277373765, 230394.27602681512 6836239.2175509585, 230411.8470268151 6836219.168550958, 230411.85401809574 6836219.160398722, 230421.25301809574 6836207.959398722, 230421.26816814122 6836207.940427068, 230452.7961681412 6836166.431427067, 230451.99983185876 6836165.826572932, 230420.47917651647 6836207.325903134))</t>
  </si>
  <si>
    <t>['EV6 S47D1 m5191-5212']</t>
  </si>
  <si>
    <t>LINESTRING Z (230348.642 6836286.255 -999999, 230363.796 6836270.643 -999999)</t>
  </si>
  <si>
    <t>POLYGON ((230364.15477683343 6836270.99125161, 230363.43722316658 6836270.29474839, 230348.28322316657 6836285.90674839, 230349.00077683342 6836286.60325161, 230364.15477683343 6836270.99125161))</t>
  </si>
  <si>
    <t>['EV6 S47D1 m10466-10480']</t>
  </si>
  <si>
    <t>LINESTRING Z (225522.673 6837773.95 -999999, 225521.923 6837775.256 -999999, 225520.61 6837776.749 -999999, 225512.79 6837784.094 -999999, 225496.368 6837799.569 -999999, 225479.529 6837814.547 -999999, 225462.2 6837829.202 -999999, 225444.402 6837843.737 -999999, 225363.823 6837908.938 -999999)</t>
  </si>
  <si>
    <t>POLYGON ((225521.51440012103 6837774.963486456, 225520.25029617499 6837776.400887211, 225512.44768852784 6837783.729551299, 225512.44709446115 6837783.730110193, 225496.03032455992 6837799.200181697, 225479.20136175823 6837814.169253781, 225461.88040881636 6837828.8174484465, 225444.08660855598 6837843.349018667, 225363.50848720537 6837908.549307703, 225364.13751279464 6837909.326692297, 225444.71651279464 6837844.125692297, 225444.71826685034 6837844.124266419, 225462.51626685035 6837829.5892664185, 225462.5228683977 6837829.583780038, 225479.8518683977 6837814.928780039, 225479.86130583822 6837814.920594472, 225496.7003058382 6837799.942594472, 225496.71090553884 6837799.932889807, 225513.1326089503 6837784.458169292, 225520.95231147215 6837777.113448701, 225520.9854615045 6837777.079194879, 225522.2984615045 6837775.586194879, 225522.32955755602 6837775.547051462, 225522.356589379 6837775.504998495, 225523.106589379 6837774.198998495, 225522.23941062103 6837773.701001505, 225521.51440012103 6837774.963486456))</t>
  </si>
  <si>
    <t>['EV6 S47D1 m11560-11587']</t>
  </si>
  <si>
    <t>LINESTRING Z (224477.033 6838045.179 -999999, 224500.394 6838063.09 -999999)</t>
  </si>
  <si>
    <t>POLYGON ((224500.08977460043 6838063.486795799, 224500.69822539957 6838062.693204201, 224477.33722539956 6838044.7822042005, 224476.72877460043 6838045.575795799, 224500.08977460043 6838063.486795799))</t>
  </si>
  <si>
    <t>['EV6 S47D1 m10940-11110']</t>
  </si>
  <si>
    <t>LINESTRING Z (225121.333 6838042.443 -999999, 225040.411 6838087.572 -999999, 225001.26 6838111.979 -999999, 225000.941 6838112.174 -999999, 225000.618 6838112.363 -999999, 225000.292 6838112.546 -999999, 224999.962 6838112.723 -999999, 224999.629 6838112.894 -999999, 224999.293 6838113.058 -999999, 224998.954 6838113.216 -999999, 224998.612 6838113.367 -999999, 224998.267 6838113.512 -999999, 224997.919 6838113.651 -999999, 224997.569 6838113.783 -999999, 224983.145 6838119.078 -999999, 224982.783 6838119.207 -999999, 224982.419 6838119.328 -999999, 224982.052 6838119.444 -999999, 224981.683 6838119.551 -999999, 224981.312 6838119.652 -999999, 224980.939 6838119.746 -999999, 224980.564 6838119.833 -999999, 224980.189 6838119.912 -999999, 224979.811 6838119.984 -999999, 224979.432 6838120.048 -999999, 224979.052 6838120.106 -999999, 224978.671 6838120.156 -999999, 224978.289 6838120.199 -999999, 224977.907 6838120.234 -999999, 224977.523 6838120.263 -999999, 224977.139 6838120.283 -999999, 224960.999 6838121.001 -999999)</t>
  </si>
  <si>
    <t>POLYGON ((225040.16746821743 6838087.135316738, 225040.1464868129 6838087.147697308, 225000.99734880298 6838111.5535365315, 225000.68432825516 6838111.744881379, 225000.36934690888 6838111.92918935, 225000.05143655505 6838112.10764823, 224999.72961368848 6838112.280262314, 224999.4051171284 6838112.446895682, 224999.077712504 6838112.60670032, 224998.74739109087 6838112.760655433, 224998.41414337355 6838112.907791121, 224998.07738731772 6838113.049326275, 224997.7380302318 6838113.184874076, 224997.39462386467 6838113.3143873345, 224982.97492441736 6838118.607808617, 224982.62020071415 6838118.734215682, 224982.26478518712 6838118.852362053, 224981.90700917572 6838118.965446569, 224981.54769640527 6838119.069637534, 224981.18522678688 6838119.168315247, 224980.82139752814 6838119.260004123, 224980.45595389613 6838119.344787044, 224980.09067722372 6838119.421738664, 224979.7225852769 6838119.4918514155, 224979.35264693107 6838119.5543212155, 224978.98174176423 6838119.610933056, 224978.6105006473 6838119.6596523635, 224978.23821960512 6838119.701558345, 224977.8653604934 6838119.735720829, 224977.49116584874 6838119.763980321, 224977.11488601335 6838119.783578228, 224960.97677910168 6838120.501494013, 224961.02122089834 6838121.500505988, 224977.16122089833 6838120.782505987, 224977.1650064165 6838120.782323208, 224977.5490064165 6838120.762323208, 224977.5606531939 6838120.761580221, 224977.94465319393 6838120.732580221, 224977.95262043196 6838120.731914427, 224978.33462043194 6838120.696914427, 224978.34492949664 6838120.695862045, 224978.72692949665 6838120.652862045, 224978.7360589594 6838120.6517492635, 224979.11705895938 6838120.601749263, 224979.12744208335 6838120.600275724, 224979.50744208336 6838120.542275725, 224979.51525404473 6838120.541020045, 224979.89425404472 6838120.477020045, 224979.9045560547 6838120.475169283, 224980.28255605474 6838120.403169283, 224980.29207099343 6838120.401261045, 224980.66707099343 6838120.322261045, 224980.6769988292 6838120.320063923, 224981.0519988292 6838120.233063923, 224981.0611851316 6838120.230840999, 224981.4341851316 6838120.136840998, 224981.44333862426 6838120.134441878, 224981.81433862424 6838120.033441878, 224981.82225022043 6838120.031218051, 224982.19125022044 6838119.924218051, 224982.2026900218 6838119.92075205, 224982.5696900218 6838119.80475205, 224982.57672278027 6838119.802471837, 224982.94072278027 6838119.681471838, 224982.95083847427 6838119.677988585, 224983.31283847426 6838119.548988584, 224983.31730515684 6838119.547372914, 224997.74130515684 6838114.252372914, 224997.74544031735 6838114.2508341735, 224998.09544031735 6838114.118834173, 224998.10446526608 6838114.115330308, 224998.45246526608 6838113.976330308, 224998.46072980942 6838113.972943339, 224998.80572980942 6838113.827943338, 224998.81395180363 6838113.824400774, 224999.15595180364 6838113.673400775, 224999.1652231511 6838113.669193977, 224999.5042231511 6838113.511193977, 224999.51231720016 6838113.507332801, 224999.84831720014 6838113.343332801, 224999.85740234258 6838113.338783509, 225000.1904023426 6838113.167783509, 225000.1983329916 6838113.163620831, 225000.52833299158 6838112.986620831, 225000.5367495376 6838112.982001908, 225000.8627495376 6838112.799001908, 225000.87051678557 6838112.79454985, 225001.19351678557 6838112.60554985, 225001.20177909618 6838112.600607856, 225001.5207790962 6838112.405607857, 225001.5245131871 6838112.403302692, 225040.66517333643 6838088.002748624, 225121.57653178257 6838042.879683262, 225121.08946821745 6838042.006316738, 225040.16746821743 6838087.135316738))</t>
  </si>
  <si>
    <t>['EV6 S47D1 m11109-11111']</t>
  </si>
  <si>
    <t>LINESTRING Z (224955.553 6838093.612 -999999, 224956.119 6838098.035 -999999, 224956.21 6838098.738 -999999, 224956.292 6838099.443 -999999, 224956.367 6838100.149 -999999, 224956.434 6838100.855 -999999, 224956.492 6838101.563 -999999, 224956.543 6838102.271 -999999, 224956.587 6838102.979 -999999, 224956.623 6838103.688 -999999, 224956.652 6838104.396 -999999, 224956.672 6838105.105 -999999, 224956.685 6838105.815 -999999, 224956.69 6838106.525 -999999, 224956.686 6838107.234 -999999, 224956.676 6838107.944 -999999, 224956.658 6838108.653 -999999, 224956.633 6838109.362 -999999, 224956.598 6838110.071 -999999, 224956.557 6838110.779 -999999, 224956.507 6838111.487 -999999, 224956.773 6838116.776 -999999)</t>
  </si>
  <si>
    <t>POLYGON ((224955.6230443126 6838098.098466181, 224955.62313709807 6838098.09918709, 224955.71372187673 6838098.798979391, 224955.79506061415 6838099.498294146, 224955.86950140644 6838100.199030138, 224955.9359322511 6838100.89903277, 224955.99346873735 6838101.601374704, 224956.04411540032 6838102.304469555, 224956.08778700122 6838103.007185315, 224956.12351912717 6838103.710909685, 224956.15228859885 6838104.413281614, 224956.17212907143 6838105.116626368, 224956.18503223153 6838105.821337419, 224956.18999006745 6838106.525350117, 224956.18601986373 6838107.2290687235, 224956.17608936716 6838107.934133981, 224956.15822364436 6838108.63784495, 224956.13343457764 6838109.340862883, 224956.09871313968 6838110.044220013, 224956.0580192493 6838110.746934022, 224956.0082422034 6838111.451776992, 224956.00763115095 6838111.5121147875, 224956.27363115092 6838116.801114787, 224957.27236884905 6838116.750885212, 224957.0078870642 6838111.492072579, 224957.05575779662 6838110.814223008, 224957.05616372218 6838110.807906373, 224957.09716372218 6838110.099906374, 224957.09739187793 6838110.0956526315, 224957.13239187794 6838109.386652631, 224957.13268945625 6838109.3796195155, 224957.15768945625 6838108.670619516, 224957.15783894187 6838108.6656898465, 224957.17583894188 6838107.956689847, 224957.17595041404 6838107.951041555, 224957.18595041402 6838107.241041555, 224957.18599204285 6838107.23682083, 224957.18999204287 6838106.52782083, 224957.18998760212 6838106.521478961, 224957.18498760212 6838105.811478961, 224957.18491620832 6838105.805846605, 224957.17191620832 6838105.0958466055, 224957.17180118532 6838105.090901236, 224957.15180118533 6838104.381901235, 224957.15158108738 6838104.375536933, 224957.12258108737 6838103.667536933, 224957.12235669966 6838103.662644794, 224957.08635669967 6838102.953644794, 224957.08603722887 6838102.947986388, 224957.04203722888 6838102.239986387, 224957.041707806 6838102.235076132, 224956.990707806 6838101.527076133, 224956.99033063903 6838101.522176304, 224956.93233063904 6838100.814176304, 224956.93176355227 6838100.807761816, 224956.86476355226 6838100.101761816, 224956.86420233213 6838100.0961810555, 224956.78920233212 6838099.390181055, 224956.7886518103 6838099.385233406, 224956.7066518103 6838098.680233406, 224956.70586290193 6838098.67381291, 224956.61490955367 6838097.971173308, 224956.0489556874 6838093.548533819, 224955.05704431262 6838093.675466181, 224955.6230443126 6838098.098466181))</t>
  </si>
  <si>
    <t>['EV6 S47D1 m11123-11201']</t>
  </si>
  <si>
    <t>LINESTRING Z (224852.826 6838050.671 -999999, 224910.09 6838038.888 -999999, 224910.899 6838038.687 -999999, 224911.708 6838038.478 -999999, 224912.514 6838038.262 -999999, 224913.318 6838038.039 -999999, 224914.12 6838037.809 -999999, 224914.92 6838037.57 -999999, 224915.719 6838037.326 -999999, 224916.514 6838037.074 -999999, 224917.307 6838036.814 -999999, 224918.099 6838036.547 -999999, 224918.887 6838036.273 -999999, 224919.673 6838035.992 -999999, 224920.457 6838035.705 -999999, 224921.237 6838035.409 -999999, 224922.015 6838035.107 -999999, 224922.791 6838034.797 -999999, 224923.563 6838034.481 -999999, 224924.332 6838034.157 -999999, 224925.099 6838033.827 -999999, 224925.863 6838033.49 -999999, 224926.623 6838033.146 -999999, 224927.38 6838032.795 -999999, 224928.134 6838032.437 -999999, 224928.885 6838032.072 -999999, 224929.632 6838031.7 -999999, 224942.806 6838025.662 -999999)</t>
  </si>
  <si>
    <t>POLYGON ((224910.1907719236 6838039.377739747, 224910.21056202432 6838039.373247152, 224911.01956202433 6838039.172247152, 224911.02406569087 6838039.171105952, 224911.83306569088 6838038.962105952, 224911.83742794415 6838038.960957977, 224912.64342794413 6838038.744957977, 224912.64763647568 6838038.743810432, 224913.4516364757 6838038.520810432, 224913.45583540126 6838038.519626052, 224914.25783540125 6838038.289626053, 224914.2631244473 6838038.288077648, 224915.0631244473 6838038.049077648, 224915.0660332395 6838038.04819901, 224915.8650332395 6838037.80419901, 224915.87008206925 6838037.8026279565, 224916.66508206923 6838037.550627956, 224916.66977533445 6838037.54911477, 224917.46277533445 6838037.2891147705, 224917.46672819526 6838037.28780049, 224918.25872819524 6838037.02080049, 224918.26321382148 6838037.019264567, 224919.05121382148 6838036.7452645665, 224919.05531997365 6838036.743816723, 224919.84131997367 6838036.462816723, 224919.84488094112 6838036.461528425, 224920.6288809411 6838036.174528426, 224920.63439938254 6838036.172471345, 224921.41439938254 6838035.876471345, 224921.4179339766 6838035.875114681, 224922.19593397662 6838035.573114681, 224922.2004889915 6838035.571320831, 224922.9764889915 6838035.261320831, 224922.98040977688 6838035.259735277, 224923.75240977688 6838034.943735276, 224923.757135643 6838034.94177256, 224924.526135643 6838034.61777256, 224924.52960989214 6838034.616293294, 224925.29660989213 6838034.286293294, 224925.30079061852 6838034.284471908, 224926.06479061855 6838033.947471908, 224926.0691786996 6838033.94551108, 224926.82917869958 6838033.60151108, 224926.83332675262 6838033.599610689, 224927.59032675263 6838033.248610689, 224927.59445509047 6838033.24667357, 224928.34845509045 6838032.88867357, 224928.3525627176 6838032.886700276, 224929.10356271762 6838032.521700276, 224929.10788751655 6838032.519572513, 224929.8476624254 6838032.151170551, 224943.01432497922 6838026.1165335, 224942.5976750208 6838025.207466499, 224929.4236750208 6838031.2454665, 224929.40911248347 6838031.252427487, 224928.664269777 6838031.623353171, 224927.9174865651 6838031.986303734, 224927.16760472572 6838032.342348427, 224926.41474292544 6838032.691429658, 224925.65901064215 6838033.033497955, 224924.89929555386 6838033.368607882, 224924.13612442624 6838033.696960518, 224923.3712222622 6838034.019233992, 224922.60354728656 6838034.333463646, 224921.83178411218 6838034.6417710995, 224921.05783071506 6838034.94220031, 224920.2823538303 6838035.236483846, 224919.50289710326 6838035.521820683, 224918.72072991222 6838035.8014504295, 224917.93702539802 6838036.073956822, 224917.14924542233 6838036.339534163, 224916.36056761592 6838036.59811705, 224915.5704381714 6838036.848573175, 224914.77541977362 6838037.0913572665, 224913.97951583058 6838037.32913357, 224913.1822614792 6838037.557772598, 224912.38246530903 6838037.779606611, 224911.58075056435 6838037.994458204, 224910.77618352132 6838038.202312978, 224909.97928743126 6838038.400305703, 224852.7252280764 6838050.181260253, 224852.9267719236 6838051.160739747, 224910.1907719236 6838039.377739747))</t>
  </si>
  <si>
    <t>['EV6 S47D1 m10422-10488']</t>
  </si>
  <si>
    <t>LINESTRING Z (225462.823 6837738.421 -999999, 225512.452 6837696.39 -999999, 225514.114 6837695.984 -999999)</t>
  </si>
  <si>
    <t>POLYGON ((225512.685175528 6837696.847741454, 225514.2326530049 6837696.469717474, 225513.9953469951 6837695.498282527, 225512.3333469951 6837695.904282526, 225512.28893248952 6837695.917338401, 225512.24591586666 6837695.934446128, 225512.20466588286 6837695.955459053, 225512.1655361502 6837695.980197044, 225512.12886210516 6837696.008448036, 225462.49986210518 6837738.039448037, 225463.14613789483 6837738.802551963, 225512.685175528 6837696.847741454))</t>
  </si>
  <si>
    <t>['EV6 S47D1 m11338-11411']</t>
  </si>
  <si>
    <t>LINESTRING Z (224720.149 6838063.229 -999999, 224659.581 6838061.633 -999999, 224648.282 6838066.498 -999999)</t>
  </si>
  <si>
    <t>POLYGON ((224659.59417070233 6838061.133173498, 224659.54010263132 6838061.134675402, 224659.48651315962 6838061.142008924, 224659.43402941528 6838061.155088244, 224659.38326558648 6838061.1737603005, 224648.08426558648 6838066.0387603, 224648.47973441353 6838066.9572397, 224659.67774451277 6838062.135722829, 224720.13582929768 6838063.728826502, 224720.16217070233 6838062.729173498, 224659.59417070233 6838061.133173498))</t>
  </si>
  <si>
    <t>['EV6 S47D1 m5070-5099']</t>
  </si>
  <si>
    <t>LINESTRING Z (230411.091 6836150.126 -999999, 230403.299 6836151.773 -999999, 230402.517 6836152.09 -999999, 230401.739 6836152.413 -999999, 230400.963 6836152.744 -999999, 230400.19 6836153.081 -999999, 230399.421 6836153.427 -999999, 230398.655 6836153.778 -999999, 230397.892 6836154.136 -999999, 230397.132 6836154.502 -999999, 230396.376 6836154.874 -999999, 230395.622 6836155.253 -999999, 230394.873 6836155.639 -999999, 230394.127 6836156.032 -999999, 230393.384 6836156.431 -999999, 230392.646 6836156.837 -999999, 230391.91 6836157.249 -999999, 230391.179 6836157.669 -999999, 230390.451 6836158.094 -999999, 230389.727 6836158.527 -999999, 230389.007 6836158.965 -999999, 230388.291 6836159.411 -999999, 230387.579 6836159.863 -999999, 230386.872 6836160.322 -999999, 230386.168 6836160.786 -999999, 230385.469 6836161.257 -999999, 230384.775 6836161.734 -999999, 230384.084 6836162.217 -999999, 230383.397 6836162.707 -999999, 230382.715 6836163.204 -999999, 230382.039 6836163.706 -999999)</t>
  </si>
  <si>
    <t>POLYGON ((230403.19559928795 6836151.283808531, 230403.15280925776 6836151.294849117, 230403.11116120016 6836151.30962479, 230402.32916120015 6836151.62662479, 230402.32528250536 6836151.6282160655, 230401.54728250537 6836151.951216065, 230401.54282745486 6836151.953090952, 230400.76682745485 6836152.284090952, 230400.76318173812 6836152.285663157, 230399.99018173813 6836152.622663157, 230399.98484231622 6836152.625028154, 230399.21584231622 6836152.971028154, 230399.21271351172 6836152.97244886, 230398.44671351172 6836153.32344886, 230398.4426158829 6836153.325348935, 230397.6796158829 6836153.683348935, 230397.6750565474 6836153.685516329, 230396.9150565474 6836154.051516329, 230396.91124617466 6836154.053371258, 230396.15524617463 6836154.425371258, 230396.15144571834 6836154.427261402, 230395.39744571835 6836154.806261402, 230395.39295065566 6836154.80854933, 230394.64395065565 6836155.1945493305, 230394.63995572238 6836155.196630964, 230393.8939557224 6836155.589630963, 230393.89044520239 6836155.591498209, 230393.14744520237 6836155.990498209, 230393.1429950517 6836155.992917114, 230392.4049950517 6836156.398917114, 230392.4017705225 6836156.400706564, 230391.6657705225 6836156.812706564, 230391.66090930763 6836156.81546358, 230390.92990930763 6836157.23546358, 230390.9269169862 6836157.237196625, 230390.1989169862 6836157.662196625, 230390.1943625112 6836157.664887894, 230389.4703625112 6836158.097887894, 230389.4671394651 6836158.099831997, 230388.7471394651 6836158.5378319975, 230388.74264018572 6836158.540601733, 230388.0266401857 6836158.986601734, 230388.02302276006 6836158.98887656, 230387.31102276006 6836159.440876559, 230387.30673521053 6836159.44362918, 230386.59973521053 6836159.90262918, 230386.5968433187 6836159.904520897, 230385.8928433187 6836160.368520898, 230385.88859987422 6836160.371348858, 230385.18959987423 6836160.842348858, 230385.18578598773 6836160.844944393, 230384.49178598772 6836161.321944393, 230384.4885475173 6836161.324189099, 230383.79754751732 6836161.807189099, 230383.79366122177 6836161.809933183, 230383.10666122177 6836162.299933183, 230383.1025267584 6836162.302913982, 230382.4205267584 6836162.799913982, 230382.41690360112 6836162.802579352, 230381.7409036011 6836163.304579352, 230382.33709639887 6836164.107420648, 230383.01129080422 6836163.606761489, 230383.68941360514 6836163.112586956, 230384.37240216165 6836162.625448101, 230385.05983766488 6836162.144939639, 230385.7503130348 6836161.670362187, 230386.44528560754 6836161.202075947, 230387.14571402787 6836160.740429942, 230387.84912802032 6836160.283758057, 230388.5571733861 6836159.834268584, 230389.2691175203 6836159.390795003, 230389.98525266832 6836158.955146121, 230390.7053673493 6836158.524469799, 230391.42958984082 6836158.1016750755, 230392.15666779058 6836157.683928511, 230392.88862052673 6836157.274194099, 230393.62278602863 6836156.870303593, 230394.36180325344 6836156.473442391, 230395.10405145385 6836156.082418876, 230395.84880756927 6836155.698605977, 230396.59865811924 6836155.321691709, 230397.3508525658 6836154.951564283, 230398.10666926598 6836154.587578871, 230398.86533956978 6836154.231610367, 230399.62772453376 6836153.882266866, 230400.39249490143 6836153.538169925, 230401.1609984961 6836153.203130195, 230401.9329495542 6836152.873857256, 230402.7067814817 6836152.552587703, 230403.4457639643 6836152.253025751, 230411.19440071203 6836150.615191469, 230410.98759928794 6836149.636808531, 230403.19559928795 6836151.283808531))</t>
  </si>
  <si>
    <t>2016-07-26</t>
  </si>
  <si>
    <t>['FV714 S9D1 m1725-1739']</t>
  </si>
  <si>
    <t>LINESTRING Z (200321.29 7064029.05 4.372, 200321.77 7064025.77 4.372, 200321.25 7064022.77 5.352, 200317.09 7064027.82 7.072, 200316.91 7064030.16 7.222, 200316.77 7064032.77 7.322, 200321.39 7064036.95 4.322, 200321.38 7064033.5 4.332)</t>
  </si>
  <si>
    <t>POLYGON Z ((200321.29 7064029.05 4.372, 200321.77 7064025.77 4.372, 200321.25 7064022.77 5.352, 200317.09 7064027.82 7.072, 200316.91 7064030.16 7.222, 200316.77 7064032.77 7.322, 200321.39 7064036.95 4.322, 200321.38 7064033.5 4.332, 200321.29 7064029.05 4.372))</t>
  </si>
  <si>
    <t>['FV714 S9D1 m1728-1739']</t>
  </si>
  <si>
    <t>LINESTRING Z (200290.84 7064030.74 4.322, 200290.08 7064026.43 4.402, 200290.45 7064026.3 4.522, 200294.92 7064030.07 6.992, 200295.64 7064034.41 7.442, 200294.79 7064035.83 6.892, 200291.31 7064036.92 4.362, 200291.32 7064034.69 4.232)</t>
  </si>
  <si>
    <t>POLYGON Z ((200290.84 7064030.74 4.322, 200290.08 7064026.43 4.402, 200290.45 7064026.3 4.522, 200294.92 7064030.07 6.992, 200295.64 7064034.41 7.442, 200294.79 7064035.83 6.892, 200291.31 7064036.92 4.362, 200291.32 7064034.69 4.232, 200290.84 7064030.74 4.322))</t>
  </si>
  <si>
    <t>2016-08-10</t>
  </si>
  <si>
    <t>['FV5981 S1D1 m1772-1876']</t>
  </si>
  <si>
    <t>LINESTRING Z (96835.79 6965527.5 19.546, 96835.15 6965526.59 19.186, 96835.9 6965523.49 19.106, 96841.53 6965509.12 18.826, 96843.03 6965505.63 18.606, 96846.14 6965498.1 18.706, 96849.76 6965488.32 18.486, 96853.15 6965479.6 18.296, 96857.63 6965468.99 17.986, 96861.24 6965459.8 17.856, 96864.74 6965450.87 17.656, 96868.53 6965441.01 17.516, 96871.11 6965434.58 17.336, 96872.16 6965431.55 17.486, 96872.28 6965431.49 17.526, 96872.16 6965431.55 17.486, 96874.95 6965431.45 18.546, 96872.9 6965437.16 18.826, 96868.77 6965446.3 18.886, 96865.61 6965456.58 19.326, 96863.02 6965465.19 19.856, 96858.4 6965475.05 19.936, 96854.21 6965483.89 19.756, 96849.53 6965495.59 19.826, 96848.42 6965500.44 20.356, 96845.25 6965507.87 20.456, 96841.74 6965515.11 20.206, 96838.33 6965522.2 19.786, 96836.33 6965527.02 19.536, 96835.79 6965527.5 19.546)</t>
  </si>
  <si>
    <t>2016-08-12</t>
  </si>
  <si>
    <t>[6884]</t>
  </si>
  <si>
    <t>['FV6884 S1D1 m7277-7372']</t>
  </si>
  <si>
    <t>LINESTRING Z (324665.14 7070174.58 159.463, 324669.22 7070179.27 158.813, 324677.12 7070183.03 158.183, 324696.88 7070188.05 156.713, 324721.63 7070190.98 153.813, 324730.45 7070194.2 151.673, 324740.15 7070197.59 149.443, 324746.93 7070198.84 149.573)</t>
  </si>
  <si>
    <t>POLYGON ((324668.84276651195 7070179.598169004, 324668.87838137796 7070179.635098229, 324668.91759305965 7070179.668183427, 324668.9599887071 7070179.6970762545, 324669.0051219471 7070179.721472505, 324676.9051219471 7070183.481472505, 324676.9501941409 7070183.500282862, 324676.9968865081 7070183.514606096, 324696.7568865081 7070188.534606095, 324696.8212185508 7070188.546532719, 324721.51330829866 7070191.469677082, 324730.27853001305 7070194.66967866, 324730.2850415548 7070194.672004991, 324739.9850415548 7070198.062004991, 324740.02181394026 7070198.073289079, 324740.0593449507 7070198.081712987, 324746.8393449507 7070199.331712987, 324747.0206550493 7070198.348287012, 324740.27856649965 7070197.1052765865, 324730.6182222461 7070193.729135657, 324721.80146998697 7070190.5103213405, 324721.7459060658 7070190.493619713, 324721.6887814492 7070190.483467281, 324696.97133847285 7070187.557321506, 324677.290619832 7070182.557462823, 324669.52889435785 7070178.863274495, 324665.51723348803 7070174.251830996, 324664.762766512 7070174.908169004, 324668.84276651195 7070179.598169004))</t>
  </si>
  <si>
    <t>['FV6884 S1D1 m7152-7233']</t>
  </si>
  <si>
    <t>LINESTRING Z (324824.69 7070267.9 133.943, 324820.4 7070265.63 135.493, 324815.25 7070263.55 137.233, 324811.81 7070262.33 137.943, 324807.21 7070262.16 138.583, 324797.91 7070260.54 140.103, 324779.11 7070260.76 141.233, 324772.2 7070258.07 142.513, 324768.28 7070253.83 142.843, 324764.2 7070243.65 143.833)</t>
  </si>
  <si>
    <t>POLYGON ((324820.6338491904 7070265.188055935, 324820.5872464092 7070265.166385093, 324815.4372464092 7070263.086385093, 324815.41712642385 7070263.07875828, 324811.97712642385 7070261.85875828, 324811.92861889896 7070261.844274196, 324811.878895403 7070261.8347693235, 324811.8284656551 7070261.830341097, 324807.26237529714 7070261.661594279, 324797.9958046996 7070260.047417466, 324797.95014710474 7070260.0416143965, 324797.90414933674 7070260.040034232, 324779.2010655462 7070260.258900106, 324772.48885025404 7070257.64589589, 324768.70978191076 7070253.558332171, 324764.66411247174 7070243.463990287, 324763.7358875283 7070243.836009714, 324767.8158875283 7070254.0160097135, 324767.8347693353 7070254.05752946, 324767.8573561952 7070254.097155787, 324767.8834601481 7070254.134558937, 324767.9128639659 7070254.169427655, 324771.8328639659 7070258.409427655, 324771.86510605644 7070258.44127624, 324771.90009948105 7070258.470074592, 324771.9375567502 7070258.495586115, 324771.9771701321 7070258.517601218, 324772.01861418155 7070258.535939036, 324778.9286141815 7070261.225939035, 324778.9739835743 7070261.241143982, 324779.02059864474 7070261.251942473, 324779.0680324786 7070261.258235614, 324779.1158506632 7070261.259965768, 324797.86968208523 7070261.040506039, 324807.1241953004 7070262.652582535, 324807.1915343449 7070262.659658903, 324811.7150283915 7070262.826831509, 324815.0727315197 7070264.017644828, 324820.18889457535 7070266.083978645, 324824.45615080965 7070268.341944065, 324824.92384919035 7070267.458055936, 324820.6338491904 7070265.188055935))</t>
  </si>
  <si>
    <t>['FV6884 S1D1 m7071-7110']</t>
  </si>
  <si>
    <t>LINESTRING Z (324793.53 7070296.69 130.873, 324787.28 7070298.77 130.693, 324782.57 7070299.06 131.093, 324778.13 7070301.08 130.383, 324765.45 7070305.52 128.653, 324754.57 7070312.81 126.733)</t>
  </si>
  <si>
    <t>POLYGON ((324787.1840841237 7070298.274958793, 324782.53927262605 7070298.560945064, 324782.4938663955 7070298.565830318, 324782.4490952993 7070298.574838116, 324782.40533283434 7070298.587893312, 324782.36294408323 7070298.604886995, 324777.94347255176 7070300.615547467, 324765.28475847916 7070305.048094034, 324765.2455168903 7070305.063725239, 324765.2077346865 7070305.082612851, 324765.17168151756 7070305.104622073, 324754.29168151756 7070312.394622073, 324754.84831848246 7070313.225377927, 324765.6753820146 7070305.970847306, 324778.29524152086 7070301.551905965, 324778.3370559168 7070301.535113005, 324782.69295183936 7070299.553376571, 324787.310727374 7070299.269054935, 324787.3537725887 7070299.264527658, 324787.39626498515 7070299.256294616, 324787.4378861444 7070299.244417501, 324793.6878861444 7070297.164417502, 324793.3721138557 7070296.215582499, 324787.1840841237 7070298.274958793))</t>
  </si>
  <si>
    <t>2025-12-18T10:33:07Z</t>
  </si>
  <si>
    <t>['FV6884 S1D1 m5896-6006']</t>
  </si>
  <si>
    <t>LINESTRING Z (324036.68 7071053.17 79.672, 324047.59 7071041.47 80.162, 324055.04 7071034.58 76.692, 324063.18 7071029.13 78.982, 324065.7 7071027.82 78.722, 324068.24 7071026.54 78.452, 324069.87 7071026.07 78.142, 324072.42 7071025.98 77.952, 324074.07 7071024.95 77.612, 324076.64 7071024.15 77.092, 324077.84 7071023.65 76.582, 324080.4 7071023.87 76.712, 324084.9 7071022.93 75.582, 324088.33 7071021.07 74.872, 324091.65 7071021.24 74.532, 324100.4 7071020.01 73.462, 324108.22 7071018.92 72.822, 324112.48 7071018.23 72.322, 324115.62 7071017.36 72.022, 324118.86 7071015.92 71.672)</t>
  </si>
  <si>
    <t>POLYGON ((324047.94306822604 7071041.824520803, 324055.35072679044 7071034.973679527, 324063.43517692114 7071029.560872006, 324065.92782555975 7071028.265090373, 324068.4233523292 7071027.00750208, 324069.9492699676 7071026.567513559, 324072.4376360778 7071026.479688873, 324072.48968959134 7071026.475119542, 324072.5409819699 7071026.465142622, 324072.59095300897 7071026.449867076, 324072.63905693556 7071026.429459741, 324072.6847683685 7071026.404143503, 324074.2801196892 7071025.408257526, 324076.78860854893 7071024.627404964, 324076.8323076923 7071024.611538462, 324077.9192348179 7071024.15865216, 324080.3571890442 7071024.368163851, 324080.4057455444 7071024.3699669875, 324080.4542477841 7071024.367048467, 324080.5022377108 7071024.359435849, 324085.0022377108 7071023.4194358485, 324085.04915232025 7071023.407235356, 324085.0946649977 7071023.390549171, 324085.13834795455 7071023.369534131, 324088.44479597954 7071021.576533162, 324091.62443108845 7071021.739345803, 324091.6721168322 7071021.739510606, 324091.7196014051 7071021.735131946, 324100.46931372135 7071020.505172386, 324108.2890257861 7071019.41521252, 324108.29994404357 7071019.413567574, 324112.5599440436 7071018.723567574, 324112.61350532086 7071018.71184679, 324115.75350532087 7071017.84184679, 324115.7887486925 7071017.830663233, 324115.8230692331 7071017.816905774, 324119.0630692331 7071016.376905774, 324118.6569307669 7071015.463094226, 324115.45078862715 7071016.888046289, 324112.3729535203 7071017.7408222575, 324108.14550598233 7071018.425549676, 324100.3309742139 7071019.514787479, 324100.33039859496 7071019.514868054, 324091.6277821239 7071020.738207283, 324088.3555689116 7071020.570654198, 324088.30991444364 7071020.570403593, 324088.2644274405 7071020.57431841, 324088.21948715334 7071020.582366007, 324088.1754682751 7071020.59447929, 324088.13273781637 7071020.610557261, 324088.0916520455 7071020.630465869, 324084.72605143127 7071022.455543753, 324080.3696456849 7071023.365548508, 324077.88281095587 7071023.151836149, 324077.8348117314 7071023.150026919, 324077.78686038847 7071023.152831838, 324077.73939946014 7071023.16022502, 324077.6928669536 7071023.1721382355, 324077.6476923077 7071023.188461538, 324076.469172653 7071023.679511394, 324073.9213914511 7071024.472595037, 324073.8812002075 7071024.48701551, 324073.84238590824 7071024.504812595, 324073.8052316315 7071024.525856498, 324072.26869329315 7071025.485028915, 324069.85236392217 7071025.570311128, 324069.81158574607 7071025.573423949, 324069.7711983729 7071025.579858961, 324069.731472002 7071025.589573113, 324068.101472002 7071026.059573113, 324068.0574405448 7071026.074519554, 324068.0149879827 7071026.093491779, 324065.4749879827 7071027.373491779, 324065.4693790638 7071027.376362779, 324062.9493790638 7071028.686362779, 324062.9018259363 7071028.714525343, 324054.76182593626 7071034.164525343, 324054.730222589 7071034.187523305, 324054.7005122019 7071034.21291958, 324047.2505122019 7071041.1029195795, 324047.22431650024 7071041.12900795, 324036.3143165002 7071052.829007951, 324037.0456834998 7071053.510992049, 324047.94306822604 7071041.824520803))</t>
  </si>
  <si>
    <t>['FV6884 S1D1 m6949-6996']</t>
  </si>
  <si>
    <t>LINESTRING Z (324746.44 7070427.38 117.313, 324747.28 7070425.22 118.973, 324749.31 7070422.58 118.263, 324751 7070421.66 118.633, 324753.46 7070417.49 119.423, 324755.6 7070410.49 119.673, 324755.81 7070402.88 120.073, 324756.07 7070391.53 120.313)</t>
  </si>
  <si>
    <t>POLYGON ((324747.7200368344 7070425.467991563, 324749.6419205985 7070422.9685959285, 324751.2390618621 7070422.099146247, 324751.2849470073 7070422.070859103, 324751.3275203741 7070422.037796777, 324751.36628715624 7070422.000343531, 324751.4007967894 7070421.958934665, 324751.43064818747 7070421.914051449, 324753.8906481875 7070417.744051449, 324753.91759124387 7070417.691519859, 324753.9381545699 7070417.636178683, 324756.07815456984 7070410.636178683, 324756.0893269661 7070410.59275758, 324756.0965647534 7070410.548510219, 324756.0998097339 7070410.503792385, 324756.30980973394 7070402.893792384, 324756.3098688633 7070402.89145074, 324756.5698688633 7070391.541450741, 324755.5701311367 7070391.51854926, 324755.310157959 7070402.867378361, 324755.1020573308 7070410.408548745, 324752.9991964989 7070417.2870654855, 324750.6395666788 7070421.28692579, 324749.0709381379 7070422.140853753, 324749.02656194987 7070422.168098468, 324748.9852599543 7070422.199810701, 324748.947480116 7070422.235646499, 324748.91363219824 7070422.275217183, 324746.88363219827 7070424.915217183, 324746.8565421896 7070424.954136346, 324746.8332608788 7070424.99544676, 324746.81399766426 7070425.038776869, 324745.97399766423 7070427.198776869, 324746.9060023358 7070427.561223131, 324747.7200368344 7070425.467991563))</t>
  </si>
  <si>
    <t>['FV6884 S1D1 m6701-6882']</t>
  </si>
  <si>
    <t>LINESTRING Z (324713.34 7070487.42 110.613, 324706.82 7070501.57 108.023, 324703.94 7070505.72 107.863, 324700 7070510.48 107.643, 324693.91 7070516.22 107.803, 324691.23 7070517.6 107.753, 324689.38 7070520.44 107.233, 324686.3 7070522.79 106.963, 324683.52 7070525.9 105.983, 324679 7070530.22 105.023, 324676.64 7070533.06 104.523, 324673.97 7070535.63 104.083, 324671.11 7070539.21 103.203, 324665.58 7070543.13 105.113, 324660.2 7070549.21 104.743, 324654.99 7070556.98 104.683, 324647.84 7070566.73 104.523, 324643.04 7070581.24 102.873, 324636.01 7070602.88 100.273, 324634.55 7070611.32 99.233, 324633.61 7070618.79 98.213, 324632.65 7070626.01 97.823, 324630.44 7070639.75 97.033)</t>
  </si>
  <si>
    <t>POLYGON ((324706.38423316856 7070501.320944299, 324703.5413120621 7070505.417514643, 324699.6345506485 7070510.137358381, 324693.61838837195 7070515.807764205, 324691.00110115245 7070517.155471803, 324690.95636475406 7070517.1815221, 324690.9145616853 7070517.212058419, 324690.876140069 7070517.246753415, 324690.8415117793 7070517.285235163, 324690.81104802625 7070517.3270911435, 324689.0081293908 7070520.094814887, 324685.99670626834 7070522.39249162, 324685.96043968335 7070522.42298666, 324685.92722263903 7070522.456777793, 324683.1603232192 7070525.552122109, 324678.6545339596 7070529.8585401615, 324678.61544577416 7070529.900440854, 324676.27322013234 7070532.719051372, 324673.62325694726 7070535.269765, 324673.5793527702 7070535.317918694, 324670.7633460203 7070538.842850219, 324665.2908480847 7070542.722089263, 324665.2459969187 7070542.75792213, 324665.2055487436 7070542.798659908, 324659.8255487436 7070548.878659908, 324659.78471636993 7070548.931540835, 324654.5805757307 7070556.692802403, 324647.4367975021 7070566.434318169, 324647.4081734514 7070566.477956687, 324647.3842539896 7070566.524341123, 324647.3652997103 7070566.572966135, 324642.56529971026 7070581.082966135, 324642.56446359074 7070581.085516592, 324635.53446359077 7070602.725516591, 324635.5173172033 7070602.794772881, 324634.05731720326 7070611.2347728815, 324634.05391231505 7070611.257573973, 324633.1141311158 7070618.725835206, 324632.15526137926 7070625.937334682, 324629.9463448698 7070639.670598411, 324630.9336551302 7070639.829401589, 324633.14365513023 7070626.089401589, 324633.1456378995 7070626.075901992, 324634.1056378995 7070618.855901992, 324634.1060876849 7070618.852426027, 324635.04464813793 7070611.393865831, 324636.4965865387 7070603.000468501, 324643.51512178057 7070581.395759734, 324648.28989979206 7070566.962003703, 324655.3932024979 7070557.275681832, 324655.40528363007 7070557.258459166, 324660.596637906 7070549.516266704, 324665.9162191852 7070543.504546597, 324671.3991519153 7070539.617910737, 324671.4359210781 7070539.589177335, 324671.4698513641 7070539.5571411755, 324671.5006472298 7070539.522081306, 324674.3402674281 7070535.967591687, 324676.9867430527 7070533.420235, 324677.02455422585 7070533.379559145, 324679.366212615 7070530.561631253, 324683.86546604044 7070526.261459839, 324683.892777361 7070526.233222207, 324686.6410919646 7070523.158668819, 324689.68329373165 7070520.83750838, 324689.72650333855 7070520.800465583, 324689.76522331685 7070520.758752249, 324689.79895197373 7070520.712908857, 324691.5766568766 7070517.9838916, 324694.1388988475 7070516.664528197, 324694.1793744348 7070516.641233206, 324694.21750007535 7070516.6142634945, 324694.2529431715 7070516.58385434, 324700.3429431715 7070510.843854341, 324700.3851697487 7070510.798816977, 324704.3251697487 7070506.038816976, 324704.35077513324 7070506.005068044, 324707.23077513324 7070501.855068045, 324707.2541017941 7070501.818104076, 324707.2741111045 7070501.779244128, 324713.7941111045 7070487.629244127, 324712.88588889554 7070487.210755873, 324706.38423316856 7070501.320944299))</t>
  </si>
  <si>
    <t>['FV6884 S1D1 m6483-6546']</t>
  </si>
  <si>
    <t>LINESTRING Z (324520.13 7070722.49 76.363, 324515.88 7070726.05 76.023, 324512.14 7070730.48 74.863, 324505.61 7070734.97 74.083, 324495.7 7070740.46 72.783, 324487.86 7070743.04 72.383, 324481.6 7070744.81 72.213, 324475.75 7070745.99 72.063, 324470.32 7070746.55 72.103, 324464.56 7070747.04 71.733, 324459.19 7070746.39 71.753, 324456.74 7070745.37 71.773)</t>
  </si>
  <si>
    <t>POLYGON ((324515.5589330355 7070725.666703764, 324515.5271303508 7070725.695764188, 324515.49794725626 7070725.727454343, 324511.8013142014 7070730.106086545, 324505.34659389424 7070734.54432455, 324495.49893298536 7070739.999789574, 324487.71376654465 7070742.561744858, 324481.4823759524 7070744.323655616, 324475.67474734323 7070745.495108908, 324470.2731587581 7070746.052178817, 324464.5689445504 7070746.537433151, 324459.3185264181 7070745.901907679, 324456.9321739049 7070744.908405816, 324456.5478260951 7070745.831594184, 324458.9978260951 7070746.851594184, 324459.04073448933 7070746.867199966, 324459.08488756116 7070746.878826529, 324459.12991713226 7070746.886376922, 324464.49991713226 7070747.536376922, 324464.5511025433 7070747.539920829, 324464.6023816447 7070747.538200558, 324470.3623816447 7070747.048200558, 324470.3712933223 7070747.047362036, 324475.8012933223 7070746.4873620365, 324475.8488635377 7070746.480128556, 324481.6988635377 7070745.300128555, 324481.73604039225 7070745.291137206, 324487.99604039226 7070743.521137207, 324488.01629533485 7070743.514943963, 324495.8562953349 7070740.934943963, 324495.9001795517 7070740.918179165, 324495.9422966768 7070740.897369775, 324505.8522966768 7070735.407369775, 324505.893291188 7070735.382002552, 324512.423291188 7070730.892002553, 324512.45882846456 7070730.86516024, 324512.4918362738 7070730.835262208, 324512.52205274376 7070730.802545657, 324516.23418432375 7070726.405555577, 324520.4510669645 7070722.873296236, 324519.8089330355 7070722.106703765, 324515.5589330355 7070725.666703764))</t>
  </si>
  <si>
    <t>['FV6884 S1D1 m6603-6668']</t>
  </si>
  <si>
    <t>LINESTRING Z (324611.16 7070672.08 89.663, 324606.94 7070672.23 88.713, 324598.95 7070672.76 87.073, 324590.3 7070671.25 86.063, 324585 7070670.51 84.803, 324578.95 7070671.38 83.673, 324571.35 7070671.93 83.113, 324564.59 7070673.79 82.633, 324560.59 7070675.64 82.333, 324552.86 7070678.21 82.053)</t>
  </si>
  <si>
    <t>POLYGON ((324606.9222387048 7070671.730315563, 324606.9069062692 7070671.731096397, 324598.97682607325 7070672.257121741, 324590.38598296954 7070670.757448552, 324590.3691406431 7070670.754803502, 324585.0691406431 7070670.014803502, 324585.02243065013 7070670.010503387, 324584.9755232392 7070670.010599471, 324584.9288312545 7070670.015090907, 324578.8963038617 7070670.882578317, 324571.3139101707 7070671.431304176, 324571.26522496686 7070671.437239212, 324571.2173554594 7070671.44791554, 324564.45735545945 7070673.30791554, 324564.4181510087 7070673.32045988, 324564.3801112469 7070673.33618648, 324560.40560285206 7070675.174396612, 324552.7022544422 7070677.735535734, 324553.01774555777 7070678.684464266, 324560.7477455578 7070676.114464265, 324560.79988875316 7070676.09381352, 324564.7624333132 7070674.261136661, 324571.4351848547 7070672.425142894, 324578.9860898293 7070671.878695823, 324579.02116874553 7070671.874909093, 324585.0010344166 7070671.014994525, 324590.22241565323 7070671.744017566, 324598.86401703046 7070673.252551448, 324598.92336533533 7070673.259290091, 324598.9830937308 7070673.258903603, 324606.96543350857 7070672.729411729, 324611.17776129517 7070672.579684437, 324611.1422387048 7070671.580315563, 324606.9222387048 7070671.730315563))</t>
  </si>
  <si>
    <t>2016-10-04</t>
  </si>
  <si>
    <t>['EV18 S22D1 m6228-6236']</t>
  </si>
  <si>
    <t>LINESTRING Z (169794.111 6542081.13 90.52, 169796.07 6542090.882 85.96, 169802.491 6542089.83 85.89, 169802.632 6542085.811 87.33, 169800.583 6542080.818 90.28, 169799.448 6542080.088 90.68)</t>
  </si>
  <si>
    <t>POLYGON Z ((169794.111 6542081.13 90.52, 169796.07 6542090.882 85.96, 169802.491 6542089.83 85.89, 169802.632 6542085.811 87.33, 169800.583 6542080.818 90.28, 169799.448 6542080.088 90.68, 169794.111 6542081.13 90.52))</t>
  </si>
  <si>
    <t>['EV18 S22D1 m6195-6203']</t>
  </si>
  <si>
    <t>LINESTRING Z (169760.511 6542088.259 89.25, 169762.593 6542095.841 86.34, 169769.986 6542094.639 86.41, 169767.478 6542086.761 89.72)</t>
  </si>
  <si>
    <t>POLYGON Z ((169760.511 6542088.259 89.25, 169762.593 6542095.841 86.34, 169769.986 6542094.639 86.41, 169767.478 6542086.761 89.72, 169760.511 6542088.259 89.25))</t>
  </si>
  <si>
    <t>['EV18 S22D1 m6173-6193']</t>
  </si>
  <si>
    <t>LINESTRING Z (169739.533 6542094.499 88.24, 169741.041 6542099.637 86.57, 169749.741 6542098.196 86.46, 169758.629 6542096.731 86.44, 169760.234 6542096.106 86.39, 169759.049 6542090.138 88.54, 169756.008 6542089.424 89.13)</t>
  </si>
  <si>
    <t>POLYGON Z ((169739.533 6542094.499 88.24, 169741.041 6542099.637 86.57, 169749.741 6542098.196 86.46, 169758.629 6542096.731 86.44, 169760.234 6542096.106 86.39, 169759.049 6542090.138 88.54, 169756.008 6542089.424 89.13, 169739.533 6542094.499 88.24))</t>
  </si>
  <si>
    <t>['EV18 S22D1 m5694-5704']</t>
  </si>
  <si>
    <t>LINESTRING Z (169273.745 6542199.641 91.3, 169273.841 6542202.385 89.96, 169283.577 6542202.065 89.9, 169283.082 6542198.259 91.28)</t>
  </si>
  <si>
    <t>POLYGON Z ((169273.745 6542199.641 91.3, 169273.841 6542202.385 89.96, 169283.577 6542202.065 89.9, 169283.082 6542198.259 91.28, 169273.745 6542199.641 91.3))</t>
  </si>
  <si>
    <t>['EV18 S22D1 m5687-5691']</t>
  </si>
  <si>
    <t>LINESTRING Z (169266.814 6542199.018 91.38, 169266.75 6542202.498 90.05, 169271.445 6542202.563 89.99, 169271.484 6542199.627 91.23)</t>
  </si>
  <si>
    <t>POLYGON Z ((169266.814 6542199.018 91.38, 169266.75 6542202.498 90.05, 169271.445 6542202.563 89.99, 169271.484 6542199.627 91.23, 169266.814 6542199.018 91.38))</t>
  </si>
  <si>
    <t>['EV18 S22D1 m5672-5679']</t>
  </si>
  <si>
    <t>LINESTRING Z (169252.571 6542199.851 91.68, 169252.766 6542202.586 90.1, 169259.365 6542202.826 90.22, 169259.113 6542199.532 91.14)</t>
  </si>
  <si>
    <t>POLYGON Z ((169252.571 6542199.851 91.68, 169252.766 6542202.586 90.1, 169259.365 6542202.826 90.22, 169259.113 6542199.532 91.14, 169252.571 6542199.851 91.68))</t>
  </si>
  <si>
    <t>['EV18 S22D1 m4671-4676']</t>
  </si>
  <si>
    <t>LINESTRING Z (168263.7 6542101.196 96.919, 168267.139 6542103.805 97.489, 168268.809 6542102.743 97.389, 168268.13 6542101.704 97.339, 168266.304 6542099.404 97.109)</t>
  </si>
  <si>
    <t>POLYGON Z ((168263.7 6542101.196 96.919, 168267.139 6542103.805 97.489, 168268.809 6542102.743 97.389, 168268.13 6542101.704 97.339, 168266.304 6542099.404 97.109, 168263.7 6542101.196 96.919))</t>
  </si>
  <si>
    <t>['EV18 S22D1 m4120-4132']</t>
  </si>
  <si>
    <t>LINESTRING Z (167747.412 6541954.244 100.108, 167747.876 6541951.956 101.338, 167737.801 6541947.675 106.038, 167737.364 6541948.584 105.798, 167740.436 6541950.4 104.258, 167743.593 6541952.38 102.458)</t>
  </si>
  <si>
    <t>POLYGON Z ((167747.412 6541954.244 100.108, 167747.876 6541951.956 101.338, 167737.801 6541947.675 106.038, 167737.364 6541948.584 105.798, 167740.436 6541950.4 104.258, 167743.593 6541952.38 102.458, 167747.412 6541954.244 100.108))</t>
  </si>
  <si>
    <t>['EV18 S22D1 m4037-4044']</t>
  </si>
  <si>
    <t>LINESTRING Z (167671.203 6541892.001 112.278, 167670.303 6541893.15 111.648, 167668.38 6541897.958 108.728, 167671.38 6541899.629 108.768, 167674.767 6541900.636 108.508, 167674.577 6541898.703 108.928, 167675.868 6541894.258 111.918)</t>
  </si>
  <si>
    <t>POLYGON Z ((167671.203 6541892.001 112.278, 167670.303 6541893.15 111.648, 167668.38 6541897.958 108.728, 167671.38 6541899.629 108.768, 167674.767 6541900.636 108.508, 167674.577 6541898.703 108.928, 167675.868 6541894.258 111.918, 167671.203 6541892.001 112.278))</t>
  </si>
  <si>
    <t>['EV18 S22D1 m4027-4032']</t>
  </si>
  <si>
    <t>LINESTRING Z (167661.472 6541888.856 112.758, 167659.793 6541895.161 108.938, 167663.682 6541896.407 108.908, 167665.105 6541890.646 112.418, 167664.861 6541889.762 112.798)</t>
  </si>
  <si>
    <t>POLYGON Z ((167661.472 6541888.856 112.758, 167659.793 6541895.161 108.938, 167663.682 6541896.407 108.908, 167665.105 6541890.646 112.418, 167664.861 6541889.762 112.798, 167661.472 6541888.856 112.758))</t>
  </si>
  <si>
    <t>['EV18 S22D1 m3932-3938']</t>
  </si>
  <si>
    <t>LINESTRING Z (167574.347 6541851.356 113.418, 167571.886 6541856.832 111.018, 167577.63 6541859.512 110.938, 167580.126 6541853.842 113.708)</t>
  </si>
  <si>
    <t>POLYGON Z ((167574.347 6541851.356 113.418, 167571.886 6541856.832 111.018, 167577.63 6541859.512 110.938, 167580.126 6541853.842 113.708, 167574.347 6541851.356 113.418))</t>
  </si>
  <si>
    <t>['EV18 S22D1 m3894-3900']</t>
  </si>
  <si>
    <t>LINESTRING Z (167539.553 6541836.94 112.458, 167537.793 6541840.199 111.308, 167542.815 6541842.526 111.158, 167545.027 6541839.632 112.328)</t>
  </si>
  <si>
    <t>POLYGON Z ((167539.553 6541836.94 112.458, 167537.793 6541840.199 111.308, 167542.815 6541842.526 111.158, 167545.027 6541839.632 112.328, 167539.553 6541836.94 112.458))</t>
  </si>
  <si>
    <t>['EV18 S22D1 m3872-3878']</t>
  </si>
  <si>
    <t>LINESTRING Z (167519.732 6541827.135 112.078, 167518.165 6541830.538 111.288, 167523.616 6541832.951 111.138, 167525.728 6541830.065 112.338)</t>
  </si>
  <si>
    <t>POLYGON Z ((167519.732 6541827.135 112.078, 167518.165 6541830.538 111.288, 167523.616 6541832.951 111.138, 167525.728 6541830.065 112.338, 167519.732 6541827.135 112.078))</t>
  </si>
  <si>
    <t>['EV18 S22D1 m3806-3810']</t>
  </si>
  <si>
    <t>LINESTRING Z (167461.345 6541797.851 111.858, 167461.145 6541798.591 111.448, 167461.06 6541799.873 110.868, 167460.913 6541801.02 110.638, 167463.058 6541801.938 110.558, 167464.363 6541800.836 111.078, 167465.029 6541799.656 111.758)</t>
  </si>
  <si>
    <t>POLYGON Z ((167461.345 6541797.851 111.858, 167461.145 6541798.591 111.448, 167461.06 6541799.873 110.868, 167460.913 6541801.02 110.638, 167463.058 6541801.938 110.558, 167464.363 6541800.836 111.078, 167465.029 6541799.656 111.758, 167461.345 6541797.851 111.858))</t>
  </si>
  <si>
    <t>['EV18 S22D1 m3442-3445']</t>
  </si>
  <si>
    <t>LINESTRING Z (167143.706 6541621.663 97.887, 167142.518 6541624.794 97.597, 167145.382 6541626.275 97.797, 167146.531 6541624.011 97.827)</t>
  </si>
  <si>
    <t>POLYGON Z ((167143.706 6541621.663 97.887, 167142.518 6541624.794 97.597, 167145.382 6541626.275 97.797, 167146.531 6541624.011 97.827, 167143.706 6541621.663 97.887))</t>
  </si>
  <si>
    <t>['EV18 S22D1 m2842-2853']</t>
  </si>
  <si>
    <t>LINESTRING Z (166634.678 6541326.238 101.106, 166625.012 6541320.577 96.486, 166626.033 6541319.197 96.386, 166631.705 6541322.817 99.066)</t>
  </si>
  <si>
    <t>POLYGON Z ((166634.678 6541326.238 101.106, 166625.012 6541320.577 96.486, 166626.033 6541319.197 96.386, 166631.705 6541322.817 99.066, 166634.678 6541326.238 101.106))</t>
  </si>
  <si>
    <t>['EV18 S22D1 m2727-2753']</t>
  </si>
  <si>
    <t>LINESTRING Z (166530.426 6541254.967 105.556, 166528.889 6541258.247 107.036, 166534.689 6541260.872 106.786, 166541.33 6541264.302 106.676, 166546.571 6541267.697 106.506, 166551.984 6541270.615 106.096, 166552.968 6541269.389 105.146, 166548.181 6541265.907 105.196, 166543.507 6541262.576 105.596, 166537.471 6541258.313 105.396)</t>
  </si>
  <si>
    <t>POLYGON Z ((166530.426 6541254.967 105.556, 166528.889 6541258.247 107.036, 166534.689 6541260.872 106.786, 166541.33 6541264.302 106.676, 166546.571 6541267.697 106.506, 166551.984 6541270.615 106.096, 166552.968 6541269.389 105.146, 166548.181 6541265.907 105.196, 166543.507 6541262.576 105.596, 166537.471 6541258.313 105.396, 166530.426 6541254.967 105.556))</t>
  </si>
  <si>
    <t>['EV18 S22D1 m1920-1924']</t>
  </si>
  <si>
    <t>LINESTRING Z (165749.24 6541114.562 116.654, 165748.625 6541116.36 115.724, 165749.027 6541117.452 115.354, 165751.541 6541118.349 115.394, 165752.182 6541118.327 115.564, 165752.85 6541116.434 116.644)</t>
  </si>
  <si>
    <t>POLYGON Z ((165749.24 6541114.562 116.654, 165748.625 6541116.36 115.724, 165749.027 6541117.452 115.354, 165751.541 6541118.349 115.394, 165752.182 6541118.327 115.564, 165752.85 6541116.434 116.644, 165749.24 6541114.562 116.654))</t>
  </si>
  <si>
    <t>['EV18 S22D1 m1873-1877']</t>
  </si>
  <si>
    <t>LINESTRING Z (165710.186 6541092.703 117.654, 165708.791 6541095.509 116.194, 165711.517 6541097.022 116.064, 165713.23 6541094.41 117.474)</t>
  </si>
  <si>
    <t>POLYGON Z ((165710.186 6541092.703 117.654, 165708.791 6541095.509 116.194, 165711.517 6541097.022 116.064, 165713.23 6541094.41 117.474, 165710.186 6541092.703 117.654))</t>
  </si>
  <si>
    <t>['EV18 S22D1 m1851-1853']</t>
  </si>
  <si>
    <t>LINESTRING Z (165691.691 6541080.95 117.794, 165690.338 6541083.17 116.594, 165692.054 6541084.616 116.514, 165693.877 6541082.608 117.934)</t>
  </si>
  <si>
    <t>POLYGON Z ((165691.691 6541080.95 117.794, 165690.338 6541083.17 116.594, 165692.054 6541084.616 116.514, 165693.877 6541082.608 117.934, 165691.691 6541080.95 117.794))</t>
  </si>
  <si>
    <t>['EV18 S22D1 m291-302']</t>
  </si>
  <si>
    <t>LINESTRING Z (164325.006 6541127.094 124.182, 164328.861 6541129.026 125.929, 164335.161 6541131.5 128.672)</t>
  </si>
  <si>
    <t>POLYGON ((164328.6369758634 6541129.473004682, 164328.6782378117 6541129.4914008835, 164334.97823781168 6541131.965400884, 164335.3437621883 6541131.034599116, 164329.06480912666 6541128.568864215, 164325.2300241366 6541126.646995317, 164324.78197586339 6541127.541004682, 164328.6369758634 6541129.473004682))</t>
  </si>
  <si>
    <t>[6936]</t>
  </si>
  <si>
    <t>['FV6936 S1D1 m5080-5096']</t>
  </si>
  <si>
    <t>LINESTRING Z (313182.16 7091857.21 13.833, 313185.31 7091857.15 14.743, 313188.23 7091858.58 15.133, 313190.02 7091861.05 14.853, 313191.53 7091864.06 14.353, 313190.87 7091866.31 13.493, 313190.33 7091868.6 12.653, 313187.45 7091869.98 11.343, 313183.87 7091871.45 10.793, 313181.85 7091873.64 10.473, 313181.12 7091875.68 10.543)</t>
  </si>
  <si>
    <t>POLYGON Z ((313182.16 7091857.21 13.833, 313185.31 7091857.15 14.743, 313188.23 7091858.58 15.133, 313190.02 7091861.05 14.853, 313191.53 7091864.06 14.353, 313190.87 7091866.31 13.493, 313190.33 7091868.6 12.653, 313187.45 7091869.98 11.343, 313183.87 7091871.45 10.793, 313181.85 7091873.64 10.473, 313181.12 7091875.68 10.543, 313182.16 7091857.21 13.833))</t>
  </si>
  <si>
    <t>['FV6936 S1D1 m5082-5100']</t>
  </si>
  <si>
    <t>LINESTRING Z (313222.48 7091829.86 12.693, 313220.21 7091830.76 12.473, 313215.08 7091833.52 12.803, 313213.03 7091834.13 13.093, 313211.14 7091834.52 13.883, 313209.65 7091836.62 14.263, 313208.53 7091837.68 14.653, 313208 7091838.91 15.013, 313208.3 7091839.83 14.893, 313210.34 7091843.64 14.623, 313213.63 7091848.4 14.513, 313216.1 7091850.76 14.523, 313219.61 7091851.02 14.253, 313220.7 7091852.27 15.103, 313223.89 7091850.85 15.363, 313227.49 7091847.4 15.443, 313233.12 7091840.61 15.723, 313236.62 7091833.82 15.913, 313235.34 7091832.44 15.173)</t>
  </si>
  <si>
    <t>POLYGON Z ((313222.48 7091829.86 12.693, 313220.21 7091830.76 12.473, 313215.08 7091833.52 12.803, 313213.03 7091834.13 13.093, 313211.14 7091834.52 13.883, 313209.65 7091836.62 14.263, 313208.53 7091837.68 14.653, 313208 7091838.91 15.013, 313208.3 7091839.83 14.893, 313210.34 7091843.64 14.623, 313213.63 7091848.4 14.513, 313216.1 7091850.76 14.523, 313219.61 7091851.02 14.253, 313220.7 7091852.27 15.103, 313223.89 7091850.85 15.363, 313227.49 7091847.4 15.443, 313233.12 7091840.61 15.723, 313236.62 7091833.82 15.913, 313235.34 7091832.44 15.173, 313222.48 7091829.86 12.693))</t>
  </si>
  <si>
    <t>['FV6936 S1D1 m4993-5008']</t>
  </si>
  <si>
    <t>LINESTRING Z (313126.65 7091788.27 24.313, 313140.35 7091794.89 23.673)</t>
  </si>
  <si>
    <t>POLYGON ((313140.1324600675 7091795.340195932, 313140.56753993244 7091794.439804067, 313126.8675399325 7091787.819804067, 313126.43246006756 7091788.720195932, 313140.1324600675 7091795.340195932))</t>
  </si>
  <si>
    <t>['FV6936 S1D1 m4889-4925']</t>
  </si>
  <si>
    <t>LINESTRING Z (313042.45 7091737.89 31.283, 313048.02 7091743.03 30.933, 313057.59 7091748.93 29.943, 313067.42 7091755.29 29.703)</t>
  </si>
  <si>
    <t>POLYGON ((313047.68091475166 7091743.397452302, 313047.7178565567 7091743.428383408, 313047.7576039817 7091743.455615236, 313057.3229663131 7091749.352756067, 313067.14839206834 7091755.709796536, 313067.6916079316 7091754.870203464, 313057.86160793167 7091748.510203464, 313057.85239601834 7091748.504384764, 313048.3235527974 7091742.629758327, 313042.78908524837 7091737.522547698, 313042.11091475165 7091738.257452302, 313047.68091475166 7091743.397452302))</t>
  </si>
  <si>
    <t>['RV7 S1D1 m9994-9995']</t>
  </si>
  <si>
    <t>LINESTRING Z (226619.13 6684706.03 119.036, 226621.32 6684709.26 120.216)</t>
  </si>
  <si>
    <t>POLYGON ((226620.9061558378 6684709.540594029, 226621.73384416223 6684708.97940597, 226619.54384416222 6684705.749405971, 226618.71615583778 6684706.31059403, 226620.9061558378 6684709.540594029))</t>
  </si>
  <si>
    <t>['RV7 S1D1 m9974-9975']</t>
  </si>
  <si>
    <t>LINESTRING Z (226627.65 6684685.99 115.966, 226639.57 6684698.76 121.646)</t>
  </si>
  <si>
    <t>POLYGON ((226639.20449140278 6684699.101179521, 226639.93550859723 6684698.418820479, 226628.01550859722 6684685.648820479, 226627.28449140277 6684686.331179521, 226639.20449140278 6684699.101179521))</t>
  </si>
  <si>
    <t>['RV7 S1D1 m9945-9947']</t>
  </si>
  <si>
    <t>LINESTRING Z (226646.7 6684666.01 115.816, 226661.86 6684681.35 122.296)</t>
  </si>
  <si>
    <t>POLYGON ((226661.50436625798 6684681.701460725, 226662.215633742 6684680.998539275, 226647.055633742 6684665.658539275, 226646.344366258 6684666.361460725, 226661.50436625798 6684681.701460725))</t>
  </si>
  <si>
    <t>['RV7 S1D1 m9920-9921']</t>
  </si>
  <si>
    <t>LINESTRING Z (226667.16 6684650.82 115.836, 226674.66 6684657.38 119.116)</t>
  </si>
  <si>
    <t>POLYGON ((226674.33081875337 6684657.756350511, 226674.98918124664 6684657.003649489, 226667.48918124664 6684650.443649489, 226666.83081875337 6684651.196350511, 226674.33081875337 6684657.756350511))</t>
  </si>
  <si>
    <t>['RV7 S1D1 m9868-9869']</t>
  </si>
  <si>
    <t>LINESTRING Z (226707.01 6684615.26 115.696, 226711.99 6684621.9 118.316)</t>
  </si>
  <si>
    <t>POLYGON ((226711.58999999997 6684622.2, 226712.39 6684621.600000001, 226707.41000000003 6684614.96, 226706.61 6684615.56, 226711.58999999997 6684622.2))</t>
  </si>
  <si>
    <t>['RV7 S1D1 m9843-9845']</t>
  </si>
  <si>
    <t>LINESTRING Z (226725.67 6684598.42 115.726, 226733.52 6684608.82 119.896)</t>
  </si>
  <si>
    <t>POLYGON ((226733.12092283205 6684609.121226517, 226733.91907716793 6684608.518773484, 226726.06907716795 6684598.118773484, 226725.27092283207 6684598.721226516, 226733.12092283205 6684609.121226517))</t>
  </si>
  <si>
    <t>['RV7 S1D1 m9816-9819']</t>
  </si>
  <si>
    <t>LINESTRING Z (226744.18 6684582.28 115.806, 226757.2 6684593.56 121.296)</t>
  </si>
  <si>
    <t>POLYGON ((226756.872601036 6684593.937901995, 226757.527398964 6684593.182098004, 226744.507398964 6684581.902098005, 226743.852601036 6684582.657901996, 226756.872601036 6684593.937901995))</t>
  </si>
  <si>
    <t>['RV7 S1D1 m9789-9795']</t>
  </si>
  <si>
    <t>LINESTRING Z (226762.93 6684567.81 115.836, 226777.19 6684578.21 121.416)</t>
  </si>
  <si>
    <t>POLYGON ((226776.89537539028 6684578.613975666, 226777.48462460973 6684577.806024333, 226763.22462460972 6684567.406024333, 226762.63537539027 6684568.213975666, 226776.89537539028 6684578.613975666))</t>
  </si>
  <si>
    <t>['RV7 S1D1 m9767-9768']</t>
  </si>
  <si>
    <t>LINESTRING Z (226784.53 6684554.09 115.936, 226792.87 6684568.07 121.216)</t>
  </si>
  <si>
    <t>POLYGON ((226792.4406044726 6684568.326162998, 226793.2993955274 6684567.813837003, 226784.9593955274 6684553.8338370025, 226784.1006044726 6684554.346162997, 226792.4406044726 6684568.326162998))</t>
  </si>
  <si>
    <t>['RV7 S1D1 m9734-9743']</t>
  </si>
  <si>
    <t>LINESTRING Z (226806.41 6684543.14 116.246, 226818.99 6684553.04 119.366)</t>
  </si>
  <si>
    <t>POLYGON ((226818.68078584614 6684553.432920611, 226819.29921415384 6684552.647079389, 226806.71921415385 6684542.747079388, 226806.10078584615 6684543.532920611, 226818.68078584614 6684553.432920611))</t>
  </si>
  <si>
    <t>['RV7 S1D1 m9716-9717']</t>
  </si>
  <si>
    <t>LINESTRING Z (226830.28 6684535.47 116.326, 226831.66 6684540.31 116.706, 226833.55 6684546.97 118.416)</t>
  </si>
  <si>
    <t>POLYGON ((226831.179078092 6684540.446799906, 226833.06899350634 6684547.106501843, 226834.03100649363 6684546.833498157, 226832.14100649365 6684540.1734981565, 226832.14083688066 6684540.172901881, 226830.76083688065 6684535.332901881, 226829.79916311934 6684535.607098118, 226831.179078092 6684540.446799906))</t>
  </si>
  <si>
    <t>['RV7 S1D1 m9696-10001']</t>
  </si>
  <si>
    <t>LINESTRING Z (226849.91 6684530.29 116.316, 226850.39 6684536.09 116.376, 226849.99 6684540.12 117.346, 226818.99 6684553.04 119.366, 226792.87 6684568.07 121.216, 226777.19 6684578.21 121.416, 226757.2 6684593.56 121.296, 226733.52 6684608.82 119.896, 226711.99 6684621.9 118.316, 226693.33 6684636.06 117.806, 226687.25 6684642.07 117.926, 226674.66 6684657.38 119.116, 226661.86 6684681.35 122.296, 226639.57 6684698.76 121.646, 226623.75 6684708.53 120.436, 226621.32 6684709.26 120.216, 226620.58 6684718.39 120.946)</t>
  </si>
  <si>
    <t>POLYGON ((226849.88795077408 6684536.08589287, 226849.52194656827 6684539.773385244, 226818.7976500237 6684552.578479159, 226818.7406272905 6684552.606625737, 226792.6206272905 6684567.636625737, 226792.5984853953 6684567.650143097, 226776.91848539532 6684577.790143097, 226776.88548028574 6684577.813430027, 226756.91182869478 6684593.150876346, 226733.25472675078 6684608.396120251, 226711.73039181964 6684621.472678584, 226711.68775070072 6684621.501696899, 226693.0277507007 6684635.661696898, 226692.97849954298 6684635.704405528, 226686.898499543 6684641.714405528, 226686.8638092571 6684641.752420546, 226674.2738092571 6684657.062420545, 226674.24434769482 6684657.102091451, 226674.2189458329 6684657.144476707, 226661.46880488365 6684681.021107844, 226639.28388726138 6684698.349031388, 226623.54319808213 6684708.070051191, 226621.1761452774 6684708.781141128, 226621.1291314911 6684708.797864509, 226621.08401873038 6684708.819190698, 226621.04125631248 6684708.844907291, 226621.00127014553 6684708.874758154, 226620.96445848653 6684708.908445975, 226620.93118797487 6684708.945635229, 226620.9017899805 6684708.985955515, 226620.87655730362 6684709.029005249, 226620.85574125845 6684709.07435566, 226620.83954917005 6684709.121555065, 226620.82814230956 6684709.170133363, 226620.8216342878 6684709.219606722, 226620.08163428778 6684718.349606722, 226621.0783657122 6684718.430393278, 226621.7907878564 6684709.640644391, 226623.8938547226 6684709.008858872, 226623.9349817323 6684708.994523152, 226623.97470514217 6684708.976662735, 226624.01272353984 6684708.955413142, 226639.83272353985 6684699.185413142, 226639.8777774215 6684699.154047026, 226662.16777742148 6684681.744047026, 226662.20713215932 6684681.709860061, 226662.24271350974 6684681.671761354, 226662.274134697 6684681.630165045, 226662.3010541671 6684681.585523292, 226675.0776921159 6684657.659272384, 226687.61982510396 6684642.4074808, 226693.658269928 6684636.438557544, 226712.2716780929 6684622.313913407, 226733.77960818034 6684609.247321417, 226733.7908450933 6684609.24028911, 226757.4708450933 6684593.980289109, 226757.50451971428 6684593.956569972, 226777.47848786216 6684578.618880575, 226793.13061903775 6684568.496902889, 226819.21175809327 6684553.489264297, 226850.18234997627 6684540.581520841, 226850.22654296661 6684540.560508144, 226850.26847029763 6684540.535276165, 226850.30773038018 6684540.506066582, 226850.3439471727 6684540.47315917, 226850.37677378295 6684540.436869123, 226850.4058957906 6684540.397544035, 226850.43103425883 6684540.355560571, 226850.4519484059 6684540.311320857, 226850.4684379117 6684540.26524863, 226850.4803448361 6684540.2177851815, 226850.48755513207 6684540.169385125, 226850.8875551321 6684536.139385125, 226850.88998326976 6684536.094090228, 226850.88829649816 6684536.048761669, 226850.40829649815 6684530.248761669, 226849.41170350186 6684530.331238331, 226849.88795077408 6684536.08589287))</t>
  </si>
  <si>
    <t>['RV7 S1D1 m9452-9455']</t>
  </si>
  <si>
    <t>LINESTRING Z (227078.23 6684549.18 116.176, 227076.29 6684551.81 116.316, 227070.46 6684563.82 120.566)</t>
  </si>
  <si>
    <t>POLYGON ((227075.88762595342 6684551.513191767, 227075.86210856386 6684551.551332416, 227075.8401954683 6684551.591651921, 227070.0101954683 6684563.601651922, 227070.9098045317 6684564.038348079, 227076.71970120526 6684552.06976162, 227078.6323740466 6684549.476808232, 227077.82762595342 6684548.883191767, 227075.88762595342 6684551.513191767))</t>
  </si>
  <si>
    <t>['RV7 S1D1 m9475-9477']</t>
  </si>
  <si>
    <t>LINESTRING Z (227051.38 6684557.85 121.956, 227058.8 6684541.43 116.186, 227060.79 6684537.52 116.136)</t>
  </si>
  <si>
    <t>POLYGON ((227059.25086469803 6684541.646461085, 227061.23560668802 6684537.746792151, 227060.344393312 6684537.293207848, 227058.35439331198 6684541.203207849, 227058.34436171982 6684541.224102555, 227050.92436171984 6684557.644102555, 227051.83563828017 6684558.0558974445, 227059.25086469803 6684541.646461085))</t>
  </si>
  <si>
    <t>['RV7 S1D1 m9498-9499']</t>
  </si>
  <si>
    <t>LINESTRING Z (227041.48 6684528.96 116.006, 227040.41 6684533.12 116.186, 227034.12 6684550.21 121.646)</t>
  </si>
  <si>
    <t>POLYGON ((227039.9320511865 6684532.970995143, 227033.65077221455 6684550.037300013, 227034.58922778544 6684550.382699987, 227040.87922778545 6684533.292699987, 227040.8942384436 6684533.244551715, 227041.96423844362 6684529.084551715, 227040.9957615564 6684528.835448285, 227039.9320511865 6684532.970995143))</t>
  </si>
  <si>
    <t>['RV7 S1D1 m9525-9526']</t>
  </si>
  <si>
    <t>LINESTRING Z (227014.32 6684540.43 119.936, 227015.98 6684527.1 115.986, 227017.21 6684522.08 115.856)</t>
  </si>
  <si>
    <t>POLYGON ((227016.47256759726 6684527.190696097, 227017.69563496835 6684522.198990242, 227016.72436503164 6684521.9610097585, 227015.49436503166 6684526.981009758, 227015.48383248234 6684527.038211697, 227013.82383248233 6684540.368211697, 227014.81616751768 6684540.491788303, 227016.47256759726 6684527.190696097))</t>
  </si>
  <si>
    <t>['RV7 S1D1 m9554-9555']</t>
  </si>
  <si>
    <t>LINESTRING Z (226989.17 6684519.52 115.516, 226989.36 6684524.86 115.716, 226989.25 6684533.33 118.286)</t>
  </si>
  <si>
    <t>POLYGON ((226988.85988450688 6684524.865646354, 226988.7500421603 6684533.323507041, 226989.7499578397 6684533.336492959, 226989.85995783968 6684524.86649296, 226989.85968380675 6684524.842220988, 226989.66968380677 6684519.502220987, 226988.67031619325 6684519.537779012, 226988.85988450688 6684524.865646354))</t>
  </si>
  <si>
    <t>['RV7 S1D1 m9424-9591']</t>
  </si>
  <si>
    <t>LINESTRING Z (227100.22 6684569.17 116.276, 227093.3 6684570.33 117.936, 227052.05 6684558.24 121.946, 227027.23 6684546.24 121.156, 226997.63 6684534.99 118.686, 226956.27 6684526.09 116.336, 226952.66 6684518.99 115.406)</t>
  </si>
  <si>
    <t>POLYGON ((227093.33051062617 6684569.817909212, 227052.23036230876 6684557.771829378, 227027.44763823596 6684545.789851583, 227027.4076364751 6684545.772618697, 226997.8076364751 6684534.522618697, 226997.77181570156 6684534.5105333105, 226997.73518420488 6684534.501188909, 226956.60783771472 6684525.651252164, 226953.10569686364 6684518.763385116, 226952.21430313637 6684519.216614884, 226955.82430313635 6684526.316614884, 226955.84880765373 6684526.359438319, 226955.87741343543 6684526.399638158, 226955.90984193914 6684526.436822968, 226955.9457773997 6684526.470630668, 226955.9848699038 6684526.500732063, 226956.02673879705 6684526.52683405, 226956.07097639074 6684526.548682464, 226956.11715193136 6684526.566064563, 226956.1648157951 6684526.578811091, 226997.48777777667 6684535.470841112, 227027.031986994 6684546.699636845, 227051.83236176404 6684558.690148418, 227051.87025291592 6684558.706573666, 227051.9093703229 6684558.719815896, 227093.1593703229 6684570.809815896, 227093.20318159356 6684570.820536641, 227093.247780719 6684570.8272656705, 227093.29280477602 6684570.829948226, 227093.33788738385 6684570.8285624795, 227093.38266168506 6684570.823119707, 227100.30266168507 6684569.663119707, 227100.13733831493 6684568.676880293, 227093.33051062617 6684569.817909212))</t>
  </si>
  <si>
    <t>['FV720 S3D1 m13494-13503']</t>
  </si>
  <si>
    <t>LINESTRING Z (263143.81 7069441.26 42.773, 263144.07 7069441 42.603, 263144.12 7069440.78 42.403, 263144.48 7069440.28 42.323, 263144.64 7069439.57 41.843, 263146.47 7069437.59 39.383, 263146.65 7069437.38 39.383, 263146.37 7069436.78 39.083, 263144.74 7069431.72 37.913, 263144.23 7069428.96 37.153, 263142.51 7069425.03 36.973)</t>
  </si>
  <si>
    <t>POLYGON Z ((263143.81 7069441.26 42.773, 263144.07 7069441 42.603, 263144.12 7069440.78 42.403, 263144.48 7069440.28 42.323, 263144.64 7069439.57 41.843, 263146.47 7069437.59 39.383, 263146.65 7069437.38 39.383, 263146.37 7069436.78 39.083, 263144.74 7069431.72 37.913, 263144.23 7069428.96 37.153, 263142.51 7069425.03 36.973, 263143.81 7069441.26 42.773))</t>
  </si>
  <si>
    <t>['FV715 S7D1 m5947-5948']</t>
  </si>
  <si>
    <t>LINESTRING Z (264998.45 7071644.18 211.129, 264996.58 7071644.13 211.239)</t>
  </si>
  <si>
    <t>POLYGON ((264996.5933642076 7071643.630178634, 264996.56663579243 7071644.629821366, 264998.43663579243 7071644.6798213655, 264998.4633642076 7071643.680178634, 264996.5933642076 7071643.630178634))</t>
  </si>
  <si>
    <t>['FV715 S7D1 m6137-6144']</t>
  </si>
  <si>
    <t>LINESTRING Z (264976.58 7071831.79 221.968, 264971.78 7071833.29 222.948, 264967.61 7071834.83 223.988, 264966.49 7071836.27 224.418, 264967.34 7071838.19 224.428, 264966.49 7071836.27 224.418, 264967.34 7071838.19 224.428, 264971.54 7071836.65 223.188, 264977.61 7071833.15 221.978, 264977.06 7071832.41 221.758, 264976.58 7071831.79 221.968)</t>
  </si>
  <si>
    <t>['FV715 S7D1 m6137-6143']</t>
  </si>
  <si>
    <t>LINESTRING Z (264968.07 7071836.73 223.218, 264972.2 7071834.53 222.348, 264977.06 7071832.41 221.758)</t>
  </si>
  <si>
    <t>POLYGON ((264972.4178256304 7071834.980481789, 264977.2599146151 7071832.868294825, 264976.8600853849 7071831.951705175, 264972.00008538493 7071834.071705176, 264971.96492774814 7071834.088705273, 264967.83492774813 7071836.2887052735, 264968.3050722519 7071837.171294727, 264972.4178256304 7071834.980481789))</t>
  </si>
  <si>
    <t>['FV715 S7D1 m6449-6454']</t>
  </si>
  <si>
    <t>LINESTRING Z (264882.15 7072138.9 224.798, 264879.32 7072136.69 225.008, 264876.54 7072132.79 225.098, 264872.47 7072129.12 225.238, 264870.73 7072127.2 225.398)</t>
  </si>
  <si>
    <t>POLYGON ((264879.6849880492 7072136.340629823, 264876.94714869815 7072132.499776056, 264876.9132016827 7072132.457253093, 264876.8748350603 7072132.418670655, 264872.82356115436 7072128.765556347, 264871.1004934757 7072126.864240288, 264870.3595065243 7072127.535759713, 264872.0995065243 7072129.4557597125, 264872.1351649396 7072129.491329345, 264876.1645753507 7072133.124728905, 264878.91285130184 7072136.980223944, 264878.94260162103 7072137.017979365, 264878.9758399364 7072137.0527035305, 264879.0122590524 7072137.084075512, 264881.84225905244 7072139.294075512, 264882.4577409476 7072138.505924488, 264879.6849880492 7072136.340629823))</t>
  </si>
  <si>
    <t>['FV715 S7D1 m6447-6455']</t>
  </si>
  <si>
    <t>LINESTRING Z (264871.28 7072125.08 227.058, 264873.75 7072126.23 226.278, 264877.8 7072129.52 225.988, 264882.14 7072135.04 225.898, 264885.26 7072136.93 225.648, 264884.99 7072138.45 224.968, 264882.15 7072138.9 224.798, 264880.87 7072139.36 225.438, 264880.41 7072138.94 225.718, 264878.4 7072136.45 225.808, 264874.97 7072132.24 226.068, 264870.75 7072128.77 226.678, 264869.92 7072127.09 227.748, 264871.28 7072125.08 227.058, 264869.92 7072127.09 227.748)</t>
  </si>
  <si>
    <t>['FV715 S7D1 m6448-6450']</t>
  </si>
  <si>
    <t>LINESTRING Z (264871.53 7072125.93 225.298, 264875.05 7072128.18 225.148, 264879.73 7072133.12 225.038, 264884.99 7072138.45 224.968)</t>
  </si>
  <si>
    <t>POLYGON ((264874.7291278669 7072128.568315655, 264879.367023658 7072133.463872324, 264879.3741173927 7072133.471208727, 264884.6341173927 7072138.801208727, 264885.3458826073 7072138.098791273, 264880.0894669037 7072132.772423269, 264875.41297634196 7072127.836127676, 264875.3684936035 7072127.794562814, 264875.3192890674 7072127.758712214, 264871.79928906745 7072125.508712214, 264871.2607109326 7072126.351287785, 264874.7291278669 7072128.568315655))</t>
  </si>
  <si>
    <t>['FV715 S7D1 m823-824']</t>
  </si>
  <si>
    <t>LINESTRING Z (265001.57 7069141.44 163.235, 265004.56 7069142.22 162.275, 265008.44 7069143.29 161.125, 265013.63 7069145.38 157.465, 265016.14 7069146.09 155.595, 265020.51 7069147.26 153.665)</t>
  </si>
  <si>
    <t>POLYGON ((265004.4304259278 7069142.7029313, 265008.27963282604 7069143.764439388, 265013.44322661683 7069145.8438056735, 265013.4939057371 7069145.861121971, 265016.00390573713 7069146.571121971, 265016.01068720367 7069146.57298882, 265020.38068720367 7069147.74298882, 265020.63931279635 7069146.777011179, 265016.2727100739 7069145.607920748, 265013.7918981832 7069144.906177145, 265008.6267733832 7069142.826194326, 265008.57292469055 7069142.807992711, 265004.69292469055 7069141.73799271, 265004.68621094845 7069141.736191363, 265001.69621094846 7069140.956191364, 265001.44378905155 7069141.923808637, 265004.4304259278 7069142.7029313))</t>
  </si>
  <si>
    <t>['FV715 S7D1 m824-825']</t>
  </si>
  <si>
    <t>LINESTRING Z (265001.02 7069142.63 163.265, 265004.57 7069143.98 162.325, 265007.88 7069144.79 160.875, 265012.92 7069146.32 157.465, 265015.9 7069147.3 155.655, 265019.68 7069148.53 153.635)</t>
  </si>
  <si>
    <t>POLYGON ((265004.3922760889 7069144.447348063, 265004.4511503877 7069144.465669404, 265007.74785584136 7069145.272416055, 265012.76925971435 7069146.796770803, 265015.7438000548 7069147.774975344, 265015.7452863235 7069147.775461542, 265019.52528632345 7069149.005461543, 265019.83471367654 7069148.054538458, 265016.0554571557 7069146.824780383, 265013.0761999452 7069145.8450246565, 265013.06524080184 7069145.841559712, 265008.02524080186 7069144.311559712, 265007.9988496123 7069144.304330597, 265004.71885268076 7069143.501672737, 265001.19772391114 7069142.162651937, 265000.8422760889 7069143.097348062, 265004.3922760889 7069144.447348063))</t>
  </si>
  <si>
    <t>['FV715 S7D1 m2223-2225']</t>
  </si>
  <si>
    <t>LINESTRING Z (263685.69 7069106.58 82.594, 263684.39 7069105.21 83.434)</t>
  </si>
  <si>
    <t>POLYGON ((263684.7526979531 7069104.865834059, 263684.02730204695 7069105.554165941, 263685.32730204694 7069106.924165941, 263686.05269795307 7069106.235834059, 263684.7526979531 7069104.865834059))</t>
  </si>
  <si>
    <t>['FV715 S7D1 m2224-2225']</t>
  </si>
  <si>
    <t>LINESTRING Z (263685.55 7069106.9 81.914, 263684.31 7069105.76 81.794)</t>
  </si>
  <si>
    <t>POLYGON ((263684.64839963056 7069105.391916191, 263683.97160036943 7069106.128083808, 263685.2116003694 7069107.268083809, 263685.88839963055 7069106.531916192, 263684.64839963056 7069105.391916191))</t>
  </si>
  <si>
    <t>['FV715 S7D1 m2225-2226']</t>
  </si>
  <si>
    <t>LINESTRING Z (263684.02 7069107.53 81.824, 263683.63 7069106.05 81.814)</t>
  </si>
  <si>
    <t>POLYGON ((263684.1134949251 7069105.922592553, 263683.1465050749 7069106.177407446, 263683.53650507494 7069107.657407447, 263684.5034949251 7069107.402592554, 263684.1134949251 7069105.922592553))</t>
  </si>
  <si>
    <t>LINESTRING Z (263683.72 7069107.44 82.574, 263683.26 7069105.7 83.434)</t>
  </si>
  <si>
    <t>POLYGON ((263683.7433930152 7069105.572206444, 263682.77660698484 7069105.827793556, 263683.2366069848 7069107.5677935565, 263684.20339301514 7069107.312206444, 263683.7433930152 7069105.572206444))</t>
  </si>
  <si>
    <t>['FV715 S7D1 m1315-1317']</t>
  </si>
  <si>
    <t>LINESTRING Z (264567.17 7069311.17 137.154, 264569.97 7069304.44 139.984, 264571.28 7069301.26 141.024, 264572.4 7069295.98 142.424, 264573.5 7069291.98 144.214)</t>
  </si>
  <si>
    <t>POLYGON ((264570.4316398682 7069304.632064136, 264570.4323089351 7069304.630448021, 264571.74230893515 7069301.45044802, 264571.75768389413 7069301.407709503, 264571.76911706256 7069301.363752104, 264572.8860376646 7069296.098269267, 264573.9821026964 7069292.112578242, 264573.0178973036 7069291.847421759, 264571.91789730365 7069295.847421759, 264571.9108829375 7069295.876247896, 264570.800337045 7069301.111678531, 264569.5080241812 7069304.248743346, 264566.7083601318 7069310.977935865, 264567.6316398682 7069311.362064135, 264570.4316398682 7069304.632064136))</t>
  </si>
  <si>
    <t>['FV715 S7D1 m7095-7096']</t>
  </si>
  <si>
    <t>LINESTRING Z (264712.27 7072743.41 225.589, 264712.67 7072743.41 226.769)</t>
  </si>
  <si>
    <t>POLYGON ((264712.67 7072743.91, 264712.67 7072742.91, 264712.27 7072742.91, 264712.27 7072743.91, 264712.67 7072743.91))</t>
  </si>
  <si>
    <t>2016-10-20</t>
  </si>
  <si>
    <t>['FV714 S1D1 m6701-6765']</t>
  </si>
  <si>
    <t>LINESTRING Z (226192.88 7032985.4 311.818, 226193.29 7032984.24 311.928, 226193.84 7032982.37 312.238, 226195.23 7032978.4 312.908, 226196.77 7032973.68 313.478, 226198.8 7032969.31 314.178, 226202.59 7032963.19 315.058, 226206.99 7032956 316.448, 226211.09 7032949.63 317.438, 226215.29 7032943.33 318.508, 226219.39 7032935.78 319.948, 226223.52 7032929.98 321.868, 226225.31 7032928.98 322.348)</t>
  </si>
  <si>
    <t>POLYGON ((226193.76142009182 7032984.406622618, 226193.7696827508 7032984.3810831625, 226194.31610301518 7032982.523254263, 226195.70191064329 7032978.5652281605, 226195.70533910178 7032978.555089453, 226197.23606218945 7032973.863522586, 226199.24084981647 7032969.547797497, 226203.01508815915 7032963.45324904, 226203.01647954993 7032963.450988877, 226207.4135139847 7032956.265834879, 226211.50825923504 7032949.903998966, 226215.70602514717 7032943.607350098, 226215.7293918513 7032943.568610145, 226219.81490342368 7032936.045290055, 226223.86205076004 7032930.361644885, 226225.5538560223 7032929.41650228, 226225.0661439777 7032928.543497721, 226223.27614397768 7032929.543497721, 226223.2385142161 7032929.566761869, 226223.2030881725 7032929.593261208, 226223.170143193 7032929.622788278, 226223.13993719986 7032929.655111915, 226223.11270667193 7032929.6899790615, 226218.98270667196 7032935.489979061, 226218.95060814873 7032935.541389856, 226214.8614142757 7032943.071490768, 226210.67397485283 7032949.352649902, 226210.66956094225 7032949.359387734, 226206.56956094224 7032955.729387734, 226206.56352045006 7032955.739011124, 226202.16421313715 7032962.927879211, 226198.37491184083 7032969.04675096, 226198.34653799035 7032969.099352888, 226196.31653799035 7032973.469352888, 226196.29466089822 7032973.524910547, 226194.75632086946 7032978.239822843, 226193.36808935672 7032982.20477184, 226193.3603172492 7032982.228916838, 226192.81410567873 7032984.086036177, 226192.4085799082 7032985.233377382, 226193.3514200918 7032985.566622619, 226193.76142009182 7032984.406622618))</t>
  </si>
  <si>
    <t>['FV714 S1D1 m6345-6394']</t>
  </si>
  <si>
    <t>LINESTRING Z (226508.13 7032700.7 303.559, 226505.76 7032698.12 304.739, 226501.74 7032694.29 305.459, 226500.16 7032692.19 305.629, 226498.84 7032688.65 305.949, 226496.91 7032683.97 306.349, 226492.2 7032679.68 306.859, 226486.76 7032677.77 307.409, 226482.08 7032676.49 307.979, 226475.28 7032674.61 309.009, 226468.71 7032672.69 309.708, 226463.66 7032670.96 310.338, 226455.93 7032668.75 311.418, 226447.44 7032665.91 312.688, 226439.19 7032663.21 313.928, 226432.91 7032660.56 314.848, 226428.44 7032657.96 315.388, 226422.44 7032654.69 316.208, 226417.46 7032651.65 316.938, 226413.77 7032649.5 317.308, 226410.78 7032647.79 317.878, 226409.45 7032647.73 317.938)</t>
  </si>
  <si>
    <t>POLYGON ((226506.12822140887 7032697.781750102, 226506.10489503812 7032697.757995286, 226502.11475074894 7032693.956439906, 226500.60314931595 7032691.947349394, 226499.30849010238 7032688.475308776, 226499.30223670742 7032688.459376743, 226497.37223670742 7032683.779376742, 226497.348463435 7032683.729688086, 226497.31936874028 7032683.68291598, 226497.2853057318 7032683.639628077, 226497.24668781614 7032683.60034974, 226492.53668781614 7032679.31034974, 226492.49799110004 7032679.278501177, 226492.45630044732 7032679.2506865, 226492.41203472682 7032679.227185165, 226492.36563867918 7032679.20823329, 226486.92563867918 7032677.29823329, 226486.8919074622 7032677.2877133405, 226482.21257250258 7032676.007895232, 226475.41675198567 7032674.129050737, 226468.86122645068 7032672.213280718, 226463.82204242307 7032670.486985991, 226463.79744270135 7032670.479261502, 226456.0781023557 7032668.272309087, 226447.59861645199 7032665.43582617, 226447.5955195302 7032665.434801436, 226439.36525615977 7032662.741260696, 226433.13380024733 7032660.111745064, 226428.69139425128 7032657.527795268, 226428.67927224972 7032657.520968349, 226422.69004508218 7032654.256839543, 226417.7205169915 7032651.223232034, 226417.71171709726 7032651.217983215, 226414.02171709726 7032649.067983215, 226414.0182257806 7032649.065967787, 226411.0282257806 7032647.355967787, 226410.9859879233 7032647.334402617, 226410.9418969219 7032647.316936171, 226410.89634943544 7032647.303725583, 226410.84975522614 7032647.294889701, 226410.80253347283 7032647.290508015, 226409.47253347284 7032647.2305080155, 226409.42746652718 7032648.229491985, 226410.6367074742 7032648.284044208, 226413.52002452337 7032649.933031551, 226417.20385604346 7032652.0794374505, 226422.17948300848 7032655.116767967, 226422.20072775029 7032655.129031652, 226428.19461927385 7032658.395702532, 226432.65860574873 7032660.992204731, 226432.71561082834 7032661.02066566, 226438.99561082834 7032663.67066566, 226439.0344804698 7032663.685198564, 226447.28293031198 7032666.38469124, 226455.771383548 7032669.22417383, 226455.79255729864 7032669.230738498, 226463.5101578228 7032671.437193499, 226468.54795757693 7032673.16301401, 226468.56974756496 7032673.169926302, 226475.13974756497 7032675.0899263015, 226475.14676300265 7032675.091921055, 226481.94676300263 7032676.971921055, 226481.9480925378 7032676.972286659, 226486.6110409594 7032678.247622979, 226491.9384572789 7032680.118094518, 226496.4904791054 7032684.26420357, 226498.37450023385 7032688.8327107625, 226499.69150989762 7032692.364691225, 226499.71041976588 7032692.408809536, 226499.73347298097 7032692.450911292, 226499.76045708384 7032692.49060848, 226501.34045708383 7032694.590608479, 226501.36651728107 7032694.622431435, 226501.39510496188 7032694.652004714, 226505.4030461307 7032698.470515828, 226507.76177859114 7032701.038249899, 226508.49822140887 7032700.361750102, 226506.12822140887 7032697.781750102))</t>
  </si>
  <si>
    <t>2016-11-30</t>
  </si>
  <si>
    <t>['FV17 S5D1 m1410-1454']</t>
  </si>
  <si>
    <t>LINESTRING Z (315700.58 7133319.03 0.506, 315712.46 7133316.06 3.916, 315709.83 7133308 4.156, 315707.68 7133299.52 4.056, 315705.28 7133290.48 4.036, 315703.23 7133281.27 4.066, 315701.77 7133270.61 4.056, 315700.57 7133257.41 3.926, 315700.78 7133247.12 3.706, 315702.47 7133234.15 3.526, 315703.84 7133224.45 3.566, 315705.6 7133217.99 3.616, 315710.17 7133207.26 4.076, 315713.34 7133193.84 4.286, 315716.14 7133181.67 4.186, 315718 7133167.73 3.316, 315721.69 7133160.03 3.106)</t>
  </si>
  <si>
    <t>POLYGON ((315712.5812678126 7133316.54507125, 315712.6274605301 7133316.531123095, 315712.67209364206 7133316.512787242, 315712.71475146816 7133316.490234458, 315712.75503672427 7133316.463674784, 315712.79257422296 7133316.433355575, 315712.8270143672 7133316.399559205, 315712.8580364066 7133316.362600428, 315712.8853514243 7133316.32282345, 315712.90870502824 7133316.280598725, 315712.9278797198 7133316.236319505, 315712.9426969201 7133316.1903981725, 315712.9530186322 7133316.143262406, 315712.95874872734 7133316.095351195, 315712.9598338396 7133316.047110748, 315712.95626386296 7133315.998990342, 315712.9480720457 7133315.9514381355, 315712.9353346803 7133315.904896996, 315710.3105406655 7133307.86085146, 315708.16466512636 7133299.397119101, 315708.1632591393 7133299.391701113, 315705.7658566908 7133290.361485225, 315703.7225615406 7133281.181607989, 315702.2669176266 7133270.553413384, 315701.0704630336 7133257.392412861, 315701.2793385054 7133247.157514744, 315702.9654618517 7133234.217266342, 315704.3306865221 7133224.55107707, 315706.0734222479 7133218.154444803, 315710.6300148517 7133207.455924313, 315710.64504043024 7133207.41600189, 315710.6566085356 7133207.374944042, 315713.82660853566 7133193.9549440425, 315713.82726972055 7133193.95210807, 315716.62726972054 7133181.78210807, 315716.63560773805 7133181.7361284355, 315718.4851312535 7133167.874645744, 315722.1408985057 7133160.246079934, 315721.2391014943 7133159.813920067, 315717.5491014943 7133167.513920067, 315717.52898049145 7133167.5622483315, 315717.51402275887 7133167.612415473, 315717.50439226197 7133167.663871565, 315715.6474857924 7133181.580686718, 315712.85305673874 7133193.726472998, 315709.6932245195 7133207.103428323, 315705.1399851483 7133217.794075687, 315705.1175836394 7133217.858567679, 315703.35758363944 7133224.318567679, 315703.34491358965 7133224.380075425, 315701.9749135896 7133234.080075425, 315701.97419127217 7133234.085395779, 315700.2841912722 7133247.055395779, 315700.2801040908 7133247.109798043, 315700.0701040908 7133257.399798043, 315700.0720533968 7133257.455267874, 315701.2720533968 7133270.655267874, 315701.27462459053 7133270.677846914, 315702.7346245905 7133281.337846913, 315702.741943905 7133281.378633549, 315704.79194390506 7133290.58863355, 315704.79674086074 7133290.608298887, 315707.1960227031 7133299.645593826, 315709.34533487365 7133308.122880898, 315709.3546653197 7133308.155103004, 315711.8182346547 7133315.705053133, 315700.45873218746 7133318.54492875, 315700.7012678126 7133319.5150712505, 315712.5812678126 7133316.54507125))</t>
  </si>
  <si>
    <t>['FV17 S5D1 m1186-1292']</t>
  </si>
  <si>
    <t>LINESTRING Z (315688.12 7132938.63 12.026, 315685.49 7132939.07 13.086, 315685.05 7132952.66 12.946, 315685.09 7132968.92 12.556, 315684.53 7132978.23 12.656, 315684.96 7132995.56 12.186, 315685.1 7133008.88 12.206, 315685.71 7133020.81 11.956, 315681.27 7133028.12 11.406, 315679.87 7133031.7 11.376, 315675.74 7133046.57 10.486, 315679.79 7133048.57 9.066)</t>
  </si>
  <si>
    <t>POLYGON ((315685.4074964548 7132938.57685381, 315685.3596183615 7132938.587298614, 315685.31299266516 7132938.602380065, 315685.2680672345 7132938.621953297, 315685.22527360625 7132938.645830298, 315685.18502284 7132938.673781713, 315685.1477015693 7132938.70553905, 315685.11366828834 7132938.740797262, 315685.0832499079 7132938.779217672, 315685.0567386155 7132938.820431227, 315685.0343890686 7132938.864042046, 315685.0164159485 7132938.909631219, 315685.0029918983 7132938.956760834, 315684.9942458643 7132939.004978182, 315684.9902618576 7132939.053820104, 315684.55026185757 7132952.643820104, 315684.5500015129 7132952.661230009, 315684.58996303927 7132968.905590456, 315684.0309020699 7132978.199979072, 315684.0301538436 7132978.242402415, 315684.46006518183 7132995.56882914, 315684.6000276154 7133008.885254965, 315684.6006523313 7133008.905532446, 315685.20279727346 7133020.681908117, 315680.8426525601 7133027.860434661, 315680.8218196525 7133027.898337247, 315680.80434023845 7133027.937898417, 315679.4043402384 7133031.517898417, 315679.3882364039 7133031.566194778, 315675.25823640387 7133046.436194778, 315675.2473885402 7133046.484361518, 315675.24134405394 7133046.533363305, 315675.2401618839 7133046.5827223305, 315675.2438535573 7133046.631957303, 315675.25238307705 7133046.680588139, 315675.2656672733 7133046.7281406475, 315675.2835766139 7133046.774151152, 315675.3059364676 7133046.818171009, 315675.332528807 7133046.859770991, 315675.3630943343 7133046.89854546, 315675.39733500994 7133046.934116334, 315675.4349169584 7133046.966136767, 315675.47547372384 7133046.994294532, 315675.51860984374 7133047.018315067, 315679.5686098437 7133049.018315067, 315680.0113901562 7133048.121684934, 315676.3325369997 7133046.304967326, 315680.344942669 7133031.858363863, 315681.71986339166 7133028.342495157, 315686.13734743994 7133021.069565339, 315686.1610150637 7133021.02583654, 315686.1802223933 7133020.979973235, 315686.1947794787 7133020.932428988, 315686.2045423583 7133020.883673984, 315686.2094144825 7133020.834190384, 315686.2093476687 7133020.784467554, 315685.59986575466 7133008.864599957, 315685.4599723846 7132995.554745034, 315685.4598461565 7132995.547597585, 315685.0303728645 7132978.238825145, 315685.5890979302 7132968.950020928, 315685.5899984871 7132968.918769991, 315685.550019907 7132952.667477212, 315685.97648374125 7132939.495560151, 315688.2025035452 7132939.12314619, 315688.0374964548 7132938.1368538095, 315685.4074964548 7132938.57685381))</t>
  </si>
  <si>
    <t>2016-12-16</t>
  </si>
  <si>
    <t>[900]</t>
  </si>
  <si>
    <t>['KV900 S1D1 m730-738']</t>
  </si>
  <si>
    <t>LINESTRING Z (266455.99 7031004.21 64.891, 266448.55 7031007.43 64.291)</t>
  </si>
  <si>
    <t>POLYGON ((266448.3514040029 7031006.97113223, 266448.74859599705 7031007.888867769, 266456.18859599705 7031004.66886777, 266455.7914040029 7031003.75113223, 266448.3514040029 7031006.97113223))</t>
  </si>
  <si>
    <t>['KV900 S1D1 m738-772']</t>
  </si>
  <si>
    <t>LINESTRING Z (266448.55 7031007.43 64.291, 266440.66 7031011.42 63.301, 266432.33 7031015.32 62.321, 266422.82 7031019.75 61.031, 266417.7 7031022.62 60.091, 266413.48 7031025.31 59.071, 266411.53 7031026.86 58.771)</t>
  </si>
  <si>
    <t>POLYGON ((266440.4411255286 7031010.970387445, 266432.118430848 7031014.866967188, 266422.60887040646 7031019.29676243, 266422.5755167592 7031019.313848713, 266417.4555167592 7031022.1838487135, 266417.4312390909 7031022.19837508, 266413.2112390909 7031024.888375079, 266413.1688779371 7031024.918588372, 266411.2188779371 7031026.468588373, 266411.84112206294 7031027.251411628, 266413.77072858304 7031025.717621829, 266417.9568276429 7031023.049231671, 266423.04812679766 7031020.19531984, 266432.54112959356 7031015.77323757, 266432.54200800206 7031015.772827349, 266440.872008002 7031011.872827348, 266440.8856403334 7031011.866191035, 266448.7756403334 7031007.876191035, 266448.32435966656 7031006.9838089645, 266440.4411255286 7031010.970387445))</t>
  </si>
  <si>
    <t>['KV900 S1D1 m694-730']</t>
  </si>
  <si>
    <t>LINESTRING Z (266485.49 7030985.17 70.051, 266481.55 7030989.73 68.561, 266478.87 7030993.34 67.431, 266475.17 7030996.12 66.491, 266469.26 7030998.87 65.761, 266461.69 7031001.93 65.151, 266455.99 7031004.21 64.891)</t>
  </si>
  <si>
    <t>POLYGON ((266481.1716631286 7030989.403103668, 266481.14853683475 7030989.431960864, 266478.5117266681 7030992.983783513, 266474.9115497749 7030995.6887812875, 266469.0607074953 7030998.411254429, 266461.50346015155 7031001.466099458, 266455.8043046618 7031003.745761654, 266456.17569533817 7031004.674238346, 266461.8756953382 7031002.394238345, 266461.8773833888 7031002.393559559, 266469.4473833888 7030999.33355956, 266469.4709387006 7030999.323326444, 266475.3809387006 7030996.573326444, 266475.4270423568 7030996.548869709, 266475.47034560953 7030996.519740559, 266479.17034560954 7030993.739740559, 266479.2072570788 7030993.709130956, 266479.2410665863 7030993.675126228, 266479.27146316523 7030993.638039136, 266481.9404339584 7030990.042895643, 266485.8683368714 7030985.496896332, 266485.1116631286 7030984.843103668, 266481.1716631286 7030989.403103668))</t>
  </si>
  <si>
    <t>2016-11-14</t>
  </si>
  <si>
    <t>[7522]</t>
  </si>
  <si>
    <t>['FV7522 S1D1 m1677-1805']</t>
  </si>
  <si>
    <t>LINESTRING Z (510238.840087891 7535247.93994141 13.249, 510237.5 7535248.0300293 13.269, 510234.989990234 7535245.75 13.439, 510231.459960938 7535243.67004395 13.669, 510218.429931641 7535235.06994629 14.329, 510205.810058594 7535227.2800293 15.178, 510184.479980469 7535213.30004883 16.428, 510158.850097656 7535196.30004883 17.808, 510136.540039063 7535181.65002442 18.518, 510131.530029297 7535178.0300293 18.748)</t>
  </si>
  <si>
    <t>POLYGON ((510237.6787218216 7535247.5168861225, 510235.3261814706 7535245.379898051, 510235.286554124 7535245.347445831, 510235.243814668 7535245.319217971, 510231.72475851164 7535243.24572749, 510218.7053589541 7535234.652645685, 510218.6925631156 7535234.644476305, 510206.078465327 7535226.85812423, 510184.755211558 7535212.882616523, 510159.12647243205 7535195.883375117, 510159.1245443489 7535195.882102646, 510136.8238205246 7535181.238207963, 510131.8228625378 7535177.624753229, 510131.2371960562 7535178.43530537, 510136.2472058222 7535182.05530049, 510136.2655923701 7535182.067970604, 510158.5746854108 7535196.717360979, 510184.20360569295 7535213.716722543, 510184.20589736284 7535213.718233539, 510205.53597548784 7535227.6982140085, 510205.54742711934 7535227.705499285, 510218.1608402259 7535235.491428724, 510231.1845336249 7535244.087344555, 510231.2061365041 7535244.100825979, 510234.6918620805 7535246.15467749, 510237.16380876343 7535248.400131249, 510237.20266529865 7535248.432014468, 510237.24452654354 7535248.459835434, 510237.2889694703 7535248.483313003, 510237.3355449618 7535248.502209922, 510237.38378235046 7535248.51633523, 510237.4331941742 7535248.525546183, 510237.48328110285 7535248.5297497, 510237.533536984 7535248.528903303, 510238.873624875 7535248.438815413, 510238.806550907 7535247.441067407, 510237.6787218216 7535247.5168861225))</t>
  </si>
  <si>
    <t>['FV7522 S1D1 m1631-1670']</t>
  </si>
  <si>
    <t>LINESTRING Z (510125.550048828 7535175.02001953 18.928, 510119.909912109 7535171.54003906 19.168, 510114.550048828 7535167.75 19.298, 510105.689941406 7535161.81994629 19.568, 510097.159912109 7535156.19995117 19.988, 510093.379882813 7535153.5 20.028)</t>
  </si>
  <si>
    <t>POLYGON ((510120.1857954566 7535171.122745506, 510114.83872616576 7535167.341753268, 510114.82815546595 7535167.334480207, 510105.96804804396 7535161.404426497, 510105.96502745827 7535161.402420646, 510097.44286255306 7535155.787606967, 510093.67049693817 7535153.093129713, 510093.0892686879 7535153.906870287, 510096.8692979839 7535156.606821457, 510096.8848260568 7535156.617476814, 510105.4133414001 7535162.236474468, 510114.26661018585 7535168.161951092, 510119.6212347713 7535171.948285792, 510119.6473641222 7535171.9655605685, 510125.2875008412 7535175.445541039, 510125.8125968148 7535174.5944980215, 510120.1857954566 7535171.122745506))</t>
  </si>
  <si>
    <t>['FV7522 S1D1 m1476-1624']</t>
  </si>
  <si>
    <t>LINESTRING Z (510087.520019531 7535149.7800293 20.378, 510080.840087891 7535145.19995117 20.668, 510068.290039063 7535137.04003906 21.148, 510060.540039063 7535132.18005371 21.458, 510038.5 7535117.63000488 22.408, 510013.860107422 7535100.9699707 23.898, 509986.080078125 7535082.57995605 25.568, 509966.409912109 7535066.95996094 27.218)</t>
  </si>
  <si>
    <t>POLYGON ((510081.12283332314 7535144.787573891, 510081.11263795634 7535144.7807656955, 510068.5625891284 7535136.620853585, 510068.5556763578 7535136.616439216, 510060.81062913686 7535131.759559728, 510038.7777733625 7535117.21425305, 510014.14016835496 7535100.55576559, 510014.1361052849 7535100.5530472305, 509986.3740930042 7535082.174959608, 509966.72084792115 7535066.568401339, 509966.0989762969 7535067.351520541, 509985.76914231287 7535082.971515651, 509985.8040802621 7535082.99687952, 510013.5820713973 7535101.385544934, 510038.219939067 7535118.044209991, 510038.22453111736 7535118.047278046, 510060.2645701804 7535132.597326876, 510060.2744017682 7535132.603653554, 510068.0209272757 7535137.461460067, 510080.5623984171 7535145.6157950545, 510087.23727409885 7535150.192406579, 510087.8027649632 7535149.36765202, 510081.12283332314 7535144.787573891))</t>
  </si>
  <si>
    <t>['FV7522 S1D1 m1139-1366']</t>
  </si>
  <si>
    <t>LINESTRING Z (509876.080078125 7535007.91998291 28.308, 509866.449951172 7535001.21002197 28.398, 509855.320068359 7534992.27001953 28.318, 509843.830078125 7534983.07000732 28.098, 509828.229980469 7534972.28997803 28.198, 509817.419921875 7534964.30999756 28.278, 509802.949951172 7534952.89001465 28.357, 509793.489990234 7534945.15002441 28.247, 509781.929931641 7534935.84002686 28.077, 509768.389892578 7534924.64001465 28.027, 509759.010009766 7534916.5300293 27.917, 509749.360107422 7534907.27001953 27.857, 509739.310058594 7534898.51000977 28.057, 509721.669921875 7534882.5 28.457, 509712.260009766 7534874.0300293 27.947, 509701.050048828 7534865.11999512 28.877)</t>
  </si>
  <si>
    <t>POLYGON ((509866.749778465 7535000.809529525, 509855.63318615546 7534991.880202591, 509855.6325819709 7534991.879718054, 509844.14259173686 7534982.679705843, 509844.11432582873 7534982.658664102, 509828.5206518493 7534971.883073722, 509817.723357643 7534963.912515918, 509803.263165483 7534952.500250424, 509793.80660967313 7534944.763046206, 509793.8036085881 7534944.760610071, 509782.2460995566 7534935.452665833, 509768.7127871148 7534924.2582177315, 509759.346842204 7534916.160283296, 509749.70629752084 7534906.909253103, 509749.6886415392 7534906.893103978, 509739.64237512386 7534898.136391114, 509722.0059538807 7534882.129753472, 509722.0044271462 7534882.128373543, 509712.5945150372 7534873.6584028425, 509712.5711222513 7534873.638610059, 509701.3611613133 7534864.72857588, 509700.7389363427 7534865.51141436, 509711.93689749273 7534874.411910726, 509721.33465181827 7534882.8709380645, 509738.97402658826 7534898.880256298, 509738.9815244768 7534898.886925323, 509749.02255205694 7534907.639071816, 509758.6638196671 7534916.890795727, 509758.6829879151 7534916.908257682, 509768.06287072715 7534925.0182430325, 509768.07120224496 7534925.025289191, 509781.6112413079 7534936.225301401, 509781.6163132869 7534936.229441199, 509793.1748666115 7534945.5382264685, 509802.6333317329 7534953.276992855, 509802.6401904929 7534953.28250455, 509817.1101611959 7534964.70248746, 509817.1229685622 7534964.712264549, 509827.93302715616 7534972.692245019, 509827.94573276525 7534972.701321248, 509843.5313265022 7534983.471327993, 509855.00725229015 7534992.66007883, 509866.13683337555 7535001.599838909, 509866.164110631 7535001.620259931, 509875.794237584 7535008.330220872, 509876.365918666 7535007.509744949, 509866.749778465 7535000.809529525))</t>
  </si>
  <si>
    <t>[7520]</t>
  </si>
  <si>
    <t>['FV7520 S1D1 m28747-29001']</t>
  </si>
  <si>
    <t>LINESTRING Z (508288.060058594 7534731.96002197 24.324, 508306.5 7534745.65997314 25.924, 508321.040039063 7534756.85998535 26.634, 508349.260009766 7534779.77001953 27.224, 508374.75 7534799.7199707 27.404, 508387.16003418 7534809.46002197 27.854, 508412.010009766 7534830.84002686 29.554, 508424.859985352 7534841.25 29.994, 508460.849975586 7534871.54998779 30.684, 508474.060058594 7534882.02001953 30.224, 508484.949951172 7534889.82000732 29.284)</t>
  </si>
  <si>
    <t>POLYGON ((508306.19832507224 7534746.058735137, 508320.7298585368 7534757.252195589, 508348.9448683555 7534780.158202337, 508348.95184353465 7534780.16376256, 508374.44156592875 7534800.113504103, 508386.8424731244 7534809.846392033, 508411.68391100125 7534831.219051392, 508411.69527164084 7534831.228536721, 508424.541576849 7534841.635536429, 508460.52795355854 7534871.932481991, 508460.5394044474 7534871.9418367, 508473.7494874554 7534882.41186844, 508473.7689085104 7534882.426506466, 508484.6588010884 7534890.2264942555, 508485.2411012556 7534889.413520384, 508474.36109725223 7534881.620615379, 508461.166341332 7534871.162731564, 508425.1820073795 7534840.867505799, 508425.17472347716 7534840.861490139, 508412.33049841755 7534830.456175594, 508387.4861329447 7534809.080997438, 508387.4687354302 7534809.066698263, 508375.05870125024 7534799.326646994, 508375.0581662313 7534799.326227671, 508349.57168840535 7534779.379025516, 508321.3551804735 7534756.471802543, 508321.3451573831 7534756.463875756, 508306.8051183201 7534745.263863546, 508306.7981859697 7534745.258619023, 508288.3582445637 7534731.558667853, 508287.7618726243 7534732.361376087, 508306.19832507224 7534746.058735137))</t>
  </si>
  <si>
    <t>['FV7520 S1D1 m28380-28401']</t>
  </si>
  <si>
    <t>LINESTRING Z (508731.170043945 7535128.94995117 25.215, 508742.349975586 7535146.54003906 24.695)</t>
  </si>
  <si>
    <t>POLYGON ((508741.92799538566 7535146.808241801, 508742.77195578633 7535146.271836318, 508731.59202414536 7535128.681748428, 508730.7480637447 7535129.218153912, 508741.92799538566 7535146.808241801))</t>
  </si>
  <si>
    <t>['FV7520 S1D1 m28410-28525']</t>
  </si>
  <si>
    <t>LINESTRING Z (508726.369995117 7535121.55004883 25.595, 508718.719970703 7535107.56005859 26.455, 508707 7535090.75 26.965, 508694.670043945 7535072.56005859 27.875, 508684.900024414 7535059.97998047 28.415, 508676.069946289 7535049.82995605 29.025, 508662.66003418 7535035.7199707 29.425, 508658.41003418 7535033.54003906 29.295)</t>
  </si>
  <si>
    <t>POLYGON ((508719.1586661928 7535107.320170559, 508719.13012549514 7535107.274098721, 508707.4120339767 7535090.466735463, 508695.0839215233 7535072.279513852, 508695.0649403135 7535072.253371684, 508685.2949207825 7535059.673293564, 508685.27725410834 7535059.651807104, 508676.44717598334 7535049.501782685, 508676.4323764033 7535049.485508068, 508663.0224642943 7535035.375522719, 508662.98158142273 7535035.3370772805, 508662.93664774916 7535035.303455475, 508662.88822934125 7535035.2750808615, 508658.63822934125 7535033.095149221, 508658.1818390187 7535033.9849288985, 508662.356180962 7535036.126053624, 508675.699937336 7535050.166429535, 508684.51366242155 7535060.297656414, 508694.2652344747 7535072.853981182, 508706.5861224217 7535091.030544738, 508706.58984520787 7535091.035959869, 508718.2942952734 7535107.82375707, 508725.93129962723 7535121.789936861, 508726.8086906068 7535121.310160799, 508719.1586661928 7535107.320170559))</t>
  </si>
  <si>
    <t>['FV7520 S1D1 m28293-28374']</t>
  </si>
  <si>
    <t>LINESTRING Z (508745.400024414 7535151.43005371 24.425, 508748.619995117 7535156.25 23.545, 508753.530029297 7535163.92004395 23.195, 508758.109985352 7535171.22998047 22.845, 508765.390014648 7535183.40002441 22.225, 508774.510009766 7535198.68005371 21.445, 508781.58996582 7535212.29003906 20.905, 508786.150024414 7535221.22998047 20.945)</t>
  </si>
  <si>
    <t>POLYGON ((508748.20152273896 7535156.523687272, 508753.10761352844 7535164.187571188, 508757.68354294833 7535171.491080911, 508764.9608003086 7535183.656490999, 508774.0731810069 7535198.923762775, 508781.14547103 7535212.519011512, 508785.70462056925 7535221.457170731, 508786.59542825876 7535221.002790208, 508782.0353696648 7535212.062848798, 508782.03353734646 7535212.059291793, 508774.9535812924 7535198.449306443, 508774.939350379 7535198.423798685, 508765.819355261 7535183.143769385, 508758.5390735975 7535170.973303089, 508758.53369128477 7535170.9645124255, 508753.95373522973 7535163.654575906, 508753.95113493095 7535163.650470129, 508749.04110075097 7535155.980426179, 508749.03575440473 7535155.972251526, 508745.8157837017 7535151.152305236, 508744.9842651263 7535151.707802184, 508748.20152273896 7535156.523687272))</t>
  </si>
  <si>
    <t>['FV7520 S1D1 m27823-27865']</t>
  </si>
  <si>
    <t>LINESTRING Z (508857.079956055 7535628.0300293 19.885, 508878.520019531 7535659.56005859 21.165)</t>
  </si>
  <si>
    <t>POLYGON ((508878.1065541066 7535659.841210404, 508878.93348495546 7535659.278906776, 508857.4934214794 7535627.748877485, 508856.66649063054 7535628.311181114, 508878.1065541066 7535659.841210404))</t>
  </si>
  <si>
    <t>['FV7520 S1D1 m26851-26975']</t>
  </si>
  <si>
    <t>LINESTRING Z (509291.429931641 7536394.5300293 21.696, 509301.189941406 7536415.20996094 22.426, 509321.370117188 7536454.84008789 23.026, 509333.550048828 7536475.67993164 23.026, 509350.560058594 7536502.7800293 23.077)</t>
  </si>
  <si>
    <t>POLYGON ((509300.7377705451 7536415.423365515, 509300.7443818438 7536415.436845661, 509320.9245576258 7536455.066972611, 509320.9384384547 7536455.092384285, 509333.1183700947 7536475.932228035, 509333.1265592875 7536475.945744749, 509350.13656905346 7536503.045842409, 509350.9835481345 7536502.51421619, 509333.977739786 7536475.420812167, 509321.8091043963 7536454.600296283, 509301.63890782185 7536414.989766649, 509291.88210250187 7536394.316624725, 509290.9777607801 7536394.743433874, 509300.7377705451 7536415.423365515))</t>
  </si>
  <si>
    <t>['FV7520 S1D1 m26668-26756']</t>
  </si>
  <si>
    <t>LINESTRING Z (509402.659912109 7536582.58007813 20.217, 509414.159912109 7536600.04003906 19.897, 509431.129882812 7536625.63989258 20.057, 509439.189941406 7536637.23999023 20.177, 509451.550048828 7536655.65991211 20.307)</t>
  </si>
  <si>
    <t>POLYGON ((509413.7423483952 7536600.315067322, 509413.74316258956 7536600.316299513, 509430.7131332925 7536625.916153033, 509430.71927139576 7536625.9251963915, 509438.77701380575 7536637.521960571, 509451.1348594755 7536655.938511826, 509451.96523818054 7536655.3813123945, 509439.60513075854 7536636.961390514, 509439.60055282223 7536636.954686418, 509431.5436127039 7536625.359076902, 509414.5770696657 7536599.764394146, 509403.0774758229 7536582.305049867, 509402.2423483952 7536582.855106392, 509413.7423483952 7536600.315067322))</t>
  </si>
  <si>
    <t>['FV7520 S1D1 m26130-26250']</t>
  </si>
  <si>
    <t>LINESTRING Z (509505.540039063 7537056.98999024 20.107, 509502.979980469 7537120.29003906 19.097, 509501.889892578 7537147.5300293 18.607, 509500.060058594 7537177.43994141 18.267)</t>
  </si>
  <si>
    <t>POLYGON ((509502.4803888818 7537120.269833961, 509501.39050344424 7537147.504764005, 509499.560991668 7537177.409409404, 509500.55912551994 7537177.470473416, 509502.38895950397 7537147.560561306, 509502.38949269964 7537147.55002226, 509503.4795763469 7537120.310138066, 509506.0396306502 7537057.010195339, 509505.04044747585 7537056.969785141, 509502.4803888818 7537120.269833961))</t>
  </si>
  <si>
    <t>['FV7520 S1D1 m25691-25826']</t>
  </si>
  <si>
    <t>LINESTRING Z (509369.429931641 7537443.65991211 11.986, 509344.739990234 7537451.35009766 12.196, 509336.699951172 7537453.51000977 10.376, 509304.489990234 7537458.04003906 8.426, 509260.570068359 7537461.62988281 6.426, 509238.280029297 7537460.36010742 5.596)</t>
  </si>
  <si>
    <t>POLYGON ((509344.6007297457 7537450.869781045, 509336.5998960289 7537453.0191608565, 509304.43475992774 7537457.542885952, 509260.5638911437 7537461.128720293, 509238.3084662166 7537459.860916734, 509238.2515923774 7537460.859298106, 509260.5416314394 7537462.129073496, 509260.6108005809 7537462.128220934, 509304.5307224559 7537458.538377184, 509304.55962523987 7537458.535166281, 509336.76958617783 7537454.005136992, 509336.82967391657 7537453.992888647, 509344.8697129786 7537451.832976537, 509344.8886798768 7537451.827477372, 509369.57862128376 7537444.137291823, 509369.2812419982 7537443.182532398, 509344.6007297457 7537450.869781045))</t>
  </si>
  <si>
    <t>['FV7520 S1D1 m24783-24854']</t>
  </si>
  <si>
    <t>LINESTRING Z (508451.640014648 7537329.44995117 22.945, 508424.459960938 7537304.59008789 22.945, 508399.390014648 7537282.2800293 23.665)</t>
  </si>
  <si>
    <t>POLYGON ((508424.7974159825 7537304.221137903, 508424.7923563829 7537304.21657314, 508399.7224100928 7537281.90651455, 508399.0576192031 7537282.65354405, 508424.125020156 7537304.961337512, 508451.3025596035 7537329.818901157, 508451.9774696925 7537329.081001183, 508424.7974159825 7537304.221137903))</t>
  </si>
  <si>
    <t>['FV7520 S1D1 m24292-24332']</t>
  </si>
  <si>
    <t>LINESTRING Z (507998.840026856 7537168.07006836 19.554, 507958.58001709 7537175.27001953 20.324)</t>
  </si>
  <si>
    <t>POLYGON ((507958.4919954351 7537174.777828319, 507958.66803874495 7537175.762210742, 507998.9280485109 7537168.562259572, 507998.75200520107 7537167.577877149, 507958.4919954351 7537174.777828319))</t>
  </si>
  <si>
    <t>['FV7520 S1D1 m23296-23645']</t>
  </si>
  <si>
    <t>LINESTRING Z (507199.880004883 7537584.62011719 8.624, 507202.800003052 7537582.84008789 8.384, 507204.910003662 7537581.22998047 8.424, 507210.210006714 7537577.34008789 9.074, 507216.350006104 7537572.01000977 9.424, 507223.080001831 7537566.44995117 10.024, 507234.339996338 7537555.7199707 10.964, 507253.86000061 7537537.87988281 12.404, 507269.859985352 7537523.77001953 14.104, 507285.420013428 7537508.68994141 15.474, 507292.630004883 7537501.95996094 16.144, 507311.730010986 7537484.2800293 17.294, 507319.829986572 7537478.32006836 18.254, 507343.399993897 7537454.4699707 19.934, 507366.679992676 7537429.77001953 21.284, 507405.309997559 7537389.30004883 23.814, 507449.079986572 7537342.41992188 26.854)</t>
  </si>
  <si>
    <t>POLYGON ((507203.06025801355 7537583.267015699, 507203.10332111554 7537583.237577704, 507205.20960945426 7537581.630303058, 507210.5058479559 7537577.743173438, 507210.5377789896 7537577.717666141, 507216.67316922196 7537572.39158919, 507223.398459471 7537566.835418071, 507223.4249335139 7537566.811920967, 507234.6811566319 7537556.085534365, 507254.1940385533 7537538.251955867, 507270.1906937592 7537524.145028796, 507270.2079579565 7537524.129066974, 507285.7646184988 7537509.052252515, 507292.97041957587 7537502.326183446, 507312.0490069754 7537484.66607804, 507320.12631398364 7537478.722796638, 507320.15697439626 7537478.698326159, 507320.1856220481 7537478.671527331, 507343.75562937313 7537454.821429671, 507343.76385128865 7537454.812910635, 507367.04276489146 7537430.114110831, 507405.6716772134 7537389.645284731, 507405.67546606524 7537389.641271296, 507449.4454550782 7537342.761144346, 507448.71451806574 7537342.078699414, 507404.946412364 7537388.956809231, 507366.3183130216 7537429.424783629, 507366.3161352844 7537429.427079596, 507343.0401970154 7537454.122722587, 507319.50198926247 7537477.94064279, 507311.4336835743 7537483.877301022, 507311.39036137145 7537483.913098599, 507292.29035526846 7537501.593030239, 507292.28882800887 7537501.594449873, 507285.0788365539 7537508.324430343, 507285.0720408236 7537508.330893966, 507269.52045714 7537523.402788162, 507253.52929220285 7537537.504873544, 507253.5226857714 7537537.510804635, 507234.0026814994 7537555.350892525, 507233.9950646551 7537555.358000903, 507222.74789104064 7537566.075763967, 507216.031548464 7537571.62454287, 507216.0222338284 7537571.632431519, 507209.89767829474 7537576.949102966, 507204.6141624201 7537580.826894921, 507204.60668559844 7537580.832490656, 507202.5174476962 7537582.426754388, 507199.61974992143 7537584.193189381, 507200.14025984454 7537585.047045, 507203.06025801355 7537583.267015699))</t>
  </si>
  <si>
    <t>2017-01-11</t>
  </si>
  <si>
    <t>['EV10 S13D130 m2088-2093']</t>
  </si>
  <si>
    <t>LINESTRING Z (476916.75 7566831.06 4.119, 476922.81 7566830.73 -0.151)</t>
  </si>
  <si>
    <t>POLYGON ((476922.83718744176 7566831.229260297, 476922.78281255823 7566830.230739704, 476916.72281255823 7566830.5607397035, 476916.77718744177 7566831.559260296, 476922.83718744176 7566831.229260297))</t>
  </si>
  <si>
    <t>['EV10 S13D130 m2088-2095']</t>
  </si>
  <si>
    <t>LINESTRING Z (476914.62 7566825.45 4.199, 476917.03 7566816.78 -0.541)</t>
  </si>
  <si>
    <t>POLYGON ((476917.511735066 7566816.913907902, 476916.54826493404 7566816.646092098, 476914.138264934 7566825.316092098, 476915.101735066 7566825.583907902, 476917.511735066 7566816.913907902))</t>
  </si>
  <si>
    <t>['EV10 S13D130 m2102-2106']</t>
  </si>
  <si>
    <t>LINESTRING Z (476929.52 7566815.81 4.259, 476923.87 7566813.75 0.019)</t>
  </si>
  <si>
    <t>POLYGON ((476924.04127200635 7566813.280249109, 476923.69872799364 7566814.219750891, 476929.34872799367 7566816.279750891, 476929.69127200637 7566815.340249108, 476924.04127200635 7566813.280249109))</t>
  </si>
  <si>
    <t>['EV10 S13D130 m2101-2106']</t>
  </si>
  <si>
    <t>LINESTRING Z (476932.44 7566823.06 4.029, 476930.43 7566828.57 -0.121)</t>
  </si>
  <si>
    <t>POLYGON ((476929.9602777641 7566828.398649421, 476930.89972223586 7566828.74135058, 476932.90972223587 7566823.231350579, 476931.97027776414 7566822.88864942, 476929.9602777641 7566828.398649421))</t>
  </si>
  <si>
    <t>['FV256 S7D1 m4828-4829']</t>
  </si>
  <si>
    <t>LINESTRING Z (233377.650024414 6579702.20996094 36.4, 233380.429992676 6579700 34.58, 233381.969970703 6579698.81005859 33.45)</t>
  </si>
  <si>
    <t>POLYGON ((233380.7384373549 6579700.393540039, 233382.2756877598 6579699.205706263, 233381.66425364622 6579698.414410917, 233380.12427561922 6579699.604352327, 233380.11884968437 6579699.6086050095, 233377.33888142236 6579701.81856595, 233377.96116740565 6579702.601355931, 233380.7384373549 6579700.393540039))</t>
  </si>
  <si>
    <t>['FV256 S7D1 m4756-4757']</t>
  </si>
  <si>
    <t>LINESTRING Z (233329.840026855 6579647.69995117 37.74, 233333.799987793 6579644.20996094 35.17, 233335.450012207 6579642.70996094 34.22)</t>
  </si>
  <si>
    <t>POLYGON ((233334.1305805637 6579644.58507215, 233334.13632146528 6579644.579933454, 233335.78634587929 6579643.079933454, 233335.11367853472 6579642.339988426, 233333.4665047656 6579643.837396969, 233329.5094340843 6579647.32483996, 233330.17061962571 6579648.07506238, 233334.1305805637 6579644.58507215))</t>
  </si>
  <si>
    <t>['FV256 S7D1 m4788-4789']</t>
  </si>
  <si>
    <t>LINESTRING Z (233351.619995117 6579672.33996582 36.8, 233354.909973145 6579669.11999512 34.54, 233356.66998291 6579667.38000488 33.29)</t>
  </si>
  <si>
    <t>POLYGON ((233355.25970423635 6579669.477329927, 233355.2614985078 6579669.475564972, 233357.02150827282 6579667.735574732, 233356.3184575472 6579667.024435028, 233354.55934272462 6579668.763540505, 233351.27026402566 6579671.982631014, 233351.96972620836 6579672.697300627, 233355.25970423635 6579669.477329927))</t>
  </si>
  <si>
    <t>['FV256 S7D1 m4715-4716']</t>
  </si>
  <si>
    <t>LINESTRING Z (233303.070007324 6579617.30004883 39.17, 233308.66998291 6579612.30004883 35.28, 233309.989990234 6579611.06005859 34.41)</t>
  </si>
  <si>
    <t>POLYGON ((233309.00299160247 6579612.673016939, 233309.0123182004 6579612.664475159, 233310.3323255244 6579611.424484919, 233309.6476549436 6579610.695632261, 233308.33225689002 6579611.931292638, 233302.73699863153 6579616.927080721, 233303.40301601644 6579617.673016939, 233309.00299160247 6579612.673016939))</t>
  </si>
  <si>
    <t>['FV256 S7D1 m4675-4676']</t>
  </si>
  <si>
    <t>LINESTRING Z (233276.719970703 6579587.82995606 40.64, 233285.130004883 6579580.31005859 35.12)</t>
  </si>
  <si>
    <t>POLYGON ((233285.46328242484 6579580.6827864805, 233284.79672734113 6579579.9373306995, 233276.38669316116 6579587.45722817, 233277.05324824486 6579588.202683951, 233285.46328242484 6579580.6827864805))</t>
  </si>
  <si>
    <t>['FV256 S7D1 m4552-4715']</t>
  </si>
  <si>
    <t>LINESTRING Z (233303.070007324 6579617.30004883 39.17, 233302 6579616 39.24, 233296.41998291 6579609.82995606 39.56, 233291.010009766 6579603.68994141 39.87, 233286.559997559 6579598.68994141 40.12, 233280.659973145 6579592.20996094 40.36, 233275.979980469 6579587.01000977 40.69, 233271.460021973 6579581.81994629 41.009, 233265.770019531 6579575.41003418 41.389, 233261.630004883 6579570.7199707 41.709, 233256.070007324 6579564.26000977 42.149, 233250.280029297 6579557.35998535 42.539, 233244.489990234 6579550.0300293 42.909, 233238.33001709 6579542.2800293 43.389, 233231.840026855 6579533.70996094 43.879, 233226.280029297 6579526.55004883 44.299, 233220.880004883 6579519.14001465 44.699, 233216.159973145 6579511.36999512 45.069, 233213.729980469 6579506.02001953 45.259, 233213.5 6579505.15002441 45.269, 233213.520019531 6579502.68994141 45.309, 233214.270019531 6579500.31005859 45.199, 233214.630004883 6579498.06005859 45.179, 233214.130004883 6579495.7199707 45.269, 233212.599975586 6579493.33996582 45.299, 233210.059997559 6579490.58996582 45.379, 233206.739990234 6579487.81994629 45.469, 233205.609985352 6579486.83996582 45.359)</t>
  </si>
  <si>
    <t>POLYGON ((233302.3860556137 6579615.6822562935, 233302.37083975342 6579615.664622784, 233296.79299435485 6579609.496980169, 233291.3851616043 6579603.359394744, 233291.38350783245 6579603.357527219, 233286.93349562545 6579598.357527219, 233286.92970812405 6579598.353319815, 233281.0306543869 6579591.874405437, 233276.35435625425 6579586.678559284, 233271.83707786 6579581.4915732425, 233271.83394951143 6579581.488015279, 233266.14440939054 6579575.078623984, 233262.00692695525 6579570.3914291505, 233256.45101307856 6579563.936212904, 233250.66780154363 6579557.044252238, 233244.88234747198 6579549.720100602, 233244.8814088301 6579549.7189160045, 233238.725081503 6579541.973502888, 233232.23862857206 6579533.408105559, 233232.2349386802 6579533.403293938, 233226.67962068052 6579526.249407951, 233221.29644529958 6579518.86249439, 233216.60284035522 6579511.135978106, 233214.202622532 6579505.851556104, 233214.0005289872 6579505.087054672, 233214.0193939713 6579502.768847183, 233214.74689950378 6579500.460343292, 233214.76374034837 6579500.389050706, 233215.12372570037 6579498.139050706, 233215.1289043343 6579498.093214849, 233215.12983684673 6579498.047096799, 233215.1265153011 6579498.001089066, 233215.11896796708 6579497.955583222, 233214.61896796708 6579495.6154953325, 233214.60756769317 6579495.571870186, 233214.59228364998 6579495.529449464, 233214.5732401346 6579495.488578151, 233214.55059201783 6579495.449588634, 233213.02056272083 6579493.069583754, 233212.99542154867 6579493.033987896, 233212.96727634151 6579493.000716421, 233210.42729831452 6579490.250716421, 233210.38031810385 6579490.206045583, 233207.0639739879 6579487.4390824195, 233205.937573332 6579486.462227663, 233205.282397372 6579487.217703978, 233206.412402254 6579488.197684447, 233206.41966968914 6579488.203866527, 233209.7147359044 6579490.953076658, 233212.20302188036 6579493.64711037, 233213.66009865003 6579495.913635481, 233214.12153620532 6579498.073244351, 233213.78210084405 6579500.194801683, 233213.0431395582 6579502.539656708, 233213.03061551688 6579502.587551416, 233213.02288911204 6579502.636449854, 233213.0200360859 6579502.685872671, 233213.0000165549 6579505.145955672, 233213.00162804808 6579505.19034063, 233213.00717193793 6579505.234407473, 233213.01660448054 6579505.277808493, 233213.24658494955 6579506.147803613, 233213.25900314396 6579506.187889597, 233213.2747390868 6579506.226793039, 233215.7047317628 6579511.576768628, 233215.73264087894 6579511.62958544, 233220.45267261693 6579519.399604971, 233220.475919994 6579519.434489441, 233225.875944408 6579526.844523621, 233225.8851174718 6579526.856715832, 233231.44325547147 6579534.014233287, 233237.93141537294 6579542.581884681, 233237.9385984939 6579542.591142595, 233244.09810142717 6579550.340551012, 233249.887672059 6579557.669914047, 233249.8970117243 6579557.681384695, 233255.6869897513 6579564.581409115, 233255.69104326458 6579564.5861788085, 233261.25104082358 6579571.0461397385, 233261.25515429594 6579571.050858956, 233265.39516894394 6579575.740922435, 233265.39609199256 6579575.7419651905, 233271.08452181012 6579582.150105705, 233275.60292458202 6579587.338382818, 233275.6083346974 6579587.344493582, 233280.2883273734 6579592.544444752, 233280.29026257995 6579592.546582535, 233286.1883813168 6579599.024470004, 233290.63568248742 6579604.021423905, 233296.04483107172 6579610.160502726, 233296.0491431566 6579610.165333277, 233301.62134691206 6579616.326737706, 233302.6839517103 6579617.6177925365, 233303.45606293768 6579616.9823051235, 233302.3860556137 6579615.6822562935))</t>
  </si>
  <si>
    <t>['FV256 S7D1 m4568-4580']</t>
  </si>
  <si>
    <t>LINESTRING Z (233231.849975586 6579502.63000488 37.549, 233230.239990234 6579502.84997559 37.999, 233224.299987793 6579502.32995606 39.789, 233214.099975586 6579500.86999512 45.229)</t>
  </si>
  <si>
    <t>POLYGON ((233230.22779925822 6579502.346995938, 233224.35725609533 6579501.833057244, 233214.17082019112 6579500.375039524, 233214.02913098087 6579501.364950716, 233224.22914318787 6579502.824911656, 233224.2563819062 6579502.828050957, 233230.1963843472 6579503.348070486, 233230.25210543047 6579503.34982879, 233230.307675901 6579503.345373057, 233231.91766125298 6579503.125402347, 233231.782289919 6579502.134607413, 233230.22779925822 6579502.346995938))</t>
  </si>
  <si>
    <t>['FV256 S7D1 m4549-4550']</t>
  </si>
  <si>
    <t>LINESTRING Z (233215.280029297 6579478.0300293 39.249, 233212.390014648 6579479.84997559 41.319, 233208.590026855 6579481.98999024 43.659, 233207.469970703 6579482.51000977 43.979)</t>
  </si>
  <si>
    <t>POLYGON ((233212.1339657996 6579479.420336497, 233208.3617259258 6579481.544724531, 233207.25941722828 6579482.056504275, 233207.68052417773 6579482.963515266, 233208.80058032973 6579482.4434957355, 233208.83537704838 6579482.425654425, 233212.63536484138 6579480.285639775, 233212.65645351313 6579480.273071715, 233215.54646816212 6579478.453125425, 233215.01359043186 6579477.606933175, 233212.1339657996 6579479.420336497))</t>
  </si>
  <si>
    <t>['FV256 S7D1 m4596-4597']</t>
  </si>
  <si>
    <t>LINESTRING Z (233226.440002441 6579526.89001465 44.269, 233229.159973145 6579524.83996582 42.799, 233231.909973145 6579522.5 41.009, 233236.270019531 6579519.70996094 38.479)</t>
  </si>
  <si>
    <t>POLYGON ((233229.46091847192 6579525.239255076, 233229.48399554045 6579525.220766933, 233232.20810607483 6579522.902830373, 233236.5395196107 6579520.131113771, 233236.00051945128 6579519.288808109, 233231.6404730653 6579522.078847169, 233231.58595074955 6579522.119198888, 233228.8472158176 6579524.449579299, 233226.13905711408 6579526.490725394, 233226.74094776792 6579527.289303906, 233229.46091847192 6579525.239255076))</t>
  </si>
  <si>
    <t>['FV256 S7D1 m4636-4637']</t>
  </si>
  <si>
    <t>LINESTRING Z (233250.799987793 6579557.97998047 42.499, 233260.460021973 6579549.86999512 36.229)</t>
  </si>
  <si>
    <t>POLYGON ((233260.78151473182 6579550.252934287, 233260.1385292142 6579549.487055953, 233250.4784950342 6579557.597041302, 233251.1214805518 6579558.362919637, 233260.78151473182 6579550.252934287))</t>
  </si>
  <si>
    <t>['FV256 S7D1 m4359-4360']</t>
  </si>
  <si>
    <t>LINESTRING Z (233056.229980469 6579360.7199707 46.249, 233054.380004883 6579366.93005371 49.459, 233053.440002441 6579369.7800293 49.699)</t>
  </si>
  <si>
    <t>POLYGON ((233053.90289014162 6579366.780339554, 233052.9651638515 6579369.623414122, 233053.9148410305 6579369.936644478, 233054.85484347248 6579367.086668888, 233054.85919427025 6579367.0728036, 233056.70916985627 6579360.86272059, 233055.75079108175 6579360.577220811, 233053.90289014162 6579366.780339554))</t>
  </si>
  <si>
    <t>['FV256 S7D1 m4318-4319']</t>
  </si>
  <si>
    <t>LINESTRING Z (233016.33001709 6579352.19995117 49.909, 233020.030029297 6579346.47998047 46.709)</t>
  </si>
  <si>
    <t>POLYGON ((233020.44985271135 6579346.751546853, 233019.61020588264 6579346.208414086, 233015.91019367563 6579351.9283847865, 233016.74984050434 6579352.471517554, 233020.44985271135 6579346.751546853))</t>
  </si>
  <si>
    <t>['FV256 S7D1 m4278-4280']</t>
  </si>
  <si>
    <t>LINESTRING Z (232990.239990234 6579323.45996094 45.909, 232985.460021973 6579330.58996582 50.059)</t>
  </si>
  <si>
    <t>POLYGON ((232985.04471416847 6579330.311542711, 232985.87532977754 6579330.868388929, 232990.65529803853 6579323.738384049, 232989.82468242946 6579323.181537831, 232985.04471416847 6579330.311542711))</t>
  </si>
  <si>
    <t>['FV256 S7D1 m4240-4241']</t>
  </si>
  <si>
    <t>LINESTRING Z (232959.069946289 6579304.41003418 50.129, 232963.729980469 6579299.17004395 46.699)</t>
  </si>
  <si>
    <t>POLYGON ((232964.1036049212 6579299.502316081, 232963.35635601683 6579298.837771819, 232958.69632183682 6579304.077762049, 232959.4435707412 6579304.742306311, 232964.1036049212 6579299.502316081))</t>
  </si>
  <si>
    <t>['FV256 S7D1 m4180-4189']</t>
  </si>
  <si>
    <t>LINESTRING Z (232930.979980469 6579262.55004883 50.859, 232933.920043945 6579259.5300293 49.279, 232935.91003418 6579254.4699707 48.079, 232937.050048828 6579249.39001465 47.779)</t>
  </si>
  <si>
    <t>POLYGON ((232934.27830810891 6579259.878808297, 232934.31112701792 6579259.841564258, 232934.34009110066 6579259.801249482, 232934.3649148638 6579259.7582613425, 232934.3853536246 6579259.713023568, 232936.3753438596 6579254.652964968, 232936.38803721874 6579254.61664413, 232936.3979001792 6579254.5794547945, 232937.5379148272 6579249.4994987445, 232936.5621828288 6579249.280530556, 232935.4306117394 6579254.322861733, 232933.49157085945 6579259.25336858, 232930.6217163051 6579262.201269832, 232931.33824463293 6579262.898827828, 232934.27830810891 6579259.878808297))</t>
  </si>
  <si>
    <t>['FV715 S11D1 m9944-9959']</t>
  </si>
  <si>
    <t>LINESTRING Z (266368.63 7101243.24 0.279, 266357.97 7101249.45 -0.721, 266354.29 7101244.69 -0.871, 266346.9 7101237.16 -0.571, 266351.81 7101229.03 0.189)</t>
  </si>
  <si>
    <t>POLYGON ((266358.09730275214 7101248.797184595, 266354.68556938466 7101244.384181652, 266354.6468552059 7101244.339779553, 266347.5284733007 7101237.086543322, 266352.2380014541 7101229.288485504, 266351.3819985459 7101228.771514497, 266346.4719985459 7101236.901514497, 266346.4480129896 7101236.946206309, 266346.4286786777 7101236.993098199, 266346.4141945733 7101237.041707619, 266346.4047097273 7101237.091534346, 266346.4003217452 7101237.142065629, 266346.4010757821 7101237.19278147, 266346.40696407843 7101237.243159967, 266346.41792603984 7101237.292682692, 266346.43384886044 7101237.340840027, 266346.4545686839 7101237.387136397, 266346.47987228964 7101237.431095384, 266346.50949928677 7101237.4722646205, 266346.5431447941 7101237.510220448, 266353.9124775734 7101245.019161697, 266357.5744306153 7101249.755818348, 266357.60556912917 7101249.792330455, 266357.6400644025 7101249.825689369, 266357.6775987007 7101249.8555878205, 266357.71782629675 7101249.881750418, 266357.7603766557 7101249.903936178, 266357.8048578477 7101249.921940748, 266357.8508601581 7101249.935598289, 266357.89795986126 7101249.944783001, 266357.9457231236 7101249.949410286, 266357.9937099993 7101249.94943752, 266358.0414784831 7101249.944864453, 266358.0885885812 7101249.9357332075, 266358.1346063641 7101249.92212789, 266358.17910796375 7101249.904173821, 266358.2216834777 7101249.882036373, 266368.8816834777 7101243.672036373, 266368.3783165223 7101242.807963627, 266358.09730275214 7101248.797184595))</t>
  </si>
  <si>
    <t>['FV715 S11D1 m9963-9978']</t>
  </si>
  <si>
    <t>LINESTRING Z (266334.04 7101252.46 0.139, 266343.23 7101246.03 -0.161, 266347.41 7101249.72 -0.591, 266350 7101251.69 -0.581, 266352.31 7101254.87 -0.171, 266354.49 7101257.77 0.129, 266348.1 7101266.48 0.129)</t>
  </si>
  <si>
    <t>POLYGON Z ((266334.04 7101252.46 0.139, 266343.23 7101246.03 -0.161, 266347.41 7101249.72 -0.591, 266350 7101251.69 -0.581, 266352.31 7101254.87 -0.171, 266354.49 7101257.77 0.129, 266348.1 7101266.48 0.129, 266334.04 7101252.46 0.139))</t>
  </si>
  <si>
    <t>['FV715 S11D1 m9773-9779']</t>
  </si>
  <si>
    <t>LINESTRING Z (266232.21 7101119.14 0.598, 266236.09 7101112.8 0.798, 266240.58 7101104.29 0.958, 266246.64 7101092.77 1.258, 266250.4 7101086.2 1.438, 266254.69 7101083.2 1.738, 266259.72 7101081.36 1.848, 266265.24 7101078.83 1.848, 266273.42 7101075.47 1.648, 266280.75 7101072.91 2.298, 266289.36 7101072.21 2.558, 266295.4 7101072.33 2.799, 266302.73 7101073.05 2.949, 266309.33 7101073.56 3.079, 266317.18 7101074.15 3.169, 266321.39 7101074.29 3.279, 266327.82 7101074.29 3.649, 266334.51 7101075.95 4.179, 266342.08 7101077.58 4.709)</t>
  </si>
  <si>
    <t>POLYGON ((266236.5164745514 7101113.060997044, 266236.53222216567 7101113.033322858, 266241.02222216566 7101104.523322858, 266241.02250909526 7101104.522778222, 266247.07837239146 7101093.0106420545, 266250.7783258495 7101086.545563806, 266254.92305847636 7101083.647149381, 266259.8917706841 7101081.829568773, 266259.92832735524 7101081.814532412, 266265.4392317933 7101079.288701211, 266273.597546327 7101075.937608688, 266280.8543742097 7101073.403164026, 266289.3753315059 7101072.71040327, 266295.37055027735 7101072.829513577, 266302.6811219989 7101073.547605205, 266302.69147847267 7101073.548513883, 266309.2914784727 7101074.058513883, 266309.2925260765 7101074.058593727, 266317.14252607647 7101074.6485937275, 266317.16338210745 7101074.64972377, 266321.3733821075 7101074.78972377, 266321.39 7101074.79, 266327.7588936338 7101074.79, 266334.38958577154 7101076.435283849, 266334.40475044266 7101076.438797024, 266341.97475044266 7101078.068797024, 266342.18524955737 7101077.091202976, 266334.62285925436 7101075.462841524, 266327.9404142285 7101073.804716151, 266327.880655073 7101073.793692674, 266327.82 7101073.79, 266321.3983112535 7101073.79, 266317.2070576951 7101073.650623398, 266309.36799772724 7101073.061445641, 266302.77370448573 7101072.551886618, 266295.44887800113 7101071.832394795, 266295.40993181494 7101071.83009865, 266289.3699318149 7101071.71009865, 266289.3194832771 7101071.711644309, 266280.7094832771 7101072.411644309, 266280.66733940976 7101072.416880109, 266280.6257918623 7101072.425673314, 266280.5851403619 7101072.43796049, 266273.2551403619 7101074.997960489, 266273.2300232946 7101075.007497188, 266265.05002329464 7101078.367497188, 266265.0316726447 7101078.375467588, 266259.52965356014 7101080.8972263355, 266254.5182293159 7101082.730431228, 266254.47829369956 7101082.747031522, 266254.43994200486 7101082.767020787, 266254.40346116736 7101082.79024947, 266250.1134611674 7101085.79024947, 266250.0701419004 7101085.824242586, 266250.0308232724 7101085.862793026, 266249.995982154 7101085.905433234, 266249.96604111075 7101085.951646054, 266246.20604111074 7101092.5216460535, 266246.1974909048 7101092.537221777, 266240.1376340674 7101104.056949627, 266235.6552108324 7101112.552589211, 266231.78352544864 7101118.879002956, 266232.6364745514 7101119.400997044, 266236.5164745514 7101113.060997044))</t>
  </si>
  <si>
    <t>['FV715 S11D1 m9771-9779']</t>
  </si>
  <si>
    <t>LINESTRING Z (266273.42 7101075.47 1.648, 266275.63 7101070.91 3.398, 266280.62 7101069.98 2.958, 266289.04 7101069.86 3.518, 266296.46 7101069.58 4.019, 266302.36 7101070.64 3.729, 266309.38 7101070.9 3.899, 266316.99 7101071.94 4.239, 266321.21 7101072.22 4.279, 266327.55 7101072.11 4.669, 266335.09 7101074.19 5.299, 266343.01 7101075.57 5.589, 266342.08 7101077.58 4.709)</t>
  </si>
  <si>
    <t>POLYGON ((266275.96982443624 7101071.355275562, 266280.6697254935 7101070.479342099, 266289.04712516716 7101070.359949229, 266289.05885450495 7101070.359644381, 266296.4248129188 7101070.081683686, 266302.27158509084 7101071.13212072, 266302.34149416967 7101071.139657416, 266309.33679079555 7101071.398742477, 266316.9222981516 7101072.435395257, 266316.95689743024 7101072.438903017, 266321.17689743027 7101072.718903016, 266321.2186737734 7101072.71992476, 266327.4865615841 7101072.611175919, 266334.95703550096 7101074.671996309, 266335.0041719343 7101074.682578464, 266342.28286616167 7101075.950835791, 266341.6262187408 7101077.370041507, 266342.5337812592 7101077.789958493, 266343.4637812592 7101075.779958493, 266343.48188341624 7101075.7353059035, 266343.4956035847 7101075.689118255, 266343.5048143569 7101075.641824454, 266343.50943020015 7101075.59386368, 266343.5094082508 7101075.545681303, 266343.5047487128 7101075.497724755, 266343.4954948554 7101075.450439366, 266343.48173261137 7101075.404264237, 266343.46358977933 7101075.359628158, 266343.4412348366 7101075.316945627, 266343.4148753749 7101075.276613002, 266343.3847561726 7101075.239004818, 266343.35115692177 7101075.204470309, 266343.31438963057 7101075.173330172, 266343.2747957263 7101075.145873576, 266343.2327428845 7101075.12235549, 266343.18862161494 7101075.102994306, 266343.1428416352 7101075.087969814, 266343.0958280657 7101075.077421537, 266335.19965219364 7101073.701572711, 266327.68296449905 7101071.628003691, 266327.63639530237 7101071.6175207095, 266327.5890386702 7101071.611526348, 266327.5413262266 7101071.61007524, 266321.22223576246 7101071.719712456, 266317.04046324134 7101071.442248877, 266309.4477018484 7101070.404604744, 266309.3985058303 7101070.400342584, 266302.41372599406 7101070.141647033, 266296.54841490916 7101069.08787928, 266296.49498305056 7101069.081225315, 266296.44114549505 7101069.080355619, 266289.02700836334 7101069.360134379, 266280.6128748328 7101069.4800507715, 266280.57045405044 7101069.482460857, 266280.5283910555 7101069.488463836, 266275.5383910555 7101070.4184638355, 266275.49288767687 7101070.42916717, 266275.44858272513 7101070.444073211, 266275.4058634466 7101070.463051675, 266275.36510322813 7101070.485936679, 266275.3266583333 7101070.512528199, 266275.29086478887 7101070.54259381, 266275.25803544733 7101070.575870726, 266275.22845725284 7101070.6120680915, 266275.2023887328 7101070.650869523, 266275.1800577386 7101070.691935878, 266272.9700577386 7101075.251935878, 266273.8699422614 7101075.688064122, 266275.96982443624 7101071.355275562))</t>
  </si>
  <si>
    <t>['FV715 S11D1 m9776-9781']</t>
  </si>
  <si>
    <t>LINESTRING Z (266342.08 7101077.58 4.709, 266341.76 7101080.33 5.419, 266334 7101077.65 4.699, 266327.62 7101077.25 4.439, 266321.13 7101077.03 3.949, 266316.86 7101076.66 3.659, 266309.29 7101076.39 3.589, 266302.78 7101075.75 3.549, 266294.54 7101075.42 3.429, 266289.24 7101075.3 3.208, 266278.1 7101076 2.928, 266274.62 7101078.45 3.018, 266267.22 7101082.01 2.868, 266260.88 7101084.82 3.118, 266256.83 7101087.13 3.148, 266253.73 7101089.34 3.098, 266249.98 7101095.11 2.828, 266243.51 7101106.13 2.388, 266238.72 7101114.11 1.948, 266234.53 7101120.76 1.778, 266232.21 7101119.14 0.598)</t>
  </si>
  <si>
    <t>POLYGON ((266341.3352497747 7101079.654329156, 266334.16322055494 7101077.177391229, 266334.1200951881 7101077.164637099, 266334.07599826803 7101077.155809487, 266334.0312865325 7101077.150979808, 266327.6512865325 7101076.750979807, 266327.6369394228 7101076.750287026, 266321.1600723495 7101076.530732211, 266316.90316378436 7101076.161866597, 266316.8778222209 7101076.160317733, 266309.323403213 7101075.890873461, 266302.8289193139 7101075.252398854, 266302.8000082328 7101075.25040049, 266294.5600082328 7101074.92040049, 266294.5513178541 7101074.92012811, 266289.2513178541 7101074.80012811, 266289.2086435312 7101074.800984196, 266278.0686435312 7101075.500984197, 266278.0230411991 7101075.505958157, 266277.9780866486 7101075.515090591, 266277.9341582735 7101075.52830463, 266277.89162583003 7101075.545489049, 266277.8508473244 7101075.5664992, 266277.8121659994 7101075.591158235, 266274.36597683013 7101078.017354634, 266267.01026787254 7101081.55604705, 266260.6773991516 7101084.362886342, 266260.6322770755 7101084.385680587, 266256.5822770755 7101086.695680587, 266256.53975372727 7101086.722867219, 266253.43975372723 7101088.932867219, 266253.402901432 7101088.961837962, 266253.36892419646 7101088.994132591, 266253.3381206665 7101089.029467251, 266253.3107615923 7101089.067531364, 266249.5607615923 7101094.8375313645, 266249.5488218172 7101094.856849107, 266243.080051236 7101105.874755104, 266238.29408491927 7101113.848035106, 266234.3864330994 7101120.049916873, 266232.4962566132 7101118.730052257, 266231.92374338687 7101119.549947742, 266234.2437433869 7101121.1699477425, 266234.2865945284 7101121.196753679, 266234.33193305804 7101121.21909638, 266234.3792956564 7101121.236747523, 266234.4281983197 7101121.249526728, 266234.4781413059 7101121.257303404, 266234.5286142421 7101121.259998079, 266234.5791013395 7101121.257583218, 266234.62908666476 7101121.250083496, 266234.678059412 7101121.237575554, 266234.7255191232 7101121.220187214, 266234.7709808022 7101121.198096168, 266234.81397987076 7101121.171528168, 266234.85407691664 7101121.140754714, 266234.89086218347 7101121.106090284, 266234.9239597584 7101121.067889118, 266234.95303141355 7101121.026541597, 266239.1430314135 7101114.376541598, 266239.1486990541 7101114.367326876, 266243.9386990541 7101106.387326876, 266243.9411781828 7101106.383150893, 266250.40542770404 7101095.372945372, 266254.09752234217 7101089.692042422, 266257.099671548 7101087.551800569, 266261.105738779 7101085.266858519, 266267.42260084837 7101082.467113658, 266267.4367613412 7101082.460571327, 266274.8367613412 7101078.900571328, 266274.8731589496 7101078.881173452, 266274.9078340006 7101078.858841765, 266278.27233270387 7101076.490157332, 266289.25003759336 7101075.800355409, 266294.5243358097 7101075.919773483, 266302.7455072581 7101076.249019426, 266309.2410806861 7101076.887601146, 266309.27217777906 7101076.889682267, 266316.82948732894 7101077.159229635, 266321.08683621563 7101077.5281334035, 266321.1130605772 7101077.529712974, 266327.5958820585 7101077.749469634, 266333.9009532992 7101078.144771907, 266341.59677944507 7101080.802608771, 266341.64443888725 7101080.816462361, 266341.6932369966 7101080.825522655, 266341.74269294704 7101080.829700376, 266341.79231943045 7101080.828954361, 266341.8416274583 7101080.82329196, 266341.89013117994 7101080.812768968, 266341.93735267 7101080.79748907, 266341.9828266372 7101080.777602826, 266342.0261050094 7101080.753306182, 266342.0667613485 7101080.724838543, 266342.1043950522 7101080.69248041, 266342.1386353014 7101080.656550622, 266342.169144714 7101080.617403206, 266342.1956226693 7101080.575423899, 266342.21780826995 7101080.531026336, 266342.23548291286 7101080.4846479865, 266342.2484724431 7101080.436745831, 266342.2566488699 7101080.387791868, 266342.5766488699 7101077.637791868, 266341.58335113013 7101077.522208132, 266341.3352497747 7101079.654329156))</t>
  </si>
  <si>
    <t>['FV715 S11D1 m9768-9810']</t>
  </si>
  <si>
    <t>LINESTRING Z (266232.21 7101119.14 0.598, 266229.87 7101118.34 1.558, 266233.54 7101111.27 1.998, 266237.58 7101102.88 2.428, 266243.44 7101090.99 2.668, 266246.3 7101085.74 2.918, 266252.63 7101080.51 2.488, 266258.53 7101078.25 2.458, 266264.49 7101077.1 2.798, 266265.24 7101078.83 1.848)</t>
  </si>
  <si>
    <t>POLYGON ((266230.58139748283 7101118.054799584, 266233.98377271905 7101111.500360096, 266233.9904930615 7101111.486923953, 266238.02950029215 7101103.098985669, 266243.8839677893 7101091.220211174, 266246.6928937406 7101086.063965985, 266252.8853343893 7101080.947620867, 266258.6678461918 7101078.73262482, 266264.1908230621 7101077.666949753, 266264.7812544405 7101079.028878133, 266265.6987455595 7101078.631121867, 266264.9487455595 7101076.901121867, 266264.92742614803 7101076.85780511, 266264.90202842234 7101076.81674644, 266264.87278917624 7101076.778328666, 266264.8399810201 7101076.742909975, 266264.8039098386 7101076.710820589, 266264.76491193904 7101076.682359693, 266264.72335091577 7101076.657792639, 266264.67961426044 7101076.637348476, 266264.63410974876 7101076.621217815, 266264.58726163924 7101076.609551049, 266264.53950671706 7101076.6024569515, 266264.4912902223 7101076.600001664, 266264.4430616981 7101076.60220808, 266264.3952708002 7101076.609055625, 266258.43527080026 7101077.759055626, 266258.392682367 7101077.769225762, 266258.3511469987 7101077.783082873, 266252.4511469987 7101080.043082872, 266252.4017535161 7101080.065136489, 266252.3550315018 7101080.092396929, 266252.3115278046 7101080.124545124, 266245.9815278046 7101085.354545125, 266245.94627206493 7101085.3866212405, 266245.9142307844 7101085.421908642, 266245.8856951343 7101085.4600866595, 266245.8609244288 7101085.500808355, 266243.0009244288 7101090.750808355, 266242.991511286 7101090.768961828, 266237.131511286 7101102.658961828, 266237.1295069385 7101102.663076047, 266233.0927661766 7101111.04630748, 266229.4262272809 7101118.1096399035, 266229.4062711831 7101118.153035874, 266229.3905469929 7101118.198138046, 266229.37919820653 7101118.244534825, 266229.3723283912 7101118.291802803, 266229.37000023946 7101118.33951062, 266229.3722349978 7101118.387222903, 266229.37901227205 7101118.434504238, 266229.3902702141 7101118.480923144, 266229.4059060859 7101118.52605601, 266229.42577719723 7101118.569490962, 266229.4497022078 7101118.610831619, 266229.47746278223 7101118.649700714, 266229.50880558236 7101118.685743536, 266229.5434445793 7101118.718631162, 266229.58106366365 7101118.748063467, 266229.62131953024 7101118.773771857, 266229.6638448111 7101118.79552172, 266229.708251428 7101118.813114573, 266232.048251428 7101119.613114573, 266232.37174857204 7101118.666885426, 266230.58139748283 7101118.054799584))</t>
  </si>
  <si>
    <t>['FV715 S11D1 m9776-9777']</t>
  </si>
  <si>
    <t>LINESTRING Z (266449.46 7101061.76 24.609, 266451.3 7101061.76 24.159, 266452.89 7101061.37 24.479, 266454.43 7101061.92 25.149)</t>
  </si>
  <si>
    <t>POLYGON ((266451.3 7101062.26, 266451.35998870287 7101062.256388311, 266451.41911076376 7101062.245605422, 266452.86325852486 7101061.8913805, 266454.26183180156 7101062.390870956, 266454.5981681984 7101061.449129044, 266453.05816819845 7101060.899129044, 266453.01164883695 7101060.885024165, 266452.96397965134 7101060.875503275, 266452.91561121045 7101060.870656365, 266452.8670006925 7101060.870529248, 266452.81860756397 7101060.875123126, 266452.77088923624 7101060.884394578, 266451.23957482184 7101061.26, 266449.46 7101061.26, 266449.46 7101062.26, 266451.3 7101062.26))</t>
  </si>
  <si>
    <t>['FV715 S11D1 m9777-9779']</t>
  </si>
  <si>
    <t>LINESTRING Z (266449.5 7101062.96 24.699, 266451.21 7101063.41 24.149, 266452.57 7101063.58 24.209, 266453.86 7101063.85 24.689)</t>
  </si>
  <si>
    <t>POLYGON ((266451.0827533503 7101063.893537269, 266451.14798263274 7101063.906138939, 266452.4876372591 7101064.073595767, 266453.7575684231 7101064.339395313, 266453.96243157686 7101063.360604687, 266452.6724315769 7101063.090604687, 266452.6320173673 7101063.083861061, 266451.3050515328 7101062.9179903325, 266449.6272466497 7101062.476462731, 266449.3727533503 7101063.443537269, 266451.0827533503 7101063.893537269))</t>
  </si>
  <si>
    <t>['FV715 S11D1 m9777-9782']</t>
  </si>
  <si>
    <t>LINESTRING Z (266447.02 7101063.04 24.869, 266447.67 7101064.84 24.899, 266449.36 7101065.76 24.699, 266451.33 7101066.24 24.769, 266453.16 7101066.86 25.399, 266455.92 7101066.29 26.149, 266457.49 7101065.14 26.269)</t>
  </si>
  <si>
    <t>POLYGON Z ((266447.02 7101063.04 24.869, 266447.67 7101064.84 24.899, 266449.36 7101065.76 24.699, 266451.33 7101066.24 24.769, 266453.16 7101066.86 25.399, 266455.92 7101066.29 26.149, 266457.49 7101065.14 26.269, 266447.02 7101063.04 24.869))</t>
  </si>
  <si>
    <t>2017-03-03</t>
  </si>
  <si>
    <t>['FV33 S5D1 m3424-3425']</t>
  </si>
  <si>
    <t>LINESTRING Z (287002.84 6727155.3 143.442, 287002.19 6727156 143.432)</t>
  </si>
  <si>
    <t>POLYGON ((287001.82360325416 6727155.659774451, 287002.55639674584 6727156.340225549, 287003.20639674587 6727155.640225549, 287002.4736032542 6727154.95977445, 287001.82360325416 6727155.659774451))</t>
  </si>
  <si>
    <t>2017-03-07</t>
  </si>
  <si>
    <t>['EV6 S202D1 m6395-6398']</t>
  </si>
  <si>
    <t>LINESTRING Z (808335.5 7785870.56 21.969, 808338.04 7785870.62 20.259, 808342.33 7785870.22 18.029, 808341.78 7785867.57 18.309, 808337.43 7785867.74 20.479, 808335.6 7785868.43 21.699)</t>
  </si>
  <si>
    <t>POLYGON Z ((808335.5 7785870.56 21.969, 808338.04 7785870.62 20.259, 808342.33 7785870.22 18.029, 808341.78 7785867.57 18.309, 808337.43 7785867.74 20.479, 808335.6 7785868.43 21.699, 808335.5 7785870.56 21.969))</t>
  </si>
  <si>
    <t>['EV6 S202D1 m6275-6278']</t>
  </si>
  <si>
    <t>LINESTRING Z (808343.04 7785989.83 27.329, 808349.34 7785988.91 24.309, 808349.17 7785986.77 24.109, 808344.01 7785987.27 26.759, 808342.91 7785987.83 27.299)</t>
  </si>
  <si>
    <t>POLYGON Z ((808343.04 7785989.83 27.329, 808349.34 7785988.91 24.309, 808349.17 7785986.77 24.109, 808344.01 7785987.27 26.759, 808342.91 7785987.83 27.299, 808343.04 7785989.83 27.329))</t>
  </si>
  <si>
    <t>2017-03-22</t>
  </si>
  <si>
    <t>[6548]</t>
  </si>
  <si>
    <t>['FV6548 S1D1 m2868-2871']</t>
  </si>
  <si>
    <t>LINESTRING Z (306093.81 6982903.2 444.793, 306094.05 6982902.35 444.643, 306094.17 6982901.79 444.433, 306094.57 6982901.37 444.563, 306095.31 6982901.08 444.673, 306095.96 6982900.97 444.723)</t>
  </si>
  <si>
    <t>POLYGON Z ((306093.81 6982903.2 444.793, 306094.05 6982902.35 444.643, 306094.17 6982901.79 444.433, 306094.57 6982901.37 444.563, 306095.31 6982901.08 444.673, 306095.96 6982900.97 444.723, 306093.81 6982903.2 444.793))</t>
  </si>
  <si>
    <t>2025-11-22T09:21:36Z</t>
  </si>
  <si>
    <t>[99996]</t>
  </si>
  <si>
    <t>['PV99996 S1D1 m129-159']</t>
  </si>
  <si>
    <t>LINESTRING Z (281314.923095703 6642659.40899658 167.236, 281318.839111328 6642661.59802246 166.349, 281323.711914062 6642665.9920044 165.338, 281327.970947266 6642669.75897217 164.631, 281331.812011719 6642673.05297852 163.966, 281336.331054687 6642677.434021 163.543, 281338.250976563 6642679.75897217 163.267, 281338.735107422 6642680.93200684 162.903)</t>
  </si>
  <si>
    <t>POLYGON ((281318.54604604514 6642662.00701712, 281323.3770756923 6642666.363330761, 281323.38065862196 6642666.366530545, 281327.63969182596 6642670.133498315, 281327.64545672416 6642670.1385191465, 281331.4749380395 6642673.422592071, 281335.9631467937 6642677.773741938, 281337.81750951457 6642680.019303505, 281338.2729234165 6642681.122757843, 281339.19729142747 6642680.741255837, 281338.7131605685 6642679.568221167, 281338.69189870835 6642679.523201812, 281338.6662650011 6642679.480520176, 281338.636513611 6642679.440599456, 281336.71659173496 6642677.115648286, 281336.67908421264 6642677.075028731, 281332.16004124464 6642672.693986251, 281332.1375022608 6642672.673431544, 281328.2993394239 6642669.381913551, 281324.04496867524 6642665.619069561, 281319.1739496977 6642661.226696099, 281319.13033957616 6642661.191591522, 281319.0830784148 6642661.1615822455, 281315.1670627898 6642658.972556366, 281314.67912861623 6642659.845436795, 281318.54604604514 6642662.00701712))</t>
  </si>
  <si>
    <t>['PV99996 S1D1 m129-158']</t>
  </si>
  <si>
    <t>LINESTRING Z (281316.842041016 6642657.41101074 167.639, 281319.851074219 6642660.32098389 166.484, 281324.614013672 6642665.02099609 165.416, 281328.884033203 6642668.61602783 164.66, 281332.888916016 6642672.08197022 164.015, 281337.327880859 6642676.38800049 163.641, 281339.768066406 6642679.04302979 163.378, 281341.113037109 6642682.26702881 162.826)</t>
  </si>
  <si>
    <t>POLYGON ((281319.5016742058 6642660.678651316, 281324.26281912497 6642665.376892691, 281324.2919863755 6642665.403485855, 281328.5594055555 6642668.996328297, 281332.55097501696 6642672.450748925, 281336.96944987867 6642676.736902831, 281339.34045301145 6642679.316658618, 281340.6515819158 6642682.459536225, 281341.57449230226 6642682.074521396, 281340.22952159925 6642678.850522376, 281340.2110473592 6642678.81115078, 281340.1892216668 6642678.773533507, 281340.1642096483 6642678.737955157, 281340.1362005368 6642678.704684904, 281337.6960149898 6642676.049655604, 281337.6760195865 6642676.029114121, 281333.23705474345 6642671.723083851, 281333.2161140189 6642671.703894214, 281329.21123120596 6642668.2379518235, 281329.2060604995 6642668.233538065, 281324.9511498273 6642664.651226835, 281320.202268766 6642659.96508729, 281320.19866189145 6642659.961563788, 281317.18962868844 6642657.051590638, 281316.4944533435 6642657.770430842, 281319.5016742058 6642660.678651316))</t>
  </si>
  <si>
    <t>['PV99996 S1D1 m158-159']</t>
  </si>
  <si>
    <t>LINESTRING Z (281314.923095703 6642659.40899658 167.236, 281315.638916016 6642658.59899902 166.931, 281316.842041016 6642657.41101074 167.639)</t>
  </si>
  <si>
    <t>POLYGON ((281316.00232104206 6642658.942838799, 281317.19334923057 6642657.766795139, 281316.4907328014 6642657.055226342, 281315.2876078014 6642658.243214621, 281315.2642534277 6642658.2678979095, 281314.5484331147 6642659.07789547, 281315.2977582913 6642659.74009769, 281316.00232104206 6642658.942838799))</t>
  </si>
  <si>
    <t>2017-04-28</t>
  </si>
  <si>
    <t>['FV30 S20D1 m0-14', 'FV30 S19D1 m9778-9832']</t>
  </si>
  <si>
    <t>LINESTRING Z (280571.31 6912926.52 484.47, 280570.23 6912926.92 484.75, 280577.84 6912937.99 485.9, 280580.35 6912940.57 486.15, 280584.59 6912945.16 486.75, 280589.64 6912950.19 487.46, 280593.74 6912953.82 487.94, 280598.76 6912958.6 488.75, 280603.44 6912962.27 489.08, 280609.28 6912966.14 489.31, 280614.46 6912969.47 489.56, 280623.12 6912974.23 489.74, 280624.77 6912974.46 489.44, 280626.41 6912973.45 488.88, 280626.91 6912970.84 487.83, 280614.12 6912963.48 486.87, 280605.98 6912958.15 486.66, 280597.58 6912952.01 486.25, 280590.94 6912946.96 485.69, 280582.89 6912939.1 484.91)</t>
  </si>
  <si>
    <t>POLYGON Z ((280571.31 6912926.52 484.47, 280570.23 6912926.92 484.75, 280577.84 6912937.99 485.9, 280580.35 6912940.57 486.15, 280584.59 6912945.16 486.75, 280589.64 6912950.19 487.46, 280593.74 6912953.82 487.94, 280598.76 6912958.6 488.75, 280603.44 6912962.27 489.08, 280609.28 6912966.14 489.31, 280614.46 6912969.47 489.56, 280623.12 6912974.23 489.74, 280624.77 6912974.46 489.44, 280626.41 6912973.45 488.88, 280626.91 6912970.84 487.83, 280614.12 6912963.48 486.87, 280605.98 6912958.15 486.66, 280597.58 6912952.01 486.25, 280590.94 6912946.96 485.69, 280582.89 6912939.1 484.91, 280571.31 6912926.52 484.47))</t>
  </si>
  <si>
    <t>2017-05-15</t>
  </si>
  <si>
    <t>['EV39 S69D1 m5981 SD1 m51-53']</t>
  </si>
  <si>
    <t>LINESTRING Z (-9300.830078125 6780655.26000977 -999999, -9300.1298828125 6780656.13000488 -999999, -9299.43017578125 6780655.77001953 -999999, -9299.31982421875 6780655.55004883 -999999, -9298.7900390625 6780655.07995605 -999999, -9298.68017578125 6780654.66003418 -999999, -9297.9599609375 6780654.02001953 -999999, -9297.47021484375 6780653.01000977 -999999, -9297 6780651.42004395 -999999, -9297.3798828125 6780651.10998535 -999999)</t>
  </si>
  <si>
    <t>POLYGON Z ((-9300.830078125 6780655.26000977 -999999, -9300.1298828125 6780656.13000488 -999999, -9299.43017578125 6780655.77001953 -999999, -9299.31982421875 6780655.55004883 -999999, -9298.7900390625 6780655.07995605 -999999, -9298.68017578125 6780654.66003418 -999999, -9297.9599609375 6780654.02001953 -999999, -9297.47021484375 6780653.01000977 -999999, -9297 6780651.42004395 -999999, -9297.3798828125 6780651.10998535 -999999, -9300.830078125 6780655.26000977 -999999))</t>
  </si>
  <si>
    <t>['EV39 S69D1 m5981 SD1 m46-47']</t>
  </si>
  <si>
    <t>LINESTRING Z (-9302.89990234375 6780645.7199707 -999999, -9303.22021484375 6780645.54003906 -999999, -9304.89013671875 6780646.23999024 -999999, -9306.72021484375 6780647.64001465 -999999, -9307.1201171875 6780648.3100586 -999999, -9307.3798828125 6780649.2199707 -999999, -9306.68017578125 6780649.79003906 -999999)</t>
  </si>
  <si>
    <t>POLYGON Z ((-9302.89990234375 6780645.7199707 -999999, -9303.22021484375 6780645.54003906 -999999, -9304.89013671875 6780646.23999024 -999999, -9306.72021484375 6780647.64001465 -999999, -9307.1201171875 6780648.3100586 -999999, -9307.3798828125 6780649.2199707 -999999, -9306.68017578125 6780649.79003906 -999999, -9302.89990234375 6780645.7199707 -999999))</t>
  </si>
  <si>
    <t>[5400]</t>
  </si>
  <si>
    <t>['FV5400 S2D1 m9778-9846']</t>
  </si>
  <si>
    <t>LINESTRING Z (11712.17 6742544.07 597.537, 11713.41 6742544.08 598.387, 11712.72 6742544.61 598.857, 11709.59 6742546.03 598.757, 11708.72 6742546.42 598.797, 11705.69 6742548.28 598.887, 11700.98 6742551.36 598.867, 11697.59 6742552.94 598.717, 11691.52 6742556.73 598.707, 11686.87 6742559.75 598.677, 11685.52 6742560.65 598.487, 11684.38 6742561.87 598.647, 11678.73 6742565.95 598.827, 11677.48 6742566.74 598.807, 11673.04 6742570.58 598.867, 11666.31 6742576.26 599.007, 11661.97 6742580.43 599.027, 11657.34 6742584.87 598.887, 11657.38 6742584.84 598.747, 11660.92 6742581.15 598.727, 11664.72 6742577.07 597.867, 11670.38 6742571.77 596.947, 11675.38 6742567.71 596.687, 11681.25 6742563.21 596.787, 11686.15 6742559.42 596.837, 11690.41 6742556.29 596.847, 11695.67 6742553.3 596.897, 11697.91 6742552.27 596.727, 11701.22 6742550.58 597.377, 11705.68 6742547.86 597.557, 11712.17 6742544.07 597.537)</t>
  </si>
  <si>
    <t>['FV5240 S1D200 m266-358', 'FV5240 S1D300 m55-98']</t>
  </si>
  <si>
    <t>LINESTRING Z (-42828.392 6732075.557 51.482, -42826.497 6732074.671 51.497, -42823.387 6732069.777 51.28, -42821.098 6732066.569 50.998, -42818.32 6732062.712 50.766, -42813.54 6732064.973 50.327, -42809.652 6732065.645 49.475, -42806.958 6732070.244 49.216, -42805.357 6732074.93 49.03, -42803.418 6732077.77 48.647, -42802.846 6732075.98 48.895, -42803.237 6732071.915 49.207, -42803.06 6732070.386 49.224, -42802.729 6732068.847 49.179, -42800.589 6732069.055 48.892, -42802.23 6732065.113 49.253, -42805.951 6732064.659 49.563, -42810.711 6732063.204 50, -42815.642 6732060.375 50.681, -42820.297 6732057.262 50.979, -42823.083 6732062.321 51.052, -42826.781 6732069.399 51.324, -42828.914 6732070.946 51.412)</t>
  </si>
  <si>
    <t>POLYGON Z ((-42828.392 6732075.557 51.482, -42826.497 6732074.671 51.497, -42823.387 6732069.777 51.28, -42821.098 6732066.569 50.998, -42818.32 6732062.712 50.766, -42813.54 6732064.973 50.327, -42809.652 6732065.645 49.475, -42806.958 6732070.244 49.216, -42805.357 6732074.93 49.03, -42803.418 6732077.77 48.647, -42802.846 6732075.98 48.895, -42803.237 6732071.915 49.207, -42803.06 6732070.386 49.224, -42802.729 6732068.847 49.179, -42800.589 6732069.055 48.892, -42802.23 6732065.113 49.253, -42805.951 6732064.659 49.563, -42810.711 6732063.204 50, -42815.642 6732060.375 50.681, -42820.297 6732057.262 50.979, -42823.083 6732062.321 51.052, -42826.781 6732069.399 51.324, -42828.914 6732070.946 51.412, -42828.392 6732075.557 51.482))</t>
  </si>
  <si>
    <t>['FV5240 S1D200 m108-111']</t>
  </si>
  <si>
    <t>LINESTRING Z (-42870.878 6731843.068 57.655, -42872.528 6731843.224 57.473, -42877.764 6731844.548 59.399, -42879.798 6731845.658 59.932, -42877.389 6731847.046 59.5, -42872.885 6731845.026 57.574, -42872.335 6731845.169 57.594, -42870.418 6731844.39 57.536)</t>
  </si>
  <si>
    <t>POLYGON Z ((-42870.878 6731843.068 57.655, -42872.528 6731843.224 57.473, -42877.764 6731844.548 59.399, -42879.798 6731845.658 59.932, -42877.389 6731847.046 59.5, -42872.885 6731845.026 57.574, -42872.335 6731845.169 57.594, -42870.418 6731844.39 57.536, -42870.878 6731843.068 57.655))</t>
  </si>
  <si>
    <t>['FV714 S2D1 m5978-5997']</t>
  </si>
  <si>
    <t>LINESTRING Z (228867.85 7040474.67 -48.308, 228961.25 7040459.62 -48.308)</t>
  </si>
  <si>
    <t>POLYGON ((228961.32954144388 7040460.113632616, 228961.17045855612 7040459.126367385, 228867.77045855613 7040474.176367384, 228867.92954144388 7040475.1636326155, 228961.32954144388 7040460.113632616))</t>
  </si>
  <si>
    <t>2017-09-08</t>
  </si>
  <si>
    <t>['RV9 S16D1 m9082-9229']</t>
  </si>
  <si>
    <t>LINESTRING Z (73555.55 6582775.822 275.378, 73556.804 6582785.09 275.226, 73559.896 6582792.473 275.137, 73561.878 6582795.371 275.422, 73563.621 6582802.469 275.106, 73563.562 6582808.103 275.098, 73567.565 6582916.249 275.134, 73567.066 6582924.965 275.353)</t>
  </si>
  <si>
    <t>POLYGON ((73556.30851491356 6582785.157041249, 73556.31625516563 6582785.200022618, 73556.32771653938 6582785.242164599, 73556.34281159336 6582785.283145679, 73559.43481159335 6582792.66614568, 73559.45678508024 6582792.71193567, 73559.48329048752 6582792.755260267, 73561.41406552731 6582795.578361209, 73563.12036613603 6582802.526910675, 73563.06202741414 6582808.09776422, 73563.06234217186 6582808.121494723, 73567.0644705509 6582916.243946804, 73566.56681741132 6582924.936421282, 73567.56518258869 6582924.993578718, 73568.06418258869 6582916.277578718, 73568.06465782814 6582916.230505277, 73564.06209687948 6582808.096366793, 73564.12097258586 6582802.47423578, 73564.11965794022 6582802.432390456, 73564.11484718509 6582802.390801804, 73564.10657404872 6582802.349761402, 73562.36357404872 6582795.251761403, 73562.35093017209 6582795.208713056, 73562.33447820901 6582795.166971461, 73562.31435063263 6582795.126872728, 73562.29070951247 6582795.088739733, 73560.33749263028 6582792.23282524, 73557.29064800817 6582784.9576461185, 73556.04548508645 6582775.754958751, 73555.05451491356 6582775.889041249, 73556.30851491356 6582785.157041249))</t>
  </si>
  <si>
    <t>['RV9 S16D1 m9284-9484']</t>
  </si>
  <si>
    <t>LINESTRING Z (73570.706 6582979.254 275.271, 73571.852 6582982.643 275.333, 73572.71 6582987.821 275.266, 73584.46 6583157.916 275.256, 73584.758 6583163.354 275.335, 73582.685 6583167.229 275.319, 73581.884 6583176.903 275.268, 73580.5 6583179.665 275.281)</t>
  </si>
  <si>
    <t>POLYGON ((73571.36535591818 6582982.764747246, 73572.2128308208 6582987.8792286515, 73583.96094364903 6583157.946909632, 73584.25108926084 6583163.2415802255, 73582.24412308597 6583166.993145073, 73582.22236971669 6583167.039333923, 73582.20543995073 6583167.087500322, 73582.19351030597 6583167.137142063, 73582.18670516658 6583167.187741559, 73581.39368075058 6583176.7654172145, 73580.05298078863 6583179.441004856, 73580.94701921137 6583179.8889951445, 73582.33101921137 6583177.126995144, 73582.35033706423 6583177.083360036, 73582.3654071421 6583177.038082062, 73582.37609217447 6583176.991573652, 73582.38229483343 6583176.944258441, 73583.17474607995 6583167.373505184, 73585.19887691403 6583163.589854928, 73585.21848505786 6583163.54881661, 73585.23428292223 6583163.506166284, 73585.24613978772 6583163.46225686, 73585.2539575448 6583163.417451665, 73585.25767150552 6583163.37212144, 73585.25725093874 6583163.326641269, 73584.95925093874 6583157.888641269, 73584.9588112741 6583157.881542594, 73573.2088112741 6582987.786542594, 73573.2032739848 6582987.739263987, 73572.34527398479 6582982.561263987, 73572.33705102159 6582982.521651302, 73572.32565236745 6582982.482833103, 73571.17965236746 6582979.093833103, 73570.23234763255 6582979.414166897, 73571.36535591818 6582982.764747246))</t>
  </si>
  <si>
    <t>2017-10-31</t>
  </si>
  <si>
    <t>['EV16 S26D1 m1480-1481']</t>
  </si>
  <si>
    <t>LINESTRING Z (124249.67 6799514.59 914.504, 124242.97 6799518.87 913.954)</t>
  </si>
  <si>
    <t>POLYGON ((124242.70083017336 6799518.44863602, 124243.23916982664 6799519.291363981, 124249.93916982664 6799515.01136398, 124249.40083017336 6799514.168636019, 124242.70083017336 6799518.44863602))</t>
  </si>
  <si>
    <t>['EV16 S26D1 m1361-1363']</t>
  </si>
  <si>
    <t>LINESTRING Z (124170.82 6799423.25 913.094, 124161.35 6799426.6 912.794)</t>
  </si>
  <si>
    <t>POLYGON ((124161.18325150949 6799426.128624416, 124161.51674849053 6799427.071375583, 124170.98674849053 6799423.721375584, 124170.65325150949 6799422.778624416, 124161.18325150949 6799426.128624416))</t>
  </si>
  <si>
    <t>['EV16 S26D1 m1210-1211']</t>
  </si>
  <si>
    <t>LINESTRING Z (124122.39 6799272.11 912.443, 124118.71 6799273.84 912.463)</t>
  </si>
  <si>
    <t>POLYGON ((124118.49727914594 6799273.387507085, 124118.92272085407 6799274.292492915, 124122.60272085406 6799272.562492915, 124122.17727914594 6799271.657507085, 124118.49727914594 6799273.387507085))</t>
  </si>
  <si>
    <t>['EV16 S26D1 m3634-3636']</t>
  </si>
  <si>
    <t>LINESTRING Z (125160.06 6801260.35 934.945, 125159.75 6801272.11 934.445)</t>
  </si>
  <si>
    <t>POLYGON ((125159.25017362909 6801272.096824305, 125160.24982637091 6801272.123175696, 125160.55982637091 6801260.363175695, 125159.56017362908 6801260.336824304, 125159.25017362909 6801272.096824305))</t>
  </si>
  <si>
    <t>['EV16 S26D1 m2582-2583']</t>
  </si>
  <si>
    <t>LINESTRING Z (124923.36 6800372.6 914.104, 124920.06 6800372.95 912.464)</t>
  </si>
  <si>
    <t>POLYGON ((124920.00726546891 6800372.452788708, 124920.11273453108 6800373.447211293, 124923.41273453108 6800373.097211292, 124923.30726546892 6800372.102788707, 124920.00726546891 6800372.452788708))</t>
  </si>
  <si>
    <t>['EV16 S26D1 m736-739']</t>
  </si>
  <si>
    <t>LINESTRING Z (123990.2 6798821.09 914.083, 123986.28 6798824.22 914.013, 123982.32 6798828.77 913.953)</t>
  </si>
  <si>
    <t>POLYGON ((123985.96801727707 6798823.829274033, 123985.9340157346 6798823.859036168, 123985.90284003856 6798823.891746495, 123981.94284003857 6798828.441746495, 123982.69715996145 6798829.098253504, 123986.62740298102 6798824.582443975, 123990.51198272292 6798821.480725966, 123989.88801727707 6798820.699274033, 123985.96801727707 6798823.829274033))</t>
  </si>
  <si>
    <t>['EV16 S26D1 m690-693']</t>
  </si>
  <si>
    <t>LINESTRING Z (123969.95 6798782.6 914.153, 123965.78 6798782.99 913.983, 123961.3 6798782.57 913.933)</t>
  </si>
  <si>
    <t>POLYGON ((123965.78005596 6798782.487812787, 123961.34667035434 6798782.072182887, 123961.25332964567 6798783.067817113, 123965.73332964566 6798783.487817113, 123965.77994428352 6798783.489999997, 123965.82655940672 6798783.487827502, 123969.99655940672 6798783.097827502, 123969.90344059328 6798782.102172498, 123965.78005596 6798782.487812787))</t>
  </si>
  <si>
    <t>['EV16 S26D1 m638-643']</t>
  </si>
  <si>
    <t>LINESTRING Z (123946.21 6798731.05 914.183, 123944.3 6798732.16 914.073, 123942.01 6798737.9 913.823, 123940.97 6798738.36 913.803)</t>
  </si>
  <si>
    <t>POLYGON ((123944.04876845282 6798731.727700671, 123944.00890933555 6798731.753470511, 123943.97167333389 6798731.782903725, 123943.93739599401 6798731.81573508, 123943.90638620053 6798731.851668722, 123943.87892339309 6798731.890380841, 123943.85525504827 6798731.931522588, 123943.83559444961 6798731.974723222, 123941.62118576327 6798737.525249798, 123940.76774699263 6798737.902732331, 123941.17225300737 6798738.817267669, 123942.21225300737 6798738.357267669, 123942.25551979098 6798738.335568631, 123942.2964856979 6798738.309787683, 123942.33476681805 6798738.2801664295, 123942.37000440179 6798738.246982465, 123942.40186822182 6798738.210546771, 123942.4300596679 6798738.1712008035, 123942.45431454526 6798738.12931329, 123942.47440555038 6798738.085276779, 123944.7004519869 6798732.505579597, 123946.46123154719 6798731.482299329, 123945.95876845282 6798730.617700671, 123944.04876845282 6798731.727700671))</t>
  </si>
  <si>
    <t>[779]</t>
  </si>
  <si>
    <t>['FV779 S1D250 m824-826']</t>
  </si>
  <si>
    <t>LINESTRING Z (417957.446044922 7300993.10302734 -0.06, 417951.989990234 7300989.44000244 0.246, 417945.395996094 7300988.03900147 3.934)</t>
  </si>
  <si>
    <t>POLYGON ((417952.26869022596 7300989.024880392, 417952.22784759925 7300989.000202629, 417952.1848384611 7300988.979530759, 417952.1400545579 7300988.963053073, 417952.0939038016 7300988.950919654, 417945.49990966154 7300987.549918685, 417945.29208252643 7300988.528084256, 417951.7915350009 7300989.908998315, 417957.16734493006 7300993.518149388, 417957.7247449139 7300992.687905292, 417952.26869022596 7300989.024880392))</t>
  </si>
  <si>
    <t>['FV779 S1D250 m834-835']</t>
  </si>
  <si>
    <t>LINESTRING Z (417959.95703125 7300971.03302002 2.505, 417956.369995117 7300972.36700439 1.889, 417953.334960938 7300971.76397705 1.994, 417949.583007813 7300969.44897461 3.684)</t>
  </si>
  <si>
    <t>POLYGON Z ((417959.95703125 7300971.03302002 2.505, 417956.369995117 7300972.36700439 1.889, 417953.334960938 7300971.76397705 1.994, 417949.583007813 7300969.44897461 3.684, 417959.95703125 7300971.03302002 2.505))</t>
  </si>
  <si>
    <t>2017-11-08</t>
  </si>
  <si>
    <t>['RV7 S11D1 m4454-4488']</t>
  </si>
  <si>
    <t>LINESTRING Z (173537.88 6743945.93 200.48, 173541.88 6743939.22 200.68, 173544.93 6743931.09 200.9, 173546.98 6743925.1 201.08, 173550.13 6743913.64 201.42)</t>
  </si>
  <si>
    <t>POLYGON ((173542.30947890086 6743939.47602319, 173542.33060660274 6743939.436688, 173542.34814092075 6743939.395624822, 173545.39814092073 6743931.265624822, 173545.40306289407 6743931.251899655, 173547.45306289408 6743925.261899655, 173547.4621188265 6743925.232519573, 173550.61211882648 6743913.772519573, 173549.64788117353 6743913.507480427, 173546.50195729418 6743924.952651111, 173544.45929801607 6743930.92120188, 173541.4275895134 6743939.002444545, 173537.45052109915 6743945.67397681, 173538.30947890086 6743946.18602319, 173542.30947890086 6743939.47602319))</t>
  </si>
  <si>
    <t>2017-11-13</t>
  </si>
  <si>
    <t>['FV6140 S1D1 m9962-9997']</t>
  </si>
  <si>
    <t>LINESTRING Z (184663.66 6959494.22 82.071, 184662.64 6959494.11 81.931, 184662.89 6959492.4 81.391, 184666.71 6959493.64 81.251, 184669.2 6959495.67 81.331, 184673.41 6959496.17 81.081, 184676.23 6959497.28 81.171, 184680.83 6959496.86 81.431, 184684.57 6959497.08 81.601, 184687.43 6959497.04 81.641, 184691.44 6959495.54 81.311, 184694.07 6959495.74 81.361, 184693.92 6959496.81 82.151, 184691 6959497.61 82.211, 184686.37 6959498.68 82.321, 184682.15 6959498.22 82.201, 184679.02 6959498.32 82.111, 184676.29 6959498.67 82.301, 184673.91 6959498.36 82.081, 184671.34 6959497.53 82.251, 184668.7 6959496.95 82.201, 184666.85 6959496.04 82.171, 184665.97 6959494.84 81.931, 184665.49 6959494.96 82.121, 184663.66 6959494.22 82.071, 184666.22 6959494.22 82.241, 184668.9 6959496.13 82.111, 184671.99 6959497.12 82.151, 184673.71 6959497.28 82.291, 184677.25 6959498.1 82.251, 184680.81 6959497.46 82.381)</t>
  </si>
  <si>
    <t>2022-03-18</t>
  </si>
  <si>
    <t>['EV6 S140D1 m6957-7027']</t>
  </si>
  <si>
    <t>LINESTRING Z (518784.71 7454833.75 12.031, 518786.34 7454829.9 11.271, 518787.35 7454826.65 10.501, 518787.32 7454824.41 9.731, 518789.07 7454823.8 10.021, 518791.18 7454824.58 10.721, 518794.31 7454823.57 11.561, 518797.03 7454823.66 12.191, 518798.21 7454823.49 12.561, 518801.95 7454823.35 14.371, 518806.16 7454821.51 14.831, 518810.58 7454818.52 15.011, 518816.27 7454814.99 15.201, 518823.3 7454810.28 15.361, 518827.36 7454808.1 15.811, 518832.33 7454806.4 16.341, 518836.67 7454804.84 17.541, 518841.12 7454802.95 18.311, 518843.67 7454801.95 18.551, 518847.37 7454800.25 19.321)</t>
  </si>
  <si>
    <t>POLYGON ((518786.80043409276 7454830.094937032, 518786.8174746688 7454830.0483844355, 518787.82747466874 7454826.7983844355, 518787.840386984 7454826.747573593, 518787.8479080442 7454826.695690038, 518787.84995516384 7454826.643304172, 518787.8247799264 7454824.763553107, 518789.06503639335 7454824.331235139, 518791.0066324178 7454825.048981536, 518791.05198489275 7454825.06333439, 518791.09849608445 7454825.073312388, 518791.14574500115 7454825.078825215, 518791.19330397376 7454825.079822973, 518791.24074252666 7454825.07629663, 518791.2876312743 7454825.068278106, 518791.33354580763 7454825.055839978, 518794.38058756484 7454824.072609251, 518797.0134649315 7454824.159726517, 518797.0574879164 7454824.159243843, 518797.10129778663 7454824.154890519, 518798.25512647897 7454823.988660961, 518801.96870347817 7454823.849650057, 518802.0153479683 7454823.845711249, 518802.06141969067 7454823.837427586, 518802.1065148316 7454823.824871674, 518802.1502381373 7454823.808153564, 518806.36023813725 7454821.968153564, 518806.40120235604 7454821.947974226, 518806.44015468383 7454821.924141706, 518810.851977562 7454818.939673288, 518816.53358848643 7454815.414877759, 518816.5483038645 7454815.405387722, 518823.5580311342 7454810.708970163, 518827.5605087266 7454808.559856578, 518832.4918214141 7454806.873089664, 518832.49912936776 7454806.870526575, 518836.8391293677 7454805.310526574, 518836.86546081916 7454805.300211982, 518841.3090391033 7454803.412939408, 518843.8525437644 7454802.415486599, 518843.8787500858 7454802.404338422, 518847.5787500858 7454800.704338422, 518847.1612499142 7454799.795661578, 518843.4741942634 7454801.4897141745, 518840.9374562356 7454802.484513401, 518840.9245391808 7454802.489788018, 518836.4875589988 7454804.374258253, 518832.1645146563 7454805.928163593, 518827.1981785859 7454807.626910336, 518827.160158362 7454807.641673348, 518827.1234678716 7454807.659486036, 518823.06346787163 7454809.839486036, 518823.0216961355 7454809.8646122785, 518815.9989707254 7454814.569738407, 518810.3164115136 7454818.0951222405, 518810.29984531616 7454818.105858293, 518805.9177874883 7454821.07019153, 518801.83659672993 7454822.853894854, 518798.19129652187 7454822.990349943, 518798.1387022134 7454822.995109482, 518797.0024051161 7454823.158813301, 518794.3265350685 7454823.070273483, 518794.2833991942 7454823.070708104, 518794.2404613248 7454823.07485924, 518794.1980410715 7454823.08269599, 518794.15645419236 7454823.094160022, 518791.1910974164 7454824.051032336, 518789.2433675822 7454823.331018464, 518789.1964079296 7454823.316242793, 518789.1482228635 7454823.306156721, 518789.0992794958 7454823.3008580245, 518789.05005228915 7454823.300398069, 518789.001018458 7454823.304781314, 518788.95265334204 7454823.313965267, 518788.90542579844 7454823.327860897, 518787.15542579844 7454823.937860898, 518787.1109003193 7454823.955822366, 518787.0683028502 7454823.977971593, 518787.0280261623 7454824.004104351, 518786.9904416281 7454824.033979682, 518786.95589579694 7454824.06732212, 518786.92470719974 7454824.10382423, 518786.8971634118 7454824.143149443, 518786.8735184016 7454824.18493516, 518786.8539901885 7454824.228796094, 518786.8387588332 7454824.274327824, 518786.8279647767 7454824.321110523, 518786.821707546 7454824.368712831, 518786.82004483615 7454824.416695829, 518786.8489824675 7454826.577372305, 518785.8698903135 7454829.7279163655, 518784.2495659073 7454833.555062968, 518785.17043409275 7454833.944937032, 518786.80043409276 7454830.094937032))</t>
  </si>
  <si>
    <t>['PV98545 S1D1 m8-13', 'FV864 S2D100 m2431-2572']</t>
  </si>
  <si>
    <t>LINESTRING Z (658199.46 7738350.2 8.145, 658183.53 7738283.68 9.195, 658177.02 7738252.08 9.935, 658172.29 7738235.39 10.585, 658169.16 7738223.09 10.635, 658167.33 7738215.98 10.485)</t>
  </si>
  <si>
    <t>POLYGON ((658184.0181076264 7738283.5713055795, 658177.5097159141 7738251.979112322, 658177.5010545426 7738251.943667586, 658172.7728937106 7738235.260157166, 658169.6445571473 7738222.966693994, 658169.6442182946 7738222.965369974, 658167.8142182946 7738215.855369975, 658166.8457817053 7738216.104630026, 658168.6756113743 7738223.213968247, 658171.8054428528 7738235.513306006, 658171.8089454575 7738235.526332414, 658176.5339676932 7738252.198768168, 658183.0402840859 7738283.780887677, 658183.0437486817 7738283.796445933, 658198.9737486816 7738350.316445934, 658199.9462513183 7738350.083554067, 658184.0181076264 7738283.5713055795))</t>
  </si>
  <si>
    <t>['FV864 S2D100 m2592-2619']</t>
  </si>
  <si>
    <t>LINESTRING Z (658209.18 7738396.56 7.386, 658203.42 7738369.94 7.835)</t>
  </si>
  <si>
    <t>POLYGON ((658203.9086906789 7738369.834257765, 658202.9313093212 7738370.045742236, 658208.6913093212 7738396.665742235, 658209.6686906789 7738396.454257764, 658203.9086906789 7738369.834257765))</t>
  </si>
  <si>
    <t>['FV864 S2D100 m2626-2659']</t>
  </si>
  <si>
    <t>LINESTRING Z (658216.33 7738435.06 6.726, 658210.48 7738402.98 7.236)</t>
  </si>
  <si>
    <t>POLYGON ((658210.9718882754 7738402.890300923, 658209.9881117246 7738403.069699078, 658215.8381117246 7738435.149699077, 658216.8218882753 7738434.970300922, 658210.9718882754 7738402.890300923))</t>
  </si>
  <si>
    <t>2017-10-09</t>
  </si>
  <si>
    <t>2025-11-22T09:21:40Z</t>
  </si>
  <si>
    <t>['EV18 S35D10 m337-560']</t>
  </si>
  <si>
    <t>LINESTRING Z (226591.170043945 6569488.67004395 117.007, 226592.310058594 6569489.06994629 116.957, 226593.459960938 6569489.48999024 116.897, 226594.58996582 6569489.93005371 116.837, 226595.729980469 6569490.36999512 116.787, 226596.859985352 6569490.82995606 116.727, 226597.989990234 6569491.30004883 116.677, 226599.109985352 6569491.77001953 116.627, 226600.229980469 6569492.25 116.577, 226601.33996582 6569492.73999023 116.527, 226602.449951172 6569493.25 116.477, 226603.560058594 6569493.76000977 116.427, 226604.650024414 6569494.2800293 116.367, 226605.760009766 6569494.82995606 116.317, 226606.869995117 6569495.38000488 116.267, 226609.069946289 6569496.48999024 116.167, 226613.530029297 6569498.75 115.937, 226618 6569501.01000977 115.677, 226622.459960938 6569503.27001953 115.427, 226626.930053711 6569505.5300293 115.167, 226631.390014648 6569507.79003906 114.917, 226635.859985352 6569510.05004883 114.667, 226640.319946289 6569512.31005859 114.407, 226642.560058594 6569513.43005371 114.277, 226644.800048828 6569514.56994629 114.157, 226647.040039063 6569515.68994141 114.037, 226649.290039063 6569516.81994629 113.917, 226651.540039063 6569517.92004395 113.807, 226653.800048828 6569519.0300293 113.697, 226656.060058594 6569520.11999512 113.597, 226658.319946289 6569521.22998047 113.497, 226660.599975586 6569522.31005859 113.397, 226662.869995117 6569523.39001465 113.307, 226665.150024414 6569524.44995117 113.217, 226667.41003418 6569525.52001953 113.137, 226669.699951172 6569526.56994629 113.057, 226671.979980469 6569527.63000488 112.977, 226674.270019531 6569528.67004395 112.907, 226676.560058594 6569529.69995117 112.837, 226678.859985352 6569530.72998047 112.767, 226681.150024414 6569531.76000977 112.707, 226682.989990234 6569532.56994629 112.667, 226684.829956055 6569533.38000488 112.617, 226685.75 6569533.7800293 112.597, 226688.060058594 6569534.77001953 112.547, 226690.359985352 6569535.76000977 112.507, 226694.969970703 6569537.72998047 112.417, 226697.290039063 6569538.70996094 112.377, 226699.619995117 6569539.68994141 112.337, 226701.959960937 6569540.65002441 112.287, 226704.310058594 6569541.59997559 112.247, 226706.650024414 6569542.52001953 112.207, 226708.349975586 6569543.17004395 112.177, 226708.33996582 6569543.19995117 112.087, 226712.569946289 6569544.75 112.037, 226716.959960937 6569546.35998535 111.977, 226720.800048828 6569547.81994629 111.897, 226722.91003418 6569548.51000977 111.847, 226725.650024414 6569549.48999024 111.697, 226727.219970703 6569549.95996094 111.557, 226727.569946289 6569549.85998535 111.617, 226727.949951172 6569550.22998047 111.597, 226728.260009766 6569550.35998535 111.577, 226731.329956055 6569551.29003906 111.617, 226736.729980469 6569553.06005859 111.637, 226740.449951172 6569554.22998047 111.507, 226742.079956055 6569554.73999024 111.417, 226743.459960938 6569554.9699707 111.507, 226746.569946289 6569555.69995117 111.547, 226747.099975586 6569555.84997559 111.567, 226749.33996582 6569556.40002441 111.528, 226752.719970703 6569557.23999023 111.578, 226754.849975586 6569557.75 111.578, 226759.209960938 6569558.60998535 111.548, 226761.770019531 6569559.15002441 111.638, 226766.300048828 6569560.13000488 111.508, 226768.849975586 6569560.68994141 111.448, 226774.530029297 6569561.81005859 111.438, 226775.130004883 6569561.90002441 111.428, 226775.380004883 6569561.84997559 111.438, 226775.890014648 6569562.06005859 111.418, 226776.939941406 6569562.33996582 111.458, 226778.130004883 6569562.45996094 111.458, 226781.579956055 6569562.94995117 111.418, 226784.599975586 6569563.22998047 111.438, 226787.630004883 6569563.69995117 111.448, 226789.959960938 6569563.94995117 111.498, 226791.170043945 6569564.10998535 111.398, 226794.189941406 6569564.73999024 111.388, 226794.869995117 6569564.91003418 111.408, 226797.33996582 6569565.69995117 111.378, 226799.400024414 6569566.56005859 111.388, 226801.08996582 6569567.26000977 111.408, 226802.369995117 6569568.0300293 111.308, 226803.890014648 6569568.84997559 111.308, 226805.869995117 6569570.07995606 111.498, 226806.619995117 6569571.88000488 112.548)</t>
  </si>
  <si>
    <t>POLYGON ((226592.1415206639 6569489.540696001, 226593.28344122288 6569489.957824311, 226594.40852168633 6569490.39597004, 226594.40995090225 6569490.396524105, 226595.54570576007 6569490.834821626, 226596.6697060341 6569491.29233843, 226597.7972318711 6569491.761399893, 226598.9147723807 6569492.230340594, 226600.0305376263 6569492.708508328, 226601.1346162013 6569493.1958910795, 226602.24119550956 6569493.70433586, 226603.34802894972 6569494.212841485, 226604.43137755015 6569494.729703958, 226605.53801618435 6569495.277972634, 226606.64637258908 6569495.827214235, 226608.8443308154 6569496.936194055, 226613.30402825118 6569499.196008438, 226617.77419544142 6569501.456117775, 226622.2339549703 6569503.7160254745, 226626.70425184135 6569505.976138667, 226631.16400868027 6569508.236045004, 226635.63418076746 6569510.496156822, 226640.09394032127 6569512.756064534, 226640.096349239 6569512.757277059, 226642.33487335307 6569513.876478127, 226644.5732809479 6569515.015565329, 226644.57644202985 6569515.017159886, 226646.81603507383 6569516.1369564105, 226649.065637505 6569517.266761621, 226649.07041826154 6569517.269130778, 226651.32001830873 6569518.369032888, 226653.5796280659 6569519.478821777, 226653.58284777892 6569519.480388828, 226655.8412401329 6569520.569574596, 226658.09951593468 6569521.678768235, 226658.10589271804 6569521.681844464, 226660.38554696462 6569522.761744918, 226662.65519138734 6569523.841522521, 226662.65921839405 6569523.843416429, 226664.9376495606 6569524.902610012, 226667.19606655632 6569525.971924229, 226667.20164425622 6569525.974523259, 226669.4903564132 6569527.023897602, 226671.7691837858 6569528.083397379, 226671.77322527338 6569528.08525458, 226674.06326433536 6569529.12529365, 226674.06493826862 6569529.126050173, 226676.35497733165 6569530.155957393, 226676.35569129672 6569530.156277816, 226678.655250628 6569531.186142562, 226680.94492293242 6569532.2160069, 226680.94858185406 6569532.217635049, 226682.78853268345 6569533.02756497, 226684.62848806352 6569533.837618963, 226684.6305907723 6569533.83853894, 226685.5506347173 6569534.23856336, 226685.55304621335 6569534.239604327, 226687.86273862157 6569535.229437626, 226690.1622993032 6569536.219270291, 226690.1635092335 6569536.219789212, 226694.77349458451 6569538.189759911, 226694.77541795568 6569538.19057707, 226697.09548631567 6569539.170557541, 226697.09618761658 6569539.170853137, 226699.4261436706 6569540.150833607, 226699.4302005221 6569540.152518984, 226701.7701663421 6569541.112601984, 226701.77258131996 6569541.113585494, 226704.12267897697 6569542.063536674, 226704.12709948138 6569542.065299094, 226706.46706530137 6569542.985343034, 226706.47144535303 6569542.987041499, 226708.01035621006 6569543.575487598, 226708.0411791991 6569543.600858335, 226708.0811573365 6569543.627757398, 226708.12353909155 6569543.65068332, 226708.1679308545 6569543.6694231825, 226712.39784973083 6569545.219449442, 226716.7850333224 6569546.8283965355, 226720.62236257657 6569548.2873086715, 226720.64462637831 6569548.295176615, 226722.7481008461 6569548.983110733, 226725.4816409831 6569549.960784271, 226725.5066341001 6569549.968988379, 226727.0765803891 6569550.43895908, 226727.1225912827 6569550.45038652, 226727.16947765189 6569550.457404858, 226727.21681797152 6569550.459951, 226727.26418663532 6569550.458002054, 226727.3111577822 6569550.451575542, 226727.35730912493 6569550.44072924, 226727.4287157453 6569550.420330905, 226727.60114749288 6569550.588220604, 226727.63621768134 6569550.619302055, 226727.67404367295 6569550.646963745, 226727.71429320812 6569550.670962696, 226727.75661273912 6569550.691088104, 226728.06667133313 6569550.821092984, 226728.11503933894 6569550.838507633, 226731.17958310328 6569551.766924624, 226736.574243291 6569553.535185869, 226736.57997519337 6569553.537026532, 226740.29994589635 6569554.706948412, 226740.30064479442 6569554.707167651, 226741.93064967744 6569555.217177421, 226741.99776363885 6569555.233188381, 226743.36163180612 6569555.460479627, 226746.4446669134 6569556.184134295, 226746.9638007996 6569556.331074776, 226746.98073861416 6569556.335550037, 226749.22005326726 6569556.885432963, 226752.59938337983 6569557.725231095, 226752.6035414132 6569557.726245534, 226754.7335462962 6569558.236255304, 226754.7532173405 6569558.240548511, 226759.10997606898 6569559.099897426, 226761.66555779055 6569559.638992099, 226766.19356911432 6569560.618536021, 226768.74273603325 6569561.178305699, 226768.7532377128 6569561.180493939, 226774.4332914238 6569562.300611119, 226774.45588366833 6569562.304530456, 226775.05585925432 6569562.394496276, 226775.09890780572 6569562.399056445, 226775.14218945737 6569562.399875924, 226775.1853797748 6569562.396948571, 226775.22815500808 6569562.390296328, 226775.32962693265 6569562.369982127, 226775.69957853263 6569562.522372429, 226775.76121478644 6569562.543184449, 226776.81114154443 6569562.823091679, 226776.85017366498 6569562.831841569, 226776.88978032317 6569562.837443323, 226778.06974526233 6569562.956420199, 226781.50964756406 6569563.444983206, 226781.5337919183 6569563.447815482, 226784.53851766605 6569563.726426675, 226787.55336906118 6569564.194043217, 226787.5766619893 6569564.197097562, 226789.9005032403 6569564.446441455, 226791.0860959391 6569564.603236778, 226794.0781986742 6569565.227443188, 226794.7330560502 6569565.3911869135, 226797.1671733405 6569566.169637687, 226799.2073828617 6569567.021457802, 226799.20869330678 6569567.02200275, 226800.86418100772 6569567.707683666, 226802.11225469463 6569568.458479851, 226802.1326144028 6569568.470086564, 226803.6391694375 6569569.282769682, 226805.47007037938 6569570.4201407, 226806.15845480378 6569572.072308128, 226807.08153543025 6569571.687701632, 226806.33153543025 6569569.8876528125, 226806.3092316771 6569569.841060175, 226806.2822398091 6569569.79701735, 226806.2508479194 6569569.755994422, 226806.21539106383 6569569.718429242, 226806.17624768495 6569569.684722756, 226806.1338355729 6569569.655234723, 226804.15385510388 6569568.425254253, 226804.12739536221 6569568.409918325, 226802.6176917329 6569567.595536756, 226801.34770624238 6569566.831559219, 226801.31512524173 6569566.813575862, 226801.28129692722 6569566.79806561, 226799.59201129078 6569566.098386041, 226797.5326073723 6569565.238551958, 226797.49227084182 6569565.223712595, 226795.02230013884 6569564.433795605, 226794.99128341267 6569564.424968051, 226794.31122970165 6569564.254924111, 226794.2920520548 6569564.250527866, 226791.2721545938 6569563.620522976, 226791.23559843894 6569563.6143013695, 226790.02551543195 6569563.45426719, 226790.01330383169 6569563.452804778, 226787.69503014183 6569563.204058274, 226784.6766114078 6569562.7358884225, 226784.6461397227 6569562.732116158, 226781.63822680665 6569562.4532094365, 226778.20031337393 6569561.964928905, 226778.1801659658 6569561.962483438, 226777.0299973388 6569561.84651095, 226776.0503110382 6569561.585329608, 226775.57044099836 6569561.38766175, 226775.52426723234 6569561.371239363, 226775.47670756018 6569561.359416121, 226775.4282188803 6569561.352305608, 226775.37926701596 6569561.3499761345, 226775.3303222402 6569561.352450077, 226775.2818547579 6569561.359703672, 226775.11763521278 6569561.3925796505, 226774.61551598052 6569561.317287305, 226768.9519760572 6569560.200426675, 226766.40728838075 6569559.641640591, 226766.40576826668 6569559.641309269, 226761.87573896965 6569558.661328799, 226761.8732222767 6569558.660791139, 226759.31316368372 6569558.1207520785, 226759.30671918349 6569558.119436839, 226754.956612592 6569557.261400025, 226752.83848117045 6569556.754233244, 226749.46055314317 6569555.914783545, 226749.45920279183 6569555.914449963, 226747.22772067506 6569555.366490384, 226746.7061210754 6569555.218851984, 226746.68420183402 6569555.213180515, 226743.57421648302 6569554.483200045, 226743.54215335415 6569554.476772559, 226742.1962591282 6569554.252476705, 226740.59960733796 6569553.752902733, 226736.8828571824 6569552.583993709, 226731.48569323303 6569550.814911781, 226731.47492648207 6569550.811516777, 226728.4296124078 6569549.888925504, 226728.23078140695 6569549.80555739, 226727.9187499681 6569549.501745216, 226727.8830075036 6569549.470122969, 226727.84441306378 6569549.442052353, 226727.80331824234 6569549.41778909, 226727.76009741152 6569549.397554219, 226727.71514431137 6569549.381532077, 226727.6688684629 6569549.369868625, 226727.6216914373 6569549.362670118, 226727.5740430154 6569549.360002133, 226727.52635727247 6569549.361888976, 226727.4790686238 6569549.368313457, 226727.4326078671 6569549.37921705, 226727.22325553157 6569549.439021574, 226725.80601922964 6569549.014765317, 226723.0784176109 6569548.039215739, 226723.0654566297 6569548.034779445, 226720.96669609644 6569547.348387004, 226717.13764718844 6569545.892622968, 226717.1321177935 6569545.890558021, 226712.7421031455 6569544.280572671, 226708.67371035213 6569542.789736577, 226708.65329518743 6569542.772555309, 226708.61399604622 6569542.745434486, 226708.57228907905 6569542.722186036, 226708.52855464697 6569542.703021982, 226706.83079754122 6569542.053836525, 226704.49523208107 6569541.135522748, 226702.1485494303 6569540.186951975, 226699.81182185138 6569539.228197618, 226697.48424105 6569538.249216181, 226695.16548596843 6569537.26979043, 226690.557066698 6569535.300488959, 226688.25774464282 6569534.31075901, 226688.25701238067 6569534.310444503, 226685.9481609782 6569533.320971622, 226685.0303737967 6569532.921928417, 226683.19145822548 6569532.112332207, 226681.35329968986 6569531.303191237, 226679.06508683358 6569530.27398334, 226679.0643526493 6569530.273653824, 226676.76478301335 6569529.243784462, 226674.47593849464 6569528.214414469, 226672.1887605247 6569527.175674786, 226669.9107478552 6569526.116553791, 226669.90834109578 6569526.115442561, 226667.62122097175 6569525.066798165, 226665.3639920377 6569523.998046472, 226665.36080113697 6569523.996549391, 226663.08278954806 6569522.93755086, 226660.81477931567 6569521.858550719, 226660.81402915696 6569521.858194596, 226658.5371991051 6569520.779631997, 226656.28048894834 6569519.671207354, 226656.2772596431 6569519.669635592, 226654.01886250934 6569518.580447518, 226651.7604598251 6569517.471251473, 226651.75965986444 6569517.470859462, 226649.51205650918 6569516.371933599, 226647.264440621 6569515.2431260785, 226647.26364586115 6569515.242727814, 226645.025238888 6569514.123524325, 226642.78682647413 6569512.984434671, 226642.78365564402 6569512.982835241, 226640.54474936452 6569511.863443101, 226636.08599131973 6569509.604042886, 226631.61581923254 6569507.343931068, 226627.15605967873 6569505.0840233555, 226622.68576279478 6569502.823910156, 226618.2260059677 6569500.564003826, 226613.75583142004 6569498.303890764, 226609.29594733482 6569496.043981802, 226609.2951764996 6569496.04359204, 226607.09522532762 6569494.9336066805, 226607.09200415097 6569494.931995964, 226605.98201879996 6569494.381947144, 226604.8719938928 6569493.832000785, 226604.86532465267 6569493.828757976, 226603.77535883267 6569493.308738447, 226603.76879530208 6569493.305665202, 226602.65868788006 6569492.795655432, 226601.54872148242 6569492.28565437, 226601.54188623358 6569492.282575597, 226600.4319008826 6569491.792585367, 226600.4269340733 6569491.790424895, 226599.3069389563 6569491.310444425, 226599.3034520769 6569491.308965709, 226598.1834569589 6569490.838995009, 226598.18203939748 6569490.838402733, 226597.05203451548 6569490.3683099635, 226597.04848917836 6569490.366850989, 226595.91848429537 6569489.906890049, 226595.90999538676 6569489.903524725, 226594.77069576245 6569489.463859249, 226593.64140507166 6569489.02407391, 226593.6315168146 6569489.020342945, 226592.48161447063 6569488.600298995, 226592.47556456836 6569488.598133009, 226591.33554991934 6569488.198230669, 226591.00453797064 6569489.141857231, 226592.1415206639 6569489.540696001))</t>
  </si>
  <si>
    <t>['EV18 S35D10 m544-564']</t>
  </si>
  <si>
    <t>LINESTRING Z (226787.75 6569544.34997559 110.038, 226788.609985352 6569543.68005371 110.198, 226789.989990234 6569542.88000488 110.358, 226790.810058594 6569542.61999512 110.398, 226793.359985352 6569542.31005859 110.438, 226797.150024414 6569541.67004395 110.348, 226799.880004883 6569541.26000977 110.358, 226801.91003418 6569540.56994629 110.318, 226804.189941406 6569539.48999023 110.298, 226806.479980469 6569538.0300293 110.248, 226807.25 6569537.4699707 110.208, 226808.680053711 6569536.14001465 110.178, 226809.290039063 6569535.09997559 110.148, 226811.079956055 6569532.11999512 110.148, 226811.859985352 6569530.06005859 110.238, 226813.33996582 6569525 110.338)</t>
  </si>
  <si>
    <t>POLYGON ((226788.89030967723 6569544.095487012, 226790.19335053608 6569543.340057571, 226790.9167016913 6569543.110712837, 226793.42031495352 6569542.806405584, 226793.44324041376 6569542.803078462, 226797.22879116575 6569542.163821752, 226799.95427024862 6569541.754463666, 226799.9980683296 6569541.7458708845, 226800.04092563 6569541.733406552, 226802.070954927 6569541.043343072, 226802.12407735334 6569541.021815209, 226804.40398457932 6569539.941859148, 226804.45872806408 6569539.9115987355, 226806.7487671271 6569538.451637805, 226806.77408156556 6569538.434386252, 226807.54410109654 6569537.874327653, 226807.59050715834 6569537.836105751, 226809.02056086934 6569536.506149701, 226809.05444325882 6569536.471424467, 226809.08480060875 6569536.433578866, 226809.11134709153 6569536.392969231, 226809.7200095251 6569535.355185777, 226811.50858008032 6569532.37744695, 226811.5298663282 6569532.338125233, 226811.5475545505 6569532.297059083, 226812.32758384748 6569530.237122553, 226812.33987992935 6569530.200419534, 226813.81986039734 6569525.140360944, 226812.86007124264 6569524.859639056, 226811.3855279341 6569529.901107978, 226810.6282395463 6569531.90098929, 226808.86141503768 6569534.842523759, 226808.85874568246 6569534.847021009, 226808.28585478282 6569535.823813175, 226806.93154483725 6569537.0833272, 226806.19827221925 6569537.616658653, 226803.9475782347 6569539.051536047, 226801.72193422948 6569540.105788476, 226799.76146916344 6569540.772205138, 226797.07575904837 6569541.175590054, 226797.06676935224 6569541.177024078, 226793.28815446698 6569541.815109544, 226790.7497289925 6569542.123648126, 226790.70387673393 6569542.131399773, 226790.658942956 6569542.143377806, 226789.838874596 6569542.403387566, 226789.78784077603 6569542.422691424, 226789.73921422433 6569542.4474411355, 226788.35920934234 6569543.2474899655, 226788.30271666634 6569543.285609855, 226787.44273131434 6569543.955531735, 226788.05726868566 6569544.744419444, 226788.89030967723 6569544.095487012))</t>
  </si>
  <si>
    <t>['FV38 S12D1 m1367-1368']</t>
  </si>
  <si>
    <t>LINESTRING Z (128792.79 6594181.58 259.465, 128794.41 6594177.43 257.075)</t>
  </si>
  <si>
    <t>POLYGON ((128794.87577026586 6594177.611818754, 128793.94422973414 6594177.248181245, 128792.32422973413 6594181.398181246, 128793.25577026585 6594181.7618187545, 128794.87577026586 6594177.611818754))</t>
  </si>
  <si>
    <t>['FV38 S12D1 m987-988']</t>
  </si>
  <si>
    <t>LINESTRING Z (129146.97 6594310.42 252.117, 129149.23 6594305.24 249.517)</t>
  </si>
  <si>
    <t>POLYGON ((129149.68828148129 6594305.439945202, 129148.7717185187 6594305.040054798, 129146.51171851871 6594310.220054798, 129147.42828148129 6594310.619945202, 129149.68828148129 6594305.439945202))</t>
  </si>
  <si>
    <t>['FV38 S12D1 m803-804']</t>
  </si>
  <si>
    <t>LINESTRING Z (129324.57 6594359.6 249.948, 129327.52 6594349.26 246.628)</t>
  </si>
  <si>
    <t>POLYGON ((129328.00081458053 6594349.397176307, 129327.03918541947 6594349.122823693, 129324.08918541948 6594359.462823693, 129325.05081458054 6594359.737176307, 129328.00081458053 6594349.397176307))</t>
  </si>
  <si>
    <t>2018-01-17</t>
  </si>
  <si>
    <t>[6922]</t>
  </si>
  <si>
    <t>['FV6922 S2D1 m138-177']</t>
  </si>
  <si>
    <t>LINESTRING Z (285987.6379299838 7082817.668155264 108.754, 285990.8503764544 7082819.445489847 108.644, 285994.1851675267 7082821.241438246 108.574, 285997.6400568094 7082822.925573169 108.514, 285999.945384506 7082824.034735885 108.414, 286002.62072925956 7082825.551179516 108.374, 286005.0888147031 7082826.574654664 108.134, 286008.83313285094 7082828.131012897 107.994, 286012.1239566766 7082829.78036831 107.974, 286015.5563456429 7082830.692838834 107.684, 286019.21742469387 7082832.00581496 107.434, 286022.17998787 7082832.731445868 106.804)</t>
  </si>
  <si>
    <t>POLYGON ((285990.60832109663 7082819.882993223, 285990.61329669517 7082819.885709324, 285993.94808776747 7082821.681657723, 285993.966079395 7082821.6908827815, 285997.4209686777 7082823.375017704, 285997.423277506 7082823.376135855, 285999.71345421544 7082824.478008974, 286002.37417190894 7082825.986161669, 286002.42920216394 7082826.013042452, 286004.8970956035 7082827.036437979, 286008.6248997925 7082828.5859320415, 286011.8999214587 7082830.227367439, 286011.94678175304 7082830.247924774, 286011.9954977712 7082830.263584939, 286015.4074559122 7082831.170624106, 286019.0486355149 7082832.4764636755, 286019.098474055 7082832.49145963, 286022.0610372311 7082833.217090538, 286022.29893850884 7082832.245801197, 286019.3616853696 7082831.526369565, 286015.72513482184 7082830.222190118, 286015.6848045483 7082830.209622205, 286012.30206434574 7082829.310350371, 286009.05716806883 7082827.684013768, 286009.02504391497 7082827.669309374, 286005.28072576714 7082826.112951141, 286002.8405961868 7082825.10106865, 286000.19194185664 7082823.599753733, 286000.1621638094 7082823.5841732, 285997.8579918788 7082822.475566558, 285994.41334475845 7082820.796424322, 285991.0899517322 7082819.006614329, 285987.87998534157 7082817.230651888, 285987.395874626 7082818.10565864, 285990.60832109663 7082819.882993223))</t>
  </si>
  <si>
    <t>['FV6922 S2D1 m5447-5511']</t>
  </si>
  <si>
    <t>LINESTRING Z (289487.630568462 7083192.08061229 164.299, 289486.989373465 7083197.53732451 163.849, 289486.654472203 7083200.59361865 163.809, 289486.640447218 7083205.34807458 163.689, 289486.053951221 7083210.63884769 163.439, 289484.958035068 7083215.00290218 163.139, 289484.012429589 7083219.89542733 163.009, 289483.061190194 7083224.72819025 162.739, 289481.688193378 7083230.20364893 162.059, 289480.833471333 7083236.27337763 161.529, 289479.775082389 7083241.56844328 161.059, 289479.199722702 7083246.1245967 160.678, 289478.822061593 7083250.75255232 160.258, 289478.676978997 7083253.69046266 159.878, 289478.880209265 7083255.41981337 159.628)</t>
  </si>
  <si>
    <t>POLYGON ((289486.4927900242 7083197.478973106, 289486.49234851066 7083197.482861727, 289486.15744724864 7083200.539155867, 289486.1544743784 7083200.592143726, 289486.1405287115 7083205.319710894, 289485.5607369648 7083210.550005046, 289484.4730922723 7083214.881121702, 289484.4671201717 7083214.908020334, 289483.52167720266 7083219.799704664, 289482.5730825992 7083224.619030745, 289481.20320836833 7083230.082036676, 289481.19307821814 7083230.133928212, 289480.34035718 7083236.189446949, 289479.2847809395 7083241.470440787, 289479.27902211 7083241.505799848, 289478.70366242295 7083246.061953268, 289478.7013792487 7083246.083929728, 289478.3237181397 7083250.711885348, 289478.3226701484 7083250.7278909115, 289478.1775875524 7083253.665801251, 289478.17726490815 7083253.707369151, 289478.18039627635 7083253.748820192, 289478.3836265443 7083255.4781709025, 289479.37679198565 7083255.361455838, 289479.1784260813 7083253.673497538, 289479.32105742174 7083250.785224917, 289479.6971674097 7083246.17627713, 289480.26889702864 7083241.648869461, 289481.3237727825 7083236.371380122, 289481.32858649286 7083236.343098348, 289482.17961716495 7083230.299583588, 289483.54617520364 7083224.849802504, 289483.5517771926 7083224.824753166, 289484.50301658764 7083219.991990247, 289484.5033444853 7083219.990309176, 289485.4463346323 7083215.111315649, 289486.5388940167 7083210.7606281685, 289486.5509071719 7083210.693936553, 289487.1374031689 7083205.403163442, 289487.1404450426 7083205.349549504, 289487.15439164115 7083200.621666501, 289487.48618527123 7083197.593732473, 289488.1271519028 7083192.138963694, 289487.1339850212 7083192.022260886, 289486.4927900242 7083197.478973106))</t>
  </si>
  <si>
    <t>['FV6922 S1D1 m1405-1448']</t>
  </si>
  <si>
    <t>LINESTRING Z (283069.2333649449 7082141.076423886 3.733, 283068.6754708924 7082139.742201933 3.543, 283066.4351708848 7082138.044006216 3.633, 283064.7468413716 7082136.444519034 3.823, 283063.558432395 7082134.818005184 3.993, 283061.26591802924 7082132.672509944 4.103, 283058.32937539247 7082129.984762487 4.203, 283055.4138577746 7082127.6266620215 4.263, 283052.89677425474 7082125.231002819 4.513, 283049.3315945365 7082122.2708848305 4.653, 283045.83446626796 7082119.073216368 4.793, 283043.09224239324 7082116.527940603 4.983, 283038.2254927714 7082112.233357267 5.193, 283037.27006455464 7082111.479274439 5.223)</t>
  </si>
  <si>
    <t>POLYGON ((283069.1367673911 7082139.549314556, 283069.11395638087 7082139.501930261, 283069.0862946448 7082139.45720396, 283069.0540881897 7082139.4156304365, 283069.01769329794 7082139.377669595, 283068.9775125866 7082139.343741376, 283066.75910364947 7082137.662139563, 283065.123730369 7082136.11282198, 283063.9621512837 7082134.523028813, 283063.93276272743 7082134.486528484, 283063.90008611156 7082134.452939795, 283061.6075717458 7082132.307444556, 283061.60350155784 7082132.303677514, 283058.66695892107 7082129.615930057, 283058.6438068909 7082129.596004423, 283055.7439641287 7082127.250581941, 283053.24148387625 7082124.868821543, 283053.2161740527 7082124.846316233, 283049.660182538 7082121.89382708, 283046.1732458929 7082118.70547753, 283043.4323907926 7082116.161472233, 283043.4230702114 7082116.153036675, 283038.55632058956 7082111.85845334, 283038.5352636408 7082111.84087541, 283037.579835424 7082111.086792581, 283036.96029368526 7082111.871756297, 283037.90495226183 7082112.617339062, 283042.75670126977 7082116.898685352, 283045.4943178686 7082119.439684738, 283045.49706476904 7082119.442215323, 283048.99419303756 7082122.6398837855, 283049.01219473855 7082122.655571416, 283052.5643382166 7082125.604865599, 283055.06914815307 7082127.988843298, 283055.09942627617 7082128.015420086, 283058.0030634096 7082130.363911494, 283060.926288978 7082133.039470156, 283063.18245077913 7082135.150944124, 283064.3431224829 7082136.739495404, 283064.37150176975 7082136.774852476, 283064.4029671082 7082136.807493539, 283066.0912966214 7082138.406980721, 283066.1331291906 7082138.442466773, 283068.26612053235 7082140.059320207, 283068.7720684462 7082141.269311263, 283069.69466144365 7082140.883536509, 283069.1367673911 7082139.549314556))</t>
  </si>
  <si>
    <t>['FV6922 S1D1 m2911-2955']</t>
  </si>
  <si>
    <t>LINESTRING Z (283772.7558626 7082327.61931775 40.562, 283777.010227951 7082327.54989796 40.312, 283783.510797611 7082327.96213738 39.982, 283788.392984466 7082329.00930425 39.572, 283791.668500798 7082329.85620143 39.422, 283795.381924237 7082330.55127584 39.072, 283799.038196645 7082331.49292117 38.812, 283803.204309401 7082332.93921738 38.433, 283807.582047774 7082334.28516962 38.143, 283812.10393207 7082335.66778008 37.873, 283815.992855243 7082336.83872655 37.643, 283816.286616306 7082336.6502455 37.913)</t>
  </si>
  <si>
    <t>POLYGON ((283776.9984658981 7082328.050156444, 283783.44217116176 7082328.458789757, 283788.27792449103 7082329.495997228, 283791.5433397393 7082330.3402827345, 283791.576508998 7082330.347666087, 283795.273455562 7082331.039656374, 283798.8936130679 7082331.972000584, 283803.040330948 7082333.411563722, 283803.0573706154 7082333.417138915, 283807.43510898843 7082334.763091154, 283807.43584918673 7082334.763318105, 283811.95773348276 7082336.1459285645, 283811.95977597655 7082336.146548313, 283815.8486991495 7082337.317494784, 283815.8951952884 7082337.329096342, 283815.94258852646 7082337.33619339, 283815.990443512 7082337.338720734, 283816.03832065157 7082337.336655157, 283816.0857801482 7082337.330015632, 283816.1323860415 7082337.318863152, 283816.17771021207 7082337.303300162, 283816.22133631445 7082337.283469622, 283816.2628636016 7082337.259553696, 283816.55662466463 7082337.0710726455, 283816.01660794736 7082336.229418354, 283815.91659137036 7082336.293590335, 283812.24911003315 7082335.18931953, 283807.7286161987 7082333.807134217, 283803.3598180143 7082332.463930672, 283799.20217509795 7082331.020574828, 283799.16289863584 7082331.008721404, 283795.50662622787 7082330.067076074, 283795.473916037 7082330.059811183, 283791.7772027466 7082329.367864559, 283788.51814552466 7082328.525222945, 283788.4978432134 7082328.520423238, 283783.61565635836 7082327.473256368, 283783.57923636015 7082327.466843389, 283783.54244199034 7082327.463139751, 283777.04187233036 7082327.050900332, 283777.0020703829 7082327.049964511, 283772.7477050319 7082327.119384301, 283772.7640201681 7082328.1192512, 283776.9984658981 7082328.050156444))</t>
  </si>
  <si>
    <t>['FV6922 S2D1 m148-174']</t>
  </si>
  <si>
    <t>LINESTRING Z (286014.895868253 7082842.87438588 107.374, 286013.008114529 7082842.03738219 107.484, 286010.639064856 7082841.10506271 107.604, 286007.826315357 7082839.94324415 107.804, 286005.393008995 7082838.75570406 107.924, 286002.171338744 7082837.20032113 108.124, 285998.984043141 7082835.90297567 108.324, 285995.997838223 7082834.60677137 108.434, 285993.033432535 7082833.32861029 108.574, 285990.112791516 7082832.4080931 108.554)</t>
  </si>
  <si>
    <t>POLYGON ((286013.21077970916 7082841.580297051, 286013.1912165404 7082841.572114898, 286010.8260712131 7082840.64133194, 286008.0316046027 7082839.487065207, 286005.61230454687 7082838.306360694, 286005.6103941647 7082838.305433378, 286002.3887239137 7082836.750050448, 286002.35983983724 7082836.737214946, 285999.177862166 7082835.442034078, 285996.1969240802 7082834.148115921, 285996.1958051433 7082834.147631851, 285993.2313994553 7082832.8694707705, 285993.18373235717 7082832.851735082, 285990.26309133816 7082831.931217893, 285989.96249169385 7082832.884968308, 285992.8588475655 7082833.797831391, 285995.7993114721 7082835.065669508, 285998.7849572838 7082836.36163112, 285998.79554204777 7082836.366081854, 286001.96819266834 7082837.657466273, 286005.17466753395 7082839.205513057, 286007.6070198051 7082840.392587516, 286007.6354309676 7082840.405373082, 286010.4481804666 7082841.567191642, 286010.4559628446 7082841.570330002, 286012.81514416443 7082842.498765876, 286014.6932030729 7082843.331471019, 286015.09853343316 7082842.417300741, 286013.21077970916 7082841.580297051))</t>
  </si>
  <si>
    <t>['FV6922 S2D1 m5530-5557']</t>
  </si>
  <si>
    <t>LINESTRING Z (289491.93580891 7083146.50489681 166.999, 289490.694304757 7083152.8422126 166.749, 289489.321000262 7083160.12650236 166.369, 289488.596266631 7083164.16414483 166.069, 289488.354498683 7083165.54353994 165.959, 289487.889369394 7083171.37556081 165.659, 289488.679322236 7083173.03954953 166.049)</t>
  </si>
  <si>
    <t>POLYGON ((289490.20363170846 7083152.746087892, 289490.2029605423 7083152.749579654, 289488.8296560473 7083160.033869415, 289488.8288652641 7083160.038166955, 289488.10413163307 7083164.075809425, 289488.1037740761 7083164.077825172, 289487.8620061281 7083165.457220282, 289487.8560813277 7083165.503788967, 289487.3909520387 7083171.335809836, 289487.38952535583 7083171.388048305, 289487.3935587556 7083171.440150366, 289487.4030081787 7083171.491546879, 289487.4177704037 7083171.54167641, 289487.43768417445 7083171.589991364, 289488.22763701645 7083173.253980083, 289489.1310074555 7083172.825118976, 289488.39842135186 7083171.281969882, 289488.8510479062 7083165.606714477, 289489.08858247084 7083164.251472726, 289489.8127492583 7083160.216988261, 289491.18531959504 7083152.936592627, 289492.42648195854 7083146.601021518, 289491.44513586146 7083146.408772103, 289490.20363170846 7083152.746087892))</t>
  </si>
  <si>
    <t>['FV6922 S2D1 m7174-7194']</t>
  </si>
  <si>
    <t>LINESTRING Z (289724.021345751 7081593.32604449 227.539, 289724.878834685 7081591.33592838 227.769, 289725.355339742 7081589.99470646 228.02, 289726.082851807 7081584.60022423 228.36, 289726.669492473 7081583.14813187 228.52, 289727.106849043 7081580.11234008 228.73, 289727.857059784 7081577.73038139 229.06, 289728.381487669 7081573.91261855 229.38)</t>
  </si>
  <si>
    <t>POLYGON ((289725.33802354074 7081591.5337808365, 289725.34998346906 7081591.50331662, 289725.826488526 7081590.162094701, 289725.84127953893 7081590.112445637, 289725.8508538838 7081590.061532618, 289726.56997250725 7081584.729287529, 289727.1330891384 7081583.335423439, 289727.1522326994 7081583.278369629, 289727.16438306693 7081583.219429135, 289727.5959505313 7081580.223820848, 289728.3339652023 7081577.880585325, 289728.3449193556 7081577.8398941215, 289728.35240820824 7081577.798425042, 289728.87683609326 7081573.9806622015, 289727.8861392448 7081573.844574898, 289727.36746138666 7081577.620478333, 289726.62994362466 7081579.962136145, 289726.6193519272 7081580.001224995, 289726.61195844907 7081580.041042814, 289726.1832301384 7081583.016943887, 289725.6192551416 7081584.412932661, 289725.60527959524 7081584.452154036, 289725.594615787 7081584.492402207, 289725.5873376652 7081584.533398073, 289724.86677753483 7081589.8763318965, 289724.4131670852 7081591.153112213, 289723.5621568953 7081593.128192033, 289724.48053460673 7081593.523896947, 289725.33802354074 7081591.5337808365))</t>
  </si>
  <si>
    <t>['FV6922 S2D1 m2609-2650']</t>
  </si>
  <si>
    <t>LINESTRING Z (288192.69989654905 7083607.550827947 69.189, 288191.1843953215 7083607.784146479 69.119, 288186.86466961616 7083609.397279625 69.339, 288181.91290669434 7083611.341322859 69.579, 288178.8111759308 7083612.869773808 69.709, 288176.39785794733 7083614.1323428955 69.879, 288173.3716856517 7083615.50293539 69.969, 288170.78883855697 7083616.992516492 70.129, 288167.9009728492 7083618.551050054 70.479, 288164.59151524433 7083621.0738390125 70.619, 288161.2185713493 7083623.029819951 70.799, 288158.5648279864 7083625.259662837 71.089, 288156.96696078323 7083626.3247655295 71.169, 288156.8022951232 7083626.923132295 71.299)</t>
  </si>
  <si>
    <t>POLYGON ((288191.1083143306 7083607.289968695, 288191.05823571724 7083607.300324452, 288191.0094767885 7083607.315741199, 288186.68975108315 7083608.928874345, 288186.6819486501 7083608.931862555, 288181.7301857283 7083610.875905789, 288181.69189651153 7083610.892820352, 288178.59016574797 7083612.421271301, 288178.5793957249 7083612.42674115, 288176.1786489753 7083613.682733379, 288173.16540061095 7083615.047472458, 288173.1218902295 7083615.06980464, 288170.5451589638 7083616.555858617, 288167.66350621084 7083618.11103915, 288167.62985046 7083618.1309397705, 288167.59785261605 7083618.153409356, 288164.31344231777 7083620.657104833, 288160.9677436368 7083622.597286185, 288160.9312519489 7083622.620616381, 288160.896916238 7083622.647017144, 288158.264415902 7083624.859010295, 288156.68963630206 7083625.908723306, 288156.6486978147 7083625.939137882, 288156.6110705433 7083625.973564537, 288156.5771459627 7083626.011645096, 288156.5472770251 7083626.052983368, 288156.5217744877 7083626.097149269, 288156.50090367947 7083626.143683294, 288156.48488174076 7083626.1921013035, 288156.32021608076 7083626.790468069, 288157.2843741657 7083627.055796521, 288157.3995350217 7083626.637321723, 288158.8421524676 7083625.67570506, 288158.8864830977 7083625.6424656445, 288161.5069727984 7083623.440564588, 288164.8423429568 7083621.506372779, 288164.8946354775 7083621.47147971, 288168.1729267342 7083618.972448759, 288171.02630519535 7083617.432527396, 288171.03863397916 7083617.425647242, 288173.6002726336 7083615.948297485, 288176.6041429881 7083614.587805827, 288176.6296381532 7083614.575375553, 288179.03760415973 7083613.315606445, 288182.11512658984 7083611.799084723, 288187.0435018573 7083609.864223393, 288191.3112182356 7083608.270512307, 288192.77597754 7083608.045005732, 288192.6238155581 7083607.056650163, 288191.1083143306 7083607.289968695))</t>
  </si>
  <si>
    <t>['FV6922 S2D1 m5572-5586']</t>
  </si>
  <si>
    <t>LINESTRING Z (289494.112264014 7083131.53786813 167.509, 289494.563309855 7083125.55644196 167.789, 289494.684286412 7083120.55073012 167.799, 289495.030958587 7083118.57860884 167.859, 289495.74197104 7083117.48659028 168.059)</t>
  </si>
  <si>
    <t>POLYGON ((289495.0618943072 7083125.594039087, 289495.06316389947 7083125.568522284, 289495.1832336672 7083120.600331151, 289495.50571864663 7083118.7658040775, 289496.1609822587 7083117.759408166, 289495.3229598214 7083117.213772395, 289494.61194736836 7083118.305790954, 289494.58662428 7083118.349333844, 289494.56581072643 7083118.395203639, 289494.54971794377 7083118.442934806, 289494.538509257 7083118.492042926, 289494.19183708203 7083120.464164207, 289494.1867389042 7083120.501268242, 289494.18443236756 7083120.5386497965, 289494.06376454385 7083125.531587011, 289493.6136795618 7083131.500271003, 289494.6108484662 7083131.575465257, 289495.0618943072 7083125.594039087))</t>
  </si>
  <si>
    <t>['FV6922 S2D1 m7113-7161']</t>
  </si>
  <si>
    <t>LINESTRING Z (289715.149849551 7081653.68180304 222.039, 289715.463720661 7081650.82848168 222.209, 289716.31601821 7081642.9200651 222.859, 289716.520937087 7081639.44393469 223.079, 289717.41405836 7081633.46105472 223.659, 289718.144956882 7081627.99591039 224.169, 289718.912024423 7081623.87390636 224.629, 289719.346195953 7081620.69773011 224.989, 289719.774285971 7081618.41647725 225.239, 289720.311205171 7081615.90389052 225.549, 289720.89698739 7081613.37664896 225.859, 289721.320342659 7081611.5781886 226.059, 289721.588455026 7081609.94509509 226.189, 289721.7694964 7081609.09397274 226.259, 289721.83289108 7081608.27403789 226.369, 289722.148111807 7081607.46051177 226.449, 289722.3022927 7081606.43104158 226.569)</t>
  </si>
  <si>
    <t>POLYGON ((289715.9607227299 7081650.8831529105, 289715.96084206784 7081650.8820569245, 289716.81313961686 7081642.973640345, 289716.8151516838 7081642.94948916, 289717.0187558573 7081639.495660652, 289717.90857868356 7081633.534876462, 289717.909645986 7081633.527333713, 289718.6388527974 7081628.074838804, 289719.4035855215 7081623.965381419, 289719.4074174185 7081623.941624748, 289719.83990769624 7081620.777747677, 289720.264554165 7081618.514845178, 289720.79926511255 7081616.012592267, 289721.38388080226 7081613.490383467, 289721.8070398903 7081611.692756506, 289721.8137375653 7081611.659191479, 289722.0799515889 7081610.0376609275, 289722.258555035 7081609.197999908, 289722.268008598 7081609.132516072, 289722.32572579855 7081608.386012672, 289722.61433652556 7081607.641162017, 289722.63141431037 7081607.588647207, 289722.6425968563 7081607.534569424, 289722.79677774926 7081606.505099233, 289721.8078076507 7081606.356983926, 289721.6618435966 7081607.331590051, 289721.36666636146 7081608.093387643, 289721.35129516915 7081608.139630381, 289721.34049849136 7081608.187149809, 289721.334378882 7081608.235494558, 289721.2735399329 7081609.022374066, 289721.099396391 7081609.841067922, 289721.0950601197 7081609.864092211, 289720.82972184283 7081611.48028852, 289720.4102901587 7081613.262081054, 289720.4099006574 7081613.263748495, 289719.8241184384 7081615.790990056, 289719.82224454684 7081615.79940364, 289719.28532534686 7081618.31199037, 289719.282863739 7081618.324259086, 289718.854773721 7081620.605511946, 289718.85080295755 7081620.630011722, 289718.41826145636 7081623.7942635175, 289717.6533957835 7081627.904435331, 289717.649369256 7081627.929631397, 289716.918975655 7081633.391000283, 289716.02641676343 7081639.370112948, 289716.0218036132 7081639.41451063, 289715.8175980336 7081642.878541059, 289714.9666583183 7081650.774358382, 289714.65284748207 7081653.6271318095, 289715.6468516199 7081653.736474271, 289715.9607227299 7081650.8831529105))</t>
  </si>
  <si>
    <t>['FV6922 S2D1 m6191-6277']</t>
  </si>
  <si>
    <t>LINESTRING Z (289523.74732048984 7082524.915545411 199.842, 289524.0069169516 7082521.27346938 200.022, 289524.5899406096 7082517.651148494 200.072, 289525.0166545984 7082513.330091038 200.232, 289525.6421712557 7082509.412346349 200.372, 289526.37235486007 7082505.645517198 200.522, 289526.84038350673 7082501.762716733 200.652, 289527.25461491616 7082498.588410702 200.822, 289527.98198192136 7082494.791700503 200.852, 289528.91455864604 7082491.14647662 200.922, 289529.9362081314 7082487.593344951 200.952, 289531.06121737545 7082484.070665269 201.002, 289532.25594938407 7082480.541412932 200.982, 289533.3067068524 7082477.297053322 200.972, 289534.6938713429 7082473.890345211 200.862, 289535.87599184876 7082470.653700013 200.722, 289536.7644380915 7082466.540338497 200.802, 289537.65072964056 7082463.683292462 200.812, 289545.7707186296 7082443.754579023 199.572, 289545.1284144287 7082440.458796706 200.912)</t>
  </si>
  <si>
    <t>POLYGON ((289524.5040789122 7082521.331083081, 289525.0835873148 7082517.730602446, 289525.0875202975 7082517.70028559, 289525.5127623614 7082513.3941333685, 289526.13461097487 7082509.499362423, 289526.86321753945 7082505.740668815, 289526.86876156105 7082505.705353535, 289527.33649695705 7082501.824985899, 289527.7484851805 7082498.667869677, 289528.47017278237 7082494.900804826, 289529.39712829876 7082491.27755293, 289530.4147249313 7082487.738516427, 289531.5362025816 7082484.226895031, 289532.7295485728 7082480.701737005, 289532.7316238836 7082480.695470617, 289533.77671914117 7082477.468593869, 289535.15695330914 7082474.078905792, 289535.163527181 7082474.061877697, 289536.34564768686 7082470.825232498, 289536.3647217254 7082470.759260932, 289537.2485162135 7082466.667436283, 289538.1218970802 7082463.852009074, 289546.23375763634 7082443.943245073, 289546.2497906262 7082443.897722385, 289546.2613598688 7082443.850865961, 289546.26835756784 7082443.803112385, 289546.27071852225 7082443.754906599, 289546.26842073404 7082443.706697762, 289546.2614856126 7082443.658935057, 289545.6191814117 7082440.36315274, 289544.63764744566 7082440.5544406725, 289545.25144214043 7082443.703935412, 289537.1876906338 7082463.494626412, 289537.17317969433 7082463.535150473, 289536.28688814526 7082466.392196508, 289536.27570821485 7082466.434777577, 289535.39452837745 7082470.514496819, 289534.22734700993 7082473.710238666, 289532.8436248862 7082477.108492741, 289532.8310323529 7082477.142995637, 289531.78129186126 7082480.38421519, 289530.5876181867 7082483.910341196, 289530.58491714206 7082483.91855318, 289529.459907898 7082487.441232862, 289529.4556779376 7082487.455175733, 289528.43402845226 7082491.008307402, 289528.43015976954 7082491.022550317, 289527.49758304487 7082494.6677742, 289527.49091238796 7082494.697622273, 289526.76354538277 7082498.494332472, 289526.7588185474 7082498.523711701, 289526.344587138 7082501.698017732, 289526.34397680574 7082501.7028803965, 289525.87808854476 7082505.567924064, 289525.15130857634 7082509.317194733, 289525.14842496475 7082509.333513614, 289524.52290830744 7082513.2512583025, 289524.5190749105 7082513.280953942, 289524.09386378946 7082517.586792825, 289523.5132702464 7082521.194015428, 289523.5081822372 7082521.237921038, 289523.24858577544 7082524.879997069, 289524.24605520425 7082524.951093754, 289524.5040789122 7082521.331083081))</t>
  </si>
  <si>
    <t>['FV6922 S2D1 m6847-7078']</t>
  </si>
  <si>
    <t>LINESTRING Z (289632.860148997 7081901.64727095 202.525, 289634.726363553 7081898.20546377 203.045, 289636.348263276 7081894.8369315 203.305, 289639.307624338 7081889.45313277 203.825, 289641.671279998 7081883.61299536 204.615, 289644.033918213 7081878.82808704 205.255, 289646.227105345 7081873.20499697 205.795, 289648.894063932 7081867.59754036 206.465, 289652.131705684 7081862.82059042 207.055, 289656.042976439 7081856.87476386 207.835, 289659.703320597 7081851.46508431 208.205, 289662.982557363 7081845.85015686 208.755, 289665.882117937 7081841.00458828 209.155, 289669.897970194 7081833.8229409 209.685, 289672.552113209 7081828.71913834 209.925, 289675.777793036 7081823.06906501 210.145, 289679.086176376 7081817.23031608 210.545, 289681.986552096 7081811.54056581 210.645, 289684.598851993 7081805.56645579 210.946, 289686.972798675 7081800.36848039 211.026, 289688.822357902 7081796.00374904 211.076, 289690.739066495 7081790.85892416 211.296, 289692.250216581 7081785.78247582 211.466, 289693.451616553 7081781.25776781 211.516, 289699.015100733 7081761.17820806 212.728, 289699.148788461 7081760.25115798 212.838, 289700.329900848 7081755.61782521 213.428, 289700.491428043 7081754.34648895 213.518, 289700.462401623 7081752.97252851 213.648, 289700.913554751 7081751.36237563 213.878, 289701.374871994 7081749.54023816 214.118, 289701.934650377 7081747.90979697 214.338, 289702.677878606 7081745.88020561 214.548, 289703.338850753 7081743.08460431 214.868, 289703.918018519 7081741.02023361 215.078, 289704.571886995 7081737.722858 215.469, 289706.198551755 7081725.98316376 216.779, 289708.125775196 7081708.47722798 218.129, 289709.207813161 7081701.83341058 218.869, 289710.093737727 7081689.05816573 219.859)</t>
  </si>
  <si>
    <t>POLYGON ((289635.165907754 7081898.443793154, 289635.17686366575 7081898.422373079, 289636.7929195172 7081895.065977977, 289639.74579167267 7081889.693984149, 289639.77110352623 7081889.640714864, 289642.1278083129 7081883.817751722, 289644.48224367475 7081879.049456145, 289644.49974038644 7081879.009772765, 289646.68637843925 7081873.403473812, 289649.3292756562 7081867.846607823, 289652.5455989004 7081863.101112086, 289652.5494289744 7081863.09537625, 289656.4589113642 7081857.152268324, 289660.1174319242 7081851.745283897, 289660.1350807259 7081851.717241386, 289663.4129746752 7081846.104613197, 289666.3111680402 7081841.261329412, 289666.3185229324 7081841.24861836, 289670.3343751894 7081834.06697098, 289670.3415727 7081834.053628604, 289672.9911925309 7081828.958523932, 289676.2120116887 7081823.316964509, 289676.21281183226 7081823.3155577015, 289679.5211951722 7081817.4768087715, 289679.53163836006 7081817.457392325, 289682.43201408006 7081811.767642055, 289682.44466942427 7081811.740886836, 289685.05534676654 7081805.770487462, 289687.4276110073 7081800.576195923, 289687.43317086785 7081800.563563562, 289689.28273009486 7081796.198832212, 289689.2908986875 7081796.178304281, 289691.20760728046 7081791.033479401, 289691.21828472964 7081791.001577178, 289692.72943481564 7081785.925128838, 289692.73347174533 7081785.910789678, 289693.93418137555 7081781.388681631, 289699.4969472808 7081761.311714256, 289699.5099814778 7081761.249573656, 289699.63986968057 7081760.348871172, 289700.8144064442 7081755.74133362, 289700.82591343694 7081755.6808451405, 289700.98744063196 7081754.40950888, 289700.99073581526 7081754.372790063, 289700.99131650233 7081754.3359282585, 289700.9638554584 7081753.0360646155, 289701.3950126607 7081751.497276635, 289701.39826188656 7081751.485090718, 289701.85449849715 7081749.683021022, 289702.40590594703 7081748.076961471, 289703.1473881485 7081746.052138125, 289703.16446336586 7081745.9952502595, 289703.8230564502 7081743.209711276, 289704.3994311989 7081741.1552959345, 289704.40846857225 7081741.117489691, 289705.06233704824 7081737.820114081, 289705.06715522805 7081737.791482903, 289706.69381998805 7081726.0517886635, 289706.6955490851 7081726.037878053, 289708.6213551568 7081708.5448169485, 289709.7013110663 7081701.91378357, 289709.70661522925 7081701.8680009935, 289710.5925397952 7081689.092756144, 289709.59493565874 7081689.023575316, 289708.7106070197 7081701.775806516, 289707.63227729074 7081708.39685499, 289707.6287778659 7081708.422513687, 289705.7023214669 7081725.921482041, 289704.07861204114 7081737.639847533, 289703.4313518054 7081740.9038986275, 289702.8574380731 7081742.949541985, 289702.85226599313 7081742.96955966, 289702.19813903386 7081745.736209036, 289701.4651408345 7081747.737864455, 289701.4617459621 7081747.747434985, 289700.9019675791 7081749.377876175, 289700.8901648585 7081749.417523072, 289700.43039537943 7081751.233547095, 289699.98094371334 7081752.837627505, 289699.970045664 7081752.885433105, 289699.96388239093 7081752.934076264, 289699.9625131637 7081752.983089201, 289699.9907593232 7081754.320116149, 289699.83777597855 7081755.524206106, 289698.6642828648 7081760.127649571, 289698.6539077162 7081760.179792384, 289698.52476035606 7081761.075357536, 289692.96977000526 7081781.124261613, 289692.96836138866 7081781.1294539515, 289691.7688730673 7081785.64696231, 289690.2646500587 7081790.700140327, 289688.35767459165 7081795.818839572, 289686.5151192323 7081800.1670426605, 289684.1440396607 7081805.358740257, 289684.1407346647 7081805.366134764, 289681.534366326 7081811.326679809, 289678.6457218977 7081816.993416468, 289675.3431731511 7081822.821868306, 289672.1178945563 7081828.471238841, 289672.10851070296 7081828.488450636, 289669.45786529325 7081833.585527452, 289665.44929704926 7081840.754148652, 289662.5535072598 7081845.593415728, 289662.5507972341 7081845.597999784, 289659.2799200338 7081851.1986134285, 289655.6288651118 7081856.594564273, 289655.6252531486 7081856.59997803, 289651.7158776492 7081862.5429234635, 289648.4801707156 7081867.317018693, 289648.4601035472 7081867.349189027, 289648.4425318621 7081867.382787502, 289645.7755732751 7081872.990244112, 289645.76128317154 7081873.023311244, 289643.57598306274 7081878.626179857, 289641.2229545362 7081883.391626256, 289641.20780080976 7081883.425413266, 289638.8552275015 7081889.238168322, 289635.91009594133 7081894.596080121, 289635.89776316326 7081894.620022191, 289634.28108364745 7081897.977712585, 289632.42060479603 7081901.408941565, 289633.29969319794 7081901.885600334, 289635.165907754 7081898.443793154))</t>
  </si>
  <si>
    <t>['FV6922 S2D1 m6794-6833']</t>
  </si>
  <si>
    <t>LINESTRING Z (289615.442655313 7081951.6142371 198.905, 289617.232292169 7081949.38551389 198.815, 289618.011071727 7081946.88027091 199.045, 289618.529739094 7081944.60052534 199.175, 289619.525518881 7081940.34641808 199.485, 289621.523823219 7081934.68140317 199.945, 289622.458737802 7081930.10142032 200.215, 289623.686994682 7081925.75505658 200.535, 289625.541980948 7081921.66112956 200.985, 289627.022596283 7081917.75322617 201.295, 289628.147783299 7081914.55210286 201.545)</t>
  </si>
  <si>
    <t>POLYGON ((289617.62215777196 7081949.6985710915, 289617.64976358117 7081949.660682238, 289617.67369957303 7081949.620374494, 289617.69375533616 7081949.578002189, 289617.70975456876 7081949.533937799, 289618.4885341268 7081947.02869482, 289618.4986130294 7081946.991191956, 289619.0169347712 7081944.712965543, 289620.00613220345 7081940.486979002, 289621.99534744513 7081934.847730871, 289622.01372054924 7081934.7814062, 289622.9449309018 7081930.219569725, 289624.15793265274 7081925.927188455, 289625.9974106831 7081921.86748788, 289626.00954684097 7081921.838279597, 289627.49016217596 7081917.930376207, 289627.4943047803 7081917.919030554, 289628.6194917963 7081914.717907243, 289627.67607480165 7081914.386298477, 289626.55289056397 7081917.581723942, 289625.0800209842 7081921.469183357, 289623.23156494694 7081925.5486982595, 289623.21738099103 7081925.5834087385, 289623.2058381464 7081925.619084567, 289621.9775812664 7081929.965448307, 289621.96884047176 7081930.00141729, 289621.0408247022 7081934.547604062, 289619.05399465485 7081940.180090379, 289619.03867828747 7081940.23246091, 289618.0428985005 7081944.486568171, 289618.0421977916 7081944.489604294, 289617.5278411408 7081946.750402584, 289616.783003098 7081949.146459669, 289615.05278971005 7081951.301179898, 289615.83252091595 7081951.927294302, 289617.62215777196 7081949.6985710915))</t>
  </si>
  <si>
    <t>['FV6922 S1D1 m3750-3806']</t>
  </si>
  <si>
    <t>LINESTRING Z (284601.554514763 7082444.28570509 102.824, 284601.565617358 7082444.08367335 102.834, 284596.277426848 7082441.60760186 102.494, 284588.503859132 7082437.81823664 102.104, 284581.993186623 7082434.63336667 101.854, 284572.480522842 7082429.77188322 101.484, 284562.539876935 7082425.59389662 101.013, 284555.412005486 7082422.57774936 100.543, 284551.603028795 7082420.65563236 100.523, 284551.174551712 7082420.37444776 100.603)</t>
  </si>
  <si>
    <t>POLYGON ((284601.1978455418 7082444.266104437, 284602.05376146385 7082444.313141045, 284602.06486405886 7082444.111109305, 284602.0651316115 7082444.061639044, 284602.0605091628 7082444.012384489, 284602.0510419643 7082443.963827818, 284602.03682269534 7082443.916444374, 284602.01799055556 7082443.870698022, 284601.99472990254 7082443.827036594, 284601.96726844663 7082443.785887515, 284601.93587502214 7082443.747653615, 284601.90085695544 7082443.712709184, 284601.86255705636 7082443.681396311, 284601.82135026227 7082443.654021535, 284601.77763996756 7082443.630852841, 284596.4929961308 7082441.156441998, 284588.72325872 7082437.368943929, 284582.21682611416 7082434.186148022, 284572.70805815794 7082429.326655548, 284572.67425398965 7082429.3109404445, 284562.7341666756 7082425.1331886165, 284555.6222946559 7082422.12381149, 284551.85362561216 7082420.222034864, 284551.44887755555 7082419.956422245, 284550.90022586845 7082420.792473275, 284551.32870295143 7082421.073657875, 284551.37777076487 7082421.102016522, 284555.1867474559 7082423.024133522, 284555.21715758234 7082423.038221178, 284562.34502903133 7082426.054368437, 284562.34614578733 7082426.054839396, 284572.2695964891 7082430.225598968, 284581.765651307 7082435.078594343, 284581.7734771939 7082435.082507814, 284588.28414970293 7082438.267377784, 284588.28476964246 7082438.267680514, 284596.05833735847 7082442.057045734, 284596.06540423847 7082442.060422368, 284601.3535947485 7082444.536493858, 284601.35621231154 7082444.530903482, 284601.1978455418 7082444.266104437))</t>
  </si>
  <si>
    <t>['FV6922 S2D1 m6156-6179']</t>
  </si>
  <si>
    <t>LINESTRING Z (289523.21862863377 7082560.880153837 197.772, 289524.71901907853 7082556.116217989 199.742, 289524.84590782237 7082552.878559275 198.162, 289524.5341715244 7082549.571711833 198.382, 289524.53140972217 7082546.0247104885 198.632, 289524.5293844533 7082542.698715517 198.782, 289524.50616814854 7082538.721539741 198.962, 289523.8253823874 7082537.469311412 199.492)</t>
  </si>
  <si>
    <t>POLYGON ((289525.19592555397 7082556.266418567, 289525.2073503713 7082556.223607693, 289525.2149402304 7082556.179953466, 289525.21863552666 7082556.135798713, 289525.3455242705 7082552.898139999, 289525.3437008163 7082552.831632361, 289525.03415321495 7082549.548002253, 289525.03140960354 7082546.02436347, 289525.0293843606 7082542.698411057, 289525.02937593474 7082542.695796874, 289525.00615962996 7082538.718621098, 289525.00345295307 7082538.669502993, 289524.99593272945 7082538.620888585, 289524.9836717524 7082538.573248446, 289524.9667887039 7082538.527043716, 289524.9454470061 7082538.482721641, 289524.26466124493 7082537.230493312, 289523.38610352983 7082537.708129513, 289524.0069096895 7082538.850032156, 289524.029385342 7082542.700327081, 289524.0314098149 7082546.025014949, 289524.034171676 7082549.572101148, 289524.0363785305 7082549.618638746, 289524.34498572414 7082552.892293164, 289524.2220217511 7082556.029808492, 289522.74172215833 7082560.729953258, 289523.6955351092 7082561.030354415, 289525.19592555397 7082556.266418567))</t>
  </si>
  <si>
    <t>['FV6922 S2D1 m4872-4886']</t>
  </si>
  <si>
    <t>LINESTRING Z (289921.343654798 7083550.25358777 124.506, 289924.248927424 7083552.29092891 124.166, 289928.352964308 7083554.99906628 123.656, 289931.963543617 7083556.949815 123.566, 289933.132459701 7083557.09083468 123.636)</t>
  </si>
  <si>
    <t>POLYGON ((289923.96185114956 7083552.700303081, 289923.9735436479 7083552.708258247, 289928.0775805319 7083555.416395618, 289928.11529214086 7083555.438966202, 289931.72587144986 7083557.389714922, 289931.7681292243 7083557.410046698, 289931.8121059424 7083557.4263300905, 289931.8574147672 7083557.438421864, 289931.9036571441 7083557.446215656, 289933.0725732281 7083557.587235335, 289933.19234617386 7083556.594434025, 289932.1176871443 7083556.4647856485, 289928.6099887486 7083554.5696221385, 289924.53021370363 7083551.8774944665, 289921.63073107245 7083549.844213598, 289921.05657852354 7083550.662961942, 289923.96185114956 7083552.700303081))</t>
  </si>
  <si>
    <t>['FV6922 S2D1 m7280-7346']</t>
  </si>
  <si>
    <t>LINESTRING Z (289749.642986213 7081490.1005599 235.41, 289752.159287034 7081483.85414098 235.94, 289753.734128583 7081479.13345528 236.34, 289755.722407346 7081474.53458022 236.73, 289756.972189658 7081471.48250195 236.79, 289758.100487928 7081469.48695793 236.84, 289762.886163948 7081456.82646918 237.62, 289763.594412175 7081455.17198633 237.75, 289764.753327235 7081450.94270678 238.12, 289766.320372465 7081447.41857275 238.26, 289768.199211081 7081441.23224395 238.52, 289768.933748198 7081439.85665166 238.57, 289769.79940372 7081436.78048935 238.71, 289771.284113899 7081431.10360916 239.181, 289771.99166879 7081428.69552651 239.001)</t>
  </si>
  <si>
    <t>POLYGON ((289752.62306997285 7081484.040970811, 289752.6335900977 7081484.012370572, 289754.20161748026 7081479.312110761, 289756.18135127635 7081474.73300015, 289756.18511678616 7081474.724053104, 289757.42295223597 7081471.701150123, 289758.5357336444 7081469.733049715, 289758.5532892816 7081469.699021445, 289758.5681894682 7081469.663749529, 289763.35005715117 7081457.013335721, 289764.05406671774 7081455.368754472, 289764.0766352643 7081455.304125999, 289765.2255581949 7081451.111311165, 289766.77724149986 7081447.621724627, 289766.79879456526 7081447.563873452, 289768.6633769685 7081441.424485149, 289769.3748064036 7081440.0921673905, 289769.39763657167 7081440.043219548, 289769.4150538901 7081439.9920947505, 289770.2807094121 7081436.91593244, 289770.2831334886 7081436.907002239, 289771.7659473794 7081431.237372622, 289772.4713895264 7081428.836480456, 289771.5119480536 7081428.554572563, 289770.8043931626 7081430.962655213, 289770.8003841304 7081430.977096271, 289769.31684466987 7081436.649500147, 289768.4671375169 7081439.668988907, 289767.7581528754 7081440.996728219, 289767.73726336105 7081441.040921437, 289767.7207889808 7081441.086943247, 289765.8509377443 7081447.243679892, 289764.29645820014 7081450.739554903, 289764.2824406374 7081450.774582384, 289764.2711041457 7081450.810567111, 289763.1212560653 7081455.006758135, 289762.42650940525 7081456.629701039, 289762.41846240783 7081456.649677581, 289757.64635494415 7081469.274270764, 289756.5369439416 7081471.236410165, 289756.5094802178 7081471.293029065, 289755.26153723104 7081474.340615541, 289753.27518465265 7081478.93503535, 289753.2598255193 7081478.975225688, 289751.6898080516 7081483.681450903, 289749.17920327414 7081489.913730069, 289750.1067691518 7081490.28738973, 289752.62306997285 7081484.040970811))</t>
  </si>
  <si>
    <t>['FV6922 S2D1 m7209-7266']</t>
  </si>
  <si>
    <t>LINESTRING Z (289729.738336412 7081559.20379832 230.57, 289729.916153382 7081558.74488624 230.47, 289731.42298345 7081551.27721751 230.89, 289732.578997085 7081545.63131781 231.25, 289735.457255945 7081534.37658421 232.13, 289740.277052817 7081517.81391057 233.3, 289742.24655248 7081510.56390151 233.82, 289744.401339929 7081503.4672579 234.35)</t>
  </si>
  <si>
    <t>POLYGON ((289730.3823780374 7081558.92553665, 289730.3960706027 7081558.885169744, 289730.40627518046 7081558.843783271, 289731.91296410933 7081551.37681401, 289733.06640646816 7081545.743472264, 289735.9396336205 7081534.508413938, 289740.75713830016 7081517.953617151, 289740.7595658496 7081517.944987545, 289742.72712972335 7081510.702104401, 289744.87977179885 7081503.612526431, 289743.9229080592 7081503.32198937, 289741.76812061016 7081510.4186329795, 289741.76403944736 7081510.432824535, 289739.79571487627 7081517.678507915, 289734.97717046185 7081534.2368776295, 289734.97284571663 7081534.252702288, 289732.0945868566 7081545.507435888, 289732.0891595667 7081545.531022219, 289730.9331459317 7081551.176921919, 289730.9328616515 7081551.17832048, 289729.43448580685 7081558.604091095, 289729.2721117566 7081559.02314791, 289730.2045610674 7081559.38444873, 289730.3823780374 7081558.92553665))</t>
  </si>
  <si>
    <t>2018-01-23</t>
  </si>
  <si>
    <t>['FV705 S5D1 m183-202']</t>
  </si>
  <si>
    <t>LINESTRING Z (301323.0266107022 7015584.6707133055 173.52, 301318.8972070003 7015581.0289460225 173.27, 301313.53772124264 7015576.055704562 172.01, 301309.02146528615 7015573.324342004 170.32, 301304.1961769692 7015571.797509587 167.86, 301294.94309665804 7015569.982591434 163.15, 301292.568892644 7015580.021584189 162.52, 301296.56321501423 7015583.615735533 164.63, 301308.2591212189 7015591.230025346 171.05, 301318.0127553642 7015595.4897631 173.8, 301323.4721320978 7015589.100039261 173.89)</t>
  </si>
  <si>
    <t>POLYGON Z ((301323.0266107022 7015584.6707133055 173.52, 301318.8972070003 7015581.0289460225 173.27, 301313.53772124264 7015576.055704562 172.01, 301309.02146528615 7015573.324342004 170.32, 301304.1961769692 7015571.797509587 167.86, 301294.94309665804 7015569.982591434 163.15, 301292.568892644 7015580.021584189 162.52, 301296.56321501423 7015583.615735533 164.63, 301308.2591212189 7015591.230025346 171.05, 301318.0127553642 7015595.4897631 173.8, 301323.4721320978 7015589.100039261 173.89, 301323.0266107022 7015584.6707133055 173.52))</t>
  </si>
  <si>
    <t>['FV705 S5D1 m800-834']</t>
  </si>
  <si>
    <t>LINESTRING Z (301225.3336386337 7014978.657983442 167.539, 301218.2363468767 7014968.010120997 165.479, 301205.9178576508 7014968.220824565 157.919, 301209.5193376581 7014983.054721373 157.719, 301211.2378909297 7015002.345395506 157.809, 301219.07855345844 7015004.955933138 164.229, 301222.28843458276 7015005.00658685 166.999, 301224.4680635212 7015003.928065628 168.689, 301224.5664794959 7014981.191544521 167.629)</t>
  </si>
  <si>
    <t>POLYGON Z ((301225.3336386337 7014978.657983442 167.539, 301218.2363468767 7014968.010120997 165.479, 301205.9178576508 7014968.220824565 157.919, 301209.5193376581 7014983.054721373 157.719, 301211.2378909297 7015002.345395506 157.809, 301219.07855345844 7015004.955933138 164.229, 301222.28843458276 7015005.00658685 166.999, 301224.4680635212 7015003.928065628 168.689, 301224.5664794959 7014981.191544521 167.629, 301225.3336386337 7014978.657983442 167.539))</t>
  </si>
  <si>
    <t>2018-02-01</t>
  </si>
  <si>
    <t>[22]</t>
  </si>
  <si>
    <t>['RV22 S8D1 m4684-4706']</t>
  </si>
  <si>
    <t>LINESTRING Z (294845.266498115 6607580.69017955 115.006, 294851.356072444 6607582.8305186 114.856, 294855.013456611 6607584.06618168 114.676, 294857.345239799 6607584.63845728 114.606, 294859.44126461 6607586.04563612 114.646, 294861.737200741 6607588.10765298 114.546, 294863.955086957 6607590.63875614 114.586, 294866.023657557 6607592.85193178 114.886)</t>
  </si>
  <si>
    <t>POLYGON ((294851.1902771224 6607583.302230282, 294851.1960324487 6607583.30421386, 294854.8534166157 6607584.539876941, 294854.8942812659 6607584.551771257, 294857.1400641024 6607585.102940305, 294859.1333512152 6607586.441145575, 294861.3808555474 6607588.459665064, 294863.57903217926 6607590.968275189, 294863.5898014629 6607590.980174516, 294865.65837206284 6607593.193350156, 294866.3889430511 6607592.510513403, 294864.325852589 6607590.303200995, 294862.1132555188 6607587.778133931, 294862.071295711 6607587.735657616, 294859.77535957994 6607585.673640756, 294859.7199609396 6607585.630511614, 294857.6239361286 6607584.223332773, 294857.5865299349 6607584.200531406, 294857.54727147694 6607584.181091779, 294857.5064621223 6607584.165163119, 294857.4644151441 6607584.152867703, 294855.15331762284 6607583.585668863, 294851.51899612753 6607582.357797606, 294845.43229343655 6607580.218467868, 294845.1007027934 6607581.161891232, 294851.1902771224 6607583.302230282))</t>
  </si>
  <si>
    <t>2018-02-09</t>
  </si>
  <si>
    <t>['EV6 S190D1 m181-192']</t>
  </si>
  <si>
    <t>LINESTRING Z (722302.2296708457 7756377.451129367 53.7, 722309.9496707813 7756367.6911293445 57.16, 722300.9196708682 7756362.601129398 56.79, 722289.3196709796 7756355.691129476 56.43, 722278.3596710837 7756351.571129538 54.53, 722271.9396711478 7756344.821129585 54.94, 722263.6796712289 7756338.161129635 54.74, 722255.5796713084 7756331.031129692 54.43, 722248.9096713739 7756325.961129733 53.301, 722238.6596714729 7756319.531129795 52.301, 722232.4596715351 7756311.82112984 52.051, 722225.4796716028 7756306.681129888 51.441, 722216.9996716862 7756298.791129946 50.561, 722207.4496717802 7756290.671130009 49.621, 722199.8796718562 7756281.731130062 49.271, 722190.3996719494 7756272.901130127 48.341, 722183.0496720235 7756263.971130177 47.741, 722176.4796720895 7756255.74113023 47.251, 722170.019672154 7756248.491130276 46.501, 722164.6696722072 7756242.35113031 45.501, 722158.3396722683 7756238.42113035 44.431, 722156.6596722824 7756240.531130357 43.281, 722155.2096722918 7756245.791130355 43.691, 722167.4996721671 7756262.811130262 44.911, 722175.4396720876 7756271.901130209 45.441, 722184.5196719966 7756283.051130139 46.111, 722191.8996719231 7756290.71113009 46.591, 722202.3596718195 7756301.701130015 47.341, 722209.7596717455 7756309.671129963 48.111, 722220.5096716391 7756320.5211298885 48.791, 722229.0896715552 7756327.6511298325 49.501, 722238.2896714656 7756334.161129775 49.851, 722250.999671341 7756344.54112969 50.711, 722259.0396712634 7756350.03112964 51.17, 722267.8796711767 7756356.721129582 51.73, 722281.4396710456 7756365.511129498 52.57, 722292.4396709395 7756372.1811294295 53.2)</t>
  </si>
  <si>
    <t>POLYGON Z ((722302.2296708457 7756377.451129367 53.7, 722309.9496707813 7756367.6911293445 57.16, 722300.9196708682 7756362.601129398 56.79, 722289.3196709796 7756355.691129476 56.43, 722278.3596710837 7756351.571129538 54.53, 722271.9396711478 7756344.821129585 54.94, 722263.6796712289 7756338.161129635 54.74, 722255.5796713084 7756331.031129692 54.43, 722248.9096713739 7756325.961129733 53.301, 722238.6596714729 7756319.531129795 52.301, 722232.4596715351 7756311.82112984 52.051, 722225.4796716028 7756306.681129888 51.441, 722216.9996716862 7756298.791129946 50.561, 722207.4496717802 7756290.671130009 49.621, 722199.8796718562 7756281.731130062 49.271, 722190.3996719494 7756272.901130127 48.341, 722183.0496720235 7756263.971130177 47.741, 722176.4796720895 7756255.74113023 47.251, 722170.019672154 7756248.491130276 46.501, 722164.6696722072 7756242.35113031 45.501, 722158.3396722683 7756238.42113035 44.431, 722156.6596722824 7756240.531130357 43.281, 722155.2096722918 7756245.791130355 43.691, 722167.4996721671 7756262.811130262 44.911, 722175.4396720876 7756271.901130209 45.441, 722184.5196719966 7756283.051130139 46.111, 722191.8996719231 7756290.71113009 46.591, 722202.3596718195 7756301.701130015 47.341, 722209.7596717455 7756309.671129963 48.111, 722220.5096716391 7756320.5211298885 48.791, 722229.0896715552 7756327.6511298325 49.501, 722238.2896714656 7756334.161129775 49.851, 722250.999671341 7756344.54112969 50.711, 722259.0396712634 7756350.03112964 51.17, 722267.8796711767 7756356.721129582 51.73, 722281.4396710456 7756365.511129498 52.57, 722292.4396709395 7756372.1811294295 53.2, 722302.2296708457 7756377.451129367 53.7))</t>
  </si>
  <si>
    <t>2018-03-19</t>
  </si>
  <si>
    <t>[179]</t>
  </si>
  <si>
    <t>['FV179 S2D1 m210-216']</t>
  </si>
  <si>
    <t>LINESTRING Z (293673.01 6678867.7 175.262, 293672.74 6678868.17 174.832, 293672.42 6678868 175.032, 293672.63 6678867.59 175.322, 293673.01 6678867.7 175.262, 293673.65 6678867.89 175.262, 293673.37 6678867.47 175.472, 293673.04 6678867.13 175.632, 293672.59 6678867.04 175.602, 293671.2 6678866.79 175.452, 293671.29 6678867.19 175.282, 293671.41 6678868.09 175.112, 293671.43 6678868.4 175.132, 293670.89 6678868.82 175.422, 293671 6678869.28 175.472, 293671.44 6678869.79 175.472, 293672.21 6678870.44 175.532, 293672.74 6678870.71 175.522, 293673.63 6678871.44 175.492, 293676.8 6678870.81 174.552, 293674.93 6678869.5 174.722, 293673.64 6678868.58 174.822, 293673.65 6678867.89 175.262, 293673.01 6678867.7 175.262)</t>
  </si>
  <si>
    <t>2018-03-27</t>
  </si>
  <si>
    <t>['EV18 S62D1 m1569 KD2 m480-491']</t>
  </si>
  <si>
    <t>LINESTRING Z (272011.48215592676 6616913.341286613 57.061, 272011.490282743 6616913.4309630515 56.981, 272016.74057428865 6616925.251318192 56.442, 272019.15641290863 6616931.401472997 55.542, 272022.07117296685 6616934.964805954 55.472, 272025.25869926217 6616938.101584422 55.422, 272025.3474414536 6616938.19400104 55.422, 272039.0181547669 6616927.200559587 54.962, 272041.1372284852 6616925.752786226 54.982, 272046.34484731697 6616921.91548288 54.522, 272048.86550437624 6616919.356407868 54.452, 272046.4982988699 6616917.401023677 54.392, 272039.0882034235 6616910.126265669 54.322, 272035.8202505541 6616906.323701703 54.472, 272030.81027462485 6616899.926435505 54.591, 272028.1009881316 6616900.071502165 54.471, 272025.24338986416 6616902.570699061 55.281, 272020.0556663282 6616906.516703741 55.981, 272011.48215592676 6616913.341286613 57.061, 272020.0556663282 6616906.516703741 55.981)</t>
  </si>
  <si>
    <t>['EV18 S62D1 m1569 KD3 m48-50']</t>
  </si>
  <si>
    <t>LINESTRING Z (272176.2667326124 6616894.63064994 55.742, 272178.24481034523 6616895.285196178 55.382, 272181.4809714616 6616896.187381432 54.392, 272183.3316041881 6616895.879028211 53.952, 272185.4492721424 6616896.18941065 53.952, 272187.848150003 6616891.843165092 53.952, 272190.2234879937 6616887.458869529 53.952, 272194.1047942493 6616884.394748274 53.872, 272197.2447432395 6616882.7941867225 53.862, 272202.6133945298 6616882.84009125 53.852, 272206.73719416116 6616883.892890459 53.822, 272210.571880267 6616885.524412541 53.822, 272211.70946068736 6616885.88343062 53.852, 272213.04255790834 6616883.522393195 54.082, 272214.49796376424 6616881.069904882 54.362, 272215.4312525171 6616879.950603113 54.772, 272213.9018073025 6616878.371364342 55.042, 272210.9783005946 6616876.928506132 55.302, 272207.10656133154 6616874.998965792 55.812, 272203.7717889374 6616873.673744639 56.342, 272200.2719862575 6616872.966230835 56.792, 272196.5738057927 6616872.286740525 57.292, 272193.1597229474 6616872.746824502 57.362, 272189.9572805951 6616874.3229115885 57.542, 272186.5951945139 6616876.686997819 57.202, 272183.91153438634 6616879.110153204 56.862, 272181.23668492376 6616882.406500527 56.532, 272179.3985640437 6616886.511056829 56.232, 272178.24472524005 6616889.187363431 55.892, 272176.4965937289 6616892.178719555 55.822, 272176.2667326124 6616894.63064994 55.742, 272176.4965937289 6616892.178719555 55.822)</t>
  </si>
  <si>
    <t>['EV18 S62D1 m4846-4863']</t>
  </si>
  <si>
    <t>LINESTRING Z (274722.4397573835 6615732.697467114 99.333, 274724.57843066764 6615744.658899978 99.583, 274726.36898363865 6615757.656441695 99.983, 274727.9853168315 6615756.204044455 98.823, 274727.6988166938 6615754.040055478 98.833, 274726.4252538208 6615744.863239478 98.533, 274726.2209795096 6615743.384948959 98.453, 274724.9524795973 6615735.483470681 98.373, 274724.0687633541 6615731.274058789 98.373, 274722.4397573835 6615732.697467114 99.333, 274724.0687633541 6615731.274058789 98.373)</t>
  </si>
  <si>
    <t>['EV18 S62D1 m1569 KD2 m525-526']</t>
  </si>
  <si>
    <t>LINESTRING Z (272044.7649150585 6616881.091576676 54.311, 272044.7323765954 6616880.843378508 54.311, 272044.7142857594 6616880.754605069 54.271, 272044.7088678993 6616880.694820796 54.221, 272044.68445622677 6616880.536299044 54.261, 272044.6437596723 6616880.308931944 54.241, 272044.6157360943 6616880.11055401 54.071, 272040.14365412283 6616880.646426093 52.541, 272040.1454600763 6616880.666354188 52.541, 272040.1644538894 6616880.765091672 52.561, 272040.19154319086 6616881.064013053 52.541, 272040.221372725 6616881.282319093 52.571, 272040.2620379809 6616881.620193683 52.541, 272040.266552865 6616881.670013914 52.541, 272040.2773885863 6616881.789582467 52.551, 272040.2810004937 6616881.829438654 52.561, 272040.2927704931 6616881.848463769 52.561, 272040.3063151447 6616881.997924456 52.561, 272040.3225687279 6616882.177277289 52.601, 272040.3505923101 6616882.375655233 52.601, 272040.3587191015 6616882.465331646 52.551, 272040.40570519894 6616882.8729545595 52.481, 272040.4807148819 6616883.478955418 52.601, 272040.48613274365 6616883.538739692 52.621, 272040.55933647597 6616884.124812455 52.451, 272040.57559006143 6616884.304165282 52.471, 272040.6018076936 6616884.482615136 52.461, 272040.6045166248 6616884.512507275 52.461, 272040.6063225789 6616884.532435365 52.461, 272040.6144493717 6616884.62211178 52.461, 272040.709324559 6616885.447321645 52.501, 272040.73283326114 6616885.595879358 52.521, 272040.7526987579 6616885.815088375 52.591, 272040.7861402092 6616886.073250594 52.581, 272040.82499952405 6616886.39119709 52.551, 272040.8322233415 6616886.470909458 52.531, 272040.8710826569 6616886.788855953 52.621, 272040.8963973158 6616886.957341758 52.631, 272040.9442864053 6616887.374928713 52.631, 272040.94789831433 6616887.4147849 52.621, 272040.99488442775 6616887.822407805 52.551, 272041.0021082462 6616887.902120173 52.551, 272041.0138469513 6616888.031652775 52.551, 272041.02561695164 6616888.050677887 52.551, 272041.05631818064 6616888.389455455 52.521, 272041.1141713207 6616888.806139426 52.571, 272041.12139513966 6616888.885851796 52.571, 272041.1259100267 6616888.935672027 52.571, 272041.14216361963 6616889.1150248535 52.641, 272041.1692842359 6616889.30343875 52.691, 272041.20543462667 6616889.5914931055 52.531, 272041.2090465366 6616889.63134929 52.541, 272041.25422670273 6616890.019044103 52.502, 272041.4823403141 6616890.540848993 52.412, 272041.7104539271 6616891.062653875 52.422, 272041.8254137123 6616891.333520366 52.502, 272041.98925945756 6616891.700415401 52.502, 272042.16758413723 6616892.116227685 52.502, 272042.2173730745 6616892.222220281 52.502, 272042.53600350174 6616892.966877371 52.512, 272042.6238113764 6616893.159837442 52.512, 272042.6998492506 6616893.333772406 52.512, 272042.7641171238 6616893.488682248 52.512, 272042.84015499847 6616893.662617211 52.512, 272042.85373095516 6616893.701570412 52.512, 272043.06826862256 6616894.1844220795 52.512, 272043.42401502 6616895.006082593 52.512, 272043.44936097914 6616895.064060916 52.512, 272043.5498418363 6616895.286010142 52.512, 272043.74174248363 6616895.740775621 52.512, 272043.76708844304 6616895.798753944 52.512, 272043.82413249486 6616895.873951416 52.512, 272044.0097435869 6616896.148461095 52.512, 272044.33298278716 6616896.611415952 52.512, 272045.4756385082 6616898.245801022 52.522, 272046.57130808884 6616899.472563173 52.522, 272047.657013627 6616900.700228276 52.522, 272048.7535861923 6616901.93695443 52.532, 272049.77782663656 6616902.708079368 52.532, 272049.87472687114 6616902.779664924 52.532, 272050.10112841096 6616902.950019235 52.532, 272050.5004993509 6616903.255386568 52.532, 272050.8772332641 6616903.532667716 52.532, 272051.0284686168 6616903.649558607 52.532, 272051.11540480587 6616903.722047135 52.532, 272051.2449061107 6616903.82081589 52.532, 272051.48127169465 6616903.990267217 52.532, 272051.8154404911 6616904.241268141 52.542, 272051.95580881974 6616904.349097961 52.542, 272052.12877821864 6616904.484110979 52.542, 272052.2256784525 6616904.555696534 52.542, 272052.7219496231 6616904.932649404 52.542, 272052.93748413766 6616905.093942642 52.542, 272053.00178330037 6616905.138344991 52.542, 272053.0343843714 6616905.165528195 52.542, 272053.2798110199 6616905.324112492 52.542, 272053.3975423217 6616905.403856129 52.542, 272053.4618414844 6616905.448258484 52.542, 272053.8023624087 6616905.658500243 52.542, 272054.0595590591 6616905.836109651 52.542, 272054.31494975206 6616905.993790971 52.542, 272054.69893876853 6616906.2402769895 52.542, 272054.8275370931 6616906.329081693 52.542, 272055.9704430733 6616907.079406768 52.542, 272056.10810246295 6616907.157344444 52.552, 272056.279265902 6616907.272429362 52.552, 272056.85711793473 6616907.441071531 52.552, 272056.86708197923 6616907.440168552 52.552, 272058.0535811494 6616907.7847079905 52.552, 272058.3524712067 6616907.868126092 52.552, 272058.49648272316 6616907.905304609 52.552, 272058.51731379144 6616907.913462702 52.552, 272058.53814485925 6616907.921620788 52.552, 272058.6613253074 6616907.950641214 52.552, 272058.7337825552 6616907.974212499 52.552, 272058.8986251392 6616908.0195491025 52.552, 272058.92942025146 6616908.026804213 52.552, 272059.0435396342 6616908.066691667 52.552, 272059.1667200825 6616908.095712097 52.552, 272059.2600083976 6616908.127441466 52.552, 272059.4040199132 6616908.164619983 52.552, 272059.4148869367 6616908.173681049 52.552, 272059.49640524935 6616908.186385307 52.552, 272059.73370507907 6616908.255293191 52.552, 272059.84782446176 6616908.295180645 52.552, 272060.507194791 6616908.47652706 52.552, 272060.70373546344 6616908.539082816 52.552, 272061.064215738 6616908.637011129 52.562, 272061.7552841517 6616908.835576693 52.562, 272062.44635256194 6616909.034142256 52.562, 272062.6111951412 6616909.079478858 52.562, 272062.9408802994 6616909.170152061 52.562, 272063.2913965238 6616909.268983349 52.562, 272063.31222759106 6616909.277141435 52.562, 272063.33305865846 6616909.285299525 52.562, 272063.7252370156 6616909.400446984 52.562, 272064.26142688224 6616909.552772958 52.562, 272064.52952181484 6616909.628935946 52.632, 272064.75595461315 6616909.68878276 52.612, 272064.90086910216 6616909.735925321 52.592, 272065.4877821627 6616909.893700438 52.572, 272066.12722437596 6616910.076852794 52.572, 272066.1688865095 6616910.093168966 52.572, 272066.32376504026 6616910.139408541 52.582, 272066.54023379186 6616910.200158333 52.612, 272066.622655079 6616910.2228266345 52.612, 272066.9523402278 6616910.313499832 52.632, 272067.0863876913 6616910.351581322 52.632, 272067.18964004476 6616910.382407708 52.632, 272067.56098732457 6616910.489397077 52.642, 272067.64340861095 6616910.512065373 52.642, 272068.16963441833 6616910.665294319 52.632, 272068.33086507453 6616910.670774742 52.632, 272068.3607572054 6616910.668065802 52.632, 272068.3806852925 6616910.666259845 52.632, 272068.5020597741 6616910.675352185 52.652, 272068.82361810666 6616910.676348988 52.652, 272069.0355719584 6616910.687278556 52.662, 272069.0654640893 6616910.684569621 52.672, 272069.1460794172 6616910.687309833 52.672, 272069.2876674997 6616906.485348766 54.422, 272069.2360413244 6616906.469935574 54.432, 272069.2143072801 6616906.451813445 54.432, 272068.66725041694 6616906.290426397 54.422, 272068.58482913196 6616906.267758097 54.432, 272068.3049642097 6616906.172569997 54.432, 272067.80863054004 6616906.016632095 54.382, 272067.64378796925 6616905.9712954955 54.372, 272067.5197045511 6616905.932311018 54.362, 272067.36482602335 6616905.886071437 54.362, 272067.3231638913 6616905.869755261 54.362, 272066.83769724076 6616905.722878428 54.342, 272065.1403542671 6616905.28399131 54.292, 272058.3592653674 6616903.065581772 54.422, 272055.34159462445 6616901.470521291 54.482, 272052.9136710096 6616899.621098162 54.452, 272047.9503067798 6616894.957545231 54.262, 272047.1865351837 6616892.404787194 54.482, 272045.67188419576 6616886.554707833 54.342, 272045.64778549154 6616885.291111288 54.262, 272045.15204644436 6616883.035531163 54.291, 272045.13756751455 6616882.986613914 54.301, 272045.12399156194 6616882.947660712 54.311, 272045.1221856077 6616882.92773262 54.311, 272044.7649150585 6616881.091576676 54.311, 272045.1221856077 6616882.92773262 54.311)</t>
  </si>
  <si>
    <t>['EV18 S62D1 m1569 KD2 m405-410']</t>
  </si>
  <si>
    <t>LINESTRING Z (271953.17398193106 6616961.541413447 58.971, 271954.75966367405 6616966.069048874 58.881, 271956.4503727804 6616970.757946223 58.781, 271958.351977031 6616976.000346678 58.671, 271960.1422645765 6616980.9012290165 58.561, 271961.27458364354 6616983.86260818 58.491, 271963.5526731463 6616990.266349781 57.821, 271972.85670449055 6616981.858627248 57.371, 271982.16073566535 6616973.450906004 56.921, 271984.59068872174 6616971.332021519 57.001, 271988.5653817485 6616967.968099225 56.662, 271996.2366460432 6616961.386010413 56.822, 271999.6133086068 6616958.739312903 56.892, 272003.6133474611 6616955.43336976 56.842, 272007.4629913194 6616952.241515049 56.862, 272007.97034852114 6616951.853976333 56.572, 272014.6086509175 6616946.510731015 55.962, 272017.74069574394 6616944.046936614 55.902, 272018.5850870714 6616943.387753469 55.832, 272019.14681064617 6616942.935012653 55.212, 272016.3097692032 6616940.007572894 55.302, 272012.9649363436 6616935.800094924 55.442, 272010.0930224946 6616931.26847433 55.551, 272007.6695534617 6616926.475204357 55.671, 272005.72893635073 6616921.4673963515 55.801, 272004.79867167136 6616918.2968352735 55.871, 272002.1042037095 6616920.48991903 57.981, 272001.73818029976 6616920.774236481 58.081, 272000.98891432316 6616921.374569502 58.181, 271990.26357139664 6616930.172282907 58.101, 271981.8186272903 6616937.1961813895 58.331, 271978.2126968425 6616940.195169865 58.131, 271974.30868530716 6616943.452227129 57.781, 271971.23184622463 6616946.081799316 57.681, 271967.7953357877 6616948.9549300615 57.141, 271963.8405384148 6616952.427553865 57.141, 271961.05726539006 6616954.749237576 57.571, 271957.0037304092 6616958.240855647 58.751, 271953.17398193106 6616961.541413447 58.971, 271957.0037304092 6616958.240855647 58.751)</t>
  </si>
  <si>
    <t>['EV18 S62D1 m1569 KD2 m379-387']</t>
  </si>
  <si>
    <t>LINESTRING Z (271933.90629236924 6616979.059573668 59.141, 271935.1575894145 6616980.8950777855 59.141, 271946.2459836897 6616995.169992183 59.131, 271946.87203787465 6616994.651145628 59.131, 271939.8109946047 6616973.380970447 59.121, 271933.90629236924 6616979.059573668 59.141, 271939.8109946047 6616973.380970447 59.121)</t>
  </si>
  <si>
    <t>['EV18 S62D1 m1569 KD2 m523-527']</t>
  </si>
  <si>
    <t>LINESTRING Z (272045.67188419576 6616886.554707833 54.342, 272047.1865351837 6616892.404787194 54.482, 272047.9503067798 6616894.957545231 54.262, 272052.9136710096 6616899.621098162 54.452, 272055.34159462445 6616901.470521291 54.482, 272058.3592653674 6616903.065581772 54.422, 272065.1403542671 6616905.28399131 54.542, 272068.5098819055 6616905.440742475 54.642, 272074.63602936367 6616901.429787494 54.722, 272081.04690055957 6616896.348259325 54.862, 272084.9227297435 6616893.4453657465 54.912, 272090.65314916347 6616889.058393368 55.082, 272095.9342210218 6616884.923106182 55.212, 272107.23432468507 6616877.5902435025 55.442, 272113.9909770899 6616873.331281012 55.542, 272120.58197772736 6616868.685496087 55.672, 272127.8587222231 6616863.84697092 55.772, 272133.0164562933 6616860.235202621 55.672, 272138.2547741992 6616856.736682261 55.702, 272143.1478685726 6616853.641144609 55.672, 272154.44778156315 6616846.971331916 55.962, 272156.92487580463 6616844.707538616 56.652, 272155.9407434479 6616843.048742995 56.712, 272154.6514631981 6616841.015766145 56.722, 272153.09963146946 6616838.524380874 56.712, 272151.43732373393 6616835.922456824 56.632, 272149.62381221587 6616833.093134441 56.642, 272147.9552150949 6616830.310954592 56.642, 272145.928006709 6616827.229759498 56.702, 272144.51290007564 6616824.916854934 56.702, 272142.35986522783 6616821.555732276 57.372, 272135.2262911289 6616826.20045405 55.952, 272117.90469680465 6616835.816931995 55.832, 272111.478662641 6616840.066022193 55.792, 272106.86455977155 6616843.136276811 55.732, 272099.0661651388 6616847.650377687 55.482, 272094.5408353718 6616850.7025420945 55.552, 272090.20482230606 6616853.737550218 55.402, 272085.52542286867 6616857.084961801 55.232, 272081.2464223184 6616860.305675294 55.192, 272077.0290119048 6616863.540899243 55.222, 272072.30879042915 6616867.102974332 55.062, 272068.79530901427 6616869.902708933 54.992, 272063.72550548456 6616873.265409697 54.962, 272057.5812970422 6616877.077082675 54.742, 272051.933484701 6616880.823679107 54.582, 272048.01976041344 6616883.197575652 54.492, 272045.67188419576 6616886.554707833 54.342, 272048.01976041344 6616883.197575652 54.492)</t>
  </si>
  <si>
    <t>['EV18 S62D1 m4866 KD1 m388-389']</t>
  </si>
  <si>
    <t>LINESTRING Z (274681.93172816694 6615713.36355552 100.533, 274692.34455232613 6615701.008150748 99.993, 274696.8940605714 6615695.563032218 100.273, 274698.03038984985 6615693.913035315 100.253, 274699.3235288083 6615691.887186057 100.443, 274700.20350707497 6615690.2905552 100.553, 274700.91226216266 6615688.799850423 100.523, 274701.12821053516 6615687.524576896 100.413, 274701.33783886867 6615686.179556556 100.353, 274701.3356151256 6615684.492089826 100.283, 274701.0669795595 6615683.1904069735 100.373, 274700.53299665276 6615681.731946748 100.443, 274699.67033661564 6615679.861260944 100.543, 274698.9753853432 6615677.513278702 100.593, 274698.67637580977 6615674.767775345 100.733, 274698.6401344364 6615671.707137798 100.783, 274698.6264647173 6615668.89559606 100.873, 274699.01354217844 6615664.741807274 100.793, 274699.25148294715 6615662.600615581 100.713, 274699.33454909606 6615660.413183844 100.753, 274699.0733631195 6615658.417676464 100.913, 274698.96798704367 6615656.367867955 100.963, 274698.96834289853 6615655.152312771 100.913, 274694.4349285343 6615655.121094877 103.233, 274686.52374220756 6615655.506452216 106.723, 274682.46849433787 6615655.7634120295 108.483, 274678.2165811869 6615656.399835712 109.713, 274678.29148351087 6615660.441443805 109.533, 274681.16966770426 6615671.029937503 109.413, 274683.09190905845 6615676.611910377 109.273, 274684.24493809696 6615679.802401439 109.313, 274685.3068425746 6615681.765535224 109.213, 274685.4595559395 6615683.007402927 109.333, 274685.4294704861 6615683.673141704 109.353, 274682.2822523259 6615685.52544497 109.363, 274670.10992516903 6615693.318831164 109.763, 274666.0430991447 6615695.997842366 109.793, 274663.25754581415 6615696.963494177 110.003, 274660.8065374325 6615699.9581892695 109.973, 274661.9385123807 6615700.809952693 109.643, 274673.6780331701 6615707.973569 104.873, 274681.93172816694 6615713.36355552 100.533, 274673.6780331701 6615707.973569 104.873)</t>
  </si>
  <si>
    <t>['EV18 S62D1 m4259-4318']</t>
  </si>
  <si>
    <t>LINESTRING Z (274277.5135626358 6616136.627825058 93.723, 274280.5418980329 6616135.569840527 93.703, 274283.898137978 6616134.472096367 93.743, 274288.33689123904 6616133.015069514 93.663, 274292.90975294687 6616131.375113527 93.693, 274299.3631078332 6616129.424111974 93.623, 274303.56089013733 6616128.079332813 93.693, 274306.50496759906 6616127.089258015 93.673, 274309.01511764387 6616126.29923568 93.653, 274311.3359223319 6616125.636873918 93.663, 274316.93148131564 6616123.753558704 93.703, 274319.4486947168 6616123.59577428 93.823, 274323.48163718404 6616122.205658802 93.873, 274327.0697535374 6616121.1170401955 93.873, 274329.42605851026 6616119.848720868 93.843, 274332.8009940093 6616116.740147459 93.543, 274335.9040687991 6616114.068082437 92.963, 274335.7357457867 6616113.540868816 92.863, 274332.4442200313 6616113.246444114 92.783, 274329.3636771783 6616113.173996907 92.783, 274325.9823167917 6616113.440225136 92.743, 274325.40621866536 6616113.512521155 92.793, 274321.713957672 6616117.66446362 92.983, 274319.04587249475 6616119.593913624 93.073, 274317.06367954146 6616120.778103453 93.093, 274315.18941097835 6616121.490412141 93.043, 274313.1856441198 6616122.1039532 93.063, 274311.7916063536 6616122.24032341 93.013, 274309.8861512763 6616121.167326965 92.703, 274308.7650687186 6616120.214120381 92.563, 274307.6238987497 6616119.815246524 92.593, 274306.45722394873 6616119.910922235 92.553, 274305.32308555883 6616120.254791608 92.593, 274304.50775882584 6616120.6802735 92.613, 274302.19333816995 6616121.191371458 92.623, 274299.3471891874 6616121.82097321 92.623, 274297.4121704018 6616122.74974636 92.643, 274294.9391668376 6616123.506265481 92.633, 274293.9164366509 6616123.860130715 92.723, 274290.08373724617 6616125.02114156 92.743, 274288.17412734125 6616125.7868813975 92.883, 274286.39946506126 6616126.600666698 92.853, 274284.48060256604 6616128.040305806 92.843, 274282.07873655244 6616130.24700287 92.943, 274279.60070737504 6616132.721789537 93.203, 274276.7920010019 6616135.42745523 93.463, 274277.5135626358 6616136.627825058 93.723, 274276.7920010019 6616135.42745523 93.463)</t>
  </si>
  <si>
    <t>['EV18 S62D1 m1569 KD2 m343-351']</t>
  </si>
  <si>
    <t>LINESTRING Z (271911.4740480444 6616998.682831266 63.141, 271911.8969285467 6616999.136756503 63.141, 271921.3470203589 6617009.190181604 63.141, 271931.2208958197 6617019.707494282 63.141, 271932.7883666458 6617018.159018596 63.031, 271942.4792842185 6617009.364624418 59.451, 271942.80909453536 6617009.013267143 59.331, 271935.56940741645 6616994.861723201 59.071, 271926.80886214925 6616983.992367185 59.171, 271921.2420346418 6616989.630305943 60.441, 271919.57666631497 6616991.42875456 60.821, 271913.33776331507 6616996.966866237 62.701, 271911.4740480444 6616998.682831266 63.141, 271913.33776331507 6616996.966866237 62.701)</t>
  </si>
  <si>
    <t>['EV18 S62D1 m4869-4891']</t>
  </si>
  <si>
    <t>LINESTRING Z (274738.27954190853 6615718.815601923 99.223, 274738.8465114377 6615722.079287969 99.253, 274739.4939654084 6615725.787734801 99.203, 274739.83566908166 6615728.117497228 99.213, 274740.6892353995 6615733.213657042 99.193, 274741.3847031101 6615736.897661766 99.173, 274741.6487925652 6615738.260029917 99.163, 274742.3711528749 6615742.9059793195 99.163, 274743.0034206668 6615742.788412739 99.393, 274745.7705278997 6615739.845440427 101.593, 274747.14950262755 6615738.54514513 102.593, 274748.5221572741 6615737.175103073 103.523, 274749.6424920714 6615734.461717777 103.623, 274748.632471368 6615728.525855928 103.493, 274746.88096978783 6615718.287329187 103.333, 274746.60878706054 6615716.724781628 103.373, 274744.3977537656 6615713.720573727 103.263, 274743.1222545636 6615714.278160561 102.503, 274740.0943459729 6615717.003669245 100.343, 274738.27954190853 6615718.815601923 99.223, 274740.0943459729 6615717.003669245 100.343)</t>
  </si>
  <si>
    <t>2018-04-03</t>
  </si>
  <si>
    <t>['FV72 S5D1 m1907-1933']</t>
  </si>
  <si>
    <t>LINESTRING Z (353808.92217238445 7062971.003269365 295.636, 353807.53755842824 7062973.099244204 296.842, 353807.6779315283 7062975.145059704 297.825, 353805.258085864 7062976.348152313 297.038, 353802.7483086635 7062977.513508875 296.868, 353800.13879767625 7062976.48860715 296.326, 353799.4809845952 7062977.310871463 296.469, 353796.9047846908 7062977.610657549 296.355, 353796.71714465093 7062976.663089256 295.833, 353795.49670678773 7062978.262497876 295.945, 353793.79705739056 7062978.249752754 295.296, 353792.4067251935 7062978.055217497 294.783, 353791.7983186686 7062978.079350233 294.751, 353791.79741681623 7062978.0804395415 294.75, 353788.0768444601 7062978.771204313 294.259, 353785.87373360083 7062979.18250934 294.175)</t>
  </si>
  <si>
    <t>POLYGON ((353791.86046562274 7062978.577278327, 353792.38179280836 7062978.556599636, 353793.7277723294 7062978.744929067, 353793.7933081576 7062978.749738697, 353795.49295755476 7062978.762483818, 353795.5443567816 7062978.760222175, 353795.5952514911 7062978.752690636, 353795.6451028111 7062978.739968943, 353795.6933829167 7062978.722191796, 353795.7395806188 7062978.699547417, 353795.7832067772 7062978.6722755665, 353795.82379947876 7062978.640664997, 353795.86092892877 7062978.6050504, 353795.894202001 7062978.565808863, 353796.45594515296 7062977.829633048, 353796.464497493 7062977.847611519, 353796.4901880395 7062977.890138526, 353796.5199723973 7062977.929905883, 353796.5535564696 7062977.966520918, 353796.5906086405 7062977.999622084, 353796.63076304935 7062978.028882537, 353796.67362320336 7062978.054013351, 353796.71876589267 7062978.07476638, 353796.7657453693 7062978.090936705, 353796.8140977483 7062978.102364656, 353796.8633455886 7062978.108937391, 353796.91300260695 7062978.110590011, 353796.9625784799 7062978.107306195, 353799.5387783843 7062977.807520109, 353799.58686314366 7062977.799532627, 353799.633941657 7062977.786901019, 353799.67956650077 7062977.769745331, 353799.7233040666 7062977.74822861, 353799.7647386825 7062977.722555344, 353799.80347656313 7062977.692969527, 353799.8391495524 7062977.659752336, 353799.8714186223 7062977.623219459, 353800.29902104737 7062977.088717752, 353802.5655231585 7062977.978900601, 353802.6134365343 7062977.994974875, 353802.66272780363 7062978.006130349, 353802.71289339237 7062978.012253056, 353802.7634207939 7062978.013280447, 353802.81379380554 7062978.009202022, 353802.8634978016 7062978.00005945, 353802.9120249914 7062977.985946135, 353802.95887960686 7062977.96700626, 353805.4686568074 7062976.801649698, 353805.48068111244 7062976.795870255, 353807.90052677674 7062975.592777645, 353807.94333257683 7062975.568807605, 353807.9835832023 7062975.54075789, 353808.02089113643 7062975.508898552, 353808.05489719356 7062975.47353632, 353808.085273977 7062975.435011648, 353808.1117290313 7062975.393695435, 353808.1340076579 7062975.349985456, 353808.1518953671 7062975.304302536, 353808.1652199432 7062975.257086489, 353808.17385310266 7062975.208791894, 353808.1777117288 7062975.1598837115, 353808.17675867234 7062975.110832809, 353808.0479621424 7062973.233735722, 353809.33936078456 7062971.278866605, 353808.50498398434 7062970.727672125, 353807.12037002813 7062972.8236469645, 353807.0965354034 7062972.863662601, 353807.07652769535 7062972.905722465, 353807.06052051793 7062972.949461588, 353807.0486527713 7062972.994500428, 353807.0410274361 7062973.040448168, 353807.03771068016 7062973.086906103, 353807.0387312842 7062973.1334711, 353807.156239173 7062974.846046088, 353805.0414642279 7062975.897464427, 353802.73187008913 7062976.969870648, 353800.3215831812 7062976.023215423, 353800.27530761994 7062976.007602955, 353800.2277296572 7062975.996579607, 353800.1793032204 7062975.990250549, 353800.1304903322 7062975.988676166, 353800.08175670187 7062975.991871478, 353800.0335672827 7062975.999806, 353799.986381836 7062976.012404029, 353799.94065054413 7062976.029545373, 353799.89680971595 7062976.051066492, 353799.855277624 7062976.076762057, 353799.8164505138 7062976.106386916, 353799.7806988234 7062976.139658426, 353799.7483636491 7062976.1762591535, 353799.2189806576 7062976.837986253, 353797.3055785378 7062977.060644181, 353797.20762060466 7062976.565963879, 353797.1955100146 7062976.517601872, 353797.17864342016 7062976.4706863295, 353797.1571885124 7062976.425683696, 353797.1313586003 7062976.383041396, 353797.1014104901 7062976.343183387, 353797.0676419318 7062976.306505947, 353797.03038865933 7062976.27337373, 353796.9900210521 7062976.244116142, 353796.94694045297 7062976.21902407, 353796.90157517785 7062976.198346983, 353796.8543762575 7062976.182290455, 353796.805812953 7062976.171014127, 353796.7563680904 7062976.1646301085, 353796.7065332606 7062976.16320187, 353796.6568039313 7062976.166743613, 353796.6076745215 7062976.175220123, 353796.55963348574 7062976.188547126, 353796.5131584576 7062976.206592122, 353796.46871150105 7062976.2291757045, 353796.4267345167 7062976.256073343, 353796.3876448481 7062976.287017614, 353796.35183113266 7062976.321700865, 353796.3196494377 7062976.359778268, 353795.2507145178 7062977.760639203, 353793.83373291 7062977.750013716, 353792.47601025464 7062977.560041185, 353792.43155816436 7062977.555834554, 353792.3869080377 7062977.555610371, 353791.77850151283 7062977.579743107, 353791.7069302349 7062977.587773022, 353787.9854560264 7062978.279627102, 353785.78197261225 7062978.691001536, 353785.9654945894 7062979.674017144, 353788.1683604245 7062979.262757862, 353791.86046562274 7062978.577278327))</t>
  </si>
  <si>
    <t>['FV72 S5D1 m1974-2025']</t>
  </si>
  <si>
    <t>LINESTRING Z (353890.6826293996 7062985.2341422215 301.081, 353888.9806129099 7062984.257391685 301.227, 353886.97790025896 7062982.593813859 300.946, 353885.1136657428 7062982.187771014 300.969, 353882.3903114636 7062980.839121144 300.532, 353879.5143051781 7062979.938745421 300.438, 353874.5302784752 7062977.877868498 300.226, 353872.1666769972 7062978.579489686 300.914, 353873.9854714254 7062980.060506106 302.429, 353876.0150863624 7062983.844863193 303.751, 353873.77762657596 7062983.933974847 302.936, 353869.8674391692 7062982.439931074 301.839, 353867.0823983329 7062983.028559025 301.41, 353866.2727144705 7062983.272521949 301.575, 353866.0001425737 7062982.660386009 301.43, 353865.7685209296 7062982.141822098 301.338, 353865.2483837954 7062977.395761273 300.044, 353863.11212693626 7062976.351416034 300.264, 353862.52069891756 7062978.8176674675 301.266, 353862.09859428497 7062979.231044925 301.241, 353861.30981183646 7062979.697022365 301.291, 353860.05682474934 7062979.531742036 301.368, 353859.13104883267 7062979.513436236 301.419, 353858.8565554383 7062979.318309202 301.299, 353857.04885487084 7062979.235384232 302.013, 353856.25802457053 7062976.692357282 301.907, 353856.97010281193 7062975.881054988 301.183, 353857.9339509723 7062975.236886884 300.259, 353856.5669761301 7062975.098408306 300.258, 353855.15090784273 7062976.081449895 301.374, 353853.22025124216 7062976.164778877 301.09, 353849.9867859931 7062976.695182909 301.177, 353847.4546372959 7062976.502680989 302.074, 353846.73722377303 7062974.888847531 302.037, 353846.95623238623 7062973.705128087 300.437, 353846.22727981745 7062972.89690936 300.209, 353845.21061029145 7062971.016958492 299.138)</t>
  </si>
  <si>
    <t>POLYGON ((353856.28684098803 7062975.901550286, 353855.88223907317 7062976.362531177, 353855.8505544879 7062976.402584731, 353855.8231209568 7062976.445661424, 353855.80022468825 7062976.491311845, 353855.7821045546 7062976.539059734, 353855.7689495994 7062976.588406945, 353855.76089706586 7062976.638838649, 353855.7580309643 7062976.689828703, 353855.7603811962 7062976.740845136, 353855.7679232422 7062976.791355706, 353855.7805784176 7062976.840833445, 353856.5714087179 7062979.383860395, 353856.58899966016 7062979.431682946, 353856.61136654404 7062979.477466788, 353856.6382770726 7062979.520736421, 353856.6694517597 7062979.561042457, 353856.704566833 7062979.597966288, 353856.743257596 7062979.631124432, 353856.78512221604 7062979.660172517, 353856.8297258977 7062979.684808857, 353856.87660539825 7062979.704777584, 353856.92527383886 7062979.7198713105, 353856.97522576124 7062979.729933274, 353857.0259423772 7062979.734858974, 353858.68672908377 7062979.811044537, 353858.8413542579 7062979.920961761, 353858.8833564664 7062979.9477730775, 353858.92781878763 7062979.970270505, 353858.97429961583 7062979.988230595, 353859.0223372975 7062980.001474966, 353859.07145471615 7062980.009872074, 353859.1211640312 7062980.013338517, 353860.01907133043 7062980.031093258, 353861.24442373734 7062980.192728323, 353861.29172171786 7062980.1966950055, 353861.33918271447 7062980.196158972, 353861.3863790403 7062980.19112505, 353861.4328853935 7062980.181638605, 353861.47828268976 7062980.16778512, 353861.52216183883 7062980.149689436, 353861.5641274311 7062980.127514617, 353862.3529098796 7062979.661537176, 353862.4028857694 7062979.627790048, 353862.4484354859 7062979.588271931, 353862.8705401185 7062979.1748944735, 353862.9023360947 7062979.1407047175, 353862.9308043113 7062979.103698175, 353862.9556965343 7062979.064197534, 353862.9767957112 7062979.022547225, 353862.99391786364 7062978.979110426, 353863.0069136917 7062978.934265896, 353863.4528886307 7062977.074552967, 353864.78136289335 7062977.724000043, 353865.2714968298 7062982.196292679, 353865.2797988226 7062982.247418983, 353865.2933454332 7062982.2974120965, 353865.3119912888 7062982.3457355285, 353865.54349571356 7062982.864037004, 353865.81595045276 7062983.475909835, 353865.83762323717 7062983.518886757, 353865.8633279695 7062983.559580642, 353865.8928264464 7062983.597614381, 353865.92584530835 7062983.632635521, 353865.9620785728 7062983.664319524, 353866.0011904696 7062983.692372777, 353866.04281855264 7062983.716535313, 353866.08657705865 7062983.736583221, 353866.1320604818 7062983.7523307195, 353866.17884733167 7062983.763631877, 353866.2265040391 7062983.770381966, 353866.2745889741 7062983.7725184355, 353866.32265653816 7062983.770021487, 353866.37026129407 7062983.762914259, 353866.41696209315 7062983.751262614, 353867.20643907215 7062983.513388153, 353869.8266438667 7062982.959598865, 353873.5991649666 7062984.40104171, 353873.6472619354 7062984.416680824, 353873.6966927432 7062984.427381084, 353873.74695163366 7062984.433033008, 353873.79752437794 7062984.433578768, 353876.03498416435 7062984.344467114, 353876.0829523263 7062984.340235993, 353876.1302910051 7062984.331410098, 353876.1765611162 7062984.318071291, 353876.22133348626 7062984.300343296, 353876.2641928344 7062984.278390546, 353876.3047416233 7062984.252416662, 353876.3426037474 7062984.222662562, 353876.3774280207 7062984.189404225, 353876.40889143466 7062984.152950137, 353876.4367021539 7062984.113638423, 353876.4606022231 7062984.071833715, 353876.48036996 7062984.027923767, 353876.4958220111 7062983.982315862, 353876.50681505265 7062983.935433029, 353876.5132471199 7062983.887710126, 353876.51505855296 7062983.839589802, 353876.51223255007 7062983.791518389, 353876.50479532353 7062983.743941771, 353876.4928158565 7062983.697301239, 353876.4764052631 7062983.6520294, 353876.455715758 7062983.6085461695, 353874.42610082106 7062979.824189083, 353874.40064681624 7062979.781885585, 353874.3711448641 7062979.742298629, 353874.337882608 7062979.705814186, 353874.30118435354 7062979.672787978, 353873.2163864805 7062978.7894537, 353874.5028340653 7062978.4075793065, 353879.3232463535 7062980.400802264, 353879.3649222686 7062980.41590865, 353882.20353470725 7062981.304577683, 353884.8917752677 7062982.635838661, 353884.9482731865 7062982.659624065, 353885.0072571278 7062982.676317027, 353886.7522721477 7062983.056393062, 353888.6611274044 7062984.642007092, 353888.69537897216 7062984.668051642, 353888.73174296925 7062984.691054864, 353890.43375945895 7062985.667805401, 353890.9314993402 7062984.800479042, 353889.2669069853 7062983.8452054085, 353887.2973857644 7062982.209198452, 353887.2591556 7062982.18041885, 353887.2183493492 7062982.155425635, 353887.1753407666 7062982.134447724, 353887.13052377827 7062982.117677259, 353887.084308874 7062982.105267846, 353885.28031072085 7062981.712344887, 353882.6122019387 7062980.391053497, 353882.5765173168 7062980.37508733, 353882.5396943731 7062980.361957916, 353879.6848612052 7062979.4682107465, 353874.7213372998 7062977.415811655, 353874.67557743 7062977.399445867, 353874.6284448892 7062977.387599842, 353874.5803849489 7062977.380385492, 353874.5318516417 7062977.377870972, 353874.4833034725 7062977.38008004, 353874.43519908644 7062977.386991823, 353874.3879929362 7062977.398541026, 353872.0243914582 7062978.100162214, 353871.9778880744 7062978.116500763, 353871.93321935117 7062978.1373386625, 353871.89081938134 7062978.162473408, 353871.85110021004 7062978.1916607395, 353871.81444783026 7062978.224617013, 353871.78121843166 7062978.261021957, 353871.75173493923 7062978.300521787, 353871.7262838752 7062978.342732641, 353871.70511257416 7062978.387244313, 353871.68842678 7062978.433624235, 353871.6763886461 7062978.481421685, 353871.6691151597 7062978.530172165, 353871.6666770049 7062978.579401915, 353871.6690978758 7062978.6286325175, 353871.6763542463 7062978.677385548, 353871.68837559846 7062978.725187222, 353871.70504510833 7062978.771572999, 353871.7262007807 7062978.8160921, 353871.75163702364 7062978.858311888, 353871.78110664646 7062978.897822066, 353871.81432326185 7062978.934238674, 353871.8509640691 7062978.967207814, 353873.5921468772 7062980.385026282, 353875.19682314165 7062983.377055895, 353873.8602467581 7062983.430287927, 353870.04590077855 7062981.972864212, 353870.0005295739 7062981.957969516, 353869.95394437277 7062981.947471076, 353869.90657010645 7062981.941464656, 353869.85883890366 7062981.940005044, 353869.81118614896 7062981.943105554, 353869.7640465115 7062981.950737904, 353866.9790056752 7062982.539365855, 353866.93815071025 7062982.549818361, 353866.5502769476 7062982.666687205, 353866.4569065915 7062982.456998124, 353866.45667221455 7062982.456472578, 353866.25700829097 7062982.009456906, 353865.7454078952 7062977.341290692, 353865.7374147245 7062977.291603938, 353865.72446734906 7062977.2429723665, 353865.7066969344 7062977.195888647, 353865.6842835065 7062977.150829769, 353865.657454128 7062977.108252207, 353865.62648059835 7062977.068587301, 353865.5916766995 7062977.032236883, 353865.55339501804 7062976.999569206, 353865.51202337246 7062976.970915214, 353865.4679808845 7062976.946565193, 353863.33172402537 7062975.902219954, 353863.28603914607 7062975.8826361885, 353863.23863557423 7062975.867685153, 353863.1899817773 7062975.857514602, 353863.1405585776 7062975.852225047, 353863.0908544014 7062975.85186876, 353863.04136045167 7062975.856449262, 353862.9925658537 7062975.865921289, 353862.94495282153 7062975.88019123, 353862.8989918923 7062975.899118064, 353862.8551372761 7062975.922514746, 353862.8138223675 7062975.950150057, 353862.7754554623 7062975.98175089, 353862.7404157224 7062976.017004949, 353862.7090494291 7062976.055563835, 353862.68166656065 7062976.09704649, 353862.65853772906 7062976.141042958, 353862.63989150565 7062976.187118444, 353862.6259121621 7062976.234817605, 353862.0680427982 7062978.561129642, 353861.79207350174 7062978.831393167, 353861.2040929043 7062979.178745843, 353860.12221284845 7062979.036036079, 353860.0667095508 7062979.031839755, 353859.2950809315 7062979.016581982, 353859.1462500131 7062978.910783677, 353859.1061326649 7062978.885052687, 353859.06374767236 7062978.86325824, 353859.01948014315 7062978.84559836, 353858.97373228957 7062978.8322335025, 353858.92691977386 7062978.823285101, 353858.8794679319 7062978.81883446, 353857.4221458891 7062978.751982467, 353856.81870308553 7062976.81152658, 353857.30255174916 7062976.260256357, 353858.21177942783 7062975.652592729, 353858.2511432584 7062975.623395685, 353858.28745953285 7062975.590485099, 353858.3203793274 7062975.554177172, 353858.3495863516 7062975.514820746, 353858.37479998684 7062975.472793955, 353858.39577798266 7062975.428500591, 353858.4123187843 7062975.382366218, 353858.4242634691 7062975.334834091, 353858.4314972737 7062975.286360897, 353858.43395069614 7062975.2374123605, 353858.43160016433 7062975.188458776, 353858.42446826183 7062975.139970484, 353858.41262351145 7062975.0924133565, 353858.39617971645 7062975.046244318, 353858.3752948675 7062975.001906957, 353858.3501696243 7062974.959827263, 353858.3210453882 7062974.920409534, 353858.28820198216 7062974.884032492, 353858.25195496297 7062974.851045645, 353858.2126525887 7062974.821765927, 353858.1706724733 7062974.796474656, 353858.1264179581 7062974.775414827, 353858.0803142367 7062974.758788782, 353858.03280426963 7062974.746756263, 353857.9843445285 7062974.739432877, 353856.61736968637 7062974.600954299, 353856.5668993533 7062974.598408312, 353856.51642980444 7062974.600969798, 353856.4664765836 7062974.608612592, 353856.41754996026 7062974.621258623, 353856.3701497172 7062974.638778713, 353856.3247600454 7062974.660993894, 353856.2818445978 7062974.687677239, 353854.9847051188 7062975.588157862, 353853.1986908376 7062975.665243944, 353853.1393150236 7062975.671373031, 353849.964960169 7062976.192080843, 353847.7902460984 7062976.026752229, 353847.2570807042 7062974.827387951, 353847.44788815815 7062973.796092926, 353847.4545898369 7062973.745623165, 353847.45612432784 7062973.694733534, 353847.4524757207 7062973.643951679, 353847.44368184597 7062973.593804127, 353847.42983388226 7062973.54481083, 353847.41107541136 7062973.497479772, 353847.38760092924 7062973.452301703, 353847.35965382966 7062973.409745049, 353847.3275238803 7062973.370251055, 353846.6386326563 7062972.606449936, 353845.65041657834 7062970.779113101, 353844.77080400457 7062971.254803883, 353845.78747353057 7062973.134754751, 353845.81883926195 7062973.185312399, 353845.8559883234 7062973.231786392, 353846.41968784906 7062973.856782492, 353846.2455680011 7062974.797882692, 353846.2389342634 7062974.847524841, 353846.2373000628 7062974.897581599, 353846.2406817957 7062974.947550723, 353846.24904553196 7062974.996930855, 353846.2623073548 7062975.045226544, 353846.280334203 7062975.09195322, 353846.99774772587 7062976.705786678, 353847.0197813919 7062976.7494609365, 353847.0459773651 7062976.790773094, 353847.0760849059 7062976.829327722, 353847.10981583403 7062976.864755787, 353847.1468472874 7062976.8967181835, 353847.18682481244 7062976.924908977, 353847.2293657564 7062976.949058333, 353847.27406293043 7062976.968935102, 353847.3204885069 7062976.984349031, 353847.3681981145 7062976.99515258, 353847.41673509136 7062977.001242342, 353849.94888378854 7062977.193744263, 353850.0084568584 7062977.194713062, 353850.06772221165 7062977.188588755, 353853.27168280765 7062976.663024542, 353855.1724682473 7062976.580984828, 353855.2192347907 7062976.576759322, 353855.2653987002 7062976.568165258, 353855.3105528166 7062976.555278432, 353855.35429888696 7062976.538212506, 353855.39625107724 7062976.5171179995, 353855.4360393751 7062976.492180962, 353856.28684098803 7062975.901550286))</t>
  </si>
  <si>
    <t>2018-04-16</t>
  </si>
  <si>
    <t>['FV2700 S1D1 m667-678']</t>
  </si>
  <si>
    <t>LINESTRING Z (232784.47 6637996.77 10.724, 232783.73 6637994.34 10.254, 232782.55 6637992.25 11.414, 232782.42 6637990.95 11.454, 232782.17 6637989.59 11.634, 232782.63 6637988.66 12.404, 232783.77 6637989.37 12.894, 232784.99 6637988.94 13.434, 232786.2 6637987.29 13.634, 232787.84 6637987.63 14.004, 232790.27 6637987.51 15.104, 232786.64 6637997.62 14.384)</t>
  </si>
  <si>
    <t>POLYGON Z ((232784.47 6637996.77 10.724, 232783.73 6637994.34 10.254, 232782.55 6637992.25 11.414, 232782.42 6637990.95 11.454, 232782.17 6637989.59 11.634, 232782.63 6637988.66 12.404, 232783.77 6637989.37 12.894, 232784.99 6637988.94 13.434, 232786.2 6637987.29 13.634, 232787.84 6637987.63 14.004, 232790.27 6637987.51 15.104, 232786.64 6637997.62 14.384, 232784.47 6637996.77 10.724))</t>
  </si>
  <si>
    <t>['FV2700 S1D1 m676-698']</t>
  </si>
  <si>
    <t>LINESTRING Z (232772.23 6638005.06 12.644, 232767.27 6638009.68 13.174, 232764.85 6638009.77 14.164, 232767.03 6638006.75 13.924, 232769 6638003.83 14.084, 232771.11 6638001.41 14.084, 232772.96 6637997.89 14.294, 232774.51 6637995.85 13.944, 232775.71 6637992.53 13.544, 232776.93 6637990.87 13.394, 232779.27 6637991.22 11.854, 232778.35 6637994.77 11.794, 232777.5 6637997.68 11.934, 232776.21 6638000.57 12.014, 232774.69 6638002.87 12.034, 232774.66 6638004.92 12.064)</t>
  </si>
  <si>
    <t>POLYGON Z ((232772.23 6638005.06 12.644, 232767.27 6638009.68 13.174, 232764.85 6638009.77 14.164, 232767.03 6638006.75 13.924, 232769 6638003.83 14.084, 232771.11 6638001.41 14.084, 232772.96 6637997.89 14.294, 232774.51 6637995.85 13.944, 232775.71 6637992.53 13.544, 232776.93 6637990.87 13.394, 232779.27 6637991.22 11.854, 232778.35 6637994.77 11.794, 232777.5 6637997.68 11.934, 232776.21 6638000.57 12.014, 232774.69 6638002.87 12.034, 232774.66 6638004.92 12.064, 232772.23 6638005.06 12.644))</t>
  </si>
  <si>
    <t>['FV2700 S1D1 m692-705']</t>
  </si>
  <si>
    <t>LINESTRING Z (232776.99 6638017.3 14.654, 232774.58 6638016.95 14.584, 232771.43 6638015.25 14.594, 232770.04 6638014.41 14.384, 232768.05 6638017.38 15.194, 232766.51 6638018.65 15.274, 232765.81 6638016.03 13.644, 232767.82 6638013.16 13.304, 232770.76 6638010.23 12.894, 232773.04 6638009.57 12.704, 232776.3 6638009.32 12.104, 232779.02 6638010.5 12.094)</t>
  </si>
  <si>
    <t>POLYGON Z ((232776.99 6638017.3 14.654, 232774.58 6638016.95 14.584, 232771.43 6638015.25 14.594, 232770.04 6638014.41 14.384, 232768.05 6638017.38 15.194, 232766.51 6638018.65 15.274, 232765.81 6638016.03 13.644, 232767.82 6638013.16 13.304, 232770.76 6638010.23 12.894, 232773.04 6638009.57 12.704, 232776.3 6638009.32 12.104, 232779.02 6638010.5 12.094, 232776.99 6638017.3 14.654))</t>
  </si>
  <si>
    <t>['FV5336 S1D10 m830-881']</t>
  </si>
  <si>
    <t>LINESTRING Z (-45792.6000061035 6730884.88000488 69.082, -45795.4100036621 6730881.60998535 68.422, -45798.9700012207 6730877.7800293 68.192, -45802.5399932861 6730873.69000244 67.652, -45805.3699951172 6730870.07000732 67.372, -45808.3600006104 6730866.01000977 67.042, -45811.3899993896 6730861.76000977 66.662, -45813.3300018311 6730859.7199707 66.382, -45815.7400054932 6730858.04998779 65.972, -45818.5399932861 6730855.11999512 65.072, -45821.8500061035 6730852.22998047 63.972, -45825.9199981689 6730849.15997315 62.382)</t>
  </si>
  <si>
    <t>POLYGON ((-45795.03078386166 6730881.284113684, -45795.04377907674 6730881.26957449, -45798.59845366333 6730877.445345059, -45802.15441048349 6730873.371397935, -45804.97165520243 6730869.767721067, -45807.9551125999 6730865.716614891, -45810.98287385685 6730861.469753331, -45811.02767401771 6730861.415451611, -45812.96767645921 6730859.375412541, -45813.004749388965 6730859.340219665, -45813.04522177996 6730859.308995856, -45815.41355196143 6730857.66789008, -45818.17851131412 6730854.774552239, -45818.211143739274 6730854.743354741, -45821.52115655668 6730851.85334009, -45821.54890793719 6730851.830806455, -45825.61890000259 6730848.760799135, -45826.22109633521 6730849.559147165, -45822.16538297946 6730852.618384011, -45818.88586398615 6730855.481774112, -45816.101487465174 6730858.395430671, -45816.06479351659 6730858.430136103, -45816.02478554434 6730858.4609626345, -45813.65696293234 6730860.101716696, -45811.77664093461 6730862.078997888, -45808.76712614315 6730866.30026621, -45808.76260294372 6730866.306508271, -45805.77259745052 6730870.36650582, -45805.76390800214 6730870.377956404, -45802.933906171034 6730873.997951524, -45802.91668215843 6730874.018796438, -45799.346690093036 6730878.1088232985, -45799.336225806066 6730878.120440159, -45795.78286763571 6730881.943253349, -45792.979225903946 6730885.205876546, -45792.220786303056 6730884.554133214, -45795.03078386166 6730881.284113684))</t>
  </si>
  <si>
    <t>['RV52 S1D1 m3885-3904']</t>
  </si>
  <si>
    <t>LINESTRING Z (168222.951413099 6746668.87352214 -999999, 168217.552390923 6746671.10511798 -999999, 168213.017212296 6746673.62466166 -999999, 168207.546203157 6746676.43215319 -999999, 168206.250437835 6746677.22400978 -999999)</t>
  </si>
  <si>
    <t>POLYGON ((168217.361396434 6746670.643034541, 168217.30956945757 6746670.668039342, 168212.7815989242 6746673.183578526, 168207.317926009 6746675.987305414, 168207.28547815105 6746676.005512274, 168205.98971282906 6746676.7973688645, 168206.51116284094 6746677.650650696, 168207.7910431776 6746676.868501596, 168213.24548944397 6746674.069509435, 168213.2600337614 6746674.061740298, 168217.77001952936 6746671.556192651, 168223.14240758802 6746669.335605579, 168222.76041861 6746668.411438701, 168217.361396434 6746670.643034541))</t>
  </si>
  <si>
    <t>2018-07-18</t>
  </si>
  <si>
    <t>['EV6 S185D10 m405-551']</t>
  </si>
  <si>
    <t>LINESTRING Z (709589.9297774173 7723965.3812377425 3.186, 709587.6297774288 7723966.321237751 4.426, 709584.439777446 7723967.291237759 4.296, 709582.0497774581 7723968.141237765 4.326, 709579.5597774716 7723968.061237775 3.016, 709577.2297774837 7723968.651237783 3.046, 709574.3797774987 7723968.621237796 3.046, 709572.3297775097 7723968.251237802 2.976, 709570.6597775192 7723968.0612378055 2.866, 709568.7397775293 7723967.951237815 2.856, 709566.76977754 7723967.301237821 2.736, 709565.0397775499 7723966.13123783 3.986, 709562.9697775611 7723964.781237839 3.906, 709560.9897775721 7723963.32123785 2.576, 709559.6697775796 7723962.451237852 3.936, 709558.0697775885 7723960.961237864 4.106, 709556.5997775968 7723959.211237869 4.156, 709555.0097776062 7723956.871237881 2.836, 709553.7197776135 7723954.711237891 2.866, 709552.7597776199 7723951.981237896 4.156, 709551.5797776271 7723948.891237906 4.156, 709550.8897776315 7723946.541237911 4.206, 709549.8397776379 7723944.2212379165 3.946, 709548.2397776474 7723940.821237929 4.046, 709547.3497776533 7723938.711237934 4.156, 709546.2197776602 7723934.781237946 3.986, 709544.9297776691 7723929.791237955 3.996, 709543.2797776794 7723925.581237972 4.086, 709542.3097776849 7723924.321237975 3.996, 709541.0697776916 7723924.111237981 4.076, 709538.9697777026 7723924.511237987 4.176, 709537.1497777114 7723926.651237993 4.146, 709537.3397777095 7723929.881237986 4.026, 709538.3997777026 7723933.211237976 3.906, 709539.5297776958 7723935.841237965 3.826, 709540.7397776882 7723938.771237963 3.936, 709542.6497776773 7723943.181237943 3.986, 709543.4897776712 7723946.651237936 2.476, 709544.409777666 7723948.411237928 4.046, 709544.7997776626 7723951.451237924 2.856, 709547.1597776478 7723958.0512379045 4.216, 709547.8797776427 7723962.091237897 4.136, 709549.3597776337 7723965.551237885 4.376, 709550.189777628 7723968.371237878 4.116, 709551.7897776177 7723974.551237864 2.936, 709552.6797776106 7723981.121237848 2.986, 709554.3497775999 7723986.641237831 4.226, 709554.8397775956 7723991.431237823 4.256, 709555.60977759 7723996.371237814 3.996, 709557.5697775786 7724000.521237797 3.936, 709559.1397775683 7724004.971237787 4.076, 709560.5297775599 7724007.561237779 4.086, 709561.9497775516 7724010.121237767 3.946, 709562.3597775494 7724010.591237765 3.946, 709564.6097775365 7724013.121237758 4.086, 709566.0697775282 7724014.901237747 3.956, 709570.1397775051 7724018.891237729 3.996, 709575.1697774768 7724023.561237702 3.996, 709579.2197774539 7724026.5212376835 4.036, 709583.139777432 7724030.281237663 4.146, 709585.9497774162 7724032.231237651 4.096, 709587.3797774082 7724033.62123764 3.916, 709588.9297773992 7724035.641237632 3.926, 709591.2497773857 7724037.76123762 4.116, 709592.6997773775 7724040.091237613 4.096, 709594.6097773665 7724042.391237603 4.026, 709596.679777354 7724045.671237589 3.676, 709599.8597773361 7724049.181237571 3.886, 709601.8197773246 7724051.991237562 3.706, 709603.379777316 7724053.721237553 4.076, 709605.6997773028 7724056.321237539 3.976, 709607.1297772941 7724057.911237532 3.976, 709608.8797772845 7724059.701237524 3.266, 709610.7097772742 7724060.781237515 4.196)</t>
  </si>
  <si>
    <t>POLYGON ((709587.4621062076 7723965.849617942, 709584.2943159863 7723966.812864512, 709584.2722337248 7723966.820144243, 709581.9713246382 7723967.638459199, 709579.5758334419 7723967.561495636, 709579.5291681266 7723967.562175586, 709579.4827694938 7723967.567203594, 709579.4370417896 7723967.576535854, 709577.1700485706 7723968.150581358, 709574.4271470282 7723968.121708722, 709572.4185864895 7723967.759188044, 709572.3862991001 7723967.754442764, 709570.7162991096 7723967.564442768, 709570.6883764529 7723967.562056375, 709568.8340119905 7723967.455816753, 709566.9923747269 7723966.848169941, 709565.3198839237 7723965.717063447, 709565.31291144 7723965.712432532, 709563.2549489822 7723964.370283104, 709561.2865157324 7723962.918812125, 709561.2649342539 7723962.903758748, 709559.9798907733 7723962.056798269, 709558.4329363216 7723960.61619694, 709556.9990188865 7723958.90915237, 709555.4315544988 7723956.602317986, 709554.1748021408 7723954.497988454, 709553.2314638608 7723951.815370208, 709553.2268776536 7723951.802863126, 709552.0539445984 7723948.73136893, 709551.3695253468 7723946.400375817, 709551.3452964756 7723946.335076367, 709550.2952964819 7723944.015076372, 709550.2921869891 7723944.008339399, 709548.6965184497 7723940.617543745, 709547.8220651562 7723938.544401659, 709546.702173681 7723934.649557843, 709545.4138632864 7723929.666093578, 709545.3953011053 7723929.608788152, 709543.7453011156 7723925.398788169, 709543.726079284 7723925.355816416, 709543.7029013452 7723925.314842845, 709543.6759727529 7723925.276230655, 709542.7059727584 7723924.016230658, 709542.675810081 7723923.980620469, 709542.6424587157 7723923.947977567, 709542.6062092028 7723923.91858632, 709542.5673773295 7723923.892702769, 709542.5263013793 7723923.870552397, 709542.4833391851 7723923.852328169, 709542.4388650116 7723923.838188845, 709542.393266295 7723923.828257598, 709541.1532663017 7723923.618257605, 709541.109120434 7723923.612788236, 709541.0646631651 7723923.61126414, 709541.0202463783 7723923.613697381, 709540.9762216358 7723923.620068698, 709538.8762216468 7723924.020068704, 709538.8291742934 7723924.031414393, 709538.783444213 7723924.047255412, 709538.7394598374 7723924.067443349, 709538.6976332437 7723924.0917890705, 709538.6583562932 7723924.120064489, 709538.6219969603 7723924.152004699, 709538.5888958852 7723924.187310463, 709536.7688958939 7723926.327310468, 709536.7397604947 7723926.3650809, 709536.7143570344 7723926.405455906, 709536.692916733 7723926.4480679985, 709536.675634738 7723926.492529326, 709536.6626683489 7723926.538435205, 709536.6541355841 7723926.585367804, 709536.6501141085 7723926.632899948, 709536.6506405248 7723926.680599003, 709536.8406405229 7723929.910598996, 709536.8448028967 7723929.951948203, 709536.8523847195 7723929.99280892, 709536.8633336135 7723930.032898868, 709537.9233336067 7723933.362898859, 709537.9403860777 7723933.408619168, 709539.0689873431 7723936.0353637105, 709540.2776348769 7723938.962088747, 709540.2809619273 7723938.969954086, 709542.1739090539 7723943.340580702, 709543.0038137764 7723946.76887761, 709543.0217561721 7723946.827180757, 709543.046664949 7723946.882865041, 709543.9252248675 7723948.563588365, 709544.303842108 7723951.514861235, 709544.3135787841 7723951.567902617, 709544.3289712972 7723951.619586866, 709546.6748778527 7723958.180173017, 709547.3875337619 7723962.178964529, 709547.4006957645 7723962.234348183, 709547.4200677937 7723962.287876791, 709548.88845749 7723965.7207337925, 709549.7077989838 7723968.504520567, 709551.298291017 7723974.647796071, 709552.184303061 7723981.188356927, 709552.1912056447 7723981.2275272375, 709552.2011998316 7723981.266024966, 709553.8572690802 7723986.739978429, 709554.3423733814 7723991.482120508, 709554.3457430119 7723991.508243213, 709555.1157430063 7723996.4482432045, 709555.1253414513 7723996.495018376, 709555.1393580445 7723996.540664646, 709555.1576649519 7723996.584765711, 709557.1067592353 7724000.711674532, 709558.6682628429 7724005.13759242, 709558.6823943572 7724005.173229367, 709558.6992147203 7724005.207678852, 709560.0892147119 7724007.797678844, 709560.092537889 7724007.803769159, 709561.5125378807 7724010.363769147, 709561.5404922792 7724010.4084407715, 709561.5729930229 7724010.449922143, 709561.9829930207 7724010.91992214, 709561.9861543778 7724010.923511336, 709564.2295187163 7724013.44604991, 709565.6831862322 7724015.218329484, 709565.7197505934 7724015.258282765, 709569.7897505703 7724019.248282747, 709569.7995798979 7724019.25766042, 709574.8295798696 7724023.927660393, 709574.8747441923 7724023.964915, 709578.8977735086 7724026.905203091, 709582.79366484 7724030.64207845, 709582.8232044054 7724030.668253836, 709582.8547165203 7724030.692017746, 709585.6308409189 7724032.618509766, 709587.0052197762 7724033.954444456, 709588.5331006799 7724035.945618283, 709588.5613721039 7724035.979287242, 709588.5924918492 7724036.010342574, 709590.8616537083 7724038.083887031, 709592.2752672373 7724040.355417742, 709592.3151189642 7724040.410671338, 709594.2043179439 7724042.685622992, 709596.2569410285 7724045.938088562, 709596.281596731 7724045.973648223, 709596.3092346361 7724046.006942957, 709599.4678787448 7724049.49337089, 709601.4096819962 7724052.277282702, 709601.4484506025 7724052.326075532, 709603.0075761443 7724054.05510578, 709605.3267066522 7724056.65413135, 709605.328013991 7724056.655590706, 709606.7580139823 7724058.245590699, 709606.772251773 7724058.260773656, 709608.5222517634 7724060.050773648, 709608.55429668 7724060.080793022, 709608.5888517544 7724060.107885204, 709608.6256504927 7724060.131841255, 709610.4556504824 7724061.211841246, 709610.9639040659 7724060.350633783, 709609.1909757394 7724059.30431543, 709607.4945797573 7724057.569144681, 709606.0721956852 7724055.987612737, 709603.7528479666 7724053.388343742, 709603.7511040381 7724053.386399584, 709602.2120116882 7724051.679585631, 709600.2698726645 7724048.895192431, 709600.230320054 7724048.845532203, 709597.0794546846 7724045.367690237, 709595.032613692 7724042.124386629, 709594.9944357799 7724042.071803877, 709593.1062481338 7724039.79807006, 709591.6742875259 7724037.497057491, 709591.6484489322 7724037.459474471, 709591.6192932057 7724037.424402262, 709591.5870629357 7724037.392132679, 709589.2996123827 7724035.301876139, 709587.7764541275 7724033.31685699, 709587.7282807996 7724033.262705374, 709586.2982808076 7724031.872705384, 709586.2676349158 7724031.845275722, 709586.2348383279 7724031.820457567, 709583.4573398144 7724029.893011981, 709579.5658900458 7724026.160396896, 709579.5148107384 7724026.117560386, 709575.4884853667 7724023.174863326, 709570.4849534807 7724018.529437102, 709566.4391701504 7724014.5631777635, 709564.9963688324 7724012.804146021, 709564.9834007081 7724012.788964187, 709562.7349899588 7724010.260751204, 709562.3613486921 7724009.832430727, 709560.9686999521 7724007.321740039, 709559.5985091678 7724004.768650727, 709558.0412923039 7724000.354883164, 709558.0218902167 7724000.307709901, 709556.092700828 7723996.222946648, 709555.3358411386 7723991.367249394, 709554.8471818141 7723986.590355146, 709554.8400221546 7723986.542951125, 709554.8283553789 7723986.496450713, 709553.1699002843 7723981.014611101, 709552.2852521673 7723974.484118786, 709552.2738183221 7723974.425919883, 709550.6738183325 7723968.245919896, 709550.6694332857 7723968.230062632, 709549.8394332913 7723965.410062639, 709549.8194874827 7723965.354598991, 709548.3619847901 7723961.947194038, 709547.6520215286 7723957.963511272, 709547.6429871607 7723957.922752237, 709547.6305840132 7723957.8828889625, 709545.2888210041 7723951.333890696, 709544.9057132206 7723948.347614617, 709544.8981471197 7723948.3040219, 709544.8867569476 7723948.261268714, 709544.8716318925 7723948.219689831, 709544.8528903881 7723948.179610823, 709543.961308478 7723946.473975862, 709543.135741572 7723943.063598269, 709543.1239037124 7723943.022478682, 709543.1085934382 7723942.98252182, 709541.200290559 7723938.576440298, 709539.991920507 7723935.650387181, 709539.9891693207 7723935.643856773, 709538.8688123974 7723933.036300389, 709537.8352341695 7723929.789304624, 709537.6607020394 7723926.822258388, 709539.2364734231 7723924.969428286, 709541.0749743199 7723924.619237632, 709542.0331054567 7723924.781501772, 709542.8402030809 7723925.829896628, 709544.4532440567 7723929.945595126, 709545.735692043 7723934.906382323, 709545.739247067 7723934.919405775, 709546.8692470602 7723938.849405764, 709546.8890833555 7723938.905559225, 709547.7790833496 7723941.01555922, 709547.7873682962 7723941.034136447, 709549.3857885523 7723944.430779499, 709550.4198647778 7723946.715595549, 709551.1000299118 7723949.0321, 709551.1126775934 7723949.069612676, 709552.2903011723 7723952.153389684, 709553.2480913725 7723954.877105579, 709553.2670315856 7723954.923419497, 709553.2905059789 7723954.96760845, 709554.5805059716 7723957.12760844, 709554.5962157642 7723957.15224785, 709556.1862157547 7723959.4922478385, 709556.216925164 7723959.532833912, 709557.6869251557 7723961.282833907, 709557.7290260846 7723961.32714552, 709559.3290260758 7723962.817145508, 709559.3607458227 7723962.844301934, 709559.3946208978 7723962.868716953, 709560.7036320317 7723963.731474294, 709562.6730394008 7723965.183663564, 709562.696643671 7723965.200043137, 709564.7631380392 7723966.547756854, 709566.4896711662 7723967.715412203, 709566.5288974122 7723967.739389352, 709566.5701601572 7723967.759662188, 709566.613110549 7723967.776059317, 709568.5831105383 7723968.426059312, 709568.6250371251 7723968.437894409, 709568.6678347788 7723968.4460349865, 709568.7111785955 7723968.450419246, 709570.6171838074 7723968.559617452, 709572.2570347566 7723968.746187318, 709574.2909685188 7723969.113287554, 709574.3325750661 7723969.119004739, 709574.3745146345 7723969.121210097, 709577.2245146196 7723969.151210085, 709577.2675670902 7723969.149807683, 709577.3103390891 7723969.144704932, 709577.3525131657 7723969.135939704, 709579.6141775494 7723968.563243561, 709582.0337214877 7723968.640979904, 709582.0804264381 7723968.640297521, 709582.1268639066 7723968.6352597065, 709582.1726286206 7723968.625910429, 709582.2173211792 7723968.612331281, 709584.5963646945 7723967.76622793, 709587.7752388885 7723966.7996109985, 709587.8189371302 7723966.784075311, 709590.1189371187 7723965.844075303, 709589.740617716 7723964.918400182, 709587.4621062076 7723965.849617942))</t>
  </si>
  <si>
    <t>['FV715 S10D1 m2201-2205']</t>
  </si>
  <si>
    <t>LINESTRING Z (265386.89 7085801.74 122.971, 265386.83 7085798.14 123.121)</t>
  </si>
  <si>
    <t>POLYGON ((265387.32993057003 7085798.1316678235, 265386.33006943 7085798.148332176, 265386.39006943 7085801.748332176, 265387.38993057003 7085801.731667824, 265387.32993057003 7085798.1316678235))</t>
  </si>
  <si>
    <t>['FV715 S10D1 m2940-2944']</t>
  </si>
  <si>
    <t>LINESTRING Z (265373.06 7086531.53 122.581, 265374.56 7086527.21 122.281)</t>
  </si>
  <si>
    <t>POLYGON ((265375.03233683214 7086527.374005845, 265374.08766316785 7086527.045994155, 265372.58766316785 7086531.365994155, 265373.53233683214 7086531.694005845, 265375.03233683214 7086527.374005845))</t>
  </si>
  <si>
    <t>['FV715 S10D1 m4094-4100']</t>
  </si>
  <si>
    <t>LINESTRING Z (265447.02 7087640.98 137.05, 265445.58 7087634.86 137.97)</t>
  </si>
  <si>
    <t>POLYGON ((265446.0667085842 7087634.745480333, 265445.09329141583 7087634.974519667, 265446.53329141584 7087641.094519667, 265447.5067085842 7087640.865480334, 265446.0667085842 7087634.745480333))</t>
  </si>
  <si>
    <t>['FV715 S10D1 m4107-4110']</t>
  </si>
  <si>
    <t>LINESTRING Z (265416.74 7087646.73 139.78, 265416.5 7087643.33 139.05)</t>
  </si>
  <si>
    <t>POLYGON ((265416.99875896116 7087643.294793485, 265416.00124103884 7087643.365206515, 265416.24124103884 7087646.765206516, 265417.23875896115 7087646.694793485, 265416.99875896116 7087643.294793485))</t>
  </si>
  <si>
    <t>['FV715 S10D1 m4296-4301']</t>
  </si>
  <si>
    <t>LINESTRING Z (265437.56 7087836.38 145.229, 265439.33 7087841.67 145.009)</t>
  </si>
  <si>
    <t>POLYGON ((265438.8558379232 7087841.828651583, 265439.80416207685 7087841.511348417, 265438.03416207683 7087836.221348417, 265437.08583792316 7087836.538651583, 265438.8558379232 7087841.828651583))</t>
  </si>
  <si>
    <t>['FV715 S10D1 m4297-4301']</t>
  </si>
  <si>
    <t>LINESTRING Z (265459.67 7087831.41 143.839, 265461.17 7087835.72 143.779)</t>
  </si>
  <si>
    <t>POLYGON ((265460.6977811711 7087835.8843453, 265461.64221882884 7087835.5556547, 265460.14221882884 7087831.2456547, 265459.1977811711 7087831.5743453, 265460.6977811711 7087835.8843453))</t>
  </si>
  <si>
    <t>['FV715 S10D1 m4368-4372']</t>
  </si>
  <si>
    <t>LINESTRING Z (265458.85 7087905.07 147.819, 265460.13 7087908.99 147.969)</t>
  </si>
  <si>
    <t>POLYGON ((265459.65469727176 7087909.145200891, 265460.60530272825 7087908.834799109, 265459.3253027282 7087904.914799109, 265458.37469727173 7087905.2252008915, 265459.65469727176 7087909.145200891))</t>
  </si>
  <si>
    <t>['FV715 S10D1 m4364-4370']</t>
  </si>
  <si>
    <t>LINESTRING Z (265482.42 7087900.8 145.209, 265480.85 7087895.69 145.039)</t>
  </si>
  <si>
    <t>POLYGON ((265481.32795013324 7087895.543154265, 265480.3720498667 7087895.836845736, 265481.9420498667 7087900.946845735, 265482.89795013325 7087900.653154264, 265481.32795013324 7087895.543154265))</t>
  </si>
  <si>
    <t>['FV715 S10D1 m4442-4452']</t>
  </si>
  <si>
    <t>LINESTRING Z (265492.3 7087983.93 151.149, 265491.21 7087974.18 150.819)</t>
  </si>
  <si>
    <t>POLYGON ((265491.7069044629 7087974.124448629, 265490.71309553715 7087974.23555137, 265491.8030955371 7087983.98555137, 265492.79690446286 7087983.874448629, 265491.7069044629 7087974.124448629))</t>
  </si>
  <si>
    <t>['FV715 S10D1 m4571-4575']</t>
  </si>
  <si>
    <t>LINESTRING Z (265508.64 7088107.32 153.769, 265508.32 7088102.73 153.759)</t>
  </si>
  <si>
    <t>POLYGON ((265508.8187893044 7088102.695226018, 265507.8212106956 7088102.764773983, 265508.1412106956 7088107.354773982, 265509.1387893044 7088107.285226018, 265508.8187893044 7088102.695226018))</t>
  </si>
  <si>
    <t>['FV715 S10D1 m4884-4895', 'FV715 S10D1 m4807-4884']</t>
  </si>
  <si>
    <t>LINESTRING Z (265399.91 7088410.62 155.859, 265405.96 7088379.91 157.419, 265411.85 7088355.42 158.139, 265419.26 7088335.45 159.699, 265425.09 7088324.2 160.939)</t>
  </si>
  <si>
    <t>POLYGON ((265406.44856476283 7088380.016827888, 265412.3291560876 7088355.565948169, 265419.71807530103 7088335.652761031, 265425.5339310053 7088324.430054912, 265424.64606899477 7088323.969945088, 265418.81606899475 7088335.219945088, 265418.79123047297 7088335.2760599805, 265411.38123047294 7088355.24605998, 265411.3638622623 7088355.303080797, 265405.4738622623 7088379.793080797, 265405.4694290763 7088379.813355451, 265399.41942907625 7088410.523355451, 265400.4005709237 7088410.716644549, 265406.44856476283 7088380.016827888))</t>
  </si>
  <si>
    <t>['FV715 S10D1 m4892-4898']</t>
  </si>
  <si>
    <t>LINESTRING Z (265418.18 7088416.55 155.179, 265419.76 7088410.62 155.199)</t>
  </si>
  <si>
    <t>POLYGON ((265420.24314450467 7088410.748729902, 265419.27685549535 7088410.491270098, 265417.69685549533 7088416.421270098, 265418.66314450465 7088416.678729902, 265420.24314450467 7088410.748729902))</t>
  </si>
  <si>
    <t>['FV715 S10D1 m4895-4912']</t>
  </si>
  <si>
    <t>LINESTRING Z (265399.91 7088410.62 155.859, 265397.07 7088427.26 156.069)</t>
  </si>
  <si>
    <t>POLYGON ((265396.5771269941 7088427.175879847, 265397.5628730059 7088427.344120152, 265400.4028730059 7088410.704120153, 265399.41712699406 7088410.535879848, 265396.5771269941 7088427.175879847))</t>
  </si>
  <si>
    <t>['FV715 S10D1 m5295-5301']</t>
  </si>
  <si>
    <t>LINESTRING Z (265340.03 7088812.14 154.318, 265340.83 7088806.47 155.228)</t>
  </si>
  <si>
    <t>POLYGON ((265341.32509625313 7088806.539854851, 265340.3349037469 7088806.400145149, 265339.5349037469 7088812.070145149, 265340.52509625314 7088812.209854851, 265341.32509625313 7088806.539854851))</t>
  </si>
  <si>
    <t>LINESTRING Z (265364.6 7088816.42 154.558, 265366.17 7088810.3 154.228)</t>
  </si>
  <si>
    <t>POLYGON ((265366.6543172837 7088810.424244793, 265365.68568271626 7088810.1757552065, 265364.11568271625 7088816.295755207, 265365.0843172837 7088816.544244793, 265366.6543172837 7088810.424244793))</t>
  </si>
  <si>
    <t>['FV715 S10D1 m5354-5358']</t>
  </si>
  <si>
    <t>LINESTRING Z (265335.68 7088869.81 154.858, 265336.2 7088865.76 154.618)</t>
  </si>
  <si>
    <t>POLYGON ((265336.6959289429 7088865.823674827, 265335.70407105715 7088865.696325173, 265335.1840710571 7088869.7463251725, 265336.17592894286 7088869.873674827, 265336.6959289429 7088865.823674827))</t>
  </si>
  <si>
    <t>['FV715 S10D1 m5357-5360']</t>
  </si>
  <si>
    <t>LINESTRING Z (265355.04 7088874.06 154.108, 265355.41 7088870.82 153.708)</t>
  </si>
  <si>
    <t>POLYGON ((265355.9067712764 7088870.876730054, 265354.91322872357 7088870.763269947, 265354.5432287236 7088874.003269946, 265355.5367712764 7088874.116730053, 265355.9067712764 7088870.876730054))</t>
  </si>
  <si>
    <t>['FV715 S10D1 m2199-2212']</t>
  </si>
  <si>
    <t>LINESTRING Z (265354.76 7085803.68 0.001, 265357.15 7085790.32 0.001)</t>
  </si>
  <si>
    <t>POLYGON ((265357.64218644117 7085790.408048323, 265356.6578135589 7085790.231951677, 265354.26781355886 7085803.591951677, 265355.25218644115 7085803.768048323, 265357.64218644117 7085790.408048323))</t>
  </si>
  <si>
    <t>['FV715 S10D1 m2530-2556']</t>
  </si>
  <si>
    <t>LINESTRING Z (265393.61 7086147.14 126.141, 265389.56 7086122.3 130.861)</t>
  </si>
  <si>
    <t>POLYGON ((265390.0534838372 7086122.219540679, 265389.06651616277 7086122.380459321, 265393.11651616276 7086147.220459321, 265394.1034838372 7086147.059540679, 265390.0534838372 7086122.219540679))</t>
  </si>
  <si>
    <t>['FV715 S10D1 m2889-2929']</t>
  </si>
  <si>
    <t>LINESTRING Z (265359.67 7086511.03 121.911, 265365.13 7086492.9 124.211, 265369.01 7086479.89 127.371, 265371.31 7086472.29 127.301)</t>
  </si>
  <si>
    <t>POLYGON ((265365.60876024433 7086493.044182622, 265365.60914565 7086493.042896627, 265369.4888573282 7086480.033863396, 265371.78856513003 7086472.434828921, 265370.83143486996 7086472.145171079, 265368.53143487 7086479.7451710785, 265368.53085435 7086479.747103373, 265364.65104618436 7086492.756460135, 265359.19123975566 7086510.885817379, 265360.1487602443 7086511.174182622, 265365.60876024433 7086493.044182622))</t>
  </si>
  <si>
    <t>['FV715 S10D1 m2941-2946']</t>
  </si>
  <si>
    <t>LINESTRING Z (265353.59 7086526.86 120.861, 265355.26 7086521.62 120.831)</t>
  </si>
  <si>
    <t>POLYGON ((265355.736391197 7086521.771826966, 265354.783608803 7086521.4681730345, 265353.113608803 7086526.708173035, 265354.06639119703 7086527.011826966, 265355.736391197 7086521.771826966))</t>
  </si>
  <si>
    <t>['FV715 S10D1 m5295-5302']</t>
  </si>
  <si>
    <t>LINESTRING Z (265342.99 7088813.82 154.498, 265344.12 7088806.64 154.488)</t>
  </si>
  <si>
    <t>POLYGON ((265344.61392046436 7088806.717734001, 265343.62607953564 7088806.562265999, 265342.49607953563 7088813.742265999, 265343.48392046435 7088813.897734001, 265344.61392046436 7088806.717734001))</t>
  </si>
  <si>
    <t>['FV715 S10D1 m5296-5304']</t>
  </si>
  <si>
    <t>LINESTRING Z (265360.61 7088818.51 154.498, 265361.85 7088810.47 154.488)</t>
  </si>
  <si>
    <t>POLYGON ((265362.3441573924 7088810.546213329, 265361.35584260756 7088810.393786671, 265360.11584260757 7088818.433786671, 265361.1041573924 7088818.586213329, 265362.3441573924 7088810.546213329))</t>
  </si>
  <si>
    <t>['FV715 S10D1 m4970-4980']</t>
  </si>
  <si>
    <t>LINESTRING Z (265389.95 7088484.37 154.209, 265388.36 7088494.47 156.169)</t>
  </si>
  <si>
    <t>POLYGON ((265387.86608288327 7088494.392244731, 265388.8539171167 7088494.547755268, 265390.44391711673 7088484.447755269, 265389.4560828833 7088484.292244731, 265387.86608288327 7088494.392244731))</t>
  </si>
  <si>
    <t>['FV715 S10D1 m4810-4843']</t>
  </si>
  <si>
    <t>LINESTRING Z (265424.99 7088327.21 159.879, 265418.35 7088343.31 158.679, 265415.22 7088351.8 158.169, 265412.72 7088359.17 157.789)</t>
  </si>
  <si>
    <t>POLYGON ((265417.8877680495 7088343.119365208, 265417.88086618937 7088343.137044896, 265414.75086618937 7088351.627044897, 265414.74650017876 7088351.639382693, 265412.24650017876 7088359.009382693, 265413.1934998212 7088359.330617307, 265415.69139755773 7088351.96681478, 265418.81585068424 7088343.491860452, 265425.4522319505 7088327.400634792, 265424.5277680495 7088327.019365208, 265417.8877680495 7088343.119365208))</t>
  </si>
  <si>
    <t>['FV715 S10D1 m4377-4648']</t>
  </si>
  <si>
    <t>LINESTRING Z (265481.84 7088178.4 166.199, 265484.24 7088161.7 163.349, 265485.3 7088149.68 161.509, 265485.8 7088136.08 160.299, 265485.78 7088124.96 159.549, 265485.35 7088111.26 158.189, 265483.82 7088088.59 157.209, 265481.19 7088058.72 157.079, 265479.83 7088043.77 157.199, 265478.56 7088028.82 156.479, 265476.92 7088008.57 154.679, 265473.91 7087977.23 153.069, 265472.2 7087963.56 152.589, 265469.2 7087946.52 152.609, 265465.46 7087928.17 150.389, 265462.45 7087913.19 148.659)</t>
  </si>
  <si>
    <t>POLYGON ((265484.7349153016 7088161.771125552, 265484.7380670585 7088161.743922719, 265485.7980670585 7088149.723922718, 265485.79966243124 7088149.698369942, 265486.29966243124 7088136.098369942, 265486.2999991913 7088136.079100721, 265486.27999919135 7088124.9591007205, 265486.2797538981 7088124.944314294, 265485.84975389804 7088111.244314293, 265485.8488651478 7088111.226331553, 265484.3188651478 7088088.5563315535, 265484.31807307486 7088088.546145557, 265481.68807307485 7088058.676145557, 265481.68794387224 7088058.674702096, 265480.3280791735 7088043.726189415, 265479.05828885856 7088028.778657755, 265477.4183682724 7088008.529638323, 265477.41770974896 7088008.522198266, 265474.40770974895 7087977.1821982665, 265474.4061333527 7087977.167937964, 265472.69613335276 7087963.497937963, 265472.6924266504 7087963.473305167, 265469.6924266504 7087946.433305167, 265469.68992763414 7087946.420145539, 265465.9500657667 7087928.070823275, 265462.9402020375 7087913.09150146, 265461.9597979625 7087913.28849854, 265464.9697979625 7087928.26849854, 265464.9700723659 7087928.269854461, 265468.70873471454 7087946.613291385, 265471.70541310014 7087963.634424616, 265473.4129761413 7087977.284943197, 265476.42193320324 7088008.6140841665, 265478.06163172756 7088028.860361678, 265478.0617944123 7088028.862322481, 265479.33179441234 7088043.812322481, 265479.3320561278 7088043.8152979035, 265480.6919904801 7088058.764576263, 265483.3214788522 7088088.628765492, 265484.8505285639 7088111.284685077, 265485.2800141091 7088124.968294307, 265485.29998347437 7088136.071261425, 265484.80080804 7088149.648833239, 265483.7431362079 7088161.642432694, 265481.3450846984 7088178.328874448, 265482.33491530165 7088178.471125552, 265484.7349153016 7088161.771125552))</t>
  </si>
  <si>
    <t>['FV715 S10D1 m4050-4070']</t>
  </si>
  <si>
    <t>LINESTRING Z (265440.36 7087588.22 137.8, 265438.66 7087590.79 137.89, 265434.24 7087597.89 138.66, 265431.06 7087604.35 138.27, 265429.97 7087606.73 138.34)</t>
  </si>
  <si>
    <t>POLYGON ((265438.24297899543 7087590.51414953, 265438.23553130165 7087590.525753289, 265433.81553130166 7087597.625753289, 265433.7914061954 7087597.669175185, 265430.6114061954 7087604.129175185, 265430.6054073189 7087604.141804192, 265429.5154073189 7087606.521804193, 265430.42459268105 7087606.938195808, 265431.5116815326 7087604.56455226, 265434.6776110502 7087598.133135692, 265439.0808248525 7087591.060099947, 265440.7770210045 7087588.49585047, 265439.94297899544 7087587.94414953, 265438.24297899543 7087590.51414953))</t>
  </si>
  <si>
    <t>2018-07-25</t>
  </si>
  <si>
    <t>['FV1496 S1D110 m2233-2262']</t>
  </si>
  <si>
    <t>LINESTRING Z (278490.6 6657942.98 168.836, 278492.1 6657945.27 169.156, 278487.17 6657948.81 169.906, 278484.66 6657955.83 171.006, 278481.86 6657961.34 172.246, 278478.52 6657965.75 173.486, 278476.13 6657967.72 174.196, 278473.66 6657969.21 174.666, 278468.78 6657968.57 175.446, 278470.02 6657965.89 174.816, 278472.01 6657965.69 174.256, 278475.05 6657964.9 173.616, 278476.78 6657961.97 172.776, 278480.3 6657955.82 171.386, 278483.57 6657949.83 170.276, 278484.9 6657946.12 169.836, 278486.68 6657944.51 169.486, 278488.71 6657943.98 169.086)</t>
  </si>
  <si>
    <t>POLYGON Z ((278490.6 6657942.98 168.836, 278492.1 6657945.27 169.156, 278487.17 6657948.81 169.906, 278484.66 6657955.83 171.006, 278481.86 6657961.34 172.246, 278478.52 6657965.75 173.486, 278476.13 6657967.72 174.196, 278473.66 6657969.21 174.666, 278468.78 6657968.57 175.446, 278470.02 6657965.89 174.816, 278472.01 6657965.69 174.256, 278475.05 6657964.9 173.616, 278476.78 6657961.97 172.776, 278480.3 6657955.82 171.386, 278483.57 6657949.83 170.276, 278484.9 6657946.12 169.836, 278486.68 6657944.51 169.486, 278488.71 6657943.98 169.086, 278490.6 6657942.98 168.836))</t>
  </si>
  <si>
    <t>2018-08-15</t>
  </si>
  <si>
    <t>['RV13 S34D1 m5835-5841']</t>
  </si>
  <si>
    <t>LINESTRING Z (41323.5953016143 6745925.66593041 -999999, 41312.6120039676 6745921.54719379 -999999, 41305.5758289127 6745914.33940471 -999999, 41300.4274081408 6745903.52772109 -999999)</t>
  </si>
  <si>
    <t>POLYGON ((41312.891930789054 6745921.118166114, 41305.991582257724 6745914.049516399, 41300.8788384002 6745903.3127543, 41299.975977881404 6745903.74268788, 41305.1243986533 6745914.554371499, 41305.15063200381 6745914.602478062, 41305.18197185036 6745914.647425187, 41305.21804180976 6745914.6886730725, 41312.25421686467 6745921.896462153, 41312.29459340324 6745921.933523356, 41312.33878369001 6745921.965942736, 41312.38625677049 6745921.993330767, 41312.43644224671 6745922.015358378, 41323.41973989341 6745926.134094998, 41323.770863335194 6745925.197765822, 41312.891930789054 6745921.118166114))</t>
  </si>
  <si>
    <t>['RV13 S34D1 m5859-5880']</t>
  </si>
  <si>
    <t>LINESTRING Z (41300.7706361923 6745936.306 -999999, 41291.1602507514 6745939.73828052 -999999, 41281.2066372591 6745939.73828052 -999999, 41274.6853042814 6745936.47761403 -999999, 41269.880111561 6745934.24663169 -999999)</t>
  </si>
  <si>
    <t>POLYGON ((41291.073643876174 6745939.23828052, 41281.32467124838 6745939.23828052, 41274.90891107919 6745936.0304004345, 41274.89585993505 6745936.024109547, 41270.09066721465 6745933.793127207, 41269.66955590734 6745934.7001361735, 41274.46817745908 6745936.928067613, 41280.983030461306 6745940.185494116, 41281.02540164052 6745940.204277999, 41281.069330105616 6745940.219057751, 41281.11443839676 6745940.229706374, 41281.160338916256 6745940.236132368, 41281.2066372591 6745940.23828052, 41291.1602507514 6745940.23828052, 41291.21729691536 6745940.235015595, 41291.27359807364 6745940.225263461, 41291.328418950136 6745940.209151476, 41300.93880439103 6745936.776870956, 41300.602467993565 6745935.835129044, 41291.073643876174 6745939.23828052))</t>
  </si>
  <si>
    <t>2018-09-06</t>
  </si>
  <si>
    <t>['RV13 S33D10 m97-123']</t>
  </si>
  <si>
    <t>LINESTRING Z (47036.2299804688 6743114.44995117 25.461, 47033.419921875 6743088.42004395 25.461)</t>
  </si>
  <si>
    <t>POLYGON ((47033.91703352642 6743088.366378263, 47032.92281022358 6743088.473709637, 47035.73286881738 6743114.503616857, 47036.72709212022 6743114.396285483, 47033.91703352642 6743088.366378263))</t>
  </si>
  <si>
    <t>2017-11-05</t>
  </si>
  <si>
    <t>2025-11-22T09:21:44Z</t>
  </si>
  <si>
    <t>['EV18 S68D1 m1154 SD1 m26-91', 'EV18 S68D1 m1154 SD1 m91-99']</t>
  </si>
  <si>
    <t>LINESTRING Z (311189.010009766 6598501.05004883 118.277, 311190.129882813 6598501.2199707 118.507, 311192.899902344 6598499.7199707 118.757, 311194.320068359 6598498.47998047 119.117, 311195.709960938 6598496.7800293 119.627, 311194.770019531 6598495.4699707 119.827, 311192.790039063 6598493.97998047 120.027, 311190.110107422 6598492.75 120.067, 311186.199951172 6598491.40002441 120.007, 311182.270019531 6598490.32995606 119.957, 311177.840087891 6598488.20996094 120.107, 311173.060058594 6598486.04003906 120.057, 311170.239990234 6598484.36999512 120.177, 311166.050048828 6598481.42004395 120.247, 311162.909912109 6598479.05004883 120.067, 311159.969970703 6598476.44995117 120.167, 311151.760009766 6598470.01000977 120.007, 311145.449951172 6598466.04003906 119.817, 311142.370117188 6598464.42004395 119.777, 311142.959960938 6598463.01000977 120.757, 311140.610107422 6598462.27001953 120.737, 311140.090087891 6598463.02001953 120.437, 311139.969970703 6598463.32995606 120.117, 311139.709960938 6598463.04003906 120.337, 311136.75 6598462.69995117 120.407, 311134.459960938 6598464.31994629 120.247, 311133.310058594 6598466.77001953 120.097, 311133.649902344 6598469.83996582 119.857, 311134.909912109 6598471.80004883 119.477, 311136.570068359 6598473.97998047 119.237, 311139.100097656 6598473.4699707 118.097)</t>
  </si>
  <si>
    <t>POLYGON ((311139.807486071 6598462.550092998, 311139.7670334994 6598462.543307017, 311136.80707256135 6598462.203219127, 311136.75504886557 6598462.199976661, 311136.7029702991 6598462.202167877, 311136.65140284743 6598462.209768957, 311136.6009069411 6598462.222697296, 311136.55203136534 6598462.240812389, 311136.5053072957 6598462.263917363, 311136.46124252526 6598462.291761115, 311134.1712034633 6598463.911756235, 311134.13066672906 6598463.943694614, 311134.0936380145 6598463.979641257, 311134.0605117921 6598464.019213219, 311134.03164096025 6598464.061988936, 311134.00733308424 6598464.10751271, 311132.8574307402 6598466.55758595, 311132.8399117291 6598466.599837494, 311132.82632711134 6598466.643513195, 311132.8167905691 6598466.688247557, 311132.8113819082 6598466.733666222, 311132.81014639064 6598466.779389108, 311132.8130943559 6598466.825033584, 311133.1529381059 6598469.894979874, 311133.16011544486 6598469.940508316, 311133.17145470536 6598469.985182407, 311133.186859533 6598470.028622533, 311133.20619902667 6598470.070459565, 311133.2293088509 6598470.110337996, 311134.48931861593 6598472.070421006, 311134.5121308085 6598472.102984528, 311136.1722870585 6598474.282916168, 311136.2051026043 6598474.321740616, 311136.24169072474 6598474.357032361, 311136.2816732163 6598474.3884266, 311136.32463678834 6598474.415598816, 311136.3701373353 6598474.438268137, 311136.4177045276 6598474.456200233, 311136.466846673 6598474.469209745, 311136.5170557994 6598474.477162195, 311136.56781290565 6598474.479975383, 311136.618593326 6598474.477620226, 311136.66887215385 6598474.470121072, 311139.19890145084 6598473.960111302, 311139.0012938612 6598472.979830098, 311136.7781663316 6598473.4279738255, 311135.31974736165 6598471.5129410345, 311134.1339543446 6598469.668310294, 311133.8225172518 6598466.854972849, 311134.85649751633 6598464.651892396, 311136.882761305 6598463.218494379, 311139.4644029544 6598463.515114868, 311139.5977397061 6598463.663788481, 311139.63188702386 6598463.69833009, 311139.6692247185 6598463.729395484, 311139.7094004472 6598463.756691507, 311139.7520350858 6598463.779960579, 311139.79672630626 6598463.798983116, 311139.8430523731 6598463.81357961, 311139.8905761236 6598463.823612318, 311139.93884909287 6598463.828986566, 311139.9874157458 6598463.829651638, 311140.035817776 6598463.825601259, 311140.0835984305 6598463.81687365, 311140.13030682015 6598463.803551172, 311140.1755021742 6598463.785759542, 311140.218758 6598463.763666656, 311140.2596661076 6598463.737480995, 311140.2978404615 6598463.707449664, 311140.33292082377 6598463.67385606, 311140.36457615334 6598463.637017192, 311140.39250773005 6598463.597280696, 311140.41645197343 6598463.555021551, 311140.43618292984 6598463.5106385425, 311140.5348320799 6598463.25609566, 311140.81117247767 6598462.857542749, 311142.2873018083 6598463.322389297, 311141.90884973604 6598464.227087121, 311141.8920586352 6598464.273551561, 311141.87993507856 6598464.321446285, 311141.87259743497 6598464.370303671, 311141.8701173458 6598464.419646699, 311141.8725190255 6598464.468993605, 311141.8797790252 6598464.517862589, 311141.8918264616 6598464.565776517, 311141.90854370897 6598464.612267579, 311141.9297675479 6598464.656881858, 311141.95529075846 6598464.699183759, 311141.9848641438 6598464.738760269, 311142.01819896296 6598464.775224978, 311142.0549697501 6598464.808221864, 311142.0948174921 6598464.837428757, 311142.13735313405 6598464.862560498, 311145.20006502495 6598466.4735493725, 311151.47181064734 6598470.4194154935, 311159.64977487753 6598476.834258489, 311162.5786694621 6598479.42458629, 311162.6087021286 6598479.449138478, 311165.74883884756 6598481.819133598, 311165.76220594835 6598481.828879463, 311169.9521473544 6598484.778830633, 311169.98521411495 6598484.800214982, 311172.8052824749 6598486.470258921, 311172.85337964905 6598486.495323381, 311177.628807782 6598488.663156537, 311182.05418140825 6598490.780970367, 311182.095710565 6598490.798588522, 311182.13865864585 6598490.812391877, 311186.0525207737 6598491.878084712, 311189.9237940301 6598493.214636006, 311192.5324742727 6598494.41191496, 311194.40831481165 6598495.823537004, 311195.08033942716 6598496.760182225, 311193.95957101637 6598498.130972745, 311192.61292661197 6598499.306769016, 311190.0391795676 6598500.700485026, 311189.0850178036 6598500.555707051, 311188.93500172836 6598501.544390609, 311190.0548747754 6598501.714312479, 311190.10081323626 6598501.719124945, 311190.1469997771 6598501.719677624, 311190.1930402417 6598501.7159658, 311190.23854172026 6598501.708021151, 311190.28311590286 6598501.6959114745, 311190.326382393 6598501.679740115, 311190.36797195405 6598501.659645081, 311193.137991485 6598500.159645081, 311193.18512044183 6598500.13064166, 311193.22875566286 6598500.096607787, 311194.6489216779 6598498.856617556, 311194.67930004053 6598498.827762871, 311194.7071559679 6598498.796466146, 311196.0970485469 6598497.096514976, 311196.1268751237 6598497.056041187, 311196.15248627745 6598497.012776639, 311196.1736230534 6598496.967158781, 311196.1900717375 6598496.919648855, 311196.20166601695 6598496.8707272345, 311196.20828866184 6598496.820888566, 311196.20987271063 6598496.770636769, 311196.2064021469 6598496.720479941, 311196.1979120616 6598496.670925216, 311196.18448829796 6598496.622473644, 311196.16626658395 6598496.575615118, 311196.1434311594 6598496.530823426, 311196.11621291353 6598496.488551457, 311195.1762715065 6598495.178492858, 311195.14477689145 6598495.138976863, 311195.1094546177 6598495.102841537, 311195.0706654563 6598495.07045596, 311193.0906849883 6598493.580465729, 311193.0461192932 6598493.550535577, 311192.9986015922 6598493.52555592, 311190.3186699512 6598492.29557545, 311190.2732805468 6598492.2773748515, 311186.3631242968 6598490.927399262, 311186.33131205715 6598490.917588593, 311182.44504085946 6598489.859408404, 311178.05592601374 6598487.758946634, 311178.0467668359 6598487.754676619, 311173.29146683164 6598485.595980743, 311170.5117211012 6598483.949815857, 311166.34465588175 6598481.015970791, 311163.2266149877 6598478.662652332, 311160.3012133499 6598476.07541371, 311160.27856310963 6598476.056542061, 311152.0686021726 6598469.616600662, 311152.0262708994 6598469.586801773, 311145.7162123054 6598465.616831062, 311145.68271522596 6598465.597522512, 311143.0080609527 6598464.19065225, 311143.42122839 6598463.202966599, 311143.43785936903 6598463.15702368, 311143.4499267214 6598463.109676871, 311143.4573152117 6598463.061378306, 311143.4599542845 6598463.012589203, 311143.45781873836 6598462.963775468, 311143.45092896634 6598462.915403242, 311143.4393507614 6598462.867934448, 311143.42319468805 6598462.8218223825, 311143.40261502657 6598462.777507388, 311143.3778082996 6598462.735412643, 311143.3490113957 6598462.695940126, 311143.316499307 6598462.659466775, 311143.2805825032 6598462.6263408875, 311143.2416039671 6598462.596878793, 311143.1999359189 6598462.571361838, 311143.155976262 6598462.550033692, 311143.1101447832 6598462.533098025, 311140.7602912672 6598461.793107785, 311140.7130729722 6598461.780736283, 311140.6648733655 6598461.773027889, 311140.6161518128 6598461.770056066, 311140.56737265404 6598461.771849138, 311140.5190007784 6598461.7783900155, 311140.4714971933 6598461.789616361, 311140.4253146311 6598461.805421183, 311140.3808932339 6598461.825653852, 311140.3386563592 6598461.850121542, 311140.29900654504 6598461.878591063, 311140.26232167333 6598461.910791089, 311140.2289513687 6598461.946414736, 311140.19921366667 6598461.9851224935, 311139.807486071 6598462.550092998))</t>
  </si>
  <si>
    <t>['RV13 S33D1 m8445-8515']</t>
  </si>
  <si>
    <t>LINESTRING Z (47060.419921875 6742899.65997315 25.661, 47056.2900390625 6742903.05999756 25.681, 47055.0900878906 6742905.29998779 25.671, 47054.8798828125 6742910.84997559 25.661, 47055.4599609375 6742912.46002197 25.661, 47053.2900390625 6742912.55999756 25.611, 47051.419921875 6742914.17999268 25.601, 47050.4799804687 6742916.90997315 25.611, 47051.8500976562 6742920.07000733 25.641, 47053.3000488281 6742921.08001709 25.641, 47049.9899902344 6742922.84997559 25.591, 47047.1599121094 6742926.34997559 25.591, 47046.2399902344 6742930.80999756 25.601, 47048.2099609375 6742936.20001221 25.591, 47043.6899414063 6742939.5 25.651, 47043.6398925781 6742941.51000977 25.611, 47045.2900390625 6742943.91998291 25.611, 47046.8400878906 6742944.7800293 25.581, 47043.9799804688 6742946.44000244 25.611, 47041.0900878906 6742951.13000488 25.611, 47040.9099121094 6742955.13000488 25.621, 47042.5900878906 6742959.39001465 25.641, 47043 6742959.96002197 25.611, 47040.2700195313 6742960.38000488 25.581, 47037.8000488281 6742963.34002686 25.581, 47037.9899902344 6742966.41998291 25.561, 47039.6201171875 6742967.84997559 25.581, 47040.1000976563 6742968.91998291 26.341)</t>
  </si>
  <si>
    <t>POLYGON ((47042.13129929463 6742959.587781588, 47040.19399342992 6742959.885818648, 47040.14346356922 6742959.896286379, 47040.09428170175 6742959.91190637, 47040.04697168132 6742959.932512247, 47040.00203742402 6742959.95788453, 47039.95995754084 6742959.987752968, 47039.921180239806 6742960.021799424, 47039.886118552095 6742960.059661255, 47037.4161478489 6742963.019683235, 47037.38759849393 6742963.057388006, 47037.36273927519 6742963.097621508, 47037.34179260451 6742963.140023776, 47037.32494588884 6742963.184215445, 47037.312349853426 6742963.229801137, 47037.30411719325 6742963.276373003, 47037.30032156478 6742963.323514371, 47037.30099692699 6742963.370803474, 47037.490938333285 6742966.4507595245, 47037.49639503808 6742966.499756227, 47037.50665038168 6742966.54797739, 47037.52160466357 6742966.594954214, 47037.541112501065 6742966.64023, 47037.56498424267 6742966.683364586, 47037.59298781185 6742966.723938625, 47037.62485096321 6742966.761557665, 47037.66026392948 6742966.7958559785, 47039.20849927387 6742968.154011062, 47039.64389425526 6742969.124625176, 47040.55630105734 6742968.715340644, 47040.07632058854 6742967.645333324, 47040.051791234764 6742967.597671176, 47040.02230044504 6742967.552908884, 47039.988187170944 6742967.511560922, 47039.94984349242 6742967.474102521, 47038.476227005434 6742966.181405174, 47038.31133953885 6742963.507706162, 47040.53283746643 6742960.845454871, 47043.07602610138 6742960.454208202, 47043.12363588743 6742960.444495052, 47043.17007803784 6742960.4302064665, 47043.21491394608 6742960.41147739, 47043.25772017521 6742960.388484701, 47043.29809245685 6742960.361445545, 47043.3356495092 6742960.330615288, 47043.370036637905 6742960.296285091, 47043.40092908583 6742960.258779176, 47043.42803510012 6742960.218451753, 47043.45109868756 6742960.175683682, 47043.46990203223 6742960.130878869, 47043.48426755255 6742960.084460459, 47043.49405957842 6742960.0368668325, 47043.4991856325 6742959.988547472, 47043.49959730357 6742959.939958713, 47043.49529070376 6742959.891559434, 47043.48630650523 6742959.843806726, 47043.47272955607 6742959.797151571, 47043.454688079015 6742959.752034589, 47043.43235246044 6742959.70888187, 47043.405933641276 6742959.668100955, 47043.032373486305 6742959.148643203, 47041.41420926642 6742955.045860945, 47041.58374985477 6742951.281967991, 47044.33970367661 6742946.809334562, 47047.09107260293 6742945.212471982, 47047.13316764856 6742945.185127134, 47047.17230876239 6742945.153699331, 47047.20810144386 6742945.118505333, 47047.24018494086 6742945.079899856, 47047.268235885946 6742945.038272004, 47047.291971555474 6742944.99404134, 47047.311152719194 6742944.947653663, 47047.325586051404 6742944.899576511, 47047.3351260795 6742944.850294451, 47047.339676650176 6742944.800304193, 47047.33919189852 6742944.750109586, 47047.33367671031 6742944.700216537, 47047.323186672766 6742944.651127916, 47047.30782751429 6742944.603338484, 47047.287754038836 6742944.557329906, 47047.263168565645 6742944.513565902, 47047.234318890085 6742944.472487564, 47047.20149578615 6742944.43450892, 47047.16503007574 6742944.400012752, 47047.12528929436 6742944.369346747, 47047.08267398655 6742944.342819984, 47045.635881144946 6742943.540065299, 47044.143760779705 6742941.360883004, 47044.183656721005 6742939.7586230775, 47048.504788459315 6742936.603839812, 47048.543360767195 6742936.572630719, 47048.578649979616 6742936.537752332, 47048.61030859246 6742936.499548109, 47048.63802485321 6742936.45839426, 47048.6615258309 6742936.414696041, 47048.68058010388 6742936.36888376, 47048.69500003857 6742936.321408546, 47048.70464363724 6742936.2727379035, 47048.70941593628 6742936.223351109, 47048.709269941326 6742936.173734487, 47048.704207090035 6742936.124376631, 47048.69427723793 6742936.075763583, 47048.67957816758 6742936.028374052, 47046.75838811992 6742930.771827604, 47047.6250713219 6742926.569920652, 47050.315094073456 6742923.243129229, 47053.53581923294 6742921.52093921, 47053.57751489035 6742921.495964904, 47053.61658877791 6742921.467060317, 47053.65267168731 6742921.434498569, 47053.685422672046 6742921.398587334, 47053.71453226885 6742921.359665937, 47053.73972542188 6742921.318102144, 47053.76076408166 6742921.274288692, 47053.77744945439 6742921.228639571, 47053.789623880424 6742921.181586121, 47053.797172323895 6742921.133572948, 47053.80002345975 6742921.085053726, 47053.79815034768 6742921.036486914, 47053.79157068667 6742920.988331418, 47053.78034664778 6742920.941042257, 47053.76458428667 6742920.895066265, 47053.7444325415 6742920.850837869, 47053.72008182562 6742920.808774983, 47053.691762228336 6742920.769275055, 47053.659741340816 6742920.732711322, 47053.62432172765 6742920.699429273, 47053.58583806789 6742920.669743388, 47052.25236634201 6742919.7408711035, 47051.01594314075 6742916.889188333, 47051.8489167073 6742914.469886924, 47053.48631552548 6742913.051484852, 47055.48297320549 6742912.959492125, 47055.53195560017 6742912.954811591, 47055.58024074601 6742912.945339153, 47055.627361014434 6742912.931166549, 47055.67286005838 6742912.912431037, 47055.71629723192 6742912.889314067, 47055.75725185777 6742912.862039518, 47055.795327301465 6742912.830871537, 47055.83015481262 6742912.7961119795, 47055.8613970962 6742912.758097481, 47055.88875157916 6742912.717196202, 47055.911953340714 6742912.67380426, 47055.930777678084 6742912.628341894, 47055.94504228264 6742912.581249395, 47055.95460900557 6742912.532982841, 47055.95938519572 6742912.484009681, 47055.959324597 6742912.434804207, 47055.954427796285 6742912.385842959, 47055.94474221777 6742912.337600116, 47055.930361663624 6742912.290542895, 47055.38319999016 6742910.77185837, 47055.585359218756 6742905.434302958, 47056.68412151776 6742903.383205486, 47060.73771670809 6742900.045986678, 47060.10212704191 6742899.273959622, 47055.97224422941 6742902.673984032, 47055.93615650553 6742902.706773643, 47055.90343417985 6742902.742922388, 47055.87438843938 6742902.782086496, 47055.84929550707 6742902.823893519, 47054.64934433517 6742905.063883749, 47054.62975362084 6742905.104815149, 47054.61395454283 6742905.147354127, 47054.60207723344 6742905.191150304, 47054.59421952252 6742905.235842942, 47054.59044613171 6742905.281063923, 47054.38024105361 6742910.831051722, 47054.380725309 6742910.87898915, 47054.385798282405 6742910.926659859, 47054.39541333835 6742910.973625614, 47054.409482086376 6742911.019454665, 47054.75978738819 6742911.99175091, 47053.26702679451 6742912.060527406, 47053.21955325234 6742912.064990742, 47053.172720752846 6742912.073955984, 47053.126955220476 6742912.087341596, 47053.082672876 6742912.105025842, 47053.04027645117 6742912.126847889, 47053.000151525936 6742912.152609274, 47052.96266302203 6742912.182075706, 47051.09254583453 6742913.802070826, 47051.05471595049 6742913.838489192, 47051.02091413823 6742913.878674201, 47050.99151321767 6742913.92218263, 47050.96683746892 6742913.968534597, 47050.94715905546 6742914.017218861, 47050.00721764916 6742916.7471993305, 47049.994193217884 6742916.791606149, 47049.98533023723 6742916.837026947, 47049.980704630965 6742916.883072632, 47049.98035602392 6742916.929348758, 47049.98428740242 6742916.975458904, 47049.99246508865 6742917.021008073, 47050.00481902926 6742917.065606073, 47050.02124339522 6742917.108870856, 47051.39136058272 6742920.268905036, 47051.41162364211 6742920.310299941, 47051.43561220407 6742920.349653195, 47051.4631224495 6742920.386630433, 47051.493920637084 6742920.4209174765, 47051.52774508942 6742920.452223006, 47051.56430841641 6742920.480281032, 47052.344684661104 6742921.023877009, 47049.75421982956 6742922.409053469, 47049.71139969797 6742922.434780078, 47049.671360370165 6742922.464651039, 47049.63450150634 6742922.498368189, 47049.60119102005 6742922.535594975, 47046.77111289505 6742926.035594975, 47046.7429590951 6742926.074022362, 47046.718590061835 6742926.114954633, 47046.69822699802 6742926.158020236, 47046.682054743316 6742926.202828256, 47046.67022009662 6742926.248971963, 47045.75029822162 6742930.708993934, 47045.74307315986 6742930.754559116, 47045.74007862633 6742930.800596277, 47045.74134011507 6742930.846713477, 47045.74684688633 6742930.892518093, 47045.75655205794 6742930.937620167, 47045.770373004314 6742930.981635719, 47047.611136354346 6742936.018127585, 47043.395113884486 6742939.096172398, 47043.35563998598 6742939.128190156, 47043.3196205251 6742939.164049936, 47043.287427701674 6742939.203381191, 47043.25939417387 6742939.245777498, 47043.23580962059 6742939.290800762, 47043.21691774815 6742939.337985745, 47043.20291377196 6742939.386844871, 47043.193942399346 6742939.436873262, 47043.19009633419 6742939.487553961, 47043.14004750599 6742941.497563731, 47043.141464675675 6742941.549628277, 47043.148290237354 6742941.601262927, 47043.16045012754 6742941.651907397, 47043.17781240046 6742941.701012151, 47043.200188659815 6742941.748044357, 47043.22733610318 6742941.792493672, 47044.87748258757 6742944.202466812, 47044.90542454952 6742944.239469493, 47044.93667412201 6742944.27372465, 47044.9709625646 6742944.304937698, 47045.00799500331 6742944.332840208, 47045.04745296655 6742944.357192226, 47045.82715648846 6742944.789811629, 47043.72899575647 6742946.007559757, 47043.68767022083 6742946.034348993, 47043.64918063616 6742946.065073819, 47043.61390042259 6742946.099436147, 47043.582171863534 6742946.137102598, 47043.55430278473 6742946.17770774, 47040.66441020653 6742950.867710181, 47040.640036052464 6742950.912166998, 47040.620289345694 6742950.958863631, 47040.60537312253 6742951.007319944, 47040.59544075208 6742951.0570377065, 47040.59059435928 6742951.107505721, 47040.410418578074 6742955.107505721, 47040.410816602416 6742955.160066066, 47040.416730127836 6742955.212294205, 47040.42809380398 6742955.263612966, 47040.444782051054 6742955.313455224, 47042.12495783226 6742959.573464994, 47042.13129929463 6742959.587781588))</t>
  </si>
  <si>
    <t>['RV13 S33D10 m14-32']</t>
  </si>
  <si>
    <t>LINESTRING Z (47026.2099609375 6743025.90002441 26.721, 47025.3898925781 6743024.67004395 26.561, 47024.2600097656 6743021.86999512 26.701, 47022.6899414063 6743018.61999512 26.391, 47022.5400390625 6743017.03997803 26.551, 47021.9799804688 6743015.22998047 26.441, 47022.25 6743013.09997559 26.501, 47022.6899414063 6743011.14001465 26.461, 47023.6000976563 6743009.67999268 26.701, 47023.8500976563 6743009.28997803 26.611, 47024.3898925781 6743008.47998047 26.571, 47025.2099609375 6743007.21002197 26.461, 47025.2299804688 6743006.84997559 26.401, 47026.4899902344 6743005.67999268 26.461, 47026.6499023437 6743005.57000733 26.501, 47027.6398925781 6743004.77001953 26.451, 47028.1999511719 6743004.28997803 26.401, 47028.8200683594 6743004.01000977 26.521, 47029.7299804688 6743003.54998779 26.551, 47030.1000976563 6743003.15997314 26.391, 47030.5700683594 6743003.09997559 26.471, 47031.3999023438 6743002.39001465 26.431, 47031.7600097656 6743001.67999268 26.361)</t>
  </si>
  <si>
    <t>POLYGON ((47025.83436653968 6743024.435362838, 47024.72368276679 6743021.682892613, 47024.710225753384 6743021.652496696, 47023.179223826606 6743018.4833631795, 47023.03780387746 6743016.992753154, 47023.03033524988 6743016.941949215, 47023.01769532994 6743016.892179213, 47022.48961653555 6743015.18553398, 47022.74305025306 6743013.186363577, 47023.159194242195 6743011.33242132, 47024.02273989207 6743009.947169478, 47024.2686395963 6743009.563551529, 47024.80596595325 6743008.757258212, 47024.80992932523 6743008.751216771, 47025.62999768463 6743007.481258271, 47025.65578782582 6743007.436380945, 47025.67680029752 6743007.38907786, 47025.692809921115 6743007.339855937, 47025.70364513067 6743007.289242658, 47025.70918981153 6743007.237780416, 47025.71801132687 6743007.079127618, 47026.80343799063 6743006.071253965, 47026.93324682747 6743005.981973231, 47026.964161300944 6743005.958904884, 47027.95415153535 6743005.158917084, 47027.965284856225 6743005.1496507535, 47028.47096665862 6743004.716217085, 47029.025810041974 6743004.465718405, 47029.04566038869 6743004.456225229, 47029.9555724981 6743003.996203249, 47030.005072212385 6743003.967509685, 47030.05096982862 6743003.933349018, 47030.09266435579 6743003.894168554, 47030.34014206958 6743003.633386463, 47030.63338564258 6743003.595950308, 47030.68101889581 6743003.587510182, 47030.72761357987 6743003.574506414, 47030.772733538215 6743003.55706073, 47030.81595641872 6743003.535336431, 47030.85687762712 6743003.509536872, 47030.895114114115 6743003.479903553, 47031.72494809852 6743002.769942613, 47031.760710558716 6743002.736161198, 47031.7929801966 6743002.699028892, 47031.82144462448 6743002.658905159, 47031.84582829121 6743002.616178418, 47032.20593571301 6743001.906156448, 47031.31408381819 6743001.453828913, 47030.99908296677 6743002.074914488, 47030.358548875774 6743002.622920708, 47030.03678037312 6743002.663998421, 47029.98865438857 6743002.672550943, 47029.941593470045 6743002.68576177, 47029.896047379836 6743002.703504647, 47029.85245140303 6743002.725610005, 47029.81122218742 6743002.751866581, 47029.77275376162 6743002.782023441, 47029.73741376931 6743002.815792376, 47029.42699370382 6743003.142900594, 47028.60429704333 6743003.558829278, 47027.99420948932 6743003.834269395, 47027.95197707731 6743003.8558019735, 47027.91197368316 6743003.881237322, 47027.874558893775 6743003.910346807, 47027.3199998279 6743004.385674512, 47026.35065539151 6743005.168978928, 47026.20664575062 6743005.268026779, 47026.149768769465 6743005.3135921415, 47024.88975900387 6743006.483575051, 47024.85625142503 6743006.517821105, 47024.826175501 6743006.555117068, 47024.79980739505 6743006.59512048, 47024.777389224386 6743006.637464024, 47024.75912683715 6743006.681758892, 47024.745187922235 6743006.727598358, 47024.73570046955 6743006.774561517, 47024.73075159477 6743006.822217143, 47024.71808420063 6743007.050037133, 47023.97181568514 6743008.205709137, 47023.43402428115 6743009.012700288, 47023.42915348177 6743009.020152157, 47023.17915348177 6743009.4101668075, 47023.17579086989 6743009.415486062, 47022.26563461989 6743010.875508032, 47022.23868481772 6743010.92468353, 47022.217410959514 6743010.976567482, 47022.202080629824 6743011.030507286, 47021.76213922352 6743012.990468225, 47021.753969838515 6743013.037094123, 47021.483950307316 6743015.167099003, 47021.48007603949 6743015.220204911, 47021.48187118267 6743015.273421683, 47021.48931537815 6743015.32614579, 47021.50232420136 6743015.377779286, 47022.04714352099 6743017.138526555, 47022.19217659134 6743018.667219996, 47022.19833147284 6743018.711207363, 47022.20836568966 6743018.754474967, 47022.22220006091 6743018.796681378, 47022.23972541852 6743018.8374935435, 47023.80255978624 6743022.072519372, 47024.92621957692 6743024.857146457, 47024.947740300384 6743024.9034992205, 47024.97388013608 6743024.947413105, 47025.79394849548 6743026.177393565, 47026.62597337952 6743025.622655256, 47025.83436653968 6743024.435362838))</t>
  </si>
  <si>
    <t>['RV13 S33D1 m8228-8360']</t>
  </si>
  <si>
    <t>LINESTRING Z (47096.3798828125 6742820.76000977 25.811, 47096.8701171875 6742820.09997559 25.901, 47111.3701171875 6742795.71002197 26.131, 47118.6999511719 6742784.54998779 26.451, 47131.7299804688 6742762.71002197 26.241, 47139.5400390625 6742749.61999512 26.081, 47144.9799804688 6742741.07000732 26.141, 47150.080078125 6742732.10998535 25.981, 47156.919921875 6742721.28997803 26.121, 47162.5500488281 6742710.71002197 26.201, 47162.5100097656 6742706.4699707 26.191)</t>
  </si>
  <si>
    <t>POLYGON ((47097.271511447754 6742820.39810752, 47097.299901654114 6742820.355485496, 47111.794181736106 6742795.975153155, 47119.117870975075 6742784.824474653, 47119.129337730315 6742784.806165821, 47132.15936642714 6742762.966201006, 47139.96574347014 6742749.882344609, 47145.40183266354 6742741.338411354, 47145.41451747446 6742741.317348361, 47150.508893876504 6742732.367377682, 47157.34255774793 6742721.557146365, 47157.36131497877 6742721.524865509, 47162.991441931874 6742710.944909449, 47163.01262869776 6742710.899810969, 47163.029221579214 6742710.852827693, 47163.04105579238 6742710.804426213, 47163.0480138116 6742710.755087202, 47163.050026536745 6742710.70530065, 47163.009987474245 6742706.46524938, 47162.01003205696 6742706.474692021, 47162.04886939343 6742710.587483068, 47156.487304369024 6742721.038599726, 47149.65744225207 6742731.842817015, 47149.64554111934 6742731.862644308, 47144.55152684594 6742740.811978788, 47139.11818686776 6742749.351591085, 47139.110657777324 6742749.363808251, 47131.300599183625 6742762.453835101, 47118.276100178635 6742784.284531457, 47110.95219738432 6742795.435535107, 47110.940332720886 6742795.454512063, 47096.453435017385 6742819.822426759, 47095.978488552246 6742820.46187784, 47096.781277072754 6742821.058141701, 47097.271511447754 6742820.39810752))</t>
  </si>
  <si>
    <t>['RV13 S33D1 m8432-8442']</t>
  </si>
  <si>
    <t>LINESTRING Z (47063.169921875 6742896.91998291 26.711, 47064.7900390625 6742886.5 26.711)</t>
  </si>
  <si>
    <t>POLYGON ((47065.284102833895 6742886.5768179, 47064.295975291105 6742886.4231821, 47062.675858103605 6742896.84316501, 47063.663985646395 6742896.99680081, 47065.284102833895 6742886.5768179))</t>
  </si>
  <si>
    <t>['RV13 S33D1 m8518-8573']</t>
  </si>
  <si>
    <t>LINESTRING Z (47036.9399414063 6742970.59997559 24.831, 47036.2099609375 6742971.54998779 25.641, 47034.8601074219 6742973.52001953 25.591, 47034.1101074219 6742976.17999268 25.581, 47034.1599121094 6742978.69000244 25.591, 47034.9499511719 6742981.15002441 25.561, 47036.25 6742983.23999024 25.551, 47036.2800292969 6742984.80999756 25.531, 47035.1298828125 6742985.79998779 25.541, 47034.5900878906 6742987.2199707 25.551, 47034.5400390625 6742988.73999023 25.521, 47035.0600585938 6742990.20001221 25.521, 47036.1599121094 6742991.23999023 25.511, 47036.3000488281 6742992.34002686 25.531, 47035.2900390625 6742993.14001465 25.521, 47033.4299316406 6742994.84997559 25.511, 47031.830078125 6742997.46002197 25.581, 47031.0100097656 6742999.79998779 25.531, 47030.7700195313 6743001.09002686 25.541, 47029.830078125 6743000.21002197 25.581, 47027.4099121094 6742999.95001221 25.651, 47025.0600585937 6743001.01000977 25.661, 47023.1799316406 6743002.71002197 25.651, 47022.3400878906 6743004.5 25.651, 47022.25 6743005.4699707 25.611, 47022.4799804688 6743006.55999756 25.531, 47023.1899414062 6743007.5 25.491, 47023.6201171875 6743007.65002442 25.581, 47023.1101074219 6743008.2800293 25.461, 47022.1000976563 6743007.48999023 25.461, 47020.0400390625 6743007.77001953 25.461, 47016.3701171875 6743009.28997803 25.461, 47013.5100097656 6743012.67999268 25.461, 47012.419921875 6743016.75 25.461, 47013.7900390625 6743022.01000977 25.461, 47016.1999511719 6743024.76000977 25.461, 47020.75 6743026.82995606 25.461, 47024.580078125 6743026.86999512 25.631)</t>
  </si>
  <si>
    <t>POLYGON ((47022.18350712066 6743006.997073617, 47022.18196933361 6743006.996738744, 47022.13238575141 6743006.99103384, 47022.082480440615 6743006.990300693, 47022.03275067319 6743006.994546606, 47019.97269207939 6743007.274575907, 47019.93045780885 6743007.282175345, 47019.88903070726 6743007.293368215, 47019.84871592434 6743007.30807207, 47016.17879404934 6743008.8280305695, 47016.135632740356 6743008.848370689, 47016.09460675856 6743008.872732295, 47016.05608970592 6743008.900893539, 47016.020432337056 6743008.932597972, 47015.987959364786 6743008.967556879, 47013.12785194289 6743012.357571529, 47013.094827780114 6743012.401381986, 47013.06680232768 6743012.448546862, 47013.04411300677 6743012.4984983, 47013.0270329924 6743012.550634895, 47011.9369451018 6743016.620642215, 47011.92618067324 6743016.671135397, 47011.92068038363 6743016.722469412, 47011.9205028756 6743016.774096951, 47011.92565004169 6743016.825467574, 47011.93606700409 6743016.876033583, 47013.30618419159 6743022.136043353, 47013.31997143908 6743022.180410561, 47013.33781732053 6743022.223306503, 47013.359567752 6743022.264360809, 47013.38503493703 6743022.30321901, 47013.413998988064 6743022.339545599, 47015.82391109746 6743025.089545599, 47015.86091173781 6743025.127504345, 47015.90172306433 6743025.1613325775, 47015.94588637187 6743025.190650081, 47015.992905280196 6743025.215127336, 47020.5429541083 6743027.285073626, 47020.591377994264 6743027.304128032, 47020.641520037825 6743027.3180463165, 47020.69283711166 6743027.326677717, 47020.74477336091 6743027.329928742, 47024.57485148591 6743027.3699678015, 47024.58530476409 6743026.3700224385, 47020.86087541166 6743026.331087816, 47016.50501769552 6743024.349484571, 47014.244066897874 6743021.769467371, 47012.93706888026 6743016.751778077, 47013.9641190659 6743012.917131524, 47016.673830848995 6743009.7053771075, 47020.17154289254 6743008.256742141, 47021.95829467221 6743008.013864171, 47022.802050839084 6743008.673858123, 47022.84169499404 6743008.701876154, 47022.883869385936 6743008.725917571, 47022.92817645059 6743008.745755745, 47022.97419851962 6743008.761203665, 47023.0215017579 6743008.772115711, 47023.069640253096 6743008.778389017, 47023.118160219194 6743008.779964448, 47023.16660427417 6743008.776827152, 47023.21451575161 6743008.769006703, 47023.26144300552 6743008.756576822, 47023.306943667856 6743008.739654683, 47023.35058881861 6743008.718399802, 47023.39196702906 6743008.693012546, 47023.430688240216 6743008.663732231, 47023.466387439745 6743008.630834871, 47023.49872810302 6743008.594630581, 47024.00873786862 6743007.964625701, 47024.03704534762 6743007.926015197, 47024.06153028868 6743007.884874317, 47024.08196820541 6743007.841580253, 47024.098171716105 6743007.79652994, 47024.109992261496 6743007.750136416, 47024.117321466845 6743007.702825031, 47024.12009213552 6743007.655029553, 47024.118278865084 6743007.607188185, 47024.11189828023 6743007.559739554, 47024.1010088803 6743007.513118686, 47024.08571050299 6743007.467753016, 47024.066143409 6743007.424058472, 47024.04248699604 6743007.382435659, 47024.0149581541 6743007.343266191, 47023.983809276884 6743007.306909185, 47023.94932594782 6743007.273697976, 47023.91182432171 6743007.243937055, 47023.871648226115 6743007.21789928, 47023.829166009054 6743007.195823373, 47023.784767161844 6743007.177911736, 47023.49762906417 6743007.077771913, 47022.94618567944 6743006.347649875, 47022.7548586831 6743005.440826934, 47022.829862922554 6743004.633260965, 47023.58986768579 6743003.013445578, 47025.33719056185 6743001.433514925, 47027.49162652496 6743000.461668446, 47029.6104158715 6743000.6892999, 47030.42829502354 6743001.455025985, 47030.46534709418 6743001.486479513, 47030.50527792962 6743001.514187071, 47030.54771023472 6743001.537886857, 47030.59224307845 6743001.557354938, 47030.638455682376 6743001.572407368, 47030.68591139646 6743001.582901917, 47030.73416182489 6743001.588739428, 47030.782751062805 6743001.589864742, 47030.83122000402 6743001.586267227, 47030.879110679016 6743001.577980876, 47030.92597058214 6743001.565083982, 47030.971356947215 6743001.547698407, 47031.01484093112 6743001.5259884205, 47031.05601166581 6743001.500159155, 47031.09448014046 6743001.470454663, 47031.12988287719 6743001.437155615, 47031.16188536538 6743001.400576644, 47031.19018522245 6743001.361063374, 47031.21451505092 6743001.318989156, 47031.234644965014 6743001.2747515375, 47031.25038476279 6743001.228768506, 47031.26158572322 6743001.181474544, 47031.494559385006 6742999.929152228, 47032.28427665483 6742997.6757895695, 47033.81972707373 6742995.170812227, 47035.61489290288 6742993.520550843, 47036.61049493155 6742992.731974837, 47036.64906394363 6742992.698061005, 47036.683950543724 6742992.660369603, 47036.71478664796 6742992.619298306, 47036.74124690871 6742992.575280455, 47036.76305214728 6742992.528780473, 47036.77997229952 6742992.480288978, 47036.79182884314 6742992.430317595, 47036.79849668133 6742992.379393567, 47036.79990546263 6742992.328054186, 47036.796040323155 6742992.276841127, 47036.65590360445 6742991.176804497, 47036.64733092522 6742991.128532175, 47036.63407179616 6742991.081331504, 47036.616253701555 6742991.035656309, 47036.594047959385 6742990.99194575, 47036.56766807414 6742990.950620098, 47036.53736768395 6742990.91207669, 47036.50343812181 6742990.876686117, 47035.49080051522 6742989.919176014, 47035.04289075785 6742988.661611535, 47035.0870741903 6742987.319728363, 47035.552187345675 6742986.096203085, 47036.606212591 6742985.188949349, 47036.64161864515 6742985.155328045, 47036.67357661081 6742985.118413694, 47036.70178173949 6742985.078558312, 47036.72596506924 6742985.036141954, 47036.74589598971 6742984.991569102, 47036.76138444115 6742984.945264797, 47036.772282726895 6742984.897670593, 47036.77848692171 6742984.849240347, 47036.77993786287 6742984.800435884, 47036.74990856597 6742983.230428563, 47036.74599885967 6742983.176862344, 47036.73636606925 6742983.124024526, 47036.72112134271 6742983.0725247795, 47036.70044058136 6742983.022957333, 47036.67456241014 6742982.975894121, 47035.40712512246 6742980.938354788, 47034.65836065463 6742978.606853563, 47034.611481106935 6742976.244262247, 47035.31903604739 6742973.734826055, 47036.614729578425 6742971.843837624, 47037.33641432055 6742970.90462166, 47036.543468492055 6742970.29532952, 47035.813488023254 6742971.24534172, 47035.79749640636 6742971.267369655, 47034.44764289076 6742973.237401395, 47034.419433166215 6742973.28378617, 47034.39641870211 6742973.332955982, 47034.37887082372 6742973.38433115, 47033.62887082372 6742976.0443043, 47033.617884260726 6742976.092149869, 47033.611642538 6742976.140842208, 47033.61020582332 6742976.189911942, 47033.66001051082 6742978.699921701, 47033.66331930919 6742978.748274137, 47033.67129390728 6742978.796079075, 47033.68385937873 6742978.842887356, 47034.47389844123 6742981.302909327, 47034.48800290418 6742981.341345601, 47034.5052047913 6742981.378499041, 47034.52538876176 6742981.414120529, 47035.752724048965 6742983.38719166, 47035.775623845766 6742984.584450748, 47034.803699518394 6742985.421036001, 47034.76771601852 6742985.455262953, 47034.73530536164 6742985.492890679, 47034.7067872847 6742985.533547976, 47034.68244312381 6742985.576833751, 47034.6625130387 6742985.622320983, 47034.1227181168 6742987.042303893, 47034.10602401294 6742987.09474226, 47034.09519381135 6742987.148697631, 47034.09035870799 6742987.203516399, 47034.040309879885 6742988.723535928, 47034.0409646047 6742988.770398873, 47034.04600432596 6742988.816994639, 47034.055384763386 6742988.862913826, 47034.06902349813 6742988.907752973, 47034.58904302943 6742990.367774953, 47034.60692002967 6742990.411354211, 47034.62881861463 6742990.453057819, 47034.65454443526 6742990.492515658, 47034.68386917605 6742990.5293775415, 47034.71653258139 6742990.563316323, 47035.686508826744 6742991.480487528, 47035.768396846666 6742992.123287091, 47034.979592959055 6742992.748066673, 47034.95165421282 6742992.771917254, 47033.09154679092 6742994.481878193, 47033.05898890084 6742994.514712284, 47033.0296034523 6742994.550413674, 47033.00364176039 6742994.588677028, 47031.40378824479 6742997.198723408, 47031.37844835077 6742997.245474663, 47031.35821691331 6742997.294652696, 47030.53814855391 6742999.634618516, 47030.52688018573 6742999.671201887, 47030.51844357368 6742999.708540106, 47030.445400513556 6743000.101174422, 47030.17180263276 6742999.845022845, 47030.13674295192 6742999.815108456, 47030.09907778322 6742999.788549333, 47030.059127137545 6742999.7655711295, 47030.01723044388 6742999.746369072, 47029.973743665236 6742999.731106306, 47029.92903627432 6742999.719912508, 47029.88348811438 6742999.712882781, 47027.463322098774 6742999.452873021, 47027.41034570323 6742999.450012398, 47027.35736442594 6742999.452781136, 47027.30497476865 6742999.461148063, 47027.25376657219 6742999.475018977, 47027.20431637576 6742999.494237711, 47024.854462860065 6743000.554235271, 47024.808349240535 6743000.577988473, 47024.7649446989 6743000.6063914, 47024.72471638585 6743000.639138359, 47022.84458943275 6743002.339150558, 47022.80949398724 6743002.374200671, 47022.77804394536 6743002.412555534, 47022.750548801014 6743002.453837706, 47022.72727912843 6743002.497640937, 47021.88743537843 6743004.287618967, 47021.87077590757 6743004.327528952, 47021.85762753767 6743004.368729257, 47021.848088636696 6743004.410911649, 47021.842230568815 6743004.453760546, 47021.75214267821 6743005.423731246, 47021.750014331126 6743005.473756321, 47021.75289991628 6743005.523743433, 47021.76077049662 6743005.573191304, 47021.99075096542 6743006.663218164, 47022.0049975087 6743006.716174344, 47022.0249577569 6743006.767251829, 47022.050391602475 6743006.815836193, 47022.08099309453 6743006.861343002, 47022.18350712066 6743006.997073617))</t>
  </si>
  <si>
    <t>['FV5240 S1D1 m7349-7377']</t>
  </si>
  <si>
    <t>LINESTRING Z (-43214.34 6735263.33 22.153, -43210.18 6735264.82 21.353, -43208.02 6735264.27 21.313, -43205.47 6735266.15 20.663, -43203.1 6735269.99 19.673, -43200.73 6735274.52 18.953, -43199.81 6735276.93 18.683, -43198.54 6735278.83 18.893, -43197.81 6735281.18 18.463, -43197.41 6735282.24 18.283, -43195.43 6735283.34 19.083, -43193.69 6735284.33 19.853, -43192.73 6735282.48 20.103, -43193.81 6735278.45 20.353, -43196.81 6735273.78 20.353, -43200.36 6735269.91 21.003, -43204.97 6735265.03 21.883, -43208.18 6735262.88 21.943, -43210.83 6735261.78 21.833)</t>
  </si>
  <si>
    <t>POLYGON Z ((-43214.34 6735263.33 22.153, -43210.18 6735264.82 21.353, -43208.02 6735264.27 21.313, -43205.47 6735266.15 20.663, -43203.1 6735269.99 19.673, -43200.73 6735274.52 18.953, -43199.81 6735276.93 18.683, -43198.54 6735278.83 18.893, -43197.81 6735281.18 18.463, -43197.41 6735282.24 18.283, -43195.43 6735283.34 19.083, -43193.69 6735284.33 19.853, -43192.73 6735282.48 20.103, -43193.81 6735278.45 20.353, -43196.81 6735273.78 20.353, -43200.36 6735269.91 21.003, -43204.97 6735265.03 21.883, -43208.18 6735262.88 21.943, -43210.83 6735261.78 21.833, -43214.34 6735263.33 22.153))</t>
  </si>
  <si>
    <t>LINESTRING Z (-43214.34 6735263.33 22.153, -43209.11 6735273.64 21.223, -43206.18 6735280.44 20.933, -43203.42 6735283.5 20.303, -43199.39 6735286.06 19.873, -43197.12 6735285.85 19.443, -43200.02 6735283.55 18.983, -43201.15 6735281.36 18.753, -43202.34 6735277.17 18.843, -43204.12 6735273.89 19.573, -43206.2 6735270.78 19.553, -43208.23 6735266.82 20.293, -43209.93 6735265.41 21.153)</t>
  </si>
  <si>
    <t>POLYGON Z ((-43214.34 6735263.33 22.153, -43209.11 6735273.64 21.223, -43206.18 6735280.44 20.933, -43203.42 6735283.5 20.303, -43199.39 6735286.06 19.873, -43197.12 6735285.85 19.443, -43200.02 6735283.55 18.983, -43201.15 6735281.36 18.753, -43202.34 6735277.17 18.843, -43204.12 6735273.89 19.573, -43206.2 6735270.78 19.553, -43208.23 6735266.82 20.293, -43209.93 6735265.41 21.153, -43214.34 6735263.33 22.153))</t>
  </si>
  <si>
    <t>2018-10-22</t>
  </si>
  <si>
    <t>[8670]</t>
  </si>
  <si>
    <t>['FV8670 S4D1 m1438-1443']</t>
  </si>
  <si>
    <t>LINESTRING Z (564607.335825402 7650615.87318512 18.073, 564607.9138422 7650613.90741222 18.063, 564608.370959735 7650611.97868251 18.083, 564605.742948007 7650611.08449576 17.553, 564603.648460099 7650610.86331493 18.543, 564602.52193903 7650614.40560174 18.553, 564604.501104412 7650615.25393217 17.403)</t>
  </si>
  <si>
    <t>POLYGON Z ((564607.335825402 7650615.87318512 18.073, 564607.9138422 7650613.90741222 18.063, 564608.370959735 7650611.97868251 18.083, 564605.742948007 7650611.08449576 17.553, 564603.648460099 7650610.86331493 18.543, 564602.52193903 7650614.40560174 18.553, 564604.501104412 7650615.25393217 17.403, 564607.335825402 7650615.87318512 18.073))</t>
  </si>
  <si>
    <t>['FV8670 S4D1 m1138-1142']</t>
  </si>
  <si>
    <t>LINESTRING Z (564584.939000945 7650322.84063716 20.171, 564587.013786571 7650322.23137767 19.552, 564589.237029873 7650321.27576418 18.742, 564588.030946774 7650317.02650193 18.631, 564585.557621147 7650317.986003 19.591, 564584.064169576 7650318.53947365 20.031, 564584.236624643 7650320.89356921 20.751)</t>
  </si>
  <si>
    <t>POLYGON Z ((564584.939000945 7650322.84063716 20.171, 564587.013786571 7650322.23137767 19.552, 564589.237029873 7650321.27576418 18.742, 564588.030946774 7650317.02650193 18.631, 564585.557621147 7650317.986003 19.591, 564584.064169576 7650318.53947365 20.031, 564584.236624643 7650320.89356921 20.751, 564584.939000945 7650322.84063716 20.171))</t>
  </si>
  <si>
    <t>['FV8670 S4D1 m1065-1074']</t>
  </si>
  <si>
    <t>LINESTRING Z (564574.727999969 7650254.57453448 18.311, 564571.193875349 7650255.97808646 18.991, 564569.588072932 7650256.21882716 20.101, 564568.841814564 7650254.43067875 20.241, 564569.333755963 7650253.12276855 19.671, 564570.692203066 7650251.95602927 18.831, 564574.004901897 7650247.74720778 17.751, 564577.779888428 7650245.48958593 17.021, 564578.880560664 7650247.0964057 16.931, 564577.543545825 7650248.61365105 17.491, 564576.777118581 7650250.51482252 17.831)</t>
  </si>
  <si>
    <t>POLYGON Z ((564574.727999969 7650254.57453448 18.311, 564571.193875349 7650255.97808646 18.991, 564569.588072932 7650256.21882716 20.101, 564568.841814564 7650254.43067875 20.241, 564569.333755963 7650253.12276855 19.671, 564570.692203066 7650251.95602927 18.831, 564574.004901897 7650247.74720778 17.751, 564577.779888428 7650245.48958593 17.021, 564578.880560664 7650247.0964057 16.931, 564577.543545825 7650248.61365105 17.491, 564576.777118581 7650250.51482252 17.831, 564574.727999969 7650254.57453448 18.311))</t>
  </si>
  <si>
    <t>['FV8670 S4D1 m995-1005']</t>
  </si>
  <si>
    <t>LINESTRING Z (564559.9582560816 7650185.857038085 19.621, 564554.0205144867 7650183.322044258 20.481, 564548.955548129 7650182.308304467 21.351, 564546.3094625854 7650182.153640171 21.781, 564545.0314321488 7650183.712325081 22.061, 564546.2848776759 7650186.43282201 21.881, 564550.1257494367 7650187.6166354725 20.951, 564554.9591752674 7650188.284733846 19.941, 564558.6650224717 7650189.2652575625 19.541)</t>
  </si>
  <si>
    <t>POLYGON Z ((564559.9582560816 7650185.857038085 19.621, 564554.0205144867 7650183.322044258 20.481, 564548.955548129 7650182.308304467 21.351, 564546.3094625854 7650182.153640171 21.781, 564545.0314321488 7650183.712325081 22.061, 564546.2848776759 7650186.43282201 21.881, 564550.1257494367 7650187.6166354725 20.951, 564554.9591752674 7650188.284733846 19.941, 564558.6650224717 7650189.2652575625 19.541, 564559.9582560816 7650185.857038085 19.621))</t>
  </si>
  <si>
    <t>['FV8670 S4D1 m1308-1312']</t>
  </si>
  <si>
    <t>LINESTRING Z (564630.8898586903 7650483.505580084 18.073, 564628.3666057365 7650483.643901933 19.393, 564629.0357445414 7650487.360068235 19.343, 564631.5556188164 7650486.541698264 18.303)</t>
  </si>
  <si>
    <t>POLYGON Z ((564630.8898586903 7650483.505580084 18.073, 564628.3666057365 7650483.643901933 19.393, 564629.0357445414 7650487.360068235 19.343, 564631.5556188164 7650486.541698264 18.303, 564630.8898586903 7650483.505580084 18.073))</t>
  </si>
  <si>
    <t>['FV8670 S5D1 m11-19']</t>
  </si>
  <si>
    <t>LINESTRING Z (562258.136714466 7653325.489013502 7.485, 562259.5007823778 7653328.59219099 9.495, 562260.1090093779 7653331.526900767 10.655, 562258.8144310582 7653332.535199804 10.685, 562256.5965212405 7653334.09089805 10.765, 562254.7055975128 7653333.314715608 9.865, 562252.2750695319 7653331.7053873595 8.495, 562248.9968491301 7653329.185386171 5.625, 562251.2330800258 7653326.880176297 5.285, 562253.9270350817 7653325.076128571 5.405, 562256.3986464803 7653324.186596132 5.995)</t>
  </si>
  <si>
    <t>POLYGON Z ((562258.136714466 7653325.489013502 7.485, 562259.5007823778 7653328.59219099 9.495, 562260.1090093779 7653331.526900767 10.655, 562258.8144310582 7653332.535199804 10.685, 562256.5965212405 7653334.09089805 10.765, 562254.7055975128 7653333.314715608 9.865, 562252.2750695319 7653331.7053873595 8.495, 562248.9968491301 7653329.185386171 5.625, 562251.2330800258 7653326.880176297 5.285, 562253.9270350817 7653325.076128571 5.405, 562256.3986464803 7653324.186596132 5.995, 562258.136714466 7653325.489013502 7.485))</t>
  </si>
  <si>
    <t>['FV8670 S4D1 m474-480']</t>
  </si>
  <si>
    <t>LINESTRING Z (564544.967977372 7649665.85707517 3.348, 564543.441595256 7649666.93971551 3.438, 564543.444486301 7649667.6397506 3.108, 564545.586400415 7649670.01197834 3.458, 564544.645523989 7649670.45896068 4.528, 564543.0453788 7649669.64989433 4.988, 564542.225725203 7649668.40992504 5.228, 564542.02300339 7649666.885048 5.358, 564542.971226516 7649665.72828127 5.058, 564544.410822042 7649664.92350576 4.638, 564546.615522762 7649664.31741928 3.578)</t>
  </si>
  <si>
    <t>POLYGON Z ((564544.967977372 7649665.85707517 3.348, 564543.441595256 7649666.93971551 3.438, 564543.444486301 7649667.6397506 3.108, 564545.586400415 7649670.01197834 3.458, 564544.645523989 7649670.45896068 4.528, 564543.0453788 7649669.64989433 4.988, 564542.225725203 7649668.40992504 5.228, 564542.02300339 7649666.885048 5.358, 564542.971226516 7649665.72828127 5.058, 564544.410822042 7649664.92350576 4.638, 564546.615522762 7649664.31741928 3.578, 564544.967977372 7649665.85707517 3.348))</t>
  </si>
  <si>
    <t>['FV8670 S4D1 m1547-1552']</t>
  </si>
  <si>
    <t>LINESTRING Z (564566.339679762 7650718.08599956 18.683, 564568.256665088 7650719.43278519 18.083, 564569.364215991 7650719.93982965 17.383, 564570.456013934 7650718.63658091 17.323, 564571.637733104 7650717.74550907 17.833, 564570.867112993 7650715.72677638 17.933, 564567.833702036 7650715.87262795 18.663)</t>
  </si>
  <si>
    <t>POLYGON Z ((564566.339679762 7650718.08599956 18.683, 564568.256665088 7650719.43278519 18.083, 564569.364215991 7650719.93982965 17.383, 564570.456013934 7650718.63658091 17.323, 564571.637733104 7650717.74550907 17.833, 564570.867112993 7650715.72677638 17.933, 564567.833702036 7650715.87262795 18.663, 564566.339679762 7650718.08599956 18.683))</t>
  </si>
  <si>
    <t>['FV8670 S5D1 m106-109']</t>
  </si>
  <si>
    <t>LINESTRING Z (562203.7979511992 7653415.1458296245 16.075, 562204.1252039217 7653412.393978398 16.335, 562201.8157532595 7653411.9675457645 15.135, 562200.5563074378 7653412.356736892 14.375, 562200.0390004897 7653413.884008404 14.095, 562201.0921367832 7653415.389671388 14.575)</t>
  </si>
  <si>
    <t>POLYGON Z ((562203.7979511992 7653415.1458296245 16.075, 562204.1252039217 7653412.393978398 16.335, 562201.8157532595 7653411.9675457645 15.135, 562200.5563074378 7653412.356736892 14.375, 562200.0390004897 7653413.884008404 14.095, 562201.0921367832 7653415.389671388 14.575, 562203.7979511992 7653415.1458296245 16.075))</t>
  </si>
  <si>
    <t>LINESTRING Z (564618.5716901742 7650489.184222467 19.223, 564618.1392615266 7650484.783876355 19.253, 564615.3888238694 7650485.216630619 18.812, 564613.6679634481 7650485.66454815 19.742, 564613.4421627665 7650487.538934353 19.792, 564613.6543674569 7650489.494021816 19.883, 564616.0601201287 7650489.662812591 18.523)</t>
  </si>
  <si>
    <t>POLYGON Z ((564618.5716901742 7650489.184222467 19.223, 564618.1392615266 7650484.783876355 19.253, 564615.3888238694 7650485.216630619 18.812, 564613.6679634481 7650485.66454815 19.742, 564613.4421627665 7650487.538934353 19.792, 564613.6543674569 7650489.494021816 19.883, 564616.0601201287 7650489.662812591 18.523, 564618.5716901742 7650489.184222467 19.223))</t>
  </si>
  <si>
    <t>['FV8670 S4D1 m1758-1762']</t>
  </si>
  <si>
    <t>LINESTRING Z (564385.546707628 7650824.14174384 28.663, 564387.350914749 7650823.96585058 28.823, 564389.484704906 7650822.98805376 28.483, 564388.75456843 7650820.54033284 27.523, 564384.963543024 7650821.81760886 27.533)</t>
  </si>
  <si>
    <t>POLYGON Z ((564385.546707628 7650824.14174384 28.663, 564387.350914749 7650823.96585058 28.823, 564389.484704906 7650822.98805376 28.483, 564388.75456843 7650820.54033284 27.523, 564384.963543024 7650821.81760886 27.533, 564385.546707628 7650824.14174384 28.663))</t>
  </si>
  <si>
    <t>['FV8670 S4D1 m1664-1674']</t>
  </si>
  <si>
    <t>LINESTRING Z (564478.663910326 7650797.05905789 23.543, 564480.644723241 7650799.06736998 22.273, 564482.421534078 7650800.83070841 21.313, 564485.321038826 7650802.48149301 20.173, 564482.573591877 7650806.47413797 20.223, 564479.110318282 7650804.56958686 21.323, 564477.353026551 7650802.41674531 22.113, 564473.574763041 7650801.94442252 23.443, 564475.865845221 7650799.44054759 23.763)</t>
  </si>
  <si>
    <t>POLYGON Z ((564478.663910326 7650797.05905789 23.543, 564480.644723241 7650799.06736998 22.273, 564482.421534078 7650800.83070841 21.313, 564485.321038826 7650802.48149301 20.173, 564482.573591877 7650806.47413797 20.223, 564479.110318282 7650804.56958686 21.323, 564477.353026551 7650802.41674531 22.113, 564473.574763041 7650801.94442252 23.443, 564475.865845221 7650799.44054759 23.763, 564478.663910326 7650797.05905789 23.543))</t>
  </si>
  <si>
    <t>['FV8670 S4D1 m1598-1603']</t>
  </si>
  <si>
    <t>LINESTRING Z (564534.057554961 7650753.83516155 20.513, 564535.990619258 7650755.34233208 19.763, 564537.385234036 7650757.19632446 19.203, 564534.414103759 7650759.70357817 19.453, 564532.56927147 7650758.2685605 20.063, 564531.065481193 7650755.97192219 20.733)</t>
  </si>
  <si>
    <t>POLYGON Z ((564534.057554961 7650753.83516155 20.513, 564535.990619258 7650755.34233208 19.763, 564537.385234036 7650757.19632446 19.203, 564534.414103759 7650759.70357817 19.453, 564532.56927147 7650758.2685605 20.063, 564531.065481193 7650755.97192219 20.733, 564534.057554961 7650753.83516155 20.513))</t>
  </si>
  <si>
    <t>['FV8670 S4D1 m86-97']</t>
  </si>
  <si>
    <t>LINESTRING Z (564507.004874452 7649283.07872745 5.176, 564508.545595358 7649287.95613361 5.196, 564509.364359964 7649292.50591229 5.596, 564512.827980306 7649292.35056892 3.806, 564514.873516892 7649291.71059311 4.636, 564513.756167695 7649287.10352009 4.776, 564511.788939408 7649281.26573916 4.806, 564509.611777481 7649281.97249477 4.176)</t>
  </si>
  <si>
    <t>POLYGON Z ((564507.004874452 7649283.07872745 5.176, 564508.545595358 7649287.95613361 5.196, 564509.364359964 7649292.50591229 5.596, 564512.827980306 7649292.35056892 3.806, 564514.873516892 7649291.71059311 4.636, 564513.756167695 7649287.10352009 4.776, 564511.788939408 7649281.26573916 4.806, 564509.611777481 7649281.97249477 4.176, 564507.004874452 7649283.07872745 5.176))</t>
  </si>
  <si>
    <t>['FV8670 S4D1 m848-853']</t>
  </si>
  <si>
    <t>LINESTRING Z (564517.758089018 7650039.88305546 22.45, 564517.739711238 7650041.8625057 22.38, 564514.816209333 7650042.42102551 21.53, 564513.344250742 7650042.0950667 21.83, 564513.16277814 7650039.70075313 21.56, 564513.534348489 7650037.58994178 21.46, 564515.07652605 7650037.49763803 21.46, 564517.586365696 7650037.49897963 22.33)</t>
  </si>
  <si>
    <t>POLYGON Z ((564517.758089018 7650039.88305546 22.45, 564517.739711238 7650041.8625057 22.38, 564514.816209333 7650042.42102551 21.53, 564513.344250742 7650042.0950667 21.83, 564513.16277814 7650039.70075313 21.56, 564513.534348489 7650037.58994178 21.46, 564515.07652605 7650037.49763803 21.46, 564517.586365696 7650037.49897963 22.33, 564517.758089018 7650039.88305546 22.45))</t>
  </si>
  <si>
    <t>['FV8670 S4D1 m1437-1442']</t>
  </si>
  <si>
    <t>LINESTRING Z (564620.808866009 7650619.81228453 17.683, 564618.318321155 7650619.02145236 18.123, 564619.02997869 7650615.67901553 18.393, 564622.302766371 7650615.14903363 17.863, 564625.905197418 7650617.4969629 17.293, 564625.454491433 7650617.93592481 17.033, 564624.098730263 7650618.99273469 17.003, 564623.040067727 7650620.57677934 17.263)</t>
  </si>
  <si>
    <t>POLYGON Z ((564620.808866009 7650619.81228453 17.683, 564618.318321155 7650619.02145236 18.123, 564619.02997869 7650615.67901553 18.393, 564622.302766371 7650615.14903363 17.863, 564625.905197418 7650617.4969629 17.293, 564625.454491433 7650617.93592481 17.033, 564624.098730263 7650618.99273469 17.003, 564623.040067727 7650620.57677934 17.263, 564620.808866009 7650619.81228453 17.683))</t>
  </si>
  <si>
    <t>['FV8670 S4D1 m1754-1765']</t>
  </si>
  <si>
    <t>LINESTRING Z (564391.248969556 7650841.63022482 28.153, 564392.086815914 7650844.58055276 29.243, 564393.991829955 7650851.32677056 28.893, 564397.597961252 7650857.61458993 28.253, 564402.140999868 7650864.84526093 28.163, 564403.963666893 7650865.9597532 26.733, 564406.655543927 7650871.60525955 26.423, 564409.855645596 7650876.91320503 26.313, 564412.717841895 7650878.86306266 26.203, 564416.503350082 7650880.67549464 25.533, 564417.222721676 7650879.06315946 25.373, 564417.280546325 7650877.9246308 25.563, 564417.530669757 7650877.10078622 25.783, 564415.484563866 7650874.49090885 26.223, 564413.149684572 7650870.60403844 26.573, 564409.779266204 7650864.08199201 26.803, 564405.33154263 7650856.63366169 27.063, 564402.564154862 7650849.98636087 27.723, 564401.40761619 7650844.52837131 28.653, 564399.727527014 7650838.80759873 28.743, 564395.97476829 7650835.24605664 28.893, 564393.258240359 7650835.10966716 29.003, 564389.686542755 7650837.23226074 28.923)</t>
  </si>
  <si>
    <t>POLYGON Z ((564391.248969556 7650841.63022482 28.153, 564392.086815914 7650844.58055276 29.243, 564393.991829955 7650851.32677056 28.893, 564397.597961252 7650857.61458993 28.253, 564402.140999868 7650864.84526093 28.163, 564403.963666893 7650865.9597532 26.733, 564406.655543927 7650871.60525955 26.423, 564409.855645596 7650876.91320503 26.313, 564412.717841895 7650878.86306266 26.203, 564416.503350082 7650880.67549464 25.533, 564417.222721676 7650879.06315946 25.373, 564417.280546325 7650877.9246308 25.563, 564417.530669757 7650877.10078622 25.783, 564415.484563866 7650874.49090885 26.223, 564413.149684572 7650870.60403844 26.573, 564409.779266204 7650864.08199201 26.803, 564405.33154263 7650856.63366169 27.063, 564402.564154862 7650849.98636087 27.723, 564401.40761619 7650844.52837131 28.653, 564399.727527014 7650838.80759873 28.743, 564395.97476829 7650835.24605664 28.893, 564393.258240359 7650835.10966716 29.003, 564389.686542755 7650837.23226074 28.923, 564391.248969556 7650841.63022482 28.153))</t>
  </si>
  <si>
    <t>['FV8670 S4D1 m319-322']</t>
  </si>
  <si>
    <t>LINESTRING Z (564547.1906844481 7649509.439343404 6.267, 564548.880058626 7649509.870609291 5.617, 564548.6964327879 7649511.656030837 5.597, 564546.985078244 7649512.124182062 6.147)</t>
  </si>
  <si>
    <t>POLYGON Z ((564547.1906844481 7649509.439343404 6.267, 564548.880058626 7649509.870609291 5.617, 564548.6964327879 7649511.656030837 5.597, 564546.985078244 7649512.124182062 6.147, 564547.1906844481 7649509.439343404 6.267))</t>
  </si>
  <si>
    <t>['FV8670 S4D1 m1137-1143']</t>
  </si>
  <si>
    <t>LINESTRING Z (564573.067001071 7650326.22030342 21.051, 564570.744535045 7650327.55347263 20.521, 564566.98444682 7650329.20148906 21.801, 564566.976793176 7650326.2414522 21.211, 564567.407144885 7650323.36211648 20.681, 564571.565752849 7650321.77383716 21.141)</t>
  </si>
  <si>
    <t>POLYGON Z ((564573.067001071 7650326.22030342 21.051, 564570.744535045 7650327.55347263 20.521, 564566.98444682 7650329.20148906 21.801, 564566.976793176 7650326.2414522 21.211, 564567.407144885 7650323.36211648 20.681, 564571.565752849 7650321.77383716 21.141, 564573.067001071 7650326.22030342 21.051))</t>
  </si>
  <si>
    <t>['FV8670 S4D1 m377-382']</t>
  </si>
  <si>
    <t>LINESTRING Z (564546.5173339056 7649567.679928367 4.827, 564546.5130633047 7649570.309690407 5.317, 564546.8544339453 7649572.70791161 4.707, 564547.9291139599 7649572.514186403 4.027, 564552.0048015618 7649571.8638283815 2.738, 564551.9491110275 7649569.232600959 2.737, 564550.7218812353 7649568.712634135 3.217, 564548.558190958 7649568.049787684 3.877)</t>
  </si>
  <si>
    <t>POLYGON Z ((564546.5173339056 7649567.679928367 4.827, 564546.5130633047 7649570.309690407 5.317, 564546.8544339453 7649572.70791161 4.707, 564547.9291139599 7649572.514186403 4.027, 564552.0048015618 7649571.8638283815 2.738, 564551.9491110275 7649569.232600959 2.737, 564550.7218812353 7649568.712634135 3.217, 564548.558190958 7649568.049787684 3.877, 564546.5173339056 7649567.679928367 4.827))</t>
  </si>
  <si>
    <t>['FV8670 S4D1 m1469-1475']</t>
  </si>
  <si>
    <t>LINESTRING Z (564596.141851891 7650645.10810769 17.843, 564597.328028698 7650642.80721609 17.863, 564598.020126457 7650640.67424002 17.773, 564595.210542114 7650639.43563274 17.343, 564594.022798676 7650638.93662798 18.363, 564591.41912859 7650643.5927547 18.333, 564593.605491668 7650644.14616434 17.153)</t>
  </si>
  <si>
    <t>POLYGON Z ((564596.141851891 7650645.10810769 17.843, 564597.328028698 7650642.80721609 17.863, 564598.020126457 7650640.67424002 17.773, 564595.210542114 7650639.43563274 17.343, 564594.022798676 7650638.93662798 18.363, 564591.41912859 7650643.5927547 18.333, 564593.605491668 7650644.14616434 17.153, 564596.141851891 7650645.10810769 17.843))</t>
  </si>
  <si>
    <t>['FV8670 S4D1 m378-384']</t>
  </si>
  <si>
    <t>LINESTRING Z (564530.125480448 7649573.10903911 5.167, 564531.062634005 7649574.04189554 4.657, 564532.965799519 7649573.90841529 5.287, 564533.13582796 7649571.04271638 5.337, 564533.084289285 7649568.24159913 5.377, 564531.141169467 7649567.9641238 4.777, 564530.493544272 7649567.86830085 4.917, 564530.02786201 7649570.55678304 4.857)</t>
  </si>
  <si>
    <t>POLYGON Z ((564530.125480448 7649573.10903911 5.167, 564531.062634005 7649574.04189554 4.657, 564532.965799519 7649573.90841529 5.287, 564533.13582796 7649571.04271638 5.337, 564533.084289285 7649568.24159913 5.377, 564531.141169467 7649567.9641238 4.777, 564530.493544272 7649567.86830085 4.917, 564530.02786201 7649570.55678304 4.857, 564530.125480448 7649573.10903911 5.167))</t>
  </si>
  <si>
    <t>['FV8670 S4D1 m195-203']</t>
  </si>
  <si>
    <t>LINESTRING Z (564552.6497623386 7649384.259119874 6.527, 564552.2867024936 7649386.840115767 6.367, 564551.8568628923 7649389.289486278 6.487, 564552.5162976771 7649392.17545595 6.457, 564554.4477932641 7649390.882726446 5.367, 564555.1052662157 7649388.9388935035 5.007, 564554.6056490743 7649387.696746185 5.207)</t>
  </si>
  <si>
    <t>POLYGON Z ((564552.6497623386 7649384.259119874 6.527, 564552.2867024936 7649386.840115767 6.367, 564551.8568628923 7649389.289486278 6.487, 564552.5162976771 7649392.17545595 6.457, 564554.4477932641 7649390.882726446 5.367, 564555.1052662157 7649388.9388935035 5.007, 564554.6056490743 7649387.696746185 5.207, 564552.6497623386 7649384.259119874 6.527))</t>
  </si>
  <si>
    <t>[7800]</t>
  </si>
  <si>
    <t>['FV7800 S1D1 m1686-1688']</t>
  </si>
  <si>
    <t>LINESTRING Z (566268.3688750908 7650305.935935197 7.401, 566267.7111522101 7650302.98000251 7.451, 566265.2572988701 7650304.369961295 6.911, 566266.0857257312 7650305.660146479 6.881)</t>
  </si>
  <si>
    <t>POLYGON Z ((566268.3688750908 7650305.935935197 7.401, 566267.7111522101 7650302.98000251 7.451, 566265.2572988701 7650304.369961295 6.911, 566266.0857257312 7650305.660146479 6.881, 566268.3688750908 7650305.935935197 7.401))</t>
  </si>
  <si>
    <t>['FV8670 S5D1 m177-181']</t>
  </si>
  <si>
    <t>LINESTRING Z (562220.4853796171 7653487.619842586 21.425, 562216.3729261698 7653487.729305165 19.125, 562216.4442127529 7653485.631161301 19.425, 562216.8842590937 7653483.992007177 19.805, 562219.9035138283 7653484.015813444 21.235)</t>
  </si>
  <si>
    <t>POLYGON Z ((562220.4853796171 7653487.619842586 21.425, 562216.3729261698 7653487.729305165 19.125, 562216.4442127529 7653485.631161301 19.425, 562216.8842590937 7653483.992007177 19.805, 562219.9035138283 7653484.015813444 21.235, 562220.4853796171 7653487.619842586 21.425))</t>
  </si>
  <si>
    <t>['FV7800 S1D1 m1700-1705']</t>
  </si>
  <si>
    <t>LINESTRING Z (566280.9134638269 7650301.222762416 7.581, 566284.549934844 7650300.54167354 7.121, 566285.0073170995 7650298.192965575 7.201, 566280.9920681843 7650298.824799203 7.711)</t>
  </si>
  <si>
    <t>POLYGON Z ((566280.9134638269 7650301.222762416 7.581, 566284.549934844 7650300.54167354 7.121, 566285.0073170995 7650298.192965575 7.201, 566280.9920681843 7650298.824799203 7.711, 566280.9134638269 7650301.222762416 7.581))</t>
  </si>
  <si>
    <t>2018-10-25</t>
  </si>
  <si>
    <t>['RV3 S28D1 m1566-1568']</t>
  </si>
  <si>
    <t>LINESTRING Z (251472.28 6960406.46 483.614, 251470.5 6960402.79 483.684, 251468.88 6960400.76 482.924, 251465.81 6960400.51 482.674, 251456.14 6960401.73 484.954)</t>
  </si>
  <si>
    <t>POLYGON Z ((251472.28 6960406.46 483.614, 251470.5 6960402.79 483.684, 251468.88 6960400.76 482.924, 251465.81 6960400.51 482.674, 251456.14 6960401.73 484.954, 251472.28 6960406.46 483.614))</t>
  </si>
  <si>
    <t>['EV134 S6D1 m2574-2590']</t>
  </si>
  <si>
    <t>LINESTRING Z (58.2974269311526 6653289.32598464 150.371, 55.6952505778754 6653280.08793496 142.461, 54.3215101608657 6653274.72539475 138.881, 56.4345554059837 6653263.19580477 132.501)</t>
  </si>
  <si>
    <t>POLYGON ((56.17813436211084 6653279.958094234, 54.83309833912711 6653274.707604645, 56.92636407773182 6653263.285939283, 55.942746734235584 6653263.1056702575, 53.82970148911758 6653274.635260237, 53.822850946114855 6653274.688802571, 53.82181219941122 6653274.7427713815, 53.82659735541405 6653274.796537669, 53.83715064380672 6653274.849474798, 55.21089106081642 6653280.212015008, 55.21397911750652 6653280.223499636, 57.81615547078372 6653289.4615493165, 58.77869839152148 6653289.190419964, 56.17813436211084 6653279.958094234))</t>
  </si>
  <si>
    <t>2018-11-02</t>
  </si>
  <si>
    <t>[1488]</t>
  </si>
  <si>
    <t>['FV1488 S1D1 m395-401']</t>
  </si>
  <si>
    <t>LINESTRING Z (287290.54 6660810.71 108.031, 287290.93 6660811.96 108.011, 287291.4 6660812.65 108.081, 287291.79 6660813.01 108.281, 287293.07 6660812.92 108.351, 287293.61 6660812.79 108.331, 287296.16 6660814.28 109.791, 287296.49 6660814.02 109.951, 287296.61 6660813.1 109.951, 287296.59 6660812.42 110.031, 287296.71 6660811.69 110.101, 287296.69 6660811.01 110.291, 287296.54 6660810.4 110.431, 287296.57 6660811.04 110.291, 287296.47 6660811.49 110.101, 287296.1 6660812.07 109.831, 287295.94 6660812.22 109.051, 287295.65 6660811.4 107.941, 287295.03 6660810.29 108.021, 287294.85 6660809.96 108.381, 287294.8 6660809.82 108.811, 287294.84 6660809.65 109.641, 287295.34 6660809.93 109.961, 287295.46 6660809.95 110.001, 287296 6660809.95 110.241, 287296.54 6660810.4 110.431, 287295.83 6660809.76 110.241, 287295.41 6660809.35 110.091, 287294.81 6660808.72 110.001, 287294.21 6660808.6 109.741, 287293.79 6660809.08 109.181, 287293.48 6660809.74 108.431, 287292.9 6660809.95 108.221, 287292.6 6660809.74 108.341, 287292.24 6660809.9 108.261, 287290.94 6660809.99 108.141, 287290.81 6660810.21 108.061, 287290.54 6660810.71 108.031)</t>
  </si>
  <si>
    <t>['FV7520 S1D1 m415-431']</t>
  </si>
  <si>
    <t>LINESTRING Z (506832.51 7533852.79 14.853, 506833.66 7533853.94 14.883, 506834.35 7533854.45 14.723, 506834.95 7533855.03 14.543, 506835.8 7533855.31 14.813, 506836.93 7533855.41 14.803, 506838.57 7533855.56 14.583, 506846.61 7533855.28 14.643, 506848.06 7533855.07 14.513)</t>
  </si>
  <si>
    <t>POLYGON Z ((506832.51 7533852.79 14.853, 506833.66 7533853.94 14.883, 506834.35 7533854.45 14.723, 506834.95 7533855.03 14.543, 506835.8 7533855.31 14.813, 506836.93 7533855.41 14.803, 506838.57 7533855.56 14.583, 506846.61 7533855.28 14.643, 506848.06 7533855.07 14.513, 506832.51 7533852.79 14.853))</t>
  </si>
  <si>
    <t>['FV7520 S1D1 m411-433']</t>
  </si>
  <si>
    <t>LINESTRING Z (506829.85 7533853.44 14.593, 506830.18 7533854.58 14.653, 506831.2 7533856 14.443, 506832.64 7533856.96 14.513, 506835.07 7533857.87 14.563, 506838.92 7533858.36 14.643, 506842.83 7533857.94 14.483, 506846.88 7533857.77 14.593, 506849.07 7533858.18 14.763, 506853.34 7533859.08 14.543)</t>
  </si>
  <si>
    <t>POLYGON ((506829.69971786777 7533854.719029038, 506829.718594946 7533854.772627559, 506829.7434318004 7533854.823737988, 506829.7739076237 7533854.871700157, 506830.79390762374 7533856.291700157, 506830.8217593462 7533856.327007657, 506830.85267079045 7533856.359669876, 506830.886391903 7533856.3894226, 506830.9226499019 7533856.416025147, 506832.3626499019 7533857.376025147, 506832.41214881965 7533857.405066107, 506832.4646494673 7533857.42824373, 506834.8946494673 7533858.33824373, 506834.94995630713 7533858.35537564, 506835.00687286013 7533858.365998956, 506838.8568728601 7533858.855998957, 506838.9151036908 7533858.859976026, 506838.9734012414 7533858.8571401285, 506842.867224575 7533858.438877775, 506846.8440185834 7533858.271950619, 506848.9724227385 7533858.670418977, 506853.236879272 7533859.569250565, 506853.4431207281 7533858.590749435, 506849.17312072805 7533857.690749435, 506849.1620087702 7533857.68853852, 506846.9720087702 7533857.2785385195, 506846.915749859 7533857.27127969, 506846.85903081053 7533857.2704398995, 506842.80903081055 7533857.4404399, 506842.7765987586 7533857.442859872, 506838.92492990143 7533857.856594123, 506835.19085398177 7533857.381348097, 506832.86936199514 7533856.511982785, 506831.5530292139 7533855.634427597, 506830.6363354611 7533854.358246098, 506830.3302821322 7533853.300970962, 506829.36971786775 7533853.579029039, 506829.69971786777 7533854.719029038))</t>
  </si>
  <si>
    <t>['FV7520 S1D1 m435-441']</t>
  </si>
  <si>
    <t>LINESTRING Z (506829.16 7533833.04 15.952, 506828.78 7533830.7 14.312, 506828.76 7533830.3 14.382, 506828.75 7533829.99 14.112, 506828.85 7533829.29 14.152, 506828.64 7533828.81 14.262, 506828.16 7533827.96 14.682, 506827.22 7533827.45 14.752, 506826.86 7533827.31 14.772, 506826.61 7533827 14.792, 506826.25 7533826.72 14.892, 506824.76 7533825.83 14.732, 506823.06 7533825.62 14.412)</t>
  </si>
  <si>
    <t>POLYGON Z ((506829.16 7533833.04 15.952, 506828.78 7533830.7 14.312, 506828.76 7533830.3 14.382, 506828.75 7533829.99 14.112, 506828.85 7533829.29 14.152, 506828.64 7533828.81 14.262, 506828.16 7533827.96 14.682, 506827.22 7533827.45 14.752, 506826.86 7533827.31 14.772, 506826.61 7533827 14.792, 506826.25 7533826.72 14.892, 506824.76 7533825.83 14.732, 506823.06 7533825.62 14.412, 506829.16 7533833.04 15.952))</t>
  </si>
  <si>
    <t>['FV7520 S1D1 m438-442']</t>
  </si>
  <si>
    <t>LINESTRING Z (506822.84 7533834.17 16.642, 506823.93 7533834.2 16.752, 506825.93 7533833.14 16.212, 506825.91 7533832.04 15.362, 506825.9 7533830.7 14.332, 506823.99 7533830.01 14.552, 506822.99 7533829.75 14.482, 506822.53 7533829.93 14.722)</t>
  </si>
  <si>
    <t>POLYGON Z ((506822.84 7533834.17 16.642, 506823.93 7533834.2 16.752, 506825.93 7533833.14 16.212, 506825.91 7533832.04 15.362, 506825.9 7533830.7 14.332, 506823.99 7533830.01 14.552, 506822.99 7533829.75 14.482, 506822.53 7533829.93 14.722, 506822.84 7533834.17 16.642))</t>
  </si>
  <si>
    <t>[835]</t>
  </si>
  <si>
    <t>['FV835 S3D1 m3690-3701']</t>
  </si>
  <si>
    <t>LINESTRING Z (504883.21 7522867.67 11.849, 504877.25 7522864.15 12.149, 504873.91 7522861.29 12.309)</t>
  </si>
  <si>
    <t>POLYGON ((504877.54195857537 7522863.741739841, 504874.23520836135 7522860.910211215, 504873.5847916386 7522861.669788785, 504876.9247916386 7522864.529788786, 504876.95915391465 7522864.556704505, 504876.9957326963 7522864.580520776, 504882.95573269634 7522868.100520776, 504883.4642673037 7522867.239479224, 504877.54195857537 7522863.741739841))</t>
  </si>
  <si>
    <t>['FV835 S3D1 m3687-3697']</t>
  </si>
  <si>
    <t>LINESTRING Z (504873.27 7522866.3 12.389, 504877.32 7522869.21 12.399, 504884.18 7522871.17 12.109)</t>
  </si>
  <si>
    <t>POLYGON ((504877.02824395575 7522869.616052226, 504877.0642799036 7522869.639659437, 504877.1022142051 7522869.660077047, 504877.14176525245 7522869.677153481, 504877.18263943604 7522869.690761974, 504884.042639436 7522871.650761974, 504884.31736056396 7522870.689238026, 504877.54106183373 7522868.753152674, 504873.5617560443 7522865.893947774, 504872.97824395576 7522866.706052226, 504877.02824395575 7522869.616052226))</t>
  </si>
  <si>
    <t>['FV835 S3D1 m3667-3680']</t>
  </si>
  <si>
    <t>LINESTRING Z (504911.04 7522873.5 12.289, 504907.38 7522871.79 12.269, 504905.32 7522871.54 12.489, 504901.93 7522868.61 12.859, 504901.27 7522867.56 12.839, 504902 7522865.51 12.509, 504903.41 7522863.31 11.819)</t>
  </si>
  <si>
    <t>POLYGON Z ((504911.04 7522873.5 12.289, 504907.38 7522871.79 12.269, 504905.32 7522871.54 12.489, 504901.93 7522868.61 12.859, 504901.27 7522867.56 12.839, 504902 7522865.51 12.509, 504903.41 7522863.31 11.819, 504911.04 7522873.5 12.289))</t>
  </si>
  <si>
    <t>['FV835 S3D1 m955-958']</t>
  </si>
  <si>
    <t>LINESTRING Z (506647.52 7524914.59 5.846, 506650.35 7524914.99 6.996, 506650.37 7524915.88 6.746)</t>
  </si>
  <si>
    <t>POLYGON Z ((506647.52 7524914.59 5.846, 506650.35 7524914.99 6.996, 506650.37 7524915.88 6.746, 506647.52 7524914.59 5.846))</t>
  </si>
  <si>
    <t>['FV835 S3D1 m949-960']</t>
  </si>
  <si>
    <t>LINESTRING Z (506668.99 7524914.34 6.196, 506663.36 7524915.69 8.786, 506661.92 7524916.13 4.056, 506658.49 7524910.98 4.056, 506657.1 7524907.91 7.846)</t>
  </si>
  <si>
    <t>POLYGON Z ((506668.99 7524914.34 6.196, 506663.36 7524915.69 8.786, 506661.92 7524916.13 4.056, 506658.49 7524910.98 4.056, 506657.1 7524907.91 7.846, 506668.99 7524914.34 6.196))</t>
  </si>
  <si>
    <t>['FV835 S3D1 m952-955']</t>
  </si>
  <si>
    <t>LINESTRING Z (506650.37 7524915.88 6.746, 506649.51 7524916.55 6.386, 506649.09 7524917.08 6.206, 506648.23 7524918.28 6.086, 506648.01 7524918.89 6.056, 506648.07 7524920.44 5.806)</t>
  </si>
  <si>
    <t>POLYGON Z ((506650.37 7524915.88 6.746, 506649.51 7524916.55 6.386, 506649.09 7524917.08 6.206, 506648.23 7524918.28 6.086, 506648.01 7524918.89 6.056, 506648.07 7524920.44 5.806, 506650.37 7524915.88 6.746))</t>
  </si>
  <si>
    <t>['FV835 S3D1 m954-958']</t>
  </si>
  <si>
    <t>LINESTRING Z (506645.27 7524916.49 5.756, 506646.26 7524915.69 5.026, 506647.52 7524914.59 5.846, 506646.26 7524915.69 5.026, 506645.27 7524916.49 5.756, 506644.87 7524918.26 5.396, 506644.79 7524919.27 5.356, 506645.14 7524919.7 5.316)</t>
  </si>
  <si>
    <t>[1563]</t>
  </si>
  <si>
    <t>['FV1563 S1D1 m2666-2798']</t>
  </si>
  <si>
    <t>LINESTRING Z (297587.6601659884 6668992.953024306 167.607, 297588.1701659878 6668993.023024304 167.827, 297588.25016598793 6668993.043024303 167.867, 297588.4001659879 6668993.063024302 167.937, 297589.16016598686 6668993.163024304 168.307, 297589.3601659871 6668993.203024305 168.387, 297589.4401659869 6668993.213024306 168.417, 297589.49016598705 6668992.953024309 168.417, 297589.5901659869 6668992.343024305 168.397, 297589.7301659866 6668991.483024307 168.387, 297589.81016598665 6668991.073024309 168.367, 297589.8901659865 6668990.593024311 168.357, 297590.0501659865 6668989.613024312 168.327, 297590.2001659862 6668988.753024313 168.327, 297590.25016598613 6668988.443024311 168.317, 297590.3401659862 6668987.903024315 168.297, 297590.460165986 6668987.233024318 168.287, 297590.57016598585 6668986.553024317 168.287, 297590.6301659859 6668986.163024317 168.297, 297590.6501659857 6668986.093024315 168.297, 297590.8701659858 6668984.833024322 168.267, 297590.94016598584 6668984.41302432 168.247, 297590.95016598585 6668984.35302432 168.247, 297591.03016598575 6668983.913024322 168.227, 297591.14016598556 6668983.393024322 168.217, 297591.1701659853 6668983.223024322 168.217, 297591.24016598536 6668982.813024322 168.237, 297591.3601659852 6668982.243024325 168.247, 297591.4001659852 6668982.053024323 168.247, 297591.41016598523 6668981.963024325 168.247, 297591.8301659849 6668979.803024329 168.267, 297591.8401659847 6668979.753024329 168.267, 297591.84016598493 6668979.743024328 168.267, 297591.85016598494 6668979.693024326 168.267, 297592.2401659845 6668977.67302433 168.297, 297592.2601659846 6668977.60302433 168.297, 297592.2501659846 6668977.583024334 168.297, 297592.3501659844 6668977.103024333 168.297, 297592.45016598445 6668976.623024334 168.277, 297592.6901659841 6668975.343024338 168.297, 297592.70016598416 6668975.3130243365 168.297, 297592.7001659842 6668975.293024336 168.297, 297592.7701659841 6668974.923024336 168.317, 297592.80016598396 6668974.813024338 168.317, 297592.9101659843 6668974.26302434 168.287, 297592.93016598385 6668974.123024338 168.277, 297592.97016598395 6668973.8930243375 168.287, 297593.1601659835 6668972.95302434 168.277, 297593.19016598363 6668972.823024341 168.297, 297593.2801659838 6668972.30302434 168.297, 297593.3901659838 6668971.773024345 168.307, 297593.4101659837 6668971.623024345 168.317, 297593.56016598357 6668970.913024345 168.327, 297593.5801659835 6668970.773024345 168.317, 297593.60016598343 6668970.663024343 168.317, 297593.6901659835 6668970.2030243445 168.277, 297593.7001659833 6668970.183024345 168.277, 297593.780165983 6668969.753024344 168.277, 297593.8401659833 6668969.423024345 168.287, 297594.08016598306 6668968.223024349 168.277, 297594.1001659831 6668968.08302435 168.277, 297594.17016598297 6668967.803024347 168.277, 297594.34016598284 6668966.893024349 168.257, 297594.39016598277 6668966.6430243505 168.257, 297594.4801659826 6668966.233024352 168.217, 297594.510165983 6668966.053024353 168.207, 297594.5601659827 6668965.793024355 168.187, 297594.7101659825 6668965.003024355 168.247, 297594.75016598246 6668964.833024355 168.247, 297594.8101659824 6668964.523024355 168.247, 297594.84016598284 6668964.3330243565 168.267, 297594.9501659824 6668963.823024358 168.267, 297595.0401659823 6668963.36302436 168.267, 297595.3901659821 6668961.563024359 168.237, 297595.4001659823 6668961.503024361 168.237, 297595.40016598196 6668961.493024359 168.237, 297595.410165982 6668961.483024362 168.237, 297595.65016598173 6668960.21302436 168.247, 297595.72016598174 6668959.883024361 168.227, 297595.8801659817 6668959.063024366 168.217, 297595.94016598153 6668958.743024366 168.207, 297596.0101659816 6668958.443024366 168.197, 297596.0401659813 6668958.213024365 168.177, 297596.1601659814 6668957.62302437 168.167, 297596.1801659812 6668957.523024365 168.167, 297596.2601659813 6668957.133024366 168.177, 297596.29016598116 6668956.99302437 168.177, 297596.36016598117 6668956.603024371 168.157, 297596.45016598096 6668956.153024372 168.137, 297596.53016598104 6668955.733024374 168.157, 297596.6601659811 6668955.103024374 168.167, 297596.7701659809 6668954.513024374 168.147, 297596.84016598074 6668954.173024371 168.127, 297596.870165981 6668954.013024376 168.107, 297596.9001659806 6668953.903024372 168.117, 297596.98016598076 6668953.473024377 168.177, 297596.9801659805 6668953.463024375 168.177, 297596.98016598064 6668953.453024373 168.177, 297597.07016598067 6668952.963024374 168.167, 297597.17016598076 6668952.483024377 168.147, 297597.2101659806 6668952.273024376 168.127, 297597.2701659807 6668951.973024379 168.117, 297597.44016598014 6668951.11302438 168.077, 297597.5001659802 6668950.813024382 168.087, 297597.52016598027 6668950.7130243825 168.087, 297597.6801659801 6668950.013024381 168.077, 297597.71016598004 6668949.86302438 168.087, 297597.77016598 6668949.523024382 168.107, 297597.81016597984 6668949.393024381 168.107, 297597.8301659797 6668949.263024382 168.107, 297597.9501659797 6668948.723024385 168.127, 297598.0201659801 6668948.403024385 168.147, 297598.1101659797 6668948.003024383 168.147, 297598.2701659794 6668947.303024384 168.137, 297598.5601659793 6668945.913024388 168.157, 297598.62016597914 6668945.6530243885 168.167, 297598.6401659793 6668945.503024389 168.157, 297598.7101659789 6668945.243024389 168.157, 297599.03016597877 6668943.7230243925 168.147, 297599.1301659789 6668943.283024395 168.157, 297599.280165979 6668942.613024396 168.147, 297599.47016597865 6668941.683024393 168.137, 297599.6801659784 6668940.7530243965 168.157, 297599.77016597823 6668940.323024398 168.147, 297599.9101659782 6668939.6630244 168.147, 297600.010165978 6668939.223024399 168.187, 297600.0301659782 6668939.1330244 168.187, 297600.090165978 6668938.853024402 168.187, 297600.19016597804 6668938.3630244015 168.177, 297600.21016597794 6668938.323024404 168.177, 297600.25016597804 6668938.123024404 168.177, 297600.50016597775 6668936.973024402 168.177, 297600.54016597767 6668936.823024404 168.177, 297600.54016597744 6668936.773024405 168.177, 297600.5801659777 6668936.603024404 168.177, 297600.77016597765 6668935.723024408 168.157, 297600.90016597754 6668935.103024409 168.167, 297601.1901659772 6668933.813024411 168.167, 297601.2301659772 6668933.573024413 168.167, 297601.2501659773 6668933.513024411 168.177, 297601.2601659772 6668933.483024411 168.177, 297601.60016597656 6668931.893024411 168.157, 297601.67016597686 6668931.593024417 168.147, 297601.68016597664 6668931.523024415 168.147, 297601.70016597677 6668931.413024415 168.147, 297601.7201659767 6668931.323024413 168.157, 297601.820165977 6668930.923024415 168.147, 297602.00016597635 6668930.083024415 168.147, 297602.1901659762 6668929.223024418 168.157, 297602.390165976 6668928.343024419 168.147, 297602.6201659759 6668927.303024422 168.147, 297602.730165976 6668926.783024425 168.127, 297603.03016597574 6668925.443024426 168.137, 297603.0601659757 6668925.353024424 168.137, 297603.4101659751 6668923.773024431 168.127, 297603.4401659753 6668923.633024428 168.127, 297603.4601659755 6668923.563024428 168.127, 297603.4801659752 6668923.46302443 168.127, 297603.72016597504 6668922.373024431 168.127, 297603.78016597516 6668922.103024428 168.127, 297603.9401659751 6668921.383024432 168.167, 297604.0201659748 6668921.043024436 168.177, 297604.16016597464 6668920.393024433 168.167, 297604.2601659746 6668919.943024432 168.167, 297604.34016597434 6668919.593024436 168.167, 297604.42016597453 6668919.253024438 168.177, 297604.75016597414 6668917.823024439 168.217, 297604.76016597426 6668917.74302444 168.217, 297604.7801659744 6668917.683024439 168.217, 297605.20016597374 6668915.843024443 168.237, 297605.21016597387 6668915.833024441 168.237, 297605.2401659738 6668915.703024445 168.237, 297605.4501659736 6668914.783024445 168.257, 297605.52016597346 6668914.493024443 168.267, 297605.6501659736 6668913.973024447 168.257, 297605.7501659732 6668913.483024446 168.247, 297605.7901659733 6668913.313024448 168.237, 297605.9801659731 6668912.493024449 168.237, 297606.0001659729 6668912.3930244455 168.237, 297606.0101659731 6668912.35302445 168.237, 297606.13016597304 6668911.863024449 168.197, 297606.25016597286 6668911.353024449 168.207, 297606.400165973 6668910.733024451 168.217, 297606.4401659728 6668910.523024451 168.237, 297606.56016597257 6668910.003024452 168.247, 297606.65016597265 6668909.623024454 168.237, 297606.8001659725 6668908.933024453 168.227, 297606.88016597216 6668908.593024454 168.237, 297607.13016597193 6668907.543024455 168.247, 297607.2201659722 6668907.18302446 168.267, 297607.2601659721 6668906.983024458 168.277, 297607.27016597195 6668906.9430244565 168.277, 297607.36016597203 6668906.533024459 168.267, 297607.430165972 6668906.273024461 168.267, 297607.4801659719 6668906.023024458 168.267, 297607.5101659718 6668905.933024457 168.267, 297607.71016597154 6668905.013024462 168.287, 297607.7401659716 6668904.903024465 168.277, 297607.8901659714 6668904.263024463 168.267, 297607.9801659717 6668903.913024465 168.257, 297608.0701659714 6668903.523024464 168.247, 297608.1901659714 6668903.033024465 168.287, 297608.26016597124 6668902.733024463 168.287, 297608.4401659711 6668901.973024466 168.267, 297608.500165971 6668901.7430244675 168.267, 297608.8601659707 6668900.273024471 168.267, 297609.00016597065 6668899.693024471 168.267, 297609.1501659703 6668899.093024473 168.237, 297609.2201659705 6668898.803024472 168.247, 297609.2801659702 6668898.523024471 168.257, 297609.47016597015 6668897.753024474 168.257, 297609.6801659698 6668896.913024476 168.277, 297609.77016597 6668896.523024474 168.277, 297609.80016597005 6668896.403024479 168.297, 297609.9301659699 6668895.873024477 168.287, 297610.0401659698 6668895.443024481 168.277, 297610.0501659699 6668895.393024482 168.277, 297610.12016596954 6668895.083024478 168.277, 297610.28016596945 6668894.47302448 168.297, 297610.2801659698 6668894.46302448 168.297, 297610.2901659696 6668894.4430244835 168.297, 297610.58016596915 6668893.243024485 168.287, 297610.70016596915 6668892.763024483 168.307, 297610.8101659692 6668892.293024486 168.317, 297610.98016596877 6668891.613024486 168.317, 297611.06016596867 6668891.283024484 168.297, 297611.20016596874 6668890.733024486 168.307, 297611.28016596864 6668890.42302449 168.307, 297611.45016596856 6668889.733024489 168.317, 297611.6001659684 6668889.123024491 168.317, 297611.920165968 6668887.823024492 168.327, 297612.0101659681 6668887.463024494 168.327, 297612.24016596796 6668886.543024494 168.347, 297612.4101659678 6668885.843024497 168.327, 297612.46016596776 6668885.633024498 168.327, 297612.6601659673 6668884.833024498 168.317, 297612.8101659673 6668884.213024497 168.337, 297612.9401659672 6668883.683024498 168.347, 297613.0801659669 6668883.123024501 168.347, 297613.2001659671 6668882.653024506 168.347, 297613.30016596685 6668882.2230245005 168.337, 297613.3101659669 6668882.193024505 168.337, 297613.4601659667 6668881.573024505 168.337, 297613.5601659666 6668881.193024505 168.327, 297613.5801659667 6668881.113024506 168.327, 297613.60016596643 6668880.993024504 168.327, 297613.6901659666 6668880.653024507 168.347, 297613.9301659663 6668879.683024508 168.347, 297614.0301659665 6668879.273024509 168.347, 297614.1501659664 6668878.773024508 168.367, 297614.2001659663 6668878.56302451 168.367, 297614.2801659661 6668878.2830245085 168.377, 297614.40016596625 6668877.80302451 168.367, 297614.610165966 6668876.913024511 168.387, 297614.6401659656 6668876.773024511 168.387, 297614.67016596586 6668876.663024513 168.387, 297614.83016596566 6668876.053024513 168.377, 297614.92016596545 6668875.653024514 168.397, 297615.00016596564 6668875.333024516 168.397, 297615.0601659656 6668875.1330245165 168.407, 297615.09016596543 6668874.963024516 168.407, 297615.17016596545 6668874.643024517 168.387, 297615.2701659656 6668874.263024519 168.397, 297615.3101659652 6668874.093024516 168.397, 297615.67016596487 6668872.623024518 168.387, 297615.7001659651 6668872.553024523 168.387, 297615.75016596494 6668872.303024519 168.387, 297616.0501659647 6668871.073024523 168.387, 297616.07016596466 6668871.033024523 168.387, 297616.08016596467 6668870.993024524 168.387, 297616.0901659646 6668870.923024521 168.377, 297616.31016596453 6668870.033024524 168.347, 297616.4601659642 6668869.453024523 168.367, 297616.51016596437 6668869.193024526 168.377, 297616.7301659643 6668868.333024528 168.377, 297616.85016596393 6668867.843024529 168.377, 297616.880165964 6668867.71302453 168.377, 297616.92016596394 6668867.55302453 168.377, 297617.0501659637 6668867.043024528 168.387, 297617.0901659637 6668866.84302453 168.397, 297617.24016596325 6668866.263024529 168.417, 297617.3301659633 6668865.923024531 168.417, 297617.53016596346 6668865.123024531 168.417, 297617.6401659633 6668864.663024534 168.427, 297617.73016596306 6668864.313024536 168.417, 297617.7501659633 6668864.213024534 168.417, 297617.2401659637 6668864.083024535 168.267, 297617.08016596385 6668864.033024536 168.197, 297616.740165964 6668863.943024533 168.077, 297616.45016596455 6668863.863024536 167.947, 297616.06016596465 6668863.753024536 167.807, 297615.960165965 6668863.733024533 167.767, 297615.8101659651 6668864.393024535 167.727, 297615.7801659649 6668864.463024531 167.717, 297615.7701659652 6668864.523024534 167.717, 297615.65016596526 6668865.0530245295 167.657, 297615.56016596523 6668865.433024529 167.567, 297615.49016596505 6668865.713024532 167.547, 297615.4401659656 6668865.953024532 167.537, 297615.39016596536 6668866.17302453 167.527, 297615.3101659655 6668866.483024531 167.537, 297615.2101659656 6668866.923024529 167.487, 297615.18016596546 6668867.093024529 167.487, 297615.0601659656 6668867.623024525 167.447, 297614.9401659657 6668868.103024526 167.517, 297614.9301659657 6668868.183024525 167.517, 297614.900165966 6668868.293024528 167.527, 297614.88016596553 6668868.363024523 167.537, 297614.7701659659 6668868.7230245285 167.537, 297614.7001659658 6668869.003024526 167.567, 297614.60016596585 6668869.363024523 167.557, 297614.50016596634 6668869.723024525 167.577, 297614.48016596603 6668869.803024525 167.567, 297614.43016596604 6668870.003024526 167.587, 297614.28016596625 6668870.553024521 167.647, 297614.09016596654 6668871.18302452 167.657, 297614.07016596664 6668871.273024522 167.657, 297614.0501659663 6668871.353024522 167.657, 297613.94016596663 6668871.753024519 167.647, 297613.8601659667 6668872.03302452 167.657, 297613.70016596676 6668872.603024519 167.687, 297613.640165967 6668872.83302452 167.677, 297613.57016596664 6668873.093024516 167.667, 297613.52016596694 6668873.263024515 167.667, 297613.3901659672 6668873.763024517 167.657, 297613.23016596725 6668874.323024518 167.667, 297613.1501659673 6668874.613024517 167.647, 297612.93016596744 6668875.393024512 167.627, 297612.8601659676 6668875.653024515 167.627, 297612.80016596743 6668875.89302451 167.607, 297612.67016596766 6668876.363024511 167.587, 297612.62016596773 6668876.583024511 167.577, 297612.46016596793 6668877.2830245085 167.607, 297612.4001659679 6668877.583024508 167.607, 297612.2901659681 6668878.083024508 167.587, 297612.2201659678 6668878.393024507 167.617, 297612.0701659681 6668879.073024509 167.637, 297612.0301659682 6668879.223024506 167.637, 297612.00016596826 6668879.393024508 167.637, 297611.90016596846 6668879.8330245055 167.627, 297611.77016596845 6668880.443024507 167.647, 297611.6901659685 6668880.773024503 167.647, 297611.5401659688 6668881.453024503 167.647, 297611.45016596874 6668881.9230245035 167.647, 297611.29016596894 6668882.643024503 167.667, 297611.22016596905 6668882.913024501 167.677, 297611.200165969 6668883.013024501 167.677, 297611.150165969 6668883.2230245 167.677, 297611.02016596904 6668883.853024496 167.647, 297610.9601659691 6668884.143024497 167.627, 297610.89016596926 6668884.4330245 167.607, 297610.66016596934 6668885.473024494 167.647, 297610.64016596926 6668885.563024493 167.647, 297610.6401659695 6668885.613024494 167.647, 297610.5701659692 6668885.893024495 167.657, 297610.4301659696 6668886.513024496 167.657, 297610.4001659697 6668886.643024494 167.657, 297610.31016596954 6668887.0330244955 167.657, 297610.1701659699 6668887.643024491 167.637, 297610.1101659698 6668887.893024492 167.647, 297610.06016597 6668888.103024492 167.657, 297609.8501659703 6668888.993024492 167.667, 297609.80016597 6668889.233024488 167.677, 297609.7801659701 6668889.32302449 167.677, 297609.7701659702 6668889.393024487 167.677, 297609.71016597014 6668889.623024489 167.667, 297609.59016597003 6668890.173024487 167.657, 297609.5201659703 6668890.443024485 167.637, 297609.49016596994 6668890.5630244855 167.637, 297609.4501659703 6668890.713024488 167.637, 297609.3601659705 6668891.133024487 167.657, 297609.3301659706 6668891.263024486 167.667, 297609.2001659706 6668891.823024485 167.707, 297609.14016597066 6668892.093024484 167.707, 297609.0601659707 6668892.433024481 167.717, 297608.94016597094 6668892.923024482 167.717, 297608.7901659709 6668893.573024483 167.727, 297608.76016597095 6668893.72302448 167.737, 297608.73016597074 6668893.83302448 167.737, 297608.6001659711 6668894.43302448 167.697, 297608.3901659711 6668895.283024477 167.707, 297608.35016597126 6668895.49302448 167.697, 297608.3301659713 6668895.573024479 167.697, 297608.30016597133 6668895.683024477 167.707, 297608.21016597166 6668896.113024475 167.697, 297608.1401659714 6668896.433024476 167.687, 297608.04016597156 6668896.853024474 167.697, 297607.9601659718 6668897.193024472 167.677, 297607.8401659718 6668897.763024475 167.697, 297607.80016597186 6668897.923024472 167.677, 297607.79016597185 6668897.943024475 167.677, 297607.7801659719 6668898.013024471 167.687, 297607.75016597204 6668898.193024476 167.687, 297607.5701659719 6668898.9830244705 167.677, 297607.46016597206 6668899.473024472 167.687, 297607.34016597236 6668900.00302447 167.697, 297607.2701659723 6668900.323024471 167.697, 297607.1701659724 6668900.773024469 167.697, 297606.9601659727 6668901.703024468 167.687, 297606.8301659727 6668902.2830244675 167.727, 297606.8101659726 6668902.433024466 167.737, 297606.76016597264 6668902.613024466 167.737, 297606.5801659728 6668903.433024465 167.717, 297606.5301659729 6668903.683024466 167.727, 297606.4301659729 6668904.113024463 167.727, 297606.2801659731 6668904.8030244615 167.737, 297606.17016597296 6668905.26302446 167.737, 297606.0901659732 6668905.613024459 167.727, 297606.0001659731 6668906.043024458 167.757, 297605.9601659736 6668906.203024461 167.757, 297605.93016597314 6668906.373024455 167.757, 297605.74016597355 6668907.253024457 167.757, 297605.7301659736 6668907.253024458 167.757, 297606.3401659732 6668906.95302446 167.977, 297605.7301659736 6668907.253024458 167.757, 297605.98016597336 6668907.983024458 167.927, 297605.7301659736 6668907.253024458 167.757, 297605.6401659736 6668907.673024456 167.747, 297605.61016597354 6668907.823024456 167.747, 297605.5401659735 6668908.083024454 167.737, 297605.4601659738 6668908.403024457 167.737, 297605.3501659736 6668908.853024454 167.707, 297605.26016597403 6668909.253024453 167.697, 297605.16016597394 6668909.693024452 167.707, 297605.0101659742 6668910.293024454 167.727, 297604.99016597425 6668910.343024452 167.727, 297604.980165974 6668910.38302445 167.727, 297604.96016597416 6668910.483024453 167.717, 297604.7901659742 6668911.183024445 167.647, 297604.62016597437 6668911.883024448 167.657, 297604.56016597454 6668912.113024447 167.667, 297604.50016597455 6668912.393024447 167.677, 297604.31016597454 6668913.173024447 167.717, 297604.1801659749 6668913.713024448 167.727, 297604.13016597484 6668913.943024444 167.727, 297603.8601659752 6668915.003024446 167.647, 297603.86016597506 6668915.013024443 167.647, 297603.8601659752 6668915.033024441 167.647, 297603.8501659751 6668915.033024443 167.647, 297603.6401659753 6668915.96302444 167.607, 297603.50016597536 6668916.473024438 167.627, 297603.32016597537 6668917.233024439 167.657, 297603.2101659757 6668917.733024437 167.707, 297603.19016597595 6668917.773024439 167.707, 297602.970165976 6668918.723024438 167.647, 297602.9101659758 6668918.963024434 167.637, 297602.80016597593 6668919.413024435 167.627, 297602.7101659759 6668919.773024433 167.597, 297602.5901659763 6668920.253024434 167.557, 297602.5801659762 6668920.323024433 167.557, 297602.37016597646 6668921.173024433 167.567, 297602.3301659763 6668921.343024432 167.547, 297602.26016597636 6668921.613024431 167.547, 297602.09016597696 6668922.353024433 167.527, 297602.01016597665 6668922.683024429 167.567, 297601.99016597663 6668922.72302443 167.557, 297601.96016597666 6668922.883024432 167.567, 297601.77016597695 6668923.673024426 167.537, 297601.7201659767 6668923.843024427 167.547, 297601.6201659768 6668924.323024427 167.557, 297601.6201659769 6668924.333024426 167.557, 297601.41016597726 6668925.293024426 167.567, 297601.4001659771 6668925.343024422 167.557, 297601.32016597735 6668925.713024425 167.587, 297601.2301659774 6668926.123024424 167.577, 297601.14016597753 6668926.523024424 167.567, 297601.12016597734 6668926.653024421 167.557, 297601.09016597737 6668926.793024419 167.557, 297600.90016597736 6668927.673024421 167.597, 297600.82016597764 6668928.013024419 167.607, 297600.8001659777 6668928.073024421 167.607, 297600.7001659777 6668928.56302442 167.617, 297600.6101659778 6668928.973024418 167.647, 297600.5701659777 6668929.153024418 167.647, 297600.56016597804 6668929.21302442 167.647, 297600.3501659782 6668930.173024416 167.637, 297600.3301659782 6668930.273024414 167.647, 297600.3201659777 6668930.333024413 167.637, 297600.04016597837 6668931.603024414 167.617, 297600.02016597835 6668931.693024414 167.617, 297599.9401659782 6668932.05302441 167.637, 297599.7801659786 6668932.75302441 167.627, 297599.6901659786 6668933.193024412 167.617, 297599.5101659788 6668933.983024407 167.577, 297599.5101659786 6668934.043024409 167.577, 297599.44016597886 6668934.353024407 167.577, 297599.3201659789 6668934.903024409 167.577, 297599.28016597894 6668935.063024405 167.557, 297599.15016597905 6668935.653024406 167.527, 297599.13016597903 6668935.793024406 167.517, 297599.10016597924 6668935.893024407 167.517, 297598.9801659789 6668936.473024405 167.537, 297598.9301659792 6668936.703024404 167.537, 297598.7601659793 6668937.483024404 167.517, 297598.6701659793 6668937.8630244015 167.547, 297598.62016597926 6668938.123024401 167.577, 297598.5401659795 6668938.473024403 167.597, 297598.4301659796 6668938.973024401 167.507, 297598.40016597946 6668939.1230243975 167.477, 297598.3601659797 6668939.303024397 167.487, 297598.35016597965 6668939.3230244 167.487, 297598.25016597967 6668939.853024395 167.487, 297598.2101659798 6668940.033024399 167.497, 297598.0701659798 6668940.673024397 167.467, 297597.9501659802 6668941.323024396 167.457, 297597.8701659801 6668941.683024392 167.467, 297597.8301659799 6668941.883024393 167.467, 297597.68016598007 6668942.653024393 167.497, 297597.6101659803 6668942.9730243925 167.517, 297597.4301659806 6668943.863024393 167.507, 297597.39016598056 6668944.053024392 167.507, 297597.35016598064 6668944.263024391 167.497, 297597.2001659807 6668944.97302439 167.537, 297597.19016598054 6668945.033024388 167.547, 297597.1401659807 6668945.253024391 167.547, 297597.0901659805 6668945.513024386 167.547, 297597.0701659807 6668945.613024387 167.537, 297596.9001659809 6668946.443024387 167.527, 297596.8901659807 6668946.5330243865 167.527, 297596.85016598104 6668946.673024387 167.517, 297596.78016598104 6668947.023024386 167.507, 297596.7501659811 6668947.1930243885 167.497, 297596.67016598117 6668947.603024387 167.517, 297596.600165981 6668947.943024382 167.497, 297596.53016598127 6668948.283024383 167.457, 297596.4501659812 6668948.6630243845 167.417, 297596.4201659813 6668948.793024384 167.407, 297596.30016598135 6668949.413024383 167.427, 297596.21016598144 6668949.843024383 167.417, 297596.13016598136 6668950.203024377 167.397, 297596.0601659814 6668950.563024377 167.387, 297595.96016598155 6668951.02302438 167.357, 297595.81016598176 6668951.793024376 167.397, 297595.79016598186 6668951.893024377 167.407, 297595.78016598185 6668951.963024375 167.417, 297595.60016598215 6668952.803024377 167.507, 297595.4801659818 6668953.433024374 167.427, 297595.43016598216 6668953.6530243745 167.397, 297595.3901659822 6668953.813024373 167.397, 297595.25016598194 6668954.54302437 167.427, 297595.23016598227 6668954.603024372 167.427, 297595.1101659824 6668955.233024367 167.417, 297595.06016598234 6668955.44302437 167.407, 297595.0601659822 6668955.4630243685 167.407, 297595.0501659823 6668955.483024372 167.407, 297595.05016598233 6668955.52302437 167.407, 297594.8201659826 6668956.653024368 167.437, 297594.69016598264 6668957.2530243695 167.427, 297594.69016598264 6668957.2930243695 167.427, 297594.5601659828 6668957.913024367 167.447, 297594.53016598284 6668958.083024366 167.457, 297594.39016598277 6668958.733024363 167.457, 297594.3501659832 6668958.933024364 167.457, 297594.33016598294 6668959.023024364 167.457, 297594.32016598294 6668959.093024362 167.457, 297594.23016598314 6668959.563024363 167.497, 297594.160165983 6668959.823024365 167.517, 297594.1201659831 6668960.033024363 167.517, 297593.99016598327 6668960.613024363 167.517, 297593.9401659834 6668960.843024358 167.507, 297593.85016598343 6668961.3230243595 167.467, 297593.8301659834 6668961.413024361 167.457, 297593.57016598387 6668962.593024359 167.447, 297593.57016598363 6668962.643024356 167.447, 297593.45016598393 6668963.143024356 167.477, 297593.230165984 6668964.183024356 167.517, 297593.20016598416 6668964.323024356 167.517, 297593.16016598383 6668964.493024354 167.507, 297592.9901659843 6668965.273024354 167.457, 297592.9901659839 6668965.293024355 167.447, 297592.99016598414 6668965.313024354 167.447, 297592.960165984 6668965.463024351 167.457, 297592.69016598456 6668966.713024352 167.477, 297592.6401659845 6668966.95302435 167.477, 297592.4501659848 6668967.833024348 167.477, 297592.41016598453 6668968.033024351 167.487, 297592.3501659847 6668968.293024348 167.477, 297592.18016598467 6668969.123024344 167.467, 297592.1001659848 6668969.423024345 167.477, 297591.990165985 6668970.003024344 167.537, 297591.98016598506 6668970.023024346 167.537, 297591.95016598486 6668970.153024345 167.527, 297591.8201659852 6668970.733024345 167.467, 297591.82016598526 6668970.783024345 167.467, 297591.77016598516 6668971.023024343 167.467, 297591.58016598533 6668971.873024338 167.447, 297591.5401659851 6668972.073024339 167.447, 297591.4901659853 6668972.34302434 167.477, 297591.3201659854 6668973.08302434 167.497, 297591.29016598547 6668973.20302434 167.497, 297591.2801659857 6668973.283024339 167.497, 297591.14016598545 6668973.933024338 167.457, 297591.030165986 6668974.42302434 167.467, 297590.9401659857 6668974.853024335 167.477, 297590.9001659858 6668975.073024334 167.457, 297590.7701659857 6668975.6630243305 167.447, 297590.6701659858 6668976.1930243345 167.437, 297590.6001659862 6668976.5630243365 167.447, 297590.4901659862 6668977.233024331 167.477, 297590.42016598606 6668977.563024331 167.487, 297590.35016598616 6668978.033024332 167.467, 297590.2501659865 6668978.59302433 167.417, 297589.95016598667 6668980.2030243315 167.417, 297589.92016598675 6668980.353024326 167.417, 297589.92016598675 6668980.393024328 167.417, 297589.9101659867 6668980.463024327 167.417, 297589.72016598703 6668981.493024326 167.427, 297589.63016598683 6668981.973024321 167.387, 297589.63016598695 6668982.003024321 167.387, 297589.6301659868 6668982.023024322 167.387, 297589.48016598704 6668982.823024321 167.407, 297589.4101659871 6668983.203024322 167.427, 297589.34016598726 6668983.633024323 167.427, 297589.30016598717 6668983.833024324 167.407, 297589.2701659873 6668983.973024318 167.417, 297589.14016598754 6668984.71302432 167.447, 297589.13016598753 6668984.803024319 167.447, 297589.0901659876 6668984.973024317 167.467, 297589.0001659873 6668985.503024319 167.527, 297588.95016598736 6668985.753024318 167.517, 297588.91016598756 6668985.973024316 167.507, 297588.8601659874 6668986.263024314 167.487, 297588.7901659875 6668986.673024314 167.457, 297588.7601659874 6668986.783024314 167.457, 297588.70016598783 6668987.133024315 167.477, 297588.6201659876 6668987.6330243135 167.517, 297588.5801659876 6668987.803024312 167.527, 297588.52016598766 6668988.13302431 167.547, 297588.4901659878 6668988.363024311 167.547, 297588.3701659879 6668988.983024311 167.567, 297588.35016598797 6668989.083024312 167.567, 297588.35016598797 6668989.10302431 167.567, 297588.34016598796 6668989.173024311 167.567, 297588.2201659881 6668989.823024309 167.587, 297588.1501659882 6668990.213024308 167.627, 297588.1101659883 6668990.423024308 167.637, 297587.98016598815 6668991.163024308 167.637, 297587.9701659881 6668991.213024308 167.637, 297587.9601659883 6668991.233024309 167.637, 297587.7601659886 6668992.3630243065 167.627, 297587.7001659884 6668992.703024302 167.607, 297587.6901659884 6668992.763024304 167.607, 297587.6601659884 6668992.953024306 167.607)</t>
  </si>
  <si>
    <t>['FV715 S10D1 m5062-5064']</t>
  </si>
  <si>
    <t>LINESTRING Z (265395.32448116 7088580.791256643 -0.003, 265395.9370386434 7088579.384219645 -0.003)</t>
  </si>
  <si>
    <t>POLYGON ((265396.39547803765 7088579.583802514, 265395.47859924915 7088579.184636775, 265394.8660417657 7088580.591673774, 265395.7829205542 7088580.990839512, 265396.39547803765 7088579.583802514))</t>
  </si>
  <si>
    <t>['FV715 S10D1 m5108-5110']</t>
  </si>
  <si>
    <t>LINESTRING Z (265372.3551820909 7088624.139072542 -0.003, 265372.5501366853 7088621.788856293 -0.003)</t>
  </si>
  <si>
    <t>POLYGON ((265373.0484252635 7088621.830190212, 265372.05184810713 7088621.747522375, 265371.8568935127 7088624.097738624, 265372.85347066907 7088624.180406461, 265373.0484252635 7088621.830190212))</t>
  </si>
  <si>
    <t>['FV715 S10D1 m3530-3532']</t>
  </si>
  <si>
    <t>LINESTRING Z (265445.2927343304 7087093.079344374 -0.001, 265444.2870620228 7087090.483033052 -0.001)</t>
  </si>
  <si>
    <t>POLYGON ((265444.7533068511 7087090.302434713, 265443.8208171945 7087090.663631391, 265444.8264895021 7087093.259942713, 265445.7589791587 7087092.898746035, 265444.7533068511 7087090.302434713))</t>
  </si>
  <si>
    <t>['FV715 S10D1 m3526-3548']</t>
  </si>
  <si>
    <t>LINESTRING Z (265460.3611042864 7087104.248624562 -0.001, 265458.12044439616 7087097.939077957 -0.001, 265456.73904870695 7087093.714747384 -0.001, 265456.4444239782 7087089.544005691 -0.001, 265457.2358653679 7087085.4168751 -0.001, 265458.9731773045 7087082.897543645 -0.001, 265461.08660812356 7087080.592306302 -0.001)</t>
  </si>
  <si>
    <t>POLYGON ((265458.5937230822 7087097.7776873605, 265457.2334587275 7087093.617976754, 265456.9477871193 7087089.57397647, 265457.7071302013 7087085.614228971, 265459.3651347872 7087083.209903636, 265461.45516157354 7087080.930194382, 265460.7180546736 7087080.254418222, 265458.6046238545 7087082.559655566, 265458.5615588446 7087082.613694665, 265456.824246908 7087085.133026119, 265456.79710920237 7087085.177098064, 265456.77467284136 7087085.223739258, 265456.75717823446 7087085.272449935, 265456.74481283943 7087085.322708151, 265455.9533714497 7087089.449838743, 265455.9470637342 7087089.4926949935, 265455.94448909635 7087089.535936372, 265455.9456668609 7087089.579238317, 265456.24029158964 7087093.74998001, 265456.24484127684 7087093.790635565, 265456.2526993346 7087093.830783103, 265456.26381315856 7087093.870153863, 265457.64520884777 7087098.094484435, 265457.64927263046 7087098.1064014975, 265459.8899325207 7087104.415948103, 265460.8322760521 7087104.081301021, 265458.5937230822 7087097.7776873605))</t>
  </si>
  <si>
    <t>['FV715 S10D1 m5121-5123']</t>
  </si>
  <si>
    <t>LINESTRING Z (265388.7375691262 7088639.286630598 -0.003, 265388.96706496633 7088637.4253291115 -0.003)</t>
  </si>
  <si>
    <t>POLYGON ((265389.46330712375 7088637.4865150675, 265388.4708228089 7088637.3641431555, 265388.24132696877 7088639.225444642, 265389.2338112836 7088639.347816554, 265389.46330712375 7088637.4865150675))</t>
  </si>
  <si>
    <t>['FV715 S10D1 m5057-5059']</t>
  </si>
  <si>
    <t>LINESTRING Z (265381.65187825897 7088571.779698932 -0.003, 265381.0042348342 7088573.399795463 -0.003)</t>
  </si>
  <si>
    <t>POLYGON ((265380.53995744715 7088573.214197759, 265381.4685122213 7088573.585393168, 265382.11615564604 7088571.965296636, 265381.1876008719 7088571.594101227, 265380.53995744715 7088573.214197759))</t>
  </si>
  <si>
    <t>2018-12-13</t>
  </si>
  <si>
    <t>['FV2774 S2D1 m6259-6265']</t>
  </si>
  <si>
    <t>LINESTRING Z (196337.82559606037 6638740.368092049 203.001, 196334.36284789472 6638736.10866733 203.001, 196331.95498726668 6638732.949695301 203.001)</t>
  </si>
  <si>
    <t>POLYGON ((196334.75575571376 6638735.799337837, 196332.35264093077 6638732.646592079, 196331.5573336026 6638733.252798524, 196333.96519423064 6638736.411770552, 196333.9748785314 6638736.424071472, 196337.43762669704 6638740.683496191, 196338.2135654237 6638740.052687907, 196334.75575571376 6638735.799337837))</t>
  </si>
  <si>
    <t>[2792]</t>
  </si>
  <si>
    <t>['FV2792 S1D1 m5670-5672']</t>
  </si>
  <si>
    <t>LINESTRING Z (181205.96 6667596.6 0.003, 181204.85 6667596.31 207.733, 181200.98 6667590.46 207.383, 181200.91 6667589.46 207.383)</t>
  </si>
  <si>
    <t>POLYGON ((181205.16146732634 6667595.874591643, 181201.46959311163 6667590.293851552, 181201.40877948358 6667589.425085437, 181200.41122051643 6667589.494914563, 181200.48122051643 6667590.494914563, 181200.48744619527 6667590.545969468, 181200.49888380736 6667590.596114691, 181200.51541232612 6667590.644819624, 181200.53685685585 6667590.691568896, 181200.56299048243 6667590.735867835, 181204.43299048243 6667596.585867834, 181204.4640094512 6667596.627822743, 181204.4992316885 6667596.666316701, 181204.53827363945 6667596.700930526, 181204.58071015432 6667596.731287288, 181204.62607911797 6667596.757056415, 181204.67388648223 6667596.777957293, 181204.72361164566 6667596.793762322, 181205.83361164565 6667597.083762322, 181206.08638835434 6667596.116237678, 181205.16146732634 6667595.874591643))</t>
  </si>
  <si>
    <t>['FV2792 S1D1 m5676-5677']</t>
  </si>
  <si>
    <t>LINESTRING Z (181200.92 6667599.56 0.003, 181200.62 6667599.1 207.883, 181196.77 6667593.29 207.533, 181195.51 6667593.05 207.533)</t>
  </si>
  <si>
    <t>POLYGON ((181201.0388052984 6667598.826866109, 181201.03679609313 6667598.823809817, 181197.18679609313 6667593.013809818, 181197.15724532682 6667592.973707324, 181197.12385082876 6667592.936744298, 181197.08694406712 6667592.903287629, 181197.04689137219 6667592.873669401, 181197.00409030024 6667592.8481836, 181196.9589656875 6667592.827083195, 181196.91196543322 6667592.810577623, 181196.863556054 6667592.798830717, 181195.60355605403 6667592.558830717, 181195.416443946 6667593.541169283, 181196.46954537302 6667593.741760031, 181200.2021936983 6667599.374665685, 181200.50119470162 6667599.83313389, 181201.3388052984 6667599.286866109, 181201.0388052984 6667598.826866109))</t>
  </si>
  <si>
    <t>['FV2740 S1D30 m1445-1447']</t>
  </si>
  <si>
    <t>LINESTRING Z (205922.4153536189 6651626.53988112 159.056, 205924.07388146513 6651626.318757057 159.286, 205928.5047958705 6651623.53373614 159.286)</t>
  </si>
  <si>
    <t>POLYGON ((205924.13995951327 6651626.814371516, 205924.1925839963 6651626.80446243, 205924.24384694893 6651626.788982253, 205924.2931603796 6651626.768108543, 205924.33995865833 6651626.742080725, 205928.7708730637 6651623.957059807, 205928.2387186773 6651623.110412472, 205923.8999371032 6651625.837523929, 205922.34927557077 6651626.044266662, 205922.48143166705 6651627.035495579, 205924.13995951327 6651626.814371516))</t>
  </si>
  <si>
    <t>['FV2740 S1D30 m1454-1457']</t>
  </si>
  <si>
    <t>LINESTRING Z (205928.6107442127 6651635.09357309 158.586, 205929.01859064872 6651633.498491009 158.846, 205934.22983045172 6651630.340987294 158.846, 205935.04550223274 6651629.915033311 159.016, 205937.14357297972 6651631.211962307 159.456)</t>
  </si>
  <si>
    <t>POLYGON Z ((205928.6107442127 6651635.09357309 158.586, 205929.01859064872 6651633.498491009 158.846, 205934.22983045172 6651630.340987294 158.846, 205935.04550223274 6651629.915033311 159.016, 205937.14357297972 6651631.211962307 159.456, 205928.6107442127 6651635.09357309 158.586))</t>
  </si>
  <si>
    <t>[2812]</t>
  </si>
  <si>
    <t>['FV2812 S1D1 m6225-6229']</t>
  </si>
  <si>
    <t>LINESTRING Z (138888.63092298672 6704584.49802916 -0.003, 138888.520970518 6704583.954905507 778.497, 138891.03877586965 6704578.816843876 778.547, 138891.70198698866 6704577.489014719 778.547, 138894.13155077508 6704578.101885123 778.547)</t>
  </si>
  <si>
    <t>POLYGON Z ((138888.63092298672 6704584.49802916 -0.003, 138888.520970518 6704583.954905507 778.497, 138891.03877586965 6704578.816843876 778.547, 138891.70198698866 6704577.489014719 778.547, 138894.13155077508 6704578.101885123 778.547, 138888.63092298672 6704584.49802916 -0.003))</t>
  </si>
  <si>
    <t>['FV2812 S1D1 m6233-6235']</t>
  </si>
  <si>
    <t>LINESTRING Z (138882.86059792398 6704581.444575785 -0.003, 138883.1479854266 6704581.287578395 778.507, 138884.87665103527 6704577.750344525 778.507)</t>
  </si>
  <si>
    <t>POLYGON ((138883.3876945293 6704581.7263716785, 138883.43141868978 6704581.69948322, 138883.47215570012 6704581.668253629, 138883.50947622626 6704581.633012038, 138883.542986941 6704581.594129864, 138883.57233466938 6704581.552016894, 138883.5972101106 6704581.507116963, 138885.32587571928 6704577.969883094, 138884.42742635126 6704577.530805957, 138882.7686293823 6704580.925073068, 138882.6208888213 6704581.005782501, 138883.10030702667 6704581.883369069, 138883.3876945293 6704581.7263716785))</t>
  </si>
  <si>
    <t>2019-01-28</t>
  </si>
  <si>
    <t>['FV6312 S2D1 m1733-1976']</t>
  </si>
  <si>
    <t>LINESTRING Z (272612.299964466 7126830.91448962 30.711, 272614.597613523 7126834.47185295 30.411, 272619.086642326 7126839.23767047 29.511, 272623.062119849 7126843.54853333 28.951, 272624.863891478 7126846.90037456 28.581, 272630.39653779 7126858.61142376 27.841, 272633.72055694 7126865.6156787 27.431, 272637.718925599 7126874.77817923 26.781, 272642.311492928 7126887.93961803 26.031, 272645.47471846 7126900.74107358 25.471, 272648.131450359 7126914.46082793 24.792, 272651.249445034 7126925.35025478 24.052, 272653.714249201 7126939.47467626 23.342, 272655.84518668 7126951.71754858 22.522, 272656.315152627 7126958.63323464 22.102, 272659.656781311 7126964.75382837 21.802, 272666.092161292 7126970.52485336 21.492, 272668.976340208 7126975.28405178 20.962, 272665.123534104 7126983.31825324 20.762, 272662.451832209 7126998.39824519 20.392, 272660.897146109 7127010.42095265 20.172, 272659.412677528 7127024.28372604 19.782, 272656.566817865 7127029.82997728 19.672, 272652.1628899 7127039.5677793 19.982, 272648.300461451 7127051.99466503 20.082, 272643.801595551 7127065.77020914 20.122, 272639.887788396 7127078.3210654 20.222)</t>
  </si>
  <si>
    <t>POLYGON ((272614.1776038019 7126834.743131099, 272614.2039973555 7126834.780181205, 272614.2336489958 7126834.814679178, 272618.7208687289 7126839.578576083, 272622.65166962374 7126843.840993237, 272624.41734517855 7126847.12568483, 272629.9444496734 7126858.825003569, 272629.9448240345 7126858.825794194, 272633.2654531456 7126865.822905764, 272637.2530822461 7126874.960795956, 272641.83170261444 7126888.082265374, 272644.9862602435 7126900.848642246, 272647.6405690836 7126914.555883563, 272647.6507669352 7126914.598463122, 272650.76145292335 7126925.46236478, 272653.2216739392 7126939.5605227705, 272655.34810971585 7126951.777531466, 272655.8163031657 7126958.667134712, 272655.8228612677 7126958.720694445, 272655.8351528976 7126958.773235567, 272655.8530348993 7126958.8241461525, 272655.87629900797 7126958.872833265, 272659.21792769193 7126964.993426995, 272659.2478425192 7126965.041524502, 272659.2830052858 7126965.085929985, 272659.3229647456 7126965.126073586, 272665.70304912917 7126970.847511407, 272668.40851041424 7126975.311806947, 272664.672693564 7126983.10205239, 272664.6549812953 7126983.143730274, 272664.64111260365 7126983.186839785, 272664.6312012553 7126983.231027291, 272661.95949936035 7126998.311019242, 272661.9559609304 7126998.334122846, 272660.4012748304 7127010.356830305, 272660.3999883853 7127010.367715466, 272658.92541118537 7127024.138117771, 272656.1219621742 7127029.601715557, 272656.1112416256 7127029.623942599, 272651.7073136606 7127039.361744618, 272651.6854210542 7127039.419376128, 272647.82405496214 7127051.842843857, 272643.32630024554 7127065.614985519, 272643.3242653974 7127065.621360477, 272639.41045824235 7127078.172216737, 272640.3651185496 7127078.469914063, 272644.2779296139 7127065.922252082, 272648.7757567565 7127052.149888651, 272648.7779302968 7127052.143068202, 272652.63119230885 7127039.745674348, 272657.01730816637 7127030.0472578, 272659.8575332188 7127024.511987763, 272659.8765947493 7127024.470222184, 272659.8917450761 7127024.42688429, 272659.9028564696 7127024.382339453, 272659.9098352517 7127024.336963224, 272661.39372026926 7127010.479639466, 272662.9462043469 7126998.473960699, 272665.6039391795 7126983.472803586, 272669.427180748 7126975.50025263, 272669.4463760881 7126975.454540112, 272669.46094985615 7126975.407151288, 272669.47075875726 7126975.358552103, 272669.4757063467 7126975.309220402, 272669.47574397776 7126975.259641234, 272669.47087128053 7126975.210302079, 272669.4611361652 7126975.16168806, 272669.44663435104 7126975.114277167, 272669.42750842555 7126975.068535564, 272669.40394644206 7126975.024912997, 272666.519767526 7126970.265714577, 272666.49226733757 7126970.224994806, 272666.46090314875 7126970.187170901, 272666.4259778574 7126970.152608144, 272660.0545023212 7126964.4388904385, 272656.8065656236 7126958.489904818, 272656.3440361413 7126951.683648507, 272656.33778071904 7126951.63180995, 272654.20684324007 7126939.38893763, 272651.7420014807 7126925.26430045, 272651.7301284578 7126925.212619588, 272648.6181657491 7126914.344259053, 272645.9655997354 7126900.646017947, 272645.96011924016 7126900.621131584, 272642.7968937082 7126887.819676033, 272642.7835777596 7126887.774888215, 272638.1910104306 7126874.613449415, 272638.17719186685 7126874.578199162, 272634.17882320785 7126865.415698632, 272634.1722706955 7126865.4013082655, 272630.84843911295 7126858.397448561, 272625.3159795946 7126846.68679475, 272625.3042950755 7126846.663637002, 272623.5025234465 7126843.311795772, 272623.4811340698 7126843.275720055, 272623.45679657126 7126843.241563812, 272623.42968218593 7126843.209567361, 272619.4542046629 7126838.898704501, 272619.4506068532 7126838.894844241, 272614.9928655048 7126834.162243327, 272612.71997418714 7126830.643211471, 272611.8799547449 7126831.18576777, 272614.1776038019 7126834.743131099))</t>
  </si>
  <si>
    <t>['FV6312 S2D1 m1742-1764']</t>
  </si>
  <si>
    <t>LINESTRING Z (272580.003712311 7127052.98344219 16.672, 272578.927931323 7127048.69774907 16.972, 272581.20540444 7127042.63023492 16.932, 272584.452762247 7127040.34452 17.052, 272590.418485476 7127039.9117801 17.212, 272597.938228177 7127039.9003795 17.412, 272607.753925535 7127040.16750029 17.522)</t>
  </si>
  <si>
    <t>POLYGON ((272579.45087727933 7127048.72736546, 272581.6193159763 7127042.950334602, 272584.6271960339 7127040.833180677, 272590.43697463215 7127040.411752644, 272597.93180498143 7127040.400389813, 272607.74032375397 7127040.6673152475, 272607.76752731606 7127039.667685333, 272597.95182995807 7127039.400564543, 272597.93747013336 7127039.400380075, 272590.41772743233 7127039.411780675, 272590.3823116645 7127039.413090361, 272584.41658843553 7127039.845830261, 272584.3718387349 7127039.85111207, 272584.32774627337 7127039.860401207, 272584.28466915817 7127039.873622226, 272584.2429572501 7127039.890667751, 272584.20294932224 7127039.911399344, 272584.1649703083 7127039.935648627, 272580.9176125013 7127042.221363547, 272580.8783323076 7127042.252050018, 272580.8423026788 7127042.286495032, 272580.8098816905 7127042.324356261, 272580.78139155457 7127042.365257425, 272580.7571154167 7127042.408792035, 272580.7372945422 7127042.4545274265, 272578.4598214252 7127048.522041576, 272578.4445115937 7127048.570056606, 272578.43411298597 7127048.619368906, 272578.4287312447 7127048.669477497, 272578.4284210448 7127048.719873309, 272578.43318553775 7127048.770044353, 272578.4429763194 7127048.819480925, 272579.5187573074 7127053.105174045, 272580.4886673146 7127052.861710335, 272579.45087727933 7127048.72736546))</t>
  </si>
  <si>
    <t>['FV6312 S2D1 m2629-2642']</t>
  </si>
  <si>
    <t>LINESTRING Z (272211.101459233 7126313.91028044 19.07, 272211.135311167 7126314.52958188 19.11, 272210.667147262 7126315.70587841 19.47, 272210.048680216 7126318.01589527 20.04, 272209.970000941 7126321.0096407 20.96, 272210.590907552 7126324.39502478 22.04, 272211.064275032 7126327.82094469 22.99, 272211.608576189 7126331.823429 23.41, 272211.316275874 7126335.76486008 23.62, 272211.198411001 7126337.49792718 24.06)</t>
  </si>
  <si>
    <t>POLYGON ((272210.6300485744 7126314.446960989, 272210.20258893585 7126315.520985031, 272210.1841582176 7126315.576566449, 272209.5656911716 7126317.88658331, 272209.55385069305 7126317.944175376, 272209.5488528022 7126318.002759197, 272209.4701735272 7126320.996504627, 272209.47150401503 7126321.048381051, 272209.4782041791 7126321.0998401735, 272210.0971220642 7126324.474381075, 272210.5689073856 7126327.88885037, 272211.1060635808 7126331.838794652, 272210.8176451903 7126335.727881149, 272210.8174281982 7126335.730933743, 272210.6995633252 7126337.4640008425, 272211.6972586768 7126337.531853517, 272211.8150197246 7126335.800313046, 272212.1072068727 7126331.86040793, 272212.1083426047 7126331.808147319, 272212.10401596694 7126331.756053734, 272211.55971480993 7126327.753569424, 272211.55956940324 7126327.752508692, 272211.0862019232 7126324.3265887825, 272211.0827043139 7126324.304825307, 272210.47119724366 7126320.97069057, 272210.5469548527 7126318.0881144935, 272211.14255110035 7126315.863521635, 272211.59986949316 7126314.714475259, 272211.617138844 7126314.663156166, 272211.62875755137 7126314.610270577, 272211.63458935666 7126314.55643871, 272211.63456586737 7126314.502291879, 272211.60071393335 7126313.8829904385, 272210.6022045326 7126313.9375704415, 272210.6300485744 7126314.446960989))</t>
  </si>
  <si>
    <t>['FV6312 S2D1 m2073-2078']</t>
  </si>
  <si>
    <t>LINESTRING Z (272559.152913393 7126749.79830915 33.161, 272558.695945241 7126747.59457723 33.851, 272558.74160386 7126746.25769767 34.071, 272559.128998525 7126745.4982484 34.651, 272558.522437082 7126744.43821232 34.681, 272556.583850856 7126744.81622903 34.571, 272556.174460803 7126745.40677098 33.421)</t>
  </si>
  <si>
    <t>POLYGON Z ((272559.152913393 7126749.79830915 33.161, 272558.695945241 7126747.59457723 33.851, 272558.74160386 7126746.25769767 34.071, 272559.128998525 7126745.4982484 34.651, 272558.522437082 7126744.43821232 34.681, 272556.583850856 7126744.81622903 34.571, 272556.174460803 7126745.40677098 33.421, 272559.152913393 7126749.79830915 33.161))</t>
  </si>
  <si>
    <t>['FV6312 S2D1 m2617-2641']</t>
  </si>
  <si>
    <t>LINESTRING Z (272243.053386419 7126308.73844064 26.95, 272243.593947866 7126304.33821395 25.07, 272242.381183106 7126299.10961093 23.04, 272241.509061528 7126293.87692713 22.29, 272240.210099262 7126289.83766655 21.56, 272236.021792159 7126286.34405633 20.49, 272231.343567241 7126283.43666597 19.82, 272230.620974842 7126282.15421715 19.84)</t>
  </si>
  <si>
    <t>POLYGON ((272244.09021709993 7126304.399179904, 272244.0936469154 7126304.355559267, 272244.09324998845 7126304.311805799, 272244.0890293588 7126304.268254566, 272244.08101734833 7126304.225239089, 272242.8717993431 7126299.011927223, 272242.0022583736 7126293.794726938, 272241.9850542268 7126293.723855413, 272240.6860919608 7126289.684594832, 272240.6696083523 7126289.640558975, 272240.64906109154 7126289.598266232, 272240.62463188753 7126289.558090617, 272240.596536779 7126289.520387421, 272240.56502422417 7126289.4854900725, 272240.53037290304 7126289.453707184, 272236.34206580004 7126285.960096964, 272236.2857136864 7126285.919385366, 272231.7162934779 7126283.079614193, 272231.05658615986 7126281.908773104, 272230.1853635241 7126282.399661196, 272230.9079559231 7126283.682110016, 272230.93472941057 7126283.724505558, 272230.96561450075 7126283.764006353, 272231.00030058844 7126283.800215148, 272231.0384388424 7126283.8327678, 272231.0796457136 7126283.861336933, 272235.7282760129 7126286.750335038, 272239.778491673 7126290.128758461, 272241.02187553234 7126293.995192107, 272241.8879862604 7126299.191811122, 272241.89411362365 7126299.222585792, 272243.08689448674 7126304.3650320675, 272242.5571171851 7126308.677474687, 272243.54965565295 7126308.799406594, 272244.09021709993 7126304.399179904))</t>
  </si>
  <si>
    <t>['FV6312 S2D1 m1727-1734']</t>
  </si>
  <si>
    <t>LINESTRING Z (272639.27746209287 7127085.132805271 21.962, 272639.8877883962 7127078.3210654 20.222)</t>
  </si>
  <si>
    <t>POLYGON ((272640.38579339685 7127078.36568624, 272639.38978339557 7127078.27644456, 272638.7794570922 7127085.088184431, 272639.7754670935 7127085.177426111, 272640.38579339685 7127078.36568624))</t>
  </si>
  <si>
    <t>['KV34 S2D1 m195-198']</t>
  </si>
  <si>
    <t>LINESTRING Z (272144.9840335441 7126294.56919421 16.17, 272137.9796361547 7126300.5805582525 12.94)</t>
  </si>
  <si>
    <t>POLYGON ((272137.65400336595 7126300.20113331, 272138.3052689435 7126300.959983195, 272145.30966633285 7126294.948619152, 272144.6584007553 7126294.189769267, 272137.65400336595 7126300.20113331))</t>
  </si>
  <si>
    <t>['FV6312 S2D1 m2668-2675']</t>
  </si>
  <si>
    <t>LINESTRING Z (272206.716861189 7126266.17957899 16.46, 272202.895560239 7126265.17684636 16.49, 272199.918073874 7126265.32764484 16.35, 272199.636363525 7126264.46519191 16.35)</t>
  </si>
  <si>
    <t>POLYGON ((272203.0224668118 7126264.693219725, 272202.9723613075 7126264.6827799715, 272202.92145106615 7126264.677517145, 272202.8702695356 7126264.677486389, 272200.2746438659 7126264.808945062, 272200.1116511176 7126264.309944674, 272199.1610759324 7126264.620439146, 272199.4427862814 7126265.482892076, 272199.460747965 7126265.529766123, 272199.4833191249 7126265.57460295, 272199.5102722621 7126265.616950639, 272199.54133571056 7126265.656382359, 272199.5761963759 7126265.6925006695, 272199.6145028906 7126265.7249415275, 272199.655869156 7126265.753377955, 272199.6998782335 7126265.777523337, 272199.746086547 7126265.797134306, 272199.79402835405 7126265.8120132005, 272199.8432204399 7126265.822010052, 272199.893166988 7126265.827024101, 272199.9433645774 7126265.827004811, 272202.84353429667 7126265.680122128, 272206.58995461615 7126266.663205625, 272206.84376776183 7126265.695952355, 272203.0224668118 7126264.693219725))</t>
  </si>
  <si>
    <t>2019-02-12</t>
  </si>
  <si>
    <t>['EV6 S172D1 m2979-2988']</t>
  </si>
  <si>
    <t>LINESTRING Z (634785.53 7645333.37 76.045, 634784.32 7645340.4 76.045, 634777.94 7645345.63 76.045)</t>
  </si>
  <si>
    <t>POLYGON Z ((634785.53 7645333.37 76.045, 634784.32 7645340.4 76.045, 634777.94 7645345.63 76.045, 634785.53 7645333.37 76.045))</t>
  </si>
  <si>
    <t>['EV6 S172D1 m3012-3016']</t>
  </si>
  <si>
    <t>LINESTRING Z (634825.42 7645354.79 60.255, 634821.81 7645360.47 60.525)</t>
  </si>
  <si>
    <t>POLYGON ((634821.3880163687 7645360.201802657, 634822.2319836314 7645360.7381973425, 634825.8419836314 7645355.058197343, 634824.9980163687 7645354.521802657, 634821.3880163687 7645360.201802657))</t>
  </si>
  <si>
    <t>['EV6 S172D1 m3178-3195']</t>
  </si>
  <si>
    <t>LINESTRING Z (634933.35 7645481.5 60.175, 634933.54 7645476.59 59.525, 634928.88 7645468.16 59.885, 634924.14 7645468.37 59.865, 634920.93 7645470.04 59.935)</t>
  </si>
  <si>
    <t>POLYGON Z ((634933.35 7645481.5 60.175, 634933.54 7645476.59 59.525, 634928.88 7645468.16 59.885, 634924.14 7645468.37 59.865, 634920.93 7645470.04 59.935, 634933.35 7645481.5 60.175))</t>
  </si>
  <si>
    <t>['EV6 S172D1 m3224-3239']</t>
  </si>
  <si>
    <t>LINESTRING Z (634974.8 7645490.45 59.995, 634970.43 7645494.57 60.305, 634954.09 7645496.29 60.445)</t>
  </si>
  <si>
    <t>POLYGON ((634970.2098094394 7645494.090415503, 634954.0376576077 7645495.792747274, 634954.1423423922 7645496.787252726, 634970.4823423923 7645495.067252726, 634970.5282999072 7645495.060241908, 634970.5734076215 7645495.048992959, 634970.6172755798 7645495.033603125, 634970.6595245447 7645495.014205452, 634970.6997892747 7645494.990967632, 634970.7377216822 7645494.964090556, 634970.7729938423 7645494.933806576, 634975.1429938423 7645490.813806576, 634974.4570061578 7645490.086193425, 634970.2098094394 7645494.090415503))</t>
  </si>
  <si>
    <t>2019-03-11</t>
  </si>
  <si>
    <t>['RV9 S12D1 m4121-4300']</t>
  </si>
  <si>
    <t>LINESTRING Z (79717.99 6549293.59 -999999, 79720.92 6549308.19 -999999, 79744.24 6549427.68 -999999, 79748.04 6549449.21 -999999, 79750.51 6549455.53 -999999, 79745.63 6549472.11 -999999, 79740.16 6549458.83 -999999, 79741.07 6549443.83 -999999, 79741.19 6549426.3 -999999, 79742.48 6549414.68 -999999, 79740.38 6549402.26 -999999, 79736.41 6549394.97 -999999, 79730.96 6549389.71 -999999, 79731.41 6549381.21 -999999, 79733.47 6549376.44 -999999, 79730.77 6549362.6 -999999, 79728.54 6549348.38 -999999, 79720.52 6549335.82 -999999, 79714.22 6549303.74 -999999, 79714.13 6549294.3 -999999, 79717.92 6549293.6 -999999, 79717.99 6549293.59 -999999)</t>
  </si>
  <si>
    <t>['RV9 S12D1 m5005-5326']</t>
  </si>
  <si>
    <t>LINESTRING Z (80025.74 6550119.62 -999999, 80035.32 6550125.74 -999999, 80041.3 6550134.14 -999999, 80067.66 6550176.22 -999999, 80071.42 6550184.38 -999999, 80097.18 6550225.49 -999999, 80104.09 6550234.44 -999999, 80171.25 6550399.73 -999999, 80168.9 6550400.11 -999999, 80164.85 6550392.02 -999999, 80164.39 6550390.7 -999999, 80164.07 6550390.13 -999999, 80163.22 6550385.99 -999999, 80161.19 6550381.38 -999999, 80157.21 6550362.24 -999999, 80156.08 6550359.29 -999999, 80151.41 6550354.21 -999999, 80152.13 6550348.38 -999999, 80150.81 6550343.81 -999999, 80150.72 6550342.73 -999999, 80147.46 6550334.75 -999999, 80146.64 6550329.93 -999999, 80144.98 6550325.35 -999999, 80143.55 6550320.74 -999999, 80141.74 6550316.24 -999999, 80139.05 6550311.83 -999999, 80138.35 6550307.1 -999999, 80136.52 6550302.51 -999999, 80132.99 6550298.85 -999999, 80127.48 6550296.38 -999999, 80125.79 6550293.22 -999999, 80121.72 6550284.01 -999999, 80118.23 6550280.26 -999999, 80116.8 6550274.51 -999999, 80114.1 6550270.46 -999999, 80104.47 6550247.74 -999999, 80100.56 6550242.81 -999999, 80098.36 6550237.76 -999999, 80092.76 6550231.09 -999999, 80089.79 6550221.18 -999999, 80086.93 6550215.5 -999999, 80080.7 6550209.32 -999999, 80070.17 6550197.95 -999999, 80066.55 6550188.49 -999999, 80061.87 6550179.65 -999999, 80055.92 6550171.5 -999999, 80047.67 6550164.88 -999999, 80041.21 6550157.15 -999999, 80032.51 6550144.67 -999999, 80025.74 6550119.64 -999999)</t>
  </si>
  <si>
    <t>['RV9 S12D1 m3492-3666']</t>
  </si>
  <si>
    <t>LINESTRING Z (79765.94 6548663.1 -999999, 79765.09 6548674.21 -999999, 79747.4 6548834.44 -999999, 79746.18 6548836.35 -999999, 79745.96 6548830.97 -999999, 79748.09 6548827.4 -999999, 79748.97 6548824.73 -999999, 79749.26 6548822.45 -999999, 79748.16 6548812.25 -999999, 79749.96 6548802.37 -999999, 79749.33 6548792.36 -999999, 79749.43 6548782.23 -999999, 79751.37 6548772.31 -999999, 79750.4 6548762.11 -999999, 79752.58 6548752.34 -999999, 79753.21 6548742.34 -999999, 79755.55 6548732.45 -999999, 79758.04 6548727.47 -999999, 79757.64 6548722.67 -999999, 79757.57 6548717.52 -999999, 79757.09 6548712.5 -999999, 79757.59 6548707.5 -999999, 79761 6548697.77 -999999, 79761.7 6548692.79 -999999, 79761.34 6548687.66 -999999, 79758.86 6548682.46 -999999, 79757.53 6548677.17 -999999, 79758.59 6548672.39 -999999, 79760.54 6548667.45 -999999, 79765.41 6548663.06 -999999, 79765.94 6548663.1 -999999)</t>
  </si>
  <si>
    <t>2019-04-02</t>
  </si>
  <si>
    <t>2025-11-22T09:21:49Z</t>
  </si>
  <si>
    <t>[704]</t>
  </si>
  <si>
    <t>['FV704 S2D1 m2164-2169']</t>
  </si>
  <si>
    <t>LINESTRING Z (270448.15 7028863.5 171.551, 270447.37 7028862.07 172.811, 270446.18 7028860.18 173.981, 270444.71 7028857.79 175.491, 270443.16 7028856.17 176.831, 270441.75 7028854.96 178.251, 270441.61 7028854.8 178.301, 270439.76 7028855.04 179.161, 270439.81 7028856.15 178.411, 270440.29 7028857.7 177.171, 270440.48 7028859.16 176.341, 270441.84 7028860.62 175.321, 270443.9 7028862.92 173.601, 270445.03 7028864.37 172.481, 270445.25 7028866.17 171.551)</t>
  </si>
  <si>
    <t>POLYGON Z ((270448.15 7028863.5 171.551, 270447.37 7028862.07 172.811, 270446.18 7028860.18 173.981, 270444.71 7028857.79 175.491, 270443.16 7028856.17 176.831, 270441.75 7028854.96 178.251, 270441.61 7028854.8 178.301, 270439.76 7028855.04 179.161, 270439.81 7028856.15 178.411, 270440.29 7028857.7 177.171, 270440.48 7028859.16 176.341, 270441.84 7028860.62 175.321, 270443.9 7028862.92 173.601, 270445.03 7028864.37 172.481, 270445.25 7028866.17 171.551, 270448.15 7028863.5 171.551))</t>
  </si>
  <si>
    <t>['FV704 S2D1 m731-805']</t>
  </si>
  <si>
    <t>LINESTRING Z (269275.88 7029257.18 214.452, 269274.65 7029257.29 214.972, 269275.05 7029258.16 214.362, 269274.99 7029259.61 213.642, 269274.75 7029260.41 213.332, 269272.54 7029261.46 213.192, 269269.95 7029263.15 212.972, 269269.01 7029263.6 212.882, 269268.7 7029262.69 212.952, 269268.86 7029261.85 213.032, 269268.32 7029260.75 213.112, 269268.29 7029259.34 213.742, 269268.12 7029258.54 213.982, 269265.46 7029258.8 214.312, 269265.43 7029260.02 213.512, 269264.93 7029261.77 213.522, 269265.5 7029263.99 212.992, 269266.36 7029264.43 213.022, 269266.64 7029264.63 212.942, 269264.95 7029266.19 212.752, 269262.82 7029267.14 212.772, 269261.28 7029268.02 212.682, 269258.84 7029268.44 212.582, 269256.67 7029268.53 212.552, 269255.81 7029268.57 212.582, 269250.9 7029268.56 212.572, 269245.24 7029268.86 212.312, 269239.71 7029269.13 212.232, 269232.98 7029269.42 212.082, 269226.12 7029269.82 211.892, 269219.8 7029270.17 211.602, 269216.43 7029270.32 211.442, 269212.49 7029269.96 211.142, 269208.41 7029269.92 210.752, 269206.07 7029269.8 210.102, 269202.87 7029268.6 209.532, 269201.74 7029269.35 208.922, 269201.02 7029270.31 208.902, 269201.67 7029271.59 209.352, 269202.75 7029272.02 209.692, 269203.97 7029272.46 209.962, 269206.31 7029272.34 210.372, 269208.23 7029272.22 210.842, 269210.62 7029272.18 211.082, 269213.84 7029272.36 211.242, 269216.66 7029272.41 211.382, 269220.04 7029272.13 211.452, 269224.39 7029271.79 211.652, 269227.28 7029271.68 211.832, 269231.17 7029271.5 211.912, 269234.85 7029271.36 211.992, 269238.97 7029271.25 212.092, 269242.98 7029271.04 212.182, 269246.59 7029270.98 212.202, 269250.03 7029270.87 212.322, 269253.18 7029271.06 212.462, 269256.4 7029271.06 212.632, 269259.38 7029270.86 212.762, 269261.81 7029270.28 212.902, 269264.03 7029269.54 213.022, 269265.48 7029268.82 213.052, 269268.65 7029267.38 213.122, 269271.79 7029265.61 213.252, 269274.71 7029263.98 213.332, 269277.57 7029262.56 213.392, 269277.97 7029261.65 213.402, 269278 7029260.39 213.542, 269277.84 7029258.75 214.242, 269275.88 7029257.18 214.452, 269277.16 7029257.96 214.292)</t>
  </si>
  <si>
    <t>2019-04-11</t>
  </si>
  <si>
    <t>[762]</t>
  </si>
  <si>
    <t>['FV762 S2D1 m2811-2892']</t>
  </si>
  <si>
    <t>LINESTRING Z (331240.60915625107 7103738.998511882 15.016, 331244.6928318003 7103742.657429917 16.471, 331247.2477380472 7103745.797673586 17.105, 331252.77808706474 7103752.446318832 21.423, 331253.6947138294 7103756.897576191 22.99, 331258.8832820545 7103754.724879181 22.925, 331264.84882571537 7103754.354413946 23.21, 331271.1435974008 7103752.7362772655 23.694, 331274.53537875024 7103748.493985582 23.397, 331280.3335401723 7103742.255334411 22.956, 331285.3105438276 7103737.895492058 22.572, 331292.631760102 7103734.763927091 22.855, 331301.86113872967 7103731.136720256 23.259, 331305.89861511963 7103728.572431759 22.899, 331309.7514924919 7103725.68099511 22.502, 331312.4089112867 7103722.683445659 22.052, 331312.54238062806 7103720.298961278 21.248, 331309.6438968226 7103712.797007076 18.047, 331308.4299958722 7103706.921160405 16.209, 331308.39051802934 7103706.662685656 16.142)</t>
  </si>
  <si>
    <t>POLYGON ((331244.32984136866 7103743.003535805, 331246.85989017313 7103746.11322711, 331246.863337857 7103746.117418005, 331252.31361666555 7103752.669801982, 331253.20498946786 7103756.9984228555, 331253.2172086463 7103757.045862402, 331253.2340115286 7103757.091878507, 331253.2552368192 7103757.136029452, 331253.2806807707 7103757.177891418, 331253.3100991395 7103757.217062561, 331253.3432095307 7103757.2531668665, 331253.3796941085 7103757.2858577585, 331253.41920264735 7103757.31482143, 331253.46135589393 7103757.339779848, 331253.50574920763 7103757.360493432, 331253.55195644475 7103757.376763346, 331253.59953404934 7103757.388433411, 331253.64802531083 7103757.395391601, 331253.6969647483 7103757.397571125, 331253.7458825786 7103757.3949510595, 331253.7943092259 7103757.387556556, 331253.84177982964 7103757.375458595, 331253.8878387063 7103757.35877331, 331258.9985345893 7103755.218685104, 331264.87981643167 7103754.853452598, 331264.92691320524 7103754.848278648, 331264.9733087921 7103754.83867004, 331271.26808047754 7103753.220533359, 331271.3120923909 7103753.207031382, 331271.3546759037 7103753.189538632, 331271.3954700179 7103753.168203399, 331271.43412890536 7103753.143206553, 331271.4703248388 7103753.114760001, 331271.5037509706 7103753.083104897, 331271.53412393376 7103753.048509594, 331274.91428904736 7103748.82074699, 331280.6823125702 7103742.614523312, 331285.58023781667 7103738.323953441, 331292.8215632712 7103735.226560841, 331302.04402517085 7103731.6020723265, 331302.08765047207 7103731.582469547, 331302.1292032491 7103731.558788276, 331306.1666796391 7103728.994499779, 331306.19873325864 7103728.972343127, 331310.05161063094 7103726.080906479, 331310.09034413006 7103726.048662851, 331310.1256349839 7103726.012683813, 331312.78305377864 7103723.015134362, 331312.8130152618 7103722.977894258, 331312.83928401716 7103722.937963463, 331312.8616199993 7103722.895706869, 331312.87981910055 7103722.851510619, 331312.89371501637 7103722.80577858, 331312.903180765 7103722.758928656, 331312.9081298478 7103722.711388962, 331313.04159918916 7103720.326904582, 331313.04174981633 7103720.273853235, 331313.03627860895 7103720.221084552, 331313.0252471613 7103720.169192595, 331313.0087796639 7103720.118761557, 331310.1251934782 7103712.655365881, 331308.92229467625 7103706.832774738, 331308.8847862119 7103706.5871941745, 331307.8962498468 7103706.738177137, 331307.93572768965 7103706.996651886, 331307.94033606356 7103707.02232004, 331309.15423701395 7103712.898166711, 331309.1642365654 7103712.938166694, 331309.17749778676 7103712.977206797, 331312.0371387676 7103720.378626681, 331311.91941110045 7103722.481879612, 331309.4109107419 7103725.311450129, 331305.6140917895 7103728.160817085, 331301.6335859602 7103730.6889223475, 331292.4488736608 7103734.29857502, 331292.43512404984 7103734.304216026, 331285.11390777543 7103737.435780994, 331285.066779618 7103737.458938499, 331285.0223400172 7103737.486910899, 331284.98107911233 7103737.519389677, 331280.00407545705 7103741.879232029, 331279.96729357773 7103741.914947231, 331274.16913215566 7103748.153598403, 331274.1448522173 7103748.181753254, 331270.857362865 7103752.2936010705, 331264.77038605016 7103753.8583219135, 331258.8522913382 7103754.225840529, 331258.7969494379 7103754.232388898, 331258.7426799982 7103754.24505519, 331258.69015717757 7103754.263682063, 331254.0619155865 7103756.201744016, 331253.26781142625 7103752.345472168, 331253.25557234 7103752.297968531, 331253.23873718904 7103752.251892849, 331253.21746802115 7103752.207688627, 331253.1919695641 7103752.165781354, 331253.16248725494 7103752.126574413, 331247.63387347263 7103745.480015285, 331245.0806796744 7103742.341876392, 331245.05470120173 7103742.31239291, 331245.0264875968 7103742.285040592, 331240.94281204755 7103738.626122557, 331240.2755004546 7103739.3709012065, 331244.32984136866 7103743.003535805))</t>
  </si>
  <si>
    <t>['FV762 S2D1 m3115-3243']</t>
  </si>
  <si>
    <t>LINESTRING Z (331608.1549491944 7103525.77627528 17.734, 331611.0555970678 7103528.5885097915 20.462, 331613.53459866194 7103530.999539243 22.228, 331617.1489901842 7103534.104021886 23.509, 331615.79181791993 7103536.306694488 22.477, 331615.46911311836 7103537.814943774 22.835, 331611.82045002945 7103538.145431769 22.895, 331606.0303154009 7103539.681745838 22.641, 331600.1826862079 7103544.226257104 22.287, 331596.1723351511 7103546.077717507 21.519, 331589.9672433832 7103549.879424854 20.696, 331588.9424535618 7103553.655066428 20.596, 331589.5841028872 7103555.705151466 20.752, 331588.3172042873 7103557.906332178 19.758, 331584.7649506267 7103557.140732502 20.046, 331580.814057249 7103561.18566187 21.159, 331579.7744559441 7103564.272537967 22.113, 331578.7751730561 7103571.435312983 24.002, 331574.9598446573 7103574.809424022 24.096, 331569.280812994 7103578.937178653 23.787, 331564.7265716557 7103582.901453887 23.261, 331564.8218564925 7103584.878562781 23.925, 331562.34211004793 7103587.438396246 23.761, 331559.38706171396 7103587.3799021775 23.022, 331550.52943720075 7103594.177688311 22.289, 331537.8955991019 7103604.348908059 21.448, 331530.8438305458 7103609.982607756 21.366, 331524.3468754316 7103617.044705615 21.343, 331522.384341044 7103622.166671437 20.692, 331517.8800719663 7103618.404822438 19.136)</t>
  </si>
  <si>
    <t>POLYGON ((331610.7072741573 7103528.947217618, 331613.185993391 7103531.3579724515, 331613.20881399675 7103531.378833788, 331616.4993764943 7103534.205172357, 331615.366133869 7103536.044410122, 331615.33910182497 7103536.094449023, 331615.3179272445 7103536.147234061, 331615.30288409494 7103536.202082276, 331615.05723209924 7103537.350204167, 331611.7753457605 7103537.64747032, 331611.73347271286 7103537.653054935, 331611.69222052314 7103537.662154215, 331605.9020858946 7103539.198468285, 331605.85432740604 7103539.213741324, 331605.80833875056 7103539.233720876, 331605.7645824156 7103539.258206016, 331605.72349843924 7103539.286950509, 331599.9210995292 7103543.796310858, 331595.9627566848 7103545.623760608, 331595.9111247206 7103545.651373619, 331589.70603295264 7103549.453080966, 331589.6669652363 7103549.479633615, 331589.6305775982 7103549.509754529, 331589.5971948094 7103549.543174868, 331589.5671148221 7103549.579596345, 331589.5406061096 7103549.618693888, 331589.51790527074 7103549.660118537, 331589.4992149177 7103549.703500565, 331589.4847018678 7103549.748452773, 331588.45991204644 7103553.524094347, 331588.44968732056 7103553.5703231, 331588.443881018 7103553.617311711, 331588.4425452015 7103553.664638853, 331588.44569184876 7103553.711880162, 331588.453292745 7103553.758612047, 331588.4652797363 7103553.804415483, 331589.0415214087 7103555.6455214955, 331588.0658651895 7103557.3406813545, 331584.87029426557 7103556.651955745, 331584.82050286717 7103556.643828136, 331584.77014589333 7103556.640759493, 331584.71973602666 7103556.642781058, 331584.6697864883 7103556.64987225, 331584.6208058127 7103556.661960873, 331584.57329267054 7103556.678923853, 331584.52773079136 7103556.700588492, 331584.4845840392 7103556.726734221, 331584.44429168955 7103556.757094853, 331584.4072639575 7103556.791361285, 331580.4563705798 7103560.836290654, 331580.42649383115 7103560.869759042, 331580.3997373603 7103560.905770767, 331580.376316584 7103560.944035898, 331580.3564200631 7103560.984246364, 331580.340207985 7103561.026078428, 331579.3006066801 7103564.112954525, 331579.2878210292 7103564.157705656, 331579.27925184916 7103564.203451757, 331578.30550399073 7103571.183193847, 331574.6465273197 7103574.419034196, 331568.98684128944 7103578.5327276215, 331568.9525319787 7103578.5600426365, 331564.39829064044 7103582.524317871, 331564.36217711976 7103582.559084755, 331564.32972638035 7103582.59729303, 331564.3012646069 7103582.638558634, 331564.2770778883 7103582.68246678, 331564.25740934204 7103582.728576117, 331564.2424566702 7103582.776423167, 331564.23237017245 7103582.825526988, 331564.2272512351 7103582.8753940035, 331564.22715131217 7103582.9255229635, 331564.312008374 7103584.68626116, 331562.1344112253 7103586.934186978, 331559.39695708716 7103586.880000105, 331559.3488259492 7103586.881366295, 331559.3010494056 7103586.887355852, 331559.25407053076 7103586.897913231, 331559.2083250018 7103586.912940522, 331559.16423705773 7103586.932298365, 331559.1222155654 7103586.955807238, 331559.08265022753 7103586.983249121, 331550.2250257143 7103593.781035255, 331550.2158853418 7103593.788220428, 331537.5827785995 7103603.9588513775, 331530.53174369625 7103609.5919649545, 331530.50280495215 7103609.616955538, 331530.47586049873 7103609.644084427, 331523.97890538455 7103616.706182286, 331523.9486166922 7103616.742397864, 331523.9218788318 7103616.781308785, 331523.8989301951 7103616.822568124, 331523.87997538975 7103616.865808017, 331522.1677972126 7103621.334375884, 331518.20058088645 7103618.021059449, 331517.5595630462 7103618.788585427, 331522.0638321239 7103622.550434426, 331522.10376126174 7103622.580525259, 331522.14649596665 7103622.606477894, 331522.19160892663 7103622.628032826, 331522.23864904913 7103622.644974524, 331522.2871459717 7103622.657133585, 331522.336614765 7103622.6643884275, 331522.3865607818 7103622.66666651, 331522.4364846031 7103622.663945054, 331522.48588703165 7103622.656251269, 331522.53427408397 7103622.64366209, 331522.58116192924 7103622.626303398, 331522.6260817276 7103622.604348764, 331522.66858431813 7103622.578017716, 331522.7082447098 7103622.547573544, 331522.7446663314 7103622.513320665, 331522.77748499665 7103622.475601579, 331522.80637254595 7103622.434793445, 331522.83104012755 7103622.391304312, 331522.85124108585 7103622.345569036, 331524.779570559 7103617.3128737025, 331531.1858562093 7103610.349332261, 331538.20768595143 7103604.739550861, 331538.20915096084 7103604.738375942, 331550.838460647 7103594.570801917, 331559.55241786194 7103587.883273288, 331562.33221467474 7103587.938298319, 331562.3834841953 7103587.936681486, 331562.4343182649 7103587.929820345, 331562.4841818696 7103587.917787107, 331562.5325502094 7103587.900708418, 331562.5789142214 7103587.878764028, 331562.62278593774 7103587.852184894, 331562.66370362137 7103587.8212507535, 331562.70123662526 7103587.786287179, 331565.1809830698 7103585.226453714, 331565.2146042852 7103585.187996411, 331565.24412623415 7103585.146309425, 331565.26924078446 7103585.10182786, 331565.28968580544 7103585.055015987, 331565.3052479042 7103585.006362402, 331565.3157646529 7103584.956374921, 331565.321126284 7103584.905575283, 331565.32127683604 7103584.854493705, 331565.2376588113 7103583.119464859, 331569.59253887716 7103579.328725214, 331575.25381636183 7103575.213875053, 331575.2910772297 7103575.183970392, 331579.10640562855 7103571.809859352, 331579.1425346349 7103571.774496518, 331579.17490797874 7103571.735666094, 331579.2031946962 7103571.693765059, 331579.2271056027 7103571.64922178, 331579.24639624875 7103571.602491638, 331579.26086941955 7103571.5540523715, 331579.270377151 7103571.5043991925, 331580.2632082676 7103564.387869927, 331581.25148356933 7103561.453395536, 331584.92962906 7103557.687705781, 331588.2118606484 7103558.3951089345, 331588.25968614424 7103558.403012823, 331588.30805225304 7103558.406248411, 331588.3565043818 7103558.404785288, 331588.404587129 7103558.398637204, 331588.4518485651 7103558.3878619475, 331588.49784447986 7103558.372560793, 331588.5421425578 7103558.352877555, 331588.5843264414 7103558.32899724, 331588.62399964436 7103558.301144296, 331588.6607892784 7103558.269580514, 331588.69434955774 7103558.234602562, 331588.72436504945 7103558.196539197, 331588.75055363786 7103558.155748176, 331590.0174522378 7103555.954567464, 331590.0408401751 7103555.90859937, 331590.0593683157 7103555.860466541, 331590.07283951563 7103555.8106811205, 331590.08111043804 7103555.759772839, 331590.0840930783 7103555.708283373, 331590.0817557003 7103555.656760583, 331590.0741231745 7103555.605752682, 331590.0612767127 7103555.5558024105, 331589.46325042326 7103553.645094022, 331590.39777097054 7103550.202032278, 331596.40853938734 7103546.519382076, 331600.3922646742 7103544.680214004, 331600.44257288 7103544.653409205, 331600.48950316955 7103544.621052434, 331606.25683664344 7103540.138943346, 331611.90773888695 7103538.63957223, 331615.5142173873 7103538.312905223, 331615.5625600175 7103538.306133836, 331615.6100119636 7103538.294680697, 331615.6561209399 7103538.278654971, 331615.7004474612 7103538.258209407, 331615.74256903166 7103538.233538881, 331615.7820841717 7103538.204878537, 331615.818616245 7103538.172501552, 331615.851817048 7103538.136716523, 331615.88137012906 7103538.097864535, 331615.9069938045 7103538.056315903, 331615.92844384373 7103538.012466645, 331615.9455157968 7103537.966734709, 331615.95804694336 7103537.919555985, 331616.262717511 7103536.495594632, 331617.57467423513 7103534.366306253, 331617.59894051455 7103534.322069359, 331617.61862494063 7103534.275612083, 331617.6335270664 7103534.2274075, 331617.64349514316 7103534.17794648, 331617.6484276659 7103534.127732684, 331617.64827440644 7103534.07727744, 331617.6430369256 7103534.0270945355, 331617.63276855665 7103533.977694984, 331617.6175738627 7103533.929581822, 331617.5976075716 7103533.883244986, 331617.57307300036 7103533.839156326, 331617.5442199852 7103533.797764798, 331617.5113423369 7103533.759491892, 331617.47477484937 7103533.724727341, 331613.87211628404 7103530.6303224, 331611.4042023388 7103528.230076583, 331611.40363713977 7103528.229527747, 331608.50298926636 7103525.417293236, 331607.80690912245 7103526.135257324, 331610.7072741573 7103528.947217618))</t>
  </si>
  <si>
    <t>['FV710 S10D1 m1512-1712']</t>
  </si>
  <si>
    <t>LINESTRING Z (245633.43035104257 7081878.478790899 54.728, 245625.74703385678 7081875.085754394 57.678, 245625.8684309886 7081869.050590742 57.398, 245626.53664285838 7081863.068612057 56.528, 245626.00240894375 7081857.813034384 56.308, 245624.8358282839 7081852.792810489 56.328, 245623.84484405548 7081847.596762822 56.248, 245623.01527760856 7081842.758295932 56.368, 245621.40639060145 7081834.593233391 56.308, 245620.3980070635 7081828.033094329 56.038, 245619.33322289033 7081822.331322503 55.808, 245618.60405054665 7081817.725171929 55.768, 245617.85086814637 7081813.422328931 55.598, 245616.99647519444 7081808.063867068 55.198, 245615.9536661621 7081803.314104675 54.948, 245615.1145404855 7081797.7836249 54.678, 245613.88091199342 7081792.568368354 54.428, 245612.39548324462 7081785.94901792 53.998, 245611.0546191389 7081779.608374776 53.848, 245609.526562364 7081774.006860092 53.268, 245607.86893751685 7081768.416535548 52.958, 245606.41477348286 7081763.903122295 52.748, 245604.3351006487 7081758.309083466 52.728, 245602.65863073643 7081753.08186694 52.448, 245600.1750302035 7081746.880080807 52.068, 245598.51767722378 7081740.827840111 51.698, 245596.3973688622 7081735.80965482 51.618, 245594.13988077853 7081730.482000731 51.178, 245590.87914235538 7081723.8854396455 50.748, 245588.26130798706 7081717.524546528 50.618, 245584.3124475127 7081707.2621543035 50.188, 245582.3380632709 7081702.422146914 49.858, 245580.38556138278 7081697.951771478 49.558, 245577.83962371427 7081690.911912213 49.108, 245581.15851799966 7081689.229557761 48.288)</t>
  </si>
  <si>
    <t>POLYGON ((245626.25362945456 7081874.762887633, 245626.36787136862 7081869.083440047, 245627.03355229658 7081863.1241189055, 245627.03663668304 7081863.071097074, 245627.03407948307 7081863.018047203, 245626.49984556844 7081857.76246953, 245626.48943249712 7081857.69986169, 245625.3251081422 7081852.689347503, 245624.33686512877 7081847.507672903, 245623.50808678556 7081842.673802648, 245623.5058447135 7081842.661632001, 245621.89898953796 7081834.506880956, 245620.8922027425 7081827.957129661, 245620.8895101359 7081827.941308002, 245619.82599353985 7081822.246323876, 245619.09790084866 7081817.646993421, 245619.09656218663 7081817.638961231, 245618.34403374628 7081813.33985423, 245617.49023800352 7081807.985137859, 245617.48484352723 7081807.956645934, 245616.44554948655 7081803.222893544, 245615.60888268147 7081797.708619611, 245615.60111333034 7081797.668529866, 245614.36814796494 7081792.456076738, 245612.88402599958 7081785.842549577, 245611.5438006408 7081779.504926924, 245611.5369929396 7081779.476786341, 245610.0089361647 7081773.875271657, 245610.00593262573 7081773.864718782, 245608.3483077786 7081768.274394237, 245608.34484650224 7081768.263203759, 245606.89068246825 7081763.7497905055, 245606.88343449822 7081763.728890114, 245604.80773283102 7081758.145533188, 245603.13474328042 7081752.929168395, 245603.12279456021 7081752.895985406, 245600.64976523054 7081746.7205965705, 245598.9999225101 7081740.695781473, 245598.97825203053 7081740.633235776, 245596.85794366896 7081735.615050484, 245596.85774448857 7081735.61457975, 245594.6002564049 7081730.286925661, 245594.5881100966 7081730.260437019, 245591.3349809117 7081723.679269627, 245588.7258796259 7081717.339596417, 245584.779093092 7081707.082593998, 245584.77540910838 7081707.073298377, 245582.80102486658 7081702.233290987, 245582.7962655823 7081702.222020349, 245580.85024816066 7081697.766491506, 245578.4602678465 7081691.157875252, 245581.38458393843 7081689.675533311, 245580.9324520609 7081688.783582211, 245577.6135577755 7081690.465936663, 245577.57160718885 7081690.489813715, 245577.53215447892 7081690.517624667, 245577.49556733968 7081690.549110323, 245577.46218675814 7081690.583977244, 245577.43232383672 7081690.621900473, 245577.4062568937 7081690.66252657, 245577.3842288694 7081690.705476908, 245577.36644506193 7081690.750351193, 245577.3530712139 7081690.796731206, 245577.34423196776 7081690.844184689, 245577.340009704 7081690.892269384, 245577.3404437736 7081690.940537146, 245577.34553013105 7081690.988538129, 245577.35522137219 7081691.0358249685, 245577.36942717613 7081691.081956958, 245579.91536484464 7081698.1218162235, 245579.9273590714 7081698.151898042, 245581.8774123646 7081702.616667266, 245583.84759745025 7081707.446380841, 245587.79466240777 7081717.704106834, 245587.79893421926 7081717.714837093, 245590.41676858757 7081724.07573021, 245590.4309130373 7081724.107003357, 245593.68519219224 7081730.69049717, 245595.93689358607 7081736.004494716, 245598.04419256886 7081740.991890395, 245599.6927849172 7081747.012139445, 245599.71086637973 7081747.065962341, 245602.18790702624 7081753.251367815, 245603.8589881047 7081758.461782011, 245603.86643963333 7081758.483315647, 245605.9422572522 7081764.066984467, 245607.3912323481 7081768.564292369, 245609.04563243585 7081774.143741442, 245610.56843394905 7081779.725991511, 245611.9063017427 7081786.052465772, 245611.90761649 7081786.058498647, 245613.3930452388 7081792.677849081, 245613.39433914857 7081792.683463387, 245614.6232637364 7081797.878833827, 245615.45932396612 7081803.389109964, 245615.4652978293 7081803.421325809, 245616.5049963442 7081808.156920489, 245617.3571053373 7081813.50105814, 245617.3583565064 7081813.508539629, 245618.11083687175 7081817.807371983, 245618.83937258832 7081822.4095010115, 245618.84171981792 7081822.42310883, 245619.9050307097 7081828.116991438, 245620.91219492242 7081834.669198059, 245620.9158234965 7081834.689897321, 245622.52351415268 7081842.84888841, 245623.35203487848 7081847.681256106, 245623.35369669207 7081847.690433881, 245624.34468092048 7081852.886481549, 245624.3488047305 7081852.905983183, 245625.50818804718 7081857.895234273, 245626.03381223627 7081863.06611294, 245625.3715215504 7081868.995083894, 245625.3685321109 7081869.040535292, 245625.2471349791 7081875.075698943, 245625.24854664638 7081875.124619558, 245625.25473425872 7081875.173167813, 245625.2656385334 7081875.2208785685, 245625.28115499785 7081875.267294716, 245625.30113499073 7081875.311971549, 245625.3253870862 7081875.354481022, 245625.35367892784 7081875.394415858, 245625.38573945506 7081875.431393447, 245625.42126149975 7081875.46505951, 245625.45990472965 7081875.495091497, 245625.5012989086 7081875.521201676, 245625.54504744426 7081875.543139886, 245633.22836463005 7081878.936176391, 245633.63233745508 7081878.021405406, 245626.25362945456 7081874.762887633))</t>
  </si>
  <si>
    <t>['FV710 S10D1 m1944-1955']</t>
  </si>
  <si>
    <t>LINESTRING Z (245753.85566410006 7082063.357864648 42.837, 245753.6978752179 7082064.2049058275 43.237, 245753.49587315528 7082065.818891054 44.087, 245754.34292324126 7082068.185726504 44.627, 245755.53749390822 7082069.80962755 44.357, 245757.31086355058 7082071.624525998 44.197, 245759.23282307386 7082072.020833668 43.747, 245759.69908413294 7082071.2576028295 42.837)</t>
  </si>
  <si>
    <t>POLYGON Z ((245753.85566410006 7082063.357864648 42.837, 245753.6978752179 7082064.2049058275 43.237, 245753.49587315528 7082065.818891054 44.087, 245754.34292324126 7082068.185726504 44.627, 245755.53749390822 7082069.80962755 44.357, 245757.31086355058 7082071.624525998 44.197, 245759.23282307386 7082072.020833668 43.747, 245759.69908413294 7082071.2576028295 42.837, 245753.85566410006 7082063.357864648 42.837))</t>
  </si>
  <si>
    <t>['FV710 S10D1 m1581-1697']</t>
  </si>
  <si>
    <t>LINESTRING Z (245643.69460549593 7081862.460320228 53.888, 245645.08506145782 7081861.818092875 54.328, 245648.14291589422 7081861.1824754225 55.628, 245646.47804493824 7081857.601004876 55.348, 245646.3177903409 7081851.560043943 55.378, 245646.26123718175 7081846.02222436 55.258, 245645.8148913457 7081840.156589013 55.218, 245645.2019256376 7081836.89595555 55.338, 245645.19235389013 7081831.7858469635 55.258, 245644.30448155585 7081826.621059089 55.318, 245643.1588265173 7081819.169074886 55.168, 245642.0940862352 7081812.653968566 55.048, 245640.97285328782 7081806.414851741 54.918, 245639.81705357524 7081800.008021019 54.988, 245638.98970841724 7081795.078992514 54.838, 245637.6957330347 7081788.583684015 54.548, 245635.69873906582 7081783.133122976 54.278, 245635.12138133732 7081779.005876637 54.138, 245633.54566237456 7081771.9223919185 53.878, 245632.34443036641 7081768.361124502 53.808, 245630.7322923071 7081763.529998221 53.608, 245628.21353495328 7081756.688617385 53.298, 245626.0226419004 7081750.853156643 53.218, 245625.16309069487 7081747.643942448 53.108, 245621.95763428858 7081747.268109951 51.778, 245619.80390334892 7081748.257408632 50.738)</t>
  </si>
  <si>
    <t>POLYGON ((245645.24280545692 7081862.295991219, 245648.24467275094 7081861.67201147, 245648.29306270013 7081861.6593988305, 245648.33995078134 7081861.642015685, 245648.3848679889 7081861.620035914, 245648.42736503106 7081861.593679372, 245648.4670168242 7081861.563209697, 245648.50342674484 7081861.528931663, 245648.5362305967 7081861.491188144, 245648.56510025397 7081861.450356677, 245648.58974694312 7081861.406845683, 245648.60992413166 7081861.361090389, 245648.62542999393 7081861.313548469, 245648.63610943005 7081861.26469547, 245648.64185561714 7081861.215020051, 245648.6426110781 7081861.1650191, 245648.63836825627 7081861.115192758, 245648.62916959118 7081861.0660394225, 245648.61510709397 7081861.018050756, 245648.5963214271 7081860.971706775, 245646.97512176167 7081857.484181913, 245646.81772263203 7081851.550860755, 245646.76121111168 7081846.017118541, 245646.75979582404 7081845.984286513, 245646.313449988 7081840.118651166, 245646.306283792 7081840.064212264, 245645.70183837868 7081836.848901986, 245645.692353013 7081831.784910415, 245645.69050349848 7081831.742870602, 245645.6851255571 7081831.701135192, 245644.79800297617 7081826.540708662, 245643.65302037733 7081819.093098384, 245643.6522803113 7081819.088431515, 245642.58754002923 7081812.573325195, 245642.58620274274 7081812.565530209, 245641.46496979534 7081806.326413384, 245640.3096513931 7081799.9222500315, 245639.48281030398 7081794.99622459, 245639.4800724607 7081794.981303697, 245638.18609707814 7081788.485995199, 245638.1770921652 7081788.448430966, 245638.16521419256 7081788.411674009, 245636.18653992953 7081783.01111446, 245635.61655973239 7081778.936606463, 245635.60945134604 7081778.897305616, 245634.03373238328 7081771.813820898, 245634.0194365509 7081771.762585693, 245632.8184635585 7081768.202086175, 245631.2065820173 7081763.371728607, 245631.20150281826 7081763.357251308, 245628.68274546444 7081756.5158704715, 245628.68163106308 7081756.512873162, 245626.49930919823 7081750.700241846, 245625.64606696754 7081747.514582794, 245625.63085185958 7081747.467308667, 245625.6110221145 7081747.421777097, 245625.58677336 7081747.37843727, 245625.55834481903 7081747.337716752, 245625.52601694965 7081747.300017262, 245625.49010867832 7081747.265710723, 245625.45097425338 7081747.235135579, 245625.4089997505 7081747.208593466, 245625.36459926364 7081747.186346233, 245625.3182108201 7081747.168613356, 245625.27029205908 7081747.155569776, 245625.2213157169 7081747.147344173, 245622.0158593106 7081746.771511676, 245621.9703811483 7081746.76827246, 245621.92479699562 7081746.769189404, 245621.8794858858 7081746.774254885, 245621.8348245817 7081746.78342678, 245621.79118444317 7081746.796628828, 245621.74892833908 7081746.813751253, 245619.5951973994 7081747.803049934, 245620.01260929843 7081748.71176733, 245622.03880301697 7081747.781051828, 245624.76789296485 7081748.1010314375, 245625.53966562773 7081750.982516297, 245625.5545457906 7081751.028900866, 245627.74487685948 7081756.86286476, 245630.26043112492 7081763.695545454, 245631.87014065622 7081768.519394116, 245631.87065619006 7081768.520930727, 245633.06337569162 7081772.056961293, 245634.62897169997 7081779.094939298, 245635.20356067075 7081783.20239315, 245635.2136814593 7081783.25444535, 245635.22925790795 7081783.305132982, 245637.2129330745 7081788.719341911, 245638.49786226408 7081795.169241653, 245639.3239516885 7081800.090788944, 245639.32499636643 7081800.096788712, 245640.48076636562 7081806.503454726, 245641.60127025796 7081812.738514714, 245642.66499166476 7081819.247386574, 245643.81028769581 7081826.69703559, 245643.8117098889 7081826.70577086, 245644.69243379816 7081831.828976069, 245644.70192651474 7081836.896892098, 245644.70412584007 7081836.942810236, 245644.71053319133 7081836.988332299, 245645.31841896276 7081840.2219433505, 245645.7614311326 7081846.043769461, 245645.81781641097 7081851.565149763, 245645.81796618176 7081851.573303278, 245645.9782207791 7081857.614264211, 245645.98217862842 7081857.665165634, 245645.99130661675 7081857.715398085, 245646.00550957132 7081857.76443782, 245646.02463940537 7081857.811773524, 245647.42363811165 7081860.821299663, 245644.9833046011 7081861.328556827, 245644.9283390915 7081861.343289653, 245644.87540361512 7081861.36417263, 245643.48494765323 7081862.006399983, 245643.90426333863 7081862.914240473, 245645.24280545692 7081862.295991219))</t>
  </si>
  <si>
    <t>['FV710 S10D1 m1712-1770']</t>
  </si>
  <si>
    <t>LINESTRING Z (245633.43035104257 7081878.478790899 54.728, 245625.8037233543 7081880.392617011 57.968, 245625.86448951077 7081885.397893602 58.508, 245627.03815488316 7081896.080703736 59.008, 245626.14922386847 7081901.599771097 59.848, 245626.93738811088 7081907.58650253 60.118, 245627.1643749396 7081912.888698316 60.528, 245627.54181694513 7081918.77032657 61.128, 245628.98433984484 7081922.45132957 61.208, 245631.15914787902 7081925.426454992 61.318, 245631.37044923467 7081927.175444752 61.428, 245631.33082345984 7081931.948404653 61.898, 245629.7602398822 7081932.365202606 62.298, 245629.31051778328 7081934.4825579515 62.618, 245630.07457389688 7081937.981170653 62.608, 245630.743714449 7081940.032016781 62.358, 245633.68588001968 7081944.567531001 62.178, 245634.88936422826 7081942.806803128 61.548, 245636.056872737 7081939.583177206 59.908, 245637.65816765555 7081937.778050624 58.838, 245637.06409465222 7081935.550022011 58.198, 245637.68561381416 7081935.305561885 57.658, 245638.8361052675 7081937.46545213 56.578, 245639.76582645677 7081937.766718045 55.968, 245640.12893477373 7081937.785563189 55.718, 245641.54743403164 7081937.351776841 54.838)</t>
  </si>
  <si>
    <t>POLYGON ((245625.68202652928 7081879.907653216, 245625.6363349298 7081879.921468292, 245625.59216896107 7081879.939577566, 245625.5499311656 7081879.961815984, 245625.5100065119 7081879.987980858, 245625.47275888585 7081880.017833713, 245625.43852777404 7081880.051102461, 245625.40762516955 7081880.08748388, 245625.38033272844 7081880.126646378, 245625.3568992026 7081880.168233016, 245625.33753817255 7081880.21186476, 245625.3224261008 7081880.257143937, 245625.31170072357 7081880.303657859, 245625.30545979526 7081880.350982582, 245625.30376019768 7081880.398686774, 245625.36452635415 7081885.403963365, 245625.36748003698 7081885.452497475, 245626.5337532451 7081896.068023451, 245625.65558586904 7081901.520263076, 245625.6502104337 7081901.568376959, 245625.64951343113 7081901.616785174, 245625.65350139595 7081901.665033876, 245626.43878845486 7081907.629910822, 245626.66483248412 7081912.910083712, 245626.66540131558 7081912.9207189735, 245627.0428433211 7081918.802347227, 245627.04879129928 7081918.853547435, 245627.05997883817 7081918.903863226, 245627.07628704363 7081918.952759875, 245628.51880994334 7081922.633762876, 245628.5361810078 7081922.67303581, 245628.55685790197 7081922.710673335, 245628.5806881036 7081922.746397819, 245630.67842214543 7081925.616086444, 245630.87019933257 7081927.203470185, 245630.8340063928 7081931.56294204, 245629.63199018885 7081931.881930409, 245629.58429441764 7081931.8971821, 245629.53836337992 7081931.917128039, 245629.49465776415 7081931.941568166, 245629.45361593773 7081931.970257347, 245629.4156495503 7081932.002907832, 245629.3811394048 7081932.039192134, 245629.35043163816 7081932.078746321, 245629.3238342493 7081932.121173666, 245629.30161401015 7081932.166048622, 245629.28399378972 7081932.212921092, 245629.2711503188 7081932.261320947, 245628.82142821988 7081934.3786762925, 245628.8131786375 7081934.431043156, 245628.81051983152 7081934.483989119, 245628.8134816907 7081934.536918991, 245628.82203091966 7081934.589237772, 245629.58608703327 7081938.087850474, 245629.5992353797 7081938.136261898, 245630.2683759318 7081940.187108026, 245630.28358911263 7081940.227681481, 245630.30225810362 7081940.26678538, 245630.32424268988 7081940.30412603, 245633.26640826056 7081944.8396402495, 245633.29514728437 7081944.879505246, 245633.32766102 7081944.916356385, 245633.36363536533 7081944.949837661, 245633.40272278656 7081944.979625627, 245633.44454567594 7081945.005432514, 245633.48869999932 7081945.027009008, 245633.53475919954 7081945.044146672, 245633.58227831722 7081945.056679943, 245633.63079828926 7081945.064487742, 245633.67985038375 7081945.067494643, 245633.72896072813 7081945.065671596, 245633.7776548871 7081945.059036213, 245633.825462446 7081945.047652596, 245633.87192155523 7081945.031630717, 245633.91658339204 7081945.011125359, 245633.95901649637 7081944.986334613, 245633.99881093908 7081944.957497973, 245634.0355822821 7081944.92489402, 245634.06897529223 7081944.888837727, 245634.09866737312 7081944.849677418, 245635.3021515817 7081943.088949545, 245635.3243766942 7081943.053306991, 245635.34353175442 7081943.015924763, 245635.3594815777 7081942.977066682, 245636.49440792052 7081939.843403886, 245638.0322077572 7081938.109854787, 245638.06305997347 7081938.07141424, 245638.0899773897 7081938.030122744, 245638.1126984186 7081937.986381575, 245638.13100225406 7081937.940615818, 245638.14471101682 7081937.89327023, 245638.15369148322 7081937.844804921, 245638.15785637984 7081937.795690885, 245638.15716523165 7081937.746405418, 245638.15162475526 7081937.697427483, 245638.14128879397 7081937.649233056, 245637.91456902627 7081936.798936667, 245638.39480584272 7081937.700515564, 245638.41936921127 7081937.741732892, 245638.4477702641 7081937.780405976, 245638.47974745856 7081937.816178679, 245638.51500631965 7081937.848721572, 245638.5532221517 7081937.877734973, 245638.59404302863 7081937.902951699, 245638.63709303463 7081937.92413953, 245638.6819757262 7081937.941103351, 245639.6116969155 7081938.242369266, 245639.6536920704 7081938.25398171, 245639.69653874778 7081938.261893987, 245639.73991157993 7081938.266046013, 245640.1030198969 7081938.2848911565, 245640.14658315497 7081938.285251626, 245640.1900124345 7081938.281818687, 245640.23297803992 7081938.274618399, 245640.27515379564 7081938.263705424, 245641.69365305355 7081937.8299190765, 245641.40121500974 7081936.873634606, 245640.06691728433 7081937.281671574, 245639.8574054696 7081937.270798014, 245639.18242545114 7081937.05207817, 245638.12691323893 7081935.070498452, 245638.10205302626 7081935.028833891, 245638.0732716791 7081934.989774964, 245638.0408401986 7081934.953689443, 245638.00506395512 7081934.920917104, 245637.96627981286 7081934.891766529, 245637.924852958 7081934.866512193, 245637.88117346013 7081934.84539189, 245637.8356525994 7081934.828604484, 245637.78871899404 7081934.816308043, 245637.74081456443 7081934.80861835, 245637.6923903721 7081934.805607809, 245637.64390237263 7081934.807304767, 245637.5958071224 7081934.813693246, 245637.54855747966 7081934.824713093, 245637.50259834054 7081934.840260546, 245636.8810791786 7081935.084720671, 245636.8368276216 7081935.104657332, 245636.79471752973 7081935.128790524, 245636.7551456931 7081935.156892845, 245636.71848498457 7081935.188699499, 245636.6850808464 7081935.22391078, 245636.65524803515 7081935.262194904, 245636.629267656 7081935.303191131, 245636.60738451377 7081935.346513167, 245636.58980480643 7081935.391752803, 245636.57669418195 7081935.438483759, 245636.5681761776 7081935.486265705, 245636.56433105582 7081935.534648406, 245636.565195048 7081935.583175968, 245636.57076001298 7081935.631391131, 245636.5809735138 7081935.678839578, 245637.10582246922 7081937.647248316, 245635.68283263536 7081939.251373043, 245635.65318128822 7081939.288163284, 245635.62713526766 7081939.327588264, 245635.6049271881 7081939.369295882, 245635.58675538757 7081939.412913652, 245634.44082290385 7081942.576965675, 245633.69675802716 7081943.6655514315, 245631.19877104936 7081939.814763573, 245630.5577024017 7081937.84995491, 245629.82198255448 7081934.481093963, 245630.18548818192 7081932.769657977, 245631.45907315318 7081932.43167685, 245631.50679060692 7081932.416417006, 245631.55274147846 7081932.39645866, 245631.5964644545 7081932.372002177, 245631.6375205881 7081932.343293082, 245631.67549770552 7081932.310619595, 245631.7100145442 7081932.274309734, 245631.74072458013 7081932.234728022, 245631.76731950688 7081932.192271831, 245631.78953233073 7081932.147367393, 245631.8071400511 7081932.100465512, 245631.81996589922 7081932.052037051, 245631.827881113 7081932.0025681965, 245631.83080622935 7081931.952555579, 245631.8704320042 7081927.179595678, 245631.86683973196 7081927.11547414, 245631.6555383763 7081925.36648438, 245631.64683000057 7081925.316154728, 245631.63303235036 7081925.266976129, 245631.6142894129 7081925.219461794, 245631.5907967827 7081925.174107565, 245631.56279962027 7081925.131386743, 245629.4262286985 7081922.20856948, 245628.03579700322 7081918.660491843, 245627.66368961782 7081912.86199226, 245627.43693056636 7081907.565117134, 245627.4331105834 7081907.521239751, 245626.65449609046 7081901.607046227, 245627.5317928826 7081896.160211758, 245627.5369308277 7081896.115668821, 245627.5380576731 7081896.0708447, 245627.53516435696 7081896.026099863, 245626.36415718234 7081885.36748489, 245626.30848086328 7081880.78145555, 245633.5520478676 7081878.963754694, 245633.30865421754 7081877.993827104, 245625.68202652928 7081879.907653216))</t>
  </si>
  <si>
    <t>['FV714 S3D1 m696-1139']</t>
  </si>
  <si>
    <t>LINESTRING Z (228235.41377857554 7041443.164211625 -999999, 228243.7859894295 7041445.697040225 -999999, 228256.73464130214 7041444.582238326 -999999, 228264.9826037322 7041440.889647783 -999999, 228276.40294482734 7041431.471099889 -999999, 228294.4704653276 7041418.778959861 -999999, 228312.66295129707 7041407.421698866 -999999, 228334.35650289344 7041392.639943468 -999999, 228352.47194097325 7041374.089173462 -999999, 228373.64337725157 7041351.609959664 -999999, 228388.42199348204 7041338.508088811 -999999, 228403.49945321307 7041319.546064489 -999999, 228415.4688982786 7041310.090302386 -999999, 228428.65340323996 7041303.783555237 -999999, 228447.73516078573 7041294.940604383 -999999, 228458.39752048597 7041283.016573433 -999999, 228460.05276013725 7041270.632822157 -999999, 228462.78541984846 7041258.166355188 -999999, 228470.53734406363 7041245.679490338 -999999, 228486.30960656184 7041234.671215162 -999999, 228504.53898525325 7041222.226274361 -999999, 228513.899742714 7041214.079654615 -999999, 228522.23179928103 7041208.3312674 -999999, 228532.11518937914 7041206.255253928 -999999, 228538.8890442727 7041202.820138543 -999999, 228549.71168500296 7041197.540190817 -999999, 228557.37587414368 7041191.849304054 -999999, 228565.7879387245 7041185.280626931 -999999, 228578.71755610377 7041176.0133570265 -999999, 228584.6527674438 7041167.619387113 -999999, 228587.26369848504 7041163.186995487 -999999, 228579.13245947234 7041168.2352308715 -999999, 228555.59131453274 7041183.718263685 -999999, 228532.23778028844 7041198.231156066 -999999, 228507.66641237354 7041214.34516256 -999999, 228483.5057829172 7041230.564401165 -999999, 228446.3456847128 7041253.606683566 -999999, 228420.47666542424 7041268.87843227 -999999, 228387.65818583925 7041288.695009342 -999999, 228364.0574778827 7041303.369801794 -999999, 228348.34270627552 7041315.045960245 -999999, 228326.29828411026 7041332.167581398 -999999, 228306.06456849095 7041349.675588369 -999999, 228294.27018873394 7041361.164866641 -999999, 228290.52262399433 7041366.508533541 -999999, 228295.76521822234 7041364.299821126 -999999, 228304.45706010156 7041359.464395248 -999999, 228310.8900254683 7041358.3682882115 -999999, 228311.927775382 7041364.1234181365 -999999, 228305.7371536045 7041371.183723604 -999999, 228298.7387789294 7041376.676717623 -999999, 228293.64035914897 7041377.527383006 -999999, 228285.0559841168 7041377.312447745 -999999, 228282.74066104967 7041375.613834285 -999999, 228290.52262399433 7041366.508533541 -999999, 228281.9812971144 7041374.7252156455 -999999, 228271.97392785322 7041387.958595593 -999999, 228258.3022385132 7041405.9862087 -999999, 228245.81062425952 7041425.0068119615 -999999, 228238.77462801425 7041436.478072899 -999999, 228235.41377857554 7041443.164211625 -999999)</t>
  </si>
  <si>
    <t>2019-07-26</t>
  </si>
  <si>
    <t>['EV6 S141D1 m54-68']</t>
  </si>
  <si>
    <t>LINESTRING Z (518396.98811603227 7459133.933735481 3.177, 518400.23050903215 7459133.490000576 3.187, 518404.741312268 7459133.186426333 3.177, 518413.8070456573 7459134.548916671 2.817, 518417.85661866865 7459135.661114218 2.827, 518423.7351664992 7459136.818020124 3.077, 518430.41144103 7459138.221258739 2.807, 518431.85872840945 7459138.492811715 3.037, 518435.4085156225 7459139.600987092 3.007, 518440.75340852805 7459139.993874587 3.197, 518442.3549963193 7459140.966414837 3.097)</t>
  </si>
  <si>
    <t>POLYGON ((518400.2812535232 7459133.987716526, 518404.7207036093 7459133.688944305, 518413.70331473934 7459135.038942188, 518417.72419927816 7459136.14326057, 518417.7600699552 7459136.1517040115, 518423.6354658382 7459137.30798961, 518430.30859670875 7459138.710567482, 518430.31923555763 7459138.712683353, 518431.73771179083 7459138.978830525, 518435.25951693126 7459140.078270435, 518435.315075944 7459140.092178527, 518435.3718609746 7459140.099641718, 518440.59674517356 7459140.483707723, 518442.09547846246 7459141.393791114, 518442.6145141761 7459140.53903856, 518441.01292638486 7459139.56649831, 518440.97145523515 7459139.543923886, 518440.928039579 7459139.525362051, 518440.88306659047 7459139.510978338, 518440.83693733165 7459139.500901019, 518440.79006317595 7459139.495219961, 518435.50257236056 7459139.106551926, 518432.0077271007 7459138.015528372, 518431.9509338818 7459138.001387102, 518430.50897741126 7459137.730834358, 518423.83801082044 7459136.328711381, 518423.83171521267 7459136.32743033, 518417.9712584065 7459135.174084761, 518413.9394650478 7459134.066770319, 518413.88135618274 7459134.05446956, 518404.81562279345 7459132.691979222, 518404.7618004412 7459132.686846275, 518404.70773852535 7459132.687554803, 518400.1969352895 7459132.991129045, 518400.16271388653 7459132.994618079, 518396.92032088665 7459133.438352984, 518397.0559111779 7459134.429117979, 518400.2812535232 7459133.987716526))</t>
  </si>
  <si>
    <t>['EV6 S140D1 m12873-12878', 'EV6 S141D1 m0-2']</t>
  </si>
  <si>
    <t>LINESTRING Z (518416.36533882207 7459078.749808861 4.358, 518414.38876112766 7459078.414018128 4.368, 518411.4338903064 7459077.910412475 4.308, 518407.5008068064 7459077.228996186 4.378, 518403.55941690935 7459076.337589415 4.478, 518400.2965290914 7459075.6015885435 4.528, 518396.9514231312 7459075.14482419 4.538)</t>
  </si>
  <si>
    <t>POLYGON ((518414.4726336436 7459077.921102903, 518411.51857022604 7459077.417634858, 518407.59869601676 7459076.738507111, 518403.66971398704 7459075.849906572, 518400.406548549 7459075.113842996, 518400.36417489796 7459075.106185632, 518397.01906893775 7459074.649421278, 518396.8837773247 7459075.640227102, 518400.2075314402 7459076.094075924, 518403.4492585571 7459076.825303633, 518407.3905097287 7459077.716679028, 518407.41545213835 7459077.721656901, 518411.34853563836 7459078.40307319, 518411.3498854381 7459078.403305142, 518414.3047562594 7459078.906910796, 518416.28159621207 7459079.242746155, 518416.4490814321 7459078.256871567, 518414.4726336436 7459077.921102903))</t>
  </si>
  <si>
    <t>['EV6 S140D1 m12867-12878', 'EV6 S141D1 m0-14']</t>
  </si>
  <si>
    <t>LINESTRING Z (518420.84248019423 7459090.081731286 2.508, 518417.3914617616 7459085.39565257 2.888, 518412.8107274772 7459083.209569511 2.848, 518408.098761791 7459081.18237216 2.708, 518401.6865589848 7459079.261448037 2.568, 518398.134760714 7459078.4031657055 2.678, 518397.28906654025 7459077.906537902 2.808, 518396.34124322934 7459077.678990016 2.918, 518393.78853395424 7459076.88872633 3.178, 518388.1875333818 7459076.0239488175 3.148, 518380.2759939102 7459075.330507497 3.278, 518366.7910070742 7459072.83285224 3.278)</t>
  </si>
  <si>
    <t>POLYGON ((518417.79406687076 7459085.099157838, 518417.7630742537 7459085.061131785, 518417.72850446036 7459085.026325859, 518417.69069026294 7459084.995075107, 518417.64999566437 7459084.96768035, 518417.6068123945 7459084.944405293, 518413.0260781101 7459082.758322234, 518413.0083278995 7459082.750272142, 518408.2963622133 7459080.723074791, 518408.2422481784 7459080.703402791, 518401.8300453722 7459078.782478668, 518401.80400230584 7459078.775436652, 518398.3241381074 7459077.934536993, 518397.5422586173 7459077.475383901, 518397.4986507923 7459077.452583673, 518397.45301294036 7459077.434180433, 518397.40578710835 7459077.420352434, 518396.47367448854 7459077.196576279, 518393.93639961834 7459076.411090752, 518393.8648284247 7459076.394581459, 518388.26382785226 7459075.529803947, 518388.2311906828 7459075.525858424, 518380.34350705816 7459074.834508053, 518366.8820670544 7459072.34121408, 518366.69994709396 7459073.324490399, 518380.18493393 7459075.822145657, 518380.2323366092 7459075.828597891, 518388.1274926176 7459076.520603212, 518393.67584593216 7459077.3772521475, 518396.19337756524 7459078.156625594, 518396.22452266124 7459078.165175484, 518397.10001673456 7459078.3753589885, 518397.881568637 7459078.834319706, 518397.92495150125 7459078.857016005, 518397.97034617973 7459078.875360433, 518398.017317393 7459078.8891770905, 518401.55599910696 7459079.7442898415, 518407.92765109683 7459081.653066027, 518412.604173495 7459083.66501485, 518417.0631068152 7459085.792970324, 518420.4398750851 7459090.378226018, 518421.2450853034 7459089.785236554, 518417.79406687076 7459085.099157838))</t>
  </si>
  <si>
    <t>2019-08-05</t>
  </si>
  <si>
    <t>['S']</t>
  </si>
  <si>
    <t>['SV15 S1D1 m2552-2563']</t>
  </si>
  <si>
    <t>LINESTRING Z (201376.63 6625925.66 232.41, 201381.43 6625916 228.52)</t>
  </si>
  <si>
    <t>POLYGON ((201381.87776844593 6625916.222493637, 201380.98223155405 6625915.777506363, 201376.18223155406 6625925.437506363, 201377.07776844595 6625925.8824936375, 201381.87776844593 6625916.222493637))</t>
  </si>
  <si>
    <t>['SV15 S1D1 m2514-2524']</t>
  </si>
  <si>
    <t>LINESTRING Z (201393.9 6625891.12 228.74, 201398.55 6625881.99 231.42)</t>
  </si>
  <si>
    <t>POLYGON ((201398.995542091 6625882.216919028, 201398.10445790898 6625881.763080972, 201393.45445790899 6625890.893080972, 201394.345542091 6625891.346919028, 201398.995542091 6625882.216919028))</t>
  </si>
  <si>
    <t>['EV134 S42D1 m15275-15291']</t>
  </si>
  <si>
    <t>LINESTRING Z (201704.66 6626087.58 222.59, 201690.66 6626078.34 216.37)</t>
  </si>
  <si>
    <t>POLYGON ((201690.93542110416 6626077.922695297, 201690.38457889584 6626078.757304703, 201704.38457889584 6626087.997304703, 201704.93542110416 6626087.162695297, 201690.93542110416 6626077.922695297))</t>
  </si>
  <si>
    <t>['EV134 S42D1 m16291-16304']</t>
  </si>
  <si>
    <t>LINESTRING Z (202608.68 6626504.41 195.792, 202621.54 6626507.84 192.452)</t>
  </si>
  <si>
    <t>POLYGON ((202621.41114529295 6626508.323111234, 202621.66885470707 6626507.3568887655, 202608.80885470705 6626503.926888766, 202608.55114529293 6626504.8931112345, 202621.41114529295 6626508.323111234))</t>
  </si>
  <si>
    <t>[286]</t>
  </si>
  <si>
    <t>['FV286 S1D1 m3581-3586']</t>
  </si>
  <si>
    <t>LINESTRING Z (201797.94 6626208.33 211.831, 201802.29 6626211.03 211.051)</t>
  </si>
  <si>
    <t>POLYGON ((201802.02631856911 6626211.454820083, 201802.5536814309 6626210.605179917, 201798.2036814309 6626207.905179917, 201797.6763185691 6626208.754820083, 201802.02631856911 6626211.454820083))</t>
  </si>
  <si>
    <t>['EV134 S42D1 m12231-12235']</t>
  </si>
  <si>
    <t>LINESTRING Z (201254.67 6625877.99 228.239, 201252.71 6625878.93 228.219, 201251.56 6625882.36 228.509, 201249.21 6625885.16 228.629, 201243.75 6625887 229.919)</t>
  </si>
  <si>
    <t>POLYGON ((201252.4937840341 6625878.479166709, 201252.44985015006 6625878.503008132, 201252.40851630727 6625878.531117081, 201252.3701956126 6625878.563212625, 201252.33527105834 6625878.598973989, 201252.30409169442 6625878.6380437575, 201252.2769691398 6625878.680031453, 201252.2541744681 6625878.724517435, 201252.2359354983 6625878.771057091, 201251.11607028136 6625882.111176825, 201248.9172739087 6625884.731019312, 201243.59032493565 6625886.526181603, 201243.90967506435 6625887.473818397, 201249.36967506434 6625885.633818397, 201249.41218760615 6625885.6172965905, 201249.45301771542 6625885.596969553, 201249.491825639 6625885.573006428, 201249.52828845053 6625885.545606616, 201249.56210273763 6625885.514998116, 201249.5929871269 6625885.481435625, 201251.9429871269 6625882.681435625, 201251.97137745298 6625882.644198155, 201251.99615976898 6625882.604468108, 201252.01711671992 6625882.56259394, 201252.0340645017 6625882.518942909, 201253.1168542756 6625879.289404714, 201254.8862159659 6625878.440833291, 201254.45378403412 6625877.539166709, 201252.4937840341 6625878.479166709))</t>
  </si>
  <si>
    <t>['EV134 S42D260 m218-220']</t>
  </si>
  <si>
    <t>LINESTRING Z (201644.63 6626096.37 215.73, 201648.21 6626101.04 215.57)</t>
  </si>
  <si>
    <t>POLYGON ((201647.81318314344 6626101.344197933, 201648.60681685654 6626100.735802067, 201645.02681685655 6626096.0658020675, 201644.23318314346 6626096.674197933, 201647.81318314344 6626101.344197933))</t>
  </si>
  <si>
    <t>['EV134 S42D1 m15330 KD3 m409-418']</t>
  </si>
  <si>
    <t>LINESTRING Z (201647.43 6626197.25 216.611, 201641.31 6626197.46 216.781)</t>
  </si>
  <si>
    <t>POLYGON ((201641.29285322886 6626196.960294099, 201641.32714677113 6626197.959705901, 201647.44714677113 6626197.749705901, 201647.41285322886 6626196.750294099, 201641.29285322886 6626196.960294099))</t>
  </si>
  <si>
    <t>['EV134 S42D1 m15330 KD3 m369-375']</t>
  </si>
  <si>
    <t>LINESTRING Z (201679 6626204.14 215.771, 201684.37 6626205.29 215.541)</t>
  </si>
  <si>
    <t>POLYGON ((201684.2652976339 6626205.778914527, 201684.4747023661 6626204.801085473, 201679.1047023661 6626203.651085473, 201678.8952976339 6626204.628914527, 201684.2652976339 6626205.778914527))</t>
  </si>
  <si>
    <t>['FV286 S1D1 m3541-3547']</t>
  </si>
  <si>
    <t>LINESTRING Z (201761.93 6626213.11 213.961, 201756.25 6626212.9 214.111)</t>
  </si>
  <si>
    <t>POLYGON ((201756.26847329407 6626212.400341379, 201756.23152670593 6626213.399658621, 201761.91152670592 6626213.609658621, 201761.94847329406 6626212.610341379, 201756.26847329407 6626212.400341379))</t>
  </si>
  <si>
    <t>['FV286 S1D1 m3760-3763']</t>
  </si>
  <si>
    <t>LINESTRING Z (201971.21 6626289.21 206.661, 201971.23 6626293.43 206.561)</t>
  </si>
  <si>
    <t>POLYGON ((201970.73000561525 6626293.432369641, 201971.72999438478 6626293.427630358, 201971.70999438476 6626289.207630359, 201970.71000561523 6626289.212369641, 201970.73000561525 6626293.432369641))</t>
  </si>
  <si>
    <t>['FV286 S1D1 m3969-3975']</t>
  </si>
  <si>
    <t>LINESTRING Z (202143.39 6626377.96 201.872, 202137.91 6626377.2 202.322)</t>
  </si>
  <si>
    <t>POLYGON ((202137.97868566704 6626376.704740191, 202137.84131433297 6626377.6952598095, 202143.32131433298 6626378.455259809, 202143.45868566705 6626377.464740191, 202137.97868566704 6626376.704740191))</t>
  </si>
  <si>
    <t>['EV134 S42D1 m15827-15833']</t>
  </si>
  <si>
    <t>LINESTRING Z (202187.45 6626315.69 201.881, 202192.02 6626319.52 201.941)</t>
  </si>
  <si>
    <t>POLYGON ((202191.69883680795 6626319.90321561, 202192.34116319203 6626319.136784389, 202187.77116319205 6626315.30678439, 202187.12883680797 6626316.073215611, 202191.69883680795 6626319.90321561))</t>
  </si>
  <si>
    <t>['EV134 S42D1 m15883-15896']</t>
  </si>
  <si>
    <t>LINESTRING Z (202236.81 6626339.78 201.162, 202248.65 6626344.87 200.922)</t>
  </si>
  <si>
    <t>POLYGON ((202248.4525254164 6626345.329351488, 202248.8474745836 6626344.410648513, 202237.0074745836 6626339.320648513, 202236.6125254164 6626340.239351488, 202248.4525254164 6626345.329351488))</t>
  </si>
  <si>
    <t>['FV286 S1D1 m4127-4135']</t>
  </si>
  <si>
    <t>LINESTRING Z (202293.28 6626420.5 198.532, 202300.61 6626424 198.412)</t>
  </si>
  <si>
    <t>POLYGON ((202300.39455544954 6626424.451202444, 202300.82544455043 6626423.548797556, 202293.49544455044 6626420.048797556, 202293.06455544956 6626420.951202444, 202300.39455544954 6626424.451202444))</t>
  </si>
  <si>
    <t>['FV286 S1D1 m4214-4223']</t>
  </si>
  <si>
    <t>LINESTRING Z (202382.13 6626462.35 196.182, 202374.59 6626456.94 196.402)</t>
  </si>
  <si>
    <t>POLYGON ((202374.88148486888 6626456.533753066, 202374.29851513111 6626457.3462469345, 202381.83851513112 6626462.756246934, 202382.4214848689 6626461.943753066, 202374.88148486888 6626456.533753066))</t>
  </si>
  <si>
    <t>['EV134 S42D1 m16182-16187']</t>
  </si>
  <si>
    <t>LINESTRING Z (202520.26 6626422.64 188.982, 202523.51 6626429.23 188.902)</t>
  </si>
  <si>
    <t>POLYGON ((202523.06156826243 6626429.45115374, 202523.95843173758 6626429.008846261, 202520.70843173758 6626422.41884626, 202519.81156826243 6626422.8611537395, 202523.06156826243 6626429.45115374))</t>
  </si>
  <si>
    <t>['EV134 S42D1 m16383-16402']</t>
  </si>
  <si>
    <t>LINESTRING Z (202716.25 6626531.51 195.693, 202697.65 6626527.07 191.853)</t>
  </si>
  <si>
    <t>POLYGON ((202697.7660930365 6626526.583664306, 202697.53390696348 6626527.556335694, 202716.13390696349 6626531.996335694, 202716.36609303651 6626531.023664306, 202697.7660930365 6626526.583664306))</t>
  </si>
  <si>
    <t>2019-08-12</t>
  </si>
  <si>
    <t>[5777, 5190]</t>
  </si>
  <si>
    <t>['KV5777 S1D1 m32-68', 'FV5190 S1D1 m2743-2870']</t>
  </si>
  <si>
    <t>LINESTRING Z (-32275.36 6723111.99 126.227, -32274.87 6723113.07 125.987, -32274.32 6723115.91 125.787, -32273.81 6723119.28 125.517, -32273.76 6723122.04 125.217, -32273.84 6723123.63 125.367, -32273.27 6723125.34 125.407, -32273.39 6723127.78 124.987, -32273.17 6723129.67 124.977, -32273.03 6723131.62 124.837, -32272.74 6723133.6 124.797, -32272.85 6723136.67 124.617, -32273.02 6723138.41 124.587, -32273.86 6723141.22 124.447, -32274 6723146.1 124.347, -32273.91 6723149.85 124.177, -32273.68 6723153.92 124.047, -32273.95 6723156.29 123.937, -32273.52 6723160.5 123.957, -32274.47 6723164.97 123.607, -32274.96 6723167.13 123.627, -32274.86 6723168.96 123.437, -32274.43 6723173.62 123.277, -32274.09 6723177.09 123.127, -32273.35 6723181.24 122.637, -32273.6 6723183.67 122.817, -32274.18 6723186.74 122.407, -32274.88 6723190.46 122.107, -32274.72 6723191.89 121.887, -32274.28 6723193.05 121.827, -32273.87 6723195.55 121.327, -32273.95 6723199.46 120.897, -32273.79 6723202.96 120.397, -32273.34 6723205.26 120.007, -32273.01 6723208.86 119.397, -32272.6 6723211.66 118.677, -32271.63 6723217.58 117.397, -32271.75 6723221.1 117.037, -32271.93 6723223.91 116.397, -32273.45 6723227.26 116.007, -32273.46 6723230.12 115.757, -32273.09 6723232.89 115.517, -32273.37 6723234.5 115.357, -32274.11 6723236.53 115.207, -32276.07 6723239.08 114.857, -32277.52 6723240.54 114.727, -32278.29 6723241.19 114.927)</t>
  </si>
  <si>
    <t>POLYGON ((-32275.349675283633 6723113.222919301, -32274.812833295175 6723115.994976114, -32274.30931900454 6723119.322119564, -32274.26022776263 6723122.031956117, -32274.339368312747 6723123.60487455, -32274.339543529655 6723123.65136029, -32274.335400782875 6723123.697661394, -32274.326975881573 6723123.743377646, -32274.314341649024 6723123.788113883, -32273.774003992265 6723125.409126853, -32273.88939641853 6723127.755439521, -32273.889721637555 6723127.796681875, -32273.88664667539 6723127.837810724, -32273.667924752885 6723129.716830876, -32273.528716334462 6723131.655805276, -32273.524721797206 6723131.692459254, -32273.241306303724 6723133.627502968, -32273.34912794664 6723136.636707001, -32273.512922126254 6723138.313188605, -32274.339053677482 6723141.076795341, -32274.349711740924 6723141.119092068, -32274.356642887808 6723141.162156746, -32274.359794369062 6723141.205661637, -32274.49979436906 6723146.085661637, -32274.49985606218 6723146.111996545, -32274.40985606218 6723149.861996545, -32274.409203532257 6723149.8782105185, -32274.18160559849 6723153.90570439, -32274.446786573608 6723156.233404061, -32274.449991517093 6723156.287087469, -32274.447412198813 6723156.340804571, -32274.025381733187 6723160.47277727, -32274.958366484752 6723164.862716048, -32275.447610739673 6723167.0193846, -32275.455747127053 6723167.064924766, -32275.459639705878 6723167.111022005, -32275.459255153917 6723167.157281702, -32275.35925515392 6723168.987281702, -32275.35788484371 6723169.005942164, -32274.92788484371 6723173.665942164, -32274.927616992274 6723173.6687578615, -32274.587616992274 6723177.138757861, -32274.582235764505 6723177.177772161, -32273.854559072293 6723181.258661719, -32274.09521906347 6723183.597876833, -32274.671308807472 6723186.647179443, -32275.37137617542 6723190.367536741, -32275.378115172505 6723190.416626334, -32275.379962275758 6723190.466141891, -32275.376899345127 6723190.515597129, -32275.216899345127 6723191.945597129, -32275.21051111955 6723191.986947623, -32275.20068799613 6723192.027619222, -32275.187498763167 6723192.067327117, -32274.765290039733 6723193.1804228425, -32274.37083391635 6723195.585643107, -32274.449895376285 6723199.449771961, -32274.449478368457 6723199.482833297, -32274.289478368457 6723202.982833297, -32274.286437343497 6723203.019581574, -32274.28069632743 6723203.056005803, -32273.835587260928 6723205.331007699, -32273.50791245228 6723208.905641975, -32273.504724355986 6723208.932441781, -32273.094724355986 6723211.732441781, -32273.09342037488 6723211.740847595, -32272.131388734415 6723217.612215958, -32272.249455074532 6723221.075495267, -32272.423128291273 6723223.786727151, -32273.90532277606 6723227.053405785, -32273.924564432695 6723227.102556044, -32273.938517563573 6723227.153460852, -32273.947026675614 6723227.205552927, -32273.949996943644 6723227.258251758, -32273.959996943642 6723230.118251759, -32273.9555983106 6723230.186199052, -32273.595771943088 6723232.880034289, -32273.854988156094 6723234.370527515, -32274.55337637666 6723236.286376283, -32276.44710699208 6723238.75015846, -32277.85929877928 6723240.172089501, -32278.61252603798 6723240.807930694, -32277.96747396202 6723241.572069307, -32277.19747396202 6723240.9220693065, -32277.16523374402 6723240.89233635, -32275.71523374402 6723239.43233635, -32275.673572448974 6723239.384705098, -32273.713572448974 6723236.8347050985, -32273.684628312873 6723236.792790654, -32273.660098826385 6723236.748148881, -32273.640238564865 6723236.701243085, -32272.900238564864 6723234.671243085, -32272.886917839158 6723234.628963661, -32272.877394122585 6723234.585670588, -32272.597394122586 6723232.975670587, -32272.59124314748 6723232.925236374, -32272.590242224625 6723232.8744383175, -32272.5944016894 6723232.8238009475, -32272.95988374256 6723230.087624496, -32272.95037792577 6723227.368960893, -32271.47467722394 6723224.116594215, -32271.45786998829 6723224.074600279, -32271.444926615128 6723224.031259273, -32271.435953031636 6723223.986925893, -32271.431022676694 6723223.94196296, -32271.251022676694 6723221.13196296, -32271.250290294513 6723221.1170355575, -32271.130290294514 6723217.597035558, -32271.131028941658 6723217.547939386, -32271.13657962512 6723217.499152405, -32272.10589188109 6723211.583349771, -32272.513319817328 6723208.800915085, -32272.842087547717 6723205.214358025, -32272.84930367257 6723205.163994197, -32273.29220897979 6723202.90025596, -32273.4497662592 6723199.453690473, -32273.370104623715 6723195.560228039, -32273.371261414286 6723195.514506013, -32273.376591333683 6723195.469080978, -32273.786591333683 6723192.969080978, -32273.797134177858 6723192.920228671, -32273.812501236833 6723192.872672883, -32274.23011833549 6723191.77168235, -32274.37477126455 6723190.478846797, -32273.688657469378 6723186.832642057, -32273.108691192527 6723183.762820557, -32273.10262528539 6723183.721170238, -32272.85262528539 6723181.2911702385, -32272.85002269122 6723181.244763477, -32272.85174062307 6723181.198315551, -32272.857764235494 6723181.152227839, -32273.594304762002 6723177.0216289405, -32273.932245100215 6723173.5726496065, -32274.36125539544 6723168.923375244, -32274.45693270936 6723167.1724804, -32273.982389260327 6723165.080615399, -32273.980923355437 6723165.073942463, -32273.030923355436 6723160.603942463, -32273.02278945912 6723160.552741616, -32273.020000948203 6723160.500973756, -32273.022587801188 6723160.449195429, -32273.44709952555 6723156.292929476, -32273.183213426393 6723153.976595939, -32273.180202934625 6723153.9342440665, -32273.180796467743 6723153.891789481, -32273.410338632566 6723149.829891173, -32273.499827899414 6723146.101171721, -32273.362093290354 6723141.300136777, -32272.54094632252 6723138.553204658, -32272.529373218975 6723138.506360582, -32272.522369429014 6723138.458619079, -32272.352369429012 6723136.718619078, -32272.3503206496 6723136.687903821, -32272.240320649602 6723133.61790382, -32272.24075078182 6723133.572609889, -32272.245278202794 6723133.527540746, -32272.532604740016 6723131.565794044, -32272.671283665535 6723129.634194724, -32272.673353324608 6723129.612189276, -32272.88857246829 6723127.7632611785, -32272.77060358147 6723125.364560479, -32272.770474774443 6723125.318215854, -32272.77463757032 6723125.272058384, -32272.783056205004 6723125.226484624, -32272.795658350977 6723125.181886117, -32273.33590341004 6723123.56115094, -32273.26063168725 6723122.06512545, -32273.26008202665 6723122.030943515, -32273.31008202665 6723119.270943515, -32273.31562908698 6723119.205184224, -32273.82562908698 6723115.835184224, -32273.829120479546 6723115.814935304, -32274.379120479545 6723112.974935304, -32274.393621932544 6723112.918131844, -32274.41467248869 6723112.863416222, -32274.90467248869 6723111.783416222, -32275.81532751131 6723112.196583779, -32275.349675283633 6723113.222919301))</t>
  </si>
  <si>
    <t>2019-09-05</t>
  </si>
  <si>
    <t>['EV39 S61D201 m1260-1310', 'EV39 S61D201 m1433-1441', 'EV39 S61D1 m4972-4979']</t>
  </si>
  <si>
    <t>LINESTRING Z (9375.64 6827172.2 128.868, 9377.11 6827172.39 128.768, 9379.3 6827173.28 128.398, 9380.98 6827173.66 128.068, 9380.08 6827173.48 128.218, 9382.98 6827174.1 127.698, 9385.18 6827174.6 127.318, 9386.97 6827174.75 126.928, 9389.92 6827175.41 126.148, 9389.06 6827179.73 125.668, 9386.31 6827179.27 126.428, 9383.32 6827179.18 127.288, 9381.4 6827178.38 127.598, 9378.65 6827178.15 128.548, 9375.62 6827177.62 128.788, 9374.83 6827177.49 128.858, 9374.92 6827177.51 128.838, 9374.83 6827177.49 128.858, 9373.16 6827177.55 129.278, 9372.71 6827177.02 129.198, 9372.72 6827176.33 129.288, 9372.62 6827176.23 129.658, 9372.63 6827174.29 129.668, 9372.61 6827174.1 129.118, 9372.67 6827172.73 129.348, 9372.72 6827172.65 129.338, 9373.08 6827172.13 129.268, 9375.46 6827172.18 128.878, 9375.64 6827172.2 128.868)</t>
  </si>
  <si>
    <t>2019-09-19</t>
  </si>
  <si>
    <t>['FV156 S3D1 m5832-5837']</t>
  </si>
  <si>
    <t>LINESTRING Z (258257.55 6638276.45 88.1, 258259.06 6638271.27 87.8)</t>
  </si>
  <si>
    <t>POLYGON ((258259.54002075238 6638271.4099288285, 258258.57997924762 6638271.130071171, 258257.0699792476 6638276.310071171, 258258.03002075237 6638276.589928829, 258259.54002075238 6638271.4099288285))</t>
  </si>
  <si>
    <t>['FV156 S3D1 m5839-5845']</t>
  </si>
  <si>
    <t>LINESTRING Z (258255.23 6638283.81 88.7, 258256.64 6638278.6 88.45)</t>
  </si>
  <si>
    <t>POLYGON ((258257.12263752613 6638278.730617833, 258256.1573624739 6638278.469382166, 258254.7473624739 6638283.679382166, 258255.71263752613 6638283.940617833, 258257.12263752613 6638278.730617833))</t>
  </si>
  <si>
    <t>2019-10-24</t>
  </si>
  <si>
    <t>['FV421 S3D1 m918 KD1 m5-7']</t>
  </si>
  <si>
    <t>LINESTRING Z (146375.69508338976 6513855.787153899 114.552, 146376.12009154796 6513855.441048854 114.156, 146376.14255220199 6513855.423776781 114.142, 146376.30938080722 6513855.287856376 114.001, 146376.49677411886 6513855.135854126 113.79, 146377.0336979307 6513854.699403023 113.172, 146377.13253576297 6513854.61938144 113.061, 146377.28908201406 6513854.491501954 112.884, 146377.720774437 6513854.141729319 112.407, 146377.86613881245 6513854.022984081 112.286, 146378.0870777485 6513853.843579092 112.154, 146378.18312011193 6513853.765841074 112.06, 146378.63248486776 6513853.401273741 111.629, 146378.9270055123 6513853.161402807 111.476, 146379.15263586323 6513852.9785240255 111.372, 146379.56556262035 6513852.642646583 110.889, 146379.83871593955 6513852.420947247 110.637, 146380.45670833893 6513851.918272868 110.335, 146380.55734521343 6513851.836064632 110.31, 146380.8016443228 6513851.638294253 110.047, 146381.02258325665 6513851.458889273 109.822)</t>
  </si>
  <si>
    <t>POLYGON ((146376.43041385667 6513855.83315683, 146376.44734822863 6513855.820134426, 146376.45836910812 6513855.8114102185, 146376.62477860742 6513855.675831271, 146376.81175226634 6513855.524169419, 146376.8121576966 6513855.523840207, 146377.3487014168 6513855.08769807, 146377.44715864043 6513855.007984637, 146377.44885257853 6513855.006607049, 146377.60462483525 6513854.879359824, 146378.0355406077 6513854.530216458, 146378.03709125504 6513854.528954925, 146378.18188896842 6513854.410672583, 146378.40195544882 6513854.231976038, 146378.49769340554 6513854.154484411, 146378.49813448542 6513854.15412698, 146378.94749924124 6513853.789559647, 146378.94823522426 6513853.788961389, 146379.24229782197 6513853.549463509, 146379.46746958586 6513853.366956423, 146379.46814400275 6513853.36640882, 146379.88086329502 6513853.030700131, 146380.1538086825 6513852.809169559, 146380.1542222446 6513852.808833534, 146380.77221464398 6513852.3061591545, 146380.7730251454 6513852.3054984845, 146380.8728068943 6513852.223988784, 146381.11624769794 6513852.026913239, 146381.1168264348 6513852.026444012, 146381.33776536863 6513851.847039033, 146380.70740114467 6513851.070739513, 146380.48675157188 6513851.2499095285, 146380.2427418383 6513851.447445646, 146380.24102840695 6513851.448839015, 146380.14079630404 6513851.530716602, 146379.52341628773 6513852.032892869, 146379.2504698774 6513852.254424271, 146379.25005448083 6513852.254761788, 146378.83746480438 6513852.590365047, 146378.61217178966 6513852.772970409, 146378.6112551558 6513852.773715159, 146378.31710243115 6513853.013286443, 146377.86832597447 6513853.377376492, 146377.7725044549 6513853.454935756, 146377.77189562857 6513853.455429339, 146377.55095669252 6513853.634834328, 146377.5498219944 6513853.6357584745, 146377.40523173095 6513853.753871355, 146376.97431584337 6513854.103014815, 146376.9727651985 6513854.104276345, 146376.81706437247 6513854.2314652195, 146376.71907505323 6513854.310799826, 146376.71831435294 6513854.311416943, 146376.18159333756 6513854.747703197, 146375.99440265974 6513854.899541083, 146375.99356390108 6513854.9002229385, 146375.83218442087 6513855.031703774, 146375.81529552132 6513855.04469121, 146375.80436358118 6513855.053342972, 146375.37935542298 6513855.399448017, 146376.01081135654 6513856.174859781, 146376.43041385667 6513855.83315683))</t>
  </si>
  <si>
    <t>['FV421 S3D1 m918 KD1 m7-9']</t>
  </si>
  <si>
    <t>LINESTRING Z (146376.89153407648 6513851.593083577 111.329, 146376.9539065247 6513851.551813041 111.283, 146377.1804511443 6513851.399020829 111.159, 146377.59501262958 6513851.121323678 110.99, 146377.65070081077 6513851.083720742 110.961, 146377.70738541713 6513851.0460209 110.937, 146378.3192496947 6513850.635474793 110.739, 146378.8253285461 6513850.295567431 110.508, 146379.20595678722 6513850.041287328 110.14, 146379.28519895126 6513849.987311847 109.991, 146379.35695423087 6513849.93909372 109.905, 146379.3730213294 6513849.928478527 109.883, 146379.95095236105 6513849.541349475 109.621, 146380.15384609014 6513849.403933397 109.581)</t>
  </si>
  <si>
    <t>POLYGON ((146377.229815108 6513851.9687955985, 146377.23348528927 6513851.966343757, 146377.45937479756 6513851.813993382, 146377.87327973655 6513851.536736024, 146377.8748176226 6513851.535701725, 146377.9290531235 6513851.499079698, 146377.98427824894 6513851.462350529, 146377.98597291502 6513851.46121845, 146378.5978371926 6513851.050672343, 146379.1035937581 6513850.71098151, 146379.48370598984 6513850.457046129, 146379.48743554132 6513850.454530248, 146379.56537858595 6513850.4014396565, 146379.63420504387 6513850.355189641, 146379.64863969138 6513850.345652973, 146379.65128723162 6513850.34389168, 146380.22921826327 6513849.956762629, 146380.23133718726 6513849.955335404, 146380.43423091635 6513849.817919325, 146379.87346126392 6513848.989947468, 146379.671625261 6513849.126647169, 146379.09607637918 6513849.51218053, 146379.0813358689 6513849.521919274, 146379.07807936717 6513849.52408913, 146379.00632408756 6513849.572307256, 146379.00372019716 6513849.574068926, 146378.9263371239 6513849.626778096, 146378.5475793435 6513849.87980863, 146378.54654838803 6513849.880499215, 146378.04056504928 6513850.220342426, 146377.42964416908 6513850.630255536, 146377.37380797896 6513850.667391113, 146377.37089581776 6513850.669342695, 146377.31597562294 6513850.7064270545, 146376.90218403732 6513850.983608483, 146376.90087237972 6513850.984490113, 146376.6761574094 6513851.136048324, 146376.61562549317 6513851.17610102, 146377.1674426598 6513852.010066135, 146377.229815108 6513851.9687955985))</t>
  </si>
  <si>
    <t>['FV421 S4D1 m1359-1361']</t>
  </si>
  <si>
    <t>LINESTRING Z (145301.27911382547 6514119.667670112 65.859, 145301.22027169284 6514119.765931831 65.795, 145300.97619860433 6514120.17290143 65.554, 145300.90254903177 6514120.294732142 65.468, 145300.65757641633 6514120.7027950855 65.192, 145300.41960621194 6514121.100118424 64.948, 145300.32173892757 6514121.262527071 64.876, 145300.1452125329 6514121.557312231 64.715, 145299.58171464567 6514122.496265282 64.125, 145299.5141679562 6514122.608449732 64.068, 145299.4294059645 6514122.750472506 64.049, 145299.20505295496 6514123.122330896 63.983, 145299.03283038863 6514123.409656476 63.999, 145298.9948016723 6514123.473706501 64.017)</t>
  </si>
  <si>
    <t>POLYGON ((145300.79138925712 6514119.508910657, 145300.54785372654 6514119.914983927, 145300.4746589237 6514120.036062362, 145300.47386508036 6514120.037380108, 145300.22889246492 6514120.445443051, 145300.22862823366 6514120.445883706, 145299.99100397844 6514120.8426294355, 145299.8934842855 6514121.004461262, 145299.89277132717 6514121.005648116, 145299.71636816746 6514121.300227483, 145299.15317974405 6514122.238664877, 145299.08581958545 6514122.350539528, 145299.0848202659 6514122.3522065645, 145299.0006714861 6514122.493201872, 145298.7769365673 6514122.864035795, 145298.7761927576 6514122.86527267, 145298.60397019127 6514123.152598251, 145298.6029001124 6514123.154391991, 145298.56487139605 6514123.218442015, 145299.42473194853 6514123.728970986, 145299.4622274543 6514123.665819024, 145299.63354215102 6514123.380008077, 145299.85752235216 6514123.008767606, 145299.8587536548 6514123.006715673, 145299.9430175946 6514122.865527409, 145300.0100630164 6514122.754175486, 145300.01043571378 6514122.753555479, 145300.573933601 6514121.814602428, 145300.7503508456 6514121.519999987, 145300.847860854 6514121.358184232, 145300.84855439462 6514121.357029803, 145301.0863927636 6514120.959926582, 145301.33083706078 6514120.5527436845, 145301.4040887124 6514120.431571211, 145301.40499557345 6514120.430065112, 145301.64906866197 6514120.023095513, 145301.70808142237 6514119.924549074, 145300.85014622856 6514119.41079115, 145300.79138925712 6514119.508910657))</t>
  </si>
  <si>
    <t>['FV421 S3D1 m1063-1470']</t>
  </si>
  <si>
    <t>LINESTRING Z (146350.1419683823 6513685.145389577 106.724, 146350.1225497994 6513685.069827616 106.722, 146349.63423495903 6513683.203184421 106.673, 146348.85696709837 6513680.227025969 106.594, 146348.74535553786 6513679.803353156 106.583, 146347.85737574002 6513676.402428505 106.493, 146347.6029139824 6513675.430377913 106.467, 146347.59038817405 6513675.384321112 106.466, 146347.50176589802 6513675.0418981025 106.456, 146347.33731045935 6513674.416159317 106.44, 146347.08413585083 6513673.447001095 106.414, 146346.07932669012 6513669.599776414 106.312, 146345.06366659334 6513665.713372942 106.209, 146344.30147184432 6513662.799116956 106.132, 146343.79354499158 6513660.85491874 106.08, 146343.41249612015 6513659.398288932 106.042, 146342.5279633035 6513656.012116535 105.952, 146341.6359290054 6513652.600521519 105.861, 146340.74824071245 6513649.202585704 105.772, 146339.99580410862 6513646.326608689 105.695, 146339.98604637885 6513646.288329488 105.694, 146338.9717710978 6513642.405814385 105.591, 146337.54785248882 6513636.958806617 105.447, 146337.46464214975 6513636.641003489 105.439, 146337.44886378135 6513636.582186948 105.437, 146337.19559258752 6513635.612032122 105.411, 146336.30809859687 6513632.216088885 105.321, 146335.43963564484 6513628.891721869 105.233, 146335.42060470558 6513628.820145588 105.231, 146334.93338409968 6513626.954401419 105.182, 146334.9130660303 6513626.879932763 105.18, 146334.67931036424 6513625.9863363 105.156, 146334.4261361608 6513625.01717785 105.13, 146334.16980629333 6513624.03625609 105.104, 146333.64590792684 6513622.031248114 105.051, 146332.40122733545 6513617.268892225 104.925, 146332.37865312514 6513617.181566931 104.923, 146331.90473370452 6513615.369850876 104.875, 146331.8722079725 6513615.242253517 104.871, 146331.46385196008 6513613.680653132 104.83, 146331.2765319408 6513612.964599586 104.811, 146331.22536288836 6513612.769411646 104.806, 146331.13574437186 6513612.427085436 104.797, 146330.86650122167 6513611.396121098 104.769, 146330.1160309986 6513608.530010921 104.693, 146329.86994349543 6513607.59235042 104.668, 146329.36514582968 6513605.669976165 104.617, 146328.6127523863 6513602.815117297 104.541, 146328.59993590234 6513602.766071207 104.54, 146328.59008128557 6513602.726795571 104.539, 146328.53733441542 6513602.525725969 104.533, 146327.8600408981 6513599.9673302835 104.465, 146327.61531008477 6513599.043619708 104.441, 146327.3554792403 6513598.06806756 104.415, 146327.32382564072 6513597.949438029 104.412, 146327.25056692527 6513597.671906902 104.404, 146326.72240727267 6513595.695476915 104.351, 146326.08663677995 6513593.326166229 104.288, 146326.03753010248 6513593.14184206 104.283, 146325.7750007332 6513592.169569866 104.257, 146324.80777542695 6513588.605356132 104.133, 146324.73735428613 6513588.346660187 104.124, 146323.51580899855 6513583.904931536 103.969, 146323.42011510843 6513583.562190262 103.957, 146322.86362608237 6513581.563368918 103.887, 146322.2055615576 6513579.2233841065 103.805, 146322.08411041886 6513578.79161536 103.79, 146320.87909544125 6513574.571577618 103.642, 146320.7242611819 6513574.034423559 103.623, 146319.52985068026 6513569.944114923 103.479, 146319.33777191956 6513569.2928984165 103.456, 146318.42111506773 6513566.217638845 103.347, 146318.3470684621 6513565.973377348 103.339, 146318.20757014072 6513565.511176448 103.326, 146318.17006233282 6513565.384063568 103.323, 146317.87989654863 6513564.42755491 103.297, 146317.05702493864 6513561.737467883 103.223, 146316.7562440284 6513560.7648920715 103.197, 146316.47342811077 6513559.852931871 103.172, 146315.88494608278 6513557.969876768 103.12, 146315.61314760102 6513557.109149313 103.097, 146314.6904340469 6513554.209496427 103.018, 146314.44951393793 6513553.459427099 102.997, 146313.86096441653 6513551.637735336 102.948, 146313.47548168205 6513550.456133058 102.915, 146313.2664363652 6513549.816624959 102.898, 146312.23909256066 6513546.709883559 102.812, 146312.0618251278 6513546.179940273 102.798, 146310.98027025472 6513542.970844825 102.71, 146310.83786687936 6513542.551172083 102.698, 146310.34303308587 6513541.103595275 102.658, 146309.70100761554 6513539.238823061 102.607, 146309.59337138943 6513538.928424432 102.599, 146308.4003082154 6513535.51391516 102.504, 146308.3294319848 6513535.312596849 102.499, 146307.68913804973 6513533.507001328 102.448, 146307.0781720525 6513531.796121118 102.401, 146307.04505223717 6513531.703786236 102.398, 146305.7403290462 6513528.10298901 102.298, 146304.4160650354 6513524.508115419 102.199, 146304.37087656226 6513524.384766997 102.195, 146303.6801928351 6513522.536796737 102.144, 146303.07255090546 6513520.922154747 102.099, 146302.98472080484 6513520.69130381 102.092, 146301.70750309963 6513517.342311503 101.999, 146301.57812470512 6513517.004857578 101.99, 146301.01864781417 6513515.554514344 101.949, 146300.32410469768 6513513.770287844 101.899, 146300.15028563642 6513513.327518052 101.887, 146298.9203628446 6513510.206277565 101.8, 146298.70200622198 6513509.657195474 101.784, 146297.49727396586 6513506.650183768 101.7, 146297.23248383548 6513505.995979601 101.682, 146296.48944685736 6513504.168188133 101.63, 146296.0538416329 6513503.10210335 101.6, 146295.74162157415 6513502.342873997 101.579, 146294.5910622715 6513499.561939405 101.501, 146294.23051276366 6513498.698778196 101.476, 146293.85194346606 6513497.79512367 101.451, 146293.10893587902 6513496.02969194 101.401, 146293.07389271655 6513495.948608426 101.399, 146292.91701482172 6513495.57661228 101.391, 146292.69906050095 6513495.062695758 101.38, 146292.6078956239 6513494.849268534 101.376, 146291.9811318466 6513493.379316512 101.345, 146290.75307083665 6513490.525450639 101.285, 146290.07228978723 6513488.955137398 101.252, 146288.77648280584 6513485.994198553 101.189, 146288.13008129667 6513484.529173715 101.158, 146287.72891240928 6513483.620675917 101.139, 146287.6529718624 6513483.450025535 101.136, 146286.7711923594 6513481.467749264 101.094, 146286.15919780533 6513480.09795167 101.065, 146285.5557012353 6513478.753479748 101.037, 146284.74108830123 6513476.944718748 100.998, 146284.15934861067 6513475.658481982 100.971, 146283.92239278444 6513475.1353488965 100.96, 146282.68796968163 6513472.4229203435 100.903, 146282.13461631956 6513471.211373475 100.878, 146280.61691553332 6513467.902865972 100.808, 146280.08769951016 6513466.753346159 100.783, 146278.52962800738 6513463.381372555 100.712, 146278.0205910366 6513462.284206234 100.689, 146276.98231068347 6513460.047581192 100.642, 146276.4290963831 6513458.858149384 100.617, 146275.93946325907 6513457.805365149 100.595, 146274.31920946698 6513454.331812437 100.521, 146273.84383167792 6513453.311840767 100.5, 146272.84809614427 6513451.181721689 100.455, 146272.2027627385 6513449.800078152 100.426, 146271.95892892452 6513449.278619681 100.415, 146271.84998018976 6513449.047810667 100.41, 146271.4312086088 6513448.165164843 100.392, 146271.347711719 6513447.989214158 100.388, 146270.650326483 6513446.517076743 100.357, 146270.43262282398 6513446.057451565 100.347, 146269.6301502629 6513444.363182246 100.312, 146269.5618082023 6513444.218950836 100.309, 146268.6942735857 6513442.383148658 100.27, 146267.912616328 6513440.727089056 100.235, 146266.9551766712 6513438.690813049 100.193, 146266.1989018225 6513437.078554126 100.16, 146265.21326975472 6513434.969580941 100.116, 146264.49199602817 6513433.417286762 100.084, 146263.64149771165 6513431.580833539 100.047, 146263.47443450097 6513431.217874512 100.039, 146262.7946944271 6513429.7410034025 100.009, 146261.74046996626 6513427.433507105 99.962, 146261.1117853562 6513426.047226706 99.934, 146260.87730707362 6513425.5288817305 99.924, 146260.01626138936 6513423.614997787 99.885, 146259.44535857125 6513422.336759287 99.86, 146258.3057944816 6513419.761958964 99.808, 146257.79910908325 6513418.606224277 99.785, 146256.61295805575 6513415.873006608 99.731, 146256.17702260276 6513414.855234073 99.711, 146256.05882819853 6513414.581066709 99.706, 146255.77326531772 6513413.909771053 99.693, 146255.37526537268 6513412.9717949405 99.674, 146255.14395560743 6513412.423972131 99.663, 146254.58099508646 6513411.082598451 99.637, 146254.5181471234 6513410.932803462 99.634, 146253.8966424925 6513409.434175286 99.605, 146253.27973241464 6513407.931076888 99.576, 146253.01690820034 6513407.286739583 99.564, 146252.4632885625 6513405.917299524 99.537, 146252.0581180934 6513404.905587757 99.518, 146251.48665790266 6513403.466467252 99.491, 146251.4544102776 6513403.383100122 99.489, 146250.85520011676 6513401.855145844 99.46, 146250.73570400343 6513401.546906133 99.454, 146250.50314741046 6513400.9448886225 99.443, 146250.2663692726 6513400.320147085 99.426, 146250.00300394866 6513399.618528906 99.408, 146249.80352504412 6513399.087727591 99.393, 146249.68891417305 6513398.778006953 99.385, 146249.64153916755 6513398.652859359 99.382, 146249.11843408167 6513397.235188506 99.344, 146248.57539868477 6513395.747034592 99.305, 146248.5545413997 6513395.687706036 99.303, 146247.99762372626 6513394.139545254 99.262, 146247.87859752227 6513393.805107729 99.253, 146247.5345839745 6513392.832711809 99.228, 146247.44838678965 6513392.587619979 99.221, 146246.90602796205 6513391.034019962 99.18, 146246.51809861173 6513389.9099879265 99.151, 146246.37045034434 6513389.477748778 99.139, 146245.84265036363 6513387.9187095305 99.098, 146245.52684212453 6513386.977769604 99.074, 146245.3206351659 6513386.357096013 99.057, 146244.97800392273 6513385.316167814 99.03, 146244.89817291312 6513385.074480277 99.024, 146244.56100831425 6513384.03804971 98.997, 146244.3001314822 6513383.227557639 98.976, 146243.80064656946 6513381.659729678 98.935, 146243.6205002818 6513381.089831809 98.92, 146243.30803976767 6513380.090226983 98.894, 146242.82221417653 6513378.518053121 98.853, 146242.7053180294 6513378.133115911 98.843, 146242.34416622418 6513376.943111198 98.812, 146241.8145620303 6513375.1689953385 98.766, 146241.718135571 6513374.839400974 98.757, 146241.5241893282 6513374.179312712 98.74, 146241.4096041803 6513373.787109804 98.73, 146240.95309008902 6513372.206050341 98.689, 146240.50345410977 6513370.623316143 98.648, 146240.11140783184 6513369.219052115 98.612, 146240.06050244335 6513369.036914352 98.607, 146240.01867639908 6513368.886080859 98.603, 146239.83768374263 6513368.224732888 98.581, 146239.62671244104 6513367.451633308 98.556, 146239.198997923 6513365.866767286 98.504, 146238.7807357672 6513364.286011288 98.452, 146238.76969100285 6513364.244839642 98.451, 146238.36954552226 6513362.70557341 98.4, 146237.96562098723 6513361.127446508 98.348, 146237.74682831933 6513360.263575132 98.32, 146237.5679657344 6513359.551727477 98.297, 146237.49711545772 6513359.267926703 98.287, 146237.17866951833 6513357.979218952 98.245, 146237.0058549759 6513357.277847493 98.222, 146236.79445235856 6513356.407222346 98.193, 146236.7642104567 6513356.282420283 98.189, 146236.41660138022 6513354.83863004 98.142, 146236.28590357985 6513354.291081356 98.124, 146236.16821596242 6513353.794571686 98.107, 146235.81775480788 6513352.3007662725 98.059, 146235.67980417033 6513351.709665483 98.039, 146235.53950051864 6513351.104711609 98.019, 146234.96715712658 6513348.601486924 97.937, 146234.9037663631 6513348.321989975 97.928, 146234.27479887317 6513345.505417217 97.835, 146234.02015536913 6513344.345288775 97.797, 146233.82416916033 6513343.447012285 97.768, 146233.6016360835 6513342.420556844 97.734, 146233.16213348892 6513340.373140022 97.666, 146232.94377994677 6513339.348289824 97.633, 146232.3267114404 6513336.405834412 97.536, 146232.3020330915 6513336.286526408 97.532, 146231.91571949335 6513334.424042812 97.47, 146231.67170407803 6513333.238740373 97.431, 146231.50990351522 6513332.443759551 97.405, 146231.3080888657 6513331.4545174455 97.372, 146231.05369243352 6513330.203838392 97.331, 146230.90654934605 6513329.476835852 97.307, 146230.70782090328 6513328.488299465 97.274, 146230.44491197634 6513327.181114741 97.231, 146230.31155426917 6513326.513122634 97.209, 146229.91757122107 6513324.54074127 97.144, 146229.84456007654 6513324.17265917 97.132, 146229.64576221857 6513323.173065168 97.099, 146229.61028780666 6513322.994456017 97.093, 146229.25869934546 6513321.220127832 97.034, 146229.13606828736 6513320.60037925 97.013, 146228.97010115767 6513319.762552021 96.985, 146228.6827901131 6513318.307868586 96.937, 146228.47841419093 6513317.271600547 96.902, 146228.39069074905 6513316.85566249 96.889, 146228.3515487726 6513316.670369044 96.883, 146228.11975566339 6513315.569375249 96.848, 146228.08789396257 6513315.417572732 96.843, 146228.0074508004 6513315.035125606 96.831, 146227.95365138183 6513314.781853862 96.823, 146227.93938153266 6513314.717861281 96.82, 146227.68603832152 6513313.519383967 96.782, 146227.5280864167 6513312.774321351 96.758, 146227.4858857044 6513312.578260996 96.751, 146227.18567780487 6513311.177135922 96.705, 146227.113774614 6513310.841133273 96.694, 146226.8856362814 6513309.788064863 96.66, 146226.69634922536 6513308.917300627 96.631, 146226.58466780896 6513308.410148301 96.615, 146226.28306308214 6513307.046375504 96.569, 146226.2739142942 6513307.004013625 96.568, 146225.9795349774 6513305.6938541 96.524, 146225.84447696537 6513305.1014660755 96.505, 146225.67318396555 6513304.353677411 96.48, 146225.40713771002 6513303.210751302 96.441, 146225.36401004653 6513303.025845437 96.435, 146225.0520132191 6513301.71035818 96.39, 146224.9608032006 6513301.330969774 96.377, 146224.73610015778 6513300.40631611 96.346, 146224.61983881833 6513299.934813912 96.33)</t>
  </si>
  <si>
    <t>POLYGON ((146350.6068142468 6513684.945377043, 146350.6062719608 6513684.943285645, 146350.1179829694 6513683.0767412605, 146349.34074082962 6513680.100681294, 146349.3404710069 6513680.099652618, 146349.22899879317 6513679.67650876, 146348.34115719283 6513676.276113399, 146348.08661508225 6513675.303755458, 146348.08538920849 6513675.299161846, 146348.0736696885 6513675.256069729, 146347.9858172095 6513674.916621098, 146347.98534359058 6513674.914805163, 146347.8209824902 6513674.2894253265, 146347.56790496444 6513673.3206387395, 146346.56309890098 6513669.473425917, 146345.5474199814 6513665.586950398, 146344.78521808705 6513662.672667056, 146344.27730833716 6513660.728534305, 146343.8962410794 6513659.271834109, 146343.01173061618 6513655.885747286, 146342.11967985443 6513652.474089249, 146341.23200514773 6513649.07620544, 146340.47992155023 6513646.201577564, 146340.47055277883 6513646.1648242315, 146340.46981100156 6513646.161949941, 146339.4555357205 6513642.279434838, 146338.0315968544 6513636.832349555, 146337.94833714346 6513636.51435771, 146337.94756701883 6513636.511452067, 146337.93222459016 6513636.454260565, 146337.6793783997 6513635.485733714, 146336.79185721968 6513632.089686371, 146335.92340029287 6513628.765342419, 146335.922847223 6513628.7632439695, 146335.9041012079 6513628.692739302, 146335.41716075444 6513626.828067938, 146335.41575213638 6513626.822791855, 146335.39612508175 6513626.750855868, 146335.1630551385 6513625.859880772, 146334.909902066 6513624.890803212, 146334.6535622206 6513623.909843263, 146334.12966626798 6513621.904844524, 146332.8851470106 6513617.143105923, 146332.86273990496 6513617.056427051, 146332.8623770157 6513617.05503157, 146332.38885360365 6513615.24482939, 146332.35671440855 6513615.118748402, 146332.35594222663 6513615.11575778, 146331.9475862142 6513613.554157395, 146331.7602540963 6513612.838057592, 146331.7090409053 6513612.642701019, 146331.61948145126 6513612.300600417, 146331.3502759231 6513611.269780138, 146330.5997244588 6513608.4033592865, 146330.35356510532 6513607.4654247, 146329.84875053487 6513605.54298605, 146329.0963762547 6513602.688199108, 146329.08430909287 6513602.642020522, 146329.0750486141 6513602.605112826, 146329.07371678692 6513602.599922793, 146329.02096991678 6513602.398853191, 146329.0206837049 6513602.39776713, 146328.34339018757 6513599.839371445, 146328.09863431574 6513598.915566252, 146328.0984665447 6513598.9149346845, 146327.83863570023 6513597.939382536, 146327.80709606982 6513597.821179934, 146327.73400793454 6513597.544295028, 146327.73361668672 6513597.542821938, 146327.2054570341 6513595.5663919505, 146327.2053234993 6513595.565893281, 146326.56966914737 6513593.197015415, 146326.52067786094 6513593.013124371, 146326.52024266002 6513593.011501786, 146326.25771329075 6513592.039229592, 146326.25754835663 6513592.038620291, 146325.29032305037 6513588.474406557, 146325.21979877233 6513588.215331143, 146325.21945504253 6513588.214074891, 146323.99790975495 6513583.7723462405, 146323.99739071616 6513583.770473181, 146323.90174634763 6513583.4279092755, 146323.34530659823 6513581.429264926, 146323.3449545655 6513581.428006844, 146322.68689004073 6513579.088022032, 146322.56543118795 6513578.656225858, 146322.56489375661 6513578.654329592, 146321.359878779 6513574.43429185, 146321.35953438713 6513574.433091448, 146321.20470012777 6513573.895937389, 146321.20421688023 6513573.8942717565, 146320.0098063786 6513569.80396312, 146320.00942474333 6513569.802662747, 146319.81734598262 6513569.151446241, 146319.81693823356 6513569.150071096, 146318.90028138174 6513566.074811524, 146318.89961206 6513566.072584963, 146318.82565392976 6513565.8286153255, 146318.6866906811 6513565.368187286, 146318.64962064294 6513565.242557995, 146318.64853082557 6513565.238915707, 146318.35836504138 6513564.282407049, 146318.35802757903 6513564.281299251, 146317.53515596903 6513561.591212224, 146317.5347031718 6513561.589740074, 146317.23392226157 6513560.617164263, 146316.950990738 6513559.704830767, 146316.95066612936 6513559.703788069, 146316.36218410137 6513557.820732966, 146316.36173903596 6513557.819316216, 146316.0899405542 6513556.95858876, 146316.08960589863 6513556.957533051, 146315.1668923445 6513554.057880166, 146315.16648041608 6513554.0565917045, 146314.9255603071 6513553.306522376, 146314.9252989838 6513553.3057111595, 146314.3367494624 6513551.484019397, 146314.3363082682 6513551.482660443, 146313.9508255337 6513550.301058165, 146313.74168943556 6513549.661272073, 146313.74115423654 6513549.659644251, 146312.713810432 6513546.55290285, 146312.7132676091 6513546.5512707485, 146312.53600017625 6513546.021327463, 146312.5356389916 6513546.020251756, 146311.4540841185 6513542.811156307, 146311.45375465826 6513542.810182074, 146311.3113512829 6513542.3905093325, 146311.3109878812 6513542.389442316, 146310.81615408772 6513540.941865508, 146310.81579760974 6513540.940826406, 146310.17377213942 6513539.076054191, 146310.1734109386 6513539.075008836, 146310.06577471248 6513538.764610207, 146310.0653873585 6513538.763497403, 146308.8723241845 6513535.348988131, 146308.87193358928 6513535.347874482, 146308.80105735868 6513535.146556172, 146308.80067885263 6513535.145484942, 146308.16038491754 6513533.339889421, 146308.16001446676 6513533.338848422, 146307.54904846955 6513531.627968212, 146307.5488115796 6513531.627306321, 146307.51569176425 6513531.534971439, 146307.515143932 6513531.533451864, 146306.21042074103 6513527.932654637, 146306.2095075095 6513527.930155073, 146304.88539787888 6513524.335700567, 146304.8403630263 6513524.212771473, 146304.83923294258 6513524.209717573, 146304.14854921543 6513522.361747313, 146304.14815213135 6513522.36068854, 146303.5405102017 6513520.74604655, 146303.53987090554 6513520.74435706, 146303.45204080493 6513520.513506123, 146302.17468144954 6513517.164141951, 146302.1743664212 6513517.1633180985, 146302.0449880267 6513516.8258641735, 146302.04461918536 6513516.824905084, 146301.4851422944 6513515.37456185, 146301.48459038028 6513515.373137595, 146300.79004726378 6513513.588911096, 146300.7895255823 6513513.587576596, 146300.61570652106 6513513.144806804, 146300.61547238732 6513513.144211515, 146299.3855495955 6513510.0229710275, 146299.38497262824 6513510.021513529, 146299.16661600562 6513509.472431438, 146299.16614190236 6513509.471243679, 146297.96140964623 6513506.464231973, 146297.96074904656 6513506.462591525, 146297.69595891619 6513505.808387358, 146297.6956732206 6513505.807683043, 146296.95263624247 6513503.979891576, 146296.95229946834 6513503.979065262, 146296.51669424388 6513502.912980478, 146296.51626722224 6513502.911938752, 146296.20404716348 6513502.152709399, 146296.20364010034 6513502.151722535, 146295.0530807977 6513499.370787943, 146295.05242995048 6513499.369222347, 146294.69188044264 6513498.506061138, 146294.69167955968 6513498.5055809235, 146294.31311026207 6513497.6019263975, 146294.31279215164 6513497.601168807, 146293.5697845646 6513495.835737077, 146293.567905586 6513495.831331641, 146293.53374047703 6513495.752279784, 146293.37772261444 6513495.382322986, 146293.37732853202 6513495.381391154, 146293.15937421125 6513494.867474632, 146293.15886976442 6513494.8662894415, 146293.06776825094 6513494.653010558, 146292.4410678727 6513493.183207226, 146292.44041393857 6513493.181680583, 146291.21235292862 6513490.327814711, 146291.21181539257 6513490.326570192, 146290.53103434315 6513488.756256951, 146290.53034594248 6513488.754676533, 146289.2345389611 6513485.793737688, 146289.23393397784 6513485.792360933, 146288.58753246866 6513484.327336094, 146288.1863041588 6513483.4187036725, 146288.18572282585 6513483.417392264, 146288.10979719475 6513483.246775401, 146287.2280324357 6513481.264532275, 146287.22770201086 6513481.263791087, 146286.6157074568 6513479.893993493, 146286.61535081125 6513479.893197097, 146286.01185424122 6513478.548725175, 146286.01159872476 6513478.548156883, 146285.19698579068 6513476.739395883, 146285.19665946212 6513476.738672838, 146284.61491977156 6513475.452436071, 146284.3778484847 6513474.92904789, 146284.37748110344 6513474.928238728, 146283.14305800063 6513472.215810175, 146283.1427773882 6513472.215194683, 146282.5894240261 6513471.0036478145, 146282.5890809915 6513471.002898389, 146281.07138020528 6513467.6943908855, 146281.07109519816 6513467.693770702, 146280.541879175 6513466.544250889, 146280.5415882003 6513466.543620012, 146278.98351669754 6513463.171646408, 146278.9831895823 6513463.170939911, 146278.4741526115 6513462.07377359, 146277.43582699302 6513459.837051012, 146276.88245836686 6513458.647287079, 146276.39282940744 6513457.594511799, 146276.39259168875 6513457.594001419, 146274.77237093318 6513454.120519531, 146274.29702688564 6513453.100620258, 146274.29678625736 6513453.100104731, 146273.30108334112 6513450.970055429, 146272.6557831123 6513449.588482923, 146272.4118584206 6513449.066829993, 146272.41108683497 6513449.0651876675, 146272.3021381002 6513448.834378654, 146272.30171513325 6513448.833484885, 146271.88294355228 6513447.950839061, 146271.7995019008 6513447.775004774, 146271.10219295137 6513446.303028395, 146270.8844968897 6513445.843419258, 146270.08202703058 6513444.149155643, 146270.01376183482 6513444.005086436, 146269.14638729414 6513442.169622997, 146268.36493755513 6513440.514003054, 146267.40775219322 6513438.47826788, 146266.65172455137 6513436.8665359635, 146265.66647729234 6513434.75838616, 146264.9455700884 6513433.206880795, 146264.09544980357 6513431.371243844, 146263.9286319815 6513431.008817944, 146263.24918795563 6513429.532590058, 146262.1955437352 6513427.226363797, 146261.56724508942 6513425.840934467, 146261.33307579806 6513425.323272557, 146260.47251871493 6513423.41047465, 146259.9022375283 6513422.133627968, 146258.7633691759 6513419.560399636, 146258.2574085461 6513418.406318125, 146257.07210266872 6513415.6750479145, 146256.63663643814 6513414.6583708655, 146256.63617319052 6513414.657292824, 146256.51845653125 6513414.384233653, 146256.23345497577 6513413.7142575495, 146255.83571628542 6513412.776897142, 146255.60478861388 6513412.229979265, 146255.04204755713 6513410.889128504, 146254.97960969427 6513410.74031097, 146254.35885133766 6513409.243482278, 146253.74249472143 6513407.741732386, 146253.4801691997 6513407.098617671, 146252.9271471065 6513405.730655706, 146252.52255142733 6513404.7203791905, 146251.95218289547 6513403.284007833, 146251.92073860732 6513403.202717504, 146251.9198955924 6513403.200553083, 146251.32104135884 6513401.673506401, 146251.20200581214 6513401.36645472, 146250.97013031493 6513400.766200356, 146250.73419770657 6513400.143689756, 146250.47111181007 6513399.442815986, 146250.27201013017 6513398.913018339, 146250.15783808 6513398.604483556, 146250.15653025874 6513398.60098945, 146250.1098979802 6513398.477803871, 146249.58783061334 6513397.062945347, 146249.04611761784 6513395.57841539, 146249.02624133334 6513395.521877291, 146249.02502578986 6513395.518459355, 146248.4683953591 6513393.971097073, 146248.34981149677 6513393.63790243, 146248.0061097266 6513392.666387788, 146247.9202580764 6513392.422278445, 146247.37838207127 6513390.870061485, 146246.9909998727 6513389.747614832, 146246.84382779986 6513389.316769739, 146246.3164563537 6513387.758996316, 146246.00109937674 6513386.819400909, 146245.7953517761 6513386.200109965, 146245.45293692604 6513385.1598391775, 146245.45277489795 6513385.159347786, 146245.37329742388 6513384.918730574, 146245.03672227403 6513383.88411195, 146244.7763124873 6513383.075070895, 146244.2772251371 6513381.508490839, 146244.0974900001 6513380.939893656, 146243.78551107942 6513379.941829516, 146243.30028599067 6513378.371598931, 146243.1837568705 6513377.987870336, 146242.82294853905 6513376.798997378, 146242.29406196676 6513375.027285472, 146242.19802004436 6513374.699005489, 146242.1978571315 6513374.698449832, 146242.00401866727 6513374.03872839, 146241.8897617924 6513373.647649098, 146241.433764452 6513372.068379314, 146240.98473264108 6513370.487771809, 146240.59299189394 6513369.084602158, 146240.5421850611 6513368.9028169485, 146240.50071995409 6513368.753285071, 146240.3199978038 6513368.09292553, 146240.10925928215 6513367.320678967, 146239.6820486115 6513365.737679916, 146239.264101484 6513364.158114518, 146239.2636609636 6513364.156461086, 146239.2531189491 6513364.1171635445, 146238.85369794213 6513362.580684193, 146238.45016242474 6513361.0040771775, 146238.2316400315 6513360.141272942, 146238.05298498427 6513359.4302512575, 146237.98237192657 6513359.147400698, 146237.66410973456 6513357.859436547, 146237.4915371387 6513357.159047034, 146237.28036140872 6513356.289356283, 146237.2502338661 6513356.165026157, 146236.9028251783 6513354.722068226, 146236.77233229778 6513354.175378039, 146236.65486781244 6513353.679809735, 146236.30460421325 6513352.186846381, 146236.1667982385 6513351.596365454, 146236.026748566 6513350.992506674, 146235.45467631007 6513348.490467841, 146235.39156609745 6513348.2122078715, 146234.76297786259 6513345.397333452, 146234.50859649756 6513344.238399287, 146234.3127475518 6513343.340751924, 146234.09039250534 6513342.315117666, 146233.65107740456 6513340.268574281, 146233.43297061764 6513339.244882237, 146232.81620747125 6513336.303882916, 146232.79166823963 6513336.185247478, 146232.40537444237 6513334.322858973, 146232.1615472467 6513333.13847081, 146231.99985865556 6513332.344040142, 146231.79802673153 6513331.354713094, 146231.54370750353 6513330.104413597, 146231.3966774832 6513329.377969697, 146231.19801361999 6513328.389754549, 146230.93516632088 6513327.082876228, 146230.80187855655 6513326.415234467, 146230.40795080617 6513324.443129923, 146230.33500489523 6513324.075376695, 146230.13617042004 6513323.075598251, 146230.10072998254 6513322.897160158, 146229.7491762405 6513321.123007186, 146229.6265582965 6513320.503324879, 146229.46059794285 6513319.665531798, 146229.17332744945 6513318.211053678, 146228.96896474916 6513317.1748526795, 146228.96765169693 6513317.16841788, 146228.87992825505 6513316.752479823, 146228.84078812177 6513316.567194976, 146228.60906174066 6513315.466518133, 146228.57723161826 6513315.314866069, 146228.49674426028 6513314.9322085995, 146228.49653840152 6513314.931234709, 146228.44273898297 6513314.677962965, 146228.44166520357 6513314.673030566, 146228.42799834296 6513314.611742063, 146228.17522811348 6513313.415975324, 146228.01721569322 6513312.670626843, 146228.0168915034 6513312.669109245, 146227.974740111 6513312.473278025, 146227.67459483017 6513311.0724452045, 146227.6027048328 6513310.736504208, 146227.60243872777 6513310.73526834, 146227.37430039517 6513309.68219993, 146227.18493851577 6513308.811090903, 146227.1846496472 6513308.80977064, 146227.07296823082 6513308.3026183145, 146226.77153398254 6513306.93961544, 146226.76264647426 6513306.898463371, 146226.76175157205 6513306.894401626, 146226.46737225525 6513305.584242101, 146226.46702582127 6513305.582711502, 146226.33196780924 6513304.990323477, 146226.33185379903 6513304.989824587, 146226.1605607992 6513304.242035922, 146226.16016451575 6513304.240319818, 146225.8941182602 6513303.097393709, 146225.85094057824 6513302.912273182, 146225.85051416658 6513302.910460251, 146225.53851733916 6513301.594972994, 146225.53816123735 6513301.593481731, 146225.44695121885 6513301.214093325, 146225.44666265935 6513301.212899514, 146225.22195961652 6513300.288245849, 146225.22155994325 6513300.286613158, 146225.1052986038 6513299.81511096, 146224.13437903285 6513300.054516864, 146224.25043915855 6513300.525203032, 146224.47479873052 6513301.448443313, 146224.56568601547 6513301.826489307, 146224.8772910313 6513303.140324551, 146224.92018212617 6513303.324216149, 146225.1860037607 6513304.466177293, 146225.35704301627 6513305.212858224, 146225.49186971044 6513305.804231648, 146225.78562112202 6513307.111596629, 146225.79433090208 6513307.1519257575, 146225.7948594369 6513307.154344021, 146226.09641567836 6513308.517897582, 146226.2079034762 6513309.0241706725, 146226.3970095032 6513309.894102134, 146226.62497666656 6513310.94638044, 146226.69674758607 6513311.281764987, 146226.9969821249 6513312.683014468, 146227.03911805653 6513312.878774905, 146227.19687877546 6513313.622935693, 146227.4501917407 6513314.821269924, 146227.45136771092 6513314.826684576, 146227.4650882185 6513314.888213657, 146227.51825978004 6513315.138529636, 146227.5985784316 6513315.520384807, 146227.6304180077 6513315.672081912, 146227.86227432283 6513316.773376388, 146227.90146988083 6513316.958924045, 146227.98849902741 6513317.3715701215, 146228.19223955486 6513318.404616454, 146228.47957711786 6513319.859434251, 146228.64558866224 6513320.697486099, 146228.76820933633 6513321.317182203, 146229.11982403405 6513323.091642887, 146229.15534167076 6513323.270469923, 146229.35413967154 6513324.270064726, 146229.42712640238 6513324.638023745, 146229.42725731843 6513324.638681441, 146229.82123521727 6513326.611037026, 146229.95458768896 6513327.279002908, 146229.9547280761 6513327.279703503, 146230.21763265386 6513328.586866602, 146230.41635662934 6513329.575380768, 146230.4164862035 6513329.576023131, 146230.56362929096 6513330.303025671, 146230.81812214386 6513331.554179933, 146231.01997140227 6513332.543592102, 146231.1817489377 6513333.338459782, 146231.1819741333 6513333.339559921, 146231.42598954862 6513334.524862359, 146231.42614004633 6513334.525590658, 146231.81242580674 6513336.3879400445, 146231.83707629226 6513336.507113342, 146231.8373563745 6513336.508458091, 146232.45442488088 6513339.450913503, 146232.45475616978 6513339.452480733, 146232.67310971193 6513340.477330931, 146232.67327000154 6513340.4780804375, 146233.11277259613 6513342.52549726, 146233.1129877582 6513342.526494629, 146233.33552083504 6513343.552950069, 146233.3356611223 6513343.553595101, 146233.5316473311 6513344.451871592, 146233.53178153696 6513344.452484857, 146233.786425041 6513345.612613299, 146233.78681796242 6513345.614387996, 146234.41578545235 6513348.430960754, 146234.416150491 6513348.432582747, 146234.47954125446 6513348.712079696, 146234.4797353927 6513348.712932217, 146235.05207878476 6513351.216156902, 146235.05242850655 6513351.217675564, 146235.19273215823 6513351.822629438, 146235.19288850942 6513351.823301477, 146235.33083914698 6513352.414402267, 146235.330972041 6513352.414970203, 146235.68143319554 6513353.908775616, 146235.68169631186 6513353.90989137, 146235.7993839293 6513354.40640104, 146235.79956640804 6513354.407168199, 146235.9302642084 6513354.954716884, 146235.93049185586 6513354.955666489, 146236.27810093234 6513356.399456732, 146236.27827368828 6513356.400171959, 146236.30851559015 6513356.524974022, 146236.51997365523 6513357.395827755, 146236.5203747407 6513357.39746748, 146236.69318928313 6513358.098838939, 146237.01171535096 6513359.387871426, 146237.012004048 6513359.389033764, 146237.0828543247 6513359.672834538, 146237.08303919452 6513359.67357267, 146237.26190177945 6513360.385420324, 146237.26213228906 6513360.386334076, 146237.48092495697 6513361.250205452, 146237.4812356792 6513361.251425834, 146237.88516021424 6513362.829552736, 146237.8856293891 6513362.831371566, 146238.28577486967 6513364.370637799, 146238.28676580646 6513364.374389844, 146238.2975889089 6513364.414735199, 146238.7156322062 6513365.994664056, 146238.71626810796 6513365.99704363, 146239.143982626 6513367.581909652, 146239.14435048614 6513367.58326516, 146239.35532178773 6513368.35636474, 146239.5364103732 6513369.018063738, 146239.53685805865 6513369.019688819, 146239.57868410292 6513369.170522312, 146239.5789565197 6513369.171500843, 146239.62984285294 6513369.353570427, 146240.02187004767 6513370.757766101, 146240.02248607812 6513370.759953446, 146240.47212205737 6513372.342687644, 146240.47271384916 6513372.344753867, 146240.92922794045 6513373.92581333, 146240.92966759217 6513373.927327033, 146241.04425274004 6513374.31952994, 146241.04446776767 6513374.320263853, 146241.23833239896 6513374.980074354, 146241.33467755694 6513375.309390823, 146241.33545380933 6513375.312017409, 146241.8650580032 6513377.086133269, 146241.86571480366 6513377.088315324, 146242.22686660886 6513378.278320037, 146242.3437877809 6513378.663339679, 146242.3445026506 6513378.6656732345, 146242.83032824175 6513380.237847096, 146242.8308111981 6513380.239401016, 146243.14327171224 6513381.239005842, 146243.14375185705 6513381.2405333, 146243.3238981447 6513381.810431169, 146243.3242390719 6513381.811505487, 146243.82372398462 6513383.379333448, 146243.82417908986 6513383.380754637, 146244.08505592193 6513384.191246708, 146244.08553508105 6513384.192727454, 146244.4226996799 6513385.229158021, 146244.4234019379 6513385.231300305, 146244.50315179993 6513385.472742168, 146244.8457021626 6513386.513424649, 146244.8461368226 6513386.514739034, 146245.05234378122 6513387.135412625, 146245.05282816995 6513387.136863195, 146245.36863640905 6513388.077803122, 146245.36905392574 6513388.07904173, 146245.89685390645 6513389.638080977, 146245.89729363399 6513389.639374047, 146246.04494190137 6513390.071613195, 146246.045455173 6513390.073108066, 146246.43338452332 6513391.197140101, 146246.43396618622 6513391.198815835, 146246.97632501382 6513392.752415852, 146246.97670720238 6513392.753506588, 146247.06290438725 6513392.998598418, 146247.06321292892 6513392.999473128, 146247.40722647667 6513393.971869047, 146247.40754136478 6513393.972756458, 146247.52656756877 6513394.307193984, 146247.5271393361 6513394.3087919345, 146248.08344304204 6513395.855245964, 146248.10369875113 6513395.9128633365, 146248.1056937071 6513395.918432473, 146248.648729104 6513397.406586387, 146248.64934901908 6513397.408275778, 146249.17245410496 6513398.825946632, 146249.17392308186 6513398.8298768625, 146249.22063767005 6513398.953279873, 146249.33460113718 6513399.261250989, 146249.3354847665 6513399.263620452, 146249.53492968596 6513399.7943313345, 146249.7982614112 6513400.495860005, 146249.79882268273 6513400.497348062, 146250.03560082059 6513401.122089599, 146250.03673764423 6513401.125060568, 146250.2692942372 6513401.727078078, 146250.2695103975 6513401.727636656, 146250.38900651084 6513402.035876366, 146250.38971480195 6513402.037692883, 146250.98850094073 6513403.564565928, 146251.02032957293 6513403.64684987, 146251.0219546964 6513403.650996193, 146251.59341488715 6513405.090116698, 146251.5939566367 6513405.091475202, 146251.99912710578 6513406.103186969, 146251.99973543623 6513406.1046988275, 146252.55335507408 6513407.474138887, 146252.55394150212 6513407.475583001, 146252.81676571642 6513408.119920306, 146252.81717559326 6513408.120922054, 146253.43408567112 6513409.624020453, 146253.43478476317 6513409.625714937, 146254.05628939407 6513411.124343113, 146254.05708365023 6513411.126247184, 146254.1199316133 6513411.276042173, 146254.6829134706 6513412.617466699, 146254.68333287595 6513412.618463002, 146254.9146426412 6513413.166285812, 146254.91498695352 6513413.167099259, 146255.31298689856 6513414.105075371, 146255.59872746287 6513414.77678925, 146255.59967761076 6513414.779007957, 146255.71763976963 6513415.052636597, 146256.15334422037 6513416.069869815, 146256.15428786058 6513416.072058491, 146257.3404388881 6513418.80527616, 146257.3411835357 6513418.806983319, 146257.84786893404 6513419.962718006, 146257.84857347235 6513419.96431743, 146258.988137562 6513422.539117753, 146258.98882428725 6513422.540662321, 146259.55972710537 6513423.818900822, 146259.56028262075 6513423.820140086, 146260.421328305 6513425.734024029, 146260.4217494452 6513425.734957559, 146260.65622772777 6513426.253302534, 146261.28510835735 6513427.640015713, 146261.2856857161 6513427.641284116, 146262.33991017696 6513429.948780413, 146262.34049350646 6513429.950052496, 146263.02023358032 6513431.426923606, 146263.18730098536 6513431.789891746, 146263.18779143476 6513431.790954015, 146264.03828975128 6513433.627407238, 146264.03855468266 6513433.627978352, 146264.7598284092 6513435.180272531, 146264.7602971563 6513435.181278425, 146265.74592922407 6513437.290251611, 146265.7462293946 6513437.290892707, 146266.5025042433 6513438.9031516295, 146267.46013783835 6513440.939840592, 146267.46045291153 6513440.940509403, 146268.24211016923 6513442.596569005, 146269.10974361098 6513444.432580435, 146269.10996585223 6513444.43305009, 146269.17829111076 6513444.57724604, 146269.9807460563 6513446.271478168, 146270.1984524173 6513446.73110905, 146270.89584956694 6513448.203271616, 146270.97948204732 6513448.379508292, 146271.39803327413 6513449.261689675, 146271.50638375242 6513449.491231276, 146271.7497878224 6513450.011770705, 146272.39507577047 6513451.393316918, 146273.39075674422 6513453.523319337, 146273.86601425926 6513454.543032946, 146275.48621594306 6513458.016474007, 146275.97573023473 6513459.0690027345, 146276.5288715143 6513460.258277546, 146277.56705213615 6513462.49468775, 146278.07590259137 6513463.59145206, 146279.63366508012 6513466.962756896, 146280.16259320124 6513468.111651353, 146281.67997976142 6513471.4194738595, 146282.2330215168 6513472.630338476, 146283.46712036215 6513475.34205453, 146283.7038353071 6513475.864655816, 146284.28535369306 6513477.150403274, 146285.0996757608 6513478.958518436, 146285.70286618423 6513480.302308324, 146286.31451711964 6513481.671336813, 146287.1961317861 6513483.653242525, 146287.27181040385 6513483.8233043235, 146287.6726599671 6513484.731078971, 146288.31872811707 6513486.195348274, 146289.61388807042 6513489.15480865, 146290.29405662656 6513490.7237090925, 146291.52152153198 6513493.576189689, 146292.1479595978 6513495.04537782, 146292.23899827397 6513495.258509859, 146292.45650357765 6513495.771367639, 146292.61318492383 6513496.14289772, 146292.61492300956 6513496.146968725, 146292.64901613048 6513496.225854015, 146293.3909354577 6513497.988699973, 146293.76924542311 6513498.891735466, 146294.1293678095 6513499.75387414, 146295.2793990377 6513502.533532361, 146295.59120192588 6513503.291747275, 146296.0264254917 6513504.356898, 146296.76915133398 6513506.183924107, 146297.03346713315 6513506.836956367, 146298.23763272748 6513509.842553685, 146298.455463449 6513510.390313339, 146299.68498157684 6513513.51052689, 146299.85842204365 6513513.952332287, 146300.5524281734 6513515.73517931, 146301.1114453338 6513517.184330775, 146301.24048190968 6513517.520893144, 146302.51747151124 6513520.869287341, 146302.60490972738 6513521.099108256, 146303.21203443088 6513522.71237586, 146303.90195016292 6513524.558291297, 146303.94657857134 6513524.680110943, 146303.94688657208 6513524.6809493555, 146305.27069063537 6513528.274574363, 146306.5746853919 6513531.873361244, 146306.60741389604 6513531.964605187, 146307.2180758284 6513533.674633929, 146307.8579952629 6513535.479173378, 146307.92848687514 6513535.67939921, 146309.1211610825 6513539.092795272, 146309.22842312112 6513539.402114829, 146309.87008975862 6513541.265844808, 146310.36456358377 6513542.712368572, 146310.5066205791 6513543.131020507, 146311.58783006752 6513546.33909116, 146311.76464469233 6513546.86768077, 146312.79144951 6513549.972792246, 146313.00018323984 6513550.611347144, 146313.38539900107 6513551.79213108, 146313.9735978841 6513553.612737539, 146314.21418082117 6513554.361757132, 146315.13652138584 6513557.260237888, 146315.4079295484 6513558.119729287, 146315.99602721893 6513560.001554503, 146316.2786235566 6513560.912806652, 146316.57911917105 6513561.884459959, 146317.40159613334 6513564.573256825, 146317.69104201192 6513565.527392371, 146317.7280118306 6513565.652682021, 146317.72889653695 6513565.655646449, 146317.86839485835 6513566.117847349, 146317.86857146985 6513566.118431229, 146317.9422808264 6513566.361580225, 146318.85840075676 6513569.435038498, 146319.05008490212 6513570.084917115, 146320.24406241876 6513574.173742976, 146320.39848355835 6513574.709463832, 146321.60305649132 6513578.927953506, 146321.72423750866 6513579.3587619485, 146322.38212075003 6513581.698102142, 146322.93843459256 6513583.696294254, 146323.03396594003 6513584.038453861, 146324.25508083624 6513588.4786175415, 146324.32527931855 6513588.736495539, 146325.2923704175 6513592.30021472, 146325.55459859446 6513593.271371455, 146325.60348902148 6513593.454883918, 146325.6037205533 6513593.455749863, 146326.23942414677 6513595.824811236, 146326.76732042147 6513597.800255636, 146326.84038463145 6513598.077049904, 146326.84072749843 6513598.078341811, 146326.8723519214 6513598.196861995, 146327.13206955369 6513599.171989081, 146327.3767039979 6513600.095335921, 146328.0538414244 6513602.653141992, 146328.1057659639 6513602.851076893, 146328.11496857382 6513602.887753951, 146328.1161799512 6513602.892483942, 146328.12899643517 6513602.941530032, 146328.12926161583 6513602.942540509, 146328.88159800955 6513605.797182909, 146329.3863305234 6513607.719309052, 146329.63237341086 6513608.656799556, 146330.38276709407 6513611.52261742, 146330.65196967043 6513612.553426396, 146330.741663499 6513612.896040634, 146330.79284244266 6513613.091266417, 146330.98012404118 6513613.807173095, 146331.388083013 6513615.367255151, 146331.42022726848 6513615.49335599, 146331.42100981396 6513615.496386237, 146331.894746791 6513617.307404841, 146331.91714055563 6513617.394032105, 146331.91747648027 6513617.39532446, 146333.16215287245 6513622.157664282, 146333.6860479522 6513624.16265968, 146333.94237462702 6513625.143569222, 146334.19554445904 6513626.112710938, 146334.4293425915 6513627.006469851, 146334.4306979936 6513627.011542327, 146334.45029734893 6513627.083376791, 146334.93682805082 6513628.946479069, 146334.93739312742 6513628.948623488, 146334.95614524683 6513629.019151113, 146335.82433394884 6513632.342468335, 146336.71182330346 6513635.738393841, 146336.96507796916 6513636.708485356, 146336.96593891227 6513636.711738369, 146336.98132784985 6513636.769103241, 146337.0641329327 6513637.085358585, 146338.4880164083 6513642.532231955, 146339.50190660538 6513646.413273006, 146339.51129770864 6513646.450113945, 146339.5120852215 6513646.453163176, 146340.26449908805 6513649.329053285, 146341.1521645701 6513652.726901783, 146342.04421099296 6513656.138543215, 146342.92872880746 6513659.524658181, 146343.30980198376 6513660.981381022, 146343.81770849874 6513662.925501391, 146344.57992524916 6513665.839841572, 146345.59556390962 6513669.7261630185, 146346.60036363997 6513673.573351592, 146346.85354461087 6513674.542534172, 146346.8537327668 6513674.543252257, 146347.01794970318 6513675.168083562, 146347.10633686258 6513675.509598116, 146347.10791294798 6513675.515537179, 146347.11981490144 6513675.559300095, 146347.37363437438 6513676.528897143, 146348.26157408505 6513679.929668262, 146348.26185162933 6513679.930726507, 146348.37332773829 6513680.353885151, 146349.15046122778 6513683.329529096, 146349.63855422617 6513685.195324438, 146349.65770393488 6513685.26984015, 146350.6262328297 6513685.020939005, 146350.6068142468 6513684.945377043))</t>
  </si>
  <si>
    <t>['FV421 S4D1 m1074-1268']</t>
  </si>
  <si>
    <t>LINESTRING Z (145564.02204923693 6514117.098781076 83.063, 145562.35162539536 6514118.105150449 82.972, 145560.691595672 6514119.135655418 82.864, 145560.2824836101 6514119.386673175 82.837, 145559.85920031118 6514119.647115997 82.81, 145558.88222755853 6514120.244053162 82.746, 145558.19083883794 6514120.6643493045 82.702, 145557.68458825682 6514120.919784879 82.667, 145557.32028602913 6514121.104081562 82.642, 145556.05701896845 6514121.735902982 82.555, 145554.70299442217 6514122.406726652 82.461, 145552.07589007256 6514123.691214839 82.281, 145549.56735545368 6514125.22267707 81.953, 145547.6768851605 6514125.786746786 81.981, 145546.79365456308 6514126.199548078 81.921, 145546.7705154302 6514126.209845309 81.919, 145545.9005565386 6514126.614314882 81.86, 145544.1385234007 6514127.423393131 81.741, 145543.65607543342 6514127.644326429 81.708, 145543.2514313191 6514127.827517278 81.68, 145542.3756180773 6514128.223503514 81.621, 145541.60174425197 6514128.571353163 81.569, 145541.47447901603 6514128.627987934 81.56, 145539.69366522774 6514129.419781442 81.44, 145539.60400108318 6514129.459683218 81.434, 145538.80142450082 6514129.812336054 81.38, 145537.90898995358 6514130.202897804 81.32, 145536.1193598538 6514130.9764374895 81.2, 145534.32696160697 6514131.7421995485 81.08, 145533.42937841307 6514132.121191763 81.02, 145533.1433496984 6514132.2415480865 81.001, 145530.73028993118 6514133.244702921 80.84, 145529.02972762263 6514133.94118218 80.726, 145528.02228822018 6514134.348963818 80.659, 145526.2127692285 6514135.073139163 80.539, 145525.3071723316 6514135.431787782 80.479, 145522.5831432112 6514136.495361485 80.299, 145520.76293927903 6514137.192412035 80.179, 145519.85100347793 6514137.537595158 80.119, 145517.1118464697 6514138.559388323 79.939, 145516.19704561232 6514138.895797392 79.879, 145516.10570666823 6514138.928821053 79.872, 145514.36467575293 6514139.560837885 79.758, 145511.6104877593 6514140.5418469375 79.578, 145508.84918558068 6514141.501419046 79.398, 145507.0071545411 6514142.129176614 79.278, 145506.46374273533 6514142.3127871305 79.243, 145506.4130910937 6514142.329783501 79.239, 145506.0797727827 6514142.439651113 79.218, 145503.30227672565 6514143.346481901 79.037, 145501.44958809594 6514143.937053417 78.916, 145500.5224548318 6514144.229398333 78.855, 145497.7382173274 6514145.087597797 78.674, 145495.87943828088 6514145.646574227 78.553, 145494.94966111775 6514145.922076717 78.493, 145494.48517384287 6514146.058783077 78.463, 145493.08913769765 6514146.463117378 78.372, 145492.1584883475 6514146.729651979 78.312, 145491.69252009236 6514146.861473085 78.282, 145490.29532102734 6514147.253850208 78.191, 145489.3637025825 6514147.51042049 78.131, 145488.43089388276 6514147.765094815 78.07, 145486.56421048107 6514148.263482718 77.95, 145486.09737003857 6514148.386335936 77.919, 145483.761811095 6514148.986651982 77.768, 145480.9556048966 6514149.681021619 77.587, 145479.08368838212 6514150.12560218 77.467, 145478.14629759744 6514150.343505424 77.406, 145475.33388919634 6514150.974103387 77.225, 145473.4568091432 6514151.375934258 77.104, 145472.51728635177 6514151.571915989 77.044, 145469.6983850227 6514152.135752966 76.863, 145466.87609186722 6514152.664714799 76.681, 145464.05230284506 6514153.157611238 76.5, 145461.22492818075 6514153.6136396555 76.319, 145460.28235897387 6514153.75761306 76.259, 145458.39695717435 6514154.032509329 76.138, 145455.56710267044 6514154.411327865 75.957, 145452.73645800905 6514154.750994782 75.776, 145452.2270592075 6514154.808582803 75.743, 145452.16936295957 6514154.81519986 75.739, 145450.84874283843 6514154.960735265 75.655, 145448.95957402565 6514155.155529252 75.535, 145447.06856394088 6514155.331391005 75.415, 145445.1768059245 6514155.489220042 75.295, 145443.28230710933 6514155.62921019 75.175, 145442.33487755514 6514155.692181772 75.115, 145441.3879598895 6514155.750074282 75.055, 145439.49196521152 6514155.853999006 74.935, 145437.594226168 6514155.939987921 74.815, 145435.69673562673 6514156.007847218 74.694, 145433.7984971534 6514156.057673796 74.574, 145431.89941384073 6514156.0884712245 74.454, 145430.00067593786 6514156.1021354655 74.334, 145428.10218653694 6514156.097670082 74.214, 145426.20285229653 6514156.074175542 74.094, 145424.3038634656 6514156.033547812 73.974, 145422.40611957083 6514155.974693546 73.853, 145420.50862417812 6514155.897709647 73.733, 145418.61237372155 6514155.802499215 73.613, 145416.71646867477 6514155.690155583 73.493, 145414.82270809117 6514155.558492074 73.373, 145412.92929291748 6514155.409695364 73.253, 145411.03802220727 6514155.241578773 73.133, 145409.1481902487 6514155.057228506 73.012, 145407.25950631988 6514154.85365526 72.892, 145405.37316066964 6514154.632754999 72.772, 145403.4900528253 6514154.393434379 72.652, 145401.60818991886 6514154.135887214 72.532, 145400.1992627101 6514153.9319250975 72.442, 145399.7296617261 6514153.860916121 72.412, 145398.79026593664 6514153.716905292 72.352, 145397.85347181297 6514153.568618006 72.292, 145397.3843827161 6514153.4925299445 72.262, 145395.97942636505 6514153.257000001 72.172, 145394.10980897356 6514152.928857592 72.051, 145392.24243295554 6514152.582391728 71.931, 145391.77606977656 6514152.4929623855 71.901, 145390.3783916526 6514152.21850193 71.811, 145389.450771717 6514152.030093885 71.751, 145388.52475701302 6514151.837506288 71.691, 145387.5983546715 6514151.640932941 71.632, 145386.67355756246 6514151.4401800465 71.572, 145385.75026877713 6514151.234251157 71.512, 145384.80907152733 6514151.020005349 71.451)</t>
  </si>
  <si>
    <t>POLYGON ((145562.0936021571 6514117.676870157, 145562.08791778982 6514117.680346614, 145560.42899670865 6514118.710163365, 145560.02099690234 6514118.9604986785, 145560.0204635084 6514118.960826411, 145559.59784324202 6514119.220861275, 145558.62201820654 6514119.817097176, 145557.94798048396 6514120.226845624, 145557.45935323526 6514120.473389108, 145557.45888180277 6514120.473627288, 145557.09560168642 6514120.6574068945, 145555.83420462275 6514121.2882930385, 145554.48219811043 6514121.958116915, 145551.85626761068 6514123.242031164, 145551.81535474776 6514123.264458065, 145549.36220938733 6514124.762105113, 145547.53392552267 6514125.307619932, 145547.465178404 6514125.333778521, 145546.58614022823 6514125.7446203735, 145546.56722906843 6514125.753036099, 145546.5597196717 6514125.75645238, 145545.69083603175 6514126.160422036, 145543.93011213758 6514126.968899116, 145543.448878077 6514127.189276515, 145543.04532931995 6514127.371971472, 145542.17012741498 6514127.767681302, 145541.3976057451 6514128.114923168, 145541.27126614467 6514128.171146019, 145539.4905272888 6514128.96290621, 145539.40178710542 6514129.002396782, 145538.60062323266 6514129.354428872, 145537.7095685695 6514129.744386734, 145535.92195065288 6514130.517056685, 145534.13149637802 6514131.281988226, 145533.23517073187 6514131.660449458, 145532.9504196114 6514131.78026819, 145530.53957038172 6514132.782504062, 145528.84117623355 6514133.478095333, 145527.83559924897 6514133.885123119, 145526.02782744198 6514134.608599235, 145525.1241929776 6514134.966470662, 145522.40280948387 6514136.029011401, 145520.58503084586 6514136.725133181, 145519.67512461267 6514137.069548079, 145516.93818321498 6514138.090514749, 145516.02575605866 6514138.4260509135, 145515.9357015859 6514138.458610173, 145515.93509392728 6514138.458830317, 145514.19548322432 6514139.090331593, 145511.44453762614 6514140.070185742, 145508.68647663828 6514141.028631514, 145506.84648302104 6514141.655694736, 145506.30418585887 6514141.8389286315, 145506.25529694976 6514141.85533351, 145505.92391757597 6514141.964562014, 145503.14875578065 6514142.870630683, 145501.29847939956 6514143.46043326, 145500.3736319928 6514143.752057396, 145497.59258012014 6514144.609274937, 145495.73641692125 6514145.167464724, 145494.80805014772 6514145.4425493, 145494.34503858516 6514145.578821333, 145492.9507562206 6514145.982647686, 145492.02160265547 6514146.248753901, 145491.55687354718 6514146.380224455, 145490.16134775037 6514146.772131672, 145489.23147823737 6514147.028220293, 145488.30055934362 6514147.282378666, 145486.436097607 6514147.780173404, 145485.97151004098 6514147.902433758, 145483.63952412395 6514148.501831418, 145480.83778499768 6514149.195095719, 145478.969314487 6514149.638857854, 145478.03499393107 6514149.856047401, 145475.2268573546 6514150.485687535, 145473.3534256705 6514150.886737391, 145472.41720047593 6514151.082031253, 145469.60329392305 6514151.644869174, 145466.78704673742 6514152.172697856, 145463.96950341895 6514152.664504098, 145461.1473700473 6514153.119687146, 145460.20854028457 6514153.263089365, 145458.3277151651 6514153.537318343, 145455.50414394285 6514153.915295768, 145452.6785880921 6514154.254352046, 145452.1708915163 6514154.311747629, 145452.17008874612 6514154.311839039, 145452.1134925841 6514154.31832993, 145450.7957155673 6514154.463552019, 145448.91078120057 6514154.657909388, 145447.0246278795 6514154.833319467, 145445.1375967729 6514154.990754139, 145443.24730386186 6514155.1304335, 145442.3030414335 6514155.193194577, 145441.35902106023 6514155.250909952, 145439.46696575297 6514155.354618748, 145437.5739745784 6514155.440392531, 145435.68124035935 6514155.5080817295, 145433.78788322603 6514155.557780178, 145431.89356086747 6514155.588500398, 145429.9994648974 6514155.602131234, 145428.10586684398 6514155.597677356, 145426.21129213733 6514155.57424169, 145424.31696055742 6514155.5337136, 145422.42400393286 6514155.475007799, 145420.531295936 6514155.398218132, 145418.63969898722 6514155.303241352, 145416.74859692727 6514155.191182326, 145414.85963436533 6514155.059852398, 145412.97101563803 6514154.911432623, 145411.08443045808 6514154.7437325325, 145409.19925468357 6514154.55983647, 145407.31537631317 6514154.356781195, 145405.43375814863 6514154.136434546, 145403.55547123478 6514153.897726608, 145401.67790708836 6514153.640767761, 145400.27245901572 6514153.437309299, 145399.8049225282 6514153.366612497, 145398.867235641 6514153.222863646, 145397.9325863147 6514153.0749158645, 145397.46574494446 6514152.999192393, 145396.06397894872 6514152.764197288, 145394.1986345164 6514152.436804839, 145392.33512137088 6514152.091055677, 145391.87132447853 6514152.002118444, 145390.47632608778 6514151.728184205, 145389.55143801615 6514151.540331026, 145388.6275540638 6514151.348186571, 145387.7032815251 6514151.152065147, 145386.78101510735 6514150.95186161, 145385.86018018686 6514150.746480026, 145384.92004822945 6514150.532476712, 145384.6980948252 6514151.507533986, 145385.639292075 6514151.721779794, 145385.64142400454 6514151.722260189, 145386.56471278987 6514151.928189078, 145386.56748903074 6514151.928800007, 145387.49228613978 6514152.129552902, 145387.4945703542 6514152.1300431695, 145388.42097269572 6514152.326616516, 145388.4229481659 6514152.327031526, 145389.3489628699 6514152.519619123, 145389.3512492397 6514152.520089065, 145390.2788691753 6514152.70849711, 145390.2820472101 6514152.709131881, 145391.67972533405 6514152.983592336, 145391.68190591558 6514152.984015506, 145392.14826909456 6514153.073444848, 145392.1512214863 6514153.074001805, 145394.01859750433 6514153.420467669, 145394.02337362283 6514153.421329855, 145395.89299101432 6514153.749472264, 145395.89675886644 6514153.750118734, 145397.30171521747 6514153.985648678, 145397.30432708492 6514153.986079431, 145397.7734161818 6514154.062167493, 145397.77529897616 6514154.062469206, 145398.71209309984 6514154.210756492, 145398.7145002904 6514154.211131522, 145399.65389607986 6514154.355142351, 145399.65490588534 6514154.3552961005, 145400.12450686935 6514154.426305077, 145400.1276273734 6514154.426766869, 145401.53655458216 6514154.630728985, 145401.5403931103 6514154.631269483, 145403.42225601675 6514154.888816648, 145403.42701579814 6514154.889444795, 145405.31012364247 6514155.128765415, 145405.3150056332 6514155.129361475, 145407.20135128344 6514155.350261736, 145407.20592379244 6514155.350775882, 145409.09460772126 6514155.554349127, 145409.09964641786 6514155.554866423, 145410.98947837643 6514155.73921669, 145410.99375136138 6514155.739615008, 145412.8850220716 6514155.907731599, 145412.89012048495 6514155.908158522, 145414.78353565864 6514156.056955232, 145414.7880293551 6514156.05728801, 145416.6817899387 6514156.188951519, 145416.6868925851 6514156.189280072, 145418.58279763188 6514156.301623704, 145418.58730038695 6514156.301870148, 145420.48355084352 6514156.39708058, 145420.48835519137 6514156.397298646, 145422.38585058408 6514156.474282545, 145422.39062064502 6514156.474453271, 145424.2883645398 6514156.533307537, 145424.29316871203 6514156.5334334215, 145426.19215754294 6514156.574061152, 145426.19666782883 6514156.574137293, 145428.09600206924 6514156.597631833, 145428.10101050427 6514156.597668699, 145429.99949990519 6514156.6021340825, 145430.00427408775 6514156.602122518, 145431.90301199062 6514156.588458277, 145431.9075212732 6514156.58840549, 145433.80660458587 6514156.5576080615, 145433.8116170597 6514156.557501635, 145435.70985553303 6514156.507675056, 145435.7146055296 6514156.507527783, 145437.61209607086 6514156.439668486, 145437.6168585682 6514156.439475433, 145439.5145976117 6514156.353486517, 145439.51933051946 6514156.353249584, 145441.41532519742 6514156.249324861, 145441.41847184356 6514156.249142434, 145442.3653895092 6514156.191249924, 145442.36803724818 6514156.191080995, 145443.31546680236 6514156.128109413, 145443.3191531395 6514156.127850711, 145445.2136519547 6514155.987860563, 145445.2183764106 6514155.987488939, 145447.11013442697 6514155.8296599025, 145447.1148635763 6514155.829242733, 145449.00587366108 6514155.653380981, 145449.0108576003 6514155.652892293, 145450.9000264131 6514155.458098306, 145450.90351242738 6514155.457726505, 145452.22413254852 6514155.3121911, 145452.22633342096 6514155.311943624, 145452.28362871596 6514155.305372551, 145452.79262570027 6514155.247829956, 145452.79602881396 6514155.2474334175, 145455.62667347534 6514154.9077665005, 145455.633443413 6514154.906907229, 145458.46329791693 6514154.528088693, 145458.4690956762 6514154.527277999, 145460.35449747572 6514154.25238173, 145460.35785618558 6514154.251880367, 145461.30042539246 6514154.107906963, 145461.304544442 6514154.1072602095, 145464.13191910632 6514153.651231792, 145464.1382786283 6514153.65016394, 145466.96206765046 6514153.157267502, 145466.9681994412 6514153.156157771, 145469.7904925967 6514152.627195938, 145469.79645257458 6514152.626041407, 145472.61535390365 6514152.06220443, 145472.61938721008 6514152.061380405, 145473.5589100015 6514151.865398674, 145473.5614739298 6514151.864856831, 145475.43855398294 6514151.46302596, 145475.44328300838 6514151.461989638, 145478.2556914095 6514150.831391675, 145478.25950771102 6514150.830520281, 145479.1968984957 6514150.612617036, 145479.1992246933 6514150.612070433, 145481.07114120777 6514150.167489871, 145481.07570324113 6514150.166383739, 145483.88190943954 6514149.472014102, 145483.88628177738 6514149.470911261, 145486.22184072094 6514148.870595215, 145486.224617144 6514148.869873085, 145486.6914575865 6514148.7470198665, 145486.69318813374 6514148.746561144, 145488.55987153543 6514148.248173241, 145488.5625834691 6514148.247441011, 145489.4953921688 6514147.992766686, 145489.49646131185 6514147.992473516, 145490.4280797567 6514147.735903233, 145490.4305069928 6514147.735228183, 145491.8277060578 6514147.34285106, 145491.82862712067 6514147.342591446, 145492.2945953758 6514147.21077034, 145492.2961520037 6514147.210327252, 145493.22680135386 6514146.9437926505, 145493.22823611455 6514146.943379422, 145494.62427225977 6514146.539045121, 145494.62634487578 6514146.538439974, 145495.09083215066 6514146.4017336145, 145495.09171142554 6514146.401473953, 145496.02148858868 6514146.1259714635, 145496.0234295143 6514146.125392068, 145497.8822085608 6514145.566415638, 145497.8854971172 6514145.565414355, 145500.66973462162 6514144.707214891, 145500.6728175186 6514144.706253722, 145501.59995078275 6514144.413908807, 145501.60144199966 6514144.413436028, 145503.45413062937 6514143.822864512, 145503.45746111625 6514143.821790016, 145506.2349571733 6514142.914959229, 145506.23629778269 6514142.914519437, 145506.5696160937 6514142.804651825, 145506.57215212894 6514142.803808382, 145506.62280377056 6514142.786812011, 145506.62379562797 6514142.786478033, 145507.16720743373 6514142.602867517, 145507.1684437286 6514142.602447993, 145509.01047476818 6514141.974690425, 145509.0133114896 6514141.973714172, 145511.7746136682 6514141.014142063, 145511.7782570753 6514141.012860161, 145514.53244506894 6514140.031851109, 145514.53528849388 6514140.030828622, 145516.2760158894 6514139.398921972, 145516.36705069465 6514139.366008272, 145516.36961694722 6514139.365072508, 145517.2844178046 6514139.028663439, 145517.28659964207 6514139.027855322, 145520.0257566503 6514138.006062157, 145520.0280061937 6514138.005216842, 145520.9399419948 6514137.660033718, 145520.9417519887 6514137.659344594, 145522.76195592087 6514136.962294044, 145522.7649942741 6514136.961119137, 145525.4890233945 6514135.897545435, 145525.49127784933 6514135.896658902, 145526.39687474622 6514135.538010282, 145526.39854589186 6514135.53734497, 145528.20806488354 6514134.813169625, 145528.2098879771 6514134.812435857, 145529.21732737956 6514134.40465422, 145529.2192292525 6514134.403879848, 145530.91979156106 6514133.707400589, 145530.92222475944 6514133.706396566, 145533.33528452666 6514132.703241731, 145533.33727305706 6514132.70241003, 145533.62330177173 6514132.582053707, 145533.6238699385 6514132.581814219, 145534.52145313242 6514132.202822004, 145534.52339913382 6514132.201995479, 145536.31579738064 6514131.43623342, 145536.31773885418 6514131.435399113, 145538.10736895396 6514130.661859428, 145538.10945177072 6514130.660953542, 145539.00188631797 6514130.270391792, 145539.00256400357 6514130.270094615, 145539.80514058593 6514129.91744178, 145539.807287456 6514129.916492424, 145539.89687770733 6514129.876623531, 145541.67761695496 6514129.084863166, 145541.8050306042 6514129.028162378, 145541.80673369544 6514129.027400669, 145542.58060752077 6514128.67955102, 145542.58160916905 6514128.679099465, 145543.45742241087 6514128.283113228, 145543.86228790047 6514128.099822223, 145543.86425584753 6514128.09892616, 145544.3467038148 6514127.877992862, 145544.34716604944 6514127.8777809, 145546.10919918734 6514127.068702651, 145546.1113522971 6514127.0677078115, 145546.9775706087 6514126.664977345, 145546.99694092484 6514126.656357288, 145547.00536131958 6514126.652516343, 145547.8551830249 6514126.255329585, 145549.7103150915 6514125.701803924, 145549.7509624773 6514125.687745302, 145549.7902512778 6514125.670245446, 145549.82789077848 6514125.649433844, 145552.316492713 6514124.130140532, 145554.92261688405 6514122.855910327, 145554.92496153497 6514122.854756339, 145556.27898608125 6514122.183932669, 145556.28067897385 6514122.18308997, 145557.54394603454 6514121.55126855, 145557.54599248318 6514121.550239153, 145557.91005902298 6514121.366061702, 145558.4160738595 6514121.110745076, 145558.45056465064 6514121.091599234, 145559.14195337123 6514120.671303092, 145559.14292021238 6514120.670713847, 145560.11989296504 6514120.073776682, 145560.12122041287 6514120.072962761, 145560.54423737037 6514119.812683816, 145560.95308237974 6514119.561829914, 145560.95530327753 6514119.560459253, 145562.61250237914 6514118.531711464, 145564.28007247517 6514117.527061368, 145563.76402599868 6514116.670500784, 145562.0936021571 6514117.676870157))</t>
  </si>
  <si>
    <t>['FV421 S3D1 m33-724']</t>
  </si>
  <si>
    <t>LINESTRING Z (146459.22641956445 6514038.372547599 114.415, 146459.67301302962 6514039.282659729 114.403, 146460.12060292513 6514040.192674947 114.389, 146460.79338551086 6514041.556555977 114.369, 146461.01867510215 6514042.011418221 114.362, 146462.37481336918 6514044.734128557 114.319, 146462.8291844604 6514045.641472545 114.304, 146464.65785073163 6514049.261714149 114.24, 146466.50477081968 6514052.873139453 114.171, 146468.36894829862 6514056.475845365 114.096, 146469.30821953743 6514058.27348221 114.057, 146470.25227910938 6514060.068641647 114.016, 146471.67545406835 6514062.756668255 113.953, 146472.15277040133 6514063.651722106 113.931, 146474.07051907852 6514067.226083168 113.84, 146476.0074210819 6514070.790534593 113.744, 146476.4941202721 6514071.6786407735 113.719, 146477.9614835609 6514074.345270196 113.644, 146478.8957832125 6514076.029729343 113.594, 146478.94455551356 6514076.117524153 113.591, 146479.93360603246 6514077.889196644 113.537, 146481.9229858814 6514081.424403684 113.425, 146483.92952620046 6514084.949894902 113.308, 146485.95512292994 6514088.46448005 113.186, 146487.99678679561 6514091.9684498515 113.058, 146489.02484967356 6514093.7172168465 112.992, 146490.05670445494 6514095.4636033345 112.924, 146492.1335887654 6514098.947048141 112.786, 146494.2286299598 6514102.420680209 112.642, 146496.3407347065 6514105.883600014 112.492, 146498.469999909 6514109.336803984 112.338, 146499.5407701218 6514111.059288545 112.258, 146500.61623175367 6514112.778299267 112.178, 146502.78052356892 6514116.208985385 112.012, 146504.96097940987 6514119.6300525665 111.842, 146507.15840188693 6514123.039411063 111.666, 146509.37378742162 6514126.4369639605 111.484, 146510.48716803757 6514128.132169649 111.392, 146511.6052400705 6514129.8239015015 111.297, 146513.85375625477 6514133.200126774 111.105, 146516.06873724266 6514136.490092831 110.912, 146516.1192390668 6514136.564643352 110.908, 146518.40178541013 6514139.918447662 110.708, 146520.7012014705 6514143.259546855 110.508, 146521.85709555767 6514144.926477237 110.408, 146523.01668463444 6514146.590030684 110.308, 146525.34913441737 6514149.908805819 110.108, 146527.69755439332 6514153.215969165 109.908, 146530.06393740757 6514156.511326904 109.708, 146532.44519728038 6514159.794173335 109.508, 146533.64251148154 6514161.431928882 109.408, 146534.84342376346 6514163.06531107 109.308, 146537.25762043078 6514166.32483701 109.108, 146539.68878370424 6514169.572654252 108.908, 146542.13582025137 6514172.8078632755 108.708, 146544.59873006947 6514176.030464079 108.508, 146545.83627412096 6514177.6371488385 108.408, 146547.07850958 6514179.240359756 108.308, 146549.57326284127 6514182.438740549 108.108, 146552.08488579065 6514185.624416213 107.908, 146554.61238200235 6514188.797483656 107.708, 146557.1546581441 6514191.95704336 107.508, 146558.43124178168 6514193.53076139 107.408, 146559.71390087449 6514195.104894362 107.307, 146560.99906471174 6514196.673754458 107.207, 146561.6425461499 6514197.457091165 107.158, 146562.28792352998 6514198.2392376205 107.107, 146564.8768230158 6514201.361069568 106.908, 146567.48358859977 6514204.470099474 106.707, 146570.10413767968 6514207.565718553 106.508, 146571.4209511116 6514209.10836578 106.408, 146572.74155642942 6514210.648632497 106.307, 146575.39266176336 6514213.717139184 106.107, 146578.05964033975 6514216.773037648 105.908, 146578.10949119565 6514216.830551987 105.904, 146581.41254415282 6514220.572939847 105.627, 146584.78215117694 6514224.348082851 105.345, 146588.1657628594 6514228.101746639 105.064, 146589.55930095178 6514229.636931516 104.948, 146591.5614832568 6514231.835121453 104.783, 146594.96561739547 6514235.551584193 104.501, 146598.375369818 6514239.253418426 104.22, 146598.8081246267 6514239.721295679 104.184, 146601.78984100552 6514242.94171748 103.939, 146605.20633240946 6514246.619761353 103.657, 146608.6209552441 6514250.288934095 103.376, 146610.39879389486 6514252.197129058 103.23, 146612.03300380707 6514253.952321881 103.095, 146613.39764333406 6514255.417895597 102.982, 146615.44514929538 6514257.616705862 102.813, 146618.8561045634 6514261.27919367 102.532, 146625.6791084836 6514268.605068109 101.969, 146626.62141462695 6514269.616838623 101.892, 146632.50211247476 6514275.9309416255 101.461, 146639.3251165374 6514283.256814222 100.961, 146646.14812067105 6514290.582685897 100.461, 146652.97122178308 6514297.909553064 99.961, 146659.79422605876 6514305.235422891 99.461, 146666.6172304058 6514312.561291793 98.961, 146673.43914149358 6514319.886260256 98.461, 146680.26323931292 6514327.213026829 97.96, 146684.57835884177 6514331.846731973 97.644, 146687.08634078084 6514334.539889382 97.46, 146689.10573845555 6514336.708237419 97.312, 146690.48322226206 6514338.212793763 97.21, 146692.50460033136 6514340.422188789 97.059, 146693.8467099506 6514341.893974898 96.959, 146694.51662297721 6514342.628470213 96.908, 146696.51848759473 6514344.833727795 96.758, 146698.50910085317 6514347.037062015 96.607, 146700.4868575419 6514349.242652379 96.454, 146702.4497648175 6514351.450692713 96.303, 146704.3949303227 6514353.662470149 96.152, 146706.32245096768 6514355.878981125 96.002, 146706.9597728121 6514356.619663502 95.951, 146708.2295313031 6514358.102509197 95.851, 146708.27610218455 6514358.157324862 95.847, 146710.11308515695 6514360.332348677 95.678, 146711.9755899153 6514362.573287855 95.504, 146713.20266876393 6514364.072354436 95.388, 146713.8118696545 6514364.823818433 95.33, 146715.62002844037 6514367.08513065 95.156, 146717.40016318345 6514369.358220925 94.981, 146719.14947843633 6514371.645372829 94.806, 146720.86588445026 6514373.945783761 94.631, 146722.54748529167 6514376.260643957 94.456, 146724.19248193642 6514378.592140084 94.28, 146724.73207248014 6514379.372502602 94.222, 146725.71524678706 6514380.81482235 94.114, 146725.7281455936 6514380.833684793 94.112, 146725.80068057036 6514380.938279294 94.106, 146726.86430656398 6514382.504540499 94.006, 146727.9138584186 6514384.081223092 93.906, 146728.76520946063 6514385.388503946 93.823, 146728.77701493748 6514385.406466876 93.822, 146728.94914231863 6514385.666334235 93.809, 146729.98291793047 6514387.256621271 93.725, 146730.49426329904 6514388.056830127 93.683, 146732.01101485628 6514390.476237081 93.557, 146733.49920317566 6514392.9225622425 93.431, 146734.9619144348 6514395.396511323 93.305, 146736.3997574242 6514397.89400172 93.178, 146737.344439107 6514399.571409547 93.094, 146737.81372856762 6514400.414936524 93.052, 146739.2067202244 6514402.958028595 92.925, 146739.66682075546 6514403.810496003 92.882, 146740.58062833158 6514405.522087689 92.797, 146741.93625549582 6514408.105024058 92.67, 146743.27659098373 6514410.706546977 92.542, 146743.8486187138 6514411.830771558 92.487, 146744.16013325914 6514412.448239914 92.452, 146744.60144098074 6514413.324663602 92.402, 146745.9147911743 6514415.958986301 92.253, 146747.21844059153 6514418.607328407 92.103, 146748.50852779165 6514421.2610128615 91.955, 146748.8939639108 6514422.059385105 91.91, 146749.8015223032 6514423.944589898 91.805, 146750.65744323505 6514425.733226252 91.705, 146751.08564598107 6514426.630035468 91.656, 146751.82911545405 6514428.1932345135 91.569, 146752.3678464428 6514429.326732342 91.507, 146752.79444400442 6514430.227721037 91.457, 146753.64992271434 6514432.03249385 91.357, 146754.46389465564 6514433.751783119 91.263, 146754.5646102511 6514433.970315 91.251, 146757.02441210515 6514439.291401934 90.958, 146757.35567877936 6514440.008539615 90.919, 146758.7058101133 6514442.927962454 90.758, 146759.12611117552 6514443.836604353 90.708, 146759.54641224426 6514444.745246249 90.658, 146759.87777585612 6514445.463380319 90.618, 146760.07643897057 6514445.892666483 90.595, 146761.22562373668 6514448.380007575 90.458, 146762.87503709702 6514451.946251775 90.261, 146765.42773548444 6514457.467519182 89.958, 146765.83654921717 6514458.351126198 89.909, 146768.54353919975 6514464.207421929 89.587, 146769.6287545057 6514466.554130575 89.458, 146770.4451918546 6514468.31944853 89.361, 146771.9535735026 6514471.583572755 89.181, 146772.9061852849 6514473.642429844 89.068, 146773.8298710403 6514475.641737689 88.958, 146774.1113267386 6514476.250059003 88.924, 146776.50716042938 6514481.430511986 88.639, 146778.03188769036 6514484.72825077 88.458, 146781.86489569762 6514493.019822962 88.001, 146782.23300543264 6514493.815856482 87.957, 146785.05181243207 6514499.911731285 87.622, 146786.43402686965 6514502.902465067 87.457, 146788.183064033 6514506.686339848 87.249, 146790.63504891004 6514511.98907295 86.957, 146791.31640572095 6514513.461750621 86.876, 146791.62994341837 6514514.141384163 86.839, 146792.7366534875 6514516.533276143 86.707, 146794.83587773523 6514521.073687291 86.458, 146796.69563761272 6514525.096242765 86.236, 146796.9328185632 6514525.611302822 86.208, 146798.20897539676 6514528.36994199 86.056, 146799.03175238374 6514530.14872436 85.958, 146801.13483853388 6514534.697812046 85.708, 146802.934684214 6514538.590404982 85.494, 146803.2354474445 6514539.242111265 85.458, 146804.0659474738 6514541.038247594 85.359, 146805.31953231333 6514543.781982346 85.208, 146806.27909536404 6514545.922641594 85.09, 146807.3463517342 6514548.353574783 84.956, 146807.3554586962 6514548.374817672 84.955, 146808.51899054577 6514551.082047564 84.805, 146808.9318353951 6514552.05880557 84.751, 146809.31021791912 6514552.960459303 84.701, 146809.3195187017 6514552.983695036 84.7, 146809.6961022105 6514553.887535427 84.65, 146810.00012074917 6514554.624421951 84.609, 146810.08305251662 6514554.8255721675 84.598, 146810.2030905069 6514555.118668895 84.582, 146810.4656295071 6514555.760010866 84.547, 146810.6321714152 6514556.169286245 84.524, 146810.69441186724 6514556.323162398 84.516, 146810.84383318078 6514556.690851508 84.496, 146811.0584568893 6514557.22218716 84.468, 146811.07715536607 6514557.269655042 84.465, 146811.21251493652 6514557.606524692 84.447, 146811.22319978033 6514557.633649196 84.446, 146811.59960444592 6514558.566676489 84.403, 146811.97382245678 6514559.497904752 84.361, 146812.0373500632 6514559.654673254 84.354, 146812.3094532779 6514560.332301315 84.324, 146812.34784665453 6514560.427140167 84.32, 146812.72068061837 6514561.354479646 84.28, 146813.09312694892 6514562.277833432 84.241, 146813.2777585758 6514562.73865927 84.222, 146813.46348353493 6514563.200384615 84.204, 146813.83741084923 6514564.128623583 84.167, 146814.3997343497 6514565.525369011 84.113, 146814.9607707142 6514566.919222072 84.062, 146816.01783489913 6514569.545274461 83.972, 146816.8322760993 6514571.569287604 83.909, 146817.82343227358 6514574.034779558 83.838, 146817.99293618219 6514574.453825273 83.826, 146818.7026883224 6514576.218453467 83.781, 146819.1814986905 6514577.408070062 83.752, 146819.2001971745 6514577.455537936 83.751, 146819.3060765551 6514577.716818735 83.745, 146819.45392004913 6514578.078626176 83.737, 146819.53694876307 6514578.280772778 83.732, 146819.84177004162 6514579.015569416 83.716, 146820.24254619138 6514579.961313944 83.697, 146820.6561515875 6514580.914863324 83.679, 146821.08278005075 6514581.878210408 83.661, 146821.5233310919 6514582.850261855 83.645, 146821.97680828994 6514583.831114585 83.629, 146822.44510757638 6514584.819578349 83.615, 146822.49700858217 6514584.9291969985 83.613, 146822.92832586216 6514585.816649574 83.601, 146823.42925858783 6514586.820044679 83.589, 146823.94780884398 6514587.828767246 83.577, 146824.22758766677 6514588.357789295 83.571, 146824.48516687134 6514588.844713209 83.566, 146825.0401424286 6514589.865986632 83.556, 146825.47494332847 6514590.644468988 83.549, 146825.61572477833 6514590.892296788 83.547, 146826.21172009932 6514591.921650831 83.539, 146826.83021814347 6514592.954851364 83.533, 146827.3099548992 6514593.729969156 83.528, 146827.4730179307 6514593.98971172 83.526, 146827.9447956893 6514594.724363893 83.523, 146828.14101897192 6514595.025138572 83.522, 146828.8370167074 6514596.058848345 83.518, 146829.3549901473 6514596.803089432 83.515, 146829.5601116268 6514597.091934371 83.515, 146829.69588107162 6514597.277887161 83.514, 146830.31290535018 6514598.120120231 83.513, 146831.03515281057 6514599.061756665 83.512, 146831.0973907177 6514599.143212107 83.512, 146831.65414002404 6514599.841436356 83.511, 146831.91437032935 6514600.15912025 83.512, 146832.3346718186 6514600.664416759 83.512, 146832.76474369405 6514601.166751322 83.513, 146833.20358953538 6514601.666220848 83.513, 146833.6502129216 6514602.162922246 83.515, 146834.05495672795 6514602.601334332 83.516, 146834.24110135128 6514602.798481235 83.516, 146834.57267394097 6514603.146442775 83.518, 146835.03291421098 6514603.617679504 83.519, 146843.1457324609 6514610.253793807 83.521)</t>
  </si>
  <si>
    <t>POLYGON ((146459.2241423852 6514039.502921266, 146459.6719360311 6514040.413351222, 146459.6721914532 6514040.413869775, 146460.34497403892 6514041.777750805, 146460.3453313084 6514041.778473601, 146460.5706208997 6514042.233335844, 146460.5711190135 6514042.234338717, 146461.92725728053 6514044.957049053, 146461.92773764508 6514044.958010885, 146462.3821087363 6514045.865354873, 146462.3828891027 6514045.866906469, 146464.21155537394 6514049.487148073, 146464.2126873765 6514049.489375273, 146466.05960746456 6514053.100800577, 146466.0606976605 6514053.102919847, 146467.92487513943 6514056.7056257585, 146467.92579484044 6514056.707394523, 146468.86506607925 6514058.505031368, 146468.86568311343 6514058.506208473, 146469.80974268538 6514060.30136791, 146469.81039208846 6514060.3025986105, 146471.23356704743 6514062.9906252185, 146471.23426824034 6514062.991944826, 146471.71158457332 6514063.886998678, 146471.71217993705 6514063.888111706, 146473.62992861425 6514067.462472768, 146473.63119131862 6514067.464811296, 146475.56809332198 6514071.029262722, 146475.5689468754 6514071.030826854, 146476.05564606562 6514071.918933034, 146476.05606207077 6514071.919690587, 146477.52342535957 6514074.586320009, 146477.52423851902 6514074.587791893, 146478.4585381706 6514076.27225104, 146478.50747139496 6514076.360335753, 146478.50797869288 6514076.3612466995, 146479.49702921178 6514078.13291919, 146479.4978617689 6514078.134404589, 146481.48724161784 6514081.66961163, 146481.48843879747 6514081.671727018, 146483.49497911654 6514085.1972182365, 146483.49632415336 6514085.1995666595, 146485.52192088283 6514088.714151807, 146485.523109118 6514088.716202251, 146487.56477298366 6514092.220172052, 146487.56575253274 6514092.221845716, 146488.59381541068 6514093.970612711, 146488.59437551993 6514093.971563073, 146489.6262303013 6514095.717949561, 146489.62724264266 6514095.719655188, 146491.70412695312 6514099.203099994, 146491.70543409215 6514099.205279773, 146493.80047528655 6514102.6789118415, 146493.801763012 6514102.681034984, 146495.91386775867 6514106.143954789, 146495.91513767693 6514106.146025563, 146498.04440287943 6514109.599229532, 146498.0453612883 6514109.600777547, 146499.1161315011 6514111.323262108, 146499.11689069518 6514111.324479479, 146500.19235232705 6514113.043490202, 146500.1933506033 6514113.0450792005, 146502.35764241856 6514116.475765318, 146502.3588834641 6514116.477722472, 146504.53933930505 6514119.898789654, 146504.54070962803 6514119.900927649, 146506.7381321051 6514123.310286146, 146506.73957347337 6514123.312509507, 146508.95495900806 6514126.710062404, 146508.95586548437 6514126.711447574, 146510.06924610032 6514128.406653263, 146510.07003674228 6514128.407853313, 146511.1881087752 6514130.099585165, 146511.18908408587 6514130.101055243, 146513.43760027015 6514133.477280515, 146513.43899629882 6514133.479365343, 146515.6539772867 6514136.7693314, 146515.65477753105 6514136.770516362, 146515.70527935517 6514136.845066884, 146515.705888141 6514136.845963476, 146517.98843448434 6514140.199767786, 146517.989903217 6514140.201913813, 146520.2893192774 6514143.543013006, 146520.29032067486 6514143.544462583, 146521.44621476202 6514145.211392964, 146521.44691298442 6514145.212397254, 146522.6065020612 6514146.875950702, 146522.60760835806 6514146.877531293, 146524.940058141 6514150.196306428, 146524.94146236096 6514150.198294152, 146527.28988233692 6514153.505457497, 146527.291420855 6514153.5076120095, 146529.65780386925 6514156.802969749, 146529.65920228133 6514156.804907349, 146532.04046215414 6514160.087753779, 146532.0415595894 6514160.089260804, 146533.23887379054 6514161.727016351, 146533.23967373036 6514161.728107454, 146534.4405860123 6514163.3614896415, 146534.44162942577 6514163.362903593, 146536.8558260931 6514166.622429534, 146536.85734258164 6514166.624466187, 146539.2885058551 6514169.872283429, 146539.2900075847 6514169.874279195, 146541.73704413182 6514173.109488219, 146541.73855617113 6514173.111476929, 146544.20146598923 6514176.334077733, 146544.20261268722 6514176.335572288, 146545.4401567387 6514177.942257048, 146545.44103639698 6514177.943395702, 146546.68327185602 6514179.54660662, 146546.68425939797 6514179.5478769, 146549.17901265924 6514182.746257693, 146549.18061868334 6514182.748305672, 146551.69224163273 6514185.933981336, 146551.6937934337 6514185.935939516, 146554.2212896454 6514189.109006959, 146554.22282894325 6514189.110929687, 146556.765105085 6514192.270489391, 146556.76635222728 6514192.2720330665, 146558.04293586485 6514193.8457510965, 146558.0436281749 6514193.8466026345, 146559.3262872677 6514195.420735607, 146559.3271097044 6514195.42174226, 146560.61227354166 6514196.990602356, 146560.6127079436 6514196.991131911, 146561.25618938176 6514197.7744686175, 146561.25688530307 6514197.775313904, 146561.90226268314 6514198.557460359, 146561.90304838054 6514198.558410174, 146564.49194786637 6514201.680242122, 146564.4936782286 6514201.682317249, 146567.10044381258 6514204.791347154, 146567.10196714193 6514204.793155295, 146569.72251622184 6514207.888774374, 146569.72384562416 6514207.890338258, 146571.04065905607 6514209.432985485, 146571.04136868537 6514209.43381498, 146572.3619740032 6514210.974081697, 146572.36320783998 6514210.975515266, 146575.01431317392 6514214.044021953, 146575.01595020675 6514214.045907192, 146577.68236951722 6514217.101164834, 146577.73166322216 6514217.158036372, 146577.73461928414 6514217.161416083, 146581.0376722413 6514220.903803943, 146581.03952346998 6514220.905889648, 146584.4091304941 6514224.681032652, 146584.41076566055 6514224.682855607, 146587.794377343 6514228.436519396, 146587.79554271404 6514228.437807711, 146589.18908080642 6514229.972992588, 146589.18965147113 6514229.9736201875, 146591.19183377616 6514232.171810124, 146591.19277657376 6514232.172842316, 146594.59691071243 6514235.889305056, 146594.59785317283 6514235.890331114, 146598.00760559537 6514239.592165347, 146598.00830772085 6514239.592926036, 146598.44106252954 6514240.060803289, 146601.42295182802 6514243.281411948, 146601.4235021215 6514243.282005332, 146604.83999352544 6514246.960049205, 146608.25493346472 6514250.629563008, 146610.03290996494 6514252.537906047, 146611.66706356502 6514254.29303839, 146613.03171376325 6514255.7586235665, 146615.07923034427 6514257.957445236, 146618.49021003692 6514261.6199592715, 146625.31322034117 6514268.9458405655, 146626.25552407937 6514269.957608497, 146632.13622474464 6514276.271714525, 146638.9592284413 6514283.597586729, 146645.78221935092 6514290.923444205, 146652.60531303321 6514298.250303393, 146659.42833803222 6514305.576195472, 146666.25134240245 6514312.9020644, 146673.07324714682 6514320.227026051, 146679.8973435534 6514327.553791108, 146684.21245046213 6514332.1874827, 146686.7204317092 6514334.880639366, 146688.738391341 6514337.04744329, 146690.11438004265 6514338.550366607, 146692.1354220047 6514340.759394262, 146693.47725539928 6514342.230877458, 146694.14680509004 6514342.964974414, 146696.14787586665 6514345.169357499, 146698.13746651346 6514347.371559829, 146700.11388363814 6514349.575656313, 146702.07518961115 6514351.78189537, 146704.01855221874 6514353.991622796, 146705.94429815194 6514356.206092981, 146706.58037499944 6514356.945328448, 146707.84911319637 6514358.426982626, 146707.89458339385 6514358.480502745, 146709.72982073863 6514360.653459703, 146711.58986743027 6514362.891441369, 146712.81501249806 6514364.388145538, 146713.42240965445 6514365.137384586, 146715.22793762715 6514367.395406665, 146717.00474802987 6514369.664252023, 146718.7505165086 6514371.946766678, 146720.4632320977 6514374.242231523, 146722.14092798217 6514376.551716228, 146723.7825697456 6514378.878457395, 146724.31986659573 6514379.655502745, 146725.3021030507 6514381.096446661, 146725.30252101857 6514381.097058847, 146725.3154198251 6514381.11592129, 146725.31727648477 6514381.1186173735, 146725.38841667108 6514381.221200605, 146726.4493700546 6514382.783526211, 146727.49624736325 6514384.356190984, 146728.34622483896 6514385.661362677, 146728.34737023516 6514385.663113454, 146728.35917571202 6514385.681076384, 146728.3601642827 6514385.682574702, 146728.53110372656 6514385.9406485865, 146729.56264397418 6514387.527496897, 146730.0717758938 6514388.324241907, 146731.58559440114 6514390.7389702825, 146733.0704025889 6514393.17973909, 146734.53004043322 6514395.648489966, 146735.9652574872 6514398.141419192, 146736.90813921226 6514399.815630955, 146737.37599600301 6514400.656582771, 146738.7674531473 6514403.196873385, 146739.2262801869 6514404.046981287, 146740.13872179776 6514405.756014475, 146741.49264685725 6514408.335707749, 146742.83153473446 6514410.934420929, 146743.40259890573 6514412.056751797, 146743.7136394648 6514412.673280641, 146744.15441264934 6514413.548642755, 146745.46675449717 6514416.180942911, 146746.76930159316 6514418.827045669, 146748.05855214465 6514421.479009153, 146748.44357086348 6514422.276516816, 146749.3507554141 6514424.160945054, 146750.20633077202 6514425.948859255, 146750.6342768782 6514426.845130976, 146751.3775547251 6514428.407927114, 146751.91609897243 6514429.541032036, 146752.342538891 6514430.441687783, 146753.19806050355 6514432.246551217, 146754.0108791353 6514433.963404439, 146754.11051577027 6514434.179595201, 146754.11075771466 6514434.180119374, 146756.57052971714 6514439.501141733, 146756.9017665555 6514440.218214824, 146758.25199056807 6514443.13783818, 146758.672307966 6514444.046515399, 146759.09251060942 6514444.95494451, 146759.42377622935 6514445.672866211, 146759.4240099754 6514445.673372046, 146759.62260723114 6514446.102515898, 146760.77172609195 6514448.589714342, 146762.42121035897 6514452.15611195, 146764.97389416443 6514457.677347817, 146765.38272719883 6514458.560996594, 146768.08968001738 6514464.417211925, 146769.17493085895 6514466.763997432, 146769.99134339337 6514468.5292617325, 146771.4996924151 6514471.793315355, 146772.45234495273 6514473.852260663, 146773.37597156822 6514475.851440501, 146773.65752644566 6514476.459976358, 146776.0533319307 6514481.640368353, 146777.57804316652 6514484.938072477, 146781.41104372605 6514493.229628557, 146781.7791797995 6514494.025719044, 146784.5979629395 6514500.121542249, 146785.98015554968 6514503.112228802, 146787.72920459902 6514506.8961293, 146790.18121813575 6514512.198924393, 146790.86250559145 6514513.67145219, 146791.17592832018 6514514.350836522, 146791.1761631555 6514514.351344809, 146792.28284281184 6514516.743171059, 146794.38203695448 6514521.2835170925, 146796.2416359197 6514525.305724523, 146796.4786581803 6514525.82043997, 146796.47902298308 6514525.82123036, 146797.75517391835 6514528.5798567785, 146798.5779271024 6514530.358587689, 146800.68099206703 6514534.907629549, 146802.48077381254 6514538.800084213, 146802.78146131572 6514539.451626407, 146803.61163779354 6514541.2470633, 146804.86400705692 6514543.988137508, 146805.82204914244 6514546.125403682, 146806.88765765197 6514548.552583471, 146806.8959086364 6514548.571829708, 146808.05902576644 6514551.278095186, 146808.47103509196 6514552.252876408, 146808.8475652923 6514553.150116211, 146808.85532507472 6514553.169502131, 146808.85797722093 6514553.175995482, 146809.23422627698 6514554.079033151, 146809.53789012542 6514554.81505997, 146809.62057549504 6514555.01561255, 146809.74037583507 6514555.308129008, 146810.00270141521 6514555.948949627, 146810.1688492304 6514556.357256525, 146810.23089368478 6514556.5106481165, 146810.23119949744 6514556.511402406, 146810.38042296073 6514556.878604654, 146810.5940409567 6514557.407450503, 146810.61194785373 6514557.452908884, 146810.6132080945 6514557.456076418, 146810.74793215792 6514557.79136448, 146810.7579922695 6514557.816903041, 146810.7595107635 6514557.820712008, 146811.13578913154 6514558.753426236, 146811.50988134183 6514559.684341449, 146811.51042484224 6514559.685688274, 146811.57365534749 6514559.8417236125, 146811.84546373575 6514560.518617457, 146811.8459904471 6514560.51992382, 146811.88415950254 6514560.614208557, 146812.25677043543 6514561.5409932975, 146812.2569818763 6514561.54151835, 146812.62921013433 6514562.464331499, 146812.81362494346 6514562.924616178, 146812.8138795948 6514562.925250511, 146812.99960455392 6514563.386975856, 146813.37360764368 6514564.315403104, 146813.93590648164 6514565.712087273, 146814.49693451606 6514567.105919638, 146815.55399153734 6514569.731954231, 146816.36839055372 6514571.755862541, 146817.3595164104 6514574.22127908, 146817.3599166269 6514574.222271545, 146817.5292359049 6514574.640860817, 146818.23880442392 6514576.405032482, 146818.71696919424 6514577.593045112, 146818.73498969857 6514577.638791869, 146818.73679959177 6514577.643321536, 146818.84267897237 6514577.904602335, 146818.8432275104 6514577.905950334, 146818.99107100442 6514578.267757775, 146818.99141353057 6514578.268593859, 146819.0744422445 6514578.470740461, 146819.07511095895 6514578.472360468, 146819.3799322375 6514579.207157105, 146819.38140064158 6514579.210659179, 146819.78217679134 6514580.156403707, 146819.7838387245 6514580.160279921, 146820.19744412063 6514581.113829301, 146820.1989774771 6514581.117327723, 146820.62560594035 6514582.080674807, 146820.62736932098 6514582.084610667, 146821.06792036214 6514583.056662114, 146821.06948810213 6514583.060086879, 146821.52296530016 6514584.040939609, 146821.52495345048 6514584.045187479, 146821.99322715917 6514585.033597254, 146822.04510200128 6514585.143160645, 146822.04730806375 6514585.147759218, 146822.47862534373 6514586.035211793, 146822.48097595488 6514586.03998354, 146822.98190868055 6514587.043378645, 146822.98457500644 6514587.048641512, 146823.5031252626 6514588.057364079, 146823.505814157 6514588.0625207415, 146823.78559297978 6514588.591542791, 146824.0431963514 6514589.078512396, 146824.04584300375 6514589.0834485, 146824.600818561 6514590.104721923, 146824.6036149762 6514590.10979759, 146825.03841587607 6514590.8882799465, 146825.04019259766 6514590.891434172, 146825.18097404751 6514591.139261972, 146825.18302138886 6514591.14283177, 146825.77901670986 6514592.172185812, 146825.7827133156 6514592.178464342, 146826.40121135974 6514593.211664875, 146826.40506149828 6514593.217989782, 146826.884798254 6514593.993107574, 146826.88648704538 6514593.995816813, 146827.0495500769 6514594.255559376, 146827.05229884808 6514594.259888427, 146827.5240766067 6514594.994540601, 146827.52603236708 6514594.9975621365, 146827.72225564969 6514595.298336815, 146827.7262681367 6514595.304390688, 146828.42226587218 6514596.338100461, 146828.42662628807 6514596.344469954, 146828.94459972795 6514597.088711042, 146828.94732635387 6514597.092589401, 146829.1524478334 6514597.381434339, 146829.15629285784 6514597.386773991, 146829.29206230264 6514597.5727267815, 146829.2925385548 6514597.573377963, 146829.90956283335 6514598.415611033, 146829.91616853993 6514598.424422554, 146830.63813402562 6514599.365691361, 146830.70009051013 6514599.446778484, 146830.70645697688 6514599.454934436, 146831.2632062832 6514600.153158685, 146831.26734470355 6514600.158279188, 146831.52757500886 6514600.475963081, 146831.52996842016 6514600.478862602, 146831.9502699094 6514600.984159112, 146831.95485655204 6514600.989594193, 146832.3849284275 6514601.491928756, 146832.38913069738 6514601.496773862, 146832.8279765387 6514601.996243388, 146832.83179069054 6514602.000534502, 146833.27841407678 6514602.4972359, 146833.28283447478 6514602.502087511, 146833.68757828113 6514602.940499596, 146833.69140442793 6514602.944597678, 146833.87754905125 6514603.141744582, 146833.8791262488 6514603.14340735, 146834.2106988385 6514603.49136889, 146834.21497163616 6514603.495797982, 146834.67521190617 6514603.9670347115, 146834.7163423557 6514604.0046966355, 146842.82916060562 6514610.640810939, 146843.46230431617 6514609.866776675, 146835.37110310528 6514603.248344654, 146834.93252625412 6514602.799288945, 146834.6038670076 6514602.45438475, 146834.420433587 6514602.260109297, 146834.01981748288 6514601.826168274, 146833.57730778935 6514601.33404182, 146833.1424733681 6514600.839137865, 146832.71679971882 6514600.341940539, 146832.29997439764 6514599.840823161, 146832.04302141632 6514599.527140159, 146831.49154988577 6514598.835534815, 146831.43245301815 6514598.758190288, 146831.4318896208 6514598.757454342, 146830.71299353353 6514597.82018729, 146830.09946195438 6514596.982721726, 146829.9658704785 6514596.79975193, 146829.76402644793 6514596.515522181, 146829.24961191157 6514595.776394642, 146828.55779804423 6514594.748898834, 146828.36454231007 6514594.452672868, 146827.89512249752 6514593.721692488, 146827.73427148533 6514593.465473442, 146827.25732327628 6514592.694861146, 146826.64259806465 6514591.667963127, 146826.04945917078 6514590.64354247, 146825.910588134 6514590.399077709, 146825.47808278847 6514589.624705392, 146824.9258278981 6514588.608438577, 146824.66957045812 6514588.124013306, 146824.3911629614 6514587.59758424, 146823.87529085897 6514586.594071417, 146823.37686376914 6514585.595695235, 146822.9478238537 6514584.712928428, 146822.89701415726 6514584.605614702, 146822.4296671688 6514583.619160969, 146821.9779643904 6514582.642146236, 146821.53908096685 6514581.6737742955, 146821.11409906234 6514580.714145218, 146820.70209279848 6514579.764282569, 146820.3028802875 6514578.822227888, 146819.99912235644 6514578.089994537, 146819.91659815906 6514577.88907626, 146819.7692008692 6514577.528360784, 146819.66451074494 6514577.270014739, 146819.64670616644 6514577.224816129, 146819.64533749246 6514577.221378965, 146819.1665500814 6514576.031819407, 146818.45682008067 6514574.2672462575, 146818.45645182885 6514574.266333286, 146818.2871485582 6514573.847783586, 146817.2961919625 6514571.382788082, 146816.48169009524 6514569.358624101, 146815.42460334525 6514566.732515643, 146814.86357054784 6514565.338671445, 146814.3012329051 6514563.941890885, 146813.9273149782 6514563.013675192, 146813.74176510362 6514562.55238512, 146813.55726058126 6514562.0918765245, 146813.556825691 6514562.090794728, 146813.18448515737 6514561.16770323, 146812.81175683747 6514560.240626516, 146812.81130948535 6514560.239517662, 146812.77318037525 6514560.145331598, 146812.50133960537 6514559.468357112, 146812.50074767775 6514559.4668897325, 146812.43749279357 6514559.310794233, 146812.06354556087 6514558.380239792, 146812.06329346274 6514558.379613677, 146811.6876558512 6514557.448487747, 146811.67772244735 6514557.423270847, 146811.6764622081 6514557.420103316, 146811.54173814776 6514557.084815262, 146811.52366440164 6514557.038933318, 146811.5220639162 6514557.03492124, 146811.3074402077 6514556.503585588, 146811.30704555058 6514556.5026115, 146811.15777745727 6514556.135299428, 146811.09568959766 6514555.981800526, 146811.0952965969 6514555.980831831, 146810.9287546888 6514555.571556453, 146810.9283595266 6514555.570588246, 146810.6658205264 6514554.929246275, 146810.5457513928 6514554.636073487, 146810.5453063983 6514554.634990561, 146810.46237463085 6514554.433840345, 146810.15830982488 6514553.696841638, 146810.15764369126 6514553.69523498, 146809.78240902105 6514552.794631945, 146809.7744115461 6514552.774652208, 146809.77126591804 6514552.7669787025, 146809.39288339403 6514551.865324969, 146809.3923864904 6514551.864145125, 146808.97954164105 6514550.887387119, 146808.97836066276 6514550.884616321, 146807.81491876394 6514548.177595721, 146807.805901794 6514548.1565627465, 146807.80417254244 6514548.1525770025, 146806.7369161723 6514545.721643814, 146806.7353534328 6514545.718121241, 146805.7757903821 6514543.577461993, 146805.7743130315 6514543.574197606, 146804.52072819197 6514540.830462853, 146804.51978149943 6514540.828403181, 146803.68935744354 6514539.032431161, 146803.38867034277 6514538.3808898395, 146801.58867728466 6514534.487977853, 146799.4855988506 6514529.938906858, 146798.66278015496 6514528.160034292, 146797.38679694693 6514525.4017704455, 146797.1497979956 6514524.887105617, 146797.14948001684 6514524.886416474, 146795.28972013935 6514520.863861, 146793.19049426823 6514516.323446341, 146792.0838413296 6514513.931677786, 146791.77042081914 6514513.252298262, 146791.77019066334 6514513.251800088, 146791.08885676175 6514511.7791719325, 146788.6369087929 6514506.47651865, 146786.8878908096 6514502.692685363, 146785.50568375204 6514499.7019675495, 146782.68683412985 6514493.606000546, 146782.31873411618 6514492.809988048, 146778.48573966193 6514484.518445174, 146776.96099895364 6514481.220677303, 146774.56514445812 6514476.040179329, 146774.28371236924 6514475.431909027, 146773.36008475698 6514473.432727031, 146772.40740442494 6514471.373721598, 146770.89907294212 6514468.10970593, 146770.08257687386 6514466.344260952, 146768.99738002286 6514463.9975922145, 146766.29040839954 6514458.141336202, 146765.88154890784 6514457.2576302085, 146763.32887841703 6514451.736423139, 146761.6794784211 6514448.170207824, 146760.5303366153 6514445.682959717, 146760.33165883113 6514445.253641618, 146760.00041187103 6514444.535760357, 146759.57991438356 6514443.626693305, 146759.1596214573 6514442.718068995, 146757.8095447395 6514439.798764253, 146757.47832432901 6514439.081726725, 146755.018583931 6514433.7607726855, 146754.91798913648 6514433.542502917, 146754.9158071134 6514433.537831885, 146754.1018351721 6514431.818542616, 146753.24630248835 6514430.013655809, 146752.8197515562 6514429.112765596, 146752.81943584778 6514429.112100077, 146752.28070485903 6514427.978602248, 146751.5371783368 6514426.4152832115, 146751.53685125778 6514426.41459685, 146751.10864851176 6514425.517787633, 146750.25254168807 6514423.728762387, 146750.2520355422 6514423.727707853, 146749.3444771498 6514421.84250306, 146749.34423640883 6514421.842003695, 146748.95880028966 6514421.043631451, 146748.9582049423 6514421.042402568, 146747.66811774217 6514418.388718113, 146747.66703598222 6514418.3865068145, 146746.36338656498 6514415.738164709, 146746.36226341868 6514415.73589755, 146745.04891322512 6514413.101574851, 146745.04802179502 6514413.0997956935, 146744.60671407342 6514412.223372006, 146744.29502537727 6514411.605558124, 146744.29424910664 6514411.604025989, 146743.72222137658 6514410.479801408, 146743.72106734014 6514410.477547483, 146742.38073185223 6514407.876024564, 146742.37898367926 6514407.872662798, 146741.023356515 6514405.289726428, 146741.02170217922 6514405.286601254, 146740.1078946031 6514403.575009569, 146740.10682348104 6514403.573014212, 146739.64672294998 6514402.720546803, 146739.645243221 6514402.717825387, 146738.2522515642 6514400.174733316, 146738.25066125448 6514400.171852532, 146737.78137179386 6514399.328325555, 146737.7801003253 6514399.326054084, 146736.8354186425 6514397.648646257, 146736.83307660703 6514397.644533313, 146735.39523361763 6514395.147042916, 146735.39231427058 6514395.142039357, 146733.92960301143 6514392.668090276, 146733.92637062157 6514392.662700793, 146732.4381823022 6514390.216375631, 146732.43464985915 6514390.2106558615, 146730.9178983019 6514387.791248907, 146730.91558734287 6514387.787597792, 146730.4042419743 6514386.987388937, 146730.40212901335 6514386.984110597, 146729.3683534015 6514385.39382356, 146729.3659929734 6514385.390226409, 146729.1943612374 6514385.131107344, 146729.1836231896 6514385.114768589, 146728.33284304026 6514383.8083643615, 146728.3300747371 6514383.804159965, 146727.2805228825 6514382.227477373, 146727.2779455385 6514382.22364408, 146726.21431954487 6514380.657382875, 146726.2115496792 6514380.653346714, 146726.13994744405 6514380.550097213, 146726.12818161695 6514380.5328915715, 146725.1452162165 6514379.09087829, 146725.14333139756 6514379.088132943, 146724.60374085384 6514378.307770425, 146724.60102904076 6514378.303888001, 146722.956032396 6514375.972391874, 146722.95201402582 6514375.966779187, 146721.27041318442 6514373.6519189915, 146721.2666276055 6514373.6467772005, 146719.55022159158 6514371.346366269, 146719.54663081208 6514371.341613072, 146717.7973155592 6514369.054461167, 146717.7938152608 6514369.049938519, 146716.01368051773 6514366.776848244, 146716.0105378904 6514366.772876956, 146714.20237910454 6514364.511564739, 146714.20027135682 6514364.508946844, 146713.59107046624 6514363.757482847, 146713.58957532386 6514363.755647452, 146712.36249647522 6514362.256580871, 146712.36011749777 6514362.25369665, 146710.49761273942 6514360.012757473, 146710.4950744714 6514360.009727904, 146708.658091499 6514357.834704088, 146708.6571487872 6514357.833591196, 146708.61057790575 6514357.778775531, 146708.6093180175 6514357.777298417, 146707.33955952647 6514356.294452722, 146707.33878065328 6514356.293545339, 146706.70145880888 6514355.552862962, 146706.69974363153 6514355.5508801555, 146704.77222298656 6514353.33436918, 146704.7703879747 6514353.332270889, 146702.8252224695 6514351.120493453, 146702.8234522694 6514351.118491436, 146700.8605449938 6514348.910451102, 146700.85911450672 6514348.908848915, 146698.881357818 6514346.703258552, 146698.88010987945 6514346.701872066, 146696.889496621 6514344.498537845, 146696.88870110913 6514344.497659418, 146694.8868364916 6514342.292401836, 146694.88604427062 6514342.291531186, 146694.21614750248 6514341.557053696, 146692.87405488268 6514340.085286229, 146692.87350165177 6514340.084680543, 146690.85212358247 6514337.875285517, 146689.4745221411 6514336.370600642, 146689.4716357118 6514336.367474748, 146687.45224305344 6514334.199132098, 146684.9442679134 6514331.505981989, 146680.62914769255 6514326.872276102, 146673.8050256771 6514319.545483549, 146666.98312475256 6514312.220525999, 146660.1601140621 6514304.894650284, 146653.33711964017 6514297.568791037, 146646.5140294209 6514290.241935568, 146639.69100461036 6514282.916041691, 146632.86800057086 6514275.590169119, 146626.98730235707 6514269.276065723, 146626.04499903118 6514268.264298235, 146619.22199270583 6514260.938421213, 146615.8110543891 6514257.275951606, 146613.7635652 6514255.0771593535, 146612.39893917806 6514253.611600142, 146610.7647341369 6514251.8564125495, 146608.9868801302 6514249.948201065, 146605.57251315637 6514246.279303257, 146602.1564550655 6514242.601725871, 146599.17510084168 6514239.381695217, 146598.74278333946 6514238.9142907625, 146595.3338534979 6514235.213349572, 146591.93066208897 6514231.497916058, 146589.92923602104 6514229.3005563915, 146588.53656686508 6514227.766328774, 146585.15435649164 6514224.01421955, 146581.7864933657 6514220.241030325, 146578.4858487212 6514216.501371104, 146578.43746831323 6514216.445553263, 146578.43635189635 6514216.444269639, 146575.77019416558 6514213.389311723, 146573.12052333987 6514210.322465399, 146571.80088879645 6514208.783330929, 146570.48509604114 6514207.241879426, 146567.86597381384 6514204.147945869, 146565.2608357602 6514201.040857081, 146562.67319226105 6514197.920539669, 146562.02855528166 6514197.13929052, 146561.38563884638 6514196.356641615, 146560.1011039542 6514194.788549302, 146558.8192021066 6514193.215345653, 146557.543589152 6514191.642824239, 146555.0027070859 6514188.484997102, 146552.47675649522 6514185.313870062, 146549.966712627 6514182.130197262, 146547.4732545829 6514178.933476994, 146546.23195245827 6514177.331470624, 146544.9954222374 6514175.726102105, 146542.53384284512 6514172.505242101, 146540.08831319795 6514169.272025339, 146537.6586590688 6514166.026224179, 146535.24574111053 6514162.768424687, 146534.04574985986 6514161.136295211, 146532.84938509116 6514159.499838351, 146530.46937405126 6514156.218713584, 146528.1044600801 6514152.925401593, 146525.7575109753 6514149.620309602, 146523.42631556006 6514146.30331927, 146522.2676279262 6514144.641059037, 146521.11258419574 6514142.975354968, 146518.81440478284 6514139.636052649, 146516.53289481386 6514136.28377111, 146516.48309792977 6514136.210261217, 146514.26921686484 6514132.921928903, 146512.0218850036 6514129.547481933, 146510.90469548202 6514127.85708539, 146509.7921637627 6514126.163172211, 146507.5779539143 6514122.767422366, 146505.38193708556 6514119.36024477, 146503.2027864771 6514115.941225457, 146501.03961355318 6514112.512312929, 146499.96503000974 6514110.794705736, 146498.89511912726 6514109.0736035295, 146496.76696920846 6514105.6222083075, 146494.6561434272 6514102.161385441, 146492.5623997357 6514098.689904666, 146490.48667413116 6514095.208403294, 146489.45560446088 6514093.463345585, 146488.42831246112 6514091.715889878, 146486.38773327757 6514088.213781643, 146484.3634039272 6514084.701395508, 146482.35813413805 6514081.17813661, 146480.36976788 6514077.644730761, 146479.38138645008 6514075.8742568, 146479.33294775285 6514075.787062509, 146478.39913643769 6514074.10348379, 146476.93238680728 6514071.437969564, 146476.4463234214 6514070.55102357, 146474.5104813143 6514066.988522655, 146472.59365922044 6514063.41588859, 146472.11699151443 6514062.522051031, 146470.69449166415 6514059.835299537, 146469.75106525287 6514058.0413440745, 146468.8125633775 6514056.245179686, 146466.94939159031 6514052.6444173725, 146465.10358288596 6514049.035165243, 146463.2758713113 6514045.416813668, 146462.8221298445 6514044.510726991, 146461.4664808079 6514041.7889988795, 146461.2416186514 6514041.334999631, 146460.56914228038 6514039.971739368, 146460.1217817824 6514039.062190548, 146459.67529020886 6514038.152286062, 146458.77754892004 6514038.592809135, 146459.2241423852 6514039.502921266))</t>
  </si>
  <si>
    <t>['FV421 S3D1 m918 KD1 m13-15']</t>
  </si>
  <si>
    <t>LINESTRING Z (146373.66452772164 6513840.410054629 110.68, 146374.1684536119 6513840.2755499855 110.342, 146374.4242569027 6513840.206415408 110.241, 146374.97912478168 6513840.057903946 109.951, 146375.06436024327 6513840.034526946 109.884, 146375.44766386697 6513839.931869961 109.656, 146376.01040624117 6513839.7815868445 109.253)</t>
  </si>
  <si>
    <t>POLYGON ((146374.29739627748 6513840.7586377505, 146374.29890557932 6513840.75823237, 146374.55412086938 6513840.689256709, 146375.10840034232 6513840.540902735, 146375.11137295354 6513840.540097291, 146375.19516162368 6513840.517117092, 146375.57684205324 6513840.414894834, 146376.1394126578 6513840.26465759, 146375.88139982455 6513839.298516099, 146375.31865745035 6513839.448799216, 146374.93500822393 6513839.551548629, 146374.9321120714 6513839.552333602, 146374.84836166096 6513839.575303307, 146374.29498134207 6513839.72341662, 146374.2938049353 6513839.723733024, 146374.03875585322 6513839.792663765, 146373.53558505606 6513839.926966864, 146373.79347038723 6513840.893142394, 146374.29739627748 6513840.7586377505))</t>
  </si>
  <si>
    <t>['FV421 S4D1 m338-793']</t>
  </si>
  <si>
    <t>LINESTRING Z (145655.80043835664 6513481.941047141 106.309, 145655.44993000646 6513481.998268025 106.41, 145655.24380421464 6513484.08836462 106.743, 145655.6033161478 6513488.147236046 107.026, 145656.29848699045 6513492.151336478 107.151, 145657.01737855235 6513496.151118369 107.275, 145657.7589943997 6513500.146678613 107.4, 145658.13817515102 6513502.142638625 107.462, 145658.523334532 6513504.138017215 107.525, 145659.11079574045 6513507.12762498 107.618, 145659.31030204683 6513508.124137736 107.649, 145660.12009074556 6513512.107033038 107.774, 145660.95240992378 6513516.083713822 107.898, 145661.16377659584 6513517.078067296 107.929, 145661.80755028408 6513520.057169386 108.023, 145662.24394305516 6513522.04153038 108.085, 145662.68522112165 6513524.024410429 108.147, 145663.35859725706 6513526.997616093 108.241, 145663.58561623743 6513527.987429806 108.272, 145664.50963516242 6513531.945134191 108.397, 145665.45518812852 6513535.896720949 108.521, 145665.69506390393 6513536.884278468 108.552, 145666.42346536985 6513539.84408604 108.646, 145666.9158799125 6513541.814952029 108.708, 145667.41427308292 6513543.785236596 108.77, 145668.1720831854 6513546.73715486 108.864, 145668.4276112654 6513547.720172612 108.895, 145669.46357681847 6513551.649890525 109.019, 145670.52207283914 6513555.573393899 109.144, 145672.23864012747 6513559.31320385 108.939, 145672.3599965159 6513561.388552776 109.223, 145672.70565984532 6513563.401853914 109.393, 145672.8141012909 6513563.782586013 109.405, 145673.83075082809 6513567.306810554 109.518, 145674.9792718037 6513571.204459311 109.642, 145676.14932680753 6513575.095990414 109.767, 145677.1575424099 6513578.388682296 109.872, 145677.34091583866 6513578.981403867 109.891, 145677.91546434496 6513580.824585288 109.951, 145677.94598270312 6513580.9211971285 109.954, 145678.5559348578 6513582.859509429 110.016, 145678.6751433154 6513583.2371827 110.028, 145679.48103498004 6513585.7629710715 110.109, 145679.79239099962 6513586.730500904 110.14, 145681.050284262 6513590.594378284 110.266, 145681.8136418701 6513592.899997133 110.34, 145682.3316075079 6513594.450947769 110.391, 145682.65463007608 6513595.414325431 110.422, 145683.63436787203 6513598.300403161 110.515, 145684.29397551715 6513600.221816077 110.577, 145684.42295454582 6513600.596527425 110.59, 145684.6257722149 6513601.182328717 110.609, 145684.95846845058 6513602.141748024 110.64, 145685.08944034885 6513602.516265563 110.652, 145685.96652152197 6513605.019036878 110.733, 145686.30500257533 6513605.975881882 110.764, 145687.46337488334 6513609.21977156 110.87, 145687.67397024552 6513609.80280474 110.889, 145689.0642781253 6513613.621617063 111.013, 145690.2594491247 6513616.850863541 111.119, 145690.47582930996 6513617.431322411 111.138, 145690.68647953123 6513617.9942331165 111.156, 145691.19087724586 6513619.33326162 111.193, 145692.63324850297 6513623.128905201 111.296, 145692.99695861113 6513624.076255608 111.321, 145694.83247601037 6513628.80129899 111.45, 145694.94772435183 6513629.096877131 111.458, 145695.82023115037 6513631.304371367 111.517, 145696.6926410849 6513633.510869137 111.573, 145697.63400255376 6513635.857516301 111.629, 145698.57546096767 6513638.205159854 111.681, 145699.3349189547 6513640.07763357 111.721, 145700.478942792 6513642.884364938 111.776, 145701.43907023978 6513645.217116707 111.818, 145702.39919772965 6513647.549868435 111.857, 145703.3668122036 6513649.876862742 111.892, 145704.33343028754 6513652.203953909 111.924, 145705.30653892318 6513654.52538456 111.952, 145706.27964759996 6513656.84681517 111.977, 145707.25825039612 6513659.162682161 111.999, 145708.23585680156 6513661.478646019 112.017, 145708.27505240135 6513661.57139639 112.017, 145709.236659165 6513663.836611677 112.031, 145710.1972695365 6513666.10192383 112.042, 145711.1800794336 6513668.4093346875 112.049, 145712.1628893715 6513670.716745506 112.053, 145713.14640507346 6513673.021070084 112.054, 145714.1299208157 6513675.325394622 112.051, 145714.75125110534 6513676.780794607 112.047, 145715.69043743127 6513679.011979239 112.038, 145716.85131725972 6513681.774824688 112.023, 145718.00792071136 6513684.535068393 112.002, 145719.15915445215 6513687.291810828 111.977, 145720.30411895295 6513690.046145326 111.946, 145721.44082135038 6513692.798265693 111.91, 145721.8177616003 6513693.716165087 111.897, 145722.5683621163 6513695.549265268 111.869, 145723.05987256236 6513696.755767612 111.849, 145723.6858417216 6513698.300237382 111.823, 145724.79206992948 6513701.049286077 111.771, 145725.5214547775 6513702.881431825 111.734, 145725.88425125112 6513703.798694925 111.715, 145726.71833892318 6513705.921409048 111.668, 145726.96238568734 6513706.548463929 111.653, 145727.31505146733 6513707.454641954 111.632, 145728.02547680633 6513709.298689991 111.587, 145728.42359483632 6513710.34126752 111.56, 145728.49768226867 6513710.534227731 111.555, 145728.54634500103 6513710.662268187 111.552, 145728.61280649388 6513710.838870481 111.547, 145728.69233319868 6513711.046389553 111.542, 145728.76008183265 6513711.225884236 111.537, 145728.83188569458 6513711.41604896 111.532, 145728.846916368 6513711.45683315 111.531, 145728.85760110448 6513711.483958008 111.53, 145728.8819324713 6513711.5479782345 111.528, 145728.91022216296 6513711.621672073 111.526, 145729.02573400264 6513711.930300543 111.518, 145729.03651564236 6513711.958421832 111.517, 145729.0716286493 6513712.05056335 111.515, 145729.20316759532 6513712.399879111 111.505, 145729.5616750006 6513713.355781773 111.479, 145729.74265191006 6513713.841109434 111.465, 145729.86122255202 6513714.160504843 111.456, 145729.8953391288 6513714.252743266 111.454, 145729.91986430308 6513714.318756353 111.452, 145729.9839453256 6513714.49156672 111.447, 145730.09974788158 6513714.803184482 111.438, 145730.12723494944 6513714.87896808 111.436, 145730.4480276819 6513715.747005644 111.41, 145731.10903187882 6513717.558643148 111.356, 145731.1611410273 6513717.701436264 111.351, 145731.86200651678 6513719.654040405 111.29, 145732.09729397262 6513720.315140297 111.269, 145732.42212927272 6513721.2350891745 111.238, 145732.55290772155 6513721.607613546 111.226, 145733.06472796982 6513723.074668797 111.176, 145733.23156107042 6513723.559360209 111.16, 145733.89825727238 6513725.512269682 111.091, 145734.00824767345 6513725.836522923 111.079, 145734.55289942469 6513727.465345539 111.019, 145734.9279499874 6513728.601699105 110.976, 145735.194200387 6513729.41569539 110.945, 145735.52680271433 6513730.446538814 110.905, 145735.8216482434 6513731.368398294 110.869, 145736.3543723019 6513733.060743867 110.8, 145736.4368482444 6513733.319274718 110.791, 145736.69561174035 6513734.139028362 110.763, 145737.0479656484 6513735.269542301 110.723, 145737.55282977363 6513736.913298607 110.664, 145737.64751351968 6513737.224958427 110.653, 145738.23221185524 6513739.182824514 110.58, 145738.38362873922 6513739.695167354 110.561, 145738.80524375575 6513741.144842712 110.505, 145739.00902044505 6513741.854270452 110.477, 145739.08114447945 6513742.1097845975 110.467, 145739.0963415712 6513742.16262286 110.465, 145739.10374631034 6513742.18704913 110.464, 145739.1879117352 6513742.48363817 110.452, 145739.201918589 6513742.534580475 110.45, 145739.2678281234 6513742.767564312 110.441, 145739.30137800984 6513742.8850042075 110.436, 145739.37656084535 6513743.151285291 110.425, 145739.44295489747 6513743.389251282 110.416, 145739.5079649054 6513743.623328454 110.406, 145739.71020586533 6513744.3479933655 110.377, 145739.75882854452 6513744.5273363115 110.369, 145739.7879355885 6513744.630120445 110.365, 145739.83291804924 6513744.792717866 110.358, 145739.9658725689 6513745.280703924 110.338, 145739.98767177737 6513745.360058223 110.335, 145740.00010078092 6513745.40511884 110.333, 145740.26639744116 6513746.385076683 110.292, 145740.2951863787 6513746.494932738 110.287, 145740.32162223884 6513746.590935661 110.283, 145740.34380906122 6513746.674275682 110.28, 145740.47052168834 6513747.149792646 110.26, 145740.5005977687 6513747.262541097 110.255, 145740.51805103733 6513747.328236063 110.252, 145740.6578709954 6513747.855788662 110.23, 145740.67197475495 6513747.907727398 110.227, 145740.71841077 6513748.085271285 110.22, 145740.9633105647 6513749.021040624 110.179, 145741.36607973807 6513750.587216192 110.11, 145741.4115193257 6513750.764856979 110.102, 145741.44295205647 6513750.891555467 110.096, 145741.6392712916 6513751.6691007195 110.061, 145741.67711233313 6513751.8203223795 110.054, 145741.69228203146 6513751.883221857 110.051, 145741.8358538446 6513752.459696486 110.025, 145741.86354945338 6513752.56865301 110.02, 145741.8905393409 6513752.680695735 110.015, 145742.03675494704 6513753.274012794 109.988, 145742.06522578374 6513753.390940771 109.982, 145742.14384237054 6513753.713215805 109.967, 145742.49174903618 6513755.160000694 109.899, 145742.7015231626 6513756.04486981 109.857, 145742.81683267548 6513756.5375894 109.833, 145742.90840490558 6513756.93102607 109.814, 145743.1132937926 6513757.81737613 109.771, 145743.2507079526 6513758.423619385 109.742, 145743.314390768 6513758.706106666 109.728, 145743.46321011358 6513759.367568651 109.695, 145743.71041234414 6513760.4821562795 109.639, 145744.08406802086 6513762.204053083 109.551, 145744.09566701023 6513762.261264684 109.548, 145744.2847099406 6513763.150161612 109.502, 145744.47115119756 6513764.04333497 109.455, 145744.65440936066 6513764.9348061755 109.408, 145744.67721972812 6513765.045243644 109.402, 145744.83477514057 6513765.827564522 109.36, 145745.18952813314 6513767.61366262 109.264, 145745.24385547492 6513767.893036295 109.248, 145745.5325177852 6513769.4029164165 109.165, 145745.78378145484 6513770.745438175 109.09, 145745.86564005597 6513771.194135665 109.064, 145746.18889494572 6513772.987320372 108.961, 145746.2969976687 6513773.602449284 108.926, 145746.34554024483 6513773.8843972385 108.909, 145746.50028959196 6513774.78266434 108.857, 145746.78360102104 6513776.465066059 108.757, 145746.80181685754 6513776.579973765 108.75, 145746.93979126582 6513777.419520926 108.699, 145747.09347674297 6513778.379248653 108.641, 145747.24240127392 6513779.331392542 108.583, 145747.37308257795 6513780.17868994 108.531, 145747.389720565 6513780.28771596 108.524, 145747.57181151002 6513781.498156757 108.448, 145747.64604624792 6513782.002917702 108.417, 145747.67548819416 6513782.202231355 108.404, 145747.77726892405 6513782.907496194 108.36, 145747.90640184155 6513783.811272064 108.303, 145748.0807720162 6513785.076779885 108.224, 145748.15489719273 6513785.621785694 108.19, 145748.33674369316 6513786.995198797 108.104, 145748.39342826058 6513787.433268346 108.076, 145748.4602456033 6513787.954844321 108.044, 145748.62109551817 6513789.24681337 107.963, 145748.81191609346 6513790.836618467 107.864, 145748.83770515764 6513791.060427895 107.85, 145748.94221807097 6513791.96961563 107.793, 145749.04454432166 6513792.87700431 107.736, 145749.13677991845 6513793.722005432 107.683, 145749.23942634085 6513794.694743565 107.623, 145749.42434407712 6513796.513451852 107.509, 145749.43374374363 6513796.610105685 107.503, 145749.59830109973 6513798.333226074 107.396, 145749.70470352832 6513799.499728991 107.323, 145749.76229383983 6513800.153969331 107.282, 145749.8398062805 6513801.06477702 107.226, 145749.91432943515 6513801.975875423 107.169, 145749.94786021783 6513802.39306202 107.143, 145750.0564007485 6513803.798750555 107.055, 145750.1650128676 6513805.287918107 106.963, 145750.18760825234 6513805.623688052 106.942, 145750.23072192475 6513806.253184013 106.902, 145750.30865766644 6513807.44760172 106.828, 145750.35416861495 6513808.18449106 106.782, 145750.4179437437 6513809.274671096 106.715, 145750.46855261677 6513810.188095181 106.658, 145750.5154243647 6513811.083777313 106.602, 145750.60443638265 6513812.929917899 106.487, 145750.6505791716 6513813.983590196 106.422, 145750.68164294428 6513814.758095328 106.374, 145750.72500706027 6513815.917652656 106.302, 145750.74898212834 6513816.588238223 106.26, 145750.75873350818 6513816.885023048 106.242, 145750.80417036056 6513818.417551105 106.147, 145750.82777876296 6513819.332595161 106.09, 145750.83879403985 6513819.787176348 106.062, 145750.84939431096 6513820.247833024 106.033, 145750.85937310796 6513820.753813627 106.002, 145750.88275802176 6513822.080274222 105.919, 145750.89166029368 6513822.688956755 105.881, 145750.90596364293 6513823.911691595 105.805, 145750.91852250858 6513825.592260234 105.701, 145750.91910807852 6513825.743081579 105.692, 145750.9204497818 6513826.201621097 105.663, 145750.92039227427 6513827.576630841 105.578, 145750.91690330306 6513828.492298442 105.521, 145750.91606270586 6513828.6181120975 105.513, 145750.88876814744 6513831.398938782 105.341, 145750.85797075386 6513833.161174736 105.231, 145750.83305109822 6513834.301220519 105.161, 145750.80840327416 6513835.268232757 105.101, 145750.7501397712 6513837.203129376 104.98, 145750.7282643991 6513837.84699245 104.94, 145750.69373446325 6513838.784790085 104.882, 145750.63993726159 6513840.103668927 104.8, 145750.52601257613 6513842.541877047 104.649, 145750.50254047388 6513843.003835604 104.62, 145750.39577008045 6513844.936408617 104.5, 145750.33884893497 6513845.902536074 104.44, 145750.253208147 6513847.2456347225 104.356, 145750.1467728776 6513848.798967715 104.259, 145750.07670435228 6513849.764362071 104.199, 145749.9337697517 6513851.625012982 104.084, 145749.9284020685 6513851.693933157 104.079, 145749.90737373004 6513851.953477149 104.063, 145749.68264317175 6513854.586532869 103.899, 145749.48921504169 6513856.662318124 103.77, 145749.40949618648 6513857.476766856 103.719, 145749.22170757066 6513859.310598401 103.605, 145749.1089611128 6513860.364635119 103.539, 145749.0004890061 6513861.348852133 103.477, 145748.78193747695 6513863.249044325 103.358, 145748.67570474354 6513864.142516589 103.303, 145748.6671539658 6513864.209734614 103.298, 145748.44440610922 6513866.004720114 103.186, 145748.42852218298 6513866.13099091 103.178, 145748.32462572213 6513866.93471485 103.128, 145748.046528559 6513869.008675819 102.998, 145747.94815146876 6513869.724353586 102.953, 145747.81721656048 6513870.653421415 102.895, 145747.6390428022 6513871.882804773 102.818, 145747.54618507792 6513872.5104363635 102.778, 145747.35141959996 6513873.796755343 102.698, 145747.20407204988 6513874.753571583 102.638, 145747.11872654967 6513875.292963194 102.604, 145746.74151939683 6513877.61997982 102.457, 145746.66677231382 6513878.07183716 102.429, 145746.58182708675 6513878.5739732 102.397, 145746.43594367546 6513879.432073241 102.343, 145746.419048586 6513879.527260863 102.337, 145746.25328080019 6513880.480839246 102.277, 145745.7375572062 6513883.3383365385 102.097, 145745.19515123527 6513886.190381922 101.917, 145744.81851305038 6513888.088848928 101.797, 145744.62606288772 6513889.036975407 101.737, 145744.03029216168 6513891.878116992 101.556, 145743.8265905733 6513892.824320145 101.496, 145743.4078390572 6513894.713806685 101.376, 145742.97883254575 6513896.601272994 101.256, 145742.7597000043 6513897.543947579 101.196, 145743.51691680966 6513900.7172081405 100.279, 145743.1888280438 6513902.639117684 100.088, 145743.09401563834 6513903.618988835 99.953, 145742.68005504116 6513906.529958634 99.609, 145742.72907637793 6513907.551163745 99.394, 145742.58507864922 6513908.521736298 99.278, 145742.55913171318 6513909.527097544 99.098, 145742.27184445882 6513912.489117056 98.658, 145741.80057560885 6513915.4106895495 98.298, 145741.3029126001 6513917.305838839 98.146, 145741.38773781148 6513917.4333799025 98.081, 145741.01257647335 6513918.2403503535 97.732)</t>
  </si>
  <si>
    <t>POLYGON ((145655.36937087163 6513481.504800472, 145655.3201124118 6513481.515414639, 145655.27217240882 6513481.530932775, 145655.2260377521 6513481.551197272, 145655.18217699562 6513481.57600232, 145655.14103559914 6513481.605095995, 145655.10303140394 6513481.638182813, 145655.06855038923 6513481.674926738, 145655.03794275195 6513481.71495459, 145655.01151935017 6513481.757859838, 145654.9895485459 6513481.803206725, 145654.97225347967 6513481.850534699, 145654.959809804 6513481.899363085, 145654.9523438997 6513481.949195973, 145654.74621810787 6513484.039292567, 145654.7438104129 6513484.085874995, 145654.7457541031 6513484.132479089, 145655.10526603626 6513488.191350516, 145655.11068548396 6513488.23276399, 145655.8058563266 6513492.2368644215, 145655.80637240966 6513492.239785556, 145656.52526397156 6513496.2395674465, 145656.52577498122 6513496.242364896, 145657.26739082855 6513500.23792514, 145657.26777984295 6513500.239996667, 145657.64696059428 6513502.235956679, 145657.647237417 6513502.237402232, 145658.03239679796 6513504.232780823, 145658.03271685273 6513504.234424127, 145658.6201780612 6513507.224031893, 145658.62052468993 6513507.225779436, 145658.8200309963 6513508.222292191, 145658.82032670817 6513508.223757852, 145659.6301154069 6513512.2066531535, 145659.630695202 6513512.209463512, 145660.46301438022 6513516.186144296, 145660.46333715535 6513516.187674522, 145660.67470382742 6513517.1820279965, 145660.6750574362 6513517.183677821, 145661.31883112443 6513520.162779911, 145661.31921944657 6513520.16456116, 145661.75561221765 6513522.148922154, 145661.75588280548 6513522.1501452625, 145662.19716087196 6513524.133025312, 145662.19757144953 6513524.134854068, 145662.87094758495 6513527.108059731, 145662.8712511173 6513527.109391493, 145663.09827009766 6513528.099205206, 145663.0987107345 6513528.1011093175, 145664.0227296595 6513532.058813702, 145664.02336265403 6513532.061491604, 145664.96891562012 6513536.013078362, 145664.9693158327 6513536.014738372, 145665.20919160813 6513537.002295891, 145665.20955012433 6513537.003762231, 145665.93795159025 6513539.963569803, 145665.93837663776 6513539.965283902, 145666.4307911804 6513541.9361498915, 145666.43114755786 6513541.937567462, 145666.92954072828 6513543.907852029, 145666.92997700992 6513543.9095640415, 145667.6877871124 6513546.861482305, 145667.6881651548 6513546.862945717, 145667.9436932348 6513547.845963469, 145667.94412943246 6513547.8476297315, 145668.98009498554 6513551.777347645, 145668.98083597177 6513551.780125985, 145670.03933199245 6513555.703629359, 145670.05185910081 6513555.743391076, 145670.06765498957 6513555.781971026, 145671.7449837176 6513559.436293645, 145671.86084916638 6513561.417740503, 145671.8672068449 6513561.47315975, 145672.21287017432 6513563.486460889, 145672.22478488274 6513563.5388184, 145672.3332263283 6513563.919550499, 145672.33369117623 6513563.921172165, 145673.35034071343 6513567.445396706, 145673.35113987903 6513567.448137613, 145674.49966085464 6513571.34578637, 145674.5004466532 6513571.348426236, 145675.67050165703 6513575.239957338, 145675.671236938 6513575.242380566, 145676.67945254038 6513578.535072448, 145676.67987943513 6513578.536459434, 145676.8632528639 6513579.129181005, 145676.86356937973 6513579.130200231, 145677.43811788602 6513580.9733816525, 145677.43868627242 6513580.975192956, 145677.46912214113 6513581.07154366, 145678.07899210366 6513583.009594769, 145678.19833140064 6513583.387683191, 145678.19880218495 6513583.389166671, 145679.0046938496 6513585.914955042, 145679.0050729351 6513585.916138078, 145679.31642895468 6513586.8836679105, 145679.3169511791 6513586.88528132, 145680.57484444146 6513590.7491587, 145680.57562353672 6513590.7515317, 145681.33898114483 6513593.057150548, 145681.33939038968 6513593.058381265, 145681.85735602747 6513594.609331901, 145681.85754659944 6513594.609901395, 145682.18056916763 6513595.573279057, 145682.18116732925 6513595.575051992, 145683.1609051252 6513598.461129722, 145683.16145817467 6513598.46274976, 145683.8210658198 6513600.384162676, 145683.9501780023 6513600.759261379, 145683.95047155724 6513600.7601117315, 145684.15328922632 6513601.345913024, 145684.48606521686 6513602.305562507, 145684.4864963635 6513602.306800589, 145684.61746826177 6513602.681318128, 145685.49465770496 6513605.184398718, 145685.49514568987 6513605.185784666, 145685.83362674323 6513606.14262967, 145685.8341242764 6513606.144029519, 145686.99249658443 6513609.387919197, 145686.99311226208 6513609.3896334665, 145687.20370762426 6513609.972666646, 145687.20413871997 6513609.9738554275, 145688.59444659975 6513613.79266775, 145688.59536373694 6513613.795166181, 145689.79053473633 6513617.024412659, 145689.79094261452 6513617.025510756, 145690.0073227998 6513617.605969626, 145690.0075441375 6513617.606562238, 145690.21819435878 6513618.169472944, 145690.21857532347 6513618.170487626, 145690.7229730381 6513619.50951613, 145690.72348654715 6513619.510873373, 145692.16585780427 6513623.306516954, 145692.1664675809 6513623.3081133785, 145692.53017768904 6513624.2554637855, 145692.5308896843 6513624.257307411, 145694.36640708355 6513628.982350793, 145694.36663425842 6513628.98293451, 145694.48188259988 6513629.278512651, 145694.48272789817 6513629.280665863, 145695.3552346967 6513631.4881601, 145696.2276660284 6513633.694711996, 145696.2285872594 6513633.697025112, 145697.16993828226 6513636.043646236, 145698.11138646473 6513638.391264276, 145698.1121212376 6513638.393086155, 145698.87157922462 6513640.265559871, 145698.8719039469 6513640.266358509, 145700.0159277842 6513643.073089877, 145700.01657462088 6513643.074669101, 145700.97670206867 6513645.40742087, 145701.93682956265 6513647.740172607, 145701.9375208723 6513647.74184364, 145702.9050989983 6513650.068750535, 145703.87168053866 6513652.3957537245, 145703.87230515145 6513652.397250595, 145704.8454137871 6513654.718681246, 145705.81852246803 6513657.040111866, 145705.81907930112 6513657.041434907, 145706.79764531457 6513659.357214852, 145707.77521456065 6513661.673090679, 145707.81448873293 6513661.766027085, 145707.8148058153 6513661.766775713, 145708.77637482373 6513664.031902062, 145709.73694715239 6513666.297124502, 145709.737259257 6513666.297858877, 145710.7200691541 6513668.605269735, 145711.70287909615 6513670.912680563, 145712.68654028414 6513673.217346357, 145713.6700560305 6513675.521670905, 145714.2909056982 6513676.975945089, 145715.22953773558 6513679.205812922, 145716.3902601958 6513681.968283841, 145717.5466523566 6513684.728023298, 145718.69761323967 6513687.484112349, 145719.84220297128 6513690.2375453, 145720.9784945281 6513692.988670962, 145721.35514582056 6513693.905866707, 145722.10548086092 6513695.7383185495, 145722.5966536735 6513696.94399211, 145723.2222210336 6513698.48747051, 145724.3278712239 6513701.235082794, 145725.05670695603 6513703.065849216, 145725.41909240792 6513703.982073124, 145726.2526789125 6513706.103511799, 145726.49643158502 6513706.72981104, 145726.84878528974 6513707.635187184, 145727.55863785977 6513709.477748487, 145727.9564920595 6513710.519635106, 145727.95681834014 6513710.520487225, 145728.03060123295 6513710.712654265, 145728.0786728344 6513710.839139349, 145728.14484749982 6513711.014979481, 145728.14591668916 6513711.017794795, 145728.2249912493 6513711.224134029, 145728.2922937075 6513711.402446605, 145728.36341899165 6513711.5908142, 145728.37776316798 6513711.629735651, 145728.3817074141 6513711.640083333, 145728.39128827283 6513711.664405826, 145728.41454960412 6513711.725610595, 145728.41514496494 6513711.72716926, 145728.44268208038 6513711.79890266, 145728.5574578517 6513712.105564477, 145728.5588710007 6513712.109294781, 145728.5694713978 6513712.136943343, 145728.60405261852 6513712.227689379, 145728.7351266935 6513712.575770625, 145729.0933519563 6513713.530920999, 145729.2740365904 6513714.015464862, 145729.39237616392 6513714.334237839, 145729.42638895148 6513714.426195654, 145729.42664046277 6513714.4268741375, 145729.451111926 6513714.492742654, 145729.51513917648 6513714.6654080115, 145729.630380164 6513714.975514981, 145729.657197754 6513715.049452785, 145729.65823703966 6513715.0522913635, 145729.978671223 6513715.919358725, 145730.6393208809 6513717.7300245315, 145730.69098560183 6513717.871599799, 145731.39117652547 6513719.822324606, 145731.6260296891 6513720.482204243, 145731.95050666237 6513721.401138322, 145732.08097355123 6513721.77277521, 145732.59229012273 6513723.238386748, 145732.7585786945 6513723.721496169, 145733.42491371193 6513725.673347648, 145733.5343994341 6513725.996113089, 145734.07839778607 6513727.622981665, 145734.45293325966 6513728.757774579, 145734.71866408366 6513729.570182387, 145735.0507624333 6513730.5994638195, 145735.34506409083 6513731.519622838, 145735.87744352774 6513733.210873626, 145735.87802460612 6513733.21270726, 145735.96026874267 6513733.470511487, 145736.218529733 6513734.28867321, 145736.57030587766 6513735.417333418, 145737.07464224042 6513737.059371414, 145737.16876021036 6513737.369168933, 145737.7529158945 6513739.325217947, 145737.9038238616 6513739.835838788, 145738.32490493936 6513741.283678258, 145738.5281354025 6513741.991204367, 145738.59994717655 6513742.2456122665, 145738.60062454062 6513742.247989476, 145738.61582163235 6513742.300827738, 145738.6178448075 6513742.307677494, 145738.6239561693 6513742.327837256, 145738.70634594327 6513742.618169111, 145738.71981037653 6513742.667138657, 145738.72079972195 6513742.670685712, 145738.78670925635 6513742.903669549, 145738.78706142484 6513742.904908338, 145738.8203994955 6513743.0216067815, 145738.89516265094 6513743.286401451, 145738.96126920622 6513743.523337011, 145739.02619988532 6513743.757128549, 145739.02636828469 6513743.75773342, 145739.22811154628 6513744.480614991, 145739.2762497519 6513744.658170974, 145739.2777466158 6513744.663572055, 145739.3064407327 6513744.764898042, 145739.35075916714 6513744.925095216, 145739.48345740122 6513745.412140624, 145739.4837338153 6513745.413150978, 145739.50553302377 6513745.4925052775, 145739.50567132386 6513745.493007697, 145739.51784766954 6513745.537152318, 145739.78330262296 6513746.514012724, 145739.8115187391 6513746.621682943, 145739.81312871413 6513746.627674623, 145739.83899910198 6513746.72162401, 145739.86063796378 6513746.802905736, 145739.9873809808 6513747.278536798, 145740.01742564052 6513747.391167526, 145740.03477586113 6513747.456474614, 145740.17455776563 6513747.983883634, 145740.17534469385 6513747.9868167825, 145740.18883680602 6513748.036503056, 145740.23468223243 6513748.211788881, 145740.4793319401 6513749.146602652, 145740.88175594795 6513750.711436037, 145740.9266669378 6513750.887010333, 145740.95766358872 6513751.011951078, 145740.9581656959 6513751.0139572015, 145741.15435541238 6513751.790989481, 145741.19154934233 6513751.939625131, 145741.20621813854 6513752.000447674, 145741.20710268273 6513752.004056453, 145741.35067449586 6513752.580531081, 145741.3512640541 6513752.582874142, 145741.3781878079 6513752.688794132, 145741.4044439536 6513752.797790886, 145741.40506388573 6513752.8003351195, 145741.55111316036 6513753.392977235, 145741.57941956693 6513753.509229908, 145741.6578922807 6513753.8309153505, 145742.00541908792 6513755.276120583, 145742.2148415143 6513756.159506158, 145742.32991785524 6513756.6512294, 145742.421336004 6513757.044004065, 145742.62589946762 6513757.928946342, 145742.76301294364 6513758.533863041, 145742.8266078881 6513758.8159605395, 145742.97523660623 6513759.476575237, 145743.22202681308 6513760.589305129, 145743.59471609592 6513762.306748553, 145743.60563642962 6513762.360612709, 145743.60660463196 6513762.365274251, 145743.7954518175 6513763.253250769, 145743.98154542805 6513764.144758678, 145744.16465047596 6513765.035485045, 145744.1873053796 6513765.145170915, 145744.34448498124 6513765.925625753, 145744.69891301566 6513767.710087763, 145744.75289845586 6513767.987703238, 145745.04122996086 6513769.495853046, 145745.29210494785 6513770.836298043, 145745.37366452476 6513771.283356469, 145745.6966316592 6513773.074944917, 145745.80439443106 6513773.688139431, 145745.85278996895 6513773.969233349, 145746.0073881498 6513774.866622997, 145746.29014397258 6513776.5457253335, 145746.30798347818 6513776.658259098, 145746.3084353122 6513776.661057984, 145746.4462434372 6513777.4995933445, 145746.59962314702 6513778.45741163, 145746.74832518306 6513779.408133007, 145746.87886491278 6513780.2545124795, 145746.89536285494 6513780.362620808, 145747.07725240948 6513781.571722872, 145747.151367412 6513782.075669673, 145747.1807339075 6513782.274473233, 145747.28234555476 6513782.978566456, 145747.41125210974 6513783.880758058, 145747.58539220164 6513785.144596032, 145747.659339301 6513785.688292528, 145747.8409725947 6513787.060095367, 145747.89752156867 6513787.497117022, 145747.96418583312 6513788.017498069, 145748.12478999802 6513789.30749322, 145748.31533825 6513790.895029479, 145748.3409840109 6513791.117595254, 145748.44542767722 6513792.02618059, 145748.5475935294 6513792.932146919, 145748.63963484784 6513793.775368192, 145748.7420872159 6513794.746267352, 145748.9267978839 6513796.562939075, 145748.93604955074 6513796.658071074, 145749.1004647114 6513798.3797025, 145749.20669884182 6513799.544360342, 145749.26415620238 6513800.197090327, 145749.34153748708 6513801.106356872, 145749.41596491056 6513802.016284893, 145749.44940454685 6513802.432337455, 145749.5578027418 6513803.836182627, 145749.66623538258 6513805.322889374, 145749.68873655048 6513805.657259246, 145749.68877683528 6513805.657852615, 145749.73183542115 6513806.286544266, 145749.80966210365 6513807.479290567, 145749.85506941937 6513808.21450194, 145749.91875207963 6513809.303101309, 145749.96927589868 6513810.214990279, 145750.01605395536 6513811.108882045, 145750.10496340963 6513812.952895424, 145750.15101769753 6513814.004546796, 145750.18201750264 6513814.777457041, 145750.22534098406 6513815.9359278, 145750.24927554643 6513816.605380419, 145750.25897686637 6513816.900641662, 145750.30436148387 6513818.431407901, 145750.3279349861 6513819.345099253, 145750.33893338128 6513819.798983761, 145750.34950772717 6513820.258513803, 145750.3594600066 6513820.763149818, 145750.3828224692 6513822.088336916, 145750.39170305972 6513822.695537008, 145750.4059854958 6513823.916484067, 145750.41852976196 6513825.595099066, 145750.41911091865 6513825.744783724, 145750.42044975123 6513826.202342147, 145750.42039231412 6513827.575667814, 145750.4169096674 6513828.489675577, 145750.41607909964 6513828.613988108, 145750.38881102498 6513831.39211657, 145750.35806622735 6513833.1513429675, 145750.33319032536 6513834.2893870715, 145750.30859504075 6513835.25433802, 145750.25039533878 6513837.187115846, 145750.22857684953 6513837.829304674, 145750.1941095144 6513838.765402136, 145750.14041305432 6513840.081811224, 145750.0266050399 6513842.517522359, 145750.00324078155 6513842.97735842, 145749.89658185234 6513844.907913901, 145749.83978547822 6513845.871923603, 145749.7542968538 6513847.212635882, 145749.64801156448 6513848.763780042, 145749.57809244088 6513849.727115961, 145749.4352588033 6513851.586452586, 145749.42997215642 6513851.654332268, 145749.4090935723 6513851.912027905, 145749.1846196485 6513854.542076767, 145748.99147975614 6513856.614768783, 145748.91198329846 6513857.426945387, 145748.72442366296 6513859.258540847, 145748.6118825332 6513860.310658007, 145748.50362818385 6513861.292899209, 145748.28532159622 6513863.190961761, 145748.17944358528 6513864.081450625, 145748.17115108902 6513864.146638289, 145748.1709599267 6513864.148159655, 145747.94826354095 6513865.942730384, 145747.93253851743 6513866.067737968, 145747.8289035771 6513866.869438833, 145747.55107380578 6513868.941405678, 145747.45292531906 6513869.655420391, 145747.32224590203 6513870.582675343, 145747.14431864963 6513871.810357832, 145747.0516930616 6513872.436420399, 145746.85714891023 6513873.721277637, 145746.71005450736 6513874.67645004, 145746.62501780942 6513875.213889992, 145746.24809118756 6513877.539176004, 145746.17362481117 6513877.989336429, 145746.08886557686 6513878.490373013, 145745.94332079892 6513879.34648118, 145745.92674314848 6513879.439880338, 145745.926436437 6513879.441626345, 145745.76094443924 6513880.393618259, 145745.245923278 6513883.247223544, 145744.70432485224 6513886.095022744, 145744.32828610993 6513887.9904682245, 145744.1363756133 6513888.93593598, 145743.5412097003 6513891.774193303, 145743.33810779458 6513892.717610902, 145742.9199755639 6513894.6043031085, 145742.49154006032 6513896.489257198, 145742.2726852665 6513897.430736956, 145742.26430826267 6513897.47622002, 145742.26016959923 6513897.522282529, 145742.26030468472 6513897.568530394, 145742.26471236337 6513897.61456794, 145742.27335492522 6513897.660001291, 145743.00684562523 6513900.73383311, 145742.69595803873 6513902.554979951, 145742.69115236338 6513902.590962549, 145742.59741881784 6513903.559683854, 145742.18503534558 6513906.459563314, 145742.1805989208 6513906.50664375, 145742.1806301295 6513906.553932737, 145742.22730345966 6513907.5262245275, 145742.09049238331 6513908.448357653, 145742.08524508667 6513908.5088363085, 145742.05975555046 6513909.496474766, 145741.77570656588 6513912.425106726, 145741.31081597187 6513915.307138016, 145740.8193087955 6513917.178845296, 145740.8095446471 6513917.224671956, 145740.804113101 6513917.271211398, 145740.8030618552 6513917.3180549275, 145740.8064001414 6513917.364791179, 145740.81409864384 6513917.41100973, 145740.82594397635 6513917.455754034, 145740.55917859357 6513918.029565244, 145741.46597435314 6513918.451135463, 145741.84113569127 6513917.644165012, 145741.86027599277 6513917.596804708, 145741.87448422506 6513917.547738675, 145741.8836120913 6513917.497479034, 145741.88756432032 6513917.446550364, 145741.88629966116 6513917.39548423, 145741.87983131353 6513917.344813626, 145741.8682267902 6513917.295067425, 145741.85160721216 6513917.246764846, 145741.84125127472 6513917.224396657, 145742.28417941346 6513915.537683093, 145742.29419490809 6513915.490313588, 145742.76546375806 6513912.568741094, 145742.76950914133 6513912.537385719, 145743.0567963957 6513909.5753662065, 145743.05896527573 6513909.539997533, 145743.08412765982 6513908.56503518, 145743.22366264384 6513907.62454239, 145743.22845994262 6513907.575984207, 145743.2285012896 6513907.527189642, 145743.18175501397 6513906.553378263, 145743.58903533392 6513903.689384155, 145743.59169131878 6513903.667143971, 145743.684754439 6513902.705351405, 145744.00978681474 6513900.801345874, 145744.01575277958 6513900.751306162, 145744.01665143814 6513900.700920075, 145744.01247366157 6513900.650699445, 145744.00326188875 6513900.601154429, 145743.27338027497 6513897.542447169, 145743.46584728354 6513896.714483617, 145743.46639691386 6513896.712092608, 145743.89540342533 6513894.8246263, 145743.8959945696 6513894.821992616, 145744.3147460857 6513892.932506076, 145744.31539167103 6513892.929550782, 145744.5190932594 6513891.983347629, 145744.51964899362 6513891.98073225, 145745.11541971966 6513889.139590665, 145745.11607045855 6513889.136436859, 145745.3085206212 6513888.18831038, 145745.30895458377 6513888.186147964, 145745.68559276866 6513886.2876809575, 145745.6863471143 6513886.283798239, 145746.22875308522 6513883.431752856, 145746.2296075613 6513883.427142214, 145746.7453311553 6513880.569644921, 145746.74589294917 6513880.566473764, 145746.91150892715 6513879.613768656, 145746.92824911297 6513879.519453767, 145746.92887099093 6513879.515874564, 145747.07475440222 6513878.657774523, 145747.15976786645 6513878.155236111, 145747.16006849063 6513878.1534391325, 145747.23481557364 6513877.701581793, 145747.23507705767 6513877.699985041, 145747.6122842105 6513875.372968415, 145747.61258284296 6513875.3711038465, 145747.69792834317 6513874.831712236, 145747.69824663425 6513874.829673358, 145747.84559418433 6513873.872857118, 145747.84578482588 6513873.8716086885, 145748.04055030385 6513872.585289709, 145748.04080104973 6513872.583614505, 145748.13365877402 6513871.955982914, 145748.13387297274 6513871.9545201985, 145748.312046731 6513870.725136841, 145748.31232390253 6513870.723197628, 145748.44325881082 6513869.794129799, 145748.44349355987 6513869.792443327, 145748.5418706501 6513869.07676556, 145748.54209325704 6513869.075126027, 145748.82019042017 6513867.0011650575, 145748.82049975256 6513866.99881591, 145748.9243962134 6513866.19509197, 145748.92461257897 6513866.193395389, 145748.9404965052 6513866.067124593, 145748.94060014831 6513866.066295073, 145749.1632535917 6513864.27207039, 145749.17170762032 6513864.205612914, 145749.17220755172 6513864.201550151, 145749.27844028512 6513863.308077888, 145749.27866279037 6513863.306175428, 145749.49721431953 6513861.405983237, 145749.49747974495 6513861.403626265, 145749.60595185164 6513860.419409251, 145749.60612497773 6513860.417814922, 145749.7188714356 6513859.363778204, 145749.71910645074 6513859.361533204, 145749.90689506655 6513857.527701659, 145749.90711810015 6513857.525474464, 145749.98683695536 6513856.711025732, 145749.98705830384 6513856.708708709, 145750.1804864339 6513854.632923454, 145750.1808319179 6513854.629053137, 145750.4055624762 6513851.995997417, 145750.4057406922 6513851.993855002, 145750.42676903066 6513851.734311011, 145750.4268925072 6513851.732756894, 145750.4322601904 6513851.663836719, 145750.43230093375 6513851.663309986, 145750.57523553434 6513849.802659075, 145750.57539256106 6513849.800556966, 145750.6454610864 6513848.835162611, 145750.6456032274 6513848.833147857, 145750.7520384968 6513847.2798148645, 145750.7521947873 6513847.277451901, 145750.83783557525 6513845.934353252, 145750.8379833901 6513845.931943483, 145750.89490453558 6513844.965816026, 145750.89500874325 6513844.963990451, 145751.00177913668 6513843.031417438, 145751.0018963075 6513843.02920786, 145751.02536840976 6513842.567249304, 145751.02546766744 6513842.565213965, 145751.1393923529 6513840.127005845, 145751.13952182184 6513840.124047032, 145751.1933190235 6513838.805168189, 145751.19339587493 6513838.803187739, 145751.2279258108 6513837.865390104, 145751.22797607025 6513837.86397025, 145751.24985144235 6513837.220107176, 145751.2499132429 6513837.218178528, 145751.30817674586 6513835.283281909, 145751.3082409356 6513835.280972938, 145751.33288875967 6513834.313960699, 145751.33293169283 6513834.312147143, 145751.35785134847 6513833.172101361, 145751.35789441594 6513833.169911561, 145751.38869180952 6513831.407675606, 145751.38874406432 6513831.403846179, 145751.41603862273 6513828.623019495, 145751.41605154634 6513828.621452667, 145751.41689214355 6513828.495639011, 145751.4168996735 6513828.49420358, 145751.4203886447 6513827.578535979, 145751.42039227384 6513827.576651753, 145751.42044978138 6513826.2016420085, 145751.4204476414 6513826.200158085, 145751.4191059381 6513825.741618567, 145751.4185187401 6513825.590318979, 145751.4185085478 6513825.588523845, 145751.40594968214 6513823.907955206, 145751.40592943662 6513823.905843078, 145751.39162608737 6513822.6831082385, 145751.39160682613 6513822.681644799, 145751.3827045542 6513822.072962266, 145751.38268033953 6513822.071460813, 145751.35929542573 6513820.745000218, 145751.35927589997 6513820.743954695, 145751.34929710298 6513820.237974091, 145751.3492619845 6513820.23633046, 145751.33866171338 6513819.775673784, 145751.3386473106 6513819.775064052, 145751.3276320337 6513819.320482865, 145751.32761243224 6513819.319699307, 145751.30400402984 6513818.404655251, 145751.3039507499 6513818.402733466, 145751.2585138975 6513816.870205409, 145751.2584638353 6513816.868603542, 145751.24871245545 6513816.571818718, 145751.24866287518 6513816.570373419, 145751.22468780712 6513815.899787852, 145751.22465779024 6513815.898967153, 145751.18129367425 6513814.739409825, 145751.18124126797 6513814.7380574895, 145751.1501774953 6513813.963552358, 145751.15010041755 6513813.961714985, 145751.1039576286 6513812.908042688, 145751.10385621787 6513812.905838277, 145751.01484419993 6513811.059697691, 145751.01474113992 6513811.057647675, 145750.96786939199 6513810.161965543, 145750.96778693213 6513810.1604347695, 145750.91717805906 6513809.247010685, 145750.91709038167 6513809.245471203, 145750.85331525293 6513808.155291166, 145750.8532177322 6513808.153669338, 145750.80770678367 6513807.416779998, 145750.80759666295 6513807.415045956, 145750.72966092126 6513806.220628249, 145750.7295533418 6513806.21901945, 145750.68645998675 6513805.58982014, 145750.66388456945 6513805.254346913, 145750.66368827905 6513805.251547322, 145750.55507615994 6513803.76237977, 145750.5549168337 6513803.760257533, 145750.44637630304 6513802.354568997, 145750.4462530221 6513802.3530044025, 145750.41272223942 6513801.935817806, 145750.41266518214 6513801.935114127, 145750.3381420275 6513801.024015724, 145750.3380054277 6513801.022378793, 145750.26049298703 6513800.111571103, 145750.26036787097 6513800.110125751, 145750.20277755946 6513799.455885411, 145750.20263637986 6513799.454310103, 145750.09623395128 6513798.287807187, 145750.0960365332 6513798.285692526, 145749.93147917712 6513796.5625721365, 145749.93139595265 6513796.561708589, 145749.92199628614 6513796.465054756, 145749.9217794771 6513796.462874952, 145749.73686174082 6513794.644166665, 145749.73666559014 6513794.6422732975, 145749.63401916774 6513793.669535164, 145749.63382760316 6513793.667750486, 145749.54159200637 6513792.822749364, 145749.54139505708 6513792.820974436, 145749.4390688064 6513791.913585756, 145749.43894696533 6513791.912515669, 145749.334434052 6513791.003327934, 145749.30862942588 6513790.7793832915, 145749.30835288853 6513790.777032323, 145749.11753231325 6513789.187227226, 145749.1172649408 6513789.185040366, 145748.95641502592 6513787.893071317, 145748.95619259457 6513787.8913102215, 145748.88937525186 6513787.369734246, 145748.8892942528 6513787.369105134, 145748.83260968537 6513786.931035586, 145748.83241773132 6513786.929569171, 145748.6505712309 6513785.556156067, 145748.65033583142 6513785.5544020515, 145748.5762106549 6513785.009396243, 145748.5760922512 6513785.008531334, 145748.40172207655 6513783.743023513, 145748.40137489536 6513783.7405495355, 145748.27224197786 6513782.836773666, 145748.27214211918 6513782.836078264, 145748.1703613893 6513782.1308134245, 145748.17012082145 6513782.129165878, 145748.14070202972 6513781.930008975, 145748.06649034593 6513781.425404786, 145748.06624819277 6513781.423776876, 145747.88415724775 6513780.213336079, 145747.88399820082 6513780.212286399, 145747.86736021377 6513780.103260378, 145747.8672396544 6513780.102474562, 145747.73655835039 6513779.255177164, 145747.7363952526 6513779.254127097, 145747.58747072166 6513778.301983207, 145747.58718669866 6513778.300188677, 145747.4335012215 6513777.3404609505, 145747.43317281114 6513777.338436706, 145747.29542828968 6513776.500288361, 145747.2774344004 6513776.386780725, 145747.27665893373 6513776.382036577, 145746.99334750464 6513774.699634858, 145746.9930310611 6513774.697777093, 145746.8382860632 6513773.799535237, 145746.78974794457 6513773.517613173, 145746.78945090203 6513773.515905579, 145746.68134817906 6513772.900776667, 145746.68096354746 6513772.898615856, 145746.3577086577 6513771.105431149, 145746.35752143283 6513771.104398766, 145746.2756628317 6513770.655701276, 145746.27524796763 6513770.653456292, 145746.023984298 6513769.310934533, 145746.0236232174 6513769.309025764, 145745.7349609071 6513767.799145643, 145745.73466162832 6513767.797593538, 145745.68033428653 6513767.518219863, 145745.67994828412 6513767.516255867, 145745.32519529155 6513765.730157768, 145745.32493355538 6513765.728849131, 145745.16737814294 6513764.946528253, 145745.16688401057 6513764.944105667, 145745.14412105302 6513764.833897736, 145744.96091008227 6513763.942656101, 145744.96060160044 6513763.941166956, 145744.77416034348 6513763.047993598, 145744.77377231888 6513763.046152044, 145744.5852245879 6513762.159583588, 145744.57409860147 6513762.104705058, 145744.57269561934 6513762.09801974, 145744.1990399426 6513760.376122936, 145744.19855071174 6513760.373893017, 145743.95134848118 6513759.259305389, 145743.95101650796 6513759.257819293, 145743.80219716238 6513758.596357307, 145743.73846724036 6513758.31366086, 145743.73833833679 6513758.313090618, 145743.60092417678 6513757.706847363, 145743.6004476228 6513757.704765537, 145743.3955587358 6513756.818415477, 145743.39538833965 6513756.817680867, 145743.30381610955 6513756.424244197, 145743.30367848324 6513756.423654509, 145743.18836897035 6513755.930934919, 145743.18803865163 6513755.92953257, 145742.9782645252 6513755.0446634535, 145742.97789091856 6513755.043098725, 145742.6299842529 6513753.596313836, 145742.6295980565 6513753.594719334, 145742.5510067398 6513753.27254789, 145742.52256116385 6513753.155723657, 145742.52223040222 6513753.154373409, 145742.3763280949 6513752.562327662, 145742.3496448407 6513752.451557859, 145742.34813924387 6513752.445475354, 145742.3207412414 6513752.337689634, 145742.1779103612 6513751.764190027, 145742.16317622605 6513751.703096563, 145742.16215668368 6513751.69894702, 145742.12431564217 6513751.54772536, 145742.1240576522 6513751.546698985, 145741.92799154503 6513750.770156275, 145741.89680779344 6513750.644461368, 145741.89592290687 6513750.640949068, 145741.85048331926 6513750.46330828, 145741.85032334705 6513750.462684561, 145741.44755417368 6513748.896508993, 145741.4470198086 6513748.894449284, 145741.20212991463 6513747.958717776, 145741.15570329252 6513747.781209802, 145741.1545010565 6513747.776699278, 145741.14079521204 6513747.726225911, 145741.0013642671 6513747.200141091, 145740.98383477755 6513747.134158881, 145740.983704754 6513747.133670461, 145740.95364569715 6513747.020985828, 145740.8269649135 6513746.545588364, 145740.80479333628 6513746.462305608, 145740.80367990342 6513746.458193776, 145740.77806761643 6513746.365181693, 145740.75006508076 6513746.258326478, 145740.74889970728 6513746.253960081, 145740.48260304704 6513745.274002238, 145740.48210123443 6513745.272169366, 145740.4697415394 6513745.227360022, 145740.44815007187 6513745.1487619495, 145740.31533321692 6513744.661281166, 145740.31481697905 6513744.659400869, 145740.26983451832 6513744.496803449, 145740.26901751725 6513744.493884701, 145740.240674039 6513744.393796906, 145740.19278465793 6513744.217158703, 145740.19180248605 6513744.2135884, 145739.98964593583 6513743.489225943, 145739.92471991756 6513743.2554511875, 145739.92456093951 6513743.254880079, 145739.8581668874 6513743.016914087, 145739.8577488801 6513743.015424792, 145739.7825660446 6513742.7491437085, 145739.7821447084 6513742.7476601815, 145739.7487717023 6513742.6308394475, 145739.6835386673 6513742.40024697, 145739.6700199477 6513742.351079988, 145739.66891896792 6513742.347138932, 145739.58475354305 6513742.050549892, 145739.58224307402 6513742.041994495, 145739.5758743862 6513742.020985884, 145739.5620060379 6513741.972767485, 145739.49021774795 6513741.718442783, 145739.48958814348 6513741.716231735, 145739.28581145417 6513741.006803996, 145739.2853510605 6513741.00521114, 145738.86373604398 6513739.555535782, 145738.8631266912 6513739.55345739, 145738.71170980722 6513739.041114549, 145738.71130387366 6513739.039748178, 145738.1266055381 6513737.081882091, 145738.12592276552 6513737.079615407, 145738.03123901947 6513736.767955586, 145738.03079335138 6513736.766496637, 145737.52592922616 6513735.122740331, 145737.52531750375 6513735.12076325, 145737.1729635957 6513733.990249311, 145737.1724207867 6513733.988518783, 145736.91365729074 6513733.168765139, 145736.91319594017 6513733.167311326, 145736.8310123173 6513732.909696787, 145736.29857701756 6513731.218268535, 145736.2978827311 6513731.216080492, 145736.00303720203 6513730.294221013, 145736.00264728587 6513730.293007242, 145735.67004495853 6513729.262163817, 145735.66942455358 6513729.26025411, 145735.403174154 6513728.446257826, 145735.40275761113 6513728.444990074, 145735.0277070484 6513727.308636508, 145735.02709143766 6513727.3067834545, 145734.48243968643 6513725.677960838, 145734.48174772644 6513725.675906299, 145734.37175732537 6513725.351653058, 145734.37144338305 6513725.350730509, 145733.7047471811 6513723.397821035, 145733.70433823206 6513723.39662805, 145733.53750513145 6513722.911936638, 145733.53682237703 6513722.909966427, 145733.02500212876 6513721.442911176, 145733.02468074564 6513721.441992854, 145732.8939022968 6513721.069468482, 145732.8936007163 6513721.068611915, 145732.56876541622 6513720.148663037, 145732.5683496294 6513720.147490161, 145732.33306217357 6513719.486390268, 145732.33260916546 6513719.48512283, 145731.631743675</t>
  </si>
  <si>
    <t>[1441]</t>
  </si>
  <si>
    <t>['KV1441 S2D10 m90-93']</t>
  </si>
  <si>
    <t>LINESTRING Z (146377.98866252205 6513859.440643924 115.944, 146378.15054692636 6513859.181484856 115.692, 146378.2629028684 6513859.002581216 115.509, 146378.51192922343 6513858.6051928885 115.104, 146378.56055816473 6513858.526030791 115.022, 146378.66581483814 6513858.35687021 114.849, 146378.84340611432 6513858.0730490945 114.554, 146378.90263550746 6513857.978774197 114.456, 146379.06982013996 6513857.712058734 114.103, 146379.12384621118 6513857.626336663 114.02, 146379.42590221553 6513857.143323174 113.53, 146379.6669297843 6513856.756771244 113.11, 146379.70425256056 6513856.695808132 113.042, 146379.91065591812 6513856.366939326 112.741, 146380.25183374615 6513855.820776076 112.218, 146380.31716598436 6513855.716855028 112.156, 146380.92728394468 6513854.740185491 111.182, 146380.94299081503 6513854.715523439 111.157, 146381.23023947846 6513854.25607869 110.789, 146381.33989686024 6513854.080455046 110.661, 146381.486074402 6513853.8459580485 110.494, 146381.50537935877 6513853.81692268 110.468, 146381.7691161707 6513853.394969226 110.157, 146381.90398754686 6513853.178671207 109.904, 146382.03805630584 6513852.964462952 109.713)</t>
  </si>
  <si>
    <t>POLYGON ((146378.57429147477 6513859.446891948, 146378.6863253728 6513859.268501096, 146378.9356124646 6513858.870697147, 146378.93796530677 6513858.86690505, 146378.98584318723 6513858.78896559, 146379.09001036253 6513858.621555968, 146379.26702647517 6513858.338654062, 146379.32601267996 6513858.244766246, 146379.32628629656 6513858.244330235, 146379.49314552473 6513857.9781339, 146379.5468448584 6513857.892930257, 146379.54777727535 6513857.891445043, 146379.8498332797 6513857.408431553, 146379.8501810247 6513857.407874666, 146380.09120859345 6513857.0213227365, 146380.09336035157 6513857.017840145, 146380.12923120108 6513856.959248614, 146380.3341563803 6513856.632735034, 146380.33471584876 6513856.631841525, 146380.67551418248 6513856.086285776, 146380.7404651046 6513855.982971271, 146380.74122376574 6513855.981760668, 146381.3501865247 6513855.006940363, 146381.36472209595 6513854.98411742, 146381.36695027503 6513854.980586406, 146381.65419893846 6513854.521141657, 146381.76401253368 6513854.345267991, 146381.90650440796 6513854.116683771, 146381.9217480552 6513854.093756761, 146381.9293713285 6513854.081933641, 146382.19310814043 6513853.659980187, 146382.1933926898 6513853.6595243905, 146382.32804174034 6513853.443582923, 146382.46188765985 6513853.229730709, 146381.61422495183 6513852.699195194, 146381.48015619285 6513852.91340345, 146381.47971102776 6513852.914116043, 146381.34498192027 6513853.1301859, 146381.0851158596 6513853.545946525, 146381.06970570557 6513853.569123967, 146381.06176400726 6513853.581457219, 146380.91568389433 6513853.815797922, 146380.80620174966 6513853.991140912, 146380.52013807523 6513854.448690311, 146380.50555266376 6513854.47159151, 146380.5032261633 6513854.475279851, 146379.8934866506 6513855.451343574, 146379.8285346259 6513855.554659833, 146379.82777381552 6513855.555873876, 146379.4868752646 6513856.101590055, 146379.2807520984 6513856.430012424, 146379.27782199328 6513856.434739231, 146379.2415679827 6513856.493956619, 146379.00179710714 6513856.878493106, 146378.70038003958 6513857.36048488, 146378.64682149273 6513857.44546514, 146378.64616935086 6513857.446502697, 146378.47912129786 6513857.71300027, 146378.42002894182 6513857.807057046, 146378.41954332468 6513857.80783157, 146378.2419520485 6513858.091652685, 146378.24128788785 6513858.092717094, 146378.13603121444 6513858.261877676, 146378.13452208138 6513858.264318629, 146378.08706111475 6513858.341579404, 146377.839349687 6513858.7368694125, 146377.72712442194 6513858.915564976, 146377.7264815897 6513858.916591311, 146377.56459718538 6513859.175750379, 146378.41272785873 6513859.705537469, 146378.57429147477 6513859.446891948))</t>
  </si>
  <si>
    <t>['FV421 S4D1 m446-448']</t>
  </si>
  <si>
    <t>LINESTRING Z (145698.4775943522 6513585.421342985 107.673, 145698.96341771295 6513585.131686036 107.506, 145699.0433388211 6513585.084685429 107.471, 145699.09652265825 6513585.052355267 107.475, 145699.8515452018 6513584.603746074 107.456, 145700.33926452015 6513584.312898893 107.402, 145700.56087085156 6513584.181709681 107.409, 145701.04669420602 6513583.89205274 107.359, 145701.29204851144 6513583.7464838 107.339, 145701.47933372285 6513583.634725967 107.336, 145702.12499928806 6513583.251067831 107.333, 145702.2647885484 6513583.168069456 107.365)</t>
  </si>
  <si>
    <t>POLYGON ((145699.21817780109 6513585.561918023, 145699.2968015667 6513585.515680367, 145699.30306249287 6513585.51193666, 145699.35409189953 6513585.480916165, 145700.1069469723 6513585.03359481, 145700.10763686828 6513585.033184147, 145700.59466601224 6513584.7427485455, 145700.81558082456 6513584.611968707, 145700.81692365327 6513584.611170928, 145701.30228415216 6513584.32178995, 145701.54717510476 6513584.176495918, 145701.54826180046 6513584.175849321, 145701.73514780664 6513584.064329704, 145702.38033956446 6513583.680953108, 145702.52005451935 6513583.59799885, 145702.00952257746 6513582.7381400615, 145701.86973331711 6513582.821138437, 145701.22391954856 6513583.204884602, 145701.22312043383 6513583.205360446, 145701.0363781468 6513583.316794302, 145700.7915676127 6513583.462040622, 145700.7906414043 6513583.462591493, 145700.30548887464 6513583.751848475, 145700.08455454715 6513583.882639866, 145700.08317285366 6513583.88346082, 145699.59579831437 6513584.174102395, 145698.84112088775 6513584.622506531, 145698.83679898648 6513584.625104036, 145698.7867319628 6513584.655539504, 145698.70995496734 6513584.700691097, 145698.70736490822 6513584.70222479, 145698.22154154748 6513584.991881739, 145698.73364715694 6513585.85080423, 145699.21817780109 6513585.561918023))</t>
  </si>
  <si>
    <t>['FV421 S4D1 m1055-1268']</t>
  </si>
  <si>
    <t>LINESTRING Z (145582.69848304772 6514112.389581641 82.18, 145581.1859704369 6514111.741046229 82.179, 145581.0678943097 6514111.788740433 82.18, 145579.4652566929 6514112.375109842 82.228, 145579.3401656219 6514112.474784992 82.206, 145577.12911935954 6514112.566097167 82.599, 145576.77666944638 6514112.934318829 82.496, 145576.7061710845 6514113.802188792 82.107, 145573.976720798 6514114.95480422 82.097, 145571.8876313697 6514115.183122541 82.387, 145571.22995602107 6514116.063840024 82.099, 145570.4744570254 6514116.7247358 81.931, 145568.202415029 6514116.643943386 82.389, 145568.02334786765 6514116.6643759245 82.412, 145567.31519883452 6514117.057132157 82.358, 145565.40257931134 6514117.41413745 82.619, 145565.06553546194 6514116.9892511945 82.884, 145564.02204923693 6514117.098781076 83.063, 145562.35162539536 6514118.105150449 82.972, 145560.691595672 6514119.135655418 82.864, 145560.2824836101 6514119.386673175 82.837, 145559.85920031118 6514119.647115997 82.81, 145558.88222755853 6514120.244053162 82.746, 145558.19083883794 6514120.6643493045 82.702, 145557.68458825682 6514120.919784879 82.667, 145557.32028602913 6514121.104081562 82.642, 145556.05701896845 6514121.735902982 82.555, 145554.70299442217 6514122.406726652 82.461, 145552.07589007256 6514123.691214839 82.281, 145549.56735545368 6514125.22267707 81.953, 145547.6768851605 6514125.786746786 81.981, 145546.79365456308 6514126.199548078 81.921, 145546.7705154302 6514126.209845309 81.919, 145545.9005565386 6514126.614314882 81.86, 145544.1385234007 6514127.423393131 81.741, 145543.65607543342 6514127.644326429 81.708, 145543.2514313191 6514127.827517278 81.68, 145542.3756180773 6514128.223503514 81.621, 145541.60174425197 6514128.571353163 81.569, 145541.47447901603 6514128.627987934 81.56, 145539.69366522774 6514129.419781442 81.44, 145539.60400108318 6514129.459683218 81.434, 145538.80142450082 6514129.812336054 81.38, 145537.90898995358 6514130.202897804 81.32, 145536.1193598538 6514130.9764374895 81.2, 145534.32696160697 6514131.7421995485 81.08, 145533.42937841307 6514132.121191763 81.02, 145533.1433496984 6514132.2415480865 81.001, 145530.73028993118 6514133.244702921 80.84, 145529.02972762263 6514133.94118218 80.726, 145528.02228822018 6514134.348963818 80.659, 145526.2127692285 6514135.073139163 80.539, 145525.3071723316 6514135.431787782 80.479, 145522.5831432112 6514136.495361485 80.299, 145520.76293927903 6514137.192412035 80.179, 145519.85100347793 6514137.537595158 80.119, 145517.1118464697 6514138.559388323 79.939, 145516.19704561232 6514138.895797392 79.879, 145516.10570666823 6514138.928821053 79.872, 145514.36467575293 6514139.560837885 79.758, 145511.6104877593 6514140.5418469375 79.578, 145508.84918558068 6514141.501419046 79.398, 145507.0071545411 6514142.129176614 79.278, 145506.46374273533 6514142.3127871305 79.243, 145506.4130910937 6514142.329783501 79.239, 145506.0797727827 6514142.439651113 79.218, 145503.30227672565 6514143.346481901 79.037, 145501.44958809594 6514143.937053417 78.916, 145500.5224548318 6514144.229398333 78.855, 145497.7382173274 6514145.087597797 78.674, 145495.87943828088 6514145.646574227 78.553, 145494.94966111775 6514145.922076717 78.493, 145494.48517384287 6514146.058783077 78.463, 145493.08913769765 6514146.463117378 78.372, 145492.1584883475 6514146.729651979 78.312, 145491.69252009236 6514146.861473085 78.282, 145490.29532102734 6514147.253850208 78.191, 145489.3637025825 6514147.51042049 78.131, 145488.43089388276 6514147.765094815 78.07, 145486.56421048107 6514148.263482718 77.95, 145486.09737003857 6514148.386335936 77.919, 145483.761811095 6514148.986651982 77.768, 145480.9556048966 6514149.681021619 77.587, 145479.08368838212 6514150.12560218 77.467, 145478.14629759744 6514150.343505424 77.406, 145475.33388919634 6514150.974103387 77.225, 145473.4568091432 6514151.375934258 77.104, 145472.51728635177 6514151.571915989 77.044, 145469.6983850227 6514152.135752966 76.863, 145466.87609186722 6514152.664714799 76.681, 145464.05230284506 6514153.157611238 76.5, 145461.22492818075 6514153.6136396555 76.319, 145460.28235897387 6514153.75761306 76.259, 145458.39695717435 6514154.032509329 76.138, 145455.56710267044 6514154.411327865 75.957, 145452.73645800905 6514154.750994782 75.776, 145452.2270592075 6514154.808582803 75.743, 145452.16936295957 6514154.81519986 75.739, 145450.84874283843 6514154.960735265 75.655, 145448.95957402565 6514155.155529252 75.535, 145447.06856394088 6514155.331391005 75.415, 145445.1768059245 6514155.489220042 75.295, 145443.28230710933 6514155.62921019 75.175, 145442.33487755514 6514155.692181772 75.115, 145441.3879598895 6514155.750074282 75.055, 145439.49196521152 6514155.853999006 74.935, 145437.594226168 6514155.939987921 74.815, 145435.69673562673 6514156.007847218 74.694, 145433.7984971534 6514156.057673796 74.574, 145431.89941384073 6514156.0884712245 74.454, 145430.00067593786 6514156.1021354655 74.334, 145428.10218653694 6514156.097670082 74.214, 145426.20285229653 6514156.074175542 74.094, 145424.3038634656 6514156.033547812 73.974, 145422.40611957083 6514155.974693546 73.853, 145420.50862417812 6514155.897709647 73.733, 145418.61237372155 6514155.802499215 73.613, 145416.71646867477 6514155.690155583 73.493, 145414.82270809117 6514155.558492074 73.373, 145412.92929291748 6514155.409695364 73.253, 145411.03802220727 6514155.241578773 73.133, 145409.1481902487 6514155.057228506 73.012, 145407.25950631988 6514154.85365526 72.892, 145405.37316066964 6514154.632754999 72.772, 145403.4900528253 6514154.393434379 72.652, 145401.60818991886 6514154.135887214 72.532, 145400.1992627101 6514153.9319250975 72.442, 145399.7296617261 6514153.860916121 72.412, 145398.79026593664 6514153.716905292 72.352, 145397.85347181297 6514153.568618006 72.292, 145397.3843827161 6514153.4925299445 72.262, 145395.97942636505 6514153.257000001 72.172, 145394.10980897356 6514152.928857592 72.051, 145392.24243295554 6514152.582391728 71.931, 145391.77606977656 6514152.4929623855 71.901, 145390.3783916526 6514152.21850193 71.811, 145389.450771717 6514152.030093885 71.751, 145388.52475701302 6514151.837506288 71.691, 145387.5983546715 6514151.640932941 71.632, 145386.67355756246 6514151.4401800465 71.572, 145385.75026877713 6514151.234251157 71.512, 145384.80907152733 6514151.020005349 71.451)</t>
  </si>
  <si>
    <t>POLYGON ((145579.15666044012 6514111.9819372175, 145577.10848785844 6514112.066523007, 145577.06082089985 6514112.070783812, 145577.01377963525 6514112.079582267, 145576.9677950179 6514112.0928377705, 145576.92328832086 6514112.110428885, 145576.8806672777 6514112.132194456, 145576.84032234718 6514112.157935085, 145576.80262313623 6514112.187414957, 145576.7679150139 6514112.220364003, 145576.41546510073 6514112.588585665, 145576.3835266068 6514112.625387271, 145576.3553220666 6514112.665123017, 145576.33111935836 6514112.707415504, 145576.3111483522 6514112.751863051, 145576.29559872678 6514112.79804351, 145576.28461816785 6514112.8455182705, 145576.27831096546 6514112.893836432, 145576.2323596588 6514113.459519913, 145573.84963763904 6514114.465715987, 145571.83330941485 6514114.686082175, 145571.78270527412 6514114.69425598, 145571.7332039445 6514114.707567949, 145571.68532570277 6514114.725878167, 145571.63957376656 6514114.748994189, 145571.5964290052 6514114.776673057, 145571.5563448857 6514114.808623855, 145571.5197427066 6514114.8445107695, 145571.48700716984 6514114.883956616, 145570.86096200376 6514115.722316947, 145570.29430911574 6514116.218013834, 145568.22018349075 6514116.144259204, 145568.1829025721 6514116.144324267, 145568.14573013264 6514116.147166955, 145567.9666629713 6514116.167599494, 145567.91823439853 6514116.175549617, 145567.87081850204 6514116.188209155, 145567.82487209243 6514116.205456142, 145567.78083782326 6514116.22712442, 145567.14366768996 6514116.580514072, 145565.60703847956 6514116.867337853, 145565.4572550814 6514116.678517, 145565.42411052462 6514116.640791836, 145565.38734902177 6514116.606581582, 145565.34734138605 6514116.576231315, 145565.3044911744 6514116.550047179, 145565.25923061685 6514116.528293293, 145565.21201625656 6514116.511189089, 145565.16332434473 6514116.498907097, 145565.11364603657 6514116.491571205, 145565.06348243714 6514116.48925541, 145565.01333954654 6514116.491983071, 145563.96985332153 6514116.601512953, 145563.91586699185 6514116.610185813, 145563.86315049234 6514116.62470177, 145563.81233425805 6514116.644887226, 145563.76402599868 6514116.670500784, 145562.0936021571 6514117.676870157, 145562.08791778982 6514117.680346614, 145560.42899670865 6514118.710163365, 145560.02099690234 6514118.9604986785, 145560.0204635084 6514118.960826411, 145559.59784324202 6514119.220861275, 145558.62201820654 6514119.817097176, 145557.94798048396 6514120.226845624, 145557.45935323526 6514120.473389108, 145557.45888180277 6514120.473627288, 145557.09560168642 6514120.6574068945, 145555.83420462275 6514121.2882930385, 145554.48219811043 6514121.958116915, 145551.85626761068 6514123.242031164, 145551.81535474776 6514123.264458065, 145549.36220938733 6514124.762105113, 145547.53392552267 6514125.307619932, 145547.465178404 6514125.333778521, 145546.58614022823 6514125.7446203735, 145546.56722906843 6514125.753036099, 145546.5597196717 6514125.75645238, 145545.69083603175 6514126.160422036, 145543.93011213758 6514126.968899116, 145543.448878077 6514127.189276515, 145543.04532931995 6514127.371971472, 145542.17012741498 6514127.767681302, 145541.3976057451 6514128.114923168, 145541.27126614467 6514128.171146019, 145539.4905272888 6514128.96290621, 145539.40178710542 6514129.002396782, 145538.60062323266 6514129.354428872, 145537.7095685695 6514129.744386734, 145535.92195065288 6514130.517056685, 145534.13149637802 6514131.281988226, 145533.23517073187 6514131.660449458, 145532.9504196114 6514131.78026819, 145530.53957038172 6514132.782504062, 145528.84117623355 6514133.478095333, 145527.83559924897 6514133.885123119, 145526.02782744198 6514134.608599235, 145525.1241929776 6514134.966470662, 145522.40280948387 6514136.029011401, 145520.58503084586 6514136.725133181, 145519.67512461267 6514137.069548079, 145516.93818321498 6514138.090514749, 145516.02575605866 6514138.4260509135, 145515.9357015859 6514138.458610173, 145515.93509392728 6514138.458830317, 145514.19548322432 6514139.090331593, 145511.44453762614 6514140.070185742, 145508.68647663828 6514141.028631514, 145506.84648302104 6514141.655694736, 145506.30418585887 6514141.8389286315, 145506.25529694976 6514141.85533351, 145505.92391757597 6514141.964562014, 145503.14875578065 6514142.870630683, 145501.29847939956 6514143.46043326, 145500.3736319928 6514143.752057396, 145497.59258012014 6514144.609274937, 145495.73641692125 6514145.167464724, 145494.80805014772 6514145.4425493, 145494.34503858516 6514145.578821333, 145492.9507562206 6514145.982647686, 145492.02160265547 6514146.248753901, 145491.55687354718 6514146.380224455, 145490.16134775037 6514146.772131672, 145489.23147823737 6514147.028220293, 145488.30055934362 6514147.282378666, 145486.436097607 6514147.780173404, 145485.97151004098 6514147.902433758, 145483.63952412395 6514148.501831418, 145480.83778499768 6514149.195095719, 145478.969314487 6514149.638857854, 145478.03499393107 6514149.856047401, 145475.2268573546 6514150.485687535, 145473.3534256705 6514150.886737391, 145472.41720047593 6514151.082031253, 145469.60329392305 6514151.644869174, 145466.78704673742 6514152.172697856, 145463.96950341895 6514152.664504098, 145461.1473700473 6514153.119687146, 145460.20854028457 6514153.263089365, 145458.3277151651 6514153.537318343, 145455.50414394285 6514153.915295768, 145452.6785880921 6514154.254352046, 145452.1708915163 6514154.311747629, 145452.17008874612 6514154.311839039, 145452.1134925841 6514154.31832993, 145450.7957155673 6514154.463552019, 145448.91078120057 6514154.657909388, 145447.0246278795 6514154.833319467, 145445.1375967729 6514154.990754139, 145443.24730386186 6514155.1304335, 145442.3030414335 6514155.193194577, 145441.35902106023 6514155.250909952, 145439.46696575297 6514155.354618748, 145437.5739745784 6514155.440392531, 145435.68124035935 6514155.5080817295, 145433.78788322603 6514155.557780178, 145431.89356086747 6514155.588500398, 145429.9994648974 6514155.602131234, 145428.10586684398 6514155.597677356, 145426.21129213733 6514155.57424169, 145424.31696055742 6514155.5337136, 145422.42400393286 6514155.475007799, 145420.531295936 6514155.398218132, 145418.63969898722 6514155.303241352, 145416.74859692727 6514155.191182326, 145414.85963436533 6514155.059852398, 145412.97101563803 6514154.911432623, 145411.08443045808 6514154.7437325325, 145409.19925468357 6514154.55983647, 145407.31537631317 6514154.356781195, 145405.43375814863 6514154.136434546, 145403.55547123478 6514153.897726608, 145401.67790708836 6514153.640767761, 145400.27245901572 6514153.437309299, 145399.8049225282 6514153.366612497, 145398.867235641 6514153.222863646, 145397.9325863147 6514153.0749158645, 145397.46574494446 6514152.999192393, 145396.06397894872 6514152.764197288, 145394.1986345164 6514152.436804839, 145392.33512137088 6514152.091055677, 145391.87132447853 6514152.002118444, 145390.47632608778 6514151.728184205, 145389.55143801615 6514151.540331026, 145388.6275540638 6514151.348186571, 145387.7032815251 6514151.152065147, 145386.78101510735 6514150.95186161, 145385.86018018686 6514150.746480026, 145384.92004822945 6514150.532476712, 145384.6980948252 6514151.507533986, 145385.639292075 6514151.721779794, 145385.64142400454 6514151.722260189, 145386.56471278987 6514151.928189078, 145386.56748903074 6514151.928800007, 145387.49228613978 6514152.129552902, 145387.4945703542 6514152.1300431695, 145388.42097269572 6514152.326616516, 145388.4229481659 6514152.327031526, 145389.3489628699 6514152.519619123, 145389.3512492397 6514152.520089065, 145390.2788691753 6514152.70849711, 145390.2820472101 6514152.709131881, 145391.67972533405 6514152.983592336, 145391.68190591558 6514152.984015506, 145392.14826909456 6514153.073444848, 145392.1512214863 6514153.074001805, 145394.01859750433 6514153.420467669, 145394.02337362283 6514153.421329855, 145395.89299101432 6514153.749472264, 145395.89675886644 6514153.750118734, 145397.30171521747 6514153.985648678, 145397.30432708492 6514153.986079431, 145397.7734161818 6514154.062167493, 145397.77529897616 6514154.062469206, 145398.71209309984 6514154.210756492, 145398.7145002904 6514154.211131522, 145399.65389607986 6514154.355142351, 145399.65490588534 6514154.3552961005, 145400.12450686935 6514154.426305077, 145400.1276273734 6514154.426766869, 145401.53655458216 6514154.630728985, 145401.5403931103 6514154.631269483, 145403.42225601675 6514154.888816648, 145403.42701579814 6514154.889444795, 145405.31012364247 6514155.128765415, 145405.3150056332 6514155.129361475, 145407.20135128344 6514155.350261736, 145407.20592379244 6514155.350775882, 145409.09460772126 6514155.554349127, 145409.09964641786 6514155.554866423, 145410.98947837643 6514155.73921669, 145410.99375136138 6514155.739615008, 145412.8850220716 6514155.907731599, 145412.89012048495 6514155.908158522, 145414.78353565864 6514156.056955232, 145414.7880293551 6514156.05728801, 145416.6817899387 6514156.188951519, 145416.6868925851 6514156.189280072, 145418.58279763188 6514156.301623704, 145418.58730038695 6514156.301870148, 145420.48355084352 6514156.39708058, 145420.48835519137 6514156.397298646, 145422.38585058408 6514156.474282545, 145422.39062064502 6514156.474453271, 145424.2883645398 6514156.533307537, 145424.29316871203 6514156.5334334215, 145426.19215754294 6514156.574061152, 145426.19666782883 6514156.574137293, 145428.09600206924 6514156.597631833, 145428.10101050427 6514156.597668699, 145429.99949990519 6514156.6021340825, 145430.00427408775 6514156.602122518, 145431.90301199062 6514156.588458277, 145431.9075212732 6514156.58840549, 145433.80660458587 6514156.5576080615, 145433.8116170597 6514156.557501635, 145435.70985553303 6514156.507675056, 145435.7146055296 6514156.507527783, 145437.61209607086 6514156.439668486, 145437.6168585682 6514156.439475433, 145439.5145976117 6514156.353486517, 145439.51933051946 6514156.353249584, 145441.41532519742 6514156.249324861, 145441.41847184356 6514156.249142434, 145442.3653895092 6514156.191249924, 145442.36803724818 6514156.191080995, 145443.31546680236 6514156.128109413, 145443.3191531395 6514156.127850711, 145445.2136519547 6514155.987860563, 145445.2183764106 6514155.987488939, 145447.11013442697 6514155.8296599025, 145447.1148635763 6514155.829242733, 145449.00587366108 6514155.653380981, 145449.0108576003 6514155.652892293, 145450.9000264131 6514155.458098306, 145450.90351242738 6514155.457726505, 145452.22413254852 6514155.3121911, 145452.22633342096 6514155.311943624, 145452.28362871596 6514155.305372551, 145452.79262570027 6514155.247829956, 145452.79602881396 6514155.2474334175, 145455.62667347534 6514154.9077665005, 145455.633443413 6514154.906907229, 145458.46329791693 6514154.528088693, 145458.4690956762 6514154.527277999, 145460.35449747572 6514154.25238173, 145460.35785618558 6514154.251880367, 145461.30042539246 6514154.107906963, 145461.304544442 6514154.1072602095, 145464.13191910632 6514153.651231792, 145464.1382786283 6514153.65016394, 145466.96206765046 6514153.157267502, 145466.9681994412 6514153.156157771, 145469.7904925967 6514152.627195938, 145469.79645257458 6514152.626041407, 145472.61535390365 6514152.06220443, 145472.61938721008 6514152.061380405, 145473.5589100015 6514151.865398674, 145473.5614739298 6514151.864856831, 145475.43855398294 6514151.46302596, 145475.44328300838 6514151.461989638, 145478.2556914095 6514150.831391675, 145478.25950771102 6514150.830520281, 145479.1968984957 6514150.612617036, 145479.1992246933 6514150.612070433, 145481.07114120777 6514150.167489871, 145481.07570324113 6514150.166383739, 145483.88190943954 6514149.472014102, 145483.88628177738 6514149.470911261, 145486.22184072094 6514148.870595215, 145486.224617144 6514148.869873085, 145486.6914575865 6514148.7470198665, 145486.69318813374 6514148.746561144, 145488.55987153543 6514148.248173241, 145488.5625834691 6514148.247441011, 145489.4953921688 6514147.992766686, 145489.49646131185 6514147.992473516, 145490.4280797567 6514147.735903233, 145490.4305069928 6514147.735228183, 145491.8277060578 6514147.34285106, 145491.82862712067 6514147.342591446, 145492.2945953758 6514147.21077034, 145492.2961520037 6514147.210327252, 145493.22680135386 6514146.9437926505, 145493.22823611455 6514146.943379422, 145494.62427225977 6514146.539045121, 145494.62634487578 6514146.538439974, 145495.09083215066 6514146.4017336145, 145495.09171142554 6514146.401473953, 145496.02148858868 6514146.1259714635, 145496.0234295143 6514146.125392068, 145497.8822085608 6514145.566415638, 145497.8854971172 6514145.565414355, 145500.66973462162 6514144.707214891, 145500.6728175186 6514144.706253722, 145501.59995078275 6514144.413908807, 145501.60144199966 6514144.413436028, 145503.45413062937 6514143.822864512, 145503.45746111625 6514143.821790016, 145506.2349571733 6514142.914959229, 145506.23629778269 6514142.914519437, 145506.5696160937 6514142.804651825, 145506.57215212894 6514142.803808382, 145506.62280377056 6514142.786812011, 145506.62379562797 6514142.786478033, 145507.16720743373 6514142.602867517, 145507.1684437286 6514142.602447993, 145509.01047476818 6514141.974690425, 145509.0133114896 6514141.973714172, 145511.7746136682 6514141.014142063, 145511.7782570753 6514141.012860161, 145514.53244506894 6514140.031851109, 145514.53528849388 6514140.030828622, 145516.2760158894 6514139.398921972, 145516.36705069465 6514139.366008272, 145516.36961694722 6514139.365072508, 145517.2844178046 6514139.028663439, 145517.28659964207 6514139.027855322, 145520.0257566503 6514138.006062157, 145520.0280061937 6514138.005216842, 145520.9399419948 6514137.660033718, 145520.9417519887 6514137.659344594, 145522.76195592087 6514136.962294044, 145522.7649942741 6514136.961119137, 145525.4890233945 6514135.897545435, 145525.49127784933 6514135.896658902, 145526.39687474622 6514135.538010282, 145526.39854589186 6514135.53734497, 145528.20806488354 6514134.813169625, 145528.2098879771 6514134.812435857, 145529.21732737956 6514134.40465422, 145529.2192292525 6514134.403879848, 145530.91979156106 6514133.707400589, 145530.92222475944 6514133.706396566, 145533.33528452666 6514132.703241731, 145533.33727305706 6514132.70241003, 145533.62330177173 6514132.582053707, 145533.6238699385 6514132.581814219, 145534.52145313242 6514132.202822004, 145534.52339913382 6514132.201995479, 145536.31579738064 6514131.43623342, 145536.31773885418 6514131.435399113, 145538.10736895396 6514130.661859428, 145538.10945177072 6514130.660953542, 145539.00188631797 6514130.270391792, 145539.00256400357 6514130.270094615, 145539.80514058593 6514129.91744178, 145539.807287456 6514129.916492424, 145539.89687770733 6514129.876623531, 145541.67761695496 6514129.084863166, 145541.8050306042 6514129.028162378, 145541.80673369544 6514129.027400669, 145542.58060752077 6514128.67955102, 145542.58160916905 6514128.679099465, 145543.45742241087 6514128.283113228, 145543.86228790047 6514128.099822223, 145543.86425584753 6514128.09892616, 145544.3467038148 6514127.877992862, 145544.34716604944 6514127.8777809, 145546.10919918734 6514127.068702651, 145546.1113522971 6514127.0677078115, 145546.9775706087 6514126.664977345, 145546.99694092484 6514126.656357288, 145547.00536131958 6514126.652516343, 145547.8551830249 6514126.255329585, 145549.7103150915 6514125.701803924, 145549.7509624773 6514125.687745302, 145549.7902512778 6514125.670245446, 145549.82789077848 6514125.649433844, 145552.316492713 6514124.130140532, 145554.92261688405 6514122.855910327, 145554.92496153497 6514122.854756339, 145556.27898608125 6514122.183932669, 145556.28067897385 6514122.18308997, 145557.54394603454 6514121.55126855, 145557.54599248318 6514121.550239153, 145557.91005902298 6514121.366061702, 145558.4160738595 6514121.110745076, 145558.45056465064 6514121.091599234, 145559.14195337123 6514120.671303092, 145559.14292021238 6514120.670713847, 145560.11989296504 6514120.073776682, 145560.12122041287 6514120.072962761, 145560.54423737037 6514119.812683816, 145560.95308237974 6514119.561829914, 145560.95530327753 6514119.560459253, 145562.61250237914 6514118.531711464, 145564.18482971436 6514117.584441654, 145564.84453284825 6514117.515195693, 145565.0108596919 6514117.724871645, 145565.04335469616 6514117.76192715, 145565.07933997823 6514117.795603482, 145565.11846589998 6514117.825573435, 145565.16035230833 6514117.851545816, 145565.20459222895 6514117.8732682755, 145565.25075582045 6514117.890529755, 145565.29839455071 6514117.903162537, 145565.34704555504 6514117.911043881, 145565.39623613333 6514117.914097212, 145565.4454883428 6514117.912292862, 145565.49432364193 6514117.905648363, 145567.40694316512 6514117.548643069, 145567.45904583993 6514117.535993346, 145567.50949444427 6514117.517837286, 145567.5577088789 6514117.494383661, 145568.17886658947 6514117.149874877, 145568.22198187513 6514117.144955189, 145570.45668856366 6514117.224419982, 145570.50380856672 6514117.223873544, 145570.55066785842 6514117.218893577, 145570.5968502171 6514117.209524318, 145570.64194543374 6514117.195848986, 145570.68555295587 6514117.17798905, 145570.72728544517 6514117.15610315, 145570.7667722181 6514117.130385684, 145570.80366253835 6514117.101065084, 145571.559161534 6514116.440169308, 145571.59690478916 6514116.403470119, 145571.63058022092 6514116.363005949, 145572.15813623692 6514115.656536097, 145574.03104275285 6514115.451844586, 145574.07887790826 6514115.444256899, 145574.1257545133 6514115.432076628, 145574.1712327201 6514115.415418063, 145576.9006830066 6514114.262802635, 145576.94530364682 6514114.241296544, 145576.98757742727 6514114.215481026, 145577.02708947068 6514114.185609435, 145577.06345200373 6514114.151974934, 145577.09630816255 6514114.114907612, 145577.12533549502 6514114.0747712515, 145577.15024912532 6514114.031959752, 145577.17080454977 6514113.986893266, 145577.1868000363 6514113.940014083, 145577.19807860433 6514113.891782274, 145577.2045295654 6514113.842671189, 145577.26065168582 6514113.151779923, 145577.3510284167 6514113.057358932, 145579.360797123 6514112.974359152, 145579.41316813964 6514112.969426915, 145579.46473114975 6514112.959019883, 145579.5149154435 6514112.943253241, 145579.56316557105 6514112.922301497, 145579.60894749025 6514112.896396551, 145579.65175447773 6514112.865825124, 145579.71332835453 6514112.816761787, 145581.17701526734 6514112.281231346, 145582.50144236244 6514112.849119418, 145582.895523733 6514111.930043864, 145581.38301112218 6514111.281508452, 145581.33680776364 6514111.264340764, 145581.28913858024 6514111.25180566, 145581.2404668171 6514111.2440249575, 145581.19126546258 6514111.241074268, 145581.14201265137 6514111.242982265, 145581.0931870184 6514111.249730407, 145581.0452630472 6514111.261253118, 145580.99870645907 6514111.277438418, 145580.8883126426 6514111.3220295245, 145579.2934559597 6514111.905552063, 145579.24413463884 6514111.9266624795, 145579.19735908956 6514111.952935857, 145579.15666044012 6514111.9819372175))</t>
  </si>
  <si>
    <t>['FV421 S4D1 m549-554']</t>
  </si>
  <si>
    <t>LINESTRING Z (145757.97931986616 6513668.707353347 106.794, 145758.10692181974 6513668.819670129 106.749, 145758.58613486792 6513669.237771859 106.568, 145759.05332124286 6513669.64597877 106.363, 145759.2027898737 6513669.776286121 106.291, 145759.42917948798 6513669.973546204 106.181, 145759.50947737572 6513670.044193961 106.148, 145759.74143056181 6513670.246948116 106.022, 145759.9128627731 6513670.396242474 105.943, 145759.96126017236 6513670.438811027 105.917, 145760.3361219858 6513670.766475365 105.714, 145760.8746657697 6513671.236140915 105.392, 145761.48476076958 6513671.769257985 105.087, 145761.52441149723 6513671.80463031 105.069, 145761.57271199377 6513671.846202432 105.047, 145761.94857023697 6513672.173769855 104.849, 145762.64880312735 6513672.785630419 104.391, 145762.716977439 6513672.845386918 104.345, 145762.76537483797 6513672.887955471 104.313)</t>
  </si>
  <si>
    <t>POLYGON ((145757.7765630148 6513669.194987408, 145757.77820850688 6513669.196429413, 145758.25728493388 6513669.6144119445, 145758.72433429857 6513670.022499142, 145758.72475168653 6513670.02286343, 145758.87422031738 6513670.153170781, 145759.09980552958 6513670.349729988, 145759.1792013288 6513670.4195840685, 145759.18041344153 6513670.420647048, 145759.41236662763 6513670.623401204, 145759.4130621626 6513670.624008051, 145759.58356582513 6513670.772493768, 145759.63103873492 6513670.814249175, 145759.63220115547 6513670.815268413, 145760.0070629689 6513671.14293275, 145760.00748845842 6513671.143304245, 145760.5458480297 6513671.612809143, 145761.1538259768 6513672.144076277, 145761.19156129583 6513672.17773987, 145761.1982399188 6513672.1835921835, 145761.24536883112 6513672.224155926, 145761.61981845184 6513672.550495707, 145762.31951663364 6513673.1618890455, 145762.3870778962 6513673.221108192, 145762.4351533994 6513673.263393617, 145763.09559627654 6513672.512517325, 145763.04719887758 6513672.469948771, 145763.04655441333 6513672.4693829045, 145762.97838010167 6513672.409626406, 145762.9777985651 6513672.409117469, 145762.2775656747 6513671.797256905, 145762.2770786496 6513671.796831898, 145761.9012204064 6513671.469264476, 145761.8988835722 6513671.467240559, 145761.85394837396 6513671.4285649415, 145761.817610971 6513671.3961484255, 145761.813762722 6513671.392750727, 145761.20366772212 6513670.859633657, 145760.6649681607 6513670.389831935, 145760.290901255 6513670.062862421, 145760.24308421055 6513670.020804327, 145760.24123117232 6513670.01918254, 145760.07014703803 6513669.87019131, 145759.83914826007 6513669.668271419, 145759.7594555349 6513669.598156096, 145759.75764752668 6513669.596573065, 145759.53130876817 6513669.399357295, 145759.3820995504 6513669.2692761, 145758.9151218122 6513668.861251487, 145758.43645942767 6513668.443630022, 145758.3096786711 6513668.332036068, 145757.64896106123 6513669.082670626, 145757.7765630148 6513669.194987408))</t>
  </si>
  <si>
    <t>['FV421 S3D1 m918 KD1 m16-18']</t>
  </si>
  <si>
    <t>LINESTRING Z (146372.45416938938 6513835.514609603 110.745, 146372.9214655609 6513835.479222963 110.49, 146373.28085706627 6513835.4513126435 110.306, 146373.88585375977 6513835.404546158 109.961, 146374.12538349227 6513835.385274994 109.83, 146374.35006374546 6513835.368453811 109.654, 146374.58859705133 6513835.349279551 109.494, 146375.13470773055 6513835.307233954 109.091, 146375.2974157947 6513835.294427942 108.984, 146375.7197759045 6513835.262405548 108.76, 146375.8375479179 6513835.252963772 108.756)</t>
  </si>
  <si>
    <t>POLYGON ((146372.95922064537 6513835.977795479, 146372.9601789599 6513835.977721983, 146373.3194807117 6513835.9498186335, 146373.92438899935 6513835.903058982, 146373.92595127766 6513835.9029357545, 146374.16409727265 6513835.883775918, 146374.38739287894 6513835.867058399, 146374.39012651687 6513835.866846201, 146374.62781958716 6513835.847739482, 146375.17308963268 6513835.805758607, 146375.17393913545 6513835.805692474, 146375.3359316574 6513835.792942779, 146375.75757629072 6513835.760974632, 146375.7597326787 6513835.760806447, 146375.87750469212 6513835.751364671, 146375.7975911437 6513834.754562873, 146375.68089726695 6513834.763918215, 146375.25961540846 6513834.795858858, 146375.2581843898 6513834.795969421, 146375.0959010814 6513834.808742003, 146374.5502151492 6513834.850754898, 146374.54853427992 6513834.850887161, 146374.3113674005 6513834.869951582, 146374.08805435878 6513834.886670406, 146374.08528597438 6513834.886885398, 146373.84653728016 6513834.906093724, 146373.2423218267 6513834.952799819, 146372.88323136754 6513834.980686728, 146372.41641430493 6513835.016037087, 146372.49192447384 6513836.0131821195, 146372.95922064537 6513835.977795479))</t>
  </si>
  <si>
    <t>['FV421 S3D1 m918 KD1 m27-40', 'FV421 S3D1 m918-1000']</t>
  </si>
  <si>
    <t>LINESTRING Z (146376.6586231441 6513820.931290742 108.614, 146376.55392274074 6513820.713145148 108.66, 146376.53804323077 6513820.508490311 108.661, 146376.52126834216 6513820.44977072 108.668, 146376.37603904138 6513819.970022347 108.726, 146376.18665950932 6513819.38794759 108.804, 146375.9444208591 6513819.048393909 108.916, 146376.11599801714 6513818.485531591 108.81, 146376.04303799866 6513818.024907039 108.833, 146376.03167497413 6513817.990807376 108.838, 146375.99051401822 6513817.888190276 108.855, 146375.8378546934 6513817.466497899 108.919, 146375.74882112362 6513817.274992466 108.958, 146375.73578335 6513817.234014727 108.963, 146375.68140347482 6513817.047185982 108.985, 146375.55970078643 6513816.56112622 109.031, 146375.34688098374 6513816.100021278 109.124, 146375.23703850177 6513815.611802245 109.165, 146374.95154915377 6513815.16882884 109.295, 146374.8543694967 6513814.676360783 109.329, 146374.8259705929 6513814.167145229 109.327, 146374.6637956237 6513813.947548139 109.402, 146374.7140719574 6513813.885325297 109.375, 146374.69205162564 6513813.814039783 109.383, 146374.6846469128 6513813.789613662 109.386, 146374.6297024191 6513813.700407224 109.411, 146374.55225100985 6513813.462512184 109.443, 146374.4756991234 6513813.223523815 109.474, 146374.39914723719 6513812.984535448 109.505, 146374.32458820252 6513812.74535327 109.536, 146374.26867054263 6513812.501340652 109.556, 146374.13619453472 6513812.276843609 109.616, 146374.01359234395 6513811.791877161 109.663, 146373.85470383178 6513811.316474691 109.728, 146373.6888403424 6513810.841750542 109.797, 146373.3671615891 6513810.409337519 109.947, 146373.21823293174 6513810.263890912 110.018, 146373.2160126887 6513810.054890148 110.012, 146373.21505425381 6513809.93126387 110.008, 146373.21323428798 6513809.685007742 110.001, 146373.21300896088 6513809.548234127 109.997, 146373.2130743441 6513809.414449791 109.994, 146373.2366138872 6513808.891130522 109.979, 146373.27161748486 6513808.547749265 109.969, 146373.29544333112 6513808.358344178 109.963, 146373.32443038444 6513808.139267524 109.957, 146373.33531949046 6513808.054723041 109.955, 146373.35005527583 6513807.947675777 109.952, 146373.4252846575 6513807.428382266 109.937, 146373.4419163909 6513807.320144769 109.934, 146373.44739570003 6513807.283401321 109.933, 146373.46210409416 6513807.186415216 109.93, 146373.4913965871 6513807.001507741 109.924, 146373.61442081968 6513806.270361149 109.903, 146373.62686038052 6513806.2017594725 109.901, 146373.6582152375 6513806.027715773 109.896, 146373.81121029588 6513805.118636687 109.873, 146373.89067398396 6513804.580826102 109.859, 146373.96126674872 6513804.0448840745 109.846, 146374.0774173516 6513802.984487334 109.819, 146374.16029830975 6513801.923302706 109.792, 146374.21126626863 6513800.875280141 109.766, 146374.21506877302 6513800.759237659 109.763, 146374.23182956316 6513799.8352437075 109.74, 146374.2209917677 6513798.8032903075 109.714, 146374.1922666091 6513798.011462788 109.694, 146374.18074573227 6513797.779226132 109.688, 146374.09993285895 6513796.617282344 109.659, 146374.09024253354 6513796.517639791 109.657, 146374.0789322459 6513796.390996845 109.653, 146374.0139248902 6513795.753575221 109.637, 146373.8882496052 6513794.750895157 109.612, 146373.74386549758 6513793.814408904 109.588, 146373.55176049267 6513792.769908409 109.562, 146373.31646165065 6513791.6742868265 109.533, 146373.3056379372 6513791.625046969 109.532, 146373.08235715464 6513790.7254031105 109.509, 146372.3469825852 6513787.911136789 109.436, 146372.14388303494 6513787.136267307 109.416, 146372.05722588202 6513786.803711821 109.408, 146371.89070747257 6513786.167109566 109.391, 146371.8109431191 6513785.864059229 109.384, 146371.70683277718 6513785.465809159 109.373, 146371.64423090813 6513785.225464119 109.367, 146371.09183162736 6513783.113591477 109.313, 146371.08098052314 6513783.074412775 109.312, 146370.8454519909 6513782.172942441 109.288, 146370.82622714998 6513782.09937336 109.287, 146368.79931487667 6513774.351287025 109.087, 146368.5478141678 6513773.389007297 109.062, 146366.01464862266 6513763.7036013715 108.812, 146365.39343344484 6513761.328853266 108.751, 146364.99956674193 6513759.823178036 108.712, 146364.64089712134 6513758.451881238 108.677, 146363.48148388753 6513754.018194997 108.563, 146363.47517251602 6513753.994668391 108.562, 146363.452695104 6513753.908339572 108.56, 146362.9726559589 6513752.07509087 108.512, 146362.96772862482 6513752.055453065 108.512, 146362.89370294946 6513751.5838677315 108.5, 146362.89435845712 6513751.269978938 108.492, 146362.9171458715 6513751.059552 108.487, 146362.93428957468 6513750.946235472 108.484, 146363.01908117178 6513750.39080732 108.47, 146363.57082072354 6513746.745261833 108.37)</t>
  </si>
  <si>
    <t>POLYGON ((146363.45810608374 6513751.955147862, 146363.39378441015 6513751.545382497, 146363.39430208778 6513751.297493397, 146363.41310147863 6513751.123893261, 146363.4286137158 6513751.021360405, 146363.51335480943 6513750.466263076, 146363.51345128648 6513750.465628372, 146364.06519083824 6513746.820082884, 146363.07645060885 6513746.670440782, 146362.5247590885 6513750.315668908, 146362.44001593703 6513750.870779716, 146362.4399153775 6513750.871441401, 146362.42277167432 6513750.984757928, 146362.4200520888 6513751.005721049, 146362.39726467442 6513751.216147987, 146362.3943595474 6513751.268934768, 146362.39370403974 6513751.5828235615, 146362.3951770357 6513751.622233254, 146362.3997514483 6513751.661404268, 146362.47377712367 6513752.132989601, 146362.4827614645 6513752.17713648, 146362.48768879857 6513752.196774285, 146362.48896354804 6513752.201746512, 146362.96891482748 6513754.034659659, 146362.99130486167 6513754.120652886, 146362.99224778512 6513754.1242203275, 146362.9981497229 6513754.146220706, 146364.15716317022 6513758.5783781335, 146364.5158391965 6513759.949699425, 146364.90970981028 6513761.455389607, 146365.5309236455 6513763.830132579, 146368.06407446868 6513773.515482217, 146368.31556415017 6513774.477719752, 146370.3424884518 6513782.225852119, 146370.3616924257 6513782.299341346, 146370.59721941623 6513783.20080578, 146370.5991206292 6513783.2078707935, 146370.6090138287 6513783.243590911, 146371.16043971374 6513785.351742172, 146371.22297655934 6513785.59183757, 146371.3271995259 6513785.990519247, 146371.3274114526 6513785.991327166, 146371.40707871888 6513786.294008637, 146371.57344165634 6513786.93001652, 146371.66004014117 6513787.262346862, 146371.66022103347 6513787.263039025, 146371.86327275712 6513788.037726037, 146372.59782133606 6513790.848831307, 146372.81874061716 6513791.738960194, 146372.82786158807 6513791.7804538375, 146373.0613499555 6513792.86764531, 146373.25080579854 6513793.897741959, 146373.39301083257 6513794.820094577, 146373.51708983336 6513795.810038943, 146373.5811937465 6513796.438601973, 146373.59222468483 6513796.562117003, 146373.59259032612 6513796.566036903, 146373.60161495337 6513796.658834293, 146373.68160598347 6513797.808961453, 146373.69271589376 6513798.032913888, 146373.72108697201 6513798.814980954, 146373.7317819399 6513799.833334596, 146373.71521729862 6513800.746515192, 146373.71166416814 6513800.854947435, 146373.66124498667 6513801.89168583, 146373.57954194388 6513802.937788759, 146373.46483466562 6513803.98500867, 146373.3954692369 6513804.511632731, 146373.3173127228 6513805.040596358, 146373.1656267473 6513805.9418970235, 146373.1348324898 6513806.112828962, 146373.12244367268 6513806.181150797, 146373.12135201474 6513806.187396375, 146372.99832778217 6513806.918542968, 146372.99755490373 6513806.923274809, 146372.96826241078 6513807.108182283, 146372.96775656103 6513807.111445112, 146372.9530481669 6513807.208431217, 146372.95286411268 6513807.209655073, 146372.94754832107 6513807.245301996, 146372.93108496294 6513807.352443726, 146372.930450227 6513807.35669624, 146372.85522084532 6513807.87598975, 146372.85472634385 6513807.879490374, 146372.83999055848 6513807.986537638, 146372.83941578586 6513807.990851954, 146372.82863712392 6513808.074538933, 146372.79976348038 6513808.292758466, 146372.7993529663 6513808.295939451, 146372.77552712004 6513808.485344538, 146372.77419525114 6513808.497043039, 146372.73919165347 6513808.8404242955, 146372.7371189486 6513808.8686626265, 146372.7135794055 6513809.391981896, 146372.71307440381 6513809.414205431, 146372.7130090206 6513809.547989767, 146372.7130096394 6513809.549057849, 146372.7132349665 6513809.685831463, 146372.71324794245 6513809.688702911, 146372.71506790828 6513809.934959039, 146372.71602771402 6513810.058766372, 146372.71604089905 6513810.060201416, 146372.7182611421 6513810.269202179, 146372.72119742367 6513810.3182572955, 146372.72893512037 6513810.366787228, 146372.7413994852 6513810.41432317, 146372.75847011115 6513810.460405921, 146372.77998209413 6513810.504590317, 146372.80572762614 6513810.54644953, 146372.8354580027 6513810.585579199, 146372.8688860254 6513810.621601324, 146372.9895631096 6513810.739456898, 146373.24203863816 6513811.078844269, 146373.38156474824 6513811.478187212, 146373.53343616228 6513811.932594169, 146373.65144496638 6513812.399390971, 146373.66528279832 6513812.444897578, 146373.68338207426 6513812.488883407, 146373.7055790076 6513812.530950413, 146373.79863108083 6513812.688638704, 146373.83722121766 6513812.857037745, 146373.8472429939 6513812.894153646, 146373.92180202858 6513813.133335824, 146373.92297891193 6513813.137059958, 146373.99953079814 6513813.376048325, 146374.0760826844 6513813.6150366925, 146374.07681365288 6513813.617300167, 146374.15426506213 6513813.855195207, 146374.16779168777 6513813.889653099, 146374.1651037446 6513813.911403849, 146374.16400378814 6513813.961974543, 146374.1680189112 6513814.01239759, 146374.17710802134 6513814.062156942, 146374.19117809672 6513814.110743338, 146374.21008513833 6513814.157659527, 146374.23363564356 6513814.202425348, 146374.26158858687 6513814.244582647, 146374.33506066847 6513814.3440693645, 146374.35514525816 6513814.704202472, 146374.3638290795 6513814.773160055, 146374.46100873657 6513815.2656281125, 146374.47231919825 6513815.311442479, 146374.48789841545 6513815.355986509, 146374.50760761581 6513815.398863426, 146374.53127123916 6513815.439691304, 146374.76870401163 6513815.808098757, 146374.8590746506 6513816.209770908, 146374.8733528176 6513816.260554999, 146374.892902092 6513816.3095521005, 146375.08606613503 6513816.728069992, 146375.19637633895 6513817.168630115, 146375.2013262972 6513817.186921101, 146375.25570617238 6513817.373749847, 146375.25931845163 6513817.385610243, 146375.27235622524 6513817.426587982, 146375.29542551548 6513817.485782462, 146375.37519438495 6513817.657360126, 146375.52037310036 6513818.058388741, 146375.52645383799 6513818.074330409, 146375.55649650015 6513818.149228836, 146375.60412923037 6513818.449952513, 146375.46614816278 6513818.902602181, 146375.4538152761 6513818.951925458, 146375.44655502704 6513819.002246176, 146375.44444248328 6513819.05304404, 146375.4474994876 6513819.103793823, 146375.45569443193 6513819.153970798, 146375.4689425843 6513819.203056155, 146375.48710696487 6513819.250542374, 146375.50999976223 6513819.295938471, 146375.53738427532 6513819.338775071, 146375.73497633977 6513819.615746202, 146375.89897784998 6513820.119819362, 146376.04157882486 6513820.590885362, 146376.04343869197 6513820.597395726, 146376.05542109523 6513820.751824722, 146376.06112600557 6513820.797710967, 146376.07104549796 6513820.842873975, 146376.0850947372 6513820.886927492, 146376.10315356878 6513820.929494758, 146376.20785397213 6513821.147640352, 146377.10939231605 6513820.714941132, 146377.04518493343 6513820.581163637, 146377.0365448763 6513820.469810737, 146377.03015628541 6513820.420032742, 146377.01880982707 6513820.371145926, 146377.00203493846 6513820.312426335, 146376.99982177443 6513820.3049031515, 146376.85459247365 6513819.825154779, 146376.85150677146 6513819.815327687, 146376.6621272394 6513819.23325293, 146376.6439642158 6513819.18577834, 146376.62107498082 6513819.140393156, 146376.5936960931 6513819.097566428, 146376.49452201228 6513818.958550939, 146376.59427071345 6513818.631323319, 146376.605499204 6513818.587456014, 146376.61271296357 6513818.542752759, 146376.61585282726 6513818.497580193, 146376.6148930429 6513818.452308808, 146376.6098414823 6513818.407309907, 146376.53688146384 6513817.946685354, 146376.52878140807 6513817.906360254, 146376.517394376 6513817.866837347, 146376.50603135146 6513817.832737684, 146376.49573515437 6513817.804667243, 146376.45775058598 6513817.709969096, 146376.30799561128 6513817.296299434, 146376.29125030155 6513817.255707903, 146376.21563552288 6513817.093065419, 146376.21412792013 6513817.088327021, 146376.16412895956 6513816.916549447, 146376.0447279223 6513816.439682087, 146376.03126509406 6513816.39491219, 146376.01367967817 6513816.351595397, 146375.82305945447 6513815.93858906, 146375.7248448349 6513815.502052614, 146375.7133426959 6513815.459702558, 146375.69817143993 6513815.418524172, 146375.67944793584 6513815.378834666, 146375.6573164164 6513815.340939781, 146375.42359061277 6513814.978284166, 146375.35165398565 6513814.613737798, 146375.32519483144 6513814.13930354, 146375.32017198164 6513814.091217715, 146375.31052839712 6513814.043841805, 146375.2963542445 6513813.99761877, 146375.2777820507 6513813.95298079, 146375.25498546386 6513813.910345228, 146375.22817762973 6513813.87011072, 146375.21220236944 6513813.848479018, 146375.2113826647 6513813.8335366845, 146375.20393726428 6513813.7851655185, 146375.19179855534 6513813.737753966, 146375.17016655664 6513813.667725586, 146375.16314357234 6513813.644558684, 146375.14893406 6513813.604040375, 146375.13130062754 6513813.5648905905, 146375.11037331403 6513813.527398042, 146375.08668751692 6513813.488942403, 146375.0280565331 6513813.308855038, 146374.95186744886 6513813.070999307, 146374.8759112796 6513812.833870716, 146374.80765828895 6513812.614918056, 146374.7560375275 6513812.389656177, 146374.7420337042 6513812.340321034, 146374.7230499804 6513812.292679859, 146374.69928606975 6513812.247233848, 146374.60333117167 6513812.08462636, 146374.4983419123 6513811.669329799, 146374.48780785105 6513811.633385354, 146374.32891933888 6513811.157982884, 146374.32672283647 6513811.15155635, 146374.1608593471 6513810.676832201, 146374.14179259268 6513810.630009523, 146374.11809502778 6513810.585351604, 146374.0900089274 6513810.54331501, 146373.7683301741 6513810.110901987, 146373.7435878815 6513810.080242933, 146373.71650849545 6513810.051627107, 146373.7160009715 6513810.05113145, 146373.7159921006 6513810.050296393, 146373.7150399299 6513809.927478119, 146373.71323124415 6513809.682748277, 146373.71300916217 6513809.547944447, 146373.71306885107 6513809.425811534, 146373.73547240795 6513808.927746938, 146373.76844265847 6513808.604312582, 146373.79133353857 6513808.422340068, 146373.8201102352 6513808.204853236, 146373.82033408905 6513808.203138611, 146373.83094519807 6513808.120752535, 146373.84514314524 6513808.017612365, 146373.91981086213 6513807.502195915, 146373.93611608548 6513807.396083309, 146373.93644797825 6513807.393891017, 146373.9418360195 6513807.357759598, 146373.95620408788 6513807.263017577, 146373.9848631751 6513807.082108446, 146374.10696359465 6513806.356452176, 146374.11883752752 6513806.290969824, 146374.11893873176 6513806.290409888, 146374.15029358873 6513806.116366189, 146374.1512812432 6513806.110697181, 146374.30427630158 6513805.201618095, 146374.30584024952 6513805.191720262, 146374.3853039376 6513804.653909677, 146374.38639226515 6513804.646120708, 146374.45698502992 6513804.110178681, 146374.4582939909 6513804.099325975, 146374.57444459377 6513803.038929235, 146374.5758993009 6513803.02341992, 146374.65878025905 6513801.962235292, 146374.65970807648 6513801.947590252, 146374.71067603535 6513800.899567687, 146374.71099804572 6513800.891655456, 146374.7148005501 6513800.775612975, 146374.71498653293 6513800.768305918, 146374.73174732307 6513799.844311967, 146374.73180199132 6513799.82999289, 146374.72096419588 6513798.79803949, 146374.7206630862 6513798.785163711, 146374.6919379276 6513797.993336191, 146374.69165249533 6513797.98668908, 146374.6801316185 6513797.754452423, 146374.67954081067 6513797.74453507, 146374.59872793735 6513796.582591282, 146374.59758506637 6513796.568885231, 146374.58808527762 6513796.471201906, 146374.5769500946 6513796.346519633, 146374.57635212727 6513796.340267548, 146374.51134477157 6513795.702845924, 146374.51004307883 6513795.691392081, 146374.38436779383 6513794.688712018, 146374.38241089965 6513794.674707133, 146374.23802679204 6513793.73822088, 146374.2356174866 6513793.723965655, 146374.0435124817 6513792.67946516, 146374.04061385855 6513792.664920853, 146373.80531501654 6513791.569299271, 146373.8048027215 6513791.566941596, 146373.79397900807 6513791.5177017385, 146373.79091538422 6513791.504606945, 146373.56763460164 6513790.604963087, 146373.56611460773 6513790.598996122, 146372.8307400383 6513787.784729801, 146372.62763572537 6513787.009841588, 146372.54106877578 6513786.677632267, 146372.37443281058 6513786.040579738, 146372.37423913908 6513786.03984163, 146372.2945810742 6513785.737195117, 146372.19063275552 6513785.339564829, 146372.12808712598 6513785.099435708, 146372.12795686672 6513785.098936663, 146371.57555758595 6513782.987064022, 146371.5736915213 6513782.980133459, 146371.56381687042 6513782.944480313, 146371.3292130978 6513782.046549437, 146371.30998289352 6513781.97295983, 146369.28305099087 6513774.224798389, 146369.0315648943 6513773.26257457, 146366.49837740802 6513763.577084724, 146365.87715688345 6513761.202316177, 146365.483292184 6513759.696648605, 146365.12462731038 6513758.325369957, 146363.96521783865 6513753.891698102, 146363.96440861843 6513753.88864306, 146363.95857528955 6513753.866898431, 146363.93656275835 6513753.782355077, 146363.93638751487 6513753.78168393, 146363.45810608374 6513751.955147862))</t>
  </si>
  <si>
    <t>['FV421 S3D1 m918 KD1 m9-11']</t>
  </si>
  <si>
    <t>LINESTRING Z (146375.5656149916 6513847.577931165 110.993, 146375.98615713487 6513847.37207356 110.834, 146376.14835120016 6513847.291925603 110.723, 146376.25687732088 6513847.239125609 110.647, 146376.48919404403 6513847.125000196 110.49, 146377.26494398614 6513846.744785078 109.973, 146377.42045378307 6513846.6683047265 109.91, 146377.8112695765 6513846.477408246 109.709, 146378.0781978647 6513846.34684077 109.553, 146378.11750084843 6513846.326924908 109.551)</t>
  </si>
  <si>
    <t>POLYGON ((146376.20598559052 6513847.821156459, 146376.2076630939 6513847.820331422, 146376.36847858407 6513847.740864685, 146376.4756219122 6513847.688737446, 146376.47733691448 6513847.687899013, 146376.70945057392 6513847.573873354, 146377.48499718073 6513847.193757896, 146377.48560410054 6513847.19345992, 146377.64050837437 6513847.117277367, 146378.0307178121 6513846.926677065, 146378.29789690595 6513846.795986995, 146378.3042014835 6513846.792847904, 146378.34350446722 6513846.772932042, 146377.89149722963 6513845.880917774, 146377.85533552011 6513845.899241868, 146377.59169499882 6513846.0282011395, 146377.20100554745 6513846.219035908, 146377.19979366867 6513846.219629885, 146377.04458750336 6513846.295960909, 146376.26914084944 6513846.676027377, 146376.0372744285 6513846.789931352, 146375.92960660884 6513846.842313766, 146375.92684524113 6513846.843667741, 146375.76548905615 6513846.923401661, 146375.34578653594 6513847.128848266, 146375.78544344724 6513848.027014064, 146376.20598559052 6513847.821156459))</t>
  </si>
  <si>
    <t>['FV421 S3D1 m1071-1073']</t>
  </si>
  <si>
    <t>LINESTRING Z (146347.63531349972 6513675.4946189895 106.363, 146348.04311300738 6513675.395615467 106.168, 146348.37335769617 6513675.316224327 105.965, 146348.47752530535 6513675.29100631 105.921, 146348.85003489174 6513675.20146982 105.75, 146349.31684472907 6513675.088680766 105.558, 146349.4554027312 6513675.055089045 105.479, 146350.38015146845 6513674.831379481 105.023, 146350.40377498243 6513674.826064553 105.004, 146350.8293163409 6513674.723323944 104.621, 146350.8774628917 6513674.711600756 104.592, 146351.2823700123 6513674.613884371 104.518, 146351.77280335344 6513674.495780391 104.427, 146351.79343758937 6513674.490756171 104.426, 146351.94475532015 6513674.453911873 104.457, 146352.27201072016 6513674.37481144 104.519)</t>
  </si>
  <si>
    <t>POLYGON ((146348.16052918514 6513675.881633734, 146348.4902284733 6513675.802373709, 146348.4910046464 6513675.802186461, 146348.5947753169 6513675.777064539, 146348.96688695054 6513675.687623701, 146348.96746418008 6513675.687484596, 146349.4342740174 6513675.5746955415, 146349.57308827926 6513675.541041849, 146350.49381613705 6513675.31830499, 146350.51352394355 6513675.313871037, 146350.5211208594 6513675.3120994745, 146350.94666221787 6513675.209358865, 146350.94760515532 6513675.209130239, 146350.99525610628 6513675.197527724, 146351.39954961836 6513675.099959421, 146351.88986465032 6513674.981883932, 146351.8910920916 6513674.981586704, 146351.91172632753 6513674.976562484, 146352.06263564172 6513674.939817632, 146352.3894821898 6513674.860816021, 146352.1545392505 6513673.888806858, 146351.8272838505 6513673.967907291, 146351.82646652413 6513673.968105573, 146351.67514879335 6513674.004949871, 146351.65512828433 6513674.009824655, 146351.16530871543 6513674.12778083, 146350.7601651026 6513674.225554227, 146350.75917407728 6513674.225794462, 146350.7114988997 6513674.237402875, 146350.29022070128 6513674.339114208, 146350.27040250733 6513674.343572997, 146350.2625857241 6513674.345397695, 146349.33783698684 6513674.56910726, 146349.19922711395 6513674.602711492, 146348.7328937975 6513674.715385412, 146348.36067324656 6513674.804852429, 146348.3598783551 6513674.805044176, 146348.25609849897 6513674.830168322, 146347.92624223026 6513674.909466085, 146347.92515203604 6513674.909729462, 146347.51735252838 6513675.008732985, 146347.75327447106 6513675.980504994, 146348.16052918514 6513675.881633734))</t>
  </si>
  <si>
    <t>['FV421 S3D1 m918 KD1 m2-4']</t>
  </si>
  <si>
    <t>LINESTRING Z (146382.25106913014 6513859.612528883 113.795, 146382.59283045435 6513859.144765137 113.286, 146382.6115265999 6513859.119812377 113.259, 146382.62222395488 6513859.105696001 113.244, 146382.91339087707 6513858.707227001 112.846, 146383.04117771483 6513858.531851941 112.651, 146383.25335316017 6513858.241649924 112.35, 146383.3722416861 6513858.078204578 112.179, 146383.4042368477 6513858.034859029 112.144, 146383.67140740086 6513857.6688992 111.77, 146383.76549693831 6513857.540052776 111.64, 146383.77709381498 6513857.524843071 111.625, 146383.7974920998 6513857.496707223 111.596, 146383.83918819105 6513857.439342199 111.544, 146384.16855002526 6513856.98887793 111.132, 146384.28483689105 6513856.829708999 111.06, 146384.51741062367 6513856.511371145 110.865, 146384.79257996962 6513856.134574938 110.61, 146385.11394301552 6513855.694947063 110.266)</t>
  </si>
  <si>
    <t>POLYGON ((146382.9947772773 6513859.442166908, 146383.01085221863 6513859.420712531, 146383.02072748198 6513859.407680999, 146383.02593011563 6513859.40068979, 146383.31709703783 6513859.00222079, 146383.31749423238 6513859.0016764505, 146383.4450428069 6513858.826628383, 146383.65697931286 6513858.536753175, 146383.65769862678 6513858.535766811, 146383.77555837823 6513858.373735801, 146383.806514938 6513858.331797302, 146383.80806989677 6513858.32967909, 146384.07522074325 6513857.963746254, 146384.1662421489 6513857.839101337, 146384.17470216 6513857.8280057395, 146384.1819004346 6513857.818324928, 146384.20211961117 6513857.790436129, 146384.24322326796 6513857.733886169, 146384.57217027654 6513857.2839892525, 146384.68856735923 6513857.12466952, 146384.92114108792 6513856.806331672, 146385.19630089932 6513856.429548536, 146385.51759635445 6513855.990013126, 146384.7102896766 6513855.399881, 146384.3889266307 6513855.839508874, 146384.1136521571 6513856.216448947, 146383.8811064268 6513856.534748472, 146383.7648747925 6513856.693841805, 146383.43556793977 6513857.144230876, 146383.434739921 6513857.145366695, 146383.39304382977 6513857.202731719, 146383.39268548018 6513857.203225366, 146383.3758279308 6513857.226477391, 146383.3678885933 6513857.236890107, 146383.36170068127 6513857.245182325, 146383.26761114382 6513857.374028749, 146383.0011785099 6513857.738977798, 146382.9699635958 6513857.781266305, 146382.9678962195 6513857.7840876905, 146382.84936678433 6513857.947039367, 146382.63755156213 6513858.23674869, 146382.63707435952 6513858.237402491, 146382.5094857818 6513858.412505459, 146382.2210886495 6513858.807183934, 146382.2130230728 6513858.817827379, 146382.21138482698 6513858.820001501, 146382.19268868142 6513858.844954261, 146382.18910774693 6513858.849793993, 146381.84734642273 6513859.317557739, 146382.65479183756 6513859.907500027, 146382.9947772773 6513859.442166908))</t>
  </si>
  <si>
    <t>['FV421 S3D1 m1041-1044']</t>
  </si>
  <si>
    <t>LINESTRING Z (146354.48005338327 6513704.640338171 106.722, 146354.55272296473 6513704.62220671 106.701, 146355.02052917297 6513704.509320627 106.68, 146355.31149820337 6513704.439784057 106.55, 146355.49431393418 6513704.395853135 106.432, 146355.731157863 6513704.338621176 106.349, 146356.49970354652 6513704.153236649 106.044, 146356.55672102154 6513704.139644903 106.022, 146357.3203814731 6513703.95574132 105.554, 146357.54346924252 6513703.9018588485 105.446, 146358.12531038705 6513703.761789282 104.945, 146358.20296209492 6513703.7431733105 104.88)</t>
  </si>
  <si>
    <t>POLYGON ((146354.6718898473 6513705.10780221, 146355.13728279597 6513704.995498469, 146355.4277168586 6513704.926089748, 146355.42832334034 6513704.925944409, 146355.61113907114 6513704.882013487, 146355.6117558433 6513704.881864861, 146355.84850094633 6513704.824656783, 146356.6162964285 6513704.6394532155, 146356.67266170657 6513704.626016939, 146356.67378368022 6513704.6257481165, 146357.4374441318 6513704.441844533, 146357.66067620533 6513704.3879273245, 146358.24210552828 6513704.247956898, 146358.3195275598 6513704.229395988, 146358.08639663004 6513703.256950633, 146358.00874492218 6513703.275566604, 146357.4264449304 6513703.415746402, 146357.2031551071 6513703.46967753, 146356.44021904757 6513703.653406667, 146356.3837628615 6513703.666864613, 146356.38245888051 6513703.667177303, 146355.61391319698 6513703.85256183, 146355.37718089932 6513703.909766771, 146355.194976205 6513703.953550861, 146354.90431051774 6513704.023014937, 146354.9032409687 6513704.023271784, 146354.43543476047 6513704.1361578675, 146354.4316809448 6513704.1370790675, 146354.35901136335 6513704.1552105285, 146354.6010954032 6513705.125465814, 146354.6718898473 6513705.10780221))</t>
  </si>
  <si>
    <t>['FV421 S3D1 m918 KD1 m20-22']</t>
  </si>
  <si>
    <t>LINESTRING Z (146371.17472167517 6513828.553833519 109.985, 146371.25454735447 6513828.5782575635 109.861, 146371.4920315395 6513828.6517235 109.545, 146372.0476282055 6513828.820989661 109.343, 146372.15024737688 6513828.852249654 109.306, 146373.14856656396 6513829.157501738 109.051, 146373.1941535502 6513829.171173641 109.032, 146373.29577629507 6513829.202530536 108.998, 146373.66275574535 6513829.314701227 108.887, 146374.17385874462 6513829.471195002 108.709, 146374.36565903493 6513829.529992607 108.698, 146375.62107278942 6513829.913844419 108.388, 146375.65322172566 6513829.92379394 108.378)</t>
  </si>
  <si>
    <t>POLYGON ((146371.1075189485 6513829.056152159, 146371.34426506687 6513829.129389775, 146371.34631559634 6513829.130019291, 146371.90191226234 6513829.299285452, 146372.00429575617 6513829.330473653, 146373.00236525942 6513829.635649391, 146373.00493302543 6513829.636426999, 146373.04862326692 6513829.649530054, 146373.14835393705 6513829.680303127, 146373.14962164682 6513829.680692453, 146373.51648538053 6513829.792827774, 146374.0273928923 6513829.949261693, 146374.2191122407 6513830.008034485, 146375.4740619626 6513830.391744555, 146375.50539803074 6513830.401442508, 146375.80104542058 6513829.4461453715, 146375.76889648434 6513829.43619585, 146375.76727024355 6513829.435695588, 146374.51203085884 6513829.051897091, 146374.32040553883 6513828.993153124, 146373.80914168103 6513828.836610066, 146373.44256503222 6513828.724562434, 146373.3415759082 6513828.693401051, 146373.33778708873 6513828.69224838, 146373.2934851548 6513828.678961873, 146372.29644868142 6513828.374102, 146372.29594792696 6513828.373949174, 146372.19333989065 6513828.342692573, 146371.63877356105 6513828.173740311, 146371.4023138271 6513828.100591289, 146371.4008366477 6513828.100136823, 146371.3210109684 6513828.075712779, 146371.02843238195 6513829.03195426, 146371.1075189485 6513829.056152159))</t>
  </si>
  <si>
    <t>['FV421 S3D1 m1089-1091']</t>
  </si>
  <si>
    <t>LINESTRING Z (146343.93649859854 6513658.073924315 105.613, 146344.13740174734 6513658.009123336 105.535, 146344.83443885698 6513657.781406684 105.105, 146344.94261958293 6513657.7457399145 105.041, 146344.98359735328 6513657.732702198 105.02, 146345.61622697627 6513657.525331045 104.591, 146345.8269005773 6513657.457568196 104.464, 146345.9497369848 6513657.417458619 104.387, 146346.366904678 6513657.280327679 104.1, 146347.43444384506 6513656.932088507 103.839)</t>
  </si>
  <si>
    <t>POLYGON ((146344.29088921862 6513658.484982134, 146344.2926720764 6513658.484403385, 146344.98970918605 6513658.256686733, 146344.9909974645 6513658.2562639285, 146345.0967005108 6513658.221414041, 146345.13519215593 6513658.209167324, 146345.1393398694 6513658.207827728, 146345.7706492278 6513658.000889347, 146345.98000004663 6513657.933551969, 146345.98210052165 6513657.932871233, 146346.10493692916 6513657.892761656, 146346.1058768867 6513657.892453704, 146346.5225058648 6513657.75549985, 146347.589505892 6513657.40743655, 146347.27938179811 6513656.456740465, 146346.21184263105 6513656.804979636, 146346.2107647761 6513656.805332594, 146345.79406692088 6513656.942309089, 146345.6727501653 6513656.981922456, 146345.46312750693 6513657.049347271, 146345.46048446014 6513657.050205515, 146344.82992573854 6513657.256897843, 146344.79102478028 6513657.269274789, 146344.7860609754 6513657.27088267, 146344.67852407752 6513657.306337171, 146343.9830221533 6513657.53355229, 146343.78301112726 6513657.598065517, 146344.08998606983 6513658.549783113, 146344.29088921862 6513658.484982134))</t>
  </si>
  <si>
    <t>['FV421 S3D1 m918 KD1 m24-26']</t>
  </si>
  <si>
    <t>LINESTRING Z (146374.97702891118 6513822.970736889 108.979, 146375.12641263654 6513823.058805799 108.915, 146375.36203032604 6513823.19582178 108.931, 146375.4783929842 6513823.264973341 108.951, 146375.66070087266 6513823.370963174 108.842, 146376.67387778545 6513823.963449156 108.165, 146376.9448001007 6513824.122177952 107.876, 146377.40876978548 6513824.393898949 107.806, 146377.91212670243 6513824.687941583 107.726, 146378.02202628832 6513824.752692428 107.769, 146378.30786759267 6513824.920028824 107.838)</t>
  </si>
  <si>
    <t>POLYGON ((146374.87248256296 6513823.489525566, 146374.8750627152 6513823.491036313, 146375.1086313565 6513823.626860734, 146375.22295639678 6513823.694801387, 146375.22708829324 6513823.697230154, 146375.40884741984 6513823.802900949, 146376.4212994601 6513824.39496304, 146376.69204433315 6513824.553587875, 146377.1560908542 6513824.82535388, 146377.15656697264 6513824.825632364, 146377.6591179989 6513825.119204226, 146377.76821333382 6513825.183481221, 146377.7694202088 6513825.184190016, 146378.05526151313 6513825.351526412, 146378.5604736722 6513824.488531237, 146378.27523631562 6513824.321548402, 146378.16593965693 6513824.25715279, 146378.16432951528 6513824.256208168, 146377.66121081475 6513823.962304692, 146377.19751682784 6513823.690745155, 146376.926633553 6513823.532039233, 146375.91310224016 6513822.939345809, 146375.91200556362 6513822.938706361, 146375.73176942582 6513822.8339209985, 146375.61746691345 6513822.765993733, 146375.61338024738 6513822.763591266, 146375.37905488623 6513822.627326798, 146375.23095898476 6513822.540017122, 146374.7230988376 6513823.401456656, 146374.87248256296 6513823.489525566))</t>
  </si>
  <si>
    <t>['FV421 S3D1 m918 KD1 m11-13']</t>
  </si>
  <si>
    <t>LINESTRING Z (146374.66707610234 6513843.882315345 110.612, 146374.8183242299 6513843.834413235 110.619, 146375.21852495754 6513843.7089901315 110.418, 146375.73777009553 6513843.545837721 110.191, 146375.91244791425 6513843.490627791 110.085, 146376.27655612555 6513843.376761531 109.888, 146376.3927081636 6513843.340319354 109.814)</t>
  </si>
  <si>
    <t>POLYGON ((146374.96857173098 6513844.311305525, 146375.36805381873 6513844.186107643, 146375.88765085494 6513844.022844804, 146375.8884561774 6513844.022591016, 146376.0624091749 6513843.9676101785, 146376.425792058 6513843.853970748, 146376.5423868845 6513843.817389874, 146376.24302944267 6513842.863248834, 146376.12709874508 6513842.899621567, 146375.7632119818 6513843.013418574, 146375.76176183237 6513843.013874495, 146375.58748651002 6513843.06895721, 146375.06882040133 6513843.231927683, 146374.66879536872 6513843.357295724, 146374.66735870088 6513843.357748354, 146374.5161105733 6513843.405650464, 146374.81804163137 6513844.358980226, 146374.96857173098 6513844.311305525))</t>
  </si>
  <si>
    <t>['FV421 S3D1 m807-808']</t>
  </si>
  <si>
    <t>LINESTRING Z (146429.22371917107 6513959.662729942 112.484, 146429.5429605855 6513959.563285211 112.277, 146429.56250146427 6513959.557361418 112.275, 146429.737179138 6513959.502151332 112.255, 146430.59639636677 6513959.235525861 112.137, 146430.9928048667 6513959.112482867 112.262, 146431.25830886117 6513959.02932857 112.326)</t>
  </si>
  <si>
    <t>POLYGON ((146429.68984249368 6513960.041228039, 146429.70755706512 6513960.035857889, 146429.71318804813 6513960.034114555, 146429.88661613144 6513959.979299425, 146430.74458170225 6513959.713062359, 146431.14102608364 6513959.590008229, 146431.1422440762 6513959.589628466, 146431.4077480707 6513959.506474169, 146431.10886965165 6513958.552182971, 146430.84397446745 6513958.635146592, 146430.44819178493 6513958.757995336, 146429.58899380252 6513959.024614834, 146429.58649255414 6513959.025398195, 146429.41462518036 6513959.079720034, 146429.39790498465 6513959.084788741, 146429.3942566507 6513959.085909951, 146429.07501523627 6513959.185354682, 146429.37242310587 6513960.140105203, 146429.68984249368 6513960.041228039))</t>
  </si>
  <si>
    <t>['FV421 S3D1 m422-424']</t>
  </si>
  <si>
    <t>LINESTRING Z (146637.58804311458 6514280.350878336 100.583, 146637.7544558071 6514280.2210330395 100.514, 146637.8892190003 6514280.11740032 100.418, 146638.44565328333 6514279.685085436 100.016, 146638.66447388404 6514279.514938532 99.859, 146638.71129088604 6514279.479204053 99.833, 146638.7691927926 6514279.433338879 99.797, 146639.6091307245 6514278.782340735 99.259, 146640.0272037519 6514278.458031906 99.036, 146640.23114756995 6514278.30039617 98.996, 146640.27137724322 6514278.269325739 99.009, 146640.52294067084 6514278.073865776 98.991, 146640.6417337522 6514277.981844715 99.023, 146640.69603759772 6514277.940352866 99.05)</t>
  </si>
  <si>
    <t>POLYGON ((146638.06064835997 6514280.616316756, 146638.19401658737 6514280.513756764, 146638.1959826438 6514280.51223708, 146638.75241692684 6514280.079922196, 146638.96962246468 6514279.911031155, 146639.0146582033 6514279.876656278, 146639.02175122104 6514279.871140758, 146639.0775813009 6514279.826916715, 146639.91543015125 6514279.177537725, 146640.33332400635 6514278.853367939, 146640.5368466385 6514278.696057753, 146640.57700160984 6514278.665045016, 146640.57815145812 6514278.664154286, 146640.82942569183 6514278.468919021, 146640.9466173329 6514278.378138488, 146640.99960279273 6514278.337653977, 146640.39247240272 6514277.543051756, 146640.3381685572 6514277.584543604, 146640.3355385172 6514277.586566992, 146640.2167454358 6514277.678588053, 146640.21616645594 6514277.679037229, 146639.9651772787 6514277.87405101, 146639.92552320333 6514277.904676892, 146639.72142803847 6514278.062429564, 146639.7207395181 6514278.062962705, 146639.30274885322 6514278.387207644, 146638.46289336585 6514279.038141889, 146638.4587324576 6514279.041402174, 146638.40435229603 6514279.084477709, 146638.3611065668 6514279.117486307, 146638.35755628854 6514279.120221431, 146638.13881239426 6514279.290308692, 146637.58343642627 6514279.72180133, 146637.44965822002 6514279.824676596, 146637.44687599927 6514279.826831743, 146637.28046330676 6514279.956677039, 146637.8956229224 6514280.745079632, 146638.06064835997 6514280.616316756))</t>
  </si>
  <si>
    <t>['FV421 S3D1 m816-886']</t>
  </si>
  <si>
    <t>LINESTRING Z (146401.53658989008 6513884.852668461 110.565, 146407.37166844227 6513897.493003425 110.883, 146409.83858734934 6513904.987065717 110.883, 146412.20052083983 6513909.622655818 110.937, 146413.24342737696 6513913.127200511 111.037, 146414.78114654083 6513916.734501013 111.14, 146416.72019341687 6513920.424479235 111.243, 146417.6807717579 6513923.506526853 111.325, 146417.92273277772 6513924.277616484 111.345, 146418.53222985618 6513926.200870329 111.397, 146418.7120880204 6513926.7677771095 111.412, 146418.7713532843 6513926.953124777 111.417, 146418.7929860644 6513927.020424538 111.419, 146418.88286669587 6513927.303379713 111.426, 146418.95655381418 6513927.533593887 111.432, 146419.09375523106 6513927.961818544 111.444, 146419.1386955477 6513928.10329613 111.448, 146419.1456157614 6513928.1227401085 111.448, 146419.1989572388 6513928.288546891 111.452, 146419.3174877722 6513928.659242229 111.462, 146419.39690487302 6513928.907004434 111.469, 146419.45430157543 6513929.0834811805 111.474, 146419.48028029356 6513929.1644401755 111.476, 146419.4935119138 6513929.207410737 111.477, 146419.56108143792 6513929.416091174 111.483, 146419.66608964087 6513929.740826672 111.491, 146419.6893971783 6513929.815004502 111.493, 146419.6993761909 6513929.845215343 111.494, 146419.83322810387 6513930.259683853 111.505, 146419.99563301407 6513930.760896095 111.518, 146420.05016472941 6513930.928598824 111.522, 146420.07565892627 6513931.004575691 111.524, 146420.0973886128 6513931.072871873 111.526, 146420.13749847392 6513931.195708099 111.529, 146420.14342226268 6513931.21524898 111.53, 146420.17503405776 6513931.312759579 111.533, 146420.20793299156 6513931.41316255 111.535, 146420.30405551614 6513931.708586722 111.543, 146420.35543152934 6513931.86452616 111.547, 146420.38733403833 6513931.965026034 111.549, 146420.39879399905 6513932.0001221 111.55, 146420.4158870353 6513932.05176977 111.552, 146420.47189969942 6513932.224357719 111.556, 146420.490473683 6513932.280890606 111.557, 146420.60507328936 6513932.631851244 111.566, 146420.71661409747 6513932.972045012 111.575, 146420.8724168982 6513933.446741391 111.587, 146420.90808391932 6513933.55492195 111.59, 146421.0296037438 6513933.925326562 111.599, 146421.20922599122 6513934.469121734 111.613, 146421.25220084563 6513934.600731969 111.616, 146421.34902908962 6513934.8930699555 111.623, 146421.43024524418 6513935.138645492 111.629, 146421.50750307948 6513935.3745474955 111.635, 146421.59979157848 6513935.651233392 111.642, 146421.64830260607 6513935.798398812 111.646, 146421.70373384876 6513935.965008205 111.65, 146421.73524874338 6513936.061522378 111.652, 146421.82061702898 6513936.318764296 111.658, 146422.14164762612 6513937.28232817 111.681, 146422.1913488899 6513937.431389532 111.685, 146422.46505869878 6513938.249683927 111.704, 146422.6829496483 6513938.897383227 111.719, 146422.77633148484 6513939.174968641 111.726, 146422.92890908092 6513939.626844132 111.736, 146422.94600212027 6513939.678491799 111.738, 146422.96290135098 6513939.728146617 111.739, 146423.019522833 6513939.8966519525 111.743, 146423.1199217916 6513940.194677766 111.749, 146423.14541599457 6513940.270654631 111.751, 146423.3033359578 6513940.736092446 111.762, 146423.45127690764 6513941.171319422 111.772, 146423.5430808972 6513941.443023189 111.778, 146423.58785480022 6513941.572446762 111.781, 146423.68954090192 6513941.87336494 111.787, 146423.78372536105 6513942.148860595 111.793, 146423.88235266402 6513942.439011911 111.8, 146423.93729939283 6513942.600639171 111.803, 146424.11984142876 6513943.13308602 111.815, 146424.18595740874 6513943.326820068 111.819, 146424.22796322743 6513943.448466052 111.822, 146424.2421912775 6513943.491339701 111.823, 146424.362963275 6513943.843711736 111.83, 146424.45685702498 6513944.116218113 111.836, 146424.49184572377 6513944.217423691 111.838, 146424.60135156818 6513944.536692514 111.845, 146424.67390324356 6513944.744888411 111.85, 146424.78459932382 6513945.066053178 111.856, 146424.8843199634 6513945.357104007 111.863, 146424.8951985002 6513945.386221518 111.863, 146425.10670855246 6513945.999336632 111.876, 146425.1373513136 6513946.086882973 111.878, 146425.21029061003 6513946.299064569 111.882, 146425.41529544775 6513946.886660249 111.894, 146425.47281646007 6513947.054072248 111.898, 146425.48646308377 6513947.090967348 111.898, 146425.5464614692 6513947.263167662 111.903, 146425.6428325998 6513947.54046235 111.911, 146425.82411489723 6513948.059955658 111.924, 146426.00530029245 6513948.57845254 111.938, 146426.06243368844 6513948.741878836 111.943, 146426.16514361143 6513949.032638946 111.95, 146426.2235641469 6513949.198957612 111.955, 146426.40426502377 6513949.712472366 111.968, 146426.501826394 6513949.991662992 111.975, 146426.7459994622 6513950.682069466 111.993, 146426.8418860772 6513950.954382021 112, 146426.88350428484 6513951.072042295 112.003, 146427.0579906631 6513951.563026887 112.016)</t>
  </si>
  <si>
    <t>POLYGON ((146406.90569642175 6513897.676553939, 146409.36365770156 6513905.143404546, 146409.37701662257 6513905.179295954, 146409.3930834015 6513905.214059621, 146411.7343038778 6513909.80899784, 146412.76419712388 6513913.269813149, 146412.78347408082 6513913.323269288, 146414.3211932447 6513916.930569789, 146414.33853689217 6513916.967087983, 146416.25639449403 6513920.616743322, 146417.2034189561 6513923.655302868, 146417.20370744698 6513923.656225361, 146417.4456684668 6513924.427314992, 146417.4460949644 6513924.428667452, 146418.05559204286 6513926.351921297, 146418.23549868143 6513926.918980952, 146418.23584165706 6513926.920057776, 146418.29510692097 6513927.105405444, 146418.29534047513 6513927.106133945, 146418.31671019297 6513927.172615318, 146418.4063305989 6513927.45475127, 146418.40666578113 6513927.455802443, 146418.48035289944 6513927.686016618, 146418.61740778206 6513928.113783988, 146418.66215945204 6513928.254667691, 146418.6676402183 6513928.270947186, 146418.67198898626 6513928.283166079, 146418.72284595948 6513928.4412500225, 146418.84124141073 6513928.811522901, 146418.9207671574 6513929.059624471, 146418.92142092314 6513929.061649231, 146418.97851312085 6513929.237189722, 146419.00328978538 6513929.314402687, 146419.01565339364 6513929.354554323, 146419.0178265634 6513929.361434915, 146419.08536627298 6513929.570023273, 146419.18970537686 6513929.892689598, 146419.21239021365 6513929.964885641, 146419.21462699858 6513929.971826939, 146419.22408426058 6513930.000458212, 146419.35742493643 6513930.413343691, 146419.5199797337 6513930.915019282, 146419.52013959564 6513930.915511777, 146419.57467131098 6513931.083214506, 146419.57613954932 6513931.087658966, 146419.60038465966 6513931.159913352, 146419.62092387478 6513931.224467894, 146419.62208596806 6513931.22807302, 146419.6605449406 6513931.345853408, 146419.66492576068 6513931.360304478, 146419.66779187036 6513931.369442786, 146419.69940366544 6513931.466953386, 146419.69989117293 6513931.468449139, 146419.73262847285 6513931.5683588255, 146419.8285903923 6513931.863289392, 146419.8291651194 6513931.865044738, 146419.8796896569 6513932.018399728, 146419.91076887856 6513932.116306067, 146419.91203139312 6513932.1202271795, 146419.92349135384 6513932.155323246, 146419.9241147046 6513932.157219418, 146419.94075315268 6513932.207493521, 146419.996319185 6513932.378705295, 146419.99688106377 6513932.38042596, 146420.0153126512 6513932.436525443, 146420.12977064686 6513932.787052398, 146420.1299592911 6513932.787628934, 146420.24150009922 6513933.127822702, 146420.3973509308 6513933.602665496, 146420.39756005432 6513933.603301213, 146420.43311222555 6513933.711133425, 146420.55451772158 6513934.081189551, 146420.55483356578 6513934.082149003, 146420.73418820053 6513934.625133994, 146420.77689820662 6513934.755933133, 146420.77755916 6513934.757942879, 146420.8743516795 6513935.050173008, 146420.95530447757 6513935.294952226, 146421.03233640638 6513935.530164438, 146421.03319222762 6513935.53275374, 146421.12520181815 6513935.808603454, 146421.17343687473 6513935.954931675, 146421.17387114614 6513935.956243007, 146421.2288631308 6513936.1215321245, 146421.2599461062 6513936.216723547, 146421.26069775052 6513936.219006837, 146421.34606603612 6513936.476248756, 146421.34625214437 6513936.476808456, 146421.66728274152 6513937.440372329, 146421.71702074396 6513937.589543918, 146421.9908815874 6513938.40829057, 146421.9911559292 6513938.409108407, 146422.2090468787 6513939.056807707, 146422.3024287158 6513939.334393123, 146422.30260746312 6513939.3349234825, 146422.4547031188 6513939.785371654, 146422.4713228368 6513939.835589151, 146422.47266397424 6513939.839584938, 146422.4892514963 6513939.888323867, 146422.5455648499 6513940.0559122125, 146422.6459914915 6513940.354020665, 146422.67139082775 6513940.429714812, 146422.6719277468 6513940.431306052, 146422.82984771003 6513940.896743868, 146422.977731723 6513941.3318035845, 146423.06938970502 6513941.603075226, 146423.0705578885 6513941.60649186, 146423.1147442353 6513941.734217041, 146423.21585499414 6513942.033432616, 146423.21642523023 6513942.0351102995, 146423.3104679529 6513942.310191366, 146423.40895428718 6513942.5999279665, 146423.4639071832 6513942.761573369, 146423.46432337596 6513942.762792455, 146423.64675188984 6513943.294908178, 146423.71275476887 6513943.488310816, 146423.71334151877 6513943.490020009, 146423.75436254978 6513943.608814115, 146423.76764029745 6513943.6488242, 146423.76920131114 6513943.653452291, 146423.88997330863 6513944.005824326, 146423.89023725453 6513944.006592396, 146423.98413100452 6513944.279098773, 146423.98430051492 6513944.279589913, 146424.01908989076 6513944.3802189445, 146424.12839779913 6513944.698910677, 146424.12919874658 6513944.701227353, 146424.20147080312 6513944.908620849, 146424.3117407928 6513945.228549391, 146424.4113129889 6513945.519166964, 146424.41594138285 6513945.532094022, 146424.42460113938 6513945.555272742, 146424.63404369733 6513946.162394703, 146424.63478196572 6513946.1645192485, 146424.6649633377 6513946.250747401, 146424.7374485934 6513946.461608185, 146424.73819791584 6513946.463771849, 146424.94281314086 6513947.0502508, 146424.99994983972 6513947.216544274, 146425.0038666652 6513947.227525671, 146425.0158651968 6513947.259964978, 146425.07423569902 6513947.427493134, 146425.17054236328 6513947.704602328, 146425.17075051458 6513947.705200034, 146425.352032812 6513948.224693343, 146425.53328927804 6513948.743393748, 146425.5904452796 6513948.906884721, 146425.59098368094 6513948.908416792, 146425.69354624837 6513949.198759754, 146425.75182010516 6513949.364660838, 146425.93243372373 6513949.877927862, 146426.0298153819 6513950.156604207, 146426.03043850893 6513950.158376704, 146426.2744969754 6513950.848459139, 146426.37026944535 6513951.120447528, 146426.3705055071 6513951.121116415, 146426.41212371475 6513951.238776688, 146426.4123709208 6513951.239473932, 146426.58685729906 6513951.730458525, 146427.52912402715 6513951.39559525, 146427.35476148597 6513950.904959121, 146427.31338492173 6513950.787982005, 146427.21761609404 6513950.51600396, 146427.21738734728 6513950.515355755, 146426.97352751184 6513949.825834955, 146426.87627603588 6513949.547531151, 146426.87591553672 6513949.546503111, 146426.69526139932 6513949.033121181, 146426.63688765318 6513948.86693572, 146426.63659361892 6513948.86610099, 146426.5341541111 6513948.576106396, 146426.477300251 6513948.413479692, 146426.29616145417 6513947.895116162, 146426.11501898803 6513947.376023562, 146426.01875170573 6513947.099027683, 146425.95862410445 6513946.92645604, 146425.95541287863 6513946.917513925, 146425.94378868665 6513946.886086684, 146425.8881620681 6513946.724188223, 146425.88738814194 6513946.721952969, 146425.68276043978 6513946.135438255, 146425.61019333024 6513945.924339357, 146425.60927790034 6513945.9217003565, 146425.57900665124 6513945.835215425, 146425.36786335532 6513945.223163446, 146425.36357708075 6513945.211231503, 146425.35510149572 6513945.188545737, 146425.2576062983 6513944.903990221, 146425.25730866753 6513944.903124125, 146425.14661258727 6513944.5819593575, 146425.14605606516 6513944.580353572, 146425.0739076933 6513944.373315004, 146424.96479949282 6513944.055205529, 146424.96440223383 6513944.054051892, 146424.92949834152 6513943.953091619, 146424.8358216312 6513943.681215151, 146424.7159730514 6513943.331537339, 146424.70251420749 6513943.2909815535, 146424.7005791174 6513943.285266112, 146424.65886820704 6513943.164474161, 146424.59304406864 6513942.971595272, 146424.59281744563 6513942.970932736, 146424.4104842984 6513942.439095183, 146424.3557479914 6513942.278086884, 146424.2571237379 6513941.98794454, 146424.25684103274 6513941.987115236, 146424.16294317791 6513941.712457918, 146424.061540708 6513941.412379086, 146424.0603778089 6513941.408978091, 146424.01619416176 6513941.281260713, 146423.9249680998 6513941.011267385, 146423.92467528625 6513941.010403372, 146423.7767792502 6513940.575308528, 146423.61917404676 6513940.110798405, 146423.59394695843 6513940.035617585, 146423.59375685797 6513940.035052174, 146423.49341951153 6513939.73720925, 146423.4368593341 6513939.568886357, 146423.436239497 6513939.567053478, 146423.42001926128 6513939.519393743, 146423.4035883644 6513939.469746781, 146423.40263310264 6513939.466889291, 146423.25014501135 6513939.015278879, 146423.15685241733 6513938.737958745, 146422.93909903755 6513938.090668383, 146422.665601546 6513937.2730087405, 146422.61599442098 6513937.124229714, 146422.29507507905 6513936.16099977, 146422.21017830924 6513935.905178679, 146422.17903648593 6513935.809807035, 146422.1781653087 6513935.80716401, 146422.12295210027 6513935.641209962, 146422.07465730983 6513935.494700529, 146422.07410243034 6513935.493027147, 146421.98224537182 6513935.217634733, 146421.90541191728 6513934.983028549, 146421.90495809185 6513934.9816495925, 146421.8237419373 6513934.7360740565, 146421.72717514038 6513934.444525252, 146421.68452863023 6513934.31392057, 146421.68399616925 6513934.312299293, 146421.5045323476 6513933.768983745, 146421.38316994155 6513933.39905896, 146421.3829407632 6513933.398362128, 146421.34737847577 6513933.290499234, 146421.19170421513 6513932.816194487, 146421.08028180528 6513932.476361828, 146420.9657763255 6513932.1256894525, 146420.96549231865 6513932.124822365, 146420.94720081694 6513932.069149256, 146420.89146754972 6513931.897422194, 146420.89056632976 6513931.894672452, 146420.87378687094 6513931.843972276, 146420.86327601425 6513931.811782835, 146420.8319966891 6513931.713246127, 146420.8303219261 6513931.708068144, 146420.77923491562 6513931.553005903, 146420.6833981154 6513931.25845988, 146420.68307587638 6513931.25747299, 146420.65042187253 6513931.157817512, 146420.62052946986 6513931.065610596, 146420.61599497593 6513931.050652601, 146420.61280111867 6513931.040506952, 146420.5732791399 6513930.919471113, 146420.5521236643 6513930.85297967, 146420.54968410637 6513930.845515549, 146420.52493442484 6513930.771757459, 146420.47120647103 6513930.606526558, 146420.30895648268 6513930.105792434, 146420.17517935834 6513929.691555505, 146420.1741463706 6513929.688392906, 146420.1653110589 6513929.661644549, 146420.14309660552 6513929.5909455335, 146420.14183475633 6513929.586987194, 146420.03682655338 6513929.262251696, 146419.97030867412 6513929.056819016, 146419.95813881373 6513929.01729659, 146419.95636958242 6513929.011669141, 146419.9303908643 6513928.930710146, 146419.9297855253 6513928.928836383, 146419.87271785672 6513928.753371311, 146419.7936798972 6513928.506791935, 146419.6752036003 6513928.1362662185, 146419.67493266577 6513928.135421475, 146419.62159118836 6513927.969614693, 146419.6166710908 6513927.955089052, 146419.61263109918 6513927.94373774, 146419.57029132673 6513927.810446983, 146419.56991255627 6513927.809259698, 146419.4327330565 6513927.381103448, 146419.35923578235 6513927.151482386, 146419.26952216137 6513926.869052981, 146419.26899887357 6513926.86741537, 146419.24748317793 6513926.80047986, 146419.18850648205 6513926.616034667, 146419.00884339007 6513926.049742747, 146418.39958479832 6513924.127241442, 146418.1579807691 6513923.357289481, 146417.19754621867 6513920.27570322, 146417.18207954633 6513920.233008079, 146417.16280306553 6513920.191892264, 146415.23316678574 6513916.519822271, 146413.7145404513 6513912.957311205, 146412.67975109292 6513909.48004318, 146412.66480888086 6513909.437084767, 146412.64602478768 6513909.395661914, 146410.30151598787 6513904.794269948, 146407.84659809005 6513897.336664596, 146407.82563340545 6513897.2834424265, 146401.99055485326 6513884.643107463, 146401.0826249269 6513885.06222946, 146406.90569642175 6513897.676553939))</t>
  </si>
  <si>
    <t>['FV421 S3D1 m889-890']</t>
  </si>
  <si>
    <t>LINESTRING Z (146400.14347344672 6513882.504709509 111.765, 146400.5906576949 6513882.35560591 111.502, 146400.86435441638 6513882.263608241 111.284, 146401.17703600938 6513882.158766588 111.198, 146401.73220704286 6513881.972003172 110.893, 146402.23871966195 6513881.802042059 110.683, 146402.35168857605 6513881.763897714 110.634, 146402.53195726755 6513881.704120614 110.578, 146403.11634272244 6513881.507475109 110.434, 146403.5264380352 6513881.370025274 110.323, 146403.7494834888 6513881.295023722 110.301, 146404.18779680156 6513881.147788698 110.294, 146404.75961633696 6513880.956388649 110.293, 146405.14338958886 6513880.8275337815 110.292, 146405.3216654262 6513880.767950494 110.288)</t>
  </si>
  <si>
    <t>POLYGON ((146400.748811847 6513882.829934134, 146400.74996397435 6513882.829548427, 146401.02348413822 6513882.737610105, 146401.3359880725 6513882.6328280205, 146401.8914494048 6513882.445967208, 146402.39777958798 6513882.276067311, 146402.3986742453 6513882.275766168, 146402.51035377607 6513882.238057188, 146402.68933060675 6513882.178708469, 146402.69142094854 6513882.178010194, 146403.27552217437 6513881.981460332, 146403.68533347367 6513881.844105689, 146403.9087713398 6513881.768972439, 146404.34675681803 6513881.621847538, 146404.9183222868 6513881.430532531, 146405.30220962784 6513881.301639587, 146405.4801575328 6513881.242165901, 146405.1631733196 6513880.293735087, 146404.98489748227 6513880.353318375, 146404.98424180868 6513880.353538018, 146404.60068900458 6513880.482318868, 146404.02909085172 6513880.673644816, 146404.02858303237 6513880.673815096, 146403.5902697196 6513880.82105012, 146403.36730926484 6513880.896023065, 146402.95744728396 6513881.033394694, 146402.95687904145 6513881.033585529, 146402.37353806407 6513881.229879567, 146402.19431523685 6513881.289309859, 146402.1917339927 6513881.290173605, 146402.07921204483 6513881.32816703, 146401.57314711684 6513881.49797792, 146401.01784771678 6513881.684784363, 146400.70540235325 6513881.789546809, 146400.43192726493 6513881.881469832, 146399.98531929462 6513882.030381285, 146400.30162759882 6513882.979037734, 146400.748811847 6513882.829934134))</t>
  </si>
  <si>
    <t>['FV421 S3D1 m1513-1631']</t>
  </si>
  <si>
    <t>LINESTRING Z (146210.37528972788 6513263.963761823 95.037, 146210.24674548733 6513263.758998524 95.03, 146209.85275375366 6513263.141498101 95.009, 146209.4550670074 6513262.527374547 94.988, 146209.4161771951 6513262.468793693 94.986, 146209.0517892923 6513261.917818092 94.967, 146208.78342197527 6513261.516429254 94.953, 146208.64362634002 6513261.309742553 94.946, 146208.4276288987 6513260.991775798 94.935, 146208.23086884595 6513260.70613721 94.925, 146207.81232658547 6513260.105106105 94.904, 146207.40893910575 6513259.535794325 94.885, 146207.38918978343 6513259.508545204 94.884, 146206.96136154002 6513258.915458068 94.864, 146206.5287449577 6513258.324848277 94.845, 146206.36100734293 6513258.099755944 94.837, 146206.09044050728 6513257.737809152 94.826, 146205.64754151437 6513257.1552402275 94.807, 146205.2860202606 6513256.685459712 94.792, 146205.1998541818 6513256.575148643 94.788, 146204.747572307 6513255.999527262 94.77, 146204.2905989901 6513255.427379642 94.752, 146204.18198500224 6513255.293099426 94.748, 146203.8290311307 6513254.859702225 94.735, 146203.36277182965 6513254.295498575 94.718, 146203.04989799362 6513253.922578187 94.706, 146202.89182108676 6513253.734768697 94.701, 146202.41627580085 6513253.178509015 94.684, 146201.9349457469 6513252.624823573 94.668, 146201.8919458849 6513252.575695052 94.667, 146201.4501144755 6513252.076507859 94.652, 146201.30223765306 6513251.910841011 94.648, 146201.0799726547 6513251.6628874 94.641, 146200.96158818924 6513251.531569016 94.637, 146200.86246855388 6513251.422517619 94.634, 146200.81072208425 6513251.366192861 94.632, 146200.70603892062 6513251.2516473895 94.629, 146200.49667259346 6513251.022556447 94.623, 146200.46637760563 6513250.990297737 94.622, 146200.3460002854 6513250.859173147 94.618, 146200.13592822617 6513250.633168385 94.612, 146199.96856533352 6513250.453302862 94.607, 146199.67574608448 6513250.1418008115 94.599, 146199.49526328046 6513249.951140934 94.593, 146199.46516208968 6513249.920875082 94.593, 146199.0095196049 6513249.445159646 94.58, 146198.95806383074 6513249.391824172 94.579, 146198.4463710272 6513248.86724346 94.565, 146198.31464541005 6513248.733199036 94.561, 146198.25772300584 6513248.675365912 94.56, 146197.93008367938 6513248.3471329445 94.551, 146197.70953540894 6513248.127176194 94.546, 146197.6227056104 6513248.041070071 94.544, 146197.41019821452 6513247.8313957285 94.538, 146197.2188516056 6513247.642798157 94.534, 146197.13559248007 6513247.562379903 94.532, 146196.99451142113 6513247.425221848 94.528, 146196.88562130684 6513247.319132282 94.526, 146196.84896015987 6513247.283469251 94.525, 146196.6436910085 6513247.086167079 94.52, 146196.35654675233 6513246.812335463 94.513, 146196.13934791344 6513246.606134893 94.508, 146195.82377718214 6513246.308915512 94.501, 146195.70762137923 6513246.200514949 94.499, 146195.65009014058 6513246.14676443 94.497, 146195.2864130669 6513245.809965759 94.49, 146195.16379420657 6513245.697164447 94.487, 146194.74545083422 6513245.315389305 94.478, 146194.67598990846 6513245.252740392 94.477, 146194.49523097498 6513245.090271169 94.473, 146194.39605645125 6513245.001342108 94.471, 146194.2945983773 6513244.909617562 94.469, 146194.19999095425 6513244.826279475 94.467, 146193.6992330957 6513244.383115089 94.457, 146193.65083605843 6513244.340546519 94.456, 146193.20918725553 6513243.957014318 94.448, 146193.09718351485 6513243.860280184 94.446, 146193.0609099614 6513243.828602863 94.445, 146192.71634592814 6513243.533197085 94.439, 146192.5398359552 6513243.383390723 94.436, 146192.21662650502 6513243.111054568 94.43, 146191.97898717568 6513242.911870987 94.426, 146191.71649204358 6513242.694987514 94.422, 146191.41354385013 6513242.444821451 94.417, 146191.20709903724 6513242.276803253 94.414, 146190.84350597835 6513241.98224211 94.408, 146190.72015393956 6513241.882588144 94.406, 146190.32106251275 6513241.564321096 94.4, 146190.2709633141 6513241.524935598 94.399, 146190.14999172348 6513241.429073544 94.398, 146189.6948225313 6513241.072002384 94.391, 146189.62086395756 6513241.014820094 94.39, 146189.2109087227 6513240.698615346 94.384, 146189.11408720195 6513240.623539369 94.383, 146189.07273461105 6513240.5913501065 94.383, 146189.0118959492 6513240.5449621705 94.382, 146188.9185482025 6513240.474577635 94.381, 146188.6698238228 6513240.28552467 94.377, 146188.51136100828 6513240.166150505 94.375, 146187.9593154019 6513239.754125705 94.368, 146187.90940999985 6513239.7167330645 94.368, 146187.49354564946 6513239.412167298 94.363, 146187.1677490677 6513239.175287479 94.359, 146186.84214628226 6513238.940400517 94.356, 146186.36133321316 6513238.598899147 94.351, 146186.0482415037 6513238.378889138 94.347, 146185.5368847584 6513238.023258546 94.342, 146184.72790921584 6513237.472265379 94.335, 146184.5825388655 6513237.373746737 94.334, 146184.44064228982 6513237.27991954 94.332, 146184.39112447988 6513237.246512606 94.332, 146183.9793572949 6513236.973735611 94.329, 146183.9094538837 6513236.927223328 94.328, 146183.3059541711 6513236.534284087 94.324, 146183.15360882558 6513236.436443729 94.323, 146183.0966315298 6513236.398732946 94.322, 146182.7009460925 6513236.146520778 94.319, 146182.0978065235 6513235.767628414 94.315, 146181.6674947993 6513235.500678186 94.313, 146181.59151592263 6513235.453750865 94.313, 146181.4931585887 6513235.3939119885 94.312, 146180.88381920743 6513235.023669325 94.309, 146180.27416168398 6513234.660498553 94.306, 146180.06828536844 6513234.539700028 94.305, 146179.66309269186 6513234.303500141 94.303, 146179.04942200758 6513233.950778131 94.301, 146178.52684296703 6513233.655584002 94.299, 146178.43324652832 6513233.603328949 94.299, 146177.81138317473 6513233.2594504375 94.297, 146177.18473147624 6513232.91804927 94.296, 146176.9672856154 6513232.80239922 94.296, 146176.57608492812 6513232.585961531 94.266, 146175.9578891382 6513232.248767308 94.22, 146175.4061229857 6513231.953393925 94.179, 146175.33709165506 6513231.915849485 94.174, 146175.2098653561 6513231.848759472 94.165, 146174.70752011542 6513231.5857966 94.129, 146174.57621120644 6513231.518097754 94.119, 146174.07226070086 6513231.259314383 94.084, 146173.9442317692 6513231.194314123 94.075, 146173.91140454193 6513231.17738941 94.073, 146173.82684540382 6513231.135319877 94.067, 146173.4619539861 6513230.951528487 94.041, 146173.2832864693 6513230.862282934 94.029, 146172.83422350476 6513230.640407721 93.998, 146172.65366002958 6513230.552352388 93.986, 146172.2314457238 6513230.347983274 93.957, 146172.02152879443 6513230.247694675 93.943, 146171.55652298004 6513230.027369828 93.913, 146171.38788919162 6513229.948212891 93.902, 146170.909639118 6513229.7261584345 93.87, 146170.75274122157 6513229.653907043 93.86, 146170.6201177403 6513229.593376978 93.852, 146170.30024648068 6513229.448459157 93.831, 146170.1160848834 6513229.364777124 93.82, 146169.6618879793 6513229.1625123145 93.791, 146169.47702064796 6513229.081916465 93.78, 146169.01903182652 6513228.882032101 93.751, 146168.99376098253 6513228.870407667 93.75, 146168.83635114657 6513228.803235311 93.74, 146168.35775547771 6513228.598313914 93.711, 146168.1941732774 6513228.529730088 93.701, 146167.69934406492 6513228.323369774 93.672, 146167.55158036615 6513228.262300331 93.663, 146167.3514759186 6513228.180168663 93.651, 146167.09276146052 6513228.074566891 93.636, 146166.9053893328 6513227.999243869 93.625, 146166.44705491606 6513227.816492568 93.599, 146166.2587832575 6513227.742262872 93.588, 146165.78402150073 6513227.556079801 93.561, 146165.69625183148 6513227.522369277 93.556, 146165.61057191622 6513227.489461383 93.551, 146165.11231092538 6513227.2995283995 93.524, 146164.96194553236 6513227.242735353 93.515, 146164.49959795084 6513227.070432816 93.49, 146164.44545814185 6513227.051557251 93.487, 146164.31081435282 6513227.001282157 93.48, 146164.0271891902 6513226.898102831 93.465, 146163.8468615056 6513226.833159125 93.455, 146163.65926813078 6513226.765904424 93.445, 146163.1935162213 6513226.599968041 93.421, 146163.0061166422 6513226.534706195 93.411, 146162.5105962364 6513226.362612007 93.385, 146162.3514567851 6513226.308683899 93.377, 146160.6482265265 6513225.757143771 93.289, 146160.5622284668 6513225.731307766 93.289, 146160.3778876192 6513225.6768128285 93.288, 146160.1097353637 6513225.598280947 93.284, 146159.8840839237 6513225.532715514 93.28, 146159.79400325363 6513225.506270678 93.279, 146159.7153677821 6513225.4837421 93.277, 146159.20124793128 6513225.337597033 93.27, 146159.0523360037 6513225.295750402 93.269, 146158.9365694481 6513225.263756596 93.269, 146158.52834876848 6513225.151570747 93.27, 146158.38888918282 6513225.11383417 93.272, 146158.07592510956 6513225.0296015255 93.275, 146157.90563114802 6513224.97474644 93.277, 146157.72704762162 6513224.927738427 93.28, 146157.51133301057 6513224.87126519 93.282, 146157.23807426414 6513224.802282546 93.288, 146157.2153776628 6513224.79644288 93.288, 146157.05968453293 6513224.757267391 93.291, 146156.54621551163 6513224.628158495 93.302, 146156.3895259531 6513224.589079905 93.306, 146155.86201003828 6513224.460331149 93.317, 146155.71477282158 6513224.425362615 93.32, 146155.47793942213 6513224.36893138 93.325, 146155.21651346254 6513224.307850703 93.331, 146155.03642156685 6513224.26601863 93.335, 146154.53337386117 6513224.150984066 93.346, 146154.35347576055 6513224.111144845 93.35, 146153.83438830537 6513223.996664222 93.362, 146153.7234795398 6513223.973250669 93.364, 146153.6669318308 6513223.960644364 93.366, 146153.43884503702 6513223.911409367 93.371, 146153.33719481796 6513223.890113015 93.373, 146153.1564940838 6513223.85236355 93.377, 146153.11945989646 6513223.843894746 93.378, 146152.97479692136 6513223.814710981 93.382, 146152.43079875846 6513223.70265281 93.394, 146152.2799634178 6513223.672057575 93.398, 146151.95379707433 6513223.607214101 93.405, 146151.7620387309 6513223.569534083 93.41, 146151.57953893451 6513223.533971271 93.414, 146151.05782232835 6513223.433828225 93.427, 146150.87442300085 6513223.3993587345 93.431, 146150.33268093213 6513223.300157226 93.444, 146150.1688920238 6513223.27082167 93.449, 146149.61210663227 6513223.1720772 93.462, 146149.45249723172 6513223.144346907 93.466, 146149.11794441607 6513223.086354081 93.475, 146149.0392814906 6513223.073886675 93.477, 146149.00443395437 6513223.067216932 93.478, 146148.96151809517 6513223.060325947 93.479, 146148.73350074328 6513223.022148549 93.484, 146148.3695670201 6513222.961983627 93.494, 146148.19681025617 6513222.933520152 93.498, 146148.01090613042 6513222.904323496 93.503, 146147.4694272959 6513222.818172444 93.517, 146147.28362006706 6513222.789972216 93.522, 146146.72410862485 6513222.7045689 93.536, 146146.5557251635 6513222.679703545 93.541, 146145.9833570504 6513222.596556333 93.556, 146145.81507048575 6513222.572687402 93.561, 146145.24100020726 6513222.492723272 93.576, 146145.07380696788 6513222.469753873 93.58, 146144.73035573738 6513222.423690732 93.59, 146144.51327163965 6513222.39450863 93.596, 146144.49086573027 6513222.39165825 93.596, 146144.45113295014 6513222.386469426 93.598, 146144.32585914264 6513222.370487913 93.601, 146144.30345323303 6513222.367637532 93.602, 146143.7646180768 6513222.298328852 93.616, 146143.57421629387 6513222.274598826 93.622, 146143.0012118835 6513222.205595401 93.638, 146142.8922685167 6513222.192049227 93.641, 146142.81797889253 6513222.183179943 93.643, 146142.2370999509 6513222.11594813 93.66, 146142.0560536111 6513222.095331731 93.665, 146141.47028942284 6513222.029580835 93.682, 146141.28834355174 6513222.010057762 93.687, 146141.04236303095 6513221.983685711 93.694, 146140.69841440895 6513221.97388157 93.721, 146140.51194344007 6513221.969886309 93.736, 146140.46751921205 6513221.968171259 93.74, 146140.36372433393 6513221.966194633 93.748, 146140.29618846165 6513221.964715383 93.753, 146140.23363473045 6513221.962751643 93.758, 146139.91916391178 6513221.956116027 93.784, 146139.7286103305 6513221.95151193 93.799, 146139.16630503186 6513221.9408132695 93.844, 146138.94068266725 6513221.937607755 93.863, 146138.3493840492 6513221.928722713 93.911, 146138.1480635517 6513221.927177352 93.928, 146137.55406633916 6513221.92157229 93.977, 146137.3496596577 6513221.919321199 93.994, 146137.28321710997 6513221.918741479 93.999, 146136.75694956322 6513221.916608521 94.044, 146136.54666120926 6513221.915935245 94.061, 146135.9531484784 6513221.915312322 94.111, 146135.73897130822 6513221.916023067 94.129, 146135.64842068643 6513221.91577605 94.137, 146135.57301028376 6513221.91606841 94.144, 146135.3920059381 6513221.9165708 94.159, 146135.14574926777 6513221.918389431 94.18, 146134.92658995482 6513221.919584664 94.199, 146134.33356170595 6513221.923943884 94.25, 146134.17975161463 6513221.924819309 94.263, 146134.13053903932 6513221.925581607 94.268, 146133.51658579346 6513221.931975686 94.321, 146133.49347414792 6513221.932211488 94.323, 146133.3297966714 6513221.935052322 94.337, 146133.28357338026 6513221.935523924 94.341, 146132.69401889807 6513221.94457459 94.393, 146132.45502791356 6513221.948704218 94.414, 146131.86766007973 6513221.959553943 94.466, 146131.61970123934 6513221.964555657 94.489, 146131.58553198475 6513221.964860908 94.492, 146131.37781786575 6513221.969972402 94.51, 146131.06470359577 6513221.977286783 94.538, 146130.98839365976 6513221.978672471 94.545, 146130.77968311182 6513221.983880867 94.564, 146130.19877832924 6513221.999131347 94.617, 146129.9338802045 6513222.0057803225 94.641, 146129.67007540585 6513222.013328836 94.665, 146129.35217278544 6513222.023120558 94.694, 146129.08238941553 6513222.031250457 94.718, 146128.70910185 6513222.040393012 94.734, 146128.5035743785 6513222.0473035695 94.754, 146128.22382672376 6513222.056402448 94.78, 146127.77969584963 6513222.071428346 94.822, 146127.74661992007 6513222.07263313 94.825, 146127.64539927477 6513222.076441272 94.835, 146127.6113269169 6513222.077742953 94.838, 146127.36105706933 6513222.090010358 94.862, 146126.82259820373 6513222.138349655 94.915, 146126.7540384482 6513222.147028486 94.922, 146126.48915487353 6513222.184857436 94.949, 146125.85416847438 6513222.30595223 95.015, 146125.8089141617 6513222.316388114 95.019, 146125.60845283658 6513222.365051765 95.04, 146124.9461769461 6513222.557198222 95.111, 146124.8322110853 6513222.595438874 95.123, 146124.7213314076 6513222.634385257 95.135, 146124.04430455453 6513222.902399173 95.207, 146123.8516079685 6513222.989535936 95.229, 146123.82467695733 6513223.002213365 95.231, 146123.0939560983 6513223.380057317 95.312, 146122.92074559157 6513223.4813927645 95.331, 146122.86945781508 6513223.512532402 95.337, 146122.83523366478 6513223.532960022 95.341, 146122.69573537086 6513223.61894689 95.357, 146122.4602214828 6513223.772610225 95.383, 146122.183162858 6513223.964512534 95.415, 146122.10041897313 6513224.02385742 95.425, 146122.01696935418 6513224.08628849 95.434, 146121.88011475763 6513224.189117748 95.45, 146121.68085988105 6513224.343278457 95.463, 146121.49188742862 6513224.48939829 95.474, 146121.28514561628 6513224.6493163295 95.487, 146121.1653546454 6513224.741433568 95.494, 146121.1120465654 6513224.782828187 95.497, 146121.04935559124 6513224.831170356 95.501, 146120.98856057547 6513224.8783223 95.504, 146120.63297957886 6513225.152293561 95.524, 146120.45898099727 6513225.286898744 95.533, 146120.01545272948 6513225.628767709 95.556, 146119.99588430917 6513225.6447525695 95.557, 146119.8985541449 6513225.719597826 95.562, 146119.77027980913 6513225.817569289 95.568, 146119.59448216675 6513225.954361128 95.577, 146119.4943565135 6513226.031489936 95.581, 146119.2108493838 6513226.250171482 95.594, 146118.9133648103 6513226.480270783 95.606)</t>
  </si>
  <si>
    <t>POLYGON ((146210.67021661703 6513263.493156086, 146210.66825533516 6513263.490057177, 146210.2742636015 6513262.872556753, 146210.2724413442 6513262.869721858, 146209.87475459793 6513262.255598304, 146209.87162990763 6513262.2508327775, 146209.83298179318 6513262.192616, 146209.4688349076 6513261.642004831, 146209.46744377923 6513261.639912806, 146209.1990764622 6513261.2385239685, 146209.19758398994 6513261.236304593, 146209.0577883547 6513261.029617893, 146209.0572225799 6513261.028783214, 146208.84122513857 6513260.710816459, 146208.83939158634 6513260.708136081, 146208.64263153358 6513260.422497493, 146208.6411826102 6513260.420405492, 146208.22264034973 6513259.819374387, 146208.22029658163 6513259.816037805, 146207.8169091019 6513259.246726025, 146207.81378873633 6513259.242371803, 146207.79436809372 6513259.215576177, 146207.36686739654 6513258.622943111, 146207.3647259318 6513258.619997128, 146206.9321093495 6513258.029387336, 146206.92966780238 6513258.026082695, 146206.7619301876 6513257.800990363, 146206.76148124598 6513257.800388857, 146206.49091441033 6513257.438442065, 146206.48847334323 6513257.435204027, 146206.0455743503 6513256.852635102, 146206.0437916935 6513256.850304504, 146205.68227043972 6513256.380523988, 146205.68005747616 6513256.37766973, 146205.59389139735 6513256.267358662, 146205.5930107192 6513256.266234517, 146205.14072884442 6513255.690613136, 146205.13825466717 6513255.687489934, 146204.68128135026 6513255.115342314, 146204.67934746292 6513255.112936284, 146204.57073347506 6513254.978656068, 146204.56968334308 6513254.977362199, 146204.21672947155 6513254.543964998, 146204.21445228625 6513254.541189223, 146203.7481929852 6513253.976985573, 146203.74581606366 6513253.974131006, 146203.43294222764 6513253.601210617, 146203.432432313 6513253.600603817, 146203.27435540615 6513253.412794327, 146203.27187063062 6513253.409865105, 146202.7963253447 6513252.853605422, 146202.79362430004 6513252.850472263, 146202.3122942461 6513252.296786821, 146202.31118700665 6513252.295517462, 146202.26818714465 6513252.246388941, 146202.26635380083 6513252.244305987, 146201.82452239143 6513251.745118794, 146201.82312805342 6513251.743550098, 146201.67525123098 6513251.57788325, 146201.67455091083 6513251.577100337, 146201.45228591247 6513251.329146725, 146201.4513412863 6513251.328095914, 146201.33295682084 6513251.19677753, 146201.33158861956 6513251.195266055, 146201.2324689842 6513251.086214658, 146201.23066949207 6513251.084245437, 146201.17936571772 6513251.028402542, 146201.07512412322 6513250.91434024, 146200.8657577948 6513250.685249296, 146200.86114539392 6513250.680270635, 146200.83278847035 6513250.6500756135, 146200.71432570796 6513250.521036513, 146200.7122269058 6513250.518764477, 146200.50215484656 6513250.292759716, 146200.33461188496 6513250.1127005685, 146200.3328748948 6513250.110843312, 146200.04005564578 6513249.799341261, 146200.03885774693 6513249.798071383, 146199.8583749429 6513249.607411505, 146199.84977972758 6513249.59855323, 146199.82299671855 6513249.571623711, 146199.3706090477 6513249.099306477, 146199.36935699673 6513249.098003987, 146199.31790122256 6513249.044668513, 146199.3159866083 6513249.042694847, 146198.80429380477 6513248.518114136, 146198.8029955496 6513248.516788114, 146198.67126993244 6513248.382743689, 146198.6140710356 6513248.324629427, 146198.6115962585 6513248.322132673, 146198.28395693205 6513247.993899706, 146198.28316199192 6513247.9931051135, 146198.06261372147 6513247.773148363, 146198.06160622215 6513247.772146418, 146197.97477642362 6513247.686040294, 146197.9738785719 6513247.685152172, 146197.76137117602 6513247.47547783, 146197.56983771853 6513247.286695997, 146197.5662162186 6513247.283162473, 146197.48354267026 6513247.203309815, 146197.3432372928 6513247.066905873, 146197.234539339 6513246.961003525, 146197.19760110823 6513246.925070745, 146197.1954488022 6513246.922989543, 146196.99017965083 6513246.725687371, 146196.98875699512 6513246.724325311, 146196.70161273895 6513246.450493695, 146196.70080007735 6513246.44972045, 146196.48360123846 6513246.24351988, 146196.48215968072 6513246.242156745, 146196.16658894942 6513245.944937363, 146196.16491693142 6513245.943369795, 146196.04886352952 6513245.835064796, 146195.99143485952 6513245.7814101055, 146195.9898270889 6513245.779914589, 146195.62615001522 6513245.443115917, 146195.6249282646 6513245.441988231, 146195.50230940426 6513245.329186919, 146195.50083713757 6513245.327837949, 146195.08249376522 6513244.946062807, 146195.08032897604 6513244.9440988125, 146195.01086805027 6513244.8814499, 146195.0102291783 6513244.880874677, 146194.82947024482 6513244.7184054535, 146194.82903255548 6513244.718012516, 146194.73061581145 6513244.62976295, 146194.6299125856 6513244.538720835, 146194.6250990274 6513244.534425184, 146194.5309242118 6513244.451468174, 146194.03059816905 6513244.008685939, 146194.02945599903 6513244.007678231, 146193.98105896177 6513243.965109661, 146193.97867698994 6513243.963027879, 146193.53702818704 6513243.579495678, 146193.53600421568 6513243.578608881, 146193.42503812077 6513243.482770929, 146193.3897973095 6513243.451995491, 146193.38634703864 6513243.4490100425, 146193.04178300538 6513243.153604265, 146193.0398852855 6513243.151985485, 146192.86337531256 6513243.0021791225, 146192.86201440694 6513243.00102827, 146192.53880495677 6513242.728692115, 146192.53781256475 6513242.727858123, 146192.30017323542 6513242.528674543, 146192.29746252042 6513242.526418714, 146192.03496738832 6513242.309535241, 146191.73191233835 6513242.059280914, 146191.72915889687 6513242.05702364, 146191.52271408399 6513241.889005442, 146191.52184266073 6513241.888297846, 146191.15824960184 6513241.593736703, 146191.15771932082 6513241.5933077, 146191.03436728203 6513241.493653734, 146191.03190019107 6513241.49167348, 146190.63280876426 6513241.173406431, 146190.6300792378 6513241.171245196, 146190.5807410434 6513241.132457961, 146190.46052811304 6513241.037197096, 146190.4586022056 6513241.035678615, 146190.00343301342 6513240.6786074545, 146190.00065504797 6513240.676443954, 146189.92669647423 6513240.619261664, 146189.9262375713 6513240.61890728, 146189.51678906288 6513240.303093378, 146189.42084331065 6513240.228696477, 146189.3798602698 6513240.196794876, 146189.37589956008 6513240.1937435, 146189.31506089823 6513240.147355564, 146189.3129179175 6513240.14573069, 146189.22034244257 6513240.07592845, 146188.9723882166 6513239.887460872, 146188.9706732536 6513239.886163155, 146188.8122104391 6513239.766788989, 146188.81042674204 6513239.765451507, 146188.2587550606 6513239.35370579, 146188.2092231237 6513239.3165929755, 146188.2048385635 6513239.313344959, 146187.78897421312 6513239.008779192, 146187.78758022707 6513239.007761972, 146187.46178364533 6513238.770882153, 146187.46027281988 6513238.769787966, 146187.13467003443 6513238.534901004, 146187.13167718405 6513238.532758692, 146186.65086411496 6513238.191257322, 146186.64880563758 6513238.189803064, 146186.33571392813 6513237.969793055, 146186.33372190016 6513237.968400474, 146185.82236515483 6513237.612769882, 146185.81835050683 6513237.610006768, 146185.00937496428 6513237.0590136, 146185.00841515945 6513237.058361506, 146184.8630448091 6513236.959842864, 146184.8583190976 6513236.95667928, 146184.7183560219 6513236.864130584, 146184.67075975955 6513236.832020012, 146184.66725783795 6513236.829678863, 146184.2559135241 6513236.557182001, 146184.18643286958 6513236.510951011, 146184.18227227495 6513236.508212438, 146183.57877256235 6513236.115273197, 146183.57614547882 6513236.11357438, 146183.42669743567 6513236.017594749, 146183.37259154324 6513235.981784423, 146183.36538193977 6513235.977101333, 146182.96969650246 6513235.724889165, 146182.96691917724 6513235.723131691, 146182.36377960825 6513235.344239327, 146182.36138829458 6513235.342746489, 146181.93107657038 6513235.075796261, 146181.93023796493 6513235.075277165, 146181.85425908826 6513235.028349843, 146181.85139177198 6513235.026592178, 146181.75303443806 6513234.966753302, 146181.1434551137 6513234.596364754, 146181.13970647746 6513234.594109428, 146180.530048954 6513234.230938656, 146180.5271966553 6513234.229252332, 146180.32132033978 6513234.1084538065, 146180.32009160906 6513234.107735194, 146179.91489893247 6513233.871535308, 146179.91225465297 6513233.870004677, 146179.2985839687 6513233.517282668, 146179.295339108 6513233.515433693, 146178.77276006746 6513233.220239564, 146178.77058003301 6513233.219015287, 146178.6769835943 6513233.166760234, 146178.67520663945 6513233.16577289, 146178.05334328586 6513232.821894378, 146178.05058843188 6513232.820382282, 146177.4239367334 6513232.478981115, 146177.4195179581 6513232.476602435, 146177.20572282726 6513232.36289405, 146176.81814028055 6513232.148458152, 146176.81550908874 6513232.147012706, 146176.19731329882 6513231.809818483, 146176.193865981 6513231.807955637, 146175.64355971635 6513231.513363766, 146175.57598295284 6513231.47661043, 146175.57031542706 6513231.473575055, 146175.4430891281 6513231.406485042, 146175.44175097023 6513231.405781976, 146174.93940572956 6513231.142819104, 146174.9366451385 6513231.14138494, 146174.80533622953 6513231.073686093, 146174.804612135 6513231.073313518, 146174.30066162942 6513230.814530148, 146174.2986095289 6513230.813482343, 146174.1719709334 6513230.749187957, 146174.1405295774 6513230.732977756, 146174.13412134946 6513230.729731926, 146174.05066681263 6513230.68821195, 146173.68687728627 6513230.5049755685, 146173.6853841058 6513230.504226596, 146173.506716589 6513230.414981043, 146173.50476949246 6513230.41401374, 146173.05570652793 6513230.192138527, 146173.05338623925 6513230.190999559, 146172.87282276407 6513230.102944227, 146172.87150256612 6513230.102302803, 146172.44928826034 6513229.897933688, 146172.4469872517 6513229.896827148, 146172.23707032233 6513229.7965385495, 146172.23561873808 6513229.795847913, 146171.7706129237 6513229.575523066, 146171.76898161095 6513229.574753732, 146171.60034782253 6513229.495596795, 146171.5984524736 6513229.494711949, 146171.1202024 6513229.272657492, 146171.11877911125 6513229.271999362, 146170.9618812148 6513229.19974797, 146170.96034357982 6513229.19904304, 146170.82772009855 6513229.138512976, 146170.82645476324 6513229.137937594, 146170.50683771886 6513228.993134945, 146170.32292943788 6513228.909568017, 146170.3194895602 6513228.908020583, 146169.86529265612 6513228.705755774, 146169.8617070514 6513228.704175824, 146169.67693046076 6513228.623619535, 146169.22352746985 6513228.425736608, 146169.20271149886 6513228.416161388, 146169.190007082 6513228.41053, 146169.0328763937 6513228.343476766, 146168.55456011908 6513228.138674998, 146168.55108246885 6513228.137201482, 146168.38750026855 6513228.068617657, 146168.3866251685 6513228.0682517355, 146167.891795956 6513227.8618914215, 146167.89032194213 6513227.861279469, 146167.74255824336 6513227.800210026, 146167.74143280808 6513227.799746496, 146167.54132836053 6513227.717614828, 146167.54043060422 6513227.717247367, 146167.28171614613 6513227.611645595, 146167.27925515908 6513227.610648687, 146167.09188303136 6513227.535325665, 146167.09057574376 6513227.534802277, 146166.63224132702 6513227.352050975, 146166.63044992503 6513227.351340689, 146166.44217826647 6513227.277110993, 146166.4413287127 6513227.276776936, 146165.96656695593 6513227.090593865, 146165.9632930972 6513227.089323232, 146165.87552342794 6513227.0556127075, 146165.7898435172 6513227.0227048155, 146165.78866724134 6513227.0222547315, 146165.2904062505 6513226.832321748, 146165.28897947393 6513226.831780365, 146165.1386140809 6513226.774987319, 146165.13654934018 6513226.774212664, 146164.67420175867 6513226.601910126, 146164.664203052 6513226.598304485, 146164.61523191642 6513226.5812309515, 146164.4857161041 6513226.53287061, 146164.48174865893 6513226.531408277, 146164.19812349632 6513226.428228951, 146164.19660836537 6513226.427680528, 146164.01628068075 6513226.362736822, 146164.01560159452 6513226.362492808, 146163.82800821972 6513226.2952381065, 146163.8270743156 6513226.2949043345, 146163.36132240613 6513226.128967952, 146163.35795495677 6513226.127781741, 146163.17055537767 6513226.062519895, 146162.6746348225 6513225.890286545, 146162.67106925225 6513225.889063265, 146162.51192980097 6513225.835135157, 146162.5054920792 6513225.833002148, 146160.8022618206 6513225.28146202, 146160.79208736168 6513225.278286736, 146160.70608930197 6513225.252450732, 146160.7039747306 6513225.251820544, 146160.519633883 6513225.197325606, 146160.51841659614 6513225.1969674295, 146160.25026434063 6513225.118435548, 146160.24924588585 6513225.118138453, 146160.0242596942 6513225.052766316, 146159.9348438655 6513225.026516655, 146159.93171020187 6513225.025607806, 146159.85307473034 6513225.003079228, 146159.85208275163 6513225.00279614, 146159.3379629008 6513224.856651072, 146159.33651632676 6513224.856242214, 146159.18760439917 6513224.814395583, 146159.18552565845 6513224.8138162615, 146159.06975910286 6513224.781822455, 146159.0690655152 6513224.781631309, 146158.6608448356 6513224.66944546, 146158.6589477555 6513224.66892812, 146158.51948816984 6513224.631191543, 146158.5188372044 6513224.631015869, 146158.2176345661 6513224.549948754, 146158.05893394508 6513224.498828114, 146158.03290906415 6513224.4912174, 146157.85432553774 6513224.4442093875, 146157.8536781176 6513224.444039432, 146157.63796350654 6513224.387566195, 146157.63371582492 6513224.386474052, 146157.3615605273 6513224.317769968, 146157.3399661511 6513224.312213897, 146157.3373845949 6513224.311557009, 146157.18169146503 6513224.27238152, 146156.6681423985 6513224.143252489, 146156.66720996628 6513224.143018987, 146156.51052040776 6513224.1039403975, 146156.5080790785 6513224.103338043, 146155.9805631637 6513223.974589287, 146155.9775453014 6513223.973862648, 146155.83048716793 6513223.938936645, 146155.5938319536 6513223.8825478675, 146155.59169779913 6513223.882044297, 146155.33027183954 6513223.820963619, 146155.32964253234 6513223.820817014, 146155.14955063665 6513223.778984942, 146155.14788206315 6513223.778600372, 146154.64483435746 6513223.663565808, 146154.64148185545 6513223.662811287, 146154.46158375483 6513223.6229720665, 146153.94207163923 6513223.508397595, 146153.93766528467 6513223.507446617, 146153.82951911105 6513223.484616265, 146153.77572721237 6513223.472624319, 146153.77243227125 6513223.471901429, 146153.54434547745 6513223.422666431, 146153.54137220068 6513223.422034071, 146153.43972198162 6513223.400737719, 146153.263356722 6513223.363893876, 146153.23092041232 6513223.356476493, 146153.2183360749 6513223.353768741, 146153.07467390283 6513223.324786874, 146152.53167578223 6513223.212934702, 146152.53019395517 6513223.212631796, 146152.3793586145 6513223.18203656, 146152.37745789147 6513223.181654855, 146152.051291548 6513223.116811381, 146152.0502022447 6513223.116596079, 146151.85844390126 6513223.078916062, 146151.85767240185 6513223.078765093, 146151.67517260546 6513223.043202281, 146151.67379283474 6513223.0429354245, 146151.15207622858 6513222.942792379, 146151.1501791372 6513222.942432031, 146150.9667798097 6513222.90796254, 146150.96448340392 6513222.907536486, 146150.4227413352 6513222.808334977, 146150.42083114828 6513222.807989024, 146150.25704223994 6513222.778653468, 146150.25620331644 6513222.77850395, 146149.69941792492 6513222.67975948, 146149.69769374625 6513222.679456813, 146149.5380843457 6513222.65172652, 146149.2033430267 6513222.59370098, 146149.1962132286 6513222.592518083, 146149.12543423774 6513222.581300214, 146149.0984267317 6513222.576131036, 146149.08370340365 6513222.573540566, 146149.0424370803 6513222.566914446, 146148.81606742015 6513222.529012924, 146148.8150530112 6513222.528844153, 146148.45111928802 6513222.468679231, 146148.27809457463 6513222.440171533, 146148.27438548364 6513222.439574726, 146148.088975548 6513222.410455683, 146147.54799077244 6513222.324383237, 146147.54445382586 6513222.323833471, 146147.3588565926 6513222.295665115, 146146.7995543357 6513222.210293729, 146146.79715200508 6513222.209933009, 146146.6287685437 6513222.185067654, 146146.62760506695 6513222.18489724, 146146.05523695386 6513222.101750028, 146146.05357182235 6513222.101510996, 146145.8852852577 6513222.0776420655, 146145.88405113653 6513222.077468593, 146145.30998085803 6513221.9975044625, 146145.3090521792 6513221.997375991, 146145.1418589398 6513221.974406592, 146145.14027107874 6513221.974191039, 146144.7968949121 6513221.9281379655, 146144.57988626204 6513221.898966006, 146144.57637086508 6513221.898506123, 146144.5547888889 6513221.89576056, 146144.51587969204 6513221.89067929, 146144.51440647757 6513221.890489123, 146144.38913267007 6513221.87450761, 146144.3668969917 6513221.871678853, 146143.82840599504 6513221.802414442, 146143.82645533205 6513221.802167433, 146143.63605354913 6513221.778437407, 146143.63399634045 6513221.778185342, 146143.06194989852 6513221.70929728, 146142.95396413121 6513221.695870175, 146142.9515415488 6513221.6955749495, 146142.87725192463 6513221.686705666, 146142.87546588352 6513221.686495692, 146142.2945869419 6513221.619263879, 146142.29367114912 6513221.619158739, 146142.11262480932 6513221.59854234, 146142.1118273785 6513221.598452182, 146141.52606319025 6513221.532701286, 146141.52363397946 6513221.532434621, 146141.34168810837 6513221.512911548, 146141.09566355153 6513221.486534774, 146141.05660957898 6513221.483888716, 146140.71266095698 6513221.474084575, 146140.70912477438 6513221.473996295, 146140.52694408994 6513221.470092956, 146140.48680792638 6513221.468543452, 146140.4770392756 6513221.468261899, 146140.37395907447 6513221.466298884, 146140.30950753446 6513221.46488719, 146140.24932342916 6513221.462997839, 146140.24418282975 6513221.462862917, 146139.9304764347 6513221.456243431, 146139.74068765307 6513221.451657813, 146139.73812182216 6513221.451602407, 146139.17581652352 6513221.4409037465, 146139.17340803126 6513221.440863725, 146138.9479903825 6513221.437661119, 146138.35689636075 6513221.428779151, 146138.35322199846 6513221.428737443, 146138.15234145639 6513221.427195459, 146137.55917839668 6513221.421598269, 146137.3551657275 6513221.419351516, 146137.35402206038 6513221.41934023, 146137.28757951266 6513221.418760509, 146137.285243589 6513221.418745585, 146136.75897604224 6513221.416612627, 146136.5482620397 6513221.415937808, 146136.5471859858 6513221.415935521, 146135.95367325496 6513221.4153125975, 146135.95148924127 6513221.415315075, 146135.73882359822 6513221.416020804, 146135.64978465586 6513221.4157779105, 146135.64648224262 6513221.415779808, 146135.57134741897 6513221.416071099, 146135.3906181569 6513221.416572726, 146135.38831348735 6513221.416584435, 146135.14253967753 6513221.4183995, 146134.92386313798 6513221.419592099, 146134.92291466414 6513221.4195981715, 146134.33030091538 6513221.423954344, 146134.1769058607 6513221.424827408, 146134.1720075946 6513221.424879283, 146134.124063516 6513221.425621931, 146133.51142962856 6513221.43200227, 146133.48837305527 6513221.43223751, 146133.4847973069 6513221.43228678, 146133.32290750564 6513221.435096588, 146133.27847229768 6513221.4355499465, 146133.275898433 6513221.435582832, 146132.6863439508 6513221.444633498, 146132.68538047315 6513221.444649218, 146132.44638948864 6513221.448778845, 146132.44579360218 6513221.448789497, 146131.85842576835 6513221.459639222, 146131.8575763573 6513221.459655635, 146131.61242587343 6513221.4646007, 146131.5810654103 6513221.464880859, 146131.57323155194 6513221.465012231, 146131.36582874006 6513221.470116064, 146131.05432628279 6513221.477392794, 146130.97931581538 6513221.478754885, 146130.9759199842 6513221.478828087, 146130.76720943625 6513221.484036484, 146130.76656114458 6513221.484053083, 146130.1859439834 6513221.499296011, 146129.9213340947 6513221.505937752, 146129.91957905164 6513221.5059848875, 146129.65577425298 6513221.513533401, 146129.65468220122 6513221.513565843, 146129.33694536233 6513221.523352458, 146129.06873778885 6513221.531434871, 146128.69685952755 6513221.540542909, 146128.69229958317 6513221.540675407, 146128.48704557485 6513221.54757677, 146128.20757266594 6513221.556666712, 146128.2069203256 6513221.556688355, 146127.7627894515 6513221.571714254, 146127.76149553485 6513221.571759707, 146127.7284196053 6513221.57296449, 146127.7278221225 6513221.572986612, 146127.6266014772 6513221.576794755, 146127.59223912976 6513221.57810743, 146127.58684795006 6513221.578342532, 146127.3365781025 6513221.590609937, 146127.3163501474 6513221.592013078, 146126.7778912818 6513221.640352375, 146126.75980539672 6513221.642308262, 146126.6912456412 6513221.650987093, 146126.68334894069 6513221.652050716, 146126.418465366 6513221.689879666, 146126.39549059197 6513221.69370878, 146125.76050419282 6513221.814803573, 146125.74181454853 6513221.8187391395, 146125.69656023584 6513221.829175024, 146125.69096084955 6513221.830500251, 146125.49049952443 6513221.879163901, 146125.46913279357 6513221.8848539665, 146124.8068569031 6513222.077000423, 146124.7871199099 6513222.083172, 146124.6731540491 6513222.121412653, 146124.66651104097 6513222.123693715, 146124.55563136327 6513222.162640098, 146124.53729286316 6513222.169487619, 146123.86026601007 6513222.437501535, 146123.83829029874 6513222.446813696, 146123.64559371272 6513222.533950459, 146123.63865427446 6513222.537152554, 146123.61172326328 6513222.549829983, 146123.59502069847 6513222.558075996, 146122.86429983945 6513222.935919948, 146122.8414705527 6513222.948489189, 146122.66826004596 6513223.049824636, 146122.66125268742 6513223.054001337, 146122.61157699113 6513223.0841621915, 146122.57897225363 6513223.103623221, 146122.5728712846 6513223.107324049, 146122.43337299066 6513223.193310917, 146122.42251750713 6513223.20019637, 146122.18700361907 6513223.353859704, 146122.1755237414 6513223.361578357, 146121.89846511662 6513223.553480667, 146121.8917570896 6513223.558208858, 146121.8090132047 6513223.6175537435, 146121.8008986254 6513223.62349813, 146121.71744900645 6513223.6859292, 146121.71661744957 6513223.686552661, 146121.579762853 6513223.7893819185, 146121.5741536713 6513223.793658758, 146121.37495466313 6513223.947776242, 146121.1860383164 6513224.093852692, 146120.97978880838 6513224.253389916, 146120.86056092792 6513224.345074148, 146120.85869472087 6513224.346516247, 146120.80605330557 6513224.387393189, 146120.7440308413 6513224.435219858, 146120.74292439915 6513224.436075526, 146120.6827600466 6513224.482738335, 146120.32781119412 6513224.756222536, 146120.3270399392 6513224.756817978, 146120.15338901183 6513224.891154216, 146119.71020854934 6513225.232755095, 146119.6991381561 6513225.241540269, 146119.68526304176 6513225.252874437, 146119.5944118457 6513225.322737476, 146119.46679069108 6513225.4202100625, 146119.46322511896 6513225.422958827, 146119.2883898092 6513225.559001854, 146119.18923010922 6513225.6353865685, 146118.9054686282 6513225.854264176, 146118.90493848934 6513225.854673663, 146118.60745391584 6513226.084772965, 146119.21927570473 6513226.875768602, 146119.51649509417 6513226.6458744155, 146119.79961023157 6513226.427495231, 146119.89960857102 6513226.350464495, 146119.90153685692 6513226.34897159, 146120.07555791066 6513226.213562153, 146120.20204326295 6513226.116957053, 146120.2033478609 6513226.115957247, 146120.30067802517 6513226.041111991, 146120.31219888254 6513226.03198001, 146120.32629417695 6513226.020465983, 146120.7642251774 6513225.682911359, 146120.76492063692 6513225.682374327, 146120.9385338628 6513225.548067255, 146121.2937289602 6513225.274393325, 146121.29499176756 6513225.273417129, 146121.35523417068 6513225.226693786, 146121.41737131533 6513225.178778685, 146121.41870648993 6513225.177745508, 146121.4710831181 6513225.137074178, 146121.58993933376 6513225.04567575, 146121.59106456945 6513225.044807915, 146121.79777230672 6513224.884916233, 146121.98670899327 6513224.7388240555, 146122.1832863062 6513224.586734965, 146122.31690576999 6513224.486336509, 146122.39591195722 6513224.427229698, 146122.4712339996 6513224.373207845, 146122.73923268507 6513224.187580826, 146122.9635697421 6513224.041209923, 146123.0945587862 6513223.960468164, 146123.12571922623 6513223.941869203, 146123.12895071923 6513223.939923829, 146123.1767518407 6513223.910901133, 146123.33519083587 6513223.818207642, 146124.04605873968 6513223.450629333, 146124.06110417724 6513223.443546886, 146124.23944212514 6513223.362903051, 146124.89626772737 6513223.102886183, 146124.99459766864 6513223.068347883, 146125.0954293041 6513223.034514353, 146125.73715243975 6513222.848330878, 146125.9240716043 6513222.802954699, 146125.95721515894 6513222.795311619, 146126.5713763845 6513222.678188281, 146126.82078381503 6513222.642569534, 146126.87636586462 6513222.635533522, 146127.39566423243 6513222.588914328, 146127.63311099412 6513222.577275469, 146127.6643421636 6513222.576082331, 146127.76511829742 6513222.572290912, 146127.79724924263 6513222.57112055, 146128.24040757498 6513222.556127554, 146128.5198284363 6513222.547039305, 146128.52037664532 6513222.547021174, 146128.72362451899 6513222.540187264, 146129.09463173797 6513222.53110056, 146129.09745003708 6513222.531023583, 146129.36723340699 6513222.522893684, 146129.68492279004 6513222.513108642, 146129.94730387654 6513222.505600866, 146130.21132443906 6513222.498973917, 146130.21190029648 6513222.498959132, 146130.79248087798 6513222.483717163, 146130.9991695238 6513222.478559223, 146131.07378144015 6513222.477204369, 146131.07638046105 6513222.477150415, 146131.38949473103 6513222.469836034, 146131.39011829856 6513222.469821079, 146131.59391603482 6513222.46480596, 146131.62416781377 6513222.464535706, 146131.62978496178 6513222.4644539645, 146131.87731870508 6513222.459460826, 146132.46396452695 6513222.448624438, 146132.70217552682 6513222.444508287, 146133.28996156057 6513222.435484771, 146133.334897754 6513222.4350263, 146133.3384735124 6513222.434977029, 146133.50036330437 6513222.432167223, 146133.52168688612 6513222.431949664, 146134.13574605816 6513222.425554493, 146134.13828305935 6513222.425521634, 146134.18504666892 6513222.42479727, 146134.3364074599 6513222.423935785, 146134.33723699662 6513222.423930376, 146134.92979108286 6513222.419574641, 146135.1484760846 6513222.4183819955, 146135.14944171853 6513222.418375797, 146135.39454603518 6513222.416565676, 146135.57439806496 6513222.416066484, 146135.57494872756 6513222.416064652, 146135.64870793556 6513222.415778694, 146135.7376073388 6513222.416021206, 146135.74063054536 6513222.416020314, 146135.9537157954 6513222.415313193, 146136.54559842966 6513222.415934405, 146136.75513500613 6513222.416605273, 146137.2800226857 6513222.4187326385, 146137.34472536854 6513222.419297178, 146137.54856026935 6513222.421541973, 146137.5493484618 6513222.421550032, 146138.14334567433 6513222.427155093, 146138.14422560242 6513222.427162622, 146138.34370889812 6513222.42869388, 146138.93317035568 6513222.437551317, 146139.15799778202 6513222.440745705, 146139.71781583276 6513222.451397042, 146139.9070865892 6513222.455970144, 146139.90861581248 6513222.456004753, 146140.2205160364 6513222.462586126, 146140.28049976294 6513222.464469187, 146140.28523949764 6513222.464595489, 146140.35277536992 6513222.46607474, 146140.35420427038 6513222.466103993, 146140.45311342587 6513222.467987577, 146140.49265472573 6513222.469514116, 146140.50123307464 6513222.469771584, 146140.68593576987 6513222.4737289585, 146141.008537676 6513222.482924619, 146141.23501625645 6513222.507205829, 146141.4157299623 6513222.526596689, 146141.999881345 6513222.59216655, 146142.1800707833 6513222.612685371, 146142.75959852448 6513222.679760793, 146142.83178385138 6513222.68837885, 146142.939516269 6513222.701774453, 146142.94143183692 6513222.702008884, 146143.51340751254 6513222.7708884245, 146143.70180509065 6513222.794368665, 146144.2396653148 6513222.863551942, 146144.24035398796 6513222.863640037, 146144.26267327013 6513222.866479398, 146144.3871228256 6513222.882355759, 146144.42611898837 6513222.887448386, 146144.42776650484 6513222.887660758, 146144.44841382245 6513222.890287417, 146144.663741115 6513222.919233356, 146145.00654892263 6513222.965210225, 146145.17248384038 6513222.988006754, 146145.74547261617 6513223.067820238, 146145.91230957455 6513223.091483563, 146146.48326314424 6513223.174425286, 146146.64986363452 6513223.199027348, 146147.2081743562 6513223.284247387, 146147.39263128952 6513223.31224286, 146147.9323426539 6513223.398112702, 146147.93333090295 6513223.398268922, 146148.11737933857 6513223.427174138, 146148.28815000103 6513223.455310382, 146148.65144080968 6513223.515369019, 146148.8789514183 6513223.553461571, 146148.88224864588 6513223.554002313, 146148.91778349265 6513223.5597081315, 146148.94528871326 6513223.564972571, 146148.96101267808 6513223.567722673, 146149.0361063841 6513223.579624387, 146149.36700564352 6513223.63698389, 146149.52565725372 6513223.664547779, 146150.0811611078 6513223.763064971, 146150.2435751807 6513223.792154286, 146150.78321394156 6513223.8909706455, 146150.9645166547 6513223.925046083, 146151.48459485825 6513224.024874638, 146151.6660195602 6513224.060227952, 146151.85684691442 6513224.097725033, 146152.1815182771 6513224.162271298, 146152.3306624868 6513224.1925235065, 146152.8739198976 6513224.30442909, 146152.87592074292 6513224.304836987, 146153.01427411576 6513224.332747876, 146153.04503356796 6513224.339781803, 146153.05424835611 6513224.341797724, 146153.23480852915 6513224.379517825, 146153.33483023633 6513224.400472994, 146153.55978268143 6513224.449031408, 146153.61468415824 6513224.461270715, 146153.6202025605 6513224.462468275, 146153.7289060267 6513224.4854162745, 146154.24557927108 6513224.599364463, 146154.4235883678 6513224.638785355, 146154.9241264475 6513224.75324603, 146155.10306955734 6513224.794811261, 146155.36311344118 6513224.855569024, 146155.5988802901 6513224.9117461275, 146155.7449646738 6513224.946441005, 146156.26975141568 6513225.074523662, 146156.42475473165 6513225.1131817, 146156.93771942589 6513225.242163787, 146157.09207905442 6513225.281003741, 146157.11348577583 6513225.286511529, 146157.11569144978 6513225.287073683, 146157.3868239495 6513225.355519568, 146157.60009336282 6513225.411352662, 146157.76523756987 6513225.454823082, 146157.9226223125 6513225.505519851, 146157.94597708798 6513225.512419826, 146158.25861541662 6513225.596564798, 146158.3968007585 6513225.633956576, 146158.80372669187 6513225.745786606, 146158.91810625835 6513225.777397098, 146159.06525605408 6513225.818748542, 146159.57815655382 6513225.964546993, 146159.6547280353 6513225.98648425, 146159.74324331182 6513226.012469537, 146159.74457340155 6513226.012858008, 146159.96971533986 6513226.078275399, 146160.23674991538 6513226.156479954, 146160.41942428006 6513226.210482245, 146160.49926152133 6513226.2344673835, 146162.19419541184 6513226.783320981, 146162.34833815132 6513226.835555837, 146162.84187807058 6513227.006962202, 146163.0273916182 6513227.071567238, 146163.4909948137 6513227.236738085, 146163.6777814385 6513227.303703556, 146163.85701206967 6513227.368252166, 146164.13789323895 6513227.470433261, 146164.27055639058 6513227.519968798, 146164.2808530407 6513227.523685582, 146164.32997432892 6513227.540811465, 146164.78630850994 6513227.710872996, 146164.93492862477 6513227.76700685, 146165.43188809472 6513227.956443705, 146165.5169802305 6513227.989125844, 146165.6031107902 6513228.022206821, 146166.0758128742 6513228.207582167, 146166.26276350298 6513228.281291022, 146166.71954888856 6513228.46342468, 146166.905035991 6513228.537989927, 146167.16207185076 6513228.642906531, 146167.36116523162 6513228.724623213, 146167.50762850643 6513228.785155202, 146168.00128390285 6513228.991025995, 146168.16268685827 6513229.058696146, 146168.6395465052 6513229.262874227, 146168.6401050471 6513229.263112978, 146168.79112354416 6513229.327557923, 146168.8100813102 6513229.33627838, 146168.81903043497 6513229.340289063, 146169.2770192564 6513229.540173427, 146169.46027300035 6513229.62006585, 146169.91095732647 6513229.820766424, 146170.0934019262 6513229.903668263, 146170.09390945773 6513229.903898541, 146170.41314747356 6513230.048529471, 146170.54436949352 6513230.108419901, 146170.69978684405 6513230.179989502, 146171.1763774443 6513230.401273455, 146171.34324795523 6513230.479602707, 146171.80671256775 6513230.699197316, 146172.01475218288 6513230.798589021, 146172.43515708047 6513231.002082307, 146172.61389914283 6513231.089249391, 146173.06082884895 6513231.310070594, 146173.2377766567 6513231.398457142, 146173.60192210364 6513231.581872796, 146173.6041285963 6513231.58297</t>
  </si>
  <si>
    <t>[409]</t>
  </si>
  <si>
    <t>['FV409 S1D1 m919-921']</t>
  </si>
  <si>
    <t>LINESTRING Z (138329.7237353858 6501320.389013327 66.525, 138329.28888856765 6501319.578237953 66.119, 138329.22001666436 6501319.449129571 66.04, 138329.1571920577 6501319.330498826 65.977, 138328.99030507402 6501319.020793581 65.825, 138328.94481943734 6501318.93568557 65.783, 138328.76664078177 6501318.6029352285 65.627, 138328.36351094116 6501317.849433794 65.249, 138328.2503435039 6501317.637113626 65.166, 138328.18890258874 6501317.522372124 65.163)</t>
  </si>
  <si>
    <t>POLYGON ((138329.72978042185 6501319.342410285, 138329.6615274066 6501319.214462081, 138329.59905506246 6501319.0964965075, 138329.59735483985 6501319.093313823, 138329.4308740589 6501318.784362401, 138329.38579200883 6501318.70000954, 138329.2074676028 6501318.3669866705, 138328.80456432517 6501317.613908711, 138328.6915803509 6501317.401932749, 138328.69112784983 6501317.401085746, 138328.62968693467 6501317.286344243, 138327.7481182428 6501317.758400004, 138327.8093324778 6501317.87271818, 138327.92227409416 6501318.084614671, 138327.92264154216 6501318.085302768, 138328.32577138278 6501318.838804203, 138328.50394089386 6501319.171537536, 138328.54933250253 6501319.256469612, 138328.55014229188 6501319.257978584, 138328.71617343483 6501319.566095578, 138328.7781536596 6501319.683131889, 138328.77886020025 6501319.684461197, 138328.84773210355 6501319.813569578, 138328.84826239172 6501319.81456098, 138329.28310920988 6501320.625336354, 138330.16436156174 6501320.1526903, 138329.72978042185 6501319.342410285))</t>
  </si>
  <si>
    <t>['FV409 S2D100 m2908-2909']</t>
  </si>
  <si>
    <t>LINESTRING Z (139546.90288670425 6498730.161424415 35.986, 139547.5892399433 6498730.351276982 35.99, 139547.75159362284 6498730.396870674 35.979, 139547.92728889978 6498730.445192363 35.97, 139548.34696455998 6498730.56135795 36.021, 139548.46482359158 6498730.594172229 36.035, 139548.852446469 6498730.701379674 36.1, 139549.07880893885 6498730.7638931535 36.12, 139549.37753929093 6498730.846538272 36.13, 139550.13317412365 6498731.055816276 36.134, 139550.21898037242 6498731.0796724055 36.141)</t>
  </si>
  <si>
    <t>POLYGON ((139547.45499713768 6498730.832919823, 139547.6164084555 6498730.878248872, 139547.61900138052 6498730.878969519, 139547.79430064544 6498730.9271822935, 139548.21321828826 6498731.043138062, 139548.33071462065 6498731.0758513585, 139548.33153910347 6498731.076080151, 139548.7191619809 6498731.183287595, 139548.94559923626 6498731.245821767, 139549.24415289835 6498731.328418002, 139549.99948104698 6498731.537611069, 139550.08504867757 6498731.561400857, 139550.35291206726 6498730.597943954, 139550.2671058185 6498730.574087825, 139549.51099380577 6498730.364677408, 139549.21212830083 6498730.281994878, 139548.98563866006 6498730.219446224, 139548.59852035774 6498730.112378334, 139548.48107353091 6498730.07967882, 139548.48034833817 6498730.0794775, 139548.06067267797 6498729.963311913, 139548.0598811421 6498729.963093517, 139547.88548325142 6498729.915128649, 139547.72442511065 6498729.869898783, 139547.722539611 6498729.869373258, 139547.03618637193 6498729.679520692, 139546.76958703657 6498730.643328139, 139547.45499713768 6498730.832919823))</t>
  </si>
  <si>
    <t>['FV409 S1D1 m290-292']</t>
  </si>
  <si>
    <t>LINESTRING Z (137950.1360247339 6501788.613908254 47.55, 137951.21366390947 6501788.927689434 47.855, 137951.27169505518 6501788.945188462 47.877, 137951.73854656337 6501789.080904244 48.097, 137951.8255448821 6501789.106654534 48.141, 137952.10914073128 6501789.188751401 48.277, 137952.63402338105 6501789.341966209 48.538, 137953.0677280582 6501789.467824905 48.772, 137953.51496820623 6501789.5984042855 49.001, 137953.60923251667 6501789.6264665155 49.052, 137953.98599935864 6501789.735725893 49.257, 137954.20757800445 6501789.800710923 49.364, 137954.39391999762 6501789.855035952 49.483)</t>
  </si>
  <si>
    <t>POLYGON ((137951.07159326744 6501789.40708657, 137951.12734252325 6501789.423897504, 137951.1321209009 6501789.425312462, 137951.59780499336 6501789.560688872, 137951.68363745796 6501789.586094085, 137951.6865106373 6501789.586935159, 137951.96957120352 6501789.66887707, 137952.49391885524 6501789.82193571, 137952.49467502272 6501789.822155791, 137952.92798756657 6501789.947900693, 137953.37357004627 6501790.077996088, 137953.46657127462 6501790.105682302, 137953.46997382678 6501790.10668211, 137953.8460125847 6501790.215730349, 137954.06686389475 6501790.280502064, 137954.06763668885 6501790.280728036, 137954.253978682 6501790.335053065, 137954.53386131322 6501789.37501884, 137954.34790556398 6501789.320806414, 137954.12671346834 6501789.255934752, 137954.12525804853 6501789.255510299, 137953.7501943499 6501789.146744819, 137953.65762944828 6501789.119188499, 137953.65510106384 6501789.118443056, 137953.2078609158 6501788.987863676, 137953.20707641653 6501788.987635323, 137952.77374971195 6501788.861886312, 137952.2492452571 6501788.708781901, 137952.2481749761 6501788.708470777, 137951.96601704034 6501788.626790164, 137951.8804539875 6501788.601464693, 137951.87812071765 6501788.600780244, 137951.41366193155 6501788.465760036, 137951.3580164414 6501788.448980392, 137951.35344620183 6501788.447625989, 137950.27580702625 6501788.133844809, 137949.99624244153 6501789.093971699, 137951.07159326744 6501789.40708657))</t>
  </si>
  <si>
    <t>['FV409 S1D1 m793-795']</t>
  </si>
  <si>
    <t>LINESTRING Z (138223.171583078 6501386.596219151 63.467, 138223.14369818388 6501386.557685285 63.451, 138222.96895781375 6501386.31211519 63.349, 138222.80949518783 6501386.0892030215 63.242, 138222.45872755087 6501385.595170085 62.992, 138222.22355377843 6501385.265943853 62.842, 138221.8844935788 6501384.78888016 62.656, 138221.54086656083 6501384.30622458 62.413, 138221.11686478287 6501383.7106665345 62.085, 138221.06913532648 6501383.643882854 62.051, 138220.9899506686 6501383.532876625 62.002, 138220.8128300964 6501383.283514062 61.886, 138220.72084469622 6501383.154638866 61.816, 138220.30607335566 6501382.571261097 61.499)</t>
  </si>
  <si>
    <t>POLYGON ((138223.5499321201 6501386.26617549, 138223.37634711992 6501386.022229086, 138223.3756176662 6501386.021206674, 138223.21667134334 6501385.799016244, 138222.86641738671 6501385.3057067925, 138222.86558716826 6501385.304541023, 138222.63076039072 6501384.975800559, 138222.29204590726 6501384.499223295, 138221.94818263248 6501384.016235584, 138221.5241828704 6501383.42068037, 138221.5236542157 6501383.419939244, 138221.47605496823 6501383.353337754, 138221.39729335014 6501383.242924569, 138221.22046513256 6501382.9939736035, 138221.2197988351 6501382.993037823, 138221.12808066636 6501382.864537029, 138220.71357578324 6501382.281534033, 138219.89857092808 6501382.860988161, 138220.31334226864 6501383.44436593, 138220.3138759575 6501383.445115105, 138220.40552769232 6501383.573522823, 138220.58231563243 6501383.822417083, 138220.5829010298 6501383.823239487, 138220.66208568768 6501383.934245716, 138220.7098107129 6501384.001023541, 138221.1335484733 6501384.596210744, 138221.47705905823 6501385.078702783, 138221.81600144997 6501385.555600719, 138221.81669416104 6501385.556572915, 138222.0514519353 6501385.88521678, 138222.40180535198 6501386.378666314, 138222.40283533538 6501386.380111537, 138222.56193257304 6501386.6025129305, 138222.7363088777 6501386.847571389, 138222.73863256484 6501386.850809566, 138222.76651745895 6501386.889343432, 138223.57664869702 6501386.30309487, 138223.5499321201 6501386.26617549))</t>
  </si>
  <si>
    <t>['FV409 S2D1 m2972-2974']</t>
  </si>
  <si>
    <t>LINESTRING Z (139643.04802746628 6498590.399098148 25.947, 139647.51272463362 6498594.009246664 31.392)</t>
  </si>
  <si>
    <t>POLYGON ((139647.19834284513 6498594.39804493, 139647.8271064221 6498593.620448398, 139643.36240925477 6498590.010299882, 139642.7336456778 6498590.787896413, 139647.19834284513 6498594.39804493))</t>
  </si>
  <si>
    <t>['FV409 S2D1 m3050-3052']</t>
  </si>
  <si>
    <t>LINESTRING Z (139683.24300446984 6498523.94209702 21.118, 139683.2901117716 6498523.981782008 21.115, 139683.48957042943 6498524.150515789 21.092, 139683.55089021823 6498524.201897298 21.105, 139683.68127944123 6498524.311954938 21.119, 139684.23454111197 6498524.778277745 21.104, 139684.83172704652 6498525.2825828325 21.454, 139684.8953301395 6498525.336760303 21.493, 139684.93140799116 6498525.36645147 21.518, 139685.10125163762 6498525.509895971 21.618, 139685.38389544748 6498525.748005896 21.803, 139685.67756870697 6498525.996109641 22.014, 139685.82326368446 6498526.118763532 22.113, 139686.04905754596 6498526.310087375 22.271, 139686.30874272215 6498526.5293029165 22.432, 139686.37552885158 6498526.585183081 22.514, 139686.89271266724 6498527.021814702 22.832)</t>
  </si>
  <si>
    <t>POLYGON ((139682.967576469 6498524.363843839, 139683.1666427286 6498524.532245668, 139683.1684404135 6498524.533759201, 139683.22907065926 6498524.584562923, 139683.35877254137 6498524.694040399, 139683.9121243197 6498525.160439316, 139684.5083161664 6498525.663904928, 139684.5711071146 6498525.717390609, 139684.5776040907 6498525.722830449, 139684.61122300714 6498525.750497974, 139684.778633689 6498525.891887671, 139684.7791092955 6498525.892288847, 139685.06148604414 6498526.130173789, 139685.35489252242 6498526.37805215, 139685.35555708394 6498526.378612601, 139685.50063980982 6498526.500751065, 139685.72582313587 6498526.691557579, 139685.72653083625 6498526.692156115, 139685.98621601245 6498526.911371656, 139685.98788852128 6498526.912777273, 139686.05382682834 6498526.967948062, 139686.57016597703 6498527.403866574, 139687.21525935744 6498526.63976283, 139686.6980755418 6498526.203131209, 139686.69638305245 6498526.201708725, 139686.63043466 6498526.146529498, 139686.3719383602 6498525.928317556, 139686.14649809455 6498525.737293328, 139686.1452753075 6498525.7362605715, 139685.9999129661 6498525.613886712, 139685.70657163204 6498525.366063387, 139685.7060377896 6498525.36561302, 139685.4236317492 6498525.127703401, 139685.25402593976 6498524.98445977, 139685.24913403994 6498524.980381324, 139685.2163277158 6498524.953382541, 139685.1559500714 6498524.9019525265, 139685.15432296068 6498524.9005725235, 139684.55713702613 6498524.3962674355, 139684.00365185854 6498523.929755964, 139683.8733971181 6498523.819811837, 139683.87202023418 6498523.818653886, 139683.81160111053 6498523.768027069, 139683.61303947243 6498523.6000521295, 139683.61225411398 6498523.599389132, 139683.5651468122 6498523.5597041445, 139682.92086212747 6498524.324489896, 139682.967576469 6498524.363843839))</t>
  </si>
  <si>
    <t>['FV409 S1D1 m442-444']</t>
  </si>
  <si>
    <t>LINESTRING Z (138022.98428106628 6501661.010747647 51.002, 138023.30765566626 6501661.398802786 51.206, 138023.5582511889 6501661.70037732 51.304, 138023.80546997942 6501661.998256197 51.388, 138024.23021482048 6501662.508239461 51.522, 138025.00792193948 6501663.44162858 51.712, 138025.02618930803 6501663.463996116 51.718, 138025.04316976818 6501663.483470908 51.724, 138025.80965338182 6501664.404873331 51.981, 138026.03503447678 6501664.674695978 52.051, 138026.15476888447 6501664.819988151 52.089, 138026.39047377417 6501665.102890792 52.176, 138026.8355758125 6501665.636044485 52.32, 138026.87786750117 6501665.688267661 52.335, 138027.50306940963 6501666.4393112045 52.545, 138027.66232809378 6501666.629048048 52.6, 138027.69548609864 6501666.6700874595 52.615, 138028.20899397315 6501667.2861228725 52.811, 138028.52799533482 6501667.670579117 52.938, 138028.73858259473 6501667.922726384 53.028, 138028.9663439124 6501668.1963414755 53.107, 138029.16670417687 6501668.436405259 53.199)</t>
  </si>
  <si>
    <t>POLYGON ((138022.9233190167 6501661.71862377, 138023.1735949151 6501662.019813658, 138023.42071623774 6501662.317575094, 138023.4212699845 6501662.318241141, 138023.84601482557 6501662.828224405, 138024.62221474224 6501663.759804625, 138024.6389278875 6501663.780269087, 138024.64932629475 6501663.7925905, 138024.66249307647 6501663.807691406, 138025.42526555137 6501664.724632609, 138025.42591292495 6501664.725409229, 138025.6502309688 6501664.993959208, 138025.76891069213 6501665.137971571, 138025.77062665203 6501665.140042436, 138026.00633154172 6501665.4229450775, 138026.44935944836 6501665.953614709, 138026.4893025045 6501666.002937716, 138026.4935888943 6501666.008158193, 138027.11879080275 6501666.759201736, 138027.12009745266 6501666.760764902, 138027.2763480097 6501666.946917938, 138027.30656548496 6501666.984317878, 138027.31141993086 6501666.990233018, 138027.82456615794 6501667.605834576, 138028.14320685348 6501667.989856151, 138028.14423263405 6501667.991088383, 138028.3545589306 6501668.242923185, 138028.58205977926 6501668.516225369, 138028.58247489674 6501668.516723402, 138028.7828351612 6501668.756787186, 138029.55057319254 6501668.116023333, 138029.350420752 6501667.876208556, 138029.12286672788 6501667.602842491, 138029.1223452955 6501667.602217118, 138028.9122718615 6501667.350685081, 138028.5937824545 6501666.966845838, 138028.59306014093 6501666.965977314, 138028.08200211814 6501666.352880892, 138028.05124870746 6501666.314817629, 138028.04530005076 6501666.30759435, 138027.88669631738 6501666.118637798, 138027.26430694817 6501665.370972907, 138027.22414080918 6501665.321374429, 138027.21940047166 6501665.31560942, 138026.77445762424 6501664.78264641, 138026.53977182423 6501664.500966922, 138026.42089266912 6501664.356712558, 138026.41877493364 6501664.35416008, 138026.19371777595 6501664.084725246, 138025.42755759862 6501663.163711631, 138025.42003278146 6501663.154876525, 138025.4083508718 6501663.141478609, 138025.39518336 6501663.125355609, 138025.3920562888 6501663.121564833, 138024.61438213295 6501662.188215276, 138024.18994696994 6501661.678603837, 138023.94300493057 6501661.381058423, 138023.69221532487 6501661.079250178, 138023.69176858562 6501661.078713322, 138023.36839398564 6501660.690658183, 138022.60016814692 6501661.330837111, 138022.9233190167 6501661.71862377))</t>
  </si>
  <si>
    <t>['FV409 S2D1 m1189-1190']</t>
  </si>
  <si>
    <t>LINESTRING Z (139039.4897447895 6500108.97892778 34.336, 139036.07193124713 6500112.21290998 29.166)</t>
  </si>
  <si>
    <t>POLYGON ((139035.72827999093 6500111.849724333, 139036.41558250334 6500112.576095627, 139039.8333960457 6500109.342113427, 139039.1460935333 6500108.615742133, 139035.72827999093 6500111.849724333))</t>
  </si>
  <si>
    <t>['FV409 S1D1 m420-422']</t>
  </si>
  <si>
    <t>LINESTRING Z (138008.21617069974 6501678.498689425 50.415, 138008.80620639405 6501678.898060719 50.719, 138008.82559560734 6501678.911266042 50.728, 138008.85572433926 6501678.931475481 50.744, 138009.45440972626 6501679.337047978 51.051, 138009.63637222844 6501679.460200842 51.161, 138009.91090754914 6501679.64578145 51.301, 138010.89718359546 6501680.313467325 51.775, 138011.31599630066 6501680.596689863 52.003)</t>
  </si>
  <si>
    <t>POLYGON ((138008.5253453616 6501679.311724348, 138008.54413958525 6501679.3245244445, 138008.5470671303 6501679.326503188, 138008.57624401033 6501679.346074154, 138009.1739802371 6501679.751003654, 138009.3561229709 6501679.874278556, 138009.6307502502 6501680.059921423, 138010.61688517226 6501680.72751176, 138011.0359039977 6501681.010873762, 138011.59608860363 6501680.182505964, 138011.17737910998 6501679.899353223, 138010.19120597234 6501679.231737015, 138009.9165040348 6501679.046043636, 138009.73474903434 6501678.923031211, 138009.1361538284 6501678.517519806, 138009.1342528163 6501678.516238335, 138009.1055912826 6501678.497013047, 138009.08766241613 6501678.484802316, 138009.08647156053 6501678.4839937715, 138008.49643586623 6501678.084622478, 138007.93590553326 6501678.912756372, 138008.5253453616 6501679.311724348))</t>
  </si>
  <si>
    <t>['FV409 S1D1 m909-911']</t>
  </si>
  <si>
    <t>LINESTRING Z (138321.39713803388 6501325.218441021 66.619, 138321.23141734576 6501325.024302411 66.459, 138320.73782558413 6501324.447575262 65.982, 138320.69125774852 6501324.392749739 65.941, 138320.36328988028 6501324.009164686 65.717, 138320.32366905804 6501323.9637235 65.689, 138319.93543291872 6501323.508537273 65.446, 138319.63714932918 6501323.161299453 65.251, 138319.4237675015 6501322.911435602 65.128, 138319.19340532192 6501322.642096955 64.99, 138319.07653587643 6501322.505579802 64.959, 138318.92213542457 6501322.324424381 64.92, 138318.75085141562 6501322.124790677 64.869)</t>
  </si>
  <si>
    <t>POLYGON ((138321.61170674837 6501324.699679598, 138321.61128826678 6501324.6991899945, 138321.11830529803 6501324.123174177, 138321.07234352035 6501324.069062182, 138321.07128684863 6501324.067822235, 138320.74331898039 6501323.684237182, 138320.74015394095 6501323.680571504, 138320.70232308996 6501323.637183239, 138320.31585440773 6501323.184069261, 138320.31470955498 6501323.182731759, 138320.01689828208 6501322.836043772, 138319.8039870626 6501322.58673099, 138319.57338161406 6501322.317107698, 138319.4567182769 6501322.180831224, 138319.30267109376 6501322.000090287, 138319.30160456966 6501321.998843105, 138319.1303205607 6501321.7992094, 138318.37138227053 6501322.450371954, 138318.54213191883 6501322.649382854, 138318.69600020724 6501322.8299138965, 138318.69670795152 6501322.8307424495, 138318.81350282166 6501322.9671724895, 138319.04366944075 6501323.236282488, 138319.25692976807 6501323.486004066, 138319.25787269292 6501323.487104967, 138319.55558263286 6501323.833674991, 138319.94324756903 6501324.288191512, 138319.94680499737 6501324.292316683, 138319.98483441214 6501324.33593268, 138320.31069925538 6501324.717058075, 138320.3567398123 6501324.771262819, 138320.3579546631 6501324.772687678, 138320.85133686897 6501325.349169976, 138321.01684863126 6501325.543063833, 138321.7774274365 6501324.893818208, 138321.61170674837 6501324.699679598))</t>
  </si>
  <si>
    <t>['FV409 S2D100 m2686-2687']</t>
  </si>
  <si>
    <t>LINESTRING Z (139484.83611475915 6498936.572915017 42.202, 139485.777121072 6498936.44330814 41.763)</t>
  </si>
  <si>
    <t>POLYGON ((139485.84534312406 6498936.938632025, 139485.70889901993 6498935.947984255, 139484.76789270708 6498936.077591131, 139484.90433681122 6498937.068238902, 139485.84534312406 6498936.938632025))</t>
  </si>
  <si>
    <t>['FV409 S2D1 m1395-1396']</t>
  </si>
  <si>
    <t>LINESTRING Z (138955.11058097123 6499936.337414413 27.201, 138950.76432764658 6499937.106564308 24.581)</t>
  </si>
  <si>
    <t>POLYGON ((138950.6771972508 6499936.6142145395, 138950.85145804237 6499937.598914076, 138955.19771136701 6499936.829764181, 138955.02345057545 6499935.845064645, 138950.6771972508 6499936.6142145395))</t>
  </si>
  <si>
    <t>['FV409 S1D1 m715-717']</t>
  </si>
  <si>
    <t>LINESTRING Z (138162.78693972115 6501431.616862825 60.257, 138162.49495824525 6501431.365580318 60.052, 138162.3885201866 6501431.2743218485 59.974, 138162.05370610696 6501430.985957406 59.769, 138161.8726327173 6501430.830528737 59.63, 138161.02958432218 6501430.104669177 59.078, 138160.86381724384 6501429.961836523 58.964, 138160.8232680523 6501429.92755053 58.932, 138160.73650953692 6501429.852486943 58.886, 138160.29197747307 6501429.470164874 58.626, 138160.2041256496 6501429.394201568 58.579)</t>
  </si>
  <si>
    <t>POLYGON ((138162.82111099616 6501430.98660224, 138162.82040706644 6501430.985997567, 138162.71439291342 6501430.895102548, 138162.38000166664 6501430.607102279, 138162.37937095232 6501430.606559978, 138162.1985830943 6501430.451376401, 138161.3558921207 6501429.725824579, 138161.19019528507 6501429.58305245, 138161.18665192593 6501429.580027974, 138161.14827024858 6501429.547574703, 138161.06365829078 6501429.47436832, 138161.06254117851 6501429.473404671, 138160.6185113922 6501429.091514588, 138160.5311606061 6501429.0159845175, 138159.87709069307 6501429.772418619, 138159.96494251656 6501429.848381924, 138159.96594583147 6501429.8492471455, 138160.40991860034 6501430.23108819, 138160.49611929845 6501430.305669153, 138160.5004333702 6501430.309359079, 138160.5392038394 6501430.34214109, 138160.70320628094 6501430.4834532505, 138161.54639664348 6501431.2094350895, 138161.54696787195 6501431.209926166, 138161.72772575595 6501431.365084013, 138162.06222462692 6501431.653176976, 138162.0630713654 6501431.653904599, 138162.16915708003 6501431.744860973, 138162.46078697024 6501431.995840902, 138163.11309247205 6501431.237884748, 138162.82111099616 6501430.98660224))</t>
  </si>
  <si>
    <t>['FV409 S1D1 m79-81']</t>
  </si>
  <si>
    <t>LINESTRING Z (137820.08590449486 6501954.5687452955 46.382, 137820.00009666936 6501954.36885567 46.016, 137819.7974013756 6501953.897657574 45.773, 137819.7324746492 6501953.747041372 45.666, 137819.60419851902 6501953.451691248 45.513, 137819.27293669607 6501952.682153483 45.116, 137819.18336491962 6501952.474582141 45.029, 137819.16248382238 6501952.425308721 45.011, 137819.00927224004 6501952.070013915 44.95, 137818.75599993498 6501951.482012803 44.82, 137818.5055918726 6501950.902786712 44.888)</t>
  </si>
  <si>
    <t>POLYGON ((137820.45955188884 6501954.171622556, 137820.25670762558 6501953.700077796, 137820.19163009935 6501953.549111403, 137820.19108741058 6501953.547857198, 137820.0631343459 6501953.253250918, 137819.73219315984 6501952.484458009, 137819.6430937882 6501952.277980908, 137819.6228511928 6501952.230214169, 137819.62161426104 6501952.227320741, 137819.46844362066 6501951.872120879, 137819.21521205467 6501951.284214347, 137819.21494810397 6501951.283602676, 137818.9645400416 6501950.704376586, 137818.04664370362 6501951.101196839, 137818.2969195801 6501951.680117167, 137818.55006012035 6501952.267812371, 137818.70273037025 6501952.621851944, 137818.7229975492 6501952.669676693, 137818.72428441155 6501952.672685869, 137818.8137680448 6501952.88005295, 137819.14494205525 6501953.649386723, 137819.14558575765 6501953.650875422, 137819.2735896735 6501953.945598784, 137819.338170552 6501954.095412693, 137819.54071573698 6501954.566261836, 137819.62644927538 6501954.76597841, 137820.54535971434 6501954.371512181, 137820.45955188884 6501954.171622556))</t>
  </si>
  <si>
    <t>['FV421 S6D1 m10132-10133']</t>
  </si>
  <si>
    <t>LINESTRING Z (137740.42503755965 6502014.140972017 46.372, 137740.46008069982 6502014.149638933 46.385, 137740.5199114225 6502014.164951241 46.411, 137741.54429971735 6502014.427572425 46.868, 137741.68357256416 6502014.463333415 46.964, 137742.33553781087 6502014.630356591 47.301, 137742.52946519875 6502014.679920865 47.395, 137742.72139955574 6502014.729678745 47.493, 137742.92458598525 6502014.781361349 47.579, 137743.50845797674 6502014.930857082 47.844, 137743.70447519474 6502014.981224267 47.968, 137744.00980149483 6502015.059198026 48.159, 137744.70616571198 6502015.238002958 48.543, 137745.21686506923 6502015.369458743 48.835, 137745.55315164162 6502015.45549011 49.026, 137745.56957989407 6502015.458923856 49.051, 137745.79138120502 6502015.515839629 49.183, 137746.60531701846 6502015.724466257 49.689)</t>
  </si>
  <si>
    <t>POLYGON ((137740.33807284985 6502014.634528795, 137740.3958432834 6502014.649313819, 137741.4200389232 6502014.911885613, 137741.55922174803 6502014.947623488, 137742.21145288934 6502015.11471486, 137742.40482219198 6502015.164136579, 137742.59592527922 6502015.213678958, 137742.59814408317 6502015.214248749, 137742.8009484569 6502015.265834173, 137743.38423067177 6502015.415178899, 137743.58004097958 6502015.465492917, 137743.58075659964 6502015.465676235, 137743.88576690204 6502015.543569295, 137744.58167126818 6502015.722256151, 137745.09222618776 6502015.853674758, 137745.09294226646 6502015.853858516, 137745.42922883885 6502015.939889883, 137745.45085495696 6502015.944913637, 137745.45623527557 6502015.946038202, 137745.6671041171 6502016.000148627, 137746.4811711436 6502016.208808906, 137746.72946289333 6502015.240123607, 137745.9155918806 6502015.0315135885, 137745.693856982 6502014.974614858, 137745.67187657874 6502014.969500329, 137745.6663171779 6502014.968338333, 137745.34114559667 6502014.885150487, 137744.83080459345 6502014.753786943, 137744.13415230406 6502014.574907951, 137744.13352008993 6502014.574746057, 137743.8285512651 6502014.49686359, 137743.6328921919 6502014.4465884315, 137743.04860626764 6502014.296986526, 137743.04784145782 6502014.296791345, 137742.84576496447 6502014.245391065, 137742.65493947527 6502014.195920653, 137742.65327618024 6502014.1954925, 137742.45948671654 6502014.145963477, 137741.80778989024 6502013.979009066, 137741.66865053348 6502013.943282353, 137740.64408025157 6502013.680614476, 137740.5840487963 6502013.665250751, 137740.58012444258 6502013.664263305, 137740.5450813024 6502013.655596389, 137740.30499381688 6502014.626347645, 137740.33807284985 6502014.634528795))</t>
  </si>
  <si>
    <t>['FV409 S2D1 m668-679']</t>
  </si>
  <si>
    <t>LINESTRING Z (139141.34261850413 6500591.285581539 47.077, 139143.8486651274 6500593.619302859 48.007, 139149.44815145322 6500597.68549918 48.567, 139152.80318346195 6500598.548612912 49.227, 139154.29958119546 6500599.331721423 49.437)</t>
  </si>
  <si>
    <t>POLYGON ((139143.5079163287 6500593.985213034, 139143.55487033573 6500594.023882419, 139149.15435666154 6500598.09007874, 139149.19365803004 6500598.115886329, 139149.23520976078 6500598.137888212, 139149.27864443196 6500598.155889837, 139149.32357797178 6500598.169732025, 139152.62259375138 6500599.018435052, 139154.06774471383 6500599.774724635, 139154.5314176771 6500598.888718211, 139153.03501994358 6500598.1056097, 139152.98257684553 6500598.081903137, 139152.9277569434 6500598.064380067, 139149.6649181984 6500597.224983925, 139144.16711518783 6500593.232627291, 139141.68336730284 6500590.919671364, 139141.00186970542 6500591.651491715, 139143.5079163287 6500593.985213034))</t>
  </si>
  <si>
    <t>['FV409 S2D1 m18-25']</t>
  </si>
  <si>
    <t>LINESTRING Z (138729.36386875354 6501044.275619759 65.036, 138729.56621734315 6501044.691523729 65.106, 138729.6755627946 6501044.916285431 65.158, 138729.72825679992 6501045.02382894 65.158, 138729.81749608117 6501045.20728952 65.128, 138730.16940246866 6501045.930557435 65.037, 138730.21714252583 6501046.02852304 65.003, 138730.26597588212 6501046.127388358 64.984, 138730.5888647125 6501046.790102551 64.885, 138730.6917757516 6501047.00040061 64.855, 138731.01347449474 6501047.661218577 64.695, 138731.1593652286 6501047.961897347 64.632, 138731.32635864225 6501048.30378045 64.566, 138731.50474042172 6501048.669705095 64.493, 138731.6266643363 6501048.920404555 64.45, 138731.98075734073 6501049.645471877 64.309, 138732.02483033494 6501049.736752305 64.289, 138732.47707402345 6501050.664532786 64.079, 138732.52352720068 6501050.759605657 64.065, 138732.63930707873 6501050.998830995 64.011, 138732.96843676415 6501051.674015784 63.892, 138733.02727481478 6501051.793033406 63.869, 138733.15058241057 6501052.047622098 63.828, 138733.4394997551 6501052.640204641 63.746, 138733.7046438633 6501053.18480089 63.668, 138733.90046126995 6501053.585244673 63.624, 138734.007232969 6501053.8042209055 63.602, 138734.24989072554 6501054.303723582 63.54, 138734.44956878573 6501054.712845551 63.496, 138734.79008685547 6501055.412071859 63.422, 138735.05751436454 6501055.95946403 63.368, 138735.32651913585 6501056.5127384495 63.34)</t>
  </si>
  <si>
    <t>POLYGON ((138729.1166069982 6501044.910271387, 138729.2259467617 6501045.135021397, 138729.22656382676 6501045.136285265, 138729.27894196054 6501045.243184109, 138729.36786714947 6501045.42599897, 138729.7197962521 6501046.149313578, 138729.76767148287 6501046.247556785, 138729.76884722206 6501046.249953211, 138729.81708122537 6501046.347605112, 138730.13937727438 6501047.009102649, 138730.13975569612 6501047.009877644, 138730.24244141436 6501047.219715261, 138730.5637728321 6501047.879778686, 138730.70952108796 6501048.180163811, 138730.71009559062 6501048.181343907, 138730.8770030673 6501048.523051072, 138731.0551975031 6501048.888591408, 138731.1770199946 6501049.139082323, 138731.17737822258 6501049.139817381, 138731.5309805155 6501049.8638798855, 138731.57456722663 6501049.954153163, 138731.57538272676 6501049.955834134, 138732.02762641528 6501050.883614615, 138732.0738741056 6501050.978267427, 138732.1892463987 6501051.216650609, 138732.18986287253 6501051.217919802, 138732.51899255795 6501051.893104591, 138732.5202173029 6501051.895599435, 138732.5781593654 6501052.012804653, 138732.70058564527 6501052.265573723, 138732.70115417297 6501052.26674366, 138732.9900099398 6501052.859199905, 138733.25509303674 6501053.403670839, 138733.25547155298 6501053.404446595, 138733.45116428804 6501053.804635427, 138733.55765241885 6501054.023030094, 138733.80015156924 6501054.522206285, 138733.8005525461 6501054.523029762, 138734.000135644 6501054.931957162, 138734.34055885655 6501055.630988689, 138734.34083431546 6501055.63155342, 138734.6080539953 6501056.178520189, 138734.87685180473 6501056.73136894, 138735.77618646697 6501056.294107959, 138735.50718169566 6501055.7408335395, 138735.50676690455 6501055.73998247, 138735.2394773249 6501055.192872624, 138734.89909678465 6501054.493928721, 138734.69942977233 6501054.084828961, 138734.45697212528 6501053.585738203, 138734.45665436646 6501053.585085314, 138734.34988266742 6501053.366109082, 138734.34963358028 6501053.365598968, 138734.15400577072 6501052.965542909, 138733.88905058167 6501052.421334692, 138733.6002956813 6501051.829085151, 138733.47727158008 6501051.575081781, 138733.47549427603 6501051.571449755, 138733.41727207627 6501051.453677876, 138733.08906041185 6501050.7803763375, 138732.97358788073 6501050.541786043, 138732.97276951114 6501050.54010316, 138732.92641913824 6501050.445240692, 138732.47468724218 6501049.518510156, 138732.43102044903 6501049.428071019, 138732.43004345446 6501049.426059051, 138732.0761298265 6501048.701359034, 138731.95438476343 6501048.451027327, 138731.77579998187 6501048.0846857615, 138731.60892289967 6501047.743040473, 138731.4633186354 6501047.442952113, 138731.46303321767 6501047.442364848, 138731.14133447452 6501046.781546881, 138731.14088476798 6501046.7806255175, 138731.03816329382 6501046.570714832, 138730.71546332026 6501045.90838826, 138730.7142711859 6501045.905958187, 138730.6660288832 6501045.808289483, 138730.61894122907 6501045.711662651, 138730.2671126321 6501044.988554616, 138730.17788573162 6501044.805119489, 138730.17725576778 6501044.803829106, 138730.12487114524 6501044.696917018, 138730.01583337606 6501044.472787763, 138729.8134790985 6501044.0568721015, 138728.9142584086 6501044.494367417, 138729.1166069982 6501044.910271387))</t>
  </si>
  <si>
    <t>['FV409 S1D1 m453-463']</t>
  </si>
  <si>
    <t>LINESTRING Z (138027.76740283828 6501653.181820977 50.85, 138027.95371201972 6501652.966564 50.861, 138028.0015904879 6501652.910611531 50.866, 138028.193394755 6501652.689791199 50.85, 138028.67616548832 6501652.129879339 50.925, 138028.94923446095 6501651.813650538 50.894, 138029.0333919063 6501651.7169551635 50.905, 138029.1672272493 6501651.562120701 50.905, 138029.42490427702 6501651.263481687 50.965, 138029.660988155 6501650.991082139 50.963, 138030.0407074385 6501650.550825196 50.961, 138030.08148498856 6501650.504615732 50.965, 138030.1193697987 6501650.459693178 50.962, 138030.46300370205 6501650.062172175 51, 138030.55435886444 6501649.956730311 51.016, 138030.75875913713 6501649.720603636 51.059, 138031.13038099086 6501649.290186503 51.043, 138031.59245829325 6501648.7554208245 51.086, 138031.96318043332 6501648.326097011 51.07, 138032.0473378793 6501648.22940164 51.081, 138032.305914624 6501647.929669331 51.083, 138032.54829650617 6501647.649616621 51.12, 138032.79058159038 6501647.368567399 51.131, 138033.02036746894 6501647.103821048 51.13, 138033.65606115648 6501646.368108274 51.201, 138033.8685588622 6501646.122141813 51.222, 138034.0294824427 6501645.9355045445 51.231, 138034.090053714 6501645.86524224 51.228, 138034.80161174078 6501646.376536887 51.242, 138034.9238975143 6501646.465249968 51.252, 138035.98153994785 6501647.225589266 51.343, 138036.02697502123 6501647.25839471 51.346, 138036.0497409572 6501647.275295692 51.349, 138037.1387022129 6501648.057740643 51.444, 138037.16256145976 6501648.075541337 51.446, 138037.1885105304 6501648.094144946 51.447, 138037.654597289 6501648.429106731 51.515, 138037.9682695563 6501648.655145992 51.564, 138038.35113934474 6501648.930794879 51.63, 138038.5112070121 6501649.046015398 51.627, 138039.15794074832 6501649.511299238 51.642, 138039.54071373615 6501649.785951607 51.663, 138040.09767063492 6501650.186524259 51.591, 138040.15394201985 6501650.227330336 51.596, 138040.5724070776 6501650.527687226 51.588, 138041.24737329857 6501651.0143706 51.6, 138041.32522050926 6501651.070181427 51.604, 138042.21742549096 6501651.711798062 51.616, 138042.43048460683 6501651.865125505 51.624, 138042.46836329985 6501651.8926294595 51.628, 138042.50614519464 6501651.9191368995 51.627, 138043.0998874684 6501652.3463137755 51.662, 138043.34326889733 6501652.521843678 51.677, 138044.1857623537 6501653.128052505 51.675, 138044.3360870161 6501653.236172094 51.694, 138044.49396805704 6501653.349593168 51.697, 138045.14497822197 6501653.817479301 51.711, 138045.41858516407 6501654.014215151 51.71, 138045.7441870435 6501654.249154725 51.703)</t>
  </si>
  <si>
    <t>POLYGON Z ((138027.76740283828 6501653.181820977 50.85, 138027.95371201972 6501652.966564 50.861, 138028.0015904879 6501652.910611531 50.866, 138028.193394755 6501652.689791199 50.85, 138028.67616548832 6501652.129879339 50.925, 138028.94923446095 6501651.813650538 50.894, 138029.0333919063 6501651.7169551635 50.905, 138029.1672272493 6501651.562120701 50.905, 138029.42490427702 6501651.263481687 50.965, 138029.660988155 6501650.991082139 50.963, 138030.0407074385 6501650.550825196 50.961, 138030.08148498856 6501650.504615732 50.965, 138030.1193697987 6501650.459693178 50.962, 138030.46300370205 6501650.062172175 51, 138030.55435886444 6501649.956730311 51.016, 138030.75875913713 6501649.720603636 51.059, 138031.13038099086 6501649.290186503 51.043, 138031.59245829325 6501648.7554208245 51.086, 138031.96318043332 6501648.326097011 51.07, 138032.0473378793 6501648.22940164 51.081, 138032.305914624 6501647.929669331 51.083, 138032.54829650617 6501647.649616621 51.12, 138032.79058159038 6501647.368567399 51.131, 138033.02036746894 6501647.103821048 51.13, 138033.65606115648 6501646.368108274 51.201, 138033.8685588622 6501646.122141813 51.222, 138034.0294824427 6501645.9355045445 51.231, 138034.090053714 6501645.86524224 51.228, 138034.80161174078 6501646.376536887 51.242, 138034.9238975143 6501646.465249968 51.252, 138035.98153994785 6501647.225589266 51.343, 138036.02697502123 6501647.25839471 51.346, 138036.0497409572 6501647.275295692 51.349, 138037.1387022129 6501648.057740643 51.444, 138037.16256145976 6501648.075541337 51.446, 138037.1885105304 6501648.094144946 51.447, 138037.654597289 6501648.429106731 51.515, 138037.9682695563 6501648.655145992 51.564, 138038.35113934474 6501648.930794879 51.63, 138038.5112070121 6501649.046015398 51.627, 138039.15794074832 6501649.511299238 51.642, 138039.54071373615 6501649.785951607 51.663, 138040.09767063492 6501650.186524259 51.591, 138040.15394201985 6501650.227330336 51.596, 138040.5724070776 6501650.527687226 51.588, 138041.24737329857 6501651.0143706 51.6, 138041.32522050926 6501651.070181427 51.604, 138042.21742549096 6501651.711798062 51.616, 138042.43048460683 6501651.865125505 51.624, 138042.46836329985 6501651.8926294595 51.628, 138042.50614519464 6501651.9191368995 51.627, 138043.0998874684 6501652.3463137755 51.662, 138043.34326889733 6501652.521843678 51.677, 138044.1857623537 6501653.128052505 51.675, 138044.3360870161 6501653.236172094 51.694, 138044.49396805704 6501653.349593168 51.697, 138045.14497822197 6501653.817479301 51.711, 138045.41858516407 6501654.014215151 51.71, 138045.7441870435 6501654.249154725 51.703, 138027.76740283828 6501653.181820977 50.85))</t>
  </si>
  <si>
    <t>['FV409 S1D1 m282-284']</t>
  </si>
  <si>
    <t>LINESTRING Z (137948.7269800373 6501797.107934339 47.774, 137948.74977453134 6501797.114773366 47.786, 137948.9134188437 6501797.163255873 47.858, 137949.62702375214 6501797.374588127 48.155, 137949.90772687283 6501797.457971884 48.293, 137950.42254761112 6501797.611158142 48.518, 137950.7881592246 6501797.719489265 48.675, 137951.3164186327 6501797.876399694 48.902, 137951.58985575597 6501797.957471507 49.022, 137951.6270854366 6501797.9679379035 49.039, 137951.80426521815 6501798.021141092 49.096, 137951.87981789216 6501798.042973603 49.138)</t>
  </si>
  <si>
    <t>POLYGON ((137948.60608751085 6501797.593682584, 137948.6077430139 6501797.5941761695, 137948.77138732627 6501797.642658677, 137949.48484604096 6501797.853947639, 137949.7652395843 6501797.937239435, 137950.27995005943 6501798.090392884, 137950.2805013291 6501798.090556571, 137950.64595194242 6501798.19883999, 137951.17404993396 6501798.355702473, 137951.44772552198 6501798.436845053, 137951.45453629515 6501798.438811972, 137951.4875168011 6501798.448083797, 137951.6604691486 6501798.50001758, 137951.6654591113 6501798.501487701, 137951.7410117853 6501798.523320212, 137952.018623999 6501797.562626994, 137951.945570109 6501797.541516559, 137951.77088150615 6501797.489061416, 137951.76240489742 6501797.486597438, 137951.7285876071 6501797.477090368, 137951.45866783513 6501797.397061421, 137950.93052792334 6501797.240186486, 137950.56486903375 6501797.131841237, 137950.05032442452 6501796.978737142, 137949.76940138216 6501796.895288002, 137949.0554244272 6501796.683845386, 137948.89263404568 6501796.63561587, 137948.87066705778 6501796.62902512, 137948.5832930168 6501797.586843558, 137948.60608751085 6501797.593682584))</t>
  </si>
  <si>
    <t>['FV409 S1D1 m284-286']</t>
  </si>
  <si>
    <t>LINESTRING Z (137948.47220320586 6501794.485110845 47.476, 137948.96656991175 6501794.614130164 47.514, 137949.02331414743 6501794.62873645 47.542, 137949.53211603814 6501794.7613831395 47.804, 137949.92842597008 6501794.8647204535 48.018, 137950.39183246938 6501794.985682114 48.234, 137950.53737445263 6501795.023852056 48.304, 137951.12671157822 6501795.177847254 48.593, 137951.56324072584 6501795.29136057 48.795, 137952.14640516607 6501795.443943537 49.018, 137952.23301628715 6501795.465707767 49.056, 137952.52101390902 6501795.541341532 49.169, 137952.63250934967 6501795.570747705 49.274)</t>
  </si>
  <si>
    <t>POLYGON ((137948.8403094027 6501795.097925868, 137948.8419300401 6501795.098345924, 137948.8979261492 6501795.112759639, 137949.4059800912 6501795.245211335, 137949.8022090923 6501795.348527547, 137950.265270581 6501795.46939915, 137950.41053366844 6501795.507495949, 137951.0003045999 6501795.66160471, 137951.00087831137 6501795.661754259, 137951.43704277836 6501795.775172745, 137952.0198423555 6501795.927660246, 137952.02455015582 6501795.92886761, 137952.1085837848 6501795.94998415, 137952.3937562537 6501796.024875975, 137952.50499803456 6501796.054215248, 137952.76002066478 6501795.087280163, 137952.64852522413 6501795.057873989, 137952.64801699613 6501795.057740234, 137952.36001937426 6501794.982106469, 137952.3548712974 6501794.9807836935, 137952.27061697925 6501794.959611697, 137951.6898035364 6501794.807643861, 137951.6890739927 6501794.807453565, 137951.2528316504 6501794.694014829, 137950.66399800763 6501794.540151192, 137950.51867325357 6501794.502038221, 137950.51811478 6501794.5018921, 137950.0547082807 6501794.38093044, 137949.65827225102 6501794.277560228, 137949.14945009438 6501794.144908255, 137949.14795401908 6501794.14452069, 137949.09202023456 6501794.130123017, 137948.5984637149 6501794.001315141, 137948.34594269682 6501794.96890655, 137948.8403094027 6501795.097925868))</t>
  </si>
  <si>
    <t>['FV409 S2D1 m2389-2393']</t>
  </si>
  <si>
    <t>LINESTRING Z (139445.12621789158 6499175.005070295 50.714, 139443.89504834556 6499169.370885789 51.444)</t>
  </si>
  <si>
    <t>POLYGON ((139444.38352202164 6499169.264145602, 139443.40657466947 6499169.477625977, 139444.6377442155 6499175.111810483, 139445.61469156767 6499174.898330107, 139444.38352202164 6499169.264145602))</t>
  </si>
  <si>
    <t>['FV409 S1D1 m929-931']</t>
  </si>
  <si>
    <t>LINESTRING Z (138338.6099762079 6501317.0130886175 67.101, 138338.5801157959 6501316.933504263 67.065, 138338.41449984 6501316.491901061 66.864, 138338.31227180467 6501316.216151759 66.743, 138338.15061333153 6501315.784223274 66.565, 138338.0134741008 6501315.418315178 66.372, 138337.94802492863 6501315.241596459 66.278, 138337.7534482836 6501314.719315595 66.003, 138337.73604108294 6501314.674734453 65.98, 138337.7252619476 6501314.646610012 65.967, 138337.45574389456 6501313.922378719 65.631, 138337.2507752998 6501313.375959449 65.48)</t>
  </si>
  <si>
    <t>POLYGON ((138339.04826212695 6501316.7578938585, 138338.88299111644 6501316.317210429, 138338.78109152804 6501316.042347078, 138338.78054847074 6501316.040889202, 138338.6188899976 6501315.608960717, 138338.48201235713 6501315.243750434, 138338.4169012144 6501315.067944426, 138338.416565569 6501315.067040828, 138338.22198892396 6501314.544759964, 138338.21920282938 6501314.537456575, 138338.20236471773 6501314.494332912, 138338.19301641846 6501314.4699417455, 138337.92434707077 6501313.747991038, 138337.92389119518 6501313.7467709035, 138337.7189226004 6501313.200351634, 138336.78262799917 6501313.551567265, 138336.9873678292 6501314.097376677, 138337.2566587714 6501314.820997694, 138337.25837834706 6501314.825550515, 138337.2691574824 6501314.853674956, 138337.27028653715 6501314.856593473, 138337.28627214534 6501314.897533811, 138337.47931604538 6501315.415700494, 138337.54459781502 6501315.591967211, 138337.54527742017 6501315.593791297, 138337.6823766856 6501315.95959276, 138337.84372246356 6501316.390685768, 138337.94568011662 6501316.665705741, 138337.9463403941 6501316.667476495, 138338.11195634998 6501317.109079697, 138338.1418431084 6501317.188734286, 138339.0781093074 6501316.8374429485, 138339.04826212695 6501316.7578938585))</t>
  </si>
  <si>
    <t>['FV409 S2D1 m1598-1599']</t>
  </si>
  <si>
    <t>LINESTRING Z (138925.9374364647 6499736.214218354 29.075, 138921.09843084466 6499736.674119386 25.565)</t>
  </si>
  <si>
    <t>POLYGON ((138921.05112381867 6499736.176362372, 138921.14573787065 6499737.1718764, 138925.9847434907 6499736.711975368, 138925.89012943872 6499735.71646134, 138921.05112381867 6499736.176362372))</t>
  </si>
  <si>
    <t>['FV409 S1D1 m331-333']</t>
  </si>
  <si>
    <t>LINESTRING Z (137963.10178033897 6501750.862811335 48.137, 137963.3087128771 6501750.963420283 48.251, 137963.41745211073 6501751.016230301 48.307, 137963.62438464793 6501751.116839247 48.42, 137964.53120926622 6501751.55685819 48.901, 137964.6905883202 6501751.633920728 48.989, 137964.90379033366 6501751.736938417 49.098, 137965.48449404712 6501752.019523812 49.344, 137965.9859096894 6501752.262533028 49.681, 137966.2276631497 6501752.379877859 49.786)</t>
  </si>
  <si>
    <t>POLYGON ((137963.0900870977 6501751.413089905, 137963.19892431068 6501751.465947559, 137963.405758871 6501751.56650887, 137964.3129333938 6501752.006697766, 137964.31355779094 6501752.007000207, 137964.47293684492 6501752.084062745, 137964.68563163825 6501752.186835367, 137965.26571054998 6501752.4691167185, 137965.2664309683 6501752.469466579, 137965.76771104056 6501752.7124100905, 137966.00932902013 6501752.829689161, 137966.44599727928 6501751.930066557, 137966.20424381897 6501751.812721726, 137965.7029175603 6501751.569755729, 137965.1225738308 6501751.287345511, 137965.1213233943 6501751.286739164, 137964.9081806747 6501751.183750126, 137964.7491730939 6501751.106867202, 137963.84283564196 6501750.667084646, 137963.63607788767 6501750.566560678, 137963.52724118615 6501750.513703272, 137963.32040611838 6501750.4131417135, 137962.88315455956 6501751.312480957, 137963.0900870977 6501751.413089905))</t>
  </si>
  <si>
    <t>['FV409 S2D1 m2103-2107']</t>
  </si>
  <si>
    <t>LINESTRING Z (139275.63280495326 6499399.365017907 38.869, 139274.51235027617 6499404.3172493 37.534)</t>
  </si>
  <si>
    <t>POLYGON ((139274.02467655367 6499404.206911907, 139275.00002399867 6499404.427586693, 139276.12047867576 6499399.4753553, 139275.14513123076 6499399.254680513, 139274.02467655367 6499404.206911907))</t>
  </si>
  <si>
    <t>['FV409 S1D1 m469-471']</t>
  </si>
  <si>
    <t>LINESTRING Z (138039.17801511742 6501639.445165036 -125.705, 138052.08840240043 6501648.707934745 -125.704)</t>
  </si>
  <si>
    <t>POLYGON ((138051.79692830823 6501649.114189411, 138052.37987649263 6501648.301680079, 138039.46948920962 6501639.03891037, 138038.88654102522 6501639.851419702, 138051.79692830823 6501649.114189411))</t>
  </si>
  <si>
    <t>['FV409 S2D100 m1568-1569']</t>
  </si>
  <si>
    <t>LINESTRING Z (138906.03973994596 6499778.463362347 22.48, 138902.4557576012 6499779.00255913 23.045)</t>
  </si>
  <si>
    <t>POLYGON ((138902.38137158437 6499778.50812337, 138902.530143618 6499779.49699489, 138906.11412596278 6499778.9577981075, 138905.96535392915 6499777.968926587, 138902.38137158437 6499778.50812337))</t>
  </si>
  <si>
    <t>['FV409 S2D1 m2443-2445']</t>
  </si>
  <si>
    <t>LINESTRING Z (139461.9631883633 6499118.628897104 45.959, 139461.81211499363 6499118.575167161 45.884, 139461.11416863196 6499118.328100449 45.645, 139460.55893652793 6499118.131551856 45.409, 139460.16214040061 6499117.992041799 45.318, 139460.06212141202 6499117.956489487 45.288, 139459.56003346387 6499117.778921479 45.104, 139459.41005336685 6499117.726091263 45.018, 139459.09855101054 6499117.615516329 44.891, 139458.91204819718 6499117.54913266 44.833, 139458.88398136408 6499117.539787528 44.83)</t>
  </si>
  <si>
    <t>POLYGON ((139461.97966126076 6499118.10407455, 139461.9789649812 6499118.103827494, 139461.2810186195 6499117.856760782, 139460.72578760193 6499117.660212574, 139460.72478025747 6499117.659857191, 139460.32879442177 6499117.520632026, 139460.22958445165 6499117.485367283, 139460.22883240104 6499117.485100638, 139459.7267444529 6499117.307532631, 139459.72615287747 6499117.307323833, 139459.57674405194 6499117.2546948455, 139459.26601402063 6499117.144394067, 139459.07971347074 6499117.078082391, 139459.07000266213 6499117.074737902, 139459.04193582904 6499117.06539277, 139458.72602689912 6499118.014182286, 139458.74922114212 6499118.02190504, 139458.93088573698 6499118.086566598, 139459.24279223447 6499118.1972851865, 139459.24393395326 6499118.197688909, 139459.3936176544 6499118.250414721, 139459.89503439577 6499118.42774535, 139459.99467736098 6499118.463164003, 139459.99629667107 6499118.463736464, 139460.39258869286 6499118.603069282, 139460.94731755796 6499118.799439732, 139461.64491674383 6499119.046383547, 139461.79564209617 6499119.099989716, 139462.13073463042 6499118.157804493, 139461.97966126076 6499118.10407455))</t>
  </si>
  <si>
    <t>['FV409 S1D1 m405-407']</t>
  </si>
  <si>
    <t>LINESTRING Z (137999.5282187697 6501690.429818292 50.355, 137999.64747533412 6501690.497701376 50.412, 138000.47741404112 6501690.964301522 50.78, 138000.6369580697 6501691.053419078 50.817, 138000.9594228604 6501691.23534985 50.944, 138001.00736350782 6501691.262882326 50.952, 138001.33928090922 6501691.448924475 51.072, 138001.92234718287 6501691.776546787 51.307, 138002.11073303717 6501691.882981036 51.396, 138002.53843493148 6501692.123091621 51.534, 138002.96404699975 6501692.3623992875 51.66, 138003.2917847471 6501692.546835596 51.76)</t>
  </si>
  <si>
    <t>POLYGON ((137999.4001300555 6501690.932235969, 137999.4024406128 6501690.933543073, 138000.2323793198 6501691.400143219, 138000.23358551587 6501691.400819162, 138000.39219822592 6501691.489416505, 138000.71207058604 6501691.669884658, 138000.75835497215 6501691.696465938, 138000.76289337812 6501691.699040961, 138001.09458015955 6501691.884953847, 138001.67690645298 6501692.212160367, 138001.86478271763 6501692.318306708, 138001.8659677971 6501692.318974129, 138002.29352583096 6501692.559003952, 138002.71891152955 6501692.798184337, 138003.04656947032 6501692.982575734, 138003.53700002388 6501692.111095457, 138003.20926227653 6501691.926659149, 138002.78348844196 6501691.687260488, 138002.3560913856 6501691.447320912, 138002.16829750242 6501691.341221115, 138002.16727760696 6501691.340646468, 138001.5842113333 6501691.013024157, 138001.5837510389 6501691.01276584, 138001.25410957084 6501690.827999367, 138001.20843139608 6501690.801766237, 138001.2051116841 6501690.799876542, 138000.88264689338 6501690.61794577, 138000.88078659493 6501690.616901438, 138000.72184612122 6501690.528121013, 137999.8936670782 6501690.062510169, 137999.77556404832 6501689.995283699, 137999.28087349108 6501690.864352886, 137999.4001300555 6501690.932235969))</t>
  </si>
  <si>
    <t>['FV409 S1D1 m551-553']</t>
  </si>
  <si>
    <t>LINESTRING Z (138079.32690281107 6501566.342294526 53.781, 138079.370401892 6501566.355169745 53.791, 138080.08796299266 6501566.5761779975 53.915, 138080.1542565248 6501566.595892283 53.949, 138080.51298867445 6501566.705898151 54.09, 138080.63014406431 6501566.741796122 54.141, 138081.30410927924 6501566.948932635 54.395, 138081.62033885805 6501567.045966488 54.526, 138082.14400191378 6501567.207347886 54.713, 138082.21556839958 6501567.2295677215 54.744, 138082.70081173274 6501567.378586427 54.899, 138083.06362672208 6501567.489201615 55.046, 138083.23055065592 6501567.540383551 55.1, 138083.26379421877 6501567.551237209 55.116)</t>
  </si>
  <si>
    <t>POLYGON ((138079.22585487878 6501566.833828009, 138079.94078610462 6501567.054026262, 138079.94544200628 6501567.055435515, 138080.00969915977 6501567.074544225, 138080.3664001816 6501567.183927244, 138080.4834576317 6501567.219795218, 138081.15722015235 6501567.426869434, 138081.47337493824 6501567.523880391, 138081.99624544583 6501567.685017543, 138082.0673106884 6501567.707081754, 138082.06878368623 6501567.707536599, 138082.5540270194 6501567.8565553045, 138082.55499781345 6501567.856852358, 138082.91743241824 6501567.9673515735, 138083.07965992374 6501568.017093499, 138083.10861120222 6501568.026545773, 138083.41897723533 6501567.075928644, 138083.38573367248 6501567.065074987, 138083.37712451094 6501567.0623499695, 138083.2102005771 6501567.011168033, 138083.20944064137 6501567.010935684, 138082.8471111579 6501566.900468518, 138082.3630900602 6501566.751825161, 138082.29225962496 6501566.729833853, 138082.29125679805 6501566.729523651, 138081.76759374232 6501566.568142254, 138081.76701228775 6501566.567963449, 138081.45089003482 6501566.470962528, 138080.7770331912 6501566.263859322, 138080.65952272946 6501566.227852365, 138080.30084501766 6501566.11786319, 138080.2967775112 6501566.116634766, 138080.23281540867 6501566.0976137975, 138079.51757878004 6501565.877321481, 138079.51231030174 6501565.875730486, 138079.4688112208 6501565.862855267, 138079.18499440132 6501566.821733786, 138079.22585487878 6501566.833828009))</t>
  </si>
  <si>
    <t>['FV409 S2D1 m1357-1358']</t>
  </si>
  <si>
    <t>LINESTRING Z (138959.9327492062 6499973.404436323 27.246, 138956.17395081208 6499974.11150377 24.981)</t>
  </si>
  <si>
    <t>POLYGON ((138956.0815170127 6499973.620122052, 138956.26638461146 6499974.6028854875, 138960.02518300558 6499973.895818041, 138959.84031540682 6499972.913054605, 138956.0815170127 6499973.620122052))</t>
  </si>
  <si>
    <t>['FV421 S6D1 m10113-10119']</t>
  </si>
  <si>
    <t>LINESTRING Z (137727.5879893314 6502027.959940548 46.087, 137726.89400016778 6502027.505283209 46.018, 137726.7349964556 6502027.4010245865 45.974, 137726.67692533747 6502027.362405222 45.952, 137726.60284166725 6502027.31427622 45.932, 137726.23004307604 6502027.0698387455 45.911, 137726.18403280503 6502026.958627555 45.906, 137725.909964211 6502026.291166789 45.839, 137725.8193273935 6502026.072633661 45.82, 137725.68100617704 6502025.736010535 45.796, 137725.60442869423 6502025.548301074 45.772, 137725.41356580035 6502025.085006513 45.696, 137725.221415987 6502024.618819213 45.645, 137725.08061773336 6502024.277407104 45.573, 137724.8223794176 6502023.648645318 45.491, 137724.62579307542 6502023.447445608 45.451, 137724.2797981465 6502023.095788846 45.35, 137723.93370641564 6502022.743135566 45.262, 137723.04066014412 6502021.834026945 45.215, 137723.0249664929 6502021.817444895 45.215, 137722.8933413899 6502021.684372801 45.206)</t>
  </si>
  <si>
    <t>POLYGON ((137726.63326287223 6502026.7363266805, 137726.37249045388 6502026.101247136, 137726.37181618257 6502026.099613255, 137726.2814938041 6502025.881838267, 137726.14372468108 6502025.546558733, 137726.06738583784 6502025.359434234, 137726.06673452083 6502025.357845508, 137725.87587162695 6502024.894550947, 137725.68368855873 6502024.4282829445, 137725.54299112258 6502024.087115277, 137725.28489013645 6502023.458687862, 137725.26454695847 6502023.415218958, 137725.24012984234 6502023.373900741, 137725.21186375665 6502023.335113901, 137725.18000913254 6502023.299215802, 137724.98342279036 6502023.098016092, 137724.98220401237 6502023.096773048, 137724.63643234986 6502022.7453432055, 137724.29056410756 6502022.392917652, 137723.40061024597 6502021.486956979, 137723.38811400332 6502021.47375334, 137723.38044730344 6502021.46582949, 137723.24882220043 6502021.332757396, 137722.53786057935 6502022.035988207, 137722.6656086565 6502022.165140654, 137722.6775126337 6502022.177718501, 137722.68396974987 6502022.184415247, 137723.57693256479 6502023.09343891, 137723.9229404546 6502023.44600676, 137723.92338720956 6502023.446461406, 137724.26877175504 6502023.797497796, 137724.3968049421 6502023.928535587, 137724.6181070145 6502024.46736456, 137724.61838209225 6502024.468032948, 137724.75916217326 6502024.809400991, 137724.95127663846 6502025.27550253, 137725.14179584704 6502025.73796284, 137725.21804903343 6502025.924877374, 137725.21852779755 6502025.926046711, 137725.356849014 6502026.262669838, 137725.35747542192 6502026.264187195, 137725.44777365413 6502026.481903965, 137725.72150656214 6502027.148547208, 137725.72201242333 6502027.149774532, 137725.76802269433 6502027.260985723, 137725.78934124886 6502027.306020666, 137725.81503619615 6502027.348710203, 137725.84485237233 6502027.388630404, 137725.87849368772 6502027.425384843, 137725.9156260669 6502027.458608529, 137725.95588076662 6502027.487971533, 137726.32867935783 6502027.732409008, 137726.33044849426 6502027.7335636625, 137726.40228089233 6502027.780230109, 137726.4581166453 6502027.817362876, 137726.46082920552 6502027.819154135, 137726.6198329177 6502027.923412757, 137727.3139868354 6502028.378178079, 137727.8619918274 6502027.541703017, 137727.1680860006 6502027.087100275, 137727.01052290696 6502026.983786265, 137726.95380514776 6502026.946066933, 137726.94931851045 6502026.94311778, 137726.87612063737 6502026.895564242, 137726.63326287223 6502026.7363266805))</t>
  </si>
  <si>
    <t>['FV410 S5D110 m4681-4696']</t>
  </si>
  <si>
    <t>LINESTRING Z (139816.58097097866 6498438.963751912 6.032, 139811.85751452937 6498437.31910441 7.892, 139809.45668908127 6498427.698484939 9.862, 139808.4838155589 6498416.76833838 11.665)</t>
  </si>
  <si>
    <t>POLYGON ((139812.27719183516 6498436.935788934, 139809.95126036115 6498427.615285587, 139808.98184663188 6498416.724009492, 139807.9857844859 6498416.812667268, 139808.95865800828 6498427.742813827, 139808.96361730268 6498427.781432037, 139808.97156650713 6498427.8195472695, 139811.37239195523 6498437.440166741, 139811.38675287407 6498437.487578336, 139811.40573496898 6498437.533336127, 139811.42915190442 6498437.576990938, 139811.45677381085 6498437.618114237, 139811.48832954103 6498437.65630234, 139811.5235093319 6498437.691180381, 139811.56196784522 6498437.722405981, 139811.60332755756 6498437.74967262, 139811.6471824662 6498437.772712637, 139811.6931020745 6498437.791299862, 139816.41655852378 6498439.435947364, 139816.74538343353 6498438.49155646, 139812.27719183516 6498436.935788934))</t>
  </si>
  <si>
    <t>['FV409 S2D1 m2954-2956']</t>
  </si>
  <si>
    <t>LINESTRING Z (139633.79809814593 6498605.877831851 27.027, 139638.45570305572 6498609.09203549 31.942)</t>
  </si>
  <si>
    <t>POLYGON ((139638.1717131067 6498609.503556703, 139638.73969300473 6498608.680514277, 139634.08208809493 6498605.466310638, 139633.51410819692 6498606.289353064, 139638.1717131067 6498609.503556703))</t>
  </si>
  <si>
    <t>['FV421 S6D1 m10090-10153', 'FV421 S6D1 m10153 KD1 m88-97']</t>
  </si>
  <si>
    <t>LINESTRING Z (137734.03390129982 6501994.284323738 45.382, 137733.88330670085 6501994.763686947 45.151, 137733.64887318027 6501995.50870946 45.12, 137733.62896549026 6501995.573010254 45.118, 137733.591268441 6501995.6923528 45.115, 137733.21397904836 6501996.892850659 45.115, 137733.0094070749 6501997.541421992 45.097, 137732.98789356236 6501997.609902451 45.098, 137732.98185747513 6501997.630607173 45.098, 137732.9480781848 6501997.738504041 45.097, 137732.6382505895 6501998.722211661 45.109, 137732.52907720767 6501999.0687936265 45.102, 137732.19094957568 6501999.667971642 45.09, 137732.05958552135 6501999.900022652 45.087, 137732.03304962692 6501999.947866697 45.086, 137731.99880351784 6502000.0095366575 45.086, 137731.42458047968 6502001.025969176 45.086, 137731.30012373003 6502001.246284108 45.088, 137730.82982914342 6502002.079602987 45.086, 137730.62296877173 6502002.445733492 45.076, 137730.36984711426 6502002.89481949 45.084, 137730.23077285028 6502003.140696424 45.088, 137730.20844511862 6502003.180084336 45.09, 137729.96383658948 6502003.613254592 45.069, 137729.56563308416 6502004.318860301 45.093, 137729.35276512854 6502004.69563358 45.09, 137729.13739163656 6502005.077679841 45.086, 137728.87736268435 6502005.538501938 45.083, 137728.74259338836 6502005.776919264 45.086, 137728.57618032402 6502006.072730082 45.086, 137728.55944447784 6502006.107551124 45.086, 137728.40394740092 6502006.453603418 45.086, 137728.13596307824 6502007.049991415 45.079, 137727.95871908433 6502007.441410719 45.084, 137727.8801192346 6502007.616028439 45.082, 137727.36631322524 6502008.757361547 45.067, 137727.07918433275 6502009.394840092 45.065, 137727.05682810635 6502009.444289967 45.067, 137727.0253494467 6502009.5137384515 45.067, 137726.6811740261 6502010.27847469 45.086, 137726.45019195828 6502010.7897888785 45.116, 137726.3633693941 6502010.983311905 45.12, 137726.19704727095 6502011.352545972 45.108, 137725.9099183905 6502011.990024533 45.081, 137725.8238987389 6502012.181457726 45.093, 137725.56975754158 6502012.744311626 45.129, 137725.39351007913 6502013.135634148 45.148, 137725.28763974085 6502013.371244232 45.152, 137724.9896858128 6502014.031904571 45.151, 137724.62405390647 6502014.844997398 45.156, 137724.28710471932 6502015.590925177 45.146, 137724.22386244638 6502015.8304417115 45.139, 137724.1558995067 6502016.083493753 45.141, 137724.00928518397 6502016.6348965475 45.17, 137723.8302468168 6502017.30814744 45.171, 137723.78976516007 6502017.460955822 45.181, 137723.71605654585 6502017.737702136 45.174, 137723.5250428199 6502018.453358996 45.173, 137723.40581298497 6502018.903521619 45.166, 137723.30250476755 6502019.289770644 45.184, 137723.21842661523 6502019.604743259 45.187, 137722.95823135605 6502020.581617902 45.168, 137722.897910333 6502020.8097855635 45.17, 137722.873447098 6502020.899676866 45.172, 137722.82641685678 6502021.078269352 45.173, 137722.77184151212 6502021.282742744 45.183, 137722.5802247774 6502021.754019933 45.203, 137722.3539860532 6502022.3141634185 45.184, 137722.29058454884 6502022.46919825 45.178, 137722.20781636966 6502022.673392553 45.173, 137721.7552421292 6502023.792683018 45.156, 137721.33166950883 6502024.837736026 45.148, 137721.26846161147 6502024.994763892 45.151, 137721.22372067568 6502025.103725606 45.148, 137721.05837792973 6502025.514107248 45.156, 137720.85792918614 6502026.008372615 45.157, 137720.78559885995 6502026.185399098 45.162, 137720.52515386912 6502026.8283330025 45.162, 137720.3962325441 6502027.147661722 45.15, 137720.17391159723 6502027.696359551 45.152, 137719.95971656794 6502028.225155569 45.177, 137719.71722604166 6502028.825102705 45.161, 137719.7016803209 6502028.8618199825 45.159, 137719.61798394413 6502029.077169573 45.147, 137719.59200037696 6502029.141054677 45.152, 137719.4212023745 6502029.5781201525 45.142, 137719.17223157483 6502030.214909868 45.138, 137719.11804931238 6502030.350942612 45.13, 137718.97875845717 6502030.708497639 45.136, 137718.78939669946 6502031.19263276 45.152, 137718.67881704698 6502031.472960775 45.143, 137718.54996404087 6502031.803347978 45.156, 137718.27019221993 6502032.516561815 45.165, 137718.22994985682 6502032.620056945 45.161, 137718.15910006507 6502032.801969207 45.17, 137718.05735243944 6502033.059309063 45.183, 137718.0162103636 6502033.163897512 45.174, 137717.7930295426 6502033.73480911 45.18, 137717.64631889173 6502034.109179612 45.182, 137717.5249368301 6502034.475054165 45.182, 137717.48916454107 6502034.583144669 45.221, 137717.38335669372 6502034.902239988 45.179, 137717.121903521 6502035.690124184 45.181, 137716.97560272377 6502036.130845522 45.171, 137716.8036770799 6502036.64949999 45.298, 137716.62381912855 6502037.190049301 45.215, 137716.431598612 6502037.769018517 45.238, 137716.2596729746 6502038.287672987 45.236, 137716.1266344674 6502038.688881109 45.212, 137715.93752880045 6502039.258494486 45.211, 137715.86900227075 6502039.464323132 45.245, 137715.79826061236 6502039.678414308 45.2, 137715.460445436 6502040.6950185355 45.196, 137715.38257438235 6502040.928914727 45.171, 137715.26209205447 6502041.293695977 45.166, 137715.0286725018 6502041.997377578 45.161, 137714.894124987 6502042.403761892 45.157, 137714.72961370175 6502042.801991799 45.152, 137714.5296775297 6502043.291177845 45.128, 137714.29765341157 6502043.853895262 45.071, 137714.18148190354 6502044.138790178 45.088, 137713.99519522383 6502044.592449066 45.146, 137713.88936475845 6502044.849179638 45.154, 137713.57286988012 6502045.619274546 45.134, 137713.38899193873 6502046.066663945 45.172, 137713.27754109912 6502046.338023349 45.101, 137713.1425154347 6502046.666998367 45.002, 137713.0181212186 6502046.970798587 44.977, 137712.96926894394 6502047.089212966 44.957)</t>
  </si>
  <si>
    <t>POLYGON ((137733.4063269162 6501994.613719287, 137733.17192827852 6501995.358630944, 137733.17124085964 6501995.360833274, 137733.1517554685 6501995.423770065, 137733.11448850084 6501995.541751045, 137733.1142704535 6501995.542443094, 137732.7370589177 6501996.74269322, 137732.53256509476 6501997.391016786, 137732.5323924525 6501997.391565227, 137732.51087893997 6501997.460045686, 137732.50787617904 6501997.469962064, 137732.50322094795 6501997.485930234, 137732.47104415004 6501997.588708466, 137732.16134784833 6501998.571999226, 137732.06790397767 6501998.868646264, 137731.75566646995 6501999.421945766, 137731.62446869022 6501999.653703056, 137731.62233577485 6501999.657509438, 137731.5958628654 6501999.705239921, 137731.5625692093 6501999.765194717, 137730.98924727744 6502000.780032186, 137730.86478384904 6502001.00035894, 137730.39444711333 6502001.833752418, 137730.1876451067 6502002.199779621, 137730.18739285754 6502002.200226623, 137729.93445629458 6502002.648984227, 137729.79568310027 6502002.894328884, 137729.77347152328 6502002.93351189, 137729.77306607034 6502002.934228515, 137729.5284575412 6502003.367398771, 137729.13024793804 6502004.07301525, 137728.9174387492 6502004.449684513, 137728.70188424893 6502004.83205141, 137728.44199765837 6502005.292621215, 137728.30732110114 6502005.53087448, 137728.3068178822 6502005.531766846, 137728.14040481785 6502005.827577664, 137728.12552864646 6502005.8561358405, 137728.10879280028 6502005.890956882, 137728.103372106 6502005.902617008, 137727.9478750291 6502006.248669302, 137727.6801868633 6502006.844398215, 137727.5032409082 6502007.235159341, 137727.5027797094 6502007.236180881, 137727.42418192132 6502007.410794021, 137726.91040328154 6502008.552066332, 137726.62343787253 6502009.189181914, 137726.6013257129 6502009.238091936, 137726.5699470232 6502009.307319866, 137726.56939853705 6502009.308534241, 137726.2253668059 6502010.072951212, 137725.99452871794 6502010.583946678, 137725.99399966974 6502010.585121842, 137725.9073311633 6502010.778301481, 137725.7411636155 6502011.1471923925, 137725.45402819078 6502011.784685482, 137725.36801176885 6502011.976111007, 137725.11405678897 6502012.538552485, 137724.9376157608 6502012.930304241, 137724.83170773686 6502013.165997733, 137724.53389477928 6502013.826345495, 137724.53367053624 6502013.82684344, 137724.1682122605 6502014.639550147, 137723.8314374267 6502015.385091947, 137723.815930469 6502015.423608633, 137723.8036727305 6502015.463279134, 137723.74070052328 6502015.701772853, 137723.67301197952 6502015.953803213, 137723.6726891289 6502015.955011339, 137723.52607745395 6502016.506404175, 137723.34704097515 6502017.179647966, 137723.3065229578 6502017.332592727, 137723.23293383405 6502017.608890401, 137723.04195425066 6502018.324419342, 137723.04170857478 6502018.3253433425, 137722.92263451192 6502018.774917834, 137722.8194834729 6502019.160579201, 137722.73534179133 6502019.475789574, 137722.47507639416 6502020.452927254, 137722.4748387789 6502020.453822689, 137722.41498096645 6502020.68023823, 137722.39099363043 6502020.76838082, 137722.38993130415 6502020.7723486405, 137722.34311333342 6502020.950135051, 137722.29684470856 6502021.123486273, 137722.1170464711 6502021.565696125, 137722.11661159896 6502021.566769243, 137721.89077911698 6502022.125906915, 137721.82778823137 6502022.279937667, 137721.82720441077 6502022.281371607, 137721.7444362316 6502022.48556591, 137721.2917789192 6502023.605061334, 137720.86828482078 6502024.64992061, 137720.86783637785 6502024.65103084, 137720.8052761674 6502024.806449653, 137720.7611940655 6502024.913806847, 137720.75994754428 6502024.916871431, 137720.59481751773 6502025.326725103, 137720.39482742848 6502025.819859522, 137720.3227433286 6502025.996283374, 137720.32217807387 6502025.997672768, 137720.06173308304 6502026.6406066725, 137720.0615136194 6502026.641149352, 137719.9327091592 6502026.960188607, 137719.71050547375 6502027.508597028, 137719.49629149988 6502028.037439809, 137719.25519597234 6502028.633935194, 137719.2412484054 6502028.666877809, 137719.23564094133 6502028.680692136, 137719.15335758615 6502028.892406043, 137719.1288435835 6502028.952677967, 137719.1262967325 6502028.959065349, 137718.95551399628 6502029.396091758, 137718.70713561427 6502030.031366255, 137718.6535396609 6502030.165926981, 137718.65215343318 6502030.169445973, 137718.51298616445 6502030.526683758, 137718.32401120322 6502031.009829968, 137718.21369630253 6502031.289486817, 137718.21299072253 6502031.291285693, 137718.08431599604 6502031.621215776, 137717.80472339535 6502032.333972732, 137717.80418114926 6502032.335361146, 137717.7639890628 6502032.438726976, 137717.6936542484 6502032.619316993, 137717.59237740043 6502032.87546616, 137717.59205813013 6502032.876275716, 137717.5509160543 6502032.980864165, 137717.55052827875 6502032.981853023, 137717.32742372667 6502033.552569521, 137717.1807894864 6502033.926745041, 137717.1717535378 6502033.951738433, 137717.0503714762 6502034.317612986, 137717.01452950225 6502034.425913627, 137716.9087852311 6502034.744817212, 137716.64735791576 6502035.532623488, 137716.50106558757 6502035.9733193135, 137716.32916119538 6502036.491909526, 137716.14939193556 6502037.032192281, 137715.95706816312 6502037.611472164, 137715.7850760135 6502038.130327109, 137715.65207403162 6502038.53142508, 137715.46306285533 6502039.100753839, 137715.39460324968 6502039.30638147, 137715.39424841074 6502039.3074512975, 137715.3236388901 6502039.521142574, 137714.9860014458 6502040.537211943, 137714.9081753591 6502040.7709730705, 137714.90780055505 6502040.772103334, 137714.7874189706 6502041.136579566, 137714.5541005106 6502041.8399564065, 137714.42512625517 6502042.229507118, 137714.26749323343 6502042.61108692, 137714.2667787785 6502042.612825645, 137714.06713532194 6502043.101295501, 137713.83540608018 6502043.663297768, 137713.8346658596 6502043.665102977, 137713.7187257444 6502043.949430434, 137713.53280124592 6502044.402207312, 137713.427100471 6502044.658623272, 137713.42689831537 6502044.659114415, 137713.11040343705 6502045.429209324, 137712.92652880555 6502045.876590668, 137712.81503098385 6502046.148064423, 137712.67996152322 6502046.477146111, 137712.55565838367 6502046.780723434, 137712.50705837237 6502046.898526344, 137713.4314795155 6502047.279899588, 137713.48033179017 6502047.161485209, 137713.48083472886 6502047.160261532, 137713.60514929096 6502046.856655845, 137713.74007290846 6502046.527929453, 137713.85147843364 6502046.2566803815, 137714.0353330133 6502045.809347823, 137714.3517301831 6502045.039490659, 137714.4574595113 6502044.783005432, 137714.45771857043 6502044.7823757725, 137714.64400525013 6502044.328716884, 137714.6444694555 6502044.327582463, 137714.76027259842 6502044.043590912, 137714.9919248611 6502043.481775339, 137714.99251245297 6502043.480343998, 137715.1920930176 6502042.992028021, 137715.35624545533 6502042.594666771, 137715.3687859045 6502042.560914726, 137715.5032888909 6502042.154664905, 137715.73666404566 6502041.451117149, 137715.73686588177 6502041.45050737, 137715.85716148053 6502041.086291474, 137715.93484445926 6502040.852960192, 137716.272749484 6502039.8360858355, 137716.27301447236 6502039.835286142, 137716.34357933156 6502039.621730029, 137716.41192782152 6502039.416436149, 137716.6011670754 6502038.846420958, 137716.7342615757 6502038.445044076, 137716.90616598935 6502037.926453641, 137717.09829803937 6502037.347750886, 137717.2781042729 6502036.8073570095, 137717.27828138546 6502036.806823711, 137717.4501735532 6502036.288270231, 137717.59644065722 6502035.847650392, 137717.8579102114 6502035.059716839, 137717.96375424645 6502034.740512428, 137717.99955962654 6502034.632322199, 137718.11669850987 6502034.2792376, 137718.25855894794 6502033.917243681, 137718.48169905136 6502033.346436723, 137718.52248751023 6502033.242747214, 137718.62407510408 6502032.98581211, 137718.62501051664 6502032.9834284345, 137718.6958603084 6502032.8015161725, 137718.735933236 6502032.698457008, 137719.01543286545 6502031.985937061, 137719.01579036532 6502031.98502306, 137719.14429231177 6502031.655535996, 137719.25451744391 6502031.376106718, 137719.25504498504 6502031.374763686, 137719.44440674275 6502030.890628565, 137719.44465433637 6502030.889994278, 137719.58325874034 6502030.534201348, 137719.6367412263 6502030.399925499, 137719.63790450917 6502030.396977763, 137719.88687530885 6502029.760188047, 137720.05645255334 6502029.326246463, 137720.0811407376 6502029.265546283, 137720.0840233237 6502029.258297419, 137720.16501896078 6502029.049896793, 137720.17765795716 6502029.020044878, 137720.1807921606 6502029.012469866, 137720.42321215002 6502028.412697246, 137720.63732748386 6502027.884097977, 137720.85963866758 6502027.335424244, 137720.8598727938 6502027.3348453725, 137720.98868458075 6502027.01578797, 137721.24873803515 6502026.373820612, 137721.32078471748 6502026.19748834, 137721.3212756776 6502026.196282244, 137721.52172442118 6502025.702016877, 137721.52215106113 6502025.700961422, 137721.68687561515 6502025.292114136, 137721.73098822165 6502025.1846826505, 137721.73229474245 6502025.181469078, 137721.79527909216 6502025.024996573, 137722.21862681725 6502023.980498435, 137722.67127719254 6502022.861020141, 137722.75367391188 6502022.6577422535, 137722.81678237068 6502022.503424002, 137722.81759923164 6502022.501414108, 137723.04362112994 6502021.941807461, 137723.2350198184 6502021.471066552, 137723.25493008524 6502021.411682383, 137723.3095054299 6502021.207208991, 137723.30993265065 6502021.205597578, 137723.3564398716 6502021.028991207, 137723.3803638006 6502020.94108161, 137723.38130291016 6502020.937580776, 137723.441505544 6502020.709860928, 137723.70154658332 6502019.733565288, 137723.78555779016 6502019.418843463, 137723.8888342796 6502019.032713062, 137723.8891472301 6502019.031537272, 137724.0082546608 6502018.581836797, 137724.1991451151 6502017.86664179, 137724.27292190105 6502017.58963979, 137724.2730924301 6502017.588997807, 137724.31351346165 6502017.436418271, 137724.49249102562 6502016.763396021, 137724.6389492098 6502016.21258045, 137724.70674997356 6502015.9601322515, 137724.7072944352 6502015.958087754, 137724.75990920083 6502015.758820622, 137725.0797211991 6502015.050830627, 137725.08006918302 6502015.050058529, 137725.44558913284 6502014.2372146705, 137725.74343077437 6502013.576803308, 137725.74371212535 6502013.57617832, 137725.84949365465 6502013.340765876, 137726.02555515835 6502012.949856238, 137726.2795994915 6502012.387216867, 137726.27997112158 6502012.386391818, 137726.36589978187 6502012.195161122, 137726.65293524737 6502011.557889959, 137726.81925304956 6502011.188665484, 137726.81956168264 6502011.187978941, 137726.9061204411 6502010.995043924, 137727.13683726644 6502010.484316891, 137727.13712493575 6502010.483678901, 137727.4810269164 6502009.719550228, 137727.51223052983 6502009.650708553, 137727.53478656523 6502009.600817289, 137727.53507452735 6502009.600179154, 137727.82220341984 6502008.962700609, 137728.3360491705 6502007.821279245, 137728.4144284767 6502007.647151488, 137728.59144125436 6502007.256242793, 137728.59203545068 6502007.254925529, 137728.86001977336 6502006.658537531, 137729.0128814764 6502006.318350153, 137729.01985394696 6502006.3038430475, 137729.17811772352 6502006.022518157, 137729.31263497157 6502005.784546723, 137729.5728493151 6502005.323396365, 137729.7882070035 6502004.941378222, 137730.0009594635 6502004.564809368, 137730.39924800626 6502003.859053092, 137730.64362181982 6502003.426298487, 137730.66574644562 6502003.38726887, 137730.8050524301 6502003.1409827145, 137730.80542302845 6502003.140326359, 137731.05841871907 6502002.691463851, 137731.26515280845 6502002.3255568575, 137731.73551376647 6502001.4921204895, 137731.8599189801 6502001.271896787, 137732.43413672008 6502000.255473647, 137732.43592722522 6502000.25227698, 137732.4701733343 6502000.19060702, 137732.49577710987 6502000.144443718, 137732.6260664068 6501999.9142912375, 137732.62639844354 6501999.91370378, 137732.96452607552 6501999.314525764, 137732.98774405342 6501999.267853227, 137733.0059765058 6501999.219016992, 137733.11514988763 6501998.872435026, 137733.4249831068 6501997.888709552, 137733.42524065424 6501997.887889374, 137733.45901994457 6501997.779992506, 137733.46187485845 6501997.7705475595, 137733.46646094232 6501997.754816576, 137733.48633553335 6501997.691553028, 137733.6908210285 6501997.043255865, 137733.69097703588 6501997.042760365, 137734.0681576733 6501995.842608554, 137734.10574543042 6501995.723612009, 137734.1065978109 6501995.720886439, 137734.12616431815 6501995.657687647, 137734.3602516026 6501994.913765462, 137734.5109159186 6501994.434180515, 137733.55688668104 6501994.134466961, 137733.4063269162 6501994.613719287))</t>
  </si>
  <si>
    <t>['FV409 S2D1 m397-404']</t>
  </si>
  <si>
    <t>LINESTRING Z (139094.67878554127 6500857.05338574 57.926, 139093.54778150748 6500866.825962206 58.054)</t>
  </si>
  <si>
    <t>POLYGON ((139093.05109674015 6500866.76847967, 139094.04446627482 6500866.883444742, 139095.1754703086 6500857.110868276, 139094.18210077393 6500856.995903204, 139093.05109674015 6500866.76847967))</t>
  </si>
  <si>
    <t>['FV409 S1D1 m426-428']</t>
  </si>
  <si>
    <t>LINESTRING Z (138012.78669386613 6501673.5864434885 50.714, 138013.0562751314 6501673.762446171 50.893, 138013.49013230408 6501674.045213263 51.147, 138013.60936031502 6501674.123158283 51.225, 138014.06141658843 6501674.4172344655 51.473, 138014.48681766243 6501674.695793377 51.698, 138014.68430863664 6501674.823473345 51.835, 138014.98401862872 6501675.0196854565 52.005, 138015.4264286923 6501675.307657229 52.252, 138016.04613760003 6501675.712193467 52.627, 138016.24481868243 6501675.841769655 52.741, 138016.31999530824 6501675.890798483 52.783)</t>
  </si>
  <si>
    <t>POLYGON ((138012.78293554264 6501674.181117246, 138013.21682939085 6501674.463908426, 138013.33576454181 6501674.54166199, 138013.33670999136 6501674.542278553, 138013.78813666134 6501674.83594516, 138014.21290921036 6501675.114092505, 138014.2153543634 6501675.115683455, 138014.41164126847 6501675.242584979, 138014.71015161916 6501675.438011718, 138014.71125468166 6501675.43873179, 138015.1533898323 6501675.726524617, 138015.77282443835 6501676.130881795, 138015.97168247096 6501676.26057344, 138016.0468590979 6501676.309602268, 138016.59313151857 6501675.471994698, 138016.51795489277 6501675.42296587, 138016.31936232545 6501675.293447409, 138015.69974185398 6501674.888968901, 138015.69919263935 6501674.888610896, 138015.25733454377 6501674.600998408, 138014.9581756462 6501674.405147083, 138014.95577193567 6501674.403583267, 138014.7595058494 6501674.276695202, 138014.3353250405 6501673.998935338, 138014.3340669121 6501673.998114195, 138013.88248362453 6501673.704345703, 138013.7637280773 6501673.626709555, 138013.76314206017 6501673.626327033, 138013.3294497958 6501673.343667421, 138013.0600334549 6501673.167772413, 138012.51335427735 6501674.005114564, 138012.78293554264 6501674.181117246))</t>
  </si>
  <si>
    <t>2019-12-13</t>
  </si>
  <si>
    <t>2025-11-22T09:21:52Z</t>
  </si>
  <si>
    <t>['EV134 S42D1 m1937-1939']</t>
  </si>
  <si>
    <t>LINESTRING Z (195418.46741334605 6621652.605507873 226.288, 195420.36709339963 6621656.253564363 225.808, 195419.41268106177 6621654.43493685 226.048, 195419.4449893026 6621654.823884641 226.088, 195419.5595349344 6621655.356628821 226.098, 195419.57858851377 6621655.586008288 226.128, 195419.48462520418 6621655.784608251 226.208, 195419.2477579668 6621655.834409312 226.338, 195418.9860382331 6621655.585019761 226.448, 195418.84896524216 6621655.3855273295 226.488, 195418.7418113128 6621655.183549651 226.518, 195418.6272016354 6621654.89181479 226.538, 195418.5292563567 6621654.438026353 226.518, 195418.52517832117 6621654.147151927 226.478, 195418.58504846704 6621654.021676769 226.428, 195418.78951139632 6621653.944441901 226.308, 195418.95653546957 6621654.020944423 226.228, 195419.11272608239 6621654.208807001 226.178, 195419.2846886306 6621654.465652303 226.118, 195419.41268106177 6621654.43493685 226.048, 195418.46741334605 6621652.605507873 226.288)</t>
  </si>
  <si>
    <t>['EV134 S42D1 m1154-1196']</t>
  </si>
  <si>
    <t>LINESTRING Z (194671.51796167024 6621867.358630005 257.378, 194671.82285751263 6621867.765104454 257.418, 194690.6213099996 6621875.502356862 256.708, 194692.9204377078 6621874.046096061 256.608, 194698.35502897197 6621870.079997161 256.668, 194716.40319768677 6621858.267763624 249.358, 194697.8186132289 6621849.478430604 249.008, 194688.74808749446 6621856.57836884 253.388, 194679.01114969183 6621863.271738124 256.768, 194674.61302432243 6621866.780190753 256.898, 194676.80751469464 6621865.0313651655 256.828, 194679.01114969183 6621863.271738124 256.768, 194682.26039617223 6621861.043663132 255.638, 194685.49966953532 6621858.8164166855 254.518, 194688.74808749446 6621856.57836884 253.388, 194691.77547274838 6621854.218095221 251.928, 194694.79205646494 6621851.8486770755 250.468, 194697.8186132289 6621849.478430604 249.008, 194694.69866612897 6621849.8781824475 249.408, 194691.58786359517 6621850.267132805 249.808, 194688.5371546881 6621852.830181566 251.638, 194685.49641883472 6621855.39240201 253.468, 194682.42659217294 6621857.967080961 254.568, 194679.34679241455 6621860.542588465 255.678, 194676.2669926344 6621863.118096087 256.788, 194674.32017224038 6621864.826264576 256.878, 194672.37418027676 6621866.5444061905 256.978, 194671.51796167024 6621867.358630005 257.378)</t>
  </si>
  <si>
    <t>['EV134 S42D1 m2947-2948']</t>
  </si>
  <si>
    <t>LINESTRING Z (196337.47998427838 6621797.517491159 170.679, 196334.6506293824 6621799.118196741 170.539, 196337.47998427838 6621797.517491159 170.679)</t>
  </si>
  <si>
    <t>['EV134 S42D1 m2948-2952']</t>
  </si>
  <si>
    <t>LINESTRING Z (196346.8233965647 6621792.011692704 170.609, 196337.47998427838 6621797.517491159 170.679, 196346.8233965647 6621792.011692704 170.609)</t>
  </si>
  <si>
    <t>['EV134 S42D1 m1204-1247']</t>
  </si>
  <si>
    <t>LINESTRING Z (194718.05974464974 6621838.558518867 251.878, 194714.39832081296 6621840.660160934 250.418, 194714.32350684173 6621840.726626848 250.408, 194717.1853964014 6621841.934929671 250.488, 194717.74713848683 6621842.169440207 250.498, 194722.45618125494 6621844.5799599765 250.538, 194724.29093983042 6621845.512075576 250.398, 194728.21303375863 6621847.636498696 250.068, 194729.52355275094 6621847.939354899 250.068, 194723.41687804757 6621844.660827786 250.578, 194726.0975315881 6621846.105106719 250.348, 194726.41931443056 6621845.505989531 250.608, 194726.06535001076 6621845.234135744 250.668, 194725.6807016398 6621844.713783597 250.818, 194725.79878532985 6621844.442885644 250.928, 194726.49189788476 6621844.44556205 251.008, 194726.90656101657 6621844.601913006 250.998, 194727.29544710787 6621844.81061462 250.968, 194727.65855616023 6621845.071666902 250.908, 194728.0481751379 6621845.651857468 250.738, 194727.9068315687 6621845.884520005 250.638, 194727.2320082938 6621845.860240591 250.568, 194726.81817359675 6621845.713862712 250.578, 194726.42928750225 6621845.505161097 250.608, 194726.0975315881 6621846.105106719 250.348, 194729.52355275094 6621847.939354899 250.068, 194732.29906183947 6621848.953995047 249.548, 194733.25743248808 6621848.402417164 249.998, 194733.59240657446 6621848.20387972 250.068, 194739.8989240111 6621846.876663898 250.608, 194743.35566022678 6621845.695794577 251.058, 194747.20303481503 6621844.382057217 251.398, 194754.40907143522 6621841.9156813 250.698, 194755.20946600445 6621841.6383151915 250.748, 194756.10675533162 6621839.505193447 251.738, 194755.36718671944 6621836.04192562 253.568, 194758.30382545176 6621834.281662836 254.158, 194758.92419493536 6621832.804182878 254.838, 194748.9217479446 6621837.872733011 253.308, 194734.21201031847 6621830.759863029 256.938, 194731.57217342342 6621828.9607273415 257.758, 194724.61539844656 6621834.790513491 254.448, 194718.05974464974 6621838.558518867 251.878)</t>
  </si>
  <si>
    <t>2020-01-10</t>
  </si>
  <si>
    <t>['RV13 S3D115 m51-604']</t>
  </si>
  <si>
    <t>LINESTRING Z (-19189.82 6579368.54 3.946, -19192.02 6579368.45 3.876, -19196.16 6579368.35 3.806, -19198.25 6579368.02 3.836, -19201.91 6579366.02 3.816, -19207.42 6579363.35 3.836, -19212.99 6579361.49 3.886, -19218.62 6579360.37 3.916, -19224.48 6579360.25 3.896, -19229.32 6579360.75 3.886, -19235.02 6579362.11 3.936, -19241.46 6579364.36 3.976, -19246.64 6579367.55 4.046, -19252.84 6579372.48 3.926, -19259.03 6579380.06 3.946, -19262.79 6579386.41 4.046, -19267.03 6579393.44 3.946, -19272.01 6579401.72 3.956, -19276.46 6579409.33 3.936, -19281.74 6579418.22 3.946, -19286.78 6579427.5 3.856, -19290.56 6579436.18 3.946, -19294.3 6579445.2 4.076, -19298.06 6579454.48 4.106, -19301.22 6579464.16 4.206, -19304.4 6579473.95 4.286, -19307.03 6579484.14 4.376, -19309.96 6579494.82 4.456, -19317.17 6579522.17 -0.084, -19338.05 6579599.63 -0.084, -19339.36 6579604.47 -0.084, -19344.58 6579623.84 4.896, -19345.88 6579628.68 4.916, -19347.19 6579633.52 4.926, -19351.1 6579648.05 4.986, -19352.41 6579652.89 4.996, -19355.02 6579662.57 5.036, -19358.94 6579677.11 5.086, -19362.2 6579689.22 5.136, -19369.9 6579711.02 4.616, -19371.24 6579722.77 5.256, -19374.9 6579736.35 5.306, -19378.9 6579751.21 5.356, -19385.64 6579775.62 5.426, -19387.51 6579782.15 5.496, -19389.11 6579786.71 5.636, -19391.33 6579792.89 5.566, -19392.83 6579796.35 5.496, -19393.59 6579798.46 5.606, -19395.89 6579803.68 5.656, -19398.37 6579808.89 5.736, -19401.02 6579814.06 5.866, -19401.96 6579815.82 6.036, -19403.83 6579819.17 6.016, -19406.75 6579824.15 6.156, -19407.77 6579825.52 6.226, -19409.85 6579829.09 6.306, -19413.03 6579833.83 6.436, -19416.42 6579838.62 6.586, -19420.2 6579843.63 6.736, -19422.83 6579847.04 6.846, -19426 6579851.16 6.966, -19427.21 6579852.72 6.906, -19430.23 6579855.82 7.106, -19432.84 6579858.29 7.016, -19436.93 6579861.85 7.116, -19440.88 6579865.29 7.216, -19445.09 6579868.96 7.316, -19450.56 6579873.73 7.446, -19454.99 6579877.59 7.556, -19459.91 6579881.78 7.716, -19460.61 6579882.42 7.776, -19463.66 6579885.1 7.806, -19467.12 6579888.9 7.916, -19470.04 6579892.7 8.006, -19473.19 6579896.77 8.046, -19476.12 6579900.58 8.046, -19477.77 6579902.4 7.916, -19479.6 6579905.09 7.976, -19482.28 6579908.58 7.876, -19486.84 6579913.78 7.496, -19493.63 6579922.71 7.256, -19502.89 6579935.32 6.766, -19510.03 6579944.45 6.206, -19520.11 6579957.73 5.796, -19526.24 6579965.5 5.296, -19527.8 6579967.64 5.276, -19535.33 6579976.61 5.056, -19536.2 6579977.81 5.016, -19543.21 6579987.38 4.906, -19545.33 6579990.32 4.746, -19549.06 6579994.68 4.606, -19552.07 6579998.66 4.716, -19554.52 6580002.09 4.656, -19560.88 6580010.46 4.426, -19562.45 6580012.55 4.296, -19566.29 6580017.44 4.366, -19572.64 6580024.84 3.856, -19575.58 6580028.36 3.776, -19578.34 6580033.56 3.956, -19580.12 6580035.68 2.486)</t>
  </si>
  <si>
    <t>POLYGON ((-19191.999562549016 6579367.950417864, -19192.00792622692 6579367.950145798, -19196.114774403282 6579367.850946566, -19198.086347951124 6579367.539645479, -19201.67023803261 6579365.581235599, -19201.691963431855 6579365.570044385, -19207.201963431853 6579362.900044385, -19207.261630705616 6579362.875743564, -19212.83163070562 6579361.015743565, -19212.892444501947 6579360.999609416, -19218.522444501945 6579359.879609416, -19218.565894757743 6579359.872935997, -19218.609763238263 6579359.870104803, -19224.469763238263 6579359.750104803, -19224.531379457185 6579359.752646854, -19229.371379457185 6579360.252646854, -19229.436040955658 6579360.263651877, -19235.13604095566 6579361.623651877, -19235.184914001813 6579361.6379794795, -19241.62491400181 6579363.8879794795, -19241.674799973724 6579363.908490342, -19241.722186270457 6579363.934255524, -19246.902186270458 6579367.124255523, -19246.951191487038 6579367.158643566, -19253.15119148704 6579372.088643567, -19253.19124582563 6579372.124154009, -19253.227274407214 6579372.163742932, -19259.417274407213 6579379.743742931, -19259.439909271987 6579379.773688301, -19259.460233786132 6579379.805247395, -19263.219201056672 6579386.153503291, -19267.458154205113 6579393.181767592, -19267.45847226047 6579393.18229567, -19272.43847226047 6579401.462295669, -19272.44162178166 6579401.467606185, -19276.89076300417 6579409.076137579, -19282.16989419919 6579417.9646747615, -19282.17938133107 6579417.9813704835, -19287.219381331066 6579427.261370484, -19287.238417399465 6579427.300366617, -19291.018417399468 6579435.9803666165, -19291.02187105679 6579435.988492488, -19294.761871056788 6579445.008492488, -19294.7634072179 6579445.012240179, -19298.5234072179 6579454.292240179, -19298.5353145544 6579454.324835332, -19301.6953145544 6579464.004835332, -19301.695542015477 6579464.00553385, -19304.875542015478 6579473.79553385, -19304.88413495348 6579473.825046621, -19307.513186989818 6579484.011373712, -19310.442183406776 6579494.687715601, -19310.443482267274 6579494.692544528, -19317.65312892081 6579522.041204164, -19338.53270125865 6579599.499617635, -19339.842634147502 6579604.339369683, -19339.842776581445 6579604.33989707, -19345.062776581446 6579623.70989707, -19346.36275993173 6579628.5498344125, -19347.6726341475 6579633.389369682, -19347.672823917386 6579633.390072848, -19351.58272926956 6579647.919721126, -19352.8926341475 6579652.7593696825, -19355.502759693987 6579662.4398344215, -19359.42276296999 6579676.9798465725, -19362.67783346886 6579689.071534701, -19370.371455227585 6579710.853476822, -19370.387224430342 6579710.90769526, -19370.396779949464 6579710.963345946, -19371.732531262267 6579722.676090666, -19375.382773537967 6579736.219885777, -19379.382394537664 6579751.078477697, -19386.121332581697 6579775.484631652, -19387.98664765167 6579781.998271977, -19389.581186500458 6579786.542707696, -19391.79513196076 6579792.705853166, -19393.288745559465 6579796.151121867, -19393.30041527849 6579796.180561321, -19394.05454213633 6579798.274255624, -19396.344605398805 6579803.47170355, -19398.818304674107 6579808.668466947, -19401.463027194815 6579813.8281708835, -19402.398849669295 6579815.580349134, -19404.26400317533 6579818.921666912, -19407.16744108021 6579823.873420599, -19408.171051389538 6579825.221406994, -19408.202021065066 6579825.268290248, -19410.274043442318 6579828.824597886, -19413.44173630282 6579833.546253282, -19416.823727429455 6579838.32493691, -19420.59754171474 6579843.326738383, -19423.225923212358 6579846.734639868, -19423.226276235866 6579846.735098139, -19426.39568198013 6579850.854325795, -19427.587811272202 6579852.391285873, -19430.581056664436 6579855.463822534, -19433.176121163968 6579857.919688172, -19437.258271954797 6579861.472856097, -19441.208372862166 6579864.912943952, -19445.41855455761 6579868.583102265, -19450.888543780926 6579873.353092859, -19455.31633635567 6579877.211169458, -19460.234183407632 6579881.399335952, -19460.247384599676 6579881.410985595, -19460.94374291325 6579882.047656053, -19463.990036246956 6579884.724399047, -19464.02970578419 6579884.763373154, -19467.489705784188 6579888.563373155, -19467.51646708589 6579888.595346345, -19470.435938435745 6579892.3946583755, -19473.585407359635 6579896.46397219, -19473.58635066389 6579896.465194896, -19476.504018053405 6579900.259158294, -19478.140430172018 6579902.064170449, -19478.1834060739 6579902.118760924, -19480.00532043528 6579904.796875477, -19482.66665651953 6579908.262570601, -19487.215929852435 6579913.450338437, -19487.238012378082 6579913.477367968, -19494.028012378083 6579922.407367968, -19494.033009361803 6579922.4140549805, -19503.288526951303 6579935.017950964, -19510.42386171476 6579944.141985472, -19510.42826595031 6579944.147701749, -19520.505439946828 6579957.423978602, -19526.63254481597 6579965.190308916, -19526.64404121238 6579965.205465284, -19528.19395841347 6579967.331633752, -19535.71295333809 6579976.288524121, -19535.73480522161 6579976.316516214, -19536.60408669851 6579977.515525147, -19543.613363236887 6579987.084537483, -19543.615557750974 6579987.087556995, -19545.723422951247 6579990.010728547, -19549.43993568881 6579994.354963275, -19549.458794392067 6579994.378399216, -19552.468794392065 6579998.358399216, -19552.47686673559 6579998.369380903, -19554.92257542028 6580001.793373061, -19561.278108591705 6580010.157494547, -19561.279770349698 6580010.159694044, -19562.846552132305 6580012.24540992, -19566.676527762764 6580017.122644513, -19573.019447266015 6580024.514393224, -19573.023752955323 6580024.519479065, -19575.963752955326 6580028.039479066, -19575.994939108226 6580028.081027715, -19576.021645800764 6580028.125587998, -19578.756884847215 6580033.278936925, -19580.502923588338 6580035.3584886845, -19579.73707641166 6580036.001511315, -19577.95707641166 6580033.881511315, -19577.925421609623 6580033.839508064, -19577.89835419924 6580033.794412002, -19575.162809006164 6580028.640486277, -19572.25838292672 6580025.163078181, -19565.910552733985 6580017.765606776, -19565.896757129354 6580017.748804218, -19562.056757129354 6580012.858804218, -19562.050229650304 6580012.850305956, -19560.481057522058 6580010.761408027, -19554.121891408297 6580002.392505453, -19554.11313326441 6580002.380619097, -19551.66709459638 6579998.956164962, -19548.67028230787 6579994.993602533, -19544.950064311193 6579990.645036725, -19544.924442249026 6579990.612443005, -19542.805533842497 6579987.673956818, -19535.796636763112 6579978.105462517, -19535.79519477839 6579978.103483786, -19534.935623385423 6579976.917868072, -19527.41704666191 6579967.961475879, -19527.39595878762 6579967.9345347155, -19525.84156279341 6579965.802222262, -19519.717455184033 6579958.039691084, -19519.711734049688 6579958.032298252, -19509.63391552894 6579944.755172264, -19502.496138285238 6579935.628014528, -19502.486990638197 6579935.61594502, -19493.22946120488 6579923.009309365, -19486.452556890585 6579914.096532411, -19481.904070147564 6579908.909661563, -19481.883434694755 6579908.884525794, -19479.203434694755 6579905.394525793, -19479.1865939261 6579905.371239076, -19477.37618089235 6579902.710030847, -19475.74956982798 6579900.915829551, -19475.72364933611 6579900.884805104, -19472.79412005025 6579897.075417193, -19469.644592640365 6579893.006027809, -19469.64353291411 6579893.004653656, -19466.736246425906 6579889.221198637, -19463.309043598198 6579885.457218653, -19460.279963753044 6579882.795600953, -19460.272615400325 6579882.789014406, -19459.57911342851 6579882.154955461, -19454.66581659237 6579877.970664049, -19454.661531588546 6579877.966972814, -19450.231531588546 6579874.106972815, -19444.761411247044 6579869.336867926, -19440.55153699604 6579865.666977545, -19436.60167624351 6579862.227098813, -19432.511728045203 6579858.667143903, -19432.49632069451 6579858.653159104, -19429.88632069451 6579856.183159105, -19429.87185559398 6579856.16890197, -19426.85185559398 6579853.068901969, -19426.814915130308 6579853.026444034, -19425.60491513031 6579851.466444034, -19425.603723764136 6579851.464901861, -19422.433900403597 6579847.345131436, -19419.804076787645 6579843.935360132, -19419.80086206227 6579843.931145988, -19416.02086206227 6579838.921145989, -19416.01187057529 6579838.9088431625, -19412.62187057529 6579834.118843162, -19412.614785218324 6579834.108561816, -19409.434785218324 6579829.3685618155, -19409.417978934933 6579829.341709752, -19407.35214453611 6579825.796022827, -19406.348948610463 6579824.448593006, -19406.318677077186 6579824.402904204, -19403.398677077188 6579819.422904204, -19403.393414047678 6579819.413706188, -19401.523414047675 6579816.063706188, -19401.518962340775 6579816.055554205, -19400.578962340776 6579814.295554204, -19400.575046475242 6579814.288070955, -19397.92504647524 6579809.118070955, -19397.918537711208 6579809.104899515, -19395.43853771121 6579803.894899515, -19395.432445942984 6579803.8816042775, -19393.132445942985 6579798.661604278, -19393.119584721513 6579798.629438679, -19392.364953201853 6579796.534343275, -19390.87125444054 6579793.088878132, -19390.859439926862 6579793.059036142, -19388.63943992686 6579786.8790361425, -19388.63820000894 6579786.875543856, -19387.038200008938 6579782.3155438565, -19387.029321447637 6579782.287652205, -19385.159321447638 6579775.7576522045, -19385.15803512112 6579775.7530783815, -19378.41803512112 6579751.343078381, -19378.417185847207 6579751.339963432, -19374.41720618062 6579736.480038971, -19370.757226462036 6579722.900114222, -19370.74884792801 6579722.863646368, -19370.74322005054 6579722.826654053, -19369.409648789584 6579711.133025459, -19361.728544772417 6579689.386523177, -19361.71718827155 6579689.349972439, -19358.457212545003 6579677.240062608, -19354.537239408724 6579662.7001622515, -19351.927302980905 6579653.020398028, -19350.617365852497 6579648.180630317, -19350.61717608261 6579648.179927152, -19346.707270730436 6579633.650278874, -19345.3973658525 6579628.810630317, -19345.397115142176 6579628.809700478, -19344.097169178916 6579623.969901661, -19338.87729453801 6579604.600366835, -19337.567365852497 6579599.760630317, -19337.567231859237 6579599.760134247, -19316.687231859236 6579522.300134247, -19316.686517732724 6579522.297455472, -19309.477155086664 6579494.949873175, -19306.54781659322 6579484.272284399, -19306.54586504652 6579484.264953379, -19303.919707714973 6579474.089841893, -19300.74457142527 6579464.314815391, -19297.59007321542 6579454.651668976, -19293.837353275947 6579445.389636785, -19290.099819889707 6579436.375585676, -19286.330253732373 6579427.719544871, -19281.305201897638 6579418.467068477, -19276.03010580081 6579409.585325238, -19276.028378218336 6579409.582393815, -19271.579936579663 6579401.9750587875, -19266.601686602462 6579393.697968464, -19262.361845794887 6579386.668232408, -19262.359766213867 6579386.664752604, -19258.618932287707 6579380.34712084, -19252.48672969334 6579372.837896986, -19246.35227991884 6579367.960019987, -19241.243942874677 6579364.814152194, -19234.87915719861 6579362.590430491, -19229.2359280969 6579361.2439758275, -19224.45935011472 6579360.750527688, -19218.674315167824 6579360.868992568, -19213.118470964873 6579361.974240438, -19207.608987363215 6579363.814032089, -19202.13903606601 6579366.464625549, -19198.48976196739 6579368.4587644, -19198.4380616088 6579368.483284827, -19198.383898261367 6579368.5017377455, -19198.327981286755 6579368.513881482, -19196.237981286755 6579368.843881482, -19196.17207377308 6579368.849854202, -19192.03625677593 6579368.949753164, -19189.840437450985 6579369.039582136, -19189.799562549015 6579368.040417864, -19191.999562549016 6579367.950417864))</t>
  </si>
  <si>
    <t>2020-02-03</t>
  </si>
  <si>
    <t>['FV2738 S4D1 m3903-3905']</t>
  </si>
  <si>
    <t>LINESTRING Z (197953.16 6655817.7 349.84, 197954.58 6655817.79 349.86, 197954.6 6655822.6 349.89)</t>
  </si>
  <si>
    <t>POLYGON Z ((197953.16 6655817.7 349.84, 197954.58 6655817.79 349.86, 197954.6 6655822.6 349.89, 197953.16 6655817.7 349.84))</t>
  </si>
  <si>
    <t>2021-02-08</t>
  </si>
  <si>
    <t>2025-11-22T09:21:57Z</t>
  </si>
  <si>
    <t>['FV7327 S1D1 m2344-2400']</t>
  </si>
  <si>
    <t>LINESTRING Z (419897.8195321624 7308387.17259079 36.05464577585459, 419894.0441826338 7308386.942839158 36.054652466475964, 419893.7136668512 7308386.920740094 35.06465305507183, 419892.72235837136 7308386.864436813 35.06465481340885, 419891.72081710625 7308386.798378486 35.06465658664703, 419891.39030132245 7308386.776279424 36.0546571752429, 419886.93393235176 7308386.5028073955 36.054665072858334, 419886.80548326235 7308386.985859458 36.05466502815485, 419886.6670402588 7308387.469150395 36.05466499835253, 419886.5785668282 7308387.951246981 36.05466487914324, 419886.50008731254 7308388.4331046995 36.05466474503279, 419886.4316017119 7308388.914723551 36.054664596021176, 419886.353361066 7308389.406575182 36.054664454460145, 419886.2848754661 7308389.888194034 36.05466430544853, 419886.2063959519 7308390.370051754 36.05466417133808, 419886.1379103528 7308390.851670605 36.05466401487589, 419886.0596697086 7308391.343522239 36.05466387331486, 419885.99118411005 7308391.825141088 36.054663724303246, 419885.91270459746 7308392.306998809 36.054663590192796, 419885.84445786895 7308392.798611573 36.0546634337306, 419885.81594792986 7308393.279274948 36.054663217663766, 419885.7876768603 7308393.7699322365 36.05466298669577, 419885.7594057912 7308394.260589529 36.05466276317835, 419885.73089585314 7308394.7412529 36.05466253966093, 419885.7026247849 7308395.231910192 36.054662316143514, 419885.6843476314 7308395.7223286135 36.054662070274354, 419885.6658316093 7308396.202753117 36.054661839306355, 419885.6615705556 7308396.442845936 36.054661705195905, 419885.6475544565 7308396.693171538 36.054661593437196, 419885.6292773044 7308397.18358996 36.054661347568036, 419885.61100015254 7308397.674008378 36.05466110914946, 419885.59248413175 7308398.154432883 36.05466087073088, 419885.5742069809 7308398.644851304 36.05466062486172, 419885.5559298302 7308399.135269723 36.05466038644314, 419885.53741381067 7308399.615694231 36.05466014802456, 419885.5191366608 7308400.1061126515 36.0546599021554, 419885.5008595114 7308400.596531071 36.05465965628624, 419885.50205385784 7308400.646500642 36.05465962648392, 419885.4737827942 7308401.137157932 36.0646594029665, 419885.44527286186 7308401.61782131 36.06465918689966, 419885.43599555513 7308401.648041919 36.06465917944908, 419885.4070078846 7308402.108717468 36.07465897828341, 419885.40772449237 7308402.138699208 36.07465895593167, 419885.3787368222 7308402.599374757 36.08465874731541, 419885.38020863465 7308403.079321524 36.07465847909451, 419885.3809252426 7308403.109303269 36.07465845674277, 419885.39191323123 7308403.569023337 36.06465818107128, 419885.39262983925 7308403.599005081 36.06465816617012, 419885.40361782827 7308404.058725149 36.05465789049864, 419885.40433443635 7308404.088706891 36.0546578681469, 419885.4253163403 7308404.548188093 36.054657577574254, 419885.42603294837 7308404.578169836 36.05465755522251, 419885.43725980754 7308405.047883819 36.05465727210045, 419885.4389704912 7308405.537824501 36.04465699642897, 419885.4509139592 7308406.03752023 36.044656698405745, 419885.4519080356 7308406.497479166 36.05465643763542, 419885.452863513 7308406.537454824 36.05465641528368, 419885.45457419805 7308407.027395506 36.05465613216162, 419885.44605209946 7308407.507581145 36.05465587884188, 419885.4277749561 7308407.997999564 36.064655632972716, 419885.40949781315 7308408.488417985 36.07465539455414, 419885.39122067054 7308408.978836407 36.08465514868498, 419885.3919372788 7308409.00881815 36.08465513378382, 419885.39293135743 7308409.4687770875 36.0746548730135, 419885.3936479658 7308409.498758831 36.07465485811234, 419885.3944031754 7308409.9487238545 36.064654604792594, 419885.3955975226 7308409.998693429 36.06465456753969, 419885.3961138631 7308410.438664539 36.06465432167053, 419885.38731429586 7308410.488872977 36.06465431421995, 419885.3878306367 7308410.928844087 36.05465406090021, 419885.389024984 7308410.97881366 36.05465403109789, 419885.3895413252 7308411.418784768 36.05465378522873, 419885.38098062744 7308411.4789871285 36.05465377032757, 419885.38125809975 7308411.908964324 36.04465352445841, 419885.3826913164 7308411.968927808 36.04465348720551, 419885.40295661805 7308412.398427264 36.044653211534026, 419885.4046287044 7308412.4683846645 36.04465317428112, 419885.41466122237 7308412.888129079 36.04465292096138, 419885.4165721782 7308412.968080393 36.04465286880732, 419885.426365827 7308413.377830888 36.05465262293816, 419885.4282767829 7308413.457782204 36.05465257823467, 419885.43807043217 7308413.867532701 36.05465232491493, 419885.4402202577 7308413.957477934 36.05465227276087, 419885.4497750376 7308414.357234513 36.06465203434229, 419885.45192486304 7308414.447179743 36.064651982188224, 419885.4614796435 7308414.8469363265 36.07465173631907, 419885.4638683387 7308414.946875473 36.074651676714424, 419885.4631903353 7308415.33687701 36.084651460647585, 419885.4658179 7308415.446810067 36.08465139359236, 419885.4848888565 7308415.826339952 36.0746511477232, 419885.4875164213 7308415.93627301 36.07465108066798, 419885.5065873781 7308416.315802893 36.06465083479881, 419885.5094538125 7308416.435729867 36.064650760293006, 419885.52111981384 7308416.5054484 36.06465070813894, 419885.5282859 7308416.805265835 36.06465052187443, 419885.54138511873 7308416.934947854 36.05465042501688, 419885.5499844226 7308417.294728779 36.054650208950044, 419885.5530897267 7308417.424649667 36.05465013444424, 419885.5716829454 7308417.78419172 36.05464989602566, 419885.5750271192 7308417.924106525 36.044649814069274, 419885.61010233883 7308418.973228681 36.04464916586876, 419885.6408779075 7308419.842460376 36.03464862197637, 419885.6692261726 7308420.191769647 36.024648376107216, 419885.68280313106 7308420.341439493 36.01464827179909, 419885.701157482 7308420.690987634 36.00464804083109, 419885.71473444067 7308420.840657481 35.99464793652296, 419885.7330887916 7308421.1902056215 35.974647705554965, 419885.7466657505 7308421.339875472 35.96464760124683, 419885.7650201018 7308421.689423609 35.93464737027884, 419885.7783581912 7308421.8290995415 35.924647273421286, 419885.8069453269 7308422.188402726 35.90464702010155, 419885.8202834164 7308422.32807866 35.88464691579342, 419885.84863168275 7308422.677387928 35.85464666992426, 419885.86220864195 7308422.827057775 35.84464656561613, 419885.90055082325 7308423.176128175 35.81464630484581, 419885.91388891276 7308423.315804106 35.794646200537684, 419885.95223109436 7308423.664874507 35.76464593976736, 419885.9658080539 7308423.8145443555 35.754645828008655, 419885.99415632116 7308424.163853625 35.73464558213949, 419886.00773328077 7308424.313523472 35.724645477831366, 419886.0360815483 7308424.6628327435 35.694645231962205, 419886.0594135528 7308424.802269806 35.68464511275292, 419886.08776182064 7308425.151579074 35.65464486688376, 419886.11133269506 7308425.301010053 35.64464474022389, 419886.14967487776 7308425.650080454 35.61464447945357, 419886.1630129681 7308425.789756387 35.594644375145435, 419886.21134906553 7308426.138587915 35.56464409947395, 419886.22492602555 7308426.288257765 35.554643987715245, 419886.2532742944 7308426.637567034 35.524643741846084, 419886.2766062992 7308426.777004096 35.5046436226368, 419886.3149484828 7308427.126074492 35.46464336186647, 419886.3285254431 7308427.275744342 35.454643257558345, 419886.3668676269 7308427.624814741 35.42464298933744, 419886.38044458727 7308427.77448459 35.414642885029316, 419886.39473815693 7308427.954136183 35.39464275836945, 419886.41878677136 7308428.123554988 35.384642624258994, 419886.4221309477 7308428.263469791 35.37464253485203, 419886.4504792177 7308428.612779061 35.354642288982866, 419886.4640561782 7308428.762448908 35.34464218467474, 419886.48241053394 7308429.1119970465 35.33464195370674, 419886.4959874947 7308429.261666895 35.32464184939862, 419886.5243357652 7308429.610976163 35.294641603529456, 419886.5379127261 7308429.76064601 35.28464149922132, 419886.5762549115 7308430.109716412 35.25464123100043, 419886.58959300263 7308430.249392343 35.244641134142874, 419886.6179412737 7308430.598701614 35.22464088827372, 419886.6315182348 7308430.74837146 35.214640776515004, 419886.6698604207 7308431.09744186 35.19464051574469, 419886.6732045976 7308431.23735666 35.1846404337883, 419886.7017917391 7308431.596659846 35.17464018046856, 419886.71512983064 7308431.736335778 35.16464007616043, 419886.75347201707 7308432.085406175 35.13463981539011, 419886.7668101088 7308432.225082109 35.12463971108198, 419886.8053911653 7308432.584146421 35.09463944286108, 419886.8384782164 7308432.713350701 35.08463931620121, 419886.95677171927 7308433.06051014 35.05463891386986, 419887.02959555865 7308433.178765027 35.02463872015476, 419887.24735046725 7308433.503547938 34.954638153910636, 419887.3199354368 7308433.611808908 34.934637967646125, 419887.5576781745 7308433.936114084 34.85463736414909, 419887.64049592847 7308434.054130099 34.83463715553284, 419887.8879937108 7308434.368202485 34.75463654458523, 419887.9708114647 7308434.486218498 34.73463633596897, 419888.2185481172 7308434.810284802 34.66463571757078, 419888.2911330869 7308434.918545771 34.64463553130627, 419888.5388697394 7308435.242612071 34.57463491290808, 419888.6114547091 7308435.350873043 34.544634726643565, 419888.849436317 7308435.6851721285 34.484634123146535, 419888.9317763314 7308435.783200313 34.45463392198086, 419889.18974576844 7308436.117021658 34.384633281230926, 419889.27208578284 7308436.215049848 34.35463308006525, 419889.5597980934 7308436.538160666 34.274632394611835, 419889.64213810785 7308436.63618885 34.254632200896744, 419889.9101014594 7308436.969771325 34.174631537795065, 419889.9724536449 7308437.068277251 34.154631373882296, 419890.1697429859 7308437.373550073 34.10463085979223, 419890.20068020874 7308437.412809119 34.09463078528643, 419890.22329560644 7308437.522264437 34.0846306809783, 419890.3420668513 7308437.889411702 34.04463026374579, 419890.3644433792 7308437.98887311 34.04463017433882, 419890.50344132306 7308438.365536549 34.01462971240282, 419890.53557289555 7308438.454765168 34.004629608094696, 419890.68456475425 7308438.8311897395 33.984629138708115, 419890.71669632674 7308438.920418361 33.97462902694941, 419890.8656881857 7308439.296842928 33.94462855756283, 419890.88782584376 7308439.386310421 33.94462846815586, 419891.0168298741 7308439.763212729 33.924628028571604, 419891.0489614467 7308439.85244135 33.924627924263476, 419891.17820434715 7308440.239337571 33.904627477228644, 419891.2100970498 7308440.318572274 33.89462738037109, 419891.3493338651 7308440.705229629 33.8746269184351, 419891.38146543776 7308440.79445825 33.86462681412697, 419891.54045121215 7308441.17064395 33.83462632238865, 419891.56235000066 7308441.250117527 33.824626240432266, 419891.671843943 7308441.647485405 33.81462582319975, 419891.6937427315 7308441.726958981 33.81462574124336, 419891.7832488453 7308442.1248045955 33.81462536126375, 419891.8051476339 7308442.204278169 33.814625271856784, 419891.92463549133 7308442.601407178 33.80462483972311, 419891.9465342799 7308442.680880755 33.79462475776673, 419892.13932371826 7308443.216252472 33.764624117016794, 419892.20430347446 7308443.424691456 33.7546238860488, 419892.38351594895 7308443.810393329 33.70462335705757, 419892.4051758678 7308443.879872987 33.704623282551765, 419892.51490868174 7308444.2872347785 33.69462285786867, 419892.5365686005 7308444.356714441 33.69462278336287, 419892.6560564592 7308444.753843445 33.684622351229194, 419892.67771637806 7308444.823323105 33.6746222692728, 419892.8369410245 7308445.2095027175 33.6346217700839, 419892.86883372796 7308445.288737423 33.62462167322636, 419893.04780733347 7308445.664445381 33.584621144235136, 419893.0597122081 7308445.744157826 33.58462108463049, 419893.14921832434 7308446.14200344 33.5846206972003, 419893.1711171134 7308446.221477015 33.584620615243914, 419893.29060497315 7308446.618606021 33.564620183110236, 419893.3222588066 7308446.687846813 33.55462008625269, 419893.4914773685 7308447.073787551 33.51461957216263, 419893.5231312021 7308447.143028342 33.504619482755665, 419893.7021048086 7308447.5187363 33.45461895376444, 419893.71400968335 7308447.59844874 33.45461888670921, 419893.7937607565 7308448.006527143 33.46461852163076, 419893.81565954577 7308448.086000718 33.464618439674375, 419893.92515349237 7308448.483368591 33.45461802244186, 419893.956807326 7308448.552609382 33.44461792558432, 419894.126025889 7308448.938550121 33.39461741149425, 419894.15767972264 7308449.007790912 33.38461731463671, 419894.32689828577 7308449.39373165 33.33461680054665, 419894.3285703764 7308449.463689052 33.334616763293745, 419894.3688235334 7308449.89271076 33.354616450369356, 419894.3904834528 7308449.9621904185 33.35461636841297, 419894.48022844177 7308450.370029948 33.34461598098278, 419894.51188227575 7308450.43927074 33.334615891575815, 419894.6811008397 7308450.825211478 33.27461537003517, 419894.7127546735 7308450.894452266 33.264615280628206, 419894.88173436775 7308451.270399091 33.20461477398872, 419894.893639243 7308451.350111536 33.2046147069335, 419894.92389848694 7308451.779372114 33.234614408910275, 419894.9455584065 7308451.848851774 33.23461433440447, 419895.0253094824 7308452.2569301715 33.22461396187544, 419895.0669572308 7308452.325932093 33.20461385011673, 419895.28566762735 7308452.690690651 33.10461326152086, 419895.31756033155 7308452.769925357 33.094613157212734, 419895.43704819516 7308453.167054357 33.05461272507906, 419895.4487142006 7308453.2367728865 33.054612665474416, 419895.5284652773 7308453.644851282 33.04461229294539, 419895.5503640673 7308453.72432486 33.044612210989, 419895.6301151443 7308454.132403257 33.02461184591055, 419895.6517750642 7308454.201882917 33.02461176395416, 419895.75151397026 7308454.609483573 32.99461136162281, 419895.77317389013 7308454.678963232 32.994611287117, 419895.88290671085 7308455.086325019 32.96461086243391, 419895.8945727165 7308455.156043549 32.96461080282926, 419895.96456875035 7308455.57435473 32.964610445201394, 419895.98622867034 7308455.643834392 32.96461036324501, 419896.0659797486 7308456.051912787 32.95460999816656, 419896.0878785388 7308456.131386361 32.944609908759595, 419896.2073664046 7308456.528515363 32.90460947662592, 419896.21927128057 7308456.608227805 32.904609409570696, 419896.24308103253 7308456.767652697 32.904609282910826, 419896.2790345309 7308457.016783944 32.91460907429457, 419896.2909394069 7308457.096496387 32.91460900723934, 419896.3507026575 7308457.505052526 32.914608671963215, 419896.38259536226 7308457.58428723 32.91460857510567, 419896.4920893146 7308457.981655099 32.88460815787315, 419896.5237431492 7308458.05089589 32.884608061015605, 419896.65322493046 7308458.447786022 32.84460761398077, 419896.66489093646 7308458.51750455 32.844607554376125, 419896.754635931 7308458.925344076 32.844607166945934, 419896.7665408072 7308459.005056521 32.84460709989071, 419896.82630405907 7308459.413612655 32.864606764614585, 419896.8581967642 7308459.492847361 32.86460666030646, 419896.97768463194 7308459.889976361 32.83460622817278, 419896.9993445524 7308459.959456021 32.82460615366698, 419897.1288263349 7308460.356346151 32.784605699181554, 419897.1407312113 7308460.436058594 32.794605632126334, 419897.24453091604 7308461.01355579 32.80460512548685, 419897.29047833034 7308461.262448169 32.804604901969434, 419897.37022941234 7308461.670526564 32.804604536890984, 419897.4018832473 7308461.739767353 32.79460444003344, 419897.5611079035 7308462.125946959 32.71460394084453, 419897.5927617385 7308462.195187747 32.714603843986986, 419897.72224352235 7308462.5920778755 32.66460339695215, 419897.7241544848 7308462.67202919 32.674603344798086, 419897.78415660927 7308463.090579239 32.70460300207138, 419897.8160493147 7308463.169813944 32.694602905213834, 419897.95528614306 7308463.556471285 32.634602443277835, 419897.9969338926 7308463.625473204 32.61460233151913, 419898.1956564663 7308463.990709495 32.52460177272558, 419898.2075613433 7308464.0704219425 32.52460170567036, 419898.2675634688 7308464.4889719905 32.55460136294365, 419898.2894622601 7308464.568445564 32.554601280987264, 419898.40895013104 7308464.965574564 32.52460084885359, 419898.44060396624 7308465.0348153515 32.51460075199604, 419898.58983471006 7308465.421233824 32.4546002677083, 419898.60173958715 7308465.500946269 32.464600208103654, 419898.6814906718 7308465.909024662 32.47459983557463, 419898.7033894633 7308465.988498236 32.47459975361824, 419898.7931344626 7308466.396337759 32.47459935873747, 419898.82478829805 7308466.465578548 32.4645992693305, 419898.9321324224 7308466.773001187 32.42459890425205, 419898.9640251283 7308466.85223589 32.414598807394505, 419898.9859239199 7308466.931709463 32.41459871798754, 419899.1054117922 7308467.328838459 32.404598285853865, 419899.12731058395 7308467.408312036 32.40459820389748, 419899.23680454225 7308467.805679902 32.41459778666496, 419899.25870333397 7308467.885153475 32.40459770470858, 419899.40769520897 7308468.261578035 32.37459722787142, 419899.43958791497 7308468.340812736 32.37459712356329, 419899.5690697024 7308468.7377028605 32.35459667652845, 419899.5907296238 7308468.807182521 32.354596594572065, 419899.7102174973 7308469.204311518 32.35459616243839, 419899.7321162892 7308469.283785091 32.344596080482006, 419899.8813470353 7308469.670203561 32.32459559619427, 419899.9030069568 7308469.739683219 32.31459552168846, 419900.0522377033 7308470.12610169 32.294595037400725, 419900.0741364951 7308470.205575262 32.29459495544434, 419900.2233672418 7308470.591993734 32.2645944711566, 419900.25502107764 7308470.661234521 32.26459438174963, 419900.40425182454 7308471.047652992 32.23459389746189, 419900.4359056605 7308471.11689378 32.234593800604344, 419900.58513640764 7308471.5033122515 32.204593323767185, 419900.6270230283 7308471.582308083 32.1945932045579, 419900.7957638633 7308471.948260983 32.15459269791842, 419900.8276565698 7308472.027495685 32.144592593610284, 419901.00639131916 7308472.393209716 32.11459207206965, 419901.02852898196 7308472.482677204 32.11459198266268, 419901.1575330309 7308472.859579499 32.10459154307842, 419901.1899034784 7308472.9588020295 32.10459143131971, 419901.32866257126 7308473.32547154 32.0845909768343, 419901.3610330188 7308473.424694071 32.08459086507559, 419901.47980428365 7308473.791841323 32.08459044784308, 419901.51217473124 7308473.891063853 32.08459033608437, 419901.63094599615 7308474.258211104 32.084589918851854, 419901.6635553144 7308474.367427553 32.084589799642565, 419901.78232657956 7308474.734574799 32.08458938241005, 419901.81493589794 7308474.843791248 32.08458926320076, 419901.9334682928 7308475.200944584 32.08458885341883, 419901.97607152537 7308475.309922157 32.08458871930838, 419902.0846100064 7308475.667314366 32.08458832442761, 419902.12745210965 7308475.786285854 32.084588182866575, 419902.24574563454 7308476.133445275 32.08458777308464, 419902.2674055567 7308476.202924934 32.08458769857884, 419902.2785938238 7308476.252655636 32.08458764642477, 419902.3968873489 7308476.599815057 32.08458724409342, 419902.4299744086 7308476.729019329 32.08458710998297, 419902.5482679339 7308477.076178754 32.08458670765162, 419902.5813549938 7308477.205383026 32.084586573541166, 419902.6794218204 7308477.543026275 32.0845862159133, 419902.7227416651 7308477.681985591 32.084586059451105, 419902.8208084919 7308478.01962884 32.084585694372656, 419902.8541344225 7308478.158827027 32.084585552811625, 419902.95220124954 7308478.496470274 32.084585195183756, 419902.9957599651 7308478.645423506 32.08458503127098, 419903.0835940077 7308478.97331171 32.084584688544275, 419903.12715272314 7308479.12226494 32.08458453208208, 419903.2249806803 7308479.449914274 32.084584174454214, 419903.26853939594 7308479.598867507 32.08458401054144, 419903.3561345684 7308479.916761793 32.084583675265314, 419903.3999321547 7308480.075708941 32.08458351135254, 419903.49752124166 7308480.393364358 32.08458315372467, 419903.54155769874 7308480.562305418 32.08458298236132, 419903.62891400116 7308480.8702057935 32.08458265453577, 419903.68294437253 7308481.038907981 32.08458246082068, 419903.7703006752 7308481.346808356 32.08458213299513, 419903.8143371324 7308481.515749415 32.08458196163178, 419903.91168734955 7308481.823410922 32.08458161890507, 419903.9557238069 7308481.99235198 32.084581440091135, 419904.04284123937 7308482.290258441 32.08458111971617, 419904.09711048176 7308482.468954543 32.084580926001074, 419904.1842279143 7308482.766861002 32.07458059817553, 419904.2384971568 7308482.945557104 32.074580404460434, 419904.3156206755 7308483.243702437 32.07458009898663, 419904.3701287888 7308483.432392453 32.07457989782095, 419904.4370195229 7308483.720782743 32.08457961469889, 419904.5115154647 7308483.9089950165 32.07457937628031, 419904.66289605515 7308484.385358709 32.064578839838504, 419904.80213289557 7308484.772016041 32.05457837790251, 419904.91851545975 7308485.039224148 32.03457802027464, 419905.00300531613 7308485.22719755 32.02457775950432, 419905.1293817946 7308485.494166785 32.004577386975285, 419905.2136327803 7308485.672146276 31.99457714110613, 419905.34000925894 7308485.939115508 31.974576761126517, 419905.4045112872 7308486.127566654 31.95457654505968, 419905.41498294275 7308486.14731561 31.954576515257358, 419905.501383765 7308486.415240329 31.944576209783555, 419905.5561307498 7308486.613924258 31.934576001167297, 419905.63301539945 7308486.902075675 31.924575703144075, 419905.7075113421 7308487.090287948 31.904575464725497, 419905.81389999297 7308487.357734923 31.884575121998786, 419905.8779242801 7308487.52619824 31.86457491338253, 419906.00501737173 7308487.823149217 31.84457451850176, 419906.0483372186 7308487.962108533 31.834574362039568, 419906.1563979648 7308488.299512908 31.824573982059956, 419906.1990011995 7308488.408490481 31.814573847949507, 419906.33752143 7308488.765166069 31.78457340091467, 419906.3594202243 7308488.844639643 31.774573318958282, 419906.48890202376 7308489.24152976 31.754572864472866, 419906.5003291624 7308489.301254371 31.75457280486822, 419906.64028261794 7308489.717893446 31.72457232058048, 419906.6509931444 7308489.747636317 31.72457229077816, 419906.79166321235 7308490.1942571355 31.69457178413868, 419906.92257823737 7308490.651110737 31.674571292400362, 419906.92329484964 7308490.681092479 31.6745712774992, 419907.0534932627 7308491.107964335 31.654570808112624, 419907.06492040143 7308491.167688951 31.65457074850798, 419907.12516141584 7308491.596232906 31.634570405781268, 419907.1370662962 7308491.675945348 31.634570338726043, 419907.2165785269 7308492.074029819 31.614569966197013, 419907.2292000197 7308492.183724004 31.614569884240627, 419907.30775676743 7308492.541832818 31.59456954151392, 419907.341082701 7308492.681031 31.58456940740347, 419907.3991738792 7308493.019629726 31.574569109380246, 419907.4232225113 7308493.189048527 31.564568975269797, 419907.48059707705 7308493.49766551 31.554568699598313, 419907.51535623596 7308493.696827182 31.544568520784377, 419907.55202636134 7308493.975940162 31.53456829726696, 419907.57774708944 7308494.215316364 31.534568118453027, 419907.6239333876 7308494.474202644 31.524567887485027, 419907.66988081497 7308494.723095014 31.51456766396761, 419907.7255832858 7308494.961754599 31.50456743299961, 419907.78176349844 7308495.2204020135 31.494567187130453, 419907.82699431357 7308495.439312642 31.474566985964774, 419907.883652268 7308495.717947879 31.464566725194455, 419907.9284053417 7308495.916870681 31.44456653147936, 419907.95054300764 7308496.006338165 31.444566442072393, 419908.00528999546 7308496.205022092 31.424566233456137, 419908.0695531558 7308496.383479326 31.4045660173893, 419908.17641955207 7308496.670914124 31.37456566721201, 419908.2697089714 7308496.808679084 31.35456542134285, 419908.4465327667 7308497.094441787 31.304564944505692, 419908.5293505301 7308497.212457789 31.284564735889436, 419908.7166459815 7308497.517969451 31.234564229249955, 419908.7989860032 7308497.6159976255 31.21456402808428, 419909.02625711105 7308497.9205538025 31.154563454389574, 419909.11787443416 7308497.988361363 31.134563253223895, 419909.3656111121 7308498.312427629 31.054562627375127, 419909.38750990765 7308498.391901202 31.04456254541874, 419909.45774484094 7308498.820206283 30.994562180340292, 419909.45941693726 7308498.890163679 30.984562135636807, 419909.50014787057 7308499.3391732 30.91456180781126, 419909.50134222506 7308499.389142773 30.90456177800894, 419909.5825265569 7308499.857184635 30.834561368227007, 419909.5832431697 7308499.88716638 30.824561353325844, 419909.5063129696 7308501.688937369 30.744560466706755, 419909.1883344817 7308503.44647169 30.74456003457308, 419909.28094595677 7308503.9742381675 30.674559572637083, 419909.27142978465 7308503.994464866 30.674559572637083, 419909.2657742164 7308504.594577457 30.624559244811536, 419909.3388756063 7308505.142809506 30.54455880522728, 419909.4022219537 7308505.701274338 30.474558380544185, 419909.48531725875 7308506.249267518 30.41455791860819, 419909.6269428225 7308506.735863983 30.344557389616966, 419909.71003812854 7308507.28385716 30.25455693513155, 419909.76362943486 7308507.8525547795 30.15455651789904, 419910.0425422154 7308508.2258739965 30.02455581009388, 419910.4684972544 7308508.47568318 29.90455490857363, 419911.0709985513 7308508.581277882 29.774553783535957, 419911.30205293006 7308508.625753416 29.7245533439517, 419911.68325489067 7308508.676639801 29.654552636146548, 419912.3055051435 7308508.771762852 29.524551481306553, 419913.06456486817 7308508.7336208215 29.384550155103206, 419911.0823665253 7308515.750736203 29.26454969316721, 419913.2986131184 7308520.617578952 29.164542995095253, 419913.7333677179 7308520.8171796845 29.054542101025582, 419914.16836118826 7308521.026774326 28.834541214406492, 419914.59312187333 7308521.226613927 28.57454034268856, 419915.027876472 7308521.426214654 28.33453945606947, 419915.4628699416 7308521.635809297 28.164538561999798, 419915.8876306258 7308521.835648898 28.044537690281867, 419916.3223852239 7308522.035249625 27.934536803662777, 419916.75737869274 7308522.244844268 27.854535909593107, 419917.1821393763 7308522.444683867 27.714535037875176, 419917.6168939735 7308522.644284592 27.634534151256084, 419918.05188744166 7308522.853879233 27.514533257186415, 419918.48664203845 7308523.053479961 27.424532370567324, 419918.91140272096 7308523.253319558 27.284531498849393, 419919.3463961884 7308523.462914199 27.13453060477972, 419927.2923994038 7308506.573620633 27.13452610462904, 419927.43514198 7308506.270220151 26.144526030123235, 419927.8536146664 7308505.3702515 26.144525799155236, 419928.28208126756 7308504.470043979 26.144525553286076, 419928.4248238446 7308504.166643501 27.134525471329688, 419929.9854760275 7308500.849464947 27.13452459961176, 419929.4653147704 7308500.8418984115 27.284525530934335, 419928.93515959894 7308500.834570741 27.42452647715807, 419928.3671786104 7308500.918143781 27.51452743828297, 419927.8091915351 7308501.001477949 27.63452837705612, 419927.2409716745 7308501.075057078 27.7145293456316, 419926.79646204866 7308500.885689122 27.854530239701273, 419926.33339782036 7308500.756762392 27.934531133770943, 419925.91815332253 7308500.536696081 28.04453199803829, 419925.47364369576 7308500.347328124 28.164532899558544, 419925.0296118107 7308500.177947996 28.334533778727057, 419924.6136506993 7308499.927899942 28.574534657895565, 419924.264780534 7308499.556252829 28.834535492360594, 419923.9251876697 7308499.154385102 29.05453632682562, 419923.53801394516 7308498.853650867 29.164537183642388, 419923.96062477794 7308498.963545255 29.264536371529104, 419924.5129176195 7308499.060340408 29.3845353358984, 419924.1262216373 7308498.779594001 29.524536185264587, 419923.70026661205 7308498.529784816 29.65453707933426, 419923.4168539605 7308498.386564494 29.724537667930125, 419923.234813673 7308498.300918945 29.774538033008575, 419922.75984456146 7308498.09227977 29.904539001584055, 419922.3729097077 7308497.80153945 30.02453985095024, 419922.0254727674 7308497.489855815 30.154540640711787, 419921.66780304257 7308497.16841714 30.25454146027565, 419921.3103721884 7308496.856972375 30.344542272388935, 419920.953180205 7308496.5555215245 30.41454307705164, 419920.5957493506 7308496.244076757 30.474543889164924, 419920.2383184964 7308495.932631994 30.54454470127821, 419919.93965677137 7308495.569784431 30.62454543888569, 419919.66122174496 7308495.216453046 30.674546131789686, 419919.37207619235 7308494.833378784 30.744546861946585, 419919.68929252 7308495.13578512 30.744546131789686, 419919.7575778216 7308495.064155625 30.824546049833298, 419919.73711225216 7308495.044645541 30.834546094536783, 419919.47818731214 7308494.670848579 30.904546765089037, 419919.4472500871 7308494.63158954 30.914546847045422, 419919.1987968029 7308494.277541538 30.984547487795354, 419919.15738792217 7308494.2185335355 30.994547592103483, 419918.8994184658 7308493.884712234 31.044548240303993, 419918.8477768004 7308493.81594919 31.054548374414445, 419918.6200279568 7308493.491405188 31.13454896301031, 419918.55791463575 7308493.402893187 31.154549119472506, 419918.3406374477 7308493.098098141 31.21454967826605, 419918.2680524713 7308492.989837185 31.234549871981145, 419918.0809958961 7308492.69431944 31.284550371170045, 419917.99817813485 7308492.576303437 31.304550587236882, 419917.81136043055 7308492.290779609 31.354551078975202, 419917.72806492785 7308492.152775778 31.37455130249262, 419917.5417249652 7308491.887239779 31.40455178678036, 419917.42820884986 7308491.739958644 31.424552069902422, 419917.3042210789 7308491.572928557 31.444552382826807, 419917.2525794136 7308491.5041655125 31.444552516937257, 419917.1285916427 7308491.337135426 31.464552829861642, 419916.9532010774 7308491.111336209 31.474553269445895, 419916.8189805219 7308490.934551073 31.494553604722025, 419916.65406161203 7308490.728500815 31.504554014503956, 419916.50936940097 7308490.5319667235 31.514554387032987, 419916.354683276 7308490.335671506 31.524554767012596, 419916.18976436625 7308490.129621246 31.53455517679453, 419916.0455498969 7308489.953074985 31.5345555344224, 419915.87039820245 7308489.73726968 31.54455596655607, 419915.7863860878 7308489.569284108 31.554556212425233, 419915.649776825 7308489.292559837 31.564556614756587, 419915.5862302798 7308489.144084348 31.57455680847168, 419915.438910491 7308488.837617207 31.584557240605356, 419915.38607447216 7308488.718884592 31.594557404518127, 419915.23827694205 7308488.392429621 31.614557851552963, 419915.18591866473 7308488.293684833 31.614558000564575, 419915.04715956585 7308487.927015335 31.63455845504999, 419915.0155057288 7308487.85777455 31.63455855190754, 419914.86603610404 7308487.46136218 31.65455904364586, 419914.84509279305 7308487.421864262 31.654559103250506, 419914.6949065564 7308486.995470151 31.674559609889986, 419914.68443490093 7308486.975721193 31.67455963969231, 419914.52401587996 7308486.53957204 31.69456016868353, 419914.3533640743 7308486.093667838 31.724560727477073, 419914.3426535484 7308486.063924968 31.724560764729976, 419914.1929450538 7308485.657518681 31.754561256468296, 419914.17152400175 7308485.598032941 31.754561330974102, 419914.042281077 7308485.2111367425 31.774561778008938, 419914.01038836944 7308485.131902042 31.784561882317067, 419913.88162318623 7308484.764993667 31.814562314450743, 419913.84901386686 7308484.655777227 31.82456243366003, 419913.7311980806 7308484.328605641 31.834562828540804, 419913.6778843212 7308484.189885198 31.844562999904156, 419913.57054019056 7308483.882462569 31.864563364982605, 419913.51650981925 7308483.713760385 31.8845635586977, 419913.41987621476 7308483.436080627 31.90456388652325, 419913.3651292316 7308483.237396699 31.924564095139505, 419913.25850171334 7308482.9599558115 31.93456444531679, 419913.193999687 7308482.771504669 31.94456466138363, 419913.1075988675 7308482.5035799565 31.954564966857433, 419913.0971272122 7308482.483830999 31.954564996659755, 419913.032625186 7308482.295379855 31.974565220177173, 419912.9457466256 7308482.007467312 31.99456554055214, 419912.8812445995 7308481.81901617 32.00456575661897, 419912.79436603916 7308481.531103626 32.02456607699394, 419912.72986401326 7308481.342652486 32.03456630051136, 419912.64298545325 7308481.054739939 32.054566613435746, 419912.6208477896 7308480.965272456 32.06456670284271, 419912.55682350503 7308480.796809139 32.07456691145897, 419912.5023153933 7308480.608119127 32.08456711262465, 419912.3956878761 7308480.33067824 32.07456746280194, 419912.3211919364 7308480.142465967 32.074567701220516, 419912.2245583334 7308479.864786208 32.07456802904606, 419912.1602951784</t>
  </si>
  <si>
    <t>2021-03-16</t>
  </si>
  <si>
    <t>[4524]</t>
  </si>
  <si>
    <t>['FV4524 S1D1 m2863-2867']</t>
  </si>
  <si>
    <t>LINESTRING Z (-40613.069556665956 6564829.740744968 1.13645836925987, -40612.713263662765 6564830.976911957 1.1784550217928143, -40612.455382431974 6564832.260881211 1.1324513072811015, -40612.19701729482 6564833.465777254 1.091447856543624)</t>
  </si>
  <si>
    <t>POLYGON ((-40613.19941483824 6564831.095579413, -40612.945592770004 6564832.359338433, -40612.94426924239 6564832.3657129165, -40612.68590410524 6564833.5706089595, -40611.7081304844 6564833.360945548, -40611.96581310527 6564832.159232447, -40612.223053324735 6564830.8784547355, -40612.232821488265 6564830.838436988, -40612.58911449146 6564829.602269999, -40613.549998840455 6564829.879219937, -40613.19941483824 6564831.095579413))</t>
  </si>
  <si>
    <t>2021-04-26</t>
  </si>
  <si>
    <t>[1055]</t>
  </si>
  <si>
    <t>['KV1055 S1D60 m274-277']</t>
  </si>
  <si>
    <t>LINESTRING Z (332641.96676546754 6675822.55423147 237.05, 332642.24203370383 6675822.269263357 236.92000000000002, 332642.34368012735 6675821.542904283 236.96, 332643.2066139467 6675820.25545316 237.88, 332645.3814929592 6675821.80227819 237.61, 332644.6474713119 6675823.443371899 236.67000000000002, 332644.34966480546 6675823.869723672 236.77, 332644.05185829964 6675824.296075443 236.87)</t>
  </si>
  <si>
    <t>POLYGON Z ((332641.96676546754 6675822.55423147 237.05, 332642.24203370383 6675822.269263357 236.92000000000002, 332642.34368012735 6675821.542904283 236.96, 332643.2066139467 6675820.25545316 237.88, 332645.3814929592 6675821.80227819 237.61, 332644.6474713119 6675823.443371899 236.67000000000002, 332644.34966480546 6675823.869723672 236.77, 332644.05185829964 6675824.296075443 236.87, 332641.96676546754 6675822.55423147 237.05))</t>
  </si>
  <si>
    <t>2021-07-28</t>
  </si>
  <si>
    <t>2025-11-22T09:22:01Z</t>
  </si>
  <si>
    <t>[606]</t>
  </si>
  <si>
    <t>['FV606 S4D1 m10098-10103']</t>
  </si>
  <si>
    <t>LINESTRING Z (-52506.86597593536 6812129.4954964705 1.94, -52503.64414870308 6812125.873976136 1.75)</t>
  </si>
  <si>
    <t>POLYGON ((-52503.27058227057 6812126.2063134955, -52504.0177151356 6812125.541638776, -52507.239542367875 6812129.163159111, -52506.49240950285 6812129.82783383, -52503.27058227057 6812126.2063134955))</t>
  </si>
  <si>
    <t>['FV606 S4D1 m10101-10104']</t>
  </si>
  <si>
    <t>LINESTRING Z (-52505.986721097725 6812126.906064014 2.02, -52505.27857788815 6812126.065066774 1.84, -52504.59855707397 6812125.246811253 1.75, -52504.011524288915 6812124.840076438 1.68)</t>
  </si>
  <si>
    <t>POLYGON ((-52504.89610772643 6812126.387117353, -52504.89403798518 6812126.384643155, -52504.25766462841 6812125.6189077515, -52503.7267643209 6812125.251065198, -52504.29628425693 6812124.429087678, -52504.88331704199 6812124.835822493, -52504.91929269131 6812124.863237709, -52504.95264364402 6812124.893791847, -52504.98309697695 6812124.927234872, -52505.662086926815 6812125.744249975, -52506.369191259444 6812126.584013435, -52505.604250936005 6812127.228114593, -52504.89610772643 6812126.387117353))</t>
  </si>
  <si>
    <t>['FV606 S4D1 m10104-10119']</t>
  </si>
  <si>
    <t>LINESTRING Z (-52504.011524288915 6812124.840076438 1.68, -52502.050507067936 6812123.712235885 1.87, -52500.15432613634 6812122.31839189 1.3900000000000001, -52498.842888764455 6812121.683645211 1.1)</t>
  </si>
  <si>
    <t>POLYGON ((-52501.80122904224 6812124.1456646165, -52501.75436792965 6812124.115102625, -52499.895175036865 6812122.748447785, -52498.62505819074 6812122.133700587, -52499.06071933817 6812121.233589835, -52500.37215671006 6812121.868336515, -52500.41239184121 6812121.890137185, -52500.450465274625 6812121.91552515, -52502.32407191052 6812123.292775239, -52504.26080231461 6812124.406647706, -52503.76224626322 6812125.27350517, -52501.80122904224 6812124.1456646165))</t>
  </si>
  <si>
    <t>['FV606 S4D1 m10079-10101']</t>
  </si>
  <si>
    <t>LINESTRING Z (-52505.986721097725 6812126.906064014 2.02, -52507.207220998826 6812128.308082862 1.9000000000000001, -52507.719904435566 6812129.302296616 1.86, -52507.70367233234 6812130.570064419 1.94, -52508.474065149436 6812131.719011061 1.97, -52509.781250774744 6812133.4916750975 2.02, -52511.73771878274 6812135.979023428 2.27, -52513.874901501695 6812138.4729715055 2.5100000000000002, -52515.5204481316 6812139.853765257 2.58, -52516.6058653791 6812141.082144687 2.67)</t>
  </si>
  <si>
    <t>POLYGON ((-52507.58434348706 6812127.979786306, -52507.620959268774 6812128.027332717, -52507.65161494095 6812128.078923476, -52508.16429837769 6812129.07313723, -52508.18454738594 6812129.117616003, -52508.20035741171 6812129.16385913, -52508.21157741342 6812129.211424823, -52508.21810020041 6812129.259858662, -52508.219863457 6812129.308697935, -52508.205623686685 6812130.420859562, -52508.8831212661 6812131.431264321, -52510.17905413257 6812133.188668581, -52512.12421989292 6812135.66164784, -52514.22780376399 6812138.116388329, -52515.841844146606 6812139.47074489, -52515.86945573922 6812139.495723793, -52515.8951319509 6812139.522688173, -52516.98054919839 6812140.751067603, -52516.2311815598 6812141.413221771, -52515.170470141835 6812140.212802217, -52513.55350548669 6812138.855991872, -52513.5231871325 6812138.8283544015, -52513.495236565264 6812138.798324446, -52511.35805384631 6812136.304376368, -52511.34472261299 6812136.288141545, -52509.38825460499 6812133.800793215, -52509.37883261013 6812133.788423511, -52508.07164698482 6812132.015759475, -52508.058780232306 6812131.997468307, -52507.28838741521 6812130.848521665, -52507.26252661733 6812130.805416194, -52507.241124677515 6812130.759931917, -52507.22439791491 6812130.712528565, -52507.21251539443 6812130.663685262, -52507.20559721805 6812130.613895692, -52507.203713310904 6812130.5636631, -52507.21834866024 6812129.420605765, -52506.79048105388 6812128.590869851, -52505.60959860949 6812127.23436057, -52506.36384358596 6812126.577767458, -52507.58434348706 6812127.979786306))</t>
  </si>
  <si>
    <t>['FV606 S4D1 m10079-10120']</t>
  </si>
  <si>
    <t>LINESTRING Z (-52518.28937658167 6812139.212689109 1.28, -52516.880789443734 6812137.883978441 1.28, -52515.60419348604 6812136.3256807905 0.85, -52513.60901968251 6812134.257849777 0.61, -52511.36398443172 6812132.277774868 0.49, -52509.97935798182 6812130.689363104 0.58, -52508.81908654922 6812129.071283263 0.44, -52507.84859677672 6812127.47071318 0.46, -52506.48947670427 6812125.824213586 0.65, -52505.180774627835 6812124.504718838 0.66, -52504.13623290043 6812123.270037407 0.39, -52503.27071146062 6812121.951137502 0.26)</t>
  </si>
  <si>
    <t>POLYGON ((-52516.53769905759 6812138.247693972, -52516.49400856312 6812138.2008389, -52515.23027842706 6812136.658246124, -52513.26318438567 6812134.619517439, -52511.03325237161 6812132.652763274, -52510.987081285864 6812132.606323218, -52509.602454835964 6812131.017911455, -52509.5730264258 6812130.980729998, -52508.4127549932 6812129.362650157, -52508.391540603094 6812129.330521501, -52507.4398793318 6812127.761004126, -52506.118404467925 6812126.160109642, -52504.82577236606 6812124.856817395, -52504.799052716975 6812124.827655957, -52503.75451098957 6812123.592974526, -52503.71820798212 6812123.544364161, -52502.852686542305 6812122.225464256, -52503.68873637893 6812121.676810748, -52504.53758363853 6812122.970302184, -52505.54971385746 6812124.166672185, -52506.84447896605 6812125.472115029, -52506.87507619777 6812125.505916507, -52508.23419627022 6812127.152416101, -52508.27614272285 6812127.211474942, -52509.23664424374 6812128.795572006, -52510.371857867845 6812130.378706977, -52511.71932589646 6812131.92449145, -52513.93975174262 6812133.882861371, -52513.968838009125 6812133.910674358, -52515.964011812655 6812135.978505371, -52515.99097436666 6812136.008820332, -52517.24722903874 6812137.542288061, -52518.632466967814 6812138.848973579, -52517.946286195525 6812139.5764046395, -52516.53769905759 6812138.247693972))</t>
  </si>
  <si>
    <t>['FV606 S4D1 m10078-10098']</t>
  </si>
  <si>
    <t>LINESTRING Z (-52516.39313232829 6812143.27869525 3.36, -52515.13850531331 6812141.591468497 2.7800000000000002, -52513.63464097108 6812140.203599633 2.58, -52510.97665882192 6812137.349321631 2.44, -52509.12807261094 6812135.0028826995 2.31, -52505.50622969563 6812131.022102581 1.97, -52506.86597593536 6812129.4954964705 1.94)</t>
  </si>
  <si>
    <t>POLYGON Z ((-52516.39313232829 6812143.27869525 3.36, -52515.13850531331 6812141.591468497 2.7800000000000002, -52513.63464097108 6812140.203599633 2.58, -52510.97665882192 6812137.349321631 2.44, -52509.12807261094 6812135.0028826995 2.31, -52505.50622969563 6812131.022102581 1.97, -52506.86597593536 6812129.4954964705 1.94, -52516.39313232829 6812143.27869525 3.36))</t>
  </si>
  <si>
    <t>['FV606 S4D1 m10106-10120']</t>
  </si>
  <si>
    <t>LINESTRING Z (-52500.34497061686 6812121.016348206 1, -52501.6892869249 6812121.513098896 0.85, -52502.71551669575 6812122.181972841 0.85, -52503.3721716461 6812122.816748917 0.93)</t>
  </si>
  <si>
    <t>POLYGON ((-52501.862593007056 6812121.04409463, -52501.91385154714 6812121.066365496, -52501.9623044402 6812121.094217723, -52502.98853421106 6812121.7630916685, -52503.02720011095 6812121.791008074, -52503.0630304679 6812121.822481286, -52503.71968541825 6812122.457257362, -52503.02465787395 6812123.176240472, -52502.40240903131 6812122.574724138, -52501.463310658575 6812121.962640517, -52500.171664534704 6812121.485352472, -52500.51827669902 6812120.5473439405, -52501.862593007056 6812121.04409463))</t>
  </si>
  <si>
    <t>['FV606 S4D1 m10103-10119']</t>
  </si>
  <si>
    <t>LINESTRING Z (-52498.21486107027 6812122.048790278 1.18, -52499.47501759266 6812123.676085563 1.59, -52502.29760185501 6812127.039152809 1.74, -52503.64414870308 6812125.873976136 1.75)</t>
  </si>
  <si>
    <t>POLYGON Z ((-52498.21486107027 6812122.048790278 1.18, -52499.47501759266 6812123.676085563 1.59, -52502.29760185501 6812127.039152809 1.74, -52503.64414870308 6812125.873976136 1.75, -52498.21486107027 6812122.048790278 1.18))</t>
  </si>
  <si>
    <t>['EV6 S234D1 m730-733']</t>
  </si>
  <si>
    <t>LINESTRING Z (995859.9 7841882.65 14.61, 995859.54 7841883.43 14.5, 995858.14 7841885.65 15.46, 995856.68 7841885.25 15.41, 995855.49 7841884.95 15.450000000000001, 995855.42 7841882.47 15.56, 995857.15 7841883.44 14.46, 995857.37 7841883.36 14.09, 995858.14 7841881.48 14.15, 995858.41 7841880.9 14.15, 995857.45 7841880.67 14.98, 995855.88 7841880.5 15.57, 995857.54 7841878.75 15.55, 995857.99 7841878.93 15.44, 995858.66 7841879.16 15.26, 995859 7841879.73 15.14, 995860.19 7841880.32 15.42, 995860.73 7841880.79 15.34, 995861.13 7841881.31 15.57, 995862.9 7841882.21 16.39, 995864.5 7841882.64 16.8, 995865.67 7841883.03 16.94, 995865.4 7841883.42 16.95, 995864.88 7841883.59 16.91, 995863.63 7841883.34 16.52, 995862.48 7841882.98 16.06, 995861.17 7841882.47 15.52, 995860.42 7841882.52 15.1, 995859.9 7841882.65 14.61, 995859.54 7841883.43 14.5, 995858.14 7841885.65 15.46)</t>
  </si>
  <si>
    <t>2021-08-27</t>
  </si>
  <si>
    <t>['FV4780 S1D1 m3784-3785']</t>
  </si>
  <si>
    <t>LINESTRING (-40016.758679321734 6620623.107554597, -40019.73183551582 6620622.531132896)</t>
  </si>
  <si>
    <t>POLYGON ((-40019.63666986897 6620622.040272937, -40019.827001162674 6620623.021992856, -40016.85384496859 6620623.598414556, -40016.66351367488 6620622.616694638, -40019.63666986897 6620622.040272937))</t>
  </si>
  <si>
    <t>['FV4780 S1D1 m3787-3788']</t>
  </si>
  <si>
    <t>LINESTRING (-40017.47094817832 6620620.25126602, -40020.54498201504 6620620.006296796)</t>
  </si>
  <si>
    <t>POLYGON ((-40020.50526301908 6620619.507876891, -40020.584701011 6620620.504716701, -40017.51066717428 6620620.749685925, -40017.43122918236 6620619.752846115, -40020.50526301908 6620619.507876891))</t>
  </si>
  <si>
    <t>['FV4780 S1D1 m3791-3792']</t>
  </si>
  <si>
    <t>LINESTRING (-40016.97062619531 6620616.43896249, -40020.588739247876 6620616.636142411)</t>
  </si>
  <si>
    <t>POLYGON ((-40020.615947872015 6620616.136883269, -40020.56153062374 6620617.1354015535, -40016.94341757117 6620616.9382216325, -40016.99783481945 6620615.939703348, -40020.615947872015 6620616.136883269))</t>
  </si>
  <si>
    <t>['FV4780 S1D1 m3798-3799']</t>
  </si>
  <si>
    <t>LINESTRING (-40017.63667008269 6620609.871983113, -40021.537168012466 6620609.842971277)</t>
  </si>
  <si>
    <t>POLYGON ((-40021.53344912409 6620609.342985108, -40021.540886900846 6620610.342957447, -40017.64038897107 6620610.371969283, -40017.63295119431 6620609.371996943, -40021.53344912409 6620609.342985108))</t>
  </si>
  <si>
    <t>['FV4780 S1D1 m3799-3803']</t>
  </si>
  <si>
    <t>LINESTRING (-40016.239536956884 6620608.063256073, -40018.02365689329 6620606.271083071, -40021.91766674491 6620605.647234271)</t>
  </si>
  <si>
    <t>POLYGON ((-40017.6693082726 6620605.918326703, -40017.70815315734 6620605.883194694, -40017.75045998004 6620605.852318881, -40017.79576451934 6620605.826038055, -40017.84356966067 6620605.804640589, -40017.89335085101 6620605.788361272, -40017.944561854674 6620605.777378731, -40021.83857170629 6620605.153529932, -40021.99676178352 6620606.140938611, -40018.26329557795 6620606.739067147, -40016.593885577575 6620608.416012441, -40015.88518833619 6620607.710499705, -40017.6693082726 6620605.918326703))</t>
  </si>
  <si>
    <t>2021-11-16</t>
  </si>
  <si>
    <t>[5108]</t>
  </si>
  <si>
    <t>['FV5108 S1D1 m3408-3422']</t>
  </si>
  <si>
    <t>LINESTRING (-20592.919103547058 6707522.405654954, -20585.84627600963 6707519.130326042, -20578.519041719614 6707517.625857613, -20571.465660433576 6707517.365665449, -20564.179089791258 6707518.728764097)</t>
  </si>
  <si>
    <t>POLYGON ((-20585.68884574357 6707519.608432429, -20578.45913335273 6707518.123987737, -20571.50287028495 6707517.867378167, -20564.27102988632 6707519.2202384295, -20564.087149696195 6707518.237289765, -20571.373720338514 6707516.874191117, -20571.428679177498 6707516.867034937, -20571.484092395473 6707516.8660053015, -20578.53747368151 6707517.126197466, -20578.57874474872 6707517.129434861, -20578.619606544045 6707517.136075298, -20585.94684083406 6707518.640543727, -20586.002655802076 6707518.65540988, -20586.056383842137 6707518.67661391, -20593.129211379564 6707521.951942822, -20592.70899571455 6707522.859367086, -20585.68884574357 6707519.608432429))</t>
  </si>
  <si>
    <t>2022-04-26</t>
  </si>
  <si>
    <t>[287]</t>
  </si>
  <si>
    <t>['FV287 S4D1 m1430-1441']</t>
  </si>
  <si>
    <t>LINESTRING Z (197639.67337081424 6668490.220226 105.83, 197640.03309861547 6668488.874719586 106.27, 197640.8116529177 6668487.253266812 106.57000000000001, 197640.3352646837 6668485.033566051 106.64, 197639.78317101992 6668481.90636203 106.86, 197638.7456226854 6668477.413780466 107.10000000000001, 197637.27513689984 6668473.389119648 107.08, 197635.6818217766 6668471.262594646 107.13, 197634.5165266667 6668469.451832232 108.03, 197633.54992485343 6668468.4579775175 108.33, 197633.35045245482 6668468.233610679 108.94, 197631.2044550393 6668465.74147064 108.82000000000001, 197630.4115570106 6668464.90383863 109.99000000000001, 197629.92285914015 6668464.462592272 110.03)</t>
  </si>
  <si>
    <t>POLYGON ((197640.50406198352 6668489.049011855, 197641.26238657543 6668487.469690401, 197641.28073678704 6668487.426357319, 197641.2949318795 6668487.381491011, 197641.30484611346 6668487.3354889, 197641.3103916692 6668487.28875847, 197641.3115194245 6668487.241713657, 197641.3082193897 6668487.194771181, 197641.30052079647 6668487.148346856, 197640.8260562973 6668484.937609616, 197640.27555648904 6668481.819433612, 197640.2703476332 6668481.793850042, 197639.23279929868 6668477.301268478, 197639.2152575305 6668477.242190512, 197637.74477174494 6668473.217529695, 197637.72582147812 6668473.172593874, 197637.7025836856 6668473.129717942, 197637.67527943692 6668473.089309792, 197636.09264302778 6668470.977037182, 197634.93698556515 6668469.181250794, 197634.90792199018 6668469.140689659, 197634.874960279 6668469.103227376, 197633.91616290054 6668468.117397139, 197633.72675642307 6668467.904352463, 197631.5833403473 6668465.415210125, 197631.5675716198 6668465.397746406, 197630.7746735911 6668464.560114396, 197630.74663398627 6668464.5327275675, 197630.2579361158 6668464.09148121, 197629.58778216448 6668464.833703334, 197630.0619231058 6668465.26180621, 197630.83324858383 6668466.076648582, 197632.9715671468 6668468.559871194, 197632.97677691455 6668468.565825355, 197633.17624931317 6668468.790192193, 197633.19149124113 6668468.806582374, 197634.1231725209 6668469.764531986, 197635.26136287817 6668471.533176084, 197635.28167923953 6668471.562404502, 197636.83079731718 6668473.629941724, 197638.26539308298 6668477.556372992, 197639.2930558907 6668482.006150251, 197639.8428792146 6668485.120494469, 197639.84639680493 6668485.138486007, 197640.28690243425 6668487.190994048, 197639.58236495775 6668488.658295997, 197639.56417930298 6668488.701183774, 197639.55006401677 6668488.745577895, 197639.19033621554 6668490.091084309, 197640.15640541294 6668490.349367691, 197640.50406198352 6668489.049011855))</t>
  </si>
  <si>
    <t>['FV287 S4D1 m1432-1442']</t>
  </si>
  <si>
    <t>LINESTRING Z (197628.53344006836 6668465.622864122 109.94, 197628.60993511352 6668466.05832923 109.95, 197629.13278425048 6668467.390461493 108.97, 197630.35463987122 6668469.758855652 109, 197630.77269788325 6668470.1959529165 108.42, 197631.730307015 6668472.887649832 108.2, 197633.20478337503 6668475.034130574 107.71000000000001, 197634.8164749978 6668478.2235708 107.25, 197635.323644477 6668480.812256523 107.24000000000001, 197636.2289692245 6668484.321714046 106.8, 197636.55746460543 6668486.935346997 106.52, 197637.12362711685 6668489.388565831 105.85000000000001)</t>
  </si>
  <si>
    <t>POLYGON ((197628.11747540964 6668466.144836109, 197628.12858053105 6668466.193598465, 197628.14450129902 6668466.2410075385, 197628.66735043598 6668467.573139802, 197628.68843253364 6668467.619702745, 197629.91028815438 6668469.988096904, 197629.9342038368 6668470.029472616, 197629.9619604706 6668470.068376069, 197629.9933044808 6668470.104451856, 197630.33745968796 6668470.464280624, 197631.25923068766 6668473.055241878, 197631.27551197307 6668473.09540322, 197631.2952097035 6668473.134003906, 197631.31817590867 6668473.170753967, 197632.77365544075 6668475.289579925, 197634.33907722408 6668478.387454938, 197634.8329727211 6668480.90838783, 197634.83949441137 6668480.937151335, 197635.73685049725 6668484.415718639, 197636.0613676264 6668486.997699121, 197636.0702705344 6668487.047783366, 197636.63643304582 6668489.5010022, 197637.61082118787 6668489.276129462, 197637.05038565898 6668486.847726014, 197636.72506620354 6668484.259361923, 197636.71311929013 6668484.196819235, 197635.81147974188 6668480.701647249, 197635.30714675368 6668478.127439494, 197635.29631379052 6668478.083019269, 197635.28146839715 6668478.039774341, 197635.2627347114 6668477.998066326, 197633.65104308864 6668474.8086260995, 197633.61691448136 6668474.7510264395, 197632.17946447432 6668472.658447106, 197631.2437742106 6668470.028360871, 197631.22354269514 6668469.979760975, 197631.19831353956 6668469.933557579, 197631.16836641045 6668469.890262851, 197631.13403327367 6668469.850356713, 197630.76588524308 6668469.465442437, 197629.5888685656 6668467.183962222, 197629.09370962437 6668465.922379953, 197629.02589977224 6668465.536357243, 197628.0409803645 6668465.7093710005, 197628.11747540964 6668466.144836109))</t>
  </si>
  <si>
    <t>['FV287 S4D1 m1426-1428']</t>
  </si>
  <si>
    <t>LINESTRING Z (197607.0373035866 6668435.814038 110.87, 197607.8991144061 6668435.912858004 110.93, 197610.29852219368 6668437.711047385 110.82000000000001, 197612.31393878005 6668438.999003619 110.73, 197612.44775229262 6668439.158554133 111.07000000000001, 197616.61007177713 6668443.7921426 110.8)</t>
  </si>
  <si>
    <t>POLYGON ((197607.70762166945 6668436.394176698, 197609.99866804513 6668438.111156732, 197610.02927872058 6668438.132364311, 197611.98010036285 6668439.37904101, 197612.0646529181 6668439.479855968, 197612.075789645 6668439.492685528, 197616.2381091295 6668444.126273994, 197616.98203442476 6668443.458011205, 197612.82539229342 6668438.830742897, 197612.69703815455 6668438.677701784, 197612.6625384534 6668438.640564966, 197612.62445602223 6668438.607111998, 197612.58318225315 6668438.577686693, 197610.58346615412 6668437.299763888, 197608.19896855464 6668435.512748657, 197608.15504186158 6668435.483322048, 197608.10825340846 6668435.458698475, 197608.05912638 6668435.439153277, 197608.00821011065 6668435.424905007, 197607.956073942 6668435.416112987, 197607.09426312253 6668435.317292984, 197606.98034405068 6668436.3107830165, 197607.70762166945 6668436.394176698))</t>
  </si>
  <si>
    <t>['FV287 S4D1 m9330-9336']</t>
  </si>
  <si>
    <t>LINESTRING Z (192626.1097367595 6673430.150765917 108.67, 192627.46859423828 6673430.42900949 108.59, 192628.99609861028 6673430.201101702 108.43, 192630.501962404 6673429.713898347 108.39, 192631.77000568836 6673428.182051832 108.23, 192632.67076121818 6673427.06246896 108.27, 192634.3258425707 6673423.5501005445 107.74000000000001)</t>
  </si>
  <si>
    <t>POLYGON Z ((192626.1097367595 6673430.150765917 108.67, 192627.46859423828 6673430.42900949 108.59, 192628.99609861028 6673430.201101702 108.43, 192630.501962404 6673429.713898347 108.39, 192631.77000568836 6673428.182051832 108.23, 192632.67076121818 6673427.06246896 108.27, 192634.3258425707 6673423.5501005445 107.74000000000001, 192626.1097367595 6673430.150765917 108.67))</t>
  </si>
  <si>
    <t>['FV287 S4D1 m9329-9334']</t>
  </si>
  <si>
    <t>LINESTRING Z (192629.98414846807 6673422.6671998445 107.72, 192628.92144970328 6673424.734238946 107.95, 192627.8354156649 6673426.281022256 108.23, 192626.0786848319 6673427.733145714 108.52)</t>
  </si>
  <si>
    <t>POLYGON ((192628.49249121197 6673424.4750554785, 192627.46492483752 6673425.938566254, 192625.760125332 6673427.347762989, 192626.39724433183 6673428.118528439, 192628.1539751648 6673426.666404981, 192628.18707378334 6673426.636460813, 192628.21737014817 6673426.603684266, 192628.24462283743 6673426.568336527, 192629.33065687583 6673425.0215532165, 192629.36612421632 6673424.96285342, 192630.4288229811 6673422.895814318, 192629.53947395502 6673422.438585371, 192628.49249121197 6673424.4750554785))</t>
  </si>
  <si>
    <t>['FV287 S4D1 m8381-8383']</t>
  </si>
  <si>
    <t>LINESTRING Z (192766.89207215427 6672492.264743558 107, 192772.1506433963 6672494.868739197 106.93)</t>
  </si>
  <si>
    <t>POLYGON ((192771.92876218655 6672495.316811433, 192772.37252460606 6672494.420666961, 192767.11395336402 6672491.816671322, 192766.6701909445 6672492.712815794, 192771.92876218655 6672495.316811433))</t>
  </si>
  <si>
    <t>['FV287 S4D1 m8384-8385']</t>
  </si>
  <si>
    <t>LINESTRING Z (192771.31232878641 6672496.977296438 106.77, 192768.72167216823 6672495.536503207 106.87)</t>
  </si>
  <si>
    <t>POLYGON ((192768.96469204198 6672495.099534854, 192768.4786522945 6672495.97347156, 192771.06930891267 6672497.414264791, 192771.55534866016 6672496.540328085, 192768.96469204198 6672495.099534854))</t>
  </si>
  <si>
    <t>['FV287 S4D1 m1996-1997']</t>
  </si>
  <si>
    <t>LINESTRING Z (197215.41046634788 6668847.860732841 108.94, 197216.17265223287 6668849.052397676 108.56, 197219.43901984836 6668852.575777932 108.3, 197221.28991494892 6668854.058213594 107.77)</t>
  </si>
  <si>
    <t>POLYGON ((197215.7514395802 6668849.321804248, 197215.77713413155 6668849.358282346, 197215.80597837025 6668849.392324548, 197219.07234598574 6668852.9157048045, 197219.0984675656 6668852.941871012, 197219.1264512952 6668852.966035411, 197220.97734639575 6668854.448471073, 197221.6024835021 6668853.667956116, 197219.78050575874 6668852.208681205, 197216.56975147227 6668848.745290187, 197215.83167900055 6668847.591326269, 197214.9892536952 6668848.130139413, 197215.7514395802 6668849.321804248))</t>
  </si>
  <si>
    <t>['FV287 S4D1 m1990-1991']</t>
  </si>
  <si>
    <t>LINESTRING Z (197201.68607532774 6668825.748412579 108.86, 197200.76266415376 6668824.550113603 108.94)</t>
  </si>
  <si>
    <t>POLYGON ((197201.15871361498 6668824.244917233, 197200.36661469255 6668824.855309973, 197201.29002586653 6668826.053608949, 197202.08212478895 6668825.443216209, 197201.15871361498 6668824.244917233))</t>
  </si>
  <si>
    <t>['FV287 S4D1 m1992-1994']</t>
  </si>
  <si>
    <t>LINESTRING Z (197199.08329364227 6668826.688571759 109.3, 197199.88035629212 6668827.576067299 109.28)</t>
  </si>
  <si>
    <t>POLYGON ((197199.5083585836 6668827.910159659, 197200.25235400064 6668827.241974939, 197199.45529135078 6668826.354479399, 197198.71129593375 6668827.022664119, 197199.5083585836 6668827.910159659))</t>
  </si>
  <si>
    <t>['FV287 S4D1 m8689-8693']</t>
  </si>
  <si>
    <t>LINESTRING Z (192717.99130959972 6672801.231680661 108.02, 192717.77742768457 6672798.789151421 108.38, 192716.71256324433 6672796.738995871 108.42)</t>
  </si>
  <si>
    <t>POLYGON ((192718.27552169826 6672798.745535443, 192718.26887093548 6672798.697045335, 192718.25751111784 6672798.649437795, 192718.24155109611 6672798.603169005, 192718.22114380088 6672798.558682316, 192717.15627936064 6672796.508526766, 192716.26884712803 6672796.969464975, 192717.28798698814 6672798.931588192, 192717.49321558603 6672801.27529664, 192718.4894036134 6672801.188064683, 192718.27552169826 6672798.745535443))</t>
  </si>
  <si>
    <t>['FV287 S4D1 m1993-1995']</t>
  </si>
  <si>
    <t>LINESTRING Z (197222.40923203598 6668852.78992138 107.61, 197221.96951875178 6668851.852530449 108.03, 197219.69715895894 6668849.049585517 108.62, 197217.6051487128 6668846.362140901 108.95, 197216.57713972777 6668846.437859988 108.84)</t>
  </si>
  <si>
    <t>POLYGON Z ((197222.40923203598 6668852.78992138 107.61, 197221.96951875178 6668851.852530449 108.03, 197219.69715895894 6668849.049585517 108.62, 197217.6051487128 6668846.362140901 108.95, 197216.57713972777 6668846.437859988 108.84, 197222.40923203598 6668852.78992138 107.61))</t>
  </si>
  <si>
    <t>2022-06-10</t>
  </si>
  <si>
    <t>['FV30 S22D1 m5118-5124']</t>
  </si>
  <si>
    <t>LINESTRING (280096.692022263 6899402.204883491, 280101.0641083267 6899402.215611131, 280104.654624874 6899401.946198074, 280109.40837061685 6899401.2510530595, 280113.35679905326 6899401.0981960995, 280117.8845684638 6899400.697647104)</t>
  </si>
  <si>
    <t>POLYGON ((280101.0628814972 6899402.715609626, 280101.1015204674 6899402.714209498, 280104.6920370147 6899402.444796441, 280104.72697096114 6899402.440936433, 280109.45434501686 6899401.749647777, 280113.376141248 6899401.597821839, 280113.4008594659 6899401.596250996, 280117.9286288764 6899401.1957020005, 280117.84050805116 6899400.199592208, 280113.32507829706 6899400.599049576, 280109.3890284221 6899400.75142732, 280109.3360245297 6899400.7563147005, 280104.5996778799 6899401.4489154285, 280101.04598858685 6899401.7155651655, 280096.6932490925 6899401.704884996, 280096.69079543353 6899402.704881986, 280101.0628814972 6899402.715609626))</t>
  </si>
  <si>
    <t>['FV30 S22D1 m5125-5131']</t>
  </si>
  <si>
    <t>LINESTRING (280098.02918292803 6899395.288145329, 280101.0210280388 6899395.1177277835, 280106.16302838176 6899394.467185551, 280117.6701614423 6899393.121247619)</t>
  </si>
  <si>
    <t>POLYGON ((280101.04946229066 6899395.6169186225, 280101.08378548047 6899395.613773651, 280106.2234518012 6899394.963526709, 280117.728248217 6899393.617862084, 280117.6120746676 6899392.624633155, 280106.10494160705 6899393.970571087, 280106.1002709401 6899393.971139683, 280100.97537797363 6899394.619517569, 280098.0007486762 6899394.78895449, 280098.0576171799 6899395.787336168, 280101.04946229066 6899395.6169186225))</t>
  </si>
  <si>
    <t>['FV30 S22D1 m5111-5118']</t>
  </si>
  <si>
    <t>LINESTRING (280087.93941171514 6899400.98770429, 280072.0253244869 6899401.698234053, 280063.31481798826 6899401.882289877, 280057.7512290998 6899401.441107977)</t>
  </si>
  <si>
    <t>POLYGON ((280072.0088899672 6899401.19846971, 280063.32933551795 6899401.3818715075, 280057.79075406294 6899400.9426726485, 280057.7117041367 6899401.939543306, 280063.27529302513 6899402.380725206, 280063.3253807924 6899402.382178292, 280072.035887291 6899402.198122468, 280072.047626194 6899402.197736439, 280087.96171342226 6899401.487206676, 280087.917110008 6899400.488201904, 280072.0088899672 6899401.19846971))</t>
  </si>
  <si>
    <t>['FV30 S22D1 m5120-5124']</t>
  </si>
  <si>
    <t>LINESTRING (280089.2615759646 6899394.66085528, 280082.3852164724 6899394.585624802, 280066.9281610028 6899393.915996592, 280058.10768955864 6899392.952939998)</t>
  </si>
  <si>
    <t>POLYGON ((280082.39877527877 6899394.085743219, 280066.9661568047 6899393.417173664, 280058.1619591645 6899392.455893914, 280058.0534199528 6899393.4499860825, 280066.873891397 6899394.413042676, 280066.90652037656 6899394.415528055, 280082.36357584613 6899395.085156266, 280082.3797465739 6899395.085594881, 280089.25610606617 6899395.16082536, 280089.2670458631 6899394.160885201, 280082.39877527877 6899394.085743219))</t>
  </si>
  <si>
    <t>2025-11-22T09:22:05Z</t>
  </si>
  <si>
    <t>['EV6 S160D1 m2986-2988']</t>
  </si>
  <si>
    <t>LINESTRING Z (573853.048026899 7581637.92510485 23.012368571944535, 573853.7958918986 7581637.349823851 23.012370207346976, 573852.8179138995 7581636.141732853 23.01236804202199, 573850.114092901 7581634.818586854 23.012362083420157, 573849.6538679012 7581635.681507852 23.012361084111035, 573851.3509469004 7581636.8033068525 23.012364828027785)</t>
  </si>
  <si>
    <t>POLYGON Z ((573853.048026899 7581637.92510485 23.012368571944535, 573853.7958918986 7581637.349823851 23.012370207346976, 573852.8179138995 7581636.141732853 23.01236804202199, 573850.114092901 7581634.818586854 23.012362083420157, 573849.6538679012 7581635.681507852 23.012361084111035, 573851.3509469004 7581636.8033068525 23.012364828027785, 573853.048026899 7581637.92510485 23.012368571944535))</t>
  </si>
  <si>
    <t>['EV6 S160D1 m3953 KD1 m83-85']</t>
  </si>
  <si>
    <t>LINESTRING Z (574747.6816953367 7581487.128019084 23.013247805647552, 574748.2569773361 7581485.919927084 23.013247513212264, 574747.7246523366 7581485.022279087 0.0132469134405255, 574747.5091103368 7581483.906440089 0.0132463471964002, 574745.1504543382 7581483.561271088 0.0132452631369233, 574742.04393134 7581484.366665088 0.0132443755865097, 574739.9729163414 7581484.884419086 0.0132437739521265, 574737.7259543429 7581485.878103085 12.430243301771581, 574737.4992033432 7581487.415660081 12.430243864290416, 574738.7072953422 7581488.62375208 12.430244860805571, 574739.3401063419 7581490.8098240765 12.430246045447886, 574738.5922393425 7581492.880839073 12.43024662566185, 574736.4636963436 7581495.239495073 12.430246767222881, 574733.7598703457 7581500.53209006 12.430247908093035, 574733.4832443459 7581501.457998062 0.0132481856271625, 574732.2641373465 7581502.775689056 0.0132482424378395, 574732.6093063464 7581503.811197058 0.0132488207891583, 574733.8173983459 7581503.17838706 0.0132490498945117, 574733.5872863461 7581508.470981052 0.0132511910051107, 574734.5077373453 7581511.80761704 0.0132529847323895, 574734.5652653455 7581514.051217043 0.0132539588958025, 574735.5432443449 7581516.582458038 0.0132554424926639, 574736.1760553446 7581517.733022035 0.0132561968639493, 574737.6142603436 7581518.480888033 0.0132571198046207, 574738.5347113431 7581520.149206027 0.0132582187652588, 574739.6852753423 7581523.025616028 0.0132599342614412, 574740.8358393419 7581525.8444980215 0.013261629268527, 574740.548198342 7581523.428313027 0.0132604725658894, 574740.7207823417 7581521.702467032 0.0132598066702485, 574739.3976343425 7581519.343811031 0.0132582392543554, 574739.2825773427 7581517.905606035 0.0132575761526823, 574738.1895423433 7581515.259309038 0.0132559891790152, 574738.649767343 7581513.993689042 0.0132556417956948, 574738.0744853433 7581512.728068043 0.0132548622786999, 574737.038978344 7581512.210314047 0.0132542103528976, 574737.0389783438 7581510.944694048 0.0132536720484495, 574736.8088653439 7581506.630079053 0.0132517432793975, 574737.0389783436 7581503.638613058 0.0132505670189857, 574738.9197073424 7581501.568619063 0.0132504580542445, 574738.7154653427 7581500.8537710635 0.0132500696927309, 574738.068698343 7581500.172964061 0.013249515555799, 574737.1836493434 7581498.709229064 0.0132485330104828, 574737.2344713435 7581497.5819660695 13.556748074799776, 574737.7282953429 7581495.986000071 13.556747597031295, 574738.7835463424 7581493.9776190715 13.556747169554233, 574740.4855643413 7581491.867117076 13.556746956281364, 574742.4599043401 7581490.028937077 13.556746963731944, 574745.1379303383 7581488.8079740815 13.556747513212263)</t>
  </si>
  <si>
    <t>POLYGON Z ((574747.6816953367 7581487.128019084 23.013247805647552, 574748.2569773361 7581485.919927084 23.013247513212264, 574747.7246523366 7581485.022279087 0.0132469134405255, 574747.5091103368 7581483.906440089 0.0132463471964002, 574745.1504543382 7581483.561271088 0.0132452631369233, 574742.04393134 7581484.366665088 0.0132443755865097, 574739.9729163414 7581484.884419086 0.0132437739521265, 574737.7259543429 7581485.878103085 12.430243301771581, 574737.4992033432 7581487.415660081 12.430243864290416, 574738.7072953422 7581488.62375208 12.430244860805571, 574739.3401063419 7581490.8098240765 12.430246045447886, 574738.5922393425 7581492.880839073 12.43024662566185, 574736.4636963436 7581495.239495073 12.430246767222881, 574733.7598703457 7581500.53209006 12.430247908093035, 574733.4832443459 7581501.457998062 0.0132481856271625, 574732.2641373465 7581502.775689056 0.0132482424378395, 574732.6093063464 7581503.811197058 0.0132488207891583, 574733.8173983459 7581503.17838706 0.0132490498945117, 574733.5872863461 7581508.470981052 0.0132511910051107, 574734.5077373453 7581511.80761704 0.0132529847323895, 574734.5652653455 7581514.051217043 0.0132539588958025, 574735.5432443449 7581516.582458038 0.0132554424926639, 574736.1760553446 7581517.733022035 0.0132561968639493, 574737.6142603436 7581518.480888033 0.0132571198046207, 574738.5347113431 7581520.149206027 0.0132582187652588, 574739.6852753423 7581523.025616028 0.0132599342614412, 574740.8358393419 7581525.8444980215 0.013261629268527, 574740.548198342 7581523.428313027 0.0132604725658894, 574740.7207823417 7581521.702467032 0.0132598066702485, 574739.3976343425 7581519.343811031 0.0132582392543554, 574739.2825773427 7581517.905606035 0.0132575761526823, 574738.1895423433 7581515.259309038 0.0132559891790152, 574738.649767343 7581513.993689042 0.0132556417956948, 574738.0744853433 7581512.728068043 0.0132548622786999, 574737.038978344 7581512.210314047 0.0132542103528976, 574737.0389783438 7581510.944694048 0.0132536720484495, 574736.8088653439 7581506.630079053 0.0132517432793975, 574737.0389783436 7581503.638613058 0.0132505670189857, 574738.9197073424 7581501.568619063 0.0132504580542445, 574738.7154653427 7581500.8537710635 0.0132500696927309, 574738.068698343 7581500.172964061 0.013249515555799, 574737.1836493434 7581498.709229064 0.0132485330104828, 574737.2344713435 7581497.5819660695 13.556748074799776, 574737.7282953429 7581495.986000071 13.556747597031295, 574738.7835463424 7581493.9776190715 13.556747169554233, 574740.4855643413 7581491.867117076 13.556746956281364, 574742.4599043401 7581490.028937077 13.556746963731944, 574745.1379303383 7581488.8079740815 13.556747513212263, 574747.6816953367 7581487.128019084 23.013247805647552))</t>
  </si>
  <si>
    <t>['EV6 S160D1 m3818-3819']</t>
  </si>
  <si>
    <t>LINESTRING Z (574639.2890224062 7581567.518560959 35.96983310099542, 574636.7479994078 7581569.145434957 35.969832516124846, 574633.1688764102 7581571.779421951 35.96983180366308, 574634.1604944097 7581572.554123951 35.96983253847659, 574634.7957504094 7581573.623212946 35.969833213685455, 574634.8732204088 7581574.335937947 35.969833503326775, 574634.950690409 7581575.823365945 35.96983407050222, 574637.1818324077 7581575.3430509465 35.969834935700895, 574638.8242004068 7581574.15000995 35.9698352700457, 574639.7073614061 7581573.297837951 35.969835373422505, 574640.9158964055 7581572.507641952 35.96983564723134, 574641.752574405 7581571.85689195 35.96983579903692, 574642.6202404042 7581570.617368955 35.96983575153947, 574643.3484604037 7581569.284880956 35.969835604390504, 574643.1160494041 7581568.587649958 35.96983524489999, 574642.3878304042 7581568.262274959 35.96983479320854, 574640.6989794055 7581567.642512958 35.969833792968096)</t>
  </si>
  <si>
    <t>POLYGON Z ((574639.2890224062 7581567.518560959 35.96983310099542, 574636.7479994078 7581569.145434957 35.969832516124846, 574633.1688764102 7581571.779421951 35.96983180366308, 574634.1604944097 7581572.554123951 35.96983253847659, 574634.7957504094 7581573.623212946 35.969833213685455, 574634.8732204088 7581574.335937947 35.969833503326775, 574634.950690409 7581575.823365945 35.96983407050222, 574637.1818324077 7581575.3430509465 35.969834935700895, 574638.8242004068 7581574.15000995 35.9698352700457, 574639.7073614061 7581573.297837951 35.969835373422505, 574640.9158964055 7581572.507641952 35.96983564723134, 574641.752574405 7581571.85689195 35.96983579903692, 574642.6202404042 7581570.617368955 35.96983575153947, 574643.3484604037 7581569.284880956 35.969835604390504, 574643.1160494041 7581568.587649958 35.96983524489999, 574642.3878304042 7581568.262274959 35.96983479320854, 574640.6989794055 7581567.642512958 35.969833792968096, 574639.2890224062 7581567.518560959 35.96983310099542))</t>
  </si>
  <si>
    <t>['EV6 S160D1 m3715-3718']</t>
  </si>
  <si>
    <t>LINESTRING Z (574555.2870644603 7581629.20673386 13.556713031925261, 574554.136499461 7581631.06533986 13.55671301329881, 574554.0922464612 7581633.189460857 13.556713634490967, 574553.7824794614 7581635.446338855 13.556714159756899, 574555.9951044597 7581637.791721851 13.556716001912951, 574560.862881457 7581635.269328852 13.556717714615166, 574567.1467384531 7581628.454441863 13.55671879029274, 574572.457040449 7581623.055634874 13.556719766318798, 574574.2713934481 7581621.595301876 13.556720212422311, 574573.6518584485 7581620.400483874 13.556719525106251, 574573.6518584484 7581618.984402879 13.556719078071415, 574572.634050449 7581618.895897878 13.556718543492257, 574571.5277374499 7581619.913705877 13.556718312524259, 574569.4478694509 7581620.533240879 13.556717470608652, 574568.3858094519 7581621.816563873 13.556717341154814, 574568.2522774517 7581623.045857873 35.96981765780449, 574567.5007584526 7581624.38320987 35.969817698782684, 574565.6421534535 7581625.312512869 35.969817055238785, 574563.2967694551 7581626.020552865 35.96981609504521, 574560.4646084569 7581627.525138867 35.96981513298899, 574558.871518458 7581628.675703863 35.96981468129754, 574557.9864674584 7581629.250986865 35.96981441028267)</t>
  </si>
  <si>
    <t>POLYGON Z ((574555.2870644603 7581629.20673386 13.556713031925261, 574554.136499461 7581631.06533986 13.55671301329881, 574554.0922464612 7581633.189460857 13.556713634490967, 574553.7824794614 7581635.446338855 13.556714159756899, 574555.9951044597 7581637.791721851 13.556716001912951, 574560.862881457 7581635.269328852 13.556717714615166, 574567.1467384531 7581628.454441863 13.55671879029274, 574572.457040449 7581623.055634874 13.556719766318798, 574574.2713934481 7581621.595301876 13.556720212422311, 574573.6518584485 7581620.400483874 13.556719525106251, 574573.6518584484 7581618.984402879 13.556719078071415, 574572.634050449 7581618.895897878 13.556718543492257, 574571.5277374499 7581619.913705877 13.556718312524259, 574569.4478694509 7581620.533240879 13.556717470608652, 574568.3858094519 7581621.816563873 13.556717341154814, 574568.2522774517 7581623.045857873 35.96981765780449, 574567.5007584526 7581624.38320987 35.969817698782684, 574565.6421534535 7581625.312512869 35.969817055238785, 574563.2967694551 7581626.020552865 35.96981609504521, 574560.4646084569 7581627.525138867 35.96981513298899, 574558.871518458 7581628.675703863 35.96981468129754, 574557.9864674584 7581629.250986865 35.96981441028267, 574555.2870644603 7581629.20673386 13.556713031925261))</t>
  </si>
  <si>
    <t>['EV6 S160D1 m3811-3820']</t>
  </si>
  <si>
    <t>LINESTRING Z (574633.5491844099 7581572.34648895 22.76943318178004, 574640.6070144053 7581567.287774957 22.013233623467386)</t>
  </si>
  <si>
    <t>POLYGON ((574640.8982967956 7581567.694167094, 574640.3157320151 7581566.881382819, 574633.2579020197 7581571.940096812, 574633.8404668001 7581572.752881087, 574640.8982967956 7581567.694167094))</t>
  </si>
  <si>
    <t>2022-11-14</t>
  </si>
  <si>
    <t>[4674]</t>
  </si>
  <si>
    <t>['FV4674 S2D1 m1544-1563']</t>
  </si>
  <si>
    <t>LINESTRING Z (-12539.322780374612 6590245.395914023 13.66, -12538.45098952076 6590243.838246827 13.73, -12540.241360116052 6590242.177380675 13.81, -12543.468334911508 6590239.012453812 13.97, -12546.073886747821 6590234.9387239255 14.15, -12548.19865438185 6590231.066160493 14.3, -12549.882689608552 6590227.319020795 14.450000000000001, -12550.678176074172 6590221.4357719645 14.66)</t>
  </si>
  <si>
    <t>POLYGON ((-12538.014676488436 6590244.082441295, -12537.993434943035 6590244.039849923, -12537.976339259558 6590243.995431844, -12537.963544340637 6590243.949589525, -12537.955166119915 6590243.902738339, -12537.951280511717 6590243.855302802, -12537.951922723203 6590243.807712722, -12537.957086935348 6590243.760399309, -12537.966726355677 6590243.713791265, -12537.980753642245 6590243.668310902, -12537.999041695033 6590243.624370314, -12538.021424807594 6590243.582367642, -12538.047700168496 6590243.542683469, -12538.077629698993 6590243.50567737, -12538.11094221034 6590243.471684654, -12539.896217347858 6590241.815545387, -12543.077706152546 6590238.695229914, -12545.643618115482 6590234.683476202, -12547.750741166463 6590230.84307147, -12549.396912273176 6590227.180183067, -12550.182684921803 6590221.368775562, -12551.173667226542 6590221.502768367, -12550.378180760921 6590227.386017197, -12550.369478518875 6590227.433198537, -12550.356294298645 6590227.479328616, -12550.33874949035 6590227.523982704, -12548.654714263648 6590231.271122402, -12548.637007898395 6590231.306672851, -12546.512240264366 6590235.1792362835, -12546.495099200469 6590235.20813081, -12543.889547364155 6590239.281860697, -12543.856470663297 6590239.327653175, -12543.818439767938 6590239.369422424, -12540.591464972482 6590242.534349287, -12540.58140742647 6590242.543942848, -12539.079408440237 6590243.937296427, -12539.759093406936 6590245.151719555, -12538.886467342289 6590245.64010849, -12538.014676488436 6590244.082441295))</t>
  </si>
  <si>
    <t>['FV4674 S2D1 m717-810']</t>
  </si>
  <si>
    <t>LINESTRING Z (-12111.163385299733 6590738.274611152 25.25, -12111.395772049029 6590737.960685559 25.240000000000002, -12113.017372983275 6590735.802992323 25.09, -12114.409140299656 6590733.939331646 24.97, -12116.191959850257 6590731.549571558 24.8, -12117.592130936973 6590729.777982264 24.67, -12120.418748909142 6590726.187624208 24.41, -12120.479970499873 6590726.104488695 24.400000000000002, -12120.541192090895 6590726.021353178 24.39, -12120.865916444629 6590725.618175236 24.36, -12121.120749293477 6590725.286909747 24.330000000000002, -12121.45669670531 6590724.875061889 24.3, -12121.700306493614 6590724.552466307 24.27, -12122.03880705015 6590724.120725467 24.240000000000002, -12122.279863691307 6590723.818022856 24.21, -12122.629587306292 6590723.377612094 24.18, -12122.859420886496 6590723.083579395 24.150000000000002, -12123.210421073018 6590722.633222141 24.11, -12123.438978079532 6590722.349135927 24.09, -12123.776202059933 6590721.9273415515 24.05, -12124.01853527088 6590721.61469244 24.03, -12124.15092493553 6590721.449697972 24.01, -12124.29735689878 6590721.175292144 23.990000000000002, -12124.506287022494 6590720.807804302 23.96, -12124.76904539112 6590720.336011391 23.93, -12124.96547588025 6590719.987139947 23.900000000000002, -12125.23078739061 6590719.495454055 23.86, -12125.414718245389 6590719.165199013 23.84, -12125.701199298841 6590718.666119775 23.8, -12125.873907091911 6590718.344534641 23.77, -12126.175440919003 6590717.806946017 23.73, -12126.333095933369 6590717.5238702595 23.71, -12126.545855762786 6590717.126542939 23.67, -12126.649682532705 6590716.947772251 23.66, -12126.74228624272 6590716.777671483 23.650000000000002, -12126.7810617098 6590716.711875785 23.64, -12127.110147936619 6590716.11716137 23.6, -12127.240250540257 6590715.891211387 23.580000000000002, -12127.334130820993 6590715.711164123 23.57, -12127.372906287434 6590715.645368427 23.57, -12127.610665373213 6590715.210808293 23.53, -12127.688216306095 6590715.079216893 23.52, -12128.043578359415 6590714.437323172 23.48, -12128.146128553664 6590714.2684989665 23.46, -12128.502767175145 6590713.616658747 23.42, -12128.595370880503 6590713.446557969 23.400000000000002, -12128.950732925383 6590712.804664231 23.36, -12129.053283117712 6590712.635840021 23.34, -12129.408645158575 6590711.993946278 23.29, -12129.501248861547 6590711.8238454955 23.28, -12129.711455529206 6590711.446411122 23.25, -12129.846664410317 6590711.180675173 23.23, -12129.940544684068 6590711.000627899 23.22, -12130.276013740397 6590710.356180997 23.17, -12130.379840500536 6590710.177410296 23.16, -12130.714032980846 6590709.5429098755 23.11, -12130.809189822932 6590709.352916112 23.09, -12131.14210572769 6590708.728362175 23.05, -12131.23726256867 6590708.538368408 23.03, -12131.57017846912 6590707.913814464 22.98, -12131.666611879715 6590707.713874208 22.97, -12131.99825120502 6590707.099266744 22.92, -12132.105907673656 6590706.890656567 22.900000000000002, -12132.416377446847 6590706.283442445 22.85, -12132.535256973119 6590706.066162353 22.84, -12132.85694980115 6590705.450278305 22.79, -12132.964606266702 6590705.241668126 22.77, -12133.297522149573 6590704.617114156 22.72, -12133.403902043356 6590704.41845046 22.71, -12133.738094492466 6590703.783949996 22.650000000000002, -12133.833251325239 6590703.593956219 22.64, -12134.168720340938 6590702.949509257 22.59, -12134.262600601825 6590702.769461968 22.57, -12134.341428091342 6590702.627924061 22.56, -12134.609292672016 6590702.116345081 22.52, -12134.701896360843 6590701.946244279 22.5, -12135.048588426493 6590701.293127385 22.45, -12135.14246868476 6590701.11308009 22.44, -12135.487884175323 6590700.469909681 22.38, -12135.581764432369 6590700.289862384 22.37, -12135.927179918857 6590699.646691966 22.31, -12136.021060174331 6590699.466644669 22.3, -12136.35652916733 6590698.822197675 22.240000000000002, -12136.461632480787 6590698.633480457 22.23, -12136.795824899222 6590697.998979944 22.18, -12136.902204781596 6590697.800316234 22.16, -12137.22262099624 6590697.194378614 22.11, -12137.341500506212 6590696.977098493 22.09, -12137.461656585569 6590696.749871882 22.07, -12137.514208240842 6590696.655513272 22.06, -12137.701968742942 6590696.295418661 22.03, -12137.783349364821 6590696.133987765 22.02, -12138.077489744115 6590695.575229437 21.97, -12138.23386813706 6590695.302100085 21.95, -12138.501732685487 6590694.79052106 21.900000000000002, -12138.674440414004 6590694.468935829 21.87, -12138.916029132379 6590694.004536106 21.830000000000002, -12139.11628925486 6590693.625825075 21.8, -12139.143841650744 6590693.568699277 21.81, -12139.303783681069 6590693.346578933 21.82, -12139.694835802307 6590692.820479263 21.84, -12139.85350126226 6590692.608305405 21.85, -12140.234606891929 6590692.080929155 21.87, -12140.2471065204 6590692.0623127455 21.87, -12140.283328835736 6590692.016410006 21.87, -12140.46827012056 6590691.757056841 21.88, -12140.960595831799 6590691.072079381 21.91, -12141.130484348629 6590690.851235599 21.92, -12141.636586253648 6590690.13769523 21.95, -12141.793975141365 6590689.935467857 21.95, -12142.31002353254 6590689.2232040465 21.96, -12142.45874249877 6590689.009753607 21.95, -12142.812295724289 6590688.539503127 21.91, -12142.906442026258 6590688.278607312 21.900000000000002, -12142.97303593444 6590688.074837297 21.89, -12143.281750658236 6590687.244970543 21.84, -12143.360844191688 6590687.022584117 21.82, -12143.655782710703 6590686.221280251 21.77, -12143.748652437527 6590685.970330924 21.76, -12144.041037810792 6590685.188920032 21.71, -12144.148960299324 6590684.899461312 21.69, -12144.416346409882 6590684.155283237 21.650000000000002, -12144.554374423868 6590683.788805725 21.63, -12144.80160148826 6590683.122922998 21.59, -12144.97484129906 6590682.639640738 21.56, -12145.188133124379 6590682.080616259 21.52, -12145.42286055052 6590681.433349934 21.48, -12145.564718258742 6590681.037032943 21.46, -12145.60859997943 6590680.931451254 21.45, -12146.07310719014 6590680.384447986 21.41, -12146.264165238303 6590680.156210815 21.400000000000002, -12146.858508930716 6590679.464105941 21.35, -12146.989621981746 6590679.309057851 21.330000000000002, -12147.406683820009 6590678.816627236 21.3, -12147.715078723442 6590678.4619048685 21.27, -12148.013527136005 6590678.10590593 21.240000000000002, -12148.406866286998 6590677.640761644 21.21, -12148.429312404129 6590677.6234217975 21.2, -12148.621913069452 6590677.30438963 21.18, -12148.994614771858 6590676.684941702 21.14, -12149.173439241247 6590676.394472433 21.12, -12149.559917133243 6590675.746461593 21.07, -12149.726241974742 6590675.474608733 21.05, -12150.135165978747 6590674.80925804 21.01, -12150.315267011698 6590674.508842272 20.990000000000002, -12150.700468327093 6590673.870777906 20.94, -12150.904292042076 6590673.543075795 20.92, -12151.275717159617 6590672.933574325 20.88, -12151.49459363264 6590672.567362813 20.85, -12151.852242553548 6590671.986424239 20.81, -12152.097394841781 6590671.573033403 20.79, -12152.428767940146 6590671.039274145 20.75, -12152.700196043821 6590670.578703976 20.72, -12153.006569887744 6590670.08217754 20.68, -12153.314220296685 6590669.575704613 20.650000000000002, -12153.506820943032 6590669.256672406 20.63, -12153.602988243976 6590669.137580556 20.62, -12154.006273864128 6590668.673712758 20.580000000000002, -12154.328444941435 6590668.2904274175 20.55, -12154.723060635093 6590667.81533656 20.52, -12155.042678577884 6590667.451944195 20.490000000000002, -12155.459740387334 6590666.959513475 20.45, -12155.758188779175 6590666.603514465 20.42, -12156.187750211859 6590666.092467321 20.38, -12156.483645469707 6590665.756361285 20.36, -12156.936929584364 6590665.218027789 20.32, -12157.200432232756 6590664.897985033 20.29, -12157.378990639932 6590664.688364215 20.35, -12157.437659064599 6590664.625121603 20.27, -12157.45015868923 6590664.606505185 20.23, -12157.877166986116 6590664.115351006 20.23, -12157.913389294 6590664.069448245 20.23, -12157.925888918631 6590664.050831827 20.22, -12158.068225017632 6590663.887113764 20.21, -12158.469968025514 6590663.514040919 20.18, -12158.73320463422 6590663.274846653 20.150000000000002, -12159.284677101183 6590662.759225285 20.1, -12159.549190276419 6590662.510084524 20.080000000000002, -12160.11188580282 6590661.985793219 20.03, -12160.373845846218 6590661.756545437 20.01, -12160.799311538576 6590661.356186227 19.81, -12161.189831490337 6590660.991783282 19.61, -12161.475514217454 6590660.735249148 19.580000000000002, -12162.01448706258 6590660.238244166 19.53, -12162.164216521545 6590660.095695643 19.52)</t>
  </si>
  <si>
    <t>POLYGON ((-12158.321094016195 6590664.358329533, -12158.305900177704 6590664.379182334, -12158.26967786982 6590664.425085096, -12158.254501050644 6590664.443404362, -12157.8452896593 6590664.914088155, -12157.829695889448 6590664.9354555, -12157.80422009461 6590664.965170145, -12157.752752853936 6590665.02065012, -12157.58377415293 6590665.219024725, -12157.322931379633 6590665.535836874, -12157.319402460145 6590665.540075145, -12156.866118345488 6590666.078408641, -12156.858934691447 6590666.086751963, -12156.566818647701 6590666.418565207, -12156.141145845408 6590666.924986066, -12155.84290579602 6590667.280736559, -12155.841284613018 6590667.282660507, -12155.424222803567 6590667.775091226, -12155.41812106593 6590667.782160697, -12155.103170343125 6590668.140246626, -12154.71307003989 6590668.609901256, -12154.711193390585 6590668.612147209, -12154.389022313278 6590668.99543255, -12154.383607912696 6590669.001766132, -12153.986284917193 6590669.45877559, -12153.917246245413 6590669.544271836, -12153.742265919613 6590669.834116966, -12153.741558277628 6590669.835285525, -12153.433907868688 6590670.341758452, -12153.43208541684 6590670.344735219, -12153.128378354648 6590670.83693972, -12152.859528709594 6590671.293134657, -12152.853561544265 6590671.302998232, -12152.524867574666 6590671.832442082, -12152.282306197045 6590672.241463967, -12152.27802320288 6590672.248551763, -12151.922095170756 6590672.826695052, -12151.704902705984 6590673.190088978, -12151.702684395217 6590673.193764602, -12151.331259277677 6590673.803266072, -12151.328866725693 6590673.807152182, -12151.12679729422 6590674.132033804, -12150.74371075401 6590674.766595163, -12150.564005889426 6590675.066350107, -12150.561144403866 6590675.071064039, -12150.15248483995 6590675.735984468, -12149.987896893612 6590676.004998425, -12149.602864996135 6590676.6505847545, -12149.599219877227 6590676.656599979, -12149.42173166484 6590676.94489873, -12149.050344025443 6590677.562162624, -12149.049958666763 6590677.562802027, -12148.85735800144 6590677.881834194, -12148.831665970922 6590677.920257792, -12148.802535502085 6590677.956144684, -12148.77021553842 6590677.989188189, -12148.758930145781 6590677.998770991, -12148.396007570796 6590678.427946073, -12148.098244089291 6590678.783128004, -12148.092412732698 6590678.789958287, -12147.786138790221 6590679.14224108, -12147.371290201265 6590679.632058482, -12147.24030099852 6590679.786960115, -12147.23783620948 6590679.7898524925, -12146.645543431701 6590680.4795691045, -12146.456506064116 6590680.705392379, -12146.454230002333 6590680.70809193, -12146.04031365603 6590681.195519441, -12146.031242749095 6590681.217344512, -12145.893612527498 6590681.601850903, -12145.892906851413 6590681.603809534, -12145.658179425272 6590682.251075858, -12145.655285156563 6590682.258854804, -12145.443802374972 6590682.813137893, -12145.272275001758 6590683.291643013, -12145.270337281474 6590683.2969539035, -12145.023110217082 6590683.962836631, -12145.022287115782 6590683.965037711, -12144.885604080777 6590684.327944175, -12144.61950829938 6590685.06853106, -12144.617456373604 6590685.074136521, -12144.509533885072 6590685.363595241, -12144.509329105658 6590685.364143498, -12144.21725945134 6590686.144710619, -12144.124855149827 6590686.39440229, -12143.831016645203 6590687.192717582, -12143.752842753252 6590687.412518262, -12143.750375038293 6590687.419301236, -12143.445171385574 6590688.239729758, -12143.381705676427 6590688.433927828, -12143.376757015916 6590688.448324165, -12143.282610713946 6590688.709219981, -12143.263435383435 6590688.755079119, -12143.239801432746 6590688.798807715, -12143.211942436665 6590688.839973601, -12142.863820009527 6590689.30300074, -12142.720267259141 6590689.509036314, -12142.71492135861 6590689.51656006, -12142.198872967436 6590690.22882387, -12142.188555793613 6590690.242560854, -12142.037989355695 6590690.436022131, -12141.53831386665 6590691.140502058, -12141.526788811383 6590691.15610077, -12141.361858263479 6590691.370499522, -12140.874824425662 6590692.048114348, -12140.690426314504 6590692.3067057915, -12140.675839615113 6590692.326144228, -12140.6515125841 6590692.356972665, -12140.64971705575 6590692.3596468475, -12140.639865233268 6590692.373786931, -12140.2587596036 6590692.90116318, -12140.253922037327 6590692.90774355, -12140.095690033564 6590693.119337773, -12139.707326728563 6590693.64182006, -12139.575177637551 6590693.825342812, -12139.56664398359 6590693.843036075, -12139.558296073203 6590693.859555631, -12139.358822023369 6590694.236780123, -12139.118009374874 6590694.699688027, -12139.114935031588 6590694.705503983, -12138.943468807314 6590695.024777509, -12138.676821416148 6590695.5340319555, -12138.667781185579 6590695.550534112, -12138.51580404173 6590695.815976275, -12138.227841755457 6590696.362998503, -12138.148444038616 6590696.520496004, -12138.145319191324 6590696.526590415, -12137.957558689224 6590696.886685026, -12137.951030743021 6590696.89879521, -12137.901123151418 6590696.988406297, -12137.78350731675 6590697.210829063, -12137.780139799006 6590697.217089266, -12137.662966293481 6590697.431251265, -12137.344211589589 6590698.034046809, -12137.34298826336 6590698.036345729, -12137.237416194997 6590698.233500851, -12136.904021232036 6590698.866487308, -12136.898454979082 6590698.876762402, -12136.796781877749 6590699.059320536, -12136.464568093334 6590699.697514168, -12136.370530358363 6590699.877863737, -12136.36767452118 6590699.8832601495, -12136.023703427774 6590700.5237410795, -12135.931234613241 6590700.701081456, -12135.928378775054 6590700.706477869, -12135.58440767149 6590701.346958801, -12135.491938862197 6590701.524299163, -12135.490223666133 6590701.527559283, -12135.143531600483 6590702.180676177, -12135.141037798518 6590702.185314975, -12135.05036891212 6590702.351861799, -12134.7843813508 6590702.859855969, -12134.77825057873 6590702.8712060265, -12134.702770374031 6590703.006733749, -12134.612149576858 6590703.18052991, -12134.27856396126 6590703.821358798, -12134.185157444655 6590704.0078578275, -12134.180483227423 6590704.016956879, -12133.846290778312 6590704.651457342, -12133.84468550768 6590704.654479987, -12133.738528865306 6590704.852726762, -12133.407401390843 6590705.473925658, -12133.301271678472 6590705.679577388, -12133.300135341902 6590705.681766051, -12132.978442513871 6590706.297650099, -12132.973896238196 6590706.306153176, -12132.858375070426 6590706.517295084, -12132.5510905781 6590707.118279461, -12132.55022954705 6590707.119955657, -12132.442573078413 6590707.328565834, -12132.438278326628 6590707.33670333, -12132.112032499024 6590707.941315345, -12132.020533159386 6590708.1310255425, -12132.011407594615 6590708.149009827, -12131.68148031897 6590708.767957077, -12131.589168667311 6590708.952270031, -12131.583334850902 6590708.963557542, -12131.253407567561 6590709.582504793, -12131.161095917669 6590709.766817737, -12131.156421700347 6590709.775916787, -12130.822229220037 6590710.4104172075, -12130.812209326865 6590710.42852222, -12130.714186004758 6590710.597300461, -12130.384052571693 6590711.231497458, -12130.291166816682 6590711.409637657, -12130.157087841488 6590711.673152918, -12130.14827799036 6590711.689693133, -12129.939240924932 6590712.06502744, -12129.847786569373 6590712.233017023, -12129.846083675824 6590712.236118827, -12129.49072163496 6590712.878012571, -12129.480620967966 6590712.895421148, -12129.383296334716 6590713.055642732, -12129.033666330974 6590713.687182632, -12128.941908581157 6590713.855729502, -12128.94140641947 6590713.856649608, -12128.58476779799 6590714.508489828, -12128.573466398584 6590714.528080103, -12128.476141760622 6590714.688301688, -12128.125654816173 6590715.321389455, -12128.118976944843 6590715.333077626, -12128.045475947363 6590715.457796941, -12127.811545526905 6590715.885359297, -12127.803666919895 6590715.899229172, -12127.77148079607 6590715.953843819, -12127.683600936612 6590716.122383241, -12127.673553319251 6590716.1407082835, -12127.545574544738 6590716.3629698, -12127.218549041463 6590716.953960139, -12127.211822343572 6590716.965736527, -12127.17736299033 6590717.024208478, -12127.088823927621 6590717.186843026, -12127.082051340809 6590717.198884206, -12126.98256214701 6590717.370186381, -12126.773879360873 6590717.759899856, -12126.769918377167 6590717.767152303, -12126.612263362802 6590718.05022806, -12126.611526380751 6590718.051546651, -12126.312233899267 6590718.5851393, -12126.141693849584 6590718.902688054, -12126.134836125648 6590718.915035629, -12125.84996611262 6590719.411308271, -12125.66923164104 6590719.735824081, -12125.405502967102 6590720.224576597, -12125.401162060563 6590720.23245108, -12125.205302061113 6590720.5803093035, -12124.943109457945 6590721.051086361, -12124.940949132646 6590721.054925427, -12124.735327224334 6590721.416594438, -12124.59204653403 6590721.685094946, -12124.568279191313 6590721.725043982, -12124.540904552196 6590721.762613134, -12124.411147400277 6590721.924326757, -12124.171391133319 6590722.233651193, -12124.166731978848 6590722.239569645, -12123.829507998447 6590722.661364021, -12123.828549389018 6590722.662559275, -12123.602414843095 6590722.943634478, -12123.253790267408 6590723.39094366, -12123.253354716597 6590723.391501687, -12123.023521136392 6590723.685534386, -12123.02114894002 6590723.688545346, -12122.671425325036 6590724.128956107, -12122.67099389483 6590724.129498639, -12122.431117638947 6590724.430719002, -12122.096584157756 6590724.857400033, -12121.855707155317 6590725.176376776, -12121.844144760247 6590725.191106197, -12121.512705215251 6590725.597427728, -12121.26222078302 6590725.923040569, -12121.255320706912 6590725.931806102, -12120.937385549265 6590726.326554575, -12120.88258202779 6590726.4009747105, -12120.821360429803 6590726.484110233, -12120.811609026126 6590726.4969152175, -12117.984991053958 6590730.087273274, -12117.984405563511 6590730.088015516, -12116.58855592475 6590731.854137028, -12114.8099037548 6590734.238310998, -12113.417988977713 6590736.102169236, -12113.417076601818 6590736.103387092, -12111.796564591265 6590738.259631411, -12111.565256166316 6590738.572100323, -12110.76151443315 6590737.977121981, -12110.993901182446 6590737.663196388, -12110.996068430486 6590737.66029079, -12112.617212188998 6590735.50320587, -12114.008450657007 6590733.640253353, -12115.791196395114 6590731.250592206, -12115.79968522372 6590731.239538305, -12117.199563215256 6590729.468319855, -12120.020910032054 6590725.884657198, -12120.077358979212 6590725.808002669, -12120.138580562978 6590725.724867162, -12120.151787828612 6590725.707722311, -12120.47301325077 6590725.308888644, -12120.724444955085 6590724.982044414, -12120.73330123854 6590724.970865439, -12121.063329519133 6590724.566274019, -12121.301296043608 6590724.25115142, -12121.306826811282 6590724.243963893, -12121.645327367818 6590723.812223053, -12121.647676846627 6590723.809249683, -12121.888517470086 6590723.506818333, -12122.236833801922 6590723.068179778, -12122.46526902936 6590722.775936032, -12122.816051692105 6590722.325857876, -12122.820849763531 6590722.319798794, -12123.048926523514 6590722.036309504, -12123.383320275665 6590721.618055133, -12123.623346197493 6590721.308382799, -12123.628555654213 6590721.301777278, -12123.731759203582 6590721.173156855, -12123.85623530028 6590720.93989517, -12123.862694788628 6590720.928171019, -12124.070536304675 6590720.562597933, -12124.332222955669 6590720.092729333, -12124.333359210807 6590720.090700258, -12124.527583839636 6590719.745746544, -12124.790760303758 6590719.258017405, -12124.793964952072 6590719.252172003, -12124.977895806851 6590718.921916961, -12124.981081418582 6590718.9162831595, -12125.264046397879 6590718.423329281, -12125.433412541168 6590718.107966362, -12125.437821630163 6590718.099934007, -12125.738985988106 6590717.5630040895, -12125.894263026588 6590717.284198081, -12126.105072335282 6590716.890513343, -12126.113486954682 6590716.875430984, -12126.213844242771 6590716.702634109, -12126.303144847803 6590716.538600708, -12126.311525608948 6590716.5238107415, -12126.346857862687 6590716.46385762, -12126.672660604956 6590715.875077016, -12126.676845157624 6590715.867664473, -12126.801732422615 6590715.650772001, -12126.890780424637 6590715.47999227, -12126.903370188531 6590715.457303379, -12126.938095720143 6590715.398379767, -12127.172026133741 6590714.970817423, -12127.179904734465 6590714.9569475595, -12127.254038050934 6590714.831155302, -12127.606139849337 6590714.195150609, -12127.616240514495 6590714.177742035, -12127.712918422136 6590714.018585136, -12128.063876360628 6590713.377127689, -12128.15622947449 6590713.207487214, -12128.157932365306 6590713.204385416, -12128.513294410186 6590712.562491678, -12128.523395075128 6590712.545083104, -12128.620719707398 6590712.3848615205, -12128.970349721138 6590711.753321591, -12129.062107450749 6590711.58477475, -12129.064426400393 6590711.580563484, -12129.270073130334 6590711.211316658, -12129.401032098036 6590710.953933377, -12129.403314001029 6590710.9495033445, -12129.497115400327 6590710.769607338, -12129.832505852772 6590710.125311437, -12129.843644914068 6590710.105069073, -12129.942274370174 6590709.93524718, -12130.269260606734 6590709.314428589, -12130.36212688611 6590709.12900825, -12130.36796069972 6590709.117720745, -12130.697887981576 6590708.498773497, -12130.790199629047 6590708.314460551, -12130.796033443174 6590708.303173045, -12131.124205180638 6590707.687519204, -12131.216257189448 6590707.496663129, -12131.226584758106 6590707.476437622, -12131.556039277339 6590706.86587913, -12131.661153666115 6590706.662194841, -12131.971194542404 6590706.055819551, -12131.97773818177 6590706.043451622, -12132.094303578511 6590705.830401142, -12132.413193388385 6590705.2198835, -12132.520284389379 6590705.012369043, -12132.523377131974 6590705.006472779, -12132.856293014846 6590704.381918809, -12132.856738685248 6590704.381084628, -12132.962310771707 6590704.183929507, -12133.293322108291 6590703.55546873, -12133.38618837305 6590703.370048388, -12133.389743417418 6590703.363086698, -12133.725212433117 6590702.718639736, -12133.819250171708 6590702.538290178, -12133.825778114437 6590702.526180003, -12133.901467004127 6590702.390277578, -12134.166339412557 6590701.8844131725, -12134.17015123434 6590701.877274385, -12134.261495810757 6590701.709486407, -12134.606089573143 6590701.060322408, -12134.699118249056 6590700.8819083115, -12134.70197408503 6590700.876511902, -12135.045945178143 6590700.236030989, -12135.138413994451 6590700.058690609, -12135.141269830046 6590700.0532942, -12135.485240934819 6590699.412813249, -12135.577631006388 6590699.235623887, -12135.913021248327 6590698.591328176, -12135.919706669034 6590698.578915729, -12136.021966812226 6590698.395303537, -12136.353436147972 6590697.765973092, -12136.355041417457 6590697.762950449, -12136.460806648865 6590697.5654345965, -12136.780614188247 6590696.960648039, -12136.783981703446 6590696.954387842, -12136.901155205205 6590696.74022585, -12137.019649775031 6590696.516141311, -12137.02483408339 6590696.506589944, -12137.07403845126 6590696.418241522, -12137.25703499921 6590696.067283414, -12137.336874069148 6590695.908910422, -12137.340908872951 6590695.901079175, -12137.635049252245 6590695.342320847, -12137.643576695596 6590695.326795409, -12137.795279687582 6590695.061832078, -12138.0587794064 6590694.558589189, -12138.061238067903 6590694.553952905, -12138.232389495275 6590694.235265537, -12138.47246017151 6590693.773783908, -12138.474022314036 6590693.770805551, -12138.669955574376 6590693.40027703, -12138.693486922015 6590693.351488277, -12138.714149646823 6590693.313033907, -12138.738087805144 6590693.276528408, -12138.898029835469 6590693.054408064, -12138.902497660281 6590693.048301329, -12139.29354978152 6590692.522201658, -12139.29441502724 6590692.521041118, -12139.450634828709 6590692.312137693, -12139.824300777156 6590691.795056519, -12139.83199635658 6590691.7835950535, -12139.854595741024 6590691.752578524, -12139.883288429779 6590691.716217706, -12140.061172641792 6590691.466761055, -12140.062261918598 6590691.465239535, -12140.554587629837 6590690.780262075, -12140.564291369044 6590690.76721421, -12140.728266063818 6590690.554058004, -12141.228756735627 6590689.848428771, -12141.2420056014 6590689.830602232, -12141.394117882626 6590689.635154718, -12141.902418033513 6590688.933585236, -12142.048498772168 6590688.72392134, -12142.059095786393 6590688.709283134, -12142.367488861051 6590688.299098808, -12142.433543112846 6590688.116050961, -12142.49777228427 6590687.91951678, -12142.504411554382 6590687.900506604, -12142.81186794086 6590687.074022431, -12142.889752096671 6590686.855036398, -12142.891619715738 6590686.849875139, -12143.186558234753 6590686.048571273, -12143.18686302596 6590686.047745444, -12143.279732752784 6590685.796796117, -12143.28036114266 6590685.795107458, -12143.572643906644 6590685.013970793, -12143.679421538389 6590684.727582692, -12143.945798409826 6590683.986213489, -12143.948433717967 6590683.979051251, -12144.086047607918 6590683.613673278, -12144.331881824424 6590682.951542055, -12144.50416778556 6590682.470920723, -12144.507689266875 6590682.461402194, -12144.719501674528 6590681.906255175, -12144.952459358348 6590681.263868956, -12145.093966281764 6590680.868531975, -12145.10300819184 6590680.845137622, -12145.146889912528 6590680.739555933, -12145.169156444079 6590680.692936308, -12145.196114804856 6590680.6488632485, -12145.227477167236 6590680.60780731, -12145.690841581563 6590680.0621497985, -12145.880766364326 6590679.835266422, -12145.884837959538 6590679.830464263, -12146.477943736412 6590679.139800926, -12146.607829913943 6590678.986203678, -12147.025139639092 6590678.4934801515, -12147.029349810753 6590678.488573818, -12147.334798357893 6590678.137240412, -12147.630361770156 6590677.7846827945, -12147.631735061936 6590677.783051764, -12148.025074212928 6590677.317907478, -12148.03799928977 6590677.30416411, -12148.193674531827 6590677.046296828, -12148.566183815867 6590676.427168708, -12148.568834135878 6590676.422814156, -12148.745814894819 6590676.135339675, -12149.130491378355 6590675.490349271, -12149.133410677876 6590675.485516688, -12149.299735519375 6590675.213663829, -12149.300263549623 6590675.212802734, -12149.707743808725 6590674.549801124, -12149.886427101019 6590674.251750205, -12149.887221404186 6590674.250429892, -12150.272422719581 6590673.612365526, -12150.275893643477 6590673.606701519, -12150.478512197365 6590673.280937034, -12150.847632878313 6590672.6752170995, -12151.065408086273 6590672.310848161, -12151.068812983309 6590672.30523529, -12151.42429105342 6590671.727822886, -12151.667331198285 6590671.317993675, -12151.672601237662 6590671.309309316, -12152.000933897818 6590670.780447444, -12152.269435274373 6590670.324843464, -12152.274680514725 6590670.316146297, -12152.580137964651 6590669.82110502, -12152.88652770002 6590669.316707491, -12153.078775320104 6590668.998260052, -12153.11781479764 6590668.942547878, -12153.213982098585 6590668.8234560285, -12153.225654195408 6590668.809527182, -12153.62620624956 6590668.348803591, -12153.944754872218 6590667.969827866, -12154.338435536638 6590667.495862721, -12154.347618147047 6590667.485120058, -12154.664152203653 6590667.125233944, -12155.077383159156 6590666.637326367, -12155.375023370489 6590666.282291381, -12155.375440321719 6590666.281794682, -12155.805001754403 6590665.770747539, -12155.812460990119 6590665.762076643, -12156.104718488295 6590665.430102722, -12156.552680552742 6590664.898089848, -12156.814430437487 6590664.580175948, -12156.819803917868 6590664.57375967, -12156.998362325045 6590664.364138853, -12157.012429609922 6590664.348315673, -12157.051950598716 6590664.30571336, -12157.072824624702 6590664.27845183, -12157.492026551932 6590663.796276706, -12157.508983132531 6590663.77478846, -12157.510778663544 6590663.772114271, -12157.548554850453 6590663.722778477, -12157.690890949454 6590663.559060413, -12157.727986849797 6590663.520728735, -12158.12972985768 6590663.14765589, -12158.133717642448 6590663.143992706, -12158.394321076847 6590662.907191117, -12158.942525240605 6590662.394625581, -12159.20637136998 6590662.1461130995, -12159.208340914902 6590662.144268022, -12159.771036441303 6590661.619976717, -12159.782606861965 6590661.60952818, -12160.037773648237 6590661.386225347, -12160.456665084104 6590660.992052451, -12160.45819361114 6590660.990620146, -12160.848713562902 6590660.6262172, -12160.855766853003 6590660.619760677, -12161.1389907962 6590660.365434454, -12161.672607543582 6590659.87336851, -12161.8194535725 6590659.733565129, -12162.508979470591 6590660.457826156, -12162.359250011627 6590660.600374679, -12162.353439856124 6590660.6058186535, -12161.814467010998 6590661.102823636, -12161.809578854789 6590661.107271752, -12161.527453644952 6590661.3606113475, -12161.141195132579 6590661.721037848, -12160.71649230069 6590662.120679213, -12160.703124787073 6590662.132810475, -12160.447031411222 6590662.35692419, -12159.891026900483 6590662.874981144, -12159.62749600762 6590663.123196709, -12159.62615950557 6590663.124450924, -12159.074687038606 6590663.640072293, -12159.069455017287 6590663.644894866, -12158.808222231464 6590663.882268325, -12158.428034945335 6590664.235323761, -12158.321094016195 6590664.358329533))</t>
  </si>
  <si>
    <t>['FV4674 S2D1 m816-888']</t>
  </si>
  <si>
    <t>LINESTRING Z (-12167.670855057484 6590656.262896911 19.1, -12167.866487289662 6590656.15657068 19.1, -12168.467160179047 6590655.80902906 19.1, -12168.893370389007 6590655.560420314 19.1, -12169.429258059885 6590655.24500527 19.09, -12169.931476555474 6590654.955600009 19.09, -12170.391355948057 6590654.680981464 19.09, -12170.979529224569 6590654.35205625 19.080000000000002, -12171.36212377192 6590654.128180706 19.080000000000002, -12172.028858467704 6590653.738565983 19.080000000000002, -12172.324221674993 6590653.564156877 19.07, -12173.03329548263 6590653.159755416 19.02, -12173.186588616983 6590653.068215896 19.01, -12173.303659442696 6590653.022579152 19, -12174.045870377973 6590652.753864934 18.95, -12174.364690246352 6590652.633017985 18.93, -12175.074508576363 6590652.380367054 18.88, -12175.414498001803 6590652.252126741 18.86, -12176.09320029139 6590652.0055926 18.81, -12176.464305769361 6590651.871235482 18.79, -12177.12183851184 6590651.632094703 18.740000000000002, -12177.514113547688 6590651.490344218 18.72, -12178.151753308252 6590651.2486503 18.67, -12178.553974843235 6590651.108176377 18.64, -12179.190338045475 6590650.876428949 18.6, -12179.603782644204 6590650.7272850955 18.57, -12180.230199358892 6590650.494261093 18.53, -12180.643643962278 6590650.345117235 18.5, -12181.270060683251 6590650.112093228 18.46, -12181.683505291061 6590649.962949366 18.43, -12181.927593458735 6590649.872952424 18.41, -12182.313485689228 6590649.780934395 18.39, -12182.76161002199 6590649.676682769 18.36, -12183.376537671604 6590649.533177213 18.32, -12183.84583156585 6590649.421532218 18.28, -12184.429643171723 6590649.284143459 18.25, -12184.920106627105 6590649.165105098 18.21, -12185.493971744727 6590649.026439767 18.18, -12186.004328197218 6590648.909954535 18.14, -12186.56697026093 6590648.779959131 18.1, -12187.078603285016 6590648.653527396 18.07, -12187.63129885972 6590648.522255426 18.03, -12188.151601820427 6590648.40704675 18, -12188.704297401826 6590648.275774779 17.96, -12189.225876933837 6590648.150619605 17.93, -12189.788519018155 6590648.020624192 17.89, -12190.300152060401 6590647.894192451 17.85, -12190.872740647697 6590647.7654736 17.82, -12191.38437369658 6590647.639041851 17.78, -12191.96818535158 6590647.501653068 17.740000000000002, -12192.458648849104 6590647.382614684 17.71, -12193.052407007955 6590647.246502461 17.67, -12193.545157617773 6590647.18841962 17.64, -12194.149872822687 6590647.124486 17.6, -12194.65129337099 6590647.077626219 17.57, -12195.24606208707 6590647.012416032 17.53, -12195.748759206617 6590646.955609753 17.490000000000002, -12196.342251365422 6590646.90034606 17.46, -12196.854894988122 6590646.844816346 17.42, -12197.439717223053 6590646.7783295885 17.38, -12197.952360852563 6590646.722799872 17.35, -12198.547129591403 6590646.657589682 17.31, -12199.04855016555 6590646.6107298955 17.28, -12199.66448847187 6590646.538126334 17.240000000000002, -12200.155962555495 6590646.489989981 17.21, -12200.257980658032 6590646.482862636 17.2, -12200.330159269215 6590646.471905598 17.2, -12200.862695911143 6590646.418929005 17.16, -12200.975937077135 6590646.403131729 17.150000000000002, -12201.256992134557 6590646.418982552 17.13, -12202.17972929246 6590646.476747547 17.07, -12202.371265875641 6590646.481109287 17.05, -12203.264163553133 6590646.535044586 16.990000000000002, -12203.474316569045 6590646.551905954 16.98, -12204.34732126235 6590646.603288125 16.92, -12204.578643841902 6590646.612756126 16.9, -12205.441702049051 6590646.66286173 16.84, -12205.681694564177 6590646.683552797 16.82, -12206.53480628418 6590646.73238184 16.76, -12206.786021865555 6590646.744402973 16.740000000000002, -12207.629187098646 6590646.791955452 16.69, -12207.880402683746 6590646.803976583 16.67, -12208.72229136218 6590646.861475565 16.61, -12208.983453448629 6590646.874773263 16.59, -12209.826618703839 6590646.922325744 16.53, -12210.087780793663 6590646.935623441 16.51, -12210.940892558137 6590646.984452491 16.45, -12211.190831587766 6590647.006420121 16.44, -12212.063836360641 6590647.057802303 16.38, -12212.295158961148 6590647.067270308 16.36, -12213.18805674318 6590647.1212056205 16.3, -12213.399486349255 6590647.128120491 16.29, -12213.750166940386 6590647.152907277 16.23, -12213.829738931556 6590647.1631197985 16.22, -12216.891505586449 6590647.333649236 15.69, -12217.462285742164 6590647.376573961 15.59, -12218.115191027406 6590647.4098182125 15.48, -12219.891359798843 6590647.041267416 15.17, -12220.85723435966 6590646.841699999 15, -12222.228894340515 6590646.552667631 14.76, -12222.67574231734 6590646.458362441 14.68, -12223.756134670635 6590646.233051232 14.49, -12224.08846489247 6590646.164489819 14.43, -12224.119580958155 6590646.158373016 14.43, -12224.451911181503 6590646.089811601 14.370000000000001, -12224.659777142282 6590646.045717406 14.33, -12224.77301834029 6590646.029920125 14.31, -12224.919928735122 6590645.988113038 14.280000000000001, -12225.29332152754 6590645.914711384 14.22, -12226.837423281628 6590645.384941885 13.94, -12227.980579862604 6590644.9856998995 13.73, -12230.213330865314 6590644.210672576 13.32, -12230.635445639899 6590644.072751666 13.25, -12238.687539219274 6590643.094224971 11.86, -12244.102640824334 6590640.998761979 10.86)</t>
  </si>
  <si>
    <t>POLYGON ((-12167.621860935178 6590655.7204486085, -12168.215996200126 6590655.376689574, -12168.640595946918 6590655.129020211, -12169.175636293061 6590654.814103889, -12169.179614438783 6590654.811787007, -12169.678465069193 6590654.524322492, -12170.13500716405 6590654.251696825, -12170.14730950421 6590654.244585619, -12170.731222066637 6590653.918043133, -12171.109603263245 6590653.696633034, -12171.775608147238 6590653.307444687, -12172.069990676575 6590653.133614661, -12172.07651410845 6590653.1298287045, -12172.781242080706 6590652.727905776, -12172.93023982767 6590652.638931261, -12172.966851829317 6590652.6190881375, -12173.004988091128 6590652.602360502, -12173.12205891684 6590652.556723758, -12173.133448604343 6590652.552442714, -12173.872146026002 6590652.285000548, -12174.187471753892 6590652.165478034, -12174.197025717043 6590652.161967451, -12174.902431594182 6590651.9108870765, -12175.238038736605 6590651.784299714, -12175.243789579943 6590651.782170749, -12175.92249186953 6590651.5356366085, -12175.922989447317 6590651.535456165, -12176.29375217127 6590651.401223139, -12176.950943018868 6590651.162206705, -12176.951914892097 6590651.161854377, -12177.34053200868 6590651.021425699, -12177.974534808442 6590650.781110352, -12177.986895563647 6590650.776610129, -12178.385991138906 6590650.637227931, -12179.019243120074 6590650.4066135315, -12179.020672398652 6590650.406095483, -12179.431782286738 6590650.257793842, -12180.055872776811 6590650.025635184, -12180.060533708134 6590650.02392763, -12180.471643595125 6590649.875625985, -12181.095734099648 6590649.643467319, -12181.100395031288 6590649.641759764, -12181.512185032598 6590649.493212777, -12181.754622795677 6590649.40382435, -12181.811617498199 6590649.386588798, -12182.197509728692 6590649.294570769, -12182.200191141435 6590649.293939174, -12182.648146253658 6590649.189726915, -12183.26186122263 6590649.0465043625, -12183.73011120042 6590648.935107715, -12183.731295055599 6590648.934827598, -12184.313408856122 6590648.797838384, -12184.802177371696 6590648.679211395, -12184.80266939108 6590648.679092242, -12185.376534508701 6590648.540426912, -12185.382711547749 6590648.538975749, -12185.892419629265 6590648.422638503, -12186.450710514133 6590648.293648415, -12186.95865433195 6590648.168128335, -12186.963061428583 6590648.16706046, -12187.515757003288 6590648.03578849, -12187.523204001764 6590648.034079739, -12188.03977691995 6590647.919696991, -12188.588193640087 6590647.789441302, -12189.109211535017 6590647.664420895, -12189.113319819211 6590647.663453415, -12189.672259283807 6590647.534313473, -12190.180203105518 6590647.40879339, -12190.19048806909 6590647.406366858, -12190.757921347462 6590647.278806929, -12191.264424737334 6590647.153642791, -12191.269837176333 6590647.152337233, -12191.851951097295 6590647.015347978, -12192.340719582353 6590646.896720984, -12192.34692751436 6590646.895256148, -12192.940685673211 6590646.759143924, -12192.993874879865 6590646.749940289, -12193.486625489682 6590646.691857448, -12193.49258802163 6590646.691190862, -12194.097303226545 6590646.627257243, -12194.103348519471 6590646.626655216, -12194.600781371018 6590646.580168102, -12195.19074320105 6590646.515484939, -12195.692615044109 6590646.458771919, -12195.702401682363 6590646.457763411, -12196.292147150856 6590646.402848596, -12196.799732195366 6590646.347866828, -12197.383237483435 6590646.281529791, -12197.385872037843 6590646.281237347, -12197.898191894985 6590646.225742701, -12198.492636354358 6590646.160568066, -12198.500605285064 6590646.159758899, -12198.996014272141 6590646.11346092, -12199.605956339763 6590646.041564163, -12199.615750276887 6590646.040507414, -12200.107224360512 6590645.992371062, -12200.12111572991 6590645.99120576, -12200.202945985318 6590645.98548881, -12200.255116756594 6590645.977569052, -12200.280663718044 6590645.974361439, -12200.803384237457 6590645.922361351, -12200.906855433697 6590645.907926997, -12200.95537568135 6590645.903554679, -12201.004091125038 6590645.903925009, -12201.28514618246 6590645.919775832, -12201.288231873843 6590645.919959428, -12202.201049196634 6590645.977103423, -12202.382649102787 6590645.981238881, -12202.401413322277 6590645.982018983, -12203.294310999769 6590646.035954283, -12203.304151931037 6590646.036646222, -12203.509003437113 6590646.05308223, -12204.372235910498 6590646.10388924, -12204.599091650545 6590646.113174413, -12204.607622986461 6590646.113596623, -12205.47068119361 6590646.163702227, -12205.484650458455 6590646.1647097105, -12205.71746192439 6590646.18478166, -12206.56104188584 6590646.2330651395, -12206.809920449537 6590646.244974442, -12206.814175916928 6590646.245196253, -12207.655213883096 6590646.2926287595, -12207.90430126368 6590646.304548052, -12207.91447211967 6590646.305138661, -12208.75204117425 6590646.362342622, -12209.008879218487 6590646.375420151, -12209.011607500366 6590646.375566543, -12209.853408827466 6590646.423042102, -12210.113206559641 6590646.436270329, -12210.11635223394 6590646.436440435, -12210.969463998414 6590646.485269485, -12210.984669771457 6590646.486372622, -12211.227416575304 6590646.507708113, -12212.08875106013 6590646.55840342, -12212.315606777982 6590646.567688596, -12212.325306411527 6590646.568180004, -12213.211306850588 6590646.621698684, -12213.415830265569 6590646.628387686, -12213.434739370414 6590646.629364816, -12213.785419961545 6590646.654151602, -12213.813816446927 6590646.656975084, -12213.875525571766 6590646.664895028, -12216.91931070214 6590646.834422959, -12216.929001507879 6590646.835057162, -12217.493751206799 6590646.877528375, -12218.07648330159 6590646.907199589, -12219.789774826077 6590646.551695672, -12220.755100572342 6590646.352241468, -12222.125723396504 6590646.063427647, -12222.572493939619 6590645.969138798, -12222.573665556762 6590645.968892998, -12223.654057910057 6590645.74358179, -12223.655109631532 6590645.743363637, -12223.987439853367 6590645.674802223, -12223.992020608704 6590645.673879485, -12224.020844099536 6590645.668213356, -12224.349520270513 6590645.600405791, -12224.5560218517 6590645.55660102, -12224.590695498026 6590645.550512674, -12224.669554076652 6590645.539511809, -12224.783074600746 6590645.507206659, -12224.823484426479 6590645.497502709, -12225.163364977523 6590645.4306889, -12226.673862312364 6590644.912448821, -12227.815722086827 6590644.513659738, -12227.816618091256 6590644.513347766, -12230.049369093966 6590643.738320443, -12230.058040936143 6590643.7353989305, -12230.480155710728 6590643.597478021, -12230.527127667801 6590643.584625436, -12230.57512715234 6590643.576403321, -12238.565283334241 6590642.605403537, -12243.92219659951 6590640.532457484, -12244.28308504916 6590641.465066474, -12238.867983444099 6590643.560529466, -12238.828817109408 6590643.573850405, -12238.788683615103 6590643.583887927, -12238.747857706832 6590643.590573316, -12230.7442798244 6590644.563204166, -12230.372970080385 6590644.684525145, -12228.144989861663 6590645.457896445, -12227.002281057405 6590645.856982047, -12226.999684977856 6590645.857880721, -12225.45558322377 6590646.38765022, -12225.389765836184 6590646.405321714, -12225.036779770528 6590646.474711808, -12224.909872474665 6590646.510826505, -12224.842099984546 6590646.525124857, -12224.746302841948 6590646.538488671, -12224.555666472084 6590646.578927987, -12224.552936222795 6590646.579499196, -12224.220605999448 6590646.648060611, -12224.21602524192 6590646.64898335, -12224.18720170353 6590646.654649488, -12223.857685906109 6590646.722630271, -12222.778404810824 6590646.947709731, -12222.332142718236 6590647.041891273, -12220.960329032134 6590647.330956055, -12220.958406531076 6590647.331357217, -12219.992738173665 6590647.53088203, -12218.216776000172 6590647.899389957, -12218.174768329647 6590647.9062560685, -12218.132328893342 6590647.909524419, -12218.089765256325 6590647.909171324, -12217.436859971083 6590647.875927073, -12217.424789820734 6590647.875166035, -12216.858851960473 6590647.832605468, -12213.801933815865 6590647.662346075, -12213.766089425015 6590647.659051992, -12213.700675363121 6590647.650656545, -12213.37367864998 6590647.627543781, -12213.171712826866 6590647.620938426, -12213.1579092928 6590647.620295924, -12212.269858918868 6590647.566653418, -12212.043388543807 6590647.557384014, -12212.034458848906 6590647.556938519, -12211.161454076031 6590647.505556337, -12211.147054374447 6590647.50449999, -12210.90470982319 6590647.483199853, -12210.060781832104 6590647.43489645, -12209.80119293786 6590647.421678856, -12209.798464652102 6590647.421532464, -12208.956663359111 6590647.374056907, -12208.696865592323 6590647.360828676, -12208.688221926257 6590647.360313487, -12207.8514156802 6590647.303161624, -12207.605288518713 6590647.291383984, -12207.601033047273 6590647.291162172, -12206.759995101755 6590647.243729667, -12206.510907700198 6590647.231810371, -12206.506234846222 6590647.231564846, -12205.653123126218 6590647.182735803, -12205.638746154773 6590647.181704816, -12205.405731205261 6590647.161615323, -12204.553928567238 6590647.112163171, -12204.326873453707 6590647.102869838, -12204.317943754315 6590647.102424341, -12203.44493906101 6590647.05104217, -12203.43432819114 6590647.050304319, -12203.22909220881 6590647.033837463, -12202.350493223696 6590646.980765873, -12202.168346065315 6590646.976617953, -12202.148489553174 6590646.975770672, -12201.227294869166 6590646.918102238, -12200.996596537705 6590646.905091412, -12200.93177755458 6590646.914133737, -12200.912191462314 6590646.916473164, -12200.392469606639 6590646.9681749465, -12200.333023170653 6590646.977199183, -12200.292827483618 6590646.981646857, -12200.197763199 6590646.988288384, -12199.718128816388 6590647.035265123, -12199.107082297656 6590647.107292066, -12199.095074471888 6590647.108560679, -12198.59764163424 6590647.155047795, -12198.006854089608 6590647.2198214885, -12198.006206037773 6590647.2198921135, -12197.494879994578 6590647.275279108, -12196.91137472774 6590647.3416161435, -12196.908740172254 6590647.341908587, -12196.396096549553 6590647.397438302, -12196.388608889676 6590647.398192402, -12195.800015020612 6590647.452999985, -12195.302206249578 6590647.509253866, -12195.300555323867 6590647.509437649, -12194.705786607787 6590647.574647835, -12194.697817674205 6590647.575457003, -12194.19942155735 6590647.622034139, -12193.600710538178 6590647.685332964, -12193.13778250089 6590647.739900478, -12192.57347883031 6590647.8692606, -12192.08611461833 6590647.987546768, -12192.082721871826 6590647.988357686, -12191.501620063988 6590648.12510876, -12190.992689606943 6590648.2508726595, -12190.982404639008 6590648.2532991925, -12190.414971351875 6590648.380859124, -12189.908467973039 6590648.506023253, -12189.90107613278 6590648.507790382, -12189.340490223216 6590648.637310727, -12188.820962800646 6590648.761973488, -12188.819839258485 6590648.762241715, -12188.267143677087 6590648.893513686, -12188.259696678384 6590648.895222438, -12187.743123756727 6590649.009605185, -12187.196351046496 6590649.139470402, -12186.686919213997 6590649.265358192, -12186.67952737258 6590649.267125321, -12186.116885308867 6590649.397120724, -12186.115588394196 6590649.397418553, -12185.608325044015 6590649.513197807, -12185.037789711474 6590649.651058548, -12184.547572427133 6590649.770037162, -12184.544179681974 6590649.77084808, -12183.960960247814 6590649.908097482, -12183.492258037033 6590650.019601716, -12183.490169329196 6590650.020093886, -12182.875241679581 6590650.163599443, -12182.428121857884 6590650.267617501, -12182.0725808176 6590650.35239813, -12181.856475954119 6590650.43207744, -12181.853170943024 6590650.43328283, -12181.442061012369 6590650.581584492, -12180.81797054588 6590650.813743143, -12180.813309613035 6590650.815450698, -12180.402199757691 6590650.963752332, -12179.778109226285 6590651.195911005, -12179.773448291027 6590651.197618561, -12179.36071852954 6590651.346504548, -12178.725069768636 6590651.577991794, -12178.71883258784 6590651.580216548, -12178.322821044429 6590651.718521663, -12177.691332047498 6590651.957884166, -12177.684037167432 6590651.960584544, -12177.292248118743 6590652.102159414, -12176.635201262334 6590652.34112348, -12176.634516613434 6590652.341371918, -12176.263660018016 6590652.47563893, -12175.588088405204 6590652.721035873, -12175.25096784156 6590652.848194081, -12175.242173105671 6590652.851417588, -12174.537149610602 6590653.102361858, -12174.223088870433 6590653.221404885, -12174.216081216326 6590653.224001372, -12173.479591143858 6590653.490644378, -12173.407090187098 6590653.518906821, -12173.289644271943 6590653.589040051, -12173.281003049173 6590653.594083589, -12172.575205249103 6590653.996616665, -12172.283089466122 6590654.169108199, -12172.28112538012 6590654.1702619465, -12171.614517997934 6590654.559802272, -12171.232049733244 6590654.7836039215, -12171.223575668417 6590654.788452094, -12170.641604100536 6590655.113909115, -12170.18782533948 6590655.384884648, -12170.181120176576 6590655.388818271, -12169.680896076603 6590655.677074254, -12169.146992155831 6590655.991321694, -12169.14529541058 6590655.992315884, -12168.71908520062 6590656.24092463, -12168.717561547854 6590656.2418097835, -12168.11688865847 6590656.5893514035, -12168.105251517612 6590656.595878822, -12167.909619285434 6590656.702205053, -12167.432090829534 6590655.82358877, -12167.621860935178 6590655.7204486085))</t>
  </si>
  <si>
    <t>['FV4674 S2D1 m102-168']</t>
  </si>
  <si>
    <t>LINESTRING Z (-11720.742460152775 6591109.623653806 59.59, -11720.799585528614 6591109.651206342 59.57, -11721.12882797682 6591109.764236181 59.47, -11721.272918028466 6591109.823171095 59.43, -11721.52514223539 6591109.906095174 59.35, -11721.746250530705 6591109.99513585 59.28, -11721.901563628984 6591110.045400942 59.230000000000004, -11722.209636602085 6591110.165823995 59.14, -11722.268038590497 6591110.183430101 59.120000000000005, -11722.461860811221 6591110.248748074 59.06, -11722.674299287319 6591110.326565708 59.050000000000004, -11724.007332142966 6591110.811077621 58.99, -11727.397678047768 6591112.04493679 58.83, -11728.382852238195 6591112.403919236 58.78, -11728.643746285641 6591112.498066374 58.77, -11729.713864877878 6591112.746627907 58.72, -11730.106615799712 6591112.837478144 58.7, -11746.681994042243 6591116.5825536335 56.63, -11746.829913972237 6591116.611649267 56.620000000000005, -11747.095914524689 6591116.666010696 56.6, -11747.489942136453 6591116.746914534 56.56, -11748.030613069015 6591116.866860445 56.52, -11748.296613624902 6591116.921221875 56.49, -11748.33639937028 6591116.926328328 56.51, -11748.965311623004 6591117.067710194 56.44, -11749.162963739422 6591117.103188897 56.42, -11749.901286800101 6591117.2586135175 56.36, -11749.98952811642 6591117.280049471 56.35, -11752.696712728124 6591117.849939758 56.120000000000005, -11752.74516829924 6591117.866269262 56.120000000000005, -11753.621464894677 6591118.049512916 56.04, -11753.749491962255 6591118.076055331 56.03, -11754.123626729823 6591118.154405952 56, -11755.442406558082 6591118.434882975 55.620000000000005, -11755.492138744215 6591118.441266043 55.620000000000005, -11756.348542492487 6591118.621956482 55.57, -11756.4268373776 6591118.642115828 55.57, -11757.233508947305 6591118.816423204 55.52, -11757.361536020355 6591118.842965621 55.51, -11758.119752024591 6591119.000943495 55.47, -11758.179430649732 6591119.008603178 55.47, -11758.297511286626 6591119.03386898 55.46, -11759.052163929911 6591119.140838054 55.4, -11759.239869631361 6591119.175040154 55.39, -11759.99452228297 6591119.282009229 55.33, -11760.182227986399 6591119.316211332 55.32, -11760.945550470264 6591119.434403462 55.26, -11761.124586351856 6591119.45738251 55.25, -11761.897855281713 6591119.57685126 55.2, -11762.07689116546 6591119.599830308 55.19, -11762.830267228012 6591119.716745832 55.14, -11763.019249551406 6591119.741001496 55.13, -11763.752732746012 6591119.855363793 55.08, -11763.96160794812 6591119.882172684 55.07, -11764.645358958573 6591119.990151919 55.03, -11764.91263617872 6591120.034566932 55.01, -11765.537985180737 6591120.124940046 54.980000000000004, -11765.617556687968 6591120.135152958 54.97, -11765.858824437484 6591120.145898815 54.95, -11766.463270428416 6591120.162817017 54.88, -11766.815225618251 6591120.177659188 54.85, -11767.418395001732 6591120.204523834 54.76, -11767.770350195817 6591120.219366003 54.71, -11768.404635516403 6591120.240114051 54.63, -11768.726751397946 6591120.251126382 54.59, -11769.400822481315 6591120.276980884 54.5, -11769.683152610902 6591120.28288676 54.46, -11770.398286071955 6591120.303901279 54.370000000000005, -11770.629607396026 6591120.313370526 54.34, -11771.394473060267 6591120.340768116 54.24, -11771.586008630926 6591120.345130903 54.22, -11772.390660060686 6591120.377634953 54.120000000000005, -11772.541133262916 6591120.386837722 54.11, -11773.396793511638 6591120.415778407 54, -11773.497534519061 6591120.418598104 53.99, -11774.40292697493 6591120.453921858 53.89, -11774.453935786383 6591120.4503584895 53.88, -11775.369274692086 6591120.486958855 53.78, -11775.399114010856 6591120.4907886945 53.78, -11776.355515299656 6591120.522549082 53.68, -11777.301970159344 6591120.553032851 53.61, -11778.248425030033 6591120.583516622 53.54, -11779.203549737053 6591120.625223448 53.480000000000004, -11780.159951068927 6591120.656983835 53.42, -11780.391272420064 6591120.666453082 53.43, -11781.126298852207 6591120.690020836 53.44, -11781.297941564291 6591120.6918304 53.44, -11782.08270020585 6591120.721781229 53.45)</t>
  </si>
  <si>
    <t>POLYGON ((-11720.9900376088 6591109.187945333, -11721.2911786934 6591109.291327897, -11721.318114089854 6591109.301450305, -11721.445857741266 6591109.353699305, -11721.681304561102 6591109.4311074605, -11721.71191727814 6591109.442290168, -11721.916824205513 6591109.5248065265, -11722.055520174816 6591109.569693698, -11722.08359649347 6591109.579714313, -11722.373071709817 6591109.692867665, -11722.41235544638 6591109.704710303, -11722.427714961235 6591109.709612143, -11722.62153718196 6591109.774930117, -11722.633839147406 6591109.779255314, -11722.845689145097 6591109.856857384, -11724.178132900195 6591110.341155179, -11727.568672721782 6591111.575084875, -11728.553303075312 6591111.933869113, -11728.785663000717 6591112.017719328, -11729.826769447522 6591112.259542073, -11730.21805495362 6591112.350053334, -11746.785361055217 6591116.093304986, -11746.926414145704 6591116.121049923, -11746.930027638513 6591116.121774535, -11747.196028190965 6591116.176135964, -11747.590506842056 6591116.257132195, -11747.59823254969 6591116.258782188, -11748.13482241245 6591116.377822729, -11748.378608607174 6591116.427644301, -11748.400051640445 6591116.43039649, -11748.446064367303 6591116.438502962, -11749.064360253766 6591116.577498227, -11749.251302239949 6591116.611054454, -11749.265961483941 6591116.613912426, -11750.00428454462 6591116.769337047, -11750.019316243348 6591116.7727441415, -11750.100067969617 6591116.792360692, -11752.799710472327 6591117.360663287, -11752.856389141669 6591117.376121815, -11752.876641704419 6591117.382946919, -11753.723386576836 6591117.56001097, -11753.850992986763 6591117.586466175, -11753.851977855422 6591117.586671391, -11754.22611262299 6591117.665022012, -11754.22763995383 6591117.665344352, -11755.526380058458 6591117.941559343, -11755.55579101568 6591117.9453342045, -11755.595359998066 6591117.952036677, -11756.451763746338 6591118.132727115, -11756.473216006703 6591118.137749382, -11756.542020275476 6591118.155465087, -11757.337063265797 6591118.327259734, -11757.463037047533 6591118.353376465, -11758.202697088862 6591118.507487864, -11758.24308293151 6591118.512671341, -11758.284047950887 6591118.519670442, -11758.385012852143 6591118.541273977, -11759.122335546597 6591118.645786598, -11759.141793829456 6591118.6489371685, -11759.319801459094 6591118.68137217, -11760.064693899496 6591118.786957773, -11760.084152188687 6591118.7901083445, -11760.265311558487 6591118.8231176315, -11761.015642341232 6591118.939298139, -11761.188238628938 6591118.961450673, -11761.200929736433 6591118.9632451935, -11761.967864630225 6591119.081735345, -11762.140543441788 6591119.10389847, -11762.153567734216 6591119.105744583, -11762.900443817805 6591119.221651383, -11763.082901832928 6591119.245069659, -11763.096277262584 6591119.246970392, -11763.823085578253 6591119.360291963, -11764.025260227841 6591119.3862408465, -11764.039602307303 6591119.388293265, -11764.723353317755 6591119.496272501, -11764.727322885923 6591119.496915754, -11764.989384351933 6591119.540464034, -11765.60557315585 6591119.62951335, -11765.66058090028 6591119.636573532, -11765.876944098414 6591119.646210162, -11766.477259750098 6591119.663012757, -11766.484337018497 6591119.663261016, -11766.836292208332 6591119.678103187, -11766.837473132919 6591119.678154386, -11767.44005186947 6591119.704992725, -11767.789057344462 6591119.719710502, -11768.420982226688 6591119.740381338, -11768.421719276317 6591119.740405991, -11768.74383515786 6591119.751418321, -11768.745915182224 6591119.751493767, -11769.4156339754 6591119.777181335, -11769.693609490287 6591119.782996119, -11769.697838996719 6591119.7831024965, -11770.412972457772 6591119.804117016, -11770.418736678097 6591119.804319682, -11770.64878221141 6591119.813736703, -11771.409115991799 6591119.84097196, -11771.59739465119 6591119.845260561, -11771.606189768794 6591119.845538347, -11772.410841198554 6591119.878042397, -11772.421182459282 6591119.8785674395, -11772.564849682134 6591119.887353962, -11773.412239112242 6591119.916014907, -11773.511523824882 6591119.918793843, -11773.517027115999 6591119.918978211, -11774.395228519234 6591119.95324111, -11774.419091752174 6591119.951574074, -11774.473912617323 6591119.950757722, -11775.389251523025 6591119.987358088, -11775.4329269304 6591119.9910270125, -11775.439327232283 6591119.991848484, -11776.371861065629 6591120.022816274, -11777.318065998263 6591120.053291994, -11778.264520869747 6591120.083775765, -11778.270237427825 6591120.083992629, -11779.222753913129 6591120.1255855635, -11780.176546031775 6591120.157259303, -11780.180401674688 6591120.157402237, -11780.409509950921 6591120.166780891, -11781.136947408428 6591120.190105313, -11781.303212582914 6591120.1918581845, -11781.317010509227 6591120.192194157, -11782.101769150786 6591120.222144986, -11782.063631260915 6591121.221417472, -11781.285769270453 6591121.1917298585, -11781.121027833584 6591121.189993052, -11781.1102751779 6591121.189764012, -11780.375248745757 6591121.166196258, -11780.370821814302 6591121.16603468, -11780.141428026895 6591121.156644338, -11779.186954774204 6591121.124947979, -11779.18173733926 6591121.12474744, -11778.229470289252 6591121.083165398, -11777.28587431963 6591121.052773708, -11776.339419460737 6591121.022289938, -11775.382519047262 6591120.990513226, -11775.335461772542 6591120.986720537, -11775.32737968393 6591120.985683211, -11774.461391795921 6591120.951056175, -11774.43777100914 6591120.952706274, -11774.383434377993 6591120.953541752, -11773.480793113242 6591120.918325336, -11773.382804205818 6591120.915582668, -11773.379891858396 6591120.915492659, -11772.524231609674 6591120.886551974, -11772.51061086432 6591120.885905235, -11772.365305593488 6591120.877018531, -11771.570223802179 6591120.844901049, -11771.383087040003 6591120.840638457, -11771.376574472804 6591120.840447653, -11770.611708808563 6591120.813050063, -11770.609156789884 6591120.812952124, -11770.380717004944 6591120.803600835, -11769.670580675578 6591120.782733158, -11769.39036560193 6591120.776871526, -11769.381658697037 6591120.776613499, -11768.70862754547 6591120.750798884, -11768.38791982333 6591120.739834694, -11767.754003485532 6591120.719098716, -11767.749283609948 6591120.718922005, -11767.397328415864 6591120.704079837, -11767.396147487065 6591120.704028637, -11766.793568430207 6591120.677190284, -11766.445741594622 6591120.662522208, -11765.844835115802 6591120.645703075, -11765.83657692554 6591120.645403618, -11765.595309176024 6591120.634657761, -11765.553904402215 6591120.631084795, -11765.474332894984 6591120.620871883, -11765.46646997587 6591120.619799193, -11764.841120973853 6591120.529426079, -11764.83067225137 6591120.527803098, -11764.565378529318 6591120.483717694, -11763.890769758025 6591120.377182218, -11763.68908046629 6591120.35129563, -11763.675705034833 6591120.349394897, -11762.94889669287 6591120.236073322, -11762.76661494649 6591120.212677669, -11762.753590659255 6591120.210831557, -11762.006714588117 6591120.094924759, -11761.834203005385 6591120.072783098, -11761.821511897137 6591120.070988577, -11761.054577006666 6591119.952498426, -11760.881898193182 6591119.9303353, -11760.869042653942 6591119.928515347, -11760.105720170077 6591119.810323216, -11760.092598080682 6591119.808112216, -11759.914590447355 6591119.775677212, -11759.169698014835 6591119.6700916095, -11759.150239731816 6591119.666941039, -11758.97223210266 6591119.634506037, -11758.22733966994 6591119.528920435, -11758.192893985472 6591119.522801716, -11758.095150289533 6591119.501887425, -11758.056099742813 6591119.496875332, -11758.017764869988 6591119.490431616, -11757.259791338667 6591119.332504262, -11757.132007920127 6591119.306012359, -11757.127905118192 6591119.305143811, -11756.321233548486 6591119.130836435, -11756.302163863384 6591119.126322927, -11756.234539764948 6591119.108911092, -11755.408567382347 6591118.9346412895, -11755.378754286618 6591118.930814814, -11755.338393334076 6591118.923944576, -11754.020376832179 6591118.643629896, -11753.647498701464 6591118.565542438, -11753.519963870169 6591118.539102073, -11753.519122814312 6591118.5389269525, -11752.642826218875 6591118.355683298, -11752.585491885695 6591118.340087204, -11752.564920779025 6591118.333154751, -11749.886530372218 6591117.769325942, -11749.871498673174 6591117.765918847, -11749.790746948802 6591117.746302296, -11749.067274277078 6591117.594003836, -11748.876973122477 6591117.559844636, -11748.855646625982 6591117.5555355605, -11748.249551158377 6591117.419282995, -11748.232961354737 6591117.417153713, -11748.19649995822 6591117.411096607, -11747.930499402333 6591117.356735177, -11747.922322655779 6591117.35499279, -11747.385508013575 6591117.235902384, -11746.995575660301 6591117.155839406, -11746.731605769459 6591117.101892975, -11746.585493868775 6591117.073152978, -11746.57180066826 6591117.070259918, -11729.99642242573 6591113.325184429, -11729.993932394667 6591113.324615138, -11729.601181472834 6591113.233764901, -11728.530620479243 6591112.985100821, -11728.47402708004 6591112.968380515, -11728.213133032594 6591112.874233377, -11728.211670226934 6591112.873702929, -11727.226591275074 6591112.514755188, -11723.83643391675 6591111.280964636, -11722.50349853009 6591110.79648815, -11722.502320951135 6591110.7960584685, -11722.296005255268 6591110.72048365, -11722.11600244248 6591110.659822809, -11722.065319746202 6591110.644543793, -11722.027603737599 6591110.631510624, -11721.7334195004 6591110.516516557, -11721.592293984873 6591110.470843094, -11721.559475487955 6591110.458940856, -11721.35349122466 6591110.3759906525, -11721.116755702755 6591110.298158809, -11721.083631915431 6591110.285956971, -11720.952863866112 6591110.232470949, -11720.637234812033 6591110.124114625, -11720.58237233092 6591110.10156001, -11720.525246955081 6591110.074007474, -11720.959673350468 6591109.173300138, -11720.9900376088 6591109.187945333))</t>
  </si>
  <si>
    <t>['FV4674 S2D1 m1487-1560']</t>
  </si>
  <si>
    <t>LINESTRING Z (-12535.309547489858 6590220.969837203 14.01, -12535.052641975053 6590221.553599006 13.92, -12535.008760622179 6590221.659181426 13.91, -12534.766907727928 6590222.204433575 13.84, -12534.699303726433 6590222.337302583 13.82, -12534.469950412982 6590222.86393816 13.75, -12534.401069890591 6590223.006753711 13.73, -12534.160493509902 6590223.542059309 13.67, -12534.101559529896 6590223.68615138 13.66, -12533.85843010497 6590224.241350056 13.6, -12533.802049164893 6590224.36554904 13.59, -12533.56147277751 6590224.900854628 13.540000000000001, -12533.525250544597 6590224.946757782 13.530000000000001, -12533.4640291424 6590225.029894074 13.52, -12533.10792379314 6590225.520041777 13.44, -12533.03292628564 6590225.6317411745 13.42, -12532.679373976076 6590226.101995787 13.36, -12532.593153404014 6590226.222365208 13.34, -12532.248271115648 6590226.703842879 13.280000000000001, -12532.16205054312 6590226.824212299 13.26, -12531.805945189204 6590227.314359987 13.200000000000001, -12531.721001137106 6590227.424782861 13.19, -12531.462339418475 6590227.78589111 13.15, -12531.413617600163 6590227.8504108265 13.14, -12531.303674378083 6590227.9980668295 13.13, -12531.289898272546 6590228.026629936 13.13, -12530.911346786888 6590228.534117662 13.08, -12530.87767759501 6590228.56012773 13.08, -12530.811615732266 6590228.602201317 13.06, -12530.315513499954 6590228.922726515 12.98, -12530.17344323214 6590229.0055971695 12.950000000000001, -12529.753349407692 6590229.2853252925 12.89, -12529.55388729932 6590229.421492601 12.85, -12529.179962253547 6590229.656594087 12.8, -12528.926937868644 6590229.816218419 12.76, -12528.60529858066 6590230.03780942 12.71, -12528.319881526579 6590230.213497269 12.67, -12528.0107418244 6590230.416471709 12.63, -12527.70287864434 6590230.609499599 12.59, -12527.414908549807 6590230.805080529 12.56, -12527.095822306932 6590231.006778441 12.52, -12526.797905671177 6590231.201082851 12.49, -12526.488765972608 6590231.404057275 12.450000000000001, -12526.179626274272 6590231.607031702 12.43, -12526.05872561637 6590231.682508853 12.41, -12525.855699576787 6590231.767666915 12.39, -12525.534325922898 6590231.908409043 12.35, -12525.181836121832 6590232.055268146 12.3, -12524.871685533668 6590232.18734025 12.27, -12524.507972671185 6590232.342869372 12.23, -12524.207768627151 6590232.4762179945 12.200000000000001, -12523.84405576688 6590232.631747116 12.16, -12523.523958640406 6590232.762542695 12.13, -12523.170192324906 6590232.919348335 12.1, -12522.827649074141 6590233.067483951 12.08, -12522.486382345553 6590233.205673024 12.05, -12522.121392970264 6590233.371148683 12.02, -12521.801295849029 6590233.501944254 12, -12521.395243787498 6590233.6722603645 11.97, -12521.192217757343 6590233.757418419 11.96, -12521.1100923802 6590233.767099329 11.94, -12518.206875489384 6590234.173004008 11.66, -12513.143399891269 6590234.867845466 11.17, -12512.967926090176 6590234.895877306 11.16, -12511.558018715237 6590235.089015884 11.06, -12511.2693034056 6590235.132845612 11.05, -12505.222080016916 6590236.166511303 10.66, -12499.184486315644 6590237.676599848 10.26, -12497.333529863623 6590238.470308612 10.14, -12490.756381254294 6590241.033401723 9.69, -12487.68748317723 6590242.651507103 9.47, -12484.001530880632 6590245.059911949 9.19, -12478.256121490034 6590249.25641297 8.74, -12471.75903300324 6590253.9529554695 8.23)</t>
  </si>
  <si>
    <t>POLYGON ((-12535.512368193766 6590221.750267641, -12535.470471730017 6590221.851074242, -12535.465816034734 6590221.861913638, -12535.223963140483 6590222.407165787, -12535.2125413484 6590222.4311728, -12535.151733413772 6590222.550684808, -12534.928363984278 6590223.063580334, -12534.920306346014 6590223.081146663, -12534.854360535026 6590223.217877439, -12534.620051185964 6590223.739238289, -12534.564347386777 6590223.875432651, -12534.559568494258 6590223.886720043, -12534.316439069333 6590224.441918719, -12534.313714296444 6590224.448029288, -12534.257722821112 6590224.571370338, -12534.017532670785 6590225.105816511, -12533.999237224001 6590225.142437511, -12533.978007317955 6590225.177439111, -12533.953985262577 6590225.210586688, -12533.922923804606 6590225.249949775, -12533.867595751324 6590225.325083127, -12533.51787586308 6590225.806441804, -12533.448037985367 6590225.910456579, -12533.432574640141 6590225.932209464, -12533.082491470666 6590226.397849825, -12532.99963259567 6590226.5135261025, -12532.65475030326 6590226.995003779, -12532.5685297319 6590227.115373198, -12532.566562096159 6590227.118100719, -12532.210456742243 6590227.608248407, -12532.202251321418 6590227.619222988, -12532.12251073249 6590227.722881629, -12531.868818603141 6590228.077052015, -12531.861351630376 6590228.087203664, -12531.813647733352 6590228.150375401, -12531.730030401643 6590228.262675193, -12531.717425146317 6590228.285899626, -12531.690679435897 6590228.32558555, -12531.31212795024 6590228.833073276, -12531.28339734824 6590228.868151164, -12531.25160714272 6590228.9004820855, -12531.217018764357 6590228.929800164, -12531.183349572479 6590228.955810231, -12531.146270815803 6590228.981859495, -12531.081584110032 6590229.023057271, -12530.586851384474 6590229.342697647, -12530.567440692652 6590229.354620818, -12530.438200612523 6590229.430007528, -12530.032873696082 6590229.699902801, -12529.835796513706 6590229.834441986, -12529.820024096993 6590229.8447787985, -12529.446421253473 6590230.079677704, -12529.202274720434 6590230.233701305, -12528.888966191182 6590230.449552893, -12528.867397699305 6590230.463607555, -12528.588200396172 6590230.635466849, -12528.28516596745 6590230.834432699, -12528.276347974052 6590230.840091081, -12527.976233400042 6590231.028260654, -12527.695829035896 6590231.21870316, -12527.682065762252 6590231.227723433, -12527.365986924151 6590231.427520331, -12527.071690701554 6590231.619463469, -12526.763190102938 6590231.822018273, -12526.454050408267 6590232.024992699, -12526.444409363501 6590232.031166015, -12526.3235087056 6590232.106643166, -12526.288559996705 6590232.126554074, -12526.252123931727 6590232.143591375, -12526.0526998862 6590232.227238602, -12525.734904173421 6590232.366413809, -12525.7266206201 6590232.369952919, -12525.375933754503 6590232.516060858, -12525.067926620091 6590232.647220211, -12524.707763140508 6590232.801231563, -12524.410742021815 6590232.933166351, -12524.404356791423 6590232.93594954, -12524.040643931152 6590233.091478662, -12524.033182352243 6590233.0945982095, -12523.71986993677 6590233.222621473, -12523.372804145234 6590233.37645713, -12523.36865783868 6590233.378272555, -12523.026114587916 6590233.526408171, -12523.015312313473 6590233.53093029, -12522.683525504297 6590233.665280661, -12522.327851159267 6590233.826533154, -12522.310519549048 6590233.833999779, -12521.992562357178 6590233.963920949, -12521.588642096507 6590234.133342888, -12521.385616065949 6590234.218500944, -12521.341831483685 6590234.234509326, -12521.296746244818 6590234.246370151, -12521.250752294725 6590234.253980307, -12521.173983383258 6590234.263029799, -12518.276108125381 6590234.668187653, -12518.274851539438 6590234.668361713, -12513.216834143595 6590235.362454163, -12513.046800710903 6590235.389616908, -12513.035785701337 6590235.391250976, -12511.629474758625 6590235.583896891, -12511.348954934969 6590235.626482466, -12505.325009894419 6590236.656169135, -12499.344695705597 6590238.151931255, -12497.530582155348 6590238.929841412, -12497.515079850193 6590238.936183705, -12490.96442700215 6590241.488951505, -12487.941385288565 6590243.082878686, -12484.28592754923 6590245.471358358, -12478.55103506664 6590249.660177731, -12478.549038926838 6590249.66162819, -12472.051950440044 6590254.35817069, -12471.466115566436 6590253.547740249, -12477.962204160225 6590248.85192054, -12483.706617304026 6590244.656147188, -12483.7280367443 6590244.641341814, -12487.413989040897 6590242.232936968, -12487.454283206036 6590242.209220122, -12490.5231812831 6590240.591114742, -12490.574831267724 6590240.56752663, -12497.144175594494 6590238.007474822, -12498.987434023918 6590237.217067048, -12499.024789369287 6590237.202788825, -12499.063166321239 6590237.191541647, -12505.100760022511 6590235.681453101, -12505.137835733613 6590235.673659499, -12511.185059122296 6590234.639993808, -12511.194258475427 6590234.638509433, -12511.482973785065 6590234.594679705, -12511.490159104076 6590234.593642214, -12512.894549882487 6590234.401259337, -12513.064525270542 6590234.374105865, -12513.075423841216 6590234.372487761, -12518.138270872294 6590233.677732559, -12521.040859744204 6590233.271915684, -12521.051557842819 6590233.270537442, -12521.063753079105 6590233.269099872, -12521.201845478892 6590233.21117784, -12521.60789754002 6590233.04086173, -12521.612169270245 6590233.039093158, -12521.923530121014 6590232.911867334, -12522.27992415655 6590232.750288554, -12522.29871910622 6590232.742226685, -12522.634558233356 6590232.60623541, -12522.969649536033 6590232.461322449, -12523.321346820077 6590232.3054339, -12523.334832055043 6590232.299691602, -12523.651185756955 6590232.170425632, -12524.007978183414 6590232.017855792, -12524.30499927652 6590231.885921015, -12524.311384507924 6590231.883137827, -12524.675097370407 6590231.727608705, -12524.675791001388 6590231.727312716, -12524.985941589552 6590231.595240612, -12524.98954142463 6590231.59372427, -12525.337873478615 6590231.448597425, -12525.655121326263 6590231.309662149, -12525.662301261431 6590231.306584394, -12525.828145145944 6590231.237022165, -12525.909987316549 6590231.185928863, -12526.214341838613 6590230.986096278, -12526.523481540848 6590230.783121852, -12526.524760980055 6590230.782284597, -12526.82267761581 6590230.5879801875, -12526.828665094486 6590230.584135538, -12527.140795466908 6590230.386834508, -12527.421958158251 6590230.195876968, -12527.43727249469 6590230.185880226, -12527.740697037618 6590229.995635328, -12528.045457383529 6590229.795536279, -12528.057782407934 6590229.787699134, -12528.332234237392 6590229.618760906, -12528.643270258122 6590229.404474947, -12528.660157108627 6590229.39333779, -12528.91318149353 6590229.233713458, -12528.913825455875 6590229.23330789, -12529.279766820116 6590229.0032260595, -12529.471440193307 6590228.872375907, -12529.476228719743 6590228.869147297, -12529.89632254419 6590228.589419174, -12529.921516039441 6590228.573702866, -12530.053745116586 6590228.496572652, -12530.540277847746 6590228.182230185, -12530.543022511472 6590228.180469552, -12530.558910384312 6590228.170350857, -12530.8636452532 6590227.761822, -12530.876035693283 6590227.738981602, -12530.902635420583 6590227.699457127, -12531.012578642663 6590227.551801124, -12531.014605388262 6590227.549098273, -12531.0595297541 6590227.489607321, -12531.31452195244 6590227.133621956, -12531.324695004892 6590227.11991986, -12531.405461149134 6590227.01492805, -12531.756550562248 6590226.531684363, -12531.841791926869 6590226.41268198, -12532.186674216402 6590225.931204308, -12532.272894784419 6590225.810834892, -12532.279725621574 6590225.801527497, -12532.62525587433 6590225.341942903, -12532.692812093414 6590225.241326372, -12532.703412234292 6590225.226153364, -12533.059517583551 6590224.736005662, -12533.061415858425 6590224.733410443, -12533.122637260622 6590224.650274151, -12533.13062073635 6590224.63980285, -12533.345989271618 6590224.160587156, -12533.34676497342 6590224.158869808, -12533.401763088747 6590224.037716985, -12533.641091937712 6590223.491197121, -12533.697705653021 6590223.352778038, -12533.70443361303 6590223.337097433, -12533.945009993718 6590222.801791836, -12533.95071395756 6590222.789545208, -12534.015395885584 6590222.655434942, -12534.240890155137 6590222.137660409, -12534.253670105962 6590222.110563358, -12534.315243977866 6590221.989545976, -12534.549313422627 6590221.461841446, -12534.590930867214 6590221.36170619, -12534.59499900253 6590221.352196648, -12534.851904517334 6590220.768434845, -12535.767190462382 6590221.1712395605, -12535.512368193766 6590221.750267641))</t>
  </si>
  <si>
    <t>['FV4674 S2D1 m1013-1140']</t>
  </si>
  <si>
    <t>LINESTRING Z (-12441.173770890746 6590601.767168112 8.02, -12437.935028788168 6590610.774358383 8.08, -12437.54211383767 6590611.866401699 8.09, -12437.43036152114 6590612.185701101 8.09, -12436.329433645005 6590615.249390244 8.11, -12435.716897092992 6590616.555895395 8.120000000000001, -12435.438819536415 6590617.147048677 8.120000000000001, -12433.549934572191 6590621.150976457 8.15, -12433.449671317823 6590621.380757106 8.16, -12432.004178479081 6590624.450775358 8.18, -12431.470469459542 6590625.615741896 8.19, -12431.41536456527 6590625.72999393 8.21, -12431.402864907926 6590625.748610414 8.22, -12431.346483447007 6590625.872808976 8.22, -12429.620093716425 6590629.634722086 8.21, -12429.29430458066 6590630.361296929 8.2, -12428.650385695742 6590631.754767447 8.2, -12428.439912616392 6590632.213052118 8.2, -12428.19933395012 6590632.748355853 8.2, -12428.101623804541 6590632.958243422 8.2, -12427.849822043034 6590633.502217111 8.2, -12427.750835329061 6590633.722051202 8.2, -12427.62557273038 6590633.989064783 8.2, -12427.49291674071 6590634.234908746 8.2, -12427.372760409606 6590634.462136224 8.2, -12427.135000880167 6590634.896698134 8.19, -12426.976069004275 6590635.1897215815 8.19, -12426.765861924563 6590635.567157476 8.19, -12426.569431070064 6590635.916030364 8.19, -12426.39544639783 6590636.247563336 8.19, -12426.183962747455 6590636.634945749 8.19, -12426.012531208165 6590636.946585668 8.19, -12425.78727132926 6590637.362531085 8.19, -12425.628339446732 6590637.655554523 8.19, -12425.39185647358 6590638.080169893 8.19, -12425.232924589829 6590638.373193324 8.19, -12424.99771818181 6590638.787862166 8.18, -12424.825010069238 6590639.109448599 8.18, -12424.612249842263 6590639.506777522 8.18, -12424.413265841082 6590639.875543442 8.18, -12424.218111542345 6590640.214469783 8.18, -12423.980351992243 6590640.649031661 8.18, -12423.847695989476 6590640.894875602 8.18, -12423.832643194008 6590640.933385131 8.18, -12423.78620824014 6590641.058860234 8.18, -12423.768602308468 6590641.117262812 8.18, -12423.576479650219 6590641.668895853 8.18, -12423.561426854518 6590641.707405379 8.18, -12423.290210508741 6590642.481425623 8.19, -12423.273881144647 6590642.529881676 8.19, -12423.007771064702 6590643.2641158225 8.19, -12422.975112335873 6590643.361027923 8.19, -12422.863359919924 6590643.680327226 8.2, -12422.76256457268 6590644.071805332 8.2, -12422.722246433259 6590644.228396574 8.2, -12422.553314463003 6590644.914440682 8.21, -12422.494113819965 6590645.139381019 8.21, -12422.342787776317 6590645.767022554 8.22, -12422.264704628265 6590646.060311987 8.22, -12422.132261082064 6590646.619604418 8.22, -12422.032742290816 6590647.00113599 8.23, -12421.986041303084 6590647.20745985 8.23, -12421.806205804285 6590647.427027884 8.23, -12421.576371662319 6590647.721061831 8.23, -12421.29781544552 6590648.079615166 8.24, -12421.056758210529 6590648.382319064 8.24, -12420.778201992507 6590648.740872395 8.25, -12420.53714475676 6590649.043576289 8.25, -12420.25858853804 6590649.402129612 8.25, -12420.016254732443 6590649.714780027 8.26, -12419.738975081127 6590650.063386825 8.26, -12419.497917843633 6590650.366090713 8.27, -12419.22063819156 6590650.714697505 8.27, -12418.978304384276 6590651.027347912 8.27, -12418.701024731039 6590651.375954703 8.28, -12418.49363676802 6590651.652648719 8.28, -12418.45869092294 6590651.688605103 8.28, -12418.11816845357 6590651.978543293 8.28, -12417.843707968073 6590652.226408276 8.290000000000001, -12417.4894092693 6590652.544909457 8.290000000000001, -12417.227448445512 6590652.77415796 8.3, -12416.86192665511 6590653.101329091 8.3, -12416.611188923824 6590653.321907636 8.3, -12416.234444041911 6590653.657748717 8.31, -12416.006152494927 6590653.860987352 8.31, -12415.618184521969 6590654.20549838 8.32, -12415.423562250799 6590654.382727156 8.32, -12415.381223021599 6590654.397513925 8.32, -12414.875439381169 6590654.635910843 8.32, -12414.638743914955 6590654.747077632 8.32, -12414.079397957481 6590655.008931267 8.33, -12413.907487905002 6590655.087971378 8.33, -12413.304526154127 6590655.374558296 8.34, -12413.176231900405 6590655.428865119 8.34, -12412.530930925452 6590655.730238801 8.35, -12412.498538219661 6590655.746302137 8.35, -12412.454922422476 6590655.771035425 8.35, -12411.801962035184 6590656.132088235 8.35, -12411.759622807731 6590656.146874999 8.35, -12411.074269718782 6590656.523991139 8.36, -12410.987038125459 6590656.573457714 8.36, -12410.530987115053 6590656.818237456 8.370000000000001, -12410.346577407094 6590656.915894035 8.370000000000001, -12409.998927605397 6590657.103813814 8.38, -12409.628831621609 6590657.309073497 8.38, -12409.510483894148 6590657.364656883 8.38, -12409.44186877599 6590657.426623118 8.38, -12408.989115409611 6590657.8032607725 8.39, -12408.797046285763 6590657.960596482 8.39, -12408.36673910357 6590658.319894225 8.4, -12408.139724136388 6590658.513186309 8.4, -12407.74308622937 6590658.846474192 8.41, -12407.459955805738 6590659.083116032 8.42, -12407.120709926181 6590659.363107628 8.42, -12406.757741294277 6590659.6703856485 8.43, -12406.487110532995 6590659.888411011 8.43, -12406.181533928495 6590660.142392745 8.44, -12406.038186881982 6590660.235209071 8.44, -12405.827501287567 6590660.380045109 8.44, -12405.365067444567 6590660.67455742 8.45, -12405.144435329887 6590660.818116887 8.45, -12404.68072491954 6590661.122575713 8.46, -12404.460092806083 6590661.266135174 8.46, -12403.975212785299 6590661.577987378 8.47, -12403.765803764225 6590661.712876884 8.47, -12403.258477563562 6590662.042068987 8.48, -12403.08146124665 6590662.160895161 8.48, -12402.519296163577 6590662.5234904885 8.49, -12402.387172211369 6590662.607636856 8.49, -12401.758945155365 6590663.012305363 8.5, -12401.691606609325 6590663.064325068 8.5, -12400.997317580914 6590663.51106675 8.51, -12400.306113778905 6590663.776217912 8.52, -12400.221435332904 6590663.805791434 8.52, -12399.616186551866 6590664.03142255 8.53, -12399.445553090714 6590664.100516112 8.53, -12398.903813148208 6590664.303967085 8.540000000000001, -12398.680893945799 6590664.386570835 8.540000000000001, -12398.191439750022 6590664.576511611 8.55, -12397.905011715775 6590664.681295504 8.55, -12397.469119836402 6590664.847779566 8.56, -12397.140352583025 6590664.967350213 8.56, -12396.735576837964 6590665.127717463 8.57, -12396.364470365632 6590665.262074868 8.57, -12395.982140804117 6590665.405102221 8.58, -12395.59853467415 6590665.55807609 8.58, -12395.217481686384 6590665.691156917 8.59, -12394.823929039296 6590665.842854215 8.59, -12394.440322913812 6590665.995828082 8.6, -12394.259742941824 6590666.063645064 8.6, -12394.040653461008 6590666.116409247 8.6, -12393.697099461395 6590666.193640662 8.61, -12393.237750893692 6590666.3065623995 8.61, -12392.965099105262 6590666.382783287 8.620000000000001, -12392.433571762522 6590666.506662074 8.620000000000001, -12392.214482286188 6590666.559426252 8.63, -12391.639339158253 6590666.708038311 8.63, -12391.451365813205 6590666.754685681 8.64, -12390.835160041926 6590666.908137973 8.64, -12390.679579397605 6590666.938722014 8.64, -12390.032257502957 6590667.098291117 8.65, -12389.896569898934 6590667.131428296 8.65, -12389.228078400949 6590667.298390771 8.66, -12389.10233731725 6590667.332804523 8.66, -12388.4238993061 6590667.498490424 8.67, -12388.288211704465 6590667.531627603 8.68, -12387.60977369931 6590667.697313502 8.68, -12387.45291649038 6590667.737844061 8.69, -12386.795648100087 6590667.896136579 8.69, -12386.58650515665 6590667.950177322 8.700000000000001, -12385.980245937768 6590668.104906169 8.700000000000001, -12385.698924223485 6590668.169903953 8.71, -12385.33292407723 6590668.264475251 8.71, -12385.16867349454 6590668.283836197 8.71, -12384.850118848553 6590668.323834663 8.72, -12384.3361974961 6590668.389310879 8.72, -12384.047482409282 6590668.433139055 8.73, -12383.502444935497 6590668.50473208 8.74, -12383.430266164243 6590668.515689123 8.74, -12383.256069066701 6590668.5337735 8.74, -12383.081871969043 6590668.551857876 8.74, -12382.669968953065 6590668.6102067605 8.75, -12382.41236999794 6590668.647918126 8.75, -12381.837492978957 6590668.715681437 8.76, -12381.560000989644 6590668.750839663 8.76, -12380.99379392434 6590668.82982606 8.77, -12380.675239294418 6590668.869824519 8.77, -12380.151371448708 6590668.934024162 8.78, -12379.749414964637 6590668.993649613 8.78, -12379.307672410563 6590669.048168782 8.790000000000001, -12378.813644127338 6590669.116198132 8.790000000000001, -12378.465782043233 6590668.99066945 8.8, -12378.321690555662 6590668.931734821 8.8, -12378.14775951422 6590668.868970479 8.8, -12377.712931911985 6590668.712059629 8.81, -12377.635912909871 6590668.681954031 8.81, -12377.008537805348 6590668.449779184 8.82, -12376.902955820551 6590668.405897357 8.82, -12376.820830537123 6590668.415577832 8.82, -12376.578284399351 6590668.414779694 8.82, -12376.152871231607 6590668.420842845 8.83, -12376.001120325003 6590668.421587326 8.83, -12375.979950719455 6590668.428980701 8.83, -12375.371670526394 6590668.441905137 8.84, -12375.260982262145 6590668.4378093835 8.84, -12375.219919621304 6590668.442649618 8.84, -12375.129124392697 6590668.441106999 8.84, -12374.408879372233 6590668.459882198 8.85, -12374.286968021304 6590668.46445639 8.85, -12374.18622627575 6590668.461637206 8.85, -12373.426195194072 6590668.475306121 8.86, -12373.010728559748 6590668.482645841 8.870000000000001, -12372.990835524863 6590668.4800927 8.870000000000001, -12371.886240016087 6590668.500090813 8.88, -12371.48071990651 6590668.508707101 8.88, -12370.953288453107 6590668.521897583 8.89, -12366.446876920236 6590668.893902674 8.950000000000001)</t>
  </si>
  <si>
    <t>POLYGON ((-12438.405536494252 6590610.943540234, -12438.013324928514 6590612.033628635, -12437.902291839491 6590612.350873056, -12437.900903054124 6590612.354788846, -12436.79997517799 6590615.418477989, -12436.782148162365 6590615.461639074, -12436.169611610352 6590616.768144225, -12436.169339529732 6590616.768723591, -12435.891261973155 6590617.359876874, -12435.89102488282 6590617.360380167, -12434.0052719227 6590621.357668941, -12433.907944417495 6590621.580721518, -12433.902036471944 6590621.593749517, -12432.457656949871 6590624.661403245, -12431.92503644507 6590625.823993801, -12431.920824355102 6590625.83295255, -12431.86571946083 6590625.947204583, -12431.846948562596 6590625.979962483, -12431.801766655586 6590626.079490374, -12431.800916082351 6590626.081353887, -12430.075436293086 6590629.841284176, -12429.7505397468 6590630.565868367, -12429.748187724801 6590630.571035079, -12429.104514113333 6590631.963974813, -12428.89513579367 6590632.419875751, -12428.65539285226 6590632.953319943, -12428.652621788173 6590632.959377501, -12428.555140983264 6590633.168772432, -12428.304663746707 6590633.709884716, -12428.206748438162 6590633.9273393825, -12428.203499635823 6590633.934407095, -12428.078237037142 6590634.201420676, -12428.065600052316 6590634.226500997, -12427.93394166906 6590634.470496152, -12427.814767386337 6590634.69586648, -12427.811399873517 6590634.702126684, -12427.574078800086 6590635.135887211, -12427.415582477803 6590635.428107627, -12427.412891679416 6590635.4330032095, -12427.202684599704 6590635.810439104, -12427.20154834375 6590635.812468186, -12427.00873873169 6590636.154909532, -12426.838183891832 6590636.479906856, -12426.834306453258 6590636.487150172, -12426.622822802883 6590636.874532585, -12426.622053139576 6590636.875937053, -12426.451413840372 6590637.186136784, -12426.226936739271 6590637.6006367905, -12426.067852912913 6590637.893940582, -12426.065162115388 6590637.898836162, -12425.830038218168 6590638.321011253, -12425.672438052701 6590638.611579388, -12425.667833346475 6590638.619880116, -12425.435478427915 6590639.029521783, -12425.265649412151 6590639.345747272, -12425.05303348246 6590639.742806721, -12425.052277149243 6590639.744213765, -12424.853293148062 6590640.112979684, -12424.846568837718 6590640.125039961, -12424.654134583676 6590640.459242375, -12424.419689045611 6590640.887747112, -12424.302248153836 6590641.1053937385, -12424.299985509728 6590641.111182256, -12424.26047892658 6590641.217935729, -12424.247322903539 6590641.261577024, -12424.240784190333 6590641.281714235, -12424.048661532084 6590641.833347276, -12424.04216728013 6590641.850926156, -12424.030354352957 6590641.881147136, -12423.76307210288 6590642.6439399235, -12423.747699980242 6590642.68955544, -12423.743959391402 6590642.700253158, -12423.479780226158 6590643.429159647, -12423.448931168663 6590643.520701696, -12423.447042592485 6590643.526200054, -12423.342286749616 6590643.82550873, -12423.246772367858 6590644.196476143, -12423.207112681794 6590644.350510024, -12423.038812116014 6590645.033989957, -12423.036848653775 6590645.041699027, -12422.978969037109 6590645.261619957, -12422.828859535648 6590645.884215748, -12422.825957445539 6590645.8956579715, -12422.749654378214 6590646.182261214, -12422.61880521527 6590646.7348207645, -12422.616073182066 6590646.745802088, -12422.518608934983 6590647.119457022, -12422.473705001245 6590647.31784154, -12422.461388871809 6590647.36252335, -12422.444988268595 6590647.40587276, -12422.424644115546 6590647.447517287, -12422.400531221923 6590647.487099095, -12422.372856780374 6590647.524278074, -12422.196631269093 6590647.739438536, -12421.970762664594 6590648.028399248, -12421.69266151999 6590648.386366821, -12421.688945920047 6590648.39109061, -12421.449760675578 6590648.691443784, -12421.173048064782 6590649.0476240525, -12421.16933246469 6590649.052347842, -12420.930147214089 6590649.3527010195, -12420.653606393289 6590649.708660153, -12420.41144406041 6590650.02108934, -12420.407566858701 6590650.026027228, -12420.130287207385 6590650.374634026, -12419.889139534493 6590650.677451612, -12419.613904403268 6590651.0234879535, -12419.373493707233 6590651.333657231, -12419.369616506649 6590651.338595117, -12419.096808455331 6590651.681580037, -12418.89372874686 6590651.952526041, -12418.85219278529 6590652.001127674, -12418.81724694021 6590652.037084058, -12418.782835705275 6590652.069302043, -12418.447869670237 6590652.354509202, -12418.178825177292 6590652.597483007, -12418.17797710263 6590652.598247146, -12417.823678403856 6590652.916748327, -12417.818688240986 6590652.9211744685, -12417.558832490424 6590653.148580769, -12417.195395018438 6590653.473886269, -12417.192180977327 6590653.476738311, -12416.942675209735 6590653.696233075, -12416.567155102486 6590654.030982357, -12416.338620174161 6590654.234437807, -12416.338146285607 6590654.234859153, -12415.952518328366 6590654.577292274, -12415.760209946362 6590654.752413955, -12415.72135452254 6590654.784373472, -12415.679484065251 6590654.812266474, -12415.635022497128 6590654.835810553, -12415.588419974552 6590654.854767336, -12415.570757164516 6590654.860935986, -12415.088616848165 6590655.088188819, -12415.087994530613 6590655.08848162, -12414.8512990644 6590655.199648409, -12414.850735300117 6590655.1999127595, -12414.291389342643 6590655.461766395, -12414.288266758811 6590655.463215126, -12414.119250108968 6590655.54092492, -12413.519164601013 6590655.826144763, -12413.499432856781 6590655.835005228, -12413.379541519469 6590655.885755106, -12412.747816312723 6590656.180788523, -12412.733105635722 6590656.188083453, -12412.701562071605 6590656.205970919, -12412.69687136365 6590656.208597661, -12412.04391097636 6590656.56965047, -12412.006094565346 6590656.5885199495, -12411.966819718726 6590656.604128428, -12411.96399572816 6590656.605114693, -12411.31812143959 6590656.9605075875, -12411.233677773314 6590657.0083932085, -12411.223499062453 6590657.014009897, -12410.767448052047 6590657.258789638, -12410.764983210242 6590657.260103756, -12410.58245954122 6590657.356761559, -12410.239067421358 6590657.542379876, -12409.871337763878 6590657.7463271655, -12409.84138675456 6590657.761644281, -12409.790383536694 6590657.785598536, -12409.776985961264 6590657.797697871, -12409.761631762869 6590657.811007863, -12409.30887839649 6590658.187645517, -12409.30596132968 6590658.190053564, -12409.115708700709 6590658.34590127, -12408.68905144731 6590658.702151396, -12408.463868886734 6590658.893883276, -12408.461383573707 6590658.895985481, -12408.064745666688 6590659.229273365, -12408.063737719465 6590659.230118066, -12407.780607295834 6590659.466759906, -12407.77822420959 6590659.468739194, -12407.441388413716 6590659.746741663, -12407.080804748886 6590660.052000644, -12407.07142111312 6590660.059750479, -12406.803767841846 6590660.275377117, -12406.501131689225 6590660.526914879, -12406.453288241699 6590660.562094536, -12406.31574242815 6590660.651154599, -12406.110752010243 6590660.792075482, -12406.096092356802 6590660.801778245, -12405.635715674143 6590661.094980403, -12405.417993843854 6590661.236646224, -12404.955146924096 6590661.540538108, -12404.953417476972 6590661.541668506, -12404.732785363514 6590661.685227967, -12404.730559732352 6590661.686667743, -12404.24582722483 6590661.998425074, -12404.03726662347 6590662.132768076, -12403.533911946828 6590662.45938315, -12403.360133661814 6590662.576035722, -12403.352476219176 6590662.581074747, -12402.790311136103 6590662.943670074, -12402.787887220742 6590662.945223631, -12402.656850183675 6590663.02867777, -12402.047688236225 6590663.421065608, -12401.997276545515 6590663.4600091465, -12401.962162370803 6590663.48480049, -12401.26787334239 6590663.931542171, -12401.223326886453 6590663.957071003, -12401.176397291 6590663.9778969735, -12400.48519348899 6590664.243048136, -12400.470971445508 6590664.248258112, -12400.39120953226 6590664.276114559, -12399.797379234953 6590664.497488971, -12399.633213964296 6590664.563963408, -12399.621340902577 6590664.568595854, -12399.07960096007 6590664.772046827, -12399.077546305762 6590664.772813317, -12398.85821598639 6590664.85408719, -12398.372329851345 6590665.042643322, -12398.36322060918 6590665.046076662, -12398.080110830439 6590665.149646638, -12397.64751982795 6590665.314869967, -12397.640015248275 6590665.317667594, -12397.31791941533 6590665.4348118855, -12396.919743545728 6590665.592564345, -12396.905787600097 6590665.597853929, -12396.537175539948 6590665.731308243, -12396.162359604741 6590665.87152479, -12395.783740844003 6590666.022509804, -12395.763392326066 6590666.0301162945, -12395.389869970202 6590666.160567086, -12395.00645382869 6590666.308357205, -12394.625529083583 6590666.460261796, -12394.61611071277 6590666.4639078295, -12394.435530740782 6590666.5317248115, -12394.376812683204 6590666.549746571, -12394.157723202388 6590666.602510754, -12394.150317336629 6590666.604234866, -12393.811623418711 6590666.680373728, -12393.364771051833 6590666.790223522, -12393.099714887248 6590666.864321023, -12393.078588571596 6590666.869733121, -12392.548852906106 6590666.993194336, -12392.33556913931 6590667.044560302, -12391.764426542919 6590667.192138659, -12391.75976616481 6590667.193318989, -12391.571991348455 6590667.239917092, -12390.955983800424 6590667.393320021, -12390.931604219155 6590667.398748329, -12390.787698148726 6590667.4270373825, -12390.151928474901 6590667.583758786, -12390.150879661862 6590667.584016125, -12390.016460894429 6590667.616843432, -12389.354668241998 6590667.782132804, -12389.234326953052 6590667.8150687, -12389.220959481408 6590667.81852953, -12388.542521470259 6590667.984215431, -12388.406833865338 6590668.017352611, -12387.731633882782 6590668.182247731, -12387.578003872042 6590668.221944409, -12387.569986219056 6590668.223945572, -12386.916734930128 6590668.381270636, -12386.711592535283 6590668.434277671, -12386.710151210109 6590668.43464781, -12386.103891991226 6590668.589376656, -12386.092802924946 6590668.592072387, -12385.817766194365 6590668.655618061, -12385.458011454499 6590668.7485756, -12385.391456070112 6590668.761037438, -12385.22908631735 6590668.780176683, -12384.912860967162 6590668.819882677, -12384.405324456447 6590668.8845454315, -12384.122524799297 6590668.92747562, -12384.112600200211 6590668.928880594, -12383.572532088652 6590668.999820871, -12383.5053085516 6590669.010025689, -12383.481896482172 6590669.01301629, -12383.30769938463 6590669.031100666, -12383.142772419511 6590669.048222658, -12382.741246510785 6590669.105101555, -12382.484795830884 6590669.142644817, -12382.470901992081 6590669.144480313, -12381.898183849511 6590669.2119891485, -12381.625968116734 6590669.246478872, -12381.062875434316 6590669.32503081, -12381.056085961705 6590669.325930587, -12380.737531331784 6590669.365929047, -12380.736058945797 6590669.366111704, -12380.218475162565 6590669.429541239, -12379.822781212519 6590669.488237718, -12379.810659496916 6590669.489884545, -12379.372401870998 6590669.54397361, -12378.881852151813 6590669.61152395, -12378.83374434371 6590669.61579395, -12378.785448993067 6590669.615402534, -12378.737416713637 6590669.610353352, -12378.69009566467 6590669.600693516, -12378.643927369372 6590669.586513156, -12378.296065285267 6590669.460984474, -12378.276498330293 6590669.453456308, -12378.142111389961 6590669.39849092, -12377.978042753499 6590669.339285502, -12377.543215155692 6590669.182374654, -12377.530901469114 6590669.177747205, -12377.458115625523 6590669.1492962865, -12376.835003084547 6590668.9186989, -12376.826049920724 6590668.915183266, -12376.819185214 6590668.915575124, -12376.581024702333 6590668.914791418, -12376.159996699178 6590668.92079207, -12376.15532417142 6590668.920836828, -12376.063464748619 6590668.9212874845, -12376.0428652565 6590668.925006669, -12375.990572074716 6590668.928867875, -12375.382291881655 6590668.941792311, -12375.353181878925 6590668.94156319, -12375.281123598548 6590668.938896846, -12375.278451593209 6590668.939211807, -12375.211425805486 6590668.942577467, -12375.131393279938 6590668.941217708, -12374.424768227924 6590668.9596378645, -12374.305715149228 6590668.964104812, -12374.272981366432 6590668.964260725, -12374.183727062202 6590668.961763009, -12373.435186079178 6590668.975225278, -12373.019560286451 6590668.982567836, -12372.979734975592 6590668.980375606, -12371.896076063382 6590668.999994673, -12371.49228092351 6590669.00857431, -12370.980128376927 6590669.021382683, -12366.488012090598 6590669.392207699, -12366.405741749873 6590668.39559765, -12370.912153282745 6590668.023592559, -12370.940787910431 6590668.022053871, -12371.468219363835 6590668.0088633895, -12371.470098554191 6590668.008819927, -12371.875618663767 6590668.000203639, -12371.877189265444 6590668.000172736, -12372.98178477422 6590667.9801746225, -12373.021851297814 6590667.9823713275, -12373.417283069897 6590667.975385547, -12374.177235390644 6590667.961718049, -12374.200212930622 6590667.961832871, -12374.284585232019 6590667.964193967, -12374.390132244309 6590667.960233776, -12374.395849901588 6590667.960051994, -12375.116094922052 6590667.941276795, -12375.137618208515 6590667.94117915, -12375.194787352395 6590667.942150459, -12375.20245029024 6590667.941247194, -12375.240900851566 6590667.938212809, -12375.279470909614 6590667.938151331, -12375.375607507327 6590667.941708635, -12375.912232734036 6590667.930306688, -12375.943612263382 6590667.924905513, -12375.99866738519 6590667.921593343, -12376.148081878837 6590667.920860325, -12376.57115893178 6590667.914830469, -12376.579929722473 6590667.914782401, -12376.792283473744 6590667.9154811865, -12376.844423810995 6590667.909335171, -12376.895412652762 6590667.905954259, -12376.946480284154 6590667.907795338, -12376.997093295115 6590667.914839176, -12377.046723024134 6590667.927012202, -12377.094851080385 6590667.944187264, -12377.191323921821 6590667.984283162, -12377.809447630672 6590668.213034314, -12377.817943352742 6590668.216266455, -12377.888835952124 6590668.2439773325, -12378.317476270513 6590668.398655454, -12378.491407316384 6590668.4614197975, -12378.510974268602 6590668.468947963, -12378.645361208888 6590668.523913351, -12378.867479705 6590668.604066501, -12379.239464386088 6590668.552842964, -12379.246427878285 6590668.55193385, -12379.682099521586 6590668.498163943, -12380.078005200827 6590668.439436057, -12380.09055179733 6590668.437736977, -12380.613683269847 6590668.373627577, -12380.928104069722 6590668.33414817, -12381.490919479667 6590668.255634912, -12381.497153440907 6590668.254805203, -12381.77464543022 6590668.219646977, -12381.778960984815 6590668.21911925, -12382.346878221102 6590668.152176319, -12382.59754312012 6590668.115480069, -12382.599840652449 6590668.115149166, -12383.011743668427 6590668.056800282, -12383.03024165115 6590668.054530709, -12383.204438748808 6590668.036446333, -12383.366894509936 6590668.01958089, -12383.42740254814 6590668.010395514, -12383.437327144567 6590668.008990541, -12383.977395280594 6590667.93805026, -12384.261155106085 6590667.894974314, -12384.273005734283 6590667.893320152, -12384.786927086736 6590667.827843936, -12384.787826804284 6590667.827730137, -12385.10638145027 6590667.787731671, -12385.110141501656 6590667.78727401, -12385.240691515039 6590667.771885499, -12385.573836846215 6590667.685803603, -12385.586367236307 6590667.682737734, -12385.862129030636 6590667.619024538, -12386.462137979584 6590667.465890879, -12386.670560721455 6590667.41203623, -12386.678578371411 6590667.410035068, -12387.331829667264 6590667.2527100025, -12387.484686317648 6590667.213213154, -12387.491151534792 6590667.211588495, -12388.169589539946 6590667.045902596, -12388.305277145228 6590667.012765416, -12388.97700751934 6590666.848717633, -12389.096088765147 6590666.816126594, -12389.10692014012 6590666.813292147, -12389.775411638106 6590666.646329671, -12389.777947740029 6590666.645703288, -12389.91311089944 6590666.612694187, -12390.559908425661 6590666.453254345, -12390.583135220377 6590666.448111659, -12390.72645826469 6590666.419937217, -12391.330542054708 6590666.2695036335, -12391.516579114628 6590666.223336599, -12392.089394901523 6590666.075325904, -12392.097412552312 6590666.073324743, -12392.316502028645 6590666.0205605645, -12392.320082296188 6590666.0197122395, -12392.840987449235 6590665.898309081, -12393.103135111705 6590665.8250246635, -12393.118389555522 6590665.821018508, -12393.577738123226 6590665.708096771, -12393.587435585774 6590665.705815043, -12393.92728013362 6590665.629417517, -12394.11275965757 6590665.584747753, -12394.259807542607 6590665.529523779, -12394.638722869524 6590665.378420501, -12394.64409783421 6590665.3763129655, -12395.0376504813 6590665.224615668, -12395.05262403447 6590665.219116713, -12395.42342012352 6590665.089618056, -12395.796934634265 6590664.9406685075, -12395.806950943297 6590664.936798354, -12396.189280504812 6590664.793771001, -12396.194259603499 6590664.791938403, -12396.558348618113 6590664.660121636, -12396.95618587526 6590664.502503331, -12396.969457171152 6590664.497462185, -12397.294460981573 6590664.37926028, -12397.726611724227 6590664.214205103, -12397.733230856617 6590664.211730453, -12398.01508756461 6590664.108618888, -12398.500003844476 6590663.920439124, -12398.507160788246 6590663.917724602, -12398.72905186019 6590663.835501831, -12399.263799226415 6590663.634676927, -12399.428525678284 6590663.567975254, -12399.44153261645 6590663.562918545, -12400.046781397488 6590663.337287429, -12400.0565776663 6590663.333751234, -12400.134105627816 6590663.306674983, -12400.770110391 6590663.062698602, -12401.402960457028 6590662.655489945, -12401.453275219175 6590662.616621285, -12401.488183811703 6590662.591962296, -12402.116410867708 6590662.187293788, -12402.118581154204 6590662.185903713, -12402.249490908012 6590662.102530638, -12402.806594435473 6590661.743200003, -12402.979805148398 6590661.626928426, -12402.986314716398 6590661.6226320015, -12403.49364091706 6590661.293439899, -12403.495042417919 6590661.292533818, -12403.704451438993 6590661.157644312, -12404.188511156082 6590660.846319543, -12404.407166492729 6590660.704046318, -12404.870013325331 6590660.400154492, -12404.87174276606 6590660.399024098, -12405.09237488074 6590660.255464632, -12405.096476375333 6590660.252824285, -12405.551495091016 6590659.963034479, -12405.754936159306 6590659.823178698, -12405.766432568778 6590659.815507281, -12405.884811467935 6590659.738857675, -12406.167512772265 6590659.503888877, -12406.173430714152 6590659.49904618, -12406.439322479975 6590659.284838645, -12406.797646471572 6590658.981492633, -12406.80244152233 6590658.9774844665, -12407.140492741073 6590658.698478866, -12407.421930163613 6590658.463252045, -12407.816818649886 6590658.131434169, -12408.042594353225 6590657.939197258, -12408.046274154625 6590657.936094517, -12408.476581336818 6590657.576796774, -12408.480200365695 6590657.573803691, -12408.67080645055 6590657.417666447, -12409.114293426504 6590657.048737342, -12409.175366708874 6590656.99358213, -12409.213474945624 6590656.962430971, -12409.254461356364 6590656.9351775935, -12409.297928761196 6590656.912086098, -12409.401043198783 6590656.8636572035, -12409.756421463127 6590656.666560145, -12409.761168141375 6590656.663961069, -12410.108817943072 6590656.47604129, -12410.112581311905 6590656.474027735, -12410.295756680567 6590656.377024816, -12410.745455186228 6590656.135654703, -12410.827630070926 6590656.089055644, -12410.83322597165 6590656.0859296, -12411.5185790606 6590655.70881346, -12411.55596223201 6590655.690232502, -12411.59476512419 6590655.674834806, -12411.597097670687 6590655.674020175, -12412.210621086586 6590655.33477394, -12412.251898570532 6590655.311366644, -12412.276404183136 6590655.298355187, -12412.308796888927 6590655.282291851, -12412.319353747922 6590655.277209996, -12412.964654722875 6590654.975836314, -12412.98132519775 6590654.9684181865, -12413.099657731651 6590654.918328149, -12413.692849458115 6590654.636384911, -12413.698619103672 6590654.6336875195, -12413.868965387237 6590654.555366392, -12414.4264706908 6590654.2943744445, -12414.662572978965 6590654.183486248, -12415.15421437046 6590653.951755162, -12415.281536826405 6590653.835811581, -12415.286190731289 6590653.831626579, -12415.673921617441 6590653.487326082, -12415.901854621394 6590653.284406643, -12416.278477863249 6590652.948673995, -12416.280934601607 6590652.946498415, -12416.530059161829 6590652.727339007, -12416.893980082184 6590652.401600782, -12416.898169473825 6590652.397892948, -12417.157620473357 6590652.170840856, -12417.50901424842 6590651.854951091, -12417.78305124435 6590651.607468561, -12417.794023671235 6590651.5978463525, -12418.114161904317 6590651.32526434, -12418.3009327522 6590651.076077381, -12418.309712608667 6590651.064707498, -12418.585038161567 6590650.718557478, -12418.825448868603 6590650.408388186, -12418.829326068146 6590650.403450301, -12419.106605720219 6590650.054843509, -12419.34775348912 6590649.752025801, -12419.622988513915 6590649.405989587, -12419.863399210073 6590649.095820299, -12419.863742469612 6590649.09537795, -12420.142298688332 6590648.736824627, -12420.146014284577 6590648.7321008425, -12420.385199523833 6590648.43174768, -12420.661912138254 6590648.075567407, -12420.665627736002 6590648.07084362, -12420.904812978335 6590647.770490449, -12421.181525587848 6590647.414310177, -12421.182437563271 6590647.413139884, -12421.412271705238 6590647.119105937, -12421.419390326995 6590647.110209661, -12421.524435187708 6590646.981956376, -12421.545078592655 6590646.8907543, -12421.548930190815 6590646.87493832, -12421.647020827551 6590646.498881956, -12421.77816049506 6590645.945095641, -12421.781534959044 6590645.931676569, -12421.858099522122 6590645.644091119, -12422.008042060634 6590645.022187825, -12422.010579629192 6590645.012122675, -12422.068767873574 6590644.791029074, -12422.236748780248 6590644.1088473, -12422.238038638472 6590644.103725761, -12422.278356777893 6590643.947134519, -12422.379152124746 6590643.555656415, -12422.391429663312 6590643.515155096, -12422.502221805 6590643.198599491, -12422.533952231912 6590643.10444205, -12422.537692817947 6590643.09374434, -12422.801871981976 6590642.364837855, -12422.816391673146 6590642.321751859, -12422.818340146754 6590642.316082461, -12423.08955649253 6590641.542062216, -12423.095739224607 6590641.525375076, -12423.107380149067 6590641.49559413, -12423.292937849528 6590640.962810754, -12423.30748764507 6590640.914546022, -12423.317288467542 6590640.885325665, -12423.36372342141 6590640.759850562, -12423.366955558666 6590640.7513548415, -12423.382008354134 6590640.712845312, -12423.407668686357 6590640.657439353, -12423.540324689124 6590640.4115954125, -12423.541712544478 6590640.409041172, -12423.77947209458 6590639.974479293, -12423.784808545708 6590639.964973263, -12423.976517417133 6590639.632030629, -12424.1718432648 6590639.27004416, -12424.384226429042 6590638.8734194, -12424.384515302543 6590638.872880721, -12424.557223415115 6590638.551294289, -12424.562809425164 6590638.541175374, -12424.795674082363 6590638.130635038, -12424.952343010707 6590637.841783828, -12424.955033804923 6590637.836888254, -12425.190157689816 6590637.414713185, -12425.347681999334 6590637.124284896, -12425.572865798154 6590636.708479962, -12425.574440816044 6590636.705594365, -12425.745486402235 6590636.3946560575, -12425.95461787302 6590636.011582218, -12426.126693576061 6590635.683686844, -12426.133744650877 6590635.670719654, -12426.329605035737 6590635.322859954, -12426.537887258954 6590634.948880223, -12426.69548740664 6590634.658312089, -12426.696361416256 6590634.656707674, -12426.93241494518 6590634.225263884, -12427.050909763979 6590634.00117849, -12427.052889418774 6590633.997472531, -12427.178874598421 6590633.76399121, -12427.296519131554 6590633.51321653, -12427.393908933933 6590633.296928931, -12427.39607653464 6590633.292181368, -12427.647878296148 6590632.748207679, -12427.648335966489 6590632.747221774, -12427.744640400084 6590632.540353764, -12427.983853714251 6590632.008088029, -12427.98554029265 6590632.004375834, -12428.196013372 6590631.546091163, -12428.196502551602 6590631.5450292975, -12428.839230750229 6590630.1541354805, -12429.163858550286 6590629.430150648, -12429.16566108108 6590629.426177175, -12430.891623589454 6590625.66519501, -12430.947581699347 6590625.541929016, -12430.966180189373 6590625.505081244, -12430.978105847842 6590625.485630244, -12431.01796416648 6590625.402989781, -12431.549611493552 6590624.242523453, -12431.55181332496 6590624.237782947, -12432.994258994499 6590621.174236442, -12433.09166147252 6590620.951012044, -12433.097729225787 6590620.937644967, -12434.986495521413 6590616.933968733, -12435.264318333127 6590616.343357001, -12435.866796757125 6590615.058305258, -12436.959117454046 6590612.018568385, -12437.070183519318 6590611.701229745, -12437.071639844731 6590611.697126119, -12437.464537768743 6590610.605130126, -12440.703263184661 6590601.597986261, -12441.64427859683 6590601.936349963, -12438.405536494252 6590610.943540234))</t>
  </si>
  <si>
    <t>['FV4674 S2D1 m735-887']</t>
  </si>
  <si>
    <t>LINESTRING Z (-12132.773447701475 6590732.333035614 25.48, -12132.977271598997 6590732.005333719 25.44, -12133.292315644969 6590731.520030686 25.39, -12133.54613808397 6590731.117863177 25.35, -12133.890011119947 6590730.565487871 25.22, -12134.10633464926 6590730.219169563 25.16, -12134.308881968143 6590729.901414145 25.07, -12134.411432201334 6590729.732589947 25.01, -12134.486430015182 6590729.62089153 24.990000000000002, -12134.537705131399 6590729.536479432 24.97, -12134.702487440838 6590729.355421696 24.92, -12135.362893250713 6590728.6212442685 24.73, -12135.40906207211 6590728.57661812 24.72, -12135.89218593674 6590728.042114823 24.62, -12136.126859764103 6590727.789144614 24.57, -12136.598760566267 6590727.26331122 24.47, -12136.83471096697 6590727.000394521 24.42, -12137.375226713193 6590726.412595142 24.3, -12137.552508656809 6590726.212920989 24.27, -12137.800958692154 6590725.931387881 24.21, -12138.117757575063 6590725.668737272 24.13, -12138.346048535372 6590725.465499496 24.07, -12138.903638014745 6590724.980994703 23.95, -12138.927360712201 6590724.953708383 23.95, -12138.961029898317 6590724.927698634 23.94, -12139.166874735034 6590724.741800688 23.97, -12139.667072332231 6590724.31059195 24.03, -12145.656943925715 6590719.154703126 22.39, -12148.024053491012 6590716.860152596 21.580000000000002, -12148.233515833796 6590716.330967654 21.53, -12148.355214641604 6590716.012946062 21.5, -12148.637387731462 6590715.311107154 21.44, -12148.66876986163 6590715.224141888 21.44, -12148.759086536244 6590714.993085557 21.41, -12148.93716673943 6590714.550865874 21.38, -12149.039983046998 6590714.301193131 21.35, -12149.208116756578 6590713.857696876 21.32, -12149.372420748114 6590713.444040088 21.28, -12149.491034231149 6590713.307608453 21.26, -12149.704538500286 6590713.062031514 21.240000000000002, -12150.247607377183 6590712.4543389715 21.17, -12150.472334708378 6590712.200092105 21.14, -12151.002903949935 6590711.611015959 21.080000000000002, -12151.252630548668 6590711.319536274 21.05, -12151.760753664246 6590710.747799955 20.990000000000002, -12152.03164981521 6590710.448926916 20.95, -12152.045426021272 6590710.420364017 20.95, -12152.365842384868 6590709.814426335 20.89, -12152.476052029815 6590709.5859231325 20.87, -12152.875295907434 6590708.838447511 20.77, -12152.981675835443 6590708.639783778 20.75, -12153.384749421559 6590707.862468678 20.650000000000002, -12153.4898527771 6590707.6737514315 20.62, -12153.90414941858 6590706.887766399 20.52, -12153.99930628133 6590706.697772584 20.5, -12154.414879487653 6590705.901841054 20.400000000000002, -12154.521259411413 6590705.703177311 20.38, -12154.90928020177 6590704.964371577 20.29, -12154.924332977389 6590704.925862183 20.29, -12154.99092693528 6590704.7220921535 20.26, -12155.26240904571 6590703.8672260735 20.13, -12155.276185249793 6590703.838663172 20.12, -12155.394320385007 6590703.469632507 20.07, -12155.39687352709 6590703.449739523 20.07, -12155.509902377264 6590703.120494821 20.02, -12155.596655389352 6590702.838429431 20.01, -12155.59920853097 6590702.81853645 20.01, -12155.902072744037 6590701.876705076 19.990000000000002, -12155.936008004937 6590701.769846816 19.98, -12156.219989721256 6590700.896364306 19.96, -12156.272807466856 6590700.7211571755 19.95, -12156.537906688405 6590699.916023527 19.92, -12156.619553408818 6590699.6737440955 19.91, -12156.85837678652 6590698.915789755 19.88, -12156.956352847628 6590698.625054437 19.86, -12157.173740592436 6590697.955341943 19.830000000000002, -12157.263046729437 6590697.6533835605 19.82, -12157.278099502553 6590697.614874165 19.81, -12157.280652642949 6590697.59498118 19.81, -12157.458998843736 6590697.071912912 19.76, -12157.531975635502 6590696.818410417 19.73, -12157.712874972378 6590696.275449163 19.68, -12157.783298622002 6590696.041839648 19.66, -12157.96419795428 6590695.498878392 19.62, -12158.034621601924 6590695.265268873 19.6, -12158.215520929836 6590694.722307614 19.57, -12158.285944575502 6590694.488698093 19.56, -12158.455620837223 6590693.954406753 19.53, -12158.537267542502 6590693.71212731 19.51, -12158.704390660685 6590693.19772895 19.490000000000002, -12158.789867073181 6590692.925610031 19.48, -12158.941937416268 6590692.449721064 19.47, -12159.042466596991 6590692.139092749 19.46, -12159.178207596357 6590691.711659668 19.45, -12159.257301156584 6590691.489273205 19.45, -12159.295066114748 6590691.352575459 19.45, -12159.430807110097 6590690.925142378 19.400000000000002, -12159.538995703391 6590690.5548351025 19.37, -12159.68851289549 6590690.098839113 19.32, -12159.792871776852 6590689.758371313 19.29, -12159.93627218157 6590689.271259273 19.26, -12160.038077921374 6590688.950684454 19.23, -12160.193977952178 6590688.444955998 19.2, -12160.293230550596 6590688.144274163 19.18, -12160.450407146302 6590687.628599212 19.16, -12160.549659741926 6590687.3279173765 19.14, -12160.70555976429 6590686.822188912 19.12, -12160.797419003444 6590686.500337519 19.11, -12160.948212745134 6590686.034395022 19.1, -12161.05512474943 6590685.6740342295 19.09, -12161.194695425977 6590685.216761651 19.09, -12161.315383626148 6590684.827837947 19.09, -12161.451124591928 6590684.400404844 19.09, -12161.556760021602 6590684.0499905385 19.09, -12161.594258910685 6590683.994141292 19.080000000000002, -12161.816965164908 6590683.598090287 19.02, -12162.013395589951 6590683.249218605 18.97, -12162.259824532142 6590682.825881259 18.91, -12162.442478757119 6590682.505572481 18.87, -12162.691460833885 6590682.062342144 18.82, -12162.862891996047 6590681.750703287 18.78, -12163.121820562636 6590681.308749516 18.73, -12163.291975154134 6590681.007057148 18.7, -12163.55345685524 6590680.545210385 18.66, -12163.72361144505 6590680.243518014 18.63, -12163.985093143128 6590679.781671247 18.6, -12164.153971162625 6590679.489925368 18.580000000000002, -12164.246574839402 6590679.319824479 18.580000000000002, -12164.446302850498 6590679.102810316 18.55, -12164.696029377577 6590678.811330487 18.51, -12165.001871208719 6590678.47650103 18.47, -12165.272767289076 6590678.177627839 18.43, -12165.568662626727 6590677.841521813 18.39, -12165.850781767338 6590677.533978692 18.36, -12166.136730612197 6590677.196596091 18.32, -12166.418849752401 6590676.889052968 18.29, -12166.702245460183 6590676.571563346 18.27, -12166.996864229091 6590676.245403801 18.240000000000002, -12167.256537246867 6590675.955200521 18.22, -12167.576155272778 6590675.591808132 18.2, -12167.787106343254 6590675.366124028 18.19, -12168.106724368525 6590675.002731635 18.17, -12168.12917049008 6590674.985391784 18.17, -12168.15416974778 6590674.94815895 18.16, -12168.353897756839 6590674.731144767 18.16, -12168.601071145269 6590674.459557895 18.150000000000002, -12168.759470565186 6590674.328232449 18.12, -12169.00637790485 6590674.137494089 18.080000000000002, -12169.454023773724 6590673.800643559 18.01, -12169.74582335807 6590673.575225491 17.96, -12170.13863049139 6590673.271778094 17.900000000000002, -12170.475322320708 6590673.011680322 17.86, -12170.821960643749 6590672.752859116 17.81, -12171.19232165761 6590672.466751557 17.76, -12171.516513859446 6590672.2252702005 17.72, -12171.886874874646 6590671.939162638 17.68, -12172.201120584738 6590671.696404706 17.650000000000002, -12172.571481600287 6590671.410297146 17.61, -12172.884450744197 6590671.177485703 17.580000000000002, -12173.254811761552 6590670.891378133 17.55, -12173.569057473447 6590670.648620197 17.52, -12173.928195430723 6590670.371182549 17.5, -12174.253664205025 6590670.1197546795 17.48, -12174.601579102571 6590669.850986955 17.46, -12174.948217433237 6590669.592165722 17.44, -12175.139009474253 6590669.444776968 17.43, -12175.300972556579 6590669.364460537 17.400000000000002, -12175.690960522683 6590669.1617546035 17.34, -12176.124564168276 6590668.934315458 17.27, -12176.46098996466 6590668.755066172 17.22, -12176.936932724027 6590668.512840304 17.150000000000002, -12177.229742844473 6590668.358324226 17.11, -12177.73807822453 6590668.100035065 17.04, -12177.99849572964 6590667.961582271 17.01, -12178.529277236259 6590667.68595325 16.95, -12178.767248619988 6590667.56484031 16.92, -12179.309253191517 6590667.2805413585 16.86, -12179.526055020746 6590667.166821775 16.84, -12180.078006090771 6590666.883799383 16.79, -12180.294807921513 6590666.7700798 16.77, -12180.84675899503 6590666.487057402 16.72, -12181.063560827402 6590666.373337816 16.7, -12181.594342347933 6590666.097708778 16.67, -12181.822367243352 6590665.975319261 16.65, -12182.341925705667 6590665.708360144 16.62, -12182.591120159603 6590665.578577263 16.61, -12183.078286007105 6590665.327681429 16.59, -12183.359873081034 6590665.181835257 16.580000000000002, -12183.814646312385 6590664.947002713 16.56, -12184.128626007703 6590664.785093248 16.55, -12184.420159579313 6590664.640523641 16.55, -12184.58823946974 6590664.591323243 16.52, -12184.944292242406 6590664.495475581 16.46, -12185.479647969943 6590664.3417575965 16.38, -12185.783415135578 6590664.259420088 16.34, -12186.34861035453 6590664.1095318 16.26, -12186.611314974318 6590664.032034522 16.22, -12187.208902818442 6590663.866082937 16.15, -12187.44916131656 6590663.805925514 16.12, -12188.056695661508 6590663.641250495 16.04, -12188.277061170666 6590663.578539934 16.02, -12188.88459552126 6590663.413864912 15.96, -12189.104961032106 6590663.351154351 15.93, -12189.723718451278 6590663.177809397 15.870000000000001, -12189.932860901346 6590663.123768765 15.860000000000001, -12190.561564821925 6590662.951700372 15.8, -12190.760760778212 6590662.896383173 15.790000000000001, -12191.389464704436 6590662.724314777 15.74, -12191.598607158347 6590662.670274145 15.73, -12192.206141531875 6590662.5055991085 15.69, -12192.426507050637 6590662.442888542 15.68, -12192.584640459681 6590662.392411571 15.67, -12193.161803275347 6590662.385603907 15.55, -12193.293660859985 6590662.38230628 15.530000000000001, -12193.730296165973 6590662.3675731765 15.44, -12194.165654907702 6590662.362786566 15.42, -12194.257726508251 6590662.354382675 15.42, -12195.027702467865 6590662.341990287 15.38, -12195.301364139421 6590662.336671602 15.36, -12195.889750037226 6590662.321194006 15.33, -12196.315162293497 6590662.315130831 15.31, -12196.74185111851 6590662.29912116 15.290000000000001, -12197.299120969546 6590662.289760358 15.26, -12197.603898705216 6590662.278324877 15.25, -12198.261910097033 6590662.271783248 15.22, -12198.454723236908 6590662.266198528 15.21, -12199.194859744399 6590662.249976437 15.17, -12199.296877847286 6590662.2428491125 15.16, -12200.107916407986 6590662.225616493 15.120000000000001, -12200.14897896332 6590662.220776261 15.120000000000001, -12200.716195333865 6590662.212692027 15.09, -12200.98985702364 6590662.2073733425 15.08, -12201.131661117426 6590662.205352284 15.07, -12201.841958156554 6590662.185300494 15.040000000000001, -12202.682836233987 6590662.171897573 15, -12202.997560486372 6590662.161738659 14.98, -12203.515044389176 6590662.147271589 14.950000000000001, -12204.326082990563 6590662.13003897 14.91, -12204.377092044975 6590662.126475306 14.91, -12205.127175102243 6590662.111529782 14.870000000000001, -12205.21797014802 6590662.113072385 14.870000000000001, -12205.928267221665 6590662.093020593 14.83, -12206.070071323484 6590662.090999533 14.83, -12206.363626026141 6590662.088233983 14.81, -12206.775262136827 6590662.110733732 14.790000000000001, -12206.915789673338 6590662.11865917 14.780000000000001, -12207.65693678474 6590662.173339133 14.75, -12207.756401764113 6590662.186104801 14.74, -12208.52866494382 6590662.234667966 14.700000000000001, -12208.60823692783 6590662.244880503 14.700000000000001, -12209.379223548167 6590662.303390167 14.66, -12209.450125601958 6590662.302379637 14.66, -12210.231058728474 6590662.362165869 14.620000000000001, -12210.292014284641 6590662.359878776 14.620000000000001, -12211.063000920345 6590662.418388439 14.58, -12211.142572907149 6590662.428600976 14.57, -12211.433574493276 6590662.445728425 14.56, -12211.473360486678 6590662.450834692 14.56, -12214.659325236513 6590662.677746042 14.4, -12215.100800883549 6590662.7040755 14.38, -12217.926138665876 6590662.904923455 14.23, -12218.366337763146 6590662.941199411 14.21, -12219.858578691783 6590663.051835934 14.14, -12220.119740809663 6590663.065133682 14.120000000000001, -12224.296792203095 6590663.368692749 13.92, -12225.138681033277 6590663.426191909 13.870000000000001, -12227.333559931198 6590663.576455667 13.76, -12228.144332723168 6590663.640071626 13.72, -12228.465173869103 6590663.661028784 13.71, -12231.73299835925 6590663.959108347 13.540000000000001, -12234.15154068108 6590664.178519189 13.42, -12235.010769476416 6590664.258464498 13.38, -12235.150020492089 6590664.276336446 13.370000000000001, -12238.138066629588 6590664.548618663 13.22, -12238.157959632576 6590664.551171799 13.22, -12238.278594218194 6590664.556544112 13.22, -12238.927669953904 6590664.619628011 13.18)</t>
  </si>
  <si>
    <t>POLYGON ((-12238.200770809508 6590664.052582774, -12238.30083905535 6590664.05703919, -12238.326961493318 6590664.0588890035, -12238.976037229027 6590664.121972903, -12238.87930267878 6590665.11728312, -12238.243263921944 6590665.05546629, -12238.13571479542 6590665.050676721, -12238.094309999628 6590665.047103976, -12238.083536430644 6590665.045721259, -12235.10464656862 6590664.774273397, -12235.0863708731 6590664.772268625, -12234.955767228872 6590664.75550651, -12234.105792481156 6590664.676422226, -12231.687823734566 6590664.457063419, -12228.426162442887 6590664.1595461015, -12228.111742463807 6590664.13900837, -12228.105221252265 6590664.138539571, -12227.296927970308 6590664.075118163, -12225.10457227078 6590663.925027146, -12224.262722667823 6590663.867530665, -12224.26055125281 6590663.867377613, -12220.08890380135 6590663.564211267, -12219.833152829067 6590663.551189041, -12219.821609564036 6590663.550467344, -12218.329368635399 6590663.439830821, -12218.325272932147 6590663.439510237, -12217.887877734176 6590663.4034653455, -12215.068189011607 6590663.203018972, -12214.629558297014 6590663.176859184, -12214.623804125611 6590663.176482696, -12211.437839375776 6590662.949571347, -12211.409710891046 6590662.946766874, -12211.387005726827 6590662.943852817, -12211.113195301536 6590662.927737187, -12211.078923300096 6590662.924533157, -12211.012223998408 6590662.915972743, -12210.282439252496 6590662.860589864, -12210.249805873978 6590662.86181429, -12210.19289169993 6590662.8607070185, -12209.434572910657 6590662.8026520815, -12209.386349061622 6590662.803339391, -12209.341387675122 6590662.801956559, -12208.570401054785 6590662.743446895, -12208.544587318578 6590662.7408126835, -12208.481100088276 6590662.732664518, -12207.725021639426 6590662.685119117, -12207.69275217273 6590662.682036983, -12207.606680992583 6590662.67099032, -12206.883315789082 6590662.617622262, -12206.747540514165 6590662.60996484, -12206.352325105085 6590662.588362636, -12206.075989202993 6590662.5909659695, -12205.93888520478 6590662.592920041, -12205.232079601465 6590662.612873268, -12205.209476402253 6590662.613000236, -12205.12790878143 6590662.611614407, -12204.399509619736 6590662.626127876, -12204.360929732447 6590662.6288231965, -12204.33670439045 6590662.629926143, -12203.5273416482 6590662.647123154, -12203.012612409286 6590662.661513213, -12202.69896722137 6590662.671637297, -12202.69080481965 6590662.671834071, -12201.852997541813 6590662.685188046, -12201.145770570247 6590662.705153167, -12201.138786628291 6590662.705301508, -12200.998277805164 6590662.707304106, -12200.725911126166 6590662.712597622, -12200.723320844789 6590662.712641251, -12200.181895119558 6590662.720357905, -12200.16644847789 6590662.7221786715, -12200.118537808406 6590662.725503666, -12199.319625282742 6590662.742478636, -12199.229706470176 6590662.748760664, -12199.205815964096 6590662.749856384, -12198.467439547227 6590662.766039898, -12198.276386232978 6590662.771573645, -12198.266880608304 6590662.7717585405, -12197.615759819204 6590662.778231666, -12197.317868139171 6590662.789408778, -12197.307518590556 6590662.789689832, -12196.755424983949 6590662.798963686, -12196.333909460505 6590662.814779251, -12196.322287804782 6590662.815080055, -12195.899887191415 6590662.821100307, -12195.314512180297 6590662.836498701, -12195.311079934068 6590662.836577197, -12195.037418262513 6590662.841895882, -12195.035748682076 6590662.841925542, -12194.284511631346 6590662.854016336, -12194.21110377876 6590662.860716682, -12194.171151893133 6590662.862756348, -12193.741476870715 6590662.867480468, -12193.310522440916 6590662.882021885, -12193.306161453766 6590662.882149991, -12193.174303869127 6590662.885447618, -12193.16770039027 6590662.885569129, -12192.665380842265 6590662.891494013, -12192.578551362942 6590662.919210415, -12192.5633610975 6590662.923794947, -12192.342995578738 6590662.986505513, -12192.336948786937 6590662.988185331, -12191.729414413408 6590663.152860368, -12191.723694570963 6590663.154374485, -12191.51800983411 6590663.207521672, -12190.893649970269 6590663.378401153, -12190.695353048566 6590663.433468687, -12190.693554487762 6590663.43396454, -12190.064850567183 6590663.606032933, -12190.057948316116 6590663.607869104, -12189.853716554982 6590663.660640855, -12189.240829470486 6590663.832341234, -12189.02144956327 6590663.894771318, -12189.015402769895 6590663.896451137, -12188.410897076457 6590664.060305227, -12188.193549702608 6590664.122156901, -12188.187502909208 6590664.123836719, -12187.57996856426 6590664.288511738, -12187.570605441679 6590664.290952652, -12187.33653979849 6590664.34955947, -12186.748953679085 6590664.512733552, -12186.490081946571 6590664.589100136, -12186.47677860159 6590664.592825604, -12185.91290382585 6590664.742363713, -12185.614054375363 6590664.823368252, -12185.082282780406 6590664.976057116, -12185.074262922462 6590664.9782877825, -12184.723473856973 6590665.072718481, -12184.602864228427 6590665.108023369, -12184.354286917605 6590665.231291245, -12184.043928850959 6590665.391333149, -12183.589555374172 6590665.625959272, -12183.308243334577 6590665.771662991, -12183.307214985625 6590665.772194109, -12182.821065325481 6590666.022566596, -12182.57288465954 6590666.151821486, -12182.57043562294 6590666.1530883955, -12182.054871406868 6590666.417995192, -12181.830803246414 6590666.538260981, -12181.824770356934 6590666.541446238, -12181.294903113743 6590666.816600502, -12181.079013619386 6590666.929841536, -12181.07489853249 6590666.931975767, -12180.5250099424 6590667.213940592, -12180.310260713513 6590667.326583519, -12180.306145625213 6590667.32871775, -12179.75625707066 6590667.610682551, -12179.541507815531 6590667.723325493, -12178.999503240044 6590668.007624446, -12178.994036412045 6590668.010449217, -12178.757888923761 6590668.130633905, -12178.231074101752 6590668.40420307, -12177.972795965088 6590668.5415184535, -12177.96457163903 6590668.545793669, -12177.459679566993 6590668.802333259, -12177.170285341832 6590668.955046766, -12177.163720510835 6590668.958449213, -12176.691960477367 6590669.198546329, -12176.35967669409 6590669.37558873, -12176.35681878054 6590669.377099599, -12175.923215134946 6590669.604538744, -12175.921558257893 6590669.605403884, -12175.531570291789 6590669.808109818, -12175.523106528626 6590669.812407519, -12175.40549893955 6590669.870728351, -12175.253887343575 6590669.98784982, -12175.247360525462 6590669.99280697, -12174.904005943254 6590670.249176357, -12174.55933411423 6590670.515438779, -12174.233865338718 6590670.7668666495, -12173.874727380995 6590671.044304297, -12173.560481664948 6590671.287062237, -12173.190120649386 6590671.573169805, -12173.182877069912 6590671.578661135, -12172.873554680871 6590671.808759832, -12172.506790484003 6590672.092088813, -12172.192544776204 6590672.334846743, -12171.822183760762 6590672.620954306, -12171.81519596724 6590672.626255236, -12171.494520921236 6590672.865116765, -12171.127630543266 6590673.148543223, -12171.121103720156 6590673.153500376, -12170.777749108373 6590673.409869764, -12170.44430038526 6590673.667462205, -12170.05149325041 6590673.970909604, -12169.759693667078 6590674.1963276705, -12169.754660921324 6590674.200164904, -12169.309543586573 6590674.535112729, -12169.071960553327 6590674.71864797, -12168.947223065064 6590674.822065055, -12168.723680533793 6590675.067687035, -12168.72179993593 6590675.0697418535, -12168.547965530048 6590675.258621379, -12168.544280701619 6590675.264109406, -12168.512060327255 6590675.306943293, -12168.475439944677 6590675.346082046, -12168.455494271167 6590675.363273757, -12168.162548801633 6590675.696340564, -12168.15238152407 6590675.707553439, -12167.946598961807 6590675.9277080605, -12167.631979703237 6590676.285417059, -12167.62914676877 6590676.288610395, -12167.369473750994 6590676.578813675, -12167.36790250663 6590676.580561371, -12167.074274836514 6590676.9056237135, -12166.791863622202 6590677.222010402, -12166.787304693087 6590677.227048466, -12166.511817579465 6590677.527361899, -12166.232212065566 6590677.857260191, -12166.21923670625 6590677.871974193, -12165.940573563243 6590678.175749868, -12165.648056462082 6590678.508018573, -12165.643234703854 6590678.513416306, -12165.372338623496 6590678.812289497, -12165.371043685782 6590678.813712658, -12165.070560800932 6590679.142675249, -12164.826004086886 6590679.4281208925, -12164.814205012664 6590679.44140742, -12164.656233595708 6590679.61305102, -12164.593112665032 6590679.728995945, -12164.586701984354 6590679.7404129645, -12164.419020758949 6590680.030091318, -12164.158918185194 6590680.489502181, -12163.988965144961 6590680.790837195, -12163.988561450728 6590680.791551593, -12163.727281905381 6590681.253041294, -12163.557328850342 6590681.554376328, -12163.553232471371 6590681.561501894, -12163.297722624822 6590681.997620403, -12163.129551102866 6590682.303333671, -12163.127389312755 6590682.307222444, -12162.878407235989 6590682.750452781, -12162.876821751363 6590682.753254058, -12162.694167526386 6590683.073562835, -12162.691943860662 6590683.077422281, -12162.447320767746 6590683.497657381, -12162.252719059918 6590683.843281156, -12162.03008073498 6590684.239211358, -12162.014132716977 6590684.2651200965, -12161.929845115048 6590684.544719296, -12161.927671315992 6590684.551742942, -12161.792430353451 6590684.977601591, -12161.67257620593 6590685.363837519, -12161.53391654651 6590685.81812535, -12161.42756161317 6590686.176608463, -12161.423920757463 6590686.188349194, -12161.2758196816 6590686.645971535, -12161.186360509248 6590686.959413704, -12161.183371852907 6590686.969483202, -12161.027471830543 6590687.475211667, -12161.02446109966 6590687.484645392, -12160.92700920654 6590687.779872069, -12160.771507502333 6590688.290051931, -12160.768031907017 6590688.301002182, -12160.670331383333 6590688.596982067, -12160.515890007058 6590689.097978754, -12160.514624637759 6590689.102022576, -12160.414423008539 6590689.417546231, -12160.27251928572 6590689.8995742425, -12160.270919044655 6590689.904900525, -12160.166560163292 6590690.245368324, -12160.163624485662 6590690.254624147, -12160.016646590919 6590690.702875814, -12159.910743549746 6590691.065360115, -12159.907353822464 6590691.0764805125, -12159.774485299535 6590691.494868502, -12159.7392475099 6590691.622418662, -12159.728393242332 6590691.65682095, -12159.652165629803 6590691.871149261, -12159.519013308067 6590692.290430888, -12159.518174598275 6590692.293046955, -12159.417930153968 6590692.602795455, -12159.266517235223 6590693.076627077, -12159.181410917281 6590693.347567779, -12159.179923005086 6590693.35222487, -12159.012799886903 6590693.86662323, -12159.011086283 6590693.871801357, -12158.930840120005 6590694.109924813, -12158.763604001884 6590694.6365324175, -12158.694241435489 6590694.866622123, -12158.689885575235 6590694.8803524915, -12158.51126307686 6590695.416479949, -12158.442918458493 6590695.643192906, -12158.43856259821 6590695.656923274, -12158.259940096717 6590696.1930507235, -12158.191595474837 6590696.419763682, -12158.187239614941 6590696.433494049, -12158.009605143603 6590696.966655956, -12157.939485739671 6590697.210232624, -12157.932246345812 6590697.233272144, -12157.765862597078 6590697.721255957, -12157.762538973593 6590697.738641684, -12157.74378701609 6590697.796904766, -12157.736481180968 6590697.815595229, -12157.653210094326 6590698.097148137, -12157.6493137079 6590698.109712315, -12157.431925963092 6590698.779424809, -12157.430171578642 6590698.784728511, -12157.333776293428 6590699.070773017, -12157.096440512856 6590699.824006166, -12157.093372138132 6590699.833418176, -12157.012281122423 6590700.074048603, -12156.749703264122 6590700.871524611, -12156.69871021606 6590701.040678851, -12156.695490767019 6590701.05095653, -12156.41203743011 6590701.922813828, -12156.378619436699 6590702.028043272, -12156.378067482634 6590702.02977045, -12156.086870091136 6590702.935320949, -12156.085354515875 6590702.944132619, -12156.074562196256 6590702.985416111, -12155.987809184167 6590703.2674815, -12155.98281143871 6590703.282843272, -12155.88341124059 6590703.572388716, -12155.882407271427 6590703.578127628, -12155.870515479186 6590703.622073421, -12155.752380343973 6590703.991104086, -12155.729320313301 6590704.04890512, -12155.467473624207 6590704.873430362, -12155.466190554569 6590704.877412764, -12155.399596596679 6590705.081182794, -12155.390020477676 6590705.107892818, -12155.374967702057 6590705.146402212, -12155.35194270647 6590705.196857936, -12154.963921916113 6590705.93566367, -12154.962042871082 6590705.939206847, -12154.856894688475 6590706.135570321, -12154.444480834298 6590706.925450865, -12154.351212360543 6590707.111674251, -12154.346464572707 6590707.120912929, -12153.932167931227 6590707.906897961, -12153.926675249299 6590707.917033424, -12153.825194438727 6590708.099246247, -12153.425548127942 6590708.869951951, -12153.422459286583 6590708.87581333, -12153.316203611068 6590709.074245022, -12152.921934226855 6590709.812407257, -12152.816197069358 6590710.031637426, -12152.807849157905 6590710.048156976, -12152.491759652197 6590710.64591216, -12152.482004495228 6590710.666138017, -12152.459202332084 6590710.708154317, -12152.432491811836 6590710.747800959, -12152.40211710157 6590710.784715525, -12152.132862629518 6590711.08177734, -12151.62937859336 6590711.648293802, -12151.382605060602 6590711.936326682, -12151.374425334187 6590711.945637926, -12150.845419714426 6590712.532978027, -12150.62223970783 6590712.785474317, -12150.62042796623 6590712.787512813, -12150.079633187192 6590713.392660646, -12149.868368104058 6590713.635662028, -12149.805655241194 6590713.707795636, -12149.674253413528 6590714.038616923, -12149.507512917518 6590714.478438216, -12149.502315652002 6590714.4915836835, -12149.400243042808 6590714.739450475, -12149.223845306464 6590715.177492153, -12149.13685206374 6590715.400046179, -12149.107702666293 6590715.480824159, -12149.1012977012 6590715.497621336, -12148.820690316443 6590716.195565922, -12148.700491615109 6590716.509667457, -12148.69842115367 6590716.514986793, -12148.488958810885 6590717.044171735, -12148.466876202534 6590717.092333659, -12148.439821204285 6590717.137888457, -12148.408097612679 6590717.1803246, -12148.372061647062 6590717.21916558, -12146.004952081765 6590719.513716111, -12145.983130791774 6590719.533651841, -12139.993401905624 6590724.689417827, -12139.497712901373 6590725.116739811, -12139.296146794219 6590725.298773647, -12139.266699571192 6590725.323382916, -12139.26640846018 6590725.323607801, -12139.231590280186 6590725.358416631, -12138.67627030707 6590725.840949387, -12138.450224946468 6590726.042188001, -12138.43688183709 6590726.053652464, -12138.150074274095 6590726.291437966, -12137.92740216952 6590726.543760609, -12137.92640497329 6590726.544887168, -12137.749123029675 6590726.744561321, -12137.743273226097 6590726.751035335, -12137.204808582284 6590727.336604184, -12136.970882047974 6590727.597265713, -12136.498981244074 6590728.123099108, -12136.49342054009 6590728.12919343, -12136.260947600467 6590728.379791159, -12135.779993692173 6590728.911893728, -12135.756558177038 6590728.936126753, -12135.72294823834 6590728.968613658, -12135.074223594538 6590729.689805057, -12135.072270001014 6590729.691964202, -12134.939980583018 6590729.837319748, -12134.913767810862 6590729.880472748, -12134.901540055547 6590729.8996094065, -12134.83287346649 6590730.001878378, -12134.736219764243 6590730.160995361, -12134.730508654391 6590730.170172284, -12134.529190900903 6590730.485998765, -12134.314279839537 6590730.830055814, -12133.970606796784 6590731.382109865, -12133.968967051349 6590731.384725809, -12133.715144612348 6590731.7868933175, -12133.711696485803 6590731.792280039, -12133.399288835382 6590732.273521892, -12133.198022201273 6590732.597112296, -12132.348873201676 6590732.0689589325, -12132.552697099198 6590731.741257037, -12132.557890758162 6590731.733084366, -12132.871193516023 6590731.250463664, -12133.122485204858 6590730.852305988, -12133.465542407133 6590730.301241184, -12133.46594296248 6590730.300598842, -12133.682266491793 6590729.954280534, -12133.684707963012 6590729.950411423, -12133.88435013139 6590729.637213593, -12133.984094405234 6590729.47300873, -12133.996322160969 6590729.453872071, -12134.064988748725 6590729.351603101, -12134.11036733572 6590729.276898215, -12134.137291625928 6590729.237031566, -12134.167922571223 6590729.199936926, -12134.331724927873 6590729.019955932, -12134.991157097013 6590728.286860907, -12135.015397145786 6590728.261735636, -12135.049439509366 6590728.228830755, -12135.521254316678 6590727.706839215, -12135.525625160753 6590727.702066007, -12135.757493478886 6590727.452120039, -12136.226639086295 6590726.929356726, -12136.462589485263 6590726.666440029, -12136.466664454067 6590726.661954328, -12137.004227055124 6590726.077366431, -12137.178112838214 6590725.881517403, -12137.426065179443 6590725.600548261, -12137.452898051217 6590725.57242578, -12137.481834430127 6590725.546472688, -12137.791860902858 6590725.289436927, -12138.013581163967 6590725.092048767, -12138.01809626993 6590725.088077568, -12138.549267136865 6590724.626528633, -12138.550026884166 6590724.625654756, -12138.584188857463 6590724.590069719, -12138.621691039327 6590724.558024101, -12138.64016406215 6590724.543753524, -12138.831757839132 6590724.370725675, -12138.840403224489 6590724.363097172, -12139.340600821686 6590723.931888434, -12145.319551668636 6590718.785399652, -12147.598761509726 6590716.576054455, -12147.767560096885 6590716.149602285, -12147.88823886029 6590715.834246258, -12147.891304671866 6590715.82643188, -12148.170124276738 6590715.132933973, -12148.198454926798 6590715.054424883, -12148.20308238433 6590715.042111195, -12148.293399058944 6590714.811054863, -12148.295280660279 6590714.806312675, -12148.473360863465 6590714.364092992, -12148.474834134426 6590714.360475321, -12148.574958891215 6590714.117338574, -12148.740586886057 6590713.680451791, -12148.743430917377 6590713.673124205, -12148.907734908913 6590713.259467417, -12148.931397724655 6590713.208458482, -12148.960638317927 6590713.160429033, -12148.995086872124 6590713.115986516, -12149.11370035516 6590712.97955488, -12149.327204627376 6590712.733977939, -12149.331717911238 6590712.728857673, -12149.87387811499 6590712.122181933, -12150.09770237773 6590711.86895676, -12150.100813324127 6590711.865470137, -12150.627235006654 6590711.28099891, -12150.872929438001 6590710.994225551, -12150.878897669287 6590710.987386106, -12151.387020784865 6590710.415649787, -12151.390286377886 6590710.412011347, -12151.615815827932 6590710.16319027, -12151.919508751773 6590709.588878196, -12152.025697345325 6590709.3687120415, -12152.035020241434 6590709.350357937, -12152.434264119052 6590708.602882315, -12152.434512456293 6590708.60241796, -12152.539328544863 6590708.406674686, -12152.94087712906 6590707.6323005045, -12152.94792694936 6590707.619186685, -12153.050225540223 6590707.435505506, -12153.459412380626 6590706.659214559, -12153.552243339367 6590706.473864732, -12153.556083435882 6590706.466356272, -12153.971656642205 6590705.670424742, -12153.974096027983 6590705.665811518, -12154.079529315013 6590705.468915613, -12154.453605994542 6590704.756659973, -12154.515013446451 6590704.56876007, -12154.785862356783 6590703.715887865, -12154.809625166172 6590703.656124402, -12154.907225648558 6590703.351239908, -12154.909945732155 6590703.336155535, -12154.923964465645 6590703.287391072, -12155.034370347872 6590702.965786882, -12155.108630493654 6590702.724340315, -12155.111192901895 6590702.709721259, -12155.123213792373 6590702.665471076, -12155.425800459449 6590701.7245028, -12155.459461312275 6590701.618508619, -12155.460506959174 6590701.615254592, -12155.742823601387 6590700.746893586, -12155.794086972051 6590700.57684263, -12155.797888822892 6590700.564784922, -12156.062988044441 6590699.7596512735, -12156.064087959092 6590699.756349447, -12156.144153905334 6590699.518760823, -12156.381489682482 6590698.765527684, -12156.384558055506 6590698.756115681, -12156.481642109171 6590698.468027316, -12156.696136637871 6590697.807228033, -12156.783577227547 6590697.511577366, -12156.793455131254 6590697.4827475045, -12156.793606355555 6590697.481906364, -12156.807405140873 6590697.433621948, -12156.981853360152 6590696.921985998, -12157.051488739568 6590696.680090705, -12157.057610992939 6590696.660365531, -12157.236233500033 6590696.12423808, -12157.304578119543 6590695.897525129, -12157.30893397807 6590695.883794767, -12157.48755647786 6590695.3476673225, -12157.55590109771 6590695.12095436, -12157.560256956525 6590695.107223996, -12157.738879453744 6590694.571096542, -12157.80722406985 6590694.344383584, -12157.80939786856 6590694.337359942, -12157.97907413028 6590693.8030686015, -12157.981802096725 6590693.794732707, -12158.062577881474 6590693.555037644, -12158.228102972154 6590693.045557949, -12158.312846816585 6590692.775771202, -12158.313592833287 6590692.773416574, -12158.465663176374 6590692.2975276075, -12158.466229414984 6590692.295766858, -12158.566335647538 6590691.986445424, -12158.701660885281 6590691.560321529, -12158.707115510608 6590691.544111923, -12158.780161019162 6590691.338730698, -12158.813119761431 6590691.219430002, -12158.81851940238 6590691.201237324, -12158.952500891613 6590690.779344729, -12159.059059263742 6590690.414617365, -12159.063884113219 6590690.399050068, -12159.211888525273 6590689.947667739, -12159.31400957932 6590689.614500786, -12159.456624672703 6590689.130056344, -12159.459725465185 6590689.119921152, -12159.560889955914 6590688.801365553, -12159.716165866494 6590688.297661698, -12159.719176595758 6590688.288227979, -12159.816628489962 6590687.993001306, -12159.972130194565 6590687.482821444, -12159.975605788568 6590687.471871196, -12160.073306308848 6590687.175891313, -12160.226200460918 6590686.679913675, -12160.316618258486 6590686.363112726, -12160.321710991115 6590686.346383347, -12160.470612139176 6590685.8862888375, -12160.575775881392 6590685.531820789, -12160.576904707576 6590685.528069879, -12160.716475384123 6590685.070797301, -12160.71715909651 6590685.068575775, -12160.837847296682 6590684.679652071, -12160.838836902083 6590684.676499849, -12160.97346514642 6590684.252570582, -12161.078039498481 6590683.905676087, -12161.094742808438 6590683.858835903, -12161.116016398983 6590683.813886623, -12161.141649831678 6590683.771272886, -12161.168127655832 6590683.731837943, -12161.381143340614 6590683.353020221, -12161.57770930403 6590683.003907659, -12161.581276261431 6590682.997677583, -12161.826584765231 6590682.576265024, -12162.00733851886 6590682.259288979, -12162.254442812093 6590681.819401415, -12162.424801727066 6590681.50971176, -12162.43148008731 6590681.497950909, -12162.688331182135 6590681.0595430825, -12162.856466866428 6590680.761430335, -12162.856870558646 6590680.76071594, -12163.118149988022 6590680.299226443, -12163.288103155328 6590679.997891204, -12163.288506847488 6590679.997176809, -12163.549988545567 6590679.535330042, -12163.5523623214 6590679.531183651, -12163.7179602485 6590679.245104307, -12163.807433336995 6590679.080753901, -12163.839996124361 6590679.028802575, -12163.878672677236 6590678.981227375, -12164.072383076733 6590678.770751638, -12164.316328141189 6590678.48601991, -12164.326856900514 6590678.474118859, -12164.632049931846 6590678.139999694, -12164.899869446735 6590677.844520805, -12165.193373453722 6590677.511131079, -12165.200207687814 6590677.503526312, -12165.47569480013 6590677.203212884, -12165.75530031397 6590676.873314592, -12165.768275671511 6590676.858600592, -12166.048098233405 6590676.55356101, -12166.329231590382 6590676.238605912, -12166.331207182644 6590676.236405777, -12166.62503828322 6590675.911118225, -12166.88250441216 6590675.623381302, -12167.200712816408 6590675.261591594, -12167.210880091961 6590675.250378721, -12167.416662660798 6590675.030224093, -12167.731281910146 6590674.6725151, -12167.753626165428 6590674.649439952, -12167.76152042783 6590674.638600375, -12167.786267568688 6590674.609561863, -12167.985052460223 6590674.393572424, -12168.231288368315 6590674.123015627, -12168.281946653662 6590674.074642893, -12168.44034607358 6590673.943317447, -12168.4538006765 6590673.932548333, -12168.700708016164 6590673.7418099735, -12168.70574075725 6590673.737972744, -12169.15085809562 6590673.403024916, -12169.440153464715 6590673.179541379, -12169.83296059905 6590672.876093981, -12170.16965242684 6590672.615996211, -12170.176179244301 6590672.611039061, -12170.51953382855 6590672.354669694, -12170.886651758094 6590672.07106745, -12170.893639549817 6590672.065766522, -12171.214314612018 6590671.8269049805, -12171.58120497333 6590671.543478533, -12171.89545068318 6590671.3007206, -12172.265811701021 6590671.014613039, -12172.273055274572 6590671.009121713, -12172.582377663452 6590670.779023018, -12172.949141856363 6590670.49569403, -12173.26338757005 6590670.252936092, -12173.622525523175 6590669.975498448, -12173.94799429703 6590669.724070579, -12174.295909193366 6590669.455302855, -12174.302436010346 6590669.450345706, -12174.645790594144 6590669.1939763175, -12174.833339563915 6590669.049092869, -12174.8738169276 6590669.02089855, -12174.916875502206 6590668.996829987, -12175.074586301742 6590668.918622235, -12175.459533439702 6590668.7185363965, -12175.890878138931 6590668.492282142, -12176.225877438847 6590668.3137929, -12176.234202177853 6590668.309457263, -12176.706849955544 6590668.068908339, -12176.996390226668 6590667.916117763, -12177.003249429974 6590667.912565622, -12177.507452834992 6590667.656375949, -12177.763777989083 6590667.520098883, -12177.76806772692 6590667.517844809, -12178.298849233539 6590667.242215788, -12178.302489444202 6590667.240344344, -12178.537718748552 6590667.120626955, -12179.076998571461 6590666.837757222, -12179.293800396732 6590666.724037641, -12179.297915486304 6590666.721903409, -12179.847804019024 6590666.439938619, -12180.06255329877 6590666.327295665, -12180.066668384054 6590666.325161435, -12180.61655698056 6590666.043196607, -12180.831306203047 6590665.930553682, -12180.833132818401 6590665.929600357, -12181.360887036166 6590665.655543365, -12181.585906344872 6590665.534767058, -12181.59385732608 6590665.530591009, -12182.112189521118 6590665.264261972, -12182.36016120573 6590665.1351159215, -12182.362191181082 6590665.134064583, -12182.848842683326 6590664.883433642, -12183.129915753561 6590664.737853696, -12183.130466094566 6590664.7375690825, -12183.585239325917 6590664.502736538, -12183.899466140881 6590664.3406995535, -12183.906492011849 6590664.337146278, -12184.198025583459 6590664.192576671, -12184.238158636246 6590664.174824536, -12184.279693678625 6590664.160659774, -12184.447773569053 6590664.111459376, -12184.458268789684 6590664.108511042, -12184.810302308535 6590664.013745342, -12185.341657431944 6590663.861176061, -12185.34884072019 6590663.859171373, -12185.652607885824 6590663.776833864, -12185.655246888518 6590663.776126284, -12186.213764683436 6590663.628008832, -12186.469843382276 6590663.552466186, -12186.477526751596 6590663.550266204, -12187.07511459572 6590663.38431462, -12187.087458693322 6590663.381055799, -12187.32302382396 6590663.32207353, -12187.922859737439 6590663.159485207, -12188.140207129565 6590663.097633528, -12188.14625392203 6590663.095953709, -12188.75075966475 6590662.932099606, -12188.968106990096 6590662.870247945, -12188.970079056133 6590662.869691109, -12189.588836475305 6590662.696346155, -12189.598631036508 6590662.693709058, -12189.80431576249 6590662.640561872, -12190.428675569556 6590662.4696824085, -12190.62697255157 6590662.414614857, -12190.628771111484 6590662.414119004, -12191.257475037708 6590662.242050609, -12191.26437729182 6590662.240214437, -12191.470655312483 6590662.18691395, -12192.072305627536 6590662.023833815, -12192.282021502297 6590661.964153874, -12192.432596147377 6590661.916089698, -12192.480450004752 6590661.903387697, -12192.52932548396 6590661.895480737, -12192.578743344759 6590661.892446348, -12193.152603975946 6590661.885677634, -12193.278979580506 6590661.882517105, -12193.713434585043 6590661.867857571, -12193.724799180542 6590661.867603394, -12194.140141146308 6590661.863036861, -12194.212277637193 6590661.856452559, -12194.24968029404 6590661.854447421, -12195.018821440804 6590661.842068469, -12195.289932130048 6590661.836799363, -12195.87660199635 6590661.821366907, -12195.88262452594 6590661.821244782, -12196.30222419554 6590661.81526445, -12196.7231039515 6590661.79947274, -12196.7334534975 6590661.799191685, -12197.285547098063 6590661.789917831, -12197.585151535592 6590661.778676457, -12197.598928193946 6590661.778349584, -12198.252185874384 6590661.771855214, -12198.440247100963 6590661.7664081305, -12198.44376701721 6590661.766318581, -12199.171945173819 6590661.750358589, -12199.262031121509 6590661.744064885, -12199.286256446865 6590661.742961939, -12200.073259736268 6590661.726240012, -12200.090446893415 6590661.724214083, -12200.141853452396 6590661.720827037, -12200.707774552473 6590661.712761263, -12200.980141231339 6590661.707467748, -12200.982731512775 6590661.707424118, -12201.121043134388 6590661.705452836, -12201.827848703733 6590661.68549961, -12201.833989570892 6590661.685363996, -12202.670785667535 6590661.672026139, -12202.98142949899 6590661.661998936, -12202.98358766557 6590661.661933937, -12203.501071568375 6590661.647466867, -12203.504422989288 6590661.647384416, -12204.303335543074 6590661.630409447, -12204.34224530309 6590661.62769108, -12204.367131442761 6590661.626574529, -12205.11721450003 6590661.6116290055, -12205.13566884801 6590661.611601931, -12205.215160875148 6590661.612952496, -12205.91415776822 6590661.59321971, -12205.92114170792 6590661.5930713685, -12206.06294580974 6590661.591050309, -12206.065361081175 6590661.59102172, -12206.358915783832 6590661.58825617, -12206.3909149501 6590661.588979224, -12206.802551060786 6590661.611478972, -12206.803416278812 6590661.611527016, -12206.943943815322 6590661.619452455, -12206.952578424214 6590661.620014419, -12207.693725535617 6590661.674694382, -12207.720586376123 6590661.677406951, -12207.803966604075 6590661.688108248, -12208.560045068507 6590661.73565365, -12208.592314553072 6590661.738735786, -12208.659013855544 6590661.747296199, -12209.394609867732 6590661.803120093, -12209.443000088502 6590661.802430413, -12209.488292630502 6590661.803838488, -12210.24080023229 6590661.861448535, -12210.273267139137 6590661.860230355, -12210.329850156937 6590661.861312384, -12211.10083679264 6590661.919822047, -12211.126650527398 6590661.922456259, -12211.189141687046 6590661.9304765845, -12211.46295209889 6590661.9465922145, -12211.497224088907 6590661.949796244, -12211.522985490019 6590661.953102548, -12214.691970353822 6590662.178804553, -12215.130567823047 6590662.204962358, -12215.136255471754 6590662.205334112, -12217.961593254082 6590662.406182067, -12217.967203496875 6590662.406612628, -12218.40535547692 6590662.442719885, -12219.88978034847 6590662.552776916, -12220.145166672379 6590662.565780575, -12220.155981759948 6590662.566448819, -12224.331947559373 6590662.869928992, -12225.172750568549 6590662.927353993, -12227.367710529128 6590663.077623294, -12227.372671402101 6590663.077987721, -12228.180185114468 6590663.141347962, -12228.497764128464 6590663.162092039, -12228.51059356208 6590663.163096006, -12231.778294450984 6590663.461164295, -12234.196715305763 6590663.680564118, -12234.197862159259 6590663.680669492, -12235.057090954595 6590663.760614801, -12235.074419095405 6590663.76253232, -12235.204550685932 6590663.77923385, -12238.183440553057 6590664.050681712, -12238.200770809508 6590664.052582774))</t>
  </si>
  <si>
    <t>['FV4674 S2D1 m910-932']</t>
  </si>
  <si>
    <t>LINESTRING Z (-12283.240617905918 6590674.078062656 9.05, -12274.724760976504 6590671.974073256 10.1, -12262.531146241177 6590668.275819918 11.82)</t>
  </si>
  <si>
    <t>POLYGON ((-12274.604833454297 6590672.459477613, -12274.579641608581 6590672.452550392, -12262.386026873255 6590668.754297053, -12262.6762656091 6590667.797342783, -12274.857374949088 6590671.491803306, -12283.360545428124 6590673.5926583, -12283.120690383712 6590674.563467013, -12274.604833454297 6590672.459477613))</t>
  </si>
  <si>
    <t>['FV4674 S2D1 m569-716']</t>
  </si>
  <si>
    <t>LINESTRING Z (-12120.217120994756 6590745.876884921 25.740000000000002, -12120.942840352713 6590746.839515085 25.73, -12118.567164871609 6590750.224880015 25.71, -12118.186058978434 6590750.7522558635 25.7, -12118.062339175958 6590750.928473337 25.7, -12117.222576404049 6590752.114816365 25.69, -12117.160078213841 6590752.207898343 25.69, -12115.664217489131 6590754.331177855 25.68, -12114.35457473906 6590756.185157861 25.66, -12113.366092844168 6590757.584951023 25.650000000000002, -12113.328593928309 6590757.640800206 25.650000000000002, -12112.77249307104 6590758.4288055 25.650000000000002, -12112.747493793373 6590758.4660382895 25.650000000000002, -12112.72377109318 6590758.493324587 25.64, -12111.697790262231 6590759.9489668785 25.63, -12111.191687950515 6590760.662506569 25.53, -12111.0003636342 6590760.97159192 25.490000000000002, -12109.942734484852 6590762.595047813 25.400000000000002, -12109.716464401165 6590762.940089361 25.42, -12107.186164776387 6590766.821234889 25.310000000000002, -12106.377251783793 6590768.082309304 25.25, -12105.648442932346 6590769.191899414 25.2, -12104.403585230466 6590771.013752503 25.150000000000002, -12104.144922519336 6590771.3748572385 25.14, -12103.323775990575 6590772.573699502 25.1, -12103.182716353622 6590772.727470787 25.12, -12103.054156356666 6590772.862625686 25.14, -12102.529969886236 6590773.401968689 25.2, -12102.377687186992 6590773.564409875 25.21, -12101.806055310939 6590774.158325459 25.28, -12101.643826127809 6590774.319490067 25.3, -12101.093363796943 6590774.906012313 25.36, -12100.918634973408 6590775.085793306 25.38, -12100.370725799468 6590775.652422573 25.43, -12100.183497334889 6590775.850819952 25.45, -12099.65803428425 6590776.400109404 25.5, -12099.459582757845 6590776.607176682 25.52, -12098.945342769148 6590777.147796219 25.57, -12098.724445118452 6590777.372203303 25.59, -12098.22270477016 6590777.894206441 25.64, -12098.000530540477 6590778.128560006 25.66, -12097.510013253952 6590778.641893232 25.7, -12097.300338665023 6590778.857630404 25.72, -12097.276615962095 6590778.884916696 25.72, -12096.805991641362 6590779.4008030705 25.75, -12096.713653987565 6590779.490055269 25.75, -12096.5363720053 6590779.68972921 25.76, -12096.39531236689 6590779.843500471 25.77, -12096.101970027725 6590780.159712898 25.79, -12095.867296156182 6590780.412682837 25.8, -12095.407894896169 6590780.91989929 25.830000000000002, -12095.161997962277 6590781.181539129 25.84, -12094.703873280552 6590781.6788090905 25.86, -12094.457976346603 6590781.940448925 25.88, -12094.009798146959 6590782.438995457 25.900000000000002, -12093.765177792287 6590782.690688806 25.87, -12093.305776529829 6590783.197905233 25.91, -12093.093548780773 6590783.4335353505 25.88, -12092.611701394024 6590783.958091577 25.92, -12092.413249865698 6590784.16515882 25.900000000000002, -12091.907679774798 6590784.717001327 25.93, -12091.731674370298 6590784.906728762 25.92, -12091.203658154991 6590785.475911064 25.95, -12091.0613219355 6590785.639628789 25.94, -12090.509583016566 6590786.23609737 25.98, -12090.381023017573 6590786.371252225 25.97, -12089.805561394547 6590786.995007083 26.01, -12089.734393284307 6590787.076865944 26, -12089.37115941156 6590787.464990695 26.03, -12089.257652213797 6590787.5616362 26.05, -12089.235206090438 6590787.578976003 26.05, -12089.075530065864 6590787.7202475965 26.07, -12088.973245930043 6590787.808223198 26.07, -12088.282256264123 6590788.38681963 26.16, -12088.181248708861 6590788.464848747 26.16, -12087.479035983153 6590789.052115071 26.26, -12087.387974909681 6590789.131420767 26.25, -12086.685762186302 6590789.718687079 26.35, -12086.595977693098 6590789.788046291 26.35, -12085.892488391488 6590790.385259074 26.44, -12085.812650380365 6590790.455894864 26.44, -12085.100491179386 6590791.041884575 26.53, -12085.020653168322 6590791.112520364 26.53, -12084.307217389462 6590791.708456544 26.63, -12084.238602440106 6590791.7704224335 26.63, -12083.51394360204 6590792.375028501 26.72, -12083.456551713985 6590792.428324487 26.72, -12083.411659468198 6590792.463004092 26.73, -12082.775242381438 6590793.089045853 26.8, -12082.730350135476 6590793.123725456 26.8, -12082.036541161302 6590793.803063193 26.810000000000002, -12082.001595396781 6590793.839019376 26.810000000000002, -12081.850589276117 6590793.991514007 26.810000000000002, -12079.177637515997 6590796.620889249 26.88, -12078.87817843631 6590796.9059855305 26.88, -12075.593808881647 6590800.124169483 26.95, -12075.175736285397 6590800.54569713 26.96, -12072.018650154758 6590803.63867248 27, -12071.46334766288 6590804.184131828 27.01, -12071.070274352503 6590804.56842668 27.01, -12068.478171024413 6590807.198067424 27.03, -12067.88536960492 6590807.799375851 27.03, -12064.96625474887 6590810.771238292 27.03, -12064.48951368389 6590811.256008272 27.03, -12062.618771771842 6590813.14918549 27.02, -12062.359098609537 6590813.439387986 27.02, -12062.19559284643 6590813.610498918 27.01, -12061.489018052875 6590814.389301105 27, -12060.912279840151 6590815.023002035 26.990000000000002, -12058.110979939462 6590818.100977854 26.93, -12057.605409835349 6590818.6528199315 26.92, -12055.639244717895 6590820.8168387 26.88, -12054.409493829007 6590822.20588508 26.84, -12054.38449454098 6590822.243117823 26.84, -12054.114874895895 6590822.532043681 26.830000000000002, -12054.066152903251 6590822.596562685 26.830000000000002, -12053.544253400003 6590823.196860513 26.82, -12053.520530695445 6590823.224146776 26.82, -12053.249634466367 6590823.5230191015 26.810000000000002, -12053.22718834522 6590823.54035889 26.810000000000002, -12052.964962009399 6590823.850454275 26.8, -12052.918793183402 6590823.895080326 26.8, -12052.385670617747 6590824.504048028 26.79, -12052.349448268884 6590824.54995066 26.79, -12051.80637922493 6590825.157641774 26.78, -12051.770156875777 6590825.203544407 26.78, -12051.227087831125 6590825.811235511 26.78, -12051.190865481738 6590825.857138145 26.78, -12050.657742913172 6590826.466105821 26.78, -12050.62024397985 6590826.521954931 26.78, -12050.160310303909 6590827.190867656 26.76, -12050.135311015183 6590827.228100395 26.75, -12049.664154275612 6590827.905683003 26.740000000000002, -12049.649101463147 6590827.944192328 26.740000000000002, -12049.176668136497 6590828.631721406 26.72, -12049.164168492134 6590828.650337774 26.72, -12048.680512101972 6590829.346536737 26.71, -12048.66801245726 6590829.365153106 26.71, -12048.193025956512 6590830.07257512 26.7, -12047.84431248554 6590830.583886966 26.69, -12047.696869915468 6590830.787390435 26.7, -12047.210660347599 6590831.503482327 26.7, -12047.19816070242 6590831.522098696 26.7, -12046.724450776528 6590832.21957421 26.71, -12046.700728070864 6590832.24686047 26.71, -12046.227018141537 6590832.944335975 26.72, -12046.202018851414 6590832.981568711 26.72, -12046.18951920612 6590833.000185079 26.72, -12045.862453245616 6590833.736702297 26.7, -12045.849953600438 6590833.755318663 26.7, -12045.507834819378 6590834.530345197 26.68, -12045.437677084527 6590834.683105891 26.68, -12045.18204543268 6590835.256915929 26.68, -12045.15193980292 6590835.333934565 26.68, -12044.857532626193 6590835.973540177 26.68, -12044.797321364807 6590836.127577453 26.68, -12044.530466644908 6590836.710057371 26.68, -12044.443979506323 6590836.911273855 26.68, -12044.190901012684 6590837.465190925 26.69, -12044.089361056336 6590837.704916729 26.69, -12043.848782204615 6590838.24021743 26.69, -12043.734742600762 6590838.498559595 26.69, -12043.494163744966 6590839.03386029 26.69, -12043.38140072429 6590839.282255978 26.69, -12043.127045633155 6590839.846119512 26.69, -12043.026782256959 6590840.075898831 26.69, -12042.754821173847 6590840.698164627 26.69, -12042.672163783805 6590840.869541674 26.69, -12042.360150585417 6590841.567549517 26.69, -12042.317545304308 6590841.663184515 26.69, -12042.046860797389 6590842.275503827 26.69, -12042.03180797951 6590842.314013145 26.69, -12041.962926819047 6590842.456827349 26.7, -12041.608308327966 6590843.250470174 26.72, -12041.59453209571 6590843.279033013 26.72, -12041.252413245034 6590844.054059468 26.76, -12041.227413951361 6590844.091292199 26.76, -12041.182255496271 6590844.206820145 26.76, -12040.944973946898 6590844.87397816 26.78, -12040.927367956378 6590844.932380425 26.78, -12040.647481116815 6590845.695173434 26.8, -12040.618652065285 6590845.762245587 26.8, -12040.349988280155 6590846.516368698 26.82, -12040.318606055633 6590846.603333805 26.830000000000002, -12040.051218850713 6590847.347510434 26.85, -12040.017283453024 6590847.454368489 26.86, -12039.75244941347 6590848.1786521645 26.89, -12039.704737781314 6590848.314073058 26.89, -12039.452403383271 6590849.019740363 26.92, -12039.402138577017 6590849.175054208 26.93, -12039.153633932234 6590849.850882079 26.96, -12039.08831630426 6590850.044705235 26.97, -12038.947734571819 6590850.431074959 26.990000000000002, -12038.892097200966 6590850.707023085 27, -12038.855342409399 6590850.914622477 27, -12038.730025211175 6590851.575929956 27.01, -12038.682047356036 6590851.792199234 27.02, -12038.5592833244 6590852.4336137585 27.03, -12038.506199120544 6590852.689668934 27.03, -12038.360722739424 6590853.429271622 27.05, -12038.20248048316 6590854.268339055 27.060000000000002, -12037.733126238512 6590856.664907047 27.1, -12037.697648019821 6590856.8625599565 27.1, -12037.601426060311 6590857.37594688 27.11, -12037.488874686183 6590857.937789595 27.12, -12037.216804416617 6590859.348646192 27.150000000000002, -12037.158613842621 6590859.644487257 27.150000000000002, -12037.100423267286 6590859.940328322 27.16)</t>
  </si>
  <si>
    <t>POLYGON ((-12121.34209321258 6590746.538521474, -12121.369304507902 6590746.578501054, -12121.392526109243 6590746.620922496, -12121.411540771858 6590746.665388932, -12121.426170608143 6590746.71148437, -12121.436278751804 6590746.758777571, -12121.441770638266 6590746.806826094, -12121.442594889366 6590746.855180432, -12121.438743793993 6590746.903388217, -12121.430253380251 6590746.95099845, -12121.417203078381 6590746.997565724, -12121.39971497769 6590747.0426543895, -12121.377952684354 6590747.085842629, -12121.352119790721 6590747.126726404, -12118.976444309617 6590750.512091333, -12118.972423011246 6590750.517738069, -12118.593314257838 6590751.042350268, -12118.471553725383 6590751.2157771, -12118.470442834529 6590751.217352903, -12117.634245927062 6590752.398658392, -12117.575188179537 6590752.48661633, -12117.56882724372 6590752.495864019, -12116.07296651901 6590754.619143531, -12116.072602705455 6590754.61965925, -12114.762981974758 6590756.473608084, -12113.77791993021 6590757.868558383, -12113.743703879863 6590757.919518215, -12113.737111605316 6590757.929093993, -12113.184362540753 6590758.712349734, -12113.162603743802 6590758.744756299, -12113.124827469617 6590758.794092091, -12113.117798876388 6590758.802176512, -12112.106476655663 6590760.2370214425, -12112.10561954068 6590760.238233675, -12111.608582276243 6590760.938992806, -12111.425504969531 6590761.234755073, -12111.419304246838 6590761.244518216, -12110.361675097489 6590762.867974109, -12110.36084926071 6590762.869237591, -12110.134946972465 6590763.213718284, -12107.606024387167 6590767.092751616, -12106.79811067641 6590768.352268175, -12106.795165076748 6590768.356806079, -12106.066356225301 6590769.466396189, -12106.06127319511 6590769.473983044, -12104.81641549323 6590771.295836133, -12104.810062544964 6590771.304916019, -12104.554462232176 6590771.661745508, -12103.736287485091 6590772.856249086, -12103.692230548602 6590772.911695417, -12103.551170911649 6590773.065466702, -12103.544998035284 6590773.072074884, -12103.416438038328 6590773.207229783, -12103.412711885558 6590773.211105145, -12102.891664606512 6590773.747218188, -12102.742462414482 6590773.906373372, -12102.737934211922 6590773.911140435, -12102.166302335869 6590774.505056019, -12102.158442934991 6590774.513040785, -12102.002421308038 6590774.668038571, -12101.457946958362 6590775.248180574, -12101.451919317957 6590775.25449178, -12101.27763370767 6590775.433816744, -12100.732280150098 6590775.997803079, -12100.547138232216 6590776.19398944, -12100.544799946285 6590776.196450423, -12100.019336895646 6590776.745739875, -12099.821216760474 6590776.952461682, -12099.307624431545 6590777.492400336, -12099.30167143738 6590777.498552375, -12099.082862464278 6590777.720837597, -12098.584377565985 6590778.239453814, -12098.363386991234 6590778.472558837, -12098.362026283508 6590778.473988475, -12097.871508996983 6590778.987321702, -12097.868568758455 6590778.9903727155, -12097.668566702572 6590779.19615768, -12097.653949586342 6590779.212970558, -12097.646002134286 6590779.221894226, -12097.175377813553 6590779.737780601, -12097.153487526177 6590779.7603119165, -12097.074875760121 6590779.836296876, -12096.910268111345 6590780.021695627, -12096.904826535076 6590780.027725156, -12096.763766896667 6590780.181496417, -12096.761872931593 6590780.183549515, -12096.468530592427 6590780.499761942, -12096.235884193806 6590780.750546339, -12095.778484208122 6590781.255553222, -12095.77223966368 6590781.262321385, -12095.528044869825 6590781.522150108, -12095.071604235716 6590782.017592126, -12095.068218045591 6590782.0212311875, -12094.826112598688 6590782.278836795, -12094.381635663609 6590782.7732660975, -12094.368353638132 6590782.7874749545, -12094.12986298305 6590783.032861368, -12093.676832480714 6590783.533043957, -12093.465069882935 6590783.768157631, -12093.461774527028 6590783.771780527, -12092.979927140279 6590784.296336753, -12092.972684970748 6590784.304055241, -12092.77812384161 6590784.507063185, -12092.276351851599 6590785.054759969, -12092.27424031956 6590785.057050393, -12092.09823491506 6590785.246777828, -12091.575701924454 6590785.810049413, -12091.43865553076 6590785.967682684, -12091.428369973795 6590785.979151598, -12090.876631054862 6590786.575620179, -12090.871864638584 6590786.580701529, -12090.745931708581 6590786.713094551, -12090.178055899754 6590787.3286269875, -12090.111726875664 6590787.404919843, -12090.0994588641 6590787.418519456, -12089.736224991353 6590787.806644207, -12089.695303592067 6590787.8456881475, -12089.581796394305 6590787.942333653, -12089.563321563779 6590787.957320732, -12089.554050306677 6590787.964482849, -12089.406842957738 6590788.09472292, -12089.401573655834 6590788.099319591, -12089.299289520013 6590788.187295193, -12089.29424473968 6590788.191576513, -12088.60325507376 6590788.770172945, -12088.587925618398 6590788.782504158, -12088.49458349472 6590788.85461167, -12087.803639667498 6590789.432453721, -12087.716352187746 6590789.508472969, -12087.708740015843 6590789.514969652, -12087.006527292464 6590790.102235964, -12086.99143153421 6590790.114371612, -12086.910773364141 6590790.176680669, -12086.219972683024 6590790.763121708, -12086.143963257797 6590790.8303702, -12086.130344282094 6590790.841991465, -12085.425098605576 6590791.422292484, -12085.35196604344 6590791.486995702, -12085.341191579371 6590791.496258722, -12084.635167190776 6590792.086004133, -12084.573719050266 6590792.141497706, -12084.55892086237 6590792.154344441, -12083.844454405898 6590792.750446679, -12083.796789324557 6590792.794710034, -12083.762221057657 6590792.824009024, -12083.7409850201 6590792.840414026, -12083.125878306517 6590793.445492831, -12083.080911714083 6590793.484730398, -12083.059215045285 6590793.50149124, -12082.39077726221 6590794.15598697, -12082.36015084113 6590794.187498921, -12082.356878506185 6590794.190834544, -12082.20587238552 6590794.343329174, -12082.201225190902 6590794.347960995, -12079.528273430782 6590796.977336237, -12079.522399882333 6590796.983020318, -12079.225545931538 6590797.265636419, -12075.946297858032 6590800.478802096, -12075.530741582837 6590800.897792627, -12075.525644650257 6590800.9028583495, -12072.368793341322 6590803.995603646, -12071.813725528655 6590804.540832475, -12071.812886252634 6590804.541654938, -12071.423116677963 6590804.922719836, -12068.834256794473 6590807.5490701655, -12068.241753803626 6590808.150075882, -12065.322959544132 6590811.121611933, -12064.846006926442 6590811.60659716, -12064.845168155245 6590811.607448021, -12062.983126671512 6590813.491820469, -12062.731707592062 6590813.772798464, -12062.720594206654 6590813.784816609, -12062.561555645254 6590813.9512525555, -12061.859325671512 6590814.725265787, -12061.858800272052 6590814.725843986, -12061.282062059328 6590815.359544915, -12058.480762151228 6590818.437520742, -12058.479651880976 6590818.438736643, -12057.974780328734 6590818.9898162335, -12056.011476679118 6590821.150685588, -12054.805992400876 6590822.512321987, -12054.799604279851 6590822.521836149, -12054.776072643137 6590822.554030335, -12054.75005025088 6590822.584246865, -12054.498194420212 6590822.854136923, -12054.46516299863 6590822.8978780415, -12054.443486353628 6590822.924616747, -12053.92158685038 6590823.524914574, -12053.897864136665 6590823.552200848, -12053.890997534798 6590823.559935878, -12053.62010130572 6590823.858808204, -12053.58902635843 6590823.890188196, -12053.578999938109 6590823.898666431, -12053.346753527012 6590824.173309098, -12053.312457706514 6590824.209963301, -12053.281271442504 6590824.240107447, -12052.77027793595 6590824.823797881, -12052.741958557404 6590824.859685504, -12052.722268417834 6590824.883124994, -12052.18940338149 6590825.479397883, -12052.162667166143 6590825.513279249, -12052.142977021724 6590825.536718744, -12051.61011199022 6590826.132991616, -12051.583375774191 6590826.166872984, -12051.567069363711 6590826.186486956, -12051.055019455365 6590826.771384053, -12051.035353703563 6590826.800673279, -12051.032248787702 6590826.805242838, -12050.573880186037 6590827.47187937, -12050.550420734318 6590827.506818749, -12050.54582185183 6590827.513548907, -12050.105083931237 6590828.1473854305, -12050.090893019411 6590828.178329512, -12050.06119038466 6590828.227357863, -12049.590279416698 6590828.912671464, -12049.579278201589 6590828.929056143, -12049.574802377185 6590828.935609246, -12049.093409902993 6590829.628549416, -12049.083122169564 6590829.64387147, -12048.608135667 6590830.3512934875, -12048.606105121682 6590830.354294135, -12048.25739165071 6590830.865605981, -12048.249209821874 6590830.877243655, -12048.1062439002 6590831.074568355, -12047.625048027152 6590831.783276052, -12047.61327040992 6590831.800817068, -12047.611782010123 6590831.803021129, -12047.13807208423 6590832.500496644, -12047.101784187998 6590832.547628316, -12047.09760967954 6590832.552429907, -12046.641386547992 6590833.224158404, -12046.628852093076 6590833.242826616, -12046.31942232738 6590833.939629029, -12046.300136280954 6590833.978432644, -12046.292461593448 6590833.991008172, -12045.96525114067 6590834.732261786, -12045.962206648752 6590834.739022557, -12045.893241321557 6590834.889186915, -12045.643501649722 6590835.449771372, -12045.617627020563 6590835.515965923, -12045.606134169533 6590835.5429978985, -12045.31787060443 6590836.169256388, -12045.263008582035 6590836.309608812, -12045.251887834596 6590836.335830483, -12044.987495983014 6590836.912934549, -12044.903343878075 6590837.108718465, -12044.898760426162 6590837.119058154, -12044.648581910085 6590837.666627995, -12044.549763663237 6590837.899928112, -12044.545419465 6590837.909881916, -12044.305524652023 6590838.4436605945, -12044.192158911817 6590838.700476208, -12044.190801007328 6590838.703524787, -12043.950222151532 6590839.238825482, -12043.949446435303 6590839.240542829, -12043.836929783574 6590839.488395813, -12043.584086315072 6590840.048908327, -12043.48505484333 6590840.2758644195, -12043.212975566212 6590840.898400869, -12043.205175521729 6590840.915376416, -12043.125671994621 6590841.080214427, -12042.816749593925 6590841.771307816, -12042.774564111578 6590841.866000501, -12042.50857829557 6590842.467690838, -12042.497495184116 6590842.496044536, -12042.482162323791 6590842.531224942, -12042.416451458581 6590842.66746604, -12042.064810086145 6590843.454446017, -12042.058662666253 6590843.467681983, -12042.048546269249 6590843.488656732, -12041.709829543617 6590844.255976109, -12041.690363034526 6590844.295306193, -12041.674041575434 6590844.322083322, -12041.65075694133 6590844.381651923, -12041.420164115882 6590845.030003437, -12041.406088203827 6590845.0766957905, -12041.39676710503 6590845.104614101, -12041.116880265468 6590845.8674071105, -12041.10684546669 6590845.892618095, -12041.084307825202 6590845.945052984, -12040.820990824346 6590846.684167993, -12040.820302952832 6590846.68608643, -12040.78903748949 6590846.772727973, -12040.524931891596 6590847.507771423, -12040.493829885996 6590847.605707503, -12040.486875789979 6590847.626074742, -12040.223055412822 6590848.347586194, -12040.176324657754 6590848.480223044, -12040.175543114909 6590848.482424885, -12039.925769398902 6590849.180931099, -12039.87784629399 6590849.329009293, -12039.871419191351 6590849.34761059, -12039.625271435138 6590850.017028718, -12039.562134750307 6590850.204380156, -12039.558180335647 6590850.215666611, -12039.430445401807 6590850.56672866, -12039.38340631058 6590850.800031364, -12039.347685567018 6590851.001790219, -12039.346599698722 6590851.007715311, -12039.221282500497 6590851.669022789, -12039.21815789514 6590851.684218842, -12039.17176111242 6590851.893361136, -12039.050369407523 6590852.527605562, -12039.048872800626 6590852.535113241, -12038.996306434856 6590852.788670589, -12038.851699326251 6590853.5238538915, -12038.693819027616 6590854.361002072, -12038.693159035194 6590854.364435665, -12038.224563503478 6590856.757129596, -12038.189782733405 6590856.950896946, -12038.189090716218 6590856.9546690015, -12038.092868756708 6590857.468055925, -12038.09168569394 6590857.474158344, -12037.979488197352 6590858.034234545, -12037.707759066074 6590859.443322124, -12037.70740405313 6590859.44514488, -12037.649213479133 6590859.740985945, -12037.591022903376 6590860.036827012, -12036.609823631195 6590859.843829633, -12036.66801420653 6590859.5479885675, -12036.726025588694 6590859.253058514, -12036.997920036727 6590857.843113663, -12036.998615052555 6590857.839578131, -12037.110555927313 6590857.280782955, -12037.205852082428 6590856.772335609, -12037.240991524928 6590856.576570057, -12037.242447686478 6590856.568810436, -12037.711465932136 6590854.173958087, -12037.869384194968 6590853.3366086045, -12037.870123095536 6590853.332772972, -12038.015599476656 6590852.593170284, -12038.016609644319 6590852.588169452, -12038.068916806933 6590852.335862386, -12038.190961272914 6590851.698207431, -12038.19391467207 6590851.6839103475, -12038.240212334847 6590851.475214855, -12038.363524338927 6590850.824488924, -12038.399754043347 6590850.619855343, -12038.401960398345 6590850.608200442, -12038.457597769198 6590850.332252316, -12038.466380856202 6590850.29580264, -12038.477870540431 6590850.260113584, -12038.61640757139 6590849.879363444, -12038.679815486186 6590849.691207159, -12038.6843533179 6590849.678325698, -12038.929461335081 6590849.011735222, -12038.976695666299 6590848.865785278, -12038.981598049677 6590848.851388535, -12039.233539103388 6590848.14682124, -12039.28086253703 6590848.012502179, -12039.282857076516 6590848.006945912, -12039.543994849864 6590847.292771002, -12039.57467241774 6590847.19617142, -12039.580671175425 6590847.178439782, -12039.848058380345 6590846.434263153, -12039.848291382956 6590846.433616073, -12039.87932770358 6590846.347609521, -12040.147649521094 6590845.594446292, -12040.15928771541 6590845.5648009265, -12040.182757194449 6590845.5101980725, -12040.452897217107 6590844.77396867, -12040.46625369945 6590844.729662795, -12040.473882163658 6590844.706429565, -12040.711163713031 6590844.03927155, -12040.716568297137 6590844.02478874, -12040.761726752227 6590843.909260794, -12040.78437007728 6590843.859533433, -12040.812304286794 6590843.812573764, -12040.812770125309 6590843.811879966, -12041.137115797128 6590843.077116372, -12041.144177757424 6590843.061821204, -12041.154783689308 6590843.039831481, -12041.506425060868 6590842.252851506, -12041.512572474767 6590842.239615552, -12041.573111657712 6590842.11409712, -12041.581173592784 6590842.093472436, -12041.589551961883 6590842.073343918, -12041.860236468801 6590841.461024606, -12041.86081843518 6590841.459713222, -12041.903423716289 6590841.364078225, -12041.903679691448 6590841.363504613, -12042.215692889837 6590840.665496769, -12042.221809435923 6590840.6523298845, -12042.300408211006 6590840.489367735, -12042.56856863058 6590839.87579812, -12042.668773046784 6590839.646153923, -12042.67127155086 6590839.6405228535, -12042.925626641996 6590839.07665932, -12042.926118033954 6590839.07557344, -12043.038491556652 6590838.828035742, -12043.27800015414 6590838.295116428, -12043.39136589356 6590838.038300817, -12043.392723795952 6590838.035252242, -12043.631076497093 6590837.504904845, -12043.730498405783 6590837.270179542, -12043.736120092844 6590837.257406626, -12043.986848380364 6590836.708633491, -12044.071102273156 6590836.512612761, -12044.07590017512 6590836.501804342, -12044.336820939712 6590835.932276826, -12044.391845408965 6590835.791508817, -12044.403338259579 6590835.764476843, -12044.69160182651 6590835.13821835, -12044.716358215037 6590835.074884571, -12044.725318546502 6590835.053444674, -12044.980950198347 6590834.479634636, -12044.983305255153 6590834.474428531, -12045.051915673117 6590834.325036948, -12045.392537279147 6590833.553402074, -12045.412003787356 6590833.514071981, -12045.420219454245 6590833.500593282, -12045.732550124356 6590832.797258347, -12045.751836165655 6590832.758454741, -12045.774409506275 6590832.721466696, -12045.78690915157 6590832.702850328, -12045.81190843929 6590832.665617595, -12045.813396836525 6590832.663413537, -12046.287106765853 6590831.965938032, -12046.323394659394 6590831.918806364, -12046.327569168434 6590831.914004773, -12046.78379222921 6590831.242276365, -12046.7955506401 6590831.224763955, -12046.797000330787 6590831.222616896, -12047.283209898656 6590830.506525004, -12047.291972579134 6590830.494033746, -12047.435241441328 6590830.29629092, -12047.77892609298 6590829.792352736, -12048.252902746772 6590829.086434739, -12048.265402389667 6590829.0678183725, -12048.269878216921 6590829.061265266, -12048.751270684326 6590828.368325106, -12048.761558427042 6590828.353003037, -12048.764579214983 6590828.34855587, -12049.207570450855 6590827.703873671, -12049.223014223458 6590827.670320614, -12049.253643438964 6590827.620234491, -12049.722473312178 6590826.945998209, -12049.745200584774 6590826.912149302, -12049.748305496058 6590826.907579749, -12050.20667408691 6590826.2409432335, -12050.24263318946 6590826.187387473, -12050.281539031199 6590826.13675701, -12050.806258165034 6590825.53738829, -12050.834577538672 6590825.501500672, -12050.854267685178 6590825.478061174, -12051.387132716794 6590824.881788301, -12051.413868934564 6590824.847906932, -12051.43355907598 6590824.82446744, -12051.966424116536 6590824.228194547, -12051.993160329226 6590824.194313184, -12052.009466727894 6590824.174699226, -12052.54258929355 6590823.5657315245, -12052.571297486287 6590823.5355712995, -12052.59939727498 6590823.508410491, -12052.845396827606 6590823.217504066, -12052.881534462236 6590823.179078676, -12052.90434882938 6590823.159448274, -12053.14659054832 6590822.892189679, -12053.166919958783 6590822.86880644, -12053.677520663545 6590822.281504687, -12053.715864800517 6590822.2307283245, -12053.749319185996 6590822.190914639, -12053.991667086273 6590821.93121333, -12053.994384090136 6590821.927166754, -12054.035126530996 6590821.874450129, -12055.264877419884 6590820.48540375, -12055.269178967008 6590820.480607619, -12057.235344084462 6590818.31658885, -12057.236737893834 6590818.315061143, -12057.741751847369 6590817.763826117, -12060.542497628385 6590814.686459146, -12061.118972958677 6590814.053047064, -12061.825285227793 6590813.274534237, -12061.834097249313 6590813.265070296, -12061.991947936911 6590813.099877475, -12062.246162789317 6590812.815775013, -12062.263117300487 6590812.797745741, -12064.13343925094 6590810.904993521, -12064.60965644433 6590810.420756235, -12067.528664809657 6590807.449002209, -12067.529306485589 6590807.448350132, -12068.122091978943 6590806.84705786, -12070.714188582444 6590804.217423938, -12070.72073576275 6590804.21090357, -12071.113388820506 6590803.827019585, -12071.668272288984 6590803.281971834, -12071.668741789897 6590803.281511261, -12074.823261262847 6590800.1910504475, -12075.238803584207 6590799.772073986, -12075.243872225745 6590799.767035983, -12078.528241780406 6590796.54885203, -12078.533416069973 6590796.543854462, -12078.82991514711 6590796.261576214, -12081.497614558826 6590793.637367692, -12081.644668353189 6590793.488864347, -12081.677985716953 6590793.454583649, -12081.686733203367 6590793.445803634, -12082.380542177541 6590792.766465897, -12082.424680802831 6590792.728040911, -12082.445916833874 6590792.711635916, -12083.06102354312 6590792.106557114, -12083.105990124526 6590792.067319555, -12083.132933719015 6590792.046505421, -12083.173705991469 6590792.008642955, -12083.193625179776 6590791.991106493, -12083.910759013299 6590791.3927787775, -12083.972100779301 6590791.337381272, -12083.986678978412 6590791.324718187, -12084.694661719903 6590790.733336953, -12084.769178304268 6590790.6674092375, -12084.782797277658 6590790.655787975, -12085.488042950003 6590790.075486959, -12085.561175514056 6590790.010783738, -12085.568901146284 6590790.004088122, -12086.272390447893 6590789.406875339, -12086.29030834519 6590789.392361758, -12086.372427400123 6590789.328924156, -12087.063371228773 6590788.751082114, -12087.150658705088 6590788.675062869, -12087.158270873726 6590788.668566189, -12087.860483599434 6590788.081299865, -12087.875579354586 6590788.069164218, -12087.968800855664 6590787.997149888, -12088.64971059028 6590787.426993833, -12088.74683572171 6590787.343455542, -12088.903893198563 6590787.20450068, -12088.929536740456 6590787.183291472, -12088.942567135433 6590787.173225391, -12089.025448608269 6590787.1026561055, -12089.363069133728 6590786.741899876, -12089.42822780319 6590786.666953184, -12089.438068042802 6590786.655966324, -12090.013529665828 6590786.032211466, -12090.018741395555 6590786.026648066, -12090.144900474876 6590785.894017293, -12090.689042773363 6590785.305761194, -12090.826324559732 6590785.14785717, -12090.83709761164 6590785.135861997, -12091.365113826947 6590784.566679695, -12091.540059872064 6590784.378094211, -12092.044577788898 6590783.827400179, -12092.052266288974 6590783.819195156, -12092.247055881833 6590783.61594883, -12092.72366646437 6590783.097093575, -12092.934255427666 6590782.863282952, -12092.935187227351 6590782.862251291, -12093.39458848981 6590782.355034864, -12093.406622301114 6590782.342209308, -12093.64446344454 6590782.097491186, -12094.086138829953 6590781.606178285, -12094.093631581563 6590781.598026828, -12094.337826381869 6590781.338198102, -12094.794267007113 6590780.8427560935, -12094.797653194766 6590780.839117034, -12095.040396695926 6590780.58083252, -12095.49670684423 6590780.077028905, -12095.50073559313 6590780.072633791, -12095.735409464673 6590779.8196638515, -12096.027801924794 6590779.50447536, -12096.165172210089 6590779.35472592, -12096.339757881518 6590779.158088852, -12096.36615810275 6590779.130546423, -12096.447196539493 6590779.052215879, -12096.903202738378 6590778.552353516, -12096.923005040777 6590778.529576542, -12096.94178316052 6590778.50915092, -12097.149981186025 6590778.294933006, -12097.63835299248 6590777.783845055, -12097.859848319404 6590777.550207609, -12097.862224157576 6590777.547718738, -12098.363964505868 6590777.0257156, -12098.36811645022 6590777.021447147, -12098.58601127118 6590776.8000906, -12099.097301095448 6590776.262572565, -12099.098599150688 6590776.261213049, -12099.29689101014 6590776.05431237, -12099.821021422225 6590775.506415984, -12100.007084902141 6590775.309253085, -12100.011284727407 6590775.304856586, -12100.559193901347 6590774.738227319, -12100.560079452394 6590774.73731384, -12100.731766924493 6590774.560662137, -12101.27924296639 6590773.977321806, -12101.291438503757 6590773.964774741, -12101.44969324524 6590773.807558494, -12102.015160409252 6590773.220047939, -12102.165194658746 6590773.060005192, -12102.171414357344 6590773.053489231, -12102.693727329559 6590772.5160738975, -12102.817318369192 6590772.386142855, -12102.93132469774 6590772.261862798, -12103.73241102482 6590771.092307655, -12103.738445204837 6590771.083693723, -12103.993881125514 6590770.727093732, -12105.233036509984 6590768.913586002, -12105.957853427246 6590767.810073495, -12106.765305883771 6590766.551276018, -12106.767315918798 6590766.548167801, -12109.297615543575 6590762.667022273, -12109.298349625305 6590762.665899583, -12109.524205827616 6590762.321489167, -12110.578266194194 6590760.703511339, -12110.766546615185 6590760.399343416, -12110.783858672066 6590760.373239772, -12111.289531534649 6590759.66030555, -12112.315084699749 6590758.205270023, -12112.346437416936 6590758.165270786, -12112.349736211296 6590758.16147645, -12112.35738312061 6590758.150087491, -12112.363975394032 6590758.140511713, -12112.916724447703 6590757.357255987, -12112.950982892613 6590757.306233014, -12112.957662889487 6590757.296532972, -12113.946144784379 6590755.89673981, -12115.255650276276 6590754.042954101, -12116.748096810234 6590751.924520817, -12116.807466438353 6590751.836098378, -12116.814472745478 6590751.825936798, -12117.65367860046 6590750.640380533, -12117.776844429009 6590750.4649521, -12117.780800838796 6590750.459397809, -12118.159876517862 6590749.934831378, -12120.324615503401 6590746.850053385, -12119.817868134889 6590746.177878533, -12120.616373854622 6590745.57589131, -12121.34209321258 6590746.538521474))</t>
  </si>
  <si>
    <t>['FV4674 S2D1 m181-202']</t>
  </si>
  <si>
    <t>LINESTRING Z (-11794.625707634259 6591120.279272355 52.49, -11795.239090132352 6591120.226565475 52.44, -11795.332437952398 6591120.208215677 52.44, -11795.444402042427 6591120.202365552 52.43, -11795.464294926496 6591120.20491878 52.43, -11796.284265956667 6591120.118065534 52.370000000000005, -11796.41739954619 6591120.104822195 52.36, -11797.23609397147 6591120.02791539 52.31, -11797.369227562449 6591120.01467205 52.300000000000004, -11798.199145053863 6591119.929095413 52.25, -11798.32105558971 6591119.924521899 52.24, -11799.160919532354 6591119.84022188 52.19, -11799.284106683917 6591119.825701926 52.18, -11800.071685195318 6591119.7549117105 52.14, -11800.114024194074 6591119.740125284 52.13, -11800.228541518969 6591119.714382273 52.120000000000005, -11801.072501796647 6591119.519394763 52.02, -11801.167126237764 6591119.491098519 52.01, -11802.030979409756 6591119.298664234 51.910000000000004, -11802.104434351495 6591119.27776121 51.9, -11802.990733646846 6591119.067987262 51.800000000000004, -11803.041742475529 6591119.064423891 51.79, -11803.949211280793 6591118.847256723 51.69, -11803.970380781277 6591118.839863508 51.69, -11804.32387921412 6591118.7639110815 51.660000000000004, -11804.907688924868 6591118.62652618 51.61, -11805.429266751802 6591118.50137448 51.56, -11805.835050635389 6591118.411912234 51.53, -11805.897282523045 6591118.399679035 51.52, -11805.960791025427 6591118.377499387 51.52, -11806.543324132334 6591118.250060928 51.47, -11806.783581856464 6591118.189905069 51.45, -11807.35744514002 6591118.051243545 51.4, -11807.742059531156 6591117.96917451 51.36, -11807.76322903228 6591117.961781296 51.36, -11807.784398533578 6591117.954388082 51.36, -11808.690590772661 6591117.747167335 51.28, -11808.742876218923 6591117.733657518 51.28, -11809.639122024353 6591117.525160152 51.2, -11809.680184413213 6591117.520320167 51.19, -11810.59759973007 6591117.3044295795 51.120000000000005, -11810.659831620695 6591117.292196383 51.11, -11811.524961499963 6591117.089815606 50.94, -11811.546131002018 6591117.08242239 50.94, -11812.463546337967 6591116.866531797 50.86, -11812.494662284385 6591116.860415191 50.85, -11813.422024074302 6591116.645801209 50.77, -11813.443193576531 6591116.638407995 50.77, -11814.380501820473 6591116.425070619 50.69, -11814.401671323401 6591116.4176774025 50.69, -11814.495019164111 6591116.399327597 50.68, -11815.057659438928 6591116.269335878 50.63)</t>
  </si>
  <si>
    <t>POLYGON ((-11814.524561701375 6591116.903089109, -11814.491467062828 6591116.912601864, -11813.576368066379 6591117.120884272, -11813.534756737377 6591117.132926805, -11812.607394947461 6591117.347540787, -11812.591103926814 6591117.351026045, -11812.56907020976 6591117.355357314, -11811.682397200513 6591117.564013476, -11811.638852285016 6591117.576671734, -11810.773722405747 6591117.779052511, -11810.756273160387 6591117.782807256, -11810.703123563717 6591117.793255107, -11809.794718235611 6591118.00702542, -11809.738713773535 6591118.0168826645, -11809.725298955203 6591118.018463857, -11808.862082162752 6591118.219277547, -11808.815675595753 6591118.231268344, -11808.802049736607 6591118.234585943, -11807.922983472881 6591118.43560374, -11807.906914655354 6591118.441215597, -11807.846400612558 6591118.458166267, -11807.468352963519 6591118.538834089, -11806.90302194661 6591118.675433978, -11806.664765653315 6591118.735088718, -11806.65018004677 6591118.738509301, -11806.097141949533 6591118.859495253, -11806.062137692721 6591118.871720106, -11805.993724081305 6591118.8902899055, -11805.937109146533 6591118.901418955, -11805.541432033826 6591118.988652985, -11805.024351621585 6591119.112725537, -11805.022222740245 6591119.1132314345, -11804.438413029497 6591119.250616336, -11804.428911827445 6591119.252754768, -11804.100015086773 6591119.323421293, -11804.065580889424 6591119.333526313, -11803.15811208416 6591119.550693481, -11803.11760780237 6591119.55863483, -11803.076586525212 6591119.563208305, -11803.066234455446 6591119.563931479, -11802.2305038601 6591119.7617365625, -11802.16783083737 6591119.779571383, -11802.139695996073 6591119.7867018385, -11801.293270602968 6591119.975253865, -11801.215752618009 6591119.998434639, -11801.185056198869 6591120.006561579, -11800.34109592119 6591120.2015490895, -11800.338202787298 6591120.202208478, -11800.25173622744 6591120.221645795, -11800.236540322383 6591120.226952797, -11800.197265249755 6591120.238884489, -11800.157143819524 6591120.247554404, -11800.116446433505 6591120.2529041115, -11799.335761869439 6591120.323074676, -11799.219448888605 6591120.336784378, -11799.210855327125 6591120.337722047, -11798.37099138448 6591120.422022066, -11798.33980006792 6591120.42417042, -11798.234197284686 6591120.428132143, -11797.42051295071 6591120.512034904, -11797.418720331783 6591120.512216486, -11797.285586740805 6591120.525459826, -11797.282857271193 6591120.5257237805, -11796.46552808344 6591120.602502338, -11796.33534601426 6591120.615452076, -11795.516961470881 6591120.702137278, -11795.45876451898 6591120.704888194, -11795.43747725596 6591120.703409423, -11795.39401287837 6591120.705680437, -11795.335531699633 6591120.717176343, -11795.281896510682 6591120.724729719, -11794.668514012588 6591120.777436599, -11794.58290125593 6591119.781108111, -11795.169261293531 6591119.730723224, -11795.235996385118 6591119.7176048085, -11795.30634853476 6591119.708896799, -11795.418312624788 6591119.703046674, -11795.458295162403 6591119.702757228, -11796.231599412282 6591119.620847036, -11796.234773190243 6591119.620521097, -11796.367906779766 6591119.607277758, -11796.370636246467 6591119.607013805, -11797.187965548705 6591119.530235237, -11797.318838388761 6591119.517216783, -11798.147859665602 6591119.431732559, -11798.180400575651 6591119.429446892, -11798.286681848165 6591119.425459715, -11799.106682923155 6591119.3431534, -11799.225577327667 6591119.329139428, -11799.23934544573 6591119.327709525, -11799.970463239344 6591119.26199419, -11800.004362925745 6591119.252299079, -11800.11743262123 6591119.226881489, -11800.944470088341 6591119.035803803, -11801.023875416402 6591119.012058644, -11801.058409651447 6591119.003060915, -11801.90809188229 6591118.813783387, -11801.96758292388 6591118.79685406, -11801.989273438083 6591118.791203953, -11802.875572733434 6591118.581430006, -11802.915482413699 6591118.573682445, -11802.955889597162 6591118.569202848, -11802.965617764303 6591118.568523258, -11803.812701943325 6591118.365806789, -11803.865348167952 6591118.351019821, -11804.214085595533 6591118.276090341, -11804.792090069692 6591118.140071555, -11805.312604055085 6591118.015175123, -11805.321618039623 6591118.013100218, -11805.72740192321 6591117.923637971, -11805.738609077129 6591117.921301363, -11805.765974303786 6591117.915922059, -11805.795935855751 6591117.905458315, -11805.85393511099 6591117.889051014, -11806.429149770467 6591117.763213582, -11806.662140335482 6591117.704877279, -11806.666147311607 6591117.703891563, -11807.240010595164 6591117.565230039, -11807.253104058618 6591117.562251788, -11807.60692775433 6591117.486752872, -11807.619543410592 6591117.482346995, -11807.672939569633 6591117.466969474, -11808.57229559529 6591117.261311977, -11808.61779139583 6591117.249556509, -11808.629584362212 6591117.246661671, -11809.525830167642 6591117.0381643055, -11809.580592664031 6591117.028597655, -11809.593372103893 6591117.027091354, -11810.483065907672 6591116.817724327, -11810.501158190378 6591116.813818706, -11810.554631923233 6591116.803307139, -11811.389137578348 6591116.608090321, -11811.43159717907 6591116.595717137, -11812.349012515018 6591116.379826544, -11812.367104695539 6591116.375920943, -11812.390046113533 6591116.3714112425, -11813.287764746512 6591116.1636574045, -11813.332228334177 6591116.15087675, -11814.25163726052 6591115.941613374, -11814.30522973426 6591115.9270665385, -11814.390492769682 6591115.910305999, -11814.945105016739 6591115.782169066, -11815.170213861116 6591116.75650269, -11814.6075735863 6591116.886494408, -11814.591460753252 6591116.889938461, -11814.524561701375 6591116.903089109))</t>
  </si>
  <si>
    <t>['FV4674 S2D1 m1771-1778']</t>
  </si>
  <si>
    <t>LINESTRING Z (-12434.534959536279 6590083.062512045 31, -12435.992801375105 6590084.938035634 30.900000000000002, -12437.765368273249 6590086.803398205 30.79, -12439.353096950334 6590088.139521549 30.7, -12439.370437013626 6590088.161967625 30.7, -12439.470913372934 6590088.2456349 30.7, -12439.607346361736 6590088.364247786 30.69, -12439.944732069562 6590088.650195225 30.67, -12440.44711386814 6590089.068531604 30.77, -12440.747266444378 6590089.329479965 30.830000000000002)</t>
  </si>
  <si>
    <t>POLYGON ((-12439.725957216673 6590087.807358054, -12439.790863316455 6590087.861405758, -12439.798964150126 6590087.868298595, -12439.933024050371 6590087.984848351, -12440.266352548097 6590088.267357148, -12440.767063811316 6590088.684302461, -12440.775164654659 6590088.691195306, -12441.075317230896 6590088.952143668, -12440.41921565786 6590089.706816263, -12440.123076849251 6590089.449357413, -12439.624782126386 6590089.034424367, -12439.621453227504 6590089.031627775, -12439.284067519679 6590088.745680336, -12439.279295584543 6590088.741584091, -12439.146876359 6590088.626460714, -12439.050487070104 6590088.546196767, -12439.010471667325 6590088.508990606, -12438.99683125404 6590088.493198647, -12437.443428895624 6590087.185961974, -12437.402914400216 6590087.147821186, -12435.630347502072 6590085.2824586155, -12435.598033610058 6590085.244888061, -12434.140191771232 6590083.369364471, -12434.929727301325 6590082.755659618, -12436.372344249732 6590084.611596282, -12438.108627678437 6590086.438775906, -12439.675036327959 6590087.756957781, -12439.713961428622 6590087.793433659, -12439.725957216673 6590087.807358054))</t>
  </si>
  <si>
    <t>['FV4674 S2D1 m1563-1633']</t>
  </si>
  <si>
    <t>LINESTRING Z (-12491.926474690612 6590194.574788723 19.92, -12494.610284005408 6590194.6967947185 19.68, -12494.630177084124 6590194.699347751 19.68, -12494.711025915109 6590194.699613341 19.67, -12494.891340139613 6590194.712644096 19.66, -12495.876313132583 6590194.758170385 19.57, -12496.329013475159 6590194.775827463 19.54, -12498.720543725882 6590194.890654116 19.35, -12498.841178719944 6590194.896025773 19.35, -12499.313772158115 6590194.916235888 19.31, -12500.490282495623 6590194.966122914 19.23, -12503.736204408691 6590195.119827702 19.01, -12504.851759048004 6590195.172002176 18.93, -12506.01066382241 6590195.280291938 18.84, -12508.730164606823 6590195.518092512 18.62, -12515.446153321478 6590196.127248244 18.080000000000002, -12515.674923782179 6590196.156608131 18.06, -12518.700694383762 6590196.686473898 17.75, -12518.938134878 6590196.727056848 17.72, -12519.125842662412 6590196.761257211 17.7, -12519.373229699908 6590196.803116681 17.67, -12519.550990942982 6590196.8360405285 17.650000000000002, -12519.986085768149 6590196.91210036 17.6, -12520.291875545052 6590196.971565474 17.56, -12520.736916916387 6590197.048901825 17.51, -12521.034036671103 6590197.097143875 17.48, -12521.50764115603 6590197.188256325 17.43, -12521.764974742895 6590197.231392314 17.400000000000002, -12522.299535004771 6590197.320217321 17.36, -12522.387777370634 6590197.341652516 17.35, -12522.502029812662 6590197.396756894 17.330000000000002, -12522.980209185334 6590197.609780888 17.25, -12523.188820985844 6590197.717436608 17.22, -12523.647107276192 6590197.927907574 17.150000000000002, -12523.866942138062 6590198.026893269 17.12, -12524.315281888761 6590198.236087719 17.06, -12524.543786777183 6590198.346296477 17.02, -12525.002073073352 6590198.55676745 16.96, -12525.22063142067 6590198.66569969 16.93, -12525.697534288105 6590198.888670244 16.88, -12525.888806042436 6590198.9738798505 16.86, -12526.013005031564 6590199.030260747 16.84, -12526.349379782798 6590199.245306605 16.79, -12526.526875443291 6590199.359079321 16.76, -12526.976226125495 6590199.639176109 16.69, -12527.153721786744 6590199.752948826 16.66, -12527.613019013836 6590200.034322134 16.6, -12527.781844650279 6590200.136871794 16.580000000000002, -12528.268428474199 6590200.441967743 16.52, -12528.40869099932 6590200.530741308 16.5, -12528.942454506061 6590200.862112939 16.44, -12528.96974110097 6590200.885835578 16.43, -12529.044207376544 6590200.935833892 16.42, -12529.580258323054 6590201.328161306 16.35, -12529.644778055837 6590201.376883103 16.34, -12530.170882460894 6590201.767934001 16.28, -12530.189499029657 6590201.780433584 16.28, -12530.24534873711 6590201.817932319 16.27, -12530.42029136623 6590201.951598137 16.26, -12530.854589445633 6590202.270204605 16.21, -12530.901769127348 6590202.296480279 16.2, -12531.473776699859 6590202.723753411 16.14, -12531.594146140618 6590202.8099739505 16.13, -12531.807598427695 6590202.958692387 16.1, -12532.000626427762 6590203.266555521 16.06, -12532.077380140312 6590203.377509618 16.05, -12532.42391556414 6590203.907280953 15.98, -12532.474659199594 6590203.984565867 15.97, -12532.838534672337 6590204.536783329 15.89, -12532.871938256489 6590204.591622119 15.88, -12533.25315377774 6590205.166285712 15.81, -12533.286557361658 6590205.221124503 15.8, -12533.66777288029 6590205.795788103 15.73, -12533.701176463743 6590205.850626895 15.72, -12534.082391980337 6590206.425290497 15.65, -12534.131859095942 6590206.512521957 15.65, -12534.268026465666 6590206.711984044 15.620000000000001, -12534.452118828543 6590207.089473001 15.58, -12534.490362881508 6590207.185374489 15.57, -12534.779506460123 6590207.768442527 15.5, -12534.82642053807 6590207.875567075 15.49, -12535.105617569527 6590208.457358598 15.42, -12535.161201671464 6590208.575706212 15.41, -12535.431728674099 6590209.146274675 15.34, -12535.512046332122 6590209.308238022 15.33, -12535.767786318378 6590209.836467277 15.27, -12535.870284494304 6590210.061939444 15.25, -12536.102567439259 6590210.536606427 15.200000000000001, -12536.254532726307 6590210.849310064 15.17, -12536.446018580813 6590211.247968647 15.13, -12536.525059717009 6590211.419878541 15.120000000000001, -12536.546709018527 6590211.645085106 15.1, -12536.581603203958 6590212.003426299 15.05, -12536.623890893417 6590212.382937099 15.01, -12536.663625543006 6590212.782340991 14.97, -12536.69979624264 6590213.130735643 14.93, -12536.746924393985 6590213.5513091395 14.89, -12536.783095090534 6590213.899703793 14.85, -12536.820276694256 6590214.319000772 14.81, -12536.863840893027 6590214.688565031 14.77, -12536.903575531673 6590215.087968921 14.73, -12536.925224823877 6590215.313175487 14.71, -12536.884907424334 6590215.469767152 14.69, -12536.804007012048 6590215.863799356 14.65, -12536.73714831355 6590216.148419573 14.61, -12536.62486613408 6590216.629417629 14.55, -12536.576889614342 6590216.845688557 14.530000000000001, -12536.458224832546 6590217.376419333 14.47, -12536.427853972942 6590217.534287519 14.450000000000001, -12536.301530068857 6590218.124697553 14.38, -12536.266318743175 6590218.24150304 14.370000000000001, -12536.136165274656 6590218.861752707 14.3, -12536.113453531754 6590218.9599416265 14.290000000000001, -12536.093294829072 6590219.038237457 14.280000000000001)</t>
  </si>
  <si>
    <t>POLYGON ((-12528.646794646533 6590201.267080143, -12528.1449692706 6590200.955536376, -12528.141292601895 6590200.95323166, -12528.001921317802 6590200.86502217, -12527.519235498203 6590200.562370334, -12527.35344047291 6590200.461661556, -12527.351826687822 6590200.460677114, -12526.89252946073 6590200.179303806, -12526.883899743878 6590200.173895456, -12526.709058621487 6590200.061824268, -12526.262383668176 6590199.78339536, -12526.257053401174 6590199.780025952, -12526.079808958182 6590199.666414263, -12525.773790615625 6590199.470775391, -12525.683730049692 6590199.4298918415, -12525.494066461055 6590199.345398657, -12525.485767259474 6590199.341610335, -12525.008864392039 6590199.11863978, -12524.997593079817 6590199.113197062, -12524.786162183824 6590199.007817234, -12524.335112829298 6590198.800669874, -12524.32657840434 6590198.796652473, -12524.100960284195 6590198.687836014, -12523.658581173371 6590198.481422787, -12523.441821450873 6590198.383821744, -12523.438433331456 6590198.382280972, -12522.980147041108 6590198.171810006, -12522.95952456412 6590198.161759858, -12522.763649272765 6590198.060676912, -12522.298561998014 6590197.853485312, -12522.284821440919 6590197.84711289, -12522.218279878223 6590197.815019648, -12522.199407971153 6590197.810435421, -12521.683016190664 6590197.724629372, -12521.682314652428 6590197.724512288, -12521.424981065562 6590197.6813763, -12521.41318280391 6590197.6792528825, -12520.946722314315 6590197.589514801, -12520.656783470055 6590197.542438684, -12520.651313101984 6590197.54151931, -12520.206271730649 6590197.464182959, -12520.19643145042 6590197.462371367, -12519.895305323225 6590197.403813165, -12519.464890584728 6590197.3285714695, -12519.459932678838 6590197.327679006, -12519.285986540168 6590197.295461769, -12519.042425189395 6590197.25424963, -12519.036218130972 6590197.253159074, -12518.851201234816 6590197.219448991, -12518.616456746056 6590197.179326838, -12518.614448008075 6590197.178979292, -12515.599937981144 6590196.651085449, -12515.391728191566 6590196.624364274, -12508.68580390891 6590196.016121409, -12505.967108656543 6590195.778391273, -12505.964145729364 6590195.778123302, -12504.816801421486 6590195.670913767, -12503.712844950678 6590195.619281739, -12500.467866227455 6590195.4656217, -12499.292589922521 6590195.415787, -12498.819816107858 6590195.395569203, -12498.818936667392 6590195.395530819, -12498.69830167333 6590195.390159162, -12498.696564408729 6590195.390078777, -12496.307279749535 6590195.2753599435, -12495.856826001003 6590195.257790492, -12495.853227354533 6590195.257637148, -12494.868254361563 6590195.212110859, -12494.85530066061 6590195.211343561, -12494.692162568148 6590195.199554073, -12494.628534583677 6590195.199345053, -12494.568608869438 6590195.195416553, -12491.90376813687 6590195.074272869, -12491.949181244354 6590194.075304577, -12494.63299055915 6590194.1973105725, -12494.657476263419 6590194.199434732, -12494.712668415556 6590194.199616039, -12494.74706539411 6590194.200913876, -12494.920907743335 6590194.213476929, -12495.89759996752 6590194.258620474, -12496.348500606739 6590194.276207356, -12496.352992792312 6590194.276402801, -12498.743654615642 6590194.391187758, -12498.862980938857 6590194.3965011425, -12499.335043191117 6590194.416688542, -12500.511464731217 6590194.466571802, -12500.513932594564 6590194.466682554, -12503.759710252909 6590194.620380511, -12504.875118506017 6590194.672548139, -12504.89827714105 6590194.674170812, -12506.055700948122 6590194.782322191, -12508.77371977269 6590195.019993178, -12508.7753303582 6590195.020136636, -12515.491319072855 6590195.629292368, -12515.509800187308 6590195.631315712, -12515.738570648009 6590195.660675598, -12515.761170157866 6590195.664102737, -12518.785936761202 6590196.193792686, -12519.022372515707 6590196.234203908, -12519.02775940944 6590196.2351549845, -12519.212367101274 6590196.2687905105, -12519.456647172925 6590196.310124262, -12519.464287964052 6590196.311478203, -12519.639572584923 6590196.343943345, -12520.072186126403 6590196.419569419, -12520.08152986278 6590196.421294467, -12520.382408579047 6590196.479804556, -12520.819788047409 6590196.555809473, -12521.114170117435 6590196.603607017, -12521.128495023222 6590196.606147318, -12521.59621309048 6590196.696127334, -12521.847283852168 6590196.738213506, -12522.381493557003 6590196.826980262, -12522.417559180858 6590196.834346665, -12522.50580154672 6590196.855781861, -12522.556331629006 6590196.870919618, -12522.604985742377 6590196.89129652, -12522.712416185566 6590196.943110622, -12523.183676999983 6590197.15305247, -12523.20950560706 6590197.165457638, -12523.407921473727 6590197.267851668, -12523.854090007275 6590197.472757475, -12524.072227963381 6590197.5709791, -12524.078359336836 6590197.573789785, -12524.526699087535 6590197.782984234, -12524.532490261605 6590197.7857317235, -12524.756746862005 6590197.893891516, -12525.210747021238 6590198.102394053, -12525.225111414205 6590198.109270077, -12525.438068164784 6590198.21541041, -12525.905169015672 6590198.433798143, -12526.092273869486 6590198.517151438, -12526.09548513653 6590198.518595597, -12526.219684125657 6590198.574976494, -12526.282323960944 6590198.608992051, -12526.618698712178 6590198.824037909, -12526.619201824915 6590198.824359974, -12526.794042972468 6590198.936431177, -12527.24071790061 6590199.21486007, -12527.246048168361 6590199.218229479, -12527.419256499192 6590199.329254066, -12527.873405394104 6590199.607473418, -12528.041423191204 6590199.709532373, -12528.047458026555 6590199.713256952, -12528.534041850475 6590200.018352902, -12528.535826871625 6590200.019477392, -12528.674256107115 6590200.107090648, -12529.206176234782 6590200.4373178715, -12529.23929102206 6590200.459759758, -12529.27050578542 6590200.484777071, -12529.274300303328 6590200.488075979, -12529.322922661102 6590200.520722112, -12529.339508950157 6590200.5323528135, -12529.875559896667 6590200.924680227, -12529.881570743079 6590200.929148993, -12529.944576223632 6590200.97672731, -12530.45954337675 6590201.359499942, -12530.468214383556 6590201.36532185, -12530.524064015437 6590201.402820534, -12530.548910627973 6590201.420628684, -12530.719978325675 6590201.55133384, -12531.125158520796 6590201.848579066, -12531.145048503175 6590201.85965635, -12531.200992038946 6590201.895898641, -12531.768998000278 6590202.320182685, -12531.882653805076 6590202.401594252, -12532.093428343083 6590202.548447022, -12532.133168929777 6590202.579213997, -12532.169620054825 6590202.613815102, -12532.202413427784 6590202.6519007385, -12532.231217714912 6590202.6930861, -12532.418249454715 6590202.991385712, -12532.48858142316 6590203.093056626, -12532.49581194959 6590203.103803898, -12532.84211231112 6590203.633215877, -12532.892394368475 6590203.7097977875, -12533.256043661264 6590204.261671999, -12533.265552825054 6590204.276676626, -12533.293933493096 6590204.323269275, -12533.66981148758 6590204.88988681, -12533.680171933225 6590204.906179014, -12533.708552601704 6590204.952771665, -12534.08443059245 6590205.519389205, -12534.09479104131 6590205.535681413, -12534.123171714098 6590205.582274073, -12534.49904969359 6590206.148891601, -12534.517326157278 6590206.178648526, -12534.556534308322 6590206.24778909, -12534.68097577766 6590206.4300747225, -12534.71743348103 6590206.492818959, -12534.901525843907 6590206.870307916, -12534.916551537148 6590206.904264309, -12534.94729943147 6590206.981368293, -12535.227452230894 6590207.546306114, -12535.237511167668 6590207.567864144, -12535.280949596829 6590207.667052326, -12535.556398109062 6590208.241032674, -12535.558187223724 6590208.2448010575, -12535.613382933321 6590208.362321721, -12535.881631450464 6590208.9280846305, -12535.959992107704 6590209.086101618, -12535.962077450089 6590209.090357337, -12536.217817436345 6590209.618586592, -12536.222961322715 6590209.62954769, -12536.322517735465 6590209.848548662, -12536.551676135636 6590210.316830681, -12536.552275919032 6590210.318060589, -12536.70424120608 6590210.6307642255, -12536.7052370201 6590210.632825331, -12536.896722874606 6590211.031483914, -12536.900301337679 6590211.03909745, -12536.979342473875 6590211.211007344, -12536.99979501641 6590211.262950546, -12537.014329693448 6590211.316849952, -12537.02276532123 6590211.3720336715, -12537.04438508553 6590211.5969329765, -12537.078912609033 6590211.951508784, -12537.120815516526 6590212.327566358, -12537.121434799375 6590212.333439002, -12537.161063229356 6590212.731775198, -12537.196912959269 6590213.077078284, -12537.243814465695 6590213.495629191, -12537.244251282125 6590213.499676143, -12537.280421978674 6590213.848070797, -12537.281140748039 6590213.855539067, -12537.317684266625 6590214.267640359, -12537.360402765285 6590214.630030366, -12537.361384800306 6590214.639066947, -12537.401119438951 6590215.038470837, -12537.401281137873 6590215.040124073, -12537.422930430077 6590215.265330639, -12537.425205117363 6590215.308736329, -12537.423701497257 6590215.352175565, -12537.418430932508 6590215.395320082, -12537.409433252376 6590215.437843839, -12537.372201721173 6590215.582450076, -12537.293790421121 6590215.964358851, -12537.290757795925 6590215.978139525, -12537.223978720165 6590216.262420785, -12537.11240248919 6590216.740394676, -12537.065023110295 6590216.953973783, -12537.064841653193 6590216.954788547, -12536.947808612307 6590217.478221326, -12536.918850508571 6590217.628745986, -12536.91678782209 6590217.638899617, -12536.790463918005 6590218.229309651, -12536.780251385753 6590218.26900937, -12536.751245652888 6590218.3652292285, -12536.625507720488 6590218.964436545, -12536.623303456872 6590218.974430972, -12536.60059171397 6590219.072619892, -12536.597661955191 6590219.084609997, -12536.577503252509 6590219.162905828, -12535.609086405635 6590218.913569086, -12535.62770622735 6590218.841250226, -12535.647873813914 6590218.754060372, -12535.776976297344 6590218.138819202, -12535.787597426279 6590218.097191223, -12535.816888111192 6590218.000026102, -12535.93783617535 6590217.434741557, -12535.967228296917 6590217.2819608655, -12535.970272793695 6590217.267319343, -12536.088846501401 6590216.736995898, -12536.136732638126 6590216.521132403, -12536.137956574905 6590216.515755493, -12536.250238754375 6590216.034757437, -12536.250397529673 6590216.034079404, -12536.315642680585 6590215.756328125, -12536.39512401526 6590215.369207657, -12536.400698995834 6590215.345098801, -12536.419113320952 6590215.273578071, -12536.405949402126 6590215.136640525, -12536.36674693129 6590214.742585869, -12536.323714821998 6590214.377535437, -12536.322231036751 6590214.363165499, -12536.285380800406 6590213.94760535, -12536.24980767714 6590213.604966497, -12536.202906170929 6590213.186415591, -12536.20246935498 6590213.1823686445, -12536.166298655346 6590212.833973993, -12536.166081637048 6590212.831839088, -12536.12663928902 6590212.435373346, -12536.08467858085 6590212.05879704, -12536.083957046636 6590212.0518855825, -12536.049062861204 6590211.693544389, -12536.049003414306 6590211.692929975, -12536.035446946667 6590211.551909004, -12535.993493027825 6590211.46066166, -12535.804323996263 6590211.066826521, -12535.65315796873 6590210.755767546, -12535.421175797926 6590210.281715191, -12535.415109489966 6590210.268859032, -12535.315116890579 6590210.048898551, -12535.063047801994 6590209.52825151, -12534.983782898516 6590209.368411079, -12534.97993873844 6590209.360484512, -12534.709411735805 6590208.789916049, -12534.708632017268 6590208.788263752, -12534.653934628284 6590208.671804095, -12534.375639998534 6590208.091892999, -12534.368415830524 6590208.076145458, -12534.326274722387 6590207.979919606, -12534.042417110737 6590207.407510903, -12534.025930172904 6590207.37058318, -12533.994568090437 6590207.291939047, -12533.834565695899 6590206.963847561, -12533.71890978395 6590206.7944312785, -12533.696924919 6590206.759163928, -12533.656076138754 6590206.687130241, -12533.28451875049 6590206.127025791, -12533.274158302722 6590206.110733585, -12533.245777632048 6590206.064140928, -12532.869899649499 6590205.497523401, -12532.859539206172 6590205.481231201, -12532.831158540492 6590205.434638555, -12532.455280546648 6590204.868021021, -12532.444920103771 6590204.851728822, -12532.416137812708 6590204.804476826, -12532.057150210667 6590204.259677198, -12532.056698290426 6590204.258990134, -12532.005954654973 6590204.18170522, -12532.005483754863 6590204.180986673, -12531.662493978336 6590203.6566358, -12531.589425144914 6590203.551008513, -12531.577007140544 6590203.532161808, -12531.43812966708 6590203.310664128, -12531.30831622523 6590203.220219315, -12531.302985350143 6590203.216453217, -12531.182615909383 6590203.130232678, -12531.17455378826 6590203.12433505, -12530.629307389034 6590202.717051741, -12530.611310069806 6590202.707028534, -12530.558834450676 6590202.673353439, -12530.124536371273 6590202.354746971, -12530.116729475367 6590202.348901772, -12529.953937834807 6590202.224519979, -12529.91078375133 6590202.195545369, -12529.892167106995 6590202.183045735, -12529.872607185807 6590202.169221753, -12529.34650278075 6590201.778170855, -12529.343465635813 6590201.775895415, -12529.281934597244 6590201.729430517, -12528.757081115675 6590201.345298355, -12528.691025816412 6590201.300947358, -12528.646794646533 6590201.267080143))</t>
  </si>
  <si>
    <t>['FV4674 S1D1 m10140-10145', 'FV4674 S2D1 m0-83']</t>
  </si>
  <si>
    <t>LINESTRING Z (-11702.691475284519 6591101.857391025 61.04, -11702.475473473314 6591101.728564666 61.06, -11702.004960737482 6591101.455859073 61.1, -11701.563010686194 6591101.196929748 61.13, -11701.421473882801 6591101.118102004 61.14, -11700.847933462297 6591100.781621546 61.19, -11700.434546097415 6591100.536468489 61.25, -11700.407260025386 6591100.512745797 61.25, -11699.429002067714 6591099.942335342 61.38, -11699.363206883136 6591099.903559772 61.39, -11698.42218143586 6591099.3581486335 61.44, -11698.404841794923 6591099.335702552 61.44, -11697.868533889705 6591099.024221422 61.47, -11697.52094171819 6591098.817843949 61.51, -11697.406690990902 6591098.762738905 61.52, -11696.890275951591 6591098.453811 61.56, -11696.763525573595 6591098.417322208 61.58, -11696.34221210936 6591098.312695815 61.61, -11695.950737938692 6591098.211899253 61.64, -11695.794148271088 6591098.171580629 61.660000000000004, -11695.36416499113 6591098.055731197 61.690000000000005, -11695.237414615753 6591098.019242404 61.7, -11694.30782305065 6591097.778607275 61.78, -11694.131340525055 6591097.735735432 61.79, -11693.613115990534 6591097.598450084 61.74, -11693.486365617544 6591097.561961293 61.78, -11687.677650553756 6591096.816421059 62.18, -11687.325695689826 6591096.801579 62.28, -11686.774812238116 6591096.761204746 62.31, -11686.182866462448 6591096.725670481 62.35, -11685.590920691087 6591096.6901362175 62.39, -11685.038760640891 6591096.659708392 62.42, -11684.365966833895 6591096.623907679 62.47, -11683.90460126329 6591096.595022917 62.5, -11683.192021749623 6591096.554115764 62.550000000000004, -11682.77044190152 6591096.530337441 62.57, -11682.059139006771 6591096.479483862 62.620000000000005, -11681.627612735727 6591096.454428929 62.65, -11680.964765384793 6591096.419904829 62.690000000000005, -11680.493453403877 6591096.389743459 62.730000000000004, -11680.24223946681 6591096.377721071 62.74, -11679.729598716774 6591096.433247732 62.78, -11679.350091370521 6591096.475531029 62.800000000000004, -11678.324809884536 6591096.586584341 62.870000000000005, -11678.211569342122 6591096.602380921 62.88, -11677.082993757213 6591096.73050742 62.980000000000004, -11677.031985006004 6591096.734070797 62.99, -11675.94447175914 6591096.857357305 63.08, -11675.872293542547 6591096.868313892 63.09, -11674.815896204615 6591096.9854837945 63.18, -11674.723825132707 6591096.993887163 63.18, -11673.698543702194 6591097.104940465 63.26, -11673.575356737943 6591097.119460435 63.27, -11672.56996817718 6591097.233066951 63.35, -11672.44678121485 6591097.247586917 63.36, -11672.262639076274 6591097.264393656 63.370000000000005, -11671.457189243287 6591097.474433966 63.46, -11671.289110132784 6591097.523633205 63.47, -11670.35792012955 6591097.768086332 63.53, -11670.17989459401 6591097.816008961 63.54, -11669.259927639214 6591098.051792265 63.6, -11669.081902105885 6591098.099714888 63.61, -11668.171881589515 6591098.336774794 63.660000000000004, -11667.993856058107 6591098.384697422 63.67, -11667.083835552912 6591098.621757323 63.72, -11666.925702877925 6591098.672233166 63.72, -11665.995789529698 6591098.90673984 63.77, -11665.858826320095 6591098.949822477 63.78, -11664.917689946247 6591099.1929989625 63.82, -11664.791949774837 6591099.227411781 63.82, -11663.83959037537 6591099.479258081 63.86, -11663.74496609578 6591099.507554299 63.86, -11662.751544391096 6591099.764240576 63.9, -11662.699259038433 6591099.777750381 63.9, -11662.668143149116 6591099.783866977 63.9, -11661.722644073772 6591100.218578769 63.980000000000004, -11661.647912649147 6591100.249428204 63.980000000000004, -11660.702413582592 6591100.684139987 64.06, -11660.60523608618 6591100.7323290575 64.06, -11659.682183101715 6591101.149701195 64.13, -11659.585005606 6591101.197890263 64.14, -11658.661952630559 6591101.61526239 64.2, -11658.564775136125 6591101.663451456 64.2, -11657.651668594917 6591102.082100187 64.26, -11657.554491101473 6591102.130289251 64.27, -11656.652607605094 6591102.540268154 64.32000000000001, -11656.55670672236 6591102.578510793 64.33, -11655.643600199197 6591102.9971595 64.38, -11655.567592168692 6591103.03795536 64.38, -11654.643262618163 6591103.465273874 64.47, -11654.547361737466 6591103.503516509 64.48, -11653.645478267048 6591103.91349538 64.56, -11653.52713131567 6591103.9690776495 64.57000000000001, -11652.646417314769 6591104.371663309 64.64, -11652.526793754892 6591104.437191997 64.65, -11651.689695293666 6591104.815044812 64.72, -11651.657302797714 6591104.83110783 64.72, -11651.526456202846 6591104.9053063365 64.73, -11650.681698088069 6591105.342837689 64.81, -11650.53095864458 6591105.414482971 64.82000000000001, -11649.707369997283 6591105.844621112 64.89, -11649.556630555016 6591105.916266393 64.91, -11648.73304191453 6591106.346404525 64.97, -11648.582302473369 6591106.418049804 64.99, -11647.802329370345 6591106.8234550925 65.04, -11647.758713840332 6591106.848187924 65.05, -11647.606697790208 6591106.929779625 65.06, -11646.784385774634 6591107.34997131 65.12, -11646.64359276084 6591107.422893196 65.13, -11645.810057716852 6591107.8517546905 65.18, -11645.787611647276 6591107.869094317 65.18, -11645.658041669696 6591107.933346386 65.19, -11645.549641151447 6591107.9902052535 65.2, -11645.127262115479 6591108.208970901 65.22, -11644.851792685164 6591108.3859305475 65.24, -11644.732169132796 6591108.451459228 65.25, -11643.918260490522 6591108.9637219235 65.31, -11643.798636939144 6591109.029250601 65.32000000000001, -11642.984728302574 6591109.541513287 65.38, -11642.875051176117 6591109.608318573 65.38, -11642.061142545135 6591110.120581248 65.43, -11642.028750051686 6591110.136644265 65.43, -11641.809395800694 6591110.270254835 65.44, -11641.73211116856 6591110.320997104 65.45, -11641.127610369935 6591110.698372587 65.48, -11641.029156279634 6591110.756508057 65.48, -11640.192801590427 6591111.286110335 65.51, -11640.11679357005 6591111.326906179 65.51, -11639.259269428032 6591111.86390165 65.54, -11639.204430866637 6591111.897304288 65.54, -11638.875399497163 6591112.097720129 65.55, -11638.36780972418 6591112.507754545 65.58, -11638.322917586367 6591112.542433794 65.58, -11637.509752663202 6591113.206445986 65.62, -11637.466137136915 6591113.231178811 65.62, -11636.755256136821 6591113.807216258 65.65, -11636.65297221631 6591113.895190991 65.66, -11636.495849735278 6591114.016568363 65.66, -11636.473403666518 6591114.033907988 65.66, -11636.417288494587 6591114.077257048 65.67, -11636.393565815175 6591114.104543093 65.67, -11635.853583555552 6591114.5306405 65.69, -11635.841083909967 6591114.549256735 65.69, -11635.469447166426 6591114.845306954 65.71000000000001, -11635.447001097898 6591114.862646577 65.71000000000001, -11635.075364354765 6591115.158696796 65.72, -11635.05291828647 6591115.176036419 65.72, -11634.681281543919 6591115.472086634 65.74, -11634.668781898392 6591115.490702868 65.74, -11634.29714515683 6591115.786753078 65.75, -11634.274699088302 6591115.804092703 65.75, -11633.901785735972 6591116.110089332 65.77, -11633.507702927338 6591116.42347916 65.78, -11633.123566541646 6591116.738145601 65.8, -11632.729483734409 6591117.051535422 65.81, -11632.34534735023 6591117.366201854 65.83, -11631.9512645441 6591117.6795916725 65.85, -11631.861480271036 6591117.748950163 65.85, -11631.658189045615 6591117.914953186 65.86, -11631.557181738492 6591117.992981486 65.86, -11631.456174431718 6591118.071009788 65.87, -11631.289372001425 6591118.110262539 65.86, -11631.123846182658 6591118.139568869 65.86, -11631.050391390745 6591118.160471854 65.87, -11630.999382666429 6591118.164035219 65.87, -11630.978213209775 6591118.17142842 65.87, -11630.718063143257 6591118.229030933 65.88, -11630.4903055678 6591118.270570441 65.89, -11630.334726173547 6591118.301153377 65.89, -11629.940166171174 6591118.381945633 65.91, -11629.930219748814 6591118.380669023 65.93, -11629.763417321781 6591118.419921769 65.94, -11629.680016108032 6591118.439548148 65.94, -11629.390026778274 6591118.493320826 65.96000000000001, -11629.368857322144 6591118.5007140245 65.96000000000001, -11628.87100326718 6591118.598579428 65.98, -11628.808771510201 6591118.610812606 65.99, -11628.34203333658 6591118.70256142 66.01, -11628.248685702158 6591118.720911182 66.01, -11627.801840375527 6591118.815213221 66.03, -11627.698546319676 6591118.832286371 66.04, -11627.262924029783 6591118.917918597 66.06, -11627.137183906976 6591118.95233137 66.07000000000001, -11626.701561619819 6591119.037963593 66.09, -11626.577098109527 6591119.062429942 66.09, -11626.141475825163 6591119.148062167 66.11, -11626.017012315628 6591119.172528516 66.12, -11625.570167000405 6591119.266830548 66.14, -11625.456926525396 6591119.282627086 66.15, -11625.196776475408 6591119.340229593 66.16, -11624.79280301556 6591119.258049256 66.18, -11624.289365341014 6591119.163102801 66.2, -11624.012142144493 6591119.11741126 66.22, -11623.488811630872 6591119.019911584 66.24)</t>
  </si>
  <si>
    <t>POLYGON ((-11702.222042776984 6591102.159589778, -11701.754233653555 6591101.888451179, -11701.7522062233 6591101.887269731, -11701.314961932421 6591101.631097413, -11701.178189870148 6591101.554923351, -11701.168464668692 6591101.549363337, -11700.594924248187 6591101.212882879, -11700.592891559012 6591101.211683898, -11700.17950419413 6591100.966530842, -11700.141807826678 6591100.941813163, -11700.117724864096 6591100.922711354, -11699.177145630569 6591100.37427091, -11699.175139355764 6591100.373094815, -11699.11090870179 6591100.335241281, -11698.171454362773 6591099.790740745, -11698.13076066799 6591099.764441553, -11698.092803559022 6591099.734327068, -11698.088533607457 6591099.730206179, -11697.61741998488 6591099.456589098, -11697.613269431777 6591099.454151715, -11697.284261500961 6591099.258808347, -11697.189477841961 6591099.213092597, -11697.15000609049 6591099.191822652, -11696.68942799519 6591098.916297318, -11696.634067177974 6591098.9003600925, -11696.221705405476 6591098.797956708, -11696.217538713472 6591098.796902945, -11695.826064542804 6591098.696106383, -11695.669474880106 6591098.65578776, -11695.664072859678 6591098.654364626, -11695.234089579719 6591098.538515193, -11695.22584301033 6591098.53621744, -11695.105579359684 6591098.50159604, -11694.186151274513 6591098.263591841, -11694.013311181265 6591098.221604832, -11694.003299884427 6591098.2190630585, -11693.485075349907 6591098.0817777105, -11693.47479401385 6591098.078936328, -11693.384787973424 6591098.0530254645, -11687.635213739339 6591097.315075872, -11687.304629239938 6591097.301135008, -11687.289148707056 6591097.30024153, -11686.741556819545 6591097.260108514, -11686.152905599722 6591097.22477202, -11685.562184261113 6591097.1893112585, -11685.011720476246 6591097.158976909, -11684.339398415059 6591097.1232012985, -11684.334724451923 6591097.122930638, -11683.874651689215 6591097.094126815, -11683.163615194702 6591097.053308242, -11682.742285206687 6591097.029544012, -11682.734786128041 6591097.029064486, -11682.026818810618 6591096.97844938, -11681.600118120426 6591096.953674626, -11680.938758366408 6591096.919228006, -11680.932833458584 6591096.9188841395, -11680.465535006997 6591096.888979614, -11680.257301244214 6591096.879014135, -11679.78420289215 6591096.930257763, -11679.405456927603 6591096.972456229, -11679.403933922307 6591096.972623555, -11678.386285153932 6591097.082850129, -11678.28064837447 6591097.097586017, -11678.267971718598 6591097.099189508, -11677.139396133689 6591097.227316007, -11677.117837913938 6591097.229291827, -11677.077589292167 6591097.232103522, -11676.010176144531 6591097.3531113705, -11675.947333438531 6591097.362650836, -11675.927412845505 6591097.365266467, -11674.871015507573 6591097.48243637, -11674.861342532231 6591097.483414142, -11674.773473100358 6591097.491434025, -11673.754730954568 6591097.601779025, -11673.633886244917 6591097.616022915, -11673.631498265184 6591097.616298567, -11672.627303922995 6591097.729770139, -11672.505310707915 6591097.744149399, -11672.492227548744 6591097.745517264, -11672.34902614493 6591097.758587323, -11671.590534144778 6591097.956382255, -11671.42957358718 6591098.003497789, -11671.41606684978 6591098.007246679, -11670.4863839385 6591098.251304168, -11670.30986281277 6591098.2988218255, -11670.304030072779 6591098.300354275, -11669.386984042996 6591098.53538896, -11669.211870312021 6591098.582527756, -11669.207945407172 6591098.583567227, -11668.299889531405 6591098.8201153455, -11668.123824277325 6591098.867510287, -11668.11989935806 6591098.868549762, -11667.222980067489 6591099.102196802, -11667.077744747676 6591099.148555819, -11667.047965727117 6591099.157054572, -11666.132049804628 6591099.388031359, -11666.008857058994 6591099.42678241, -11665.983911247926 6591099.433923459, -11665.046232574472 6591099.676206523, -11664.923936971803 6591099.709676625, -11664.919778021294 6591099.710795624, -11663.975164769046 6591099.960593496, -11663.88821702475 6591099.986594142, -11663.870051020234 6591099.991655282, -11662.876629315551 6591100.2483415585, -11662.826899356618 6591100.261191086, -11661.931510510238 6591100.672863714, -11661.913429620929 6591100.680748516, -11661.847816424926 6591100.707833909, -11660.917959240705 6591101.13535403, -11660.827367788723 6591101.180277165, -11660.811238298596 6591101.18791998, -11659.896318279543 6591101.6016146755, -11659.807137302934 6591101.645838373, -11659.791007815891 6591101.653481186, -11658.87608780075 6591102.0671758745, -11658.786906828516 6591102.111399569, -11658.773160722412 6591102.117957174, -11657.866977190994 6591102.533431785, -11657.776622785344 6591102.578237368, -11657.761405899415 6591102.585466432, -11656.859522403036 6591102.995445335, -11656.837811397147 6591103.004702816, -11656.753626656036 6591103.038273379, -11655.866241103431 6591103.445129321, -11655.804050807374 6591103.478508775, -11655.777406533827 6591103.491803277, -11654.853076983298 6591103.919121792, -11654.828466398045 6591103.92970854, -11654.743530310212 6591103.963578718, -11653.855220133932 6591104.367387431, -11653.739684089167 6591104.421649543, -11653.734999897055 6591104.423820052, -11652.870753023115 6591104.818878377, -11652.767009011777 6591104.875708394, -11652.732500450677 6591104.892916426, -11651.903685128433 6591105.267030365, -11651.891867892788 6591105.272890379, -11651.773093572972 6591105.340243123, -11651.756411229677 6591105.34928909, -11650.9116531149 6591105.786820443, -11650.896334150708 6591105.794425289, -11650.754090112887 6591105.86203277, -11649.93883897385 6591106.287816456, -11649.92200606134 6591106.296208711, -11649.779762005783 6591106.363816202, -11648.964510889058 6591106.78959987, -11648.947677973045 6591106.797992128, -11648.804988967759 6591106.865811097, -11648.04102532368 6591107.262895176, -11648.005351189238 6591107.283124723, -11647.995172448154 6591107.288741357, -11647.84315639803 6591107.370333057, -11647.834209907189 6591107.375019152, -11647.013121030323 6591107.794585828, -11646.87354777949 6591107.866875954, -11646.872345361922 6591107.867496668, -11646.073759141955 6591108.278376669, -11646.052801998825 6591108.292974108, -11646.009743306897 6591108.317042446, -11645.885262991318 6591108.378770618, -11645.781893480469 6591108.432990592, -11645.779596163158 6591108.434188015, -11645.377902841721 6591108.642239769, -11645.12203332185 6591108.80660857, -11645.092007932639 6591108.824446949, -11644.985675846834 6591108.882694687, -11644.184593290485 6591109.386884823, -11644.158475731647 6591109.402238329, -11644.052143640954 6591109.460486067, -11643.251061100405 6591109.964676188, -11643.244830442345 6591109.96853422, -11643.13828277811 6591110.033433323, -11642.327475340115 6591110.543744151, -11642.283274204794 6591110.568529376, -11642.270321039085 6591110.5749526825, -11642.07673349798 6591110.692868527, -11642.006530974211 6591110.738960942, -11641.996889856156 6591110.7451341655, -11641.392389057532 6591111.122509648, -11641.381839052885 6591111.1289161695, -11641.290080678293 6591111.183097933, -11640.460295537698 6591111.7085401965, -11640.429260182325 6591111.726663776, -11640.367988598353 6591111.759550121, -11639.524639397468 6591112.287669014, -11639.519371550345 6591112.290922592, -11639.46453298895 6591112.324325231, -11639.163810260858 6591112.507498036, -11638.682005201725 6591112.896703387, -11638.67347756446 6591112.903440243, -11638.633931560034 6591112.933989595, -11637.825999235623 6591113.593728965, -11637.792201398439 6591113.619026539, -11637.75638997183 6591113.641382807, -11637.74877092159 6591113.645703301, -11637.075738506715 6591114.191071477, -11636.979014351777 6591114.274264238, -11636.958640058187 6591114.290876688, -11636.801517577154 6591114.41225406, -11636.779071518322 6591114.429593677, -11636.758844317565 6591114.4452192215, -11636.738605787945 6591114.466409666, -11636.703296430904 6591114.497056717, -11636.208225439737 6591114.887714858, -11636.190923008835 6591114.9064858, -11636.152622806281 6591114.94033667, -11635.78098606274 6591115.23638689, -11635.77511498937 6591115.240992665, -11635.755621659284 6591115.256051293, -11635.38690325069 6591115.549776732, -11635.381032189976 6591115.554382497, -11635.361538833848 6591115.569441146, -11635.037070897317 6591115.827916133, -11635.018620994064 6591115.847931936, -11634.980320789127 6591115.881782808, -11634.608684047565 6591116.177833018, -11634.602813010619 6591116.182438766, -11634.586184572938 6591116.195284261, -11634.218954226868 6591116.49661766, -11634.212995737907 6591116.501431042, -11633.8217463276 6591116.812567643, -11633.440410380674 6591117.124940096, -11633.434776539725 6591117.129487315, -11633.043527111404 6591117.440623924, -11632.662191184954 6591117.752996353, -11632.656557347145 6591117.757543569, -11632.262474541014 6591118.070933388, -11632.256932369277 6591118.075277382, -11632.172494224376 6591118.14050598, -11631.974435594573 6591118.302236184, -11631.96385686636 6591118.310638899, -11631.862849559237 6591118.388667199, -11631.761842257694 6591118.466695497, -11631.717982680755 6591118.496986831, -11631.671147676894 6591118.522436974, -11631.621869521563 6591118.542756687, -11631.570708256591 6591118.557715041, -11631.403905826299 6591118.596967792, -11631.376541261034 6591118.602605428, -11631.23614842786 6591118.627461965, -11631.187242839682 6591118.641378998, -11631.136703243323 6591118.652965777, -11631.089262799578 6591118.658764037, -11631.086305364117 6591118.659604706, -11630.826155297598 6591118.717207219, -11630.807775616657 6591118.720916766, -11630.58338696736 6591118.761841833, -11630.433099189768 6591118.791384572, -11630.040467721437 6591118.871781931, -11630.00149620262 6591118.877553808, -11629.877951133325 6591118.9066270245, -11629.794549952747 6591118.926253396, -11629.771177030543 6591118.931167601, -11629.50527771452 6591118.980473272, -11629.465298899702 6591118.99132489, -11628.967444844739 6591119.089190294, -11628.905213107919 6591119.101423468, -11628.43847491289 6591119.193172287, -11628.348534156152 6591119.210852344, -11627.905086036131 6591119.304437437, -11627.883377521712 6591119.308520117, -11627.787556101142 6591119.324358138, -11627.377290827471 6591119.405005822, -11627.269170985252 6591119.434596246, -11627.233625481942 6591119.442942237, -11626.798003194785 6591119.52857446, -11626.673539681704 6591119.55304081, -11626.237917401735 6591119.638673034, -11626.116860770262 6591119.662469677, -11625.6734126567 6591119.756054765, -11625.639245893313 6591119.762035663, -11625.545651474406 6591119.775091665, -11625.304868624635 6591119.82840588, -11625.253283301265 6591119.837026311, -11625.20107971245 6591119.840211075, -11625.148829040068 6591119.837925327, -11625.097102981104 6591119.8301940765, -11624.696629032518 6591119.748725645, -11624.202365372812 6591119.655509375, -11623.930829871095 6591119.610755271, -11623.92056485216 6591119.608953322, -11623.39723433854 6591119.511453647, -11623.580388923205 6591118.528369522, -11624.098596326956 6591118.62491473, -11624.370677614412 6591118.669758789, -11624.382029891187 6591118.671764546, -11624.885467565733 6591118.766711001, -11624.892476509864 6591118.768084773, -11625.192377234473 6591118.829093589, -11625.34883437617 6591118.794450799, -11625.387847632488 6591118.787421971, -11625.483900934958 6591118.774022966, -11625.913766659332 6591118.683304299, -11625.920570742885 6591118.681917649, -11626.04503425242 6591118.6574513, -11626.480656532955 6591118.571819075, -11626.605120047641 6591118.547352726, -11627.022817116333 6591118.465244143, -11627.130936951507 6591118.435653721, -11627.16648245237 6591118.4273077315, -11627.602104742264 6591118.341675505, -11627.617009173491 6591118.338979475, -11627.709403861963 6591118.323707848, -11628.145440041553 6591118.2316869665, -11628.152244129316 6591118.230300316, -11628.245591763738 6591118.211950554, -11628.712329933891 6591118.1202017395, -11628.774561669463 6591118.107968566, -11629.242289058395 6591118.016025296, -11629.26164499677 6591118.010083702, -11629.298865855762 6591118.001701374, -11629.57711002119 6591117.950106599, -11629.648883477066 6591117.933216521, -11629.81568593727 6591117.893963767, -11629.85974169688 6591117.885661099, -11629.88178494852 6591117.883525501, -11630.234424623284 6591117.811317079, -11630.238284606596 6591117.810542508, -11630.39386400085 6591117.7799595725, -11630.4005930944 6591117.778684609, -11630.619126041782 6591117.738827532, -11630.845458006097 6591117.688713034, -11630.877015323262 6591117.679240176, -11630.920466370731 6591117.6703022765, -11630.963369134735 6591117.665384847, -11630.986994733721 6591117.658661725, -11631.03667692305 6591117.647225981, -11631.18844166075 6591117.620356048, -11631.236215770932 6591117.609113615, -11631.251513912515 6591117.597295777, -11631.347175101271 6591117.523397362, -11631.545233722078 6591117.3616671655, -11631.555812445858 6591117.353264454, -11631.642810312813 6591117.286058467, -11632.031303974043 6591116.977113351, -11632.412639899685 6591116.664740923, -11632.41827373633 6591116.660193708, -11632.809523170832 6591116.349057094, -11633.19085908831 6591116.036684665, -11633.196492925403 6591116.03213745, -11633.587578036213 6591115.721131506, -11633.957530597407 6591115.417564375, -11633.969031234514 6591115.408407016, -11633.988524622362 6591115.393348341, -11634.312992543793 6591115.13487337, -11634.331442446766 6591115.114857567, -11634.369742650693 6591115.0810066955, -11634.741379393245 6591114.784956481, -11634.747250451259 6591114.780350718, -11634.766743794089 6591114.765292079, -11635.135462201973 6591114.471566641, -11635.141333274954 6591114.466960866, -11635.16082663061 6591114.451902219, -11635.48537060786 6591114.193366652, -11635.504845267918 6591114.172336709, -11635.543852939823 6591114.138126875, -11636.050043184925 6591113.738694585, -11636.074118324204 6591113.713616795, -11636.111620657279 6591113.681571349, -11636.167735829209 6591113.638222288, -11636.190181883474 6591113.620882674, -11636.336898795595 6591113.507543621, -11636.429214001355 6591113.428143011, -11636.440471411937 6591113.418744152, -11637.151352412031 6591112.842706705, -11637.184466376202 6591112.81806674, -11637.219499828287 6591112.79624199, -11637.226293529962 6591112.792389522, -11638.006671013945 6591112.155150815, -11638.017249746086 6591112.146748096, -11638.057841468646 6591112.115390925, -11638.561204019617 6591111.708771287, -11638.615297365792 6591111.670699191, -11638.944328735266 6591111.47028335, -11638.996523285565 6591111.438491202, -11639.851423600614 6591110.9031388145, -11639.880334978152 6591110.886352738, -11639.940499434118 6591110.854060623, -11640.761662332363 6591110.3340781955, -11640.774927596683 6591110.325964474, -11640.868067133388 6591110.270967158, -11641.46247660315 6591109.899891452, -11641.534975995042 6591109.852290996, -11641.549293660582 6591109.843233902, -11641.768647911575 6591109.709623332, -11641.806618392027 6591109.688696137, -11641.816281500334 6591109.6839043265, -11642.608718381138 6591109.18515567, -11642.614949036346 6591109.18129764, -11642.721496702472 6591109.116398537, -11643.532304141312 6591108.6060877, -11643.558421698019 6591108.590734196, -11643.664753782576 6591108.532486461, -11644.465836332833 6591108.028296328, -11644.491953885321 6591108.012942826, -11644.596253047024 6591107.955808706, -11644.857021478792 6591107.788292878, -11644.897307103767 6591107.764988139, -11645.318535838329 6591107.546818276, -11645.425789340674 6591107.490561048, -11645.435910010076 6591107.485398257, -11645.526841925535 6591107.440306301, -11645.54173041036 6591107.429853687, -11645.58130511577 6591107.4071512185, -11646.41423858288 6591106.978599241, -11646.554430755983 6591106.905988553, -11646.556873657653 6591106.904731783, -11647.374688761323 6591106.486837966, -11647.517133198935 6591106.410383645, -11647.555692021439 6591106.388518294, -11647.571733922734 6591106.379804622, -11648.351707025759 6591105.974399334, -11648.367666414853 6591105.966462201, -11648.509910469884 6591105.898854714, -11649.325161580487 6591105.473071048, -11649.341994490958 6591105.464678793, -11649.484238542633 6591105.397071305, -11650.299489668012 6591104.971287627, -11650.31632258194 6591104.962895371, -11650.459337487879 6591104.894921502, -11651.288074153592 6591104.465688248, -11651.410665427587 6591104.396171044, -11651.435171141495 6591104.3831597, -11651.467563637447 6591104.367096682, -11651.483988597882 6591104.359320383, -11652.303500752329 6591103.989405744, -11652.406202057884 6591103.933146912, -11652.438548733384 6591103.916920906, -11653.316915039648 6591103.515408408, -11653.432925493551 6591103.460923487, -11653.438563477413 6591103.458318195, -11654.340446947832 6591103.048339324, -11654.362157957585 6591103.039081843, -11654.445611668425 6591103.005802796, -11655.34425765179 6591102.590357822, -11655.407141560516 6591102.556606084, -11655.435214619465 6591102.542653779, -11656.348321142628 6591102.124005072, -11656.371502930308 6591102.114076131, -11656.456439024752 6591102.080205948, -11657.33990695181 6591101.6785984095, -11657.429536911046 6591101.634152071, -11657.44328300863 6591101.62759447, -11658.349466547264 6591101.212119855, -11658.439820938167 6591101.167314278, -11658.455950420668 6591101.159671467, -11659.370870424586 6591100.745976783, -11659.460051404782 6591100.701753085, -11659.476180889298 6591100.694110272, -11660.391100905776 6591100.280415578, -11660.480281880049 6591100.23619188, -11660.493547147847 6591100.229855041, -11661.439046214402 6591099.795143258, -11661.45712710199 6591099.787258457, -11661.5227403001 6591099.760173063, -11662.45927671265 6591099.329582032, -11662.514412368286 6591099.308086727, -11662.571701477671 6591099.293256129, -11662.588400092774 6591099.2899736045, -11662.6264594551 6591099.280139596, -11663.610750429534 6591099.025812573, -11663.696339446398 6591099.000218238, -11663.711762128913 6591098.995874238, -11664.662039679253 6591098.744578472, -11664.785702749281 6591098.710734119, -11664.792605018416 6591098.708897981, -11665.721175801968 6591098.4689682685, -11665.845758790798 6591098.429779908, -11665.873526680505 6591098.421918434, -11666.78841886818 6591098.191199815, -11666.931793683161 6591098.14543467, -11666.957792252959 6591098.137904983, -11667.865848184083 6591097.901356853, -11668.041913370296 6591097.85396193, -11668.045838288228 6591097.852922455, -11668.95389425428 6591097.616374314, -11669.129959433078 6591097.568979397, -11669.135792160445 6591097.567446951, -11670.052838137033 6591097.33241228, -11670.22795191079 6591097.285273467, -11670.230963412554 6591097.2844728585, -11671.155373743411 6591097.041799511, -11671.31672578889 6591096.994569383, -11671.331021621734 6591096.99061403, -11672.136471454722 6591096.780573719, -11672.176542541163 6591096.771862046, -11672.21719274238 6591096.766463309, -11672.394784295104 6591096.750254445, -11672.511438684116 6591096.736504469, -11672.51382664994 6591096.736228819, -11673.518021030965 6591096.622757242, -11673.64001419522 6591096.608377985, -11673.644701152438 6591096.607847938, -11674.669982582951 6591096.496794636, -11674.67837880509 6591096.495956815, -11674.765608640502 6591096.487995309, -11675.80718765476 6591096.372468974, -11675.869431863155 6591096.3630203605, -11675.888149760538 6591096.360539599, -11676.975663007403 6591096.237253092, -11676.997140849278 6591096.23528639, -11677.037349101813 6591096.232477516, -11678.14881839439 6591096.106293084, -11678.255730852188 6591096.091379245, -11678.27096733275 6591096.089491814, -11679.295487366948 6591095.978520979, -11679.674233159692 6591095.936322532, -11679.675756161256 6591095.9361552065, -11680.188396911291 6591095.880628546, -11680.227223314732 6591095.877946607, -11680.266140697015 6591095.878292667, -11680.517354634081 6591095.890315055, -11680.525385330086 6591095.890764149, -11680.993735875652 6591095.920736003, -11681.653619754112 6591095.955105752, -11681.65659452696 6591095.95526958, -11682.088120798004 6591095.980324513, -11682.09479478025 6591095.980756817, -11682.802349918567 6591096.031342455, -11683.220178444457 6591096.054909193, -11683.220678139473 6591096.054937628, -11683.93325765314 6591096.095844781, -11683.935843645262 6591096.095999958, -11684.394872891517 6591096.124738449, -11685.065329059727 6591096.160414772, -11685.066272346452 6591096.16046586, -11685.618432396648 6591096.190893685, -11685.620881553248 6591096.191034678, -11686.212827324609 6591096.226568942, -11686.804773100843 6591096.2621032065, -11686.811359220887 6591096.262542216, -11687.354509336048 6591096.302349695, -11687.698717003645 6591096.316865051, -11687.741302694958 6591096.320489204, -11693.550017758746 6591097.066029438, -11693.587647539915 6591097.072326764, -11693.624687594229 6591097.081475049, -11693.746312450667 6591097.1164883105, -11694.25438864017 6591097.251085212, -11694.42585239444 6591097.292737875, -11694.433123548952 6591097.294562045, -11695.362715114054 6591097.535197173, -11695.375736596552 6591097.538756161, -11695.498373533195 6591097.574060781, -11695.921526632714 6591097.688069973, -11696.075411329675 6591097.727692122, -11696.464804513478 6591097.827952873, -11696.88403227748 6591097.9320613155, -11696.901847548494 6591097.936835963, -11697.02859792649 6591097.973324755, -11697.069483188505 6591097.987029717, -11697.109035556896 6591098.004206468, -11697.146960852004 6591098.024727253, -11697.644117341562 6591098.322134379, -11697.738154867131 6591098.367490257, -11697.776206176119 6591098.387913656, -11698.121728930904 6591098.593062445, -11698.655955699749 6591098.9033348765, -11698.696535053721 6591098.92960522, -11698.734387875213 6591098.959671462, -11698.738319108621 6591098.963468004, -11699.613933956223 6591099.470967661, -11699.617069595086 6591099.4728002995, -11699.681862967702 6591099.510985464, -11700.659116462532 6591100.080810228, -11700.69849837833 6591100.106322099, -11700.725730642445 6591100.127839978, -11701.101960309641 6591100.35095723, -11701.669651649363 6591100.684006192, -11701.806294698847 6591100.760108401, -11701.815765200376 6591100.765519091, -11702.256702847926 6591101.02385527, -11702.726200557241 6591101.2959725605, -11702.731587950439 6591101.299140196, -11702.947589761643 6591101.427966556, -11702.435360807394 6591102.286815494, -11702.222042776984 6591102.159589778))</t>
  </si>
  <si>
    <t>['FV4674 S2D1 m941-1190']</t>
  </si>
  <si>
    <t>LINESTRING Z (-12292.719107174955 6590675.456330848 8.91, -12311.525512057124 6590675.210989508 9.56, -12315.684642263455 6590676.048097451 9.450000000000001, -12315.851179800578 6590676.089692169 9.450000000000001, -12315.93075188453 6590676.099904731 9.450000000000001, -12316.147021974903 6590676.1478823 9.44, -12316.393131597608 6590676.199689577 9.43, -12317.064388035273 6590676.326282405 9.41, -12317.182469592371 6590676.351547761 9.41, -12317.358953643416 6590676.394419047 9.41, -12317.900905449467 6590676.504416462 9.39, -12323.399995783227 6590677.614603248 9.24, -12323.557863394322 6590677.64497489 9.24, -12323.597649439704 6590677.6500811735 9.24, -12323.636158914422 6590677.665133969 9.24, -12323.665998448501 6590677.668963679 9.24, -12323.843759083247 6590677.701888462 9.22, -12324.385710928764 6590677.811885894 9.18, -12325.133986378729 6590677.9685843345 9.200000000000001, -12325.549186723307 6590678.042093325 9.21, -12327.681037834089 6590678.447137259 9.25, -12328.104908131878 6590678.531869339 9.26, -12329.309446594561 6590678.757236565 9.290000000000001, -12330.660629614315 6590679.021645386 9.290000000000001, -12334.243129048904 6590679.70386392 9.290000000000001, -12336.2171127373 6590680.078536287 9.32, -12339.16686526814 6590680.649214817 9.36, -12339.828175367496 6590680.774531143 9.370000000000001, -12340.835060295532 6590680.964420493 9.39, -12341.150795580703 6590681.0251638 9.4, -12342.395386334334 6590681.174788701 9.42, -12344.128632848791 6590681.377019093 9.46, -12346.32936555444 6590681.639248352 9.49, -12349.10827271652 6590681.96557226 9.53, -12351.907072998001 6590682.294449331 9.52, -12354.087912874355 6590682.554125493 9.51, -12356.189180684683 6590682.803589101 9.49, -12359.077499837615 6590683.143955374 9.48, -12360.043588414963 6590683.25783633 9.49, -12361.900023192633 6590683.445546125 9.51, -12364.06735315168 6590683.652936626 9.53, -12366.653713423642 6590683.90399665 9.46, -12369.069706418843 6590684.14330148 9.4, -12369.639211013098 6590684.196173059 9.4, -12370.357913362444 6590684.268193218 9.39, -12370.558120270376 6590684.283778146 9.39, -12370.759603751183 6590684.289416555 9.39, -12371.131454591407 6590684.306810173 9.39, -12371.483412399364 6590684.321650649 9.39, -12372.237060603977 6590684.357714463 9.38, -12372.549232348334 6590684.367448648 9.38, -12373.35388972063 6590684.399948807 9.370000000000001, -12373.624998828338 6590684.414523223 9.370000000000001, -12374.459495762596 6590684.450853099 9.370000000000001, -12374.740551391034 6590684.466704084 9.35, -12375.565101818996 6590684.501757389 9.32, -12375.9866852673 6590684.525533872 9.31, -12376.670707889658 6590684.552661682 9.3, -12377.103514433722 6590684.56776822 9.3, -12377.235372306604 6590684.564470626 9.290000000000001, -12377.775303463743 6590684.532663781 9.290000000000001, -12378.427199463767 6590684.495006195 9.3, -12378.88500534126 6590684.472879808 9.31, -12379.637643100985 6590684.438041428 9.33, -12379.983484143333 6590684.421765781 9.34, -12380.757291521004 6590684.379534025 9.34, -12381.08323953196 6590684.360705232 9.34, -12381.837153883534 6590684.3159203315 9.33, -12382.182994935254 6590684.29964468 9.33, -12382.936909296492 6590684.25485978 9.33, -12383.282750352286 6590684.238584132 9.33, -12383.811458457436 6590684.215447227 9.33, -12384.056557760458 6590684.196352372 9.33, -12384.270540936559 6590684.18337432 9.33, -12384.372559265525 6590684.176247004 9.33, -12384.708453809086 6590684.15869478 9.33, -12385.1104103268 6590684.099069399 9.32, -12385.472580771893 6590684.034337729 9.32, -12386.12346631923 6590683.925777935 9.32, -12386.55653897248 6590683.860035748 9.31, -12387.145192270516 6590683.763709555 9.31, -12387.640497185814 6590683.685733765 9.31, -12388.168194806145 6590683.591694652 9.3, -12388.71450889454 6590683.510155204 9.3, -12389.199867300282 6590683.430902837 9.3, -12389.799743707641 6590683.325906692 9.290000000000001, -12390.24403947068 6590683.251494554 9.290000000000001, -12390.873755443376 6590683.150328119 9.290000000000001, -12391.318051211536 6590683.075915982 9.28, -12391.957713711483 6590682.97602612 9.28, -12392.411956004682 6590682.902890549 9.28, -12393.031725473527 6590682.80044754 9.27, -12393.5170839036 6590682.721195165 9.27, -12394.115683768992 6590682.626145529 9.27, -12394.643381428206 6590682.532106403 9.26, -12395.190972130338 6590682.440620422 9.26, -12395.79951852723 6590682.346847353 9.26, -12396.274930452986 6590682.2663184 9.25, -12396.925816081464 6590682.1577585805 9.26, -12397.358888788847 6590682.092016377 9.26, -12397.61776436813 6590682.044358523 9.26, -12398.016157287406 6590681.933723952 9.26, -12398.425773301278 6590681.814419429 9.26, -12399.024639258801 6590681.638521047 9.27, -12399.476594502805 6590681.504429769 9.28, -12400.054290854256 6590681.335924759 9.290000000000001, -12400.527415716264 6590681.194440102 9.3, -12401.093888981559 6590681.034605035 9.31, -12401.588183462445 6590680.8857269995 9.32, -12402.155933306727 6590680.715945407 9.31, -12402.63900470041 6590680.575737315 9.31, -12403.164415323641 6590680.420742471 9.3, -12403.699772470572 6590680.2670241995 9.290000000000001, -12404.182843872753 6590680.126816101 9.290000000000001, -12404.760540253716 6590679.958311073 9.28, -12405.201272432692 6590679.832889725 9.27, -12405.821308048908 6590679.64959794 9.27, -12406.24214719073 6590679.521623448 9.26, -12406.89329894958 6590679.332214849 9.26, -12407.229459638416 6590679.23381386 9.25, -12407.96401329094 6590679.02477827 9.22, -12408.406022057636 6590678.889410395 9.21, -12409.036004216701 6590678.707395164 9.200000000000001, -12409.57136139844 6590678.553676869 9.19, -12409.592531013244 6590678.546283492 9.19, -12410.08709159505 6590678.316556683 9.18, -12410.528089854633 6590678.110286577 9.18, -12411.0961058088 6590677.859656199 9.18, -12411.503434791462 6590677.679395936 9.18, -12412.116343125585 6590677.394085758 9.18, -12412.55606482207 6590677.1977621615 9.18, -12413.125357359066 6590676.937185252 9.19, -12413.673480283236 6590676.6840017205 9.19, -12414.145594695874 6590676.471614787 9.19, -12414.457022131595 6590676.329597976 9.200000000000001, -12414.752386239416 6590676.155188451 9.200000000000001, -12415.126312006614 6590675.920089275 9.200000000000001, -12415.697147181781 6590675.568717076 9.21, -12416.079742902308 6590675.344840987 9.21, -12416.673024269752 6590674.97612888 9.22, -12417.034450376465 6590674.759646165 9.22, -12417.648901365115 6590674.38354067 9.200000000000001, -12417.92437243514 6590674.206577989 9.19, -12417.979211334954 6590674.173174758 9.19, -12418.5775989978 6590673.764676542 9.17, -12418.90918554127 6590673.544364103 9.16, -12419.508849779668 6590673.125919352 9.14, -12419.82921323087 6590672.914276861 9.13, -12420.461270184198 6590672.4797687745 9.11, -12420.75051749713 6590672.274243084 9.1, -12420.90508767683 6590672.17275681 9.09, -12421.35528802796 6590671.816012226 9.08, -12421.637141962652 6590671.589316916 9.07, -12422.21207292698 6590671.127256333 9.06, -12422.505149956734 6590670.891891068 9.05, -12423.067581257492 6590670.448446949 9.040000000000001, -12423.383104478009 6590670.195741772 9.040000000000001, -12423.935589257453 6590669.751021077 9.03, -12424.252389050322 6590669.488369371 9.03, -12424.465627848986 6590669.323640279 9.02, -12424.77503426146 6590669.039818953 9.02, -12425.09438719775 6590668.757274193 9.02, -12425.57469317381 6590668.323510528 9.01, -12425.928991965891 6590668.005009386 9.01, -12426.398074848461 6590667.57991566 8.99, -12426.753650212544 6590667.251467987 8.98, -12427.210233429563 6590666.844990735 8.96, -12427.247732427204 6590666.789141302 8.96, -12427.543628648855 6590666.453034194 8.950000000000001, -12427.911969722714 6590666.025121271 8.93, -12428.26908770128 6590665.605878298 8.92, -12428.577483587258 6590665.251154704 8.91, -12429.004493275192 6590664.759998957 8.89, -12429.266720210842 6590664.449901694 8.88, -12429.729952323542 6590663.91284303 8.86, -12429.836066459888 6590663.79502735 8.86, -12429.957233402936 6590663.638702148 8.86, -12430.428124938218 6590663.041964327 8.870000000000001, -12430.70540467801 6590662.69335753 8.870000000000001, -12431.126297549286 6590662.171085613 8.88, -12431.45229937922 6590661.75795942 8.88, -12431.814523633453 6590661.29893031 8.88, -12432.200470647076 6590660.812614766 8.89, -12432.512696238642 6590660.428051567 8.89, -12432.95731186535 6590659.878493191 8.9, -12433.200922315824 6590659.555896236 8.9, -12433.513147905644 6590659.171333027 8.88, -12433.657027072099 6590658.91681913 8.870000000000001, -12433.815959043393 6590658.623795709 8.86, -12434.160098883673 6590657.99056937 8.85, -12434.346583322622 6590657.640419934 8.84, -12434.661894118006 6590657.0742661245 8.82, -12434.885877548251 6590656.668267243 8.82, -12435.176189010032 6590656.139346386 8.81, -12435.41650181153 6590655.684891444 8.8, -12435.680537370034 6590655.203150068 8.8, -12435.954519452062 6590654.722685254 8.8, -12436.181056013447 6590654.296793315 8.81, -12436.483867129253 6590653.74925596 8.81, -12436.709127117996 6590653.333310537 8.82, -12437.011938229669 6590652.785773175 8.82, -12437.209645747906 6590652.426953758 8.83, -12437.237198214862 6590652.369827746 8.83, -12437.559902372886 6590651.824843517 8.84, -12437.830054733378 6590651.374218259 8.85, -12438.11525989516 6590650.885083466 8.86, -12438.412964719115 6590650.377332188 8.870000000000001, -12438.671893980412 6590649.935376878 8.88, -12438.91704700701 6590649.521984573 8.870000000000001, -12439.098425144854 6590649.211621199 8.870000000000001, -12439.175976265164 6590649.0800292585 8.870000000000001, -12439.238474583719 6590648.986946845 8.870000000000001, -12439.562455296284 6590648.432016065 8.86, -12439.795108654886 6590648.037240232 8.85, -12440.131589026947 6590647.463692962 8.85, -12440.351742719184 6590647.087533607 8.84, -12440.493068723474 6590646.852912722 8.84, -12440.629820501781 6590646.496380389 8.83, -12440.795401311887 6590646.072775514 8.83, -12441.016087047698 6590645.534918603 8.82, -12441.210496885935 6590645.044241178 8.81, -12441.406183290179 6590644.54361723 8.81, -12441.614369355375 6590644.024376789 8.8, -12441.797556091624 6590643.542369318 8.8, -12442.019518382498 6590642.994565867 8.790000000000001, -12442.198875408852 6590642.542397968 8.790000000000001, -12442.423390831274 6590641.974701456 8.78, -12442.602747852798 6590641.522533554 8.78, -12442.691788078693 6590641.301422865 8.77, -12442.808646785037 6590640.94233738 8.77, -12442.945664561761 6590640.504956249 8.77, -12443.145446666225 6590639.893643921 8.76, -12443.266135071462 6590639.504718852 8.76, -12443.472300009511 6590638.843673888 8.75, -12443.587882138847 6590638.494534919 8.75, -12443.809099867416 6590637.794980414 8.74, -12443.922128857113 6590637.465734496 8.74, -12444.143346578 6590636.766179985 8.73, -12444.331905564293 6590636.163537598 8.73, -12444.764128441107 6590634.844000771 8.71, -12445.236669430451 6590633.367872638 8.700000000000001, -12445.45889767661 6590632.739220355 8.700000000000001, -12446.34781061922 6590630.2246112 8.68, -12446.377916208701 6590630.147592121 8.68, -12446.394245570176 6590630.099136054 8.68, -12447.185182282352 6590627.875263248 8.65, -12448.084041626367 6590625.361930552 8.61, -12449.019389318768 6590622.721846088 8.57, -12449.08343018347 6590622.537968338 8.56, -12449.694265233004 6590620.6145123355 8.53, -12450.75237566774 6590617.333009748 8.53, -12451.227469515637 6590615.836988354 8.53, -12452.267973866547 6590612.613888247 8.53, -12452.30190913676 6590612.507029572 8.53, -12452.722164010978 6590611.044411409 8.53, -12453.295765843184 6590609.095955927 8.53, -12453.509589955327 6590608.3752316395 8.53, -12453.978832812747 6590606.76724521 8.53, -12454.128616073402 6590606.2303986875 8.53, -12454.492223416863 6590604.972827859 8.540000000000001, -12455.271989803237 6590602.363327144 8.55, -12455.553684378101 6590601.42888546 8.55, -12455.959896876884 6590600.075678997 8.55, -12456.045373298402 6590599.803559021 8.55, -12456.845298574015 6590597.115762545 8.56, -12456.989975526056 6590596.618702099 8.57, -12457.43139976816 6590595.148690373 8.51, -12458.654025994241 6590591.76697725 8.49, -12460.596579028701 6590586.950995945 8.45, -12463.723035543982 6590576.534160968 8.43, -12465.49011401931 6590571.746210142 8.32, -12466.84044860839 6590566.975545868 8.22, -12468.481944926025 6590561.0391161535 8.06, -12469.26367794833 6590557.0750779975 7.78)</t>
  </si>
  <si>
    <t>POLYGON ((-12409.409749112518 6590678.079877899, -12409.87585208587 6590677.863369846, -12410.316250058457 6590677.657380515, -12410.32624608691 6590677.6528381165, -12410.894013031912 6590677.4023176115, -12411.296740113296 6590677.224093884, -12411.905333939227 6590676.940792119, -12411.912501024128 6590676.937524265, -12412.350090728056 6590676.742152544, -12412.916473978672 6590676.482907275, -12413.463812124417 6590676.23008624, -12413.468349793731 6590676.228017639, -12413.939299725473 6590676.016154563, -12414.225534120611 6590675.885626256, -12414.492152941504 6590675.728190532, -12414.860177451525 6590675.496801667, -12414.864215136064 6590675.494289756, -12415.435050311231 6590675.142917558, -12415.444626791354 6590675.137169336, -12415.821475168488 6590674.916656307, -12416.409100795676 6590674.551459126, -12416.416101920084 6590674.547187268, -12416.775467219704 6590674.331938911, -12417.383232575396 6590673.9599256925, -12417.654129657061 6590673.7859013425, -12417.664268119444 6590673.779558382, -12417.70802306996 6590673.752906558, -12418.295691959005 6590673.351725671, -12418.300897240555 6590673.348219897, -12418.627735570151 6590673.131062262, -12419.222724786896 6590672.715879734, -12419.23324491315 6590672.70873599, -12419.549761697534 6590672.499634732, -12420.174822149262 6590672.069936397, -12420.460906568182 6590671.866658111, -12420.47609554875 6590671.856280652, -12420.612029625961 6590671.7670303, -12421.043334218868 6590671.425258959, -12421.323773794304 6590671.199701219, -12421.898851635158 6590670.737522549, -12422.192070049048 6590670.502043699, -12422.195577566892 6590670.49925264, -12422.756508690112 6590670.056991323, -12423.070061667748 6590669.805864129, -12423.61925001798 6590669.363796884, -12423.93326454155 6590669.103454383, -12423.946719146075 6590669.092685267, -12424.143221666107 6590668.940885116, -12424.437043335054 6590668.671359818, -12424.443720850595 6590668.665344088, -12424.761163250349 6590668.384489659, -12425.239576036662 6590667.952435731, -12425.240424110645 6590667.951671593, -12425.593978981833 6590667.633839208, -12426.060557513874 6590667.211014982, -12426.414385106524 6590666.884181739, -12426.421182591794 6590666.87801748, -12426.8304422251 6590666.513670467, -12426.832622180502 6590666.510423733, -12426.872443216593 6590666.458750611, -12427.166499611954 6590666.124733353, -12427.532180278447 6590665.699911105, -12427.8884593976 6590665.281652922, -12427.891753647877 6590665.27782493, -12428.200149533855 6590664.923101336, -12428.624912382236 6590664.434529952, -12428.88492809354 6590664.12704758, -12428.888102580982 6590664.123330584, -12429.351334693682 6590663.586271919, -12429.358430754584 6590663.578221268, -12429.45218829065 6590663.47412479, -12429.5620441291 6590663.332392765, -12429.56472252503 6590663.328968051, -12430.035614060313 6590662.73223023, -12430.03681286075 6590662.730717065, -12430.314092600542 6590662.382110268, -12430.316091033164 6590662.379614186, -12430.735375023034 6590661.859338676, -12431.059788496857 6590661.448225329, -12431.42201274833 6590660.989196222, -12431.422872239496 6590660.988110128, -12431.80881925312 6590660.501794584, -12431.812299059875 6590660.497459536, -12432.124253033802 6590660.113230884, -12432.563339377662 6590659.570506869, -12432.801911643064 6590659.254581644, -12432.812750724026 6590659.240741012, -12433.09853100395 6590658.888750063, -12433.219604617574 6590658.674577867, -12433.376445638729 6590658.385409537, -12433.7197774786 6590657.753669572, -12433.905269852225 6590657.405382872, -12433.909760711098 6590657.397138191, -12434.224583021965 6590656.831861476, -12434.447820969928 6590656.427213877, -12434.7360008956 6590655.902176484, -12434.974494893753 6590655.451161076, -12434.978039903954 6590655.444576742, -12435.242075462456 6590654.962835367, -12435.246194299862 6590654.955468625, -12435.516534793622 6590654.481389831, -12435.739619086427 6590654.061988205, -12435.743511277265 6590654.054812729, -12436.045253520735 6590653.50920809, -12436.269461755039 6590653.0952047445, -12436.271582379022 6590653.091329956, -12436.574203652119 6590652.544135856, -12436.765179906386 6590652.197533012, -12436.786843388061 6590652.152616951, -12436.80696610198 6590652.1150723165, -12437.129670260005 6590651.570088087, -12437.131062398741 6590651.567751556, -12437.399650350035 6590651.119735797, -12437.68332299905 6590650.633229306, -12437.683932230715 6590650.632187349, -12437.981595065237 6590650.124507686, -12438.24048198368 6590649.682624649, -12438.24183027664 6590649.680337252, -12438.486166812465 6590649.268321766, -12438.666737321628 6590648.959340356, -12438.667664318664 6590648.957760783, -12438.745215438974 6590648.826168843, -12438.76086596166 6590648.801311774, -12438.814602122222 6590648.721279358, -12439.130657682032 6590648.179923185, -12439.131694465577 6590648.178155658, -12439.364096369645 6590647.783806503, -12439.700194711217 6590647.210910423, -12439.920216905313 6590646.834975748, -12439.923442649091 6590646.8295432, -12440.042020028719 6590646.632688207, -12440.162982921938 6590646.317319857, -12440.16413288078 6590646.314350063, -12440.329713690886 6590645.890745188, -12440.332825003261 6590645.882977836, -12440.552359917727 6590645.347925715, -12440.74522870046 6590644.861137811, -12440.940495666144 6590644.361586912, -12440.942096082097 6590644.357544493, -12441.148595433377 6590643.842510914, -12441.33017199617 6590643.364740189, -12441.334151065455 6590643.354604088, -12441.555423781752 6590642.808502508, -12441.734010058415 6590642.358277706, -12441.958432111542 6590641.790817283, -12441.958619161578 6590641.790345021, -12442.137976183101 6590641.338177118, -12442.138941819258 6590641.335761063, -12442.221610341416 6590641.130473019, -12442.332336388843 6590640.790232075, -12442.468529096463 6590640.355484688, -12442.470400827417 6590640.34963599, -12442.669019883375 6590639.7418824695, -12442.788598666119 6590639.35653322, -12442.788810542595 6590639.355852153, -12442.994975480644 6590638.694807189, -12442.997634085043 6590638.686536177, -12443.112162035213 6590638.340581568, -12443.332368410245 6590637.644225256, -12443.33619068333 6590637.63263232, -12443.44723777695 6590637.309159532, -12443.666386061192 6590636.616149181, -12443.854718184448 6590636.014231857, -12443.856746875928 6590636.007896277, -12444.288446108032 6590634.689958089, -12444.760474214127 6590633.215432106, -12444.765256921195 6590633.201228567, -12444.987485167354 6590632.572576284, -12445.876398107022 6590630.0579671385, -12445.882122963727 6590630.042580962, -12445.907896953842 6590629.976643406, -12445.92042671197 6590629.939462356, -12445.923153364089 6590629.931588647, -12446.714090076264 6590627.707715841, -12446.71438497456 6590627.706888977, -12447.612994054376 6590625.194256054, -12448.547647099242 6590622.556132282, -12448.608975176836 6590622.380043639, -12449.2177183994 6590620.463174582, -12449.218392335944 6590620.461068581, -12450.27616347091 6590617.180618258, -12450.750922673013 6590615.68565063, -12450.75164949422 6590615.683380714, -12451.791787721375 6590612.461414724, -12451.823265734589 6590612.362293698, -12452.24160774044 6590610.906332914, -12452.24251637257 6590610.90320892, -12452.816118204775 6590608.954753438, -12452.816416848558 6590608.953742913, -12453.029922955837 6590608.234090506, -12453.498022774178 6590606.630021006, -12453.647009939825 6590606.096027812, -12453.64829047381 6590606.091519897, -12454.01189781727 6590604.833949069, -12454.013154735156 6590604.829673404, -12454.79292112153 6590602.220172688, -12454.793269142816 6590602.219013148, -12455.074879514863 6590601.284850783, -12455.481008146067 6590599.931923706, -12455.4828764584 6590599.925840682, -12455.56722251505 6590599.6573193, -12456.365642080029 6590596.9745821, -12456.509897971702 6590596.478968274, -12456.511100121897 6590596.474902421, -12456.952524364002 6590595.004890695, -12456.961187350042 6590594.978689544, -12458.183813576123 6590591.596976421, -12458.190326135587 6590591.579941315, -12460.124286765564 6590586.785262316, -12463.24414019569 6590576.390427724, -12463.253962472378 6590576.361041201, -12465.014309659748 6590571.591328997, -12466.358936665772 6590566.840829328, -12467.995025348375 6590560.923956187, -12468.773125825734 6590556.978338063, -12469.754230070925 6590557.171817932, -12468.97249704862 6590561.135856088, -12468.963860806978 6590561.1723718615, -12467.322364489342 6590567.108801576, -12467.321547757612 6590567.111720787, -12465.971213168534 6590571.882385061, -12465.959187090915 6590571.919329909, -12464.197475236208 6590576.692739719, -12461.075474376994 6590587.094729189, -12461.060278887355 6590587.13803188, -12459.121137498194 6590591.945555027, -12457.906305342523 6590595.305710204, -12457.469460626515 6590596.760471392, -12457.325376128369 6590597.25549637, -12457.324525303087 6590597.2583870245, -12456.524600027475 6590599.946183501, -12456.522393716887 6590599.9533973355, -12456.437870806245 6590600.222481744, -12456.032573108918 6590601.572640751, -12456.032405038522 6590601.573199456, -12455.750885152629 6590602.507061658, -12454.971930092655 6590605.113847258, -12454.609592502096 6590606.367026524, -12454.460438946324 6590606.901616085, -12454.45881300442 6590606.907313107, -12453.989570147 6590608.515299536, -12453.988938949953 6590608.517444653, -12453.775264681293 6590609.237663873, -12453.202271047663 6590611.184053377, -12452.7824654073 6590612.6451080665, -12452.778455987143 6590612.658367272, -12452.74452071693 6590612.765225947, -12452.743793887965 6590612.767495887, -12451.703655652682 6590615.9894619025, -12451.228922510365 6590617.484347472, -12451.2282485648 6590617.486453502, -12450.170477434944 6590620.766903809, -12449.559977017072 6590622.689306091, -12449.55561210188 6590622.702419655, -12449.491571237179 6590622.886297406, -12449.490685076638 6590622.888820063, -12448.555337384238 6590625.528904527, -12448.554838934158 6590625.530304822, -12447.656127443463 6590628.0432241, -12446.866733905286 6590630.262757971, -12446.851735066908 6590630.307265818, -12446.843603864194 6590630.329622359, -12446.816487014568 6590630.39899535, -12445.930310188807 6590632.905864417, -12445.710579738674 6590633.527450788, -12445.240323657432 6590634.996441303, -12445.239287129472 6590634.999642092, -12444.808099670288 6590636.316017884, -12444.620533957845 6590636.915485727, -12444.62007803702 6590636.9169351375, -12444.398860316134 6590637.616489648, -12444.395038041199 6590637.62808259, -12444.283990949265 6590637.951555372, -12444.064613596018 6590638.645290078, -12444.062548063315 6590638.65167263, -12443.948331166057 6590638.996687641, -12443.743565794886 6590639.65324505, -12443.62298307157 6590640.041829553, -12443.62071040057 6590640.04896418, -12443.421882118515 6590640.657357912, -12443.285782250336 6590641.091808941, -12443.284103095113 6590641.097067135, -12443.16724438877 6590641.456152621, -12443.155594112233 6590641.488195356, -12443.067039852362 6590641.708099261, -12442.888256099788 6590642.158821924, -12442.663834128585 6590642.72628214, -12442.663647076455 6590642.726754407, -12442.4842900501 6590643.178922307, -12442.482923408666 6590643.182331097, -12442.263005844728 6590643.725088158, -12442.08175345083 6590644.202005918, -12442.078456563457 6590644.210449526, -12441.871079485929 6590644.7276722565, -12441.67618450997 6590645.226271496, -12441.675340724274 6590645.228415568, -12441.480930886037 6590645.719092993, -12441.478663356324 6590645.724716281, -12441.259565772787 6590646.258702535, -12441.096087839365 6590646.676927627, -12440.959906303317 6590647.031973254, -12440.942374114446 6590647.072286069, -12440.921368793566 6590647.110903129, -12440.781672824596 6590647.342817928, -12440.563114840817 6590647.716250821, -12440.562851707287 6590647.716699881, -12440.226371335226 6590648.290247151, -12440.225869485592 6590648.29110064, -12439.99373634792 6590648.68499374, -12439.670272197971 6590649.239039726, -12439.653584887223 6590649.26566433, -12439.599277059366 6590649.346548164, -12439.529650927878 6590649.464692657, -12439.348734830235 6590649.774265416, -12439.347110710782 6590649.777024199, -12439.102634865198 6590650.189274599, -12438.844376715848 6590650.630084417, -12438.546892790138 6590651.137458996, -12438.261991629488 6590651.626072419, -12438.258894707524 6590651.63131022, -12437.989441618383 6590652.080769064, -12437.678292058363 6590652.606239837, -12437.660000574706 6590652.644164554, -12437.64756967536 6590652.668247425, -12437.449862157124 6590653.027066842, -12437.449482968643 6590653.027753755, -12437.147740717659 6590653.573358424, -12436.92353249221 6590653.987361752, -12436.921411865434 6590653.991236545, -12436.62057614395 6590654.535202029, -12436.395956379081 6590654.957490364, -12436.388862522233 6590654.970366698, -12436.11697095036 6590655.447165518, -12435.8567608379 6590655.921927244, -12435.61819592781 6590656.373076754, -12435.614505012574 6590656.379927104, -12435.324193550794 6590656.908847961, -12435.323673666146 6590656.909792726, -12435.0996902359 6590657.315791608, -12435.09871672953 6590657.317547867, -12434.785690057803 6590657.879600436, -12434.60141235407 6590658.225606432, -12434.599412567353 6590658.229323401, -12434.255372500444 6590658.862366154, -12434.096540476763 6590659.155205302, -12434.092291285271 6590659.162878198, -12433.948412118816 6590659.417392095, -12433.926312764974 6590659.452926349, -12433.901319497441 6590659.486488251, -12433.59463512674 6590659.86422643, -12433.35632253811 6590660.179807782, -12433.346025937406 6590660.192979073, -12432.901410310698 6590660.742537449, -12432.900867825843 6590660.743206796, -12432.59039418821 6590661.1256121425, -12432.206605530657 6590661.6092080325, -12431.844810264343 6590662.067693507, -12431.518808431649 6590662.480819704, -12431.515611194132 6590662.484828957, -12431.095721519876 6590663.005856041, -12430.82003784142 6590663.352456207, -12430.351090920583 6590663.946729714, -12430.231255733725 6590664.1013367325, -12430.207588028845 6590664.129649112, -12430.105065129279 6590664.243477538, -12429.646934186929 6590664.7746220445, -12429.386285392495 6590665.082853071, -12429.381827329247 6590665.088052324, -12428.954817641314 6590665.579208071, -12428.648078543605 6590665.932025992, -12428.292598026394 6590666.349346647, -12428.290915200982 6590666.351311897, -12427.922574127122 6590666.77922482, -12427.918917859466 6590666.783424885, -12427.644621246154 6590667.0949971005, -12427.625343676265 6590667.123708304, -12427.600485272544 6590667.157566324, -12427.572872774697 6590667.189218429, -12427.542701050314 6590667.218441242, -12427.089544855648 6590667.621867557, -12426.737339954481 6590667.947201909, -12426.733829080522 6590667.9504141025, -12426.264746197952 6590668.375507828, -12426.263261029057 6590668.3768483205, -12425.909386827356 6590668.694967772, -12425.4295043349 6590669.128348989, -12425.425700608615 6590669.131749057, -12425.109713452683 6590669.411315972, -12424.803618775391 6590669.692099413, -12424.771297753232 6590669.719324382, -12424.564879061003 6590669.878784874, -12424.254713766224 6590670.135936065, -12424.249110141676 6590670.140513895, -12423.696625362232 6590670.58523459, -12423.695668105278 6590670.5860031955, -12423.38014488476 6590670.838708373, -12423.377153647334 6590670.841085377, -12422.8164823485 6590671.283141837, -12422.525224189536 6590671.517046398, -12421.950437128127 6590671.978991329, -12421.668656196309 6590672.205627923, -12421.665819244601 6590672.207892774, -12421.215618893471 6590672.564637357, -12421.17950962521 6590672.590719242, -12421.032629399015 6590672.687156516, -12420.750881113147 6590672.887353747, -12420.744520842334 6590672.891799192, -12420.112463889007 6590673.326307278, -12420.104818097388 6590673.331460223, -12419.78976014685 6590673.539597728, -12419.195310534042 6590673.954403722, -12419.185887298514 6590673.9608207485, -12418.85691440424 6590674.179396629, -12418.261118373748 6590674.586125629, -12418.23931565065 6590674.600194366, -12418.189583919675 6590674.63048674, -12417.919144143194 6590674.804217317, -12417.909933371142 6590674.809993824, -12417.295482382491 6590675.186099319, -12417.291372726133 6590675.188587777, -12416.93346467667 6590675.402963288, -12416.343666376384 6590675.76951074, -12416.332263292736 6590675.776388727, -12415.954487911578 6590675.997444193, -12415.390433735425 6590676.344642411, -12415.018520794505 6590676.578476058, -12415.006617116069 6590676.585730738, -12414.711253008249 6590676.7601402635, -12414.664479002466 6590676.784528351, -12414.353051566744 6590676.926545163, -12414.350725185379 6590676.9275988685, -12413.88088479316 6590677.138962803, -12413.335025517885 6590677.391100733, -12413.33345446814 6590677.391823122, -12412.764161931145 6590677.652400032, -12412.759906923528 6590677.654323655, -12412.323781654886 6590677.849041547, -12411.71444397782 6590678.132689576, -12411.70577747243 6590678.136623931, -12411.298448489768 6590678.316884194, -12411.297949576523 6590678.317104659, -12410.734956569988 6590678.56551872, -12410.298931391228 6590678.769462745, -12410.297729763111 6590678.770022847, -12409.803169181305 6590678.999749656, -12409.757388587512 6590679.018323723, -12409.736218972708 6590679.0257171, -12409.70935184813 6590679.034258429, -12409.17439137068 6590679.187862818, -12408.548630953703 6590679.368658298, -12408.110428841328 6590679.502860362, -12408.100867229681 6590679.505684705, -12407.368121478039 6590679.714205813, -12407.033764754286 6590679.812078744, -12407.032951913676 6590679.812315932, -12406.384713684909 6590680.000877036, -12405.966777551343 6590680.127968742, -12405.963051846311 6590680.129085892, -12405.343016230096 6590680.312377677, -12405.33812636789 6590680.313796162, -12404.898972622354 6590680.438768326, -12404.322851722378 6590680.606813812, -12404.322213731723 6590680.606999444, -12403.839142329542 6590680.747207542, -12403.83776290847 6590680.747605762, -12403.30414822642 6590680.900823716, -12402.780476191358 6590681.055305681, -12402.778374555663 6590681.055920659, -12402.297247243188 6590681.1955644945, -12401.731908904067 6590681.364624944, -12401.238086832042 6590681.513360692, -12401.229666714824 6590681.515816431, -12400.66693964033 6590681.67459448, -12400.19754413386 6590681.814963899, -12400.19429869621 6590681.815922472, -12399.617708223956 6590681.984104915, -12399.166857564463 6590682.117868472, -12399.16554644565 6590682.11825552, -12398.566680488128 6590682.294153902, -12398.565593119081 6590682.294471946, -12398.155977105209 6590682.4137764685, -12398.149945394662 6590682.415492301, -12397.751552475385 6590682.526126872, -12397.708290921439 6590682.536095183, -12397.449415342156 6590682.583753037, -12397.433931098252 6590682.586352954, -12397.00447030373 6590682.6515468545, -12396.35781141318 6590682.759401706, -12395.883022907232 6590682.839825058, -12395.875666541715 6590682.841014814, -12395.270245836711 6590682.934306234, -12394.728441073532 6590683.024825559, -12394.20340497475 6590683.118390377, -12394.1940947267 6590683.119958977, -12393.596577732544 6590683.214836668, -12393.112783364884 6590683.293833653, -12392.493495677738 6590683.3961970275, -12392.491435252203 6590683.396533182, -12392.037192959004 6590683.4696687525, -12392.034858875199 6590683.470038896, -12391.39792191226 6590683.569503138, -12390.956346751824 6590683.643459619, -12390.95306551321 6590683.643997962, -12390.324990940466 6590683.744900699, -12389.884142763778 6590683.8187354235, -12389.28607162496 6590683.923415593, -12389.280443329251 6590683.924367632, -12388.79508492351 6590684.003619999, -12388.788318204153 6590684.004677383, -12388.248976092842 6590684.085176238, -12387.72821838689 6590684.177978613, -12387.718254445532 6590684.179650568, -12387.224444190253 6590684.257391054, -12386.637284160854 6590684.353472891, -12386.63158127235 6590684.354372327, -12386.202120463613 6590684.419566222, -12385.557698549392 6590684.52704796, -12385.198382527802 6590684.591269451, -12385.183776484579 6590684.593657517, -12384.781819966864 6590684.6532828985, -12384.734545791258 6590684.6580135245, -12384.40303091403 6590684.675336888, -12384.305387544708 6590684.682158556, -12384.30081025118 6590684.682457248, -12384.09111280311 6590684.695175371, -12383.850294083006 6590684.71393674, -12383.83331814036 6590684.714969153, -12383.305432422792 6590684.738070069, -12382.963487241557 6590684.754162373, -12382.212644251917 6590684.798764824, -12382.206499459004 6590684.799091912, -12381.863731815167 6590684.8152229255, -12381.112888849613 6590684.859825376, -12381.112074583876 6590684.85987308, -12380.78612657292 6590684.878701872, -12380.78453925851 6590684.878791033, -12380.010731880839 6590684.92102279, -12380.006988661009 6590684.921213013, -12379.66114761866 6590684.93748866, -12378.908633777923 6590684.9723214535, -12378.453686378984 6590684.994309686, -12377.804422908586 6590685.0318152, -12377.264775869178 6590685.0636053085, -12377.247872746058 6590685.064314341, -12377.116014873176 6590685.067611935, -12377.086073217753 6590685.067463932, -12376.65326667369 6590685.052357393, -12376.650893851334 6590685.052268932, -12375.966871228977 6590685.025141122, -12375.958530984379 6590685.024740579, -12375.540405108562 6590685.001159096, -12374.719314562102 6590684.966252877, -12374.712397114881 6590684.965910791, -12374.434544107908 6590684.950240429, -12373.603251896124 6590684.914050071, -12373.598158340033 6590684.913802292, -12373.330379114333 6590684.899406886, -12372.531350903131 6590684.867134089, -12372.221477104455 6590684.857471558, -12372.213161791573 6590684.857142983, -12371.460930794907 6590684.821146986, -12371.110390559315 6590684.8063662825, -12371.108092239112 6590684.806264075, -12370.740927536342 6590684.7890896555, -12370.5441335086 6590684.783582478, -12370.519315611642 6590684.78227007, -12370.31910870371 6590684.766685142, -12370.30805874933 6590684.765701527, -12369.591173020042 6590684.693863409, -12369.02348625246 6590684.641160593, -12369.020422440506 6590684.640866642, -12366.60491686139 6590684.40161009, -12364.019385755473 6590684.150630554, -12361.852396044345 6590683.943272611, -12361.849723140407 6590683.943009595, -12359.993288362737 6590683.7552998, -12359.985054495946 6590683.75439829, -12359.018974429287 6590683.6405183375, -12356.130664418642 6590683.300153142, -12354.028966571866 6590683.050638669, -12351.84833783947 6590682.790987679, -12349.049938291593 6590682.4621576965, -12346.271051806123 6590682.135836216, -12346.270206329644 6590682.135736203, -12344.07008013702 6590681.873579214, -12342.337440811805 6590681.671419667, -12342.33570598334 6590681.67121418, -12341.091115229709 6590681.521589279, -12341.056334418012 6590681.516159818, -12340.741498465182 6590681.455589529, -12339.735513346353 6590681.265869875, -12339.073773416392 6590681.140472293, -12339.071893024573 6590681.140112233, -12336.123007269463 6590680.569601395, -12334.149891085464 6590680.195093685, -12330.567095034725 6590679.512818759, -12330.564607398213 6590679.512338501, -12329.215457072607 6590679.248327453, -12328.012954540092 6590679.023341145, -12328.006896755885 6590679.022169013, -12327.585365661433 6590678.937904541, -12325.458935534965 6590678.533890575, -12325.046819635794 6590678.460927669, -12325.03150301742 6590678.457968806, -12324.28474090786 6590678.301587279, -12323.74849413004 6590678.192747776, -12323.58858348647 6590678.163129166, -12323.572509244606 6590678.161066141, -12323.512391502645 6590678.149573468, -12323.476793427797 6590678.138116245, -12323.463402249774 6590678.135970911, -12323.30553463868 6590678.105599269, -12323.301049297563 6590678.104715065, -12317.801958963802 6590676.994528279, -12317.801450638552 6590676.994425381, -12317.2594988325 6590676.884427966, -12317.240926710792 6590676.880289033, -12317.071127681993 6590676.839041664, -12316.965734981028 6590676.8164912835, -12316.300469603242 6590676.691028315, -12316.290136399437 6590676.688966583, -12316.044026776732 6590676.637159307, -12316.038734090977 6590676.636015207, -12315.84460620819 6590676.592949687, -12315.787530115795 6590676.585624339, -12315.730020737306 6590676.574790593, -12315.574675940674 6590676.535991395, -12311.478925079411 6590675.711639809, -12292.725629433386 6590675.956288306, -12292.712584916524 6590674.95637339, -12311.518989798693 6590674.71103205, -12311.57183838913 6590674.713140262, -12311.624168603023 6590674.720819246, -12315.783298809354 6590675.557927189, -12315.805801326727 6590675.562999027, -12315.943901720342 6590675.597491232, -12315.994401569315 6590675.603972561, -12316.039039768457 6590675.611771825, -12316.252666640377 6590675.659163021, -12316.490971037489 6590675.709327259, -12317.157050029638 6590675.834943668, -12317.169002790552 6590675.837349124, -12317.28708434765 6590675.86261448, -12317.300496524995 6590675.865677775, -12317.467733910678 6590675.906302873, -12318.000105955793 6590676.014355929, -12323.49670157158 6590677.124039067, -12323.63699587797 6590677.151029837, -12323.66129914768 6590677.154149006, -12323.721416870103 6590677.165641679, -12323.758614616176 6590677.177613757, -12323.93482014899 6590677.210250503, -12323.943213902574 6590677.211879544, -12324.48516574809 6590677.321876977, -12324.488194290072 6590677.322501423, -12325.2288345172 6590677.47760095, -12325.636353466241 6590677.549749991, -12325.642515316595 6590677.550880771, -12327.774366427377 6590677.955924705, -12327.779049210081 6590677.956837585, -12328.199894250783 6590678.040964914, -12329.401400186347 6590678.265764759, -12329.405468810663 6590678.26654345, -12330.755408477531 6590678.530708962, -12334.336516118996 6590679.212662456, -12336.31035070074 6590679.587306522, -12336.312084980867 6590679.587638871, -12339.260897644126 6590680.158135568, -12339.921052226855 6590680.283232926, -12340.927722316675 6590680.47308176, -12340.929521458223 6590680.473424476, -12341.227961959068 6590680.530840495, -12342.454199595903 6590680.678258981, -12344.18657837132 6590680.880388128, -12344.187792073588 6590680.880531242, -12346.388102249604 6590681.142710154, -12349.166586464837 6590681.468984396, -12351.965424747921 6590681.797865931, -12351.966191198291 6590681.797956593, -12354.14694541112 6590682.057622556, -12356.247912209392 6590682.3070504265, -12359.136016103655 6590682.647391333, -12360.098009167212 6590682.760789516, -12361.948987030748 6590682.947947546, -12364.114980299968 6590683.15521014, -12364.115661479862 6590683.155275793, -12366.702021751824 6590683.406335817, -12366.702997401979 6590683.406431489, -12369.117458992103 6590683.645584633, -12369.685431179481 6590683.698313946, -12369.689065626213 6590683.69866475, -12370.40224844278 6590683.770131804, -12370.584532301576 6590683.784321529, -12370.77359051296 6590683.789612223, -12370.782966103478 6590683.789962653, -12371.153667939372 6590683.807302525, -12371.504476431455 6590683.82209454, -12371.507311211768 6590683.822222129, -12372.256803133314 6590683.858087055, -12372.564815847856 6590683.867691553, -12372.56941092547 6590683.867855989, -12373.374068297766 6590683.900356148, -12373.380730208935 6590683.900669739, -12373.649293194776 6590683.915107279, -12374.48124269481 6590683.951326252, -12374.487650038749 6590683.951646391, -12374.765248137659 6590683.967302378, -12375.586338647929 6590684.002208595, -12375.593256101918 6590684.002550682, -12376.010671063186 6590684.02609207, -12376.689335640076 6590684.053007384, -12377.105987042149 6590684.067550049, -12377.21441430065 6590684.064838424, -12377.745899901169 6590684.033529099, -12377.746468410149 6590684.033495934, -12378.398364410174 6590683.995838348, -12378.403061952222 6590683.995589155, -12378.860867829715 6590683.973462768, -12378.861885907567 6590683.973414603, -12379.614331005378 6590683.938585141, -12379.958107690602 6590683.922406645, -12380.729249941298 6590683.880320341, -12381.053997197294 6590683.861560912, -12381.80750456588 6590683.816800187, -12381.813649359785 6590683.816473099, -12382.15641700889 6590683.800342085, -12382.90725997983 6590683.755739636, -12382.913404778386 6590683.755412548, -12383.25924583418 6590683.7391369, -12383.260890669362 6590683.739062206, -12383.781102019428 6590683.716297129, -12384.017722134888 6590683.697862859, -12384.026288445837 6590683.697269444, -12384.237982307577 6590683.684430239, -12384.337712657376 6590683.677462769, -12384.346467283352 6590683.67692826, -12384.658612236255 6590683.660617075, -12385.029723471273 6590683.605567218, -12385.384608570892 6590683.542137677, -12385.390323133375 6590683.541150462, -12386.041208680712 6590683.432590668, -12386.04842401936 6590683.431441356, -12386.478642676653 6590683.366132418, -12387.064447082143 6590683.270272412, -12387.067435010798 6590683.269792752, -12387.557749519377 6590683.192602602, -12388.080473605069 6590683.099449804, -12388.094385496532 6590683.097172473, -12388.637312596215 6590683.016138545, -12389.116474392998 6590682.937898, -12389.713539382963 6590682.833393936, -12389.717152397261 6590682.832775193, -12390.1614481603 6590682.758363055, -12390.164729400845 6590682.7578247115, -12390.792803885559 6590682.656921988, -12391.235459903088 6590682.582784482, -12391.24090604782 6590682.581903205, -12391.879401096934 6590682.482195652, -12392.331446135679 6590682.409413852, -12392.950185800471 6590682.307141062, -12392.951149440192 6590682.306982746, -12393.436507870265 6590682.227730371, -12393.438672945893 6590682.2273817165, -12394.032610277798 6590682.1330724275, -12394.555660222448 6590682.039861555, -12394.560988405063 6590682.038941735, -12395.108579107195 6590681.9474557545, -12395.114824115853 6590681.946452961, -12395.719687883702 6590681.853247361, -12396.191426072985 6590681.773340695, -12396.19267280522 6590681.773131134, -12396.843558433698 6590681.664571314, -12396.85077377206 6590681.663422003, -12397.27608392391 6590681.598858187, -12397.505385551736 6590681.5566447675, -12397.879347913116 6590681.452794615, -12398.285409834269 6590681.334525255, -12398.883076214763 6590681.158979212, -12399.334376197143 6590681.025082344, -12399.336586660851 6590681.024432056, -12399.91265875579 6590680.856400816, -12400.38416243666 6590680.715400962, -12400.391637982999 6590680.713228706, -12400.953890457851 6590680.554584569, -12401.443985611962 6590680.406971342, -12401.444930181231 6590680.406687859, -12402.012680025513 6590680.236906267, -12402.016563451474 6590680.235762063, -12402.4985832341 6590680.095859194, -12403.022943832693 6590679.941174105, -12403.026424885744 6590679.940160908, -12403.561091915091 6590679.786640791, -12404.043155031108 6590679.646725342, -12404.620532404091 6590679.478313362, -12404.623686318519 6590679.477404636, -12405.06196994676 6590679.352680085, -12405.677699245633 6590679.170661312, -12406.096677688294 6590679.043252646, -12406.102494226634 6590679.041522365, -12406.753239270975 6590678.8522320725, -12407.088993833711 6590678.753949965, -12407.092605699676 6590678.752907425, -12407.82236448543 6590678.545236334, -12408.259606507248 6590678.411328304, -12408.267237885322 6590678.409057449, -12408.897220044388 6590678.227042218, -12408.898013767011 6590678.226813604, -12409.409749112518 6590678.079877899))</t>
  </si>
  <si>
    <t>['FV4674 S2D1 m1713-1757']</t>
  </si>
  <si>
    <t>LINESTRING Z (-12438.4236812272 6590102.235404715 29.77, -12438.241774094 6590102.707466837 29.72, -12438.165234826854 6590102.909961533 29.7, -12437.91801146057 6590103.575848315 29.62, -12437.844025201339 6590103.758449937 29.61, -12437.584302285628 6590104.442953279 29.53, -12437.522815568023 6590104.60693834 29.52, -12437.261816141836 6590105.301388211 29.45, -12437.201605927781 6590105.455426737 29.43, -12436.928106951935 6590106.168493163 29.36, -12436.880396280321 6590106.3039151225 29.35, -12436.605620793242 6590107.026928078 29.28, -12436.55791012029 6590107.16235004 29.27, -12436.330845300865 6590107.749941029 29.22, -12436.263241559267 6590107.882809978 29.2, -12436.208137362264 6590107.997062363 29.19, -12435.843843058974 6590108.708586758 29.1, -12435.792568376579 6590108.792999541 29.09, -12435.41577452392 6590109.523140495 29.01, -12435.386945919134 6590109.59021322 29, -12434.996376011404 6590110.348917262 28.91, -12434.981323456217 6590110.38742689 28.91, -12434.578253998654 6590111.164747485 28.82, -12434.565754454 6590111.183364047 28.82, -12434.150185446546 6590111.979301196 28.73, -12434.081305194763 6590112.122116671 28.72, -12434.02620099287 6590112.236369053 28.71, -12433.569303826487 6590113.117995473 28.64, -12432.27589705534 6590115.712131026 28.42, -12431.365666664322 6590117.526392956 28.27, -12431.177907964156 6590117.886490129 28.25, -12431.120250744047 6590118.020635567 28.240000000000002, -12431.007223799068 6590118.3498821445 28.22, -12430.778616891883 6590119.028268374 28.17, -12430.644154852198 6590119.445757241 28.14, -12430.361454714846 6590120.309298067 28.080000000000002, -12430.282362399681 6590120.531685793 28.07, -12429.953228066966 6590121.520702021 28.03, -12429.930516467546 6590121.6188908415 28.03, -12429.586329563637 6590122.646416684 28, -12429.568723990233 6590122.704819373 27.990000000000002, -12429.237036621256 6590123.71372865 27.96, -12429.206931499997 6590123.7907479005 27.96, -12429.0586933858 6590124.236799844 27.94, -12428.914764726593 6590124.8856119625 27.92, -12428.912211712508 6590124.905505029 27.92, -12428.659831056255 6590126.005475114 27.900000000000002, -12428.654725027154 6590126.045261244 27.900000000000002, -12428.416120411362 6590127.116668231 27.88, -12428.393408805772 6590127.214857051 27.88, -12428.162463220127 6590128.226584836 27.86, -12428.133369075891 6590128.374506317 27.86, -12427.907529507647 6590129.346447965 27.830000000000002, -12427.887370914803 6590129.424743718 27.830000000000002, -12427.875882346416 6590129.51426251 27.830000000000002, -12427.673765353567 6590130.458917569 27.8, -12427.62834213482 6590130.655295205 27.8, -12427.440001185576 6590131.57138717 27.77, -12427.394577964093 6590131.767764805 27.76, -12427.204960495408 6590132.693803297 27.73, -12427.163366795576 6590132.860341329 27.72, -12426.959973258898 6590133.814942907 27.69, -12426.947208177997 6590133.91440823 27.68, -12426.930879105523 6590133.962864384 27.68, -12426.831362627738 6590134.344396604 27.66, -12426.703017526423 6590134.793001533 27.650000000000002, -12426.663976838754 6590134.939646502 27.64, -12426.475155939464 6590135.62313868 27.63, -12426.356757364178 6590136.073020114 27.62, -12426.258517385344 6590136.444605799 27.61, -12426.049537875282 6590137.206393716 27.59, -12425.588708615804 6590138.906454106 27.400000000000002, -12425.418769779906 6590139.52159705 27.3, -12425.263883507054 6590140.098230372 27.2, -12425.220747746178 6590140.3555636965 27.17, -12425.167399913422 6590140.6924692765 27.12, -12425.111499061983 6590141.04926792 27.080000000000002, -12424.98437924619 6590141.882223593 26.97, -12424.941243480018 6590142.139556915 26.93, -12424.927201880782 6590142.248968765 26.91, -12424.766678471933 6590143.027085735 26.79, -12424.756466398656 6590143.106657992 26.78, -12424.524989548197 6590144.280083219 26.57, -12424.388454256055 6590144.950064839 26.45, -12424.34840258566 6590145.025807568 26.42, -12424.05197735678 6590145.52361404 26.240000000000002, -12423.59789846139 6590146.304498345 25.94, -12423.287697167369 6590146.830867896 25.740000000000002)</t>
  </si>
  <si>
    <t>POLYGON ((-12438.708910459542 6590102.88575368, -12438.633459646353 6590103.085368727, -12438.386748448998 6590103.749876002, -12438.381417689967 6590103.763610575, -12438.309526149069 6590103.941042333, -12438.052129864755 6590104.619413805, -12437.990987365094 6590104.782480837, -12437.7298519291 6590105.477293019, -12437.727504933475 6590105.483415542, -12437.667874406206 6590105.635971029, -12437.397409312109 6590106.34112752, -12437.351984615163 6590106.47006097, -12437.347781509709 6590106.481541268, -12437.07517775579 6590107.198839772, -12437.029498454385 6590107.328495889, -12437.02429823881 6590107.342578014, -12436.797233419386 6590107.930169003, -12436.776479233175 6590107.976679641, -12436.711287336084 6590108.1048083315, -12436.658493594448 6590108.214270245, -12436.653195844696 6590108.224928436, -12436.288901541406 6590108.936452831, -12436.271182764436 6590108.968164831, -12436.228925987265 6590109.037731566, -12435.86818076097 6590109.736773924, -12435.846311989724 6590109.787653877, -12435.831499405018 6590109.819062948, -12435.452701402959 6590110.5548994, -12435.447012236516 6590110.569454251, -12435.425197376931 6590110.617591924, -12435.022127919368 6590111.394912519, -12434.998725155701 6590111.434416235, -12434.59708870642 6590112.203668429, -12434.531661416797 6590112.339324574, -12434.476557215434 6590112.453576955, -12434.470128138324 6590112.466431413, -12434.015027528561 6590113.344591206, -12432.723362962197 6590115.9352324875, -12432.722804840665 6590115.936348402, -12431.812574449646 6590117.750610332, -12431.809018696504 6590117.7575616725, -12431.629897091207 6590118.101094002, -12431.587049448237 6590118.200783439, -12431.480592579503 6590118.5108914375, -12431.25351069213 6590119.184752203, -12431.120079651919 6590119.599039937, -12431.119339299174 6590119.601319902, -12430.836639161822 6590120.464860728, -12430.832547933685 6590120.476842626, -12430.755167872258 6590120.694415924, -12430.435069260979 6590121.6562807, -12430.417654780946 6590121.7315685395, -12430.404625291576 6590121.777701492, -12430.06285503678 6590122.798012739, -12430.047445472512 6590122.849130642, -12430.04371352532 6590122.860976158, -12429.712026156343 6590123.869885434, -12429.702725374014 6590123.895756081, -12429.677332826717 6590123.960718947, -12429.541269746946 6590124.370135928, -12429.407143319073 6590124.974760832, -12429.399548512341 6590125.017321143, -12429.152645646827 6590126.093416951, -12429.150657611846 6590126.1089077005, -12429.142768907735 6590126.153949655, -12428.904164291944 6590127.225356641, -12428.903258718043 6590127.229345958, -12428.880709635732 6590127.326832143, -12428.65160574836 6590128.330491805, -12428.623969547296 6590128.47100076, -12428.620394458594 6590128.487671138, -12428.39455489035 6590129.459612786, -12428.391738065025 6590129.471115815, -12428.379341011496 6590129.519265835, -12428.371814929073 6590129.5779089825, -12428.36481630576 6590129.6188740935, -12428.162699312912 6590130.563529152, -12428.160903655538 6590130.571595317, -12428.116863145951 6590130.761995103, -12427.929757798875 6590131.672077089, -12427.92713948594 6590131.684064924, -12427.883143842259 6590131.87427073, -12427.694797128359 6590132.794103213, -12427.690059701436 6590132.814959231, -12427.650575586156 6590132.973050646, -12427.453285688733 6590133.899005572, -12427.443140757408 6590133.978054728, -12427.434455641607 6590134.026612995, -12427.42102797777 6590134.074079134, -12427.410280556454 6590134.1059718635, -12427.31517549656 6590134.470591326, -12427.312075810523 6590134.481927822, -12427.18500042063 6590134.926094726, -12427.147147289152 6590135.068278986, -12427.145924068587 6590135.072788785, -12426.957914983435 6590135.753342366, -12426.84029232492 6590136.200275533, -12426.840148874104 6590136.200819363, -12426.74190889527 6590136.572405049, -12426.740702870151 6590136.576882624, -12426.531924122037 6590137.337938708, -12426.071293409563 6590139.037266632, -12426.07065583941 6590139.039596412, -12425.90119136853 6590139.653022255, -12425.753019205322 6590140.2046593055, -12425.71424137259 6590140.435994708, -12425.661310820273 6590140.770265052, -12425.60562658817 6590141.125681078, -12425.47865634471 6590141.957656675, -12425.47749927646 6590141.964883352, -12425.435952533691 6590142.212737099, -12425.423134453935 6590142.312615312, -12425.416890233188 6590142.349990137, -12425.260197562337 6590143.109538089, -12425.252398971108 6590143.170304544, -12425.247012958846 6590143.203426129, -12425.015536108387 6590144.376851356, -12425.01491958911 6590144.379925869, -12424.878384296968 6590145.04990749, -12424.866686202684 6590145.09599018, -12424.850664012007 6590145.140753437, -12424.83046259505 6590145.183792518, -12424.790410924654 6590145.259535247, -12424.778006596362 6590145.281620769, -12424.48290859131 6590145.777198346, -12424.030133680038 6590146.555840176, -12424.028660806096 6590146.558356184, -12423.718459512074 6590147.084725735, -12422.856934822663 6590146.577010057, -12423.166395992805 6590146.051896396, -12423.619742138131 6590145.272272209, -12423.622373346077 6590145.267800839, -12423.912316600296 6590144.780879975, -12423.912867906309 6590144.779837387, -12424.034746422369 6590144.181776882, -12424.2626707946 6590143.026360228, -12424.270745899481 6590142.963439183, -12424.276990119528 6590142.926064364, -12424.433682789868 6590142.166516415, -12424.445310906865 6590142.075910368, -12424.448123449749 6590142.056897156, -12424.49065423585 6590141.80317294, -12424.617221963463 6590140.973834838, -12424.617524986861 6590140.971875329, -12424.6734258383 6590140.615076685, -12424.673552851498 6590140.614270303, -12424.726900684254 6590140.277364723, -12424.727627714108 6590140.272903948, -12424.770763474984 6590140.015570624, -12424.780999786712 6590139.968525659, -12424.935886059564 6590139.391892337, -12424.9368225563 6590139.388454744, -12425.106439796244 6590138.774475909, -12425.566953081523 6590137.07558119, -12425.567352390475 6590137.074116891, -12425.775718509765 6590136.314564954, -12425.873293972634 6590135.945492752, -12425.991620978722 6590135.495883261, -12425.993208709631 6590135.489996397, -12426.181407457396 6590134.808756277, -12426.219847076025 6590134.664369049, -12426.222304343637 6590134.655470314, -12426.349032982329 6590134.212515412, -12426.4470662367 6590133.836669662, -12426.457059305749 6590133.803193481, -12426.457577843557 6590133.801654732, -12426.464040679486 6590133.7512964085, -12426.470950222621 6590133.710748521, -12426.6743437593 6590132.756146943, -12426.678267589548 6590132.739185396, -12426.717269497516 6590132.583024703, -12426.904741331142 6590131.66746489, -12426.907439663728 6590131.655087051, -12426.951480174377 6590131.464687272, -12427.138585521521 6590130.554605287, -12427.141203832849 6590130.542617458, -12427.185695895188 6590130.350265479, -12427.382597112102 6590129.429987931, -12427.391438332146 6590129.3610972455, -12427.403162357425 6590129.300075867, -12427.421844417227 6590129.227514952, -12427.644414018072 6590128.269646204, -12427.671862748723 6590128.130090393, -12427.67500191084 6590128.115312773, -12427.905947496485 6590127.103584988, -12427.906270499092 6590127.102179324, -12427.928521159345 6590127.005983303, -12428.16170588693 6590125.958913256, -12428.163898471563 6590125.941828658, -12428.172494256421 6590125.893658999, -12428.420253090815 6590124.813832557, -12428.426631110973 6590124.777327276, -12428.57055977018 6590124.128515157, -12428.584209642786 6590124.079112883, -12428.732447756984 6590123.63306094, -12428.741242747239 6590123.608720469, -12428.766341730117 6590123.544508642, -12429.091794918302 6590122.55456217, -12429.107608081358 6590122.502105415, -12429.112220739607 6590122.487606033, -12429.4487858734 6590121.482834008, -12429.466089753567 6590121.408024323, -12429.478809090073 6590121.362820311, -12429.807943422788 6590120.373804083, -12429.811269180842 6590120.364141234, -12429.88824002281 6590120.147718558, -12430.16859749862 6590119.291333667, -12430.302692092162 6590118.874985677, -12430.304797064025 6590118.868597554, -12430.53340397121 6590118.190211325, -12430.534313613205 6590118.187536969, -12430.647340558184 6590117.858290391, -12430.660884693008 6590117.823194864, -12430.718541913118 6590117.6890494265, -12430.734555931975 6590117.655321413, -12430.92050960596 6590117.298686049, -12431.828709572563 6590115.48847114, -12433.12183791963 6590112.894894011, -12433.125376681033 6590112.887933113, -12433.578966923607 6590112.012687716, -12433.630948972199 6590111.904908769, -12433.699829224512 6590111.762093293, -12433.706960971578 6590111.747888005, -12434.122529979033 6590110.9519508565, -12434.14483282028 6590110.914424308, -12434.52526828769 6590110.180753428, -12434.530687231105 6590110.166889901, -12434.55182252552 6590110.120067533, -12434.93444044488 6590109.376810676, -12434.95640845333 6590109.325699837, -12434.97145102859 6590109.293844547, -12435.348244881248 6590108.563703594, -12435.365228671117 6590108.533421468, -12435.40706759331 6590108.464542643, -12435.760366571523 6590107.774493856, -12435.812885327083 6590107.665602095, -12435.817607626957 6590107.656071366, -12435.873648317762 6590107.545928531, -12436.08881618275 6590106.989124096, -12436.134032459146 6590106.860782229, -12436.138235563854 6590106.849301933, -12436.410839316146 6590106.132003433, -12436.456518617093 6590106.002347316, -12436.461268221616 6590105.989435631, -12436.734767197462 6590105.276369205, -12436.735917136142 6590105.273399405, -12436.794933786372 6590105.122414428, -12437.05471169877 6590104.431214679, -12437.116130488557 6590104.267410782, -12437.116822484193 6590104.26557618, -12437.376545399904 6590103.581072838, -12437.380618971942 6590103.570687677, -12437.451838663146 6590103.394914077, -12437.696497838426 6590102.735933846, -12437.697530301246 6590102.733177832, -12437.774069568391 6590102.530683137, -12437.775215557112 6590102.527680487, -12437.957122690312 6590102.055618365, -12438.890239764087 6590102.415191065, -12438.708910459542 6590102.88575368))</t>
  </si>
  <si>
    <t>['FV4674 S2D1 m186-187']</t>
  </si>
  <si>
    <t>LINESTRING Z (-11799.438056308078 6591116.893255216 51.95, -11799.531081924564 6591117.350047896 51.980000000000004, -11799.610864195565 6591117.673706983 52, -11799.68809323723 6591118.017258954 52.02, -11799.756652448792 6591118.349587872 52.050000000000004, -11799.951639964886 6591119.193548143 52.1, -11799.957756564603 6591119.224664084 52.11, -11799.983499576512 6591119.339181407 52.11, -11800.071685195318 6591119.7549117105 52.14)</t>
  </si>
  <si>
    <t>POLYGON ((-11800.018990635284 6591117.2402796885, -11800.096332500398 6591117.554038587, -11800.098690397126 6591117.5640457, -11800.17591943879 6591117.907597671, -11800.177781396544 6591117.9162366465, -11800.245148007187 6591118.242784637, -11800.438806779894 6591119.080993737, -11800.442250831957 6591119.097106569, -11800.447064405342 6591119.121593845, -11800.471325779878 6591119.229520132, -11800.472616542822 6591119.235428849, -11800.560802161628 6591119.651159152, -11799.582568229009 6591119.858664269, -11799.495010123 6591119.445892227, -11799.469930361238 6591119.334325359, -11799.467145697532 6591119.321105657, -11799.462618361507 6591119.298074508, -11799.269485633784 6591118.4621422775, -11799.266964289478 6591118.450610179, -11799.199297880996 6591118.122608971, -11799.124165498837 6591117.7883839505, -11799.045613619732 6591117.469716292, -11799.041138459987 6591117.4498246545, -11798.9481128435 6591116.993031975, -11799.927999772655 6591116.793478457, -11800.018990635284 6591117.2402796885))</t>
  </si>
  <si>
    <t>['FV4674 S2D1 m202-717']</t>
  </si>
  <si>
    <t>LINESTRING Z (-11815.057659438928 6591116.269335878 50.63, -11815.341532806167 6591116.184447133 50.6, -11815.563174279465 6591116.111791589 50.57, -11816.277830925188 6591115.9002080215 50.49, -11816.341339434322 6591115.878028374 50.480000000000004, -11817.214129053988 6591115.615968904 50.38, -11817.276360949676 6591115.6037357 50.370000000000005, -11818.149150577607 6591115.341676228 50.27, -11818.180266526178 6591115.335559623 50.27, -11818.832691295072 6591115.13620925 50.19, -11819.085448725615 6591115.057437096 50.17, -11820.0204702685 6591114.783144406 50.06, -11820.945545376162 6591114.507575095 49.96, -11821.881843552459 6591114.223335945 49.86, -11822.828088183072 6591113.940373408 49.76, -11822.965051656181 6591113.897290718 49.75, -11823.764386378578 6591113.656134244 49.67, -11824.635899454239 6591113.404021176 49.58, -11824.699407969252 6591113.3818415245 49.57, -11824.730523919687 6591113.37572492 49.57, -11824.762916484498 6591113.35966187 49.57, -11825.446457250859 6591113.1541948635 49.5, -11825.624483124004 6591113.106272181 49.480000000000004, -11826.529665396607 6591112.828149606 49.39, -11826.56078134739 6591112.822033005 49.39, -11827.44351750979 6591112.561250085 49.300000000000004, -11827.495802966878 6591112.547740263 49.300000000000004, -11828.379815752036 6591112.277010893 49.22, -11828.432101209532 6591112.2635010695 49.21, -11829.314837389742 6591112.002718142 49.13, -11829.367122847703 6591111.98920832 49.13, -11830.251135650848 6591111.718478938 49.050000000000004, -11830.293474663398 6591111.703692501 49.04, -11831.176210861595 6591111.44290956 48.96, -11831.22849632072 6591111.429399737 48.96, -11831.40779881872 6591111.371530606 48.94, -11832.10894576466 6591111.107661498 48.86, -11832.141338331683 6591111.091598447 48.85, -11833.035564072197 6591110.741297476 48.74, -11833.05673357891 6591110.733904257 48.74, -11833.949682713836 6591110.3935497245 48.63, -11833.970852220955 6591110.386156506 48.63, -11834.87502442475 6591110.037132132 48.52, -11835.11911206576 6591109.947136887 48.49, -11835.789143083675 6591109.689384366 48.410000000000004, -11835.938606249983 6591109.627685383 48.39, -11836.694591918204 6591109.330413531 48.31, -11836.811662517313 6591109.2847776 48.29, -11837.598764146853 6591108.981389134 48.2, -11837.619933654845 6591108.973995917 48.2, -11837.641103162896 6591108.966602694 48.2, -11838.502936383826 6591108.632364734 48.1, -11839.40710862953 6591108.283340323 48, -11840.310004269704 6591107.94426235 47.9, -11841.204230084259 6591107.593961313 47.800000000000004, -11841.236622654309 6591107.577898259 47.800000000000004, -11842.119625416235 6591107.236267045 47.7, -11842.140794924926 6591107.228873826 47.7, -11843.03374414239 6591106.888519222 47.61, -11843.767283742374 6591106.608586987 47.54, -11843.949139491131 6591106.53082494 47.52, -11844.44853788073 6591106.342164575 47.47, -11844.863258234807 6591106.183077096 47.43, -11845.533289319254 6591105.925324513 47.37, -11845.767430538952 6591105.834052633 47.34, -11846.448684691393 6591105.56763021 47.28, -11846.671602851537 6591105.485028162 47.25, -11846.71394187113 6591105.470241721 47.25, -11847.129938847967 6591105.301207785 47.21, -11847.5658287236 6591105.134727072 47.17, -11848.44755492889 6591104.803042259 47.09, -11848.479947500979 6591104.786979203 47.08, -11849.33183436899 6591104.451464538 47.01, -11849.38411983865 6591104.437954707 47, -11850.22478365223 6591104.111109873 46.93, -11850.288292184123 6591104.088930209 46.92, -11851.117732943152 6591103.770755204 46.85, -11851.202410986472 6591103.741182317 46.85, -11852.011958856136 6591103.420454076 46.78, -11852.106583349174 6591103.3921578005 46.77, -11852.862569141435 6591103.0948858345 46.71, -11853.010755719733 6591103.043133279 46.7, -11853.139049400866 6591102.988827493 46.69, -11853.738178784959 6591102.732085018 46.62, -11853.898865040508 6591102.661716175 46.61, -11854.616341662942 6591102.349391295 46.53, -11854.788250982238 6591102.270352612 46.52, -11855.49450454762 6591101.966697565 46.45, -11855.677636931301 6591101.8789890455 46.43, -11856.383890503319 6591101.575333988 46.36, -11856.575692724728 6591101.4988485295 46.34, -11857.271999853081 6591101.193916854 46.27, -11857.4650786891 6591101.107484945 46.26, -11858.161385823623 6591100.802553264 46.19, -11858.353188048291 6591100.726067801 46.17, -11859.049495188752 6591100.421136114 46.11, -11859.242574028089 6591100.334704201 46.09, -11859.948827624728 6591100.0310491165 46.03, -11860.130683402938 6591099.95328704 46.01, -11860.838213618379 6591099.639685501 45.95, -11861.020069397986 6591099.56192342 45.93, -11861.7263230065 6591099.258268327 45.87, -11861.90817878797 6591099.180506246 45.86, -11862.625655465818 6591098.868181308 45.800000000000004, -11862.797564798384 6591098.789142611 45.78, -11863.515041482751 6591098.4768176675 45.72, -11863.686950816715 6591098.397778968 45.71, -11864.424320407677 6591098.088007242 45.65, -11864.575060229807 6591098.016361769 45.64, -11865.324929503491 6591097.687973748 45.58, -11865.464446263271 6591097.62499811 45.57, -11866.224261993775 6591097.297886697 45.51, -11866.352555691556 6591097.243580894 45.5, -11866.972854666994 6591096.979445111 45.46, -11867.1136480415 6591096.906523023 45.44, -11867.243218353193 6591096.842270768 45.43, -11867.979577808408 6591096.461597246 45.35, -11868.109148120508 6591096.397344993 45.34, -11868.844230968796 6591096.026617912 45.26, -11868.973801281943 6591095.962365658 45.25, -11869.720107199682 6591095.582968733 45.17, -11869.83845445048 6591095.527386314 45.160000000000004, -11870.584760373458 6591095.147989382 45.08, -11870.704384237702 6591095.0824605115 45.07, -11871.450690167025 6591094.70306357 45, -11871.569037419336 6591094.647481151 44.980000000000004, -11872.31534335413 6591094.268084203 44.910000000000004, -11872.434967220237 6591094.20255533 44.9, -11873.19121961249 6591093.824434982 44.83, -11873.299620415259 6591093.7675759485 44.82, -11874.05714942544 6591093.379509147 44.75, -11874.164273616741 6591093.332596562 44.74, -11874.931749084732 6591092.9458063645 44.67, -11875.020256985736 6591092.886394098 44.660000000000004, -11875.797678911302 6591092.500880506 44.59, -11875.884910200373 6591092.451414695 44.59, -11876.663608744799 6591092.05595464 44.52, -11876.749563422054 6591092.01643528 44.51, -11877.539485036337 6591091.61230538 44.45, -11877.615493262827 6591091.571509403 44.44, -11878.40413827094 6591091.177325946 44.37, -11878.480146497604 6591091.136529973 44.37, -11879.268791512004 6591090.742346506 44.300000000000004, -11879.344799739367 6591090.70155053 44.300000000000004, -11880.058713144099 6591090.33821658 44.24, -11880.134721372044 6591090.297420603 44.24, -11880.210729599698 6591090.256624628 44.230000000000004, -11880.974641717738 6591089.818825498 44.15, -11881.050649946148 6591089.778029519 44.14, -11881.824508521473 6591089.341506996 44.06, -11881.900516750582 6591089.300711018 44.050000000000004, -11882.685598396056 6591088.855518645 43.980000000000004, -11882.740437108267 6591088.822115893 43.97, -11883.536741824122 6591088.36825367 43.89, -11883.590303924226 6591088.344797375 43.89, -11884.396555099287 6591087.892211749 43.81, -11884.430224293901 6591087.866202227 43.81, -11885.247698538762 6591087.404946757 43.730000000000004, -11885.270144668815 6591087.387607073 43.730000000000004, -11886.108788437734 6591086.918958362 43.660000000000004, -11886.958655277384 6591086.4416398015 43.58, -11887.787352604733 6591085.971714461 43.51, -11887.808522123087 6591085.9643212315 43.51, -11888.616049937322 6591085.501789112 43.44, -11888.648442521342 6591085.48572604 43.44, -11889.443470663973 6591085.041810207 43.37, -11889.488362925767 6591085.007130836 43.37, -11890.273444620136 6591084.561938384 43.300000000000004, -11890.338229788584 6591084.529812239 43.300000000000004, -11891.113365035097 6591084.083343165 43.24, -11891.178150204592 6591084.05121702 43.230000000000004, -11891.963231909496 6591083.6060245475 43.17, -11892.028017079458 6591083.573898402 43.17, -11892.813098790124 6591083.1287059225 43.11, -11892.867937506468 6591083.095303162 43.11, -11893.662965676514 6591082.651387285 43.050000000000004, -11893.717804393324 6591082.617984526 43.050000000000004, -11894.50288611505 6591082.172792027 42.99, -11894.557724832208 6591082.139389266 42.99, -11895.352753013372 6591081.69547337 42.93, -11895.407591730938 6591081.66207061 42.93, -11896.192673463258 6591081.216878092 42.88, -11896.247512180882 6591081.183475332 42.88, -11897.032593918848 6591080.738282808 42.83, -11897.097379091545 6591080.706156658 42.82, -11897.892407289532 6591080.262240735 42.77, -11897.947246007912 6591080.228837972 42.77, -11898.743550822779 6591079.774975585 42.72, -11898.787166475551 6591079.750242665 42.72, -11899.593417750788 6591079.297656882 42.68, -11899.637033403968 6591079.272923959 42.67, -11900.443284684385 6591078.820338169 42.63, -11900.476953883132 6591078.794328637 42.63, -11901.251079015783 6591078.276957659 42.550000000000004, -11901.284748214763 6591078.2509481255 42.550000000000004, -11902.068819806504 6591077.734853753 42.47, -11902.092542550294 6591077.707567605 42.47, -11902.854168014135 6591077.208812907 42.39, -11902.89906027919 6591077.174133531 42.39, -11903.650739291683 6591076.674102214 42.32, -11903.706854623917 6591076.63075299 42.31, -11904.468480096024 6591076.131998271 42.25, -11904.514648972661 6591076.087372439 42.24, -11905.287497515325 6591075.579947868 42.17, -11905.321166714944 6591075.553938332 42.17, -11906.095291872567 6591075.036567296 42.1, -11906.128961072245 6591075.010557762 42.1, -11906.914309300832 6591074.484516868 42.03, -11906.936755434319 6591074.467177176 42.03, -11907.73205012281 6591073.942412888 41.97, -11908.55106755998 6591073.390362438 41.9, -11908.65079854941 6591073.322280286 41.89, -11909.358861934801 6591072.846981824 41.84, -11909.50220858131 6591072.754166744 41.83, -11910.165379703336 6591072.313547656 41.78, -11910.408457341546 6591072.152650419 41.76, -11910.973174086947 6591071.770167022 41.72, -11911.18258252577 6591071.635279321 41.7, -11911.602676014765 6591071.355557457 41.67, -11911.779691864445 6591071.236732834 41.660000000000004, -11912.56631673302 6591070.700745414 41.61, -11912.598709323502 6591070.684682332 41.6, -11913.361611452128 6591070.175981053 41.550000000000004, -11913.405227109615 6591070.1512481235 41.550000000000004, -11913.50495810248 6591070.083165965 41.54, -11914.132173246355 6591069.607601022 41.480000000000004, -11914.178342125088 6591069.562975178 41.47, -11914.916511331801 6591069.010658221 41.4, -11914.961403599998 6591068.9759788355 41.39, -11915.700849420391 6591068.413715409 41.32, -11915.734518621699 6591068.387705867 41.32, -11916.495133968943 6591067.818049195 41.24, -11916.507633646368 6591067.799432891 41.24, -11917.212133660214 6591067.273125445 41.18, -11917.279472063761 6591067.2211063625 41.18, -11917.313141265651 6591067.195096819 41.17, -11918.052587094542 6591066.6328333635 41.11, -11918.265825373062 6591066.468106266 41.09, -11918.83564858581 6591066.045836965 41.050000000000004, -11919.149894471397 6591065.803081234 41.02, -11919.608763622819 6591065.457563945 40.980000000000004, -11920.012794048467 6591065.145449433 40.94, -11920.381878662796 6591064.869290915 40.910000000000004, -11920.851970885182 6591064.515103764 40.87, -11921.15499370615 6591064.2810178725 40.85, -11921.67992465751 6591063.893427935 40.800000000000004, -11921.938055209932 6591063.694021433 40.78, -11922.43059357116 6591063.322494573 40.74, -11922.711170259689 6591063.1057483675 40.71, -11923.001693406142 6591062.8902787715 40.69, -11923.03536260873 6591062.864269227 40.69, -11923.46183917683 6591062.53481499 40.65, -11923.484285311948 6591062.517475294 40.65, -11924.20000841975 6591061.982497909 40.6, -11924.267346825625 6591061.930478819 40.59, -11924.984346545592 6591061.385554968 40.54, -11925.040461884346 6591061.342205723 40.54, -11925.768684675219 6591060.788612011 40.49, -11925.813576945919 6591060.753932618 40.480000000000004, -11926.553022807639 6591060.191669047 40.43, -11926.596638469258 6591060.16693611 40.43, -11927.326137875498 6591059.603395919 40.38, -11927.369753537001 6591059.578662984 40.38, -11928.097976336838 6591059.025069242 40.34, -11928.142868608236 6591058.990389844 40.33, -11928.859868343046 6591058.445465943 40.29, -11928.927206750552 6591058.393446843 40.29, -11929.631706810847 6591057.867139242 40.25, -11929.700321827666 6591057.805173686 40.24, -11930.393598823168 6591057.287535923 40.21, -11930.483383366896 6591057.218177125 40.2, -11931.06570629438 6591056.777291388 40.17, -11931.146820988448 6591056.696709523 40.160000000000004, -11931.249105209426 6591056.608734415 40.15, -11931.877863433096 6591056.04237453 40.08, -11931.96892458672 6591055.963069271 40.07, -11932.598959420342 6591055.386762917 40, -11932.699967033113 6591055.308734269 39.99, -11933.32872525882 6591054.742374366 39.92, -11933.421063021582 6591054.653122643 39.910000000000004, -11934.049821248453 6591054.086762732 39.85, -11934.142159011157 6591053.997511009 39.84, -11934.770917239017 6591053.431151088 39.77, -11934.863255002187 6591053.3418993605 39.76, -11935.501959690475 6591052.776816039 39.7, -11935.593020844739 6591052.697510774 39.69, -11936.223055683542 6591052.1212043725 39.63, -11936.31411683798 6591052.0418991055 39.62, -11936.932928609604 6591051.474262543 39.56, -11937.035212832561 6591051.386287423 39.550000000000004, -11937.662694456405 6591050.829873923 39.5, -11937.76625528792 6591050.731952341 39.49, -11938.383790453023 6591050.174262224 39.43, -11938.487351284712 6591050.076340639 39.42, -11939.114832910942 6591049.519927118 39.37, -11939.207170674461 6591049.430675386 39.36, -11939.84715197829 6591048.855645542 39.31, -11939.938213133486 6591048.7763402695 39.300000000000004, -11940.557024910173 6591048.20870366 39.25, -11940.659309134178 6591048.120728532 39.24, -11941.276844303356 6591047.563038375 39.19, -11941.38040513586 6591047.465116784 39.18, -11941.986717237392 6591046.916096469 39.14, -11942.111447599076 6591046.810781634 39.13, -11942.706536633195 6591046.270431163 39.08, -11942.832543602795 6591046.155169866 39.07, -11943.43757909874 6591045.616095993 39.03, -11943.517417186464 6591045.545460562 39.03, -11943.56358606898 6591045.500834688 39.02, -11944.120165870234 6591044.94543131 38.96, -11944.248726056074 6591044.810277084 38.95, -11944.80402924976 6591044.264820154 38.89, -11944.943812504061 6591044.120996076 38.88, -11945.499115698098 6591043.575539136 38.82, -11945.63762234489 6591043.441661514 38.81, -11946.194202146435 6591042.886258105 38.75, -11946.332708793227 6591042.752380485 38.74, -11946.866842457617 6591042.214316771 38.69, -11947.027795241913 6591042.063099439 38.67, -11947.549429230392 6591041.543652033 38.62, -11947.712935229589 6591041.372541777 38.61, -11948.234569218126 6591040.853094362 38.56, -11948.408021678333 6591040.683260712 38.550000000000004, -11948.940878735972 6591040.155143434 38.5, -11949.103108127601 6591039.993979633 38.49, -11949.658411322627 6591039.44852264 38.44, -11949.798194577103 6591039.304698544 38.43, -11950.36599744833 6591038.740625226 38.38, -11950.493281026545 6591038.615417443 38.37, -11951.073583573801 6591038.032727798 38.32, -11951.187090869062 6591037.936082794 38.31, -11951.79111616133 6591037.326106969 38.27, -11951.872230857261 6591037.245525061 38.26, -11952.48747921834 6591036.626879374 38.22, -11952.567317307112 6591036.556243929 38.21, -11952.937944973412 6591036.189290417 38.18, -11953.176449027495 6591035.906482237 38.15, -11953.236394192849 6591035.833293573 38.14, -11953.840685877833 6591035.142469418 38.06, -11953.876908298116 6591035.096566929 38.06, -11954.506199333293 6591034.368510126 37.97, -11954.708480965637 6591034.131604426 37.95, -11955.149266649212 6591033.611890532 37.96, -11955.505107816833 6591033.202597934 37.980000000000004, -11955.789780750521 6591032.875163849 37.99, -11956.074453683512 6591032.547729768 38, -11956.430294849619 6591032.138437161 38.02, -11956.705021320027 6591031.809726464 38.03, -11957.06213909178 6591031.39048739 38.050000000000004, -11957.335588954855 6591031.07172315 38.06, -11957.702653188142 6591030.653760674 38.07, -11957.964879981591 6591030.343666286 38.08, -11958.343167282816 6591029.917033949 38.1, -11958.594171006465 6591029.615609415 38.11, -11958.975011519797 6591029.169084142 38.13, -11959.057402821083 6591029.078555759 38.13, -11959.163516866625 6591028.960741199 38.13, -11959.188516217226 6591028.923508562 38.13, -11959.319629612728 6591028.768461365 38.14, -11959.544357378909 6591028.514215924 38.15, -11959.604302542284 6591028.441027253 38.15, -11959.616802217497 6591028.422410934 38.15, -11959.757862075814 6591028.268640338 38.160000000000004, -11960.257316307747 6591027.685684173 38.18, -11960.3884297029 6591027.53063697 38.160000000000004, -11960.887883933261 6591026.947680798 38.1, -11961.020273934118 6591026.78268713 38.09, -11961.482495523116 6591026.174731596 38.03, -11961.61616212927 6591025.999791465 38.01, -11962.078383715882 6591025.391835921 37.95, -11962.213326927274 6591025.206949323 37.93, -11962.672995299741 6591024.6188867 37.88, -11962.81916157977 6591024.425330238 37.86, -11963.258937023464 6591023.834714398 37.800000000000004, -11963.415049765841 6591023.642434542 37.78, -11963.853548601852 6591023.061765152 37.72, -11964.010937949293 6591022.859538829 37.7, -11964.448160177271 6591022.288815895 37.65, -11964.60682612937 6591022.076643107 37.63, -11965.03410189168 6591021.504643563 37.57, -11965.202714306477 6591021.293747376 37.550000000000004, -11965.628713461396 6591020.731694285 37.5, -11965.798602480732 6591020.510851634 37.47, -11966.2233250282 6591019.958744995 37.42, -11966.393214047072 6591019.73790234 37.4, -11966.819213197392 6591019.175849234 37.34, -11966.97787914658 6591018.963676432 37.32, -11967.403878294921 6591018.401623317 37.27, -11967.57376731158 6591018.180780658 37.25, -11967.998489852995 6591017.628673998 37.19, -11968.168378869188 6591017.407831331 37.17, -11968.594378013338 6591016.845778202 37.12, -11968.753043959674 6591016.633605393 37.09, -11969.179043101845 6591016.071552252 37.04, -11969.337709047366 6591015.8593794415 37.02, -11969.774931256019 6591015.288656436 36.96, -11969.932320596126 6591015.086430085 36.94, -11970.369542802626 6591014.515707072 36.89, -11970.515709073166 6591014.322150575 36.87, -11970.745543244702 6591014.0281192055 36.84, -11970.945538022846 6591013.73025802 36.81, -11971.084311036859 6591013.515531992 36.79, -11971.494247055089 6591012.921086218 36.74, -11971.642966532614 6591012.707636791 36.71, -11972.052902547817 6591012.11319101 36.660000000000004, -11972.201622024353 6591011.89974158 36.64, -11972.600334967778 6591011.313965649 36.58, -11972.761554116558 6591011.081899892 36.56, -11973.158990452357 6591010.506070422 36.51, -11973.310263135412 6591010.272728055 36.49, -11973.707699468941 6591009.696898574 36.43, -11973.868918615393 6591009.464832807 36.410000000000004, -11974.255131876736 6591008.897673182 36.36, -11974.416351022257 6591008.665607413 36.33, -11974.813787349558 6591008.08977792 36.28, -11974.97500649374 6591007.857712151 36.26, -11975.36249635357 6591007.2806060435 36.2, -11975.523715496587 6591007.04854027 36.18, -11975.921151818417 6591006.472710759 36.13, -11976.071147891402 6591006.249314846 36.11, -11976.46858421032 6591005.6734853275 36.050000000000004, -11976.618580282258 6591005.450089408 36.03, -11977.0172932024 6591004.864313416 35.980000000000004, -11977.167289272707 6591004.640917498 35.95, -11977.575948654965 6591004.056418103 35.9, -11977.724668120965 6591003.842968644 35.88, -11978.123381035228 6591003.257192638 35.82, -11978.272100500064 6591003.043743176 35.800000000000004, -11978.68203647976 6591002.449297302 35.75, -11978.819532875146 6591002.244517699 35.730000000000004, -11979.230745455541 6591001.640125349 35.67, -11979.355742177519 6591001.453962073 35.65, -11979.779454427015 6591000.830953388 35.6, -11979.903174544626 6591000.654736575 35.58, -11980.338109859673 6591000.02305802 35.52, -11980.450606907776 6590999.855511064 35.5, -11980.885542219796 6590999.223832504 35.44, -11980.99676266394 6590999.066232012 35.43, -11981.44419764512 6590998.415937112 35.37, -11981.544195019407 6590998.267006481 35.35, -11981.992906600179 6590997.606765106 35.29, -11982.080404301989 6590997.476450803 35.28, -11982.464064315544 6590996.929183999 35.230000000000004, -11982.541615551105 6590996.7975930935 35.22, -11982.617890183523 6590996.675948651 35.2, -11983.053091839072 6590995.963421726 35.14, -11983.119420004834 6590995.840500679 35.13, -11983.555898259045 6590995.1180272745 35.06, -11983.630896287214 6590995.006329299 35.050000000000004, -11984.067374536535 6590994.283855888 34.99, -11984.132426098222 6590994.170881305 34.980000000000004, -11984.568904343236 6590993.448407884 34.910000000000004, -11984.643902370066 6590993.336709906 34.9, -11985.080380610365 6590992.614236478 34.84, -11985.145432170597 6590992.501261894 34.83, -11985.591856873187 6590991.780065058 34.76, -11985.655631830217 6590991.677036938 34.75, -11986.093386663764 6590990.9446170265 34.68, -11986.157161620446 6590990.841588906 34.67, -11986.604862916283 6590990.110445586 34.61, -11986.657414803572 6590990.016087327 34.6, -11987.117615765368 6590989.26632767 34.53, -11987.157667981228 6590989.190585743 34.52, -11987.619145540462 6590988.4308796115 34.46, -11987.667867620883 6590988.36636075 34.45, -11988.13062177744 6590987.596708139 34.38, -11988.16812078876 6590987.540859143 34.37, -11988.642098009528 6590986.762536656 34.300000000000004, -11988.668373951747 6590986.715357526 34.300000000000004, -11989.144904370536 6590985.9171421 34.230000000000004, -11989.168627109204 6590985.889855903 34.22, -11989.580638660758 6590985.042918384 34.15, -11989.606914602278 6590984.995739254 34.15, -11990.01637294382 6590984.168694664 34.08, -11990.045202088251 6590984.1016225945 34.07, -11990.44343735464 6590983.283247861 34, -11990.482212965493 6590983.217452396 33.99, -11990.879171624256 6590982.40902412 33.92, -11990.920500437438 6590982.323335717 33.92, -11991.306236021046 6590981.523577301 33.85, -11991.347564833355 6590981.437888898 33.84, -11991.73202380957 6590980.648076941 33.77, -11991.785852290574 6590980.543772202 33.76, -11992.169034659688 6590979.763906704 33.7, -11992.222863139992 6590979.659601965 33.69, -11992.594822434592 6590978.888406327 33.62, -11992.649927514838 6590978.774155119 33.61, -11993.03055667004 6590978.014182539 33.54, -11993.085661749355 6590977.899931332 33.53, -11993.457621031965 6590977.1287356755 33.47, -11993.51272611029 6590977.014484467 33.46, -11993.893355253793 6590976.2545118695 33.39, -11993.949736931594 6590976.130314193 33.38, -11994.319143001048 6590975.379011456 33.32, -11994.375524678093 6590975.254813776 33.3, -11994.746207341785 6590974.493564564 33.24, -11994.811258885195 6590974.380589953 33.230000000000004, -11995.181941542949 6590973.619340735 33.160000000000004, -11995.237046617782 6590973.505089519 33.15, -11995.607729269715 6590972.743840289 33.09, -11995.662834343442 6590972.629589077 33.08, -11996.044740057609 6590971.859669971 33.01, -11996.098568530346 6590971.755365226 33, -11996.470527770289 6590970.984169514 32.94, -11996.524356242386 6590970.879864764 32.93, -11996.8963154761 6590970.108669046 32.86, -11996.95014394744 6590970.004364295 32.85, -11997.333326243272 6590969.224498699 32.78, -11997.374655046151 6590969.1388102835 32.78, -11997.759113935172 6590968.348998213 32.71, -11997.80044273741 6590968.263309797 32.7, -11998.196124688257 6590967.464827849 32.63, -11998.224953822384 6590967.39775577 32.63, -11998.621912366943 6590966.589327344 32.56, -11998.649464900605 6590966.532201733 32.55, -11999.058923106117 6590965.705156961 32.480000000000004, -11999.07397597225 6590965.666647688 32.480000000000004, -11999.484710770543 6590964.829656441 32.4, -11999.498487037083 6590964.801093634 32.4, -11999.921721496095 6590963.945486039 32.33, -11999.978103160218 6590963.8212883435 32.32, -12000.280437064765 6590963.041156368 32.25, -12000.29421333078 6590963.012593561 32.25, -12000.630482755543 6590962.125603621 32.18, -12000.645535620162 6590962.087094346 32.17, -12000.990474906692 6590961.211327465 32.1, -12001.006804369797 6590961.162871722 32.1, -12001.340520580881 6590960.295774703 32.02, -12001.358126642532 6590960.237372488 32.02, -12001.690566246456 6590959.380221932 31.95, -12001.718118776393 6590959.323096316 31.94, -12002.039335304697 6590958.474615623 31.87, -12002.069441031432 6590958.397597071 31.87, -12002.389380953566 6590957.55906284 31.8, -12002.41948667966 6590957.482044282 31.79, -12002.749373062921 6590956.644786645 31.720000000000002, -12002.780755386513 6590956.557821619 31.71, -12003.099418695085 6590955.729233841 31.64, -12003.129524419317 6590955.652215287 31.64, -12003.448187720147 6590954.8236275045 31.57, -12003.479570042342 6590954.736662476 31.560000000000002, -12003.798233335488 6590953.908074687 31.490000000000002, -12003.83956212597 6590953.822386257 31.48, -12004.158225411375 6590952.993798462 31.42, -12004.189607731707 6590952.906833434 31.41, -12004.508271009545 6590952.0782456305 31.34, -12004.538376731507 6590952.001227071 31.330000000000002, -12004.85831659945 6590951.162692789 31.26, -12004.888422320539 6590951.085674232 31.26, -12005.207085583243 6590950.257086414 31.19, -12005.237191303517 6590950.180067854 31.18, -12005.447931344272 6590949.64093793 31.14, -12005.54846128443 6590949.330310489 31.11, -12005.567343936767 6590949.261961804 31.11, -12005.848774501355 6590948.408374643 31.04, -12005.881433415401 6590948.311463141 31.03, -12006.150364306814 6590947.4764923155 30.96, -12006.18429981696 6590947.369634345 30.95, -12006.4519541029 6590946.544609984 30.88, -12006.48588961229 6590946.437752009 30.87, -12006.753543889557 6590945.612727646 30.810000000000002, -12006.788755995163 6590945.4959232025 30.8, -12007.0551336676 6590944.680845298 30.73, -12007.091622368607 6590944.554094386 30.72, -12007.356723436038 6590943.748962946 30.66, -12007.393212136172 6590943.622212031 30.650000000000002, -12007.658313195745 6590942.817080585 30.580000000000002, -12007.70474836399 6590942.691606268 30.57, -12007.95990294579 6590941.885198219 30.5, -12007.973679205985 6590941.856635404 30.5, -12008.010167903092 6590941.729884492 30.490000000000002, -12008.26021609042 6590940.963262315 30.43, -12008.307927852962 6590940.827841526 30.42, -12008.561805822072 6590940.031379935 30.35, -12008.609517583565 6590939.895959146 30.34, -12008.863395544933 6590939.099497549 30.28, -12008.911107305088 6590938.964076757 30.27, -12009.164985258481 6590938.167615156 30.21, -12009.21142042114 6590938.042140832 30.2, -12009.466574962775 6590937.2357327575 30.13, -12009.513010123977 6590937.110258433 30.12, -12009.768164658279 6590936.30385035 30.060000000000002, -12009.8133232221 6590936.188322494 30.05, -12010.069754344178 6590935.371967934 29.990000000000002, -12010.103689840646 6590935.265109955 29.98, -12010.371344021114 6590934.4400855135 29.92, -12010.404002920492 6590934.343174006 29.91, -12010.671657092753 6590933.518149558 29.85, -12010.704315991316 6590933.421238047 29.85, -12010.973246751644 6590932.586267124 29.79, -12011.004629053408 6590932.499302082 29.78, -12011.107712128782 6590932.168781662 29.76, -12011.246273585479 6590931.640608426 29.72, -12011.277655886137 6590931.553643385 29.71, -12011.49940746813 6590930.692396532 29.650000000000002, -12011.520843298233 6590930.604154891 29.650000000000002, -12011.741318275512 6590929.7528545065 29.59, -12011.775253765925 6590929.645996519 29.580000000000002, -12011.994452138955 6590928.8046426 29.52, -12012.018441157474 6590928.696508019 29.51, -12012.237639522005 6590927.855154093 29.46, -12012.271575010032 6590927.748296106 29.45, -12012.490773365716 6590926.906942174 29.39, -12012.514762381848 6590926.798807592 29.39, -12012.732684133924 6590925.967400127 29.330000000000002, -12012.757949743827 6590925.849319074 29.330000000000002, -12012.975871487113 6590925.017911602 29.27, -12013.009806971531 6590924.911053615 29.26, -12013.229005301138 6590924.069699667 29.21, -12013.25299431372 6590923.961565086 29.2, -12013.472192634363 6590923.120211132 29.150000000000002, -12013.504851522099 6590923.023299613 29.14, -12013.725326428364 6590922.171999188 29.09, -12013.748038844322 6590922.073811072 29.09, -12013.967237147619 6590921.232457112 29.03, -12013.98994956247 6590921.134268994 29.03, -12014.220370922063 6590920.284245152 28.98, -12014.241806741571 6590920.196003509 28.97, -12014.463558215823 6590919.334756594 28.92, -12014.483717440453 6590919.25646142 28.92, -12014.548024896067 6590918.991736485 28.900000000000002, -12014.666959615308 6590918.380161657 28.87, -12014.688395433186 6590918.29192001 28.86, -12014.861691127357 6590917.414343646 28.810000000000002, -12014.87318047334 6590917.324825406 28.810000000000002, -12015.045199563901 6590916.45719551 28.76, -12015.069188567402 6590916.349060921 28.75, -12015.228707989969 6590915.500047371 28.7, -12015.253973586252 6590915.381966307 28.7, -12015.423439470644 6590914.534229347 28.650000000000002, -12015.448705065297 6590914.416148286 28.650000000000002, -12015.606947876164 6590913.577081194 28.6, -12015.633490062726 6590913.449053664 28.59, -12015.790456270508 6590912.619933042 28.55, -12015.818275049445 6590912.481959039 28.54, -12015.985187719518 6590911.654115007 28.5, -12016.013006496883 6590911.516141001 28.490000000000002, -12016.168696093024 6590910.696966845 28.45, -12016.196514869167 6590910.558992839 28.44, -12016.352204456402 6590909.739818676 28.400000000000002, -12016.381299823755 6590909.591898201 28.400000000000002, -12016.546935873688 6590908.774000627 28.36, -12016.574754646572 6590908.636026621 28.35, -12016.730444215878 6590907.816852455 28.310000000000002, -12016.758262987481 6590907.678878442 28.3, -12016.913952547591 6590906.859704276 28.27, -12016.941771317739 6590906.721730266 28.26, -12017.108683933096 6590905.893886211 28.22, -12017.125279637636 6590905.76458208 28.21, -12017.292192244204 6590904.936738021 28.18, -12017.318734418484 6590904.808710486 28.17, -12017.475700544543 6590903.97958983 28.13, -12017.497136347927 6590903.891348177 28.13, -12017.511178864632 6590903.781936989 28.13, -12017.670431898558 6590903.013771753 28.1, -12017.68447441404 6590902.9043605635 28.09, -12017.712293177727 6590902.766386555 28.09, -12017.824100762838 6590902.052793776 28.060000000000002, -12017.838143277157 6590901.943382585 28.060000000000002, -12017.969099737296 6590901.080592729 28.02, -12017.993088721822 6590900.972458132 28.02, -12018.122768580273 6590900.119614745 27.990000000000002, -12018.138087683998 6590900.000257084 27.990000000000002, -12018.267767532496 6590899.147413693 27.96, -12018.281810042972 6590899.038002503 27.95, -12018.411489882157 6590898.185159109 27.92, -12018.436755455215 6590898.067078037 27.92, -12018.566435284389 6590897.214234645 27.89, -12018.580477792537 6590897.104823453 27.89, -12018.71015761263 6590896.251980051 27.86, -12018.724200119614 6590896.142568861 27.86, -12018.855156521488 6590895.279778988 27.830000000000002, -12018.862816069915 6590895.220100155 27.830000000000002, -12019.03052735253 6590894.149710953 27.8, -12020.37046270218 6590885.363945053 27.57, -12020.539450452372 6590884.283609345 27.55, -12020.726310449478 6590883.064023016 27.53, -12021.776356546674 6590875.434068274 27.39, -12021.982631492137 6590873.984436449 27.38, -12023.152409826755 6590865.500361393 27.3, -12023.23538804287 6590864.85384065 27.29, -12023.376823063532 6590863.830630523 27.29, -12024.075860547659 6590858.541660028 27.28, -12024.084796658019 6590858.472034715 27.28, -12024.203519259056 6590857.547012711 27.28, -12024.220114890952 6590857.417708557 27.28, -12024.468783120275 6590855.558994655 27.29, -12024.473889467656 6590855.519208761 27.29, -12024.559420782025 6590854.852795053 27.29, -12024.583675929869 6590854.663812062 27.29, -12024.989364231238 6590851.581681917 27.310000000000002, -12024.995747163135 6590851.531949553 27.310000000000002, -12025.126969335543 6590850.5883111665 27.310000000000002, -12025.134628852888 6590850.528632324 27.310000000000002, -12025.267393815797 6590849.4941990925 27.27, -12025.276329918648 6590849.424573775 27.27, -12025.409094868286 6590848.390140538 27.25, -12025.420584141975 6590848.300622275 27.240000000000002, -12025.549253107165 6590847.376876826 27.23, -12025.560742379806 6590847.287358565 27.22, -12025.586007883423 6590847.1692774715 27.22, -12025.752175771515 6590846.1896829335 27.21, -12025.778717859823 6590846.061655359 27.21</t>
  </si>
  <si>
    <t>POLYGON ((-12078.156180888713 6590777.978661012, -12077.805212654752 6590778.3505658675, -12077.800127272676 6590778.355875852, -12077.55662749415 6590778.606416249, -12077.128150124297 6590779.052993123, -12076.919426407614 6590779.276293768, -12076.915869733424 6590779.280059542, -12076.4602983244 6590779.757436443, -12076.449901044172 6590779.768012774, -12076.247774194844 6590779.967610765, -12075.787896845615 6590780.454921559, -12075.590284927706 6590780.669635968, -12075.578876539732 6590780.681627182, -12075.106584392652 6590781.161873665, -12074.899965863884 6590781.38292209, -12074.899466304023 6590781.383455755, -12074.442618314906 6590781.870779117, -12074.434171767927 6590781.879571761, -12074.215990402874 6590782.101219384, -12073.763662329897 6590782.575197681, -12073.542056367465 6590782.8089518035, -12073.097708014986 6590783.277658772, -12073.095474963871 6590783.279999028, -12072.862077729116 6590783.523022408, -12072.860009835096 6590783.525162801, -12072.415387533794 6590783.982640977, -12072.400770424825 6590783.9994538445, -12072.385154889309 6590784.016595613, -12071.474012066896 6590784.971349313, -12069.651726413947 6590786.880856659, -12069.650631715087 6590786.882000125, -12068.483645536538 6590788.097116922, -12067.784969498796 6590788.824608798, -12066.19502972821 6590790.509394193, -12064.907883253567 6590791.871174873, -12064.907266761991 6590791.871825941, -12062.744572629135 6590794.151718046, -12061.399406286171 6590795.576054305, -12061.397629795936 6590795.577925653, -12059.2845486209 6590797.7923671715, -12057.623199214617 6590799.559262093, -12057.620712501515 6590799.561887696, -12055.834493947443 6590801.434262785, -12054.442617646126 6590802.9123891555, -12054.441648752922 6590802.913415183, -12053.272109394455 6590804.148424492, -12053.271040879476 6590804.149549321, -12052.850415216055 6590804.590969791, -12052.849061790712 6590804.592384569, -12052.383555683855 6590805.077089587, -12050.840837769958 6590806.70754223, -12050.809816671399 6590806.737611799, -12050.501687766324 6590807.01148489, -12050.49842832955 6590807.014356716, -12048.722099582506 6590808.565789937, -12048.721449756 6590808.566356504, -12046.707545786823 6590810.319174091, -12044.55513335611 6590812.205867434, -12044.551594951316 6590812.208939814, -12044.347026739977 6590812.384890863, -12044.346030683657 6590812.385745309, -12044.133394723656 6590812.56766672, -12043.737314827005 6590812.918093815, -12043.734911445921 6590812.920206507, -12043.29082926728 6590813.308064754, -12043.289067117128 6590813.309596566, -12043.098398351443 6590813.474562122, -12042.872750788423 6590813.675446175, -12042.867431052196 6590813.680115027, -12042.674085899656 6590813.847396175, -12042.670259716713 6590813.85067301, -12042.434903596191 6590814.050191202, -12042.085591163539 6590814.355502284, -12041.596201207103 6590814.787226991, -12041.59147261377 6590814.791345969, -12041.433750649083 6590814.927004111, -12041.358158238552 6590815.0341198165, -12041.355234635674 6590815.038218648, -12040.96189732806 6590815.5838379515, -12040.630845116371 6590816.044839506, -12040.310737416137 6590816.497536233, -12040.305550952331 6590816.504734597, -12039.92913433926 6590817.017514107, -12039.659999999583 6590817.402454743, -12039.656129718845 6590817.4079122525, -12039.250074739424 6590817.972450176, -12039.004196414146 6590818.314541958, -12038.5733263624 6590818.916055154, -12038.571746587522 6590818.918248044, -12038.351506281158 6590819.222228638, -12037.909503344386 6590819.840445929, -12037.700243962632 6590820.136068685, -12037.69550293533 6590820.142652452, -12037.24610280443 6590820.756166527, -12037.051374840683 6590821.038301378, -12037.046608483366 6590821.045086159, -12036.603004320647 6590821.6655430095, -12036.600502200756 6590821.669011209, -12036.391838050662 6590821.955650031, -12036.39147309239 6590821.956150716, -12036.268537540114 6590822.124586394, -12036.119162176532 6590822.368734902, -12036.006095196497 6590822.575390539, -12035.993587436302 6590822.596956415, -12035.879142931097 6590822.783410291, -12035.828951179541 6590822.866038688, -12035.405453303294 6590823.569100983, -12035.404491272911 6590823.570691385, -12035.25239628827 6590823.821078432, -12034.827558044759 6590824.541958138, -12034.825097270175 6590824.546088141, -12034.68421552295 6590824.779970401, -12034.24899060159 6590825.508160708, -12034.12091799047 6590825.730584526, -12034.11557804377 6590825.739637045, -12033.679269751592 6590826.461832402, -12033.538739185546 6590826.695131644, -12033.11531061367 6590827.405872387, -12032.97389262626 6590827.648407028, -12032.970610888797 6590827.653952833, -12032.561808698585 6590828.334739068, -12032.408012490721 6590828.60335742, -12032.4003885728 6590828.616223131, -12032.006710264262 6590829.258474805, -12031.827984226687 6590829.564298592, -12031.825136372856 6590829.569109696, -12031.465106657388 6590830.16965125, -12031.246927606255 6590830.5346943345, -12030.925694941903 6590831.077190921, -12030.680203312562 6590831.498916373, -12030.678243364666 6590831.502253558, -12030.394315143109 6590831.981438899, -12030.388470268175 6590831.991054877, -12030.15587154073 6590832.364199677, -12030.15219863995 6590832.377051735, -12029.97385187804 6590832.900118917, -12029.97219154005 6590832.90490883, -12029.782483090465 6590833.443362484, -12029.58762395596 6590834.021586737, -12029.424329995616 6590834.506144603, -12029.212047844261 6590835.136069826, -12029.211346062271 6590835.138137364, -12029.066011206314 6590835.563260021, -12028.837748304231 6590836.240606429, -12028.70711312707 6590836.628252716, -12028.704881554522 6590836.634727793, -12028.516891897872 6590837.168302884, -12028.43399148691 6590837.432219387, -12028.425141760628 6590837.457926301, -12028.373031369183 6590837.596901038, -12028.359532010163 6590837.64933058, -12028.347062519337 6590837.690379035, -12028.092766474125 6590838.414255759, -12027.980980782611 6590838.739877542, -12027.735411481623 6590839.474720924, -12027.733120172563 6590839.481419326, -12027.6223278303 6590839.797973178, -12027.378315155445 6590840.52205528, -12027.26438419845 6590840.860133475, -12027.143660125503 6590841.224005566, -12027.084066886307 6590841.545745539, -12027.083767660326 6590841.5473464755, -12027.021014369406 6590841.880091256, -12026.87360126316 6590842.715434123, -12026.830818266964 6590842.970649963, -12026.830398077806 6590842.973118613, -12026.673166325627 6590843.8830878455, -12026.672601897073 6590843.886292263, -12026.63712371383 6590844.083945152, -12026.636890163367 6590844.085236539, -12026.468239177606 6590845.0108327875, -12026.449487666714 6590845.156934551, -12026.445600183006 6590845.182121658, -12026.27076242005 6590846.150493137, -12026.268307344273 6590846.163154801, -12026.243612232172 6590846.28227336, -12026.078965971861 6590847.252897583, -12026.074940954737 6590847.273893205, -12026.054026898566 6590847.371637334, -12026.045185149464 6590847.440527509, -12026.04447210512 6590847.445856128, -12025.916173986006 6590848.366939183, -12025.905026910019 6590848.453791225, -12025.772261959635 6590849.488224468, -12025.763325856713 6590849.557849786, -12025.630560893027 6590850.5922830235, -12025.622901375687 6590850.651961866, -12025.622203931427 6590850.6571783945, -12025.491344207463 6590851.598210359, -12025.485296269779 6590851.64533263, -12025.485088364965 6590851.646932077, -12025.07950530281 6590854.728262689, -12025.055352818605 6590854.916445781, -12024.969821503912 6590855.582859491, -12024.964715156262 6590855.6226453865, -12024.964367691275 6590855.6252964875, -12024.715876736234 6590857.482685323, -12024.699451293603 6590857.610663454, -12024.580728692152 6590858.535685462, -12024.571792581284 6590858.605310778, -12024.571549788 6590858.6071747355, -12023.872512303873 6590863.896145231, -12023.872113781707 6590863.899092955, -12023.731011094931 6590864.919898815, -12023.648341855493 6590865.564012182, -12023.647723859169 6590865.568654945, -12022.477945524552 6590874.052730001, -12022.477645141187 6590874.054874274, -12022.27153161854 6590875.503371673, -12021.221641741839 6590883.13219127, -12021.22054301965 6590883.139747296, -12021.033683022544 6590884.359333625, -12021.033443539063 6590884.360880492, -12020.864603311633 6590885.44027309, -12019.524811884605 6590894.22509531, -12019.524500737281 6590894.2271079505, -12019.357864205718 6590895.290637733, -12019.351088527765 6590895.343429952, -12019.349494681943 6590895.354810868, -12019.21940060147 6590896.211919445, -12019.206089617766 6590896.315631024, -12019.204475708699 6590896.327144004, -12019.075669769943 6590897.174240299, -12019.062367288929 6590897.277885621, -12019.060753379554 6590897.289398604, -12018.93107355038 6590898.142241997, -12018.925688463649 6590898.1716940645, -12018.90355653381 6590898.275129755, -12018.777002018498 6590899.107419362, -12018.763699535635 6590899.211064681, -12018.762085625971 6590899.222577664, -12018.63327965864 6590900.069673949, -12018.61870058257 6590900.183265739, -12018.617086672843 6590900.194778721, -12018.48740681439 6590901.047622108, -12018.48122134265 6590901.080747303, -12018.460898014746 6590901.172358303, -12018.333343753931 6590902.012733205, -12018.320032763779 6590902.1164447805, -12018.31807414051 6590902.130190818, -12018.206266555399 6590902.8437835965, -12018.202429918987 6590902.865209501, -12018.17813605601 6590902.985700897, -12018.166363898763 6590903.077422763, -12018.160021313668 6590903.115271529, -12018.004666358896 6590903.8646341795, -12017.993068347296 6590903.954999194, -12017.9830060172 6590904.009376412, -12017.964592607368 6590904.085176218, -12017.810008124014 6590904.901716649, -12017.808323831421 6590904.910210272, -12017.782058981207 6590905.036900121, -12017.618941276887 6590905.84592243, -12017.604615931075 6590905.957537239, -12017.598820670566 6590905.992709178, -12017.431908055209 6590906.820553232, -12017.404639697781 6590906.955797334, -12017.249470102863 6590907.772235659, -12017.24839972381 6590907.777701414, -12017.221131360442 6590907.9129455425, -12017.065961760922 6590908.729383842, -12017.064891381115 6590908.734849601, -12017.037072608231 6590908.872823607, -12016.87162942606 6590909.689769739, -12016.843112828103 6590909.834747759, -12016.687721981487 6590910.652350072, -12016.686651601338 6590910.657815832, -12016.659383235086 6590910.793059945, -12016.504213608087 6590911.609498239, -12016.503143228341 6590911.614963997, -12016.475324450976 6590911.752938003, -12016.30841178012 6590912.580782039, -12016.281178722935 6590912.715851012, -12016.124763758717 6590913.542059877, -12016.123079465593 6590913.550553499, -12016.097451618944 6590913.674170666, -12015.940043543753 6590914.508811654, -12015.937638053409 6590914.520764409, -12015.91307793008 6590914.635548384, -12015.744272987577 6590915.479979046, -12015.74290657366 6590915.486582433, -12015.718952256137 6590915.598535116, -12015.560590094738 6590916.441389351, -12015.557321168346 6590916.457350181, -12015.53455498806 6590916.559972683, -12015.36694505503 6590917.40536367, -12015.357623116428 6590917.477994744, -12015.352218600294 6590917.511208491, -12015.178922906123 6590918.388784856, -12015.174265082154 6590918.409948329, -12015.155557996733 6590918.486957009, -12015.038829975678 6590919.087184763, -12015.03389454363 6590919.10976481, -12014.969587088017 6590919.374489745, -12014.967924832012 6590919.3811337985, -12014.947765607381 6590919.459428973, -12014.7268680114 6590920.317359562, -12014.70624056783 6590920.4022734845, -12014.702954504159 6590920.415062147, -12014.474979546349 6590921.25606122, -12014.454374395595 6590921.345139416, -12014.451085838886 6590921.358514416, -12014.233623930222 6590922.193203532, -12014.212463674901 6590922.284681498, -12014.209356991007 6590922.297356335, -12013.98888208474 6590923.14865676, -12013.978669829537 6590923.182974945, -12013.951616197153 6590923.263253509, -12013.739147353821 6590924.078777555, -12013.717137891837 6590924.177988973, -12013.712853988236 6590924.195756988, -12013.493655658629 6590925.037110935, -12013.486353265149 6590925.062393067, -12013.45628966166 6590925.157059055, -12013.244499396376 6590925.965073925, -12013.221617107765 6590926.0720163165, -12013.216345687426 6590926.094173553, -12013.000835242057 6590926.916381485, -12012.978905953027 6590927.015231496, -12012.97462204861 6590927.03299951, -12012.755423692926 6590927.874353442, -12012.748121299006 6590927.899635574, -12012.718169779071 6590927.993948617, -12012.504594192753 6590928.8137205085, -12012.48258472379 6590928.912931933, -12012.478300818939 6590928.930699947, -12012.259102445909 6590929.772053867, -12012.251800051828 6590929.797335996, -12012.221958087623 6590929.891304057, -12012.00582107728 6590930.725854637, -12011.98527709966 6590930.810424923, -12011.983614842464 6590930.817068977, -12011.76186326047 6590931.67831583, -12011.747970386728 6590931.723361595, -12011.724210001326 6590931.78920517, -12011.591346499152 6590932.295658751, -12011.58503614467 6590932.317650006, -12011.481953069297 6590932.648170426, -12011.47494355267 6590932.669020294, -12011.446508321485 6590932.747818564, -12011.180239314912 6590933.5745253265, -12011.17813427902 6590933.5809134375, -12011.14638053441 6590933.675139009, -12010.879601018794 6590934.497467391, -12010.877821205133 6590934.502849405, -12010.846067469714 6590934.597074943, -12010.579766604847 6590935.417927888, -12010.546538577611 6590935.522558149, -12010.290343048608 6590936.338162692, -12010.279010224354 6590936.370354403, -12010.239877805194 6590936.470465747, -12009.989716616146 6590937.261092515, -12009.981929293868 6590937.283794631, -12009.939660303166 6590937.398011378, -12009.688126911611 6590938.192974919, -12009.680339588842 6590938.215677036, -12009.637885385588 6590938.3303942485, -12009.387490919073 6590939.115927515, -12009.38269400279 6590939.130227251, -12009.337488552963 6590939.258534356, -12009.085901195913 6590940.047809908, -12009.081104278732 6590940.062109647, -12009.035898828028 6590940.190416749, -12008.78431146361 6590940.979692293, -12008.779514546985 6590940.99399203, -12008.733751284704 6590941.12388237, -12008.488234194321 6590941.876612668, -12008.454165700954 6590941.994956509, -12008.440768069297 6590942.035039422, -12008.4263282418 6590942.068525699, -12008.18145484628 6590942.842440382, -12008.17366752196 6590942.865142499, -12008.130387911944 6590942.982090057, -12007.871085032455 6590943.769612002, -12007.83720992904 6590943.887284058, -12007.83164162916 6590943.905336569, -12007.569495261392 6590944.701494369, -12007.53562015864 6590944.819166416, -12007.530396845434 6590944.836167259, -12007.265811111021 6590945.645762088, -12007.232263966669 6590945.757043576, -12007.22914196549 6590945.7670211, -12006.961966372159 6590946.590569956, -12006.928500359445 6590946.695949554, -12006.927552177212 6590946.698903444, -12006.660376555512 6590947.522452358, -12006.626910560482 6590947.627831894, -12006.626287603367 6590947.629779679, -12006.357356711955 6590948.464750504, -12006.355251675554 6590948.471138613, -12006.323116854028 6590948.566494932, -12006.046031522694 6590949.406902873, -12006.030407230104 6590949.4634574205, -12006.024168818032 6590949.4842661405, -12005.923638877874 6590949.794893581, -12005.913618316017 6590949.822969917, -12005.702878275262 6590950.362099841, -12005.673271263755 6590950.437842569, -12005.355099720331 6590951.265151819, -12005.3541092875 6590951.267706231, -12005.324743524423 6590951.3428317765, -12005.005528195932 6590952.179467103, -12005.004063698918 6590952.183259069, -12004.97445667555 6590952.259001823, -12004.658154486793 6590953.081450326, -12004.62853986987 6590953.163516788, -12004.624902805263 6590953.173276065, -12004.306239519858 6590954.0018638605, -12004.289916184698 6590954.039598646, -12004.257525432075 6590954.106755529, -12003.948116790229 6590954.911279388, -12003.918502175426 6590954.993345839, -12003.914865110177 6590955.003105118, -12003.596201809347 6590955.8316929005, -12003.595211377595 6590955.834247309, -12003.565604370468 6590955.909990011, -12003.249302130629 6590956.732438542, -12003.219687514047 6590956.814504991, -12003.214566341563 6590956.828076616, -12002.884927633744 6590957.664705649, -12002.85580786158 6590957.739201871, -12002.536592482176 6590958.575837139, -12002.535127983085 6590958.579629109, -12002.505998274171 6590958.654150746, -12002.18573092771 6590959.500124212, -12002.16847282002 6590959.540308736, -12002.149550046639 6590959.579541978, -12001.831274450617 6590960.400172556, -12001.8192406335 6590960.440090715, -12001.80715418111 6590960.475366137, -12001.477241165248 6590961.332581289, -12001.464293140949 6590961.371003014, -12001.455689932924 6590961.394562231, -12001.110987344542 6590962.269728159, -12001.097103181986 6590962.30524758, -12000.761742680628 6590963.18984002, -12000.744567366557 6590963.229805997, -12000.739449300216 6590963.24041746, -12000.44431729573 6590964.001965901, -12000.433385545317 6590964.027971555, -12000.377003881194 6590964.15216925, -12000.36988835962 6590964.167176053, -11999.947758648412 6590965.0205502985, -11999.935064800316 6590965.04686889, -11999.933576777203 6590965.049927428, -11999.53205185815 6590965.868150876, -11999.524610042701 6590965.887189038, -11999.507014017565 6590965.927000454, -11999.098699302955 6590966.751735544, -11999.072266390765 6590966.806539805, -11999.070725596841 6590966.809705847, -11998.679332023841 6590967.606800895, -11998.65548875333 6590967.662273172, -11998.644134184337 6590967.686835712, -11998.249637296929 6590968.482926215, -11998.209467955863 6590968.566210681, -11998.208680864429 6590968.567835084, -11997.824616988677 6590969.35683566, -11997.783680262646 6590969.44171117, -11997.782082813357 6590969.444992556, -11997.398900517526 6590970.224858152, -11997.394465107318 6590970.233664768, -11997.343734723494 6590970.331966279, -11996.974710257207 6590971.097077244, -11996.968677399282 6590971.109165243, -11996.91794701975 6590971.207466743, -11996.548922543128 6590971.972577711, -11996.542889681958 6590971.984665715, -11996.490890010853 6590972.085426747, -11996.111986110573 6590972.849294217, -11996.058083277427 6590972.961052784, -11996.05726659518 6590972.962737966, -11995.686993882384 6590973.7231453275, -11995.632295551724 6590973.836553227, -11995.631478865795 6590973.838238417, -11995.26079620804 6590974.599487635, -11995.244560900175 6590974.630088177, -11995.1881573399 6590974.728043889, -11994.828016962245 6590975.467643028, -11994.7744253584 6590975.585694728, -11994.767838577513 6590975.599629406, -11994.401833292268 6590976.344015584, -11994.348637608351 6590976.461195148, -11994.340417482768 6590976.478421144, -11993.961459215076 6590977.235057634, -11993.907975029811 6590977.34594819, -11993.536015746231 6590978.117143849, -11993.480910664975 6590978.231395059, -11993.477618894283 6590978.238091823, -11993.098660615535 6590978.994728294, -11993.045176428783 6590979.105618849, -11992.673217132075 6590979.876814492, -11992.667184273461 6590979.888902489, -11992.615616916824 6590979.988825794, -11992.234608833027 6590980.764266115, -11992.23017342283 6590980.773072729, -11992.179029058696 6590980.87217639, -11991.797526765842 6590981.655914295, -11991.756590008097 6590981.740789838, -11991.370854422947 6590982.5405482575, -11991.329525609512 6590982.626236661, -11991.327984812797 6590982.629402707, -11990.931026154034 6590983.437830983, -11990.912972794593 6590983.471314503, -11990.884313471419 6590983.519944388, -11990.49993169547 6590984.309850154, -11990.475736973347 6590984.366140069, -11990.464463806595 6590984.390538255, -11990.055005465052 6590985.217582845, -11990.04373627245 6590985.239022686, -11990.024199648537 6590985.274101198, -11989.618247181777 6590986.108583565, -11989.597379805095 6590986.147093392, -11989.573222258718 6590986.183629225, -11989.552821940195 6590986.20928194, -11989.101539886364 6590986.965204926, -11989.07891967695 6590987.005820094, -11989.06914471349 6590987.022596481, -11988.595167492722 6590987.800918968, -11988.583229979598 6590987.819578284, -11988.552694598804 6590987.865056027, -11988.09637746326 6590988.624002585, -11988.066877133077 6590988.667676878, -11988.033372648228 6590988.712044261, -11987.592723820959 6590989.437461152, -11987.55962176641 6590989.50005977, -11987.543746426463 6590989.527885808, -11987.089084470594 6590990.268621313, -11987.041684577072 6590990.353729036, -11987.031272327942 6590990.37154904, -11986.583571032104 6590991.10269236, -11986.582302238048 6590991.104753219, -11986.520575124363 6590991.204473059, -11986.084816409479 6590991.933553209, -11986.08077244611 6590991.940201254, -11986.01699748908 6590992.043229373, -11985.574762237904 6590992.757658171, -11985.513682571653 6590992.863734795, -11985.50834260838 6590992.872787301, -11985.071864368081 6590993.59526073, -11985.059011536488 6590993.615429084, -11984.99068116363 6590993.71719662, -11984.56310564315 6590994.424933953, -11984.50067649452 6590994.533354211, -11984.495336529382 6590994.54240672, -11984.058858280061 6590995.264880131, -11984.046005449183 6590995.285048483, -11983.97767507528 6590995.386816017, -11983.553670926067 6590996.088641866, -11983.493118150856 6590996.200859812, -11983.47979441978 6590996.224045799, -11983.04459276423 6590996.936572724, -11983.041502527425 6590996.941566011, -11982.968882483838 6590997.057382036, -11982.894824103587 6590997.183046176, -11982.87347869996 6590997.216202921, -11982.492707856376 6590997.759348506, -11982.408015757559 6590997.885484298, -11982.406443391437 6590997.887811939, -11981.958521261324 6590998.546891703, -11981.859306799752 6590998.694656307, -11981.856112939176 6590998.699355161, -11981.408677957997 6590999.349650061, -11981.405279519675 6590999.354526962, -11981.295724912326 6590999.509766947, -11980.864086162283 6591000.136657743, -11980.753219009199 6591000.301777222, -11980.749930967055 6591000.30661291, -11980.314995652008 6591000.938291465, -11980.312388243614 6591000.94204155, -11980.190805415661 6591001.115214182, -11979.77002182811 6591001.733916686, -11979.645854597697 6591001.918844563, -11979.644136884619 6591001.921385951, -11979.233787045761 6591002.52451026, -11979.097145620428 6591002.728016518, -11979.093651510593 6591002.733151255, -11978.683715530897 6591003.327597129, -11978.682343162964 6591003.32957697, -11978.535183026419 6591003.540788407, -11978.138004933544 6591004.1243095035, -11978.134910781646 6591004.12880244, -11977.986191315646 6591004.3422519, -11977.985726002338 6591004.342918584, -11977.579769219472 6591004.923552491, -11977.432402333534 6591005.143032647, -11977.430630009929 6591005.145654283, -11977.032807396943 6591005.730122265, -11976.883693340591 6591005.952204559, -11976.880086198926 6591005.9575031325, -11976.484470433155 6591006.530694924, -11976.33626094456 6591006.751429997, -11976.332653804331 6591006.756728568, -11975.935217482502 6591007.332558079, -11975.934348779268 6591007.333812608, -11975.77539355639 6591007.562619598, -11975.390115617514 6591008.136431391, -11975.38563977331 6591008.142984494, -11975.22485593081 6591008.3744236715, -11974.827853002264 6591008.94962523, -11974.826984300182 6591008.950879759, -11974.667096772706 6591009.18102874, -11974.282197211693 6591009.746259177, -11974.279551891472 6591009.750105155, -11974.118768126797 6591009.981544214, -11973.7258761906 6591010.5507895015, -11973.578540470284 6591010.778058993, -11973.570492424156 6591010.790088251, -11973.173056088357 6591011.365917721, -11973.172187385342 6591011.3671722505, -11973.012329375428 6591011.597278726, -11972.614958810507 6591012.181082479, -11972.611864657403 6591012.185575416, -11972.463833736503 6591012.398036598, -11972.054581531173 6591012.991490791, -11972.053209162432 6591012.9934706325, -11971.90517823244 6591013.205931823, -11971.500179022589 6591013.79321876, -11971.36547231694 6591014.001652914, -11971.360647125739 6591014.008977292, -11971.160652347595 6591014.306838478, -11971.13947601463 6591014.336042853, -11970.912207704141 6591014.626791666, -11970.768552220254 6591014.817023326, -11970.766457478998 6591014.819777359, -11970.329235272498 6591015.390500372, -11970.326900068561 6591015.393524598, -11970.170684099576 6591015.5942433085, -11969.736389642081 6591016.161144608, -11969.579462728865 6591016.370991933, -11969.577520469544 6591016.3735717675, -11969.152496634413 6591016.9343381105, -11968.994797638361 6591017.145217885, -11968.992855377472 6591017.147797721, -11968.566856233321 6591017.7098508505, -11968.56468215514 6591017.712698032, -11968.394793138947 6591017.933540699, -11967.970070595222 6591018.485647362, -11967.801273728846 6591018.705070309, -11967.37733182614 6591019.2644091435, -11967.21963281479 6591019.475288928, -11967.217690553396 6591019.477868764, -11966.791691403076 6591020.0399218695, -11966.789517323246 6591020.042769054, -11966.619628304376 6591020.26361171, -11966.194905756558 6591020.815718348, -11966.026108886726 6591021.035141288, -11965.601191657057 6591021.595766913, -11965.593243119649 6591021.605976853, -11965.429762524764 6591021.8104542885, -11965.007404871189 6591022.375869897, -11964.84857978258 6591022.588255605, -11964.845074826071 6591022.592886219, -11964.407852598093 6591023.163609153, -11964.405517394229 6591023.166633378, -11964.250364045154 6591023.365986712, -11963.814059150309 6591023.94375084, -11963.803220007112 6591023.957591429, -11963.65371361044 6591024.141734427, -11963.220197727102 6591024.723943715, -11963.218170961496 6591024.72664654, -11963.072004681468 6591024.920203001, -11963.066928030776 6591024.926810397, -11962.612335940654 6591025.508378834, -11962.48225218156 6591025.686607464, -11962.476409494146 6591025.694450329, -11962.014187907535 6591026.302405872, -11962.01346280984 6591026.303357222, -11961.880159299315 6591026.477822142, -11961.418299709396 6591027.085301542, -11961.410252422298 6591027.095603699, -11961.27786242144 6591027.260597367, -11961.26758383 6591027.272992939, -11960.76917896599 6591027.854724304, -11960.639107047473 6591028.008539917, -11960.637016202183 6591028.010996316, -11960.13756197025 6591028.593952481, -11960.126315615003 6591028.606637364, -11960.006044838112 6591028.737745599, -11959.991116597583 6591028.757847212, -11959.931171434207 6591028.831035883, -11959.918988470601 6591028.845352671, -11959.697885848376 6591029.095496811, -11959.588188354348 6591029.225218789, -11959.578625911588 6591029.239460557, -11959.535036996882 6591029.295364559, -11959.42892295134 6591029.413179119, -11959.427184185317 6591029.415099579, -11959.350211996501 6591029.499673651, -11958.976509667657 6591029.937829593, -11958.727392864037 6591030.236988169, -11958.717281587013 6591030.2487544445, -11958.342884476335 6591030.670999425, -11958.084443916398 6591030.976616431, -11958.078340859196 6591030.983698204, -11957.713193984373 6591031.399477455, -11957.442202176722 6591031.715376305, -11957.087168419957 6591032.132168846, -11956.813945381364 6591032.459080685, -11956.807627485749 6591032.466492159, -11956.451786319642 6591032.875784766, -11956.167113384743 6591033.203218849, -11955.882440452042 6591033.530652933, -11955.52860771059 6591033.937635416, -11955.089802010323 6591034.455014786, -11955.088727501552 6591034.456277449, -11954.886445869208 6591034.693183149, -11954.884478516537 6591034.695473212, -11954.262495166779 6591035.415075405, -11954.233195401794 6591035.4522052305, -11954.217022667708 6591035.471666351, -11953.618069975111 6591036.156386988, -11953.563263063832 6591036.22330222, -11953.558671594508 6591036.228826633, -11953.320167540425 6591036.511634813, -11953.28973282404 6591036.544600575, -11952.91910515774 6591036.911554087, -11952.89862909473 6591036.93072023, -11952.830747440077 6591036.990777414, -11952.22675635579 6591037.598103664, -11952.224617381973 6591037.600241479, -11952.144956390774 6591037.679379231, -11951.542372964663 6591038.287898986, -11951.511233913932 6591038.3167812135, -11951.41336678245 6591038.400109508, -11950.84755935623 6591038.968244405, -11950.843915915748 6591038.97186544, -11950.717510341936 6591039.096209537, -11950.153692390566 6591039.656324109, -11950.016965755354 6591039.797003226, -11950.0087881926 6591039.805224265, -11949.45449263127 6591040.349691491, -11949.29326524454 6591040.509859868, -11949.292849155523 6591040.510272739, -11948.759992097885 6591041.038390017, -11948.757828588337 6591041.040521297, -11948.585883954895 6591041.208878579, -11948.070142607241 6591041.722458053, -11947.910923897545 6591041.889081629, -11947.902239274834 6591041.897947211, -11947.380605286355 6591042.417394617, -11947.370156138439 6591042.427501712, -11947.215552189034 6591042.572754228, -11946.687555720197 6591043.104635589, -11946.680203554044 6591043.111890417, -11946.544561360024 6591043.242999317, -11945.99080150577 6591043.795588739, -11945.985117108206 6591043.801171444, -11945.848057129764 6591043.933650747, -11945.298325809586 6591044.473634609, -11945.162583660149 6591044.613300763, -11945.154406099762 6591044.621521798, -11944.605157427257 6591045.161031562, -11944.482446441716 6591045.290036573, -11944.473345021117 6591045.299358544, -11943.916765219863 6591045.854761922, -11943.911080833814 6591045.860344616, -11943.864911951297 6591045.90497049, -11943.848728939767 6591045.919936893, -11943.769544792902 6591045.989993759, -11943.167602805235 6591046.526311383, -11943.044008816081 6591046.639365474, -11943.042655155346 6591046.64059915, -11942.447566121227 6591047.180949622, -11942.434014717768 6591047.192816258, -11942.315903911649 6591047.292541938, -11941.720010626143 6591047.832127933, -11941.620367649752 6591047.926345009, -11941.611959784432 6591047.934114667, -11940.994424615254 6591048.491804823, -11940.98535155476 6591048.499801532, -11940.889125568183 6591048.582565943, -11940.276202417006 6591049.144800911, -11940.266589246157 6591049.1533934865, -11940.178447974858 6591049.230155828, -11939.54811913799 6591049.796512831, -11939.462327643103 6591049.879437078, -11939.446565666227 6591049.894030551, -11938.825065650648 6591050.445139934, -11938.72731378877 6591050.537568868, -11938.71890592237 6591050.545338526, -11938.105619163009 6591051.099191949, -11938.006217787282 6591051.193180572, -11937.994427205245 6591051.203977362, -11937.366945581402 6591051.760390862, -11937.361255237207 6591051.765360437, -11937.265029242577 6591051.848124848, -11936.652106107946 6591052.410359759, -11936.642492939045 6591052.418952333, -11936.556029313897 6591052.494253607, -11935.930493004178 6591053.066445107, -11935.921396941776 6591053.074564005, -11935.83180862896 6591053.152586571, -11935.20282321259 6591053.709070928, -11935.118411964359 6591053.790661055, -11935.105555455906 6591053.802657836, -11934.48333097925 6591054.363132418, -11934.397315965327 6591054.446272707, -11934.384459462595 6591054.4582694825, -11933.76223498177 6591055.01874406, -11933.676219975581 6591055.101884341, -11933.66336347057 6591055.113881119, -11933.034605244864 6591055.680241021, -11933.005635129124 6591055.704419769, -11932.92108588878 6591055.769734281, -11932.306396732527 6591056.332003616, -11932.29730066972 6591056.340122514, -11932.209393770858 6591056.416680729, -11931.583743416004 6591056.980241172, -11931.575147591908 6591056.987807449, -11931.486472610897 6591057.06407719, -11931.418092728874 6591057.132007896, -11931.367518563526 6591057.175925749, -11930.78713070677 6591057.615346414, -11930.699266919506 6591057.683221422, -11930.692740077739 6591057.688178544, -11930.01813929947 6591058.191871642, -11929.966822246386 6591058.238215575, -11929.930953957733 6591058.267702776, -11929.229684062824 6591058.791597233, -11929.165536445353 6591058.841151439, -11929.16241142081 6591058.843545943, -11928.446978893282 6591059.387278758, -11928.403644430022 6591059.420754745, -11928.400568003659 6591059.42311231, -11927.672345203822 6591059.976706051, -11927.616391103318 6591060.013599658, -11927.603685452252 6591060.020804594, -11926.90230655463 6591060.562621619, -11926.843276049132 6591060.601872777, -11926.828902415535 6591060.610023568, -11926.117734785974 6591061.150784794, -11926.074352745676 6591061.184297531, -11926.071276334076 6591061.186655084, -11925.344596384233 6591061.739075931, -11925.290014632239 6591061.781240476, -11925.286889609299 6591061.783634978, -11924.571457127171 6591062.327367719, -11924.505676492417 6591062.378183427, -11924.499358063142 6591062.3829848515, -11923.78681323542 6591062.915586586, -11923.767507244133 6591062.930500513, -11923.341030681053 6591063.259954745, -11923.307361477368 6591063.285964291, -11923.299545685379 6591063.29</t>
  </si>
  <si>
    <t>['FV4674 S2D1 m1581-1781']</t>
  </si>
  <si>
    <t>LINESTRING Z (-12545.951397244644 6590198.394233136 16.51, -12545.816506353964 6590198.184824493 16.53, -12545.22619913891 6590197.269905004 16.6, -12544.821526461339 6590196.641679087 16.65, -12544.499724507565 6590196.155523434 16.68, -12544.018298090727 6590195.416343422 16.740000000000002, -12544.00095803506 6590195.393897297 16.740000000000002, -12543.77324986679 6590195.041141888 16.77, -12543.647028999403 6590194.842956315 16.79, -12543.37724720739 6590194.424139054 16.82, -12542.935821114283 6590194.0035140915 16.86, -12542.801941143116 6590193.865007795 16.87, -12542.586201369297 6590193.655333575 16.89, -12542.451044881425 6590193.526773825 16.9, -12542.397748196381 6590193.469381999 16.91, -12542.371738112299 6590193.4357128125 16.91, -12542.272538253223 6590193.342098767 16.92, -12542.16466836608 6590193.237261659 16.93, -12541.984885221347 6590193.062533144 16.94, -12541.80510207609 6590192.887804632 16.96, -12541.724518790259 6590192.806690166 16.97, -12541.589362302446 6590192.678130417 16.98, -12541.553405673534 6590192.643184714 16.98, -12541.490162443602 6590192.58451637 16.990000000000002, -12541.337665899424 6590192.433510503 17, -12541.085969496868 6590192.188890587 17.03, -12541.031396294828 6590192.141445308 17.03, -12540.959483036713 6590192.071553905 17.04, -12540.089130430482 6590191.211687462 17.12, -12539.998600599705 6590191.129296483 17.13, -12539.936633886304 6590191.060681598 17.13, -12539.306754621386 6590190.45410511 17.19, -12539.11447189888 6590190.29799318 17.2, -12539.004048979084 6590190.213049169 17.21, -12538.066092420835 6590189.486051808 17.29, -12537.984232618997 6590189.414883893 17.3, -12537.017712947796 6590188.67411046 17.38, -12536.83537677169 6590188.519275056 17.39, -12536.145552659931 6590187.985888381 17.45, -12535.933111266058 6590187.908072303 17.46, -12535.77907262207 6590187.847861866 17.47, -12535.549291172938 6590187.747599667 17.490000000000002, -12535.462325306959 6590187.71621793 17.5, -12535.403922557423 6590187.698612291 17.5, -12534.92319005658 6590187.505481405 17.53, -12534.68218554923 6590187.413889239 17.54, -12534.057360954583 6590187.161824439 17.57, -12533.451152935915 6590186.922259219 17.61, -12533.161692227644 6590186.8143379325 17.62, -12532.218843821669 6590186.440575761 17.67, -12531.872256885981 6590186.305102291 17.69, -12531.420087517356 6590186.125747516 17.72, -12531.11685072392 6590186.046389347 17.740000000000002, -12530.97887562745 6590186.018571578 17.75, -12530.146184571204 6590185.810602292 17.82, -12529.704972687061 6590185.703426359 17.85, -12529.135732255003 6590185.569709178 17.89, -12528.449686336797 6590185.4007807225 17.93, -12528.066877205274 6590185.311210434 17.96, -12527.204346546496 6590185.099411613 18.01, -12526.891163223889 6590185.018776936 18.02, -12525.960283289605 6590184.788095967 18.07, -12525.5774741692 6590184.698525682 18.080000000000002, -12525.43949908117 6590184.67070792 18.080000000000002, -12524.708560956118 6590184.536459591 18.12, -12524.323198809754 6590184.466782395 18.14, -12523.453009093588 6590184.3146628495 18.18, -12522.888609182148 6590184.222008374 18.2, -12522.20740379201 6590184.094142629 18.22, -12521.445349550748 6590183.966011304 18.240000000000002, -12521.253812209237 6590183.961650598 18.25, -12520.941639841592 6590183.951918244 18.27, -12520.427983592846 6590183.936548668 18.3, -12520.21655316907 6590183.929634927 18.31, -12519.883211204666 6590183.927296086 18.32, -12519.782469264464 6590183.924477474 18.330000000000002, -12516.92190882028 6590183.840450269 18.47, -12515.239135539567 6590183.7963634115 18.55, -12509.763911366404 6590183.366666151 18.75, -12506.201241982984 6590183.081317935 18.89, -12504.769951044116 6590182.968402057 18.95, -12503.788807485136 6590182.893036276 19.01, -12500.814526320028 6590182.592207113 19.18, -12500.37560203555 6590182.545986992 19.2, -12499.825989296543 6590182.495671746 19.240000000000002, -12499.776256595971 6590182.489289172 19.25, -12497.131487899518 6590182.220638489 19.43, -12496.942503643106 6590182.196384707 19.44, -12495.854501267895 6590182.087084201 19.52, -12495.784875490062 6590182.078148598 19.53, -12495.694080118381 6590182.076606504 19.53, -12492.121730365325 6590181.70913305 19.78, -12490.056148617063 6590181.575476018 19.95, -12489.796262088756 6590181.552233175 19.97, -12481.14474412857 6590180.9777676 20.64, -12480.833848423848 6590180.958088726 20.67, -12479.789461949375 6590180.824054702 20.73, -12477.15362947568 6590180.485778376 20.900000000000002, -12476.98453833838 6590180.464077633 20.91, -12476.835340276535 6590180.444929917 20.92, -12475.99983113521 6590180.337702709 20.990000000000002, -12475.969991523249 6590180.333873166 20.990000000000002, -12475.144428927335 6590180.227922477 21.06, -12475.114589315432 6590180.224092933 21.07, -12474.289026728075 6590180.118142245 21.14, -12474.2492405792 6590180.113036189 21.14, -12473.453517611255 6590180.010915045 21.22, -12473.393838388845 6590180.0032559605 21.22, -12472.797046168067 6590179.926665104 21.28, -12472.603221485682 6590179.861348672 21.29, -12472.546095292317 6590179.833796512 21.3, -12471.89754851826 6590179.609018541 21.330000000000002, -12471.800636177999 6590179.576360325 21.34, -12471.722340397188 6590179.556201676 21.35, -12471.67388422729 6590179.539872567 21.35, -12470.938371656463 6590179.283712898 21.42, -12470.899862023187 6590179.268660309 21.42, -12470.687420785485 6590179.190844313 21.44, -12470.087330193317 6590178.982395458 21.5, -12469.748137008864 6590178.868091708 21.54, -12469.273521855823 6590178.706077153 21.580000000000002, -12468.857309409883 6590178.56166822 21.62, -12468.459713525313 6590178.4297588505 21.66, -12467.995044914831 6590178.269020814 21.71, -12467.647181715525 6590178.143494018 21.740000000000002, -12467.172566572845 6590177.9814794725 21.79, -12466.833373398753 6590177.867175732 21.82, -12466.378651332518 6590177.707714213 21.87, -12466.030788138916 6590177.582187424 21.900000000000002, -12465.613299193617 6590177.447725036 21.94, -12465.216979835997 6590177.305869144 21.98, -12464.964752466301 6590177.222947104 22.01, -12464.851776602038 6590177.157896259 22.02, -12464.43455323606 6590176.942585074 22.06, -12463.970150218753 6590176.700998249 22.11, -12463.677125768329 6590176.542067894 22.14, -12463.136980008218 6590176.260429356 22.2, -12462.919698305719 6590176.141550721 22.22, -12462.342319432879 6590175.834913064 22.28, -12462.162270847533 6590175.741033554 22.3, -12461.57494544296 6590175.433119388 22.37, -12461.404843394761 6590175.340516394 22.38, -12460.836134551442 6590175.045101798 22.44, -12460.647415946587 6590174.93999924 22.46, -12460.115940222167 6590174.669583778 22.52, -12459.888711989683 6590174.5494286325 22.54, -12459.42558550404 6590174.297895301 22.59, -12459.13128455123 6590174.148911496 22.62, -12458.742624298553 6590173.947376416 22.66, -12458.363910582208 6590173.747117854 22.7, -12458.089502702991 6590173.600687078 22.73, -12457.597813131695 6590173.335377682 22.78, -12457.446327646554 6590173.255274259 22.8, -12457.076283956529 6590173.066238749 22.84, -12456.87788439251 6590172.879010894 22.86, -12456.724111452058 6590172.737951746 22.88, -12456.246729099425 6590172.28238168 22.94, -12455.9404597315 6590171.990316857 22.98, -12455.615573806863 6590171.685752473 23.02, -12455.191488100507 6590171.287574166 23.080000000000002, -12454.993088536721 6590171.100346324 23.1, -12454.488419606001 6590170.621053663 23.17, -12454.361933245033 6590170.503717136 23.18, -12453.811361178523 6590169.988202314 23.25, -12453.739447975822 6590169.918311001 23.26, -12453.171535865229 6590169.380350095 23.34, -12453.126909241837 6590169.334181393 23.34, -12452.75739669468 6590168.9834483275 23.39, -12452.536816603155 6590168.7327117445 23.42, -12452.447563356545 6590168.640374339 23.43, -12451.963053061452 6590168.082785945 23.5, -12451.405353050795 6590167.465252781 23.580000000000002, -12451.397959540831 6590167.444083202 23.580000000000002, -12450.832866019045 6590166.8053804645 23.66, -12450.72627272777 6590166.690596969 23.68, -12450.4883525896 6590166.417414307 23.71, -12450.26777249627 6590166.166677737 23.740000000000002, -12449.959215667623 6590165.813657238 23.79, -12449.702678972157 6590165.527975019 23.82, -12449.271465318394 6590165.027778407 23.89, -12449.137585447112 6590164.889272311 23.900000000000002, -12448.863708706282 6590164.581144008 23.94, -12448.582438455138 6590164.2518461235 23.98, -12448.529141808976 6590164.194454378 23.990000000000002, -12448.43249505118 6590164.080947403 24, -12448.255265067914 6590163.886326078 24.03, -12448.052290578431 6590163.577186829 24.060000000000002, -12448.026280511462 6590163.54351769 24.07, -12447.5769814183 6590162.869123966 24.14, -12447.424750549835 6590162.637269531 24.17, -12447.112895300845 6590162.152391087 24.22, -12446.933377851907 6590161.896814052 24.25, -12446.637586133846 6590161.444328238 24.3, -12446.510088819254 6590161.256089482 24.330000000000002, -12446.162276963645 6590160.7362654 24.38, -12446.137543407502 6590160.692649728 24.39, -12446.060789715673 6590160.581695781 24.400000000000002, -12445.722924392088 6590160.063148216 24.46, -12445.698190835421 6590160.0195325455 24.46, -12445.29835883982 6590159.432370198 24.53, -12445.222881658527 6590159.311469722 24.54, -12444.893686352996 6590158.804145212 24.6, -12444.771295080194 6590158.576120324 24.62, -12444.494385464 6590158.055285309 24.68, -12444.37327070086 6590157.817313891 24.7, -12444.112424615829 6590157.328871505 24.76, -12443.97524631652 6590157.058507465 24.78, -12443.74780380918 6590156.624903797 24.830000000000002, -12443.57722192735 6590156.299701045 24.86, -12443.38062997593 6590155.9408291625 24.900000000000002, -12443.169250999286 6590155.539618123 24.94, -12443.113666882215 6590155.421270673 24.96, -12443.034625717439 6590155.249361022 24.97, -12442.826065312373 6590154.747408138 25.02, -12442.718726608437 6590154.480873638 25.05, -12442.492826153466 6590153.956474667 25.1, -12442.398997961485 6590153.742225861 25.13, -12442.159586988215 6590153.165541203 25.18, -12442.09660935594 6590153.026024178 25.2, -12441.817677793733 6590152.363384702 25.26, -12441.802890768507 6590152.321045545 25.27, -12441.763370183238 6590152.235090722 25.28, -12441.538000816014 6590151.548994202 25.34, -12441.443161657837 6590151.263843155 25.37, -12441.278216898965 6590150.737156727 25.43, -12441.025826487807 6590149.946488836 25.52, -12441.001092927414 6590149.902873172 25.52, -12440.762213026232 6590149.1644909745 25.61, -12440.732638972346 6590149.0798126655 25.62, -12440.51721611555 6590148.39499267 25.7, -12440.465461519954 6590148.246805626 25.72, -12440.262272664986 6590147.62421786 25.8, -12440.198284059938 6590147.413798598 25.82, -12440.01599923172 6590146.8646661 25.900000000000002, -12439.931106592994 6590146.58079157 25.93, -12439.820203881536 6590146.263247914 25.98, -12439.815363386995 6590146.222185269 25.98, -12439.737864260213 6590145.959480323 26.02, -12439.703449708759 6590145.833739368 26.03, -12439.67642867146 6590145.729167992 26.05, -12439.555844966846 6590145.329499049 26.1, -12439.431697274966 6590144.87882093 26.17, -12439.333294111013 6590144.542660717 26.21, -12439.178295847145 6590144.017250829 26.29, -12439.1094667383 6590143.765768927 26.330000000000002, -12438.934840944654 6590143.156957241 26.42, -12438.886915868847 6590142.978930603 26.45, -12438.739311111218 6590142.474690293 26.52, -12438.733725186845 6590142.281876628 26.54, -12438.720480206364 6590142.148742163 26.55, -12438.685636951413 6590141.3961040545 26.63, -12438.684891521349 6590141.244353033 26.64, -12438.648771748994 6590140.501661459 26.72, -12438.638079783821 6590140.348633928 26.740000000000002, -12438.610630028124 6590139.6171654 26.810000000000002, -12438.59993806138 6590139.464137869 26.830000000000002, -12438.57376480702 6590138.722722804 26.92, -12438.56051982072 6590138.589588343 26.93, -12438.526953042601 6590137.827003703 27.02, -12438.519825062947 6590137.724985347 27.03, -12438.505089201382 6590137.288348841 27.09, -12438.539820470556 6590136.938943653 27.12, -12438.553862065368 6590136.829531785 27.13, -12438.623590133095 6590136.049872631 27.2, -12438.640184744028 6590135.92056769 27.21, -12438.717306319915 6590135.162078113 27.29, -12438.72523090418 6590135.021550132 27.3, -12438.80107596406 6590134.2730070865 27.38, -12438.818947080406 6590134.133755615 27.400000000000002, -12438.896068640519 6590133.375266031 27.48, -12438.901440205402 6590133.254631119 27.490000000000002, -12438.979838265805 6590132.486195001 27.580000000000002, -12438.993879855087 6590132.37678313 27.59, -12439.068448383885 6590131.6381866075 27.68, -12439.08477745764 6590131.589730449 27.68, -12439.106212563405 6590131.501488153 27.69, -12439.336361631169 6590130.732306581 27.75, -12439.385348851094 6590130.586938099 27.76, -12439.599168838293 6590129.866212684 27.82, -12439.650709072594 6590129.700951133 27.84, -12439.860699529992 6590129.010065314 27.900000000000002, -12439.989044621005 6590128.561460305 27.95, -12440.111007172032 6590128.162587967 27.98, -12440.250575300539 6590127.705312927 28.03, -12440.372537848074 6590127.3064405825 28.07, -12440.510829464765 6590126.859112078 28.12, -12440.634068515734 6590126.450293201 28.16, -12440.812146264769 6590126.008070721 28.2, -12440.98256496794 6590125.625527443 28.240000000000002, -12441.171865754935 6590125.174634932 28.28, -12441.33106141386 6590124.800761679 28.310000000000002, -12441.520362197363 6590124.349869163 28.36, -12441.679557852854 6590123.975995908 28.39, -12441.868858632573 6590123.52510339 28.44, -12442.026777778112 6590123.161176667 28.48, -12442.183420415735 6590122.807196474 28.52, -12442.302564407175 6590122.509065965 28.55, -12442.737546678458 6590121.483081995 28.66, -12443.804154386977 6590119.395688438 28.84, -12444.913366725203 6590117.212659002 29.02, -12445.00852259621 6590117.022663853 29.04, -12445.074849852594 6590116.89974143 29.05, -12445.385316557135 6590116.292522851 29.1, -12445.469249385234 6590116.111197729 29.11, -12445.571798776626 6590115.942372149 29.12, -12445.925881133997 6590115.310419982 29.18, -12446.097310790909 6590114.998778911 29.21, -12446.47511573165 6590114.339540143 29.27, -12446.632769333082 6590114.056462165 29.3, -12447.035573363246 6590113.35999026 29.36, -12447.169504374324 6590113.104198875 29.39, -12447.598583998391 6590112.360547295 29.45, -12447.70623940794 6590112.15193557 29.47, -12448.164147637435 6590111.341211245 29.54, -12448.252920969913 6590111.200948758 29.55, -12448.750880843902 6590110.314481663 29.62, -12448.79093249538 6590110.2387388935 29.63, -12448.961085633608 6590109.937044337 29.650000000000002, -12449.289157871332 6590109.271422996 29.71, -12449.291710882273 6590109.251529926 29.71, -12449.386866740184 6590109.061534754 29.73, -12449.77259619016 6590108.261767932 29.830000000000002, -12449.939185315277 6590107.909064186 29.88, -12450.254757994786 6590107.2620593915 29.96, -12450.681815585529 6590106.3766032485 30.07, -12450.736919790332 6590106.26235084 30.09, -12452.178881119064 6590102.7470162595 30.61, -12453.248194483283 6590099.456836877 30.85, -12454.113838442077 6590095.311469822 31.14, -12454.6818825925 6590090.885261189 31.45, -12454.893178638711 6590086.00885442 31.79, -12453.480472296418 6590080.236524761 32.2)</t>
  </si>
  <si>
    <t>POLYGON ((-12545.39626488491 6590198.4557435615, -12544.806058466576 6590197.540980298, -12544.40287240855 6590196.915062508, -12544.08279049645 6590196.431505373, -12544.080751359006 6590196.428399782, -12543.610310187625 6590195.706086467, -12543.605275646429 6590195.699569421, -12543.580877011069 6590195.665065018, -12543.3531688428 6590195.31230961, -12543.351518210791 6590195.30973528, -12543.225989603901 6590195.112636659, -12542.989179302316 6590194.745005318, -12542.590899301389 6590194.365493294, -12542.576314671423 6590194.351012462, -12542.447863043077 6590194.218122089, -12542.23965202461 6590194.015764952, -12542.106443259863 6590193.889057861, -12542.084661744495 6590193.86701403, -12542.03136505945 6590193.809622204, -12542.002065813105 6590193.77505413, -12542.000039180753 6590193.772430722, -12541.929371267533 6590193.705742026, -12541.924061250154 6590193.700656682, -12541.816191363012 6590193.595819574, -12541.63640821714 6590193.421091057, -12541.45662507527 6590193.246362549, -12541.450389169186 6590193.240194691, -12541.374791524324 6590193.164098729, -12541.244760682117 6590193.0404144535, -12541.24088529711 6590193.03668833, -12541.209097386778 6590193.005794141, -12541.150115936072 6590192.951079288, -12541.13834980326 6590192.939801982, -12540.987513458109 6590192.790440085, -12540.747444769502 6590192.557120968, -12540.703345049982 6590192.5187812075, -12540.68291929738 6590192.500003228, -12540.611006039266 6590192.430111825, -12540.608078845124 6590192.427243508, -12539.745013856274 6590191.574576881, -12539.662060441935 6590191.4990811795, -12539.627527702542 6590191.4644157225, -12539.577246684508 6590191.408740247, -12538.975170761909 6590190.828938499, -12538.804410597695 6590190.690300465, -12538.699186148642 6590190.609355432, -12538.69774181786 6590190.608240164, -12537.75978525961 6590189.881242803, -12537.738041180533 6590189.863387711, -12537.667827105368 6590189.802344449, -12536.713555358838 6590189.070958241, -12536.694071217496 6590189.055235151, -12536.520467626231 6590188.907815244, -12535.900921061611 6590188.428768663, -12535.76113804488 6590188.377566936, -12535.751083469555 6590188.373760913, -12535.597044825567 6590188.313550475, -12535.579110563844 6590188.3061359925, -12535.364256966412 6590188.212387371, -12535.305199964456 6590188.191076581, -12535.259610931636 6590188.177333666, -12535.21753031596 6590188.162571268, -12534.741164528567 6590187.971194678, -12534.504558953882 6590187.881274297, -12534.495125168618 6590187.877579236, -12533.87194637264 6590187.626178379, -12533.27191763129 6590187.389055126, -12532.98701978085 6590187.2828350365, -12532.977433039643 6590187.279148164, -12532.03569935759 6590186.905827889, -12531.690229099979 6590186.770790905, -12531.687902963242 6590186.769874956, -12531.264039565007 6590186.601747857, -12531.004055362784 6590186.533709048, -12530.880056824446 6590186.508709155, -12530.857719385258 6590186.503670707, -12530.026593152486 6590186.296092246, -12529.588788970623 6590186.189744086, -12529.021392259872 6590186.056460003, -12529.016185623439 6590186.055207482, -12528.332952054967 6590185.886971525, -12527.952963111287 6590185.798061108, -12527.947641817238 6590185.796785271, -12527.08511115846 6590185.58498645, -12527.079678369857 6590185.583620086, -12526.768693125807 6590185.503551344, -12525.843187767448 6590185.274202246, -12525.471082315347 6590185.187136423, -12525.344921588661 6590185.161700605, -12524.61891853919 6590185.028358681, -12524.235666741002 6590184.959063057, -12523.369457599214 6590184.807639363, -12522.807611084381 6590184.715404064, -12522.79636753653 6590184.713426199, -12522.119822132805 6590184.586435158, -12521.397961716548 6590184.465061998, -12521.242431721217 6590184.461521066, -12521.23823167066 6590184.461407785, -12520.926372448368 6590184.451685195, -12520.413029330433 6590184.436324988, -12520.411642406945 6590184.436281562, -12520.20662692661 6590184.429577588, -12519.879703120912 6590184.42728378, -12519.869227406953 6590184.427100501, -12519.768485466751 6590184.424281889, -12519.767788404171 6590184.4242619, -12516.908020873647 6590184.340257986, -12515.226040568386 6590184.296191904, -12515.200015675106 6590184.2948306985, -12509.724791501943 6590183.865133438, -12509.72399223475 6590183.865070066, -12506.161620811115 6590183.5797457155, -12504.73114245733 6590183.466893942, -12503.750513183435 6590183.391567666, -12503.738492449234 6590183.390498231, -12500.764211284126 6590183.089669068, -12500.762164247082 6590183.089457768, -12500.326627321334 6590183.043594346, -12499.780406545791 6590182.993589624, -12499.762342515236 6590182.991604289, -12499.719158716554 6590182.986062185, -12497.080958843348 6590182.718078751, -12497.06784111534 6590182.716571032, -12496.885680333477 6590182.693192958, -12495.804522927792 6590182.584580096, -12495.790854489138 6590182.583016745, -12495.748695995757 6590182.577606226, -12495.685589202145 6590182.576534403, -12495.642917077617 6590182.573981958, -12492.079990940076 6590182.207477875, -12490.023862773138 6590182.074432553, -12490.01160909814 6590182.073488298, -12489.75742356308 6590182.050755321, -12481.112387866548 6590181.476720172, -12480.802262960508 6590181.457090087, -12480.770201645702 6590181.454021269, -12479.725815171229 6590181.319987246, -12477.089982699807 6590180.98171092, -12476.920891566875 6590180.960010177, -12476.771693502858 6590180.940862461, -12475.936184360506 6590180.833635253, -12475.906344742625 6590180.8298057085, -12475.08078215484 6590180.723855021, -12475.050942534686 6590180.720025476, -12474.22537995548 6590180.61407479, -12474.185593820777 6590180.608968735, -12473.389870838377 6590180.506847588, -12473.330191629477 6590180.499188506, -12472.733399396167 6590180.422597649, -12472.684841133952 6590180.413912506, -12472.63737500213 6590180.400484815, -12472.443550319746 6590180.335168383, -12472.386013216283 6590180.311704718, -12472.354982600173 6590180.2967385445, -12471.73584088687 6590180.082151989, -12471.65827674985 6590180.05601387, -12471.597672260907 6590180.04041016, -12471.562669223049 6590180.030021384, -12471.514213053151 6590180.013692276, -12471.509435392376 6590180.0120553505, -12470.773922821549 6590179.755895682, -12470.756343953897 6590179.749401545, -12470.72284109795 6590179.736305998, -12470.519389919958 6590179.661783009, -12469.925458660447 6590179.4554736735, -12469.588465846704 6590179.34191142, -12469.5866089734 6590179.341281621, -12469.11199382036 6590179.179267066, -12469.109626695157 6590179.178452402, -12468.69663193972 6590179.035159878, -12468.302268603806 6590178.904322963, -12468.2962570399 6590178.902286074, -12467.831588429417 6590178.741548038, -12467.825330894295 6590178.739336827, -12467.481548199843 6590178.615282485, -12467.011966395563 6590178.454986119, -12466.673702243896 6590178.340995447, -12466.66791277092 6590178.339004918, -12466.213190704684 6590178.179543399, -12466.208937318432 6590178.178030227, -12465.869240925003 6590178.055450437, -12465.460016163152 6590177.923649728, -12465.444801030157 6590177.918478017, -12465.05462457958 6590177.778820876, -12464.808595372442 6590177.697936538, -12464.760858766625 6590177.679485557, -12464.715258332228 6590177.656251474, -12464.612254580266 6590177.596942513, -12464.205256926933 6590177.386908383, -12464.203803749746 6590177.386155446, -12463.739400732438 6590177.144568621, -12463.7317665658 6590177.140513021, -12463.442333754034 6590176.983530695, -12462.905810977463 6590176.703781225, -12462.89699193831 6590176.699070128, -12462.682434630016 6590176.581682056, -12462.109471009178 6590176.277389276, -12461.931101820817 6590176.1843854245, -12461.930109084247 6590176.183866384, -12461.342783679675 6590175.875952219, -12461.335877481484 6590175.872262315, -12461.170045474153 6590175.781983917, -12460.605651046524 6590175.488810435, -12460.59285530567 6590175.4819257995, -12460.412324281635 6590175.381383129, -12459.889201254551 6590175.115217529, -12459.88221237496 6590175.111592028, -12459.654984142475 6590174.991436883, -12459.650076803164 6590174.988806884, -12459.19330572685 6590174.740725303, -12458.905457372595 6590174.595007993, -12458.901119181435 6590174.592785242, -12458.512458928759 6590174.391250162, -12458.508896461368 6590174.389384672, -12458.130182745022 6590174.18912611, -12458.128516463556 6590174.188240976, -12457.854108584339 6590174.041810201, -12457.85206889446 6590174.040715698, -12457.362228197293 6590173.776403931, -12457.215721178738 6590173.698933051, -12456.84882186324 6590173.511503834, -12456.807730561026 6590173.487995875, -12456.769046699463 6590173.460707084, -12456.733117059162 6590173.4298820915, -12456.537287279269 6590173.245079319, -12456.38611814895 6590173.1064087, -12456.378918417558 6590173.099672314, -12455.901600402816 6590172.644163646, -12455.596941660298 6590172.353634749, -12455.273612905647 6590172.050530134, -12454.849244090934 6590171.652086221, -12454.848321214664 6590171.65121752, -12454.649921650878 6590171.463989678, -12454.648767740351 6590171.462897271, -12454.146224269953 6590170.985623196, -12454.021886845567 6590170.870280154, -12454.020190841955 6590170.868699505, -12453.469618775445 6590170.353184683, -12453.462884274619 6590170.346760325, -12453.393269432263 6590170.279102752, -12452.827684121345 6590169.743345933, -12452.812029527242 6590169.7278485745, -12452.774884016093 6590169.689419495, -12452.413178742534 6590169.34609692, -12452.38198937293 6590169.313704808, -12452.169157506136 6590169.071775745, -12452.088057018218 6590168.987872818, -12452.070143588813 6590168.968329091, -12451.58877247763 6590168.41435336, -12451.034280245538 6590167.800372123, -12451.002787472611 6590167.761801184, -12450.976953856325 6590167.722804677, -12450.462384289714 6590167.141207157, -12450.359889696658 6590167.030837287, -12450.34922294218 6590167.018977022, -12450.112121739088 6590166.74673467, -12449.892365184378 6590166.496934229, -12449.89130657478 6590166.495726989, -12449.584955553746 6590166.145230159, -12449.330658321382 6590165.862041832, -12449.323977614846 6590165.854449034, -12448.902062080859 6590165.365037998, -12448.778079125737 6590165.236770807, -12448.76387170368 6590165.221444011, -12448.48999496285 6590164.913315708, -12448.48351900202 6590164.905883579, -12448.208991174872 6590164.584479405, -12448.16275878779 6590164.534694708, -12448.148446743538 6590164.518601363, -12448.057200930936 6590164.4114375375, -12447.885580225347 6590164.222975922, -12447.860215192468 6590164.192815223, -12447.837304292801 6590164.160750549, -12447.644869023488 6590163.867663005, -12447.630598239508 6590163.849189965, -12447.610170884353 6590163.820741027, -12447.160871791191 6590163.146347303, -12447.159020645193 6590163.143548441, -12447.006789776728 6590162.911694006, -12447.004219581984 6590162.907738947, -12446.697880283022 6590162.431436807, -12446.524223854885 6590162.184204043, -12446.514865768359 6590162.170397012, -12446.221312724361 6590161.721335798, -12446.096109805145 6590161.536484518, -12446.094530063852 6590161.534137897, -12445.746718208244 6590161.014313815, -12445.727342918584 6590160.9829076035, -12445.713630991544 6590160.958727703, -12445.649588577864 6590160.866148983, -12445.641866954413 6590160.854649477, -12445.304001630828 6590160.336101912, -12445.287990353789 6590160.3097904315, -12445.2733709565 6590160.284010281, -12444.885079481073 6590159.713795449, -12444.874224752628 6590159.697153649, -12444.80106463126 6590159.579964674, -12444.474250991081 6590159.076310561, -12444.453135566313 6590159.04060875, -12444.330744293511 6590158.812583862, -12444.329813106526 6590158.810840726, -12444.052903490332 6590158.290005711, -12444.04877792438 6590158.282075787, -12443.92989998951 6590158.048499383, -12443.671376993638 6590157.564407054, -12443.6665356951 6590157.555108262, -12443.530890105492 6590157.287765032, -12443.305021075981 6590156.857161093, -12443.136537725331 6590156.535959048, -12442.942116270886 6590156.181049333, -12442.938268727474 6590156.173888223, -12442.72688975083 6590155.772677184, -12442.716681480639 6590155.752175952, -12442.661097363567 6590155.633828502, -12442.659384266108 6590155.630142176, -12442.580343101332 6590155.458232525, -12442.572895903262 6590155.441208824, -12442.364335498196 6590154.939255939, -12442.36226321301 6590154.934190397, -12442.257157336046 6590154.673200266, -12442.034217416909 6590154.155673801, -12441.940993381611 6590153.942804536, -12441.937211327022 6590153.933936853, -12441.700725783461 6590153.364298866, -12441.640887236323 6590153.231735989, -12441.635773132133 6590153.220008648, -12441.356841569926 6590152.557369173, -12441.345638591763 6590152.528245225, -12441.338684347831 6590152.508333388, -12441.309087575488 6590152.443962243, -12441.288341509047 6590152.391128406, -12441.063261356185 6590151.705912347, -12440.968714697534 6590151.421640752, -12440.96601338504 6590151.413273826, -12440.801478702419 6590150.887896817, -12440.565114280622 6590150.147433825, -12440.543409111786 6590150.104182698, -12440.525369072397 6590150.0567783825, -12440.288268187816 6590149.323895158, -12440.260599779722 6590149.244673215, -12440.255680720493 6590149.229848748, -12440.04260160422 6590148.552479403, -12439.993422327485 6590148.411666175, -12439.990135118587 6590148.401933999, -12439.786946263619 6590147.779346233, -12439.78390278252 6590147.769690385, -12439.721753854505 6590147.565320691, -12439.541461093619 6590147.02218929, -12439.536960999787 6590147.007922417, -12439.455322506796 6590146.734929503, -12439.34816469363 6590146.428108476, -12439.33299421629 6590146.375616691, -12439.323928516242 6590146.323431925, -12439.258296792521 6590146.100954858, -12439.255600898663 6590146.091472937, -12439.22118634721 6590145.965731982, -12439.219350134257 6590145.958829744, -12439.194841060254 6590145.863979662, -12439.077157566917 6590145.473923331, -12439.073800073284 6590145.462287304, -12438.950712660737 6590145.015458186, -12438.853578344628 6590144.683632552, -12438.698728382346 6590144.158725373, -12438.696032489364 6590144.149243457, -12438.628007200477 6590143.900698483, -12438.454220944024 6590143.294813742, -12438.45202954382 6590143.286930896, -12438.405521459965 6590143.114167939, -12438.259448110814 6590142.615159154, -12438.249228367087 6590142.573780675, -12438.24256980298 6590142.531682158, -12438.23952080291 6590142.48916951, -12438.234443285904 6590142.3139049355, -12438.222936342268 6590142.198240681, -12438.221015149518 6590142.171864813, -12438.186171894567 6590141.419226705, -12438.18564298371 6590141.398560121, -12438.184951206551 6590141.257731496, -12438.14961899739 6590140.531233727, -12438.13929577212 6590140.383483744, -12438.1384314797 6590140.367384187, -12438.111284068884 6590139.643972406, -12438.101154050035 6590139.49898769, -12438.100249323994 6590139.481777759, -12438.074639612287 6590138.756326281, -12438.062975958937 6590138.639086884, -12438.061003494662 6590138.611575612, -12438.02772001066 6590137.855426971, -12438.021041052163 6590137.759835176, -12438.020109561588 6590137.741850035, -12438.005373700023 6590137.305213529, -12438.007541191928 6590137.238892008, -12438.042272461102 6590136.88948682, -12438.043887893573 6590136.875297137, -12438.056705968986 6590136.775418911, -12438.125577829014 6590136.005333379, -12438.127657555224 6590135.986226122, -12438.14341485648 6590135.863445485, -12438.218732902662 6590135.1226935955, -12438.226024013553 6590134.993399104, -12438.227777926064 6590134.971146416, -12438.303622985944 6590134.22260337, -12438.305143384972 6590134.2093605865, -12438.322177192016 6590134.076633416, -12438.39719576259 6590133.3388267085, -12438.401935142963 6590133.232389432, -12438.404022232846 6590133.203883109, -12438.482420293249 6590132.435446991, -12438.483905685453 6590132.42254851, -12438.497087344083 6590132.319837207, -12438.570977286005 6590131.587962044, -12438.579729520308 6590131.532574712, -12438.594628583258 6590131.478515707, -12438.604028516711 6590131.450621616, -12438.620341815884 6590131.383464356, -12438.627195778106 6590131.35816014, -12438.85734484587 6590130.588978568, -12438.862541827053 6590130.572635691, -12438.908604121412 6590130.43594686, -12439.119819034906 6590129.724002396, -12439.121843409031 6590129.717348872, -12439.172844713941 6590129.553815375, -12439.381115252356 6590128.868588231, -12439.508331428731 6590128.42392912, -12439.510897283944 6590128.415257965, -12439.632822962789 6590128.016506216, -12439.77235429528 6590127.559351733, -12439.894390509175 6590127.160238249, -12439.894844495137 6590127.158761672, -12440.032616123653 6590126.71311516, -12440.155347040294 6590126.305981909, -12440.1702613386 6590126.263523551, -12440.348339087635 6590125.821301071, -12440.355417671251 6590125.804603299, -12440.523638066228 6590125.426994621, -12440.710847668943 6590124.981083067, -12440.711833072806 6590124.978752489, -12440.870533079224 6590124.606043284, -12441.059344109382 6590124.156317303, -12441.060329513184 6590124.153986725, -12441.219029523996 6590123.781277498, -12441.407840543068 6590123.331551534, -12441.410180917212 6590123.326068837, -12441.56810006275 6590122.962142114, -12441.56954570368 6590122.958843204, -12441.72250332556 6590122.61319039, -12441.838267972413 6590122.323515916, -12441.842227771063 6590122.313898905, -12442.277210042346 6590121.287914935, -12442.29230493539 6590121.255574214, -12443.358653515197 6590119.168687782, -12444.466951359256 6590116.987458154, -12444.561458090559 6590116.798759124, -12444.568493812814 6590116.785230347, -12444.632188814088 6590116.667186207, -12444.9356788769 6590116.07361272, -12445.015502587603 6590115.90116477, -12445.041909700754 6590115.851619621, -12445.139896894096 6590115.690304722, -12445.488729859464 6590115.067721462, -12445.659218905088 6590114.757790323, -12445.66350054438 6590114.750165416, -12446.039782182146 6590114.0935846865, -12446.195945151348 6590113.813183242, -12446.199943987502 6590113.806137934, -12446.597490059037 6590113.118757349, -12446.726549498682 6590112.872270053, -12446.736424152163 6590112.85431586, -12447.159640620559 6590112.120825903, -12447.26191592191 6590111.922639605, -12447.27088272916 6590111.90604014, -12447.728790958656 6590111.095315816, -12447.741657002814 6590111.073813295, -12447.823415172568 6590110.944634814, -12448.311840758144 6590110.075140638, -12448.3489240597 6590110.0050113965, -12448.35542254758 6590109.993115024, -12448.518747386172 6590109.703527566, -12448.815679530071 6590109.101085941, -12448.82238368548 6590109.079100282, -12448.844646353296 6590109.027625244, -12448.93813137071 6590108.840966195, -12449.321357016312 6590108.046390731, -12449.48707810753 6590107.695524792, -12449.48979030534 6590107.689874485, -12449.804880159098 6590107.043859608, -12450.23145935061 6590106.159395372, -12450.28003143276 6590106.05868659, -12451.709164582355 6590102.574625623, -12452.764295540834 6590099.328084206, -12453.620396463235 6590095.228416527, -12454.183264567147 6590090.842539727, -12454.390560441754 6590086.058451125, -12452.99480565698 6590080.355385669, -12453.966138935857 6590080.117663853, -12455.37884527815 6590085.889993512, -12455.387889694528 6590085.936321867, -12455.392525012698 6590085.983296666, -12455.392709920445 6590086.030499248, -12455.181413874234 6590090.906906017, -12455.177815202636 6590090.948907448, -12454.609771052214 6590095.375116081, -12454.603280840203 6590095.413676177, -12453.73763688141 6590099.559043232, -12453.723711302468 6590099.611380575, -12452.654397938248 6590102.901559957, -12452.641475927125 6590102.936768845, -12451.199514598393 6590106.452103425, -12451.187276028499 6590106.479558709, -12451.132171823696 6590106.593811118, -12450.705114229704 6590107.479267268, -12450.704153004723 6590107.481249092, -12450.389954134158 6590108.125437226, -12450.224703397907 6590108.475307326, -12450.222952420367 6590108.4789758185, -12449.837222970391 6590109.27874264, -12449.83393126916 6590109.285439436, -12449.764688757075 6590109.42369412, -12449.759213931795 6590109.441855681, -12449.737641240592 6590109.4924720125, -12449.409569002868 6590110.158093354, -12449.396595581407 6590110.182668207, -12449.229772326318 6590110.478458625, -12449.192889279582 6590110.54820916, -12449.186810978736 6590110.559359015, -12448.688851104747 6590111.44582611, -12448.675411604534 6590111.468346708, -12448.59334077968 6590111.598019186, -12448.146236104301 6590112.389615871, -12448.042907484421 6590112.58984326, -12448.031664220553 6590112.61043031, -12447.607705910887 6590113.345205977, -12447.478528238888 6590113.591919081, -12447.468398708826 6590113.61031449, -12447.067622624674 6590114.303279958, -12446.911939913383 6590114.582819065, -12446.908925978178 6590114.588153638, -12446.533295193938 6590115.243598681, -12446.363973019817 6590115.55140857, -12446.362078474074 6590115.554821047, -12446.007996116703 6590116.186773214, -12445.999138461106 6590116.201950257, -12445.911185634854 6590116.346745722, -12445.839063354766 6590116.50255581, -12445.830501050612 6590116.520142637, -12445.520034346071 6590117.127361216, -12445.51487863599 6590117.137174936, -12445.452172398602 6590117.253386628, -12445.360431230854 6590117.436563731, -12445.359125486097 6590117.4391521085, -12444.24991314787 6590119.622181544, -12444.249396130044 6590119.623196218, -12443.190913356357 6590121.694688955, -12442.76493095783 6590122.699445106, -12442.647716850497 6590122.992746523, -12442.640652490167 6590123.009529936, -12442.484738611645 6590123.361863283, -12442.328722876631 6590123.721403573, -12442.14057594236 6590124.169547764, -12442.139590537034 6590124.171878345, -12441.980890528284 6590124.544587567, -12441.792079501842 6590124.994313539, -12441.79109409599 6590124.996644122, -12441.632394086202 6590125.369353335, -12441.443583053933 6590125.819079308, -12441.439293561458 6590125.8289948655, -12441.272565590114 6590126.203253462, -12441.106289159785 6590126.616169594, -12440.989550940205 6590127.00342337, -12440.988522817703 6590127.006790989, -12440.850459318199 6590127.453381608, -12440.728759596166 6590127.851394395, -12440.58922817729 6590128.308549161, -12440.46851409098 6590128.703338676, -12440.341412722266 6590129.147596499, -12440.339090276364 6590129.155469214, -12440.129099818965 6590129.846355032, -12440.128034501855 6590129.849814945, -12440.077529593296 6590130.011756768, -12439.86469865448 6590130.729148387, -12439.85916865521 6590130.746608989, -12439.812920079887 6590130.883850604, -12439.588988132102 6590131.63225393, -12439.570648205161 6590131.707754246, -12439.560386054685 6590131.743219413, -12439.491350952967 6590132.427007693, -12439.489812435439 6590132.44042962, -12439.476597284158 6590132.543401898, -12439.400309282279 6590133.291155806, -12439.395573702957 6590133.397507718, -12439.393503915511 6590133.425844161, -12439.316382355399 6590134.184333744, -12439.314879659494 6590134.197402115, -12439.297857012456 6590134.330042326, -12439.223809259383 6590135.060847084, -12439.216513210542 6590135.190229141, -12439.214741593822 6590135.212656254, -12439.137620017935 6590135.971145831, -12439.1361173219 6590135.9842142, -12439.120746229944 6590136.1039855005, -12439.051874369448 6590136.874071037, -12439.049794642351 6590136.893178302, -12439.03666209811 6590136.995506863, -12439.005926263644 6590137.304716986, -12439.019236794722 6590137.6991197, -12439.025737053385 6590137.792153874, -12439.026469368659 6590137.805016435, -12439.05942946548 6590138.553818225, -12439.071308668803 6590138.673224263, -12439.073453544406 6590138.705082914, -12439.099322753147 6590139.437885217, -12439.109414039469 6590139.582315579, -12439.110278332246 6590139.598415141, -12439.137425743122 6590140.321826923, -12439.147555760695 6590140.466811643, -12439.148181488858 6590140.477373361, -12439.184301261212 6590141.220064934, -12439.184885489052 6590141.2418969665, -12439.185580133148 6590141.383309228, -12439.219333553543 6590142.112406165, -12439.23126905094 6590142.23237811, -12439.233515495152 6590142.267397411, -12439.237239300182 6590142.395934865, -12439.366778869251 6590142.838461742, -12439.36972726968 6590142.848956947, -12439.416588894246 6590143.023033197, -12439.59008673893 6590143.627912425, -12439.591730096081 6590143.633776299, -12439.65925799787 6590143.880503963, -12439.812861575812 6590144.401186173, -12439.813157115119 6590144.402191869, -12439.911560279072 6590144.738352082, -12439.913742168528 6590144.746032675, -12440.036281578748 6590145.190872447, -12440.15511607139 6590145.58474371, -12440.160528245962 6590145.604077617, -12440.18665582768 6590145.705191321, -12440.218826411694 6590145.822733458, -12440.294930854687 6590146.080710734, -12440.305186658641 6590146.121820123, -12440.309261676186 6590146.147116102, -12440.4031457809 6590146.415931008, -12440.410144824928 6590146.437535253, -12440.492894142164 6590146.714242679, -12440.67282219804 6590147.256275407, -12440.676653942404 6590147.268326073, -12440.739169687815 6590147.473902004, -12440.939194304388 6590148.086794277, -12440.989255308019 6590148.230132121, -12440.994174367403 6590148.244956587, -12441.207253482344 6590148.922325929, -12441.234252218856 6590148.999630425, -12441.237936881249 6590149.010585764, -12441.461225871499 6590149.700776168, -12441.483902306225 6590149.746072907, -12441.50214743879 6590149.794441634, -12441.754537849949 6590150.585109525, -12441.755365171763 6590150.587726056, -12441.918996057659 6590151.110217145, -12442.012447776317 6590151.391196605, -12442.013029490205 6590151.392956519, -12442.22952769684 6590152.052046386, -12442.257173376258 6590152.112174024, -12442.274929970477 6590152.156185023, -12442.28457012559 6590152.183787332, -12442.554963554408 6590152.826143322, -12442.615309107832 6590152.959829391, -12442.621373622678 6590152.973830211, -12442.858936319726 6590153.546062808, -12442.95083073334 6590153.755895993, -12442.952030706983 6590153.758658647, -12443.177931161954 6590154.283057617, -12443.182528707799 6590154.294091378, -12443.288845121118 6590154.558087411, -12443.492790124974 6590155.048932176, -12443.567100439377 6590155.21055252, -12443.616951205015 6590155.316692751, -12443.821096564536 6590155.704173914, -12444.015735632394 6590156.059480875, -12444.020004660148 6590156.067443749, -12444.190586541978 6590156.392646501, -12444.418029049719 6590156.826250169, -12444.42113523725 6590156.832270708, -12444.55594163031 6590157.09795997, -12444.814318323051 6590157.581778342, -12444.818878240481 6590157.590523413, -12444.937965667652 6590157.824511437, -12445.212313153419 6590158.34052738, -12445.324420498871 6590158.549392475, -12445.642317020442 6590159.039304373, -12445.647015745719 6590159.04668627, -12445.717230921857 6590159.159157989, -12446.111470194168 6590159.738107295, -12446.13312487372 6590159.77289033, -12446.1502581852 6590159.80310357, -12446.475931314393 6590160.302938848, -12446.548744545311 6590160.408196526, -12446.572477452562 6590160.446007525, -12446.588103231928 6590160.473562352, -12446.924861023102 6590160.976865523, -12447.051565147955 6590161.163933203, -12447.056098217394 6590161.170745279, -12447.347326050747 6590161.616249514, -12447.522049297866 6590161.865001096, -12447.533426268696 6590161.881921671, -12447.844005731517 6590162.364816499, -12447.9940213215 6590162.593296966, -12448.43267495294 6590163.251711952, -12448.447972850385 6590163.2715145545, -12448.470251353543 6590163.302762358, -12448.65154583232 6590163.578881979, -12448.802179893746 6590163.744297559, -12448.813190116618 6590163.756800419, -12448.902854193757 6590163.862106571, -12448.948821476324 6590163.911605794, -12448.9626281594 6590163.927106553, -12449.240697055211 6590164.252656442, -12449.504355677396 6590164.549288728, -12449.630971639768 6590164.680279911, -12449.650166675705 6590164.701304392, -12450.078078380036 6590165.1976708295, -12450.331236318398 6590165.479590425, -12450.335681589113 6590165.484607986, -12450.643710083139 6590165.837024016, -12450.863759901493 6590166.087157815, -12450.86540237519 6590166.089034254, -12451.098083747389 6590166.356201704, -12451.199249050158 6590166.465140146, -12451.20733891154 6590166.474064825, -12451.772432433325 6590167.112767562, -12451.802782731107 6590167.150624202, -12451.823318380799 6590167.1820568545, -12452.33412586671 6590167.747666604, -12452.340472829184 6590167.754831194, -12452.816285569104 6590168.302410191, -12452.896322941482 6590168.385213266, -12452.912223924905 6590168.402455264, -12453.117938357687 6590168.636293837, -12453.471127193983 6590168.9715328, -12453.486415579824 6590168.986682913, -12453.52338563788 6590169.024930477, -12454.083299719707 6590169.555315163, -12454.087924879726 6590169.55975299, -12454.15650072917 6590169.626400782, -12454.702829438498 6590170.137942438, -12454.828466005467 6590170.254490645, -12454.832740402371 6590170.258502716, -12455.336833152951 6590170.737248169, -12455.534194249236 6590170.923496019, -12455.957676227816 6590171.32110748, -12456.282420632717 6590171.625539196, -12456.285522486725 6590171.628472008, -12456.59179185465 6590171.920536831, -12457.065737834782 6590172.372827493, -12457.215877695618 6590172.51055394, -12457.221051289876 6590172.515367552, -12457.367435965141 6590172.6535094315, -12457.673789739843 6590172.810009173, -12457.680055482026 6590172.813266002, -12457.831540967167 6590172.893369425, -12457.835246940225 6590172.895349062, -12458.325917865439 6590173.16010881, -12458.598472380436 6590173.305550585, -12458.974574664653 6590173.504428258, -12459.359286275285 6590173.703915817, -12459.651412682673 6590173.851798804, -12459.664220690558 6590173.85851705, -12460.124900828401 6590174.10872172, -12460.346187913921 6590174.2257352695, -12460.874154914203 6590174.494365489, -12460.89069519236 6590174.503175239, -12461.073065925373 6590174.6047424935, -12461.635326899679 6590174.896807757, -12461.643911356237 6590174.901373467, -12461.810574763605 6590174.992104477, -12462.39393656333 6590175.297940663, -12462.573488459595 6590175.391561193, -12462.57684045685 6590175.393325145, -12463.15421932969 6590175.699962802, -12463.159686375626 6590175.702909949, -12463.372582109223 6590175.819388945, -12463.908294799083 6590176.098716025, -12463.915509421282 6590176.102553123, -12464.204734314124 6590176.259422678, -12464.664576751999 6590176.498637046, -12465.081072911165 6590176.71357295, -12465.101270736111 6590176.7245918885, -12465.16971987734 6590176.764004505, -12465.373136929857 6590176.830879711, -12465.385477999458 6590176.835116164, -12465.774231344902 6590176.974263928, -12466.184071169382 6590177.106262732, -12466.200502153002 6590177.11187141, -12466.546242020373 6590177.236631994, -12466.995945407987 6590177.3943335675, -12467.332237727702 6590177.5076597575, -12467.334094603151 6590177.508289558, -12467.808709745832 6590177.670304104, -12467.816895736061 6590177.673178006, -12468.161637546267 6590177.797578446, -12468.620170641854 6590177.956194086, -12469.01475433139 6590178.087104107, -12469.021204570548 6590178.0892929705, -12469.43623452347 6590178.233291626, -12469.908737245101 6590178.394585082, -12470.247001355478 6590178.508575746, -12470.251395084015 6590178.510079132, -12470.851485676183 6590178.718527988, -12470.859393958433 6590178.721349662, -12471.071835196135 6590178.799165658, -12471.081889725752 6590178.802971662, -12471.111670788383 6590178.814612441, -12471.83594838221 6590179.066859263, -12471.864699832317 6590179.076548133, -12471.92530431428 6590179.092151841, -12471.96030734327 6590179.102540614, -12472.057219683531 6590179.13519883, -12472.06128658547 6590179.136588816, -12472.709833359526 6590179.361366787, -12472.763303561716 6590179.383440467, -12472.792391602643 6590179.397469729, -12472.909799936237 6590179.437034831, -12473.457485160745 6590179.507323416, -12473.517164370624 6590179.514982499, -12474.312887352078 6590179.617103646, -12474.352673486497 6590179.6222097, -12475.178236088026 6590179.728160389, -12475.20807570808 6590179.731989934, -12476.033638295743 6590179.837940621, -12476.063477915834 6590179.8417701665, -12476.89898705124 6590179.948997374, -12477.048185112057 6590179.968145089, -12477.217276247186 6590179.989845832, -12479.853108725249 6590180.328122159, -12480.881513990533 6590180.460105192, -12481.176329591912 6590180.478766238, -12481.177871455575 6590180.478866227, -12489.82938941576 6590181.053331803, -12489.84080160768 6590181.054220895, -12490.094567114307 6590181.076916306, -12492.15401620925 6590181.210176515, -12492.172893406088 6590181.211757596, -12495.72396170329 6590181.57704191, -12495.793366406298 6590181.578220699, -12495.84852226882 6590181.582216054, -12495.91</t>
  </si>
  <si>
    <t>['FV4674 S2D1 m27-70']</t>
  </si>
  <si>
    <t>LINESTRING Z (-11650.969836907403 6591120.191374957 64.94, -11651.80767909839 6591119.965271899 64.84, -11652.095648224815 6591119.769696037 64.8, -11652.349948241026 6591119.600129611 64.76, -11652.417286463373 6591119.548110731 64.75, -11652.50579414767 6591119.488698654 64.74, -11652.528240221727 6591119.4713590285 64.73, -11652.96083221992 6591119.173022015 64.67, -11653.24880134879 6591118.977446148 64.63, -11653.49315494136 6591118.806603108 64.59, -11653.980585516256 6591118.474863445 64.52, -11654.003031590197 6591118.457523822 64.52, -11654.057870164164 6591118.424121179 64.51, -11654.191269998322 6591118.330029843 64.49, -11654.612638963852 6591118.040362634 64.45, -11654.701146649488 6591117.980950551 64.44, -11654.855715946644 6591117.879466012 64.42, -11655.401281997096 6591117.646180455 64.37, -11655.497182885068 6591117.607937833 64.36, -11656.28938929137 6591117.264764385 64.29, -11656.309282142494 6591117.267317608 64.28, -11656.545976069756 6591117.15615311 64.26, -11657.11143498047 6591116.925420765 64.21000000000001, -11657.164996944019 6591116.901964547 64.2, -11657.91358782479 6591116.583523916 64.13, -11658.00948871515 6591116.545281293 64.12, -11658.72568710125 6591116.242903671 64.06, -11658.81164156663 6591116.203384436 64.05, -11659.527839958319 6591115.901006809 63.980000000000004, -11659.571455497295 6591115.876273977 63.980000000000004, -11660.050959958055 6591115.685060853 63.93, -11660.31876978412 6591115.567779755 63.910000000000004, -11660.339939247875 6591115.560386552 63.9, -11661.067360688117 6591115.2493391 63.84, -11661.142092117458 6591115.218489679 63.83, -11661.793505522073 6591114.948238067 63.77, -11661.95419141982 6591114.877869408 63.75, -11662.499757508049 6591114.644583811 63.7, -11662.766290728992 6591114.537249128 63.68, -11663.460786751588 6591114.403960723 63.620000000000005, -11663.636259058781 6591114.375930988 63.6, -11664.381763832818 6591114.239079214 63.53, -11664.504950785951 6591114.224559272 63.52, -11664.547289715207 6591114.209772867 63.52, -11665.36497270671 6591114.061964515 63.45, -11665.65368554613 6591114.018138226 63.43, -11666.233664451516 6591113.910592791 63.38, -11666.740188537806 6591113.823950357 63.34, -11667.09240977763 6591113.757944453 63.31, -11667.816745115968 6591113.628485869 63.25, -11667.951155112649 6591113.605296112 63.24, -11668.509964567376 6591113.505143877 63.190000000000005, -11668.809900456108 6591113.452647769 63.17, -11669.658699380641 6591113.29872281 63.1, -11669.67986884655 6591113.2913296055 63.1, -11669.742100632982 6591113.279096421 63.09, -11669.824225273565 6591113.269416457 63.09, -11670.52739116823 6591113.14735107 63.03, -11670.631961887411 6591113.120331478 63.02, -11671.38613653701 6591112.994702721 62.96, -11671.490707257588 6591112.967683123 62.95, -11672.24615852593 6591112.832107936 62.89, -11672.431577278767 6591112.805354805 62.870000000000005, -11672.856187509606 6591113.041838024 62.83, -11673.157877241436 6591113.211993151 62.800000000000004, -11673.478183217696 6591113.394647933 62.77, -11673.599827106926 6591113.4709224515 62.76, -11673.685515120625 6591113.51225124 62.75, -11674.071616256842 6591113.733681587 62.72, -11674.64643305511 6591114.060215597 62.660000000000004, -11674.965462423279 6591114.252816811 62.63, -11675.022587766463 6591114.2803693395 62.63, -11675.964889467228 6591114.815834063 62.61, -11685.113633495464 6591124.51303084 62.300000000000004)</t>
  </si>
  <si>
    <t>POLYGON ((-11669.806267882226 6591113.776051599, -11669.786125948713 6591113.782212696, -11669.747916475142 6591113.790698734, -11668.899117550609 6591113.944623693, -11668.896102296945 6591113.945160959, -11668.597169225168 6591113.99748155, -11668.039361801852 6591114.097454196, -11668.036164175986 6591114.09801658, -11667.903235244747 6591114.120950809, -11667.182444410595 6591114.249775892, -11666.832284849439 6591114.31539544, -11666.824490597728 6591114.316792281, -11666.321400192637 6591114.402847374, -11665.74484649539 6591114.509757673, -11665.728725347648 6591114.512475184, -11665.44697937879 6591114.555243909, -11664.674974629508 6591114.694795241, -11664.669805932097 6591114.6966003515, -11664.617313986788 6591114.711770223, -11664.563480187055 6591114.721121765, -11664.456243394567 6591114.733761675, -11663.726535252068 6591114.867713673, -11663.715128559268 6591114.869671408, -11663.547362872117 6591114.896470097, -11662.908119206304 6591115.019154412, -11662.691459322945 6591115.106404773, -11662.152773625685 6591115.336748295, -11661.994078995836 6591115.406244925, -11661.985105813039 6591115.410070644, -11661.333692408423 6591115.680322255, -11661.332877580513 6591115.68065946, -11661.261052762982 6591115.710309021, -11660.536522623783 6591116.020120144, -11660.504794427845 6591116.032427619, -11660.501753605327 6591116.033489593, -11660.251533431798 6591116.143067711, -11660.236163674486 6591116.149495546, -11659.788383473415 6591116.328057911, -11659.774477275898 6591116.335943625, -11659.722316560803 6591116.361635566, -11659.01336291917 6591116.660954472, -11658.934553449935 6591116.697188657, -11658.920163702482 6591116.703532428, -11658.203965316381 6591117.005910049, -11658.194692428342 6591117.009715986, -11658.104074847835 6591117.045851772, -11657.363149746698 6591117.361031482, -11657.312008446079 6591117.383427626, -11657.30033631081 6591117.388363836, -11656.746837047394 6591117.614216114, -11656.521834835228 6591117.719889539, -11656.47820328798 6591117.737918975, -11656.433065793615 6591117.751752958, -11656.414023935351 6591117.755671275, -11655.695930044858 6591118.066740151, -11655.682386594455 6591118.072372529, -11655.592204449544 6591118.108334674, -11655.093069634378 6591118.3217661055, -11654.977698835302 6591118.397514347, -11654.893606888603 6591118.4539623, -11654.477000552144 6591118.740355473, -11654.34606199236 6591118.8327107895, -11654.317972269428 6591118.851142133, -11654.286784286081 6591118.870138999, -11654.286253303313 6591118.870549184, -11654.261906855496 6591118.888213544, -11653.777077336019 6591119.218182958, -11653.535302341525 6591119.387223138, -11653.52971750228 6591119.391071721, -11653.243226402885 6591119.585643776, -11652.823221630562 6591119.875300011, -11652.8114619543 6591119.884384378, -11652.78446432616 6591119.903840716, -11652.709779376008 6591119.95397408, -11652.655616060867 6591119.995815325, -11652.627335804398 6591120.016129779, -11652.374805127241 6591120.184516416, -11652.088595248022 6591120.378897474, -11652.041046098539 6591120.407470771, -11651.990624336646 6591120.430600857, -11651.937950625053 6591120.448003014, -11651.100108434066 6591120.674106072, -11650.83956538074 6591119.708643842, -11651.596278209863 6591119.5044346405, -11651.814732075183 6591119.356070462, -11651.818260661443 6591119.353695869, -11652.058066655394 6591119.19379401, -11652.111618643532 6591119.152425017, -11652.138616284883 6591119.132968669, -11652.21330124159 6591119.0828353, -11652.222572415098 6591119.0756733045, -11652.244375224067 6591119.059751615, -11652.67696722226 6591118.7614146015, -11652.679916066429 6591118.759396442, -11652.965079718988 6591118.565725931, -11653.206653948624 6591118.396826118, -11653.21183360212 6591118.393253009, -11653.68682516568 6591118.0699791955, -11653.69736380314 6591118.061838083, -11653.742929484933 6591118.030502868, -11653.783413409794 6591118.005843764, -11653.903078170126 6591117.921440233, -11653.90802149263 6591117.917997947, -11654.32939045816 6591117.628330737, -11654.3339687702 6591117.625220582, -11654.422476455835 6591117.565808499, -11654.426726884636 6591117.562986686, -11654.581296181792 6591117.461502147, -11654.619290135353 6591117.438894979, -11654.659132583905 6591117.419732414, -11655.204698634358 6591117.186446857, -11655.216078287709 6591117.181745759, -11655.305166151951 6591117.146219984, -11656.090642131581 6591116.805962068, -11656.140914061016 6591116.787317942, -11656.17173711978 6591116.779517946, -11656.333423377022 6591116.703581179, -11656.357074739417 6591116.693210038, -11656.916666289111 6591116.464871837, -11656.96442347841 6591116.4439576855, -11656.969275919622 6591116.441863166, -11657.717866800394 6591116.123422535, -11657.728384111599 6591116.1190892225, -11657.819629500656 6591116.082703085, -11658.523965735247 6591115.785333641, -11658.602775217945 6591115.74909945, -11658.617164964146 6591115.742755679, -11659.30653480499 6591115.451705017, -11659.324818179715 6591115.441337161, -11659.386251780863 6591115.411839284, -11659.858017814007 6591115.223712032, -11660.118196310377 6591115.109772897, -11660.15391460415 6591115.095738688, -11660.159010431158 6591115.093959026, -11660.87077731221 6591114.789605508, -11660.876575225062 6591114.787169319, -11660.950898847657 6591114.756488241, -11661.597399974456 6591114.4882745845, -11661.753617946057 6591114.41986255, -11661.757608040723 6591114.418135816, -11662.303174128952 6591114.18485022, -11662.312980497938 6591114.180779598, -11662.579513718882 6591114.073444915, -11662.625123628994 6591114.057591073, -11662.672050124707 6591114.04621073, -11663.366546147303 6591113.912922326, -11663.381917251101 6591113.910220304, -11663.551674888758 6591113.883103423, -11664.291487639532 6591113.747296529, -11664.323234431715 6591113.742516721, -11664.394107726745 6591113.734162945, -11664.419998832476 6591113.726247241, -11664.45834871929 6591113.717746954, -11665.276031710793 6591113.569938602, -11665.289932905192 6591113.567627557, -11665.5705629637 6591113.525028225, -11666.142503502257 6591113.418973343, -11666.149362391594 6591113.417750866, -11666.651983790518 6591113.331775999, -11667.000313465996 6591113.266499369, -11667.00444005453 6591113.265743957, -11667.728775392869 6591113.136285373, -11667.73173605263 6591113.135765401, -11667.86454640918 6591113.11285163, -11668.421757878174 6591113.012985793, -11668.42376272654 6591113.012630687, -11668.722190159935 6591112.960398596, -11669.54458491481 6591112.811261886, -11669.583427243293 6591112.800718744, -11669.645659029726 6591112.78848556, -11669.683571220696 6591112.78253393, -11669.752147938701 6591112.774450849, -11670.421916929186 6591112.658182964, -11670.506877047781 6591112.636230473, -11670.54980503676 6591112.627127411, -11671.282315754366 6591112.505107384, -11671.365622395275 6591112.483582124, -11671.402386983924 6591112.47554541, -11672.157838252266 6591112.339970223, -11672.174755473125 6591112.337232594, -11672.360174225962 6591112.310479463, -11672.406472212258 6591112.305985467, -11672.452987477876 6591112.305813411, -11672.499317442544 6591112.309964786, -11672.545061129766 6591112.318403662, -11672.589822637165 6591112.331057001, -11672.633214562928 6591112.347815292, -11672.674861358877 6591112.368533495, -11673.099471589716 6591112.605016714, -11673.101816537843 6591112.606330985, -11673.403506269673 6591112.776486113, -11673.40556102177 6591112.777651414, -11673.72586699803 6591112.960306196, -11673.743801161923 6591112.971035955, -11673.84198324575 6591113.032599188, -11673.902728357729 6591113.061897591, -11673.934262717012 6591113.078517874, -11674.319474486792 6591113.2994381655, -11674.89339976917 6591113.625465736, -11674.904847652755 6591113.632171328, -11675.203799562869 6591113.81265158, -11675.239801017236 6591113.830015697, -11675.269615497686 6591113.845654146, -11676.21191719845 6591114.381118869, -11676.253775348508 6591114.407734875, -11676.292790264511 6591114.438367419, -11676.328577959364 6591114.4727150155, -11685.4773219876 6591124.1699117925, -11684.749945003328 6591124.856149888, -11675.652662489694 6591115.213499662, -11674.790203881761 6591114.7234059265, -11674.748249172506 6591114.703170454, -11674.707047825634 6591114.68086108, -11674.39369789116 6591114.491688597, -11673.824649542783 6591114.168431448, -11673.822868660456 6591114.167414953, -11673.45223829179 6591113.954857145, -11673.382613869822 6591113.921276101, -11673.334209162698 6591113.89453443, -11673.221420197611 6591113.823812225, -11672.911219569405 6591113.646920027, -11672.611729218646 6591113.478005366, -11672.335832684093 6591113.324347032, -11672.326043648096 6591113.3257594425, -11671.597561163224 6591113.456494745, -11671.511221399323 6591113.47880372, -11671.468293387661 6591113.4879067885, -11670.735782655505 6591113.609926818, -11670.652476007861 6591113.631452075, -11670.612909198911 6591113.639983455, -11669.909743304246 6591113.762048841, -11669.882754685852 6591113.765978948, -11669.81970042945 6591113.773411102, -11669.806267882226 6591113.776051599))</t>
  </si>
  <si>
    <t>['FV4674 S2D1 m1757-1794']</t>
  </si>
  <si>
    <t>LINESTRING Z (-12440.605606467812 6590068.453634547 32.74, -12440.640021135448 6590068.579375472 32.74, -12440.78225486714 6590069.204250589 32.71, -12440.855924732576 6590069.496795077 32.7, -12441.005551991286 6590070.142839766 32.68, -12441.071828320331 6590070.414214685 32.67, -12441.238795640471 6590071.082705448 32.65, -12441.297678433417 6590071.332910799 32.64, -12441.46081624378 6590072.031241169 32.61, -12441.512305500917 6590072.260276951 32.6, -12441.682836836844 6590072.979776899 32.57, -12441.738155595434 6590073.178973074 32.56, -12441.744272626704 6590073.210089182 32.56, -12441.785498999408 6590073.912994617 32.51, -12441.798478613317 6590074.126977858 32.49, -12441.848375011934 6590074.841106331 32.43, -12441.860078121943 6590075.065036108 32.410000000000004, -12441.909974512702 6590075.77916458 32.35, -12441.92040111858 6590076.013040894 32.33, -12441.972850504564 6590076.707276298 32.27, -12441.982000606542 6590076.9510991415 32.25, -12442.034449984436 6590077.645334552 32.19, -12442.042323582107 6590077.899103934 32.17, -12442.047164109768 6590077.940166576 32.17, -12441.979244037939 6590078.548181715 32.09, -12441.940948983713 6590078.846577765 32.05, -12441.874305407167 6590079.444646365 31.970000000000002, -12441.829627840198 6590079.79277509 31.92, -12441.76809026493 6590080.351057549 31.85, -12441.71830668574 6590080.738972416 31.8, -12441.70809466939 6590080.818544693 31.79, -12441.699159155134 6590080.888170439 31.78, -12441.686394134304 6590080.987635789 31.76, -12441.655492602265 6590081.307201408 31.720000000000002, -12441.61820855824 6590081.676499703 31.67, -12441.568159490591 6590082.145263346 31.61, -12441.51811042038 6590082.614026987 31.55, -12441.46322082181 6590083.041727989 31.5, -12441.4080657374 6590083.550277769 31.44, -12441.368228678592 6590083.939469133 31.39, -12441.309244081145 6590084.477858517 31.32, -12441.2719600235 6590084.847156805 31.28, -12441.210422415112 6590085.4054392595 31.21, -12441.202763399575 6590085.465118471 31.21, -12441.199944908265 6590085.56586032 31.19, -12441.164202835003 6590085.844363295 31.17, -12441.11160073895 6590086.333020003 31.12, -12441.080699186714 6590086.652585618 31.09, -12441.014055555628 6590087.250654206 31.03, -12440.984430502634 6590087.560273286 31, -12440.915233858861 6590088.178234946 30.94, -12440.88715079485 6590088.397058708 30.93, -12440.878215274075 6590088.466684452 30.92, -12440.786572548852 6590089.101986171 30.85, -12440.743436935241 6590089.35931957 30.830000000000002, -12440.64924119704 6590090.014514356 30.76, -12440.608658587036 6590090.251954684 30.740000000000002, -12440.501963301038 6590090.925766035 30.68, -12440.472603726375 6590091.154536332 30.66, -12440.364631929959 6590091.838294215 30.59, -12440.336548856227 6590092.057117977 30.580000000000002, -12440.227300549042 6590092.75082239 30.51, -12440.200493976765 6590092.959699615 30.5, -12440.088692655205 6590093.673297099 30.44, -12440.053216049448 6590093.870951286 30.42, -12439.951361255196 6590094.585825267 30.36, -12439.915884647402 6590094.783479456 30.35, -12439.804083310999 6590095.497076931 30.29, -12439.77855323552 6590095.696007622 30.28, -12439.707334518549 6590096.172164773 30.240000000000002, -12439.656805357256 6590096.408328591 30.22, -12439.611382211093 6590096.6047062725 30.2, -12439.461071226222 6590097.303251192 30.14, -12439.425594612083 6590097.500905377 30.13, -12439.274007115979 6590098.209396831 30.07, -12439.228583965625 6590098.40577451 30.05, -12439.086942996888 6590099.115542462 29.990000000000002, -12439.041519844206 6590099.311920141 29.98, -12438.889932333783 6590100.020411587 29.92, -12438.854455713648 6590100.218065769 29.91, -12438.704144700256 6590100.916610676 29.86, -12438.656168535119 6590101.1328814225 29.84, -12438.50713401899 6590101.821479792 29.8, -12438.467827881279 6590102.048973577 29.78, -12438.4236812272 6590102.235404715 29.77)</t>
  </si>
  <si>
    <t>POLYGON ((-12441.544299845778 6590077.937966859, -12441.542564070758 6590077.914609766, -12441.535034681208 6590077.671934357, -12441.483421471721 6590076.988766718, -12441.482352316501 6590076.969849776, -12441.473557549134 6590076.735495536, -12441.421821984222 6590076.050708476, -12441.420897261332 6590076.0353096295, -12441.410751309286 6590075.807728584, -12441.361294137128 6590075.099886308, -12441.360759566207 6590075.091131699, -12441.34928534738 6590074.871581575, -12441.29969462888 6590074.161828064, -12441.299395905362 6590074.157250794, -12441.286416291454 6590073.943267552, -12441.286356783019 6590073.942269996, -12441.247573868479 6590073.281025272, -12441.201069455487 6590073.113568492, -12441.196315420584 6590073.095089134, -12441.025784084657 6590072.375589185, -12441.024480654998 6590072.369944264, -12440.973449979281 6590072.1429483555, -12440.81088084967 6590071.44705229, -12440.752872280535 6590071.200561699, -12440.586730553265 6590070.53537638, -12440.586104154587 6590070.532840292, -12440.519827825541 6590070.261465373, -12440.51844575768 6590070.2556560645, -12440.369896082804 6590069.614264052, -12440.297392478637 6590069.326350811, -12440.294724996682 6590069.315221871, -12440.1548967395 6590068.70091472, -12440.123343227688 6590068.585627604, -12441.087869707937 6590068.32164149, -12441.122284375573 6590068.447382415, -12441.127551005906 6590068.46840419, -12441.268514682415 6590069.087699576, -12441.340787121078 6590069.374694855, -12441.343030966182 6590069.3839787785, -12441.491984538012 6590070.027114694, -12441.55724259095 6590070.294320181, -12441.723893407538 6590070.961543753, -12441.725499477228 6590070.968165607, -12441.784382270174 6590071.218370958, -12441.784569081241 6590071.2191676805, -12441.947706891604 6590071.91749805, -12441.948641089699 6590071.921573856, -12441.99949498386 6590072.1477834005, -12442.16715756968 6590072.855179617, -12442.219922976792 6590073.045181481, -12442.228765272468 6590073.082525447, -12442.234882303737 6590073.1136415545, -12442.243414843093 6590073.180813802, -12442.284611960089 6590073.88322043, -12442.297422457616 6590074.094415602, -12442.34715899637 6590074.806256125, -12442.34769356767 6590074.8150107395, -12442.359167786675 6590075.034560868, -12442.408758497517 6590075.744314379, -12442.40947836995 6590075.756895844, -12442.419561404333 6590075.9830656005, -12442.471429638921 6590076.669608715, -12442.472498794605 6590076.688525664, -12442.481293562116 6590076.922879907, -12442.533029119257 6590077.607666976, -12442.534209495785 6590077.62982872, -12442.541413419589 6590077.86201423, -12442.543725887212 6590077.881631106, -12442.5471617892 6590077.938643237, -12442.544073344643 6590077.995675244, -12442.476153272813 6590078.603690384, -12442.47517665903 6590078.6118278885, -12442.437411952775 6590078.9060914535, -12442.371229785022 6590079.500019307, -12442.37023802759 6590079.508292543, -12442.326128684746 6590079.851993651, -12442.265080190771 6590080.405839057, -12442.264022884663 6590080.414703732, -12442.214239305473 6590080.8026185995, -12442.204027288706 6590080.88219088, -12442.195091774847 6590080.951816622, -12442.18332098253 6590081.043534921, -12442.153171217005 6590081.355326208, -12442.152963730277 6590081.357425673, -12442.115679686252 6590081.726723968, -12442.115382830145 6590081.729582123, -12442.065333762495 6590082.198345766, -12442.015284691975 6590082.66710941, -12442.014043038365 6590082.677673184, -12441.959777361826 6590083.100512572, -12441.905313319465 6590083.602690694, -12441.865629765442 6590083.990382381, -12441.86525471232 6590083.993922064, -12441.806501651208 6590084.530198071, -12441.769431149576 6590084.897381089, -12441.768949946081 6590084.9019383425, -12441.707412337693 6590085.460220797, -12441.706355031432 6590085.46908547, -12441.701870409932 6590085.504029736, -12441.699749339852 6590085.57984353, -12441.695877524111 6590085.629506534, -12441.660784834226 6590085.9029495, -12441.609018643645 6590086.383840913, -12441.5783777984 6590086.70071045, -12441.577623559457 6590086.707958606, -12441.511411341238 6590087.302155638, -12441.48215732548 6590087.607896913, -12441.481325040573 6590087.615913363, -12441.4121283968 6590088.233875023, -12441.41116647271 6590088.241881175, -12441.383083408698 6590088.460704937, -12441.374147887816 6590088.530330682, -12441.373093009002 6590088.538070918, -12441.28145028378 6590089.173372637, -12441.279692630837 6590089.184645621, -12441.237519721815 6590089.436235829, -12441.144152668156 6590090.085666557, -12441.142094244455 6590090.098751364, -12441.102027142944 6590090.33317556, -12440.996960140918 6590090.996703831, -12440.96853633813 6590091.218182578, -12440.966484093417 6590091.232524684, -12440.85964232539 6590091.909126384, -12440.832481467329 6590092.120764228, -12440.8304614467 6590092.134901992, -12440.722324112648 6590092.821551953, -12440.696426587165 6590093.023345871, -12440.694468095526 6590093.037091928, -12440.582666773966 6590093.750689412, -12440.580828166369 6590093.761629645, -12440.54694482797 6590093.950407109, -12440.446362147837 6590094.656352682, -12440.443496765622 6590094.674157817, -12440.409000148456 6590094.866352091, -12440.29913211379 6590095.567609828, -12440.27448584387 6590095.759653894, -12440.273052577988 6590095.769969777, -12440.201833861018 6590096.246126927, -12440.196268519563 6590096.276776161, -12440.14573935827 6590096.512939979, -12440.143943704508 6590096.521006143, -12440.09938604492 6590096.71364207, -12439.951689546297 6590097.400036606, -12439.917730119472 6590097.589237943, -12439.914528611342 6590097.605516774, -12439.762941115237 6590098.314008228, -12439.761145460714 6590098.322074393, -12439.717431507472 6590098.51106271, -12439.577274823374 6590099.213392857, -12439.574081340239 6590099.228220031, -12439.529589341932 6590099.420572055, -12439.380602141502 6590100.116910142, -12439.346591218226 6590100.306398352, -12439.343267452734 6590100.323246964, -12439.192956439341 6590101.021791871, -12439.192278346203 6590101.024895226, -12439.14458125985 6590101.2399079185, -12438.998043650945 6590101.91696959, -12438.960527784084 6590102.134101749, -12438.954372758966 6590102.164186779, -12438.910226104887 6590102.350617917, -12437.937136349512 6590102.120191513, -12437.977743344763 6590101.94870834, -12438.014434116185 6590101.7363516195, -12438.018448698202 6590101.715712797, -12438.16748321433 6590101.027114428, -12438.168034889171 6590101.024596873, -12438.215667079096 6590100.809876725, -12438.363837397475 6590100.121280335, -12438.397796829206 6590099.932079005, -12438.40099833677 6590099.91580018, -12438.552585847194 6590099.207308734, -12438.554381500855 6590099.199242572, -12438.598095456422 6590099.010254256, -12438.73825213914 6590098.307924115, -12438.74144562089 6590098.293096948, -12438.785937614148 6590098.100744936, -12438.934924802215 6590097.4044068325, -12438.968935718833 6590097.214918626, -12438.972259482629 6590097.198070019, -12439.1225704675 6590096.499525099, -12439.12424386384 6590096.492028721, -12439.168735855643 6590096.299676695, -12439.215140246482 6590096.082791279, -12439.28328353806 6590095.62719594, -12439.308150702649 6590095.43343066, -12439.310109193948 6590095.4196846085, -12439.421910530351 6590094.706087133, -12439.423749136977 6590094.695146906, -12439.4576324767 6590094.506369443, -12439.558215156807 6590093.800423871, -12439.561080538284 6590093.78261874, -12439.595577152506 6590093.5904244725, -12439.705445172398 6590092.889166729, -12439.731367938643 6590092.687176134, -12439.73338795857 6590092.673038376, -12439.841525292273 6590091.986388417, -12439.868699318857 6590091.774647964, -12439.870751562918 6590091.760305863, -12439.977593330248 6590091.083704167, -12440.006030689283 6590090.862119789, -12440.008116192725 6590090.847567354, -12440.114811478723 6590090.173756003, -12440.11580553962 6590090.167717676, -12440.155272271253 6590089.936806117, -12440.248525464125 6590089.288167369, -12440.250316853257 6590089.276660119, -12440.292509328166 6590089.0249531865, -12440.382779866914 6590088.399163979, -12440.391218181108 6590088.333412478, -12440.418788001582 6590088.1185879195, -12440.487087516782 6590087.508638079, -12440.516328732783 6590087.203030579, -12440.517131182885 6590087.195281218, -12440.583371284203 6590086.600833959, -12440.613922127264 6590086.2848951705, -12440.614472735491 6590086.279506003, -12440.667074831545 6590085.7908492945, -12440.668270219157 6590085.78071708, -12440.70083789796 6590085.526949053, -12440.702958967988 6590085.45113526, -12440.706830783254 6590085.40147226, -12440.71392157454 6590085.346220665, -12440.77471905759 6590084.794652787, -12440.811772955069 6590084.427634234, -12440.812218047417 6590084.423405586, -12440.871008817194 6590083.886785388, -12440.91066465055 6590083.49936452, -12440.910980702405 6590083.4963661, -12440.966135786815 6590082.987816321, -12440.967288203825 6590082.978081792, -12441.021500791734 6590082.555656072, -12441.070985218996 6590082.092180923, -12441.120881751762 6590081.624845934, -12441.157915516793 6590081.258026651, -12441.188715519564 6590080.939510989, -12441.190461514894 6590080.923989603, -12441.203226535725 6590080.824524253, -12441.212162049676 6590080.75489851, -12441.222374066423 6590080.675326229, -12441.271589420847 6590080.291838984, -12441.332637914356 6590079.737993582, -12441.333695219775 6590079.729128912, -12441.377842437923 6590079.385132679, -12441.444024605858 6590078.791204823, -12441.44501636262 6590078.782931592, -12441.482789761958 6590078.48860029, -12441.544299845778 6590077.937966859))</t>
  </si>
  <si>
    <t>2023-01-04</t>
  </si>
  <si>
    <t>['FV79 S3D1 m6915-6916']</t>
  </si>
  <si>
    <t>LINESTRING Z (26215.180011008924 6728711.596405355 22.987696, 26215.54059943941 6728705.093911109 20.869127)</t>
  </si>
  <si>
    <t>POLYGON ((26216.039832425206 6728705.121595507, 26215.041366453614 6728705.066226711, 26214.68077802313 6728711.568720957, 26215.67924399472 6728711.624089753, 26216.039832425206 6728705.121595507))</t>
  </si>
  <si>
    <t>2023-03-10</t>
  </si>
  <si>
    <t>['EV39 S79D50 m9530-9537']</t>
  </si>
  <si>
    <t>LINESTRING Z (-28463.20051381539 6720407.621619899 52.634, -28461.860037286766 6720409.844570902 54.655, -28465.455742827035 6720411.4818805475 54.501, -28467.785218488658 6720412.494714984 54.434000000000005, -28469.43994442199 6720409.996365933 52.634, -28463.20051381539 6720407.621619899 52.634)</t>
  </si>
  <si>
    <t>POLYGON Z ((-28463.20051381539 6720407.621619899 52.634, -28461.860037286766 6720409.844570902 54.655, -28465.455742827035 6720411.4818805475 54.501, -28467.785218488658 6720412.494714984 54.434000000000005, -28469.43994442199 6720409.996365933 52.634, -28463.20051381539 6720407.621619899 52.634))</t>
  </si>
  <si>
    <t>['EV6 S137D1 m6908-7419']</t>
  </si>
  <si>
    <t>LINESTRING Z (513302.04000000004 7426819.58 28.79, 513304.45 7426813.51 28.86, 513306.97000000003 7426806.49 28.78, 513310.34 7426800.99 28.96, 513312.99 7426794.100000001 28.79, 513316 7426786.15 28.98, 513320.89 7426775.45 29, 513325.35000000003 7426763.26 29.12, 513327.41000000003 7426754.46 29.01, 513332.3 7426737.51 29.03, 513335.32 7426727.25 29.05, 513337.7 7426719.75 29.16, 513338.11 7426715.08 29.12, 513340.78 7426708.640000001 29.32, 513342.33 7426699.88 29.35, 513343.02 7426689.01 29.13, 513344.92 7426679.84 29.2, 513345.27 7426669.8100000005 29.19, 513346.81 7426661.34 29.27, 513347.94 7426653.640000001 29.310000000000002, 513348.56 7426645.5 29.330000000000002, 513348.95 7426637.61 29.46, 513348.96 7426628.44 29.43, 513349.12 7426622.05 29.310000000000002, 513348.10000000003 7426614.68 29.43, 513347.27 7426607.94 29.55, 513346.83 7426601 29.47, 513347.28 7426593.16 29.48, 513346.49 7426581.41 29.51, 513346.06 7426575.09 29.54, 513346.45 7426570.57 29.580000000000002, 513345.22000000003 7426560.37 29.62, 513343.74 7426554.42 29.72, 513341.34 7426544.51 29.62, 513338.82 7426533.28 29.72, 513335.62 7426521.29 29.78, 513332.71 7426513.32 29.84, 513330.27 7426505.95 29.810000000000002, 513328.29000000004 7426498.22 29.76, 513325.26 7426491.48 29.72, 513322.56 7426485.2700000005 29.72, 513320.97000000003 7426480.88 29.810000000000002, 513320.29000000004 7426476.37 30.35, 513318.22000000003 7426469.26 30.66, 513305.26 7426466.59 29.72, 513306.37 7426464.36 30.41, 513305.32 7426460.78 30.490000000000002, 513302.87 7426451.93 30.72, 513299.57 7426442.53 30.98, 513297.33 7426434.18 30.96, 513294.85000000003 7426421.78 30.900000000000002, 513292.58 7426411.58 30.990000000000002, 513290.03 7426401.5200000005 31.01, 513284.25 7426397.83 31.11, 513278.83 7426397.12 31.18, 513278.38 7426391.94 31.23, 513280.25 7426386.42 31.150000000000002, 513280.67 7426380.79 31.080000000000002, 513283.56 7426377.44 31.12, 513284.66000000003 7426372.46 31.04, 513279.57 7426366.68 31.07, 513271.12 7426362.21 31.1, 513270.47000000003 7426358.34 30.77, 513270.01 7426355.4 30.27, 513273.15 7426352.28 30.59, 513274.98000000004 7426351.37 30.7, 513279.33 7426350.05 31.21, 513283.79000000004 7426348.68 31.91, 513286.87 7426348.15 32.33, 513289.81 7426346.8 32.75, 513289.29000000004 7426343.66 32.93, 513287.54000000004 7426341.8 32.68, 513284.86 7426341.65 32.55, 513284.86 7426341.640000001 32.59, 513280.13 7426343.44 32.52, 513278.8 7426342.72 32.57, 513276.83 7426339.75 32.59, 513275.01 7426334.44 32.72, 513295.91000000003 7426330.100000001 35.660000000000004, 513296.89 7426336.12 35.72, 513298.09 7426342.26 35.62, 513299.13 7426346.88 35.57, 513300.49 7426351.94 35.54, 513301.86 7426358.53 35.49, 513303.54000000004 7426366.99 35.31, 513305.10000000003 7426373.390000001 35.28, 513306.67 7426380.5200000005 35.24, 513308.38 7426387.7700000005 35.160000000000004, 513310.89 7426396.84 35.02, 513314.21 7426409.22 34.78, 513317.5 7426420.36 34.68, 513319.96 7426429.28 34.53, 513322.9 7426439.3100000005 34.42, 513326.47000000003 7426450.7 34.230000000000004, 513329.29000000004 7426460.05 34.1, 513332.72000000003 7426471.11 33.97, 513336.48000000004 7426484.5200000005 33.79, 513339.66000000003 7426495.87 33.64, 513342.43 7426506.53 33.58, 513344.9 7426515.38 33.47, 513346.87 7426523.96 33.4, 513348.84 7426533.24 33.3, 513350.76 7426544.42 33.22, 513353.64 7426561.390000001 33.19, 513355.21 7426576.51 33.05, 513356.46 7426587.86 33.12, 513356.95 7426600.17 33.08, 513357.36 7426611.23 33.03, 513357.52 7426620.99 33.02, 513357.36 7426632.51 33.01, 513356.85000000003 7426645.61 32.93, 513355.97000000003 7426659.890000001 32.97, 513355.07 7426670.7700000005 32.89, 513354.07 7426679.17 32.87, 513352.38 7426690.34 32.82, 513350.82 7426698.99 32.8, 513348.60000000003 7426708.97 32.7, 513345.67 7426722.94 32.72, 513342.59 7426735.91 32.61, 513338.55 7426749.850000001 32.6, 513335.58 7426759.75 32.62, 513331.59 7426771.63 32.54, 513327.33 7426783.640000001 32.65, 513323.7 7426793.25 32.660000000000004, 513317.05 7426808.78 32.660000000000004, 513312.08 7426820.44 32.69, 513307.71 7426828.79 32.67, 513304.65 7426833.51 32.42, 513302.04000000004 7426819.58 28.79)</t>
  </si>
  <si>
    <t>POLYGON Z ((513302.04000000004 7426819.58 28.79, 513304.45 7426813.51 28.86, 513306.97000000003 7426806.49 28.78, 513310.34 7426800.99 28.96, 513312.99 7426794.100000001 28.79, 513316 7426786.15 28.98, 513320.89 7426775.45 29, 513325.35000000003 7426763.26 29.12, 513327.41000000003 7426754.46 29.01, 513332.3 7426737.51 29.03, 513335.32 7426727.25 29.05, 513337.7 7426719.75 29.16, 513338.11 7426715.08 29.12, 513340.78 7426708.640000001 29.32, 513342.33 7426699.88 29.35, 513343.02 7426689.01 29.13, 513344.92 7426679.84 29.2, 513345.27 7426669.8100000005 29.19, 513346.81 7426661.34 29.27, 513347.94 7426653.640000001 29.310000000000002, 513348.56 7426645.5 29.330000000000002, 513348.95 7426637.61 29.46, 513348.96 7426628.44 29.43, 513349.12 7426622.05 29.310000000000002, 513348.10000000003 7426614.68 29.43, 513347.27 7426607.94 29.55, 513346.83 7426601 29.47, 513347.28 7426593.16 29.48, 513346.49 7426581.41 29.51, 513346.06 7426575.09 29.54, 513346.45 7426570.57 29.580000000000002, 513345.22000000003 7426560.37 29.62, 513343.74 7426554.42 29.72, 513341.34 7426544.51 29.62, 513338.82 7426533.28 29.72, 513335.62 7426521.29 29.78, 513332.71 7426513.32 29.84, 513330.27 7426505.95 29.810000000000002, 513328.29000000004 7426498.22 29.76, 513325.26 7426491.48 29.72, 513322.56 7426485.2700000005 29.72, 513320.97000000003 7426480.88 29.810000000000002, 513320.29000000004 7426476.37 30.35, 513318.22000000003 7426469.26 30.66, 513305.26 7426466.59 29.72, 513306.37 7426464.36 30.41, 513305.32 7426460.78 30.490000000000002, 513302.87 7426451.93 30.72, 513299.57 7426442.53 30.98, 513297.33 7426434.18 30.96, 513294.85000000003 7426421.78 30.900000000000002, 513292.58 7426411.58 30.990000000000002, 513290.03 7426401.5200000005 31.01, 513284.25 7426397.83 31.11, 513278.83 7426397.12 31.18, 513278.38 7426391.94 31.23, 513280.25 7426386.42 31.150000000000002, 513280.67 7426380.79 31.080000000000002, 513283.56 7426377.44 31.12, 513284.66000000003 7426372.46 31.04, 513279.57 7426366.68 31.07, 513271.12 7426362.21 31.1, 513270.47000000003 7426358.34 30.77, 513270.01 7426355.4 30.27, 513273.15 7426352.28 30.59, 513274.98000000004 7426351.37 30.7, 513279.33 7426350.05 31.21, 513283.79000000004 7426348.68 31.91, 513286.87 7426348.15 32.33, 513289.81 7426346.8 32.75, 513289.29000000004 7426343.66 32.93, 513287.54000000004 7426341.8 32.68, 513284.86 7426341.65 32.55, 513284.86 7426341.640000001 32.59, 513280.13 7426343.44 32.52, 513278.8 7426342.72 32.57, 513276.83 7426339.75 32.59, 513275.01 7426334.44 32.72, 513295.91000000003 7426330.100000001 35.660000000000004, 513296.89 7426336.12 35.72, 513298.09 7426342.26 35.62, 513299.13 7426346.88 35.57, 513300.49 7426351.94 35.54, 513301.86 7426358.53 35.49, 513303.54000000004 7426366.99 35.31, 513305.10000000003 7426373.390000001 35.28, 513306.67 7426380.5200000005 35.24, 513308.38 7426387.7700000005 35.160000000000004, 513310.89 7426396.84 35.02, 513314.21 7426409.22 34.78, 513317.5 7426420.36 34.68, 513319.96 7426429.28 34.53, 513322.9 7426439.3100000005 34.42, 513326.47000000003 7426450.7 34.230000000000004, 513329.29000000004 7426460.05 34.1, 513332.72000000003 7426471.11 33.97, 513336.48000000004 7426484.5200000005 33.79, 513339.66000000003 7426495.87 33.64, 513342.43 7426506.53 33.58, 513344.9 7426515.38 33.47, 513346.87 7426523.96 33.4, 513348.84 7426533.24 33.3, 513350.76 7426544.42 33.22, 513353.64 7426561.390000001 33.19, 513355.21 7426576.51 33.05, 513356.46 7426587.86 33.12, 513356.95 7426600.17 33.08, 513357.36 7426611.23 33.03, 513357.52 7426620.99 33.02, 513357.36 7426632.51 33.01, 513356.85000000003 7426645.61 32.93, 513355.97000000003 7426659.890000001 32.97, 513355.07 7426670.7700000005 32.89, 513354.07 7426679.17 32.87, 513352.38 7426690.34 32.82, 513350.82 7426698.99 32.8, 513348.60000000003 7426708.97 32.7, 513345.67 7426722.94 32.72, 513342.59 7426735.91 32.61, 513338.55 7426749.850000001 32.6, 513335.58 7426759.75 32.62, 513331.59 7426771.63 32.54, 513327.33 7426783.640000001 32.65, 513323.7 7426793.25 32.660000000000004, 513317.05 7426808.78 32.660000000000004, 513312.08 7426820.44 32.69, 513307.71 7426828.79 32.67, 513304.65 7426833.51 32.42, 513302.04000000004 7426819.58 28.79))</t>
  </si>
  <si>
    <t>['RV22 S5D1 m7953-7957']</t>
  </si>
  <si>
    <t>LINESTRING Z (291182.39485332684 6589803.032646059 137.4, 291184.06224286836 6589803.125139073 137.3, 291185.6239501725 6589801.400432657 136.4, 291183.0271789824 6589800.014832822 137.21, 291182.38745570264 6589800.228784529 137.4, 291182.39485332684 6589803.032646059 137.4)</t>
  </si>
  <si>
    <t>POLYGON Z ((291182.39485332684 6589803.032646059 137.4, 291184.06224286836 6589803.125139073 137.3, 291185.6239501725 6589801.400432657 136.4, 291183.0271789824 6589800.014832822 137.21, 291182.38745570264 6589800.228784529 137.4, 291182.39485332684 6589803.032646059 137.4))</t>
  </si>
  <si>
    <t>['RV22 S5D1 m7533-7536']</t>
  </si>
  <si>
    <t>LINESTRING Z (290963.8471969153 6589448.302611506 144.9, 290969.452267408 6589445.764137547 146.65, 290969.7050962363 6589444.669187039 146.97, 290968.43982540665 6589443.844443364 146.55, 290963.0208348834 6589446.112726373 144.9, 290963.8471969153 6589448.302611506 144.9)</t>
  </si>
  <si>
    <t>POLYGON Z ((290963.8471969153 6589448.302611506 144.9, 290969.452267408 6589445.764137547 146.65, 290969.7050962363 6589444.669187039 146.97, 290968.43982540665 6589443.844443364 146.55, 290963.0208348834 6589446.112726373 144.9, 290963.8471969153 6589448.302611506 144.9))</t>
  </si>
  <si>
    <t>2025-11-22T09:22:09Z</t>
  </si>
  <si>
    <t>['FV8650 S2D1 m9370-9389']</t>
  </si>
  <si>
    <t>LINESTRING Z (744186.0305765194 7735173.016044866 59.241, 744186.6354178379 7735174.031323484 59.321, 744187.7705165658 7735178.258098491 59.269, 744189.1482721958 7735181.051057251 59.615, 744190.4301722267 7735180.719151334 58.385, 744189.553666378 7735178.715120779 58.385, 744188.1827454183 7735175.1422229055 58.466, 744187.2473341525 7735170.854279751 58.51, 744182.8785366564 7735157.917139616 58.487, 744181.9577546958 7735156.384226846 58.561, 744179.1136383326 7735162.263474392 58.988, 744179.9905295671 7735163.943608484 59.07, 744186.0305765194 7735173.016044866 59.241)</t>
  </si>
  <si>
    <t>POLYGON Z ((744186.0305765194 7735173.016044866 59.241, 744186.6354178379 7735174.031323484 59.321, 744187.7705165658 7735178.258098491 59.269, 744189.1482721958 7735181.051057251 59.615, 744190.4301722267 7735180.719151334 58.385, 744189.553666378 7735178.715120779 58.385, 744188.1827454183 7735175.1422229055 58.466, 744187.2473341525 7735170.854279751 58.51, 744182.8785366564 7735157.917139616 58.487, 744181.9577546958 7735156.384226846 58.561, 744179.1136383326 7735162.263474392 58.988, 744179.9905295671 7735163.943608484 59.07, 744186.0305765194 7735173.016044866 59.241))</t>
  </si>
  <si>
    <t>['FV8650 S2D1 m9390-9405']</t>
  </si>
  <si>
    <t>LINESTRING Z (744185.869291314 7735151.013330458 58.443, 744192.2205064235 7735159.7437528465 58.487, 744193.7455264569 7735160.856293931 58.657000000000004, 744194.5855483625 7735159.876606387 58.885, 744194.8639259972 7735158.296708223 58.782000000000004, 744193.5242236718 7735157.069151506 58.782000000000004, 744186.5918226717 7735149.061355793 58.794000000000004, 744184.3005359133 7735141.568312325 58.943, 744183.5565725518 7735139.6890985165 58.906, 744182.2452678205 7735140.249248366 58.825, 744182.9273253005 7735143.697273263 58.848, 744185.869291314 7735151.013330458 58.443)</t>
  </si>
  <si>
    <t>POLYGON Z ((744185.869291314 7735151.013330458 58.443, 744192.2205064235 7735159.7437528465 58.487, 744193.7455264569 7735160.856293931 58.657000000000004, 744194.5855483625 7735159.876606387 58.885, 744194.8639259972 7735158.296708223 58.782000000000004, 744193.5242236718 7735157.069151506 58.782000000000004, 744186.5918226717 7735149.061355793 58.794000000000004, 744184.3005359133 7735141.568312325 58.943, 744183.5565725518 7735139.6890985165 58.906, 744182.2452678205 7735140.249248366 58.825, 744182.9273253005 7735143.697273263 58.848, 744185.869291314 7735151.013330458 58.443))</t>
  </si>
  <si>
    <t>2023-08-18</t>
  </si>
  <si>
    <t>['EV39 S119D1 m2452-2486']</t>
  </si>
  <si>
    <t>LINESTRING Z (38903.531238262774 6472261.973459851 68.77, 38902.29235457757 6472262.888545661 67.71000000000001, 38905.25178404775 6472264.372728802 67.84, 38907.63097645744 6472265.447842455 67.86, 38912.01028318645 6472266.823625394 67.8, 38914.889632184815 6472267.772201387 67.83, 38916.55202319089 6472267.848449617 67.79, 38918.70369737095 6472268.06157425 67.88, 38923.40642229095 6472268.271713642 67.89, 38927.19998785149 6472269.279380642 68.09, 38928.70203970891 6472269.5450007105 68.09, 38930.28397127782 6472270.073967833 68.02, 38932.24556016293 6472270.661312975 68.1, 38935.06673102896 6472272.261805676 68.3, 38940.394433045 6472276.526606637 68.3, 38942.30357096152 6472275.022237885 68.3, 38935.208086537954 6472268.837425294 69.59, 38933.677001844684 6472268.222094445 69.62, 38931.23392844014 6472267.56759221 69.54, 38928.06404910516 6472267.357430839 69.41, 38923.74044719362 6472266.479643509 69.31, 38919.171390118485 6472265.931847602 69.34, 38914.97831386578 6472264.958783721 69.46000000000001, 38909.58978112566 6472263.756396471 69.36, 38904.633980503364 6472262.5459432285 68.74, 38903.531238262774 6472261.973459851 68.77)</t>
  </si>
  <si>
    <t>POLYGON Z ((38903.531238262774 6472261.973459851 68.77, 38902.29235457757 6472262.888545661 67.71000000000001, 38905.25178404775 6472264.372728802 67.84, 38907.63097645744 6472265.447842455 67.86, 38912.01028318645 6472266.823625394 67.8, 38914.889632184815 6472267.772201387 67.83, 38916.55202319089 6472267.848449617 67.79, 38918.70369737095 6472268.06157425 67.88, 38923.40642229095 6472268.271713642 67.89, 38927.19998785149 6472269.279380642 68.09, 38928.70203970891 6472269.5450007105 68.09, 38930.28397127782 6472270.073967833 68.02, 38932.24556016293 6472270.661312975 68.1, 38935.06673102896 6472272.261805676 68.3, 38940.394433045 6472276.526606637 68.3, 38942.30357096152 6472275.022237885 68.3, 38935.208086537954 6472268.837425294 69.59, 38933.677001844684 6472268.222094445 69.62, 38931.23392844014 6472267.56759221 69.54, 38928.06404910516 6472267.357430839 69.41, 38923.74044719362 6472266.479643509 69.31, 38919.171390118485 6472265.931847602 69.34, 38914.97831386578 6472264.958783721 69.46000000000001, 38909.58978112566 6472263.756396471 69.36, 38904.633980503364 6472262.5459432285 68.74, 38903.531238262774 6472261.973459851 68.77))</t>
  </si>
  <si>
    <t>['EV39 S119D1 m2379-2452']</t>
  </si>
  <si>
    <t>LINESTRING Z (38801.11491787195 6472206.27646841 67.22, 38799.38126589259 6472208.628478666 66.59, 38802.16130671726 6472211.484059094 66.61, 38806.32833850087 6472214.65846926 66.77, 38810.86234803888 6472220.212119107 66.66, 38814.39522034529 6472223.3969559865 66.64, 38818.33355328097 6472225.608662092 66.73, 38824.6464235484 6472228.583383857 66.76, 38831.13364814059 6472230.862938784 66.75, 38834.59415030363 6472231.958286568 66.7, 38840.48547310964 6472233.598578975 66.72, 38842.81283947948 6472234.931604695 66.86, 38845.82146883116 6472235.593439392 66.9, 38848.939523567446 6472236.061512541 66.89, 38852.245523582096 6472237.75904473 66.84, 38857.1658765552 6472238.923042635 66.89, 38857.59751662053 6472240.437863317 66.85, 38861.696454423014 6472242.823208926 66.92, 38865.280329637 6472243.128246886 66.91, 38870.60493771505 6472246.193340038 66.94, 38872.897187402006 6472247.933674162 66.94, 38876.59968915029 6472250.02048892 66.93, 38879.95700293372 6472252.266929343 67.08, 38883.59161239787 6472253.836942449 67.26, 38888.301758504706 6472255.105128174 67.51, 38890.023463508114 6472256.072265029 67.58, 38902.29235457757 6472262.888545661 67.71000000000001, 38903.531238262774 6472261.973459851 68.77, 38891.96727291535 6472255.05815965 68.71000000000001, 38889.17473305401 6472253.262856973 68.71000000000001, 38886.39404716354 6472251.0325935315 68.63, 38883.09078909835 6472248.548162614 68.39, 38881.22792994173 6472246.769883174 68.55, 38877.71571405983 6472244.581107506 68.34, 38873.18266307493 6472241.830855053 68.41, 38868.887022897776 6472239.850724297 68.3, 38862.31152131554 6472236.421324488 68.33, 38857.51001967769 6472234.336424475 68.3, 38852.02121690358 6472232.23764235 68.48, 38846.83285972156 6472230.841424103 68.57000000000001, 38842.20245794719 6472229.655077284 68.36, 38835.428691512905 6472227.518503972 68.16, 38830.511546185764 6472226.202878278 68.08, 38822.52220144891 6472223.566948563 67.71000000000001, 38817.34300127911 6472221.080575126 67.71000000000001, 38813.143461194646 6472217.345067902 67.62, 38807.60808986169 6472212.12528622 67.53, 38801.11491787195 6472206.27646841 67.22)</t>
  </si>
  <si>
    <t>POLYGON Z ((38801.11491787195 6472206.27646841 67.22, 38799.38126589259 6472208.628478666 66.59, 38802.16130671726 6472211.484059094 66.61, 38806.32833850087 6472214.65846926 66.77, 38810.86234803888 6472220.212119107 66.66, 38814.39522034529 6472223.3969559865 66.64, 38818.33355328097 6472225.608662092 66.73, 38824.6464235484 6472228.583383857 66.76, 38831.13364814059 6472230.862938784 66.75, 38834.59415030363 6472231.958286568 66.7, 38840.48547310964 6472233.598578975 66.72, 38842.81283947948 6472234.931604695 66.86, 38845.82146883116 6472235.593439392 66.9, 38848.939523567446 6472236.061512541 66.89, 38852.245523582096 6472237.75904473 66.84, 38857.1658765552 6472238.923042635 66.89, 38857.59751662053 6472240.437863317 66.85, 38861.696454423014 6472242.823208926 66.92, 38865.280329637 6472243.128246886 66.91, 38870.60493771505 6472246.193340038 66.94, 38872.897187402006 6472247.933674162 66.94, 38876.59968915029 6472250.02048892 66.93, 38879.95700293372 6472252.266929343 67.08, 38883.59161239787 6472253.836942449 67.26, 38888.301758504706 6472255.105128174 67.51, 38890.023463508114 6472256.072265029 67.58, 38902.29235457757 6472262.888545661 67.71000000000001, 38903.531238262774 6472261.973459851 68.77, 38891.96727291535 6472255.05815965 68.71000000000001, 38889.17473305401 6472253.262856973 68.71000000000001, 38886.39404716354 6472251.0325935315 68.63, 38883.09078909835 6472248.548162614 68.39, 38881.22792994173 6472246.769883174 68.55, 38877.71571405983 6472244.581107506 68.34, 38873.18266307493 6472241.830855053 68.41, 38868.887022897776 6472239.850724297 68.3, 38862.31152131554 6472236.421324488 68.33, 38857.51001967769 6472234.336424475 68.3, 38852.02121690358 6472232.23764235 68.48, 38846.83285972156 6472230.841424103 68.57000000000001, 38842.20245794719 6472229.655077284 68.36, 38835.428691512905 6472227.518503972 68.16, 38830.511546185764 6472226.202878278 68.08, 38822.52220144891 6472223.566948563 67.71000000000001, 38817.34300127911 6472221.080575126 67.71000000000001, 38813.143461194646 6472217.345067902 67.62, 38807.60808986169 6472212.12528622 67.53, 38801.11491787195 6472206.27646841 67.22))</t>
  </si>
  <si>
    <t>['EV39 S119D1 m2437-2452']</t>
  </si>
  <si>
    <t>LINESTRING Z (38889.16766566411 6472267.714776209 68.64, 38889.321721131564 6472268.010164457 68.69, 38889.79351331189 6472268.441448726 68.86, 38890.45349653816 6472268.932358802 68.89, 38894.85372639506 6472271.667212754 69.09, 38897.06360068999 6472272.761265736 69.11, 38899.47975862591 6472274.437316084 69.28, 38901.95043974469 6472276.510648636 69.31, 38903.95233675698 6472277.72881033 69.14, 38905.05305143341 6472278.553633485 69.14, 38906.65570533008 6472280.169411552 69.2, 38907.16439589829 6472281.110879187 69.22, 38908.72197395837 6472283.1350802565 69.18, 38909.36767456838 6472283.768771093 69.10000000000001, 38911.57999962021 6472286.687848649 69.55, 38913.02935562644 6472286.0315865325 69.55, 38911.404865734745 6472283.319037861 68.02, 38908.555485508 6472279.482935589 68, 38905.9129905437 6472277.045609809 68.05, 38902.90774984285 6472274.971564282 67.94, 38900.43136471009 6472272.666925629 67.81, 38898.19829526055 6472271.635974387 67.8, 38895.14247493836 6472270.011305374 67.77, 38892.89367458783 6472268.659408716 67.7, 38890.56185267214 6472267.286544915 67.64, 38889.16766566411 6472267.714776209 68.64)</t>
  </si>
  <si>
    <t>POLYGON Z ((38889.16766566411 6472267.714776209 68.64, 38889.321721131564 6472268.010164457 68.69, 38889.79351331189 6472268.441448726 68.86, 38890.45349653816 6472268.932358802 68.89, 38894.85372639506 6472271.667212754 69.09, 38897.06360068999 6472272.761265736 69.11, 38899.47975862591 6472274.437316084 69.28, 38901.95043974469 6472276.510648636 69.31, 38903.95233675698 6472277.72881033 69.14, 38905.05305143341 6472278.553633485 69.14, 38906.65570533008 6472280.169411552 69.2, 38907.16439589829 6472281.110879187 69.22, 38908.72197395837 6472283.1350802565 69.18, 38909.36767456838 6472283.768771093 69.10000000000001, 38911.57999962021 6472286.687848649 69.55, 38913.02935562644 6472286.0315865325 69.55, 38911.404865734745 6472283.319037861 68.02, 38908.555485508 6472279.482935589 68, 38905.9129905437 6472277.045609809 68.05, 38902.90774984285 6472274.971564282 67.94, 38900.43136471009 6472272.666925629 67.81, 38898.19829526055 6472271.635974387 67.8, 38895.14247493836 6472270.011305374 67.77, 38892.89367458783 6472268.659408716 67.7, 38890.56185267214 6472267.286544915 67.64, 38889.16766566411 6472267.714776209 68.64))</t>
  </si>
  <si>
    <t>['EV39 S119D1 m2375-2407']</t>
  </si>
  <si>
    <t>LINESTRING Z (38820.790249267826 6472262.807998739 68.09, 38825.042532811 6472261.51550558 67.42, 38830.44147623249 6472261.819206504 67.33, 38834.330099678366 6472261.152294213 67.38, 38842.46975802496 6472259.001422607 67.51, 38847.151631520945 6472257.9432443045 67.4, 38850.09531008679 6472257.573636567 67.57000000000001, 38852.497142762586 6472256.326776354 68.48, 38851.55591992277 6472255.665633799 68.46000000000001, 38848.74178710795 6472256.111511733 68.34, 38847.059341432236 6472255.855984772 68.29, 38841.66612481902 6472257.316436379 68.13, 38840.87726374477 6472257.656788953 68.21000000000001, 38837.55118627992 6472258.754918793 68.09, 38833.91300904594 6472259.857705499 67.94, 38832.98869767331 6472259.618221604 67.94, 38830.00176983932 6472259.871652719 67.95, 38828.23342771694 6472260.200552288 67.94, 38825.82782945194 6472259.34016627 67.98, 38825.36477102229 6472260.249147852 67.81, 38822.75522760948 6472261.983130897 67.35, 38820.790249267826 6472262.807998739 68.09)</t>
  </si>
  <si>
    <t>POLYGON Z ((38820.790249267826 6472262.807998739 68.09, 38825.042532811 6472261.51550558 67.42, 38830.44147623249 6472261.819206504 67.33, 38834.330099678366 6472261.152294213 67.38, 38842.46975802496 6472259.001422607 67.51, 38847.151631520945 6472257.9432443045 67.4, 38850.09531008679 6472257.573636567 67.57000000000001, 38852.497142762586 6472256.326776354 68.48, 38851.55591992277 6472255.665633799 68.46000000000001, 38848.74178710795 6472256.111511733 68.34, 38847.059341432236 6472255.855984772 68.29, 38841.66612481902 6472257.316436379 68.13, 38840.87726374477 6472257.656788953 68.21000000000001, 38837.55118627992 6472258.754918793 68.09, 38833.91300904594 6472259.857705499 67.94, 38832.98869767331 6472259.618221604 67.94, 38830.00176983932 6472259.871652719 67.95, 38828.23342771694 6472260.200552288 67.94, 38825.82782945194 6472259.34016627 67.98, 38825.36477102229 6472260.249147852 67.81, 38822.75522760948 6472261.983130897 67.35, 38820.790249267826 6472262.807998739 68.09))</t>
  </si>
  <si>
    <t>['EV39 S119D1 m2452-2476']</t>
  </si>
  <si>
    <t>LINESTRING Z (38913.02935562644 6472286.0315865325 69.55, 38919.097145261825 6472283.84018418 69.11, 38921.25405562366 6472283.649341737 69.11, 38926.37003861286 6472282.956070041 69.11, 38931.19640417193 6472282.738913108 69.11, 38933.34335434862 6472282.5491848 69.11, 38934.60549948423 6472281.66175059 69.11, 38932.426374611794 6472281.744148075 69.04, 38924.32952796831 6472280.40098624 69.14, 38922.26829512202 6472281.266874108 68.93, 38918.2988821725 6472281.932739348 68.64, 38918.75868671731 6472282.61747743 68.97, 38916.14718555269 6472284.694552529 69.15, 38913.02935562644 6472286.0315865325 69.55)</t>
  </si>
  <si>
    <t>POLYGON Z ((38913.02935562644 6472286.0315865325 69.55, 38919.097145261825 6472283.84018418 69.11, 38921.25405562366 6472283.649341737 69.11, 38926.37003861286 6472282.956070041 69.11, 38931.19640417193 6472282.738913108 69.11, 38933.34335434862 6472282.5491848 69.11, 38934.60549948423 6472281.66175059 69.11, 38932.426374611794 6472281.744148075 69.04, 38924.32952796831 6472280.40098624 69.14, 38922.26829512202 6472281.266874108 68.93, 38918.2988821725 6472281.932739348 68.64, 38918.75868671731 6472282.61747743 68.97, 38916.14718555269 6472284.694552529 69.15, 38913.02935562644 6472286.0315865325 69.55))</t>
  </si>
  <si>
    <t>['EV39 S119D1 m2379-2407']</t>
  </si>
  <si>
    <t>LINESTRING Z (38824.57278990577 6472262.364727673 67.44, 38824.67339141556 6472263.714886974 68.17, 38832.638718015456 6472263.792028148 68.03, 38837.16562279634 6472262.700761135 67.97, 38843.701288569835 6472261.626829926 68.14, 38848.99510630267 6472260.449778866 68.29, 38851.729537939595 6472258.479967014 67.69, 38852.76169274654 6472257.88045624 68.63, 38851.92944941373 6472257.923125414 67.72, 38849.18189423572 6472258.603585051 67.43, 38847.05158646114 6472258.851958397 67.47, 38841.74473371293 6472260.363257023 67.48, 38836.15552713821 6472261.694363707 67.48, 38830.46632014407 6472262.492091362 67.51, 38824.57278990577 6472262.364727673 67.44)</t>
  </si>
  <si>
    <t>POLYGON Z ((38824.57278990577 6472262.364727673 67.44, 38824.67339141556 6472263.714886974 68.17, 38832.638718015456 6472263.792028148 68.03, 38837.16562279634 6472262.700761135 67.97, 38843.701288569835 6472261.626829926 68.14, 38848.99510630267 6472260.449778866 68.29, 38851.729537939595 6472258.479967014 67.69, 38852.76169274654 6472257.88045624 68.63, 38851.92944941373 6472257.923125414 67.72, 38849.18189423572 6472258.603585051 67.43, 38847.05158646114 6472258.851958397 67.47, 38841.74473371293 6472260.363257023 67.48, 38836.15552713821 6472261.694363707 67.48, 38830.46632014407 6472262.492091362 67.51, 38824.57278990577 6472262.364727673 67.44))</t>
  </si>
  <si>
    <t>['EV39 S119D1 m2368-2438']</t>
  </si>
  <si>
    <t>LINESTRING Z (38794.18042256922 6472214.333169304 66.55, 38792.51593479962 6472214.4185069315 67.06, 38793.538193995075 6472218.418652557 67.45, 38793.60563968215 6472219.833028202 67.2, 38794.96847621747 6472221.91935403 67.29, 38798.18185156846 6472225.583648816 67.42, 38802.54828278796 6472229.008036992 67.51, 38806.7090982222 6472232.757960348 67.59, 38810.048922838 6472235.298811149 67.63, 38816.001877121045 6472239.473513097 67.81, 38818.10070046951 6472241.558189644 67.59, 38822.20284868841 6472243.791909277 68.02, 38826.37765761127 6472245.503189864 68.01, 38830.7339730481 6472247.214336684 67.98, 38833.379188704945 6472247.3319182955 68.11, 38836.69657586422 6472247.959216162 68.02, 38843.02495422418 6472249.44977473 68.19, 38845.71041004936 6472250.107419867 67.98, 38847.746689128515 6472249.9199871 68.19, 38849.554224160616 6472250.211944779 68.25, 38854.58741192182 6472251.302813601 68.04, 38858.04096171539 6472251.975387621 68.17, 38862.803738143295 6472254.074702942 68.28, 38866.671815826674 6472255.568178758 68.42, 38868.941316455195 6472256.474041375 68.48, 38870.16888117092 6472256.719942437 67.93, 38869.88641589822 6472257.891089914 68.71000000000001, 38870.81362323556 6472259.0580265215 68.86, 38872.31487416715 6472258.234607373 68.41, 38889.16766566411 6472267.714776209 68.64, 38890.56185267214 6472267.286544915 67.64, 38879.16889741999 6472259.646198558 67.4, 38876.69219974958 6472258.420638484 67.31, 38874.10344756575 6472256.824400235 67.25, 38871.949923326494 6472255.603029083 67.2, 38869.54058311792 6472254.168243819 67.16, 38866.88585452712 6472253.154203435 67.16, 38865.23943891941 6472252.229067292 67.11, 38862.58589111676 6472251.315740025 67.06, 38858.53086993005 6472249.954104629 67.11, 38852.305367204885 6472248.391531964 66.86, 38850.05257744924 6472247.635067715 67, 38849.40065983479 6472247.5768899545 67.2, 38844.61555606563 6472246.720468919 67.16, 38840.039610298525 6472245.840652111 67.17, 38834.65401485172 6472244.123622558 66.96000000000001, 38830.30066264304 6472243.4306821935 67.03, 38824.9646658593 6472241.435821898 66.92, 38820.72780247737 6472239.620552398 66.97, 38817.624007927545 6472237.476851124 67.01, 38814.01671376376 6472235.42980743 66.85, 38809.78651307343 6472232.141449825 66.88, 38806.12679022335 6472229.535536148 66.8, 38803.36744895211 6472226.233921335 66.81, 38801.9719915092 6472224.937838507 66.78, 38799.459374584316 6472223.030545558 66.78, 38796.82657076686 6472220.22908775 66.79, 38795.65952371305 6472217.999847247 66.74, 38794.18042256922 6472214.333169304 66.55)</t>
  </si>
  <si>
    <t>POLYGON Z ((38794.18042256922 6472214.333169304 66.55, 38792.51593479962 6472214.4185069315 67.06, 38793.538193995075 6472218.418652557 67.45, 38793.60563968215 6472219.833028202 67.2, 38794.96847621747 6472221.91935403 67.29, 38798.18185156846 6472225.583648816 67.42, 38802.54828278796 6472229.008036992 67.51, 38806.7090982222 6472232.757960348 67.59, 38810.048922838 6472235.298811149 67.63, 38816.001877121045 6472239.473513097 67.81, 38818.10070046951 6472241.558189644 67.59, 38822.20284868841 6472243.791909277 68.02, 38826.37765761127 6472245.503189864 68.01, 38830.7339730481 6472247.214336684 67.98, 38833.379188704945 6472247.3319182955 68.11, 38836.69657586422 6472247.959216162 68.02, 38843.02495422418 6472249.44977473 68.19, 38845.71041004936 6472250.107419867 67.98, 38847.746689128515 6472249.9199871 68.19, 38849.554224160616 6472250.211944779 68.25, 38854.58741192182 6472251.302813601 68.04, 38858.04096171539 6472251.975387621 68.17, 38862.803738143295 6472254.074702942 68.28, 38866.671815826674 6472255.568178758 68.42, 38868.941316455195 6472256.474041375 68.48, 38870.16888117092 6472256.719942437 67.93, 38869.88641589822 6472257.891089914 68.71000000000001, 38870.81362323556 6472259.0580265215 68.86, 38872.31487416715 6472258.234607373 68.41, 38889.16766566411 6472267.714776209 68.64, 38890.56185267214 6472267.286544915 67.64, 38879.16889741999 6472259.646198558 67.4, 38876.69219974958 6472258.420638484 67.31, 38874.10344756575 6472256.824400235 67.25, 38871.949923326494 6472255.603029083 67.2, 38869.54058311792 6472254.168243819 67.16, 38866.88585452712 6472253.154203435 67.16, 38865.23943891941 6472252.229067292 67.11, 38862.58589111676 6472251.315740025 67.06, 38858.53086993005 6472249.954104629 67.11, 38852.305367204885 6472248.391531964 66.86, 38850.05257744924 6472247.635067715 67, 38849.40065983479 6472247.5768899545 67.2, 38844.61555606563 6472246.720468919 67.16, 38840.039610298525 6472245.840652111 67.17, 38834.65401485172 6472244.123622558 66.96000000000001, 38830.30066264304 6472243.4306821935 67.03, 38824.9646658593 6472241.435821898 66.92, 38820.72780247737 6472239.620552398 66.97, 38817.624007927545 6472237.476851124 67.01, 38814.01671376376 6472235.42980743 66.85, 38809.78651307343 6472232.141449825 66.88, 38806.12679022335 6472229.535536148 66.8, 38803.36744895211 6472226.233921335 66.81, 38801.9719915092 6472224.937838507 66.78, 38799.459374584316 6472223.030545558 66.78, 38796.82657076686 6472220.22908775 66.79, 38795.65952371305 6472217.999847247 66.74, 38794.18042256922 6472214.333169304 66.55))</t>
  </si>
  <si>
    <t>['FV34 S3D1 m5073-5079']</t>
  </si>
  <si>
    <t>LINESTRING (248682.40455322491 6716003.344934906, 248681.83358905592 6716001.77991962, 248684.64260599078 6715998.872604274, 248685.77029251406 6716000.472609851)</t>
  </si>
  <si>
    <t>POLYGON ((248682.40455322491 6716003.344934906, 248681.83358905592 6716001.77991962, 248684.64260599078 6715998.872604274, 248685.77029251406 6716000.472609851, 248682.40455322491 6716003.344934906))</t>
  </si>
  <si>
    <t>['FV34 S3D1 m5070-5075']</t>
  </si>
  <si>
    <t>LINESTRING (248674.09290502337 6715988.535528476, 248675.51879028944 6715990.437562265, 248678.28895743657 6715987.237803404, 248677.66474753065 6715985.704160879)</t>
  </si>
  <si>
    <t>POLYGON ((248674.09290502337 6715988.535528476, 248675.51879028944 6715990.437562265, 248678.28895743657 6715987.237803404, 248677.66474753065 6715985.704160879, 248674.09290502337 6715988.535528476))</t>
  </si>
  <si>
    <t>2025-02-10</t>
  </si>
  <si>
    <t>['RV13 S48D1 m1376-1393']</t>
  </si>
  <si>
    <t>LINESTRING Z (71039.36156054173 6808997.714959116 10.455, 71048.86825136776 6809012.045586169 10.482)</t>
  </si>
  <si>
    <t>POLYGON ((71048.45159579396 6809012.32198829, 71049.28490694157 6809011.769184047, 71039.77821611553 6808997.438556994, 71038.94490496792 6808997.991361237, 71048.45159579396 6809012.32198829))</t>
  </si>
  <si>
    <t>2024-02-07</t>
  </si>
  <si>
    <t>[563]</t>
  </si>
  <si>
    <t>['FV563 S1D1 m6484-6486']</t>
  </si>
  <si>
    <t>LINESTRING (-36337.28932126926 6741652.551902575, -36334.136269510724 6741653.390329112)</t>
  </si>
  <si>
    <t>POLYGON ((-36334.26475924178 6741653.873537544, -36334.00777977967 6741652.90712068, -36337.160831538204 6741652.068694144, -36337.41781100031 6741653.035111007, -36334.26475924178 6741653.873537544))</t>
  </si>
  <si>
    <t>['FV563 S1D1 m6965-6982']</t>
  </si>
  <si>
    <t>LINESTRING Z (-36238.461206365144 6742080.084737807 1.6600000000000001, -36227.821851724526 6742088.337988631 2.85, -36219.81695215567 6742089.220036101 1.03)</t>
  </si>
  <si>
    <t>POLYGON ((-36228.128317339586 6742088.73305676, -36228.09086541876 6742088.759452309, -36228.05115445945 6742088.782308623, -36228.00951793374 6742088.801433766, -36227.96630548375 6742088.816667136, -36227.92187998541 6742088.82788081, -36227.876614501205 6742088.834980621, -36219.87171493235 6742089.717028091, -36219.76218937899 6742088.72304411, -36227.62685815824 6742087.856448454, -36238.154740750084 6742079.689669677, -36238.767671980204 6742080.479805936, -36228.128317339586 6742088.73305676))</t>
  </si>
  <si>
    <t>['FV563 S1D1 m8061-8075']</t>
  </si>
  <si>
    <t>LINESTRING Z (-36065.87286421785 6742988.42943532 1.75, -36074.456050036824 6742998.194462616 1.75)</t>
  </si>
  <si>
    <t>POLYGON ((-36074.831598192744 6742997.864366293, -36074.080501880904 6742998.524558939, -36065.49731606193 6742988.759531643, -36066.24841237377 6742988.099338997, -36074.831598192744 6742997.864366293))</t>
  </si>
  <si>
    <t>['FV563 S1D1 m8112-8145']</t>
  </si>
  <si>
    <t>LINESTRING Z (-36128.6980758399 6742994.304180138 4.33, -36127.57528812415 6743008.139896327 4.46, -36140.679031667765 6743028.0717724245 3.91)</t>
  </si>
  <si>
    <t>POLYGON ((-36128.08756016083 6743008.008926913, -36141.09683001118 6743027.797100722, -36140.26123332435 6743028.346444127, -36127.15748978074 6743008.414568029, -36127.133400882085 6743008.373852872, -36127.11326775634 6743008.3310433375, -36127.09727063514 6743008.286522655, -36127.08555272467 6743008.2406893745, -36127.078218923605 6743008.193953795, -36127.07533488412 6743008.146734293, -36127.07692642411 6743008.099453578, -36128.19971413986 6742994.263737389, -36129.19643753994 6742994.344622887, -36128.08756016083 6743008.008926913))</t>
  </si>
  <si>
    <t>['FV563 S1D1 m8155-8178']</t>
  </si>
  <si>
    <t>LINESTRING Z (-36145.2751384431 6743037.580571811 3.61, -36141.28046814294 6743068.352649496 1.27)</t>
  </si>
  <si>
    <t>POLYGON ((-36141.77630768449 6743068.417016794, -36140.78462860139 6743068.288282198, -36144.77929890155 6743037.516204513, -36145.770977984655 6743037.644939109, -36141.77630768449 6743068.417016794))</t>
  </si>
  <si>
    <t>['FV563 S1D1 m6938-6940']</t>
  </si>
  <si>
    <t>LINESTRING Z (-36269.65275180596 6742075.351302978 6.74, -36263.15840832994 6742070.036577882 1.9100000000000001)</t>
  </si>
  <si>
    <t>POLYGON ((-36262.84174763137 6742070.423522325, -36263.47506902851 6742069.649633439, -36269.96941250453 6742074.964358535, -36269.33609110739 6742075.738247421, -36262.84174763137 6742070.423522325))</t>
  </si>
  <si>
    <t>['FV563 S1D1 m6845-6924']</t>
  </si>
  <si>
    <t>LINESTRING Z (-36289.76336926315 6741988.13115568 2.05, -36282.57101754518 6742029.588384311 1.35, -36276.60974743217 6742049.085616671 1.35, -36270.52329560544 6742057.677458244 1.21)</t>
  </si>
  <si>
    <t>POLYGON ((-36283.063658687795 6742029.673851876, -36283.04916739994 6742029.734578416, -36277.08789728693 6742049.231810776, -36277.06964026578 6742049.281827224, -36277.04616812605 6742049.329618675, -36277.017747038604 6742049.374643177, -36270.93129521187 6742057.966484751, -36270.11529599901 6742057.388431738, -36276.155161610506 6742048.862352843, -36282.08372271233 6742029.472100235, -36289.27072812054 6741988.045688115, -36290.25601040576 6741988.216623245, -36283.063658687795 6742029.673851876))</t>
  </si>
  <si>
    <t>['FV563 S1D1 m8356-8358']</t>
  </si>
  <si>
    <t>LINESTRING Z (-36219.0268415584 6743225.283001557 9.26, -36214.15321288223 6743224.988876793 8.85)</t>
  </si>
  <si>
    <t>POLYGON ((-36214.123092553134 6743225.4879687335, -36214.183333211324 6743224.489784852, -36219.056961887494 6743224.783909616, -36218.996721229305 6743225.782093498, -36214.123092553134 6743225.4879687335))</t>
  </si>
  <si>
    <t>['FV563 S1D1 m8046-8054']</t>
  </si>
  <si>
    <t>LINESTRING Z (-36054.42064408341 6742980.963322469 1.53, -36061.85810307891 6742983.212167046 2.19)</t>
  </si>
  <si>
    <t>POLYGON ((-36062.00281613456 6742982.733566867, -36061.71339002325 6742983.690767225, -36054.275931027754 6742981.441922648, -36054.565357139065 6742980.48472229, -36062.00281613456 6742982.733566867))</t>
  </si>
  <si>
    <t>2024-02-23</t>
  </si>
  <si>
    <t>[818]</t>
  </si>
  <si>
    <t>['FV818 S1D1 m3719-3740']</t>
  </si>
  <si>
    <t>LINESTRING Z (439530.8367267811 7555446.316267339 5.48, 439531.4154926483 7555445.03228145 4.83, 439532.19943230227 7555444.373272426 4.07, 439533.6278120912 7555443.898593202 3.18, 439534.57512329356 7555442.555655687 2.42, 439534.6863277685 7555439.313149029 2.12, 439533.2645801638 7555439.237700244 3.1, 439532.55872215604 7555438.99486634 3.79, 439531.2985702101 7555438.985487003 3.79, 439531.13951697754 7555437.789423891 4.22, 439531.77112602943 7555437.0341221215 4.22, 439533.1744197215 7555436.350065097 2.64, 439533.4528188593 7555435.873329089 2.39, 439532.8809518394 7555433.73735349 2.34, 439531.89352387737 7555431.371489344 2.46, 439530.74595714733 7555428.999516726 3.06, 439530.2649266806 7555427.721282199 3.42, 439527.4505168893 7555426.709729714 5.2700000000000005, 439526.6607877648 7555426.71891857 5.63, 439527.5380205479 7555431.957287207 5.49, 439528.39474265213 7555437.586130685 5.53, 439529.85989217204 7555442.740218742 5.46, 439530.8367267811 7555446.316267339 5.48)</t>
  </si>
  <si>
    <t>POLYGON Z ((439530.8367267811 7555446.316267339 5.48, 439531.4154926483 7555445.03228145 4.83, 439532.19943230227 7555444.373272426 4.07, 439533.6278120912 7555443.898593202 3.18, 439534.57512329356 7555442.555655687 2.42, 439534.6863277685 7555439.313149029 2.12, 439533.2645801638 7555439.237700244 3.1, 439532.55872215604 7555438.99486634 3.79, 439531.2985702101 7555438.985487003 3.79, 439531.13951697754 7555437.789423891 4.22, 439531.77112602943 7555437.0341221215 4.22, 439533.1744197215 7555436.350065097 2.64, 439533.4528188593 7555435.873329089 2.39, 439532.8809518394 7555433.73735349 2.34, 439531.89352387737 7555431.371489344 2.46, 439530.74595714733 7555428.999516726 3.06, 439530.2649266806 7555427.721282199 3.42, 439527.4505168893 7555426.709729714 5.2700000000000005, 439526.6607877648 7555426.71891857 5.63, 439527.5380205479 7555431.957287207 5.49, 439528.39474265213 7555437.586130685 5.53, 439529.85989217204 7555442.740218742 5.46, 439530.8367267811 7555446.316267339 5.48))</t>
  </si>
  <si>
    <t>['FV818 S1D1 m3727-3729']</t>
  </si>
  <si>
    <t>LINESTRING Z (439535.06950392737 7555436.564004058 2.43, 439536.3122494025 7555435.033899164 2.43, 439538.12430522277 7555434.299912757 2.5, 439540.08573977306 7555433.952273353 2.5100000000000002, 439541.959418173 7555433.696760756 2.54, 439543.87307055714 7555433.440276903 2.41, 439545.7940073743 7555433.48359797 2.46, 439544.457678218 7555434.865985715 1.78, 439542.5130740855 7555435.083224027 1.6500000000000001, 439540.5518823578 7555435.440856931 1.49, 439538.66040229157 7555435.786796636 1.35, 439536.73942735716 7555436.153451787 1.44, 439535.06950392737 7555436.564004058 2.43)</t>
  </si>
  <si>
    <t>POLYGON Z ((439535.06950392737 7555436.564004058 2.43, 439536.3122494025 7555435.033899164 2.43, 439538.12430522277 7555434.299912757 2.5, 439540.08573977306 7555433.952273353 2.5100000000000002, 439541.959418173 7555433.696760756 2.54, 439543.87307055714 7555433.440276903 2.41, 439545.7940073743 7555433.48359797 2.46, 439544.457678218 7555434.865985715 1.78, 439542.5130740855 7555435.083224027 1.6500000000000001, 439540.5518823578 7555435.440856931 1.49, 439538.66040229157 7555435.786796636 1.35, 439536.73942735716 7555436.153451787 1.44, 439535.06950392737 7555436.564004058 2.43))</t>
  </si>
  <si>
    <t>['FV818 S1D110 m1554-1574']</t>
  </si>
  <si>
    <t>LINESTRING Z (439513.9321136929 7555449.376843842 5.94, 439512.6976715226 7555445.487073599 6.0600000000000005, 439511.1276925762 7555440.545519828 6.04, 439510.0271652478 7555435.582560245 6.19, 439509.7317548415 7555432.889900563 6.2700000000000005, 439509.27207781764 7555430.021242947 6.24, 439507.90175453573 7555430.004541054 5.32, 439506.7109951996 7555430.793427463 4.6000000000000005, 439505.8744170512 7555431.343722093 3.86, 439505.98828288534 7555433.560821742 3.86, 439505.56573262316 7555435.100996399 3.5500000000000003, 439505.93890569144 7555437.7017721 3.29, 439506.3155162697 7555440.03248054 3.64, 439507.30438693217 7555439.988454883 3.94, 439507.62462640076 7555440.410648038 4.1, 439508.0186672977 7555441.401013677 4.01, 439507.78825503204 7555442.206563878 3.5700000000000003, 439507.78016596043 7555442.696730904 3.22, 439508.7519776706 7555445.24296371 3.41, 439509.9755312659 7555448.273050347 3.39, 439510.6903353638 7555449.295619899 3.73, 439511.7625153225 7555449.799536904 4.14, 439513.21622407506 7555449.54422898 5.38, 439513.9321136929 7555449.376843842 5.94)</t>
  </si>
  <si>
    <t>POLYGON Z ((439513.9321136929 7555449.376843842 5.94, 439512.6976715226 7555445.487073599 6.0600000000000005, 439511.1276925762 7555440.545519828 6.04, 439510.0271652478 7555435.582560245 6.19, 439509.7317548415 7555432.889900563 6.2700000000000005, 439509.27207781764 7555430.021242947 6.24, 439507.90175453573 7555430.004541054 5.32, 439506.7109951996 7555430.793427463 4.6000000000000005, 439505.8744170512 7555431.343722093 3.86, 439505.98828288534 7555433.560821742 3.86, 439505.56573262316 7555435.100996399 3.5500000000000003, 439505.93890569144 7555437.7017721 3.29, 439506.3155162697 7555440.03248054 3.64, 439507.30438693217 7555439.988454883 3.94, 439507.62462640076 7555440.410648038 4.1, 439508.0186672977 7555441.401013677 4.01, 439507.78825503204 7555442.206563878 3.5700000000000003, 439507.78016596043 7555442.696730904 3.22, 439508.7519776706 7555445.24296371 3.41, 439509.9755312659 7555448.273050347 3.39, 439510.6903353638 7555449.295619899 3.73, 439511.7625153225 7555449.799536904 4.14, 439513.21622407506 7555449.54422898 5.38, 439513.9321136929 7555449.376843842 5.94))</t>
  </si>
  <si>
    <t>['FV818 S1D110 m1560-1566']</t>
  </si>
  <si>
    <t>LINESTRING Z (439490.98146715853 7555444.354818274 2.42, 439492.9348508651 7555444.087369613 2.17, 439494.88823456597 7555443.81992095 2.16, 439496.7214534697 7555443.545392575 2.21, 439498.6940957112 7555443.247477791 2.23, 439500.5173211065 7555442.97319223 2.29, 439502.33152425813 7555442.739123479 2.2, 439504.11979857885 7555443.495625095 2.75, 439502.34160820546 7555444.388779085 2.92, 439500.4099112268 7555444.725696601 2.92, 439498.53307611955 7555444.851293773 2.89, 439496.5565488411 7555444.989312588 2.86, 439494.5990372937 7555445.086871782 2.83, 439492.7609620881 7555445.161530205 2.9, 439490.98146715853 7555444.354818274 2.42)</t>
  </si>
  <si>
    <t>POLYGON Z ((439490.98146715853 7555444.354818274 2.42, 439492.9348508651 7555444.087369613 2.17, 439494.88823456597 7555443.81992095 2.16, 439496.7214534697 7555443.545392575 2.21, 439498.6940957112 7555443.247477791 2.23, 439500.5173211065 7555442.97319223 2.29, 439502.33152425813 7555442.739123479 2.2, 439504.11979857885 7555443.495625095 2.75, 439502.34160820546 7555444.388779085 2.92, 439500.4099112268 7555444.725696601 2.92, 439498.53307611955 7555444.851293773 2.89, 439496.5565488411 7555444.989312588 2.86, 439494.5990372937 7555445.086871782 2.83, 439492.7609620881 7555445.161530205 2.9, 439490.98146715853 7555444.354818274 2.42))</t>
  </si>
  <si>
    <t>['FV818 S1D110 m2549-2589']</t>
  </si>
  <si>
    <t>LINESTRING Z (439460.25012987136 7554511.637688167 4.68, 439460.00547931204 7554513.503520191 4.93, 439459.7422985639 7554515.429798808 4.88, 439459.49813361635 7554517.315617829 4.62, 439459.24494637817 7554519.24165365 5.0600000000000005, 439459.06244204036 7554521.195970362 4.9, 439459.19827287056 7554523.082556459 5, 439459.3358033116 7554525.039097046 4.92, 439459.203266486 7554526.992199759 5.28, 439457.42507474124 7554527.885351319 5.1000000000000005, 439456.5319231808 7554526.107159569 5.39, 439456.66518841183 7554524.184037345 5.07, 439456.7994248517 7554522.300889124 5.05, 439456.85468450765 7554520.459657299 5.01, 439456.8470695668 7554518.499960297 5.07, 439456.8496909314 7554516.550013988 5.22, 439456.84231880266 7554514.600310479 5.18, 439456.8446973782 7554512.6403706735 5.29, 439456.68766557693 7554510.704302677 5.4, 439455.1195306623 7554509.542474079 5.4, 439453.2154629098 7554508.958772942 5.51, 439451.3311393499 7554508.364592702 4.7700000000000005, 439449.5811403606 7554507.5371627705 4.72, 439447.8513711665 7554506.719240734 4.69, 439446.1418317677 7554505.910826592 4.8500000000000005, 439444.51883465133 7554504.960318251 4.95, 439442.9516709196 7554503.838463618 4.97, 439441.323574989 7554502.678091784 5.12, 439439.6954790562 7554501.517719942 4.95, 439438.1814392208 7554500.524566781 4.68, 439436.5876941893 7554499.543349517 4.49, 439434.9632402562 7554498.532880152 4.3, 439433.3363583168 7554497.422475786 4.94, 439432.2988887236 7554495.877776421 4.87, 439431.25094003236 7554494.313332856 4.7700000000000005, 439430.1615605437 7554492.689899484 4.84, 439429.07218105724 7554491.066466108 4.89, 439427.95184987376 7554489.403787133 4.33, 439426.89366489125 7554487.829592844 3.93, 439425.8454734105 7554486.255155751 3.89, 439427.3853168039 7554485.017816185 4.13, 439429.2195461902 7554484.373288188 4.34, 439430.6126541365 7554485.739357279 4.67, 439431.5609106147 7554487.316222365 5.1000000000000005, 439432.5301252948 7554488.932575843 5.21, 439433.457423578 7554490.469952522 5.36, 439434.40592286375 7554492.056811093 5.51, 439435.4446064461 7554493.651477954 5.67, 439436.87526039255 7554494.916640821 5.83, 439438.3061571387 7554496.191797184 5.98, 439439.79822888155 7554497.515464229 6.15, 439441.1869664259 7554498.701650287 6.34, 439442.79972724186 7554499.64240795 5.36, 439444.4329606544 7554500.602667006 5.44, 439446.07618756336 7554501.5626832545 5.59, 439447.7194144696 7554502.522699499 5, 439449.3626413732 7554503.482715739 4.94, 439451.005868274 7554504.442731974 5.22, 439452.63910167315 7554505.402991006 5.38, 439454.34961225634 7554506.251379136 5.33, 439456.1685945222 7554507.037135464 5.38, 439458.01464367483 7554507.702241402 5.48, 439459.98069216526 7554507.5444812095 5.01, 439461.95624854794 7554507.366491223 5.7700000000000005, 439463.8113973368 7554507.171427844 5.48, 439464.3264954822 7554509.02880051 6.01, 439464.5922417616 7554510.912230187 5.2700000000000005, 439462.67466530134 7554511.418791646 4.95, 439460.8587621044 7554511.582903336 4.93, 439460.25012987136 7554511.637688167 4.68)</t>
  </si>
  <si>
    <t>POLYGON Z ((439460.25012987136 7554511.637688167 4.68, 439460.00547931204 7554513.503520191 4.93, 439459.7422985639 7554515.429798808 4.88, 439459.49813361635 7554517.315617829 4.62, 439459.24494637817 7554519.24165365 5.0600000000000005, 439459.06244204036 7554521.195970362 4.9, 439459.19827287056 7554523.082556459 5, 439459.3358033116 7554525.039097046 4.92, 439459.203266486 7554526.992199759 5.28, 439457.42507474124 7554527.885351319 5.1000000000000005, 439456.5319231808 7554526.107159569 5.39, 439456.66518841183 7554524.184037345 5.07, 439456.7994248517 7554522.300889124 5.05, 439456.85468450765 7554520.459657299 5.01, 439456.8470695668 7554518.499960297 5.07, 439456.8496909314 7554516.550013988 5.22, 439456.84231880266 7554514.600310479 5.18, 439456.8446973782 7554512.6403706735 5.29, 439456.68766557693 7554510.704302677 5.4, 439455.1195306623 7554509.542474079 5.4, 439453.2154629098 7554508.958772942 5.51, 439451.3311393499 7554508.364592702 4.7700000000000005, 439449.5811403606 7554507.5371627705 4.72, 439447.8513711665 7554506.719240734 4.69, 439446.1418317677 7554505.910826592 4.8500000000000005, 439444.51883465133 7554504.960318251 4.95, 439442.9516709196 7554503.838463618 4.97, 439441.323574989 7554502.678091784 5.12, 439439.6954790562 7554501.517719942 4.95, 439438.1814392208 7554500.524566781 4.68, 439436.5876941893 7554499.543349517 4.49, 439434.9632402562 7554498.532880152 4.3, 439433.3363583168 7554497.422475786 4.94, 439432.2988887236 7554495.877776421 4.87, 439431.25094003236 7554494.313332856 4.7700000000000005, 439430.1615605437 7554492.689899484 4.84, 439429.07218105724 7554491.066466108 4.89, 439427.95184987376 7554489.403787133 4.33, 439426.89366489125 7554487.829592844 3.93, 439425.8454734105 7554486.255155751 3.89, 439427.3853168039 7554485.017816185 4.13, 439429.2195461902 7554484.373288188 4.34, 439430.6126541365 7554485.739357279 4.67, 439431.5609106147 7554487.316222365 5.1000000000000005, 439432.5301252948 7554488.932575843 5.21, 439433.457423578 7554490.469952522 5.36, 439434.40592286375 7554492.056811093 5.51, 439435.4446064461 7554493.651477954 5.67, 439436.87526039255 7554494.916640821 5.83, 439438.3061571387 7554496.191797184 5.98, 439439.79822888155 7554497.515464229 6.15, 439441.1869664259 7554498.701650287 6.34, 439442.79972724186 7554499.64240795 5.36, 439444.4329606544 7554500.602667006 5.44, 439446.07618756336 7554501.5626832545 5.59, 439447.7194144696 7554502.522699499 5, 439449.3626413732 7554503.482715739 4.94, 439451.005868274 7554504.442731974 5.22, 439452.63910167315 7554505.402991006 5.38, 439454.34961225634 7554506.251379136 5.33, 439456.1685945222 7554507.037135464 5.38, 439458.01464367483 7554507.702241402 5.48, 439459.98069216526 7554507.5444812095 5.01, 439461.95624854794 7554507.366491223 5.7700000000000005, 439463.8113973368 7554507.171427844 5.48, 439464.3264954822 7554509.02880051 6.01, 439464.5922417616 7554510.912230187 5.2700000000000005, 439462.67466530134 7554511.418791646 4.95, 439460.8587621044 7554511.582903336 4.93, 439460.25012987136 7554511.637688167 4.68))</t>
  </si>
  <si>
    <t>['FV818 S1D1 m3718-3725']</t>
  </si>
  <si>
    <t>LINESTRING Z (439534.6863277685 7555439.313149029 2.57, 439536.61045929854 7555439.076409336 1.76, 439538.58455831005 7555438.838455572 1.32, 439540.52891963825 7555438.611223748 1.7, 439542.4181762707 7555438.585318764 1.41, 439544.3973743737 7555438.55722845 1.49, 439546.256650503 7555438.532051909 1.4000000000000001, 439548.1958746052 7555438.504932851 1.37, 439550.0951247127 7555438.478785048 1.27, 439552.00651554996 7555438.952312112 1.32, 439550.64190562925 7555440.405382779 2.32, 439548.657327528 7555440.623592365 2.23, 439546.8224090654 7555440.8281662315 2.2800000000000002, 439544.8534472819 7555440.866007239 2.38, 439542.98445855913 7555440.49144389 2.46, 439541.0352790376 7555440.108829564 2.37, 439539.1672234696 7555440.18421641 2.6, 439537.23504096793 7555440.501146897 2.41, 439535.3328389531 7555440.817348944 2.2800000000000002, 439534.63572227774 7555440.934280952 2.38)</t>
  </si>
  <si>
    <t>POLYGON Z ((439534.6863277685 7555439.313149029 2.57, 439536.61045929854 7555439.076409336 1.76, 439538.58455831005 7555438.838455572 1.32, 439540.52891963825 7555438.611223748 1.7, 439542.4181762707 7555438.585318764 1.41, 439544.3973743737 7555438.55722845 1.49, 439546.256650503 7555438.532051909 1.4000000000000001, 439548.1958746052 7555438.504932851 1.37, 439550.0951247127 7555438.478785048 1.27, 439552.00651554996 7555438.952312112 1.32, 439550.64190562925 7555440.405382779 2.32, 439548.657327528 7555440.623592365 2.23, 439546.8224090654 7555440.8281662315 2.2800000000000002, 439544.8534472819 7555440.866007239 2.38, 439542.98445855913 7555440.49144389 2.46, 439541.0352790376 7555440.108829564 2.37, 439539.1672234696 7555440.18421641 2.6, 439537.23504096793 7555440.501146897 2.41, 439535.3328389531 7555440.817348944 2.2800000000000002, 439534.63572227774 7555440.934280952 2.38, 439534.6863277685 7555439.313149029 2.57))</t>
  </si>
  <si>
    <t>2024-03-14</t>
  </si>
  <si>
    <t>['RV3 S18D1 m9481-9484']</t>
  </si>
  <si>
    <t>LINESTRING Z (277399.98615274666 6886234.207889553 497.35, 277401.4897191529 6886232.219531921 497.53000000000003, 277400.4724299039 6886231.2186922645 497.37, 277398.2484776245 6886230.6413103845 496.24, 277397.4058042447 6886231.955412217 496.22, 277397.8868813687 6886233.45816974 497.02000000000004, 277399.98615274666 6886234.207889553 497.35)</t>
  </si>
  <si>
    <t>POLYGON Z ((277399.98615274666 6886234.207889553 497.35, 277401.4897191529 6886232.219531921 497.53000000000003, 277400.4724299039 6886231.2186922645 497.37, 277398.2484776245 6886230.6413103845 496.24, 277397.4058042447 6886231.955412217 496.22, 277397.8868813687 6886233.45816974 497.02000000000004, 277399.98615274666 6886234.207889553 497.35))</t>
  </si>
  <si>
    <t>['RV3 S19D1 m514-518']</t>
  </si>
  <si>
    <t>LINESTRING Z (276514.1286703673 6887962.0181811415 489.92, 276512.7977498517 6887958.504277867 489.71000000000004, 276511.8536878248 6887958.400977421 489.59000000000003, 276512.1225464289 6887962.164167408 489.8, 276514.1286703673 6887962.0181811415 489.92)</t>
  </si>
  <si>
    <t>POLYGON Z ((276514.1286703673 6887962.0181811415 489.92, 276512.7977498517 6887958.504277867 489.71000000000004, 276511.8536878248 6887958.400977421 489.59000000000003, 276512.1225464289 6887962.164167408 489.8, 276514.1286703673 6887962.0181811415 489.92))</t>
  </si>
  <si>
    <t>['RV3 S18D1 m7211-7217']</t>
  </si>
  <si>
    <t>LINESTRING Z (279324.3928985137 6885097.945450569 483.46000000000004, 279325.43234767474 6885097.236086168 483.79, 279326.7812384761 6885094.880302371 484.66, 279323.53358878085 6885096.1562751485 484.6, 279321.60124642996 6885096.988676915 484.57, 279322.02684456867 6885097.893688913 484.08, 279324.3928985137 6885097.945450569 483.46000000000004)</t>
  </si>
  <si>
    <t>POLYGON Z ((279324.3928985137 6885097.945450569 483.46000000000004, 279325.43234767474 6885097.236086168 483.79, 279326.7812384761 6885094.880302371 484.66, 279323.53358878085 6885096.1562751485 484.6, 279321.60124642996 6885096.988676915 484.57, 279322.02684456867 6885097.893688913 484.08, 279324.3928985137 6885097.945450569 483.46000000000004))</t>
  </si>
  <si>
    <t>['RV3 S19D1 m222-226']</t>
  </si>
  <si>
    <t>LINESTRING Z (276645.711433914 6887700.894862424 483.40000000000003, 276646.915722057 6887699.68785686 482.78000000000003, 276648.15870831016 6887697.382016277 482.3, 276647.0101559921 6887696.915863447 482.33, 276645.49796080496 6887698.161491838 482.88, 276644.3737862347 6887699.58212098 483.2, 276644.6407309591 6887700.401388724 483.48, 276645.711433914 6887700.894862424 483.40000000000003)</t>
  </si>
  <si>
    <t>POLYGON Z ((276645.711433914 6887700.894862424 483.40000000000003, 276646.915722057 6887699.68785686 482.78000000000003, 276648.15870831016 6887697.382016277 482.3, 276647.0101559921 6887696.915863447 482.33, 276645.49796080496 6887698.161491838 482.88, 276644.3737862347 6887699.58212098 483.2, 276644.6407309591 6887700.401388724 483.48, 276645.711433914 6887700.894862424 483.40000000000003))</t>
  </si>
  <si>
    <t>['RV3 S18D1 m1439-1444']</t>
  </si>
  <si>
    <t>LINESTRING Z (283365.6428451665 6881206.115243832 479.77, 283367.3923127538 6881202.878428841 479.45, 283365.52252024796 6881201.243304692 479.6, 283363.91491395055 6881203.301447905 479.41, 283363.395312037 6881204.957248127 479.38, 283363.37977801164 6881205.873014263 479.73, 283365.6428451665 6881206.115243832 479.77)</t>
  </si>
  <si>
    <t>POLYGON Z ((283365.6428451665 6881206.115243832 479.77, 283367.3923127538 6881202.878428841 479.45, 283365.52252024796 6881201.243304692 479.6, 283363.91491395055 6881203.301447905 479.41, 283363.395312037 6881204.957248127 479.38, 283363.37977801164 6881205.873014263 479.73, 283365.6428451665 6881206.115243832 479.77))</t>
  </si>
  <si>
    <t>['RV3 S18D1 m4039-4048']</t>
  </si>
  <si>
    <t>LINESTRING Z (281898.65822947293 6883296.222549565 472.98, 281895.9864633179 6883297.856987411 473.02, 281897.44601623714 6883299.5100683775 473.48, 281899.6966916231 6883299.4017493045 473.96000000000004, 281901.01083742804 6883299.81236181 474.59000000000003, 281903.1002351734 6883302.622779 476.37, 281905.0370236273 6883305.196162151 477.08, 281907.5286462384 6883304.110962302 476.95, 281909.3388232473 6883305.319561393 477.24, 281911.09152323933 6883303.850766838 477.59000000000003, 281909.41630075866 6883302.147360194 477.08, 281906.78915021097 6883300.471978138 476.57, 281905.33853957406 6883298.265446298 475.8, 281904.0566442178 6883297.660936327 475.19, 281901.6758648483 6883296.475129 473.6, 281900.71871689265 6883295.147203372 472.96000000000004, 281898.65822947293 6883296.222549565 472.98)</t>
  </si>
  <si>
    <t>POLYGON Z ((281898.65822947293 6883296.222549565 472.98, 281895.9864633179 6883297.856987411 473.02, 281897.44601623714 6883299.5100683775 473.48, 281899.6966916231 6883299.4017493045 473.96000000000004, 281901.01083742804 6883299.81236181 474.59000000000003, 281903.1002351734 6883302.622779 476.37, 281905.0370236273 6883305.196162151 477.08, 281907.5286462384 6883304.110962302 476.95, 281909.3388232473 6883305.319561393 477.24, 281911.09152323933 6883303.850766838 477.59000000000003, 281909.41630075866 6883302.147360194 477.08, 281906.78915021097 6883300.471978138 476.57, 281905.33853957406 6883298.265446298 475.8, 281904.0566442178 6883297.660936327 475.19, 281901.6758648483 6883296.475129 473.6, 281900.71871689265 6883295.147203372 472.96000000000004, 281898.65822947293 6883296.222549565 472.98))</t>
  </si>
  <si>
    <t>['RV3 S19D1 m3404-3419']</t>
  </si>
  <si>
    <t>LINESTRING Z (275496.8466217754 6890638.034077554 506.76, 275495.2535186476 6890641.980186882 507.90000000000003, 275500.90836445615 6890644.228581243 508.59000000000003, 275507.50438225333 6890646.007777921 509.51, 275510.8279081567 6890645.5485457685 509.99, 275513.3893836539 6890638.287067716 509.91, 275507.6153284808 6890634.321444841 508.78000000000003, 275501.9464862972 6890631.381022076 508.02000000000004, 275497.5374399098 6890631.187401282 507.23, 275496.8466217754 6890638.034077554 506.76)</t>
  </si>
  <si>
    <t>POLYGON Z ((275496.8466217754 6890638.034077554 506.76, 275495.2535186476 6890641.980186882 507.90000000000003, 275500.90836445615 6890644.228581243 508.59000000000003, 275507.50438225333 6890646.007777921 509.51, 275510.8279081567 6890645.5485457685 509.99, 275513.3893836539 6890638.287067716 509.91, 275507.6153284808 6890634.321444841 508.78000000000003, 275501.9464862972 6890631.381022076 508.02000000000004, 275497.5374399098 6890631.187401282 507.23, 275496.8466217754 6890638.034077554 506.76))</t>
  </si>
  <si>
    <t>['RV3 S19D1 m171-174']</t>
  </si>
  <si>
    <t>LINESTRING Z (276661.59882470226 6887650.345509651 480.94, 276662.0846949804 6887649.084598665 481, 276661.60524043895 6887647.491252085 481.44, 276660.5192545096 6887648.0241031945 481.75, 276660.24587574066 6887649.084428461 481.75, 276660.77082114515 6887650.301773443 481.42, 276661.59882470226 6887650.345509651 480.94)</t>
  </si>
  <si>
    <t>POLYGON Z ((276661.59882470226 6887650.345509651 480.94, 276662.0846949804 6887649.084598665 481, 276661.60524043895 6887647.491252085 481.44, 276660.5192545096 6887648.0241031945 481.75, 276660.24587574066 6887649.084428461 481.75, 276660.77082114515 6887650.301773443 481.42, 276661.59882470226 6887650.345509651 480.94))</t>
  </si>
  <si>
    <t>['RV3 S19D1 m3955-4478']</t>
  </si>
  <si>
    <t>LINESTRING Z (274672.8970010745 6891297.007266702 514.2, 274674.14850403427 6891302.045862927 515.79, 274674.86731075763 6891301.3460932 515.75, 274677.022806105 6891299.236821618 515.61, 274679.1783014493 6891297.127550106 515.47, 274681.3446840499 6891295.0273162825 515.34, 274683.5210290868 6891292.926157711 515.2, 274685.6992237574 6891290.844924087 515.0600000000001, 274687.87741842313 6891288.763690535 514.9300000000001, 274688.60618757794 6891288.062996131 514.88, 274690.0655755239 6891286.681532237 514.79, 274692.26554469555 6891284.618374062 514.65, 274694.4655138613 6891282.555215959 514.52, 274695.9357890541 6891281.1827898035 514.42, 274696.6754454599 6891280.49113311 514.38, 274698.887226688 6891278.446975204 514.24, 274701.10897034773 6891276.401892552 514.11, 274703.3307140001 6891274.356809973 513.97, 274705.5642697186 6891272.330727518 513.83, 274707.7978254284 6891270.304645135 513.7, 274710.0313811294 6891268.278562819 513.5600000000001, 274710.78377440973 6891267.615868768 513.51, 274712.2867113325 6891266.270555815 513.42, 274714.5320790878 6891264.263473698 513.28, 274716.7982965257 6891262.264504451 513.15, 274718.30215824785 6891260.929154061 513.0600000000001, 274719.0545515157 6891260.266460096 513.01, 274719.81690721965 6891259.602841319 512.97, 274721.3316561866 6891258.27652861 512.87, 274723.6096856625 6891256.296559631 512.74, 274725.888639943 6891254.326553157 512.6, 274728.17755664873 6891252.355621937 512.46, 274730.46739815804 6891250.394653224 512.33, 274732.7681269071 6891248.4427221995 512.19, 274733.531407403 6891247.789065997 512.14, 274735.0688556429 6891246.490791242 512.05, 274737.3705091807 6891244.54882279 511.92, 274739.6930123927 6891242.614967214 511.78000000000003, 274741.23138542345 6891241.326655017 511.69, 274742.00555315404 6891240.682036518 511.64, 274744.33894358785 6891238.757218699 511.51, 274746.6632963855 6891236.8432882 511.37, 274748.99853641784 6891234.938395387 511.23, 274751.34373887 6891233.032577829 511.1, 274753.68986612017 6891231.136722775 510.96000000000004, 274756.04688060284 6891229.249905408 510.82, 274756.8228979298 6891228.625211927 510.78000000000003, 274758.40389506833 6891227.363088108 510.69, 274760.76183433074 6891225.486233312 510.55, 274763.13066082355 6891223.618416203 510.41, 274764.713507558 6891222.376217376 510.32, 274765.50041211164 6891221.760561598 510.27000000000004, 274767.88012581575 6891219.901782245 510.14, 274770.2707267479 6891218.05204058 510, 274772.65229004016 6891216.2131862305 509.86, 274775.05377818015 6891214.372482321 509.73, 274777.44622867927 6891212.542665725 509.59000000000003, 274779.8495664045 6891210.721886818 509.45, 274780.657320597 6891210.114343987 509.41, 274782.263791354 6891208.910145596 509.32, 274783.6920736233 6891207.84306786 509.24, 274784.85271601274 6891207.031945657 509.18, 274787.3260012013 6891205.315204838 509.04, 274788.96790808684 6891204.168006725 508.95, 274789.7893239314 6891203.599388895 508.91, 274790.8378155967 6891202.879063966 508.85, 274792.2535714474 6891201.893535452 508.77000000000004, 274794.7168941261 6891200.177719637 508.63, 274797.180216779 6891198.461903886 508.5, 274799.64353940636 6891196.746088201 508.37, 274802.1077868192 6891195.040235012 508.24, 274804.57110939536 6891193.3244194565 508.11, 274805.3925251851 6891192.75580176 508.07, 274807.04439437675 6891191.607679152 507.98, 274809.508641712 6891189.9018261535 507.86, 274811.9719642108 6891188.186010787 507.74, 274813.61387092585 6891187.038813107 507.66, 274814.43528668396 6891186.470195487 507.62, 274816.8986091316 6891184.754380251 507.5, 274819.36285636364 6891183.04852751 507.38, 274821.82617875974 6891181.332712401 507.27000000000004, 274824.28950113046 6891179.616897359 507.16, 274826.7537482847 6891177.911044806 507.05, 274829.2270330336 6891176.194305082 506.94, 274830.04844873725 6891175.625687599 506.90000000000003, 274831.69035532686 6891174.478490231 506.83, 274834.15367759473 6891172.762675444 506.73, 274836.61792464607 6891171.056823148 506.63, 274837.84460454294 6891170.199378217 506.58, 274838.25983119 6891169.9096258925 506.56, 274838.98717142746 6891169.410031151 506.53000000000003, 274839.49647350714 6891169.0512561705 506.51, 274839.9026625316 6891168.772391094 506.49, 274843.18740037165 6891166.487959153 506.36, 274846.3210625899 6891164.307986118 506.24, 274846.4721381661 6891164.203527324 506.24, 274849.75687591475 6891161.919095611 506.12, 274850.9935181718 6891161.060726041 506.07, 274852.5133115193 6891160.005250964 506, 274853.0515760454 6891159.633739201 505.98, 274854.6934824758 6891158.486542236 505.91, 274856.3363137028 6891157.349307719 505.84000000000003, 274858.52552224335 6891155.819711839 505.75, 274859.6210513143 6891155.064876348 505.7, 274862.90578888 6891152.780445091 505.57, 274866.19052639976 6891150.496013947 505.44, 274866.45560224145 6891150.3206829345 505.43, 274867.81435750006 6891149.370591671 505.38, 274869.4752638743 6891148.211582917 505.31, 274870.3817172407 6891147.584830385 505.28000000000003, 274871.2140200346 6891147.025250879 505.25, 274872.04724763235 6891146.475633808 505.22, 274872.8795504199 6891145.916054315 505.19, 274874.91419447155 6891144.561579359 505.12, 274875.5374967477 6891144.131932329 505.09000000000003, 274878.7265195046 6891142.007110884 504.98, 274879.5307846028 6891141.470230722 504.95, 274882.3597312551 6891139.579800564 504.86, 274885.1877530655 6891137.679408067 504.77000000000004, 274887.8466240526 6891135.9052488385 504.68, 274891.40383547766 6891133.525187004 504.57, 274894.9610468459 6891131.145125299 504.46000000000004, 274896.1624631912 6891130.340267656 504.43, 274900.3258262589 6891127.562296138 504.31, 274904.4792268244 6891124.785249601 504.2, 274905.6616430755 6891123.992204111 504.17, 274906.68302136 6891123.304542136 504.14, 274909.7390433713 6891121.262405933 504.09000000000003, 274912.7950653407 6891119.2202698225 504.04, 274915.89812497015 6891117.143622513 503.99, 274918.50995788694 6891115.403975403 503.95, 274921.11090354575 6891113.655290746 503.92, 274921.5180172299 6891113.386388435 503.91, 274924.41300108936 6891111.449636163 503.87, 274927.307984911 6891109.512883976 503.84000000000003, 274929.4267414396 6891108.09031237 503.82, 274933.06991478277 6891105.662079117 503.78000000000003, 274936.45704992674 6891103.398289591 503.75, 274937.7435038261 6891102.535297121 503.74, 274941.8878660735 6891099.769139385 503.71000000000004, 274942.085979284 6891099.63016946 503.71000000000004, 274943.7515091364 6891098.520974091 503.7, 274946.05934109766 6891096.970320149 503.68, 274950.2227032282 6891094.192350733 503.66, 274954.38514047826 6891091.404419073 503.65000000000003, 274958.53854003246 6891088.627374814 503.64, 274962.701901929 6891085.8494059285 503.64, 274966.85437652585 6891083.062399598 503.64, 274971.0177382662 6891080.284431063 503.65000000000003, 274975.1711375093 6891077.507387501 503.66, 274979.33357429196 6891074.719456895 503.68, 274983.66701131966 6891071.825218289 503.71000000000004, 274987.6503348077 6891069.164445852 503.73, 274995.9661702112 6891063.599473093 503.78000000000003, 275004.2820053034 6891058.034501032 503.84000000000003, 275012.5978400846 6891052.469529673 503.89, 275020.91459935356 6891046.914521434 503.94, 275029.2304335119 6891041.3495514775 503.99, 275037.54626735917 6891035.784582222 504.04, 275045.8630256931 6891030.229576089 504.09000000000003, 275054.1788589178 6891024.664608239 504.14, 275062.49469183147 6891019.099641089 504.19, 275070.81144923 6891013.544637058 504.25, 275079.1372439322 6891007.978746517 504.3, 275083.2897163576 6891005.1917451 504.32, 275087.4530759115 6891002.413781473 504.35, 275095.76890757954 6890996.8488171315 504.40000000000003, 275096.2140209917 6890996.5562915355 504.40000000000003, 275096.4860742546 6890996.2396378135 503.73, 275096.5683375896 6890996.151615383 503.74, 275096.97595508676 6890995.671653593 503.75, 275097.036444013 6890995.565555932 503.75, 275097.08070729644 6890995.501157498 503.76, 275097.4237160351 6890994.866421125 503.78000000000003, 275097.74125118984 6890994.1737598805 503.81, 275097.84949225135 6890993.932602125 503.81, 275098.1054033615 6890993.225564832 503.84000000000003, 275098.1288170319 6890993.153053579 503.84000000000003, 275098.4759022653 6890991.804512552 503.89, 275098.5037295817 6890991.671302047 503.89, 275098.5315568985 6890991.538091543 503.90000000000003, 275098.57539953396 6890991.252670504 503.90000000000003, 275098.58166276745 6890991.211896069 503.91, 275098.6306335193 6890990.765226888 503.92, 275096.1613446149 6890992.200237756 503.67, 275092.1367444139 6890995.0658026505 503.3, 275082.18220265815 6891002.028869901 503.13, 275069.6117094729 6891010.470708871 503.14, 275061.577471682 6891015.497073851 503, 275049.08205263887 6891023.8817049805 502.81, 275037.47122782737 6891032.053594538 502.81, 275030.5894338377 6891036.72177553 502.77000000000004, 275022.85129264323 6891041.690512396 502.73, 275015.90291269624 6891045.641400459 502.41, 275009.55332933785 6891050.089357895 502.3, 274999.03525654855 6891057.476531076 502.45, 274992.27158154815 6891062.334715111 502.48, 274984.5421829572 6891067.614139488 502.61, 274979.13927826367 6891070.677993347 502.11, 274975.9978288632 6891066.38760094 499.6, 274963.281719343 6891075.425769201 499.84000000000003, 274942.49122338137 6891089.815584311 499.92, 274927.1711816013 6891100.462042662 499.92, 274911.2622648021 6891112.017271382 499.89, 274895.79413033044 6891122.908592298 500.03000000000003, 274881.8270815199 6891132.434681241 500.49, 274867.462753054 6891141.686154823 500.84000000000003, 274855.7978591538 6891149.059222182 500.94, 274842.82986355224 6891157.115960734 501.1, 274827.4831615593 6891166.6093570655 501.2, 274815.1474213189 6891174.657648219 501.41, 274803.73990853154 6891182.09726304 501.7, 274790.6808190874 6891190.363429583 502.03000000000003, 274779.94293097 6891197.439437333 502.39, 274767.82939134835 6891206.582466717 503.01, 274757.4626383354 6891214.950398103 503.39, 274744.9838936324 6891224.4890709 503.90000000000003, 274733.2533386748 6891233.5362628205 504.6, 274723.64793278836 6891241.662701527 505.37, 274714.5856261461 6891249.577952727 506.47, 274707.13785817544 6891255.293475788 506.86, 274701.3012306839 6891260.829291874 507.18, 274693.4271830186 6891267.689699814 507.38, 274684.99864469393 6891274.963320678 507.91, 274681.9482221736 6891280.421363008 510.38, 274679.813328619 6891283.834999645 511.1, 274675.8904515862 6891287.796450996 512.11, 274674.7533217004 6891292.8658678075 513.8, 274672.8970010745 6891297.007266702 514.2)</t>
  </si>
  <si>
    <t>POLYGON Z ((274672.8970010745 6891297.007266702 514.2, 274674.14850403427 6891302.045862927 515.79, 274674.86731075763 6891301.3460932 515.75, 274677.022806105 6891299.236821618 515.61, 274679.1783014493 6891297.127550106 515.47, 274681.3446840499 6891295.0273162825 515.34, 274683.5210290868 6891292.926157711 515.2, 274685.6992237574 6891290.844924087 515.0600000000001, 274687.87741842313 6891288.763690535 514.9300000000001, 274688.60618757794 6891288.062996131 514.88, 274690.0655755239 6891286.681532237 514.79, 274692.26554469555 6891284.618374062 514.65, 274694.4655138613 6891282.555215959 514.52, 274695.9357890541 6891281.1827898035 514.42, 274696.6754454599 6891280.49113311 514.38, 274698.887226688 6891278.446975204 514.24, 274701.10897034773 6891276.401892552 514.11, 274703.3307140001 6891274.356809973 513.97, 274705.5642697186 6891272.330727518 513.83, 274707.7978254284 6891270.304645135 513.7, 274710.0313811294 6891268.278562819 513.5600000000001, 274710.78377440973 6891267.615868768 513.51, 274712.2867113325 6891266.270555815 513.42, 274714.5320790878 6891264.263473698 513.28, 274716.7982965257 6891262.264504451 513.15, 274718.30215824785 6891260.929154061 513.0600000000001, 274719.0545515157 6891260.266460096 513.01, 274719.81690721965 6891259.602841319 512.97, 274721.3316561866 6891258.27652861 512.87, 274723.6096856625 6891256.296559631 512.74, 274725.888639943 6891254.326553157 512.6, 274728.17755664873 6891252.355621937 512.46, 274730.46739815804 6891250.394653224 512.33, 274732.7681269071 6891248.4427221995 512.19, 274733.531407403 6891247.789065997 512.14, 274735.0688556429 6891246.490791242 512.05, 274737.3705091807 6891244.54882279 511.92, 274739.6930123927 6891242.614967214 511.78000000000003, 274741.23138542345 6891241.326655017 511.69, 274742.00555315404 6891240.682036518 511.64, 274744.33894358785 6891238.757218699 511.51, 274746.6632963855 6891236.8432882 511.37, 274748.99853641784 6891234.938395387 511.23, 274751.34373887 6891233.032577829 511.1, 274753.68986612017 6891231.136722775 510.96000000000004, 274756.04688060284 6891229.249905408 510.82, 274756.8228979298 6891228.625211927 510.78000000000003, 274758.40389506833 6891227.363088108 510.69, 274760.76183433074 6891225.486233312 510.55, 274763.13066082355 6891223.618416203 510.41, 274764.713507558 6891222.376217376 510.32, 274765.50041211164 6891221.760561598 510.27000000000004, 274767.88012581575 6891219.901782245 510.14, 274770.2707267479 6891218.05204058 510, 274772.65229004016 6891216.2131862305 509.86, 274775.05377818015 6891214.372482321 509.73, 274777.44622867927 6891212.542665725 509.59000000000003, 274779.8495664045 6891210.721886818 509.45, 274780.657320597 6891210.114343987 509.41, 274782.263791354 6891208.910145596 509.32, 274783.6920736233 6891207.84306786 509.24, 274784.85271601274 6891207.031945657 509.18, 274787.3260012013 6891205.315204838 509.04, 274788.96790808684 6891204.168006725 508.95, 274789.7893239314 6891203.599388895 508.91, 274790.8378155967 6891202.879063966 508.85, 274792.2535714474 6891201.893535452 508.77000000000004, 274794.7168941261 6891200.177719637 508.63, 274797.180216779 6891198.461903886 508.5, 274799.64353940636 6891196.746088201 508.37, 274802.1077868192 6891195.040235012 508.24, 274804.57110939536 6891193.3244194565 508.11, 274805.3925251851 6891192.75580176 508.07, 274807.04439437675 6891191.607679152 507.98, 274809.508641712 6891189.9018261535 507.86, 274811.9719642108 6891188.186010787 507.74, 274813.61387092585 6891187.038813107 507.66, 274814.43528668396 6891186.470195487 507.62, 274816.8986091316 6891184.754380251 507.5, 274819.36285636364 6891183.04852751 507.38, 274821.82617875974 6891181.332712401 507.27000000000004, 274824.28950113046 6891179.616897359 507.16, 274826.7537482847 6891177.911044806 507.05, 274829.2270330336 6891176.194305082 506.94, 274830.04844873725 6891175.625687599 506.90000000000003, 274831.69035532686 6891174.478490231 506.83, 274834.15367759473 6891172.762675444 506.73, 274836.61792464607 6891171.056823148 506.63, 274837.84460454294 6891170.199378217 506.58, 274838.25983119 6891169.9096258925 506.56, 274838.98717142746 6891169.410031151 506.53000000000003, 274839.49647350714 6891169.0512561705 506.51, 274839.9026625316 6891168.772391094 506.49, 274843.18740037165 6891166.487959153 506.36, 274846.3210625899 6891164.307986118 506.24, 274846.4721381661 6891164.203527324 506.24, 274849.75687591475 6891161.919095611 506.12, 274850.9935181718 6891161.060726041 506.07, 274852.5133115193 6891160.005250964 506, 274853.0515760454 6891159.633739201 505.98, 274854.6934824758 6891158.486542236 505.91, 274856.3363137028 6891157.349307719 505.84000000000003, 274858.52552224335 6891155.819711839 505.75, 274859.6210513143 6891155.064876348 505.7, 274862.90578888 6891152.780445091 505.57, 274866.19052639976 6891150.496013947 505.44, 274866.45560224145 6891150.3206829345 505.43, 274867.81435750006 6891149.370591671 505.38, 274869.4752638743 6891148.211582917 505.31, 274870.3817172407 6891147.584830385 505.28000000000003, 274871.2140200346 6891147.025250879 505.25, 274872.04724763235 6891146.475633808 505.22, 274872.8795504199 6891145.916054315 505.19, 274874.91419447155 6891144.561579359 505.12, 274875.5374967477 6891144.131932329 505.09000000000003, 274878.7265195046 6891142.007110884 504.98, 274879.5307846028 6891141.470230722 504.95, 274882.3597312551 6891139.579800564 504.86, 274885.1877530655 6891137.679408067 504.77000000000004, 274887.8466240526 6891135.9052488385 504.68, 274891.40383547766 6891133.525187004 504.57, 274894.9610468459 6891131.145125299 504.46000000000004, 274896.1624631912 6891130.340267656 504.43, 274900.3258262589 6891127.562296138 504.31, 274904.4792268244 6891124.785249601 504.2, 274905.6616430755 6891123.992204111 504.17, 274906.68302136 6891123.304542136 504.14, 274909.7390433713 6891121.262405933 504.09000000000003, 274912.7950653407 6891119.2202698225 504.04, 274915.89812497015 6891117.143622513 503.99, 274918.50995788694 6891115.403975403 503.95, 274921.11090354575 6891113.655290746 503.92, 274921.5180172299 6891113.386388435 503.91, 274924.41300108936 6891111.449636163 503.87, 274927.307984911 6891109.512883976 503.84000000000003, 274929.4267414396 6891108.09031237 503.82, 274933.06991478277 6891105.662079117 503.78000000000003, 274936.45704992674 6891103.398289591 503.75, 274937.7435038261 6891102.535297121 503.74, 274941.8878660735 6891099.769139385 503.71000000000004, 274942.085979284 6891099.63016946 503.71000000000004, 274943.7515091364 6891098.520974091 503.7, 274946.05934109766 6891096.970320149 503.68, 274950.2227032282 6891094.192350733 503.66, 274954.38514047826 6891091.404419073 503.65000000000003, 274958.53854003246 6891088.627374814 503.64, 274962.701901929 6891085.8494059285 503.64, 274966.85437652585 6891083.062399598 503.64, 274971.0177382662 6891080.284431063 503.65000000000003, 274975.1711375093 6891077.507387501 503.66, 274979.33357429196 6891074.719456895 503.68, 274983.66701131966 6891071.825218289 503.71000000000004, 274987.6503348077 6891069.164445852 503.73, 274995.9661702112 6891063.599473093 503.78000000000003, 275004.2820053034 6891058.034501032 503.84000000000003, 275012.5978400846 6891052.469529673 503.89, 275020.91459935356 6891046.914521434 503.94, 275029.2304335119 6891041.3495514775 503.99, 275037.54626735917 6891035.784582222 504.04, 275045.8630256931 6891030.229576089 504.09000000000003, 275054.1788589178 6891024.664608239 504.14, 275062.49469183147 6891019.099641089 504.19, 275070.81144923 6891013.544637058 504.25, 275079.1372439322 6891007.978746517 504.3, 275083.2897163576 6891005.1917451 504.32, 275087.4530759115 6891002.413781473 504.35, 275095.76890757954 6890996.8488171315 504.40000000000003, 275096.2140209917 6890996.5562915355 504.40000000000003, 275096.4860742546 6890996.2396378135 503.73, 275096.5683375896 6890996.151615383 503.74, 275096.97595508676 6890995.671653593 503.75, 275097.036444013 6890995.565555932 503.75, 275097.08070729644 6890995.501157498 503.76, 275097.4237160351 6890994.866421125 503.78000000000003, 275097.74125118984 6890994.1737598805 503.81, 275097.84949225135 6890993.932602125 503.81, 275098.1054033615 6890993.225564832 503.84000000000003, 275098.1288170319 6890993.153053579 503.84000000000003, 275098.4759022653 6890991.804512552 503.89, 275098.5037295817 6890991.671302047 503.89, 275098.5315568985 6890991.538091543 503.90000000000003, 275098.57539953396 6890991.252670504 503.90000000000003, 275098.58166276745 6890991.211896069 503.91, 275098.6306335193 6890990.765226888 503.92, 275096.1613446149 6890992.200237756 503.67, 275092.1367444139 6890995.0658026505 503.3, 275082.18220265815 6891002.028869901 503.13, 275069.6117094729 6891010.470708871 503.14, 275061.577471682 6891015.497073851 503, 275049.08205263887 6891023.8817049805 502.81, 275037.47122782737 6891032.053594538 502.81, 275030.5894338377 6891036.72177553 502.77000000000004, 275022.85129264323 6891041.690512396 502.73, 275015.90291269624 6891045.641400459 502.41, 275009.55332933785 6891050.089357895 502.3, 274999.03525654855 6891057.476531076 502.45, 274992.27158154815 6891062.334715111 502.48, 274984.5421829572 6891067.614139488 502.61, 274979.13927826367 6891070.677993347 502.11, 274975.9978288632 6891066.38760094 499.6, 274963.281719343 6891075.425769201 499.84000000000003, 274942.49122338137 6891089.815584311 499.92, 274927.1711816013 6891100.462042662 499.92, 274911.2622648021 6891112.017271382 499.89, 274895.79413033044 6891122.908592298 500.03000000000003, 274881.8270815199 6891132.434681241 500.49, 274867.462753054 6891141.686154823 500.84000000000003, 274855.7978591538 6891149.059222182 500.94, 274842.82986355224 6891157.115960734 501.1, 274827.4831615593 6891166.6093570655 501.2, 274815.1474213189 6891174.657648219 501.41, 274803.73990853154 6891182.09726304 501.7, 274790.6808190874 6891190.363429583 502.03000000000003, 274779.94293097 6891197.439437333 502.39, 274767.82939134835 6891206.582466717 503.01, 274757.4626383354 6891214.950398103 503.39, 274744.9838936324 6891224.4890709 503.90000000000003, 274733.2533386748 6891233.5362628205 504.6, 274723.64793278836 6891241.662701527 505.37, 274714.5856261461 6891249.577952727 506.47, 274707.13785817544 6891255.293475788 506.86, 274701.3012306839 6891260.829291874 507.18, 274693.4271830186 6891267.689699814 507.38, 274684.99864469393 6891274.963320678 507.91, 274681.9482221736 6891280.421363008 510.38, 274679.813328619 6891283.834999645 511.1, 274675.8904515862 6891287.796450996 512.11, 274674.7533217004 6891292.8658678075 513.8, 274672.8970010745 6891297.007266702 514.2))</t>
  </si>
  <si>
    <t>['RV3 S18D1 m6825-6847']</t>
  </si>
  <si>
    <t>LINESTRING Z (279670.49079738266 6884938.094943765 485.46000000000004, 279666.16170130775 6884941.3602452045 485.37, 279659.6650822385 6884942.706558589 485.83, 279661.0072908525 6884946.018390006 486.98, 279664.07838678686 6884946.73823103 487.62, 279666.324171241 6884945.926990479 487.75, 279669.29205203976 6884946.184159078 487.97, 279671.78062284464 6884946.36522505 487.81, 279673.26045584446 6884945.745625633 487.92, 279672.7000131015 6884943.928724895 487.41, 279674.0129570259 6884941.727001829 488.1, 279676.2053388043 6884938.499184566 488.03000000000003, 279679.6933049703 6884935.914796459 488.38, 279678.5000144023 6884932.800153322 487.24, 279670.49079738266 6884938.094943765 485.46000000000004)</t>
  </si>
  <si>
    <t>POLYGON Z ((279670.49079738266 6884938.094943765 485.46000000000004, 279666.16170130775 6884941.3602452045 485.37, 279659.6650822385 6884942.706558589 485.83, 279661.0072908525 6884946.018390006 486.98, 279664.07838678686 6884946.73823103 487.62, 279666.324171241 6884945.926990479 487.75, 279669.29205203976 6884946.184159078 487.97, 279671.78062284464 6884946.36522505 487.81, 279673.26045584446 6884945.745625633 487.92, 279672.7000131015 6884943.928724895 487.41, 279674.0129570259 6884941.727001829 488.1, 279676.2053388043 6884938.499184566 488.03000000000003, 279679.6933049703 6884935.914796459 488.38, 279678.5000144023 6884932.800153322 487.24, 279670.49079738266 6884938.094943765 485.46000000000004))</t>
  </si>
  <si>
    <t>['RV3 S18D1 m5734-5737']</t>
  </si>
  <si>
    <t>LINESTRING Z (280567.65871759976 6884301.944612561 481.48, 280569.4772408251 6884303.242869217 481.39, 280570.559819591 6884302.348655828 481.32, 280571.22522753547 6884301.181665598 481.36, 280570.1132886042 6884299.918331414 481.54, 280568.82346099475 6884300.419814096 481.55, 280567.65871759976 6884301.944612561 481.48)</t>
  </si>
  <si>
    <t>POLYGON Z ((280567.65871759976 6884301.944612561 481.48, 280569.4772408251 6884303.242869217 481.39, 280570.559819591 6884302.348655828 481.32, 280571.22522753547 6884301.181665598 481.36, 280570.1132886042 6884299.918331414 481.54, 280568.82346099475 6884300.419814096 481.55, 280567.65871759976 6884301.944612561 481.48))</t>
  </si>
  <si>
    <t>['RV3 S18D1 m3090-3091']</t>
  </si>
  <si>
    <t>LINESTRING Z (282503.97790876636 6882581.375653019 487.91, 282503.7100472878 6882582.495690599 487.85, 282505.8595413571 6882583.029768663 488.54, 282508.5231535709 6882583.365440487 489.01, 282508.59340416687 6882583.147923905 488.98, 282507.4478055303 6882582.279577052 488.90000000000003, 282506.07655858743 6882582.336447261 488.53000000000003, 282504.1764256966 6882581.457713732 487.96000000000004, 282503.97790876636 6882581.375653019 487.91)</t>
  </si>
  <si>
    <t>POLYGON Z ((282503.97790876636 6882581.375653019 487.91, 282503.7100472878 6882582.495690599 487.85, 282505.8595413571 6882583.029768663 488.54, 282508.5231535709 6882583.365440487 489.01, 282508.59340416687 6882583.147923905 488.98, 282507.4478055303 6882582.279577052 488.90000000000003, 282506.07655858743 6882582.336447261 488.53000000000003, 282504.1764256966 6882581.457713732 487.96000000000004, 282503.97790876636 6882581.375653019 487.91))</t>
  </si>
  <si>
    <t>['RV3 S18D1 m7215-7217']</t>
  </si>
  <si>
    <t>LINESTRING Z (279313.8665362765 6885066.2564715985 481.6, 279314.4485498714 6885066.031656486 481.64, 279314.57056021155 6885065.3973675 481.45, 279313.78550437547 6885065.058244611 481.32, 279313.6245698837 6885065.706192993 481.37, 279313.8665362765 6885066.2564715985 481.6)</t>
  </si>
  <si>
    <t>POLYGON Z ((279313.8665362765 6885066.2564715985 481.6, 279314.4485498714 6885066.031656486 481.64, 279314.57056021155 6885065.3973675 481.45, 279313.78550437547 6885065.058244611 481.32, 279313.6245698837 6885065.706192993 481.37, 279313.8665362765 6885066.2564715985 481.6))</t>
  </si>
  <si>
    <t>['RV3 S18D1 m3348-3350']</t>
  </si>
  <si>
    <t>LINESTRING Z (282388.63599552243 6882812.238769803 476.92, 282389.0686804068 6882811.595773865 476.98, 282385.8524630851 6882809.743940441 475.35, 282385.55780350126 6882810.575084674 475.49, 282388.63599552243 6882812.238769803 476.92)</t>
  </si>
  <si>
    <t>POLYGON Z ((282388.63599552243 6882812.238769803 476.92, 282389.0686804068 6882811.595773865 476.98, 282385.8524630851 6882809.743940441 475.35, 282385.55780350126 6882810.575084674 475.49, 282388.63599552243 6882812.238769803 476.92))</t>
  </si>
  <si>
    <t>['RV3 S19D1 m2678-2683']</t>
  </si>
  <si>
    <t>LINESTRING Z (275859.6159606469 6890020.559819959 525.5600000000001, 275859.94163394626 6890023.202409082 525.65, 275861.6428780545 6890024.210087861 526.64, 275863.69638059137 6890024.682660152 527.46, 275864.01150543254 6890019.850375438 527.27, 275859.6159606469 6890020.559819959 525.5600000000001)</t>
  </si>
  <si>
    <t>POLYGON Z ((275859.6159606469 6890020.559819959 525.5600000000001, 275859.94163394626 6890023.202409082 525.65, 275861.6428780545 6890024.210087861 526.64, 275863.69638059137 6890024.682660152 527.46, 275864.01150543254 6890019.850375438 527.27, 275859.6159606469 6890020.559819959 525.5600000000001))</t>
  </si>
  <si>
    <t>['RV3 S19D1 m1677-1680']</t>
  </si>
  <si>
    <t>LINESTRING Z (276114.0217546983 6889050.529020988 507.16, 276112.14093001786 6889050.834213097 507.15000000000003, 276111.94037016423 6889051.596391709 506.96000000000004, 276112.4080322247 6889053.170740305 506.61, 276113.3276401537 6889052.79399154 506.78000000000003, 276114.17163626617 6889051.710841132 507.02000000000004, 276114.0217546983 6889050.529020988 507.16)</t>
  </si>
  <si>
    <t>POLYGON Z ((276114.0217546983 6889050.529020988 507.16, 276112.14093001786 6889050.834213097 507.15000000000003, 276111.94037016423 6889051.596391709 506.96000000000004, 276112.4080322247 6889053.170740305 506.61, 276113.3276401537 6889052.79399154 506.78000000000003, 276114.17163626617 6889051.710841132 507.02000000000004, 276114.0217546983 6889050.529020988 507.16))</t>
  </si>
  <si>
    <t>['RV3 S19D1 m2216-2219']</t>
  </si>
  <si>
    <t>LINESTRING Z (275996.4570985021 6889579.906233023 510.79, 275997.1370371769 6889577.813391379 510.6, 275996.5385477952 6889576.994750497 510.40000000000003, 275995.56912870903 6889577.376126722 510.58, 275994.8457299932 6889579.000738009 510.74, 275995.6281650745 6889579.852546372 510.79, 275996.4570985021 6889579.906233023 510.79)</t>
  </si>
  <si>
    <t>POLYGON Z ((275996.4570985021 6889579.906233023 510.79, 275997.1370371769 6889577.813391379 510.6, 275996.5385477952 6889576.994750497 510.40000000000003, 275995.56912870903 6889577.376126722 510.58, 275994.8457299932 6889579.000738009 510.74, 275995.6281650745 6889579.852546372 510.79, 275996.4570985021 6889579.906233023 510.79))</t>
  </si>
  <si>
    <t>['RV3 S19D1 m1021-1024']</t>
  </si>
  <si>
    <t>LINESTRING Z (276345.2509989871 6888440.688912117 505.19, 276346.38674713863 6888438.202095969 505.43, 276344.66275627457 6888438.573108485 504.63, 276344.1827398728 6888439.572231359 504.73, 276345.2509989871 6888440.688912117 505.19)</t>
  </si>
  <si>
    <t>POLYGON Z ((276345.2509989871 6888440.688912117 505.19, 276346.38674713863 6888438.202095969 505.43, 276344.66275627457 6888438.573108485 504.63, 276344.1827398728 6888439.572231359 504.73, 276345.2509989871 6888440.688912117 505.19))</t>
  </si>
  <si>
    <t>['RV3 S18D1 m10469-10473']</t>
  </si>
  <si>
    <t>LINESTRING Z (276741.4267173607 6886961.334652991 481.82, 276742.9402701149 6886961.294680003 482.66, 276744.8252015433 6886961.250388279 483.75, 276744.97000019543 6886960.21204579 483.75, 276744.9406103569 6886959.029098065 483.62, 276742.50238524587 6886957.225644323 482.03000000000003, 276741.7312030232 6886958.985287828 481.84000000000003, 276741.4267173607 6886961.334652991 481.82)</t>
  </si>
  <si>
    <t>POLYGON Z ((276741.4267173607 6886961.334652991 481.82, 276742.9402701149 6886961.294680003 482.66, 276744.8252015433 6886961.250388279 483.75, 276744.97000019543 6886960.21204579 483.75, 276744.9406103569 6886959.029098065 483.62, 276742.50238524587 6886957.225644323 482.03000000000003, 276741.7312030232 6886958.985287828 481.84000000000003, 276741.4267173607 6886961.334652991 481.82))</t>
  </si>
  <si>
    <t>['RV3 S18D1 m3341-3355']</t>
  </si>
  <si>
    <t>LINESTRING Z (282412.81677034334 6882823.569935401 479.09000000000003, 282412.49238004326 6882827.438218466 478.2, 282410.6641677363 6882830.692434776 480.35, 282413.1480453144 6882831.798346921 480.39, 282414.32140286395 6882831.016307909 479.90000000000003, 282415.76868177473 6882828.962953391 478.52, 282417.27366397966 6882827.748245949 478.59000000000003, 282418.96248719824 6882826.024150898 479.22, 282424.24609516177 6882825.142150984 481.14, 282427.29084669007 6882824.387461444 481.59000000000003, 282428.1168692731 6882823.8687388925 481.8, 282426.9128281825 6882823.236910055 481.48, 282421.17860253516 6882822.402378989 480.87, 282419.46733550273 6882821.2850799775 481.16, 282412.81677034334 6882823.569935401 479.09000000000003)</t>
  </si>
  <si>
    <t>POLYGON Z ((282412.81677034334 6882823.569935401 479.09000000000003, 282412.49238004326 6882827.438218466 478.2, 282410.6641677363 6882830.692434776 480.35, 282413.1480453144 6882831.798346921 480.39, 282414.32140286395 6882831.016307909 479.90000000000003, 282415.76868177473 6882828.962953391 478.52, 282417.27366397966 6882827.748245949 478.59000000000003, 282418.96248719824 6882826.024150898 479.22, 282424.24609516177 6882825.142150984 481.14, 282427.29084669007 6882824.387461444 481.59000000000003, 282428.1168692731 6882823.8687388925 481.8, 282426.9128281825 6882823.236910055 481.48, 282421.17860253516 6882822.402378989 480.87, 282419.46733550273 6882821.2850799775 481.16, 282412.81677034334 6882823.569935401 479.09000000000003))</t>
  </si>
  <si>
    <t>['RV3 S18D1 m10669-10672']</t>
  </si>
  <si>
    <t>LINESTRING Z (276715.9662221805 6887158.308859179 479.21000000000004, 276716.9092463993 6887157.859615941 479.27, 276716.2766805318 6887157.214950614 479.02, 276714.5534898453 6887156.078656427 478.24, 276713.9167606997 6887158.529191505 478.37, 276715.9662221805 6887158.308859179 479.21000000000004)</t>
  </si>
  <si>
    <t>POLYGON Z ((276715.9662221805 6887158.308859179 479.21000000000004, 276716.9092463993 6887157.859615941 479.27, 276716.2766805318 6887157.214950614 479.02, 276714.5534898453 6887156.078656427 478.24, 276713.9167606997 6887158.529191505 478.37, 276715.9662221805 6887158.308859179 479.21000000000004))</t>
  </si>
  <si>
    <t>['RV3 S18D1 m5797-5801']</t>
  </si>
  <si>
    <t>LINESTRING Z (280521.5569997991 6884348.161253077 483.21000000000004, 280522.588424158 6884348.989955155 483.97, 280523.65323206433 6884348.7705909815 484.18, 280525.5759139152 6884346.642939248 484.55, 280521.91339575185 6884343.988502527 483.09000000000003, 280520.0346738262 6884345.398683455 483.18, 280521.5569997991 6884348.161253077 483.21000000000004)</t>
  </si>
  <si>
    <t>POLYGON Z ((280521.5569997991 6884348.161253077 483.21000000000004, 280522.588424158 6884348.989955155 483.97, 280523.65323206433 6884348.7705909815 484.18, 280525.5759139152 6884346.642939248 484.55, 280521.91339575185 6884343.988502527 483.09000000000003, 280520.0346738262 6884345.398683455 483.18, 280521.5569997991 6884348.161253077 483.21000000000004))</t>
  </si>
  <si>
    <t>['RV3 S18D1 m6772-6776']</t>
  </si>
  <si>
    <t>LINESTRING Z (279724.6363100926 6884912.945356484 487.8, 279727.77272626327 6884910.795501328 488.41, 279725.6248193712 6884910.170865673 486.73, 279724.2242741834 6884909.587414392 487.05, 279722.89982926566 6884910.47393562 487.15000000000003, 279723.9907263286 6884912.593293555 487.32, 279724.6363100926 6884912.945356484 487.8)</t>
  </si>
  <si>
    <t>POLYGON Z ((279724.6363100926 6884912.945356484 487.8, 279727.77272626327 6884910.795501328 488.41, 279725.6248193712 6884910.170865673 486.73, 279724.2242741834 6884909.587414392 487.05, 279722.89982926566 6884910.47393562 487.15000000000003, 279723.9907263286 6884912.593293555 487.32, 279724.6363100926 6884912.945356484 487.8))</t>
  </si>
  <si>
    <t>['RV3 S18D1 m2287-2300']</t>
  </si>
  <si>
    <t>LINESTRING Z (282850.49907789414 6881885.336890321 495.1, 282849.16901460505 6881881.1799987 494.37, 282850.30915407016 6881878.090109771 493.46000000000004, 282853.38407852076 6881877.985737879 493.54, 282855.92778008734 6881876.16226855 493.63, 282856.27989550744 6881873.56747466 493.57, 282853.69553888217 6881870.511593078 493.33, 282852.51541897096 6881870.570822389 492.92, 282851.573502788 6881873.089707407 492.42, 282850.00860965624 6881875.716617332 492.78000000000003, 282849.14814680594 6881877.705472904 493.62, 282847.9025285989 6881881.066382999 494.33, 282849.9128604317 6881885.732885158 495.02000000000004, 282850.49907789414 6881885.336890321 495.1)</t>
  </si>
  <si>
    <t>POLYGON Z ((282850.49907789414 6881885.336890321 495.1, 282849.16901460505 6881881.1799987 494.37, 282850.30915407016 6881878.090109771 493.46000000000004, 282853.38407852076 6881877.985737879 493.54, 282855.92778008734 6881876.16226855 493.63, 282856.27989550744 6881873.56747466 493.57, 282853.69553888217 6881870.511593078 493.33, 282852.51541897096 6881870.570822389 492.92, 282851.573502788 6881873.089707407 492.42, 282850.00860965624 6881875.716617332 492.78000000000003, 282849.14814680594 6881877.705472904 493.62, 282847.9025285989 6881881.066382999 494.33, 282849.9128604317 6881885.732885158 495.02000000000004, 282850.49907789414 6881885.336890321 495.1))</t>
  </si>
  <si>
    <t>['RV3 S19D1 m1394-1401']</t>
  </si>
  <si>
    <t>LINESTRING Z (276206.195503291 6888789.745317207 505.23, 276206.849436798 6888790.187032208 505.3, 276209.919839868 6888788.083347932 505.41, 276210.53828446055 6888786.518726436 505.43, 276209.6153137824 6888784.152639806 505.26, 276207.8593501835 6888783.421327942 505.04, 276207.77591642656 6888785.770290866 504.1, 276207.42469635146 6888786.857944051 504.18, 276206.195503291 6888789.745317207 505.23)</t>
  </si>
  <si>
    <t>POLYGON Z ((276206.195503291 6888789.745317207 505.23, 276206.849436798 6888790.187032208 505.3, 276209.919839868 6888788.083347932 505.41, 276210.53828446055 6888786.518726436 505.43, 276209.6153137824 6888784.152639806 505.26, 276207.8593501835 6888783.421327942 505.04, 276207.77591642656 6888785.770290866 504.1, 276207.42469635146 6888786.857944051 504.18, 276206.195503291 6888789.745317207 505.23))</t>
  </si>
  <si>
    <t>['RV3 S18D1 m10469-10476']</t>
  </si>
  <si>
    <t>LINESTRING Z (276763.6349669689 6886967.744324504 483.95, 276764.93798631884 6886968.467447213 484.51, 276767.3281111606 6886967.803533403 485.54, 276768.8839690415 6886967.136652812 486.27, 276769.9762075097 6886965.588370559 486.45, 276769.95029502816 6886963.360098842 486.33, 276769.0165984818 6886962.50222296 485.99, 276766.63702969346 6886961.5474143075 484.81, 276765.0285732746 6886961.214366654 484.36, 276763.512578074 6886962.852212952 483.61, 276763.7589995787 6886965.291128202 483.15000000000003, 276763.6349669689 6886967.744324504 483.95)</t>
  </si>
  <si>
    <t>POLYGON Z ((276763.6349669689 6886967.744324504 483.95, 276764.93798631884 6886968.467447213 484.51, 276767.3281111606 6886967.803533403 485.54, 276768.8839690415 6886967.136652812 486.27, 276769.9762075097 6886965.588370559 486.45, 276769.95029502816 6886963.360098842 486.33, 276769.0165984818 6886962.50222296 485.99, 276766.63702969346 6886961.5474143075 484.81, 276765.0285732746 6886961.214366654 484.36, 276763.512578074 6886962.852212952 483.61, 276763.7589995787 6886965.291128202 483.15000000000003, 276763.6349669689 6886967.744324504 483.95))</t>
  </si>
  <si>
    <t>['RV3 S19D1 m1561-1564']</t>
  </si>
  <si>
    <t>LINESTRING Z (276135.0255196721 6888938.944123644 503.48, 276135.12857661885 6888936.914878787 503.17, 276134.3762422798 6888936.170804096 503.01, 276131.20523527893 6888936.324439487 501.15000000000003, 276131.1657129119 6888936.981237988 501.31, 276135.0255196721 6888938.944123644 503.48)</t>
  </si>
  <si>
    <t>POLYGON Z ((276135.0255196721 6888938.944123644 503.48, 276135.12857661885 6888936.914878787 503.17, 276134.3762422798 6888936.170804096 503.01, 276131.20523527893 6888936.324439487 501.15000000000003, 276131.1657129119 6888936.981237988 501.31, 276135.0255196721 6888938.944123644 503.48))</t>
  </si>
  <si>
    <t>['RV3 S19D1 m4904-4906']</t>
  </si>
  <si>
    <t>LINESTRING Z (274425.54619916057 6891646.609530984 531.8, 274426.8035627251 6891645.216669841 531.77, 274423.8889610979 6891643.045501336 530.1800000000001, 274420.69839600986 6891641.040627722 527.97, 274418.30138709134 6891640.007110415 527.0600000000001, 274417.57951388136 6891640.998569239 527.02, 274418.8688882935 6891643.089501791 527.83, 274422.2039257563 6891644.377581497 529.77, 274425.54619916057 6891646.609530984 531.8)</t>
  </si>
  <si>
    <t>POLYGON Z ((274425.54619916057 6891646.609530984 531.8, 274426.8035627251 6891645.216669841 531.77, 274423.8889610979 6891643.045501336 530.1800000000001, 274420.69839600986 6891641.040627722 527.97, 274418.30138709134 6891640.007110415 527.0600000000001, 274417.57951388136 6891640.998569239 527.02, 274418.8688882935 6891643.089501791 527.83, 274422.2039257563 6891644.377581497 529.77, 274425.54619916057 6891646.609530984 531.8))</t>
  </si>
  <si>
    <t>['RV3 S18D1 m3543-3547']</t>
  </si>
  <si>
    <t>LINESTRING Z (282281.6164294179 6882977.603443909 473.68, 282283.614995547 6882975.860658555 473.85, 282284.2846193645 6882974.52248997 474.26, 282282.6616444595 6882975.115145535 473.88, 282281.0833263822 6882976.839040646 473.73, 282281.6164294179 6882977.603443909 473.68)</t>
  </si>
  <si>
    <t>POLYGON Z ((282281.6164294179 6882977.603443909 473.68, 282283.614995547 6882975.860658555 473.85, 282284.2846193645 6882974.52248997 474.26, 282282.6616444595 6882975.115145535 473.88, 282281.0833263822 6882976.839040646 473.73, 282281.6164294179 6882977.603443909 473.68))</t>
  </si>
  <si>
    <t>['RV3 S18D1 m8293-8297']</t>
  </si>
  <si>
    <t>LINESTRING Z (278349.27088381647 6885558.276233787 488.08, 278352.1768672917 6885558.840576784 488.42, 278352.2727917279 6885558.791484417 488.43, 278352.5526539996 6885557.80091298 488.31, 278351.84625630296 6885555.927201803 488.35, 278351.0154914473 6885555.853566596 488.23, 278350.07976766385 6885556.814561826 487.98, 278348.9826955735 6885557.227842492 488.05, 278349.27088381647 6885558.276233787 488.08)</t>
  </si>
  <si>
    <t>POLYGON Z ((278349.27088381647 6885558.276233787 488.08, 278352.1768672917 6885558.840576784 488.42, 278352.2727917279 6885558.791484417 488.43, 278352.5526539996 6885557.80091298 488.31, 278351.84625630296 6885555.927201803 488.35, 278351.0154914473 6885555.853566596 488.23, 278350.07976766385 6885556.814561826 487.98, 278348.9826955735 6885557.227842492 488.05, 278349.27088381647 6885558.276233787 488.08))</t>
  </si>
  <si>
    <t>['RV3 S19D1 m1781-1787']</t>
  </si>
  <si>
    <t>LINESTRING Z (276104.49064307834 6889159.381142668 507.09000000000003, 276104.21465046564 6889161.928847657 507.57, 276105.05879493547 6889162.3629552005 508.11, 276107.5525719938 6889162.382700825 509.24, 276109.5134829879 6889161.316461724 509.55, 276110.1017085196 6889159.101510985 509.53000000000003, 276107.6044715289 6889156.771009018 508.78000000000003, 276104.8637238343 6889157.879483624 507, 276104.49064307834 6889159.381142668 507.09000000000003)</t>
  </si>
  <si>
    <t>POLYGON Z ((276104.49064307834 6889159.381142668 507.09000000000003, 276104.21465046564 6889161.928847657 507.57, 276105.05879493547 6889162.3629552005 508.11, 276107.5525719938 6889162.382700825 509.24, 276109.5134829879 6889161.316461724 509.55, 276110.1017085196 6889159.101510985 509.53000000000003, 276107.6044715289 6889156.771009018 508.78000000000003, 276104.8637238343 6889157.879483624 507, 276104.49064307834 6889159.381142668 507.09000000000003))</t>
  </si>
  <si>
    <t>['RV3 S19D1 m376-382']</t>
  </si>
  <si>
    <t>LINESTRING Z (276595.5551229231 6887849.378211876 484.76, 276597.2912046566 6887847.729975215 484.37, 276598.2841863909 6887844.462618525 484.41, 276595.21373776195 6887844.616943936 485.19, 276595.5551229231 6887849.378211876 484.76)</t>
  </si>
  <si>
    <t>POLYGON Z ((276595.5551229231 6887849.378211876 484.76, 276597.2912046566 6887847.729975215 484.37, 276598.2841863909 6887844.462618525 484.41, 276595.21373776195 6887844.616943936 485.19, 276595.5551229231 6887849.378211876 484.76))</t>
  </si>
  <si>
    <t>['RV3 S18D1 m5687-5695']</t>
  </si>
  <si>
    <t>LINESTRING Z (280600.0772493732 6884272.209821491 480.61, 280601.5797656921 6884272.5929059265 480.40000000000003, 280603.0559934629 6884272.476040746 480.34000000000003, 280603.78003882535 6884272.1576713305 480.41, 280604.4110506353 6884269.536945866 480.87, 280604.529887051 6884267.6771305455 480.51, 280604.3719454149 6884265.541560845 480.7, 280602.49056813447 6884264.540520934 480.49, 280600.702429018 6884265.952343616 480.44, 280599.8940486737 6884269.152200164 480.49, 280600.0772493732 6884272.209821491 480.61)</t>
  </si>
  <si>
    <t>POLYGON Z ((280600.0772493732 6884272.209821491 480.61, 280601.5797656921 6884272.5929059265 480.40000000000003, 280603.0559934629 6884272.476040746 480.34000000000003, 280603.78003882535 6884272.1576713305 480.41, 280604.4110506353 6884269.536945866 480.87, 280604.529887051 6884267.6771305455 480.51, 280604.3719454149 6884265.541560845 480.7, 280602.49056813447 6884264.540520934 480.49, 280600.702429018 6884265.952343616 480.44, 280599.8940486737 6884269.152200164 480.49, 280600.0772493732 6884272.209821491 480.61))</t>
  </si>
  <si>
    <t>['RV3 S19D1 m1093-1097']</t>
  </si>
  <si>
    <t>LINESTRING Z (276291.6001013173 6888496.079721846 503, 276292.83290667407 6888493.6642814595 502.89, 276290.0929158746 6888492.290778924 502.42, 276285.93025247235 6888490.637339651 501.01, 276284.2485671642 6888494.71219137 500.53000000000003, 276286.90966748004 6888495.560464132 501.52000000000004, 276291.6001013173 6888496.079721846 503)</t>
  </si>
  <si>
    <t>POLYGON Z ((276291.6001013173 6888496.079721846 503, 276292.83290667407 6888493.6642814595 502.89, 276290.0929158746 6888492.290778924 502.42, 276285.93025247235 6888490.637339651 501.01, 276284.2485671642 6888494.71219137 500.53000000000003, 276286.90966748004 6888495.560464132 501.52000000000004, 276291.6001013173 6888496.079721846 503))</t>
  </si>
  <si>
    <t>['RV3 S18D1 m10580-10602']</t>
  </si>
  <si>
    <t>LINESTRING Z (276748.23501626943 6887091.981205693 481.18, 276747.85414216516 6887088.851400496 481.18, 276748.0916194789 6887083.61440197 481.40000000000003, 276747.97426274756 6887078.993120999 481.59000000000003, 276748.44236159115 6887070.177695877 482.16, 276747.0254514453 6887070.068028542 482.17, 276746.64247280074 6887077.418581042 481.8, 276746.66524296266 6887082.319938094 481.58, 276746.35632023495 6887090.035397954 481.36, 276747.1038398412 6887092.568485733 480.89, 276748.23501626943 6887091.981205693 481.18)</t>
  </si>
  <si>
    <t>POLYGON Z ((276748.23501626943 6887091.981205693 481.18, 276747.85414216516 6887088.851400496 481.18, 276748.0916194789 6887083.61440197 481.40000000000003, 276747.97426274756 6887078.993120999 481.59000000000003, 276748.44236159115 6887070.177695877 482.16, 276747.0254514453 6887070.068028542 482.17, 276746.64247280074 6887077.418581042 481.8, 276746.66524296266 6887082.319938094 481.58, 276746.35632023495 6887090.035397954 481.36, 276747.1038398412 6887092.568485733 480.89, 276748.23501626943 6887091.981205693 481.18))</t>
  </si>
  <si>
    <t>['RV3 S18D1 m1797-1800']</t>
  </si>
  <si>
    <t>LINESTRING Z (283094.0639518913 6881442.434606756 488.52, 283094.7564849964 6881441.234996527 488.56, 283092.17482746404 6881437.666438177 487.21000000000004, 283089.71359153686 6881439.512388944 486.89, 283094.0639518913 6881442.434606756 488.52)</t>
  </si>
  <si>
    <t>POLYGON Z ((283094.0639518913 6881442.434606756 488.52, 283094.7564849964 6881441.234996527 488.56, 283092.17482746404 6881437.666438177 487.21000000000004, 283089.71359153686 6881439.512388944 486.89, 283094.0639518913 6881442.434606756 488.52))</t>
  </si>
  <si>
    <t>['RV3 S19D1 m2676-2701']</t>
  </si>
  <si>
    <t>LINESTRING Z (275875.615387182 6890046.245039119 528.08, 275877.2369825634 6890045.8533641705 528.66, 275879.0952967119 6890042.274537371 528.88, 275880.6217968108 6890036.6364868935 528.73, 275881.8581540348 6890033.718282352 528.61, 275886.7160479135 6890032.252500337 530.5600000000001, 275888.75002210017 6890029.591850505 530.88, 275886.3384452297 6890025.153336579 529.33, 275884.3086532482 6890024.286684259 528.22, 275883.3595924098 6890022.505814121 527.72, 275882.0228740667 6890022.177721218 527.14, 275880.6966680881 6890028.349830227 527.29, 275875.615387182 6890046.245039119 528.08)</t>
  </si>
  <si>
    <t>POLYGON Z ((275875.615387182 6890046.245039119 528.08, 275877.2369825634 6890045.8533641705 528.66, 275879.0952967119 6890042.274537371 528.88, 275880.6217968108 6890036.6364868935 528.73, 275881.8581540348 6890033.718282352 528.61, 275886.7160479135 6890032.252500337 530.5600000000001, 275888.75002210017 6890029.591850505 530.88, 275886.3384452297 6890025.153336579 529.33, 275884.3086532482 6890024.286684259 528.22, 275883.3595924098 6890022.505814121 527.72, 275882.0228740667 6890022.177721218 527.14, 275880.6966680881 6890028.349830227 527.29, 275875.615387182 6890046.245039119 528.08))</t>
  </si>
  <si>
    <t>['RV3 S18D1 m1582-1585']</t>
  </si>
  <si>
    <t>LINESTRING Z (283250.2443979486 6881292.205645414 483.79, 283252.3822938517 6881291.856631814 484.21000000000004, 283251.23601639434 6881290.114207389 483.71000000000004, 283249.5033790788 6881290.174442708 483.64, 283249.0423351282 6881291.161675608 483.66, 283250.2443979486 6881292.205645414 483.79)</t>
  </si>
  <si>
    <t>POLYGON Z ((283250.2443979486 6881292.205645414 483.79, 283252.3822938517 6881291.856631814 484.21000000000004, 283251.23601639434 6881290.114207389 483.71000000000004, 283249.5033790788 6881290.174442708 483.64, 283249.0423351282 6881291.161675608 483.66, 283250.2443979486 6881292.205645414 483.79))</t>
  </si>
  <si>
    <t>['RV3 S19D1 m800-808']</t>
  </si>
  <si>
    <t>LINESTRING Z (276406.28890572046 6888227.027718692 497.61, 276407.0888275147 6888225.144816564 497.69, 276406.14083524176 6888223.916491911 497.1, 276402.0742424285 6888223.731205688 495.55, 276399.4907181484 6888224.151841732 494.77000000000004, 276398.1275437561 6888225.162589741 493.99, 276396.82187813683 6888225.926845377 493.27000000000004, 276397.66740391974 6888228.541273808 493.14, 276400.7211916929 6888227.23295076 494.63, 276403.5522254399 6888226.447707515 495.89, 276406.28890572046 6888227.027718692 497.61)</t>
  </si>
  <si>
    <t>POLYGON Z ((276406.28890572046 6888227.027718692 497.61, 276407.0888275147 6888225.144816564 497.69, 276406.14083524176 6888223.916491911 497.1, 276402.0742424285 6888223.731205688 495.55, 276399.4907181484 6888224.151841732 494.77000000000004, 276398.1275437561 6888225.162589741 493.99, 276396.82187813683 6888225.926845377 493.27000000000004, 276397.66740391974 6888228.541273808 493.14, 276400.7211916929 6888227.23295076 494.63, 276403.5522254399 6888226.447707515 495.89, 276406.28890572046 6888227.027718692 497.61))</t>
  </si>
  <si>
    <t>['RV3 S19D1 m596-607']</t>
  </si>
  <si>
    <t>LINESTRING Z (276509.08349069755 6888045.483881305 493.7, 276506.8468931724 6888045.420151354 493.40000000000003, 276506.50840384583 6888046.536762296 493.28000000000003, 276504.47051549394 6888050.021674282 493.69, 276505.9945637883 6888050.744372115 493.74, 276507.7368736647 6888056.742174145 494.5, 276510.6441358274 6888056.994865273 494.59000000000003, 276510.42578111327 6888052.151839048 494.18, 276509.08349069755 6888045.483881305 493.7)</t>
  </si>
  <si>
    <t>POLYGON Z ((276509.08349069755 6888045.483881305 493.7, 276506.8468931724 6888045.420151354 493.40000000000003, 276506.50840384583 6888046.536762296 493.28000000000003, 276504.47051549394 6888050.021674282 493.69, 276505.9945637883 6888050.744372115 493.74, 276507.7368736647 6888056.742174145 494.5, 276510.6441358274 6888056.994865273 494.59000000000003, 276510.42578111327 6888052.151839048 494.18, 276509.08349069755 6888045.483881305 493.7))</t>
  </si>
  <si>
    <t>['RV3 S18D1 m9178-9186']</t>
  </si>
  <si>
    <t>LINESTRING Z (277617.91307325126 6886031.011604794 500.8, 277621.0120419983 6886029.6489121 500.59000000000003, 277622.7671321775 6886027.98890186 500.75, 277622.1391849018 6886025.444732875 500.07, 277620.94092258817 6886022.6018030355 499.82, 277619.19219000207 6886022.814308761 499.99, 277616.99927982123 6886025.278593823 500.15000000000003, 277614.5606985792 6886027.1527458085 500.09000000000003, 277616.5244043342 6886029.040424328 499.64, 277617.91307325126 6886031.011604794 500.8)</t>
  </si>
  <si>
    <t>POLYGON Z ((277617.91307325126 6886031.011604794 500.8, 277621.0120419983 6886029.6489121 500.59000000000003, 277622.7671321775 6886027.98890186 500.75, 277622.1391849018 6886025.444732875 500.07, 277620.94092258817 6886022.6018030355 499.82, 277619.19219000207 6886022.814308761 499.99, 277616.99927982123 6886025.278593823 500.15000000000003, 277614.5606985792 6886027.1527458085 500.09000000000003, 277616.5244043342 6886029.040424328 499.64, 277617.91307325126 6886031.011604794 500.8))</t>
  </si>
  <si>
    <t>['RV3 S18D1 m6127-6132']</t>
  </si>
  <si>
    <t>LINESTRING Z (280261.12374961434 6884554.420041085 485.98, 280262.90880453726 6884554.274519987 486, 280263.8234718249 6884552.220288617 485.86, 280263.61745918693 6884550.541324106 485.92, 280261.9739302426 6884549.829699182 485.66, 280260.5325118341 6884550.646683819 485.73, 280261.12374961434 6884554.420041085 485.98)</t>
  </si>
  <si>
    <t>POLYGON Z ((280261.12374961434 6884554.420041085 485.98, 280262.90880453726 6884554.274519987 486, 280263.8234718249 6884552.220288617 485.86, 280263.61745918693 6884550.541324106 485.92, 280261.9739302426 6884549.829699182 485.66, 280260.5325118341 6884550.646683819 485.73, 280261.12374961434 6884554.420041085 485.98))</t>
  </si>
  <si>
    <t>['RV3 S18D1 m3201-3212']</t>
  </si>
  <si>
    <t>LINESTRING Z (282467.76798143814 6882687.431312681 483.15000000000003, 282466.403871818 6882690.381234578 483.11, 282465.7551698689 6882693.2446960425 483.08, 282464.870655071 6882696.923794376 483.62, 282466.620750705 6882697.484873715 483.73, 282468.32290232833 6882697.095877311 483.82, 282470.1837406531 6882695.818017872 483.43, 282471.34408487956 6882693.379331464 482.79, 282471.8085211951 6882691.778867673 482.73, 282473.34265170596 6882691.636553046 483.54, 282474.4655897474 6882690.5276216585 484.08, 282474.31093051925 6882690.1601594305 484.05, 282473.6025090255 6882690.105305253 483.76, 282471.96415630623 6882689.232431562 483.42, 282471.0122496274 6882688.285831634 483.57, 282469.83552636014 6882687.731848636 483.44, 282469.13442200853 6882686.2395069515 483.69, 282467.76798143814 6882687.431312681 483.15000000000003)</t>
  </si>
  <si>
    <t>POLYGON Z ((282467.76798143814 6882687.431312681 483.15000000000003, 282466.403871818 6882690.381234578 483.11, 282465.7551698689 6882693.2446960425 483.08, 282464.870655071 6882696.923794376 483.62, 282466.620750705 6882697.484873715 483.73, 282468.32290232833 6882697.095877311 483.82, 282470.1837406531 6882695.818017872 483.43, 282471.34408487956 6882693.379331464 482.79, 282471.8085211951 6882691.778867673 482.73, 282473.34265170596 6882691.636553046 483.54, 282474.4655897474 6882690.5276216585 484.08, 282474.31093051925 6882690.1601594305 484.05, 282473.6025090255 6882690.105305253 483.76, 282471.96415630623 6882689.232431562 483.42, 282471.0122496274 6882688.285831634 483.57, 282469.83552636014 6882687.731848636 483.44, 282469.13442200853 6882686.2395069515 483.69, 282467.76798143814 6882687.431312681 483.15000000000003))</t>
  </si>
  <si>
    <t>['RV3 S18D1 m9476-9482']</t>
  </si>
  <si>
    <t>LINESTRING Z (277417.7615353897 6886250.021961045 499.48, 277421.7895385502 6886245.568691866 499.28000000000003, 277420.9842299847 6886244.578326445 498.6, 277419.8354835941 6886244.00165466 498.07, 277418.23629806284 6886245.717539911 497.56, 277415.76536142244 6886247.243019886 497.98, 277417.05934065324 6886248.9516912205 498.78000000000003, 277417.7615353897 6886250.021961045 499.48)</t>
  </si>
  <si>
    <t>POLYGON Z ((277417.7615353897 6886250.021961045 499.48, 277421.7895385502 6886245.568691866 499.28000000000003, 277420.9842299847 6886244.578326445 498.6, 277419.8354835941 6886244.00165466 498.07, 277418.23629806284 6886245.717539911 497.56, 277415.76536142244 6886247.243019886 497.98, 277417.05934065324 6886248.9516912205 498.78000000000003, 277417.7615353897 6886250.021961045 499.48))</t>
  </si>
  <si>
    <t>['RV3 S18D1 m9267-9273']</t>
  </si>
  <si>
    <t>LINESTRING Z (277562.81582597067 6886096.482576091 501.3, 277565.83138539083 6886093.138112553 501, 277563.04686273664 6886090.201219911 499.41, 277561.1146917839 6886089.1948411865 499.31, 277559.4932135999 6886090.129045428 499.64, 277558.4962923523 6886093.246005569 499.65000000000003, 277560.2684631913 6886095.884962497 500.86, 277562.81582597067 6886096.482576091 501.3)</t>
  </si>
  <si>
    <t>POLYGON Z ((277562.81582597067 6886096.482576091 501.3, 277565.83138539083 6886093.138112553 501, 277563.04686273664 6886090.201219911 499.41, 277561.1146917839 6886089.1948411865 499.31, 277559.4932135999 6886090.129045428 499.64, 277558.4962923523 6886093.246005569 499.65000000000003, 277560.2684631913 6886095.884962497 500.86, 277562.81582597067 6886096.482576091 501.3))</t>
  </si>
  <si>
    <t>['RV3 S18D1 m1579-1589']</t>
  </si>
  <si>
    <t>LINESTRING Z (283267.3392174792 6881308.605110389 484.5, 283262.7377200653 6881310.991192997 485.33, 283265.8554290751 6881311.998142031 485.2, 283267.3300699872 6881312.51445154 485.37, 283269.3297684755 6881310.892171158 485.31, 283269.7845464144 6881309.9457096765 485.24, 283274.8081965622 6881309.077838841 486.68, 283274.56942974834 6881308.778464455 486.66, 283271.33697389776 6881308.917530665 485.82, 283270.0244943916 6881308.416322453 485.43, 283267.3392174792 6881308.605110389 484.5)</t>
  </si>
  <si>
    <t>POLYGON Z ((283267.3392174792 6881308.605110389 484.5, 283262.7377200653 6881310.991192997 485.33, 283265.8554290751 6881311.998142031 485.2, 283267.3300699872 6881312.51445154 485.37, 283269.3297684755 6881310.892171158 485.31, 283269.7845464144 6881309.9457096765 485.24, 283274.8081965622 6881309.077838841 486.68, 283274.56942974834 6881308.778464455 486.66, 283271.33697389776 6881308.917530665 485.82, 283270.0244943916 6881308.416322453 485.43, 283267.3392174792 6881308.605110389 484.5))</t>
  </si>
  <si>
    <t>['RV3 S18D1 m3463-3476']</t>
  </si>
  <si>
    <t>LINESTRING Z (282339.59514363814 6882929.231094317 475.92, 282339.2410896538 6882932.238036195 476.15000000000003, 282344.8878705939 6882929.855387823 474.66, 282348.55577479926 6882931.052412217 475.03000000000003, 282352.68544992665 6882930.187026654 475.32, 282353.5216381271 6882929.777883975 475.22, 282353.9813572521 6882927.585045351 475.13, 282351.50588901615 6882927.111354532 474.76, 282347.0964972329 6882925.611353857 474.21000000000004, 282346.2696754753 6882924.713436369 474.7, 282339.59514363814 6882929.231094317 475.92)</t>
  </si>
  <si>
    <t>POLYGON Z ((282339.59514363814 6882929.231094317 475.92, 282339.2410896538 6882932.238036195 476.15000000000003, 282344.8878705939 6882929.855387823 474.66, 282348.55577479926 6882931.052412217 475.03000000000003, 282352.68544992665 6882930.187026654 475.32, 282353.5216381271 6882929.777883975 475.22, 282353.9813572521 6882927.585045351 475.13, 282351.50588901615 6882927.111354532 474.76, 282347.0964972329 6882925.611353857 474.21000000000004, 282346.2696754753 6882924.713436369 474.7, 282339.59514363814 6882929.231094317 475.92))</t>
  </si>
  <si>
    <t>['RV3 S19D1 m2764-2769']</t>
  </si>
  <si>
    <t>LINESTRING Z (275837.381088739 6890101.552229218 528.97, 275837.2909715206 6890100.3648591805 528.71, 275835.6156187024 6890099.63612721 527.67, 275834.20485959837 6890102.299220603 527.8100000000001, 275832.82302603306 6890103.97490628 527.46, 275835.6217703837 6890104.790278825 528.71, 275837.381088739 6890101.552229218 528.97)</t>
  </si>
  <si>
    <t>POLYGON Z ((275837.381088739 6890101.552229218 528.97, 275837.2909715206 6890100.3648591805 528.71, 275835.6156187024 6890099.63612721 527.67, 275834.20485959837 6890102.299220603 527.8100000000001, 275832.82302603306 6890103.97490628 527.46, 275835.6217703837 6890104.790278825 528.71, 275837.381088739 6890101.552229218 528.97))</t>
  </si>
  <si>
    <t>['RV3 S18D1 m3613-3618']</t>
  </si>
  <si>
    <t>LINESTRING Z (282233.5293004826 6883029.167693611 470.49, 282235.1471531154 6883027.761653979 470.51, 282234.52504801727 6883024.413217433 470.16, 282233.04990109766 6883022.158727087 470.68, 282232.3610092972 6883020.9063941715 471.1, 282229.7620359409 6883024.191929525 470.76, 282230.6890745264 6883026.386742951 470.38, 282233.5293004826 6883029.167693611 470.49)</t>
  </si>
  <si>
    <t>POLYGON Z ((282233.5293004826 6883029.167693611 470.49, 282235.1471531154 6883027.761653979 470.51, 282234.52504801727 6883024.413217433 470.16, 282233.04990109766 6883022.158727087 470.68, 282232.3610092972 6883020.9063941715 471.1, 282229.7620359409 6883024.191929525 470.76, 282230.6890745264 6883026.386742951 470.38, 282233.5293004826 6883029.167693611 470.49))</t>
  </si>
  <si>
    <t>['RV3 S18D1 m1906-1907']</t>
  </si>
  <si>
    <t>LINESTRING Z (283033.0749083641 6881534.179197677 490.31, 283033.42432043585 6881533.071698506 490.31, 283032.3465301435 6881531.634394333 489.76, 283031.03246426536 6881532.74094368 489.73, 283033.0749083641 6881534.179197677 490.31)</t>
  </si>
  <si>
    <t>POLYGON Z ((283033.0749083641 6881534.179197677 490.31, 283033.42432043585 6881533.071698506 490.31, 283032.3465301435 6881531.634394333 489.76, 283031.03246426536 6881532.74094368 489.73, 283033.0749083641 6881534.179197677 490.31))</t>
  </si>
  <si>
    <t>['RV3 S19D1 m3930-4005']</t>
  </si>
  <si>
    <t>LINESTRING Z (275049.8652556308 6890993.242191595 502.05, 275054.628752156 6890986.42940697 502.29, 275060.74276366166 6890978.144790107 502.79, 275065.4065528599 6890971.77333745 503.12, 275071.33161862567 6890966.540835665 503.36, 275076.2772592198 6890963.097408221 503.56, 275081.7192973939 6890960.130410798 503.89, 275088.3416074596 6890956.672017446 503.97, 275094.94857336016 6890952.290609142 503.87, 275097.211089515 6890950.251801456 503.73, 275090.24936555966 6890933.383932256 492.3, 275085.639796803 6890934.92718543 491.35, 275079.54608177446 6890937.693420773 490.66, 275073.68246973515 6890941.423025686 490.44, 275069.50010845216 6890944.212799609 490.58, 275064.795330962 6890948.086039249 491.07, 275059.1257550027 6890952.390480342 491.05, 275054.6701238456 6890958.189955256 491.57, 275049.1148876356 6890965.458068296 492.09000000000003, 275044.8281135557 6890971.452882911 492.36, 275043.0207592464 6890975.147595991 492.64, 275037.07212082524 6890988.461089796 493.03000000000003, 275049.8652556308 6890993.242191595 502.05)</t>
  </si>
  <si>
    <t>POLYGON Z ((275049.8652556308 6890993.242191595 502.05, 275054.628752156 6890986.42940697 502.29, 275060.74276366166 6890978.144790107 502.79, 275065.4065528599 6890971.77333745 503.12, 275071.33161862567 6890966.540835665 503.36, 275076.2772592198 6890963.097408221 503.56, 275081.7192973939 6890960.130410798 503.89, 275088.3416074596 6890956.672017446 503.97, 275094.94857336016 6890952.290609142 503.87, 275097.211089515 6890950.251801456 503.73, 275090.24936555966 6890933.383932256 492.3, 275085.639796803 6890934.92718543 491.35, 275079.54608177446 6890937.693420773 490.66, 275073.68246973515 6890941.423025686 490.44, 275069.50010845216 6890944.212799609 490.58, 275064.795330962 6890948.086039249 491.07, 275059.1257550027 6890952.390480342 491.05, 275054.6701238456 6890958.189955256 491.57, 275049.1148876356 6890965.458068296 492.09000000000003, 275044.8281135557 6890971.452882911 492.36, 275043.0207592464 6890975.147595991 492.64, 275037.07212082524 6890988.461089796 493.03000000000003, 275049.8652556308 6890993.242191595 502.05))</t>
  </si>
  <si>
    <t>['RV3 S18D1 m1796-1799']</t>
  </si>
  <si>
    <t>LINESTRING Z (283116.03864453826 6881459.557001351 489.54, 283120.3420817192 6881462.081668204 490.37, 283121.03738656925 6881460.911943631 490.40000000000003, 283118.03660997015 6881457.48273781 490.01, 283116.8734152379 6881458.37434043 489.56, 283116.03864453826 6881459.557001351 489.54)</t>
  </si>
  <si>
    <t>POLYGON Z ((283116.03864453826 6881459.557001351 489.54, 283120.3420817192 6881462.081668204 490.37, 283121.03738656925 6881460.911943631 490.40000000000003, 283118.03660997015 6881457.48273781 490.01, 283116.8734152379 6881458.37434043 489.56, 283116.03864453826 6881459.557001351 489.54))</t>
  </si>
  <si>
    <t>['RV3 S18D1 m10236-10239']</t>
  </si>
  <si>
    <t>LINESTRING Z (276850.365560756 6886751.459437624 486.14, 276851.72864395136 6886750.880785334 486.27, 276852.1524858511 6886749.384482466 486.11, 276851.4713398356 6886748.432833599 485.82, 276850.6339839753 6886747.746882438 485.41, 276849.2119659963 6886749.747783375 485.38, 276850.365560756 6886751.459437624 486.14)</t>
  </si>
  <si>
    <t>POLYGON Z ((276850.365560756 6886751.459437624 486.14, 276851.72864395136 6886750.880785334 486.27, 276852.1524858511 6886749.384482466 486.11, 276851.4713398356 6886748.432833599 485.82, 276850.6339839753 6886747.746882438 485.41, 276849.2119659963 6886749.747783375 485.38, 276850.365560756 6886751.459437624 486.14))</t>
  </si>
  <si>
    <t>['RV3 S18D1 m9350-9353']</t>
  </si>
  <si>
    <t>LINESTRING Z (277491.0975729087 6886140.4959540125 497.85, 277491.8482255952 6886139.381305009 497.64, 277490.396288826 6886137.486330341 496.45, 277489.71042164345 6886135.942288262 495.55, 277488.04787134787 6886138.16645234 495.7, 277489.7174344872 6886139.699600229 496.92, 277491.0975729087 6886140.4959540125 497.85)</t>
  </si>
  <si>
    <t>POLYGON Z ((277491.0975729087 6886140.4959540125 497.85, 277491.8482255952 6886139.381305009 497.64, 277490.396288826 6886137.486330341 496.45, 277489.71042164345 6886135.942288262 495.55, 277488.04787134787 6886138.16645234 495.7, 277489.7174344872 6886139.699600229 496.92, 277491.0975729087 6886140.4959540125 497.85))</t>
  </si>
  <si>
    <t>['RV3 S19D1 m1087-1090']</t>
  </si>
  <si>
    <t>LINESTRING Z (276325.8934892202 6888503.648486717 503.62, 276326.82146017905 6888500.979990397 504.06, 276324.81778268813 6888500.5027731415 504.02000000000004, 276324.53957880416 6888501.402781237 503.62, 276324.0478678843 6888502.9254931845 503.75, 276325.8934892202 6888503.648486717 503.62)</t>
  </si>
  <si>
    <t>POLYGON Z ((276325.8934892202 6888503.648486717 503.62, 276326.82146017905 6888500.979990397 504.06, 276324.81778268813 6888500.5027731415 504.02000000000004, 276324.53957880416 6888501.402781237 503.62, 276324.0478678843 6888502.9254931845 503.75, 276325.8934892202 6888503.648486717 503.62))</t>
  </si>
  <si>
    <t>['RV3 S18D1 m4110-4115']</t>
  </si>
  <si>
    <t>LINESTRING Z (281844.0064736235 6883332.370040754 472.65000000000003, 281840.4435822426 6883333.604862024 472.78000000000003, 281840.11100840557 6883335.976821667 473.16, 281840.95559946634 6883337.174522325 473.90000000000003, 281842.2990198488 6883337.250845871 474.13, 281843.79907114746 6883336.307871921 474.19, 281844.7803818053 6883335.5134985 474.02, 281844.0064736235 6883332.370040754 472.65000000000003)</t>
  </si>
  <si>
    <t>POLYGON Z ((281844.0064736235 6883332.370040754 472.65000000000003, 281840.4435822426 6883333.604862024 472.78000000000003, 281840.11100840557 6883335.976821667 473.16, 281840.95559946634 6883337.174522325 473.90000000000003, 281842.2990198488 6883337.250845871 474.13, 281843.79907114746 6883336.307871921 474.19, 281844.7803818053 6883335.5134985 474.02, 281844.0064736235 6883332.370040754 472.65000000000003))</t>
  </si>
  <si>
    <t>['RV3 S19D1 m2363-2370']</t>
  </si>
  <si>
    <t>LINESTRING Z (275958.9827944517 6889725.244695278 512.07, 275960.6154323948 6889726.379322833 512.36, 275962.3770406741 6889726.738317879 512.96, 275964.25830426405 6889724.272716565 513, 275964.70083815116 6889720.704730359 513, 275962.1646097783 6889719.794647368 511.96000000000004, 275958.9827944517 6889725.244695278 512.07)</t>
  </si>
  <si>
    <t>POLYGON Z ((275958.9827944517 6889725.244695278 512.07, 275960.6154323948 6889726.379322833 512.36, 275962.3770406741 6889726.738317879 512.96, 275964.25830426405 6889724.272716565 513, 275964.70083815116 6889720.704730359 513, 275962.1646097783 6889719.794647368 511.96000000000004, 275958.9827944517 6889725.244695278 512.07))</t>
  </si>
  <si>
    <t>['RV3 S19D1 m236-239']</t>
  </si>
  <si>
    <t>LINESTRING Z (276639.50935237895 6887712.995615921 484.04, 276640.7674519582 6887711.502269269 483.95, 276641.80372049636 6887710.54196282 484.04, 276641.7322294988 6887710.096432548 483.99, 276640.3771288613 6887709.136994626 484.19, 276639.22233136557 6887709.686280389 484.07, 276638.87163214735 6887711.537534071 483.97, 276638.66193341196 6887712.742671616 484, 276639.50935237895 6887712.995615921 484.04)</t>
  </si>
  <si>
    <t>POLYGON Z ((276639.50935237895 6887712.995615921 484.04, 276640.7674519582 6887711.502269269 483.95, 276641.80372049636 6887710.54196282 484.04, 276641.7322294988 6887710.096432548 483.99, 276640.3771288613 6887709.136994626 484.19, 276639.22233136557 6887709.686280389 484.07, 276638.87163214735 6887711.537534071 483.97, 276638.66193341196 6887712.742671616 484, 276639.50935237895 6887712.995615921 484.04))</t>
  </si>
  <si>
    <t>['RV3 S18D1 m5478-5485']</t>
  </si>
  <si>
    <t>LINESTRING Z (280705.9336213484 6884083.367742982 475.40000000000003, 280707.89697826386 6884080.703793272 475.26, 280706.4967579671 6884079.798780678 475.34000000000003, 280704.16379795247 6884079.995127924 475.3, 280702.2536447113 6884082.041228158 475.29, 280701.989587556 6884083.743702655 475.06, 280704.13583024795 6884084.458929081 475.26, 280705.9336213484 6884083.367742982 475.40000000000003)</t>
  </si>
  <si>
    <t>POLYGON Z ((280705.9336213484 6884083.367742982 475.40000000000003, 280707.89697826386 6884080.703793272 475.26, 280706.4967579671 6884079.798780678 475.34000000000003, 280704.16379795247 6884079.995127924 475.3, 280702.2536447113 6884082.041228158 475.29, 280701.989587556 6884083.743702655 475.06, 280704.13583024795 6884084.458929081 475.26, 280705.9336213484 6884083.367742982 475.40000000000003))</t>
  </si>
  <si>
    <t>['RV3 S19D1 m3384-3393']</t>
  </si>
  <si>
    <t>LINESTRING Z (275569.2886303348 6890660.9216965055 512.17, 275564.81649466034 6890657.558696449 512.5600000000001, 275560.8214563568 6890657.38693553 512.77, 275558.33590353443 6890660.270388837 512.77, 275557.64408315544 6890662.776324828 512.76, 275561.78985852725 6890664.571952899 512.7, 275565.190558739 6890665.160619429 512.72, 275569.2886303348 6890660.9216965055 512.17)</t>
  </si>
  <si>
    <t>POLYGON Z ((275569.2886303348 6890660.9216965055 512.17, 275564.81649466034 6890657.558696449 512.5600000000001, 275560.8214563568 6890657.38693553 512.77, 275558.33590353443 6890660.270388837 512.77, 275557.64408315544 6890662.776324828 512.76, 275561.78985852725 6890664.571952899 512.7, 275565.190558739 6890665.160619429 512.72, 275569.2886303348 6890660.9216965055 512.17))</t>
  </si>
  <si>
    <t>['RV3 S18D1 m1292-1298']</t>
  </si>
  <si>
    <t>LINESTRING Z (283461.9191731543 6881097.584108127 478.82, 283465.38042888395 6881094.27895051 478.88, 283464.9581634392 6881093.192794671 478.86, 283460.51065906335 6881094.097644812 478.77, 283459.97670550644 6881094.840449897 478.62, 283459.9582832089 6881096.158384032 478.46000000000004, 283460.44288947317 6881097.1583774 478.6, 283461.9191731543 6881097.584108127 478.82)</t>
  </si>
  <si>
    <t>POLYGON Z ((283461.9191731543 6881097.584108127 478.82, 283465.38042888395 6881094.27895051 478.88, 283464.9581634392 6881093.192794671 478.86, 283460.51065906335 6881094.097644812 478.77, 283459.97670550644 6881094.840449897 478.62, 283459.9582832089 6881096.158384032 478.46000000000004, 283460.44288947317 6881097.1583774 478.6, 283461.9191731543 6881097.584108127 478.82))</t>
  </si>
  <si>
    <t>['RV3 S18D1 m9222-9231']</t>
  </si>
  <si>
    <t>LINESTRING Z (277588.2424338069 6886063.185361264 499.54, 277590.3074911657 6886062.591822278 499.62, 277591.22852607834 6886061.039347847 499.11, 277592.7410101753 6886056.548210728 499.68, 277590.4315118118 6886056.24001361 499.74, 277588.877415602 6886058.333535176 499.5, 277587.5146500931 6886059.565269371 499.69, 277587.07304702245 6886062.711084333 499.3, 277588.2424338069 6886063.185361264 499.54)</t>
  </si>
  <si>
    <t>POLYGON Z ((277588.2424338069 6886063.185361264 499.54, 277590.3074911657 6886062.591822278 499.62, 277591.22852607834 6886061.039347847 499.11, 277592.7410101753 6886056.548210728 499.68, 277590.4315118118 6886056.24001361 499.74, 277588.877415602 6886058.333535176 499.5, 277587.5146500931 6886059.565269371 499.69, 277587.07304702245 6886062.711084333 499.3, 277588.2424338069 6886063.185361264 499.54))</t>
  </si>
  <si>
    <t>['RV3 S19D1 m1932-1938']</t>
  </si>
  <si>
    <t>LINESTRING Z (276069.6553640637 6889306.092124583 506.96000000000004, 276068.90303101746 6889308.70413902 507.6, 276071.8470835992 6889309.244786724 507.82, 276073.8615624007 6889306.80702246 507.93, 276073.3544346616 6889304.482724451 507.61, 276072.77482748084 6889303.109681312 507.67, 276070.002073125 6889302.141159509 507.41, 276069.92306293466 6889304.429426766 507.06, 276069.6553640637 6889306.092124583 506.96000000000004)</t>
  </si>
  <si>
    <t>POLYGON Z ((276069.6553640637 6889306.092124583 506.96000000000004, 276068.90303101746 6889308.70413902 507.6, 276071.8470835992 6889309.244786724 507.82, 276073.8615624007 6889306.80702246 507.93, 276073.3544346616 6889304.482724451 507.61, 276072.77482748084 6889303.109681312 507.67, 276070.002073125 6889302.141159509 507.41, 276069.92306293466 6889304.429426766 507.06, 276069.6553640637 6889306.092124583 506.96000000000004))</t>
  </si>
  <si>
    <t>['RV3 S18D1 m2918-2921']</t>
  </si>
  <si>
    <t>LINESTRING Z (282565.50603356445 6882422.9846160235 488.28000000000003, 282566.4413957836 6882424.29446533 489.45, 282567.43276011583 6882424.041741144 489.83, 282568.0614131437 6882422.5868081665 489.84000000000003, 282567.9075868975 6882421.686745748 489.49, 282565.9614350278 6882421.39504042 488.40000000000003, 282565.50603356445 6882422.9846160235 488.28000000000003)</t>
  </si>
  <si>
    <t>POLYGON Z ((282565.50603356445 6882422.9846160235 488.28000000000003, 282566.4413957836 6882424.29446533 489.45, 282567.43276011583 6882424.041741144 489.83, 282568.0614131437 6882422.5868081665 489.84000000000003, 282567.9075868975 6882421.686745748 489.49, 282565.9614350278 6882421.39504042 488.40000000000003, 282565.50603356445 6882422.9846160235 488.28000000000003))</t>
  </si>
  <si>
    <t>['RV3 S19D1 m1651-1655']</t>
  </si>
  <si>
    <t>LINESTRING Z (276117.60774076614 6889027.889275893 506.55, 276115.26188065426 6889025.132747456 505.85, 276113.6689815595 6889023.451824454 505.46000000000004, 276112.6533299309 6889023.33507909 505.43, 276112.30879269075 6889024.602980554 505.61, 276113.375418193 6889025.810244407 505.83, 276114.1323153103 6889028.010878626 506.37, 276115.4606168644 6889028.681399194 506.6, 276116.82125189155 6889028.725932796 506.59000000000003, 276117.60774076614 6889027.889275893 506.55)</t>
  </si>
  <si>
    <t>POLYGON Z ((276117.60774076614 6889027.889275893 506.55, 276115.26188065426 6889025.132747456 505.85, 276113.6689815595 6889023.451824454 505.46000000000004, 276112.6533299309 6889023.33507909 505.43, 276112.30879269075 6889024.602980554 505.61, 276113.375418193 6889025.810244407 505.83, 276114.1323153103 6889028.010878626 506.37, 276115.4606168644 6889028.681399194 506.6, 276116.82125189155 6889028.725932796 506.59000000000003, 276117.60774076614 6889027.889275893 506.55))</t>
  </si>
  <si>
    <t>['RV3 S18D1 m9625-9629']</t>
  </si>
  <si>
    <t>LINESTRING Z (277298.5814244386 6886336.863296246 497.15000000000003, 277300.82722414774 6886334.1026988095 496.85, 277298.924413651 6886332.329945117 495.34000000000003, 277297.6727404207 6886329.994368305 493.85, 277295.206281205 6886327.128439844 491.49, 277293.484254207 6886328.061930903 491.48, 277292.753230197 6886330.4709592145 492.1, 277294.5533396609 6886332.544636255 493.64, 277296.3107101611 6886333.074880127 494.5, 277297.2273551928 6886334.507076936 495.67, 277297.5727585725 6886335.630551198 496.35, 277298.5814244386 6886336.863296246 497.15000000000003)</t>
  </si>
  <si>
    <t>POLYGON Z ((277298.5814244386 6886336.863296246 497.15000000000003, 277300.82722414774 6886334.1026988095 496.85, 277298.924413651 6886332.329945117 495.34000000000003, 277297.6727404207 6886329.994368305 493.85, 277295.206281205 6886327.128439844 491.49, 277293.484254207 6886328.061930903 491.48, 277292.753230197 6886330.4709592145 492.1, 277294.5533396609 6886332.544636255 493.64, 277296.3107101611 6886333.074880127 494.5, 277297.2273551928 6886334.507076936 495.67, 277297.5727585725 6886335.630551198 496.35, 277298.5814244386 6886336.863296246 497.15000000000003))</t>
  </si>
  <si>
    <t>['RV3 S18D1 m9963-9970']</t>
  </si>
  <si>
    <t>LINESTRING Z (277084.65303385496 6886599.827201968 486.79, 277088.01564047846 6886597.515604939 486.59000000000003, 277087.23773434316 6886595.196351375 486.52, 277081.14580015274 6886591.159637445 486.76, 277077.9295387304 6886592.774385948 487.01, 277076.1726099821 6886595.389147438 486.82, 277079.25664276734 6886598.629836014 486.22, 277084.65303385496 6886599.827201968 486.79)</t>
  </si>
  <si>
    <t>POLYGON Z ((277084.65303385496 6886599.827201968 486.79, 277088.01564047846 6886597.515604939 486.59000000000003, 277087.23773434316 6886595.196351375 486.52, 277081.14580015274 6886591.159637445 486.76, 277077.9295387304 6886592.774385948 487.01, 277076.1726099821 6886595.389147438 486.82, 277079.25664276734 6886598.629836014 486.22, 277084.65303385496 6886599.827201968 486.79))</t>
  </si>
  <si>
    <t>['RV3 S19D1 m2468-2629']</t>
  </si>
  <si>
    <t>LINESTRING Z (275895.17248316994 6889977.106874345 524.78, 275898.0849080997 6889974.8168556765 525.91, 275901.5218483767 6889972.548488565 527.16, 275904.0103419892 6889971.212204575 528.14, 275909.88320495107 6889965.200868972 529.87, 275911.9409773212 6889961.714060635 530.23, 275915.2726230292 6889958.852576498 531.24, 275917.2443309754 6889958.227441399 532.0600000000001, 275919.62862843927 6889955.443842618 532.48, 275921.02115592186 6889951.285265602 531.96, 275920.33835690306 6889948.042790681 531.14, 275921.1241927262 6889943.51850343 530.94, 275923.40316046134 6889939.167116883 530.95, 275924.9815350407 6889933.654881375 531.01, 275925.9075753699 6889926.635679226 530.33, 275927.5969668587 6889920.912175743 530.08, 275928.44686934014 6889915.77905133 530.03, 275930.2846848316 6889910.46379511 529.75, 275933.04226241703 6889900.551532499 528.51, 275934.0094809459 6889896.141036583 528.24, 275935.0397515818 6889885.806308671 526.28, 275935.7029706197 6889881.584801123 525.8100000000001, 275936.0222349147 6889874.631969301 524.79, 275935.6852927606 6889866.996481033 523.82, 275935.3537950404 6889862.234267589 523.09, 275932.98176052154 6889860.495043731 522.39, 275930.08187857876 6889860.322090074 521.12, 275927.21483208064 6889859.312089436 519.51, 275926.70167480165 6889858.11374588 519.12, 275928.2631987127 6889852.311678664 518.6800000000001, 275929.33081002 6889846.38463731 518, 275931.05030137807 6889840.76887158 518.05, 275932.6371244079 6889835.888889373 518.12, 275934.5441039042 6889828.8288795445 517.61, 275936.3165479907 6889824.866149331 517.99, 275942.1885601141 6889826.5317120515 520.97, 275943.44437485415 6889824.797390733 520.8100000000001, 275941.1518652272 6889823.914928533 520.09, 275937.18042893906 6889822.806472502 518.01, 275935.9138321037 6889821.718255527 517.24, 275934.44873833156 6889821.522654754 516.36, 275932.136948355 6889830.067177006 516.87, 275929.41113678773 6889840.971259129 517.46, 275925.4050332943 6889855.511042204 518.25, 275920.9766225087 6889873.295395408 519.21, 275918.0037624078 6889885.75978294 519.95, 275914.749934033 6889899.094298149 520.6, 275910.61772829475 6889914.007524838 521.32, 275905.12169731746 6889934.36283337 522.32, 275901.32270272414 6889950.159518812 523.21, 275895.7059285077 6889974.193626447 524.51, 275895.17248316994 6889977.106874345 524.78)</t>
  </si>
  <si>
    <t>POLYGON Z ((275895.17248316994 6889977.106874345 524.78, 275898.0849080997 6889974.8168556765 525.91, 275901.5218483767 6889972.548488565 527.16, 275904.0103419892 6889971.212204575 528.14, 275909.88320495107 6889965.200868972 529.87, 275911.9409773212 6889961.714060635 530.23, 275915.2726230292 6889958.852576498 531.24, 275917.2443309754 6889958.227441399 532.0600000000001, 275919.62862843927 6889955.443842618 532.48, 275921.02115592186 6889951.285265602 531.96, 275920.33835690306 6889948.042790681 531.14, 275921.1241927262 6889943.51850343 530.94, 275923.40316046134 6889939.167116883 530.95, 275924.9815350407 6889933.654881375 531.01, 275925.9075753699 6889926.635679226 530.33, 275927.5969668587 6889920.912175743 530.08, 275928.44686934014 6889915.77905133 530.03, 275930.2846848316 6889910.46379511 529.75, 275933.04226241703 6889900.551532499 528.51, 275934.0094809459 6889896.141036583 528.24, 275935.0397515818 6889885.806308671 526.28, 275935.7029706197 6889881.584801123 525.8100000000001, 275936.0222349147 6889874.631969301 524.79, 275935.6852927606 6889866.996481033 523.82, 275935.3537950404 6889862.234267589 523.09, 275932.98176052154 6889860.495043731 522.39, 275930.08187857876 6889860.322090074 521.12, 275927.21483208064 6889859.312089436 519.51, 275926.70167480165 6889858.11374588 519.12, 275928.2631987127 6889852.311678664 518.6800000000001, 275929.33081002 6889846.38463731 518, 275931.05030137807 6889840.76887158 518.05, 275932.6371244079 6889835.888889373 518.12, 275934.5441039042 6889828.8288795445 517.61, 275936.3165479907 6889824.866149331 517.99, 275942.1885601141 6889826.5317120515 520.97, 275943.44437485415 6889824.797390733 520.8100000000001, 275941.1518652272 6889823.914928533 520.09, 275937.18042893906 6889822.806472502 518.01, 275935.9138321037 6889821.718255527 517.24, 275934.44873833156 6889821.522654754 516.36, 275932.136948355 6889830.067177006 516.87, 275929.41113678773 6889840.971259129 517.46, 275925.4050332943 6889855.511042204 518.25, 275920.9766225087 6889873.295395408 519.21, 275918.0037624078 6889885.75978294 519.95, 275914.749934033 6889899.094298149 520.6, 275910.61772829475 6889914.007524838 521.32, 275905.12169731746 6889934.36283337 522.32, 275901.32270272414 6889950.159518812 523.21, 275895.7059285077 6889974.193626447 524.51, 275895.17248316994 6889977.106874345 524.78))</t>
  </si>
  <si>
    <t>['RV3 S18D1 m5480-5485']</t>
  </si>
  <si>
    <t>LINESTRING Z (280734.64371402527 6884111.781855658 476.51, 280737.1292925668 6884110.847909722 476.25, 280737.71717109403 6884108.412049447 476.91, 280736.17030044936 6884106.576153603 476.64, 280734.02436856943 6884105.539370605 476.81, 280732.43670455046 6884106.6211098 476.8, 280732.4981064772 6884108.474248811 476.38, 280734.64371402527 6884111.781855658 476.51)</t>
  </si>
  <si>
    <t>POLYGON Z ((280734.64371402527 6884111.781855658 476.51, 280737.1292925668 6884110.847909722 476.25, 280737.71717109403 6884108.412049447 476.91, 280736.17030044936 6884106.576153603 476.64, 280734.02436856943 6884105.539370605 476.81, 280732.43670455046 6884106.6211098 476.8, 280732.4981064772 6884108.474248811 476.38, 280734.64371402527 6884111.781855658 476.51))</t>
  </si>
  <si>
    <t>['RV3 S18D1 m1325-1331']</t>
  </si>
  <si>
    <t>LINESTRING Z (283411.4605906367 6881095.7434757445 477.63, 283413.997159305 6881095.468010026 478.53000000000003, 283415.59691244835 6881095.058391667 478.98, 283415.43200833886 6881094.038791965 478.96000000000004, 283413.0722116319 6881093.403631645 478.21000000000004, 283410.58935013704 6881093.824828686 477.33, 283409.5215871585 6881093.903772369 477.18, 283408.58145086945 6881094.925393212 477.15000000000003, 283409.00054029643 6881095.760655973 477.26, 283410.2301467542 6881096.018364135 477.2, 283411.4605906367 6881095.7434757445 477.63)</t>
  </si>
  <si>
    <t>POLYGON Z ((283411.4605906367 6881095.7434757445 477.63, 283413.997159305 6881095.468010026 478.53000000000003, 283415.59691244835 6881095.058391667 478.98, 283415.43200833886 6881094.038791965 478.96000000000004, 283413.0722116319 6881093.403631645 478.21000000000004, 283410.58935013704 6881093.824828686 477.33, 283409.5215871585 6881093.903772369 477.18, 283408.58145086945 6881094.925393212 477.15000000000003, 283409.00054029643 6881095.760655973 477.26, 283410.2301467542 6881096.018364135 477.2, 283411.4605906367 6881095.7434757445 477.63))</t>
  </si>
  <si>
    <t>['RV3 S19D1 m2235-2237']</t>
  </si>
  <si>
    <t>LINESTRING Z (275991.0336400591 6889597.471427678 510.44, 275992.3853820551 6889595.688013058 510.90000000000003, 275990.0401130606 6889595.644443055 510.86, 275991.0336400591 6889597.471427678 510.44)</t>
  </si>
  <si>
    <t>POLYGON Z ((275991.0336400591 6889597.471427678 510.44, 275992.3853820551 6889595.688013058 510.90000000000003, 275990.0401130606 6889595.644443055 510.86, 275991.0336400591 6889597.471427678 510.44))</t>
  </si>
  <si>
    <t>['RV3 S18D1 m1354-1360']</t>
  </si>
  <si>
    <t>LINESTRING Z (283422.58791815647 6881137.282741602 479.09000000000003, 283420.4978417476 6881139.013875593 478.94, 283418.8711488005 6881140.541268633 478.97, 283418.9867065731 6881143.303667309 478.99, 283420.18723618507 6881144.006163123 479.02, 283421.60178617534 6881144.849568111 478.98, 283422.87167284056 6881144.349975229 479.06, 283423.2953816831 6881141.7686506575 478.94, 283424.2408012586 6881139.179125539 479.02, 283423.47501126246 6881137.964072252 478.64, 283422.58791815647 6881137.282741602 479.09000000000003)</t>
  </si>
  <si>
    <t>POLYGON Z ((283422.58791815647 6881137.282741602 479.09000000000003, 283420.4978417476 6881139.013875593 478.94, 283418.8711488005 6881140.541268633 478.97, 283418.9867065731 6881143.303667309 478.99, 283420.18723618507 6881144.006163123 479.02, 283421.60178617534 6881144.849568111 478.98, 283422.87167284056 6881144.349975229 479.06, 283423.2953816831 6881141.7686506575 478.94, 283424.2408012586 6881139.179125539 479.02, 283423.47501126246 6881137.964072252 478.64, 283422.58791815647 6881137.282741602 479.09000000000003))</t>
  </si>
  <si>
    <t>['RV3 S18D1 m10236-10240']</t>
  </si>
  <si>
    <t>LINESTRING Z (276869.42053702695 6886764.60256766 487.88, 276870.30542977276 6886764.068289449 487.92, 276870.5947378252 6886763.28783667 487.82, 276869.910599575 6886761.221128571 487.38, 276868.6855533873 6886761.987933278 486.7, 276867.89022393234 6886762.945967895 486.67, 276868.0772692344 6886764.636784813 487.48, 276869.42053702695 6886764.60256766 487.88)</t>
  </si>
  <si>
    <t>POLYGON Z ((276869.42053702695 6886764.60256766 487.88, 276870.30542977276 6886764.068289449 487.92, 276870.5947378252 6886763.28783667 487.82, 276869.910599575 6886761.221128571 487.38, 276868.6855533873 6886761.987933278 486.7, 276867.89022393234 6886762.945967895 486.67, 276868.0772692344 6886764.636784813 487.48, 276869.42053702695 6886764.60256766 487.88))</t>
  </si>
  <si>
    <t>['RV3 S19D1 m2158-2169']</t>
  </si>
  <si>
    <t>LINESTRING Z (276011.42441225203 6889525.512886479 509.48, 276011.0838756456 6889526.499070616 509.49, 276008.76471659215 6889530.201044744 509.79, 276010.31508845533 6889531.423695126 509.67, 276013.5773668554 6889530.196467491 509.71000000000004, 276015.3013268071 6889528.850769859 509.85, 276016.5481952971 6889526.695259854 510.05, 276016.35902212677 6889523.89932992 510.21000000000004, 276014.6710826474 6889521.302800264 510.15000000000003, 276012.09769308416 6889520.858379207 509.65000000000003, 276011.2987444382 6889523.725927567 509.57, 276011.42441225203 6889525.512886479 509.48)</t>
  </si>
  <si>
    <t>POLYGON Z ((276011.42441225203 6889525.512886479 509.48, 276011.0838756456 6889526.499070616 509.49, 276008.76471659215 6889530.201044744 509.79, 276010.31508845533 6889531.423695126 509.67, 276013.5773668554 6889530.196467491 509.71000000000004, 276015.3013268071 6889528.850769859 509.85, 276016.5481952971 6889526.695259854 510.05, 276016.35902212677 6889523.89932992 510.21000000000004, 276014.6710826474 6889521.302800264 510.15000000000003, 276012.09769308416 6889520.858379207 509.65000000000003, 276011.2987444382 6889523.725927567 509.57, 276011.42441225203 6889525.512886479 509.48))</t>
  </si>
  <si>
    <t>['RV3 S18D1 m2340-2346']</t>
  </si>
  <si>
    <t>LINESTRING Z (282817.64781483007 6881915.171003199 492.74, 282815.95943674934 6881915.166855406 492.99, 282816.2259945262 6881917.282263997 493.83, 282819.6963064673 6881917.432595005 493.35, 282821.2426719977 6881916.55568128 493.46000000000004, 282820.68352395925 6881914.427223043 493.15000000000003, 282820.3179559711 6881912.65256879 493.5, 282819.1274913293 6881911.517096118 493.27000000000004, 282818.4843186906 6881914.440316688 492.62, 282817.64781483007 6881915.171003199 492.74)</t>
  </si>
  <si>
    <t>POLYGON Z ((282817.64781483007 6881915.171003199 492.74, 282815.95943674934 6881915.166855406 492.99, 282816.2259945262 6881917.282263997 493.83, 282819.6963064673 6881917.432595005 493.35, 282821.2426719977 6881916.55568128 493.46000000000004, 282820.68352395925 6881914.427223043 493.15000000000003, 282820.3179559711 6881912.65256879 493.5, 282819.1274913293 6881911.517096118 493.27000000000004, 282818.4843186906 6881914.440316688 492.62, 282817.64781483007 6881915.171003199 492.74))</t>
  </si>
  <si>
    <t>['RV3 S18D1 m3201-3206']</t>
  </si>
  <si>
    <t>LINESTRING Z (282440.1458910274 6882680.378125281 479.98, 282435.95183640346 6882674.8089529555 477.82, 282433.4768706565 6882675.098830139 476.90000000000003, 282432.7342391383 6882675.650006313 477.08, 282434.0731079091 6882677.193709694 477.53000000000003, 282433.3649826719 6882677.7919229595 477.82, 282434.00500213413 6882678.0842177635 478.08, 282435.45635180257 6882678.240963383 477.62, 282436.97268634336 6882679.74810876 478.67, 282439.55771537556 6882681.186258896 479.79, 282440.1458910274 6882680.378125281 479.98)</t>
  </si>
  <si>
    <t>POLYGON Z ((282440.1458910274 6882680.378125281 479.98, 282435.95183640346 6882674.8089529555 477.82, 282433.4768706565 6882675.098830139 476.90000000000003, 282432.7342391383 6882675.650006313 477.08, 282434.0731079091 6882677.193709694 477.53000000000003, 282433.3649826719 6882677.7919229595 477.82, 282434.00500213413 6882678.0842177635 478.08, 282435.45635180257 6882678.240963383 477.62, 282436.97268634336 6882679.74810876 478.67, 282439.55771537556 6882681.186258896 479.79, 282440.1458910274 6882680.378125281 479.98))</t>
  </si>
  <si>
    <t>['RV3 S18D1 m3940-3944']</t>
  </si>
  <si>
    <t>LINESTRING Z (281980.337730772 6883232.127059205 472.12, 281979.5018402273 6883233.189274852 472.19, 281980.449432848 6883234.739134865 472.71000000000004, 281981.71262668 6883236.008525206 473.44, 281982.44855895126 6883237.226352899 474.22, 281984.41433304816 6883237.837753277 475.07, 281985.2563802027 6883237.166825056 475.21000000000004, 281985.32686046173 6883235.110564853 474.42, 281982.3738766054 6883231.114258701 472.15000000000003, 281980.337730772 6883232.127059205 472.12)</t>
  </si>
  <si>
    <t>POLYGON Z ((281980.337730772 6883232.127059205 472.12, 281979.5018402273 6883233.189274852 472.19, 281980.449432848 6883234.739134865 472.71000000000004, 281981.71262668 6883236.008525206 473.44, 281982.44855895126 6883237.226352899 474.22, 281984.41433304816 6883237.837753277 475.07, 281985.2563802027 6883237.166825056 475.21000000000004, 281985.32686046173 6883235.110564853 474.42, 281982.3738766054 6883231.114258701 472.15000000000003, 281980.337730772 6883232.127059205 472.12))</t>
  </si>
  <si>
    <t>['RV3 S18D1 m6996-7000']</t>
  </si>
  <si>
    <t>LINESTRING Z (279531.71515946893 6885030.419329184 481.84000000000003, 279533.514397006 6885030.101672358 481.89, 279534.79221700464 6885027.521386265 481.92, 279533.1271087317 6885026.902194899 481.02, 279531.34389239084 6885028.0422898065 480.71000000000004, 279531.71515946893 6885030.419329184 481.84000000000003)</t>
  </si>
  <si>
    <t>POLYGON Z ((279531.71515946893 6885030.419329184 481.84000000000003, 279533.514397006 6885030.101672358 481.89, 279534.79221700464 6885027.521386265 481.92, 279533.1271087317 6885026.902194899 481.02, 279531.34389239084 6885028.0422898065 480.71000000000004, 279531.71515946893 6885030.419329184 481.84000000000003))</t>
  </si>
  <si>
    <t>['RV3 S19D1 m1237-1243']</t>
  </si>
  <si>
    <t>LINESTRING Z (276263.4515966282 6888636.894355039 504.83, 276262.32017495646 6888639.7525547175 504.66, 276261.92653903377 6888640.924528731 504.65000000000003, 276261.6202330171 6888643.253982576 504.79, 276263.05164440774 6888643.844599186 505.44, 276264.5246111271 6888642.934185282 505.74, 276265.42979006 6888640.669727602 505.56, 276263.4515966282 6888636.894355039 504.83)</t>
  </si>
  <si>
    <t>POLYGON Z ((276263.4515966282 6888636.894355039 504.83, 276262.32017495646 6888639.7525547175 504.66, 276261.92653903377 6888640.924528731 504.65000000000003, 276261.6202330171 6888643.253982576 504.79, 276263.05164440774 6888643.844599186 505.44, 276264.5246111271 6888642.934185282 505.74, 276265.42979006 6888640.669727602 505.56, 276263.4515966282 6888636.894355039 504.83))</t>
  </si>
  <si>
    <t>['RV3 S19D1 m531-540']</t>
  </si>
  <si>
    <t>LINESTRING Z (276532.2557816494 6887984.541809946 491.71000000000004, 276530.1082642938 6887986.087559123 491.65000000000003, 276527.9342782404 6887988.972164695 492, 276533.99315574806 6887995.142107903 493.05, 276536.26028438064 6887996.5092606675 493.13, 276539.035448576 6887995.879929833 493.23, 276536.99984098005 6887990.944304687 492.92, 276533.9794189878 6887986.873780667 492.14, 276532.2557816494 6887984.541809946 491.71000000000004)</t>
  </si>
  <si>
    <t>POLYGON Z ((276532.2557816494 6887984.541809946 491.71000000000004, 276530.1082642938 6887986.087559123 491.65000000000003, 276527.9342782404 6887988.972164695 492, 276533.99315574806 6887995.142107903 493.05, 276536.26028438064 6887996.5092606675 493.13, 276539.035448576 6887995.879929833 493.23, 276536.99984098005 6887990.944304687 492.92, 276533.9794189878 6887986.873780667 492.14, 276532.2557816494 6887984.541809946 491.71000000000004))</t>
  </si>
  <si>
    <t>['RV3 S19D1 m17-23']</t>
  </si>
  <si>
    <t>LINESTRING Z (276695.2791047862 6887496.910313219 480.59000000000003, 276694.77793116437 6887498.222883842 480.39, 276693.87601904967 6887500.306155147 480.93, 276695.69832646183 6887501.644257312 480.69, 276697.42612555186 6887501.855694432 480.47, 276698.38750912435 6887500.08844338 480.54, 276698.58437891945 6887499.28642158 480.7, 276697.9913230548 6887497.0102984775 480.44, 276695.75840983423 6887496.011744235 480.66, 276695.2791047862 6887496.910313219 480.59000000000003)</t>
  </si>
  <si>
    <t>POLYGON Z ((276695.2791047862 6887496.910313219 480.59000000000003, 276694.77793116437 6887498.222883842 480.39, 276693.87601904967 6887500.306155147 480.93, 276695.69832646183 6887501.644257312 480.69, 276697.42612555186 6887501.855694432 480.47, 276698.38750912435 6887500.08844338 480.54, 276698.58437891945 6887499.28642158 480.7, 276697.9913230548 6887497.0102984775 480.44, 276695.75840983423 6887496.011744235 480.66, 276695.2791047862 6887496.910313219 480.59000000000003))</t>
  </si>
  <si>
    <t>['RV3 S19D1 m1931-1937']</t>
  </si>
  <si>
    <t>LINESTRING Z (276042.9936993517 6889296.740045979 505.05, 276040.769647416 6889294.213370336 503.23, 276036.8640514328 6889296.304154989 502.28000000000003, 276038.572239575 6889299.551938154 503.14, 276042.6714762689 6889298.789635213 505.54, 276042.9936993517 6889296.740045979 505.05)</t>
  </si>
  <si>
    <t>POLYGON Z ((276042.9936993517 6889296.740045979 505.05, 276040.769647416 6889294.213370336 503.23, 276036.8640514328 6889296.304154989 502.28000000000003, 276038.572239575 6889299.551938154 503.14, 276042.6714762689 6889298.789635213 505.54, 276042.9936993517 6889296.740045979 505.05))</t>
  </si>
  <si>
    <t>['RV3 S18D1 m9353-9361']</t>
  </si>
  <si>
    <t>LINESTRING Z (277508.408075771 6886166.893541972 498.86, 277508.93236189283 6886164.855383247 499.38, 277508.6092302612 6886161.589614132 499.29, 277509.92329207214 6886157.558997796 499.44, 277506.7448148353 6886157.090283206 498.73, 277503.1396263327 6886159.494707566 498.8, 277504.1502524713 6886162.264617987 498.81, 277506.41346366995 6886166.405407207 499.38, 277508.408075771 6886166.893541972 498.86)</t>
  </si>
  <si>
    <t>POLYGON Z ((277508.408075771 6886166.893541972 498.86, 277508.93236189283 6886164.855383247 499.38, 277508.6092302612 6886161.589614132 499.29, 277509.92329207214 6886157.558997796 499.44, 277506.7448148353 6886157.090283206 498.73, 277503.1396263327 6886159.494707566 498.8, 277504.1502524713 6886162.264617987 498.81, 277506.41346366995 6886166.405407207 499.38, 277508.408075771 6886166.893541972 498.86))</t>
  </si>
  <si>
    <t>['RV3 S18D1 m1406-1439']</t>
  </si>
  <si>
    <t>LINESTRING Z (283344.30996869615 6881182.804322851 478.24, 283344.0272244658 6881179.7560038 477.94, 283346.82895064773 6881176.381397307 478.2, 283349.96854182915 6881173.5079717655 478.38, 283352.1702192514 6881169.405315095 478.07, 283355.6213691939 6881164.041346456 477.86, 283358.9084815155 6881159.616966063 477.74, 283358.75752246217 6881155.822954046 478.71000000000004, 283359.54427489213 6881153.147669263 479.21000000000004, 283359.1889694189 6881152.025159242 479.82, 283357.2405804093 6881151.492505294 481.14, 283353.4369250426 6881154.789235788 482.16, 283349.0214978951 6881157.881474919 483.01, 283345.7795743948 6881162.251426463 482.99, 283342.7599006441 6881166.309385248 482.97, 283338.01801538945 6881172.164834095 482.99, 283334.1089386787 6881177.249757205 482.75, 283334.56594302284 6881180.985240429 481.97, 283336.37010515446 6881186.354087327 480.34000000000003, 283337.6479647446 6881190.7067124415 479.32, 283340.6327280149 6881186.380707579 478.85, 283343.0236251275 6881187.676119204 479.52, 283344.4118695569 6881185.527799794 479.16, 283344.30996869615 6881182.804322851 478.24)</t>
  </si>
  <si>
    <t>POLYGON Z ((283344.30996869615 6881182.804322851 478.24, 283344.0272244658 6881179.7560038 477.94, 283346.82895064773 6881176.381397307 478.2, 283349.96854182915 6881173.5079717655 478.38, 283352.1702192514 6881169.405315095 478.07, 283355.6213691939 6881164.041346456 477.86, 283358.9084815155 6881159.616966063 477.74, 283358.75752246217 6881155.822954046 478.71000000000004, 283359.54427489213 6881153.147669263 479.21000000000004, 283359.1889694189 6881152.025159242 479.82, 283357.2405804093 6881151.492505294 481.14, 283353.4369250426 6881154.789235788 482.16, 283349.0214978951 6881157.881474919 483.01, 283345.7795743948 6881162.251426463 482.99, 283342.7599006441 6881166.309385248 482.97, 283338.01801538945 6881172.164834095 482.99, 283334.1089386787 6881177.249757205 482.75, 283334.56594302284 6881180.985240429 481.97, 283336.37010515446 6881186.354087327 480.34000000000003, 283337.6479647446 6881190.7067124415 479.32, 283340.6327280149 6881186.380707579 478.85, 283343.0236251275 6881187.676119204 479.52, 283344.4118695569 6881185.527799794 479.16, 283344.30996869615 6881182.804322851 478.24))</t>
  </si>
  <si>
    <t>['RV3 S18D1 m2010-2011']</t>
  </si>
  <si>
    <t>LINESTRING Z (283007.614866884 6881639.689057582 492.26, 283008.09109885845 6881639.082219958 492.31, 283004.8165859387 6881637.034826414 491.93, 283004.03716956126 6881638.272640438 492.12, 283007.614866884 6881639.689057582 492.26)</t>
  </si>
  <si>
    <t>POLYGON Z ((283007.614866884 6881639.689057582 492.26, 283008.09109885845 6881639.082219958 492.31, 283004.8165859387 6881637.034826414 491.93, 283004.03716956126 6881638.272640438 492.12, 283007.614866884 6881639.689057582 492.26))</t>
  </si>
  <si>
    <t>['RV3 S18D1 m2285-2289']</t>
  </si>
  <si>
    <t>LINESTRING Z (282834.31520187575 6881855.037515438 491.46000000000004, 282835.0976156404 6881852.965471423 491.66, 282833.83347276784 6881853.635349118 490.92, 282832.54697327147 6881852.981020365 490.62, 282831.9645415007 6881853.959423435 490.55, 282831.98042974045 6881855.213896857 490.87, 282833.13289442076 6881856.372989859 491.40000000000003, 282834.31520187575 6881855.037515438 491.46000000000004)</t>
  </si>
  <si>
    <t>POLYGON Z ((282834.31520187575 6881855.037515438 491.46000000000004, 282835.0976156404 6881852.965471423 491.66, 282833.83347276784 6881853.635349118 490.92, 282832.54697327147 6881852.981020365 490.62, 282831.9645415007 6881853.959423435 490.55, 282831.98042974045 6881855.213896857 490.87, 282833.13289442076 6881856.372989859 491.40000000000003, 282834.31520187575 6881855.037515438 491.46000000000004))</t>
  </si>
  <si>
    <t>['RV3 S18D1 m3115-3121']</t>
  </si>
  <si>
    <t>LINESTRING Z (282496.75111835054 6882604.74359666 486.62, 282495.3457181811 6882607.898299378 486.53000000000003, 282494.78009214497 6882611.115767039 486.33, 282497.8171362071 6882610.602940489 485.96000000000004, 282500.73957214446 6882609.829460104 486.43, 282499.6513040757 6882607.629510571 486.2, 282496.75111835054 6882604.74359666 486.62)</t>
  </si>
  <si>
    <t>POLYGON Z ((282496.75111835054 6882604.74359666 486.62, 282495.3457181811 6882607.898299378 486.53000000000003, 282494.78009214497 6882611.115767039 486.33, 282497.8171362071 6882610.602940489 485.96000000000004, 282500.73957214446 6882609.829460104 486.43, 282499.6513040757 6882607.629510571 486.2, 282496.75111835054 6882604.74359666 486.62))</t>
  </si>
  <si>
    <t>['RV3 S18D1 m8272-8279']</t>
  </si>
  <si>
    <t>LINESTRING Z (278367.43071399396 6885554.953421296 487.78000000000003, 278374.0962334352 6885552.827754759 487, 278373.88230116235 6885552.254775525 486.91, 278372.72299007257 6885552.322152631 487.04, 278369.1425605585 6885552.935712483 487.21000000000004, 278366.3431826832 6885552.220806492 487.7, 278366.09423587826 6885553.761146824 487.91, 278367.43071399396 6885554.953421296 487.78000000000003)</t>
  </si>
  <si>
    <t>POLYGON Z ((278367.43071399396 6885554.953421296 487.78000000000003, 278374.0962334352 6885552.827754759 487, 278373.88230116235 6885552.254775525 486.91, 278372.72299007257 6885552.322152631 487.04, 278369.1425605585 6885552.935712483 487.21000000000004, 278366.3431826832 6885552.220806492 487.7, 278366.09423587826 6885553.761146824 487.91, 278367.43071399396 6885554.953421296 487.78000000000003))</t>
  </si>
  <si>
    <t>['RV3 S18D1 m10600-10607']</t>
  </si>
  <si>
    <t>LINESTRING Z (276748.6707239825 6887094.402555793 480.49, 276747.6444287476 6887096.336595789 480.79, 276748.64880151383 6887098.172625583 481.48, 276750.615376518 6887097.708783595 481.84000000000003, 276752.25008962816 6887095.617802392 481.94, 276751.6364807957 6887092.037334306 482.18, 276749.32972359366 6887090.784376192 481.84000000000003, 276748.6107140661 6887092.348265273 480.83, 276748.6707239825 6887094.402555793 480.49)</t>
  </si>
  <si>
    <t>POLYGON Z ((276748.6707239825 6887094.402555793 480.49, 276747.6444287476 6887096.336595789 480.79, 276748.64880151383 6887098.172625583 481.48, 276750.615376518 6887097.708783595 481.84000000000003, 276752.25008962816 6887095.617802392 481.94, 276751.6364807957 6887092.037334306 482.18, 276749.32972359366 6887090.784376192 481.84000000000003, 276748.6107140661 6887092.348265273 480.83, 276748.6707239825 6887094.402555793 480.49))</t>
  </si>
  <si>
    <t>['RV3 S18D1 m10732-10740']</t>
  </si>
  <si>
    <t>LINESTRING Z (276732.8529481549 6887229.078034527 479.92, 276735.4967835399 6887230.390142705 482.03000000000003, 276737.180508666 6887229.801825553 483, 276738.6059156804 6887228.16233391 483.43, 276738.22597827716 6887226.017155008 483.1, 276736.86932082777 6887223.7415571455 482.41, 276735.15269712557 6887222.242923089 481.87, 276733.3115354001 6887223.408543605 480.38, 276733.23052913364 6887225.134285502 479.83, 276732.8529481549 6887229.078034527 479.92)</t>
  </si>
  <si>
    <t>POLYGON Z ((276732.8529481549 6887229.078034527 479.92, 276735.4967835399 6887230.390142705 482.03000000000003, 276737.180508666 6887229.801825553 483, 276738.6059156804 6887228.16233391 483.43, 276738.22597827716 6887226.017155008 483.1, 276736.86932082777 6887223.7415571455 482.41, 276735.15269712557 6887222.242923089 481.87, 276733.3115354001 6887223.408543605 480.38, 276733.23052913364 6887225.134285502 479.83, 276732.8529481549 6887229.078034527 479.92))</t>
  </si>
  <si>
    <t>['RV3 S18D1 m3277-3281']</t>
  </si>
  <si>
    <t>LINESTRING Z (282419.6770396257 6882749.244300084 479.94, 282416.3391790652 6882750.196987923 479.74, 282416.76996546803 6882752.457930065 479.26, 282420.1017809188 6882750.681898294 479.91, 282419.6770396257 6882749.244300084 479.94)</t>
  </si>
  <si>
    <t>POLYGON Z ((282419.6770396257 6882749.244300084 479.94, 282416.3391790652 6882750.196987923 479.74, 282416.76996546803 6882752.457930065 479.26, 282420.1017809188 6882750.681898294 479.91, 282419.6770396257 6882749.244300084 479.94))</t>
  </si>
  <si>
    <t>['RV3 S18D1 m4144-4149']</t>
  </si>
  <si>
    <t>LINESTRING Z (281811.260114491 6883355.211894533 474.05, 281813.4849144465 6883354.8246403225 474.36, 281814.5798153997 6883353.738393988 474.02, 281814.70729306457 6883351.646700123 473.22, 281814.2226759236 6883349.672076698 472.65000000000003, 281812.14453245164 6883350.0155823985 472.77, 281810.0060886982 6883351.550307292 472.76, 281810.54759675125 6883353.921559785 473.42, 281811.260114491 6883355.211894533 474.05)</t>
  </si>
  <si>
    <t>POLYGON Z ((281811.260114491 6883355.211894533 474.05, 281813.4849144465 6883354.8246403225 474.36, 281814.5798153997 6883353.738393988 474.02, 281814.70729306457 6883351.646700123 473.22, 281814.2226759236 6883349.672076698 472.65000000000003, 281812.14453245164 6883350.0155823985 472.77, 281810.0060886982 6883351.550307292 472.76, 281810.54759675125 6883353.921559785 473.42, 281811.260114491 6883355.211894533 474.05))</t>
  </si>
  <si>
    <t>['RV3 S19D1 m798-805']</t>
  </si>
  <si>
    <t>LINESTRING Z (276430.9752858927 6888235.669008857 499.27000000000004, 276430.4743265663 6888237.09209527 499.26, 276430.7441873736 6888239.458505008 499.25, 276434.534492529 6888239.156977536 499.37, 276436.55136582424 6888237.502770079 499.28000000000003, 276435.59655508195 6888234.576944807 499.19, 276434.5102230064 6888233.482036994 499, 276432.1338280073 6888232.778155886 499.32, 276431.13752628816 6888234.277358047 499.32, 276430.9752858927 6888235.669008857 499.27000000000004)</t>
  </si>
  <si>
    <t>POLYGON Z ((276430.9752858927 6888235.669008857 499.27000000000004, 276430.4743265663 6888237.09209527 499.26, 276430.7441873736 6888239.458505008 499.25, 276434.534492529 6888239.156977536 499.37, 276436.55136582424 6888237.502770079 499.28000000000003, 276435.59655508195 6888234.576944807 499.19, 276434.5102230064 6888233.482036994 499, 276432.1338280073 6888232.778155886 499.32, 276431.13752628816 6888234.277358047 499.32, 276430.9752858927 6888235.669008857 499.27000000000004))</t>
  </si>
  <si>
    <t>['RV3 S19D1 m3880-3883']</t>
  </si>
  <si>
    <t>LINESTRING Z (275156.7800713499 6890948.118440311 501.98, 275158.8591864449 6890946.810084189 502.08, 275157.1751169545 6890944.363915723 501.03000000000003, 275155.8657547816 6890945.0883563245 501, 275156.7800713499 6890948.118440311 501.98)</t>
  </si>
  <si>
    <t>POLYGON Z ((275156.7800713499 6890948.118440311 501.98, 275158.8591864449 6890946.810084189 502.08, 275157.1751169545 6890944.363915723 501.03000000000003, 275155.8657547816 6890945.0883563245 501, 275156.7800713499 6890948.118440311 501.98))</t>
  </si>
  <si>
    <t>['RV3 S18D1 m3261-3266']</t>
  </si>
  <si>
    <t>LINESTRING Z (282448.16382887133 6882746.772501574 480.63, 282448.7553532643 6882748.275008573 481.33, 282450.3324175831 6882747.837329633 481.37, 282451.20189103275 6882746.812196143 481.11, 282451.1776939765 6882744.4934416795 481.13, 282450.12709198263 6882743.566045128 481.47, 282447.6559332965 6882743.463713464 481.75, 282448.16382887133 6882746.772501574 480.63)</t>
  </si>
  <si>
    <t>POLYGON Z ((282448.16382887133 6882746.772501574 480.63, 282448.7553532643 6882748.275008573 481.33, 282450.3324175831 6882747.837329633 481.37, 282451.20189103275 6882746.812196143 481.11, 282451.1776939765 6882744.4934416795 481.13, 282450.12709198263 6882743.566045128 481.47, 282447.6559332965 6882743.463713464 481.75, 282448.16382887133 6882746.772501574 480.63))</t>
  </si>
  <si>
    <t>['RV3 S18D1 m3847-3853']</t>
  </si>
  <si>
    <t>LINESTRING Z (282052.5061068687 6883179.122399126 470.11, 282053.8890736676 6883178.54195796 469.55, 282054.0043221698 6883177.184881346 469.18, 282054.2637670904 6883175.4326170385 469.28000000000003, 282054.22313148715 6883173.045046117 469.39, 282052.3699024399 6883173.538493674 469.04, 282050.6700025989 6883174.16843175 469.35, 282049.46334649815 6883176.541093697 469.08, 282050.9812270462 6883178.389715671 469.91, 282052.5061068687 6883179.122399126 470.11)</t>
  </si>
  <si>
    <t>POLYGON Z ((282052.5061068687 6883179.122399126 470.11, 282053.8890736676 6883178.54195796 469.55, 282054.0043221698 6883177.184881346 469.18, 282054.2637670904 6883175.4326170385 469.28000000000003, 282054.22313148715 6883173.045046117 469.39, 282052.3699024399 6883173.538493674 469.04, 282050.6700025989 6883174.16843175 469.35, 282049.46334649815 6883176.541093697 469.08, 282050.9812270462 6883178.389715671 469.91, 282052.5061068687 6883179.122399126 470.11))</t>
  </si>
  <si>
    <t>['RV3 S19D1 m2301-2302']</t>
  </si>
  <si>
    <t>LINESTRING Z (275953.0485248843 6889654.815167058 509.63, 275953.4861193524 6889653.900358753 509.48, 275951.9992184986 6889652.712010531 508.39, 275951.49290009646 6889653.211174143 508.3, 275953.0485248843 6889654.815167058 509.63)</t>
  </si>
  <si>
    <t>POLYGON Z ((275953.0485248843 6889654.815167058 509.63, 275953.4861193524 6889653.900358753 509.48, 275951.9992184986 6889652.712010531 508.39, 275951.49290009646 6889653.211174143 508.3, 275953.0485248843 6889654.815167058 509.63))</t>
  </si>
  <si>
    <t>['RV3 S19D1 m1560-1565']</t>
  </si>
  <si>
    <t>LINESTRING Z (276165.1720791975 6888946.978053156 504.8, 276166.36577248573 6888945.440425012 505.05, 276166.46524919255 6888943.913920719 505.01, 276164.15208088444 6888942.159173541 504.95, 276163.62124107976 6888943.585039654 504.53000000000003, 276163.14740142494 6888944.975470969 504.47, 276162.6676250255 6888947.059776102 504.73, 276165.1720791975 6888946.978053156 504.8)</t>
  </si>
  <si>
    <t>POLYGON Z ((276165.1720791975 6888946.978053156 504.8, 276166.36577248573 6888945.440425012 505.05, 276166.46524919255 6888943.913920719 505.01, 276164.15208088444 6888942.159173541 504.95, 276163.62124107976 6888943.585039654 504.53000000000003, 276163.14740142494 6888944.975470969 504.47, 276162.6676250255 6888947.059776102 504.73, 276165.1720791975 6888946.978053156 504.8))</t>
  </si>
  <si>
    <t>['RV3 S18D1 m3741-3748']</t>
  </si>
  <si>
    <t>LINESTRING Z (282133.13850737736 6883110.130512582 470.01, 282136.0955786009 6883107.997374612 469.89, 282136.43194707215 6883106.207832605 469.74, 282133.24693667324 6883104.584202357 468.62, 282130.9166647615 6883105.242475159 468.95, 282129.94715096225 6883107.03046751 468.79, 282130.9909479006 6883110.158929222 470.01, 282133.13850737736 6883110.130512582 470.01)</t>
  </si>
  <si>
    <t>POLYGON Z ((282133.13850737736 6883110.130512582 470.01, 282136.0955786009 6883107.997374612 469.89, 282136.43194707215 6883106.207832605 469.74, 282133.24693667324 6883104.584202357 468.62, 282130.9166647615 6883105.242475159 468.95, 282129.94715096225 6883107.03046751 468.79, 282130.9909479006 6883110.158929222 470.01, 282133.13850737736 6883110.130512582 470.01))</t>
  </si>
  <si>
    <t>LINESTRING Z (275857.75530346355 6890112.231348164 529.15, 275859.10959204007 6890112.748724986 530.08, 275860.5568340257 6890110.695185142 530.1, 275860.59106132266 6890108.6823700275 529.97, 275859.4029394822 6890107.898364537 529.44, 275859.2041853246 6890110.08722238 529.15, 275857.75530346355 6890112.231348164 529.15)</t>
  </si>
  <si>
    <t>POLYGON Z ((275857.75530346355 6890112.231348164 529.15, 275859.10959204007 6890112.748724986 530.08, 275860.5568340257 6890110.695185142 530.1, 275860.59106132266 6890108.6823700275 529.97, 275859.4029394822 6890107.898364537 529.44, 275859.2041853246 6890110.08722238 529.15, 275857.75530346355 6890112.231348164 529.15))</t>
  </si>
  <si>
    <t>['RV3 S19D1 m120-127']</t>
  </si>
  <si>
    <t>LINESTRING Z (276675.97760099766 6887604.869793778 480.72, 276678.07785650506 6887602.273387886 480.78000000000003, 276678.17710429453 6887598.687052247 480.57, 276676.76255140407 6887598.38625769 480.54, 276675.5227339592 6887599.968339044 480.81, 276674.78882471996 6887600.830247883 480.89, 276674.1161417151 6887602.460178866 481.01, 276674.50461372954 6887604.805528549 480.78000000000003, 276675.97760099766 6887604.869793778 480.72)</t>
  </si>
  <si>
    <t>POLYGON Z ((276675.97760099766 6887604.869793778 480.72, 276678.07785650506 6887602.273387886 480.78000000000003, 276678.17710429453 6887598.687052247 480.57, 276676.76255140407 6887598.38625769 480.54, 276675.5227339592 6887599.968339044 480.81, 276674.78882471996 6887600.830247883 480.89, 276674.1161417151 6887602.460178866 481.01, 276674.50461372954 6887604.805528549 480.78000000000003, 276675.97760099766 6887604.869793778 480.72))</t>
  </si>
  <si>
    <t>['RV3 S18D1 m2462-2468']</t>
  </si>
  <si>
    <t>LINESTRING Z (282745.33281595865 6882013.171283939 495.52000000000004, 282746.5862981385 6882011.628253185 495.51, 282744.1346183269 6882008.8112536 494.59000000000003, 282744.27750991494 6882007.210480356 495.25, 282743.40798715304 6882005.743809425 495.22, 282742.24332790787 6882007.811122948 494.53000000000003, 282741.68934007233 6882008.987840727 494.45, 282740.8855620334 6882011.262820879 495.37, 282741.6505526721 6882012.035857233 495.73, 282745.33281595865 6882013.171283939 495.52000000000004)</t>
  </si>
  <si>
    <t>POLYGON Z ((282745.33281595865 6882013.171283939 495.52000000000004, 282746.5862981385 6882011.628253185 495.51, 282744.1346183269 6882008.8112536 494.59000000000003, 282744.27750991494 6882007.210480356 495.25, 282743.40798715304 6882005.743809425 495.22, 282742.24332790787 6882007.811122948 494.53000000000003, 282741.68934007233 6882008.987840727 494.45, 282740.8855620334 6882011.262820879 495.37, 282741.6505526721 6882012.035857233 495.73, 282745.33281595865 6882013.171283939 495.52000000000004))</t>
  </si>
  <si>
    <t>['RV3 S18D1 m1902-1908']</t>
  </si>
  <si>
    <t>LINESTRING Z (283060.35905997705 6881551.673188241 490.81, 283061.3491443497 6881549.2402702235 490.72, 283061.66191157233 6881547.412746179 491.17, 283061.0302655194 6881545.2608731575 491.27, 283059.16015898413 6881547.41370723 490.90000000000003, 283058.4898290528 6881547.877787264 490.96000000000004, 283057.9074844925 6881549.398747129 490.96000000000004, 283058.70449500275 6881550.842000033 490.71000000000004, 283060.35905997705 6881551.673188241 490.81)</t>
  </si>
  <si>
    <t>POLYGON Z ((283060.35905997705 6881551.673188241 490.81, 283061.3491443497 6881549.2402702235 490.72, 283061.66191157233 6881547.412746179 491.17, 283061.0302655194 6881545.2608731575 491.27, 283059.16015898413 6881547.41370723 490.90000000000003, 283058.4898290528 6881547.877787264 490.96000000000004, 283057.9074844925 6881549.398747129 490.96000000000004, 283058.70449500275 6881550.842000033 490.71000000000004, 283060.35905997705 6881551.673188241 490.81))</t>
  </si>
  <si>
    <t>['RV3 S18D1 m2916-2921']</t>
  </si>
  <si>
    <t>LINESTRING Z (282534.273181509 6882409.825813907 485.25, 282533.5383148198 6882407.21127196 484.18, 282531.4367445102 6882408.601886022 484.04, 282530.60606183804 6882411.020035241 483.90000000000003, 282530.7261027922 6882411.772517881 483.86, 282533.54932662344 6882411.229292787 485.18, 282534.273181509 6882409.825813907 485.25)</t>
  </si>
  <si>
    <t>POLYGON Z ((282534.273181509 6882409.825813907 485.25, 282533.5383148198 6882407.21127196 484.18, 282531.4367445102 6882408.601886022 484.04, 282530.60606183804 6882411.020035241 483.90000000000003, 282530.7261027922 6882411.772517881 483.86, 282533.54932662344 6882411.229292787 485.18, 282534.273181509 6882409.825813907 485.25))</t>
  </si>
  <si>
    <t>['RV3 S19D1 m765-769']</t>
  </si>
  <si>
    <t>LINESTRING Z (276410.51929887204 6888191.516890894 495.91, 276410.9864202399 6888187.996885639 495.38, 276409.15672767605 6888187.553757828 495.23, 276406.4478548785 6888185.865870755 494.93, 276405.07081168453 6888186.7271834435 495.05, 276407.11678432074 6888190.908239897 496.12, 276410.51929887204 6888191.516890894 495.91)</t>
  </si>
  <si>
    <t>POLYGON Z ((276410.51929887204 6888191.516890894 495.91, 276410.9864202399 6888187.996885639 495.38, 276409.15672767605 6888187.553757828 495.23, 276406.4478548785 6888185.865870755 494.93, 276405.07081168453 6888186.7271834435 495.05, 276407.11678432074 6888190.908239897 496.12, 276410.51929887204 6888191.516890894 495.91))</t>
  </si>
  <si>
    <t>['RV3 S18D1 m9970-9982']</t>
  </si>
  <si>
    <t>LINESTRING Z (277034.3611992464 6886560.18204368 485.27, 277033.24024765764 6886556.548180635 483.51, 277033.6440474384 6886553.536482272 483.3, 277031.7559231357 6886552.355200523 482.88, 277026.0056610451 6886555.682155599 482.41, 277028.092082832 6886564.089693502 484.63, 277034.3611992464 6886560.18204368 485.27)</t>
  </si>
  <si>
    <t>POLYGON Z ((277034.3611992464 6886560.18204368 485.27, 277033.24024765764 6886556.548180635 483.51, 277033.6440474384 6886553.536482272 483.3, 277031.7559231357 6886552.355200523 482.88, 277026.0056610451 6886555.682155599 482.41, 277028.092082832 6886564.089693502 484.63, 277034.3611992464 6886560.18204368 485.27))</t>
  </si>
  <si>
    <t>['RV3 S19D1 m1874-1878']</t>
  </si>
  <si>
    <t>LINESTRING Z (276082.9851675122 6889248.886629328 507.26, 276082.691995346 6889250.491402099 507.48, 276085.9004965044 6889250.525194243 507.54, 276086.60179617745 6889248.229410392 507.34000000000003, 276085.7106722335 6889246.423065069 507.35, 276083.99446440977 6889246.120139387 506.95, 276082.9851675122 6889248.886629328 507.26)</t>
  </si>
  <si>
    <t>POLYGON Z ((276082.9851675122 6889248.886629328 507.26, 276082.691995346 6889250.491402099 507.48, 276085.9004965044 6889250.525194243 507.54, 276086.60179617745 6889248.229410392 507.34000000000003, 276085.7106722335 6889246.423065069 507.35, 276083.99446440977 6889246.120139387 506.95, 276082.9851675122 6889248.886629328 507.26))</t>
  </si>
  <si>
    <t>2024-03-25</t>
  </si>
  <si>
    <t>['RV3 S17D1 m8541-8548']</t>
  </si>
  <si>
    <t>LINESTRING Z (284970.53736412287 6877701.296182331 454.07, 284975.0956838634 6877701.586864172 453.92, 284976.22199148475 6877699.322239168 454.09000000000003, 284975.67625190224 6877697.554269646 453.86, 284976.5892159442 6877696.022791018 453.92, 284975.6076785582 6877695.189448152 454.18, 284971.85477345355 6877697.51677819 453.82, 284972.3565727535 6877699.027590523 453.22, 284970.53736412287 6877701.296182331 454.07)</t>
  </si>
  <si>
    <t>POLYGON Z ((284970.53736412287 6877701.296182331 454.07, 284975.0956838634 6877701.586864172 453.92, 284976.22199148475 6877699.322239168 454.09000000000003, 284975.67625190224 6877697.554269646 453.86, 284976.5892159442 6877696.022791018 453.92, 284975.6076785582 6877695.189448152 454.18, 284971.85477345355 6877697.51677819 453.82, 284972.3565727535 6877699.027590523 453.22, 284970.53736412287 6877701.296182331 454.07))</t>
  </si>
  <si>
    <t>['RV3 S17D1 m10546-10553']</t>
  </si>
  <si>
    <t>LINESTRING Z (284959.70265624847 6879662.625843344 459.69, 284964.4827918416 6879663.358065471 460.74, 284966.138963094 6879659.115178802 460.61, 284962.63882567256 6879656.47581012 459.44, 284959.70265624847 6879662.625843344 459.69)</t>
  </si>
  <si>
    <t>POLYGON Z ((284959.70265624847 6879662.625843344 459.69, 284964.4827918416 6879663.358065471 460.74, 284966.138963094 6879659.115178802 460.61, 284962.63882567256 6879656.47581012 459.44, 284959.70265624847 6879662.625843344 459.69))</t>
  </si>
  <si>
    <t>['RV3 S17D1 m7089-7093']</t>
  </si>
  <si>
    <t>LINESTRING Z (284656.5132299245 6876291.27675418 454.3, 284658.5933237037 6876292.038396694 454.85, 284659.691226223 6876291.092622698 455.27, 284659.30489276536 6876289.309865579 455.18, 284657.11851813213 6876288.3772240905 454.52, 284656.4421093907 6876288.992544493 454.43, 284656.5132299245 6876291.27675418 454.3)</t>
  </si>
  <si>
    <t>POLYGON Z ((284656.5132299245 6876291.27675418 454.3, 284658.5933237037 6876292.038396694 454.85, 284659.691226223 6876291.092622698 455.27, 284659.30489276536 6876289.309865579 455.18, 284657.11851813213 6876288.3772240905 454.52, 284656.4421093907 6876288.992544493 454.43, 284656.5132299245 6876291.27675418 454.3))</t>
  </si>
  <si>
    <t>['RV3 S17D1 m8392-8398']</t>
  </si>
  <si>
    <t>LINESTRING Z (284967.9404734825 6877543.481755844 454.23, 284968.8848955807 6877546.840431855 454.39, 284970.1282631435 6877546.705044211 454.1, 284970.0011670571 6877549.5602357695 454.05, 284973.09411788115 6877549.434195708 454.26, 284974.5191525294 6877547.573909455 454.2, 284976.3813966763 6877547.069667119 454.45, 284975.4947869694 6877545.634726005 454.29, 284973.253200941 6877545.732058919 454.06, 284975.4960037128 6877542.288838304 454.73, 284974.2411533864 6877542.083680011 454.72, 284972.2362923607 6877543.8671155125 454.3, 284968.5924047243 6877543.36102044 454.23, 284967.9404734825 6877543.481755844 454.23)</t>
  </si>
  <si>
    <t>POLYGON Z ((284967.9404734825 6877543.481755844 454.23, 284968.8848955807 6877546.840431855 454.39, 284970.1282631435 6877546.705044211 454.1, 284970.0011670571 6877549.5602357695 454.05, 284973.09411788115 6877549.434195708 454.26, 284974.5191525294 6877547.573909455 454.2, 284976.3813966763 6877547.069667119 454.45, 284975.4947869694 6877545.634726005 454.29, 284973.253200941 6877545.732058919 454.06, 284975.4960037128 6877542.288838304 454.73, 284974.2411533864 6877542.083680011 454.72, 284972.2362923607 6877543.8671155125 454.3, 284968.5924047243 6877543.36102044 454.23, 284967.9404734825 6877543.481755844 454.23))</t>
  </si>
  <si>
    <t>['RV3 S17D1 m6381-6384']</t>
  </si>
  <si>
    <t>LINESTRING Z (284780.67046707124 6875597.729633414 455.75, 284783.2809026707 6875598.251216937 455.64, 284783.7081489229 6875595.056732752 455.64, 284781.76957054494 6875594.412576321 455.65000000000003, 284780.67046707124 6875597.729633414 455.75)</t>
  </si>
  <si>
    <t>POLYGON Z ((284780.67046707124 6875597.729633414 455.75, 284783.2809026707 6875598.251216937 455.64, 284783.7081489229 6875595.056732752 455.64, 284781.76957054494 6875594.412576321 455.65000000000003, 284780.67046707124 6875597.729633414 455.75))</t>
  </si>
  <si>
    <t>['RV3 S17D1 m6825-6831']</t>
  </si>
  <si>
    <t>LINESTRING Z (284668.3910659647 6876029.154529123 459.81, 284664.4516910678 6876026.0031826 458.19, 284664.7512705479 6876024.357778804 458.61, 284663.55579490715 6876023.926058042 458.35, 284661.3086591559 6876026.997903808 457.94, 284667.8140090704 6876030.624711435 459.79, 284668.3910659647 6876029.154529123 459.81)</t>
  </si>
  <si>
    <t>POLYGON Z ((284668.3910659647 6876029.154529123 459.81, 284664.4516910678 6876026.0031826 458.19, 284664.7512705479 6876024.357778804 458.61, 284663.55579490715 6876023.926058042 458.35, 284661.3086591559 6876026.997903808 457.94, 284667.8140090704 6876030.624711435 459.79, 284668.3910659647 6876029.154529123 459.81))</t>
  </si>
  <si>
    <t>['RV3 S17D1 m9424-9433']</t>
  </si>
  <si>
    <t>LINESTRING Z (285123.906620193 6878563.285334426 452.12, 285128.22388512804 6878564.010281557 452.13, 285134.0514432209 6878568.4533625655 452.35, 285134.42514029914 6878566.740797343 452.39, 285131.96748533606 6878562.557910955 452.46000000000004, 285123.7911177516 6878560.522971292 452.15000000000003, 285123.906620193 6878563.285334426 452.12)</t>
  </si>
  <si>
    <t>POLYGON Z ((285123.906620193 6878563.285334426 452.12, 285128.22388512804 6878564.010281557 452.13, 285134.0514432209 6878568.4533625655 452.35, 285134.42514029914 6878566.740797343 452.39, 285131.96748533606 6878562.557910955 452.46000000000004, 285123.7911177516 6878560.522971292 452.15000000000003, 285123.906620193 6878563.285334426 452.12))</t>
  </si>
  <si>
    <t>['RV3 S17D1 m10488-10495']</t>
  </si>
  <si>
    <t>LINESTRING Z (284987.46831873123 6879604.066718931 458.59000000000003, 284984.2384376603 6879610.0832308205 458.86, 284986.9204275658 6879611.592790182 459.03000000000003, 284989.803658455 6879609.205393234 459.49, 284990.1200623302 6879606.87519682 459.45, 284988.1521421825 6879605.048228186 458.36, 284987.46831873123 6879604.066718931 458.59000000000003)</t>
  </si>
  <si>
    <t>POLYGON Z ((284987.46831873123 6879604.066718931 458.59000000000003, 284984.2384376603 6879610.0832308205 458.86, 284986.9204275658 6879611.592790182 459.03000000000003, 284989.803658455 6879609.205393234 459.49, 284990.1200623302 6879606.87519682 459.45, 284988.1521421825 6879605.048228186 458.36, 284987.46831873123 6879604.066718931 458.59000000000003))</t>
  </si>
  <si>
    <t>['RV3 S17D1 m10059-10066']</t>
  </si>
  <si>
    <t>LINESTRING Z (285108.27543724526 6879196.252548028 455.6, 285109.31204891944 6879198.979726552 455.56, 285112.0498335598 6879197.299099138 456.13, 285112.65882910957 6879194.981961581 456.13, 285111.482431488 6879192.5892627975 455.61, 285109.28494909254 6879194.028882785 455.29, 285108.27543724526 6879196.252548028 455.6)</t>
  </si>
  <si>
    <t>POLYGON Z ((285108.27543724526 6879196.252548028 455.6, 285109.31204891944 6879198.979726552 455.56, 285112.0498335598 6879197.299099138 456.13, 285112.65882910957 6879194.981961581 456.13, 285111.482431488 6879192.5892627975 455.61, 285109.28494909254 6879194.028882785 455.29, 285108.27543724526 6879196.252548028 455.6))</t>
  </si>
  <si>
    <t>['RV3 S17D1 m10593-10614']</t>
  </si>
  <si>
    <t>LINESTRING Z (284940.32174567226 6879706.290776478 460.06, 284938.26614132785 6879709.043505316 460.27, 284938.6362572451 6879714.334299106 460.26, 284936.4219105793 6879718.950471154 460.88, 284941.69479066774 6879719.687229778 463.14, 284947.6028023468 6879714.055320383 464.71000000000004, 284950.2122847884 6879710.557953044 465.05, 284950.7310138074 6879707.917616778 464.67, 284948.22410981 6879701.5791188115 462.14, 284945.481102875 6879700.386688768 460.65000000000003, 284942.91383939545 6879706.180993889 460.23, 284940.32174567226 6879706.290776478 460.06)</t>
  </si>
  <si>
    <t>POLYGON Z ((284940.32174567226 6879706.290776478 460.06, 284938.26614132785 6879709.043505316 460.27, 284938.6362572451 6879714.334299106 460.26, 284936.4219105793 6879718.950471154 460.88, 284941.69479066774 6879719.687229778 463.14, 284947.6028023468 6879714.055320383 464.71000000000004, 284950.2122847884 6879710.557953044 465.05, 284950.7310138074 6879707.917616778 464.67, 284948.22410981 6879701.5791188115 462.14, 284945.481102875 6879700.386688768 460.65000000000003, 284942.91383939545 6879706.180993889 460.23, 284940.32174567226 6879706.290776478 460.06))</t>
  </si>
  <si>
    <t>['RV3 S17D1 m7674-7679']</t>
  </si>
  <si>
    <t>LINESTRING Z (284744.2543760933 6876869.587221145 456.38, 284747.4590869692 6876869.149413739 456.58, 284749.67210391536 6876867.768676751 456.91, 284750.9989834786 6876865.716549626 457.08, 284750.63731359906 6876863.549707151 456.81, 284748.7550799238 6876865.030389482 456.58, 284744.71919390984 6876866.148107168 456.45, 284745.3759523341 6876867.704840597 456.25, 284744.2543760933 6876869.587221145 456.38)</t>
  </si>
  <si>
    <t>POLYGON Z ((284744.2543760933 6876869.587221145 456.38, 284747.4590869692 6876869.149413739 456.58, 284749.67210391536 6876867.768676751 456.91, 284750.9989834786 6876865.716549626 457.08, 284750.63731359906 6876863.549707151 456.81, 284748.7550799238 6876865.030389482 456.58, 284744.71919390984 6876866.148107168 456.45, 284745.3759523341 6876867.704840597 456.25, 284744.2543760933 6876869.587221145 456.38))</t>
  </si>
  <si>
    <t>['RV3 S17D1 m9707-9712']</t>
  </si>
  <si>
    <t>LINESTRING Z (285149.49243215774 6878845.795768745 452.78000000000003, 285150.9706137285 6878846.783992973 452.74, 285153.5723101717 6878845.4776996095 452.8, 285153.61896036414 6878842.730441288 452.89, 285152.2886798312 6878841.38689063 452.68, 285149.1271257809 6878841.63989231 452.62, 285149.49243215774 6878845.795768745 452.78000000000003)</t>
  </si>
  <si>
    <t>POLYGON Z ((285149.49243215774 6878845.795768745 452.78000000000003, 285150.9706137285 6878846.783992973 452.74, 285153.5723101717 6878845.4776996095 452.8, 285153.61896036414 6878842.730441288 452.89, 285152.2886798312 6878841.38689063 452.68, 285149.1271257809 6878841.63989231 452.62, 285149.49243215774 6878845.795768745 452.78000000000003))</t>
  </si>
  <si>
    <t>['RV3 S18D1 m264-271']</t>
  </si>
  <si>
    <t>LINESTRING Z (284328.45920105826 6880564.34083177 463.43, 284327.197993602 6880569.592055387 463.42, 284324.798856959 6880569.724147354 463.6, 284323.7795965591 6880566.101126623 463.77, 284325.01853104256 6880563.53463802 463.74, 284326.36533305026 6880562.997777239 463.56, 284328.45920105826 6880564.34083177 463.43)</t>
  </si>
  <si>
    <t>POLYGON Z ((284328.45920105826 6880564.34083177 463.43, 284327.197993602 6880569.592055387 463.42, 284324.798856959 6880569.724147354 463.6, 284323.7795965591 6880566.101126623 463.77, 284325.01853104256 6880563.53463802 463.74, 284326.36533305026 6880562.997777239 463.56, 284328.45920105826 6880564.34083177 463.43))</t>
  </si>
  <si>
    <t>['RV3 S17D1 m6729-6732']</t>
  </si>
  <si>
    <t>LINESTRING Z (284713.5033037475 6875938.443957328 459.92, 284716.0919063868 6875938.404905731 460.64, 284716.19396870624 6875935.712793526 460.43, 284713.8375873631 6875935.438941027 459.89, 284713.5033037475 6875938.443957328 459.92)</t>
  </si>
  <si>
    <t>POLYGON Z ((284713.5033037475 6875938.443957328 459.92, 284716.0919063868 6875938.404905731 460.64, 284716.19396870624 6875935.712793526 460.43, 284713.8375873631 6875935.438941027 459.89, 284713.5033037475 6875938.443957328 459.92))</t>
  </si>
  <si>
    <t>['RV3 S17D1 m10212-10217']</t>
  </si>
  <si>
    <t>LINESTRING Z (285073.3099043425 6879345.212384947 455.92, 285076.03054020496 6879341.071735849 455.26, 285077.57548623084 6879341.913100488 455.89, 285078.10023776477 6879345.079596822 456.32, 285076.9356800943 6879346.71480018 456.40000000000003, 285073.2237437578 6879345.150043834 456, 285073.3099043425 6879345.212384947 455.92)</t>
  </si>
  <si>
    <t>['RV3 S18D1 m824-829']</t>
  </si>
  <si>
    <t>LINESTRING Z (283840.1884829314 6880832.410777548 474.11, 283840.1092613748 6880827.2235729415 473.58, 283838.6917442106 6880826.23977836 472.77, 283836.6047917742 6880826.704628588 473.16, 283836.60463726544 6880831.577675881 473.95, 283838.4585089588 6880832.9329449795 474.01, 283840.1884829314 6880832.410777548 474.11)</t>
  </si>
  <si>
    <t>POLYGON Z ((283840.1884829314 6880832.410777548 474.11, 283840.1092613748 6880827.2235729415 473.58, 283838.6917442106 6880826.23977836 472.77, 283836.6047917742 6880826.704628588 473.16, 283836.60463726544 6880831.577675881 473.95, 283838.4585089588 6880832.9329449795 474.01, 283840.1884829314 6880832.410777548 474.11))</t>
  </si>
  <si>
    <t>['RV3 S17D1 m10215-10220']</t>
  </si>
  <si>
    <t>LINESTRING Z (285048.26065349556 6879337.508171485 452.46000000000004, 285041.78309956164 6879335.265491733 449.7, 285040.6548475044 6879340.434007541 449.63, 285047.7894769572 6879339.9029562045 452.40000000000003, 285048.26065349556 6879337.508171485 452.46000000000004)</t>
  </si>
  <si>
    <t>POLYGON Z ((285048.26065349556 6879337.508171485 452.46000000000004, 285041.78309956164 6879335.265491733 449.7, 285040.6548475044 6879340.434007541 449.63, 285047.7894769572 6879339.9029562045 452.40000000000003, 285048.26065349556 6879337.508171485 452.46000000000004))</t>
  </si>
  <si>
    <t>['RV3 S17D1 m6175-6176']</t>
  </si>
  <si>
    <t>LINESTRING Z (284826.0920399921 6875392.0086113885 455.75, 284824.64152575517 6875390.776646514 455.6, 284824.68032334396 6875389.677887004 455.35, 284823.16957260726 6875389.205058848 454.87, 284822.2727385504 6875391.669429075 455.16, 284824.98904881487 6875393.658163174 455.84000000000003, 284826.0920399921 6875392.0086113885 455.75)</t>
  </si>
  <si>
    <t>POLYGON Z ((284826.0920399921 6875392.0086113885 455.75, 284824.64152575517 6875390.776646514 455.6, 284824.68032334396 6875389.677887004 455.35, 284823.16957260726 6875389.205058848 454.87, 284822.2727385504 6875391.669429075 455.16, 284824.98904881487 6875393.658163174 455.84000000000003, 284826.0920399921 6875392.0086113885 455.75))</t>
  </si>
  <si>
    <t>['RV3 S17D1 m7737-7741']</t>
  </si>
  <si>
    <t>LINESTRING Z (284760.3180874344 6876930.57240209 456.29, 284758.6495813341 6876928.506636836 456.06, 284759.5618308111 6876927.075702419 456.72, 284758.923683714 6876926.803308716 456.8, 284757.90937370574 6876927.892047937 456.18, 284756.02700218174 6876928.287626623 455.81, 284756.1445065155 6876929.663270316 455.35, 284760.3180874344 6876930.57240209 456.29)</t>
  </si>
  <si>
    <t>POLYGON Z ((284760.3180874344 6876930.57240209 456.29, 284758.6495813341 6876928.506636836 456.06, 284759.5618308111 6876927.075702419 456.72, 284758.923683714 6876926.803308716 456.8, 284757.90937370574 6876927.892047937 456.18, 284756.02700218174 6876928.287626623 455.81, 284756.1445065155 6876929.663270316 455.35, 284760.3180874344 6876930.57240209 456.29))</t>
  </si>
  <si>
    <t>['RV3 S17D1 m6601-6604']</t>
  </si>
  <si>
    <t>LINESTRING Z (284704.9589612583 6875804.129055655 456.33, 284704.65970603126 6875806.97006585 456.23, 284707.0032900687 6875806.672406702 457.16, 284707.3526809414 6875805.022386126 457.27, 284704.9589612583 6875804.129055655 456.33)</t>
  </si>
  <si>
    <t>POLYGON Z ((284704.9589612583 6875804.129055655 456.33, 284704.65970603126 6875806.97006585 456.23, 284707.0032900687 6875806.672406702 457.16, 284707.3526809414 6875805.022386126 457.27, 284704.9589612583 6875804.129055655 456.33))</t>
  </si>
  <si>
    <t>['RV3 S17D1 m10009-10019']</t>
  </si>
  <si>
    <t>LINESTRING Z (285120.25286327605 6879151.626585492 455.14, 285124.70107326296 6879154.630171537 456.1, 285126.85726233595 6879153.395329409 456.78000000000003, 285127.3537156449 6879148.456217081 456.64, 285126.0001430585 6879144.261374294 456.3, 285123.7471948827 6879143.586140837 455.26, 285121.42537968635 6879148.885435241 455.1, 285120.25286327605 6879151.626585492 455.14)</t>
  </si>
  <si>
    <t>POLYGON Z ((285120.25286327605 6879151.626585492 455.14, 285124.70107326296 6879154.630171537 456.1, 285126.85726233595 6879153.395329409 456.78000000000003, 285127.3537156449 6879148.456217081 456.64, 285126.0001430585 6879144.261374294 456.3, 285123.7471948827 6879143.586140837 455.26, 285121.42537968635 6879148.885435241 455.1, 285120.25286327605 6879151.626585492 455.14))</t>
  </si>
  <si>
    <t>['RV3 S17D1 m9351-9357']</t>
  </si>
  <si>
    <t>LINESTRING Z (285117.12561492564 6878489.94542537 452.74, 285121.25548256387 6878492.225000549 453.47, 285126.2447242659 6878492.395314024 453.48, 285126.58471807383 6878491.077721873 453.59000000000003, 285123.9405439913 6878489.434020417 453.48, 285116.27302382543 6878487.793973126 452.93, 285117.12561492564 6878489.94542537 452.74)</t>
  </si>
  <si>
    <t>POLYGON Z ((285117.12561492564 6878489.94542537 452.74, 285121.25548256387 6878492.225000549 453.47, 285126.2447242659 6878492.395314024 453.48, 285126.58471807383 6878491.077721873 453.59000000000003, 285123.9405439913 6878489.434020417 453.48, 285116.27302382543 6878487.793973126 452.93, 285117.12561492564 6878489.94542537 452.74))</t>
  </si>
  <si>
    <t>['RV3 S17D1 m6731-6733']</t>
  </si>
  <si>
    <t>LINESTRING Z (284685.31849453645 6875932.788084603 458.59000000000003, 284685.00011180184 6875934.555799662 458.6, 284685.9787385327 6875934.27416731 459.09000000000003, 284686.08436049364 6875933.5711055435 459.06, 284685.31849453645 6875932.788084603 458.59000000000003)</t>
  </si>
  <si>
    <t>POLYGON Z ((284685.31849453645 6875932.788084603 458.59000000000003, 284685.00011180184 6875934.555799662 458.6, 284685.9787385327 6875934.27416731 459.09000000000003, 284686.08436049364 6875933.5711055435 459.06, 284685.31849453645 6875932.788084603 458.59000000000003))</t>
  </si>
  <si>
    <t>['RV3 S17D1 m7409-7422']</t>
  </si>
  <si>
    <t>LINESTRING Z (284704.14601306827 6876604.649073075 459.68, 284705.15512415237 6876606.213327715 459.52, 284708.5424629125 6876610.12920575 459.6, 284709.208726859 6876613.955767943 459.85, 284713.7536622347 6876614.860620593 461, 284711.2835123386 6876606.207763412 460.69, 284708.1898808953 6876602.425411291 460.46000000000004, 284704.14601306827 6876604.649073075 459.68)</t>
  </si>
  <si>
    <t>POLYGON Z ((284704.14601306827 6876604.649073075 459.68, 284705.15512415237 6876606.213327715 459.52, 284708.5424629125 6876610.12920575 459.6, 284709.208726859 6876613.955767943 459.85, 284713.7536622347 6876614.860620593 461, 284711.2835123386 6876606.207763412 460.69, 284708.1898808953 6876602.425411291 460.46000000000004, 284704.14601306827 6876604.649073075 459.68))</t>
  </si>
  <si>
    <t>['RV3 S17D1 m6954-6959']</t>
  </si>
  <si>
    <t>LINESTRING Z (284642.0563179266 6876150.738021397 456.85, 284639.45234222035 6876150.286180528 455.97, 284634.36023809074 6876153.88303384 454.69, 284635.7639218864 6876155.259998454 455, 284642.2035674704 6876152.5429457035 456.79, 284642.0563179266 6876150.738021397 456.85)</t>
  </si>
  <si>
    <t>POLYGON Z ((284642.0563179266 6876150.738021397 456.85, 284639.45234222035 6876150.286180528 455.97, 284634.36023809074 6876153.88303384 454.69, 284635.7639218864 6876155.259998454 455, 284642.2035674704 6876152.5429457035 456.79, 284642.0563179266 6876150.738021397 456.85))</t>
  </si>
  <si>
    <t>['RV3 S18D1 m649-654']</t>
  </si>
  <si>
    <t>LINESTRING Z (283997.7447363138 6880755.191362344 470.24, 283998.86782492185 6880752.675800179 470.2, 283997.83607897506 6880750.651477862 470.42, 283994.3667560803 6880749.536471552 470.1, 283992.8380692194 6880750.170585117 469.53000000000003, 283992.5088639351 6880751.929285418 469.48, 283993.01523713843 6880752.947351471 469.75, 283995.8748955983 6880755.505456604 469.94, 283997.7447363138 6880755.191362344 470.24)</t>
  </si>
  <si>
    <t>POLYGON Z ((283997.7447363138 6880755.191362344 470.24, 283998.86782492185 6880752.675800179 470.2, 283997.83607897506 6880750.651477862 470.42, 283994.3667560803 6880749.536471552 470.1, 283992.8380692194 6880750.170585117 469.53000000000003, 283992.5088639351 6880751.929285418 469.48, 283993.01523713843 6880752.947351471 469.75, 283995.8748955983 6880755.505456604 469.94, 283997.7447363138 6880755.191362344 470.24))</t>
  </si>
  <si>
    <t>['RV3 S17D1 m9616-9623']</t>
  </si>
  <si>
    <t>LINESTRING Z (285141.72747537214 6878758.38032444 452.19, 285151.4358837077 6878756.133660274 453.37, 285151.6530548289 6878752.516562352 453.35, 285149.062581667 6878751.018596729 453.29, 285144.68525345856 6878752.137894645 452.66, 285143.1701973396 6878751.293752152 452.58, 285141.24183073035 6878753.793523198 452.31, 285141.72747537214 6878758.38032444 452.19)</t>
  </si>
  <si>
    <t>POLYGON Z ((285141.72747537214 6878758.38032444 452.19, 285151.4358837077 6878756.133660274 453.37, 285151.6530548289 6878752.516562352 453.35, 285149.062581667 6878751.018596729 453.29, 285144.68525345856 6878752.137894645 452.66, 285143.1701973396 6878751.293752152 452.58, 285141.24183073035 6878753.793523198 452.31, 285141.72747537214 6878758.38032444 452.19))</t>
  </si>
  <si>
    <t>['RV3 S18D1 m825-830']</t>
  </si>
  <si>
    <t>LINESTRING Z (283847.99752419896 6880856.915724034 475.16, 283848.8456464313 6880865.518090581 474.66, 283849.99220064364 6880867.913570606 474.46000000000004, 283851.9595256049 6880866.91725094 474.37, 283850.8837876199 6880856.185833543 475.24, 283847.99752419896 6880856.915724034 475.16)</t>
  </si>
  <si>
    <t>POLYGON Z ((283847.99752419896 6880856.915724034 475.16, 283848.8456464313 6880865.518090581 474.66, 283849.99220064364 6880867.913570606 474.46000000000004, 283851.9595256049 6880866.91725094 474.37, 283850.8837876199 6880856.185833543 475.24, 283847.99752419896 6880856.915724034 475.16))</t>
  </si>
  <si>
    <t>['RV3 S18D1 m645-652']</t>
  </si>
  <si>
    <t>LINESTRING Z (284017.2108565797 6880801.925218315 471.12, 284016.4791667606 6880804.002578846 470.66, 284019.51773398276 6880806.323043943 470.56, 284022.32571275457 6880806.374071774 470.45, 284023.24763127766 6880803.314509641 470.48, 284019.1091691079 6880800.834826913 471.21000000000004, 284017.2108565797 6880801.925218315 471.12)</t>
  </si>
  <si>
    <t>POLYGON Z ((284017.2108565797 6880801.925218315 471.12, 284016.4791667606 6880804.002578846 470.66, 284019.51773398276 6880806.323043943 470.56, 284022.32571275457 6880806.374071774 470.45, 284023.24763127766 6880803.314509641 470.48, 284019.1091691079 6880800.834826913 471.21000000000004, 284017.2108565797 6880801.925218315 471.12))</t>
  </si>
  <si>
    <t>['RV3 S17D1 m10846-10863']</t>
  </si>
  <si>
    <t>LINESTRING Z (284834.66949729796 6879942.527644976 465.87, 284831.4490085394 6879942.253626682 465, 284822.47654707555 6879941.277243345 463.32, 284825.57038008585 6879939.643953812 462.83, 284828.0305971347 6879937.245541675 462.64, 284826.56115099223 6879933.101630262 463.44, 284829.4990020514 6879928.378159121 463.42, 284831.7440399977 6879926.692975 463.18, 284836.23891292675 6879929.4410317615 463.77, 284838.71035711165 6879934.205378526 465.03000000000003, 284834.66949729796 6879942.527644976 465.87)</t>
  </si>
  <si>
    <t>POLYGON Z ((284834.66949729796 6879942.527644976 465.87, 284831.4490085394 6879942.253626682 465, 284822.47654707555 6879941.277243345 463.32, 284825.57038008585 6879939.643953812 462.83, 284828.0305971347 6879937.245541675 462.64, 284826.56115099223 6879933.101630262 463.44, 284829.4990020514 6879928.378159121 463.42, 284831.7440399977 6879926.692975 463.18, 284836.23891292675 6879929.4410317615 463.77, 284838.71035711165 6879934.205378526 465.03000000000003, 284834.66949729796 6879942.527644976 465.87))</t>
  </si>
  <si>
    <t>['RV3 S17D1 m6364-6384']</t>
  </si>
  <si>
    <t>LINESTRING Z (284748.89677243424 6875588.367379817 455.19, 284747.96723440057 6875587.227779007 454.88, 284749.5876167149 6875575.553217188 454.77, 284748.1854120387 6875569.423704839 454.58, 284747.3029057281 6875569.766754457 454.7, 284748.84754301864 6875576.023724975 454.76, 284747.23006515694 6875587.2961227475 454.84000000000003, 284746.7183855545 6875587.84592967 455.03000000000003, 284746.3586991312 6875589.81841923 455.2, 284748.66150600906 6875591.0316502135 455.33, 284748.89677243424 6875588.367379817 455.19)</t>
  </si>
  <si>
    <t>POLYGON Z ((284748.89677243424 6875588.367379817 455.19, 284747.96723440057 6875587.227779007 454.88, 284749.5876167149 6875575.553217188 454.77, 284748.1854120387 6875569.423704839 454.58, 284747.3029057281 6875569.766754457 454.7, 284748.84754301864 6875576.023724975 454.76, 284747.23006515694 6875587.2961227475 454.84000000000003, 284746.7183855545 6875587.84592967 455.03000000000003, 284746.3586991312 6875589.81841923 455.2, 284748.66150600906 6875591.0316502135 455.33, 284748.89677243424 6875588.367379817 455.19))</t>
  </si>
  <si>
    <t>['RV3 S17D1 m11050-11054']</t>
  </si>
  <si>
    <t>LINESTRING Z (284707.5742939791 6880091.64315931 461.54, 284706.5967282518 6880093.994493387 461.36, 284708.2509426896 6880095.14723574 461.3, 284710.3012469461 6880093.9623839315 461.25, 284710.7431297616 6880091.901870363 461.36, 284709.0444489232 6880090.703014999 461.53000000000003, 284707.5742939791 6880091.64315931 461.54)</t>
  </si>
  <si>
    <t>POLYGON Z ((284707.5742939791 6880091.64315931 461.54, 284706.5967282518 6880093.994493387 461.36, 284708.2509426896 6880095.14723574 461.3, 284710.3012469461 6880093.9623839315 461.25, 284710.7431297616 6880091.901870363 461.36, 284709.0444489232 6880090.703014999 461.53000000000003, 284707.5742939791 6880091.64315931 461.54))</t>
  </si>
  <si>
    <t>['RV3 S17D1 m8766-8774']</t>
  </si>
  <si>
    <t>LINESTRING Z (285009.9935406023 6877919.845184789 452.84000000000003, 285016.782842773 6877916.673632869 453.62, 285016.8362518278 6877914.649158455 453.87, 285013.8211483813 6877914.747893841 453.45, 285009.7657122285 6877913.054192334 453.13, 285006.547805318 6877912.699506929 452.99, 285009.0937005854 6877916.100577168 452.55, 285009.9935406023 6877919.845184789 452.84000000000003)</t>
  </si>
  <si>
    <t>POLYGON Z ((285009.9935406023 6877919.845184789 452.84000000000003, 285016.782842773 6877916.673632869 453.62, 285016.8362518278 6877914.649158455 453.87, 285013.8211483813 6877914.747893841 453.45, 285009.7657122285 6877913.054192334 453.13, 285006.547805318 6877912.699506929 452.99, 285009.0937005854 6877916.100577168 452.55, 285009.9935406023 6877919.845184789 452.84000000000003))</t>
  </si>
  <si>
    <t>['RV3 S17D1 m9832-9842']</t>
  </si>
  <si>
    <t>LINESTRING Z (285155.93230186484 6878967.676009746 454.79, 285155.0657341371 6878972.307832305 455.02, 285156.20443982014 6878976.894354187 454.64, 285158.1741181024 6878978.198702201 455.05, 285159.25761694997 6878977.314526294 455.02, 285163.7534370776 6878976.606221593 455, 285164.4747864059 6878974.308809145 454.8, 285161.2431113635 6878971.855526726 454.97, 285158.93200852594 6878969.578104363 454.99, 285155.93230186484 6878967.676009746 454.79)</t>
  </si>
  <si>
    <t>POLYGON Z ((285155.93230186484 6878967.676009746 454.79, 285155.0657341371 6878972.307832305 455.02, 285156.20443982014 6878976.894354187 454.64, 285158.1741181024 6878978.198702201 455.05, 285159.25761694997 6878977.314526294 455.02, 285163.7534370776 6878976.606221593 455, 285164.4747864059 6878974.308809145 454.8, 285161.2431113635 6878971.855526726 454.97, 285158.93200852594 6878969.578104363 454.99, 285155.93230186484 6878967.676009746 454.79))</t>
  </si>
  <si>
    <t>['PV1101 S1D1 m71-75']</t>
  </si>
  <si>
    <t>LINESTRING Z (284549.5601832948 6880303.016971853 462.12, 284551.6425062126 6880302.502323609 462.5, 284552.43775021937 6880301.001831493 462.26, 284551.7067155584 6880298.969720204 461.46000000000004, 284548.39553509554 6880301.617875555 461.48, 284549.5601832948 6880303.016971853 462.12)</t>
  </si>
  <si>
    <t>POLYGON Z ((284549.5601832948 6880303.016971853 462.12, 284551.6425062126 6880302.502323609 462.5, 284552.43775021937 6880301.001831493 462.26, 284551.7067155584 6880298.969720204 461.46000000000004, 284548.39553509554 6880301.617875555 461.48, 284549.5601832948 6880303.016971853 462.12))</t>
  </si>
  <si>
    <t>['RV3 S17D1 m6519-6521']</t>
  </si>
  <si>
    <t>LINESTRING Z (284726.9590720645 6875724.111692698 458.66, 284725.5900256349 6875723.866867055 458.59000000000003, 284725.18567875767 6875725.682740134 458.62, 284726.553801621 6875725.917604017 458.72, 284726.9590720645 6875724.111692698 458.66)</t>
  </si>
  <si>
    <t>POLYGON Z ((284726.9590720645 6875724.111692698 458.66, 284725.5900256349 6875723.866867055 458.59000000000003, 284725.18567875767 6875725.682740134 458.62, 284726.553801621 6875725.917604017 458.72, 284726.9590720645 6875724.111692698 458.66))</t>
  </si>
  <si>
    <t>['RV3 S17D1 m8312-8317']</t>
  </si>
  <si>
    <t>LINESTRING Z (284948.7226914071 6877467.446840291 455.1, 284947.3130963765 6877463.297364896 455.32, 284942.69674175483 6877464.981341191 454.89, 284942.8665607496 6877465.729195017 455.08, 284941.3786408757 6877466.369532103 455.23, 284940.8073827926 6877465.518238751 455.24, 284939.069894242 6877466.392712123 455.69, 284940.2859805416 6877469.213782887 455.65000000000003, 284942.93203227245 6877468.385678176 455.17, 284943.58839893877 6877469.721401067 455.05, 284948.7226914071 6877467.446840291 455.1)</t>
  </si>
  <si>
    <t>POLYGON Z ((284948.7226914071 6877467.446840291 455.1, 284947.3130963765 6877463.297364896 455.32, 284942.69674175483 6877464.981341191 454.89, 284942.8665607496 6877465.729195017 455.08, 284941.3786408757 6877466.369532103 455.23, 284940.8073827926 6877465.518238751 455.24, 284939.069894242 6877466.392712123 455.69, 284940.2859805416 6877469.213782887 455.65000000000003, 284942.93203227245 6877468.385678176 455.17, 284943.58839893877 6877469.721401067 455.05, 284948.7226914071 6877467.446840291 455.1))</t>
  </si>
  <si>
    <t>['RV3 S17D1 m9882-9891']</t>
  </si>
  <si>
    <t>LINESTRING Z (285126.72523960134 6879017.195312052 454.06, 285121.963156151 6879014.924145897 454.15000000000003, 285117.7008726207 6879015.550510089 453.58, 285116.291442889 6879018.012208434 453.13, 285117.0369468976 6879022.042401056 451.77, 285118.9658997612 6879022.365882954 451.73, 285122.69905492396 6879020.15086668 452.3, 285126.72523960134 6879017.195312052 454.06)</t>
  </si>
  <si>
    <t>POLYGON Z ((285126.72523960134 6879017.195312052 454.06, 285121.963156151 6879014.924145897 454.15000000000003, 285117.7008726207 6879015.550510089 453.58, 285116.291442889 6879018.012208434 453.13, 285117.0369468976 6879022.042401056 451.77, 285118.9658997612 6879022.365882954 451.73, 285122.69905492396 6879020.15086668 452.3, 285126.72523960134 6879017.195312052 454.06))</t>
  </si>
  <si>
    <t>['RV3 S17D1 m8480-8486']</t>
  </si>
  <si>
    <t>LINESTRING Z (284969.2272356011 6877635.2657591645 454.76, 284970.54815876996 6877638.458907085 454.49, 284973.91748349887 6877639.904769883 454.81, 284975.14081969147 6877636.1943740295 454.77, 284973.1273394798 6877634.2007980915 454.6, 284971.31490418443 6877634.700423095 454.49, 284970.7023669017 6877635.571059074 454.35, 284969.2272356011 6877635.2657591645 454.76)</t>
  </si>
  <si>
    <t>POLYGON Z ((284969.2272356011 6877635.2657591645 454.76, 284970.54815876996 6877638.458907085 454.49, 284973.91748349887 6877639.904769883 454.81, 284975.14081969147 6877636.1943740295 454.77, 284973.1273394798 6877634.2007980915 454.6, 284971.31490418443 6877634.700423095 454.49, 284970.7023669017 6877635.571059074 454.35, 284969.2272356011 6877635.2657591645 454.76))</t>
  </si>
  <si>
    <t>['RV3 S17D1 m9094-9100']</t>
  </si>
  <si>
    <t>LINESTRING Z (285099.16232150904 6878234.368408855 451, 285102.07635778765 6878234.479985371 451.59000000000003, 285103.78794908803 6878231.809424475 451.83, 285102.48009474576 6878229.840851303 451.8, 285099.58385984984 6878229.054450213 451.36, 285098.2825212327 6878230.1899097515 451.08, 285099.16232150904 6878234.368408855 451)</t>
  </si>
  <si>
    <t>POLYGON Z ((285099.16232150904 6878234.368408855 451, 285102.07635778765 6878234.479985371 451.59000000000003, 285103.78794908803 6878231.809424475 451.83, 285102.48009474576 6878229.840851303 451.8, 285099.58385984984 6878229.054450213 451.36, 285098.2825212327 6878230.1899097515 451.08, 285099.16232150904 6878234.368408855 451))</t>
  </si>
  <si>
    <t>['RV3 S17D1 m9883-9892']</t>
  </si>
  <si>
    <t>LINESTRING Z (285154.30328943767 6879022.374262073 454.32, 285153.2913501343 6879028.255393527 454.24, 285156.8610448803 6879029.803206257 455.22, 285159.1933048015 6879025.266547564 455.01, 285156.3384138346 6879020.809039134 454.5, 285154.30328943767 6879022.374262073 454.32)</t>
  </si>
  <si>
    <t>POLYGON Z ((285154.30328943767 6879022.374262073 454.32, 285153.2913501343 6879028.255393527 454.24, 285156.8610448803 6879029.803206257 455.22, 285159.1933048015 6879025.266547564 455.01, 285156.3384138346 6879020.809039134 454.5, 285154.30328943767 6879022.374262073 454.32))</t>
  </si>
  <si>
    <t>['RV3 S17D1 m8614-8620']</t>
  </si>
  <si>
    <t>LINESTRING Z (284976.5230720555 6877772.348775087 453.2, 284980.20839767467 6877768.209134667 453.3, 284978.8352366083 6877766.1863272 452.99, 284974.47222256806 6877768.218575499 453.25, 284976.5230720555 6877772.348775087 453.2)</t>
  </si>
  <si>
    <t>POLYGON Z ((284976.5230720555 6877772.348775087 453.2, 284980.20839767467 6877768.209134667 453.3, 284978.8352366083 6877766.1863272 452.99, 284974.47222256806 6877768.218575499 453.25, 284976.5230720555 6877772.348775087 453.2))</t>
  </si>
  <si>
    <t>['RV3 S17D1 m9964-9974']</t>
  </si>
  <si>
    <t>LINESTRING Z (285134.717006583 6879102.720926654 455.01, 285133.6804846445 6879109.528698252 454.91, 285136.9091126026 6879111.299039306 455.84000000000003, 285139.09201453405 6879109.810536374 456.04, 285140.2509616625 6879105.081265321 455.73, 285138.56965680886 6879101.469421633 455.39, 285134.717006583 6879102.720926654 455.01)</t>
  </si>
  <si>
    <t>POLYGON Z ((285134.717006583 6879102.720926654 455.01, 285133.6804846445 6879109.528698252 454.91, 285136.9091126026 6879111.299039306 455.84000000000003, 285139.09201453405 6879109.810536374 456.04, 285140.2509616625 6879105.081265321 455.73, 285138.56965680886 6879101.469421633 455.39, 285134.717006583 6879102.720926654 455.01))</t>
  </si>
  <si>
    <t>['RV3 S17D1 m10394-10399']</t>
  </si>
  <si>
    <t>LINESTRING Z (285025.40615257574 6879521.826999593 457.77, 285028.4830339592 6879522.82771 457.90000000000003, 285030.54153290286 6879519.672822404 457.99, 285028.9923277004 6879517.485504574 457.86, 285026.76689086796 6879516.998625519 457.88, 285025.40615257574 6879521.826999593 457.77)</t>
  </si>
  <si>
    <t>POLYGON Z ((285025.40615257574 6879521.826999593 457.77, 285028.4830339592 6879522.82771 457.90000000000003, 285030.54153290286 6879519.672822404 457.99, 285028.9923277004 6879517.485504574 457.86, 285026.76689086796 6879516.998625519 457.88, 285025.40615257574 6879521.826999593 457.77))</t>
  </si>
  <si>
    <t>2024-04-10</t>
  </si>
  <si>
    <t>['FV889 S4D1 m13726-13728']</t>
  </si>
  <si>
    <t>LINESTRING Z (853462.7269651718 7891799.5502357995 8.664, 853462.0450637665 7891799.035976141 8.63, 853461.2717274225 7891798.234610088 8.502, 853459.8055559958 7891797.8983865725 8.15, 853460.3843583877 7891799.353149941 8.608, 853461.5316581238 7891799.859911685 8.737, 853461.9336238229 7891800.2792305555 8.715, 853463.3252574066 7891801.131735822 9, 853463.9665301635 7891801.07602924 8.779, 853464.1182450013 7891800.834463852 9.013, 853462.7269651718 7891799.5502357995 8.664)</t>
  </si>
  <si>
    <t>POLYGON Z ((853462.7269651718 7891799.5502357995 8.664, 853462.0450637665 7891799.035976141 8.63, 853461.2717274225 7891798.234610088 8.502, 853459.8055559958 7891797.8983865725 8.15, 853460.3843583877 7891799.353149941 8.608, 853461.5316581238 7891799.859911685 8.737, 853461.9336238229 7891800.2792305555 8.715, 853463.3252574066 7891801.131735822 9, 853463.9665301635 7891801.07602924 8.779, 853464.1182450013 7891800.834463852 9.013, 853462.7269651718 7891799.5502357995 8.664))</t>
  </si>
  <si>
    <t>['FV889 S4D1 m13597-13599']</t>
  </si>
  <si>
    <t>LINESTRING Z (853561.0926872183 7891721.318265256 8.109, 853560.1338903088 7891720.362906317 8.05, 853559.7102792042 7891719.913812271 8.075, 853559.1801898114 7891719.426597414 7.9750000000000005, 853558.2638125545 7891718.702957344 8.053, 853556.8548845514 7891717.671357659 7.954, 853556.3393109587 7891717.207722882 7.849, 853556.0046774982 7891717.580509571 7.849, 853556.5389842335 7891718.060282712 7.954, 853557.9614940718 7891719.1021384355 8.053, 853558.8553391547 7891719.808025884 7.9750000000000005, 853559.3580577762 7891720.269628103 8.075, 853559.7746962393 7891720.711538267 8.05, 853560.7396332907 7891721.672935886 8.109, 853561.2177405929 7891722.104293965 8.076, 853561.6353904083 7891721.719294348 8.076, 853561.0926872183 7891721.318265256 8.109)</t>
  </si>
  <si>
    <t>POLYGON Z ((853561.0926872183 7891721.318265256 8.109, 853560.1338903088 7891720.362906317 8.05, 853559.7102792042 7891719.913812271 8.075, 853559.1801898114 7891719.426597414 7.9750000000000005, 853558.2638125545 7891718.702957344 8.053, 853556.8548845514 7891717.671357659 7.954, 853556.3393109587 7891717.207722882 7.849, 853556.0046774982 7891717.580509571 7.849, 853556.5389842335 7891718.060282712 7.954, 853557.9614940718 7891719.1021384355 8.053, 853558.8553391547 7891719.808025884 7.9750000000000005, 853559.3580577762 7891720.269628103 8.075, 853559.7746962393 7891720.711538267 8.05, 853560.7396332907 7891721.672935886 8.109, 853561.2177405929 7891722.104293965 8.076, 853561.6353904083 7891721.719294348 8.076, 853561.0926872183 7891721.318265256 8.109))</t>
  </si>
  <si>
    <t>['FV705 S3D1 m5988-5992']</t>
  </si>
  <si>
    <t>LINESTRING Z (303317.03925037256 7024265.627899676 179.01, 303323.3458931634 7024270.701724312 179.01, 303326.8856726792 7024263.998158103 179.01)</t>
  </si>
  <si>
    <t>POLYGON Z ((303317.03925037256 7024265.627899676 179.01, 303323.3458931634 7024270.701724312 179.01, 303326.8856726792 7024263.998158103 179.01, 303317.03925037256 7024265.627899676 179.01))</t>
  </si>
  <si>
    <t>2024-05-03</t>
  </si>
  <si>
    <t>2025-11-22T09:22:13Z</t>
  </si>
  <si>
    <t>['FV862 S4D1 m12529-12553']</t>
  </si>
  <si>
    <t>LINESTRING Z (632106.43 7728782.93 2.43, 632096.17 7728780.24 1.94, 632095.6 7728778.56 2.39, 632091.93 7728779.34 2.32, 632093.62 7728781.31 1.29, 632094.07 7728787.85 1.21, 632095.11 7728790.31 1.47, 632096.72 7728794.55 3.0100000000000002, 632100.2 7728793.31 3, 632100.52 7728792.9 2.84, 632099.48 7728790.09 1.6400000000000001, 632109.84 7728793.29 1.8900000000000001, 632110.77 7728796.01 2.69, 632113.64 7728796.83 2.91, 632114.9 7728795.14 1.79, 632112.55 7728787.55 1.29, 632111.85 7728784.11 2.85, 632108.6 7728782.36 2.68, 632106.43 7728782.93 2.43)</t>
  </si>
  <si>
    <t>POLYGON Z ((632106.43 7728782.93 2.43, 632096.17 7728780.24 1.94, 632095.6 7728778.56 2.39, 632091.93 7728779.34 2.32, 632093.62 7728781.31 1.29, 632094.07 7728787.85 1.21, 632095.11 7728790.31 1.47, 632096.72 7728794.55 3.0100000000000002, 632100.2 7728793.31 3, 632100.52 7728792.9 2.84, 632099.48 7728790.09 1.6400000000000001, 632109.84 7728793.29 1.8900000000000001, 632110.77 7728796.01 2.69, 632113.64 7728796.83 2.91, 632114.9 7728795.14 1.79, 632112.55 7728787.55 1.29, 632111.85 7728784.11 2.85, 632108.6 7728782.36 2.68, 632106.43 7728782.93 2.43))</t>
  </si>
  <si>
    <t>2024-09-12</t>
  </si>
  <si>
    <t>[651]</t>
  </si>
  <si>
    <t>['RV651 S4D1 m1932-1949']</t>
  </si>
  <si>
    <t>LINESTRING Z (35061.741783185105 6915337.923759588 46.544, 35056.31690636551 6915331.368905189 46.794, 35050.79372840765 6915324.410453217 47.194)</t>
  </si>
  <si>
    <t>POLYGON ((35056.70535713493 6915331.054052654, 35051.18535649691 6915324.099603672, 35050.40210031838 6915324.721302763, 35055.92527827624 6915331.679754735, 35055.93171410408 6915331.687694966, 35061.35659092368 6915338.242549364, 35062.12697544653 6915337.604969812, 35056.70535713493 6915331.054052654))</t>
  </si>
  <si>
    <t>['EV16 S9D1 m572-617']</t>
  </si>
  <si>
    <t>LINESTRING (16178.970790370484 6756150.257082161, 16184.037067475438 6756150.829073924, 16186.452756000566 6756148.080331725, 16192.769576977065 6756144.178176588, 16196.943498283625 6756143.583660389, 16196.148572327395 6756141.723597702, 16197.605695796083 6756135.770655797, 16204.649228801194 6756136.714901628, 16206.402794713329 6756136.62443032, 16210.166058877541 6756104.1324623255, 16208.235845397518 6756100.433508079, 16199.92297272652 6756101.126004406, 16197.513314235082 6756103.50168232, 16196.838286129176 6756111.17491469, 16195.078419261961 6756126.005262552, 16191.771492938395 6756135.168467131, 16194.50394344062 6756135.541882183, 16193.525122376741 6756141.44085675, 16187.33352964581 6756141.113098215, 16179.664408907644 6756147.283817889, 16178.970790370484 6756150.257082161)</t>
  </si>
  <si>
    <t>POLYGON ((16178.970790370484 6756150.257082161, 16184.037067475438 6756150.829073924, 16186.452756000566 6756148.080331725, 16192.769576977065 6756144.178176588, 16196.943498283625 6756143.583660389, 16196.148572327395 6756141.723597702, 16197.605695796083 6756135.770655797, 16204.649228801194 6756136.714901628, 16206.402794713329 6756136.62443032, 16210.166058877541 6756104.1324623255, 16208.235845397518 6756100.433508079, 16199.92297272652 6756101.126004406, 16197.513314235082 6756103.50168232, 16196.838286129176 6756111.17491469, 16195.078419261961 6756126.005262552, 16191.771492938395 6756135.168467131, 16194.50394344062 6756135.541882183, 16193.525122376741 6756141.44085675, 16187.33352964581 6756141.113098215, 16179.664408907644 6756147.283817889, 16178.970790370484 6756150.257082161))</t>
  </si>
  <si>
    <t>['FA7772 S1001D1 m595-797']</t>
  </si>
  <si>
    <t>LINESTRING Z (655200.2093149673 7735966.556860334 -2.11, 655193.897074614 7735969.569940049 0.73, 655193.8771096363 7735969.568794798 0.74, 655193.0632975167 7735969.962786933 1.12, 655193.0327774251 7735969.971051547 1.1300000000000001, 655192.2600405125 7735970.347369206 1.5, 655190.1289587065 7735971.356857064 2.5, 655188.7800236805 7735972.000582372 2.5, 655187.492701466 7735972.617795962 1.5, 655193.5868744522 7735980.7392767435 1.5, 655198.0263386827 7735989.597111717 1.5, 655199.1626842177 7735999.817847189 1.5, 655205.2380369741 7736007.918218598 1.5, 655206.0994532281 7736018.04306092 1.5, 655211.3424214951 7736026.686589604 1.5, 655213.7683787777 7736036.250182335 1.5, 655216.1139032322 7736045.819176687 1.5, 655216.8669809239 7736055.737498149 1.5, 655221.5146054863 7736064.807582504 1.5, 655223.3501246667 7736074.5376131935 1.5, 655224.6614004215 7736084.327709709 1.5, 655226.2861414475 7736094.065680385 1.5, 655227.1328205989 7736103.749003574 1.5, 655227.8094722697 7736113.602849552 1.5, 655228.280097819 7736123.90558275 1.5, 655228.9217963207 7736126.686595344 1.5, 655229.2930700891 7736129.642386864 1.5, 655229.4591549252 7736134.429230194 1.5, 655233.472363584 7736134.829702615 1.5, 655235.1594979631 7736135.797816947 1.5, 655244.3718991359 7736138.97032184 1.5, 655246.0330945065 7736139.866840907 1.5, 655247.7347924756 7736140.755668014 1.5, 655249.4396013723 7736141.764857652 1.5, 655250.4132437565 7736143.473240059 1.5, 655251.4824548569 7736145.086951252 1.5, 655252.204817075 7736146.810965379 1.5, 655253.3315883629 7736151.262319276 1.5, 655255.1072099907 7736160.988915713 1.5, 655256.9469824306 7736170.819345585 1.5, 655258.3468987665 7736170.509051636 2.5, 655259.8078553155 7736170.1822284935 2.5, 655261.7149130427 7736169.760811255 1.5, 655261.8569584393 7736169.72889814 1.43, 655262.0189688177 7736169.698130284 1.34, 655268.6129520849 7736168.2335625915 -2.11, 655265.9314622285 7736158.585201237 -2.39, 655262.8529629786 7736148.874004847 -2.47, 655261.0329729122 7736143.761934338 -2.47, 655259.6688516197 7736140.829311966 -2.47, 655258.5928295031 7736137.762985924 -2.47, 655256.2211428343 7736135.633885262 -2.47, 655254.0254574434 7736133.404711954 -2.46, 655251.554766278 7736131.430177531 -2.4, 655248.9174837095 7736129.566270939 -2.32, 655238.6899957757 7736127.677592704 -2.04, 655238.3022258608 7736127.10450528 -2.02, 655238.8871843601 7736127.208167896 -2.04, 655238.281842409 7736126.412277688 -2.0100000000000002, 655237.4610482436 7736124.832847367 -1.97, 655237.1548395848 7736123.012521333 -1.97, 655236.897127936 7736113.362982935 -1.97, 655236.3357621357 7736103.245335724 -1.97, 655235.5927454944 7736092.977053739 -2.13, 655234.6297888965 7736082.876431412 -2.04, 655232.7880480235 7736072.905675292 -1.83, 655231.4300473722 7736062.882545522 -1.97, 655230.0050321027 7736052.805494993 -2.14, 655228.1966734951 7736042.776562144 -2.19, 655225.046002943 7736033.1012896905 -2.11, 655222.7410575617 7736023.174070775 -2.2600000000000002, 655218.3339088872 7736013.927490119 -1.97, 655215.2120397233 7736004.273901137 -2.25, 655212.108169532 7735994.481130125 -2.47, 655208.10661858 7735985.147647849 -2.6, 655204.3092981753 7735975.7457584115 -2.68, 655200.2093149673 7735966.556860334 -2.11)</t>
  </si>
  <si>
    <t>POLYGON Z ((655200.2093149673 7735966.556860334 -2.11, 655193.897074614 7735969.569940049 0.73, 655193.8771096363 7735969.568794798 0.74, 655193.0632975167 7735969.962786933 1.12, 655193.0327774251 7735969.971051547 1.1300000000000001, 655192.2600405125 7735970.347369206 1.5, 655190.1289587065 7735971.356857064 2.5, 655188.7800236805 7735972.000582372 2.5, 655187.492701466 7735972.617795962 1.5, 655193.5868744522 7735980.7392767435 1.5, 655198.0263386827 7735989.597111717 1.5, 655199.1626842177 7735999.817847189 1.5, 655205.2380369741 7736007.918218598 1.5, 655206.0994532281 7736018.04306092 1.5, 655211.3424214951 7736026.686589604 1.5, 655213.7683787777 7736036.250182335 1.5, 655216.1139032322 7736045.819176687 1.5, 655216.8669809239 7736055.737498149 1.5, 655221.5146054863 7736064.807582504 1.5, 655223.3501246667 7736074.5376131935 1.5, 655224.6614004215 7736084.327709709 1.5, 655226.2861414475 7736094.065680385 1.5, 655227.1328205989 7736103.749003574 1.5, 655227.8094722697 7736113.602849552 1.5, 655228.280097819 7736123.90558275 1.5, 655228.9217963207 7736126.686595344 1.5, 655229.2930700891 7736129.642386864 1.5, 655229.4591549252 7736134.429230194 1.5, 655233.472363584 7736134.829702615 1.5, 655235.1594979631 7736135.797816947 1.5, 655244.3718991359 7736138.97032184 1.5, 655246.0330945065 7736139.866840907 1.5, 655247.7347924756 7736140.755668014 1.5, 655249.4396013723 7736141.764857652 1.5, 655250.4132437565 7736143.473240059 1.5, 655251.4824548569 7736145.086951252 1.5, 655252.204817075 7736146.810965379 1.5, 655253.3315883629 7736151.262319276 1.5, 655255.1072099907 7736160.988915713 1.5, 655256.9469824306 7736170.819345585 1.5, 655258.3468987665 7736170.509051636 2.5, 655259.8078553155 7736170.1822284935 2.5, 655261.7149130427 7736169.760811255 1.5, 655261.8569584393 7736169.72889814 1.43, 655262.0189688177 7736169.698130284 1.34, 655268.6129520849 7736168.2335625915 -2.11, 655265.9314622285 7736158.585201237 -2.39, 655262.8529629786 7736148.874004847 -2.47, 655261.0329729122 7736143.761934338 -2.47, 655259.6688516197 7736140.829311966 -2.47, 655258.5928295031 7736137.762985924 -2.47, 655256.2211428343 7736135.633885262 -2.47, 655254.0254574434 7736133.404711954 -2.46, 655251.554766278 7736131.430177531 -2.4, 655248.9174837095 7736129.566270939 -2.32, 655238.6899957757 7736127.677592704 -2.04, 655238.3022258608 7736127.10450528 -2.02, 655238.8871843601 7736127.208167896 -2.04, 655238.281842409 7736126.412277688 -2.0100000000000002, 655237.4610482436 7736124.832847367 -1.97, 655237.1548395848 7736123.012521333 -1.97, 655236.897127936 7736113.362982935 -1.97, 655236.3357621357 7736103.245335724 -1.97, 655235.5927454944 7736092.977053739 -2.13, 655234.6297888965 7736082.876431412 -2.04, 655232.7880480235 7736072.905675292 -1.83, 655231.4300473722 7736062.882545522 -1.97, 655230.0050321027 7736052.805494993 -2.14, 655228.1966734951 7736042.776562144 -2.19, 655225.046002943 7736033.1012896905 -2.11, 655222.7410575617 7736023.174070775 -2.2600000000000002, 655218.3339088872 7736013.927490119 -1.97, 655215.2120397233 7736004.273901137 -2.25, 655212.108169532 7735994.481130125 -2.47, 655208.10661858 7735985.147647849 -2.6, 655204.3092981753 7735975.7457584115 -2.68, 655200.2093149673 7735966.556860334 -2.11))</t>
  </si>
  <si>
    <t>2025-11-22T09:22:18Z</t>
  </si>
  <si>
    <t>['RV41 S7D1 m4832-4875']</t>
  </si>
  <si>
    <t>LINESTRING Z (117423.58285561547 6519948.752282814 169.68, 117424.3363353677 6519947.189899857 169.65, 117421.76907377306 6519946.2424265165 167.64000000000001, 117423.08187497588 6519943.810656815 166.61, 117424.71592751419 6519940.854626189 166.59, 117424.55299237015 6519939.180192652 167.21, 117426.16939959081 6519938.7311279625 168.3, 117427.50999275094 6519940.824212088 169.53, 117429.02153335843 6519937.849919257 169.51, 117427.49082603003 6519936.801581155 168.70000000000002, 117424.38411561842 6519935.997151237 168.9, 117420.25314842124 6519936.660717938 168.8, 117415.25502136152 6519938.545586165 168.85, 117410.23109901807 6519941.509517477 168.85, 117406.47464011895 6519944.470850053 169.01, 117405.51955347642 6519945.408931641 169.06, 117402.62895093096 6519951.374811402 168.6, 117400.87591328117 6519956.726935457 168.22, 117398.03978796501 6519963.562842904 167.79, 117396.82488077064 6519966.276863618 167.61, 117395.62699780281 6519968.959044073 167.35, 117397.733039602 6519970.233112317 166.44, 117399.93379737146 6519971.860168636 166.58, 117402.16579729953 6519972.981122645 167.71, 117404.82472342631 6519970.94154815 168.22, 117406.71257010289 6519966.974818668 168.16, 117408.7847117912 6519961.903541859 168.3, 117410.58467383374 6519956.51666824 168.61, 117412.76236509322 6519952.219897898 168.79, 117415.61464473064 6519949.7892434085 168.83, 117417.47256838519 6519948.8236763105 168.77, 117421.68694295891 6519949.017259644 169.25, 117423.58285561547 6519948.752282814 169.68)</t>
  </si>
  <si>
    <t>POLYGON Z ((117423.58285561547 6519948.752282814 169.68, 117424.3363353677 6519947.189899857 169.65, 117421.76907377306 6519946.2424265165 167.64000000000001, 117423.08187497588 6519943.810656815 166.61, 117424.71592751419 6519940.854626189 166.59, 117424.55299237015 6519939.180192652 167.21, 117426.16939959081 6519938.7311279625 168.3, 117427.50999275094 6519940.824212088 169.53, 117429.02153335843 6519937.849919257 169.51, 117427.49082603003 6519936.801581155 168.70000000000002, 117424.38411561842 6519935.997151237 168.9, 117420.25314842124 6519936.660717938 168.8, 117415.25502136152 6519938.545586165 168.85, 117410.23109901807 6519941.509517477 168.85, 117406.47464011895 6519944.470850053 169.01, 117405.51955347642 6519945.408931641 169.06, 117402.62895093096 6519951.374811402 168.6, 117400.87591328117 6519956.726935457 168.22, 117398.03978796501 6519963.562842904 167.79, 117396.82488077064 6519966.276863618 167.61, 117395.62699780281 6519968.959044073 167.35, 117397.733039602 6519970.233112317 166.44, 117399.93379737146 6519971.860168636 166.58, 117402.16579729953 6519972.981122645 167.71, 117404.82472342631 6519970.94154815 168.22, 117406.71257010289 6519966.974818668 168.16, 117408.7847117912 6519961.903541859 168.3, 117410.58467383374 6519956.51666824 168.61, 117412.76236509322 6519952.219897898 168.79, 117415.61464473064 6519949.7892434085 168.83, 117417.47256838519 6519948.8236763105 168.77, 117421.68694295891 6519949.017259644 169.25, 117423.58285561547 6519948.752282814 169.68))</t>
  </si>
  <si>
    <t>['RV41 S7D1 m4779-4835']</t>
  </si>
  <si>
    <t>LINESTRING Z (117441.47617435618 6519935.873333954 169.36, 117439.50374296436 6519939.79798611 169.38, 117437.3443141153 6519943.972243205 169.41, 117439.24682757526 6519946.463403645 168.61, 117441.37969446147 6519947.392779297 168.86, 117444.61880278145 6519945.628770815 168.78, 117450.08363830158 6519942.853344339 168.44, 117455.14107041352 6519940.027010442 168.39000000000001, 117458.22275187331 6519937.885932957 168.55, 117460.89573065407 6519935.060216404 168.49, 117462.71500550013 6519932.146530803 168.42000000000002, 117461.4398873166 6519931.656873982 167.72, 117461.09814676456 6519930.523024446 167.12, 117463.06391154265 6519927.9774113605 167.65, 117463.57348334743 6519924.839026579 167.41, 117465.22560973547 6519924.44685389 168.21, 117466.64468501194 6519919.901945794 168.28, 117467.46962810622 6519915.455096232 168.20000000000002, 117469.03113083425 6519909.065184211 168.33, 117470.23502246354 6519903.756439085 168.1, 117470.73033396865 6519902.229240025 168.12, 117469.60119326826 6519899.31068166 167.35, 117468.5642064811 6519899.200302032 166.75, 117466.31462942995 6519896.451137536 166.65, 117465.26530298125 6519896.110550184 167.34, 117463.15859848226 6519898.448529825 168.29, 117461.3908041275 6519904.4761886615 168.37, 117459.66525033419 6519910.731145853 168.5, 117458.96799763106 6519915.869857038 168.33, 117457.56491526304 6519919.6485551335 168.39000000000001, 117456.01622822322 6519925.342995594 168.3, 117454.6214416661 6519929.000151848 168.07, 117452.73471017182 6519931.427400989 168.01, 117449.80500779487 6519933.372587376 168.07, 117446.6887832571 6519934.641698451 168.19, 117443.85006304696 6519935.350560671 168.51, 117441.47617435618 6519935.873333954 169.36)</t>
  </si>
  <si>
    <t>POLYGON Z ((117441.47617435618 6519935.873333954 169.36, 117439.50374296436 6519939.79798611 169.38, 117437.3443141153 6519943.972243205 169.41, 117439.24682757526 6519946.463403645 168.61, 117441.37969446147 6519947.392779297 168.86, 117444.61880278145 6519945.628770815 168.78, 117450.08363830158 6519942.853344339 168.44, 117455.14107041352 6519940.027010442 168.39000000000001, 117458.22275187331 6519937.885932957 168.55, 117460.89573065407 6519935.060216404 168.49, 117462.71500550013 6519932.146530803 168.42000000000002, 117461.4398873166 6519931.656873982 167.72, 117461.09814676456 6519930.523024446 167.12, 117463.06391154265 6519927.9774113605 167.65, 117463.57348334743 6519924.839026579 167.41, 117465.22560973547 6519924.44685389 168.21, 117466.64468501194 6519919.901945794 168.28, 117467.46962810622 6519915.455096232 168.20000000000002, 117469.03113083425 6519909.065184211 168.33, 117470.23502246354 6519903.756439085 168.1, 117470.73033396865 6519902.229240025 168.12, 117469.60119326826 6519899.31068166 167.35, 117468.5642064811 6519899.200302032 166.75, 117466.31462942995 6519896.451137536 166.65, 117465.26530298125 6519896.110550184 167.34, 117463.15859848226 6519898.448529825 168.29, 117461.3908041275 6519904.4761886615 168.37, 117459.66525033419 6519910.731145853 168.5, 117458.96799763106 6519915.869857038 168.33, 117457.56491526304 6519919.6485551335 168.39000000000001, 117456.01622822322 6519925.342995594 168.3, 117454.6214416661 6519929.000151848 168.07, 117452.73471017182 6519931.427400989 168.01, 117449.80500779487 6519933.372587376 168.07, 117446.6887832571 6519934.641698451 168.19, 117443.85006304696 6519935.350560671 168.51, 117441.47617435618 6519935.873333954 169.36))</t>
  </si>
  <si>
    <t>['FV57 S17D1 m8059-8061']</t>
  </si>
  <si>
    <t>LINESTRING Z (-4722.460847338836 6840768.617406574 44.934, -4722.423270356958 6840768.976740387 44.961, -4722.195592816861 6840769.3882170925 44.961, -4721.785858805466 6840769.617890627 44.805, -4721.541914680682 6840769.519222098 44.493, -4721.183774292178 6840769.287233081 44.4, -4720.83727339172 6840768.87249913 44.447, -4720.470571597165 6840768.402097057 44.804, -4720.76340303832 6840768.078228239 44.92, -4721.015577313199 6840767.851762722 45.037, -4721.411923372652 6840767.816738056 45.014, -4721.471371197957 6840768.060598385 44.783, -4721.808981406735 6840768.356461655 44.645, -4722.176986404695 6840768.6040903535 44.752, -4722.460847338836 6840768.617406574 44.934)</t>
  </si>
  <si>
    <t>POLYGON Z ((-4722.460847338836 6840768.617406574 44.934, -4722.423270356958 6840768.976740387 44.961, -4722.195592816861 6840769.3882170925 44.961, -4721.785858805466 6840769.617890627 44.805, -4721.541914680682 6840769.519222098 44.493, -4721.183774292178 6840769.287233081 44.4, -4720.83727339172 6840768.87249913 44.447, -4720.470571597165 6840768.402097057 44.804, -4720.76340303832 6840768.078228239 44.92, -4721.015577313199 6840767.851762722 45.037, -4721.411923372652 6840767.816738056 45.014, -4721.471371197957 6840768.060598385 44.783, -4721.808981406735 6840768.356461655 44.645, -4722.176986404695 6840768.6040903535 44.752, -4722.460847338836 6840768.617406574 44.934))</t>
  </si>
  <si>
    <t>['FV57 S17D1 m7418-7420']</t>
  </si>
  <si>
    <t>LINESTRING Z (-5194.987461592653 6840889.161330778 15.09386, -5194.78403505974 6840889.242767392 15.068824, -5194.52237414656 6840889.315920003 15.055636, -5194.143597323797 6840889.207060142 15.18424, -5194.066784229304 6840888.965863049 15.245032, -5193.956887667591 6840888.620787881 15.380894, -5193.864521684591 6840888.330758908 15.429165, -5193.843754107365 6840887.9476447785 15.49088, -5193.8638038369245 6840887.594082464 15.547041, -5193.88599123247 6840887.202810132 15.618997, -5193.9092072552885 6840886.896477212 15.666423, -5193.934136706928 6840886.567528656 15.703499, -5193.962618434045 6840886.191715262 15.792068, -5193.997510030167 6840886.02180086 15.812138, -5194.067472274415 6840885.73943064 15.835506, -5194.142121524084 6840885.438150045 15.863477, -5194.213554167247 6840885.149846974 15.852954, -5194.308289546345 6840884.76749251 15.835685, -5194.397617662151 6840884.406964846 15.915867, -5194.77956377808 6840884.338052277 15.865099, -5194.966123665043 6840884.616569339 15.855662, -5194.932861540525 6840884.851855844 15.845465, -5194.877134835231 6840885.246067531 15.786119, -5194.826382116415 6840885.60508372 15.781662, -5194.792190430977 6840885.846954122 15.755252, -5194.7672967851395 6840886.029951608 15.735528, -5194.718924178218 6840886.385549246 15.733923, -5194.687909931003 6840886.613549567 15.696829, -5194.685537665151 6840887.014541007 15.643184, -5194.684062849148 6840887.263929029 15.618654, -5194.682410052104 6840887.54339147 15.58949, -5194.688845339464 6840887.861725393 15.537804, -5194.726150149712 6840888.182220919 15.514801, -5194.805241002294 6840888.513480644 15.39156, -5194.891514434072 6840888.82021089 15.198791, -5194.987461592653 6840889.161330778 15.09386)</t>
  </si>
  <si>
    <t>POLYGON Z ((-5194.987461592653 6840889.161330778 15.09386, -5194.78403505974 6840889.242767392 15.068824, -5194.52237414656 6840889.315920003 15.055636, -5194.143597323797 6840889.207060142 15.18424, -5194.066784229304 6840888.965863049 15.245032, -5193.956887667591 6840888.620787881 15.380894, -5193.864521684591 6840888.330758908 15.429165, -5193.843754107365 6840887.9476447785 15.49088, -5193.8638038369245 6840887.594082464 15.547041, -5193.88599123247 6840887.202810132 15.618997, -5193.9092072552885 6840886.896477212 15.666423, -5193.934136706928 6840886.567528656 15.703499, -5193.962618434045 6840886.191715262 15.792068, -5193.997510030167 6840886.02180086 15.812138, -5194.067472274415 6840885.73943064 15.835506, -5194.142121524084 6840885.438150045 15.863477, -5194.213554167247 6840885.149846974 15.852954, -5194.308289546345 6840884.76749251 15.835685, -5194.397617662151 6840884.406964846 15.915867, -5194.77956377808 6840884.338052277 15.865099, -5194.966123665043 6840884.616569339 15.855662, -5194.932861540525 6840884.851855844 15.845465, -5194.877134835231 6840885.246067531 15.786119, -5194.826382116415 6840885.60508372 15.781662, -5194.792190430977 6840885.846954122 15.755252, -5194.7672967851395 6840886.029951608 15.735528, -5194.718924178218 6840886.385549246 15.733923, -5194.687909931003 6840886.613549567 15.696829, -5194.685537665151 6840887.014541007 15.643184, -5194.684062849148 6840887.263929029 15.618654, -5194.682410052104 6840887.54339147 15.58949, -5194.688845339464 6840887.861725393 15.537804, -5194.726150149712 6840888.182220919 15.514801, -5194.805241002294 6840888.513480644 15.39156, -5194.891514434072 6840888.82021089 15.198791, -5194.987461592653 6840889.161330778 15.09386))</t>
  </si>
  <si>
    <t>['FV57 S17D1 m8319-8320']</t>
  </si>
  <si>
    <t>LINESTRING Z (-4517.933686634933 6840599.330541412 44.004, -4517.855379835935 6840599.698078597 43.966, -4517.528492747282 6840599.991622198 43.823, -4517.334202948958 6840600.355299179 43.733, -4516.987618787796 6840600.789847366 43.552, -4516.661290590244 6840601.265881868 43.372, -4516.357724278874 6840601.759448293 43.14, -4516.118031953694 6840602.273545707 42.96, -4515.855413785379 6840602.6677258285 42.702, -4515.105436894693 6840602.195524506 42.67, -4515.223472213023 6840601.90903484 42.824, -4515.547510350065 6840601.667994604 42.98, -4515.846455204766 6840601.321993868 43.148, -4516.123079213547 6840600.886629847 43.341, -4516.417535205837 6840600.579429551 43.496, -4516.683941799973 6840600.15945645 43.677, -4516.905690826534 6840599.855727237 43.768, -4517.175565835205 6840599.556483346 43.859, -4517.441815543978 6840599.208635681 44.026, -4517.933686634933 6840599.330541412 44.004)</t>
  </si>
  <si>
    <t>POLYGON Z ((-4517.933686634933 6840599.330541412 44.004, -4517.855379835935 6840599.698078597 43.966, -4517.528492747282 6840599.991622198 43.823, -4517.334202948958 6840600.355299179 43.733, -4516.987618787796 6840600.789847366 43.552, -4516.661290590244 6840601.265881868 43.372, -4516.357724278874 6840601.759448293 43.14, -4516.118031953694 6840602.273545707 42.96, -4515.855413785379 6840602.6677258285 42.702, -4515.105436894693 6840602.195524506 42.67, -4515.223472213023 6840601.90903484 42.824, -4515.547510350065 6840601.667994604 42.98, -4515.846455204766 6840601.321993868 43.148, -4516.123079213547 6840600.886629847 43.341, -4516.417535205837 6840600.579429551 43.496, -4516.683941799973 6840600.15945645 43.677, -4516.905690826534 6840599.855727237 43.768, -4517.175565835205 6840599.556483346 43.859, -4517.441815543978 6840599.208635681 44.026, -4517.933686634933 6840599.330541412 44.004))</t>
  </si>
  <si>
    <t>['FV57 S17D1 m8610-8618']</t>
  </si>
  <si>
    <t>LINESTRING Z (-4269.32277186471 6840451.693945742 37.011101, -4269.141566593957 6840451.9596028235 36.823702, -4268.978418976476 6840452.198786918 36.643471, -4268.790304597991 6840452.424535092 36.441234, -4268.550918125024 6840452.649540844 36.247528, -4268.342050625884 6840452.845861134 36.052565, -4268.188784225611 6840452.989920516 35.929885, -4267.988803452754 6840453.177887646 35.724896, -4267.728155082732 6840453.42287774 35.470412, -4267.493568379432 6840453.64337109 35.25813, -4267.288174096553 6840453.836427334 35.085333, -4267.049195695261 6840454.061049112 34.854094, -4266.850410664396 6840454.247892585 34.66602, -4266.570038041333 6840454.241164436 34.579898, -4266.310683715623 6840454.23494105 34.56088, -4265.919463792641 6840454.225553116 34.538352, -4265.6428287701565 6840453.992479257 34.569986, -4265.472151606227 6840453.8486791635 34.591263, -4265.182605372043 6840453.60472754 34.60589, -4264.921951416531 6840453.385118748 34.600304, -4264.569297699141 6840453.087997428 34.601661, -4264.541989110992 6840453.064988855 34.604593, -4264.138000081875 6840452.724615771 34.629904, -4264.063661878987 6840452.6787009295 34.628616, -4263.695890493575 6840452.45155202 34.64102, -4263.607466708287 6840452.396938187 34.638409, -4263.239703816071 6840452.169793569 34.643663, -4263.066599914397 6840452.062878187 34.668351, -4262.852655401686 6840451.91670508 34.710307, -4262.715781397885 6840451.823188425 34.719153, -4262.454640546639 6840451.644769721 34.709503, -4262.080444838619 6840451.389108702 34.70728, -4261.8361922585755 6840451.22222893 34.713114, -4261.706598817022 6840451.113423128 34.707271, -4261.455803251592 6840450.902858315 34.713616, -4261.162930927647 6840450.656966891 34.77884, -4261.109407939541 6840450.612028659 34.773067, -4260.784657241369 6840450.380210408 34.733325, -4260.718074125063 6840450.055763268 34.752801, -4260.824830236088 6840449.746326687 34.916853, -4260.904861667659 6840449.514353972 35.054043, -4261.0323654287495 6840449.144783718 35.286176, -4261.353915940737 6840449.285337784 35.362759, -4261.6652688176255 6840449.421434707 35.411682, -4261.90566592355 6840449.456743427 35.513565, -4262.297944422113 6840449.514359976 35.634115, -4262.646328057803 6840449.496380025 35.759121, -4262.901130498853 6840449.483230144 35.867638, -4263.191464905685 6840449.409196208 36.048784, -4263.417374062934 6840449.27067108 36.231345, -4263.721839607926 6840449.083976207 36.371803, -4264.081234397774 6840449.261907764 36.405394, -4264.165345373389 6840449.426934556 36.365546, -4264.342555385781 6840449.773682692 36.238763, -4264.555604995519 6840450.078587514 36.161512, -4264.769817531167 6840450.134855124 36.201193, -4265.136201124231 6840450.108121412 36.328777, -4265.4662622861215 6840449.9093767395 36.52199, -4265.666442537971 6840449.931196744 36.585349, -4266.002435602306 6840450.139299983 36.612634, -4266.3207106099 6840450.23214606 36.73874, -4266.653943079582 6840450.329355846 36.797988, -4267.007724874944 6840450.408272504 36.908246, -4267.143416533305 6840450.410759527 36.954699, -4267.528649335494 6840450.417818812 37.051425, -4267.660460736137 6840450.420234545 37.08182, -4267.942153257376 6840450.536293573 37.086626, -4268.230200889928 6840450.654970416 37.134635, -4268.595314553066 6840450.805399124 37.15797, -4268.828928121133 6840451.090745126 37.127636, -4269.040342399909 6840451.348974395 37.059102, -4269.203592930513 6840451.548375435 37.021442, -4269.32277186471 6840451.693945742 37.011101)</t>
  </si>
  <si>
    <t>POLYGON Z ((-4269.32277186471 6840451.693945742 37.011101, -4269.141566593957 6840451.9596028235 36.823702, -4268.978418976476 6840452.198786918 36.643471, -4268.790304597991 6840452.424535092 36.441234, -4268.550918125024 6840452.649540844 36.247528, -4268.342050625884 6840452.845861134 36.052565, -4268.188784225611 6840452.989920516 35.929885, -4267.988803452754 6840453.177887646 35.724896, -4267.728155082732 6840453.42287774 35.470412, -4267.493568379432 6840453.64337109 35.25813, -4267.288174096553 6840453.836427334 35.085333, -4267.049195695261 6840454.061049112 34.854094, -4266.850410664396 6840454.247892585 34.66602, -4266.570038041333 6840454.241164436 34.579898, -4266.310683715623 6840454.23494105 34.56088, -4265.919463792641 6840454.225553116 34.538352, -4265.6428287701565 6840453.992479257 34.569986, -4265.472151606227 6840453.8486791635 34.591263, -4265.182605372043 6840453.60472754 34.60589, -4264.921951416531 6840453.385118748 34.600304, -4264.569297699141 6840453.087997428 34.601661, -4264.541989110992 6840453.064988855 34.604593, -4264.138000081875 6840452.724615771 34.629904, -4264.063661878987 6840452.6787009295 34.628616, -4263.695890493575 6840452.45155202 34.64102, -4263.607466708287 6840452.396938187 34.638409, -4263.239703816071 6840452.169793569 34.643663, -4263.066599914397 6840452.062878187 34.668351, -4262.852655401686 6840451.91670508 34.710307, -4262.715781397885 6840451.823188425 34.719153, -4262.454640546639 6840451.644769721 34.709503, -4262.080444838619 6840451.389108702 34.70728, -4261.8361922585755 6840451.22222893 34.713114, -4261.706598817022 6840451.113423128 34.707271, -4261.455803251592 6840450.902858315 34.713616, -4261.162930927647 6840450.656966891 34.77884, -4261.109407939541 6840450.612028659 34.773067, -4260.784657241369 6840450.380210408 34.733325, -4260.718074125063 6840450.055763268 34.752801, -4260.824830236088 6840449.746326687 34.916853, -4260.904861667659 6840449.514353972 35.054043, -4261.0323654287495 6840449.144783718 35.286176, -4261.353915940737 6840449.285337784 35.362759, -4261.6652688176255 6840449.421434707 35.411682, -4261.90566592355 6840449.456743427 35.513565, -4262.297944422113 6840449.514359976 35.634115, -4262.646328057803 6840449.496380025 35.759121, -4262.901130498853 6840449.483230144 35.867638, -4263.191464905685 6840449.409196208 36.048784, -4263.417374062934 6840449.27067108 36.231345, -4263.721839607926 6840449.083976207 36.371803, -4264.081234397774 6840449.261907764 36.405394, -4264.165345373389 6840449.426934556 36.365546, -4264.342555385781 6840449.773682692 36.238763, -4264.555604995519 6840450.078587514 36.161512, -4264.769817531167 6840450.134855124 36.201193, -4265.136201124231 6840450.108121412 36.328777, -4265.4662622861215 6840449.9093767395 36.52199, -4265.666442537971 6840449.931196744 36.585349, -4266.002435602306 6840450.139299983 36.612634, -4266.3207106099 6840450.23214606 36.73874, -4266.653943079582 6840450.329355846 36.797988, -4267.007724874944 6840450.408272504 36.908246, -4267.143416533305 6840450.410759527 36.954699, -4267.528649335494 6840450.417818812 37.051425, -4267.660460736137 6840450.420234545 37.08182, -4267.942153257376 6840450.536293573 37.086626, -4268.230200889928 6840450.654970416 37.134635, -4268.595314553066 6840450.805399124 37.15797, -4268.828928121133 6840451.090745126 37.127636, -4269.040342399909 6840451.348974395 37.059102, -4269.203592930513 6840451.548375435 37.021442, -4269.32277186471 6840451.693945742 37.011101))</t>
  </si>
  <si>
    <t>['FV57 S17D1 m7168-7170']</t>
  </si>
  <si>
    <t>LINESTRING Z (-5446.517254080041 6840900.862139599 13.212036, -5446.744180347479 6840901.110335063 13.175833, -5446.877499431837 6840901.256149527 13.152143, -5446.947401947109 6840901.571700522 13.130484, -5447.014359067427 6840901.873949587 13.182524, -5447.035585015023 6840901.969767211 13.206041, -5446.767214587249 6840902.318191808 13.334333, -5446.466470476997 6840902.473828422 13.372971, -5446.159965576895 6840902.560500165 13.427003, -5445.812781271292 6840902.7381412275 13.499732, -5445.567446864268 6840902.837396745 13.548885, -5445.300206120068 6840902.880291224 13.58895, -5445.130027871055 6840902.792737351 13.577123, -5444.844887181651 6840902.646038018 13.56559, -5444.656471660128 6840902.5643734615 13.538635, -5444.549508340482 6840902.279096317 13.453885, -5444.436376038007 6840901.94368277 13.364731, -5444.3520112300175 6840901.658221318 13.275855, -5444.303348120302 6840901.331411641 13.196986, -5444.442685803107 6840901.013196806 13.111446, -5444.630564930732 6840900.729431496 13.105846, -5444.900785773294 6840900.471550277 13.127105, -5445.168307058222 6840900.534358422 13.141139, -5445.401549306582 6840900.5891194865 13.153375, -5445.786240364425 6840900.679436891 13.173555, -5445.855523934937 6840900.696753463 13.177202, -5446.328305141884 6840900.814915158 13.20209, -5446.517254080041 6840900.862139599 13.212036)</t>
  </si>
  <si>
    <t>POLYGON Z ((-5446.517254080041 6840900.862139599 13.212036, -5446.744180347479 6840901.110335063 13.175833, -5446.877499431837 6840901.256149527 13.152143, -5446.947401947109 6840901.571700522 13.130484, -5447.014359067427 6840901.873949587 13.182524, -5447.035585015023 6840901.969767211 13.206041, -5446.767214587249 6840902.318191808 13.334333, -5446.466470476997 6840902.473828422 13.372971, -5446.159965576895 6840902.560500165 13.427003, -5445.812781271292 6840902.7381412275 13.499732, -5445.567446864268 6840902.837396745 13.548885, -5445.300206120068 6840902.880291224 13.58895, -5445.130027871055 6840902.792737351 13.577123, -5444.844887181651 6840902.646038018 13.56559, -5444.656471660128 6840902.5643734615 13.538635, -5444.549508340482 6840902.279096317 13.453885, -5444.436376038007 6840901.94368277 13.364731, -5444.3520112300175 6840901.658221318 13.275855, -5444.303348120302 6840901.331411641 13.196986, -5444.442685803107 6840901.013196806 13.111446, -5444.630564930732 6840900.729431496 13.105846, -5444.900785773294 6840900.471550277 13.127105, -5445.168307058222 6840900.534358422 13.141139, -5445.401549306582 6840900.5891194865 13.153375, -5445.786240364425 6840900.679436891 13.173555, -5445.855523934937 6840900.696753463 13.177202, -5446.328305141884 6840900.814915158 13.20209, -5446.517254080041 6840900.862139599 13.212036))</t>
  </si>
  <si>
    <t>['FV57 S17D1 m7223-7227']</t>
  </si>
  <si>
    <t>LINESTRING Z (-5392.929405762814 6840888.174457994 12.76055, -5392.785728982359 6840888.502501595 12.741037, -5392.708917982178 6840888.677876845 12.747841, -5392.600645893777 6840888.925083608 12.767338, -5392.52189679211 6840889.104883873 12.8233, -5392.38329482876 6840889.340900064 12.911672, -5392.183287471707 6840889.681479686 13.004266, -5391.955712648341 6840889.6792978635 13.00878, -5391.702979568858 6840889.55168341 12.972926, -5391.424124067649 6840889.4176294 12.965159, -5391.281995586876 6840889.3493037 12.964604, -5391.0325325033045 6840889.22937952 12.954884, -5390.692450266448 6840889.129824269 12.966046, -5390.407189827645 6840889.058937769 12.970757, -5390.134828571347 6840888.991256374 12.969127, -5389.834827281418 6840888.786376068 12.934735, -5389.5782007375965 6840888.546130226 12.887266, -5389.519247976772 6840888.270758165 12.833698, -5389.611961963237 6840887.941103233 12.746036, -5389.716483581695 6840887.637830697 12.722324, -5389.8128632980515 6840887.358180591 12.705701, -5390.16626857355 6840887.370404321 12.713045, -5390.423192244081 6840887.462478046 12.717541, -5390.681495607074 6840887.555046313 12.722061, -5391.0517273679725 6840887.68772694 12.72854, -5391.373194952263 6840887.802930697 12.734165, -5391.751044295204 6840887.91829788 12.740686, -5392.121574469376 6840887.99884587 12.746932, -5392.436535628571 6840888.0673146285 12.752241, -5392.802727769595 6840888.146919365 12.758414, -5392.929405762814 6840888.174457994 12.76055)</t>
  </si>
  <si>
    <t>POLYGON Z ((-5392.929405762814 6840888.174457994 12.76055, -5392.785728982359 6840888.502501595 12.741037, -5392.708917982178 6840888.677876845 12.747841, -5392.600645893777 6840888.925083608 12.767338, -5392.52189679211 6840889.104883873 12.8233, -5392.38329482876 6840889.340900064 12.911672, -5392.183287471707 6840889.681479686 13.004266, -5391.955712648341 6840889.6792978635 13.00878, -5391.702979568858 6840889.55168341 12.972926, -5391.424124067649 6840889.4176294 12.965159, -5391.281995586876 6840889.3493037 12.964604, -5391.0325325033045 6840889.22937952 12.954884, -5390.692450266448 6840889.129824269 12.966046, -5390.407189827645 6840889.058937769 12.970757, -5390.134828571347 6840888.991256374 12.969127, -5389.834827281418 6840888.786376068 12.934735, -5389.5782007375965 6840888.546130226 12.887266, -5389.519247976772 6840888.270758165 12.833698, -5389.611961963237 6840887.941103233 12.746036, -5389.716483581695 6840887.637830697 12.722324, -5389.8128632980515 6840887.358180591 12.705701, -5390.16626857355 6840887.370404321 12.713045, -5390.423192244081 6840887.462478046 12.717541, -5390.681495607074 6840887.555046313 12.722061, -5391.0517273679725 6840887.68772694 12.72854, -5391.373194952263 6840887.802930697 12.734165, -5391.751044295204 6840887.91829788 12.740686, -5392.121574469376 6840887.99884587 12.746932, -5392.436535628571 6840888.0673146285 12.752241, -5392.802727769595 6840888.146919365 12.758414, -5392.929405762814 6840888.174457994 12.76055))</t>
  </si>
  <si>
    <t>['FV57 S17D1 m8193-8195']</t>
  </si>
  <si>
    <t>LINESTRING Z (-4623.609599032439 6840669.149241677 45.373, -4623.684991042013 6840669.629554207 45.362, -4623.66886283207 6840669.835961078 45.376, -4623.7989466301515 6840670.219918318 45.275, -4623.27124723891 6840670.4454394905 45.272, -4622.626794888871 6840670.106535145 45.28, -4622.075295349816 6840669.390082585 45.312, -4621.93395988195 6840668.73082616 45.295, -4622.069665419636 6840668.227806122 45.294, -4622.284768989019 6840668.088123385 45.321, -4622.857159278006 6840668.469143204 45.352, -4623.336691307777 6840668.771662386 45.344, -4623.609599032439 6840669.149241677 45.373)</t>
  </si>
  <si>
    <t>POLYGON Z ((-4623.609599032439 6840669.149241677 45.373, -4623.684991042013 6840669.629554207 45.362, -4623.66886283207 6840669.835961078 45.376, -4623.7989466301515 6840670.219918318 45.275, -4623.27124723891 6840670.4454394905 45.272, -4622.626794888871 6840670.106535145 45.28, -4622.075295349816 6840669.390082585 45.312, -4621.93395988195 6840668.73082616 45.295, -4622.069665419636 6840668.227806122 45.294, -4622.284768989019 6840668.088123385 45.321, -4622.857159278006 6840668.469143204 45.352, -4623.336691307777 6840668.771662386 45.344, -4623.609599032439 6840669.149241677 45.373))</t>
  </si>
  <si>
    <t>['FV57 S17D1 m7632-7638']</t>
  </si>
  <si>
    <t>LINESTRING Z (-5012.26931965322 6840994.416205303 23.634796, -5012.123922542669 6840994.778772186 23.658982, -5011.947944148153 6840995.217599637 23.700854, -5011.858499948285 6840995.440640248 23.734271, -5011.714930174756 6840995.603385217 23.779004, -5011.4963354627835 6840995.851176467 23.827103, -5011.290354799479 6840996.084669619 23.981794999999998, -5011.140085281513 6840996.255008639 24.003692, -5010.827597409778 6840996.498300156 24.020259, -5010.515024903289 6840996.74165728 24.100048, -5010.205636732688 6840996.938295277 24.143908, -5009.812822205771 6840996.965432052 24.14816, -5009.531409371528 6840996.8660903135 24.09055, -5009.278764502495 6840996.765574274 24.063952, -5008.97525517043 6840996.649579534 24.04647, -5008.732802076149 6840996.628846133 24.061709, -5008.4248292857665 6840996.602509458 24.02812, -5008.048546705453 6840996.576040945 24.021216, -5007.794225512538 6840996.524756004 24.034271, -5007.4508851266 6840996.320601575 24.001767, -5007.276742383547 6840996.040131402 23.932383, -5007.107003309764 6840995.766753821 23.923068, -5007.08543970203 6840995.608322614 23.913613, -5007.202493230638 6840995.259130907 23.890456, -5007.483493746899 6840995.208832841 23.883797, -5007.8298929061275 6840995.146829201 23.86235, -5008.045636115654 6840995.108212878 23.826702, -5008.4128158795065 6840995.042489454 23.810406, -5008.76775326574 6840994.9783011805 23.794647, -5009.1161721551325 6840994.907031968 23.77911, -5009.485564934614 6840994.835674306 23.762673, -5009.798628359451 6840994.776535457 23.748753999999998, -5010.050382666872 6840994.728977212 23.737561, -5010.3752910635085 6840994.667600264 23.723115, -5010.679083416122 6840994.610212054 23.709608, -5011.026375434478 6840994.544606888 23.694167, -5011.37076234183 6840994.479549974 23.678855, -5011.717235096847 6840994.414099122 23.66345, -5012.0600124187185 6840994.3493469935 23.64821, -5012.26931965322 6840994.416205303 23.634796)</t>
  </si>
  <si>
    <t>POLYGON Z ((-5012.26931965322 6840994.416205303 23.634796, -5012.123922542669 6840994.778772186 23.658982, -5011.947944148153 6840995.217599637 23.700854, -5011.858499948285 6840995.440640248 23.734271, -5011.714930174756 6840995.603385217 23.779004, -5011.4963354627835 6840995.851176467 23.827103, -5011.290354799479 6840996.084669619 23.981794999999998, -5011.140085281513 6840996.255008639 24.003692, -5010.827597409778 6840996.498300156 24.020259, -5010.515024903289 6840996.74165728 24.100048, -5010.205636732688 6840996.938295277 24.143908, -5009.812822205771 6840996.965432052 24.14816, -5009.531409371528 6840996.8660903135 24.09055, -5009.278764502495 6840996.765574274 24.063952, -5008.97525517043 6840996.649579534 24.04647, -5008.732802076149 6840996.628846133 24.061709, -5008.4248292857665 6840996.602509458 24.02812, -5008.048546705453 6840996.576040945 24.021216, -5007.794225512538 6840996.524756004 24.034271, -5007.4508851266 6840996.320601575 24.001767, -5007.276742383547 6840996.040131402 23.932383, -5007.107003309764 6840995.766753821 23.923068, -5007.08543970203 6840995.608322614 23.913613, -5007.202493230638 6840995.259130907 23.890456, -5007.483493746899 6840995.208832841 23.883797, -5007.8298929061275 6840995.146829201 23.86235, -5008.045636115654 6840995.108212878 23.826702, -5008.4128158795065 6840995.042489454 23.810406, -5008.76775326574 6840994.9783011805 23.794647, -5009.1161721551325 6840994.907031968 23.77911, -5009.485564934614 6840994.835674306 23.762673, -5009.798628359451 6840994.776535457 23.748753999999998, -5010.050382666872 6840994.728977212 23.737561, -5010.3752910635085 6840994.667600264 23.723115, -5010.679083416122 6840994.610212054 23.709608, -5011.026375434478 6840994.544606888 23.694167, -5011.37076234183 6840994.479549974 23.678855, -5011.717235096847 6840994.414099122 23.66345, -5012.0600124187185 6840994.3493469935 23.64821, -5012.26931965322 6840994.416205303 23.634796))</t>
  </si>
  <si>
    <t>['FV57 S17D1 m8220-8224']</t>
  </si>
  <si>
    <t>LINESTRING Z (-4602.050667672476 6840652.513802075 45.396256, -4601.818791805825 6840652.828714619 45.405454, -4601.639528983505 6840653.028435098 45.396397, -4601.388579548337 6840653.2899816185 45.390305, -4601.214038587699 6840653.47189255 45.392256, -4600.997560227406 6840653.697513004 45.414839, -4600.817208757042 6840653.816634745 45.428085, -4600.570347084431 6840653.979686715 45.471797, -4600.325731099932 6840654.153890461 45.458134, -4600.047237410909 6840654.41883125 45.544775, -4599.696009688429 6840654.465478717 45.622934, -4599.418911347748 6840654.387486742 45.631687, -4599.156244962593 6840654.273510746 45.650229, -4598.859895673988 6840654.144919852 45.64033, -4598.62518465356 6840653.945510046 45.626854, -4598.378643875883 6840653.70982941 45.629519, -4598.152178873832 6840653.493339503 45.651701, -4597.945190990169 6840653.294478801 45.61848, -4597.81268220942 6840652.929322321 45.588727, -4597.8868285938515 6840652.600869651 45.558137, -4597.974617512082 6840652.211985401 45.502847, -4598.12351247773 6840651.844330335 45.470156, -4598.227654775954 6840651.636863949 45.449573, -4598.365697383066 6840651.361863391 45.393162, -4598.565300121554 6840651.047108752 45.380169, -4598.769190957071 6840650.743228189 45.415283, -4598.982178552484 6840650.454798477 45.383797, -4599.148682668107 6840650.241726366 45.375506)</t>
  </si>
  <si>
    <t>POLYGON Z ((-4602.050667672476 6840652.513802075 45.396256, -4601.818791805825 6840652.828714619 45.405454, -4601.639528983505 6840653.028435098 45.396397, -4601.388579548337 6840653.2899816185 45.390305, -4601.214038587699 6840653.47189255 45.392256, -4600.997560227406 6840653.697513004 45.414839, -4600.817208757042 6840653.816634745 45.428085, -4600.570347084431 6840653.979686715 45.471797, -4600.325731099932 6840654.153890461 45.458134, -4600.047237410909 6840654.41883125 45.544775, -4599.696009688429 6840654.465478717 45.622934, -4599.418911347748 6840654.387486742 45.631687, -4599.156244962593 6840654.273510746 45.650229, -4598.859895673988 6840654.144919852 45.64033, -4598.62518465356 6840653.945510046 45.626854, -4598.378643875883 6840653.70982941 45.629519, -4598.152178873832 6840653.493339503 45.651701, -4597.945190990169 6840653.294478801 45.61848, -4597.81268220942 6840652.929322321 45.588727, -4597.8868285938515 6840652.600869651 45.558137, -4597.974617512082 6840652.211985401 45.502847, -4598.12351247773 6840651.844330335 45.470156, -4598.227654775954 6840651.636863949 45.449573, -4598.365697383066 6840651.361863391 45.393162, -4598.565300121554 6840651.047108752 45.380169, -4598.769190957071 6840650.743228189 45.415283, -4598.982178552484 6840650.454798477 45.383797, -4599.148682668107 6840650.241726366 45.375506, -4602.050667672476 6840652.513802075 45.396256))</t>
  </si>
  <si>
    <t>['FV57 S17D1 m7091-7112']</t>
  </si>
  <si>
    <t>LINESTRING Z (-5505.892250563949 6840915.6441929 13.60327, -5505.594935668167 6840915.858108379 13.629042, -5505.266497012286 6840916.086910335 13.687566, -5505.048230224813 6840916.16223317 13.698022, -5504.881641954009 6840916.219722241 13.703937, -5504.587707536819 6840916.321157362 13.739352, -5504.280784474278 6840916.427075753 13.794584, -5503.9415501451585 6840916.512309004 13.83103, -5503.610283363087 6840916.541248621 13.849833, -5503.368925845716 6840916.562332979 13.912471, -5503.053341288993 6840916.589903152 13.970283, -5502.786216730252 6840916.542781238 13.97082, -5502.596392998705 6840916.509294839 13.928007, -5502.2535355001455 6840916.44881332 13.969806, -5501.893455206067 6840916.36998148 13.979804, -5501.68038148398 6840916.083537292 13.881767, -5501.646197361231 6840915.860170752 13.80319, -5501.606620494218 6840915.601565573 13.725042, -5501.564365887549 6840915.286049764 13.660131, -5501.568996758084 6840915.008640185 13.623818, -5501.574555819563 6840914.675610751 13.616938, -5501.944933294493 6840914.544350298 13.624880000000001, -5502.319032111904 6840914.673138793 13.62815, -5502.7790692728595 6840914.8315119175 13.632173, -5502.997076859756 6840914.898037726 13.634059, -5503.377568536671 6840914.992879851 13.637301, -5503.641101331916 6840915.058569374 13.639546, -5504.031515548355 6840915.155885477 13.642873, -5504.230058974645 6840915.205375629 13.644564, -5504.49754695053 6840915.221360726 13.646779, -5504.821933515661 6840915.240746254 13.649466, -5505.1900454680435 6840915.262744561 13.652515, -5505.553060592094 6840915.284439154 13.655521, -5505.867952037312 6840915.303257019 13.658129, -5506.208030638052 6840915.330583453 13.660951, -5506.503711265861 6840915.3639265 13.663411, -5506.851644213253 6840915.403163793 13.666305, -5507.18388590531 6840915.440630424 13.669069, -5507.496707596583 6840915.503595999 13.671715, -5507.713427325129 6840915.561336217 13.673569, -5508.030851042073 6840915.645907354 13.676284, -5508.340162936132 6840915.723915503 13.678922, -5508.62085827766 6840915.786734134 13.6813, -5508.976856440364 6840915.8664065525 13.684315999999999, -5509.107552635251 6840915.896998224 13.685426, -5509.379873295373 6840915.961584668 13.68774, -5509.585700425727 6840916.0104004545 13.689488, -5509.849264495599 6840916.072910191 13.691728, -5510.123966030194 6840916.138061205 13.694062, -5510.279059346707 6840916.171051619 13.695373, -5510.539959097048 6840916.214323129 13.69756, -5510.831768422853 6840916.262720516 13.700005, -5511.1182489393395 6840916.310233843 13.702406, -5511.470162082696 6840916.401689082 13.705411999999999, -5511.623882625834 6840916.441638173 13.706725, -5511.8787783852895 6840916.50788032 13.708902, -5512.157213833358 6840916.580240446 13.711281, -5512.46650208463 6840916.670291484 13.713945, -5512.82617631898 6840916.7869885275 13.717071, -5513.157800204761 6840916.894584154 13.719953, -5513.434513202927 6840916.984363533 13.722358, -5513.793053239293 6840917.09642449 13.725465, -5514.145553333918 6840917.178349941 13.728457, -5514.414947493409 6840917.240959956 13.730744, -5514.68679751514 6840917.304141498 13.733051, -5514.835221874295 6840917.338637437 13.734311, -5515.124482995772 6840917.399098105 13.736754, -5515.364055967482 6840917.449172344 13.738777, -5515.7337984771 6840917.52645489 13.7419, -5516.0509215082275 6840917.592739032 13.744578, -5516.395956460678 6840917.664858046 13.747493, -5516.742164628347 6840917.737221342 13.750417, -5517.005865780287 6840917.792339557 13.752644, -5517.351866702898 6840917.875221844 13.755586, -5517.719227519876 6840917.971320696 13.758725, -5518.10698649846 6840918.072755834 13.762039, -5518.486633164401 6840918.1720680185 13.765283, -5518.846885208855 6840918.254581777 13.768339, -5519.214159380237 6840918.336007755 13.771449, -5519.490226800379 6840918.397214226 13.773787, -5519.82972164196 6840918.47248225 13.776662, -5520.1819420672255 6840918.550571109 13.779644, -5520.523699929821 6840918.627233669 13.782540000000001, -5520.900029043842 6840918.711893001 13.785729, -5521.052227962064 6840918.746131553 13.787018, -5521.378980428679 6840918.819638415 13.789787, -5521.626227148925 6840919.089322166 13.763414, -5521.586139276333 6840919.342837046 13.755806, -5521.539885518432 6840919.635349444 13.779910000000001, -5521.252019775624 6840919.883955184 13.869488, -5521.016692305217 6840920.087187154 13.959797, -5520.888629979221 6840920.197784661 14.016168, -5520.677156566235 6840920.3804165125 14.06453, -5520.481807915261 6840920.398544468 14.067631, -5520.200490796065 6840920.424649421 14.088281, -5519.8789840968675 6840920.454484458 14.093274, -5519.604914240772 6840920.445814832 14.071407, -5519.331134424545 6840920.410627247 14.134925, -5518.984775326855 6840920.366111762 14.141156, -5518.778965376783 6840920.329226264 14.132337, -5518.4277825678 6840920.220854665 14.102509, -5518.119862777763 6840920.125833783 14.068524, -5517.774293592724 6840920.019194816 14.072507, -5517.532977818104 6840919.94472626 14.089427, -5517.22254840727 6840919.81385443 14.054767, -5517.109172762022 6840919.75214373 14.0417, -5516.715305699676 6840919.53776084 14.012767, -5516.391687328753 6840919.361613886 13.94344, -5516.065880657523 6840919.214972558 13.971148, -5515.755739749933 6840919.075381476 13.943755, -5515.397158520704 6840918.906903542 13.932798, -5515.109409459692 6840918.761607718 13.877651, -5514.810270299902 6840918.610560595 13.881777, -5514.538982835074 6840918.408005291 13.792337, -5514.464232046972 6840918.100325149 13.715988, -5514.364584195369 6840917.988623522 13.692693, -5514.072691427835 6840917.7722337935 13.619017, -5513.678575890546 6840917.837399137 13.687457, -5513.464890609786 6840917.730482064 13.689996, -5513.17037378758 6840917.583120914 13.660233999999999, -5513.027256121277 6840917.513972786 13.671157, -5512.720938655839 6840917.518112113 13.709127, -5512.557122136175 6840917.520326096 13.697541, -5512.259329073888 6840917.51831801 13.675906, -5511.941569085175 6840917.4347251505 13.67355, -5511.624778873578 6840917.298741439 13.683772, -5511.3335797896725 6840917.264433036 13.70599, -5511.021986633714 6840917.186058383 13.702867, -5510.633194004709 6840917.088265937 13.705529, -5510.314215808001 6840916.886179196 13.671518, -5510.045119787916 6840916.738063176 13.645059, -5509.956828634255 6840916.689465464 13.637364, -5509.661079908488 6840916.526679461 13.631117, -5509.536551992351 6840916.458136556 13.625854, -5509.254894814105 6840916.329699036 13.615366, -5508.983409875131 6840916.205899491 13.594759, -5508.585794184532 6840916.175296745 13.64116, -5508.284154825844 6840916.190380753 13.629264, -5507.937411182385 6840916.131371626 13.641506, -5507.669073083787 6840916.010532552 13.630011, -5507.497220295249 6840915.933143218 13.617711, -5507.29612285964 6840915.842584231 13.611918, -5507.027247614984 6840915.840935925 13.614783, -5506.631959981634 6840915.790881651 13.590057999999999, -5506.58864133124 6840915.782291239 13.58851, -5506.090006478829 6840915.683409162 13.591104, -5505.892250563949 6840915.6441929 13.60327)</t>
  </si>
  <si>
    <t>POLYGON Z ((-5505.892250563949 6840915.6441929 13.60327, -5505.594935668167 6840915.858108379 13.629042, -5505.266497012286 6840916.086910335 13.687566, -5505.048230224813 6840916.16223317 13.698022, -5504.881641954009 6840916.219722241 13.703937, -5504.587707536819 6840916.321157362 13.739352, -5504.280784474278 6840916.427075753 13.794584, -5503.9415501451585 6840916.512309004 13.83103, -5503.610283363087 6840916.541248621 13.849833, -5503.368925845716 6840916.562332979 13.912471, -5503.053341288993 6840916.589903152 13.970283, -5502.786216730252 6840916.542781238 13.97082, -5502.596392998705 6840916.509294839 13.928007, -5502.2535355001455 6840916.44881332 13.969806, -5501.893455206067 6840916.36998148 13.979804, -5501.68038148398 6840916.083537292 13.881767, -5501.646197361231 6840915.860170752 13.80319, -5501.606620494218 6840915.601565573 13.725042, -5501.564365887549 6840915.286049764 13.660131, -5501.568996758084 6840915.008640185 13.623818, -5501.574555819563 6840914.675610751 13.616938, -5501.944933294493 6840914.544350298 13.624880000000001, -5502.319032111904 6840914.673138793 13.62815, -5502.7790692728595 6840914.8315119175 13.632173, -5502.997076859756 6840914.898037726 13.634059, -5503.377568536671 6840914.992879851 13.637301, -5503.641101331916 6840915.058569374 13.639546, -5504.031515548355 6840915.155885477 13.642873, -5504.230058974645 6840915.205375629 13.644564, -5504.49754695053 6840915.221360726 13.646779, -5504.821933515661 6840915.240746254 13.649466, -5505.1900454680435 6840915.262744561 13.652515, -5505.553060592094 6840915.284439154 13.655521, -5505.867952037312 6840915.303257019 13.658129, -5506.208030638052 6840915.330583453 13.660951, -5506.503711265861 6840915.3639265 13.663411, -5506.851644213253 6840915.403163793 13.666305, -5507.18388590531 6840915.440630424 13.669069, -5507.496707596583 6840915.503595999 13.671715, -5507.713427325129 6840915.561336217 13.673569, -5508.030851042073 6840915.645907354 13.676284, -5508.340162936132 6840915.723915503 13.678922, -5508.62085827766 6840915.786734134 13.6813, -5508.976856440364 6840915.8664065525 13.684315999999999, -5509.107552635251 6840915.896998224 13.685426, -5509.379873295373 6840915.961584668 13.68774, -5509.585700425727 6840916.0104004545 13.689488, -5509.849264495599 6840916.072910191 13.691728, -5510.123966030194 6840916.138061205 13.694062, -5510.279059346707 6840916.171051619 13.695373, -5510.539959097048 6840916.214323129 13.69756, -5510.831768422853 6840916.262720516 13.700005, -5511.1182489393395 6840916.310233843 13.702406, -5511.470162082696 6840916.401689082 13.705411999999999, -5511.623882625834 6840916.441638173 13.706725, -5511.8787783852895 6840916.50788032 13.708902, -5512.157213833358 6840916.580240446 13.711281, -5512.46650208463 6840916.670291484 13.713945, -5512.82617631898 6840916.7869885275 13.717071, -5513.157800204761 6840916.894584154 13.719953, -5513.434513202927 6840916.984363533 13.722358, -5513.793053239293 6840917.09642449 13.725465, -5514.145553333918 6840917.178349941 13.728457, -5514.414947493409 6840917.240959956 13.730744, -5514.68679751514 6840917.304141498 13.733051, -5514.835221874295 6840917.338637437 13.734311, -5515.124482995772 6840917.399098105 13.736754, -5515.364055967482 6840917.449172344 13.738777, -5515.7337984771 6840917.52645489 13.7419, -5516.0509215082275 6840917.592739032 13.744578, -5516.395956460678 6840917.664858046 13.747493, -5516.742164628347 6840917.737221342 13.750417, -5517.005865780287 6840917.792339557 13.752644, -5517.351866702898 6840917.875221844 13.755586, -5517.719227519876 6840917.971320696 13.758725, -5518.10698649846 6840918.072755834 13.762039, -5518.486633164401 6840918.1720680185 13.765283, -5518.846885208855 6840918.254581777 13.768339, -5519.214159380237 6840918.336007755 13.771449, -5519.490226800379 6840918.397214226 13.773787, -5519.82972164196 6840918.47248225 13.776662, -5520.1819420672255 6840918.550571109 13.779644, -5520.523699929821 6840918.627233669 13.782540000000001, -5520.900029043842 6840918.711893001 13.785729, -5521.052227962064 6840918.746131553 13.787018, -5521.378980428679 6840918.819638415 13.789787, -5521.626227148925 6840919.089322166 13.763414, -5521.586139276333 6840919.342837046 13.755806, -5521.539885518432 6840919.635349444 13.779910000000001, -5521.252019775624 6840919.883955184 13.869488, -5521.016692305217 6840920.087187154 13.959797, -5520.888629979221 6840920.197784661 14.016168, -5520.677156566235 6840920.3804165125 14.06453, -5520.481807915261 6840920.398544468 14.067631, -5520.200490796065 6840920.424649421 14.088281, -5519.8789840968675 6840920.454484458 14.093274, -5519.604914240772 6840920.445814832 14.071407, -5519.331134424545 6840920.410627247 14.134925, -5518.984775326855 6840920.366111762 14.141156, -5518.778965376783 6840920.329226264 14.132337, -5518.4277825678 6840920.220854665 14.102509, -5518.119862777763 6840920.125833783 14.068524, -5517.774293592724 6840920.019194816 14.072507, -5517.532977818104 6840919.94472626 14.089427, -5517.22254840727 6840919.81385443 14.054767, -5517.109172762022 6840919.75214373 14.0417, -5516.715305699676 6840919.53776084 14.012767, -5516.391687328753 6840919.361613886 13.94344, -5516.065880657523 6840919.214972558 13.971148, -5515.755739749933 6840919.075381476 13.943755, -5515.397158520704 6840918.906903542 13.932798, -5515.109409459692 6840918.761607718 13.877651, -5514.810270299902 6840918.610560595 13.881777, -5514.538982835074 6840918.408005291 13.792337, -5514.464232046972 6840918.100325149 13.715988, -5514.364584195369 6840917.988623522 13.692693, -5514.072691427835 6840917.7722337935 13.619017, -5513.678575890546 6840917.837399137 13.687457, -5513.464890609786 6840917.730482064 13.689996, -5513.17037378758 6840917.583120914 13.660233999999999, -5513.027256121277 6840917.513972786 13.671157, -5512.720938655839 6840917.518112113 13.709127, -5512.557122136175 6840917.520326096 13.697541, -5512.259329073888 6840917.51831801 13.675906, -5511.941569085175 6840917.4347251505 13.67355, -5511.624778873578 6840917.298741439 13.683772, -5511.3335797896725 6840917.264433036 13.70599, -5511.021986633714 6840917.186058383 13.702867, -5510.633194004709 6840917.088265937 13.705529, -5510.314215808001 6840916.886179196 13.671518, -5510.045119787916 6840916.738063176 13.645059, -5509.956828634255 6840916.689465464 13.637364, -5509.661079908488 6840916.526679461 13.631117, -5509.536551992351 6840916.458136556 13.625854, -5509.254894814105 6840916.329699036 13.615366, -5508.983409875131 6840916.205899491 13.594759, -5508.585794184532 6840916.175296745 13.64116, -5508.284154825844 6840916.190380753 13.629264, -5507.937411182385 6840916.131371626 13.641506, -5507.669073083787 6840916.010532552 13.630011, -5507.497220295249 6840915.933143218 13.617711, -5507.29612285964 6840915.842584231 13.611918, -5507.027247614984 6840915.840935925 13.614783, -5506.631959981634 6840915.790881651 13.590057999999999, -5506.58864133124 6840915.782291239 13.58851, -5506.090006478829 6840915.683409162 13.591104, -5505.892250563949 6840915.6441929 13.60327))</t>
  </si>
  <si>
    <t>['FV57 S17D1 m7579-7581']</t>
  </si>
  <si>
    <t>LINESTRING Z (-5070.228652278718 6840998.872704665 17.891394, -5072.610867055249 6840999.043531021 17.942074, -5072.209142914449 6841000.276000136 17.391403, -5072.0608523249975 6841000.756913703 17.017845, -5070.4170127421385 6840999.85214836 17.018029, -5070.456318222685 6840999.57714864 17.617572, -5070.228652278718 6840998.872704665 17.891394)</t>
  </si>
  <si>
    <t>POLYGON Z ((-5070.228652278718 6840998.872704665 17.891394, -5072.610867055249 6840999.043531021 17.942074, -5072.209142914449 6841000.276000136 17.391403, -5072.0608523249975 6841000.756913703 17.017845, -5070.4170127421385 6840999.85214836 17.018029, -5070.456318222685 6840999.57714864 17.617572, -5070.228652278718 6840998.872704665 17.891394))</t>
  </si>
  <si>
    <t>['FV57 S17D1 m7969-7976']</t>
  </si>
  <si>
    <t>LINESTRING Z (-4750.639615364489 6840851.708096179 41.986479, -4750.541402352508 6840851.973977154 41.887231, -4750.436846678378 6840852.257027293 41.77002, -4750.333290495211 6840852.537371282 41.668347, -4750.21290724451 6840852.8632705435 41.54989, -4750.116496410512 6840853.124271795 41.453436, -4750.069574427791 6840853.251299228 41.402377, -4749.942204215389 6840853.596111462 41.24262, -4749.812699551985 6840853.946706275 41.139717, -4749.696391663398 6840854.261571391 40.976812, -4749.5726555645815 6840854.620157531 40.813221, -4749.492822147033 6840854.9123887345 40.749264, -4749.4152806387865 6840855.196233541 40.669478, -4749.369189079036 6840855.364954938 40.676035, -4749.299908930028 6840855.618560809 40.587536, -4749.257773033925 6840855.772798829 40.541054, -4749.183501705527 6840856.04467436 40.424592, -4749.120373019308 6840856.275761194 40.351944, -4749.01337005524 6840856.622799825 40.247171, -4748.872981271939 6840856.954677237 40.150563, -4748.737549903803 6840857.274835225 39.983961, -4748.54987034644 6840857.238148191 39.909999, -4748.217041006021 6840857.030914267 39.853997, -4748.158242360456 6840856.788128126 39.923938, -4748.305237642431 6840856.498922814 40.110371, -4748.467152921541 6840856.180361324 40.237327, -4748.604806156654 6840855.823465659 40.360311, -4748.636211654986 6840855.711128876 40.398263, -4748.715173793898 6840855.428686615 40.489632, -4748.793591106194 6840855.1481872415 40.579966, -4748.859319562267 6840854.984511905 40.634785, -4748.972971498384 6840854.701494516 40.726665, -4749.058548754954 6840854.488389297 40.808694, -4748.982278096548 6840854.18618459 40.932218, -4748.898973329167 6840853.856107678 41.02458, -4748.70646585786 6840853.569597784 41.068743, -4748.5716389374575 6840853.431752977 41.087548, -4748.35325092671 6840853.208476405 41.037499, -4748.154742844927 6840853.1054424755 40.967221, -4747.941298532009 6840852.994656755 40.908048, -4747.60564638878 6840852.820440954 40.807578, -4747.2803494607215 6840852.65913869 40.672656, -4747.02334758715 6840852.535754681 40.567001, -4746.586459022947 6840852.326009283 40.434046, -4746.226380763925 6840852.153140377 40.256494, -4746.04108926811 6840852.071408261 40.191364, -4745.758963008877 6840851.946962915 40.063001, -4745.499246340478 6840851.832401821 39.938698, -4745.158719801344 6840851.682194962 39.80419, -4745.000874067773 6840851.454068157 39.752573, -4745.086266316997 6840851.126475212 39.801891, -4745.40604156605 6840851.106530259 39.935413, -4745.7375340552535 6840851.262904873 40.031628, -4746.091680795187 6840851.416382181 40.154223, -4746.350425012177 6840851.52718636 40.303696, -4746.628103029099 6840851.64609843 40.404379, -4746.9173902140465 6840851.8274019305 40.553907, -4747.177311724052 6840851.988964934 40.617501, -4747.462748441612 6840852.141876727 40.755911, -4747.78687321092 6840852.315513179 40.903104, -4748.137143088272 6840852.507625559 40.994106, -4748.459235005837 6840852.68551801 41.080318, -4748.55327032716 6840852.740756134 41.106161, -4748.853488004766 6840852.93850858 41.16958, -4749.127062579675 6840853.118712261 41.231161, -4749.369245059439 6840853.07764397 41.300499, -4749.507112032501 6840852.782648679 41.445093, -4749.58616197214 6840852.463252576 41.568784, -4749.67004078906 6840852.124345778 41.664754, -4749.760638033913 6840851.913108947 41.75, -4749.941812169331 6840851.604837471 41.884012, -4750.256681440165 6840851.556083275 41.920538, -4750.539185335045 6840851.668228743 41.935235, -4750.639615364489 6840851.708096179 41.986479)</t>
  </si>
  <si>
    <t>POLYGON Z ((-4750.639615364489 6840851.708096179 41.986479, -4750.541402352508 6840851.973977154 41.887231, -4750.436846678378 6840852.257027293 41.77002, -4750.333290495211 6840852.537371282 41.668347, -4750.21290724451 6840852.8632705435 41.54989, -4750.116496410512 6840853.124271795 41.453436, -4750.069574427791 6840853.251299228 41.402377, -4749.942204215389 6840853.596111462 41.24262, -4749.812699551985 6840853.946706275 41.139717, -4749.696391663398 6840854.261571391 40.976812, -4749.5726555645815 6840854.620157531 40.813221, -4749.492822147033 6840854.9123887345 40.749264, -4749.4152806387865 6840855.196233541 40.669478, -4749.369189079036 6840855.364954938 40.676035, -4749.299908930028 6840855.618560809 40.587536, -4749.257773033925 6840855.772798829 40.541054, -4749.183501705527 6840856.04467436 40.424592, -4749.120373019308 6840856.275761194 40.351944, -4749.01337005524 6840856.622799825 40.247171, -4748.872981271939 6840856.954677237 40.150563, -4748.737549903803 6840857.274835225 39.983961, -4748.54987034644 6840857.238148191 39.909999, -4748.217041006021 6840857.030914267 39.853997, -4748.158242360456 6840856.788128126 39.923938, -4748.305237642431 6840856.498922814 40.110371, -4748.467152921541 6840856.180361324 40.237327, -4748.604806156654 6840855.823465659 40.360311, -4748.636211654986 6840855.711128876 40.398263, -4748.715173793898 6840855.428686615 40.489632, -4748.793591106194 6840855.1481872415 40.579966, -4748.859319562267 6840854.984511905 40.634785, -4748.972971498384 6840854.701494516 40.726665, -4749.058548754954 6840854.488389297 40.808694, -4748.982278096548 6840854.18618459 40.932218, -4748.898973329167 6840853.856107678 41.02458, -4748.70646585786 6840853.569597784 41.068743, -4748.5716389374575 6840853.431752977 41.087548, -4748.35325092671 6840853.208476405 41.037499, -4748.154742844927 6840853.1054424755 40.967221, -4747.941298532009 6840852.994656755 40.908048, -4747.60564638878 6840852.820440954 40.807578, -4747.2803494607215 6840852.65913869 40.672656, -4747.02334758715 6840852.535754681 40.567001, -4746.586459022947 6840852.326009283 40.434046, -4746.226380763925 6840852.153140377 40.256494, -4746.04108926811 6840852.071408261 40.191364, -4745.758963008877 6840851.946962915 40.063001, -4745.499246340478 6840851.832401821 39.938698, -4745.158719801344 6840851.682194962 39.80419, -4745.000874067773 6840851.454068157 39.752573, -4745.086266316997 6840851.126475212 39.801891, -4745.40604156605 6840851.106530259 39.935413, -4745.7375340552535 6840851.262904873 40.031628, -4746.091680795187 6840851.416382181 40.154223, -4746.350425012177 6840851.52718636 40.303696, -4746.628103029099 6840851.64609843 40.404379, -4746.9173902140465 6840851.8274019305 40.553907, -4747.177311724052 6840851.988964934 40.617501, -4747.462748441612 6840852.141876727 40.755911, -4747.78687321092 6840852.315513179 40.903104, -4748.137143088272 6840852.507625559 40.994106, -4748.459235005837 6840852.68551801 41.080318, -4748.55327032716 6840852.740756134 41.106161, -4748.853488004766 6840852.93850858 41.16958, -4749.127062579675 6840853.118712261 41.231161, -4749.369245059439 6840853.07764397 41.300499, -4749.507112032501 6840852.782648679 41.445093, -4749.58616197214 6840852.463252576 41.568784, -4749.67004078906 6840852.124345778 41.664754, -4749.760638033913 6840851.913108947 41.75, -4749.941812169331 6840851.604837471 41.884012, -4750.256681440165 6840851.556083275 41.920538, -4750.539185335045 6840851.668228743 41.935235, -4750.639615364489 6840851.708096179 41.986479))</t>
  </si>
  <si>
    <t>['FV57 S17D1 m7127-7129']</t>
  </si>
  <si>
    <t>LINESTRING Z (-5484.738500795094 6840910.070095236 13.454132, -5484.475339678931 6840910.004276889 13.350237, -5484.328920984233 6840909.967656361 13.353585, -5484.0782905021915 6840909.904971757 13.376395, -5483.8732883755 6840909.853699864 13.370087999999999, -5483.514427237329 6840909.7639463665 13.38654, -5483.1960291065625 6840909.6837259615 13.401144, -5482.829596904048 6840909.58973784 13.410137, -5482.429023453675 6840909.4869921515 13.393224, -5481.997072421655 6840909.379457244 13.334545, -5481.45149204816 6840909.267304881 13.334545, -5480.779260803305 6840909.129118815 13.334545, -5480.107029709732 6840908.990931758 13.334545, -5479.955766063649 6840909.307608866 13.301336, -5479.99056042236 6840909.448277986 13.301336, -5480.502700528828 6840909.443400133 13.301336, -5481.083167548233 6840909.602601806 13.301336, -5481.510901817586 6840909.794824885 13.301336, -5481.652293757768 6840909.946377787 13.301336, -5481.945468951599 6840910.0066998275 13.301336, -5482.201871183061 6840910.063630324 13.301590000000001, -5482.2427501285565 6840910.456042264 13.375412, -5482.338915617787 6840910.742065576 13.458048, -5482.567671673256 6840910.930959982 13.504625, -5482.8123212272185 6840911.082808667 13.515423, -5483.199395748205 6840911.107109812 13.511002, -5483.56852684624 6840911.230630193 13.538222, -5483.788938610232 6840911.304385648 13.547571, -5483.988309258479 6840911.181491025 13.51608, -5484.253781320294 6840910.9545199135 13.439802, -5484.434673752403 6840910.663860135 13.355597, -5484.523787444981 6840910.506053546 13.334545, -5484.858688281209 6840910.662422276 13.334545, -5485.490065404039 6840910.810615692 13.334545, -5485.79911033652 6840910.929950225 13.334545, -5486.33203957614 6840911.119139563 13.334545, -5486.631678669422 6840911.218606474 13.334545, -5486.973708531004 6840911.281168718 13.334545, -5487.522584670165 6840911.361789009 13.334545, -5488.258271776722 6840911.512980707 13.334545, -5488.638979262032 6840911.605870092 13.334545, -5489.474715421209 6840911.74711016 13.334545, -5490.517697576666 6840912.082342116 13.466137, -5490.587828436284 6840912.312855422 13.51041, -5490.668681770156 6840912.518219945 13.557261, -5490.798126415757 6840912.847001514 13.627454, -5490.905214740895 6840912.993538131 13.660093, -5491.044859727088 6840913.175849299 13.695517, -5491.357388861128 6840913.270524559 13.660824, -5491.686245151679 6840913.354230047 13.625587, -5491.974221227341 6840913.422900742 13.629622, -5492.255708716402 6840913.468547591 13.66122, -5492.597529912484 6840913.502681183 13.646237, -5492.893698141328 6840913.4979419615 13.651447, -5493.0019676839 6840913.471126222 13.645552, -5493.385124074237 6840913.376229856 13.640908, -5493.613256427052 6840913.319728353 13.639349, -5493.827265864296 6840913.266724618 13.646017, -5494.028899713478 6840913.031669978 13.602121, -5494.07550183736 6840912.582197826 13.506828, -5494.086035466462 6840912.480606117 13.487316, -5493.779049941164 6840912.434156225 13.485724, -5493.4972632573335 6840912.404939729 13.479946, -5493.18425755942 6840912.346359882 13.473438, -5492.839927570254 6840912.264149742 13.466219, -5492.514843765879 6840912.18653507 13.459402, -5492.367421394971 6840912.151338025 13.456311, -5492.09138817864 6840912.08543502 13.450524, -5491.81448257016 6840912.018737001 13.444715, -5491.589150500135 6840911.964210414 13.439987, -5491.3597499899915 6840911.90869909 13.435173, -5491.013521426998 6840911.824917881 13.427908, -5490.7253252230585 6840911.755179072 13.421861, -5489.394969909394 6840911.199325146 13.454132, -5488.108975021343 6840910.893362645 13.454132, -5486.602468105615 6840910.536524715 13.454132)</t>
  </si>
  <si>
    <t>POLYGON Z ((-5484.738500795094 6840910.070095236 13.454132, -5484.475339678931 6840910.004276889 13.350237, -5484.328920984233 6840909.967656361 13.353585, -5484.0782905021915 6840909.904971757 13.376395, -5483.8732883755 6840909.853699864 13.370087999999999, -5483.514427237329 6840909.7639463665 13.38654, -5483.1960291065625 6840909.6837259615 13.401144, -5482.829596904048 6840909.58973784 13.410137, -5482.429023453675 6840909.4869921515 13.393224, -5481.997072421655 6840909.379457244 13.334545, -5481.45149204816 6840909.267304881 13.334545, -5480.779260803305 6840909.129118815 13.334545, -5480.107029709732 6840908.990931758 13.334545, -5479.955766063649 6840909.307608866 13.301336, -5479.99056042236 6840909.448277986 13.301336, -5480.502700528828 6840909.443400133 13.301336, -5481.083167548233 6840909.602601806 13.301336, -5481.510901817586 6840909.794824885 13.301336, -5481.652293757768 6840909.946377787 13.301336, -5481.945468951599 6840910.0066998275 13.301336, -5482.201871183061 6840910.063630324 13.301590000000001, -5482.2427501285565 6840910.456042264 13.375412, -5482.338915617787 6840910.742065576 13.458048, -5482.567671673256 6840910.930959982 13.504625, -5482.8123212272185 6840911.082808667 13.515423, -5483.199395748205 6840911.107109812 13.511002, -5483.56852684624 6840911.230630193 13.538222, -5483.788938610232 6840911.304385648 13.547571, -5483.988309258479 6840911.181491025 13.51608, -5484.253781320294 6840910.9545199135 13.439802, -5484.434673752403 6840910.663860135 13.355597, -5484.523787444981 6840910.506053546 13.334545, -5484.858688281209 6840910.662422276 13.334545, -5485.490065404039 6840910.810615692 13.334545, -5485.79911033652 6840910.929950225 13.334545, -5486.33203957614 6840911.119139563 13.334545, -5486.631678669422 6840911.218606474 13.334545, -5486.973708531004 6840911.281168718 13.334545, -5487.522584670165 6840911.361789009 13.334545, -5488.258271776722 6840911.512980707 13.334545, -5488.638979262032 6840911.605870092 13.334545, -5489.474715421209 6840911.74711016 13.334545, -5490.517697576666 6840912.082342116 13.466137, -5490.587828436284 6840912.312855422 13.51041, -5490.668681770156 6840912.518219945 13.557261, -5490.798126415757 6840912.847001514 13.627454, -5490.905214740895 6840912.993538131 13.660093, -5491.044859727088 6840913.175849299 13.695517, -5491.357388861128 6840913.270524559 13.660824, -5491.686245151679 6840913.354230047 13.625587, -5491.974221227341 6840913.422900742 13.629622, -5492.255708716402 6840913.468547591 13.66122, -5492.597529912484 6840913.502681183 13.646237, -5492.893698141328 6840913.4979419615 13.651447, -5493.0019676839 6840913.471126222 13.645552, -5493.385124074237 6840913.376229856 13.640908, -5493.613256427052 6840913.319728353 13.639349, -5493.827265864296 6840913.266724618 13.646017, -5494.028899713478 6840913.031669978 13.602121, -5494.07550183736 6840912.582197826 13.506828, -5494.086035466462 6840912.480606117 13.487316, -5493.779049941164 6840912.434156225 13.485724, -5493.4972632573335 6840912.404939729 13.479946, -5493.18425755942 6840912.346359882 13.473438, -5492.839927570254 6840912.264149742 13.466219, -5492.514843765879 6840912.18653507 13.459402, -5492.367421394971 6840912.151338025 13.456311, -5492.09138817864 6840912.08543502 13.450524, -5491.81448257016 6840912.018737001 13.444715, -5491.589150500135 6840911.964210414 13.439987, -5491.3597499899915 6840911.90869909 13.435173, -5491.013521426998 6840911.824917881 13.427908, -5490.7253252230585 6840911.755179072 13.421861, -5489.394969909394 6840911.199325146 13.454132, -5488.108975021343 6840910.893362645 13.454132, -5486.602468105615 6840910.536524715 13.454132, -5484.738500795094 6840910.070095236 13.454132))</t>
  </si>
  <si>
    <t>['FV57 S17D1 m7604-7608']</t>
  </si>
  <si>
    <t>LINESTRING Z (-5038.0117491485435 6840985.861003004 21.799823, -5037.978071140242 6840985.975216798 21.811233, -5037.866800236225 6840986.352569423 21.77499, -5037.829436985892 6840986.479280409 21.806234, -5037.726360567904 6840986.8288438935 21.923602, -5037.665915099729 6840987.033835179 21.954525, -5037.478801225196 6840987.363128483 22.010113, -5037.3382172809215 6840987.610534748 22.116131, -5037.177140074258 6840987.736727083 22.178745, -5036.904330964666 6840987.927131618 22.150215, -5036.658196022443 6840988.008343104 22.205707, -5036.32793575956 6840988.117312736 22.288152, -5036.121746380406 6840988.1407507695 22.298226, -5035.842983706563 6840988.123249085 22.245443, -5035.57775396615 6840988.106597018 22.212699, -5035.314919421449 6840988.086837745 22.191221, -5035.023052377335 6840988.062656988 22.179899, -5034.746168671409 6840987.87999198 22.13443, -5034.472314757411 6840987.699324661 22.077267, -5034.295138264017 6840987.565811133 22.038699, -5034.234746638394 6840987.181727069 22.076138, -5034.583746022545 6840987.059690414 22.050606, -5034.834369842953 6840986.972054007 22.032271, -5035.193592369265 6840986.846442413 22.005992, -5035.539999902772 6840986.72531218 21.980649, -5035.873016618425 6840986.608864533 21.956287, -5036.173965462018 6840986.503630531 21.93427, -5036.49936367356 6840986.389847191 21.910465, -5036.758005605836 6840986.299406521 21.891543, -5037.098276593722 6840986.180421467 21.86665, -5037.2846857242985 6840986.115239248 21.853013, -5037.5603712432785 6840986.018838384 21.832844, -5037.931702443748 6840985.888993348 21.805679, -5038.0117491485435 6840985.861003004 21.799823)</t>
  </si>
  <si>
    <t>POLYGON Z ((-5038.0117491485435 6840985.861003004 21.799823, -5037.978071140242 6840985.975216798 21.811233, -5037.866800236225 6840986.352569423 21.77499, -5037.829436985892 6840986.479280409 21.806234, -5037.726360567904 6840986.8288438935 21.923602, -5037.665915099729 6840987.033835179 21.954525, -5037.478801225196 6840987.363128483 22.010113, -5037.3382172809215 6840987.610534748 22.116131, -5037.177140074258 6840987.736727083 22.178745, -5036.904330964666 6840987.927131618 22.150215, -5036.658196022443 6840988.008343104 22.205707, -5036.32793575956 6840988.117312736 22.288152, -5036.121746380406 6840988.1407507695 22.298226, -5035.842983706563 6840988.123249085 22.245443, -5035.57775396615 6840988.106597018 22.212699, -5035.314919421449 6840988.086837745 22.191221, -5035.023052377335 6840988.062656988 22.179899, -5034.746168671409 6840987.87999198 22.13443, -5034.472314757411 6840987.699324661 22.077267, -5034.295138264017 6840987.565811133 22.038699, -5034.234746638394 6840987.181727069 22.076138, -5034.583746022545 6840987.059690414 22.050606, -5034.834369842953 6840986.972054007 22.032271, -5035.193592369265 6840986.846442413 22.005992, -5035.539999902772 6840986.72531218 21.980649, -5035.873016618425 6840986.608864533 21.956287, -5036.173965462018 6840986.503630531 21.93427, -5036.49936367356 6840986.389847191 21.910465, -5036.758005605836 6840986.299406521 21.891543, -5037.098276593722 6840986.180421467 21.86665, -5037.2846857242985 6840986.115239248 21.853013, -5037.5603712432785 6840986.018838384 21.832844, -5037.931702443748 6840985.888993348 21.805679, -5038.0117491485435 6840985.861003004 21.799823))</t>
  </si>
  <si>
    <t>['FV57 S17D1 m7553-7556']</t>
  </si>
  <si>
    <t>LINESTRING Z (-5081.393492349074 6840963.2490896825 19.48, -5081.061967910442 6840963.567274169 19.505, -5080.679291547043 6840963.695518866 19.477, -5080.0018684962415 6840964.057158954 19.499, -5079.631318726635 6840963.861346113 19.509, -5079.26076881279 6840963.665534264 19.519, -5080.167602559086 6840962.880519791 19.457, -5081.0160472401185 6840962.230834794 19.357, -5081.241035368759 6840962.210167006 19.372, -5081.380718116765 6840962.425272308 19.361, -5081.40473712486 6840962.806836586 19.401, -5081.393492349074 6840963.2490896825 19.48)</t>
  </si>
  <si>
    <t>POLYGON Z ((-5081.393492349074 6840963.2490896825 19.48, -5081.061967910442 6840963.567274169 19.505, -5080.679291547043 6840963.695518866 19.477, -5080.0018684962415 6840964.057158954 19.499, -5079.631318726635 6840963.861346113 19.509, -5079.26076881279 6840963.665534264 19.519, -5080.167602559086 6840962.880519791 19.457, -5081.0160472401185 6840962.230834794 19.357, -5081.241035368759 6840962.210167006 19.372, -5081.380718116765 6840962.425272308 19.361, -5081.40473712486 6840962.806836586 19.401, -5081.393492349074 6840963.2490896825 19.48))</t>
  </si>
  <si>
    <t>['FV57 S17D1 m7689-7691']</t>
  </si>
  <si>
    <t>LINESTRING Z (-4957.852407037688 6840988.885934984 41.103863, -4957.854195554566 6840989.254399577 40.957405, -4957.8557313077035 6840989.5710623255 40.791013, -4957.856548656651 6840989.739430912 40.658031, -4957.857680686342 6840989.972883035 40.46385, -4957.859202211082 6840990.286392768 40.16356, -4957.860367408546 6840990.526608691 40.057586, -4957.862102483981 6840990.884314398 39.879564, -4957.863525585679 6840991.177580529 39.700922, -4957.865025116131 6840991.486561825 39.577421, -4957.865762786532 6840991.638671541 39.51889, -4957.867559287406 6840992.008848073 39.345116, -4957.8693409580155 6840992.376096497 39.186687, -4957.871010292147 6840992.72022909 39.035273, -4957.872906960896 6840993.111175482 38.915122, -4957.8743642845075 6840993.411439682 38.846536, -4957.875097077049 6840993.562519997 38.724422, -4957.876389175537 6840993.828843676 38.588646, -4957.877986553998 6840994.158030992 38.41666, -4957.879580232024 6840994.486574201 38.322455, -4957.880469200725 6840994.66989714 38.27015, -4957.881909195974 6840994.966643018 38.214132, -4957.883296715561 6840995.252602782 38.106342, -4957.885103645152 6840995.624985177 37.897579, -4957.8868032711325 6840995.975349068 37.604567, -4957.902746516978 6840996.103990271 37.505868, -4957.943497506785 6840996.432807169 37.279963, -4957.747513018374 6840996.7358786175 37.066383, -4957.361128591991 6840996.712064349 37.117796, -4956.993953043304 6840996.689434769 37.21216, -4956.649824178603 6840996.668226239 37.182482, -4956.472115183657 6840996.65727327 37.150383, -4956.139495756885 6840996.446521946 37.393351, -4956.1442858991795 6840996.123216634 37.697679, -4956.148712441267 6840995.824507876 37.810211, -4956.151262025989 6840995.6524055805 37.896996, -4956.156959585263 6840995.267937008 38.117297, -4956.158065559168 6840995.193319518 38.174627, -4956.16439816315 6840994.765908638 38.314044, -4956.168397869624 6840994.496035681 38.389428, -4956.173856963695 6840994.127625199 38.491838, -4956.1793118159985 6840993.759498881 38.651499, -4956.184665444773 6840993.3981612185 38.825355, -4956.186724628089 6840993.259219042 38.890728, -4956.174263380526 6840992.8116106605 39.076695, -4956.164612472989 6840992.464976025 39.342603, -4956.152960501902 6840992.046426556 39.494617, -4956.1435786935035 6840991.709441307 39.623192, -4956.134517221362 6840991.3839646 39.768468, -4956.124767454865 6840991.033773315 39.89118, -4956.115757236606 6840990.710114223 40.029877, -4956.106192547071 6840990.366570202 40.221403, -4956.097865455551 6840990.067460746 40.47637, -4956.087475826149 6840989.694260602 40.810278, -4956.0807111397735 6840989.451291519 41.009251, -4956.073188482609 6840989.181066958 41.180546, -4956.061807633087 6840988.772297918 41.272802, -4956.452137653367 6840988.782787696 41.206521, -4956.838238648488 6840988.811229418 41.186032, -4957.020400617039 6840988.824647535 41.164722, -4957.303687311069 6840988.845515696 41.129007, -4957.690342905116 6840988.873997326 41.107543, -4957.852407037688 6840988.885934984 41.103863)</t>
  </si>
  <si>
    <t>POLYGON Z ((-4957.852407037688 6840988.885934984 41.103863, -4957.854195554566 6840989.254399577 40.957405, -4957.8557313077035 6840989.5710623255 40.791013, -4957.856548656651 6840989.739430912 40.658031, -4957.857680686342 6840989.972883035 40.46385, -4957.859202211082 6840990.286392768 40.16356, -4957.860367408546 6840990.526608691 40.057586, -4957.862102483981 6840990.884314398 39.879564, -4957.863525585679 6840991.177580529 39.700922, -4957.865025116131 6840991.486561825 39.577421, -4957.865762786532 6840991.638671541 39.51889, -4957.867559287406 6840992.008848073 39.345116, -4957.8693409580155 6840992.376096497 39.186687, -4957.871010292147 6840992.72022909 39.035273, -4957.872906960896 6840993.111175482 38.915122, -4957.8743642845075 6840993.411439682 38.846536, -4957.875097077049 6840993.562519997 38.724422, -4957.876389175537 6840993.828843676 38.588646, -4957.877986553998 6840994.158030992 38.41666, -4957.879580232024 6840994.486574201 38.322455, -4957.880469200725 6840994.66989714 38.27015, -4957.881909195974 6840994.966643018 38.214132, -4957.883296715561 6840995.252602782 38.106342, -4957.885103645152 6840995.624985177 37.897579, -4957.8868032711325 6840995.975349068 37.604567, -4957.902746516978 6840996.103990271 37.505868, -4957.943497506785 6840996.432807169 37.279963, -4957.747513018374 6840996.7358786175 37.066383, -4957.361128591991 6840996.712064349 37.117796, -4956.993953043304 6840996.689434769 37.21216, -4956.649824178603 6840996.668226239 37.182482, -4956.472115183657 6840996.65727327 37.150383, -4956.139495756885 6840996.446521946 37.393351, -4956.1442858991795 6840996.123216634 37.697679, -4956.148712441267 6840995.824507876 37.810211, -4956.151262025989 6840995.6524055805 37.896996, -4956.156959585263 6840995.267937008 38.117297, -4956.158065559168 6840995.193319518 38.174627, -4956.16439816315 6840994.765908638 38.314044, -4956.168397869624 6840994.496035681 38.389428, -4956.173856963695 6840994.127625199 38.491838, -4956.1793118159985 6840993.759498881 38.651499, -4956.184665444773 6840993.3981612185 38.825355, -4956.186724628089 6840993.259219042 38.890728, -4956.174263380526 6840992.8116106605 39.076695, -4956.164612472989 6840992.464976025 39.342603, -4956.152960501902 6840992.046426556 39.494617, -4956.1435786935035 6840991.709441307 39.623192, -4956.134517221362 6840991.3839646 39.768468, -4956.124767454865 6840991.033773315 39.89118, -4956.115757236606 6840990.710114223 40.029877, -4956.106192547071 6840990.366570202 40.221403, -4956.097865455551 6840990.067460746 40.47637, -4956.087475826149 6840989.694260602 40.810278, -4956.0807111397735 6840989.451291519 41.009251, -4956.073188482609 6840989.181066958 41.180546, -4956.061807633087 6840988.772297918 41.272802, -4956.452137653367 6840988.782787696 41.206521, -4956.838238648488 6840988.811229418 41.186032, -4957.020400617039 6840988.824647535 41.164722, -4957.303687311069 6840988.845515696 41.129007, -4957.690342905116 6840988.873997326 41.107543, -4957.852407037688 6840988.885934984 41.103863))</t>
  </si>
  <si>
    <t>['FV57 S17D1 m7504-7506']</t>
  </si>
  <si>
    <t>LINESTRING Z (-5103.271348466806 6840910.6222233055 17.415289, -5104.469046794926 6840911.011229643 17.419655000000002, -5104.321735411824 6840912.627226465 17.414902, -5103.20872062823 6840912.381665888 17.425563, -5102.6178813508595 6840911.863976073 17.509262000000003, -5102.77627120266 6840910.715238468 17.405864000000005, -5103.271348466806 6840910.6222233055 17.415289)</t>
  </si>
  <si>
    <t>POLYGON Z ((-5103.271348466806 6840910.6222233055 17.415289, -5104.469046794926 6840911.011229643 17.419655000000002, -5104.321735411824 6840912.627226465 17.414902, -5103.20872062823 6840912.381665888 17.425563, -5102.6178813508595 6840911.863976073 17.509262000000003, -5102.77627120266 6840910.715238468 17.405864000000005, -5103.271348466806 6840910.6222233055 17.415289))</t>
  </si>
  <si>
    <t>['FV57 S17D1 m7133-7136']</t>
  </si>
  <si>
    <t>LINESTRING Z (-5477.249846166815 6840923.346743974 10.473868, -5477.215897775837 6840923.4927169895 10.443011, -5477.15388023213 6840923.759381551 10.401114, -5477.109371994971 6840923.9507585345 10.388036, -5477.061926165072 6840924.154765897 10.363505, -5477.004179546726 6840924.403069023 10.313764, -5476.958864193526 6840924.597919266 10.257759, -5476.909423025325 6840924.810508691 10.197766, -5476.856452530017 6840925.038273618 10.12954, -5476.773837394256 6840925.393488735 10.061193, -5476.68395996053 6840925.779523588 9.799641, -5476.618067258678 6840926.062538167 9.673594, -5476.529587622965 6840926.442568674 9.442552, -5476.4656686389935 6840926.755105276 9.27813, -5476.395050336258 6840927.100404058 9.101041, -5476.368269913073 6840927.231351904 9.027831, -5476.2914880472235 6840927.606786562 8.825824, -5476.229897129117 6840927.935868803 8.579822, -5476.172329614346 6840928.32069719 8.304635, -5476.1662211486255 6840928.361532464 8.265985, -5476.103887044243 6840928.778219113 7.9244900000000005, -5476.07161298854 6840928.99396453 7.773881, -5476.019564048445 6840929.341904685 7.364059, -5475.7644323341665 6840929.470338677 7.23044, -5475.4551108850865 6840929.626051188 7.147062, -5475.114017506363 6840929.797757971 7.179789, -5474.824814551161 6840929.943343405 7.190827, -5474.659168645914 6840930.026729712 7.23247, -5474.363921188749 6840930.127189453 7.271375, -5474.154723887623 6840929.959192777 7.248075, -5473.883256841218 6840929.741190876 7.251989, -5473.667955560726 6840929.56829333 7.280203, -5473.435019050143 6840929.381233441 7.523141, -5473.1245056441985 6840929.131875261 8.124221, -5473.139829320076 6840929.065347527 8.176975, -5473.232924948097 6840928.661156415 8.378072, -5473.2969094777945 6840928.383356717 8.547001999999999, -5473.3856137013645 6840927.998229941 8.782366, -5473.404580272443 6840927.9158846075 8.819844, -5473.490969821229 6840927.540810177 8.985278, -5473.5624637888395 6840927.295678652 9.077984, -5473.678944826534 6840926.896302823 9.269447, -5473.778992852836 6840926.553267354 9.368779, -5473.826973857358 6840926.388755284 9.438152, -5473.9502302261535 6840925.966146127 9.582193, -5474.021270356607 6840925.722572562 9.640324, -5474.098879279918 6840925.452617833 9.850848, -5474.153767369047 6840925.226529138 9.978666, -5474.258107670117 6840924.796738929 10.228249, -5474.348237799073 6840924.425702352 10.385453, -5474.416961855837 6840924.143980326 10.425129, -5474.479641030659 6840923.887039089 10.457759, -5474.557391775539 6840923.568308653 10.489545, -5474.628081582312 6840923.278530275 10.505772, -5474.713088387856 6840922.930057536 10.585211, -5474.903654250666 6840922.720882408 10.634394, -5475.283760887454 6840922.822277986 10.608387, -5475.55928945425 6840922.895776996 10.589536, -5475.750049796421 6840922.946663772 10.576484, -5476.130610881024 6840923.04818083 10.550446, -5476.46957739559 6840923.138601999 10.527254, -5476.829407844401 6840923.234590018 10.502634, -5477.203342939843 6840923.334339258 10.47705, -5477.249846166815 6840923.346743974 10.473868)</t>
  </si>
  <si>
    <t>POLYGON Z ((-5477.249846166815 6840923.346743974 10.473868, -5477.215897775837 6840923.4927169895 10.443011, -5477.15388023213 6840923.759381551 10.401114, -5477.109371994971 6840923.9507585345 10.388036, -5477.061926165072 6840924.154765897 10.363505, -5477.004179546726 6840924.403069023 10.313764, -5476.958864193526 6840924.597919266 10.257759, -5476.909423025325 6840924.810508691 10.197766, -5476.856452530017 6840925.038273618 10.12954, -5476.773837394256 6840925.393488735 10.061193, -5476.68395996053 6840925.779523588 9.799641, -5476.618067258678 6840926.062538167 9.673594, -5476.529587622965 6840926.442568674 9.442552, -5476.4656686389935 6840926.755105276 9.27813, -5476.395050336258 6840927.100404058 9.101041, -5476.368269913073 6840927.231351904 9.027831, -5476.2914880472235 6840927.606786562 8.825824, -5476.229897129117 6840927.935868803 8.579822, -5476.172329614346 6840928.32069719 8.304635, -5476.1662211486255 6840928.361532464 8.265985, -5476.103887044243 6840928.778219113 7.9244900000000005, -5476.07161298854 6840928.99396453 7.773881, -5476.019564048445 6840929.341904685 7.364059, -5475.7644323341665 6840929.470338677 7.23044, -5475.4551108850865 6840929.626051188 7.147062, -5475.114017506363 6840929.797757971 7.179789, -5474.824814551161 6840929.943343405 7.190827, -5474.659168645914 6840930.026729712 7.23247, -5474.363921188749 6840930.127189453 7.271375, -5474.154723887623 6840929.959192777 7.248075, -5473.883256841218 6840929.741190876 7.251989, -5473.667955560726 6840929.56829333 7.280203, -5473.435019050143 6840929.381233441 7.523141, -5473.1245056441985 6840929.131875261 8.124221, -5473.139829320076 6840929.065347527 8.176975, -5473.232924948097 6840928.661156415 8.378072, -5473.2969094777945 6840928.383356717 8.547001999999999, -5473.3856137013645 6840927.998229941 8.782366, -5473.404580272443 6840927.9158846075 8.819844, -5473.490969821229 6840927.540810177 8.985278, -5473.5624637888395 6840927.295678652 9.077984, -5473.678944826534 6840926.896302823 9.269447, -5473.778992852836 6840926.553267354 9.368779, -5473.826973857358 6840926.388755284 9.438152, -5473.9502302261535 6840925.966146127 9.582193, -5474.021270356607 6840925.722572562 9.640324, -5474.098879279918 6840925.452617833 9.850848, -5474.153767369047 6840925.226529138 9.978666, -5474.258107670117 6840924.796738929 10.228249, -5474.348237799073 6840924.425702352 10.385453, -5474.416961855837 6840924.143980326 10.425129, -5474.479641030659 6840923.887039089 10.457759, -5474.557391775539 6840923.568308653 10.489545, -5474.628081582312 6840923.278530275 10.505772, -5474.713088387856 6840922.930057536 10.585211, -5474.903654250666 6840922.720882408 10.634394, -5475.283760887454 6840922.822277986 10.608387, -5475.55928945425 6840922.895776996 10.589536, -5475.750049796421 6840922.946663772 10.576484, -5476.130610881024 6840923.04818083 10.550446, -5476.46957739559 6840923.138601999 10.527254, -5476.829407844401 6840923.234590018 10.502634, -5477.203342939843 6840923.334339258 10.47705, -5477.249846166815 6840923.346743974 10.473868))</t>
  </si>
  <si>
    <t>['FV57 S17D1 m8413-8415']</t>
  </si>
  <si>
    <t>LINESTRING Z (-4434.064621151832 6840556.712637768 38.86027, -4433.971473474754 6840556.89381459 38.816848, -4433.793296561576 6840557.23265615 38.738084, -4433.5840442357585 6840557.554497036 38.764607, -4433.385988455091 6840557.698234207 38.767103, -4433.13907102606 6840557.790212837 38.804176, -4432.8702576907235 6840557.8450118 38.852069, -4432.580247566802 6840557.805016273 38.877477, -4432.28011030308 6840557.624482228 38.842914, -4432.008596899395 6840557.403442865 38.824281, -4431.8260399498395 6840557.254823526 38.803025, -4431.674699664698 6840557.12338168 38.795938, -4431.484484517307 6840556.958176932 38.786135, -4431.425417035702 6840556.795403069 38.752552, -4431.330955913058 6840556.535095817 38.721525, -4431.4865305518615 6840556.180395757 38.648854, -4431.650718698453 6840555.846216888 38.645996, -4431.88990531856 6840555.582494069 38.628009, -4432.250756860536 6840555.659202465 38.729811, -4432.540026600414 6840555.802255113 38.749839, -4432.816046746855 6840555.938755434 38.768951, -4433.111367233447 6840556.084800776 38.789398, -4433.342339782859 6840556.229888781 38.806351, -4433.63352207432 6840556.424505286 38.828088, -4433.957055846637 6840556.640744864 38.85224, -4434.064621151832 6840556.712637768 38.86027)</t>
  </si>
  <si>
    <t>POLYGON Z ((-4434.064621151832 6840556.712637768 38.86027, -4433.971473474754 6840556.89381459 38.816848, -4433.793296561576 6840557.23265615 38.738084, -4433.5840442357585 6840557.554497036 38.764607, -4433.385988455091 6840557.698234207 38.767103, -4433.13907102606 6840557.790212837 38.804176, -4432.8702576907235 6840557.8450118 38.852069, -4432.580247566802 6840557.805016273 38.877477, -4432.28011030308 6840557.624482228 38.842914, -4432.008596899395 6840557.403442865 38.824281, -4431.8260399498395 6840557.254823526 38.803025, -4431.674699664698 6840557.12338168 38.795938, -4431.484484517307 6840556.958176932 38.786135, -4431.425417035702 6840556.795403069 38.752552, -4431.330955913058 6840556.535095817 38.721525, -4431.4865305518615 6840556.180395757 38.648854, -4431.650718698453 6840555.846216888 38.645996, -4431.88990531856 6840555.582494069 38.628009, -4432.250756860536 6840555.659202465 38.729811, -4432.540026600414 6840555.802255113 38.749839, -4432.816046746855 6840555.938755434 38.768951, -4433.111367233447 6840556.084800776 38.789398, -4433.342339782859 6840556.229888781 38.806351, -4433.63352207432 6840556.424505286 38.828088, -4433.957055846637 6840556.640744864 38.85224, -4434.064621151832 6840556.712637768 38.86027))</t>
  </si>
  <si>
    <t>['FV57 S17D1 m7978-7980']</t>
  </si>
  <si>
    <t>LINESTRING Z (-4748.439390196465 6840846.542053968 41.343037, -4748.28490860376 6840846.800835621 41.298308, -4748.102206023585 6840847.106893137 41.276274, -4747.92029256653 6840847.41162843 41.205932, -4747.561833542015 6840847.56294354 41.118265, -4747.364253390988 6840847.566013513 41.071387, -4747.0470375371515 6840847.570941653 41.01905, -4746.93209965335 6840847.575564447 40.987898, -4746.601877404144 6840847.592604719 40.924367, -4746.451973263174 6840847.600340333 40.913671, -4746.12712888571 6840847.617102306 40.784187, -4745.765200810623 6840847.647115077 40.710627, -4745.374424802663 6840847.7149825245 40.565251, -4745.109087673307 6840847.761064772 40.446692, -4744.80694658187 6840847.81353913 40.277825, -4744.479177513393 6840847.870464486 40.114461, -4744.211429006304 6840847.972293808 40.010164, -4743.999537735828 6840848.082511987 39.954625, -4743.650561011222 6840847.945116901 39.887032, -4743.41749049112 6840847.718253746 39.907783, -4743.389809307875 6840847.339347755 39.935876, -4743.460368725704 6840847.200272799 39.990439, -4743.721052186447 6840846.992977642 40.081794, -4744.069424060581 6840846.828048538 40.239041, -4744.441709571867 6840846.819593605 40.321227, -4744.755123296054 6840846.8197683 40.408093, -4745.132517058402 6840846.811442412 40.536182, -4745.332096757309 6840846.820226924 40.585397, -4745.700116800435 6840846.860925651 40.680618, -4745.9499988894095 6840846.888559107 40.738777, -4746.304133349797 6840846.805595459 40.833252, -4746.598729408521 6840846.736579576 40.906801, -4746.792264709424 6840846.684961602 40.954689, -4747.23821026698 6840846.562903907 41.055123, -4747.43775712233 6840846.50828729 41.096478, -4747.6757951354375 6840846.476570726 41.138598, -4747.841606690141 6840846.45447755 41.181323, -4748.119317468314 6840846.417475365 41.223565, -4748.439390196465 6840846.542053968 41.343037)</t>
  </si>
  <si>
    <t>POLYGON Z ((-4748.439390196465 6840846.542053968 41.343037, -4748.28490860376 6840846.800835621 41.298308, -4748.102206023585 6840847.106893137 41.276274, -4747.92029256653 6840847.41162843 41.205932, -4747.561833542015 6840847.56294354 41.118265, -4747.364253390988 6840847.566013513 41.071387, -4747.0470375371515 6840847.570941653 41.01905, -4746.93209965335 6840847.575564447 40.987898, -4746.601877404144 6840847.592604719 40.924367, -4746.451973263174 6840847.600340333 40.913671, -4746.12712888571 6840847.617102306 40.784187, -4745.765200810623 6840847.647115077 40.710627, -4745.374424802663 6840847.7149825245 40.565251, -4745.109087673307 6840847.761064772 40.446692, -4744.80694658187 6840847.81353913 40.277825, -4744.479177513393 6840847.870464486 40.114461, -4744.211429006304 6840847.972293808 40.010164, -4743.999537735828 6840848.082511987 39.954625, -4743.650561011222 6840847.945116901 39.887032, -4743.41749049112 6840847.718253746 39.907783, -4743.389809307875 6840847.339347755 39.935876, -4743.460368725704 6840847.200272799 39.990439, -4743.721052186447 6840846.992977642 40.081794, -4744.069424060581 6840846.828048538 40.239041, -4744.441709571867 6840846.819593605 40.321227, -4744.755123296054 6840846.8197683 40.408093, -4745.132517058402 6840846.811442412 40.536182, -4745.332096757309 6840846.820226924 40.585397, -4745.700116800435 6840846.860925651 40.680618, -4745.9499988894095 6840846.888559107 40.738777, -4746.304133349797 6840846.805595459 40.833252, -4746.598729408521 6840846.736579576 40.906801, -4746.792264709424 6840846.684961602 40.954689, -4747.23821026698 6840846.562903907 41.055123, -4747.43775712233 6840846.50828729 41.096478, -4747.6757951354375 6840846.476570726 41.138598, -4747.841606690141 6840846.45447755 41.181323, -4748.119317468314 6840846.417475365 41.223565, -4748.439390196465 6840846.542053968 41.343037))</t>
  </si>
  <si>
    <t>['FV57 S17D1 m7699-7703']</t>
  </si>
  <si>
    <t>LINESTRING Z (-4948.317393214267 6841001.8663468445 28.020355, -4948.227067009488 6841002.196903927 28.038908, -4948.129743414756 6841002.553068582 28.00945, -4947.993371352728 6841002.773773705 28.079974, -4947.796965356218 6841003.091637827 28.149376, -4947.533409141819 6841003.162711405 28.164038, -4947.177467855159 6841003.265703341 28.196277, -4946.81365750276 6841003.423676327 28.377842, -4946.483700387878 6841003.484092668 28.382167, -4946.136539011612 6841003.3868692415 28.410189, -4945.8495620417525 6841003.208484468 28.301679, -4945.611782423395 6841003.027306679 28.297743, -4945.319010698004 6841002.815820677 28.176543, -4945.141332047991 6841002.687473181 28.217238, -4944.849600914575 6841002.476741024 28.185958, -4944.745127888513 6841002.133829453 28.190889, -4944.799638780823 6841001.816297998 28.188735, -4945.113550831447 6841001.723428468 28.194502, -4945.385152338655 6841001.757142057 28.164058, -4945.7318230693345 6841001.800174368 28.132436, -4946.106167958758 6841001.835817158 28.092432, -4946.30688417604 6841001.835860412 28.108968, -4946.681609258871 6841001.835940142 28.095192, -4947.020116650325 6841001.836011759 28.051451, -4947.202362778364 6841001.840273279 28.024228, -4947.520608385734 6841001.847715431 28.027811, -4947.874352034065 6841001.855987332 28.052298, -4948.190360550012 6841001.863376561 28.057231, -4948.317393214267 6841001.8663468445 28.020355)</t>
  </si>
  <si>
    <t>POLYGON Z ((-4948.317393214267 6841001.8663468445 28.020355, -4948.227067009488 6841002.196903927 28.038908, -4948.129743414756 6841002.553068582 28.00945, -4947.993371352728 6841002.773773705 28.079974, -4947.796965356218 6841003.091637827 28.149376, -4947.533409141819 6841003.162711405 28.164038, -4947.177467855159 6841003.265703341 28.196277, -4946.81365750276 6841003.423676327 28.377842, -4946.483700387878 6841003.484092668 28.382167, -4946.136539011612 6841003.3868692415 28.410189, -4945.8495620417525 6841003.208484468 28.301679, -4945.611782423395 6841003.027306679 28.297743, -4945.319010698004 6841002.815820677 28.176543, -4945.141332047991 6841002.687473181 28.217238, -4944.849600914575 6841002.476741024 28.185958, -4944.745127888513 6841002.133829453 28.190889, -4944.799638780823 6841001.816297998 28.188735, -4945.113550831447 6841001.723428468 28.194502, -4945.385152338655 6841001.757142057 28.164058, -4945.7318230693345 6841001.800174368 28.132436, -4946.106167958758 6841001.835817158 28.092432, -4946.30688417604 6841001.835860412 28.108968, -4946.681609258871 6841001.835940142 28.095192, -4947.020116650325 6841001.836011759 28.051451, -4947.202362778364 6841001.840273279 28.024228, -4947.520608385734 6841001.847715431 28.027811, -4947.874352034065 6841001.855987332 28.052298, -4948.190360550012 6841001.863376561 28.057231, -4948.317393214267 6841001.8663468445 28.020355))</t>
  </si>
  <si>
    <t>['FV57 S17D200 m504-508']</t>
  </si>
  <si>
    <t>LINESTRING Z (-4906.182354725432 6841013.866383738 29.57039, -4906.208101890399 6841014.427451896 29.354214, -4906.226226705243 6841014.822411387 29.266263, -4906.2316630948335 6841014.940875366 29.2131, -4906.250114374387 6841015.3429478025 29.128056, -4906.253801807703 6841015.423308367 29.107333, -4906.269351699448 6841015.762169325 28.967897999999998, -4906.2819483606145 6841016.036653785 28.88417, -4906.290460867109 6841016.222169664 28.796072, -4906.292169985303 6841016.576180239 28.658018, -4906.274221773958 6841016.658022871 28.613211, -4906.19092161837 6841017.037861711 28.389151, -4906.105760069622 6841017.426191751 28.178982, -4906.035020076728 6841017.748760996 27.963373, -4905.963939286361 6841018.072884527 27.792381, -4905.879134418676 6841018.459586601 27.565111, -4905.490405014949 6841018.49122004 27.329615, -4905.195930747548 6841018.432125778 27.170175, -4904.798486265645 6841018.352368168 27.160063, -4904.424078234064 6841018.277233729 27.189629, -4904.085379772296 6841018.209265001 27.228206, -4903.932086638524 6841018.178503015 27.208939, -4903.612875721126 6841018.114444635 27.166612, -4903.252513134503 6841018.042128292 27.239161, -4902.876492615847 6841017.966669849 27.28569, -4902.598251849762 6841017.753780166 27.375072, -4902.65110700269 6841017.357871156 27.605095, -4902.655354841263 6841017.326053482 27.626301, -4902.708176655928 6841016.930399029 27.880473, -4902.742860896455 6841016.670605436 28.052089, -4902.784286483191 6841016.360306929 28.240936, -4902.815822623728 6841016.124091776 28.401924, -4902.86388077517 6841015.764118641 28.627406, -4902.982474479184 6841015.449932356 28.85069, -4903.123018316925 6841015.121724752 28.996132, -4903.307057001395 6841014.691942463 29.081504, -4903.437147069606 6841014.388144549 29.160758, -4903.498981931247 6841014.243742079 29.186728, -4903.598171090416 6841014.012108808 29.215743, -4903.70035645616 6841013.773476659 29.250301, -4903.834889003076 6841013.459305586 29.263105, -4903.90003693488 6841013.30716837 29.245617, -4904.271746597195 6841013.3982448075 29.298511, -4904.602298178768 6841013.47923706 29.345549, -4904.964732793043 6841013.568041038 29.397123, -4905.353744300199 6841013.6633564215 29.452479, -4905.687274801487 6841013.745078114 29.49994, -4906.066543458495 6841013.838007732 29.55391, -4906.182354725432 6841013.866383738 29.57039)</t>
  </si>
  <si>
    <t>POLYGON Z ((-4906.182354725432 6841013.866383738 29.57039, -4906.208101890399 6841014.427451896 29.354214, -4906.226226705243 6841014.822411387 29.266263, -4906.2316630948335 6841014.940875366 29.2131, -4906.250114374387 6841015.3429478025 29.128056, -4906.253801807703 6841015.423308367 29.107333, -4906.269351699448 6841015.762169325 28.967897999999998, -4906.2819483606145 6841016.036653785 28.88417, -4906.290460867109 6841016.222169664 28.796072, -4906.292169985303 6841016.576180239 28.658018, -4906.274221773958 6841016.658022871 28.613211, -4906.19092161837 6841017.037861711 28.389151, -4906.105760069622 6841017.426191751 28.178982, -4906.035020076728 6841017.748760996 27.963373, -4905.963939286361 6841018.072884527 27.792381, -4905.879134418676 6841018.459586601 27.565111, -4905.490405014949 6841018.49122004 27.329615, -4905.195930747548 6841018.432125778 27.170175, -4904.798486265645 6841018.352368168 27.160063, -4904.424078234064 6841018.277233729 27.189629, -4904.085379772296 6841018.209265001 27.228206, -4903.932086638524 6841018.178503015 27.208939, -4903.612875721126 6841018.114444635 27.166612, -4903.252513134503 6841018.042128292 27.239161, -4902.876492615847 6841017.966669849 27.28569, -4902.598251849762 6841017.753780166 27.375072, -4902.65110700269 6841017.357871156 27.605095, -4902.655354841263 6841017.326053482 27.626301, -4902.708176655928 6841016.930399029 27.880473, -4902.742860896455 6841016.670605436 28.052089, -4902.784286483191 6841016.360306929 28.240936, -4902.815822623728 6841016.124091776 28.401924, -4902.86388077517 6841015.764118641 28.627406, -4902.982474479184 6841015.449932356 28.85069, -4903.123018316925 6841015.121724752 28.996132, -4903.307057001395 6841014.691942463 29.081504, -4903.437147069606 6841014.388144549 29.160758, -4903.498981931247 6841014.243742079 29.186728, -4903.598171090416 6841014.012108808 29.215743, -4903.70035645616 6841013.773476659 29.250301, -4903.834889003076 6841013.459305586 29.263105, -4903.90003693488 6841013.30716837 29.245617, -4904.271746597195 6841013.3982448075 29.298511, -4904.602298178768 6841013.47923706 29.345549, -4904.964732793043 6841013.568041038 29.397123, -4905.353744300199 6841013.6633564215 29.452479, -4905.687274801487 6841013.745078114 29.49994, -4906.066543458495 6841013.838007732 29.55391, -4906.182354725432 6841013.866383738 29.57039))</t>
  </si>
  <si>
    <t>['FV57 S17D1 m7244-7248']</t>
  </si>
  <si>
    <t>LINESTRING Z (-5351.3973343313555 6840969.454928853 1.015421, -5351.455663605826 6840969.535803834 0.901258, -5351.633195035218 6840969.781956366 0.794705, -5351.8241406814195 6840970.046706532 0.731023, -5352.0568119667005 6840970.369310942 0.7564900000000001, -5352.225778197288 6840970.666662586 0.732142, -5352.282150747196 6840971.048870636 0.696525, -5352.3261279681465 6840971.347032626 0.5058079999999999, -5352.383224248595 6840971.734145854 0.335729, -5352.422066113562 6840972.094207448 0.155146, -5352.115116595931 6840972.226273542 0.079759, -5351.75731561362 6840972.380217 -0.014893, -5351.296533379762 6840972.578469298 -0.109898, -5350.987539158668 6840972.669028607 -0.113695, -5350.62260691257 6840972.67294168 -0.129109, -5350.2645467148395 6840972.676781736 -0.029597, -5350.15901498514 6840972.677914277 0.014141, -5349.765994097514 6840972.682129532 0.009174, -5349.619856705656 6840972.41518616 0.018887, -5349.5997683811 6840972.302054043 0.068769, -5349.546454588475 6840972.001817316 0.176788, -5349.487114205549 6840971.6676353635 0.226666, -5349.453099663195 6840971.476084213 0.259546, -5349.389779307705 6840971.119491167 0.4154700000000001, -5349.348506273294 6840970.887056914 0.486008, -5349.452600195829 6840970.6637570225 0.5266649999999999, -5349.610606748378 6840970.32480632 0.616105, -5349.713428238465 6840970.10423533 0.651434, -5349.807209818915 6840969.903057324 0.720121, -5350.114141835715 6840969.654990763 0.9149600000000001, -5350.498428856779 6840969.59507637 0.9450459999999999, -5350.786438867624 6840969.550173516 0.967594, -5351.090368597477 6840969.502787836 0.991389, -5351.3973343313555 6840969.454928853 1.015421)</t>
  </si>
  <si>
    <t>POLYGON Z ((-5351.3973343313555 6840969.454928853 1.015421, -5351.455663605826 6840969.535803834 0.901258, -5351.633195035218 6840969.781956366 0.794705, -5351.8241406814195 6840970.046706532 0.731023, -5352.0568119667005 6840970.369310942 0.7564900000000001, -5352.225778197288 6840970.666662586 0.732142, -5352.282150747196 6840971.048870636 0.696525, -5352.3261279681465 6840971.347032626 0.5058079999999999, -5352.383224248595 6840971.734145854 0.335729, -5352.422066113562 6840972.094207448 0.155146, -5352.115116595931 6840972.226273542 0.079759, -5351.75731561362 6840972.380217 -0.014893, -5351.296533379762 6840972.578469298 -0.109898, -5350.987539158668 6840972.669028607 -0.113695, -5350.62260691257 6840972.67294168 -0.129109, -5350.2645467148395 6840972.676781736 -0.029597, -5350.15901498514 6840972.677914277 0.014141, -5349.765994097514 6840972.682129532 0.009174, -5349.619856705656 6840972.41518616 0.018887, -5349.5997683811 6840972.302054043 0.068769, -5349.546454588475 6840972.001817316 0.176788, -5349.487114205549 6840971.6676353635 0.226666, -5349.453099663195 6840971.476084213 0.259546, -5349.389779307705 6840971.119491167 0.4154700000000001, -5349.348506273294 6840970.887056914 0.486008, -5349.452600195829 6840970.6637570225 0.5266649999999999, -5349.610606748378 6840970.32480632 0.616105, -5349.713428238465 6840970.10423533 0.651434, -5349.807209818915 6840969.903057324 0.720121, -5350.114141835715 6840969.654990763 0.9149600000000001, -5350.498428856779 6840969.59507637 0.9450459999999999, -5350.786438867624 6840969.550173516 0.967594, -5351.090368597477 6840969.502787836 0.991389, -5351.3973343313555 6840969.454928853 1.015421))</t>
  </si>
  <si>
    <t>['FV57 S17D1 m8055-8057']</t>
  </si>
  <si>
    <t>LINESTRING Z (-4738.596174816368 6840764.581587003 48.83605, -4738.451254047512 6840764.815857315 48.933639, -4737.94356306392 6840764.6514969645 49.007172, -4737.56429050013 6840764.27116407 49.123564, -4737.676085543295 6840763.368964277 49.117569, -4737.742199305561 6840762.777774034 49.15213700000001, -4737.968020975415 6840762.368899883 49.10661400000001, -4738.186741471174 6840762.290514687 49.139694, -4738.302182833257 6840762.915279747 48.975939, -4738.372854629997 6840763.374609916 48.81356, -4738.496580789448 6840763.613803872 48.702273, -4738.642658590979 6840764.312137579 48.73204200000001, -4738.596174816368 6840764.581587003 48.83605)</t>
  </si>
  <si>
    <t>POLYGON Z ((-4738.596174816368 6840764.581587003 48.83605, -4738.451254047512 6840764.815857315 48.933639, -4737.94356306392 6840764.6514969645 49.007172, -4737.56429050013 6840764.27116407 49.123564, -4737.676085543295 6840763.368964277 49.117569, -4737.742199305561 6840762.777774034 49.15213700000001, -4737.968020975415 6840762.368899883 49.10661400000001, -4738.186741471174 6840762.290514687 49.139694, -4738.302182833257 6840762.915279747 48.975939, -4738.372854629997 6840763.374609916 48.81356, -4738.496580789448 6840763.613803872 48.702273, -4738.642658590979 6840764.312137579 48.73204200000001, -4738.596174816368 6840764.581587003 48.83605))</t>
  </si>
  <si>
    <t>['FV57 S17D1 m7872-7874']</t>
  </si>
  <si>
    <t>LINESTRING Z (-4800.460582969768 6840932.716045412 36.104897, -4801.081393240602 6840933.264151084 36.040591, -4800.801669245004 6840933.504654412 36.010025, -4800.336860107665 6840933.739223627 35.980801, -4800.104968698637 6840933.726414484 35.97906, -4799.82794458908 6840933.659160031 35.978415, -4799.9192054977175 6840933.327218588 35.996877, -4800.274002465594 6840932.901160082 36.063328000000006, -4800.460582969768 6840932.716045412 36.104897)</t>
  </si>
  <si>
    <t>POLYGON Z ((-4800.460582969768 6840932.716045412 36.104897, -4801.081393240602 6840933.264151084 36.040591, -4800.801669245004 6840933.504654412 36.010025, -4800.336860107665 6840933.739223627 35.980801, -4800.104968698637 6840933.726414484 35.97906, -4799.82794458908 6840933.659160031 35.978415, -4799.9192054977175 6840933.327218588 35.996877, -4800.274002465594 6840932.901160082 36.063328000000006, -4800.460582969768 6840932.716045412 36.104897))</t>
  </si>
  <si>
    <t>['FV57 S17D1 m8014-8017']</t>
  </si>
  <si>
    <t>LINESTRING Z (-4716.787740876549 6840822.103671393 40.211408, -4716.55624777684 6840822.257719754 40.050784, -4716.272366183635 6840822.446631316 39.826846, -4715.99811020965 6840822.629135664 39.632846, -4715.689105488942 6840822.834765568 39.380797, -4715.4037868054 6840823.006951373 39.196753, -4715.097971764742 6840823.127564686 38.957746, -4714.77578101604 6840823.254635605 38.769346, -4714.432584005874 6840823.389992348 38.492946, -4714.1350171152735 6840823.507352771 38.328473, -4713.855370153731 6840823.637087897 38.04822, -4713.63891847973 6840823.744317393 37.83043, -4713.401238476159 6840823.862062196 37.679344, -4713.180149152351 6840823.971589132 37.518933, -4712.913334786892 6840824.103767548 37.334512, -4712.822912485863 6840824.166637125 37.271053, -4712.5128389912425 6840824.382227613 37.068589, -4712.234390992671 6840824.575829016 36.797582, -4712.153904151637 6840824.631789614 36.759756, -4711.831259310362 6840824.853922181 36.517317, -4711.587738328031 6840824.961180978 36.354987, -4711.273115038639 6840825.099755631 36.148925, -4710.9277363359 6840825.251877169 35.911009, -4710.6562113922555 6840825.371469468 35.727079, -4710.499345657008 6840825.440560305 35.617058, -4710.1885115167825 6840825.57746692 35.452276, -4709.931212477735 6840825.701863854 35.309698, -4709.591214845423 6840825.866243303 35.0106, -4709.529770297115 6840825.895949425 34.968869, -4709.225518825871 6840826.043046599 34.800783, -4708.919755375071 6840826.173313778 34.484194, -4708.6237379433005 6840826.246335976 34.425051, -4708.52288911317 6840826.271213097 34.404684, -4708.145172144752 6840826.364388845 34.234089, -4707.873299145896 6840826.43139927 34.077003, -4707.487209136714 6840826.525048832 33.822044, -4707.373479328991 6840826.55263518 33.760104, -4707.027325303119 6840826.63659873 33.519265, -4706.755987209268 6840826.706018726 33.39176, -4706.51708954596 6840826.790550247 33.182427, -4706.21462781966 6840826.897572738 33.046167, -4705.861136127263 6840827.023123021 32.717356, -4705.565534708789 6840827.136203339 32.445789, -4705.2899600378005 6840827.241622173 32.381164, -4705.014216788404 6840827.347105431 32.29899, -4704.68027629127 6840827.471309316 31.893763, -4704.328093890974 6840827.602297681 31.569043, -4704.050855123089 6840827.705411681 31.238118, -4703.841049205221 6840827.783444958 31.137365, -4703.518933358253 6840827.903251055 30.824558, -4703.200196633115 6840828.021800159 30.649616, -4703.062133171654 6840828.0731499735 30.540614, -4702.745005627861 6840828.191100325 30.252526, -4702.410806813685 6840828.315400037 29.937678, -4702.250674125855 6840828.374958592 29.783588, -4701.895230631635 6840828.507159455 29.471923, -4701.565698454506 6840828.629723397 29.144904, -4701.34149485454 6840828.713112283 29.049806, -4701.187865205458 6840828.770252136 28.965315, -4700.883322525886 6840828.883521109 28.762709, -4700.620445802284 6840828.981294519 28.579399, -4700.270540496334 6840829.111435616 28.381881, -4700.010544566088 6840829.208136264 28.14412, -4699.708986345504 6840829.320296008 27.970543, -4699.364053150581 6840829.448588103 27.725828, -4698.989824270713 6840829.587775359 27.499348, -4698.627715707989 6840829.722456246 27.249001, -4698.266074664833 6840829.8569625635 27.057541, -4697.89582307823 6840829.994670562 26.904544, -4697.787505052984 6840830.05255624 26.857623, -4697.445575767197 6840830.23528273 26.746418, -4697.2159777442575 6840830.357978643 26.560514, -4696.921423865075 6840830.5153873805 26.443695, -4696.569520393328 6840830.703444233 26.453605, -4696.366369284748 6840830.8120080605 26.315136, -4696.155329409346 6840830.924786644 26.250108, -4695.988663355529 6840831.013852814 26.080443, -4695.706291012524 6840831.164751395 25.92312, -4695.508845777251 6840831.270265594 25.703188, -4695.221145851072 6840831.424011936 25.578336, -4694.993798940792 6840831.545506108 25.499788, -4694.835136343492 6840831.630294298 25.441925, -4694.568118205469 6840831.772988996 25.364651, -4694.208920973411 6840831.964942608 25.155845, -4693.913437723357 6840832.122848249 25.080331, -4693.601078022388 6840832.289771979 24.980457, -4693.307015229773 6840832.431783062 24.875099, -4692.964990649838 6840832.596956239 24.74376, -4692.658428845927 6840832.74500315 24.632084, -4692.516632450395 6840832.813480763 24.585733, -4692.23564366647 6840832.949177642 24.513165, -4691.886434783519 6840833.11781975 24.43925, -4691.680817730317 6840833.217117932 24.386186, -4691.341591237637 6840833.380939642 24.307051, -4691.046327468881 6840833.523530372 24.225055, -4690.757105987985 6840833.663202983 24.145531, -4690.560261677485 6840833.7582642175 24.080569, -4690.363417367218 6840833.853325454 24.070841, -4690.051903019717 6840834.00376441 23.955162, -4689.935765889124 6840834.059849927 23.919716, -4689.6435859221965 6840834.200951779 23.836927, -4689.300659304194 6840834.366559994 23.741922, -4689.022664961871 6840834.500810602 23.635685, -4688.671945087903 6840834.670183429 23.549704, -4688.489565584576 6840834.758259094 23.456855, -4688.221832959331 6840834.88755399 23.395681, -4687.980726998881 6840835.003990799 23.328263, -4687.727058802615 6840835.126493674 23.239919, -4687.437506713555 6840835.266326489 23.172199, -4687.221494972298 6840835.370643942 23.124178, -4686.956001778832 6840835.49885801 23.05933, -4686.599361957342 6840835.67108888 22.951078, -4686.278356111725 6840835.826111207 22.813087, -4686.027544819284 6840835.947234775 22.689092, -4685.708037753007 6840836.101533694 22.629255, -4685.613994868123 6840836.146949349 22.585027, -4685.210921598715 6840836.341603979 22.505141, -4684.900342138368 6840836.491591402 22.445282, -4684.543453590653 6840836.396699129 22.44558, -4684.3029735925375 6840836.086560644 22.432986, -4684.098676169873 6840835.823084693 22.39735, -4684.155447154888 6840835.686672937 22.443496, -4684.408629870799 6840835.543787595 22.515094, -4684.692233421898 6840835.383733717 22.503714, -4685.015951484442 6840835.201041419 22.548196, -4685.166300716985 6840835.116189567 22.600388, -4685.401124625641 6840834.983665332 22.665022, -4685.703896949533 6840834.812793646 22.714137, -4686.102374134003 6840834.587909817 22.897801, -4686.377538107568 6840834.432619158 22.990797, -4686.645941267372 6840834.281143411 23.040465, -4686.965383980074 6840834.100862565 23.083317, -4687.262047411525 6840833.933438381 23.257343, -4687.565097021114 6840833.762410793 23.273675, -4687.747969950142 6840833.6592043815 23.31878, -4687.996504664072 6840833.518942296 23.429402, -4688.3334717811085 6840833.32877167 23.597915, -4688.68064208969 6840833.1328431815 23.62045, -4688.851870549202 6840833.036209581 23.716268, -4689.089400926256 6840832.902157257 23.806668, -4689.350447491859 6840832.754833552 23.966465, -4689.824884892383 6840832.487081239 24.059193, -4690.050750056398 6840832.359611855 24.118103, -4690.332126827852 6840832.20081495 24.145545, -4690.678791041311 6840832.005171896 24.234683, -4690.765098124044 6840831.956464311 24.250415, -4691.129064745095 6840831.751055968 24.336717, -4691.298195748706 6840831.655606131 24.378485, -4691.567468572524 6840831.503639876 24.44073, -4691.8589813189465 6840831.339121845 24.52412, -4692.131754928327 6840831.185180681 24.615626, -4692.219593823247 6840831.135607586 24.671682, -4692.514573103923 6840830.969133939 24.795498, -4692.858503569383 6840830.770250581 24.888777, -4693.114222948556 6840830.612724092 25.018003, -4693.276280562626 6840830.512894869 25.077485, -4693.458739064925 6840830.400497121 25.166501, -4693.796819086245 6840830.1922341 25.33438, -4694.1249772845185 6840829.990083436 25.474756, -4694.347984093067 6840829.852708023 25.657153, -4694.605266869359 6840829.694218295 25.773001, -4694.855132982775 6840829.540296442 25.923957, -4695.152768039727 6840829.356949237 26.119629, -4695.442619821348 6840829.178395781 26.237966, -4695.692550470703 6840829.024434761 26.375247, -4695.860563148861 6840828.9209357705 26.453115, -4696.108834448329 6840828.767997871 26.550243, -4696.448495638557 6840828.558761041 26.749023, -4696.78186999145 6840828.353396583 26.884098, -4696.891592703352 6840828.30257646 26.893924, -4697.30280582828 6840828.112113197 27.173434, -4697.652996019577 6840827.949913976 27.364157, -4697.937267368601 6840827.8182474105 27.518729, -4698.156502116646 6840827.71670291 27.59657, -4698.302140591841 6840827.649246693 27.659506, -4698.637872788706 6840827.493745191 27.912449, -4698.997819704702 6840827.32702687 28.054619, -4699.240193437727 6840827.2147652935 28.228788, -4699.485358640028 6840827.101211082 28.357144, -4699.843445903156 6840826.935354704 28.555548, -4700.1794782929355 6840826.77971385 28.753498, -4700.426668376429 6840826.665221618 28.874256, -4700.713877108821 6840826.532193644 29.130592, -4700.872191070463 6840826.45886636 29.236176, -4701.248985975923 6840826.284344974 29.530073, -4701.459852568223 6840826.186677253 29.742683, -4701.6482750250725 6840826.099405031 29.872747, -4702.0453566457145 6840825.915486756 30.158983, -4702.342033847643 6840825.778073692 30.505866, -4702.6944097511005 6840825.614862758 30.729397, -4702.772331326327 6840825.577132885 30.783786, -4703.129219489987 6840825.404329309 31.088436, -4703.473334364768 6840825.237710793 31.3108, -4703.825413174753 6840825.0672351625 31.705117, -4704.175038000976 6840824.897948699 32.02621, -4704.450626676087 6840824.764510188 32.305171, -4704.749346316385 6840824.619870999 32.572456, -4704.981022340478 6840824.507695148 32.783955, -4705.295621536381 6840824.355367074 32.974161, -4705.587904876564 6840824.2138445405 33.247764, -4705.915415706404 6840824.009008276 33.511674, -4706.2007111584535 6840823.802197569 33.68997, -4706.478667952761 6840823.600707056 33.893771, -4706.803889215284 6840823.371176491 34.074268, -4707.145059140341 6840823.162259521 34.277157, -4707.412051259365 6840823.076397962 34.417928, -4707.786341413041 6840822.956030873 34.697007, -4708.115823329368 6840822.850072494 34.872599, -4708.494406120095 6840822.731185205 34.956011, -4708.861541146121 6840822.618469918 35.313248, -4709.1801145907375 6840822.520663022 35.557284, -4709.461499857483 6840822.3396112425 35.684384, -4709.739278891997 6840822.160879681 35.931639, -4710.036882257031 6840821.969392545 36.162378, -4710.319762702507 6840821.78737967 36.384915, -4710.5404891415965 6840821.664825862 36.510533, -4710.859936372959 6840821.499425495 36.792999, -4711.1708498047665 6840821.33844311 37.008337, -4711.450339244737 6840821.193730935 37.186092, -4711.688414656615 6840821.065393538 37.390111, -4711.863490535296 6840820.96793045 37.53552, -4712.136995803099 6840820.815673647 37.720786, -4712.229894479271 6840820.763958335 37.802354, -4712.544561039773 6840820.588788152 37.924896, -4712.877620519197 6840820.465373036 38.17459, -4713.143024581019 6840820.38403751 38.370118, -4713.519510831742 6840820.268660044 38.62224, -4713.728479688405 6840820.204619551 38.801041, -4714.078683454602 6840820.091518303 38.988583, -4714.289783031156 6840820.012495317 39.158942, -4714.628314161324 6840819.885769146 39.39618, -4714.938889329031 6840819.786505685 39.632418, -4715.256587120239 6840819.715326045 39.827097, -4715.404295001063 6840819.682232793 39.920074, -4715.672022519342 6840819.622249009 40.090524, -4716.036196481844 6840819.540657555 40.339509, -4716.072459014889 6840819.664324978 40.318665, -4716.19620378071 6840820.086337468 40.204453, -4716.257599242497 6840820.295712393 40.216268, -4716.352727199381 6840820.620132382 40.321836, -4716.46299102559 6840820.996167542 40.313776, -4716.559144932602 6840821.324083721 40.271632, -4716.623650246649 6840821.54406747 40.231598, -4716.721910738968 6840821.879169543 40.217225, -4716.787740876549 6840822.103671393 40.211408)</t>
  </si>
  <si>
    <t>POLYGON Z ((-4716.787740876549 6840822.103671393 40.211408, -4716.55624777684 6840822.257719754 40.050784, -4716.272366183635 6840822.446631316 39.826846, -4715.99811020965 6840822.629135664 39.632846, -4715.689105488942 6840822.834765568 39.380797, -4715.4037868054 6840823.006951373 39.196753, -4715.097971764742 6840823.127564686 38.957746, -4714.77578101604 6840823.254635605 38.769346, -4714.432584005874 6840823.389992348 38.492946, -4714.1350171152735 6840823.507352771 38.328473, -4713.855370153731 6840823.637087897 38.04822, -4713.63891847973 6840823.744317393 37.83043, -4713.401238476159 6840823.862062196 37.679344, -4713.180149152351 6840823.971589132 37.518933, -4712.913334786892 6840824.103767548 37.334512, -4712.822912485863 6840824.166637125 37.271053, -4712.5128389912425 6840824.382227613 37.068589, -4712.234390992671 6840824.575829016 36.797582, -4712.153904151637 6840824.631789614 36.759756, -4711.831259310362 6840824.853922181 36.517317, -4711.587738328031 6840824.961180978 36.354987, -4711.273115038639 6840825.099755631 36.148925, -4710.9277363359 6840825.251877169 35.911009, -4710.6562113922555 6840825.371469468 35.727079, -4710.499345657008 6840825.440560305 35.617058, -4710.1885115167825 6840825.57746692 35.452276, -4709.931212477735 6840825.701863854 35.309698, -4709.591214845423 6840825.866243303 35.0106, -4709.529770297115 6840825.895949425 34.968869, -4709.225518825871 6840826.043046599 34.800783, -4708.919755375071 6840826.173313778 34.484194, -4708.6237379433005 6840826.246335976 34.425051, -4708.52288911317 6840826.271213097 34.404684, -4708.145172144752 6840826.364388845 34.234089, -4707.873299145896 6840826.43139927 34.077003, -4707.487209136714 6840826.525048832 33.822044, -4707.373479328991 6840826.55263518 33.760104, -4707.027325303119 6840826.63659873 33.519265, -4706.755987209268 6840826.706018726 33.39176, -4706.51708954596 6840826.790550247 33.182427, -4706.21462781966 6840826.897572738 33.046167, -4705.861136127263 6840827.023123021 32.717356, -4705.565534708789 6840827.136203339 32.445789, -4705.2899600378005 6840827.241622173 32.381164, -4705.014216788404 6840827.347105431 32.29899, -4704.68027629127 6840827.471309316 31.893763, -4704.328093890974 6840827.602297681 31.569043, -4704.050855123089 6840827.705411681 31.238118, -4703.841049205221 6840827.783444958 31.137365, -4703.518933358253 6840827.903251055 30.824558, -4703.200196633115 6840828.021800159 30.649616, -4703.062133171654 6840828.0731499735 30.540614, -4702.745005627861 6840828.191100325 30.252526, -4702.410806813685 6840828.315400037 29.937678, -4702.250674125855 6840828.374958592 29.783588, -4701.895230631635 6840828.507159455 29.471923, -4701.565698454506 6840828.629723397 29.144904, -4701.34149485454 6840828.713112283 29.049806, -4701.187865205458 6840828.770252136 28.965315, -4700.883322525886 6840828.883521109 28.762709, -4700.620445802284 6840828.981294519 28.579399, -4700.270540496334 6840829.111435616 28.381881, -4700.010544566088 6840829.208136264 28.14412, -4699.708986345504 6840829.320296008 27.970543, -4699.364053150581 6840829.448588103 27.725828, -4698.989824270713 6840829.587775359 27.499348, -4698.627715707989 6840829.722456246 27.249001, -4698.266074664833 6840829.8569625635 27.057541, -4697.89582307823 6840829.994670562 26.904544, -4697.787505052984 6840830.05255624 26.857623, -4697.445575767197 6840830.23528273 26.746418, -4697.2159777442575 6840830.357978643 26.560514, -4696.921423865075 6840830.5153873805 26.443695, -4696.569520393328 6840830.703444233 26.453605, -4696.366369284748 6840830.8120080605 26.315136, -4696.155329409346 6840830.924786644 26.250108, -4695.988663355529 6840831.013852814 26.080443, -4695.706291012524 6840831.164751395 25.92312, -4695.508845777251 6840831.270265594 25.703188, -4695.221145851072 6840831.424011936 25.578336, -4694.993798940792 6840831.545506108 25.499788, -4694.835136343492 6840831.630294298 25.441925, -4694.568118205469 6840831.772988996 25.364651, -4694.208920973411 6840831.964942608 25.155845, -4693.913437723357 6840832.122848249 25.080331, -4693.601078022388 6840832.289771979 24.980457, -4693.307015229773 6840832.431783062 24.875099, -4692.964990649838 6840832.596956239 24.74376, -4692.658428845927 6840832.74500315 24.632084, -4692.516632450395 6840832.813480763 24.585733, -4692.23564366647 6840832.949177642 24.513165, -4691.886434783519 6840833.11781975 24.43925, -4691.680817730317 6840833.217117932 24.386186, -4691.341591237637 6840833.380939642 24.307051, -4691.046327468881 6840833.523530372 24.225055, -4690.757105987985 6840833.663202983 24.145531, -4690.560261677485 6840833.7582642175 24.080569, -4690.363417367218 6840833.853325454 24.070841, -4690.051903019717 6840834.00376441 23.955162, -4689.935765889124 6840834.059849927 23.919716, -4689.6435859221965 6840834.200951779 23.836927, -4689.300659304194 6840834.366559994 23.741922, -4689.022664961871 6840834.500810602 23.635685, -4688.671945087903 6840834.670183429 23.549704, -4688.489565584576 6840834.758259094 23.456855, -4688.221832959331 6840834.88755399 23.395681, -4687.980726998881 6840835.003990799 23.328263, -4687.727058802615 6840835.126493674 23.239919, -4687.437506713555 6840835.266326489 23.172199, -4687.221494972298 6840835.370643942 23.124178, -4686.956001778832 6840835.49885801 23.05933, -4686.599361957342 6840835.67108888 22.951078, -4686.278356111725 6840835.826111207 22.813087, -4686.027544819284 6840835.947234775 22.689092, -4685.708037753007 6840836.101533694 22.629255, -4685.613994868123 6840836.146949349 22.585027, -4685.210921598715 6840836.341603979 22.505141, -4684.900342138368 6840836.491591402 22.445282, -4684.543453590653 6840836.396699129 22.44558, -4684.3029735925375 6840836.086560644 22.432986, -4684.098676169873 6840835.823084693 22.39735, -4684.155447154888 6840835.686672937 22.443496, -4684.408629870799 6840835.543787595 22.515094, -4684.692233421898 6840835.383733717 22.503714, -4685.015951484442 6840835.201041419 22.548196, -4685.166300716985 6840835.116189567 22.600388, -4685.401124625641 6840834.983665332 22.665022, -4685.703896949533 6840834.812793646 22.714137, -4686.102374134003 6840834.587909817 22.897801, -4686.377538107568 6840834.432619158 22.990797, -4686.645941267372 6840834.281143411 23.040465, -4686.965383980074 6840834.100862565 23.083317, -4687.262047411525 6840833.933438381 23.257343, -4687.565097021114 6840833.762410793 23.273675, -4687.747969950142 6840833.6592043815 23.31878, -4687.996504664072 6840833.518942296 23.429402, -4688.3334717811085 6840833.32877167 23.597915, -4688.68064208969 6840833.1328431815 23.62045, -4688.851870549202 6840833.036209581 23.716268, -4689.089400926256 6840832.902157257 23.806668, -4689.350447491859 6840832.754833552 23.966465, -4689.824884892383 6840832.487081239 24.059193, -4690.050750056398 6840832.359611855 24.118103, -4690.332126827852 6840832.20081495 24.145545, -4690.678791041311 6840832.005171896 24.234683, -4690.765098124044 6840831.956464311 24.250415, -4691.129064745095 6840831.751055968 24.336717, -4691.298195748706 6840831.655606131 24.378485, -4691.567468572524 6840831.503639876 24.44073, -4691.8589813189465 6840831.339121845 24.52412, -4692.131754928327 6840831.185180681 24.615626, -4692.219593823247 6840831.135607586 24.671682, -4692.514573103923 6840830.969133939 24.795498, -4692.858503569383 6840830.770250581 24.888777, -4693.114222948556 6840830.612724092 25.018003, -4693.276280562626 6840830.512894869 25.077485, -4693.458739064925 6840830.400497121 25.166501, -4693.796819086245 6840830.1922341 25.33438, -4694.1249772845185 6840829.990083436 25.474756, -4694.347984093067 6840829.852708023 25.657153, -4694.605266869359 6840829.694218295 25.773001, -4694.855132982775 6840829.540296442 25.923957, -4695.152768039727 6840829.356949237 26.119629, -4695.442619821348 6840829.178395781 26.237966, -4695.692550470703 6840829.024434761 26.375247, -4695.860563148861 6840828.9209357705 26.453115, -4696.108834448329 6840828.767997871 26.550243, -4696.448495638557 6840828.558761041 26.749023, -4696.78186999145 6840828.353396583 26.884098, -4696.891592703352 6840828.30257646 26.893924, -4697.30280582828 6840828.112113197 27.173434, -4697.652996019577 6840827.949913976 27.364157, -4697.937267368601 6840827.8182474105 27.518729, -4698.156502116646 6840827.71670291 27.59657, -4698.302140591841 6840827.649246693 27.659506, -4698.637872788706 6840827.493745191 27.912449, -4698.997819704702 6840827.32702687 28.054619, -4699.240193437727 6840827.2147652935 28.228788, -4699.485358640028 6840827.101211082 28.357144, -4699.843445903156 6840826.935354704 28.555548, -4700.1794782929355 6840826.77971385 28.753498, -4700.426668376429 6840826.665221618 28.874256, -4700.713877108821 6840826.532193644 29.130592, -4700.872191070463 6840826.45886636 29.236176, -4701.248985975923 6840826.284344974 29.530073, -4701.459852568223 6840826.186677253 29.742683, -4701.6482750250725 6840826.099405031 29.872747, -4702.0453566457145 6840825.915486756 30.158983, -4702.342033847643 6840825.778073692 30.505866, -4702.6944097511005 6840825.614862758 30.729397, -4702.772331326327 6840825.577132885 30.783786, -4703.129219489987 6840825.404329309 31.088436, -4703.473334364768 6840825.237710793 31.3108, -4703.825413174753 6840825.0672351625 31.705117, -4704.175038000976 6840824.897948699 32.02621, -4704.450626676087 6840824.764510188 32.305171, -4704.749346316385 6840824.619870999 32.572456, -4704.981022340478 6840824.507695148 32.783955, -4705.295621536381 6840824.355367074 32.974161, -4705.587904876564 6840824.2138445405 33.247764, -4705.915415706404 6840824.009008276 33.511674, -4706.2007111584535 6840823.802197569 33.68997, -4706.478667952761 6840823.600707056 33.893771, -4706.803889215284 6840823.371176491 34.074268, -4707.145059140341 6840823.162259521 34.277157, -4707.412051259365 6840823.076397962 34.417928, -4707.786341413041 6840822.956030873 34.697007, -4708.115823329368 6840822.850072494 34.872599, -4708.494406120095 6840822.731185205 34.956011, -4708.861541146121 6840822.618469918 35.313248, -4709.1801145907375 6840822.520663022 35.557284, -4709.461499857483 6840822.3396112425 35.684384, -4709.739278891997 6840822.160879681 35.931639, -4710.036882257031 6840821.969392545 36.162378, -4710.319762702507 6840821.78737967 36.384915, -4710.5404891415965 6840821.664825862 36.510533, -4710.859936372959 6840821.499425495 36.792999, -4711.1708498047665 6840821.33844311 37.008337, -4711.450339244737 6840821.193730935 37.186092, -4711.688414656615 6840821.065393538 37.390111, -4711.863490535296 6840820.96793045 37.53552, -4712.136995803099 6840820.815673647 37.720786, -4712.229894479271 6840820.763958335 37.802354, -4712.544561039773 6840820.588788152 37.924896, -4712.877620519197 6840820.465373036 38.17459, -4713.143024581019 6840820.38403751 38.370118, -4713.519510831742 6840820.268660044 38.62224, -4713.728479688405 6840820.204619551 38.801041, -4714.078683454602 6840820.091518303 38.988583, -4714.289783031156 6840820.012495317 39.158942, -4714.628314161324 6840819.885769146 39.39618, -4714.938889329031 6840819.786505685 39.632418, -4715.256587120239 6840819.715326045 39.827097, -4715.404295001063 6840819.682232793 39.920074, -4715.672022519342 6840819.622249009 40.090524, -4716.036196481844 6840819.540657555 40.339509, -4716.072459014889 6840819.664324978 40.318665, -4716.19620378071 6840820.086337468 40.204453, -4716.257599242497 6840820.295712393 40.216268, -4716.352727199381 6840820.620132382 40.321836, -4716.46299102559 6840820.996167542 40.313776, -4716.559144932602 6840821.324083721 40.271632, -4716.623650246649 6840821.54406747 40.231598, -4716.721910738968 6840821.879169543 40.217225, -4716.787740876549 6840822.103671393 40.211408))</t>
  </si>
  <si>
    <t>['FV57 S17D1 m7817-7818']</t>
  </si>
  <si>
    <t>LINESTRING Z (-4841.833645503502 6840964.846243465 34.938, -4842.069775654818 6840964.856104787 34.939787, -4842.389361266338 6840964.948080644 34.942, -4842.4530623325845 6840965.335479528 34.815, -4842.456135466928 6840966.066648997 34.625, -4842.369129377068 6840966.58999864 34.588, -4842.045747477561 6840966.569863312 34.598, -4841.807667742833 6840966.313955162 34.699, -4841.8240209211945 6840965.54712776 34.747, -4841.801048828696 6840965.151537724 34.849, -4841.833645503502 6840964.846243465 34.938)</t>
  </si>
  <si>
    <t>POLYGON Z ((-4841.833645503502 6840964.846243465 34.938, -4842.069775654818 6840964.856104787 34.939787, -4842.389361266338 6840964.948080644 34.942, -4842.4530623325845 6840965.335479528 34.815, -4842.456135466928 6840966.066648997 34.625, -4842.369129377068 6840966.58999864 34.588, -4842.045747477561 6840966.569863312 34.598, -4841.807667742833 6840966.313955162 34.699, -4841.8240209211945 6840965.54712776 34.747, -4841.801048828696 6840965.151537724 34.849, -4841.833645503502 6840964.846243465 34.938))</t>
  </si>
  <si>
    <t>['FV57 S17D1 m7029-7032']</t>
  </si>
  <si>
    <t>LINESTRING Z (-5579.891342269722 6840948.78596596 12.153691, -5579.831336251169 6840949.158332538 11.966315999999999, -5579.787762250111 6840949.428729105 11.816299, -5579.723899385077 6840949.825028319 11.557773, -5579.695400251774 6840950.001880344 11.471533, -5579.656574618013 6840950.242812836 11.349766, -5579.600844224333 6840950.588650911 11.194876, -5579.544449970883 6840950.938601526 10.987699, -5579.483680404432 6840951.300800084 10.800995, -5579.390805833391 6840951.6760231275 10.646788, -5579.3164727771655 6840951.976335099 10.500432, -5579.22666388005 6840952.339173576 10.350974, -5579.14668249886 6840952.6623047255 10.247488, -5579.048044307623 6840953.060814461 10.143436, -5578.9595764486585 6840953.366554169 10.003686, -5578.7373704169295 6840953.345598394 9.876644, -5578.3859504544525 6840953.3124557175 9.629101, -5578.070548480668 6840953.282711281 9.380291, -5577.680535242485 6840953.245928913 9.256507, -5577.3330986336805 6840953.140623878 9.2746, -5577.108613058168 6840953.072583935 9.376984, -5576.815738182107 6840952.983815548 9.655664999999999, -5576.543194831931 6840952.901209796 9.852525, -5576.311858277419 6840952.675841543 10.099802, -5576.395416576066 6840952.370386102 10.268403, -5576.511887682369 6840951.94461089 10.393306, -5576.568090944842 6840951.7391562 10.47425, -5576.663882316963 6840951.388980335 10.623534, -5576.767384373292 6840951.010617725 10.79985, -5576.8105219227145 6840950.852923251 10.888513, -5576.8923861365765 6840950.553660734 11.028873, -5576.975262709253 6840950.291624505 11.163227, -5577.127152878966 6840949.938923281 11.378957, -5577.282252926612 6840949.578769038 11.56732, -5577.390438011847 6840949.327554774 11.738221, -5577.499902871321 6840949.07336842 11.877510000000001, -5577.647781540931 6840948.729982831 12.210533, -5577.799119259638 6840948.378565628 12.406477, -5578.152085843962 6840948.37727707 12.439807, -5578.397560150479 6840948.434957943 12.439843, -5578.702251053182 6840948.506554182 12.42335, -5579.03570437053 6840948.584908857 12.347874, -5579.358707399399 6840948.660808315 12.278846, -5579.703935554193 6840948.741929319 12.177887, -5579.891342269722 6840948.78596596 12.153691)</t>
  </si>
  <si>
    <t>POLYGON Z ((-5579.891342269722 6840948.78596596 12.153691, -5579.831336251169 6840949.158332538 11.966315999999999, -5579.787762250111 6840949.428729105 11.816299, -5579.723899385077 6840949.825028319 11.557773, -5579.695400251774 6840950.001880344 11.471533, -5579.656574618013 6840950.242812836 11.349766, -5579.600844224333 6840950.588650911 11.194876, -5579.544449970883 6840950.938601526 10.987699, -5579.483680404432 6840951.300800084 10.800995, -5579.390805833391 6840951.6760231275 10.646788, -5579.3164727771655 6840951.976335099 10.500432, -5579.22666388005 6840952.339173576 10.350974, -5579.14668249886 6840952.6623047255 10.247488, -5579.048044307623 6840953.060814461 10.143436, -5578.9595764486585 6840953.366554169 10.003686, -5578.7373704169295 6840953.345598394 9.876644, -5578.3859504544525 6840953.3124557175 9.629101, -5578.070548480668 6840953.282711281 9.380291, -5577.680535242485 6840953.245928913 9.256507, -5577.3330986336805 6840953.140623878 9.2746, -5577.108613058168 6840953.072583935 9.376984, -5576.815738182107 6840952.983815548 9.655664999999999, -5576.543194831931 6840952.901209796 9.852525, -5576.311858277419 6840952.675841543 10.099802, -5576.395416576066 6840952.370386102 10.268403, -5576.511887682369 6840951.94461089 10.393306, -5576.568090944842 6840951.7391562 10.47425, -5576.663882316963 6840951.388980335 10.623534, -5576.767384373292 6840951.010617725 10.79985, -5576.8105219227145 6840950.852923251 10.888513, -5576.8923861365765 6840950.553660734 11.028873, -5576.975262709253 6840950.291624505 11.163227, -5577.127152878966 6840949.938923281 11.378957, -5577.282252926612 6840949.578769038 11.56732, -5577.390438011847 6840949.327554774 11.738221, -5577.499902871321 6840949.07336842 11.877510000000001, -5577.647781540931 6840948.729982831 12.210533, -5577.799119259638 6840948.378565628 12.406477, -5578.152085843962 6840948.37727707 12.439807, -5578.397560150479 6840948.434957943 12.439843, -5578.702251053182 6840948.506554182 12.42335, -5579.03570437053 6840948.584908857 12.347874, -5579.358707399399 6840948.660808315 12.278846, -5579.703935554193 6840948.741929319 12.177887, -5579.891342269722 6840948.78596596 12.153691))</t>
  </si>
  <si>
    <t>['EV134 S24D1 m738-747']</t>
  </si>
  <si>
    <t>LINESTRING Z (99465.64947516128 6629472.950953986 579.313, 99470.61308795365 6629464.426838073 579.094)</t>
  </si>
  <si>
    <t>POLYGON ((99471.04517115834 6629464.678441142, 99470.18100474896 6629464.175235004, 99465.21739195658 6629472.699350917, 99466.08155836597 6629473.202557054, 99471.04517115834 6629464.678441142))</t>
  </si>
  <si>
    <t>2025-11-22T09:22:23Z</t>
  </si>
  <si>
    <t>[3284]</t>
  </si>
  <si>
    <t>['FV3284 S1D1 m4646-4669']</t>
  </si>
  <si>
    <t>LINESTRING Z (189855.9622177109 6579364.1984952465 6.49, 189856.3242173089 6579364.811230499 6.66, 189857.57790581166 6579366.976989117 6.65, 189858.36910337582 6579368.407781319 6.63, 189859.9539032667 6579371.419796517 6.59, 189861.30051422253 6579373.859042231 6.6000000000000005, 189862.29832924757 6579375.845132029 6.44, 189863.4928589558 6579378.266834975 6.72, 189864.65628759988 6579381.283588471 6.79, 189864.88938333595 6579382.037535054 6.84, 189865.5735326421 6579384.601886937 7.0200000000000005, 189866.00697261962 6579386.684883252 7.15, 189866.41379242874 6579388.810250079 7.49, 189867.01098284282 6579392.265491844 7.16, 189867.0324128208 6579393.980898588 7.2, 189867.0611280299 6579396.027088138 7.16, 189866.9089498091 6579397.586145552 7.1000000000000005, 189866.43340901792 6579403.490012905 7.11, 189865.97520502866 6579405.355566793 7.0200000000000005, 189864.95104635763 6579407.177570313 6.93, 189863.89585765725 6579409.474114739 6.82, 189862.36893259053 6579412.62309207 6.5200000000000005, 189861.5517461578 6579414.39784469 6.44, 189861.31600691075 6579415.311086888 6.4, 189860.79458898003 6579417.262207183 6.3100000000000005, 189860.1034762162 6579419.468375903 6.28, 189859.39413744822 6579421.5756328 6.5, 189858.71877509053 6579423.850792289 6.21, 189858.71045184927 6579423.871564939 6.21, 189857.93721563782 6579425.813395015 6.75, 189856.85307313007 6579427.88136967 6.67, 189855.23817732587 6579430.816702444 6.5600000000000005, 189853.86871080467 6579433.320006704 6.54, 189853.86038756435 6579433.340779354 6.54, 189852.41106051247 6579435.971195273 6.3, 189851.37190615223 6579437.854691944 6.07, 189851.35662655678 6579438.398223599 6.18, 189851.29084036796 6579440.030469044 5.87, 189851.16617896978 6579441.436620135 6.18, 189850.80483696586 6579442.530968783 6.16, 189850.30770566297 6579444.16877821 6.0600000000000005, 189849.9947944212 6579444.87752407 6.0600000000000005, 189849.00748820353 6579447.630383954 6.12, 189849.04653239704 6579449.073199857 6.33, 189848.6458373136 6579450.662862142 6.45, 189848.31667956169 6579452.146185466 6.33, 189847.81377172138 6579453.714179001 6.13, 189847.82221138262 6579454.908477438 6.21, 189848.6038615423 6579455.617036019 6.41, 189848.91045436764 6579454.346461513 6.3100000000000005, 189848.91795236943 6579454.315715153 6.32, 189849.3685868322 6579452.601416944 6.23, 189849.98231424566 6579450.5522806095 6.18, 189850.56913795823 6579449.027553773 6.4, 189850.97202521196 6579447.949851582 6.54, 189851.46922735334 6579446.191532417 6.74, 189851.74844573333 6579444.83284505 6.68, 189852.01273901045 6579443.415140678 6.33, 189852.0948171718 6579442.343898607 6.3100000000000005, 189852.24329406576 6579440.011914019 6.3100000000000005, 189852.24937979685 6579438.143600525 6.2, 189854.4266712616 6579434.237871457 6.76, 189856.07981136307 6579431.279290269 6.640000000000001, 189857.21794853132 6579429.257057947 6.71, 189858.84694422106 6579426.370768543 6.8, 189859.78464023443 6579424.596086717 6.57, 189860.57775295805 6579422.773115936 6.23, 189861.51766677364 6579420.054303774 6.13, 189862.0972055255 6579418.198794393 6.09, 189862.10470353492 6579418.168048037 6.09, 189862.8124627949 6579415.920334063 6.04, 189865.0043703728 6579414.011751957 5.99, 189866.35063391423 6579412.805784386 6.07, 189866.88174191222 6579411.335877844 6.21, 189867.20724454324 6579410.415208603 6.29, 189867.76002136676 6579408.843089313 6.45, 189867.76834460977 6579408.822316666 6.45, 189868.01082759473 6579407.747844747 6.45, 189868.01832560624 6579407.717098393 6.46, 189868.42425624892 6579405.705239846 6.92, 189868.98908286198 6579403.429184459 7.04, 189868.99740610603 6579403.408411813 7.04, 189869.2981518429 6579402.188531391 7.11, 189869.70519152423 6579399.704607717 7.24, 189869.82544346817 6579398.730627201 7.29, 189870.04503286298 6579397.015362362 7.38, 189870.17870132823 6579395.839432013 7.44, 189870.27825159166 6579394.736618544 7.5600000000000005, 189870.3936940615 6579393.461776355 7.62, 189870.41338374862 6579392.48607445 7.69, 189870.02210139344 6579390.791227578 7.6000000000000005, 189869.78412517294 6579389.856929077 7.69, 189869.4823224466 6579388.636693984 7.76, 189869.13237259822 6579387.320022732 7.7700000000000005, 189868.73337945587 6579386.017451337 7.65, 189868.32599213248 6579384.856162294 7.5, 189867.81068638962 6579383.482878748 7.08, 189867.38974066835 6579382.764558971 7.05, 189866.68651401188 6579381.547411914 7.09, 189866.26997824444 6579380.396921777 7.08, 189866.1726011295 6579379.220024281 6.88, 189865.59655701002 6579377.962228082 6.87, 189865.56003404985 6579377.8849141095 6.88, 189864.49914680788 6579375.743371203 7.25, 189863.18823357875 6579373.371465835 7.24, 189862.7009147738 6579372.457797986 7.25, 189861.72538098943 6579370.740998286 7.25, 189861.08654856804 6579368.84570992 7.28, 189860.28910399432 6579366.732579457 7.51, 189859.38503668248 6579365.029950495 7.58, 189857.60425021325 6579363.168895878 7.03, 189855.9622177109 6579364.1984952465 6.49)</t>
  </si>
  <si>
    <t>POLYGON Z ((189855.9622177109 6579364.1984952465 6.49, 189856.3242173089 6579364.811230499 6.66, 189857.57790581166 6579366.976989117 6.65, 189858.36910337582 6579368.407781319 6.63, 189859.9539032667 6579371.419796517 6.59, 189861.30051422253 6579373.859042231 6.6000000000000005, 189862.29832924757 6579375.845132029 6.44, 189863.4928589558 6579378.266834975 6.72, 189864.65628759988 6579381.283588471 6.79, 189864.88938333595 6579382.037535054 6.84, 189865.5735326421 6579384.601886937 7.0200000000000005, 189866.00697261962 6579386.684883252 7.15, 189866.41379242874 6579388.810250079 7.49, 189867.01098284282 6579392.265491844 7.16, 189867.0324128208 6579393.980898588 7.2, 189867.0611280299 6579396.027088138 7.16, 189866.9089498091 6579397.586145552 7.1000000000000005, 189866.43340901792 6579403.490012905 7.11, 189865.97520502866 6579405.355566793 7.0200000000000005, 189864.95104635763 6579407.177570313 6.93, 189863.89585765725 6579409.474114739 6.82, 189862.36893259053 6579412.62309207 6.5200000000000005, 189861.5517461578 6579414.39784469 6.44, 189861.31600691075 6579415.311086888 6.4, 189860.79458898003 6579417.262207183 6.3100000000000005, 189860.1034762162 6579419.468375903 6.28, 189859.39413744822 6579421.5756328 6.5, 189858.71877509053 6579423.850792289 6.21, 189858.71045184927 6579423.871564939 6.21, 189857.93721563782 6579425.813395015 6.75, 189856.85307313007 6579427.88136967 6.67, 189855.23817732587 6579430.816702444 6.5600000000000005, 189853.86871080467 6579433.320006704 6.54, 189853.86038756435 6579433.340779354 6.54, 189852.41106051247 6579435.971195273 6.3, 189851.37190615223 6579437.854691944 6.07, 189851.35662655678 6579438.398223599 6.18, 189851.29084036796 6579440.030469044 5.87, 189851.16617896978 6579441.436620135 6.18, 189850.80483696586 6579442.530968783 6.16, 189850.30770566297 6579444.16877821 6.0600000000000005, 189849.9947944212 6579444.87752407 6.0600000000000005, 189849.00748820353 6579447.630383954 6.12, 189849.04653239704 6579449.073199857 6.33, 189848.6458373136 6579450.662862142 6.45, 189848.31667956169 6579452.146185466 6.33, 189847.81377172138 6579453.714179001 6.13, 189847.82221138262 6579454.908477438 6.21, 189848.6038615423 6579455.617036019 6.41, 189848.91045436764 6579454.346461513 6.3100000000000005, 189848.91795236943 6579454.315715153 6.32, 189849.3685868322 6579452.601416944 6.23, 189849.98231424566 6579450.5522806095 6.18, 189850.56913795823 6579449.027553773 6.4, 189850.97202521196 6579447.949851582 6.54, 189851.46922735334 6579446.191532417 6.74, 189851.74844573333 6579444.83284505 6.68, 189852.01273901045 6579443.415140678 6.33, 189852.0948171718 6579442.343898607 6.3100000000000005, 189852.24329406576 6579440.011914019 6.3100000000000005, 189852.24937979685 6579438.143600525 6.2, 189854.4266712616 6579434.237871457 6.76, 189856.07981136307 6579431.279290269 6.640000000000001, 189857.21794853132 6579429.257057947 6.71, 189858.84694422106 6579426.370768543 6.8, 189859.78464023443 6579424.596086717 6.57, 189860.57775295805 6579422.773115936 6.23, 189861.51766677364 6579420.054303774 6.13, 189862.0972055255 6579418.198794393 6.09, 189862.10470353492 6579418.168048037 6.09, 189862.8124627949 6579415.920334063 6.04, 189865.0043703728 6579414.011751957 5.99, 189866.35063391423 6579412.805784386 6.07, 189866.88174191222 6579411.335877844 6.21, 189867.20724454324 6579410.415208603 6.29, 189867.76002136676 6579408.843089313 6.45, 189867.76834460977 6579408.822316666 6.45, 189868.01082759473 6579407.747844747 6.45, 189868.01832560624 6579407.717098393 6.46, 189868.42425624892 6579405.705239846 6.92, 189868.98908286198 6579403.429184459 7.04, 189868.99740610603 6579403.408411813 7.04, 189869.2981518429 6579402.188531391 7.11, 189869.70519152423 6579399.704607717 7.24, 189869.82544346817 6579398.730627201 7.29, 189870.04503286298 6579397.015362362 7.38, 189870.17870132823 6579395.839432013 7.44, 189870.27825159166 6579394.736618544 7.5600000000000005, 189870.3936940615 6579393.461776355 7.62, 189870.41338374862 6579392.48607445 7.69, 189870.02210139344 6579390.791227578 7.6000000000000005, 189869.78412517294 6579389.856929077 7.69, 189869.4823224466 6579388.636693984 7.76, 189869.13237259822 6579387.320022732 7.7700000000000005, 189868.73337945587 6579386.017451337 7.65, 189868.32599213248 6579384.856162294 7.5, 189867.81068638962 6579383.482878748 7.08, 189867.38974066835 6579382.764558971 7.05, 189866.68651401188 6579381.547411914 7.09, 189866.26997824444 6579380.396921777 7.08, 189866.1726011295 6579379.220024281 6.88, 189865.59655701002 6579377.962228082 6.87, 189865.56003404985 6579377.8849141095 6.88, 189864.49914680788 6579375.743371203 7.25, 189863.18823357875 6579373.371465835 7.24, 189862.7009147738 6579372.457797986 7.25, 189861.72538098943 6579370.740998286 7.25, 189861.08654856804 6579368.84570992 7.28, 189860.28910399432 6579366.732579457 7.51, 189859.38503668248 6579365.029950495 7.58, 189857.60425021325 6579363.168895878 7.03, 189855.9622177109 6579364.1984952465 6.49))</t>
  </si>
  <si>
    <t>[42900]</t>
  </si>
  <si>
    <t>['KV42900 S1D1 m2506-2529']</t>
  </si>
  <si>
    <t>LINESTRING Z (189071.34412333427 6581786.009109612 15.56, 189071.6135521218 6581785.745802379 15.540000000000001, 189071.6967125485 6581785.658583578 15.52, 189071.72498297022 6581785.636159816 15.52, 189071.85553590627 6581785.514892659 15.52, 189072.04097884754 6581785.328830473 15.5, 189072.096694272 6581785.274009193 15.5, 189072.18068011798 6581785.196764151 15.46, 189072.57151350705 6581784.822988939 15.31, 189072.77525311668 6581784.615328408 15.39, 189072.79437520407 6581784.603703817 15.39, 189072.8126718725 6581784.5821054755 15.38, 189073.05465565715 6581784.351195761 15.24, 189073.12536607374 6581784.234881123 15.19, 189073.2060502437 6581784.117741068 15.17, 189073.32167691295 6581783.937456816 15.17, 189073.50966483686 6581783.660805435 15.09, 189073.5886981694 6581783.523717873 15.030000000000001, 189073.82077692752 6581783.173123128 14.85, 189073.86569317972 6581783.109153513 14.8, 189073.92058318545 6581783.044358482 14.73, 189073.9480281882 6581783.011960966 14.700000000000001, 189074.1684136293 6581782.76275459 14.450000000000001, 189074.3064640622 6581782.610740763 14.280000000000001, 189074.32476073073 6581782.589142421 14.27, 189074.5177011693 6581782.372333561 14.16, 189074.6740482708 6581782.198721392 14.26, 189074.72976369533 6581782.143900113 14.33, 189074.8303953723 6581782.02510922 14.370000000000001, 189074.96762038663 6581781.863121644 14.450000000000001, 189075.02333581098 6581781.808300367 14.49, 189075.0690774825 6581781.754304508 14.52, 189075.24069448997 6581781.037157158 14.66, 189075.24901740585 6581781.016384236 14.66, 189075.29400238732 6581780.831904171 14.66, 189075.30817196233 6581780.760437059 14.67, 189075.45812190248 6581780.145503501 14.73, 189075.44656604144 6581780.0058709625 14.75, 189075.4432643667 6581779.965975948 14.76, 189075.43748643628 6581779.896159675 14.75, 189075.41602555203 6581779.636842098 14.73, 189075.40199343552 6581779.467288295 14.73, 189075.3896121565 6581779.317682 14.76, 189075.36980211036 6581779.078311925 14.8, 189075.3665004361 6581779.038416913 14.8, 189075.36822000355 6581778.937853965 14.83, 189075.3692516134 6581778.586296349 14.9, 189075.3786748711 6581778.093455358 14.870000000000001, 189075.37956902094 6581777.9829186555 14.89, 189075.37791818375 6581777.96297115 14.89, 189075.3837648444 6581777.912276966 14.950000000000001, 189075.38053190196 6581777.7518715 15.1, 189075.38307688857 6581777.661282302 15.11, 189075.35817687167 6581777.603090621 15.120000000000001, 189075.30920225632 6581777.496681009 15.16, 189075.2104276074 6581777.273888038 15.32, 189075.17390300083 6581777.196574269 15.35, 189075.1622784107 6581777.1774521815 15.370000000000001, 189074.99045454903 6581776.800031668 15.59, 189074.8310806963 6581776.451706996 15.82, 189074.74558147532 6581776.267983614 15.94, 189074.66496603214 6581776.264613208 15.97, 189074.2702117305 6581776.226988251 16.04, 189074.15967502724 6581776.2260941 16.07, 189073.52307439205 6581776.178357926 16.16, 189073.4923277141 6581776.170860429 16.17, 189073.34354683396 6581776.193215456 16.23, 189073.3235993274 6581776.194866293 16.23, 189073.2737305613 6581776.198993384 16.23, 189072.81576332962 6581776.246936383 16.15, 189072.78584206977 6581776.249412636 16.15, 189072.7259995502 6581776.25436515 16.13, 189072.3079273299 6581776.299006472 15.89, 189072.17909395514 6581776.319710666 15.860000000000001, 189071.67125795293 6581776.371780758 15.81, 189071.46263455052 6581776.399088298 15.72, 189071.26315948274 6581776.415596666 15.72, 189071.08445733995 6581776.440427951 15.71, 189070.38058540324 6581776.307880502 15.71, 189070.33903955272 6581776.291234671 15.700000000000001, 189070.30911829247 6581776.293710929 15.69, 189069.99250316876 6581776.229535114 15.530000000000001, 189069.880315625 6581776.208693456 15.530000000000001, 189069.62938968354 6581776.08887095 15.540000000000001, 189069.5978175861 6581776.071399696 15.530000000000001, 189069.54547256342 6581776.04560553 15.52, 189069.49395295884 6581776.0297851125 15.51, 189069.41003583866 6581775.986519691 15.5, 189069.10676487326 6581775.840903013 15.42, 189068.92895687895 6581775.755197592 15.450000000000001, 189068.42710499238 6581775.515552572 15.48, 189068.1562315412 6581775.3973809 15.52, 189068.01996939693 6581775.328321306 15.5, 189067.98839729937 6581775.310850052 15.5, 189067.6535542339 6581775.147762123 15.44, 189067.4242266327 6581775.046236279 15.46, 189067.38268078148 6581775.0295904465 15.46, 189067.28796448815 6581774.97717669 15.44, 189067.2671915625 6581774.968853772 15.44, 189066.95229600288 6581774.804114998 15.44, 189066.87835263513 6581774.760024158 15.43, 189066.82600761158 6581774.734229991 15.44, 189066.6988938019 6581774.654371226 15.450000000000001, 189066.67812087602 6581774.6460483065 15.450000000000001, 189066.6465487784 6581774.628577055 15.450000000000001, 189066.3632253157 6581774.481309535 15.44, 189065.85724633 6581774.191795737 15.36, 189065.8157004782 6581774.175149902 15.35, 189065.77332920826 6581774.148530314 15.35, 189065.75255628227 6581774.140207398 15.35, 189065.71101043036 6581774.123561563 15.35, 189065.09036764113 6581773.78328484 15.450000000000001, 189064.9640792485 6581773.713399826 15.450000000000001, 189064.55364197213 6581773.486273534 15.450000000000001, 189064.45892567752 6581773.433859775 15.47, 189064.24872016185 6581773.3207093375 15.52, 189064.163977621 6581773.2674701605 15.540000000000001, 189063.99614337558 6581773.180939312 15.58, 189063.84825663787 6581773.092757626 15.620000000000001, 189063.81668453978 6581773.0752863735 15.63, 189063.81668453978 6581773.0752863735 15.66, 189063.7834616049 6581773.037867612 15.65, 189063.5650019067 6581772.824979634 15.81, 189063.24934965908 6581772.529756631 15.98, 189063.14053251903 6581772.428299519 16.04, 189063.06493831356 6581772.364261166 16.07, 189062.91209906683 6581772.216236957 16.240000000000002, 189062.79165733635 6581772.095657751 16.35, 189062.77005899197 6581772.077361081 16.35, 189062.69363936858 6581772.0033489745 16.4, 189062.48680426058 6581771.809583084 16.56, 189062.17115201248 6581771.514360077 16.56, 189062.1271299054 6581771.467792976 16.59, 189062.0947323891 6581771.4403479695 16.580000000000002, 189062.03991110978 6581771.384632534 16.6, 189061.78905389493 6581771.1442995425 16.66, 189061.5606204425 6581770.932236978 16.73, 189061.41940578556 6581770.803334852 16.76, 189061.37620909675 6581770.766741508 16.77, 189061.0895839549 6581770.579578956 16.8, 189061.00401599507 6581770.516366022 16.81, 189060.90929969907 6581770.463952255 16.830000000000002, 189060.79215964035 6581770.383268068 16.86, 189060.44073946425 6581770.141215496 16.93, 189060.2920273068 6581770.043060051 16.96, 189060.2288831093 6581770.0081175435 16.97, 189060.16491349356 6581769.963201279 16.990000000000002, 189059.88826210448 6581769.775213304 17.07, 189059.67640574888 6581769.64211535 17.13, 189059.46372397483 6581769.499043637 17.16, 189059.40972811345 6581769.453301956 17.17, 189059.388955187 6581769.444979041 17.17, 189059.28013804607 6581769.34352192 17.2, 189059.2261421847 6581769.297780238 17.22, 189059.19291924994 6581769.260361477 17.23, 189058.71527941502 6581768.827913404 17.43, 189058.66128355358 6581768.782171724 17.45, 189058.59566310194 6581768.717307951 17.48, 189058.0416036427 6581768.210847767 17.67, 189058.00920612557 6581768.183402756 17.68, 189057.92198732932 6581768.100242309 17.73, 189057.59636132407 6581767.805844703 17.86, 189057.56313838944 6581767.76842594 17.87, 189057.46512042062 6581767.676117154 17.91, 189057.42109831353 6581767.629550052 17.98, 189057.31228117232 6581767.528092929 18.02, 189057.1810402688 6581767.39836538 18.04, 189056.94015680638 6581767.157206953 18.13, 189056.89613469923 6581767.110639851 18.11, 189056.76489379577 6581766.980912302 18.17, 189056.52483575122 6581766.749727626 18.26, 189056.52401033347 6581766.739753874 18.240000000000002, 189056.3711710851 6581766.591729647 18.3, 189056.31634980586 6581766.536014209 18.31, 189056.28312687093 6581766.498595443 18.330000000000002, 189056.20670724695 6581766.424583331 18.36, 189055.87860498816 6581766.100264451 18.48, 189055.7589886746 6581765.98965899 18.54, 189055.5289043844 6581765.7576488955 18.56, 189055.5172797945 6581765.7385268025 18.57, 189055.4956814499 6581765.720230129 18.57, 189055.47490852268 6581765.711907208 18.580000000000002, 189055.46328393277 6581765.692785118 18.580000000000002, 189054.74964439636 6581765.199531592 18.69, 189054.67570102512 6581765.155440744 18.69, 189054.64330350794 6581765.127995732 18.68, 189054.49376592983 6581765.019866521 18.66, 189054.3766258689 6581764.939182323 18.66, 189054.2279137083 6581764.841026865 18.68, 189053.94046314177 6581764.643890539 18.77, 189053.87649352476 6581764.598974268 18.77, 189053.74690345587 6581764.489194222 18.77, 189053.62728714175 6581764.3785887575 18.78, 189053.2833644597 6581764.105789475 18.85, 189053.21856942534 6581764.0508994525 18.87, 189053.13217604568 6581763.977712751 18.81, 189052.97018845956 6581763.840487694 18.72, 189052.72263291123 6581763.640049691 18.59, 189052.71183373866 6581763.6309013525 18.56, 189052.66946246644 6581763.604281756 18.56, 189052.59304284194 6581763.53026964 18.51, 189052.4102823279 6581763.38472166 18.37, 189052.37788481085 6581763.357276651 18.37, 189052.1843251242 6581763.20258033 18.35, 189052.15192760684 6581763.175135318 18.330000000000002, 189052.1087309172 6581763.138541969 18.330000000000002, 189052.02233753732 6581763.065355266 18.35, 189051.95754250273 6581763.010465243 18.35, 189051.39763636974 6581762.554699204 18.21, 189051.34364050755 6581762.5089575155 18.23, 189051.220722523 6581762.358457026 18.29, 189051.18749958818 6581762.321038259 18.35, 189051.12022830104 6581762.236226968 18.39, 189050.99813573417 6581762.095700237 18.35, 189050.93086444715 6581762.010888943 18.3, 189050.86359315988 6581761.926077652 18.21, 189050.697478486 6581761.738983814 18.01, 189050.55213673948 6581761.5602128925 17.77, 189050.52888755983 6581761.52196871 17.740000000000002, 189050.45081710035 6581761.428009078 17.68, 189050.39599582064 6581761.372293635 17.63, 189050.30630077142 6581761.259211914 17.6, 189050.0845394004 6581761.00642887 17.63, 189049.98321976163 6581760.874225058 17.66, 189049.97242058913 6581760.865076719 17.68, 189049.8935247126 6581760.761143334 17.78, 189049.86112719512 6581760.7336983215 17.78, 189049.84950260527 6581760.714576224 17.79, 189049.6493395797 6581760.480089859 17.77, 189049.448351137 6581760.235629737 17.740000000000002, 189049.38610110153 6581760.090150495 17.72, 189049.3728256775 6581760.051080895 17.73, 189049.34957649774 6581760.012836707 17.78, 189049.19935099676 6581759.653712774 17.98, 189049.1628263932 6581759.5763989845 18, 189049.13627554494 6581759.498259776 18.05, 189049.11302636535 6581759.460015589 18.1, 189048.91382625542 6581758.994482014 18.14, 189048.9121754212 6581758.974534505 18.14, 189048.89972541423 6581758.945438658 18.14, 189048.86320081097 6581758.868124866 18.150000000000002, 189048.85157622118 6581758.849002771 18.16, 189048.7885007701 6581758.693549774 18.16, 189048.65155069594 6581758.37349544 18.16, 189048.6382752721 6581758.334425839 18.23, 189048.62417443102 6581758.2853824785 18.3, 189048.6208727624 6581758.245487458 18.31, 189048.60594650428 6581758.186470342 18.34, 189048.45427642326 6581757.445867455 18.63, 189048.39959264494 6581757.149131047 18.96, 189048.31835802062 6581756.77425543 19, 189048.28685467155 6581756.636273691 19.01, 189048.26945216308 6581756.54733531 19.11, 189048.25039882044 6581756.438449418 19.18, 189048.23547256336 6581756.379432307 19.23, 189048.1849158724 6581756.132564675 19.34, 189047.96246659465 6581755.628786906 19.64, 189047.9010419806 6581755.493281415 19.67, 189047.85289279005 6581755.396845529 19.71, 189047.72839272878 6581755.105887038 19.85, 189047.7051435503 6581755.06764285 19.85, 189047.6196443421 6581754.883919419 19.87, 189047.51921887696 6581754.641178871 19.86, 189047.494318865 6581754.582987172 19.89, 189047.42126966285 6581754.428359587 19.94, 189047.38391964493 6581754.341072037 19.91, 189047.31004502642 6581754.176470698 19.96, 189046.98435027245 6581754.002583512 19.990000000000002, 189046.9635773449 6581753.994260589 19.990000000000002, 189046.8057168455 6581753.9069042895 20.22, 189046.64868176286 6581753.829521744 20.3, 189046.3969303802 6581753.6997254165 20.43, 189046.3030394971 6581753.6572853895 20.47, 189046.20832319726 6581753.604871609 20.42, 189046.08203479706 6581753.534986567 20.45, 189046.02968976938 6581753.509192384 20.45, 189045.99811766937 6581753.4917211225 20.45, 189045.86845884816 6581753.502451542 20.41, 189045.46950862813 6581753.535468215 20.16, 189044.96084709588 6581753.5775644705 20.580000000000002, 189044.89103080687 6581753.583342388 20.61, 189044.62160189927 6581753.846649611 20.63, 189044.6124535607 6581753.857448781 20.650000000000002, 189044.602479805 6581753.858274199 20.68, 189044.49104890652 6581753.967916758 20.79, 189044.41703677963 6581754.044336382 20.79, 189044.37046966917 6581754.088358489 20.78, 189044.32472797536 6581754.14235435 20.77, 189044.0178802961 6581754.438884509 20.79, 189043.96133942984 6581754.483732033 20.82, 189043.8598822868 6581754.592549174 20.85, 189043.68854010187 6581754.827654719 20.82, 189043.61617880908 6581754.924021859 20.71, 189043.58955920977 6581754.96639313 20.69, 189043.50804957817 6581755.073559438 20.7, 189043.40074576455 6581755.233070778 20.69, 189043.34668114927 6581755.307839567 20.61, 189043.2477002574 6581755.446577978 20.64, 189043.04891305702 6581755.714081046 20.68, 189042.9407838267 6581755.863618629 20.71, 189042.86009961256 6581755.980758694 20.68, 189042.81428916752 6581756.155265043 20.650000000000002, 189042.77515081054 6581756.289050952 20.62, 189042.768478723 6581756.329771393 20.59, 189042.7151707739 6581756.535024426 20.52, 189042.6918528434 6581756.617290723 20.490000000000002, 189042.68435533886 6581756.648037407 20.490000000000002, 189042.66186282528 6581756.740277461 20.44, 189042.54774942453 6581757.181530213 20.400000000000002, 189042.5152831555 6581757.274595679 20.35, 189042.50943648547 6581757.325289875 20.34, 189042.43198519072 6581757.602835453 20.21, 189042.41533934773 6581757.644381311 20.2, 189042.40034433926 6581757.705874678 20.19, 189042.3561847309 6581757.90032854 20.13, 189042.33286680118 6581757.982594839 20.1, 189042.30954887118 6581758.064861134 20.07, 189042.29042677698 6581758.076485726 20.07, 189042.1972925571 6581758.164529943 20.04, 189041.93453574012 6581758.3871167395 19.88, 189041.86967195303 6581758.452737193 19.96, 189041.7382935445 6581758.564030592 19.97, 189041.2144307444 6581759.0291516995 19.89, 189041.19530864997 6581759.04077629 19.89, 189041.1487415402 6581759.084798404 19.91, 189041.1221219416 6581759.127169676 19.92, 189041.05973440607 6581759.222711398 19.93, 189041.02561730397 6581759.295829357 19.95, 189040.99899770564 6581759.338200633 19.93, 189040.83260802896 6581759.633148724 19.73, 189040.81513676926 6581759.664720829 19.73, 189040.50815159874 6581760.202271983 19.56, 189040.45573781984 6581760.296988288 19.53, 189040.32346524665 6581760.518818422 19.46, 189040.2984964833 6581760.581137209 19.44, 189040.28019980615 6581760.602735554 19.44, 189040.40889572073 6581760.8230523495 19.36, 189040.4329703194 6581760.871270294 19.35, 189040.77421053668 6581761.475679807 19.09, 189040.8672072625 6581761.6286565615 19.03, 189041.01997777715 6581761.897191297 18.95, 189041.07892614842 6581762.002775525 18.92, 189041.41019261343 6581762.608010448 18.71, 189041.45669097657 6581762.684498821 18.69, 189041.6094614928 6581762.953033556 18.650000000000002, 189041.72653281898 6581763.1542282505 18.66, 189041.97560173343 6581763.615634756 18.66, 189041.9963746625 6581763.623957677 18.66, 189042.35852530523 6581763.995669124 18.61, 189042.5221637403 6581764.152841705 18.62, 189042.67582841974 6581764.310839706 18.650000000000002, 189042.75224805053 6581764.384851828 18.63, 189042.8610652013 6581764.48630896 18.53, 189042.9275110765 6581764.561146501 18.54, 189043.06955116492 6581764.700022406 18.45, 189043.2996354751 6581764.9320325265 18.32, 189043.34283216816 6581764.968625876 18.32, 189043.3868542791 6581765.015192984 18.32, 189043.83539830853 6581765.460091126 18.23, 189043.84702289966 6581765.47921322 18.23, 189043.9782638147 6581765.608940786 18.23, 189044.0654826187 6581765.692101242 18.22, 189044.29391609342 6581765.904163849 18.17, 189044.76240763365 6581766.347411147 18.25, 189044.7948051535 6581766.37485616 18.240000000000002, 189044.90444772196 6581766.486287048 18.25, 189045.01326487248 6581766.58774418 18.27, 189045.07805991214 6581766.6426342055 18.26, 189045.15447954292 6581766.716646325 18.26, 189045.2632966934 6581766.818103456 18.13, 189045.40361720475 6581767.057542329 18.07, 189045.47501558735 6581767.192222398 17.97, 189045.62696068996 6581767.450783361 17.91, 189045.86110334954 6581767.85317273 17.89, 189046.08444683644 6581768.246413761 17.77, 189046.13094520126 6581768.322902133 17.77, 189046.14256979246 6581768.342024223 17.77, 189046.2247673493 6581768.485852631 17.76, 189046.34183867997 6581768.687047312 17.68, 189046.4946092029 6581768.95558203 17.64, 189046.49626003887 6581768.975529541 17.64, 189046.55355757743 6581769.061166247 17.62, 189046.68307891802 6581769.291456779 17.59, 189046.85827320634 6581769.588261922 17.51, 189046.90559698985 6581769.674724048 17.52, 189046.98779454757 6581769.818552451 17.5, 189047.03429291293 6581769.895040821 17.47, 189047.13891423575 6581770.0671396535 17.39, 189047.2327363852 6581770.23009015 17.400000000000002, 189047.39465524728 6581770.487825689 17.37, 189047.60472331155 6581770.841997105 17.32, 189047.8023413673 6581771.167072676 17.23, 189047.88288808987 6581771.290953566 17.21, 189047.94101104746 6581771.3865640275 17.3, 189047.97588482196 6581771.443930303 17.27, 189048.02238318825 6581771.520418676 17.11, 189048.11537992058 6581771.673395412 17.11, 189048.37112093542 6581772.094081441 16.65, 189048.4184447202 6581772.180543565 16.57, 189048.61523735925 6581772.495645372 16.4, 189048.6966095008 6581772.6295000175 16.21, 189048.7314832759 6581772.6868662955 16.13, 189048.78960623418 6581772.782476756 16.06, 189048.83610460075 6581772.858965121 15.99, 189048.8585283659 6581772.887235553 15.99, 189048.87097837584 6581772.916331398 15.98, 189049.16585773096 6581773.203231514 15.92, 189049.1774823225 6581773.2223536065 15.92, 189049.24227736297 6581773.277243625 15.93, 189049.27550030145 6581773.314662391 15.94, 189049.29709864815 6581773.332959063 15.950000000000001, 189049.81126314425 6581773.842720932 16.03, 189049.876883603 6581773.907584708 16.09, 189050.1509900294 6581774.186161901 16.19, 189050.23820883496 6581774.269322351 16.12, 189050.33705223212 6581774.371604891 16.07, 189050.44669480284 6581774.4830357665 15.97, 189050.6651545256 6581774.695923762 15.870000000000001, 189050.68675287225 6581774.714220435 15.860000000000001, 189050.73077498417 6581774.760787535 15.85, 189050.7963954428 6581774.82565131 15.85, 189050.90603801346 6581774.937082186 15.84, 189050.98328306404 6581775.021068055 15.84, 189051.01485516562 6581775.038539307 15.84, 189051.21254196012 6581775.243104384 15.780000000000001, 189051.28896159236 6581775.317116497 15.76, 189051.39530248905 6581775.38865235 15.74, 189051.41690083576 6581775.406949023 15.74, 189051.59801052767 6581775.532549478 15.68, 189051.72594977106 6581775.622382007 15.65, 189051.82149149437 6581775.684769525 15.620000000000001, 189052.0125749407 6581775.8095445605 15.58, 189052.04414704232 6581775.827015814 15.58, 189052.38559349685 6581776.069893804 15.5, 189052.4379385265 6581776.095687977 15.49, 189052.47033604642 6581776.123132985 15.49, 189052.49193439313 6581776.141429657 15.5, 189052.56587776938 6581776.185520502 15.540000000000001, 189053.1723510449 6581776.597264368 15.610000000000001, 189053.21554773796 6581776.633857714 15.58, 189053.31108946085 6581776.696245233 15.55, 189053.70488094282 6581776.964917387 15.43, 189054.00313070195 6581777.171202024 15.44, 189054.1302445255 6581777.251060795 15.4, 189054.21498707467 6581777.304299975 15.39, 189054.84801120398 6581777.794183029 15.3, 189054.9236054166 6581777.85822138 15.280000000000001, 189054.95600293652 6581777.885666389 15.280000000000001, 189055.1055405246 6581777.993795585 15.23, 189055.1595363911 6581778.039537265 15.25, 189055.3206985708 6581778.166788549 15.22, 189055.36306984525 6581778.19340814 15.19, 189055.4494632312 6581778.266594827 15.18, 189055.51343285182 6581778.311511087 15.19, 189055.69536795968 6581778.447085292 15.19, 189055.92049975984 6581778.619252834 15.280000000000001, 189055.98529479932 6581778.674142851 15.370000000000001, 189056.1356578056 6581778.792245799 15.47, 189056.18882825295 6581778.828013722 15.48, 189056.2212257727 6581778.85545873 15.47, 189056.43555839948 6581779.018477936 15.540000000000001, 189056.49952801986 6581779.063394198 15.52, 189056.55352388602 6581779.109135876 15.5, 189056.9389924461 6581779.398580946 15.55, 189056.9614162112 6581779.426851372 15.540000000000001, 189056.99298831227 6581779.444322626 15.52, 189057.36930853617 6581779.744566868 15.370000000000001, 189057.44325191103 6581779.788657708 15.36, 189057.561217397 6581779.879315645 15.38, 189057.76475084992 6581780.033186514 15.450000000000001, 189057.9267384474 6581780.17041155 15.450000000000001, 189058.06547686085 6581780.269392405 15.4, 189058.41111913085 6581780.441628672 15.26, 189058.5781279693 6581780.518185761 15.23, 189059.07083156751 6581780.768629951 15.17, 189059.1231765956 6581780.794424121 15.16, 189059.1863207966 6581780.829366625 15.16, 189059.25943875196 6581780.863483713 15.15, 189059.3425304615 6581780.896775379 15.14, 189059.42644758982 6581780.940040799 15.15, 189059.87677991216 6581781.1638654 15.11, 189060.20164925122 6581781.327778747 15.13, 189060.23239593254 6581781.335276243 15.13, 189060.32711223367 6581781.387690001 15.13, 189060.4949464891 6581781.474220839 15.14, 189060.51571941632 6581781.482543755 15.13, 189060.67192907986 6581781.549952506 15.13, 189061.01757134468 6581781.722188767 15.08, 189061.4579299086 6581781.946838781 15.02, 189061.48950200877 6581781.964310032 15.01, 189061.68725752557 6581782.048364614 14.98, 189061.7288033798 6581782.065010447 15.01, 189061.79112216097 6581782.089979197 15, 189061.9265588962 6581782.149065029 15, 189062.1450873395 6581782.241442526 14.97, 189062.7807251595 6581782.520225857 15.08, 189062.85384311312 6581782.5543429395 15.09, 189062.9784806748 6581782.604280439 15.13, 189062.9992536017 6581782.612603352 15.13, 189063.08317072806 6581782.6558687715 15.18, 189063.66646351793 6581782.9088579295 15.52, 189063.85341985914 6581782.983764173 15.68, 189064.06197454577 6581783.076967088 15.77, 189064.3951667928 6581783.2201074995 15.64, 189064.40596596542 6581783.229255832 15.66, 189064.61369523237 6581783.312484991 15.63, 189064.70758611202 6581783.354924991 15.620000000000001, 189065.04077835754 6581783.498065398 15.64, 189065.16624133626 6581783.557976647 15.63, 189065.3224509955 6581783.625385394 15.620000000000001, 189065.52020650735 6581783.709439971 15.59, 189065.7387349457 6581783.801817464 15.38, 189065.9364904574 6581783.885872041 15.13, 189066.08272636193 6581783.954106204 15.09, 189066.10349928844 6581783.962429119 15.09, 189066.18741641328 6581784.005694536 15.07, 189066.22813684732 6581784.012366614 15.06, 189066.32202772592 6581784.0548066115 15.040000000000001, 189066.47741196473 6581784.112241601 15.040000000000001, 189066.82972629502 6581784.243757416 15.07, 189066.99673512508 6581784.320314493 15.11, 189067.14132019074 6581784.36860115 15.1, 189067.51523286453 6581784.518413628 15.1, 189067.63904500322 6581784.558377368 15.120000000000001, 189067.84677426593 6581784.641606523 15.120000000000001, 189068.0021585034 6581784.699041515 15.15, 189068.25143361808 6581784.798916501 15.18, 189068.2929794705 6581784.81556233 15.18, 189068.71841174742 6581784.981195219 15.16, 189068.95771310735 6581785.081895623 15.16, 189069.25768240716 6581785.187617266 15.24, 189069.3407741114 6581785.220908926 15.25, 189069.37234620994 6581785.238380176 15.25, 189069.71468677977 6581785.370721401 15.3, 189069.99470857123 6581785.478093881 15.44, 189070.03625442315 6581785.494739712 15.450000000000001, 189070.08859944757 6581785.520533876 15.46, 189070.2439836826 6581785.577968863 15.46, 189070.3162762139 6581785.602112189 15.51, 189070.4616866954 6581785.660372596 15.56, 189070.55475215235 6581785.692838838 15.56, 189070.85637228726 6581785.818507986 15.55, 189070.93863857153 6581785.841825893 15.55, 189071.1978874348 6581785.940875454 15.56, 189071.34412333427 6581786.009109612 15.56)</t>
  </si>
  <si>
    <t>POLYGON Z ((189071.34412333427 6581786.009109612 15.56, 189071.6135521218 6581785.745802379 15.540000000000001, 189071.6967125485 6581785.658583578 15.52, 189071.72498297022 6581785.636159816 15.52, 189071.85553590627 6581785.514892659 15.52, 189072.04097884754 6581785.328830473 15.5, 189072.096694272 6581785.274009193 15.5, 189072.18068011798 6581785.196764151 15.46, 189072.57151350705 6581784.822988939 15.31, 189072.77525311668 6581784.615328408 15.39, 189072.79437520407 6581784.603703817 15.39, 189072.8126718725 6581784.5821054755 15.38, 189073.05465565715 6581784.351195761 15.24, 189073.12536607374 6581784.234881123 15.19, 189073.2060502437 6581784.117741068 15.17, 189073.32167691295 6581783.937456816 15.17, 189073.50966483686 6581783.660805435 15.09, 189073.5886981694 6581783.523717873 15.030000000000001, 189073.82077692752 6581783.173123128 14.85, 189073.86569317972 6581783.109153513 14.8, 189073.92058318545 6581783.044358482 14.73, 189073.9480281882 6581783.011960966 14.700000000000001, 189074.1684136293 6581782.76275459 14.450000000000001, 189074.3064640622 6581782.610740763 14.280000000000001, 189074.32476073073 6581782.589142421 14.27, 189074.5177011693 6581782.372333561 14.16, 189074.6740482708 6581782.198721392 14.26, 189074.72976369533 6581782.143900113 14.33, 189074.8303953723 6581782.02510922 14.370000000000001, 189074.96762038663 6581781.863121644 14.450000000000001, 189075.02333581098 6581781.808300367 14.49, 189075.0690774825 6581781.754304508 14.52, 189075.24069448997 6581781.037157158 14.66, 189075.24901740585 6581781.016384236 14.66, 189075.29400238732 6581780.831904171 14.66, 189075.30817196233 6581780.760437059 14.67, 189075.45812190248 6581780.145503501 14.73, 189075.44656604144 6581780.0058709625 14.75, 189075.4432643667 6581779.965975948 14.76, 189075.43748643628 6581779.896159675 14.75, 189075.41602555203 6581779.636842098 14.73, 189075.40199343552 6581779.467288295 14.73, 189075.3896121565 6581779.317682 14.76, 189075.36980211036 6581779.078311925 14.8, 189075.3665004361 6581779.038416913 14.8, 189075.36822000355 6581778.937853965 14.83, 189075.3692516134 6581778.586296349 14.9, 189075.3786748711 6581778.093455358 14.870000000000001, 189075.37956902094 6581777.9829186555 14.89, 189075.37791818375 6581777.96297115 14.89, 189075.3837648444 6581777.912276966 14.950000000000001, 189075.38053190196 6581777.7518715 15.1, 189075.38307688857 6581777.661282302 15.11, 189075.35817687167 6581777.603090621 15.120000000000001, 189075.30920225632 6581777.496681009 15.16, 189075.2104276074 6581777.273888038 15.32, 189075.17390300083 6581777.196574269 15.35, 189075.1622784107 6581777.1774521815 15.370000000000001, 189074.99045454903 6581776.800031668 15.59, 189074.8310806963 6581776.451706996 15.82, 189074.74558147532 6581776.267983614 15.94, 189074.66496603214 6581776.264613208 15.97, 189074.2702117305 6581776.226988251 16.04, 189074.15967502724 6581776.2260941 16.07, 189073.52307439205 6581776.178357926 16.16, 189073.4923277141 6581776.170860429 16.17, 189073.34354683396 6581776.193215456 16.23, 189073.3235993274 6581776.194866293 16.23, 189073.2737305613 6581776.198993384 16.23, 189072.81576332962 6581776.246936383 16.15, 189072.78584206977 6581776.249412636 16.15, 189072.7259995502 6581776.25436515 16.13, 189072.3079273299 6581776.299006472 15.89, 189072.17909395514 6581776.319710666 15.860000000000001, 189071.67125795293 6581776.371780758 15.81, 189071.46263455052 6581776.399088298 15.72, 189071.26315948274 6581776.415596666 15.72, 189071.08445733995 6581776.440427951 15.71, 189070.38058540324 6581776.307880502 15.71, 189070.33903955272 6581776.291234671 15.700000000000001, 189070.30911829247 6581776.293710929 15.69, 189069.99250316876 6581776.229535114 15.530000000000001, 189069.880315625 6581776.208693456 15.530000000000001, 189069.62938968354 6581776.08887095 15.540000000000001, 189069.5978175861 6581776.071399696 15.530000000000001, 189069.54547256342 6581776.04560553 15.52, 189069.49395295884 6581776.0297851125 15.51, 189069.41003583866 6581775.986519691 15.5, 189069.10676487326 6581775.840903013 15.42, 189068.92895687895 6581775.755197592 15.450000000000001, 189068.42710499238 6581775.515552572 15.48, 189068.1562315412 6581775.3973809 15.52, 189068.01996939693 6581775.328321306 15.5, 189067.98839729937 6581775.310850052 15.5, 189067.6535542339 6581775.147762123 15.44, 189067.4242266327 6581775.046236279 15.46, 189067.38268078148 6581775.0295904465 15.46, 189067.28796448815 6581774.97717669 15.44, 189067.2671915625 6581774.968853772 15.44, 189066.95229600288 6581774.804114998 15.44, 189066.87835263513 6581774.760024158 15.43, 189066.82600761158 6581774.734229991 15.44, 189066.6988938019 6581774.654371226 15.450000000000001, 189066.67812087602 6581774.6460483065 15.450000000000001, 189066.6465487784 6581774.628577055 15.450000000000001, 189066.3632253157 6581774.481309535 15.44, 189065.85724633 6581774.191795737 15.36, 189065.8157004782 6581774.175149902 15.35, 189065.77332920826 6581774.148530314 15.35, 189065.75255628227 6581774.140207398 15.35, 189065.71101043036 6581774.123561563 15.35, 189065.09036764113 6581773.78328484 15.450000000000001, 189064.9640792485 6581773.713399826 15.450000000000001, 189064.55364197213 6581773.486273534 15.450000000000001, 189064.45892567752 6581773.433859775 15.47, 189064.24872016185 6581773.3207093375 15.52, 189064.163977621 6581773.2674701605 15.540000000000001, 189063.99614337558 6581773.180939312 15.58, 189063.84825663787 6581773.092757626 15.620000000000001, 189063.81668453978 6581773.0752863735 15.63, 189063.81668453978 6581773.0752863735 15.66, 189063.7834616049 6581773.037867612 15.65, 189063.5650019067 6581772.824979634 15.81, 189063.24934965908 6581772.529756631 15.98, 189063.14053251903 6581772.428299519 16.04, 189063.06493831356 6581772.364261166 16.07, 189062.91209906683 6581772.216236957 16.240000000000002, 189062.79165733635 6581772.095657751 16.35, 189062.77005899197 6581772.077361081 16.35, 189062.69363936858 6581772.0033489745 16.4, 189062.48680426058 6581771.809583084 16.56, 189062.17115201248 6581771.514360077 16.56, 189062.1271299054 6581771.467792976 16.59, 189062.0947323891 6581771.4403479695 16.580000000000002, 189062.03991110978 6581771.384632534 16.6, 189061.78905389493 6581771.1442995425 16.66, 189061.5606204425 6581770.932236978 16.73, 189061.41940578556 6581770.803334852 16.76, 189061.37620909675 6581770.766741508 16.77, 189061.0895839549 6581770.579578956 16.8, 189061.00401599507 6581770.516366022 16.81, 189060.90929969907 6581770.463952255 16.830000000000002, 189060.79215964035 6581770.383268068 16.86, 189060.44073946425 6581770.141215496 16.93, 189060.2920273068 6581770.043060051 16.96, 189060.2288831093 6581770.0081175435 16.97, 189060.16491349356 6581769.963201279 16.990000000000002, 189059.88826210448 6581769.775213304 17.07, 189059.67640574888 6581769.64211535 17.13, 189059.46372397483 6581769.499043637 17.16, 189059.40972811345 6581769.453301956 17.17, 189059.388955187 6581769.444979041 17.17, 189059.28013804607 6581769.34352192 17.2, 189059.2261421847 6581769.297780238 17.22, 189059.19291924994 6581769.260361477 17.23, 189058.71527941502 6581768.827913404 17.43, 189058.66128355358 6581768.782171724 17.45, 189058.59566310194 6581768.717307951 17.48, 189058.0416036427 6581768.210847767 17.67, 189058.00920612557 6581768.183402756 17.68, 189057.92198732932 6581768.100242309 17.73, 189057.59636132407 6581767.805844703 17.86, 189057.56313838944 6581767.76842594 17.87, 189057.46512042062 6581767.676117154 17.91, 189057.42109831353 6581767.629550052 17.98, 189057.31228117232 6581767.528092929 18.02, 189057.1810402688 6581767.39836538 18.04, 189056.94015680638 6581767.157206953 18.13, 189056.89613469923 6581767.110639851 18.11, 189056.76489379577 6581766.980912302 18.17, 189056.52483575122 6581766.749727626 18.26, 189056.52401033347 6581766.739753874 18.240000000000002, 189056.3711710851 6581766.591729647 18.3, 189056.31634980586 6581766.536014209 18.31, 189056.28312687093 6581766.498595443 18.330000000000002, 189056.20670724695 6581766.424583331 18.36, 189055.87860498816 6581766.100264451 18.48, 189055.7589886746 6581765.98965899 18.54, 189055.5289043844 6581765.7576488955 18.56, 189055.5172797945 6581765.7385268025 18.57, 189055.4956814499 6581765.720230129 18.57, 189055.47490852268 6581765.711907208 18.580000000000002, 189055.46328393277 6581765.692785118 18.580000000000002, 189054.74964439636 6581765.199531592 18.69, 189054.67570102512 6581765.155440744 18.69, 189054.64330350794 6581765.127995732 18.68, 189054.49376592983 6581765.019866521 18.66, 189054.3766258689 6581764.939182323 18.66, 189054.2279137083 6581764.841026865 18.68, 189053.94046314177 6581764.643890539 18.77, 189053.87649352476 6581764.598974268 18.77, 189053.74690345587 6581764.489194222 18.77, 189053.62728714175 6581764.3785887575 18.78, 189053.2833644597 6581764.105789475 18.85, 189053.21856942534 6581764.0508994525 18.87, 189053.13217604568 6581763.977712751 18.81, 189052.97018845956 6581763.840487694 18.72, 189052.72263291123 6581763.640049691 18.59, 189052.71183373866 6581763.6309013525 18.56, 189052.66946246644 6581763.604281756 18.56, 189052.59304284194 6581763.53026964 18.51, 189052.4102823279 6581763.38472166 18.37, 189052.37788481085 6581763.357276651 18.37, 189052.1843251242 6581763.20258033 18.35, 189052.15192760684 6581763.175135318 18.330000000000002, 189052.1087309172 6581763.138541969 18.330000000000002, 189052.02233753732 6581763.065355266 18.35, 189051.95754250273 6581763.010465243 18.35, 189051.39763636974 6581762.554699204 18.21, 189051.34364050755 6581762.5089575155 18.23, 189051.220722523 6581762.358457026 18.29, 189051.18749958818 6581762.321038259 18.35, 189051.12022830104 6581762.236226968 18.39, 189050.99813573417 6581762.095700237 18.35, 189050.93086444715 6581762.010888943 18.3, 189050.86359315988 6581761.926077652 18.21, 189050.697478486 6581761.738983814 18.01, 189050.55213673948 6581761.5602128925 17.77, 189050.52888755983 6581761.52196871 17.740000000000002, 189050.45081710035 6581761.428009078 17.68, 189050.39599582064 6581761.372293635 17.63, 189050.30630077142 6581761.259211914 17.6, 189050.0845394004 6581761.00642887 17.63, 189049.98321976163 6581760.874225058 17.66, 189049.97242058913 6581760.865076719 17.68, 189049.8935247126 6581760.761143334 17.78, 189049.86112719512 6581760.7336983215 17.78, 189049.84950260527 6581760.714576224 17.79, 189049.6493395797 6581760.480089859 17.77, 189049.448351137 6581760.235629737 17.740000000000002, 189049.38610110153 6581760.090150495 17.72, 189049.3728256775 6581760.051080895 17.73, 189049.34957649774 6581760.012836707 17.78, 189049.19935099676 6581759.653712774 17.98, 189049.1628263932 6581759.5763989845 18, 189049.13627554494 6581759.498259776 18.05, 189049.11302636535 6581759.460015589 18.1, 189048.91382625542 6581758.994482014 18.14, 189048.9121754212 6581758.974534505 18.14, 189048.89972541423 6581758.945438658 18.14, 189048.86320081097 6581758.868124866 18.150000000000002, 189048.85157622118 6581758.849002771 18.16, 189048.7885007701 6581758.693549774 18.16, 189048.65155069594 6581758.37349544 18.16, 189048.6382752721 6581758.334425839 18.23, 189048.62417443102 6581758.2853824785 18.3, 189048.6208727624 6581758.245487458 18.31, 189048.60594650428 6581758.186470342 18.34, 189048.45427642326 6581757.445867455 18.63, 189048.39959264494 6581757.149131047 18.96, 189048.31835802062 6581756.77425543 19, 189048.28685467155 6581756.636273691 19.01, 189048.26945216308 6581756.54733531 19.11, 189048.25039882044 6581756.438449418 19.18, 189048.23547256336 6581756.379432307 19.23, 189048.1849158724 6581756.132564675 19.34, 189047.96246659465 6581755.628786906 19.64, 189047.9010419806 6581755.493281415 19.67, 189047.85289279005 6581755.396845529 19.71, 189047.72839272878 6581755.105887038 19.85, 189047.7051435503 6581755.06764285 19.85, 189047.6196443421 6581754.883919419 19.87, 189047.51921887696 6581754.641178871 19.86, 189047.494318865 6581754.582987172 19.89, 189047.42126966285 6581754.428359587 19.94, 189047.38391964493 6581754.341072037 19.91, 189047.31004502642 6581754.176470698 19.96, 189046.98435027245 6581754.002583512 19.990000000000002, 189046.9635773449 6581753.994260589 19.990000000000002, 189046.8057168455 6581753.9069042895 20.22, 189046.64868176286 6581753.829521744 20.3, 189046.3969303802 6581753.6997254165 20.43, 189046.3030394971 6581753.6572853895 20.47, 189046.20832319726 6581753.604871609 20.42, 189046.08203479706 6581753.534986567 20.45, 189046.02968976938 6581753.509192384 20.45, 189045.99811766937 6581753.4917211225 20.45, 189045.86845884816 6581753.502451542 20.41, 189045.46950862813 6581753.535468215 20.16, 189044.96084709588 6581753.5775644705 20.580000000000002, 189044.89103080687 6581753.583342388 20.61, 189044.62160189927 6581753.846649611 20.63, 189044.6124535607 6581753.857448781 20.650000000000002, 189044.602479805 6581753.858274199 20.68, 189044.49104890652 6581753.967916758 20.79, 189044.41703677963 6581754.044336382 20.79, 189044.37046966917 6581754.088358489 20.78, 189044.32472797536 6581754.14235435 20.77, 189044.0178802961 6581754.438884509 20.79, 189043.96133942984 6581754.483732033 20.82, 189043.8598822868 6581754.592549174 20.85, 189043.68854010187 6581754.827654719 20.82, 189043.61617880908 6581754.924021859 20.71, 189043.58955920977 6581754.96639313 20.69, 189043.50804957817 6581755.073559438 20.7, 189043.40074576455 6581755.233070778 20.69, 189043.34668114927 6581755.307839567 20.61, 189043.2477002574 6581755.446577978 20.64, 189043.04891305702 6581755.714081046 20.68, 189042.9407838267 6581755.863618629 20.71, 189042.86009961256 6581755.980758694 20.68, 189042.81428916752 6581756.155265043 20.650000000000002, 189042.77515081054 6581756.289050952 20.62, 189042.768478723 6581756.329771393 20.59, 189042.7151707739 6581756.535024426 20.52, 189042.6918528434 6581756.617290723 20.490000000000002, 189042.68435533886 6581756.648037407 20.490000000000002, 189042.66186282528 6581756.740277461 20.44, 189042.54774942453 6581757.181530213 20.400000000000002, 189042.5152831555 6581757.274595679 20.35, 189042.50943648547 6581757.325289875 20.34, 189042.43198519072 6581757.602835453 20.21, 189042.41533934773 6581757.644381311 20.2, 189042.40034433926 6581757.705874678 20.19, 189042.3561847309 6581757.90032854 20.13, 189042.33286680118 6581757.982594839 20.1, 189042.30954887118 6581758.064861134 20.07, 189042.29042677698 6581758.076485726 20.07, 189042.1972925571 6581758.164529943 20.04, 189041.93453574012 6581758.3871167395 19.88, 189041.86967195303 6581758.452737193 19.96, 189041.7382935445 6581758.564030592 19.97, 189041.2144307444 6581759.0291516995 19.89, 189041.19530864997 6581759.04077629 19.89, 189041.1487415402 6581759.084798404 19.91, 189041.1221219416 6581759.127169676 19.92, 189041.05973440607 6581759.222711398 19.93, 189041.02561730397 6581759.295829357 19.95, 189040.99899770564 6581759.338200633 19.93, 189040.83260802896 6581759.633148724 19.73, 189040.81513676926 6581759.664720829 19.73, 189040.50815159874 6581760.202271983 19.56, 189040.45573781984 6581760.296988288 19.53, 189040.32346524665 6581760.518818422 19.46, 189040.2984964833 6581760.581137209 19.44, 189040.28019980615 6581760.602735554 19.44, 189040.40889572073 6581760.8230523495 19.36, 189040.4329703194 6581760.871270294 19.35, 189040.77421053668 6581761.475679807 19.09, 189040.8672072625 6581761.6286565615 19.03, 189041.01997777715 6581761.897191297 18.95, 189041.07892614842 6581762.002775525 18.92, 189041.41019261343 6581762.608010448 18.71, 189041.45669097657 6581762.684498821 18.69, 189041.6094614928 6581762.953033556 18.650000000000002, 189041.72653281898 6581763.1542282505 18.66, 189041.97560173343 6581763.615634756 18.66, 189041.9963746625 6581763.623957677 18.66, 189042.35852530523 6581763.995669124 18.61, 189042.5221637403 6581764.152841705 18.62, 189042.67582841974 6581764.310839706 18.650000000000002, 189042.75224805053 6581764.384851828 18.63, 189042.8610652013 6581764.48630896 18.53, 189042.9275110765 6581764.561146501 18.54, 189043.06955116492 6581764.700022406 18.45, 189043.2996354751 6581764.9320325265 18.32, 189043.34283216816 6581764.968625876 18.32, 189043.3868542791 6581765.015192984 18.32, 189043.83539830853 6581765.460091126 18.23, 189043.84702289966 6581765.47921322 18.23, 189043.9782638147 6581765.608940786 18.23, 189044.0654826187 6581765.692101242 18.22, 189044.29391609342 6581765.904163849 18.17, 189044.76240763365 6581766.347411147 18.25, 189044.7948051535 6581766.37485616 18.240000000000002, 189044.90444772196 6581766.486287048 18.25, 189045.01326487248 6581766.58774418 18.27, 189045.07805991214 6581766.6426342055 18.26, 189045.15447954292 6581766.716646325 18.26, 189045.2632966934 6581766.818103456 18.13, 189045.40361720475 6581767.057542329 18.07, 189045.47501558735 6581767.192222398 17.97, 189045.62696068996 6581767.450783361 17.91, 189045.86110334954 6581767.85317273 17.89, 189046.08444683644 6581768.246413761 17.77, 189046.13094520126 6581768.322902133 17.77, 189046.14256979246 6581768.342024223 17.77, 189046.2247673493 6581768.485852631 17.76, 189046.34183867997 6581768.687047312 17.68, 189046.4946092029 6581768.95558203 17.64, 189046.49626003887 6581768.975529541 17.64, 189046.55355757743 6581769.061166247 17.62, 189046.68307891802 6581769.291456779 17.59, 189046.85827320634 6581769.588261922 17.51, 189046.90559698985 6581769.674724048 17.52, 189046.98779454757 6581769.818552451 17.5, 189047.03429291293 6581769.895040821 17.47, 189047.13891423575 6581770.0671396535 17.39, 189047.2327363852 6581770.23009015 17.400000000000002, 189047.39465524728 6581770.487825689 17.37, 189047.60472331155 6581770.841997105 17.32, 189047.8023413673 6581771.167072676 17.23, 189047.88288808987 6581771.290953566 17.21, 189047.94101104746 6581771.3865640275 17.3, 189047.97588482196 6581771.443930303 17.27, 189048.02238318825 6581771.520418676 17.11, 189048.11537992058 6581771.673395412 17.11, 189048.37112093542 6581772.094081441 16.65, 189048.4184447202 6581772.180543565 16.57, 189048.61523735925 6581772.495645372 16.4, 189048.6966095008 6581772.6295000175 16.21, 189048.7314832759 6581772.6868662955 16.13, 189048.78960623418 6581772.782476756 16.06, 189048.83610460075 6581772.858965121 15.99, 189048.8585283659 6581772.887235553 15.99, 189048.87097837584 6581772.916331398 15.98, 189049.16585773096 6581773.203231514 15.92, 189049.1774823225 6581773.2223536065 15.92, 189049.24227736297 6581773.277243625 15.93, 189049.27550030145 6581773.314662391 15.94, 189049.29709864815 6581773.332959063 15.950000000000001, 189049.81126314425 6581773.842720932 16.03, 189049.876883603 6581773.907584708 16.09, 189050.1509900294 6581774.186161901 16.19, 189050.23820883496 6581774.269322351 16.12, 189050.33705223212 6581774.371604891 16.07, 189050.44669480284 6581774.4830357665 15.97, 189050.6651545256 6581774.695923762 15.870000000000001, 189050.68675287225 6581774.714220435 15.860000000000001, 189050.73077498417 6581774.760787535 15.85, 189050.7963954428 6581774.82565131 15.85, 189050.90603801346 6581774.937082186 15.84, 189050.98328306404 6581775.021068055 15.84, 189051.01485516562 6581775.038539307 15.84, 189051.21254196012 6581775.243104384 15.780000000000001, 189051.28896159236 6581775.317116497 15.76, 189051.39530248905 6581775.38865235 15.74, 189051.41690083576 6581775.406949023 15.74, 189051.59801052767 6581775.532549478 15.68, 189051.72594977106 6581775.622382007 15.65, 189051.82149149437 6581775.684769525 15.620000000000001, 189052.0125749407 6581775.8095445605 15.58, 189052.04414704232 6581775.827015814 15.58, 189052.38559349685 6581776.069893804 15.5, 189052.4379385265 6581776.095687977 15.49, 189052.47033604642 6581776.123132985 15.49, 189052.49193439313 6581776.141429657 15.5, 189052.56587776938 6581776.185520502 15.540000000000001, 189053.1723510449 6581776.597264368 15.610000000000001, 189053.21554773796 6581776.633857714 15.58, 189053.31108946085 6581776.696245233 15.55, 189053.70488094282 6581776.964917387 15.43, 189054.00313070195 6581777.171202024 15.44, 189054.1302445255 6581777.251060795 15.4, 189054.21498707467 6581777.304299975 15.39, 189054.84801120398 6581777.794183029 15.3, 189054.9236054166 6581777.85822138 15.280000000000001, 189054.95600293652 6581777.885666389 15.280000000000001, 189055.1055405246 6581777.993795585 15.23, 189055.1595363911 6581778.039537265 15.25, 189055.3206985708 6581778.166788549 15.22, 189055.36306984525 6581778.19340814 15.19, 189055.4494632312 6581778.266594827 15.18, 189055.51343285182 6581778.311511087 15.19, 189055.69536795968 6581778.447085292 15.19, 189055.92049975984 6581778.619252834 15.280000000000001, 189055.98529479932 6581778.674142851 15.370000000000001, 189056.1356578056 6581778.792245799 15.47, 189056.18882825295 6581778.828013722 15.48, 189056.2212257727 6581778.85545873 15.47, 189056.43555839948 6581779.018477936 15.540000000000001, 189056.49952801986 6581779.063394198 15.52, 189056.55352388602 6581779.109135876 15.5, 189056.9389924461 6581779.398580946 15.55, 189056.9614162112 6581779.426851372 15.540000000000001, 189056.99298831227 6581779.444322626 15.52, 189057.36930853617 6581779.744566868 15.370000000000001, 189057.44325191103 6581779.788657708 15.36, 189057.561217397 6581779.879315645 15.38, 189057.76475084992 6581780.033186514 15.450000000000001, 189057.9267384474 6581780.17041155 15.450000000000001, 189058.06547686085 6581780.269392405 15.4, 189058.41111913085 6581780.441628672 15.26, 189058.5781279693 6581780.518185761 15.23, 189059.07083156751 6581780.768629951 15.17, 189059.1231765956 6581780.794424121 15.16, 189059.1863207966 6581780.829366625 15.16, 189059.25943875196 6581780.863483713 15.15, 189059.3425304615 6581780.896775379 15.14, 189059.42644758982 6581780.940040799 15.15, 189059.87677991216 6581781.1638654 15.11, 189060.20164925122 6581781.327778747 15.13, 189060.23239593254 6581781.335276243 15.13, 189060.32711223367 6581781.387690001 15.13, 189060.4949464891 6581781.474220839 15.14, 189060.51571941632 6581781.482543755 15.13, 189060.67192907986 6581781.549952506 15.13, 189061.01757134468 6581781.722188767 15.08, 189061.4579299086 6581781.946838781 15.02, 189061.48950200877 6581781.964310032 15.01, 189061.68725752557 6581782.048364614 14.98, 189061.7288033798 6581782.065010447 15.01, 189061.79112216097 6581782.089979197 15, 189061.9265588962 6581782.149065029 15, 189062.1450873395 6581782.241442526 14.97, 189062.7807251595 6581782.520225857 15.08, 189062.85384311312 6581782.5543429395 15.09, 189062.9784806748 6581782.604280439 15.13, 189062.9992536017 6581782.612603352 15.13, 189063.08317072806 6581782.6558687715 15.18, 189063.66646351793 6581782.9088579295 15.52, 189063.85341985914 6581782.983764173 15.68, 189064.06197454577 6581783.076967088 15.77, 189064.3951667928 6581783.2201074995 15.64, 189064.40596596542 6581783.229255832 15.66, 189064.61369523237 6581783.312484991 15.63, 189064.70758611202 6581783.354924991 15.620000000000001, 189065.04077835754 6581783.498065398 15.64, 189065.16624133626 6581783.557976647 15.63, 189065.3224509955 6581783.625385394 15.620000000000001, 189065.52020650735 6581783.709439971 15.59, 189065.7387349457 6581783.801817464 15.38, 189065.9364904574 6581783.885872041 15.13, 189066.08272636193 6581783.954106204 15.09, 189066.10349928844 6581783.962429119 15.09, 189066.18741641328 6581784.005694536 15.07, 189066.22813684732 6581784.012366614 15.06, 189066.32202772592 6581784.0548066115 15.040000000000001, 189066.47741196473 6581784.112241601 15.040000000000001, 189066.82972629502 6581784.243757416 15.07, 189066.99673512508 6581784.320314493 15.11, 189067.14132019074 6581784.36860115 15.1, 189067.51523286453 6581784.518413628 15.1, 189067.63904500322 6581784.558377368 15.120000000000001, 189067.84677426593 6581784.641606523 15.120000000000001, 189068.0021585034 6581784.699041515 15.15, 189068.25143361808 6581784.798916501 15.18, 189068.2929794705 6581784.81556233 15.18, 189068.71841174742 6581784.981195219 15.16, 189068.95771310735 6581785.081895623 15.16, 189069.25768240716 6581785.187617266 15.24, 189069.3407741114 6581785.220908926 15.25, 189069.37234620994 6581785.238380176 15.25, 189069.71468677977 6581785.370721401 15.3, 189069.99470857123 6581785.478093881 15.44, 189070.03625442315 6581785.494739712 15.450000000000001, 189070.08859944757 6581785.520533876 15.46, 189070.2439836826 6581785.577968863 15.46, 189070.3162762139 6581785.602112189 15.51, 189070.4616866954 6581785.660372596 15.56, 189070.55475215235 6581785.692838838 15.56, 189070.85637228726 6581785.818507986 15.55, 189070.93863857153 6581785.841825893 15.55, 189071.1978874348 6581785.940875454 15.56, 189071.34412333427 6581786.009109612 15.56))</t>
  </si>
  <si>
    <t>['KV42900 S1D1 m2527-2552']</t>
  </si>
  <si>
    <t>LINESTRING Z (189116.6949950846 6581811.016373972 8.71, 189116.2381969432 6581810.471738738 8.51, 189116.16012648778 6581810.377779187 8.56, 189115.89269218966 6581810.058481792 8.74, 189115.73572585866 6581809.860588938 8.71, 189115.5355628457 6581809.626102765 9.09, 189115.3121506506 6581809.353372434 9.44, 189115.23408019537 6581809.259412879 9.61, 189114.6651632486 6581808.573425591 10.63, 189114.58791821433 6581808.489439788 10.68, 189114.55386986188 6581808.442047302 10.69, 189114.28726098576 6581808.132723648 10.69, 189114.1558826926 6581808.244017032 10.700000000000001, 189114.11763853428 6581808.267266217 10.700000000000001, 189113.4491224771 6581808.804611076 10.620000000000001, 189113.4208520684 6581808.827034836 10.61, 189112.94108054152 6581809.2182125375 10.620000000000001, 189112.83714723616 6581809.2971084155 10.61, 189112.70329268067 6581809.378480555 10.55, 189112.019024926 6581809.846834598 10.38, 189111.8668737113 6581809.94980508 10.370000000000001, 189111.80950747273 6581809.984678851 10.370000000000001, 189111.74299290514 6581810.030351798 10.35, 189111.71472249622 6581810.052775559 10.35, 189111.5243271225 6581810.178995227 10.33, 189111.38132423686 6581810.271166538 10.32, 189111.19925177126 6581810.376613283 10.3, 189111.00803097617 6581810.492859199 10.34, 189110.7594439424 6581810.643978892 10.370000000000001, 189110.59649355564 6581810.737801043 10.38, 189110.423569419 6581810.83244862 10.41, 189110.39529901004 6581810.854872384 10.41, 189110.29968861205 6581810.912995342 10.4, 189110.1658340551 6581810.994367485 10.35, 189109.92639534955 6581811.134688008 10.32, 189109.8490816102 6581811.171212624 10.34, 189109.7725932917 6581811.217710992 10.34, 189109.6678345643 6581811.286633121 10.33, 189109.56225041574 6581811.345581502 10.3, 189109.37618824485 6581811.160138651 10.4, 189109.13695563964 6581810.938927903 10.49, 189108.92014679726 6581810.745987563 10.57, 189108.72411087615 6581810.561370129 10.55, 189108.65849042876 6581810.496506404 10.57, 189108.51727578387 6581810.367604369 10.61, 189108.48487827036 6581810.340159378 10.620000000000001, 189108.39765948098 6581810.2569989925 10.64, 189108.12520394137 6581809.998369503 10.71, 189107.9839892963 6581809.869467466 10.74, 189107.94079261186 6581809.832874147 10.74, 189107.8751721644 6581809.768010419 10.75, 189107.58194370312 6581809.501058017 10.83, 189107.41913071577 6581809.353859319 10.88, 189107.36348401906 6581809.288170173 10.89, 189107.0619326483 6581809.041990689 10.950000000000001, 189106.9107442529 6581808.913914072 10.97, 189106.8027525416 6581808.8224307755 10.99, 189106.6075420404 6581808.647787086 11.040000000000001, 189106.511174921 6581808.575425869 11.06, 189106.33838818286 6581808.429052589 11.07, 189106.0468105622 6581808.182047684 11.14, 189105.83082713926 6581807.9990810845 11.22, 189105.64724122966 6581807.843559476 11.21, 189105.6148437161 6581807.816114484 11.21, 189105.57164703147 6581807.779521163 11.22, 189105.2368727256 6581807.495922934 11.28, 189105.1936760411 6581807.459329616 11.290000000000001, 189105.11643100163 6581807.375343803 11.3, 189104.88799756614 6581807.16328137 11.34, 189104.76755584223 6581807.042702238 11.36, 189104.6363149471 6581806.912974774 11.38, 189104.462702788 6581806.756627744 11.4, 189104.41868068284 6581806.710060674 11.41, 189104.36385940638 6581806.654345272 11.43, 189104.23261851125 6581806.524617807 11.48, 189104.1130022077 6581806.414012423 11.5, 189104.0257834178 6581806.330852033 11.51, 189103.68770742917 6581806.007358791 11.59, 189103.50247067842 6581805.831889677 11.620000000000001, 189103.2732118218 6581805.609853486 11.73, 189103.09877424192 6581805.443532698 11.74, 189102.98913168925 6581805.3321018955 11.75, 189102.91106122948 6581805.238142329 11.77, 189102.87866371596 6581805.210697338 11.77, 189102.83464161074 6581805.164130267 11.78, 189102.80141867668 6581805.126711523 11.790000000000001, 189102.69177612395 6581805.015280717 11.81, 189102.5713343998 6581804.89470158 11.950000000000001, 189102.17513545352 6581804.475597927 12.02, 189102.15271169093 6581804.447327516 12.02, 189102.1302879278 6581804.419057103 12.02, 189102.06466748047 6581804.354193371 12.040000000000001, 189101.85535612586 6581804.130506336 12.09, 189101.78973567823 6581804.065642603 12.1, 189101.70169146796 6581803.972508456 12.120000000000001, 189101.44918342854 6581803.712228097 12.200000000000001, 189101.30631794198 6581803.5633785445 12.26, 189100.97821570426 6581803.239059872 12.33, 189100.61854137294 6581802.897269954 12.38, 189100.31286289782 6581802.601221688 12.450000000000001, 189100.2472424502 6581802.53635795 12.44, 189100.18162200262 6581802.471494217 12.44, 189100.02878276492 6581802.323470085 12.5, 189099.9299393834 6581802.221187603 12.51, 189099.44982332794 6581801.758818539 12.61, 189099.32938160416 6581801.638239396 12.63, 189099.30778326181 6581801.619942736 12.63, 189099.25213656528 6581801.554253579 12.64, 189099.1940136082 6581801.458643166 12.65, 189099.01379808714 6581801.2225061115 12.66, 189098.9224521967 6581801.089476957 12.68, 189098.6384407741 6581800.691214913 12.72, 189098.28633264476 6581800.1981678745 12.780000000000001, 189098.17338841222 6581800.046842055 12.790000000000001, 189097.8777524 6581799.6294579245 12.83, 189097.82045486371 6581799.54382126 12.84, 189097.79968194145 6581799.535498352 12.84, 189097.70751063165 6581799.392495442 12.83, 189097.4575475651 6581799.041625885 12.86, 189097.2997558086 6581798.833759237 12.88, 189097.2740303665 6581798.76559382 12.89, 189097.1046827312 6581798.418094654 12.950000000000001, 189097.07813186926 6581798.339955482 12.96, 189097.06650727807 6581798.320833399 12.97, 189097.0067334827 6581798.205275484 13, 189096.89550880383 6581797.953386728 13.02, 189096.87060878205 6581797.895195063 13.030000000000001, 189096.7734849542 6581797.692349643 13.06, 189096.69878488895 6581797.517774641 13.11, 189096.63736025424 6581797.382269219 13.14, 189096.52943725605 6581797.170275471 13.16, 189096.38168796618 6581796.84107296 13.19, 189096.34351251408 6581796.743811705 13.21, 189096.20566826267 6581796.534294216 13.25, 189096.11432237492 6581796.401265053 13.27, 189096.06864943082 6581796.334750472 13.27, 189095.9067305781 6581796.077015062 13.26, 189095.73401255452 6581795.810131321 13.280000000000001, 189095.3213052227 6581795.191552588 13.38, 189095.28643145016 6581795.134186337 13.4, 189095.0564158936 6581794.781665929 13.43, 189094.91939706344 6581794.582122183 13.43, 189094.90777247265 6581794.563000099 13.43, 189094.8546020367 6581794.527232191 13.43, 189094.84297744598 6581794.508110108 13.44, 189094.37441727374 6581794.185373517 13.39, 189094.30047391512 6581794.141282697 13.4, 189094.19330762338 6581794.059773131 13.39, 189093.96982670802 6581793.907553167 13.4, 189093.71394827904 6581793.727888205 13.39, 189093.575209893 6581793.628907391 13.48, 189093.14902098337 6581793.33279037 13.59, 189092.72283207322 6581793.036673349 13.36, 189092.4669536429 6581792.8570083855 13.34, 189092.36804154562 6581792.875236331 13.32, 189091.91007438744 6581792.923179384 13.24, 189091.81033687032 6581792.931433579 13.24, 189091.73137227603 6581792.948010686 13.24, 189091.45293264702 6581792.981096185 13.26, 189091.3930901367 6581792.986048703 13.290000000000001, 189091.13459801034 6581793.017483363 13.290000000000001, 189091.00493923743 6581793.028213815 13.31, 189090.86613213184 6581793.049743442 13.31, 189090.61678833695 6581793.07037893 13.31, 189090.51787623827 6581793.088606877 13.31, 189090.47461083578 6581793.172523989 13.290000000000001, 189090.2757550681 6581793.5605374575 13.23, 189090.268257575 6581793.591284132 13.22, 189090.25078633009 6581793.622856227 13.22, 189090.06940180843 6581793.979297601 13.11, 189089.99201933632 6581794.136332656 13.07, 189089.87886895507 6581794.346538147 13.040000000000001, 189089.7149556796 6581794.67140743 12.96, 189089.66336736508 6581794.776097466 12.92, 189089.62092738308 6581794.8699883325 12.88, 189089.52015829826 6581795.229800103 12.74, 189089.39270092355 6581795.752493585 12.68, 189089.35356262093 6581795.886279458 12.67, 189089.3460651285 6581795.917026136 12.69, 189089.32357265084 6581796.00926616 12.65, 189089.30190559296 6581796.111479939 12.620000000000001, 189089.26441813062 6581796.265213317 12.58, 189089.23442816082 6581796.388200019 12.540000000000001, 189089.20443819085 6581796.511186718 12.52, 189089.1361353398 6581796.777933048 12.4, 189089.10366911063 6581796.870998493 12.38, 189089.05868415674 6581797.055478548 12.34, 189089.0445145921 6581797.126945652 12.34, 189089.02202211518 6581797.219185677 12.33, 189088.8216529439 6581797.346230767 12.280000000000001, 189088.73601627612 6581797.403528307 12.26, 189088.6595279401 6581797.4500266705 12.23, 189088.24881584453 6581797.70494227 12.120000000000001, 189088.21139709646 6581797.738165206 12.13, 189087.96363542427 6581797.899258654 12.07, 189087.9478150201 6581797.950778253 12.040000000000001, 189087.89120547555 6581798.116136224 11.98, 189087.8254475987 6581798.292293367 11.98, 189087.78630929842 6581798.426079241 12, 189087.71305393043 6581798.632983062 11.98, 189087.68891061447 6581798.705275588 11.94, 189087.6323010705 6581798.870633557 11.96, 189087.5282303153 6581799.190550332 11.950000000000001, 189087.40751373715 6581799.552012952 11.950000000000001, 189087.33425837057 6581799.758916773 11.93, 189087.25515635265 6581800.016514775 11.91, 189087.21519263386 6581800.140326898 11.950000000000001, 189087.17440349504 6581800.254165271 11.950000000000001, 189087.12192105385 6581800.469392004 11.950000000000001, 189087.07528526383 6581800.633924558 11.89, 189086.93950499682 6581801.177390981 11.88, 189086.76458643423 6581801.854643281 12.120000000000001, 189086.69793443312 6581802.141337121 12.24, 189086.66044697707 6581802.295070503 12.32, 189086.62963159184 6581802.408083456 12.39, 189086.59964162728 6581802.531070161 12.42, 189086.59214413597 6581802.561816838 12.42, 189086.57549831335 6581802.603362687 12.42, 189086.36990178924 6581803.152607055 12.42, 189086.2458835395 6581803.474174675 12.41, 189086.18762316013 6581803.619585145 12.39, 189086.01366744377 6581804.065790315 12.42, 189085.964555397 6581804.200401616 12.4, 189085.81639383617 6581804.594261762 12.34, 189085.76563094865 6581804.708925558 12.34, 189085.74396389717 6581804.811139341 12.33, 189085.71149767318 6581804.904204792 12.280000000000001, 189085.672359379 6581805.037990672 12.25, 189085.60825235175 6581805.234095326 12.21, 189085.48333998013 6581805.666199642 12.17, 189085.4125608839 6581805.9030247275 12.15, 189085.395915062 6581805.944570578 12.15, 189085.34927927848 6581806.109103135 12.120000000000001, 189085.2368856282 6581806.449792842 12.1, 189085.15028613224 6581806.738137529 12.11, 189085.13529115164 6581806.799630884 12.120000000000001, 189085.11947075074 6581806.851150487 12.11, 189085.03287125536 6581807.139495173 12.09, 189084.9937329634 6581807.273281055 12.08, 189084.92384799419 6581807.399569445 12.07, 189084.8980538412 6581807.451914468 12.07, 189084.78490347724 6581807.662119983 12.02, 189084.62016480742 6581807.977015538 12.05, 189084.34227577545 6581808.502116611 12.02, 189084.1251233811 6581808.911728468 12.01, 189084.0901808972 6581808.9748726655 12, 189084.035290909 6581809.039667704 12.030000000000001, 189083.89971677976 6581809.221602805 11.98, 189083.79908513452 6581809.340393709 12.01, 189083.33334565506 6581809.901125286 12.120000000000001, 189083.20609443658 6581810.062287463 12.13, 189083.06886946614 6581810.224275061 12.18, 189082.86010868673 6581810.492603551 12.23, 189082.77694828366 6581810.579822358 12.18, 189082.67714205966 6581810.708587016 12.18, 189082.4126658715 6581811.031736793 12.27, 189082.4043429611 6581811.052509717 12.27, 189082.38852256146 6581811.104029321 12.27, 189082.3901734033 6581811.123976826 12.27, 189082.3343892941 6581811.299308565 12.25, 189082.20865151845 6581811.7214391455 12.17, 189082.16036489914 6581811.866024204 12.18, 189082.10540621163 6581812.051329695 12.19, 189081.9088893524 6581812.71028537 12.21, 189081.84560775605 6581812.916363788 12.18, 189081.91618074483 6581813.04107004 12.11, 189081.94025535515 6581813.08928796 12.11, 189082.04735297046 6581813.29130797 11.99, 189082.08387759648 6581813.368621723 11.94, 189082.27482363844 6581813.734417574 11.700000000000001, 189082.37112208095 6581813.927289251 11.63, 189082.6467419719 6581814.4668346895 11.41, 189082.6832665988 6581814.544148445 11.39, 189082.78953879443 6581814.736194701 11.33, 189083.2041718884 6581814.892679141 11.1, 189083.36952987307 6581814.949288666 11.03, 189083.61797956022 6581815.0391898295 10.870000000000001, 189083.9802676274 6581815.16988012 10.76, 189084.50708825607 6581815.347206185 10.700000000000001, 189084.65249873482 6581815.405466548 10.68, 189084.71481751133 6581815.430435276 10.67, 189084.77631086682 6581815.445430254 10.67, 189084.8901492465 6581815.486219379 10.66, 189085.58666104934 6581815.408492385 10.63, 189085.6556518923 6581815.392740683 10.64, 189085.75538941287 6581815.384486469 10.700000000000001, 189085.9540390324 6581815.358004295 10.71, 189086.43195370713 6581815.308410319 10.71, 189086.780209605 6581815.269546823 10.76, 189086.83922669553 6581815.254620543 10.77, 189086.98229830136 6581815.041938762 10.84, 189087.0804536753 6581814.893226603 10.84, 189087.21520237206 6581814.701317751 10.89, 189087.33997731697 6581814.510234318 10.92, 189087.49219725438 6581814.286753366 10.98, 189087.7508954758 6581813.893787333 11.06, 189087.7866633779 6581813.840616888 11.06, 189087.89396708302 6581813.681105557 11.06, 189088.07280659222 6581813.415253337 11.02, 189088.1618136362 6581813.277340349 11.05, 189088.18925862858 6581813.244942831 11.05, 189088.4113635287 6581812.895173492 11.08, 189088.5095189041 6581812.746461334 11.09, 189088.6084997005 6581812.60772293 11.14, 189088.82228169194 6581812.278726518 11.22, 189088.85722417285 6581812.215582321 11.22, 189088.95537954872 6581812.066870166 11.25, 189089.16001321014 6581811.748672927 11.28, 189089.28478815762 6581811.557589501 11.31, 189089.5068930604 6581811.20782017 11.3, 189089.52518972202 6581811.186221822 11.3, 189089.57842886506 6581811.101479282 11.3, 189089.80968209973 6581810.740910781 11.35, 189089.87619667826 6581810.695237826 11.36, 189089.98762749037 6581810.585595258 11.34, 189090.464922835 6581810.164496227 11.22, 189090.54890865443 6581810.087251176 11.200000000000001, 189090.68860987964 6581809.955184845 11.16, 189090.86655527016 6581809.799869325 11.11, 189091.17505355476 6581809.523286647 11.05, 189091.26901312562 6581809.445216174 11.01, 189091.2972835389 6581809.422792411 11.02, 189091.53094433504 6581809.21265561 11.05, 189091.73633471766 6581809.024942574 11.16, 189092.02571091952 6581808.759984491 11.27, 189092.0822517461 6581808.71513696 11.290000000000001, 189092.14794090344 6581808.659490256 11.3, 189092.20365630934 6581808.604668975 11.35, 189092.4373171053 6581808.3945321785 11.48, 189092.56869542005 6581808.283238772 11.57, 189092.61526249506 6581808.239216663 11.6, 189092.6335591568 6581808.217618319 11.61, 189092.85807162157 6581808.018280695 11.61, 189092.90381327597 6581807.9642848335 11.63, 189093.10920365812 6581807.776571802 11.67, 189093.27717529633 6581807.622081708 11.71, 189093.295471958 6581807.6004833635 11.72, 189093.45429526514 6581807.456792441 11.8, 189093.50086234027 6581807.412770335 11.82, 189093.51915900182 6581807.391171988 11.83, 189093.7245493841 6581807.203458961 11.89, 189093.87161069026 6581807.281666837 11.91, 189093.99707365222 6581807.341578049 11.9, 189094.33191669034 6581807.504665866 11.870000000000001, 189094.67755889992 6581807.676902012 11.84, 189094.9077118992 6581807.788401526 11.84, 189095.26332785888 6581807.95981225 11.84, 189095.556625048 6581808.106254247 11.83, 189095.67211425735 6581808.166990878 11.82, 189095.90226725512 6581808.27849039 11.81, 189096.12162108062 6581808.38084157 11.790000000000001, 189096.28773576376 6581808.567935285 11.77, 189096.48542254232 6581808.772500242 11.72, 189096.7055330854 6581809.005335608 11.67, 189096.73875602213 6581809.04275435 11.66, 189096.80520189536 6581809.117591835 11.63, 189096.88162151986 6581809.1916039 11.620000000000001, 189096.88244694058 6581809.201577652 11.6, 189097.0801337192 6581809.406142604 11.59, 189097.37748930784 6581809.722963784 11.52, 189097.45473435317 6581809.8069496015 11.5, 189097.77451370668 6581810.152041189 11.450000000000001, 189097.81771039462 6581810.188634512 11.450000000000001, 189097.90575461206 6581810.281768659 11.39, 189098.25628063997 6581810.634357734 11.27, 189098.37672237313 6581810.754936868 11.22, 189098.52956162218 6581810.902960993 11.15, 189098.72724840097 6581811.107525942 11.1, 189098.94653352344 6581811.330387547 11.040000000000001, 189099.13259570947 6581811.515830415 11, 189099.26383661473 6581811.645557876 10.98, 189099.30785872345 6581811.692124948 10.97, 189099.3959029409 6581811.785259093 10.94, 189099.5271438462 6581811.914986556 10.950000000000001, 189099.898442797 6581812.275898533 10.83, 189100.06373205985 6581812.453018485 10.77, 189100.09778041777 6581812.500410979 10.76, 189100.444110642 6581812.923641721 10.700000000000001, 189100.65672369796 6581813.187223746 10.65, 189100.69077205565 6581813.234616237 10.65, 189100.72399499267 6581813.2720349785 10.67, 189101.1267973404 6581813.770928618 10.69, 189101.75383733917 6581814.552526357 10.620000000000001, 189101.7762611041 6581814.580796766 10.620000000000001, 189101.87675533618 6581814.703026737 10.6, 189101.92160286597 6581814.759567554 10.57, 189102.06694462837 6581814.938338348 10.51, 189102.48054615036 6581815.446380306 10.55, 189102.51376908744 6581815.483799045 10.56, 189102.54781744553 6581815.5311915325 10.55, 189102.7712296755 6581815.803921883 10.55, 189102.8044526126 6581815.84134062 10.53, 189103.08351154486 6581816.179760118 10.25, 189103.10510988883 6581816.198056775 10.23, 189103.36257047742 6581816.51817961 10.15, 189103.41071969282 6581816.614615429 10.13, 189103.4231697074 6581816.643711261 10.120000000000001, 189103.5651410902 6581816.903097475 10.02, 189103.73201250256 6581817.220675348 9.93, 189103.9802560687 6581817.67210778 9.950000000000001, 189104.09980368766 6581817.9032235835 9.91, 189104.3139988967 6581818.307263523 9.870000000000001, 189104.37212186388 6581818.402873922 9.88, 189104.44523980346 6581818.4369909745 9.91, 189104.7252615473 6581818.544363353 10.040000000000001, 189104.8075278162 6581818.567681236 10.07, 189104.8706720051 6581818.602623708 10.13, 189105.0568028866 6581818.6675561275 10.18, 189105.60687262093 6581818.883126304 10.56, 189106.3330994828 6581819.1644543195 10, 189107.55835732492 6581818.80195913 9.4, 189107.57582856144 6581818.770387038 9.42, 189107.9692753997 6581818.185512229 9.5, 189108.30116020032 6581817.706152874 8.88, 189108.83932946267 6581816.928543826 9.36, 189109.08055639686 6581816.567149942 9.39, 189109.21943217458 6581816.425109872 9.36, 189109.51382954564 6581816.099483887 9.55, 189109.7450140345 6581815.859425851 9.68, 189110.36373002746 6581815.205697624 10.14, 189110.39117501455 6581815.17330011 10.120000000000001, 189110.40947167284 6581815.151701768 10.1, 189110.4460649888 6581815.108505082 10.1, 189110.6498044909 6581814.900844565 9.88, 189110.94420186232 6581814.575218585 9.57, 189111.17944475956 6581814.50553973 9.32, 189112.25509631878 6581814.155425914 8.94, 189112.6557658586 6581814.021846152 8.94, 189113.12542622606 6581813.872514693 8.96, 189113.15369663393 6581813.850090929 8.97, 189113.23850785743 6581813.782819643 8.94, 189113.35158948868 6581813.69312459 8.790000000000001, 189113.85213392135 6581813.31026978 8.41, 189114.4566116552 6581812.848519096 8.23, 189114.74014115357 6581812.634255223 8.07, 189114.85322278424 6581812.544560172 8.05, 189115.5766287924 6581811.942420277 7.94, 189115.7179808307 6581811.830301468 7.95, 189115.9433186709 6581811.640937622 8.09, 189116.6949950846 6581811.016373972 8.71)</t>
  </si>
  <si>
    <t>POLYGON Z ((189116.6949950846 6581811.016373972 8.71, 189116.2381969432 6581810.471738738 8.51, 189116.16012648778 6581810.377779187 8.56, 189115.89269218966 6581810.058481792 8.74, 189115.73572585866 6581809.860588938 8.71, 189115.5355628457 6581809.626102765 9.09, 189115.3121506506 6581809.353372434 9.44, 189115.23408019537 6581809.259412879 9.61, 189114.6651632486 6581808.573425591 10.63, 189114.58791821433 6581808.489439788 10.68, 189114.55386986188 6581808.442047302 10.69, 189114.28726098576 6581808.132723648 10.69, 189114.1558826926 6581808.244017032 10.700000000000001, 189114.11763853428 6581808.267266217 10.700000000000001, 189113.4491224771 6581808.804611076 10.620000000000001, 189113.4208520684 6581808.827034836 10.61, 189112.94108054152 6581809.2182125375 10.620000000000001, 189112.83714723616 6581809.2971084155 10.61, 189112.70329268067 6581809.378480555 10.55, 189112.019024926 6581809.846834598 10.38, 189111.8668737113 6581809.94980508 10.370000000000001, 189111.80950747273 6581809.984678851 10.370000000000001, 189111.74299290514 6581810.030351798 10.35, 189111.71472249622 6581810.052775559 10.35, 189111.5243271225 6581810.178995227 10.33, 189111.38132423686 6581810.271166538 10.32, 189111.19925177126 6581810.376613283 10.3, 189111.00803097617 6581810.492859199 10.34, 189110.7594439424 6581810.643978892 10.370000000000001, 189110.59649355564 6581810.737801043 10.38, 189110.423569419 6581810.83244862 10.41, 189110.39529901004 6581810.854872384 10.41, 189110.29968861205 6581810.912995342 10.4, 189110.1658340551 6581810.994367485 10.35, 189109.92639534955 6581811.134688008 10.32, 189109.8490816102 6581811.171212624 10.34, 189109.7725932917 6581811.217710992 10.34, 189109.6678345643 6581811.286633121 10.33, 189109.56225041574 6581811.345581502 10.3, 189109.37618824485 6581811.160138651 10.4, 189109.13695563964 6581810.938927903 10.49, 189108.92014679726 6581810.745987563 10.57, 189108.72411087615 6581810.561370129 10.55, 189108.65849042876 6581810.496506404 10.57, 189108.51727578387 6581810.367604369 10.61, 189108.48487827036 6581810.340159378 10.620000000000001, 189108.39765948098 6581810.2569989925 10.64, 189108.12520394137 6581809.998369503 10.71, 189107.9839892963 6581809.869467466 10.74, 189107.94079261186 6581809.832874147 10.74, 189107.8751721644 6581809.768010419 10.75, 189107.58194370312 6581809.501058017 10.83, 189107.41913071577 6581809.353859319 10.88, 189107.36348401906 6581809.288170173 10.89, 189107.0619326483 6581809.041990689 10.950000000000001, 189106.9107442529 6581808.913914072 10.97, 189106.8027525416 6581808.8224307755 10.99, 189106.6075420404 6581808.647787086 11.040000000000001, 189106.511174921 6581808.575425869 11.06, 189106.33838818286 6581808.429052589 11.07, 189106.0468105622 6581808.182047684 11.14, 189105.83082713926 6581807.9990810845 11.22, 189105.64724122966 6581807.843559476 11.21, 189105.6148437161 6581807.816114484 11.21, 189105.57164703147 6581807.779521163 11.22, 189105.2368727256 6581807.495922934 11.28, 189105.1936760411 6581807.459329616 11.290000000000001, 189105.11643100163 6581807.375343803 11.3, 189104.88799756614 6581807.16328137 11.34, 189104.76755584223 6581807.042702238 11.36, 189104.6363149471 6581806.912974774 11.38, 189104.462702788 6581806.756627744 11.4, 189104.41868068284 6581806.710060674 11.41, 189104.36385940638 6581806.654345272 11.43, 189104.23261851125 6581806.524617807 11.48, 189104.1130022077 6581806.414012423 11.5, 189104.0257834178 6581806.330852033 11.51, 189103.68770742917 6581806.007358791 11.59, 189103.50247067842 6581805.831889677 11.620000000000001, 189103.2732118218 6581805.609853486 11.73, 189103.09877424192 6581805.443532698 11.74, 189102.98913168925 6581805.3321018955 11.75, 189102.91106122948 6581805.238142329 11.77, 189102.87866371596 6581805.210697338 11.77, 189102.83464161074 6581805.164130267 11.78, 189102.80141867668 6581805.126711523 11.790000000000001, 189102.69177612395 6581805.015280717 11.81, 189102.5713343998 6581804.89470158 11.950000000000001, 189102.17513545352 6581804.475597927 12.02, 189102.15271169093 6581804.447327516 12.02, 189102.1302879278 6581804.419057103 12.02, 189102.06466748047 6581804.354193371 12.040000000000001, 189101.85535612586 6581804.130506336 12.09, 189101.78973567823 6581804.065642603 12.1, 189101.70169146796 6581803.972508456 12.120000000000001, 189101.44918342854 6581803.712228097 12.200000000000001, 189101.30631794198 6581803.5633785445 12.26, 189100.97821570426 6581803.239059872 12.33, 189100.61854137294 6581802.897269954 12.38, 189100.31286289782 6581802.601221688 12.450000000000001, 189100.2472424502 6581802.53635795 12.44, 189100.18162200262 6581802.471494217 12.44, 189100.02878276492 6581802.323470085 12.5, 189099.9299393834 6581802.221187603 12.51, 189099.44982332794 6581801.758818539 12.61, 189099.32938160416 6581801.638239396 12.63, 189099.30778326181 6581801.619942736 12.63, 189099.25213656528 6581801.554253579 12.64, 189099.1940136082 6581801.458643166 12.65, 189099.01379808714 6581801.2225061115 12.66, 189098.9224521967 6581801.089476957 12.68, 189098.6384407741 6581800.691214913 12.72, 189098.28633264476 6581800.1981678745 12.780000000000001, 189098.17338841222 6581800.046842055 12.790000000000001, 189097.8777524 6581799.6294579245 12.83, 189097.82045486371 6581799.54382126 12.84, 189097.79968194145 6581799.535498352 12.84, 189097.70751063165 6581799.392495442 12.83, 189097.4575475651 6581799.041625885 12.86, 189097.2997558086 6581798.833759237 12.88, 189097.2740303665 6581798.76559382 12.89, 189097.1046827312 6581798.418094654 12.950000000000001, 189097.07813186926 6581798.339955482 12.96, 189097.06650727807 6581798.320833399 12.97, 189097.0067334827 6581798.205275484 13, 189096.89550880383 6581797.953386728 13.02, 189096.87060878205 6581797.895195063 13.030000000000001, 189096.7734849542 6581797.692349643 13.06, 189096.69878488895 6581797.517774641 13.11, 189096.63736025424 6581797.382269219 13.14, 189096.52943725605 6581797.170275471 13.16, 189096.38168796618 6581796.84107296 13.19, 189096.34351251408 6581796.743811705 13.21, 189096.20566826267 6581796.534294216 13.25, 189096.11432237492 6581796.401265053 13.27, 189096.06864943082 6581796.334750472 13.27, 189095.9067305781 6581796.077015062 13.26, 189095.73401255452 6581795.810131321 13.280000000000001, 189095.3213052227 6581795.191552588 13.38, 189095.28643145016 6581795.134186337 13.4, 189095.0564158936 6581794.781665929 13.43, 189094.91939706344 6581794.582122183 13.43, 189094.90777247265 6581794.563000099 13.43, 189094.8546020367 6581794.527232191 13.43, 189094.84297744598 6581794.508110108 13.44, 189094.37441727374 6581794.185373517 13.39, 189094.30047391512 6581794.141282697 13.4, 189094.19330762338 6581794.059773131 13.39, 189093.96982670802 6581793.907553167 13.4, 189093.71394827904 6581793.727888205 13.39, 189093.575209893 6581793.628907391 13.48, 189093.14902098337 6581793.33279037 13.59, 189092.72283207322 6581793.036673349 13.36, 189092.4669536429 6581792.8570083855 13.34, 189092.36804154562 6581792.875236331 13.32, 189091.91007438744 6581792.923179384 13.24, 189091.81033687032 6581792.931433579 13.24, 189091.73137227603 6581792.948010686 13.24, 189091.45293264702 6581792.981096185 13.26, 189091.3930901367 6581792.986048703 13.290000000000001, 189091.13459801034 6581793.017483363 13.290000000000001, 189091.00493923743 6581793.028213815 13.31, 189090.86613213184 6581793.049743442 13.31, 189090.61678833695 6581793.07037893 13.31, 189090.51787623827 6581793.088606877 13.31, 189090.47461083578 6581793.172523989 13.290000000000001, 189090.2757550681 6581793.5605374575 13.23, 189090.268257575 6581793.591284132 13.22, 189090.25078633009 6581793.622856227 13.22, 189090.06940180843 6581793.979297601 13.11, 189089.99201933632 6581794.136332656 13.07, 189089.87886895507 6581794.346538147 13.040000000000001, 189089.7149556796 6581794.67140743 12.96, 189089.66336736508 6581794.776097466 12.92, 189089.62092738308 6581794.8699883325 12.88, 189089.52015829826 6581795.229800103 12.74, 189089.39270092355 6581795.752493585 12.68, 189089.35356262093 6581795.886279458 12.67, 189089.3460651285 6581795.917026136 12.69, 189089.32357265084 6581796.00926616 12.65, 189089.30190559296 6581796.111479939 12.620000000000001, 189089.26441813062 6581796.265213317 12.58, 189089.23442816082 6581796.388200019 12.540000000000001, 189089.20443819085 6581796.511186718 12.52, 189089.1361353398 6581796.777933048 12.4, 189089.10366911063 6581796.870998493 12.38, 189089.05868415674 6581797.055478548 12.34, 189089.0445145921 6581797.126945652 12.34, 189089.02202211518 6581797.219185677 12.33, 189088.8216529439 6581797.346230767 12.280000000000001, 189088.73601627612 6581797.403528307 12.26, 189088.6595279401 6581797.4500266705 12.23, 189088.24881584453 6581797.70494227 12.120000000000001, 189088.21139709646 6581797.738165206 12.13, 189087.96363542427 6581797.899258654 12.07, 189087.9478150201 6581797.950778253 12.040000000000001, 189087.89120547555 6581798.116136224 11.98, 189087.8254475987 6581798.292293367 11.98, 189087.78630929842 6581798.426079241 12, 189087.71305393043 6581798.632983062 11.98, 189087.68891061447 6581798.705275588 11.94, 189087.6323010705 6581798.870633557 11.96, 189087.5282303153 6581799.190550332 11.950000000000001, 189087.40751373715 6581799.552012952 11.950000000000001, 189087.33425837057 6581799.758916773 11.93, 189087.25515635265 6581800.016514775 11.91, 189087.21519263386 6581800.140326898 11.950000000000001, 189087.17440349504 6581800.254165271 11.950000000000001, 189087.12192105385 6581800.469392004 11.950000000000001, 189087.07528526383 6581800.633924558 11.89, 189086.93950499682 6581801.177390981 11.88, 189086.76458643423 6581801.854643281 12.120000000000001, 189086.69793443312 6581802.141337121 12.24, 189086.66044697707 6581802.295070503 12.32, 189086.62963159184 6581802.408083456 12.39, 189086.59964162728 6581802.531070161 12.42, 189086.59214413597 6581802.561816838 12.42, 189086.57549831335 6581802.603362687 12.42, 189086.36990178924 6581803.152607055 12.42, 189086.2458835395 6581803.474174675 12.41, 189086.18762316013 6581803.619585145 12.39, 189086.01366744377 6581804.065790315 12.42, 189085.964555397 6581804.200401616 12.4, 189085.81639383617 6581804.594261762 12.34, 189085.76563094865 6581804.708925558 12.34, 189085.74396389717 6581804.811139341 12.33, 189085.71149767318 6581804.904204792 12.280000000000001, 189085.672359379 6581805.037990672 12.25, 189085.60825235175 6581805.234095326 12.21, 189085.48333998013 6581805.666199642 12.17, 189085.4125608839 6581805.9030247275 12.15, 189085.395915062 6581805.944570578 12.15, 189085.34927927848 6581806.109103135 12.120000000000001, 189085.2368856282 6581806.449792842 12.1, 189085.15028613224 6581806.738137529 12.11, 189085.13529115164 6581806.799630884 12.120000000000001, 189085.11947075074 6581806.851150487 12.11, 189085.03287125536 6581807.139495173 12.09, 189084.9937329634 6581807.273281055 12.08, 189084.92384799419 6581807.399569445 12.07, 189084.8980538412 6581807.451914468 12.07, 189084.78490347724 6581807.662119983 12.02, 189084.62016480742 6581807.977015538 12.05, 189084.34227577545 6581808.502116611 12.02, 189084.1251233811 6581808.911728468 12.01, 189084.0901808972 6581808.9748726655 12, 189084.035290909 6581809.039667704 12.030000000000001, 189083.89971677976 6581809.221602805 11.98, 189083.79908513452 6581809.340393709 12.01, 189083.33334565506 6581809.901125286 12.120000000000001, 189083.20609443658 6581810.062287463 12.13, 189083.06886946614 6581810.224275061 12.18, 189082.86010868673 6581810.492603551 12.23, 189082.77694828366 6581810.579822358 12.18, 189082.67714205966 6581810.708587016 12.18, 189082.4126658715 6581811.031736793 12.27, 189082.4043429611 6581811.052509717 12.27, 189082.38852256146 6581811.104029321 12.27, 189082.3901734033 6581811.123976826 12.27, 189082.3343892941 6581811.299308565 12.25, 189082.20865151845 6581811.7214391455 12.17, 189082.16036489914 6581811.866024204 12.18, 189082.10540621163 6581812.051329695 12.19, 189081.9088893524 6581812.71028537 12.21, 189081.84560775605 6581812.916363788 12.18, 189081.91618074483 6581813.04107004 12.11, 189081.94025535515 6581813.08928796 12.11, 189082.04735297046 6581813.29130797 11.99, 189082.08387759648 6581813.368621723 11.94, 189082.27482363844 6581813.734417574 11.700000000000001, 189082.37112208095 6581813.927289251 11.63, 189082.6467419719 6581814.4668346895 11.41, 189082.6832665988 6581814.544148445 11.39, 189082.78953879443 6581814.736194701 11.33, 189083.2041718884 6581814.892679141 11.1, 189083.36952987307 6581814.949288666 11.03, 189083.61797956022 6581815.0391898295 10.870000000000001, 189083.9802676274 6581815.16988012 10.76, 189084.50708825607 6581815.347206185 10.700000000000001, 189084.65249873482 6581815.405466548 10.68, 189084.71481751133 6581815.430435276 10.67, 189084.77631086682 6581815.445430254 10.67, 189084.8901492465 6581815.486219379 10.66, 189085.58666104934 6581815.408492385 10.63, 189085.6556518923 6581815.392740683 10.64, 189085.75538941287 6581815.384486469 10.700000000000001, 189085.9540390324 6581815.358004295 10.71, 189086.43195370713 6581815.308410319 10.71, 189086.780209605 6581815.269546823 10.76, 189086.83922669553 6581815.254620543 10.77, 189086.98229830136 6581815.041938762 10.84, 189087.0804536753 6581814.893226603 10.84, 189087.21520237206 6581814.701317751 10.89, 189087.33997731697 6581814.510234318 10.92, 189087.49219725438 6581814.286753366 10.98, 189087.7508954758 6581813.893787333 11.06, 189087.7866633779 6581813.840616888 11.06, 189087.89396708302 6581813.681105557 11.06, 189088.07280659222 6581813.415253337 11.02, 189088.1618136362 6581813.277340349 11.05, 189088.18925862858 6581813.244942831 11.05, 189088.4113635287 6581812.895173492 11.08, 189088.5095189041 6581812.746461334 11.09, 189088.6084997005 6581812.60772293 11.14, 189088.82228169194 6581812.278726518 11.22, 189088.85722417285 6581812.215582321 11.22, 189088.95537954872 6581812.066870166 11.25, 189089.16001321014 6581811.748672927 11.28, 189089.28478815762 6581811.557589501 11.31, 189089.5068930604 6581811.20782017 11.3, 189089.52518972202 6581811.186221822 11.3, 189089.57842886506 6581811.101479282 11.3, 189089.80968209973 6581810.740910781 11.35, 189089.87619667826 6581810.695237826 11.36, 189089.98762749037 6581810.585595258 11.34, 189090.464922835 6581810.164496227 11.22, 189090.54890865443 6581810.087251176 11.200000000000001, 189090.68860987964 6581809.955184845 11.16, 189090.86655527016 6581809.799869325 11.11, 189091.17505355476 6581809.523286647 11.05, 189091.26901312562 6581809.445216174 11.01, 189091.2972835389 6581809.422792411 11.02, 189091.53094433504 6581809.21265561 11.05, 189091.73633471766 6581809.024942574 11.16, 189092.02571091952 6581808.759984491 11.27, 189092.0822517461 6581808.71513696 11.290000000000001, 189092.14794090344 6581808.659490256 11.3, 189092.20365630934 6581808.604668975 11.35, 189092.4373171053 6581808.3945321785 11.48, 189092.56869542005 6581808.283238772 11.57, 189092.61526249506 6581808.239216663 11.6, 189092.6335591568 6581808.217618319 11.61, 189092.85807162157 6581808.018280695 11.61, 189092.90381327597 6581807.9642848335 11.63, 189093.10920365812 6581807.776571802 11.67, 189093.27717529633 6581807.622081708 11.71, 189093.295471958 6581807.6004833635 11.72, 189093.45429526514 6581807.456792441 11.8, 189093.50086234027 6581807.412770335 11.82, 189093.51915900182 6581807.391171988 11.83, 189093.7245493841 6581807.203458961 11.89, 189093.87161069026 6581807.281666837 11.91, 189093.99707365222 6581807.341578049 11.9, 189094.33191669034 6581807.504665866 11.870000000000001, 189094.67755889992 6581807.676902012 11.84, 189094.9077118992 6581807.788401526 11.84, 189095.26332785888 6581807.95981225 11.84, 189095.556625048 6581808.106254247 11.83, 189095.67211425735 6581808.166990878 11.82, 189095.90226725512 6581808.27849039 11.81, 189096.12162108062 6581808.38084157 11.790000000000001, 189096.28773576376 6581808.567935285 11.77, 189096.48542254232 6581808.772500242 11.72, 189096.7055330854 6581809.005335608 11.67, 189096.73875602213 6581809.04275435 11.66, 189096.80520189536 6581809.117591835 11.63, 189096.88162151986 6581809.1916039 11.620000000000001, 189096.88244694058 6581809.201577652 11.6, 189097.0801337192 6581809.406142604 11.59, 189097.37748930784 6581809.722963784 11.52, 189097.45473435317 6581809.8069496015 11.5, 189097.77451370668 6581810.152041189 11.450000000000001, 189097.81771039462 6581810.188634512 11.450000000000001, 189097.90575461206 6581810.281768659 11.39, 189098.25628063997 6581810.634357734 11.27, 189098.37672237313 6581810.754936868 11.22, 189098.52956162218 6581810.902960993 11.15, 189098.72724840097 6581811.107525942 11.1, 189098.94653352344 6581811.330387547 11.040000000000001, 189099.13259570947 6581811.515830415 11, 189099.26383661473 6581811.645557876 10.98, 189099.30785872345 6581811.692124948 10.97, 189099.3959029409 6581811.785259093 10.94, 189099.5271438462 6581811.914986556 10.950000000000001, 189099.898442797 6581812.275898533 10.83, 189100.06373205985 6581812.453018485 10.77, 189100.09778041777 6581812.500410979 10.76, 189100.444110642 6581812.923641721 10.700000000000001, 189100.65672369796 6581813.187223746 10.65, 189100.69077205565 6581813.234616237 10.65, 189100.72399499267 6581813.2720349785 10.67, 189101.1267973404 6581813.770928618 10.69, 189101.75383733917 6581814.552526357 10.620000000000001, 189101.7762611041 6581814.580796766 10.620000000000001, 189101.87675533618 6581814.703026737 10.6, 189101.92160286597 6581814.759567554 10.57, 189102.06694462837 6581814.938338348 10.51, 189102.48054615036 6581815.446380306 10.55, 189102.51376908744 6581815.483799045 10.56, 189102.54781744553 6581815.5311915325 10.55, 189102.7712296755 6581815.803921883 10.55, 189102.8044526126 6581815.84134062 10.53, 189103.08351154486 6581816.179760118 10.25, 189103.10510988883 6581816.198056775 10.23, 189103.36257047742 6581816.51817961 10.15, 189103.41071969282 6581816.614615429 10.13, 189103.4231697074 6581816.643711261 10.120000000000001, 189103.5651410902 6581816.903097475 10.02, 189103.73201250256 6581817.220675348 9.93, 189103.9802560687 6581817.67210778 9.950000000000001, 189104.09980368766 6581817.9032235835 9.91, 189104.3139988967 6581818.307263523 9.870000000000001, 189104.37212186388 6581818.402873922 9.88, 189104.44523980346 6581818.4369909745 9.91, 189104.7252615473 6581818.544363353 10.040000000000001, 189104.8075278162 6581818.567681236 10.07, 189104.8706720051 6581818.602623708 10.13, 189105.0568028866 6581818.6675561275 10.18, 189105.60687262093 6581818.883126304 10.56, 189106.3330994828 6581819.1644543195 10, 189107.55835732492 6581818.80195913 9.4, 189107.57582856144 6581818.770387038 9.42, 189107.9692753997 6581818.185512229 9.5, 189108.30116020032 6581817.706152874 8.88, 189108.83932946267 6581816.928543826 9.36, 189109.08055639686 6581816.567149942 9.39, 189109.21943217458 6581816.425109872 9.36, 189109.51382954564 6581816.099483887 9.55, 189109.7450140345 6581815.859425851 9.68, 189110.36373002746 6581815.205697624 10.14, 189110.39117501455 6581815.17330011 10.120000000000001, 189110.40947167284 6581815.151701768 10.1, 189110.4460649888 6581815.108505082 10.1, 189110.6498044909 6581814.900844565 9.88, 189110.94420186232 6581814.575218585 9.57, 189111.17944475956 6581814.50553973 9.32, 189112.25509631878 6581814.155425914 8.94, 189112.6557658586 6581814.021846152 8.94, 189113.12542622606 6581813.872514693 8.96, 189113.15369663393 6581813.850090929 8.97, 189113.23850785743 6581813.782819643 8.94, 189113.35158948868 6581813.69312459 8.790000000000001, 189113.85213392135 6581813.31026978 8.41, 189114.4566116552 6581812.848519096 8.23, 189114.74014115357 6581812.634255223 8.07, 189114.85322278424 6581812.544560172 8.05, 189115.5766287924 6581811.942420277 7.94, 189115.7179808307 6581811.830301468 7.95, 189115.9433186709 6581811.640937622 8.09, 189116.6949950846 6581811.016373972 8.71))</t>
  </si>
  <si>
    <t>['KV42900 S1D1 m2128-2156']</t>
  </si>
  <si>
    <t>LINESTRING Z (189244.07633429777 6581454.365091889 8.26, 189244.23770301917 6581454.130812494 8.23, 189244.32588494418 6581453.982926174 8.31, 189244.65694534505 6581453.4935945105 8.23, 189244.87987633678 6581453.153799948 8.22, 189244.96888365498 6581453.015887373 8.27, 189245.55781766458 6581452.123617132 8.64, 189245.80819370726 6581451.75142517 9.05, 189245.89802641893 6581451.623486344 9.21, 189246.03195009392 6581451.421604356 9.35, 189245.94074273086 6581451.047554513 9.4, 189245.64634777058 6581449.917082019 9.38, 189245.59744252177 6581449.690162127 9.42, 189244.98519343056 6581449.2086011525 9.42, 189244.87802747887 6581449.127091398 9.4, 189244.12456424668 6581448.516628125 9.44, 189243.65187850845 6581448.144021948 9.41, 189243.5438871641 6581448.052538448 9.39, 189243.49071688415 6581448.016770439 9.34, 189243.46911861532 6581447.998473741 9.31, 189243.13599623187 6581447.734822371 9.4, 189242.99560748407 6581447.6158938175 9.39, 189242.9524109462 6581447.579300416 9.4, 189242.76965105272 6581447.433752206 9.43, 189242.7065070303 6581447.3988095885 9.44, 189242.51707496255 6581447.29398174 9.44, 189242.40158605186 6581447.233244857 9.47, 189242.0858659384 6581447.058531771 9.44, 189241.7909187014 6581446.892141642 9.44, 189241.6330586443 6581446.8047851 9.450000000000001, 189241.41205456416 6581446.682485941 9.44, 189241.25419450668 6581446.595129395 9.450000000000001, 189240.91770151426 6581446.412093351 9.46, 189240.89527785324 6581446.383822907 9.46, 189240.19505393028 6581445.68861731 9.53, 189240.18342940375 6581445.669495214 9.53, 189239.65764241747 6581445.140610705 9.51, 189239.52640201896 6581445.010883012 9.52, 189239.32871602906 6581444.806317728 9.52, 189239.03301243618 6581444.509443545 9.52, 189238.72650970897 6581444.203421013 9.49, 189238.54044824583 6581444.0179778235 9.52, 189238.3768104434 6581443.860805073 9.57, 189238.35438678256 6581443.832534633 9.57, 189237.81037213508 6581443.2047380665 9.540000000000001, 189237.57781256648 6581442.942806499 9.51, 189237.54458977113 6581442.905387705 9.51, 189237.3336284716 6581442.661752837 9.540000000000001, 189237.15754075133 6581442.475484248 9.56, 189236.97980224754 6581442.269268176 9.55, 189236.82448740466 6581442.091322547 9.58, 189236.7015699657 6581441.940821971 9.59, 189236.45821126294 6581441.669742045 9.620000000000001, 189236.23645082954 6581441.416958824 9.64, 189236.12515791686 6581441.285580337 9.68, 189235.58196866437 6581440.667757499 9.86, 189235.4050555529 6581440.471515163 9.89, 189235.15007232473 6581440.18131314 9.94, 189235.11684952915 6581440.143894342 9.94, 189234.6840587544 6581439.767986546 9.96, 189234.6192639469 6581439.713096436 9.96, 189234.45810231968 6581439.585844909 9.9, 189234.05853433948 6581439.247355903 10.040000000000001, 189233.82095337816 6581439.046092169 10.01, 189233.20457731356 6581438.514662385 10.120000000000001, 189232.94622347417 6581438.30507569 10.11, 189232.81663385854 6581438.195295471 10.14, 189232.4062667424 6581437.847658105 10.23, 189232.35144567757 6581437.7919426 10.25, 189232.29827539617 6581437.756174589 10.26, 189232.2766771266 6581437.737877882 10.26, 189232.21105692734 6581437.673014032 10.28, 189231.8762837532 6581437.389415125 10.370000000000001, 189231.5739079829 6581437.133261275 10.46, 189231.09957144887 6581436.740707533 10.51, 189231.00237923692 6581436.658372366 10.51, 189230.60198586225 6581436.309909598 10.620000000000001, 189230.580387593 6581436.291612895 10.61, 189230.38682855997 6581436.136916303 10.65, 189229.92913794634 6581435.702816799 10.700000000000001, 189229.79789754725 6581435.573089086 10.65, 189229.52544300596 6581435.314459053 10.73, 189229.5038447366 6581435.296162351 10.73, 189229.44984906295 6581435.250420588 10.74, 189229.27458673395 6581435.074125723 10.75, 189228.51204417413 6581434.353951117 10.81, 189228.40322743577 6581434.252493852 10.84, 189227.80349728768 6581433.679518268 10.92, 189227.7162788185 6581433.596357703 10.93, 189227.67308227974 6581433.559764295 10.94, 189227.5534664066 6581433.449158676 10.94, 189227.3682303336 6581433.273689195 10.96, 189227.11737406132 6581433.033355858 11.07, 189226.9977581881 6581432.9227502365 11.120000000000001, 189226.7577010502 6581432.691565248 11.14, 189226.6480589208 6581432.580134237 11.19, 189226.39802803914 6581432.349774636 11.22, 189226.05493190017 6581432.086948586 11.27, 189226.02253449586 6581432.059503528 11.27, 189225.96936421312 6581432.023735508 11.28, 189225.92616767413 6581431.987142097 11.27, 189225.79740344785 6581431.88733561 11.290000000000001, 189225.29314567742 6581431.497258006 11.36, 189224.9608486718 6581431.243580299 11.43, 189224.4250188868 6581430.836031378 11.540000000000001, 189224.18908870273 6581430.6547151 11.58, 189224.0071541926 6581430.519140589 11.64, 189223.6640580509 6581430.256314525 11.8, 189223.38575671788 6581430.048378578 11.9, 189223.31016277417 6581429.98434011 11.91, 189223.1390273983 6581429.857913948 11.96, 189223.10662999377 6581429.830468889 11.96, 189223.01191395294 6581429.778054943 11.97, 189222.8856258983 6581429.708169685 11.97, 189222.59982699296 6581429.530980355 11.950000000000001, 189222.3048797344 6581429.364590164 11.94, 189222.19936455798 6581429.303027865 11.93, 189222.11462226068 6581429.249788527 11.93, 189221.3436186203 6581428.791407368 11.94, 189221.2804745924 6581428.756464736 11.94, 189221.05864510388 6581428.624191784 11.96, 189220.86921301973 6581428.519363887 11.98, 189220.59421324695 6581428.351322913 12.02, 189220.22532282182 6581428.140841727 12.05, 189220.19375080778 6581428.123370411 12.06, 189219.6553757853 6581427.80641055 12.11, 189219.52908772836 6581427.736525283 12.13, 189219.50748945848 6581427.718228577 12.13, 189219.04305759777 6581427.445359699 12.200000000000001, 189218.9483415548 6581427.392945751 12.21, 189218.88437213545 6581427.348029374 12.22, 189218.72651206364 6581427.26067279 12.25, 189218.70491379348 6581427.2423760835 12.25, 189218.49305804638 6581427.109277733 12.22, 189217.75362640654 6581426.668367864 12.34, 189217.2036268519 6581426.332285892 12.4, 189217.14048282278 6581426.29734326 12.39, 189216.50574096647 6581425.908021942 12.290000000000001, 189216.45339607232 6581425.882227662 12.280000000000001, 189216.39025204268 6581425.847285029 12.280000000000001, 189216.04048370844 6581425.625179306 12.24, 189215.49130953976 6581425.299071071 12.280000000000001, 189215.15234033915 6581425.086113699 12.11, 189214.97288199398 6581424.980460403 12.1, 189214.69788221293 6581424.812419409 12.1, 189214.66631019796 6581424.794948093 12.11, 189214.62393904768 6581424.768328421 12.11, 189214.41290868714 6581424.645203806 12.11, 189214.1694809206 6581424.49463413 12.09, 189213.82053797314 6581424.2825021455 12.15, 189213.51396617544 6581424.096989832 12.19, 189213.28133754327 6581423.955568507 12.21, 189213.19659524213 6581423.902329164 12.22, 189212.89084883407 6581423.726790591 12.25, 189212.76373538224 6581423.646931574 12.27, 189212.60174835334 6581423.50970626 12.290000000000001, 189212.3217962265 6581423.281822792 12.26, 189212.257826805 6581423.236906408 12.24, 189212.192206603 6581423.172042539 12.22, 189212.1174380465 6581423.117977803 12.23, 189211.82668678398 6581422.88094598 12.21, 189211.67549888988 6581422.7528690165 12.23, 189211.64310148417 6581422.725423956 12.23, 189211.62150321354 6581422.707127247 12.23, 189211.5791320628 6581422.680507573 12.23, 189211.14799204073 6581422.324547137 12.290000000000001, 189210.93200933438 6581422.141580047 12.3, 189210.9112364542 6581422.1332570845 12.3, 189210.8680399129 6581422.096663665 12.31, 189210.80324510107 6581422.041773538 12.31, 189209.62944091088 6581421.0844978625 12.38, 189208.88677674148 6581420.483182616 12.49, 189208.724789711 6581420.345957295 12.530000000000001, 189208.60599922185 6581420.245325388 12.51, 189208.44483758148 6581420.118073814 12.540000000000001, 189208.3584444984 6581420.044886973 12.57, 189208.32604709227 6581420.017441906 12.57, 189208.04031723074 6581419.719742208 12.76, 189207.94312501245 6581419.637407014 12.790000000000001, 189207.47215906897 6581419.164237788 13.290000000000001, 189207.3176696127 6581418.996265835 13.36, 189207.2852722064 6581418.96882077 13.35, 189206.69303960341 6581418.365098398 13.8, 189206.59584738477 6581418.2827632 13.86, 189206.11325691576 6581417.790471864 13.8, 189206.00361478166 6581417.67904082 13.77, 189205.88317351183 6581417.55846142 13.91, 189205.82835244463 6581417.502745898 14.01, 189205.79595503822 6581417.475300831 14.030000000000001, 189205.67640822363 6581417.244184845 14.13, 189205.5568614091 6581417.013068856 14.22, 189205.41241476405 6581416.723761176 14.33, 189205.35346674715 6581416.618176925 14.39, 189205.27044428937 6581416.4643747285 14.42, 189204.99565169675 6581415.9348027 14.57, 189204.7449335461 6581415.453448617 14.75, 189204.64863578434 6581415.260576827 14.91, 189204.50583992188 6581414.991216632 15.07, 189204.28999534948 6581414.567228848 15.26, 189204.11232591252 6581414.240502349 15.4, 189203.8973067316 6581413.826488309 15.540000000000001, 189203.7296110416 6581413.498936418 15.66, 189203.5270417771 6581413.114018221 15.81, 189203.32103281666 6581412.930225716 15.93, 189203.1274737711 6581412.775529057 16.12, 189203.04108068848 6581412.7023422085 16.11, 189202.66228556284 6581412.3721760055 16.21, 189202.47952565213 6581412.226627699 16.28, 189202.45710199192 6581412.198357243 16.3, 189202.16635072778 6581411.961325377 16.52, 189201.0000441107 6581410.973302919 17.22, 189200.4826456876 6581411.759232706 17.46, 189200.1532357969 6581412.268511923 17.48, 189199.72567015974 6581412.926502871 17.5, 189199.64498573443 6581413.043642583 17.51, 189198.45129622548 6581414.87970286 17.46, 189198.1210609522 6581415.379008348 17.67, 189197.88065845962 6581415.750374984 17.55, 189198.00275051524 6581415.890901886 17.41, 189198.19046277605 6581416.096292665 17.26, 189199.74113514164 6581417.845828536 15.96, 189200.12735880114 6581418.265758443 15.67, 189200.5036087149 6581418.686513737 15.34, 189200.53765690315 6581418.733906295 15.200000000000001, 189200.6149016351 6581418.817892275 15.19, 189200.79264015134 6581419.024108437 15.07, 189201.3782005998 6581419.66855121 14.870000000000001, 189201.43467245024 6581419.744214223 14.82, 189201.8400182118 6581420.152519592 14.530000000000001, 189202.19054290326 6581420.505109437 14.41, 189202.22294031119 6581420.532554505 14.35, 189203.01203356235 6581421.330868519 13.96, 189203.78950228723 6581422.110060422 13.63, 189204.08603129943 6581422.416908482 13.35, 189204.37093578518 6581422.70463444 13.25, 189204.40415858326 6581422.742053245 13.24, 189204.55782265752 6581422.900051457 13.08, 189205.12680623832 6581423.465529617 12.9, 189205.24807290483 6581423.596082758 12.82, 189205.34609051835 6581423.688391696 12.75, 189205.42333525053 6581423.77237767 12.76, 189205.59859759634 6581423.9486725805 12.76, 189205.8427817106 6581424.229726349 12.77, 189206.10856409644 6581424.529076825 12.620000000000001, 189206.25225442537 6581424.687900417 12.56, 189206.62932973297 6581425.1186294155 12.370000000000001, 189206.70739985612 6581425.212589136 12.39, 189206.93995944422 6581425.474520798 12.280000000000001, 189207.0620515017 6581425.61504768 12.280000000000001, 189207.11769796256 6581425.680736942 12.25, 189207.46155047236 6581426.074047129 12.290000000000001, 189207.7165337234 6581426.364249242 12.290000000000001, 189207.8494249169 6581426.513924475 12.280000000000001, 189208.07201076054 6581426.776681525 12.290000000000001, 189208.10440816812 6581426.804126586 12.290000000000001, 189208.35939141933 6581427.094328696 12.280000000000001, 189208.57606141694 6581427.528290194 12.290000000000001, 189208.7196826915 6581427.807624107 12.3, 189208.768656971 6581427.914033742 12.32, 189208.87657927535 6581428.126027619 12.34, 189208.91310363734 6581428.203341403 12.41, 189208.9596017446 6581428.279829802 12.35, 189209.0442749955 6581428.453579476 12.47, 189209.22442063398 6581428.810227177 12.48, 189209.35559199273 6581429.060465246 12.41, 189209.69180882844 6581429.725542709 12.120000000000001, 189209.84870541532 6581430.043946208 11.99, 189210.08862447419 6581430.51615189 12, 189210.12514883728 6581430.5934656765 12, 189210.1948959994 6581430.708198271 12.01, 189210.2803946439 6581430.891921686 12.11, 189210.40503192932 6581430.941859463 12.11, 189210.69585226174 6581431.058380943 12.09, 189210.7689700402 6581431.092498183 12.08, 189211.17362852074 6581431.249809085 12.13, 189211.35061070276 6581431.32554114 12.11, 189211.9629979888 6581431.566081664 12.16, 189212.08763527294 6581431.61601944 12.19, 189212.4200013635 6581431.749186844 12.18, 189212.44077424408 6581431.7575098025 12.17, 189212.50309288583 6581431.782478691 12.17, 189213.0124411558 6581431.991378146 12.120000000000001, 189213.2301437058 6581432.073782378 12.11, 189213.2617157221 6581432.091253693 12.1, 189214.279586864 6581432.49907885 12.05, 189214.71581735142 6581432.673861059 11.99, 189214.80888261716 6581432.706327515 11.97, 189215.19359359803 6581432.865289188 11.92, 189216.04528168624 6581433.206530636 11.78, 189216.16991896718 6581433.25646841 11.72, 189216.6576689536 6581433.447071144 11.67, 189216.78643319017 6581433.546877638 11.66, 189217.1527784104 6581433.847947902 11.69, 189217.24997063092 6581433.930283079 11.700000000000001, 189217.50832449424 6581434.139869808 11.76, 189217.60469132377 6581434.212231243 11.78, 189218.5201416759 6581434.959920015 11.83, 189218.60653476056 6581435.033106839 11.83, 189218.67050418293 6581435.078023214 11.85, 189219.58595453267 6581435.825711977 11.89, 189219.6715222255 6581435.888925052 11.88, 189219.76871444582 6581435.971260231 11.89, 189219.7903127168 6581435.989556936 11.88, 189219.811910988 6581436.007853641 11.870000000000001, 189220.1566579342 6581436.290627182 11.86, 189220.43578467547 6581436.508536866 11.86, 189220.51220401574 6581436.582549078 11.85, 189220.56619969348 6581436.628290842 11.86, 189220.6525927778 6581436.7014776645 11.85, 189220.96741849103 6581436.986727378 11.870000000000001, 189221.01061503298 6581437.0233207885 11.870000000000001, 189221.12940552382 6581437.123952667 11.88, 189221.47662864346 6581437.436647437 11.89, 189221.735807896 6581437.656207899 11.92, 189221.8770220494 6581437.785110226 11.89, 189222.14782582835 6581438.023792782 11.81, 189222.2558171833 6581438.115276302 11.78, 189222.66700972378 6581438.472887439 11.61, 189222.9594117736 6581438.729866697 11.48, 189223.69622916088 6581439.381875885 11.27, 189223.90141273482 6581439.5556945745 11.19, 189224.03182775213 6581439.675448544 11.120000000000001, 189224.23783671763 6581439.85924098 11.01, 189224.34500268055 6581439.940750756 11, 189224.61580645834 6581440.179433304 11, 189224.6382301211 6581440.207703752 10.98, 189224.70385032526 6581440.272567607 10.99, 189224.7470468672 6581440.309161017 11, 189225.02699899703 6581440.5370444255 10.92, 189225.2321825705 6581440.710863114 10.89, 189225.42739240004 6581440.885507192 10.88, 189225.70734452968 6581441.113390603 10.88, 189225.9457509005 6581441.324628086 10.86, 189226.3876900609 6581441.689736772 10.78, 189226.54967709206 6581441.826962047 10.77, 189226.73326239374 6581441.982484027 10.74, 189226.8088563417 6581442.046522492 10.73, 189226.95007049362 6581442.175424808 10.71, 189227.4792281278 6581442.623694041 10.65, 189227.76997939136 6581442.860725793 10.620000000000001, 189228.00756036973 6581443.061989532 10.56, 189228.18034653558 6581443.208363157 10.55, 189228.49352146097 6581443.473665351 10.52, 189228.53671800252 6581443.510258758 10.52, 189228.80752177845 6581443.748941288 10.47, 189229.42052727746 6581444.360986405 10.38, 189229.5085711442 6581444.454120703 10.36, 189229.56256682088 6581444.499862459 10.36, 189229.6398115523 6581444.583848407 10.36, 189229.9022923684 6581444.84330381 10.370000000000001, 189230.09997837257 6581445.047869108 10.33, 189230.25364244368 6581445.205867259 10.34, 189230.5161232599 6581445.465322661 10.27, 189230.71380926383 6581445.669887954 10.27, 189230.82262600935 6581445.771345211 10.25, 189230.93226814666 6581445.882776209 10.24, 189231.03111114877 6581445.985058855 10.23, 189231.41403323767 6581446.365093605 10.17, 189231.52367537527 6581446.476524601 10.15, 189232.03866326436 6581446.99626079 10.1, 189232.17072906467 6581447.135962231 10.09, 189232.42571231438 6581447.42616425 10.07, 189232.53783062828 6581447.567516473 10.040000000000001, 189232.65909729322 6581447.698069562 10.06, 189233.01539972215 6581448.1204754505 10.02, 189233.27120836475 6581448.420651208 10, 189233.29363202758 6581448.448921654 9.99, 189233.3717021516 6581448.542881337 9.98, 189233.71638005343 6581448.946165127 9.94, 189233.79362478532 6581449.030151069 9.92, 189234.0934553619 6581449.376893966 9.88, 189234.21637281188 6581449.527394539 9.86, 189234.43895865727 6581449.790151497 9.85, 189234.6058980407 6581449.987219211 9.85, 189234.70639182796 6581450.109449336 9.84, 189234.89410409034 6581450.314840011 9.84, 189234.96220047184 6581450.409625088 9.870000000000001, 189235.08429252997 6581450.550151915 9.870000000000001, 189235.45407737506 6581450.650096444 9.81, 189235.93687496055 6581450.780856632 9.78, 189236.3266072892 6581450.879150373 9.77, 189236.45041916502 6581450.919114381 9.77, 189236.5426590274 6581450.941607078 9.75, 189236.6963921314 6581450.979094905 9.76, 189237.14761769935 6581451.09238378 9.72, 189237.93788148434 6581451.298119614 9.68, 189238.05089422327 6581451.328935266 9.68, 189238.10241372138 6581451.344755788 9.68, 189238.5003999686 6581451.542786956 9.67, 189239.3495427433 6581451.974617295 9.4, 189239.40188763372 6581452.000411562 9.4, 189239.5589223047 6581452.07779436 9.5, 189240.51192946144 6581452.5512394775 9.32, 189240.70053614362 6581452.64609358 9.34, 189240.85757081333 6581452.723476374 9.34, 189241.38267049624 6581453.0013665045 9.32, 189241.52890603023 6581453.069600945 9.26, 189241.58125092014 6581453.095395212 9.24, 189241.83300162543 6581453.225191924 9.15, 189242.221014122 6581453.424048474 9.01, 189242.713716396 6581453.674493548 8.81, 189243.04938400135 6581453.847555834 8.63, 189243.08095601352 6581453.865027139 8.6, 189243.12250176776 6581453.881673053 8.58, 189243.20641866885 6581453.924938625 8.52, 189243.37425247114 6581454.011469763 8.45, 189243.5312871384 6581454.0888525555 8.4, 189243.63597691653 6581454.140441083 8.370000000000001, 189243.80381071835 6581454.226972222 8.36, 189243.88772761915 6581454.270237792 8.28, 189244.07633429777 6581454.365091889 8.26)</t>
  </si>
  <si>
    <t>POLYGON Z ((189244.07633429777 6581454.365091889 8.26, 189244.23770301917 6581454.130812494 8.23, 189244.32588494418 6581453.982926174 8.31, 189244.65694534505 6581453.4935945105 8.23, 189244.87987633678 6581453.153799948 8.22, 189244.96888365498 6581453.015887373 8.27, 189245.55781766458 6581452.123617132 8.64, 189245.80819370726 6581451.75142517 9.05, 189245.89802641893 6581451.623486344 9.21, 189246.03195009392 6581451.421604356 9.35, 189245.94074273086 6581451.047554513 9.4, 189245.64634777058 6581449.917082019 9.38, 189245.59744252177 6581449.690162127 9.42, 189244.98519343056 6581449.2086011525 9.42, 189244.87802747887 6581449.127091398 9.4, 189244.12456424668 6581448.516628125 9.44, 189243.65187850845 6581448.144021948 9.41, 189243.5438871641 6581448.052538448 9.39, 189243.49071688415 6581448.016770439 9.34, 189243.46911861532 6581447.998473741 9.31, 189243.13599623187 6581447.734822371 9.4, 189242.99560748407 6581447.6158938175 9.39, 189242.9524109462 6581447.579300416 9.4, 189242.76965105272 6581447.433752206 9.43, 189242.7065070303 6581447.3988095885 9.44, 189242.51707496255 6581447.29398174 9.44, 189242.40158605186 6581447.233244857 9.47, 189242.0858659384 6581447.058531771 9.44, 189241.7909187014 6581446.892141642 9.44, 189241.6330586443 6581446.8047851 9.450000000000001, 189241.41205456416 6581446.682485941 9.44, 189241.25419450668 6581446.595129395 9.450000000000001, 189240.91770151426 6581446.412093351 9.46, 189240.89527785324 6581446.383822907 9.46, 189240.19505393028 6581445.68861731 9.53, 189240.18342940375 6581445.669495214 9.53, 189239.65764241747 6581445.140610705 9.51, 189239.52640201896 6581445.010883012 9.52, 189239.32871602906 6581444.806317728 9.52, 189239.03301243618 6581444.509443545 9.52, 189238.72650970897 6581444.203421013 9.49, 189238.54044824583 6581444.0179778235 9.52, 189238.3768104434 6581443.860805073 9.57, 189238.35438678256 6581443.832534633 9.57, 189237.81037213508 6581443.2047380665 9.540000000000001, 189237.57781256648 6581442.942806499 9.51, 189237.54458977113 6581442.905387705 9.51, 189237.3336284716 6581442.661752837 9.540000000000001, 189237.15754075133 6581442.475484248 9.56, 189236.97980224754 6581442.269268176 9.55, 189236.82448740466 6581442.091322547 9.58, 189236.7015699657 6581441.940821971 9.59, 189236.45821126294 6581441.669742045 9.620000000000001, 189236.23645082954 6581441.416958824 9.64, 189236.12515791686 6581441.285580337 9.68, 189235.58196866437 6581440.667757499 9.86, 189235.4050555529 6581440.471515163 9.89, 189235.15007232473 6581440.18131314 9.94, 189235.11684952915 6581440.143894342 9.94, 189234.6840587544 6581439.767986546 9.96, 189234.6192639469 6581439.713096436 9.96, 189234.45810231968 6581439.585844909 9.9, 189234.05853433948 6581439.247355903 10.040000000000001, 189233.82095337816 6581439.046092169 10.01, 189233.20457731356 6581438.514662385 10.120000000000001, 189232.94622347417 6581438.30507569 10.11, 189232.81663385854 6581438.195295471 10.14, 189232.4062667424 6581437.847658105 10.23, 189232.35144567757 6581437.7919426 10.25, 189232.29827539617 6581437.756174589 10.26, 189232.2766771266 6581437.737877882 10.26, 189232.21105692734 6581437.673014032 10.28, 189231.8762837532 6581437.389415125 10.370000000000001, 189231.5739079829 6581437.133261275 10.46, 189231.09957144887 6581436.740707533 10.51, 189231.00237923692 6581436.658372366 10.51, 189230.60198586225 6581436.309909598 10.620000000000001, 189230.580387593 6581436.291612895 10.61, 189230.38682855997 6581436.136916303 10.65, 189229.92913794634 6581435.702816799 10.700000000000001, 189229.79789754725 6581435.573089086 10.65, 189229.52544300596 6581435.314459053 10.73, 189229.5038447366 6581435.296162351 10.73, 189229.44984906295 6581435.250420588 10.74, 189229.27458673395 6581435.074125723 10.75, 189228.51204417413 6581434.353951117 10.81, 189228.40322743577 6581434.252493852 10.84, 189227.80349728768 6581433.679518268 10.92, 189227.7162788185 6581433.596357703 10.93, 189227.67308227974 6581433.559764295 10.94, 189227.5534664066 6581433.449158676 10.94, 189227.3682303336 6581433.273689195 10.96, 189227.11737406132 6581433.033355858 11.07, 189226.9977581881 6581432.9227502365 11.120000000000001, 189226.7577010502 6581432.691565248 11.14, 189226.6480589208 6581432.580134237 11.19, 189226.39802803914 6581432.349774636 11.22, 189226.05493190017 6581432.086948586 11.27, 189226.02253449586 6581432.059503528 11.27, 189225.96936421312 6581432.023735508 11.28, 189225.92616767413 6581431.987142097 11.27, 189225.79740344785 6581431.88733561 11.290000000000001, 189225.29314567742 6581431.497258006 11.36, 189224.9608486718 6581431.243580299 11.43, 189224.4250188868 6581430.836031378 11.540000000000001, 189224.18908870273 6581430.6547151 11.58, 189224.0071541926 6581430.519140589 11.64, 189223.6640580509 6581430.256314525 11.8, 189223.38575671788 6581430.048378578 11.9, 189223.31016277417 6581429.98434011 11.91, 189223.1390273983 6581429.857913948 11.96, 189223.10662999377 6581429.830468889 11.96, 189223.01191395294 6581429.778054943 11.97, 189222.8856258983 6581429.708169685 11.97, 189222.59982699296 6581429.530980355 11.950000000000001, 189222.3048797344 6581429.364590164 11.94, 189222.19936455798 6581429.303027865 11.93, 189222.11462226068 6581429.249788527 11.93, 189221.3436186203 6581428.791407368 11.94, 189221.2804745924 6581428.756464736 11.94, 189221.05864510388 6581428.624191784 11.96, 189220.86921301973 6581428.519363887 11.98, 189220.59421324695 6581428.351322913 12.02, 189220.22532282182 6581428.140841727 12.05, 189220.19375080778 6581428.123370411 12.06, 189219.6553757853 6581427.80641055 12.11, 189219.52908772836 6581427.736525283 12.13, 189219.50748945848 6581427.718228577 12.13, 189219.04305759777 6581427.445359699 12.200000000000001, 189218.9483415548 6581427.392945751 12.21, 189218.88437213545 6581427.348029374 12.22, 189218.72651206364 6581427.26067279 12.25, 189218.70491379348 6581427.2423760835 12.25, 189218.49305804638 6581427.109277733 12.22, 189217.75362640654 6581426.668367864 12.34, 189217.2036268519 6581426.332285892 12.4, 189217.14048282278 6581426.29734326 12.39, 189216.50574096647 6581425.908021942 12.290000000000001, 189216.45339607232 6581425.882227662 12.280000000000001, 189216.39025204268 6581425.847285029 12.280000000000001, 189216.04048370844 6581425.625179306 12.24, 189215.49130953976 6581425.299071071 12.280000000000001, 189215.15234033915 6581425.086113699 12.11, 189214.97288199398 6581424.980460403 12.1, 189214.69788221293 6581424.812419409 12.1, 189214.66631019796 6581424.794948093 12.11, 189214.62393904768 6581424.768328421 12.11, 189214.41290868714 6581424.645203806 12.11, 189214.1694809206 6581424.49463413 12.09, 189213.82053797314 6581424.2825021455 12.15, 189213.51396617544 6581424.096989832 12.19, 189213.28133754327 6581423.955568507 12.21, 189213.19659524213 6581423.902329164 12.22, 189212.89084883407 6581423.726790591 12.25, 189212.76373538224 6581423.646931574 12.27, 189212.60174835334 6581423.50970626 12.290000000000001, 189212.3217962265 6581423.281822792 12.26, 189212.257826805 6581423.236906408 12.24, 189212.192206603 6581423.172042539 12.22, 189212.1174380465 6581423.117977803 12.23, 189211.82668678398 6581422.88094598 12.21, 189211.67549888988 6581422.7528690165 12.23, 189211.64310148417 6581422.725423956 12.23, 189211.62150321354 6581422.707127247 12.23, 189211.5791320628 6581422.680507573 12.23, 189211.14799204073 6581422.324547137 12.290000000000001, 189210.93200933438 6581422.141580047 12.3, 189210.9112364542 6581422.1332570845 12.3, 189210.8680399129 6581422.096663665 12.31, 189210.80324510107 6581422.041773538 12.31, 189209.62944091088 6581421.0844978625 12.38, 189208.88677674148 6581420.483182616 12.49, 189208.724789711 6581420.345957295 12.530000000000001, 189208.60599922185 6581420.245325388 12.51, 189208.44483758148 6581420.118073814 12.540000000000001, 189208.3584444984 6581420.044886973 12.57, 189208.32604709227 6581420.017441906 12.57, 189208.04031723074 6581419.719742208 12.76, 189207.94312501245 6581419.637407014 12.790000000000001, 189207.47215906897 6581419.164237788 13.290000000000001, 189207.3176696127 6581418.996265835 13.36, 189207.2852722064 6581418.96882077 13.35, 189206.69303960341 6581418.365098398 13.8, 189206.59584738477 6581418.2827632 13.86, 189206.11325691576 6581417.790471864 13.8, 189206.00361478166 6581417.67904082 13.77, 189205.88317351183 6581417.55846142 13.91, 189205.82835244463 6581417.502745898 14.01, 189205.79595503822 6581417.475300831 14.030000000000001, 189205.67640822363 6581417.244184845 14.13, 189205.5568614091 6581417.013068856 14.22, 189205.41241476405 6581416.723761176 14.33, 189205.35346674715 6581416.618176925 14.39, 189205.27044428937 6581416.4643747285 14.42, 189204.99565169675 6581415.9348027 14.57, 189204.7449335461 6581415.453448617 14.75, 189204.64863578434 6581415.260576827 14.91, 189204.50583992188 6581414.991216632 15.07, 189204.28999534948 6581414.567228848 15.26, 189204.11232591252 6581414.240502349 15.4, 189203.8973067316 6581413.826488309 15.540000000000001, 189203.7296110416 6581413.498936418 15.66, 189203.5270417771 6581413.114018221 15.81, 189203.32103281666 6581412.930225716 15.93, 189203.1274737711 6581412.775529057 16.12, 189203.04108068848 6581412.7023422085 16.11, 189202.66228556284 6581412.3721760055 16.21, 189202.47952565213 6581412.226627699 16.28, 189202.45710199192 6581412.198357243 16.3, 189202.16635072778 6581411.961325377 16.52, 189201.0000441107 6581410.973302919 17.22, 189200.4826456876 6581411.759232706 17.46, 189200.1532357969 6581412.268511923 17.48, 189199.72567015974 6581412.926502871 17.5, 189199.64498573443 6581413.043642583 17.51, 189198.45129622548 6581414.87970286 17.46, 189198.1210609522 6581415.379008348 17.67, 189197.88065845962 6581415.750374984 17.55, 189198.00275051524 6581415.890901886 17.41, 189198.19046277605 6581416.096292665 17.26, 189199.74113514164 6581417.845828536 15.96, 189200.12735880114 6581418.265758443 15.67, 189200.5036087149 6581418.686513737 15.34, 189200.53765690315 6581418.733906295 15.200000000000001, 189200.6149016351 6581418.817892275 15.19, 189200.79264015134 6581419.024108437 15.07, 189201.3782005998 6581419.66855121 14.870000000000001, 189201.43467245024 6581419.744214223 14.82, 189201.8400182118 6581420.152519592 14.530000000000001, 189202.19054290326 6581420.505109437 14.41, 189202.22294031119 6581420.532554505 14.35, 189203.01203356235 6581421.330868519 13.96, 189203.78950228723 6581422.110060422 13.63, 189204.08603129943 6581422.416908482 13.35, 189204.37093578518 6581422.70463444 13.25, 189204.40415858326 6581422.742053245 13.24, 189204.55782265752 6581422.900051457 13.08, 189205.12680623832 6581423.465529617 12.9, 189205.24807290483 6581423.596082758 12.82, 189205.34609051835 6581423.688391696 12.75, 189205.42333525053 6581423.77237767 12.76, 189205.59859759634 6581423.9486725805 12.76, 189205.8427817106 6581424.229726349 12.77, 189206.10856409644 6581424.529076825 12.620000000000001, 189206.25225442537 6581424.687900417 12.56, 189206.62932973297 6581425.1186294155 12.370000000000001, 189206.70739985612 6581425.212589136 12.39, 189206.93995944422 6581425.474520798 12.280000000000001, 189207.0620515017 6581425.61504768 12.280000000000001, 189207.11769796256 6581425.680736942 12.25, 189207.46155047236 6581426.074047129 12.290000000000001, 189207.7165337234 6581426.364249242 12.290000000000001, 189207.8494249169 6581426.513924475 12.280000000000001, 189208.07201076054 6581426.776681525 12.290000000000001, 189208.10440816812 6581426.804126586 12.290000000000001, 189208.35939141933 6581427.094328696 12.280000000000001, 189208.57606141694 6581427.528290194 12.290000000000001, 189208.7196826915 6581427.807624107 12.3, 189208.768656971 6581427.914033742 12.32, 189208.87657927535 6581428.126027619 12.34, 189208.91310363734 6581428.203341403 12.41, 189208.9596017446 6581428.279829802 12.35, 189209.0442749955 6581428.453579476 12.47, 189209.22442063398 6581428.810227177 12.48, 189209.35559199273 6581429.060465246 12.41, 189209.69180882844 6581429.725542709 12.120000000000001, 189209.84870541532 6581430.043946208 11.99, 189210.08862447419 6581430.51615189 12, 189210.12514883728 6581430.5934656765 12, 189210.1948959994 6581430.708198271 12.01, 189210.2803946439 6581430.891921686 12.11, 189210.40503192932 6581430.941859463 12.11, 189210.69585226174 6581431.058380943 12.09, 189210.7689700402 6581431.092498183 12.08, 189211.17362852074 6581431.249809085 12.13, 189211.35061070276 6581431.32554114 12.11, 189211.9629979888 6581431.566081664 12.16, 189212.08763527294 6581431.61601944 12.19, 189212.4200013635 6581431.749186844 12.18, 189212.44077424408 6581431.7575098025 12.17, 189212.50309288583 6581431.782478691 12.17, 189213.0124411558 6581431.991378146 12.120000000000001, 189213.2301437058 6581432.073782378 12.11, 189213.2617157221 6581432.091253693 12.1, 189214.279586864 6581432.49907885 12.05, 189214.71581735142 6581432.673861059 11.99, 189214.80888261716 6581432.706327515 11.97, 189215.19359359803 6581432.865289188 11.92, 189216.04528168624 6581433.206530636 11.78, 189216.16991896718 6581433.25646841 11.72, 189216.6576689536 6581433.447071144 11.67, 189216.78643319017 6581433.546877638 11.66, 189217.1527784104 6581433.847947902 11.69, 189217.24997063092 6581433.930283079 11.700000000000001, 189217.50832449424 6581434.139869808 11.76, 189217.60469132377 6581434.212231243 11.78, 189218.5201416759 6581434.959920015 11.83, 189218.60653476056 6581435.033106839 11.83, 189218.67050418293 6581435.078023214 11.85, 189219.58595453267 6581435.825711977 11.89, 189219.6715222255 6581435.888925052 11.88, 189219.76871444582 6581435.971260231 11.89, 189219.7903127168 6581435.989556936 11.88, 189219.811910988 6581436.007853641 11.870000000000001, 189220.1566579342 6581436.290627182 11.86, 189220.43578467547 6581436.508536866 11.86, 189220.51220401574 6581436.582549078 11.85, 189220.56619969348 6581436.628290842 11.86, 189220.6525927778 6581436.7014776645 11.85, 189220.96741849103 6581436.986727378 11.870000000000001, 189221.01061503298 6581437.0233207885 11.870000000000001, 189221.12940552382 6581437.123952667 11.88, 189221.47662864346 6581437.436647437 11.89, 189221.735807896 6581437.656207899 11.92, 189221.8770220494 6581437.785110226 11.89, 189222.14782582835 6581438.023792782 11.81, 189222.2558171833 6581438.115276302 11.78, 189222.66700972378 6581438.472887439 11.61, 189222.9594117736 6581438.729866697 11.48, 189223.69622916088 6581439.381875885 11.27, 189223.90141273482 6581439.5556945745 11.19, 189224.03182775213 6581439.675448544 11.120000000000001, 189224.23783671763 6581439.85924098 11.01, 189224.34500268055 6581439.940750756 11, 189224.61580645834 6581440.179433304 11, 189224.6382301211 6581440.207703752 10.98, 189224.70385032526 6581440.272567607 10.99, 189224.7470468672 6581440.309161017 11, 189225.02699899703 6581440.5370444255 10.92, 189225.2321825705 6581440.710863114 10.89, 189225.42739240004 6581440.885507192 10.88, 189225.70734452968 6581441.113390603 10.88, 189225.9457509005 6581441.324628086 10.86, 189226.3876900609 6581441.689736772 10.78, 189226.54967709206 6581441.826962047 10.77, 189226.73326239374 6581441.982484027 10.74, 189226.8088563417 6581442.046522492 10.73, 189226.95007049362 6581442.175424808 10.71, 189227.4792281278 6581442.623694041 10.65, 189227.76997939136 6581442.860725793 10.620000000000001, 189228.00756036973 6581443.061989532 10.56, 189228.18034653558 6581443.208363157 10.55, 189228.49352146097 6581443.473665351 10.52, 189228.53671800252 6581443.510258758 10.52, 189228.80752177845 6581443.748941288 10.47, 189229.42052727746 6581444.360986405 10.38, 189229.5085711442 6581444.454120703 10.36, 189229.56256682088 6581444.499862459 10.36, 189229.6398115523 6581444.583848407 10.36, 189229.9022923684 6581444.84330381 10.370000000000001, 189230.09997837257 6581445.047869108 10.33, 189230.25364244368 6581445.205867259 10.34, 189230.5161232599 6581445.465322661 10.27, 189230.71380926383 6581445.669887954 10.27, 189230.82262600935 6581445.771345211 10.25, 189230.93226814666 6581445.882776209 10.24, 189231.03111114877 6581445.985058855 10.23, 189231.41403323767 6581446.365093605 10.17, 189231.52367537527 6581446.476524601 10.15, 189232.03866326436 6581446.99626079 10.1, 189232.17072906467 6581447.135962231 10.09, 189232.42571231438 6581447.42616425 10.07, 189232.53783062828 6581447.567516473 10.040000000000001, 189232.65909729322 6581447.698069562 10.06, 189233.01539972215 6581448.1204754505 10.02, 189233.27120836475 6581448.420651208 10, 189233.29363202758 6581448.448921654 9.99, 189233.3717021516 6581448.542881337 9.98, 189233.71638005343 6581448.946165127 9.94, 189233.79362478532 6581449.030151069 9.92, 189234.0934553619 6581449.376893966 9.88, 189234.21637281188 6581449.527394539 9.86, 189234.43895865727 6581449.790151497 9.85, 189234.6058980407 6581449.987219211 9.85, 189234.70639182796 6581450.109449336 9.84, 189234.89410409034 6581450.314840011 9.84, 189234.96220047184 6581450.409625088 9.870000000000001, 189235.08429252997 6581450.550151915 9.870000000000001, 189235.45407737506 6581450.650096444 9.81, 189235.93687496055 6581450.780856632 9.78, 189236.3266072892 6581450.879150373 9.77, 189236.45041916502 6581450.919114381 9.77, 189236.5426590274 6581450.941607078 9.75, 189236.6963921314 6581450.979094905 9.76, 189237.14761769935 6581451.09238378 9.72, 189237.93788148434 6581451.298119614 9.68, 189238.05089422327 6581451.328935266 9.68, 189238.10241372138 6581451.344755788 9.68, 189238.5003999686 6581451.542786956 9.67, 189239.3495427433 6581451.974617295 9.4, 189239.40188763372 6581452.000411562 9.4, 189239.5589223047 6581452.07779436 9.5, 189240.51192946144 6581452.5512394775 9.32, 189240.70053614362 6581452.64609358 9.34, 189240.85757081333 6581452.723476374 9.34, 189241.38267049624 6581453.0013665045 9.32, 189241.52890603023 6581453.069600945 9.26, 189241.58125092014 6581453.095395212 9.24, 189241.83300162543 6581453.225191924 9.15, 189242.221014122 6581453.424048474 9.01, 189242.713716396 6581453.674493548 8.81, 189243.04938400135 6581453.847555834 8.63, 189243.08095601352 6581453.865027139 8.6, 189243.12250176776 6581453.881673053 8.58, 189243.20641866885 6581453.924938625 8.52, 189243.37425247114 6581454.011469763 8.45, 189243.5312871384 6581454.0888525555 8.4, 189243.63597691653 6581454.140441083 8.370000000000001, 189243.80381071835 6581454.226972222 8.36, 189243.88772761915 6581454.270237792 8.28, 189244.07633429777 6581454.365091889 8.26))</t>
  </si>
  <si>
    <t>['FV3284 S1D1 m4647-4656']</t>
  </si>
  <si>
    <t>LINESTRING Z (189834.71869170404 6579455.530745619 6.32, 189834.74043135514 6579455.308023068 6.26, 189834.9082883998 6579453.938465679 6.24, 189835.26489158726 6579452.422745363 5.99, 189836.04996437154 6579450.138507726 6.03, 189836.75972812873 6579447.308191803 6.07, 189837.1309983884 6579444.877436853 6.29, 189837.79115180526 6579443.025298846 6.09, 189837.80862351978 6579442.99372725 6.0600000000000005, 189839.35599182366 6579438.999530275 6.28, 189841.38712057617 6579434.90505467 6.16, 189841.40459229192 6579434.873483073 6.16, 189841.78085950017 6579433.83815139 6.13, 189842.70834941644 6579429.634152238 6.01, 189842.71502219024 6579429.593432168 6.01, 189843.81249074038 6579424.652345658 5.87, 189843.92204017966 6579422.0926161 5.8, 189843.91956448014 6579422.0626949705 5.8, 189843.50720590283 6579418.04989208 5.69, 189844.5854302161 6579416.153120817 5.63, 189845.14473800926 6579414.781300639 5.44, 189845.5860826908 6579413.31882094 5.47, 189845.93438889948 6579410.367782922 5.53, 189846.08875899605 6579409.320685326 5.5600000000000005, 189846.56924426387 6579407.724421282 5.59, 189847.19391319004 6579405.443414114 5.64, 189847.2861781589 6579404.009817584 5.9, 189847.3701198977 6579402.596993704 6.05, 189846.4061838452 6579402.355406795 6.15, 189845.11929166538 6579402.943900639 6.3, 189845.01431947015 6579403.374349663 6.57, 189845.00599622435 6579403.39512231 6.5600000000000005, 189845.0076466881 6579403.415069731 6.57, 189844.4861575868 6579405.486699961 6.58, 189843.47062490834 6579409.5975636495 6.28, 189843.4714501404 6579409.607537356 6.3100000000000005, 189842.61502629396 6579413.092674965 6.49, 189841.8819425588 6579416.005255945 6.54, 189841.61118893122 6579417.102151214 6.51, 189840.28551082738 6579417.221880888 6.72, 189840.24903300463 6579418.480147814 6.68, 189840.25233393634 6579418.520042652 6.67, 189839.38054023858 6579419.877550283 6.95, 189838.3718030515 6579420.9150030855 7.07, 189837.33396996977 6579421.964905313 7.18, 189837.3423384301 6579423.279713595 7.29, 189837.3364395494 6579426.242588742 7.5200000000000005, 189837.3333256885 6579427.297255342 7.6000000000000005, 189837.3309661646 6579428.482405402 7.7, 189837.3298573112 6579428.95447068 7.73, 189837.33054073597 6579429.205463889 7.75, 189837.3294318855 6579429.677529171 7.79, 189837.33065693098 6579430.420535075 7.8500000000000005, 189837.33367425407 6579430.942468901 7.890000000000001, 189837.3366915796 6579431.4644027315 7.930000000000001, 189837.334828405 6579431.805984558 7.96, 189837.33371956396 6579432.278049839 7.99, 189837.32056114177 6579433.45405142 8.09, 189837.26538668858 6579434.000884075 8.07, 189837.2009928628 6579434.679025419 8.040000000000001, 189837.1742308727 6579434.962415454 8.03, 189837.10090127273 6579435.289826501 8.02, 189836.99607097515 6579435.479256082 8.02, 189836.61746985867 6579436.243647184 7.99, 189836.3029789693 6579436.811935932 7.96, 189835.96104265616 6579437.412621516 7.94, 189835.55506701907 6579438.088899713 7.91, 189835.51880208252 6579438.985637445 7.88, 189835.1128264523 6579439.661915648 7.8500000000000005, 189834.7276943723 6579440.226007346 7.83, 189834.43494317197 6579440.571573562 7.8100000000000005, 189834.04238398146 6579441.045901878 7.79, 189833.72129122907 6579441.5344009735 7.7700000000000005, 189833.7062243251 6579441.716403452 7.76, 189833.67264779407 6579442.281533074 7.74, 189833.7910817234 6579442.984715051 7.72, 189833.84031225147 6579444.065176639 7.68, 189833.57422669593 6579445.703953296 7.62, 189833.46409055626 6579446.436089388 7.6000000000000005, 189833.2838549025 6579447.656041135 7.55, 189833.2046069118 6579448.154655734 7.54, 189833.00270249817 6579449.476820289 7.49, 189832.9072788469 6579450.629502665 7.45, 189832.37416626787 6579452.682011096 7.37, 189834.71869170404 6579455.530745619 6.32)</t>
  </si>
  <si>
    <t>POLYGON Z ((189834.71869170404 6579455.530745619 6.32, 189834.74043135514 6579455.308023068 6.26, 189834.9082883998 6579453.938465679 6.24, 189835.26489158726 6579452.422745363 5.99, 189836.04996437154 6579450.138507726 6.03, 189836.75972812873 6579447.308191803 6.07, 189837.1309983884 6579444.877436853 6.29, 189837.79115180526 6579443.025298846 6.09, 189837.80862351978 6579442.99372725 6.0600000000000005, 189839.35599182366 6579438.999530275 6.28, 189841.38712057617 6579434.90505467 6.16, 189841.40459229192 6579434.873483073 6.16, 189841.78085950017 6579433.83815139 6.13, 189842.70834941644 6579429.634152238 6.01, 189842.71502219024 6579429.593432168 6.01, 189843.81249074038 6579424.652345658 5.87, 189843.92204017966 6579422.0926161 5.8, 189843.91956448014 6579422.0626949705 5.8, 189843.50720590283 6579418.04989208 5.69, 189844.5854302161 6579416.153120817 5.63, 189845.14473800926 6579414.781300639 5.44, 189845.5860826908 6579413.31882094 5.47, 189845.93438889948 6579410.367782922 5.53, 189846.08875899605 6579409.320685326 5.5600000000000005, 189846.56924426387 6579407.724421282 5.59, 189847.19391319004 6579405.443414114 5.64, 189847.2861781589 6579404.009817584 5.9, 189847.3701198977 6579402.596993704 6.05, 189846.4061838452 6579402.355406795 6.15, 189845.11929166538 6579402.943900639 6.3, 189845.01431947015 6579403.374349663 6.57, 189845.00599622435 6579403.39512231 6.5600000000000005, 189845.0076466881 6579403.415069731 6.57, 189844.4861575868 6579405.486699961 6.58, 189843.47062490834 6579409.5975636495 6.28, 189843.4714501404 6579409.607537356 6.3100000000000005, 189842.61502629396 6579413.092674965 6.49, 189841.8819425588 6579416.005255945 6.54, 189841.61118893122 6579417.102151214 6.51, 189840.28551082738 6579417.221880888 6.72, 189840.24903300463 6579418.480147814 6.68, 189840.25233393634 6579418.520042652 6.67, 189839.38054023858 6579419.877550283 6.95, 189838.3718030515 6579420.9150030855 7.07, 189837.33396996977 6579421.964905313 7.18, 189837.3423384301 6579423.279713595 7.29, 189837.3364395494 6579426.242588742 7.5200000000000005, 189837.3333256885 6579427.297255342 7.6000000000000005, 189837.3309661646 6579428.482405402 7.7, 189837.3298573112 6579428.95447068 7.73, 189837.33054073597 6579429.205463889 7.75, 189837.3294318855 6579429.677529171 7.79, 189837.33065693098 6579430.420535075 7.8500000000000005, 189837.33367425407 6579430.942468901 7.890000000000001, 189837.3366915796 6579431.4644027315 7.930000000000001, 189837.334828405 6579431.805984558 7.96, 189837.33371956396 6579432.278049839 7.99, 189837.32056114177 6579433.45405142 8.09, 189837.26538668858 6579434.000884075 8.07, 189837.2009928628 6579434.679025419 8.040000000000001, 189837.1742308727 6579434.962415454 8.03, 189837.10090127273 6579435.289826501 8.02, 189836.99607097515 6579435.479256082 8.02, 189836.61746985867 6579436.243647184 7.99, 189836.3029789693 6579436.811935932 7.96, 189835.96104265616 6579437.412621516 7.94, 189835.55506701907 6579438.088899713 7.91, 189835.51880208252 6579438.985637445 7.88, 189835.1128264523 6579439.661915648 7.8500000000000005, 189834.7276943723 6579440.226007346 7.83, 189834.43494317197 6579440.571573562 7.8100000000000005, 189834.04238398146 6579441.045901878 7.79, 189833.72129122907 6579441.5344009735 7.7700000000000005, 189833.7062243251 6579441.716403452 7.76, 189833.67264779407 6579442.281533074 7.74, 189833.7910817234 6579442.984715051 7.72, 189833.84031225147 6579444.065176639 7.68, 189833.57422669593 6579445.703953296 7.62, 189833.46409055626 6579446.436089388 7.6000000000000005, 189833.2838549025 6579447.656041135 7.55, 189833.2046069118 6579448.154655734 7.54, 189833.00270249817 6579449.476820289 7.49, 189832.9072788469 6579450.629502665 7.45, 189832.37416626787 6579452.682011096 7.37, 189834.71869170404 6579455.530745619 6.32))</t>
  </si>
  <si>
    <t>['FV3284 S1D1 m4629-4639']</t>
  </si>
  <si>
    <t>LINESTRING Z (189836.83934152563 6579391.106628116 6.71, 189837.01391691656 6579391.031931704 6.72, 189837.36389292864 6579390.892512588 6.72, 189837.52849460905 6579390.818641404 6.72, 189837.77123550553 6579390.718220956 6.73, 189838.15030741395 6579390.566352438 6.73, 189838.45124010596 6579390.441033188 6.74, 189838.52855409094 6579390.404510214 6.74, 189838.55847521988 6579390.402034521 6.74, 189838.7230768992 6579390.32816334 6.74, 189838.8693816205 6579390.275890037 6.74, 189838.94669560523 6579390.239367065 6.74, 189839.21853239753 6579390.1264972165 6.75, 189839.28669790318 6579390.100773183 6.75, 189839.44215110305 6579390.037700945 6.75, 189839.3085795474 6579389.637031157 6.76, 189839.2961301456 6579389.607935257 6.76, 189839.2430316158 6579389.451656826 6.76, 189839.2305822143 6579389.422560928 6.76, 189839.21895804332 6579389.403438741 6.76, 189839.11276098475 6579389.0908818785 6.76, 189838.9716914136 6579388.720958449 6.7700000000000005, 189838.93351797853 6579388.623697047 6.7700000000000005, 189838.9202433463 6579388.5846274365 6.7700000000000005, 189838.90531825303 6579388.525610412 6.7700000000000005, 189838.84224601474 6579388.370157209 6.7700000000000005, 189838.77752331557 6579388.194756589 6.78, 189838.73934988072 6579388.097495184 6.78, 189838.68625135254 6579387.941216753 6.78, 189838.5709058179 6579387.639458828 6.78, 189838.5692553568 6579387.619511408 6.79, 189838.5103092722 6579387.513926756 6.79, 189838.3899414119 6579387.27283632 6.79, 189838.3417942677 6579387.176400144 6.79, 189838.25712415052 6579387.002649983 6.79, 189838.14920569205 6579386.790655444 6.8, 189838.10188377893 6579386.704192979 6.8, 189838.05373663502 6579386.607756803 6.8, 189838.0163884316 6579386.520469108 6.8, 189837.89767103334 6579386.299326086 6.8, 189837.84787342913 6579386.182942496 6.8100000000000005, 189837.78810211492 6579386.0673841275 6.8100000000000005, 189837.57143997017 6579385.633421338 6.8100000000000005, 189837.42699854088 6579385.34411281 6.82, 189837.39130079892 6579385.2767725345 6.82, 189837.36640199705 6579385.218580736 6.82, 189837.12986338034 6579384.665758653 6.83, 189836.81862836127 6579383.938361176 6.84, 189836.55884140846 6579383.347294711 6.8500000000000005, 189836.43352217262 6579383.046362009 6.8500000000000005, 189836.02262101002 6579382.206707076 6.86, 189835.8922794473 6579381.966441859 6.87, 189835.68806671328 6579381.5615749555 6.87, 189835.56604840106 6579381.300537089 6.88, 189835.20494484733 6579380.577265744 6.890000000000001, 189835.14352307713 6579380.441759957 6.890000000000001, 189834.51603074954 6579379.047632444 6.91, 189833.70000507665 6579377.438138492 6.93, 189832.9803893924 6579377.236588114 6.94, 189832.90809773188 6579377.212443594 6.94, 189832.8158586509 6579377.189949531 6.95, 189832.61060783884 6579377.136638157 6.95, 189832.47599822743 6579377.087523883 6.95, 189832.3837591462 6579377.06502982 6.95, 189832.21922840405 6579377.018391235 6.95, 189832.07547031215 6579376.980075902 6.96, 189831.92503942846 6579376.982480638 6.96, 189831.62582812103 6579377.007237532 6.96, 189831.3457390035 6579377.020370256 6.96, 189831.295870452 6579377.024496405 6.97, 189831.25515038107 6579377.017823613 6.97, 189831.18533440895 6579377.023600221 6.97, 189830.97588649258 6579377.040930047 6.97, 189830.72571850457 6579377.0515870815 6.97, 189830.5453664887 6579377.056467509 6.98, 189830.47045723203 6579377.243421361 6.98, 189830.4130197069 6579377.398803628 6.98, 189830.3564074117 6579377.564159601 6.98, 189830.31479115842 6579377.668022852 6.98, 189830.27317490522 6579377.7718861075 6.99, 189830.2565284039 6579377.813431408 6.99, 189830.63599986822 6579378.394595154 6.99, 189830.681671319 6579378.461110207 7, 189830.70574488922 6579378.509328298 7, 189830.80534008978 6579378.742095507 6.98, 189830.90576052078 6579378.984836424 6.94, 189830.98045692185 6579379.159411833 6.93, 189831.0053557222 6579379.217603633 6.94, 189831.14147389453 6579379.527684832 6.93, 189831.2161702962 6579379.702260236 6.96, 189831.29004146787 6579379.866861931 6.99, 189831.34066429926 6579379.993219246 6.99, 189831.47843293333 6579380.323247865 6.98, 189831.51413067448 6579380.390588146 6.99, 189831.55147887574 6579380.477875849 6.99, 189831.56392827607 6579380.5069717495 7, 189831.58882707707 6579380.565163552 7, 189831.70169691113 6579380.837000364 7.0200000000000005, 189831.77556808415 6579381.00160206 7.01, 189831.9125114901 6579381.321656966 6.92, 189831.9747584933 6579381.46713647 6.97, 189832.08762832882 6579381.738973282 7.0200000000000005, 189832.17394890345 6579381.932670875 6.93, 189832.28681874002 6579382.204507689 6.91, 189832.31089231145 6579382.252725781 6.98, 189832.39803811663 6579382.456397082 6.890000000000001, 189832.43621154927 6579382.553658493 6.83, 189832.4602851207 6579382.601876583 6.82, 189832.51840597385 6579382.697487534 6.8100000000000005, 189832.55410371575 6579382.764827815 6.82, 189832.68279482285 6579382.985145615 6.87, 189832.73094196588 6579383.081581796 6.88, 189832.9526264387 6579383.454877118 6.79, 189833.0115725224 6579383.560461776 6.74, 189833.0348208637 6579383.598706156 6.73, 189833.04727026465 6579383.627802056 6.74, 189833.1045658879 6579383.713439296 6.75, 189833.13943839993 6579383.770805865 6.74, 189833.17513614235 6579383.838146143 6.76, 189833.30465248117 6579384.0684376545 6.79, 189833.35114916402 6579384.144926414 6.79, 189833.5255117254 6579384.431759261 6.7, 189833.7496718919 6579384.834975707 6.54, 189833.85428942932 6579385.007075415 6.46, 189833.91323551373 6579385.112660073 6.41, 189833.9721815983 6579385.218244731 6.390000000000001, 189834.10169793846 6579385.448536238 6.3500000000000005, 189834.11332210945 6579385.467658427 6.34, 189834.1730934247 6579385.583216796 6.3500000000000005, 189834.3972535936 6579385.986433237 6.390000000000001, 189834.45537444844 6579386.082044185 6.41, 189834.5840655591 6579386.30236198 6.390000000000001, 189834.66791044723 6579386.4661384355 6.38, 189834.69115878915 6579386.504382813 6.38, 189834.7027829602 6579386.523505004 6.38, 189834.73765547306 6579386.580871573 6.38, 189834.81984990026 6579386.7247006055 6.3500000000000005, 189834.87962121645 6579386.840258975 6.36, 189834.93856730196 6579386.94584363 6.37, 189835.20922415808 6579387.425548825 6.44, 189835.24409667135 6579387.482915394 6.46, 189835.26899547456 6579387.541107193 6.44, 189835.35531605565 6579387.734804777 6.3500000000000005, 189835.3785643978 6579387.773049157 6.36, 189835.38021485897 6579387.792996574 6.37, 189835.56200450135 6579388.169592803 6.44, 189835.7089216307 6579388.488822459 6.49, 189835.73216997326 6579388.527066839 6.49, 189835.78196758038 6579388.643450432 6.49, 189835.86581247085 6579388.807226886 6.47, 189835.89071127458 6579388.865418686 6.47, 189835.97703185712 6579389.059116268 6.48, 189836.0982249538 6579389.310180416 6.5, 189836.14637210028 6579389.406616594 6.5, 189836.22271897376 6579389.601139406 6.51, 189836.24844300846 6579389.669304913 6.54, 189836.30903955735 6579389.794836989 6.5, 189836.36048762704 6579389.931168002 6.59, 189836.47335747659 6579390.203004798 6.6000000000000005, 189836.63685016625 6579390.6011989 6.68, 189836.64847433765 6579390.620321089 6.69, 189836.66092374013 6579390.64941699 6.69, 189836.83934152563 6579391.106628116 6.71)</t>
  </si>
  <si>
    <t>POLYGON Z ((189836.83934152563 6579391.106628116 6.71, 189837.01391691656 6579391.031931704 6.72, 189837.36389292864 6579390.892512588 6.72, 189837.52849460905 6579390.818641404 6.72, 189837.77123550553 6579390.718220956 6.73, 189838.15030741395 6579390.566352438 6.73, 189838.45124010596 6579390.441033188 6.74, 189838.52855409094 6579390.404510214 6.74, 189838.55847521988 6579390.402034521 6.74, 189838.7230768992 6579390.32816334 6.74, 189838.8693816205 6579390.275890037 6.74, 189838.94669560523 6579390.239367065 6.74, 189839.21853239753 6579390.1264972165 6.75, 189839.28669790318 6579390.100773183 6.75, 189839.44215110305 6579390.037700945 6.75, 189839.3085795474 6579389.637031157 6.76, 189839.2961301456 6579389.607935257 6.76, 189839.2430316158 6579389.451656826 6.76, 189839.2305822143 6579389.422560928 6.76, 189839.21895804332 6579389.403438741 6.76, 189839.11276098475 6579389.0908818785 6.76, 189838.9716914136 6579388.720958449 6.7700000000000005, 189838.93351797853 6579388.623697047 6.7700000000000005, 189838.9202433463 6579388.5846274365 6.7700000000000005, 189838.90531825303 6579388.525610412 6.7700000000000005, 189838.84224601474 6579388.370157209 6.7700000000000005, 189838.77752331557 6579388.194756589 6.78, 189838.73934988072 6579388.097495184 6.78, 189838.68625135254 6579387.941216753 6.78, 189838.5709058179 6579387.639458828 6.78, 189838.5692553568 6579387.619511408 6.79, 189838.5103092722 6579387.513926756 6.79, 189838.3899414119 6579387.27283632 6.79, 189838.3417942677 6579387.176400144 6.79, 189838.25712415052 6579387.002649983 6.79, 189838.14920569205 6579386.790655444 6.8, 189838.10188377893 6579386.704192979 6.8, 189838.05373663502 6579386.607756803 6.8, 189838.0163884316 6579386.520469108 6.8, 189837.89767103334 6579386.299326086 6.8, 189837.84787342913 6579386.182942496 6.8100000000000005, 189837.78810211492 6579386.0673841275 6.8100000000000005, 189837.57143997017 6579385.633421338 6.8100000000000005, 189837.42699854088 6579385.34411281 6.82, 189837.39130079892 6579385.2767725345 6.82, 189837.36640199705 6579385.218580736 6.82, 189837.12986338034 6579384.665758653 6.83, 189836.81862836127 6579383.938361176 6.84, 189836.55884140846 6579383.347294711 6.8500000000000005, 189836.43352217262 6579383.046362009 6.8500000000000005, 189836.02262101002 6579382.206707076 6.86, 189835.8922794473 6579381.966441859 6.87, 189835.68806671328 6579381.5615749555 6.87, 189835.56604840106 6579381.300537089 6.88, 189835.20494484733 6579380.577265744 6.890000000000001, 189835.14352307713 6579380.441759957 6.890000000000001, 189834.51603074954 6579379.047632444 6.91, 189833.70000507665 6579377.438138492 6.93, 189832.9803893924 6579377.236588114 6.94, 189832.90809773188 6579377.212443594 6.94, 189832.8158586509 6579377.189949531 6.95, 189832.61060783884 6579377.136638157 6.95, 189832.47599822743 6579377.087523883 6.95, 189832.3837591462 6579377.06502982 6.95, 189832.21922840405 6579377.018391235 6.95, 189832.07547031215 6579376.980075902 6.96, 189831.92503942846 6579376.982480638 6.96, 189831.62582812103 6579377.007237532 6.96, 189831.3457390035 6579377.020370256 6.96, 189831.295870452 6579377.024496405 6.97, 189831.25515038107 6579377.017823613 6.97, 189831.18533440895 6579377.023600221 6.97, 189830.97588649258 6579377.040930047 6.97, 189830.72571850457 6579377.0515870815 6.97, 189830.5453664887 6579377.056467509 6.98, 189830.47045723203 6579377.243421361 6.98, 189830.4130197069 6579377.398803628 6.98, 189830.3564074117 6579377.564159601 6.98, 189830.31479115842 6579377.668022852 6.98, 189830.27317490522 6579377.7718861075 6.99, 189830.2565284039 6579377.813431408 6.99, 189830.63599986822 6579378.394595154 6.99, 189830.681671319 6579378.461110207 7, 189830.70574488922 6579378.509328298 7, 189830.80534008978 6579378.742095507 6.98, 189830.90576052078 6579378.984836424 6.94, 189830.98045692185 6579379.159411833 6.93, 189831.0053557222 6579379.217603633 6.94, 189831.14147389453 6579379.527684832 6.93, 189831.2161702962 6579379.702260236 6.96, 189831.29004146787 6579379.866861931 6.99, 189831.34066429926 6579379.993219246 6.99, 189831.47843293333 6579380.323247865 6.98, 189831.51413067448 6579380.390588146 6.99, 189831.55147887574 6579380.477875849 6.99, 189831.56392827607 6579380.5069717495 7, 189831.58882707707 6579380.565163552 7, 189831.70169691113 6579380.837000364 7.0200000000000005, 189831.77556808415 6579381.00160206 7.01, 189831.9125114901 6579381.321656966 6.92, 189831.9747584933 6579381.46713647 6.97, 189832.08762832882 6579381.738973282 7.0200000000000005, 189832.17394890345 6579381.932670875 6.93, 189832.28681874002 6579382.204507689 6.91, 189832.31089231145 6579382.252725781 6.98, 189832.39803811663 6579382.456397082 6.890000000000001, 189832.43621154927 6579382.553658493 6.83, 189832.4602851207 6579382.601876583 6.82, 189832.51840597385 6579382.697487534 6.8100000000000005, 189832.55410371575 6579382.764827815 6.82, 189832.68279482285 6579382.985145615 6.87, 189832.73094196588 6579383.081581796 6.88, 189832.9526264387 6579383.454877118 6.79, 189833.0115725224 6579383.560461776 6.74, 189833.0348208637 6579383.598706156 6.73, 189833.04727026465 6579383.627802056 6.74, 189833.1045658879 6579383.713439296 6.75, 189833.13943839993 6579383.770805865 6.74, 189833.17513614235 6579383.838146143 6.76, 189833.30465248117 6579384.0684376545 6.79, 189833.35114916402 6579384.144926414 6.79, 189833.5255117254 6579384.431759261 6.7, 189833.7496718919 6579384.834975707 6.54, 189833.85428942932 6579385.007075415 6.46, 189833.91323551373 6579385.112660073 6.41, 189833.9721815983 6579385.218244731 6.390000000000001, 189834.10169793846 6579385.448536238 6.3500000000000005, 189834.11332210945 6579385.467658427 6.34, 189834.1730934247 6579385.583216796 6.3500000000000005, 189834.3972535936 6579385.986433237 6.390000000000001, 189834.45537444844 6579386.082044185 6.41, 189834.5840655591 6579386.30236198 6.390000000000001, 189834.66791044723 6579386.4661384355 6.38, 189834.69115878915 6579386.504382813 6.38, 189834.7027829602 6579386.523505004 6.38, 189834.73765547306 6579386.580871573 6.38, 189834.81984990026 6579386.7247006055 6.3500000000000005, 189834.87962121645 6579386.840258975 6.36, 189834.93856730196 6579386.94584363 6.37, 189835.20922415808 6579387.425548825 6.44, 189835.24409667135 6579387.482915394 6.46, 189835.26899547456 6579387.541107193 6.44, 189835.35531605565 6579387.734804777 6.3500000000000005, 189835.3785643978 6579387.773049157 6.36, 189835.38021485897 6579387.792996574 6.37, 189835.56200450135 6579388.169592803 6.44, 189835.7089216307 6579388.488822459 6.49, 189835.73216997326 6579388.527066839 6.49, 189835.78196758038 6579388.643450432 6.49, 189835.86581247085 6579388.807226886 6.47, 189835.89071127458 6579388.865418686 6.47, 189835.97703185712 6579389.059116268 6.48, 189836.0982249538 6579389.310180416 6.5, 189836.14637210028 6579389.406616594 6.5, 189836.22271897376 6579389.601139406 6.51, 189836.24844300846 6579389.669304913 6.54, 189836.30903955735 6579389.794836989 6.5, 189836.36048762704 6579389.931168002 6.59, 189836.47335747659 6579390.203004798 6.6000000000000005, 189836.63685016625 6579390.6011989 6.68, 189836.64847433765 6579390.620321089 6.69, 189836.66092374013 6579390.64941699 6.69, 189836.83934152563 6579391.106628116 6.71))</t>
  </si>
  <si>
    <t>Trafikklomme</t>
  </si>
  <si>
    <t>2015-10-02</t>
  </si>
  <si>
    <t>2025-11-22T09:07:55Z</t>
  </si>
  <si>
    <t>['FV5613 S1D1 m8811-8831']</t>
  </si>
  <si>
    <t>LINESTRING Z (72347.9790655791 6819842.43191899 -999999, 72345.0060926061 6819839.45894602 -999999, 72343.3844709845 6819834.72921628 -999999, 72344.0601466602 6819831.75624331 -999999, 72346.0871736872 6819827.70218926 -999999, 72348.3844709845 6819822.97245953 -999999)</t>
  </si>
  <si>
    <t>POLYGON Z ((72347.9790655791 6819842.43191899 -999999, 72345.0060926061 6819839.45894602 -999999, 72343.3844709845 6819834.72921628 -999999, 72344.0601466602 6819831.75624331 -999999, 72346.0871736872 6819827.70218926 -999999, 72348.3844709845 6819822.97245953 -999999, 72347.9790655791 6819842.43191899 -999999))</t>
  </si>
  <si>
    <t>2025-06-11</t>
  </si>
  <si>
    <t>['FV5613 S1D1 m4501-4536']</t>
  </si>
  <si>
    <t>LINESTRING Z (73457.0371973273 6815960.46097554 -999999, 73451.7431710592 6815954.24049468 -999999, 73447.1108980746 6815947.09355921 -999999, 73443.8021316571 6815940.60837704 -999999, 73440.4933652395 6815928.03506465 -999999)</t>
  </si>
  <si>
    <t>POINT (73447.18158257869 6815945.052795657)</t>
  </si>
  <si>
    <t>2025-11-22T09:08:08Z</t>
  </si>
  <si>
    <t>['FV57 S10D1 m4627-4644']</t>
  </si>
  <si>
    <t>LINESTRING (-28096.763107144507 6810330.040609049, -28096.49150503741 6810333.776172088, -28095.198841430712 6810338.677187095, -28093.060007391265 6810344.073454336, -28091.225801197463 6810346.729163056)</t>
  </si>
  <si>
    <t>POINT (-28094.78168964648 6810338.654300383)</t>
  </si>
  <si>
    <t>['FV57 S10D1 m3805-3855']</t>
  </si>
  <si>
    <t>LINESTRING (-28431.339315487654 6809674.378487083, -28438.332539691124 6809664.581721092, -28444.35460553225 6809652.950845163, -28448.642198102316 6809641.130649256, -28451.947524537798 6809628.941629001)</t>
  </si>
  <si>
    <t>POINT (-28443.320903527627 6809652.445521668)</t>
  </si>
  <si>
    <t>['FV57 S10D1 m3630-3677']</t>
  </si>
  <si>
    <t>LINESTRING (-28509.966331093223 6809464.176769721, -28508.80354294041 6809475.7372416435, -28507.06617934082 6809487.210670122, -28503.694449695293 6809498.803340284, -28498.595684053493 6809509.914397032)</t>
  </si>
  <si>
    <t>POINT (-28505.89368855121 6809487.475410938)</t>
  </si>
  <si>
    <t>['FV57 S10D1 m3496-3537']</t>
  </si>
  <si>
    <t>LINESTRING (-28552.660512332688 6809339.1898036115, -28546.32769254537 6809357.963620861, -28536.979970100103 6809376.390824099)</t>
  </si>
  <si>
    <t>POINT (-28545.491699169674 6809358.07214191)</t>
  </si>
  <si>
    <t>['FV57 S10D1 m3179-3232']</t>
  </si>
  <si>
    <t>LINESTRING (-28636.93171332311 6809088.7389726285, -28638.40723593475 6809075.7205839865, -28641.716112578986 6809063.089831899, -28645.253456291044 6809050.163498562, -28649.824210239574 6809037.870473882)</t>
  </si>
  <si>
    <t>POINT (-28642.199251331727 6809063.022705156)</t>
  </si>
  <si>
    <t>['FV57 S10D1 m1714-1747']</t>
  </si>
  <si>
    <t>LINESTRING (-28801.830776500166 6807720.078654983, -28788.88027595356 6807732.061935188, -28774.498555495753 6807738.691236263)</t>
  </si>
  <si>
    <t>POINT (-28788.89147491518 6807730.47215765)</t>
  </si>
  <si>
    <t>['FV57 S10D1 m1366-1403']</t>
  </si>
  <si>
    <t>LINESTRING (-29038.72640712571 6807470.012443695, -29034.621713464847 6807477.941445805, -29029.78420116112 6807485.612642842, -29023.879621475586 6807493.0488088485, -29017.576486179605 6807500.20440821)</t>
  </si>
  <si>
    <t>POINT (-29028.948663005547 6807485.657396687)</t>
  </si>
  <si>
    <t>['FV57 S10D1 m967-1012']</t>
  </si>
  <si>
    <t>LINESTRING (-29164.624268916086 6807143.366427044, -29170.24870720238 6807131.959915225, -29172.543566198205 6807121.663895176, -29173.584006013465 6807111.398036826, -29172.991350550554 6807102.206055836)</t>
  </si>
  <si>
    <t>POINT (-29171.028639501284 6807123.251032738)</t>
  </si>
  <si>
    <t>['FV57 S9D1 m9278-9322']</t>
  </si>
  <si>
    <t>LINESTRING (-28827.268108375836 6805734.724522188, -28816.473714420106 6805732.669076046, -28805.29722112778 6805732.409947042, -28794.46524376655 6805732.790410744, -28783.564136269153 6805733.564307362)</t>
  </si>
  <si>
    <t>POINT (-28805.4780534575 6805733.002580958)</t>
  </si>
  <si>
    <t>2025-06-18</t>
  </si>
  <si>
    <t>['FV57 S8D1 m7973-8017']</t>
  </si>
  <si>
    <t>LINESTRING (-31896.171477571595 6797636.278159881, -31887.770236952812 6797643.542440401, -31879.908485256252 6797651.624674258, -31872.841748068342 6797660.784451793, -31866.26860932412 6797670.0927043)</t>
  </si>
  <si>
    <t>POINT (-31880.33708491856 6797652.39052727)</t>
  </si>
  <si>
    <t>['FV57 S8D1 m7906-7931']</t>
  </si>
  <si>
    <t>LINESTRING (-31941.50185641588 6797587.284374095, -31931.95170189906 6797596.288321629, -31924.565908754244 6797606.577607085)</t>
  </si>
  <si>
    <t>POINT (-31932.56826526813 6797596.523678123)</t>
  </si>
  <si>
    <t>['FV57 S8D1 m7256-7297']</t>
  </si>
  <si>
    <t>LINESTRING (-32475.975555398036 6797387.791661725, -32468.014508606866 6797386.803474403, -32457.712453243556 6797382.294104059, -32438.52142311039 6797373.195568199)</t>
  </si>
  <si>
    <t>POINT (-32456.939948488263 6797381.525682918)</t>
  </si>
  <si>
    <t>['FV57 S8D1 m4125-4151']</t>
  </si>
  <si>
    <t>LINESTRING (-33286.0413124148 6795483.49714053, -33289.791037175455 6795475.816709106, -33292.13073098264 6795470.131869564, -33293.572213435196 6795464.531489369, -33294.00604208454 6795459.735579153)</t>
  </si>
  <si>
    <t>POINT (-33290.902752088936 6795471.878383792)</t>
  </si>
  <si>
    <t>['FV57 S8D1 m3573-3615']</t>
  </si>
  <si>
    <t>LINESTRING (-33495.869607588276 6795028.808579733, -33494.681483499124 6795017.208403565, -33493.67301117955 6795003.940984488, -33491.537574506016 6794995.6594496295, -33488.72015291604 6794987.495248672)</t>
  </si>
  <si>
    <t>POINT (-33493.33272319629 6795007.936071695)</t>
  </si>
  <si>
    <t>['FV57 S8D1 m1773-1819']</t>
  </si>
  <si>
    <t>LINESTRING (-33648.21342398913 6793372.983028033, -33644.749907141435 6793361.768953757, -33641.00867397676 6793350.438942233, -33636.031733564334 6793339.9530372955, -33630.140566252056 6793330.138982304)</t>
  </si>
  <si>
    <t>POINT (-33640.30207126111 6793351.066682478)</t>
  </si>
  <si>
    <t>['FV57 S8D1 m1541-1582']</t>
  </si>
  <si>
    <t>LINESTRING (-33558.50328392582 6793152.962711258, -33555.82950012677 6793142.863335075, -33552.75108964788 6793132.997309852, -33548.803235749714 6793123.9942848915, -33544.362166819745 6793115.321732157)</t>
  </si>
  <si>
    <t>POINT (-33552.31818148075 6793133.804821773)</t>
  </si>
  <si>
    <t>2025-06-17</t>
  </si>
  <si>
    <t>['FV57 S8D1 m255-282']</t>
  </si>
  <si>
    <t>LINESTRING (-34058.929274031776 6792071.914136054, -34058.70783581992 6792065.354760698, -34059.445759371505 6792058.314451221, -34060.996423177305 6792051.028994272, -34063.99373416242 6792045.401320091)</t>
  </si>
  <si>
    <t>POINT (-34060.118925645824 6792058.355320825)</t>
  </si>
  <si>
    <t>['FV57 S7D1 m9721-9751']</t>
  </si>
  <si>
    <t>LINESTRING (-34367.84145589883 6791663.676189966, -34369.733554275124 6791671.6336384965, -34368.70231250941 6791680.842648081, -34364.313490136876 6791687.844821428, -34357.08760251338 6791691.096919169)</t>
  </si>
  <si>
    <t>POINT (-34366.440732572366 6791679.259957239)</t>
  </si>
  <si>
    <t>['FV57 S7D1 m9567-9618']</t>
  </si>
  <si>
    <t>LINESTRING (-34360.632365509286 6791560.512508669, -34361.1158540945 6791546.647439252, -34360.25139663264 6791533.388572674, -34359.303763439995 6791520.190762406, -34356.72580123518 6791507.998729763)</t>
  </si>
  <si>
    <t>POINT (-34359.87755480689 6791534.154143659)</t>
  </si>
  <si>
    <t>['FV57 S7D1 m7942-7978']</t>
  </si>
  <si>
    <t>LINESTRING (-34118.69331780879 6790142.614070942, -34119.34944971767 6790132.458975109, -34119.162803957355 6790122.987341775, -34117.735114888055 6790113.659128159, -34115.06171027536 6790106.207366483)</t>
  </si>
  <si>
    <t>POINT (-34118.37431862869 6790124.218576837)</t>
  </si>
  <si>
    <t>['FV57 S7D1 m5317-5343']</t>
  </si>
  <si>
    <t>LINESTRING (-35311.15939159307 6788312.864750421, -35315.01960149023 6788292.597936791, -35322.23300712067 6788286.737978514)</t>
  </si>
  <si>
    <t>POINT (-35314.809047239396 6788298.674284847)</t>
  </si>
  <si>
    <t>['FV57 S9D1 m2180-2217']</t>
  </si>
  <si>
    <t>LINESTRING (-29705.21931743226 6799917.5648520375, -29702.37882142479 6799927.57948523, -29694.82031915628 6799937.616105758)</t>
  </si>
  <si>
    <t>POINT (-29700.955488359712 6799928.055135739)</t>
  </si>
  <si>
    <t>['FV57 S9D1 m1585-1625']</t>
  </si>
  <si>
    <t>LINESTRING (-29904.495382255292 6799401.7667034855, -29902.44203419448 6799398.292942112, -29898.295660977252 6799395.017541014, -29890.04229193437 6799388.693395393, -29882.119079131866 6799383.596204158, -29874.364323657588 6799379.333697737)</t>
  </si>
  <si>
    <t>POINT (-29890.303063337702 6799389.554703872)</t>
  </si>
  <si>
    <t>['FV57 S9D1 m382-403']</t>
  </si>
  <si>
    <t>LINESTRING (-30126.710525334114 6799015.609220124, -30120.9848708699 6799016.80295805, -30115.82279801101 6799016.463396667, -30110.733901692438 6799015.031341643, -30106.060640328215 6799013.165568435)</t>
  </si>
  <si>
    <t>POINT (-30116.266643631283 6799015.699019298)</t>
  </si>
  <si>
    <t>['FV57 S9D1 m96-164']</t>
  </si>
  <si>
    <t>LINESTRING (-30397.72375564929 6798963.626186941, -30379.889631021302 6798964.605398042, -30361.825972130173 6798964.667057665, -30345.30017184571 6798961.871452523, -30331.386076536844 6798955.939650417)</t>
  </si>
  <si>
    <t>POINT (-30364.05811930005 6798962.883011148)</t>
  </si>
  <si>
    <t>['FV57 S8D1 m9845-9886']</t>
  </si>
  <si>
    <t>LINESTRING (-30681.053866762202 6798972.496777376, -30661.688364673755 6798977.988379765, -30643.25563235185 6798985.350347461)</t>
  </si>
  <si>
    <t>POINT (-30661.987873751958 6798978.433419629)</t>
  </si>
  <si>
    <t>2025-06-23</t>
  </si>
  <si>
    <t>2025-11-22T09:08:10Z</t>
  </si>
  <si>
    <t>[605]</t>
  </si>
  <si>
    <t>['FV605 S1D1 m9337-9361']</t>
  </si>
  <si>
    <t>LINESTRING (-34665.712089766166 6801094.082305731, -34663.373571904376 6801105.053894853, -34659.055225629825 6801117.893216694)</t>
  </si>
  <si>
    <t>POINT (-34662.722164201536 6801106.080435563)</t>
  </si>
  <si>
    <t>['FV605 S1D1 m9338-9360']</t>
  </si>
  <si>
    <t>LINESTRING (-34661.01622216229 6801093.953736891, -34657.37073231931 6801104.799309755, -34655.54173213756 6801115.811884243)</t>
  </si>
  <si>
    <t>POINT (-34657.84171216001 6801104.7737530535)</t>
  </si>
  <si>
    <t>['FV605 S1D1 m9218-9254']</t>
  </si>
  <si>
    <t>LINESTRING (-34682.198154319776 6801013.141552369, -34682.78576329944 6801005.433410449, -34684.91996388987 6800994.834904816, -34687.51380469883 6800986.292818692, -34690.588859403855 6800978.155238565)</t>
  </si>
  <si>
    <t>POINT (-34685.39582729546 6800995.42061722)</t>
  </si>
  <si>
    <t>['FV605 S1D1 m8971-9010']</t>
  </si>
  <si>
    <t>LINESTRING (-34731.519184085424 6800734.789021288, -34729.35704399808 6800741.227347409, -34727.414528355235 6800754.430875986, -34726.77152303909 6800764.191079357, -34726.72620777937 6800773.656283512)</t>
  </si>
  <si>
    <t>POINT (-34728.02522933645 6800754.056877971)</t>
  </si>
  <si>
    <t>['FV605 S1D1 m8572-8614']</t>
  </si>
  <si>
    <t>LINESTRING (-34687.78894273599 6800387.262653197, -34682.01657517336 6800382.353041992, -34675.61209458299 6800370.9641040815, -34669.68490502029 6800360.310219379, -34667.28297950525 6800351.666052006)</t>
  </si>
  <si>
    <t>POINT (-34675.90300359471 6800370.485903621)</t>
  </si>
  <si>
    <t>['FV605 S1D1 m8469-8501']</t>
  </si>
  <si>
    <t>LINESTRING (-34627.432485665195 6800293.011107354, -34622.08028837771 6800289.69244138, -34615.51551672933 6800282.7304947255, -34608.90136445698 6800274.160679164, -34607.145602548495 6800268.282289974)</t>
  </si>
  <si>
    <t>POINT (-34615.75435239039 6800281.835164082)</t>
  </si>
  <si>
    <t>['FV605 S1D1 m8353-8368']</t>
  </si>
  <si>
    <t>LINESTRING (-34535.3629005315 6800196.476107645, -34533.63836932299 6800194.134287271, -34531.09607888735 6800192.201119417, -34526.689515121514 6800189.92825583, -34522.341777954716 6800189.080788507)</t>
  </si>
  <si>
    <t>POINT (-34529.41036027209 6800191.848322565)</t>
  </si>
  <si>
    <t>['FV605 S1D1 m8094-8130']</t>
  </si>
  <si>
    <t>LINESTRING (-34306.56504067837 6800131.802867718, -34298.072814324056 6800128.171267637, -34289.52335027198 6800125.156383832, -34280.53880616417 6800123.785877651, -34271.758425907 6800123.734176648)</t>
  </si>
  <si>
    <t>POINT (-34289.48655657831 6800126.256556327)</t>
  </si>
  <si>
    <t>['FV605 S1D1 m7976-8012']</t>
  </si>
  <si>
    <t>LINESTRING (-34190.96067913144 6800104.825189248, -34181.94342928904 6800101.13221411, -34174.45178806002 6800099.033144715, -34165.20259522798 6800097.585795863, -34156.079364303034 6800097.003840863)</t>
  </si>
  <si>
    <t>POINT (-34173.80023933282 6800099.697782684)</t>
  </si>
  <si>
    <t>['FV605 S1D1 m7794-7818']</t>
  </si>
  <si>
    <t>LINESTRING (-34000.59106155299 6800064.318491782, -33995.41489146871 6800064.191563622, -33988.91575904575 6800062.832853833, -33982.16378271987 6800060.957350016, -33977.233495310764 6800058.734157184)</t>
  </si>
  <si>
    <t>POINT (-33988.71438224491 6800062.385024057)</t>
  </si>
  <si>
    <t>['FV605 S1D1 m7514-7534']</t>
  </si>
  <si>
    <t>LINESTRING (-33738.540907339775 6799956.9062038325, -33735.55968846439 6799954.465311449, -33731.82221970381 6799951.909188802, -33727.54617616441 6799950.227531821, -33723.325719527435 6799949.326928448)</t>
  </si>
  <si>
    <t>POINT (-33731.3145465423 6799952.329877881)</t>
  </si>
  <si>
    <t>['FV605 S1D1 m6443-6466']</t>
  </si>
  <si>
    <t>LINESTRING (-32753.610625864938 6799628.141179577, -32741.953775053495 6799626.773138937, -32731.763155494235 6799627.393983406)</t>
  </si>
  <si>
    <t>POINT (-32742.70044685456 6799627.283360332)</t>
  </si>
  <si>
    <t>['FV605 S1D1 m6287-6306']</t>
  </si>
  <si>
    <t>LINESTRING (-32595.137789349188 6799644.696160448, -32591.37507705763 6799647.269511961, -32586.82793811604 6799648.82229245, -32581.491548097227 6799649.022678867, -32577.443798457505 6799648.260151019)</t>
  </si>
  <si>
    <t>POINT (-32586.597562868494 6799647.925272477)</t>
  </si>
  <si>
    <t>['FV605 S1D1 m6024-6044']</t>
  </si>
  <si>
    <t>LINESTRING (-32355.012315965258 6799735.4815477785, -32349.87382873171 6799737.533225512, -32343.942064542556 6799738.9861298, -32336.03392515052 6799740.230667557, -32331.012809654116 6799739.449245011)</t>
  </si>
  <si>
    <t>POINT (-32343.15552357915 6799738.62899344)</t>
  </si>
  <si>
    <t>['FV605 S1D1 m5720-5762']</t>
  </si>
  <si>
    <t>LINESTRING (-32097.620463863364 6799832.959729416, -32076.530988920364 6799833.545077989, -32056.21267494047 6799837.300796292)</t>
  </si>
  <si>
    <t>POINT (-32076.831633260557 6799834.326363324)</t>
  </si>
  <si>
    <t>['FV605 S1D1 m5516-5553']</t>
  </si>
  <si>
    <t>LINESTRING (-31888.112283075345 6799847.893956605, -31881.382359287585 6799847.570960214, -31872.90853854525 6799847.571724969, -31857.405507708318 6799850.919272207, -31852.276569550624 6799855.032753754)</t>
  </si>
  <si>
    <t>POINT (-31869.559984490716 6799849.249381163)</t>
  </si>
  <si>
    <t>['FV605 S1D1 m5407-5426']</t>
  </si>
  <si>
    <t>LINESTRING (-31766.45990427304 6799882.355221348, -31759.362120016944 6799885.912371078, -31749.947697283933 6799887.4993934585)</t>
  </si>
  <si>
    <t>POINT (-31758.40336111253 6799885.538098662)</t>
  </si>
  <si>
    <t>['FV605 S1D1 m5315-5339']</t>
  </si>
  <si>
    <t>LINESTRING (-31682.00629591674 6799903.5593153555, -31674.60212292266 6799903.79641172, -31668.404852214153 6799905.062709059, -31662.843764342717 6799907.2347908495, -31659.719419928617 6799910.585944276)</t>
  </si>
  <si>
    <t>POINT (-31670.20418012709 6799905.468259839)</t>
  </si>
  <si>
    <t>['FV605 S1D1 m4803-4824']</t>
  </si>
  <si>
    <t>LINESTRING (-31194.210575086065 6800054.869544127, -31188.918555501732 6800056.9725361485, -31183.836128306226 6800059.879682536, -31179.376774305594 6800062.807764044, -31175.328870078432 6800066.423489484)</t>
  </si>
  <si>
    <t>POINT (-31184.365239945902 6800059.99000687)</t>
  </si>
  <si>
    <t>['FV605 S1D1 m4723-4743']</t>
  </si>
  <si>
    <t>LINESTRING (-31129.735262629576 6800105.703582486, -31125.21160298609 6800108.327677837, -31120.913898849976 6800111.648051859, -31118.162565639825 6800116.674054813, -31116.219116168446 6800121.896114327)</t>
  </si>
  <si>
    <t>POINT (-31121.70376668942 6800112.727623126)</t>
  </si>
  <si>
    <t>['FV605 S1D1 m4507-4539']</t>
  </si>
  <si>
    <t>LINESTRING (-31035.422014880693 6800287.5002873605, -31030.74088281754 6800293.59414812, -31027.302656359156 6800300.722309265, -31024.05983119295 6800308.505278574, -31022.49768452416 6800316.193687116)</t>
  </si>
  <si>
    <t>POINT (-31027.703295306015 6800301.275640923)</t>
  </si>
  <si>
    <t>['FV605 S1D1 m4256-4281']</t>
  </si>
  <si>
    <t>LINESTRING (-30950.4209330061 6800529.3904232755, -30950.378160140594 6800535.745796605, -30948.21228607546 6800542.257320414, -30945.643764225882 6800548.266500888, -30942.034430987667 6800554.3385091135)</t>
  </si>
  <si>
    <t>POINT (-30947.542877677144 6800542.24263997)</t>
  </si>
  <si>
    <t>['FV605 S1D1 m4206-4232']</t>
  </si>
  <si>
    <t>LINESTRING (-30929.347674221033 6800574.368735902, -30926.54450887011 6800579.496500396, -30923.496103036217 6800586.241866823, -30921.562665574835 6800592.678211156, -30920.591420914745 6800598.598508124)</t>
  </si>
  <si>
    <t>POINT (-30924.123004679364 6800586.189229709)</t>
  </si>
  <si>
    <t>['FV605 S1D1 m3883-3924']</t>
  </si>
  <si>
    <t>LINESTRING (-30780.98548844061 6800890.027160969, -30781.30887174164 6800879.633597338, -30784.520879711374 6800868.648327294, -30789.09899763891 6800859.340904727, -30795.616913657635 6800850.842289813)</t>
  </si>
  <si>
    <t>POINT (-30785.78390869191 6800869.525841321)</t>
  </si>
  <si>
    <t>['FV605 S1D1 m3749-3775']</t>
  </si>
  <si>
    <t>LINESTRING (-30743.72910334228 6801018.218452084, -30743.63857348624 6801011.770286463, -30745.15360712097 6801004.205058363, -30747.411599255633 6800997.083349904, -30750.614750387962 6800992.715461254)</t>
  </si>
  <si>
    <t>POINT (-30745.67177574965 6801005.009253516)</t>
  </si>
  <si>
    <t>['FV605 S1D1 m3601-3621']</t>
  </si>
  <si>
    <t>LINESTRING (-30713.324236016488 6801142.5165836355, -30711.890230771038 6801151.49092034, -30709.055622173706 6801160.4735263)</t>
  </si>
  <si>
    <t>POINT (-30711.52099057344 6801151.573291601)</t>
  </si>
  <si>
    <t>['FV605 S1D1 m3478-3504']</t>
  </si>
  <si>
    <t>LINESTRING (-30683.62128140591 6801281.622663375, -30683.44026995916 6801275.528930095, -30683.97801799758 6801269.066185956, -30684.928073672927 6801262.555631397, -30686.60779106256 6801255.604182759)</t>
  </si>
  <si>
    <t>POINT (-30684.41339226926 6801268.5377378175)</t>
  </si>
  <si>
    <t>['FV605 S1D1 m3353-3371']</t>
  </si>
  <si>
    <t>LINESTRING (-30690.309894357226 6801407.783893628, -30691.208218624 6801398.21431689, -30689.809447536012 6801388.737669198)</t>
  </si>
  <si>
    <t>POINT (-30690.634155530297 6801398.245569776)</t>
  </si>
  <si>
    <t>['FV605 S1D1 m3176-3199']</t>
  </si>
  <si>
    <t>LINESTRING (-30702.811286457465 6801582.540265686, -30700.34906955657 6801571.579372185, -30699.631191356922 6801560.2211703)</t>
  </si>
  <si>
    <t>POINT (-30700.7799926717 6801571.443819332)</t>
  </si>
  <si>
    <t>['FV605 S1D1 m2929-2950']</t>
  </si>
  <si>
    <t>LINESTRING (-30674.62486476649 6801826.258299736, -30677.44121336809 6801821.281566075, -30679.66305168369 6801815.36920833, -30679.631824022625 6801810.475376254, -30679.329009513254 6801805.430081739)</t>
  </si>
  <si>
    <t>POINT (-30678.354120183772 6801816.15387433)</t>
  </si>
  <si>
    <t>['FV605 S1D1 m2640-2657']</t>
  </si>
  <si>
    <t>LINESTRING (-30586.138534271973 6802102.720493785, -30589.69517770887 6802098.444522693, -30591.204970743856 6802094.55662434, -30592.231740198913 6802091.18360732, -30592.486052028136 6802085.377782461)</t>
  </si>
  <si>
    <t>POINT (-30590.527442795512 6802094.514897725)</t>
  </si>
  <si>
    <t>['FV605 S1D1 m2064-2104']</t>
  </si>
  <si>
    <t>LINESTRING (-30324.115044340142 6802595.202095244, -30327.42071413377 6802577.033457645, -30329.8999790909 6802564.803472955, -30332.556808704743 6802557.231051305)</t>
  </si>
  <si>
    <t>POINT (-30327.818522961974 6802576.082028186)</t>
  </si>
  <si>
    <t>['FV605 S1D1 m1704-1727']</t>
  </si>
  <si>
    <t>LINESTRING (-30147.239607852418 6802852.767077371, -30143.05177165498 6802856.964898934, -30138.969305478502 6802861.8033956615, -30135.548238992924 6802867.256567932, -30133.486112652812 6802872.364416112)</t>
  </si>
  <si>
    <t>POINT (-30139.548087537645 6802862.01851868)</t>
  </si>
  <si>
    <t>['FV605 S1D1 m1014-1035']</t>
  </si>
  <si>
    <t>LINESTRING (-29749.552903595497 6803339.621334607, -29738.847831688938 6803338.6248652, -29728.618750087335 6803339.831522399)</t>
  </si>
  <si>
    <t>POINT (-29739.07903682744 6803339.174520241)</t>
  </si>
  <si>
    <t>['FV605 S1D1 m851-882']</t>
  </si>
  <si>
    <t>LINESTRING (-29598.18145088083 6803360.865062885, -29584.53040304687 6803364.015661701, -29570.587359674275 6803364.476756728)</t>
  </si>
  <si>
    <t>POINT (-29584.472019419234 6803363.341372814)</t>
  </si>
  <si>
    <t>['FV605 S1D1 m715-731']</t>
  </si>
  <si>
    <t>LINESTRING (-29448.72686160286 6803384.057654474, -29445.599337703432 6803386.486782708, -29441.527209533495 6803387.376821092, -29437.689315429423 6803387.934912145, -29432.897399691166 6803386.952495347)</t>
  </si>
  <si>
    <t>POLYGON ((-29448.72686160286 6803384.057654474, -29445.599337703432 6803386.486782708, -29441.527209533495 6803387.376821092, -29437.689315429423 6803387.934912145, -29432.897399691166 6803386.952495347, -29448.72686160286 6803384.057654474))</t>
  </si>
  <si>
    <t>2025-06-16</t>
  </si>
  <si>
    <t>[5582]</t>
  </si>
  <si>
    <t>['FV5582 S3D10 m1835-1866']</t>
  </si>
  <si>
    <t>LINESTRING (-45617.220716320095 6795561.429467429, -45610.39221552329 6795563.538987035, -45601.82218110212 6795564.972086371, -45593.608493982116 6795565.538717988, -45588.26003902918 6795564.780842601)</t>
  </si>
  <si>
    <t>POINT (-45602.84880405322 6795564.271053932)</t>
  </si>
  <si>
    <t>['FV5582 S3D1 m5341-5387']</t>
  </si>
  <si>
    <t>LINESTRING (-47756.75770705135 6794324.756242771, -47746.45989114081 6794325.031162928, -47734.67225819465 6794326.32811841, -47722.99876506743 6794328.196351853, -47713.63001054106 6794331.162113444)</t>
  </si>
  <si>
    <t>POINT (-47735.00584918481 6794326.819058039)</t>
  </si>
  <si>
    <t>['FV5582 S3D1 m5141-5187']</t>
  </si>
  <si>
    <t>LINESTRING (-47561.38486710959 6794319.513919536, -47551.82430449966 6794315.181785223, -47540.74201621045 6794311.12886873, -47528.455317607266 6794308.400846394, -47517.39907335723 6794306.787153383)</t>
  </si>
  <si>
    <t>POINT (-47539.776069351086 6794311.835075841)</t>
  </si>
  <si>
    <t>['FV5582 S3D1 m4945-4987']</t>
  </si>
  <si>
    <t>LINESTRING (-47365.74280957726 6794270.040113378, -47355.91070238047 6794268.396445078, -47345.72088252695 6794268.099041211, -47335.38701462175 6794269.199660573, -47326.249989833566 6794271.630640872)</t>
  </si>
  <si>
    <t>POINT (-47345.91896463413 6794269.1060571205)</t>
  </si>
  <si>
    <t>['FV5582 S3D1 m4748-4793']</t>
  </si>
  <si>
    <t>LINESTRING (-47178.217370166676 6794306.939716596, -47168.080665740534 6794306.54036419, -47156.00417464471 6794307.443586782, -47142.24808589346 6794309.28411765, -47133.91550626268 6794311.41655985)</t>
  </si>
  <si>
    <t>POINT (-47155.94696924676 6794308.006173657)</t>
  </si>
  <si>
    <t>['FV5582 S3D1 m3319-3352']</t>
  </si>
  <si>
    <t>LINESTRING (-45787.418000313686 6794066.15081133, -45779.62877587066 6794067.411629324, -45771.80440344475 6794069.017462963, -45764.25810374704 6794070.260734923, -45756.79112670699 6794071.350340887)</t>
  </si>
  <si>
    <t>POINT (-45772.11797147277 6794068.830434737)</t>
  </si>
  <si>
    <t>['FV5582 S3D1 m2766-2779']</t>
  </si>
  <si>
    <t>LINESTRING (-45296.74999732373 6794079.844723344, -45288.46632809925 6794071.327812412)</t>
  </si>
  <si>
    <t>POINT (-45292.60816271149 6794075.586267877)</t>
  </si>
  <si>
    <t>[1071]</t>
  </si>
  <si>
    <t>['KV1071 S1D1 m261-286']</t>
  </si>
  <si>
    <t>LINESTRING (-42438.367906825035 6791519.084642696, -42435.53665313416 6791523.777267166, -42432.879721710575 6791530.932455576, -42430.97279523045 6791537.539130807, -42431.548914111685 6791543.385062562)</t>
  </si>
  <si>
    <t>POINT (-42433.51356457826 6791530.905954457)</t>
  </si>
  <si>
    <t>['KV1071 S1D1 m362-403']</t>
  </si>
  <si>
    <t>LINESTRING (-42457.495242633275 6791444.980634372, -42459.24185350281 6791425.284649186, -42464.92106820096 6791405.974172718)</t>
  </si>
  <si>
    <t>POINT (-42460.24152167301 6791425.2942645615)</t>
  </si>
  <si>
    <t>['KV1071 S1D1 m499-540']</t>
  </si>
  <si>
    <t>LINESTRING (-42478.10558072012 6791310.504267184, -42476.088069605175 6791304.177111134, -42476.753575307666 6791297.710504363, -42477.79967020685 6791290.93356903, -42480.75364900404 6791284.967815311)</t>
  </si>
  <si>
    <t>POINT (-42477.522605926184 6791297.589195549)</t>
  </si>
  <si>
    <t>['KV1071 S1D1 m1404-1424']</t>
  </si>
  <si>
    <t>LINESTRING (-42427.72227801371 6790394.300680637, -42428.671611253056 6790398.212500767, -42427.32754528546 6790402.49029879, -42424.55805266905 6790408.098584212, -42421.19131769438 6790413.503964059)</t>
  </si>
  <si>
    <t>POINT (-42425.8840349026 6790404.183491042)</t>
  </si>
  <si>
    <t>2015-07-15</t>
  </si>
  <si>
    <t>[4624]</t>
  </si>
  <si>
    <t>['FV4624 S1D1 m3508-3560']</t>
  </si>
  <si>
    <t>LINESTRING Z (-23644.7520336823 6587970.74009155 20.817, -23610.8419631376 6587930.70596607 23.217)</t>
  </si>
  <si>
    <t>POINT (-23627.796998409944 6587950.723028811)</t>
  </si>
  <si>
    <t>['FV4624 S1D1 m3166-3208']</t>
  </si>
  <si>
    <t>LINESTRING Z (-23956.9899043222 6588081.64081216 17.617, -23914.8995811862 6588079.76014539 18.617)</t>
  </si>
  <si>
    <t>POINT (-23935.9447427542 6588080.700478775)</t>
  </si>
  <si>
    <t>['FV4624 S1D1 m2936-2978']</t>
  </si>
  <si>
    <t>LINESTRING Z (-24151.7824517478 6588191.52499969 19.917, -24118.9368472304 6588164.79187639 18.817)</t>
  </si>
  <si>
    <t>POINT (-24135.359649489103 6588178.158438041)</t>
  </si>
  <si>
    <t>2020-09-28</t>
  </si>
  <si>
    <t>[4662]</t>
  </si>
  <si>
    <t>['FV4662 S1D1 m1503-1523']</t>
  </si>
  <si>
    <t>LINESTRING (-13828.778008708672 6583579.193291846, -13822.17922774941 6583586.533447486, -13814.843279444263 6583592.996760578)</t>
  </si>
  <si>
    <t>POINT (-13822.01146233372 6583586.297866102)</t>
  </si>
  <si>
    <t>2021-06-21</t>
  </si>
  <si>
    <t>['FV46 S1D1 m85-98']</t>
  </si>
  <si>
    <t>LINESTRING Z (-25560.701967051136 6636025.364165415 -0.076813779771328, -25563.761217928142 6636037.353121666 -0.0768240317702293)</t>
  </si>
  <si>
    <t>POINT (-25562.23159248964 6636031.358643541)</t>
  </si>
  <si>
    <t>2021-08-31</t>
  </si>
  <si>
    <t>2025-11-22T09:08:25Z</t>
  </si>
  <si>
    <t>[4621]</t>
  </si>
  <si>
    <t>['FV4621 S1D1 m1863-1915']</t>
  </si>
  <si>
    <t>LINESTRING Z (-27248.28160691366 6588612.954609621 22.017, -27233.61356743006 6588562.784696011 17.518)</t>
  </si>
  <si>
    <t>POINT (-27240.947587171857 6588587.869652816)</t>
  </si>
  <si>
    <t>2005-01-19</t>
  </si>
  <si>
    <t>2025-11-22T09:08:28Z</t>
  </si>
  <si>
    <t>[1633]</t>
  </si>
  <si>
    <t>['KV1633 S7D1 m697-725']</t>
  </si>
  <si>
    <t>LINESTRING Z (-37076.384877564 6571046.19359148 -999999, -37073.1859545573 6571050.31664779 -999999, -37061.4565701995 6571060.16222194 -999999, -37054.8810062414 6571064.07201672 -999999)</t>
  </si>
  <si>
    <t>POINT (-37066.21894643173 6571055.8131098645)</t>
  </si>
  <si>
    <t>['KV1633 S7D1 m334-374']</t>
  </si>
  <si>
    <t>LINESTRING Z (-36762.5054374098 6571199.42642308 -999999, -36755.1746611282 6571204.58728958 -999999, -36737.9326753137 6571210.80378787 -999999, -36725.2064476888 6571214.08797564 -999999)</t>
  </si>
  <si>
    <t>POINT (-36744.407387228246 6571207.978309927)</t>
  </si>
  <si>
    <t>['KV1633 S7D1 m259-295']</t>
  </si>
  <si>
    <t>LINESTRING Z (-36652.250562134 6571232.85476292 -999999, -36657.0009051645 6571229.62922136 -999999, -36672.894028143 6571224.1164776 -999999, -36686.4413027115 6571221.18416708 -999999)</t>
  </si>
  <si>
    <t>POINT (-36668.92192959241 6571225.954769438)</t>
  </si>
  <si>
    <t>2012-05-10</t>
  </si>
  <si>
    <t>2025-11-22T09:09:36Z</t>
  </si>
  <si>
    <t>['FV2800 S1D1 m4260-4281']</t>
  </si>
  <si>
    <t>LINESTRING Z (169982.297608327 6690496.45674208 -999999, 169986.276613041 6690517.4193035 -999999)</t>
  </si>
  <si>
    <t>POINT (169984.287110684 6690506.9380227905)</t>
  </si>
  <si>
    <t>['FV2810 S1D1 m2063-2107']</t>
  </si>
  <si>
    <t>LINESTRING Z (158312.34 6697383.58 622.017, 158302.53 6697389.73 623.107, 158290.46 6697396.46 624.337, 158282.57 6697400.38 624.837, 158273.94 6697404.18 625.237)</t>
  </si>
  <si>
    <t>POINT (158293.4413621553 6697394.446128528)</t>
  </si>
  <si>
    <t>2016-11-04</t>
  </si>
  <si>
    <t>[2806]</t>
  </si>
  <si>
    <t>['FV2806 S1D1 m1929-1954']</t>
  </si>
  <si>
    <t>LINESTRING Z (166288.88 6696669.38 473.308, 166265.62 6696680.67 475.997)</t>
  </si>
  <si>
    <t>POINT (166277.25 6696675.024999999)</t>
  </si>
  <si>
    <t>2019-02-26</t>
  </si>
  <si>
    <t>2025-11-22T09:09:37Z</t>
  </si>
  <si>
    <t>[282]</t>
  </si>
  <si>
    <t>['FV282 S2D1 m8283-8330']</t>
  </si>
  <si>
    <t>LINESTRING Z (234614.410319198 6639389.40790896 -999999, 234652.616152531 6639416.81874229 -999999)</t>
  </si>
  <si>
    <t>POINT (234633.51323586452 6639403.113325626)</t>
  </si>
  <si>
    <t>2006-09-20</t>
  </si>
  <si>
    <t>['FV2800 S1D1 m4011-4035']</t>
  </si>
  <si>
    <t>LINESTRING Z (169915.525282804 6690258.31536955 -999999, 169924.10798284 6690281.05039411 -999999)</t>
  </si>
  <si>
    <t>POINT (169919.816632822 6690269.68288183)</t>
  </si>
  <si>
    <t>2018-03-12</t>
  </si>
  <si>
    <t>[2780]</t>
  </si>
  <si>
    <t>['FV2780 S2D1 m6569-6586']</t>
  </si>
  <si>
    <t>LINESTRING Z (200662.087924246 6628252.47486905 -999999, 200663.928589548 6628235.46712165 -999999)</t>
  </si>
  <si>
    <t>POINT (200663.008256897 6628243.97099535)</t>
  </si>
  <si>
    <t>2018-08-23</t>
  </si>
  <si>
    <t>['FV2780 S1D1 m9008-9026']</t>
  </si>
  <si>
    <t>LINESTRING Z (201574.915812 6635132.278939 -999999, 201564.647493 6635146.286954 -999999)</t>
  </si>
  <si>
    <t>POINT (201569.78165249998 6635139.2829465)</t>
  </si>
  <si>
    <t>['FV2780 S1D1 m8550-8567']</t>
  </si>
  <si>
    <t>LINESTRING Z (201394.97376694 6635510.3832691 -999999, 201396.225682459 6635527.04337561 -999999)</t>
  </si>
  <si>
    <t>POINT (201395.5997246995 6635518.713322355)</t>
  </si>
  <si>
    <t>2025-11-22T09:09:52Z</t>
  </si>
  <si>
    <t>[5182]</t>
  </si>
  <si>
    <t>['FV5182 S1D1 m4373 SD1 m4-23', 'FV5182 S1D1 m4373 SD1 m23-76']</t>
  </si>
  <si>
    <t>LINESTRING Z (-39741.2978933939 6724772.63178966 -999999, -39741.0063080936 6724712.5652178 -999999)</t>
  </si>
  <si>
    <t>POINT (-39741.152100743755 6724742.59850373)</t>
  </si>
  <si>
    <t>2018-07-17</t>
  </si>
  <si>
    <t>['FV49 S8D1 m3146-3165']</t>
  </si>
  <si>
    <t>LINESTRING Z (12683.7344520317 6725572.05033168 -999999, 12698.9021895969 6725583.05917347 -999999)</t>
  </si>
  <si>
    <t>POINT (12691.3183208143 6725577.554752575)</t>
  </si>
  <si>
    <t>2025-11-22T09:09:53Z</t>
  </si>
  <si>
    <t>[5306]</t>
  </si>
  <si>
    <t>['FV5306 S1D1 m1133-1182']</t>
  </si>
  <si>
    <t>LINESTRING Z (-31820.9501953125 6742433.04980469 90.944, -31836.6899414063 6742429.6796875 90.804, -31837.5400390625 6742429.53027344 90.834, -31856.7001953125 6742428.66992187 90.774, -31859.7797851563 6742428.62011719 90.764, -31865.9301757812 6742428.84960938 90.774, -31869.6298828125 6742429.28027344 90.744, -31873.0297851563 6742430.04980469 90.774)</t>
  </si>
  <si>
    <t>POINT (-31846.91538006273 6742429.767169605)</t>
  </si>
  <si>
    <t>2007-06-13</t>
  </si>
  <si>
    <t>2025-11-22T09:09:57Z</t>
  </si>
  <si>
    <t>['FV5452 S1D1 m1126 SD1 m4-44']</t>
  </si>
  <si>
    <t>LINESTRING Z (-26191.6205748055 6753728.5100337 -999999, -26204.741913318 6753769.91514634 -999999)</t>
  </si>
  <si>
    <t>POINT (-26198.181244061747 6753749.21259002)</t>
  </si>
  <si>
    <t>2017-08-04</t>
  </si>
  <si>
    <t>['EV39 S89D1 m2896 SD1 m27-88']</t>
  </si>
  <si>
    <t>LINESTRING Z (-40398.2471788194 6641832.7890842 -999999, -40375.3166232639 6641898.22936198 -999999)</t>
  </si>
  <si>
    <t>POINT (-40386.78190104165 6641865.5092230905)</t>
  </si>
  <si>
    <t>[5004]</t>
  </si>
  <si>
    <t>['FV5004 S3D1 m2542 SD1 m2-37']</t>
  </si>
  <si>
    <t>LINESTRING Z (-52466.5434461806 6680722.33943625 -999999, -52473.377494856 6680723.99818593 -999999, -52476.8276941872 6680735.87483362 -999999, -52478.3537438915 6680744.234932 -999999, -52476.9603941615 6680747.61878135 -999999, -52473.2447948817 6680749.74198094 -999999)</t>
  </si>
  <si>
    <t>POINT (-52474.94440462749 6680734.878975288)</t>
  </si>
  <si>
    <t>2025-11-22T09:10:09Z</t>
  </si>
  <si>
    <t>['FV5266 S2D1 m43 SD1 m0-47']</t>
  </si>
  <si>
    <t>LINESTRING Z (-47060.0889303554 6752826.92828524 -999999, -47061.5468568568 6752810.59950843 -999999, -47043.7601535399 6752786.68951381 -999999)</t>
  </si>
  <si>
    <t>POINT (-47055.55095655441 6752805.784659103)</t>
  </si>
  <si>
    <t>2009-07-09</t>
  </si>
  <si>
    <t>['FV561 S4D1 m10309 SD1 m62-125']</t>
  </si>
  <si>
    <t>LINESTRING Z (-55090.6229938272 6760129.3791305 -999999, -55118.1788580247 6760121.55922309 -999999, -55153.1822530864 6760115.04263359 -999999)</t>
  </si>
  <si>
    <t>POINT (-55121.735194565765 6760121.496740233)</t>
  </si>
  <si>
    <t>2025-11-22T09:10:12Z</t>
  </si>
  <si>
    <t>[5202]</t>
  </si>
  <si>
    <t>['FV5202 S1D1 m137-192']</t>
  </si>
  <si>
    <t>LINESTRING Z (-37571.8299865723 6731523.9699707 17.224, -37571.0700073242 6731519.34997559 17.234, -37569.7699890137 6731513.66003418 17.284, -37567.6199951172 6731505.25 17.354, -37567.4599914551 6731503.43005371 17.374, -37566.6900024414 6731486.08996582 17.534, -37566.6700134277 6731484.45996094 17.514, -37567.6499938965 6731477.7199707 17.474, -37568.6600036621 6731470.9699707 17.444, -37568.75 6731469.05004883 17.444)</t>
  </si>
  <si>
    <t>POINT (-37568.25111360441 6731496.603653015)</t>
  </si>
  <si>
    <t>[5208]</t>
  </si>
  <si>
    <t>['FV5208 S1D1 m479 SD1 m10-101']</t>
  </si>
  <si>
    <t>LINESTRING Z (-37436.6076800017 6733045.19834383 -999999, -37416.4882942825 6733113.72088939 -999999, -37428.7348768942 6733124.2179602 -999999)</t>
  </si>
  <si>
    <t>POINT (-37425.82272511688 6733086.739098419)</t>
  </si>
  <si>
    <t>2025-06-04</t>
  </si>
  <si>
    <t>2025-11-22T09:10:14Z</t>
  </si>
  <si>
    <t>[1042]</t>
  </si>
  <si>
    <t>['KV1042 S3D1 m496-505']</t>
  </si>
  <si>
    <t>LINESTRING (-15714.853142985958 6788323.813775156, -15711.623791579565 6788330.487423474)</t>
  </si>
  <si>
    <t>POINT (-15713.238467282761 6788327.150599315)</t>
  </si>
  <si>
    <t>2025-11-22T09:10:19Z</t>
  </si>
  <si>
    <t>['EV39 S75D1 m4988 SD1 m4-92']</t>
  </si>
  <si>
    <t>LINESTRING Z (-28178.2775095154 6746031.32561235 -999999, -28175.3152475245 6746040.82953623 -999999, -28216.1697774815 6746106.12272761 -999999, -28221.7240187144 6746105.99930003 -999999)</t>
  </si>
  <si>
    <t>POINT (-28195.097417493813 6746071.409070703)</t>
  </si>
  <si>
    <t>2011-05-18</t>
  </si>
  <si>
    <t>2025-04-30T11:49:44Z</t>
  </si>
  <si>
    <t>['FV175 S1D1 m103-147']</t>
  </si>
  <si>
    <t>LINESTRING Z (297082.964266912 6654606.17951062 -999999, 297085.769514134 6654618.76715842 -999999, 297087.999326029 6654629.12499432 -999999, 297089.94142026 6654639.12318313 -999999, 297089.869490844 6654650.05645436 -999999)</t>
  </si>
  <si>
    <t>POINT (297087.3732975783 6654628.012743777)</t>
  </si>
  <si>
    <t>2016-05-18</t>
  </si>
  <si>
    <t>['FV172 S2D1 m2659-2703']</t>
  </si>
  <si>
    <t>LINESTRING Z (290221.02073679 6655819.09925222 -999999, 290233.060180367 6655824.73174044 -999999, 290246.507746001 6655828.04082727 -999999, 290265.235769345 6655829.16732492 -999999)</t>
  </si>
  <si>
    <t>POINT (290242.6694846115 6655825.998176435)</t>
  </si>
  <si>
    <t>2017-05-19</t>
  </si>
  <si>
    <t>[167]</t>
  </si>
  <si>
    <t>['FV167 S2D1 m2684-2789']</t>
  </si>
  <si>
    <t>LINESTRING Z (244563.471270333 6637995.88406596 -999999, 244578.144916489 6637962.48887126 -999999, 244582.698806675 6637927.82870707 -999999, 244576.879946992 6637895.19249407 -999999, 244576.879946992 6637891.14459168 -999999)</t>
  </si>
  <si>
    <t>POINT (244576.86878081315 6637944.3791139405)</t>
  </si>
  <si>
    <t>2011-06-01</t>
  </si>
  <si>
    <t>['FV170 S2D1 m2489-2541']</t>
  </si>
  <si>
    <t>LINESTRING Z (298932.158841507 6650385.23354072 -999999, 298942.429168317 6650385.429789 -999999, 298952.372414654 6650383.66355445 -999999, 298965.45563352 6650380.52358193 -999999, 298983.183395083 6650375.15946219 -999999)</t>
  </si>
  <si>
    <t>POINT (298957.9011212643 6650381.697781324)</t>
  </si>
  <si>
    <t>['FV115 S9D1 m6722-6775']</t>
  </si>
  <si>
    <t>LINESTRING Z (298654.474659856 6626435.86663645 -999999, 298665.543511942 6626455.20799904 -999999, 298669.038938917 6626472.56861968 -999999, 298668.572881987 6626488.18152684 -999999)</t>
  </si>
  <si>
    <t>POINT (298664.79864844104 6626461.16549664)</t>
  </si>
  <si>
    <t>2011-06-10</t>
  </si>
  <si>
    <t>['FV125 S3D1 m8231-8277']</t>
  </si>
  <si>
    <t>LINESTRING Z (298660.022524302 6626396.00970296 -999999, 298674.069080782 6626381.55795735 -999999, 298683.523493798 6626372.23860738 -999999, 298693.180501378 6626364.67507696 -999999)</t>
  </si>
  <si>
    <t>POINT (298676.1789935467 6626379.87425873)</t>
  </si>
  <si>
    <t>2010-08-04</t>
  </si>
  <si>
    <t>[173]</t>
  </si>
  <si>
    <t>['FV173 S2D1 m8495-8553']</t>
  </si>
  <si>
    <t>LINESTRING Z (301080.752032655 6670103.03346142 -999999, 301101.552984611 6670111.61938627 -999999, 301114.741673299 6670119.76273768 -999999, 301125.983038825 6670127.7290597 -999999, 301131.382434864 6670132.6858823 -999999)</t>
  </si>
  <si>
    <t>POINT (301107.07096896996 6670116.18415016)</t>
  </si>
  <si>
    <t>2011-05-31</t>
  </si>
  <si>
    <t>2025-11-22T09:10:21Z</t>
  </si>
  <si>
    <t>['FV1469 S1D1 m774-823']</t>
  </si>
  <si>
    <t>LINESTRING Z (301604.818999654 6648521.13956268 -999999, 301617.104586238 6648519.25709377 -999999, 301624.039998019 6648518.76170721 -999999, 301640.090522428 6648520.14878957 -999999, 301654.159500613 6648524.50819126 -999999)</t>
  </si>
  <si>
    <t>POINT (301629.6680236154 6648520.420085946)</t>
  </si>
  <si>
    <t>1997-05-01</t>
  </si>
  <si>
    <t>[1472]</t>
  </si>
  <si>
    <t>['FV1472 S1D1 m4714-4766']</t>
  </si>
  <si>
    <t>LINESTRING Z (297454.329054192 6649955.19805057 -999999, 297449.57437574 6649971.04697874 -999999, 297446.64841977 6649978.97144283 -999999, 297443.600548967 6649985.43292893 -999999, 297439.577359508 6649991.4067557 -999999, 297434.822681057 6649997.13675281 -999999, 297430.799491597 6650001.40377193 -999999)</t>
  </si>
  <si>
    <t>POINT (297444.77348152385 6649979.510453335)</t>
  </si>
  <si>
    <t>['FV1469 S1D1 m22-59']</t>
  </si>
  <si>
    <t>LINESTRING Z (302334.28370723 6648720.67098639 -999999, 302344.208361479 6648726.89701173 -999999, 302354.872741511 6648737.68467939 -999999, 302362.454930782 6648744.95864959 -999999)</t>
  </si>
  <si>
    <t>POINT (302348.87865574204 6648732.16308836)</t>
  </si>
  <si>
    <t>['FV1469 S1D1 m20-58']</t>
  </si>
  <si>
    <t>LINESTRING Z (302330.03028398 6648727.02029936 -999999, 302334.838501567 6648736.5134469 -999999, 302344.948087262 6648747.60933364 -999999, 302353.701509022 6648755.74631725 -999999)</t>
  </si>
  <si>
    <t>POINT (302340.78006327583 6648742.204484793)</t>
  </si>
  <si>
    <t>['FV1469 S1D1 m433-475']</t>
  </si>
  <si>
    <t>LINESTRING Z (301942.26705545 6648601.41381598 -999999, 301947.548211454 6648602.22630152 -999999, 301953.863439963 6648602.89106242 -999999, 301957.815074175 6648603.33423635 -999999, 301972.88298781 6648608.02449378 -999999, 301983.519162139 6648613.85961719 -999999)</t>
  </si>
  <si>
    <t>POINT (301963.41915752174 6648605.982255026)</t>
  </si>
  <si>
    <t>[1454]</t>
  </si>
  <si>
    <t>['FV1454 S1D1 m1633-1686']</t>
  </si>
  <si>
    <t>LINESTRING Z (307819.280791224 6640885.57094134 -999999, 307819.022185369 6640875.31290907 -999999, 307819.884204887 6640865.48588655 -999999, 307822.556465396 6640850.83155473 -999999, 307827.81478446 6640834.19457802 -999999)</t>
  </si>
  <si>
    <t>POINT (307821.8021058348 6640859.615120554)</t>
  </si>
  <si>
    <t>['FV1454 S1D1 m1569-1615']</t>
  </si>
  <si>
    <t>LINESTRING Z (307814.453481919 6640950.39480915 -999999, 307818.591175609 6640938.8437476 -999999, 307822.039253684 6640919.87931819 -999999, 307822.815071251 6640904.88017856 -999999)</t>
  </si>
  <si>
    <t>POINT (307819.9969852519 6640927.904548977)</t>
  </si>
  <si>
    <t>[1452]</t>
  </si>
  <si>
    <t>['FV1452 S2D1 m7030-7085']</t>
  </si>
  <si>
    <t>LINESTRING Z (315536.942129645 6633292.72212132 -999999, 315539.040867258 6633297.26938615 -999999, 315543.238342485 6633303.56559899 -999999, 315550.059239729 6633311.78565464 -999999, 315554.431609757 6633318.08186748 -999999, 315557.404821376 6633320.7052895 -999999, 315562.65166541 6633324.20318552 -999999, 315569.647457455 6633328.57555555 -999999, 315574.544511886 6633331.89855677 -999999)</t>
  </si>
  <si>
    <t>POINT (315553.70163760055 6633314.264548838)</t>
  </si>
  <si>
    <t>['FV1452 S1D1 m7444-7491']</t>
  </si>
  <si>
    <t>LINESTRING Z (310538.242063329 6627038.72989752 -999999, 310544.163315433 6627047.1013229 -999999, 310547.736484806 6627051.79748837 -999999, 310551.309654179 6627054.3497522 -999999, 310558.149721265 6627057.61664992 -999999, 310560.59989455 6627057.82083102 -999999, 310569.89013492 6627056.90201604 -999999, 310576.015568131 6627056.79992549 -999999, 310582.65145411 6627056.28947272 -999999)</t>
  </si>
  <si>
    <t>POINT (310557.98576044117 6627052.963614891)</t>
  </si>
  <si>
    <t>2011-05-19</t>
  </si>
  <si>
    <t>['FV175 S4D1 m7304-7353']</t>
  </si>
  <si>
    <t>LINESTRING Z (308573.801201654 6674584.91234151 -999999, 308584.053512049 6674588.91715025 -999999, 308593.825245395 6674590.75936228 -999999, 308604.07755579 6674591.72051638 -999999, 308623.220541606 6674590.11859288 -999999)</t>
  </si>
  <si>
    <t>POINT (308598.2058776279 6674589.898243216)</t>
  </si>
  <si>
    <t>['FV175 S4D1 m1322-1377']</t>
  </si>
  <si>
    <t>LINESTRING Z (304787.942107434 6671341.81796213 -999999, 304784.670918428 6671351.51470097 -999999, 304783.035323925 6671359.92632984 -999999, 304780.69876035 6671378.50201027 -999999, 304781.049244886 6671387.38095185 -999999, 304781.516557601 6671396.37672162 -999999)</t>
  </si>
  <si>
    <t>POINT (304782.73976521316 6671368.849022755)</t>
  </si>
  <si>
    <t>2016-04-14</t>
  </si>
  <si>
    <t>['FV175 S3D1 m3527-3567']</t>
  </si>
  <si>
    <t>LINESTRING Z (300908.983722619 6666341.79672791 -999999, 300914.859124541 6666368.09155946 -999999, 300915.05176067 6666382.05767878 -999999)</t>
  </si>
  <si>
    <t>POINT (300912.9572774905 6666361.816952168)</t>
  </si>
  <si>
    <t>['FV175 S3D1 m3460-3500']</t>
  </si>
  <si>
    <t>LINESTRING Z (300866.700092392 6666287.37702158 -999999, 300869.878588514 6666297.20146414 -999999, 300878.643532365 6666310.58967508 -999999, 300887.697430409 6666321.37729828 -999999)</t>
  </si>
  <si>
    <t>POINT (300875.84014672297 6666305.142634748)</t>
  </si>
  <si>
    <t>['FV175 S1D1 m741-781']</t>
  </si>
  <si>
    <t>LINESTRING Z (297265.880771694 6655211.96905183 -999999, 297267.031642349 6655220.8882994 -999999, 297271.922842634 6655236.35312383 -999999, 297278.252631238 6655249.37234812 -999999)</t>
  </si>
  <si>
    <t>POINT (297270.8390910201 6655231.05279331)</t>
  </si>
  <si>
    <t>2010-08-03</t>
  </si>
  <si>
    <t>['FV173 S2D1 m6351-6386']</t>
  </si>
  <si>
    <t>LINESTRING Z (299526.042042794 6668804.28705864 -999999, 299529.360773801 6668803.575902 -999999, 299556.384726288 6668811.39862509 -999999, 299559.545422485 6668814.71735609 -999999)</t>
  </si>
  <si>
    <t>POINT (299543.36223797704 6668807.8600668935)</t>
  </si>
  <si>
    <t>['FV173 S2D1 m6320-6372']</t>
  </si>
  <si>
    <t>LINESTRING Z (299494.356063417 6668801.36341466 -999999, 299505.102430487 6668807.68480705 -999999, 299525.17285134 6668813.92718204 -999999, 299539.633036443 6668817.16689565 -999999, 299544.769167763 6668817.72001748 -999999)</t>
  </si>
  <si>
    <t>POINT (299518.94430429797 6668811.296411016)</t>
  </si>
  <si>
    <t>2004-10-26</t>
  </si>
  <si>
    <t>['FV173 S1D1 m5767-5832']</t>
  </si>
  <si>
    <t>LINESTRING Z (295719.488666127 6661347.97720369 -999999, 295738.973867928 6661352.37708796 -999999, 295753.619197023 6661358.28550399 -999999, 295756.447694059 6661361.49113397 -999999, 295759.213335605 6661369.03379273 -999999, 295760.344734419 6661375.82218562 -999999, 295761.853266172 6661397.69589602 -999999)</t>
  </si>
  <si>
    <t>POINT (295748.9818666087 6661365.776073017)</t>
  </si>
  <si>
    <t>['FV172 S2D1 m3171-3220']</t>
  </si>
  <si>
    <t>LINESTRING Z (290727.317269173 6655883.13786133 -999999, 290736.158237595 6655880.19087186 -999999, 290745.785069878 6655877.1456494 -999999, 290751.482582861 6655876.26155256 -999999, 290760.225318302 6655874.98452379 -999999, 290774.272634796 6655875.57392168 -999999)</t>
  </si>
  <si>
    <t>POINT (290750.5202489289 6655877.46267164)</t>
  </si>
  <si>
    <t>2016-05-09</t>
  </si>
  <si>
    <t>['FV172 S2D1 m1885-1925']</t>
  </si>
  <si>
    <t>LINESTRING Z (290224.920867071 6655080.53263646 -999999, 290220.048837497 6655096.19955509 -999999, 290217.947177681 6655105.17937431 -999999, 290218.424827639 6655119.50887305 -999999)</t>
  </si>
  <si>
    <t>POINT (290220.13811320893 6655099.811461074)</t>
  </si>
  <si>
    <t>['FV172 S2D1 m1536-1585']</t>
  </si>
  <si>
    <t>LINESTRING Z (289986.573537931 6654911.44455126 -999999, 289994.120407271 6654912.39985118 -999999, 289999.470086802 6654912.30432119 -999999, 290019.72244503 6654920.99755043 -999999, 290032.427933918 6654929.11759972 -999999)</t>
  </si>
  <si>
    <t>POINT (290010.26637287845 6654918.004639623)</t>
  </si>
  <si>
    <t>['FV172 S2D1 m1366-1415']</t>
  </si>
  <si>
    <t>LINESTRING Z (289823.384429714 6654871.58466225 -999999, 289836.472038568 6654875.97904187 -999999, 289851.470247256 6654878.65388163 -999999, 289870.671775575 6654879.60918155 -999999)</t>
  </si>
  <si>
    <t>POINT (289846.7656308265 6654877.028423871)</t>
  </si>
  <si>
    <t>2010-05-05</t>
  </si>
  <si>
    <t>['FV172 S1D1 m1352-1405']</t>
  </si>
  <si>
    <t>LINESTRING Z (286790.832610124 6649914.10351113 -999999, 286804.684458912 6649899.67848239 -999999, 286819.013957658 6649889.2657133 -999999, 286838.215485977 6649886.01769359 -999999)</t>
  </si>
  <si>
    <t>POINT (286812.63084335014 6649896.48912984)</t>
  </si>
  <si>
    <t>2016-05-03</t>
  </si>
  <si>
    <t>['FV171 S5D1 m5666-5718']</t>
  </si>
  <si>
    <t>LINESTRING Z (300018.731095547 6650681.14160903 -999999, 300022.191055559 6650681.55680423 -999999, 300028.557381983 6650681.90280023 -999999, 300054.161086078 6650677.05885621 -999999, 300056.790655688 6650676.02086821 -999999, 300069.730906136 6650671.03852579 -999999)</t>
  </si>
  <si>
    <t>POINT (300044.5687780893 6650678.150619754)</t>
  </si>
  <si>
    <t>['FV171 S5D1 m3774-3824']</t>
  </si>
  <si>
    <t>LINESTRING Z (298397.642529694 6651438.66594606 -999999, 298397.556603787 6651429.1281704 -999999, 298399.361047832 6651418.90298748 -999999, 298402.368454573 6651404.46743512 -999999, 298405.375861314 6651394.84373355 -999999, 298408.125490334 6651389.51632732 -999999)</t>
  </si>
  <si>
    <t>POINT (298401.0516598047 6651413.688607102)</t>
  </si>
  <si>
    <t>['FV171 S4D1 m1288-1336']</t>
  </si>
  <si>
    <t>LINESTRING Z (291791.159974884 6655359.93220181 -999999, 291797.887823898 6655365.06080802 -999999, 291802.29952817 6655368.31443993 -999999, 291806.821525049 6655370.63058467 -999999, 291814.872885345 6655374.71141112 -999999, 291819.615467438 6655376.91726326 -999999, 291833.788067411 6655381.60469904 -999999)</t>
  </si>
  <si>
    <t>POINT (291811.7008621455 6655372.249715332)</t>
  </si>
  <si>
    <t>['FV171 S3D1 m3394-3440']</t>
  </si>
  <si>
    <t>LINESTRING Z (291602.482894635 6658097.81837131 -999999, 291603.371444832 6658087.60004404 -999999, 291605.296636927 6658076.34507488 -999999, 291606.481370523 6658067.1633895 -999999, 291610.627938111 6658056.05651204 -999999, 291611.516488309 6658053.68704484 -999999)</t>
  </si>
  <si>
    <t>POINT (291605.81365412887 6658075.474943751)</t>
  </si>
  <si>
    <t>2011-06-02</t>
  </si>
  <si>
    <t>['FV170 S5D1 m4605-4655']</t>
  </si>
  <si>
    <t>LINESTRING Z (315671.018178026 6638977.06840519 -999999, 315686.278895317 6638966.25873044 -999999, 315702.334441633 6638958.07199148 -999999, 315714.654291529 6638954.09784635 -999999)</t>
  </si>
  <si>
    <t>POINT (315692.108741393 6638964.156913715)</t>
  </si>
  <si>
    <t>['FV170 S5D1 m4538-4586']</t>
  </si>
  <si>
    <t>LINESTRING Z (315614.267385601 6639014.42536939 -999999, 315626.905167107 6639010.92812168 -999999, 315642.165884398 6639003.13879723 -999999, 315657.506084591 6638992.48808829 -999999)</t>
  </si>
  <si>
    <t>POINT (315636.63735158206 6639005.026455347)</t>
  </si>
  <si>
    <t>['FV170 S4D1 m4906-4957']</t>
  </si>
  <si>
    <t>LINESTRING Z (310895.199258499 6642356.06378868 -999999, 310899.930557271 6642354.00428216 -999999, 310904.940167734 6642350.05225612 -999999, 310907.277985951 6642348.38238597 -999999, 310910.005440537 6642346.87950283 -999999, 310922.02850565 6642343.53976252 -999999, 310929.654246023 6642342.53784043 -999999, 310932.493025286 6642342.6491651 -999999, 310934.942168179 6642342.98313914 -999999, 310942.957544921 6642345.59926904 -999999, 310945.072713784 6642345.87758074 -999999)</t>
  </si>
  <si>
    <t>POINT (310919.41166975995 6642346.639340064)</t>
  </si>
  <si>
    <t>['FV170 S3D1 m6018-6059']</t>
  </si>
  <si>
    <t>LINESTRING Z (306457.244783564 6647269.40045294 -999999, 306462.758583256 6647264.7572532 -999999, 306468.272382947 6647260.47680344 -999999, 306473.133232676 6647257.7199036 -999999, 306483.362782104 6647251.98845392 -999999, 306489.094231784 6647249.59430405 -999999, 306493.302131548 6647249.08645408 -999999)</t>
  </si>
  <si>
    <t>POINT (306474.4792350977 6647257.6530406)</t>
  </si>
  <si>
    <t>['FV170 S3D1 m5572-5615']</t>
  </si>
  <si>
    <t>LINESTRING Z (306061.629655676 6647474.24536649 -999999, 306072.439605072 6647473.44731654 -999999, 306077.66320478 6647471.48846665 -999999, 306084.773104382 6647468.29626683 -999999, 306091.955553981 6647464.16091706 -999999, 306097.034053697 6647460.31576727 -999999, 306101.82235343 6647456.1804175 -999999)</t>
  </si>
  <si>
    <t>POINT (306082.78612557356 6647467.777927307)</t>
  </si>
  <si>
    <t>['FV170 S3D1 m4901-4952']</t>
  </si>
  <si>
    <t>LINESTRING Z (305399.93741766 6647441.52531832 -999999, 305408.280667194 6647442.39591827 -999999, 305415.535666788 6647442.25081828 -999999, 305421.41221646 6647441.67041831 -999999, 305431.351565904 6647440.0017684 -999999, 305441.436015341 6647438.2605685 -999999, 305451.302814789 6647435.28601867 -999999)</t>
  </si>
  <si>
    <t>POINT (305425.80444421194 6647440.214050282)</t>
  </si>
  <si>
    <t>['FV170 S3D1 m4094-4148']</t>
  </si>
  <si>
    <t>LINESTRING Z (304600.146262363 6647419.39756956 -999999, 304610.956211759 6647422.37211939 -999999, 304630.472160668 6647420.19561951 -999999, 304639.758560149 6647418.81716959 -999999, 304644.909609861 6647417.51126966 -999999, 304649.552809602 6647416.06026974 -999999, 304654.558759322 6647413.88376986 -999999)</t>
  </si>
  <si>
    <t>POINT (304627.518121874 6647419.600182255)</t>
  </si>
  <si>
    <t>['FV170 S2D1 m2486-2535']</t>
  </si>
  <si>
    <t>LINESTRING Z (298927.710547093 6650377.64527377 -999999, 298932.943834639 6650375.42112657 -999999, 298943.279577543 6650372.08490576 -999999, 298957.998198767 6650368.55243666 -999999, 298966.763955407 6650367.24411478 -999999, 298971.146833726 6650367.44036306 -999999, 298975.333463763 6650368.81410104 -999999)</t>
  </si>
  <si>
    <t>POINT (298951.29679387226 6650370.895718528)</t>
  </si>
  <si>
    <t>['FV170 S2D1 m738-814']</t>
  </si>
  <si>
    <t>LINESTRING Z (297366.102023864 6650883.79647891 -999999, 297361.815029408 6650892.37046782 -999999, 297352.215889649 6650903.36754056 -999999, 297336.186258206 6650920.42232285 -999999, 297316.149218902 6650941.57770853 -999999)</t>
  </si>
  <si>
    <t>POINT (297342.2590053775 6650913.507023258)</t>
  </si>
  <si>
    <t>['FV170 S2D1 m656-712']</t>
  </si>
  <si>
    <t>LINESTRING Z (297250.819151219 6650991.43731796 -999999, 297264.798480966 6650973.82336248 -999999, 297288.84292813 6650950.15169744 -999999)</t>
  </si>
  <si>
    <t>POINT (297269.217389826 6650970.243089818)</t>
  </si>
  <si>
    <t>['FV170 S1D1 m8927-8996']</t>
  </si>
  <si>
    <t>LINESTRING Z (293972.293543497 6651554.61791569 -999999, 293978.258057522 6651565.89457501 -999999, 293993.355733648 6651581.83101093 -999999, 294009.105778496 6651597.58105577 -999999, 294017.772962939 6651605.96865362 -999999)</t>
  </si>
  <si>
    <t>POINT (293993.66394901165 6651581.335748022)</t>
  </si>
  <si>
    <t>2016-04-21</t>
  </si>
  <si>
    <t>['FV170 S1D1 m2001-2054']</t>
  </si>
  <si>
    <t>LINESTRING Z (288719.473775739 6649057.68939141 -999999, 288734.892130438 6649050.4271229 -999999, 288755.226482288 6649045.62285295 -999999, 288770.644836987 6649045.51112575 -999999)</t>
  </si>
  <si>
    <t>POINT (288744.5150990276 6649049.241835549)</t>
  </si>
  <si>
    <t>2011-06-07</t>
  </si>
  <si>
    <t>['FV169 S2D1 m4709-4819']</t>
  </si>
  <si>
    <t>LINESTRING Z (294135.46526396 6641644.67368233 -999999, 294145.401182952 6641637.00883053 -999999, 294158.317877641 6641636.58300543 -999999, 294173.647581229 6641637.15077223 -999999, 294196.784078311 6641639.98960623 -999999, 294225.314359988 6641644.53174063 -999999, 294232.553386682 6641646.09309932 -999999, 294244.618431173 6641652.19659242 -999999)</t>
  </si>
  <si>
    <t>POINT (294189.6356767487 6641641.0185751645)</t>
  </si>
  <si>
    <t>['FV125 S2D1 m1809-1839']</t>
  </si>
  <si>
    <t>LINESTRING Z (306334.087202256 6618461.62117952 -999999, 306332.342290611 6618468.46660213 -999999, 306330.194707048 6618475.44624871 -999999, 306328.986691293 6618491.68734941 -999999)</t>
  </si>
  <si>
    <t>POINT (306330.82561401045 6618476.531980886)</t>
  </si>
  <si>
    <t>['FV125 S2D1 m5053-5098']</t>
  </si>
  <si>
    <t>LINESTRING Z (305273.325916937 6621398.15109108 -999999, 305272.472103332 6621386.86177787 -999999, 305273.041312402 6621377.65956458 -999999, 305274.369466897 6621371.58800117 -999999, 305276.077094106 6621365.32670141 -999999, 305280.535898483 6621353.18357459 -999999)</t>
  </si>
  <si>
    <t>POINT (305274.82040978776 6621375.360933584)</t>
  </si>
  <si>
    <t>['FV125 S2D1 m5085-5131']</t>
  </si>
  <si>
    <t>LINESTRING Z (305274.464335076 6621431.07034893 -999999, 305279.207743988 6621418.83235394 -999999, 305281.769184801 6621409.15579976 -999999, 305282.90760294 6621401.47147732 -999999, 305281.958921157 6621385.81822791 -999999)</t>
  </si>
  <si>
    <t>POINT (305280.4225720481 6621408.7835728675)</t>
  </si>
  <si>
    <t>['FV125 S3D1 m1725-1773']</t>
  </si>
  <si>
    <t>LINESTRING Z (303901.823067618 6624825.8896859 -999999, 303903.343804515 6624811.65993351 -999999, 303909.752624297 6624790.36961694 -999999, 303917.356308783 6624780.59345118 -999999)</t>
  </si>
  <si>
    <t>POINT (303907.1620259951 6624802.2774005635)</t>
  </si>
  <si>
    <t>['FV125 S3D1 m1727-1773']</t>
  </si>
  <si>
    <t>LINESTRING Z (303907.797391143 6624828.27941531 -999999, 303915.509699694 6624816.76526452 -999999, 303922.027143539 6624800.7975271 -999999, 303922.787511988 6624785.15566187 -999999)</t>
  </si>
  <si>
    <t>POINT (303917.87856756133 6624807.560814201)</t>
  </si>
  <si>
    <t>['FV125 S3D1 m5259-5332']</t>
  </si>
  <si>
    <t>LINESTRING Z (301068.109600269 6625626.91714388 -999999, 301062.684980341 6625620.35049871 -999999, 301056.689347789 6625610.92879041 -999999, 301043.698810593 6625608.07372729 -999999, 301030.280013929 6625607.64546782 -999999, 300988.881598689 6625605.50417048 -999999)</t>
  </si>
  <si>
    <t>POINT (301031.6958837085 6625610.019926079)</t>
  </si>
  <si>
    <t>['FV125 S3D1 m5600-5648']</t>
  </si>
  <si>
    <t>LINESTRING Z (300698.664432538 6625649.900402 -999999, 300716.508577038 6625652.8268417 -999999, 300732.211424199 6625657.32356611 -999999, 300744.773701927 6625663.39057524 -999999)</t>
  </si>
  <si>
    <t>POINT (300722.1653439685 6625655.211049998)</t>
  </si>
  <si>
    <t>['FV125 S3D1 m5691-5726']</t>
  </si>
  <si>
    <t>LINESTRING Z (300632.355591576 6625610.28640121 -999999, 300637.137822302 6625618.20920137 -999999, 300651.199008168 6625632.19901066 -999999, 300656.695004674 6625635.69646298 -999999)</t>
  </si>
  <si>
    <t>POINT (300643.5087016376 6625623.95614906)</t>
  </si>
  <si>
    <t>['FV125 S3D1 m6001-6043']</t>
  </si>
  <si>
    <t>LINESTRING Z (300382.346449659 6625419.03118084 -999999, 300395.177438751 6625422.94800909 -999999, 300409.966841968 6625429.83622429 -999999, 300419.758912592 6625438.07506992 -999999)</t>
  </si>
  <si>
    <t>POINT (300401.9140646445 6625426.963817919)</t>
  </si>
  <si>
    <t>['FV125 S3D1 m6020-6065']</t>
  </si>
  <si>
    <t>LINESTRING Z (300358.507822555 6625418.62599171 -999999, 300368.975208394 6625425.91939604 -999999, 300382.616575745 6625432.0647645 -999999, 300398.891672436 6625436.58937644 -999999)</t>
  </si>
  <si>
    <t>POINT (300378.01263502025 6625429.090624807)</t>
  </si>
  <si>
    <t>2010-06-07</t>
  </si>
  <si>
    <t>2025-11-22T09:10:25Z</t>
  </si>
  <si>
    <t>['FV120 S10D1 m3867-3912']</t>
  </si>
  <si>
    <t>LINESTRING Z (281258.120015617 6642772.98258067 -999999, 281271.393084824 6642789.39455138 -999999, 281267.357354322 6642804.99937599 -999999, 281264.577184421 6642804.46127859 -999999, 281259.106527518 6642821.2319809 -999999)</t>
  </si>
  <si>
    <t>POINT (281265.215090897 6642796.495066487)</t>
  </si>
  <si>
    <t>['FV115 S9D1 m6046-6098']</t>
  </si>
  <si>
    <t>LINESTRING Z (298024.947213 6626615.459099 -999999, 298034.275541 6626612.166748 -999999, 298045.250043 6626611.206479 -999999, 298060.751528 6626610.657754 -999999, 298075.292744 6626611.34366 -999999)</t>
  </si>
  <si>
    <t>POINT (298049.8908014468 6626611.673782461)</t>
  </si>
  <si>
    <t>2025-11-22T09:10:27Z</t>
  </si>
  <si>
    <t>['RV9 S8D1 m2694-2720']</t>
  </si>
  <si>
    <t>LINESTRING (83428.20157325716 6517333.906046183, 83409.48831855459 6517320.977249301)</t>
  </si>
  <si>
    <t>2025-11-22T09:10:30Z</t>
  </si>
  <si>
    <t>[408]</t>
  </si>
  <si>
    <t>['FV408 S1D1 m7815-7847']</t>
  </si>
  <si>
    <t>LINESTRING Z (128509.96 6498645.78 48.658, 128501.34 6498664.15 47.288, 128498.23 6498668.56 46.918, 128493.1 6498672.22 46.398, 128494.96 6498669.06 46.618, 128497.92 6498663.17 47.078, 128501.05 6498657.09 47.448, 128504.1 6498651.01 47.888, 128508.21 6498643.89 50.588)</t>
  </si>
  <si>
    <t>POLYGON Z ((128509.96 6498645.78 48.658, 128501.34 6498664.15 47.288, 128498.23 6498668.56 46.918, 128493.1 6498672.22 46.398, 128494.96 6498669.06 46.618, 128497.92 6498663.17 47.078, 128501.05 6498657.09 47.448, 128504.1 6498651.01 47.888, 128508.21 6498643.89 50.588, 128509.96 6498645.78 48.658))</t>
  </si>
  <si>
    <t>['FV408 S1D1 m7361-7409']</t>
  </si>
  <si>
    <t>LINESTRING Z (128646.46 6498217.51 44.138, 128643.95 6498218.87 44.118, 128642.35 6498221.64 43.828, 128633.3 6498248.83 44.408, 128625.89 6498261.48 44.028, 128637.26 6498226.79 44.118, 128639.26 6498223.05 44.148, 128641.1 6498220.82 44.158, 128646.38 6498217.71 44.138)</t>
  </si>
  <si>
    <t>['FV408 S1D1 m4835-4894']</t>
  </si>
  <si>
    <t>LINESTRING Z (127991.59 6495798.68 44.884, 127989.83 6495857.3 44.955, 127991.6 6495851.15 44.895, 127993.49 6495842.2 44.895, 127994.16 6495834.85 44.834, 127994.48 6495825.86 44.854, 127994.61 6495818 44.874, 127993.78 6495809.31 44.874, 127993.82 6495808.74 44.884)</t>
  </si>
  <si>
    <t>POLYGON Z ((127991.59 6495798.68 44.884, 127989.83 6495857.3 44.955, 127991.6 6495851.15 44.895, 127993.49 6495842.2 44.895, 127994.16 6495834.85 44.834, 127994.48 6495825.86 44.854, 127994.61 6495818 44.874, 127993.78 6495809.31 44.874, 127993.82 6495808.74 44.884, 127991.59 6495798.68 44.884))</t>
  </si>
  <si>
    <t>['FV408 S1D1 m2298-2331']</t>
  </si>
  <si>
    <t>LINESTRING Z (127656.64 6493348.65 55.264, 127658.23 6493369.41 55.184, 127659.63 6493376.93 55.145, 127660.15 6493381.36 55.235, 127660.27 6493375.38 55.155, 127660.16 6493370.16 55.195, 127660.01 6493363.45 55.244, 127659.46 6493356.6 55.284, 127658.37 6493353.34 55.284, 127657.85 6493352.08 55.324)</t>
  </si>
  <si>
    <t>POLYGON Z ((127656.64 6493348.65 55.264, 127658.23 6493369.41 55.184, 127659.63 6493376.93 55.145, 127660.15 6493381.36 55.235, 127660.27 6493375.38 55.155, 127660.16 6493370.16 55.195, 127660.01 6493363.45 55.244, 127659.46 6493356.6 55.284, 127658.37 6493353.34 55.284, 127657.85 6493352.08 55.324, 127656.64 6493348.65 55.264))</t>
  </si>
  <si>
    <t>2005-07-18</t>
  </si>
  <si>
    <t>2025-11-22T09:10:34Z</t>
  </si>
  <si>
    <t>[9432]</t>
  </si>
  <si>
    <t>['KV9432 S1D1 m160-197']</t>
  </si>
  <si>
    <t>LINESTRING Z (269561.151533525 7039911.19805655 -999999, 269564.433121493 7039901.54632723 -999999, 269565.398294425 7039887.8408716 -999999, 269564.819190666 7039874.52148514 -999999)</t>
  </si>
  <si>
    <t>POINT (269564.4038985187 7039893.054248828)</t>
  </si>
  <si>
    <t>['FV30 S9D1 m6512-6563']</t>
  </si>
  <si>
    <t>LINESTRING Z (313393.32 6966993.23 647.75, 313405.89 6966968.09 608, 313407.94 6966956.4 608.26, 313407.53 6966945.47 608.5, 313403.67 6966932.82 608.9300000000001, 313393.25 6966993.25 607.78, 313393.32 6966993.23 607.75)</t>
  </si>
  <si>
    <t>2015-03-12</t>
  </si>
  <si>
    <t>2025-11-22T09:10:44Z</t>
  </si>
  <si>
    <t>[5720]</t>
  </si>
  <si>
    <t>['KV5720 S3D1 m1122-1167']</t>
  </si>
  <si>
    <t>LINESTRING Z (269360.41006806 7040734.34324663 -999999, 269365.555980291 7040722.88189666 -999999, 269368.986588445 7040708.0679069 -999999, 269370.545955788 7040689.97924573 -999999)</t>
  </si>
  <si>
    <t>POINT (269367.08451548894 7040712.56517237)</t>
  </si>
  <si>
    <t>['KV9432 S1D1 m162-195']</t>
  </si>
  <si>
    <t>LINESTRING Z (269552.851046311 7039908.49557234 -999999, 269553.237115484 7039898.36125656 -999999, 269554.781392175 7039888.51649265 -999999, 269556.229151573 7039875.96924454 -999999)</t>
  </si>
  <si>
    <t>POINT (269554.28743759455 7039892.213956336)</t>
  </si>
  <si>
    <t>2014-09-03</t>
  </si>
  <si>
    <t>2025-11-22T09:10:47Z</t>
  </si>
  <si>
    <t>['EV6 S77D1 m5344 KD4 m19-86']</t>
  </si>
  <si>
    <t>LINESTRING Z (281941.5066676283 7040134.168451966 98.847, 281943.85855042876 7040134.29823222 98.977, 281945.8477623053 7040134.542203814 99.077, 281948.0495639464 7040135.0398422135 99.207, 281953.3361985181 7040136.2094376255 99.477, 281956.5191730908 7040136.8523380635 99.667, 281960.70586610376 7040137.091389844 99.917, 281969.6469888703 7040137.452481636 100.457, 281975.9989822174 7040137.655308213 100.837, 281986.1283667303 7040137.968757218 101.477, 281993.59691716114 7040138.173533748 101.927, 281996.7568209533 7040138.259306519 102.127, 281999.6873312646 7040137.991988268 102.287, 282004.10687361355 7040137.242970306 102.507, 282007.4080803263 7040136.905627356 102.657, 282010.57828760124 7040137.068933747 102.787, 282013.6850630516 7040137.549473965 102.847)</t>
  </si>
  <si>
    <t>['EV6 S58D1 m5-41']</t>
  </si>
  <si>
    <t>LINESTRING Z (218200.671544615 6915504.25138972 -999999, 218203.487316657 6915503.1250809 -999999, 218206.190457818 6915501.09772503 -999999, 218209.006229861 6915498.16932211 -999999, 218211.371478377 6915496.14196624 -999999, 218212.948310721 6915495.35355007 -999999, 218216.101975408 6915495.35355007 -999999, 218219.368270978 6915497.6061677 -999999, 218224.211398891 6915500.53457063 -999999, 218226.351385643 6915502.44929562 -999999, 218228.153479751 6915504.47665149 -999999, 218229.054526804 6915508.86925587 -999999, 218229.730312095 6915514.95132348 -999999, 218231.194513557 6915517.20394112 -999999, 218233.221869427 6915519.45655875 -999999)</t>
  </si>
  <si>
    <t>POINT (218219.5910535369 6915503.633679074)</t>
  </si>
  <si>
    <t>2013-10-07</t>
  </si>
  <si>
    <t>['FV496 S1D1 m5918-5987']</t>
  </si>
  <si>
    <t>LINESTRING Z (92671.1600341797 6465047.45996094 17.72, 92672.2199707031 6465049.30004883 17.74, 92673.2900390625 6465051 17.77, 92681.4000244141 6465063.33996582 17.87, 92694.1199951172 6465089.94995117 18.54, 92699.8100585937 6465106.7800293 19.48, 92700.6300048828 6465109.11999512 19.6)</t>
  </si>
  <si>
    <t>POINT (92687.41577458572 6465077.558144437)</t>
  </si>
  <si>
    <t>2013-09-26</t>
  </si>
  <si>
    <t>['FV496 S1D1 m1903-1947']</t>
  </si>
  <si>
    <t>LINESTRING Z (91727.3413696289 6467152.4284668 26.08, 91728.3607788086 6467152.57885742 26.01, 91730.45703125 6467152.73364258 25.93, 91738.8240356445 6467153.26367188 25.72, 91746.180480957 6467153.7434082 25.63, 91748.3474121094 6467153.90185547 25.62, 91749.4484863281 6467154.06494141 25.61, 91750.4896850586 6467154.23364258 25.6, 91751.4763183594 6467154.46728516 25.59, 91760.5042114258 6467156.42749023 25.8, 91766.7924194336 6467157.78686523 25.88, 91767.3791503906 6467157.93603516 25.87, 91768.3638305664 6467158.26025391 25.9, 91769.3666381836 6467158.56298828 25.91, 91770.8029785156 6467158.98803711 25.93)</t>
  </si>
  <si>
    <t>POINT (91749.2178734795 6467154.802901412)</t>
  </si>
  <si>
    <t>['FV496 S1D1 m1675-1728']</t>
  </si>
  <si>
    <t>LINESTRING Z (91900.6385498047 6467264.29589844 24.07, 91901.3850708008 6467268.48461914 24.08, 91902.8225708008 6467275.6796875 24.25, 91913.1649780273 6467295.05688477 24.44, 91913.2979125977 6467295.30639649 24.45, 91913.6561889649 6467295.93847656 24.47, 91914.3179321289 6467296.81494141 24.49, 91915.2513427734 6467298.02929687 24.51, 91925.1291503906 6467311.08007813 24.78)</t>
  </si>
  <si>
    <t>POINT (91910.77835196443 6467288.664940388)</t>
  </si>
  <si>
    <t>['FV496 S1D1 m1578-1650']</t>
  </si>
  <si>
    <t>LINESTRING Z (91982.9295654297 6467389.74560547 28.931, 91982.6693115234 6467389.08496094 28.911, 91978.4732666016 6467377.69970703 28.151, 91976.3121948242 6467371.97753906 27.751, 91975.8618164063 6467371.10229492 27.731, 91967.1091308594 6467355.55688477 26.761, 91962.2746582031 6467346.93505859 26.381, 91961.6565551758 6467345.98413086 26.351, 91960.3837890625 6467344.23657227 26.271, 91953.7957763672 6467336.14355469 25.851, 91948.6149291992 6467329.7253418 25.611, 91947.1437988281 6467327.22119141 25.54)</t>
  </si>
  <si>
    <t>POINT (91966.9689007658 6467357.390015187)</t>
  </si>
  <si>
    <t>2018-04-13</t>
  </si>
  <si>
    <t>['FV496 S1D1 m1417-1471']</t>
  </si>
  <si>
    <t>LINESTRING Z (92048.125854 6467473.837158 29.921, 92050.210205 6467478.137695 29.861, 92051.62915 6467481.521729 29.771, 92052.464355 6467483.438965 29.741, 92052.758301 6467484.026611 29.721, 92053.254028 6467484.958008 29.721, 92058.013916 6467492.520264 29.641, 92062.563721 6467499.870117 29.611, 92065.739014 6467505.008789 29.561, 92068.985229 6467510.040283 29.501, 92069.08667 6467510.162109 29.501, 92071.935547 6467513.44873 29.571, 92072.865356 6467514.623291 29.561, 92074.478027 6467517.134766 29.571)</t>
  </si>
  <si>
    <t>POINT (92060.49601395657 6467495.972296925)</t>
  </si>
  <si>
    <t>2017-03-24</t>
  </si>
  <si>
    <t>[480]</t>
  </si>
  <si>
    <t>['FV480 S1D1 m7321-7349']</t>
  </si>
  <si>
    <t>LINESTRING Z (28630.153542 6466305.256821 -999999, 28655.024375 6466317.533488 -999999)</t>
  </si>
  <si>
    <t>POINT (28642.5889585 6466311.395154499)</t>
  </si>
  <si>
    <t>2014-03-20</t>
  </si>
  <si>
    <t>2025-11-22T09:10:56Z</t>
  </si>
  <si>
    <t>[405]</t>
  </si>
  <si>
    <t>['FV405 S1D1 m252-294']</t>
  </si>
  <si>
    <t>LINESTRING Z (84878.4399414063 6475030.99023438 14.542, 84872.1400146484 6475027.58007813 14.502, 84857.75 6475014.60986328 14.192, 84856.1199951172 6475012.43994141 14.132, 84848.1079101563 6475001.38720703 13.732)</t>
  </si>
  <si>
    <t>POINT (84862.08285684885 6475017.471167276)</t>
  </si>
  <si>
    <t>2025-11-22T09:10:58Z</t>
  </si>
  <si>
    <t>['FV496 S1D1 m5905-5967']</t>
  </si>
  <si>
    <t>LINESTRING Z (92672.5100097656 6465068.4699707 17.97, 92676.3299560547 6465082.4699707 18.09, 92676.3499755859 6465082.5300293 18.09, 92689.4200439453 6465109.36999512 19.25, 92691.349975586 6465112.09997559 19.41, 92695.6300048828 6465118.10998535 19.75, 92699.6700439453 6465123.88000488 20.09)</t>
  </si>
  <si>
    <t>POINT (92684.2366865673 6465097.061362374)</t>
  </si>
  <si>
    <t>['FV496 S1D1 m5511-5540']</t>
  </si>
  <si>
    <t>LINESTRING Z (92898.3100585937 6465404.32995606 13.521, 92895.9899902344 6465407.06994629 13.561, 92891.4499511719 6465412.52001953 13.611, 92888.25 6465416.35998535 13.571, 92887.6300048828 6465417.02001953 13.551, 92886.9399414063 6465417.69995117 13.551, 92886.2399902344 6465418.31005859 13.561, 92885.5100097656 6465418.92004395 13.541, 92884.4899902344 6465419.73999023 13.531, 92882.930053711 6465420.86999512 13.471, 92879.3299560547 6465423.66003418 13.391, 92876.2900390625 6465426.0300293 13.351)</t>
  </si>
  <si>
    <t>POINT (92887.86601596122 6465415.767673088)</t>
  </si>
  <si>
    <t>['FV496 S1D1 m4993-5057']</t>
  </si>
  <si>
    <t>LINESTRING Z (92654.0500488281 6465758.16003418 14.441, 92673.4799804688 6465765.88000488 14.471, 92673.9899902344 6465766.09997559 14.471, 92698.1700439453 6465769.93994141 14.411, 92700.0999755859 6465770.26000977 14.261, 92703.9100341797 6465770.39001465 14.271, 92716.9799804688 6465768.93005371 14.301, 92718.6500244141 6465768.98999023 14.331, 92718.8800048828 6465769 14.321)</t>
  </si>
  <si>
    <t>POINT (92685.98761598629 6465766.666750377)</t>
  </si>
  <si>
    <t>['FV496 S1D1 m4970-5031']</t>
  </si>
  <si>
    <t>LINESTRING Z (92635.4899902344 6465743.56005859 14.291, 92647.8299560547 6465745.41003418 14.261, 92676.3900146484 6465753.06005859 14.101, 92677.3800048828 6465753.31994629 14.101, 92692.9899902344 6465758.52001953 14.051)</t>
  </si>
  <si>
    <t>POINT (92664.45554071628 6465750.155177707)</t>
  </si>
  <si>
    <t>['FV471 S1D1 m2250-2279']</t>
  </si>
  <si>
    <t>LINESTRING Z (88979.62369879748 6467078.489169078 10.958, 88979.7250697263 6467077.412992697 11.064, 88982.20180238015 6467071.815698609 11.095, 88980.78222301463 6467056.764511365 10.906, 88980.07080159563 6467049.536338735 10.845)</t>
  </si>
  <si>
    <t>POINT (88981.05463416189 6467064.190400942)</t>
  </si>
  <si>
    <t>2015-11-18</t>
  </si>
  <si>
    <t>['KV168 S1D1 m1954-1975']</t>
  </si>
  <si>
    <t>LINESTRING Z (260558.042301693 6651300.75573678 -999999, 260545.23646836 6651316.84240344 -999999)</t>
  </si>
  <si>
    <t>POINT (260551.6393850265 6651308.79907011)</t>
  </si>
  <si>
    <t>2010-06-02</t>
  </si>
  <si>
    <t>2025-11-22T09:11:24Z</t>
  </si>
  <si>
    <t>['FV2714 S3D1 m2302-2330']</t>
  </si>
  <si>
    <t>LINESTRING Z (231661.159179687 6622331.54296875 -999999, 231637.036132812 6622315.0546875 -999999)</t>
  </si>
  <si>
    <t>POINT (231649.0976562495 6622323.298828125)</t>
  </si>
  <si>
    <t>2014-09-30</t>
  </si>
  <si>
    <t>['FV306 S4D1 m1530-1578']</t>
  </si>
  <si>
    <t>LINESTRING Z (222843.260009766 6590991.31994629 106.06, 222847.520019531 6590991.72998047 105.96, 222851.549987793 6590992.69995117 105.9, 222852.66998291 6590992.93994141 105.87, 222880.979980469 6591007.90002441 105.35, 222882.429992676 6591010.08996582 105.23, 222884.390014648 6591012.5300293 105.2, 222885.799987793 6591014.2199707 105.15)</t>
  </si>
  <si>
    <t>POINT (222865.83485251482 6591000.507468872)</t>
  </si>
  <si>
    <t>2016-04-20</t>
  </si>
  <si>
    <t>['FV256 S7D1 m6246-6295']</t>
  </si>
  <si>
    <t>LINESTRING Z (234108.515613895 6580901.35988677 -999999, 234113.325738895 6580906.55101177 -999999, 234118.612113895 6580911.88501177 -999999, 234121.279113895 6580914.69488677 -999999, 234122.612613895 6580916.17126177 -999999, 234124.708113895 6580919.17163677 -999999, 234128.660988895 6580924.74376177 -999999, 234131.375613895 6580928.60138677 -999999, 234132.994863895 6580931.31601177 -999999, 234134.328363895 6580934.55451177 -999999, 234135.233238895 6580936.84051177 -999999, 234136.519113895 6580939.50751177 -999999, 234137.376363895 6580941.84113677 -999999)</t>
  </si>
  <si>
    <t>POINT (234124.5253163438 6580920.543736981)</t>
  </si>
  <si>
    <t>['FV256 S7D1 m1845-1890']</t>
  </si>
  <si>
    <t>LINESTRING Z (232047.369995 6577187.540039 73.255, 232046.51001 6577183.580078 73.365, 232046.089966 6577181.75 73.435, 232045.579956 6577179.600098 73.405, 232045.150024 6577178.330078 73.415, 232043.050049 6577173.169922 73.485, 232042.219971 6577171.129883 73.485, 232040.75 6577167.560059 73.535, 232040.02002 6577165.810059 73.495, 232039.079956 6577164.080078 73.505, 232038.569946 6577163.189941 73.525, 232035.390015 6577158.149902 73.615, 232035.349976 6577157.98999 73.595, 232033.849976 6577155.300049 73.605, 232029.880005 6577149.110107 73.555)</t>
  </si>
  <si>
    <t>POINT (232039.9492706087 6577167.752906171)</t>
  </si>
  <si>
    <t>2013-09-11</t>
  </si>
  <si>
    <t>['FV256 S7D1 m3143-3179']</t>
  </si>
  <si>
    <t>LINESTRING Z (232551.239990234 6578317.86010742 49.397, 232552.520019531 6578320.05004883 49.357, 232553.650024414 6578322.39990234 49.287, 232554.510009766 6578325.19995117 49.197, 232555.430053711 6578327.87988281 49.077, 232556.770019531 6578330.0300293 49.087, 232558.560058594 6578331.92993164 49.047, 232561.670043945 6578335.37988281 49.037, 232565.900024414 6578339.88989258 48.897, 232567.260009766 6578341.01000977 48.837, 232571.359985352 6578343.26000977 48.827, 232573.949951172 6578344.82006836 48.777)</t>
  </si>
  <si>
    <t>POINT (232560.85686676446 6578332.8301152205)</t>
  </si>
  <si>
    <t>['FV256 S7D1 m3610-3660']</t>
  </si>
  <si>
    <t>LINESTRING Z (232760.810058594 6578775.30004883 46.648, 232760.099975586 6578773.13989258 46.618, 232757.140014648 6578763.40991211 46.188, 232755.430053711 6578758.54003906 45.998, 232754.869995117 6578755.39990234 45.958, 232754.380004883 6578750.2800293 45.878, 232753.890014648 6578743.70996094 45.798, 232753.890014648 6578742.32006836 45.778, 232754.140014648 6578740.02001953 45.738, 232755.349975586 6578735.57006836 45.748, 232756.66003418 6578730.91992187 45.778, 232756.939941406 6578727.88989258 45.708, 232756.959960938 6578724.80004883 45.658)</t>
  </si>
  <si>
    <t>POINT (232756.1594064416 6578750.221826111)</t>
  </si>
  <si>
    <t>2017-02-07</t>
  </si>
  <si>
    <t>['FV256 S5D1 m21-65']</t>
  </si>
  <si>
    <t>LINESTRING Z (226562.940002441 6569544.36999512 119.667, 226562.079986572 6569543.4699707 119.637, 226558.170013428 6569540.11999512 119.517, 226556.410003662 6569538.65002442 119.467, 226554.690002441 6569537.2199707 119.427, 226548.279998779 6569530.19995117 119.347, 226541.25 6569522.54003906 119.287, 226535.700012207 6569512.69995117 119.137, 226534.690002441 6569510.92004395 119.107, 226534.540008545 6569510.27001953 119.117)</t>
  </si>
  <si>
    <t>POINT (226547.45218435786 6569528.323372174)</t>
  </si>
  <si>
    <t>2015-06-16</t>
  </si>
  <si>
    <t>2025-11-22T09:11:27Z</t>
  </si>
  <si>
    <t>['FV319 S5D1 m3101-3138']</t>
  </si>
  <si>
    <t>LINESTRING Z (231623.34668 6613946.592773 -999999, 231593.748779 6613969.555664 -999999)</t>
  </si>
  <si>
    <t>POINT (231608.5477295 6613958.0742185)</t>
  </si>
  <si>
    <t>['FV40 S6D1 m6336-6417']</t>
  </si>
  <si>
    <t>LINESTRING Z (213740.359985352 6595520.0300293 56.885, 213741.229980469 6595548.20996094 57.255, 213742.829956055 6595558.62988281 57.515, 213746.319946289 6595580.5 58.105, 213753.150024414 6595600.62988281 58.655)</t>
  </si>
  <si>
    <t>POINT (213744.28626810896 6595560.761412532)</t>
  </si>
  <si>
    <t>2013-12-08</t>
  </si>
  <si>
    <t>2025-11-22T09:11:33Z</t>
  </si>
  <si>
    <t>['FV325 S3D1 m3701-3748']</t>
  </si>
  <si>
    <t>LINESTRING Z (242156.140014648 6591461.9699707 30.427, 242156.459960938 6591462.25 30.417, 242160.719970703 6591466.39001465 30.347, 242165.859985352 6591471.34997559 30.247, 242166.719970703 6591472.06994629 30.247, 242167.609985352 6591472.70996094 30.277, 242168.520019531 6591473.35998535 30.247, 242177.670043945 6591479.02001953 30.217, 242179.119995117 6591479.82995606 30.197, 242181.08996582 6591480.7800293 30.207, 242186.229980469 6591482.95996094 30.157, 242193.819946289 6591486.2199707 30.127, 242194.530029297 6591486.52001953 30.147, 242194.859985352 6591486.67004395 30.137, 242195.260009766 6591486.86999512 30.127)</t>
  </si>
  <si>
    <t>POINT (242174.66877235298 6591475.983498975)</t>
  </si>
  <si>
    <t>2006-01-10</t>
  </si>
  <si>
    <t>['FV313 S2D1 m3659-3693']</t>
  </si>
  <si>
    <t>LINESTRING Z (230578.774658203 6612580.31054688 -999999, 230589.693359375 6612547.52441406 -999999)</t>
  </si>
  <si>
    <t>POINT (230584.234008789 6612563.91748047)</t>
  </si>
  <si>
    <t>2021-09-15</t>
  </si>
  <si>
    <t>['FV82 S14D1 m9658-9697']</t>
  </si>
  <si>
    <t>LINESTRING Z (542976.830233057 7689282.0670562 44.738, 542975.548386516 7689281.40852731 44.745, 542974.021745771 7689282.09514 44.749, 542970.679013691 7689285.77186174 44.479, 542971.298804685 7689287.28852972 44.35, 542974.567189776 7689288.89694763 44.57, 542976.070383854 7689289.7490146 44.66, 542977.609258187 7689290.59056475 44.679, 542980.51078028 7689292.20361387 44.715, 542983.532757821 7689293.69612927 44.652, 542985.054097754 7689294.4146905 44.635, 542986.588256851 7689295.07771655 44.654, 542988.118869587 7689295.71837472 44.623, 542991.189367316 7689296.92178897 44.619, 542992.730642051 7689297.40649968 44.633, 542994.312532631 7689297.82501736 44.636, 542995.892465509 7689298.13197246 44.608, 542997.49211064 7689298.43927964 44.59, 542999.063959149 7689298.75724575 44.566, 543000.58554721 7689299.01855343 44.575, 543002.14715591 7689299.24711619 44.529, 543003.709161479 7689299.45338129 44.529, 543005.209873605 7689299.55817982 44.473, 543007.958409456 7689299.57367635 44.4, 543002.468719369 7689295.80660436 44.488, 542996.74331144 7689293.0948709 44.527, 542992.4501405 7689291.01090771 44.575)</t>
  </si>
  <si>
    <t>POLYGON Z ((542976.830233057 7689282.0670562 44.738, 542975.548386516 7689281.40852731 44.745, 542974.021745771 7689282.09514 44.749, 542970.679013691 7689285.77186174 44.479, 542971.298804685 7689287.28852972 44.35, 542974.567189776 7689288.89694763 44.57, 542976.070383854 7689289.7490146 44.66, 542977.609258187 7689290.59056475 44.679, 542980.51078028 7689292.20361387 44.715, 542983.532757821 7689293.69612927 44.652, 542985.054097754 7689294.4146905 44.635, 542986.588256851 7689295.07771655 44.654, 542988.118869587 7689295.71837472 44.623, 542991.189367316 7689296.92178897 44.619, 542992.730642051 7689297.40649968 44.633, 542994.312532631 7689297.82501736 44.636, 542995.892465509 7689298.13197246 44.608, 542997.49211064 7689298.43927964 44.59, 542999.063959149 7689298.75724575 44.566, 543000.58554721 7689299.01855343 44.575, 543002.14715591 7689299.24711619 44.529, 543003.709161479 7689299.45338129 44.529, 543005.209873605 7689299.55817982 44.473, 543007.958409456 7689299.57367635 44.4, 543002.468719369 7689295.80660436 44.488, 542996.74331144 7689293.0948709 44.527, 542992.4501405 7689291.01090771 44.575, 542976.830233057 7689282.0670562 44.738))</t>
  </si>
  <si>
    <t>2021-08-10</t>
  </si>
  <si>
    <t>2025-11-22T09:11:58Z</t>
  </si>
  <si>
    <t>['FV820 S1D1 m3563-3656']</t>
  </si>
  <si>
    <t>LINESTRING Z (515811.45075106993 7624952.878514882 43.387, 515772.1411740377 7624992.547330035 44.207)</t>
  </si>
  <si>
    <t>POINT (515791.7959625538 7624972.712922459)</t>
  </si>
  <si>
    <t>2025-08-11</t>
  </si>
  <si>
    <t>2025-11-22T09:12:07Z</t>
  </si>
  <si>
    <t>[7438]</t>
  </si>
  <si>
    <t>['FV7438 S1D1 m597-631']</t>
  </si>
  <si>
    <t>LINESTRING Z (466404.5583004135 7438821.017591099 8.861, 466416.8247484253 7438838.012178638 8.871, 466421.9341842176 7438843.567761402 8.84, 466425.98925646895 7438847.2188411 8.834)</t>
  </si>
  <si>
    <t>POINT (466414.75427607936 7438834.571627045)</t>
  </si>
  <si>
    <t>2017-07-03</t>
  </si>
  <si>
    <t>[7234]</t>
  </si>
  <si>
    <t>['FV7234 S1D1 m9204-9238']</t>
  </si>
  <si>
    <t>LINESTRING Z (365637.4216114479 7258638.54430612 44.945, 365634.32776760776 7258630.18295176 45.3, 365631.53597000823 7258621.31667799 45.613, 365629.7637905752 7258614.51267935 45.775, 365628.34187824465 7258608.049677211 45.916, 365627.33009889384 7258603.531912181 45.987)</t>
  </si>
  <si>
    <t>POINT (365631.86112763913 7258621.188327415)</t>
  </si>
  <si>
    <t>2010-05-14</t>
  </si>
  <si>
    <t>2025-11-22T09:12:40Z</t>
  </si>
  <si>
    <t>[1606]</t>
  </si>
  <si>
    <t>['FV1606 S5D1 m7082-7121']</t>
  </si>
  <si>
    <t>LINESTRING Z (259465.48132081 6693762.131027 -999999, 259461.617984467 6693766.72329473 -999999, 259458.629365786 6693770.29505851 -999999, 259450.684013685 6693789.02859512 -999999, 259449.882189161 6693794.93293934 -999999, 259450.027975438 6693799.0149551 -999999)</t>
  </si>
  <si>
    <t>POINT (259455.47433547722 6693779.680103295)</t>
  </si>
  <si>
    <t>[2300]</t>
  </si>
  <si>
    <t>['FV2300 S1D1 m12069-12150']</t>
  </si>
  <si>
    <t>LINESTRING Z (261415.871885722 6686738.48289226 -999999, 261407.204748715 6686746.5396675 -999999, 261399.025901117 6686755.69509392 -999999, 261390.847053519 6686766.31538856 -999999, 261376.686660663 6686788.65462901 -999999, 261368.874030121 6686803.79160069 -999999)</t>
  </si>
  <si>
    <t>POINT (261390.29471541263 6686769.592458684)</t>
  </si>
  <si>
    <t>2010-05-11</t>
  </si>
  <si>
    <t>['FV2300 S1D1 m6439-6486']</t>
  </si>
  <si>
    <t>LINESTRING Z (262510.422981379 6681500.50134728 -999999, 262508.357358406 6681505.00816103 -999999, 262505.91616762 6681511.76838167 -999999, 262504.977248087 6681520.78200919 -999999, 262504.038328554 6681543.5038619 -999999, 262505.91616762 6681547.44732394 -999999)</t>
  </si>
  <si>
    <t>POINT (262505.618384789 6681523.822829393)</t>
  </si>
  <si>
    <t>['FV2300 S1D1 m4855-5030']</t>
  </si>
  <si>
    <t>LINESTRING Z (262887.113670167 6680020.57719333 -999999, 262887.97076146 6680028.14816642 -999999, 262887.97076146 6680037.14762499 -999999, 262886.82797307 6680046.71847775 -999999, 262880.685485474 6680062.14612101 -999999, 262871.543178355 6680083.28770623 -999999, 262867.114873344 6680094.28704448 -999999, 262863.11511398 6680104.42929144 -999999, 262858.115414774 6680116.42856953 -999999, 262853.544261215 6680125.4280281 -999999, 262846.544682327 6680134.57033522 -999999, 262838.402315049 6680144.28403654 -999999, 262828.974310832 6680153.71204075 -999999, 262819.260609518 6680160.99731674 -999999, 262800.833146731 6680172.56804919 -999999)</t>
  </si>
  <si>
    <t>POINT (262856.797612749 6680103.972265942)</t>
  </si>
  <si>
    <t>[2646]</t>
  </si>
  <si>
    <t>['FV2646 S1D1 m9364 SD1 m3-37']</t>
  </si>
  <si>
    <t>LINESTRING Z (150747.61785363 6879566.20091316 -999999, 150752.723468727 6879567.51986373 -999999, 150775.868923836 6879570.92360713 -999999, 150779.740681952 6879572.83821279 -999999, 150785.016484219 6879576.58233053 -999999, 150789.143523089 6879580.58172902 -999999, 150794.291684979 6879586.9212011 -999999, 150796.333931018 6879588.6230728 -999999)</t>
  </si>
  <si>
    <t>POINT (150773.9015859984 6879573.796337887)</t>
  </si>
  <si>
    <t>2005-08-03</t>
  </si>
  <si>
    <t>['FV2646 S1D1 m7021-7072']</t>
  </si>
  <si>
    <t>LINESTRING Z (152913.821219516 6878789.2112895 -999999, 152900.931283647 6878786.88178301 -999999, 152880.742227466 6878793.24910073 -999999, 152873.598407587 6878798.06341413 -999999, 152863.348579064 6878809.08974481 -999999)</t>
  </si>
  <si>
    <t>POINT (152886.73312315706 6878793.951052238)</t>
  </si>
  <si>
    <t>2010-08-25</t>
  </si>
  <si>
    <t>['FV55 S4D1 m16208-16241']</t>
  </si>
  <si>
    <t>LINESTRING Z (125935.989682189 6845097.45429822 -999999, 125945.569218723 6845095.6186984 -999999, 125951.018655674 6845095.38924842 -999999, 125952.85425549 6845095.38924842 -999999, 125959.221492348 6845099.34726053 -999999, 125964.843016782 6845113.85997156 -999999)</t>
  </si>
  <si>
    <t>POINT (125953.41219909574 6845100.405839092)</t>
  </si>
  <si>
    <t>['FV55 S4D1 m12894-12922']</t>
  </si>
  <si>
    <t>LINESTRING Z (129001.28657217 6845760.57890374 -999999, 129009.419876651 6845761.4244453 -999999, 129027.900999211 6845772.89965211 -999999)</t>
  </si>
  <si>
    <t>POINT (129015.02491713398 6845765.479039077)</t>
  </si>
  <si>
    <t>['FV55 S4D1 m8340-8375']</t>
  </si>
  <si>
    <t>LINESTRING Z (130983.158390263 6848552.91495636 -999999, 130972.624744147 6848547.81272153 -999999, 130968.263156301 6848545.50848644 -999999, 130965.465156552 6848543.12195724 -999999, 130964.066156677 6848540.73542804 -999999, 130964.395333118 6848537.69054596 -999999, 130968.921509184 6848521.23172391 -999999)</t>
  </si>
  <si>
    <t>POINT (130969.85730535096 6848539.839287306)</t>
  </si>
  <si>
    <t>['FV55 S4D1 m7762-7810']</t>
  </si>
  <si>
    <t>LINESTRING Z (131079.607087517 6849109.96378889 -999999, 131075.739264334 6849099.59473099 -999999, 131077.138264209 6849077.12843888 -999999, 131080.923793282 6849062.15091081 -999999)</t>
  </si>
  <si>
    <t>POINT (131077.53427691478 6849086.168184221)</t>
  </si>
  <si>
    <t>['FV55 S4D1 m3896-3956']</t>
  </si>
  <si>
    <t>LINESTRING Z (132089.216143229 6852722.18237765 -999999, 132082.036967379 6852709.90220843 -999999, 132077.030436853 6852697.90542773 -999999, 132072.590683367 6852682.79137331 -999999, 132069.945723844 6852675.32880895 -999999, 132070.229112364 6852665.97698777 -999999)</t>
  </si>
  <si>
    <t>POINT (132077.18426349686 6852694.797416501)</t>
  </si>
  <si>
    <t>2015-04-16</t>
  </si>
  <si>
    <t>['FV55 S3D1 m7644-7683']</t>
  </si>
  <si>
    <t>LINESTRING Z (140752.632393942 6856547.3302414 -999999, 140736.507433487 6856532.16319938 -999999, 140731.318708588 6856529.04996444 -999999, 140727.407208279 6856528.33152561 -999999, 140725.33171832 6856528.7306583 -999999, 140722.138656844 6856529.28944406 -999999, 140717.748197314 6856529.44909713 -999999)</t>
  </si>
  <si>
    <t>POINT (140736.4780363826 6856534.894442589)</t>
  </si>
  <si>
    <t>2005-06-29</t>
  </si>
  <si>
    <t>['FV55 S3D1 m6052-6114']</t>
  </si>
  <si>
    <t>LINESTRING Z (142125.282371484 6857255.0160492 -999999, 142124.436369556 6857253.88804663 -999999, 142118.683556446 6857246.21762915 -999999, 142105.711526885 6857236.74240756 -999999, 142091.611494753 6857230.59479355 -999999, 142073.507053496 6857226.08278326 -999999, 142066.795438201 6857232.2867974 -999999)</t>
  </si>
  <si>
    <t>POINT (142097.42174990094 6857236.109508484)</t>
  </si>
  <si>
    <t>[2289]</t>
  </si>
  <si>
    <t>['FV2289 S1D1 m4109-4156']</t>
  </si>
  <si>
    <t>LINESTRING (253497.08613041925 6697157.00084829, 253506.13896447932 6697160.564380111, 253516.71896195304 6697167.45385493, 253519.87429578588 6697170.899546787, 253522.96220735775 6697174.3360958565, 253526.53219405308 6697179.936357479, 253529.72187314968 6697185.808203433, 253531.33397734183 6697185.881372149, 253530.1001263306 6697192.686380885)</t>
  </si>
  <si>
    <t>[2324]</t>
  </si>
  <si>
    <t>['FV2324 S1D1 m413-428']</t>
  </si>
  <si>
    <t>LINESTRING (256245.41596880238 6699590.3762508035, 256227.86095837064 6699584.495930896, 256226.43884539904 6699580.98991428, 256235.4804609908 6699583.09031994, 256247.35869454392 6699587.497383478)</t>
  </si>
  <si>
    <t>2005-05-19</t>
  </si>
  <si>
    <t>[2652]</t>
  </si>
  <si>
    <t>['FV2652 S1D1 m10240-10263']</t>
  </si>
  <si>
    <t>LINESTRING Z (127677.061405712 6884687.22883098 -999999, 127683.269232365 6884684.39096737 -999999, 127691.782823205 6884683.23808528 -999999, 127700.739830234 6884686.07594889 -999999)</t>
  </si>
  <si>
    <t>POINT (127688.8089558215 6884684.682454463)</t>
  </si>
  <si>
    <t>2010-09-06</t>
  </si>
  <si>
    <t>[2640]</t>
  </si>
  <si>
    <t>['FV2640 S3D1 m10071-10145']</t>
  </si>
  <si>
    <t>LINESTRING Z (162254.891459998 6874055.36289641 -999999, 162253.517892771 6874052.24947736 -999999, 162252.144325544 6874049.59391406 -999999, 162251.137042911 6874048.4492747 -999999, 162249.397191091 6874047.89984781 -999999, 162245.734345153 6874047.99141896 -999999, 162241.842571344 6874048.12877568 -999999, 162232.181815183 6874048.81555929 -999999, 162220.689636054 6874050.09755537 -999999, 162215.973721909 6874050.78433899 -999999, 162205.305683115 6874052.47840523 -999999, 162196.285924993 6874054.17247148 -999999, 162189.41808886 6874055.59182428 -999999, 162187.403523594 6874056.64489249 -999999, 162185.709457348 6874057.88110299 -999999, 162181.542970093 6874063.46694305 -999999)</t>
  </si>
  <si>
    <t>POINT (162218.52696460963 6874051.993077384)</t>
  </si>
  <si>
    <t>2010-05-26</t>
  </si>
  <si>
    <t>[2280]</t>
  </si>
  <si>
    <t>['FV2280 S2D1 m5486-5507']</t>
  </si>
  <si>
    <t>LINESTRING Z (257380.3167975 6692270.4835125 -999999, 257397.31894808 6692281.87411585 -999999)</t>
  </si>
  <si>
    <t>POINT (257388.81787279 6692276.178814175)</t>
  </si>
  <si>
    <t>['FV2280 S1D1 m1508-1567']</t>
  </si>
  <si>
    <t>LINESTRING Z (252439.265458519 6690196.08555925 -999999, 252450.021122212 6690208.09430997 -999999, 252455.868861695 6690213.31550594 -999999, 252462.238720775 6690217.38803879 -999999, 252473.307656225 6690225.11540882 -999999, 252478.111156515 6690228.35255032 -999999, 252483.64562424 6690231.06757223 -999999)</t>
  </si>
  <si>
    <t>POINT (252460.25633066008 6690215.0685574515)</t>
  </si>
  <si>
    <t>['FV2280 S1D1 m836-889']</t>
  </si>
  <si>
    <t>LINESTRING Z (251855.750525226 6689932.83878658 -999999, 251863.049027589 6689938.72665403 -999999, 251873.168799772 6689944.85984929 -999999, 251883.043244145 6689950.25706112 -999999, 251900.768178455 6689959.45685402 -999999)</t>
  </si>
  <si>
    <t>POINT (251877.76023543943 6689946.931116467)</t>
  </si>
  <si>
    <t>['FV2280 S1D1 m811-856']</t>
  </si>
  <si>
    <t>LINESTRING Z (251834.345673759 6689917.1378067 -999999, 251845.140097422 6689918.67110552 -999999, 251857.099828184 6689921.73770315 -999999, 251870.715521667 6689928.54554989 -999999, 251877.216708646 6689934.67874515 -999999)</t>
  </si>
  <si>
    <t>POINT (251856.91651982567 6689923.411351826)</t>
  </si>
  <si>
    <t>['FV33 S10D1 m3577-3639']</t>
  </si>
  <si>
    <t>LINESTRING (244442.48348922608 6746539.99472373, 244437.5287922626 6746540.260371041, 244424.10794740557 6746540.909222768)</t>
  </si>
  <si>
    <t>2010-05-12</t>
  </si>
  <si>
    <t>[2284]</t>
  </si>
  <si>
    <t>['FV2284 S1D1 m2405-2453']</t>
  </si>
  <si>
    <t>LINESTRING Z (258238.231894433 6687131.91795066 -999999, 258233.518897361 6687126.34804503 -999999, 258227.62765102 6687119.49277656 -999999, 258223.985789645 6687115.74380162 -999999, 258220.022587562 6687112.63750809 -999999, 258215.309590489 6687110.06678241 -999999, 258209.953911997 6687108.3529653 -999999, 258204.598233506 6687106.63914818 -999999, 258200.313690712 6687105.03244463 -999999)</t>
  </si>
  <si>
    <t>POINT (258220.9636807291 6687116.005409052)</t>
  </si>
  <si>
    <t>2025-12-29T21:26:16Z</t>
  </si>
  <si>
    <t>['FV2640 S1D1 m11066-11094']</t>
  </si>
  <si>
    <t>LINESTRING Z (179352.274158266 6873672.12474513 -999999, 179358.690953019 6873670.30867114 -999999, 179364.623461376 6873668.85581195 -999999, 179374.067046108 6873668.61366875 -999999, 179379.757411267 6873668.97688355 -999999)</t>
  </si>
  <si>
    <t>POINT (179365.89824250268 6873669.525184904)</t>
  </si>
  <si>
    <t>2025-11-22T09:12:41Z</t>
  </si>
  <si>
    <t>['FV2532 S6D1 m620-665']</t>
  </si>
  <si>
    <t>LINESTRING Z (236621.171594424 6832595.91396268 -999999, 236613.744024565 6832594.56699405 -999999, 236593.347071067 6832597.18396167 -999999, 236582.37889796 6832601.49426128 -999999, 236577.029508269 6832604.95789489 -999999)</t>
  </si>
  <si>
    <t>POINT (236598.5373512601 6832597.666439432)</t>
  </si>
  <si>
    <t>2008-05-21</t>
  </si>
  <si>
    <t>[2612]</t>
  </si>
  <si>
    <t>['FV2612 S1D1 m766-791']</t>
  </si>
  <si>
    <t>LINESTRING (202741.62655491114 6833962.27401026, 202746.75492437521 6833961.689405767, 202760.98784165177 6833970.698397208, 202761.28901311947 6833974.197172216)</t>
  </si>
  <si>
    <t>POINT (202752.91332045785 6833966.202533122)</t>
  </si>
  <si>
    <t>[2598]</t>
  </si>
  <si>
    <t>['FV2598 S1D1 m8891-8943']</t>
  </si>
  <si>
    <t>LINESTRING Z (218961.467474838 6847872.40433171 -999999, 218953.690179909 6847870.11925022 -999999, 218945.552082638 6847866.75176169 -999999, 218939.09772963 6847864.30632359 -999999, 218935.369438762 6847863.8252538 -999999, 218932.082128534 6847863.9856104 -999999, 218928.193481069 6847864.82748253 -999999, 218921.498593166 6847866.59140509 -999999, 218918.13110464 6847867.43327722 -999999, 218913.921743983 6847868.51568425 -999999, 218908.990778641 6847869.15711064 -999999)</t>
  </si>
  <si>
    <t>POINT (218935.45212049293 6847867.182877359)</t>
  </si>
  <si>
    <t>['FV2598 S1D1 m306-338']</t>
  </si>
  <si>
    <t>LINESTRING Z (220443.162426296 6841159.23577675 -999999, 220441.318325436 6841168.97743999 -999999, 220440.155740112 6841182.00641345 -999999, 220442.120108419 6841191.5075418 -999999)</t>
  </si>
  <si>
    <t>POINT (220441.3118363757 6841175.382212865)</t>
  </si>
  <si>
    <t>[240]</t>
  </si>
  <si>
    <t>['FV240 S2D1 m10340-10385']</t>
  </si>
  <si>
    <t>LINESTRING (252130.2054463519 6705752.903806361, 252133.12164094468 6705755.307189337, 252137.2894425923 6705758.317534843, 252142.70766292932 6705761.75617682, 252147.9195955382 6705765.410045557, 252150.83297443148 6705768.014728759, 252152.91894857356 6705772.173106464, 252153.95892147033 6705775.095984349, 252155.00368878662 6705780.509879338, 252154.47832776787 6705783.327665823, 252152.91996122943 6705789.05385687)</t>
  </si>
  <si>
    <t>2024-07-29</t>
  </si>
  <si>
    <t>['FV240 S1D1 m12176-12213']</t>
  </si>
  <si>
    <t>LINESTRING (246587.28774325125 6698145.535537845, 246589.57237332623 6698147.163767824, 246594.68895816113 6698149.454644793, 246599.9806455296 6698153.77800807, 246601.00418296075 6698156.064112301, 246601.6242908262 6698160.570825732, 246602.20443296328 6698165.086518215, 246602.08593799314 6698173.385334393, 246602.6260273828 6698176.520833021)</t>
  </si>
  <si>
    <t>2015-06-04</t>
  </si>
  <si>
    <t>['FV51 S13D1 m10000-10088']</t>
  </si>
  <si>
    <t>LINESTRING Z (177148.344862 6840301.387655 -999999, 177160.986847 6840317.271174 -999999, 177170.063143 6840331.533926 -999999, 177177.19452 6840347.093292 -999999, 177185.946663 6840381.777712 -999999)</t>
  </si>
  <si>
    <t>POINT (177170.98860041692 6840339.734026608)</t>
  </si>
  <si>
    <t>2015-05-29</t>
  </si>
  <si>
    <t>['FV51 S14D1 m14568-14603']</t>
  </si>
  <si>
    <t>LINESTRING Z (186733.918888 6858018.371079 -999999, 186737.06673 6858020.786865 -999999, 186744.680117 6858027.814606 -999999, 186752.000681 6858035.574404 -999999, 186757.05187 6858039.67392 -999999, 186762.322676 6858046.482044 -999999)</t>
  </si>
  <si>
    <t>POINT (186748.57954954533 6858031.991284125)</t>
  </si>
  <si>
    <t>2013-11-26</t>
  </si>
  <si>
    <t>['FV51 S14D1 m14588-14643']</t>
  </si>
  <si>
    <t>LINESTRING Z (186743.801649263 6858041.50406067 -999999, 186746.437052276 6858047.43371745 -999999, 186749.804511681 6858054.60787009 -999999, 186753.977233117 6858059.293031 -999999, 186760.785357566 6858066.39397801 -999999, 186768.764772243 6858072.9092799 -999999, 186776.085336166 6858077.88726337 -999999, 186782.234609862 6858081.40113405 -999999)</t>
  </si>
  <si>
    <t>POINT (186760.48524583696 6858063.730829128)</t>
  </si>
  <si>
    <t>2010-06-23</t>
  </si>
  <si>
    <t>[245]</t>
  </si>
  <si>
    <t>['FV245 S1D1 m678-719']</t>
  </si>
  <si>
    <t>LINESTRING Z (244069.651636077 6687355.63514601 -999999, 244072.335027621 6687359.34310523 -999999, 244075.311152788 6687362.17286359 -999999, 244082.48312655 6687363.68532064 -999999, 244094.143682531 6687362.56317509 -999999, 244100.095932865 6687360.70919547 -999999, 244102.828113346 6687359.24552736 -999999, 244113.805624207 6687351.82960891 -999999)</t>
  </si>
  <si>
    <t>POINT (244091.3517113753 6687360.013951309)</t>
  </si>
  <si>
    <t>2008-05-06</t>
  </si>
  <si>
    <t>['FV257 S2D1 m6081-6123']</t>
  </si>
  <si>
    <t>LINESTRING Z (201465.461396505 6858577.18217861 -999999, 201456.176945499 6858583.97358258 -999999, 201443.711710351 6858590.76498656 -999999, 201426.432315423 6858593.42996787 -999999)</t>
  </si>
  <si>
    <t>POINT (201446.81972259027 6858587.474495328)</t>
  </si>
  <si>
    <t>2001-06-05</t>
  </si>
  <si>
    <t>['FV257 S2D1 m3849-3940']</t>
  </si>
  <si>
    <t>LINESTRING Z (202931.882137829 6856939.18517224 -999999, 202921.157030944 6856946.82966332 -999999, 202914.881702447 6856952.99089493 -999999, 202878.256603402 6856997.37458194 -999999, 202872.665856196 6857008.09968882 -999999)</t>
  </si>
  <si>
    <t>POINT (202900.14772918887 6856971.768472647)</t>
  </si>
  <si>
    <t>2008-05-08</t>
  </si>
  <si>
    <t>[2584]</t>
  </si>
  <si>
    <t>['FV2584 S2D1 m9562-9622']</t>
  </si>
  <si>
    <t>LINESTRING Z (222119.515316224 6831342.52934366 -999999, 222127.580069958 6831326.98994012 -999999, 222135.644823692 6831302.20557499 -999999, 222139.185447283 6831286.27276883 -999999)</t>
  </si>
  <si>
    <t>POINT (222130.836298313 6831314.943420651)</t>
  </si>
  <si>
    <t>2025-11-22T09:12:48Z</t>
  </si>
  <si>
    <t>['FV2324 S1D1 m700-743']</t>
  </si>
  <si>
    <t>LINESTRING (256498.68201792167 6699660.16408444, 256504.04157031793 6699658.396869804, 256507.37976148978 6699657.759509233, 256519.4745608536 6699661.036186654, 256534.6010537427 6699665.952585689, 256536.99639478658 6699667.344542101, 256540.0164922953 6699674.335698258)</t>
  </si>
  <si>
    <t>['FV2300 S2D1 m2571-2610']</t>
  </si>
  <si>
    <t>LINESTRING Z (260398.901165902 6688764.67677875 -999999, 260400.145283552 6688770.73148465 -999999, 260398.403518843 6688781.92854349 -999999, 260396.247048251 6688794.03795528 -999999, 260395.085871778 6688797.35560234 -999999, 260392.514695302 6688802.58089647 -999999)</t>
  </si>
  <si>
    <t>POINT (260397.56317378223 6688783.884004102)</t>
  </si>
  <si>
    <t>['FV2300 S2D1 m1490-1536']</t>
  </si>
  <si>
    <t>LINESTRING Z (259987.746748629 6687884.10637696 -999999, 259993.401791366 6687889.23672501 -999999, 260000.456019935 6687895.76625889 -999999, 260005.702966805 6687899.49742111 -999999, 260015.14747117 6687905.15246385 -999999, 260023.192789704 6687908.24233256 -999999, 260029.897221815 6687910.98240482 -999999)</t>
  </si>
  <si>
    <t>POINT (260007.72562550107 6687899.284729349)</t>
  </si>
  <si>
    <t>['FV2300 S1D1 m10903-10965']</t>
  </si>
  <si>
    <t>LINESTRING Z (261994.616907545 6685761.90407458 -999999, 261988.879506992 6685767.27525808 -999999, 261981.433093507 6685775.45410568 -999999, 261976.428127066 6685781.06943388 -999999, 261971.423160626 6685789.85864324 -999999, 261966.174049481 6685799.25821436 -999999, 261960.924938336 6685813.78482427 -999999)</t>
  </si>
  <si>
    <t>POINT (261975.3033094383 6685786.244332393)</t>
  </si>
  <si>
    <t>['FV2300 S1D1 m10547-10580']</t>
  </si>
  <si>
    <t>LINESTRING Z (262207.144872742 6685475.5223363 -999999, 262204.337208641 6685481.62595391 -999999, 262200.43089337 6685490.17101857 -999999, 262197.623229269 6685494.32147854 -999999, 262195.303854577 6685496.64085323 -999999, 262192.007901068 6685500.18095145 -999999, 262188.345730501 6685503.72104966 -999999)</t>
  </si>
  <si>
    <t>POINT (262198.94496087893 6685490.45113142)</t>
  </si>
  <si>
    <t>['FV2300 S1D1 m10093-10136']</t>
  </si>
  <si>
    <t>LINESTRING Z (262254.508945399 6685025.31950135 -999999, 262254.386873047 6685033.25420425 -999999, 262254.142728342 6685039.72403892 -999999, 262252.067498355 6685050.46640591 -999999, 262249.503978958 6685057.42452999 -999999, 262244.865229574 6685067.31239052 -999999)</t>
  </si>
  <si>
    <t>POINT (262251.64710619784 6685046.768777152)</t>
  </si>
  <si>
    <t>['FV2300 S1D1 m10038-10085']</t>
  </si>
  <si>
    <t>LINESTRING Z (262258.049043613 6684970.14279816 -999999, 262254.631017751 6684976.73470518 -999999, 262252.189570707 6684981.98381632 -999999, 262251.090919537 6684985.76805924 -999999, 262249.992268367 6684991.7496045 -999999, 262249.381906606 6684997.73114976 -999999, 262249.015689549 6685005.42170794 -999999, 262248.893617197 6685016.04200259 -999999)</t>
  </si>
  <si>
    <t>POINT (262251.207162918 6684992.555653053)</t>
  </si>
  <si>
    <t>['FV2300 S1D1 m7515-7538']</t>
  </si>
  <si>
    <t>LINESTRING Z (262312.518380707 6682539.6390643 -999999, 262310.891396915 6682542.50769361 -999999, 262308.750628768 6682547.34582963 -999999, 262306.866752799 6682551.0707662 -999999, 262303.398708401 6682557.27899383 -999999, 262301.814539972 6682559.93354633 -999999)</t>
  </si>
  <si>
    <t>POINT (262307.3029297984 6682549.856692814)</t>
  </si>
  <si>
    <t>['FV257 S3D1 m1015-1069']</t>
  </si>
  <si>
    <t>LINESTRING Z (198011.959980646 6860411.98845403 -999999, 197998.385970296 6860427.1888435 -999999, 197986.375786024 6860439.57434603 -999999, 197974.803473053 6860446.89305207 -999999, 197971.613267855 6860448.8321964 -999999)</t>
  </si>
  <si>
    <t>POINT (197992.88332147765 6860431.708319631)</t>
  </si>
  <si>
    <t>['FV257 S2D1 m7694-7730']</t>
  </si>
  <si>
    <t>LINESTRING Z (200247.33 6859638.24 -999999, 200247.4 6859638.31 -999999, 200249.06 6859637.16 -999999, 200250.39 6859636.28 -999999, 200252.23 6859634.98 -999999, 200254.86 6859633.15 -999999, 200256.52 6859632.02 -999999, 200257.36 6859631.43 -999999, 200259.83 6859629.72 -999999, 200262.37 6859628.01 -999999, 200264.85 6859626.3 -999999, 200267.32 6859624.58 -999999, 200269.81 6859622.91 -999999, 200272.26 6859621.17 -999999, 200273.93 6859620.08 -999999, 200274.77 6859619.48 -999999, 200277.52 6859617.67 -999999, 200277.5 6859617.6 -999999)</t>
  </si>
  <si>
    <t>POINT (200262.42778647158 6859627.965270075)</t>
  </si>
  <si>
    <t>1991-06-10</t>
  </si>
  <si>
    <t>['FV257 S2D1 m1735-1782']</t>
  </si>
  <si>
    <t>LINESTRING Z (203967.148123437 6855496.11991874 -999999, 203963.537503601 6855500.59020996 -999999, 203957.777705292 6855511.07820092 -999999, 203953.307414066 6855520.5345862 -999999, 203950.55646562 6855529.73307007 -999999, 203948.407287146 6855537.98591541 -999999)</t>
  </si>
  <si>
    <t>POINT (203956.21571583132 6855516.322769799)</t>
  </si>
  <si>
    <t>['FV257 S2D1 m933-980']</t>
  </si>
  <si>
    <t>LINESTRING Z (204659.140608392 6855135.7026887 -999999, 204655.615955695 6855134.11229663 -999999, 204645.944652564 6855136.04655726 -999999, 204632.533778888 6855139.2273414 -999999, 204625.312539216 6855141.763372 -999999, 204618.134283114 6855145.11609042 -999999, 204613.835926167 6855147.60913745 -999999)</t>
  </si>
  <si>
    <t>POINT (204636.13238583683 6855139.206507665)</t>
  </si>
  <si>
    <t>['FV257 S1D1 m8209-8263']</t>
  </si>
  <si>
    <t>LINESTRING Z (205399.028029067 6854602.48007817 -999999, 205384.584891812 6854620.03596052 -999999, 205375.869205538 6854631.55311738 -999999, 205367.589303577 6854644.06635268 -999999)</t>
  </si>
  <si>
    <t>POINT (205382.82826166495 6854622.916439871)</t>
  </si>
  <si>
    <t>['FV245 S1D1 m303-342']</t>
  </si>
  <si>
    <t>LINESTRING Z (243796.086688144 6687109.0642514 -999999, 243801.007288532 6687115.68813653 -999999, 243804.540027273 6687121.55500623 -999999, 243810.280727725 6687134.8027765 -999999, 243811.731673994 6687144.3916388 -999999)</t>
  </si>
  <si>
    <t>POINT (243805.62583486253 6687126.009611065)</t>
  </si>
  <si>
    <t>['FV240 S2D1 m6965-7016']</t>
  </si>
  <si>
    <t>LINESTRING (249965.991911874 6703594.385959823, 250009.63209996663 6703589.720780032, 250012.11974892145 6703595.88391261)</t>
  </si>
  <si>
    <t>2025-11-22T09:12:51Z</t>
  </si>
  <si>
    <t>['FV55 S4D1 m9108-9180']</t>
  </si>
  <si>
    <t>LINESTRING Z (130782.196172947 6847823.54225691 -999999, 130776.106408786 6847820.82655127 -999999, 130771.004173948 6847819.92131606 -999999, 130766.724880213 6847820.00361017 -999999, 130765.161292118 6847819.18066906 -999999, 130764.256056905 6847817.37019864 -999999, 130764.256056905 6847799.5123767 -999999, 130761.622645376 6847791.94131856 -999999, 130757.754822192 6847787.25055427 -999999, 130749.031646502 6847770.95632043 -999999, 130750.101469936 6847759.92890966 -999999)</t>
  </si>
  <si>
    <t>POINT (130761.42301224158 6847796.251055039)</t>
  </si>
  <si>
    <t>['FV55 S4D1 m235-262']</t>
  </si>
  <si>
    <t>LINESTRING Z (134805.091003115 6854093.35456455 -999999, 134802.07000302 6854092.02665242 -999999, 134798.086266632 6854087.24616875 -999999, 134793.305782966 6854085.48668518 -999999, 134786.898606941 6854085.6526742 -999999, 134780.557826522 6854089.93519081 -999999, 134776.408101118 6854093.78613599 -999999, 134781.3545738 6854102.84913627 -999999, 134781.25498039 6854105.47176273 -999999)</t>
  </si>
  <si>
    <t>POINT (134787.59749390505 6854091.615820229)</t>
  </si>
  <si>
    <t>2022-07-04</t>
  </si>
  <si>
    <t>['FV55 S3D1 m9104-9153']</t>
  </si>
  <si>
    <t>LINESTRING Z (139532.768011333 6855735.2574479 -999999, 139536.61341219 6855738.22889402 -999999, 139542.818490847 6855741.72471298 -999999, 139546.576496231 6855743.21043604 -999999, 139553.305947732 6855750.28946943 -999999, 139557.850512382 6855759.46599421 -999999, 139560.210190181 6855764.79711812 -999999, 139564.055591038 6855772.05094247 -999999)</t>
  </si>
  <si>
    <t>POINT (139550.79362846783 6855751.476840425)</t>
  </si>
  <si>
    <t>2010-06-03</t>
  </si>
  <si>
    <t>['FV55 S3D1 m9107-9147']</t>
  </si>
  <si>
    <t>LINESTRING Z (139528.310842157 6855746.18188215 -999999, 139528.398237631 6855747.75500069 -999999, 139528.922610475 6855751.94998344 -999999, 139529.88396069 6855756.93152546 -999999, 139532.418429437 6855760.60213537 -999999, 139538.885694515 6855766.80721403 -999999, 139544.129422958 6855770.91480131 -999999, 139548.324405712 6855773.36187458 -999999, 139552.606783939 6855775.54676143 -999999, 139554.179902472 6855776.24592522 -999999)</t>
  </si>
  <si>
    <t>POINT (139537.99662528004 6855763.563356954)</t>
  </si>
  <si>
    <t>['FV55 S3D1 m6191-6228']</t>
  </si>
  <si>
    <t>LINESTRING Z (141990.091263405 6857227.9439875 -999999, 141983.830849138 6857229.57959123 -999999, 141972.325222919 6857234.88120331 -999999, 141969.054015464 6857235.67080511 -999999, 141965.38800711 6857234.76840306 -999999, 141963.07560184 6857233.24559959 -999999, 141961.214397599 6857230.7075938 -999999, 141956.871587702 6857222.69877555 -999999, 141955.235983975 6857221.0067717 -999999, 141952.810778449 6857219.76596887 -999999)</t>
  </si>
  <si>
    <t>POINT (141969.7208360663 6857229.99184833)</t>
  </si>
  <si>
    <t>2025-12-15T14:21:25Z</t>
  </si>
  <si>
    <t>['FV55 S2D1 m6210-6249']</t>
  </si>
  <si>
    <t>LINESTRING Z (151116.230015642 6864094.59453008 -999999, 151120.084488642 6864100.11451611 -999999, 151124.652752939 6864103.73105868 -999999, 151129.6968781 6864107.06208473 -999999, 151136.311344112 6864109.91724991 -999999, 151143.92511794 6864112.24896815 -999999, 151150.825100472 6864113.53379248 -999999)</t>
  </si>
  <si>
    <t>POINT (151132.03206776126 6864106.519016331)</t>
  </si>
  <si>
    <t>2010-06-30</t>
  </si>
  <si>
    <t>['FV51 S15D1 m6758-6801']</t>
  </si>
  <si>
    <t>LINESTRING Z (188170.100038214 6864139.04464255 -999999, 188173.105416951 6864136.94087743 -999999, 188178.414919386 6864133.53478153 -999999, 188183.62424253 6864128.52581697 -999999, 188186.729800559 6864124.51864532 -999999, 188190.236075752 6864119.30932218 -999999, 188192.940916615 6864114.70107478 -999999, 188195.044681731 6864109.59193093 -999999, 188197.148446847 6864104.58296637 -999999)</t>
  </si>
  <si>
    <t>POINT (188185.70778600904 6864123.508710721)</t>
  </si>
  <si>
    <t>2010-08-16</t>
  </si>
  <si>
    <t>['FV51 S14D1 m4738-4769']</t>
  </si>
  <si>
    <t>LINESTRING Z (183007.249608273 6849916.0953628 -999999, 183016.094197713 6849907.08698466 -999999, 183017.568295954 6849904.30257688 -999999, 183017.89587334 6849900.04407085 -999999, 183015.43904294 6849887.10476408 -999999)</t>
  </si>
  <si>
    <t>POINT (183014.92124728582 6849902.677235478)</t>
  </si>
  <si>
    <t>['FV51 S13D1 m8086-8138']</t>
  </si>
  <si>
    <t>LINESTRING Z (176663.333344 6838805.474825 -999999, 176677.743761 6838805.76018 -999999, 176691.012759 6838808.471051 -999999, 176701.713564 6838815.462243 -999999, 176704.281758 6838821.312017 -999999, 176710.702241 6838828.303209 -999999)</t>
  </si>
  <si>
    <t>POINT (176689.53673363625 6838812.067251985)</t>
  </si>
  <si>
    <t>['FV51 S13D1 m7741-7790']</t>
  </si>
  <si>
    <t>LINESTRING Z (176381.973509 6838609.578754 -999999, 176387.39525 6838611.861592 -999999, 176396.526604 6838614.429785 -999999, 176399.665506 6838617.283333 -999999, 176403.803151 6838621.563655 -999999, 176409.224892 6838632.83517 -999999, 176413.933246 6838640.825104 -999999, 176415.502698 6838646.104168 -999999)</t>
  </si>
  <si>
    <t>POINT (176402.00202448262 6838624.441453568)</t>
  </si>
  <si>
    <t>['FV51 S13D1 m3864-3905']</t>
  </si>
  <si>
    <t>LINESTRING Z (173887.199227 6835935.042769 -999999, 173907.232089 6835970.984079 -999999)</t>
  </si>
  <si>
    <t>POINT (173897.215658 6835953.013423999)</t>
  </si>
  <si>
    <t>['FV51 S13D1 m544-592']</t>
  </si>
  <si>
    <t>LINESTRING Z (172576.014767 6833343.18399 -999999, 172583.119446 6833354.990294 -999999, 172588.447955 6833365.647312 -999999, 172590.746527 6833370.453419 -999999, 172591.686852 6833375.155044 -999999, 172590.851008 6833379.96115 -999999, 172589.283799 6833389.782324 -999999)</t>
  </si>
  <si>
    <t>POINT (172586.37746967623 6833365.740968593)</t>
  </si>
  <si>
    <t>['FV33 S10D1 m3771-3824']</t>
  </si>
  <si>
    <t>LINESTRING (244267.0592015577 6746540.779500232, 244262.6297516615 6746542.348800761, 244257.93685579288 6746542.607099236, 244250.25019795608 6746541.437276255, 244242.42868849164 6746539.606602159, 244239.29948528126 6746538.042912918, 244236.30472903818 6746534.3909160495, 244232.2629752265 6746528.791219126)</t>
  </si>
  <si>
    <t>2001-06-14</t>
  </si>
  <si>
    <t>2025-11-22T09:12:54Z</t>
  </si>
  <si>
    <t>['EV136 S14D1 m2833-2878']</t>
  </si>
  <si>
    <t>LINESTRING Z (157743.565130032 6917346.73981367 -999999, 157733.129701834 6917350.54661529 -999999, 157724.238291074 6917352.94250441 -999999, 157704.166064387 6917353.50154521 -999999, 157698.735382366 6917353.50154521 -999999)</t>
  </si>
  <si>
    <t>POINT (157721.4536394864 6917351.848407969)</t>
  </si>
  <si>
    <t>['EV136 S17D1 m6478-6545']</t>
  </si>
  <si>
    <t>LINESTRING Z (186143.865580472 6900845.11425253 -999999, 186129.43167102 6900854.34164464 -999999, 186091.800407092 6900886.09624544 -999999)</t>
  </si>
  <si>
    <t>POINT (186117.33551300524 6900864.929854158)</t>
  </si>
  <si>
    <t>2025-10-11</t>
  </si>
  <si>
    <t>2025-11-22T09:13:23Z</t>
  </si>
  <si>
    <t>['FV128 S9D1 m2129-2187']</t>
  </si>
  <si>
    <t>LINESTRING (273521.42773107067 6616213.083499454, 273561.13541923126 6616225.063385111)</t>
  </si>
  <si>
    <t>POINT (273541.28157515096 6616219.073442282)</t>
  </si>
  <si>
    <t>[8058]</t>
  </si>
  <si>
    <t>['FV8058 S1D1 m3697-3738']</t>
  </si>
  <si>
    <t>LINESTRING Z (854401.87 7862677 31.596, 854403.24 7862677.78 31.526, 854407.62 7862680.18 31.416, 854410.32 7862682.12 31.326, 854416.99 7862690.91 31.396, 854418.5 7862693.98 31.396, 854419.84 7862698.53 31.366, 854419.89 7862700.61 31.366, 854419.6 7862702.83 31.386, 854418.85 7862705.53 31.476, 854418.66 7862709.46 31.566, 854417.18 7862705.83 31.556, 854414.25 7862700.65 31.556, 854411.32 7862695.85 31.466, 854408.2 7862690.64 31.396, 854406.01 7862686.71 31.426, 854403.6 7862681.8 31.516, 854401.53 7862677.13 31.566, 854400.84 7862674.38 31.576)</t>
  </si>
  <si>
    <t>POLYGON Z ((854401.87 7862677 31.596, 854403.24 7862677.78 31.526, 854407.62 7862680.18 31.416, 854410.32 7862682.12 31.326, 854416.99 7862690.91 31.396, 854418.5 7862693.98 31.396, 854419.84 7862698.53 31.366, 854419.89 7862700.61 31.366, 854419.6 7862702.83 31.386, 854418.85 7862705.53 31.476, 854418.66 7862709.46 31.566, 854417.18 7862705.83 31.556, 854414.25 7862700.65 31.556, 854411.32 7862695.85 31.466, 854408.2 7862690.64 31.396, 854406.01 7862686.71 31.426, 854403.6 7862681.8 31.516, 854401.53 7862677.13 31.566, 854400.84 7862674.38 31.576, 854401.87 7862677 31.596))</t>
  </si>
  <si>
    <t>2025-11-22T09:13:24Z</t>
  </si>
  <si>
    <t>['EV69 S6D1 m10271-10452']</t>
  </si>
  <si>
    <t>LINESTRING Z (891331.19 7888330.8 30.445, 891336.54 7888324.56 30.685, 891346.49 7888315.93 31.035, 891353.75 7888311.18 31.375, 891363.64 7888305.37 31.715, 891372.1 7888301.21 31.935, 891383.72 7888296.85 32.145, 891393.38 7888294.04 32.175, 891400.2 7888291.47 32.265, 891408.2 7888288.17 32.275, 891415.16 7888285.44 32.195, 891424.71 7888282.23 32.055, 891434.06 7888280.11 32.005, 891441.64 7888279.19 32.005, 891449.37 7888279.82 32.035, 891456.16 7888281.22 32.065, 891464.21 7888283.98 32.065, 891473.23 7888288.24 32.075, 891480.64 7888292.4 32.055, 891490.02 7888299.56 31.975, 891501.21 7888309.13 31.985, 891501.35 7888309.72 31.965, 891495.59 7888306.04 32.105, 891488.2 7888301.7 32.205, 891480.83 7888299.06 32.325, 891473.45 7888296.41 32.395, 891467.7 7888294.44 32.415, 891462.69 7888293.17 32.445, 891454.59 7888292.1 32.505, 891445.98 7888291.13 32.535, 891439.12 7888290.85 32.535, 891431.16 7888290.76 32.565, 891423.38 7888291.07 32.565, 891410.56 7888292.37 32.515, 891403.64 7888294.17 32.495, 891394.95 7888296.4 32.445, 891384.87 7888299.52 32.315, 891377.08 7888302.29 32.145, 891366.03 7888307.32 31.815, 891356.37 7888312.59 31.435, 891347.06 7888318.31 31.075, 891333.33 7888328.91 30.575, 891329.69 7888332.23 30.395)</t>
  </si>
  <si>
    <t>POLYGON Z ((891331.19 7888330.8 30.445, 891336.54 7888324.56 30.685, 891346.49 7888315.93 31.035, 891353.75 7888311.18 31.375, 891363.64 7888305.37 31.715, 891372.1 7888301.21 31.935, 891383.72 7888296.85 32.145, 891393.38 7888294.04 32.175, 891400.2 7888291.47 32.265, 891408.2 7888288.17 32.275, 891415.16 7888285.44 32.195, 891424.71 7888282.23 32.055, 891434.06 7888280.11 32.005, 891441.64 7888279.19 32.005, 891449.37 7888279.82 32.035, 891456.16 7888281.22 32.065, 891464.21 7888283.98 32.065, 891473.23 7888288.24 32.075, 891480.64 7888292.4 32.055, 891490.02 7888299.56 31.975, 891501.21 7888309.13 31.985, 891501.35 7888309.72 31.965, 891495.59 7888306.04 32.105, 891488.2 7888301.7 32.205, 891480.83 7888299.06 32.325, 891473.45 7888296.41 32.395, 891467.7 7888294.44 32.415, 891462.69 7888293.17 32.445, 891454.59 7888292.1 32.505, 891445.98 7888291.13 32.535, 891439.12 7888290.85 32.535, 891431.16 7888290.76 32.565, 891423.38 7888291.07 32.565, 891410.56 7888292.37 32.515, 891403.64 7888294.17 32.495, 891394.95 7888296.4 32.445, 891384.87 7888299.52 32.315, 891377.08 7888302.29 32.145, 891366.03 7888307.32 31.815, 891356.37 7888312.59 31.435, 891347.06 7888318.31 31.075, 891333.33 7888328.91 30.575, 891329.69 7888332.23 30.395, 891331.19 7888330.8 30.445))</t>
  </si>
  <si>
    <t>['EV6 S216D1 m1463-1523']</t>
  </si>
  <si>
    <t>LINESTRING Z (877497.68 7827591.53 59.053, 877496.63 7827580.21 59.173, 877494.65 7827563.84 59.273, 877492.64 7827550.29 59.313, 877490.51 7827540.12 59.333, 877488.54 7827532.05 59.323, 877488.52 7827534.5 59.293, 877488.78 7827542.09 59.353, 877488.73 7827550.39 59.293, 877489.43 7827558.06 59.243, 877490.74 7827565.83 59.203, 877492.37 7827573.65 59.173, 877492.91 7827577.7 58.973, 877495.36 7827582.08 59.103, 877497.08 7827588.6 59.053)</t>
  </si>
  <si>
    <t>POLYGON Z ((877497.68 7827591.53 59.053, 877496.63 7827580.21 59.173, 877494.65 7827563.84 59.273, 877492.64 7827550.29 59.313, 877490.51 7827540.12 59.333, 877488.54 7827532.05 59.323, 877488.52 7827534.5 59.293, 877488.78 7827542.09 59.353, 877488.73 7827550.39 59.293, 877489.43 7827558.06 59.243, 877490.74 7827565.83 59.203, 877492.37 7827573.65 59.173, 877492.91 7827577.7 58.973, 877495.36 7827582.08 59.103, 877497.08 7827588.6 59.053, 877497.68 7827591.53 59.053))</t>
  </si>
  <si>
    <t>2017-10-02</t>
  </si>
  <si>
    <t>['FV890 S7D1 m3714-3760']</t>
  </si>
  <si>
    <t>LINESTRING Z (1019748.89 7899663.29 45.881, 1019739.62 7899667.79 45.071, 1019727.27 7899668.11 47.081, 1019729.55 7899688.98 46.381, 1019733.93 7899711.68 46.011, 1019753.06 7899707.42 45.271, 1019746.65 7899674.26 46.051, 1019750.46 7899671.91 43.841, 1019747.61 7899661.45 44.381)</t>
  </si>
  <si>
    <t>2017-10-19</t>
  </si>
  <si>
    <t>['FV890 S4D1 m9924-9965']</t>
  </si>
  <si>
    <t>LINESTRING Z (1011490.21 7876546.86 190.041, 1011499.78 7876540.66 189.591, 1011508.73 7876533.55 188.931, 1011510.75 7876526.74 188.941, 1011514.27 7876530.62 189.231, 1011520.17 7876536.39 189.251, 1011515.24 7876536.39 188.621, 1011509.56 7876537.95 188.631, 1011503.29 7876543.2 190.281, 1011494.95 7876550.45 190.771, 1011493.99 7876555.97 190.891, 1011503.18 7876565.76 191.701, 1011498.42 7876570.01 191.551, 1011485.34 7876555.69 191.021, 1011470.72 7876539.48 190.721, 1011475.28 7876534.98 190.731, 1011486.27 7876546.14 191.521, 1011491.18 7876546.52 188.911)</t>
  </si>
  <si>
    <t>2025-11-22T09:13:28Z</t>
  </si>
  <si>
    <t>['EV69 S9D1 m3413-3466']</t>
  </si>
  <si>
    <t>LINESTRING Z (872552.7 7852728.64 7.541, 872551.38 7852727.1 7.531, 872549.08 7852724.64 7.531, 872546.35 7852721.35 7.521, 872544.69 7852719.19 7.521, 872542.88 7852716.43 7.611, 872539.72 7852710.05 7.631, 872537.85 7852706.15 7.681, 872536.16 7852701.91 7.631, 872535.12 7852699.09 7.591, 872534.14 7852695.15 7.551, 872533.49 7852689.57 7.501, 872533.28 7852685.95 7.541, 872532.94 7852681.17 7.591, 872532.11 7852678.96 7.611, 872533.46 7852682.96 7.611, 872534.66 7852686.74 7.591, 872536.59 7852691.41 7.571, 872538.62 7852696.27 7.571, 872540.36 7852700.53 7.581, 872542.48 7852705.6 7.581, 872544.63 7852710.11 7.581, 872546.9 7852715.02 7.591, 872548.68 7852718.72 7.601, 872551.35 7852723.51 7.661, 872553.49 7852728.39 7.681)</t>
  </si>
  <si>
    <t>2015-06-10</t>
  </si>
  <si>
    <t>['EV69 S6D1 m15762-15804']</t>
  </si>
  <si>
    <t>LINESTRING Z (888009.55 7884842.59 10.143, 888014.19 7884847.38 10.053, 888021.28 7884854.88 10.093, 888026.02 7884864.41 10.153, 888026.5 7884873.01 10.193, 888026.82 7884879.3 10.343, 888026.88 7884878.94 10.333, 888023.87 7884872.35 10.363, 888020.44 7884864.94 10.353, 888016.71 7884857.47 10.313, 888008.29 7884840.86 10.153)</t>
  </si>
  <si>
    <t>[8050]</t>
  </si>
  <si>
    <t>['FV8050 S1D1 m5558-5585']</t>
  </si>
  <si>
    <t>LINESTRING Z (899229.94 7911607.05 31.07, 899228.39 7911603.73 31.05, 899226.88 7911599.86 31.02, 899225.04 7911594.41 30.92, 899223.06 7911588.74 30.74, 899221.13 7911583.46 30.49, 899221.27 7911579.7 30.36, 899222.11 7911578.15 30.33, 899224.15 7911576.44 30.34, 899226 7911575.83 30.37, 899228.22 7911575.49 30.45, 899231.22 7911575.28 30.63, 899234.75 7911575.93 30.77, 899237.57 7911577.02 30.94, 899240.9 7911580.09 31.05, 899242.6 7911583.25 31.08, 899242.66 7911587.62 31.05, 899241.33 7911591.16 31.06, 899239.62 7911594.06 31.11, 899237.36 7911597.62 31.13, 899235.17 7911600.44 31.15, 899230.05 7911603.09 31.14)</t>
  </si>
  <si>
    <t>POLYGON Z ((899229.94 7911607.05 31.07, 899228.39 7911603.73 31.05, 899226.88 7911599.86 31.02, 899225.04 7911594.41 30.92, 899223.06 7911588.74 30.74, 899221.13 7911583.46 30.49, 899221.27 7911579.7 30.36, 899222.11 7911578.15 30.33, 899224.15 7911576.44 30.34, 899226 7911575.83 30.37, 899228.22 7911575.49 30.45, 899231.22 7911575.28 30.63, 899234.75 7911575.93 30.77, 899237.57 7911577.02 30.94, 899240.9 7911580.09 31.05, 899242.6 7911583.25 31.08, 899242.66 7911587.62 31.05, 899241.33 7911591.16 31.06, 899239.62 7911594.06 31.11, 899237.36 7911597.62 31.13, 899235.17 7911600.44 31.15, 899230.05 7911603.09 31.14, 899229.94 7911607.05 31.07))</t>
  </si>
  <si>
    <t>['FV8050 S1D1 m4481-4512']</t>
  </si>
  <si>
    <t>LINESTRING Z (899161.72 7912660.32 34.97, 899160.93 7912657.9 34.94, 899160.36 7912655.33 34.97, 899160.14 7912649.8 34.92, 899160.06 7912644.86 34.76, 899161.21 7912638.64 34.59, 899163.48 7912632.05 34.49, 899163.16 7912637.1 34.61, 899162.8 7912647.45 34.9, 899162.65 7912655.95 35.07, 899162.42 7912662.91 35.01)</t>
  </si>
  <si>
    <t>POLYGON Z ((899161.72 7912660.32 34.97, 899160.93 7912657.9 34.94, 899160.36 7912655.33 34.97, 899160.14 7912649.8 34.92, 899160.06 7912644.86 34.76, 899161.21 7912638.64 34.59, 899163.48 7912632.05 34.49, 899163.16 7912637.1 34.61, 899162.8 7912647.45 34.9, 899162.65 7912655.95 35.07, 899162.42 7912662.91 35.01, 899161.72 7912660.32 34.97))</t>
  </si>
  <si>
    <t>2017-09-19</t>
  </si>
  <si>
    <t>2025-11-22T09:13:30Z</t>
  </si>
  <si>
    <t>[895]</t>
  </si>
  <si>
    <t>['FV895 S1D1 m16159-16219']</t>
  </si>
  <si>
    <t>LINESTRING Z (991244.26 7826717.72 20.073, 991271.3 7826697.46 19.973, 991261.54 7826701.63 19.893, 991254.51 7826705.83 19.793, 991232.55 7826723.38 20.003, 991223.16 7826733.36 20.053, 991247.21 7826715.5 20.073)</t>
  </si>
  <si>
    <t>POLYGON Z ((991244.26 7826717.72 20.073, 991271.3 7826697.46 19.973, 991261.54 7826701.63 19.893, 991254.51 7826705.83 19.793, 991232.55 7826723.38 20.003, 991223.16 7826733.36 20.053, 991247.21 7826715.5 20.073, 991244.26 7826717.72 20.073))</t>
  </si>
  <si>
    <t>['FV895 S1D1 m7127-7198']</t>
  </si>
  <si>
    <t>LINESTRING Z (996550.13 7831728.71 32.913, 996539.52 7831688.58 32.963, 996542.74 7831706.47 32.893, 996548.07 7831728.64 32.843, 996552.14 7831741.75 32.773, 996558.91 7831756.79 32.793, 996553.66 7831740.17 32.833, 996549.13 7831724.67 32.903)</t>
  </si>
  <si>
    <t>POLYGON Z ((996550.13 7831728.71 32.913, 996539.52 7831688.58 32.963, 996542.74 7831706.47 32.893, 996548.07 7831728.64 32.843, 996552.14 7831741.75 32.773, 996558.91 7831756.79 32.793, 996553.66 7831740.17 32.833, 996549.13 7831724.67 32.903, 996550.13 7831728.71 32.913))</t>
  </si>
  <si>
    <t>['FV895 S1D1 m5875-5959']</t>
  </si>
  <si>
    <t>LINESTRING Z (996792.49 7832946.45 29.833, 996778.7 7832899.9 29.123, 996780.13 7832912.62 29.303, 996780.55 7832936.38 29.413, 996784.54 7832950.43 29.473, 996793.43 7832967.28 29.643, 996803.46 7832981.32 30.073, 996799.1 7832967.19 29.973, 996791.71 7832943.23 29.843)</t>
  </si>
  <si>
    <t>POLYGON Z ((996792.49 7832946.45 29.833, 996778.7 7832899.9 29.123, 996780.13 7832912.62 29.303, 996780.55 7832936.38 29.413, 996784.54 7832950.43 29.473, 996793.43 7832967.28 29.643, 996803.46 7832981.32 30.073, 996799.1 7832967.19 29.973, 996791.71 7832943.23 29.843, 996792.49 7832946.45 29.833))</t>
  </si>
  <si>
    <t>2017-09-29</t>
  </si>
  <si>
    <t>['FV890 S9D1 m3703-3740']</t>
  </si>
  <si>
    <t>LINESTRING Z (1020100.05 7915811.04 13.288, 1020080.34 7915815.51 14.478, 1020086.53 7915818.15 13.628, 1020098.49 7915816.99 13.008, 1020107.92 7915815.04 12.548, 1020116.12 7915807.23 12.508, 1020095.79 7915811.93 13.188)</t>
  </si>
  <si>
    <t>POLYGON Z ((1020100.05 7915811.04 13.288, 1020080.34 7915815.51 14.478, 1020086.53 7915818.15 13.628, 1020098.49 7915816.99 13.008, 1020107.92 7915815.04 12.548, 1020116.12 7915807.23 12.508, 1020095.79 7915811.93 13.188, 1020100.05 7915811.04 13.288))</t>
  </si>
  <si>
    <t>['FV890 S7D1 m4805-4831']</t>
  </si>
  <si>
    <t>LINESTRING Z (1020304.36 7900583.1 37.152, 1020297.22 7900591.18 36.892, 1020289.17 7900585.23 37.072, 1020284.04 7900589.95 36.972, 1020300.23 7900610.5 37.052, 1020307.28 7900604.12 36.912, 1020301.33 7900596.57 36.992, 1020308.89 7900588.6 37.312, 1020303.44 7900582.69 37.032)</t>
  </si>
  <si>
    <t>['FV890 S1D1 m11843-11904']</t>
  </si>
  <si>
    <t>LINESTRING Z (992682.34 7852698.77 30.804, 992676.7 7852671.18 29.984, 992683.31 7852678.55 30.024, 992691.88 7852686.74 30.394, 992694.22 7852697.76 30.874, 992697.56 7852714.15 31.494, 992689.44 7852730.5 31.384, 992685.76 7852715.94 31.234, 992681.94 7852696.2 30.764)</t>
  </si>
  <si>
    <t>POLYGON Z ((992682.34 7852698.77 30.804, 992676.7 7852671.18 29.984, 992683.31 7852678.55 30.024, 992691.88 7852686.74 30.394, 992694.22 7852697.76 30.874, 992697.56 7852714.15 31.494, 992689.44 7852730.5 31.384, 992685.76 7852715.94 31.234, 992681.94 7852696.2 30.764, 992682.34 7852698.77 30.804))</t>
  </si>
  <si>
    <t>['FV890 S1D1 m5044-5105']</t>
  </si>
  <si>
    <t>LINESTRING Z (994552.45 7846387.66 24.048, 994562.8 7846384.41 23.988, 994562.05 7846378.7 23.968, 994556.11 7846371.09 23.958, 994549.74 7846365.11 24.028, 994547.12 7846365.29 24.028, 994543.08 7846348.75 24.098, 994549.25 7846356.79 23.978, 994561.78 7846368.53 23.838, 994569.1 7846376.63 24.058, 994571.05 7846385.65 24.048, 994566.47 7846394.38 24.078, 994559.72 7846401.29 23.918, 994557.37 7846408.41 23.958, 994552.16 7846386.64 24.058, 994559.27 7846388.4 23.698)</t>
  </si>
  <si>
    <t>2017-09-26</t>
  </si>
  <si>
    <t>['FV98 S13D1 m10641-10700']</t>
  </si>
  <si>
    <t>LINESTRING Z (992980.95 7846028.85 16.668, 992992.07 7846007.05 16.708, 992988.6 7846009.34 16.568, 992975.95 7846015.72 16.588, 992972.2 7846019.29 16.658, 992969.88 7846026.03 16.578, 992971.67 7846038.45 16.488, 992964.81 7846060.23 16.588, 992983.2 7846024.19 16.668)</t>
  </si>
  <si>
    <t>POLYGON Z ((992980.95 7846028.85 16.668, 992992.07 7846007.05 16.708, 992988.6 7846009.34 16.568, 992975.95 7846015.72 16.588, 992972.2 7846019.29 16.658, 992969.88 7846026.03 16.578, 992971.67 7846038.45 16.488, 992964.81 7846060.23 16.588, 992983.2 7846024.19 16.668, 992980.95 7846028.85 16.668))</t>
  </si>
  <si>
    <t>['FV98 S13D1 m9574-9623']</t>
  </si>
  <si>
    <t>LINESTRING Z (992515.16 7847001.04 28.517, 992509.84 7847022.59 28.467, 992516.94 7847008.5 28.347, 992521.46 7846994.99 28.427, 992520.1 7846994.11 28.437, 992522.19 7846974.91 28.497, 992514.8 7847003.26 28.497)</t>
  </si>
  <si>
    <t>POLYGON Z ((992515.16 7847001.04 28.517, 992509.84 7847022.59 28.467, 992516.94 7847008.5 28.347, 992521.46 7846994.99 28.427, 992520.1 7846994.11 28.437, 992522.19 7846974.91 28.497, 992514.8 7847003.26 28.497, 992515.16 7847001.04 28.517))</t>
  </si>
  <si>
    <t>['FV98 S13D1 m7994-8026']</t>
  </si>
  <si>
    <t>LINESTRING Z (992110.32 7848539.98 26.476, 992106.9 7848553.16 26.436, 992111.22 7848547.05 26.316, 992114.83 7848536.77 26.336, 992115 7848521.92 26.466, 992109.82 7848541.97 26.446)</t>
  </si>
  <si>
    <t>POLYGON Z ((992110.32 7848539.98 26.476, 992106.9 7848553.16 26.436, 992111.22 7848547.05 26.316, 992114.83 7848536.77 26.336, 992115 7848521.92 26.466, 992109.82 7848541.97 26.446, 992110.32 7848539.98 26.476))</t>
  </si>
  <si>
    <t>['FV98 S12D1 m10329-10426']</t>
  </si>
  <si>
    <t>LINESTRING Z (990683.67 7860386.47 21.39, 990690.35 7860337.54 20.39, 990689.3 7860339.41 20.3, 990679.44 7860366.64 21.02, 990676.04 7860383.83 21.37, 990675.33 7860402.76 21.58, 990678.35 7860433.02 21.8, 990681.13 7860406.72 21.67, 990684.49 7860380.73 21.32)</t>
  </si>
  <si>
    <t>POLYGON Z ((990683.67 7860386.47 21.39, 990690.35 7860337.54 20.39, 990689.3 7860339.41 20.3, 990679.44 7860366.64 21.02, 990676.04 7860383.83 21.37, 990675.33 7860402.76 21.58, 990678.35 7860433.02 21.8, 990681.13 7860406.72 21.67, 990684.49 7860380.73 21.32, 990683.67 7860386.47 21.39))</t>
  </si>
  <si>
    <t>['FV98 S11D1 m11039-11104']</t>
  </si>
  <si>
    <t>LINESTRING Z (984530.07 7865176.48 2.458, 984502.43 7865174.46 2.818, 984510.41 7865180.97 2.528, 984530.44 7865185.34 2.068, 984550.42 7865187.6 1.608, 984566.13 7865185.12 2.018, 984549.1 7865179.87 2.228, 984526.31 7865175.85 2.558)</t>
  </si>
  <si>
    <t>['FV98 S10D1 m8333-8375']</t>
  </si>
  <si>
    <t>LINESTRING Z (978880.02 7868206.67 4.372, 978862.67 7868201.01 4.272, 978867.62 7868212.95 4.122, 978878.91 7868216.53 4.311, 978892.09 7868214.04 4.001, 978904.11 7868209.2 3.801, 978892.34 7868208.76 4.191, 978877.01 7868205.83 4.222)</t>
  </si>
  <si>
    <t>2017-09-25</t>
  </si>
  <si>
    <t>2025-11-22T09:13:33Z</t>
  </si>
  <si>
    <t>[75]</t>
  </si>
  <si>
    <t>['EV75 S2D1 m91-145']</t>
  </si>
  <si>
    <t>LINESTRING Z (1095225.12 7884845.65 16.503, 1095213.18 7884814.77 16.983, 1095211.98 7884817.54 16.773, 1095214.82 7884831.07 16.583, 1095221.12 7884848.44 16.253, 1095226.46 7884860.91 16.083, 1095232.73 7884865.89 16.253, 1095223.07 7884840.26 16.623)</t>
  </si>
  <si>
    <t>['EV75 S4D1 m7295-7331']</t>
  </si>
  <si>
    <t>LINESTRING Z (1079797.36 7867112.15 5.978, 1079780.64 7867124.18 5.748, 1079786.34 7867136.08 5.848, 1079794.15 7867151.43 5.688, 1079802.96 7867147.18 5.698, 1079798.51 7867137.72 5.658, 1079794.18 7867129.06 5.758, 1079803 7867124.04 5.848, 1079796.67 7867110.04 5.928)</t>
  </si>
  <si>
    <t>POLYGON Z ((1079797.36 7867112.15 5.978, 1079780.64 7867124.18 5.748, 1079786.34 7867136.08 5.848, 1079794.15 7867151.43 5.688, 1079802.96 7867147.18 5.698, 1079798.51 7867137.72 5.658, 1079794.18 7867129.06 5.758, 1079803 7867124.04 5.848, 1079796.67 7867110.04 5.928, 1079797.36 7867112.15 5.978))</t>
  </si>
  <si>
    <t>['EV75 S4D1 m17168-17199']</t>
  </si>
  <si>
    <t>LINESTRING Z (1074691.53 7859912.17 17.543, 1074698.2 7859925.84 17.333, 1074705.02 7859911.8 17.233, 1074697.6 7859898.51 17.483, 1074684.37 7859897.6 17.733, 1074692.73 7859914.6 17.503)</t>
  </si>
  <si>
    <t>POLYGON Z ((1074691.53 7859912.17 17.543, 1074698.2 7859925.84 17.333, 1074705.02 7859911.8 17.233, 1074697.6 7859898.51 17.483, 1074684.37 7859897.6 17.733, 1074692.73 7859914.6 17.503, 1074691.53 7859912.17 17.543))</t>
  </si>
  <si>
    <t>['EV75 S5D1 m7134-7175']</t>
  </si>
  <si>
    <t>LINESTRING Z (1075518.38 7853354.14 6.3, 1075525.14 7853374.96 6.21, 1075528.37 7853369.82 5.94, 1075528.24 7853369.79 6.05, 1075538.59 7853362.43 5.84, 1075535.4 7853351.4 5.88, 1075531.37 7853341.88 6.18, 1075522.91 7853341.63 6.24, 1075512.38 7853335.45 6.66, 1075520.19 7853360.58 6.39)</t>
  </si>
  <si>
    <t>POLYGON Z ((1075518.38 7853354.14 6.3, 1075525.14 7853374.96 6.21, 1075528.37 7853369.82 5.94, 1075528.24 7853369.79 6.05, 1075538.59 7853362.43 5.84, 1075535.4 7853351.4 5.88, 1075531.37 7853341.88 6.18, 1075522.91 7853341.63 6.24, 1075512.38 7853335.45 6.66, 1075520.19 7853360.58 6.39, 1075518.38 7853354.14 6.3))</t>
  </si>
  <si>
    <t>['EV75 S6D1 m245-292']</t>
  </si>
  <si>
    <t>LINESTRING Z (1071291.22 7849373.79 8.36, 1071314.85 7849370.38 9.09, 1071301.41 7849367.53 8.43, 1071285.55 7849369.26 8.04, 1071268.48 7849377.04 7.84, 1071279.52 7849375.43 8.08, 1071295.28 7849373.29 8.47)</t>
  </si>
  <si>
    <t>POLYGON Z ((1071291.22 7849373.79 8.36, 1071314.85 7849370.38 9.09, 1071301.41 7849367.53 8.43, 1071285.55 7849369.26 8.04, 1071268.48 7849377.04 7.84, 1071279.52 7849375.43 8.08, 1071295.28 7849373.29 8.47, 1071291.22 7849373.79 8.36))</t>
  </si>
  <si>
    <t>['EV75 S6D1 m2732-2762']</t>
  </si>
  <si>
    <t>LINESTRING Z (1069300.15 7848037.13 5.8, 1069307.64 7848051.54 5.76, 1069311.4 7848041.91 5.59, 1069305.3 7848032.08 5.42, 1069293.81 7848024.92 5.77, 1069302.1 7848041.09 5.8)</t>
  </si>
  <si>
    <t>POLYGON Z ((1069300.15 7848037.13 5.8, 1069307.64 7848051.54 5.76, 1069311.4 7848041.91 5.59, 1069305.3 7848032.08 5.42, 1069293.81 7848024.92 5.77, 1069302.1 7848041.09 5.8, 1069300.15 7848037.13 5.8))</t>
  </si>
  <si>
    <t>['EV75 S6D1 m6145-6192']</t>
  </si>
  <si>
    <t>LINESTRING Z (1067626.99 7845242.45 3.712, 1067640.79 7845250.95 3.582, 1067632.91 7845243.18 3.752, 1067621.68 7845235.14 3.822, 1067601.31 7845225.37 3.712, 1067613.34 7845233.61 3.682, 1067628.72 7845243.66 3.782)</t>
  </si>
  <si>
    <t>POLYGON Z ((1067626.99 7845242.45 3.712, 1067640.79 7845250.95 3.582, 1067632.91 7845243.18 3.752, 1067621.68 7845235.14 3.822, 1067601.31 7845225.37 3.712, 1067613.34 7845233.61 3.682, 1067628.72 7845243.66 3.782, 1067626.99 7845242.45 3.712))</t>
  </si>
  <si>
    <t>2017-09-15</t>
  </si>
  <si>
    <t>['EV75 S6D1 m9448-9488']</t>
  </si>
  <si>
    <t>LINESTRING Z (1064894.99 7843445.99 10.353, 1064912.11 7843454.91 10.673, 1064903.32 7843442.89 8.933, 1064898.4 7843438.19 8.543, 1064889.41 7843434.77 5.723, 1064876.5 7843436.53 9.263, 1064897.47 7843447.38 9.883)</t>
  </si>
  <si>
    <t>POLYGON Z ((1064894.99 7843445.99 10.353, 1064912.11 7843454.91 10.673, 1064903.32 7843442.89 8.933, 1064898.4 7843438.19 8.543, 1064889.41 7843434.77 5.723, 1064876.5 7843436.53 9.263, 1064897.47 7843447.38 9.883, 1064894.99 7843445.99 10.353))</t>
  </si>
  <si>
    <t>['EV75 S6D1 m10937-10967']</t>
  </si>
  <si>
    <t>LINESTRING Z (1063637.78 7842815.4 5.322, 1063648.81 7842820.1 5.162, 1063641.93 7842814.33 5.092, 1063629.56 7842808.92 5.192, 1063621.24 7842809.14 4.362, 1063640.26 7842817.57 4.002)</t>
  </si>
  <si>
    <t>POLYGON Z ((1063637.78 7842815.4 5.322, 1063648.81 7842820.1 5.162, 1063641.93 7842814.33 5.092, 1063629.56 7842808.92 5.192, 1063621.24 7842809.14 4.362, 1063640.26 7842817.57 4.002, 1063637.78 7842815.4 5.322))</t>
  </si>
  <si>
    <t>['EV75 S8D1 m4822-4861']</t>
  </si>
  <si>
    <t>LINESTRING Z (1050264.56 7842606.44 23.608, 1050288.94 7842604.16 23.708, 1050282.74 7842616.66 23.508, 1050277.16 7842620.48 23.528, 1050266.35 7842622.63 23.558, 1050259.64 7842621.18 23.428, 1050248.99 7842608.01 23.648, 1050266.64 7842605.99 23.598)</t>
  </si>
  <si>
    <t>POLYGON Z ((1050264.56 7842606.44 23.608, 1050288.94 7842604.16 23.708, 1050282.74 7842616.66 23.508, 1050277.16 7842620.48 23.528, 1050266.35 7842622.63 23.558, 1050259.64 7842621.18 23.428, 1050248.99 7842608.01 23.648, 1050266.64 7842605.99 23.598, 1050264.56 7842606.44 23.608))</t>
  </si>
  <si>
    <t>['EV75 S8D1 m13477-13525']</t>
  </si>
  <si>
    <t>LINESTRING Z (1042095.45 7841403.64 13.013, 1042120.94 7841399.62 13.003, 1042113.77 7841396.55 12.783, 1042099.69 7841399.1 12.823, 1042088.42 7841401.37 12.843, 1042074.19 7841402.93 12.903, 1042073.76 7841406.85 12.923, 1042097.48 7841403.36 13.033)</t>
  </si>
  <si>
    <t>POLYGON Z ((1042095.45 7841403.64 13.013, 1042120.94 7841399.62 13.003, 1042113.77 7841396.55 12.783, 1042099.69 7841399.1 12.823, 1042088.42 7841401.37 12.843, 1042074.19 7841402.93 12.903, 1042073.76 7841406.85 12.923, 1042097.48 7841403.36 13.033, 1042095.45 7841403.64 13.013))</t>
  </si>
  <si>
    <t>['EV75 S9D1 m1608-1678']</t>
  </si>
  <si>
    <t>LINESTRING Z (1037634.79 7842371.14 17.352, 1037674.16 7842370.01 19.072, 1037655.25 7842374.31 17.912, 1037634.07 7842374.99 17.402, 1037619.21 7842374.89 17.052, 1037604.14 7842371.86 16.812, 1037616.52 7842371.37 16.982, 1037636.94 7842370.89 17.352)</t>
  </si>
  <si>
    <t>POLYGON Z ((1037634.79 7842371.14 17.352, 1037674.16 7842370.01 19.072, 1037655.25 7842374.31 17.912, 1037634.07 7842374.99 17.402, 1037619.21 7842374.89 17.052, 1037604.14 7842371.86 16.812, 1037616.52 7842371.37 16.982, 1037636.94 7842370.89 17.352, 1037634.79 7842371.14 17.352))</t>
  </si>
  <si>
    <t>['EV75 S9D1 m5511-5555']</t>
  </si>
  <si>
    <t>LINESTRING Z (1034116.5 7841567.3 7.073, 1034136.25 7841557.81 7.113, 1034124.23 7841558.4 6.973, 1034104.54 7841567.14 6.783, 1034096.38 7841575.36 6.873, 1034118.43 7841566.61 7.083)</t>
  </si>
  <si>
    <t>POLYGON Z ((1034116.5 7841567.3 7.073, 1034136.25 7841557.81 7.113, 1034124.23 7841558.4 6.973, 1034104.54 7841567.14 6.783, 1034096.38 7841575.36 6.873, 1034118.43 7841566.61 7.083, 1034116.5 7841567.3 7.073))</t>
  </si>
  <si>
    <t>2017-09-12</t>
  </si>
  <si>
    <t>['EV75 S9D1 m10935-11044']</t>
  </si>
  <si>
    <t>LINESTRING Z (1029085.66 7841658.77 58.733, 1029134.09 7841644.12 60.093, 1029109.29 7841657.82 59.213, 1029087.59 7841664.97 58.603, 1029060.73 7841671.1 57.803, 1029029.83 7841674.17 57.233, 1029054.86 7841667.8 57.783, 1029090.34 7841657.19 58.843)</t>
  </si>
  <si>
    <t>POLYGON Z ((1029085.66 7841658.77 58.733, 1029134.09 7841644.12 60.093, 1029109.29 7841657.82 59.213, 1029087.59 7841664.97 58.603, 1029060.73 7841671.1 57.803, 1029029.83 7841674.17 57.233, 1029054.86 7841667.8 57.783, 1029090.34 7841657.19 58.843, 1029085.66 7841658.77 58.733))</t>
  </si>
  <si>
    <t>2017-09-14</t>
  </si>
  <si>
    <t>['EV75 S9D1 m14378-14464']</t>
  </si>
  <si>
    <t>LINESTRING Z (1025874.48 7841790.17 17.943, 1025913 7841789.22 18.803, 1025898.64 7841784.91 18.163, 1025865.19 7841783.4 17.253, 1025827.73 7841784.01 16.813, 1025850.13 7841787.92 17.433, 1025878.19 7841790.46 18.053)</t>
  </si>
  <si>
    <t>['EV75 S10D1 m0-30', 'EV75 S9D1 m17335-17351']</t>
  </si>
  <si>
    <t>LINESTRING Z (1023114.61 7842419.9 4.462, 1023136.7 7842416.43 4.692, 1023120.41 7842415.12 4.392, 1023104.69 7842417.78 4.152, 1023089.25 7842423.76 4.142, 1023112.24 7842420.31 4.432)</t>
  </si>
  <si>
    <t>POLYGON Z ((1023114.61 7842419.9 4.462, 1023136.7 7842416.43 4.692, 1023120.41 7842415.12 4.392, 1023104.69 7842417.78 4.152, 1023089.25 7842423.76 4.142, 1023112.24 7842420.31 4.432, 1023114.61 7842419.9 4.462))</t>
  </si>
  <si>
    <t>['EV75 S10D1 m1258-1306']</t>
  </si>
  <si>
    <t>LINESTRING Z (1021934.12 7842284.48 15.822, 1021954.03 7842272.45 15.982, 1021942.04 7842284.02 15.852, 1021927.36 7842292.86 15.742, 1021913.58 7842296.74 15.652, 1021937.25 7842282.52 15.842)</t>
  </si>
  <si>
    <t>POLYGON Z ((1021934.12 7842284.48 15.822, 1021954.03 7842272.45 15.982, 1021942.04 7842284.02 15.852, 1021927.36 7842292.86 15.742, 1021913.58 7842296.74 15.652, 1021937.25 7842282.52 15.842, 1021934.12 7842284.48 15.822))</t>
  </si>
  <si>
    <t>['EV75 S10D1 m1786-1830']</t>
  </si>
  <si>
    <t>LINESTRING Z (1021462.92 7842515.81 14.892, 1021486.94 7842512.39 14.832, 1021472.2 7842518.15 14.842, 1021456.24 7842520.77 14.882, 1021442.8 7842518.99 14.852, 1021466.42 7842515.28 14.902)</t>
  </si>
  <si>
    <t>['EV75 S10D1 m13777-13854']</t>
  </si>
  <si>
    <t>LINESTRING Z (1010144.68 7842512.44 14.083, 1010188.43 7842529.27 14.113, 1010164.44 7842521.71 14.003, 1010143.85 7842515.51 13.973, 1010124.97 7842509.5 14.053, 1010118.57 7842504.22 14.253, 1010143.79 7842512.05 14.053, 1010191.62 7842527.51 14.263)</t>
  </si>
  <si>
    <t>POINT (1010156.9582816773 7842517.813449964)</t>
  </si>
  <si>
    <t>['EV69 S1D1 m69-190']</t>
  </si>
  <si>
    <t>LINESTRING Z (886599.74 7930598.96 299.371, 886596.35 7930579.05 298.571, 886592.46 7930554.88 297.451, 886589.09 7930529.11 296.201, 886586.08 7930506.81 295.051, 886583.13 7930484.89 294.241, 886582.66 7930479.7 294.041, 886582.39 7930484.57 294.161, 886580.92 7930493.39 294.491, 886579.49 7930502.02 294.681, 886578.73 7930507.56 295.121, 886579.5 7930517.54 295.791, 886581.49 7930532.28 296.611, 886583.9 7930550.5 297.441, 886585.52 7930564.23 298.131, 886587.04 7930571.69 298.491, 886593.67 7930584.81 293.811, 886600.18 7930597.15 294.711)</t>
  </si>
  <si>
    <t>['EV6 S234D1 m17002-17083']</t>
  </si>
  <si>
    <t>LINESTRING Z (1008803.61 7841996.4 28.834, 1008851.33 7841999.75 27.614, 1008844.73 7841995.96 27.704, 1008819.54 7841993.7 28.314, 1008797.61 7841992.55 28.974, 1008769.83 7841994.87 29.824, 1008805.96 7841996.36 28.764)</t>
  </si>
  <si>
    <t>POLYGON Z ((1008803.61 7841996.4 28.834, 1008851.33 7841999.75 27.614, 1008844.73 7841995.96 27.704, 1008819.54 7841993.7 28.314, 1008797.61 7841992.55 28.974, 1008769.83 7841994.87 29.824, 1008805.96 7841996.36 28.764, 1008803.61 7841996.4 28.834))</t>
  </si>
  <si>
    <t>2015-05-27</t>
  </si>
  <si>
    <t>2025-11-22T09:13:37Z</t>
  </si>
  <si>
    <t>['EV6 S215D1 m14375-14425']</t>
  </si>
  <si>
    <t>LINESTRING Z (876209.07 7832643.42 21.003, 876206.02 7832630.45 20.803, 876202.01 7832619.78 20.753, 876197.82 7832612.48 20.793, 876186.16 7832599.21 20.903, 876208.26 7832641.4 20.983)</t>
  </si>
  <si>
    <t>POLYGON Z ((876209.07 7832643.42 21.003, 876206.02 7832630.45 20.803, 876202.01 7832619.78 20.753, 876197.82 7832612.48 20.793, 876186.16 7832599.21 20.903, 876208.26 7832641.4 20.983, 876209.07 7832643.42 21.003))</t>
  </si>
  <si>
    <t>['EV6 S215D1 m8096-8136']</t>
  </si>
  <si>
    <t>LINESTRING Z (875586.55 7837070.48 10.881, 875581.97 7837063.68 10.961, 875568.3 7837050.45 11.521, 875555.51 7837044.16 11.921, 875569.52 7837055.37 11.561, 875585.84 7837069.42 10.921)</t>
  </si>
  <si>
    <t>2010-04-29</t>
  </si>
  <si>
    <t>2025-11-22T09:13:44Z</t>
  </si>
  <si>
    <t>['RV36 S2D1 m5704-5755']</t>
  </si>
  <si>
    <t>LINESTRING Z (191801.63999939 6573367.70019531 30.915, 191794.309997559 6573369.06982422 31.155, 191788.5 6573370.62988281 31.215, 191786.580001831 6573371.24023438 31.225, 191785.600006104 6573371.58984375 31.235, 191784.279998779 6573372.22998047 31.255, 191783.580001831 6573372.62011719 31.245, 191777.770004272 6573376.04003906 31.235, 191771.529998779 6573379.77978516 31.225, 191770.679992676 6573380.35986328 31.215, 191769.529998779 6573381.29980469 31.215, 191767.820007324 6573382.75976563 31.195, 191766.699996948 6573383.79003906 31.165, 191765.660003662 6573384.87011719 31.175, 191760.050003052 6573390.95996094 31.055, 191758.5 6573392.66015625 30.975, 191757.36000061 6573395.25 30.775, 191761.490005493 6573391.64990234 30.875, 191768.830001831 6573386.16992188 31.035, 191777.520004272 6573380.33007813 31.075, 191784.710006714 6573375.93994141 31.075, 191795.119995117 6573370.49023438 31.055, 191801.63999939 6573367.70019531 30.915)</t>
  </si>
  <si>
    <t>POLYGON Z ((191801.63999939 6573367.70019531 30.915, 191794.309997559 6573369.06982422 31.155, 191788.5 6573370.62988281 31.215, 191786.580001831 6573371.24023438 31.225, 191785.600006104 6573371.58984375 31.235, 191784.279998779 6573372.22998047 31.255, 191783.580001831 6573372.62011719 31.245, 191777.770004272 6573376.04003906 31.235, 191771.529998779 6573379.77978516 31.225, 191770.679992676 6573380.35986328 31.215, 191769.529998779 6573381.29980469 31.215, 191767.820007324 6573382.75976563 31.195, 191766.699996948 6573383.79003906 31.165, 191765.660003662 6573384.87011719 31.175, 191760.050003052 6573390.95996094 31.055, 191758.5 6573392.66015625 30.975, 191757.36000061 6573395.25 30.775, 191761.490005493 6573391.64990234 30.875, 191768.830001831 6573386.16992188 31.035, 191777.520004272 6573380.33007813 31.075, 191784.710006714 6573375.93994141 31.075, 191795.119995117 6573370.49023438 31.055, 191801.63999939 6573367.70019531 30.915))</t>
  </si>
  <si>
    <t>2025-11-22T09:13:45Z</t>
  </si>
  <si>
    <t>['FV357 S1D1 m4133-4168']</t>
  </si>
  <si>
    <t>LINESTRING Z (188766.260009766 6575999.19995117 13.813, 188767.420043945 6575998.05004883 13.813, 188769.079956055 6575996.36999512 13.833, 188780.510009766 6575984.76000977 13.943, 188780.510009766 6575984.7800293 13.933, 188781.91003418 6575983.34997559 13.963, 188785.770019531 6575983.0300293 14.073)</t>
  </si>
  <si>
    <t>2022-12-06</t>
  </si>
  <si>
    <t>2025-11-22T09:13:46Z</t>
  </si>
  <si>
    <t>[3366]</t>
  </si>
  <si>
    <t>['FV3366 S1D1 m4572-4592']</t>
  </si>
  <si>
    <t>LINESTRING Z (173668.47 6549720.09 0.01, 173669.11 6549718.42 0.01, 173669.95 6549716.58 0.01, 173671.36 6549713.62 0.01, 173673.55 6549709.34 0.01, 173675.31 6549706.26 0.01, 173676.86 6549703.39 0.01, 173677.56 6549702.05 0.01, 173675.43 6549703.97 0.01, 173672.76 6549706.55 0.01, 173671.09 6549708.7 0.01, 173670.1 6549710.77 0.01, 173669.35 6549713.02 0.01, 173669.04 6549715.73 0.01, 173668.47 6549720.09 0.01)</t>
  </si>
  <si>
    <t>POLYGON Z ((173668.47 6549720.09 0.01, 173669.11 6549718.42 0.01, 173669.95 6549716.58 0.01, 173671.36 6549713.62 0.01, 173673.55 6549709.34 0.01, 173675.31 6549706.26 0.01, 173676.86 6549703.39 0.01, 173677.56 6549702.05 0.01, 173675.43 6549703.97 0.01, 173672.76 6549706.55 0.01, 173671.09 6549708.7 0.01, 173670.1 6549710.77 0.01, 173669.35 6549713.02 0.01, 173669.04 6549715.73 0.01, 173668.47 6549720.09 0.01))</t>
  </si>
  <si>
    <t>2013-10-15</t>
  </si>
  <si>
    <t>2025-11-22T09:13:49Z</t>
  </si>
  <si>
    <t>['RV354 S1D1 m3893-3939']</t>
  </si>
  <si>
    <t>LINESTRING Z (195710.050048828 6559273.32998657 21.946, 195710.040039062 6559273.38000488 22.086, 195709.600097656 6559277.3500061 22.136, 195709.389892578 6559282.26000977 22.236, 195709.459960938 6559283.98999023 22.256, 195709.590087891 6559285.20001221 22.296, 195709.899902344 6559287.67001343 22.386, 195710.669921875 6559292.07000733 22.536, 195711.770019531 6559298.55999756 22.806, 195712.489990234 6559302.79998779 23.036, 195712.679931641 6559303.85998535 23.076, 195712.899902344 6559304.95999146 23.126, 195713.169921875 6559306.04998779 23.176, 195713.379882813 6559306.94000244 23.256, 195714.239990234 6559310.14001465 23.436, 195715.540039063 6559313.6000061 20.556, 195717.709960938 6559316.95999146 23.716, 195717.360107422 6559314.26000977 23.516, 195716.070068359 6559305.48001099 23.106, 195714.370117187 6559295.29998779 22.606, 195712.330078125 6559283.88000488 22.266, 195710.050048828 6559273.32998657 21.926)</t>
  </si>
  <si>
    <t>POLYGON Z ((195710.050048828 6559273.32998657 21.946, 195710.040039062 6559273.38000488 22.086, 195709.600097656 6559277.3500061 22.136, 195709.389892578 6559282.26000977 22.236, 195709.459960938 6559283.98999023 22.256, 195709.590087891 6559285.20001221 22.296, 195709.899902344 6559287.67001343 22.386, 195710.669921875 6559292.07000733 22.536, 195711.770019531 6559298.55999756 22.806, 195712.489990234 6559302.79998779 23.036, 195712.679931641 6559303.85998535 23.076, 195712.899902344 6559304.95999146 23.126, 195713.169921875 6559306.04998779 23.176, 195713.379882813 6559306.94000244 23.256, 195714.239990234 6559310.14001465 23.436, 195715.540039063 6559313.6000061 20.556, 195717.709960938 6559316.95999146 23.716, 195717.360107422 6559314.26000977 23.516, 195716.070068359 6559305.48001099 23.106, 195714.370117187 6559295.29998779 22.606, 195712.330078125 6559283.88000488 22.266, 195710.050048828 6559273.32998657 21.926, 195710.050048828 6559273.32998657 21.946))</t>
  </si>
  <si>
    <t>[1185]</t>
  </si>
  <si>
    <t>['KV1185 S1D1 m449-481']</t>
  </si>
  <si>
    <t>LINESTRING (197802.61143660318 6564613.382621369, 197802.82348015037 6564629.667856668, 197802.76975648385 6564645.762391121)</t>
  </si>
  <si>
    <t>2023-03-20</t>
  </si>
  <si>
    <t>['FV3270 S1D1 m1792-1826']</t>
  </si>
  <si>
    <t>LINESTRING Z (194816.199951172 6571572.32006836 70.618, 194820.479980469 6571565.57006836 70.598, 194822.91003418 6571561.9699707 70.548, 194824.310058594 6571559.82006836 70.538, 194825.040039063 6571558.97998047 70.548, 194826.25 6571557.06005859 70.538, 194826.270019531 6571557.06005859 70.538, 194826.890014648 6571556.10009766 70.548, 194827.550048828 6571555.12988281 70.548, 194828.25 6571554.2199707 70.548, 194829.010009766 6571553.35009766 70.558, 194842.680053711 6571537.61010742 70.558, 194843.670043945 6571536.40991211 70.548, 194844.170043945 6571535.90991211 70.528, 194845.739990234 6571535.19995117 70.558, 194847.060058594 6571534.63989258 70.558, 194850.25 6571532.92993164 70.598, 194852.869995117 6571530.5 70.578)</t>
  </si>
  <si>
    <t>['FV3270 S1D1 m1774-1817']</t>
  </si>
  <si>
    <t>LINESTRING Z (194837.520019531 6571557.97998047 70.738, 194839.58996582 6571556.16992188 70.738, 194841.790039063 6571554.37988281 70.738, 194847.16003418 6571550.35009766 70.788, 194847.989990234 6571549.73999023 70.798, 194851.099975586 6571547.11010742 70.828, 194851.819946289 6571546.40991211 70.818, 194852.540039063 6571545.65991211 70.828, 194853.229980469 6571544.89990234 70.828, 194862.640014648 6571533.95996094 70.738, 194863.239990234 6571533.13989258 70.728, 194872.800048828 6571515.7199707 70.678, 194874.010009766 6571513.64990234 70.708)</t>
  </si>
  <si>
    <t>['FV3270 S1D1 m1132-1190']</t>
  </si>
  <si>
    <t>LINESTRING Z (195123.070068359 6570964.93005371 73.187, 195123.939941406 6570967.80004883 73.177, 195123.939941406 6570967.81994629 73.177, 195128.639892578 6570981.90002441 73.037, 195129.520019531 6570984.89001465 73.027, 195129.75 6570985.80004883 73.017, 195129.929931641 6570986.70996094 73.027, 195133.300048828 6571003.5300293 72.977, 195133.530029297 6571006.58996582 72.957, 195133.699951172 6571008.58996582 72.937, 195133.550048828 6571018.83996582 72.867, 195134.070068359 6571021.70996094 72.827)</t>
  </si>
  <si>
    <t>['FV3270 S1D1 m1114-1172']</t>
  </si>
  <si>
    <t>LINESTRING Z (195124.429931641 6571005.09997559 72.867, 195123.979980469 6571003.33996582 72.897, 195123.419921875 6571002.15002442 72.867, 195122.020019531 6570999.41003418 72.877, 195120.570068359 6570995.82995605 72.937, 195119.820068359 6570993.81005859 72.937, 195119.399902344 6570992.73999023 72.937, 195119.340087891 6570992.59997559 72.937, 195118.850097656 6570991.38000488 72.947, 195118.419921875 6570989.7800293 72.977, 195118.429931641 6570989.77001953 72.967, 195117.489990234 6570986.5 72.997, 195117.340087891 6570985.67004395 73.007, 195114.590087891 6570971.41003418 73.157, 195113.5 6570965.76000977 73.237, 195113.239990234 6570964.13000488 73.247, 195112.800048828 6570959.58996582 73.177, 195112.929931641 6570953.58996582 73.217, 195113.189941406 6570947.81994629 73.327)</t>
  </si>
  <si>
    <t>['FV3270 S1D1 m868-910']</t>
  </si>
  <si>
    <t>LINESTRING Z (195082.679931641 6570757.94995117 73.377, 195080.239990234 6570751.75 73.347, 195077.679931641 6570745.56005859 73.307, 195076.699951172 6570743.20996094 73.297, 195075.850097656 6570741.33996582 73.357, 195074.379882813 6570738.06005859 73.327, 195073.939941406 6570737.01000977 73.317, 195068.770019531 6570721.07995605 73.227, 195068.439941406 6570719.93994141 73.237, 195068.139892578 6570718.77001953 73.237, 195068 6570717.59997559 73.237, 195067.760009766 6570716.39001465 73.237, 195067.5 6570714.02001953 73.237, 195067.209960938 6570709.80004883 73.267, 195067.060058594 6570707.25 73.307)</t>
  </si>
  <si>
    <t>2022-11-30</t>
  </si>
  <si>
    <t>2025-11-22T09:13:56Z</t>
  </si>
  <si>
    <t>['FV59 S1D10 m100-151']</t>
  </si>
  <si>
    <t>LINESTRING Z (192264.929931641 6574428 15.977, 192263.800048828 6574427.36999512 -999999, 192260.870117188 6574425.7199707 15.977, 192256.800048828 6574423.47998047 15.977, 192253.790039063 6574421.79003906 15.977, 192245.989990234 6574419.30004883 15.967, 192237.25 6574416.65002441 15.967, 192231.780029297 6574414.85998535 15.907, 192230.159912109 6574414.47998047 15.897, 192225.840087891 6574414 15.847, 192220.320068359 6574413.41003418 15.857, 192216.959960938 6574413.08996582 15.847, 192216.239990234 6574413.06994629 -999999, 192264.929931641 6574428 15.977)</t>
  </si>
  <si>
    <t>POLYGON Z ((192264.929931641 6574428 15.977, 192263.800048828 6574427.36999512 -999999, 192260.870117188 6574425.7199707 15.977, 192256.800048828 6574423.47998047 15.977, 192253.790039063 6574421.79003906 15.977, 192245.989990234 6574419.30004883 15.967, 192237.25 6574416.65002441 15.967, 192231.780029297 6574414.85998535 15.907, 192230.159912109 6574414.47998047 15.897, 192225.840087891 6574414 15.847, 192220.320068359 6574413.41003418 15.857, 192216.959960938 6574413.08996582 15.847, 192216.239990234 6574413.06994629 -999999, 192264.929931641 6574428 15.977))</t>
  </si>
  <si>
    <t>['FV59 S1D10 m31-91']</t>
  </si>
  <si>
    <t>LINESTRING Z (192326.050048828 6574462.0300293 16.318, 192324 6574461.79003906 16.278, 192321.870117188 6574461.30004883 16.278, 192319.639892578 6574460.79003906 16.288, 192316.629882813 6574460.07995606 16.298, 192311.75 6574458.94995117 16.298, 192309.699951172 6574458.47998047 16.278, 192307.75 6574458.0300293 16.258, 192305.810058594 6574457.44995117 16.248, 192305.310058594 6574457.29003906 16.238, 192303.889892578 6574456.72998047 16.228, 192301.100097656 6574455.65002441 16.208, 192298.290039063 6574454.57995605 16.188, 192295.350097656 6574453.44995117 16.178, 192292.989990234 6574452.54003906 16.158, 192289.739990234 6574451.30004883 16.147, 192287.649902344 6574450.18994141 16.137, 192286.550048828 6574449.60998535 16.127, 192286 6574449.31994629 16.117, 192284.560058594 6574448.43994141 16.117, 192282.510009766 6574447.14001465 16.107, 192278.540039063 6574444.66003418 16.067, 192276.530029297 6574443.43994141 16.067, 192269.659912109 6574439.27001953 15.997, 192279.510009766 6574443.54003906 -999999, 192299.350097656 6574451.79003906 -999999, 192320.139892578 6574459.67004395 -999999, 192326.050048828 6574462.0300293 16.318)</t>
  </si>
  <si>
    <t>POLYGON Z ((192326.050048828 6574462.0300293 16.318, 192324 6574461.79003906 16.278, 192321.870117188 6574461.30004883 16.278, 192319.639892578 6574460.79003906 16.288, 192316.629882813 6574460.07995606 16.298, 192311.75 6574458.94995117 16.298, 192309.699951172 6574458.47998047 16.278, 192307.75 6574458.0300293 16.258, 192305.810058594 6574457.44995117 16.248, 192305.310058594 6574457.29003906 16.238, 192303.889892578 6574456.72998047 16.228, 192301.100097656 6574455.65002441 16.208, 192298.290039063 6574454.57995605 16.188, 192295.350097656 6574453.44995117 16.178, 192292.989990234 6574452.54003906 16.158, 192289.739990234 6574451.30004883 16.147, 192287.649902344 6574450.18994141 16.137, 192286.550048828 6574449.60998535 16.127, 192286 6574449.31994629 16.117, 192284.560058594 6574448.43994141 16.117, 192282.510009766 6574447.14001465 16.107, 192278.540039063 6574444.66003418 16.067, 192276.530029297 6574443.43994141 16.067, 192269.659912109 6574439.27001953 15.997, 192279.510009766 6574443.54003906 -999999, 192299.350097656 6574451.79003906 -999999, 192320.139892578 6574459.67004395 -999999, 192326.050048828 6574462.0300293 16.318))</t>
  </si>
  <si>
    <t>['FV32 S8D1 m5166-5232']</t>
  </si>
  <si>
    <t>LINESTRING Z (195530.979980469 6567057.79999924 7.15, 195527.360107422 6567061.20000076 7.18, 195521.570068359 6567067.80000305 7.16, 195514.229980469 6567075.5 7.13, 195512.75 6567077.34999847 7.09, 195564.149902344 6567034.75999832 -999999, 195562.020019531 6567035.49000168 7.4, 195560.260009766 6567036.52000046 7.38, 195555.800048828 6567039.02000046 7.34, 195552.239990234 6567041.02000046 7.28, 195551.300048828 6567041.63000107 7.28, 195550.429931641 6567042.22000122 7.27, 195549.600097656 6567042.81000137 7.25, 195548.770019531 6567043.38999939 7.23, 195547.989990234 6567044.02000046 7.23, 195545.739990234 6567045.83000183 7.22, 195541.649902344 6567049.15000153 7.2, 195537.629882812 6567052.40999985 7.21, 195534.25 6567055.15000153 7.18, 195530.979980469 6567057.79999924 7.15)</t>
  </si>
  <si>
    <t>['FV32 S8D200 m1222-1285']</t>
  </si>
  <si>
    <t>LINESTRING Z (195685.389892578 6566943.15999985 -999999, 195684.179931641 6566944.79000092 7.59, 195683.379882813 6566945.59999847 7.59, 195681.840087891 6566947.15000153 7.57, 195681.100097656 6566947.93000031 7.57, 195678.840087891 6566950.34999847 7.52, 195675.790039062 6566953.5699997 7.46, 195673.459960937 6566956.04000092 7.43, 195672.340087891 6566957.25999832 7.42, 195668.879882813 6566960.90999985 7.38, 195664.739990234 6566964.40999985 7.36, 195657.989990234 6566970.12000084 7.36, 195655.850097656 6566971.90999985 7.33, 195654.459960938 6566972.87999916 7.32, 195652.379882813 6566974.27000046 7.33, 195649.719970703 6566975.70999909 7.35, 195644.959960938 6566978.29999924 7.37, 195643 6566979.38999939 7.4, 195642.080078125 6566979.95000076 7.41, 195641.129882813 6566980.54999924 7.41, 195640.209960938 6566981.19000053 7.42, 195639.280029297 6566981.85000038 7.42, 195637.350097656 6566983.03000069 -999999, 195685.389892578 6566943.15999985 -999999)</t>
  </si>
  <si>
    <t>['FV32 S8D1 m5845-5918']</t>
  </si>
  <si>
    <t>LINESTRING (196061.59574520984 6566600.654652604, 196059.66476150492 6566602.676434845, 196056.18960624503 6566606.308886761, 196050.8849125547 6566611.865564225, 196045.96703838638 6566617.011132729, 196043.79921901552 6566619.412855506, 196039.16318408906 6566625.073604496, 196032.0953429474 6566634.133259112, 196028.8711710922 6566637.861710791, 196038.53714905243 6566628.336424988, 196053.0160196906 6566613.674966496, 196076.7480816773 6566587.693556062, 196078.64544437494 6566585.387354251, 196073.88013600092 6566590.1541953, 196063.15388888033 6566599.437040415, 196062.07199685002 6566600.369913462, 196061.59574520984 6566600.654652604)</t>
  </si>
  <si>
    <t>['FV32 S8D1 m6228-6291']</t>
  </si>
  <si>
    <t>LINESTRING Z (196259.67761329492 6566299.906804569 11.94, 196262.60948976193 6566293.421458264 12.17, 196262.9192335311 6566292.692201731 12.17, 196265.53516850242 6566286.209696036 12.2, 196267.31494789151 6566281.784519941 12.24, 196268.9697505937 6566277.738363203 12.27, 196269.50946888054 6566276.576980555 12.28, 196270.32751794736 6566275.013163606 12.29, 196272.0349257238 6566272.058774671 12.33, 196274.20632031583 6566268.362827783 12.33, 196276.96629389463 6566263.6134367995 12.39, 196278.56882142305 6566260.857533961 12.43, 196279.024928288 6566260.161337449 12.46, 196280.248075834 6566258.486926659 12.5, 196280.9979794519 6566257.5100794835 12.5, 196281.77871098852 6566256.631422989 12.56, 196284.22451969067 6566253.852990386 12.66, 196287.4383610732 6566250.252834041 12.79, 196288.16768370738 6566249.378279841 12.83, 196288.92812986352 6566248.389410446 12.87, 196291.098077301 6566245.756003579 12.69, 196281.33925240755 6566262.437051395 12.28, 196273.07420781528 6566276.583384992 11.97, 196264.1483769811 6566292.10208453 11.97, 196259.67761329492 6566299.906804569 11.94)</t>
  </si>
  <si>
    <t>2025-11-22T09:14:12Z</t>
  </si>
  <si>
    <t>['RV19 S4D1 m24-76']</t>
  </si>
  <si>
    <t>LINESTRING Z (243731.300049 6594219.060059 2.82, 243727.719971 6594210.660034 2.81, 243724.310059 6594205.699951 2.79, 243722.23999 6594201.890015 2.82, 243715.569946 6594188.209961 2.81, 243713.339966 6594182.170044 2.79, 243709.060059 6594170.609985 2.81)</t>
  </si>
  <si>
    <t>POINT (243719.55861829326 6594195.131057922)</t>
  </si>
  <si>
    <t>2022-02-28</t>
  </si>
  <si>
    <t>2025-11-22T09:14:33Z</t>
  </si>
  <si>
    <t>[204]</t>
  </si>
  <si>
    <t>['RV204 S1D1 m3845-3869']</t>
  </si>
  <si>
    <t>LINESTRING Z (290142.991221326 6559497.59276781 -999999, 290124.43763416 6559483.91888132 -999999)</t>
  </si>
  <si>
    <t>POINT (290133.714427743 6559490.755824567)</t>
  </si>
  <si>
    <t>2017-03-17</t>
  </si>
  <si>
    <t>2025-11-22T09:14:35Z</t>
  </si>
  <si>
    <t>[2834]</t>
  </si>
  <si>
    <t>['FV2834 S1D1 m768-790']</t>
  </si>
  <si>
    <t>LINESTRING Z (218669.483875789 6653515.70122457 -999999, 218680.199500789 6653535.28039123 -999999)</t>
  </si>
  <si>
    <t>POINT (218674.84168828905 6653525.4908079)</t>
  </si>
  <si>
    <t>2017-10-30</t>
  </si>
  <si>
    <t>['FV2834 S1D1 m1005-1016']</t>
  </si>
  <si>
    <t>LINESTRING Z (218779.682834123 6653726.04497456 -999999, 218785.503667456 6653734.77622457 -999999)</t>
  </si>
  <si>
    <t>POINT (218782.5932507895 6653730.410599564)</t>
  </si>
  <si>
    <t>2022-10-31</t>
  </si>
  <si>
    <t>[2850]</t>
  </si>
  <si>
    <t>['FV2850 S2D1 m8357-8400']</t>
  </si>
  <si>
    <t>LINESTRING (238963.4539406115 6676187.70099276, 238983.9704119532 6676148.406645189)</t>
  </si>
  <si>
    <t>POINT (238973.71217628237 6676168.053818974)</t>
  </si>
  <si>
    <t>2025-11-22T09:14:37Z</t>
  </si>
  <si>
    <t>[2862]</t>
  </si>
  <si>
    <t>['FV2862 S1D1 m27-63']</t>
  </si>
  <si>
    <t>LINESTRING Z (240793.219890315 6679262.85208173 -999999, 240828.22533795 6679267.66591498 -999999)</t>
  </si>
  <si>
    <t>POINT (240810.72261413254 6679265.258998355)</t>
  </si>
  <si>
    <t>2017-03-21</t>
  </si>
  <si>
    <t>['FV2862 S1D1 m32-61']</t>
  </si>
  <si>
    <t>LINESTRING Z (240798.314141 6679253.458096 -999999, 240827.711239 6679260.842423 -999999)</t>
  </si>
  <si>
    <t>POINT (240813.01269 6679257.1502595)</t>
  </si>
  <si>
    <t>2017-02-15</t>
  </si>
  <si>
    <t>2025-11-22T09:14:40Z</t>
  </si>
  <si>
    <t>[288]</t>
  </si>
  <si>
    <t>['FV288 S1D1 m7694-7761']</t>
  </si>
  <si>
    <t>LINESTRING (212145.03029422008 6685852.653343858, 212201.79572571674 6685882.45122066)</t>
  </si>
  <si>
    <t>POINT (212173.4130099684 6685867.552282259)</t>
  </si>
  <si>
    <t>2012-06-27</t>
  </si>
  <si>
    <t>['FV288 S1D1 m9975-10063']</t>
  </si>
  <si>
    <t>LINESTRING (210838.0747550897 6684091.073482349, 210908.09935467964 6684137.864797901)</t>
  </si>
  <si>
    <t>POINT (210873.0870548847 6684114.4691401245)</t>
  </si>
  <si>
    <t>2025-11-22T09:14:43Z</t>
  </si>
  <si>
    <t>[5442]</t>
  </si>
  <si>
    <t>['FV5442 S1D1 m1052-1082']</t>
  </si>
  <si>
    <t>LINESTRING (-10031.136885479384 6786706.868871871, -10015.06614912633 6786701.666592465, -9997.953392304247 6786701.617967767)</t>
  </si>
  <si>
    <t>POINT (-10014.751717274836 6786702.946472861)</t>
  </si>
  <si>
    <t>['FV5442 S1D1 m1284-1298']</t>
  </si>
  <si>
    <t>LINESTRING (-10163.256139890698 6786868.024804586, -10160.118043776893 6786861.676080354, -10156.044211768429 6786855.92842911)</t>
  </si>
  <si>
    <t>POINT (-10159.888828844661 6786861.834263724)</t>
  </si>
  <si>
    <t>['FV5442 S1D1 m1353-1378']</t>
  </si>
  <si>
    <t>LINESTRING (-10182.699843859358 6786944.625910293, -10183.204882027 6786934.016804658, -10181.457174004347 6786924.186145387)</t>
  </si>
  <si>
    <t>POINT (-10182.651288937708 6786934.369212006)</t>
  </si>
  <si>
    <t>['FV5442 S1D1 m1608-1649']</t>
  </si>
  <si>
    <t>LINESTRING (-10013.844751522003 6787041.041059624, -10000.057242224226 6787036.132908007, -9989.172839098494 6787033.339917338, -9980.111383780022 6787033.242195721, -9971.733690195368 6787034.790614573)</t>
  </si>
  <si>
    <t>POINT (-9993.0250882152 6787035.590688592)</t>
  </si>
  <si>
    <t>['FV5442 S1D1 m1778-1815']</t>
  </si>
  <si>
    <t>LINESTRING (-9846.947212302592 6787063.92896843, -9828.794135060743 6787063.4351591095, -9810.864700149279 6787064.962828568)</t>
  </si>
  <si>
    <t>POINT (-9828.891311919464 6787063.939346415)</t>
  </si>
  <si>
    <t>['FV5442 S1D1 m2230-2253']</t>
  </si>
  <si>
    <t>LINESTRING (-9411.698549943569 6787040.525170618, -9400.240566922876 6787044.243939816, -9389.768387127842 6787051.346635033)</t>
  </si>
  <si>
    <t>POINT (-9400.352219177157 6787045.1564378245)</t>
  </si>
  <si>
    <t>['FV5442 S1D1 m6419-6436']</t>
  </si>
  <si>
    <t>LINESTRING (-7481.482744846551 6788864.301702276, -7472.013783995411 6788868.861168216, -7466.04329977429 6788873.447021895)</t>
  </si>
  <si>
    <t>POINT (-7473.52632156886 6788868.489903915)</t>
  </si>
  <si>
    <t>['FV5442 S1D1 m6918-6941']</t>
  </si>
  <si>
    <t>LINESTRING (-7450.428704637336 6788946.9052654775, -7444.373622208426 6788949.012770383, -7439.008661826432 6788952.2136431765, -7434.350051839137 6788955.8845122, -7429.283187866036 6788960.085366238)</t>
  </si>
  <si>
    <t>POINT (-7439.382637418575 6788952.674299382)</t>
  </si>
  <si>
    <t>['FV5442 S1D1 m7099-7126']</t>
  </si>
  <si>
    <t>LINESTRING (-7287.100910024135 6789024.701674079, -7281.286985346931 6789028.205904669, -7275.63952022657 6789030.556392035, -7268.579982762807 6789031.451802934, -7262.0428128809435 6789031.281630883)</t>
  </si>
  <si>
    <t>POINT (-7274.987640127533 6789029.556654386)</t>
  </si>
  <si>
    <t>['FV5442 S2D1 m5108-5145']</t>
  </si>
  <si>
    <t>LINESTRING (-3627.5707779258955 6792364.654154389, -3623.6817708843155 6792373.800956903, -3619.731286987604 6792381.836135459, -3613.5337858556304 6792389.622572577, -3606.6356190018123 6792396.646848619)</t>
  </si>
  <si>
    <t>POINT (-3618.4510636131067 6792381.54373912)</t>
  </si>
  <si>
    <t>[5438]</t>
  </si>
  <si>
    <t>['FV5438 S1D1 m5313-5331']</t>
  </si>
  <si>
    <t>LINESTRING (-29664.926130523323 6789427.546988957, -29656.106741456315 6789429.205738729, -29646.75891085912 6789428.977851738)</t>
  </si>
  <si>
    <t>POINT (-29655.8812933581 6789428.7414308805)</t>
  </si>
  <si>
    <t>['FV5438 S1D1 m5795-5821']</t>
  </si>
  <si>
    <t>LINESTRING (-29402.7386213718 6789718.29484422, -29401.52270602656 6789731.276128288, -29399.52666231396 6789744.287399423)</t>
  </si>
  <si>
    <t>POINT (-29401.323831433983 6789731.314720225)</t>
  </si>
  <si>
    <t>['FV5438 S1D1 m7794-7817']</t>
  </si>
  <si>
    <t>LINESTRING (-28431.754389862064 6788931.802439021, -28425.89717088989 6788922.108216069, -28422.115191551624 6788911.1399669405)</t>
  </si>
  <si>
    <t>POINT (-28426.38700628927 6788921.727600108)</t>
  </si>
  <si>
    <t>['FV5438 S1D1 m7939-7967']</t>
  </si>
  <si>
    <t>LINESTRING (-28351.274965373683 6788816.669373332, -28338.544872373226 6788813.134330733, -28327.28131942032 6788806.721694664)</t>
  </si>
  <si>
    <t>POINT (-28338.968970223614 6788812.438756251)</t>
  </si>
  <si>
    <t>2025-06-03</t>
  </si>
  <si>
    <t>[571]</t>
  </si>
  <si>
    <t>['FV571 S1D1 m397-434']</t>
  </si>
  <si>
    <t>LINESTRING (-25459.49733839056 6783161.935996618, -25448.044200331322 6783160.117685374, -25436.883009761223 6783160.558484712)</t>
  </si>
  <si>
    <t>POINT (-25448.22314600617 6783160.688917313)</t>
  </si>
  <si>
    <t>['FV571 S2D1 m732-799']</t>
  </si>
  <si>
    <t>LINESTRING (-18381.913672282943 6788915.589251957, -18375.8250973947 6788929.355763389, -18367.412200214923 6788943.369109741, -18357.244445187447 6788957.271108055, -18346.187846905726 6788968.941954967)</t>
  </si>
  <si>
    <t>POINT (-18365.88687525195 6788943.492080214)</t>
  </si>
  <si>
    <t>[5446]</t>
  </si>
  <si>
    <t>['FV5446 S1D1 m4044-4091']</t>
  </si>
  <si>
    <t>LINESTRING (-12980.504400362202 6785227.69859288, -12976.716899066232 6785235.956877483, -12972.005848447268 6785243.711984453)</t>
  </si>
  <si>
    <t>POINT (-12976.487356698777 6785235.828548828)</t>
  </si>
  <si>
    <t>['FV5582 S3D1 m2496-2510']</t>
  </si>
  <si>
    <t>LINESTRING (-45057.19801936485 6793979.30735057, -45050.249998511164 6793979.556720193, -45043.479139986564 6793982.71097242)</t>
  </si>
  <si>
    <t>POINT (-45050.17133292319 6793980.313445982)</t>
  </si>
  <si>
    <t>['FV57 S8D1 m9045-9057']</t>
  </si>
  <si>
    <t>LINESTRING (-31114.35174495424 6798355.3163929675, -31119.336665628827 6798351.361938028, -31123.7403982447 6798345.406017431, -31131.12836923136 6798331.917576575)</t>
  </si>
  <si>
    <t>POINT (-31123.62447422279 6798344.336202628)</t>
  </si>
  <si>
    <t>2024-06-20</t>
  </si>
  <si>
    <t>[570]</t>
  </si>
  <si>
    <t>['FV570 S1D1 m6398-6416']</t>
  </si>
  <si>
    <t>LINESTRING (-21612.098550003022 6768162.018024828, -21596.5254225182 6768131.003984951)</t>
  </si>
  <si>
    <t>POINT (-21604.31198626061 6768146.511004889)</t>
  </si>
  <si>
    <t>['FV570 S1D1 m8153-8238']</t>
  </si>
  <si>
    <t>LINESTRING (-22294.391963134927 6769735.539077839, -22279.734263738792 6769722.708024433, -22268.366818534036 6769707.694757437)</t>
  </si>
  <si>
    <t>POINT (-22280.66705653558 6769722.280405385)</t>
  </si>
  <si>
    <t>['FV570 S2D1 m6280-6316']</t>
  </si>
  <si>
    <t>LINESTRING (-24599.797529427917 6774185.305159844, -24594.09721415385 6774180.49927677, -24588.595628051902 6774173.354146341, -24583.27808838815 6774166.717471135, -24579.422267214744 6774162.222242599, -24579.091694139875 6774159.952506716)</t>
  </si>
  <si>
    <t>POINT (-24588.599687737777 6774173.186461751)</t>
  </si>
  <si>
    <t>['FV570 S3D1 m630-651']</t>
  </si>
  <si>
    <t>LINESTRING (-26321.607389691286 6774126.882849847, -26303.196670148987 6774117.053780834)</t>
  </si>
  <si>
    <t>POINT (-26312.402029920133 6774121.968315341)</t>
  </si>
  <si>
    <t>['FV570 S3D1 m3272-3314']</t>
  </si>
  <si>
    <t>LINESTRING (-28426.903311838047 6775448.350481053, -28406.338197930134 6775433.65413826, -28396.046381509048 6775426.119562458, -28385.59216558258 6775419.671114414)</t>
  </si>
  <si>
    <t>POINT (-28406.410783939085 6775433.7641267935)</t>
  </si>
  <si>
    <t>['EV39 S67D1 m5361-5407']</t>
  </si>
  <si>
    <t>LINESTRING (-13732.74801191967 6792841.718746511, -13734.747910045786 6792864.82068223, -13735.737647366303 6792887.774692166)</t>
  </si>
  <si>
    <t>POINT (-13734.491921282966 6792864.730574991)</t>
  </si>
  <si>
    <t>2025-12-24</t>
  </si>
  <si>
    <t>2025-12-23T11:15:11Z</t>
  </si>
  <si>
    <t>['FV8670 S1D10 m221-236']</t>
  </si>
  <si>
    <t>LINESTRING Z (561010.082 7634318.167 16.986, 561009.4 7634322.2 16.986, 561008.892 7634333.076 16.986)</t>
  </si>
  <si>
    <t>POINT (561009.3084839686 7634325.602307993)</t>
  </si>
  <si>
    <t>2025-02-13</t>
  </si>
  <si>
    <t>['FV547 S3D1 m9381-9400']</t>
  </si>
  <si>
    <t>LINESTRING Z (-55422.74845832982 6597056.498776588 -0.1273916959762573, -55417.294112671865 6597062.283688679 -0.127427339553833, -55411.839767011814 6597069.060299998 -0.1274670213460922, -55409.8563685891 6597072.365964053 -0.1274848729372025)</t>
  </si>
  <si>
    <t>POINT (-55415.98270472331 6597064.184378824)</t>
  </si>
  <si>
    <t>['FV98 S12D1 m4926-5009']</t>
  </si>
  <si>
    <t>LINESTRING Z (988768.8 7864004.56 39.238, 988795.09 7863986.68 37.198, 988786.1 7863986.23 37.758, 988771.72 7863982.87 38.368, 988755.43 7863993.41 39.398, 988742.58 7864004.33 40.218, 988732.25 7864018.09 41.258, 988726.02 7864033.32 42.428, 988742.26 7864022.39 41.248, 988770.47 7864003.4 39.108)</t>
  </si>
  <si>
    <t>POLYGON Z ((988768.8 7864004.56 39.238, 988795.09 7863986.68 37.198, 988786.1 7863986.23 37.758, 988771.72 7863982.87 38.368, 988755.43 7863993.41 39.398, 988742.58 7864004.33 40.218, 988732.25 7864018.09 41.258, 988726.02 7864033.32 42.428, 988742.26 7864022.39 41.248, 988770.47 7864003.4 39.108, 988768.8 7864004.56 39.238))</t>
  </si>
  <si>
    <t>['FV98 S13D1 m11436-11469']</t>
  </si>
  <si>
    <t>LINESTRING Z (993294.95 7845328.49 16.618, 993291.9 7845311.21 16.028, 993290.36 7845315.26 16.028, 993293.39 7845339.98 16.848, 993296.16 7845343.84 17.108, 993294.5 7845325.53 16.548)</t>
  </si>
  <si>
    <t>['FV895 S1D1 m6500-6548']</t>
  </si>
  <si>
    <t>LINESTRING Z (996646.28 7832346.95 33.523, 996641.42 7832326.22 33.523, 996642.27 7832339.77 33.463, 996645.5 7832354.6 33.423, 996652.29 7832372.51 33.373, 996645.45 7832343.33 33.553)</t>
  </si>
  <si>
    <t>POLYGON Z ((996646.28 7832346.95 33.523, 996641.42 7832326.22 33.523, 996642.27 7832339.77 33.463, 996645.5 7832354.6 33.423, 996652.29 7832372.51 33.373, 996645.45 7832343.33 33.553, 996646.28 7832346.95 33.523))</t>
  </si>
  <si>
    <t>['FV895 S1D1 m9587-9641']</t>
  </si>
  <si>
    <t>LINESTRING Z (995403.59 7829597.89 19.523, 995388.03 7829572.72 19.553, 995401.67 7829590.03 19.413, 995403.44 7829589.08 19.403, 995411.07 7829600.87 19.433, 995409.73 7829601.91 19.463, 995417.02 7829617.63 19.543, 995401.82 7829595.59 19.603)</t>
  </si>
  <si>
    <t>POLYGON Z ((995403.59 7829597.89 19.523, 995388.03 7829572.72 19.553, 995401.67 7829590.03 19.413, 995403.44 7829589.08 19.403, 995411.07 7829600.87 19.433, 995409.73 7829601.91 19.463, 995417.02 7829617.63 19.543, 995401.82 7829595.59 19.603, 995403.59 7829597.89 19.523))</t>
  </si>
  <si>
    <t>2023-07-06</t>
  </si>
  <si>
    <t>2025-11-22T09:14:54Z</t>
  </si>
  <si>
    <t>[4990]</t>
  </si>
  <si>
    <t>['FV4990 S1D1 m137 SD1 m4-147']</t>
  </si>
  <si>
    <t>LINESTRING Z (-34766.3263454861 6654123.39047309 -999999, -34804.2499565972 6654163.95991754 -999999, -34804.2499565972 6654171.36825087 -999999, -34800.7221788194 6654179.12936198 -999999, -34792.9610677083 6654185.47936198 -999999, -34785.3763454861 6654185.65575087 -999999, -34774.440234375 6654179.30575087 -999999, -34759.7999565972 6654165.72380643 -999999, -34739.515234375 6654147.37936198 -999999)</t>
  </si>
  <si>
    <t>POINT (-34778.76048546198 6654160.924058237)</t>
  </si>
  <si>
    <t>['RV3 S29D1 m1077-1132']</t>
  </si>
  <si>
    <t>LINESTRING Z (245958.622027833 6964129.52664401 -999999, 245960.435178331 6964127.34156521 -999999, 245962.48078402 6964124.87754017 -999999, 245964.154461402 6964123.15737175 -999999, 245965.92112086 6964120.32141841 -999999, 245967.408834089 6964118.18283065 -999999, 245968.850056279 6964116.74160846 -999999, 245971.081626122 6964114.41705654 -999999, 245973.778106348 6964111.58110319 -999999, 245976.660550728 6964109.62847958 -999999, 245979.7754503 6964107.07147247 -999999, 245983.913152717 6964104.83990263 -999999, 245987.074543327 6964103.44517148 -999999, 245989.817514592 6964103.02675213 -999999, 245994.838546738 6964102.46885967 -999999, 245997.813973195 6964102.60833279 -999999, 245999.11572227 6964102.70131486 -999999, 246000.27799823 6964102.46885967 -999999, 246005.206048299 6964100.74869125 -999999)</t>
  </si>
  <si>
    <t>POINT (245979.58257214626 6964111.077560309)</t>
  </si>
  <si>
    <t>2007-09-11</t>
  </si>
  <si>
    <t>['RV3 S28D1 m3020-3065']</t>
  </si>
  <si>
    <t>LINESTRING Z (251018.694510628 6961786.54283888 -999999, 251020.329555319 6961786.14646441 -999999, 251023.847378745 6961786.04737079 -999999, 251026.869734084 6961785.75008994 -999999, 251029.148887289 6961785.05643461 -999999, 251032.567617098 6961783.61957716 -999999, 251036.085440525 6961781.48906438 -999999, 251040.049185231 6961779.55673884 -999999, 251046.787551231 6961776.08846222 -999999, 251047.183925701 6961775.39480689 -999999, 251047.431659745 6961774.99843242 -999999, 251057.440115128 6961762.56218341 -999999)</t>
  </si>
  <si>
    <t>POINT (251039.93977799223 6961777.703781724)</t>
  </si>
  <si>
    <t>[7756]</t>
  </si>
  <si>
    <t>['FV7756 S1D1 m5362-5392']</t>
  </si>
  <si>
    <t>LINESTRING Z (556682.562 7644440.803 45.835, 556662.309 7644462.835 45.611000000000004)</t>
  </si>
  <si>
    <t>POINT (556672.4355 7644451.819)</t>
  </si>
  <si>
    <t>['FV7756 S1D1 m5524-5580']</t>
  </si>
  <si>
    <t>LINESTRING Z (556573.192 7644559.772 44.623, 556535.385 7644600.897 44.204)</t>
  </si>
  <si>
    <t>POINT (556554.2885 7644580.3345)</t>
  </si>
  <si>
    <t>['FV7756 S1D1 m5677-5726']</t>
  </si>
  <si>
    <t>LINESTRING Z (556469.898 7644672.132 43.478, 556436.817 7644708.116 43.111000000000004)</t>
  </si>
  <si>
    <t>POINT (556453.3575 7644690.124)</t>
  </si>
  <si>
    <t>['FV7756 S1D1 m5823-5895']</t>
  </si>
  <si>
    <t>LINESTRING Z (556370.655 7644780.085 42.378, 556322.046 7644832.96 41.839)</t>
  </si>
  <si>
    <t>POINT (556346.3505 7644806.522500001)</t>
  </si>
  <si>
    <t>['FV7756 S1D1 m5983-6025']</t>
  </si>
  <si>
    <t>LINESTRING Z (556262.635 7644897.585 41.18, 556234.28 7644928.428 40.866)</t>
  </si>
  <si>
    <t>POINT (556248.4575 7644913.0065)</t>
  </si>
  <si>
    <t>['FV7756 S1D1 m6121-6188']</t>
  </si>
  <si>
    <t>LINESTRING Z (556169.468 7644998.928 40.148, 556123.56 7645048.866 39.639)</t>
  </si>
  <si>
    <t>POINT (556146.514 7645023.897)</t>
  </si>
  <si>
    <t>['FV7756 S1D1 m6282-6327']</t>
  </si>
  <si>
    <t>LINESTRING Z (556060.098 7645117.897 38.935, 556029.7170000001 7645150.944 38.598)</t>
  </si>
  <si>
    <t>POINT (556044.9075 7645134.420499999)</t>
  </si>
  <si>
    <t>['FV7756 S1D1 m6420-6492']</t>
  </si>
  <si>
    <t>LINESTRING Z (555966.931 7645219.241 37.902, 555918.322 7645272.116 37.364000000000004)</t>
  </si>
  <si>
    <t>POINT (555942.6265 7645245.6785)</t>
  </si>
  <si>
    <t>['FV7756 S1D1 m6581-6630']</t>
  </si>
  <si>
    <t>LINESTRING Z (555857.561 7645338.21 36.69, 555824.48 7645374.194 36.323)</t>
  </si>
  <si>
    <t>POINT (555841.0205 7645356.2020000005)</t>
  </si>
  <si>
    <t>['FV7756 S1D1 m6715-6788']</t>
  </si>
  <si>
    <t>LINESTRING Z (555767.094 7645436.616 35.687, 555717.81 7645490.225000001 35.141)</t>
  </si>
  <si>
    <t>POINT (555742.452 7645463.420500002)</t>
  </si>
  <si>
    <t>['FV7756 S1D1 m6881-6928']</t>
  </si>
  <si>
    <t>LINESTRING Z (555655.023 7645558.522 34.445, 555623.2930000001 7645593.038 34.093)</t>
  </si>
  <si>
    <t>POINT (555639.158 7645575.78)</t>
  </si>
  <si>
    <t>['FV7756 S1D1 m7021-7094']</t>
  </si>
  <si>
    <t>LINESTRING Z (555559.831 7645662.069 33.39, 555510.547 7645715.678 32.843)</t>
  </si>
  <si>
    <t>POINT (555535.189 7645688.8735)</t>
  </si>
  <si>
    <t>['FV7756 S1D1 m7182-7234']</t>
  </si>
  <si>
    <t>LINESTRING Z (555451.136 7645780.303 32.185, 555416.03 7645818.491 31.796)</t>
  </si>
  <si>
    <t>POINT (555433.5830000001 7645799.397)</t>
  </si>
  <si>
    <t>['FV7756 S1D1 m7182-7211']</t>
  </si>
  <si>
    <t>LINESTRING Z (555451.136 7645780.303 32.185, 555431.557 7645801.600000001 31.968)</t>
  </si>
  <si>
    <t>POINT (555441.3465 7645790.9515)</t>
  </si>
  <si>
    <t>['FV7756 S1D1 m7314-7386']</t>
  </si>
  <si>
    <t>LINESTRING Z (555362.02 7645877.241 31.197, 555313.411 7645930.116 30.658)</t>
  </si>
  <si>
    <t>POINT (555337.7154999999 7645903.6785)</t>
  </si>
  <si>
    <t>['FV7756 S1D1 m7480-7527']</t>
  </si>
  <si>
    <t>LINESTRING Z (555249.274 7645999.882 29.947, 555217.5430000001 7646034.397 29.595)</t>
  </si>
  <si>
    <t>POINT (555233.4085 7646017.1395)</t>
  </si>
  <si>
    <t>['FV7756 S1D1 m7620-7682']</t>
  </si>
  <si>
    <t>LINESTRING Z (555154.756 7646102.694 28.899, 555112.899 7646148.225000001 28.435000000000002)</t>
  </si>
  <si>
    <t>POINT (555133.8275 7646125.4595)</t>
  </si>
  <si>
    <t>['FV7756 S1D1 m7783-7819']</t>
  </si>
  <si>
    <t>LINESTRING Z (555044.711 7646222.397 27.679000000000002, 555019.732 7646249.569 27.403000000000002)</t>
  </si>
  <si>
    <t>POINT (555032.2215 7646235.983)</t>
  </si>
  <si>
    <t>['FV7756 S1D1 m7923-7995']</t>
  </si>
  <si>
    <t>LINESTRING Z (554949.519 7646325.944 26.624000000000002, 554900.91 7646378.819 26.085)</t>
  </si>
  <si>
    <t>POINT (554925.2145 7646352.3815)</t>
  </si>
  <si>
    <t>['FV7756 S1D1 m8093-8134']</t>
  </si>
  <si>
    <t>LINESTRING Z (554834.748 7646450.788 25.352, 554807.068 7646480.897 25.045)</t>
  </si>
  <si>
    <t>POINT (554820.908 7646465.842499999)</t>
  </si>
  <si>
    <t>2015-01-01</t>
  </si>
  <si>
    <t>2025-11-22T09:15:04Z</t>
  </si>
  <si>
    <t>['FV301 S2D1 m2616-2659', 'FV301 S2D1 m2853-2860']</t>
  </si>
  <si>
    <t>LINESTRING Z (215037.650024414 6550384.23999024 4.456, 215036.530029297 6550383.38000488 4.546, 215034.729980469 6550382.2800293 4.586, 215033.030029297 6550381.70996094 4.576, 215030.540039063 6550381.2800293 4.626, 215027 6550380.79003906 4.676, 215023.069946289 6550380.26000977 4.686, 215019.030029297 6550379.64001465 4.706, 215014.020019531 6550378.80004883 4.786, 215010 6550378.25 4.826, 215005.569946289 6550377.52001953 4.876, 215001.640014648 6550376.88000488 4.916, 214998.930053711 6550376.48999023 4.946, 214996.829956055 6550376.31994629 4.956, 214994.890014648 6550376.47998047 4.976, 214993.520019531 6550376.70996094 4.986, 214991.469970703 6550377.16003418 5.026, 214989.630004883 6550377.57995605 5.066, 214987.770019531 6550377.81994629 5.136)</t>
  </si>
  <si>
    <t>POINT (215012.99203969305 6550379.013897614)</t>
  </si>
  <si>
    <t>2025-11-22T09:15:10Z</t>
  </si>
  <si>
    <t>[3352]</t>
  </si>
  <si>
    <t>['FV3352 S1D1 m1993-2022']</t>
  </si>
  <si>
    <t>LINESTRING Z (195467.84 6554455.77 0.04, 195471.37 6554448.43 0.04, 195474.04 6554442.44 0.04, 195475.38 6554438.49 0.04, 195476.54 6554434.79 0.04, 195478.51 6554428.69 0.04, 195477.62 6554433.55 0.04, 195476.71 6554438.1 0.04, 195476.09 6554441.16 0.04, 195475.24 6554443.53 0.04, 195473.94 6554446.57 0.04, 195473.15 6554448.39 0.04, 195470.16 6554452.67 0.04, 195467.84 6554455.77 0.04)</t>
  </si>
  <si>
    <t>POLYGON Z ((195467.84 6554455.77 0.04, 195471.37 6554448.43 0.04, 195474.04 6554442.44 0.04, 195475.38 6554438.49 0.04, 195476.54 6554434.79 0.04, 195478.51 6554428.69 0.04, 195477.62 6554433.55 0.04, 195476.71 6554438.1 0.04, 195476.09 6554441.16 0.04, 195475.24 6554443.53 0.04, 195473.94 6554446.57 0.04, 195473.15 6554448.39 0.04, 195470.16 6554452.67 0.04, 195467.84 6554455.77 0.04))</t>
  </si>
  <si>
    <t>2018-06-15</t>
  </si>
  <si>
    <t>2025-11-22T09:15:45Z</t>
  </si>
  <si>
    <t>[2586]</t>
  </si>
  <si>
    <t>['FV2586 S1D1 m50-112']</t>
  </si>
  <si>
    <t>LINESTRING Z (211738.449653444 6850532.36196742 -999999, 211737.922565175 6850538.07209033 -999999, 211730.016241145 6850567.85257752 -999999, 211730.10408919 6850572.77206802 -999999, 211731.597505951 6850578.13079875 -999999, 211733.266618802 6850579.88775965 -999999, 211749.518507086 6850583.57737753 -999999, 211751.714708205 6850583.05028926 -999999)</t>
  </si>
  <si>
    <t>POINT (211736.09263643817 6850563.49005123)</t>
  </si>
  <si>
    <t>2008-08-12</t>
  </si>
  <si>
    <t>[2636]</t>
  </si>
  <si>
    <t>['FV2636 S1D1 m5292-5327']</t>
  </si>
  <si>
    <t>LINESTRING Z (195869.8726077 6864944.23954481 -999999, 195869.638252671 6864932.17026083 -999999, 195870.282729 6864927.24880522 -999999, 195871.74744793 6864923.20618097 -999999, 195874.090998219 6864919.80803306 -999999, 195879.891285183 6864910.25806563 -999999)</t>
  </si>
  <si>
    <t>POINT (195872.49429717122 6864926.582435883)</t>
  </si>
  <si>
    <t>2025-11-22T09:16:01Z</t>
  </si>
  <si>
    <t>['FV496 S1D1 m6282-6347']</t>
  </si>
  <si>
    <t>LINESTRING Z (92602.8900146484 6464764.0300293 18.04, 92593.5699462891 6464745.80999756 17.9, 92593.3399658203 6464745.0300293 17.88, 92585.0100097656 6464716.9699707 17.17, 92584.8299560547 6464701.03997803 16.57)</t>
  </si>
  <si>
    <t>POINT (92590.99520506107 6464733.269193548)</t>
  </si>
  <si>
    <t>2025-11-22T09:16:04Z</t>
  </si>
  <si>
    <t>['FV98 S12D1 m13865-13906']</t>
  </si>
  <si>
    <t>LINESTRING Z (991512.96 7856993.45 8.471, 991519.72 7856968.6 8.621, 991520.15 7856968.12 8.621, 991509.4 7856992.67 8.301, 991505.96 7857004.51 8.181, 991508.52 7857007.74 8.351, 991513.54 7856991.1 8.481)</t>
  </si>
  <si>
    <t>['FV98 S13D1 m11372-11413']</t>
  </si>
  <si>
    <t>LINESTRING Z (993300.19 7845380.99 17.858, 993294.97 7845406.18 17.908, 993297.93 7845403.02 17.928, 993302.47 7845387.98 17.808, 993303.4 7845374.06 17.758, 993301.93 7845365.15 17.788, 993299.97 7845382.28 17.848)</t>
  </si>
  <si>
    <t>['FV890 S1D1 m4192-4231']</t>
  </si>
  <si>
    <t>LINESTRING Z (994205.93 7845573.58 20.348, 994202.19 7845565.31 20.338, 994215.15 7845559.58 20.188, 994225.06 7845583.52 20.238, 994221.26 7845592.23 20.368, 994219.38 7845598.12 20.398, 994218.58 7845601.18 20.428, 994211.1 7845585.6 20.458, 994204.46 7845570.58 20.328)</t>
  </si>
  <si>
    <t>POLYGON Z ((994205.93 7845573.58 20.348, 994202.19 7845565.31 20.338, 994215.15 7845559.58 20.188, 994225.06 7845583.52 20.238, 994221.26 7845592.23 20.368, 994219.38 7845598.12 20.398, 994218.58 7845601.18 20.428, 994211.1 7845585.6 20.458, 994204.46 7845570.58 20.328, 994205.93 7845573.58 20.348))</t>
  </si>
  <si>
    <t>['FV890 S3D1 m14129-14173']</t>
  </si>
  <si>
    <t>LINESTRING Z (1001020.96 7869768.12 14.8, 1001045.93 7869773.58 15.04, 1001040.58 7869774.85 14.72, 1001023.3 7869781.26 14.37, 1001016.33 7869780.07 14.44, 1001002.91 7869764.61 14.6, 1001023.7 7869768.74 14.84)</t>
  </si>
  <si>
    <t>POLYGON Z ((1001020.96 7869768.12 14.8, 1001045.93 7869773.58 15.04, 1001040.58 7869774.85 14.72, 1001023.3 7869781.26 14.37, 1001016.33 7869780.07 14.44, 1001002.91 7869764.61 14.6, 1001023.7 7869768.74 14.84, 1001020.96 7869768.12 14.8))</t>
  </si>
  <si>
    <t>[8062]</t>
  </si>
  <si>
    <t>['FV8062 S1D1 m1512-1554']</t>
  </si>
  <si>
    <t>LINESTRING Z (877080.26 7801088.7 9.19, 877080.48 7801088.93 9.18, 877078.96 7801086.04 9.14, 877078.18 7801081.38 9.07, 877079.03 7801061.33 8.64, 877082.67 7801045.89 8.36, 877080.32 7801088.34 9.19)</t>
  </si>
  <si>
    <t>POINT (877080.4783115194 7801067.37648692)</t>
  </si>
  <si>
    <t>['EV6 S216D1 m5776-5839']</t>
  </si>
  <si>
    <t>LINESTRING Z (875460.33 7824066.95 8.174, 875469.05 7824075.19 8.274, 875476.31 7824082.62 8.374, 875485.07 7824092.56 8.404, 875491.12 7824099.98 8.294, 875496.51 7824107.86 8.194, 875501.04 7824115.22 8.054, 875500.09 7824110.15 8.074, 875500.1 7824103.17 8.114, 875496.58 7824100.89 8.094, 875492.1 7824096.75 8.204, 875488.36 7824091.6 8.224, 875482.91 7824085.98 8.204, 875476.33 7824079.79 8.194, 875464.19 7824069.85 8.134)</t>
  </si>
  <si>
    <t>POLYGON Z ((875460.33 7824066.95 8.174, 875469.05 7824075.19 8.274, 875476.31 7824082.62 8.374, 875485.07 7824092.56 8.404, 875491.12 7824099.98 8.294, 875496.51 7824107.86 8.194, 875501.04 7824115.22 8.054, 875500.09 7824110.15 8.074, 875500.1 7824103.17 8.114, 875496.58 7824100.89 8.094, 875492.1 7824096.75 8.204, 875488.36 7824091.6 8.224, 875482.91 7824085.98 8.204, 875476.33 7824079.79 8.194, 875464.19 7824069.85 8.134, 875460.33 7824066.95 8.174))</t>
  </si>
  <si>
    <t>['EV75 S9D1 m17087-17120']</t>
  </si>
  <si>
    <t>LINESTRING Z (1023352.94 7842344.44 3.972, 1023365.95 7842335.8 3.902, 1023353.47 7842338.82 3.872, 1023344.34 7842344.74 3.752, 1023338.33 7842353.49 4.092, 1023354.47 7842343.46 3.942)</t>
  </si>
  <si>
    <t>['EV75 S7D1 m403-459']</t>
  </si>
  <si>
    <t>LINESTRING Z (1060298.84 7841649.75 11.78, 1060322.87 7841650.74 11.351, 1060311.71 7841646.81 11.481, 1060285.88 7841645.94 11.82, 1060268.14 7841648.64 11.77, 1060283.99 7841649.32 11.87, 1060301.96 7841650.14 11.75)</t>
  </si>
  <si>
    <t>POLYGON Z ((1060298.84 7841649.75 11.78, 1060322.87 7841650.74 11.351, 1060311.71 7841646.81 11.481, 1060285.88 7841645.94 11.82, 1060268.14 7841648.64 11.77, 1060283.99 7841649.32 11.87, 1060301.96 7841650.14 11.75, 1060298.84 7841649.75 11.78))</t>
  </si>
  <si>
    <t>2025-11-22T09:16:30Z</t>
  </si>
  <si>
    <t>['EV16 S3D1 m6643 SD1 m6-99']</t>
  </si>
  <si>
    <t>LINESTRING Z (-18087.7726273148 6735944.93836806 -999999, -18179.6050925926 6735919.3693287 -999999)</t>
  </si>
  <si>
    <t>POINT (-18133.688859953698 6735932.15384838)</t>
  </si>
  <si>
    <t>2025-11-22T09:16:43Z</t>
  </si>
  <si>
    <t>['FV2294 S1D1 m1643-1658']</t>
  </si>
  <si>
    <t>LINESTRING Z (256023.486090447 6693379.82228096 -999999, 256021.051050642 6693379.27439701 -999999, 256017.58111892 6693367.46445395 -999999, 256018.981266808 6693364.90766216 -999999)</t>
  </si>
  <si>
    <t>POLYGON Z ((256023.486090447 6693379.82228096 -999999, 256021.051050642 6693379.27439701 -999999, 256017.58111892 6693367.46445395 -999999, 256018.981266808 6693364.90766216 -999999, 256023.486090447 6693379.82228096 -999999))</t>
  </si>
  <si>
    <t>['FV2294 S1D1 m1620-1642']</t>
  </si>
  <si>
    <t>LINESTRING Z (256024.460106369 6693362.22911837 -999999, 256026.042882243 6693360.09845854 -999999, 256020.868422657 6693342.44441995 -999999, 256018.372506857 6693341.16602406 -999999)</t>
  </si>
  <si>
    <t>POINT (256023.20462512117 6693351.259312766)</t>
  </si>
  <si>
    <t>2015-07-09</t>
  </si>
  <si>
    <t>[2278]</t>
  </si>
  <si>
    <t>['FV2278 S2D1 m6430-6486']</t>
  </si>
  <si>
    <t>LINESTRING Z (254690.51756217 6692959.81828629 -999999, 254693.724605768 6692949.94396785 -999999, 254694.652960493 6692943.276693 -999999, 254697.43802467 6692932.72720748 -999999, 254701.995402414 6692928.84499681 -999999, 254706.637176042 6692927.49466267 -999999, 254734.994193113 6692932.1364363 -999999, 254741.745863845 6692934.2463334 -999999, 254745.796866283 6692938.46612761 -999999, 254746.978408661 6692942.51713004 -999999, 254746.472033357 6692959.81828629 -999999, 254745.881262168 6692968.34227059 -999999)</t>
  </si>
  <si>
    <t>POINT (254721.52128234817 6692940.939146308)</t>
  </si>
  <si>
    <t>2024-10-18</t>
  </si>
  <si>
    <t>['EV16 S54D1 m3048-3078']</t>
  </si>
  <si>
    <t>LINESTRING (263400.876486631 6689300.509217219, 263431.26637923776 6689303.9197452385)</t>
  </si>
  <si>
    <t>POINT (263416.0714329344 6689302.214481229)</t>
  </si>
  <si>
    <t>2025-11-22T09:16:47Z</t>
  </si>
  <si>
    <t>['FV55 S3D1 m9035-9075']</t>
  </si>
  <si>
    <t>LINESTRING Z (139614.133197662 6855819.59408035 -999999, 139616.492875461 6855804.73684976 -999999, 139613.084451974 6855795.29813856 -999999, 139608.365096376 6855789.87961917 -999999, 139603.558345304 6855785.16026357 -999999, 139594.469216004 6855781.22746724 -999999)</t>
  </si>
  <si>
    <t>POINT (139609.94243883964 6855797.534448721)</t>
  </si>
  <si>
    <t>[7776]</t>
  </si>
  <si>
    <t>['FV7776 S1D1 m10871-10896']</t>
  </si>
  <si>
    <t>LINESTRING Z (646913.7862588399 7752815.035655474 -0.0736543759703636, 646920.4008553983 7752815.821138816 -0.0736646205186844, 646930.4467739225 7752816.85466953 -0.0736802145838737, 646932.5965178047 7752818.301612525 -0.0736832320690155, 646938.012218737 7752827.148635414 -0.0736894756555557, 646933.6300485171 7752824.2134081945 -0.0736833214759827, 646927.0567931859 7752820.327332717 -0.0736739560961723, 646920.318172942 7752817.102716899 -0.0736641511321068, 646913.7449176111 7752814.994314247 -0.0736543238162994)</t>
  </si>
  <si>
    <t>['FV55 S14D1 m877-948']</t>
  </si>
  <si>
    <t>LINESTRING Z (46507.5315963721 6816200.87257742 -999999, 46514.9988408382 6816198.3249293 -999999, 46524.2230840023 6816196.39223074 -999999, 46565.776103208 6816195.42588145 -999999, 46578.7778935726 6816201.22397716 -999999)</t>
  </si>
  <si>
    <t>POINT (46543.39780085951 6816196.964449989)</t>
  </si>
  <si>
    <t>['FV55 S14D1 m893-951']</t>
  </si>
  <si>
    <t>LINESTRING Z (46562.7013554867 6816207.19777273 -999999, 46548.4696660336 6816210.44822032 -999999, 46541.9687708513 6816211.50241954 -999999, 46531.6024785336 6816211.23886973 -999999, 46525.1894332862 6816210.79962006 -999999, 46504.9839482601 6816207.54917247 -999999)</t>
  </si>
  <si>
    <t>POINT (46533.91091768389 6816209.882112965)</t>
  </si>
  <si>
    <t>['FV55 S14D1 m7344-7374']</t>
  </si>
  <si>
    <t>LINESTRING Z (44650.9065462463 6816254.77325009 -999999, 44652.2986566036 6816250.59691902 -999999, 44656.7280986498 6816245.78781051 -999999, 44659.2592083904 6816243.50981174 -999999, 44661.9168736181 6816240.978702 -999999, 44670.0164247883 6816236.80237093 -999999, 44674.1927558604 6816235.03059411 -999999)</t>
  </si>
  <si>
    <t>POINT (44661.00342009649 6816243.310790495)</t>
  </si>
  <si>
    <t>['FV55 S15D1 m1138-1182']</t>
  </si>
  <si>
    <t>LINESTRING Z (45460.866581783 6814913.01627303 -999999, 45457.7347849601 6814906.10022171 -999999, 45455.1249542743 6814896.44384817 -999999, 45453.16758126 6814887.4399323 -999999, 45451.8626659171 6814879.74093178 -999999, 45452.25414052 6814870.60652438 -999999)</t>
  </si>
  <si>
    <t>POINT (45454.83522125199 6814892.137277078)</t>
  </si>
  <si>
    <t>['FV55 S15D1 m1190-1234']</t>
  </si>
  <si>
    <t>LINESTRING Z (45456.9518357543 6814860.55867624 -999999, 45456.8213442201 6814852.99016725 -999999, 45456.1688865486 6814837.72265774 -999999, 45454.6029881372 6814832.6334879 -999999, 45448.8613606285 6814817.36597839 -999999)</t>
  </si>
  <si>
    <t>POINT (45454.68261272585 6814838.617106119)</t>
  </si>
  <si>
    <t>['FV55 S15D1 m2391-2432']</t>
  </si>
  <si>
    <t>LINESTRING Z (45482.7759064969 6813681.92243781 -999999, 45486.2293445625 6813672.25281122 -999999, 45487.7833916921 6813663.44654416 -999999, 45488.4740793052 6813654.29493328 -999999, 45487.7833916921 6813641.51721244 -999999)</t>
  </si>
  <si>
    <t>POINT (45486.98099336994 6813661.955231641)</t>
  </si>
  <si>
    <t>['FV55 S15D1 m2519-2563']</t>
  </si>
  <si>
    <t>LINESTRING Z (45474.2849680029 6813555.36641095 -999999, 45470.3340864659 6813543.27431897 -999999, 45467.8198891242 6813533.33725328 -999999, 45466.7423759778 6813526.03410862 -999999, 45466.8620996607 6813511.54754299 -999999)</t>
  </si>
  <si>
    <t>POINT (45468.96347176065 6813533.706576051)</t>
  </si>
  <si>
    <t>2022-08-11</t>
  </si>
  <si>
    <t>2025-04-30T13:43:31Z</t>
  </si>
  <si>
    <t>[2648]</t>
  </si>
  <si>
    <t>['FV2648 S1D1 m1037-1097']</t>
  </si>
  <si>
    <t>LINESTRING Z (148619.551826596 6878318.7479039 -999999, 148628.238430768 6878316.85951169 -999999, 148637.869231046 6878315.91531558 -999999, 148646.744674439 6878317.04835091 -999999, 148658.075027707 6878320.82513533 -999999, 148663.173686678 6878325.54611586 -999999, 148669.027702533 6878332.72200626 -999999, 148674.126361503 6878344.24119875 -999999)</t>
  </si>
  <si>
    <t>POINT (148650.85903869773 6878323.528662749)</t>
  </si>
  <si>
    <t>2025-11-22T09:16:51Z</t>
  </si>
  <si>
    <t>['FV2648 S1D1 m1602-1646']</t>
  </si>
  <si>
    <t>LINESTRING Z (148089.22411254 6878374.31938931 -999999, 148103.694536916 6878384.81256254 -999999, 148126.796442499 6878388.0282124 -999999, 148129.758225266 6878388.19745713 -999999)</t>
  </si>
  <si>
    <t>POINT (148108.51779711258 6878383.759986612)</t>
  </si>
  <si>
    <t>['FV2648 S1D1 m2006-2058']</t>
  </si>
  <si>
    <t>LINESTRING Z (147733.556313402 6878317.87627201 -999999, 147730.679153 6878316.945426 -999999, 147716.039483894 6878308.99092371 -999999, 147711.977610385 6878308.14470006 -999999, 147701.992171342 6878308.73705661 -999999, 147687.352502237 6878310.85261573 -999999, 147684.306097105 6878310.9372381 -999999, 147681.428936703 6878310.59874864 -999999)</t>
  </si>
  <si>
    <t>POINT (147708.1117109031 6878310.957293837)</t>
  </si>
  <si>
    <t>2024-07-16</t>
  </si>
  <si>
    <t>['FV55 S10D1 m5644-5670']</t>
  </si>
  <si>
    <t>LINESTRING (86213.28396621568 6825277.086432155, 86205.95134225395 6825278.449742269, 86190.78183572408 6825279.682006215, 86187.3297599837 6825278.973318675)</t>
  </si>
  <si>
    <t>POINT (86200.31690173532 6825278.7316722255)</t>
  </si>
  <si>
    <t>2015-09-22</t>
  </si>
  <si>
    <t>['FV55 S11D1 m7542-7589']</t>
  </si>
  <si>
    <t>LINESTRING Z (80041.9002615356 6818984.98007405 -999999, 80038.3826190872 6818983.12868329 -999999, 80034.5872680244 6818979.98131899 -999999, 80030.6067778854 6818975.44541162 -999999, 80026.9965658989 6818969.7986698 -999999, 80022.4606585312 6818961.46741137 -999999, 80019.6835723877 6818955.63553047 -999999, 80018.4801683922 6818949.24823234 -999999, 80018.0173207016 6818943.13864282 -999999)</t>
  </si>
  <si>
    <t>POINT (80026.60042093902 6818966.0489794575)</t>
  </si>
  <si>
    <t>['FV55 S11D1 m7589-7635']</t>
  </si>
  <si>
    <t>LINESTRING Z (80024.9600360603 6818942.30551698 -999999, 80025.6080228272 6818938.88044407 -999999, 80025.9783009796 6818932.67828501 -999999, 80023.9417711411 6818922.58820536 -999999, 80020.6092677689 6818911.57243032 -999999, 80017.9247511635 6818902.87089374 -999999, 80015.7956517869 6818896.85387376 -999999)</t>
  </si>
  <si>
    <t>POINT (80022.23330207221 6818919.359490255)</t>
  </si>
  <si>
    <t>['FV55 S11D1 m8834-8879']</t>
  </si>
  <si>
    <t>LINESTRING Z (80273.2578801659 6817749.30401052 -999999, 80276.744400917 6817742.58000621 -999999, 80278.7366984891 6817734.61081592 -999999, 80278.9857356856 6817720.91377011 -999999, 80275.748252131 6817703.35664776 -999999)</t>
  </si>
  <si>
    <t>POINT (80277.48568593571 6817726.657379316)</t>
  </si>
  <si>
    <t>['FV55 S12D1 m497-551']</t>
  </si>
  <si>
    <t>LINESTRING Z (79404.188713454 6817092.02558911 -999999, 79395.5797464092 6817093.6918408 -999999, 79388.4518919742 6817093.87697988 -999999, 79379.1949381626 6817093.41413218 -999999, 79372.344792342 6817092.39586727 -999999, 79366.6054809788 6817091.47017188 -999999, 79359.7553351583 6817089.43364205 -999999, 79353.5531761045 6817086.93426452 -999999, 79349.4801164274 6817084.43488699 -999999)</t>
  </si>
  <si>
    <t>POINT (79376.32980377934 6817091.550987303)</t>
  </si>
  <si>
    <t>['FV55 S12D1 m576-634']</t>
  </si>
  <si>
    <t>LINESTRING Z (79327.9114140463 6817070.91973442 -999999, 79319.1173079253 6817066.56896613 -999999, 79312.6374402572 6817063.05132368 -999999, 79305.0467381316 6817059.71882031 -999999, 79297.7337446205 6817056.84916463 -999999, 79292.8275591003 6817055.83089971 -999999, 79285.7922742035 6817054.44235664 -999999, 79273.1102474816 6817052.96124403 -999999)</t>
  </si>
  <si>
    <t>POINT (79301.18945797705 6817059.75345288)</t>
  </si>
  <si>
    <t>['FV55 S12D1 m1700-1747']</t>
  </si>
  <si>
    <t>LINESTRING Z (78350.3006150859 6816560.06821483 -999999, 78352.8856682901 6816544.43479783 -999999, 78353.3780593766 6816540.12637583 -999999, 78350.4237128575 6816527.07801204 -999999, 78348.4541485115 6816519.93834128 -999999, 78350.3006150859 6816518.70736356 -999999, 78346.9769752519 6816515.13752819 -999999)</t>
  </si>
  <si>
    <t>POINT (78351.08356745497 6816536.626102792)</t>
  </si>
  <si>
    <t>['FV55 S12D1 m1780-1834']</t>
  </si>
  <si>
    <t>LINESTRING Z (78344.1824356818 6816481.24029583 -999999, 78348.2341609732 6816467.28435316 -999999, 78352.7360779636 6816456.25465653 -999999, 78355.0995843836 6816451.5276437 -999999, 78359.2638575997 6816446.01279538 -999999, 78364.1034183644 6816441.06068669 -999999, 78373.21980027 6816434.53290706 -999999)</t>
  </si>
  <si>
    <t>POINT (78355.48026926034 6816455.69382302)</t>
  </si>
  <si>
    <t>['FV55 S12D1 m2389-2434']</t>
  </si>
  <si>
    <t>LINESTRING Z (78042.2163535501 6816047.4805938 -999999, 78058.3107067908 6816047.4805938 -999999, 78067.0894449221 6816048.26842928 -999999, 78073.6172245582 6816050.51938777 -999999, 78079.80736042 6816052.09505872 -999999, 78086.3351400561 6816058.62283836 -999999)</t>
  </si>
  <si>
    <t>POINT (78065.44609944201 6816049.880981262)</t>
  </si>
  <si>
    <t>['FV55 S12D1 m2397-2445']</t>
  </si>
  <si>
    <t>LINESTRING Z (78075.9807309781 6816063.01220742 -999999, 78063.375363405 6816061.66163233 -999999, 78057.4103233927 6816061.0988927 -999999, 78042.5539973243 6816057.83500288 -999999, 78030.1737256007 6816053.44563382 -999999)</t>
  </si>
  <si>
    <t>POINT (78052.81507292828 6816059.415552043)</t>
  </si>
  <si>
    <t>['FV55 S12D1 m3013-3054']</t>
  </si>
  <si>
    <t>LINESTRING Z (77510.5962063243 6815917.81964012 -999999, 77496.6539728945 6815912.05907661 -999999, 77488.2218436945 6815907.71778237 -999999, 77474.6135559756 6815895.52876392 -999999)</t>
  </si>
  <si>
    <t>POINT (77491.67772284901 6815908.142313553)</t>
  </si>
  <si>
    <t>2020-06-04</t>
  </si>
  <si>
    <t>['RV13 S45D1 m487-535']</t>
  </si>
  <si>
    <t>LINESTRING Z (58487.9212348935 6810936.18281049 -999999, 58480.4274832308 6810936.66851662 -999999, 58468.9786959684 6810941.87251083 -999999, 58459.0564136743 6810947.3540514 -999999, 58451.632048601 6810952.69681879 -999999, 58445.5954153172 6810958.66406548 -999999)</t>
  </si>
  <si>
    <t>POINT (58465.559945194276 6810944.914344086)</t>
  </si>
  <si>
    <t>2022-02-01</t>
  </si>
  <si>
    <t>2025-11-22T09:16:58Z</t>
  </si>
  <si>
    <t>['RV13 S40D1 m1394-1437']</t>
  </si>
  <si>
    <t>LINESTRING (44280.63027207594 6799220.201399614, 44283.14686492365 6799222.722928676, 44285.13125991402 6799224.300224105, 44289.75832330639 6799226.558346964, 44301.271135414776 6799231.3211878035, 44308.68095610285 6799233.7014038, 44315.68931133725 6799234.883899578, 44321.511313255585 6799235.421260166)</t>
  </si>
  <si>
    <t>POINT (44300.19869870161 6799229.922913572)</t>
  </si>
  <si>
    <t>['FV55 S4D1 m5029-5069']</t>
  </si>
  <si>
    <t>LINESTRING (131619.1849832728 6851695.006959352, 131620.16716539284 6851690.670780871, 131619.67463509477 6851683.39560947, 131616.9216668295 6851675.914214066, 131613.28095366462 6851669.717665883, 131610.2295268547 6851662.043870611, 131607.7712438539 6851658.402475933, 131605.60320369044 6851657.6140098795)</t>
  </si>
  <si>
    <t>['FV55 S4D1 m14500-14528']</t>
  </si>
  <si>
    <t>LINESTRING Z (127545.44259755 6845370.06499959 -999999, 127550.558627643 6845366.74649359 -999999, 127556.64255532 6845364.67242733 -999999, 127563.901787208 6845364.87983396 -999999, 127570.815341387 6845368.68228876 -999999, 127574.548660644 6845370.34154176 -999999)</t>
  </si>
  <si>
    <t>POINT (127559.92262361749 6845366.76897118)</t>
  </si>
  <si>
    <t>2015-05-13</t>
  </si>
  <si>
    <t>['FV51 S13D1 m8848-8911']</t>
  </si>
  <si>
    <t>LINESTRING Z (177281.397104301 6839221.17712109 -999999, 177286.087534603 6839239.24396373 -999999, 177289.996226521 6839248.62482433 -999999, 177292.949460415 6839255.57360997 -999999, 177306.673312038 6839278.33088291 -999999)</t>
  </si>
  <si>
    <t>POINT (177292.14689618014 6839250.561207353)</t>
  </si>
  <si>
    <t>2025-12-29T21:22:56Z</t>
  </si>
  <si>
    <t>['FV51 S13D1 m8886-8928']</t>
  </si>
  <si>
    <t>LINESTRING Z (177305.370414732 6839251.57805823 -999999, 177309.887125393 6839259.65602153 -999999, 177313.882677131 6839268.25514375 -999999, 177316.054172641 6839275.46450884 -999999, 177317.617649408 6839282.58701411 -999999, 177319.789144919 6839292.14159436 -999999)</t>
  </si>
  <si>
    <t>POINT (177313.88549253898 6839271.37308272)</t>
  </si>
  <si>
    <t>['FV1452 S2D1 m3500-3553']</t>
  </si>
  <si>
    <t>LINESTRING Z (313781.872800372 6631292.88751787 -999999, 313795.68948966 6631282.74361941 -999999, 313804.259334915 6631279.42061819 -999999, 313819.300287812 6631278.19635458 -999999, 313833.116977101 6631276.79719617 -999999)</t>
  </si>
  <si>
    <t>POINT (313806.31350589875 6631281.648264747)</t>
  </si>
  <si>
    <t>2011-05-12</t>
  </si>
  <si>
    <t>['FV1466 S1D1 m1128-1152']</t>
  </si>
  <si>
    <t>LINESTRING Z (310154.850521931 6646233.03258233 -999999, 310158.097969557 6646238.61591334 -999999, 310161.573308245 6646246.93393708 -999999, 310162.143035898 6646250.352303 -999999, 310162.997627379 6646255.99260678 -999999)</t>
  </si>
  <si>
    <t>POINT (310159.8720863687 6646244.185243192)</t>
  </si>
  <si>
    <t>['FV1466 S1D1 m1605-1642']</t>
  </si>
  <si>
    <t>LINESTRING Z (310500.21942561 6646511.00270458 -999999, 310529.845263603 6646532.76630095 -999999)</t>
  </si>
  <si>
    <t>POINT (310515.0323446065 6646521.884502765)</t>
  </si>
  <si>
    <t>['FV1466 S1D1 m5570-5606']</t>
  </si>
  <si>
    <t>LINESTRING Z (313971.815086578 6647981.54508757 -999999, 313979.001702366 6647983.4843331 -999999, 313981.283167695 6647983.59840637 -999999, 313985.047585488 6647981.31694104 -999999, 313991.207541877 6647973.44588565 -999999, 313996.9112052 6647965.00446393 -999999, 314001.245989326 6647963.749658 -999999, 314009.002971445 6647967.51407579 -999999, 314009.801484311 6647969.33924806 -999999, 314006.26521305 6647979.83398857 -999999, 314004.440040787 6647987.81911723 -999999, 314004.097820987 6647993.06648748 -999999, 314004.440040787 6647996.26053894 -999999)</t>
  </si>
  <si>
    <t>POINT (313996.70916812896 6647976.85978243)</t>
  </si>
  <si>
    <t>['FV1466 S2D1 m5743-5801']</t>
  </si>
  <si>
    <t>LINESTRING Z (318777.747173061 6650438.77301971 -999999, 318800.870603628 6650457.5151687 -999999, 318804.927345833 6650464.16822592 -999999, 318807.685930532 6650472.11944064 -999999, 318811.580403049 6650487.29165648 -999999)</t>
  </si>
  <si>
    <t>POINT (318798.5129210028 6650460.500917195)</t>
  </si>
  <si>
    <t>['FV1466 S3D1 m638-686']</t>
  </si>
  <si>
    <t>LINESTRING Z (319854.102390783 6650615.69354255 -999999, 319862.329843645 6650618.08698338 -999999, 319866.019731595 6650620.63001426 -999999, 319870.158389702 6650622.42509489 -999999, 319879.083929473 6650623.77140536 -999999, 319885.665891763 6650624.76867237 -999999, 319893.793617923 6650625.71607603 -999999, 319901.123530473 6650626.71334305 -999999)</t>
  </si>
  <si>
    <t>POINT (319877.2292130909 6650622.511691183)</t>
  </si>
  <si>
    <t>[1468]</t>
  </si>
  <si>
    <t>['FV1468 S1D1 m247-324']</t>
  </si>
  <si>
    <t>LINESTRING Z (302656.392836294 6648610.45514799 -999999, 302658.295173521 6648605.42754246 -999999, 302658.363114136 6648602.0305117 -999999, 302648.715546773 6648589.32561665 -999999, 302660.808976285 6648578.72688067 -999999, 302673.649752564 6648566.83727301 -999999, 302683.433201158 6648557.66528995 -999999, 302686.422588228 6648556.5782401 -999999, 302689.547856529 6648555.89883395 -999999, 302693.488412213 6648556.03471518 -999999, 302704.834494957 6648558.88822102 -999999, 302708.367406949 6648559.77144902 -999999, 302712.715606325 6648560.65467702 -999999)</t>
  </si>
  <si>
    <t>POINT (302672.8967681577 6648575.19783409)</t>
  </si>
  <si>
    <t>2011-05-16</t>
  </si>
  <si>
    <t>[1458]</t>
  </si>
  <si>
    <t>['FV1458 S1D1 m6944-6983']</t>
  </si>
  <si>
    <t>LINESTRING Z (297914.664416035 6635002.30792207 -999999, 297906.719872256 6634998.66667284 -999999, 297900.651123536 6634995.68746892 -999999, 297896.347828989 6634996.34951424 -999999, 297891.272148241 6634999.21837727 -999999, 297887.630899009 6635003.08030827 -999999, 297886.196467493 6635009.59042054 -999999, 297886.086126608 6635015.87985103 -999999, 297886.306808379 6635021.06587266 -999999, 297884.210331549 6635025.36916721 -999999)</t>
  </si>
  <si>
    <t>POINT (297894.494623212 6635005.384895109)</t>
  </si>
  <si>
    <t>['FV1458 S1D1 m6949-6984']</t>
  </si>
  <si>
    <t>LINESTRING Z (297915.988506665 6635011.24553382 -999999, 297909.588735288 6635019.1900776 -999999, 297906.60953137 6635022.16928152 -999999, 297888.623966981 6635034.85848339 -999999)</t>
  </si>
  <si>
    <t>POINT (297903.07827591366 6635023.883998751)</t>
  </si>
  <si>
    <t>2025-11-22T09:17:09Z</t>
  </si>
  <si>
    <t>['FV125 S2D1 m2396-2441']</t>
  </si>
  <si>
    <t>LINESTRING Z (306010.338980064 6618922.27785388 -999999, 306014.902595136 6618918.78803059 -999999, 306020.540001991 6618914.49286346 -999999, 306027.116976654 6618911.00304017 -999999, 306033.828175289 6618908.45278469 -999999, 306040.27092598 6618906.17097716 -999999, 306051.277291743 6618903.75494565 -999999)</t>
  </si>
  <si>
    <t>POINT (306029.92337270465 6618911.118260596)</t>
  </si>
  <si>
    <t>['FV125 S2D1 m2399-2436']</t>
  </si>
  <si>
    <t>LINESTRING Z (306018.660866372 6618927.24414087 -999999, 306029.935680081 6618924.42543744 -999999, 306043.626525298 6618919.05647854 -999999, 306049.532380097 6618915.83510319 -999999, 306051.545739688 6618913.68751963 -999999)</t>
  </si>
  <si>
    <t>POINT (306035.7072714496 6618921.68919245)</t>
  </si>
  <si>
    <t>2025-11-22T09:17:12Z</t>
  </si>
  <si>
    <t>['FV325 S3D1 m2816-2857']</t>
  </si>
  <si>
    <t>LINESTRING Z (241550.940002441 6590834.10998535 39.976, 241554.780029297 6590841.92999268 39.646, 241555.760009766 6590843.77001953 39.576, 241556.380004883 6590844.7800293 39.546, 241557.200012207 6590845.96002197 39.486, 241564.75 6590856.42999268 38.926, 241565.479980469 6590857.32000733 38.906, 241566.909973145 6590858.88000488 38.856, 241575.260009766 6590867.48999024 38.516)</t>
  </si>
  <si>
    <t>POINT (241562.0006194521 6590851.58477454)</t>
  </si>
  <si>
    <t>2011-08-19</t>
  </si>
  <si>
    <t>2025-11-22T09:17:15Z</t>
  </si>
  <si>
    <t>[1551]</t>
  </si>
  <si>
    <t>['FV1551 S1D1 m7940-7988']</t>
  </si>
  <si>
    <t>LINESTRING Z (288256.120117187 6683363.80004883 192.983, 288283.860107422 6683402.7800293 192.843)</t>
  </si>
  <si>
    <t>POINT (288269.99011230445 6683383.290039065)</t>
  </si>
  <si>
    <t>['FV167 S2D1 m2609-2695']</t>
  </si>
  <si>
    <t>LINESTRING Z (244568.531148318 6637901.01135375 -999999, 244567.266178822 6637899.99937815 -999999, 244562.965282535 6637871.15807364 -999999, 244565.495221527 6637850.15958 -999999, 244580.168867682 6637815.75240971 -999999, 244581.433837179 6637816.25839751 -999999)</t>
  </si>
  <si>
    <t>POINT (244568.37689811073 6637857.28661032)</t>
  </si>
  <si>
    <t>['FV480 S1D1 m5737-5772']</t>
  </si>
  <si>
    <t>LINESTRING Z (29543.124792 6467248.655154 -999999, 29565.455625 6467221.985154 -999999)</t>
  </si>
  <si>
    <t>POINT (29554.2902085 6467235.320154)</t>
  </si>
  <si>
    <t>2013-07-15</t>
  </si>
  <si>
    <t>2025-11-22T09:17:20Z</t>
  </si>
  <si>
    <t>[5402]</t>
  </si>
  <si>
    <t>['FV5402 S1D10 m1160-1185']</t>
  </si>
  <si>
    <t>LINESTRING Z (32014.5100097656 6755113.23999024 224.186, 32014.4099731445 6755107.94995117 223.766, 32015.450012207 6755102.69995117 223.326, 32016.950012207 6755098.31005859 222.966, 32019.5300292969 6755093.39990234 222.586, 32022.3400268555 6755089.64990234 222.236)</t>
  </si>
  <si>
    <t>POINT (32016.885889565227 6755100.94824493)</t>
  </si>
  <si>
    <t>['EV39 S120D1 m2945-3003']</t>
  </si>
  <si>
    <t>LINESTRING Z (44616.819946 6465508.98999 44.268, 44573.73999 6465555.589966 47.098)</t>
  </si>
  <si>
    <t>POINT (44595.279968 6465532.289977999)</t>
  </si>
  <si>
    <t>['EV39 S120D1 m2241-2296']</t>
  </si>
  <si>
    <t>LINESTRING Z (44040.780029 6465912.579956 76.408, 43981.219971 6465936.27002 79.549)</t>
  </si>
  <si>
    <t>POINT (44011 6465924.424988)</t>
  </si>
  <si>
    <t>['EV39 S120D1 m1577-1636']</t>
  </si>
  <si>
    <t>LINESTRING Z (43510.190002 6466280.459961 105.779, 43459.470001 6466322.560059 108.759)</t>
  </si>
  <si>
    <t>POINT (43484.8300015 6466301.51001)</t>
  </si>
  <si>
    <t>['EV39 S120D1 m1358-1424']</t>
  </si>
  <si>
    <t>LINESTRING Z (43289.220001 6466460.209961 119.459, 43344.980011 6466424.110107 116.049)</t>
  </si>
  <si>
    <t>POINT (43317.100006 6466442.160034)</t>
  </si>
  <si>
    <t>2016-12-13</t>
  </si>
  <si>
    <t>['FV2800 S1D1 m7074-7113']</t>
  </si>
  <si>
    <t>LINESTRING Z (170760.72 6693124.99 618.551, 170763.29 6693135.95 618.471, 170764.02 6693142.98 618.321, 170764.72 6693161.01 617.851, 170764.29 6693164.41 617.851)</t>
  </si>
  <si>
    <t>POINT (170763.58563732606 6693144.603471847)</t>
  </si>
  <si>
    <t>2025-11-22T09:17:27Z</t>
  </si>
  <si>
    <t>['FV5442 S1D1 m3990-4029']</t>
  </si>
  <si>
    <t>LINESTRING (-8070.749860243173 6788057.3421059465, -8072.928152417007 6788049.409644389, -8074.006040791515 6788038.372820096, -8074.650114835356 6788027.53102494, -8074.4095605228795 6788018.2182211345)</t>
  </si>
  <si>
    <t>POINT (-8073.615444334265 6788037.900743494)</t>
  </si>
  <si>
    <t>['FV5442 S1D1 m7455-7497']</t>
  </si>
  <si>
    <t>LINESTRING (-6983.696267273743 6789186.1592591135, -6988.943174579646 6789176.8687359765, -6993.880707209348 6789167.42316998, -6997.890624253312 6789156.997356145, -7000.093622601242 6789147.599063017)</t>
  </si>
  <si>
    <t>POINT (-6993.044440257799 6789167.338960708)</t>
  </si>
  <si>
    <t>['FV5442 S2D1 m4714-4731']</t>
  </si>
  <si>
    <t>LINESTRING (-3745.3924890534836 6792029.891656238, -3743.7874188085552 6792020.544129492, -3740.25417953165 6792012.317049753)</t>
  </si>
  <si>
    <t>POINT (-3743.342345998215 6792020.95068818)</t>
  </si>
  <si>
    <t>['FV5442 S2D1 m5356-5380']</t>
  </si>
  <si>
    <t>LINESTRING (-3476.6402763902443 6792590.98255438, -3480.2900058673695 6792587.609623298, -3483.8317458981765 6792583.44931052, -3487.286379852041 6792577.585680889, -3490.963083360053 6792570.173326464)</t>
  </si>
  <si>
    <t>POINT (-3484.584487587823 6792581.148023286)</t>
  </si>
  <si>
    <t>['FV5442 S2D1 m6835-6851']</t>
  </si>
  <si>
    <t>LINESTRING (-2848.299297894526 6793600.661329675, -2839.355453689408 6793600.666152261, -2831.5343469881336 6793603.109999115)</t>
  </si>
  <si>
    <t>POINT (-2839.819513366764 6793601.249124742)</t>
  </si>
  <si>
    <t>['FV5442 S2D1 m7138-7168']</t>
  </si>
  <si>
    <t>LINESTRING (-2644.3651197194704 6793813.516562756, -2634.3294891147525 6793815.753576867, -2628.8165945676155 6793821.35718262, -2625.8685983605683 6793832.177993853, -2628.505285348627 6793839.977397841)</t>
  </si>
  <si>
    <t>POINT (-2631.476695702049 6793823.770859548)</t>
  </si>
  <si>
    <t>2025-11-22T09:17:30Z</t>
  </si>
  <si>
    <t>[5583]</t>
  </si>
  <si>
    <t>['FV5583 S2D1 m3490-3536']</t>
  </si>
  <si>
    <t>LINESTRING (-37303.2602847066 6805185.227603121, -37294.028397849994 6805187.336850788, -37284.35930565547 6805188.9379193755, -37271.127392893424 6805189.77097646, -37258.10145722679 6805189.68022072)</t>
  </si>
  <si>
    <t>POINT (-37280.79747993917 6805188.560094693)</t>
  </si>
  <si>
    <t>['FV5583 S2D1 m5493-5527']</t>
  </si>
  <si>
    <t>LINESTRING (-36101.634984021075 6806077.806711254, -36087.7402429505 6806069.319756791, -36076.059064456844 6806056.653669352)</t>
  </si>
  <si>
    <t>POINT (-36088.11265362923 6806068.125290687)</t>
  </si>
  <si>
    <t>['FV5583 S2D1 m5773-5812']</t>
  </si>
  <si>
    <t>LINESTRING (-36141.97038066597 6806179.694366626, -36137.64306539064 6806171.205595062, -36132.44225970493 6806163.133865711, -36125.78081134427 6806154.029850973, -36119.02181544865 6806147.960033436)</t>
  </si>
  <si>
    <t>POINT (-36131.59024525503 6806162.994016598)</t>
  </si>
  <si>
    <t>2012-08-08</t>
  </si>
  <si>
    <t>[1630]</t>
  </si>
  <si>
    <t>['FV1630 S1D1 m2431-2451', 'FV1630 S1D1 m2451-2463']</t>
  </si>
  <si>
    <t>LINESTRING (254357.4671141044 6649406.093928289, 254398.72038677687 6649415.548479282)</t>
  </si>
  <si>
    <t>POINT (254378.09375044063 6649410.821203784)</t>
  </si>
  <si>
    <t>2012-08-27</t>
  </si>
  <si>
    <t>['RV3 S28D1 m2991-3065']</t>
  </si>
  <si>
    <t>LINESTRING Z (251016.365810613 6961780.89450267 -999999, 251017.406293598 6961779.75492607 -999999, 251020.032274466 6961777.02985158 -999999, 251022.360974481 6961775.04797923 -999999, 251025.680610672 6961772.32290475 -999999, 251029.396621334 6961768.21051961 -999999, 251039.157342672 6961760.77849829 -999999, 251044.310210789 6961756.56701954 -999999, 251050.503561892 6961752.30599398 -999999, 251056.647366187 6961747.74768757 -999999, 251058.431051304 6961747.10357906 -999999, 251062.642530054 6961745.81536203 -999999, 251066.160353481 6961743.68484925 -999999, 251070.619566275 6961740.86068114 -999999, 251073.394187569 6961738.82926198 -999999, 251075.078779069 6961738.3833407 -999999)</t>
  </si>
  <si>
    <t>POINT (251044.55143641954 6961757.916612953)</t>
  </si>
  <si>
    <t>['EV75 S9D1 m779-840']</t>
  </si>
  <si>
    <t>LINESTRING Z (1038395.44 7842559.46 15.842, 1038436.67 7842562.05 16.242, 1038424.52 7842557.99 16.002, 1038402.24 7842556.68 15.822, 1038376.09 7842558.47 15.682, 1038386.3 7842559.19 15.742, 1038398.61 7842559.84 15.872)</t>
  </si>
  <si>
    <t>POLYGON Z ((1038395.44 7842559.46 15.842, 1038436.67 7842562.05 16.242, 1038424.52 7842557.99 16.002, 1038402.24 7842556.68 15.822, 1038376.09 7842558.47 15.682, 1038386.3 7842559.19 15.742, 1038398.61 7842559.84 15.872, 1038395.44 7842559.46 15.842))</t>
  </si>
  <si>
    <t>2012-09-11</t>
  </si>
  <si>
    <t>['FV578 S3D1 m194-219']</t>
  </si>
  <si>
    <t>LINESTRING Z (-30042.4199829102 6743248.79003906 91.826, -30037.549987793 6743250.36999512 91.666, -30032.7299804688 6743251.9699707 91.506, -30031.9799804688 6743252.19995117 91.486, -30028.1099853516 6743253.48999024 91.366, -30024.2700195313 6743254.77001953 91.266, -30023.2899780273 6743255.08996582 91.246, -30021.9099731445 6743255.61999512 91.206, -30020.8599853516 6743256.0300293 91.166, -30019.5399780273 6743256.63000488 91.086)</t>
  </si>
  <si>
    <t>POINT (-30030.93247940816 6743252.582734425)</t>
  </si>
  <si>
    <t>['FV578 S3D1 m197-227']</t>
  </si>
  <si>
    <t>LINESTRING Z (-30014.9799804688 6743269.5 91.036, -30018.0200195313 6743269.25 91.116, -30021.0800170898 6743268.81005859 91.166, -30023.0700073242 6743268.40002442 91.206, -30026.049987793 6743267.7199707 91.246, -30031.0100097656 6743266.45996094 91.366, -30035.9099731445 6743265.15002441 91.526, -30038.8499755859 6743264.31005859 91.656, -30040.799987793 6743263.67004395 91.716, -30041.7700195313 6743263.2800293 91.766, -30042.700012207 6743262.86999512 91.796, -30044.5 6743261.98999024 91.836)</t>
  </si>
  <si>
    <t>POINT (-30029.935417554283 6743266.492449317)</t>
  </si>
  <si>
    <t>['FV5582 S1D1 m5590-5641']</t>
  </si>
  <si>
    <t>LINESTRING (-38937.647241884144 6792326.242419045, -38936.62408669735 6792319.667725744, -38935.22665036435 6792313.847040029, -38931.60098581598 6792301.119217133, -38926.78001808259 6792286.068729661, -38924.978021757444 6792281.439992141, -38922.4460222075 6792276.994332316)</t>
  </si>
  <si>
    <t>POINT (-38931.211247152765 6792301.233003412)</t>
  </si>
  <si>
    <t>2025-06-13</t>
  </si>
  <si>
    <t>['FV5582 S1D1 m3215-3271']</t>
  </si>
  <si>
    <t>LINESTRING (-38030.13733066898 6790326.736439508, -38028.05406922207 6790315.716623704, -38029.21606312017 6790300.396435022, -38029.66780567693 6790285.853087567, -38031.621470071725 6790273.329212618)</t>
  </si>
  <si>
    <t>POINT (-38029.42269406997 6790300.057827141)</t>
  </si>
  <si>
    <t>['FV5582 S1D1 m2943-2999']</t>
  </si>
  <si>
    <t>LINESTRING (-38025.91133479786 6790058.260791512, -38023.6105105147 6790052.041192819, -38022.29484160198 6790044.939071059, -38019.46082885808 6790030.8513903245, -38015.83173793345 6790013.505252619, -38015.61456955492 6790002.364224879)</t>
  </si>
  <si>
    <t>POINT (-38019.58213307686 6790030.513352924)</t>
  </si>
  <si>
    <t>['FV5582 S1D1 m7660-7730']</t>
  </si>
  <si>
    <t>LINESTRING (-40284.39968411636 6792351.416342857, -40272.56378104561 6792339.488660408, -40261.31553677772 6792324.70032431, -40251.044278630055 6792309.324478414, -40242.36673330946 6792294.636379414)</t>
  </si>
  <si>
    <t>POINT (-40262.002658973666 6792324.084790028)</t>
  </si>
  <si>
    <t>['FV5582 S1D1 m8309-8386']</t>
  </si>
  <si>
    <t>LINESTRING (-40144.993484847364 6791734.045942252, -40148.68088625383 6791718.231973815, -40149.73611370649 6791710.646479727, -40151.52133090084 6791694.466198863, -40154.20561248821 6791668.831540044, -40153.61850996222 6791657.746763853)</t>
  </si>
  <si>
    <t>POINT (-40150.90908265584 6791696.0564327575)</t>
  </si>
  <si>
    <t>['EV75 S8D1 m3170-3220']</t>
  </si>
  <si>
    <t>LINESTRING Z (1051899.02 7842639.37 26.876, 1051919.37 7842642.64 27.046, 1051903.01 7842635.93 26.686, 1051890.3 7842633.58 26.596, 1051870.21 7842634.6 26.716, 1051882.3 7842636.8 26.796, 1051903.45 7842640.27 26.956)</t>
  </si>
  <si>
    <t>POLYGON Z ((1051899.02 7842639.37 26.876, 1051919.37 7842642.64 27.046, 1051903.01 7842635.93 26.686, 1051890.3 7842633.58 26.596, 1051870.21 7842634.6 26.716, 1051882.3 7842636.8 26.796, 1051903.45 7842640.27 26.956, 1051899.02 7842639.37 26.876))</t>
  </si>
  <si>
    <t>[8096]</t>
  </si>
  <si>
    <t>['FV8096 S1D1 m2095-2130']</t>
  </si>
  <si>
    <t>LINESTRING Z (1055402.01 7842681.49 28.365, 1055389.77 7842699.99 29.425, 1055391.99 7842691.51 28.905, 1055398.49 7842680.62 28.305, 1055407.9 7842670.65 27.805, 1055399.25 7842686 28.625)</t>
  </si>
  <si>
    <t>['KV1071 S1D1 m662-701']</t>
  </si>
  <si>
    <t>LINESTRING (-42476.825117764296 6791150.203721924, -42477.35555556486 6791139.582300325, -42476.64723196055 6791128.843458932, -42475.04463297571 6791117.67129115, -42472.96373718837 6791108.639765769)</t>
  </si>
  <si>
    <t>POINT (-42476.0509192149 6791129.320738779)</t>
  </si>
  <si>
    <t>2017-10-20</t>
  </si>
  <si>
    <t>['EV75 S1D1 m4290-4327']</t>
  </si>
  <si>
    <t>LINESTRING Z (1095276.76 7884964.25 15.803, 1095284.61 7884983.78 15.753, 1095283.86 7884971.2 15.663, 1095282.13 7884965.32 15.683, 1095279.03 7884958.48 15.703, 1095268.62 7884941.93 15.893, 1095277.18 7884965.33 15.783)</t>
  </si>
  <si>
    <t>['FV32 S2D1 m3983-4033']</t>
  </si>
  <si>
    <t>LINESTRING Z (221327.949951 6606023.75 111.213, 221326.579956 6606023.35 111.263, 221324.02002 6606022.83 111.363, 221321.25 6606022.290001 111.413, 221318.47998 6606021.950001 111.493, 221315.51001 6606021.66 111.593, 221312.48999 6606021.360001 111.653, 221310.829956 6606021.27 111.713, 221309.660034 6606021.4 111.733, 221306.410034 6606021.809999 111.863, 221303.119995 6606022.139999 111.943, 221299.790039 6606022.49 112.053, 221296.939941 6606022.780001 112.123, 221295.810059 6606022.959999 112.123, 221294.939941 6606023.15 112.163, 221293.079956 6606023.790001 112.203, 221289.839966 6606024.85 112.353, 221286.5 6606026.07 112.503, 221283.459961 6606027.09 112.603, 221280.219971 6606028.09 112.663, 221277.619995 6606029.030001 112.743, 221308.608398 6606024.284243 111.797, 221327.949951 6606023.75 111.213)</t>
  </si>
  <si>
    <t>POLYGON Z ((221327.949951 6606023.75 111.213, 221326.579956 6606023.35 111.263, 221324.02002 6606022.83 111.363, 221321.25 6606022.290001 111.413, 221318.47998 6606021.950001 111.493, 221315.51001 6606021.66 111.593, 221312.48999 6606021.360001 111.653, 221310.829956 6606021.27 111.713, 221309.660034 6606021.4 111.733, 221306.410034 6606021.809999 111.863, 221303.119995 6606022.139999 111.943, 221299.790039 6606022.49 112.053, 221296.939941 6606022.780001 112.123, 221295.810059 6606022.959999 112.123, 221294.939941 6606023.15 112.163, 221293.079956 6606023.790001 112.203, 221289.839966 6606024.85 112.353, 221286.5 6606026.07 112.503, 221283.459961 6606027.09 112.603, 221280.219971 6606028.09 112.663, 221277.619995 6606029.030001 112.743, 221308.608398 6606024.284243 111.797, 221327.949951 6606023.75 111.213))</t>
  </si>
  <si>
    <t>2016-02-15</t>
  </si>
  <si>
    <t>['FV3126 S1D1 m315-385']</t>
  </si>
  <si>
    <t>LINESTRING Z (240655.77002 6579070.930176 21.197, 240649.369995 6579076.200195 21.207, 240645.069946 6579079.720215 21.267, 240641.540039 6579082.629883 21.277, 240640.069946 6579083.759766 21.317, 240640 6579083.890137 21.307, 240629.839966 6579090.220215 21.377, 240620.719971 6579095.910156 21.347, 240614.380005 6579099.850098 21.297, 240605.23999 6579104.160156 21.087, 240600.369995 6579106.410156 21.007, 240599.349976 6579106.899902 21.007, 240596.290039 6579108.169922 20.977, 240610.597168 6579098.972656 21.03, 240619.24646 6579093.671875 21.062, 240630.871948 6579086.603516 21.105, 240640.032837 6579080.790527 21.139, 240655.77002 6579070.930176 21.197)</t>
  </si>
  <si>
    <t>POLYGON Z ((240655.77002 6579070.930176 21.197, 240649.369995 6579076.200195 21.207, 240645.069946 6579079.720215 21.267, 240641.540039 6579082.629883 21.277, 240640.069946 6579083.759766 21.317, 240640 6579083.890137 21.307, 240629.839966 6579090.220215 21.377, 240620.719971 6579095.910156 21.347, 240614.380005 6579099.850098 21.297, 240605.23999 6579104.160156 21.087, 240600.369995 6579106.410156 21.007, 240599.349976 6579106.899902 21.007, 240596.290039 6579108.169922 20.977, 240610.597168 6579098.972656 21.03, 240619.24646 6579093.671875 21.062, 240630.871948 6579086.603516 21.105, 240640.032837 6579080.790527 21.139, 240655.77002 6579070.930176 21.197))</t>
  </si>
  <si>
    <t>['FV3350 S1D1 m5448-5460']</t>
  </si>
  <si>
    <t>LINESTRING Z (198308.83000000002 6552305.06 0.04, 198311.39 6552293.89 0.04, 198309.97 6552295.26 0.04, 198308.95 6552297.53 0.04, 198308.46 6552299.89 0.04, 198308.25 6552301.89 0.04, 198308.25 6552303.01 0.04, 198308.83000000002 6552305.06 0.04)</t>
  </si>
  <si>
    <t>POLYGON Z ((198308.83000000002 6552305.06 0.04, 198311.39 6552293.89 0.04, 198309.97 6552295.26 0.04, 198308.95 6552297.53 0.04, 198308.46 6552299.89 0.04, 198308.25 6552301.89 0.04, 198308.25 6552303.01 0.04, 198308.83000000002 6552305.06 0.04))</t>
  </si>
  <si>
    <t>2015-10-12</t>
  </si>
  <si>
    <t>2025-11-22T09:17:38Z</t>
  </si>
  <si>
    <t>['FV613 S3D1 m2480-2522']</t>
  </si>
  <si>
    <t>LINESTRING Z (42378.6143933417 6830468.7877496 -999999, 42384.124695102 6830465.20605346 -999999, 42391.2880873902 6830463.82847802 -999999, 42399.2780249425 6830467.68568925 -999999, 42414.7068698711 6830480.91041348 -999999, 42416.9109905752 6830484.21659453 -999999, 42416.9109905752 6830486.14520015 -999999)</t>
  </si>
  <si>
    <t>POINT (42399.66417668063 6830471.412616358)</t>
  </si>
  <si>
    <t>2013-05-13</t>
  </si>
  <si>
    <t>[2998]</t>
  </si>
  <si>
    <t>['FV2998 S1D1 m500-540']</t>
  </si>
  <si>
    <t>LINESTRING Z (216317.890014648 6556148.18994141 4.692, 216316.180053711 6556145.59997559 4.622, 216315.5 6556144.5300293 4.602, 216314.979980469 6556143.7800293 4.592, 216314.310058594 6556143.18005371 4.572, 216313.209960938 6556142.76000977 4.562, 216312.439941406 6556142.68994141 4.552, 216309.109985352 6556142.67004395 4.552, 216306.829956055 6556142.65002442 4.542, 216300.010009766 6556142.58996582 4.542, 216290.359985352 6556142.5300293 4.562, 216285.510009766 6556142.52001953 4.572, 216284.449951172 6556142.52001953 4.592, 216283.5 6556142.76000977 4.632, 216282.650024414 6556143.27001953 4.652, 216282.170043945 6556143.80004883 4.662, 216281.189941406 6556145.32995606 4.682, 216279.390014648 6556147.97998047 4.682, 216282.069946289 6556148.13000488 4.682, 216286.130004883 6556148.30004883 4.692, 216286.239990234 6556146.93994141 4.682, 216288.140014648 6556146.94995117 4.672, 216296.75 6556147 4.662, 216309.130004883 6556147.13000488 4.682, 216311.209960938 6556147.17004395 4.692, 216311.229980469 6556148.41003418 4.702, 216315.709960937 6556148.2800293 4.682, 216317.890014648 6556148.18994141 4.692)</t>
  </si>
  <si>
    <t>POLYGON Z ((216317.890014648 6556148.18994141 4.692, 216316.180053711 6556145.59997559 4.622, 216315.5 6556144.5300293 4.602, 216314.979980469 6556143.7800293 4.592, 216314.310058594 6556143.18005371 4.572, 216313.209960938 6556142.76000977 4.562, 216312.439941406 6556142.68994141 4.552, 216309.109985352 6556142.67004395 4.552, 216306.829956055 6556142.65002442 4.542, 216300.010009766 6556142.58996582 4.542, 216290.359985352 6556142.5300293 4.562, 216285.510009766 6556142.52001953 4.572, 216284.449951172 6556142.52001953 4.592, 216283.5 6556142.76000977 4.632, 216282.650024414 6556143.27001953 4.652, 216282.170043945 6556143.80004883 4.662, 216281.189941406 6556145.32995606 4.682, 216279.390014648 6556147.97998047 4.682, 216282.069946289 6556148.13000488 4.682, 216286.130004883 6556148.30004883 4.692, 216286.239990234 6556146.93994141 4.682, 216288.140014648 6556146.94995117 4.672, 216296.75 6556147 4.662, 216309.130004883 6556147.13000488 4.682, 216311.209960938 6556147.17004395 4.692, 216311.229980469 6556148.41003418 4.702, 216315.709960937 6556148.2800293 4.682, 216317.890014648 6556148.18994141 4.692))</t>
  </si>
  <si>
    <t>2020-07-08</t>
  </si>
  <si>
    <t>['FV2998 S1D1 m386-458']</t>
  </si>
  <si>
    <t>LINESTRING Z (216431.089966 6556137.939941 4.822, 216429.040039 6556135.420044 4.712, 216428 6556134.5 4.682, 216427.380005 6556134.040039 4.672, 216426.150024 6556133.359985 4.642, 216424.680054 6556132.780029 4.612, 216423.51001 6556132.469971 4.582, 216422.23999 6556132.300049 4.592, 216420.829956 6556132.339966 4.552, 216418.880005 6556132.569946 4.572, 216415.51001 6556132.890015 4.582, 216411.689941 6556133.23999 4.572, 216405.25 6556133.880005 4.572, 216396.910034 6556134.699951 4.562, 216389.430054 6556135.47998 4.532, 216381.199951 6556136.26001 4.522, 216373.680054 6556137.02002 4.492, 216371.540039 6556137.23999 4.482, 216368.27002 6556137.550049 4.482, 216366.76001 6556137.869995 4.482, 216365.23999 6556138.47998 4.492, 216363.890015 6556139.349976 4.512, 216362.780029 6556140.27002 4.552, 216361.98999 6556141.189941 4.582, 216361.199951 6556142.23999 4.612, 216359.609985 6556144.890015 4.732, 216360.27002 6556144.829956 4.732, 216365.47998 6556144.310059 4.742, 216372.589966 6556143.640015 4.752, 216372.48999 6556142.52002 4.732, 216372.47998 6556142.319946 4.702, 216374.410034 6556142.130005 4.692, 216385 6556141.069946 4.672, 216402.579956 6556139.390015 4.682, 216403.170044 6556139.319946 4.702, 216418.560059 6556137.869995 4.722, 216418.72998 6556139.160034 4.732, 216424.52002 6556138.589966 4.742, 216431.089966 6556137.939941 4.742)</t>
  </si>
  <si>
    <t>POLYGON Z ((216431.089966 6556137.939941 4.822, 216429.040039 6556135.420044 4.712, 216428 6556134.5 4.682, 216427.380005 6556134.040039 4.672, 216426.150024 6556133.359985 4.642, 216424.680054 6556132.780029 4.612, 216423.51001 6556132.469971 4.582, 216422.23999 6556132.300049 4.592, 216420.829956 6556132.339966 4.552, 216418.880005 6556132.569946 4.572, 216415.51001 6556132.890015 4.582, 216411.689941 6556133.23999 4.572, 216405.25 6556133.880005 4.572, 216396.910034 6556134.699951 4.562, 216389.430054 6556135.47998 4.532, 216381.199951 6556136.26001 4.522, 216373.680054 6556137.02002 4.492, 216371.540039 6556137.23999 4.482, 216368.27002 6556137.550049 4.482, 216366.76001 6556137.869995 4.482, 216365.23999 6556138.47998 4.492, 216363.890015 6556139.349976 4.512, 216362.780029 6556140.27002 4.552, 216361.98999 6556141.189941 4.582, 216361.199951 6556142.23999 4.612, 216359.609985 6556144.890015 4.732, 216360.27002 6556144.829956 4.732, 216365.47998 6556144.310059 4.742, 216372.589966 6556143.640015 4.752, 216372.48999 6556142.52002 4.732, 216372.47998 6556142.319946 4.702, 216374.410034 6556142.130005 4.692, 216385 6556141.069946 4.672, 216402.579956 6556139.390015 4.682, 216403.170044 6556139.319946 4.702, 216418.560059 6556137.869995 4.722, 216418.72998 6556139.160034 4.732, 216424.52002 6556138.589966 4.742, 216431.089966 6556137.939941 4.742, 216431.089966 6556137.939941 4.822))</t>
  </si>
  <si>
    <t>[7444]</t>
  </si>
  <si>
    <t>['FV7444 S2D1 m6052-6069']</t>
  </si>
  <si>
    <t>LINESTRING Z (451680.8604210243 7432073.687942516 10.659, 451684.81334584986 7432076.014757665 10.717, 451709.53262150317 7432082.565614691 10.48, 451716.5323877821 7432083.355323959 10.126, 451735.6801436831 7432083.126141319 9.455, 451745.2698588559 7432081.205050639 9.149)</t>
  </si>
  <si>
    <t>POINT (451712.6495250327 7432080.942391545)</t>
  </si>
  <si>
    <t>['FV7444 S2D1 m6073-6095']</t>
  </si>
  <si>
    <t>LINESTRING Z (451747.9993123461 7432077.510522283 9.065, 451757.1002256501 7432075.81001321 8.447, 451764.0096370389 7432076.177759038 8.125, 451774.15340350074 7432079.17513398 7.77)</t>
  </si>
  <si>
    <t>POINT (451761.1556993569 7432076.889670201)</t>
  </si>
  <si>
    <t>2024-08-12</t>
  </si>
  <si>
    <t>2025-11-22T09:17:41Z</t>
  </si>
  <si>
    <t>[5627]</t>
  </si>
  <si>
    <t>['FV5627 S2D1 m2600-2628']</t>
  </si>
  <si>
    <t>LINESTRING (78214.12693432154 6778988.019747535, 78213.38393912982 6778981.806642767, 78209.08881904866 6778972.281091123, 78201.90464053024 6778963.760519209)</t>
  </si>
  <si>
    <t>POINT (78209.50555697095 6778975.201193939)</t>
  </si>
  <si>
    <t>2022-08-16</t>
  </si>
  <si>
    <t>['EV16 S14D50 m1698-1715']</t>
  </si>
  <si>
    <t>LINESTRING (48697.40422203881 6773376.166652542, 48704.1515854341 6773381.116695987, 48710.32960693812 6773386.801479226)</t>
  </si>
  <si>
    <t>POINT (48704.014480158 6773381.304684267)</t>
  </si>
  <si>
    <t>2024-06-26</t>
  </si>
  <si>
    <t>2025-11-22T09:17:43Z</t>
  </si>
  <si>
    <t>['FV5633 S1D1 m6203-6226']</t>
  </si>
  <si>
    <t>LINESTRING (106537.54561927135 6813996.6870680265, 106545.42621454294 6814006.406087445, 106549.61141510424 6814017.122162618)</t>
  </si>
  <si>
    <t>2015-04-17</t>
  </si>
  <si>
    <t>[4570]</t>
  </si>
  <si>
    <t>['FV4570 S1D1 m2246-2290']</t>
  </si>
  <si>
    <t>LINESTRING Z (-33380.0400085449 6574799.40991211 49.683, -33376.700012207 6574798.73999023 49.783, -33372.6700134277 6574797.59008789 49.883, -33371.3200073242 6574796.85009766 49.913, -33367.6199951172 6574795.32006836 49.993, -33362.9299926758 6574793.37011719 50.123, -33357.4599914551 6574791.08007813 50.273, -33356.0299987793 6574790.64990234 50.303, -33353.6400146484 6574789.62988281 50.373, -33351.2399902344 6574788.30004883 50.423, -33348.3599853516 6574786.69995117 50.513, -33345.4100036621 6574785.01000977 50.573, -33342.4800109863 6574783.35009766 50.633, -33339.5299987793 6574781.67993164 50.733)</t>
  </si>
  <si>
    <t>POINT (-33359.387360254615 6574791.516512419)</t>
  </si>
  <si>
    <t>['FV4570 S1D1 m1958-2002']</t>
  </si>
  <si>
    <t>LINESTRING Z (-33077.2699966431 6574661.89990234 54.133, -33080.5299987793 6574664.92993164 54.103, -33082.9100036621 6574667.12988281 54.083, -33084.5899963379 6574668.44995117 54.073, -33085.4599990845 6574669.08007813 54.063, -33085.7200012207 6574669.23999023 54.053, -33087.1100006104 6574669.85009766 54.053, -33090.5800018311 6574671.87011719 54.063, -33094.0299987793 6574673.89990234 54.063, -33097.5 6574675.92993164 54.063, -33101.8099975586 6574678.45996094 54.093, -33103.0299987793 6574679.36010742 54.093, -33104.8499984741 6574680.29003906 54.083, -33108.5699996948 6574681.81005859 54.093, -33112.3700027466 6574683.33007813 54.093, -33116.4400024414 6574684.94995117 54.093)</t>
  </si>
  <si>
    <t>POINT (-33096.09974526855 6574674.647746496)</t>
  </si>
  <si>
    <t>['FV4570 S1D1 m1773-1828']</t>
  </si>
  <si>
    <t>LINESTRING Z (-33020.1800003052 6574545.51000977 55.363, -33019.4099998474 6574543.34008789 55.293, -33018.3600006104 6574540 55.233, -33017.6399993897 6574537.34008789 55.173, -33017.1900005341 6574535.5300293 55.113, -33016.5900001526 6574533.18994141 55.043, -33015.970000267 6574531.13989258 54.963, -33015.3599996567 6574529.38989258 54.913, -33014.9899997711 6574528.41992188 54.913, -33007.2399997711 6574511.02001953 54.333, -33006.3699998856 6574509.36010742 54.283, -33005.2600002289 6574507.48999024 54.213, -33004.2800002098 6574505.91992188 54.153, -33002.5599999428 6574503.26000977 54.033, -33000 6574499.29003906 53.863, -32998.5599999428 6574496.80004883 53.763, -32997.7899999619 6574495.30004883 53.723)</t>
  </si>
  <si>
    <t>POINT (-33010.346726311676 6574519.799715282)</t>
  </si>
  <si>
    <t>['FV4570 S1D1 m1674-1726']</t>
  </si>
  <si>
    <t>LINESTRING Z (-32949 6574409.26000977 51.153, -32949.6199989319 6574411.34008789 51.213, -32951.0600013733 6574416.59008789 51.393, -32953.3400001526 6574424.61010742 51.663, -32959.9900016785 6574439.23999023 52.083, -32965.4599990845 6574448.75 52.273, -32969.9899997711 6574456.29003906 52.463)</t>
  </si>
  <si>
    <t>POINT (-32958.13526566847 6574433.362418119)</t>
  </si>
  <si>
    <t>2015-05-26</t>
  </si>
  <si>
    <t>['FV613 S2D1 m11853-11885']</t>
  </si>
  <si>
    <t>LINESTRING Z (49138.0388654422 6831904.12272718 -999999, 49141.5615824123 6831902.20124519 -999999, 49146.5254108702 6831900.11963971 -999999, 49154.2113388051 6831897.71778723 -999999, 49159.9757847562 6831896.59692274 -999999, 49167.0212186964 6831895.63618175 -999999, 49169.2629476774 6831895.31593475 -999999)</t>
  </si>
  <si>
    <t>POINT (49153.32457339423 6831898.644328066)</t>
  </si>
  <si>
    <t>['FV613 S2D1 m17404-17424']</t>
  </si>
  <si>
    <t>LINESTRING Z (47122.5253682831 6831669.77034792 -999999, 47124.2472402661 6831668.31337932 -999999, 47126.2340156312 6831666.06170057 -999999, 47128.7505977602 6831663.54511844 -999999, 47130.8698248163 6831660.49872955 -999999, 47131.7307608078 6831656.85630805 -999999, 47131.9294383443 6831652.75030563 -999999)</t>
  </si>
  <si>
    <t>POINT (47128.70234981609 6831661.9754748335)</t>
  </si>
  <si>
    <t>2017-07-26</t>
  </si>
  <si>
    <t>[615]</t>
  </si>
  <si>
    <t>['FV615 S7D1 m4229-4286']</t>
  </si>
  <si>
    <t>LINESTRING Z (29885.8200946803 6887816.01747418 -999999, 29898.290629459 6887781.89355629 -999999, 29905.6595818282 6887761.71396365 -999999)</t>
  </si>
  <si>
    <t>POINT (29895.74140432239 6887788.866291013)</t>
  </si>
  <si>
    <t>2015-12-14</t>
  </si>
  <si>
    <t>2025-11-22T09:17:47Z</t>
  </si>
  <si>
    <t>['EV134 S43D1 m10492-10553']</t>
  </si>
  <si>
    <t>LINESTRING Z (210337.979980469 6634016.15002441 108.156, 210334.789978027 6634015.20001221 108.196, 210309.359985352 6633990.60998535 109.046, 210293.880004883 6633975.60998535 109.626, 210292.270019531 6633971.69000244 109.776)</t>
  </si>
  <si>
    <t>POINT (210314.07174144284 6633995.026097796)</t>
  </si>
  <si>
    <t>['EV134 S43D1 m9805-9872']</t>
  </si>
  <si>
    <t>LINESTRING Z (209702.83996582 6633644.70001221 114.385, 209705.699951172 6633649.90997314 114.475, 209711.579956055 6633655.55999756 114.545, 209721.599975586 6633664.03997803 114.635, 209731.569946289 6633672.19000244 114.665, 209739.979980469 6633678.55999756 114.705, 209748.5 6633684.59002686 114.735, 209755.400024414 6633687.17999268 114.635)</t>
  </si>
  <si>
    <t>POINT (209727.43247382308 6633667.966138683)</t>
  </si>
  <si>
    <t>['EV134 S43D1 m8582-8640']</t>
  </si>
  <si>
    <t>LINESTRING Z (209142.58996582 6632636.95001221 109.334, 209140.229980469 6632633.95001221 109.274, 209138.390014648 6632626.07998657 109.264, 209133.349975586 6632603.42001343 109.184, 209129.530029297 6632586.07000733 109.154, 209130.199951172 6632580.10998535 109.244)</t>
  </si>
  <si>
    <t>POINT (209134.75294531454 6632608.925993992)</t>
  </si>
  <si>
    <t>['EV134 S43D1 m8424-8483']</t>
  </si>
  <si>
    <t>LINESTRING Z (209097.900024414 6632424.73999023 109.604, 209100.25 6632426.88000488 109.654, 209102.41003418 6632432.27001953 109.664, 209107.180053711 6632445.4699707 109.604, 209112.33996582 6632461.16998291 109.624, 209117.380004883 6632477.22998047 109.654, 209116.880004883 6632481.27001953 109.544)</t>
  </si>
  <si>
    <t>POINT (209109.1520632385 6632452.405596734)</t>
  </si>
  <si>
    <t>['FV32 S8D1 m6193-6248']</t>
  </si>
  <si>
    <t>LINESTRING Z (196273.669922 6566301.52002 12.14, 196271.959961 6566305.549988 12.08, 196270.219971 6566309.820007 12.04, 196269.52002 6566311.390015 12.03, 196269.139893 6566312.159973 12.03, 196268.73999 6566312.869995 12.02, 196268.26001 6566313.700012 12.02, 196264.820068 6566319.679993 12.01, 196261.669922 6566325.109985 11.99, 196260.550049 6566327.059998 11.97, 196259.97998 6566327.969971 11.98, 196259.330078 6566328.880005 11.98, 196257.98999 6566330.690002 11.98, 196257.030029 6566331.840027 11.96, 196254.290039 6566334.700012 -999999, 196251.639893 6566336.090027 11.95, 196258.070068 6566325 11.83, 196267.629883 6566308.299988 11.89, 196271.969971 6566300.570007 11.93, 196278.959961 6566289.049988 11.97, 196277.439941 6566292.5 12.21, 196276.590088 6566294.390015 12.21, 196275.830078 6566296.159973 12.19, 196274.679932 6566299 12.16, 196274.030029 6566300.549988 12.15, 196273.669922 6566301.52002 12.14)</t>
  </si>
  <si>
    <t>['EV75 S8D1 m15845-15902']</t>
  </si>
  <si>
    <t>LINESTRING Z (1039878.4 7842143.85 7.642, 1039902.37 7842124.86 7.512, 1039895.42 7842133.94 7.452, 1039880.12 7842146.76 7.512, 1039869.68 7842154.61 7.632, 1039858.05 7842160.06 7.722, 1039876.78 7842145.19 7.662)</t>
  </si>
  <si>
    <t>POLYGON Z ((1039878.4 7842143.85 7.642, 1039902.37 7842124.86 7.512, 1039895.42 7842133.94 7.452, 1039880.12 7842146.76 7.512, 1039869.68 7842154.61 7.632, 1039858.05 7842160.06 7.722, 1039876.78 7842145.19 7.662, 1039878.4 7842143.85 7.642))</t>
  </si>
  <si>
    <t>['EV75 S8D1 m14821-14855']</t>
  </si>
  <si>
    <t>LINESTRING Z (1040813.88 7841764.31 21.213, 1040825.2 7841762.62 21.323, 1040826.2 7841764.97 21.263, 1040821.1 7841766.62 21.303, 1040821.12 7841768.16 21.263, 1040806.91 7841769.92 21.133, 1040806.85 7841768.56 21.173, 1040792.12 7841767.32 21.103, 1040803.81 7841765.72 21.173, 1040819.37 7841763.52 21.293)</t>
  </si>
  <si>
    <t>['EV75 S8D1 m14746-14792']</t>
  </si>
  <si>
    <t>LINESTRING Z (1040876.74 7841747.2 21.403, 1040898.09 7841742.37 21.393, 1040891.15 7841742.42 21.313, 1040883.75 7841742.75 21.403, 1040869.34 7841745.62 21.353, 1040863.32 7841748.39 21.243, 1040853.26 7841751.91 21.273, 1040863.47 7841749.96 21.323, 1040880.42 7841746.55 21.413)</t>
  </si>
  <si>
    <t>POLYGON Z ((1040876.74 7841747.2 21.403, 1040898.09 7841742.37 21.393, 1040891.15 7841742.42 21.313, 1040883.75 7841742.75 21.403, 1040869.34 7841745.62 21.353, 1040863.32 7841748.39 21.243, 1040853.26 7841751.91 21.273, 1040863.47 7841749.96 21.323, 1040880.42 7841746.55 21.413, 1040876.74 7841747.2 21.403))</t>
  </si>
  <si>
    <t>['EV75 S8D1 m13963-13996']</t>
  </si>
  <si>
    <t>LINESTRING Z (1041634.17 7841522.3 11.843, 1041648.68 7841517.93 11.733, 1041643.81 7841522.7 11.653, 1041636.51 7841527.47 11.763, 1041627.62 7841529.93 11.673, 1041617.28 7841527.82 11.963, 1041637.8 7841521.06 11.803)</t>
  </si>
  <si>
    <t>POLYGON Z ((1041634.17 7841522.3 11.843, 1041648.68 7841517.93 11.733, 1041643.81 7841522.7 11.653, 1041636.51 7841527.47 11.763, 1041627.62 7841529.93 11.673, 1041617.28 7841527.82 11.963, 1041637.8 7841521.06 11.803, 1041634.17 7841522.3 11.843))</t>
  </si>
  <si>
    <t>['EV75 S8D1 m13795-13825']</t>
  </si>
  <si>
    <t>LINESTRING Z (1041798.72 7841471.39 10.003, 1041810.7 7841467.76 9.933, 1041805.19 7841474.11 9.783, 1041793.03 7841477.89 9.973, 1041782.06 7841476.78 10.173, 1041800.42 7841470.85 9.973)</t>
  </si>
  <si>
    <t>['EV75 S8D1 m13717-13751']</t>
  </si>
  <si>
    <t>LINESTRING Z (1041867.71 7841446.01 9.873, 1041884.54 7841441.81 9.873, 1041873.24 7841441.78 9.813, 1041857.95 7841445.57 9.753, 1041851.13 7841450.26 9.883, 1041871.26 7841445.13 9.853)</t>
  </si>
  <si>
    <t>POLYGON Z ((1041867.71 7841446.01 9.873, 1041884.54 7841441.81 9.873, 1041873.24 7841441.78 9.813, 1041857.95 7841445.57 9.753, 1041851.13 7841450.26 9.883, 1041871.26 7841445.13 9.853, 1041867.71 7841446.01 9.873))</t>
  </si>
  <si>
    <t>['EV75 S8D1 m7457-7512']</t>
  </si>
  <si>
    <t>LINESTRING Z (1047648.81 7842234.6 23.701, 1047676.67 7842238.13 23.721, 1047661.55 7842232.52 23.571, 1047634.67 7842228.46 23.491, 1047622.27 7842231.58 23.661, 1047652.73 7842235.17 23.721)</t>
  </si>
  <si>
    <t>POLYGON Z ((1047648.81 7842234.6 23.701, 1047676.67 7842238.13 23.721, 1047661.55 7842232.52 23.571, 1047634.67 7842228.46 23.491, 1047622.27 7842231.58 23.661, 1047652.73 7842235.17 23.721, 1047648.81 7842234.6 23.701))</t>
  </si>
  <si>
    <t>['EV75 S7D1 m4399-4446']</t>
  </si>
  <si>
    <t>LINESTRING Z (1056589.69 7842042.68 4.776, 1056611.96 7842051.46 4.586, 1056593.24 7842047.4 4.786, 1056579.52 7842041.12 4.796, 1056568.07 7842031.75 4.886, 1056580.69 7842038.53 4.766, 1056591.96 7842043.82 4.726)</t>
  </si>
  <si>
    <t>POLYGON Z ((1056589.69 7842042.68 4.776, 1056611.96 7842051.46 4.586, 1056593.24 7842047.4 4.786, 1056579.52 7842041.12 4.796, 1056568.07 7842031.75 4.886, 1056580.69 7842038.53 4.766, 1056591.96 7842043.82 4.726, 1056589.69 7842042.68 4.776))</t>
  </si>
  <si>
    <t>['EV75 S7D1 m3566-3612']</t>
  </si>
  <si>
    <t>LINESTRING Z (1057405.35 7842173.93 5.266, 1057426.84 7842172.15 5.376, 1057423.47 7842170.93 5.316, 1057411.52 7842169.69 5.236, 1057395.67 7842171.72 5.126, 1057382.1 7842174.89 5.106, 1057380.51 7842176.03 5.086, 1057393.52 7842174.84 5.146, 1057409.08 7842173.7 5.316)</t>
  </si>
  <si>
    <t>POLYGON Z ((1057405.35 7842173.93 5.266, 1057426.84 7842172.15 5.376, 1057423.47 7842170.93 5.316, 1057411.52 7842169.69 5.236, 1057395.67 7842171.72 5.126, 1057382.1 7842174.89 5.106, 1057380.51 7842176.03 5.086, 1057393.52 7842174.84 5.146, 1057409.08 7842173.7 5.316, 1057405.35 7842173.93 5.266))</t>
  </si>
  <si>
    <t>['EV75 S10D1 m10288-10333']</t>
  </si>
  <si>
    <t>LINESTRING Z (1013348.75 7843831.84 16.991, 1013373.7 7843830.85 16.921, 1013359.68 7843828.03 16.861, 1013343.57 7843827.79 16.871, 1013328.34 7843832.53 17.001, 1013346.52 7843831.9 17.011)</t>
  </si>
  <si>
    <t>POLYGON Z ((1013348.75 7843831.84 16.991, 1013373.7 7843830.85 16.921, 1013359.68 7843828.03 16.861, 1013343.57 7843827.79 16.871, 1013328.34 7843832.53 17.001, 1013346.52 7843831.9 17.011, 1013348.75 7843831.84 16.991))</t>
  </si>
  <si>
    <t>['EV75 S9D1 m8670-8706']</t>
  </si>
  <si>
    <t>LINESTRING Z (1031158 7842425.24 4.462, 1031176.33 7842430.72 4.602, 1031174.21 7842445.75 4.312, 1031165.57 7842449.45 4.272, 1031154.35 7842447.57 4.332, 1031140.71 7842437.44 4.482, 1031143 7842419.78 4.392, 1031158.6 7842425.19 4.462, 1031157.46 7842425.88 4.502, 1031160.21 7842426.91 4.522, 1031162.61 7842429.2 4.522, 1031163.71 7842432.53 4.452, 1031162.67 7842436.12 4.452, 1031160.02 7842438.75 4.472, 1031156.43 7842439.63 4.442, 1031153.12 7842438.46 4.462, 1031151.1 7842436.26 4.472, 1031150.01 7842433.13 4.522, 1031150.56 7842430 4.502, 1031152.37 7842427.55 4.482, 1031157.58 7842425.91 4.482)</t>
  </si>
  <si>
    <t>['FV3352 S1D1 m658-703']</t>
  </si>
  <si>
    <t>LINESTRING Z (196554.8 6553977.81 0.04, 196555.76 6553978.28 0.04, 196560.18 6553982.19 0.04, 196562.16 6553983.2 0.04, 196568.45 6553985.6 0.04, 196576.07 6553988.66 0.04, 196582.81 6553991.43 0.04, 196587.05 6553993.2 0.04, 196592.09 6553992.77 0.04, 196593.66 6553992.75 0.04, 196596.95 6553992.75 0.04, 196571.98 6553983.88 0.04, 196554.8 6553977.81 0.04)</t>
  </si>
  <si>
    <t>POLYGON Z ((196554.8 6553977.81 0.04, 196555.76 6553978.28 0.04, 196560.18 6553982.19 0.04, 196562.16 6553983.2 0.04, 196568.45 6553985.6 0.04, 196576.07 6553988.66 0.04, 196582.81 6553991.43 0.04, 196587.05 6553993.2 0.04, 196592.09 6553992.77 0.04, 196593.66 6553992.75 0.04, 196596.95 6553992.75 0.04, 196571.98 6553983.88 0.04, 196554.8 6553977.81 0.04))</t>
  </si>
  <si>
    <t>['FV3352 S1D1 m1895-1922']</t>
  </si>
  <si>
    <t>LINESTRING Z (195499.53 6554361.08 0.04, 195502.92 6554355.77 0.04, 195503.93 6554354.26 0.04, 195505.17 6554350.7 0.04, 195506.06 6554345.82 0.04, 195507.18 6554340.45 0.04, 195507.92 6554337.18 0.04, 195508.35 6554335.14 0.04, 195505.11 6554344.79 0.04, 195502.3 6554353.02 0.04, 195499.53 6554361.08 0.04)</t>
  </si>
  <si>
    <t>POLYGON Z ((195499.53 6554361.08 0.04, 195502.92 6554355.77 0.04, 195503.93 6554354.26 0.04, 195505.17 6554350.7 0.04, 195506.06 6554345.82 0.04, 195507.18 6554340.45 0.04, 195507.92 6554337.18 0.04, 195508.35 6554335.14 0.04, 195505.11 6554344.79 0.04, 195502.3 6554353.02 0.04, 195499.53 6554361.08 0.04))</t>
  </si>
  <si>
    <t>2013-09-17</t>
  </si>
  <si>
    <t>['EV136 S17D1 m11718-11778']</t>
  </si>
  <si>
    <t>LINESTRING Z (190639.306679248 6898682.08982182 -999999, 190582.911333033 6898700.85390411 -999999)</t>
  </si>
  <si>
    <t>POINT (190611.1090061405 6898691.471862965)</t>
  </si>
  <si>
    <t>['FV496 S1D1 m5401-5453']</t>
  </si>
  <si>
    <t>LINESTRING Z (92836.7199707031 6465469.18005371 13.611, 92836.4699707031 6465469.88000488 13.611, 92835.8499755859 6465471.15002441 13.631, 92833.4399414063 6465475.68994141 13.731, 92830.1999511719 6465484.31005859 13.751, 92827.6400146484 6465491.14001465 13.791, 92825.0699462891 6465497.92004395 13.841, 92824.1400146484 6465502.43994141 13.831, 92823.7800292969 6465505.20996094 13.841, 92823.5300292969 6465511.54003906 13.831, 92823.2399902344 6465518.93994141 13.801, 92823.1199951172 6465521.06994629 13.811)</t>
  </si>
  <si>
    <t>POINT (92827.68892939163 6465494.585138022)</t>
  </si>
  <si>
    <t>2013-10-21</t>
  </si>
  <si>
    <t>2025-11-22T09:17:51Z</t>
  </si>
  <si>
    <t>['FV256 S7D1 m4136-4193']</t>
  </si>
  <si>
    <t>LINESTRING Z (232909.369995117 6579214.93994141 52.639, 232910.469970703 6579217.54003906 52.509, 232911.300048828 6579219.34997559 52.479, 232913.719970703 6579223.76000977 52.289, 232918.400024414 6579232.15002441 52.029, 232919.819946289 6579234.68994141 51.879, 232920.650024414 6579236.5300293 51.879, 232921.900024414 6579239.48999023 51.759, 232923.140014648 6579242.43005371 51.629, 232925.41003418 6579247.86999512 51.439, 232926.119995117 6579249.63000488 51.379, 232926.599975586 6579251.02001953 51.309, 232927.08996582 6579252.79003906 51.279, 232927.969970703 6579255.93994141 51.049, 232928.930053711 6579259.56005859 50.979, 232930.770019531 6579266.09997559 50.859)</t>
  </si>
  <si>
    <t>POINT (232921.24150771086 6579240.049068221)</t>
  </si>
  <si>
    <t>['FV256 S7D1 m4072-4126']</t>
  </si>
  <si>
    <t>LINESTRING Z (232898.66003418 6579208.10998535 52.689, 232897.930053711 6579207.09997559 52.689, 232895.479980469 6579203.35998535 52.749, 232893.369995117 6579200.16003418 52.729, 232893.25 6579199.93005371 52.779, 232888.989990234 6579192.25 52.869, 232888.040039063 6579190.31994629 52.859, 232886.510009766 6579186.5300293 52.909, 232885.670043945 6579184.47998047 52.899, 232883.680053711 6579179.69995117 52.899, 232883.170043945 6579178.40002442 52.929, 232882.790039063 6579177.33996582 52.919, 232882.469970703 6579176.30004883 52.929, 232881.790039063 6579173.35998535 52.889, 232881.5 6579172.13000488 52.879, 232880.400024414 6579167.31994629 52.809, 232880.329956055 6579166.94995117 52.949, 232879.640014648 6579163.26000977 52.859, 232878.550048828 6579158.45996094 52.839)</t>
  </si>
  <si>
    <t>POINT (232886.64411076027 6579184.08896815)</t>
  </si>
  <si>
    <t>2014-10-13</t>
  </si>
  <si>
    <t>['FV460 S2D1 m2130-2183']</t>
  </si>
  <si>
    <t>LINESTRING Z (48592.7575683594 6465362.93481445 8.344, 48592.3959960938 6465361.25219727 8.349, 48591.4833984375 6465359.93505859 8.383, 48589.2609863281 6465357.79248047 8.498, 48588.3403320313 6465357.13916016 8.5, 48587.6567382812 6465356.40429688 8.49, 48586.01953125 6465354.30126953 8.524, 48585.294921875 6465353.5234375 8.561, 48584.0122070312 6465352.49291992 8.588, 48580.7199707031 6465349.93994141 8.588, 48576.4858398437 6465346.64794922 8.598, 48573.1022949219 6465344.04394531 8.623, 48570.1716308594 6465341.79980469 8.639, 48569.244140625 6465341.15087891 8.63, 48567.7880859375 6465340.3762207 8.629, 48563.7065429688 6465338.25097656 8.602, 48558.0029296875 6465335.26953125 8.579, 48552.8942871094 6465332.57470703 8.538, 48551.8193359375 6465331.8828125 8.527, 48549.7390136719 6465330.40820313 8.417)</t>
  </si>
  <si>
    <t>POINT (48572.720650872994 6465345.089230821)</t>
  </si>
  <si>
    <t>['FV460 S2D1 m2079-2126']</t>
  </si>
  <si>
    <t>LINESTRING Z (48503.6127929687 6465308.59619141 8.204, 48505.9475097656 6465309.9909668 8.232, 48509.8872070312 6465313.61816406 8.165, 48512.4848632813 6465315.94042969 8.061, 48513.06640625 6465316.36523438 8.045, 48513.69140625 6465316.703125 8.05, 48514.24609375 6465317.12353516 8.034, 48515.0690917969 6465317.81884766 8.038, 48516.6137695313 6465319.10083008 8.025, 48517.1586914062 6465319.5 8.006, 48519.3715820313 6465320.8762207 8.005, 48524.4956054688 6465323.97900391 8.05, 48529.0942382812 6465326.78076172 8.093, 48532.5510253906 6465328.86303711 8.142, 48533.4599609375 6465329.42895508 8.158, 48534.2880859375 6465329.85302734 8.151, 48537.5251464844 6465331.26977539 8.207, 48539.3989257813 6465332.14794922 8.278, 48541.8706054688 6465333.25170898 8.299, 48542.7768554688 6465333.73217773 8.278, 48543.53515625 6465334.22314453 8.214)</t>
  </si>
  <si>
    <t>POINT (48522.958431164734 6465322.344870891)</t>
  </si>
  <si>
    <t>['FV460 S2D1 m536-604']</t>
  </si>
  <si>
    <t>LINESTRING Z (47409.6057128906 6464342.30322266 4.402, 47407.9426269531 6464340.15515137 4.41, 47406.2904052734 6464337.37512207 4.438, 47403.9676513672 6464333.34082031 4.484, 47402.8647460938 6464331.17895508 4.495, 47401.9943847656 6464329.73901367 4.535, 47401.5560302734 6464329.24682617 4.536, 47400.4689941406 6464327.40966797 4.569, 47396.3603515625 6464323.26806641 4.544, 47389.1574707031 6464316.06555176 4.528, 47381.794921875 6464308.66503906 4.516, 47379.8675537109 6464306.72485352 4.52, 47378.7589111328 6464305.66955566 4.526, 47378.0491943359 6464305.13818359 4.523, 47370.8077392578 6464300.06176758 4.499, 47364.2172851563 6464295.4230957 4.432, 47362.1120605469 6464293.75744629 4.436)</t>
  </si>
  <si>
    <t>POINT (47387.79942689641 6464316.217329579)</t>
  </si>
  <si>
    <t>2013-12-02</t>
  </si>
  <si>
    <t>['FV460 S2D1 m448-512']</t>
  </si>
  <si>
    <t>LINESTRING Z (47294.4797363281 6464237.16796875 4.145, 47295.2414550781 6464238.01171875 4.136, 47296.0080566406 6464239.09155273 4.153, 47299.3250732422 6464244.08178711 4.199, 47302.7447509766 6464249.25317383 4.284, 47303.7136230469 6464250.58056641 4.314, 47304.1806640625 6464251.15576172 4.317, 47306.2692871094 6464253.1550293 4.305, 47314.1553955078 6464260.79467773 4.328, 47321.4693603516 6464267.84326172 4.363, 47324.6072998047 6464270.875 4.379, 47325.33984375 6464271.53808594 4.375, 47325.9897460937 6464272.02050781 4.37, 47327.2657470703 6464272.94311524 4.341, 47330.6452636719 6464275.25390625 4.312, 47336.5749511719 6464279.42407227 4.27, 47339.2561035156 6464281.27270508 4.317, 47340.7264404297 6464282.35424805 4.38)</t>
  </si>
  <si>
    <t>POINT (47316.00214055287 6464261.354699391)</t>
  </si>
  <si>
    <t>2013-11-15</t>
  </si>
  <si>
    <t>['EV6 S110D1 m1805-1869']</t>
  </si>
  <si>
    <t>LINESTRING Z (424515.880004883 7253216.28100586 138.062, 424531.851989746 7253226.65087891 138.569, 424538.666992188 7253231.56396484 138.738, 424539.137023926 7253232.14599609 138.742, 424552.973022461 7253249.30004883 138.862, 424557.249023438 7253265.02587891 138.442)</t>
  </si>
  <si>
    <t>POINT (424540.47823720024 7253237.671421533)</t>
  </si>
  <si>
    <t>['EV6 S110D1 m2386-2448']</t>
  </si>
  <si>
    <t>LINESTRING Z (424771.239990234 7253733.83398438 136.808, 424785.919006348 7253747.54003906 136.906, 424788.45098877 7253750.27001953 136.896, 424801.403015137 7253770.88500977 137.164, 424803.844970703 7253786.7109375 137.514)</t>
  </si>
  <si>
    <t>POINT (424791.2820538747 7253758.221813385)</t>
  </si>
  <si>
    <t>['EV6 S110D1 m2393-2457']</t>
  </si>
  <si>
    <t>LINESTRING Z (424767.508972168 7253744.45507813 136.886, 424769.921020508 7253758.78808594 136.884, 424770.901000977 7253761.48901367 136.863, 424784.127990723 7253782.45703125 137.129, 424801.059997559 7253798.43701172 137.589)</t>
  </si>
  <si>
    <t>POINT (424780.6111836126 7253773.504915402)</t>
  </si>
  <si>
    <t>2022-01-18</t>
  </si>
  <si>
    <t>2025-11-22T09:17:54Z</t>
  </si>
  <si>
    <t>['EV16 S22D1 m8283-8309']</t>
  </si>
  <si>
    <t>LINESTRING (103632.00094831653 6791218.601686059, 103634.13364694064 6791217.121679438, 103635.6316850108 6791214.547018026, 103635.45342182874 6791213.291489221, 103634.20297466376 6791212.885964134, 103626.33342393761 6791213.99318928, 103616.37557940325 6791211.8008320555, 103618.65043655399 6791201.557375923, 103635.21694961132 6791205.700690465, 103638.72816888575 6791207.053725363, 103640.36148565367 6791208.910366646, 103640.79258913914 6791210.4653757475, 103641.26223292184 6791221.09140372)</t>
  </si>
  <si>
    <t>POLYGON ((103632.00094831653 6791218.601686059, 103634.13364694064 6791217.121679438, 103635.6316850108 6791214.547018026, 103635.45342182874 6791213.291489221, 103634.20297466376 6791212.885964134, 103626.33342393761 6791213.99318928, 103616.37557940325 6791211.8008320555, 103618.65043655399 6791201.557375923, 103635.21694961132 6791205.700690465, 103638.72816888575 6791207.053725363, 103640.36148565367 6791208.910366646, 103640.79258913914 6791210.4653757475, 103641.26223292184 6791221.09140372, 103632.00094831653 6791218.601686059))</t>
  </si>
  <si>
    <t>2013-11-13</t>
  </si>
  <si>
    <t>['EV10 S2D1 m5660-5755']</t>
  </si>
  <si>
    <t>LINESTRING Z (421848.239990234 7538867.08996582 17.653, 421846.969970703 7538846.11999512 14.433, 421847.819946289 7538832.13000488 14.283, 421849.489990234 7538815.85998535 -0.187, 421851.58996582 7538803.34997559 14.123, 421857.349975586 7538779.51000977 14.053, 421859.920043945 7538772.95996094 13.853)</t>
  </si>
  <si>
    <t>POINT (421850.7154034429 7538819.601536578)</t>
  </si>
  <si>
    <t>['EV10 S2D1 m6162-6256']</t>
  </si>
  <si>
    <t>LINESTRING Z (421956.329956055 7539258.04003906 18.602, 421965.599975586 7539278.82006836 19.112, 421969.530029297 7539287.67993164 19.342, 421979.079956055 7539315.94995117 20.122, 421986.390014648 7539347.13989258 21.092)</t>
  </si>
  <si>
    <t>POINT (421973.25740765163 7539301.950928754)</t>
  </si>
  <si>
    <t>['EV10 S2D1 m6603-6698']</t>
  </si>
  <si>
    <t>LINESTRING Z (422213.810058594 7539715.01000977 35.903, 422194.929931641 7539704.13989258 35.313, 422183.449951172 7539696.66992188 34.923, 422164.939941406 7539681.5 34.163, 422147.870117188 7539663.20996094 33.193, 422139.469970703 7539655.11010742 32.903)</t>
  </si>
  <si>
    <t>POINT (422174.83481345663 7539687.35429108)</t>
  </si>
  <si>
    <t>2016-04-26</t>
  </si>
  <si>
    <t>['FV309 S1D1 m1600-1633']</t>
  </si>
  <si>
    <t>LINESTRING Z (239112.149902 6575910.720215 7.033, 239111.560059 6575906.779785 7.093, 239111.590088 6575906.450195 7.103, 239111.649902 6575905.709961 7.123, 239111.689941 6575904.799805 7.143, 239111.830078 6575897.819824 7.173, 239112.040039 6575889.97998 7.213, 239112.040039 6575887.930176 7.193, 239112.350098 6575885.939941 7.213, 239113.090088 6575882.189941 7.253, 239114.23999 6575878.049805 7.303, 239115.01001 6575875.47998 7.333)</t>
  </si>
  <si>
    <t>POINT (239112.39086463445 6575892.990213502)</t>
  </si>
  <si>
    <t>2017-06-19</t>
  </si>
  <si>
    <t>['FV309 S1D1 m2334-2388']</t>
  </si>
  <si>
    <t>LINESTRING Z (239284.689941 6575203.990234 1.283, 239285.949951 6575200.629883 1.223, 239287.409912 6575196.580078 1.233, 239289.300049 6575190.47998 1.173, 239291.419922 6575183.609863 1.073, 239291.850098 6575182.609863 1.083, 239295.540039 6575174.209961 1.013, 239299.23999 6575165.950195 0.983, 239302.030029 6575161.689941 0.983, 239305.939941 6575155.890137 1.033, 239306.860107 6575154.490234 1.073)</t>
  </si>
  <si>
    <t>POINT (239294.45518617448 6575178.605149152)</t>
  </si>
  <si>
    <t>['FV309 S1D1 m2610-2646']</t>
  </si>
  <si>
    <t>LINESTRING Z (239417.620117 6574921.790039 6.583, 239417.310059 6574922.72998 6.593, 239417 6574923.689941 6.583, 239415.360107 6574929.27002 6.503, 239414.27002 6574932.959961 6.433, 239413.290039 6574936.25 6.373, 239410 6574943.529785 6.223, 239407.419922 6574949.180176 6.083, 239407.129883 6574950.109863 6.053, 239407.01001 6574951.129883 6.033, 239407.02002 6574951.97998 6.013, 239407.22998 6574952.939941 5.983, 239407.669922 6574953.850098 5.963, 239408.290039 6574954.540039 5.973, 239408.98999 6574955.149902 5.963, 239409.919922 6574955.779785 5.973, 239410.800049 6574956.339844 5.973, 239411.590088 6574956.77002 5.983, 239412.459961 6574957.240234 5.983)</t>
  </si>
  <si>
    <t>POINT (239411.82971973854 6574940.535533055)</t>
  </si>
  <si>
    <t>2016-04-18</t>
  </si>
  <si>
    <t>['FV309 S2D1 m546-594']</t>
  </si>
  <si>
    <t>LINESTRING Z (239636.050049 6574407.290039 5.303, 239637.840088 6574400.02002 5.493, 239640.25 6574391.149902 5.713, 239641.070068 6574389.390137 5.793, 239646.969971 6574375.819824 6.133, 239647.570068 6574374.439941 6.133, 239648.550049 6574373.290039 6.163, 239652.100098 6574367.640137 6.233, 239655.600098 6574362.850098 6.453)</t>
  </si>
  <si>
    <t>POINT (239644.14562885676 6574384.304643818)</t>
  </si>
  <si>
    <t>['FV309 S2D1 m1395-1447']</t>
  </si>
  <si>
    <t>LINESTRING Z (239995.97998 6573605.609863 2.164, 239986.679932 6573614.910156 1.964, 239981.97998 6573619.140137 1.884, 239981.419922 6573619.75 1.904, 239972.600098 6573626.160156 1.904, 239969.330078 6573628.549805 1.904, 239968.409912 6573629.060059 1.894, 239971.01001 6573630.819824 1.984, 239966.5 6573631.930176 1.824, 239960.439941 6573633.319824 1.954, 239953.870117 6573636.779785 2.124)</t>
  </si>
  <si>
    <t>POINT (239975.49606661298 6573623.432546237)</t>
  </si>
  <si>
    <t>2014-01-06</t>
  </si>
  <si>
    <t>['FV3090 S1D1 m4743-4771']</t>
  </si>
  <si>
    <t>LINESTRING Z (239644.540039063 6569114.84999847 32.372, 239645.550048828 6569114.40000153 32.382, 239646.909912109 6569114.23999786 32.402, 239648.030029297 6569114.45999908 32.462, 239648.439941406 6569114.75 32.482, 239650.149902344 6569116.12999725 32.522, 239654 6569119.33000183 32.302, 239656.270019531 6569121.22000122 32.232, 239667.260009766 6569130.47999573 31.972, 239668.120117188 6569131.16999817 31.932)</t>
  </si>
  <si>
    <t>POINT (239656.6613258146 6569121.766599103)</t>
  </si>
  <si>
    <t>2014-01-28</t>
  </si>
  <si>
    <t>[6995]</t>
  </si>
  <si>
    <t>['FV6995 S1D1 m1949-1994']</t>
  </si>
  <si>
    <t>LINESTRING Z (324141.33996582 7114358.75 5.637, 324147.640014648 7114356.56994629 5.667, 324153.359985352 7114354.83996582 5.727, 324154.140014648 7114354.58996582 5.737, 324173.189941406 7114343.4699707 5.857, 324177.530029297 7114339.69995117 5.867, 324181.430053711 7114336.56005859 5.857, 324183.010009766 7114335.35998535 5.887, 324183.050048828 7114335.30004883 5.877)</t>
  </si>
  <si>
    <t>POINT (324163.0443124047 7114348.570303593)</t>
  </si>
  <si>
    <t>['FV585 S1D1 m429-478']</t>
  </si>
  <si>
    <t>LINESTRING Z (-31326.3300170898 6728071.83007813 59.208, -31330.2899780273 6728070.72998047 59.068, -31350.7899780273 6728065.37011719 58.208, -31355.049987793 6728062.62011719 57.918, -31356.3900146484 6728060.57006836 57.718, -31365.9600219727 6728041.16003418 56.068)</t>
  </si>
  <si>
    <t>POINT (-31349.652225099366 6728060.797058907)</t>
  </si>
  <si>
    <t>2022-11-11</t>
  </si>
  <si>
    <t>2025-11-22T09:17:56Z</t>
  </si>
  <si>
    <t>[2204]</t>
  </si>
  <si>
    <t>['FV2204 S1D1 m6356-6377']</t>
  </si>
  <si>
    <t>LINESTRING (246472.33921705882 6833148.464174794, 246478.79710682645 6833167.612718658)</t>
  </si>
  <si>
    <t>POINT (246475.56816194265 6833158.038446726)</t>
  </si>
  <si>
    <t>[5422]</t>
  </si>
  <si>
    <t>['FV5422 S1D1 m2509-2555']</t>
  </si>
  <si>
    <t>LINESTRING Z (-18322.1300048828 6742893.11035156 206.361, -18317.1999511719 6742895.44042969 206.461, -18314.1300048828 6742896.16015625 206.591, -18313.7600097656 6742896.21972656 206.591, -18306.4799804688 6742897.79003906 206.771, -18300.0500488281 6742899.24023438 207.041, -18300.0100097656 6742899.25976563 207.051, -18296.5500488281 6742899.54980469 207.141, -18293.6600341797 6742899.54003906 207.191, -18292.7700195312 6742899.5 207.171, -18291.4599609375 6742899.62988281 207.191, -18285.1700439453 6742899.84960938 207.091, -18275.2199707031 6742899.96972656 206.841)</t>
  </si>
  <si>
    <t>POINT (-18298.988726361742 6742898.226085968)</t>
  </si>
  <si>
    <t>['FV5422 S1D1 m2516-2570']</t>
  </si>
  <si>
    <t>LINESTRING Z (-18261.1400146484 6742891.33007813 206.342, -18264.5100097656 6742890.79980469 206.412, -18270.0200195313 6742890.55957031 206.541, -18274.6899414062 6742890.20019531 206.651, -18278.2600097656 6742889.95996094 206.681, -18278.6300048828 6742889.91992188 206.701, -18289 6742887.71972656 206.751, -18298.2800292969 6742885.66015625 206.641, -18298.3100585938 6742885.66015625 206.661, -18303.1400146484 6742885.28027344 206.551, -18310.9599609375 6742885.20019531 206.401, -18311.8599853516 6742885.20996094 206.391)</t>
  </si>
  <si>
    <t>POINT (-18286.49684628862 6742888.085041086)</t>
  </si>
  <si>
    <t>2016-02-17</t>
  </si>
  <si>
    <t>[6204]</t>
  </si>
  <si>
    <t>['FV6204 S1D1 m520-555']</t>
  </si>
  <si>
    <t>LINESTRING Z (156244.83996582 7036270.26000977 -999999, 156247.08996582 7036272.65002441 -999999, 156249.050048828 7036275.17004395 -999999, 156250.699951172 7036277.80004883 -999999, 156252.439941406 7036280.63000488 -999999, 156254.790039062 7036283.31005859 -999999, 156257.760009766 7036285.42004395 -999999, 156260.959960938 7036286.93005371 -999999, 156264.069946289 7036288.19995117 -999999, 156266.969970703 7036289.67004395 -999999, 156269.930053711 7036291.2199707 -999999, 156272.939941406 7036292.83996582 -999999)</t>
  </si>
  <si>
    <t>POINT (156257.60992984482 7036283.086246823)</t>
  </si>
  <si>
    <t>['FV6204 S1D1 m821-876']</t>
  </si>
  <si>
    <t>LINESTRING Z (156586.16003418 7036368.5300293 -999999, 156582.770019531 7036367.75 -999999, 156579.420043945 7036366.91003418 -999999, 156576.170043945 7036365.86999512 -999999, 156573 7036364.48999023 -999999, 156569.83996582 7036363.06994629 -999999, 156566.579956055 7036361.80004883 -999999, 156563.219970703 7036360.70996094 -999999, 156560.060058594 7036359.95996094 -999999, 156559.770019531 7036359.88000488 -999999, 156556.300048828 7036359.19995117 -999999, 156552.819946289 7036358.77001953 -999999, 156549.329956055 7036358.5 -999999, 156545.869995117 7036358.23999024 -999999, 156542.400024414 7036357.92004395 -999999, 156538.939941406 7036357.45996094 -999999, 156535.400024414 7036356.75 -999999, 156531.890014648 7036355.94995117 -999999)</t>
  </si>
  <si>
    <t>POINT (156559.28011090634 7036361.186408959)</t>
  </si>
  <si>
    <t>['FV6204 S1D1 m1455-1512']</t>
  </si>
  <si>
    <t>LINESTRING Z (156980.579956055 7036743.48999023 -999999, 156983.020019531 7036746.17004395 -999999, 156985.430053711 7036748.84997559 -999999, 156988.010009766 7036751.45996094 -999999, 156990.819946289 7036753.81005859 -999999, 156993.780029297 7036755.86999512 -999999, 156996.930053711 7036757.54003906 -999999, 157000.380004883 7036758.70996094 -999999, 157003.930053711 7036759.34997559 -999999, 157007.489990234 7036759.57995605 -999999, 157011.020019531 7036759.42004395 -999999, 157014.489990234 7036759.07995606 -999999, 157017.880004883 7036758.68005371 -999999, 157021.239990234 7036758.25 -999999, 157024.540039063 7036757.72998047 -999999, 157027.780029297 7036757.11999512 -999999, 157030.949951172 7036756.48999023 -999999, 157034.050048828 7036755.94995117 -999999)</t>
  </si>
  <si>
    <t>POINT (157005.50875599482 7036755.680421372)</t>
  </si>
  <si>
    <t>['FV6204 S1D1 m3756-3805']</t>
  </si>
  <si>
    <t>LINESTRING Z (159106.16015625 7037409.52001953 -999999, 159106.439941406 7037409.66992188 -999999, 159109.370117188 7037411.13989258 -999999, 159112.310058594 7037412.64990234 -999999, 159115.189941406 7037414.26000977 -999999, 159118.029785156 7037415.93994141 -999999, 159119.759765625 7037416.98999024 -999999, 159120.83984375 7037417.63989258 -999999, 159123.5 7037419.5 -999999, 159126.180175781 7037421.2199707 -999999, 159126.379882813 7037421.35009766 -999999, 159129.75 7037422.39990234 -999999, 159133.060058594 7037423.0300293 -999999, 159136.220214844 7037423.83007813 -999999, 159139.290039063 7037424.87988281 -999999, 159142.33984375 7037426.06005859 -999999, 159145.419921875 7037427.27001953 -999999, 159148.520019531 7037428.47998047 -999999, 159150.729980469 7037429.34008789 -999999)</t>
  </si>
  <si>
    <t>POINT (159128.04598277248 7037420.311829414)</t>
  </si>
  <si>
    <t>['FV6204 S1D1 m5053-5091']</t>
  </si>
  <si>
    <t>LINESTRING Z (160177.490234375 7038133.44995117 -999999, 160176.680175781 7038132.80004883 -999999, 160174.040039063 7038130.87011719 -999999, 160169.009765625 7038127.25 -999999, 160168.740234375 7038127.05004883 -999999, 160166.229980469 7038124.94995117 -999999, 160163.609863281 7038122.80004883 -999999, 160160.680175781 7038120.93994141 -999999, 160157.569824219 7038119.77001953 -999999, 160157.399902344 7038119.70996094 -999999, 160154.109863281 7038118.84008789 -999999, 160150.91015625 7038117.92993164 -999999, 160147.790039063 7038116.87988281 -999999, 160144.620117188 7038115.7800293 -999999, 160144.009765625 7038115.57006836 -999999)</t>
  </si>
  <si>
    <t>POINT (160161.47537237403 7038123.11137553)</t>
  </si>
  <si>
    <t>['FV6204 S1D1 m5206-5242']</t>
  </si>
  <si>
    <t>LINESTRING Z (160280.75 7038243.37988281 -999999, 160280.229980469 7038242.2800293 -999999, 160278.930175781 7038239.29003906 -999999, 160277.759765625 7038236.39990234 -999999, 160277.700195312 7038236.23999023 -999999, 160277.290039063 7038234.88989258 -999999, 160275.75 7038229.90991211 -999999, 160274.399902344 7038226.67993164 -999999, 160272.259765625 7038223.85009766 -999999, 160272.259765625 7038223.84008789 -999999, 160269.700195313 7038221.5 -999999, 160267.129882813 7038219.32006836 -999999, 160264.75 7038216.93994141 -999999, 160263.08984375 7038215.05004883 -999999, 160262.529785156 7038214.39990234 -999999, 160261.16015625 7038212.79003906 -999999)</t>
  </si>
  <si>
    <t>POINT (160272.45537027493 7038227.122674593)</t>
  </si>
  <si>
    <t>['FV6204 S1D1 m5369-5415']</t>
  </si>
  <si>
    <t>LINESTRING Z (160331.819824219 7038408.63989258 -999999, 160331.58984375 7038406.51000977 -999999, 160331.270019531 7038403.14990234 -999999, 160331 7038399.80004883 -999999, 160330.330078125 7038391.37011719 -999999, 160329.799804688 7038387.95996094 -999999, 160328.930175781 7038384.64990235 -999999, 160327.959960937 7038381.37011719 -999999, 160326.830078125 7038378.26000977 -999999, 160325.720214844 7038375.12988281 -999999, 160324.680175781 7038371.98999024 -999999, 160322.25 7038364.01000977 -999999, 160322.120117188 7038363.60009766 -999999)</t>
  </si>
  <si>
    <t>POINT (160328.18528869434 7038385.872509146)</t>
  </si>
  <si>
    <t>['FV6204 S1D1 m5608-5665']</t>
  </si>
  <si>
    <t>LINESTRING Z (160302.419921875 7038597.13989258 -999999, 160302.319824219 7038597.41992188 -999999, 160301.149902344 7038600.54003906 -999999, 160298.240234375 7038608.26000977 -999999, 160296.850097656 7038611.25 -999999, 160295.430175781 7038614.23999023 -999999, 160294.229980469 7038617.40991211 -999999, 160293.379882813 7038620.69995117 -999999, 160292.799804688 7038624.07006836 -999999, 160292.379882812 7038627.43994141 -999999, 160291.970214844 7038630.77001953 -999999, 160291.450195312 7038634.06005859 -999999, 160290.870117188 7038637.35009766 -999999, 160290.25 7038640.66992188 -999999, 160289.609863281 7038643.95996094 -999999, 160288.129882812 7038652.30004883 -999999)</t>
  </si>
  <si>
    <t>POINT (160293.93580448258 7038624.338641218)</t>
  </si>
  <si>
    <t>['FV6204 S1D1 m5917-5958']</t>
  </si>
  <si>
    <t>LINESTRING Z (160267.770019531 7038903.75 -999999, 160268.379882813 7038911.9699707 -999999, 160268.430175781 7038915.45996094 -999999, 160268.520019531 7038918.9699707 -999999, 160268.91015625 7038922.55004883 -999999, 160269.740234375 7038926.07006836 -999999, 160270.930175781 7038929.44995117 -999999, 160272.379882813 7038932.68994141 -999999, 160273.700195313 7038935.90991211 -999999, 160274.830078125 7038939.20996094 -999999, 160276.009765625 7038942.55004883 -999999, 160276.540039062 7038943.91992188 -999999)</t>
  </si>
  <si>
    <t>POINT (160270.65167355607 7038924.155314348)</t>
  </si>
  <si>
    <t>['FV6204 S1D1 m6154-6190']</t>
  </si>
  <si>
    <t>LINESTRING Z (160434.560058594 7039112.27978516 -999999, 160433.580078125 7039111.35009766 -999999, 160431.129882813 7039108.83984375 -999999, 160428.810058594 7039106.25 -999999, 160427.729980469 7039104.83007813 -999999, 160426.759765625 7039103.54980469 -999999, 160425.009765625 7039100.68017578 -999999, 160418.180175781 7039095.37988281 -999999, 160418.080078125 7039095.30004883 -999999, 160415.270019531 7039093.56005859 -999999, 160412.729980469 7039091.44995117 -999999, 160410.359863281 7039089.11010742 -999999, 160408.41015625 7039087.16992188 -999999)</t>
  </si>
  <si>
    <t>POINT (160421.87615224315 7039099.330926809)</t>
  </si>
  <si>
    <t>['FV6204 S1D1 m4771-4830']</t>
  </si>
  <si>
    <t>LINESTRING Z (159880.529785156 7038029.70996094 18.541, 159881.569824219 7038030.93994141 18.601, 159883.859863281 7038033.64990234 18.711, 159886.140136719 7038036.36010742 18.831, 159888.359863281 7038039.12988281 18.901, 159890.549804688 7038041.93994141 18.971, 159892.850097656 7038044.67993164 19.011, 159895.430175781 7038047.2199707 19.041, 159898.209960938 7038049.47998047 19.031, 159901.120117188 7038051.48999023 19.021, 159904.120117188 7038053.32006836 18.991, 159907.169921875 7038055.02001953 18.921, 159910.229980469 7038056.61010742 18.831, 159911.350097656 7038057.20996094 18.781, 159913.220214844 7038058.20996094 18.711, 159916.259765625 7038059.73999023 18.571, 159919.41015625 7038061.09008789 18.401, 159922.700195313 7038062.05004883 18.201, 159924.540039062 7038062.37011719 18.101, 159926.029785156 7038062.63989258 18.011, 159929.299804687 7038063.16992188 17.801, 159929.66015625 7038063.22998047 17.781)</t>
  </si>
  <si>
    <t>POINT (159902.865685538 7038049.930850313)</t>
  </si>
  <si>
    <t>['FV6204 S1D1 m2535-2605']</t>
  </si>
  <si>
    <t>LINESTRING Z (157947.639892578 7037139.09008789 -999999, 157949.560058594 7037139.19995117 -999999, 157952.889892578 7037139.33007813 -999999, 157956.260009766 7037139.41992188 -999999, 157959.600097656 7037139.58007812 -999999, 157962.889892578 7037139.88989258 -999999, 157966.159912109 7037140.33007813 -999999, 157969.479980469 7037140.81005859 -999999, 157972.860107422 7037141.27001953 -999999, 157976.179931641 7037141.67993164 -999999, 157979.520019531 7037142.0300293 -999999, 157983.580078125 7037141.7199707 -999999, 157986.260009766 7037141.25 -999999, 157988.929931641 7037140.68994141 -999999, 157992.139892578 7037139.91992188 -999999, 157995.370117188 7037139.12988281 -999999, 157998.580078125 7037138.33007813 -999999, 158001.840087891 7037137.55004883 -999999, 158005.120117188 7037136.91992187 -999999, 158008.520019531 7037136.5300293 -999999, 158011.959960938 7037136.32006836 -999999, 158015.429931641 7037136.15991211 -999999, 158016.959960938 7037136.08007813 -999999)</t>
  </si>
  <si>
    <t>POINT (157982.37486587107 7037139.416418149)</t>
  </si>
  <si>
    <t>['FV6204 S1D1 m1106-1162']</t>
  </si>
  <si>
    <t>LINESTRING Z (156723.989990234 7036520.2800293 -999999, 156725.119995117 7036523.66003418 -999999, 156726.270019531 7036527 -999999, 156727.510009766 7036530.19995117 -999999, 156728.91003418 7036533.20996094 -999999, 156730.420043945 7036536.07995606 -999999, 156732.050048828 7036538.84997559 -999999, 156733.739990234 7036541.61999512 -999999, 156735.650024414 7036544.39001465 -999999, 156737.010009766 7036546.17004395 -999999, 156737.66003418 7036547.04003906 -999999, 156739.810058594 7036549.67004395 -999999, 156742.130004883 7036552.22998047 -999999, 156744.689941406 7036554.66003418 -999999, 156747.640014648 7036556.68005371 -999999, 156750.829956055 7036557.77001953 -999999, 156751.08996582 7036557.85998535 -999999, 156753.119995117 7036558.51000977 -999999, 156754.310058594 7036558.88000488 -999999, 156757.349975586 7036560.29003906 -999999, 156760.459960937 7036561.79003906 -999999)</t>
  </si>
  <si>
    <t>POINT (156738.70891177483 7036544.388172092)</t>
  </si>
  <si>
    <t>['FV6204 S1D1 m1847-1899']</t>
  </si>
  <si>
    <t>LINESTRING Z (157408.870117188 7036821.66003418 -999999, 157406.600097656 7036818.88000488 -999999, 157404.040039063 7036815.75 -999999, 157401.659912109 7036812.85998535 -999999, 157399.360107422 7036810.42004395 -999999, 157397.760009766 7036808.72998047 -999999, 157395.639892578 7036806.82995606 -999999, 157390.489990234 7036803.43005371 -999999, 157387.629882813 7036802.16003418 -999999, 157381.729980469 7036800.4699707 -999999, 157378.889892578 7036799.90002441 -999999, 157376.110107422 7036799.32995606 -999999, 157373.320068359 7036798.72998047 -999999, 157367.790039063 7036797.55004883 -999999, 157365.040039063 7036796.91003418 -999999)</t>
  </si>
  <si>
    <t>POINT (157388.99948195537 7036805.850226416)</t>
  </si>
  <si>
    <t>['FV6204 S1D1 m1927-1981']</t>
  </si>
  <si>
    <t>LINESTRING Z (157466.040039063 7036879.20996094 -999999, 157464.159912109 7036877.93005371 -999999, 157460.409912109 7036875.27001953 -999999, 157456.810058594 7036872.43994141 -999999, 157453.219970703 7036869.31994629 -999999, 157449.610107422 7036866.31994629 -999999, 157445.989990234 7036863.5 -999999, 157440.810058594 7036859.61999512 -999999, 157437.320068359 7036857.15002441 -999999, 157434.030029297 7036854.68994141 -999999, 157430.939941406 7036852 -999999, 157428.169921875 7036848.88000488 -999999, 157425.739990234 7036845.69995117 -999999, 157425.149902344 7036844.84997559 -999999)</t>
  </si>
  <si>
    <t>POINT (157444.92354266127 7036862.724244349)</t>
  </si>
  <si>
    <t>['FV6204 S1D1 m2354-2407']</t>
  </si>
  <si>
    <t>LINESTRING Z (157779.770019531 7037077.65991211 -999999, 157780.739990234 7037078.34008789 -999999, 157783.570068359 7037080.25 -999999, 157786.409912109 7037082.15991211 -999999, 157789.110107422 7037084.2199707 -999999, 157791.719970703 7037086.36010742 -999999, 157794.280029297 7037088.61010742 -999999, 157796.830078125 7037090.86010742 -999999, 157799.479980469 7037093.06005859 -999999, 157802.320068359 7037095.0300293 -999999, 157804.669921875 7037096.32006836 -999999, 157807.239990234 7037097.31005859 -999999, 157810.020019531 7037098.2800293 -999999, 157813.169921875 7037099.27001953 -999999, 157816.270019531 7037100.38989258 -999999, 157819.310058594 7037101.68994141 -999999, 157822.310058594 7037103.12011719 -999999, 157825.260009766 7037104.57006836 -999999)</t>
  </si>
  <si>
    <t>POINT (157801.72896067574 7037092.489239802)</t>
  </si>
  <si>
    <t>['FV6204 S1D1 m2697-2764']</t>
  </si>
  <si>
    <t>LINESTRING Z (158109.129882813 7037134.33007813 -999999, 158110.139892578 7037134.37988281 -999999, 158113.709960938 7037134.57006836 -999999, 158117.270019531 7037134.80004883 -999999, 158120.770019531 7037135.19995117 -999999, 158124.219970703 7037135.83007813 -999999, 158127.860107422 7037136.64990234 -999999, 158131.929931641 7037137.43994141 -999999, 158136.219970703 7037138.10009766 -999999, 158140.600097656 7037138.60009766 -999999, 158144.649902344 7037138.88989258 -999999, 158148.219970703 7037139.01000977 -999999, 158152.070068359 7037138.93994141 -999999, 158155.810058594 7037138.73999023 -999999, 158159.320068359 7037138.56005859 -999999, 158163.159912109 7037138.62011719 -999999, 158167.330078125 7037139.05004883 -999999, 158171.639892578 7037139.55004883 -999999, 158175.489990234 7037139.97998047 -999999)</t>
  </si>
  <si>
    <t>POINT (158142.26788038926 7037137.647732308)</t>
  </si>
  <si>
    <t>['FV6204 S1D1 m3109-3174']</t>
  </si>
  <si>
    <t>LINESTRING Z (158517.409912109 7037183.69995117 -999999, 158520.429931641 7037184.12988281 -999999, 158523.760009766 7037184.60009766 -999999, 158527.100097656 7037185.06005859 -999999, 158530.459960938 7037185.5300293 -999999, 158533.820068359 7037186 -999999, 158537.149902344 7037186.57006836 -999999, 158540.409912109 7037187.31005859 -999999, 158543.620117188 7037188.19995117 -999999, 158546.790039063 7037189.26000977 -999999, 158550.010009766 7037190.23999023 -999999, 158553.310058594 7037190.9699707 -999999, 158556.639892578 7037191.44995117 -999999, 158560.060058594 7037191.40991211 -999999, 158563.399902344 7037190.84008789 -999999, 158566.620117188 7037190.09008789 -999999, 158569.800048828 7037189.5300293 -999999, 158572.969970703 7037189.15991211 -999999, 158576.120117188 7037188.98999024 -999999, 158579.300048828 7037188.91992188 -999999, 158582.530029297 7037188.85009766 -999999)</t>
  </si>
  <si>
    <t>POINT (158549.9114006476 7037188.23484914)</t>
  </si>
  <si>
    <t>['FV6204 S1D1 m3652-3711']</t>
  </si>
  <si>
    <t>LINESTRING Z (159068.189941406 7037384.12988281 -999999, 159065.469970703 7037382.5 -999999, 159062.649902344 7037380.68994141 -999999, 159059.870117188 7037378.79003906 -999999, 159057.219970703 7037376.7800293 -999999, 159054.709960938 7037374.62011719 -999999, 159052.270019531 7037372.43994141 -999999, 159049.75 7037370.29003906 -999999, 159047.050048828 7037368.33007812 -999999, 159044.219970703 7037366.62011719 -999999, 159041.350097656 7037364.98999024 -999999, 159038.360107422 7037363.54003906 -999999, 159032.189941406 7037361.12011719 -999999, 159029.179931641 7037359.7800293 -999999, 159026.25 7037358.26000977 -999999, 159023.399902344 7037356.62988281 -999999, 159020.550048828 7037354.91992188 -999999, 159018.510009766 7037353.67993164 -999999)</t>
  </si>
  <si>
    <t>POINT (159043.86817382433 7037368.065282089)</t>
  </si>
  <si>
    <t>['FV6204 S1D1 m4013-4073']</t>
  </si>
  <si>
    <t>LINESTRING Z (159394.879882813 7037539.10009766 -999999, 159392.850097656 7037537.85009766 -999999, 159389.959960938 7037536 -999999, 159387.100097656 7037534.11010742 -999999, 159384.319824219 7037532.12988281 -999999, 159382.470214844 7037530.42993164 -999999, 159379.330078125 7037527.58007813 -999999, 159376.879882813 7037525.27001953 -999999, 159373.91015625 7037523.60009766 -999999, 159369.950195313 7037521.88989258 -999999, 159367.970214844 7037521.33007813 -999999, 159367.33984375 7037521.14990234 -999999, 159364.100097656 7037520.58007812 -999999, 159361.009765625 7037519.72998047 -999999, 159357.890136719 7037518.67993164 -999999, 159354.819824219 7037517.5 -999999, 159351.790039063 7037516.17993164 -999999, 159348.799804688 7037514.75 -999999, 159345.810058594 7037513.2800293 -999999, 159342.83984375 7037511.73999023 -999999, 159341.75 7037511.18994141 -999999)</t>
  </si>
  <si>
    <t>POINT (159369.08409340374 7037523.8039983325)</t>
  </si>
  <si>
    <t>['FV6204 S1D1 m4095-4157']</t>
  </si>
  <si>
    <t>LINESTRING Z (159411.740234375 7037554.18994141 -999999, 159412.520019531 7037554.73999023 -999999, 159415.220214844 7037556.58007812 -999999, 159417.91015625 7037558.44995117 -999999, 159420.509765625 7037560.40991211 -999999, 159423 7037562.51000977 -999999, 159425.41015625 7037564.72998047 -999999, 159427.779785156 7037567.0300293 -999999, 159430.209960938 7037569.32006836 -999999, 159432.810058594 7037571.41992187 -999999, 159435.459960938 7037573.40991211 -999999, 159438.270019531 7037575.23999023 -999999, 159441.189941406 7037576.85009766 -999999, 159444.220214844 7037578.30004883 -999999, 159447.310058594 7037579.60009766 -999999, 159450.330078125 7037580.90991211 -999999, 159453.229980469 7037582.38989258 -999999, 159455.950195313 7037584.04003906 -999999, 159458.600097656 7037585.85009766 -999999, 159461.259765625 7037587.72998047 -999999, 159463.029785156 7037588.9699707 -999999)</t>
  </si>
  <si>
    <t>POINT (159436.83292699576 7037572.405513774)</t>
  </si>
  <si>
    <t>['FV6204 S1D1 m4459-4508']</t>
  </si>
  <si>
    <t>LINESTRING Z (159696.580078125 7037779.79003906 -999999, 159696.879882813 7037780.10009766 -999999, 159699.290039063 7037782.64990234 -999999, 159701.41015625 7037785.42993164 -999999, 159703.16015625 7037788.39990234 -999999, 159704.770019531 7037791.5300293 -999999, 159706.540039063 7037794.64990234 -999999, 159708.5 7037797.65991211 -999999, 159710.629882813 7037800.57006836 -999999, 159712.970214844 7037803.31005859 -999999, 159715.470214844 7037805.89990234 -999999, 159717.950195313 7037808.45996094 -999999, 159720.290039063 7037811.02001953 -999999, 159722.359863281 7037813.70996094 -999999, 159724.220214844 7037816.60009766 -999999, 159725 7037817.92993164 -999999)</t>
  </si>
  <si>
    <t>POINT (159710.6004704048 7037798.987327736)</t>
  </si>
  <si>
    <t>['FV6204 S1D1 m5096-5145']</t>
  </si>
  <si>
    <t>LINESTRING Z (160179.220214844 7038139.10009766 -999999, 160179.91015625 7038139.65991211 -999999, 160182.549804688 7038141.87988281 -999999, 160185.069824219 7038144.17993164 -999999, 160187.390136719 7038146.63989258 -999999, 160189.390136719 7038149.35009766 -999999, 160191.350097656 7038152.14990234 -999999, 160193.569824219 7038154.82006836 -999999, 160196.029785156 7038157.26000977 -999999, 160208.450195313 7038166.08007813 -999999, 160211.120117187 7038168.08007813 -999999, 160215.140136719 7038171.7800293 -999999)</t>
  </si>
  <si>
    <t>POINT (160196.6778208258 7038155.971054175)</t>
  </si>
  <si>
    <t>['FV6204 S1D1 m5496-5555']</t>
  </si>
  <si>
    <t>LINESTRING Z (160324.200195313 7038548.36010742 -999999, 160324.649902344 7038547.17993164 -999999, 160325.83984375 7038543.92993164 -999999, 160326.899902344 7038540.70996094 -999999, 160329.08984375 7038534.14990235 -999999, 160330.16015625 7038530.86010742 -999999, 160331.049804687 7038527.47998047 -999999, 160331.759765625 7038524.14990234 -999999, 160332.299804688 7038520.82006836 -999999, 160332.720214844 7038517.51000977 -999999, 160333.029785156 7038514.23999023 -999999, 160333.140136719 7038506.06005859 -999999, 160333.100097656 7038502.80004883 -999999, 160333.149902344 7038499.52001953 -999999, 160333.240234375 7038496.2199707 -999999, 160333.33984375 7038492.89990234 -999999, 160333.41015625 7038490.02001953 -999999)</t>
  </si>
  <si>
    <t>POINT (160330.96383460978 7038519.563272815)</t>
  </si>
  <si>
    <t>['FV6204 S1D1 m5701-5766']</t>
  </si>
  <si>
    <t>LINESTRING Z (160284.16015625 7038688.22998047 -999999, 160283.060058594 7038695.59008789 -999999, 160282.399902344 7038698.83007813 -999999, 160281.669921875 7038702.07006836 -999999, 160281 7038705.33007813 -999999, 160280.279785156 7038708.60009766 -999999, 160279.529785156 7038711.86010742 -999999, 160278.91015625 7038715.15991211 -999999, 160278.430175781 7038718.52001953 -999999, 160278.08984375 7038721.87988281 -999999, 160277.870117188 7038725.23999023 -999999, 160277.859863281 7038728.63989258 -999999, 160278.060058594 7038732.02001953 -999999, 160278.029785156 7038741.89990234 -999999, 160277.729980469 7038745.19995117 -999999, 160277.319824219 7038748.51000977 -999999, 160276.870117188 7038751.84008789 -999999)</t>
  </si>
  <si>
    <t>POINT (160279.542228875 7038719.928169889)</t>
  </si>
  <si>
    <t>['FV6204 S1D1 m6341-6391']</t>
  </si>
  <si>
    <t>LINESTRING Z (160595.129882813 7039230.54980469 -999999, 160592.569824219 7039228.64013672 -999999, 160588.330078125 7039223.97021484 -999999, 160587.189941406 7039222.70996094 -999999, 160586.100097656 7039219.66992188 -999999, 160584.879882813 7039216.68017578 -999999, 160582.859863281 7039213.72021484 -999999, 160580.129882813 7039211.39990234 -999999, 160576.950195313 7039209.97998047 -999999, 160573.549804688 7039209.33007813 -999999, 160570.120117188 7039209.16015625 -999999, 160566.799804688 7039208.91992188 -999999, 160564.350097656 7039208.31005859 -999999, 160563.700195313 7039208.16015625 -999999, 160560.870117188 7039206.83984375 -999999, 160559.069824219 7039205.68017578 -999999, 160558.200195313 7039205.12011719 -999999, 160555.520019531 7039203.29003906 -999999, 160555.060058594 7039202.97021484 -999999)</t>
  </si>
  <si>
    <t>POINT (160576.86346370663 7039214.359726899)</t>
  </si>
  <si>
    <t>LINESTRING Z (160555.009765625 7039206.72021484 -999999, 160555.700195313 7039207.20019531 -999999, 160558.25 7039209.29980469 -999999, 160559.810058594 7039210.64990234 -999999, 160560.330078125 7039211.52978516 -999999, 160560.740234375 7039212.64990234 -999999, 160561.330078125 7039214.68017578 -999999, 160561.950195313 7039217.45019531 -999999, 160564.850097656 7039224.72998047 -999999, 160566.189941406 7039226.74023438 -999999, 160570.649902344 7039229.52001953 -999999, 160573.180175781 7039229.54003906 -999999, 160576.359863281 7039229.58984375 -999999, 160577.529785156 7039229.39990234 -999999, 160579.060058594 7039229.14013672 -999999, 160582.290039063 7039228.31005859 -999999, 160585.200195313 7039227.99023437 -999999, 160587.720214844 7039229.20019531 -999999, 160590.129882812 7039231.00976563 -999999, 160592.759765625 7039232.87011719 -999999)</t>
  </si>
  <si>
    <t>POINT (160571.44714622622 7039223.37561148)</t>
  </si>
  <si>
    <t>2014-05-09</t>
  </si>
  <si>
    <t>['FV415 S1D1 m5785-5831']</t>
  </si>
  <si>
    <t>LINESTRING Z (143156.959960938 6518400.4699707 82.132, 143157.810058594 6518397.87011719 82.052, 143159.479980469 6518392.85009766 81.932, 143160.760009766 6518389.23999023 81.942, 143160.989990234 6518388.22998047 82.062, 143161.189941406 6518387.27001953 82.122, 143161.270019531 6518386.52001953 82.092, 143161.420043945 6518384.54003906 82.022, 143161.430053711 6518382.55004883 81.982, 143161.420043945 6518381.45996094 81.992, 143161.41003418 6518379.5 81.942, 143161.180053711 6518374.51000977 81.802, 143161.119995117 6518373.48999023 81.772, 143161 6518371.48999024 81.702, 143160.780029297 6518368.4699707 81.612, 143160.540039063 6518366.48999024 81.552, 143160.310058594 6518365.52001953 81.422, 143160.08996582 6518364.52001953 81.332, 143156.709960938 6518356.35009766 80.902, 143155.979980469 6518354.2800293 80.792)</t>
  </si>
  <si>
    <t>POINT (143159.81390052367 6518377.300859613)</t>
  </si>
  <si>
    <t>['FV415 S1D1 m5243-5306']</t>
  </si>
  <si>
    <t>LINESTRING Z (143244.189941406 6517838.44995117 78.071, 143244.229980469 6517839.55004883 78.061, 143243.630004883 6517845.62011719 78.131, 143242.58996582 6517853.59008789 78.171, 143242.25 6517856.42993164 78.171, 143242.020019531 6517858.29003906 78.171, 143240.579956055 6517868.36010742 78.381, 143240.33996582 6517870.34008789 78.511, 143240.130004883 6517871.34008789 78.501, 143238.760009766 6517877.67993164 78.641, 143237.390014648 6517884.0300293 78.701, 143236.579956055 6517888.01000977 78.741, 143235.900024414 6517889.85009766 78.621, 143235 6517893.42993164 78.601, 143233.199951172 6517897.41992187 78.701, 143231.540039063 6517900.20996094 78.741)</t>
  </si>
  <si>
    <t>POINT (143239.61861781028 6517869.78753718)</t>
  </si>
  <si>
    <t>['FV415 S1D1 m4339-4411']</t>
  </si>
  <si>
    <t>LINESTRING Z (143393.800048828 6517037.31994629 73.13, 143396.949951172 6517027.47998047 73.26, 143399.969970703 6517020.06005859 73.47, 143400.569946289 6517018.20996094 73.55, 143400.709960938 6517017.64001465 73.55, 143401.08996582 6517016.10998535 73.62, 143401.680053711 6517012.73999023 73.67, 143402.380004883 6517008.75 73.76, 143403.469970703 6517002.93005371 73.86, 143404.069946289 6516999.76000977 73.97, 143404.260009766 6516998.77001953 73.98, 143404.390014648 6516997.7800293 74.01, 143404.449951172 6516996.77001953 74.04, 143404.609985352 6516994.75 74.07, 143404.979980469 6516990.10998535 74.2, 143405.91003418 6516979.25 74.47, 143406.260009766 6516975.91003418 74.51, 143406.609985352 6516971.77001953 74.59, 143407.180053711 6516967.09997559 74.67)</t>
  </si>
  <si>
    <t>POINT (143402.33821432624 6517002.608199128)</t>
  </si>
  <si>
    <t>['FV415 S1D1 m4262-4298']</t>
  </si>
  <si>
    <t>LINESTRING Z (143416.569946 6516889.27002 76.049, 143412.930054 6516895.949951 75.999, 143410.869995 6516900.780029 76.029, 143410.130005 6516902.650024 76.089, 143406.459961 6516918.180054 75.999, 143405.540039 6516922.119995 75.979, 143405.420044 6516922.609985 75.939, 143405.099976 6516924.050049 75.829)</t>
  </si>
  <si>
    <t>POINT (143409.84946943686 6516906.297249747)</t>
  </si>
  <si>
    <t>['FV415 S1D1 m5221-5278']</t>
  </si>
  <si>
    <t>LINESTRING Z (143242.369995117 6517810.57006836 77.941, 143239.719970703 6517817.34008789 77.911, 143237.849975586 6517820.2199707 77.841, 143236.369995117 6517824.68994141 77.991, 143236 6517825.59008789 78.061, 143235.609985352 6517826.5 78.081, 143235.41003418 6517827.39990234 78.101, 143234.849975586 6517830.2199707 78.131, 143234 6517834.39990234 78.191, 143232.869995117 6517840.10009766 78.231, 143232.060058594 6517844.04003906 78.281, 143231.640014648 6517846.14990234 78.281, 143231.540039063 6517847.10009766 78.271, 143231.439941406 6517848.14990234 78.191, 143230.66003418 6517856.2800293 78.181, 143229.680053711 6517867.36010742 78.221, 143229.520019531 6517870.06005859 78.261, 143229.109985352 6517875.20996094 78.361)</t>
  </si>
  <si>
    <t>POINT (143233.561936144 6517842.346956516)</t>
  </si>
  <si>
    <t>['FV415 S1D1 m5692-5742']</t>
  </si>
  <si>
    <t>LINESTRING Z (143132.849975586 6518263.40991211 79.372, 143132.109985352 6518267.88989258 79.432, 143131.359985352 6518272.40991211 79.502, 143131.359985352 6518274.38989258 79.462, 143132.08996582 6518278.59008789 79.472, 143133.569946289 6518286.95996094 79.542, 143134.5 6518292.52001953 79.522, 143134.819946289 6518294.08007813 79.542, 143135.329956055 6518296.29003906 79.612, 143138.869995117 6518307.61010742 79.662, 143140.819946289 6518313.75 79.692, 143143.329956055 6518323.7800293 79.852)</t>
  </si>
  <si>
    <t>POINT (143135.92639253312 6518293.782420897)</t>
  </si>
  <si>
    <t>['FV57 S3D1 m299-366']</t>
  </si>
  <si>
    <t>LINESTRING Z (-32332.4899902344 6767571.72998047 44.883, -32332.6500244141 6767569.77001953 44.923, -32332.8499755859 6767568.36999512 44.953, -32333.2600097656 6767565.68994141 44.983, -32334.4000244141 6767559.7800293 45.003, -32336.1500244141 6767550.79003906 45.183, -32336.299987793 6767549.97998047 45.193, -32336.4000244141 6767549.13000488 45.213, -32336.4600219727 6767548.52001953 45.203, -32336.6799926758 6767544.9699707 45.293, -32337.049987793 6767538.60998535 45.363, -32338.200012207 6767518.59997559 45.723, -32338.4099731445 6767516.81005859 46.453, -32337.5999755859 6767513.86999512 45.803, -32337.2100219727 6767510.23999023 45.903, -32337.2299804688 6767509.7800293 45.903, -32337.3200073242 6767509.5300293 45.923, -32336.5 6767504.04003906 46.043)</t>
  </si>
  <si>
    <t>POINT (-32336.339317295726 6767537.909485716)</t>
  </si>
  <si>
    <t>['FV57 S3D1 m107-188']</t>
  </si>
  <si>
    <t>LINESTRING Z (-32364.0700073242 6767315.32995605 49.122, -32362.0300292969 6767320.43994141 49.032, -32360.0300292969 6767324.86999512 48.962, -32357.5300292969 6767329.85998535 48.942, -32354.9699707031 6767334.97998047 48.842, -32352.7800292969 6767339.51000977 48.822, -32351.25 6767342.92004395 48.782, -32351.0999755859 6767343.30004883 48.772, -32350.8800048828 6767343.82995606 48.752, -32350.6400146484 6767344.68994141 48.762, -32349.2100219727 6767349.23999024 48.692, -32348.3900146484 6767351.81994629 48.712, -32342.9699707031 6767372.39001465 48.392, -32342.0700073242 6767381.41003418 48.182, -32341.1799926758 6767389.93005371 48.042, -32340.7399902344 6767393.81994629 48.012)</t>
  </si>
  <si>
    <t>POINT (-32349.618823119905 6767353.783795607)</t>
  </si>
  <si>
    <t>[6549]</t>
  </si>
  <si>
    <t>['KV6549 S1D1 m138-224']</t>
  </si>
  <si>
    <t>LINESTRING Z (268743.734032227 7034081.76375 -999999, 268762.85811556 7034079.14966667 -999999, 268811.97536556 7034064.42825 -999999, 268826.146448893 7034057.82425 -999999)</t>
  </si>
  <si>
    <t>['FV405 S1D1 m232-285']</t>
  </si>
  <si>
    <t>LINESTRING Z (84839.23999 6474982.790039 12.692, 84855.640015 6474995.490234 13.392, 84858.949951 6474998.649902 13.592, 84861.79126 6475001.169922 13.682, 84867.411865 6475006.54248 13.932, 84869.865845 6475009.451172 14.042, 84875.244019 6475016.606445 14.252, 84876.952881 6475019.070801 14.342)</t>
  </si>
  <si>
    <t>POINT (84859.19872459999 6474999.838984564)</t>
  </si>
  <si>
    <t>2014-03-25</t>
  </si>
  <si>
    <t>['FV43 S4D1 m5329-5396']</t>
  </si>
  <si>
    <t>LINESTRING Z (31906.1099853516 6471312.19995117 2.422, 31901.5899658203 6471307.52001953 2.382, 31898.2199707031 6471304.05004883 2.332, 31893.1400146484 6471298.80004883 2.252, 31889.0300292969 6471295.5300293 2.262, 31883.2700195313 6471290.92004395 2.222, 31876.75 6471285.75 2.142, 31869.9499511719 6471280.33996582 2.152, 31867.25 6471278.18005371 2.152, 31864.6899414063 6471276.67004395 2.132, 31860.5100097656 6471274.23999023 2.152, 31856.6800537109 6471271.97998047 2.202, 31853.5600585938 6471270.14001465 2.232)</t>
  </si>
  <si>
    <t>POINT (31880.907138374627 6471289.81692066)</t>
  </si>
  <si>
    <t>2014-03-14</t>
  </si>
  <si>
    <t>[6130]</t>
  </si>
  <si>
    <t>['KV6130 S4D1 m32-78']</t>
  </si>
  <si>
    <t>LINESTRING Z (273845.036875 7041939.700625 -999999, 273859.006875 7041935.255625 -999999, 273878.691875 7041927.318125 -999999, 273888.534375 7041921.603125 -999999)</t>
  </si>
  <si>
    <t>['KV6130 S2D1 m27-82']</t>
  </si>
  <si>
    <t>LINESTRING Z (273939.016875 7041893.186875 -999999, 273951.716875 7041886.519375 -999999, 273975.370625 7041876.994375 -999999, 273990.451875 7041873.819375 -999999)</t>
  </si>
  <si>
    <t>[5198]</t>
  </si>
  <si>
    <t>['FV5198 S1D1 m5012 SD1 m7-43']</t>
  </si>
  <si>
    <t>LINESTRING Z (-30312.0124530248 6726744.04000483 -999999, -30287.2277025013 6726771.15743776 -999999)</t>
  </si>
  <si>
    <t>POINT (-30299.62007776305 6726757.598721296)</t>
  </si>
  <si>
    <t>2021-08-23</t>
  </si>
  <si>
    <t>2025-11-22T09:18:02Z</t>
  </si>
  <si>
    <t>[5014]</t>
  </si>
  <si>
    <t>['FV5014 S1D1 m311 SD1 m0-9']</t>
  </si>
  <si>
    <t>LINESTRING Z (-9271.252734375 6649202.31686198 -999999, -9277.77912326389 6649192.79186198 -999999, -9295.41801215278 6649182.73769532 -999999, -9310.76384548612 6649172.85991754 -999999, -9322.75828993056 6649166.86269532 -999999, -9338.10412326389 6649164.39325087 -999999)</t>
  </si>
  <si>
    <t>POINT (-9302.376109411287 6649179.504346095)</t>
  </si>
  <si>
    <t>[3260]</t>
  </si>
  <si>
    <t>['FV3260 S2D1 m1769-1828']</t>
  </si>
  <si>
    <t>LINESTRING Z (196673.89 6563827.79 0.039, 196673.15 6563829.73 4.699, 196672.89 6563831.64 4.669, 196672.36 6563835.5 4.739, 196671.79 6563839.75 4.759, 196671.51 6563841.91 4.729, 196671.27 6563841.97 4.759, 196671.14 6563842.1 4.769, 196671.07 6563842.24 4.769, 196671.04 6563842.52 4.779, 196671.09 6563842.67 4.769, 196671.19 6563842.83 4.779, 196671.36 6563842.94 4.759, 196671 6563845.92 4.829, 196670.56 6563848.91 4.899, 196670.47 6563849.89 4.909, 196670.44 6563850.87 4.939, 196670.39 6563852.92 4.959, 196670.34 6563855.96 5.019, 196670.34 6563858.93 5.109, 196670.29 6563862.97 5.209, 196670.31 6563865.88 5.279, 196670.3 6563868.42 5.419, 196670.33 6563869.3 5.399, 196670.37 6563870.26 5.429, 196670.75 6563872.93 5.499, 196671.54 6563878.31 5.729, 196672.27 6563883.35 5.879, 196672.47 6563884.59 196672.509, 196673.12 6563886.61 5.799, 196673.89 6563827.79 0.039)</t>
  </si>
  <si>
    <t>POLYGON Z ((196673.89 6563827.79 0.039, 196673.15 6563829.73 4.699, 196672.89 6563831.64 4.669, 196672.36 6563835.5 4.739, 196671.79 6563839.75 4.759, 196671.51 6563841.91 4.729, 196671.27 6563841.97 4.759, 196671.14 6563842.1 4.769, 196671.07 6563842.24 4.769, 196671.04 6563842.52 4.779, 196671.09 6563842.67 4.769, 196671.19 6563842.83 4.779, 196671.36 6563842.94 4.759, 196671 6563845.92 4.829, 196670.56 6563848.91 4.899, 196670.47 6563849.89 4.909, 196670.44 6563850.87 4.939, 196670.39 6563852.92 4.959, 196670.34 6563855.96 5.019, 196670.34 6563858.93 5.109, 196670.29 6563862.97 5.209, 196670.31 6563865.88 5.279, 196670.3 6563868.42 5.419, 196670.33 6563869.3 5.399, 196670.37 6563870.26 5.429, 196670.75 6563872.93 5.499, 196671.54 6563878.31 5.729, 196672.27 6563883.35 5.879, 196672.47 6563884.59 196672.509, 196673.12 6563886.61 5.799, 196673.89 6563827.79 0.039))</t>
  </si>
  <si>
    <t>['FV32 S8D200 m1625-1719']</t>
  </si>
  <si>
    <t>LINESTRING Z (195980.360107422 6566696.57000732 9.08, 195975.239990234 6566701.13000488 9.05, 195970.770019531 6566705.10998535 9.01, 195965.800048828 6566709.54000855 8.97, 195961.879882813 6566713.02999878 8.91, 195960.959960938 6566713.79000854 8.9, 195960.010009766 6566714.52999878 8.91, 195959.590087891 6566714.82998657 8.93, 195957.939941406 6566715.76000977 8.92, 195945 6566723.5 8.97, 195952.959960937 6566716.67001343 8.81, 195983.629882813 6566689.6000061 9.04, 196011.570068359 6566663.95001221 9.14, 196013.919921875 6566661.76998901 9.23, 196013.530029297 6566662.54000855 9.22, 196012.520019531 6566664.16000366 9.22, 196009.610107422 6566669.29000855 9.24, 196008.580078125 6566670.54998779 9.26, 195998.879882812 6566679.54000855 9.25, 195983.639892578 6566693.61999512 9.09, 195980.360107422 6566696.57000732 9.08)</t>
  </si>
  <si>
    <t>2025-11-22T09:18:06Z</t>
  </si>
  <si>
    <t>[2536]</t>
  </si>
  <si>
    <t>['FV2536 S3D1 m4673-4742']</t>
  </si>
  <si>
    <t>LINESTRING Z (256158.89 6781538.93 239.385, 256162.27 6781538.9 239.515, 256164.81 6781539.16 239.675, 256166.15 6781539.41 239.725, 256167.98 6781539.7 239.785, 256169.83 6781540.08 239.855, 256171.9 6781540.38 239.925, 256173.64 6781540.7 239.975, 256175.69 6781541.02 240.015, 256177.49 6781541.21 240.065, 256179.12 6781541.3 240.125, 256179.85 6781541.31 240.155, 256181.12 6781541 240.205, 256183.9 6781540.18 240.315, 256185.81 6781539.58 240.405, 256187.99 6781538.79 240.505, 256190.68 6781537.9 240.635, 256193.66 6781536.8 240.805, 256196.71 6781535.65 240.945, 256199 6781534.63 241.045, 256201.43 6781533.38 241.175, 256203.89 6781531.83 241.315, 256205.67 6781530.45 241.445, 256207.6 6781528.77 241.595, 256209.41 6781527.21 241.715, 256213.25 6781523.6 242.025, 256216.28 6781520.38 242.275, 256219.17 6781516.85 242.536, 256220.98 6781514.86 242.686, 256223.44 6781512.73 242.836)</t>
  </si>
  <si>
    <t>POINT (256193.66165651823 6781532.564241038)</t>
  </si>
  <si>
    <t>['FV2536 S3D1 m4698-4763']</t>
  </si>
  <si>
    <t>LINESTRING Z (256137.38 6781531.75 238.785, 256139.4 6781531.03 238.845, 256142.91 6781530.03 238.825, 256146.74 6781528.92 238.895, 256150.76 6781527.93 238.995, 256154.25 6781527.06 239.055, 256158.37 6781525.97 239.145, 256162.32 6781525 239.285, 256167.48 6781523.75 239.505, 256171.43 6781522.83 239.665, 256175.45 6781521.91 239.835, 256179.82 6781520.82 240.065, 256183.52 6781520 240.235, 256185.81 6781519.7 240.375, 256186.83 6781519.7 240.425, 256190.99 6781519.65 240.625, 256193.98 6781519.68 240.775, 256197.61 6781519.9 241.025, 256198.15 6781519.89 241.055, 256198.76 6781519.73 241.085)</t>
  </si>
  <si>
    <t>POINT (256167.8507963462 6781524.17453932)</t>
  </si>
  <si>
    <t>2014-08-13</t>
  </si>
  <si>
    <t>[5332]</t>
  </si>
  <si>
    <t>['FV5332 S1D1 m960-981']</t>
  </si>
  <si>
    <t>LINESTRING Z (-31647.1199951172 6733707.09997559 2.366, -31644.0799865723 6733710.02001953 2.406, -31643.9899902344 6733716.77001953 2.356, -31643.8699951172 6733725.06994629 2.336, -31646.9599914551 6733727.9699707 2.256)</t>
  </si>
  <si>
    <t>POINT (-31644.527381833333 6733717.551785156)</t>
  </si>
  <si>
    <t>['FV5332 S1D1 m905-923']</t>
  </si>
  <si>
    <t>LINESTRING Z (-31647.3999938965 6733670.41003418 2.586, -31644.4299926758 6733667.43994141 2.586, -31644.5299987793 6733652.11999512 2.586)</t>
  </si>
  <si>
    <t>POLYGON Z ((-31647.3999938965 6733670.41003418 2.586, -31644.4299926758 6733667.43994141 2.586, -31644.5299987793 6733652.11999512 2.586, -31647.3999938965 6733670.41003418 2.586))</t>
  </si>
  <si>
    <t>['FV5332 S1D1 m852-873']</t>
  </si>
  <si>
    <t>LINESTRING Z (-31647.75 6733620.80004883 2.676, -31644.8200073242 6733617.69995117 2.756, -31644.8599853516 6733610.4699707 2.766, -31644.9400024414 6733602.76000977 2.826, -31647.8999938965 6733599.68994141 2.786)</t>
  </si>
  <si>
    <t>POINT (-31645.409410133652 6733610.233049982)</t>
  </si>
  <si>
    <t>[587]</t>
  </si>
  <si>
    <t>['FV587 S2D1 m1585 SD1 m9-79']</t>
  </si>
  <si>
    <t>LINESTRING Z (-26643.6585919351 6728926.43761158 -999999, -26651.3223238257 6728915.93546047 -999999, -26656.2185969781 6728913.23896221 -999999, -26667.1465109703 6728914.7291323 -999999, -26684.3899077242 6728939.70722142 -999999, -26692.2665210562 6728962.6984171 -999999)</t>
  </si>
  <si>
    <t>POINT (-26671.725394550376 6728930.634598924)</t>
  </si>
  <si>
    <t>['FV352 S1D1 m2929-2981']</t>
  </si>
  <si>
    <t>LINESTRING (196818.9774323012 6554758.121050444, 196820.93787494925 6554757.249895987, 196822.88642320025 6554756.156032908, 196824.5343826657 6554755.197833985, 196825.51416946063 6554754.538639713, 196827.2864272687 6554753.257471252, 196831.64589474082 6554750.138476927, 196834.97841763427 6554747.738332181, 196837.4854161436 6554745.906870399, 196837.8490374374 6554745.620835916, 196839.3753693637 6554744.292078999, 196840.14448668814 6554743.593680973, 196840.5671715786 6554743.179954278, 196841.30632110412 6554742.394471707, 196843.676710908 6554740.003532401, 196845.24448297708 6554738.470204812, 196850.44311722764 6554733.93967552, 196853.175656226 6554731.831934907, 196856.04564365628 6554729.841823007, 196855.7560765912 6554729.752956644, 196853.11758097104 6554729.636719896, 196848.80806913634 6554732.87588296, 196844.48602404463 6554736.249087469, 196835.01907139376 6554743.59753054, 196826.92554504337 6554749.5063545555, 196818.9082975097 6554755.140765762, 196812.34642937762 6554759.496784311, 196818.9774323012 6554758.121050444)</t>
  </si>
  <si>
    <t>POLYGON ((196818.9774323012 6554758.121050444, 196820.93787494925 6554757.249895987, 196822.88642320025 6554756.156032908, 196824.5343826657 6554755.197833985, 196825.51416946063 6554754.538639713, 196827.2864272687 6554753.257471252, 196831.64589474082 6554750.138476927, 196834.97841763427 6554747.738332181, 196837.4854161436 6554745.906870399, 196837.8490374374 6554745.620835916, 196839.3753693637 6554744.292078999, 196840.14448668814 6554743.593680973, 196840.5671715786 6554743.179954278, 196841.30632110412 6554742.394471707, 196843.676710908 6554740.003532401, 196845.24448297708 6554738.470204812, 196850.44311722764 6554733.93967552, 196853.175656226 6554731.831934907, 196856.04564365628 6554729.841823007, 196855.7560765912 6554729.752956644, 196853.11758097104 6554729.636719896, 196848.80806913634 6554732.87588296, 196844.48602404463 6554736.249087469, 196835.01907139376 6554743.59753054, 196826.92554504337 6554749.5063545555, 196818.9082975097 6554755.140765762, 196812.34642937762 6554759.496784311, 196818.9774323012 6554758.121050444))</t>
  </si>
  <si>
    <t>2025-11-22T09:18:08Z</t>
  </si>
  <si>
    <t>['FV2522 S2D1 m10160-10215']</t>
  </si>
  <si>
    <t>LINESTRING Z (254207.12 6800783.44 187.828, 254221.51 6800769.48 176.958, 254225.51 6800766.47 176.948, 254229.5 6800763.46 176.948, 254233.51 6800760.46 176.938, 254235.5 6800758.95 176.928, 254237.5 6800757.45 176.928, 254238.4 6800756.98 176.898, 254242 6800755.11 176.918, 254246.2 6800752.93 176.938, 254246.48 6800752.79 176.938, 254246.9 6800752.57 176.938, 254247.33 6800752.35 176.938, 254247.75 6800752.13 176.938, 254248.18 6800751.9 176.938, 254248.6 6800751.67 176.948, 254249.01 6800751.44 176.948, 254249.43 6800751.21 176.948, 254249.85 6800750.97 176.948, 254250.27 6800750.73 176.948, 254250.68 6800750.49 176.958)</t>
  </si>
  <si>
    <t>POINT (254227.9249176659 6800765.639452466)</t>
  </si>
  <si>
    <t>['FV2522 S2D1 m10200-10221', 'FV2522 S3D1 m0-34']</t>
  </si>
  <si>
    <t>LINESTRING Z (254179.4 6800812.98 187.827, 254192.59 6800806.06 187.828, 254208.73 6800794.24 187.828, 254223.11 6800780.68 187.828)</t>
  </si>
  <si>
    <t>POINT (254202.18160308362 6800798.11485367)</t>
  </si>
  <si>
    <t>2025-12-09T17:59:28Z</t>
  </si>
  <si>
    <t>['FV2522 S3D1 m575 SD1 m27-72']</t>
  </si>
  <si>
    <t>LINESTRING Z (253932.94516541343 6801303.169298764 -999999, 253954.70821395842 6801263.586924806 -999999)</t>
  </si>
  <si>
    <t>POINT (253943.82668968596 6801283.378111785)</t>
  </si>
  <si>
    <t>['FV352 S1D1 m3963-4023']</t>
  </si>
  <si>
    <t>LINESTRING (197252.95 6553858.18, 197261.61 6553851.72, 197271.22 6553844.61, 197280.37 6553837.83, 197292.66 6553829.02, 197301.59 6553822.45, 197296.16999999998 6553828.3, 197293.1 6553830.97, 197289.33000000002 6553834.26, 197286.1 6553837.08, 197283.01 6553839.77, 197281.46 6553841.11, 197280.94 6553841.54, 197280.65 6553841.78, 197276.52000000002 6553844.79, 197272.43 6553847.82, 197270.77000000002 6553849.04, 197269.11 6553850.24, 197268.43 6553850.73, 197267.77000000002 6553851.21, 197267.09 6553851.71, 197266.37 6553852.17, 197264.91999999998 6553853.08, 197264.04 6553853.61, 197262.1 6553854.57, 197260.25 6553855.47, 197258.47 6553856.34, 197253.65 6553857.95, 197252.95 6553858.18)</t>
  </si>
  <si>
    <t>POLYGON ((197252.95 6553858.18, 197261.61 6553851.72, 197271.22 6553844.61, 197280.37 6553837.83, 197292.66 6553829.02, 197301.59 6553822.45, 197296.16999999998 6553828.3, 197293.1 6553830.97, 197289.33000000002 6553834.26, 197286.1 6553837.08, 197283.01 6553839.77, 197281.46 6553841.11, 197280.94 6553841.54, 197280.65 6553841.78, 197276.52000000002 6553844.79, 197272.43 6553847.82, 197270.77000000002 6553849.04, 197269.11 6553850.24, 197268.43 6553850.73, 197267.77000000002 6553851.21, 197267.09 6553851.71, 197266.37 6553852.17, 197264.91999999998 6553853.08, 197264.04 6553853.61, 197262.1 6553854.57, 197260.25 6553855.47, 197258.47 6553856.34, 197253.65 6553857.95, 197252.95 6553858.18))</t>
  </si>
  <si>
    <t>2013-11-08</t>
  </si>
  <si>
    <t>['FV256 S7D1 m2699-2751']</t>
  </si>
  <si>
    <t>LINESTRING Z (232330.109985352 6577998.02001953 56.306, 232329.829956055 6577997.32006836 56.356, 232328.170043945 6577993.92993164 56.416, 232324.790039063 6577987.16992188 56.516, 232321.930053711 6577983.94995117 56.546, 232320.08996582 6577981.69995117 56.546, 232318.609985352 6577977.58007812 56.666, 232316.920043945 6577971.12988281 56.716, 232315.969970703 6577967.77001953 56.756, 232315.439941406 6577965.88989258 56.756, 232316 6577960.82006836 56.816, 232316.599975586 6577955.62011719 56.866, 232316.260009766 6577951.34008789 56.956, 232315.560058594 6577947.95996094 57.046)</t>
  </si>
  <si>
    <t>POINT (232319.97541280687 6577973.779193339)</t>
  </si>
  <si>
    <t>['FV7756 S1D1 m10930-10960']</t>
  </si>
  <si>
    <t>LINESTRING Z (553581.09 7648771.573 20.218, 553557.652 7648790.207 20.516000000000002)</t>
  </si>
  <si>
    <t>POINT (553569.371 7648780.890000001)</t>
  </si>
  <si>
    <t>['FV7756 S1D1 m11178-11214']</t>
  </si>
  <si>
    <t>LINESTRING Z (553387.34 7648925.614 22.68, 553359.216 7648947.975000001 23.038)</t>
  </si>
  <si>
    <t>POINT (553373.2779999999 7648936.794500002)</t>
  </si>
  <si>
    <t>['FV7756 S1D1 m11630-11672']</t>
  </si>
  <si>
    <t>LINESTRING Z (553033.436 7649206.987 27.177, 553000.623 7649233.075 27.594)</t>
  </si>
  <si>
    <t>POINT (553017.0295 7649220.0309999995)</t>
  </si>
  <si>
    <t>['EV6 S76D1 m6109 KD4 m48-112']</t>
  </si>
  <si>
    <t>LINESTRING Z (274300.78729087533 7041023.010246125 65.857, 274308.63844803197 7041037.163814747 64.837, 274319.71540636534 7041056.007082766 63.527, 274325.234895161 7041063.675247967 63.127)</t>
  </si>
  <si>
    <t>['FV357 S1D1 m473-518']</t>
  </si>
  <si>
    <t>LINESTRING Z (191711.41 6575603.75 28.348, 191717.85 6575608.82 28.468, 191719.76 6575609.97 28.518, 191722.96 6575611.76 28.568, 191724.35 6575612.39 28.588, 191736.14 6575617.4 28.608, 191738.21 6575618.16 28.588, 191740.47 6575618.91 28.598, 191743.3 6575619.61 28.558, 191752.86 6575622 28.428)</t>
  </si>
  <si>
    <t>POINT (191731.34794097702 6575614.547306858)</t>
  </si>
  <si>
    <t>2014-09-11</t>
  </si>
  <si>
    <t>['EV6 S28D1 m931-1021']</t>
  </si>
  <si>
    <t>LINESTRING Z (295734.630004883 6721327.69995117 178.815, 295792.760009766 6721396.84997559 179.425)</t>
  </si>
  <si>
    <t>POINT (295763.69500732445 6721362.27496338)</t>
  </si>
  <si>
    <t>['EV6 S28D1 m2737-2826']</t>
  </si>
  <si>
    <t>LINESTRING Z (295789.989990234 6721437.31005859 179.125, 295733.510009766 6721368.2199707 178.515)</t>
  </si>
  <si>
    <t>POINT (295761.75 6721402.765014645)</t>
  </si>
  <si>
    <t>['EV6 S28D1 m1182-1272']</t>
  </si>
  <si>
    <t>LINESTRING Z (295889.040039063 6721525.39001465 180.505, 295939.050048828 6721600.63000488 181.105)</t>
  </si>
  <si>
    <t>POINT (295914.04504394555 6721563.010009765)</t>
  </si>
  <si>
    <t>['EV6 S28D1 m2489-2578']</t>
  </si>
  <si>
    <t>LINESTRING Z (295931.780029297 6721640.51000977 180.805, 295883.369995117 6721565.55004883 180.195)</t>
  </si>
  <si>
    <t>POINT (295907.57501220703 6721603.0300293)</t>
  </si>
  <si>
    <t>2014-10-07</t>
  </si>
  <si>
    <t>['EV16 S38D1 m1650-1741']</t>
  </si>
  <si>
    <t>LINESTRING Z (204505.48 6753511.24 229.923, 204502.78 6753501.55 229.793, 204500.07 6753491.85 229.663, 204497.34 6753482.16 229.533, 204493.68 6753472.84 229.433, 204490.02 6753463.52 229.333, 204486.35 6753454.21 229.233, 204481.76 6753445.25 229.163, 204480.53 6753442.85 229.143, 204480 6753441.84 229.133, 204477.17 6753436.3 229.093, 204472.61 6753427.35 229.023, 204472.49 6753427.15 229.033)</t>
  </si>
  <si>
    <t>POINT (204490.86806573445 6753468.457688142)</t>
  </si>
  <si>
    <t>['EV16 S38D1 m1926-2016']</t>
  </si>
  <si>
    <t>LINESTRING Z (204421.62 6753249.84 227.403, 204421.23 6753247.34 227.383, 204420.84 6753244.84 227.363, 204420.46 6753242.32 227.343, 204420.1 6753239.81 227.333, 204419.76 6753237.29 227.313, 204419.43 6753234.77 227.293, 204419.11 6753232.25 227.273, 204418.8 6753229.73 227.263, 204418.49 6753227.2 227.243, 204418.21 6753224.67 227.223, 204417.94 6753222.13 227.203, 204417.69 6753219.59 227.193, 204417.69 6753217.06 227.163, 204417.7 6753214.53 227.143, 204417.73 6753211.99 227.113, 204417.77 6753209.45 227.093, 204417.83 6753206.91 227.063, 204417.9 6753204.38 227.043, 204417.98 6753201.84 227.013, 204418.07 6753199.3 226.993, 204418.18 6753196.77 226.963, 204418.3 6753194.24 226.943, 204418.43 6753191.7 226.913, 204418.56 6753189.16 226.893, 204418.98 6753186.65 226.853, 204419.39 6753184.13 226.823, 204419.82 6753181.63 226.793, 204420.27 6753179.13 226.763, 204420.72 6753176.62 226.723, 204421.2 6753174.12 226.693, 204421.67 6753171.63 226.663, 204422.17 6753169.13 226.633, 204422.67 6753166.64 226.593, 204423.19 6753164.16 226.563, 204423.71 6753161.68 226.533, 204424.26 6753159.2 226.503)</t>
  </si>
  <si>
    <t>POINT (204419.58086415724 6753204.421875007)</t>
  </si>
  <si>
    <t>2014-10-20</t>
  </si>
  <si>
    <t>[3255]</t>
  </si>
  <si>
    <t>['KV3255 S2D1 m230-275']</t>
  </si>
  <si>
    <t>LINESTRING Z (273560.16 7040139.2375 -999999, 273553.4925 7040130.82375 -999999, 273537.3 7040117.965 -999999, 273525.07625 7040110.0275 -999999)</t>
  </si>
  <si>
    <t>POINT (273543.56148703175 7040123.581824898)</t>
  </si>
  <si>
    <t>['FV356 S1D1 m1456-1481', 'FV356 S1D1 m1381 KD2 m94-120']</t>
  </si>
  <si>
    <t>LINESTRING Z (193705.84 6567509.47 7.789, 193720.81 6567500.43 8.839, 193721.7 6567499.49 8.999, 193726.02 6567494.93 9.229, 193730.36 6567490.45 9.389, 193736.27 6567484.29 9.569, 193737.8 6567482.68 9.619, 193738.07 6567482.41 9.609, 193738.57 6567481.83 9.609, 193738.84 6567481.45 9.619, 193739.52 6567480.58 9.619, 193741.39 6567477.8 9.639, 193743.86 6567474.02 9.629, 193745.05 6567472.2 9.559, 193745.38 6567471.72 9.519, 193746.33 6567470.53 9.539, 193745.97 6567470.44 9.329)</t>
  </si>
  <si>
    <t>['FV3300 S1D1 m1436-1488']</t>
  </si>
  <si>
    <t>LINESTRING Z (189553.070007324 6573947.40002441 92.372, 189553.75 6573945.89001465 92.432, 189554.290008545 6573944.40997315 92.502, 189554.790008545 6573942.7199707 92.562, 189554.790008545 6573942.71002197 92.542, 189555.519989014 6573940.09997559 92.592, 189555.820007324 6573939.09002686 92.642, 189556.109985352 6573938.15002441 92.662, 189562.089996338 6573921.13000488 92.982, 189562.75 6573919.28997803 93.002, 189562.869995117 6573919.03997803 93.002, 189563.5 6573917.54998779 93.022, 189566.309997559 6573910.54998779 93.182, 189568.339996338 6573905.60998535 93.252, 189571.059997559 6573899.7199707 93.482)</t>
  </si>
  <si>
    <t>['FV3300 S1D1 m1509-1577']</t>
  </si>
  <si>
    <t>LINESTRING Z (189514.690002441 6574028.15002441 91.602, 189528.220001221 6574019.5 92.022, 189532.540008545 6574015.59997559 92.122, 189533.260009766 6574014.90997314 92.132, 189533.940002441 6574014.20001221 92.142, 189534.579986572 6574013.48999024 92.132, 189540.660003662 6574005.65002441 92.292, 189541.25 6574004.90002441 92.312, 189541.839996338 6574004.07000732 92.302, 189548.100006104 6573992.72998047 92.442, 189548.459991455 6573991.88000488 92.452, 189549.119995117 6573989.88000488 92.472, 189549.279998779 6573989.90002442 92.462, 189549.459991455 6573989.84997559 92.472, 189549.549987793 6573989.75 92.482, 189549.600006104 6573989.55999756 92.492, 189549.579986572 6573989.36999512 92.492, 189549.480010986 6573989.25 92.482, 189549.369995117 6573989.16998291 92.492, 189550.239990234 6573986.44000244 92.502, 189550.899993896 6573984.71002197 92.482, 189551.589996338 6573982.5300293 92.572, 189555.429992676 6573971.28997803 92.722)</t>
  </si>
  <si>
    <t>['FV456 S1D1 m1254-1327']</t>
  </si>
  <si>
    <t>LINESTRING Z (86018.5599975586 6464694.90002441 10.965, 86018.5100097656 6464694.65002441 10.975, 86018.5 6464694.42999268 10.975, 86018.4600219727 6464693.35998535 11.015, 86017.9799804687 6464689.05999756 11.185, 86017.4400024414 6464684.25 11.385, 86016.8900146484 6464679.65002442 11.565, 86016.4299926758 6464675.39001465 11.725, 86015.9199829102 6464671.0300293 11.905, 86015.3599853516 6464665.01000977 12.075, 86015.3200073242 6464664.53997803 12.095, 86015.0100097656 6464661.16998291 12.195, 86015.1300048828 6464658.2199707 12.275, 86015.299987793 6464653.94000244 12.325, 86015.3800048828 6464651.72998047 12.415, 86015.3699951172 6464651.70001221 12.415, 86015.2100219727 6464649.98999024 12.455, 86015.0399780274 6464647.84997559 12.525, 86014.7299804687 6464645.86999512 12.565, 86015.1599731445 6464647.01000977 12.565, 86015.4199829102 6464647.84002686 12.495, 86015.4000244141 6464647.76000977 12.495, 86015.4199829102 6464647.84002686 12.495, 86015.4699707031 6464648.13000488 12.485, 86015.6199951172 6464649.11999512 12.455, 86015.6900024414 6464649.52001953 12.435, 86015.7899780273 6464650.09997559 12.425, 86015.950012207 6464651.08001709 12.395, 86016.0399780274 6464651.64001465 12.375, 86016.1099853516 6464652.07000732 12.365, 86016.2600097656 6464653.04998779 12.335, 86016.4199829102 6464654.03997803 12.305, 86016.4299926758 6464654.13000488 12.295, 86016.5700073242 6464655.02001953 12.275, 86016.7199707031 6464656 12.245, 86016.8699951172 6464656.98999024 12.215, 86017.0200195313 6464657.97998047 12.185, 86017.1699829102 6464658.96002197 12.155, 86017.3200073242 6464659.95001221 12.125, 86017.450012207 6464660.92999268 12.095, 86017.5599975586 6464661.61999512 12.075, 86017.5999755859 6464661.91998291 12.065, 86017.7399902344 6464662.90997314 12.035, 86017.8800048828 6464663.89001465 12.005, 86017.9199829102 6464664.17999268 11.995, 86017.9199829102 6464664.19000244 11.995, 86017.9199829102 6464664.20001221 11.995, 86017.9699707031 6464664.57000732 11.985, 86018.0200195312 6464664.86999512 11.975, 86018.0200195312 6464664.88000488 11.975, 86018.0200195312 6464664.89001465 11.975, 86018.049987793 6464665.15002441 11.965, 86018.1500244141 6464665.86999512 11.945, 86018.2800292969 6464666.84997559 11.905, 86018.4199829102 6464667.84002686 11.875, 86018.549987793 6464668.83001709 11.845, 86018.6799926758 6464669.80999756 11.815, 86018.8099975586 6464670.80999756 11.775, 86018.9400024414 6464671.78997803 11.735, 86019.0599975586 6464672.78997803 11.705, 86019.1799926758 6464673.77001953 11.665, 86019.299987793 6464674.76000977 11.625, 86019.3400268555 6464675.01000977 11.615, 86019.4199829102 6464675.75 11.585, 86019.5399780273 6464676.73999023 11.545, 86019.6599731445 6464677.72998047 11.505, 86019.7800292969 6464678.7199707 11.465, 86019.9000244141 6464679.71002197 11.425, 86020 6464680.70001221 11.385, 86020.1099853516 6464681.69000244 11.345, 86020.2199707031 6464682.67999268 11.305, 86020.3300170899 6464683.66998291 11.265, 86020.4400024414 6464684.66998291 11.225, 86020.549987793 6464685.65002441 11.185, 86020.6500244141 6464686.64001465 11.145, 86020.75 6464687.64001465 11.105, 86020.8499755859 6464688.61999512 11.065, 86020.950012207 6464689.61999512 11.025, 86021.0399780273 6464690.60998535 10.985, 86021.1400146484 6464691.60998535 10.945, 86021.2399902344 6464692.59002686 10.905, 86021.3300170899 6464693.59002686 10.865, 86021.4199829102 6464694.58001709 10.825, 86021.4199829102 6464694.59002686 10.825, 86021.4299926758 6464694.77001953 10.815, 86021.4299926758 6464694.7800293 10.815, 86021.4600219727 6464695.13000488 10.805, 86021.5 6464695.57000732 10.785, 86021.5800170898 6464696.4699707 10.745, 86021.5900268555 6464696.57000732 10.745, 86021.6300048828 6464697.0300293 10.725, 86021.6799926758 6464697.54998779 10.705, 86021.7600097656 6464698.54998779 10.665, 86021.8499755859 6464699.53997803 10.615, 86021.9299926758 6464700.53997803 10.565, 86022.0100097656 6464701.5300293 10.525, 86022.0900268555 6464702.5300293 10.475, 86022.1599731445 6464703.51000977 10.425, 86022.1599731445 6464703.52001953 10.425, 86022.1599731445 6464703.5300293 10.425, 86022.2399902344 6464704.51000977 10.365, 86022.3099975586 6464705.51000977 10.315, 86022.3900146484 6464706.48999024 10.255, 86022.4600219727 6464707.48999023 10.205, 86022.5300292969 6464708.47998047 10.145, 86022.5999755859 6464709.47998047 10.085, 86022.6500244141 6464710.47998047 10.015, 86022.7199707031 6464711.4699707 9.955, 86022.7800292969 6464712.4699707 9.885, 86022.8499755859 6464713.46002197 9.815, 86022.9099731445 6464714.46002197 9.745, 86022.9099731445 6464714.54998779 9.745, 86022.9699707031 6464715.45001221 9.675, 86022.9099731445 6464716.4699707 9.665, 86022.7700195312 6464715.47998047 9.735, 86022.5999755859 6464714.58001709 9.805, 86022.5800170898 6464714.5 9.815, 86022.3699951172 6464713.51000977 9.885, 86022.1599731445 6464712.52001953 9.955, 86022.0100097656 6464711.79998779 10.005, 86021.950012207 6464711.53997803 10.025, 86021.75 6464710.55999756 10.075, 86020.1900024414 6464703.23999023 10.525, 86018.7899780273 6464696.47998047 10.915, 86018.5599975586 6464694.90002441 10.965)</t>
  </si>
  <si>
    <t>['EV39 S128D1 m793 KD3 m193-250']</t>
  </si>
  <si>
    <t>LINESTRING Z (86289.8100585937 6465991.04003906 21.354, 86290.6199951172 6465991.41003418 21.284, 86290.8599853516 6465991.54003906 21.274, 86303.9799804688 6465997.57995606 20.654, 86305.3800048828 6465998.19995117 20.544, 86306.9300537109 6465998.95996094 20.464, 86306.5699462891 6465998.79003906 20.484, 86256.7099609375 6465971.90002441 22.674, 86256.3000488281 6465971.63000488 22.684, 86256.7099609375 6465971.90002441 22.674, 86257.2800292969 6465972.2800293 22.654, 86257.6500244141 6465972.52001953 22.644, 86259.0899658203 6465973.5 22.594, 86260.3000488281 6465974.31005859 22.564, 86261.4300537109 6465975.06994629 22.534, 86262.5 6465975.79003906 22.494, 86263.0899658203 6465976.14001465 22.484, 86263.3900146484 6465976.31994629 22.474, 86264.2099609375 6465976.79003906 22.444, 86266.4399414063 6465978.0300293 22.384, 86267.5300292969 6465978.64001465 22.354, 86268.4799804688 6465979.20996094 22.314, 86269.6800537109 6465979.84997559 22.264, 86276.25 6465983.55004883 21.974, 86278.8199462891 6465984.98999024 21.864, 86280.4499511719 6465985.91003418 21.784, 86285.8499755859 6465988.94995117 21.554, 86286.4100341797 6465989.26000977 21.524, 86287.5899658203 6465989.92004395 21.474, 86287.7700195313 6465990.0300293 21.464, 86288.3599853516 6465990.33996582 21.434, 86289.2700195312 6465990.79003906 21.394, 86289.6999511719 6465990.98999023 21.364, 86289.8100585937 6465991.04003906 21.354)</t>
  </si>
  <si>
    <t>['KV1780 S1D1 m2673-2709']</t>
  </si>
  <si>
    <t>LINESTRING Z (265576.532301755 7040460.38750149 -999999, 265611.275927277 7040465.46068575 -999999)</t>
  </si>
  <si>
    <t>POINT (265593.904114516 7040462.92409362)</t>
  </si>
  <si>
    <t>['KV1780 S1D1 m2600-2637']</t>
  </si>
  <si>
    <t>LINESTRING Z (265645.865819943 7040477.91304711 -999999, 265682.607972596 7040484.06236136 -999999)</t>
  </si>
  <si>
    <t>POINT (265664.2368962695 7040480.987704234)</t>
  </si>
  <si>
    <t>['FV578 S3D1 m1088-1139']</t>
  </si>
  <si>
    <t>LINESTRING Z (-29162.5399932861 6743389.27001953 93.437, -29161.6000061035 6743388.73999023 93.467, -29160.8800048828 6743388.31994629 93.487, -29159.8000030518 6743387.68005371 93.527, -29159.7899932861 6743387.68005371 93.527, -29159.7799987793 6743387.66003418 93.527, -29159.1900024414 6743387.31005859 93.537, -29157.9700012207 6743386.56005859 93.537, -29157.9700012207 6743386.55004883 93.537, -29156.8899993896 6743385.86999512 93.547, -29155.4600067139 6743384.92004395 93.537, -29155.2799987793 6743384.79003906 93.537, -29155.2700042725 6743384.79003906 93.537, -29155.2599945068 6743384.7800293 93.537, -29154.3800048828 6743384.18994141 93.547, -29153.5 6743383.56994629 93.577, -29153.4100036621 6743383.52001953 93.577, -29152.2899932861 6743382.70996094 93.617, -29151.1600036621 6743381.89001465 93.647, -29150.1799926758 6743381.16003418 93.687, -29150.0599975586 6743381.06005859 93.687, -29150.0200042725 6743381.0300293 93.687, -29149.8999938965 6743380.93994141 93.687, -29149.8099975586 6743380.88000488 93.697, -29149.3699951172 6743380.5300293 93.707, -29149.3600006104 6743380.5300293 93.707, -29149.1900024414 6743380.39001465 93.717, -29149.1799926758 6743380.39001465 93.717, -29147.5200042725 6743379.06005859 93.757, -29147.4799957275 6743379.0300293 93.757, -29146.5599975586 6743378.27001953 93.787, -29145.6399993897 6743377.52001953 93.807, -29145.5200042725 6743377.41003418 93.817, -29145.1100006104 6743377.05004883 93.827, -29144.3099975586 6743376.32995606 93.807, -29143.3099975586 6743375.41003418 93.797, -29137.9400024414 6743369.58996582 93.777, -29134.6699981689 6743365.93005371 93.827, -29132.7599945068 6743363.81005859 93.867, -29124.8300018311 6743352.64001465 93.977)</t>
  </si>
  <si>
    <t>POINT (-29142.189243046003 6743372.5408392055)</t>
  </si>
  <si>
    <t>['FV578 S3D1 m1077-1088']</t>
  </si>
  <si>
    <t>LINESTRING Z (-29173.2899932861 6743392.77001953 93.167, -29167.8699951172 6743391.16003418 93.297, -29163.0800018311 6743389.4699707 93.427, -29162.5399932861 6743389.27001953 93.437)</t>
  </si>
  <si>
    <t>POINT (-29167.891535758215 6743391.09181148)</t>
  </si>
  <si>
    <t>[407]</t>
  </si>
  <si>
    <t>['FV407 S1D1 m2726-2785']</t>
  </si>
  <si>
    <t>LINESTRING Z (133005.17 6494713.35 21.519, 133003.84 6494714.64 21.649, 132999.61 6494718.83 21.619, 132995.53 6494722.83 21.599, 132990.89 6494726.38 21.569, 132985.47 6494730.54 21.559, 132980.73 6494734.14 21.519, 132976.02 6494737.67 21.369, 132971.3 6494741.18 21.229, 132970.47 6494741.68 21.219, 132962 6494746.29 21.119, 132956.87 6494749.1 21.029)</t>
  </si>
  <si>
    <t>POINT (132981.95343004286 6494732.492554722)</t>
  </si>
  <si>
    <t>[5192]</t>
  </si>
  <si>
    <t>['FV5192 S2D1 m358-426']</t>
  </si>
  <si>
    <t>LINESTRING Z (-30225.3900146484 6724882.84997559 65.139, -30225.8300170898 6724884.38000488 65.199, -30226.450012207 6724886.70996094 65.279, -30227.4699707031 6724890.72998047 65.489, -30228.549987793 6724895.4699707 65.749, -30229.5999755859 6724900.20996094 66.019, -30230.0399780273 6724901.15002442 66.069, -30239.2700195313 6724926.93005371 67.299, -30239.5100097656 6724927.95996094 67.349, -30240.5200195312 6724930.11999512 67.419, -30241.1799926758 6724931.63000488 67.469, -30242.9799804688 6724935.31005859 67.559, -30244.4400024414 6724938.22998047 67.629, -30248.8300170898 6724946.94995117 67.729)</t>
  </si>
  <si>
    <t>POINT (-30235.730534148035 6724915.408539341)</t>
  </si>
  <si>
    <t>['FV5192 S2D1 m1020-1072']</t>
  </si>
  <si>
    <t>LINESTRING Z (-29706.9699707031 6724798.66003418 80.639, -29685.7700195313 6724798.89001465 81.149, -29684.7800292969 6724798.61999512 81.159, -29660.4599609375 6724795.76000977 81.639, -29659.4399414063 6724795.72998047 81.659, -29656.2199707031 6724795.29003906 81.729, -29654.6099853516 6724795.05004883 81.769, -29651.4300537109 6724794.31005859 81.819, -29650.5899658203 6724794.13000488 81.819, -29644.3199462891 6724792.56005859 82.019, -29634.8800048828 6724790.2199707 82.479)</t>
  </si>
  <si>
    <t>POINT (-29670.71611851695 6724796.27100071)</t>
  </si>
  <si>
    <t>2014-12-05</t>
  </si>
  <si>
    <t>[2757]</t>
  </si>
  <si>
    <t>['FV2757 S1D1 m7069-7130']</t>
  </si>
  <si>
    <t>LINESTRING Z (200557.85 6627351.46 259.851, 200556.75 6627351.77 259.821, 200555.64 6627351.99 259.791, 200546.67 6627353.78 259.661, 200537.89 6627355.48 259.481, 200528.78 6627357.25 259.391, 200520.1 6627358.96 259.481, 200511.14 6627360.69 259.661, 200505.79 6627361.73 259.711, 200503.65 6627362.13 259.751, 200501.61 6627362.43 259.811, 200500.49 6627362.57 259.841)</t>
  </si>
  <si>
    <t>POINT (200529.19884815594 6627357.165190375)</t>
  </si>
  <si>
    <t>['FV3270 S1D1 m738-784']</t>
  </si>
  <si>
    <t>LINESTRING Z (195008.199951172 6570583.93005371 70.846, 195012.869995117 6570588.27001953 71.096, 195014.949951172 6570590.43994141 71.236, 195017.329956055 6570592.77001953 71.396, 195019.030029297 6570594.42004395 71.466, 195019.920043945 6570595.22998047 71.476, 195020.780029297 6570596.05004883 71.526, 195021.569946289 6570596.98999023 71.566, 195022.989990234 6570598.63000488 71.626, 195023.609985352 6570599.44995117 71.656, 195024.209960938 6570600.27001953 71.696, 195031.510009766 6570611.18994141 72.006, 195032.030029297 6570612.01000977 72.036, 195032.560058594 6570612.9699707 72.066, 195034.58996582 6570617.2199707 72.246, 195034.729980469 6570617.47998047 72.256, 195035.390014648 6570619.39001465 72.296, 195039.260009766 6570630.63000488 72.296)</t>
  </si>
  <si>
    <t>[363]</t>
  </si>
  <si>
    <t>['FV363 S1D1 m4510-4575']</t>
  </si>
  <si>
    <t>LINESTRING Z (192902.669998169 6552356.56005859 22.632, 192911.089996338 6552375.16992188 21.482, 192921.800003052 6552392.0300293 20.592, 192938.189998627 6552411.12011719 19.892)</t>
  </si>
  <si>
    <t>['FV363 S1D1 m4531-4596']</t>
  </si>
  <si>
    <t>LINESTRING Z (192934.239997864 6552388.27001953 20.252, 192925.069999695 6552370.33007813 21.352, 192913.63999939 6552353.88989258 22.482, 192897.089996338 6552334.90991211 24.052)</t>
  </si>
  <si>
    <t>2014-12-22</t>
  </si>
  <si>
    <t>['FV415 S1D1 m8195-8257']</t>
  </si>
  <si>
    <t>LINESTRING Z (142265.98 6520363.5 81.223, 142266.51 6520365.4 81.193, 142267.38 6520368.19 81.163, 142269.03 6520373.69 81.143, 142271.03 6520380.08 81.123, 142272.44 6520384.75 81.113, 142274.19 6520390.25 81.083, 142275.21 6520394.98 81.093, 142276.05 6520398.67 81.093, 142277.06 6520403.3 81.093, 142278.08 6520408 81.133, 142278.78 6520413.78 81.183, 142278.87 6520420.55 81.253, 142278.96 6520424.36 81.303)</t>
  </si>
  <si>
    <t>POINT (142274.08391213836 6520393.646825252)</t>
  </si>
  <si>
    <t>['FV415 S1D1 m8117-8176']</t>
  </si>
  <si>
    <t>LINESTRING Z (142255.47 6520346.04 81.243, 142255.19 6520345.13 81.323, 142253.65 6520340.64 81.333, 142252.17 6520336.78 81.403, 142250.75 6520333.17 81.413, 142249.06 6520328.64 81.463, 142246.64 6520322.05 81.513, 142244.98 6520316.32 81.553, 142243.45 6520310.78 81.643, 142241.38 6520303.54 81.693, 142240.81 6520297.9 81.763, 142239.92 6520289.6 81.893)</t>
  </si>
  <si>
    <t>POINT (142246.292958971 6520318.157990773)</t>
  </si>
  <si>
    <t>2021-08-25</t>
  </si>
  <si>
    <t>2025-11-22T09:18:12Z</t>
  </si>
  <si>
    <t>['EV134 S10D1 m277-386']</t>
  </si>
  <si>
    <t>LINESTRING Z (27475.4600219727 6671515.07000732 419.258, 27475.549987793 6671513.59002686 419.188, 27472.4600219727 6671512.29998779 419.058, 27461.8900146484 6671509.26998901 418.718, 27458.9099731445 6671508.64001465 418.588, 27456.9099731445 6671508.32000732 418.528, 27447.7600097656 6671507.5 418.398, 27438.6500244141 6671507.07998657 418.238, 27429.2700195313 6671507.01998901 418.138, 27419.2700195313 6671506.92999268 418.048, 27408.3200073242 6671506.95999146 417.958, 27399.2199707031 6671507.1499939 417.788, 27395.5300292969 6671507.27999878 417.718, 27390.2100219727 6671507.72000122 417.598, 27386.0100097656 6671508.29998779 417.558, 27383.700012207 6671508.77999878 417.548, 27377.3900146484 6671510.14001465 417.558, 27372.3900146484 6671511.98001099 417.538, 27366.8200073242 6671514.46002197 417.478, 27366.9299926758 6671516.2199707 417.588)</t>
  </si>
  <si>
    <t>POINT (27420.929611803025 6671508.702984922)</t>
  </si>
  <si>
    <t>2015-01-13</t>
  </si>
  <si>
    <t>[3566]</t>
  </si>
  <si>
    <t>['FV3566 S1D1 m731-801']</t>
  </si>
  <si>
    <t>LINESTRING Z (139947.59 6495487.56 11.611, 139950.56 6495487.32 11.611, 139953.58 6495487.05 11.571, 139957.42 6495486.48 11.571, 139961.44 6495485.98 11.571, 139966.33 6495485.32 11.571, 139971.6 6495484.64 11.621, 139976.93 6495483.92 11.641, 139978.94 6495483.67 11.641, 139979.92 6495483.56 11.631, 139980.91 6495483.54 11.631, 139981.89 6495483.53 11.611, 139985.85 6495483.48 11.581, 139990.89 6495483.41 11.491, 139996.76 6495483.34 11.391, 139999.75 6495483.36 11.321, 140000.73 6495483.44 11.301, 140001.7 6495483.59 11.281, 140003.64 6495483.93 11.231, 140006.68 6495484.47 11.131, 140009.55 6495484.96 11.031, 140011.53 6495485.31 10.981, 140013.48 6495485.62 10.921, 140015.43 6495485.8 10.861, 140016.4 6495485.86 10.821, 140017.49 6495485.89 10.771)</t>
  </si>
  <si>
    <t>POINT (139982.54701297008 6495484.795556069)</t>
  </si>
  <si>
    <t>2015-06-03</t>
  </si>
  <si>
    <t>['FV409 S4D1 m1303-1352']</t>
  </si>
  <si>
    <t>LINESTRING Z (139481.28 6495989.3 1.851, 139482.75 6495992.87 1.911, 139484.49 6495997.31 2.051, 139484.93 6495998.2 2.101, 139487.24 6496002 2.251, 139490.73 6496007.6 2.561, 139494.9 6496014.21 2.841, 139496.24 6496015.97 2.871, 139497.42 6496017.38 2.881, 139499.95 6496020.29 2.941, 139503.1 6496024.04 2.951, 139507.57 6496029.26 3.031)</t>
  </si>
  <si>
    <t>POINT (139493.14757411592 6496010.084114561)</t>
  </si>
  <si>
    <t>['FV409 S4D1 m1309-1371']</t>
  </si>
  <si>
    <t>LINESTRING Z (139633.76 6495726.48 10.901, 139634.53 6495725.18 10.951, 139635.8 6495722.99 11.051, 139636.8 6495721.28 11.301, 139637.6 6495719.87 11.341, 139640.08 6495715.3 11.501, 139643.05 6495709.71 11.611, 139646.21 6495703.83 11.641, 139649.9 6495696.85 11.591, 139652.84 6495691.24 11.521, 139654.41 6495687.88 11.301, 139655.27 6495685.97 11.291, 139655.66 6495685.03 11.291, 139657.17 6495681.78 11.271)</t>
  </si>
  <si>
    <t>POINT (139645.81614598568 6495704.310727145)</t>
  </si>
  <si>
    <t>2014-06-28</t>
  </si>
  <si>
    <t>['FV421 S6D1 m142-214']</t>
  </si>
  <si>
    <t>LINESTRING Z (142998.320068359 6509743.62988281 0.427, 142996.860107422 6509744.59008789 58.697, 142993.5 6509746.98999023 58.757, 142991.590087891 6509748.67993164 58.817, 142989.800048828 6509750.75 58.887, 142988.209960938 6509753.08007813 58.957, 142987.100097656 6509755.59008789 59.047, 142986.530029297 6509757.89990234 59.147, 142986.310058594 6509760.45996094 59.227, 142986.739990234 6509762.09008789 59.327, 142981.969970703 6509754.38989258 59.127, 142976.060058594 6509744.81005859 58.957, 142971.070068359 6509735.97998047 58.817, 142970.459960938 6509734.93994141 58.797, 142972.830078125 6509733.72998047 -0.023, 142978.610107422 6509743.72998047 58.917, 142978.659912109 6509743.81005859 58.917, 142979.520019531 6509744.52001953 58.937, 142980 6509744.73999023 58.917, 142980.560058594 6509744.83007813 58.927, 142981.070068359 6509744.79003906 58.917, 142981.879882813 6509744.48999023 58.907, 142982.75 6509743.95996094 58.877, 142983.479980469 6509743.12988281 58.867, 142983.929931641 6509742.19995117 58.837, 142984.139892578 6509741.19995117 58.827, 142984.209960937 6509740.18994141 58.797, 142983.959960938 6509739.14990234 58.777, 142983.530029297 6509738.2199707 58.757, 142982.489990234 6509736.58007813 58.707, 142979.449951172 6509731.36010742 58.687, 142976.570068359 6509726.47998047 58.627, 142973.459960938 6509721.13989258 58.587, 142970.550048828 6509718.63989258 58.587, 142967.149902344 6509716.69995117 58.457, 142967.070068359 6509716.72998047 58.457, 142966.459960938 6509716.62988281 58.447, 142965.939941406 6509716.64990234 58.417, 142965.439941406 6509716.7800293 58.407, 142964.989990234 6509717.12011719 58.377, 142964.600097656 6509717.52001953 58.357, 142964.399902344 6509717.90991211 58.347, 142964.300048828 6509719 58.347, 142964.479980469 6509719.55004883 58.337, 142967.929931641 6509725.4699707 58.477, 142972.830078125 6509733.72998047 58.697, 142970.459960938 6509734.92993164 58.797, 142966.510009766 6509728.13989258 58.647, 142961.770019531 6509720.08007813 58.507, 142956.719970703 6509711.48999024 58.387, 142951.959960938 6509703.35009766 58.307, 142950.149902344 6509700.25 58.277, 142951.949951172 6509701.5300293 58.227, 142953.260009766 6509702.04003906 58.197, 142955.820068359 6509702.54003906 58.197, 142958.679931641 6509702.97998047 58.197, 142962.290039062 6509703.88989258 58.207, 142965.620117188 6509704.98999023 58.237, 142967.729980469 6509705.83007812 58.247, 142970.699951172 6509707.33007813 58.267, 142972.419921875 6509708.2199707 58.267, 142974.129882813 6509709.34008789 58.297, 142978.310058594 6509712.34008789 58.317, 142980.889892578 6509714.5 58.377, 142982.959960938 6509716.27001953 58.447, 142983.810058594 6509717.41992188 58.497, 142981.520019531 6509718.62011719 58.457, 142982.489990234 6509720.42993164 58.477, 142983.409912109 6509722.15991211 58.597, 142985.459960938 6509726.10009766 58.627, 142990.459960938 6509735.39990234 58.737, 142991.340087891 6509737.12988281 58.607, 142993.790039063 6509735.95996094 58.637, 142994.139892578 6509736.58007813 58.617, 142994.409912109 6509736.93994141 58.607, 142998.320068359 6509743.62988281 0.427)</t>
  </si>
  <si>
    <t>2015-01-23</t>
  </si>
  <si>
    <t>[3604]</t>
  </si>
  <si>
    <t>['FV3604 S1D1 m1956-2012']</t>
  </si>
  <si>
    <t>LINESTRING Z (131977.48 6488889.89 18.283, 131979.89 6488889.68 18.313, 131982.42 6488889.6 18.333, 131985.3 6488889.65 18.343, 131989.37 6488889.68 18.383, 131993.15 6488889.7 18.403, 131995.92 6488889.67 18.403, 131999.81 6488889.46 18.383, 132003.67 6488889.23 18.423, 132006.84 6488889 18.423, 132009.59 6488888.81 18.453, 132013.13 6488888.57 18.423, 132015.21 6488888.43 18.393, 132018.08 6488888.13 18.463, 132020.61 6488888.03 18.453, 132020.6 6488888.03 18.453, 132026.78 6488887.12 18.473, 132031.73 6488886.48 18.453)</t>
  </si>
  <si>
    <t>POINT (132004.65305454095 6488888.811363061)</t>
  </si>
  <si>
    <t>['FV3604 S1D1 m1987-2021']</t>
  </si>
  <si>
    <t>LINESTRING Z (132041.89 6488881.68 18.323, 132041.32 6488881.52 18.333, 132037.84 6488880.53 18.423, 132035.55 6488879.89 18.473, 132031.84 6488878.83 18.583, 132028.57 6488877.96 18.663, 132027.13 6488877.58 18.693, 132026.14 6488877.32 18.703, 132025.05 6488877.13 18.713, 132024.13 6488877.03 18.723, 132022.95 6488876.96 18.723, 132021.05 6488876.91 18.733, 132019.43 6488876.86 18.753, 132017.82 6488876.91 18.783, 132015.38 6488876.96 18.803, 132012.62 6488877 18.843, 132010.48 6488877.05 18.913, 132008.99 6488877.08 18.903, 132008.09 6488877.03 18.913, 132007.38 6488876.9 18.923)</t>
  </si>
  <si>
    <t>POINT (132024.7904273464 6488878.142020414)</t>
  </si>
  <si>
    <t>2023-03-28</t>
  </si>
  <si>
    <t>[51109]</t>
  </si>
  <si>
    <t>['KV51109 S2D1 m851-898']</t>
  </si>
  <si>
    <t>LINESTRING Z (229142.29951845045 6580531.464503838 71.337, 229154.64513041388 6580545.443114157 71.627, 229156.12747176702 6580548.018877977 71.687, 229157.7380383825 6580550.708387285 71.697, 229160.4893456308 6580555.115342081 71.697, 229163.22784793476 6580559.903130269 71.707, 229167.5269871928 6580567.0823040735 71.687, 229169.44720774778 6580570.263679473 71.477)</t>
  </si>
  <si>
    <t>['FV410 S5D1 m908-956']</t>
  </si>
  <si>
    <t>LINESTRING Z (142042.66 6500844.93 29.699, 142041.95 6500846.85 29.829, 142040.74 6500850.57 29.769, 142040.24 6500853.64 29.599, 142039.59 6500860.49 29.219, 142039.01 6500867.37 29.019, 142038.85 6500869.33 28.969, 142038.8 6500871.33 28.859, 142039.07 6500876.29 28.71, 142039.55 6500883.07 28.46, 142039.92 6500889.22 28.25, 142039.96 6500891.13 28.21, 142039.91 6500892.17 28.19)</t>
  </si>
  <si>
    <t>POINT (142039.7869137752 6500868.395758336)</t>
  </si>
  <si>
    <t>['FV410 S5D1 m1001-1039']</t>
  </si>
  <si>
    <t>LINESTRING Z (142059.01 6500799.37 31.439, 142057.35 6500798.25 31.519, 142055.87 6500796.89 31.499, 142055.61 6500796.42 31.489, 142055.28 6500795.84 31.479, 142054.75 6500794.2 31.489, 142054.64 6500792.89 31.509, 142054.64 6500789.8 31.529, 142054.57 6500787.88 31.539, 142054.48 6500786.95 31.559, 142054.34 6500785.94 31.579, 142054.1 6500784.92 31.589, 142053.2 6500782.04 31.569, 142051.34 6500777.26 31.589, 142050.24 6500774.4 31.649, 142048.61 6500770.72 31.689, 142047.27 6500768.06 31.659, 142046.17 6500766.36 31.649, 142044.96 6500764.71 31.659, 142042.89 6500762.56 31.689, 142041.49 6500761.07 31.549)</t>
  </si>
  <si>
    <t>POINT (142051.24689876792 6500780.011008421)</t>
  </si>
  <si>
    <t>['FV410 S5D1 m1221-1254']</t>
  </si>
  <si>
    <t>LINESTRING Z (141977.19 6500569.68 27.829, 141977.35 6500573.55 28.149, 141977.13 6500579.63 28.369, 141976.69 6500590.69 28.769, 141976.54 6500592.57 28.849, 141975.1 6500598.66 29.159, 141974.02 6500603.2 29.329, 141973.77 6500604.35 29.269)</t>
  </si>
  <si>
    <t>POINT (141976.38190753694 6500587.11713866)</t>
  </si>
  <si>
    <t>['FV410 S5D1 m1262-1311']</t>
  </si>
  <si>
    <t>LINESTRING Z (141969.67 6500510.13 26.849, 141969.62 6500511.07 26.859, 141969.41 6500513.1 26.909, 141969.2 6500514.08 26.899, 141968.87 6500515.03 26.889, 141967.48 6500518.81 26.969, 141966.77 6500521.79 27.039, 141966.43 6500524.72 27.049, 141966.33 6500530.85 27.189, 141966.19 6500537.83 27.229, 141966.2 6500543.81 27.339, 141966.83 6500551.9 27.559, 141967.41 6500559.21 27.809, 141967.44 6500559.78 27.829)</t>
  </si>
  <si>
    <t>POINT (141966.98644538157 6500534.815294021)</t>
  </si>
  <si>
    <t>['FV410 S5D1 m1432-1487']</t>
  </si>
  <si>
    <t>LINESTRING Z (141929.1 6500410.39 22.569, 141927.46 6500409.4 22.578, 141923.47 6500407.25 22.328, 141917.68 6500404.07 21.968, 141912.42 6500401.16 21.688, 141908.63 6500399.1 21.438, 141907.82 6500398.61 21.398, 141905.97 6500397.32 21.288, 141900.67 6500393.64 20.958, 141895.64 6500390.18 20.658, 141891.67 6500387.41 20.428, 141890.92 6500386.78 20.348, 141890.26 6500386.1 20.338, 141887.94 6500383.58 20.168, 141887.19 6500382.79 20.128, 141884.61 6500380.06 20.008, 141883.08 6500378.91 19.758)</t>
  </si>
  <si>
    <t>POINT (141905.20489559186 6500395.848073216)</t>
  </si>
  <si>
    <t>['FV410 S5D1 m1772-1823']</t>
  </si>
  <si>
    <t>LINESTRING Z (141591.59 6500216.65 11.238, 141601.67 6500225.53 11.358, 141607.43 6500228.91 11.448, 141617.83 6500235.04 11.358, 141619.55 6500235.89 11.448, 141626.97 6500238.69 11.448, 141634.8 6500241.8 11.378)</t>
  </si>
  <si>
    <t>POINT (141612.2500784977 6500230.796645581)</t>
  </si>
  <si>
    <t>['FV410 S5D1 m1775-1847']</t>
  </si>
  <si>
    <t>LINESTRING Z (141637.37 6500233.18 11.438, 141635.72 6500231.9 11.408, 141629.24 6500224.68 11.328, 141626.92 6500222.95 11.258, 141614.15 6500215.84 11.128, 141606.65 6500211.94 11.028, 141592.08 6500206.27 11.078, 141580.21 6500202.23 11.078, 141573.57 6500199.7 11.078)</t>
  </si>
  <si>
    <t>POINT (141607.02261234014 6500213.894207664)</t>
  </si>
  <si>
    <t>['FV410 S5D1 m2147-2200']</t>
  </si>
  <si>
    <t>LINESTRING Z (141357.92 6499932.31 6.067, 141358.47 6499935.34 6.207, 141359.84 6499940.55 6.637, 141363.04 6499947.79 7.167, 141365.84 6499954 7.637, 141366.85 6499956.3 7.797, 141367.5 6499957.69 7.927, 141367.96 6499958.54 7.997, 141368.48 6499959.42 8.087, 141370.37 6499962.62 8.377, 141373.98 6499968.75 8.877, 141377.71 6499975.05 9.317, 141380.56 6499979.86 9.617)</t>
  </si>
  <si>
    <t>POINT (141367.90953326665 6499956.64998292)</t>
  </si>
  <si>
    <t>['FV410 S5D1 m2168-2202']</t>
  </si>
  <si>
    <t>LINESTRING Z (141380.6 6499956.86 8.157, 141380.18 6499955.02 8.137, 141379.98 6499954.08 8.067, 141379.33 6499951.28 7.877, 141378.76 6499949.26 7.717, 141378.46 6499948.34 7.657, 141377.36 6499945.6 7.477, 141374.89 6499939.16 6.977, 141373.07 6499934.5 6.617, 141372.38 6499932.7 6.507, 141371.98 6499931.79 6.437, 141371.14 6499930.11 6.307, 141370.63 6499929.24 6.277, 141369.29 6499927.09 6.127, 141368.25 6499925.41 5.857)</t>
  </si>
  <si>
    <t>POINT (141375.25882146918 6499940.7984346775)</t>
  </si>
  <si>
    <t>['FV410 S5D1 m2375-2429']</t>
  </si>
  <si>
    <t>LINESTRING Z (141295.89 6499769.55 9.637, 141295.67 6499768.62 9.757, 141295.4 6499767.46 9.897, 141294.38 6499762.98 10.157, 141292.98 6499757.13 10.517, 141292.55 6499755.18 10.617, 141292.28 6499754.28 10.687, 141291.91 6499753.35 10.747, 141291.06 6499751.35 10.887, 141288.82 6499746.16 11.257, 141286.73 6499741.34 11.587, 141285.46 6499738.34 11.787, 141284.86 6499737.08 11.877, 141284.15 6499735.77 11.967, 141282.18 6499732.51 12.147, 141279.71 6499728.43 12.407, 141277.48 6499724.74 12.637, 141276.43 6499723.02 12.607, 141275.93 6499722.18 12.647, 141274.44 6499719.66 12.757, 141274.38 6499719.56 12.767)</t>
  </si>
  <si>
    <t>POINT (141286.84120589716 6499743.852311603)</t>
  </si>
  <si>
    <t>['FV410 S5D1 m2444-2494']</t>
  </si>
  <si>
    <t>LINESTRING Z (141260.05 6499708.14 13.257, 141258.81 6499705.69 13.307, 141256.92 6499702.31 13.357, 141254.18 6499697.38 13.407, 141253.33 6499696.15 13.447, 141251.59 6499692.66 13.477, 141251 6499691.63 13.487, 141250.54 6499690.8 13.477, 141250.14 6499689.93 13.497, 141248.36 6499685.56 13.557, 141246.09 6499679.94 13.657, 141244.31 6499675.48 13.747, 141243 6499672.24 13.797, 141242.45 6499670.34 13.847, 141242.09 6499668.61 13.857, 141241.25 6499664.45 13.937, 141241.03 6499663.35 13.977)</t>
  </si>
  <si>
    <t>POINT (141249.3160682639 6499686.226858937)</t>
  </si>
  <si>
    <t>['FV283 S3D1 m4615-4652']</t>
  </si>
  <si>
    <t>LINESTRING Z (217002.45 6636464.96 18.175, 217000.95 6636466.93 18.175, 216998.21 6636470.53 18.186, 216995.02 6636474.72 18.116, 216992.77 6636477.83 18.056, 216991.7 6636478.82 17.976, 216983.43 6636484.37 18.306, 216985.44 6636481.72 18.296, 216987.94 6636478.48 18.296, 216992.27 6636472.84 18.296, 216996.52 6636467.19 18.295, 217000.97 6636461.4 18.305, 217004.75 6636456.45 18.305, 217006.32 6636454.4 18.305)</t>
  </si>
  <si>
    <t>POLYGON Z ((217002.45 6636464.96 18.175, 217000.95 6636466.93 18.175, 216998.21 6636470.53 18.186, 216995.02 6636474.72 18.116, 216992.77 6636477.83 18.056, 216991.7 6636478.82 17.976, 216983.43 6636484.37 18.306, 216985.44 6636481.72 18.296, 216987.94 6636478.48 18.296, 216992.27 6636472.84 18.296, 216996.52 6636467.19 18.295, 217000.97 6636461.4 18.305, 217004.75 6636456.45 18.305, 217006.32 6636454.4 18.305, 217002.45 6636464.96 18.175))</t>
  </si>
  <si>
    <t>2015-02-16</t>
  </si>
  <si>
    <t>['FV283 S3D1 m4076-4129']</t>
  </si>
  <si>
    <t>LINESTRING Z (217310.16 6636074.58 5.985, 217310.65 6636072.32 5.955, 217311.01 6636069.35 5.935, 217312.43 6636065.96 5.835, 217314.7 6636062.1 5.855, 217316.75 6636058.47 6.035, 217318.75 6636054.78 6.095, 217321.31 6636050.89 6.235, 217324.81 6636046.16 6.315, 217328.02 6636042.1 6.355, 217330.99 6636038.51 6.425, 217334.43 6636035.43 6.575, 217337.51 6636033.8 6.665, 217339.06 6636032.52 6.705, 217336.81 6636035.59 6.625, 217333.7 6636039.88 6.585, 217331.03 6636043.49 6.525, 217327.5 6636048.39 6.465, 217324.24 6636053.36 6.385, 217320.91 6636058.48 6.335, 217317.51 6636063.78 6.215, 217314 6636069.32 6.125, 217311.15 6636073.89 6.045, 217309.32 6636076.82 6.005)</t>
  </si>
  <si>
    <t>POLYGON Z ((217310.16 6636074.58 5.985, 217310.65 6636072.32 5.955, 217311.01 6636069.35 5.935, 217312.43 6636065.96 5.835, 217314.7 6636062.1 5.855, 217316.75 6636058.47 6.035, 217318.75 6636054.78 6.095, 217321.31 6636050.89 6.235, 217324.81 6636046.16 6.315, 217328.02 6636042.1 6.355, 217330.99 6636038.51 6.425, 217334.43 6636035.43 6.575, 217337.51 6636033.8 6.665, 217339.06 6636032.52 6.705, 217336.81 6636035.59 6.625, 217333.7 6636039.88 6.585, 217331.03 6636043.49 6.525, 217327.5 6636048.39 6.465, 217324.24 6636053.36 6.385, 217320.91 6636058.48 6.335, 217317.51 6636063.78 6.215, 217314 6636069.32 6.125, 217311.15 6636073.89 6.045, 217309.32 6636076.82 6.005, 217310.16 6636074.58 5.985))</t>
  </si>
  <si>
    <t>['FV283 S3D1 m4545-4601']</t>
  </si>
  <si>
    <t>LINESTRING Z (217009.89 6636439.31 18.335, 217011.39 6636437.35 18.325, 217014.87 6636433.01 18.315, 217018.19 6636428.62 18.305, 217021.42 6636424.44 18.295, 217025.05 6636419.73 18.265, 217028.64 6636415.11 18.215, 217032.26 6636410.49 18.165, 217034.84 6636407.18 18.125, 217038.04 6636403.11 18.065, 217040.96 6636399.35 18.015, 217043.84 6636395.51 17.935, 217042.5 6636394.42 17.685, 217032.16 6636405.67 17.995, 217023.68 6636416.58 18.055, 217010.75 6636436.57 18.215)</t>
  </si>
  <si>
    <t>POLYGON Z ((217009.89 6636439.31 18.335, 217011.39 6636437.35 18.325, 217014.87 6636433.01 18.315, 217018.19 6636428.62 18.305, 217021.42 6636424.44 18.295, 217025.05 6636419.73 18.265, 217028.64 6636415.11 18.215, 217032.26 6636410.49 18.165, 217034.84 6636407.18 18.125, 217038.04 6636403.11 18.065, 217040.96 6636399.35 18.015, 217043.84 6636395.51 17.935, 217042.5 6636394.42 17.685, 217032.16 6636405.67 17.995, 217023.68 6636416.58 18.055, 217010.75 6636436.57 18.215, 217009.89 6636439.31 18.335))</t>
  </si>
  <si>
    <t>2015-02-24</t>
  </si>
  <si>
    <t>['EV18 S8D10 m14-72']</t>
  </si>
  <si>
    <t>LINESTRING Z (112877.16 6477463.01 60.329, 112877.87 6477461.84 60.279, 112878.65 6477460.52 60.239, 112879.42 6477459.11 60.199, 112880.13 6477457.81 60.159, 112880.98 6477456.12 60.099, 112881.77 6477454.42 60.029, 112882.34 6477453.23 59.979, 112883.05 6477451.57 59.929, 112883.63 6477450.16 59.889, 112884.11 6477448.91 59.849, 112884.52 6477447.7 59.789, 112885.02 6477446.02 59.729, 112885.44 6477444.55 59.669, 112885.76 6477443.07 59.599, 112887.58 6477435.15 59.279, 112889.53 6477426.67 58.869, 112891.24 6477419.11 58.439, 112892.06 6477415.35 58.239, 112892.4 6477413.9 58.149, 112892.68 6477412.72 58.079, 112892.61 6477412.62 58.069, 112892.94 6477411.04 57.919, 112893.12 6477409.83 57.849)</t>
  </si>
  <si>
    <t>POINT (112886.60695171476 6477436.919827953)</t>
  </si>
  <si>
    <t>['EV18 S8D10 m15-58']</t>
  </si>
  <si>
    <t>LINESTRING Z (112891.72 6477467.49 60.409, 112891.78 6477466.67 60.409, 112892 6477465.77 60.399, 112892.28 6477464.92 60.369, 112892.72 6477463.8 60.369, 112893.04 6477462.96 60.349, 112893.54 6477461.71 60.329, 112895.12 6477457.76 60.279, 112896.86 6477453.35 60.219, 112898.01 6477450.49 60.179, 112898.38 6477449.46 60.159, 112898.76 6477448.4 60.139, 112899.67 6477445.66 60.079, 112900.89 6477442.2 59.979, 112902.06 6477438.82 59.909, 112902.75 6477436.71 59.839, 112902.98 6477435.86 59.819, 112903.36 6477434.68 59.779, 112903.83 6477432.96 59.709, 112904.39 6477430.85 59.599, 112904.71 6477428.69 59.469, 112905.01 6477426.33 59.389, 112905.47 6477424.8 59.319)</t>
  </si>
  <si>
    <t>POINT (112899.12567745868 6477446.305797109)</t>
  </si>
  <si>
    <t>2015-03-11</t>
  </si>
  <si>
    <t>[1825]</t>
  </si>
  <si>
    <t>['KV1825 S1D1 m912-969']</t>
  </si>
  <si>
    <t>LINESTRING Z (270860.29875 7037194.58375 -999999, 270854.425 7037181.4075 -999999, 270844.5825 7037166.00875 -999999, 270832.99375 7037147.435 -999999)</t>
  </si>
  <si>
    <t>POINT (270847.28319557896 7037170.67194254)</t>
  </si>
  <si>
    <t>['KV1825 S1D1 m59-101']</t>
  </si>
  <si>
    <t>LINESTRING Z (270192.12 7037201.7275 -999999, 270197.5175 7037201.7275 -999999, 270227.045 7037195.3775 -999999, 270233.23625 7037192.52 -999999)</t>
  </si>
  <si>
    <t>POINT (270212.93017649883 7037198.216440816)</t>
  </si>
  <si>
    <t>[1827]</t>
  </si>
  <si>
    <t>['KV1827 S1D1 m371-426']</t>
  </si>
  <si>
    <t>LINESTRING Z (269431.229940396 7036540.66086464 -999999, 269444.450966037 7036540.50713178 -999999, 269472.891544451 7036530.05329755 -999999, 269483.960310104 7036523.28905188 -999999)</t>
  </si>
  <si>
    <t>POINT (269458.3320081657 7036534.544746281)</t>
  </si>
  <si>
    <t>['KV1827 S1D1 m442-492']</t>
  </si>
  <si>
    <t>LINESTRING Z (269492.876815768 7036507.60830054 -999999, 269505.944108553 7036497.00073345 -999999, 269522.086058464 7036487.16183065 -999999, 269535.92201553 7036481.78118068 -999999)</t>
  </si>
  <si>
    <t>POINT (269513.5546208387 7036493.249620542)</t>
  </si>
  <si>
    <t>['KV1827 S1D1 m895-943']</t>
  </si>
  <si>
    <t>LINESTRING Z (269865.371526562 7036298.53161598 -999999, 269868.7536494 7036287.61658318 -999999, 269875.210429364 7036278.39261181 -999999, 269883.66573646 7036267.1701133 -999999, 269896.11809782 7036260.40586762 -999999)</t>
  </si>
  <si>
    <t>POINT (269877.9211689276 7036277.093944287)</t>
  </si>
  <si>
    <t>['KV1827 S1D1 m972-1028']</t>
  </si>
  <si>
    <t>LINESTRING Z (269925.481073371 7036253.02669052 -999999, 269961.6082946 7036241.65045915 -999999, 269968.372540276 7036240.4205963 -999999, 269977.903977367 7036239.80566488 -999999)</t>
  </si>
  <si>
    <t>POINT (269951.4651050719 7036245.26967347)</t>
  </si>
  <si>
    <t>['KV3790 S2D1 m90-130']</t>
  </si>
  <si>
    <t>LINESTRING Z (270590.42375 7039269.9225 -999999, 270589.9475 7039256.74625 -999999, 270593.59875 7039237.855 -999999, 270597.5675 7039230.71125 -999999)</t>
  </si>
  <si>
    <t>POINT (270592.02449183865 7039249.887499377)</t>
  </si>
  <si>
    <t>['KV4300 S1D1 m131-172']</t>
  </si>
  <si>
    <t>LINESTRING Z (270526.4475 7038045.48375 -999999, 270526.92375 7038035.00625 -999999, 270522.32 7038012.94 -999999, 270518.8275 7038005.47875 -999999)</t>
  </si>
  <si>
    <t>POINT (270524.3382655501 7038025.161409492)</t>
  </si>
  <si>
    <t>['KV4300 S1D1 m515-563']</t>
  </si>
  <si>
    <t>LINESTRING Z (270370.71375 7037697.0275 -999999, 270366.90375 7037685.75625 -999999, 270353.0925 7037667.5 -999999, 270342.615 7037658.45125 -999999)</t>
  </si>
  <si>
    <t>POINT (270358.6965498489 7037676.353622025)</t>
  </si>
  <si>
    <t>['KV4300 S1D1 m208-251']</t>
  </si>
  <si>
    <t>LINESTRING Z (270500.25375 7037973.57 -999999, 270493.26875 7037956.90125 -999999, 270489.3 7037943.09 -999999, 270488.82375 7037932.13625 -999999)</t>
  </si>
  <si>
    <t>POINT (270493.0033565339 7037953.213311087)</t>
  </si>
  <si>
    <t>['KV4300 S1D1 m631-682']</t>
  </si>
  <si>
    <t>LINESTRING Z (270292.60875 7037612.73125 -999999, 270276.575 7037599.71375 -999999, 270264.66875 7037585.10875 -999999, 270259.58875 7037573.52 -999999)</t>
  </si>
  <si>
    <t>POINT (270274.0937044473 7037594.703173241)</t>
  </si>
  <si>
    <t>['KV4300 S1D1 m1584-1619']</t>
  </si>
  <si>
    <t>LINESTRING Z (269719.3625 7036944.39375 -999999, 269722.855 7036952.49 -999999, 269730.1575 7036960.745 -999999, 269733.9675 7036963.92 -999999, 269744.1275 7036970.905 -999999)</t>
  </si>
  <si>
    <t>POINT (269730.13132897945 7036959.024114922)</t>
  </si>
  <si>
    <t>['KV4300 S1D1 m2409-2454']</t>
  </si>
  <si>
    <t>LINESTRING Z (270082.265 7036322.8875 -999999, 270080.995 7036331.61875 -999999, 270084.64625 7036348.12875 -999999, 270089.72625 7036366.86125 -999999)</t>
  </si>
  <si>
    <t>POINT (270084.46497368487 7036344.983480154)</t>
  </si>
  <si>
    <t>[8502]</t>
  </si>
  <si>
    <t>['KV8502 S1D1 m116-171']</t>
  </si>
  <si>
    <t>LINESTRING Z (269358.356723193 7035102.24120051 -999999, 269368.813056526 7035104.85528384 -999999, 269377.343223193 7035107.88211717 -999999, 269387.799556526 7035113.24786718 -999999, 269399.906889859 7035119.98945051 -999999, 269408.161889859 7035123.15386717 -999999)</t>
  </si>
  <si>
    <t>POINT (269383.594297589 7035111.810147418)</t>
  </si>
  <si>
    <t>['KV8502 S1D1 m166-209']</t>
  </si>
  <si>
    <t>LINESTRING Z (269400.869973193 7035130.58336717 -999999, 269411.326306526 7035134.71086718 -999999, 269433.202056526 7035136.91220051 -999999, 269445.034223193 7035134.29811717 -999999)</t>
  </si>
  <si>
    <t>POINT (269422.76031444466 7035134.971896949)</t>
  </si>
  <si>
    <t>['KV8502 S1D1 m609-646']</t>
  </si>
  <si>
    <t>LINESTRING Z (269827.240723193 7035067.57020051 -999999, 269822.975639859 7035058.62728384 -999999, 269819.398473193 7035042.80520051 -999999, 269818.710556526 7035033.31195051 -999999)</t>
  </si>
  <si>
    <t>POINT (269821.707495178 7035050.7781606475)</t>
  </si>
  <si>
    <t>[2010]</t>
  </si>
  <si>
    <t>['KV2010 S1D1 m16-42']</t>
  </si>
  <si>
    <t>LINESTRING Z (272788 7039448.51625 -999999, 272791.81 7039443.595 -999999, 272796.5725 7039441.055 -999999, 272800.54125 7039439.4675 -999999, 272808.16125 7039438.8325 -999999, 272814.3525 7039440.57875 -999999)</t>
  </si>
  <si>
    <t>POINT (272800.1779770929 7039441.433243365)</t>
  </si>
  <si>
    <t>[2335]</t>
  </si>
  <si>
    <t>['KV2335 S2D1 m91-132']</t>
  </si>
  <si>
    <t>LINESTRING Z (273518.09125 7040081.29375 -999999, 273522.85375 7040074.30875 -999999, 273526.1875 7040069.705 -999999, 273533.64875 7040061.29125 -999999, 273539.99875 7040054.465 -999999, 273546.5075 7040051.13125 -999999)</t>
  </si>
  <si>
    <t>POINT (273531.140526742 7040064.95296515)</t>
  </si>
  <si>
    <t>[3275]</t>
  </si>
  <si>
    <t>['KV3275 S1D1 m223-278']</t>
  </si>
  <si>
    <t>LINESTRING Z (269010.155647015 7033360.38926655 -999999, 269021.070679811 7033350.24289803 -999999, 269027.834925488 7033345.16971378 -999999, 269033.98423974 7033339.78906381 -999999, 269040.59475256 7033334.10094812 -999999, 269052.739648207 7033327.33670245 -999999)</t>
  </si>
  <si>
    <t>POINT (269030.7645047997 7033342.917791952)</t>
  </si>
  <si>
    <t>[3485]</t>
  </si>
  <si>
    <t>['KV3485 S2D1 m937-994']</t>
  </si>
  <si>
    <t>LINESTRING Z (269956.073911773 7034030.35705426 -999999, 269972.215861684 7034027.89732856 -999999, 269995.58325584 7034021.59428146 -999999, 270010.956541469 7034013.75390578 -999999)</t>
  </si>
  <si>
    <t>POINT (269984.10231891106 7034023.871971055)</t>
  </si>
  <si>
    <t>['KV3485 S2D1 m556-624']</t>
  </si>
  <si>
    <t>LINESTRING Z (269657.370972 7034120.44450805 -999999, 269640.152892095 7034129.97594514 -999999, 269608.637656556 7034140.12231366 -999999, 269593.571836639 7034143.96563506 -999999)</t>
  </si>
  <si>
    <t>POINT (269626.1134179631 7034133.807139813)</t>
  </si>
  <si>
    <t>['KV3485 S2D1 m321-394']</t>
  </si>
  <si>
    <t>LINESTRING Z (269437.379254647 7034187.16456768 -999999, 269429.38514612 7034191.77655337 -999999, 269424.158229006 7034194.39001193 -999999, 269418.316380467 7034196.84973763 -999999, 269405.556553395 7034201.00052475 -999999, 269387.723542065 7034206.22744186 -999999, 269369.121866454 7034212.37675611 -999999)</t>
  </si>
  <si>
    <t>POINT (269403.75510414585 7034200.953639573)</t>
  </si>
  <si>
    <t>[4525]</t>
  </si>
  <si>
    <t>['KV4525 S1D1 m127-173']</t>
  </si>
  <si>
    <t>LINESTRING Z (269919.146389859 7034998.36578384 -999999, 269923.549056526 7034986.94636718 -999999, 269924.924889859 7034972.36253384 -999999, 269922.585973192 7034952.68811718 -999999)</t>
  </si>
  <si>
    <t>POINT (269923.2754902163 7034975.794618982)</t>
  </si>
  <si>
    <t>['KV4300 S1D1 m1312-1363']</t>
  </si>
  <si>
    <t>LINESTRING Z (269930.5 7037077.9025 -999999, 269950.66125 7037077.9025 -999999, 269962.40875 7037080.28375 -999999, 269979.55375 7037086.63375 -999999)</t>
  </si>
  <si>
    <t>POINT (269955.3940862574 7037080.199846868)</t>
  </si>
  <si>
    <t>['KV4300 S1D1 m1313-1359']</t>
  </si>
  <si>
    <t>LINESTRING Z (269978.28375 7037093.46 -999999, 269963.67875 7037093.7775 -999999, 269950.97875 7037091.71375 -999999, 269940.3425 7037089.49125 -999999, 269932.24625 7037088.0625 -999999)</t>
  </si>
  <si>
    <t>POINT (269955.17519532377 7037091.818682867)</t>
  </si>
  <si>
    <t>['KV3790 S2D1 m40-79']</t>
  </si>
  <si>
    <t>LINESTRING Z (270596.615 7039281.82875 -999999, 270596.2975 7039289.44875 -999999, 270594.55125 7039299.29125 -999999, 270593.1225 7039307.705 -999999, 270591.69375 7039315.16625 -999999, 270587.88375 7039319.61125 -999999)</t>
  </si>
  <si>
    <t>POINT (270593.8695097212 7039301.331100479)</t>
  </si>
  <si>
    <t>2015-03-16</t>
  </si>
  <si>
    <t>[255]</t>
  </si>
  <si>
    <t>['FV255 S10D1 m267-295']</t>
  </si>
  <si>
    <t>LINESTRING Z (210895.31 6839729.42 687.797, 210898.21 6839727.83 687.567, 210902.08 6839724.52 687.227, 210904.88 6839722.38 687.027, 210906.95 6839721.38 686.937, 210910.07 6839720.81 686.847, 210912.49 6839720.95 686.737, 210917.17 6839721.92 686.617, 210921.8 6839721.37 686.457)</t>
  </si>
  <si>
    <t>POINT (210907.9270099216 6839723.3009006735)</t>
  </si>
  <si>
    <t>2015-03-17</t>
  </si>
  <si>
    <t>['KV3255 S1D1 m123-161']</t>
  </si>
  <si>
    <t>LINESTRING Z (274086.575 7040589.29375 -999999, 274089.27375 7040582.4675 -999999, 274090.385 7040574.37125 -999999, 274090.22625 7040568.33875 -999999, 274087.5275 7040559.6075 -999999, 274084.51125 7040551.9875 -999999, 274083.0825 7040549.765 -999999)</t>
  </si>
  <si>
    <t>POINT (274088.21638479026 7040569.3148890985)</t>
  </si>
  <si>
    <t>['KV6260 S1D1 m1648-1682']</t>
  </si>
  <si>
    <t>LINESTRING Z (268316.713306526 7041447.03420051 -999999, 268349.595723193 7041435.47720051 -999999)</t>
  </si>
  <si>
    <t>POINT (268333.15451485955 7041441.25570051)</t>
  </si>
  <si>
    <t>['KV6260 S1D1 m1690-1721']</t>
  </si>
  <si>
    <t>LINESTRING Z (268277.639639859 7041436.85303384 -999999, 268287.270473193 7041435.88995051 -999999, 268300.616056526 7041437.12820051 -999999, 268305.844223193 7041438.09128384 -999999)</t>
  </si>
  <si>
    <t>POINT (268291.76625215844 7041436.66822944)</t>
  </si>
  <si>
    <t>['KV6260 S1D1 m2047-2082']</t>
  </si>
  <si>
    <t>LINESTRING Z (268383.441223193 7041209.42778384 -999999, 268393.897556526 7041200.62245051 -999999, 268400.639139859 7041194.70636717 -999999, 268410.820306526 7041187.96478384 -999999)</t>
  </si>
  <si>
    <t>POINT (268396.8601133006 7041198.334142852)</t>
  </si>
  <si>
    <t>['KV1184 S1D1 m502 KD1 m10-23']</t>
  </si>
  <si>
    <t>LINESTRING Z (269271.117170569 7039866.36374478 -999999, 269281.109806228 7039868.5928712 -999999, 269283.031466931 7039868.90033691 -999999, 269284.722528351 7039870.28393262 -999999, 269285.56805906 7039872.20559332 -999999, 269286.259856913 7039873.35858974 -999999, 269286.259856913 7039875.66458259 -999999, 269285.798658345 7039877.35564401 -999999)</t>
  </si>
  <si>
    <t>POLYGON Z ((269271.117170569 7039866.36374478 -999999, 269281.109806228 7039868.5928712 -999999, 269283.031466931 7039868.90033691 -999999, 269284.722528351 7039870.28393262 -999999, 269285.56805906 7039872.20559332 -999999, 269286.259856913 7039873.35858974 -999999, 269286.259856913 7039875.66458259 -999999, 269285.798658345 7039877.35564401 -999999, 269271.117170569 7039866.36374478 -999999))</t>
  </si>
  <si>
    <t>['KV1184 S2D1 m600-635']</t>
  </si>
  <si>
    <t>LINESTRING Z (268749.068032227 7040213.165 -999999, 268757.005532227 7040211.15416667 -999999, 268780.500532227 7040198.03083333 -999999)</t>
  </si>
  <si>
    <t>POINT (268765.0866820506 7040206.357779714)</t>
  </si>
  <si>
    <t>['KV1184 S2D1 m798-849']</t>
  </si>
  <si>
    <t>LINESTRING Z (268559.94386556 7040310.21416667 -999999, 268567.034698893 7040303.6525 -999999, 268596.350532227 7040287.03666667 -999999, 268603.653032227 7040285.34333333 -999999)</t>
  </si>
  <si>
    <t>POINT (268580.93333982106 7040296.19670174)</t>
  </si>
  <si>
    <t>['KV1184 S2D1 m773-824']</t>
  </si>
  <si>
    <t>LINESTRING Z (268586.719698893 7040307.35666667 -999999, 268593.28136556 7040305.02833333 -999999, 268623.232198893 7040288.095 -999999, 268630.640532226 7040281.745 -999999)</t>
  </si>
  <si>
    <t>POINT (268609.33556261443 7040295.651427095)</t>
  </si>
  <si>
    <t>['KV1184 S2D1 m1163-1253']</t>
  </si>
  <si>
    <t>LINESTRING Z (268214.398032227 7040519.44666667 -999999, 268226.25136556 7040516.3775 -999999, 268285.30636556 7040482.29916667 -999999, 268292.60886556 7040475.84333333 -999999)</t>
  </si>
  <si>
    <t>POINT (268254.5510620413 7040499.669670073)</t>
  </si>
  <si>
    <t>[7270]</t>
  </si>
  <si>
    <t>['KV7270 S1D1 m628-679']</t>
  </si>
  <si>
    <t>LINESTRING Z (268183.807806526 7040596.35645051 -999999, 268178.717223193 7040584.66186717 -999999, 268175.690389859 7040573.38003384 -999999, 268172.663556526 7040559.89686717 -999999, 268172.113223193 7040546.13853384 -999999)</t>
  </si>
  <si>
    <t>POINT (268176.12034583377 7040571.66595876)</t>
  </si>
  <si>
    <t>[2020]</t>
  </si>
  <si>
    <t>['KV2020 S1D1 m400-459']</t>
  </si>
  <si>
    <t>LINESTRING Z (268079.610667885 7040141.23809183 -999999, 268078.073339322 7040128.01706619 -999999, 268069.925497939 7040099.88395349 -999999, 268063.776183687 7040084.51066786 -999999)</t>
  </si>
  <si>
    <t>POINT (268073.0881549182 7040112.514237253)</t>
  </si>
  <si>
    <t>['KV2020 S1D1 m1046-1095']</t>
  </si>
  <si>
    <t>LINESTRING Z (267841.171007778 7039495.56009541 -999999, 267844.860596329 7039503.55420394 -999999, 267858.235354826 7039527.07533095 -999999, 267866.536929066 7039537.37543232 -999999)</t>
  </si>
  <si>
    <t>POINT (267852.9383921383 7039517.045703016)</t>
  </si>
  <si>
    <t>['KV2020 S1D1 m1210-1247']</t>
  </si>
  <si>
    <t>LINESTRING Z (267770.146428172 7039358.89158617 -999999, 267777.67933813 7039364.27223614 -999999, 267781.522659537 7039370.7290161 -999999, 267787.518240932 7039379.1843232 -999999, 267790.592898058 7039383.64257603 -999999, 267792.283959477 7039389.48442457 -999999)</t>
  </si>
  <si>
    <t>POINT (267782.74667380896 7039373.033972236)</t>
  </si>
  <si>
    <t>['KV2020 S1D1 m1649-1689']</t>
  </si>
  <si>
    <t>LINESTRING Z (267516.333482435 7039003.46122242 -999999, 267519.561872417 7039006.99707812 -999999, 267526.172385238 7039016.06731664 -999999, 267534.320226621 7039026.52115086 -999999, 267536.933685178 7039033.28539654 -999999, 267536.165020897 7039039.89590936 -999999)</t>
  </si>
  <si>
    <t>POINT (267528.83936012286 7039020.778703532)</t>
  </si>
  <si>
    <t>['KV2020 S1D1 m1720-1762']</t>
  </si>
  <si>
    <t>LINESTRING Z (267490.967561147 7038985.32074538 -999999, 267484.049582614 7038979.78636255 -999999, 267470.367358404 7038961.49215265 -999999, 267467.446434135 7038958.26376267 -999999, 267465.755372715 7038949.80845558 -999999)</t>
  </si>
  <si>
    <t>POINT (267476.3947685762 7038968.748876466)</t>
  </si>
  <si>
    <t>['KV2020 S1D1 m1991-2035']</t>
  </si>
  <si>
    <t>LINESTRING Z (267407.029421612 7038729.50927251 -999999, 267404.877161624 7038718.13304114 -999999, 267406.414490187 7038697.68657126 -999999, 267411.026475876 7038684.61927847 -999999)</t>
  </si>
  <si>
    <t>POINT (267406.6507620144 7038706.865327216)</t>
  </si>
  <si>
    <t>['KV2020 S1D1 m2045-2089']</t>
  </si>
  <si>
    <t>LINESTRING Z (267420.40418011 7038675.24157424 -999999, 267423.940035804 7038662.78921288 -999999, 267426.246028649 7038641.88154442 -999999, 267425.938562936 7038632.04264162 -999999)</t>
  </si>
  <si>
    <t>POINT (267424.4546922202 7038653.809191731)</t>
  </si>
  <si>
    <t>['KV5410 S1D1 m124-184']</t>
  </si>
  <si>
    <t>LINESTRING Z (267200.774889859 7038153.15161718 -999999, 267216.872139859 7038164.02070051 -999999, 267240.398889859 7038188.51053384 -999999, 267244.251223192 7038194.28903384 -999999)</t>
  </si>
  <si>
    <t>POINT (267223.83276566374 7038172.315766595)</t>
  </si>
  <si>
    <t>['KV5410 S1D1 m203-249']</t>
  </si>
  <si>
    <t>LINESTRING Z (267148.080473193 7038114.76586718 -999999, 267153.446223193 7038123.70878384 -999999, 267161.976389859 7038131.27586718 -999999, 267174.634056526 7038143.65836717 -999999, 267181.100473193 7038146.68520051 -999999)</t>
  </si>
  <si>
    <t>POINT (267163.26061620266 7038132.135960262)</t>
  </si>
  <si>
    <t>['KV1780 S1D1 m26-64']</t>
  </si>
  <si>
    <t>LINESTRING Z (268107.436314874 7040536.79273107 -999999, 268116.967751964 7040532.94940966 -999999, 268127.729051904 7040530.64341682 -999999, 268145.715796091 7040530.48968396 -999999)</t>
  </si>
  <si>
    <t>POINT (268126.2769794485 7040532.037731933)</t>
  </si>
  <si>
    <t>['KV6540 S1D1 m549-598', 'KV6540 S1D1 m598-602']</t>
  </si>
  <si>
    <t>LINESTRING Z (268353.005028288 7037879.16088198 -999999, 268364.601859901 7037874.7798567 -999999, 268394.495914725 7037873.10475881 -999999, 268406.865868445 7037877.3569304 -999999)</t>
  </si>
  <si>
    <t>POINT (268379.8960387893 7037874.923805457)</t>
  </si>
  <si>
    <t>['KV6540 S1D1 m892-967']</t>
  </si>
  <si>
    <t>LINESTRING Z (268693.632749048 7037853.29412133 -999999, 268710.358681724 7037847.20416635 -999999, 268755.733134983 7037840.25647124 -999999, 268767.65572289 7037840.68534131 -999999)</t>
  </si>
  <si>
    <t>POINT (268730.25731251057 7037844.750368264)</t>
  </si>
  <si>
    <t>['KV6540 S1D1 m927-971']</t>
  </si>
  <si>
    <t>LINESTRING Z (268729.657834811 7037854.58073153 -999999, 268743.295902993 7037854.58073153 -999999, 268758.563677436 7037852.35060717 -999999, 268773.145259768 7037847.80458445 -999999)</t>
  </si>
  <si>
    <t>POINT (268751.62544710975 7037852.641580729)</t>
  </si>
  <si>
    <t>[6535]</t>
  </si>
  <si>
    <t>['KV6535 S1D1 m626-661']</t>
  </si>
  <si>
    <t>LINESTRING Z (268534.782889859 7037295.45711717 -999999, 268529.004389859 7037285.41353384 -999999, 268520.611806526 7037273.99411717 -999999, 268513.732639859 7037267.25253384 -999999)</t>
  </si>
  <si>
    <t>POINT (268525.0498184662 7037280.746100932)</t>
  </si>
  <si>
    <t>['KV6535 S1D1 m616-659']</t>
  </si>
  <si>
    <t>LINESTRING Z (268534.782889859 7037308.94028384 -999999, 268524.188973193 7037299.44703384 -999999, 268512.769556526 7037282.93703384 -999999, 268508.504473193 7037274.68203384 -999999)</t>
  </si>
  <si>
    <t>POINT (268520.39943877846 7037292.79544068)</t>
  </si>
  <si>
    <t>['KV6535 S1D1 m930-981']</t>
  </si>
  <si>
    <t>LINESTRING Z (268224.119723193 7037318.29595051 -999999, 268235.951889859 7037319.53420051 -999999, 268255.075973193 7037315.54428384 -999999, 268262.230306526 7037313.48053384 -999999, 268274.612806526 7037307.15170051 -999999)</t>
  </si>
  <si>
    <t>POINT (268249.9139015212 7037315.519425605)</t>
  </si>
  <si>
    <t>['KV6535 S1D1 m1022-1065']</t>
  </si>
  <si>
    <t>LINESTRING Z (268142.807973193 7037294.35645051 -999999, 268157.391806526 7037296.55778384 -999999, 268171.700473193 7037300.96045051 -999999, 268183.945389859 7037306.05103384 -999999)</t>
  </si>
  <si>
    <t>POINT (268163.6851527811 7037299.090505935)</t>
  </si>
  <si>
    <t>['KV6535 S1D1 m1251-1289']</t>
  </si>
  <si>
    <t>LINESTRING Z (267921.298806526 7037263.26261717 -999999, 267931.479973193 7037259.27270051 -999999, 267946.614139859 7037257.62170051 -999999, 267959.959723193 7037257.89686717 -999999)</t>
  </si>
  <si>
    <t>POINT (267940.35484712076 7037258.995433677)</t>
  </si>
  <si>
    <t>[5435]</t>
  </si>
  <si>
    <t>['KV5435 S1D1 m992-1035']</t>
  </si>
  <si>
    <t>LINESTRING Z (267844.114556526 7037171.35695051 -999999, 267841.638056526 7037162.68920051 -999999, 267834.896473193 7037147.96778384 -999999, 267824.577723193 7037132.55845051 -999999)</t>
  </si>
  <si>
    <t>POINT (267835.6011817455 7037151.352202581)</t>
  </si>
  <si>
    <t>['KV5435 S1D1 m1071-1126']</t>
  </si>
  <si>
    <t>LINESTRING Z (267817.285806526 7037104.07870051 -999999, 267829.805889859 7037090.59553384 -999999, 267838.060889859 7037084.12911718 -999999, 267847.278973193 7037076.83720051 -999999, 267860.762139859 7037070.37078384 -999999)</t>
  </si>
  <si>
    <t>POINT (267837.7456203716 7037085.508528042)</t>
  </si>
  <si>
    <t>['KV5435 S1D1 m1458-1471']</t>
  </si>
  <si>
    <t>LINESTRING Z (268070.714306526 7036893.16345051 -999999, 268074.566639859 7036890.41178384 -999999, 268079.657223193 7036890.27420051 -999999, 268085.298139859 7036890.41178384 -999999, 268089.700806526 7036890.27420051 -999999)</t>
  </si>
  <si>
    <t>POINT (268079.87249427696 7036890.687113469)</t>
  </si>
  <si>
    <t>[6283]</t>
  </si>
  <si>
    <t>['KV6283 S1D1 m777-809']</t>
  </si>
  <si>
    <t>LINESTRING Z (268447.967806526 7036183.78378384 -999999, 268448.105389859 7036172.91470051 -999999, 268445.491306526 7036164.24695051 -999999, 268440.951056526 7036152.55236717 -999999)</t>
  </si>
  <si>
    <t>POINT (268445.83076335344 7036167.917392761)</t>
  </si>
  <si>
    <t>['KV6283 S1D1 m778-812']</t>
  </si>
  <si>
    <t>LINESTRING Z (268439.437639859 7036183.92136717 -999999, 268435.722889859 7036173.74020051 -999999, 268431.595389859 7036161.35770051 -999999, 268430.081973193 7036151.17653384 -999999)</t>
  </si>
  <si>
    <t>POINT (268434.0530446605 7036167.728709235)</t>
  </si>
  <si>
    <t>2015-03-19</t>
  </si>
  <si>
    <t>['KV5410 S1D1 m1019-1069']</t>
  </si>
  <si>
    <t>LINESTRING Z (266684.424639859 7037503.20795051 -999999, 266681.397806526 7037493.43953384 -999999, 266669.840806526 7037467.71145051 -999999, 266667.639473193 7037463.58395051 -999999, 266663.649556526 7037458.76853384 -999999)</t>
  </si>
  <si>
    <t>POINT (266675.2144164655 7037480.38019119)</t>
  </si>
  <si>
    <t>['KV5410 S1D1 m1142-1179']</t>
  </si>
  <si>
    <t>LINESTRING Z (266647.965056526 7037388.05070051 -999999, 266647.001973193 7037378.55745051 -999999, 266650.716723193 7037357.91995051 -999999, 266654.844223193 7037349.94011718 -999999)</t>
  </si>
  <si>
    <t>POINT (266649.4188991366 7037368.623633379)</t>
  </si>
  <si>
    <t>['KV5410 S1D1 m751-787']</t>
  </si>
  <si>
    <t>LINESTRING Z (266828.749556526 7037729.39495051 -999999, 266819.531473193 7037718.25070051 -999999, 266813.615389859 7037709.85811717 -999999, 266809.212723193 7037699.12661718 -999999)</t>
  </si>
  <si>
    <t>POINT (266817.9385078821 7037714.8901277855)</t>
  </si>
  <si>
    <t>['KV5410 S1D1 m682-724']</t>
  </si>
  <si>
    <t>LINESTRING Z (266852.826639859 7037745.49220051 -999999, 266859.155473193 7037752.64653384 -999999, 266868.235973193 7037765.30420051 -999999, 266873.464139859 7037773.00886718 -999999, 266876.353389859 7037780.16320051 -999999)</t>
  </si>
  <si>
    <t>POINT (266865.58242328133 7037762.202743725)</t>
  </si>
  <si>
    <t>[1615]</t>
  </si>
  <si>
    <t>['KV1615 S1D1 m20-58']</t>
  </si>
  <si>
    <t>LINESTRING Z (266722.677198893 7037250.99583333 -999999, 266728.498032226 7037244.2225 -999999, 266737.388032226 7037230.67583333 -999999, 266742.785532226 7037219.66916667 -999999)</t>
  </si>
  <si>
    <t>POINT (266733.5282792096 7037235.8509904025)</t>
  </si>
  <si>
    <t>['KV1615 S1D1 m29-75']</t>
  </si>
  <si>
    <t>LINESTRING Z (266715.057198893 7037234.80333333 -999999, 266734.00136556 7037207.81583333 -999999, 266742.785532226 7037199.34916667 -999999)</t>
  </si>
  <si>
    <t>POINT (266728.27368755307 7037216.5218894975)</t>
  </si>
  <si>
    <t>['KV1615 S1D1 m1059-1108']</t>
  </si>
  <si>
    <t>LINESTRING Z (267039.076532227 7036827.7895 -999999, 267049.670448893 7036841.54783334 -999999, 267064.80461556 7036855.8565 -999999, 267072.922032227 7036861.635 -999999)</t>
  </si>
  <si>
    <t>POINT (267055.0044566086 7036845.720019128)</t>
  </si>
  <si>
    <t>['KV1615 S1D1 m1123-1151', 'KV1615 S1D1 m1151-1161']</t>
  </si>
  <si>
    <t>LINESTRING Z (267090.647203365 7036864.26852713 -999999, 267100.332373312 7036871.03277281 -999999, 267106.789153276 7036877.95075134 -999999, 267112.169803246 7036885.02246273 -999999, 267115.398193228 7036895.63002981 -999999)</t>
  </si>
  <si>
    <t>POINT (267105.2723199139 7036878.295631597)</t>
  </si>
  <si>
    <t>['KV1615 S1D1 m762-810']</t>
  </si>
  <si>
    <t>LINESTRING Z (266801.332532227 7036728.86708334 -999999, 266813.990198893 7036727.0785 -999999, 266835.040448893 7036726.11541667 -999999, 266849.624282227 7036728.86708334 -999999)</t>
  </si>
  <si>
    <t>POINT (266825.52102413133 7036727.23067842)</t>
  </si>
  <si>
    <t>['KV1615 S1D1 m744-800']</t>
  </si>
  <si>
    <t>LINESTRING Z (266783.033948893 7036736.29658333 -999999, 266802.020448893 7036739.87375 -999999, 266821.557282227 7036740.01133334 -999999, 266839.580698893 7036737.39725 -999999)</t>
  </si>
  <si>
    <t>POINT (266811.26105341566 7036738.918594872)</t>
  </si>
  <si>
    <t>['KV5085 S1D1 m1012-1048']</t>
  </si>
  <si>
    <t>LINESTRING Z (267630.722806526 7036268.39753384 -999999, 267639.940889859 7036267.57203384 -999999, 267644.481139859 7036267.43445051 -999999, 267649.158973193 7036268.39753384 -999999, 267661.816639859 7036270.04853384 -999999, 267667.182389859 7036272.52503384 -999999)</t>
  </si>
  <si>
    <t>POINT (267649.1789581771 7036268.865480181)</t>
  </si>
  <si>
    <t>['KV5085 S1D1 m970-988']</t>
  </si>
  <si>
    <t>LINESTRING Z (267690.296389859 7036281.74311718 -999999, 267696.350056526 7036280.91761718 -999999, 267709.558056526 7036273.62570051 -999999)</t>
  </si>
  <si>
    <t>POINT (267700.17810952384 7036278.441522225)</t>
  </si>
  <si>
    <t>['KV5085 S1D1 m678-726']</t>
  </si>
  <si>
    <t>LINESTRING Z (267771.057806526 7036037.11995051 -999999, 267775.185306526 7036021.57303384 -999999, 267776.423556526 7036002.58653384 -999999, 267774.772556526 7035988.41545051 -999999)</t>
  </si>
  <si>
    <t>POINT (267774.8708474186 7036012.914443605)</t>
  </si>
  <si>
    <t>['KV5085 S1D1 m608-651']</t>
  </si>
  <si>
    <t>LINESTRING Z (267764.728973192 7035918.93586718 -999999, 267763.903473192 7035933.51970051 -999999, 267765.692056526 7035953.60686718 -999999, 267766.655139859 7035961.99945051 -999999)</t>
  </si>
  <si>
    <t>POINT (267764.90392988955 7035940.487750663)</t>
  </si>
  <si>
    <t>[8475]</t>
  </si>
  <si>
    <t>['KV8475 S1D1 m721-777']</t>
  </si>
  <si>
    <t>LINESTRING Z (266912.125056526 7035794.14778384 -999999, 266906.484139859 7035785.89278384 -999999, 266904.557973193 7035779.01361717 -999999, 266900.017723193 7035753.42311717 -999999, 266898.641889859 7035747.50703384 -999999, 266900.568056526 7035738.83928384 -999999)</t>
  </si>
  <si>
    <t>POINT (266903.17384957604 7035767.141963197)</t>
  </si>
  <si>
    <t>['KV8475 S1D1 m844-915']</t>
  </si>
  <si>
    <t>LINESTRING Z (267003.480389859 7035895.68428384 -999999, 266993.849556526 7035882.88903384 -999999, 266974.312723193 7035864.31528384 -999999, 266953.262473193 7035847.25495051 -999999)</t>
  </si>
  <si>
    <t>POINT (266979.5667780563 7035870.2970514195)</t>
  </si>
  <si>
    <t>['KV8475 S1D1 m1020-1089']</t>
  </si>
  <si>
    <t>LINESTRING Z (267123.453056526 7036022.12336717 -999999, 267106.805473193 7036010.70395051 -999999, 267098.963223193 7036003.82478384 -999999, 267085.342473193 7035990.47920051 -999999, 267073.372723193 7035975.06986717 -999999)</t>
  </si>
  <si>
    <t>POINT (267096.8656454156 7036000.241639142)</t>
  </si>
  <si>
    <t>['KV8475 S1D1 m1099-1171']</t>
  </si>
  <si>
    <t>LINESTRING Z (267188.942723193 7036071.79095051 -999999, 267180.550139859 7036061.33461717 -999999, 267170.368973193 7036051.56620051 -999999, 267158.399223193 7036039.87161717 -999999, 267147.530139859 7036030.65353384 -999999, 267136.110723193 7036022.81128384 -999999)</t>
  </si>
  <si>
    <t>POINT (267163.74787738454 7036045.979405728)</t>
  </si>
  <si>
    <t>['KV3055 S1D1 m221-257']</t>
  </si>
  <si>
    <t>LINESTRING Z (267197.337805631 7036480.09011926 -999999, 267205.946845584 7036477.93785927 -999999, 267225.009719764 7036463.64070364 -999999, 267228.08437689 7036459.18245081 -999999)</t>
  </si>
  <si>
    <t>POINT (267213.82985023514 7036471.371664254)</t>
  </si>
  <si>
    <t>['KV3055 S1D1 m282-319']</t>
  </si>
  <si>
    <t>LINESTRING Z (267137.535724534 7036495.7708706 -999999, 267145.683565918 7036492.54248062 -999999, 267152.294078738 7036489.16035778 -999999, 267158.750858702 7036487.62302922 -999999, 267163.670310104 7036486.08570066 -999999, 267172.1256172 7036484.54837209 -999999)</t>
  </si>
  <si>
    <t>POINT (267154.57159549237 7036489.333399245)</t>
  </si>
  <si>
    <t>[6420]</t>
  </si>
  <si>
    <t>['KV6420 S1D1 m99-137']</t>
  </si>
  <si>
    <t>LINESTRING Z (267305.475806526 7034386.25753384 -999999, 267297.908723193 7034383.78103384 -999999, 267287.865139859 7034382.26761718 -999999, 267277.821556526 7034380.89178384 -999999, 267268.603473193 7034379.65353384 -999999)</t>
  </si>
  <si>
    <t>POINT (267287.1704130607 7034382.375882773)</t>
  </si>
  <si>
    <t>['KV6420 S1D1 m995-1054']</t>
  </si>
  <si>
    <t>LINESTRING Z (268065.210973193 7034696.92070051 -999999, 268059.019723193 7034689.07845051 -999999, 268045.261389859 7034655.09536717 -999999, 268042.096973193 7034641.88736717 -999999)</t>
  </si>
  <si>
    <t>POINT (268051.88728206034 7034670.235554149)</t>
  </si>
  <si>
    <t>['KV6420 S1D1 m1096-1154']</t>
  </si>
  <si>
    <t>LINESTRING Z (268112.952389859 7034784.97403384 -999999, 268107.999389859 7034765.29961717 -999999, 268096.304806526 7034740.53461717 -999999, 268090.113556526 7034731.04136717 -999999)</t>
  </si>
  <si>
    <t>POINT (268103.2963049833 7034757.266647069)</t>
  </si>
  <si>
    <t>['KV6420 S1D1 m1921-1983']</t>
  </si>
  <si>
    <t>LINESTRING Z (267472.501973193 7034940.16803384 -999999, 267487.085806526 7034940.71836717 -999999, 267519.142723193 7034938.10428384 -999999, 267534.689639859 7034932.46336717 -999999)</t>
  </si>
  <si>
    <t>POINT (267503.9564763468 7034938.570771927)</t>
  </si>
  <si>
    <t>[439]</t>
  </si>
  <si>
    <t>['FV439 S4D1 m11542-11594']</t>
  </si>
  <si>
    <t>LINESTRING Z (57782.95 6457208.98 6.045, 57778.46 6457207.88 6.085, 57773.54 6457206.7 6.155, 57768.53 6457204.81 6.195, 57763.93 6457203.08 6.225, 57761.98 6457202.35 6.285, 57755.37 6457199.88 6.295, 57749.01 6457197.5 6.325, 57744.99 6457195.97 6.345, 57741.32 6457193.92 6.285, 57736.71 6457191.33 6.255, 57734.53 6457190.08 6.295)</t>
  </si>
  <si>
    <t>POINT (57758.29808324897 6457200.633006148)</t>
  </si>
  <si>
    <t>['FV439 S4D1 m11759-11792']</t>
  </si>
  <si>
    <t>LINESTRING Z (57584.07 6457121.53 7.385, 57581.41 6457120.22 7.645, 57580.62 6457119.83 7.725, 57579.7 6457119.46 7.735, 57577.89 6457118.74 7.755, 57572.99 6457117.54 7.835, 57566.53 6457115.98 7.905, 57560.06 6457114.43 7.915, 57555.63 6457113.43 7.945, 57553.65 6457113.01 7.955, 57550.7 6457112.7 7.965)</t>
  </si>
  <si>
    <t>POINT (57567.598516046 6457116.399723508)</t>
  </si>
  <si>
    <t>['KV3890 S1D1 m1457-1533']</t>
  </si>
  <si>
    <t>LINESTRING Z (267165.278389859 7034166.12420051 -999999, 267163.902556526 7034141.22161718 -999999, 267157.986473192 7034114.66803384 -999999, 267145.328806526 7034090.31578384 -999999)</t>
  </si>
  <si>
    <t>POINT (267158.88460381544 7034127.230017148)</t>
  </si>
  <si>
    <t>['KV3890 S1D1 m1240-1305']</t>
  </si>
  <si>
    <t>LINESTRING Z (267163.077056526 7033970.61828384 -999999, 267159.637473192 7033952.45728384 -999999, 267158.399223192 7033921.63861717 -999999, 267160.050223192 7033905.54136717 -999999)</t>
  </si>
  <si>
    <t>POINT (267159.72926767933 7033938.163472844)</t>
  </si>
  <si>
    <t>['KV3890 S1D1 m724-768']</t>
  </si>
  <si>
    <t>LINESTRING Z (267002.942608851 7033425.8025969 -999999, 267004.864269555 7033435.02656828 -999999, 267012.781511654 7033451.01478533 -999999, 267023.31221231 7033465.00447525 -999999)</t>
  </si>
  <si>
    <t>POINT (267011.3950106463 7033446.229834292)</t>
  </si>
  <si>
    <t>['KV3890 S1D1 m656-692']</t>
  </si>
  <si>
    <t>LINESTRING Z (266979.652081123 7033361.38853011 -999999, 266984.571532525 7033367.76844365 -999999, 266987.876788935 7033374.76328861 -999999, 266992.796240336 7033383.37232857 -999999, 266995.486565321 7033394.51796065 -999999)</t>
  </si>
  <si>
    <t>POINT (266988.8717782919 7033377.350503349)</t>
  </si>
  <si>
    <t>[3679]</t>
  </si>
  <si>
    <t>['KV3679 S1D1 m436-496']</t>
  </si>
  <si>
    <t>LINESTRING Z (267201.488592751 7032681.65870602 -999999, 267213.326022686 7032685.04082886 -999999, 267243.303929662 7032706.56342874 -999999, 267250.375641052 7032717.01726297 -999999)</t>
  </si>
  <si>
    <t>POINT (267227.9334271006 7032696.586237218)</t>
  </si>
  <si>
    <t>['KV3679 S1D1 m432-495']</t>
  </si>
  <si>
    <t>LINESTRING Z (267197.952737056 7032689.80654741 -999999, 267205.331914158 7032699.79918307 -999999, 267238.077012548 7032721.78298152 -999999, 267247.300983926 7032727.93229577 -999999)</t>
  </si>
  <si>
    <t>POINT (267221.44107209385 7032710.113293458)</t>
  </si>
  <si>
    <t>[4425]</t>
  </si>
  <si>
    <t>['KV4425 S1D1 m388-465']</t>
  </si>
  <si>
    <t>LINESTRING Z (266784.722889859 7032617.48620051 -999999, 266799.857056526 7032612.39561717 -999999, 266829.987806526 7032595.06011717 -999999, 266851.313223192 7032579.23803384 -999999)</t>
  </si>
  <si>
    <t>POINT (266819.08635675657 7032600.348222614)</t>
  </si>
  <si>
    <t>['KV4425 S1D1 m49-109']</t>
  </si>
  <si>
    <t>LINESTRING Z (266495.797889859 7032792.07945051 -999999, 266504.878389859 7032778.59628384 -999999, 266525.791056526 7032760.29770051 -999999, 266541.200389859 7032753.28095051 -999999)</t>
  </si>
  <si>
    <t>POINT (266516.3796490059 7032770.168645418)</t>
  </si>
  <si>
    <t>['KV4425 S1D1 m38-113']</t>
  </si>
  <si>
    <t>LINESTRING Z (266496.210639859 7032811.34111718 -999999, 266514.784389859 7032799.37136718 -999999, 266539.136639859 7032779.00903384 -999999, 266553.307723192 7032761.39836718 -999999)</t>
  </si>
  <si>
    <t>POINT (266526.4521436858 7032788.24883074)</t>
  </si>
  <si>
    <t>[4518]</t>
  </si>
  <si>
    <t>['KV4518 S1D1 m197-222']</t>
  </si>
  <si>
    <t>LINESTRING Z (266302.218139859 7033323.97661718 -999999, 266300.291973192 7033316.68470051 -999999, 266301.667806526 7033311.04378384 -999999, 266304.557056526 7033302.37603384 -999999, 266306.620806526 7033297.56061718 -999999)</t>
  </si>
  <si>
    <t>POINT (266302.6285148061 7033310.639684489)</t>
  </si>
  <si>
    <t>['KV4518 S1D1 m277-311']</t>
  </si>
  <si>
    <t>LINESTRING Z (266312.812056526 7033413.40578384 -999999, 266313.912723193 7033402.81186717 -999999, 266313.224806526 7033386.30186717 -999999, 266311.986556526 7033378.87236717 -999999)</t>
  </si>
  <si>
    <t>POINT (266313.29642942967 7033396.118073645)</t>
  </si>
  <si>
    <t>['KV4518 S1D1 m506-545']</t>
  </si>
  <si>
    <t>LINESTRING Z (266266.859223193 7033575.61653384 -999999, 266274.013556526 7033582.49570051 -999999, 266278.416223193 7033587.03595051 -999999, 266286.671223193 7033594.32786718 -999999, 266294.788639859 7033602.44528384 -999999)</t>
  </si>
  <si>
    <t>POINT (266280.8346307676 7033589.020869129)</t>
  </si>
  <si>
    <t>['KV7350 S1D1 m164-197']</t>
  </si>
  <si>
    <t>LINESTRING Z (267765.416889859 7033395.93270051 -999999, 267763.903473193 7033386.71461717 -999999, 267762.940389859 7033372.54353384 -999999, 267764.728973193 7033363.05028384 -999999)</t>
  </si>
  <si>
    <t>POINT (267763.8903588588 7033379.476779731)</t>
  </si>
  <si>
    <t>[8117]</t>
  </si>
  <si>
    <t>['KV8117 S1D1 m55-93']</t>
  </si>
  <si>
    <t>LINESTRING Z (268175.690389859 7032745.98903384 -999999, 268170.049473193 7032736.35820051 -999999, 268165.234056526 7032721.91195051 -999999, 268164.133389859 7032716.82136717 -999999, 268163.583056526 7032708.97911717 -999999)</t>
  </si>
  <si>
    <t>POINT (268167.9763470583 7032728.016388149)</t>
  </si>
  <si>
    <t>['KV8117 S1D1 m154-189']</t>
  </si>
  <si>
    <t>LINESTRING Z (268229.210306526 7032825.23703384 -999999, 268224.257306526 7032816.84445051 -999999, 268213.250639859 7032802.94853384 -999999, 268207.334556526 7032797.85795051 -999999)</t>
  </si>
  <si>
    <t>POINT (268219.08636349184 7032810.874750362)</t>
  </si>
  <si>
    <t>[3210]</t>
  </si>
  <si>
    <t>['KV3210 S2D1 m691-737']</t>
  </si>
  <si>
    <t>LINESTRING Z (267909.428395971 7032146.20716756 -999999, 267908.352265977 7032130.68014908 -999999, 267910.197060253 7032113.46206917 -999999, 267914.501580229 7032100.85597496 -999999)</t>
  </si>
  <si>
    <t>POINT (267910.0316687306 7032123.287222698)</t>
  </si>
  <si>
    <t>['KV3210 S2D1 m360-404']</t>
  </si>
  <si>
    <t>LINESTRING Z (267870.226517617 7032475.19548002 -999999, 267868.996654767 7032457.66993441 -999999, 267871.148914755 7032441.98918307 -999999, 267875.607167587 7032430.45921884 -999999)</t>
  </si>
  <si>
    <t>POINT (267870.7886451908 7032452.528676573)</t>
  </si>
  <si>
    <t>['KV3210 S1D1 m580-620']</t>
  </si>
  <si>
    <t>LINESTRING Z (267968.615545643 7033042.46971974 -999999, 267970.921538488 7033047.23543828 -999999, 267975.533524176 7033068.91177102 -999999, 267976.455921314 7033081.51786524 -999999)</t>
  </si>
  <si>
    <t>POINT (267973.64313226595 7033061.7314904975)</t>
  </si>
  <si>
    <t>['KV3210 S1D1 m130-171']</t>
  </si>
  <si>
    <t>LINESTRING Z (268074.691216484 7033520.27143709 -999999, 268074.691216484 7033508.12654144 -999999, 268070.847895077 7033491.0621944 -999999, 268066.235909388 7033480.1471616 -999999)</t>
  </si>
  <si>
    <t>POINT (268072.12459751335 7033499.87403094)</t>
  </si>
  <si>
    <t>[6690]</t>
  </si>
  <si>
    <t>['KV6690 S1D1 m749-780']</t>
  </si>
  <si>
    <t>LINESTRING Z (268478.924056526 7034126.08745051 -999999, 268471.632139859 7034110.26536717 -999999, 268463.927473193 7034083.16145051 -999999, 268463.101973193 7034074.90645051 -999999, 268462.826806526 7034070.36620051 -999999)</t>
  </si>
  <si>
    <t>POINT (268469.0347624487 7034098.727820266)</t>
  </si>
  <si>
    <t>['KV8117 S2D1 m90-157']</t>
  </si>
  <si>
    <t>LINESTRING Z (268525.977556526 7034247.16078384 -999999, 268522.400389859 7034229.55011717 -999999, 268515.383639859 7034210.56361717 -999999, 268510.843389859 7034197.90595051 -999999, 268503.826639859 7034184.28520051 -999999)</t>
  </si>
  <si>
    <t>POINT (268516.5093684968 7034215.164819433)</t>
  </si>
  <si>
    <t>['KV8117 S2D1 m1047-1110']</t>
  </si>
  <si>
    <t>LINESTRING Z (268919.878639859 7035095.91236717 -999999, 268914.650473193 7035080.77820051 -999999, 268907.771306526 7035049.27161717 -999999, 268907.633723193 7035034.13745051 -999999)</t>
  </si>
  <si>
    <t>POINT (268911.9022867408 7035065.34750981)</t>
  </si>
  <si>
    <t>[8741]</t>
  </si>
  <si>
    <t>['KV8741 S1D1 m390-443']</t>
  </si>
  <si>
    <t>LINESTRING Z (272202.8475 7038201.05875 -999999, 272216.97625 7038205.345 -999999, 272231.58125 7038205.82125 -999999, 272255.5525 7038203.1225 -999999)</t>
  </si>
  <si>
    <t>POINT (272229.0107117261 7038204.424910307)</t>
  </si>
  <si>
    <t>['KV8741 S1D1 m238-275']</t>
  </si>
  <si>
    <t>LINESTRING Z (272066.9575 7038243.1275 -999999, 272069.97375 7038232.65 -999999, 272079.0225 7038219.47375 -999999, 272090.29375 7038213.12375 -999999)</t>
  </si>
  <si>
    <t>POINT (272076.1470399965 7038226.128266196)</t>
  </si>
  <si>
    <t>['KV8741 S1D1 m110-154']</t>
  </si>
  <si>
    <t>LINESTRING Z (272079.81625 7038324.56625 -999999, 272088.5475 7038334.40875 -999999, 272096.32625 7038347.74375 -999999, 272102.04125 7038361.71375 -999999)</t>
  </si>
  <si>
    <t>POINT (272092.2817757953 7038342.302954914)</t>
  </si>
  <si>
    <t>['KV8741 S1D1 m109-166']</t>
  </si>
  <si>
    <t>LINESTRING Z (272095.85 7038366.635 -999999, 272088.865 7038357.4275 -999999, 272069.18 7038326.3125 -999999, 272067.5925 7038316.47 -999999)</t>
  </si>
  <si>
    <t>POINT (272079.8464594195 7038342.36429404)</t>
  </si>
  <si>
    <t>[7075]</t>
  </si>
  <si>
    <t>['KV7075 S1D1 m399-468']</t>
  </si>
  <si>
    <t>LINESTRING Z (271991.630625 7038436.881875 -999999, 272056.241875 7038440.056875 -999999)</t>
  </si>
  <si>
    <t>POINT (272023.93625 7038438.469374999)</t>
  </si>
  <si>
    <t>[5735]</t>
  </si>
  <si>
    <t>['KV5735 S1D1 m584-633']</t>
  </si>
  <si>
    <t>LINESTRING Z (272221.024375 7039010.445625 -999999, 272231.819375 7039017.271875 -999999, 272252.774375 7039022.986875 -999999, 272258.330625 7039023.780625 -999999, 272267.855625 7039023.304375 -999999)</t>
  </si>
  <si>
    <t>POINT (272243.706403462 7039019.539684275)</t>
  </si>
  <si>
    <t>['KV5735 S1D1 m641-683']</t>
  </si>
  <si>
    <t>LINESTRING Z (272318.496875 7039025.526875 -999999, 272313.258125 7039021.558125 -999999, 272286.746875 7039015.208125 -999999, 272278.015625 7039014.414375 -999999)</t>
  </si>
  <si>
    <t>POINT (272298.82518825564 7039018.444005634)</t>
  </si>
  <si>
    <t>['KV5735 S1D1 m881-914']</t>
  </si>
  <si>
    <t>LINESTRING Z (272511.695625 7039032.829375 -999999, 272520.903125 7039030.448125 -999999, 272537.571875 7039026.161875 -999999, 272543.604375 7039026.003125 -999999)</t>
  </si>
  <si>
    <t>POINT (272527.57213194174 7039028.863478484)</t>
  </si>
  <si>
    <t>[7085]</t>
  </si>
  <si>
    <t>['KV7085 S1D1 m100-136']</t>
  </si>
  <si>
    <t>LINESTRING Z (272755.535625 7038370.683125 -999999, 272764.901875 7038366.714375 -999999, 272782.046875 7038363.698125 -999999, 272791.095625 7038364.650625 -999999)</t>
  </si>
  <si>
    <t>POINT (272773.0469871535 7038365.918865202)</t>
  </si>
  <si>
    <t>[4430]</t>
  </si>
  <si>
    <t>['KV4430 S1D1 m159-199']</t>
  </si>
  <si>
    <t>LINESTRING Z (273105.5 7038859.7125 -999999, 273116.6125 7038858.125 -999999, 273125.02625 7038855.42625 -999999, 273137.5675 7038849.39375 -999999, 273144.39375 7038844.63125 -999999)</t>
  </si>
  <si>
    <t>POINT (273125.64257676597 7038853.987058793)</t>
  </si>
  <si>
    <t>['KV4430 S1D1 m242-295']</t>
  </si>
  <si>
    <t>LINESTRING Z (273175.19125 7038813.9925 -999999, 273187.25625 7038805.7375 -999999, 273194.7175 7038802.245 -999999, 273217.10125 7038795.73625 -999999, 273225.67375 7038795.41875 -999999)</t>
  </si>
  <si>
    <t>POINT (273199.497400859 7038802.112069864)</t>
  </si>
  <si>
    <t>['KV4430 S1D1 m421-469']</t>
  </si>
  <si>
    <t>LINESTRING Z (273347.7525 7038764.93875 -999999, 273354.89625 7038762.5575 -999999, 273359.5 7038760.0175 -999999, 273384.10625 7038743.5075 -999999, 273389.18625 7038736.68125 -999999)</t>
  </si>
  <si>
    <t>POINT (273369.7473245983 7038752.568545006)</t>
  </si>
  <si>
    <t>['KV4430 S3D1 m478-531']</t>
  </si>
  <si>
    <t>LINESTRING Z (273960.5275 7039000.6825 -999999, 273959.8925 7039008.46125 -999999, 273970.6875 7039053.07 -999999)</t>
  </si>
  <si>
    <t>POINT (273964.5516984092 7039026.958757422)</t>
  </si>
  <si>
    <t>[8161]</t>
  </si>
  <si>
    <t>['KV8161 S1D1 m2012-2065']</t>
  </si>
  <si>
    <t>LINESTRING Z (277127.351875 7038780.734375 -999999, 277117.985625 7038768.828125 -999999, 277107.031875 7038743.586875 -999999, 277104.968125 7038732.633125 -999999)</t>
  </si>
  <si>
    <t>POINT (277114.0207517579 7038757.687619874)</t>
  </si>
  <si>
    <t>['KV8161 S1D1 m1887-1942']</t>
  </si>
  <si>
    <t>LINESTRING Z (277202.916875 7038880.588125 -999999, 277196.884375 7038868.999375 -999999, 277190.851875 7038859.791875 -999999, 277181.961875 7038848.838125 -999999, 277176.246875 7038841.694375 -999999, 277171.166875 7038836.614375 -999999)</t>
  </si>
  <si>
    <t>POINT (277188.2482642423 7038857.74204418)</t>
  </si>
  <si>
    <t>[8167]</t>
  </si>
  <si>
    <t>['KV8167 S1D1 m113-159']</t>
  </si>
  <si>
    <t>LINESTRING Z (277293.245625 7039353.821875 -999999, 277301.341875 7039350.488125 -999999, 277309.120625 7039344.455625 -999999, 277324.995625 7039332.708125 -999999, 277329.758125 7039326.040625 -999999)</t>
  </si>
  <si>
    <t>POINT (277312.6551446884 7039341.394603962)</t>
  </si>
  <si>
    <t>['KV8167 S1D1 m102-164']</t>
  </si>
  <si>
    <t>LINESTRING Z (277284.673125 7039350.011875 -999999, 277292.293125 7039342.074375 -999999, 277315.311875 7039323.024375 -999999, 277333.409375 7039313.340625 -999999)</t>
  </si>
  <si>
    <t>POINT (277307.92908534437 7039330.165089679)</t>
  </si>
  <si>
    <t>['KV8167 S1D1 m550-604']</t>
  </si>
  <si>
    <t>LINESTRING Z (276942.090625 7039490.029375 -999999, 276925.263125 7039493.045625 -999999, 276904.149375 7039493.363125 -999999, 276887.004375 7039488.600625 -999999)</t>
  </si>
  <si>
    <t>POINT (276914.41921909776 7039491.98943514)</t>
  </si>
  <si>
    <t>[4695]</t>
  </si>
  <si>
    <t>['KV4695 S1D1 m862-901']</t>
  </si>
  <si>
    <t>LINESTRING Z (276961.37875 7039587.74 -999999, 276964.0775 7039579.00875 -999999, 276966.935 7039557.73625 -999999, 276965.9825 7039548.0525 -999999)</t>
  </si>
  <si>
    <t>POINT (276965.1065636956 7039568.037532027)</t>
  </si>
  <si>
    <t>['KV4695 S1D1 m475-528']</t>
  </si>
  <si>
    <t>LINESTRING Z (277109.65125 7039843.645 -999999, 277119.81125 7039839.5175 -999999, 277129.01875 7039837.77125 -999999, 277149.02125 7039835.39 -999999, 277160.2925 7039836.025 -999999)</t>
  </si>
  <si>
    <t>POINT (277134.6409734023 7039837.823074574)</t>
  </si>
  <si>
    <t>['KV4695 S1D1 m471-512']</t>
  </si>
  <si>
    <t>LINESTRING Z (277126.0025 7039847.61375 -999999, 277135.68625 7039848.56625 -999999, 277160.13375 7039845.2325 -999999, 277166.80125 7039842.375 -999999)</t>
  </si>
  <si>
    <t>POINT (277146.6328877919 7039846.638433154)</t>
  </si>
  <si>
    <t>['KV4695 S1D1 m261-305']</t>
  </si>
  <si>
    <t>LINESTRING Z (277231.4125 7039702.51625 -999999, 277230.61875 7039692.1975 -999999, 277236.175 7039664.2575 -999999, 277239.19125 7039658.5425 -999999)</t>
  </si>
  <si>
    <t>POINT (277233.464297746 7039680.197391442)</t>
  </si>
  <si>
    <t>['KV4695 S1D1 m181-225']</t>
  </si>
  <si>
    <t>LINESTRING Z (277253.32 7039624.2525 -999999, 277256.65375 7039618.5375 -999999, 277262.36875 7039589.3275 -999999, 277261.2575 7039581.54875 -999999)</t>
  </si>
  <si>
    <t>POINT (277259.24344712467 7039603.259162921)</t>
  </si>
  <si>
    <t>['KV8161 S1D1 m789-840']</t>
  </si>
  <si>
    <t>LINESTRING Z (277428.659375 7039885.634375 -999999, 277433.580625 7039867.536875 -999999, 277440.883125 7039850.868125 -999999, 277445.486875 7039841.660625 -999999, 277447.709375 7039837.533125 -999999)</t>
  </si>
  <si>
    <t>POINT (277437.0501931154 7039861.145664893)</t>
  </si>
  <si>
    <t>['KV8161 S1D1 m772-827']</t>
  </si>
  <si>
    <t>LINESTRING Z (277433.580625 7039906.271875 -999999, 277440.406875 7039895.953125 -999999, 277446.756875 7039882.141875 -999999, 277451.201875 7039874.045625 -999999, 277455.011875 7039863.726875 -999999, 277456.916875 7039854.995625 -999999)</t>
  </si>
  <si>
    <t>POINT (277446.8203790944 7039881.311936808)</t>
  </si>
  <si>
    <t>['KV8161 S1D1 m59-96']</t>
  </si>
  <si>
    <t>LINESTRING Z (277642.495625 7040513.649375 -999999, 277652.496875 7040488.090625 -999999, 277656.465625 7040482.216875 -999999)</t>
  </si>
  <si>
    <t>POINT (277648.9300445371 7040497.643962292)</t>
  </si>
  <si>
    <t>['KV8161 S1D1 m47-81']</t>
  </si>
  <si>
    <t>LINESTRING Z (277664.244375 7040499.044375 -999999, 277662.656875 7040504.759375 -999999, 277660.434375 7040510.156875 -999999, 277657.894375 7040516.348125 -999999, 277653.131875 7040524.126875 -999999, 277649.163125 7040531.429375 -999999)</t>
  </si>
  <si>
    <t>POINT (277657.47573359084 7040515.572975688)</t>
  </si>
  <si>
    <t>['KV6000 S2D1 m2285-2339']</t>
  </si>
  <si>
    <t>LINESTRING Z (274970.733125 7039336.518125 -999999, 274989.465625 7039343.344375 -999999, 275005.658125 7039345.249375 -999999, 275023.438125 7039345.090625 -999999)</t>
  </si>
  <si>
    <t>POINT (274996.7079479813 7039342.97307383)</t>
  </si>
  <si>
    <t>[3330]</t>
  </si>
  <si>
    <t>['KV3330 S1D1 m1915-1953']</t>
  </si>
  <si>
    <t>LINESTRING Z (275039.23375 7039444.38875 -999999, 275043.8375 7039433.27625 -999999, 275046.695 7039418.83 -999999, 275046.21875 7039406.60625 -999999)</t>
  </si>
  <si>
    <t>POINT (275044.488861859 7039425.8117129505)</t>
  </si>
  <si>
    <t>[8327]</t>
  </si>
  <si>
    <t>['KV8327 S1D1 m333-454']</t>
  </si>
  <si>
    <t>LINESTRING Z (274732.925625 7040252.823125 -999999, 274734.195625 7040264.253125 -999999, 274730.703125 7040302.829375 -999999, 274726.575625 7040356.486875 -999999, 274722.448125 7040373.790625 -999999)</t>
  </si>
  <si>
    <t>POINT (274729.7124884952 7040313.464505582)</t>
  </si>
  <si>
    <t>['KV8327 S1D1 m401-454']</t>
  </si>
  <si>
    <t>LINESTRING Z (274721.654375 7040305.051875 -999999, 274719.908125 7040291.399375 -999999, 274720.384375 7040283.303125 -999999, 274720.860625 7040269.015625 -999999, 274721.019375 7040260.919375 -999999, 274721.971875 7040255.680625 -999999, 274723.083125 7040252.029375 -999999)</t>
  </si>
  <si>
    <t>POINT (274720.8624105776 7040278.474200609)</t>
  </si>
  <si>
    <t>['KV3090 S1D1 m675-733']</t>
  </si>
  <si>
    <t>LINESTRING Z (274743.95875 7040901.8725 -999999, 274746.81625 7040886.15625 -999999, 274744.7525 7040858.85125 -999999, 274744.1175 7040852.66 -999999, 274741.26 7040843.61125 -999999)</t>
  </si>
  <si>
    <t>POINT (274745.03758242325 7040872.641530507)</t>
  </si>
  <si>
    <t>['KV6130 S9D1 m657-696']</t>
  </si>
  <si>
    <t>LINESTRING Z (278084.455625 7041065.623125 -999999, 278090.488125 7041065.940625 -999999, 278105.410625 7041060.066875 -999999, 278121.444375 7041052.446875 -999999)</t>
  </si>
  <si>
    <t>POINT (278103.25892778265 7041060.418001426)</t>
  </si>
  <si>
    <t>['KV6130 S9D1 m656-693']</t>
  </si>
  <si>
    <t>LINESTRING Z (278081.439375 7041059.273125 -999999, 278090.011875 7041053.240625 -999999, 278106.680625 7041047.843125 -999999, 278116.364375 7041047.208125 -999999)</t>
  </si>
  <si>
    <t>POINT (278098.2289329925 7041051.354309892)</t>
  </si>
  <si>
    <t>['KV6130 S9D1 m229-256']</t>
  </si>
  <si>
    <t>LINESTRING Z (277720.759375 7041186.749375 -999999, 277715.203125 7041184.209375 -999999, 277709.964375 7041182.463125 -999999, 277704.090625 7041180.716875 -999999, 277694.089375 7041180.716875 -999999)</t>
  </si>
  <si>
    <t>POINT (277707.6837241143 7041182.478745364)</t>
  </si>
  <si>
    <t>[7024]</t>
  </si>
  <si>
    <t>['KV7024 S1D1 m109-169']</t>
  </si>
  <si>
    <t>LINESTRING Z (277314.518125 7041123.566875 -999999, 277331.821875 7041123.249375 -999999, 277354.046875 7041124.519375 -999999, 277373.731875 7041130.234375 -999999)</t>
  </si>
  <si>
    <t>POINT (277344.3907187862 7041124.938991645)</t>
  </si>
  <si>
    <t>['KV7024 S1D1 m325-363']</t>
  </si>
  <si>
    <t>LINESTRING Z (277179.898125 7041047.843125 -999999, 277174.024375 7041040.064375 -999999, 277160.530625 7041029.428125 -999999, 277150.529375 7041023.713125 -999999)</t>
  </si>
  <si>
    <t>POINT (277166.2129847387 7041034.631124484)</t>
  </si>
  <si>
    <t>['KV6130 S5D1 m1120-1177']</t>
  </si>
  <si>
    <t>LINESTRING Z (276651.736875 7041086.895625 -999999, 276672.215625 7041080.545625 -999999, 276688.566875 7041074.036875 -999999, 276703.806875 7041064.670625 -999999)</t>
  </si>
  <si>
    <t>POINT (276678.41900017246 7041077.218582439)</t>
  </si>
  <si>
    <t>['KV6130 S5D1 m68-129']</t>
  </si>
  <si>
    <t>LINESTRING Z (275883.704375 7041718.879375 -999999, 275896.245625 7041712.529375 -999999, 275922.915625 7041701.734375 -999999, 275939.743125 7041697.765625 -999999)</t>
  </si>
  <si>
    <t>POINT (275911.2509564502 7041707.013424515)</t>
  </si>
  <si>
    <t>['KV6130 S5D1 m63-130']</t>
  </si>
  <si>
    <t>LINESTRING Z (275882.434375 7041728.404375 -999999, 275901.008125 7041723.641875 -999999, 275928.471875 7041713.005625 -999999, 275943.076875 7041703.798125 -999999)</t>
  </si>
  <si>
    <t>POINT (275913.55297164095 7041717.964524551)</t>
  </si>
  <si>
    <t>['KV6130 S2D1 m1879-1920', 'KV6130 S2D1 m1920-1939']</t>
  </si>
  <si>
    <t>LINESTRING Z (275561.441875 7041762.853125 -999999, 275572.871875 7041766.504375 -999999, 275602.081875 7041789.523125 -999999, 275610.019375 7041797.460625 -999999)</t>
  </si>
  <si>
    <t>POINT (275586.8921809429 7041778.241179099)</t>
  </si>
  <si>
    <t>['KV6130 S2D1 m1485-1532']</t>
  </si>
  <si>
    <t>LINESTRING Z (275255.848125 7041727.610625 -999999, 275263.468125 7041721.101875 -999999, 275278.866875 7041701.575625 -999999, 275285.534375 7041692.685625 -999999)</t>
  </si>
  <si>
    <t>POINT (275271.32544464705 7041710.742369646)</t>
  </si>
  <si>
    <t>['KV6130 S2D1 m871-902']</t>
  </si>
  <si>
    <t>LINESTRING Z (274753.498037136 7041990.09006136 -999999, 274763.694048608 7041989.20345167 -999999, 274771.008578577 7041988.76014682 -999999, 274776.549889159 7041990.31171378 -999999, 274784.086071551 7041991.4199759 -999999)</t>
  </si>
  <si>
    <t>POINT (274768.843307169 7041989.768808454)</t>
  </si>
  <si>
    <t>['KV6130 S2D1 m174-217']</t>
  </si>
  <si>
    <t>LINESTRING Z (274080.780625 7041856.674375 -999999, 274092.528125 7041857.150625 -999999, 274113.324375 7041853.816875 -999999, 274123.166875 7041850.641875 -999999)</t>
  </si>
  <si>
    <t>POINT (274102.16447079537 7041855.093153395)</t>
  </si>
  <si>
    <t>[1056]</t>
  </si>
  <si>
    <t>['KV1056 S1D1 m686-731']</t>
  </si>
  <si>
    <t>LINESTRING Z (274809.205 7042384.5975 -999999, 274811.4275 7042372.215 -999999, 274810.475 7042355.07 -999999, 274807.6175 7042339.83 -999999)</t>
  </si>
  <si>
    <t>POINT (274810.1220669181 7042362.198745661)</t>
  </si>
  <si>
    <t>['KV1056 S1D1 m700-732']</t>
  </si>
  <si>
    <t>LINESTRING Z (274800.79125 7042386.82 -999999, 274799.3625 7042378.72375 -999999, 274798.7275 7042367.77 -999999, 274798.41 7042354.435 -999999)</t>
  </si>
  <si>
    <t>POINT (274799.1104984004 7042370.674574232)</t>
  </si>
  <si>
    <t>['KV1056 S1D1 m380-433']</t>
  </si>
  <si>
    <t>LINESTRING Z (274601.08375 7042208.54375 -999999, 274615.8475 7042205.5275 -999999, 274643.31125 7042206.00375 -999999, 274653.9475 7042209.17875 -999999)</t>
  </si>
  <si>
    <t>POINT (274627.59003157215 7042206.500230285)</t>
  </si>
  <si>
    <t>['KV1056 S1D1 m289-336']</t>
  </si>
  <si>
    <t>LINESTRING Z (274510.4375 7042209.655 -999999, 274518.53375 7042212.83 -999999, 274543.4575 7042215.21125 -999999, 274557.26875 7042213.465 -999999)</t>
  </si>
  <si>
    <t>POINT (274533.64044796303 7042213.606395521)</t>
  </si>
  <si>
    <t>[8726]</t>
  </si>
  <si>
    <t>['KV8726 S3D1 m846-886']</t>
  </si>
  <si>
    <t>LINESTRING Z (273297.11125 7041528.45875 -999999, 273295.84125 7041518.775 -999999, 273291.8725 7041501.15375 -999999, 273288.38 7041490.835 -999999)</t>
  </si>
  <si>
    <t>POINT (273293.4680119953 7041509.477678036)</t>
  </si>
  <si>
    <t>['KV8726 S3D1 m786-831']</t>
  </si>
  <si>
    <t>LINESTRING Z (273275.045 7041475.75375 -999999, 273274.25125 7041469.5625 -999999, 273275.83875 7041461.9425 -999999, 273279.33125 7041446.86125 -999999, 273283.14125 7041440.19375 -999999, 273288.85625 7041434.6375 -999999, 273295.6825 7041431.78 -999999)</t>
  </si>
  <si>
    <t>POINT (273280.7372147808 7041451.1019478915)</t>
  </si>
  <si>
    <t>['KV8726 S3D1 m489-531']</t>
  </si>
  <si>
    <t>LINESTRING Z (273493.96125 7041270.96625 -999999, 273501.105 7041262.71125 -999999, 273506.34375 7041255.885 -999999, 273513.32875 7041250.32875 -999999, 273518.885 7041246.36 -999999, 273526.02875 7041243.82 -999999)</t>
  </si>
  <si>
    <t>POINT (273508.7069441939 7041255.670792938)</t>
  </si>
  <si>
    <t>['KV4235 S1D1 m157-196']</t>
  </si>
  <si>
    <t>LINESTRING Z (274169.28375 7041209.53 -999999, 274175.7925 7041199.0525 -999999, 274185 7041188.2575 -999999, 274195.16 7041180.79625 -999999)</t>
  </si>
  <si>
    <t>POINT (274181.03877092636 7041194.067235396)</t>
  </si>
  <si>
    <t>['KV1030 S2D1 m258-289']</t>
  </si>
  <si>
    <t>LINESTRING Z (273394.1075 7040980.45375 -999999, 273398.39375 7040987.43875 -999999, 273405.37875 7040995.2175 -999999, 273413.63375 7041004.1075 -999999)</t>
  </si>
  <si>
    <t>POINT (273403.38902961864 7040992.647534734)</t>
  </si>
  <si>
    <t>2015-03-25</t>
  </si>
  <si>
    <t>[5490]</t>
  </si>
  <si>
    <t>['KV5490 S1D1 m1113-1170']</t>
  </si>
  <si>
    <t>LINESTRING Z (273520.234375 7043711.668125 -999999, 273532.458125 7043704.206875 -999999, 273558.651875 7043692.935625 -999999, 273572.304375 7043690.078125 -999999)</t>
  </si>
  <si>
    <t>POINT (273545.60442152113 7043699.198131345)</t>
  </si>
  <si>
    <t>['KV1030 S2D1 m754-800']</t>
  </si>
  <si>
    <t>LINESTRING Z (273007.23375 7040654.54 -999999, 273017.235 7040660.41375 -999999, 273045.175 7040680.8925 -999999)</t>
  </si>
  <si>
    <t>POINT (273026.4465228641 7040667.348073934)</t>
  </si>
  <si>
    <t>['KV1030 S2D1 m827-846']</t>
  </si>
  <si>
    <t>LINESTRING Z (272979.77 7040644.85625 -999999, 272973.26125 7040637.23625 -999999, 272969.76875 7040627.07625 -999999)</t>
  </si>
  <si>
    <t>POINT (272973.9283606529 7040636.446668939)</t>
  </si>
  <si>
    <t>['KV1030 S2D1 m1199-1245']</t>
  </si>
  <si>
    <t>LINESTRING Z (272888.0125 7040284.335 -999999, 272888.965 7040269.4125 -999999, 272885.63125 7040247.02875 -999999, 272882.45625 7040239.885 -999999)</t>
  </si>
  <si>
    <t>POINT (272887.1298927818 7040261.821899909)</t>
  </si>
  <si>
    <t>['KV1030 S2D1 m1838-1864']</t>
  </si>
  <si>
    <t>LINESTRING Z (272682.74875 7039691.40375 -999999, 272684.495 7039688.54625 -999999, 272685.4475 7039682.19625 -999999, 272685.92375 7039674.1 -999999, 272686.7175 7039664.73375 -999999)</t>
  </si>
  <si>
    <t>POINT (272685.4829376014 7039678.291601109)</t>
  </si>
  <si>
    <t>['KV1030 S2D1 m2245-2294']</t>
  </si>
  <si>
    <t>LINESTRING Z (272434.305 7039395.6525 -999999, 272427.6375 7039387.23875 -999999, 272415.41375 7039361.52125 -999999, 272413.35 7039351.8375 -999999)</t>
  </si>
  <si>
    <t>POINT (272422.1501223508 7039374.541815406)</t>
  </si>
  <si>
    <t>[3530]</t>
  </si>
  <si>
    <t>['KV3530 S5D1 m1042-1087']</t>
  </si>
  <si>
    <t>LINESTRING Z (272316.98875 7039352.63125 -999999, 272324.45 7039351.52 -999999, 272330.8 7039348.6625 -999999, 272348.10375 7039341.0425 -999999, 272357.62875 7039335.01 -999999)</t>
  </si>
  <si>
    <t>POINT (272337.8312856244 7039345.165863623)</t>
  </si>
  <si>
    <t>['KV3530 S5D1 m957-996']</t>
  </si>
  <si>
    <t>LINESTRING Z (272241.9 7039391.8425 -999999, 272247.77375 7039383.905 -999999, 272251.425 7039380.57125 -999999, 272258.25125 7039375.49125 -999999, 272264.91875 7039370.72875 -999999, 272272.53875 7039367.0775 -999999)</t>
  </si>
  <si>
    <t>POINT (272256.038840555 7039378.044675676)</t>
  </si>
  <si>
    <t>['KV3530 S5D1 m769-814']</t>
  </si>
  <si>
    <t>LINESTRING Z (272157.445 7039557.26 -999999, 272162.8425 7039550.11625 -999999, 272169.8275 7039536.6225 -999999, 272174.9075 7039524.5575 -999999, 272177.4475 7039516.9375 -999999)</t>
  </si>
  <si>
    <t>POINT (272168.6012092799 7039537.70114891)</t>
  </si>
  <si>
    <t>['KV3530 S5D1 m569-626']</t>
  </si>
  <si>
    <t>LINESTRING Z (272066.9575 7039735.695 -999999, 272069.97375 7039725.8525 -999999, 272085.69 7039689.975 -999999, 272090.4525 7039683.46625 -999999)</t>
  </si>
  <si>
    <t>POINT (272077.59133598354 7039709.033267198)</t>
  </si>
  <si>
    <t>['KV3530 S5D1 m458-508']</t>
  </si>
  <si>
    <t>LINESTRING Z (272048.86 7039845.70875 -999999, 272052.035 7039832.69125 -999999, 272055.36875 7039816.34 -999999, 272057.115 7039804.275 -999999, 272058.54375 7039797.13125 -999999)</t>
  </si>
  <si>
    <t>POINT (272054.0535203138 7039821.490582654)</t>
  </si>
  <si>
    <t>['KV3530 S1D1 m742-785']</t>
  </si>
  <si>
    <t>LINESTRING Z (271210.025 7040332.11875 -999999, 271212.08875 7040328.30875 -999999, 271215.74 7040321.00625 -999999, 271218.75625 7040315.29125 -999999, 271224.47125 7040309.4175 -999999, 271229.71 7040303.0675 -999999, 271237.0125 7040297.3525 -999999)</t>
  </si>
  <si>
    <t>POINT (271221.99898425565 7040313.52656118)</t>
  </si>
  <si>
    <t>[5748]</t>
  </si>
  <si>
    <t>['KV5748 S1D1 m252-302']</t>
  </si>
  <si>
    <t>LINESTRING Z (272071.799375 7040735.423125 -999999, 272083.070625 7040732.565625 -999999, 272107.835625 7040720.818125 -999999, 272117.201875 7040712.721875 -999999)</t>
  </si>
  <si>
    <t>POINT (272095.4875234152 7040725.954293204)</t>
  </si>
  <si>
    <t>2018-09-12</t>
  </si>
  <si>
    <t>[5870]</t>
  </si>
  <si>
    <t>['KV5870 S2D1 m1192-1229']</t>
  </si>
  <si>
    <t>LINESTRING Z (272353.754319473 7041493.27881539 -999999, 272356.451671906 7041493.4286683 -999999, 272358.849318514 7041494.77734452 -999999, 272361.996229687 7041495.67646199 -999999, 272378.330197201 7041504.9673426 -999999, 272384.32431372 7041507.96440086 -999999, 272389.569165674 7041512.01042951 -999999)</t>
  </si>
  <si>
    <t>POINT (272372.0976518128 7041501.6095949)</t>
  </si>
  <si>
    <t>['KV5870 S2D1 m771-809']</t>
  </si>
  <si>
    <t>LINESTRING Z (272695.210625 7041773.489375 -999999, 272690.448125 7041768.726875 -999999, 272668.858125 7041758.090625 -999999, 272661.396875 7041756.185625 -999999)</t>
  </si>
  <si>
    <t>POINT (272679.05288231955 7041763.501447372)</t>
  </si>
  <si>
    <t>[1730]</t>
  </si>
  <si>
    <t>['KV1730 S2D1 m27-73']</t>
  </si>
  <si>
    <t>LINESTRING Z (273055.335 7041720.22875 -999999, 273061.685 7041707.52875 -999999, 273065.8125 7041687.84375 -999999, 273067.24125 7041676.09625 -999999)</t>
  </si>
  <si>
    <t>POINT (273062.84924582887 7041698.638240378)</t>
  </si>
  <si>
    <t>['KV1730 S2D1 m104-147']</t>
  </si>
  <si>
    <t>LINESTRING Z (273065.33625 7041644.1875 -999999, 273068.3525 7041628.9475 -999999, 273073.115 7041618.47 -999999, 273078.5125 7041609.2625 -999999, 273085.815 7041603.38875 -999999)</t>
  </si>
  <si>
    <t>POINT (273072.87675009965 7041622.260696818)</t>
  </si>
  <si>
    <t>[7160]</t>
  </si>
  <si>
    <t>['KV7160 S1D1 m54-105']</t>
  </si>
  <si>
    <t>LINESTRING Z (271033.733125 7039989.774375 -999999, 271037.384375 7039979.773125 -999999, 271038.971875 7039972.311875 -999999, 271041.194375 7039957.389375 -999999, 271041.194375 7039951.674375 -999999, 271041.035625 7039939.291875 -999999)</t>
  </si>
  <si>
    <t>POINT (271039.2363947083 7039964.825067671)</t>
  </si>
  <si>
    <t>[6185]</t>
  </si>
  <si>
    <t>['KV6185 S1D1 m25-97']</t>
  </si>
  <si>
    <t>LINESTRING Z (270894.826875 7040189.323125 -999999, 270903.875625 7040191.228125 -999999, 270957.215625 7040181.703125 -999999, 270966.581875 7040177.734375 -999999)</t>
  </si>
  <si>
    <t>POINT (270930.9597205614 7040186.011835158)</t>
  </si>
  <si>
    <t>[3058]</t>
  </si>
  <si>
    <t>['KV3058 S1D1 m404-449']</t>
  </si>
  <si>
    <t>LINESTRING Z (270840.61375 7040260.68125 -999999, 270842.0425 7040250.83875 -999999, 270849.82125 7040229.09 -999999, 270856.965 7040218.77125 -999999)</t>
  </si>
  <si>
    <t>POINT (270846.9814338391 7040238.996476486)</t>
  </si>
  <si>
    <t>['KV3058 S1D1 m221-269']</t>
  </si>
  <si>
    <t>LINESTRING Z (270785.5275 7040434.195 -999999, 270791.40125 7040426.575 -999999, 270801.56125 7040401.4925 -999999, 270803.3075 7040389.11 -999999)</t>
  </si>
  <si>
    <t>POINT (270796.4266215892 7040412.469684483)</t>
  </si>
  <si>
    <t>['KV3058 S1D1 m221-256']</t>
  </si>
  <si>
    <t>LINESTRING Z (270775.52625 7040430.7025 -999999, 270777.2725 7040421.65375 -999999, 270785.845 7040397.365 -999999)</t>
  </si>
  <si>
    <t>POINT (270780.1992019089 7040413.901761141)</t>
  </si>
  <si>
    <t>2015-03-26</t>
  </si>
  <si>
    <t>[5510]</t>
  </si>
  <si>
    <t>['KV5510 S5D1 m17-70']</t>
  </si>
  <si>
    <t>LINESTRING Z (269828.355210446 7040700.41639482 -999999, 269826.108348811 7040697.00736337 -999999, 269814.71908466 7040694.91545771 -999999, 269809.91544944 7040694.14067784 -999999, 269779.931468308 7040688.32982878 -999999, 269776.522436861 7040691.04155834 -999999)</t>
  </si>
  <si>
    <t>POINT (269802.8436299786 7040692.940690329)</t>
  </si>
  <si>
    <t>['KV1900 S1D1 m646-685']</t>
  </si>
  <si>
    <t>LINESTRING Z (268953.889421612 7040971.08805009 -999999, 268954.965551606 7040965.39993441 -999999, 268965.419385834 7040943.10867024 -999999, 268972.029898655 7040935.57576029 -999999)</t>
  </si>
  <si>
    <t>POINT (268961.48197329725 7040952.560970735)</t>
  </si>
  <si>
    <t>2014-02-17</t>
  </si>
  <si>
    <t>2025-11-22T09:18:15Z</t>
  </si>
  <si>
    <t>[6184]</t>
  </si>
  <si>
    <t>['FV6184 S2D1 m7123-7154']</t>
  </si>
  <si>
    <t>LINESTRING Z (176102.51 7038284.72 38.815, 176108.8 7038286.23 38.935, 176116.54 7038287.41 39.075, 176123.46 7038286.55 39.175, 176128.56 7038285.07 39.215, 176134.13 7038283.03 39.185)</t>
  </si>
  <si>
    <t>POINT (176118.43230757015 7038285.916398176)</t>
  </si>
  <si>
    <t>['FV6184 S2D1 m5935-5984']</t>
  </si>
  <si>
    <t>LINESTRING Z (174945.75 7038307.72 8.484, 174963.27 7038296.51 7.864, 174973 7038291.48 7.524, 174989.04 7038284.65 6.824)</t>
  </si>
  <si>
    <t>POINT (174966.9403636021 7038295.326871529)</t>
  </si>
  <si>
    <t>['FV6184 S2D1 m5068-5107']</t>
  </si>
  <si>
    <t>LINESTRING Z (174269.36 7038759.67 13.695, 174283.75 7038758.61 12.795, 174291.43 7038759.14 12.325, 174301.16 7038761.12 11.565, 174308.81 7038763.38 10.935)</t>
  </si>
  <si>
    <t>POINT (174289.237842879 7038759.954269628)</t>
  </si>
  <si>
    <t>['FV6184 S2D1 m4928-4976']</t>
  </si>
  <si>
    <t>LINESTRING Z (174130.26 7038762.92 16.455, 174138.8 7038760.22 16.545, 174156.19 7038758.99 16.745, 174178.24 7038758.3 16.605)</t>
  </si>
  <si>
    <t>POINT (174154.07724989674 7038759.53114084)</t>
  </si>
  <si>
    <t>['FV6184 S2D1 m4215-4255']</t>
  </si>
  <si>
    <t>LINESTRING Z (173476.56 7038730 21.964, 173466.94 7038731.68 21.924, 173462.53 7038732.82 21.834, 173453.65 7038734.33 21.614, 173447.19 7038734.91 21.494, 173438.39 7038736.09 21.274)</t>
  </si>
  <si>
    <t>POINT (173457.52330975834 7038733.345635348)</t>
  </si>
  <si>
    <t>2015-04-08</t>
  </si>
  <si>
    <t>['KV6260 S1D1 m2039-2098']</t>
  </si>
  <si>
    <t>LINESTRING Z (268384.817056526 7041222.49820051 -999999, 268398.437806526 7041213.69286718 -999999, 268405.729723193 7041207.08886717 -999999, 268418.937723193 7041195.11911717 -999999, 268421.551806526 7041191.67953384 -999999, 268428.568556526 7041182.87420051 -999999)</t>
  </si>
  <si>
    <t>POINT (268407.97443172446 7041204.097258092)</t>
  </si>
  <si>
    <t>['KV6130 S8D1 m376-434']</t>
  </si>
  <si>
    <t>LINESTRING Z (277435.86520256 7041071.11070475 -999999, 277428.76128509 7041068.17441886 -999999, 277420.047146326 7041064.29094397 -999999, 277410.196380767 7041060.88106359 -999999, 277397.788204918 7041056.9028698 -999999, 277381.875429785 7041051.78804923 -999999)</t>
  </si>
  <si>
    <t>POINT (277409.0756219761 7041060.898808168)</t>
  </si>
  <si>
    <t>['KV6130 S8D1 m387-440']</t>
  </si>
  <si>
    <t>LINESTRING Z (277439.275082946 7041080.39315691 -999999, 277429.519036286 7041079.35124901 -999999, 277423.078151113 7041078.59349782 -999999, 277416.163671442 7041076.50968202 -999999, 277403.944933393 7041073.00508274 -999999, 277388.032158259 7041063.72263058 -999999)</t>
  </si>
  <si>
    <t>POINT (277412.87490852 7041074.3898798665)</t>
  </si>
  <si>
    <t>['RV19 S4D1 m105-157']</t>
  </si>
  <si>
    <t>LINESTRING Z (243684.560058594 6594092.97998047 3.15, 243688.869995117 6594099.35998535 3.02, 243690.290039063 6594102.26000977 2.97, 243693.16003418 6594107.06005859 2.96, 243699.859985352 6594122.06005859 2.93, 243700.709960938 6594124.07995605 2.91, 243701.150024414 6594125.11999512 2.91, 243701.560058594 6594126.18005371 2.9, 243701.939941406 6594127.18994141 2.89, 243703.069946289 6594131.19995117 2.82, 243705.469970703 6594139.30004883 2.87, 243705.609985352 6594140.17004395 2.88)</t>
  </si>
  <si>
    <t>POINT (243696.47851064472 6594115.950260428)</t>
  </si>
  <si>
    <t>2015-04-09</t>
  </si>
  <si>
    <t>[3726]</t>
  </si>
  <si>
    <t>['KV3726 S1D1 m2152-2168']</t>
  </si>
  <si>
    <t>LINESTRING Z (259837.223577844 7042932.87302922 -999999, 259833.072790724 7042929.49090638 -999999, 259829.229469317 7042927.87671139 -999999, 259824.694350056 7042925.95505069 -999999, 259822.080891499 7042925.64758498 -999999)</t>
  </si>
  <si>
    <t>POINT (259829.99992797 7042928.51300089)</t>
  </si>
  <si>
    <t>[6196]</t>
  </si>
  <si>
    <t>['FV6196 S1D1 m5602-5653']</t>
  </si>
  <si>
    <t>LINESTRING Z (164183.24 7026290.41 94.348, 164183.32 7026290.44 94.348, 164196.89 7026295.78 94.208, 164210.68 7026300.2 93.908, 164220.8 7026304.33 93.548, 164230.37 7026309.4 93.018)</t>
  </si>
  <si>
    <t>POINT (164207.0362618547 7026299.385270391)</t>
  </si>
  <si>
    <t>['FV6196 S1D1 m7758-7807']</t>
  </si>
  <si>
    <t>LINESTRING Z (164344.35 7024482.02 29.339, 164337.95 7024493.19 29.929, 164334.15 7024506.72 30.659, 164334.39 7024519.61 31.459, 164336.14 7024531.59 32.089)</t>
  </si>
  <si>
    <t>POINT (164336.68942251542 7024506.15233174)</t>
  </si>
  <si>
    <t>['FV6196 S1D1 m6340-6388']</t>
  </si>
  <si>
    <t>LINESTRING Z (163868.49 7025684.71 75.788, 163872.47 7025697.12 75.748, 163877.24 7025708.16 75.718, 163883.31 7025729.68 76.098)</t>
  </si>
  <si>
    <t>POINT (163876.2083035057 7025707.0941185355)</t>
  </si>
  <si>
    <t>['FV6196 S1D1 m6219-6268']</t>
  </si>
  <si>
    <t>LINESTRING Z (163911.65 7025795.84 79.188, 163916.96 7025806.05 79.678, 163924.4 7025818.88 80.108, 163928.16 7025829.01 80.388, 163929.87 7025841.8 80.668)</t>
  </si>
  <si>
    <t>POINT (163922.5721184365 7025818.2090859)</t>
  </si>
  <si>
    <t>['FV6196 S1D1 m6153-6202']</t>
  </si>
  <si>
    <t>LINESTRING Z (163931.67 7025859.45 80.858, 163931.96 7025885.35 80.888, 163929.74 7025896.76 80.748, 163925.38 7025907.99 80.488)</t>
  </si>
  <si>
    <t>POINT (163930.55470362 7025884.058620829)</t>
  </si>
  <si>
    <t>['FV6196 S1D1 m1565-1606']</t>
  </si>
  <si>
    <t>LINESTRING Z (165224.74 7029794.87 32.065, 165219.56 7029785.83 32.035, 165215.87 7029774.21 31.785, 165217.38 7029754.19 31.175)</t>
  </si>
  <si>
    <t>POINT (165218.28481755647 7029775.100809152)</t>
  </si>
  <si>
    <t>['FV6196 S1D1 m842-886']</t>
  </si>
  <si>
    <t>LINESTRING Z (165427.99 7030421.89 45.024, 165429.48 7030432.5 44.334, 165431.54 7030444.82 44.524, 165430.28 7030457.16 44.144, 165428.26 7030466.33 43.744)</t>
  </si>
  <si>
    <t>POINT (165429.93889378934 7030444.1461181715)</t>
  </si>
  <si>
    <t>['FV6196 S1D1 m5942-6003']</t>
  </si>
  <si>
    <t>LINESTRING Z (163940.52 7026052.83 82.138, 163949.4 7026069.16 82.998, 163956.51 7026080.91 83.838, 163966.09 7026107.64 85.928)</t>
  </si>
  <si>
    <t>POINT (163954.40998628124 7026079.734493332)</t>
  </si>
  <si>
    <t>['FV6196 S1D1 m4485-4527']</t>
  </si>
  <si>
    <t>LINESTRING Z (164469.29 7027114.86 92.447, 164475.3 7027125.16 93.077, 164480.64 7027138.49 93.687, 164483.27 7027154.07 93.997)</t>
  </si>
  <si>
    <t>POINT (164477.85806666623 7027133.90408034)</t>
  </si>
  <si>
    <t>['FV6196 S1D1 m3839-3901']</t>
  </si>
  <si>
    <t>LINESTRING Z (164667.5 7027732.75 92.556, 164673.16 7027715.52 92.136, 164677.3 7027700.97 91.386, 164677.73 7027672.03 89.327)</t>
  </si>
  <si>
    <t>POINT (164674.86459815182 7027702.760186743)</t>
  </si>
  <si>
    <t>['FV6196 S1D1 m3275-3325']</t>
  </si>
  <si>
    <t>LINESTRING Z (164802.86 7028251.23 89.736, 164803.71 7028230.09 91.136, 164805.48 7028218.43 91.766, 164810.75 7028201.41 92.646)</t>
  </si>
  <si>
    <t>POINT (164805.28442873075 7028226.061871873)</t>
  </si>
  <si>
    <t>['FV6196 S1D1 m2252-2300']</t>
  </si>
  <si>
    <t>LINESTRING Z (165212.53 7029086.82 53.955, 165214.46 7029107.17 54.795, 165213.46 7029118.29 54.855, 165208.64 7029135.12 54.365)</t>
  </si>
  <si>
    <t>POINT (165212.72917131224 7029111.162398987)</t>
  </si>
  <si>
    <t>['FV6196 S1D1 m1994-2063']</t>
  </si>
  <si>
    <t>LINESTRING Z (165176.45 7029378.97 32.695, 165179.41 7029350.91 35.255, 165178.71 7029330.31 37.085, 165174.51 7029310.45 38.925)</t>
  </si>
  <si>
    <t>POINT (165177.87931669687 7029344.600258128)</t>
  </si>
  <si>
    <t>['FV6196 S1D1 m1410-1455']</t>
  </si>
  <si>
    <t>LINESTRING Z (165290.33 7029931.15 30.985, 165291.81 7029919.06 31.165, 165290.61 7029904.55 31.335, 165285.45 7029886.33 31.455)</t>
  </si>
  <si>
    <t>POINT (165289.8542976795 7029908.567006479)</t>
  </si>
  <si>
    <t>['FV6196 S1D1 m1236-1285']</t>
  </si>
  <si>
    <t>LINESTRING Z (165297.26 7030102.15 40.204, 165292.61 7030093.03 40.114, 165284.99 7030072.58 39.254, 165282.88 7030059.14 38.294, 165282.27 7030055.22 37.994)</t>
  </si>
  <si>
    <t>POINT (165288.23428160718 7030079.16151815)</t>
  </si>
  <si>
    <t>['FV6196 S1D1 m1038-1077']</t>
  </si>
  <si>
    <t>LINESTRING Z (165395.15 7030273.7 43.634, 165393.28 7030261.66 43.384, 165389.45 7030251.23 43.044, 165381.66 7030236.74 42.434)</t>
  </si>
  <si>
    <t>POINT (165389.83388904252 7030254.731858019)</t>
  </si>
  <si>
    <t>['FV6196 S1D1 m590-631']</t>
  </si>
  <si>
    <t>LINESTRING Z (165497.68 7030703.16 37.134, 165498.53 7030688.26 37.754, 165496.79 7030679.83 38.004, 165493.88 7030672.73 38.344, 165490.02 7030661.99 38.714)</t>
  </si>
  <si>
    <t>POINT (165495.8681441996 7030682.263806273)</t>
  </si>
  <si>
    <t>2015-04-13</t>
  </si>
  <si>
    <t>['FV950 S1D1 m66-71']</t>
  </si>
  <si>
    <t>LINESTRING Z (275037.33 7041504.89 56.117, 275033.04 7041501.34 55.997, 275035 7041495.36 55.987, 275040.6 7041494.42 55.557)</t>
  </si>
  <si>
    <t>POLYGON Z ((275037.33 7041504.89 56.117, 275033.04 7041501.34 55.997, 275035 7041495.36 55.987, 275040.6 7041494.42 55.557, 275037.33 7041504.89 56.117))</t>
  </si>
  <si>
    <t>['RV706 S2D1 m6053-6229']</t>
  </si>
  <si>
    <t>LINESTRING Z (274335.05844757333 7041690.69307142 55.296, 274349.09639194503 7041687.531076465 55.476, 274356.5771539594 7041685.861533216 55.576, 274365.15686387056 7041683.946573614 55.666, 274367.2260301813 7041683.475993541 55.696, 274377.4371253087 7041681.199712507 55.776, 274382.54569063685 7041680.033428041 55.816, 274391.6171825918 7041677.144853405 55.766, 274396.1584379085 7041675.6722433455 55.746, 274399.99818004074 7041674.472824704 55.716, 274403.8371377307 7041673.262289201 55.696, 274412.1780461486 7041670.660194121 55.626, 274420.41934732284 7041668.065169652 55.536, 274428.1554900871 7041665.617680933 55.486, 274431.39963871654 7041664.561036782 55.456, 274435.9099788312 7041662.721825725 55.416, 274440.3547842893 7041660.8760807635 55.386, 274444.83524807624 7041659.038996887 55.346, 274452.78689776454 7041655.816275047 55.276, 274460.30810354336 7041652.735796896 55.096, 274460.3995951036 7041652.684615781 55.096, 274472.74787679093 7041647.642000713 54.916, 274488.06721628056 7041641.785714188 54.906)</t>
  </si>
  <si>
    <t>['RV706 S2D1 m6064-6256']</t>
  </si>
  <si>
    <t>LINESTRING Z (274325.8859683059 7041672.776941997 55.476, 274358.1373026653 7041660.233498135 55.566, 274360.0350157926 7041659.462086858 55.636, 274362.8253573412 7041658.359249157 55.716, 274366.64648051024 7041656.825792358 55.756, 274370.8765642958 7041655.129271388 55.766, 274376.43655190046 7041652.913906151 55.776, 274384.2948407139 7041649.787034804 55.766, 274384.62725158304 7041649.674093642 55.766, 274387.7959048709 7041648.611570927 55.756, 274390.1083680076 7041647.9002467105 55.746, 274395.83513236506 7041646.131381476 55.686, 274401.6258682245 7041644.346823151 55.666, 274407.4166097335 7041642.56227545 55.646, 274413.2165319673 7041640.765911961 55.606, 274419.01803370786 7041638.991802193 55.556, 274424.7988301652 7041637.207991241 55.506, 274430.6095183063 7041635.422076399 55.476, 274432.52981225215 7041634.8279485265 55.456, 274433.4562726741 7041634.550034185 55.436, 274436.236701583 7041633.660332706 55.406, 274447.38518209895 7041630.47968357 55.226, 274464.3874171271 7041626.404353706 55.086, 274483.8395591106 7041621.719914416 0.136)</t>
  </si>
  <si>
    <t>['FV302 S2D1 m2328-2413']</t>
  </si>
  <si>
    <t>LINESTRING Z (211658.3 6554416.78 98.623, 211660.6 6554418.22 98.553, 211660.61 6554418.24 98.553, 211661.01 6554418.43 98.573, 211662.3 6554419.39 98.483, 211665.06 6554421.55 98.403, 211666.37 6554422.68 98.363, 211667.67 6554423.6 98.263, 211670.32 6554425.57 98.103, 211670.52 6554425.72 98.093, 211670.73 6554425.88 98.073, 211673.39 6554427.95 97.973, 211674.3 6554428.53 97.943, 211700.75 6554442.89 96.903, 211706.67 6554445.29 96.673, 211709.02 6554446.25 96.583, 211712.3 6554447.43 96.413, 211714.8 6554448.48 96.333, 211717.06 6554449.42 96.233, 211720.77 6554450.99 96.103, 211724.3 6554452.57 95.933, 211725.2 6554453.06 95.883, 211728.69 6554454.97 95.693, 211728.92 6554455.09 95.683, 211733.2 6554457.44 95.443)</t>
  </si>
  <si>
    <t>POINT (211694.94220825844 6554438.4990389515)</t>
  </si>
  <si>
    <t>['EV6 S26D1 m5194-5285']</t>
  </si>
  <si>
    <t>LINESTRING Z (293137.1 6705725.66 147.119, 293137.14 6705725.97 147.109, 293137.14 6705726.03 147.109, 293137.19 6705726.38 147.109, 293137.4 6705728.01 147.069, 293138.04 6705732.98 146.949, 293138.69 6705737.95 146.839, 293139.35 6705742.91 146.719, 293140.03 6705747.88 146.599, 293140.71 6705752.84 146.479, 293141.06 6705755.37 146.419, 293141.12 6705755.74 146.409, 293141.13 6705755.81 146.399, 293141.18 6705756.23 146.389, 293141.4 6705757.8 146.359, 293142.11 6705762.76 146.229, 293142.82 6705767.71 146.099, 293143.55 6705772.67 145.979, 293144.28 6705777.62 145.849, 293145.03 6705782.58 145.719, 293145.42 6705785.13 145.649, 293145.48 6705785.55 145.639, 293145.49 6705785.62 145.629, 293145.55 6705785.99 145.619, 293145.78 6705787.53 145.579, 293146.55 6705792.48 145.449, 293147.33 6705797.42 145.309, 293148.11 6705802.37 145.169, 293148.91 6705807.31 145.029, 293149.72 6705812.26 144.889, 293150.15 6705814.89 144.819, 293150.21 6705815.22 144.809, 293150.22 6705815.29 144.809, 293150.27 6705815.6 144.799)</t>
  </si>
  <si>
    <t>POINT (293143.39967904746 6705770.671507961)</t>
  </si>
  <si>
    <t>['EV6 S26D1 m3970-4060']</t>
  </si>
  <si>
    <t>LINESTRING Z (293227.89 6706031.04 138.049, 293227.76 6706030.3 138.069, 293226.92 6706025.73 138.199, 293226.01 6706020.81 138.339, 293225.1 6706015.89 138.479, 293224.18 6706010.97 138.629, 293223.25 6706006.05 138.779, 293222.93 6706004.35 138.829, 293222.57 6706002.45 138.889, 293222.4 6706001.54 138.909, 293222.33 6706001.19 138.919, 293222.32 6706001.13 138.929, 293222.25 6706000.74 138.939, 293221.39 6705996.21 139.059, 293220.45 6705991.3 139.189, 293219.5 6705986.39 139.319, 293218.56 6705981.47 139.449, 293217.6 6705976.56 139.579, 293217.38 6705975.42 139.609, 293216.72 6705972.03 139.699, 293216.65 6705971.65 139.709, 293216.64 6705971.59 139.719, 293216.57 6705971.24 139.729, 293215.69 6705966.74 139.849, 293214.73 6705961.83 139.989, 293213.77 6705956.92 140.129, 293212.81 6705952.01 140.259, 293211.84 6705947.11 140.399, 293210.94 6705942.57 140.529, 293210.87 6705942.2 140.539, 293210.86 6705942.14 140.539, 293210.79 6705941.8 140.549)</t>
  </si>
  <si>
    <t>POINT (293219.44984646107 6705986.399013987)</t>
  </si>
  <si>
    <t>['EV6 S26D1 m4252-4316']</t>
  </si>
  <si>
    <t>LINESTRING Z (293262.47 6706284.99 134.429, 293260.73 6706265.96 134.449, 293259.75 6706255.95 134.479, 293255.88 6706220.97 134.649)</t>
  </si>
  <si>
    <t>POINT (293259.3177705885 6706252.965525553)</t>
  </si>
  <si>
    <t>['EV6 S26D1 m4693-4757']</t>
  </si>
  <si>
    <t>LINESTRING Z (293232.7 6706244.34 134.069, 293236 6706269 133.979, 293238.67 6706289.9 133.929, 293240.81 6706307.52 133.949)</t>
  </si>
  <si>
    <t>POINT (293236.8392513022 6706275.919224874)</t>
  </si>
  <si>
    <t>['EV6 S26D1 m5447-5511']</t>
  </si>
  <si>
    <t>LINESTRING Z (293119.14 6705499.91 150.528, 293119.79 6705517.98 150.388, 293120.21 6705528.02 150.339, 293120.46 6705533.03 150.299, 293120.74 6705538.46 150.299, 293121.27 6705548.08 150.189, 293122.24 6705564.12 149.989)</t>
  </si>
  <si>
    <t>POINT (293120.5157035854 6705532.023381125)</t>
  </si>
  <si>
    <t>[3622]</t>
  </si>
  <si>
    <t>['FV3622 S1D1 m3175-3235']</t>
  </si>
  <si>
    <t>LINESTRING Z (122630.48 6482367.83 21.034, 122634.31 6482369.5 21.064, 122639.73 6482371.66 21.094, 122645.55 6482373.67 21.174, 122652.22 6482376.02 21.254, 122657.42 6482377.83 21.344, 122661.8 6482379.39 21.404, 122664.59 6482380.63 21.424, 122667.7 6482382 21.424, 122671.21 6482383.6 21.434, 122673.86 6482384.87 21.464, 122675.56 6482385.74 21.484, 122677.75 6482387.32 21.504, 122680.86 6482389.91 21.604, 122684.73 6482393.25 21.684)</t>
  </si>
  <si>
    <t>POINT (122658.4511247225 6482379.043921507)</t>
  </si>
  <si>
    <t>['FV3622 S1D1 m3236-3286']</t>
  </si>
  <si>
    <t>LINESTRING Z (122581.26 6482351.5 21.754, 122586.18 6482356.52 21.724, 122589.08 6482357.92 21.634, 122592.97 6482359.74 21.544, 122596.93 6482361.6 21.464, 122600.4 6482363.07 21.394, 122605.71 6482365.06 21.264, 122610.39 6482366.73 21.214, 122616.61 6482368.91 21.114, 122621.21 6482370.54 21.084, 122626.91 6482372.59 21.074)</t>
  </si>
  <si>
    <t>POINT (122603.23253586526 6482363.481400726)</t>
  </si>
  <si>
    <t>['FV51 S13D1 m404-448']</t>
  </si>
  <si>
    <t>LINESTRING Z (172519.281817708 6833215.40425388 -999999, 172537.6703979 6833254.7934285 -999999)</t>
  </si>
  <si>
    <t>POINT (172528.476107804 6833235.098841191)</t>
  </si>
  <si>
    <t>2015-05-18</t>
  </si>
  <si>
    <t>['FV547 S1D1 m5512-5584']</t>
  </si>
  <si>
    <t>LINESTRING Z (-51668.2099914551 6613291.66003418 18.636, -51668.6600036621 6613289.15002442 18.596, -51669.9400024414 6613281.04003906 18.526, -51671.4200134277 6613271.36999512 18.416, -51672.9899902344 6613261.35998535 18.276, -51674.3399963379 6613252.55004883 18.156, -51675.6900024414 6613243.61999512 18.006, -51677.3099975586 6613233.48999023 17.786, -51678.8200073242 6613223.7199707 17.646, -51679.3999938965 6613219.88000488 17.536)</t>
  </si>
  <si>
    <t>POINT (-51673.84051669606 6613255.775844088)</t>
  </si>
  <si>
    <t>['FV511 S2D10 m2188-2258']</t>
  </si>
  <si>
    <t>LINESTRING Z (-51657.5899963379 6613109.23999023 15.346, -51655.9299926758 6613107.26000977 15.276, -51654.4299926758 6613105.01000977 15.236, -51653.3399963379 6613102.88000488 15.186, -51652.8999938965 6613101.92004395 15.156, -51651.8900146484 6613099.66003418 15.076, -51650.7799987793 6613097.43005371 14.996, -51649.4400024414 6613095.38000488 14.946, -51647.700012207 6613093.36999512 14.856, -51645.7600097656 6613091.68005371 14.776, -51643.4899902344 6613090.13000488 14.706, -51640.9299926758 6613088.94995117 14.676, -51638.049987793 6613087.7199707 14.616, -51630.8699951172 6613084.59997559 14.446, -51622.6300048828 6613081.05004883 14.206, -51614.25 6613077.42004395 13.886, -51610.0599975586 6613076.14001465 13.846, -51604.9400024414 6613074.81994629 13.806, -51600.5400085449 6613073.83996582 13.796, -51596.5599975586 6613072.90002441 13.826, -51595.7399902344 6613072.94995117 13.876)</t>
  </si>
  <si>
    <t>POINT (-51629.961545061415 6613086.470459787)</t>
  </si>
  <si>
    <t>2015-12-23</t>
  </si>
  <si>
    <t>['EV6 S78D1 m6638 KD2 m30-86']</t>
  </si>
  <si>
    <t>LINESTRING Z (291472.16578212124 7038439.349585496 34.224, 291471.5071958263 7038438.465328828 34.194, 291464.37272627634 7038428.429681926 33.614, 291463.7519420011 7038427.587645161 33.594, 291438.7750929445 7038400.496105067 31.754, 291431.74414007296 7038394.576246531 31.344, 291429.4144369654 7038392.561087728 31.244, 291424.00544033246 7038386.71401815 30.914)</t>
  </si>
  <si>
    <t>['EV6 S78D1 m2034 KD4 m14-89']</t>
  </si>
  <si>
    <t>LINESTRING Z (288275.1059942926 7039379.982104221 169.101, 288273.2172673766 7039376.565585272 169.061, 288272.59629995836 7039375.657083408 169.061, 288271.22661016916 7039374.328996345 169.031, 288269.76701430127 7039373.230335615 169.011, 288268.2865528407 7039372.345347152 169.001, 288266.6364388979 7039371.695076885 168.991, 288265.6558563899 7039371.402608131 169.001, 288263.62564390013 7039371.135097484 168.991, 288261.5887748104 7039371.37081522 168.921, 288259.64863060554 7039371.8570950255 168.861, 288256.8487993746 7039372.892036286 168.761, 288255.66920374066 7039373.372541583 168.721, 288249.7752880007 7039375.9870926635 168.411, 288245.2863706442 7039377.972110934 168.141, 288235.7566215277 7039380.414573511 167.571, 288226.0181045234 7039382.803883152 167.011, 288216.1273059101 7039385.236849838 166.481, 288207.16818787943 7039387.451585603 166.021, 288203.92682666366 7039387.86784659 165.901, 288196.4470911217 7039388.386675441 165.601, 288195.3869435911 7039388.479392392 165.571, 288191.11552674545 7039389.366269406 165.381)</t>
  </si>
  <si>
    <t>['EV6 S78D1 m2034 KD2 m11-77']</t>
  </si>
  <si>
    <t>LINESTRING (288318.20675895445 7039292.040184016, 288302.9299411515 7039296.450238514, 288283.3289671786 7039302.689142748, 288277.51798706886 7039304.594227906, 288268.107190748 7039309.285628315, 288267.12620185217 7039309.741775936, 288266.0731511243 7039310.027775741, 288264.9953226233 7039310.29657035, 288264.00732584717 7039310.496204843, 288263.1856591514 7039310.561899692)</t>
  </si>
  <si>
    <t>2015-05-22</t>
  </si>
  <si>
    <t>['FV305 S1D1 m427-477']</t>
  </si>
  <si>
    <t>LINESTRING Z (226192.55 6565037.88 14.306, 226190.03 6565046.59 14.266, 226186.91 6565057.36 14.406, 226183.62 6565064.94 14.456, 226180.89 6565071.08 14.576, 226179.9 6565072.45 14.606, 226174.47 6565080.07 14.576, 226171.63 6565084.24 14.626)</t>
  </si>
  <si>
    <t>POINT (226183.8022273558 6565061.870679517)</t>
  </si>
  <si>
    <t>['FV305 S1D1 m438-490']</t>
  </si>
  <si>
    <t>LINESTRING Z (226153.22 6565090.02 14.936, 226153.51 6565089.16 14.936, 226156.08 6565078.38 14.796, 226158.03 6565069.81 14.636, 226158.16 6565069.52 14.636, 226160 6565064.94 14.556, 226164.33 6565054.35 14.416, 226168.18 6565048.46 14.306, 226170.38 6565045.1 14.336, 226172.66 6565041.72 14.266)</t>
  </si>
  <si>
    <t>POINT (226161.10807000575 6565065.087923786)</t>
  </si>
  <si>
    <t>['FV60 S15D1 m3393-3436']</t>
  </si>
  <si>
    <t>LINESTRING Z (64927.116352077515 6887413.010140613 4.83, 64932.23807527614 6887410.258368093 0.04, 64937.2883976539 6887412.1651101755 5.13)</t>
  </si>
  <si>
    <t>['FV55 S12D1 m2921-2959']</t>
  </si>
  <si>
    <t>LINESTRING Z (77561.3350827733 6815933.51508853 -999999, 77580.3073734734 6815938.39904456 -999999, 77591.0145078289 6815943.84653396 -999999, 77596.8376861626 6815949.10617891 -999999)</t>
  </si>
  <si>
    <t>POINT (77579.93568206523 6815939.622391107)</t>
  </si>
  <si>
    <t>['EV6 S26D1 m10370-10460']</t>
  </si>
  <si>
    <t>LINESTRING Z (293496.51 6710954.37 147.392, 293456.32 6711034.96 149.202)</t>
  </si>
  <si>
    <t>POINT (293476.41500000004 6710994.665)</t>
  </si>
  <si>
    <t>['EV6 S26D1 m11939-12028']</t>
  </si>
  <si>
    <t>LINESTRING Z (293568.51 6710715.38 141.432, 293535.78 6710799.07 143.492)</t>
  </si>
  <si>
    <t>POINT (293552.145 6710757.225)</t>
  </si>
  <si>
    <t>['EV6 S26D1 m9870-9960']</t>
  </si>
  <si>
    <t>LINESTRING Z (293670.75 6710485.78 136.962, 293646.61 6710572.63 138.292)</t>
  </si>
  <si>
    <t>POINT (293658.68 6710529.205)</t>
  </si>
  <si>
    <t>['EV6 S26D1 m12280-12370']</t>
  </si>
  <si>
    <t>LINESTRING Z (293670.92 6710389.26 136.552, 293650.4 6710477.03 136.682)</t>
  </si>
  <si>
    <t>POINT (293660.66000000003 6710433.145)</t>
  </si>
  <si>
    <t>['EV6 S26D1 m12423-12507']</t>
  </si>
  <si>
    <t>LINESTRING Z (293688.1 6710251.85 138.372, 293674.09 6710335.82 136.792)</t>
  </si>
  <si>
    <t>POINT (293681.095 6710293.835)</t>
  </si>
  <si>
    <t>['EV6 S26D1 m9380-9470']</t>
  </si>
  <si>
    <t>LINESTRING Z (293744.38 6710001.37 145.122, 293738.27 6710091.31 142.942)</t>
  </si>
  <si>
    <t>POINT (293741.325 6710046.339999999)</t>
  </si>
  <si>
    <t>['EV6 S26D1 m12912-13003']</t>
  </si>
  <si>
    <t>LINESTRING Z (293713.2 6709758.74 148.411, 293716.13 6709849.2 148.411)</t>
  </si>
  <si>
    <t>POINT (293714.66500000004 6709803.970000001)</t>
  </si>
  <si>
    <t>['EV6 S26D1 m9042-9125']</t>
  </si>
  <si>
    <t>LINESTRING Z (293729.12 6709663.89 153.081, 293735.94 6709746.49 151.091)</t>
  </si>
  <si>
    <t>POINT (293732.53 6709705.1899999995)</t>
  </si>
  <si>
    <t>['EV6 S26D1 m8870-8960']</t>
  </si>
  <si>
    <t>LINESTRING Z (293715.51 6709492.29 157.501, 293728.43 6709581.5 155.321)</t>
  </si>
  <si>
    <t>POINT (293721.97 6709536.895)</t>
  </si>
  <si>
    <t>['EV6 S26D1 m13422-13513']</t>
  </si>
  <si>
    <t>LINESTRING Z (293631.64 6709257.64 162.831, 293653.75 6709344.74 161.021)</t>
  </si>
  <si>
    <t>POINT (293642.695 6709301.1899999995)</t>
  </si>
  <si>
    <t>['EV6 S26D1 m11382-11448']</t>
  </si>
  <si>
    <t>LINESTRING Z (293321.29 6711241.27 156.772, 293297.12 6711302.56 158.852)</t>
  </si>
  <si>
    <t>POINT (293309.20499999996 6711271.914999999)</t>
  </si>
  <si>
    <t>['EV6 S26D1 m10687-10749']</t>
  </si>
  <si>
    <t>LINESTRING Z (293356 6711238.31 155.452, 293329 6711293.91 157.112)</t>
  </si>
  <si>
    <t>POINT (293342.5 6711266.109999999)</t>
  </si>
  <si>
    <t>['EV6 S26D1 m13834-13895']</t>
  </si>
  <si>
    <t>LINESTRING Z (293516.9 6708893.45 164.461, 293534.5 6708952.31 164.851)</t>
  </si>
  <si>
    <t>POINT (293525.7 6708922.88)</t>
  </si>
  <si>
    <t>['EV6 S26D1 m8203-8268']</t>
  </si>
  <si>
    <t>LINESTRING Z (293531.47 6708852.64 164.121, 293553.7 6708912.68 164.661)</t>
  </si>
  <si>
    <t>POINT (293542.58499999996 6708882.66)</t>
  </si>
  <si>
    <t>['FV5613 S1D1 m6225-6242']</t>
  </si>
  <si>
    <t>LINESTRING Z (73341.80861407 6817547.01869446 -999999, 73340.6591872903 6817551.23325931 -999999, 73339.5445916251 6817554.29839739 -999999, 73337.6288803256 6817556.91073098 -999999, 73333.2401598939 6817561.33428253 -999999)</t>
  </si>
  <si>
    <t>POINT (73338.40332309101 6817554.690043923)</t>
  </si>
  <si>
    <t>2015-06-05</t>
  </si>
  <si>
    <t>['FV5613 S2D1 m8171-8197']</t>
  </si>
  <si>
    <t>LINESTRING Z (68869.0681092579 6827127.26078962 -999999, 68865.1811876052 6827131.14771127 -999999, 68860.8369810521 6827135.49191783 -999999, 68858.7791990007 6827138.80723335 -999999, 68857.6359867499 6827142.12254888 -999999, 68857.0643806244 6827146.69539789 -999999, 68856.8357381743 6827150.23935586 -999999)</t>
  </si>
  <si>
    <t>POINT (68861.01336946798 6827137.813706243)</t>
  </si>
  <si>
    <t>2015-06-15</t>
  </si>
  <si>
    <t>2025-11-22T09:18:18Z</t>
  </si>
  <si>
    <t>['FV319 S5D1 m658-732']</t>
  </si>
  <si>
    <t>LINESTRING Z (233020.01001 6612132.759766 22.617, 233021.189941 6612129.330078 22.657, 233022.51001 6612126.169922 22.697, 233024.969971 6612120.279785 22.757, 233027.47998 6612114.569824 22.827, 233029.580078 6612109.689941 22.917, 233031.01001 6612106.990234 22.877, 233031.679932 6612105.799805 22.987, 233033.340088 6612103.009766 23.007, 233035.300049 6612099.700195 23.067, 233037.23999 6612096.379883 23.137, 233039.209961 6612093.01001 23.197, 233041.689941 6612088.780029 23.277, 233043.850098 6612085.199951 23.377, 233045.219971 6612082.830078 23.487, 233045.72998 6612082.02002 23.547, 233046.780029 6612080.449951 23.547, 233046.75 6612080.48999 23.567, 233049.070068 6612077.600098 23.617, 233053.300049 6612072.820068 23.707, 233057.050049 6612068.689941 23.857)</t>
  </si>
  <si>
    <t>2013-10-17</t>
  </si>
  <si>
    <t>['FV319 S5D1 m1279-1328']</t>
  </si>
  <si>
    <t>LINESTRING Z (232721.560058594 6612677.77001953 4.976, 232725.629882813 6612675.14013672 4.986, 232728.229980469 6612673.45019531 5.016, 232730.66015625 6612672.06005859 5.056, 232731.990234375 6612671.20996094 5.146, 232733.830078125 6612670.14013672 5.176, 232734.560058594 6612669.45996094 5.216, 232736.560058594 6612667.81982422 5.286, 232741.520019531 6612663.68994141 5.396, 232744.609863281 6612661.12988281 5.486, 232745.399902344 6612660.54003906 5.516, 232746.379882813 6612659.64013672 5.546, 232748.540039063 6612657.37988281 5.656, 232750.720214844 6612654.70996094 5.766, 232753.509765625 6612651.37011719 5.866, 232756.350097656 6612647.97021484 5.956, 232758.569824219 6612645.35009766 6.006)</t>
  </si>
  <si>
    <t>POINT (232741.18079992497 6612662.833944932)</t>
  </si>
  <si>
    <t>['FV319 S5D1 m1277-1328']</t>
  </si>
  <si>
    <t>LINESTRING Z (232716.439941406 6612672.62011719 4.896, 232718.83984375 6612670.16992188 4.916, 232721.189941406 6612667.58007813 5.016, 232724.66015625 6612663.35986328 5.106, 232727.040039063 6612660.68017578 5.106, 232729.740234375 6612657.79003906 5.156, 232730.169921875 6612657.43994141 5.186, 232730.91015625 6612656.77978516 5.206, 232731.709960938 6612656.14990234 5.236, 232733.209960938 6612654.83007813 5.266, 232736.979980469 6612651.5 5.366, 232740.799804688 6612648.14013672 5.466, 232741.520019531 6612647.5 5.456, 232742.220214844 6612646.79980469 5.476, 232743.060058594 6612646.16992187 5.486, 232746.040039063 6612644.25 5.546, 232750.080078125 6612641.66992188 5.696, 232752.620117188 6612640.04003906 5.756, 232754.569824219 6612638.70996094 5.806)</t>
  </si>
  <si>
    <t>POINT (232734.56766987187 6612654.584670931)</t>
  </si>
  <si>
    <t>2015-06-09</t>
  </si>
  <si>
    <t>['FV245 S1D1 m594-629']</t>
  </si>
  <si>
    <t>LINESTRING Z (244010.888246635 6687290.66297085 -999999, 244015.813830839 6687293.18583105 -999999, 244029.989902451 6687304.59877007 -999999, 244036.837665857 6687313.72912127 -999999)</t>
  </si>
  <si>
    <t>POINT (244024.81149970632 6687301.130614857)</t>
  </si>
  <si>
    <t>['EV69 S6D1 m14506-14533']</t>
  </si>
  <si>
    <t>LINESTRING Z (888385.23 7886041.97 9.702, 888386.48 7886046.92 9.672, 888386.45 7886052.02 9.632, 888384.85 7886056.47 9.842, 888382.41 7886062.84 10.052, 888381.53 7886065.71 10.102, 888382.47 7886057.94 9.982, 888384.85 7886038.88 9.792)</t>
  </si>
  <si>
    <t>POLYGON Z ((888385.23 7886041.97 9.702, 888386.48 7886046.92 9.672, 888386.45 7886052.02 9.632, 888384.85 7886056.47 9.842, 888382.41 7886062.84 10.052, 888381.53 7886065.71 10.102, 888382.47 7886057.94 9.982, 888384.85 7886038.88 9.792, 888385.23 7886041.97 9.702))</t>
  </si>
  <si>
    <t>2015-06-12</t>
  </si>
  <si>
    <t>[5254]</t>
  </si>
  <si>
    <t>['FV5254 S1D1 m1701-1757']</t>
  </si>
  <si>
    <t>LINESTRING Z (-37683.18 6738481.52 108.024, -37687.59 6738488.13 107.814, -37693.36 6738496.89 107.514, -37693.9 6738497.77 107.484, -37696.24 6738500.99 107.364, -37696.97 6738501.71 107.344, -37699.92 6738505.24 107.274, -37703.92 6738510.04 107.134, -37707.99 6738514.92 106.914, -37708.31 6738515.46 106.934, -37710.76 6738517.48 106.894, -37715.57 6738521.12 106.754, -37719.18 6738523.91 106.674)</t>
  </si>
  <si>
    <t>POINT (-37699.84012908661 6738503.941420097)</t>
  </si>
  <si>
    <t>2016-03-31</t>
  </si>
  <si>
    <t>['FV308 S6D1 m1029-1052']</t>
  </si>
  <si>
    <t>LINESTRING Z (236673.35 6567653.98 18.536, 236675.25 6567654.52 18.486, 236693.25 6567659.36 17.816, 236695.2 6567660.29 17.726)</t>
  </si>
  <si>
    <t>POINT (236684.33326886297 6567656.980368264)</t>
  </si>
  <si>
    <t>2016-03-30</t>
  </si>
  <si>
    <t>['FV308 S6D1 m1021-1073']</t>
  </si>
  <si>
    <t>LINESTRING Z (236663.26 6567662.41 18.716, 236663.48 6567662.5 18.716, 236665.45 6567663.27 18.636, 236677.35 6567668.14 18.326, 236696.63 6567673.24 17.576, 236712.25 6567675.11 17.126, 236713.36 6567675.26 17.126, 236713.66 6567675.33 17.126)</t>
  </si>
  <si>
    <t>POINT (236688.09653558 6567670.283124222)</t>
  </si>
  <si>
    <t>2016-04-13</t>
  </si>
  <si>
    <t>['FV3098 S2D1 m3458-3495']</t>
  </si>
  <si>
    <t>LINESTRING Z (236941.46 6575380.84 25.33, 236942.96 6575384.32 25.33, 236943.56 6575385.41 25.34, 236948.51 6575394.44 25.35, 236955.18 6575413.01 25.36, 236955.57 6575415.03 25.47)</t>
  </si>
  <si>
    <t>POINT (236949.15749096323 6575397.676448811)</t>
  </si>
  <si>
    <t>['FV42 S2D1 m1600-1668']</t>
  </si>
  <si>
    <t>LINESTRING Z (128718.92 6502527.93 55.086, 128720.83 6502529.49 55.156, 128724.6 6502532.45 55.016, 128727.47 6502534.71 54.936, 128730.33 6502536.89 54.866, 128733.04 6502539.06 54.816, 128735.81 6502541.18 54.706, 128738.53 6502543.32 54.636, 128741.25 6502545.45 54.596, 128744.85 6502548.38 54.526, 128748.2 6502551.14 54.466, 128751.64 6502554 54.416, 128754.28 6502556.27 54.396, 128756.34 6502558.01 54.176, 128759.69 6502560.72 54.106, 128767.9 6502571.41 54.096)</t>
  </si>
  <si>
    <t>POINT (128744.40263296536 6502548.677361357)</t>
  </si>
  <si>
    <t>['FV42 S2D1 m1716-1760']</t>
  </si>
  <si>
    <t>LINESTRING Z (128653.34 6502491.77 57.166, 128653.07 6502491.57 57.176, 128648.06 6502487.41 57.496, 128642.99 6502483.26 57.796, 128638.77 6502479.76 58.066, 128634.55 6502476.18 58.376, 128632.93 6502474.72 58.436, 128632.13 6502473.93 58.466, 128630.72 6502472.24 58.576, 128629.35 6502470.56 58.686, 128627.99 6502468.81 58.816, 128625.05 6502465.15 59.076, 128623.91 6502463.81 59.176, 128622.65 6502462.5 59.316, 128621.12 6502460.94 59.296)</t>
  </si>
  <si>
    <t>POINT (128636.59494712886 6502476.999829866)</t>
  </si>
  <si>
    <t>2015-06-19</t>
  </si>
  <si>
    <t>[3506]</t>
  </si>
  <si>
    <t>['FV3506 S1D1 m994-1040']</t>
  </si>
  <si>
    <t>LINESTRING Z (135090.67 6499540.21 58.105, 135091.94 6499534.94 58.345, 135092.17 6499533.58 58.425, 135093.35 6499526.46 58.805, 135094.8 6499517.19 59.355, 135095.56 6499512.64 59.635, 135097.19 6499506.25 60.045, 135098.59 6499500.32 60.455, 135099.09 6499496.36 60.655)</t>
  </si>
  <si>
    <t>POINT (135094.8634295194 6499518.277476861)</t>
  </si>
  <si>
    <t>2022-01-25</t>
  </si>
  <si>
    <t>['EV39 S113D1 m5956-6006']</t>
  </si>
  <si>
    <t>LINESTRING Z (13258.3000488281 6492731.18005371 35.42, 13259.6899414062 6492732.76000977 35.41, 13265.2700195312 6492739.07995606 35.39, 13266.0699462891 6492740.92004395 35.41, 13270.0799560547 6492750.10998535 35.47, 13273.2800292969 6492757.45996094 35.53, 13273.7800292969 6492759.43005371 35.55, 13276.2900390625 6492769.2800293 35.67, 13278.3000488281 6492777.15002442 35.76)</t>
  </si>
  <si>
    <t>POINT (13270.324715092225 6492753.149187898)</t>
  </si>
  <si>
    <t>2015-06-22</t>
  </si>
  <si>
    <t>['FV3054 S1D1 m625-697']</t>
  </si>
  <si>
    <t>LINESTRING Z (225571.57 6564721.43 34.855, 225574.7 6564722.6 34.965, 225585.65 6564726.6 34.815, 225585.79 6564726.66 34.815, 225618.27 6564740.23 34.495, 225622.54 6564742.34 34.455, 225623.37 6564742.74 34.455, 225626.33 6564744.21 34.425, 225628.03 6564745.06 34.425, 225636.48 6564749.67 34.395)</t>
  </si>
  <si>
    <t>POINT (225604.38843724105 6564734.74013224)</t>
  </si>
  <si>
    <t>['FV300 S1D1 m4610-4676']</t>
  </si>
  <si>
    <t>LINESTRING Z (236142.76 6580593.63 2.884, 236144.34 6580593.23 2.854, 236148.51 6580593.55 2.874, 236150.22 6580593.66 2.864, 236153.59 6580594 2.894, 236156.39 6580594.3 2.894, 236158.81 6580594.69 2.904, 236160.52 6580595.11 2.914, 236162.64 6580595.72 2.914, 236171.65 6580598.4 2.994, 236191.27 6580600.37 2.974, 236194.38 6580600.3 2.934, 236195.46 6580600.23 2.924, 236202.51 6580600.02 2.934, 236206.34 6580599.92 2.904, 236208.35 6580599.7 2.884)</t>
  </si>
  <si>
    <t>POINT (236175.44202028803 6580597.629420415)</t>
  </si>
  <si>
    <t>['FV300 S1D1 m4682-4713']</t>
  </si>
  <si>
    <t>LINESTRING Z (236106.73 6580575.56 3.213, 236107.78 6580575.43 3.193, 236123.77 6580575.86 3.203, 236124.64 6580575.89 3.203, 236127.61 6580575.96 3.213, 236129.79 6580576.37 3.214, 236135.76 6580577.5 3.224, 236137.39 6580577.77 3.254)</t>
  </si>
  <si>
    <t>POINT (236122.11062705217 6580576.071462159)</t>
  </si>
  <si>
    <t>['FV35 S1D1 m3500-3566']</t>
  </si>
  <si>
    <t>LINESTRING Z (235010.24 6582292.6 8.434, 235011.08 6582290.74 8.434, 235014.85 6582281.68 8.434, 235016.02 6582278.45 8.434, 235019.85 6582265.04 8.254, 235022.2 6582256.55 8.204, 235023.84 6582250.94 8.134, 235024.48 6582248.56 8.114, 235024.91 6582247.25 8.114, 235026.42 6582239.03 8.094, 235028.06 6582230.34 7.894, 235028.11 6582230.08 7.894)</t>
  </si>
  <si>
    <t>POINT (235020.3733304647 6582261.693361673)</t>
  </si>
  <si>
    <t>2015-06-25</t>
  </si>
  <si>
    <t>['FV35 S1D1 m3559-3609']</t>
  </si>
  <si>
    <t>LINESTRING Z (235002.5 6582284 8.324, 235002.22 6582284.58 8.314, 235000.96 6582287.35 8.304, 235000.63 6582288.07 8.314, 234997.35 6582295.46 8.304, 234989.5 6582324.51 8.464, 234989.41 6582325.56 8.424, 234989.04 6582329.62 8.494, 234988.99 6582330.63 8.544, 234988.9 6582331.66 8.564)</t>
  </si>
  <si>
    <t>POINT (234994.449136339 6582307.482160803)</t>
  </si>
  <si>
    <t>[2424]</t>
  </si>
  <si>
    <t>['FV2424 S2D1 m6955-6988']</t>
  </si>
  <si>
    <t>LINESTRING (224804.57220623514 6775341.593033268, 224818.66183676542 6775335.406193159)</t>
  </si>
  <si>
    <t>['EV134 S43D1 m10628-10694']</t>
  </si>
  <si>
    <t>LINESTRING Z (210400.799987793 6634060.06994629 106.266, 210411.770019531 6634067.88000488 105.866, 210432.140014648 6634088.01000977 105.136, 210445.969970703 6634101.06005859 104.706, 210447.979980469 6634106.34997559 104.496)</t>
  </si>
  <si>
    <t>POINT (210425.78449812368 6634082.034804193)</t>
  </si>
  <si>
    <t>['EV134 S43D1 m9773-9834']</t>
  </si>
  <si>
    <t>LINESTRING Z (209732.969970703 6633654.63000488 113.545, 209731.369995117 6633651.2800293 113.335, 209718.010009766 6633639.25 113.305, 209692.920043945 6633615.41998291 113.165, 209688.709960938 6633613.61999512 113.315)</t>
  </si>
  <si>
    <t>POINT (209711.66965034787 6633633.229023806)</t>
  </si>
  <si>
    <t>['EV134 S43D1 m5319-5377']</t>
  </si>
  <si>
    <t>LINESTRING Z (206860.709960938 6630452.87011719 199.717, 206858.490234375 6630450.16992188 199.607, 206845.040039063 6630445.47998047 199.537, 206809.770019531 6630431.86010742 199.287, 206807.020019531 6630432 199.267)</t>
  </si>
  <si>
    <t>POINT (206834.38914764015 6630441.358877478)</t>
  </si>
  <si>
    <t>2015-06-29</t>
  </si>
  <si>
    <t>[3544]</t>
  </si>
  <si>
    <t>['FV3544 S1D1 m1621-1655']</t>
  </si>
  <si>
    <t>LINESTRING Z (134681.89 6499466.38 64.675, 134673.08 6499461.54 64.675, 134666.65 6499460.61 64.825, 134653.41 6499459.89 64.725, 134648.18 6499459.35 64.725)</t>
  </si>
  <si>
    <t>POINT (134665.4710778439 6499461.371884906)</t>
  </si>
  <si>
    <t>['FV3544 S1D1 m1241-1283']</t>
  </si>
  <si>
    <t>LINESTRING Z (134415.18 6499207.67 69.525, 134414.55 6499203.74 69.715, 134414.11 6499199.53 69.985, 134414.1 6499197.57 70.205, 134406.98 6499180.35 71.365, 134403.87 6499175 71.565, 134401.15 6499170.94 71.565, 134398.74 6499167.64 72.045)</t>
  </si>
  <si>
    <t>POINT (134408.85822880914 6499186.929970786)</t>
  </si>
  <si>
    <t>['FV3544 S1D1 m1239-1297']</t>
  </si>
  <si>
    <t>LINESTRING Z (134406.62 6499222.55 69.105, 134405.54 6499219.88 69.165, 134401.89 6499211.67 69.445, 134400.67 6499208.85 69.545, 134397.19 6499200.1 69.545, 134395.06 6499194.69 70.215, 134393.59 6499190.88 70.445, 134391.74 6499184.99 70.685, 134390.92 6499181.05 70.925, 134390.02 6499174.89 71.295, 134389.57 6499173.03 71.395, 134389 6499171.07 71.495)</t>
  </si>
  <si>
    <t>POINT (134396.6710430114 6499197.163532424)</t>
  </si>
  <si>
    <t>['FV3544 S1D1 m1553-1606']</t>
  </si>
  <si>
    <t>LINESTRING Z (134632.76 6499468.5 64.645, 134606.14 6499470.13 -0.045, 134595.27 6499469.21 -0.045, 134588.76 6499467.9 -0.045, 134578.75 6499464.07 -0.045)</t>
  </si>
  <si>
    <t>POINT (134605.44781503372 6499468.6439747205)</t>
  </si>
  <si>
    <t>2015-07-13</t>
  </si>
  <si>
    <t>['EV39 S81D1 m4236 SD1 m21-44']</t>
  </si>
  <si>
    <t>LINESTRING Z (-30302.9829072511 6706256.71272697 -999999, -30305.1658810341 6706254.09315843 -999999, -30307.5671521954 6706250.60040038 -999999, -30309.9684233567 6706247.3259397 -999999, -30311.4965050048 6706245.3612633 -999999, -30312.8062892746 6706243.39658689 -999999)</t>
  </si>
  <si>
    <t>POINT (-30307.964463876007 6706250.107916253)</t>
  </si>
  <si>
    <t>2011-11-25</t>
  </si>
  <si>
    <t>['FV1551 S1D1 m1548-1594']</t>
  </si>
  <si>
    <t>LINESTRING Z (287687.16003418 6677461.37988281 211.923, 287695.479980469 6677474.52978516 211.583, 287703.099975586 6677487.64013672 211.243, 287710.199951172 6677501.18017578 210.903)</t>
  </si>
  <si>
    <t>POINT (287699.0401435463 6677481.0720844)</t>
  </si>
  <si>
    <t>['FV1551 S1D1 m1546-1595']</t>
  </si>
  <si>
    <t>LINESTRING Z (287679.310058594 6677464.54003906 211.623, 287689.760009766 6677480.33984375 211.233, 287696.239990234 6677491.29003906 210.983, 287703.859985352 6677506.29980469 210.643)</t>
  </si>
  <si>
    <t>POINT (287692.14067297115 6677485.096034084)</t>
  </si>
  <si>
    <t>['FV409 S4D1 m869-918']</t>
  </si>
  <si>
    <t>LINESTRING Z (139661.18 6496425.01 18.922, 139662.34 6496417.57 18.742, 139663.16 6496413.12 18.632, 139663.57 6496410.04 18.582, 139664.13 6496389.37 17.922, 139664.22 6496386.86 17.872, 139663.85 6496384.17 17.822, 139663.27 6496379.32 17.722, 139662.76 6496374.28 17.602)</t>
  </si>
  <si>
    <t>POINT (139663.32958989477 6496399.681528044)</t>
  </si>
  <si>
    <t>['FV409 S4D1 m855-918']</t>
  </si>
  <si>
    <t>LINESTRING Z (139653.95 6496374.02 17.702, 139650.85 6496388.38 18.202, 139650.44 6496390.39 18.262, 139649.55 6496423.88 19.032, 139649.42 6496430.9 19.152, 139650.17 6496439.89 19.202)</t>
  </si>
  <si>
    <t>POINT (139650.46688706265 6496406.829302383)</t>
  </si>
  <si>
    <t>2025-11-22T09:18:38Z</t>
  </si>
  <si>
    <t>['FV4624 S1D1 m1861-1871']</t>
  </si>
  <si>
    <t>LINESTRING Z (-24697.638845869 6588856.3687063 26.916, -24698.5280941289 6588845.7762089 27.316)</t>
  </si>
  <si>
    <t>POINT (-24698.08346999895 6588851.072457599)</t>
  </si>
  <si>
    <t>['FV4624 S1D1 m3279-3312']</t>
  </si>
  <si>
    <t>LINESTRING Z (-23843.6654557732 6588078.16859988 18.017, -23811.3066604271 6588069.55292229 19.917)</t>
  </si>
  <si>
    <t>POINT (-23827.48605810015 6588073.8607610855)</t>
  </si>
  <si>
    <t>['FV4621 S1D1 m2017-2059']</t>
  </si>
  <si>
    <t>LINESTRING Z (-27287.383943294757 6588750.7787204655 27.417, -27272.553606139263 6588711.483462947 26.417)</t>
  </si>
  <si>
    <t>POINT (-27279.96877471701 6588731.131091707)</t>
  </si>
  <si>
    <t>2016-01-31</t>
  </si>
  <si>
    <t>[4620]</t>
  </si>
  <si>
    <t>['FV4620 S1D1 m4541-4577']</t>
  </si>
  <si>
    <t>LINESTRING Z (-28488.2076156449 6587114.76529247 88.818, -28519.4307332049 6587132.28699646 92.218)</t>
  </si>
  <si>
    <t>POINT (-28503.819174424898 6587123.526144465)</t>
  </si>
  <si>
    <t>2015-07-20</t>
  </si>
  <si>
    <t>[4616]</t>
  </si>
  <si>
    <t>['FV4616 S1D1 m4595-4619']</t>
  </si>
  <si>
    <t>LINESTRING Z (-34354.7845992082 6591834.57712695 25.398, -34373.6401029964 6591850.97408646 26.498)</t>
  </si>
  <si>
    <t>POINT (-34364.2123511023 6591842.775606704)</t>
  </si>
  <si>
    <t>[4618]</t>
  </si>
  <si>
    <t>['FV4618 S1D1 m9-41']</t>
  </si>
  <si>
    <t>LINESTRING Z (-31864.7759728372 6588293.36208549 20.611, -31892.6243965366 6588305.17550289 22.311)</t>
  </si>
  <si>
    <t>POINT (-31878.700184686903 6588299.26879419)</t>
  </si>
  <si>
    <t>['FV4618 S1D1 m794-844']</t>
  </si>
  <si>
    <t>LINESTRING Z (-32599.4404593692 6588528.35620448 33.709, -32648.9103784913 6588537.7656398 32.709)</t>
  </si>
  <si>
    <t>POINT (-32624.17541893025 6588533.06092214)</t>
  </si>
  <si>
    <t>2023-08-28</t>
  </si>
  <si>
    <t>['EV18 S34D1 m2254-2272']</t>
  </si>
  <si>
    <t>LINESTRING Z (225822.92441041127 6568400.2709858 89.405, 225827.54485825944 6568406.821479803 89.545, 225832.68899809854 6568409.333757315 89.635, 225834.99795919989 6568412.631448475 89.715, 225835.619366823 6568418.30801597 89.805, 225835.7556653861 6568419.482691658 89.805, 225821.28799754608 6568398.980938799 89.065, 225822.92441041127 6568400.2709858 89.405)</t>
  </si>
  <si>
    <t>2015-08-19</t>
  </si>
  <si>
    <t>['FV401 S1D1 m4716-4768']</t>
  </si>
  <si>
    <t>LINESTRING Z (102829.83 6467620.32 18.28, 102824.99 6467613.84 18.26, 102820.17 6467607.5 18.21, 102818.99 6467605.99 18.17, 102816.86 6467603.77 18.16, 102813.87 6467600.96 18.16, 102803.21 6467594.14 18.17, 102796.94 6467590.2 18.17, 102794.9 6467588.94 18.2, 102792.21 6467587.67 18.18, 102789 6467586.78 18.19, 102788.16 6467586.42 18.17)</t>
  </si>
  <si>
    <t>POINT (102810.85582829046 6467601.042913943)</t>
  </si>
  <si>
    <t>['FV401 S1D1 m4685-4762']</t>
  </si>
  <si>
    <t>LINESTRING Z (102847.03 6467646.49 17.95, 102846.71 6467646.18 17.92, 102845.73 6467645.42 17.97, 102838.85 6467639.69 18.13, 102831.24 6467633.04 18.2, 102825.25 6467627.75 18.26, 102816 6467619.1 18.17, 102808.5 6467612.19 18.08, 102807.73 6467611.47 18.07, 102800.33 6467605.04 17.88, 102799.49 6467604.35 17.84, 102794.01 6467599.98 17.85, 102790.02 6467597.37 17.87)</t>
  </si>
  <si>
    <t>POINT (102818.71970443745 6467621.673238104)</t>
  </si>
  <si>
    <t>['FV401 S1D1 m5182-5244']</t>
  </si>
  <si>
    <t>LINESTRING Z (102365.48 6467785.24 5.12, 102367.29 6467785.65 5.12, 102373.95 6467787.36 5.16, 102382.15 6467789.51 5.16, 102386.02 6467790.47 5.17, 102386.92 6467790.59 5.16, 102388.03 6467790.74 5.16, 102394.26 6467790.16 5.12, 102402.23 6467789.04 5.09, 102406.99 6467788.22 5.02, 102407.95 6467788 5.02, 102408.72 6467787.83 5.02, 102411.44 6467786.9 4.99, 102419.23 6467783.96 4.92, 102423.17 6467782.45 4.84, 102426.74 6467780.97 4.8, 102428.93 6467779.92 4.78)</t>
  </si>
  <si>
    <t>POINT (102397.51811421404 6467787.19602284)</t>
  </si>
  <si>
    <t>['FV401 S1D1 m5923-5980']</t>
  </si>
  <si>
    <t>LINESTRING Z (101820.49 6467424.76 9.711, 101819.66 6467424.06 9.751, 101817.71 6467422.79 9.721, 101817.65 6467422.77 9.641, 101816.68 6467422.17 9.721, 101814.57 6467420.87 9.721, 101810.52 6467418.39 9.781, 101805.46 6467415.32 9.841, 101805.39 6467415.27 9.841, 101803.9 6467414.18 9.841, 101798.11 6467409.72 9.831, 101793.38 6467406.01 9.911, 101791.31 6467404.39 9.951, 101789.99 6467403.35 10.001, 101787.83 6467401.26 10.001, 101787.12 6467400.54 10.031, 101785.41 6467398.68 9.991, 101785.19 6467398.44 10.011, 101784.14 6467397.22 10.081, 101779.44 6467391.7 10.061, 101776.68 6467389.36 10.101)</t>
  </si>
  <si>
    <t>POINT (101797.6170972171 6467408.225555828)</t>
  </si>
  <si>
    <t>['FV401 S1D1 m5110-5174']</t>
  </si>
  <si>
    <t>LINESTRING Z (102434.25 6467770.36 4.52, 102438.59 6467768.28 4.53, 102440.96 6467767.09 4.52, 102448.57 6467763.29 4.51, 102457.12 6467759.16 4.49, 102465.31 6467755.27 4.45, 102472.63 6467752.21 4.4, 102474.07 6467751.61 4.39, 102481.39 6467748.87 4.31, 102488.09 6467746.56 4.26, 102488.49 6467746.48 4.28, 102491.99 6467745.45 4.34, 102492.2 6467745.4 4.39)</t>
  </si>
  <si>
    <t>POINT (102462.86493904184 6467756.998126926)</t>
  </si>
  <si>
    <t>2015-08-20</t>
  </si>
  <si>
    <t>['FV505 S1D1 m166-177']</t>
  </si>
  <si>
    <t>LINESTRING Z (-32184.6646103394 6536728.52952663 -999999, -32184.2226749464 6536738.69404067 -999999)</t>
  </si>
  <si>
    <t>POINT (-32184.443642642902 6536733.61178365)</t>
  </si>
  <si>
    <t>2015-09-15</t>
  </si>
  <si>
    <t>['FV120 S11D1 m2806-2867']</t>
  </si>
  <si>
    <t>LINESTRING Z (280967.592260912 6648537.17161545 -999999, 280956.023166806 6648549.63753855 -999999, 280936.561977496 6648571.87889776 -999999, 280929.477028392 6648583.08926027 -999999)</t>
  </si>
  <si>
    <t>POINT (280947.7610354588 6648559.5325026475)</t>
  </si>
  <si>
    <t>2015-09-18</t>
  </si>
  <si>
    <t>2025-11-22T09:18:44Z</t>
  </si>
  <si>
    <t>[3672]</t>
  </si>
  <si>
    <t>['FV3672 S1D1 m1617-1666']</t>
  </si>
  <si>
    <t>LINESTRING Z (112681.07 6476751.88 29.728, 112681.94 6476748.27 29.648, 112683.36 6476744.69 29.548, 112683.71 6476744.19 29.548, 112688.14 6476737.73 29.628, 112693.43 6476730.34 29.438, 112695.33 6476726.93 29.388, 112695.78 6476725.01 29.308, 112695.58 6476720.91 29.398, 112695.04 6476718.8 29.358, 112693.25 6476715.68 29.348, 112691.3 6476713.35 29.388, 112689.92 6476712.38 29.408, 112687.44 6476711.26 29.358, 112684.65 6476710.31 29.168, 112682.22 6476709.66 29.108, 112678.54 6476708.35 28.918, 112677.76 6476707.92 28.858, 112677.33 6476707.57 28.858, 112676.1 6476706.56 28.828, 112675.42 6476705.89 28.828, 112674.81 6476705.25 28.828, 112674.31 6476704.59 28.818, 112673.45 6476703.29 28.688, 112672.46 6476701.68 28.648, 112672.15 6476701.13 28.638)</t>
  </si>
  <si>
    <t>POINT (112686.75621079284 6476724.08032447)</t>
  </si>
  <si>
    <t>2025-04-30T14:25:28Z</t>
  </si>
  <si>
    <t>[280]</t>
  </si>
  <si>
    <t>['FV280 S3D1 m5855-5913']</t>
  </si>
  <si>
    <t>LINESTRING Z (210022.48 6677569.6 141.265, 210022.16 6677568.6 141.195, 210021.83 6677567.62 141.315, 210019.55 6677561.52 141.425, 210017.38 6677555.72 141.555, 210016.98 6677554.64 141.575, 210016.6 6677553.6 141.595, 210016.25 6677552.6 141.615, 210015.91 6677551.52 141.635, 210015.62 6677550.45 141.665, 210013.96 6677544.29 141.815, 210013.68 6677543.24 141.875, 210009.27 6677526.8 142.284, 210008.36 6677520.7 142.334, 210009 6677514.09 142.364)</t>
  </si>
  <si>
    <t>POINT (210013.93771991 6677542.147077829)</t>
  </si>
  <si>
    <t>2012-06-01</t>
  </si>
  <si>
    <t>['FV306 S1D1 m1175-1220']</t>
  </si>
  <si>
    <t>LINESTRING Z (236678.939941406 6591670.92004395 62.904, 236677.990234375 6591671.41003418 62.904, 236675.220214844 6591672.72998047 62.874, 236669.970214844 6591675.33996582 62.864, 236665.209960938 6591678.05004883 62.804, 236664.379882813 6591678.73999023 62.794, 236658.740234375 6591684.27001953 62.674, 236654.209960938 6591688.73999023 62.644, 236651.41015625 6591692.56994629 62.544, 236647.830078125 6591697.4699707 62.464, 236645.450195312 6591700.73999023 62.254)</t>
  </si>
  <si>
    <t>POINT (236660.6575946249 6591684.021061903)</t>
  </si>
  <si>
    <t>[5358]</t>
  </si>
  <si>
    <t>['FV5358 S1D1 m1548-1607']</t>
  </si>
  <si>
    <t>LINESTRING Z (-33456.57 6732196.24 133.656, -33456.65 6732196.89 133.636, -33456.96 6732198.11 133.616, -33457.65 6732200.38 133.586, -33458.31 6732202.49 133.546, -33459.03 6732204.69 133.526, -33460.03 6732207.53 133.506, -33460.48 6732209.49 133.526, -33460.96 6732211.48 133.516, -33461.45 6732213.47 133.506, -33461.94 6732215.43 133.516, -33462.41 6732217.41 133.476, -33462.9 6732219.38 133.456, -33463.4 6732221.36 133.446, -33463.88 6732223.33 133.436, -33464.28 6732225.07 133.426, -33464.82 6732227.03 133.436, -33465.29 6732229.01 133.426, -33465.54 6732229.97 133.356, -33465.76 6732230.91 133.346, -33466.36 6732233.32 133.296, -33466.95 6732235.72 133.256, -33467.45 6732237.91 133.246, -33467.85 6732239.81 133.236, -33468.2 6732241.84 133.226, -33468.7 6732244.43 133.206, -33469.2 6732247.08 133.176, -33469.69 6732249.62 133.186, -33470.1 6732251.86 133.176, -33470.15 6732252.06 133.176)</t>
  </si>
  <si>
    <t>POINT (-33463.86229017017 6732224.021779083)</t>
  </si>
  <si>
    <t>['FV55 S18D1 m1811-1834']</t>
  </si>
  <si>
    <t>LINESTRING (28836.985174813948 6812068.262301505, 28833.455255697772 6812071.072527807, 28829.861663048447 6812073.170045728, 28823.22425237688 6812074.664709409, 28819.829896811687 6812074.787806281, 28814.604784511786 6812073.823829808)</t>
  </si>
  <si>
    <t>['FV165 S1D1 m9841-9902']</t>
  </si>
  <si>
    <t>LINESTRING Z (246833.369995117 6636628.19995117 35.243, 246832.670043945 6636633.55004883 35.133, 246832.359985352 6636635.66003418 35.113, 246832.219970703 6636636.63000488 35.103, 246832.050048828 6636637.69995117 35.073, 246831.83996582 6636638.79003906 35.043, 246831.369995117 6636640.84997559 34.993, 246829.609985352 6636647.98999023 34.983, 246829.510009766 6636648.40002441 34.973, 246827.699951172 6636655.94995117 34.933, 246826.719970703 6636659.9699707 34.933, 246825.329956055 6636665.57995605 34.903, 246825.099975586 6636666.63000488 34.893, 246824.800048828 6636667.58996582 34.893, 246824.439941406 6636668.65002441 34.903, 246824.060058594 6636669.59997559 34.883, 246823.689941406 6636670.58996582 34.873, 246823.290039063 6636671.59997559 34.893, 246822.520019531 6636673.64001465 34.883, 246821.680053711 6636675.66003418 34.873, 246820.510009766 6636678.72998047 34.883, 246819.680053711 6636680.81994629 34.873, 246818.91003418 6636682.7800293 34.873, 246818.550048828 6636683.72998047 34.863, 246818.130004883 6636684.80004883 34.863, 246817.819946289 6636685.79003906 34.863, 246817.599975586 6636686.51000977 34.863)</t>
  </si>
  <si>
    <t>POINT (246826.71222881653 6636657.686913316)</t>
  </si>
  <si>
    <t>[78]</t>
  </si>
  <si>
    <t>['FV78 S1D30 m7762-7821']</t>
  </si>
  <si>
    <t>LINESTRING Z (422741.96 7319988.61 53.82, 422748.05 7319985.31 53.71, 422755.23 7319980.47 53.46, 422758.21 7319977.89 53.4, 422761.77 7319974.29 53.16, 422767.64 7319967.66 52.68, 422771.9 7319962.21 52.33, 422776.28 7319955.86 51.94, 422779.66 7319950.47 51.63, 422783.07 7319944.35 51.26)</t>
  </si>
  <si>
    <t>POINT (422764.7638238431 7319968.693967968)</t>
  </si>
  <si>
    <t>['FV78 S1D30 m6732-6789']</t>
  </si>
  <si>
    <t>LINESTRING Z (423683.82 7319726.27 93.99, 423689.55 7319727.2 94.05, 423694.76 7319727.93 94.06, 423699.56 7319728.23 94.1, 423720.1 7319726.25 94.31, 423725.36 7319725.32 94.33, 423732.76 7319723.5 94.43, 423740.55 7319721.66 94.48)</t>
  </si>
  <si>
    <t>POINT (423712.2986205848 7319726.129636996)</t>
  </si>
  <si>
    <t>['FV78 S1D30 m4717-4782']</t>
  </si>
  <si>
    <t>LINESTRING Z (425664.67 7319485.1 98.539, 425673.34 7319482.46 98.819, 425682.18 7319479.81 99.059, 425687.19 7319478.35 99.259, 425693.99 7319477.01 99.489, 425709.89 7319474.62 99.999, 425714.36 7319474.42 100.169, 425719.44 7319474.73 100.329, 425724.75 7319475.26 100.589, 425728.73 7319475.57 100.719)</t>
  </si>
  <si>
    <t>POINT (425696.4046247683 7319477.850861209)</t>
  </si>
  <si>
    <t>['FV78 S1D30 m4719-4783']</t>
  </si>
  <si>
    <t>LINESTRING Z (425664.25 7319492.92 98.559, 425669.9 7319492.95 98.729, 425675.68 7319493.89 98.829, 425683.52 7319493.93 99.059, 425701.92 7319490.95 99.679, 425708.7 7319489.48 99.929, 425715.32 7319487.62 100.189, 425722.4 7319485.28 100.519, 425728.05 7319483.47 100.689)</t>
  </si>
  <si>
    <t>POINT (425696.4519835999 7319490.681454994)</t>
  </si>
  <si>
    <t>['FV78 S1D30 m2519-2581']</t>
  </si>
  <si>
    <t>LINESTRING Z (427419.66 7320629.76 67.779, 427422.75 7320634.07 67.689, 427426.19 7320639.07 67.579, 427430.05 7320643.52 67.469, 427435.78 7320648.54 67.359, 427443.09 7320654.74 67.269, 427449.47 7320659.47 67.229, 427454.33 7320662.5 67.209, 427462.65 7320667.62 67.199, 427466.97 7320670.1 67.219)</t>
  </si>
  <si>
    <t>POINT (427441.57344500476 7320651.86356197)</t>
  </si>
  <si>
    <t>['FV78 S1D30 m2440-2504']</t>
  </si>
  <si>
    <t>LINESTRING Z (427483.74 7320674.08 67.189, 427494.44 7320680.42 67.139, 427501.78 7320684.63 67.019, 427506.97 7320688.88 67.089, 427516.2 7320696.72 67.099, 427523.14 7320702.99 67.149, 427526.79 7320707.85 67.219, 427531.97 7320715.04 67.319)</t>
  </si>
  <si>
    <t>POINT (427509.5926785915 7320692.597227677)</t>
  </si>
  <si>
    <t>['FV78 S1D30 m1491-1582']</t>
  </si>
  <si>
    <t>LINESTRING Z (428354.83 7321178.02 50.449, 428344.32 7321171.76 50.829, 428334.22 7321166.11 51.149, 428323.82 7321160.93 51.529, 428313.3 7321156.2 52.019, 428305.91 7321152.95 52.249, 428292.12 7321147.87 52.809, 428281.61 7321144.5 53.199, 428271.58 7321140.97 53.659)</t>
  </si>
  <si>
    <t>POINT (428314.0199940411 7321157.692652329)</t>
  </si>
  <si>
    <t>['FV78 S1D30 m6661-6721']</t>
  </si>
  <si>
    <t>LINESTRING Z (423750.65 7319711.25 94.51, 423755.86 7319709.98 94.52, 423764.02 7319707.85 94.45, 423772.39 7319706.11 94.35, 423782.94 7319705.05 94.31, 423792.74 7319704.24 94.2, 423797.59 7319704.38 94.17, 423803.82 7319705.27 94.13, 423809.69 7319706.11 94.09)</t>
  </si>
  <si>
    <t>POINT (423780.02404733025 7319706.375886484)</t>
  </si>
  <si>
    <t>['FV78 S1D30 m1586-1657']</t>
  </si>
  <si>
    <t>LINESTRING Z (428264.71 7321146.91 53.699, 428256.27 7321144.24 54.059, 428246.64 7321141.37 54.319, 428241.72 7321139.52 54.489, 428229.59 7321134.11 54.939, 428216.01 7321127.65 55.469, 428210 7321123.74 55.749, 428200.13 7321117.17 56.159)</t>
  </si>
  <si>
    <t>POINT (428231.5294943982 7321133.932070051)</t>
  </si>
  <si>
    <t>['FV357 S1D1 m2122-2177']</t>
  </si>
  <si>
    <t>LINESTRING Z (190446.25 6575223.17 39.455, 190447.93 6575222.7 39.415, 190448.47 6575222.56 39.405, 190451.54 6575221.92 39.365, 190453.66 6575221.63 39.325, 190462.64 6575220.57 39.135, 190463.69 6575220.39 39.135, 190464.75 6575220.17 39.115, 190465.7 6575219.93 39.075, 190480.8 6575215.05 38.695, 190482.62 6575214.37 38.655, 190483.54 6575213.98 38.635, 190484.42 6575213.52 38.645, 190485.33 6575213 38.605, 190486.09 6575212.51 38.605, 190486.93 6575211.93 38.575, 190498.34 6575203.85 38.475, 190499.16 6575203.34 38.465)</t>
  </si>
  <si>
    <t>2016-01-19</t>
  </si>
  <si>
    <t>['FV439 S1D1 m5152-5246']</t>
  </si>
  <si>
    <t>LINESTRING Z (79032.601074 6464746.787109 21.111, 79022.831055 6464739.14209 20.66, 79012.97998 6464732.187012 20.263, 79012.576904 6464732.270996 20.285, 79011.62207 6464730.885986 20.209, 79003.958984 6464723.405029 19.944, 78992.268066 6464711.988037 19.521, 78990.437012 6464713.87207 19.608, 78965.564941 6464681.383057 18.559)</t>
  </si>
  <si>
    <t>POINT (78997.06784607758 6464715.915767866)</t>
  </si>
  <si>
    <t>['FV439 S1D1 m5150-5225']</t>
  </si>
  <si>
    <t>LINESTRING Z (78989.654053 6464687.087891 19.039, 79006.343994 6464699.139893 19.551, 79006.919922 6464699.217041 19.598, 79007.938965 6464700.585938 19.643, 79017.841064 6464710.295898 20.026, 79027.499023 6464719.75293 20.422, 79027.606934 6464719.648926 20.424, 79037.501953 6464731.736084 20.746, 79043.069092 6464739.25 21.128)</t>
  </si>
  <si>
    <t>POINT (79017.90782124006 6464711.572312653)</t>
  </si>
  <si>
    <t>['FV439 S1D1 m4762-4834']</t>
  </si>
  <si>
    <t>LINESTRING Z (79350.326172 6464970.447998 26.499, 79332.449219 6464966.444092 27.169, 79332.199219 6464967.174072 27.239, 79330.63623 6464966.214111 27.263, 79329.248047 6464965.544922 27.314, 79325.417969 6464964.062012 27.462, 79304.751953 6464956.040039 28.306, 79304.643066 6464956.179932 28.258, 79302.448242 6464955.099121 28.344, 79287.301758 6464945.541992 28.816, 79283.39502 6464943.386963 28.889)</t>
  </si>
  <si>
    <t>POINT (79316.08338862297 6464959.296903083)</t>
  </si>
  <si>
    <t>['FV439 S1D1 m4630-4735']</t>
  </si>
  <si>
    <t>LINESTRING Z (79380.820801 6464966.991943 25.907, 79388.535156 6464969.104004 25.807, 79401.375977 6464972.404053 25.753, 79411.144043 6464974.908936 25.639, 79419.038086 6464976.897949 25.581, 79427.731934 6464980.052979 25.476, 79426.834961 6464982.643066 25.361, 79428.338867 6464983.525879 25.316, 79444.229004 6464991.143066 25.174, 79453.958008 6464995.739014 25.067, 79454.74707 6464994.156006 25.117, 79457.233887 6464994.14209 25.105, 79457.85498 6464994.805908 25.104, 79457.901855 6464994.775879 25.103, 79464.161133 6465001.370117 24.932, 79470.109863 6465007.12793 24.758, 79476.11377 6465011.8479 24.644)</t>
  </si>
  <si>
    <t>POINT (79430.97099646245 6464985.537492087)</t>
  </si>
  <si>
    <t>2015-10-13</t>
  </si>
  <si>
    <t>['FV439 S2D1 m1976-2066']</t>
  </si>
  <si>
    <t>LINESTRING Z (76777.7629394531 6462290.62902832 17.949, 76775.58203125 6462290.18603516 17.954, 76770.7509765625 6462289.53295898 17.91, 76765.2939453125 6462288.89294434 17.932, 76759.4720458984 6462288 17.877, 76752.0389404297 6462286.64599609 17.817, 76749.8630371094 6462286.38500977 17.758, 76740.1719970703 6462283.79101562 17.753, 76730.9270019531 6462281.22497559 17.774, 76724.2409667969 6462279.31896973 17.816, 76720.6169433594 6462278.32104492 17.776, 76712.6190185547 6462275.26098633 17.723, 76690.4639892578 6462266.59301758 17.904)</t>
  </si>
  <si>
    <t>POINT (76733.53566179977 6462280.7746758815)</t>
  </si>
  <si>
    <t>['FV439 S2D1 m1116-1289']</t>
  </si>
  <si>
    <t>LINESTRING Z (77525.95703125 6462758.46203613 12.09, 77521.2119140625 6462753.55895996 12.133, 77515.3520507813 6462747.16503906 12.204, 77505.7060546875 6462736.56201172 12.318, 77495.7150878906 6462725.61206055 12.475, 77485.5520019531 6462714.48205566 12.671, 77478.8430175781 6462707.05297852 12.943, 77469.0629882813 6462697.66894531 13.123, 77459.5329589844 6462688.67700195 13.183, 77451.2229003906 6462681.58996582 13.232, 77449.1120605469 6462679.85803223 13.065, 77444.2329101563 6462675.9699707 13.116, 77427.662109375 6462662.68896485 13.195, 77411.5471191406 6462649.72595215 13.34, 77399.7309570313 6462640.07202149 13.446)</t>
  </si>
  <si>
    <t>POINT (77464.95935325464 6462697.01225818)</t>
  </si>
  <si>
    <t>['FV439 S2D1 m1145-1267']</t>
  </si>
  <si>
    <t>LINESTRING Z (77449.907959 6462710.064941 12.775, 77449.538086 6462709.946045 12.752, 77443.939941 6462705.302979 12.815, 77440.839111 6462702.812988 12.808, 77433.964111 6462697.495972 12.883, 77427.051025 6462692.022949 12.953, 77419.553955 6462686.063965 13.038, 77411.532959 6462679.550049 13.142, 77405.379883 6462674.588013 13.275, 77403.849121 6462673.321045 13.305, 77399.428955 6462669.661987 13.39, 77397.263916 6462667.911011 13.495, 77387.729004 6462658.890991 13.595, 77378.549072 6462650.225952 13.703, 77375.490967 6462647.379028 13.723, 77375.387939 6462647.282959 13.724, 77374.054932 6462646.055054 13.71, 77369.204102 6462640.807007 13.71, 77364.240967 6462635.343994 13.762, 77358.333008 6462628.906982 13.778, 77352.137939 6462622.194946 13.838, 77347.575928 6462617.178955 13.819, 77342.751953 6462611.973022 13.829, 77340.248047 6462609.05603 13.88, 77336.019043 6462604.452026 13.931)</t>
  </si>
  <si>
    <t>POINT (77390.9682010259 6462659.417594697)</t>
  </si>
  <si>
    <t>['FV439 S2D1 m330-446']</t>
  </si>
  <si>
    <t>LINESTRING Z (78054.073975 6463333.11792 12.942, 78051.666992 6463328.023926 12.926, 78049.339111 6463322.836914 12.91, 78046.868896 6463316.512939 12.985, 78040.60791 6463306.937012 13.066, 78038.653076 6463303.954102 12.919, 78036.613037 6463300.851074 12.98, 78034.032959 6463296.956055 12.934, 78030.065918 6463290.876953 12.957, 78026.843018 6463285.940918 13.141, 78026.850098 6463285.158936 12.943, 78021.702881 6463277.763916 12.844, 78017.61499 6463271.905029 12.806, 78012.108887 6463263.406006 12.806, 78001.727051 6463247.259033 12.819, 77994.450928 6463236.169922 12.797)</t>
  </si>
  <si>
    <t>POINT (78025.36951385379 6463284.052203754)</t>
  </si>
  <si>
    <t>2015-10-14</t>
  </si>
  <si>
    <t>[420]</t>
  </si>
  <si>
    <t>['FV420 S9D1 m5050-5092']</t>
  </si>
  <si>
    <t>LINESTRING Z (119724.438 6479968.239 24.763, 119724.854 6479974.015 24.653, 119726.204 6479980.563 24.773, 119728.326 6479989.556 24.963, 119733.536 6479996.2 25.063, 119739.126 6480001.011 25.153, 119740.262 6480002.016 25.143, 119744.152 6480005.469 25.123)</t>
  </si>
  <si>
    <t>POINT (119731.05264263909 6479988.571541985)</t>
  </si>
  <si>
    <t>['FV420 S9D1 m4153-4213']</t>
  </si>
  <si>
    <t>LINESTRING Z (120197.635 6480751.972 1.539, 120197.35 6480750.763 1.523, 120196.926 6480747.251 1.513, 120196.781 6480744.287 1.513, 120196.197 6480739.551 1.423, 120194.567 6480731.681 1.303, 120192.845 6480727.38 1.283, 120192.43 6480726.341 1.293, 120190.566 6480722.585 1.253, 120184.212 6480715.198 1.253, 120182.968 6480713.881 1.183, 120180.186 6480710.891 1.193, 120175.068 6480705.063 1.263, 120169.64 6480698.126 1.423)</t>
  </si>
  <si>
    <t>POINT (120187.33138810744 6480723.373371507)</t>
  </si>
  <si>
    <t>['FV420 S9D1 m4225-4290']</t>
  </si>
  <si>
    <t>LINESTRING Z (120154.07 6480692.046 2.103, 120153.075 6480690.476 2.083, 120150.303 6480686.359 2.123, 120144.452 6480677.508 2.193, 120141.967 6480672.43 2.313, 120137.642 6480663.433 2.533, 120136.215 6480659.739 2.633, 120134.888 6480655.815 2.733, 120134.014 6480652.342 2.853, 120132.096 6480643.824 3.093, 120130.279 6480634.301 3.293, 120129.587 6480631.592 3.375)</t>
  </si>
  <si>
    <t>POINT (120139.28802114465 6480662.862619375)</t>
  </si>
  <si>
    <t>['FV420 S9D1 m4564-4577', 'FV420 S9D1 m4527-4564']</t>
  </si>
  <si>
    <t>LINESTRING Z (120077.37 6480399.804 8.293, 120073.595 6480391.331 8.693, 120068.683 6480382.186 9.293, 120064.916 6480377.453 9.495, 120060.393 6480371.837 9.774, 120056.415 6480366.919 9.993, 120049.403 6480361.049 10.243, 120046.853 6480358.878 10.355)</t>
  </si>
  <si>
    <t>POINT (120063.95891753756 6480377.953102255)</t>
  </si>
  <si>
    <t>['FV3280 S1D1 m277-321']</t>
  </si>
  <si>
    <t>LINESTRING Z (192201.3 6577466.89 56.411, 192201.32 6577464.68 56.391, 192201.31 6577463.54 56.371, 192199.73 6577448.17 56.271, 192199.51 6577445.96 56.301, 192199.43 6577443.74 56.291, 192199.39 6577425.57 56.281, 192199.38 6577423.26 56.291)</t>
  </si>
  <si>
    <t>2015-10-19</t>
  </si>
  <si>
    <t>['FV407 S3D1 m4464-4512']</t>
  </si>
  <si>
    <t>LINESTRING Z (127464.066 6487596.77 51.307, 127457.215 6487592.847 51.665, 127455.522 6487591.225 51.735, 127450.169 6487585.581 51.961, 127445.509 6487580.608 52.08, 127442.732 6487577.498 52.108, 127440.255 6487573.964 52.157, 127436.086 6487567.714 52.205, 127431.747 6487561.331 52.286)</t>
  </si>
  <si>
    <t>POINT (127446.54184255101 6487580.431068178)</t>
  </si>
  <si>
    <t>2015-10-21</t>
  </si>
  <si>
    <t>['FV420 S8D1 m785-848']</t>
  </si>
  <si>
    <t>LINESTRING Z (123054.878 6484813.022 51.521, 123054.497 6484802.506 51.491, 123054.366 6484802.115 51.504, 123052.724 6484796.725 51.66, 123051.847 6484794.141 51.672, 123050.655 6484790.591 51.675, 123048.571 6484784.409 51.704, 123047.522 6484781.861 51.713, 123044.365 6484774.727 51.737, 123040.527 6484766.046 51.784, 123037.405 6484758.958 51.818, 123035.582 6484754.339 51.859, 123034.974 6484752.837 51.859)</t>
  </si>
  <si>
    <t>POINT (123046.78501168125 6484782.469769507)</t>
  </si>
  <si>
    <t>['FV420 S8D1 m793-829']</t>
  </si>
  <si>
    <t>LINESTRING Z (123033.19 6484772.999 51.993, 123033.953 6484778.609 51.964, 123034.556 6484781.335 51.935, 123036.326 6484786.954 51.897, 123038.407 6484792.987 51.855, 123039.992 6484797.663 51.85, 123040.881 6484799.746 51.834, 123042.596 6484803.305 51.805, 123045.019 6484807.82 51.793)</t>
  </si>
  <si>
    <t>POINT (123038.03567168517 6484790.762842493)</t>
  </si>
  <si>
    <t>['FV2728 S2D1 m153-177']</t>
  </si>
  <si>
    <t>LINESTRING Z (231015.86 6631603.84 2.536, 231016.25 6631603.28 2.546, 231016.4 6631602.93 2.546, 231016.8 6631601.12 2.596, 231017.03 6631600.71 2.596, 231017.42 6631600.33 2.606, 231021.39 6631597.22 2.606, 231024.07 6631595.13 2.626, 231030.48 6631590.22 2.626, 231031 6631589.91 2.616, 231031.43 6631589.79 2.616, 231034.17 6631589.48 2.566, 231034.69 6631589.37 2.576, 231034.87 6631589.33 2.596)</t>
  </si>
  <si>
    <t>POINT (231024.35925104897 6631595.316696568)</t>
  </si>
  <si>
    <t>2019-07-25</t>
  </si>
  <si>
    <t>['FV2728 S2D1 m125-144']</t>
  </si>
  <si>
    <t>LINESTRING Z (230994.15 6631620.63 2.827, 230994.45 6631620.28 2.817, 230994.69 6631619.84 2.807, 230995.28 6631617.63 2.817, 230995.57 6631617.17 2.827, 230995.9 6631616.84 2.827, 231000.31 6631613.47 2.767, 231005.23 6631609.67 2.706, 231005.7 6631609.42 2.696, 231006.17 6631609.28 2.686, 231008.74 6631608.99 2.656, 231009.38 6631608.77 2.626)</t>
  </si>
  <si>
    <t>POLYGON Z ((230994.15 6631620.63 2.827, 230994.45 6631620.28 2.817, 230994.69 6631619.84 2.807, 230995.28 6631617.63 2.817, 230995.57 6631617.17 2.827, 230995.9 6631616.84 2.827, 231000.31 6631613.47 2.767, 231005.23 6631609.67 2.706, 231005.7 6631609.42 2.696, 231006.17 6631609.28 2.686, 231008.74 6631608.99 2.656, 231009.38 6631608.77 2.626, 230994.15 6631620.63 2.827))</t>
  </si>
  <si>
    <t>['FV2728 S2D1 m34-66']</t>
  </si>
  <si>
    <t>LINESTRING Z (230921.51 6631675.79 3.057, 230921.83 6631675.18 3.057, 230922.77 6631672.64 3.077, 230923.04 6631672.19 3.077, 230923.39 6631671.86 3.077, 230930.87 6631666.19 2.957, 230937.25 6631661.33 2.867, 230942.2 6631657.57 2.807, 230942.66 6631657.33 2.807, 230943.11 6631657.21 2.797, 230945.74 6631657.05 2.757, 230946.23 6631656.96 2.777, 230946.71 6631656.76 2.767)</t>
  </si>
  <si>
    <t>POINT (230933.04570284727 6631664.861910892)</t>
  </si>
  <si>
    <t>2015-10-27</t>
  </si>
  <si>
    <t>['FV420 S4D1 m4724 SD1 m83-164']</t>
  </si>
  <si>
    <t>LINESTRING Z (132310.17 6492388.38 18.944, 132316.51 6492387.03 19.114, 132320.23 6492387.06 19.234, 132322.89 6492387.18 19.324, 132330.89 6492389.98 19.384, 132339.91 6492388.01 19.004, 132346.18 6492391.15 18.864, 132386.69 6492425.05 19.344, 132377.15 6492437.15 19.494, 132329.68 6492401.1 19.274, 132312.18 6492394.16 18.864, 132310.17 6492388.38 18.944, 132311.96 6492387.65 19.014)</t>
  </si>
  <si>
    <t>['FV32 S6D1 m8518-8586']</t>
  </si>
  <si>
    <t>LINESTRING Z (192370.37 6577468.81 60.521, 192373.45 6577477.82 -342257.55, 192378.23 6577489.9 -342252.77, 192380.69 6577496.2 -342250.31, 192385.54 6577511.1 -342245.46, 192387.78 6577518.79 -342243.22, 192392.21 6577533.76 61.062, 192392.6 6577530.38 61.022, 192393.1 6577524.65 60.932, 192392.54 6577522.41 60.932, 192391.14 6577516.8 60.972, 192390.58 6577514.58 60.912, 192388.05 6577506.06 60.852, 192387.34 6577503.9 60.852, 192385.4 6577498.13 60.782, 192380.58 6577484.72 60.722, 192379.71 6577482.63 60.691, 192379.65 6577482.36 60.701, 192378.17 6577480.92 60.651, 192375.73 6577477.01 60.591, 192372.74 6577472.82 60.581, 192370.37 6577468.81 60.521)</t>
  </si>
  <si>
    <t>POLYGON Z ((192370.37 6577468.81 60.521, 192373.45 6577477.82 -342257.55, 192378.23 6577489.9 -342252.77, 192380.69 6577496.2 -342250.31, 192385.54 6577511.1 -342245.46, 192387.78 6577518.79 -342243.22, 192392.21 6577533.76 61.062, 192392.6 6577530.38 61.022, 192393.1 6577524.65 60.932, 192392.54 6577522.41 60.932, 192391.14 6577516.8 60.972, 192390.58 6577514.58 60.912, 192388.05 6577506.06 60.852, 192387.34 6577503.9 60.852, 192385.4 6577498.13 60.782, 192380.58 6577484.72 60.722, 192379.71 6577482.63 60.691, 192379.65 6577482.36 60.701, 192378.17 6577480.92 60.651, 192375.73 6577477.01 60.591, 192372.74 6577472.82 60.581, 192370.37 6577468.81 60.521))</t>
  </si>
  <si>
    <t>['FV32 S6D1 m8408-8484']</t>
  </si>
  <si>
    <t>LINESTRING Z (192397.33 6577643.16 60.172, 192397.03 6577641.47 60.192, 192396.47 6577639.26 60.212, 192392.76 6577624.58 60.282, 192392.53 6577623.49 60.302, 192392.37 6577622.4 60.342, 192388.47 6577583.08 60.592, 192388.44 6577582.56 60.582, 192388.44 6577582.01 60.592, 192388.5 6577580.96 60.612, 192388.59 6577579.95 60.622, 192389.63 6577570.09 60.812, 192389.72 6577569.65 60.832, 192390.01 6577569.14 60.832, 192397.79 6577644.34 -342233.21, 192397.33 6577643.16 60.172)</t>
  </si>
  <si>
    <t>POLYGON Z ((192397.33 6577643.16 60.172, 192397.03 6577641.47 60.192, 192396.47 6577639.26 60.212, 192392.76 6577624.58 60.282, 192392.53 6577623.49 60.302, 192392.37 6577622.4 60.342, 192388.47 6577583.08 60.592, 192388.44 6577582.56 60.582, 192388.44 6577582.01 60.592, 192388.5 6577580.96 60.612, 192388.59 6577579.95 60.622, 192389.63 6577570.09 60.812, 192389.72 6577569.65 60.832, 192390.01 6577569.14 60.832, 192397.79 6577644.34 -342233.21, 192397.33 6577643.16 60.172))</t>
  </si>
  <si>
    <t>['FV3270 S1D1 m4837-4892']</t>
  </si>
  <si>
    <t>LINESTRING Z (193596.52 6574341.45 66.69, 193605.38 6574332.17 66.53, 193606.61 6574330.4 66.5, 193609.28 6574326.46 66.45, 193616.41 6574315.78 66.31, 193617.91 6574312.91 66.28, 193624.53 6574300.11 66.12, 193625.38 6574298.49 66.1, 193625.64 6574296.88 -342498.36, 193594.69 6574342.46 -342529.31, 193596.52 6574341.45 66.69)</t>
  </si>
  <si>
    <t>POLYGON Z ((193596.52 6574341.45 66.69, 193605.38 6574332.17 66.53, 193606.61 6574330.4 66.5, 193609.28 6574326.46 66.45, 193616.41 6574315.78 66.31, 193617.91 6574312.91 66.28, 193624.53 6574300.11 66.12, 193625.38 6574298.49 66.1, 193625.64 6574296.88 -342498.36, 193594.69 6574342.46 -342529.31, 193596.52 6574341.45 66.69))</t>
  </si>
  <si>
    <t>['FV3270 S1D1 m4758-4795']</t>
  </si>
  <si>
    <t>LINESTRING Z (193659.82 6574229.53 65.53, 193646.73 6574248.65 65.72, 193646.1 6574249.58 65.73, 193645.47 6574250.51 65.74, 193644.99 6574251.48 65.75, 193642.45 6574256.45 65.79, 193642.61 6574258.72 -342481.39, 193643.07 6574259.02 -342480.93, 193664.18 6574228.36 -342459.82, 193659.82 6574229.53 65.53)</t>
  </si>
  <si>
    <t>['FV32 S5D1 m8439-8485']</t>
  </si>
  <si>
    <t>LINESTRING Z (198198.22 6582126.95 246.301, 198197.49 6582138.01 245.911, 198197.43 6582139.15 245.871, 198197.45 6582140.27 245.871, 198197.56 6582141.39 245.791, 198199.35 6582157.1 245.341, 198199.55 6582158.21 245.331, 198199.78 6582159.33 245.281, 198200.09 6582160.4 245.241, 198200.48 6582161.47 245.221, 198200.9 6582162.51 245.221, 198204.03 6582168.95 -341795.97, 198202.61 6582156.14 -341797.39, 198199.53 6582131.84 -341800.47, 198198.39 6582124.13 -341801.61, 198198.22 6582126.95 246.301)</t>
  </si>
  <si>
    <t>POLYGON Z ((198198.22 6582126.95 246.301, 198197.49 6582138.01 245.911, 198197.43 6582139.15 245.871, 198197.45 6582140.27 245.871, 198197.56 6582141.39 245.791, 198199.35 6582157.1 245.341, 198199.55 6582158.21 245.331, 198199.78 6582159.33 245.281, 198200.09 6582160.4 245.241, 198200.48 6582161.47 245.221, 198200.9 6582162.51 245.221, 198204.03 6582168.95 -341795.97, 198202.61 6582156.14 -341797.39, 198199.53 6582131.84 -341800.47, 198198.39 6582124.13 -341801.61, 198198.22 6582126.95 246.301))</t>
  </si>
  <si>
    <t>['FV32 S5D1 m8379-8425']</t>
  </si>
  <si>
    <t>LINESTRING Z (198215.24 6582192.45 244.461, 198216.17 6582195.76 244.321, 198216.39 6582196.88 244.361, 198216.6 6582198 244.311, 198218.45 6582214.74 243.901, 198218.42 6582220.12 243.791, 198216.7 6582227.93 -341783.3, 198211.72 6582182.27 -341788.28, 198215.24 6582192.45 244.461)</t>
  </si>
  <si>
    <t>POLYGON Z ((198215.24 6582192.45 244.461, 198216.17 6582195.76 244.321, 198216.39 6582196.88 244.361, 198216.6 6582198 244.311, 198218.45 6582214.74 243.901, 198218.42 6582220.12 243.791, 198216.7 6582227.93 -341783.3, 198211.72 6582182.27 -341788.28, 198215.24 6582192.45 244.461))</t>
  </si>
  <si>
    <t>['FV32 S5D1 m8055-8123']</t>
  </si>
  <si>
    <t>LINESTRING Z (198254.95 6582530.11 234.491, 198255.09 6582524.47 234.681, 198255.08 6582523.32 234.721, 198252.82 6582504.1 235.351, 198252.58 6582502.55 235.441, 198252.37 6582501.46 235.471, 198252.06 6582500.41 235.511, 198251.71 6582499.39 235.581, 198245.7 6582484.15 236.171, 198244.68 6582481.71 -341755.32, 198252.11 6582549.68 -341747.89, 198254.96 6582533.16 -341745.04, 198254.95 6582530.11 234.491)</t>
  </si>
  <si>
    <t>POLYGON Z ((198254.95 6582530.11 234.491, 198255.09 6582524.47 234.681, 198255.08 6582523.32 234.721, 198252.82 6582504.1 235.351, 198252.58 6582502.55 235.441, 198252.37 6582501.46 235.471, 198252.06 6582500.41 235.511, 198251.71 6582499.39 235.581, 198245.7 6582484.15 236.171, 198244.68 6582481.71 -341755.32, 198252.11 6582549.68 -341747.89, 198254.96 6582533.16 -341745.04, 198254.95 6582530.11 234.491))</t>
  </si>
  <si>
    <t>['FV32 S5D1 m7917-7974']</t>
  </si>
  <si>
    <t>LINESTRING Z (198253.61 6582665.95 231.301, 198247.86 6582646.48 231.531, 198247.58 6582645.39 231.581, 198247.41 6582644.29 231.641, 198247.27 6582643.18 231.631, 198247.21 6582642.05 231.681, 198246.79 6582634.26 231.811, 198246.89 6582633.51 -341753.11, 198254.83 6582628.58 -341745.17, 198255.7 6582635.57 -341744.3, 198256.04 6582638.55 -341743.96, 198258.44 6582651.23 -341741.56, 198259.93 6582657.17 -341740.07, 198262.17 6582664.07 -341737.83, 198263.9 6582668.11 -341736.1, 198265.49 6582672.08 -341734.51, 198268.05 6582677.11 -341731.95, 198270.85 6582681.92 -341729.15, 198273.25 6582685.52 -341726.75, 198268.31 6582682.62 -341731.69, 198263.06 6582679.5 -341736.94, 198260.43 6582677.5 -341739.57, 198258.32 6582675.6 -341741.68, 198256.67 6582673.24 -341743.33, 198255.37 6582670.9 -341744.63, 198253.61 6582665.95 231.301)</t>
  </si>
  <si>
    <t>POLYGON Z ((198253.61 6582665.95 231.301, 198247.86 6582646.48 231.531, 198247.58 6582645.39 231.581, 198247.41 6582644.29 231.641, 198247.27 6582643.18 231.631, 198247.21 6582642.05 231.681, 198246.79 6582634.26 231.811, 198246.89 6582633.51 -341753.11, 198254.83 6582628.58 -341745.17, 198255.7 6582635.57 -341744.3, 198256.04 6582638.55 -341743.96, 198258.44 6582651.23 -341741.56, 198259.93 6582657.17 -341740.07, 198262.17 6582664.07 -341737.83, 198263.9 6582668.11 -341736.1, 198265.49 6582672.08 -341734.51, 198268.05 6582677.11 -341731.95, 198270.85 6582681.92 -341729.15, 198273.25 6582685.52 -341726.75, 198268.31 6582682.62 -341731.69, 198263.06 6582679.5 -341736.94, 198260.43 6582677.5 -341739.57, 198258.32 6582675.6 -341741.68, 198256.67 6582673.24 -341743.33, 198255.37 6582670.9 -341744.63, 198253.61 6582665.95 231.301))</t>
  </si>
  <si>
    <t>2015-11-06</t>
  </si>
  <si>
    <t>[6835]</t>
  </si>
  <si>
    <t>['KV6835 S1D1 m467-517']</t>
  </si>
  <si>
    <t>LINESTRING Z (270117.15971981 7038066.68920658 -999999, 270129.368521815 7038073.34855313 -999999, 270161.000417921 7038087.22219177 -999999)</t>
  </si>
  <si>
    <t>POINT (270138.892217807 7038077.338368321)</t>
  </si>
  <si>
    <t>['EV6 S149D1 m510-600']</t>
  </si>
  <si>
    <t>LINESTRING Z (541225.42 7520775.75 148.631, 541230.19 7520777.43 148.611, 541234.95 7520779.15 148.591, 541240.65 7520781.26 148.561, 541244.43 7520782.69 148.541, 541250.11 7520784.89 148.511, 541253.88 7520786.39 148.491, 541254.78 7520786.86 148.481, 541259.24 7520789.21 148.411, 541262.72 7520791.07 148.351, 541273.08 7520796.79 148.211, 541276.93 7520798.98 148.151, 541279.56 7520800.49 148.121, 541280.43 7520800.99 148.101, 541284.54 7520803.98 148.001, 541288.62 7520806.99 147.891, 541296.69 7520813.1 147.681, 541304.66 7520819.33 147.481)</t>
  </si>
  <si>
    <t>POINT (541266.5028247011 7520794.879715725)</t>
  </si>
  <si>
    <t>['FV57 S8D1 m9248-9394']</t>
  </si>
  <si>
    <t>LINESTRING Z (-30943.81 6798612.85 108.289, -30946.08 6798608.35 108.589, -30950.59 6798599.34 109.179, -30952.58 6798595.39 109.439, -30955.12 6798590.34 109.779, -30957.38 6798585.83 110.079, -30960.06 6798581.6 110.409, -30962.75 6798577.36 110.739, -30965.43 6798573.12 111.069, -30965.88 6798572.42 111.129, -30970.8 6798564.65 111.749, -30971.28 6798563.89 111.809, -30972.51 6798561.96 111.969, -30973.72 6798560.03 112.109, -30974.95 6798558.11 112.259, -30976.17 6798556.18 112.399, -30977.51 6798554.07 112.559, -30978.85 6798551.94 112.709, -30980.2 6798549.82 112.849, -30981.54 6798547.71 112.989, -30982.88 6798545.59 113.129, -30984.22 6798543.47 113.259, -30985.57 6798541.35 113.389, -30986.91 6798539.24 113.519, -30988.25 6798537.12 113.639, -30989.59 6798535 113.759, -30990.93 6798532.88 113.869, -30992.27 6798530.77 113.979, -30993.62 6798528.65 114.089, -30994.96 6798526.53 114.189, -30996.3 6798524.41 114.289, -30997.65 6798522.29 114.379, -30998.99 6798520.18 114.469, -31000.33 6798518.06 114.559, -31001.68 6798515.95 114.639, -31003.01 6798513.82 114.719, -31004.57 6798511.84 114.799, -31006.13 6798509.86 114.879, -31007.68 6798507.88 114.959, -31009.23 6798505.89 115.029, -31010.78 6798503.9 115.089, -31012.34 6798501.92 115.149, -31013.89 6798499.94 115.209, -31015.45 6798497.96 115.269, -31017 6798495.97 115.319, -31018.56 6798493.99 115.369, -31020.11 6798492 115.409, -31021.66 6798490.02 115.449)</t>
  </si>
  <si>
    <t>POINT (-30980.724429618484 6798550.160319547)</t>
  </si>
  <si>
    <t>2021-08-17</t>
  </si>
  <si>
    <t>['EV134 S6D1 m3011-3101']</t>
  </si>
  <si>
    <t>LINESTRING Z (523.729999999992 6653507.14 148.681, 519.889999999992 6653504.11 148.591, 519.769999999993 6653504.01 148.591, 515.789999999994 6653500.91 148.491, 514.199999999993 6653499.68 148.451, 511.789999999994 6653497.84 148.391, 508.579999999994 6653495.4 148.321, 507.769999999993 6653494.8 148.301, 503.729999999992 6653491.79 148.201, 502.919999999995 6653491.19 148.181, 501.439999999991 6653490.09 148.151, 499.659999999993 6653488.8 148.101, 497.219999999994 6653487.02 148.041, 495.579999999994 6653485.84 148.011, 491.479999999992 6653482.91 147.911, 487.349999999991 6653480.02 147.811, 486.439999999991 6653479.39 147.791, 485.689999999991 6653478.87 147.771, 483.199999999994 6653477.15 147.721, 479.869999999995 6653474.88 147.641, 479.029999999992 6653474.31 147.621, 474.849999999991 6653471.51 147.521, 474.009999999995 6653470.95 147.501, 472.119999999995 6653469.7 147.461, 470.639999999992 6653468.73 147.421, 468.109999999993 6653467.08 147.371, 466.409999999993 6653465.97 147.331, 462.159999999993 6653463.26 147.231, 457.899999999994 6653460.57 147.131, 456.189999999991 6653459.5 147.091, 453.609999999993 6653457.91 147.041, 450.179999999993 6653455.81 146.961, 449.309999999994 6653455.28 146.941)</t>
  </si>
  <si>
    <t>POINT (487.0714084982795 6653480.418847044)</t>
  </si>
  <si>
    <t>['EV134 S6D1 m3387-3476']</t>
  </si>
  <si>
    <t>LINESTRING Z (810.509999999995 6653749.45 155.832, 806.889999999992 6653747.11 155.742, 802.679999999993 6653744.36 155.652, 798.489999999991 6653741.59 155.552, 794.299999999996 6653738.8 155.452, 790.109999999993 6653735.99 155.352, 785.94999999999 6653733.18 155.262, 781.799999999996 6653730.35 155.162, 777.649999999994 6653727.49 155.062, 777.489999999991 6653727.38 155.062, 773.51999999999 6653724.63 154.972, 769.399999999994 6653721.75 154.872, 765.289999999994 6653718.85 154.772, 761.189999999991 6653715.94 154.682, 757.099999999991 6653713.01 154.582, 753.029999999992 6653710.07 154.482, 748.959999999992 6653707.1 154.392, 744.909999999993 6653704.13 154.292, 744.789999999994 6653704.04 154.292, 740.859999999993 6653701.14 154.192, 736.829999999994 6653698.13 154.092)</t>
  </si>
  <si>
    <t>POINT (773.3752001091184 6653724.213406174)</t>
  </si>
  <si>
    <t>['EV134 S6D1 m3638-3728']</t>
  </si>
  <si>
    <t>LINESTRING Z (1037.07999999999 6653857.77 160.282, 1032.44999999999 6653855.9 160.182, 1027.81999999999 6653854.01 160.082, 1023.18999999999 6653852.1 159.992, 1018.58999999999 6653850.19 159.892, 1013.97999999999 6653848.25 159.792, 1009.36999999999 6653846.29 159.702, 1004.77999999999 6653844.31 159.602, 1000.19999999999 6653842.32 159.502, 995.62999999999 6653840.31 159.412, 991.049999999996 6653838.28 159.312, 986.499999999993 6653836.24 159.212, 981.999999999993 6653834.2 159.122, 981.939999999995 6653834.17 159.122, 977.399999999994 6653832.09 159.022, 972.859999999993 6653829.99 158.922, 968.339999999997 6653827.87 158.822, 963.819999999992 6653825.75 158.732, 959.299999999996 6653823.59 158.632, 954.799999999996 6653821.42 158.532)</t>
  </si>
  <si>
    <t>POINT (995.7303026352979 6653840.069446136)</t>
  </si>
  <si>
    <t>2015-12-04</t>
  </si>
  <si>
    <t>['PV1064 S1D1 m84-137']</t>
  </si>
  <si>
    <t>LINESTRING Z (66752.01 6891555.65 11.139, 66753.35 6891558.49 11.259, 66774.56 6891563.51 10.429, 66795.75 6891568.55 9.899, 66797.47 6891568.95 9.879, 66802.19 6891570.01 9.829, 66804.14 6891566.98 9.729)</t>
  </si>
  <si>
    <t>POINT (66777.98860560621 6891564.143353565)</t>
  </si>
  <si>
    <t>['FV357 S1D1 m1886-1937']</t>
  </si>
  <si>
    <t>LINESTRING Z (190700.22 6575105.92 35.166, 190698.43 6575106.73 35.226, 190696.25 6575107.74 35.246, 190694.02 6575108.71 35.266, 190688.3 6575111.2 35.396, 190679.56 6575114.94 35.596, 190678.48 6575115.42 35.566, 190677.35 6575115.9 35.636, 190676.2 6575116.28 35.646, 190671.84 6575117.55 35.776, 190667.03 6575118.96 0.046, 190664.16 6575119.66 0.046, 190663.85 6575119.03 0.046, 190671.39 6575115.51 0.046, 190682.04 6575110.68 0.046, 190709.92 6575099.05 0.046, 190710.1 6575099.63 0.046, 190704.68 6575103.18 0.046, 190700.22 6575105.92 35.166)</t>
  </si>
  <si>
    <t>POLYGON Z ((190700.22 6575105.92 35.166, 190698.43 6575106.73 35.226, 190696.25 6575107.74 35.246, 190694.02 6575108.71 35.266, 190688.3 6575111.2 35.396, 190679.56 6575114.94 35.596, 190678.48 6575115.42 35.566, 190677.35 6575115.9 35.636, 190676.2 6575116.28 35.646, 190671.84 6575117.55 35.776, 190667.03 6575118.96 0.046, 190664.16 6575119.66 0.046, 190663.85 6575119.03 0.046, 190671.39 6575115.51 0.046, 190682.04 6575110.68 0.046, 190709.92 6575099.05 0.046, 190710.1 6575099.63 0.046, 190704.68 6575103.18 0.046, 190700.22 6575105.92 35.166))</t>
  </si>
  <si>
    <t>2015-12-09</t>
  </si>
  <si>
    <t>[3616]</t>
  </si>
  <si>
    <t>['FV3616 S1D1 m438-496']</t>
  </si>
  <si>
    <t>LINESTRING Z (121912.331 6481961.008 21.943, 121911.35 6481957.392 21.958, 121911.174 6481955.238 21.932, 121911.068 6481953.198 21.923, 121910.853 6481951.662 21.931, 121910.636 6481950.099 21.926, 121910.327 6481948.51 21.925, 121909.915 6481946.97 21.949, 121909.248 6481944.639 21.955, 121908.584 6481942.354 21.974, 121907.924 6481940.025 22, 121907.049 6481936.956 22.012, 121906.371 6481934.644 22.036, 121905.688 6481932.348 22.054, 121904.985 6481930.036 22.078, 121904.265 6481927.746 22.108, 121903.44 6481925.473 22.136, 121902.466 6481923.301 22.176, 121901.422 6481921.135 22.231, 121900.475 6481918.938 22.273, 121899 6481915.178 22.27, 121897.85 6481912.133 22.257, 121897.211 6481910.298 22.239, 121895.888 6481906.39 22.23)</t>
  </si>
  <si>
    <t>POINT (121905.22737849678 6481933.399758143)</t>
  </si>
  <si>
    <t>2015-12-17</t>
  </si>
  <si>
    <t>['FV42 S2D1 m528-575', 'FV42 S2D1 m575-586']</t>
  </si>
  <si>
    <t>LINESTRING Z (129609.381 6502629.159 61.019, 129608.57 6502629.839 61.042, 129607.087 6502631.014 61.037, 129605.631 6502632.153 61.127, 129604.744 6502632.794 61.165, 129603.995 6502633.374 61.183, 129603.209 6502633.89 61.219, 129600.867 6502635.297 61.265, 129600.075 6502635.851 61.288, 129599.296 6502636.355 61.351, 129597.742 6502637.482 61.389, 129596.232 6502638.629 61.454, 129594.801 6502639.833 61.508, 129593.406 6502641.163 61.527, 129591.363 6502643.266 61.615, 129588.058 6502646.633 61.815, 129585.296 6502649.419 61.929, 129583.221 6502651.508 62.049, 129581.913 6502652.893 62.102, 129581.174 6502653.664 62.152, 129580.554 6502654.478 62.205, 129579.98 6502655.146 62.257, 129579.307 6502655.92 62.311, 129578.208 6502657.346 62.386, 129576.997 6502658.971 62.477, 129575.764 6502660.582 62.593, 129574.009 6502662.868 62.767, 129572.398 6502665.046 62.864, 129571.13 6502666.74 62.98, 129569.526 6502668.887 63.164, 129568.669 6502669.893 63.413)</t>
  </si>
  <si>
    <t>POINT (129587.75651768016 6502648.226482376)</t>
  </si>
  <si>
    <t>['FV42 S2D1 m592-607', 'FV42 S2D1 m607-643']</t>
  </si>
  <si>
    <t>LINESTRING Z (129532.92 6502714.169 66.648, 129534.849 6502713.308 66.512, 129536.17 6502712.746 66.443, 129536.901 6502712.252 66.432, 129537.759 6502711.73 66.41, 129538.584 6502711.258 66.365, 129539.687 6502710.609 66.357, 129540.266 6502710.139 66.289, 129541.107 6502709.581 66.251, 129541.902 6502709.009 66.213, 129542.69 6502708.422 66.178, 129543.453 6502707.76 66.124, 129545.029 6502706.364 66.002, 129546.443 6502705.07 65.868, 129547.886 6502703.698 65.729, 129549.974 6502701.734 65.538, 129551.436 6502700.341 65.402, 129553.614 6502698.305 65.21, 129554.332 6502697.608 65.14, 129555.605 6502696.277 64.998, 129556.3 6502695.541 64.938, 129556.944 6502694.84 64.884, 129557.574 6502694.107 64.828, 129558.187 6502693.39 64.77, 129559.423 6502691.842 64.655, 129560.584 6502690.35 64.53, 129562.978 6502687.237 64.272, 129565.941 6502683.433 64, 129567.157 6502681.884 63.869, 129569.038 6502679.601 63.668, 129569.614 6502678.942 63.586, 129569.762 6502678.763 63.563)</t>
  </si>
  <si>
    <t>POINT (129552.62250002832 6502697.941132974)</t>
  </si>
  <si>
    <t>2016-01-15</t>
  </si>
  <si>
    <t>['FV40 S15D1 m3449-3522']</t>
  </si>
  <si>
    <t>LINESTRING Z (196558.19 6643462.87 183.302, 196555.74 6643481.01 183.422, 196555.59 6643482.18 183.502, 196554.9 6643487.11 183.642, 196553.23 6643491.88 183.632, 196550.14 6643500.73 183.672, 196547.24 6643508.98 183.712, 196544.7 6643516.09 183.762, 196544.19 6643516.94 183.762, 196534.57 6643531.92 183.832)</t>
  </si>
  <si>
    <t>POINT (196549.4615690897 6643498.498056989)</t>
  </si>
  <si>
    <t>2025-11-22T09:18:48Z</t>
  </si>
  <si>
    <t>['FV64 S8D1 m3642-3708']</t>
  </si>
  <si>
    <t>LINESTRING Z (104516.06 6986052.08 123.694, 104518.35 6986045.68 123.874, 104520.37 6986042.04 123.963, 104522.34 6986037.76 123.963, 104524.4 6986033.27 124.033, 104526.5 6986028.97 124.073, 104528.09 6986026.37 124.073, 104531.79 6986020.89 124.173, 104534.97 6986016.2 124.253, 104538.19 6986011.45 124.313, 104540.6 6986007.81 124.373, 104541.29 6986007 124.393, 104545.11 6986003.55 124.483, 104549.1 6985999.83 124.563, 104552.35 6985996.84 124.683)</t>
  </si>
  <si>
    <t>POINT (104531.90087447978 6986022.883342937)</t>
  </si>
  <si>
    <t>['FV2520 S1D1 m3531-3559']</t>
  </si>
  <si>
    <t>LINESTRING Z (256676.86 6786511.19 412.569, 256670.98 6786516.32 412.019, 256664.02 6786520.34 411.429, 256662.31 6786521.29 411.279, 256658.12 6786523.71 410.829, 256656 6786524.27 410.639, 256653.16 6786524.38 410.369, 256652.06 6786523.85 410.359)</t>
  </si>
  <si>
    <t>POINT (256665.02779491004 6786519.224766506)</t>
  </si>
  <si>
    <t>['FV2520 S1D1 m2839-2889']</t>
  </si>
  <si>
    <t>LINESTRING Z (256643.38 6786165.51 366.729, 256644.14 6786161.47 366.579, 256645.04 6786157.72 366.389, 256645.35 6786155.73 366.279, 256645.62 6786153.56 366.219, 256645.96 6786151.34 366.139, 256645.87 6786147.22 366.019, 256645.27 6786136.87 365.599, 256644.41 6786127.55 365.199, 256644.39 6786127.3 365.189, 256643.22 6786117.66 364.659, 256643.02 6786115.57 364.529)</t>
  </si>
  <si>
    <t>POINT (256644.7819987021 6786140.595176465)</t>
  </si>
  <si>
    <t>['FV2520 S1D1 m2772-2840']</t>
  </si>
  <si>
    <t>LINESTRING Z (256625.31 6786050.58 361.32, 256624.91 6786053.77 361.49, 256624.81 6786058.93 361.76, 256624.87 6786065.34 362.11, 256624.53 6786067.43 362.25, 256624.37 6786069.41 362.37, 256626.55 6786087.36 363.129, 256628.02 6786099.32 363.559, 256630.36 6786107.71 363.979, 256633.45 6786118.7 364.579)</t>
  </si>
  <si>
    <t>POINT (256627.1411022897 6786084.88185031)</t>
  </si>
  <si>
    <t>['FV2520 S1D1 m3558-3621']</t>
  </si>
  <si>
    <t>LINESTRING Z (256728.09 6786475.1 417.639, 256718.65 6786477.9 416.889, 256716.38 6786478.46 416.769, 256715.59 6786478.65 416.679, 256710.89 6786480.73 416.329, 256706.43 6786482.93 415.909, 256699.6 6786486.42 415.289, 256692.91 6786490 414.639, 256686.84 6786493.39 414.089, 256684.65 6786494.85 413.869, 256677.07 6786500.44 413.129, 256671.77 6786504.48 412.509)</t>
  </si>
  <si>
    <t>POINT (256698.92600596865 6786487.809924643)</t>
  </si>
  <si>
    <t>['FV245 S4D1 m2446-2484']</t>
  </si>
  <si>
    <t>LINESTRING Z (241937.485843282 6718283.873229108 137.226, 241939.24956715063 6718282.80819771 137.196, 241940.3663102124 6718282.24768644 137.186, 241940.42969187975 6718282.209621609 137.176, 241941.09569021105 6718281.893720409 137.166, 241942.0285657839 6718281.458129904 137.156, 241942.97708794233 6718281.010243883 137.136, 241944.88748324767 6718280.1470424095 137.096, 241946.31813699787 6718279.508176933 137.066, 241946.43553121004 6718279.455069003 137.066, 241946.7994717905 6718279.306078511 137.056, 241948.72869993845 6718278.475056437 137.006, 241950.67596386783 6718277.665094495 136.986, 241951.57525253727 6718277.29896353 136.976, 241952.6200438844 6718276.810660551 136.966, 241953.5183520446 6718276.276971081 136.966, 241953.61771149785 6718276.202804299 136.966, 241955.65784087274 6718274.458646812 136.986, 241955.73916547166 6718274.363420989 136.986, 241956.05898303943 6718273.982910199 136.996, 241956.36783893348 6718273.603184395 137.006, 241956.77666611667 6718273.003969473 137.026, 241956.934538471 6718272.746808268 137.026, 241957.86725775403 6718270.847271625 137.086, 241957.92736291513 6718270.686513666 137.086, 241958.2396467307 6718269.893057213 137.116, 241958.71837668543 6718268.808299909 137.146, 241959.19729137787 6718267.879983399 137.176, 241959.71696098306 6718266.982274455 137.196, 241960.86451076844 6718265.313211569 137.236, 241962.1673030804 6718263.811837186 137.276, 241962.96818382107 6718262.994569728 137.286, 241963.57910234915 6718262.447936409 137.296, 241964.42621926067 6718261.660884361 137.306, 241965.0245841895 6718261.0927996915 137.316, 241965.71842083434 6718260.473177693 137.326)</t>
  </si>
  <si>
    <t>['FV245 S4D1 m2437-2486']</t>
  </si>
  <si>
    <t>LINESTRING (241956.3259364294 6718252.015541817, 241948.7949311142 6718253.013017904, 241945.15855428178 6718253.776309536, 241941.74004396124 6718255.350974129, 241939.66867087377 6718256.5050862525, 241932.90500849468 6718260.755530191, 241926.08584931376 6718265.0770145245, 241923.63808378842 6718266.436897563, 241921.3654642568 6718266.877923954, 241919.0693633934 6718267.412268289, 241918.82581570302 6718267.3961850405)</t>
  </si>
  <si>
    <t>2016-01-28</t>
  </si>
  <si>
    <t>[837]</t>
  </si>
  <si>
    <t>['FV837 S2D1 m4467-4504']</t>
  </si>
  <si>
    <t>LINESTRING Z (531473.03 7591370.19 5.31, 531480.16 7591406.25 5.15, 531479.94 7591399.35 5.2, 531479.34 7591392.77 5.21, 531477.72 7591384.89 5.16, 531476.46 7591380.97 5.29, 531475.04 7591376.64 5.25, 531473.29 7591371.54 5.3, 531473.03 7591370.19 5.31)</t>
  </si>
  <si>
    <t>['FV1436 S2D1 m1253-1351']</t>
  </si>
  <si>
    <t>LINESTRING Z (243253.784058 6641477.613037 137.661, 243252.97998 6641476.849976 137.741, 243251.781982 6641475.734985 137.856, 243249.228027 6641473.436035 138.093, 243246.654053 6641471.166016 138.333, 243244.015015 6641468.833984 138.578, 243241.505005 6641466.577026 138.799, 243239.041016 6641464.333984 139.017, 243238.442993 6641463.475952 139.076, 243237.209961 6641461.932007 139.199, 243235.887939 6641460.390991 139.33, 243234.592041 6641458.862061 139.462, 243233.291016 6641457.362061 139.596, 243231.958008 6641455.860962 139.742, 243230.647949 6641454.373047 139.878, 243229.290039 6641452.88501 140.007, 243227.785034 6641451.33606 140.16, 243226.579956 6641449.921021 140.28, 243225.209961 6641448.456055 140.42, 243223.824951 6641447.011963 140.553, 243222.374023 6641445.567017 140.687, 243220.994995 6641444.178955 140.827, 243219.578979 6641442.749023 140.961, 243217.917969 6641441.23999 141.119, 243216.672974 6641439.96106 141.227, 243215.281982 6641438.552979 141.357, 243213.819946 6641437.161011 141.482, 243212.345947 6641435.822998 141.609, 243210.884033 6641434.436035 141.726, 243209.411987 6641433.094971 141.856, 243207.904053 6641431.775024 141.979, 243206.401978 6641430.452026 142.12, 243204.870972 6641429.144043 142.254, 243203.36499 6641427.81604 142.377, 243202.526001 6641427.290039 142.442, 243201.073975 6641425.70105 142.601, 243198.777954 6641423.436035 142.821, 243195.740967 6641420.420044 143.111, 243192.703979 6641417.353027 143.41, 243188.86499 6641413.442993 143.793, 243186.702026 6641411.345947 144.01, 243185.875977 6641410.613037 144.095)</t>
  </si>
  <si>
    <t>POINT (243219.91372271843 6641444.047473574)</t>
  </si>
  <si>
    <t>['FV1436 S2D1 m1263-1337']</t>
  </si>
  <si>
    <t>LINESTRING Z (243203.357056 6641410.675049 143.414, 243204.105957 6641411.313965 143.347, 243204.973999 6641411.937012 143.275, 243207.484985 6641413.540039 143.074, 243210.948975 6641415.63501 142.824, 243214.109009 6641417.511963 142.628, 243217.276978 6641419.376953 142.427, 243220.182007 6641421.19104 142.218, 243222.479004 6641422.847046 142.043, 243223.167969 6641423.579956 142.041, 243225.33606 6641425.633057 141.973, 243227.522949 6641427.708984 141.79, 243229.668945 6641429.822998 141.61, 243231.770996 6641431.925049 141.406, 243233.920044 6641434.088013 141.229, 243236.029053 6641436.22998 141.03, 243238.150024 6641438.376953 140.848, 243240.197998 6641440.588989 140.666, 243241.552002 6641442.06897 140.478, 243242.852051 6641443.58606 140.351, 243244.199951 6641445.071045 140.22, 243244.875977 6641445.787964 140.085, 243246.073975 6641447.500977 140.019, 243246.996948 6641448.837036 140.043, 243247.985962 6641450.506958 139.916, 243249.869019 6641453.79895 139.805, 243251.805054 6641457.025024 139.678, 243253.342041 6641459.619995 139.396, 243254.370972 6641461.31604 139.134, 243255.5 6641462.979004 138.91)</t>
  </si>
  <si>
    <t>POINT (243231.9201009914 6641434.35069025)</t>
  </si>
  <si>
    <t>2016-02-03</t>
  </si>
  <si>
    <t>['FV303 S6D1 m1434-1497']</t>
  </si>
  <si>
    <t>LINESTRING Z (234561.67 6575821.78 38.167, 234561.01 6575819.76 38.087, 234559.01 6575813.21 37.787, 234557.11 6575807.19 37.507, 234555.58 6575802.59 37.317, 234551.51 6575796.29 36.917, 234545.84 6575787.77 36.377, 234541.88 6575781.8 36.007, 234538.1 6575777.43 35.677, 234533.07 6575771.48 35.237, 234529.32 6575766.88 34.867)</t>
  </si>
  <si>
    <t>POINT (234547.85517636014 6575793.037156893)</t>
  </si>
  <si>
    <t>2016-02-10</t>
  </si>
  <si>
    <t>['EV39 S127D1 m1540-1621']</t>
  </si>
  <si>
    <t>LINESTRING Z (84755.15 6466213.01 58.994, 84775.61 6466204.1 57.914, 84779.01 6466201.68 57.654, 84790.89 6466192.98 56.624, 84800.55 6466186.22 55.934, 84801.55 6466185.41 55.874, 84805.56 6466182.06 55.614, 84811.58 6466176.83 55.234, 84819.89 6466168.72 54.934)</t>
  </si>
  <si>
    <t>POINT (84789.0223020245 6466193.145042734)</t>
  </si>
  <si>
    <t>['EV39 S127D1 m2299-2368']</t>
  </si>
  <si>
    <t>LINESTRING Z (85348.27 6465782.84 32.354, 85348.28 6465782.95 32.354, 85368.39 6465784.46 32.134, 85382.77 6465783.54 32.034, 85395.97 6465782.74 31.904, 85397.85 6465782.48 31.874, 85409.52 6465780.27 31.704, 85417.38 6465778.13 31.554)</t>
  </si>
  <si>
    <t>POINT (85382.94571029961 6465782.706015403)</t>
  </si>
  <si>
    <t>['FV34 S4D1 m7065-7137']</t>
  </si>
  <si>
    <t>LINESTRING Z (244632.65 6724694.85 -999999, 244639.63 6724710.69 -999999, 244658.81 6724741.05 -999999, 244671 6724755.84 -999999)</t>
  </si>
  <si>
    <t>POINT (244650.24518092253 6724726.323409984)</t>
  </si>
  <si>
    <t>['FV34 S4D1 m7057-7118']</t>
  </si>
  <si>
    <t>LINESTRING Z (244633.43 6724684.38 -999999, 244647.69 6724701.94 -999999, 244658.33 6724718.89 -999999, 244666.18 6724736.42 -999999)</t>
  </si>
  <si>
    <t>POINT (244651.32734729376 6724709.457917575)</t>
  </si>
  <si>
    <t>2016-02-16</t>
  </si>
  <si>
    <t>['FV420 S7D1 m4446-4483']</t>
  </si>
  <si>
    <t>LINESTRING Z (125015.422 6483981.419 2.581, 125011.524 6483975.806 2.559, 125010.284 6483974.164 2.541, 125008.38 6483971.775 2.531, 125000.412 6483963.942 2.595, 124990.28 6483955.252 2.674)</t>
  </si>
  <si>
    <t>POINT (125003.56510631696 6483967.680029591)</t>
  </si>
  <si>
    <t>2016-02-18</t>
  </si>
  <si>
    <t>[7306]</t>
  </si>
  <si>
    <t>['FV7306 S1D1 m3294-3322']</t>
  </si>
  <si>
    <t>LINESTRING Z (395674.89 7327448.92 5, 395677.33 7327448.54 5.07, 395682.71 7327448.14 5.29, 395686.51 7327447.98 5.45, 395690.07 7327448.47 5.6, 395694.12 7327449.55 5.74, 395697.14 7327450.97 5.86, 395699.39 7327452.46 5.97, 395700.78 7327453.31 6.08, 395703.32 7327454.16 6.19)</t>
  </si>
  <si>
    <t>POINT (395689.45612852153 7327449.671167744)</t>
  </si>
  <si>
    <t>['FV7306 S1D1 m3400-3447']</t>
  </si>
  <si>
    <t>LINESTRING Z (395597.38 7327444 4.77, 395589.15 7327444.82 4.89, 395582.17 7327445.3 4.92, 395576.88 7327445.19 4.98, 395569.99 7327443.95 5.08, 395563.9 7327442.31 5.13, 395558.47 7327439.74 5.14, 395553.95 7327437.16 5.08, 395550.93 7327435.04 5.04)</t>
  </si>
  <si>
    <t>POINT (395573.437562452 7327442.769501813)</t>
  </si>
  <si>
    <t>['FV7306 S1D1 m2667-2713']</t>
  </si>
  <si>
    <t>LINESTRING Z (396295.94 7327651.62 12.18, 396287.1 7327650.19 11.98, 396279.85 7327648.77 11.75, 396274.96 7327647.47 11.5, 396268.41 7327645.08 11.26, 396261.62 7327642.11 10.95, 396257.06 7327639.65 10.74, 396254.57 7327638.14 10.68, 396252.68 7327636.21 10.64)</t>
  </si>
  <si>
    <t>POINT (396273.5155860599 7327645.858236714)</t>
  </si>
  <si>
    <t>['FV7306 S1D1 m2105-2154']</t>
  </si>
  <si>
    <t>LINESTRING Z (396803.7 7327886.17 9.98, 396798.29 7327884.78 10.03, 396790.4 7327880.56 10.16, 396779.79 7327874.19 10.2, 396765.35 7327864.3 10.06, 396763.54 7327862.11 10.04, 396761.84 7327859.78 9.98)</t>
  </si>
  <si>
    <t>POINT (396781.6857410623 7327874.636105741)</t>
  </si>
  <si>
    <t>['FV7306 S1D1 m1991-2044']</t>
  </si>
  <si>
    <t>LINESTRING Z (396899.61 7327947.96 7.98, 396896.08 7327947.58 7.99, 396892.42 7327946.65 8.03, 396886.34 7327943.57 8.11, 396879.4 7327939.22 8.22, 396872.41 7327934.83 8.26, 396868.7 7327932.38 8.23, 396865.24 7327929.72 8.19, 396860.59 7327925.51 8.24, 396857.54 7327922.27 8.34, 396856.08 7327920.44 8.43, 396854.6 7327918.93 8.48)</t>
  </si>
  <si>
    <t>POINT (396875.69757138385 7327935.83484513)</t>
  </si>
  <si>
    <t>['FV7306 S1D1 m1793-1849']</t>
  </si>
  <si>
    <t>LINESTRING Z (397053.96 7328070.26 6.2, 397052.84 7328069.36 6.21, 397051.43 7328068.46 6.21, 397042.38 7328063.32 6.22, 397040.16 7328062 6.22, 397036.25 7328059.14 6.21, 397034.59 7328057.85 6.21, 397028.53 7328053.05 6.12, 397021.12 7328045.84 6.03, 397018.29 7328043.09 6.05, 397015.33 7328039.44 6, 397012.02 7328034.3 6)</t>
  </si>
  <si>
    <t>POINT (397031.4851715662 7328053.945731885)</t>
  </si>
  <si>
    <t>['FV7306 S1D1 m1637-1686']</t>
  </si>
  <si>
    <t>LINESTRING Z (397183.74 7328155.49 8.861, 397181.42 7328154.8 8.811, 397174.73 7328153.68 8.601, 397169.05 7328152.49 8.431, 397165.2 7328151.49 8.351, 397160.38 7328149.71 8.211, 397156.05 7328147.73 8.051, 397151.54 7328145.32 7.901, 397146.68 7328142.16 7.761, 397142.93 7328139.3 7.661, 397140.28 7328136.87 7.591, 397138.93 7328135.56 7.581)</t>
  </si>
  <si>
    <t>POINT (397160.1883052574 7328147.948923961)</t>
  </si>
  <si>
    <t>['FV7306 S1D1 m1433-1485']</t>
  </si>
  <si>
    <t>LINESTRING Z (397377.04 7328220.26 14.621, 397369.02 7328219.71 14.171, 397363.71 7328218.91 13.991, 397357.54 7328217.34 13.761, 397348.68 7328214.43 13.401, 397346.82 7328213.76 13.341, 397340.78 7328211.44 13.061, 397335.3 7328209.03 12.881, 397331.63 7328207.11 12.731, 397328.99 7328205.41 12.601, 397327.04 7328203.96 12.511)</t>
  </si>
  <si>
    <t>POINT (397351.31016345497 7328214.32973693)</t>
  </si>
  <si>
    <t>['FV7306 S1D1 m731-775']</t>
  </si>
  <si>
    <t>LINESTRING Z (398037.36 7328447.99 24.251, 398036.18 7328446.96 24.211, 398032.54 7328443.07 24.021, 398027.95 7328439.76 23.961, 398023.21 7328437.22 23.921, 398015.19 7328433.68 23.811, 398014.74 7328433.48 23.801, 398009.19 7328431.47 23.771, 397997.61 7328429.75 23.631)</t>
  </si>
  <si>
    <t>POINT (398018.64940575423 7328436.448949736)</t>
  </si>
  <si>
    <t>['FV7306 S1D1 m366-392']</t>
  </si>
  <si>
    <t>LINESTRING Z (398384.43 7328551.09 29.101, 398382.01 7328551.43 29.021, 398377.24 7328551.18 28.951, 398372.7 7328550.35 28.961, 398368.61 7328548.97 28.971, 398364.93 7328547.34 29.001, 398359 7328544.12 29.031)</t>
  </si>
  <si>
    <t>POINT (398371.3677699351 7328549.076556583)</t>
  </si>
  <si>
    <t>2016-04-05</t>
  </si>
  <si>
    <t>['FV308 S7D1 m3190-3225']</t>
  </si>
  <si>
    <t>LINESTRING Z (236847.119995 6558290.929993 15.62, 236852.51001 6558298.539978 15.72, 236852.910034 6558299.539978 15.86, 236858.73999 6558311.429993 15.86, 236859.189941 6558312.409973 15.73, 236861.709961 6558323.840027 15.78)</t>
  </si>
  <si>
    <t>POINT (236855.7733410004 6558306.794279496)</t>
  </si>
  <si>
    <t>['FV308 S7D1 m3748-3786']</t>
  </si>
  <si>
    <t>LINESTRING Z (236667.280029 6557815.619995 6.43, 236667.930054 6557812.109985 6.45, 236669.839966 6557803.410034 6.67, 236670.030029 6557801.189941 6.69, 236670.160034 6557799.150024 6.73, 236669.819946 6557792.959961 6.68, 236669.290039 6557785.949951 6.55, 236668.97998 6557784.420044 6.5, 236668.869995 6557783.969971 6.48, 236666.680054 6557776.47998 6.22)</t>
  </si>
  <si>
    <t>POINT (236668.97421590952 6557795.99893525)</t>
  </si>
  <si>
    <t>['FV308 S7D1 m3684-3734']</t>
  </si>
  <si>
    <t>LINESTRING Z (236657.380005 6557879.089966 6.42, 236657.349976 6557877.939941 6.52, 236656.969971 6557872.400024 6.49, 236656.079956 6557861.030029 6.38, 236655.98999 6557859.140015 6.45, 236656.040039 6557857.920044 6.5, 236656.439941 6557852.380005 6.47, 236657.130005 6557842 6.42, 236657.119995 6557840.969971 6.3, 236660.27002 6557828.630005 6.13)</t>
  </si>
  <si>
    <t>POINT (236657.1593768947 6557853.724057917)</t>
  </si>
  <si>
    <t>['FV308 S7D1 m4073-4135']</t>
  </si>
  <si>
    <t>LINESTRING Z (236639.25 6557440.459961 9.761, 236648.719971 6557453.829956 9.551, 236648.949951 6557454.02002 9.551, 236655.439941 6557465.880005 9.371, 236659.680054 6557473.48999 9.241, 236662.01001 6557477.859985 9.131, 236662.670044 6557479.449951 9.101, 236668.569946 6557495.880005 8.731)</t>
  </si>
  <si>
    <t>POINT (236655.4607337842 6557467.359266244)</t>
  </si>
  <si>
    <t>['FV308 S7D1 m4572-4619']</t>
  </si>
  <si>
    <t>LINESTRING Z (236602.359985 6557014.640015 19.781, 236603.51001 6557007.709961 19.711, 236604.329956 6557002.560059 19.671, 236604.380005 6556999.719971 19.631, 236604.459961 6556993.630005 19.531, 236604.449951 6556987.560059 19.411, 236603.060059 6556978.130005 19.201, 236601.51001 6556968.5 19.011)</t>
  </si>
  <si>
    <t>POINT (236603.55651243593 6556991.561264891)</t>
  </si>
  <si>
    <t>['FV308 S7D1 m5265-5318']</t>
  </si>
  <si>
    <t>LINESTRING Z (236763.099976 6556302.449951 11.951, 236762.390015 6556308.01001 11.881, 236761.030029 6556315.689941 11.781, 236759.880005 6556322.100098 11.691, 236759.430054 6556324.580078 11.661, 236759.02002 6556326.76001 11.631, 236758.459961 6556328.929932 11.611, 236755.930054 6556336.389893 11.531, 236754.209961 6556341.439941 11.461, 236751.819946 6556346.290039 11.421, 236747.819946 6556353.389893 11.431)</t>
  </si>
  <si>
    <t>POINT (236757.33814195407 6556328.5319615)</t>
  </si>
  <si>
    <t>2012-08-07</t>
  </si>
  <si>
    <t>['FV308 S7D1 m5267-5311']</t>
  </si>
  <si>
    <t>LINESTRING Z (236754.880004883 6556307.87011719 11.471, 236754.369995117 6556308.88989258 11.551, 236751.670043945 6556314.32006836 11.481, 236750.449951172 6556316.66992188 11.451, 236750.040039063 6556317.59008789 11.331, 236748.689941406 6556320.19995117 11.311, 236747.41003418 6556322.83007813 11.311, 236747.010009766 6556323.84008789 11.431, 236745.430053711 6556328.65991211 11.411, 236743.869995117 6556333.37011719 11.361, 236743.199951172 6556335.5 11.361, 236742.989990234 6556336.62988281 11.341, 236742.849975586 6556337.63989258 11.151, 236742.140014648 6556349.58007813 11.281)</t>
  </si>
  <si>
    <t>POINT (236746.62861002676 6556328.205945192)</t>
  </si>
  <si>
    <t>['FV308 S7D1 m4149-4215']</t>
  </si>
  <si>
    <t>LINESTRING Z (236626.319946 6557431.650024 10.321, 236623.959961 6557427.969971 10.391, 236616.900024 6557417.280029 10.681, 236616.380005 6557416.420044 10.701, 236615.800049 6557415.420044 10.741, 236615.339966 6557414.5 10.761, 236614.939941 6557413.540039 10.771, 236614.050049 6557411.119995 10.811, 236611.349976 6557403.380005 10.951, 236608.77002 6557396.23999 11.051, 236606.27002 6557389.329956 11.171, 236605.97998 6557388.380005 11.061, 236602.869995 6557368.219971 11.181)</t>
  </si>
  <si>
    <t>POINT (236611.7947713933 6557400.99999601)</t>
  </si>
  <si>
    <t>['FV421 S6D1 m8009-8073']</t>
  </si>
  <si>
    <t>LINESTRING Z (138869.199951172 6503746.95019531 33.272, 138866.469970703 6503742.08984375 33.492, 138863.689941406 6503736.08984375 33.792, 138861.75 6503731.87011719 33.962, 138860.989990234 6503730.50976563 34.002, 138860.270019531 6503729.49023438 34.052, 138858.110107422 6503726.72021484 34.162, 138854.25 6503721.89990235 34.362, 138850.300048828 6503717.06005859 34.542, 138847.260009766 6503713.43994141 34.662, 138845.729980469 6503711.85009766 34.722, 138844.540039063 6503710.74023438 34.752, 138843.060058594 6503709.43994141 34.792, 138838.070068359 6503705.18017578 34.932, 138833.419921875 6503701.25976563 35.072, 138831.719970703 6503699.70996094 35.142, 138829.129882812 6503697.08007813 35.212)</t>
  </si>
  <si>
    <t>POINT (138851.22451810303 6503720.421384065)</t>
  </si>
  <si>
    <t>['FV421 S6D1 m8137-8211']</t>
  </si>
  <si>
    <t>LINESTRING Z (138712.929931641 6503581.31005859 36.862, 138717.070068359 6503587.87011719 36.832, 138719.530029297 6503591.24023438 36.852, 138722.330078125 6503594.06982422 36.892, 138727.830078125 6503599.50976563 36.802, 138732.850097656 6503604.43017578 36.642, 138738.010009766 6503609.41015625 36.512, 138741.5 6503612.72021484 36.382, 138745.050048828 6503615.93017578 36.272, 138749.760009766 6503620 36.092, 138754.899902344 6503624.43017578 35.902, 138757.429931641 6503626.68017578 35.852, 138761.810058594 6503631.00976563 35.602)</t>
  </si>
  <si>
    <t>POINT (138736.3333880571 6503607.0689825285)</t>
  </si>
  <si>
    <t>['EV134 S3D1 m9871']</t>
  </si>
  <si>
    <t>LINESTRING Z (-31449.5100097656 6634048.91003418 -999999, -31423.0300292969 6634051.81994629 -999999, -31418.3599853516 6634051.68994141 -999999, -31398.3199462891 6634051.18005371 -999999, -31395.4599609375 6634050.80004883 -999999, -31389.8699951172 6634050.05004883 -999999, -31383.3699951172 6634049.18994141 -999999, -31378.8499755859 6634048.58996582 -999999, -31374.0799560547 6634047.94995117 -999999, -31373.1500244141 6634047.11999512 -999999)</t>
  </si>
  <si>
    <t>POINT (-31411.156770627316 6634050.428124349)</t>
  </si>
  <si>
    <t>2024-08-01</t>
  </si>
  <si>
    <t>[186]</t>
  </si>
  <si>
    <t>['FV186 S1D1 m1942-1997']</t>
  </si>
  <si>
    <t>LINESTRING Z (286002.2927968457 6748670.963617911 222.831, 286000.28203230957 6748667.444767782 222.691, 285998.252784452 6748664.072166955 222.561, 285996.0844505454 6748660.562782725 222.431, 285993.8663703228 6748657.223854739 222.281, 285991.5267514969 6748653.858734565 222.151, 285989.19247410784 6748650.582610645 221.992, 285986.79767167266 6748647.388274833 221.852, 285984.3064038949 6748644.222063625 221.712, 285981.7200069693 6748641.106225917 221.601, 285979.08871611895 6748638.060073361 221.471, 285976.3595355698 6748635.109118399 221.361, 285973.5977513461 6748632.160123671 221.221, 285970.7537087267 6748629.294223421 221.091)</t>
  </si>
  <si>
    <t>['EV6 S48D1 m4708-4813']</t>
  </si>
  <si>
    <t>LINESTRING Z (219165.27 6845105.16 303.816, 219163.1 6845108.66 303.766, 219157.81 6845117.23 303.646, 219152.53 6845125.79 303.526, 219147.23 6845134.35 303.406, 219147.17 6845134.43 303.396, 219147.12 6845134.52 303.396, 219147.07 6845134.6 303.396, 219147.01 6845134.69 303.396, 219146.96 6845134.77 303.396, 219146.91 6845134.87 303.396, 219146.86 6845134.95 303.396, 219146.8 6845135.04 303.396, 219146.75 6845135.12 303.386, 219146.7 6845135.21 303.386, 219146.64 6845135.29 303.386, 219146.59 6845135.38 303.386, 219146.54 6845135.46 303.386, 219146.48 6845135.55 303.386, 219146.43 6845135.63 303.386, 219146.38 6845135.72 303.386, 219146.32 6845135.8 303.376, 219146.27 6845135.9 303.376, 219146.22 6845135.98 303.376, 219146.17 6845136.07 303.376, 219146.11 6845136.15 303.376, 219146.06 6845136.24 303.376, 219146.01 6845136.32 303.376, 219145.95 6845136.41 303.376, 219145.9 6845136.49 303.366, 219145.85 6845136.58 303.366, 219145.79 6845136.66 303.366, 219145.74 6845136.74 303.366, 219145.69 6845136.84 303.366, 219145.64 6845136.92 303.366, 219145.58 6845137.01 303.366, 219145.53 6845137.09 303.366, 219145.48 6845137.18 303.366, 219145.42 6845137.26 303.356, 219145.37 6845137.35 303.356, 219145.32 6845137.43 303.356, 219145.26 6845137.52 303.356, 219145.21 6845137.6 303.356, 219145.16 6845137.69 303.356, 219145.11 6845137.77 303.356, 219145.05 6845137.87 303.356, 219145 6845137.95 303.346, 219144.95 6845138.04 303.346, 219144.89 6845138.12 303.346, 219144.84 6845138.21 303.346, 219144.79 6845138.29 303.346, 219144.74 6845138.38 303.346, 219144.68 6845138.46 303.346, 219144.63 6845138.55 303.346, 219144.58 6845138.63 303.336, 219144.52 6845138.72 303.336, 219144.47 6845138.8 303.336, 219144.42 6845138.9 303.336, 219144.36 6845138.98 303.336, 219144.31 6845139.07 303.336, 219144.26 6845139.15 303.336, 219144.21 6845139.23 303.336, 219144.15 6845139.32 303.336, 219144.1 6845139.4 303.326, 219144.05 6845139.49 303.326, 219143.99 6845139.57 303.326, 219143.94 6845139.66 303.326, 219143.89 6845139.74 303.326, 219143.83 6845139.83 303.326, 219143.78 6845139.92 303.326, 219143.73 6845140.01 303.326, 219143.68 6845140.09 303.316, 219143.62 6845140.18 303.316, 219143.57 6845140.26 303.316, 219143.52 6845140.35 303.316, 219143.46 6845140.43 303.316, 219143.41 6845140.52 303.316, 219143.36 6845140.6 303.316, 219143.3 6845140.69 303.316, 219143.25 6845140.77 303.306, 219143.2 6845140.87 303.306, 219143.15 6845140.95 303.306, 219143.09 6845141.04 303.306, 219143.04 6845141.12 303.306, 219142.99 6845141.21 303.306, 219142.93 6845141.29 303.306, 219142.89 6845141.37 303.306, 219142.84 6845141.46 303.306, 219142.78 6845141.54 303.296, 219142.73 6845141.63 303.296, 219142.68 6845141.71 303.296, 219142.63 6845141.8 303.296, 219142.57 6845141.89 303.296, 219142.52 6845141.98 303.296, 219142.47 6845142.06 303.296, 219142.41 6845142.15 303.296, 219142.36 6845142.23 303.286, 219142.31 6845142.32 303.286, 219142.25 6845142.4 303.286, 219142.2 6845142.49 303.286, 219142.15 6845142.57 303.286, 219142.1 6845142.66 303.286, 219142.04 6845142.74 303.286, 219141.99 6845142.84 303.286, 219141.94 6845142.92 303.276, 219141.88 6845143.01 303.276, 219141.83 6845143.09 303.276, 219141.78 6845143.18 303.276, 219141.72 6845143.26 303.276, 219141.67 6845143.35 303.276, 219141.62 6845143.43 303.276, 219141.57 6845143.52 303.276, 219141.51 6845143.6 303.266, 219141.46 6845143.68 303.266, 219141.41 6845143.77 303.266, 219141.35 6845143.86 303.266, 219141.3 6845143.95 303.266, 219141.25 6845144.03 303.266, 219141.2 6845144.12 303.266, 219141.14 6845144.2 303.266, 219141.09 6845144.29 303.266, 219141.04 6845144.37 303.256, 219140.98 6845144.46 303.256, 219140.93 6845144.54 303.256, 219140.88 6845144.63 303.256, 219140.82 6845144.71 303.256, 219140.77 6845144.81 303.256, 219140.72 6845144.89 303.256, 219140.67 6845144.98 303.256, 219140.61 6845145.06 303.246, 219140.56 6845145.15 303.246, 219140.51 6845145.23 303.246, 219140.45 6845145.32 303.246, 219140.4 6845145.4 303.246, 219140.35 6845145.49 303.246, 219140.29 6845145.57 303.246, 219140.24 6845145.66 303.246, 219140.19 6845145.75 303.236, 219140.14 6845145.84 303.236, 219140.08 6845145.92 303.236, 219140.03 6845146.01 303.236, 219139.98 6845146.09 303.236, 219139.92 6845146.17 303.236, 219139.87 6845146.26 303.236, 219139.82 6845146.34 303.236, 219139.76 6845146.43 303.236, 219139.71 6845146.51 303.226, 219139.66 6845146.6 303.226, 219139.6 6845146.68 303.226, 219139.55 6845146.78 303.226, 219139.5 6845146.86 303.226, 219139.45 6845146.95 303.226, 219139.39 6845147.03 303.226, 219139.34 6845147.12 303.226, 219139.29 6845147.2 303.216, 219139.23 6845147.29 303.216, 219139.18 6845147.37 303.216, 219139.13 6845147.46 303.216, 219139.08 6845147.54 303.216, 219139.02 6845147.63 303.216, 219138.97 6845147.72 303.216, 219138.92 6845147.81 303.216, 219138.86 6845147.89 303.206, 219138.81 6845147.98 303.206, 219138.76 6845148.06 303.206, 219138.7 6845148.15 303.206, 219138.65 6845148.23 303.206, 219138.6 6845148.32 303.206, 219138.55 6845148.4 303.206, 219138.49 6845148.49 303.206, 219138.44 6845148.57 303.206, 219138.39 6845148.66 303.196, 219138.33 6845148.75 303.196, 219138.28 6845148.83 303.196, 219138.23 6845148.92 303.196, 219138.17 6845149 303.196, 219138.12 6845149.09 303.196, 219138.07 6845149.17 303.196, 219138.02 6845149.26 303.196, 219137.96 6845149.34 303.186, 219137.91 6845149.43 303.186, 219137.86 6845149.51 303.186, 219137.8 6845149.61 303.186, 219137.75 6845149.69 303.186, 219137.7 6845149.78 303.186, 219137.65 6845149.86 303.186, 219137.59 6845149.95 303.186, 219137.54 6845150.03 303.186, 219137.49 6845150.12 303.176, 219137.43 6845150.2 303.176, 219137.38 6845150.29 303.176, 219137.33 6845150.37 303.176, 219137.27 6845150.46 303.176, 219137.22 6845150.55 303.176, 219137.17 6845150.64 303.176, 219137.12 6845150.72 303.176, 219137.06 6845150.81 303.166, 219137.01 6845150.89 303.166, 219136.96 6845150.97 303.166, 219136.9 6845151.06 303.166, 219136.85 6845151.14 303.166, 219136.8 6845151.23 303.166, 219136.74 6845151.31 303.166, 219136.69 6845151.4 303.166, 219136.64 6845151.49 303.156, 219136.59 6845151.58 303.156, 219136.53 6845151.66 303.156, 219136.48 6845151.75 303.156, 219136.43 6845151.83 303.156, 219136.37 6845151.92 303.156, 219136.32 6845152 303.156, 219136.27 6845152.09 303.156, 219136.21 6845152.17 303.156, 219136.16 6845152.26 303.146, 219136.11 6845152.34 303.146, 219136.06 6845152.44 303.146, 219136 6845152.52 303.146, 219135.95 6845152.61 303.146, 219135.9 6845152.69 303.146, 219135.84 6845152.78 303.146, 219135.79 6845152.86 303.146, 219135.74 6845152.95 303.136, 219135.68 6845153.03 303.136, 219135.63 6845153.12 303.136, 219135.58 6845153.2 303.136, 219135.53 6845153.29 303.136, 219135.47 6845153.38 303.136, 219135.42 6845153.46 303.136, 219135.37 6845153.55 303.136, 219135.31 6845153.63 303.126, 219135.26 6845153.72 303.126, 219135.21 6845153.8 303.126, 219135.15 6845153.89 303.126, 219135.1 6845153.97 303.126, 219135.05 6845154.06 303.126, 219135 6845154.14 303.126, 219134.94 6845154.23 303.126, 219134.89 6845154.32 303.126, 219134.84 6845154.41 303.116, 219134.78 6845154.49 303.116, 219134.73 6845154.58 303.116, 219134.68 6845154.66 303.116, 219134.62 6845154.75 303.116, 219134.57 6845154.83 303.116, 219134.52 6845154.92 303.116, 219134.47 6845155 303.116, 219134.41 6845155.09 303.106, 219134.36 6845155.17 303.106, 219134.31 6845155.27 303.106, 219134.27 6845155.31 303.106, 219134.22 6845155.4 303.106, 219134.15 6845155.52 303.106, 219134.09 6845155.61 303.106, 219134.03 6845155.69 303.106, 219133.98 6845155.78 303.106, 219133.91 6845155.85 303.096, 219133.86 6845155.94 303.096, 219133.8 6845156.02 303.096, 219133.75 6845156.11 303.096, 219133.68 6845156.18 303.096, 219133.62 6845156.27 303.096, 219133.55 6845156.34 303.096, 219133.49 6845156.43 303.096, 219133.42 6845156.51 303.096, 219133.35 6845156.58 303.096, 219133.29 6845156.67 303.096, 219133.22 6845156.74 303.096, 219133.14 6845156.82 303.086, 219133.08 6845156.9 303.086, 219133.01 6845156.97 303.086, 219132.93 6845157.05 303.086, 219132.86 6845157.13 303.086, 219132.78 6845157.2 303.086, 219132.7 6845157.27 303.086, 219132.63 6845157.35 303.086, 219132.54 6845157.42 303.086, 219132.47 6845157.49 303.086, 219132.38 6845157.57 303.086, 219132.3 6845157.64 303.086, 219132.21 6845157.7 303.086, 219132.13 6845157.77 303.086, 219132.05 6845157.85 303.086, 219131.95 6845157.92 303.086, 219131.87 6845157.98 303.086, 219131.77 6845158.05 303.086, 219131.68 6845158.12 303.086, 219131.58 6845158.18 303.086, 219131.49 6845158.25 303.086, 219131.39 6845158.31 303.086, 219131.29 6845158.37 303.086, 219131.19 6845158.43 303.086, 219131.09 6845158.5 303.086, 219130.98 6845158.56 303.086, 219130.88 6845158.62 303.086, 219130.77 6845158.68 303.086, 219130.67 6845158.74 303.086, 219130.55 6845158.8 303.096, 219130.44 6845158.86 303.096, 219130.33 6845158.91 303.096, 219130.21 6845158.97 303.096, 219130.09 6845159.02 303.096, 219129.97 6845159.07 303.096, 219129.84 6845159.13 303.096, 219129.72 6845159.18 303.096, 219129.59 6845159.22 303.096, 219129.46 6845159.27 303.096, 219129.33 6845159.32 303.106, 219129.19 6845159.36 303.106, 219129.04 6845159.41 303.106, 219128.91 6845159.45 303.106, 219128.76 6845159.49 303.106, 219128.61 6845159.53 303.116, 219128.46 6845159.57 303.116, 219128.3 6845159.6 303.116, 219128.14 6845159.63 303.116, 219127.97 6845159.67 303.116, 219127.8 6845159.7 303.126, 219127.63 6845159.73 303.126, 219127.44 6845159.75 303.126, 219127.25 6845159.77 303.136, 219127.06 6845159.79 303.136, 219126.86 6845159.8 303.136, 219126.64 6845159.81 303.146, 219126.42 6845159.82 303.146, 219126.19 6845159.82 303.156, 219125.95 6845159.81 303.156, 219125.68 6845159.79 303.166, 219125.4 6845159.77 303.166, 219125.09 6845159.73 303.176, 219124.75 6845159.68 303.186, 219124.36 6845159.6 303.196, 219123.88 6845159.48 303.206, 219123.2 6845159.27 303.226, 219121.41 6845158.48 303.286, 219121.36 6845158.61 303.286, 219121.31 6845158.7 303.286, 219121.27 6845158.79 303.286, 219121.22 6845158.89 303.276, 219121.18 6845158.97 303.276, 219121.13 6845159.06 303.276, 219121.09 6845159.16 303.276, 219121.05 6845159.24 303.276, 219121.01 6845159.34 303.276, 219120.96 6845159.42 303.276, 219120.92 6845159.51 303.266, 219120.88 6845159.61 303.266, 219120.83 6845159.69 303.266, 219120.79 6845159.79 303.266, 219120.75 6845159.88 303.266, 219120.7 6845159.96 303.266, 219120.66 6845160.06 303.256, 219120.61 6845160.15 303.256, 219120.57 6845160.24 303.256, 219120.53 6845160.33 303.256, 219120.49 6845160.42 303.256, 219120.44 6845160.51 303.256, 219120.4 6845160.6 303.256, 219120.36 6845160.7 303.246, 219120.31 6845160.78 303.246, 219120.27 6845160.87 303.246, 219120.22 6845160.97 303.246, 219120.18 6845161.05 303.246, 219120.13 6845161.15 303.246, 219120.09 6845161.24 303.246, 219120.05 6845161.32 303.236, 219120.01 6845161.42 303.236, 219119.96 6845161.51 303.236, 219119.92 6845161.6 303.236, 219119.88 6845161.69 303.236, 219119.84 6845161.78 303.236, 219119.79 6845161.87 303.226, 219119.74 6845161.96 303.226, 219119.7 6845162.05 303.226, 219119.66 6845162.14 303.226, 219119.61 6845162.23 303.226, 219119.57 6845162.32 303.226, 219119.53 6845162.41 303.226, 219119.49 6845162.51 303.216, 219119.44 6845162.59 303.216, 219119.4 6845162.68 303.216, 219119.36 6845162.78 303.216, 219119.32 6845162.86 303.216, 219119.26 6845162.96 303.216, 219119.22 6845163.05 303.206, 219119.18 6845163.14 303.206, 219119.14 6845163.23 303.206, 219119.09 6845163.32 303.206, 219119.05 6845163.41 303.206, 219119.01 6845163.5 303.206, 219118.97 6845163.59 303.206, 219118.92 6845163.68 303.196, 219118.88 6845163.77 303.196, 219118.84 6845163.87 303.196, 219123.32 6845166.04 303.046, 219124.17 6845166.53 303.016, 219124.69 6845166.89 302.996, 219124.95 6845167.08 302.986, 219125.04 6845167.17 302.986, 219125.34 6845167.42 302.966, 219125.59 6845167.65 302.956, 219125.8 6845167.87 302.946, 219125.99 6845168.06 302.936, 219126.16 6845168.26 302.926, 219126.32 6845168.44 302.926, 219126.46 6845168.62 302.916, 219126.6 6845168.8 302.906, 219126.72 6845168.97 302.896, 219126.8 6845169.09 302.896, 219126.84 6845169.13 302.896, 219126.94 6845169.3 302.886, 219127.03 6845169.46 302.876, 219127.14 6845169.61 302.876, 219127.22 6845169.76 302.866, 219127.3 6845169.92 302.866, 219127.39 6845170.06 302.856, 219127.46 6845170.22 302.856, 219127.52 6845170.36 302.846, 219127.59 6845170.5 302.846, 219127.66 6845170.64 302.836, 219127.72 6845170.78 302.836, 219127.77 6845170.91 302.826, 219127.82 6845171.05 302.826, 219127.87 6845171.18 302.816, 219127.92 6845171.32 302.816, 219127.97 6845171.46 302.806, 219128.01 6845171.59 302.806, 219128.04 6845171.71 302.796, 219128.08 6845171.84 302.796, 219128.11 6845171.97 302.796, 219128.14 6845172.1 302.786, 219128.17 6845172.22 302.786, 219128.2 6845172.34 302.776, 219128.23 6845172.47 302.776, 219128.25 6845172.59 302.776, 219128.27 6845172.72 302.766, 219128.29 6845172.84 302.766, 219128.31 6845172.95 302.766, 219128.33 6845173.07 302.756, 219128.35 6845173.19 302.756, 219128.36 6845173.31 302.756, 219128.37 6845173.42 302.746, 219128.38 6845173.54 302.746, 219128.39 6845173.66 302.746, 219128.39 6845173.77 302.736, 219128.4 6845173.88 302.736, 219128.41 6845174 302.736, 219128.41 6845174.11 302.726, 219128.41 6845174.22 302.726, 219128.41 6845174.33 302.726, 219128.41 6845174.44 302.716, 219128.41 6845174.55 302.716, 219128.41 6845174.66 302.716, 219128.4 6845174.78 302.716, 219128.4 6845174.89 302.706, 219128.39 6845174.99 302.706, 219128.38 6845175.1 302.706, 219128.37 6845175.2 302.696, 219128.36 6845175.31 302.696, 219128.35 6845175.41 302.696, 219128.33 6845175.51 302.696, 219128.32 6845175.63 302.686, 219128.31 6845175.73 302.686, 219128.29 6845175.83 302.686, 219128.28 6845175.93 302.686, 219128.25 6845176.03 302.686, 219128.23 6845176.13 302.676, 219128.21 6845176.24 302.676, 219128.19 6845176.34 302.676, 219128.17 6845176.43 302.676, 219128.15 6845176.53 302.666, 219128.11 6845176.64 302.666, 219128.09 6845176.73 302.666, 219128.06 6845176.83 302.666, 219128.04 6845176.92 302.666, 219128.01 6845177.03 302.656, 219127.97 6845177.12 302.656, 219127.94 6845177.22 302.656, 219127.91 6845177.32 302.656, 219127.88 6845177.41 302.656, 219127.85 6845177.5 302.646, 219127.83 6845177.55 302.646, 219127.81 6845177.6 302.646, 219127.79 6845177.66 302.646, 219127.74 6845177.78 302.646, 219127.71 6845177.88 302.646, 219127.67 6845177.98 302.646, 219127.63 6845178.07 302.636, 219127.6 6845178.17 302.636, 219127.56 6845178.26 302.636, 219127.53 6845178.35 302.636, 219127.49 6845178.45 302.636, 219127.46 6845178.54 302.636, 219127.42 6845178.63 302.626, 219127.39 6845178.73 302.626, 219127.36 6845178.82 302.626, 219127.31 6845178.91 302.626, 219127.28 6845179.01 302.626, 219127.25 6845179.1 302.616, 219127.21 6845179.2 302.616, 219127.18 6845179.3 302.616, 219127.14 6845179.39 302.616, 219127.11 6845179.48 302.616, 219127.07 6845179.58 302.616, 219127.04 6845179.67 302.606, 219127 6845179.76 302.606, 219126.96 6845179.86 302.606, 219126.93 6845179.95 302.606, 219126.9 6845180.04 302.606, 219123.33 6845189.55 302.426, 219119.81 6845198.97 302.246, 219119.53 6845199.72 302.236)</t>
  </si>
  <si>
    <t>POINT (219136.9539682535 6845152.503545664)</t>
  </si>
  <si>
    <t>2016-03-08</t>
  </si>
  <si>
    <t>['EV6 S48D1 m5475-5565']</t>
  </si>
  <si>
    <t>LINESTRING Z (218877.84 6845815.87 292.257, 218874.75 6845823.05 292.167, 218870.78 6845832.3 292.047, 218866.84 6845841.56 291.927, 218865.96 6845843.62 291.897, 218863.65 6845851.06 291.777, 218861.51 6845857.99 291.667, 218860.7 6845860.64 291.627, 218857.77 6845870.22 291.477, 218857.12 6845872.36 291.447, 218855.6 6845880.03 291.307, 218853.66 6845889.91 291.127, 218851.74 6845899.79 290.947, 218851.31 6845901.99 290.907)</t>
  </si>
  <si>
    <t>POINT (218862.539401167 6845858.302344979)</t>
  </si>
  <si>
    <t>['EV6 S48D1 m6234-6324']</t>
  </si>
  <si>
    <t>LINESTRING Z (218698.63 6846553.3 280.818, 218695.79 6846562.09 280.708, 218692.68 6846571.65 280.588, 218689.56 6846581.19 280.468, 218689.31 6846581.95 280.458, 218687.31 6846590.93 280.318, 218685.12 6846600.68 280.168, 218682.92 6846610.42 280.018, 218682.73 6846611.25 280.008, 218681.59 6846620.37 279.838, 218680.31 6846630.33 279.658, 218679.03 6846640.29 279.478, 218678.91 6846641.16 279.458)</t>
  </si>
  <si>
    <t>POINT (218686.94849916536 6846596.8211672595)</t>
  </si>
  <si>
    <t>['EV6 S48D1 m6709-6814']</t>
  </si>
  <si>
    <t>LINESTRING Z (218576.94 6847012.17 273.658, 218576.9 6847012.24 273.658, 218576.86 6847012.33 273.658, 218576.82 6847012.43 273.658, 218576.79 6847012.52 273.648, 218576.74 6847012.61 273.648, 218576.7 6847012.71 273.648, 218576.66 6847012.79 273.648, 218576.62 6847012.89 273.648, 218576.59 6847012.98 273.648, 218576.54 6847013.07 273.648, 218576.5 6847013.17 273.648, 218576.46 6847013.26 273.648, 218576.42 6847013.34 273.638, 218576.38 6847013.44 273.638, 218576.34 6847013.53 273.638, 218576.3 6847013.63 273.638, 218576.26 6847013.72 273.638, 218576.22 6847013.81 273.638, 218576.18 6847013.9 273.638, 218576.14 6847013.99 273.638, 218576.1 6847014.08 273.628, 218576.05 6847014.18 273.628, 218576.02 6847014.27 273.628, 218575.98 6847014.37 273.628, 218575.94 6847014.45 273.628, 218575.89 6847014.54 273.628, 218575.86 6847014.64 273.628, 218575.82 6847014.73 273.628, 218575.78 6847014.82 273.618, 218575.74 6847014.92 273.618, 218575.69 6847015 273.618, 218575.66 6847015.1 273.618, 218575.62 6847015.19 273.618, 218575.58 6847015.28 273.618, 218575.53 6847015.38 273.618, 218575.49 6847015.47 273.618, 218575.46 6847015.55 273.618, 218575.42 6847015.65 273.608, 218575.37 6847015.74 273.608, 218575.33 6847015.84 273.608, 218575.3 6847015.93 273.608, 218575.26 6847016.02 273.608, 218575.21 6847016.11 273.608, 218575.17 6847016.2 273.608, 218575.13 6847016.3 273.608, 218575.1 6847016.39 273.598, 218575.05 6847016.48 273.598, 218575.01 6847016.58 273.598, 218574.97 6847016.66 273.598, 218574.94 6847016.75 273.598, 218574.89 6847016.85 273.598, 218574.85 6847016.94 273.598, 218574.81 6847017.04 273.598, 218574.77 6847017.13 273.588, 218574.73 6847017.21 273.588, 218574.69 6847017.31 273.588, 218574.65 6847017.4 273.588, 218574.61 6847017.49 273.588, 218574.58 6847017.59 273.588, 218574.53 6847017.68 273.588, 218574.49 6847017.77 273.588, 218574.45 6847017.86 273.588, 218574.41 6847017.95 273.578, 218574.37 6847018.05 273.578, 218574.33 6847018.14 273.578, 218574.29 6847018.23 273.578, 218574.25 6847018.32 273.578, 218574.2 6847018.41 273.578, 218574.17 6847018.51 273.578, 218574.13 6847018.6 273.578, 218574.09 6847018.69 273.568, 218574.04 6847018.79 273.568, 218574.01 6847018.87 273.568, 218573.97 6847018.96 273.568, 218573.93 6847019.06 273.568, 218573.88 6847019.15 273.568, 218573.84 6847019.25 273.568, 218573.81 6847019.34 273.568, 218573.77 6847019.42 273.558, 218573.73 6847019.52 273.558, 218573.68 6847019.61 273.558, 218573.65 6847019.7 273.558, 218573.61 6847019.8 273.558, 218573.57 6847019.89 273.558, 218573.52 6847019.98 273.558, 218573.48 6847020.07 273.558, 218573.45 6847020.16 273.558, 218573.41 6847020.26 273.548, 218573.36 6847020.35 273.548, 218573.32 6847020.45 273.548, 218573.29 6847020.53 273.548, 218573.25 6847020.62 273.548, 218573.2 6847020.72 273.548, 218573.16 6847020.81 273.548, 218573.12 6847020.9 273.548, 218573.09 6847021 273.538, 218573.04 6847021.08 273.538, 218573 6847021.18 273.538, 218572.96 6847021.27 273.538, 218572.93 6847021.36 273.538, 218572.89 6847021.46 273.538, 218572.84 6847021.55 273.538, 218572.8 6847021.63 273.538, 218572.76 6847021.73 273.528, 218572.73 6847021.82 273.528, 218572.68 6847021.92 273.528, 218572.64 6847022.01 273.528, 218572.6 6847022.1 273.528, 218572.56 6847022.19 273.528, 218572.52 6847022.28 273.528, 218572.48 6847022.37 273.528, 218572.44 6847022.47 273.528, 218572.4 6847022.56 273.518, 218572.36 6847022.66 273.518, 218572.32 6847022.74 273.518, 218572.28 6847022.83 273.518, 218572.24 6847022.93 273.518, 218572.19 6847023.02 273.518, 218572.16 6847023.11 273.518, 218572.12 6847023.21 273.518, 218572.08 6847023.29 273.508, 218572.03 6847023.39 273.508, 218572 6847023.48 273.508, 218571.96 6847023.57 273.508, 218571.92 6847023.67 273.508, 218571.88 6847023.76 273.508, 218571.83 6847023.85 273.508, 218571.8 6847023.94 273.508, 218571.76 6847024.03 273.498, 218571.72 6847024.13 273.498, 218571.67 6847024.22 273.498, 218571.64 6847024.31 273.498, 218571.6 6847024.4 273.498, 218571.56 6847024.49 273.498, 218571.51 6847024.59 273.498, 218571.47 6847024.68 273.498, 218571.44 6847024.77 273.498, 218571.4 6847024.87 273.488, 218571.35 6847024.95 273.488, 218571.31 6847025.04 273.488, 218571.28 6847025.14 273.488, 218571.24 6847025.23 273.488, 218571.19 6847025.33 273.488, 218571.15 6847025.42 273.488, 218571.11 6847025.5 273.488, 218571.08 6847025.6 273.478, 218571.03 6847025.69 273.478, 218570.99 6847025.78 273.478, 218570.95 6847025.88 273.478, 218570.92 6847025.97 273.478, 218570.87 6847026.06 273.478, 218570.83 6847026.15 273.478, 218570.79 6847026.24 273.478, 218570.75 6847026.34 273.468, 218570.72 6847026.43 273.468, 218570.67 6847026.52 273.468, 218570.63 6847026.61 273.468, 218570.59 6847026.7 273.468, 218570.56 6847026.8 273.468, 218570.51 6847026.89 273.468, 218570.47 6847026.98 273.468, 218570.43 6847027.07 273.468, 218570.39 6847027.16 273.458, 218570.35 6847027.25 273.458, 218570.31 6847027.35 273.458, 218570.27 6847027.44 273.458, 218570.23 6847027.54 273.458, 218570.18 6847027.62 273.458, 218570.15 6847027.71 273.458, 218570.11 6847027.81 273.458, 218570.07 6847027.9 273.448, 218570.03 6847027.99 273.448, 218569.99 6847028.09 273.448, 218569.95 6847028.17 273.448, 218569.91 6847028.27 273.448, 218569.87 6847028.36 273.448, 218569.82 6847028.45 273.448, 218569.79 6847028.55 273.448, 218569.75 6847028.64 273.438, 218569.71 6847028.72 273.438, 218569.66 6847028.82 273.438, 218569.63 6847028.91 273.438, 218569.59 6847029.01 273.438, 218569.55 6847029.1 273.438, 218569.5 6847029.19 273.438, 218569.46 6847029.28 273.438, 218569.43 6847029.37 273.438, 218569.39 6847029.46 273.428, 218569.34 6847029.56 273.428, 218569.3 6847029.65 273.428, 218569.27 6847029.75 273.428, 218569.23 6847029.83 273.428, 218569.18 6847029.92 273.428, 218569.14 6847030.02 273.428, 218569.1 6847030.11 273.428, 218569.07 6847030.2 273.418, 218569.03 6847030.3 273.418, 218568.98 6847030.38 273.418, 218568.94 6847030.48 273.418, 218568.91 6847030.57 273.418, 218568.87 6847030.66 273.418, 218568.82 6847030.76 273.418, 218568.78 6847030.84 273.418, 218568.74 6847030.94 273.408, 218568.71 6847031.03 273.408, 218568.66 6847031.12 273.408, 218568.62 6847031.22 273.408, 218568.58 6847031.31 273.408, 218568.55 6847031.39 273.408, 218568.5 6847031.49 273.408, 218568.46 6847031.58 273.408, 218568.42 6847031.68 273.408, 218568.38 6847031.77 273.398, 218568.34 6847031.86 273.398, 218568.3 6847031.95 273.398, 218568.26 6847032.04 273.398, 218568.22 6847032.13 273.398, 218568.18 6847032.23 273.398, 218568.14 6847032.32 273.398, 218568.1 6847032.42 273.398, 218568.06 6847032.5 273.388, 218568.01 6847032.59 273.388, 218567.98 6847032.69 273.388, 218567.94 6847032.78 273.388, 218567.9 6847032.87 273.388, 218567.86 6847032.97 273.388, 218567.82 6847033.05 273.388, 218567.78 6847033.15 273.388, 218567.74 6847033.24 273.378, 218567.7 6847033.33 273.378, 218567.65 6847033.43 273.378, 218567.62 6847033.52 273.378, 218567.58 6847033.6 273.378, 218567.54 6847033.7 273.378, 218567.49 6847033.79 273.378, 218567.46 6847033.89 273.378, 218567.42 6847033.98 273.368, 218567.38 6847034.06 273.368, 218567.33 6847034.16 273.368, 218567.29 6847034.25 273.368, 218567.26 6847034.34 273.368, 218567.22 6847034.44 273.368, 218567.17 6847034.53 273.368, 218567.13 6847034.62 273.368, 218567.1 6847034.71 273.368, 218567.06 6847034.8 273.358, 218567.02 6847034.9 273.358, 218566.97 6847034.99 273.358, 218566.93 6847035.09 273.358, 218566.9 6847035.17 273.358, 218566.86 6847035.26 273.358, 218566.81 6847035.36 273.358, 218566.77 6847035.45 273.358, 218566.74 6847035.54 273.348, 218566.7 6847035.64 273.348, 218566.65 6847035.72 273.348, 218566.61 6847035.82 273.348, 218566.57 6847035.91 273.348, 218566.54 6847036 273.348, 218566.49 6847036.1 273.348, 218566.45 6847036.18 273.348, 218566.41 6847036.27 273.338, 218566.38 6847036.37 273.338, 218566.33 6847036.46 273.338, 218566.29 6847036.56 273.338, 218566.25 6847036.65 273.338, 218566.21 6847036.73 273.338, 218566.17 6847036.83 273.338, 218566.13 6847036.92 273.338, 218566.09 6847037.01 273.338, 218566.05 6847037.11 273.328, 218566.02 6847037.2 273.328, 218565.97 6847037.29 273.328, 218565.93 6847037.38 273.328, 218565.89 6847037.47 273.328, 218565.85 6847037.57 273.328, 218565.81 6847037.66 273.328, 218565.77 6847037.75 273.328, 218565.73 6847037.84 273.318, 218565.69 6847037.93 273.318, 218565.65 6847038.03 273.318, 218565.61 6847038.12 273.318, 218565.57 6847038.21 273.318, 218565.53 6847038.3 273.318, 218565.48 6847038.39 273.318, 218565.45 6847038.48 273.318, 218565.41 6847038.58 273.308, 218565.37 6847038.67 273.308, 218565.32 6847038.77 273.308, 218565.29 6847038.85 273.308, 218565.25 6847038.94 273.308, 218565.21 6847039.04 273.308, 218565.16 6847039.13 273.308, 218565.12 6847039.23 273.308, 218565.09 6847039.32 273.298, 218565.05 6847039.4 273.298, 218565 6847039.5 273.298, 218564.96 6847039.59 273.298, 218564.93 6847039.68 273.298, 218564.89 6847039.78 273.298, 218564.85 6847039.87 273.298, 218564.8 6847039.96 273.298, 218564.77 6847040.05 273.298, 218564.73 6847040.14 273.288, 218564.69 6847040.24 273.288, 218564.64 6847040.33 273.288, 218564.6 6847040.41 273.288, 218564.57 6847040.51 273.288, 218564.53 6847040.6 273.288, 218564.48 6847040.7 273.288, 218564.44 6847040.79 273.288, 218564.41 6847040.88 273.278, 218564.37 6847040.97 273.278, 218564.32 6847041.06 273.278, 218564.28 6847041.15 273.278, 218564.24 6847041.25 273.278, 218564.21 6847041.34 273.278, 218564.16 6847041.43 273.278, 218564.12 6847041.52 273.278, 218564.08 6847041.61 273.268, 218564.05 6847041.71 273.268, 218564.01 6847041.8 273.268, 218563.96 6847041.89 273.268, 218563.92 6847041.98 273.268, 218563.88 6847042.07 273.268, 218563.85 6847042.16 273.268, 218563.8 6847042.26 273.268, 218563.76 6847042.35 273.258, 218563.72 6847042.45 273.258, 218563.69 6847042.53 273.258, 218563.64 6847042.62 273.258, 218563.6 6847042.72 273.258, 218563.56 6847042.81 273.258, 218563.52 6847042.91 273.258, 218563.48 6847043 273.258, 218563.44 6847043.08 273.258, 218563.4 6847043.18 273.248, 218563.36 6847043.27 273.248, 218563.32 6847043.36 273.248, 218563.28 6847043.46 273.248, 218563.24 6847043.54 273.248, 218563.2 6847043.64 273.248, 218563.15 6847043.73 273.248, 218563.12 6847043.82 273.248, 218563.08 6847043.92 273.238, 218563.04 6847044.01 273.238, 218562.99 6847044.09 273.238, 218562.96 6847044.19 273.238, 218562.92 6847044.28 273.238, 218562.88 6847044.38 273.238, 218562.84 6847044.47 273.238, 218562.79 6847044.56 273.238, 218562.76 6847044.65 273.228, 218562.72 6847044.74 273.228, 218562.68 6847044.83 273.228, 218562.63 6847044.93 273.228, 218562.6 6847045.02 273.228, 218562.56 6847045.11 273.228, 218562.52 6847045.2 273.228, 218562.47 6847045.29 273.228, 218562.44 6847045.39 273.218, 218562.4 6847045.48 273.218, 218562.36 6847045.57 273.218, 218562.31 6847045.66 273.218, 218562.27 6847045.75 273.218, 218562.24 6847045.85 273.218, 218562.2 6847045.94 273.218, 218562.15 6847046.03 273.218, 218562.11 6847046.13 273.218, 218562.08 6847046.21 273.208, 218562.04 6847046.3 273.208, 218561.99 6847046.4 273.208, 218561.95 6847046.49 273.208, 218561.91 6847046.59 273.208, 218561.88 6847046.67 273.208, 218561.84 6847046.76 273.208, 218561.79 6847046.86 273.208, 218561.75 6847046.95 273.198, 218561.72 6847047.04 273.198, 218561.68 6847047.14 273.198, 218561.63 6847047.22 273.198, 218561.59 6847047.32 273.198, 218561.55 6847047.41 273.198, 218561.52 6847047.5 273.198, 218561.47 6847047.6 273.198, 218561.43 6847047.69 273.188, 218561.39 6847047.78 273.188, 218561.36 6847047.87 273.188, 218561.31 6847047.96 273.188, 218561.27 6847048.06 273.188, 218561.23 6847048.15 273.188, 218561.19 6847048.23 273.188, 218561.15 6847048.33 273.188, 218561.11 6847048.42 273.178, 218561.07 6847048.52 273.178, 218561.03 6847048.61 273.178, 218561 6847048.7 273.178, 218560.95 6847048.79 273.178, 218560.91 6847048.88 273.178, 218560.87 6847048.97 273.178, 218560.84 6847049.07 273.178, 218560.79 6847049.16 273.168, 218560.75 6847049.26 273.168, 218560.71 6847049.34 273.168, 218560.67 6847049.43 273.168, 218560.63 6847049.53 273.168, 218560.59 6847049.62 273.168, 218560.55 6847049.71 273.168, 218560.51 6847049.8 273.168, 218560.47 6847049.89 273.168, 218560.43 6847049.99 273.158, 218560.39 6847050.08 273.158, 218560.35 6847050.17 273.158, 218560.3 6847050.27 273.158, 218560.27 6847050.35 273.158, 218560.23 6847050.44 273.158, 218560.19 6847050.54 273.158, 218560.14 6847050.63 273.158, 218560.11 6847050.73 273.148, 218560.07 6847050.81 273.148, 218560.03 6847050.9 273.148, 218559.98 6847051 273.148, 218559.94 6847051.09 273.148, 218559.91 6847051.18 273.148, 218559.87 6847051.28 273.148, 218559.82 6847051.36 273.148, 218559.78 6847051.46 273.138, 218559.75 6847051.55 273.138, 218559.71 6847051.64 273.138, 218559.67 6847051.74 273.138, 218559.62 6847051.82 273.138, 218559.59 6847051.91 273.138, 218559.55 6847052.01 273.138, 218559.51 6847052.1 273.138, 218559.46 6847052.2 273.128, 218559.42 6847052.29 273.128, 218559.39 6847052.37 273.128, 218559.35 6847052.47 273.128, 218559.3 6847052.56 273.128, 218559.26 6847052.66 273.128, 218559.23 6847052.75 273.128, 218559.19 6847052.84 273.128, 218559.14 6847052.93 273.118, 218559.1 6847053.02 273.118, 218559.06 6847053.11 273.118, 218559.03 6847053.21 273.118, 218558.98 6847053.3 273.118, 218558.94 6847053.39 273.118, 218558.9 6847053.48 273.118, 218558.87 6847053.57 273.118, 218558.83 6847053.67 273.118, 218558.78 6847053.76 273.108, 218558.74 6847053.85 273.108, 218558.7 6847053.94 273.108, 218558.67 6847054.03 273.108, 218558.62 6847054.13 273.108, 218558.58 6847054.22 273.108, 218558.54 6847054.31 273.108, 218558.51 6847054.4 273.108, 218558.46 6847054.49 273.098, 218558.42 6847054.58 273.098, 218558.38 6847054.68 273.098, 218558.35 6847054.77 273.098, 218558.3 6847054.87 273.098, 218558.26 6847054.95 273.098, 218558.22 6847055.04 273.098, 218558.18 6847055.14 273.098, 218558.14 6847055.23 273.088, 218558.1 6847055.32 273.088, 218558.06 6847055.41 273.088, 218558.02 6847055.5 273.088, 218557.98 6847055.6 273.088, 218557.94 6847055.69 273.088, 218557.9 6847055.78 273.088, 218557.86 6847055.88 273.088, 218557.81 6847055.96 273.078, 218557.78 6847056.05 273.078, 218557.74 6847056.15 273.078, 218557.7 6847056.24 273.078, 218557.66 6847056.34 273.078, 218557.62 6847056.42 273.078, 218557.58 6847056.51 273.078, 218557.54 6847056.61 273.078, 218557.5 6847056.7 273.068, 218557.46 6847056.79 273.068, 218557.42 6847056.89 273.068, 218557.38 6847056.97 273.068, 218557.34 6847057.07 273.068, 218557.29 6847057.16 273.068, 218557.26 6847057.25 273.068, 218557.22 6847057.35 273.068, 218557.18 6847057.43 273.068, 218557.13 6847057.52 273.058, 218557.1 6847057.62 273.058, 218557.06 6847057.71 273.058, 218557.02 6847057.81 273.058, 218556.97 6847057.9 273.058, 218556.93 6847057.98 273.058, 218556.9 6847058.08 273.058, 218556.86 6847058.17 273.058, 218556.81 6847058.26 273.048, 218556.77 6847058.36 273.048, 218556.74 6847058.44 273.048, 218556.7 6847058.54 273.048, 218556.65 6847058.63 273.048, 218556.61 6847058.72 273.048, 218556.58 6847058.82 273.048, 218556.54 6847058.91 273.048, 218556.5 6847058.99 273.038, 218556.45 6847059.09 273.038, 218556.41 6847059.18 273.038, 218556.38 6847059.28 273.038, 218556.34 6847059.37 273.038, 218556.29 6847059.45 273.038, 218556.25 6847059.55 273.038, 218556.22 6847059.64 273.038, 218556.18 6847059.73 273.028, 218556.13 6847059.83 273.028, 218556.09 6847059.92 273.028, 218556.05 6847060.01 273.028, 218556.02 6847060.1 273.028, 218555.97 6847060.19 273.028, 218555.93 6847060.29 273.028, 218555.89 6847060.38 273.028, 218555.86 6847060.46 273.018, 218555.81 6847060.56 273.018, 218555.77 6847060.65 273.018, 218555.73 6847060.75 273.018, 218555.7 6847060.84 273.018, 218555.66 6847060.93 273.018, 218555.61 6847061.02 273.018, 218555.57 6847061.11 273.018, 218555.53 6847061.21 273.008, 218555.5 6847061.3 273.008, 218555.45 6847061.39 273.008, 218555.41 6847061.48 273.008, 218555.37 6847061.57 273.008, 218555.34 6847061.66 273.008, 218555.29 6847061.76 273.008, 218555.25 6847061.85 273.008, 218555.21 6847061.95 273.008, 218555.17 6847062.03 272.998, 218555.13 6847062.12 272.998, 218555.09 6847062.22 272.998, 218555.05 6847062.31 272.998, 218555.01 6847062.4 272.998, 218554.97 6847062.49 272.998, 218554.93 6847062.58 272.998, 218554.89 6847062.68 272.998, 218554.85 6847062.77 272.988, 218554.81 6847062.86 272.988, 218554.77 6847062.96 272.988, 218554.73 6847063.04 272.988, 218554.69 6847063.13 272.988, 218554.64 6847063.23 272.988, 218554.61 6847063.32 272.988, 218554.57 6847063.42 272.988, 218554.53 6847063.5 272.978, 218554.48 6847063.59 272.978, 218554.45 6847063.69 272.978, 218554.41 6847063.78 272.978, 218554.37 6847063.87 272.978, 218554.33 6847063.97 272.978, 218554.29 6847064.05 272.978, 218554.25 6847064.15 272.978, 218554.21 6847064.24 272.968, 218554.17 6847064.33 272.968, 218554.12 6847064.43 272.968, 218554.09 6847064.51 272.968, 218554.05 6847064.6 272.968, 218554.01 6847064.7 272.968, 218553.96 6847064.79 272.968, 218553.93 6847064.89 272.968, 218553.89 6847064.98 272.958, 218553.85 6847065.06 272.958, 218553.8 6847065.16 272.958, 218553.76 6847065.25 272.958, 218553.73 6847065.34 272.958, 218553.69 6847065.44 272.958, 218553.64 6847065.52 272.958, 218553.6 6847065.62 272.958, 218553.57 6847065.71 272.948, 218553.53 6847065.8 272.948, 218553.49 6847065.9 272.948, 218553.44 6847065.98 272.948, 218553.42 6847066.04 272.948, 218553.37 6847066.17 272.948, 218553.33 6847066.26 272.948, 218553.28 6847066.35 272.948, 218553.23 6847066.44 272.948, 218553.19 6847066.54 272.938, 218553.14 6847066.62 272.938, 218553.09 6847066.71 272.938, 218553.05 6847066.8 272.938, 218553 6847066.89 272.938, 218552.94 6847066.98 272.938, 218552.89 6847067.06 272.938, 218552.84 6847067.16 272.938, 218552.79 6847067.24 272.938, 218552.73 6847067.33 272.938, 218552.68 6847067.41 272.938, 218552.62 6847067.5 272.928, 218552.56 6847067.58 272.928, 218552.5 6847067.68 272.928, 218552.44 6847067.75 272.928, 218552.38 6847067.84 272.928, 218552.32 6847067.92 272.928, 218552.25 6847068.01 272.928, 218552.19 6847068.1 272.928, 218552.12 6847068.18 272.928, 218552.05 6847068.26 272.928, 218551.99 6847068.34 272.928, 218551.91 6847068.42 272.928, 218551.84 6847068.51 272.928, 218551.76 6847068.58 272.928, 218551.69 6847068.67 272.928, 218551.62 6847068.75 272.928, 218551.54 6847068.82 272.928, 218551.46 6847068.91 272.928, 218551.38 6847068.99 272.928, 218551.3 6847069.06 272.928, 218551.22 6847069.14 272.928, 218551.14 6847069.22 272.928, 218551.04 6847069.3 272.928, 218550.96 6847069.38 272.928, 218550.86 6847069.44 272.928, 218550.78 6847069.52 272.928, 218550.69 6847069.6 272.928, 218550.59 6847069.67 272.928, 218550.5 6847069.75 272.928, 218550.39 6847069.81 272.928, 218550.3 6847069.88 272.928, 218550.19 6847069.96 272.928, 218550.09 6847070.03 272.928, 218549.99 6847070.1 272.938, 218549.87 6847070.17 272.938, 218549.77 6847070.24 272.938, 218549.65 6847070.31 272.938, 218549.54 6847070.37 272.938, 218549.42 6847070.44 272.938, 218549.3 6847070.5 272.938, 218549.17 6847070.57 272.938, 218549.05 6847070.63 272.948, 218548.92 6847070.69 272.948, 218548.79 6847070.75 272.948, 218548.65 6847070.82 272.948, 218548.51 6847070.88 272.948, 218548.37 6847070.93 272.948, 218548.22 6847070.99 272.958, 218548.08 6847071.05 272.958, 218547.92 6847071.1 272.958, 218547.76 6847071.15 272.958, 218547.6 6847071.21 272.968, 218547.43 6847071.25 272.968, 218547.25 6847071.3 272.968, 218547.08 6847071.34 272.968, 218546.89 6847071.39 272.978, 218546.83 6847071.4 272.978, 218546.69 6847071.42 272.978, 218546.49 6847071.46 272.988, 218546.27 6847071.5 272.988, 218546.04 6847071.53 272.998, 218545.8 6847071.56 272.998, 218545.55 6847071.57 273.008, 218545.27 6847071.59 273.008, 218544.98 6847071.6 273.018, 218544.65 6847071.59 273.028, 218544.27 6847071.57 273.038, 218544.14 6847071.56 273.038, 218543.82 6847071.53 273.048, 218543.23 6847071.44 273.058, 218542.27 6847071.2 273.088, 218541.1 6847070.83 273.128, 218541.07 6847070.93 273.128, 218541.04 6847071.02 273.128, 218541 6847071.12 273.118, 218540.97 6847071.22 273.118, 218540.94 6847071.31 273.118, 218540.91 6847071.4 273.118, 218540.88 6847071.49 273.118, 218540.84 6847071.59 273.118, 218540.81 6847071.69 273.118, 218540.78 6847071.78 273.108, 218540.76 6847071.88 273.108, 218540.72 6847071.97 273.108, 218540.69 6847072.06 273.108, 218540.66 6847072.16 273.108, 218540.63 6847072.25 273.108, 218540.6 6847072.35 273.098, 218540.56 6847072.44 273.098, 218540.53 6847072.54 273.098, 218540.5 6847072.63 273.098, 218540.47 6847072.72 273.098, 218540.44 6847072.82 273.098, 218540.4 6847072.92 273.098, 218540.37 6847073.01 273.088, 218540.34 6847073.11 273.088, 218540.32 6847073.2 273.088, 218540.28 6847073.29 273.088, 218540.25 6847073.39 273.088, 218540.22 6847073.48 273.088, 218540.19 6847073.58 273.088, 218540.16 6847073.67 273.078, 218540.12 6847073.77 273.078, 218540.09 6847073.86 273.078, 218540.06 6847073.95 273.078, 218540.03 6847074.05 273.078, 218540 6847074.15 273.078, 218539.96 6847074.24 273.068, 218539.93 6847074.34 273.068, 218539.9 6847074.43 273.068, 218539.88 6847074.52 273.068, 218539.84 6847074.61 273.068, 218539.81 6847074.71 273.068, 218539.78 6847074.81 273.068, 218539.75 6847074.9 273.058, 218539.72 6847075 273.058, 218539.68 6847075.09 273.058, 218539.65 6847075.18 273.058, 218539.62 6847075.28 273.058, 218539.59 6847075.38 273.058, 218539.56 6847075.47 273.048, 218539.52 6847075.57 273.048, 218539.49 6847075.66 273.048, 218539.47 6847075.75 273.048, 218539.44 6847075.84 273.048, 218539.4 6847075.94 273.048, 218539.37 6847076.04 273.048, 218539.34 6847076.13 273.038, 218539.31 6847076.23 273.038, 218539.28 6847076.32 273.038, 218539.24 6847076.41 273.038, 218539.21 6847076.51 273.038, 218541.72 6847077.36 272.958, 218544.91 6847078.51 272.858, 218545.44 6847078.79 272.838, 218545.64 6847078.91 272.828, 218545.72 6847078.96 272.828, 218545.82 6847079.03 272.818, 218546.13 6847079.23 272.808, 218546.4 6847079.43 272.798, 218546.63 6847079.61 272.788, 218546.85 6847079.78 272.778, 218547.04 6847079.96 272.768, 218547.22 6847080.12 272.758, 218547.37 6847080.28 272.758, 218547.53 6847080.44 272.748, 218547.67 6847080.59 272.738, 218547.75 6847080.68 272.738, 218547.8 6847080.74 272.728, 218547.93 6847080.89 272.728, 218548.05 6847081.03 272.718, 218548.16 6847081.17 272.718, 218548.26 6847081.31 272.708, 218548.37 6847081.45 272.698, 218548.46 6847081.59 272.698, 218548.55 6847081.72 272.688, 218548.64 6847081.86 272.688, 218548.72 6847082 272.678, 218548.8 6847082.12 272.678, 218548.88 6847082.25 272.668, 218548.95 6847082.38 272.668, 218549.02 6847082.51 272.658, 218549.08 6847082.64 272.658, 218549.15 6847082.76 272.648, 218549.21 6847082.89 272.648, 218549.26 6847083.01 272.648, 218549.32 6847083.14 272.638, 218549.37 6847083.26 272.638, 218549.42 6847083.38 272.628, 218549.46 6847083.5 272.628, 218549.51 6847083.63 272.628, 218549.55 6847083.74 272.618, 218549.59 6847083.86 272.618, 218549.63 6847083.98 272.608, 218549.67 6847084.09 272.608, 218549.7 6847084.21 272.608, 218549.75 6847084.33 272.598, 218549.78 6847084.45 272.598, 218549.81 6847084.57 272.598, 218549.83 6847084.67 272.588, 218549.85 6847084.79 272.588, 218549.88 6847084.9 272.588, 218549.9 6847085.02 272.578, 218549.92 6847085.13 272.578, 218549.94 6847085.25 272.578, 218549.96 6847085.36 272.568, 218549.98 6847085.46 272.568, 218550 6847085.57 272.568, 218550.01 6847085.68 272.558, 218550.02 6847085.79 272.558, 218550.04 6847085.9 272.558, 218550.05 6847086.01 272.558, 218550.06 6847086.12 272.548, 218550.07 6847086.23 272.548, 218550.07 6847086.34 272.548, 218550.07 6847086.44 272.538, 218550.07 6847086.55 272.538, 218550.08 6847086.66 272.538, 218550.08 6847086.76 272.538, 218550.08 6847086.87 272.528, 218550.08 6847086.97 272.528, 218550.08 6847087.07 272.528, 218550.08 6847087.18 272.528, 218550.07 6847087.28 272.518, 218550.06 6847087.39 272.518, 218550.05 6847087.5 272.518, 218550.05 6847087.6 272.518, 218550.04 6847087.7 272.518, 218550.03 6847087.8 272.508, 218550.02 6847087.9 272.508, 218550.01 6847088 272.508, 218549.99 6847088.1 272.508, 218549.97 6847088.21 272.508, 218549.96 6847088.3 272.498, 218549.94 6847088.4 272.498, 218549.93 6847088.5 272.498, 218549.91 6847088.6 272.498, 218549.88 6847088.7 272.498, 218549.86 6847088.8 272.488, 218549.84 6847088.9 272.488, 218549.82 6847088.99 272.488, 218549.81 6847089.04 272.488, 218549.8 6847089.09 272.488, 218549.78 6847089.19 272.488, 218549.75 6847089.29 272.478, 218549.72 6847089.38 272.478, 218549.7 6847089.48 272.478, 218549.68 6847089.58 272.478, 218549.66 6847089.68 272.478, 218549.63 6847089.77 272.478, 218549.6 6847089.87 272.468, 218549.58 6847089.97 272.468, 218549.56 6847090.07 272.468, 218549.54 6847090.16 272.468, 218549.51 6847090.26 272.468, 218549.48 6847090.36 272.468, 218549.46 6847090.46 272.458, 218549.44 6847090.55 272.458, 218549.42 6847090.65 272.458, 218549.4 6847090.75 272.458, 218549.36 6847090.85 272.458, 218549.34 6847090.94 272.448, 218549.32 6847091.04 272.448, 218549.3 6847091.14 272.448, 218549.28 6847091.24 272.448, 218549.24 6847091.33 272.448, 218549.22 6847091.43 272.448, 218549.2 6847091.53 272.438, 218549.18 6847091.63 272.438, 218549.16 6847091.72 272.438, 218549.12 6847091.82 272.438, 218549.1 6847091.91 272.438, 218549.08 6847092.02 272.438, 218549.06 6847092.11 272.428, 218549.04 6847092.2 272.428, 218549.01 6847092.3 272.428, 218548.98 6847092.4 272.428, 218548.96 6847092.5 272.428, 218548.94 6847092.59 272.418, 218548.91 6847092.69 272.418, 218548.89 6847092.79 272.418, 218548.86 6847092.89 272.418, 218548.84 6847092.98 272.418, 218548.82 6847093.08 272.418, 218548.79 6847093.18 272.408, 218548.77 6847093.28 272.408, 218548.74 6847093.37 272.408, 218548.72 6847093.47 272.408, 218548.7 6847093.57 272.408, 218548.67 6847093.67 272.408, 218548.65 6847093.76 272.398, 218548.62 6847093.86 272.398, 218548.6 6847093.96 272.398, 218548.58 6847094.06 272.398, 218548.55 6847094.15 272.398, 218548.53 6847094.25 272.398, 218548.51 6847094.35 272.388, 218548.48 6847094.45 272.388, 218548.46 6847094.54 272.388, 218548.43 6847094.64 272.388, 218548.41 6847094.74 272.388, 218548.39 6847094.84 272.378, 218548.36 6847094.93 272.378, 218548.34 6847095.03 272.378, 218548.31 6847095.13 272.378, 218548.29 6847095.23 272.378, 218548.27 6847095.32 272.378, 218548.24 6847095.42 272.368, 218548.22 6847095.51 272.368, 218548.19 6847095.62 272.368, 218548.17 6847095.71 272.368, 218548.15 6847095.81 272.368, 218548.13 6847095.9 272.368, 218548.1 6847096.01 272.358, 218548.07 6847096.1 272.358, 218548.05 6847096.2 272.358, 218548.03 6847096.29 272.358, 218548.01 6847096.4 272.358, 218547.97 6847096.49 272.348, 218547.95 6847096.59 272.348, 218547.93 6847096.68 272.348, 218547.91 6847096.79 272.348, 218547.89 6847096.88 272.348, 218547.85 6847096.98 272.348, 218547.83 6847097.07 272.338, 218547.81 6847097.18 272.338, 218547.79 6847097.27 272.338, 218547.77 6847097.37 272.338, 218547.74 6847097.46 272.338, 218547.71 6847097.57 272.338, 218547.69 6847097.66 272.328, 218547.67 6847097.76 272.328, 218547.65 6847097.85 272.328, 218547.62 6847097.96 272.328, 218547.59 6847098.05 272.328, 218547.57 6847098.15 272.318, 218547.55 6847098.24 272.318, 218547.53 6847098.34 272.318, 218547.5 6847098.44 272.318, 218547.47 6847098.54 272.318, 218547.45 6847098.63 272.318, 218547.43 6847098.73 272.308, 218547.41 6847098.83 272.308, 218547.38 6847098.93 272.308, 218547.36 6847099.02 272.308, 218547.33 6847099.12 272.308, 218547.31 6847099.22 272.308, 218547.29 6847099.32 272.298, 218547.26 6847099.41 272.298, 218547.24 6847099.51 272.298, 218547.21 6847099.61 272.298, 218547.19 6847099.71 272.298, 218547.17 6847099.8 272.288, 218547.14 6847099.9 272.288, 218547.12 6847100 272.288, 218547.09 6847100.1 272.288, 218547.07 6847100.19 272.288, 218547.04 6847100.29 272.288, 218547.02 6847100.39 272.278, 218547 6847100.49 272.278, 218546.97 6847100.58 272.278, 218546.95 6847100.68 272.278, 218546.92 6847100.78 272.278, 218546.9 6847100.88 272.278, 218546.88 6847100.97 272.268, 218546.86 6847101.07 272.268, 218546.83 6847101.16 272.268, 218546.8 6847101.27 272.268, 218546.78 6847101.36 272.268, 218546.76 6847101.46 272.258, 218546.74 6847101.55 272.258, 218546.71 6847101.66 272.258, 218546.68 6847101.75 272.258, 218546.66 6847101.85 272.258, 218546.64 6847101.94 272.258, 218546.62 6847102.05 272.248, 218546.59 6847102.14 272.248, 218546.56 6847102.24 272.248, 218546.54 6847102.33 272.248, 218546.52 6847102.44 272.248, 218546.5 6847102.53 272.248, 218546.48 6847102.63 272.238, 218546.44 6847102.72 272.238, 218546.42 6847102.83 272.238, 218546.4 6847102.92 272.238, 218546.38 6847103.02 272.238, 218546.36 6847103.11 272.228, 218546.32 6847103.22 272.228, 218546.3 6847103.31 272.228, 218546.28 6847103.41 272.228, 218546.26 6847103.5 272.228, 218546.23 6847103.61 272.228, 218546.2 6847103.7 272.218, 218546.18 6847103.8 272.218, 218546.16 6847103.89 272.218, 218546.14 6847103.99 272.218, 218546.11 6847104.09 272.218, 218546.09 6847104.19 272.218, 218546.06 6847104.28 272.208, 218546.04 6847104.38 272.208, 218546.02 6847104.48 272.208, 218545.99 6847104.58 272.208, 218545.97 6847104.67 272.208, 218545.94 6847104.77 272.198, 218545.92 6847104.87 272.198, 218545.9 6847104.97 272.198, 218545.87 6847105.06 272.198, 218545.85 6847105.16 272.198, 218545.82 6847105.26 272.198, 218545.8 6847105.36 272.188, 218545.78 6847105.45 272.188, 218545.75 6847105.55 272.188, 218545.73 6847105.65 272.188, 218545.71 6847105.75 272.188, 218545.68 6847105.84 272.188, 218545.66 6847105.94 272.178, 218545.63 6847106.04 272.178, 218545.61 6847106.14 272.178, 218545.59 6847106.23 272.178, 218545.56 6847106.33 272.178, 218545.54 6847106.43 272.168, 218545.51 6847106.53 272.168, 218545.49 6847106.62 272.168, 218545.47 6847106.72 272.168, 218545.44 6847106.82 272.168, 218545.41 6847106.92 272.168, 218545.39 6847107.01 272.158, 218545.37 6847107.11 272.158, 218545.35 6847107.21 272.158, 218545.33 6847107.31 272.158, 218545.29 6847107.4 272.158, 218545.27 6847107.5 272.158, 218545.25 6847107.59 272.148, 218545.23 6847107.7 272.148, 218545.21 6847107.79 272.148, 218545.17 6847107.89 272.148, 218545.15 6847107.98 272.148, 218545.13 6847108.09 272.138, 218545.11 6847108.18 272.138, 218545.09 6847108.28 272.138, 218545.05 6847108.37 272.138, 218545.03 6847108.48 272.138, 218545.01 6847108.57 272.138, 218544.99 6847108.67 272.128, 218544.97 6847108.76 272.128, 218544.94 6847108.87 272.128, 218544.91 6847108.96 272.128, 218544.89 6847109.06 272.128, 218544.87 6847109.15 272.128, 218544.85 6847109.26 272.118, 218544.82 6847109.35 272.118, 218544.79 6847109.45 272.118, 218544.77 6847109.54 272.118, 218544.75 6847109.65 272.118, 218544.72 6847109.74 272.108, 218544.7 6847109.84 272.108, 218544.67 6847109.93 272.108, 218544.65 6847110.04 272.108, 218544.63 6847110.13 272.108, 218544.6 6847110.23 272.108, 218544.58 6847110.32 272.098, 218544.56 6847110.43 272.098, 218544.53 6847110.52 272.098, 218544.51 6847110.62 272.098, 218544.48 6847110.71 272.098, 218544.46 6847110.82 272.098, 218544.44 6847110.91 272.088, 218544.41 6847111.01 272.088, 218544.19 6847111.88 272.078)</t>
  </si>
  <si>
    <t>POINT (218555.48898687086 6847062.875985192)</t>
  </si>
  <si>
    <t>['EV6 S48D1 m7205-7295']</t>
  </si>
  <si>
    <t>LINESTRING Z (218404.39 6847475.87 266.187, 218399.95 6847483.86 266.077, 218395.06 6847492.64 265.957, 218390.16 6847501.4 265.837, 218389.75 6847502.12 265.827, 218386.07 6847510.53 265.687, 218385.41 6847512.04 265.667, 218382.05 6847519.67 265.537, 218378.01 6847528.8 265.397, 218377.66 6847529.59 265.387, 218374.78 6847538.3 265.227, 218371.61 6847547.84 265.057, 218368.42 6847557.37 264.897, 218368.14 6847558.21 264.877)</t>
  </si>
  <si>
    <t>POINT (218384.5569655093 6847516.287695807)</t>
  </si>
  <si>
    <t>['EV6 S48D1 m5709-5814']</t>
  </si>
  <si>
    <t>LINESTRING Z (218812.22 6846040.39 288.737, 218812.17 6846040.54 288.737, 218812.14 6846040.63 288.737, 218812.11 6846040.72 288.737, 218812.06 6846040.82 288.727, 218812.03 6846040.91 288.727, 218812 6846041 288.727, 218811.97 6846041.1 288.727, 218811.93 6846041.19 288.727, 218811.89 6846041.28 288.727, 218811.86 6846041.38 288.727, 218811.83 6846041.48 288.727, 218811.79 6846041.57 288.717, 218811.76 6846041.67 288.717, 218811.72 6846041.76 288.717, 218811.68 6846041.85 288.717, 218811.65 6846041.95 288.717, 218811.62 6846042.04 288.717, 218811.58 6846042.13 288.717, 218811.54 6846042.23 288.717, 218811.51 6846042.32 288.707, 218811.48 6846042.42 288.707, 218811.45 6846042.52 288.707, 218811.4 6846042.61 288.707, 218811.37 6846042.7 288.707, 218811.34 6846042.8 288.707, 218811.31 6846042.89 288.707, 218811.26 6846042.98 288.707, 218811.23 6846043.08 288.697, 218811.2 6846043.17 288.697, 218811.17 6846043.27 288.697, 218811.13 6846043.37 288.697, 218811.09 6846043.46 288.697, 218811.06 6846043.55 288.697, 218811.02 6846043.65 288.697, 218810.99 6846043.74 288.697, 218810.95 6846043.83 288.697, 218810.92 6846043.93 288.687, 218810.88 6846044.02 288.687, 218810.85 6846044.11 288.687, 218810.82 6846044.22 288.687, 218810.78 6846044.31 288.687, 218810.74 6846044.4 288.687, 218810.71 6846044.5 288.687, 218810.68 6846044.59 288.687, 218810.65 6846044.68 288.677, 218810.6 6846044.78 288.677, 218810.57 6846044.87 288.677, 218810.54 6846044.96 288.677, 218810.5 6846045.06 288.677, 218810.46 6846045.16 288.677, 218810.43 6846045.25 288.677, 218810.4 6846045.35 288.677, 218810.36 6846045.44 288.667, 218810.33 6846045.53 288.667, 218810.29 6846045.63 288.667, 218810.26 6846045.72 288.667, 218810.22 6846045.81 288.667, 218810.19 6846045.91 288.667, 218810.16 6846046.01 288.667, 218810.12 6846046.1 288.667, 218810.08 6846046.2 288.657, 218810.05 6846046.29 288.657, 218810.02 6846046.38 288.657, 218809.98 6846046.48 288.657, 218809.94 6846046.57 288.657, 218809.91 6846046.66 288.657, 218809.88 6846046.76 288.657, 218809.83 6846046.85 288.657, 218809.8 6846046.95 288.647, 218809.77 6846047.05 288.647, 218809.74 6846047.14 288.647, 218809.7 6846047.23 288.647, 218809.66 6846047.33 288.647, 218809.63 6846047.42 288.647, 218809.6 6846047.51 288.647, 218809.56 6846047.61 288.647, 218809.53 6846047.7 288.637, 218809.49 6846047.8 288.637, 218809.46 6846047.9 288.637, 218809.42 6846047.99 288.637, 218809.39 6846048.08 288.637, 218809.35 6846048.18 288.637, 218809.31 6846048.27 288.637, 218809.28 6846048.36 288.637, 218809.25 6846048.46 288.637, 218809.22 6846048.55 288.627, 218809.17 6846048.64 288.627, 218809.14 6846048.75 288.627, 218809.11 6846048.84 288.627, 218809.08 6846048.93 288.627, 218809.04 6846049.03 288.627, 218809 6846049.12 288.627, 218808.97 6846049.21 288.627, 218808.94 6846049.31 288.617, 218808.9 6846049.4 288.617, 218808.86 6846049.49 288.617, 218808.83 6846049.59 288.617, 218808.8 6846049.69 288.617, 218808.76 6846049.78 288.617, 218808.73 6846049.88 288.617, 218808.69 6846049.97 288.617, 218808.65 6846050.06 288.607, 218808.62 6846050.16 288.607, 218808.59 6846050.25 288.607, 218808.55 6846050.34 288.607, 218808.51 6846050.44 288.607, 218808.48 6846050.54 288.607, 218808.45 6846050.63 288.607, 218808.42 6846050.73 288.607, 218808.37 6846050.82 288.597, 218808.34 6846050.91 288.597, 218808.31 6846051.01 288.597, 218808.28 6846051.1 288.597, 218808.23 6846051.19 288.597, 218808.2 6846051.29 288.597, 218808.17 6846051.39 288.597, 218808.13 6846051.48 288.597, 218808.1 6846051.58 288.587, 218808.06 6846051.67 288.587, 218808.03 6846051.76 288.587, 218807.99 6846051.86 288.587, 218807.96 6846051.95 288.587, 218807.93 6846052.04 288.587, 218807.89 6846052.14 288.587, 218807.85 6846052.23 288.587, 218807.82 6846052.33 288.577, 218807.79 6846052.43 288.577, 218807.75 6846052.52 288.577, 218807.71 6846052.61 288.577, 218807.68 6846052.71 288.577, 218807.65 6846052.8 288.577, 218807.61 6846052.89 288.577, 218807.57 6846052.99 288.577, 218807.54 6846053.08 288.577, 218807.51 6846053.18 288.567, 218807.47 6846053.28 288.567, 218807.43 6846053.37 288.567, 218807.4 6846053.46 288.567, 218807.37 6846053.56 288.567, 218807.33 6846053.65 288.567, 218807.3 6846053.74 288.567, 218807.26 6846053.84 288.567, 218807.23 6846053.93 288.557, 218807.19 6846054.02 288.557, 218807.16 6846054.13 288.557, 218807.13 6846054.22 288.557, 218807.09 6846054.31 288.557, 218807.05 6846054.41 288.557, 218807.02 6846054.5 288.557, 218806.99 6846054.59 288.557, 218806.94 6846054.69 288.547, 218806.91 6846054.78 288.547, 218806.88 6846054.87 288.547, 218806.85 6846054.98 288.547, 218806.81 6846055.07 288.547, 218806.77 6846055.16 288.547, 218806.74 6846055.26 288.547, 218806.71 6846055.35 288.547, 218806.67 6846055.44 288.537, 218806.63 6846055.54 288.537, 218806.6 6846055.63 288.537, 218806.57 6846055.72 288.537, 218806.53 6846055.83 288.537, 218806.5 6846055.92 288.537, 218806.46 6846056.01 288.537, 218806.42 6846056.11 288.537, 218806.39 6846056.2 288.527, 218806.36 6846056.29 288.527, 218806.32 6846056.39 288.527, 218806.28 6846056.48 288.527, 218806.25 6846056.57 288.527, 218806.22 6846056.67 288.527, 218806.19 6846056.77 288.527, 218806.14 6846056.86 288.527, 218806.11 6846056.96 288.527, 218806.08 6846057.05 288.517, 218806.05 6846057.14 288.517, 218806.01 6846057.24 288.517, 218805.97 6846057.33 288.517, 218805.94 6846057.42 288.517, 218805.9 6846057.52 288.517, 218805.87 6846057.62 288.517, 218805.83 6846057.71 288.517, 218805.8 6846057.81 288.507, 218805.76 6846057.9 288.507, 218805.73 6846057.99 288.507, 218805.7 6846058.09 288.507, 218805.66 6846058.18 288.507, 218805.62 6846058.27 288.507, 218805.59 6846058.37 288.507, 218805.56 6846058.47 288.507, 218805.53 6846058.56 288.497, 218805.48 6846058.66 288.497, 218805.45 6846058.75 288.497, 218805.42 6846058.84 288.497, 218805.38 6846058.94 288.497, 218805.34 6846059.03 288.497, 218805.31 6846059.12 288.497, 218805.28 6846059.22 288.497, 218805.24 6846059.32 288.487, 218805.21 6846059.41 288.487, 218805.17 6846059.51 288.487, 218805.14 6846059.6 288.487, 218805.1 6846059.69 288.487, 218805.07 6846059.79 288.487, 218805.03 6846059.88 288.487, 218805 6846059.97 288.487, 218804.96 6846060.07 288.477, 218804.93 6846060.17 288.477, 218804.9 6846060.26 288.477, 218804.85 6846060.36 288.477, 218804.82 6846060.45 288.477, 218804.79 6846060.54 288.477, 218804.76 6846060.64 288.477, 218804.71 6846060.73 288.477, 218804.68 6846060.82 288.477, 218804.65 6846060.92 288.467, 218804.62 6846061.01 288.467, 218804.58 6846061.11 288.467, 218804.54 6846061.21 288.467, 218804.51 6846061.3 288.467, 218804.48 6846061.39 288.467, 218804.44 6846061.49 288.467, 218804.41 6846061.58 288.467, 218804.37 6846061.67 288.457, 218804.33 6846061.77 288.457, 218804.3 6846061.86 288.457, 218804.27 6846061.96 288.457, 218804.23 6846062.06 288.457, 218804.19 6846062.15 288.457, 218804.16 6846062.24 288.457, 218804.13 6846062.34 288.457, 218804.1 6846062.43 288.447, 218804.05 6846062.52 288.447, 218804.02 6846062.62 288.447, 218803.99 6846062.71 288.447, 218803.95 6846062.81 288.447, 218803.92 6846062.91 288.447, 218803.88 6846063 288.447, 218803.85 6846063.09 288.447, 218803.81 6846063.19 288.437, 218803.78 6846063.28 288.437, 218803.74 6846063.37 288.437, 218803.71 6846063.47 288.437, 218803.67 6846063.56 288.437, 218803.64 6846063.66 288.437, 218803.61 6846063.76 288.437, 218803.57 6846063.85 288.437, 218803.53 6846063.94 288.437, 218803.5 6846064.04 288.427, 218803.47 6846064.13 288.427, 218803.42 6846064.22 288.427, 218803.39 6846064.32 288.427, 218803.36 6846064.41 288.427, 218803.33 6846064.51 288.427, 218803.29 6846064.61 288.427, 218803.25 6846064.7 288.427, 218803.22 6846064.79 288.417, 218803.19 6846064.89 288.417, 218803.15 6846064.98 288.417, 218803.11 6846065.07 288.417, 218803.08 6846065.17 288.417, 218803.05 6846065.26 288.417, 218803.01 6846065.36 288.417, 218802.98 6846065.46 288.417, 218802.94 6846065.55 288.407, 218802.9 6846065.64 288.407, 218802.87 6846065.74 288.407, 218802.84 6846065.83 288.407, 218802.81 6846065.92 288.407, 218802.76 6846066.02 288.407, 218802.73 6846066.11 288.407, 218802.7 6846066.21 288.407, 218802.67 6846066.31 288.397, 218802.62 6846066.4 288.397, 218802.59 6846066.49 288.397, 218802.56 6846066.59 288.397, 218802.53 6846066.68 288.397, 218802.49 6846066.77 288.397, 218802.45 6846066.87 288.397, 218802.42 6846066.96 288.397, 218802.38 6846067.06 288.397, 218802.35 6846067.16 288.387, 218802.31 6846067.25 288.387, 218802.28 6846067.34 288.387, 218802.24 6846067.44 288.387, 218802.21 6846067.53 288.387, 218802.18 6846067.62 288.387, 218802.14 6846067.72 288.387, 218802.1 6846067.81 288.387, 218802.07 6846067.91 288.377, 218802.04 6846068.01 288.377, 218802 6846068.1 288.377, 218801.96 6846068.19 288.377, 218801.93 6846068.29 288.377, 218801.9 6846068.38 288.377, 218801.86 6846068.47 288.377, 218801.82 6846068.57 288.377, 218801.79 6846068.66 288.367, 218801.76 6846068.76 288.367, 218801.72 6846068.86 288.367, 218801.69 6846068.95 288.367, 218801.65 6846069.04 288.367, 218801.62 6846069.14 288.367, 218801.58 6846069.23 288.367, 218801.55 6846069.32 288.367, 218801.51 6846069.42 288.357, 218801.47 6846069.51 288.357, 218801.44 6846069.61 288.357, 218801.41 6846069.71 288.357, 218801.38 6846069.8 288.357, 218801.33 6846069.89 288.357, 218801.3 6846069.99 288.357, 218801.27 6846070.08 288.357, 218801.24 6846070.17 288.357, 218801.19 6846070.27 288.347, 218801.16 6846070.37 288.347, 218801.13 6846070.46 288.347, 218801.09 6846070.56 288.347, 218801.06 6846070.65 288.347, 218801.02 6846070.74 288.347, 218800.99 6846070.84 288.347, 218800.95 6846070.93 288.347, 218800.92 6846071.02 288.337, 218800.89 6846071.12 288.337, 218800.85 6846071.22 288.337, 218800.81 6846071.31 288.337, 218800.78 6846071.41 288.337, 218800.75 6846071.5 288.337, 218800.71 6846071.59 288.337, 218800.67 6846071.69 288.337, 218800.64 6846071.78 288.327, 218800.61 6846071.87 288.327, 218800.57 6846071.97 288.327, 218800.53 6846072.07 288.327, 218800.5 6846072.16 288.327, 218800.47 6846072.26 288.327, 218800.43 6846072.35 288.327, 218800.4 6846072.44 288.327, 218800.36 6846072.54 288.317, 218800.33 6846072.63 288.317, 218800.29 6846072.72 288.317, 218800.26 6846072.82 288.317, 218800.22 6846072.92 288.317, 218800.19 6846073.01 288.317, 218800.15 6846073.11 288.317, 218800.12 6846073.2 288.317, 218800.09 6846073.29 288.317, 218800.04 6846073.39 288.307, 218800.01 6846073.48 288.307, 218799.98 6846073.57 288.307, 218799.95 6846073.67 288.307, 218799.91 6846073.77 288.307, 218799.87 6846073.86 288.307, 218799.84 6846073.96 288.307, 218799.81 6846074.05 288.307, 218799.77 6846074.14 288.297, 218799.73 6846074.24 288.297, 218799.7 6846074.33 288.297, 218799.66 6846074.42 288.297, 218799.63 6846074.53 288.297, 218799.6 6846074.62 288.297, 218799.56 6846074.71 288.297, 218799.52 6846074.81 288.297, 218799.49 6846074.9 288.287, 218799.46 6846074.99 288.287, 218799.42 6846075.09 288.287, 218799.38 6846075.18 288.287, 218799.35 6846075.27 288.287, 218799.32 6846075.38 288.287, 218799.28 6846075.47 288.287, 218799.24 6846075.56 288.287, 218799.21 6846075.66 288.277, 218799.18 6846075.75 288.277, 218799.14 6846075.84 288.277, 218799.1 6846075.94 288.277, 218799.07 6846076.03 288.277, 218799.04 6846076.12 288.277, 218799 6846076.23 288.277, 218798.97 6846076.32 288.277, 218798.93 6846076.41 288.277, 218798.9 6846076.51 288.267, 218798.86 6846076.6 288.267, 218798.83 6846076.69 288.267, 218798.8 6846076.79 288.267, 218798.75 6846076.88 288.267, 218798.72 6846076.98 288.267, 218798.69 6846077.08 288.267, 218798.66 6846077.17 288.267, 218798.61 6846077.26 288.257, 218798.58 6846077.36 288.257, 218798.55 6846077.45 288.257, 218798.52 6846077.54 288.257, 218798.48 6846077.64 288.257, 218798.44 6846077.73 288.257, 218798.41 6846077.83 288.257, 218798.37 6846077.93 288.257, 218798.34 6846078.02 288.247, 218798.31 6846078.11 288.247, 218798.27 6846078.21 288.247, 218798.23 6846078.3 288.247, 218798.2 6846078.39 288.247, 218798.17 6846078.49 288.247, 218798.13 6846078.58 288.247, 218798.09 6846078.68 288.247, 218798.06 6846078.78 288.247, 218798.03 6846078.87 288.237, 218797.99 6846078.96 288.237, 218797.95 6846079.06 288.237, 218797.92 6846079.15 288.237, 218797.89 6846079.24 288.237, 218797.85 6846079.34 288.237, 218797.81 6846079.44 288.237, 218797.78 6846079.53 288.237, 218797.75 6846079.63 288.227, 218797.71 6846079.72 288.227, 218797.68 6846079.81 288.227, 218797.64 6846079.91 288.227, 218797.61 6846080 288.227, 218797.57 6846080.09 288.227, 218797.54 6846080.19 288.227, 218797.51 6846080.29 288.227, 218797.46 6846080.38 288.217, 218797.43 6846080.48 288.217, 218797.4 6846080.57 288.217, 218797.37 6846080.66 288.217, 218797.32 6846080.76 288.217, 218797.29 6846080.85 288.217, 218797.26 6846080.94 288.217, 218797.23 6846081.05 288.217, 218797.19 6846081.14 288.217, 218797.15 6846081.23 288.207, 218797.12 6846081.33 288.207, 218797.08 6846081.42 288.207, 218797.05 6846081.51 288.207, 218797.01 6846081.61 288.207, 218796.98 6846081.7 288.207, 218796.94 6846081.79 288.207, 218796.91 6846081.9 288.207, 218796.88 6846081.99 288.197, 218796.84 6846082.08 288.197, 218796.8 6846082.18 288.197, 218796.77 6846082.27 288.197, 218796.74 6846082.36 288.197, 218796.69 6846082.46 288.197, 218796.66 6846082.55 288.197, 218796.63 6846082.65 288.197, 218796.6 6846082.75 288.187, 218796.56 6846082.84 288.187, 218796.52 6846082.93 288.187, 218796.49 6846083.03 288.187, 218796.46 6846083.12 288.187, 218796.42 6846083.21 288.187, 218796.39 6846083.31 288.187, 218796.35 6846083.4 288.187, 218796.31 6846083.5 288.187, 218796.28 6846083.6 288.177, 218796.25 6846083.69 288.177, 218796.21 6846083.78 288.177, 218796.17 6846083.88 288.177, 218796.14 6846083.97 288.177, 218796.11 6846084.06 288.177, 218796.08 6846084.16 288.177, 218796.03 6846084.26 288.177, 218796 6846084.35 288.167, 218795.97 6846084.45 288.167, 218795.94 6846084.54 288.167, 218795.9 6846084.63 288.167, 218795.86 6846084.73 288.167, 218795.83 6846084.82 288.167, 218795.79 6846084.91 288.167, 218795.76 6846085.01 288.167, 218795.72 6846085.11 288.157, 218795.69 6846085.2 288.157, 218795.65 6846085.3 288.157, 218795.62 6846085.39 288.157, 218795.59 6846085.48 288.157, 218795.55 6846085.58 288.157, 218795.51 6846085.67 288.157, 218795.48 6846085.76 288.157, 218795.45 6846085.87 288.157, 218795.41 6846085.96 288.147, 218795.37 6846086.05 288.147, 218795.34 6846086.15 288.147, 218795.31 6846086.24 288.147, 218795.27 6846086.33 288.147, 218795.23 6846086.43 288.147, 218795.2 6846086.52 288.147, 218795.17 6846086.61 288.147, 218795.13 6846086.72 288.137, 218795.1 6846086.81 288.137, 218795.06 6846086.9 288.137, 218795.02 6846087 288.137, 218794.99 6846087.09 288.137, 218794.96 6846087.18 288.137, 218794.92 6846087.28 288.137, 218794.88 6846087.37 288.137, 218794.85 6846087.47 288.127, 218794.82 6846087.57 288.127, 218794.79 6846087.66 288.127, 218794.74 6846087.75 288.127, 218794.71 6846087.85 288.127, 218794.68 6846087.94 288.127, 218794.64 6846088.03 288.127, 218794.6 6846088.13 288.127, 218794.57 6846088.23 288.127, 218794.54 6846088.32 288.117, 218794.5 6846088.42 288.117, 218794.47 6846088.51 288.117, 218794.43 6846088.6 288.117, 218794.4 6846088.7 288.117, 218794.36 6846088.79 288.117, 218794.33 6846088.88 288.117, 218794.3 6846088.98 288.117, 218794.25 6846089.08 288.107, 218794.22 6846089.17 288.107, 218794.19 6846089.27 288.107, 218794.16 6846089.36 288.107, 218794.11 6846089.45 288.107, 218794.08 6846089.55 288.107, 218794.05 6846089.64 288.107, 218794.02 6846089.73 288.107, 218793.98 6846089.84 288.097, 218793.94 6846089.93 288.097, 218793.91 6846090.02 288.097, 218793.87 6846090.12 288.097, 218793.84 6846090.21 288.097, 218793.81 6846090.3 288.097, 218793.77 6846090.4 288.097, 218793.73 6846090.49 288.097, 218793.7 6846090.59 288.097, 218793.67 6846090.69 288.087, 218793.63 6846090.78 288.087, 218793.59 6846090.87 288.087, 218793.56 6846090.97 288.087, 218793.53 6846091.06 288.087, 218793.49 6846091.15 288.087, 218793.45 6846091.25 288.087, 218793.42 6846091.34 288.087, 218793.39 6846091.44 288.077, 218793.35 6846091.54 288.077, 218793.31 6846091.63 288.077, 218793.28 6846091.72 288.077, 218793.25 6846091.82 288.077, 218793.21 6846091.91 288.077, 218793.18 6846092 288.077, 218793.14 6846092.1 288.077, 218793.1 6846092.2 288.067, 218793.07 6846092.29 288.067, 218793.04 6846092.39 288.067, 218793.01 6846092.48 288.067, 218792.96 6846092.57 288.067, 218792.93 6846092.67 288.067, 218792.9 6846092.76 288.067, 218792.87 6846092.85 288.067, 218792.82 6846092.96 288.067, 218792.79 6846093.05 288.057, 218792.76 6846093.14 288.057, 218792.72 6846093.24 288.057, 218792.69 6846093.33 288.057, 218792.65 6846093.42 288.057, 218792.62 6846093.52 288.057, 218792.58 6846093.61 288.057, 218792.55 6846093.71 288.057, 218792.52 6846093.81 288.047, 218792.48 6846093.9 288.047, 218792.44 6846093.99 288.047, 218792.41 6846094.09 288.047, 218792.38 6846094.18 288.047, 218792.33 6846094.27 288.047, 218792.3 6846094.37 288.047, 218792.27 6846094.47 288.047, 218792.24 6846094.56 288.037, 218792.2 6846094.66 288.037, 218792.16 6846094.75 288.037, 218792.13 6846094.84 288.037, 218792.1 6846094.94 288.037, 218792.06 6846095.03 288.037, 218792.02 6846095.12 288.037, 218791.99 6846095.22 288.037, 218791.95 6846095.32 288.037, 218791.92 6846095.41 288.027, 218791.89 6846095.51 288.027, 218791.85 6846095.6 288.027, 218791.81 6846095.69 288.027, 218791.8 6846095.75 288.027, 218791.76 6846095.86 288.027, 218791.7 6846095.97 288.027, 218791.67 6846096.08 288.027, 218791.63 6846096.17 288.017, 218791.6 6846096.26 288.017, 218791.56 6846096.36 288.017, 218791.51 6846096.44 288.017, 218791.47 6846096.54 288.017, 218791.43 6846096.63 288.017, 218791.39 6846096.72 288.017, 218791.34 6846096.82 288.017, 218791.29 6846096.9 288.017, 218791.25 6846097 288.017, 218791.2 6846097.09 288.017, 218791.14 6846097.18 288.007, 218791.1 6846097.27 288.007, 218791.05 6846097.36 288.007, 218791 6846097.45 288.007, 218790.93 6846097.53 288.007, 218790.88 6846097.63 288.007, 218790.83 6846097.71 288.007, 218790.77 6846097.81 288.007, 218790.7 6846097.9 288.007, 218790.64 6846097.98 288.007, 218790.59 6846098.07 288.007, 218790.51 6846098.16 288.007, 218790.45 6846098.25 288.007, 218790.39 6846098.33 288.007, 218790.33 6846098.42 288.007, 218790.25 6846098.51 288.007, 218790.18 6846098.59 288.007, 218790.11 6846098.68 288.007, 218790.03 6846098.76 288.007, 218789.96 6846098.84 288.007, 218789.89 6846098.93 288.007, 218789.8 6846099.02 288.007, 218789.73 6846099.09 288.007, 218789.65 6846099.18 288.007, 218789.56 6846099.26 288.007, 218789.48 6846099.34 288.007, 218789.4 6846099.42 288.007, 218789.3 6846099.5 288.007, 218789.22 6846099.59 288.007, 218789.13 6846099.67 288.007, 218789.03 6846099.74 288.007, 218788.94 6846099.82 288.007, 218788.84 6846099.9 288.007, 218788.74 6846099.98 288.007, 218788.64 6846100.06 288.017, 218788.53 6846100.14 288.017, 218788.43 6846100.22 288.017, 218788.32 6846100.29 288.017, 218788.21 6846100.37 288.017, 218788.1 6846100.44 288.017, 218787.98 6846100.52 288.017, 218787.86 6846100.59 288.017, 218787.74 6846100.66 288.017, 218787.61 6846100.73 288.027, 218787.48 6846100.8 288.027, 218787.35 6846100.87 288.027, 218787.22 6846100.94 288.027, 218787.08 6846101.01 288.027, 218786.94 6846101.08 288.037, 218786.79 6846101.14 288.037, 218786.64 6846101.21 288.037, 218786.48 6846101.28 288.037, 218786.32 6846101.34 288.047, 218786.15 6846101.39 288.047, 218785.97 6846101.46 288.047, 218785.8 6846101.51 288.057, 218785.61 6846101.57 288.057, 218785.42 6846101.63 288.057, 218785.21 6846101.67 288.067, 218784.99 6846101.72 288.067, 218784.77 6846101.77 288.077, 218784.52 6846101.81 288.077, 218784.26 6846101.85 288.087, 218783.98 6846101.88 288.087, 218783.67 6846101.91 288.097, 218783.32 6846101.93 288.107, 218782.92 6846101.93 288.117, 218782.43 6846101.9 288.127, 218781.71 6846101.83 288.147, 218779.82 6846101.4 288.207, 218779.79 6846101.55 288.207, 218779.76 6846101.64 288.207, 218779.74 6846101.75 288.197, 218779.71 6846101.84 288.197, 218779.69 6846101.94 288.197, 218779.67 6846102.03 288.197, 218779.65 6846102.14 288.197, 218779.61 6846102.23 288.197, 218779.59 6846102.33 288.197, 218779.57 6846102.42 288.187, 218779.55 6846102.52 288.187, 218779.52 6846102.62 288.187, 218779.49 6846102.71 288.187, 218779.47 6846102.81 288.187, 218779.45 6846102.91 288.187, 218779.42 6846103.01 288.177, 218779.4 6846103.1 288.177, 218779.37 6846103.2 288.177, 218779.34 6846103.3 288.177, 218779.32 6846103.4 288.177, 218779.3 6846103.49 288.177, 218779.28 6846103.59 288.177, 218779.24 6846103.69 288.167, 218779.22 6846103.79 288.167, 218779.2 6846103.88 288.167, 218779.18 6846103.98 288.167, 218779.15 6846104.08 288.167, 218779.13 6846104.18 288.167, 218779.1 6846104.27 288.167, 218779.08 6846104.37 288.157, 218779.05 6846104.47 288.157, 218779.03 6846104.57 288.157, 218779.01 6846104.66 288.157, 218778.97 6846104.76 288.157, 218778.95 6846104.86 288.157, 218778.93 6846104.96 288.147, 218778.91 6846105.05 288.147, 218778.88 6846105.15 288.147, 218778.85 6846105.25 288.147, 218778.83 6846105.35 288.147, 218778.81 6846105.44 288.147, 218778.78 6846105.54 288.147, 218778.76 6846105.64 288.137, 218778.74 6846105.74 288.137, 218778.71 6846105.83 288.137, 218778.68 6846105.93 288.137, 218778.66 6846106.03 288.137, 218778.64 6846106.13 288.137, 218778.61 6846106.22 288.127, 218778.58 6846106.32 288.127, 218778.56 6846106.42 288.127, 218778.54 6846106.52 288.127, 218778.51 6846106.61 288.127, 218778.49 6846106.71 288.127, 218778.46 6846106.81 288.127, 218778.44 6846106.91 288.117, 218778.41 6846107 288.117, 218778.39 6846107.1 288.117, 218778.37 6846107.2 288.117, 218783.19 6846108.44 287.967, 218784.12 6846108.75 287.937, 218784.7 6846109 287.917, 218785 6846109.14 287.907, 218785.04 6846109.17 287.907, 218785.11 6846109.2 287.897, 218785.45 6846109.4 287.887, 218785.74 6846109.57 287.877, 218785.99 6846109.73 287.867, 218786.22 6846109.89 287.857, 218786.43 6846110.05 287.847, 218786.61 6846110.2 287.837, 218786.8 6846110.35 287.837, 218786.96 6846110.49 287.827, 218787.11 6846110.64 287.817, 218787.21 6846110.73 287.817, 218787.26 6846110.78 287.817, 218787.4 6846110.92 287.807, 218787.52 6846111.05 287.797, 218787.65 6846111.19 287.797, 218787.76 6846111.32 287.787, 218787.87 6846111.45 287.777, 218787.99 6846111.58 287.777, 218788.09 6846111.71 287.767, 218788.18 6846111.84 287.767, 218788.27 6846111.96 287.757, 218788.36 6846112.09 287.757, 218788.45 6846112.21 287.747, 218788.53 6846112.34 287.747, 218788.61 6846112.46 287.737, 218788.68 6846112.59 287.737, 218788.75 6846112.7 287.737, 218788.82 6846112.83 287.727, 218788.89 6846112.94 287.727, 218788.96 6846113.07 287.717, 218789.02 6846113.18 287.717, 218789.08 6846113.3 287.707, 218789.14 6846113.42 287.707, 218789.19 6846113.54 287.707, 218789.24 6846113.65 287.697, 218789.29 6846113.77 287.697, 218789.34 6846113.89 287.687, 218789.39 6846113.99 287.687, 218789.43 6846114.11 287.687, 218789.47 6846114.23 287.677, 218789.51 6846114.34 287.677, 218789.55 6846114.45 287.677, 218789.59 6846114.57 287.667, 218789.61 6846114.68 287.667, 218789.65 6846114.78 287.667, 218789.68 6846114.9 287.657, 218789.71 6846115.01 287.657, 218789.74 6846115.12 287.657, 218789.77 6846115.23 287.647, 218789.79 6846115.34 287.647, 218789.82 6846115.45 287.647, 218789.84 6846115.56 287.647, 218789.86 6846115.67 287.637, 218789.88 6846115.78 287.637, 218789.9 6846115.89 287.637, 218789.92 6846115.99 287.627, 218789.94 6846116.1 287.627, 218789.94 6846116.21 287.627, 218789.96 6846116.31 287.627, 218789.97 6846116.41 287.617, 218789.98 6846116.52 287.617, 218789.99 6846116.63 287.617, 218790 6846116.73 287.617, 218790.01 6846116.84 287.607, 218790.01 6846116.94 287.607, 218790.02 6846117.05 287.607, 218790.02 6846117.15 287.607, 218790.02 6846117.25 287.597, 218790.02 6846117.36 287.597, 218790.02 6846117.46 287.597, 218790.02 6846117.56 287.597, 218790.02 6846117.67 287.587, 218790.02 6846117.77 287.587, 218790.01 6846117.88 287.587, 218790 6846117.98 287.587, 218789.99 6846118.08 287.587, 218789.98 6846118.18 287.577, 218789.98 6846118.28 287.577, 218789.97 6846118.38 287.577, 218789.96 6846118.47 287.577, 218789.94 6846118.58 287.577, 218789.93 6846118.68 287.567, 218789.91 6846118.78 287.567, 218789.91 6846118.84 287.567, 218789.89 6846118.94 287.567, 218789.87 6846119.07 287.567, 218789.85 6846119.18 287.567, 218789.83 6846119.28 287.557, 218789.82 6846119.38 287.557, 218789.8 6846119.47 287.557, 218789.79 6846119.57 287.557, 218789.77 6846119.67 287.557, 218789.76 6846119.78 287.557, 218789.74 6846119.87 287.547, 218789.72 6846119.97 287.547, 218789.71 6846120.07 287.547, 218789.69 6846120.17 287.547, 218789.68 6846120.26 287.547, 218789.66 6846120.37 287.537, 218789.64 6846120.47 287.537, 218789.63 6846120.57 287.537, 218789.61 6846120.66 287.537, 218789.6 6846120.76 287.537, 218789.58 6846120.87 287.537, 218789.56 6846120.97 287.527, 218789.55 6846121.06 287.527, 218789.53 6846121.16 287.527, 218789.52 6846121.26 287.527, 218789.5 6846121.36 287.527, 218789.49 6846121.46 287.527, 218789.47 6846121.56 287.517, 218789.45 6846121.66 287.517, 218789.44 6846121.76 287.517, 218789.42 6846121.85 287.517, 218789.41 6846121.95 287.517, 218789.39 6846122.06 287.507, 218789.37 6846122.16 287.507, 218789.36 6846122.25 287.507, 218789.34 6846122.35 287.507, 218789.33 6846122.45 287.507, 218789.31 6846122.56 287.507, 218789.3 6846122.65 287.497, 218789.28 6846122.75 287.497, 218789.26 6846122.85 287.497, 218789.25 6846122.95 287.497, 218789.23 6846123.04 287.497, 218789.22 6846123.15 287.497, 218789.2 6846123.25 287.487, 218789.18 6846123.35 287.487, 218789.17 6846123.44 287.487, 218789.15 6846123.54 287.487, 218789.14 6846123.64 287.487, 218789.12 6846123.75 287.477, 218789.11 6846123.84 287.477, 218789.09 6846123.94 287.477, 218789.07 6846124.04 287.477, 218789.06 6846124.14 287.477, 218789.04 6846124.23 287.477, 218789.03 6846124.34 287.467, 218789.01 6846124.44 287.467, 218788.99 6846124.54 287.467, 218788.98 6846124.63 287.467, 218788.96 6846124.73 287.467, 218788.95 6846124.84 287.467, 218788.93 6846124.94 287.457, 218788.92 6846125.03 287.457, 218788.9 6846125.13 287.457, 218788.88 6846125.23 287.457, 218788.87 6846125.33 287.457, 218788.85 6846125.43 287.447, 218788.84 6846125.53 287.447, 218788.82 6846125.63 287.447, 218788.8 6846125.73 287.447, 218788.79 6846125.82 287.447, 218788.77 6846125.92 287.447, 218788.76 6846126.03 287.437, 218788.74 6846126.13 287.437, 218788.72 6846126.22 287.437, 218788.71 6846126.32 287.437, 218788.69 6846126.42 287.437, 218788.68 6846126.52 287.437, 218788.66 6846126.62 287.427, 218788.65 6846126.72 287.427, 218788.63 6846126.82 287.427, 218788.61 6846126.92 287.427, 218788.6 6846127.01 287.427, 218788.58 6846127.12 287.417, 218788.57 6846127.22 287.417, 218788.55 6846127.32 287.417, 218788.53 6846127.41 287.417, 218788.52 6846127.51 287.417, 218788.5 6846127.61 287.417, 218788.49 6846127.72 287.407, 218788.47 6846127.81 287.407, 218788.46 6846127.91 287.407, 218788.44 6846128.01 287.407, 218788.42 6846128.11 287.407, 218788.41 6846128.21 287.407, 218788.39 6846128.31 287.397, 218788.38 6846128.41 287.397, 218788.36 6846128.51 287.397, 218788.34 6846128.61 287.397, 218788.33 6846128.7 287.397, 218788.31 6846128.81 287.387, 218788.3 6846128.91 287.387, 218788.28 6846129.01 287.387, 218788.27 6846129.1 287.387, 218788.25 6846129.2 287.387, 218788.23 6846129.3 287.387, 218788.22 6846129.41 287.377, 218788.2 6846129.5 287.377, 218788.19 6846129.6 287.377, 218788.17 6846129.7 287.377, 218788.15 6846129.8 287.377, 218788.14 6846129.89 287.377, 218788.12 6846130 287.367, 218788.11 6846130.1 287.367, 218788.09 6846130.2 287.367, 218788.08 6846130.29 287.367, 218788.06 6846130.39 287.367, 218788.04 6846130.49 287.357, 218788.03 6846130.6 287.357, 218788.01 6846130.69 287.357, 218788 6846130.79 287.357, 218787.98 6846130.89 287.357, 218787.96 6846130.99 287.357, 218787.95 6846131.08 287.347, 218787.93 6846131.19 287.347, 218787.92 6846131.29 287.347, 218787.9 6846131.39 287.347, 218787.89 6846131.48 287.347, 218787.87 6846131.58 287.347, 218787.85 6846131.69 287.337, 218787.84 6846131.79 287.337, 218787.82 6846131.88 287.337, 218787.81 6846131.98 287.337, 218787.79 6846132.08 287.337, 218787.77 6846132.18 287.327, 218787.76 6846132.28 287.327, 218787.74 6846132.38 287.327, 218787.73 6846132.48 287.327, 218787.71 6846132.58 287.327, 218787.7 6846132.67 287.327, 218787.68 6846132.77 287.317, 218787.66 6846132.88 287.317, 218787.65 6846132.98 287.317, 218787.63 6846133.07 287.317, 218787.62 6846133.17 287.317, 218787.6 6846133.27 287.317, 218787.58 6846133.38 287.307, 218787.57 6846133.47 287.307, 218787.55 6846133.57 287.307, 218787.54 6846133.67 287.307, 218787.52 6846133.77 287.307, 218787.5 6846133.86 287.297, 218787.49 6846133.97 287.297, 218787.47 6846134.07 287.297, 218787.46 6846134.17 287.297, 218787.44 6846134.26 287.297, 218787.43 6846134.36 287.297, 218787.41 6846134.47 287.287, 218787.39 6846134.57 287.287, 218787.38 6846134.66 287.287, 218787.36 6846134.76 287.287, 218787.35 6846134.86 287.287, 218787.33 6846134.96 287.287, 218787.31 6846135.06 287.277, 218787.3 6846135.16 287.277, 218787.28 6846135.26 287.277, 218787.27 6846135.36 287.277, 218787.25 6846135.45 287.277, 218787.24 6846135.55 287.267, 218787.22 6846135.66 287.267, 218787.2 6846135.76 287.267, 218787.19 6846135.85 287.267, 218787.17 6846135.95 287.267, 218787.16 6846136.05 287.267, 218787.14 6846136.15 287.257, 218787.12 6846136.25 287.257, 218787.11 6846136.35 287.257, 218787.09 6846136.45 287.257, 218787.08 6846136.55 287.257, 218787.06 6846136.64 287.257, 218787.05 6846136.74 287.247, 218787.03 6846136.85 287.247, 218787.01 6846136.94 287.247, 218787 6846137.04 287.247, 218786.98 6846137.14 287.247, 218786.97 6846137.24 287.237, 218786.95 6846137.34 287.237, 218786.93 6846137.44 287.237, 218786.92 6846137.54 287.237, 218786.9 6846137.64 287.237, 218786.89 6846137.73 287.237, 218786.87 6846137.83 287.227, 218786.86 6846137.94 287.227, 218786.84 6846138.04 287.227, 218786.82 6846138.13 287.227, 218786.81 6846138.23 287.227, 218786.79 6846138.33 287.227, 218786.78 6846138.43 287.217, 218786.76 6846138.53 287.217, 218786.74 6846138.63 287.217, 218786.73 6846138.73 287.217, 218786.71 6846138.83 287.217, 218786.7 6846138.92 287.217, 218786.68 6846139.03 287.207, 218786.67 6846139.13 287.207, 218786.65 6846139.23 287.207, 218786.63 6846139.32 287.207, 218786.62 6846139.42 287.207, 218786.6 6846139.52 287.197, 218786.59 6846139.63 287.197, 218786.56 6846139.72 287.197, 218786.55 6846139.82 287.197, 218786.54 6846139.92 287.197, 218786.52 6846140.02 287.197, 218786.51 6846140.11 287.187, 218786.49 6846140.22 287.187, 218786.48 6846140.32 287.187, 218786.46 6846140.42 287.187, 218786.44 6846140.51 287.187, 218786.43 6846140.61 287.187, 218786.41 6846140.72 287.177, 218786.4 6846140.82 287.177, 218786.38 6846140.91 287.177, 218786.36 6846141.01 287.177, 218786.35 6846141.11 287.177, 218786.33 6846141.21 287.167, 218786.32 6846141.31 287.167, 218786.17 6846142.19 287.157)</t>
  </si>
  <si>
    <t>POINT (218793.877751588 6846092.429996119)</t>
  </si>
  <si>
    <t>['EV6 S48D1 m5233-5323']</t>
  </si>
  <si>
    <t>LINESTRING Z (218956.57 6845587.35 295.897, 218952.52 6845595.63 295.787, 218948.13 6845604.68 295.667, 218943.73 6845613.75 295.547, 218943.37 6845614.52 295.537, 218940.23 6845623.14 295.397, 218936.82 6845632.56 295.247, 218933.43 6845641.99 295.097, 218933.15 6845642.77 295.087, 218930.93 6845651.73 294.917, 218928.52 6845661.5 294.737, 218926.13 6845671.28 294.557, 218925.92 6845672.11 294.547)</t>
  </si>
  <si>
    <t>POINT (218939.2438693698 6845629.006155768)</t>
  </si>
  <si>
    <t>['EV6 S48D1 m4233-4323']</t>
  </si>
  <si>
    <t>LINESTRING Z (219382.23 6844682.21 310.976, 219377.24 6844689.92 310.866, 219375.19 6844693.08 310.826, 219371.77 6844698.35 310.746, 219366.3 6844706.79 310.626, 219365.83 6844707.51 310.616, 219361.64 6844715.65 310.476, 219357.07 6844724.54 310.326, 219352.49 6844733.43 310.176, 219352.11 6844734.17 310.166, 219348.73 6844742.75 309.996, 219345.03 6844752.11 309.816, 219341.35 6844761.46 309.636, 219341.05 6844762.21 309.626)</t>
  </si>
  <si>
    <t>POINT (219359.8642390936 6844721.295940764)</t>
  </si>
  <si>
    <t>['EV6 S48D1 m3992-4082']</t>
  </si>
  <si>
    <t>LINESTRING Z (219492.15 6844468.67 314.596, 219487.14 6844476.4 314.486, 219481.67 6844484.84 314.366, 219476.2 6844493.28 314.246, 219475.73 6844493.99 314.236, 219471.54 6844502.13 314.096, 219466.97 6844511.03 313.946, 219462.39 6844519.93 313.796, 219462 6844520.68 313.786, 219458.62 6844529.25 313.616, 219454.93 6844538.6 313.436, 219451.25 6844547.95 313.256, 219450.93 6844548.74 313.246)</t>
  </si>
  <si>
    <t>POINT (219469.76234403907 6844507.789672287)</t>
  </si>
  <si>
    <t>['EV39 S75D1 m1108-1157']</t>
  </si>
  <si>
    <t>LINESTRING Z (-31207.92 6747849.24 77.885, -31192.84 6747851.88 78.455, -31169.65 6747859.28 79.155, -31162.1 6747865.02 79.235)</t>
  </si>
  <si>
    <t>POINT (-31184.24022265435 6747855.284049814)</t>
  </si>
  <si>
    <t>2017-06-23</t>
  </si>
  <si>
    <t>['FV3204 S1D1 m601-658']</t>
  </si>
  <si>
    <t>LINESTRING Z (242544.159749177 6593367.47569768 -999999, 242553.982773449 6593383.11977338 -999999, 242562.168627009 6593401.67437478 -999999, 242568.080632358 6593417.68226619 -999999)</t>
  </si>
  <si>
    <t>POINT (242557.25076609882 6593392.021454395)</t>
  </si>
  <si>
    <t>2016-03-16</t>
  </si>
  <si>
    <t>[1284]</t>
  </si>
  <si>
    <t>['FV1284 S4D1 m1075-1118']</t>
  </si>
  <si>
    <t>LINESTRING Z (292003.349449545 6630365.21558861 -999999, 291999.139895951 6630362.38058312 -999999, 291993.641703502 6630354.30511296 -999999, 291987.971692539 6630350.86874268 -999999, 291983.074864888 6630349.66601309 -999999, 291978.435765009 6630350.09555937 -999999, 291974.226211415 6630352.2432908 -999999, 291969.071655994 6630357.8273925 -999999, 291966.752106054 6630363.32558495 -999999, 291964.088919087 6630366.67604598 -999999, 291961.253913605 6630369.4251422 -999999)</t>
  </si>
  <si>
    <t>POINT (291981.5113389716 6630357.138405782)</t>
  </si>
  <si>
    <t>2017-03-08</t>
  </si>
  <si>
    <t>2025-11-22T09:18:52Z</t>
  </si>
  <si>
    <t>[99968, 166]</t>
  </si>
  <si>
    <t>['FV166 S1D1 m1513-1573', 'PV99968 S1D1 m0']</t>
  </si>
  <si>
    <t>LINESTRING Z (255375.790039063 6647831.47998047 14.56, 255380.530029297 6647864.45996094 14.82, 255384.319946289 6647890.88000488 15.01)</t>
  </si>
  <si>
    <t>POINT (255380.0569668011 6647861.1797092175)</t>
  </si>
  <si>
    <t>[402]</t>
  </si>
  <si>
    <t>['FV402 S4D1 m5538-5585']</t>
  </si>
  <si>
    <t>LINESTRING Z (104521.339 6484831.214 46.174, 104521.091 6484831.136 46.164, 104519.983 6484831.677 46.134, 104519.457 6484831.875 46.164, 104519.197 6484832.341 46.184, 104515.644 6484835.355 46.164, 104512.502 6484838.01 46.174, 104511.784 6484838.748 46.174, 104509.745 6484841.144 46.184, 104503.407 6484849.456 46.254, 104500.354 6484853.552 46.284, 104499.279 6484855.036 46.294, 104498.693 6484855.904 46.304, 104497.718 6484857.711 46.324, 104495.672 6484861.153 46.394, 104493.777 6484864.592 46.454, 104493.38 6484865.1 46.444, 104492.995 6484865.627 46.454, 104491.786 6484869.317 46.554)</t>
  </si>
  <si>
    <t>POINT (104504.86010281465 6484848.792093405)</t>
  </si>
  <si>
    <t>['FV402 S4D1 m4924-4978']</t>
  </si>
  <si>
    <t>LINESTRING Z (104837.822 6484343.551 56.694, 104835.875 6484345.858 56.624, 104833.159 6484348.887 56.514, 104831.719 6484350.555 56.474, 104830.53 6484352.11 56.414, 104829.9 6484352.941 56.384, 104828.773 6484354.5 56.404, 104828.449 6484355.495 56.304, 104826.972 6484359.218 56.144, 104824.697 6484364.934 55.914, 104824.034 6484366.854 55.834, 104822.855 6484370.651 55.684, 104821.273 6484376.697 55.434, 104820.687 6484379.586 55.304, 104819.988 6484384.588 55.074, 104818.584 6484395.768 54.654)</t>
  </si>
  <si>
    <t>POINT (104825.18988042593 6484368.380692044)</t>
  </si>
  <si>
    <t>['FV402 S4D1 m2869-2926']</t>
  </si>
  <si>
    <t>LINESTRING Z (105303.026 6482587.202 66.986, 105301.296 6482588.322 66.996, 105297.956 6482589.889 67.026, 105297.479 6482590.183 67.016, 105296.661 6482590.487 66.996, 105292.941 6482592.299 67.036, 105289.675 6482594.251 67.026, 105289.271 6482594.568 67.026, 105288.029 6482595.524 67.036, 105282.498 6482600.375 67.166, 105277.951 6482604.312 67.256, 105275.863 6482606.159 67.326, 105275.256 6482606.787 67.336, 105274.187 6482607.888 67.366, 105271.571 6482611.25 67.456, 105268.93 6482614.555 67.536, 105267.544 6482616.268 67.596, 105266.828 6482617.257 67.636, 105262.54 6482622.51 67.816, 105260.268 6482625.117 67.856)</t>
  </si>
  <si>
    <t>POINT (105280.06485385288 6482604.250117345)</t>
  </si>
  <si>
    <t>['FV402 S4D1 m2900-2964']</t>
  </si>
  <si>
    <t>LINESTRING Z (105240.198 6482657.693 68.136, 105242.767 6482655.713 68.026, 105247.489 6482652.051 67.886, 105253.385 6482647.229 67.716, 105260.376 6482639.703 67.516, 105266.239 6482633.384 67.366, 105267.66 6482631.618 67.346, 105273.132 6482625.777 67.236, 105276.076 6482622.365 67.156, 105278.957 6482618.808 67.076, 105283.596 6482613.102 67.036, 105283.994 6482612.603 67.016, 105283.952 6482612.356 67.046)</t>
  </si>
  <si>
    <t>POINT (105263.11582235036 6482636.0080150105)</t>
  </si>
  <si>
    <t>2016-07-08</t>
  </si>
  <si>
    <t>['FV256 S7D1 m5588-5634']</t>
  </si>
  <si>
    <t>LINESTRING Z (233771.13 6580339.15 28.181, 233771.96 6580340.62 28.151, 233775.53 6580346.31 28.141, 233779.95 6580353.36 28.101, 233781.04 6580355.31 28.091, 233781.92 6580357.2 28.051, 233783.27 6580360.23 28.021, 233786.49 6580367.7 27.961, 233787.21 6580370 27.921, 233787.82 6580372.83 27.881, 233789.1 6580378.6 27.781, 233789.86 6580381.5 27.731)</t>
  </si>
  <si>
    <t>POINT (233782.01427484813 6580359.684917017)</t>
  </si>
  <si>
    <t>['FV256 S7D1 m5114-5165']</t>
  </si>
  <si>
    <t>LINESTRING Z (233505.24 6579956.69 31.51, 233506.95 6579960.7 31.45, 233508.09 6579962.68 31.39, 233509.4 6579964.47 31.38, 233510.6 6579966.31 31.37, 233511.76 6579968.23 31.36, 233512.74 6579970.31 31.3, 233513.79 6579973.36 31.25, 233514.89 6579976.53 31.23, 233517.01 6579982.77 31.14, 233519.71 6579990.74 31.07, 233519.97 6579991.73 31.05, 233520.12 6579992.66 31.03, 233520.43 6579994.72 30.98, 233520.49 6579995.97 30.95, 233520.54 6579998.22 30.91, 233520.57 6580001.52 30.8, 233520.71 6580003.75 30.81, 233520.92 6580004.91 30.8)</t>
  </si>
  <si>
    <t>POINT (233515.1708921215 6579980.170757621)</t>
  </si>
  <si>
    <t>['FV256 S7D1 m5115-5167']</t>
  </si>
  <si>
    <t>LINESTRING Z (233509.59 6580011.36 31.18, 233509.46 6580010.89 31.18, 233509.06 6580009.77 31.19, 233508.65 6580008.74 31.19, 233508.2 6580007.77 31.2, 233507.66 6580006.75 31.21, 233506.54 6580004.95 31.24, 233504.71 6580002.04 31.29, 233503.64 6580000.14 31.33, 233503.11 6579999.18 31.36, 233502.18 6579997.14 31.38, 233501.35 6579995.14 31.42, 233500.63 6579993.08 31.42, 233499.68 6579990.02 31.49, 233497.73 6579983.7 31.59, 233495.82 6579977.43 31.66, 233495.23 6579975.34 31.71, 233495.09 6579974.26 31.72, 233495.01 6579973.19 31.72, 233494.96 6579972.19 31.71, 233494.92 6579970.06 31.73, 233494.87 6579965.58 31.75, 233494.85 6579964.47 31.76, 233494.52 6579961.8 31.81, 233494.35 6579960.7 31.83)</t>
  </si>
  <si>
    <t>POINT (233499.7831271924 6579986.654215923)</t>
  </si>
  <si>
    <t>2016-05-20</t>
  </si>
  <si>
    <t>['FV256 S7D1 m6468-6554']</t>
  </si>
  <si>
    <t>LINESTRING Z (234202.39 6581102.54 17.522, 234209.93 6581118.62 17.572, 234211.81 6581121.19 17.562, 234214.05 6581123.42 17.492, 234222.96 6581131.03 17.452, 234232.73 6581139.37 17.412, 234235.08 6581141.43 17.432, 234238.34 6581144.19 17.392, 234240.06 6581145.44 17.392, 234241.8 6581146.65 17.442, 234243.7 6581147.52 17.422, 234245.73 6581148.33 17.362, 234251.44 6581150.26 17.352, 234261.43 6581153.66 17.092, 234270.07 6581156.59 16.862)</t>
  </si>
  <si>
    <t>POINT (234231.7598107886 6581134.8486183295)</t>
  </si>
  <si>
    <t>2016-04-07</t>
  </si>
  <si>
    <t>['FV402 S4D1 m4978-5037']</t>
  </si>
  <si>
    <t>LINESTRING Z (104827.144 6484398.01 54.214, 104826.906 6484399.852 54.154, 104826.574 6484402.889 54.074, 104826.114 6484408.533 53.944, 104825.222 6484419.477 53.724, 104824.892 6484422.423 53.674, 104823.974 6484432.625 53.564, 104823.256 6484440.334 53.484, 104822.062 6484445.199 53.434, 104819.313 6484454.387 53.344)</t>
  </si>
  <si>
    <t>POINT (104824.20453258358 6484426.382291541)</t>
  </si>
  <si>
    <t>2016-03-29</t>
  </si>
  <si>
    <t>[5234, 4788]</t>
  </si>
  <si>
    <t>['KV5234 S1D1 m17-84', 'KV4788 S1D10 m4-24']</t>
  </si>
  <si>
    <t>LINESTRING Z (-30694.5599975586 6742840.05999756 92.625, -30696.2600097656 6742839.7800293 92.535, -30708.8699951172 6742837.94000244 92.185, -30711.799987793 6742837.34002686 92.125, -30713.5899963379 6742836.91998291 92.055, -30714.7399902344 6742836.60998535 91.975, -30716.3099975586 6742835.98999023 91.675, -30717.1799926758 6742835.52001953 91.685, -30721.6199951172 6742833.03997803 91.485, -30726.0299987793 6742830.53997803 91.265, -30731.3399963379 6742827.5 91.005, -30734.8500061035 6742825.46002197 90.855, -30737.4899902344 6742823.85998535 90.745, -30739.1600036621 6742822.78997803 90.675, -30740.8200073242 6742821.59002686 90.585, -30741.5899963379 6742820.90002442 90.535, -30742.3200073242 6742820.22998047 90.425, -30746.0099945068 6742815.59997559 90.165, -30749 6742811.82000732 90.005, -30751.6999969482 6742808.4699707 89.925, -30753.8500061035 6742806.05999756 89.905, -30756.1000061035 6742803.91998291 89.915)</t>
  </si>
  <si>
    <t>POINT (-30727.965505812248 6742826.62510737)</t>
  </si>
  <si>
    <t>['FV578 S2D1 m240-310']</t>
  </si>
  <si>
    <t>LINESTRING Z (-30600.5100097656 6742892.27001953 91.605, -30600.5700073242 6742892.32000732 91.615, -30598.6900024414 6742895.71002197 91.635, -30596.1700134277 6742900.65997315 91.685, -30593.7099914551 6742905.5300293 91.795, -30593 6742906.85998535 91.605, -30592.3900146484 6742907.67999268 91.685, -30588.7900085449 6742912.59997559 91.775, -30585.1600036621 6742917.57000732 91.875, -30580.3699951172 6742924.11999512 92.015, -30576.1799926758 6742929.89001465 92.145, -30574.3999938965 6742932.34997559 92.205, -30573.7699890137 6742933.17999268 92.335, -30569.8800048828 6742937.33001709 92.425, -30564.9100036621 6742942.30999756 92.465, -30560.5199890137 6742946.57000732 92.395, -30558.1900024414 6742948.90002441 92.395)</t>
  </si>
  <si>
    <t>POINT (-30581.086245191167 6742921.83282042)</t>
  </si>
  <si>
    <t>[281]</t>
  </si>
  <si>
    <t>['FV281 S3D1 m6437-6488']</t>
  </si>
  <si>
    <t>LINESTRING Z (249338.19 6609281.59 13.006, 249335.76 6609282.09 13.006, 249335.93 6609283.29 13.046, 249336.86 6609291.58 13.296, 249337.49 6609300.85 13.586, 249337.71 6609308.65 13.816, 249337.7 6609318.99 14.126, 249337.19 6609330.29 14.706, 249337.12 6609333.11 14.806, 249339.15 6609322.18 14.226, 249339.26 6609320.85 14.216, 249339.59 6609318.82 14.236, 249340.52 6609312.8 14.066, 249339.99 6609288.46 13.386, 249338.63 6609283.32 13.176, 249338.19 6609281.59 13.006, 249335.76 6609282.09 13.006, 249338.19 6609281.59 13.006)</t>
  </si>
  <si>
    <t>['FV286 S1D1 m1904-1977']</t>
  </si>
  <si>
    <t>LINESTRING Z (200200 6626135.28 235.439, 200183.07 6626138.28 234.969, 200182.88 6626138.32 234.949, 200179.87 6626138.77 234.899, 200179.75 6626138.79 234.899, 200171.72 6626139.26 234.669, 200163.84 6626139.72 234.428, 200156.41 6626140.18 234.168, 200150.4 6626140.53 233.908, 200142.35 6626140.56 233.508, 200138.71 6626140.62 233.348, 200131.14 6626140.72 232.868, 200128.65 6626140.72 232.688)</t>
  </si>
  <si>
    <t>POINT (200164.43447809853 6626139.205453248)</t>
  </si>
  <si>
    <t>['FV286 S1D1 m1911-1978']</t>
  </si>
  <si>
    <t>LINESTRING Z (200200.98 6626127.54 235.489, 200195.3 6626126.96 235.379, 200183.58 6626125.59 235.128, 200173.32 6626126.05 234.788, 200164.86 6626126.49 234.568, 200151.81 6626127.13 234.128, 200145.36 6626129 233.798, 200134.88 6626132.19 233.258, 200133.94 6626132.44 233.198)</t>
  </si>
  <si>
    <t>POINT (200167.21832828943 6626127.35007695)</t>
  </si>
  <si>
    <t>['FV309 S1D1 m1570-1599']</t>
  </si>
  <si>
    <t>LINESTRING Z (239117.02107925 6575940.14275966 -999999, 239120.605073122 6575940.35358283 -999999, 239122.713304812 6575928.44207379 -999999, 239122.818716396 6575912.52492453 -999999, 239118.075195095 6575911.89245503 -999999)</t>
  </si>
  <si>
    <t>POINT (239121.70311898759 6575925.970649002)</t>
  </si>
  <si>
    <t>2015-12-07</t>
  </si>
  <si>
    <t>['FV325 S2D1 m4686-4734']</t>
  </si>
  <si>
    <t>LINESTRING Z (239718.33996582 6585947.41003418 86.501, 239712.300048828 6585937.60998535 86.301, 239703.880004883 6585917.17004395 86.251, 239700.010009766 6585903.5300293 86.041)</t>
  </si>
  <si>
    <t>POINT (239708.00850590656 6585925.976916034)</t>
  </si>
  <si>
    <t>['FV170 S3D1 m1887-1956']</t>
  </si>
  <si>
    <t>LINESTRING Z (302683.738119478 6648478.40986037 -999999, 302700.859918521 6648460.85276135 -999999, 302725.526917142 6648442.13486239 -999999, 302737.860416453 6648435.46026277 -999999)</t>
  </si>
  <si>
    <t>POINT (302709.5542951019 6648455.331240417)</t>
  </si>
  <si>
    <t>['FV325 S2D1 m4734-4781']</t>
  </si>
  <si>
    <t>LINESTRING Z (239740.190002441 6585989.82000732 87.331, 239740.469970703 6585981.67999268 87.231, 239740.510009766 6585976.58001709 87.211, 239739.369995117 6585970.64001465 87.171, 239737.150024414 6585961.2199707 87.101, 239735.960021973 6585956.67004395 87.021, 239733.66998291 6585952.42004395 87.041, 239732.140014648 6585949.31994629 87.031, 239730.809997559 6585946.72998047 87.061, 239729.340026855 6585943.97998047 87.031)</t>
  </si>
  <si>
    <t>POINT (239737.21714802607 6585966.326733385)</t>
  </si>
  <si>
    <t>['FV171 S3D1 m5839-5881']</t>
  </si>
  <si>
    <t>LINESTRING Z (291246.944249913 6655881.80130603 -999999, 291244.585506243 6655882.33202336 -999999, 291239.160395801 6655879.44256236 -999999, 291234.030128317 6655876.25825841 -999999, 291225.007933778 6655869.53583895 -999999, 291215.04224177 6655861.63404765 -999999, 291212.447623732 6655855.97306284 -999999)</t>
  </si>
  <si>
    <t>POINT (291228.1566056431 6655871.120918527)</t>
  </si>
  <si>
    <t>2016-05-04</t>
  </si>
  <si>
    <t>['FV311 S3D1 m2052-2061']</t>
  </si>
  <si>
    <t>LINESTRING Z (242224.086429557 6581416.33575948 -999999, 242233.565813447 6581421.64690365 -999999, 242239.885402707 6581425.14284664 -999999, 242252.591810899 6581433.47932609 -999999, 242255.482686837 6581435.76513497 -999999, 242258.373562775 6581438.65601091 -999999, 242260.726601329 6581441.14350881 -999999, 242261.936735443 6581442.28641325 -999999)</t>
  </si>
  <si>
    <t>POINT (242243.75179303234 6581428.312370234)</t>
  </si>
  <si>
    <t>['FV356 S2D1 m4910-4988']</t>
  </si>
  <si>
    <t>LINESTRING Z (188879.42 6566969.77 14.904, 188877.57 6566970.72 14.894, 188870.93 6566974.04 14.824, 188870.03 6566974.48 14.814, 188843.67 6566989.3 14.414, 188828.82 6566998.56 14.264, 188827.25 6566999.52 14.254, 188825.28 6567000.67 14.214, 188821.57 6567003.35 14.184, 188821.67 6567003.47 14.194, 188824.45 6567002.68 14.264, 188840.97 6566995.36 14.544, 188854.28 6566988.8 14.644, 188866.06 6566982.26 14.794, 188876.61 6566975.31 14.944, 188882.76 6566970.93 15.054, 188886.89 6566967.71 15.134, 188889.21 6566965.85 15.174, 188888.55 6566964.9 15.124, 188879.42 6566969.77 14.904)</t>
  </si>
  <si>
    <t>POLYGON Z ((188879.42 6566969.77 14.904, 188877.57 6566970.72 14.894, 188870.93 6566974.04 14.824, 188870.03 6566974.48 14.814, 188843.67 6566989.3 14.414, 188828.82 6566998.56 14.264, 188827.25 6566999.52 14.254, 188825.28 6567000.67 14.214, 188821.57 6567003.35 14.184, 188821.67 6567003.47 14.194, 188824.45 6567002.68 14.264, 188840.97 6566995.36 14.544, 188854.28 6566988.8 14.644, 188866.06 6566982.26 14.794, 188876.61 6566975.31 14.944, 188882.76 6566970.93 15.054, 188886.89 6566967.71 15.134, 188889.21 6566965.85 15.174, 188888.55 6566964.9 15.124, 188879.42 6566969.77 14.904))</t>
  </si>
  <si>
    <t>['FV356 S2D1 m5024-5102']</t>
  </si>
  <si>
    <t>LINESTRING Z (188732.9 6567051.33 15.114, 188737.66 6567049.92 15.014, 188738.72 6567049.63 14.974, 188739.49 6567049.34 14.974, 188765.94 6567037.53 14.374, 188767.27 6567036.93 14.354, 188782.87 6567027.8 14.134, 188784.31 6567026.96 14.124, 188786.49 6567025.77 14.134, 188788.61 6567024.63 14.144, 188790.09 6567023.97 14.124, 188791.35 6567023.49 14.144, 188791.22 6567023.18 14.124, 188783.24 6567026.21 14.124, 188765.4 6567033.77 14.414, 188749.89 6567040.67 14.764, 188734.82 6567047.69 15.094, 188720.32 6567054.49 15.404, 188720.48 6567054.9 15.374, 188732.9 6567051.33 15.114)</t>
  </si>
  <si>
    <t>POLYGON Z ((188732.9 6567051.33 15.114, 188737.66 6567049.92 15.014, 188738.72 6567049.63 14.974, 188739.49 6567049.34 14.974, 188765.94 6567037.53 14.374, 188767.27 6567036.93 14.354, 188782.87 6567027.8 14.134, 188784.31 6567026.96 14.124, 188786.49 6567025.77 14.134, 188788.61 6567024.63 14.144, 188790.09 6567023.97 14.124, 188791.35 6567023.49 14.144, 188791.22 6567023.18 14.124, 188783.24 6567026.21 14.124, 188765.4 6567033.77 14.414, 188749.89 6567040.67 14.764, 188734.82 6567047.69 15.094, 188720.32 6567054.49 15.404, 188720.48 6567054.9 15.374, 188732.9 6567051.33 15.114))</t>
  </si>
  <si>
    <t>['FV455 S3D1 m1718-1782']</t>
  </si>
  <si>
    <t>LINESTRING Z (61264.799805 6473222.820313 28.798, 61267.350098 6473222.099609 28.738, 61272.200195 6473220.390625 28.608, 61273.899902 6473219.689453 28.648, 61276.939941 6473217.580078 28.738, 61284.370117 6473212.669922 28.718, 61292.589844 6473207.210938 28.708, 61301.720215 6473201.099609 28.608, 61306.569824 6473197.900391 28.538, 61307.580078 6473196.769531 28.578, 61312.580078 6473192.830078 28.658, 61316.870117 6473189.080078 28.768)</t>
  </si>
  <si>
    <t>POINT (61291.67470334451 6473207.385073623)</t>
  </si>
  <si>
    <t>[353]</t>
  </si>
  <si>
    <t>['FV353 S2D1 m6883-6933']</t>
  </si>
  <si>
    <t>LINESTRING Z (185850.78 6567178.64 5.342, 185864.4 6567183.18 4.862, 185865.47 6567183.5 4.832, 185891.37 6567191.1 3.982, 185892.47 6567191.42 3.952, 185896.62 6567192.89 3.822, 185888.79 6567187.99 0.032, 185878.4 6567183.99 0.032, 185868.79 6567181.23 0.032, 185859.27 6567179.24 0.032, 185850.78 6567178.64 5.342)</t>
  </si>
  <si>
    <t>[3590]</t>
  </si>
  <si>
    <t>['KV3590 S2D1 m95-158']</t>
  </si>
  <si>
    <t>LINESTRING Z (198431.39 6626177.06 159.096, 198431.42 6626176.3 159.116, 198431.47 6626175.35 159.156, 198431.8 6626170.2 159.306, 198432.12 6626166.27 159.376, 198432.3 6626164.28 159.426, 198432.38 6626163.26 159.456, 198432.45 6626162.17 159.486, 198432.49 6626161.16 159.496, 198432.46 6626160.19 159.526, 198432.36 6626159.2 159.566, 198432.3 6626158.2 159.546, 198432.16 6626157.21 159.596, 198431.3 6626150.32 159.776, 198430.54 6626144.28 159.946, 198429.64 6626137.31 160.156, 198428.79 6626130.27 160.396, 198427.9 6626123.15 160.646, 198427.15 6626117.34 160.876, 198427.09 6626116.35 160.926, 198427.14 6626115.35 160.936, 198427.38 6626114.31 160.986, 198427.8 6626113.42 160.996)</t>
  </si>
  <si>
    <t>POINT (198430.23669469406 6626145.158230279)</t>
  </si>
  <si>
    <t>['FV455 S2D1 m8060-8064', 'FV455 S3D1 m0-57']</t>
  </si>
  <si>
    <t>LINESTRING Z (62252.77 6471833.76 26.865, 62252.43 6471836.18 26.835, 62252.19 6471838.25 26.805, 62251.69 6471841.61 26.785, 62251.2 6471843.31 26.765, 62251.01 6471844.05 26.765, 62250.62 6471845.2 26.805, 62250.49 6471845.73 26.815, 62250.41 6471845.99 26.815, 62249.82 6471847.96 26.765, 62249.79 6471848.05 26.765, 62247.6 6471854.6 26.865, 62247.57 6471854.71 26.865, 62247.32 6471855.44 26.875, 62246.97 6471856.49 26.885, 62245.77 6471860.07 26.925, 62244.49 6471863.88 26.975, 62243.05 6471868.22 26.945, 62241.35 6471873.36 26.905, 62240.52 6471875.63 26.895, 62237.96 6471881.48 26.935, 62237.06 6471883.22 26.985, 62236.99 6471883.29 26.955, 62236.58 6471883.83 26.965, 62235.18 6471886.4 27.015, 62232.78 6471891.03 26.995, 62232.35 6471891.28 27.035)</t>
  </si>
  <si>
    <t>POINT (62244.235772234075 6471863.160410029)</t>
  </si>
  <si>
    <t>['FV175 S9D1 m2003-2013']</t>
  </si>
  <si>
    <t>LINESTRING Z (328887.780029297 6677627.04003906 173.38, 328887.680053711 6677626.0300293 173.45, 328887.060058594 6677616.0600586 173.73, 328886.469970703 6677607.05004883 173.98, 328886.420043945 6677606.10998535 173.97)</t>
  </si>
  <si>
    <t>POINT (328887.0854979383 6677616.576209393)</t>
  </si>
  <si>
    <t>2016-05-28</t>
  </si>
  <si>
    <t>['FV325 S3D1 m3328-3376']</t>
  </si>
  <si>
    <t>LINESTRING Z (241928.129267504 6591170.19145777 -999999, 241929.1263481 6591171.07123477 -999999, 241938.100073467 6591183.03620193 -999999, 241939.331761263 6591184.56114872 -999999, 241943.261431848 6591188.66677471 -999999, 241947.836272231 6591193.47622229 -999999, 241951.296728419 6591196.93667848 -999999, 241953.58414861 6591199.16544687 -999999, 241956.692693999 6591201.74612606 -999999, 241959.918542987 6591204.15084985 -999999)</t>
  </si>
  <si>
    <t>POINT (241943.26215265557 6591187.899419937)</t>
  </si>
  <si>
    <t>2016-06-07</t>
  </si>
  <si>
    <t>[4254]</t>
  </si>
  <si>
    <t>['FV4254 S1D1 m1308-1359']</t>
  </si>
  <si>
    <t>LINESTRING Z (7795.99714657886 6506691.35395574 94.671, 7841.19965904742 6506714.15510917 94.671)</t>
  </si>
  <si>
    <t>POINT (7818.59840281314 6506702.7545324555)</t>
  </si>
  <si>
    <t>['FV3270 S1D1 m7200-7230']</t>
  </si>
  <si>
    <t>LINESTRING Z (192550.6 6576196.44 53.71, 192542.41 6576203.5 53.49, 192540.87 6576205.06 53.45, 192539.53 6576206.55 53.4, 192538.13 6576208.32 53.33, 192530.46 6576218.31 53.03, 192532.78 6576220.12 53.03, 192540.58 6576209.66 53.33, 192546.05 6576202.76 53.49, 192550.6 6576196.44 53.71)</t>
  </si>
  <si>
    <t>POLYGON Z ((192550.6 6576196.44 53.71, 192542.41 6576203.5 53.49, 192540.87 6576205.06 53.45, 192539.53 6576206.55 53.4, 192538.13 6576208.32 53.33, 192530.46 6576218.31 53.03, 192532.78 6576220.12 53.03, 192540.58 6576209.66 53.33, 192546.05 6576202.76 53.49, 192550.6 6576196.44 53.71))</t>
  </si>
  <si>
    <t>['EV136 S13D1 m5936-6202']</t>
  </si>
  <si>
    <t>LINESTRING Z (147883.53 6921055.45 577.137, 147896.59 6921050.28 576.957, 147917.14 6920998.92 577.547, 147936.11 6920951.16 577.597, 147954.06 6920904.83 577.617, 147972.34 6920857.98 577.777, 147987.21 6920820.27 577.957, 147981.27 6920808.01 578.237)</t>
  </si>
  <si>
    <t>POINT (147941.50099237708 6920935.340164948)</t>
  </si>
  <si>
    <t>['EV136 S13D1 m5424-5495']</t>
  </si>
  <si>
    <t>LINESTRING Z (147604.4 6921466.01 573.877, 147594.03 6921480.93 573.797, 147592.88 6921482.58 573.787, 147574.16 6921504.56 573.807, 147573.31 6921505.56 573.817, 147558.48 6921519.63 573.887)</t>
  </si>
  <si>
    <t>POINT (147582.55988474548 6921493.782140623)</t>
  </si>
  <si>
    <t>['EV136 S13D1 m5389-5459']</t>
  </si>
  <si>
    <t>LINESTRING Z (147530.23 6921541.46 573.757, 147541.48 6921524.73 573.797, 147560.83 6921501.69 573.857, 147575.48 6921487.82 573.967)</t>
  </si>
  <si>
    <t>POINT (147551.64493575908 6921513.615849322)</t>
  </si>
  <si>
    <t>2016-06-23</t>
  </si>
  <si>
    <t>['FV450 S14D1 m7322-7396']</t>
  </si>
  <si>
    <t>LINESTRING Z (31953.218 6558676.127 556.523, 31956.269 6558678.431 556.718, 31959.732 6558680.639 556.927, 31961.424 6558681.498 557.024, 31963.246 6558682.397 557.127, 31965.071 6558683.199 557.229, 31966.936 6558683.969 557.332, 31968.834 6558684.646 557.435, 31970.556 6558685.364 557.53, 31972.556 6558686.138 557.639, 31974.343 6558686.867 557.749, 31975.583 6558687.409 557.812, 31977.504 6558688.355 557.925, 31979.459 6558689.367 558.032, 31980.601 6558689.906 558.085, 31986.981 6558692.707 558.366, 31993.7 6558695.578 558.618, 32001.872 6558699.039 558.903, 32010.207 6558702.521 559.156, 32015.467 6558704.78 559.307, 32018.756 6558706.14 559.398)</t>
  </si>
  <si>
    <t>POINT (31985.58750746409 6558691.861878333)</t>
  </si>
  <si>
    <t>['EV6 S202D1 m13402-13447']</t>
  </si>
  <si>
    <t>LINESTRING Z (807257.84 7780224.43 13.16, 807257.91 7780223.29 13.15, 807257.91 7780222.25 13.14, 807257.92 7780221.22 13.14, 807257.94 7780220.19 13.14, 807257.95 7780219.16 13.13, 807257.97 7780218.13 13.13, 807257.99 7780217.09 13.12, 807258 7780216.06 13.12, 807258.03 7780215.03 13.11, 807258.05 7780214 13.11, 807258.07 7780212.97 13.1, 807258.1 7780211.94 13.1, 807258.13 7780210.91 13.09, 807258.15 7780209.88 13.09, 807258.16 7780209.5 13.09, 807258.19 7780208.85 13.08, 807257.96 7780207.88 13.09, 807257.73 7780206.92 13.1, 807257.51 7780205.95 13.1, 807257.29 7780204.98 13.11, 807257.07 7780204.02 13.11, 807256.85 7780203.05 13.11, 807256.63 7780202.07 13.12, 807256.42 7780201.1 13.12, 807256.2 7780200.13 13.13, 807255.99 7780199.15 13.13, 807255.78 7780198.19 13.13, 807255.57 7780197.21 13.14, 807255.37 7780196.24 13.14, 807255.15 7780195.26 13.14, 807254.96 7780194.29 13.14, 807254.49 7780193.37 13.16, 807254.03 7780192.46 13.17, 807253.56 7780191.55 13.18, 807253.1 7780190.63 13.19, 807252.64 7780189.71 13.19, 807252.19 7780188.79 13.2, 807251.72 7780187.87 13.21, 807251.26 7780186.95 13.22, 807251.17 7780186.76 13.22, 807250.8 7780186.03 13.23, 807250.34 7780185.12 13.24, 807249.89 7780184.19 13.25, 807249.42 7780183.27 13.26, 807248.96 7780182.35 13.27, 807248.5 7780181.43 13.28, 807248.02 7780180.5 13.28)</t>
  </si>
  <si>
    <t>POINT (807255.339559538 7780201.92223008)</t>
  </si>
  <si>
    <t>2016-08-11</t>
  </si>
  <si>
    <t>['EV6 S47D1 m689-779']</t>
  </si>
  <si>
    <t>LINESTRING Z (234198.876 6834308.571 -999999, 234194.073 6834310.072 -999999, 234189.28 6834311.562 -999999, 234184.476 6834313.053 -999999, 234179.673 6834314.554 -999999, 234174.88 6834316.044 -999999, 234170.077 6834317.545 -999999, 234165.473 6834319.501 -999999, 234160.869 6834321.447 -999999, 234156.265 6834323.403 -999999, 234151.662 6834325.359 -999999, 234147.058 6834327.315 -999999, 234142.455 6834329.271 -999999, 234138.041 6834331.693 -999999, 234133.637 6834334.104 -999999, 234129.222 6834336.516 -999999, 234124.819 6834338.937 -999999, 234120.404 6834341.349 -999999, 234116.001 6834343.77 -999999)</t>
  </si>
  <si>
    <t>POINT (234156.65619868544 6834324.329128991)</t>
  </si>
  <si>
    <t>['EV6 S47D1 m1194-1284']</t>
  </si>
  <si>
    <t>LINESTRING Z (233733.235 6834504.295 -999999, 233728.4 6834505.658 -999999, 233723.565 6834507.011 -999999, 233718.73 6834508.364 -999999, 233713.884 6834509.718 -999999, 233709.048 6834511.061 -999999, 233704.211 6834512.395 -999999, 233699.554 6834514.194 -999999, 233694.886 6834515.985 -999999, 233690.228 6834517.775 -999999, 233685.561 6834519.566 -999999, 233683.606 6834520.314 -999999, 233680.892 6834521.347 -999999, 233676.223 6834523.127 -999999, 233671.734 6834525.365 -999999, 233667.234 6834527.593 -999999, 233662.734 6834529.831 -999999, 233658.233 6834532.05 -999999, 233653.733 6834534.278 -999999, 233649.232 6834536.497 -999999)</t>
  </si>
  <si>
    <t>POINT (233690.56449575486 6834518.650969428)</t>
  </si>
  <si>
    <t>['EV6 S47D1 m1693-1783']</t>
  </si>
  <si>
    <t>LINESTRING Z (233259.791 6834663.842 -999999, 233254.844 6834664.713 -999999, 233249.898 6834665.583 -999999, 233246.01 6834666.264 -999999, 233244.95 6834666.444 -999999, 233240.003 6834667.304 -999999, 233235.055 6834668.155 -999999, 233233.075 6834668.493 -999999, 233230.107 6834669.005 -999999, 233225.289 6834670.327 -999999, 233224.936 6834670.427 -999999, 233220.472 6834671.658 -999999, 233215.653 6834672.97 -999999, 233210.835 6834674.292 -999999, 233209.873 6834674.554 -999999, 233206.016 6834675.603 -999999, 233201.186 6834676.905 -999999, 233196.499 6834678.698 -999999, 233191.8 6834680.481 -999999, 233187.101 6834682.265 -999999, 233182.403 6834684.048 -999999, 233177.703 6834685.821 -999999, 233173.005 6834687.605 -999999)</t>
  </si>
  <si>
    <t>POINT (233215.89574279232 6834673.8919607615)</t>
  </si>
  <si>
    <t>['EV6 S47D1 m2194-2284']</t>
  </si>
  <si>
    <t>LINESTRING Z (232776.488 6834792.577 -999999, 232771.525 6834793.369 -999999, 232766.552 6834794.171 -999999, 232761.589 6834794.963 -999999, 232756.626 6834795.754 -999999, 232751.663 6834796.556 -999999, 232746.7 6834797.348 -999999, 232741.869 6834798.63 -999999, 232737.027 6834799.914 -999999, 232732.195 6834801.186 -999999, 232727.354 6834802.469 -999999, 232725.331 6834803.002 -999999, 232722.523 6834803.752 -999999, 232717.69 6834805.024 -999999, 232712.98 6834806.789 -999999, 232708.27 6834808.553 -999999, 232703.56 6834810.317 -999999, 232698.849 6834812.081 -999999, 232694.149 6834813.845 -999999, 232693.263 6834814.171 -999999, 232689.439 6834815.609 -999999)</t>
  </si>
  <si>
    <t>POINT (232732.45133030045 6834802.157312994)</t>
  </si>
  <si>
    <t>['EV6 S47D1 m2943-3033']</t>
  </si>
  <si>
    <t>LINESTRING Z (232051.096 6834984.518 -999999, 232046.132 6834985.31 -999999, 232041.17 6834986.111 -999999, 232036.207 6834986.903 -999999, 232031.243 6834987.695 -999999, 232026.281 6834988.496 -999999, 232021.318 6834989.288 -999999, 232016.476 6834990.571 -999999, 232011.645 6834991.854 -999999, 232006.803 6834993.127 -999999, 232001.971 6834994.41 -999999, 231997.13 6834995.693 -999999, 231992.298 6834996.966 -999999, 231987.588 6834998.73 -999999, 231982.877 6835000.494 -999999, 231978.177 6835002.258 -999999, 231973.467 6835004.022 -999999, 231968.757 6835005.786 -999999, 231964.046 6835007.55 -999999)</t>
  </si>
  <si>
    <t>POINT (232007.05919914748 6834994.099482682)</t>
  </si>
  <si>
    <t>['EV6 S47D1 m3193-3283']</t>
  </si>
  <si>
    <t>LINESTRING Z (231809.304 6835048.492 -999999, 231804.341 6835049.293 -999999, 231799.368 6835050.086 -999999, 231794.405 6835050.888 -999999, 231789.442 6835051.679 -999999, 231784.48 6835052.481 -999999, 231779.516 6835053.272 -999999, 231774.685 6835054.555 -999999, 231769.843 6835055.828 -999999, 231765.012 6835057.111 -999999, 231760.17 6835058.394 -999999, 231758.137 6835058.928 -999999, 231755.338 6835059.667 -999999, 231750.497 6835060.95 -999999, 231745.796 6835062.714 -999999, 231741.086 6835064.478 -999999, 231736.376 6835066.242 -999999, 231731.666 6835068.006 -999999, 231726.965 6835069.77 -999999, 231722.254 6835071.524 -999999)</t>
  </si>
  <si>
    <t>POINT (231765.26883542514 6835058.079644051)</t>
  </si>
  <si>
    <t>['EV6 S47D1 m3693-3784']</t>
  </si>
  <si>
    <t>LINESTRING Z (231325.728 6835176.79 -999999, 231320.762 6835177.673 -999999, 231319.773 6835177.847 -999999, 231315.807 6835178.564 -999999, 231310.844 6835179.476 -999999, 231308.857 6835179.845 -999999, 231305.882 6835180.398 -999999, 231300.921 6835181.34 -999999, 231297.948 6835181.913 -999999, 231295.962 6835182.302 -999999, 231291.145 6835183.754 -999999, 231287.299 6835184.933 -999999, 231286.341 6835185.235 -999999, 231281.537 6835186.726 -999999, 231276.735 6835188.237 -999999, 231271.946 6835189.777 -999999, 231267.158 6835191.337 -999999, 231266.229 6835191.747 -999999, 231262.533 6835193.395 -999999, 231260.221 6835194.435 -999999, 231257.919 6835195.473 -999999, 231256.072 6835196.312 -999999, 231253.318 6835197.579 -999999, 231251.404 6835198.454 -999999, 231248.729 6835199.705 -999999, 231246.894 6835200.563 -999999, 231244.151 6835201.849 -999999, 231241.873 6835202.936 -999999, 231239.596 6835204.022 -999999)</t>
  </si>
  <si>
    <t>POINT (231281.88562387115 6835187.964219567)</t>
  </si>
  <si>
    <t>['EV6 S47D1 m3999-4089']</t>
  </si>
  <si>
    <t>LINESTRING Z (231046.842 6835300.634 -999999, 231045.054 6835301.568 -999999, 231042.372 6835302.98 -999999, 231040.144 6835304.173 -999999, 231037.914 6835305.356 -999999, 231037.022 6835305.843 -999999, 231033.459 6835307.761 -999999, 231031.242 6835308.973 -999999, 231029.026 6835310.195 -999999, 231026.81 6835311.416 -999999, 231024.595 6835312.648 -999999, 231021.058 6835314.624 -999999, 231020.177 6835315.131 -999999, 231018.121 6835316.58 -999999, 231016.065 6835318.039 -999999, 231013.603 6835319.794 -999999, 231011.966 6835320.976 -999999, 231009.923 6835322.455 -999999, 231007.879 6835323.933 -999999, 231006.253 6835325.125 -999999, 231003.814 6835326.908 -999999, 231001.782 6835328.405 -999999, 230999.76 6835329.912 -999999, 230998.958 6835330.512 -999999, 230995.729 6835332.934 -999999, 230993.867 6835334.658 -999999, 230992.015 6835336.381 -999999, 230990.162 6835338.104 -999999, 230988.321 6835339.836 -999999, 230985.373 6835342.616 -999999, 230984.65 6835343.32 -999999, 230982.819 6835345.061 -999999, 230980.99 6835346.813 -999999, 230978.809 6835348.925 -999999, 230977.362 6835350.333 -999999, 230975.553 6835352.092 -999999, 230973.755 6835353.861 -999999)</t>
  </si>
  <si>
    <t>POINT (231008.68882291808 6835325.037193096)</t>
  </si>
  <si>
    <t>['EV6 S47D1 m194-284']</t>
  </si>
  <si>
    <t>LINESTRING Z (234655.207 6834115.916 -999999, 234650.363 6834117.28 -999999, 234645.52 6834118.664 -999999, 234640.678 6834120.058 -999999, 234635.837 6834121.461 -999999, 234630.997 6834122.875 -999999, 234626.157 6834124.299 -999999, 234621.519 6834126.198 -999999, 234616.88 6834128.096 -999999, 234612.242 6834130.005 -999999, 234607.606 6834131.924 -999999, 234606.025 6834132.579 -999999, 234602.98 6834133.851 -999999, 234598.499 6834135.716 -999999, 234598.354 6834135.779 -999999, 234593.927 6834138.172 -999999, 234589.502 6834140.574 -999999, 234585.077 6834142.977 -999999, 234580.663 6834145.389 -999999, 234576.247 6834147.791 -999999, 234571.833 6834150.203 -999999)</t>
  </si>
  <si>
    <t>POINT (234612.6839892003 6834131.020738515)</t>
  </si>
  <si>
    <t>[3290]</t>
  </si>
  <si>
    <t>['FV3290 S1D1 m2508-2569']</t>
  </si>
  <si>
    <t>LINESTRING Z (191839.01 6570992.02 75.842, 191837.43 6570986.63 76.062, 191836.75 6570984.49 76.122, 191836.44 6570983.66 76.192, 191824.99 6570959.39 77.022, 191824.49 6570958.44 77.082, 191823.97 6570957.5 77.112, 191823.37 6570956.53 77.152, 191813.81 6570942.84 77.692, 191813.16 6570941.91 77.712, 191810.96 6570937.9 77.862)</t>
  </si>
  <si>
    <t>POINT (191826.3566510403 6570964.272636686)</t>
  </si>
  <si>
    <t>['FV3290 S1D1 m2509-2571']</t>
  </si>
  <si>
    <t>LINESTRING Z (191804.85 6570942.17 77.462, 191805.82 6570944.08 77.352, 191806.77 6570946.03 77.352, 191807.61 6570947.98 77.282, 191813.63 6570964.44 76.842, 191813.97 6570965.45 76.782, 191814.45 6570966.47 76.752, 191826.37 6570990.74 76.002, 191827.4 6570992.73 75.932, 191827.92 6570993.64 75.922, 191830.96 6570998.56 75.752)</t>
  </si>
  <si>
    <t>POINT (191817.1615824901 6570970.71452397)</t>
  </si>
  <si>
    <t>['FV576 S3D1 m340-372']</t>
  </si>
  <si>
    <t>LINESTRING Z (7396.19999999999 6713395.11 43.62, 7398.79999999999 6713391.68 43.79, 7402.68999999999 6713387.59 43.79, 7407.03999999999 6713382.94 43.79, 7408.55999999999 6713381.4 43.93, 7411.08999999999 6713378.67 43.93, 7413.58999999999 6713376.02 43.93, 7415.64999999999 6713373.9 43.93, 7416.65999999999 6713373.01 44.33, 7419.73999999999 6713370.7 44.47)</t>
  </si>
  <si>
    <t>POINT (7407.584752412202 6713382.519268705)</t>
  </si>
  <si>
    <t>2016-09-02</t>
  </si>
  <si>
    <t>2025-11-22T09:19:01Z</t>
  </si>
  <si>
    <t>['EV6 S48D1 m15758-15759']</t>
  </si>
  <si>
    <t>LINESTRING Z (211930.601 6850555.628 350.176, 211928.586 6850556.974 350.126, 211925.754 6850558.871 350.046, 211922.733 6850565.282 350.026, 211918.479 6850574.339 350.006, 211915.1 6850581.505 349.996, 211915.345 6850583.924 350.036, 211915.682 6850587.31 350.096)</t>
  </si>
  <si>
    <t>POINT (211920.85892015623 6850570.392653566)</t>
  </si>
  <si>
    <t>['FV2522 S7D1 m2094-2156']</t>
  </si>
  <si>
    <t>LINESTRING Z (216832.016 6848448.455 262.553, 216832.247 6848447.742 262.563, 216831.947 6848447.637 262.553, 216831.323 6848447.389 262.533, 216830.415 6848446.984 262.493, 216829.776 6848446.666 262.473, 216829.534 6848446.536 262.463, 216828.651 6848446.069 262.433, 216827.769 6848445.611 262.403, 216826.886 6848445.144 262.363, 216825.993 6848444.687 262.333, 216825.11 6848444.22 262.303, 216824.228 6848443.763 262.263, 216823.419 6848443.339 262.233, 216823.345 6848443.295 262.233, 216822.463 6848442.838 262.203, 216821.579 6848442.37 262.173, 216820.697 6848441.913 262.133, 216819.814 6848441.445 262.103, 216818.922 6848440.989 262.073, 216818.039 6848440.521 262.033, 216817.335 6848440.159 262.013, 216817.156 6848440.064 262.003, 216816.337 6848439.631 261.973, 216816.263 6848439.597 261.973, 216815.38 6848439.13 261.943, 216815.013 6848438.94 261.923, 216814.498 6848438.673 261.903, 216814.036 6848438.431 261.893, 216813.606 6848438.216 261.873, 216812.696 6848437.791 261.843, 216812.249 6848437.608 261.823, 216812.03 6848437.516 261.813, 216811.771 6848437.418 261.803, 216811.511 6848437.309 261.793, 216810.845 6848437.034 261.773, 216810.315 6848436.828 261.753, 216810.2 6848436.777 261.743, 216809.919 6848436.661 261.733, 216808.994 6848436.287 261.703, 216808.058 6848435.915 261.673, 216807.133 6848435.541 261.633, 216806.208 6848435.168 261.603, 216805.282 6848434.794 261.563, 216804.346 6848434.412 261.533, 216803.421 6848434.038 261.503, 216803.13 6848433.922 261.493, 216802.548 6848433.69 261.463, 216802.496 6848433.665 261.463, 216802.017 6848433.474 261.443, 216801.57 6848433.291 261.433, 216800.635 6848432.919 261.393, 216799.709 6848432.545 261.353, 216798.794 6848432.171 261.323, 216797.952 6848431.831 261.293, 216797.858 6848431.788 261.283, 216796.933 6848431.415 261.253, 216796.777 6848431.358 261.243, 216795.997 6848431.042 261.213, 216795.727 6848430.935 261.203, 216795.073 6848430.679 261.183, 216794.886 6848430.614 261.173, 216794.122 6848430.358 261.143, 216793.452 6848430.163 261.113, 216793.145 6848430.089 261.103, 216792.178 6848429.82 261.073, 216791.202 6848429.561 261.033, 216790.226 6848429.292 260.993, 216789.25 6848429.033 260.963, 216788.273 6848428.765 260.923, 216787.297 6848428.506 260.883, 216786.32 6848428.237 260.843, 216785.344 6848427.979 260.813, 216784.368 6848427.71 260.773, 216783.391 6848427.441 260.733, 216782.405 6848427.183 260.703, 216781.428 6848426.915 260.663, 216780.452 6848426.656 260.623, 216779.579 6848426.419 260.593, 216779.476 6848426.387 260.593, 216778.499 6848426.119 260.553, 216777.513 6848425.861 260.513, 216777.132 6848425.752 260.503, 216776.536 6848425.592 260.483, 216776.084 6848425.47 260.463, 216775.56 6848425.323 260.443, 216774.599 6848425.003 260.403, 216774.13 6848425.635 260.393)</t>
  </si>
  <si>
    <t>POINT (216803.89420945747 6848435.109835496)</t>
  </si>
  <si>
    <t>['FV2806 S2D1 m387-422']</t>
  </si>
  <si>
    <t>LINESTRING Z (164954.33 6702665.87 737.519, 164941.18 6702670.82 737.789, 164920.99 6702680.71 738.369)</t>
  </si>
  <si>
    <t>POINT (164937.4963815541 6702672.911223688)</t>
  </si>
  <si>
    <t>['FV2806 S2D1 m1155-1180']</t>
  </si>
  <si>
    <t>LINESTRING Z (164330.3 6703029.36 750.869, 164321.48 6703053.14 751.009)</t>
  </si>
  <si>
    <t>POINT (164325.89 6703041.25)</t>
  </si>
  <si>
    <t>2016-09-05</t>
  </si>
  <si>
    <t>[3975]</t>
  </si>
  <si>
    <t>['FV3975 S1D1 m1995-2049']</t>
  </si>
  <si>
    <t>LINESTRING Z (74998.522 6462115.381 5.449, 75005.152 6462115.465 5.668, 75009.695 6462115.515 5.821, 75012.452 6462115.607 5.938, 75014.207 6462115.515 5.99, 75020.698 6462114.63 6.177, 75020.84 6462114.611 6.181, 75026.535 6462113.804 6.341, 75035.083 6462111.146 6.477, 75044.96 6462108.067 6.694, 75051.582 6462105.829 6.86)</t>
  </si>
  <si>
    <t>POINT (75025.36949320983 6462112.588176952)</t>
  </si>
  <si>
    <t>[482]</t>
  </si>
  <si>
    <t>['FV482 S1D1 m255-295']</t>
  </si>
  <si>
    <t>LINESTRING Z (88774.249 6467151.081 2.36, 88772.313 6467153.739 2.43, 88772.079 6467154.041 2.39, 88768.622 6467157.579 2.51, 88765.143 6467161.2 2.54, 88764.512 6467161.91 2.58, 88763.85 6467162.835 2.6, 88760.63 6467167.549 2.8, 88757.663 6467171.949 2.93, 88756.765 6467173.276 2.97, 88756.331 6467173.939 2.81, 88755.957 6467174.697 2.97, 88755.62 6467175.431 2.97, 88754.232 6467178.815 2.97, 88754.005 6467179.428 2.92, 88752.475 6467183.136 2.94, 88752.224 6467183.702 3.01, 88751.895 6467184.505 3.029)</t>
  </si>
  <si>
    <t>POINT (88761.88882922653 6467167.035765604)</t>
  </si>
  <si>
    <t>['FV496 S1D1 m7473-7517']</t>
  </si>
  <si>
    <t>LINESTRING Z (93275.099 6463917.128 1.454, 93275.026 6463918.954 1.481, 93274.833 6463924.323 1.579, 93274.619 6463930.002 1.709, 93274.568 6463931.82 1.718, 93274.416 6463932.796 1.75, 93273.149 6463937.793 1.794, 93271.577 6463943.925 1.842, 93270.434 6463948.321 1.861, 93270.2 6463949.279 1.831, 93269.892 6463950.271 1.809, 93269.355 6463951.292 1.785, 93267.621 6463955.125 1.835, 93265.956 6463958.519 1.884, 93265.189 6463960.607 1.883)</t>
  </si>
  <si>
    <t>POINT (93271.90623279607 6463939.270174166)</t>
  </si>
  <si>
    <t>['FV496 S1D1 m7443-7493']</t>
  </si>
  <si>
    <t>LINESTRING Z (93250.606 6463988.811 2.453, 93250.598 6463988.41 2.45, 93250.519 6463984.484 2.42, 93250.5 6463981.457 2.4, 93250.54 6463980.548 2.39, 93250.658 6463979.502 2.37, 93251.104 6463976.836 2.33, 93252.048 6463972.316 2.32, 93253.974 6463963.462 2.21, 93255.594 6463956.034 2.13, 93256.59 6463951.529 2.05, 93256.856 6463950.569 2.04, 93257.172 6463949.606 2, 93257.453 6463948.695 1.99, 93258.8 6463944.964 1.92, 93260.83 6463939.31 1.79)</t>
  </si>
  <si>
    <t>POINT (93254.29624783952 6463963.804752667)</t>
  </si>
  <si>
    <t>['FV496 S1D1 m6851-6896']</t>
  </si>
  <si>
    <t>LINESTRING Z (92937.617 6464340.862 11.39, 92936.858 6464342.62 11.54, 92936.103 6464344.528 11.62, 92934.116 6464350.209 11.85, 92933.43 6464352.222 11.92, 92933.016 6464353.104 11.99, 92932.477 6464354.047 12.03, 92929.462 6464359.034 12.3, 92926.05 6464364.651 12.56, 92924.665 6464366.937 12.67, 92924.128 6464367.8 12.68, 92923.452 6464368.565 12.72, 92919.818 6464372.481 12.97, 92914.454 6464378.312 13.37)</t>
  </si>
  <si>
    <t>POINT (92927.57345883873 6464360.53834873)</t>
  </si>
  <si>
    <t>['FV496 S1D1 m6913-6982']</t>
  </si>
  <si>
    <t>LINESTRING Z (92939.904 6464321.082 11.03, 92940.307 6464320.864 11, 92940.678 6464320.62 10.97, 92941.065 6464320.223 10.96, 92941.296 6464319.992 10.94, 92944.032 6464315.824 10.74, 92947.437 6464310.691 10.48, 92949.066 6464308.212 10.36, 92949.61 6464307.429 10.31, 92950.207 6464306.681 10.26, 92950.844 6464305.93 10.22, 92956.279 6464299.992 9.96, 92958.265 6464297.894 9.88, 92958.981 6464297.236 9.9, 92964.779 6464292.433 10.03, 92970.498 6464287.757 10.16, 92972.762 6464285.966 10.17, 92973.584 6464285.48 10.21, 92979.92 6464282.65 10.34, 92984.696 6464280.473 10.45, 92989.264 6464278.466 10.58, 92991.054 6464277.662 10.57, 92992.039 6464277.202 10.58, 92993.644 6464276.254 10.49)</t>
  </si>
  <si>
    <t>POINT (92964.26962022838 6464295.669494575)</t>
  </si>
  <si>
    <t>['FV457 S1D1 m778-851']</t>
  </si>
  <si>
    <t>LINESTRING Z (86085.103 6462497.687 18.45, 86085.672 6462497.415 18.45, 86092.835 6462495.055 18.66, 86099.475 6462492.802 18.83, 86101.838 6462492.108 18.89, 86103.704 6462491.257 18.94, 86111.048 6462487.996 18.95, 86118.317 6462484.67 18.83, 86120.813 6462483.562 18.75, 86125.359 6462481.285 18.6, 86129.238 6462479.329 18.46, 86130.931 6462478.232 18.39, 86132.762 6462476.882 18.31, 86138.802 6462472.187 18.04, 86144.13 6462468.09 17.75, 86148.824 6462464.773 17.48, 86149.833 6462464.019 17.44)</t>
  </si>
  <si>
    <t>POINT (86118.63788784582 6462483.057870014)</t>
  </si>
  <si>
    <t>['FV457 S1D1 m472-525']</t>
  </si>
  <si>
    <t>LINESTRING Z (85817.612 6462644.988 9.675, 85818.775 6462644.004 9.679, 85819.465 6462643.452 9.682, 85824.994 6462638.598 9.702, 85829.284 6462634.841 9.717, 85841.932 6462626.451 9.759, 85843.341 6462625.574 9.763, 85844.466 6462624.957 9.767, 85850.407 6462622.477 9.784, 85857.02 6462619.596 9.804, 85862.186 6462616.56 9.781)</t>
  </si>
  <si>
    <t>POINT (85839.08370572228 6462629.515633976)</t>
  </si>
  <si>
    <t>['FV457 S1D1 m405-453']</t>
  </si>
  <si>
    <t>LINESTRING Z (85806.14 6462662.923 9.745, 85805.225 6462663.521 9.747, 85803.81 6462664.467 9.739, 85797.861 6462668.591 9.846, 85793.206 6462671.841 9.874, 85791.594 6462672.813 9.886, 85787.61 6462674.891 9.928, 85782.002 6462677.635 10.009, 85777.506 6462679.877 10.074, 85776.411 6462680.427 10.06, 85775.509 6462680.759 10.049, 85774.494 6462681.153 10.063, 85772.297 6462681.796 10.036, 85768.577 6462682.622 9.92, 85763.119 6462684.513 9.72)</t>
  </si>
  <si>
    <t>POINT (85785.31302677261 6462675.132626797)</t>
  </si>
  <si>
    <t>['FV482 S1D1 m360-395']</t>
  </si>
  <si>
    <t>LINESTRING Z (88734.179 6467247.015 3.5, 88734.05 6467248.656 3.547, 88733.842 6467250.281 3.59, 88733.717 6467251.304 3.634, 88732.965 6467254.259 3.761, 88732.079 6467257.393 3.842, 88731.096 6467260.998 3.973, 88730.143 6467263.737 4.019, 88729.042 6467266.831 4.156, 88728.804 6467267.624 4.201, 88727.154 6467271.379 4.37, 88724.683 6467277.183 4.668, 88723.642 6467279.667 4.794)</t>
  </si>
  <si>
    <t>POINT (88729.74687389332 6467263.5827631205)</t>
  </si>
  <si>
    <t>2016-09-22</t>
  </si>
  <si>
    <t>[187]</t>
  </si>
  <si>
    <t>['FV187 S2D1 m1141-1199']</t>
  </si>
  <si>
    <t>LINESTRING Z (285534.497 6747511.469 159.741, 285537.713 6747512.47 159.791, 285544.601 6747515.284 160.041, 285549.554 6747517.362 160.261, 285551.866 6747517.933 160.331, 285571.996 6747521.743 160.671, 285574.429 6747522.083 160.741, 285577.048 6747522.054 160.761, 285587.115 6747521.733 160.791, 285590.286 6747521.804 160.861)</t>
  </si>
  <si>
    <t>POINT (285561.9951705412 6747518.841169788)</t>
  </si>
  <si>
    <t>2016-10-07</t>
  </si>
  <si>
    <t>['FV40 S15D1 m2209-2278']</t>
  </si>
  <si>
    <t>LINESTRING Z (196500.651912984 6642234.72678542 -999999, 196502.573403736 6642253.94169294 -999999, 196503.074662193 6642264.55166362 -999999, 196503.492377574 6642275.24517737 -999999, 196503.993636031 6642287.27538034 -999999, 196503.57592065 6642293.0398526 -999999, 196502.824032965 6642304.23462481 -999999)</t>
  </si>
  <si>
    <t>POINT (196502.85791291753 6642269.461232121)</t>
  </si>
  <si>
    <t>['FV5306 S1D1 m5305-5353']</t>
  </si>
  <si>
    <t>LINESTRING Z (-33986.3500976563 6744984.16992188 38.193, -33983.0900878906 6744990.69042969 38.103, -33982.8798828125 6744991.50976563 38.093, -33982.419921875 6744993.61035156 38.023, -33980.2099609375 6745013.84960938 37.643, -33980.3798828125 6745016.20019531 37.603, -33980.5600585938 6745017.75 37.583, -33984.7700195312 6745034.46972656 37.513)</t>
  </si>
  <si>
    <t>POINT (-33982.25429354743 6745009.127610648)</t>
  </si>
  <si>
    <t>['FV5306 S1D1 m4728-4782']</t>
  </si>
  <si>
    <t>LINESTRING Z (-34133.75 6744505.48046875 49.083, -34131.75 6744518.12011719 48.743, -34134.580078125 6744538.21972656 48.373, -34135.3601074219 6744541.21972656 48.293, -34138.080078125 6744546.88964844 48.173, -34144.169921875 6744558.94042969 47.933)</t>
  </si>
  <si>
    <t>POINT (-34135.48916383596 6744532.819815514)</t>
  </si>
  <si>
    <t>['FV5306 S1D1 m2102-2167']</t>
  </si>
  <si>
    <t>LINESTRING Z (-32754.5297851563 6742462.98046875 100.034, -32743.1401367188 6742446.16992188 101.464, -32738.1801757813 6742440.11035156 102.084, -32724.66015625 6742424.86035156 103.724, -32711.6298828125 6742414.44042969 105.124)</t>
  </si>
  <si>
    <t>POINT (-32734.55645703427 6742437.360162152)</t>
  </si>
  <si>
    <t>['FV558 S1D1 m6442-6477']</t>
  </si>
  <si>
    <t>LINESTRING Z (-37040.8900146484 6731313.44995117 25.155, -37041.3099975586 6731312.44995117 25.105, -37041.6400146484 6731311.90002441 25.055, -37041.8499755859 6731311.56005859 25.055, -37042.4899902344 6731310.79003906 24.985, -37042.7600097656 6731310.52001953 24.975, -37044.0399780273 6731309.22998047 24.905, -37044.2800292969 6731309.04003906 24.895, -37044.6400146484 6731308.76000977 24.845, -37044.9299926758 6731308.56994629 24.825, -37047.3200073242 6731306.31994629 24.635, -37049.9199829102 6731303.88000488 24.465, -37052.4899902344 6731301.47998047 24.295, -37054.3400268555 6731299.77001953 24.175, -37056.0399780273 6731298.18005371 24.055, -37056.4799804688 6731297.65002441 24.035, -37056.6400146484 6731297.44995117 24.015, -37057.4699707031 6731296.80004883 23.975, -37057.6500244141 6731296.68994141 23.975, -37058.5700073242 6731296.06005859 23.935, -37059.5800170898 6731295.51000977 23.825, -37063.1300048828 6731293.45996094 23.605, -37064.7299804688 6731292.61999512 23.515, -37065.950012207 6731291.93005371 23.425, -37066.1400146484 6731291.83996582 23.415, -37066.5900268555 6731291.55004883 23.395, -37067.0700073242 6731291.25 23.365, -37067.9899902344 6731290.68005371 23.345, -37068.6900024414 6731290.17004395 23.275)</t>
  </si>
  <si>
    <t>POINT (-37053.93387661113 6731300.846697871)</t>
  </si>
  <si>
    <t>['FV5306 S1D1 m562-612']</t>
  </si>
  <si>
    <t>LINESTRING Z (-31362.5498046875 6742267.62011719 89.805, -31358.5200195313 6742262.99023437 89.775, -31354.5297851563 6742258.79003906 89.555, -31351.740234375 6742256.55957031 89.605, -31336.4599609375 6742246.08007813 89.605, -31331.9799804687 6742243.74023438 89.625, -31320.7900390625 6742238.98046875 89.635)</t>
  </si>
  <si>
    <t>POINT (-31342.92484735251 6742251.524319362)</t>
  </si>
  <si>
    <t>['FV5306 S1D1 m662-712']</t>
  </si>
  <si>
    <t>LINESTRING Z (-31381.740234375 6742297.15039063 89.605, -31393.8901367188 6742311.16015625 89.615, -31408.8901367188 6742323.70996094 89.715, -31422.1499023438 6742331.0703125 89.905)</t>
  </si>
  <si>
    <t>POINT (-31400.68707395596 6742315.646159104)</t>
  </si>
  <si>
    <t>['FV5306 S1D1 m4993-5025']</t>
  </si>
  <si>
    <t>LINESTRING Z (-34161.169921875 6744756.66992188 52.123, -34161.1298828125 6744757.69042969 52.123, -34159.3100585938 6744777.95996094 52.273, -34159.1398925781 6744779.88964844 52.333, -34159.1499023438 6744781.37011719 52.383, -34159.4099121094 6744789.08984375 52.563)</t>
  </si>
  <si>
    <t>POINT (-34159.91762390981 6744772.869892094)</t>
  </si>
  <si>
    <t>['FV5306 S1D1 m2207-2275']</t>
  </si>
  <si>
    <t>LINESTRING Z (-32820.9702148438 6742547.44042969 91.844, -32816.6801757813 6742543.8203125 92.314, -32804.2700195313 6742533.46972656 93.554, -32790.7797851562 6742518.41992188 95.444, -32788.0600585938 6742515.48046875 95.774, -32787.1201171875 6742514.25 95.914, -32785.7099609375 6742512.21972656 96.134, -32777.0400390625 6742499.24023438 97.444, -32775.7900390625 6742497.62011719 97.594)</t>
  </si>
  <si>
    <t>POINT (-32796.90803885112 6742523.865601837)</t>
  </si>
  <si>
    <t>['FV5306 S1D1 m2630-2695']</t>
  </si>
  <si>
    <t>LINESTRING Z (-33054.6000976563 6742812.19042969 65.094, -33063.4599609375 6742825.80957031 64.994, -33064.0400390625 6742826.90039063 65.004, -33065.740234375 6742831.00976563 64.934, -33072.509765625 6742850.12988281 64.924, -33073.8598632812 6742854.86035156 64.894, -33074.2700195313 6742856.45996094 64.784, -33074.4799804688 6742857.37011719 64.864, -33076.1499023438 6742874.20996094 64.504)</t>
  </si>
  <si>
    <t>POINT (-33068.34905958583 6742842.160007828)</t>
  </si>
  <si>
    <t>['FV5306 S1D1 m1655-1709']</t>
  </si>
  <si>
    <t>LINESTRING Z (-32378.4501953125 6742307.58007813 113.724, -32361.91015625 6742311.00976563 111.184, -32342.9501953125 6742318.20996094 110.564, -32342.3100585938 6742318.5 110.554, -32329.9501953125 6742325.53027344 109.234)</t>
  </si>
  <si>
    <t>POINT (-32353.604314473516 6742314.958284967)</t>
  </si>
  <si>
    <t>['FV558 S1D1 m5857-5912']</t>
  </si>
  <si>
    <t>LINESTRING Z (-36707.0799560547 6731719.5 45.445, -36706.0699462891 6731721.13000488 45.545, -36701.7900390625 6731726.35998535 45.875, -36688.6600341797 6731741.94995117 46.555, -36679.1600341797 6731757.57995606 47.065, -36677.2800292969 6731760.33996582 47.145, -36675.5699462891 6731762.68005371 47.225, -36674.3499755859 6731764.26000977 47.265)</t>
  </si>
  <si>
    <t>POINT (-36690.22175665386 6731741.51814013)</t>
  </si>
  <si>
    <t>['FV5306 S1D1 m1195-1245']</t>
  </si>
  <si>
    <t>LINESTRING Z (-31887.009765625 6742438.28027344 90.754, -31897.1098632813 6742439.75976563 90.584, -31902.240234375 6742440 90.514, -31921.7001953125 6742439.34960938 90.534, -31936.7700195313 6742435.9296875 90.604)</t>
  </si>
  <si>
    <t>POINT (-31911.978244161255 6742438.937154682)</t>
  </si>
  <si>
    <t>['FV5306 S1D1 m4812-4859']</t>
  </si>
  <si>
    <t>LINESTRING Z (-34181.5600585937 6744628.51953125 50.683, -34181.580078125 6744625.08007813 50.553, -34181.6201171875 6744623.54003906 50.503, -34181.3100585938 6744621.76953125 50.503, -34174.2900390625 6744602.71972656 49.413, -34173.0300292969 6744599.41015625 49.223, -34172.0500488281 6744597.62988281 49.153, -34163.0600585938 6744584.21972656 48.443)</t>
  </si>
  <si>
    <t>POINT (-34174.41170201556 6744605.598386206)</t>
  </si>
  <si>
    <t>['FV5306 S1D1 m6457-6517']</t>
  </si>
  <si>
    <t>LINESTRING Z (-33228.9702148438 6745081.66015625 66.183, -33225.83984375 6745079.90039063 66.163, -33222.3500976563 6745077.50976563 66.123, -33219.0698242188 6745076.04003906 66.183, -33216.4301757813 6745075.12988281 66.213, -33208.58984375 6745072.95996094 66.313, -33188.2797851563 6745067.28027344 66.623, -33186.2099609375 6745066.86035156 66.633, -33185.0200195313 6745066.8203125 66.683, -33177.8198242188 6745067.12011719 66.743, -33175.7202148438 6745067.16992188 66.833, -33174.4702148438 6745067.08984375 66.863, -33172.9799804688 6745066.87011719 66.903)</t>
  </si>
  <si>
    <t>POINT (-33201.62546058496 6745071.785666367)</t>
  </si>
  <si>
    <t>['FV5306 S1D1 m1732-1802']</t>
  </si>
  <si>
    <t>LINESTRING Z (-32402.9501953125 6742306.62011719 112.444, -32404.1899414062 6742306.37011719 112.514, -32421.740234375 6742302.36035156 113.164, -32430.1499023438 6742299.61035156 113.544, -32430.4501953125 6742299.48046875 113.544, -32449.259765625 6742292.5703125 114.424, -32452.830078125 6742291.3203125 114.524, -32455.0600585937 6742290.19042969 114.624, -32461.9501953125 6742286.74023438 114.894, -32468.0600585938 6742283.75 115.194)</t>
  </si>
  <si>
    <t>POINT (-32436.046364523136 6742296.721501726)</t>
  </si>
  <si>
    <t>2016-10-14</t>
  </si>
  <si>
    <t>['FV546 S1D1 m2113-2177']</t>
  </si>
  <si>
    <t>LINESTRING Z (-33558.27 6721171.77 55.694, -33559.29 6721173.91 55.714, -33560.49 6721176.41 55.764, -33561.85 6721179.25 55.794, -33563.09 6721181.98 55.834, -33564.23 6721184.82 55.854, -33565.24 6721187.64 55.904, -33566.26 6721190.45 55.964, -33566.65 6721191.61 56.024, -33566.96 6721192.45 56.264, -33567.36 6721193.49 56.264, -33567.7 6721194.44 56.274, -33568.03 6721195.41 56.274, -33568.41 6721196.38 56.284, -33568.74 6721197.35 56.294, -33569.09 6721198.31 56.304, -33569.43 6721199.25 56.314, -33569.79 6721200.23 56.324, -33570.15 6721201.24 56.324, -33570.47 6721202.18 56.334, -33570.8 6721203.13 56.344, -33571.16 6721204.1 56.354, -33571.4 6721205.02 56.094, -33573.59 6721211.05 56.054, -33574.25 6721213.72 56.044, -33574.44 6721216.56 55.984, -33574.48 6721220.22 55.934, -33574.61 6721223.39 55.974, -33575.1 6721227.73 56.014, -33575.42 6721229.62 56.014, -33575.51 6721229.91 56.014)</t>
  </si>
  <si>
    <t>POINT (-33568.89722689622 6721200.320696904)</t>
  </si>
  <si>
    <t>[5168]</t>
  </si>
  <si>
    <t>['FV5168 S1D1 m20-75']</t>
  </si>
  <si>
    <t>LINESTRING Z (-33618.49 6721261.45 55.304, -33619.23 6721261.16 55.284, -33621.8 6721260.29 55.214, -33625.13 6721259.2 55.134, -33628.56 6721258.05 55.014, -33631.94 6721256.92 54.884, -33634.74 6721255.92 54.764, -33636.73 6721255.06 54.674, -33639.71 6721253.6 54.534, -33642.27 6721252.3 54.534, -33643.15 6721251.83 54.544, -33644.06 6721251.37 54.514, -33644.98 6721250.9 54.484, -33645.86 6721250.46 54.444, -33646.78 6721249.99 54.414, -33647.7 6721249.53 54.374, -33648.59 6721249.08 54.334, -33649.51 6721248.62 54.294, -33650.43 6721248.16 54.254, -33651.34 6721247.71 54.214, -33652.23 6721247.25 54.184, -33653.14 6721246.8 54.124, -33653.82 6721246.34 53.934, -33654.53 6721245.8 53.924, -33656.19 6721244.54 53.854, -33658.38 6721242.87 53.784, -33660.19 6721241.46 53.744, -33662.12 6721239.97 53.704, -33663.72 6721238.79 53.674, -33665.25 6721237.68 53.654, -33666.91 6721236.68 53.614)</t>
  </si>
  <si>
    <t>POINT (-33643.52634854127 6721250.652213004)</t>
  </si>
  <si>
    <t>2017-06-01</t>
  </si>
  <si>
    <t>['RV4 S9D1 m7706-7797']</t>
  </si>
  <si>
    <t>LINESTRING Z (256480.43 6699231.97 204.061, 256480.41 6699232.79 204.061, 256480.73 6699237.83 204.091, 256481.02 6699242.87 204.111, 256481.27 6699247.93 204.141, 256481.5 6699252.98 204.181, 256481.69 6699258.04 204.211, 256481.86 6699263.1 204.251, 256481.49 6699268.13 204.251, 256481.09 6699273.16 204.251, 256480.67 6699278.18 204.251, 256480.21 6699283.2 204.261, 256479.73 6699288.22 204.261, 256479.22 6699293.24 204.271, 256478.17 6699298.19 204.251, 256477.1 6699303.14 204.221, 256475.99 6699308.08 204.201, 256474.86 6699313.01 204.181, 256473.71 6699317.92 204.161, 256472.51 6699322.83 204.141)</t>
  </si>
  <si>
    <t>POINT (256479.27483537697 6699277.647933527)</t>
  </si>
  <si>
    <t>['RV4 S9D1 m7457-7547']</t>
  </si>
  <si>
    <t>LINESTRING Z (256451.11 6698984.24 205.54, 256452.91 6698988.96 205.54, 256454.68 6698993.7 205.55, 256456.43 6698998.45 205.55, 256458.15 6699003.2 205.56, 256459.83 6699007.98 205.56, 256461.49 6699012.76 205.56, 256462.63 6699017.67 205.53, 256463.74 6699022.59 205.5, 256464.83 6699027.51 205.47, 256465.88 6699032.44 205.43, 256466.91 6699037.38 205.4, 256467.9 6699042.32 205.37, 256468.38 6699047.36 205.3, 256468.82 6699052.41 205.231, 256469.24 6699057.45 205.161, 256469.61 6699062.5 205.091, 256469.97 6699067.54 205.021, 256470.28 6699072.58 204.951)</t>
  </si>
  <si>
    <t>POINT (256463.4486835111 6699027.812499569)</t>
  </si>
  <si>
    <t>['RV4 S9D1 m7957-8047']</t>
  </si>
  <si>
    <t>LINESTRING Z (256434.65 6699478.83 205.611, 256433.46 6699483.74 205.731, 256432.24 6699488.64 205.841, 256430.98 6699493.54 205.951, 256429.7 6699498.43 206.071, 256428.38 6699503.32 206.181, 256427.04 6699508.21 206.301, 256425.2 6699512.9 206.391, 256423.33 6699517.59 206.471, 256422.63 6699519.32 206.501, 256421.07 6699523.13 206.581, 256419.51 6699526.91 206.651, 256417.56 6699531.57 206.731, 256415.57 6699536.21 206.821, 256413.11 6699540.63 206.871, 256410.62 6699545.04 206.921, 256408.1 6699549.42 206.971, 256405.56 6699553.8 207.021, 256402.99 6699558.14 207.071, 256400.39 6699562.48 207.121)</t>
  </si>
  <si>
    <t>POINT (256420.1268955674 6699521.7229688)</t>
  </si>
  <si>
    <t>['RV4 S9D1 m8457-8547']</t>
  </si>
  <si>
    <t>LINESTRING Z (256150.17 6699886.04 213.831, 256143.96 6699893.94 213.961, 256142.35 6699895.98 213.991, 256137.78 6699901.84 214.081, 256134.7 6699905.79 214.141, 256131.62 6699909.76 214.191, 256128.2 6699913.38 214.261, 256124.79 6699917.01 214.331, 256121.39 6699920.66 214.401, 256117.99 6699924.3 214.471, 256114.61 6699927.96 214.531, 256111.24 6699931.63 214.601, 256107.51 6699934.97 214.681, 256103.8 6699938.32 214.771, 256100.09 6699941.69 214.851, 256096.4 6699945.07 214.941, 256092.71 6699948.47 215.022, 256089.04 6699951.88 215.112)</t>
  </si>
  <si>
    <t>POINT (256120.80799184597 6699920.0739726275)</t>
  </si>
  <si>
    <t>['RV4 S9D1 m9273-9358']</t>
  </si>
  <si>
    <t>LINESTRING Z (256278.85 6699685.79 209.421, 256275.54 6699689.55 209.491, 256273.05 6699692.34 209.541, 256270.54 6699695.12 209.591, 256268.86 6699696.98 209.631, 256265.48 6699700.66 209.701, 256262.09 6699704.32 209.771, 256258.68 6699707.95 209.841, 256257.84 6699709.04 209.871, 256255.64 6699711.88 209.961, 256254.42 6699713.45 210.001, 256253.81 6699714.23 210.031, 256251.96 6699716.57 210.101, 256251.35 6699717.35 210.121, 256249.5 6699719.68 210.201, 256246.39 6699723.55 210.311, 256243.27 6699727.42 210.431, 256240.12 6699731.26 210.551, 256237.34 6699735.41 210.701, 256234.53 6699739.55 210.851, 256231.71 6699743.68 211.001, 256228.86 6699747.81 211.141, 256226 6699751.91 211.291)</t>
  </si>
  <si>
    <t>POINT (256251.48085546432 6699718.102097844)</t>
  </si>
  <si>
    <t>['RV4 S9D1 m9768-9858']</t>
  </si>
  <si>
    <t>LINESTRING Z (256435.19 6699220.67 202.871, 256434.53 6699225.63 202.821, 256433.84 6699230.58 202.781, 256433.14 6699235.53 202.731, 256432.39 6699240.46 202.691, 256431.62 6699245.4 202.651, 256430.82 6699250.32 202.611, 256430.49 6699255.27 202.611, 256430.13 6699260.22 202.611, 256429.74 6699265.17 202.621, 256429.66 6699266.16 202.621, 256429.41 6699269.12 202.621, 256429.15 6699272.09 202.621, 256429.06 6699273.08 202.631, 256428.87 6699275.05 202.631, 256428.4 6699279.99 202.641, 256428.39 6699284.97 202.681, 256428.35 6699289.97 202.731, 256428.28 6699294.96 202.781, 256428.18 6699299.96 202.831, 256428.06 6699304.96 202.891, 256427.9 6699309.95 202.941)</t>
  </si>
  <si>
    <t>POINT (256430.34123602288 6699265.211657673)</t>
  </si>
  <si>
    <t>['RV4 S9D1 m10179-10264']</t>
  </si>
  <si>
    <t>LINESTRING Z (256351.23 6698830.11 205.51, 256352.94 6698834.81 205.44, 256354.62 6698839.52 205.37, 256356.27 6698844.24 205.29, 256357.89 6698848.96 205.22, 256359.48 6698853.69 205.15, 256361.04 6698858.43 205.08, 256363.04 6698862.98 205.04, 256365 6698867.53 205.01, 256366.94 6698872.1 204.97, 256368.85 6698876.68 204.94, 256370.74 6698881.26 204.9, 256372.59 6698885.87 204.87, 256374.88 6698890.3 204.87, 256377.15 6698894.74 204.87, 256379.4 6698899.21 204.88, 256381.61 6698903.68 204.88, 256383.82 6698908.18 204.88)</t>
  </si>
  <si>
    <t>POINT (256366.46786910266 6698869.590665958)</t>
  </si>
  <si>
    <t>['EV39 S122D1 m1982-2058']</t>
  </si>
  <si>
    <t>LINESTRING Z (55841.017 6456927.418 5.73, 55864.173 6456923.864 4.92, 55888.031 6456916.219 4.791, 55910.522 6456904.996 4.091, 55912.674 6456903.233 4.021)</t>
  </si>
  <si>
    <t>POINT (55877.81085235939 6456918.074718415)</t>
  </si>
  <si>
    <t>['EV39 S122D1 m900-980']</t>
  </si>
  <si>
    <t>LINESTRING Z (54919.439 6457452.053 18.28, 54921.923 6457450.102 18.41, 54943.688 6457436.53 20.25, 54967.291 6457428.136 20.3, 54992.747 6457424.95 21.81, 54994.335 6457425.448 21.89)</t>
  </si>
  <si>
    <t>POINT (54955.499790244925 6457434.556562686)</t>
  </si>
  <si>
    <t>[8090]</t>
  </si>
  <si>
    <t>['FV8090 S1D1 m259-299']</t>
  </si>
  <si>
    <t>LINESTRING Z (1074785.77 7859613.28 3.814, 1074807.9 7859618.99 3.724, 1074801.3 7859619.98 3.654, 1074788.8 7859616.76 3.784, 1074776.74 7859613.84 3.824, 1074768.76 7859608.51 3.604, 1074788.47 7859613.98 3.804)</t>
  </si>
  <si>
    <t>2016-12-02</t>
  </si>
  <si>
    <t>[2779]</t>
  </si>
  <si>
    <t>['FV2779 S1D1 m2561-2633']</t>
  </si>
  <si>
    <t>LINESTRING Z (197956.56 6622644.76 175.301, 197956.67 6622644.84 175.301, 197960.5 6622651.25 175.281, 197963.8 6622658.68 175.311, 197967.14 6622666.17 175.341, 197970.35 6622673.78 175.231, 197973.14 6622680.22 175.111, 197976.23 6622687.72 174.901, 197979.25 6622694.82 174.691, 197982.39 6622701.52 174.281, 197985.93 6622708.93 173.971, 197985.78 6622708.3 173.981, 197983.73 6622700.75 174.351, 197981.66 6622693.81 174.591, 197979.21 6622686.95 174.831, 197976.49 6622680.26 175.021, 197973.67 6622673.37 175.171, 197970.51 6622666.69 175.281, 197967.25 6622660.05 175.331, 197963.64 6622653.62 175.301, 197959.53 6622647.77 175.251, 197956.56 6622644.76 175.301)</t>
  </si>
  <si>
    <t>['EV18 S31D1 m6180-6253']</t>
  </si>
  <si>
    <t>LINESTRING Z (216022.1640625 6559192.33398438 18.672, 216022.146972656 6559192.32617187 18.671, 216017.586914062 6559190.20507813 18.497, 216013.033935547 6559188.07324219 18.322, 216011.229003906 6559187.22412109 18.253, 216011.209960938 6559187.21484375 18.252, 216003.919921875 6559183.76416016 17.972, 215999.368896484 6559181.59082031 17.797, 215994.841064453 6559179.41601563 17.623, 215994.823974609 6559179.40722656 17.622, 215987.978027344 6559175.20507813 17.302, 215986.269042969 6559174.14990234 17.222, 215979.657958984 6559170.04785156 16.912, 215977.741943359 6559168.85107422 16.822, 215976.891113281 6559168.31884766 16.782, 215976.635986328 6559168.16015625 16.77, 215976.604980469 6559168.14111328 16.769, 215976.040039063 6559167.78710937 16.742, 215975.251953125 6559167.29296875 16.705, 215974.337890625 6559166.72021484 16.662, 215972.637939453 6559165.65185547 16.582, 215970.938964844 6559164.58203125 16.502, 215969.240966797 6559163.50976563 16.422, 215967.791992188 6559162.046875 16.319, 215966.343017578 6559160.58203125 16.216, 215964.680908203 6559158.89599609 16.097, 215964.655029297 6559158.87109375 16.096, 215963.507080078 6559157.70507813 16.014, 215963.467041016 6559157.6640625 16.011, 215963.451904297 6559157.64892578 16.01, 215963.441894531 6559157.63818359 16.009, 215963.437988281 6559157.63378906 16.009, 215963.427978516 6559157.62402344 16.008, 215963.4140625 6559157.60888672 16.007, 215963.081054688 6559157.27099609 15.983, 215963.066894531 6559157.25585938 15.982, 215963.052978516 6559157.2421875 15.981, 215962.625976563 6559156.80908203 15.951, 215962.227050781 6559156.40087891 15.922, 215962.200927734 6559156.37597656 15.92, 215962.010009766 6559156.18115234 15.907, 215960.388916016 6559154.52783203 15.791, 215959.864990234 6559153.99316406 15.753, 215959.851074219 6559153.97705078 15.752)</t>
  </si>
  <si>
    <t>POINT (215989.69620838977 6559175.088906198)</t>
  </si>
  <si>
    <t>['EV18 S31D1 m4967-5057']</t>
  </si>
  <si>
    <t>LINESTRING Z (216246.652099609 6559283.23193359 28.451, 216246.636962891 6559283.22021484 28.45, 216242.604003906 6559280.27197266 28.277, 216242.586914063 6559280.25976563 28.276, 216236.08203125 6559275.53417969 27.997, 216236.065917969 6559275.52197266 27.996, 216234.431884766 6559274.33984375 27.926, 216230.343017578 6559271.39208984 27.751, 216226.248046875 6559268.45507813 27.576, 216225.427978516 6559267.8671875 27.541, 216222.162109375 6559265.53710938 27.402, 216222.145996094 6559265.52490234 27.401, 216221.357910156 6559265.07421875 27.365, 216220.843994141 6559264.78076172 27.341, 216219.748046875 6559264.15478516 27.291, 216217.787109375 6559263.03710938 27.201, 216216.041992188 6559262.04589844 27.121, 216214.295898437 6559261.05419922 27.041, 216212.550048828 6559260.06494141 26.961, 216210.802001953 6559259.078125 26.881, 216209.053955078 6559258.09179688 26.801, 216208.264892578 6559257.64794922 26.765, 216207.749023438 6559257.35791016 26.741, 216207.231933594 6559257.06689453 26.717, 216207.215087891 6559257.05712891 26.717, 216207.197021484 6559257.046875 26.716, 216206.794921875 6559256.82177734 26.697, 216206.777099609 6559256.81201172 26.697, 216206.760009766 6559256.80175781 26.696, 216206.680908203 6559256.75683594 26.692, 216205.290039063 6559255.97607422 26.629, 216202.928955078 6559254.65380859 26.521, 216200.299072266 6559253.18603516 26.401, 216198.326904297 6559252.08691406 26.311, 216195.915039062 6559250.74707031 26.201, 216193.402099609 6559249.66503906 26.079, 216191.927978516 6559249.03222656 26.007, 216191.281982422 6559248.75585938 25.976, 216186.6640625 6559246.78320313 25.752, 216183.863037109 6559245.59277344 25.616, 216182.008056641 6559244.80517578 25.526, 216172.724121094 6559240.89599609 25.076, 216168.099121094 6559238.96289063 24.852, 216168.080078125 6559238.95507813 24.851)</t>
  </si>
  <si>
    <t>POINT (216208.491685795 6559259.096585884)</t>
  </si>
  <si>
    <t>['EV18 S31D1 m6696-6786']</t>
  </si>
  <si>
    <t>LINESTRING Z (215615.962890625 6558875.99194336 2.774, 215615.947021484 6558875.97998047 2.774, 215615.770019531 6558875.83203125 2.772, 215612.858886719 6558873.42407227 2.741, 215612.278076172 6558872.94189453 2.735, 215612.100097656 6558872.79394531 2.733, 215612.083984375 6558872.78100586 2.733, 215611.905029297 6558872.6340332 2.731, 215611.891113281 6558872.62011719 2.731, 215611.711914063 6558872.47192383 2.729, 215611.696044922 6558872.45898437 2.729, 215611.519042969 6558872.31201172 2.727, 215611.502929688 6558872.29907227 2.727, 215611.309082031 6558872.13696289 2.725, 215607.822021484 6558869.23388672 2.687, 215604.343994141 6558866.32397461 2.65, 215602.799072266 6558865.02807617 2.634, 215601.173095703 6558863.65991211 2.616, 215600.979980469 6558863.49707031 2.614, 215600.787109375 6558863.33496094 2.612, 215599.631103516 6558862.36010742 2.6, 215599.437988281 6558862.19702148 2.598, 215599.245117188 6558862.03491211 2.596, 215598.281982422 6558861.22094727 2.585, 215598.090087891 6558861.05908203 2.583, 215597.913085938 6558860.90893555 2.581, 215597.902099609 6558860.90087891 2.581, 215597.896972656 6558860.89501953 2.581, 215597.720947266 6558860.74707031 2.579, 215597.709960938 6558860.73706055 2.579, 215597.705078125 6558860.73291016 2.579, 215597.528076172 6558860.58300781 2.577, 215597.517089844 6558860.57495117 2.577, 215597.511962891 6558860.57006836 2.577, 215596.632080078 6558859.82495117 2.568, 215596.549072266 6558859.75488281 2.567, 215596.356933594 6558859.59204102 2.565, 215596.1640625 6558859.42895508 2.563, 215595.989013672 6558859.27905273 2.561, 215595.795898438 6558859.11694336 2.559, 215595.604003906 6558858.95288086 2.557, 215595.010986328 6558858.45092774 2.55, 215594.819091797 6558858.28710938 2.548, 215594.625976562 6558858.12402344 2.546, 215594.258056641 6558857.81005859 2.542, 215594.065917969 6558857.64794922 2.54, 215593.874023438 6558857.48388672 2.538, 215593.718017578 6558857.35205078 2.536, 215593.524902344 6558857.18798828 2.534, 215593.474121094 6558857.14306641 2.534, 215593.333007813 6558857.02392578 2.532, 215593.281005859 6558856.98095703 2.532, 215593.089111328 6558856.81689453 2.53, 215592.979980469 6558856.72412109 2.528, 215592.803955078 6558856.57397461 2.527, 215592.7890625 6558856.56103516 2.526, 215592.614990234 6558856.37988281 2.523, 215592.522949219 6558856.28588867 2.521, 215592.350097656 6558856.10498047 2.518, 215592.175048828 6558855.9230957 2.515, 215591.570068359 6558855.29394531 2.503, 215591.395996094 6558855.11303711 2.5, 215591.222900391 6558854.93188477 2.496, 215590.179931641 6558853.84594727 2.477, 215590.007080078 6558853.6640625 2.473, 215589.833007813 6558853.48291016 2.47, 215589.312011719 6558852.93896484 2.46, 215588.791015625 6558852.39501953 2.45, 215588.617919922 6558852.21289063 2.447, 215588.444091797 6558852.03198242 2.443, 215587.404052734 6558850.94311524 2.424, 215587.229980469 6558850.76293945 2.42, 215587.196044922 6558850.72607422 2.42, 215587.169921875 6558850.69897461 2.419, 215587.058105469 6558850.58105469 2.417, 215587.021972656 6558850.54394531 2.416, 215586.997070313 6558850.51806641 2.416, 215586.988037109 6558850.50805664 2.416, 215586.849121094 6558850.36303711 2.413, 215586.822998047 6558850.3359375 2.412, 215586.814941406 6558850.32592773 2.412, 215586.641113281 6558850.14404297 2.409, 215586.018066406 6558849.4909668 2.397, 215585.844970703 6558849.30908203 2.394, 215585.810058594 6558849.27294922 2.393, 215585.672119141 6558849.12695313 2.39, 215585.650878906 6558849.10498047 2.39, 215585.636962891 6558849.09106445 2.39, 215585.623046875 6558849.07592774 2.389, 215585.498046875 6558848.94604492 2.387, 215585.464111328 6558848.90893555 2.386, 215585.324951172 6558848.76391602 2.384, 215585.153076172 6558848.58203125 2.38, 215584.633056641 6558848.03710938 2.37, 215584.4609375 6558847.85498047 2.367, 215584.426025391 6558847.81811523 2.367, 215584.288085937 6558847.6730957 2.364, 215584.252929687 6558847.63598633 2.363, 215584.080078125 6558847.45410156 2.36, 215583.769042969 6558847.12695313 2.354, 215583.077880859 6558846.39892578 2.341, 215583.050048828 6558846.37011719 2.34, 215582.386962891 6558845.66992188 2.327, 215581.951904297 6558845.2109375 2.319, 215581.889892578 6558845.14599609 2.318, 215581.875976563 6558845.13110352 2.318, 215581.862060547 6558845.11694336 2.317, 215581.543945313 6558844.78100586 2.311, 215581.530029297 6558844.76611328 2.311, 215581.516113281 6558844.75195313 2.311, 215581.108886719 6558844.32202148 2.303, 215580.701904297 6558843.89208984 2.295, 215578.532958984 6558841.59399414 2.253, 215576.812988281 6558839.76708984 2.22, 215575.498046875 6558838.36694336 2.195, 215574.811035156 6558837.63500977 2.181, 215574.125 6558836.90209961 2.168, 215572.066894531 6558834.70288086 2.128, 215570.936035156 6558833.21899414 2.095, 215570.574951172 6558832.74609375 2.084, 215569.011962891 6558830.68994141 2.037, 215566.574951172 6558827.47412109 1.964, 215562.935058594 6558822.64306641 1.854, 215558.705078125 6558816.99389649 1.727, 215556.899902344 6558814.57006836 1.672, 215553.912109375 6558810.54003906 1.581, 215553.899902344 6558810.52392578 1.581)</t>
  </si>
  <si>
    <t>POINT (215583.23638728674 6558844.864956762)</t>
  </si>
  <si>
    <t>['EV18 S31D1 m7196-7286']</t>
  </si>
  <si>
    <t>LINESTRING Z (215300.236083984 6558487.88500977 -3.857, 215300.221923828 6558487.87109375 -3.858, 215296.824951172 6558484.19311523 -3.899, 215290 6558476.80688477 -3.981, 215283.259033203 6558469.51098633 -4.063, 215283.249023438 6558469.50097656 -4.063, 215283.243896484 6558469.49609375 -4.063, 215283.235107422 6558469.48608399 -4.063, 215283.175048828 6558469.42211914 -4.064, 215282.149902344 6558468.31201172 -4.076, 215279.778076172 6558465.74511719 -4.105, 215279.763916016 6558465.72998047 -4.105, 215278.105957031 6558463.53198242 -4.142, 215276.75 6558461.73510742 -4.172, 215275.544921875 6558460.13793945 -4.198, 215274.340087891 6558458.54003906 -4.225, 215273.798095703 6558457.82104492 -4.237, 215273.790039063 6558457.80908203 -4.237, 215272.831054688 6558456.54003906 -4.258, 215272.785888672 6558456.47900391 -4.259, 215272.777099609 6558456.46801758 -4.259, 215272.773925781 6558456.46289063 -4.259, 215272.764892578 6558456.45092773 -4.259, 215272.752929688 6558456.43603516 -4.26, 215272.593017578 6558456.22290039 -4.263, 215272.476074219 6558456.0690918 -4.266, 215272.465087891 6558456.05297852 -4.266, 215272.451904297 6558456.03588867 -4.266, 215272.096923828 6558455.56494141 -4.274, 215271.75 6558455.10498047 -4.282, 215271.740966797 6558455.09399414 -4.282, 215270.725097656 6558453.74707031 -4.304, 215270.544921875 6558453.50805664 -4.308, 215270.535888672 6558453.49609375 -4.308, 215264.698974609 6558445.7590332 -4.437, 215263.343017578 6558443.96191406 -4.467, 215263.058105469 6558443.58300781 -4.473, 215262.7109375 6558443.12304688 -4.481, 215262.701904297 6558443.11206055 -4.481, 215261.687011719 6558441.76489258 -4.503, 215259.072998047 6558437.4699707 -4.594, 215253.846923828 6558428.87988281 -4.777, 215248.618896484 6558420.2890625 -4.96, 215246.017089844 6558416.01098633 -5.051)</t>
  </si>
  <si>
    <t>POINT (215271.53071764644 6558453.15184319)</t>
  </si>
  <si>
    <t>['EV18 S31D1 m7696-7786']</t>
  </si>
  <si>
    <t>LINESTRING Z (215024.901977539 6558070.36791992 -3.659, 215024.890991211 6558070.35107422 -3.658, 215022.182006836 6558066.15405273 -3.447, 215022.171020508 6558066.13696289 -3.447, 215019.447998047 6558061.89599609 -3.229, 215016.734985352 6558057.65087891 -3.007, 215015.112060547 6558055.09912109 -2.872, 215013.251953125 6558052.15991211 -2.714, 215011.390014648 6558049.22094727 -2.554, 215011.384033203 6558049.20800781 -2.554, 215011.337036133 6558049.13500977 -2.55, 215011.33203125 6558049.12597656 -2.549, 215010.529052734 6558047.85205078 -2.479, 215008.66394043 6558044.8840332 -2.315, 215008.651977539 6558044.86694336 -2.314, 215008.206054687 6558043.96704102 -2.271, 215007.426025391 6558042.39306641 -2.196, 215006.883056641 6558041.29589844 -2.143, 215006.425048828 6558040.37011719 -2.099, 215005.537963867 6558038.5690918 -2.011, 215004.651977539 6558036.76904297 -1.923, 215004.253051758 6558035.95800781 -1.883, 215004.246948242 6558035.94604492 -1.882, 215003.543945313 6558034.51391602 -1.811, 215003.510986328 6558034.44604492 -1.808, 215003.50402832 6558034.43310547 -1.807, 215003.501953125 6558034.42700195 -1.807, 215003.49597168 6558034.41503906 -1.806, 215003.493041992 6558034.40991211 -1.806, 215003.487060547 6558034.39697266 -1.806, 215003.369018555 6558034.15795898 -1.794, 215003.282958984 6558033.98291016 -1.785, 215003.275024414 6558033.96411133 -1.784, 215003.265991211 6558033.94702149 -1.783, 215003.005004883 6558033.41503906 -1.757, 215002.751953125 6558032.89697266 -1.731, 215002.74597168 6558032.8840332 -1.73, 215002.001953125 6558031.3659668 -1.654, 215001.869995117 6558031.0949707 -1.64, 215001.864013672 6558031.08203125 -1.64, 214999.738037109 6558026.71899414 -1.417, 214997.610961914 6558022.35595703 -1.19, 214996.626953125 6558020.32910156 -1.084, 214996.420043945 6558019.90209961 -1.061, 214996.16796875 6558019.38208008 -1.033, 214996.161010742 6558019.37011719 -1.033, 214995.425048828 6558017.85107422 -0.952, 214995.077026367 6558016.90698242 -0.909, 214993.691040039 6558013.12890625 -0.733, 214992.703979492 6558010.43798828 -0.607, 214992.583007812 6558010.10693359 -0.591, 214990.228027344 6558003.68701172 -0.287, 214986.765991211 6557994.24707031 0.16, 214985.041015625 6557989.54589844 0.383)</t>
  </si>
  <si>
    <t>POINT (215003.01379882073 6558030.927117877)</t>
  </si>
  <si>
    <t>['EV18 S31D1 m8197-8287']</t>
  </si>
  <si>
    <t>LINESTRING Z (214790.885009766 6557629.08496094 16.813, 214787.734008789 6557625.17895508 16.988, 214783.308959961 6557619.72290039 17.233, 214781.407958984 6557617.39111328 17.338, 214778.233032227 6557613.5090332 17.513, 214775.047973633 6557609.6340332 17.688, 214771.855957031 6557605.76904297 17.863, 214769.071044922 6557601.63208008 18.013, 214767.395019531 6557599.15307617 18.103, 214763.470947266 6557593.37695313 18.313, 214760.093994141 6557588.43701172 18.493, 214757.833984375 6557585.14697266 18.613, 214755.000976563 6557581.04199219 18.763, 214753.057006836 6557577.53491211 18.863, 214752.569946289 6557576.65893555 18.888, 214750.126953125 6557572.27905274 19.013, 214747.676025391 6557567.90405273 19.138, 214746.691040039 6557566.1550293 19.188, 214742.739013672 6557559.16796875 19.388, 214740.25402832 6557554.80810547 19.513)</t>
  </si>
  <si>
    <t>POINT (214764.17119085832 6557592.899708295)</t>
  </si>
  <si>
    <t>['EV18 S31D1 m2965-3056']</t>
  </si>
  <si>
    <t>LINESTRING Z (214938.694946289 6557824.62890625 8.389, 214938.687011719 6557824.61108399 8.39, 214937.937988281 6557822.76391602 8.487, 214936.807006836 6557819.98388672 8.634, 214936.798950195 6557819.96606445 8.635, 214934.890014648 6557815.30102539 8.879, 214932.972045898 6557810.64306641 9.121, 214931.104003906 6557806.13793945 9.354, 214929.228027344 6557801.63891602 9.586, 214929.099975586 6557801.33398438 9.601, 214928.998046875 6557801.09008789 9.614, 214927.930053711 6557798.54394531 9.744, 214927.156005859 6557796.70288086 9.838, 214927.147949219 6557796.68505859 9.839, 214925.827026367 6557794.26098633 9.955, 214924.744995117 6557792.27807617 10.05, 214923.781005859 6557790.51806641 10.134, 214922.816040039 6557788.75805664 10.217, 214922.491943359 6557788.16699219 10.245, 214922.206054688 6557787.64794922 10.27, 214921.921020508 6557787.12792969 10.294, 214921.911010742 6557787.11108398 10.295, 214921.901977539 6557787.09399414 10.296, 214921.848999023 6557786.99902344 10.3, 214921.678955078 6557786.68994141 10.315, 214921.670043945 6557786.67211914 10.316, 214921.659057617 6557786.65405273 10.317, 214921.615966797 6557786.57397461 10.32, 214920.845947266 6557785.17700195 10.386, 214919.911010742 6557783.48291016 10.466, 214918.938964844 6557781.72705078 10.549, 214915.526000977 6557775.5859375 10.835, 214915.036010742 6557774.70898438 10.876, 214914.311035156 6557773.41210938 10.936, 214913.933959961 6557772.73901367 10.968, 214913.531005859 6557772.01904297 11.001, 214912.583984375 6557770.33105469 11.079, 214909.686035156 6557766.20410156 11.254, 214908.525024414 6557764.5559082 11.324, 214903.865966797 6557757.97412109 11.601, 214900.942016602 6557753.87011719 11.772, 214898.009033203 6557749.77294922 11.941, 214895.079956055 6557745.70092774 12.108, 214895.067993164 6557745.68505859 12.108)</t>
  </si>
  <si>
    <t>POINT (214918.89894245853 6557784.042087595)</t>
  </si>
  <si>
    <t>['EV18 S31D1 m3511-3601']</t>
  </si>
  <si>
    <t>LINESTRING Z (215199.043945313 6558302.32006836 -7.08, 215199.034912109 6558302.30297852 -7.08, 215198.565917969 6558301.46289063 -7.088, 215198.555908203 6558301.44506836 -7.089, 215194.16796875 6558293.54907227 -7.163, 215192.229980469 6558290.03588867 -7.196, 215191.856933594 6558289.35888672 -7.202, 215189.334960938 6558284.76000977 -7.243, 215187.656005859 6558281.67797852 -7.267, 215185.977050781 6558278.5949707 -7.29, 215184.555908203 6558275.96899414 -7.307, 215184.545898438 6558275.9519043 -7.307, 215182.428955078 6558272.81591797 -7.345, 215180.312988281 6558269.6809082 -7.381, 215179.983886719 6558269.19311524 -7.386, 215178.969970703 6558267.6809082 -7.402, 215176.196044922 6558263.53710937 -7.442, 215173.431884766 6558259.38500977 -7.478, 215172.008056641 6558257.23706055 -7.495, 215171.779052734 6558256.89111328 -7.498, 215171.683105469 6558256.74609375 -7.499, 215171.357910156 6558256.25610352 -7.503, 215171.346923828 6558256.23901367 -7.503, 215171.3359375 6558256.22192383 -7.503, 215171.083007813 6558255.84008789 -7.506, 215171.072021484 6558255.82299805 -7.506, 215171.060058594 6558255.8059082 -7.506, 215171.010986328 6558255.73095703 -7.506, 215170.137939453 6558254.40795898 -7.515, 215167.934082031 6558251.06298828 -7.537, 215164.150878906 6558246.38598633 -7.593, 215162.017089844 6558243.73510742 -7.621, 215161.635986328 6558243.26098633 -7.626, 215161.018066406 6558242.4909668 -7.634, 215158.898925781 6558239.84204102 -7.66, 215156.778076172 6558237.19189453 -7.683, 215155.997070312 6558236.2109375 -7.691, 215155.373046875 6558235.42602539 -7.697, 215154.124023438 6558233.85498047 -7.709, 215152.876953125 6558232.28198242 -7.721, 215151.631103516 6558230.70898438 -7.731, 215150.386962891 6558229.1340332 -7.741, 215149.156005859 6558227.57299805 -7.75, 215149.144042969 6558227.55810547 -7.75)</t>
  </si>
  <si>
    <t>POINT (215175.4947710938 6558264.004177095)</t>
  </si>
  <si>
    <t>['EV18 S31D1 m3966-4056']</t>
  </si>
  <si>
    <t>LINESTRING Z (215472.033935547 6558666.42797852 -1.046, 215472.023925781 6558666.41088867 -1.046, 215469.404052734 6558662.17797852 -1.087, 215469.394042969 6558662.16210938 -1.087, 215464.134033203 6558653.60693359 -1.17, 215458.905029297 6558645.05297852 -1.252, 215458.895996094 6558645.03808594 -1.252, 215458.595947266 6558644.54711914 -1.257, 215456.29296875 6558640.76708984 -1.293, 215456.281982422 6558640.74902344 -1.294, 215454.625 6558638.55395508 -1.33, 215453.270019531 6558636.75805664 -1.36, 215452.064941406 6558635.15991211 -1.386, 215450.860107422 6558633.56298828 -1.413, 215450.564941406 6558633.17211914 -1.42, 215450.267089844 6558632.77807617 -1.426, 215449.910888672 6558632.3059082 -1.434, 215449.556884766 6558631.83496094 -1.442, 215449.544921875 6558631.8190918 -1.442, 215449.531982422 6558631.80297852 -1.442, 215449.254882813 6558631.43603516 -1.448, 215449.242919922 6558631.41992188 -1.449, 215449.230957031 6558631.40307617 -1.449, 215449.177001953 6558631.33203125 -1.45, 215448.218017578 6558630.06201172 -1.471, 215447.245117188 6558628.77099609 -1.493, 215441.218994141 6558620.78295898 -1.625, 215440.137939453 6558619.35009766 -1.649, 215439.863037109 6558618.98510742 -1.655, 215439.179931641 6558618.08007813 -1.67, 215438.206054688 6558616.78808594 -1.692, 215434.793945312 6558613.0949707 -1.783, 215427.968994141 6558605.70996094 -1.965, 215421.144042969 6558598.32495117 -2.148, 215417.747070313 6558594.64697266 -2.239, 215417.732910156 6558594.63208008 -2.239)</t>
  </si>
  <si>
    <t>POINT (215446.4421855351 6558629.349000098)</t>
  </si>
  <si>
    <t>['EV18 S31D1 m4467-4557']</t>
  </si>
  <si>
    <t>LINESTRING Z (215822.469970703 6559020.31103516 8.286, 215822.45703125 6559020.2980957 8.286, 215818.853027344 6559016.83398438 8.13, 215817.408935547 6559015.44091797 8.068, 215811.6640625 6559009.86889649 7.825, 215811.648925781 6559009.85498047 7.825, 215808.061035156 6559006.35107422 7.676, 215804.481933594 6559002.84008789 7.53, 215802.447021484 6559000.83496094 7.447, 215802.025878906 6559000.42089844 7.43, 215800.928955078 6558999.3359375 7.386, 215800.9140625 6558999.32202148 7.386, 215798.781982422 6558997.59692383 7.294, 215798.589111328 6558997.43994141 7.286, 215797.040039063 6558996.18310547 7.219, 215795.491943359 6558994.92504883 7.154, 215793.946044922 6558993.6640625 7.088, 215792.402099609 6558992.40405273 7.023, 215790.972900391 6558991.23608398 6.963, 215790.519042969 6558990.86206055 6.944, 215790.062988281 6558990.48999023 6.925, 215790.048095703 6558990.47705078 6.925, 215790.032958984 6558990.46508789 6.924, 215789.677978516 6558990.17407227 6.909, 215789.662109375 6558990.16088867 6.909, 215789.646972656 6558990.14794922 6.908, 215789.576904297 6558990.09106445 6.905, 215789.315917969 6558989.87597656 6.894, 215788.544921875 6558989.24291992 6.862, 215788.352050781 6558989.08496094 6.854, 215781.623046875 6558983.53100586 6.579, 215779.895996094 6558982.09692383 6.51, 215778.554931641 6558980.98193359 6.456, 215778.049072266 6558980.56005859 6.436, 215777.7890625 6558980.34301758 6.425, 215776.751953125 6558979.64111328 6.381, 215773.642089844 6558977.53100586 6.249, 215767.844970703 6558973.57299805 6.007, 215765.364990234 6558971.87011719 5.904, 215761.235107422 6558969.02294922 5.735, 215757.113037109 6558966.16503906 5.569, 215753.013916016 6558963.30810547 5.406, 215752.998046875 6558963.29589844 5.405)</t>
  </si>
  <si>
    <t>POINT (215788.7878561176 6558990.519390518)</t>
  </si>
  <si>
    <t>['EV18 S31D1 m9936-10026']</t>
  </si>
  <si>
    <t>LINESTRING Z (213388.070007324 6557339.39306641 54.241, 213385.808990479 6557343.25 54.394, 213384.309997559 6557345.83911133 54.496, 213382.32901001 6557349.29907227 54.633, 213380.856994629 6557351.90087891 54.736, 213379.397003174 6557354.5090332 54.838, 213378.912994385 6557355.37890625 54.872, 213377.229003906 6557358.42895508 54.992, 213375.559997559 6557361.48803711 55.111, 213375.256011963 6557362.05200195 55.133, 213374.614990234 6557363.23901367 55.18, 213373.964996338 6557364.44702148 55.227, 213373.454986572 6557365.40209961 55.264, 213373.446014404 6557365.41796875 55.265, 213373.440002441 6557365.42993164 55.265, 213373.434997559 6557365.43701172 55.265, 213373.42300415 6557365.45410156 55.266, 213372.371002197 6557367.08691406 55.325, 213372.17199707 6557367.39501953 55.336, 213372.097991943 6557367.51196289 55.34, 213371.302001953 6557368.75488281 55.385, 213370.236999512 6557370.42700195 55.445, 213369.436004639 6557371.68994141 55.49, 213369.177001953 6557372.10107422 55.505, 213368.380004883 6557373.36694336 55.55, 213368.122009277 6557373.77905273 55.565, 213367.514007568 6557374.75 55.599, 213366.739013672 6557375.99389649 55.644, 213366.727996826 6557376.01098633 55.644, 213366.717987061 6557376.02807617 55.645, 213366.466003418 6557376.43188477 55.659, 213365.945007324 6557377.27294922 55.689, 213365.70199585 6557377.66601563 55.703, 213364.903991699 6557378.95996094 55.749, 213364.720001221 6557379.26098633 55.76, 213364.20199585 6557380.10498047 55.79, 213362.656005859 6557382.64404297 55.88, 213361.119995117 6557385.18994141 55.97, 213359.411987305 6557388.0480957 56.071, 213359.088989258 6557388.59301758 56.09, 213358.259002686 6557389.99707031 56.139, 213357.834991455 6557390.71704102 56.165, 213357.829986572 6557390.72705078 56.165, 213357.82598877 6557390.73388672 56.165, 213357.812988281 6557390.75097656 56.166, 213357.542999268 6557391.13305664 56.178, 213355.541992188 6557393.98388672 56.268, 213353.555999756 6557396.84301758 56.359, 213351.580993652 6557399.71606445 56.449, 213349.622009277 6557402.59790039 56.54, 213347.95300293 6557405.0769043 56.617, 213345.743988037 6557408.39697266 56.721, 213344.098999023 6557410.89599609 56.798, 213342.463989258 6557413.40087891 56.876, 213341.92098999 6557414.23901367 56.901, 213341.121002197 6557415.47802734 56.94, 213341.109985352 6557415.49511719 56.94)</t>
  </si>
  <si>
    <t>POINT (213365.19278197287 6557377.816051129)</t>
  </si>
  <si>
    <t>['EV18 S31D1 m10439-10529']</t>
  </si>
  <si>
    <t>LINESTRING Z (213163.86000061 6557787.9519043 69.924, 213163.850997925 6557787.9699707 69.924, 213163.395004272 6557788.84692383 69.958, 213161.529006958 6557792.40795898 70.098, 213161.518997192 6557792.42602539 70.098, 213159.625 6557795.99804688 70.238, 213158.194000244 6557798.6730957 70.343, 213156.753997803 6557801.34301758 70.448, 213155.787994385 6557803.12011719 70.518, 213153.841003418 6557806.67211914 70.658, 213151.880004883 6557810.21411133 70.798, 213150.173995972 6557813.26391602 70.919, 213149.414001465 6557814.61303711 70.973, 213149.404006958 6557814.63110352 70.973, 213147.815994263 6557816.88110352 71.055, 213147.660003662 6557817.10302734 71.063, 213146.503005981 6557818.73193359 71.123, 213146.492004395 6557818.74804688 71.123, 213145.332000732 6557820.37402344 71.183, 213144.156997681 6557822.01196289 71.243, 213142.979003906 6557823.64892578 71.303, 213142.966995239 6557823.6640625 71.303, 213141.79699707 6557825.28295899 71.363, 213141.518005371 6557825.66699219 71.377, 213140.63999939 6557826.87304688 71.421, 213140.628005981 6557826.88891602 71.422, 213140.617004395 6557826.90600586 71.423, 213140.61000061 6557826.9140625 71.423, 213140.598999023 6557826.92895508 71.423, 213140.330993652 6557827.29589844 71.437, 213139.735992432 6557828.11108399 71.467, 213138.214996338 6557830.18310547 71.543, 213136.417999268 6557832.6159668 71.633, 213134.613006592 6557835.04296875 71.723, 213133.404006958 6557836.65698242 71.783, 213133.26499939 6557836.84399414 71.79, 213131.585006714 6557839.07397461 71.873, 213131.570999146 6557839.09008789 71.874, 213130.587005615 6557840.15307617 71.91, 213128.136993408 6557842.78393555 71.998, 213125.364997864 6557845.73510742 72.098, 213122.57900238 6557848.67407227 72.198, 213121.181999207 6557850.13793945 72.248, 213119.081001282 6557852.32592774 72.323, 213116.972999573 6557854.50708008 72.398, 213114.151000977 6557857.40209961 72.498, 213114.136001587 6557857.41699219 72.499, 213111.318000793 6557860.28295898 72.598, 213110.622001648 6557860.98608398 72.623, 213110.608001709 6557861 72.623, 213110.598999023 6557860.99609375 72.623)</t>
  </si>
  <si>
    <t>POINT (213139.47255896925 6557826.113895488)</t>
  </si>
  <si>
    <t>['EV18 S31D1 m1205-1295']</t>
  </si>
  <si>
    <t>LINESTRING Z (213536.310974121 6557132.70898438 47.751, 213536.294006348 6557132.71606445 47.751, 213535.375976563 6557133.09106445 47.777, 213533.505981445 6557133.85888672 47.829, 213531.656005859 6557134.625 47.88, 213531.638000488 6557134.63305664 47.881, 213531.617004395 6557134.64208984 47.881, 213528.835021973 6557135.80395508 47.959, 213524.177001953 6557137.78393555 48.089, 213522.335998535 6557138.57910156 48.14, 213522.317993164 6557138.5859375 48.141, 213519.064025879 6557140.00390625 48.232, 213515.820007324 6557141.43798828 48.323, 213515.577026367 6557141.54492188 48.33, 213514.893005371 6557141.85009766 48.349, 213513.724975586 6557142.37304688 48.382, 213513.041992188 6557142.67993164 48.401, 213511.875 6557143.20605469 48.434, 213510.028991699 6557144.04492188 48.486, 213509.345001221 6557144.35693359 48.505, 213508.441986084 6557144.77001953 48.53, 213508.42401123 6557144.77905274 48.531, 213506.721008301 6557145.77709961 48.572, 213506.679992676 6557145.80004883 48.573, 213505.808990479 6557146.31298828 48.594, 213504.940002441 6557146.8269043 48.615, 213504.070007324 6557147.34204102 48.636, 213503.20199585 6557147.85888672 48.657, 213501.467987061 6557148.89599609 48.699, 213499.735992432 6557149.93798828 48.741, 213498.009002686 6557150.98388672 48.783, 213497.145996094 6557151.51000977 48.804, 213496.92098999 6557151.64599609 48.809, 213496.109008789 6557152.14208984 48.829, 213495.644989014 6557152.42602539 48.84, 213495.627990723 6557152.43603516 48.841, 213495.611999512 6557152.44799805 48.841, 213495.42199707 6557152.56396484 48.846, 213494.338012695 6557153.22998047 48.872, 213491.125 6557155.2199707 48.951, 213488.555999756 6557156.82788086 49.014, 213486.847991943 6557157.90698242 49.056, 213485.609008789 6557158.69311523 49.086, 213485.143005371 6557158.98999023 49.098, 213482.591003418 6557160.625 49.161, 213482.574005127 6557160.63793945 49.161, 213481.588012695 6557161.41992188 49.181, 213481.571990967 6557161.43310547 49.181, 213480.209014893 6557162.52099609 49.209, 213479.415985107 6557163.15600586 49.225, 213478.643005371 6557163.77807617 49.241, 213478.62701416 6557163.79101563 49.241, 213476.260986328 6557165.70288086 49.289, 213473.902008057 6557167.62597656 49.337, 213472.334991455 6557168.91308594 49.369, 213470.773986816 6557170.20410156 49.401, 213468.437988281 6557172.14697266 49.449, 213464.566986084 6557175.40698242 49.529, 213463.026000977 6557176.71899414 49.561, 213459.207000732 6557180.00097656 49.641, 213459.191986084 6557180.01391602 49.641)</t>
  </si>
  <si>
    <t>POINT (213496.1995046315 6557153.831245727)</t>
  </si>
  <si>
    <t>['EV18 S31D1 m624-714']</t>
  </si>
  <si>
    <t>LINESTRING Z (213182.223999023 6557576.06201172 63.567, 213182.216003418 6557576.08007813 63.567, 213181.013000488 6557578.82788086 63.659, 213180.214996338 6557580.65307617 63.721, 213180.205993652 6557580.67089844 63.721, 213178.998001099 6557583.43994141 63.814, 213177.973999023 6557585.79296875 63.893, 213176.988998413 6557588.05395508 63.969, 213176.18699646 6557589.89892578 64.03, 213175.384994507 6557591.74609375 64.092, 213172.981994629 6557597.28295898 64.278, 213172.182006836 6557599.12792969 64.339, 213171.781997681 6557600.05102539 64.37, 213171.380996704 6557600.97412109 64.401, 213170.180999756 6557603.73999023 64.494, 213169.93800354 6557604.50097656 64.515, 213169.266998291 6557606.59912109 64.572, 213168.656997681 6557608.50390625 64.624, 213166.214004517 6557616.11889648 64.831, 213165.908004761 6557617.07006836 64.857, 213165.602005005 6557618.02197266 64.883, 213165.358001709 6557618.78100586 64.903, 213164.904006958 6557620.18896484 64.942, 213164.897994995 6557620.20703125 64.942, 213164.893005371 6557620.22705078 64.943, 213164.43800354 6557621.63305664 64.981, 213163.147003174 6557625.62695313 65.09, 213162.690994263 6557627.03100586 65.128, 213162.686004639 6557627.05102539 65.129, 213162.531005859 6557627.52709961 65.143, 213160.98500061 6557632.27294922 65.283, 213160.554992676 6557634.23291016 65.33, 213160.339996338 6557635.21191406 65.353, 213160.167999268 6557635.99389648 65.371, 213159.908004761 6557637.17089844 65.399, 213158.600997925 6557643.04492188 65.538, 213158.160995483 6557645.00195313 65.584, 213157.720001221 6557646.95800781 65.63, 213156.606994629 6557651.84692383 65.746, 213155.932006836 6557654.77905273 65.815, 213155.479995728 6557656.73291016 65.861, 213154.567001343 6557660.63891602 65.954, 213154.341003418 6557661.5949707 65.976, 213154.337005615 6557661.61401367 65.977)</t>
  </si>
  <si>
    <t>POINT (213166.50870549708 6557618.255893686)</t>
  </si>
  <si>
    <t>2020-08-25</t>
  </si>
  <si>
    <t>2025-11-22T09:19:10Z</t>
  </si>
  <si>
    <t>['FV60 S9D1 m6619-6714']</t>
  </si>
  <si>
    <t>LINESTRING Z (79447.33 6914331.55 335.592, 79445.92 6914326.43 335.382, 79444.65 6914321.82 335.202, 79441.96 6914312.02 334.802, 79440.6 6914307.08 334.612, 79438.36 6914294.45 334.102, 79432.42 6914281.35 333.603, 79425.34 6914269.35 332.953, 79422.88 6914265.66 332.753, 79416.74 6914256.66 332.313, 79411.21 6914248.57 331.843, 79408.14 6914244.03 331.613)</t>
  </si>
  <si>
    <t>POINT (79431.36249010751 6914286.169323328)</t>
  </si>
  <si>
    <t>['FV60 S9D1 m5722-5812']</t>
  </si>
  <si>
    <t>LINESTRING Z (79331.61 6915114.87 359.58, 79331.74 6915124.99 359.93, 79332 6915135.14 360.22, 79332.41 6915145.29 360.53, 79333.96 6915155.3 360.779, 79335.66 6915165.26 361.059, 79337.5 6915175.23 361.329, 79340.44 6915184.93 361.599, 79343.54 6915194.59 361.859, 79346.76 6915204.19 362.049)</t>
  </si>
  <si>
    <t>POINT (79336.26979915042 6915160.024395744)</t>
  </si>
  <si>
    <t>['FV60 S9D1 m4694-4835']</t>
  </si>
  <si>
    <t>LINESTRING Z (79703.24 6916016.05 385.948, 79705.65 6916023.45 386.138, 79706.04 6916024.65 386.198, 79709.47 6916035.18 386.538, 79712.58 6916044.75 386.878, 79715.7 6916054.41 387.198, 79718.79 6916063.95 387.478, 79720.33 6916068.69 387.628, 79721.26 6916071.57 387.718, 79721.72 6916073.24 387.778, 79721.86 6916074.41 387.838, 79721.8 6916075.98 387.888, 79721.53 6916077.3 387.928, 79721.15 6916078.35 387.958, 79720.7 6916079.24 387.988, 79720.19 6916080.03 388.008, 79719.49 6916080.88 388.028, 79718.8 6916081.53 388.048, 79717.49 6916082.46 388.078, 79715.31 6916083.46 388.108, 79712.43 6916084.73 388.148, 79713.7 6916087.99 388.248, 79715.25 6916091.15 388.358, 79720.08 6916089.07 388.268, 79721.73 6916088.67 388.268, 79723.08 6916088.59 388.258, 79724.22 6916088.68 388.258, 79725.56 6916088.99 388.258, 79726.74 6916089.46 388.278, 79727.62 6916089.96 388.298, 79728.44 6916090.54 388.318, 79729.19 6916091.22 388.338, 79729.85 6916091.96 388.338, 79730.88 6916093.61 388.378, 79734.81 6916100.61 388.578, 79739.74 6916109.42 388.808, 79744.65 6916118.2 389.048, 79749.56 6916126.97 389.268, 79754.48 6916135.77 389.528, 79759.39 6916144.57 389.778)</t>
  </si>
  <si>
    <t>POINT (79726.36914703608 6916082.470128027)</t>
  </si>
  <si>
    <t>['FV60 S9D1 m3717-3807']</t>
  </si>
  <si>
    <t>LINESTRING Z (80025.74 6917070.86 418.077, 80024.53 6917060.22 417.777, 80023.41 6917050.47 417.507, 80022.3 6917040.85 417.207, 80022.24 6917036.56 417.057, 80022.22 6917035.15 417.007, 80022.18 6917032.84 416.937, 80022.05 6917024.34 416.677, 80021.93 6917016.81 416.417, 80021.83 6917010.82 416.227, 80022.7 6917000.41 415.857, 80023.51 6916990.58 415.497, 80024.33 6916980.71 415.137)</t>
  </si>
  <si>
    <t>POINT (80023.06127097175 6917025.815753115)</t>
  </si>
  <si>
    <t>['FV60 S9D1 m3216-3306']</t>
  </si>
  <si>
    <t>LINESTRING Z (80035.6 6917481.65 431.807, 80036.17 6917487.48 432.017, 80037.06 6917496.53 432.327, 80037.95 6917505.77 432.667, 80038.52 6917511.72 432.887, 80038.48 6917521.95 433.217, 80038.47 6917526.06 433.357, 80038.46 6917527.46 433.397, 80038.44 6917530.99 433.517, 80038.39 6917541.79 433.877, 80037.44 6917550.76 434.147, 80036.33 6917561.47 434.477, 80035.22 6917571.84 434.757)</t>
  </si>
  <si>
    <t>POINT (80037.44349622935 6917526.753345107)</t>
  </si>
  <si>
    <t>['FV60 S9D1 m4218-4309']</t>
  </si>
  <si>
    <t>LINESTRING Z (79917 6916496.74 400.508, 79921.77 6916505.63 400.818, 79926.55 6916514.51 401.118, 79931.29 6916523.37 401.418, 79935.14 6916532.65 401.708, 79938.95 6916541.88 401.958, 79942.79 6916551.17 402.238, 79945.68 6916560.82 402.498, 79948.56 6916570.43 402.758, 79951.46 6916580.13 402.988, 79951.5 6916580.22 402.988)</t>
  </si>
  <si>
    <t>POINT (79936.12264758545 6916537.7062712815)</t>
  </si>
  <si>
    <t>['FV60 S9D1 m5221-5311']</t>
  </si>
  <si>
    <t>LINESTRING Z (79514.22 6915579.16 373.199, 79519.33 6915587.83 373.509, 79524.45 6915596.5 373.809, 79529.56 6915605.2 374.089, 79533.76 6915614.29 374.369, 79537.96 6915623.4 374.659, 79542.14 6915632.5 374.899, 79545.42 6915642.01 375.179, 79548.7 6915651.56 375.429, 79551.97 6915661.08 375.649)</t>
  </si>
  <si>
    <t>POINT (79534.93516149929 6915619.2719808575)</t>
  </si>
  <si>
    <t>['FV60 S9D1 m6223-6313']</t>
  </si>
  <si>
    <t>LINESTRING Z (79449.16 6914634.4 346.011, 79446.67 6914644.99 346.361, 79444.32 6914654.06 346.621, 79441.53 6914663.98 346.931, 79438.59 6914671.1 347.091, 79435.51 6914678.28 347.271, 79432.58 6914684.94 347.431, 79429.48 6914691.83 347.611, 79424.83 6914699.76 347.811, 79419.69 6914708.42 348.011, 79415.8 6914714.92 348.151, 79414.04 6914717.88 348.221)</t>
  </si>
  <si>
    <t>POINT (79434.32306630202 6914677.263187999)</t>
  </si>
  <si>
    <t>['FV60 S9D1 m2805-2895']</t>
  </si>
  <si>
    <t>LINESTRING Z (80032.23 6917892.52 442.576, 80033.01 6917902.43 442.396, 80033.8 6917912.21 442.206, 80034.65 6917922.65 441.986, 80035.5 6917929.79 441.816, 80035.47 6917931.19 441.786, 80035.21 6917944.21 441.506, 80034.95 6917947.83 441.426, 80033.76 6917957.24 441.106, 80032.63 6917967.17 440.796, 80031.12 6917977.27 440.536, 80030.71 6917982.66 440.366)</t>
  </si>
  <si>
    <t>POINT (80033.67895923021 6917937.632597777)</t>
  </si>
  <si>
    <t>2017-01-16</t>
  </si>
  <si>
    <t>['KV6549 S1D1 m137-222']</t>
  </si>
  <si>
    <t>LINESTRING Z (268740.56961556 7034066.07925 -999999, 268757.767532227 7034058.64975 -999999, 268804.408282227 7034044.61625 -999999, 268822.431698893 7034041.86458333 -999999)</t>
  </si>
  <si>
    <t>POINT (268780.9887796267 7034052.193611682)</t>
  </si>
  <si>
    <t>2017-01-19</t>
  </si>
  <si>
    <t>['FV465 S5D1 m3625-3709']</t>
  </si>
  <si>
    <t>LINESTRING Z (30767.87 6495277.18 82.442, 30768.13 6495277.67 82.432, 30770.15 6495280.74 82.422, 30772.6 6495285.17 82.422, 30774.92 6495288.68 82.412, 30778.39 6495293.23 82.412, 30779.65 6495294.59 82.412, 30781.22 6495296.25 82.392, 30784.28 6495299.47 82.362, 30784.95 6495300.19 82.352, 30789.1 6495304.36 82.312, 30792.02 6495307.12 82.272, 30792.76 6495307.82 82.252, 30797.5 6495311.87 82.132, 30802.57 6495316.29 82.002, 30804.81 6495318.32 81.923, 30805.77 6495319.32 81.883, 30808.13 6495322.26 81.823, 30810.77 6495325.76 81.753, 30812.95 6495328.91 81.683, 30815.87 6495333.5 81.603, 30817.2 6495335.86 81.573, 30818.04 6495337.58 81.543, 30818.85 6495339.33 81.523, 30818.77 6495339.82 81.553, 30819.02 6495341.81 81.363, 30819.47 6495341.65 81.303, 30819.76 6495341.54 81.333, 30820.5 6495341.28 81.503)</t>
  </si>
  <si>
    <t>POINT (30794.769852482517 6495309.73182199)</t>
  </si>
  <si>
    <t>['FV465 S5D1 m3698-3749']</t>
  </si>
  <si>
    <t>LINESTRING Z (30839.99 6495376.81 82.113, 30839.86 6495374.43 82.093, 30839.97 6495367.94 82.073, 30840.11 6495362.11 82.053, 30840.1 6495359.21 82.043, 30840.06 6495357.81 82.063, 30839.49 6495355.91 82.073, 30838.59 6495352.39 82.073, 30837.08 6495348.28 82.133, 30835.86 6495344.99 82.143, 30835.58 6495344.17 82.153, 30835.17 6495343.39 82.143, 30834.53 6495342.33 82.143, 30832.96 6495339.92 82.113, 30832.41 6495339.11 82.123, 30831.49 6495337.88 82.113, 30828.31 6495333.72 82.093, 30827.1 6495332.25 82.093, 30826.56 6495331.5 82.073, 30825.96 6495330.35 82.073, 30825.09 6495328.63 82.073, 30824.76 6495327.62 82.053, 30824.62 6495326.83 82.063, 30824.63 6495325.4 82.103)</t>
  </si>
  <si>
    <t>POINT (30835.276250625724 6495350.206319679)</t>
  </si>
  <si>
    <t>['EV105 S1D1 m564-635']</t>
  </si>
  <si>
    <t>LINESTRING Z (1076784.44 7801957.67 63.145, 1076783.16 7801958.23 63.185, 1076776.41 7801961.87 63.495, 1076766.99 7801966.9 63.995, 1076763.39 7801968.44 64.165, 1076755.47 7801971.81 64.555, 1076746.57 7801975.57 64.975, 1076741.76 7801977.53 65.105, 1076740.87 7801977.94 65.125, 1076739.16 7801978.62 65.175, 1076737.03 7801979.33 65.225, 1076734.06 7801980.38 65.375, 1076730.81 7801981.38 65.545, 1076727.56 7801982.29 65.675, 1076722.9 7801983.6 65.975, 1076719.73 7801984.49 66.085, 1076718.6 7801984.7 66.245)</t>
  </si>
  <si>
    <t>POINT (1076752.0819627768 7801972.593317787)</t>
  </si>
  <si>
    <t>['EV105 S1D1 m671-736']</t>
  </si>
  <si>
    <t>LINESTRING Z (1076814.83 7801935.42 62.615, 1076820.72 7801932.5 62.605, 1076825.47 7801930.24 62.585, 1076830.86 7801927.83 62.595, 1076833.98 7801926.72 62.605, 1076838.21 7801925.35 62.615, 1076843.25 7801923.8 62.635, 1076847.95 7801922.44 62.645, 1076850.63 7801921.72 62.655, 1076854 7801920.91 62.665, 1076859.04 7801919.84 62.675, 1076862.73 7801919.11 62.675, 1076862.84 7801919.08 62.675, 1076864.78 7801918.73 62.695, 1076865.86 7801918.71 62.775, 1076868.56 7801918.5 62.695, 1076870.42 7801918.41 62.785, 1076876.71 7801918.07 62.645, 1076878.38 7801917.98 62.675, 1076878.73 7801918.48 62.735)</t>
  </si>
  <si>
    <t>POINT (1076846.2450075722 7801924.16714086)</t>
  </si>
  <si>
    <t>['EV105 S1D1 m3518-3604']</t>
  </si>
  <si>
    <t>LINESTRING Z (1079535.74 7802818.77 44.579, 1079534.72 7802818.77 44.639, 1079533.72 7802818.78 44.649, 1079528.65 7802818.76 44.709, 1079526.82 7802818.76 44.729, 1079525.61 7802818.74 44.739, 1079523.6 7802818.73 44.759, 1079522.07 7802818.71 44.779, 1079519.55 7802818.69 44.799, 1079518.54 7802818.68 44.809, 1079515.5 7802818.62 44.839, 1079513.49 7802818.6 44.849, 1079511.97 7802818.57 44.859, 1079510.45 7802818.53 44.869, 1079508.43 7802818.49 44.889, 1079505.41 7802818.42 44.909, 1079503.44 7802818.69 44.929, 1079502.45 7802818.83 44.939, 1079501.58 7802818.96 44.949, 1079500.48 7802819.11 44.959, 1079498.52 7802819.37 44.979, 1079495.55 7802819.77 45.009, 1079494.96 7802819.85 45.009, 1079495 7802820.1 45.009, 1079493.62 7802820.28 45.029, 1079492.63 7802820.4 45.029, 1079490.65 7802820.66 45.049, 1079488.68 7802820.91 45.069, 1079485.72 7802821.28 45.089, 1079483.74 7802821.52 45.099, 1079482.76 7802821.64 45.109, 1079480.81 7802821.88 45.119, 1079478.89 7802822.44 45.139, 1079476.95 7802823 45.159, 1079475.01 7802823.56 45.179, 1079474.03 7802823.83 45.189, 1079472.09 7802824.38 45.199, 1079469.17 7802825.21 45.229, 1079466.25 7802826.03 45.249, 1079465.42 7802826.26 45.259, 1079464.3 7802826.57 45.269, 1079462.41 7802827.09 45.279, 1079459.42 7802827.9 45.299, 1079457.47 7802828.42 45.309, 1079455.51 7802828.95 45.319, 1079454.53 7802829.21 45.319, 1079451.57 7802829.99 45.299)</t>
  </si>
  <si>
    <t>POINT (1079493.3133206924 7802821.711498625)</t>
  </si>
  <si>
    <t>['EV105 S2D1 m691-765']</t>
  </si>
  <si>
    <t>LINESTRING Z (1081340.51 7802216.04 41.119, 1081336.52 7802216.55 40.929, 1081334.21 7802216.75 40.879, 1081329.83 7802217.11 40.759, 1081324.68 7802217.24 40.529, 1081320.37 7802217.58 40.449, 1081317.3 7802218.06 40.379, 1081313.57 7802218.83 40.239, 1081306.39 7802220.31 39.989, 1081301.65 7802221.46 39.779, 1081297.59 7802222.31 39.729, 1081292.9 7802223.5 39.539, 1081288.62 7802224.7 39.389, 1081285.99 7802225.39 39.219, 1081281.37 7802227.16 39.089, 1081278.5 7802228.31 38.969, 1081271.82 7802231.05 38.709, 1081267.58 7802232.66 38.549)</t>
  </si>
  <si>
    <t>POINT (1081303.5307307297 7802222.111957908)</t>
  </si>
  <si>
    <t>2017-02-03</t>
  </si>
  <si>
    <t>['FV2520 S1D1 m4620-4680']</t>
  </si>
  <si>
    <t>LINESTRING Z (257741.65 6786393.02 487.412, 257740.63 6786394.82 487.302, 257739.04 6786393.56 487.182, 257737.37 6786392.26 487.092, 257731.44 6786387.67 486.792, 257725.7 6786383.21 486.542, 257724.95 6786382.51 486.512, 257719.44 6786378.21 486.292, 257713.91 6786373.87 486.082, 257709.18 6786370.19 485.902, 257708.34 6786369.6 485.872, 257707.56 6786369.02 485.862, 257701.27 6786362.64 485.662, 257701.19 6786362.58 485.662, 257698.17 6786359.63 485.552, 257694.79 6786356.41 485.422, 257694.72 6786356.19 485.432)</t>
  </si>
  <si>
    <t>POINT (257717.9647815268 6786376.651400416)</t>
  </si>
  <si>
    <t>2017-02-06</t>
  </si>
  <si>
    <t>['FV416 S2D1 m10664-10710']</t>
  </si>
  <si>
    <t>LINESTRING Z (164664.074 6523032.522 28.102, 164674.999 6523035.397 28.636, 164677.462 6523035.717 28.559, 164681.153 6523035.713 28.78, 164694.169 6523034.766 29.061, 164704.994 6523034.171 29.061, 164707.588 6523030.696 29.726, 164711.167 6523028.246 29.851)</t>
  </si>
  <si>
    <t>POINT (164688.46514374553 6523034.091100732)</t>
  </si>
  <si>
    <t>['FV416 S2D1 m10457-10523']</t>
  </si>
  <si>
    <t>LINESTRING Z (164467.323 6522971.385 20.555, 164477.076 6522974.179 20.785, 164496.823 6522980.348 21.285, 164514.618 6522987.396 21.935, 164527.831 6522995.48 22.725)</t>
  </si>
  <si>
    <t>POINT (164498.26188828584 6522981.855090318)</t>
  </si>
  <si>
    <t>['FV416 S2D1 m10363-10429']</t>
  </si>
  <si>
    <t>LINESTRING Z (164382.13 6522932.708 21.295, 164390.36 6522940.052 20.905, 164411.442 6522952.345 20.585, 164438.821 6522964.786 20.575)</t>
  </si>
  <si>
    <t>POINT (164409.556865869 6522950.222650798)</t>
  </si>
  <si>
    <t>['FV416 S2D1 m9659-9715']</t>
  </si>
  <si>
    <t>LINESTRING Z (163695.187 6522832.935 17.103, 163703.411 6522838.098 16.806, 163708.214 6522840.651 16.968, 163711.226 6522841.693 17.347, 163720.054 6522843.414 16.604, 163733.358 6522844.374 15.398, 163739.855 6522844.12 16.268, 163748.467 6522844.819 16.254)</t>
  </si>
  <si>
    <t>POINT (163721.0037107067 6522841.754743434)</t>
  </si>
  <si>
    <t>['FV416 S2D1 m9445-9510']</t>
  </si>
  <si>
    <t>LINESTRING Z (163483.268 6522799.928 20.254, 163503.626 6522798.904 19.654, 163514.38 6522798.631 19.634, 163523.825 6522799.462 19.454, 163533.125 6522800.356 19.414, 163542.941 6522803.074 19.164, 163548.017 6522804.177 19.014)</t>
  </si>
  <si>
    <t>POINT (163515.8244017557 6522800.019081774)</t>
  </si>
  <si>
    <t>['FV416 S2D1 m9439-9495']</t>
  </si>
  <si>
    <t>LINESTRING Z (163476.92 6522807.495 20.444, 163482.034 6522808.353 20.274, 163485.519 6522809.202 20.134, 163490.528 6522810.35 19.939, 163492.053 6522810.651 19.884, 163508.15 6522811.99 19.414, 163514.224 6522812.007 19.319, 163519.097 6522811.917 19.244, 163531.992 6522812.141 19.004)</t>
  </si>
  <si>
    <t>POINT (163504.33690570833 6522810.967771869)</t>
  </si>
  <si>
    <t>['FV416 S2D1 m9040-9079']</t>
  </si>
  <si>
    <t>LINESTRING Z (163111.488 6522947.856 47.314, 163114.848 6522948.802 47.293, 163117.792 6522949.348 47.182, 163125.991 6522949.624 47.255, 163130.278 6522949.184 47.237, 163134.949 6522948.469 47.208, 163139.168 6522947.485 47.119, 163143.421 6522945.945 47.047, 163147.283 6522943.743 46.922, 163150.135 6522941.57 46.824)</t>
  </si>
  <si>
    <t>POINT (163131.3561603108 6522947.690034717)</t>
  </si>
  <si>
    <t>['FV416 S2D1 m8982-9033']</t>
  </si>
  <si>
    <t>LINESTRING Z (163053.3 6522940.756 47.264, 163056.351 6522939.577 47.254, 163072.645 6522938.636 47.004, 163075.741 6522938.519 47.124, 163092.265 6522938.563 46.984, 163093.218 6522938.658 47.124, 163094.248 6522938.817 46.984, 163103.324 6522941.25 46.974)</t>
  </si>
  <si>
    <t>POINT (163078.33707782402 6522939.113113793)</t>
  </si>
  <si>
    <t>['FV1378 S1D1 m1555-1598']</t>
  </si>
  <si>
    <t>LINESTRING Z (265241.849975586 6627649.43994141 148.95, 265244.060058594 6627649.40002441 148.89, 265246.329956055 6627649.34997559 148.84, 265248.359985352 6627649.31994629 148.78, 265250.91003418 6627649.27001953 148.72, 265254.119995117 6627649.20996094 148.64, 265257.569946289 6627649.15002441 148.55, 265259.979980469 6627649.09997559 148.49, 265263.040039063 6627649.04003906 148.41, 265265.229980469 6627649.01000977 148.35, 265267.810058594 6627648.94995117 148.29, 265269.939941406 6627648.92004395 148.23, 265272.119995117 6627648.86999512 148.18, 265275.040039063 6627648.81994629 148.1, 265277.520019531 6627648.7800293 148.04, 265279.790039062 6627648.73999024 147.98, 265281.189941406 6627648.70996094 147.95, 265282.930053711 6627648.68005371 147.9, 265284.030029297 6627648.66003418 147.88)</t>
  </si>
  <si>
    <t>POINT (265262.9399510628 6627649.046991921)</t>
  </si>
  <si>
    <t>2020-01-22</t>
  </si>
  <si>
    <t>['RV350 S1D1 m5334-5386']</t>
  </si>
  <si>
    <t>LINESTRING Z (213882.763849329 6640519.78156636 -999999, 213887.437065422 6640571.63919009 -999999)</t>
  </si>
  <si>
    <t>POINT (213885.10045737552 6640545.710378225)</t>
  </si>
  <si>
    <t>2017-02-17</t>
  </si>
  <si>
    <t>[1548]</t>
  </si>
  <si>
    <t>['FV1548 S1D1 m3004-3028']</t>
  </si>
  <si>
    <t>LINESTRING Z (288463.310058594 6667340.35302734 146.926, 288465.07800293 6667343.61096191 146.82, 288467.875976563 6667349.52502441 146.65, 288469.675048828 6667352.90795898 146.513, 288471.748046875 6667356.40002441 146.376, 288472.652954102 6667357.92004394 146.331, 288473.474975586 6667358.82397461 146.314, 288474.333984375 6667359.4050293 146.306, 288476.578979492 6667360.53503418 146.302, 288478.100952148 6667360.93701172 146.295)</t>
  </si>
  <si>
    <t>POINT (288469.6412860112 6667351.740179096)</t>
  </si>
  <si>
    <t>2017-02-27</t>
  </si>
  <si>
    <t>['EV6 S202D1 m2391-2461', 'EV6 S202D1 m2430 SD1 m73-81']</t>
  </si>
  <si>
    <t>LINESTRING Z (805517.4 7787347.99 55.138, 805516.26 7787349.67 55.138, 805515.22 7787351.94 55.128, 805514.76 7787353.49 55.088, 805513.58 7787359.61 54.978, 805512.77 7787362.4 54.968, 805511.57 7787364.74 54.948, 805510.55 7787366.14 54.958, 805509.89 7787366.91 54.948, 805508.32 7787368.34 54.938, 805493.32 7787379.98 54.868, 805477.79 7787391.98 54.858, 805476.23 7787392.88 54.858, 805475.02 7787393.32 54.858, 805474.01 7787393.57 54.878, 805472.96 7787393.8 54.888, 805471.93 7787393.9 54.908, 805470.94 7787393.9 54.928, 805463.32 7787393.36 55.008, 805461.17 7787393.42 55.008, 805456.85 7787394.73 55.008)</t>
  </si>
  <si>
    <t>POINT (805491.9844292556 7787377.696495614)</t>
  </si>
  <si>
    <t>['EV6 S202D1 m1231-1307']</t>
  </si>
  <si>
    <t>LINESTRING Z (804793.76 7788242.06 19.528, 804793.48 7788243.04 19.568, 804793.23 7788244.59 19.578, 804792.73 7788247.48 19.568, 804792.22 7788251.36 19.608, 804791.62 7788254.48 19.618, 804790.65 7788258.22 19.708, 804790.11 7788259.92 19.728, 804789.5 7788261.07 19.768, 804787.86 7788263.59 19.838, 804786.03 7788265.96 19.918, 804783.77 7788268.58 19.988, 804773.32 7788280.51 20.418, 804769.8 7788284.36 20.558, 804766.99 7788286.99 20.658, 804764.77 7788288.57 20.718, 804762.42 7788289.6 20.788, 804759.99 7788290.34 20.848, 804757.09 7788290.94 20.948, 804753.38 7788291.47 21.068, 804749.76 7788292.18 21.218, 804747.81 7788293.74 21.278, 804745.76 7788295.89 21.358, 804743.4 7788298.5 21.438)</t>
  </si>
  <si>
    <t>POINT (804773.7802515138 7788274.759941498)</t>
  </si>
  <si>
    <t>['EV6 S202D1 m141-212']</t>
  </si>
  <si>
    <t>LINESTRING Z (804146.06 7789112.68 14.567, 804144.32 7789114.25 14.477, 804143.03 7789116.6 14.337, 804141.04 7789120.9 14.147, 804139.55 7789123.96 13.947, 804137.64 7789127.33 13.717, 804136.01 7789129.42 13.547, 804133.29 7789131.76 13.377, 804129.72 7789133.72 13.227, 804125.41 7789135.77 13.037, 804120.45 7789138.14 12.797, 804114.17 7789141.04 12.487, 804107.52 7789143.98 12.207, 804102.5 7789145.4 12.067, 804099.9 7789145.55 12.027, 804096 7789144.81 11.957, 804090.03 7789142.96 11.847, 804086.85 7789142.11 11.827, 804085.56 7789142.06 11.807, 804081.76 7789143.16 11.697)</t>
  </si>
  <si>
    <t>POINT (804117.5052588779 7789135.410347826)</t>
  </si>
  <si>
    <t>['EV6 S201D1 m14558-14636']</t>
  </si>
  <si>
    <t>LINESTRING Z (803620.04 7789158.43 5.857, 803609.22 7789154.93 6.027, 803601.31 7789152.47 6.167, 803594.19 7789151.2 6.277, 803584 7789150.39 6.307, 803573.71 7789150.03 6.377, 803565.54 7789150.32 6.417, 803552.32 7789152.45 6.477, 803541.48 7789154.28 6.517)</t>
  </si>
  <si>
    <t>POINT (803581.0231919221 7789152.34030956)</t>
  </si>
  <si>
    <t>['EV6 S201D1 m14616-14691']</t>
  </si>
  <si>
    <t>LINESTRING Z (803671.11 7789182.46 5.307, 803656.82 7789179.8 5.137, 803643.85 7789177.09 5.027, 803628.95 7789173.47 5.047, 803599.6 7789165.25 5.207)</t>
  </si>
  <si>
    <t>POINT (803635.1901149111 7789174.553506085)</t>
  </si>
  <si>
    <t>['EV6 S202D1 m7797-7877']</t>
  </si>
  <si>
    <t>LINESTRING Z (808485.63 7784500.38 20.49, 808493.68 7784473.22 21.79, 808501.39 7784452.01 22.94, 808514.23 7784426.55 24.92)</t>
  </si>
  <si>
    <t>POINT (808498.413513675 7784462.863373873)</t>
  </si>
  <si>
    <t>['EV6 S202D1 m9196-9273']</t>
  </si>
  <si>
    <t>LINESTRING Z (808918.26 7783362.27 74.68, 808937.72 7783357.45 74.48, 808970.21 7783342.91 74.4, 808988.16 7783330.52 74.43)</t>
  </si>
  <si>
    <t>POINT (808954.3435801666 7783348.893837338)</t>
  </si>
  <si>
    <t>['EV6 S202D1 m2596-2680']</t>
  </si>
  <si>
    <t>LINESTRING Z (805616.61 7787266.2 56.038, 805625.8 7787259.41 56.148, 805629.69 7787256.05 56.178, 805633.58 7787252.71 56.218, 805637.5 7787249.38 56.268, 805641.42 7787246.06 56.308, 805645.86 7787243.64 56.328, 805652.07 7787240.28 56.368, 805660.08 7787236.03 56.408, 805663.65 7787234.15 56.438, 805672.54 7787231.57 56.448, 805680.45 7787229.35 56.468, 805683.41 7787228.52 56.468, 805689.79 7787226.76 56.448)</t>
  </si>
  <si>
    <t>POINT (805651.4575729603 7787243.122884671)</t>
  </si>
  <si>
    <t>['EV6 S202D1 m3001-3076']</t>
  </si>
  <si>
    <t>LINESTRING Z (805994.47 7787123.58 63.709, 805996.77 7787122.88 63.759, 806001.61 7787121.45 63.879, 806006.47 7787120.03 63.999, 806011.32 7787118.63 64.109, 806016.19 7787117.26 64.219, 806021.14 7787116.4 64.299, 806026.11 7787115.55 64.379, 806031.07 7787114.72 64.449, 806036.04 7787113.93 64.529, 806041.01 7787113.15 64.599, 806045.98 7787112.38 64.659, 806051.03 7787112.13 64.699, 806056.09 7787111.92 64.729, 806061.13 7787111.71 64.759, 806066.17 7787111.53 64.789, 806069.01 7787111.44 64.809)</t>
  </si>
  <si>
    <t>POINT (806031.4219565528 7787115.560615658)</t>
  </si>
  <si>
    <t>['EV6 S202D1 m3411-3486']</t>
  </si>
  <si>
    <t>LINESTRING Z (806404 7787114.11 63.609, 806406.67 7787114.23 63.599, 806411.72 7787114.49 63.569, 806416.76 7787114.77 63.549, 806421.81 7787115.09 63.529, 806426.85 7787115.41 63.509, 806431.81 7787116.25 63.449, 806436.77 7787117.1 63.399, 806441.72 7787117.99 63.349, 806446.68 7787118.89 63.299, 806451.62 7787119.81 63.249, 806456.57 7787120.76 63.199, 806461.41 7787122.21 63.119, 806466.24 7787123.69 63.039, 806471.07 7787125.18 62.959, 806475.89 7787126.69 62.869, 806478.25 7787127.44 62.839)</t>
  </si>
  <si>
    <t>POINT (806441.4731701199 7787118.834574877)</t>
  </si>
  <si>
    <t>['EV6 S202D1 m3902-3977']</t>
  </si>
  <si>
    <t>LINESTRING Z (806875.23 7787251.43 58.589, 806879.48 7787252.6 58.569, 806888.29 7787254.91 58.539, 806897.12 7787257.17 58.509, 806906.09 7787258.43 58.409, 806915.07 7787259.64 58.319, 806924.08 7787260.75 58.229, 806927.08 7787261.1 58.199, 806933.16 7787261.18 58.099, 806942.26 7787261.23 57.939, 806950 7787261.22 57.819)</t>
  </si>
  <si>
    <t>POINT (806912.3486394166 7787258.351570808)</t>
  </si>
  <si>
    <t>['EV6 S202D1 m4402-4477']</t>
  </si>
  <si>
    <t>LINESTRING Z (807372.68 7787223 53.019, 807375.44 7787222.37 52.979, 807380.33 7787221.24 52.909, 807385.24 7787220.12 52.849, 807390.14 7787219 52.779, 807395.04 7787217.87 52.709, 807400 7787217.24 52.659, 807404.98 7787216.61 52.609, 807414.9 7787215.35 52.509, 807419.87 7787214.73 52.459, 807424.83 7787214.1 52.399, 807429.86 7787213.97 52.369, 807434.88 7787213.84 52.329, 807439.91 7787213.7 52.289, 807444.94 7787213.57 52.259, 807447.39 7787213.51 52.239)</t>
  </si>
  <si>
    <t>POINT (807409.8359980503 7787216.68436831)</t>
  </si>
  <si>
    <t>['EV6 S202D1 m4823-4898']</t>
  </si>
  <si>
    <t>LINESTRING Z (807790.75 7787172.25 49.159, 807795.09 7787171.56 49.149, 807803.08 7787170.24 49.129, 807811.07 7787168.82 49.109, 807813.07 7787168.45 49.099, 807818.88 7787166.75 49.039, 807827.58 7787164.1 48.949, 807834.31 7787161.98 48.879, 807841.99 7787159.47 48.789, 807849.39 7787156.13 48.649, 807856.73 7787152.71 48.509, 807862.95 7787149.74 48.38)</t>
  </si>
  <si>
    <t>POINT (807827.5014622182 7787163.085587604)</t>
  </si>
  <si>
    <t>['EV6 S202D1 m5561-5646']</t>
  </si>
  <si>
    <t>LINESTRING Z (808351.88 7786616.29 45.739, 808352.13 7786618.46 45.759, 808353.06 7786627.1 45.849, 808353.88 7786635.78 45.939, 808354.52 7786643.4 46.009, 808351.8 7786652.17 45.999, 808349.3 7786659.93 45.989, 808346.72 7786667.66 45.979, 808345.06 7786672.48 45.979, 808342.7 7786679.21 45.969, 808339.92 7786686.88 45.959, 808336 7786689.76 45.869, 808330.11 7786694.03 45.739, 808325.16 7786697.54 45.639)</t>
  </si>
  <si>
    <t>POINT (808346.2059939578 7786660.046270132)</t>
  </si>
  <si>
    <t>['EV6 S202D1 m7277-7397']</t>
  </si>
  <si>
    <t>LINESTRING Z (808388.3 7784876.24 10.13, 808391.9 7784883.31 10.18, 808395.16 7784890.03 10.23, 808398.23 7784896.76 10.26, 808398.29 7784900.84 10.31, 808398.27 7784909.71 10.43, 808398 7784919.6 10.51, 808397.62 7784927.86 10.57, 808397.07 7784932.97 10.62, 808396.12 7784941.11 10.7, 808395.22 7784948.19 10.76, 808394.29 7784953.19 10.82, 808392.59 7784962.14 10.91, 808391.23 7784969.07 10.99, 808389.5 7784977.93 11.09, 808386.33 7784982.52 11.19, 808381.9 7784988.95 11.33, 808376.89 7784996.29 11.49)</t>
  </si>
  <si>
    <t>POINT (808393.0063566036 7784937.046213622)</t>
  </si>
  <si>
    <t>['EV6 S202D1 m8261-8351']</t>
  </si>
  <si>
    <t>LINESTRING Z (808474.79 7784056.7 41.4, 808472.17 7784051.55 41.73, 808469.09 7784045.01 42.1, 808466.67 7784039.76 42.4, 808464.17 7784034.17 42.73, 808462.34 7784029.97 42.97, 808461.91 7784028.77 43.04, 808459.96 7784022.5 43.34, 808457.93 7784015.59 43.64, 808456.63 7784010.93 43.83, 808455.06 7784005.14 44.08, 808453.97 7784000.87 44.26, 808453.69 7783999.42 44.31, 808452.87 7783993.6 44.5, 808451.66 7783983.98 44.82, 808450.51 7783972.69 45.2, 808450.15 7783969.33 45.31)</t>
  </si>
  <si>
    <t>POINT (808459.2346658044 7784013.934067)</t>
  </si>
  <si>
    <t>['EV6 S202D1 m8812-8902']</t>
  </si>
  <si>
    <t>LINESTRING Z (808649.86 7783482.7 68.08, 808642.43 7783486.88 67.8, 808630.89 7783493.85 67.36, 808623.67 7783498.45 67.08, 808622.52 7783499.37 67.02, 808610.24 7783509.54 66.37, 808601.43 7783517.25 65.89, 808600.44 7783518.2 65.83, 808597.75 7783521.18 65.63, 808588.74 7783531.55 64.97, 808583.72 7783537.43 64.6, 808580.51 7783541.37 64.35)</t>
  </si>
  <si>
    <t>POINT (808613.010634661 7783509.45295518)</t>
  </si>
  <si>
    <t>['EV6 S202D1 m5200-5285']</t>
  </si>
  <si>
    <t>LINESTRING Z (808182.02 7786932.78 45.339, 808180.83 7786934.44 45.349, 808176.04 7786940.96 45.409, 808171.75 7786948 45.479, 808167.94 7786954.13 45.499, 808165.17 7786958.48 45.489, 808162.36 7786961.4 45.499, 808157.41 7786966.49 45.509, 808150.98 7786972.95 45.529, 808147.37 7786976.51 45.539, 808144.77 7786978.21 45.559, 808137.83 7786982.66 45.579, 808129.99 7786987.59 45.539, 808125.95 7786990.64 45.519, 808121.88 7786993.66 45.509)</t>
  </si>
  <si>
    <t>POINT (808154.6434314733 7786965.88084343)</t>
  </si>
  <si>
    <t>['FV848 S4D1 m11881-11926']</t>
  </si>
  <si>
    <t>LINESTRING Z (578326.33 7625993.16 19.501, 578331.89 7625995.33 19.881, 578337.58 7625997.16 20.311, 578343.11 7625999.43 20.781, 578350.97 7626003.31 21.241, 578357.72 7626006.95 21.661, 578366.84 7626012.96 22.261, 578367.06 7626013.12 22.281)</t>
  </si>
  <si>
    <t>POINT (578347.2004471271 7626002.121615354)</t>
  </si>
  <si>
    <t>['FV848 S4D1 m11613-11674']</t>
  </si>
  <si>
    <t>LINESTRING Z (578564.31 7626064.38 34.752, 578564.54 7626064.44 34.772, 578569.97 7626064.71 35.122, 578573.08 7626064.6 35.272, 578577.73 7626064.97 35.532, 578584.21 7626066.25 36.042, 578588.83 7626067.47 36.332, 578595.96 7626069.57 36.802, 578601.59 7626071.3 37.112, 578607.17 7626073.51 37.362, 578611.53 7626076.05 37.592, 578616.35 7626078.92 37.822, 578619.34 7626080.24 37.982, 578621.97 7626081 38.142)</t>
  </si>
  <si>
    <t>POINT (578593.7992033471 7626070.274663705)</t>
  </si>
  <si>
    <t>['FV848 S4D1 m11486-11568']</t>
  </si>
  <si>
    <t>LINESTRING Z (578665.61 7626079.42 39.112, 578670.02 7626077.18 38.972, 578674.32 7626074.1 38.912, 578678.58 7626070.95 38.842, 578682.93 7626067.72 38.752, 578687.51 7626064.86 38.642, 578693.52 7626062.05 38.562, 578699.84 7626061.05 38.422, 578705.08 7626061.52 38.382, 578710.9 7626062.93 38.302, 578717.41 7626065.27 38.142, 578724.36 7626068.56 37.912, 578731.09 7626072.18 37.532, 578737.24 7626076.34 37.072, 578740.96 7626080.17 36.822, 578744.18 7626083.24 36.462, 578747.15 7626084.7 36.162)</t>
  </si>
  <si>
    <t>POINT (578706.7952053167 7626069.818334028)</t>
  </si>
  <si>
    <t>['FV848 S4D1 m11220-11292']</t>
  </si>
  <si>
    <t>LINESTRING Z (578931.48 7626143.13 21.523, 578944.02 7626145.86 21.043, 578956.15 7626148.17 20.553, 578965.94 7626150.12 20.163, 578974.26 7626153.12 19.843, 578983.25 7626157.34 19.363, 578989.21 7626161.01 19.063, 578993.83 7626164.58 18.783, 578998.73 7626167.78 18.463)</t>
  </si>
  <si>
    <t>POINT (578966.3057595355 7626152.531182499)</t>
  </si>
  <si>
    <t>['FV848 S4D1 m11115-11169']</t>
  </si>
  <si>
    <t>LINESTRING Z (579044.53 7626191.62 15.773, 579045.66 7626192.24 15.693, 579053.56 7626195.8 15.063, 579063.14 7626200.58 14.444, 579069.32 7626204.17 14.014, 579073.4 7626207.55 13.704, 579078.23 7626213.77 13.284, 579082.76 7626219.81 12.754, 579086.9 7626225.27 12.304)</t>
  </si>
  <si>
    <t>POINT (579067.714069987 7626205.98713384)</t>
  </si>
  <si>
    <t>2023-12-19</t>
  </si>
  <si>
    <t>['EV134 S49D1 m7643-7668']</t>
  </si>
  <si>
    <t>LINESTRING (258272.77611329185 6627193.377162212, 258298.60222403207 6627196.08210799)</t>
  </si>
  <si>
    <t>POINT (258285.68916866195 6627194.7296351)</t>
  </si>
  <si>
    <t>['EV134 S49D1 m7418-7463']</t>
  </si>
  <si>
    <t>LINESTRING (258054.97910155813 6627138.880110848, 258097.61600271787 6627149.611832904)</t>
  </si>
  <si>
    <t>POINT (258076.29755213798 6627144.245971874)</t>
  </si>
  <si>
    <t>['EV134 S49D1 m7140-7170']</t>
  </si>
  <si>
    <t>LINESTRING (257790.23643594357 6627053.890656999, 257817.69895451324 6627066.084613844)</t>
  </si>
  <si>
    <t>POINT (257803.9676952284 6627059.987635422)</t>
  </si>
  <si>
    <t>['EV134 S49D1 m6858-6904']</t>
  </si>
  <si>
    <t>LINESTRING (257547.42498707396 6626911.310370582, 257586.93164341652 6626934.763921009)</t>
  </si>
  <si>
    <t>POINT (257567.17831524526 6626923.037145795)</t>
  </si>
  <si>
    <t>['EV134 S49D1 m6600-6630']</t>
  </si>
  <si>
    <t>LINESTRING (257321.80706122573 6626785.995098149, 257347.51944386374 6626801.295294416)</t>
  </si>
  <si>
    <t>POINT (257334.66325254473 6626793.645196283)</t>
  </si>
  <si>
    <t>[1439]</t>
  </si>
  <si>
    <t>['FV1439 S1D1 m1331-1414']</t>
  </si>
  <si>
    <t>LINESTRING Z (243725.520019531 6636524.31994629 99.603, 243725.689941406 6636524.80004883 99.603, 243725.969970703 6636525.57995606 99.593, 243726.140014648 6636526.05004883 99.593, 243726.199951172 6636526.20996094 99.583, 243726.290039063 6636526.43005371 99.583, 243727.280029297 6636528.51000977 99.563, 243727.510009766 6636528.92004395 99.553, 243727.989990234 6636529.81005859 99.543, 243728.479980469 6636530.68994141 99.533, 243729.939941406 6636533.34997559 99.503, 243731.989990234 6636537.08996582 99.473, 243732.060058594 6636537.2199707 99.463, 243732.369995117 6636537.79003906 99.463, 243732.449951172 6636537.93994141 99.463, 243733.180053711 6636539.2800293 99.453, 243733.349975586 6636539.56005859 99.453, 243734.199951172 6636541.13000488 99.433, 243734.239990234 6636541.19995117 99.433, 243734.310058594 6636541.34997559 99.433, 243734.780029297 6636542.23999023 99.433, 243735.469970703 6636543.91003418 99.423, 243735.540039062 6636544.08996582 99.423, 243735.819946289 6636544.84997559 99.423, 243736.579956055 6636546.91003418 99.423, 243737.800048828 6636550.23999023 99.423, 243738.310058594 6636551.59997559 99.423, 243738.780029297 6636552.86999512 99.423, 243739.119995117 6636553.81005859 99.433, 243740.030029297 6636556.30004883 99.443, 243740.5 6636557.56994629 99.443, 243740.83996582 6636558.51000977 99.453, 243741.760009766 6636561 99.463, 243742.119995117 6636561.97998047 99.463, 243743.489990234 6636565.68994141 99.493, 243745.219970703 6636570.39001465 99.523, 243746.949951172 6636575.07995606 99.553, 243747.300048828 6636576.02001953 99.563, 243747.300048828 6636576.0300293 99.563, 243747.310058594 6636576.06994629 99.563, 243747.630004883 6636576.95996094 99.563, 243747.650024414 6636576.9699707 99.563, 243747.66003418 6636577 99.563, 243748.209960937 6636578.5 99.573, 243748.670043945 6636579.77001953 99.583, 243749.020019531 6636580.72998047 99.583, 243749.040039063 6636580.77001953 99.593, 243749.109985352 6636580.9699707 99.593, 243749.33996582 6636581.56994629 99.593, 243749.349975586 6636581.61999512 99.593, 243749.390014648 6636581.7199707 99.593, 243749.469970703 6636581.93005371 99.593, 243749.819946289 6636582.88000488 99.603, 243749.969970703 6636583.2800293 99.603, 243750.290039063 6636584.15002441 99.613, 243750.599975586 6636585 99.623, 243750.91003418 6636585.85998535 99.623, 243751.229980469 6636586.72998047 99.633, 243751.540039062 6636587.58996582 99.643, 243751.869995117 6636588.45996094 99.653, 243752.180053711 6636589.32995606 99.663, 243752.510009766 6636590.20996094 99.663, 243752.83996582 6636591.08996582 99.673, 243753.170043945 6636591.9699707 99.683, 243753.489990234 6636592.84997559 99.693, 243753.819946289 6636593.75 99.703, 243753.859985352 6636593.84997559 99.703, 243754.199951172 6636594.68994141 99.713, 243754.550048828 6636595.51000977 99.723, 243754.670043945 6636595.73999023 99.723, 243755.439941406 6636597.18005371 99.743, 243755.83996582 6636597.81005859 99.743, 243756 6636598.06994629 99.743, 243756.479980469 6636598.75 99.753, 243757.16003418 6636599.61999512 99.763, 243756.469970703 6636598.76000977 99.753, 243755.949951172 6636598.09997559 99.753, 243755.760009766 6636597.86999512 99.743, 243755.310058594 6636597.27001953 99.743, 243754.349975586 6636595.95996094 99.733, 243754.199951172 6636595.73999023 99.733, 243753.689941406 6636595.01000977 99.723, 243753.199951172 6636594.2800293 99.723, 243753.130004883 6636594.18994141 99.723, 243752.599975586 6636593.39001465 99.713, 243752.099975586 6636592.60998535 99.713, 243751.599975586 6636591.80004883 99.703, 243751.109985352 6636590.98999024 99.703, 243750.630004883 6636590.18005371 99.693, 243750.170043945 6636589.33996582 99.693, 243749.709960938 6636588.52001953 99.683, 243749.270019531 6636587.68005371 99.673, 243748.829956055 6636586.83996582 99.673, 243748.41003418 6636585.98999024 99.663, 243748 6636585.13000488 99.663, 243747.609985352 6636584.27001953 99.653, 243747.420043945 6636583.86999512 99.653, 243747 6636582.90002441 99.653, 243746.91003418 6636582.68005371 99.643, 243746.859985352 6636582.57995606 99.643, 243746.83996582 6636582.5300293 99.643, 243746.58996582 6636581.91003418 99.643, 243746.5 6636581.69995117 99.643, 243746.479980469 6636581.66003418 99.643, 243746.109985352 6636580.7199707 99.633, 243745.619995117 6636579.44995117 99.633, 243745.069946289 6636577.95996094 99.623, 243745.060058594 6636577.92004395 99.623, 243745.060058594 6636577.91003418 99.623, 243744.729980469 6636577.02001953 99.613, 243744.709960938 6636576.97998047 99.613, 243744.709960938 6636576.9699707 99.613, 243744.369995117 6636576.0300293 99.603, 243742.630004883 6636571.33996582 99.573, 243740.91003418 6636566.64001465 99.543, 243739.540039063 6636562.93005371 99.523, 243739.180053711 6636561.94995117 99.513, 243738.270019531 6636559.45996094 99.503, 243737.920043945 6636558.52001953 99.503, 243737.449951172 6636557.25 99.493, 243736.540039062 6636554.76000977 99.483, 243736.189941406 6636553.82995606 99.483, 243735.719970703 6636552.55004883 99.483, 243735.219970703 6636551.18994141 99.483, 243733.989990234 6636547.85998535 99.473, 243733.239990234 6636545.80004883 99.483, 243732.959960938 6636545.05004883 99.483, 243732.890014648 6636544.85998535 99.483, 243732.270019531 6636543.16003418 99.483, 243731.920043945 6636542.22998047 99.483, 243731.869995117 6636542.06994629 99.483, 243731.83996582 6636542.01000977 99.483, 243731.229980469 6636540.34997559 99.493, 243731.119995117 6636540.04003906 99.493, 243730.58996582 6636538.61999512 99.503, 243730.530029297 6636538.45996094 99.503, 243730.310058594 6636537.85998535 99.503, 243730.270019531 6636537.70996094 99.503, 243728.859985352 6636533.75 99.523, 243727.859985352 6636530.92004395 99.543, 243727.520019531 6636529.97998047 99.553, 243727.189941406 6636529.04003906 99.563, 243727.040039063 6636528.59997559 99.563, 243725.520019531 6636524.31994629 99.603)</t>
  </si>
  <si>
    <t>2017-06-14</t>
  </si>
  <si>
    <t>['FV1439 S1D1 m1336-1413']</t>
  </si>
  <si>
    <t>LINESTRING Z (243747.530029 6636600.609985 99.983, 243747.369995 6636600.359985 99.983, 243746.800049 6636599.550049 99.973, 243746.22998 6636598.719971 99.963, 243746.160034 6636598.609985 99.963, 243745.560059 6636597.73999 99.963, 243744.959961 6636596.859985 99.953, 243744.349976 6636595.97998 99.943, 243743.75 6636595.099976 99.933, 243743.130005 6636594.209961 99.923, 243742.540039 6636593.319946 99.923, 243741.920044 6636592.439941 99.913, 243741.310059 6636591.550049 99.903, 243740.699951 6636590.650024 99.893, 243740.069946 6636589.75 99.883, 243739.459961 6636588.839966 99.873, 243738.829956 6636587.930054 99.863, 243738.530029 6636587.5 99.853, 243737.839966 6636586.469971 99.843, 243737.680054 6636586.25 99.843, 243737.599976 6636586.130005 99.843, 243737.569946 6636586.089966 99.843, 243737.140015 6636585.420044 99.823, 243737 6636585.189941 99.823, 243736.47998 6636584.27002 99.813, 243735.880005 6636583.040039 99.793, 243735.290039 6636581.560059 99.763, 243735.280029 6636581.51001 99.733, 243734.959961 6636580.619995 99.733, 243734.949951 6636580.569946 99.733, 243734.619995 6636579.619995 99.723, 243732.969971 6636574.900024 99.723, 243731.310059 6636570.180054 99.723, 243730.01001 6636566.439941 99.703, 243729.670044 6636565.449951 99.613, 243728.790039 6636562.949951 99.533, 243728.459961 6636561.98999 99.463, 243728.01001 6636560.72998 99.453, 243727.140015 6636558.209961 99.443, 243726.810059 6636557.27002 99.433, 243726.369995 6636555.98999 99.433, 243725.880005 6636554.630005 99.423, 243724.709961 6636551.27002 99.423, 243723.98999 6636549.209961 99.423, 243723.719971 6636548.439941 99.423, 243723.660034 6636548.26001 99.423, 243723.060059 6636546.550049 99.423, 243722.72998 6636545.599976 99.423, 243722.680054 6636545.459961 99.423, 243722.660034 6636545.390015 99.433, 243722.150024 6636543.689941 99.433, 243722.069946 6636543.359985 99.433, 243721.780029 6636541.859985 99.433, 243721.75 6636541.699951 99.443, 243721.640015 6636541.050049 99.443, 243721.619995 6636540.900024 99.453, 243720.969971 6636536.660034 99.453, 243720.48999 6636533.640015 99.463, 243720.339966 6636532.630005 99.463, 243720.160034 6636531.630005 99.503, 243720.060059 6636531.170044 99.533, 243719.400024 6636528.959961 99.543, 243719.319946 6636528.72998 99.553, 243719.27002 6636528.579956 99.563, 243719.089966 6636528.119995 99.583, 243719.27002 6636528.579956 99.583, 243719.329956 6636528.72998 99.593, 243719.410034 6636528.949951 99.593, 243720.22998 6636531.109985 99.593, 243720.400024 6636531.540039 99.583, 243720.76001 6636532.469971 99.583, 243721.109985 6636533.410034 99.563, 243722.180054 6636536.209961 99.563, 243723.680054 6636540.140015 99.553, 243723.73999 6636540.280029 99.543, 243723.959961 6636540.890015 99.523, 243724.02002 6636541.030029 99.503, 243724.540039 6636542.449951 99.503, 243724.650024 6636542.77002 99.503, 243725.27002 6636544.430054 99.503, 243725.290039 6636544.5 99.493, 243725.349976 6636544.640015 99.493, 243725.689941 6636545.579956 99.483, 243726.319946 6636547.290039 99.483, 243726.390015 6636547.459961 99.483, 243726.670044 6636548.219971 99.483, 243727.420044 6636550.280029 99.483, 243728.640015 6636553.619995 99.483, 243729.119995 6636554.97998 99.483, 243729.560059 6636556.27002 99.473, 243729.880005 6636557.209961 99.483, 243730.73999 6636559.719971 99.483, 243731.170044 6636561 99.483, 243731.5 6636561.949951 99.483, 243732.359985 6636564.449951 99.493, 243732.699951 6636565.449951 99.493, 243733.97998 6636569.189941 99.493, 243735.599976 6636573.930054 99.513, 243737.219971 6636578.660034 99.523, 243737.550049 6636579.609985 99.593, 243737.560059 6636579.660034 99.673, 243737.859985 6636580.550049 99.753, 243737.890015 6636580.599976 99.773, 243738.400024 6636582.109985 99.773, 243738.829956 6636583.400024 99.773, 243739.160034 6636584.349976 99.793, 243739.27002 6636584.640015 99.793, 243739.530029 6636585.339966 99.793, 243739.560059 6636585.380005 99.823, 243739.599976 6636585.5 99.843, 243739.689941 6636585.75 99.863, 243740.130005 6636586.849976 99.863, 243740.319946 6636587.300049 99.873, 243740.72998 6636588.280029 99.883, 243741.160034 6636589.26001 99.883, 243741.609985 6636590.219971 99.883, 243742.060059 6636591.180054 99.883, 243742.540039 6636592.130005 99.893, 243743.02002 6636593.079956 99.893, 243743.51001 6636594.01001 99.903, 243744.030029 6636594.949951 99.903, 243744.560059 6636595.859985 99.913, 243745.089966 6636596.780029 99.923, 243745.640015 6636597.689941 99.923, 243746.199951 6636598.589966 99.933, 243746.27002 6636598.699951 99.933, 243746.810059 6636599.540039 99.943, 243747.530029 6636600.609985 99.953)</t>
  </si>
  <si>
    <t>2025-11-22T09:19:15Z</t>
  </si>
  <si>
    <t>['FV6140 S1D1 m9977-9998']</t>
  </si>
  <si>
    <t>LINESTRING Z (184682.07550215023 6959519.805953562 88.511, 184684.956246106 6959521.390242446 88.581, 184686.51552107267 6959521.834830009 88.621, 184690.03856936208 6959521.183706717 88.661, 184692.01866149093 6959520.63551403 88.611, 184694.1467969825 6959520.017117816 88.701, 184695.04740463325 6959519.617118347 88.711, 184695.48899797228 6959519.272278488 88.681, 184695.8664666352 6959519.012019068 88.741, 184698.40532498813 6959516.594999163 88.791, 184698.92572529957 6959516.265025077 88.781)</t>
  </si>
  <si>
    <t>['RV70 S7D1 m2212-2276']</t>
  </si>
  <si>
    <t>LINESTRING Z (184860.96 6959435.48 89.682, 184865.02 6959433 89.562, 184873.21 6959427.37 89.532, 184882.97 6959422.74 89.542, 184894.57 6959417.39 89.552, 184894.99 6959415.06 89.622, 184897.87 6959413.66 89.602, 184899.4 6959415.02 89.522, 184911.69 6959411.69 89.602, 184920.65 6959409.49 89.662)</t>
  </si>
  <si>
    <t>POINT (184890.12576122655 6959420.212134139)</t>
  </si>
  <si>
    <t>['RV70 S7D1 m2266-2342']</t>
  </si>
  <si>
    <t>LINESTRING Z (184873.93 6959438.33 89.462, 184870.29 6959440.52 89.442, 184860.42 6959447.49 89.282, 184852.24 6959453.12 89.231, 184838.61 6959460.42 89.351, 184838.17 6959462.7 89.371, 184835.01 6959464.36 89.391, 184833.38 6959463.27 89.411, 184827.75 6959466.16 89.461, 184824.03 6959467.81 89.531, 184822.44 6959468.31 89.531, 184810.72 6959472.19 89.931, 184808.35 6959473.07 89.991, 184806.65 6959473.97 90.051)</t>
  </si>
  <si>
    <t>POINT (184841.11905176926 6959458.1258240845)</t>
  </si>
  <si>
    <t>[3552]</t>
  </si>
  <si>
    <t>['FV3552 S1D1 m1068-1169']</t>
  </si>
  <si>
    <t>LINESTRING Z (132876.006 6492015.646 28.05, 132875.803 6492015.316 28.054, 132872.381 6492009.912 28.096, 132868.607 6492003.486 28.16, 132864.446 6491996.414 28.249, 132860.834 6491990.361 28.333, 132859.101 6491987.617 28.404, 132857.883 6491985.816 28.46, 132856.579 6491984.171 28.47, 132855.153 6491982.625 28.539, 132853.732 6491981.257 28.572, 132851.613 6491979.384 28.569, 132848.648 6491977.162 28.633, 132846.791 6491975.998 28.657, 132844.094 6491974.335 28.747, 132840.526 6491972.186 28.797, 132836.816 6491969.952 28.9, 132831.109 6491966.459 29.029, 132826.269 6491963.572 29.136, 132822.448 6491961.258 29.234, 132819.655 6491959.471 29.34, 132817.778 6491958.476 29.37, 132816.78 6491957.98 29.414, 132815.772 6491957.624 29.403, 132811.239 6491956.051 29.556, 132805.36 6491954.397 29.695, 132800.493 6491953.084 29.846, 132797.635 6491952.239 29.957, 132796.259 6491951.665 30.035, 132795.775 6491951.777 30.044)</t>
  </si>
  <si>
    <t>POINT (132840.9597988006 6491977.357013782)</t>
  </si>
  <si>
    <t>['FV420 S6D1 m1003-1070']</t>
  </si>
  <si>
    <t>LINESTRING Z (129980.07 6487629.018 7.901, 129982.188 6487627.391 7.808, 129986.183 6487625.115 7.681, 129990.536 6487622.712 7.65, 129991.8 6487621.908 7.617, 129993.761 6487620.593 7.539, 129995.438 6487619.262 7.503, 129996.308 6487618.408 7.45, 129997.456 6487617.107 7.363, 130000.742 6487613.291 7.295, 130006.115 6487607.139 7.007, 130007.558 6487605.411 6.92, 130008.833 6487603.667 6.884, 130011.207 6487600.072 6.743, 130014.977 6487594.471 6.464, 130021.206 6487585.182 6.072, 130025.023 6487579.559 5.842, 130025.011 6487579.496 5.845)</t>
  </si>
  <si>
    <t>POINT (130004.65115515847 6487606.384530023)</t>
  </si>
  <si>
    <t>2019-08-21</t>
  </si>
  <si>
    <t>['RV354 S1D1 m1418-1465']</t>
  </si>
  <si>
    <t>LINESTRING Z (195459.03 6557063.15 42.286, 195477.24 6557068.8 42.286)</t>
  </si>
  <si>
    <t>POINT (195468.135 6557065.975)</t>
  </si>
  <si>
    <t>['FV32 S6D1 m53-107']</t>
  </si>
  <si>
    <t>LINESTRING Z (197382.17 6581252.51 241.731, 197384.55 6581254.48 241.701, 197388.46 6581258.05 241.651, 197393.68 6581262.75 241.551, 197395.2 6581264.16 241.521, 197404.51 6581275.84 241.271, 197407.47 6581279.55 241.221, 197415.76 6581294.72 241.071, 197382.17 6581252.51 241.731)</t>
  </si>
  <si>
    <t>POLYGON Z ((197382.17 6581252.51 241.731, 197384.55 6581254.48 241.701, 197388.46 6581258.05 241.651, 197393.68 6581262.75 241.551, 197395.2 6581264.16 241.521, 197404.51 6581275.84 241.271, 197407.47 6581279.55 241.221, 197415.76 6581294.72 241.071, 197382.17 6581252.51 241.731))</t>
  </si>
  <si>
    <t>['FV32 S5D1 m9119-9165']</t>
  </si>
  <si>
    <t>LINESTRING Z (197823.48 6581612.88 244.031, 197828.66 6581615.39 244.271, 197833.13 6581617.72 244.431, 197834.43 6581618.55 244.461, 197837.84 6581621.07 244.571, 197848.04 6581628.67 244.921, 197849.29 6581629.74 244.961, 197849.83 6581630.3 244.981, 197852.04 6581632.72 245.061, 197855.99 6581637 245.181, 197857.88 6581639.13 245.281, 197846.41 6581630.25 244.871, 197834.25 6581621.16 244.451, 197820.79 6581611.62 243.981, 197823.48 6581612.88 244.031)</t>
  </si>
  <si>
    <t>POLYGON Z ((197823.48 6581612.88 244.031, 197828.66 6581615.39 244.271, 197833.13 6581617.72 244.431, 197834.43 6581618.55 244.461, 197837.84 6581621.07 244.571, 197848.04 6581628.67 244.921, 197849.29 6581629.74 244.961, 197849.83 6581630.3 244.981, 197852.04 6581632.72 245.061, 197855.99 6581637 245.181, 197857.88 6581639.13 245.281, 197846.41 6581630.25 244.871, 197834.25 6581621.16 244.451, 197820.79 6581611.62 243.981, 197823.48 6581612.88 244.031))</t>
  </si>
  <si>
    <t>['FV32 S5D1 m9111-9170']</t>
  </si>
  <si>
    <t>LINESTRING Z (197859.66 6581649.48 245.181, 197813.63 6581616.04 243.631, 197811.76 6581614.81 243.591, 197814.13 6581616.64 243.691, 197816.18 6581618.44 243.781, 197819.29 6581621.34 243.961, 197824.67 6581626.34 244.141, 197828.24 6581629.13 244.321, 197833.82 6581633.21 244.491, 197837.65 6581636 244.631, 197839.52 6581637.37 244.681, 197841.28 6581638.78 244.711, 197856.15 6581647.62 245.051, 197859.66 6581649.48 245.181)</t>
  </si>
  <si>
    <t>POLYGON Z ((197859.66 6581649.48 245.181, 197813.63 6581616.04 243.631, 197811.76 6581614.81 243.591, 197814.13 6581616.64 243.691, 197816.18 6581618.44 243.781, 197819.29 6581621.34 243.961, 197824.67 6581626.34 244.141, 197828.24 6581629.13 244.321, 197833.82 6581633.21 244.491, 197837.65 6581636 244.631, 197839.52 6581637.37 244.681, 197841.28 6581638.78 244.711, 197856.15 6581647.62 245.051, 197859.66 6581649.48 245.181))</t>
  </si>
  <si>
    <t>['FV32 S6D1 m28-73']</t>
  </si>
  <si>
    <t>LINESTRING Z (197396.8 6581283.7 241.261, 197425.02 6581318.87 240.751, 197415.34 6581310.39 240.851, 197403.08 6581295.06 241.031, 197396.8 6581283.7 241.261)</t>
  </si>
  <si>
    <t>POLYGON Z ((197396.8 6581283.7 241.261, 197425.02 6581318.87 240.751, 197415.34 6581310.39 240.851, 197403.08 6581295.06 241.031, 197396.8 6581283.7 241.261))</t>
  </si>
  <si>
    <t>['FV5182 S1D1 m1689-1740']</t>
  </si>
  <si>
    <t>LINESTRING Z (-39296.7800292969 6722448.22000122 25.29, -39298.6400146484 6722448.07000732 25.33, -39301.549987793 6722447.51000977 25.29, -39306.3800048828 6722446.57000732 25.28, -39310.8499755859 6722445.70999146 25.22, -39311.9400024414 6722445.38000488 25.22, -39312.9799804688 6722445.04000854 25.21, -39314.75 6722444.35998535 25.18, -39318.0999755859 6722443.02999878 25.17, -39318.950012207 6722442.54000855 25.14, -39321.1900024414 6722441.66000366 25.1, -39326.299987793 6722439.63000488 24.99, -39330.3599853516 6722438.04000855 24.89, -39331.1900024414 6722437.69000244 24.87, -39333.8200073242 6722436.04998779 24.8, -39338.1699829102 6722433.32000733 24.66, -39341.8200073242 6722431.07000732 24.62, -39344.4600219727 6722429.42001343 24.58)</t>
  </si>
  <si>
    <t>POINT (-39321.353627072494 6722440.74521743)</t>
  </si>
  <si>
    <t>['FV5182 S1D1 m1635-1674']</t>
  </si>
  <si>
    <t>LINESTRING Z (-39243.2800292969 6722461.3500061 24.88, -39243.7299804688 6722461.05999756 24.88, -39244.8800048828 6722460.32998657 24.89, -39246.4199829102 6722459.32000732 24.88, -39247.9600219727 6722458.30999756 24.87, -39248.8200073242 6722457.75 24.87, -39250.0599975586 6722456.92999268 24.87, -39250.6099853516 6722456.61999512 24.94, -39251.6699829102 6722456.04000855 24.94, -39252.7299804688 6722455.47000122 24.94, -39253.5700073242 6722455.1499939 24.94, -39254.4799804688 6722454.67999268 24.94, -39257.8300170898 6722453.42001343 24.94, -39264.9400024414 6722450.72000122 24.91, -39265.4000244141 6722450.48001099 24.94, -39265.8699951172 6722450.23999024 24.96, -39266.8599853516 6722449.82998657 24.96, -39271.2199707031 6722448.20001221 24.99, -39273.1900024414 6722447.57000732 25.01, -39279.8800048828 6722446.26998901 25.09, -39279.950012207 6722446.23999023 25.09)</t>
  </si>
  <si>
    <t>POINT (-39261.11218890169 6722452.582716383)</t>
  </si>
  <si>
    <t>['RV150 S2D1 m1983-2124']</t>
  </si>
  <si>
    <t>LINESTRING Z (260094.829956055 6653038.48999023 98.009, 260102.150024414 6653046.08007813 98.009, 260102.260009766 6653046.20996094 97.999, 260105.050048828 6653049.10009766 98.079, 260105.520019531 6653049.59008789 98.089, 260105.800048828 6653049.87988281 98.089, 260107.989990234 6653052.15991211 98.119, 260108.239990234 6653052.41992188 98.129, 260108.829956055 6653053.0300293 98.129, 260110.030029297 6653054.2800293 98.169, 260113.16003418 6653057.5300293 98.259, 260114.08996582 6653058.48999024 98.279, 260119.640014648 6653064.25 98.479, 260120.060058594 6653064.69995117 98.499, 260120.260009766 6653064.89990234 98.499, 260120.300048828 6653064.94995117 98.499, 260127.069946289 6653071.9699707 98.749, 260127.199951172 6653072.12011719 98.749, 260127.349975586 6653072.26000977 98.759, 260127.560058594 6653072.47998047 98.769, 260133.119995117 6653078.26000977 98.959, 260133.510009766 6653078.65991211 98.969, 260136.260009766 6653081.51000977 99.049, 260136.469970703 6653081.72998047 99.059, 260136.630004883 6653081.90991211 99.069, 260137.280029297 6653082.58007813 99.099, 260137.979980469 6653083.31005859 99.149, 260139.719970703 6653085.12011719 99.189, 260141.810058594 6653087.31005859 99.279, 260142.719970703 6653088.27001953 99.319, 260142.760009766 6653088.30004883 99.319, 260146.319946289 6653092.05004883 99.499, 260147.130004883 6653092.89990234 99.529, 260148.800048828 6653094.65991211 99.589, 260150.550048828 6653096.5300293 99.599, 260152.430053711 6653098.51000977 99.649, 260154.91003418 6653101.15991211 99.729, 260157.709960937 6653104.13989258 99.809, 260158.459960938 6653104.94995117 99.829, 260161.699951172 6653108.44995117 99.939, 260162.959960938 6653109.79003906 99.979, 260165.41003418 6653112.44995117 100.079, 260168.189941406 6653115.45996094 100.179, 260168.369995117 6653115.64990234 100.189, 260169.689941406 6653117.11010742 100.229, 260171.140014648 6653118.79003906 100.289, 260172.579956055 6653120.5 100.339, 260173.979980469 6653122.22998047 100.399, 260175.349975586 6653123.97998047 100.459, 260176.689941406 6653125.76000977 100.509, 260178 6653127.57006836 100.569, 260179.229980469 6653129.27001953 100.629, 260180.280029297 6653130.65991211 100.679, 260180.489990234 6653130.93994141 100.679, 260181.359985352 6653132.07006836 100.709, 260181.770019531 6653132.59008789 100.719, 260181.880004883 6653132.70996094 100.719, 260183.08996582 6653134.22998047 100.769, 260183.319946289 6653134.5 100.769, 260184.050048828 6653135.37988281 100.799, 260184.430053711 6653135.84008789 100.809, 260184.670043945 6653136.11010742 100.819, 260185.800048828 6653137.42993164 100.859, 260186.66003418 6653138.38989258 100.889, 260187.199951172 6653138.98999023 100.909, 260188.619995117 6653140.54003906 100.959, 260190.060058594 6653142.06005859 101.009)</t>
  </si>
  <si>
    <t>POINT (260143.24919141465 6653089.569418795)</t>
  </si>
  <si>
    <t>2017-04-20</t>
  </si>
  <si>
    <t>[2692]</t>
  </si>
  <si>
    <t>['FV2692 S1D1 m702-748']</t>
  </si>
  <si>
    <t>LINESTRING Z (247910.14 6623767.37 59.202, 247909.87 6623767.79 59.182, 247907.86 6623770.38 58.922, 247905.92 6623772.87 58.732, 247905.28 6623774.36 58.642, 247905.03 6623775.3 58.562, 247902.99 6623780.5 58.192, 247901.32 6623784.66 57.892, 247900.79 6623785.52 57.842, 247900.43 6623786.49 57.752, 247898.91 6623790.34 57.522, 247897.88 6623798.84 57.032, 247897.34 6623803.14 56.802, 247896.74 6623807.57 56.532, 247896.06 6623812.61 56.272)</t>
  </si>
  <si>
    <t>POINT (247900.96722033972 6623789.215245369)</t>
  </si>
  <si>
    <t>2017-05-04</t>
  </si>
  <si>
    <t>[7558]</t>
  </si>
  <si>
    <t>['KV7558 S1D1 m1205-1265']</t>
  </si>
  <si>
    <t>LINESTRING Z (270408.530306526 7033682.38120051 -999999, 270405.916223193 7033668.62286717 -999999, 270406.466556526 7033634.50220051 -999999, 270408.943056526 7033622.80761717 -999999)</t>
  </si>
  <si>
    <t>POINT (270406.7330049819 7033652.584843795)</t>
  </si>
  <si>
    <t>2019-04-26</t>
  </si>
  <si>
    <t>[289]</t>
  </si>
  <si>
    <t>['FV289 S3D1 m3537-3604']</t>
  </si>
  <si>
    <t>LINESTRING Z (243827.78 6617163.29 179.171, 243826.1 6617164.14 179.091, 243822.1 6617166.13 179.001, 243817.82 6617168.3 178.851, 243813.09 6617170.67 178.671, 243809.53 6617172.45 178.571, 243805.12 6617173.86 178.351, 243800.48 6617175.36 178.101, 243794.29 6617177.34 177.711, 243788.52 6617179.18 177.371, 243783.86 6617180.71 177.071, 243779.08 6617181.57 176.771, 243778.33 6617181.7 176.721, 243774.4 6617182.44 176.481, 243770.14 6617183.24 176.191, 243766.09 6617183.99 175.901, 243764.09 6617184.41 175.801)</t>
  </si>
  <si>
    <t>POINT (243796.5652108831 6617175.713938826)</t>
  </si>
  <si>
    <t>['FV289 S3D1 m3623-3668']</t>
  </si>
  <si>
    <t>LINESTRING Z (243887.17 6617139.36 176.771, 243885.88 6617139.25 176.811, 243883.63 6617139.4 176.931, 243880.86 6617139.74 177.161, 243878.23 6617139.92 177.321, 243875.7 6617140.16 177.471, 243872.76 6617140.39 177.671, 243869.75 6617140.61 177.841, 243867.3 6617141.34 177.981, 243863.91 6617142.33 178.171, 243859.95 6617143.49 178.391, 243856.83 6617144.39 178.591, 243853.57 6617145.37 178.761, 243850.68 6617146.21 178.901, 243847.86 6617147.47 179.011, 243845.78 6617148.44 179.101, 243843.6 6617149.32 179.141)</t>
  </si>
  <si>
    <t>POINT (243865.0496794254 6617142.803502803)</t>
  </si>
  <si>
    <t>['FV79 S2D1 m5322-5397']</t>
  </si>
  <si>
    <t>LINESTRING Z (35501.5500488281 6732453.52001953 22.481, 35480.8599853516 6732454.23999024 22.311, 35451.7600097656 6732462.34997559 22.55, 35428.8399658203 6732473.06994629 21.51)</t>
  </si>
  <si>
    <t>POINT (35464.437099223316 6732460.221470778)</t>
  </si>
  <si>
    <t>['FV79 S2D1 m5367-5442']</t>
  </si>
  <si>
    <t>LINESTRING Z (35459.7900390625 6732472.31005859 21.79, 35436.1300048828 6732481 21.71, 35406.6300048828 6732488.19995117 21.54, 35386.3000488281 6732489.91003418 21.34)</t>
  </si>
  <si>
    <t>POINT (35423.50774295908 6732483.160447076)</t>
  </si>
  <si>
    <t>['FV79 S2D30 m182-247']</t>
  </si>
  <si>
    <t>LINESTRING Z (37115.1899414063 6731916.57000732 29.659, 37090.1599121094 6731921.47998047 29.609, 37064.6899414063 6731921.84002686 29.879, 37049.8500976563 6731918.52001953 30.369)</t>
  </si>
  <si>
    <t>POINT (37082.52513722412 6731920.304481363)</t>
  </si>
  <si>
    <t>['FV79 S2D1 m3522-3588']</t>
  </si>
  <si>
    <t>LINESTRING Z (37177.669921875 6731911.35998535 31.229, 37154.6000976562 6731921.09997559 30.679, 37131.0400390625 6731928.71002197 30.249, 37115.919921875 6731930.70001221 29.989)</t>
  </si>
  <si>
    <t>POINT (37147.26119010077 6731922.690820005)</t>
  </si>
  <si>
    <t>['FV79 S2D1 m4081-4171']</t>
  </si>
  <si>
    <t>LINESTRING Z (36683.1298828125 6732165.25 33.716, 36656.1599121094 6732178.89001465 33.936, 36628.1201171875 6732189.7199707 33.956, 36598.9799804688 6732197.73999023 33.766)</t>
  </si>
  <si>
    <t>POINT (36641.77746220248 6732183.366699022)</t>
  </si>
  <si>
    <t>['FV79 S2D1 m4435-4525']</t>
  </si>
  <si>
    <t>LINESTRING Z (36351.1000976563 6732285.88000488 31.014, 36322.0600585938 6732293.88000488 30.634, 36294.0100097656 6732304.69995117 30.324, 36267.1298828125 6732318.30004883 29.754)</t>
  </si>
  <si>
    <t>POINT (36308.39432725942 6732300.224292686)</t>
  </si>
  <si>
    <t>['FV79 S2D1 m4771-4861']</t>
  </si>
  <si>
    <t>LINESTRING Z (36040.2199707031 6732413.41003418 27.873, 36013.2600097656 6732427.04003906 27.663, 35985.1999511719 6732437.86999512 27.352, 35956.0799560547 6732445.89001465 26.962)</t>
  </si>
  <si>
    <t>POINT (35998.87111056026 6732431.518045366)</t>
  </si>
  <si>
    <t>['FV79 S2D1 m3419-3461']</t>
  </si>
  <si>
    <t>LINESTRING Z (37238.1599121094 6731905.15997315 33.249, 37242.6999511719 6731909.98999023 33.239, 37251.4499511719 6731912.90997315 33.449, 37267.330078125 6731911.16998291 34.089, 37272.0400390625 6731909.30999756 34.329, 37276.4499511719 6731903 34.699, 37279.0100097656 6731897.28997803 34.98)</t>
  </si>
  <si>
    <t>POINT (37260.215509935006 6731908.816778405)</t>
  </si>
  <si>
    <t>['FV79 S2D30 m1911-1965']</t>
  </si>
  <si>
    <t>LINESTRING Z (35611.75 6732398.77001953 13.681, 35603.3699951172 6732414.25 14.401, 35589.5 6732428.95996094 15.091, 35575.1600341797 6732438.80004883 15.581)</t>
  </si>
  <si>
    <t>POINT (35595.538886115355 6732420.658959304)</t>
  </si>
  <si>
    <t>['FV165 S2D1 m0-37']</t>
  </si>
  <si>
    <t>LINESTRING Z (246755.42 6636146.01 16.633, 246755.1 6636146.99 16.493, 246753.52 6636150.34 16.483, 246751.57 6636154.46 16.453, 246749.42 6636158.98 16.453, 246748.52 6636165.44 16.343, 246747.54 6636172.56 16.293, 246746.61 6636179.21 16.293, 246747.61 6636184.56 16.273, 246748.85 6636191.28 16.233, 246750.08 6636197.92 16.273, 246750.27 6636199.02 16.283)</t>
  </si>
  <si>
    <t>POINT (246749.33850942078 6636172.125489038)</t>
  </si>
  <si>
    <t>['FV256 S7D1 m5748-5797']</t>
  </si>
  <si>
    <t>LINESTRING Z (233830.101 6580489.082 24.697, 233830.34 6580490.158 24.656, 233830.522 6580491.226 24.611, 233830.655 6580492.255 24.594, 233830.833 6580493.286 24.557, 233831.019 6580494.329 24.536, 233831.236 6580495.359 24.482, 233831.473 6580496.387 24.443, 233831.759 6580497.395 24.424, 233831.984 6580497.982 24.397, 233832.356 6580498.925 24.36, 233832.788 6580499.865 24.32, 233833.208 6580500.785 24.288, 233833.285 6580500.928 24.282, 233842.542 6580518.013 23.525, 233842.581 6580518.084 23.522, 233843.033 6580518.92 23.486, 233843.564 6580519.731 23.458, 233843.81 6580520.063 23.454, 233844.373 6580520.846 23.401, 233844.643 6580521.214 23.375, 233845.067 6580521.729 23.366, 233845.742 6580522.527 23.304, 233848.526 6580525.561 23.134, 233850.822 6580528.164 23.011, 233851.404 6580528.775 22.973, 233852.6 6580530.064 22.87, 233853.504 6580531.156 22.827, 233854.447 6580532.365 22.768)</t>
  </si>
  <si>
    <t>POINT (233840.17730113544 6580511.821483828)</t>
  </si>
  <si>
    <t>2017-05-26</t>
  </si>
  <si>
    <t>[1920]</t>
  </si>
  <si>
    <t>['FV1920 S2D1 m3502-3552']</t>
  </si>
  <si>
    <t>LINESTRING Z (300912.54 6747602.16 228.207, 300912.78 6747602.11 228.187, 300912.67 6747601.94 228.177, 300912.36 6747601.45 228.147, 300911.19 6747599.31 228.127, 300909.8 6747597.18 228.077, 300908.08 6747594.65 228.037, 300906.07 6747591.94 228.007, 300903.86 6747589.1 227.967, 300902.49 6747587.37 228.087, 300901.85 6747587 227.967, 300899.76 6747584.79 227.957, 300897.19 6747582.16 227.927, 300894.7 6747579.59 227.897, 300892.34 6747577.14 227.907, 300890.28 6747575.03 227.887, 300887.97 6747572.54 227.897, 300885.42 6747569.79 227.967, 300882.86 6747567.17 227.957, 300880.93 6747565.09 227.957, 300879.26 6747563.36 227.987)</t>
  </si>
  <si>
    <t>POINT (300896.8376023392 6747582.253314606)</t>
  </si>
  <si>
    <t>['FV1920 S2D1 m97-150']</t>
  </si>
  <si>
    <t>LINESTRING Z (298976.07 6745094.24 179.482, 298976.7 6745095.31 179.532, 298978.4 6745097.95 179.642, 298980.29 6745100.48 179.752, 298982.48 6745103.22 179.942, 298984.52 6745105.78 180.072, 298986.76 6745108.62 180.212, 298988.94 6745111.38 180.352, 298990.56 6745113.57 180.452, 298991.9 6745115.61 180.552, 298993.43 6745118.25 180.692, 298994.84 6745120.89 180.822, 298995.15 6745121.87 180.832, 298995.74 6745123 180.872, 298997.41 6745126.38 181.012, 298999.22 6745129.97 181.172, 299000.95 6745133.39 181.332, 299002.64 6745136.74 181.472, 299002.9 6745137.25 181.492, 299003.35 6745137.89 181.532, 299004.22 6745139.62 181.592, 299004.42 6745139.52 181.652)</t>
  </si>
  <si>
    <t>POINT (298991.096068486 6745116.4713913705)</t>
  </si>
  <si>
    <t>['EV18 S47D1 m7232-7297']</t>
  </si>
  <si>
    <t>LINESTRING Z (234568.06 6638222.26 138.375, 234567.96 6638221.4 138.335, 234567.84 6638220.39 138.295, 234567.72 6638219.38 138.255, 234567.6 6638218.36 138.215, 234567.48 6638217.36 138.185, 234567.38 6638216.34 138.135, 234567.26 6638215.34 138.105, 234567.15 6638214.32 138.065, 234567.04 6638213.31 138.025, 234566.92 6638212.3 137.985, 234566.81 6638211.29 137.945, 234566.7 6638210.28 137.905, 234566.59 6638209.27 137.865, 234566.48 6638208.25 137.825, 234566.37 6638207.23 137.785, 234566.28 6638206.23 137.745, 234566.17 6638205.21 137.705, 234566.07 6638204.2 137.665, 234565.96 6638203.18 137.625, 234565.86 6638202.17 137.595, 234565.76 6638201.15 137.545, 234565.66 6638200.13 137.515, 234565.56 6638199.12 137.475, 234565.46 6638198.11 137.435, 234565.36 6638197.09 137.395, 234565.34 6638196.95 137.385, 234565.42 6638196.09 137.345, 234565.5 6638195.09 137.305, 234565.59 6638194.09 137.265, 234565.67 6638193.08 137.215, 234565.76 6638192.08 137.165, 234565.85 6638191.09 137.125, 234565.93 6638190.09 137.085, 234566.02 6638189.09 137.035, 234566.11 6638188.08 136.995, 234566.2 6638187.08 136.945, 234566.29 6638186.08 136.905, 234566.38 6638185.08 136.855, 234566.47 6638184.08 136.815, 234566.57 6638183.08 136.765, 234566.67 6638182.08 136.725, 234566.76 6638181.09 136.675, 234566.85 6638180.09 136.635, 234566.96 6638179.09 136.585, 234567.05 6638178.09 136.545, 234567.15 6638177.09 136.495, 234567.25 6638176.09 136.455, 234567.36 6638175.09 136.405, 234567.46 6638174.09 136.365, 234567.56 6638173.09 136.325, 234567.66 6638172.09 136.275, 234567.67 6638171.95 136.265, 234568.02 6638171.11 136.225, 234568.42 6638170.15 136.165, 234568.83 6638169.18 136.115, 234569.24 6638168.21 136.065, 234569.64 6638167.25 136.005, 234570.05 6638166.28 135.955, 234570.45 6638165.32 135.905, 234570.87 6638164.36 135.845, 234571.27 6638163.4 135.795, 234571.68 6638162.43 135.735, 234572.1 6638161.47 135.685, 234572.5 6638160.51 135.635, 234572.92 6638159.55 135.575, 234573.33 6638158.59 135.525, 234573.75 6638157.64 135.475, 234573.8 6638157.5 135.465)</t>
  </si>
  <si>
    <t>POINT (234567.54663615662 6638189.440202561)</t>
  </si>
  <si>
    <t>['EV18 S47D1 m7838-7925']</t>
  </si>
  <si>
    <t>LINESTRING Z (234756.09 6637558.17 105.484, 234755.73 6637559.11 105.524, 234755.39 6637560.04 105.574, 234755.03 6637560.98 105.624, 234754.67 6637561.92 105.664, 234754.31 6637562.85 105.714, 234753.96 6637563.79 105.754, 234753.6 6637564.72 105.804, 234753.23 6637565.66 105.844, 234752.87 6637566.58 105.894, 234752.52 6637567.52 105.934, 234752.15 6637568.45 105.984, 234751.78 6637569.38 106.024, 234751.41 6637570.31 106.074, 234751.04 6637571.24 106.124, 234750.68 6637572.17 106.164, 234750.4 6637573.13 106.214, 234750.13 6637574.08 106.264, 234749.86 6637575.04 106.314, 234749.57 6637575.99 106.364, 234749.3 6637576.95 106.414, 234749.02 6637577.9 106.454, 234748.73 6637578.86 106.504, 234748.46 6637579.81 106.554, 234748.17 6637580.77 106.604, 234747.89 6637581.72 106.654, 234747.6 6637582.67 106.704, 234747.31 6637583.63 106.754, 234747.03 6637584.58 106.804, 234746.73 6637585.53 106.854, 234746.44 6637586.48 106.904, 234746.16 6637587.44 106.954, 234745.86 6637588.38 107.004, 234745.69 6637588.94 107.034, 234745.57 6637589.33 107.054, 234745.27 6637590.28 107.104, 234744.97 6637591.24 107.154, 234744.68 6637592.19 107.204, 234744.38 6637593.14 107.254, 234744.08 6637594.09 107.304, 234743.79 6637595.05 107.354, 234743.48 6637596 107.414, 234743.24 6637596.97 107.464, 234743 6637597.94 107.514, 234742.76 6637598.91 107.564, 234742.51 6637599.88 107.624, 234742.27 6637600.85 107.674, 234742.01 6637601.82 107.724, 234741.77 6637602.78 107.784, 234741.52 6637603.74 107.834, 234741.28 6637604.71 107.884, 234741.02 6637605.68 107.934, 234740.78 6637606.65 107.994, 234740.52 6637607.62 108.044, 234740.28 6637608.59 108.094, 234740.02 6637609.56 108.144, 234739.78 6637610.52 108.204, 234739.52 6637611.49 108.254, 234739.27 6637612.46 108.304, 234739.01 6637613.43 108.364, 234738.76 6637614.39 108.414, 234738.5 6637615.36 108.464, 234738.25 6637616.32 108.524, 234737.99 6637617.29 108.574, 234737.74 6637618.26 108.624, 234737.47 6637619.23 108.684, 234737.22 6637620.19 108.734, 234737.53 6637619.25 108.684, 234737.22 6637620.19 108.734, 234736.9 6637621.14 108.784, 234736.69 6637622.12 108.844, 234736.47 6637623.1 108.904, 234736.25 6637624.08 108.954, 234736.03 6637625.06 109.014, 234735.81 6637626.04 109.074, 234735.58 6637627.02 109.134, 234735.37 6637628 109.184, 234735.15 6637628.98 109.244, 234734.92 6637629.96 109.304, 234734.7 6637630.94 109.354, 234734.47 6637631.92 109.414, 234734.25 6637632.9 109.474, 234734.03 6637633.88 109.524, 234733.8 6637634.85 109.584, 234733.58 6637635.83 109.644, 234733.34 6637636.82 109.694, 234733.12 6637637.79 109.754, 234732.89 6637638.78 109.814, 234732.66 6637639.76 109.874, 234732.33 6637640.7 109.924)</t>
  </si>
  <si>
    <t>2017-06-07</t>
  </si>
  <si>
    <t>['FV308 S4D1 m3267-3336']</t>
  </si>
  <si>
    <t>LINESTRING Z (238006.24 6574305.89 15.111, 238006.11 6574306.97 15.201, 238005.97 6574308.05 15.281, 238005.81 6574308.98 15.301, 238004.85 6574312.92 15.371, 238003.76 6574317.28 15.451, 238002.36 6574323.31 15.591, 238002.19 6574324.66 15.611, 238001.94 6574329 15.711, 238001.62 6574334.66 15.831, 238000.97 6574346.12 16.051, 238000.61 6574352.52 16.141, 238000.38 6574357.2 16.221, 238000.49 6574359.02 16.261, 238000.66 6574360.63 16.301, 238000.89 6574362.41 16.351, 238002.55 6574375.56 16.671, 238003.69 6574375.45 16.611, 238003.52 6574368.59 16.441, 238003.37 6574362.85 16.301, 238003.65 6574354.27 16.141, 238003.86 6574348.18 16.021, 238004.32 6574340.54 15.881, 238004.76 6574334.07 15.761, 238005.22 6574328.7 15.641, 238005.68 6574323.47 15.531, 238005.99 6574319.81 15.451, 238006.37 6574314.43 15.331, 238006.61 6574310.97 15.251, 238006.63 6574307.62 15.181, 238006.59 6574305.81 15.141, 238006.24 6574305.89 15.111)</t>
  </si>
  <si>
    <t>POLYGON Z ((238006.24 6574305.89 15.111, 238006.11 6574306.97 15.201, 238005.97 6574308.05 15.281, 238005.81 6574308.98 15.301, 238004.85 6574312.92 15.371, 238003.76 6574317.28 15.451, 238002.36 6574323.31 15.591, 238002.19 6574324.66 15.611, 238001.94 6574329 15.711, 238001.62 6574334.66 15.831, 238000.97 6574346.12 16.051, 238000.61 6574352.52 16.141, 238000.38 6574357.2 16.221, 238000.49 6574359.02 16.261, 238000.66 6574360.63 16.301, 238000.89 6574362.41 16.351, 238002.55 6574375.56 16.671, 238003.69 6574375.45 16.611, 238003.52 6574368.59 16.441, 238003.37 6574362.85 16.301, 238003.65 6574354.27 16.141, 238003.86 6574348.18 16.021, 238004.32 6574340.54 15.881, 238004.76 6574334.07 15.761, 238005.22 6574328.7 15.641, 238005.68 6574323.47 15.531, 238005.99 6574319.81 15.451, 238006.37 6574314.43 15.331, 238006.61 6574310.97 15.251, 238006.63 6574307.62 15.181, 238006.59 6574305.81 15.141, 238006.24 6574305.89 15.111))</t>
  </si>
  <si>
    <t>['FV3098 S2D1 m5194-5264']</t>
  </si>
  <si>
    <t>LINESTRING Z (237896.3 6574282.04 12.471, 237903.53 6574281.77 12.701, 237912.04 6574281.42 13.011, 237925.82 6574279.15 13.181, 237934.54 6574277.71 13.291, 237940.24 6574276.77 13.361, 237940.88 6574276.63 13.391, 237951.19 6574275.5 13.411, 237958.96 6574274.66 13.431, 237961.07 6574274.68 13.361, 237962.21 6574274.8 13.581, 237962.32 6574274.2 13.381, 237953.14 6574273.34 13.301, 237941.23 6574273.45 13.151, 237931.13 6574274.58 13.011, 237921.21 6574276.38 12.881, 237910.14 6574278.5 12.761, 237902.57 6574279.96 12.621, 237894.1 6574281.59 12.381, 237894.22 6574282.27 12.411, 237896.3 6574282.04 12.471)</t>
  </si>
  <si>
    <t>POLYGON Z ((237896.3 6574282.04 12.471, 237903.53 6574281.77 12.701, 237912.04 6574281.42 13.011, 237925.82 6574279.15 13.181, 237934.54 6574277.71 13.291, 237940.24 6574276.77 13.361, 237940.88 6574276.63 13.391, 237951.19 6574275.5 13.411, 237958.96 6574274.66 13.431, 237961.07 6574274.68 13.361, 237962.21 6574274.8 13.581, 237962.32 6574274.2 13.381, 237953.14 6574273.34 13.301, 237941.23 6574273.45 13.151, 237931.13 6574274.58 13.011, 237921.21 6574276.38 12.881, 237910.14 6574278.5 12.761, 237902.57 6574279.96 12.621, 237894.1 6574281.59 12.381, 237894.22 6574282.27 12.411, 237896.3 6574282.04 12.471))</t>
  </si>
  <si>
    <t>['FV308 S5D1 m15-83']</t>
  </si>
  <si>
    <t>LINESTRING Z (238016.88 6574179.74 15.531, 238016.44 6574179.77 15.421, 238017.61 6574188.29 15.441, 238018.34 6574195.13 15.411, 238019.16 6574203.39 15.361, 238019.53 6574210.4 15.341, 238019.96 6574219.32 15.311, 238020.23 6574224.77 15.291, 238020.41 6574234.46 15.241, 238020.53 6574241.72 15.211, 238020.73 6574246.94 15.171, 238020.81 6574248.03 15.161, 238021.09 6574248.01 15.321, 238021.18 6574247.09 15.321, 238021.5 6574245.49 15.341, 238022.2 6574242.13 15.371, 238023.15 6574237.6 15.421, 238023.88 6574233.09 15.461, 238023.71 6574229.57 15.481, 238023.55 6574226.36 15.501, 238023.31 6574221.7 15.531, 238023.06 6574216.43 15.561, 238022.85 6574212.24 15.591, 238022.62 6574207.68 15.621, 238022.01 6574198.29 15.651, 238021.72 6574193.75 15.671, 238021.12 6574191.9 15.661, 238020.64 6574190.5 15.651, 238018.7 6574185.28 15.601, 238017.24 6574181.4 15.551, 238016.88 6574179.75 15.531)</t>
  </si>
  <si>
    <t>POLYGON Z ((238016.88 6574179.74 15.531, 238016.44 6574179.77 15.421, 238017.61 6574188.29 15.441, 238018.34 6574195.13 15.411, 238019.16 6574203.39 15.361, 238019.53 6574210.4 15.341, 238019.96 6574219.32 15.311, 238020.23 6574224.77 15.291, 238020.41 6574234.46 15.241, 238020.53 6574241.72 15.211, 238020.73 6574246.94 15.171, 238020.81 6574248.03 15.161, 238021.09 6574248.01 15.321, 238021.18 6574247.09 15.321, 238021.5 6574245.49 15.341, 238022.2 6574242.13 15.371, 238023.15 6574237.6 15.421, 238023.88 6574233.09 15.461, 238023.71 6574229.57 15.481, 238023.55 6574226.36 15.501, 238023.31 6574221.7 15.531, 238023.06 6574216.43 15.561, 238022.85 6574212.24 15.591, 238022.62 6574207.68 15.621, 238022.01 6574198.29 15.651, 238021.72 6574193.75 15.671, 238021.12 6574191.9 15.661, 238020.64 6574190.5 15.651, 238018.7 6574185.28 15.601, 238017.24 6574181.4 15.551, 238016.88 6574179.75 15.531, 238016.88 6574179.74 15.531))</t>
  </si>
  <si>
    <t>2019-05-22</t>
  </si>
  <si>
    <t>2025-11-22T09:19:22Z</t>
  </si>
  <si>
    <t>['FV319 S3D10 m326-349']</t>
  </si>
  <si>
    <t>LINESTRING Z (241127.719936841 6617575.09881168 -999999, 241119.865484562 6617552.18999253 -999999, 241116.101892845 6617539.590142 -999999, 241113.974645353 6617520.28128015 -999999, 241115.283720733 6617515.69951632 -999999)</t>
  </si>
  <si>
    <t>POINT (241119.07989423122 6617545.680565916)</t>
  </si>
  <si>
    <t>2025-04-30T14:36:28Z</t>
  </si>
  <si>
    <t>['KV6130 S8D1 m180-233']</t>
  </si>
  <si>
    <t>LINESTRING (277294.9215213595 7040944.447820447, 277290.131941922 7040930.633096658, 277289.06118360185 7040918.168056806, 277289.23415531137 7040909.103168362, 277292.19972891547 7040890.991625785)</t>
  </si>
  <si>
    <t>POINT (277290.6842549904 7040917.940201563)</t>
  </si>
  <si>
    <t>['FV64 S6D1 m6805-6936']</t>
  </si>
  <si>
    <t>LINESTRING Z (105702.97 6980102.73 -93.146, 105702.32 6980104.65 -93.236, 105700.69 6980109.41 -93.506, 105699.06 6980114.17 -93.766, 105697.43 6980118.94 -94.026, 105695.81 6980123.7 -94.286, 105694.18 6980128.46 -94.536, 105692.55 6980133.23 -94.796, 105690.93 6980137.99 -95.056, 105689.3 6980142.75 -95.316, 105687.67 6980147.52 -95.566, 105686.04 6980152.28 -95.856, 105684.42 6980157.04 -96.166, 105683.45 6980159.9 -96.346, 105682.61 6980161.73 -96.466, 105680.53 6980166.28 -96.816, 105680.26 6980166.86 -96.856, 105678.45 6980170.83 -97.056, 105675.91 6980175.18 -97.256, 105673.37 6980179.53 -97.456, 105670.84 6980183.88 -97.636, 105668.29 6980188.22 -97.826, 105665.75 6980192.58 -98.026, 105664.24 6980195.18 -98.146, 105663.22 6980196.92 -98.226, 105660.68 6980201.27 -98.426, 105658.14 6980205.61 -98.626, 105655.61 6980209.96 -98.826, 105653.07 6980214.31 -99.026, 105650.52 6980218.66 -99.226, 105649.01 6980221.27 -99.346)</t>
  </si>
  <si>
    <t>POINT (105678.92112089875 6980163.339131191)</t>
  </si>
  <si>
    <t>['FV64 S6D1 m5535-5624']</t>
  </si>
  <si>
    <t>LINESTRING Z (106648.5 6979608.01 5.705, 106646.49 6979607.8 5.655, 106644.47 6979607.6 5.605, 106643.46 6979607.49 5.585, 106640.94 6979607.21 5.505, 106638.43 6979606.94 5.435, 106637.42 6979606.82 5.405, 106635.41 6979606.57 5.345, 106633.39 6979606.33 5.275, 106630.37 6979605.95 5.175, 106628.35 6979605.68 5.105, 106625.83 6979605.35 5.015, 106623.32 6979605 4.925, 106620.8 6979604.63 4.825, 106618.29 6979604.26 4.725, 106616.32 6979603.76 4.645, 106613.38 6979603 4.505, 106611.43 6979602.48 4.415, 106609.47 6979601.96 4.325, 106608.49 6979601.69 4.275, 106606.05 6979601.02 4.155, 106603.61 6979600.34 4.035, 106602.63 6979600.06 3.985, 106600.69 6979599.51 3.885, 106598.74 6979598.94 3.775, 106595.82 6979598.09 3.615, 106593.89 6979597.51 3.505, 106592.92 6979597.22 3.455, 106591.94 6979596.92 3.395, 106590.98 6979596.63 3.335, 106589.04 6979596.04 3.225, 106588.1 6979595.63 3.165, 106587.36 6979595.32 3.115, 106584.37 6979594.04 2.915, 106582.5 6979593.23 2.785, 106579.71 6979592 2.595, 106577.85 6979591.18 2.465, 106575.99 6979590.35 2.325, 106575.26 6979590.01 2.275, 106575.07 6979589.93 2.265, 106574.14 6979589.51 2.195, 106573.23 6979589.08 2.125, 106570.46 6979587.81 1.915, 106569.54 6979587.39 1.845, 106567.71 6979586.52 1.705, 106565.88 6979585.67 1.555, 106563.13 6979584.35 1.335, 106562.22 6979583.92 1.265, 106561.96 6979583.79 1.245)</t>
  </si>
  <si>
    <t>POINT (106604.38138141198 6979598.92392522)</t>
  </si>
  <si>
    <t>['FV64 S6D1 m6189-6280']</t>
  </si>
  <si>
    <t>LINESTRING Z (106023.79 6979590.56 -48.906, 106022.89 6979591.02 -48.996, 106019.27 6979592.84 -49.346, 106017.45 6979593.75 -49.526, 106014.74 6979595.14 -49.766, 106012.05 6979596.55 -50.006, 106010.26 6979597.5 -50.176, 106006.67 6979599.43 -50.506, 106005.77 6979599.92 -50.586, 106003.54 6979601.13 -50.806, 106001.31 6979602.37 -51.016, 105999.1 6979603.61 -51.236, 105996.88 6979604.86 -51.456, 105996.06 6979605.45 -51.546, 105992.76 6979607.81 -51.926, 105991.12 6979609 -52.106, 105988.66 6979610.8 -52.386, 105986.22 6979612.62 -52.656, 105984.6 6979613.84 -52.836, 105981.37 6979616.29 -53.196, 105980.57 6979616.91 -53.276, 105978.56 6979618.46 -53.496, 105976.56 6979620.02 -53.716, 105974.57 6979621.59 -53.936, 105972.59 6979623.17 -54.156, 105971.86 6979623.88 -54.256, 105968.96 6979626.75 -54.616, 105967.53 6979628.18 -54.806, 105965.37 6979630.36 -55.086, 105963.24 6979632.54 -55.366, 105961.83 6979634 -55.546, 105959.02 6979636.93 -55.926, 105958.32 6979637.67 -56.026, 105956.58 6979639.52 -56.256, 105954.85 6979641.37 -56.496, 105951.43 6979645.1 -56.956)</t>
  </si>
  <si>
    <t>POINT (105985.6058285639 6979615.171572934)</t>
  </si>
  <si>
    <t>['FV64 S6D1 m7625-7714']</t>
  </si>
  <si>
    <t>LINESTRING Z (105327.71 6980826.01 -59.636, 105327.07 6980826.8 -59.556, 105325.14 6980829.14 -59.316, 105323.85 6980830.71 -59.146, 105320.6 6980834.59 -58.726, 105317.31 6980838.46 -58.296, 105315.99 6980839.99 -58.126, 105314 6980842.3 -57.866, 105311.32 6980845.35 -57.516, 105310.65 6980846.11 -57.436, 105307.95 6980849.14 -57.096, 105307.2 6980849.83 -57.016, 105306.45 6980850.51 -56.926, 105303.46 6980853.23 -56.606, 105301.19 6980855.25 -56.366, 105299.69 6980856.6 -56.196, 105295.88 6980859.93 -55.796, 105292.06 6980863.25 -55.396, 105290.52 6980864.56 -55.236, 105288.21 6980866.52 -54.996, 105285.11 6980869.13 -54.686, 105284.27 6980869.7 -54.606, 105280.06 6980872.53 -54.236, 105279.21 6980873.09 -54.156, 105275.82 6980875.33 -53.856, 105273.27 6980876.99 -53.626, 105271.57 6980878.09 -53.476, 105267.3 6980880.82 -53.096, 105263.01 6980883.51 -52.726, 105261.29 6980884.58 -52.566, 105259.57 6980885.63 -52.416)</t>
  </si>
  <si>
    <t>POINT (105295.64687728409 6980858.114071917)</t>
  </si>
  <si>
    <t>['FV64 S6D1 m8432-8504']</t>
  </si>
  <si>
    <t>LINESTRING Z (104574.46 6980965.79 3.193, 104572.56 6980965.09 3.253, 104570.66 6980964.4 3.313, 104569.71 6980964.04 3.343, 104567.33 6980963.18 3.413, 104564.95 6980962.3 3.473, 104562.58 6980961.43 3.533, 104560.2 6980960.55 3.593, 104557.36 6980959.51 3.653, 104556.4 6980959.16 3.673, 104555.45 6980958.82 3.693, 104553.56 6980958.12 3.723, 104551.65 6980957.42 3.763, 104550.67 6980957.21 3.783, 104548.76 6980956.8 3.813, 104548.67 6980956.79 3.813, 104548.61 6980956.78 3.823, 104548.52 6980956.76 3.823, 104548.42 6980956.74 3.823, 104548.32 6980956.72 3.823, 104548.22 6980956.69 3.823, 104548.13 6980956.67 3.823, 104548.03 6980956.65 3.833, 104547.93 6980956.64 3.833, 104547.84 6980956.62 3.833, 104547.74 6980956.6 3.833, 104547.65 6980956.58 3.833, 104547.54 6980956.56 3.833, 104547.45 6980956.54 3.843, 104547.35 6980956.51 3.843, 104547.26 6980956.49 3.843, 104547.15 6980956.47 3.843, 104547.06 6980956.45 3.843, 104546.96 6980956.43 3.843, 104546.87 6980956.41 3.853, 104546.76 6980956.39 3.853, 104546.67 6980956.37 3.853, 104546.58 6980956.35 3.853, 104546.48 6980956.32 3.853, 104546.38 6980956.3 3.853, 104546.28 6980956.28 3.863, 104546.19 6980956.26 3.863, 104546.09 6980956.24 3.863, 104545.99 6980956.22 3.863, 104545.89 6980956.2 3.863, 104545.8 6980956.18 3.863, 104545.7 6980956.17 3.873, 104545.6 6980956.14 3.873, 104545.5 6980956.12 3.873, 104545.41 6980956.1 3.873, 104545.32 6980956.08 3.873, 104545.21 6980956.06 3.873, 104545.12 6980956.04 3.883, 104545.02 6980956.02 3.883, 104544.93 6980956 3.883, 104544.82 6980955.98 3.883, 104544.73 6980955.95 3.883, 104544.63 6980955.93 3.883, 104544.54 6980955.91 3.893, 104544.43 6980955.89 3.893, 104544.34 6980955.87 3.893, 104544.24 6980955.85 3.893, 104544.14 6980955.83 3.893, 104544.05 6980955.81 3.893, 104543.95 6980955.79 3.893, 104543.86 6980955.76 3.903, 104543.75 6980955.74 3.903, 104543.66 6980955.72 3.903, 104543.56 6980955.7 3.903, 104543.47 6980955.68 3.903, 104543.36 6980955.66 3.903, 104543.27 6980955.64 3.903, 104543.18 6980955.62 3.913, 104543.08 6980955.6 3.913, 104542.98 6980955.57 3.913, 104542.88 6980955.55 3.913, 104542.79 6980955.53 3.913, 104542.69 6980955.51 3.913, 104542.59 6980955.49 3.913, 104542.49 6980955.47 3.923, 104542.4 6980955.45 3.923, 104542.3 6980955.43 3.923, 104542.2 6980955.41 3.923, 104542.11 6980955.38 3.923, 104542.01 6980955.36 3.923, 104541.92 6980955.34 3.923, 104541.81 6980955.32 3.923, 104541.72 6980955.3 3.933, 104541.62 6980955.28 3.933, 104541.53 6980955.26 3.933, 104541.42 6980955.24 3.933, 104541.33 6980955.22 3.933, 104541.24 6980955.19 3.933, 104541.14 6980955.17 3.933, 104541.04 6980955.15 3.943, 104540.94 6980955.13 3.943, 104540.85 6980955.11 3.943, 104540.74 6980955.08 3.943, 104540.65 6980955.06 3.943, 104540.55 6980955.04 3.943, 104540.46 6980955.02 3.943, 104540.36 6980954.99 3.943, 104540.26 6980954.97 3.953, 104540.17 6980954.95 3.953, 104540.07 6980954.93 3.953, 104539.97 6980954.91 3.953, 104539.87 6980954.89 3.953, 104539.78 6980954.87 3.953, 104539.69 6980954.85 3.953, 104539.58 6980954.83 3.953, 104539.49 6980954.8 3.963, 104539.39 6980954.78 3.963, 104539.3 6980954.76 3.963, 104539.19 6980954.74 3.963, 104539.1 6980954.72 3.963, 104539 6980954.7 3.963, 104538.91 6980954.68 3.963, 104538.81 6980954.66 3.963, 104538.71 6980954.64 3.963, 104538.62 6980954.61 3.973, 104538.51 6980954.58 3.973, 104538.42 6980954.56 3.973, 104538.32 6980954.54 3.973, 104538.23 6980954.52 3.973, 104538.13 6980954.5 3.973, 104538.03 6980954.48 3.973, 104537.94 6980954.46 3.973, 104537.84 6980954.44 3.973, 104537.74 6980954.41 3.983, 104537.64 6980954.39 3.983, 104537.55 6980954.37 3.983, 104537.46 6980954.35 3.983, 104537.35 6980954.33 3.983, 104537.26 6980954.31 3.983, 104537.16 6980954.29 3.983, 104537.07 6980954.26 3.983, 104536.96 6980954.24 3.983, 104536.87 6980954.21 3.983, 104536.78 6980954.19 3.993, 104536.68 6980954.17 3.993, 104536.58 6980954.15 3.993, 104536.48 6980954.13 3.993, 104536.39 6980954.11 3.993, 104536.28 6980954.09 3.993, 104536.19 6980954.07 3.993, 104536.1 6980954.04 3.993, 104536 6980954.02 3.993, 104535.9 6980953.99 3.993, 104535.8 6980953.97 3.993, 104535.71 6980953.95 4.003, 104535.62 6980953.93 4.003, 104535.51 6980953.91 4.003, 104535.42 6980953.89 4.003, 104535.32 6980953.87 4.003, 104535.23 6980953.84 4.003, 104535.12 6980953.82 4.003, 104535.03 6980953.8 4.003, 104534.94 6980953.78 4.003, 104534.83 6980953.75 4.003, 104534.74 6980953.73 4.003, 104534.64 6980953.71 4.013, 104534.55 6980953.69 4.013, 104534.44 6980953.67 4.013, 104534.35 6980953.64 4.013, 104534.26 6980953.62 4.013, 104534.16 6980953.6 4.013, 104534.06 6980953.58 4.013, 104533.96 6980953.55 4.013, 104533.87 6980953.53 4.013, 104533.78 6980953.51 4.013, 104533.67 6980953.49 4.013, 104533.58 6980953.47 4.013, 104533.48 6980953.44 4.013, 104533.39 6980953.42 4.023, 104533.29 6980953.4 4.023, 104533.19 6980953.38 4.023, 104533.1 6980953.35 4.023, 104532.99 6980953.33 4.023, 104532.9 6980953.31 4.023, 104532.8 6980953.29 4.023, 104532.71 6980953.27 4.023, 104532.61 6980953.24 4.023, 104532.51 6980953.22 4.023, 104532.42 6980953.2 4.023, 104532.32 6980953.17 4.023, 104532.22 6980953.15 4.023, 104532.13 6980953.13 4.023, 104532.03 6980953.11 4.033, 104531.93 6980953.09 4.033, 104531.83 6980953.07 4.033, 104531.74 6980953.04 4.033, 104531.65 6980953.01 4.033, 104531.54 6980952.99 4.033, 104531.45 6980952.97 4.033, 104531.35 6980952.95 4.033, 104531.26 6980952.93 4.033, 104531.16 6980952.91 4.033, 104531.06 6980952.89 4.033, 104530.97 6980952.85 4.033, 104530.86 6980952.83 4.033, 104530.77 6980952.81 4.033, 104530.68 6980952.79 4.033, 104530.58 6980952.77 4.033, 104530.48 6980952.75 4.043, 104530.38 6980952.72 4.043, 104530.29 6980952.7 4.043, 104530.2 6980952.68 4.043, 104530.09 6980952.65 4.043, 104530 6980952.63 4.043, 104529.9 6980952.61 4.043, 104529.81 6980952.59 4.043, 104529.71 6980952.56 4.043, 104529.61 6980952.54 4.043, 104529.52 6980952.52 4.043, 104529.41 6980952.5 4.043, 104529.32 6980952.48 4.043, 104529.23 6980952.45 4.043, 104529.13 6980952.42 4.043, 104529.03 6980952.4 4.043, 104528.93 6980952.38 4.043, 104528.84 6980952.36 4.043, 104528.75 6980952.34 4.043, 104528.64 6980952.31 4.043, 104528.55 6980952.29 4.053, 104528.45 6980952.27 4.053, 104528.35 6980952.24 4.053, 104528.25 6980952.23 4.053, 104528.15 6980952.22 4.053, 104528.05 6980952.22 4.053, 104527.96 6980952.21 4.053, 104527.86 6980952.2 4.053, 104527.76 6980952.19 4.053, 104527.65 6980952.18 4.053, 104527.55 6980952.18 4.053, 104527.45 6980952.17 4.053, 104527.35 6980952.16 4.053, 104527.26 6980952.14 4.053, 104527.16 6980952.13 4.063, 104527.06 6980952.12 4.063, 104526.95 6980952.12 4.063, 104526.85 6980952.11 4.063, 104526.75 6980952.1 4.063, 104526.65 6980952.09 4.063, 104526.56 6980952.08 4.063, 104526.46 6980952.08 4.063, 104525.35 6980951.97 4.073, 104524.36 6980951.88 4.073, 104523.35 6980951.79 4.083, 104522.36 6980951.7 4.083, 104521.35 6980951.6 4.093, 104520.35 6980951.5 4.093, 104519.35 6980951.41 4.093, 104518.35 6980951.3 4.103, 104517.35 6980951.2 4.103, 104516.34 6980951.1 4.103, 104515.35 6980950.99 4.103, 104514.34 6980950.89 4.103, 104513.35 6980950.78 4.103, 104512.34 6980950.67 4.103, 104511.34 6980950.56 4.093, 104510.34 6980950.46 4.093, 104509.34 6980950.35 4.093, 104509.09 6980950.32 4.083, 104508.33 6980950.23 4.083, 104507.34 6980950.11 4.083, 104506.34 6980950.01 4.073, 104504.34 6980949.77 4.063)</t>
  </si>
  <si>
    <t>POINT (104539.84343435928 6980955.867673855)</t>
  </si>
  <si>
    <t>['FV64 S6D1 m6906-6993']</t>
  </si>
  <si>
    <t>LINESTRING Z (105655.4 6980191.14 -98.376, 105654.38 6980192.88 -98.446, 105651.84 6980197.23 -98.606, 105649.3 6980201.58 -98.766, 105646.77 6980205.92 -98.936, 105644.23 6980210.26 -99.106, 105641.68 6980214.62 -99.276, 105640.17 6980217.22 -99.376, 105639.33 6980219.04 -99.446, 105637.25 6980223.6 -99.616, 105635.16 6980228.16 -99.786, 105633.08 6980232.72 -99.896, 105631 6980237.27 -100.006, 105628.91 6980241.82 -100.116, 105627.67 6980244.55 -100.186, 105627.01 6980246.47 -100.236, 105625.39 6980251.23 -100.346, 105623.77 6980255.99 -100.426, 105622.14 6980260.76 -100.486, 105620.51 6980265.52 -100.546, 105618.89 6980270.28 -100.606)</t>
  </si>
  <si>
    <t>POINT (105635.3987065866 6980229.908936246)</t>
  </si>
  <si>
    <t>['FV7756 S1D1 m11409-11460']</t>
  </si>
  <si>
    <t>LINESTRING Z (553206.091 7649069.717 24.983, 553166.248 7649101.3950000005 25.490000000000002)</t>
  </si>
  <si>
    <t>POINT (553186.1695000001 7649085.556)</t>
  </si>
  <si>
    <t>2017-06-30</t>
  </si>
  <si>
    <t>['FV402 S3D1 m938-998']</t>
  </si>
  <si>
    <t>LINESTRING Z (108901.232 6478611.879 47.407, 108902.031 6478610.161 47.475, 108903.466 6478607.527 47.472, 108904.347 6478605.676 47.471, 108905.184 6478603.733 47.467, 108905.511 6478602.741 47.475, 108906.19 6478599.909 47.486, 108910.031 6478584.641 47.49, 108910.254 6478583.702 47.499, 108910.37 6478582.768 47.494, 108911.023 6478576.998 47.54, 108911.838 6478569.914 47.57, 108911.934 6478568.991 47.579, 108912.149 6478567.109 47.593, 108912.618 6478564.196 47.597, 108912.943 6478562.294 47.596, 108913.342 6478560.34 47.625, 108913.713 6478558.682 47.622, 108914.831 6478553.958 47.61, 108914.874 6478553.55 47.674)</t>
  </si>
  <si>
    <t>POINT (108909.3332113007 6478583.095812324)</t>
  </si>
  <si>
    <t>['FV402 S3D1 m3136-3201']</t>
  </si>
  <si>
    <t>LINESTRING Z (107236.271 6479820.595 51.156, 107237.601 6479821.043 51.14, 107240.304 6479821.309 51.11, 107243.195 6479821.5 51.077, 107244.9 6479821.759 51.058, 107248.676 6479822.206 51.016, 107249.588 6479820.882 51.012, 107250.037 6479820.057 50.98, 107250.331 6479820.041 50.985, 107250.373 6479820.005 50.895, 107251.335 6479819.968 50.896, 107254.182 6479819.594 50.878, 107257.353 6479818.962 50.877, 107265.024 6479817.242 50.864, 107272.714 6479815.48 50.917, 107276.506 6479814.275 50.937, 107289.289 6479810.165 50.948, 107296.634 6479808.024 50.98, 107299.85 6479807.307 50.971)</t>
  </si>
  <si>
    <t>POINT (107267.94429151165 6479815.889098406)</t>
  </si>
  <si>
    <t>2017-07-06</t>
  </si>
  <si>
    <t>['FV420 S9D1 m12363-12427']</t>
  </si>
  <si>
    <t>LINESTRING Z (114372.395 6478333.675 6.211, 114370.724 6478329.199 6.131, 114369.063 6478321.713 6.041, 114367.587 6478316.141 5.981, 114366.763 6478313.555 5.951, 114365.101 6478309.541 5.911, 114361.803 6478301.62 5.811, 114360.167 6478297.714 5.751, 114356.61 6478291.016 5.691, 114351.434 6478281.26 5.606, 114348.919 6478276.438 5.561, 114347.472 6478273.399 5.531)</t>
  </si>
  <si>
    <t>POINT (114361.32355666574 6478302.994033478)</t>
  </si>
  <si>
    <t>2016-08-25</t>
  </si>
  <si>
    <t>2025-11-22T09:19:29Z</t>
  </si>
  <si>
    <t>['EV136 S16D1 m4252-4314']</t>
  </si>
  <si>
    <t>LINESTRING Z (174605.15 6903886.81 597.73, 174606.8 6903886.37 597.66, 174609.03 6903885.99 597.59, 174611.69 6903885.43 597.57, 174614.88 6903884.71 597.54, 174615.98 6903884.44 597.51, 174616.86 6903884.23 597.49, 174617.73 6903884.04 597.48, 174618.34 6903883.92 597.49, 174625.37 6903880.7 597.27, 174631.97 6903877.69 597.07, 174637.73 6903875.06 596.86, 174644.04 6903872.18 596.7, 174649.65 6903869.62 596.45, 174649.59 6903869.55 596.44, 174649.82 6903869.3 596.4, 174650.35 6903868.89 596.38, 174650.84 6903868.65 596.36, 174651.8 6903867.98 596.31, 174652.5 6903867.49 596.26, 174652.92 6903867.17 596.27, 174653.97 6903866.41 596.21, 174656.06 6903864.88 596.14, 174657.59 6903863.8 596.08, 174658.92 6903862.82 596.02, 174660.14 6903861.89 595.97, 174661.51 6903860.96 595.93, 174662.56 6903860.21 595.91)</t>
  </si>
  <si>
    <t>POINT (174634.83796249583 6903875.601096095)</t>
  </si>
  <si>
    <t>['EV136 S16D1 m4377-4440']</t>
  </si>
  <si>
    <t>LINESTRING Z (174716.48 6903828.23 594.55, 174717.64 6903827.4 594.53, 174719.15 6903826.22 594.52, 174721.37 6903824.8 594.51, 174723.84 6903823.03 594.51, 174725.6 6903821.79 594.49, 174726.93 6903821.16 594.49, 174728.29 6903820.35 594.49, 174729.35 6903819.57 594.49, 174729.31 6903819.37 594.5, 174732.4 6903817.89 594.52, 174735.36 6903816.6 594.48, 174739.17 6903815.14 594.39, 174741.62 6903814.13 594.42, 174742.37 6903813.95 594.34, 174746.66 6903812.21 594.26, 174751.44 6903810.25 594.23, 174755.82 6903808.53 594.17, 174759.17 6903807.16 594.14, 174759.96 6903806.58 594.13, 174761.14 6903806.26 594.06, 174762.78 6903805.83 594.04, 174765.47 6903805.38 593.99, 174767.49 6903805.21 593.94, 174769.91 6903804.94 593.87, 174772.44 6903804.87 593.8, 174774.67 6903804.74 593.72, 174775.71 6903804.76 593.7)</t>
  </si>
  <si>
    <t>POINT (174745.05570124506 6903813.7137927525)</t>
  </si>
  <si>
    <t>['FV5240 S1D10 m705-775']</t>
  </si>
  <si>
    <t>LINESTRING Z (-42763.238 6732460.742 24.354, -42764.735 6732479.952 23.329, -42764.142 6732510.563 21.626, -42761.911 6732530.25 20.402)</t>
  </si>
  <si>
    <t>POINT (-42763.91215466339 6732495.52000182)</t>
  </si>
  <si>
    <t>['FV5240 S1D10 m634-704']</t>
  </si>
  <si>
    <t>LINESTRING Z (-42754.667 6732459.906 24.358, -42753.147 6732439.639 25.586, -42753.662 6732409.874 27.258, -42756.069 6732389.662 28.313)</t>
  </si>
  <si>
    <t>POINT (-42753.97159983267 6732424.75347374)</t>
  </si>
  <si>
    <t>['FV5240 S1D10 m243-314']</t>
  </si>
  <si>
    <t>LINESTRING Z (-42798.627 6732003.221 50.138, -42795.53 6732022.5 49.095, -42788.894 6732051.285 47.411, -42783.075 6732070.28 46.243, -42782.746 6732071.715 46.149)</t>
  </si>
  <si>
    <t>POINT (-42791.60994693973 6732037.68170873)</t>
  </si>
  <si>
    <t>['FV5240 S1D10 m137-202']</t>
  </si>
  <si>
    <t>LINESTRING Z (-42801.499 6731962.22 52.979, -42805.148 6731946.684 53.882, -42815.466 6731918.666 55.457, -42824.908 6731900.384 56.279)</t>
  </si>
  <si>
    <t>POINT (-42811.69037012263 6731930.734926194)</t>
  </si>
  <si>
    <t>2019-05-31</t>
  </si>
  <si>
    <t>['RV354 S1D1 m3431-3502']</t>
  </si>
  <si>
    <t>LINESTRING Z (195586.59 6558847.37 16.106, 195586.35 6558848.48 15.856, 195581.39 6558863.38 14.976, 195579.87 6558868.07 14.706, 195573.77 6558894.92 13.256, 195573.23 6558898.81 13.136, 195570.41 6558920.55 11.926)</t>
  </si>
  <si>
    <t>POINT (195577.05692788132 6558883.635904504)</t>
  </si>
  <si>
    <t>['RV354 S1D1 m2996-3061']</t>
  </si>
  <si>
    <t>LINESTRING Z (195684.83 6558439.23 36.416, 195681.97 6558441.56 36.426, 195678.15 6558443.9 36.426, 195673.5 6558446.91 36.176, 195672.23 6558447.99 36.146, 195670.69 6558449.45 36.116, 195661.68 6558459.94 35.896, 195657.39 6558464.97 35.796, 195655.73 6558467.3 35.746, 195642.73 6558490.76 35.096)</t>
  </si>
  <si>
    <t>POINT (195661.38066854049 6558462.890299348)</t>
  </si>
  <si>
    <t>2025-11-22T09:19:35Z</t>
  </si>
  <si>
    <t>[5506]</t>
  </si>
  <si>
    <t>['FV5506 S1D1 m1071-1099']</t>
  </si>
  <si>
    <t>LINESTRING (-48761.87560197583 6778569.009627798, -48736.65115963621 6778557.93814221)</t>
  </si>
  <si>
    <t>POINT (-48749.26338080602 6778563.473885004)</t>
  </si>
  <si>
    <t>2017-08-23</t>
  </si>
  <si>
    <t>['FV309 S1D1 m900-944']</t>
  </si>
  <si>
    <t>LINESTRING Z (238972.632387061 6576585.48020833 -999999, 238977.394887061 6576571.19270833 -999999, 238983.877178728 6576557.96354166 -999999, 238992.343845394 6576545.79270833 -999999)</t>
  </si>
  <si>
    <t>POINT (238981.2219396237 6576565.002022538)</t>
  </si>
  <si>
    <t>['FV3098 S1D1 m279-340']</t>
  </si>
  <si>
    <t>LINESTRING Z (238416.261617302 6578053.06827447 -999999, 238427.770992302 6578064.18077447 -999999, 238451.715783969 6578080.05577447 -999999, 238467.326200635 6578086.80264947 -999999)</t>
  </si>
  <si>
    <t>POINT (238440.59755935965 6578071.737185609)</t>
  </si>
  <si>
    <t>2018-09-27</t>
  </si>
  <si>
    <t>['FV50 S2D1 m9952-9991']</t>
  </si>
  <si>
    <t>LINESTRING Z (119279.501 6744921.356 785.224, 119280.223 6744920.527 785.284, 119285.078 6744914.966 785.576, 119289.526 6744909.852 785.867, 119289.935 6744909.411 785.87, 119290.724 6744908.672 785.921, 119298.343 6744902.359 786.32, 119303.865 6744897.784 786.671, 119306.12 6744895.903 786.807, 119306.923 6744895.196 786.859)</t>
  </si>
  <si>
    <t>POINT (119292.70149255081 6744907.753950475)</t>
  </si>
  <si>
    <t>['EV75 S7D1 m4800-4837']</t>
  </si>
  <si>
    <t>LINESTRING Z (1056203.39 7841928 6.986, 1056222.25 7841927.29 6.756, 1056218.41 7841930.38 6.886, 1056190.39 7841931.51 7.106, 1056185.69 7841928.81 7.076, 1056207 7841927.74 6.936)</t>
  </si>
  <si>
    <t>POLYGON Z ((1056203.39 7841928 6.986, 1056222.25 7841927.29 6.756, 1056218.41 7841930.38 6.886, 1056190.39 7841931.51 7.106, 1056185.69 7841928.81 7.076, 1056207 7841927.74 6.936, 1056203.39 7841928 6.986))</t>
  </si>
  <si>
    <t>['EV75 S7D1 m4766-4794']</t>
  </si>
  <si>
    <t>LINESTRING Z (1056240.38 7841926.59 6.586, 1056256.36 7841926.12 6.356, 1056252.46 7841929.19 6.446, 1056232.75 7841929.89 6.676, 1056232.47 7841929.44 6.726, 1056227.86 7841927.14 6.686, 1056244.11 7841926.36 6.546)</t>
  </si>
  <si>
    <t>POLYGON Z ((1056240.38 7841926.59 6.586, 1056256.36 7841926.12 6.356, 1056252.46 7841929.19 6.446, 1056232.75 7841929.89 6.676, 1056232.47 7841929.44 6.726, 1056227.86 7841927.14 6.686, 1056244.11 7841926.36 6.546, 1056240.38 7841926.59 6.586))</t>
  </si>
  <si>
    <t>['EV75 S7D1 m4667-4702']</t>
  </si>
  <si>
    <t>LINESTRING Z (1056334.38 7841936.4 6.876, 1056343.62 7841939.08 7.066, 1056352.76 7841940.57 7.246, 1056349.64 7841938.07 7.096, 1056340.76 7841936.06 6.956, 1056324.34 7841930.65 6.656, 1056319.63 7841931.41 6.606, 1056330.23 7841935.18 6.786)</t>
  </si>
  <si>
    <t>POLYGON Z ((1056334.38 7841936.4 6.876, 1056343.62 7841939.08 7.066, 1056352.76 7841940.57 7.246, 1056349.64 7841938.07 7.096, 1056340.76 7841936.06 6.956, 1056324.34 7841930.65 6.656, 1056319.63 7841931.41 6.606, 1056330.23 7841935.18 6.786, 1056334.38 7841936.4 6.876))</t>
  </si>
  <si>
    <t>2017-09-13</t>
  </si>
  <si>
    <t>['EV75 S7D1 m358-417']</t>
  </si>
  <si>
    <t>LINESTRING Z (1060333.08 7841656.36 11.171, 1060350.91 7841656.96 10.981, 1060367.63 7841657.29 10.961, 1060364.27 7841659.72 10.971, 1060344.84 7841659.49 10.931, 1060320.84 7841658.89 11.28, 1060309.5 7841655.68 11.56, 1060323.13 7841656 11.29, 1060335.09 7841656.48 11.131)</t>
  </si>
  <si>
    <t>POLYGON Z ((1060333.08 7841656.36 11.171, 1060350.91 7841656.96 10.981, 1060367.63 7841657.29 10.961, 1060364.27 7841659.72 10.971, 1060344.84 7841659.49 10.931, 1060320.84 7841658.89 11.28, 1060309.5 7841655.68 11.56, 1060323.13 7841656 11.29, 1060335.09 7841656.48 11.131, 1060333.08 7841656.36 11.171))</t>
  </si>
  <si>
    <t>2017-09-20</t>
  </si>
  <si>
    <t>['EV14 S3D1 m3412-3475']</t>
  </si>
  <si>
    <t>LINESTRING Z (310016.54647180066 7042612.323777577 22.357, 310014.64661629737 7042613.308084698 22.357, 310012.74974456104 7042614.426221033 22.347, 310008.96795244905 7042616.6952862935 22.327, 310004.0785780513 7042619.745092412 22.537, 310003.3892008409 7042620.165879022 22.277, 310001.42960598174 7042621.321263948 22.267, 309998.65312962444 7042622.791268198 22.227, 309996.597677805 7042623.909803733 22.227, 309990.2967444522 7042626.831622503 22.247, 309981.5247798131 7042630.794176507 22.187, 309972.477021605 7042634.907208819 22.097, 309970.44576561055 7042635.530863551 22.077, 309968.65978611016 7042636.162226896 22.047, 309962.98854243197 7042637.661822405 21.967)</t>
  </si>
  <si>
    <t>['EV14 S3D1 m3490-3563']</t>
  </si>
  <si>
    <t>LINESTRING (310107.0277777977 7042562.083419944, 310095.3476066042 7042566.799629909, 310086.40711490356 7042570.202393295, 310081.507717781 7042571.912610757, 310075.49510934245 7042573.555177664, 310075.0961459229 7042573.735295889, 310074.43994685344 7042574.0424169, 310070.2694312406 7042575.742712341, 310059.9989713725 7042580.386205174, 310055.4632389676 7042582.433716941, 310050.89587802446 7042584.580465608, 310045.8189203377 7042586.9155179765, 310043.84900506557 7042587.982152199, 310042.84794570925 7042588.622517554, 310041.9550896084 7042589.234098855, 310041.075843025 7042589.822534855, 310025.2077038827 7042598.708339854)</t>
  </si>
  <si>
    <t>['EV75 S4D1 m9144-9176']</t>
  </si>
  <si>
    <t>LINESTRING Z (1079300.7 7865359.59 5.67, 1079299.11 7865350.69 5.68, 1079296.58 7865355.62 5.5, 1079297.49 7865365.89 5.55, 1079299.88 7865377.51 5.38, 1079303.99 7865382.05 5.56, 1079299.93 7865355.53 5.68)</t>
  </si>
  <si>
    <t>POLYGON Z ((1079300.7 7865359.59 5.67, 1079299.11 7865350.69 5.68, 1079296.58 7865355.62 5.5, 1079297.49 7865365.89 5.55, 1079299.88 7865377.51 5.38, 1079303.99 7865382.05 5.56, 1079299.93 7865355.53 5.68, 1079300.7 7865359.59 5.67))</t>
  </si>
  <si>
    <t>['EV75 S4D1 m9737-9779']</t>
  </si>
  <si>
    <t>LINESTRING Z (1079206.78 7864771.73 6.091, 1079204.01 7864754.81 6.211, 1079202.57 7864763.11 5.951, 1079202.79 7864773.78 5.881, 1079204.6 7864783.12 5.781, 1079210.49 7864796.61 5.811, 1079208.7 7864783.42 5.981, 1079206.34 7864768.92 6.111)</t>
  </si>
  <si>
    <t>POLYGON Z ((1079206.78 7864771.73 6.091, 1079204.01 7864754.81 6.211, 1079202.57 7864763.11 5.951, 1079202.79 7864773.78 5.881, 1079204.6 7864783.12 5.781, 1079210.49 7864796.61 5.811, 1079208.7 7864783.42 5.981, 1079206.34 7864768.92 6.111, 1079206.78 7864771.73 6.091))</t>
  </si>
  <si>
    <t>['EV75 S8D1 m15824-15848']</t>
  </si>
  <si>
    <t>LINESTRING Z (1039904.63 7842115.43 7.422, 1039910.85 7842106.95 7.272, 1039896.42 7842118.06 7.332, 1039896.9 7842121.25 7.512, 1039905.47 7842114.67 7.412, 1039914.29 7842107.58 7.442)</t>
  </si>
  <si>
    <t>['EV75 S9D1 m5513-5547']</t>
  </si>
  <si>
    <t>LINESTRING Z (1034118.74 7841573.01 7.423, 1034137.67 7841564.47 7.513, 1034131.11 7841569.81 7.433, 1034119.16 7841575.6 7.393, 1034105.78 7841578.36 7.233, 1034122.28 7841571.55 7.483)</t>
  </si>
  <si>
    <t>POLYGON Z ((1034118.74 7841573.01 7.423, 1034137.67 7841564.47 7.513, 1034131.11 7841569.81 7.433, 1034119.16 7841575.6 7.393, 1034105.78 7841578.36 7.233, 1034122.28 7841571.55 7.483, 1034118.74 7841573.01 7.423))</t>
  </si>
  <si>
    <t>2017-09-18</t>
  </si>
  <si>
    <t>['EV75 S9D1 m15504-15564']</t>
  </si>
  <si>
    <t>LINESTRING Z (1024762.84 7841757.03 4.883, 1024740.71 7841755.31 4.763, 1024739.46 7841764.01 4.323, 1024737.89 7841770.73 4.133, 1024747.22 7841774.25 4.583, 1024762.42 7841770.53 4.783, 1024778.28 7841765.61 4.793, 1024799.29 7841759.6 5.033, 1024757.11 7841756.45 5.053)</t>
  </si>
  <si>
    <t>POLYGON Z ((1024762.84 7841757.03 4.883, 1024740.71 7841755.31 4.763, 1024739.46 7841764.01 4.323, 1024737.89 7841770.73 4.133, 1024747.22 7841774.25 4.583, 1024762.42 7841770.53 4.783, 1024778.28 7841765.61 4.793, 1024799.29 7841759.6 5.033, 1024757.11 7841756.45 5.053, 1024762.84 7841757.03 4.883))</t>
  </si>
  <si>
    <t>['FV834 S2D1 m3498-3579']</t>
  </si>
  <si>
    <t>LINESTRING Z (476640.5992042975 7466972.5040387185 6.968, 476634.28671153064 7466964.197728556 7.038, 476628.63976165984 7466956.710613266 7.058, 476626.9477390662 7466954.651760551 7.098, 476619.61921523005 7466947.781401431 7.158, 476611.9991181536 7466941.036249448 7.198, 476606.9063210583 7466936.398388327 7.208, 476605.1768014134 7466934.975351575 7.178, 476597.3567148625 7466929.48064265 7.308, 476589.41933809384 7466923.864348519 7.338, 476580.73729875876 7466917.741765098 7.308)</t>
  </si>
  <si>
    <t>['FV834 S2D1 m3724-3796']</t>
  </si>
  <si>
    <t>LINESTRING Z (476763.65694726066 7467149.062769412 11.318, 476756.7880836162 7467141.5079755485 11.178, 476750.327909159 7467134.440184041 10.928, 476748.86704784224 7467132.71370434 10.928, 476743.1159827081 7467124.558338659 10.648, 476737.1161296766 7467116.003799137 10.338, 476732.467290763 7467109.41082154 10.078, 476731.3280468692 7467107.558915214 9.958, 476727.00751064735 7467098.6441652365 9.678, 476723.1593241937 7467090.606051745 9.298)</t>
  </si>
  <si>
    <t>['EV6 S202D1 m11024-11108']</t>
  </si>
  <si>
    <t>LINESTRING Z (808872.71 7781800.03 22.05, 808871.41 7781799.42 22.07, 808867.49 7781792.94 22.12, 808863.48 7781786.12 22.09, 808859.58 7781779.2 22.03, 808858.24 7781776.62 22, 808855.9 7781769.07 21.91, 808853.67 7781761.57 21.8, 808851.55 7781754.14 21.62, 808850.61 7781750.76 21.44, 808849.79 7781747.55 21.25, 808849.3 7781739.8 21.03, 808848.86 7781732.32 20.89, 808848.44 7781724.39 20.53, 808848.33 7781722.19 20.5, 808848.85 7781720.14 20.56)</t>
  </si>
  <si>
    <t>POINT (808855.9514263812 7781761.64161178)</t>
  </si>
  <si>
    <t>['EV6 S202D1 m11986-12076']</t>
  </si>
  <si>
    <t>LINESTRING Z (808353.54 7781007.68 6.68, 808351.4 7781000.32 6.57, 808349.13 7780992.74 6.37, 808346.75 7780985.13 6.21, 808341.92 7780978.8 6.15, 808340 7780976.49 6.13, 808333.94 7780971.3 6.18, 808327.94 7780966.28 6.19, 808321.75 7780961.23 6.13, 808316.24 7780956.93 6.15, 808309.25 7780953.4 6.39, 808307.2 7780952.38 6.32, 808299.62 7780951.52 6.37, 808291.89 7780950.75 6.47, 808284.01 7780950.05 6.49, 808283.67 7780950.02 6.49)</t>
  </si>
  <si>
    <t>POINT (808325.6118903056 7780970.339887152)</t>
  </si>
  <si>
    <t>['EV6 S202D1 m10374-10419']</t>
  </si>
  <si>
    <t>LINESTRING Z (809188.8 7782361.73 40.51, 809183.29 7782355.99 40.19, 809178.06 7782350.39 39.8, 809174.24 7782343.63 39.38, 809170.67 7782337.12 38.93, 809168.6 7782329.45 38.45, 809166.7 7782322.04 37.98)</t>
  </si>
  <si>
    <t>POINT (809175.4860004312 7782343.14531438)</t>
  </si>
  <si>
    <t>['EV6 S202D1 m9970-10058']</t>
  </si>
  <si>
    <t>LINESTRING Z (809314.76 7782647.12 58.62, 809316.25 7782652.69 59, 809318.22 7782660.02 59.39, 809318.58 7782661.36 59.5, 809320.46 7782669.06 60.04, 809322.19 7782676.86 60.46, 809322.01 7782679.95 60.63, 809321.42 7782687.9 61.15, 809320.67 7782695.84 61.59, 809319.78 7782703.51 61.85, 809319.18 7782707.93 61.98, 809315.99 7782715.19 62.45, 809313.05 7782721.59 62.82, 809309.7 7782728.5 63.19, 809306.23 7782735.6 63.53)</t>
  </si>
  <si>
    <t>POINT (809317.4739271209 7782692.032826542)</t>
  </si>
  <si>
    <t>['FV890 S9D1 m17275-17345']</t>
  </si>
  <si>
    <t>LINESTRING Z (1012251.23 7920956.22 6.253, 1012268.37 7920949.74 6.493, 1012292.62 7920940.36 6.973, 1012291.11 7920937.7 6.883, 1012263.56 7920948.03 6.383, 1012226.4 7920962.78 5.783, 1012226.5 7920966.06 5.853, 1012254 7920955.15 6.263)</t>
  </si>
  <si>
    <t>['FV42 S2D1 m1118-1166']</t>
  </si>
  <si>
    <t>LINESTRING Z (129118.621 6502818.648 62.831, 129125.205 6502820.712 62.792, 129133.222 6502823.082 62.762, 129140.269 6502826.181 62.805, 129147.946 6502829.736 62.812, 129149.699 6502830.528 62.815, 129151.275 6502831.407 62.822, 129153.556 6502832.959 62.824, 129156.672 6502835.335 62.83, 129160.472 6502838.214 62.841, 129161.912 6502839.322 62.753)</t>
  </si>
  <si>
    <t>POINT (129141.05645023729 6502827.416825474)</t>
  </si>
  <si>
    <t>['FV891 S3D20 m1149-1191']</t>
  </si>
  <si>
    <t>LINESTRING Z (1040217.67 7902912.53 3.216, 1040220.5 7902920.92 3.276, 1040227.72 7902936.55 3.336, 1040219.63 7902928.77 3.406, 1040214.68 7902915.05 3.316, 1040212.45 7902904.51 3.206, 1040213.45 7902895.34 2.986, 1040215.27 7902903.67 3.126, 1040218.13 7902913.99 3.226)</t>
  </si>
  <si>
    <t>['FV891 S3D20 m1200-1218']</t>
  </si>
  <si>
    <t>LINESTRING Z (1040236.37 7902950.22 3.366, 1040242.52 7902958.86 3.386, 1040237.97 7902957.92 3.486, 1040231.64 7902948.47 3.496, 1040232.18 7902943.99 3.336, 1040238.49 7902953.25 3.346)</t>
  </si>
  <si>
    <t>['FV891 S1D1 m8522-8559']</t>
  </si>
  <si>
    <t>LINESTRING Z (1027346.5 7887727.54 354.927, 1027350.96 7887714.81 356.637, 1027354.11 7887695.04 352.757, 1027369.39 7887696.41 349.237, 1027385.47 7887698.73 352.827, 1027385.35 7887705.61 352.637, 1027384.26 7887716.28 353.707, 1027371.93 7887714.09 353.907, 1027357.84 7887712.81 353.747, 1027354.03 7887728.39 354.257, 1027345.39 7887727.09 353.967)</t>
  </si>
  <si>
    <t>['EV16 S27D1 m5879-5969']</t>
  </si>
  <si>
    <t>LINESTRING Z (133735.33 6803255.53 944.213, 133730.57 6803253.86 944.323, 133725.82 6803252.21 944.443, 133721.07 6803250.55 944.553, 133716.32 6803248.89 944.663, 133711.56 6803247.22 944.783, 133706.81 6803245.57 944.893, 133702.27 6803243.45 944.993, 133697.73 6803241.34 945.093, 133693.19 6803239.22 945.193, 133688.65 6803237.1 945.293, 133684.11 6803234.99 945.393, 133679.57 6803232.87 945.493, 133675.25 6803230.3 945.573, 133670.92 6803227.73 945.663, 133666.6 6803225.15 945.743, 133662.27 6803222.59 945.833, 133657.94 6803220.02 945.913, 133653.62 6803217.44 945.993)</t>
  </si>
  <si>
    <t>POINT (133693.62451317473 6803238.309112352)</t>
  </si>
  <si>
    <t>['EV16 S27D1 m6379-6469']</t>
  </si>
  <si>
    <t>LINESTRING Z (134190.53 6803464.41 934.274, 134185.76 6803462.81 934.394, 134181 6803461.19 934.504, 134176.22 6803459.58 934.624, 134171.46 6803457.97 934.734, 134166.69 6803456.35 934.854, 134161.92 6803454.74 934.964, 134161 6803454.33 934.984, 134157.36 6803452.68 935.064, 134152.79 6803450.6 935.164, 134148.24 6803448.54 935.264, 134143.67 6803446.47 935.364, 134139.11 6803444.39 935.464, 134134.56 6803442.33 935.564, 134130.2 6803439.79 935.644, 134125.84 6803437.26 935.724, 134121.5 6803434.74 935.814, 134117.14 6803432.21 935.894, 134112.79 6803429.68 935.983, 134108.44 6803427.15 936.063)</t>
  </si>
  <si>
    <t>POINT (134148.65174721472 6803447.615596786)</t>
  </si>
  <si>
    <t>['EV16 S27D1 m6880-6970']</t>
  </si>
  <si>
    <t>LINESTRING Z (134647.8 6803668.74 924.344, 134643.02 6803667.17 924.454, 134638.22 6803665.61 924.574, 134633.44 6803664.05 924.684, 134628.66 6803662.49 924.804, 134623.87 6803660.92 924.914, 134621.96 6803660.3 924.964, 134619.09 6803659.36 925.034, 134614.51 6803657.34 925.134, 134609.93 6803655.31 925.234, 134605.34 6803653.28 925.324, 134600.76 6803651.26 925.424, 134596.18 6803649.24 925.524, 134591.6 6803647.2 925.624, 134587.22 6803644.72 925.714, 134582.85 6803642.24 925.794, 134578.47 6803639.75 925.884, 134574.1 6803637.27 925.964, 134569.71 6803634.79 926.044, 134565.34 6803632.29 926.134)</t>
  </si>
  <si>
    <t>POINT (134605.7540547337 6803652.3608864825)</t>
  </si>
  <si>
    <t>['EV16 S27D1 m7882-7972']</t>
  </si>
  <si>
    <t>LINESTRING Z (135568.34 6804063.62 904.476, 135563.52 6804062.15 904.596, 135558.71 6804060.68 904.706, 135553.9 6804059.21 904.826, 135550.05 6804058.04 904.916, 135549.08 6804057.75 904.936, 135544.26 6804056.28 905.056, 135539.45 6804054.81 905.166, 135534.83 6804052.88 905.266, 135530.21 6804050.95 905.366, 135525.59 6804049.02 905.466, 135520.96 6804047.08 905.566, 135516.35 6804045.15 905.666, 135511.73 6804043.21 905.766, 135507.3 6804040.82 905.846, 135502.88 6804038.43 905.936, 135498.45 6804036.03 906.016, 135494.03 6804033.63 906.096, 135492.25 6804032.67 906.136, 135489.6 6804031.23 906.186, 135485.17 6804028.83 906.266)</t>
  </si>
  <si>
    <t>POINT (135525.97770090928 6804048.083069218)</t>
  </si>
  <si>
    <t>['EV16 S27D1 m8382-8472']</t>
  </si>
  <si>
    <t>LINESTRING Z (136031.53 6804254.13 894.547, 136026.69 6804252.71 894.667, 136021.86 6804251.29 894.777, 136017.04 6804249.88 894.887, 136012.21 6804248.45 895.007, 136007.38 6804247.03 895.117, 136002.55 6804245.62 895.237, 135997.91 6804243.73 895.337, 135993.27 6804241.85 895.437, 135988.63 6804239.96 895.537, 135983.99 6804238.08 895.637, 135979.35 6804236.19 895.727, 135974.71 6804234.29 895.827, 135970.26 6804231.95 895.917, 135965.81 6804229.59 895.997, 135961.36 6804227.25 896.087, 135958.69 6804225.83 896.137, 135956.91 6804224.89 896.167, 135952.47 6804222.53 896.257, 135948.01 6804220.18 896.337)</t>
  </si>
  <si>
    <t>POINT (135989.0108357193 6804239.023151305)</t>
  </si>
  <si>
    <t>2025-07-23</t>
  </si>
  <si>
    <t>['EV16 S27D1 m8883-8973']</t>
  </si>
  <si>
    <t>LINESTRING Z (136513.31 6804376.67 880.097, 136511.32 6804376.99 880.197, 136508.32 6804377.46 880.347, 136503.32 6804378.22 880.607, 136502.31 6804378.36 880.667, 136498.3 6804378.94 880.877, 136493.28 6804379.62 881.137, 136491 6804379.92 881.257, 136488.24 6804380.27 881.397, 136483.19 6804380.87 881.637, 136481.18 6804380.91 881.717, 136478.14 6804380.95 881.827, 136474.09 6804380.98 881.987, 136473.08 6804380.98 882.027, 136468.02 6804380.97 882.227, 136467.01 6804380.97 882.267, 136462.96 6804380.93 882.417, 136459.93 6804380.88 882.537, 136457.9 6804380.84 882.617, 136452.85 6804380.71 882.807, 136447.81 6804380.05 882.957, 136445.8 6804379.77 883.017, 136442.79 6804379.35 883.107, 136438.77 6804378.75 883.227, 136437.76 6804378.6 883.257, 136432.76 6804377.83 883.407, 136431.76 6804377.67 883.437, 136427.76 6804377.01 883.547, 136424.76 6804376.5 883.637, 136422.77 6804376.15 883.697)</t>
  </si>
  <si>
    <t>POINT (136468.0216437814 6804379.446365877)</t>
  </si>
  <si>
    <t>[7440]</t>
  </si>
  <si>
    <t>['KV7440 S1D1 m102-179']</t>
  </si>
  <si>
    <t>LINESTRING Z (-38968.66 6565985.54 13.16, -38963.64 6565987.49 13.26, -38963.66 6565987.56 13.35, -38963.75 6565988.05 13.36, -38963.85 6565988.55 13.36, -38963.95 6565989.04 13.37, -38964.05 6565989.53 13.38, -38964.15 6565990.02 13.38, -38964.25 6565990.51 13.39, -38964.34 6565991 13.4, -38964.44 6565991.49 13.4, -38964.54 6565991.98 13.41, -38964.63 6565992.47 13.41, -38964.73 6565992.97 13.42, -38964.84 6565993.46 13.43, -38964.93 6565993.95 13.43, -38965.03 6565994.44 13.44, -38965.13 6565994.94 13.44, -38965.22 6565995.43 13.45, -38965.32 6565995.92 13.46, -38965.42 6565996.41 13.46, -38965.52 6565996.91 13.47, -38965.62 6565997.4 13.48, -38965.72 6565997.89 13.48, -38965.81 6565998.38 13.49, -38965.91 6565998.87 13.49, -38966.01 6565999.37 13.5, -38966.1 6565999.86 13.51, -38966.2 6566000.35 13.51, -38966.31 6566000.84 13.52, -38966.4 6566001.34 13.52, -38966.5 6566001.83 13.53, -38966.6 6566002.32 13.54, -38966.69 6566002.8 13.54, -38966.79 6566003.3 13.55, -38966.89 6566003.79 13.55, -38966.99 6566004.28 13.56, -38967.09 6566004.77 13.57, -38967.19 6566005.26 13.57, -38967.28 6566005.76 13.58, -38967.38 6566006.25 13.59, -38967.48 6566006.74 13.59, -38967.57 6566007.23 13.6, -38967.67 6566007.73 13.6, -38967.78 6566008.22 13.61, -38967.87 6566008.71 13.62, -38967.97 6566009.2 13.62, -38968.06 6566009.69 13.63, -38968.16 6566010.19 13.63, -38968.26 6566010.68 13.64, -38968.35 6566011.17 13.65, -38968.46 6566011.66 13.65, -38968.56 6566012.16 13.66, -38968.65 6566012.65 13.67, -38968.75 6566013.14 13.67, -38968.85 6566013.63 13.68, -38968.94 6566014.13 13.68, -38969.04 6566014.62 13.69, -38969.15 6566015.11 13.7, -38969.25 6566015.59 13.7, -38969.34 6566016.08 13.71, -38969.44 6566016.58 13.71, -38969.53 6566017.07 13.72, -38969.63 6566017.56 13.73, -38969.73 6566018.05 13.73, -38969.82 6566018.55 13.74, -38969.93 6566019.04 13.74, -38970.03 6566019.53 13.75, -38970.12 6566020.02 13.76, -38970.22 6566020.52 13.76, -38970.32 6566021.01 13.77, -38970.41 6566021.5 13.78, -38970.51 6566021.99 13.78, -38970.62 6566022.48 13.79, -38970.71 6566022.98 13.79, -38970.81 6566023.47 13.8, -38970.91 6566023.96 13.81, -38971 6566024.45 13.81, -38971.1 6566024.95 13.82, -38971.2 6566025.44 13.82, -38971.29 6566025.93 13.83, -38971.4 6566026.42 13.84, -38971.5 6566026.91 13.84, -38971.59 6566027.41 13.85, -38971.69 6566027.89 13.86, -38971.79 6566028.38 13.86, -38971.88 6566028.87 13.87, -38971.98 6566029.37 13.87, -38972.09 6566029.86 13.88, -38972.18 6566030.35 13.89, -38972.28 6566030.84 13.89, -38972.38 6566031.34 13.9, -38972.47 6566031.83 13.9, -38972.57 6566032.32 13.91, -38972.67 6566032.81 13.92, -38972.76 6566033.3 13.92, -38972.87 6566033.8 13.93, -38972.97 6566034.29 13.93, -38973.06 6566034.78 13.94, -38973.16 6566035.27 13.95, -38973.26 6566035.77 13.95, -38973.35 6566036.26 13.96, -38973.45 6566036.75 13.97, -38973.56 6566037.24 13.97, -38973.65 6566037.74 13.98, -38973.75 6566038.23 13.98, -38973.85 6566038.72 13.99, -38973.94 6566039.21 14, -38974.04 6566039.7 14, -38974.14 6566040.19 14.01, -38974.23 6566040.68 14.01, -38974.34 6566041.17 14.02, -38974.44 6566041.66 14.03, -38974.53 6566042.16 14.03, -38974.63 6566042.65 14.04, -38974.73 6566043.14 14.05, -38974.82 6566043.63 14.05, -38974.92 6566044.12 14.06, -38975.03 6566044.62 14.06, -38975.12 6566045.11 14.07, -38975.22 6566045.6 14.08, -38975.32 6566046.09 14.08, -38975.41 6566046.59 14.09, -38975.51 6566047.08 14.09, -38975.61 6566047.57 14.1, -38975.7 6566048.06 14.11, -38975.81 6566048.56 14.11, -38975.91 6566049.05 14.12, -38976 6566049.54 14.12, -38976.1 6566050.03 14.13, -38976.2 6566050.52 14.14, -38976.29 6566051.02 14.14, -38976.39 6566051.51 14.15, -38976.5 6566052 14.16, -38976.64 6566052.47 14.16, -38976.9 6566052.9 14.17, -38977.21 6566053.3 14.18, -38977.54 6566053.67 14.18, -38977.88 6566054.05 14.18, -38978.21 6566054.42 14.18, -38978.54 6566054.8 14.18, -38978.87 6566055.19 14.19, -38979.2 6566055.56 14.19, -38979.52 6566055.94 14.19, -38979.85 6566056.31 14.19, -38980.18 6566056.7 14.19, -38980.52 6566057.07 14.19, -38980.85 6566057.45 14.19, -38981.18 6566057.82 14.2, -38981.51 6566058.2 14.2, -38981.83 6566058.59 14.2, -38982.16 6566058.96 14.2, -38982.49 6566059.34 14.2, -38982.8 6566059.74 14.2, -38983.07 6566060.16 14.2, -38983.31 6566060.59 14.21, -38983.53 6566061.05 14.21, -38983.72 6566061.52 14.21)</t>
  </si>
  <si>
    <t>POINT (-38971.274788962495 6566022.942887288)</t>
  </si>
  <si>
    <t>[4760]</t>
  </si>
  <si>
    <t>['KV4760 S1D1 m1926-1983']</t>
  </si>
  <si>
    <t>LINESTRING Z (-38937.58 6565858.91 10.64, -38950.23 6565868.01 11.06, -38950.65 6565868.29 11.08, -38951.07 6565868.57 11.1, -38951.48 6565868.84 11.12, -38951.89 6565869.11 11.14, -38952.31 6565869.39 11.16, -38952.73 6565869.67 11.18, -38953.15 6565869.94 11.2, -38953.57 6565870.22 11.22, -38953.98 6565870.5 11.24, -38954.4 6565870.78 11.26, -38954.82 6565871.06 11.28, -38955.24 6565871.33 11.3, -38955.66 6565871.61 11.32, -38956.07 6565871.89 11.34, -38956.49 6565872.17 11.36, -38956.91 6565872.44 11.38, -38957.33 6565872.72 11.4, -38957.75 6565873 11.42, -38958.16 6565873.28 11.44, -38958.58 6565873.56 11.46, -38959 6565873.83 11.48, -38959.42 6565874.1 11.5, -38959.84 6565874.38 11.52, -38960.26 6565874.66 11.54, -38960.67 6565874.93 11.56, -38961.09 6565875.21 11.58, -38961.51 6565875.49 11.6, -38961.93 6565875.77 11.62, -38962.35 6565876.05 11.64, -38962.77 6565876.32 11.67, -38963.18 6565876.6 11.69, -38963.6 6565876.88 11.71, -38964.02 6565877.16 11.73, -38964.44 6565877.43 11.75, -38964.86 6565877.71 11.77, -38965.27 6565877.99 11.79, -38965.69 6565878.27 11.81, -38966.11 6565878.55 11.83, -38966.53 6565878.81 11.85, -38966.95 6565879.09 11.87, -38983 6565888.19 12.38)</t>
  </si>
  <si>
    <t>POINT (-38959.947364807216 6565874.086218125)</t>
  </si>
  <si>
    <t>['RV150 S2D1 m8050-8100']</t>
  </si>
  <si>
    <t>LINESTRING Z (255945.54 6650513.61 16.574, 255952.65 6650525.6 17.514, 255959.63 6650544.8 18.564, 255961.78 6650561.4 19.174)</t>
  </si>
  <si>
    <t>POINT (255955.7135966861 6650536.809034505)</t>
  </si>
  <si>
    <t>['RV150 S3D1 m1950-2038']</t>
  </si>
  <si>
    <t>LINESTRING Z (255739.35 6650061.88 0.153, 255736.44 6650092.72 -8.727, 255728.19 6650124.6 -9.097, 255718.71 6650148.19 -8.947)</t>
  </si>
  <si>
    <t>POINT (255731.72697778945 6650105.678772771)</t>
  </si>
  <si>
    <t>['RV150 S3D1 m288-378']</t>
  </si>
  <si>
    <t>LINESTRING Z (255709.31 6650055.27 -8.557, 255709.18 6650055.86 -8.567, 255709.11 6650056.15 -8.567, 255709.09 6650056.23 -8.567, 255709.07 6650056.32 -8.567, 255708.97 6650056.65 -8.577, 255708.58 6650057.99 -8.597, 255707.01 6650063.34 -8.687, 255706.62 6650064.68 -8.707, 255706.42 6650065.35 -8.717, 255706.32 6650065.69 -8.727, 255706.31 6650065.74 -8.727, 255706.29 6650065.79 -8.727, 255706.25 6650065.92 -8.727, 255706.18 6650066.18 -8.737, 255704.96 6650070.36 -8.787, 255702.53 6650078.74 -8.887, 255702.22 6650079.78 -8.897, 255702.07 6650080.3 -8.907, 255701.99 6650080.57 -8.907, 255701.95 6650080.77 -8.907, 255701.57 6650082.35 -8.907, 255700.81 6650085.52 -8.907, 255700.04 6650088.69 -8.907, 255699.66 6650090.27 -8.907, 255699.47 6650091.07 -8.897, 255699.38 6650091.46 -8.897, 255699.33 6650091.66 -8.897, 255699.31 6650091.76 -8.897, 255699.29 6650091.81 -8.897, 255699.27 6650091.89 -8.897, 255696.73 6650101.66 -8.807, 255695.46 6650106.55 -8.767, 255694.82 6650108.99 -8.747, 255694.8 6650109.06 -8.747, 255694.79 6650109.11 -8.747, 255694.77 6650109.19 -8.747, 255694.74 6650109.29 -8.747, 255694.68 6650109.5 -8.737, 255694.21 6650111.17 -8.717, 255693.97 6650112.01 -8.717, 255693.96 6650112.06 -8.707, 255693.94 6650112.14 -8.707, 255693.91 6650112.32 -8.707, 255693.84 6650112.66 -8.707, 255693.71 6650113.34 -8.697, 255693.18 6650116.06 -8.667, 255693.05 6650116.75 -8.657, 255693.03 6650116.83 -8.657, 255693.02 6650116.9 -8.647, 255692.95 6650117.29 -8.647, 255692.83 6650118 -8.637, 255692.35 6650120.82 -8.597, 255691.38 6650126.47 -8.507, 255691.32 6650126.82 -8.507, 255691.31 6650126.87 -8.507, 255691.3 6650126.92 -8.507, 255691.28 6650127.05 -8.497, 255691.24 6650127.3 -8.497, 255691.07 6650128.33 -8.477, 255690.73 6650130.39 -8.437, 255690.06 6650134.5 -8.367, 255689.39 6650138.61 -8.287, 255689.05 6650140.66 -8.257, 255688.97 6650141.18 -8.247, 255688.92 6650141.43 -8.237, 255688.91 6650141.49 -8.237, 255688.88 6650141.63 -8.237, 255688.7 6650142.38 -8.217)</t>
  </si>
  <si>
    <t>POINT (255697.97720254684 6650098.591263668)</t>
  </si>
  <si>
    <t>['RV150 S2D1 m7548-7644']</t>
  </si>
  <si>
    <t>LINESTRING Z (255917.82 6650524.19 15.324, 255918.77 6650526.78 15.494, 255921.39 6650534.44 16.004, 255923.8 6650542.36 16.424, 255925.58 6650548.87 16.814, 255928.19 6650559.33 17.424, 255931.57 6650570.8 18.244, 255931.68 6650571.22 18.264, 255932.23 6650573.03 18.414, 255936.08 6650585.33 19.274, 255940.69 6650598.1 20.134, 255945.83 6650612.45 21.074, 255946.04 6650613.33 21.114, 255946.08 6650613.54 21.134)</t>
  </si>
  <si>
    <t>POINT (255931.56770664925 6650568.987704054)</t>
  </si>
  <si>
    <t>['FV7444 S2D1 m6169-6201']</t>
  </si>
  <si>
    <t>LINESTRING Z (451858.9558910318 7432092.041227026 7.237, 451869.9346954352 7432094.433201223 7.244, 451875.8632335717 7432094.328039718 7.29, 451882.64580430347 7432093.694854633 7.348)</t>
  </si>
  <si>
    <t>POINT (451870.7430605084 7432093.739923866)</t>
  </si>
  <si>
    <t>[8452]</t>
  </si>
  <si>
    <t>['KV8452 S1D1 m34-193']</t>
  </si>
  <si>
    <t>LINESTRING Z (266969.96 6762394.91 141.947, 266969.57 6762394.7 141.937, 266969.13 6762394.45 141.937, 266968.69 6762394.25 141.947, 266968.23 6762394.05 141.937, 266967.69 6762393.88 141.957, 266966.99 6762393.68 141.947, 266966.54 6762393.57 141.947, 266965.98 6762393.42 141.947, 266965.36 6762393.29 141.957, 266964.66 6762393.12 141.977, 266963.96 6762392.94 141.977, 266963.25 6762392.76 141.977, 266962.99 6762392.69 141.977, 266962.74 6762392.63 141.967, 266962 6762392.43 141.967, 266961.28 6762392.26 141.977, 266960.54 6762392.05 141.977, 266960.07 6762391.92 142.007, 266959.24 6762391.71 142.017, 266958.59 6762391.5 141.997, 266957.9 6762391.23 141.997, 266956.75 6762390.82 141.977, 266955.87 6762390.51 141.997, 266954.78 6762390.09 142.017, 266953.72 6762389.69 142.027, 266952.76 6762389.34 142.047, 266951.66 6762388.91 142.047, 266950.45 6762388.47 142.087, 266949.28 6762388.01 142.087, 266948.45 6762387.75 142.127, 266947.81 6762387.51 142.137, 266947.19 6762387.25 142.137, 266946.39 6762386.96 142.157, 266945.57 6762386.64 142.157, 266944.83 6762386.35 142.147, 266944.02 6762386.03 142.127, 266943.17 6762385.72 142.157, 266942.38 6762385.43 142.177, 266941.69 6762385.16 142.167, 266941.14 6762384.95 142.177, 266940.63 6762384.76 142.177, 266939.79 6762384.45 142.197, 266938.88 6762384.11 142.197, 266937.91 6762383.74 142.207, 266936.88 6762383.33 142.207, 266935.36 6762382.76 142.237, 266933.94 6762382.25 142.257, 266932.6 6762381.74 142.277, 266931.24 6762381.23 142.297, 266930.07 6762380.78 142.317, 266929.07 6762380.38 142.337, 266928.05 6762380.02 142.367, 266927.13 6762379.67 142.367, 266926.13 6762379.29 142.377, 266925.32 6762378.98 142.397, 266924.1 6762378.52 142.417, 266923.18 6762378.16 142.447, 266922.26 6762377.82 142.467, 266921.14 6762377.4 142.477, 266919.29 6762376.72 142.537, 266917.27 6762375.94 142.587, 266915.2 6762375.17 142.627, 266913.22 6762374.39 142.647, 266911.49 6762373.75 142.687, 266910.1 6762373.19 142.697, 266908.73 6762372.67 142.727, 266907.18 6762372.08 142.757, 266905.79 6762371.57 142.787, 266904.66 6762371.14 142.827, 266903.29 6762370.61 142.837, 266902.01 6762370.14 142.857, 266900.53 6762369.57 142.877, 266898.94 6762368.96 142.917, 266897.66 6762368.49 142.947, 266896.18 6762367.92 142.967, 266894.7 6762367.35 143.007, 266893.37 6762366.87 143.037, 266892.61 6762366.58 143.047, 266891.82 6762366.27 143.067, 266891.13 6762365.99 143.087, 266890.41 6762365.71 143.097, 266889.83 6762365.51 143.107, 266889.3 6762365.29 143.107, 266888.31 6762364.92 143.137, 266887.11 6762364.45 143.127, 266886.02 6762364.05 143.147, 266884.34 6762363.41 143.187, 266882.73 6762362.79 143.217, 266880.87 6762362.08 143.237, 266879.44 6762361.53 143.297, 266878.18 6762361.05 143.287, 266876.77 6762360.51 143.307, 266875.05 6762359.86 143.357, 266873.76 6762359.36 143.397, 266872.24 6762358.81 143.437, 266870.97 6762358.3 143.437, 266869.47 6762357.73 143.477, 266867.81 6762357.11 143.527, 266866.53 6762356.63 143.537, 266865.15 6762356.11 143.597, 266864 6762355.67 143.637, 266862.77 6762355.21 143.657, 266861.27 6762354.65 143.707, 266860.37 6762354.3 143.737, 266858.9 6762353.76 143.767, 266857.87 6762353.36 143.807, 266856.82 6762352.96 143.817, 266855.55 6762352.49 143.887, 266854.47 6762352.06 143.887, 266853.49 6762351.7 143.917, 266852.49 6762351.32 143.937, 266851.31 6762350.9 143.997, 266850.21 6762350.47 144.027, 266848.74 6762349.91 144.057, 266847.67 6762349.51 144.067, 266846.38 6762349.01 144.097, 266845.26 6762348.59 144.107, 266844.46 6762348.29 144.147, 266843.42 6762347.88 144.147, 266842.71 6762347.62 144.167, 266841.7 6762347.22 144.147, 266840.84 6762346.87 144.177, 266839.79 6762346.43 144.177, 266839.03 6762346.08 144.187, 266838.53 6762345.86 144.187, 266838.1 6762345.66 144.197, 266837.69 6762345.47 144.207, 266837.31 6762345.29 144.217, 266836.97 6762345.11 144.227, 266836.57 6762344.9 144.227, 266836.15 6762344.67 144.237, 266835.77 6762344.43 144.227, 266835.38 6762344.17 144.237, 266834.91 6762343.85 144.257, 266834.51 6762343.58 144.257, 266834.06 6762343.26 144.267, 266833.38 6762342.77 144.297, 266832.7 6762342.25 144.297, 266832.02 6762341.75 144.317, 266831.53 6762341.39 144.317, 266830.97 6762340.99 144.327, 266830.53 6762340.66 144.337, 266829.99 6762340.27 144.347, 266829.47 6762339.89 144.367, 266828.97 6762339.53 144.367, 266828.51 6762339.19 144.377, 266827.98 6762338.8 144.397, 266827.5 6762338.45 144.407, 266826.97 6762338.03 144.417, 266826.43 6762337.66 144.427, 266825.88 6762337.26 144.427, 266825.36 6762336.87 144.437, 266824.95 6762336.57 144.447, 266824.63 6762336.34 144.457, 266824.31 6762336.11 144.467, 266823.96 6762335.85 144.467, 266823.47 6762335.53 144.467, 266823.01 6762335.28 144.447)</t>
  </si>
  <si>
    <t>POINT (266895.4215621181 6762367.2848397745)</t>
  </si>
  <si>
    <t>2025-11-22T09:19:40Z</t>
  </si>
  <si>
    <t>['FV546 S1D1 m3799 SD1 m0-60']</t>
  </si>
  <si>
    <t>LINESTRING Z (-32925.3899993896 6719872.27001953 40.623, -32925.3499984741 6719872.15997314 40.623, -32925.3099975586 6719872.05999756 40.623, -32925.3000030518 6719872 40.623, -32925.2699966431 6719871.95001221 40.623, -32925.2399978638 6719871.84002686 40.623, -32925.2300033569 6719871.80999756 40.623, -32925.1699981689 6719871.67999268 40.633, -32925.1600036621 6719871.64001465 40.633, -32925.0899963379 6719871.41998291 40.633, -32925 6719871.09002686 40.633, -32924.9700012207 6719871 40.633, -32924.9400024414 6719870.83001709 40.633, -32924.8000030518 6719870.25 40.623, -32924.6900024414 6719869.71002197 40.623, -32924.5999984741 6719869.17999268 40.623, -32924.5899963379 6719869.16998291 40.623, -32924.5199966431 6719868.64001465 40.613, -32924.4499969482 6719868.11999512 40.613, -32924.4000015259 6719867.61999512 40.603, -32924.3799972534 6719867.39001465 40.603, -32924.3700027466 6719867.09997559 40.603, -32924.3399963379 6719866.59997559 40.593, -32924.3199996948 6719866.09997559 40.593, -32924.3099975586 6719865.66998291 40.583, -32924.3099975586 6719865.60998535 40.583, -32924.3199996948 6719865.10998535 40.573, -32924.3399963379 6719864.59997559 40.573, -32924.3700027466 6719864.09002686 40.563, -32924.3799972534 6719863.90997315 40.563, -32924.4100036621 6719863.57000733 40.553, -32924.4700012207 6719863.04998779 40.543, -32924.5500030518 6719862.51000977 40.543, -32924.6100006104 6719862.07000732 40.533, -32924.6299972534 6719861.95001221 40.533, -32924.7399978638 6719861.39001465 40.523, -32924.8000030518 6719861.11999512 40.513, -32924.8000030518 6719861.10998535 40.513, -32924.8000030518 6719861.09002686 40.513, -32924.8700027466 6719860.78997803 40.513, -32925.0199966431 6719860.19000244 40.503, -32925.0199966431 6719860.16998291 40.503, -32925.0299987793 6719860.15997314 40.503, -32925.0800018311 6719860.07000732 40.493, -32925.1200027466 6719859.9699707 40.493, -32925.1200027466 6719859.96002197 40.483, -32925.1399993896 6719859.91998291 40.483, -32925.1399993896 6719859.90002441 40.483, -32925.1500015259 6719859.85998535 40.483, -32925.1900024414 6719859.75 40.483, -32925.2300033569 6719859.65002441 40.483, -32925.2600021362 6719859.53997803 40.483, -32925.2799987793 6719859.48999023 40.473, -32925.3000030518 6719859.45001221 40.473, -32925.3300018311 6719859.34002686 40.473, -32925.3700027466 6719859.22998047 40.473, -32925.4000015259 6719859.13000488 40.463, -32925.4199981689 6719859.09002686 40.463, -32925.4400024414 6719859.0300293 40.463, -32925.4800033569 6719858.92999268 40.463, -32925.5 6719858.88000488 40.463, -32925.5199966431 6719858.83001709 40.463, -32925.5500030518 6719858.7199707 40.453, -32925.5699996948 6719858.70001221 40.453, -32925.5999984741 6719858.63000488 40.453, -32925.6299972534 6719858.5300293 40.453, -32925.6800003052 6719858.42999268 40.443, -32925.7099990845 6719858.33001709 40.443, -32925.7099990845 6719858.30999756 40.443, -32925.7600021362 6719858.22998047 40.443, -32925.7900009155 6719858.13000488 40.433, -32925.8399963379 6719858.0300293 40.433, -32925.8700027466 6719857.94000244 40.433, -32925.8700027466 6719857.91998291 40.433, -32925.9199981689 6719857.83001709 40.433, -32925.9499969482 6719857.73999023 40.423, -32925.9899978638 6719857.64001465 40.423, -32926.0299987793 6719857.5300293 40.423, -32926.0400009155 6719857.5300293 40.423, -32926.0699996948 6719857.44000244 40.413, -32926.1200027466 6719857.34002686 40.413, -32926.1500015259 6719857.25 40.413, -32926.1999969482 6719857.14001465 40.403, -32926.2099990845 6719857.10998535 40.403, -32926.2399978638 6719857.04998779 40.403, -32926.2799987793 6719856.95001221 40.403, -32926.3199996948 6719856.85998535 40.403, -32926.3700027466 6719856.76000977 40.393, -32926.3799972534 6719856.71002197 40.393, -32926.4100036621 6719856.66998291 40.393, -32926.4599990845 6719856.55999756 40.393, -32926.4899978638 6719856.4699707 40.383, -32926.5 6719856.45001221 40.383, -32926.5299987793 6719856.36999512 40.383, -32926.5800018311 6719856.2800293 40.383, -32926.6200027466 6719856.17999268 40.383, -32926.6699981689 6719856.09002686 40.373, -32926.7099990845 6719855.98999024 40.373, -32926.75 6719855.90002441 40.373, -32926.7600021362 6719855.89001465 40.373, -32926.8000030518 6719855.79998779 40.363, -32926.8399963379 6719855.71002197 40.363, -32926.8899993897 6719855.60998535 40.363, -32926.9300003052 6719855.52001953 40.353, -32926.9499969482 6719855.4699707 40.353, -32926.9800033569 6719855.41998291 40.353, -32927.0199966431 6719855.33001709 40.353, -32927.0599975586 6719855.22998047 40.353, -32927.1100006104 6719855.14001465 40.343, -32927.1500015259 6719855.04998779 40.343, -32927.1500015259 6719855.03997803 40.343, -32927.1999969482 6719854.95001221 40.343, -32927.2399978638 6719854.84997559 40.333, -32927.2900009155 6719854.76000977 40.333, -32927.3399963379 6719854.65997314 40.333, -32927.3499984741 6719854.63000488 40.333, -32927.3799972534 6719854.57000732 40.323, -32927.4300003052 6719854.4699707 40.323, -32927.4700012207 6719854.38000488 40.323, -32927.5199966431 6719854.29998779 40.323, -32927.5699996948 6719854.20001221 40.313, -32927.6100006104 6719854.10998535 40.313, -32927.6699981689 6719854.01000977 40.313, -32927.7099990845 6719853.91998291 40.303, -32927.75 6719853.83001709 40.303, -32927.7799987793 6719853.7800293 40.303, -32927.8099975586 6719853.73999023 40.303, -32927.8499984741 6719853.64001465 40.293, -32927.9100036621 6719853.54998779 40.293, -32927.9499969482 6719853.4699707 40.293, -32927.9899978638 6719853.36999512 40.283, -32928.0100021362 6719853.34997559 40.283, -32928.0500030518 6719853.2800293 40.283, -32928.0899963379 6719853.17999268 40.283, -32928.1399993897 6719853.09997559 40.283, -32928.1900024414 6719853 40.273, -32928.2399978638 6719852.91998291 40.273, -32928.2399978638 6719852.90997314 40.273, -32928.3000030518 6719852.83001709 40.273, -32928.3399963379 6719852.72998047 40.263, -32928.3899993897 6719852.64001465 40.263, -32928.4400024414 6719852.54998779 40.263, -32928.4700012207 6719852.5 40.253, -32928.4899978638 6719852.46002197 40.253, -32928.5400009155 6719852.38000488 40.253, -32928.5899963379 6719852.2800293 40.253, -32928.6399993897 6719852.19000244 40.243, -32928.6900024414 6719852.09997559 40.243, -32928.7099990845 6719852.07000732 40.243, -32928.7399978638 6719852.01000977 40.243, -32928.7900009155 6719851.92999268 40.243, -32928.8499984741 6719851.83001709 40.233, -32928.9000015259 6719851.75 40.233, -32928.9400024414 6719851.65002442 40.233, -32928.9700012207 6719851.64001465 40.233, -32929 6719851.57000732 40.223, -32929.0199966431 6719851.5300293 40.223, -32929.0500030518 6719851.47998047 40.223, -32929.0800018311 6719851.41998291 40.223, -32929.0999984741 6719851.39001465 40.223, -32929.1600036621 6719851.29998779 40.213, -32929.2099990845 6719851.2199707 40.213, -32929.2099990845 6719851.21002197 40.213, -32929.2600021362 6719851.13000488 40.213, -32929.3199996948 6719851.03997803 40.203, -32929.3600006104 6719850.95001221 40.203, -32929.4100036621 6719850.85998535 40.203, -32929.4700012207 6719850.7800293 40.193, -32929.4800033569 6719850.77001953 40.193, -32929.5199966431 6719850.69000244 40.193, -32929.5699996948 6719850.59997559 40.193, -32929.6200027466 6719850.53997803 40.183, -32929.6200027466 6719850.52001953 40.183, -32929.6800003052 6719850.42999268 40.183, -32929.7300033569 6719850.34002686 40.183, -32929.7900009155 6719850.26000977 40.173, -32929.8499984741 6719850.16998291 40.173, -32929.9000015259 6719850.08001709 40.163, -32929.9499969482 6719850 40.163, -32929.9899978638 6719849.94000244 40.153, -32929.9899978638 6719849.92999268 40.153, -32930.0100021362 6719849.90997315 40.153, -32930.0599975586 6719849.83001709 40.153, -32930.1100006104 6719849.73999024 40.153, -32930.1800003052 6719849.65002441 40.143, -32930.1800003052 6719849.64001465 40.143, -32930.2300033569 6719849.57000732 40.143, -32930.2600021362 6719849.52001953 40.143, -32930.2799987793 6719849.48999024 40.143, -32930.5199966431 6719849.13000488 40.123, -32930.5599975586 6719849.05999756 40.123, -32930.8399963379 6719848.63000488 40.103, -32930.9000015259 6719848.54998779 40.103, -32930.9599990845 6719848.4699707 40.103, -32931.0100021362 6719848.40997315 40.093, -32931.0199966431 6719848.39001465 40.093, -32931.1399993896 6719848.21002197 40.093, -32931.4300003052 6719847.78997803 40.073, -32931.4800033569 6719847.7199707 40.073, -32931.7300033569 6719847.38000488 40.053, -32932.0100021362 6719846.98999024 40.043, -32932.0699996948 6719846.90997315 40.033, -32932.2900009155 6719846.61999512 40.023, -32932.6800003052 6719846.10998535 40.003, -32932.7200012207 6719846.05999756 40.003, -32933.1600036621 6719845.51000977 39.983, -32933.3000030518 6719845.32000732 39.973, -32933.5899963379 6719844.96002197 39.953, -32933.9800033569 6719844.67999268 39.943, -32934.0199966431 6719844.65002441 39.933, -32934.0999984741 6719844.59002686 39.933, -32934.1699981689 6719844.54998779 39.933, -32934.1800003052 6719844.5300293 39.933, -32934.2699966431 6719844.4699707 39.923, -32934.3499984741 6719844.40997314 39.923, -32934.4300003052 6719844.34997559 39.923, -32934.5100021362 6719844.28997803 39.913, -32934.5899963379 6719844.22998047 39.913, -32934.6699981689 6719844.16998291 39.913, -32934.7399978638 6719844.13000488 39.903, -32934.75 6719844.10998535 39.903, -32934.8399963379 6719844.05999756 39.903, -32934.9199981689 6719844 39.893, -32935 6719843.94000244 39.893, -32935.0800018311 6719843.88000488 39.893, -32935.0999984741 6719843.85998535 39.893, -32935.0999984741 6719843.84997559 39.893, -32935.0999984741 6719843.85998535 39.893, -32935.1299972534 6719843.89001465 39.893, -32935.1600036621 6719843.90997314 39.893, -32935.3399963379 6719844 39.893, -32935.4899978638 6719844.02001953 39.893, -32935.5899963379 6719844.01000977 39.883, -32935.6100006104 6719844 39.883, -32935.7099990845 6719843.96002197 39.883, -32935.8000030518 6719843.90002441 39.883, -32935.8399963379 6719843.85998535 39.883, -32935.8700027466 6719843.83001709 39.873, -32936.1199989319 6719843.55999756 39.863, -32936.4900016785 6719843.15002442 39.843, -32936.5900001526 6719843.03997803 39.843, -32936.6100006104 6719843.03997803 39.843, -32937.0699996948 6719842.53997803 39.823, -32937.2799987793 6719842.29998779 39.803, -32937.5400009155 6719842.0300293 39.793, -32937.75 6719841.78997803 39.783, -32937.9599990845 6719841.57000732 39.773, -32938.0200004578 6719841.52001953 39.773, -32938.4900016785 6719841 39.753, -32938.6300010681 6719840.84997559 39.743, -32938.7599983215 6719840.70001221 39.743, -32939.3199996948 6719840.11999512 39.713, -32939.9900016785 6719839.38000488 39.683, -32940.6599998474 6719838.65002441 39.653, -32941.3499984741 6719837.91998291 39.613, -32942.0200004578 6719837.19000244 39.583, -32942.4799995422 6719836.69000244 39.553, -32942.7099990845 6719836.46002197 39.543, -32943.0099983215 6719836.11999512 39.523, -32943.3199996948 6719835.78997803 39.513, -32943.3800010681 6719835.72998047 39.503, -32943.6199989319 6719835.46002197 39.493, -32943.9300003052 6719835.13000488 39.473, -32944.0499992371 6719835 39.473, -32944.2299995422 6719834.79998779 39.453, -32944.4099998474 6719834.60998535 39.443, -32944.4399986267 6719834.59997559 39.443, -32944.5 6719834.42999268 39.443, -32944.4399986267 6719834.22998047 39.433, -32944.4399986267 6719834.2199707 39.433, -32944.4500007629 6719834.2199707 39.433, -32944.5200004578 6719834.14001465 39.423, -32944.5699996948 6719834.09002686 39.423, -32944.5800018311 6719834.09002686 39.423, -32944.6899986267 6719833.9699707 39.413, -32945 6719833.65002442 39.403, -32945.2700004578 6719833.38000488 39.383, -32945.2900009155 6719833.35998535 39.383, -32945.5800018311 6719833.05999756 39.363, -32945.8699989319 6719832.77001953 39.353, -32945.9700012207 6719832.66998291 39.343, -32946.1300010681 6719832.51000977 39.333, -32946.2200012207 6719832.40997315 39.323, -32946.5200004578 6719832.09997559 39.313, -32946.6800003052 6719831.95001221 39.303, -32946.8300018311 6719831.79998779 39.293, -32946.9399986267 6719831.69000244 39.283, -32947.2099990845 6719831.40002441 39.263, -32947.3699989319 6719831.23999023 39.263, -32947.4799995422 6719831.13000488 39.253, -32947.7799987793 6719830.80999756 39.233, -32947.8300018311 6719830.7800293 39.233, -32948.0800018311 6719830.54998779 39.213, -32948.2000007629 6719830.45001221 39.203, -32948.5699996948 6719830.11999512 39.183, -32948.8300018311 6719829.89001465 39.163, -32948.9500007629 6719829.78997803 39.163, -32948.9599990845 6719829.7800293 39.163, -32949.3199996948 6719829.46002197 39.133, -32949.5699996948 6719829.22998047 39.123, -32949.7000007629 6719829.11999512 39.113, -32950.0900001526 6719828.7800293 39.093, -32950.3199996948 6719828.57000732 39.073, -32950.4700012207 6719828.44000244 39.063, -32950.5 6719828.40997314 39.063, -32950.8499984741 6719828.09997559 39.043, -32951.0699996948 6719827.91998291 39.023, -32951.2400016785 6719827.76000977 39.013, -32951.3100013733 6719827.71002197 39.013, -32951.3899993897 6719827.63000488 39.003, -32951.5400009155 6719827.5 38.993, -32951.6399993897 6719827.40997315 38.983, -32951.75 6719827.33001709 38.983, -32951.8199996948 6719827.26000977 38.973, -32951.8400001526 6719827.23999024 38.973, -32951.9799995422 6719827.13000488 38.963, -32952.5499992371 6719826.61999512 38.923, -32952.5699996948 6719826.59997559 38.923, -32953.3199996948 6719825.95001221 38.873, -32953.5299987793 6719825.77001953 38.863, -32953.6899986267 6719825.63000488 38.853, -32954.0800018311 6719825.29998779 38.823, -32954.8300018311 6719824.65002441 38.773, -32955.5800018311 6719824 38.723, -32955.6599998474 6719823.94000244 38.723, -32955.7400016785 6719823.86999512 38.713, -32955.7599983215 6719823.84997559 38.713, -32955.8100013733 6719823.80999756 38.713, -32955.8899993896 6719823.73999024 38.703, -32955.9700012207 6719823.67999268 38.703, -32956.0400009155 6719823.60998535 38.693, -32956.1199989319 6719823.54998779 38.693, -32956.2000007629 6719823.48999023 38.683, -32956.2700004578 6719823.41998291 38.683, -32956.3499984741 6719823.35998535 38.673, -32956.4199981689 6719823.28997803 38.673, -32956.5 6719823.22998047 38.663, -32956.5699996948 6719823.15997314 38.663, -32956.6500015259 6719823.09997559 38.653, -32956.7200012207 6719823.0300293 38.653, -32956.7999992371 6719822.9699707 38.643, -32956.8800010681 6719822.90002441 38.643, -32956.9500007629 6719822.84002686 38.633, -32957.0299987793 6719822.7800293 38.633, -32957.0800018311 6719822.73999024 38.623, -32957.0999984741 6719822.71002197 38.623, -32957.1800003052 6719822.65002441 38.623, -32957.25 6719822.58001709 38.613, -32957.3300018311 6719822.52001953 38.613, -32957.4000015259 6719822.45001221 38.603, -32957.4799995422 6719822.39001465 38.603, -32957.5600013733 6719822.32000732 38.603, -32957.6300010681 6719822.26000977 38.593, -32957.7099990845 6719822.20001221 38.593, -32957.7799987793 6719822.13000488 38.583, -32957.8499984741 6719822.08001709 38.583, -32957.8600006104 6719822.07000733 38.583, -32957.9399986267 6719822 38.573, -32958.0099983215 6719821.94000244 38.573, -32958.0900001526 6719821.86999512 38.563, -32958.1100006104 6719821.85998535 38.563, -32958.1599998474 6719821.80999756 38.563, -32958.2400016785 6719821.75 38.563, -32958.3100013733 6719821.67999268 38.553, -32958.3899993896 6719821.61999512 38.553, -32958.4700012207 6719821.54998779 38.543, -32958.5400009155 6719821.48999023 38.543, -32958.6199989319 6719821.42999268 38.543, -32958.6899986267 6719821.35998535 38.533, -32958.7700004578 6719821.29998779 38.533, -32958.8600006104 6719821.22998047 38.523, -32958.9300003052 6719821.16998291 38.523, -32959.0099983215 6719821.09997559 38.523, -32959.0800018311 6719821.03997803 38.513, -32959.1599998474 6719820.97998047 38.513, -32959.2400016785 6719820.90997314 38.503, -32959.3100013733 6719820.84997559 38.503, -32959.3600006104 6719820.79998779 38.503, -32959.3899993896 6719820.7800293 38.503, -32959.4000015259 6719820.78997803 38.493, -32959.4199981689 6719820.76000977 38.493, -32959.4700012207 6719820.7199707 38.493, -32959.5400009155 6719820.65997314 38.493, -32959.5800018311 6719820.63000488 38.493, -32959.6199989319 6719820.59002686 38.483, -32959.7000007629 6719820.5300293 38.483, -32959.7700004578 6719820.4699707 38.483, -32959.8499984741 6719820.40002441 38.473, -32959.9300003052 6719820.34997559 38.473, -32960 6719820.2800293 38.463, -32960.0800018311 6719820.21002197 38.463, -32960.1599998474 6719820.15997315 38.463, -32960.2299995422 6719820.09002686 38.453, -32960.3100013733 6719820.0300293 38.453, -32960.3899993897 6719819.9699707 38.453, -32960.4599990845 6719819.90997315 38.443, -32960.5400009155 6719819.84002686 38.443, -32960.6199989319 6719819.7800293 38.443, -32960.7000007629 6719819.7199707 38.433, -32960.7700004578 6719819.65002441 38.433, -32960.8100013733 6719819.60998535 38.433, -32960.8400001526 6719819.59997559 38.433, -32960.8499984741 6719819.59002686 38.433, -32960.9300003052 6719819.5300293 38.423, -32961 6719819.46002197 38.423, -32961.0800018311 6719819.40002441 38.423, -32961.0099983215 6719819.4699707 38.423, -32960.9300003052 6719819.5300293 38.423, -32960.8600006104 6719819.59997559 38.433, -32960.8499984741 6719819.60998535 38.433, -32960.8199996948 6719819.61999512 38.433, -32960.7799987793 6719819.65997314 38.433, -32960.7099990845 6719819.72998047 38.433, -32960.6399993897 6719819.79998779 38.443, -32960.5600013733 6719819.86999512 38.443, -32960.4799995422 6719819.92999268 38.443, -32960.4099998474 6719820 38.453, -32960.3400001526 6719820.07000732 38.453, -32960.2700004578 6719820.14001465 38.453, -32960.2000007629 6719820.21002197 38.463, -32960.1300010681 6719820.2800293 38.463, -32960.0600013733 6719820.34997559 38.463, -32959.9900016785 6719820.41998291 38.473, -32959.9199981689 6719820.5 38.473, -32959.8400001526 6719820.57000732 38.473, -32959.7700004578 6719820.64001465 38.483, -32959.7099990845 6719820.71002197 38.483, -32959.6800003052 6719820.73999023 38.483, -32959.6399993896 6719820.7800293 38.483, -32959.5699996948 6719820.84997559 38.493, -32959.5299987793 6719820.89001465 38.493, -32959.5299987793 6719820.90002441 38.493, -32959.5099983215 6719820.91998291 38.493, -32959.5 6719820.92999268 38.493, -32959.4799995422 6719820.95001221 38.493, -32959.4399986267 6719821 38.493, -32959.3699989319 6719821.07000732 38.503, -32959.2999992371 6719821.15002441 38.503, -32959.2299995422 6719821.22998047 38.503, -32959.1699981689 6719821.29998779 38.513, -32959.0999984741 6719821.38000488 38.513, -32959.0400009155 6719821.45001221 38.523, -32958.9599990845 6719821.5300293 38.523, -32958.9000015259 6719821.60998535 38.523, -32958.8400001526 6719821.69000244 38.533, -32958.7700004578 6719821.76000977 38.533, -32958.7099990845 6719821.84002686 38.533, -32958.6399993897 6719821.91998291 38.543, -32958.5800018311 6719821.98999024 38.543, -32958.5200004578 6719822.08001709 38.553, -32958.4599990845 6719822.15997314 38.553, -32958.4099998474 6719822.21002197 38.553, -32958.3899993896 6719822.23999024 38.553, -32958.3300018311 6719822.30999756 38.563, -32958.2700004578 6719822.40002442 38.563, -32958.2099990845 6719822.47998047 38.563, -32958.2000007629 6719822.48999023 38.563, -32958.1500015259 6719822.55999756 38.573, -32958.0800018311 6719822.64001465 38.573, -32958.0200004578 6719822.7199707 38.583, -32957.9599990845 6719822.80999756 38.583, -32957.9099998474 6719822.89001465 38.583, -32957.8400001526 6719822.9699707 38.593, -32957.7799987793 6719823.04998779 38.593, -32957.7200012207 6719823.13000488 38.603, -32957.6599998474 6719823.21002197 38.603, -32957.5900001526 6719823.28997803 38.603, -32957.5699996948 6719823.33001709 38.613, -32957.5299987793 6719823.36999512 38.613, -32957.4700012207 6719823.45001221 38.613, -32957.4199981689 6719823.53997803 38.623, -32957.3499984741 6719823.61999512 38.623, -32957.2900009155 6719823.70001221 38.623, -32957.2299995422 6719823.7800293 38.633, -32957.1699981689 6719823.86999512 38.633, -32957.0999984741 6719823.95001221 38.643, -32957.0400009155 6719824.0300293 38.643, -32956.9799995422 6719824.09997559 38.653, -32956.9300003052 6719824.19000244 38.653, -32956.8600006104 6719824.27001953 38.653, -32956.7999992371 6719824.34997559 38.663, -32956.7400016785 6719824.42999268 38.663, -32956.6800003052 6719824.51000977 38.673, -32956.6100006104 6719824.59997559 38.673, -32956.5499992371 6719824.67999268 38.683, -32956.5099983215 6719824.72998047 38.683, -32956.5 6719824.76000977 38.683, -32956.4399986267 6719824.84002686 38.693, -32956.3699989319 6719824.91998291 38.693, -32955.7599983215 6719825.72998047 38.743, -32955.1500015259 6719826.53997803 38.783, -32954.8400001526 6719826.96002197 38.803, -32954.7000007629 6719827.14001465 38.813, -32954.5400009155 6719827.35998535 38.833, -32953.9300003052 6719828.16998291 38.873, -32953.9099998474 6719828.19000244 38.873, -32953.4500007629 6719828.80999756 38.913, -32953.3300018311 6719828.96002197 38.923, -32953.3199996948 6719828.97998047 38.923, -32953.2599983215 6719829.05999756 38.923, -32953.1699981689 6719829.17999268 38.933, -32953.0900001526 6719829.28997803 38.933, -32952.9700012207 6719829.44000244 38.943, -32952.9000015259 6719829.53997803 38.953, -32952.8499984741 6719829.60998535 38.953, -32952.7200012207 6719829.78997803 38.963, -32952.5400009155 6719830.0300293 38.983, -32952.25 6719830.40002441 39.003, -32952.2299995422 6719830.44000244 39.003, -32952.0999984741 6719830.59997559 39.013, -32951.9000015259 6719830.84997559 39.023, -32951.5800018311 6719831.25 39.053, -32951.4700012207 6719831.38000488 39.053, -32951.25 6719831.63000488 39.073, -32950.9199981689 6719832 39.093, -32950.9099998474 6719832.01000977 39.093, -32950.8100013733 6719832.11999512 39.103, -32950.5699996948 6719832.36999512 39.113, -32950.2299995422 6719832.72998047 39.143, -32950.1300010681 6719832.84997559 39.143, -32949.8899993897 6719833.09997559 39.163, -32949.8600006104 6719833.14001465 39.163, -32949.5699996948 6719833.46002197 39.183, -32949.4500007629 6719833.57000732 39.193, -32949.2999992371 6719833.73999023 39.203, -32949.0400009155 6719834.0300293 39.213, -32948.9300003052 6719834.14001465 39.223, -32948.7799987793 6719834.29998779 39.233, -32948.6399993896 6719834.46002197 39.243, -32948.3400001526 6719834.77001953 39.263, -32948.25 6719834.88000488 39.263, -32948.0999984741 6719835.0300293 39.273, -32948.0099983215 6719835.13000488 39.283, -32947.7299995422 6719835.42999268 39.293, -32947.4399986267 6719835.72998047 39.313, -32947.4300003052 6719835.76000977 39.313, -32947.1599998474 6719836.04998779 39.333, -32946.8600006104 6719836.36999512 39.353, -32946.7599983215 6719836.47998047 39.353, -32946.7000007629 6719836.54998779 39.363, -32946.6300010681 6719836.61999512 39.363, -32946.6199989319 6719836.63000488 39.363, -32946.5600013733 6719836.69000244 39.383, -32946.4599990845 6719836.80999756 39.393, -32946.4300003052 6719836.83001709 39.393, -32946.2599983215 6719837.02001953 39.403, -32946.0800018311 6719837.2199707 39.413, -32945.9500007629 6719837.34997559 39.423, -32945.6500015259 6719837.66998291 39.433, -32945.4000015259 6719837.94000244 39.453, -32945.3400001526 6719838 39.453, -32945.0400009155 6719838.33001709 39.473, -32944.7299995422 6719838.65997315 39.493, -32944.5099983215 6719838.90002441 39.503, -32944.0499992371 6719839.40002441 39.523, -32943.3800010681 6719840.11999512 39.563, -32942.7099990845 6719840.84002686 39.593, -32942.0299987793 6719841.55999756 39.633, -32941.3600006104 6719842.29998779 39.663, -32940.8199996948 6719842.89001465 39.693, -32940.6899986267 6719843.02001953 39.693, -32940.5400009155 6719843.17999268 39.703, -32940.0699996948 6719843.67999268 39.723, -32940.0099983215 6719843.73999023 39.723, -32939.8100013733 6719843.9699707 39.733, -32939.5999984741 6719844.19000244 39.743, -32939.3400001526 6719844.4699707 39.763, -32939.1300010681 6719844.70001221 39.773, -32938.6699981689 6719845.19000244 39.793, -32938.6599998474 6719845.21002197 39.793, -32938.5600013733 6719845.32000732 39.803, -32938.1899986267 6719845.7199707 39.813, -32937.9199981689 6719846 39.833, -32937.9000015259 6719846.01000977 39.833, -32937.8600006104 6719846.05999756 39.833, -32937.8600006104 6719846.07000732 39.833, -32937.7900009155 6719846.14001465 39.833, -32937.7299995422 6719846.21002197 39.843, -32937.7099990845 6719846.22998047 39.843, -32937.6599998474 6719846.2800293 39.843, -32937.5900001526 6719846.34997559 39.843, -32937.5499992371 6719846.40002441 39.833, -32937.5499992371 6719846.40997314 39.833, -32937.5299987793 6719846.41998291 39.833, -32937.4599990845 6719846.48999023 39.833, -32937.4000015259 6719846.57000732 39.833, -32937.3199996948 6719846.65002442 39.843, -32937.25 6719846.7199707 39.843, -32937.2400016785 6719846.73999023 39.843, -32937.1899986267 6719846.78997803 39.843, -32937.1199989319 6719846.85998535 39.853, -32937.0600013733 6719846.92999268 39.853, -32936.9900016785 6719847 39.853, -32936.9300003052 6719847.08001709 39.863, -32936.8499984741 6719847.15002441 39.863, -32936.7799987793 6719847.2199707 39.863, -32936.7700004578 6719847.25 39.873, -32936.7200012207 6719847.29998779 39.873, -32936.6500015259 6719847.36999512 39.873, -32936.6100006104 6719847.40997314 39.873, -32936.2999992371 6719847.75 39.893, -32935.9800033569 6719848.09002686 39.913, -32935.8199996948 6719848.25 39.913, -32935.3499984741 6719848.76000977 39.943, -32935.3000030518 6719848.82000732 39.943, -32934.8799972534 6719849.27001953 39.963, -32934.6299972534 6719849.53997803 39.983, -32934.5699996948 6719849.60998535 39.983, -32934.25 6719849.95001221 40.003, -32933.9700012207 6719850.27001953 40.013, -32933.9100036621 6719850.32000732 40.013, -32933.5699996948 6719850.69000244 40.033, -32933.4300003052 6719850.84997559 40.043, -32933.4199981689 6719850.84997559 40.043, -32933.3600006104 6719850.91998291 40.043, -32933.3000030518 6719850.98999023 40.053, -32933.2300033569 6719851.05999756 40.053, -32932.8899993896 6719851.41998291 40.073, -32932.8300018311 6719851.47998047 40.073, -32932.5500030518 6719851.7800293 40.093, -32932.5299987793 6719851.80999756 40.093, -32932.4899978638 6719851.84997559 40.093, -32932.4300003052 6719851.91998291 40.093, -32932.4199981689 6719851.92999268 40.093, -32932.3499984741 6719852 40.103, -32932.2900009155 6719852.07000732 40.103, -32932.2200012207 6719852.14001465 40.113, -32932.2200012207 6719852.15002441 40.113, -32932.1999969482 6719852.15997315 40.113, -32932.1999969482 6719852.16998291 40.113, -32932.1600036621 6719852.21002197 40.113, -32932.0800018311 6719852.28997803 40.123, -32932.0199966431 6719852.35998535 40.123, -32931.9499969482 6719852.44000244 40.133, -32931.8799972534 6719852.51000977 40.133, -32931.8199996948 6719852.58001709 40.143, -32931.75 6719852.65002441 40.143, -32931.7300033569 6719852.66998291 40.143, -32931.6900024414 6719852.7199707 40.143, -32931.6100006104 6719852.78997803 40.153, -32931.5500030518 6719852.85998535 40.153, -32931.5400009155 6719852.85998535 40.153, -32931.4800033569 6719852.92999268 40.163, -32931.4100036621 6719853.02001953 40.163, -32931.3499984741 6719853.09002686 40.163, -32931.2799987793 6719853.15997315 40.173, -32931.2200012207 6719853.2199707 40.173, -32931.2099990845 6719853.22998047 40.173, -32931.1500015259 6719853.29998779 40.173, -32931.0699996948 6719853.36999512 40.183, -32931.0500030518 6719853.40002442 40.183, -32931.0100021362 6719853.44000244 40.183, -32930.9800033569 6719853.48999023 40.183, -32930.9400024414 6719853.52001953 40.183, -32930.8899993896 6719853.57000733 40.193, -32930.8799972534 6719853.59002686 40.193, -32930.8099975586 6719853.65997315 40.193, -32930.7399978638 6719853.72998047 40.193, -32930.6800003052 6719853.80999756 40.203, -32930.6100006104 6719853.88000488 40.203, -32930.5699996948 6719853.91998291 40.203, -32930.5400009155 6719853.95001221 40.213, -32930.4700012207 6719854.02001953 40.213, -32930.4000015259 6719854.09997559 40.213, -32930.3399963379 6719854.16998291 40.223, -32930.2699966431 6719854.23999024 40.223, -32930.25 6719854.27001953 40.223, -32930.2099990845 6719854.30999756 40.223, -32930.1399993897 6719854.38000488 40.233, -32930.0800018311 6719854.45001221 40.233, -32930 6719854.52001953 40.233, -32929.9300003052 6719854.59997559 40.243, -32929.8700027466 6719854.67999268 40.243, -32929.8000030518 6719854.75 40.243, -32929.7399978638 6719854.82000732 40.253, -32929.6699981689 6719854.89001465 40.253, -32929.6200027466 6719854.95001221 40.253, -32929.5999984741 6719854.96002197 40.253, -32929.5400009155 6719855.0300293 40.263, -32929.4599990845 6719855.09997559 40.263, -32929.4000015259 6719855.17999268 40.273, -32929.3300018311 6719855.25 40.273, -32929.3099975586 6719855.2800293 40.273, -32929.2699966431 6719855.33001709 40.273, -32929.1999969482 6719855.40002441 40.283, -32929.1399993896 6719855.4699707 40.283, -32929.0800018311 6719855.53997803 40.283, -32929 6719855.63000488 40.293, -32928.9400024414 6719855.70001221 40.293, -32928.8799972534 6719855.77001953 40.293, -32928.8099975586 6719855.84997559 40.303, -32928.75 6719855.91998291 40.303, -32928.7099990845 6719855.9699707 40.303, -32928.6900024414 6719856 40.303, -32928.6200027466 6719856.08001709 40.313, -32928.5599975586 6719856.15002442 40.313, -32928.5 6719856.22998047 40.313, -32928.4400024414 6719856.29998779 40.323, -32928.4300003052 6719856.30999756 40.323, -32928.3799972534 6719856.39001465 40.323, -32928.3099975586 6719856.4699707 40.323, -32928.25 6719856.53997803 40.333, -32928.1999969482 6719856.61999512 40.333, -32928.1600036621 6719856.66998291 40.333, -32928.1399993897 6719856.70001221 40.333, -32928.0800018311 6719856.7800293 40.343, -32928.0100021362 6719856.85998535 40.343, -32927.9599990845 6719856.94000244 40.343, -32927.9000015259 6719857.02001953 40.353, -32927.8499984741 6719857.09997559 40.353, -32927.7799987793 6719857.17999268 40.353, -32927.7200012207 6719857.26000977 40.363, -32927.6699981689 6719857.34997559 40.363, -32927.6200027466 6719857.42999268 40.363, -32927.5699996948 6719857.48999024 40.373, -32927.5500030518 6719857.51000977 40.373, -32927.5 6719857.59997559 40.373, -32927.4499969482 6719857.67999268 40.373, -32927.4100036621 6719857.72998047 40.373, -32927.3899993896 6719857.76000977 40.383, -32927.3300018311 6719857.84997559 40.383, -32927.2799987793 6719857.92999268 40.383, -32927.2300033569 6719858.01000977 40.393, -32927.1999969482 6719858.05999756 40.393, -32927.1699981689 6719858.09997559 40.393, -32927.1200027466 6719858.19000244 40.393, -32927.0699996948 6719858.27001953 40.403, -32927.0199966431 6719858.35998535 40.403, -32926.9700012207 6719858.42999268 40.403, -32926.9599990845 6719858.44000244 40.403, -32926.9100036621 6719858.5300293 40.413, -32926.8600006104 6719858.61999512 40.413, -32926.8099975586 6719858.71002197 40.413, -32926.7600021362 6719858.78997803 40.413, -32926.7600021362 6719858.79998779 40.413, -32926.7099990845 6719858.88000488 40.423, -32926.6500015259 6719858.9699707 40.423, -32926.6100006104 6719859.05999756 40.423, -32926.5699996948 6719859.14001465 40.433, -32926.5599975586 6719859.15002441 40.433, -32926.5100021362 6719859.23999024 40.433, -32926.4599990845 6719859.33001709 40.433, -32926.4100036621 6719859.42999268 40.443, -32926.3700027466 6719859.48999023 40.443, -32926.3600006104 6719859.51000977 40.443, -32926.3199996948 6719859.59997559 40.443, -32926.3000030518 6719859.65002441 40.443, -32926.2699966431 6719859.70001221 40.453, -32926.2300033569 6719859.78997803 40.453, -32926.1999969482 6719859.84002686 40.453, -32926.1900024414 6719859.88000488 40.453, -32926.1800003052 6719859.88000488 40.453, -32926.1299972534 6719859.9699707 40.463, -32926.0899963379 6719860.07000732 40.463, -32926.0400009155 6719860.15997314 40.463, -32926.0199966431 6719860.21002197 40.463, -32926 6719860.27001953 40.463, -32925.9499969482 6719860.35998535 40.473, -32925.9100036621 6719860.46002197 40.473, -32925.8700027466 6719860.54998779 40.473, -32925.8499984741 6719860.58001709 40.483, -32925.8399963379 6719860.59997559 40.483, -32925.8199996948 6719860.64001465 40.473, -32925.8199996948 6719860.65002442 40.483, -32925.7799987793 6719860.75 40.483, -32925.7300033569 6719860.84997559 40.483, -32925.6299972534 6719861.15002441 40.493, -32925.4300003052 6719861.76000977 40.503, -32925.3899993896 6719861.89001465 40.503, -32925.25 6719862.35998535 40.513, -32925.0999984741 6719862.92999268 40.523, -32924.9800033569 6719863.47998047 40.533, -32924.9199981689 6719863.84997559 40.543, -32924.8799972534 6719864.0300293 40.543, -32924.8000030518 6719864.54998779 40.553, -32924.7300033569 6719865.08001709 40.563, -32924.6900024414 6719865.59002</t>
  </si>
  <si>
    <t>2016-01-12</t>
  </si>
  <si>
    <t>['FV2324 S1D1 m4622-4688']</t>
  </si>
  <si>
    <t>LINESTRING Z (255720.89 6702974.35 231.754, 255721.84 6702973.32 231.754, 255722.79 6702972.37 231.744, 255723.72 6702971.41 231.744, 255724.63 6702970.43 231.744, 255725.54 6702969.45 231.734, 255726.42 6702968.52 231.734, 255729.02 6702965.78 231.794, 255730.73 6702963.94 231.824, 255732.45 6702962.1 231.864, 255733.9 6702960.08 231.914, 255735.35 6702958.06 231.954, 255749.78 6702937.94 232.564, 255753.48 6702932.17 232.794, 255753.78 6702931.68 232.834, 255755.11 6702929.58 232.924, 255756.35 6702927.6 233.024, 255757.6 6702925.63 233.114, 255757.77 6702925.36 233.134, 255759.67 6702922.34 233.304, 255760.45 6702921.14 233.384)</t>
  </si>
  <si>
    <t>POINT (255741.65182451 6702948.506171603)</t>
  </si>
  <si>
    <t>['FV2324 S1D1 m4622-4689']</t>
  </si>
  <si>
    <t>LINESTRING Z (255711.99 6702968.08 231.284, 255712.56 6702967.15 231.344, 255713.11 6702966.19 231.394, 255713.69 6702965.18 231.464, 255714.25 6702964.14 231.524, 255714.79 6702963.1 231.594, 255715.33 6702962.06 231.654, 255715.96 6702960.98 231.734, 255717.95 6702957.8 231.854, 255719.38 6702955.74 231.944, 255720.82 6702953.68 232.034, 255724.43 6702948.86 232.304, 255727.86 6702944.38 232.514, 255731.03 6702940.36 232.724, 255733.93 6702936.73 232.864, 255735.06 6702935.32 233.204, 255736.32 6702933.77 233.024, 255737.9 6702931.78 233.134, 255739.49 6702929.81 233.244, 255741.34 6702928.05 233.334, 255743.21 6702926.29 233.424, 255745.08 6702924.55 233.514, 255746.97 6702922.81 233.594, 255748.72 6702921.19 233.674, 255750.48 6702919.57 233.754, 255750.72 6702919.36 233.764, 255753.38 6702916.9 233.864, 255754.46 6702915.9 233.894)</t>
  </si>
  <si>
    <t>POINT (255731.7172276156 6702940.762322255)</t>
  </si>
  <si>
    <t>2022-03-23</t>
  </si>
  <si>
    <t>['FV44 S10D1 m702-774', 'FV44 S10D100 m610-698', 'FV44 S10D100 m700']</t>
  </si>
  <si>
    <t>LINESTRING Z (-34513.335188146564 6522949.310653222 3.098, -34513.174993421766 6522949.829942855 3.118, -34512.83101364772 6522950.312586545 3.098, -34512.48429830547 6522950.772294332 3.098, -34512.14095816307 6522951.164792948 3.088, -34511.33234686672 6522951.978077553 3.088, -34510.514001256786 6522952.733622833 3.078, -34509.66122955235 6522953.439299927 3.058, -34508.76365768083 6522954.127514511 3.048, -34506.024935475085 6522956.140692518 3.028, -34505.14352987846 6522956.797301498 3.028, -34504.310868651955 6522957.52831345 3.008, -34503.54432482901 6522958.336126202 2.998, -34502.84148239554 6522959.152731237 2.998, -34502.152318566456 6522960.084015979 2.978, -34501.63141387468 6522960.993407523 2.978, -34501.41483831231 6522961.493636348 2.968, -34501.26196384558 6522962.002657305 2.978, -34500.94189729006 6522962.996164741 2.968, -34500.75381587155 6522963.974051475 2.968, -34500.612631136086 6522965.082481825 2.968, -34500.54978470295 6522966.17916622 2.978, -34500.554902506876 6522967.296510329 2.968, -34500.58012885065 6522968.439188205 2.968, -34500.653210695134 6522969.577192031 2.988, -34500.719932800625 6522970.590247229 2.868, -34500.97246777336 6522975.644333215 2.888, -34501.20460687706 6522979.691758265 2.968, -34501.284402216086 6522981.721743386 2.988, -34501.654526176164 6522988.788473482 2.958, -34502.3000099886 6523000.957559041 2.748, -34502.58144546242 6523007.042040886 2.768, -34502.60030816228 6523008.059770045 2.808, -34502.70450709597 6523009.100556864 2.828, -34502.90288852074 6523010.143064015 2.848, -34503.182342802174 6523011.19676125 2.858, -34503.52428925608 6523012.225246478 2.868, -34503.97473540052 6523013.279986607 2.868, -34504.511477105436 6523014.222566862 2.878, -34504.79235349619 6523014.667385174 2.888, -34505.13266678108 6523015.109128137 2.908, -34505.92396049516 6523015.917655673 2.918, -34506.71283829317 6523016.65817491 2.908, -34512.52299244306 6523021.89284803 2.978, -34513.333503675065 6523022.64763426 2.988, -34514.14522229333 6523023.436424915 2.988, -34514.84996870032 6523024.187892257 2.998, -34515.565336486325 6523025.076176015 3.038, -34515.885219292366 6523025.537658705 3.068, -34516.16424557427 6523026.038618796 3.048, -34516.41431721987 6523026.535582353 3.078, -34516.51542550209 6523026.786401047 3.078)</t>
  </si>
  <si>
    <t>POINT (-34504.5982775638 6522987.994540923)</t>
  </si>
  <si>
    <t>[359]</t>
  </si>
  <si>
    <t>['FV359 S1D1 m2876-2955']</t>
  </si>
  <si>
    <t>LINESTRING Z (170423.61 6586737.32 69.759, 170410.65 6586741.8 70.569, 170405.54 6586744.04 70.809, 170404.53 6586744.55 70.839, 170389.97 6586752.37 71.569, 170388.94 6586752.76 71.619, 170363.91 6586760.96 72.669, 170351.06 6586761.91 73.229, 170348.91 6586762.33 73.359)</t>
  </si>
  <si>
    <t>['RV94 S2D1 m695-775']</t>
  </si>
  <si>
    <t>LINESTRING Z (846678.33 7842231.87 8.694, 846685.81 7842229.11 8.784, 846693.14 7842226.39 8.874, 846701.58 7842223.4 8.984, 846703.31 7842222.78 9.004, 846706.52 7842222.08 9.044, 846715.74 7842220.81 9.154, 846724.91 7842219.57 9.264, 846734.1 7842218.32 9.374, 846737.02 7842218.08 9.404, 846743.66 7842218.29 9.484, 846751.56 7842219 9.574, 846759.54 7842219.71 9.674)</t>
  </si>
  <si>
    <t>POINT (846718.4080694192 7842222.089595615)</t>
  </si>
  <si>
    <t>['RV94 S2D1 m556-636']</t>
  </si>
  <si>
    <t>LINESTRING Z (846817.55 7842231.65 10.384, 846825.97 7842234.27 10.594, 846835.34 7842237.21 10.944, 846840.09 7842238.26 11.024, 846849.88 7842239.93 11.384, 846858.67 7842241.52 11.724, 846860.73 7842241.88 11.784, 846870.19 7842243.87 12.084, 846874.91 7842244.87 12.224, 846880.69 7842245.23 12.404, 846884.78 7842245.49 12.524, 846894.55 7842245.97 12.824, 846896.43 7842246.05 12.864)</t>
  </si>
  <si>
    <t>POINT (846856.6692545706 7842240.665283606)</t>
  </si>
  <si>
    <t>['RV94 S1D1 m1171-1252']</t>
  </si>
  <si>
    <t>LINESTRING Z (852827.83 7842455.84 50.095, 852833.32 7842448.74 50.275, 852838.57 7842442.24 50.455, 852840.67 7842439.65 50.525, 852842.24 7842437.91 50.575, 852844.86 7842435.21 50.655, 852851.6 7842429.07 50.855, 852857.09 7842423.89 51.015, 852863.88 7842417.46 51.215, 852867.7 7842414.43 51.305, 852874.06 7842409.76 51.425, 852882.11 7842403.86 51.565, 852886.16 7842400.89 51.655)</t>
  </si>
  <si>
    <t>POINT (852855.4311221538 7842426.734855584)</t>
  </si>
  <si>
    <t>['RV94 S1D1 m1266-1332']</t>
  </si>
  <si>
    <t>LINESTRING Z (852822.39 7842470.33 49.885, 852817.22 7842477 49.765, 852812.1 7842483.6 49.675, 852810.84 7842485.21 49.665, 852806.41 7842489.66 49.625, 852799.7 7842495.94 49.565, 852792.6 7842502.55 49.505, 852790.45 7842504.55 49.484, 852783.3 7842509.73 49.384, 852780.62 7842511.6 49.334, 852773.75 7842515.98 49.204)</t>
  </si>
  <si>
    <t>POINT (852799.588036818 7842494.784719397)</t>
  </si>
  <si>
    <t>['FV35 S11D1 m5185-5241']</t>
  </si>
  <si>
    <t>LINESTRING Z (220289.989990234 6616498.49023438 37.6, 220295.270019531 6616490.38964844 37.59, 220301.960021973 6616482.87988281 37.39, 220302.599975586 6616482.29003906 37.38, 220310.950012207 6616472.78027344 37.13, 220317.440002441 6616465.29003906 36.98, 220323.710021973 6616458.86035156 36.81, 220326.619995117 6616456.70019531 36.75)</t>
  </si>
  <si>
    <t>POINT (220307.51672963228 6616476.902110113)</t>
  </si>
  <si>
    <t>2018-01-15</t>
  </si>
  <si>
    <t>[5150]</t>
  </si>
  <si>
    <t>['FV5150 S1D1 m1290-1347']</t>
  </si>
  <si>
    <t>LINESTRING Z (-30079.12 6708802.7 53.816, -30062.41 6708799.48 54.596, -30047.99 6708796.93 55.336, -30038.45 6708795.62 55.816, -30029.11 6708794.77 55.816, -30022.93 6708793.98 56.546)</t>
  </si>
  <si>
    <t>POINT (-30051.10198982689 6708797.82571209)</t>
  </si>
  <si>
    <t>['FV5150 S1D1 m1407-1475']</t>
  </si>
  <si>
    <t>LINESTRING Z (-30138.26 6708811.63 54.156, -30151.19 6708809.45 54.446, -30165 6708805.06 54.666, -30183.37 6708796.3 54.945, -30202.74 6708786.16 55.265)</t>
  </si>
  <si>
    <t>POINT (-30171.221792428358 6708800.937184696)</t>
  </si>
  <si>
    <t>[5152]</t>
  </si>
  <si>
    <t>['FV5152 S1D1 m14-79']</t>
  </si>
  <si>
    <t>LINESTRING Z (-30110.62 6708825.72 52.986, -30112.54 6708831.52 52.766, -30115.04 6708837.22 52.656, -30116.71 6708840.19 52.346, -30119.44 6708844.46 52.076, -30125.55 6708852.31 51.886, -30137.83 6708866.83 50.436, -30148.75 6708880.5 49.216)</t>
  </si>
  <si>
    <t>POINT (-30128.037866666516 6708854.083293456)</t>
  </si>
  <si>
    <t>['RV19 S4D100 m3053-3082']</t>
  </si>
  <si>
    <t>LINESTRING Z (242628.040039063 6591827.29003906 24.567, 242628 6591827.33996582 24.537, 242627.989990234 6591827.34997559 24.567, 242627.969970703 6591827.39001465 24.577, 242622.050048828 6591822.66003418 24.597, 242614.709960938 6591810.69995117 24.817, 242612.420043945 6591802.98999023 24.877)</t>
  </si>
  <si>
    <t>POINT (242618.8063622065 6591816.191109062)</t>
  </si>
  <si>
    <t>2018-02-02</t>
  </si>
  <si>
    <t>['FV316 S1D1 m3037-3060']</t>
  </si>
  <si>
    <t>LINESTRING Z (255929.94021285532 6600424.973098583 4.106, 255930.6602128546 6600426.283098582 4.166, 255935.0002128488 6600434.213098575 4.326, 255938.37021284405 6600440.30309857 4.496, 255940.3202128415 6600443.843098567 4.556, 255941.0502128403 6600445.153098565 4.556)</t>
  </si>
  <si>
    <t>POINT (255935.48517929006 6600435.068627175)</t>
  </si>
  <si>
    <t>['FV316 S1D1 m2248-2271']</t>
  </si>
  <si>
    <t>LINESTRING Z (255755.35021308713 6599686.463099577 12.496, 255754.9902130877 6599685.003099581 12.576, 255753.55021308947 6599679.123099584 12.736, 255752.14021309154 6599673.343099592 12.896, 255750.93021309306 6599668.473099598 13.026, 255750.200213094 6599665.523099602 13.116, 255749.87021309446 6599664.083099604 13.116)</t>
  </si>
  <si>
    <t>POINT (255752.60516387344 6599675.2742491495)</t>
  </si>
  <si>
    <t>['FV316 S1D1 m2214-2237']</t>
  </si>
  <si>
    <t>LINESTRING Z (255754.16021308856 6599651.933099633 13.246, 255753.840213089 6599650.463099635 13.336, 255752.50021309088 6599644.573099644 13.496, 255751.15021309254 6599638.743099649 13.646, 255749.7802130944 6599632.893099657 13.786, 255749.34021309504 6599630.9530996615 13.826, 255749.00021309537 6599629.483099664 13.796)</t>
  </si>
  <si>
    <t>POINT (255751.59573156812 6599640.7045707395)</t>
  </si>
  <si>
    <t>['FV316 S1D1 m2635-2659']</t>
  </si>
  <si>
    <t>LINESTRING Z (255847.90021296422 6600059.453099081 7.546, 255847.86021296412 6600057.953099083 7.616, 255847.75021296428 6600052.92309909 7.716, 255847.60021296443 6600044.943099106 7.876, 255847.45021296432 6600037.923099114 8.026, 255847.42021296476 6600036.413099119 8.016)</t>
  </si>
  <si>
    <t>POINT (255847.65551041233 6600047.933209979)</t>
  </si>
  <si>
    <t>['FV316 S1D1 m2609-2632']</t>
  </si>
  <si>
    <t>LINESTRING Z (255854.66021295488 6600033.013099138 8.006, 255854.61021295458 6600031.483099139 8.096, 255854.29021295518 6600022.483099151 8.306, 255853.91021295567 6600011.483099172 8.596, 255853.87021295592 6600009.973099173 8.576)</t>
  </si>
  <si>
    <t>POINT (255854.2587030379 6600021.493303509)</t>
  </si>
  <si>
    <t>2018-02-06</t>
  </si>
  <si>
    <t>['EV6 S190D1 m1467-1557']</t>
  </si>
  <si>
    <t>LINESTRING Z (723510.34 7756357.63 104.919, 723519.25 7756352.96 105.099, 723528.15 7756348.29 105.269, 723537.05 7756343.62 105.449, 723537.98 7756343.25 105.479, 723538.9 7756342.88 105.499, 723539.83 7756342.5 105.519, 723540.76 7756342.13 105.539, 723541.69 7756341.75 105.559, 723542.61 7756341.38 105.579, 723543.54 7756341 105.599, 723544.47 7756340.63 105.619, 723545.4 7756340.26 105.639, 723546.33 7756339.88 105.659, 723555.6 7756336.14 105.869, 723564.88 7756332.4 106.079, 723574.53 7756329.59 106.319, 723584.18 7756326.77 106.559, 723593.83 7756323.96 106.799)</t>
  </si>
  <si>
    <t>POINT (723551.3373803647 7756338.941280667)</t>
  </si>
  <si>
    <t>['EV6 S190D1 m6301-6391']</t>
  </si>
  <si>
    <t>LINESTRING Z (727997.74 7754676.42 5.69, 728000.01 7754674.44 5.7, 728002.29 7754672.46 5.7, 728003.8 7754671.14 5.71, 728005.7 7754669.49 5.72, 728007.6 7754667.84 5.73, 728009.87 7754665.86 5.75, 728011.39 7754664.54 5.77, 728012.91 7754663.23 5.78, 728015.18 7754661.25 5.81, 728017.08 7754659.6 5.83, 728018.98 7754657.95 5.86, 728020.49 7754656.63 5.88, 728023.24 7754653.72 5.94, 728025.98 7754650.8 6, 728026.67 7754650.08 6.02, 728027.35 7754649.35 6.04, 728028.04 7754648.62 6.05, 728028.72 7754647.89 6.07, 728029.41 7754647.16 6.08, 728030.09 7754646.44 6.1, 728030.78 7754645.71 6.12, 728031.47 7754644.98 6.14, 728032.15 7754644.25 6.16, 728032.84 7754643.52 6.18, 728033.52 7754642.79 6.2, 728034.21 7754642.07 6.22, 728034.89 7754641.34 6.24, 728035.58 7754640.61 6.26, 728036.27 7754639.88 6.28, 728036.95 7754639.15 6.31, 728037.64 7754638.43 6.33, 728038.32 7754637.7 6.35, 728039.01 7754636.97 6.37, 728039.7 7754636.24 6.4, 728040.38 7754635.51 6.42, 728041.07 7754634.79 6.44, 728041.68 7754633.99 6.47, 728042.29 7754633.19 6.5, 728042.9 7754632.4 6.53, 728043.52 7754631.6 6.56, 728044.13 7754630.8 6.59, 728044.74 7754630 6.61, 728044.81 7754629.93 6.62, 728044.87 7754629.85 6.62, 728044.93 7754629.77 6.62, 728044.99 7754629.69 6.63, 728045.05 7754629.61 6.63, 728045.11 7754629.53 6.63, 728045.17 7754629.45 6.64, 728045.23 7754629.37 6.64, 728045.3 7754629.29 6.64, 728045.36 7754629.21 6.64, 728045.42 7754629.13 6.65, 728045.48 7754629.05 6.65, 728045.54 7754628.97 6.65, 728045.6 7754628.89 6.66, 728045.66 7754628.81 6.66, 728045.72 7754628.73 6.66, 728045.79 7754628.65 6.66, 728045.85 7754628.57 6.67, 728045.91 7754628.49 6.67, 728045.97 7754628.41 6.67, 728046.03 7754628.33 6.68, 728046.09 7754628.25 6.68, 728046.15 7754628.17 6.68, 728046.22 7754628.09 6.69, 728046.28 7754628.01 6.69, 728046.34 7754627.93 6.69, 728046.4 7754627.85 6.69, 728046.46 7754627.77 6.7, 728046.52 7754627.69 6.7, 728046.58 7754627.61 6.7, 728046.64 7754627.54 6.71, 728046.71 7754627.46 6.71, 728046.77 7754627.38 6.71, 728046.83 7754627.3 6.72, 728046.89 7754627.22 6.72, 728046.95 7754627.14 6.72, 728047.01 7754627.06 6.73, 728047.07 7754626.98 6.73, 728047.13 7754626.9 6.73, 728047.2 7754626.82 6.73, 728047.81 7754626.02 6.76, 728048.42 7754625.23 6.8, 728049.03 7754624.43 6.83, 728049.65 7754623.63 6.86, 728050.26 7754622.83 6.89, 728050.87 7754622.04 6.92, 728051.49 7754621.24 6.96, 728052.1 7754620.44 6.99, 728052.71 7754619.65 7.02, 728053.33 7754618.85 7.06, 728053.94 7754618.05 7.09, 728054.55 7754617.26 7.13, 728055.16 7754616.46 7.16, 728055.78 7754615.66 7.2, 728056.39 7754614.87 7.23, 728057 7754614.07 7.27, 728057.44 7754613.51 7.29, 728057.62 7754613.27 7.3, 728057.88 7754612.93 7.32, 728058.23 7754612.48 7.34, 728058.84 7754611.68 7.37, 728059.45 7754610.88 7.41)</t>
  </si>
  <si>
    <t>POINT (728030.0514656662 7754645.019875551)</t>
  </si>
  <si>
    <t>['EV6 S190D1 m2873-2963']</t>
  </si>
  <si>
    <t>LINESTRING Z (724816.25 7755838.47 96.913, 724821.07 7755837.07 96.793, 724822.17 7755836.74 96.763, 724830.72 7755834.26 96.553, 724834.58 7755833.14 96.453, 724840.37 7755831.46 96.313, 724845.2 7755830.06 96.193, 724849.84 7755828.21 96.053, 724859.12 7755824.5 95.783, 724860.98 7755823.76 95.733, 724868.4 7755820.8 95.513, 724873.05 7755818.96 95.383, 724877.51 7755816.65 95.233, 724886.44 7755812.04 94.933, 724895.37 7755807.44 94.633, 724899.84 7755805.14 94.483)</t>
  </si>
  <si>
    <t>POINT (724858.7613276511 7755823.60140194)</t>
  </si>
  <si>
    <t>['EV6 S190D1 m3848-3956']</t>
  </si>
  <si>
    <t>LINESTRING Z (725736.51 7755517.87 70.595, 725737.48 7755517.69 70.575, 725738.47 7755517.52 70.545, 725739.46 7755517.34 70.525, 725740.45 7755517.16 70.495, 725741.44 7755516.98 70.475, 725742.43 7755516.8 70.445, 725743.42 7755516.62 70.415, 725744.41 7755516.45 70.395, 725745.4 7755516.27 70.365, 725746.39 7755516.09 70.345, 725747.38 7755515.91 70.315, 725748.37 7755515.73 70.285, 725749.36 7755515.56 70.265, 725750.34 7755515.38 70.235, 725751.33 7755515.2 70.215, 725752.32 7755515.02 70.185, 725753.31 7755514.84 70.155, 725754.3 7755514.66 70.135, 725755.29 7755514.49 70.105, 725756.28 7755514.31 70.085, 725757.27 7755514.13 70.055, 725758.26 7755513.95 70.025, 725759.25 7755513.77 70.005, 725760.24 7755513.6 69.975, 725761.23 7755513.42 69.955, 725762.22 7755513.24 69.925, 725763.21 7755513.06 69.895, 725764.2 7755512.88 69.875, 725765.19 7755512.7 69.845, 725766.17 7755512.53 69.825, 725767.16 7755512.35 69.795, 725768.15 7755512.17 69.765, 725769.14 7755511.99 69.745, 725770.13 7755511.81 69.715, 725771.12 7755511.64 69.695, 725772.11 7755511.46 69.665, 725773.1 7755511.28 69.645, 725774.09 7755511.1 69.615, 725775.08 7755510.92 69.585, 725776.07 7755510.75 69.565, 725777.05 7755510.57 69.535, 725778.04 7755510.39 69.515, 725779.03 7755510.21 69.485, 725780.02 7755510.03 69.455, 725781.01 7755509.85 69.435, 725782 7755509.68 69.405, 725782.99 7755509.5 69.385, 725783.98 7755509.32 69.355, 725784.97 7755509.14 69.325, 725785.95 7755508.97 69.305, 725786.94 7755508.79 69.275, 725787.93 7755508.61 69.255, 725788.92 7755508.43 69.225, 725789.91 7755508.25 69.195, 725790.9 7755508.08 69.175, 725791.89 7755507.9 69.145, 725792.88 7755507.72 69.125, 725793.51 7755507.61 69.105, 725793.87 7755507.55 69.095, 725794.88 7755507.47 69.075, 725795.93 7755507.5 69.045, 725797.02 7755507.67 69.025, 725798.15 7755507.99 69.005, 725799.35 7755508.52 68.985, 725800.62 7755509.35 68.965, 725801.3 7755509.92 68.965, 725801.79 7755509.78 68.955, 725802.75 7755509.51 68.925, 725803.71 7755509.23 68.895, 725804.67 7755508.95 68.865, 725805.63 7755508.68 68.845, 725806.59 7755508.4 68.815, 725807.55 7755508.12 68.785, 725808.51 7755507.85 68.765, 725809.47 7755507.57 68.735, 725810.43 7755507.29 68.705, 725810.72 7755507.21 68.695, 725810.69 7755504.59 68.655, 725811.17 7755502.65 68.615, 725811.82 7755501.27 68.575, 725812.55 7755500.19 68.535, 725813.34 7755499.32 68.505, 725814.17 7755498.6 68.475, 725815.05 7755498.02 68.445, 725815.95 7755497.55 68.415, 725816.18 7755497.45 68.405, 725816.88 7755497.16 68.385, 725817.81 7755496.78 68.355, 725818.74 7755496.4 68.325, 725819.67 7755496.02 68.295, 725820.6 7755495.63 68.275, 725821.53 7755495.25 68.245, 725822.46 7755494.87 68.215, 725823.39 7755494.48 68.185, 725824.32 7755494.1 68.155, 725825.25 7755493.72 68.135, 725826.18 7755493.33 68.105, 725827.12 7755492.95 68.075, 725828.05 7755492.57 68.045, 725828.98 7755492.19 68.015, 725829.91 7755491.8 67.995, 725830.84 7755491.42 67.965, 725831.77 7755491.04 67.935, 725832.7 7755490.65 67.905, 725833.63 7755490.27 67.875, 725834.56 7755489.89 67.845, 725835.49 7755489.5 67.825, 725836.42 7755489.12 67.795, 725837.35 7755488.74 67.765, 725840.24 7755487.92 67.685)</t>
  </si>
  <si>
    <t>POINT (725790.2705201239 7755506.292168081)</t>
  </si>
  <si>
    <t>['EV6 S190D1 m3373-3463']</t>
  </si>
  <si>
    <t>LINESTRING Z (725281.97 7755656.24 83.204, 725286.53 7755654.13 83.054, 725295.67 7755649.91 82.754, 725302.97 7755646.54 82.514, 725304.8 7755645.7 82.454, 725309.37 7755643.6 82.304, 725314.1 7755641.98 82.174, 725323.57 7755638.73 81.904, 725327.83 7755637.28 81.784, 725329.25 7755636.79 81.744, 725333.04 7755635.5 81.634, 725337.78 7755633.89 81.494, 725342.68 7755632.75 81.374, 725352.48 7755630.48 81.134, 725356.4 7755629.58 81.044, 725362.28 7755628.23 80.894, 725367.18 7755627.1 80.774)</t>
  </si>
  <si>
    <t>POINT (725323.9061316332 7755639.71462716)</t>
  </si>
  <si>
    <t>['EV6 S190D1 m4374-4389']</t>
  </si>
  <si>
    <t>LINESTRING Z (726241.33 7755373.44 56.226, 726246.04 7755371.69 56.076, 726255.46 7755368.18 55.776)</t>
  </si>
  <si>
    <t>POINT (726248.3955446895 7755370.811463902)</t>
  </si>
  <si>
    <t>['EV6 S190D1 m5373-5463']</t>
  </si>
  <si>
    <t>LINESTRING Z (727208.68 7755119.13 29.239, 727213.39 7755117.37 29.089, 727222.81 7755113.86 28.789, 727232.23 7755110.35 28.489, 727236.94 7755108.59 28.339, 727241.78 7755107.32 28.209, 727251.45 7755104.78 27.939, 727261.13 7755102.24 27.669, 727265.96 7755100.97 27.529, 727270.93 7755100.18 27.409, 727280.85 7755098.6 27.169, 727290.78 7755097.02 26.929, 727295.75 7755096.24 26.809)</t>
  </si>
  <si>
    <t>POINT (727251.7057964302 7755105.748656842)</t>
  </si>
  <si>
    <t>['EV6 S190D1 m4873-4963']</t>
  </si>
  <si>
    <t>LINESTRING Z (726726.79 7755253.06 42.937, 726731.75 7755252.27 42.817, 726741.68 7755250.69 42.577, 726751.61 7755249.12 42.347, 726756.57 7755248.33 42.227, 726761.41 7755247.06 42.087, 726771.08 7755244.51 41.817, 726780.75 7755241.97 41.547, 726785.59 7755240.7 41.417, 726790.3 7755238.94 41.268, 726799.72 7755235.43 40.968, 726809.14 7755231.92 40.668, 726813.85 7755230.17 40.508)</t>
  </si>
  <si>
    <t>POINT (726770.8271003003 7755243.544049765)</t>
  </si>
  <si>
    <t>['EV6 S190D1 m5873-5964']</t>
  </si>
  <si>
    <t>LINESTRING Z (727682.11 7754963.07 16.1, 727686.65 7754960.88 16, 727688.47 7754960 15.96, 727692.1 7754958.22 15.88, 727695.72 7754956.42 15.8, 727699.34 7754954.61 15.72, 727702.94 7754952.78 15.64, 727704.74 7754951.86 15.6, 727709.24 7754949.54 15.5, 727710.09 7754948.99 15.47, 727713.45 7754946.78 15.36, 727716.81 7754944.55 15.26, 727719.32 7754942.87 15.18, 727721.83 7754941.18 15.09, 727723.49 7754940.05 15.04, 727726.82 7754937.77 14.93, 727730.14 7754935.48 14.83, 727734.27 7754932.6 14.69, 727736.57 7754930.62 14.59, 727738.1 7754929.29 14.52, 727740.38 7754927.3 14.42, 727742.66 7754925.29 14.32, 727745.69 7754922.61 14.18, 727748.7 7754919.92 14.04, 727750.95 7754917.89 13.94, 727753.2 7754915.85 13.84, 727754.69 7754914.49 13.77, 727756.92 7754912.44 13.67)</t>
  </si>
  <si>
    <t>POINT (727721.056447002 7754940.03222615)</t>
  </si>
  <si>
    <t>['EV6 S190D1 m4389-4464']</t>
  </si>
  <si>
    <t>LINESTRING Z (726255.46 7755368.18 55.776, 726264.88 7755364.67 55.476, 726269.59 7755362.91 55.326, 726274.42 7755361.64 55.186, 726284.1 7755359.1 54.916, 726288.45 7755357.95 54.796, 726293.77 7755356.55 54.646, 726298.61 7755355.28 54.516, 726303.57 7755354.49 54.396, 726313.5 7755352.92 54.156, 726323.43 7755351.34 53.916, 726328.39 7755350.55 53.796)</t>
  </si>
  <si>
    <t>POINT (726291.5582191139 7755357.912250813)</t>
  </si>
  <si>
    <t>['EV6 S190D1 m2372-2462']</t>
  </si>
  <si>
    <t>LINESTRING Z (724349.83 7756019.04 110.191, 724351.37 7756018.24 110.141, 724354.28 7756016.71 110.041, 724363.18 7756012.04 109.741, 724372.08 7756007.37 109.441, 724376.53 7756005.04 109.291, 724381.17 7756003.17 109.151, 724390.45 7755999.43 108.881, 724399.72 7755995.68 108.612, 724404.36 7755993.81 108.482, 724409.18 7755992.41 108.362, 724418.84 7755989.59 108.122, 724428.49 7755986.78 107.882, 724433.31 7755985.37 107.762)</t>
  </si>
  <si>
    <t>POINT (724390.8234704715 7756000.353923424)</t>
  </si>
  <si>
    <t>['EV6 S190D1 m1872-1962']</t>
  </si>
  <si>
    <t>LINESTRING Z (723888.64 7756212.6 113.4, 723893.47 7756211.2 113.49, 723898.29 7756209.79 113.57, 723903.12 7756208.38 113.66, 723907.94 7756206.97 113.74, 723912.77 7756205.57 113.82, 723917.59 7756204.16 113.9, 723922.23 7756202.29 113.95, 723926.87 7756200.42 114.01, 723931.51 7756198.55 114.07, 723936.14 7756196.68 114.13, 723940.78 7756194.81 114.18, 723945.42 7756192.94 114.23, 723949.87 7756190.6 114.26, 723954.32 7756188.27 114.29, 723958.77 7756185.93 114.32, 723963.22 7756183.6 114.35, 723967.68 7756181.27 114.37, 723972.13 7756178.93 114.4)</t>
  </si>
  <si>
    <t>POINT (723931.1328792932 7756197.619621582)</t>
  </si>
  <si>
    <t>['RV19 S4D100 m263-285']</t>
  </si>
  <si>
    <t>LINESTRING Z (243766.203491211 6594352.37646484 -999999, 243761.039855957 6594347.0255127 -999999, 243758.524902344 6594340.39038086 -999999, 243758.15032959 6594331.90905762 -999999)</t>
  </si>
  <si>
    <t>POINT (243760.489718201 6594342.856511266)</t>
  </si>
  <si>
    <t>['RV36 S9D1 m6304-6359']</t>
  </si>
  <si>
    <t>LINESTRING Z (164019.43 6600792.77 54.061, 164022.36 6600792.83 54.021, 164029.93 6600793.54 53.921, 164036.55 6600794.15 53.861, 164039.66 6600794.12 53.831, 164051.31 6600793.18 53.761, 164056.98 6600792.57 53.761, 164059.52 6600792.04 53.751, 164074.91 6600787.58 53.751, 164074.8 6600787.63 53.711)</t>
  </si>
  <si>
    <t>2023-12-20</t>
  </si>
  <si>
    <t>['RV36 S9D1 m6264-6315']</t>
  </si>
  <si>
    <t>LINESTRING Z (164110.54442263348 6600767.090803207 52.701, 164108.8301284486 6600767.322251484 52.711, 164095.56638272927 6600768.14841895 52.721, 164091.91797098517 6600768.642156034 52.741, 164075.76696282317 6600771.775015878 53.051, 164073.31777467858 6600772.340803835 53.111)</t>
  </si>
  <si>
    <t>['FV128 S9D1 m1341-1394']</t>
  </si>
  <si>
    <t>LINESTRING Z (274300.59614592826 6616141.035687697 94.323, 274302.12338947563 6616140.706424168 94.313, 274306.03115706437 6616139.930391939 94.303, 274310.80400663614 6616138.945374006 94.303, 274315.1574390142 6616138.098819631 94.293, 274319.49819866696 6616137.223276631 94.293, 274322.97387615254 6616136.556719394 94.303, 274324.92869445845 6616136.068161889 94.303, 274328.57839962654 6616134.9940531785 94.333, 274333.23909678 6616133.436549138 94.363, 274335.36429922504 6616132.611090131 94.393, 274337.9859845955 6616131.389042203 94.433, 274339.99619902065 6616130.403226677 94.473, 274341.8551497221 6616129.411027014 94.513, 274344.1363218151 6616127.9787394805 94.573, 274345.86400035466 6616126.757339199 94.633, 274348.636174057 6616125.0896904105 94.743, 274349.6390718474 6616124.406115068 94.763, 274350.3384116315 6616124.141828913 94.793)</t>
  </si>
  <si>
    <t>POINT (274326.1774421862 6616134.450487388)</t>
  </si>
  <si>
    <t>['FV120 S5D1 m511-526']</t>
  </si>
  <si>
    <t>LINESTRING Z (271901.059420337 6616815.36495849 59.141, 271900.300903939 6616816.63920401 59.191, 271899.826955827 6616817.39541263 59.241, 271900.228502773 6616819.60930218 59.261, 271900.653495686 6616822.19276483 59.311, 271900.980873523 6616824.03163204 59.331, 271901.11383002 6616824.72279529 59.341, 271901.447497349 6616826.7419185 59.381, 271901.678100366 6616828.06716954 59.411, 271901.800189855 6616828.7492717 59.441, 271902.87608862 6616829.42530386 59.401, 271904.194705304 6616830.23002849 59.381)</t>
  </si>
  <si>
    <t>POLYGON Z ((271901.059420337 6616815.36495849 59.141, 271900.300903939 6616816.63920401 59.191, 271899.826955827 6616817.39541263 59.241, 271900.228502773 6616819.60930218 59.261, 271900.653495686 6616822.19276483 59.311, 271900.980873523 6616824.03163204 59.331, 271901.11383002 6616824.72279529 59.341, 271901.447497349 6616826.7419185 59.381, 271901.678100366 6616828.06716954 59.411, 271901.800189855 6616828.7492717 59.441, 271902.87608862 6616829.42530386 59.401, 271904.194705304 6616830.23002849 59.381, 271901.059420337 6616815.36495849 59.141))</t>
  </si>
  <si>
    <t>['FV128 S9D10 m154-214']</t>
  </si>
  <si>
    <t>LINESTRING Z (274737.0983929172 6615871.073930409 97.653, 274737.0927827267 6615871.677177364 97.613, 274737.18300639535 6615872.894570143 97.513, 274737.30476657365 6615874.6817068765 97.363, 274737.5162012299 6615876.460717685 97.223, 274737.9439386135 6615878.853003563 97.023, 274738.11651733075 6615880.314074747 96.913, 274738.3813827308 6615882.1284264475 96.803, 274738.64989182085 6615883.872128464 96.673, 274738.71022412856 6615885.092229864 96.593, 274738.8148618875 6615886.579548845 96.493, 274739.03616413695 6615888.689171698 96.343, 274739.3117356999 6615891.065109249 96.173, 274739.4191785746 6615892.25080475 96.093, 274739.64909204503 6615895.896630683 95.833, 274739.69894660474 6615898.885714733 95.673, 274739.8559516919 6615900.950935703 95.563, 274740.2357725519 6615903.036148573 95.473, 274740.3350574806 6615904.242674595 95.403, 274740.4912240177 6615906.0769217545 95.303, 274740.5749351408 6615907.887597606 95.243, 274740.5255692361 6615909.449145646 95.193, 274739.89141065266 6615919.190610776 94.983, 274740.5255692361 6615909.449145646 95.193, 274739.89141065266 6615919.190610776 94.983, 274739.8786097423 6615919.603642121 94.983, 274739.8406925248 6615922.2892648205 94.953, 274739.7868123855 6615923.800993746 94.933, 274739.5526804851 6615925.31901076 94.923, 274739.25425121683 6615926.792625948 94.913, 274739.0606207516 6615929.20103517 94.943)</t>
  </si>
  <si>
    <t>['FV420 S7D1 m2658-2723']</t>
  </si>
  <si>
    <t>LINESTRING Z (125648.03 6485502.76 21.363, 125648.11 6485503.9 21.383, 125648.57 6485508.69 21.373, 125649.63 6485519.74 21.403, 125650.6 6485529.31 21.423, 125650.72 6485530.39 21.423, 125650.74 6485532.6 21.443, 125650.81 6485541.6 21.463, 125650.88 6485550.51 21.513, 125650.94 6485551.46 21.513, 125650.88 6485552.62 21.523, 125650.75 6485553.74 21.543, 125650.59 6485554.82 21.553, 125649.67 6485560.02 21.623, 125648.55 6485566.37 21.663, 125648.43 6485567.49 21.713)</t>
  </si>
  <si>
    <t>POINT (125649.9166654295 6485535.168595173)</t>
  </si>
  <si>
    <t>['FV420 S7D1 m3126-3186']</t>
  </si>
  <si>
    <t>LINESTRING Z (125598.06 6485100.71 23.133, 125597.67 6485099.37 23.143, 125597.12 6485097.35 23.153, 125594.68 6485088.22 23.283, 125594.11 6485086.14 23.303, 125593.75 6485085.09 23.303, 125593.31 6485083.94 23.333, 125592.38 6485082.12 23.343, 125588.76 6485074.64 23.243, 125585.51 6485068.34 23.233, 125585 6485067.42 23.223, 125584.43 6485066.36 23.213, 125580.68 6485060.86 23.193, 125575.11 6485052.37 23.363, 125571.3 6485046.63 23.463)</t>
  </si>
  <si>
    <t>POINT (125586.56634994903 6485072.79535439)</t>
  </si>
  <si>
    <t>['FV420 S7D1 m2777-2845']</t>
  </si>
  <si>
    <t>LINESTRING Z (125631.99 6485381.2 21.703, 125631.99 6485382.39 21.693, 125631.91 6485383.86 21.683, 125631.83 6485384.59 21.643, 125630.31 6485396.12 21.483, 125630.23 6485397.08 21.443, 125630.21 6485398.13 21.433, 125630.23 6485399.19 21.413, 125630.83 6485409.72 21.323, 125631.27 6485417.15 21.243, 125631.34 6485418.27 21.243, 125631.46 6485419.23 21.243, 125631.6 6485420.14 21.233, 125633.26 6485431.61 21.213, 125634.81 6485442.36 21.233, 125635.22 6485445.37 21.223, 125635.44 6485447.48 21.233, 125635.53 6485448.56 21.213)</t>
  </si>
  <si>
    <t>POINT (125632.09290276216 6485414.9129625065)</t>
  </si>
  <si>
    <t>['FV420 S7D1 m2337-2399']</t>
  </si>
  <si>
    <t>LINESTRING Z (125659.27 6485827.53 26.083, 125659.26 6485829.66 26.013, 125659.02 6485836.4 26.293, 125658.89 6485840.05 26.483, 125658.86 6485841.09 26.533, 125658.88 6485842.18 26.593, 125658.96 6485843.33 26.653, 125659.08 6485844.49 26.703, 125660.34 6485852.19 26.973, 125661.77 6485861.01 27.293, 125661.98 6485862.19 27.313, 125662.15 6485863.08 27.353, 125662.42 6485864.08 27.333, 125666.15 6485874.03 27.673, 125669.58 6485883.21 27.893, 125671.7 6485888.77 27.983)</t>
  </si>
  <si>
    <t>POINT (125662.90362803284 6485858.621042773)</t>
  </si>
  <si>
    <t>2018-03-20</t>
  </si>
  <si>
    <t>['FV1574 S1D1 m8847-8892']</t>
  </si>
  <si>
    <t>LINESTRING Z (297105.89 6680238.56 183.633, 297106.31 6680237.5 183.663, 297106.67 6680236.45 183.683, 297106.82 6680235.84 183.703, 297107.04 6680235.04 183.713, 297107.29 6680234.02 183.753, 297107.53 6680233.11 183.783, 297107.77 6680232.06 183.813, 297108.05 6680230.88 183.863, 297108.26 6680229.87 183.903, 297108.5 6680228.96 183.933, 297108.81 6680227.59 183.993, 297109.1 6680226.46 184.043, 297109.4 6680225.42 184.063, 297109.92 6680224.02 184.103, 297110.42 6680222.7 184.143, 297110.62 6680222.17 184.163, 297111 6680221.48 184.173, 297111.37 6680220.5 184.193, 297112.07 6680218.66 184.233, 297112.7 6680216.96 184.263, 297113 6680216.18 184.273, 297113.54 6680214.69 184.293, 297114.07 6680213.27 184.323, 297114.57 6680211.9 184.323, 297114.78 6680211.05 184.333, 297115.12 6680210.14 184.293, 297115.63 6680208.86 184.243, 297116.53 6680206.65 184.173, 297117.7 6680204.15 184.143, 297119.12 6680200.8 184.013, 297119.83 6680199.58 184.013, 297120.71 6680198.7 184.113, 297121.14 6680198.13 184.133, 297121.76 6680197.17 184.153, 297122.08 6680196.53 184.163)</t>
  </si>
  <si>
    <t>POINT (297112.980143914 6680217.103234406)</t>
  </si>
  <si>
    <t>['FV179 S2D1 m4068-4115']</t>
  </si>
  <si>
    <t>LINESTRING Z (296692.55 6680227.17 187.743, 296690.81 6680229.12 187.723, 296689.76 6680230.3 187.713, 296688.69 6680231.53 187.693, 296687.24 6680233.16 187.663, 296685.74 6680234.86 187.643, 296683.86 6680236.99 187.613, 296682.78 6680238.24 187.603, 296682.01 6680239.03 187.583, 296681.23 6680239.65 187.573, 296680.22 6680240.56 187.553, 296679.04 6680241.66 187.523, 296676.54 6680243.99 187.473, 296674.61 6680245.81 187.453, 296672.69 6680247.61 187.403, 296670.95 6680249.23 187.373, 296670.14 6680249.99 187.343, 296669.5 6680250.66 187.303, 296668.67 6680251.4 187.243, 296667.55 6680252.35 187.163, 296665.32 6680254.26 187.113, 296663.78 6680255.72 187.063, 296662.22 6680256.6 187.043, 296661.33 6680257.06 187.043, 296659.92 6680257.76 187.053, 296657.91 6680258.8 187.042)</t>
  </si>
  <si>
    <t>POINT (296676.04308383196 6680243.973884517)</t>
  </si>
  <si>
    <t>['FV179 S2D1 m4306-4362']</t>
  </si>
  <si>
    <t>LINESTRING Z (296869.38 6680195.67 183.803, 296870.34 6680195.82 183.783, 296870.67 6680195.86 183.783, 296872.21 6680196.02 183.753, 296873.48 6680196.16 183.723, 296874.64 6680196.28 183.693, 296876.52 6680196.48 183.653, 296877.68 6680196.62 183.633, 296879.56 6680196.84 183.593, 296881.31 6680197.04 183.553, 296883.17 6680197.26 183.513, 296885.34 6680197.52 183.483, 296887.74 6680197.87 183.443, 296889.62 6680198.21 183.413, 296890.7 6680198.45 183.393, 296891.51 6680198.8 183.373, 296892.96 6680199.17 183.343, 296894.88 6680199.61 183.303, 296896.23 6680199.93 183.273, 296898.07 6680200.38 183.233, 296899.17 6680200.65 183.253, 296901.78 6680201.28 183.173, 296906.24 6680202.39 183.113, 296907.29 6680202.48 183.113, 296908.36 6680202.8 183.113, 296909.43 6680203.14 183.083, 296910.51 6680203.49 183.093, 296911.45 6680203.84 183.073, 296913.27 6680204.52 183.023, 296914.58 6680205.03 182.953, 296916.6 6680205.35 182.833, 296919.36 6680205.75 182.803, 296921.87 6680206.23 182.823, 296921.76 6680206.98 182.793, 296921.8 6680207.15 182.793, 296922.15 6680207.3 182.773, 296922.98 6680207.81 182.763, 296923.52 6680208.21 182.793)</t>
  </si>
  <si>
    <t>POINT (296897.15943515504 6680200.635441469)</t>
  </si>
  <si>
    <t>['FV179 S2D1 m4594-4647']</t>
  </si>
  <si>
    <t>LINESTRING Z (297200.85 6680271.86 181.733, 297200.17 6680271.41 181.743, 297199.8 6680271.02 181.743, 297199.9 6680270.71 181.693, 297196.92 6680269.96 181.903, 297192.42 6680268.79 182.053, 297190.64 6680268.54 182.213, 297188.62 6680268.27 182.363, 297187.5 6680268.11 182.433, 297185.97 6680267.87 182.523, 297185.07 6680267.74 182.573, 297184.23 6680267.74 182.613, 297183.16 6680267.57 182.663, 297182.1 6680267.39 182.703, 297181.04 6680267.22 182.743, 297179.9 6680267.04 182.783, 297177.24 6680266.62 182.863, 297175.57 6680266.35 182.923, 297174.27 6680266.15 182.953, 297173.66 6680265.93 182.983, 297173.37 6680265.84 182.993, 297172.03 6680265.64 183.023, 297170.39 6680265.36 183.063, 297169.34 6680265.19 183.083, 297168.75 6680265.09 183.103, 297167.45 6680264.91 183.133, 297166.14 6680264.71 183.163, 297165.04 6680264.58 183.183, 297163.93 6680264.5 183.193, 297162.85 6680264.44 183.203, 297161.76 6680264.39 183.213, 297160.67 6680264.33 183.233, 297159.58 6680264.27 183.253, 297158.51 6680264.22 183.263, 297157.45 6680264.17 183.293, 297156.38 6680264.11 183.313, 297155.32 6680264.04 183.333, 297154.19 6680263.98 183.343, 297153 6680263.91 183.343, 297151.88 6680263.84 183.353, 297150.74 6680263.78 183.363, 297149.56 6680263.68 183.363, 297148.47 6680263.58 183.363)</t>
  </si>
  <si>
    <t>POINT (297175.10971720726 6680266.513625039)</t>
  </si>
  <si>
    <t>['FV410 S5D1 m8673-8738']</t>
  </si>
  <si>
    <t>LINESTRING Z (136980.06 6497108.3 3.123, 136980.29 6497107.59 3.123, 136980.77 6497106.11 3.123, 136983.06 6497098.4 2.983, 136984.97 6497092.14 2.913, 136985.59 6497090.33 2.843, 136985.69 6497090.03 2.823, 136986.69 6497087.95 2.843, 136987.66 6497086.13 2.833, 136993.33 6497075.77 2.673, 136995.42 6497072.1 2.593, 136997.34 6497068.97 2.533, 136998.62 6497067.39 2.483, 136999.24 6497066.7 2.443, 136999.89 6497066.13 2.433, 137002.52 6497063.83 2.403, 137006 6497060.67 2.343, 137014.31 6497053.19 2.293, 137015.03 6497052.52 2.313)</t>
  </si>
  <si>
    <t>POINT (136994.23015171877 6497078.279186976)</t>
  </si>
  <si>
    <t>['FV410 S5D1 m8687-8770']</t>
  </si>
  <si>
    <t>LINESTRING Z (136973.47 6497139.49 4.033, 136974.84 6497137.2 3.923, 136976.54 6497135.2 3.833, 136980.88 6497131.05 3.573, 136984.96 6497126.77 3.313, 136987.63 6497121.48 3.143, 136990.22 6497114.67 3.013, 136992.96 6497107.23 2.893, 136995.01 6497101.62 2.783, 136995.59 6497100.83 2.773, 136998.15 6497098.56 2.643, 136999.52 6497096.78 2.643, 136999.95 6497095.87 2.613, 137002.59 6497090.46 2.553, 137005.77 6497083.65 2.533, 137007.88 6497079.3 2.553, 137010.33 6497075.22 2.593, 137014.13 6497070.92 2.653)</t>
  </si>
  <si>
    <t>POINT (136994.32562477095 6497105.634922906)</t>
  </si>
  <si>
    <t>2023-08-25</t>
  </si>
  <si>
    <t>['EV18 S31D1 m83-165']</t>
  </si>
  <si>
    <t>LINESTRING Z (212907.25055382669 6558011.049440166 78.531, 212906.8191149173 6558011.283080197 78.531, 212906.38278763503 6558011.528265707 78.541, 212902.91256063053 6558013.4546849625 78.581, 212902.05135529576 6558013.944196191 78.591, 212899.5706487036 6558015.326748414 78.631, 212899.53881116858 6558015.3626758745 78.631, 212898.59341638273 6558015.8808737695 78.641, 212898.22899640957 6558016.087120073 78.641, 212895.14036916982 6558017.806009133 78.691, 212893.12377774855 6558018.930111826 78.711, 212892.48890584608 6558019.290828619 78.721, 212891.7592314356 6558019.6922074035 78.731, 212889.96408445225 6558020.699060523 78.761, 212889.60944207263 6558020.882216769 78.761, 212889.59882960736 6558020.894192622 78.761, 212884.94139594003 6558023.491147348 78.821, 212881.35027387802 6558025.4937459985 78.871, 212881.02914113156 6558025.663205545 78.881, 212877.75999116368 6558027.50746317 78.931, 212874.47200031456 6558029.330784847 78.971, 212872.75854433415 6558030.275614711 79.001, 212872.46030869824 6558030.443353298 79.001, 212870.59326553898 6558031.4891564585 79.031, 212869.81375030347 6558031.916643508 79.041, 212867.90869135578 6558033.222398393 79.081, 212867.891519088 6558033.223689691 79.091, 212867.71908721433 6558033.303723386 79.091, 212867.70847485156 6558033.315699297 79.091, 212866.66256221832 6558033.874998259 79.101, 212866.41333643894 6558034.005518286 79.101, 212865.11331020168 6558034.706883207 79.121, 212864.2324342656 6558035.164349384 79.131, 212860.77189741936 6558036.989481298 79.181, 212860.7612850879 6558037.001457231 79.181, 212858.29076376674 6558038.595653347 79.231, 212855.82108028955 6558040.200966155 79.291, 212855.7500106679 6558040.251022202 79.291, 212854.17323265894 6558041.252650541 79.321, 212853.76147985266 6558041.518350513 79.331, 212853.43224481924 6558041.733133531 79.341, 212853.3823998447 6558041.759237715 79.341, 212853.3611752552 6558041.783189619 79.341, 212853.3497271015 6558041.784050528 79.341, 212852.93225032924 6558042.05018105 79.351, 212852.54255813226 6558042.303044295 79.361, 212852.51966182736 6558042.304766119 79.361, 212852.4534804995 6558042.343276723 79.361, 212852.1087451047 6558042.581581316 79.371, 212852.0801247256 6558042.5837336 79.371, 212851.69043263537 6558042.836596931 79.371, 212851.6634839878 6558042.860979307 79.381, 212851.65203583706 6558042.861840222 79.381, 212851.62997539988 6558042.874677095 79.381, 212851.61852724903 6558042.87553801 79.381, 212850.87181594892 6558043.356451972 79.391, 212850.86036779947 6558043.357312889 79.391, 212847.54011063307 6558045.440178581 79.461, 212846.71004688612 6558045.9608954685 79.481, 212843.78926148236 6558047.7678096555 79.541, 212840.873366901 6558049.563180632 79.601, 212839.29279860464 6558050.74394742 79.651, 212839.28135047655 6558050.744808372 79.651, 212836.4093814955 6558052.894572799 79.741, 212835.47332606837 6558053.613288021 79.761, 212834.79125525453 6558054.111700012 79.781, 212834.53965137812 6558054.28711283 79.791, 212834.41957350704 6558054.374388758 79.801, 212832.44121515146 6558055.853344821 79.861, 212831.3596794408 6558056.627713913 79.891, 212831.3605153683 6558056.638828956 79.891, 212828.95896185853 6558058.384350386 79.961, 212828.51132385753 6558058.708641822 79.971, 212828.500711689 6558058.720617848 79.971, 212828.15109107725 6558058.970470217 79.981, 212825.81893742434 6558060.643707039 80.051, 212823.49250982248 6558062.31651484 80.121, 212823.33403602196 6558062.429034716 80.121, 212821.71006615786 6558063.5683624055 80.171, 212817.5709089056 6558066.472944822 80.281, 212816.8103780161 6558066.999617361 80.301, 212815.2239722925 6558068.102589217 80.351, 212812.77162487834 6558069.784875075 80.411)</t>
  </si>
  <si>
    <t>2018-04-20</t>
  </si>
  <si>
    <t>['FV2532 S4D20 m1234-1284']</t>
  </si>
  <si>
    <t>LINESTRING Z (243850.952 6822824.704 186.769, 243863.585 6822831.785 186.964, 243879.438 6822844.457 187.478, 243890.211 6822856.349 187.478)</t>
  </si>
  <si>
    <t>POINT (243871.6561599257 6822839.1843856275)</t>
  </si>
  <si>
    <t>['FV2532 S4D20 m1234-1283']</t>
  </si>
  <si>
    <t>LINESTRING Z (243846.092 6822830.794 187.198, 243856.131 6822841.734 187.149, 243873.256 6822855.123 187.708, 243884.545 6822861.407 187.938)</t>
  </si>
  <si>
    <t>POINT (243864.3276868624 6822847.347210578)</t>
  </si>
  <si>
    <t>2018-05-18</t>
  </si>
  <si>
    <t>[2618]</t>
  </si>
  <si>
    <t>['FV2618 S1D1 m5233-5261']</t>
  </si>
  <si>
    <t>LINESTRING Z (208394.00423427 6874239.92522867 -999999, 208402.520174582 6874241.22113264 -999999, 208409.555081796 6874241.40626177 -999999, 208415.726053036 6874240.66574522 -999999, 208422.514121401 6874239.5549704 -999999)</t>
  </si>
  <si>
    <t>POINT (208408.26575378343 6874240.743797557)</t>
  </si>
  <si>
    <t>['FV2618 S1D1 m5222-5260']</t>
  </si>
  <si>
    <t>LINESTRING Z (208383.390163737 6874235.35870996 -999999, 208393.695685708 6874233.38399916 -999999, 208403.445820268 6874232.70519232 -999999, 208412.640567416 6874233.38399916 -999999, 208421.156507728 6874233.93938657 -999999)</t>
  </si>
  <si>
    <t>POINT (208402.21408589242 6874233.549270761)</t>
  </si>
  <si>
    <t>2018-05-23</t>
  </si>
  <si>
    <t>['EV6 S201D1 m3029-3119']</t>
  </si>
  <si>
    <t>LINESTRING Z (801967.92 7798097.42 31.29, 801972.94 7798098.58 31.16, 801982.74 7798100.87 30.97, 801992.51 7798103.18 30.8, 801997.43 7798104.33 30.74, 802002.36 7798105 30.69, 802012.28 7798106.32 30.59, 802022.21 7798107.66 30.4, 802026.43 7798108.24 30.36, 802027.68 7798108.35 30.33, 802032.17 7798108.51 30.27, 802042.21 7798108.86 30.17, 802052.3 7798109.22 30.07, 802057.16 7798109.4 29.99)</t>
  </si>
  <si>
    <t>POINT (802012.2822860527 7798105.3371003205)</t>
  </si>
  <si>
    <t>['EV6 S201D1 m3429-3519']</t>
  </si>
  <si>
    <t>LINESTRING Z (802364.71 7798094.65 26.181, 802364.84 7798094.6 26.181, 802369.71 7798093.18 26.151, 802379.41 7798090.17 26.091, 802389.09 7798086.9 26.061, 802393.91 7798085.18 26.011, 802398.43 7798082.98 25.951, 802407.53 7798078.35 25.781, 802416.47 7798073.53 25.651, 802420.92 7798071.04 25.521, 802425.05 7798068.08 25.421, 802433.27 7798061.96 25.251, 802437.29 7798058.85 25.181, 802445.1 7798052.59 24.971)</t>
  </si>
  <si>
    <t>POINT (802406.57008955 7798076.799003451)</t>
  </si>
  <si>
    <t>['EV6 S201D1 m2529-2619']</t>
  </si>
  <si>
    <t>LINESTRING Z (801471.39 7798035.52 38.288, 801471.6 7798035.54 38.278, 801477.85 7798035.47 38.238, 801486.64 7798035.38 38.158, 801496.69 7798035.29 38.038, 801501.72 7798035.25 37.978, 801516.64 7798036.6 37.818, 801531.6 7798038 37.568, 801536.59 7798038.96 37.498, 801546.42 7798040.9 37.348, 801561.09 7798043.8 37.138)</t>
  </si>
  <si>
    <t>POINT (801516.4288643594 7798037.623372974)</t>
  </si>
  <si>
    <t>['EV6 S201D1 m2029-2119']</t>
  </si>
  <si>
    <t>LINESTRING Z (800971.68 7798009.64 44.926, 800971.84 7798009.64 44.926, 800982.57 7798011.27 44.756, 800991.68 7798012.69 44.606, 801001.64 7798014.02 44.426, 801012.13 7798014.54 44.316, 801021.81 7798015.07 44.176, 801032.61 7798015.63 44.026, 801042.33 7798015.31 43.916, 801051.83 7798014.62 43.836, 801061.61 7798014.1 43.716)</t>
  </si>
  <si>
    <t>POINT (801016.5518814459 7798013.868056478)</t>
  </si>
  <si>
    <t>['EV6 S201D1 m1529-1619']</t>
  </si>
  <si>
    <t>LINESTRING Z (800471.7 7797996.79 51.784, 800471.84 7797996.79 51.784, 800482.46 7797997.79 51.614, 800491.84 7797998.9 51.464, 800501.77 7797999.95 51.314, 800511.67 7798000.14 51.144, 800522.4 7798000.2 51.014, 800531.76 7798000.19 50.894, 800542.67 7797999.36 50.774, 800552.18 7797998.3 50.654, 800561.88 7797997.7 50.534)</t>
  </si>
  <si>
    <t>POINT (800516.77084668 7797999.11860013)</t>
  </si>
  <si>
    <t>['EV6 S201D1 m1029-1119']</t>
  </si>
  <si>
    <t>LINESTRING Z (799971.35 7797992.69 58.892, 799971.44 7797992.69 58.892, 799977.28 7797991.94 58.832, 799986.25 7797991.08 58.692, 799994.91 7797990.09 58.612, 800001.48 7797989.45 58.562, 800008.62 7797989.24 58.462, 800015.66 7797989.18 58.382, 800022.74 7797989.05 58.262, 800031.41 7797988.94 58.162, 800036.11 7797989.29 58.082, 800043.29 7797989.92 57.972, 800051.25 7797990.78 57.802, 800056.36 7797991.31 57.722, 800061.4 7797991.58 57.642)</t>
  </si>
  <si>
    <t>POINT (800016.354522602 7797990.158101327)</t>
  </si>
  <si>
    <t>['EV6 S201D1 m529-619']</t>
  </si>
  <si>
    <t>LINESTRING Z (799471.61 7798005.88 59.83, 799482.08 7798006.59 59.99, 799487.55 7798007.11 60.09, 799491.97 7798007.55 60.17, 799497.91 7798008.04 60.26, 799502.9 7798008.32 60.35, 799508.4 7798008.29 60.43, 799512.65 7798008.27 60.5, 799518.62 7798008.22 60.56, 799524.27 7798008.01 60.64, 799528.85 7798008.19 60.71, 799534.14 7798007.97 60.81, 799541.32 7798007.27 60.92, 799545.37 7798006.9 60.98, 799551.5 7798005.73 61.11, 799561.09 7798004.88 61.2)</t>
  </si>
  <si>
    <t>POINT (799516.3889084064 7798007.273849131)</t>
  </si>
  <si>
    <t>['EV6 S201D1 m194-284']</t>
  </si>
  <si>
    <t>LINESTRING Z (799155.19 7797920.99 50.569, 799159.73 7797924.27 50.729, 799165.6 7797926.62 50.729, 799172.55 7797930.24 50.949, 799178.74 7797933.63 51.159, 799187.36 7797938.64 51.469, 799193.45 7797942.09 51.689, 799201.56 7797946.58 52.029, 799207.84 7797950.01 52.199, 799215.83 7797955 52.419, 799221.75 7797958.58 52.629, 799229.26 7797963.39 52.989, 799232.34 7797964.73 53.089)</t>
  </si>
  <si>
    <t>POINT (799193.9005675466 7797942.5733041465)</t>
  </si>
  <si>
    <t>['EV6 S201D1 m3754-3844']</t>
  </si>
  <si>
    <t>LINESTRING Z (802598.12 7797874.73 21.832, 802598.63 7797873.86 21.822, 802598.75 7797873.65 21.822, 802599.14 7797872.98 21.812, 802599.64 7797872.1 21.802, 802600.15 7797871.21 21.792, 802600.66 7797870.33 21.782, 802601.16 7797869.44 21.782, 802601.66 7797868.55 21.772, 802602.16 7797867.66 21.762, 802602.29 7797867.43 21.762, 802602.66 7797866.77 21.752, 802603.14 7797865.88 21.742, 802603.2 7797865.8 21.742, 802603.54 7797865.18 21.732, 802603.63 7797864.99 21.732, 802604.13 7797864.1 21.722, 802604.61 7797863.2 21.722, 802605.1 7797862.31 21.712, 802605.58 7797861.4 21.702, 802606.07 7797860.5 21.692, 802606.55 7797859.6 21.682, 802606.65 7797859.41 21.682, 802607.02 7797858.69 21.672, 802607.15 7797858.47 21.672, 802607.51 7797857.79 21.662, 802607.98 7797856.89 21.652, 802608.45 7797855.98 21.652, 802608.92 7797855.07 21.642, 802609.39 7797854.17 21.632, 802609.85 7797853.25 21.622, 802610.31 7797852.35 21.612, 802610.77 7797851.43 21.602, 802611.24 7797850.51 21.592, 802611.7 7797849.6 21.582, 802612.15 7797848.68 21.582, 802612.6 7797847.77 21.572, 802612.96 7797846.81 21.552, 802613.32 7797845.86 21.542, 802613.66 7797844.89 21.532, 802614.02 7797843.94 21.512, 802614.37 7797842.98 21.502, 802614.71 7797842.02 21.482, 802615.06 7797841.07 21.472, 802615.4 7797840.1 21.462, 802615.73 7797839.14 21.442, 802616.07 7797838.18 21.432, 802616.41 7797837.22 21.422, 802616.74 7797836.25 21.402, 802617.07 7797835.29 21.392, 802617.4 7797834.32 21.382, 802617.73 7797833.36 21.362, 802618.05 7797832.39 21.352, 802618.38 7797831.42 21.332, 802618.69 7797830.45 21.322, 802619 7797829.49 21.312, 802619.32 7797828.52 21.292, 802619.95 7797826.58 21.272, 802620.86 7797823.65 21.222, 802621.76 7797820.73 21.182, 802622.33 7797818.78 21.162, 802622.53 7797817.77 21.142, 802622.67 7797817.02 21.122, 802623.09 7797814.75 21.082, 802623.28 7797813.75 21.062, 802623.64 7797811.73 21.032, 802624.16 7797808.71 20.972, 802624.22 7797808.37 20.962, 802624.66 7797805.68 20.912, 802625.14 7797802.66 20.862, 802625.59 7797799.63 20.802, 802625.74 7797798.63 20.782, 802626.03 7797796.61 20.742, 802626.44 7797793.57 20.692, 802626.7 7797791.5 20.652, 802626.83 7797790.55 20.632, 802626.98 7797789.35 20.612, 802627.07 7797788.53 20.592)</t>
  </si>
  <si>
    <t>POINT (802616.0155800254 7797832.779516416)</t>
  </si>
  <si>
    <t>2025-11-22T09:19:45Z</t>
  </si>
  <si>
    <t>['FV255 S9D1 m5562-5644']</t>
  </si>
  <si>
    <t>LINESTRING Z (206347.154218009 6837622.71600514 -999999, 206342.77373049 6837602.27373005 -999999, 206345.172568893 6837592.88697108 -999999, 206354.455030541 6837579.32831924 -999999, 206369.995331501 6837565.76966739 -999999, 206381.989523518 6837556.07001646 -999999, 206391.689174453 6837553.14969144 -999999)</t>
  </si>
  <si>
    <t>POINT (206359.2216865518 6837582.627009444)</t>
  </si>
  <si>
    <t>2026-01-02T15:01:24Z</t>
  </si>
  <si>
    <t>['FV40 S4D1 m5297-5398']</t>
  </si>
  <si>
    <t>LINESTRING Z (210420.16622732958 6582011.545351298 34.65, 210420.82458476129 6582013.938258269 34.550000000000004, 210414.89420641126 6582021.388767589 34.32, 210410.93622923264 6582025.083082677 34.13, 210405.59527555347 6582028.821902756 33.88, 210395.3638589974 6582034.610541132 33.27, 210388.49174031685 6582037.64339824 32.83, 210375.73499057023 6582041.177603533 32.27, 210368.32318004343 6582041.907342599 32.08, 210362.0182964622 6582040.426456927 31.93, 210360.1902387744 6582039.104063412 31.84, 210359.3906982171 6582037.929991023 31.900000000000002, 210360.07569793036 6582035.053925673 32.11, 210344.0889282748 6582040.327167671 31.310000000000002, 210356.0847104196 6582044.057994403 31.86, 210361.5016095892 6582046.835217568 32.25, 210364.868617134 6582047.9482579855 32.33, 210371.65454193257 6582048.189662264 32.480000000000004, 210375.99681526853 6582047.52609893 32.35, 210386.2652074141 6582045.151356476 32.87, 210391.8941104479 6582043.376565723 32.99, 210401.74797487736 6582038.526589663 33.58, 210407.15369501495 6582035.616127138 33.82, 210415.8821181676 6582028.988321884 34.31, 210421.1283967676 6582024.423845394 34.300000000000004, 210425.30267956335 6582019.6747723315 34.58, 210427.98406463471 6582015.4223628435 34.79, 210432.93435560144 6582008.693569582 35.04, 210438.20000013034 6582002.00664912 35.36, 210420.16622732958 6582011.545351298 34.65)</t>
  </si>
  <si>
    <t>2018-06-20</t>
  </si>
  <si>
    <t>[2704]</t>
  </si>
  <si>
    <t>['FV2704 S1D1 m3272-3301']</t>
  </si>
  <si>
    <t>LINESTRING Z (232516.72 6634751.63 29.23, 232515.82 6634749.67 29.32, 232515.44 6634748.71 29.34, 232514.68 6634746.51 29.34, 232513.62 6634743.33 29.39, 232513.42 6634742.35 29.38, 232511.99 6634737.54 29.4, 232510.48 6634732.72 29.42, 232510.09 6634731.81 29.4, 232509.79 6634730.74 29.42, 232509.61 6634723.66 29.519)</t>
  </si>
  <si>
    <t>POINT (232512.28171709646 6634737.823676367)</t>
  </si>
  <si>
    <t>['EV6 S185D1 m6728-6730']</t>
  </si>
  <si>
    <t>LINESTRING Z (711428.97 7724123.07 25.408, 711428.97 7724122.95 25.398)</t>
  </si>
  <si>
    <t>POINT (711428.97 7724123.01)</t>
  </si>
  <si>
    <t>['EV6 S185D1 m6173-6263']</t>
  </si>
  <si>
    <t>LINESTRING Z (710872.93 7724119.74 20.178, 710877.92 7724120.33 20.238, 710887.9 7724121.53 20.368, 710897.87 7724122.72 20.498, 710899.26 7724122.89 20.518, 710901.26 7724123.13 20.538, 710902.63 7724123.29 20.558, 710902.86 7724123.32 20.558, 710904.86 7724123.36 20.578, 710906.86 7724123.4 20.598, 710907.86 7724123.42 20.608, 710908.86 7724123.44 20.618, 710910.86 7724123.48 20.638, 710912.86 7724123.51 20.658, 710914.86 7724123.55 20.678, 710916.86 7724123.59 20.698, 710917.86 7724123.61 20.708, 710918.86 7724123.63 20.718, 710927.86 7724123.81 20.808, 710932.86 7724123.9 20.858, 710933.07 7724123.89 20.858, 710937.87 7724123.5 20.888, 710947.88 7724122.7 20.958, 710957.9 7724121.89 21.028, 710962.89 7724121.5 21.058)</t>
  </si>
  <si>
    <t>POINT (710917.8709077318 7724122.611240828)</t>
  </si>
  <si>
    <t>['EV6 S185D1 m5668-5758']</t>
  </si>
  <si>
    <t>LINESTRING Z (710368.17 7724102.4 14.997, 710378.19 7724101.59 15.067, 710388.2 7724100.79 15.127, 710398.2 7724099.99 15.197, 710401.45 7724100.05 15.227, 710408.22 7724100.18 15.297, 710416.47 7724100.34 15.377, 710417.47 7724100.36 15.387, 710418.2 7724100.37 15.397, 710418.47 7724100.38 15.397, 710419.97 7724100.41 15.417, 710428.22 7724100.57 15.497, 710434.95 7724101.37 15.577, 710438.2 7724101.76 15.617, 710448.17 7724102.96 15.747, 710458.13 7724104.14 15.877)</t>
  </si>
  <si>
    <t>POINT (710413.1884277252 7724101.276787706)</t>
  </si>
  <si>
    <t>['EV6 S185D1 m5123-5213']</t>
  </si>
  <si>
    <t>LINESTRING Z (709827.92 7724059.17 10.076, 709828.76 7724059.66 10.096, 709832.25 7724061.73 10.166, 709834.02 7724062.76 10.196, 709836.65 7724064.27 10.256, 709839.32 7724065.78 10.306, 709841.09 7724066.77 10.346, 709844.66 7724068.73 10.416, 709847.35 7724070.18 10.466, 709850.03 7724071.61 10.516, 709851.14 7724072.19 10.546, 709852.31 7724072.8 10.566, 709852.95 7724073.13 10.576, 709854.38 7724073.87 10.606, 709854.57 7724073.97 10.606, 709855.52 7724074.34 10.616, 709856.46 7724074.71 10.626, 709858.36 7724075.44 10.646, 709859.29 7724075.8 10.656, 709860.26 7724076.16 10.666, 709861.19 7724076.52 10.676, 709862.16 7724076.88 10.686, 709864.06 7724077.59 10.706, 709865.97 7724078.28 10.726, 709866.9 7724078.62 10.736, 709867.88 7724078.97 10.746, 709868.83 7724079.32 10.756, 709871.8 7724080.36 10.786, 709872 7724080.43 10.786, 709872.19 7724080.49 10.786, 709872.38 7724080.56 10.796, 709872.57 7724080.63 10.796, 709872.67 7724080.66 10.796, 709872.76 7724080.69 10.796, 709872.96 7724080.76 10.796, 709873.15 7724080.83 10.796, 709873.34 7724080.89 10.806, 709875.53 7724081.64 10.826, 709878.44 7724082.62 10.856, 709880.85 7724083.41 10.876, 709883.27 7724084.18 10.906, 709883.48 7724084.23 10.906, 709884.26 7724084.4 10.906, 709888.26 7724085.22 10.916, 709890.26 7724085.62 10.916, 709893.26 7724086.2 10.926, 709896.26 7724086.76 10.926, 709898.26 7724087.13 10.926, 709902.24 7724087.82 10.936, 709902.29 7724087.83 10.936, 709905.25 7724088.32 10.946, 709908.28 7724088.8 10.946, 709910.77 7724089.18 10.956, 709913.27 7724089.56 10.956)</t>
  </si>
  <si>
    <t>POINT (709869.4217359872 7724077.659725524)</t>
  </si>
  <si>
    <t>['EV6 S185D1 m4718-4808']</t>
  </si>
  <si>
    <t>LINESTRING Z (709588.66 7723749.75 5.416, 709589.99 7723753.49 5.436, 709591.01 7723756.29 5.446, 709592.05 7723759.08 5.466, 709593.11 7723761.86 5.476, 709594.19 7723764.64 5.496, 709595.65 7723768.32 5.526, 709596.4 7723770.16 5.536, 709597.8 7723773.56 5.556, 709598.67 7723775.64 5.576, 709599.45 7723777.45 5.586, 709600.61 7723781.2 5.626, 709600.63 7723781.26 5.626, 709601.51 7723784.04 5.656, 709602.41 7723786.81 5.686, 709603.34 7723789.61 5.716, 709604.29 7723792.4 5.746, 709604.35 7723792.58 5.746, 709605.58 7723796.1 5.786, 709606.24 7723797.95 5.806, 709607 7723800.06 5.826, 709607.78 7723802.17 5.846, 709608.27 7723803.49 5.856, 709608.96 7723805.32 5.876, 709609.2 7723806.28 5.896, 709609.33 7723806.78 5.896, 709609.96 7723809.15 5.936, 709610.74 7723812.01 5.976, 709611.53 7723814.87 6.006, 709612.5 7723818.27 6.056, 709612.62 7723818.68 6.066, 709612.9 7723819.63 6.076, 709613.18 7723820.58 6.086, 709614.33 7723824.38 6.146, 709614.62 7723825.33 6.156, 709614.91 7723826.28 6.166, 709615.21 7723827.23 6.176, 709615.51 7723828.18 6.196, 709616.42 7723831.02 6.236, 709616.72 7723831.96 6.246, 709617.34 7723833.85 6.276)</t>
  </si>
  <si>
    <t>POINT (709603.6455213195 7723791.579924957)</t>
  </si>
  <si>
    <t>['EV6 S185D1 m6730-6850']</t>
  </si>
  <si>
    <t>LINESTRING Z (711428.97 7724122.95 25.398, 711429.97 7724122.85 25.408, 711430.97 7724122.75 25.418, 711431.98 7724122.65 25.418, 711432.98 7724122.55 25.428, 711433.98 7724122.45 25.438, 711434.98 7724122.35 25.438, 711435.99 7724122.25 25.448, 711436.99 7724122.14 25.448, 711437.99 7724122.04 25.458, 711438.99 7724121.94 25.468, 711439.99 7724121.84 25.468, 711441 7724121.74 25.478, 711442 7724121.64 25.488, 711443 7724121.54 25.488, 711444 7724121.44 25.498, 711445 7724121.34 25.498, 711446.01 7724121.24 25.508, 711447.01 7724121.14 25.518, 711448.01 7724121.04 25.518, 711449.01 7724120.94 25.528, 711449.14 7724120.93 25.528, 711450.02 7724120.84 25.538, 711451.02 7724120.74 25.538, 711451.45 7724120.69 25.538, 711452.02 7724120.62 25.548, 711453.02 7724120.41 25.548, 711454.03 7724120.08 25.548, 711455.04 7724119.63 25.548, 711456.05 7724119.03 25.538, 711457.07 7724118.24 25.518, 711458.09 7724117.2 25.498, 711458.81 7724116.24 25.478, 711458.85 7724116.18 25.478, 711459.12 7724115.77 25.468, 711460.01 7724114.39 25.428, 711460.14 7724114.36 25.428, 711461.14 7724114.35 25.438, 711462.03 7724114.34 25.448, 711462.14 7724114.34 25.448, 711463.14 7724114.33 25.458, 711464.04 7724114.33 25.468, 711464.15 7724114.33 25.468, 711464.76 7724114.32 25.468, 711465.15 7724114.32 25.478, 711466.15 7724114.31 25.488, 711467.15 7724114.3 25.498, 711468.15 7724114.3 25.508, 711468.58 7724114.29 25.508, 711469.14 7724114.82 25.528, 711469.56 7724115.22 25.548, 711470.12 7724115.72 25.568, 711471.11 7724116.43 25.598, 711472.1 7724116.98 25.618, 711473.08 7724117.39 25.638, 711474.08 7724117.69 25.658, 711475.08 7724117.88 25.678, 711475.46 7724117.93 25.678, 711476.08 7724117.99 25.688, 711477.07 7724118.09 25.698, 711478.07 7724118.19 25.708, 711478.92 7724118.28 25.718, 711479.07 7724118.29 25.728, 711480.07 7724118.39 25.738, 711481.07 7724118.49 25.748, 711481.32 7724118.52 25.748, 711482.07 7724118.59 25.758, 711483.06 7724118.69 25.778, 711484.06 7724118.79 25.788, 711485.06 7724118.89 25.798, 711486.06 7724118.99 25.808, 711487.06 7724119.09 25.818, 711488.06 7724119.19 25.838, 711489.05 7724119.29 25.848, 711490.05 7724119.39 25.858, 711491.05 7724119.49 25.868, 711492.05 7724119.59 25.888, 711493.05 7724119.69 25.898, 711494.04 7724119.79 25.908, 711495.04 7724119.89 25.918, 711496.04 7724119.99 25.928, 711496.27 7724120.01 25.938, 711497.04 7724120.09 25.948, 711497.29 7724120.12 25.948, 711498.02 7724120.19 25.958, 711498.29 7724120.22 25.958, 711499.04 7724120.29 25.968, 711499.78 7724120.36 25.978, 711500.03 7724120.39 25.978, 711501.03 7724120.49 25.998, 711502.03 7724120.59 26.008, 711503.03 7724120.69 26.018, 711504.03 7724120.79 26.029, 711505.03 7724120.89 26.039, 711506.02 7724120.99 26.059, 711507.02 7724121.09 26.069, 711508.02 7724121.19 26.079, 711509.02 7724121.29 26.089, 711510.02 7724121.39 26.109, 711511.01 7724121.49 26.119, 711512.01 7724121.59 26.129, 711513.01 7724121.69 26.139, 711514.01 7724121.79 26.149, 711514.74 7724121.86 26.159, 711515.01 7724121.89 26.169, 711516.01 7724121.99 26.179, 711517 7724122.09 26.189, 711518 7724122.19 26.199, 711519 7724122.29 26.219, 711520 7724122.39 26.229, 711521 7724122.49 26.239, 711522 7724122.59 26.249, 711522.99 7724122.69 26.259, 711523.99 7724122.79 26.279, 711524.99 7724122.89 26.289, 711525.99 7724122.99 26.299, 711526.99 7724123.09 26.309, 711527.98 7724123.19 26.329, 711528.98 7724123.29 26.339, 711529.98 7724123.39 26.349, 711530.98 7724123.49 26.359, 711531.98 7724123.59 26.369, 711532.98 7724123.69 26.389, 711533.97 7724123.79 26.399, 711534.97 7724123.89 26.409, 711535.97 7724123.99 26.419, 711536.97 7724124.09 26.439, 711537.97 7724124.19 26.449, 711538.97 7724124.29 26.459, 711539.96 7724124.39 26.469, 711540.96 7724124.49 26.479, 711541.96 7724124.59 26.499, 711542.96 7724124.69 26.509, 711543.96 7724124.79 26.519, 711544.95 7724124.89 26.529, 711545.95 7724124.99 26.549, 711546.95 7724125.09 26.559, 711547.95 7724125.19 26.569, 711549.93 7724125.38 26.589, 711549.95 7724125.43 26.599)</t>
  </si>
  <si>
    <t>POINT (711488.6985426336 7724120.560723599)</t>
  </si>
  <si>
    <t>['EV6 S185D1 m8268-8358']</t>
  </si>
  <si>
    <t>LINESTRING Z (712964.49 7724213.76 40.731, 712970.36 7724215.02 40.811, 712974.28 7724215.88 40.861, 712984.08 7724218.01 40.991, 712990.37 7724219.39 41.071, 712992.34 7724219.82 41.101, 712993.7 7724220.12 41.121, 712993.91 7724220.17 41.121, 712995.9 7724220.4 41.141, 712997.14 7724220.54 41.151, 712997.88 7724220.63 41.161, 712999.87 7724220.86 41.181, 713000.86 7724220.98 41.191, 713001.85 7724221.1 41.201, 713003.84 7724221.33 41.221, 713005.82 7724221.56 41.241, 713007.81 7724221.8 41.261, 713008.8 7724221.91 41.271, 713009.79 7724222.03 41.281, 713012.01 7724222.29 41.301, 713013.02 7724222.41 41.311, 713013.74 7724222.5 41.311, 713014.01 7724222.53 41.321, 713015.48 7724222.7 41.331, 713023.67 7724223.68 41.411, 713023.9 7724223.68 41.411, 713030.47 7724223.81 41.461, 713031.72 7724223.83 41.471, 713033.73 7724223.87 41.481, 713043.75 7724224.08 41.551, 713043.8 7724224.08 41.551, 713053.8 7724224.3 41.621)</t>
  </si>
  <si>
    <t>POINT (713008.9185156045 7724220.948486377)</t>
  </si>
  <si>
    <t>['EV6 S185D1 m7768-7858']</t>
  </si>
  <si>
    <t>LINESTRING Z (712467.38 7724159.9 35.6, 712477.4 7724159.63 35.67, 712487.43 7724159.37 35.74, 712495.75 7724159.16 35.8, 712497.51 7724159.11 35.81, 712507.48 7724159.86 35.91, 712508.48 7724159.94 35.92, 712510.73 7724160.11 35.94, 712511.72 7724160.18 35.95, 712512.45 7724160.24 35.95, 712512.72 7724160.26 35.96, 712514.22 7724160.37 35.97, 712517.46 7724160.62 36, 712527.44 7724161.39 36.1, 712529.17 7724161.7 36.12, 712537.33 7724163.16 36.23, 712539.31 7724163.51 36.26, 712547.21 7724164.93 36.36, 712557.1 7724166.71 36.49)</t>
  </si>
  <si>
    <t>POINT (712512.3946052134 7724161.265069957)</t>
  </si>
  <si>
    <t>['EV6 S185D1 m7218-7308']</t>
  </si>
  <si>
    <t>LINESTRING Z (711917.7 7724140.38 30.429, 711919.69 7724140.64 30.459, 711927.64 7724141.65 30.559, 711937.63 7724142.92 30.689, 711944 7724143.74 30.769, 711945.99 7724144 30.799, 711947.36 7724144.18 30.809, 711947.59 7724144.21 30.819, 711949.59 7724144.26 30.839, 711950.59 7724144.29 30.849, 711950.84 7724144.3 30.849, 711951.59 7724144.32 30.859, 711953.59 7724144.38 30.869, 711955.58 7724144.44 30.889, 711957.58 7724144.5 30.909, 711959.58 7724144.56 30.929, 711961.58 7724144.62 30.949, 711962.58 7724144.65 30.959, 711963.58 7724144.68 30.969, 711965.82 7724144.74 30.999, 711966.82 7724144.77 30.999, 711967.55 7724144.8 31.009, 711967.82 7724144.8 31.009, 711969.32 7724144.85 31.029, 711977.54 7724145.1 31.109, 711977.78 7724145.09 31.109, 711981.57 7724144.83 31.139, 711984.3 7724144.64 31.159, 711987.58 7724144.42 31.179, 711997.6 7724143.75 31.249, 712007.61 7724143.09 31.309)</t>
  </si>
  <si>
    <t>POINT (711962.5961538991 7724143.674100155)</t>
  </si>
  <si>
    <t>['EV6 S185D1 m8772-8773']</t>
  </si>
  <si>
    <t>LINESTRING Z (713465.86 7724274.16 42.021, 713465.89 7724273.96 42.011)</t>
  </si>
  <si>
    <t>POINT (713465.875 7724274.0600000005)</t>
  </si>
  <si>
    <t>['EV6 S185D1 m8773-8893']</t>
  </si>
  <si>
    <t>LINESTRING Z (713465.89 7724273.96 42.011, 713466.9 7724273.99 42.001, 713467.9 7724274.03 41.981, 713468.91 7724274.07 41.971, 713469.92 7724274.1 41.951, 713470.93 7724274.14 41.931, 713471.93 7724274.18 41.921, 713472.94 7724274.21 41.901, 713473.95 7724274.25 41.891, 713474.95 7724274.28 41.871, 713475.96 7724274.32 41.861, 713476.97 7724274.36 41.841, 713477.98 7724274.39 41.821, 713478.98 7724274.43 41.811, 713479.99 7724274.46 41.791, 713481 7724274.5 41.771, 713482 7724274.54 41.761, 713483.01 7724274.57 41.741, 713484 7724274.61 41.731, 713485.03 7724274.65 41.711, 713486.03 7724274.68 41.691, 713487.04 7724274.72 41.681, 713488.05 7724274.75 41.661, 713489.05 7724274.79 41.641, 713490.06 7724274.83 41.631, 713490.19 7724274.83 41.621, 713491.07 7724274.86 41.611, 713492.08 7724274.9 41.591, 713493.08 7724274.94 41.571, 713494.09 7724274.97 41.561, 713494.35 7724274.98 41.551, 713494.4 7724274.98 41.551, 713495.1 7724274.98 41.541, 713496.14 7724274.85 41.521, 713497.2 7724274.57 41.491, 713498.28 7724274.12 41.461, 713499.41 7724273.43 41.421, 713500.59 7724272.36 41.371, 713501.36 7724271.36 41.331, 713501.39 7724271.32 41.321, 713501.9 7724270.52 41.291, 713502.21 7724270.04 41.271, 713502.97 7724270.17 41.261, 713503.96 7724270.32 41.251, 713504.18 7724270.36 41.251, 713504.95 7724270.48 41.231, 713505.93 7724270.64 41.221, 713506.16 7724270.68 41.221, 713506.92 7724270.8 41.211, 713507.91 7724270.95 41.191, 713508.9 7724271.11 41.181, 713509.89 7724271.27 41.161, 713510.25 7724271.33 41.161, 713510.81 7724271.82 41.161, 713511.7 7724272.62 41.161, 713512.59 7724273.41 41.171, 713513.47 7724274.21 41.171, 713513.56 7724274.29 41.171, 713513.6 7724274.32 41.171, 713514.37 7724274.95 41.181, 713515.28 7724275.59 41.181, 713516.2 7724276.13 41.171, 713517.15 7724276.57 41.171, 713518.1 7724276.94 41.161, 713519.07 7724277.22 41.151, 713519.27 7724277.27 41.141, 713519.9 7724277.42 41.141, 713520.04 7724277.45 41.131, 713521.02 7724277.68 41.121, 713522 7724277.91 41.111, 713522.98 7724278.14 41.091, 713523.95 7724278.36 41.081, 713524.93 7724278.59 41.071, 713525.91 7724278.82 41.051, 713526.88 7724279.05 41.041, 713527.86 7724279.28 41.031, 713528.84 7724279.51 41.011, 713529.81 7724279.73 41.001, 713530.79 7724279.96 40.991, 713531.77 7724280.19 40.971, 713532.74 7724280.42 40.961, 713533.72 7724280.65 40.941, 713533.96 7724280.7 40.941, 713534.7 7724280.88 40.931, 713535.67 7724281.1 40.911, 713536.65 7724281.33 40.901, 713537.63 7724281.56 40.891, 713538.6 7724281.79 40.871, 713539.58 7724282.02 40.861, 713540.56 7724282.25 40.841, 713540.93 7724282.33 40.841, 713541.53 7724282.47 40.831, 713542.51 7724282.7 40.811, 713543.49 7724282.93 40.801, 713544.46 7724283.16 40.781, 713545.44 7724283.39 40.771, 713546.39 7724283.61 40.761, 713547.39 7724283.84 40.741, 713548.37 7724284.07 40.731, 713548.61 7724284.13 40.721, 713549.34 7724284.3 40.711, 713549.59 7724284.36 40.711, 713550.3 7724284.52 40.701, 713550.57 7724284.58 40.691, 713551.3 7724284.76 40.681, 713552.03 7724284.93 40.671, 713552.27 7724284.98 40.671, 713553.25 7724285.21 40.651, 713554.23 7724285.44 40.641, 713555.2 7724285.67 40.621, 713556.18 7724285.9 40.611, 713557.16 7724286.13 40.591, 713558.13 7724286.35 40.581, 713559.11 7724286.58 40.561, 713560.09 7724286.81 40.551, 713562.2 7724287.31 40.521, 713566.67 7724288.37 40.451, 713569.84 7724289.13 40.401, 713579.6 7724291.45 40.261, 713584.45 7724292.61 40.191, 713584.35 7724293.38 40.211)</t>
  </si>
  <si>
    <t>POINT (713525.3340617868 7724279.852233264)</t>
  </si>
  <si>
    <t>['EV6 S185D1 m10844-10934']</t>
  </si>
  <si>
    <t>LINESTRING Z (715496.17 7724642.74 9.022, 715497.18 7724642.67 9.012, 715498.19 7724642.6 9.002, 715499.2 7724642.53 8.992, 715500.2 7724642.46 8.982, 715501.21 7724642.39 8.972, 715502.22 7724642.31 8.962, 715503.23 7724642.24 8.952, 715504.24 7724642.16 8.942, 715505.25 7724642.08 8.932, 715506.26 7724642 8.922, 715507.27 7724641.92 8.912, 715508.27 7724641.84 8.902, 715509.28 7724641.76 8.892, 715510.29 7724641.68 8.882, 715511.3 7724641.59 8.872, 715512.31 7724641.51 8.862, 715513.32 7724641.42 8.852, 715514.33 7724641.33 8.842, 715515.34 7724641.24 8.832, 715516.35 7724641.16 8.822, 715517.35 7724641.06 8.812, 715518.36 7724640.97 8.802, 715519.37 7724640.88 8.792, 715520.38 7724640.79 8.782, 715521.39 7724640.69 8.772, 715526.44 7724640.2 8.732, 715528.41 7724639.78 8.702, 715531.37 7724639.15 8.662, 715536.95 7724637.93 8.592, 715541.21 7724636.96 8.532, 715544.16 7724636.27 8.482, 715547.59 7724635.47 8.432, 715551.01 7724634.65 8.382, 715554.93 7724633.71 8.322, 715555.9 7724633.47 8.312, 715560.66 7724631.74 8.222, 715565.4 7724630 8.142, 715567.21 7724629.33 8.102, 715570.14 7724628.25 8.022, 715574.85 7724626.44 7.892, 715575.79 7724626.08 7.872, 715579.56 7724624.63 7.762, 715581.44 7724623.9 7.712, 715583.32 7724623.17 7.662, 715584.26 7724622.81 7.642)</t>
  </si>
  <si>
    <t>POINT (715540.84194603 7724635.560909756)</t>
  </si>
  <si>
    <t>['EV6 S185D1 m10329-10419']</t>
  </si>
  <si>
    <t>LINESTRING Z (714985.59 7724602.16 16.532, 714986.52 7724602.47 16.522, 714987.48 7724602.8 16.512, 714988.43 7724603.12 16.492, 714989.38 7724603.44 16.482, 714990.33 7724603.77 16.462, 714991.28 7724604.09 16.452, 714992.23 7724604.41 16.442, 714993.18 7724604.74 16.422, 714994.14 7724605.06 16.412, 714995.09 7724605.38 16.402, 715004.6 7724608.61 16.262, 715007.74 7724609.68 16.222, 715010.69 7724610.68 16.172, 715012.59 7724611.33 16.152, 715013.9 7724611.77 16.132, 715014.12 7724611.84 16.122, 715016.07 7724612.3 16.092, 715018.02 7724612.75 16.062, 715019.97 7724613.2 16.032, 715021.91 7724613.65 15.992, 715023.86 7724614.1 15.962, 715025.81 7724614.55 15.932, 715027.76 7724615.01 15.892, 715028.73 7724615.23 15.882, 715029.71 7724615.46 15.862, 715033.6 7724616.36 15.802, 715043.35 7724618.62 15.642, 715043.56 7724618.64 15.632, 715053.31 7724619.9 15.452, 715063.28 7724621.18 15.262, 715065.12 7724621.42 15.232, 715065.17 7724621.43 15.222, 715073.23 7724622.47 15.092)</t>
  </si>
  <si>
    <t>POINT (715028.9601453043 7724614.256447782)</t>
  </si>
  <si>
    <t>['EV6 S185D1 m9849-9939']</t>
  </si>
  <si>
    <t>LINESTRING Z (714519.66 7724486.49 24.301, 714529.62 7724487.77 24.111, 714539.59 7724489.06 23.911, 714547.79 7724490.11 23.751, 714549.54 7724490.34 23.711, 714559.3 7724492.6 23.551, 714562.44 7724493.33 23.491, 714563.44 7724493.56 23.481, 714564.15 7724493.72 23.461, 714564.41 7724493.78 23.461, 714565.88 7724494.12 23.431, 714569.04 7724494.85 23.381, 714578.78 7724497.11 23.211, 714580.45 7724497.68 23.191, 714588.3 7724500.34 23.081, 714597.82 7724503.58 22.941, 714607.31 7724506.79 22.801)</t>
  </si>
  <si>
    <t>POINT (714563.9346053698 7724494.69830888)</t>
  </si>
  <si>
    <t>['EV6 S185D1 m9299-9389']</t>
  </si>
  <si>
    <t>LINESTRING Z (713981.23 7724374.32 33.691, 713990.81 7724377.28 33.551, 714000.42 7724380.26 33.411, 714006.55 7724382.17 33.331, 714008.47 7724382.76 33.301, 714009.79 7724383.17 33.281, 714010.01 7724383.24 33.281, 714011.97 7724383.64 33.241, 714013.2 7724383.9 33.221, 714013.93 7724384.05 33.211, 714015.89 7724384.45 33.181, 714017.85 7724384.85 33.151, 714019.8 7724385.25 33.111, 714021.76 7724385.66 33.081, 714023.72 7724386.06 33.051, 714024.7 7724386.26 33.031, 714025.68 7724386.46 33.011, 714027.88 7724386.92 32.971, 714028.86 7724387.12 32.961, 714029.57 7724387.27 32.951, 714029.84 7724387.32 32.941, 714031.28 7724387.62 32.921, 714031.33 7724387.63 32.921, 714039.36 7724389.29 32.781, 714039.59 7724389.32 32.771, 714040.38 7724389.4 32.761, 714046.1 7724390.01 32.651, 714049.37 7724390.35 32.581, 714059.36 7724391.42 32.391, 714069.32 7724392.49 32.191)</t>
  </si>
  <si>
    <t>POINT (714024.882821666 7724385.305919941)</t>
  </si>
  <si>
    <t>2025-06-26</t>
  </si>
  <si>
    <t>['FV1496 S1D1 m2927-2993']</t>
  </si>
  <si>
    <t>LINESTRING Z (278418.33894516306 6658280.85843324 188.637, 278413.2598974618 6658291.780665126 188.947, 278411.80103300663 6658294.759830743 189.037, 278409.7229372726 6658297.854403951 189.117, 278407.3805822716 6658301.110007536 189.207, 278400.9689307543 6658310.047177589 189.477, 278393.0416006255 6658321.297137216 189.817, 278387.31923088187 6658330.259838665 190.037, 278384.8517806333 6658334.594698094 190.107, 278384.1587220419 6658336.456081213 190.147)</t>
  </si>
  <si>
    <t>POINT (278401.62510710425 6658308.866929576)</t>
  </si>
  <si>
    <t>['FV1496 S1D1 m2943-3004']</t>
  </si>
  <si>
    <t>LINESTRING Z (278403.7235654862 6658290.322720917 188.837, 278401.1122391068 6658293.382404721 188.957, 278400.0719199112 6658294.304607192 189.007, 278397.07036781375 6658296.6398128355 189.137, 278393.13279265224 6658299.957931448 189.317, 278391.82089682214 6658301.4769889 189.377, 278378.092690818 6658320.75666324 190.177, 278377.13357862434 6658322.656386812 190.257, 278375.95396041026 6658325.6299278485 190.357, 278374.88229194126 6658329.746828142 190.497, 278374.38005401846 6658335.057459407 190.657, 278374.9097340162 6658345.530572307 190.977)</t>
  </si>
  <si>
    <t>POINT (278384.41807211353 6658315.797880843)</t>
  </si>
  <si>
    <t>2018-08-06</t>
  </si>
  <si>
    <t>2025-11-22T09:19:50Z</t>
  </si>
  <si>
    <t>['EV6 S66D1 m9093-9140']</t>
  </si>
  <si>
    <t>LINESTRING Z (250629.98527424707 6981941.938786452 399.392, 250626.67737871717 6981939.731401801 399.452)</t>
  </si>
  <si>
    <t>2018-08-08</t>
  </si>
  <si>
    <t>['EV6 S126D1 m7340-7440']</t>
  </si>
  <si>
    <t>LINESTRING Z (469292.13784587715 7359061.69924134 64.532, 469291.67362972815 7359063.652255393 64.432, 469290.987261343 7359066.576698677 64.282, 469290.0204515691 7359069.43340882 64.152, 469289.3659159345 7359071.3379621515 64.062, 469288.07691615145 7359075.156904804 63.892, 469286.1634480183 7359080.890156869 63.622, 469284.25997568923 7359086.623329038 63.362, 469283.0011231095 7359090.462023565 63.182, 469282.3766547633 7359092.376332987 63.092, 469281.68373412115 7359094.481121708 63.002, 469281.4399921999 7359095.25279501 62.962, 469280.80376261193 7359098.19683036 62.822, 469280.37960955617 7359100.159520601 62.722, 469279.5412992376 7359104.08482118 62.542, 469278.9251411449 7359107.038692517 62.402, 469278.30890315026 7359109.982568072 62.272, 469277.7027408541 7359112.936359506 62.132, 469277.0965785625 7359115.890150945 62.002, 469276.3560686843 7359119.544766203 61.852, 469276.29833133315 7359119.825127695 61.842, 469275.9042455683 7359121.797574013 61.752, 469275.31807486614 7359124.751205645 61.632, 469275.03225723497 7359127.762414815 61.492, 469274.8384068566 7359129.77324616 61.402, 469274.4806934697 7359133.794669138 61.223, 469274.3888061304 7359134.805042749 61.183, 469273.9491212988 7359139.826763648 60.973, 469273.7032868431 7359142.8376531955 60.843, 469273.4475365111 7359145.85861844 60.713, 469273.1298063095 7359149.8797217915 60.553, 469272.97593910596 7359151.890233522 60.473, 469272.7500962453 7359154.900963261 60.353, 469272.7501761515 7359154.910959046 60.353, 469272.23397601536 7359157.864031347 60.253, 469271.89994492335 7359159.845994026 60.193)</t>
  </si>
  <si>
    <t>POINT (469279.73875527096 7359110.303985895)</t>
  </si>
  <si>
    <t>[6456]</t>
  </si>
  <si>
    <t>['FV6456 S1D1 m49-130']</t>
  </si>
  <si>
    <t>LINESTRING Z (194441.393671004 7071192.1261688 28.813, 194442.311763623 7071184.21433385 28.725, 194442.917671774 7071177.74975824 28.647, 194443.446670734 7071174.06680217 28.65, 194444.179988733 7071172.31843228 28.654, 194444.886146058 7071171.30668874 28.66, 194445.872301653 7071170.43851727 28.647, 194447.441086704 7071169.68139425 28.668, 194450.218121426 7071168.79137429 28.695, 194454.51935627 7071167.70652339 28.679, 194461.267898381 7071166.21320261 28.743, 194464.297522423 7071164.81269701 28.825, 194465.869307787 7071164.22623897 28.888, 194467.652618197 7071166.84674346 28.835, 194470.191971375 7071166.73228226 28.86, 194480.27116915 7071166.27677573 28.908, 194482.783914118 7071166.14672014 28.914, 194485.455804319 7071163.60640203 28.96, 194491.441574256 7071164.70186697 28.956, 194494.225205181 7071165.4834936 28.939, 194496.328581718 7071166.29197927 28.946, 194497.784350292 7071167.132294 28.921, 194500.162212522 7071169.04016487 28.945, 194503.152631465 7071170.89637947 28.953, 194506.240042101 7071172.22357838 29.024, 194508.974537621 7071172.97463721 29.125, 194511.534091049 7071173.19212354 29.155, 194514.222895187 7071173.07364284 29.306, 194515.576979472 7071172.85561574 29.372, 194516.7884372 7071172.65001542 29.422)</t>
  </si>
  <si>
    <t>POINT (194472.5192706112 7071170.728872027)</t>
  </si>
  <si>
    <t>['KV6420 S1D1 m1916-1993']</t>
  </si>
  <si>
    <t>LINESTRING Z (267537.991639859 7034918.42986717 -999999, 267518.592389859 7034916.91645051 -999999, 267485.297223193 7034918.42986717 -999999, 267476.079139859 7034920.21845051 -999999, 267462.871139859 7034923.93320051 -999999)</t>
  </si>
  <si>
    <t>POINT (267500.19998355367 7034918.673307117)</t>
  </si>
  <si>
    <t>2018-09-19</t>
  </si>
  <si>
    <t>[3720]</t>
  </si>
  <si>
    <t>['FV3720 S1D1 m387-440']</t>
  </si>
  <si>
    <t>LINESTRING Z (129391.373 6503327.304 64.093, 129390.578 6503325.163 64.113, 129389.819 6503323.31 64.093, 129388.92 6503321.249 64.113, 129387 6503317.106 64.113, 129386.092 6503315.056 64.103, 129384.188 6503310.872 64.053, 129383.712 6503309.828 64.033, 129383.277 6503308.791 64.043, 129382.499 6503306.729 64.023, 129381.404 6503303.709 64.003, 129380.238 6503300.576 64.003, 129378.512 6503295.682 63.993, 129378.122 6503294.59 63.993, 129377.39 6503292.594 63.993, 129376.694 6503290.545 64.003, 129376.395 6503289.455 64.013, 129376.156 6503288.36 64.023, 129375.939 6503287.283 64.003, 129375.58 6503285.083 64.003, 129375.394 6503283.903 64.003, 129375.249 6503282.84 64.013, 129375.07 6503281.75 64.013, 129374.895 6503280.689 64.003, 129374.695 6503279.581 64.003, 129374.45 6503278.537 64.023, 129374.273 6503278.019 64.023)</t>
  </si>
  <si>
    <t>POINT (129381.7350741761 6503303.0005321205)</t>
  </si>
  <si>
    <t>['FV3720 S1D1 m324-379']</t>
  </si>
  <si>
    <t>LINESTRING Z (129350.839 6503219.535 63.508, 129352.334 6503220.649 63.212, 129353.054 6503221.861 63.768, 129356.586 6503226.258 63.92, 129359.151 6503229.453 63.452, 129359.648 6503230.092 64.013, 129360.183 6503230.898 64.023, 129361.796 6503233.409 64.093, 129363.343 6503235.855 64.143, 129364.854 6503238.244 64.203, 129366.413 6503240.709 64.233, 129368.492 6503244.042 64.273, 129369.485 6503245.693 64.303, 129369.955 6503246.566 64.323, 129370.353 6503247.416 64.333, 129370.718 6503248.348 64.343, 129371.042 6503249.265 64.373, 129371.375 6503250.17 64.393, 129371.66 6503250.999 64.383, 129372.54 6503253.746 64.383, 129373.472 6503256.519 64.423, 129374.124 6503258.402 64.433, 129374.759 6503260.215 64.433, 129375.421 6503262.107 64.433, 129376.184 6503263.879 64.463, 129377.093 6503265.718 64.463, 129378.359 6503268.29 64.433)</t>
  </si>
  <si>
    <t>POINT (129366.28375403114 6503242.89574512)</t>
  </si>
  <si>
    <t>2018-09-21</t>
  </si>
  <si>
    <t>[137, 579]</t>
  </si>
  <si>
    <t>['FV579 S4D1 m6647-6680', 'KV137 S1D1 m1-42']</t>
  </si>
  <si>
    <t>LINESTRING Z (-24279.37 6713170.44 64.185, -24277.59 6713171.76 64.185, -24270.05 6713177.3 64.245, -24263.37 6713182.2 64.285, -24257.2 6713188.89 64.295, -24253.92 6713192.4 64.275, -24252.87 6713192.61 64.235, -24252.64 6713193.99 64.265, -24251.6 6713196.68 64.295, -24249.35 6713200.49 64.285, -24247.57 6713203.42 64.215, -24246.21 6713206.5 64.165, -24246.52 6713207.56 64.205)</t>
  </si>
  <si>
    <t>POINT (-24260.510675210473 6713187.314263664)</t>
  </si>
  <si>
    <t>[579]</t>
  </si>
  <si>
    <t>['FV579 S4D1 m6701-6747']</t>
  </si>
  <si>
    <t>LINESTRING Z (-24323.06 6713144.6 64.245, -24315.74 6713151.03 64.345, -24314.18 6713152.32 64.345, -24311.3 6713154.7 64.335, -24304.65 6713160.17 64.215, -24303.2 6713161.23 64.175, -24298.13 6713164.65 64.145, -24291.69 6713168.87 64.145, -24287.07 6713171.93 64.085)</t>
  </si>
  <si>
    <t>POINT (-24305.492821643587 6713158.829430239)</t>
  </si>
  <si>
    <t>2018-10-02</t>
  </si>
  <si>
    <t>[452]</t>
  </si>
  <si>
    <t>['FV452 S1D1 m1573-1641']</t>
  </si>
  <si>
    <t>LINESTRING Z (91080.48 6469593.94 27.34, 91093.27 6469577.96 27.68, 91095.36 6469574.77 27.78, 91097.83 6469570.04 27.83, 91100.58 6469564.51 27.85, 91102.42 6469560.35 27.86, 91104.31 6469555.53 27.89, 91106.77 6469548.5 27.98, 91107.26 6469548.56 27.96, 91109.39 6469530.04 28.21)</t>
  </si>
  <si>
    <t>POINT (91098.76234722955 6469563.523346871)</t>
  </si>
  <si>
    <t>2020-07-02</t>
  </si>
  <si>
    <t>[6650]</t>
  </si>
  <si>
    <t>['FV6650 S2D1 m10025-10098']</t>
  </si>
  <si>
    <t>LINESTRING Z (268802.497494385 7035208.57695025 122.84, 268803.888726219 7035208.19503775 122.92, 268818.663945357 7035205.75212104 123.51, 268830.633309126 7035203.82397637 124.05, 268831.62236674 7035203.76123558 124.14, 268832.325935352 7035203.65495748 124.15, 268843.419290267 7035202.03018648 124.63, 268851.475460964 7035200.81126329 125.14, 268861.347545089 7035199.45194242 125.5, 268872.786159337 7035197.8650956 125.89)</t>
  </si>
  <si>
    <t>POINT (268837.5964541044 7035202.956296682)</t>
  </si>
  <si>
    <t>2018-10-19</t>
  </si>
  <si>
    <t>['EV136 S7D1 m7694-7705']</t>
  </si>
  <si>
    <t>LINESTRING Z (122044.31178499444 6956321.980013448 34.125, 122035.91861915041 6956314.081161814 34.225)</t>
  </si>
  <si>
    <t>POINT (122040.11520207241 6956318.03058763)</t>
  </si>
  <si>
    <t>['EV136 S7D1 m6636-6690']</t>
  </si>
  <si>
    <t>LINESTRING Z (121281.34554730437 6955653.819563528 46.363, 121239.52481850231 6955619.65343379 46.993)</t>
  </si>
  <si>
    <t>POINT (121260.43518290334 6955636.7364986595)</t>
  </si>
  <si>
    <t>['EV136 S7D1 m3191-3202']</t>
  </si>
  <si>
    <t>LINESTRING Z (118633.14309118874 6953387.817715014 19.847, 118624.4958550348 6953380.64642384 19.847)</t>
  </si>
  <si>
    <t>POINT (118628.81947311175 6953384.232069427)</t>
  </si>
  <si>
    <t>['EV136 S7D1 m5146-5197']</t>
  </si>
  <si>
    <t>LINESTRING Z (120108.75386624801 6954730.369045715 48.11, 120069.43610699626 6954697.36716796 47.13)</t>
  </si>
  <si>
    <t>POINT (120089.09498662213 6954713.868106837)</t>
  </si>
  <si>
    <t>['EV136 S7D1 m4183-4205']</t>
  </si>
  <si>
    <t>LINESTRING Z (119369.40887883486 6954068.577077932 33.938, 119353.27393828967 6954053.291437329 33.658)</t>
  </si>
  <si>
    <t>POINT (119361.34140856226 6954060.93425763)</t>
  </si>
  <si>
    <t>['EV136 S7D1 m6190-6212']</t>
  </si>
  <si>
    <t>LINESTRING Z (120913.64318672416 6955347.424700295 51.972, 120896.54308068671 6955334.3019329095 52.242)</t>
  </si>
  <si>
    <t>POINT (120905.09313370544 6955340.863316603)</t>
  </si>
  <si>
    <t>['EV136 S7D1 m8204-8216']</t>
  </si>
  <si>
    <t>LINESTRING Z (122487.76294882683 6956562.66788979 31.226, 122476.06122024811 6956559.957160363 30.586)</t>
  </si>
  <si>
    <t>POINT (122481.91208453747 6956561.312525077)</t>
  </si>
  <si>
    <t>['EV136 S7D1 m7196-7207']</t>
  </si>
  <si>
    <t>LINESTRING Z (121675.86591423687 6955971.070232371 40.184, 121683.83820165403 6955978.555684746 40.054)</t>
  </si>
  <si>
    <t>POINT (121679.85205794543 6955974.812958559)</t>
  </si>
  <si>
    <t>['EV136 S7D1 m4684-4695']</t>
  </si>
  <si>
    <t>LINESTRING Z (119729.08064635698 6954401.785489388 40.869, 119720.70631985227 6954394.196495893 40.629)</t>
  </si>
  <si>
    <t>POINT (119724.89348310464 6954397.990992642)</t>
  </si>
  <si>
    <t>['EV136 S7D1 m3647-3699']</t>
  </si>
  <si>
    <t>LINESTRING Z (118999.39706228697 6953723.856433815 27.067, 118960.9360690866 6953689.254872092 26.177)</t>
  </si>
  <si>
    <t>POINT (118980.16656568678 6953706.555652953)</t>
  </si>
  <si>
    <t>['EV136 S7D1 m8040-8103']</t>
  </si>
  <si>
    <t>LINESTRING Z (122377.41924487962 6956535.491059858 29.545, 122353.02785276395 6956530.694993947 29.945, 122335.39014619228 6956524.4235419575 29.885, 122317.76296135673 6956514.599778831 30.385)</t>
  </si>
  <si>
    <t>POINT (122346.82154407931 6956527.169693285)</t>
  </si>
  <si>
    <t>['EV136 S5D1 m4975-5007']</t>
  </si>
  <si>
    <t>LINESTRING Z (110829.36564941547 6959036.52055824 14.253, 110829.31482245715 6959035.006045851 14.393, 110829.02276857814 6959026.3805866055 14.563, 110829.06637862447 6959025.662162995 14.553, 110829.16797279223 6959024.918204002 14.563, 110830.50404988899 6959018.967986785 14.613, 110831.49437612767 6959014.810773561 14.693, 110831.79239706422 6959013.907620056 14.713, 110832.13896317634 6959013.201161004 14.733, 110834.4846073279 6959008.796694543 14.753, 110836.3209062849 6959005.294986002 14.793, 110836.43195130932 6959005.0833939705 14.663)</t>
  </si>
  <si>
    <t>POINT (110831.10206561442 6959020.392726075)</t>
  </si>
  <si>
    <t>['EV136 S5D1 m5493-5602']</t>
  </si>
  <si>
    <t>LINESTRING Z (111105.47269158409 6958479.118091546 20.852, 111103.93667352758 6958482.279855515 20.822, 111103.1090855673 6958483.976973013 20.822, 111100.8130328544 6958488.266117133 20.822, 111097.7159877618 6958493.998364442 20.842, 111094.89250081574 6958499.212073886 20.852, 111092.8512560234 6958503.105166025 20.862, 111092.14057644951 6958505.515783299 20.892, 111092.08620521321 6958507.412379648 20.932, 111092.47881860001 6958509.247129551 20.992, 111093.39009932487 6958511.033464314 21.052, 111085.09686674463 6958522.321638724 20.982, 111082.82166773686 6958524.355110166 20.982, 111075.2657100872 6958532.978653912 20.942, 111060.17029623955 6958551.049229414 20.822, 111044.76341912022 6958569.340047288 20.762)</t>
  </si>
  <si>
    <t>POINT (111078.27246711176 6958525.868118841)</t>
  </si>
  <si>
    <t>['EV136 S5D1 m6065-6098']</t>
  </si>
  <si>
    <t>LINESTRING Z (111358.53136282577 6958091.057372122 15.941, 111360.10886709951 6958086.292006546 15.791, 111361.4344929586 6958082.385236448 15.811, 111361.64607694076 6958081.741688701 15.791, 111361.81018505973 6958081.344042669 15.781, 111362.0675195498 6958080.867265899 15.771, 111363.2685505363 6958079.074929048 15.761, 111367.97692209686 6958072.065438559 15.651, 111368.27880915371 6958071.634809507 15.651, 111368.46592600021 6958071.375873457 15.651, 111368.78616663738 6958071.03408258 15.651, 111368.9074540225 6958070.932210061 15.641, 111369.79077698721 6958070.1555322055 15.641, 111373.69258611009 6958066.793075137 15.481, 111376.57076718722 6958064.321004942 15.531)</t>
  </si>
  <si>
    <t>POINT (111365.97524220847 6958076.629294666)</t>
  </si>
  <si>
    <t>['FV5050 S1D1 m289-344']</t>
  </si>
  <si>
    <t>LINESTRING Z (-32052.11 6665426.92 26.234, -32050.68 6665427.94 26.284, -32043.78 6665432.71 26.464, -32037.94 6665436.86 26.444, -32031.91 6665442.65 26.504, -32031.27 6665443.47 26.514, -32028.13 6665446.53 26.474, -32025.44 6665449.1 26.414, -32024.62 6665449.69 26.404, -32023.87 6665450.47 26.474, -32017.56 6665458.55 26.404, -32012.52 6665465.07 26.274)</t>
  </si>
  <si>
    <t>POINT (-32031.078422836283 6665444.700834701)</t>
  </si>
  <si>
    <t>['FV5050 S1D1 m335-387']</t>
  </si>
  <si>
    <t>LINESTRING Z (-31985.44 6665499.8 24.444, -31986.27 6665499.22 24.514, -31993.54 6665494.29 24.914, -31998.59 6665490.86 25.184, -32005.12 6665484.55 25.584, -32005.78 6665483.77 25.594, -32008.99 6665480.68 25.794, -32011.58 6665478.1 25.944, -32013.08 6665476.85 25.964, -32017.54 6665470.92 26.244, -32023.18 6665463.3 26.434)</t>
  </si>
  <si>
    <t>POINT (-32005.59945786621 6665482.890327535)</t>
  </si>
  <si>
    <t>[154]</t>
  </si>
  <si>
    <t>['FV154 S2D1 m988-1035']</t>
  </si>
  <si>
    <t>LINESTRING Z (267452 6627788.91 151.579, 267453.04 6627788.72 151.589, 267456.93 6627787.82 151.539, 267458.04 6627787.57 151.539, 267459.13 6627787.38 151.519, 267460.24 6627787.24 151.499, 267464.71 6627786.95 151.459, 267465.73 6627787.02 151.459, 267469.77 6627786.79 151.379, 267473.74 6627786.6 151.319, 267477.74 6627786.39 151.239, 267478.77 6627786.22 151.239, 267479.88 6627786.19 151.219, 267480.99 6627786.25 151.189, 267482.1 6627786.35 151.149, 267487.35 6627787.16 151.019, 267491.75 6627787.88 150.899, 267493.86 6627788.21 150.849, 267494.89 6627788.38 150.869, 267495.98 6627788.51 150.829, 267497.01 6627788.58 150.799, 267498.13 6627788.59 150.759, 267499.1 6627788.6 150.759)</t>
  </si>
  <si>
    <t>POINT (267475.52323018434 6627787.279885477)</t>
  </si>
  <si>
    <t>['FV154 S2D1 m586-640']</t>
  </si>
  <si>
    <t>LINESTRING Z (267057.15 6627736.21 153.819, 267057.79 6627736.4 153.819, 267058.85 6627736.8 153.849, 267059.96 6627737.24 153.859, 267062.01 6627738.21 153.859, 267069.23 6627741.55 153.859, 267070.25 6627742.01 153.859, 267071.32 6627742.41 153.849, 267073.44 6627743.03 153.829, 267074.42 6627743.14 153.819, 267078.36 6627744.01 153.799, 267082.29 6627744.89 153.799, 267086.21 6627745.74 153.789, 267087.2 6627746.1 153.799, 267091.65 6627747.08 153.829, 267093.29 6627747.33 153.829, 267095.05 6627747.47 153.809, 267098.28 6627747.65 153.769, 267107.88 6627748.16 153.699, 267109.07 6627748.26 153.669, 267110.2 6627748.39 153.639)</t>
  </si>
  <si>
    <t>POINT (267083.2108071986 6627744.225621961)</t>
  </si>
  <si>
    <t>['FV152 S5D1 m332-392']</t>
  </si>
  <si>
    <t>LINESTRING Z (265764.18 6626832.36 120.508, 265764.51 6626832.64 120.498, 265765.16 6626833.26 120.468, 265765.95 6626834.04 120.438, 265766.73 6626834.82 120.398, 265770.69 6626838.76 120.168, 265773.87 6626841.92 120.018, 265774.67 6626842.71 119.968, 265775.51 6626843.46 119.918, 265776.39 6626844.14 119.888, 265777.26 6626844.66 119.848, 265780.51 6626847 119.698, 265783.83 6626849.41 119.538, 265787.06 6626851.76 119.398, 265787.82 6626852.43 119.358, 265793.21 6626856.32 119.138, 265794.06 6626856.91 119.108, 265794.96 6626857.47 119.068, 265799.43 6626860.13 118.888, 265803.96 6626862.85 118.698, 265808.67 6626865.66 118.548, 265811.58 6626867.4 118.448, 265812.07 6626867.71 118.448)</t>
  </si>
  <si>
    <t>POINT (265787.2462322195 6626851.179539212)</t>
  </si>
  <si>
    <t>['RV3 S28D1 m887-957']</t>
  </si>
  <si>
    <t>LINESTRING Z (251598.62 6959819.61 495.765, 251600.6 6959799.23 496.935, 251600.25 6959789.46 495.595, 251598.98 6959773.79 496.205, 251595.72 6959761.04 496.225, 251592.52 6959749.19 496.245)</t>
  </si>
  <si>
    <t>POINT (251598.362489405 6959784.1608589655)</t>
  </si>
  <si>
    <t>['RV3 S28D1 m652-721']</t>
  </si>
  <si>
    <t>LINESTRING Z (251553.31 6959517.19 498.855, 251552.41 6959521.99 498.865, 251551.48 6959527.09 498.875, 251551.17 6959532.17 498.865, 251550.89 6959537.25 498.855, 251551.23 6959542.3 498.825, 251551.59 6959547.34 498.785, 251551.99 6959552.38 498.755, 251552.42 6959557.42 498.715, 251553.59 6959562.39 498.645, 251554.78 6959567.35 498.575, 251555.99 6959572.28 498.485, 251557.24 6959577.21 498.385, 251558.16 6959582.16 498.305, 251558.95 6959586.25 498.225)</t>
  </si>
  <si>
    <t>POINT (251553.43792548313 6959551.841626961)</t>
  </si>
  <si>
    <t>['RV3 S28D1 m43-130']</t>
  </si>
  <si>
    <t>LINESTRING Z (251609.8 6958911.78 499.816, 251610.24 6958915.1 499.816, 251610.89 6958920.06 499.816, 251612 6958924.99 499.806, 251613.1 6958929.91 499.786, 251614.22 6958934.85 499.766, 251615.33 6958939.8 499.736, 251615.86 6958944.8 499.726, 251616.38 6958949.8 499.706, 251616.77 6958954.81 499.695, 251617.15 6958959.83 499.675, 251617.54 6958964.84 499.665, 251617.92 6958969.87 499.655, 251617.57 6958974.95 499.635, 251617.2 6958980.02 499.625, 251616.67 6958985.09 499.605, 251616.11 6958990.15 499.585, 251616.18 6958995.17 499.545, 251616.2 6958998.22 499.525)</t>
  </si>
  <si>
    <t>POINT (251615.3127128943 6958954.849361592)</t>
  </si>
  <si>
    <t>['RV3 S28D1 m0-71']</t>
  </si>
  <si>
    <t>LINESTRING Z (251595.7 6958861.53 499.906, 251595.36 6958866.2 499.916, 251595 6958871.28 499.926, 251594.66 6958876.35 499.936, 251594.32 6958881.43 499.946, 251594.77 6958886.43 499.926, 251595.21 6958891.42 499.896, 251595.68 6958896.4 499.896, 251596.16 6958901.38 499.896, 251596.65 6958906.35 499.896, 251597.15 6958911.34 499.886, 251598.24 6958916.26 499.856, 251599.33 6958921.18 499.826, 251600.44 6958926.09 499.796, 251601.54 6958931 499.756, 251602.32 6958935.94 499.716, 251602.96 6958939.99 499.696)</t>
  </si>
  <si>
    <t>POINT (251597.20031332196 6958900.909920167)</t>
  </si>
  <si>
    <t>['FV59 S1D1 m1575-1654']</t>
  </si>
  <si>
    <t>LINESTRING Z (192366.0377132874 6574657.161798182 17.484, 192363.91322581132 6574647.210924764 17.044, 192362.7238967599 6574641.829793846 16.834, 192362.51245235698 6574640.823558461 16.784, 192362.2575961713 6574639.67045896 16.754, 192362.09060682007 6574638.599898334 16.694, 192361.9798433081 6574637.484054391 16.654, 192361.80997081945 6574635.267808683 16.574, 192360.79533987865 6574620.462096126 16.034, 192359.79042694368 6574604.650291233 15.454, 192359.55756756547 6574604.520525793 15.464, 192359.40634715877 6574604.2929226225 15.394, 192359.46541616955 6574604.056391832 15.394, 192359.7266035314 6574603.831775213 15.444, 192359.39956263016 6574597.980783759 15.204, 192359.07831964025 6574592.973649742 15.054, 192358.80639008287 6574587.399144427 14.924, 192358.7965625602 6574587.178884079 14.924, 192358.49359830632 6574579.144402693 14.704)</t>
  </si>
  <si>
    <t>POINT (192361.05637930668 6574618.251597314)</t>
  </si>
  <si>
    <t>['FV59 S1D1 m1711-1785']</t>
  </si>
  <si>
    <t>LINESTRING Z (192385.42283941573 6574787.296389129 20.236, 192386.12647795025 6574784.066453272 20.276, 192387.13535920752 6574779.76354349 20.296, 192387.6824191878 6574777.5831115665 20.306, 192388.48493879777 6574774.2236253405 20.296, 192388.95133153343 6574772.040422097 20.266, 192389.15326522518 6574770.9365639305 20.336, 192389.33435713436 6574769.824534737 20.336, 192389.46919421008 6574768.7568889605 20.326, 192389.598447042 6574766.513645602 20.306, 192389.52459871816 6574761.57465291 20.315, 192389.49210660649 6574755.757390472 20.275, 192389.4739120982 6574751.657755306 20.295, 192389.40650709753 6574746.567398852 20.205, 192389.39711711422 6574738.66725626 20.145, 192389.23421686515 6574734.078074283 20.065, 192389.029214453 6574732.920475525 20.055, 192388.79879898526 6574731.815431214 20.065, 192387.4174621001 6574726.200328106 19.945, 192386.02885436127 6574720.616037592 19.825, 192384.37991878396 6574713.9294023765 19.685, 192384.1477036043 6574712.804416137 19.675)</t>
  </si>
  <si>
    <t>POINT (192388.18272059708 6574750.005566546)</t>
  </si>
  <si>
    <t>2018-11-30</t>
  </si>
  <si>
    <t>2025-11-22T09:19:54Z</t>
  </si>
  <si>
    <t>['RV36 S8D1 m1530-1603']</t>
  </si>
  <si>
    <t>LINESTRING Z (169680.440509742 6594777.08279453 36.686, 169670.340509829 6594795.19279442 36.216, 169666.140509868 6594806.58279437 35.926, 169663.220509895 6594814.43279433 35.756, 169659.900509926 6594823.38279429 35.576, 169654.760509978 6594845.97279421 35.006, 169655.920509969 6594846.53279422 35.006, 169657.780509952 6594840.65279424 35.496, 169661.260509919 6594830.06279429 35.496, 169666.390509871 6594815.35279435 35.736, 169671.500509824 6594801.69279442 36.026, 169675.180509791 6594792.34279446 36.316, 169681.190509737 6594777.88279453 36.556, 169680.440509742 6594777.08279453 36.686)</t>
  </si>
  <si>
    <t>POLYGON Z ((169680.440509742 6594777.08279453 36.686, 169670.340509829 6594795.19279442 36.216, 169666.140509868 6594806.58279437 35.926, 169663.220509895 6594814.43279433 35.756, 169659.900509926 6594823.38279429 35.576, 169654.760509978 6594845.97279421 35.006, 169655.920509969 6594846.53279422 35.006, 169657.780509952 6594840.65279424 35.496, 169661.260509919 6594830.06279429 35.496, 169666.390509871 6594815.35279435 35.736, 169671.500509824 6594801.69279442 36.026, 169675.180509791 6594792.34279446 36.316, 169681.190509737 6594777.88279453 36.556, 169680.440509742 6594777.08279453 36.686))</t>
  </si>
  <si>
    <t>['RV36 S7D1 m3746-3817']</t>
  </si>
  <si>
    <t>LINESTRING Z (172370.870487158 6589695.42282352 39.813, 172370.030487163 6589694.58282352 39.813, 172364.20048721 6589704.27282346 39.283, 172359.590487247 6589712.95282341 38.913, 172355.220487283 6589722.30282336 38.323, 172351.700487313 6589730.94282332 37.983, 172348.400487341 6589740.21282328 37.483, 172343.020487389 6589759.0128232 36.753, 172350.940487324 6589742.71282329 37.323, 172354.720487293 6589733.41282334 37.703, 172358.010487265 6589725.26282337 38.123, 172361.330487237 6589717.09282341 38.563, 172361.750487234 6589716.06282342 38.613, 172362.19048723 6589715.02282342 38.673, 172363.550487219 6589711.93282344 38.823, 172366.730487192 6589704.73282348 39.223, 172370.810487158 6589695.57282352 39.773, 172370.870487158 6589695.42282352 39.813)</t>
  </si>
  <si>
    <t>POLYGON Z ((172370.870487158 6589695.42282352 39.813, 172370.030487163 6589694.58282352 39.813, 172364.20048721 6589704.27282346 39.283, 172359.590487247 6589712.95282341 38.913, 172355.220487283 6589722.30282336 38.323, 172351.700487313 6589730.94282332 37.983, 172348.400487341 6589740.21282328 37.483, 172343.020487389 6589759.0128232 36.753, 172350.940487324 6589742.71282329 37.323, 172354.720487293 6589733.41282334 37.703, 172358.010487265 6589725.26282337 38.123, 172361.330487237 6589717.09282341 38.563, 172361.750487234 6589716.06282342 38.613, 172362.19048723 6589715.02282342 38.673, 172363.550487219 6589711.93282344 38.823, 172366.730487192 6589704.73282348 39.223, 172370.810487158 6589695.57282352 39.773, 172370.870487158 6589695.42282352 39.813))</t>
  </si>
  <si>
    <t>['RV36 S8D1 m2016-2091']</t>
  </si>
  <si>
    <t>LINESTRING Z (169522.020511216 6595232.94279246 44.296, 169508.950511326 6595248.64279234 44.226, 169502.800511379 6595257.98279227 44.136, 169497.690511422 6595265.79279222 44.046, 169493.790511455 6595271.74279218 43.957, 169481.520511563 6595296.36279204 43.727, 169489.190511498 6595284.70279212 43.897, 169500.460511402 6595267.56279224 44.157, 169511.100511311 6595251.37279234 44.336, 169516.720511263 6595242.8327924 44.356, 169522.580511213 6595233.85279246 44.326, 169522.020511216 6595232.94279246 44.296)</t>
  </si>
  <si>
    <t>POLYGON Z ((169522.020511216 6595232.94279246 44.296, 169508.950511326 6595248.64279234 44.226, 169502.800511379 6595257.98279227 44.136, 169497.690511422 6595265.79279222 44.046, 169493.790511455 6595271.74279218 43.957, 169481.520511563 6595296.36279204 43.727, 169489.190511498 6595284.70279212 43.897, 169500.460511402 6595267.56279224 44.157, 169511.100511311 6595251.37279234 44.336, 169516.720511263 6595242.8327924 44.356, 169522.580511213 6595233.85279246 44.326, 169522.020511216 6595232.94279246 44.296))</t>
  </si>
  <si>
    <t>['RV36 S8D1 m2243-2318']</t>
  </si>
  <si>
    <t>LINESTRING Z (169365.090512569 6595489.75279081 35.797, 169373.330512501 6595480.27279089 36.337, 169376.080512477 6595475.88279092 36.657, 169380.060512443 6595469.54279096 37.117, 169384.740512402 6595462.08279101 37.657, 169388.900512367 6595455.45279106 38.117, 169393.440512328 6595448.2027911 38.657, 169405.040512225 6595426.48279123 39.987, 169403.760512236 6595426.50279122 40.007, 169401.430512255 6595430.0527912 39.767, 169396.490512298 6595437.58279115 39.227, 169390.710512347 6595446.42279109 38.597, 169385.080512396 6595455.18279103 37.977, 169374.500512487 6595472.10279092 36.777, 169364.120512577 6595489.43279081 35.577, 169365.090512569 6595489.75279081 35.797)</t>
  </si>
  <si>
    <t>POLYGON Z ((169365.090512569 6595489.75279081 35.797, 169373.330512501 6595480.27279089 36.337, 169376.080512477 6595475.88279092 36.657, 169380.060512443 6595469.54279096 37.117, 169384.740512402 6595462.08279101 37.657, 169388.900512367 6595455.45279106 38.117, 169393.440512328 6595448.2027911 38.657, 169405.040512225 6595426.48279123 39.987, 169403.760512236 6595426.50279122 40.007, 169401.430512255 6595430.0527912 39.767, 169396.490512298 6595437.58279115 39.227, 169390.710512347 6595446.42279109 38.597, 169385.080512396 6595455.18279103 37.977, 169374.500512487 6595472.10279092 36.777, 169364.120512577 6595489.43279081 35.577, 169365.090512569 6595489.75279081 35.797))</t>
  </si>
  <si>
    <t>['RV36 S8D1 m458-529']</t>
  </si>
  <si>
    <t>LINESTRING Z (170148.8105056595 6593840.4527997635 73.895, 170147.50050566887 6593839.552799759 74.085, 170138.64050574246 6593852.252799667 73.515, 170127.19050583825 6593868.6727995565 72.755, 170117.25050592097 6593882.922799456 72.045, 170107.1505060055 6593897.412799357 71.255, 170107.97050599958 6593897.98279936 71.225, 170120.6805058957 6593883.762799478 72.125, 170126.02050585125 6593876.122799532 72.515, 170131.2805058073 6593868.572799583 72.865, 170135.49050577212 6593862.542799624 73.165, 170139.01050574268 6593857.462799661 73.405, 170148.8105056595 6593840.4527997635 73.895)</t>
  </si>
  <si>
    <t>POLYGON Z ((170148.8105056595 6593840.4527997635 73.895, 170147.50050566887 6593839.552799759 74.085, 170138.64050574246 6593852.252799667 73.515, 170127.19050583825 6593868.6727995565 72.755, 170117.25050592097 6593882.922799456 72.045, 170107.1505060055 6593897.412799357 71.255, 170107.97050599958 6593897.98279936 71.225, 170120.6805058957 6593883.762799478 72.125, 170126.02050585125 6593876.122799532 72.515, 170131.2805058073 6593868.572799583 72.865, 170135.49050577212 6593862.542799624 73.165, 170139.01050574268 6593857.462799661 73.405, 170148.8105056595 6593840.4527997635 73.895))</t>
  </si>
  <si>
    <t>['RV36 S8D1 m1609-1681']</t>
  </si>
  <si>
    <t>LINESTRING Z (169642.1605101191 6594923.922793951 33.076, 169648.43051006313 6594909.092794031 33.496, 169650.6305100412 6594901.08279406 33.656, 169652.8305100199 6594892.992794094 33.826, 169654.70051000162 6594886.092794119 33.966, 169656.59050998325 6594879.0427941475 34.116, 169657.58050997253 6594874.042794164 34.186, 169659.17050995596 6594865.852794196 34.286, 169661.31050993304 6594854.772794232 34.456, 169660.31050994073 6594854.432794229 34.496, 169658.5805099571 6594860.1827942 34.396, 169653.10051001026 6594879.372794126 34.046, 169650.31051003688 6594889.4927940825 33.826, 169645.41051008512 6594907.79279401 33.436, 169641.16051012638 6594923.752793945 33.096, 169642.12051011954 6594924.002793951 33.066, 169642.1605101191 6594923.922793951 33.076)</t>
  </si>
  <si>
    <t>POLYGON Z ((169642.1605101191 6594923.922793951 33.076, 169648.43051006313 6594909.092794031 33.496, 169650.6305100412 6594901.08279406 33.656, 169652.8305100199 6594892.992794094 33.826, 169654.70051000162 6594886.092794119 33.966, 169656.59050998325 6594879.0427941475 34.116, 169657.58050997253 6594874.042794164 34.186, 169659.17050995596 6594865.852794196 34.286, 169661.31050993304 6594854.772794232 34.456, 169660.31050994073 6594854.432794229 34.496, 169658.5805099571 6594860.1827942 34.396, 169653.10051001026 6594879.372794126 34.046, 169650.31051003688 6594889.4927940825 33.826, 169645.41051008512 6594907.79279401 33.436, 169641.16051012638 6594923.752793945 33.096, 169642.12051011954 6594924.002793951 33.066, 169642.1605101191 6594923.922793951 33.076))</t>
  </si>
  <si>
    <t>['RV36 S7D1 m6640-6705']</t>
  </si>
  <si>
    <t>LINESTRING Z (171028.25049808 6591980.82280971 86.694, 171027.520498086 6591982.0528097 86.794, 171030.650498068 6591991.54280971 87.234, 171034.020498049 6592001.53280971 87.654, 171037.140498032 6592011.08280971 88.004, 171040.090498015 6592020.73280971 88.314, 171042.790498001 6592030.48280971 88.584, 171045.150497989 6592040.35280971 88.804, 171046.100497984 6592044.7128097 88.804, 171047.330497976 6592044.60280971 88.884, 171047.46049797 6592036.27280973 88.824, 171046.960497972 6592033.24280973 88.744, 171044.770497983 6592025.08280973 88.524, 171042.260497997 6592016.40280973 88.284, 171040.260498008 6592009.49280973 88.064, 171039.82049801 6592007.89280974 88.024, 171039.210498014 6592006.02280974 87.964, 171038.600498017 6592004.57280973 87.894, 171037.680498023 6592002.49280973 87.804, 171035.300498037 6591997.12280973 87.554, 171031.730498059 6591989.08280972 87.164, 171028.25049808 6591980.82280971 86.694)</t>
  </si>
  <si>
    <t>POLYGON Z ((171028.25049808 6591980.82280971 86.694, 171027.520498086 6591982.0528097 86.794, 171030.650498068 6591991.54280971 87.234, 171034.020498049 6592001.53280971 87.654, 171037.140498032 6592011.08280971 88.004, 171040.090498015 6592020.73280971 88.314, 171042.790498001 6592030.48280971 88.584, 171045.150497989 6592040.35280971 88.804, 171046.100497984 6592044.7128097 88.804, 171047.330497976 6592044.60280971 88.884, 171047.46049797 6592036.27280973 88.824, 171046.960497972 6592033.24280973 88.744, 171044.770497983 6592025.08280973 88.524, 171042.260497997 6592016.40280973 88.284, 171040.260498008 6592009.49280973 88.064, 171039.82049801 6592007.89280974 88.024, 171039.210498014 6592006.02280974 87.964, 171038.600498017 6592004.57280973 87.894, 171037.680498023 6592002.49280973 87.804, 171035.300498037 6591997.12280973 87.554, 171031.730498059 6591989.08280972 87.164, 171028.25049808 6591980.82280971 86.694))</t>
  </si>
  <si>
    <t>['RV36 S7D1 m3694-3769']</t>
  </si>
  <si>
    <t>LINESTRING Z (172381.050487068 6589662.49282366 41.883, 172374.330487121 6589671.2328236 41.413, 172368.460487166 6589678.88282354 41.033, 172363.890487202 6589684.8728235 40.743, 172362.010487217 6589687.59282348 40.613, 172359.850487234 6589691.53282346 40.383, 172356.74048726 6589698.67282342 40.023, 172353.620487286 6589705.86282338 39.613, 172351.510487304 6589710.70282336 39.383, 172352.450487297 6589711.09282337 39.323, 172356.930487261 6589702.51282341 39.763, 172363.28048721 6589691.77282348 40.333, 172364.380487201 6589690.05282349 40.433, 172368.220487171 6589684.34282353 40.743, 172372.870487135 6589677.98282357 41.073, 172376.150487109 6589673.7728236 41.293, 172380.980487072 6589667.89282365 41.603, 172387.450487022 6589660.4528237 42.013, 172396.790486951 6589650.21282379 42.593, 172389.120487008 6589656.18282373 42.243, 172384.760487041 6589659.55282369 42.043, 172382.260487059 6589661.63282366 41.923, 172381.050487068 6589662.49282366 41.883)</t>
  </si>
  <si>
    <t>POLYGON Z ((172381.050487068 6589662.49282366 41.883, 172374.330487121 6589671.2328236 41.413, 172368.460487166 6589678.88282354 41.033, 172363.890487202 6589684.8728235 40.743, 172362.010487217 6589687.59282348 40.613, 172359.850487234 6589691.53282346 40.383, 172356.74048726 6589698.67282342 40.023, 172353.620487286 6589705.86282338 39.613, 172351.510487304 6589710.70282336 39.383, 172352.450487297 6589711.09282337 39.323, 172356.930487261 6589702.51282341 39.763, 172363.28048721 6589691.77282348 40.333, 172364.380487201 6589690.05282349 40.433, 172368.220487171 6589684.34282353 40.743, 172372.870487135 6589677.98282357 41.073, 172376.150487109 6589673.7728236 41.293, 172380.980487072 6589667.89282365 41.603, 172387.450487022 6589660.4528237 42.013, 172396.790486951 6589650.21282379 42.593, 172389.120487008 6589656.18282373 42.243, 172384.760487041 6589659.55282369 42.043, 172382.260487059 6589661.63282366 41.923, 172381.050487068 6589662.49282366 41.883))</t>
  </si>
  <si>
    <t>['RV36 S8D1 m338-409']</t>
  </si>
  <si>
    <t>LINESTRING Z (170169.660505478 6593796.3428 76.285, 170170.79050547 6593797.26280001 76.215, 170176.060505426 6593790.72280006 76.645, 170181.840505379 6593784.31280011 77.145, 170187.120505336 6593778.84280016 77.395, 170196.290505263 6593770.07280024 78.055, 170203.940505201 6593763.40280031 78.505, 170209.620505156 6593758.77280036 78.745, 170215.090505113 6593754.5928004 79.045, 170223.300505048 6593748.67280047 79.445, 170222.750505051 6593747.86280047 79.495, 170207.430505171 6593756.01280035 78.835, 170206.360505179 6593756.67280034 78.835, 170205.150505189 6593757.65280033 78.725, 170197.680505249 6593764.39280026 78.215, 170192.090505294 6593769.43280021 77.875, 170186.720505337 6593774.35280017 77.555, 170183.87050536 6593776.96280014 77.395, 170182.560505371 6593778.26280013 77.315, 170181.600505378 6593779.52280012 77.245, 170179.830505393 6593782.03280011 77.095, 170175.39050543 6593788.29280006 76.765, 170169.660505478 6593796.3428 76.285)</t>
  </si>
  <si>
    <t>POLYGON Z ((170169.660505478 6593796.3428 76.285, 170170.79050547 6593797.26280001 76.215, 170176.060505426 6593790.72280006 76.645, 170181.840505379 6593784.31280011 77.145, 170187.120505336 6593778.84280016 77.395, 170196.290505263 6593770.07280024 78.055, 170203.940505201 6593763.40280031 78.505, 170209.620505156 6593758.77280036 78.745, 170215.090505113 6593754.5928004 79.045, 170223.300505048 6593748.67280047 79.445, 170222.750505051 6593747.86280047 79.495, 170207.430505171 6593756.01280035 78.835, 170206.360505179 6593756.67280034 78.835, 170205.150505189 6593757.65280033 78.725, 170197.680505249 6593764.39280026 78.215, 170192.090505294 6593769.43280021 77.875, 170186.720505337 6593774.35280017 77.555, 170183.87050536 6593776.96280014 77.395, 170182.560505371 6593778.26280013 77.315, 170181.600505378 6593779.52280012 77.245, 170179.830505393 6593782.03280011 77.095, 170175.39050543 6593788.29280006 76.765, 170169.660505478 6593796.3428 76.285))</t>
  </si>
  <si>
    <t>['RV36 S7D1 m7807-7883']</t>
  </si>
  <si>
    <t>LINESTRING Z (170766.11050065514 6593132.762805511 82.025, 170778.54050055583 6593120.322805619 82.775, 170782.76050052192 6593114.892805662 83.125, 170788.06050047872 6593108.0528057115 83.535, 170793.54050043412 6593101.042805762 84.015, 170800.30050037947 6593092.372805828 84.605, 170803.97050034895 6593086.252805866 84.995, 170809.89050030027 6593076.982805928 85.605, 170812.35050027975 6593073.52280595 85.875, 170811.1005002887 6593073.122805941 85.915, 170808.29050031176 6593076.732805916 85.645, 170796.0005004115 6593092.5328057995 84.465, 170783.71050051117 6593108.33280568 83.375, 170771.4205006109 6593124.132805562 82.475, 170765.02050066297 6593132.382805504 82.095, 170766.11050065514 6593132.762805511 82.025)</t>
  </si>
  <si>
    <t>POLYGON Z ((170766.11050065514 6593132.762805511 82.025, 170778.54050055583 6593120.322805619 82.775, 170782.76050052192 6593114.892805662 83.125, 170788.06050047872 6593108.0528057115 83.535, 170793.54050043412 6593101.042805762 84.015, 170800.30050037947 6593092.372805828 84.605, 170803.97050034895 6593086.252805866 84.995, 170809.89050030027 6593076.982805928 85.605, 170812.35050027975 6593073.52280595 85.875, 170811.1005002887 6593073.122805941 85.915, 170808.29050031176 6593076.732805916 85.645, 170796.0005004115 6593092.5328057995 84.465, 170783.71050051117 6593108.33280568 83.375, 170771.4205006109 6593124.132805562 82.475, 170765.02050066297 6593132.382805504 82.095, 170766.11050065514 6593132.762805511 82.025))</t>
  </si>
  <si>
    <t>['RV36 S7D1 m6550-6627']</t>
  </si>
  <si>
    <t>LINESTRING Z (171015.850498165 6591971.13280965 86.294, 171016.860498158 6591970.75280966 86.284, 171012.250498183 6591955.27280966 85.584, 171009.730498196 6591945.46280966 85.144, 171007.600498206 6591935.52280967 84.714, 171006.880498209 6591931.51280967 84.534, 171006.130498212 6591926.47280968 84.284, 171005.280498214 6591919.49280969 83.954, 171004.810498215 6591914.32280969 83.704, 171004.300498214 6591905.16280971 83.264, 171004.220498208 6591894.98280973 82.774, 171003.090498217 6591894.59280972 82.644, 171000.610498245 6591913.65280967 83.804, 171002.400498238 6591924.54280966 84.274, 171003.670498233 6591932.31280965 84.624, 171005.350498227 6591942.72280964 85.104, 171005.860498224 6591945.31280964 85.204, 171006.750498219 6591948.21280964 85.334, 171008.36049821 6591952.27280964 85.494, 171011.590498191 6591960.37280964 85.844, 171015.850498165 6591971.13280965 86.294)</t>
  </si>
  <si>
    <t>POLYGON Z ((171015.850498165 6591971.13280965 86.294, 171016.860498158 6591970.75280966 86.284, 171012.250498183 6591955.27280966 85.584, 171009.730498196 6591945.46280966 85.144, 171007.600498206 6591935.52280967 84.714, 171006.880498209 6591931.51280967 84.534, 171006.130498212 6591926.47280968 84.284, 171005.280498214 6591919.49280969 83.954, 171004.810498215 6591914.32280969 83.704, 171004.300498214 6591905.16280971 83.264, 171004.220498208 6591894.98280973 82.774, 171003.090498217 6591894.59280972 82.644, 171000.610498245 6591913.65280967 83.804, 171002.400498238 6591924.54280966 84.274, 171003.670498233 6591932.31280965 84.624, 171005.350498227 6591942.72280964 85.104, 171005.860498224 6591945.31280964 85.204, 171006.750498219 6591948.21280964 85.334, 171008.36049821 6591952.27280964 85.494, 171011.590498191 6591960.37280964 85.844, 171015.850498165 6591971.13280965 86.294))</t>
  </si>
  <si>
    <t>['RV36 S7D1 m7728-7803']</t>
  </si>
  <si>
    <t>LINESTRING Z (170851.53049995168 6593004.002806365 89.145, 170839.70050004724 6593018.602806254 88.785, 170836.01050007704 6593023.672806216 88.595, 170831.7105001122 6593029.612806175 88.345, 170826.2005001569 6593037.192806119 87.975, 170821.3605001967 6593043.842806074 87.645, 170808.46050030325 6593064.102805943 86.165, 170809.03050029976 6593065.182805943 86.205, 170815.51050024736 6593056.852806008 86.825, 170821.5405001982 6593049.002806064 87.355, 170826.9805001543 6593041.862806117 87.795, 170839.27050005383 6593024.972806238 88.605, 170844.27050001256 6593017.582806286 88.865, 170852.24049994687 6593004.782806369 89.215, 170851.4304999523 6593004.122806363 89.145, 170851.53049995168 6593004.002806365 89.145)</t>
  </si>
  <si>
    <t>['RV36 S7D1 m5127-5163']</t>
  </si>
  <si>
    <t>LINESTRING Z (171810.810491758 6590819.132817436 47.324, 171805.17049179884 6590819.232817401 47.394, 171803.010491814 6590819.092817385 47.474, 171797.31049185514 6590819.16281735 47.574, 171796.05049186468 6590820.232817336 47.594, 171785.42049194628 6590829.042817248 47.704, 171783.31049196696 6590839.902817207 47.834, 171782.95049197122 6590842.982817203 47.904, 171810.810491758 6590819.132817436 47.324)</t>
  </si>
  <si>
    <t>POLYGON Z ((171810.810491758 6590819.132817436 47.324, 171805.17049179884 6590819.232817401 47.394, 171803.010491814 6590819.092817385 47.474, 171797.31049185514 6590819.16281735 47.574, 171796.05049186468 6590820.232817336 47.594, 171785.42049194628 6590829.042817248 47.704, 171783.31049196696 6590839.902817207 47.834, 171782.95049197122 6590842.982817203 47.904, 171810.810491758 6590819.132817436 47.324))</t>
  </si>
  <si>
    <t>2018-06-29</t>
  </si>
  <si>
    <t>['FV40 S6D1 m6326-6395']</t>
  </si>
  <si>
    <t>LINESTRING Z (213745.260009766 6595509 56.965, 213750.770019531 6595525.01000977 57.035, 213752.300048828 6595535.37011719 57.155, 213756.08996582 6595561.15991211 57.525, 213755.75 6595576.87011719 58.005)</t>
  </si>
  <si>
    <t>POINT (213752.67172600635 6595542.591659363)</t>
  </si>
  <si>
    <t>['FV304 S2D1 m550-608']</t>
  </si>
  <si>
    <t>LINESTRING Z (216602.270019531 6568111.5300293 11.191, 216603.360107422 6568106.43994141 11.161, 216604.459960938 6568101.87988281 11.141, 216605.989990234 6568095.93994141 11.191, 216606.739990234 6568092.92993164 11.231, 216608.270019531 6568087.62011719 11.261, 216609.360107422 6568084.12988281 11.331, 216611.5 6568077.64990234 11.391, 216613.310058594 6568072.67993164 11.501, 216615.179931641 6568067.80004883 11.601, 216617 6568063.11010742 11.711, 216619.030029297 6568058.5 11.841, 216620.110107422 6568058.87988281 11.781, 216619.530029297 6568060.84008789 11.711, 216617.629882813 6568069.14990234 11.531, 216616.320068359 6568074.88989258 11.421, 216616.090087891 6568075.86010742 11.391, 216615.830078125 6568076.79003906 11.371, 216615.489990234 6568077.81005859 11.331, 216613.25 6568084.56005859 11.281, 216610.449951172 6568093.34008789 11.201, 216610.110107422 6568094.38989258 11.191, 216609.780029297 6568095.25 11.181, 216609.379882813 6568096.18994141 11.151, 216608.969970703 6568097.05004883 11.151, 216605.5 6568104.15991211 11.141, 216605.080078125 6568105.06005859 11.131, 216604.699951172 6568105.9699707 11.141, 216604.429931641 6568106.82006836 11.121, 216603.760009766 6568109.22998047 11.141, 216602.270019531 6568111.5300293 11.191)</t>
  </si>
  <si>
    <t>['FV304 S2D1 m492-549']</t>
  </si>
  <si>
    <t>LINESTRING Z (216640.879882813 6568005.55004883 14.411, 216637.270019531 6568012.10998535 13.901, 216632.149902344 6568021.30004883 13.391, 216627.800048828 6568029.14001465 12.971, 216623 6568037.98999023 12.621, 216618.379882813 6568047.23999024 12.311, 216617.120117188 6568050.10009766 12.221, 216615.760009766 6568052.95996094 12.151, 216614.320068359 6568055.65991211 12.051, 216614.280029297 6568055.72998047 12.051, 216613.870117188 6568055.34008789 12.101, 216614.310058594 6568054.41992188 12.141, 216614.689941406 6568053.45996094 12.161, 216614.989990234 6568052.58007813 12.161, 216615.300048828 6568051.63989258 12.191, 216616.939941406 6568045.43005371 12.401, 216618.580078125 6568038.7199707 12.601, 216618.889892578 6568037.76000977 12.641, 216619.25 6568036.82995606 12.671, 216619.669921875 6568035.91003418 12.711, 216620.139892578 6568035 12.731, 216620.600097656 6568034.14001465 12.771, 216624.010009766 6568028.42004395 13.051, 216629.229980469 6568019.16003418 13.481, 216629.540039063 6568018.70996094 13.511, 216629.820068359 6568018.31994629 13.541, 216630.280029297 6568017.59997559 13.581, 216630.879882813 6568016.81005859 13.631, 216631.620117188 6568015.9699707 13.681, 216632.179931641 6568015.22998047 13.721, 216635.030029297 6568012.16003418 13.911, 216638.709960938 6568007.75 14.191, 216639.270019531 6568006.9699707 14.241, 216640.270019531 6568005.29003906 14.341, 216640.879882813 6568005.55004883 14.411)</t>
  </si>
  <si>
    <t>2019-01-09</t>
  </si>
  <si>
    <t>['KV3890 S1D1 m2498-2557']</t>
  </si>
  <si>
    <t>LINESTRING Z (267337.9377425624 7035108.682865051 159.092, 267340.2039633646 7035118.580438129 159.032, 267341.4722770708 7035124.059232556 158.982, 267341.7731758215 7035125.015883659 158.982, 267345.4027097996 7035140.654681343 158.872, 267347.44987927156 7035149.396963554 158.782, 267347.61972755205 7035150.456373549 158.832, 267350.20220363105 7035161.902110788 158.712, 267351.25212476903 7035166.446655142 158.692)</t>
  </si>
  <si>
    <t>POINT (267344.6367242867 7035137.55499949)</t>
  </si>
  <si>
    <t>LINESTRING Z (267357.65955374565 7035164.900172132 158.682, 267355.81866787525 7035157.28422947 158.742, 267353.5465544871 7035147.5379629405 158.812, 267353.2456556009 7035146.581311966 158.792, 267350.4669657649 7035134.651497308 158.892, 267347.60318804765 7035122.136717054 159.022, 267347.4579426133 7035121.125246961 159.052, 267345.820705719 7035113.751480048 159.092, 267344.4205756143 7035107.511207158 159.122)</t>
  </si>
  <si>
    <t>POINT (267350.921967123 7035136.232638807)</t>
  </si>
  <si>
    <t>['FV545 S2D1 m10365-10432']</t>
  </si>
  <si>
    <t>LINESTRING Z (-39339.04 6680386.58 39.26, -39338.83 6680385.6 39.23, -39338.69 6680384.93 39.22, -39338.63 6680384.62 39.21, -39338.42 6680383.63 39.18, -39338.24 6680382.75 39.16, -39338.22 6680382.66 39.16, -39338.01 6680381.67 39.13, -39337.81 6680380.7 39.11, -39337.6 6680379.71 39.08, -39337.4 6680378.74 39.06, -39337.19 6680377.75 39.03, -39336.98 6680376.77 39, -39336.78 6680375.79 38.98, -39336.56 6680374.81 38.95, -39336.36 6680373.83 38.93, -39336.15 6680372.85 38.9, -39336.04 6680372.34 38.89, -39335.94 6680371.87 38.88, -39335.73 6680370.89 38.85, -39335.52 6680369.91 38.83, -39335.48 6680369.7 38.82, -39335.42 6680369.45 38.81, -39335.31 6680368.94 38.8, -39335.24 6680368.63 38.79, -39335.21 6680368.44 38.79, -39335.11 6680367.95 38.77, -39334.89 6680366.98 38.75, -39334.68 6680365.99 38.72, -39334.65 6680365.86 38.72, -39334.49 6680365.12 38.7, -39334.47 6680365.01 38.7, -39334.25 6680364.04 38.67, -39334.15 6680363.54 38.66, -39334.05 6680363.06 38.65, -39333.84 6680362.07 38.62, -39333.63 6680361.1 38.6, -39333.41 6680360.12 38.57, -39333.2 6680359.14 38.54, -39332.99 6680358.16 38.52, -39332.76 6680357.18 38.49, -39332.55 6680356.21 38.47, -39332.34 6680355.22 38.44, -39332.12 6680354.24 38.42, -39331.91 6680353.27 38.39, -39331.69 6680352.29 38.37, -39331.48 6680351.31 38.34, -39331.26 6680350.33 38.31, -39331.05 6680349.35 38.29, -39330.83 6680348.37 38.26, -39330.61 6680347.4 38.24, -39330.39 6680346.42 38.21, -39330.18 6680345.44 38.19, -39329.95 6680344.47 38.16, -39329.74 6680343.49 38.14, -39329.52 6680342.5 38.11, -39329.4 6680342 38.1, -39329.3 6680341.53 38.08, -39329.15 6680340.85 38.07, -39329.12 6680340.76 38.06, -39329.08 6680340.55 38.06, -39328.86 6680339.57 38.03, -39328.72 6680338.94 38.02, -39328.64 6680338.6 38.01, -39328.54 6680338.14 38, -39328.42 6680337.62 37.98, -39328.2 6680336.64 37.96, -39327.98 6680335.67 37.93, -39327.75 6680334.69 37.91, -39327.53 6680333.71 37.88, -39327.31 6680332.73 37.85, -39327.27 6680332.52 37.85, -39327.08 6680331.76 37.83, -39326.87 6680330.78 37.8, -39326.65 6680329.8 37.78, -39326.42 6680328.82 37.75, -39326.19 6680327.85 37.73, -39325.97 6680326.87 37.7, -39325.74 6680325.9 37.68, -39325.52 6680324.93 37.65, -39325.41 6680324.45 37.64, -39325.3 6680323.95 37.62, -39325.07 6680322.97 37.6, -39324.92 6680322.31 37.58, -39325.01 6680322.99 37.6, -39325.14 6680323.98 37.63, -39325.19 6680324.51 37.64, -39325.22 6680324.99 37.66, -39325.3 6680326 37.69, -39325.38 6680327.01 37.71, -39325.46 6680328.02 37.74, -39325.54 6680329.03 37.77, -39325.62 6680330.04 37.8, -39325.7 6680331.05 37.83, -39325.78 6680332.06 37.86, -39325.84 6680332.84 37.88, -39325.86 6680333.06 37.88, -39325.94 6680334.08 37.91, -39326.01 6680335.08 37.94, -39326.08 6680336.1 37.97, -39326.16 6680337.1 38, -39326.24 6680338.12 38.03, -39326.28 6680338.65 38.04, -39326.33 6680339.12 38.06, -39326.36 6680339.46 38.06, -39326.45 6680340.12 38.08, -39326.64 6680341.1 38.11, -39326.68 6680341.31 38.11, -39326.69 6680341.4 38.12, -39326.84 6680342.08 38.13, -39326.95 6680342.55 38.15, -39327.06 6680343.07 38.16, -39327.27 6680344.04 38.19, -39327.49 6680345.02 38.21, -39327.7 6680345.99 38.24, -39327.91 6680346.97 38.26, -39328.13 6680347.95 38.29, -39328.35 6680348.92 38.31, -39328.56 6680349.9 38.34, -39328.77 6680350.89 38.37, -39328.99 6680351.86 38.39, -39329.2 6680352.84 38.42, -39329.41 6680353.82 38.44, -39329.63 6680354.79 38.47, -39329.85 6680355.77 38.49, -39330.06 6680356.74 38.52, -39330.28 6680357.73 38.54, -39330.49 6680358.71 38.57, -39330.7 6680359.68 38.6, -39330.92 6680360.66 38.62, -39331.14 6680361.64 38.65, -39331.35 6680362.61 38.67, -39331.56 6680363.59 38.7, -39331.67 6680364.08 38.71, -39331.78 6680364.58 38.72, -39331.99 6680365.55 38.75, -39332.01 6680365.65 38.75, -39332.18 6680366.4 38.77, -39332.2 6680366.53 38.77, -39332.42 6680367.5 38.8, -39332.64 6680368.48 38.82, -39332.75 6680368.98 38.84, -39332.78 6680369.16 38.84, -39332.85 6680369.46 38.85, -39332.97 6680369.97 38.86, -39333.02 6680370.23 38.87, -39333.07 6680370.43 38.88, -39333.33 6680371.41 38.9, -39333.65 6680372.36 38.92, -39333.81 6680372.82 38.93, -39334 6680373.31 38.95, -39334.36 6680374.26 38.97, -39334.72 6680375.21 38.99, -39335.08 6680376.15 39.01, -39335.44 6680377.1 39.04, -39335.81 6680378.05 39.06, -39336.16 6680379 39.08, -39336.52 6680379.94 39.1, -39336.89 6680380.89 39.13, -39337.24 6680381.83 39.15, -39337.61 6680382.78 39.17, -39337.64 6680382.88 39.17, -39337.97 6680383.73 39.19, -39338.32 6680384.68 39.22, -39338.44 6680384.98 39.22, -39338.68 6680385.63 39.24, -39338.98 6680386.59 39.26, -39339.23 6680387.57 39.29, -39339.26 6680387.73 39.29, -39339.04 6680386.58 39.26)</t>
  </si>
  <si>
    <t>2017-12-07</t>
  </si>
  <si>
    <t>['FV325 S2D1 m3183-3234']</t>
  </si>
  <si>
    <t>LINESTRING Z (238688.190002441 6584819.55004883 75.87, 238685.036987305 6584820.875 76, 238687.570007324 6584826.44995117 75.99, 238690.790008545 6584833.59008789 76, 238694.290008545 6584841.11010742 76.01, 238698.190002441 6584849.48999023 76, 238702.269989014 6584857.91992188 76.03, 238702.779998779 6584858.97998047 76.04, 238704.730010986 6584862.95996094 76.02, 238706.450012207 6584866.62988281 76.05, 238706.899993897 6584866.41992187 76.02, 238706.519989014 6584864.77001953 76.02, 238704.470001221 6584858.63989258 75.96, 238703.040008545 6584852.87011719 75.95, 238702.890014648 6584852.31005859 75.94, 238702.779998779 6584851.87011719 75.93, 238701.600006104 6584848.95996094 75.96, 238701.429992676 6584848.92993164 75.95, 238699.760009766 6584845.29003906 76.09, 238696.260009766 6584837.67993164 76.1, 238692.640014648 6584829.85009766 76.07, 238692.209991455 6584828.91992188 76.06, 238689.5 6584823.07006836 76, 238688.809997559 6584821.57006836 75.99, 238688.410003662 6584820.52001953 75.93, 238688.190002441 6584819.55004883 75.87)</t>
  </si>
  <si>
    <t>POLYGON Z ((238688.190002441 6584819.55004883 75.87, 238685.036987305 6584820.875 76, 238687.570007324 6584826.44995117 75.99, 238690.790008545 6584833.59008789 76, 238694.290008545 6584841.11010742 76.01, 238698.190002441 6584849.48999023 76, 238702.269989014 6584857.91992188 76.03, 238702.779998779 6584858.97998047 76.04, 238704.730010986 6584862.95996094 76.02, 238706.450012207 6584866.62988281 76.05, 238706.899993897 6584866.41992187 76.02, 238706.519989014 6584864.77001953 76.02, 238704.470001221 6584858.63989258 75.96, 238703.040008545 6584852.87011719 75.95, 238702.890014648 6584852.31005859 75.94, 238702.779998779 6584851.87011719 75.93, 238701.600006104 6584848.95996094 75.96, 238701.429992676 6584848.92993164 75.95, 238699.760009766 6584845.29003906 76.09, 238696.260009766 6584837.67993164 76.1, 238692.640014648 6584829.85009766 76.07, 238692.209991455 6584828.91992188 76.06, 238689.5 6584823.07006836 76, 238688.809997559 6584821.57006836 75.99, 238688.410003662 6584820.52001953 75.93, 238688.190002441 6584819.55004883 75.87))</t>
  </si>
  <si>
    <t>['FV325 S2D1 m3015-3075']</t>
  </si>
  <si>
    <t>LINESTRING Z (238611.820007324 6584668.90991211 74.929, 238611.429992676 6584670.83007813 74.929, 238613.320007324 6584677.70996094 75.099, 238615.470001221 6584685.57006836 75.189, 238615.480010986 6584685.58007812 75.179, 238615.700012207 6584686.32006836 75.209, 238616.130004883 6584687.32006836 75.219, 238619.519989014 6584695.34008789 75.299, 238624.100006104 6584706.13989258 75.339, 238627.190002441 6584713.43994141 75.389, 238628.200012207 6584715.7800293 75.399, 238628.649993897 6584716.63989258 75.409, 238629.170013428 6584717.52001953 75.419, 238631.299987793 6584721.10009766 75.409, 238633.220001221 6584724.2800293 75.439, 238635.230010986 6584724 75.529, 238629.540008545 6584711.26293945 75.329, 238622.627990723 6584695.34594727 75.129, 238611.820007324 6584668.90991211 74.929)</t>
  </si>
  <si>
    <t>POLYGON Z ((238611.820007324 6584668.90991211 74.929, 238611.429992676 6584670.83007813 74.929, 238613.320007324 6584677.70996094 75.099, 238615.470001221 6584685.57006836 75.189, 238615.480010986 6584685.58007812 75.179, 238615.700012207 6584686.32006836 75.209, 238616.130004883 6584687.32006836 75.219, 238619.519989014 6584695.34008789 75.299, 238624.100006104 6584706.13989258 75.339, 238627.190002441 6584713.43994141 75.389, 238628.200012207 6584715.7800293 75.399, 238628.649993897 6584716.63989258 75.409, 238629.170013428 6584717.52001953 75.419, 238631.299987793 6584721.10009766 75.409, 238633.220001221 6584724.2800293 75.439, 238635.230010986 6584724 75.529, 238629.540008545 6584711.26293945 75.329, 238622.627990723 6584695.34594727 75.129, 238611.820007324 6584668.90991211 74.929))</t>
  </si>
  <si>
    <t>['FV325 S2D1 m2656-2719']</t>
  </si>
  <si>
    <t>LINESTRING Z (238520.584991455 6584389.3190918 71.619, 238521.109985352 6584389.25 71.619, 238521.049987793 6584388.23999024 71.609, 238521.079986572 6584387.10009766 71.599, 238521.299987793 6584379.05004883 71.499, 238521.420013428 6584374.37011719 71.409, 238521.429992676 6584374.12011719 71.409, 238520.299987793 6584363.72998047 71.399, 238519.529998779 6584356.23999024 71.349, 238519 6584350.7800293 71.159, 238517.899993896 6584339.59008789 71.089, 238517.709991455 6584338.07006836 71.109, 238516.380004883 6584333.15991211 71.169, 238515.589996338 6584330.16992188 71.159, 238515.079986572 6584327.34008789 71.129, 238514.799987793 6584326.12988281 71.109, 238514 6584326.0300293 71.199, 238514.399993897 6584333.56005859 71.249, 238514.989990234 6584341.31005859 71.319, 238515.619995117 6584349.09008789 71.309, 238516.399993897 6584356.87011719 71.339, 238517.239990234 6584364.66992188 71.389, 238518.109985352 6584372.44995117 71.419, 238519.089996338 6584380.12011719 71.459, 238519.390014648 6584382.07006836 71.489, 238519.660003662 6584383.95996094 71.499, 238519.929992676 6584385.81005859 71.499, 238520.584991455 6584389.3190918 71.619)</t>
  </si>
  <si>
    <t>POLYGON Z ((238520.584991455 6584389.3190918 71.619, 238521.109985352 6584389.25 71.619, 238521.049987793 6584388.23999024 71.609, 238521.079986572 6584387.10009766 71.599, 238521.299987793 6584379.05004883 71.499, 238521.420013428 6584374.37011719 71.409, 238521.429992676 6584374.12011719 71.409, 238520.299987793 6584363.72998047 71.399, 238519.529998779 6584356.23999024 71.349, 238519 6584350.7800293 71.159, 238517.899993896 6584339.59008789 71.089, 238517.709991455 6584338.07006836 71.109, 238516.380004883 6584333.15991211 71.169, 238515.589996338 6584330.16992188 71.159, 238515.079986572 6584327.34008789 71.129, 238514.799987793 6584326.12988281 71.109, 238514 6584326.0300293 71.199, 238514.399993897 6584333.56005859 71.249, 238514.989990234 6584341.31005859 71.319, 238515.619995117 6584349.09008789 71.309, 238516.399993897 6584356.87011719 71.339, 238517.239990234 6584364.66992188 71.389, 238518.109985352 6584372.44995117 71.419, 238519.089996338 6584380.12011719 71.459, 238519.390014648 6584382.07006836 71.489, 238519.660003662 6584383.95996094 71.499, 238519.929992676 6584385.81005859 71.499, 238520.584991455 6584389.3190918 71.619))</t>
  </si>
  <si>
    <t>['FV325 S2D1 m2606-2669']</t>
  </si>
  <si>
    <t>LINESTRING Z (238503.920013428 6584318.97998047 71.459, 238503.989990234 6584324.48999023 71.469, 238504.040008545 6584325.56005859 71.469, 238504.170013428 6584326.59008789 71.479, 238505.609985352 6584332.75 71.439, 238507.320007324 6584339.92993164 71.489, 238508.235992432 6584339.86694336 71.489, 238508.059997559 6584337.29003906 71.469, 238507.559997559 6584329.40991211 71.409, 238507.279998779 6584321.5 71.409, 238507.010009766 6584313.67993164 71.379, 238506.890014648 6584305.73999023 71.339, 238506.859985352 6584297.84008789 71.339, 238506.899993897 6584289.93994141 71.249, 238507.089996338 6584282.09008789 71.229, 238507.309997559 6584276.10009766 71.199, 238506.130004883 6584279.43994141 71.219, 238503.429992676 6584286.83007813 71.069, 238503.429992676 6584287.5300293 71.089, 238503.429992676 6584288.2199707 71.099, 238503.480010986 6584289.17993164 71.099, 238503.519989014 6584290.13989258 71.099, 238503.630004883 6584291.16992188 71.139, 238503.609985352 6584291.19995117 71.179, 238503.700012207 6584298.55004883 71.429, 238503.790008545 6584307.33007812 71.479, 238503.880004883 6584315.86010742 71.469, 238503.920013428 6584318.97998047 71.459)</t>
  </si>
  <si>
    <t>POLYGON Z ((238503.920013428 6584318.97998047 71.459, 238503.989990234 6584324.48999023 71.469, 238504.040008545 6584325.56005859 71.469, 238504.170013428 6584326.59008789 71.479, 238505.609985352 6584332.75 71.439, 238507.320007324 6584339.92993164 71.489, 238508.235992432 6584339.86694336 71.489, 238508.059997559 6584337.29003906 71.469, 238507.559997559 6584329.40991211 71.409, 238507.279998779 6584321.5 71.409, 238507.010009766 6584313.67993164 71.379, 238506.890014648 6584305.73999023 71.339, 238506.859985352 6584297.84008789 71.339, 238506.899993897 6584289.93994141 71.249, 238507.089996338 6584282.09008789 71.229, 238507.309997559 6584276.10009766 71.199, 238506.130004883 6584279.43994141 71.219, 238503.429992676 6584286.83007813 71.069, 238503.429992676 6584287.5300293 71.089, 238503.429992676 6584288.2199707 71.099, 238503.480010986 6584289.17993164 71.099, 238503.519989014 6584290.13989258 71.099, 238503.630004883 6584291.16992188 71.139, 238503.609985352 6584291.19995117 71.179, 238503.700012207 6584298.55004883 71.429, 238503.790008545 6584307.33007812 71.479, 238503.880004883 6584315.86010742 71.469, 238503.920013428 6584318.97998047 71.459))</t>
  </si>
  <si>
    <t>['FV325 S2D1 m3632-3701']</t>
  </si>
  <si>
    <t>LINESTRING Z (238939.883998871 6585187.45495605 78.78, 238949.112998962 6585197.80297852 79.53, 238955.549999237 6585205.48999024 78.95, 238961.810001373 6585212.56994629 79.09, 238967.939998627 6585219.29003906 79.19, 238974.450000763 6585226.27001953 79.35, 238980.659999847 6585232.83996582 79.52, 238985.916000366 6585237.97802734 79.68, 238986.329999924 6585237.57995605 79.63, 238983.25 6585233.67004395 79.52, 238979.979999542 6585229.42004395 79.38, 238979.870000839 6585229.45996094 79.4, 238977.36000061 6585225.57995606 79.43, 238977.350000381 6585225.56994629 79.43, 238976.340000153 6585224 79.38, 238975.690000534 6585223.13000488 79.38, 238974.989999771 6585222.27001953 79.39, 238972.280000687 6585219.25 79.33, 238968.020000458 6585214.52001953 79.23, 238963.830001831 6585209.89001465 79.17, 238958.700000763 6585204.19995117 79.06, 238955.13999939 6585200.26000977 79, 238954.400001526 6585199.44995117 78.99, 238953.630001068 6585198.66003418 78.99, 238952.759998322 6585197.93005371 79, 238951.490001678 6585196.84997559 78.98, 238950.689998627 6585196.16003418 78.97, 238949.369998932 6585195.07995606 78.82, 238949.439998627 6585194.98999023 78.81, 238945.810001373 6585191.93994141 78.77, 238940.259998322 6585187.0300293 78.74, 238939.883998871 6585187.45495605 78.78)</t>
  </si>
  <si>
    <t>POLYGON Z ((238939.883998871 6585187.45495605 78.78, 238949.112998962 6585197.80297852 79.53, 238955.549999237 6585205.48999024 78.95, 238961.810001373 6585212.56994629 79.09, 238967.939998627 6585219.29003906 79.19, 238974.450000763 6585226.27001953 79.35, 238980.659999847 6585232.83996582 79.52, 238985.916000366 6585237.97802734 79.68, 238986.329999924 6585237.57995605 79.63, 238983.25 6585233.67004395 79.52, 238979.979999542 6585229.42004395 79.38, 238979.870000839 6585229.45996094 79.4, 238977.36000061 6585225.57995606 79.43, 238977.350000381 6585225.56994629 79.43, 238976.340000153 6585224 79.38, 238975.690000534 6585223.13000488 79.38, 238974.989999771 6585222.27001953 79.39, 238972.280000687 6585219.25 79.33, 238968.020000458 6585214.52001953 79.23, 238963.830001831 6585209.89001465 79.17, 238958.700000763 6585204.19995117 79.06, 238955.13999939 6585200.26000977 79, 238954.400001526 6585199.44995117 78.99, 238953.630001068 6585198.66003418 78.99, 238952.759998322 6585197.93005371 79, 238951.490001678 6585196.84997559 78.98, 238950.689998627 6585196.16003418 78.97, 238949.369998932 6585195.07995606 78.82, 238949.439998627 6585194.98999023 78.81, 238945.810001373 6585191.93994141 78.77, 238940.259998322 6585187.0300293 78.74, 238939.883998871 6585187.45495605 78.78))</t>
  </si>
  <si>
    <t>2019-01-30</t>
  </si>
  <si>
    <t>[1533]</t>
  </si>
  <si>
    <t>['FV1533 S1D1 m416-464']</t>
  </si>
  <si>
    <t>LINESTRING Z (278673.14 6653243.65 105.999, 278666.42 6653251.34 106.039, 278663.33 6653254.95 106.069, 278660.57 6653258.13 106.069, 278658.66 6653259.77 106.089, 278654.98 6653262.88 106.119, 278651.93 6653265.48 106.139, 278649.33 6653267.7 106.139, 278646.98 6653268.98 106.129, 278644.09 6653270.64 106.109, 278641.39 6653272.37 106.089, 278638.82 6653273.64 106.069, 278636.87 6653274.73 106.059)</t>
  </si>
  <si>
    <t>POINT (278656.16437377944 6653260.602009737)</t>
  </si>
  <si>
    <t>2019-02-05</t>
  </si>
  <si>
    <t>[1410]</t>
  </si>
  <si>
    <t>['FV1410 S1D1 m1544-1566']</t>
  </si>
  <si>
    <t>LINESTRING Z (258395.54 6641714.88 30.167, 258385.55 6641720.08 30.587, 258383.33 6641721.23 30.707, 258382.22 6641721.82 30.767, 258381.12 6641722.39 30.827, 258380 6641722.96 30.897, 258378.89 6641723.55 30.967, 258377.79 6641724.12 31.057, 258376.67 6641724.7 31.147, 258376.12 6641724.98 31.167)</t>
  </si>
  <si>
    <t>POINT (258385.83155049532 6641719.933091665)</t>
  </si>
  <si>
    <t>LINESTRING Z (258397.23 6641717.97 29.947, 258397.15 6641718.01 29.947, 258396.25 6641718.47 29.977, 258395.68 6641718.78 29.987, 258395.6 6641718.81 29.987, 258395.41 6641718.91 29.997, 258395.36 6641718.95 29.997, 258394.87 6641719.19 30.007, 258394.47 6641719.41 30.017, 258393.58 6641719.87 30.047, 258393.52 6641719.9 30.047, 258392.68 6641720.33 30.077, 258391.79 6641720.8 30.117, 258390.9 6641721.26 30.157, 258390.23 6641721.61 30.197, 258390.01 6641721.72 30.207, 258389.12 6641722.19 30.257, 258388.22 6641722.65 30.297, 258387.33 6641723.11 30.347, 258386.44 6641723.57 30.397, 258385.55 6641724.05 30.447, 258384.65 6641724.51 30.497, 258383.76 6641724.97 30.537, 258382.87 6641725.44 30.587, 258381.98 6641725.9 30.637, 258381.85 6641725.96 30.647, 258381.08 6641726.36 30.687, 258380.19 6641726.82 30.737, 258380.13 6641726.86 30.737, 258379.47 6641727.2 30.767, 258379.39 6641727.25 30.777, 258379.31 6641727.29 30.787, 258379 6641727.44 30.807, 258378.41 6641727.75 30.847, 258377.74 6641728.1 30.897)</t>
  </si>
  <si>
    <t>POINT (258387.48527771793 6641723.034376023)</t>
  </si>
  <si>
    <t>['FV1410 S1D1 m382-443']</t>
  </si>
  <si>
    <t>LINESTRING Z (258162.27 6640711.02 94.188, 258162.98 6640711.59 94.168, 258163.05 6640711.64 94.168, 258163.21 6640711.77 94.178, 258163.77 6640712.25 94.158, 258163.81 6640712.28 94.158, 258164.55 6640712.96 94.138, 258165.1 6640713.53 94.118, 258165.21 6640713.64 94.118, 258165.25 6640713.68 94.118, 258165.94 6640714.42 94.088, 258166.62 6640715.16 94.068, 258167.31 6640715.9 94.048, 258167.81 6640716.43 94.028, 258167.99 6640716.63 94.028, 258168.68 6640717.37 93.998, 258169.37 6640718.1 93.968, 258170.06 6640718.84 93.948, 258170.74 6640719.58 93.918, 258171.41 6640720.29 93.898, 258172.11 6640721.05 93.868, 258172.8 6640721.79 93.838, 258173.01 6640722.02 93.838, 258173.49 6640722.52 93.818, 258174.18 6640723.26 93.798, 258174.86 6640724 93.778, 258175.55 6640724.74 93.758, 258176.16 6640725.39 93.738, 258176.24 6640725.47 93.738, 258176.61 6640725.86 93.718, 258176.65 6640725.9 93.718, 258176.95 6640726.19 93.718, 258177.68 6640726.86 93.688, 258177.85 6640727.01 93.688, 258178.17 6640727.27 93.678, 258178.48 6640727.53 93.668, 258179.26 6640728.16 93.648, 258180.04 6640728.79 93.628, 258180.82 6640729.42 93.608, 258180.86 6640729.45 93.608, 258181.59 6640730.05 93.588, 258182.37 6640730.68 93.558, 258182.83 6640731.05 93.548, 258182.96 6640731.16 93.548, 258183.14 6640731.3 93.538, 258183.92 6640731.93 93.528, 258184.69 6640732.56 93.508, 258185.47 6640733.19 93.488, 258185.84 6640733.5 93.478, 258186.25 6640733.82 93.468, 258187.03 6640734.45 93.458, 258187.8 6640735.08 93.438, 258188.58 6640735.71 93.418, 258189.36 6640736.34 93.408, 258190.13 6640736.97 93.388, 258190.24 6640737.06 93.388, 258190.93 6640737.62 93.378, 258191.71 6640738.25 93.368, 258192.48 6640738.88 93.358, 258193.26 6640739.51 93.348, 258193.72 6640739.88 93.348, 258194.04 6640740.14 93.338, 258194.49 6640740.51 93.338, 258194.81 6640740.76 93.338, 258195.59 6640741.4 93.328, 258196.37 6640742.03 93.318, 258197.14 6640742.66 93.308, 258197.92 6640743.29 93.298, 258198.7 6640743.92 93.298, 258199.47 6640744.55 93.288, 258200.25 6640745.18 93.278, 258201.03 6640745.81 93.268, 258201.3 6640746.03 93.268, 258201.49 6640746.18 93.268, 258201.54 6640746.23 93.268, 258201.81 6640746.44 93.258, 258203.91 6640747.81 93.338, 258206.01 6640749.18 93.278, 258210.21 6640751.92 93.168, 258212.33 6640753.22 93.108)</t>
  </si>
  <si>
    <t>POINT (258186.40970859627 6640733.179332554)</t>
  </si>
  <si>
    <t>['FV311 S3D1 m2671-2725']</t>
  </si>
  <si>
    <t>LINESTRING Z (242862.922119141 6581660.32202148 75.04, 242912.846923828 6581682.00097656 29.59, 242912.030029297 6581682.77001953 29.58, 242911.570068359 6581682.60009766 29.59, 242910.580078125 6581682.37988281 29.64, 242909.540039063 6581682.13989258 29.72, 242907.530029297 6581681.66992187 29.72, 242905.409912109 6581681.15991211 29.74, 242904.360107422 6581680.79003906 29.77, 242897.219970703 6581677.70996094 29.82, 242890.580078125 6581674.88989258 29.89, 242883.709960938 6581671.95996094 29.96, 242877.810058594 6581669.43994141 29.99, 242875.370117188 6581668.37011719 29.93, 242873.5 6581667.39990234 29.84, 242869.810058594 6581665.32006836 29.86, 242866.060058594 6581663.2199707 29.9, 242865.479980469 6581662.86010742 29.9, 242864.479980469 6581662.33007812 30.03, 242863.610107422 6581661.84008789 30.04, 242862.922119141 6581660.32202148 75.04)</t>
  </si>
  <si>
    <t>POLYGON Z ((242862.922119141 6581660.32202148 75.04, 242912.846923828 6581682.00097656 29.59, 242912.030029297 6581682.77001953 29.58, 242911.570068359 6581682.60009766 29.59, 242910.580078125 6581682.37988281 29.64, 242909.540039063 6581682.13989258 29.72, 242907.530029297 6581681.66992187 29.72, 242905.409912109 6581681.15991211 29.74, 242904.360107422 6581680.79003906 29.77, 242897.219970703 6581677.70996094 29.82, 242890.580078125 6581674.88989258 29.89, 242883.709960938 6581671.95996094 29.96, 242877.810058594 6581669.43994141 29.99, 242875.370117188 6581668.37011719 29.93, 242873.5 6581667.39990234 29.84, 242869.810058594 6581665.32006836 29.86, 242866.060058594 6581663.2199707 29.9, 242865.479980469 6581662.86010742 29.9, 242864.479980469 6581662.33007812 30.03, 242863.610107422 6581661.84008789 30.04, 242862.922119141 6581660.32202148 75.04))</t>
  </si>
  <si>
    <t>['FV311 S3D1 m2711-2777']</t>
  </si>
  <si>
    <t>LINESTRING Z (242963.600097656 6581693.90991211 29.51, 242957.929931641 6581690.41992188 29.55, 242952.570068359 6581687.12011719 29.55, 242951.689941406 6581686.58007813 29.56, 242950.709960938 6581686.10009766 29.56, 242943.459960937 6581683.02001953 29.61, 242935.350097656 6581679.56005859 29.64, 242927.290039063 6581676.12988281 29.64, 242921.590087891 6581673.7199707 29.69, 242920.570068359 6581673.37011719 29.69, 242917.159912109 6581672.37988281 29.71, 242913.070068359 6581671.18994141 29.73, 242903.800048828 6581668.51000977 29.82, 242902.770019531 6581668.19995117 29.71, 242907.270019531 6581670.93994141 29.71, 242914.510009766 6581673.94995117 29.64, 242921.75 6581676.97998047 29.58, 242929.030029297 6581680.0300293 29.56, 242938.030029297 6581683.83007813 29.55, 242947.090087891 6581687.62011719 29.53, 242956.070068359 6581691.41992188 29.49, 242963.600097656 6581693.90991211 29.51)</t>
  </si>
  <si>
    <t>POLYGON Z ((242963.600097656 6581693.90991211 29.51, 242957.929931641 6581690.41992188 29.55, 242952.570068359 6581687.12011719 29.55, 242951.689941406 6581686.58007813 29.56, 242950.709960938 6581686.10009766 29.56, 242943.459960937 6581683.02001953 29.61, 242935.350097656 6581679.56005859 29.64, 242927.290039063 6581676.12988281 29.64, 242921.590087891 6581673.7199707 29.69, 242920.570068359 6581673.37011719 29.69, 242917.159912109 6581672.37988281 29.71, 242913.070068359 6581671.18994141 29.73, 242903.800048828 6581668.51000977 29.82, 242902.770019531 6581668.19995117 29.71, 242907.270019531 6581670.93994141 29.71, 242914.510009766 6581673.94995117 29.64, 242921.75 6581676.97998047 29.58, 242929.030029297 6581680.0300293 29.56, 242938.030029297 6581683.83007813 29.55, 242947.090087891 6581687.62011719 29.53, 242956.070068359 6581691.41992188 29.49, 242963.600097656 6581693.90991211 29.51))</t>
  </si>
  <si>
    <t>['FV3080 S1D1 m978-1043']</t>
  </si>
  <si>
    <t>LINESTRING Z (236699.439941406 6562703.66992188 33.491, 236697.270019531 6562700.81005859 33.491, 236695.83996582 6562699.09008789 33.591, 236693.319946289 6562696.09008789 33.601, 236692.579956055 6562695.23999023 33.591, 236691.719970703 6562694.55004883 33.601, 236690.829956055 6562693.94995117 33.611, 236689.930053711 6562693.37988281 33.621, 236689.920043945 6562693.38989258 33.621, 236689.469970703 6562693.12988281 33.641, 236683.829956055 6562689.87988281 33.691, 236673.390014648 6562683.90991211 33.791, 236664.050048828 6562678.5300293 33.76, 236663.060058594 6562678.08007813 33.76, 236662.040039063 6562677.69995117 33.76, 236657.16003418 6562676.14990234 33.67, 236654.489990234 6562675.30004883 33.62, 236649.550048828 6562673.73999023 33.54, 236648.510009766 6562673.37988281 33.53, 236647.510009766 6562672.9699707 33.51, 236645.640014648 6562672.01000977 33.4, 236643.479980469 6562671.14990234 33.3, 236643.109985352 6562671.7199707 33.32, 236662.666992188 6562681.44091797 33.46, 236680.047973633 6562691.30810547 33.461, 236699.439941406 6562703.66992188 33.491)</t>
  </si>
  <si>
    <t>POLYGON Z ((236699.439941406 6562703.66992188 33.491, 236697.270019531 6562700.81005859 33.491, 236695.83996582 6562699.09008789 33.591, 236693.319946289 6562696.09008789 33.601, 236692.579956055 6562695.23999023 33.591, 236691.719970703 6562694.55004883 33.601, 236690.829956055 6562693.94995117 33.611, 236689.930053711 6562693.37988281 33.621, 236689.920043945 6562693.38989258 33.621, 236689.469970703 6562693.12988281 33.641, 236683.829956055 6562689.87988281 33.691, 236673.390014648 6562683.90991211 33.791, 236664.050048828 6562678.5300293 33.76, 236663.060058594 6562678.08007813 33.76, 236662.040039063 6562677.69995117 33.76, 236657.16003418 6562676.14990234 33.67, 236654.489990234 6562675.30004883 33.62, 236649.550048828 6562673.73999023 33.54, 236648.510009766 6562673.37988281 33.53, 236647.510009766 6562672.9699707 33.51, 236645.640014648 6562672.01000977 33.4, 236643.479980469 6562671.14990234 33.3, 236643.109985352 6562671.7199707 33.32, 236662.666992188 6562681.44091797 33.46, 236680.047973633 6562691.30810547 33.461, 236699.439941406 6562703.66992188 33.491))</t>
  </si>
  <si>
    <t>['FV21 S13D1 m7711-7741']</t>
  </si>
  <si>
    <t>LINESTRING Z (331937.550136579 6648132.99307106 140.852, 331938.140136578 6648133.12307106 140.812, 331940.670136576 6648134.51307106 140.612, 331942.400136574 6648135.44307106 140.462, 331944.450136573 6648136.42307106 140.292, 331946.110136571 6648137.51307106 140.172, 331947.68013657 6648138.72307106 140.062, 331949.570136568 6648140.38307106 139.922, 331950.470136568 6648141.41307105 139.862, 331951.670136567 6648143.00307105 139.792, 331952.700136566 6648144.71307105 139.742, 331953.520136565 6648146.47307104 139.712, 331953.930136564 6648147.51307104 139.712, 331954.320136564 6648148.49307104 139.702, 331956.590136562 6648153.75307103 139.772, 331957.170136562 6648155.54307103 139.782)</t>
  </si>
  <si>
    <t>POINT (331949.2584084574 6648142.547420997)</t>
  </si>
  <si>
    <t>['EV39 S1D1 m1991 KD1 m259-265', 'EV39 S1D1 m1991 KD2 m0-20']</t>
  </si>
  <si>
    <t>LINESTRING Z (262977.7 7030276.69 3.969, 262980.89 7030279.43 3.969, 262984.38 7030281.4 3.969, 262987.69 7030282.83 3.969, 262991.83 7030283.4 3.969, 262995.98 7030282.86 3.969, 262999.75 7030281.06 3.969, 263003 7030278.4 3.969, 263004.27 7030274.85 3.969)</t>
  </si>
  <si>
    <t>POINT (262991.8109415593 7030280.667401011)</t>
  </si>
  <si>
    <t>['EV39 S1D1 m2485-2537']</t>
  </si>
  <si>
    <t>LINESTRING Z (262396.43 7030358.44 15.997, 262434.41 7030347.39 16.197, 262434.69 7030347.27 16.207, 262434.62 7030347.3 16.207, 262434.98 7030347.2 16.217, 262436.82 7030346.73 16.227, 262439.61 7030345.89 16.227, 262442.3 7030345.09 16.247, 262445.17 7030344.17 16.287, 262446.62 7030343.74 16.288, 262433.57 7030344.39 16.357, 262428.3 7030345.08 16.417, 262416.48 7030348.51 16.347, 262413.68 7030349.41 16.297, 262408.77 7030351.49 16.167, 262396.43 7030358.44 15.997)</t>
  </si>
  <si>
    <t>POLYGON Z ((262396.43 7030358.44 15.997, 262434.41 7030347.39 16.197, 262434.69 7030347.27 16.207, 262434.62 7030347.3 16.207, 262434.98 7030347.2 16.217, 262436.82 7030346.73 16.227, 262439.61 7030345.89 16.227, 262442.3 7030345.09 16.247, 262445.17 7030344.17 16.287, 262446.62 7030343.74 16.288, 262433.57 7030344.39 16.357, 262428.3 7030345.08 16.417, 262416.48 7030348.51 16.347, 262413.68 7030349.41 16.297, 262408.77 7030351.49 16.167, 262396.43 7030358.44 15.997))</t>
  </si>
  <si>
    <t>2019-02-18</t>
  </si>
  <si>
    <t>['FV175 S2D1 m3290-3343']</t>
  </si>
  <si>
    <t>LINESTRING Z (298236.69 6662114.14 150.065, 298237.74 6662111.13 150.075, 298238.94 6662106.1 150.065, 298239.14 6662103.8 150.055, 298239.46 6662099.9 150.045, 298239.57 6662099 150.045, 298239.95 6662097.33 150.035, 298240.47 6662095.59 150.035, 298242.43 6662089.94 150.105, 298242.88 6662089.02 150.105, 298244.85 6662083.3 150.134, 298246.81 6662077.62 150.174, 298247.02 6662076.61 150.154, 298248.03 6662073.54 150.124, 298249.79 6662070.2 150.264, 298252.59 6662065.33 150.394, 298253.99 6662064.08 150.394)</t>
  </si>
  <si>
    <t>POINT (298243.72696373455 6662088.445912624)</t>
  </si>
  <si>
    <t>['FV175 S2D1 m3344-3391']</t>
  </si>
  <si>
    <t>LINESTRING Z (298228.06 6662161.8 149.975, 298229.31 6662161.15 149.925, 298231.27 6662159.13 149.875, 298231.85 6662158.36 149.875, 298232.85 6662155.45 149.905, 298233.19 6662153.89 149.885, 298233.7 6662152.28 149.925, 298233.92 6662151.28 149.945, 298235.86 6662145.57 149.965, 298237.81 6662139.85 149.965, 298238.25 6662138.93 149.975, 298240.39 6662132.66 149.975, 298241.13 6662130.27 149.985, 298241.47 6662128.42 149.985, 298242.09 6662121.77 150.045, 298242.92 6662117.75 150.065)</t>
  </si>
  <si>
    <t>POINT (298237.1883364689 6662140.617187944)</t>
  </si>
  <si>
    <t>2019-02-20</t>
  </si>
  <si>
    <t>['FV42 S1D1 m6482-6537']</t>
  </si>
  <si>
    <t>LINESTRING Z (130001.783 6501647.811 105.833, 129996.085 6501651.993 105.655, 129988.406 6501657.382 105.398, 129987.33 6501658.172 105.375, 129984.701 6501660.417 105.322, 129983.207 6501661.885 105.297, 129979.499 6501666.099 105.128, 129975.306 6501670.854 104.969, 129971.269 6501675.437 104.728, 129968.98 6501678.253 104.515, 129967.654 6501680.348 104.458, 129964.739 6501685.013 104.203, 129963.776 6501688.066 104.143)</t>
  </si>
  <si>
    <t>POINT (129980.84124841353 6501666.243601964)</t>
  </si>
  <si>
    <t>['FV42 S1D1 m6472-6531']</t>
  </si>
  <si>
    <t>LINESTRING Z (129974.698 6501690.084 104.513, 129977.644 6501687.607 104.653, 129982.309 6501684.001 104.823, 129983.049 6501683.281 104.883, 129989.482 6501676.555 105.158, 129996.123 6501669.638 105.438, 130000.949 6501664.872 105.603, 130006.886 6501659.288 105.639, 130013.239 6501653.319 105.857, 130016.103 6501650.711 105.973)</t>
  </si>
  <si>
    <t>POINT (129995.4899497275 6501670.5170412725)</t>
  </si>
  <si>
    <t>[541]</t>
  </si>
  <si>
    <t>['FV541 S3D1 m5783-5863']</t>
  </si>
  <si>
    <t>LINESTRING Z (-52039.73 6651409.78 14.501, -52038.74 6651419.7 14.231, -52037.57 6651429.61 14.001, -52036.21 6651439.49 13.821, -52034.66 6651449.34 13.691, -52032.92 6651459.17 13.611, -52031 6651468.95 13.601, -52028.89 6651478.7 13.631, -52026.59 6651488.41 13.651)</t>
  </si>
  <si>
    <t>POINT (-52034.14331335138 6651449.259483536)</t>
  </si>
  <si>
    <t>['FV541 S3D1 m5672-5752']</t>
  </si>
  <si>
    <t>LINESTRING Z (-52047.56 6651380.11 16.001, -52047.82 6651359.93 17.011, -52047.32 6651339.76 18.191, -52046.78 6651329.69 18.791, -52046.04 6651319.63 19.391, -52044 6651299.55 20.591)</t>
  </si>
  <si>
    <t>POINT (-52046.75240039471 6651339.786646931)</t>
  </si>
  <si>
    <t>2019-03-07</t>
  </si>
  <si>
    <t>[5028]</t>
  </si>
  <si>
    <t>['FV5028 S1D1 m727-780']</t>
  </si>
  <si>
    <t>LINESTRING Z (-16277.512321697955 6672214.19554102 9.63, -16274.47034086322 6672211.330355898 9.62, -16269.308718260843 6672206.308369518 9.58, -16265.659463657357 6672202.7030850155 9.59, -16264.78519761609 6672202.240765916 9.54, -16249.771569111675 6672191.729186814 9.44, -16248.999039339076 6672191.034452305 9.44, -16238.964467851212 6672185.8907533735 9.43, -16238.976274960558 6672185.871688714 9.43, -16234.886365554237 6672183.787137503 9.39, -16233.984867545601 6672183.292127074 9.38)</t>
  </si>
  <si>
    <t>POINT (-16256.686949669522 6672197.419482155)</t>
  </si>
  <si>
    <t>2019-03-14</t>
  </si>
  <si>
    <t>['FV420 S4D1 m4614-4652']</t>
  </si>
  <si>
    <t>LINESTRING Z (132327.483 6492502.123 19.623, 132328.416 6492502.655 19.612, 132329.397 6492503.192 19.634, 132330.373 6492503.645 19.634, 132331.334 6492504.11 19.639, 132332.31 6492504.583 19.64, 132333.247 6492505.083 19.654, 132334.227 6492505.619 19.668, 132335.141 6492506.152 19.673, 132335.971 6492506.738 19.683, 132336.856 6492507.367 19.698, 132337.75 6492507.997 19.712, 132338.638 6492508.639 19.717, 132340.422 6492509.922 19.69, 132341.325 6492510.557 19.741, 132342.207 6492511.171 19.748, 132343.101 6492511.83 19.749, 132343.967 6492512.439 19.753, 132345.463 6492513.5 19.762, 132347.93 6492515.278 19.808, 132349.341 6492516.284 19.832, 132350.531 6492517.159 19.829, 132353.126 6492519.014 19.859, 132354.841 6492520.218 19.863, 132356.34 6492521.304 19.874, 132357.784 6492522.32 19.885)</t>
  </si>
  <si>
    <t>POINT (132342.8697397208 6492511.834740717)</t>
  </si>
  <si>
    <t>2023-03-08</t>
  </si>
  <si>
    <t>['EV18 S13D1 m122 KD4 m7-70']</t>
  </si>
  <si>
    <t>LINESTRING Z (132205.67832781782 6492515.833060927 18.901, 132206.042501816 6492515.955626197 18.867, 132206.9204809533 6492515.167320325 18.875, 132208.49041113548 6492514.11228875 18.9, 132209.43351997196 6492513.329058342 18.913, 132209.7998269315 6492513.0369582595 18.897, 132209.67802700936 6492510.617634804 18.964, 132209.9392773008 6492509.271250755 19.002, 132210.01742595015 6492509.03986392 19.011, 132210.6794098143 6492508.204667958 19.02, 132211.36365284806 6492507.356176411 19.048, 132212.02354826115 6492506.498773703 19.068, 132212.70301060192 6492505.6619339585 19.075, 132213.349165875 6492504.783420605 19.079, 132214.01115127216 6492503.94822525 19.076, 132214.68852549582 6492503.089178887 19.074, 132215.36694455898 6492502.241236148 19.067, 132216.03057866375 6492501.361079139 19.047, 132216.6634359936 6492500.528624497 19.038, 132217.3562000334 6492499.645727508 19.019, 132218.04731659207 6492498.80779268 19, 132218.69660790882 6492497.962590774 18.982, 132219.36233261542 6492497.104641369 18.952, 132220.04762424488 6492496.267254966 18.913, 132220.7239568106 6492495.397106238 18.874, 132221.36637898645 6492494.541349351 18.831, 132222.04958255717 6492493.681756334 18.789, 132222.7348754409 6492492.84437044 18.748, 132223.46512771916 6492492.04756243 18.718, 132224.24781317066 6492491.24582228 18.691, 132225.05528799834 6492490.520162691 18.643, 132225.8673821147 6492489.906086292 18.612, 132226.7514759645 6492489.307640725 18.586, 132227.5831371799 6492488.71412761 18.554, 132229.29515632748 6492487.544924739 18.493, 132230.1744697895 6492486.958131504 18.462, 132231.91726783966 6492485.741227697 18.403, 132232.7859747705 6492485.166634616 18.38, 132233.62450806814 6492484.583678327 18.357, 132234.4599082275 6492483.967411723 18.33, 132235.30531235778 6492483.395011295 18.301, 132236.16714992787 6492482.809863514 18.281, 132237.02316185978 6492482.225263943 18.272, 132237.88499992498 6492481.640116558 18.241, 132238.781352776 6492480.9845123 18.221, 132239.6007620233 6492480.448163392 18.214, 132240.52624486724 6492479.789819507 18.191, 132241.43738365604 6492479.166430375 18.176, 132242.35434861603 6492478.542493454 18.161, 132243.1558404409 6492477.940620325 18.137, 132244.75536537427 6492476.950033123 18.103, 132245.63633154833 6492476.318281513 18.089, 132247.4199200949 6492475.097548935 18.05, 132249.25742780062 6492473.950157771 18.014, 132249.7687850981 6492473.700427312 18.006)</t>
  </si>
  <si>
    <t>['FV420 S4D1 m4665-4711']</t>
  </si>
  <si>
    <t>LINESTRING Z (132273.199 6492475.075 18.092, 132273.654 6492475.42 18.108, 132274.349 6492475.939 18.15, 132275.16 6492476.734 18.193, 132275.97 6492477.524 18.238, 132276.76 6492478.323 18.272, 132277.541 6492479.121 18.3, 132278.366 6492479.919 18.35, 132279.189 6492480.746 18.398, 132279.973 6492481.512 18.438, 132280.384 6492481.909 18.458, 132281.119 6492482.485 18.51, 132281.974 6492483.128 18.566, 132282.679 6492483.663 18.614, 132283.826 6492484.511 18.68, 132285.976 6492486.049 18.791, 132289.192 6492488.418 18.97, 132292.178 6492490.582 19.102, 132294.953 6492492.601 19.219, 132297.475 6492494.447 19.296, 132299.636 6492496.047 19.352, 132302.568 6492498.191 19.446, 132304.537 6492499.614 19.512, 132305.388 6492500.253 19.525, 132306.286 6492500.832 19.542, 132308.256 6492502.053 19.599, 132309.143 6492502.525 19.623, 132309.744 6492502.718 19.645, 132310.438 6492502.951 19.634)</t>
  </si>
  <si>
    <t>POINT (132291.31166347643 6492489.714025619)</t>
  </si>
  <si>
    <t>2019-03-19</t>
  </si>
  <si>
    <t>['FV5028 S1D1 m8046-8066']</t>
  </si>
  <si>
    <t>LINESTRING Z (-18711.586223872087 6669575.316832638 4.501, -18712.6085892244 6669575.369674803 4.471, -18717.59611481981 6669575.119044378 4.311, -18722.58182116272 6669574.888388971 4.181, -18728.69251704315 6669574.57893803 3.991, -18729.674061758036 6669574.41658394 3.961)</t>
  </si>
  <si>
    <t>POINT (-18720.63587941823 6669574.9702561265)</t>
  </si>
  <si>
    <t>['FV5028 S1D1 m2943-2992']</t>
  </si>
  <si>
    <t>LINESTRING Z (-17547.19 6672224.39 16.171, -17544.78 6672226.26 16.181, -17543.94 6672226.9 16.241, -17540.85 6672229.17 16.261, -17536.72 6672232.18 16.341, -17533.79 6672234.29 16.381, -17533.14 6672235.05 16.381, -17530.48 6672237.54 16.441, -17527.51 6672240.32 16.541, -17523.81 6672243.81 16.621, -17520.85 6672246.56 16.671, -17520.05 6672247.17 16.681, -17517.32 6672250.89 16.751, -17514.6 6672254.62 16.751, -17511.93 6672258.23 16.711)</t>
  </si>
  <si>
    <t>POINT (-17528.505973760268 6672240.255565793)</t>
  </si>
  <si>
    <t>2019-03-20</t>
  </si>
  <si>
    <t>['FV420 S10D1 m2733-2796']</t>
  </si>
  <si>
    <t>LINESTRING Z (110897.46 6474904.975 34.081, 110897.909 6474905.273 34.074, 110898.74 6474905.923 34.066, 110899.631 6474906.606 34.051, 110900.467 6474907.324 34.034, 110901.365 6474908.017 34.013, 110902.218 6474908.723 33.998, 110903.079 6474909.416 33.982, 110903.934 6474910.09 33.966, 110904.819 6474910.794 33.945, 110905.713 6474911.493 33.926, 110906.574 6474912.197 33.907, 110907.455 6474912.911 33.885, 110908.319 6474913.583 33.867, 110909.185 6474914.294 33.841, 110910.076 6474914.961 33.819, 110910.549 6474915.276 33.801, 110911.44 6474915.793 33.811, 110913.406 6474916.91 33.787, 110915.354 6474918.018 33.752, 110917.292 6474919.165 33.686, 110920.186 6474920.836 33.592, 110922.131 6474921.972 33.531, 110926.045 6474924.248 33.425, 110928.493 6474925.658 33.367, 110929.366 6474926.183 33.305, 110930.369 6474926.732 33.278, 110932.294 6474927.896 33.228, 110935.262 6474929.6 33.181, 110938.062 6474931.198 33.092, 110938.902 6474931.67 33.071, 110939.897 6474932.095 33.051, 110940.905 6474932.528 33.036, 110942.889 6474933.391 32.987, 110945.763 6474934.597 32.909, 110948.763 6474935.861 32.833, 110949.77 6474936.29 32.811, 110950.764 6474936.74 32.78, 110951.523 6474937.04 32.633)</t>
  </si>
  <si>
    <t>POINT (110923.7045271222 6474922.320081772)</t>
  </si>
  <si>
    <t>['FV420 S10D1 m2797-2831']</t>
  </si>
  <si>
    <t>LINESTRING Z (110901.296 6474895.597 34.005, 110900.614 6474895.132 34.173, 110899.298 6474894.289 34.188, 110897.243 6474892.977 34.208, 110894.749 6474891.389 34.236, 110892.402 6474889.883 34.267, 110889.594 6474888.094 34.312, 110886.794 6474886.297 34.333, 110883.968 6474884.479 34.366, 110883.09 6474883.952 34.333, 110882.45 6474883.551 34.34, 110881.501 6474882.926 34.348, 110879.591 6474881.72 34.364, 110878.65 6474881.115 34.374, 110876.83 6474879.949 34.385, 110875.898 6474879.341 34.395, 110874.932 6474878.766 34.394, 110874.068 6474878.258 34.405, 110873.083 6474877.757 34.418, 110872.087 6474877.212 34.423, 110871.996 6474877.164 34.424)</t>
  </si>
  <si>
    <t>POINT (110886.7120213193 6474886.269319871)</t>
  </si>
  <si>
    <t>2019-03-25</t>
  </si>
  <si>
    <t>['RV19 S4D1 m607-623']</t>
  </si>
  <si>
    <t>LINESTRING Z (243509.16 6593679.39 4.689, 243509.67 6593679.09 4.689, 243510.01 6593677.42 4.649, 243510.3 6593675.95 4.669, 243508.5 6593673.3 4.639, 243506.87 6593670.84 4.599, 243505.35 6593668.53 4.539, 243504.64 6593667.5 4.529, 243504.01 6593666.71 4.509, 243503.32 6593666.01 4.499, 243502.85 6593665.59 4.469, 243502.23 6593665.69 4.439, 243501.56 6593665.64 4.419, 243501.05 6593665.52 4.399, 243500.6 6593665.33 4.379, 243500.39 6593665.4 4.369, 243499.88 6593665.75 4.359)</t>
  </si>
  <si>
    <t>POLYGON Z ((243509.16 6593679.39 4.689, 243509.67 6593679.09 4.689, 243510.01 6593677.42 4.649, 243510.3 6593675.95 4.669, 243508.5 6593673.3 4.639, 243506.87 6593670.84 4.599, 243505.35 6593668.53 4.539, 243504.64 6593667.5 4.529, 243504.01 6593666.71 4.509, 243503.32 6593666.01 4.499, 243502.85 6593665.59 4.469, 243502.23 6593665.69 4.439, 243501.56 6593665.64 4.419, 243501.05 6593665.52 4.399, 243500.6 6593665.33 4.379, 243500.39 6593665.4 4.369, 243499.88 6593665.75 4.359, 243509.16 6593679.39 4.689))</t>
  </si>
  <si>
    <t>['RV19 S4D1 m522-622']</t>
  </si>
  <si>
    <t>LINESTRING Z (243493.86 6593671.17 4.419, 243492.65 6593671.88 4.429, 243492.14 6593672.03 4.449, 243492.8 6593673.05 4.449, 243494.04 6593674.89 4.459, 243495.57 6593677.14 4.499, 243496.91 6593679.13 4.529, 243498.35 6593681.28 4.559, 243500.03 6593683.78 4.579, 243501.13 6593685.4 4.589, 243501.89 6593686.54 4.599, 243502.26 6593687.16 4.599, 243502.51 6593687.69 4.599, 243502.96 6593688.71 4.599, 243503.74 6593690.54 4.609, 243504.66 6593692.69 4.609, 243505.58 6593694.58 4.649, 243506.47 6593696.1 4.669, 243507.41 6593697.67 4.689, 243508.55 6593699.45 4.699, 243510.06 6593701.81 4.719, 243512 6593704.84 4.719, 243513.81 6593707.67 4.739, 243515.56 6593710.36 4.739, 243517.51 6593713.41 4.739, 243518.99 6593715.73 4.749, 243520.19 6593717.61 4.759, 243521.76 6593720.09 4.759, 243523.27 6593722.53 4.769, 243524.53 6593724.57 4.769, 243525.71 6593726.51 4.779, 243526.92 6593728.51 4.769, 243527.83 6593730.18 4.759, 243528.74 6593732.08 4.749, 243529.7 6593734.08 4.739, 243530.58 6593735.94 4.729, 243530.88 6593736.1 4.719, 243531.28 6593736.35 4.729, 243531.82 6593736.82 4.759, 243532.75 6593738.05 4.769, 243534.4 6593740.34 4.809, 243536.45 6593743.15 4.849, 243538.25 6593745.72 4.809, 243540.07 6593748.13 4.839, 243541.97 6593750.79 4.859, 243544.16 6593753.81 4.829, 243545.63 6593755.8 4.859)</t>
  </si>
  <si>
    <t>POINT (243517.85552113503 6593713.489489229)</t>
  </si>
  <si>
    <t>['RV19 S4D1 m1401-1509']</t>
  </si>
  <si>
    <t>LINESTRING Z (243096.8 6593002.17 10.598, 243096.8 6593001.84 10.608, 243096.85 6593001.36 10.618, 243097 6593000.88 10.618, 243095.45 6592998.16 10.718, 243093.79 6592995.32 10.788, 243092.04 6592992.28 10.868, 243090.22 6592989.13 10.948, 243088.25 6592985.63 11.048, 243086.49 6592982.5 11.118, 243084.85 6592979.59 11.178, 243083.22 6592976.66 11.228, 243081.48 6592973.51 11.288, 243079.79 6592970.42 11.368, 243078.21 6592967.53 11.448, 243076.36 6592964.12 11.508, 243074.66 6592960.91 11.618, 243072.89 6592957.64 11.698, 243071.25 6592954.59 11.758, 243069.69 6592951.61 11.818, 243068.15 6592948.71 11.868, 243066.66 6592945.85 11.918, 243065.24 6592943.11 11.978, 243063.77 6592940.28 12.038, 243062.35 6592937.51 12.098, 243061.25 6592935.37 12.158, 243060.1 6592933.13 12.188, 243059.48 6592931.76 12.218, 243058.62 6592929.51 12.258, 243057.85 6592927.52 12.278, 243057.13 6592926.6 12.298, 243055.51 6592924.13 12.348, 243050.36 6592916 12.538, 243049.64 6592914.91 12.558, 243048.34 6592912.88 12.568, 243046.8 6592910.69 12.618, 243045.16 6592908.36 12.678, 243044.26 6592907.34 12.708)</t>
  </si>
  <si>
    <t>POINT (243071.33002262245 6592954.404385093)</t>
  </si>
  <si>
    <t>['RV19 S4D1 m1402-1419']</t>
  </si>
  <si>
    <t>LINESTRING Z (243074.95 6592992.87 11.398, 243076.1 6592994.85 11.298, 243077.43 6592997.2 11.218, 243078.84 6592999.68 11.148, 243080.23 6593002.13 11.078, 243081.5 6593004.34 11.028, 243082.43 6593006.01 11.008, 243083.3 6593007.51 10.968, 243083.81 6593008.35 10.978)</t>
  </si>
  <si>
    <t>POINT (243079.37265632243 6593000.6144043645)</t>
  </si>
  <si>
    <t>['FV308 S2D1 m905-975']</t>
  </si>
  <si>
    <t>LINESTRING Z (237829.35193570243 6580827.65734523 5.035, 237829.98513256613 6580827.88151358 5.035, 237831.2417823295 6580824.884134866 5.015, 237834.6842130156 6580818.162367905 4.945, 237837.2240608916 6580813.240390281 4.915, 237839.47363682865 6580808.887241028 5.045, 237839.9979791385 6580807.794854039 5.045, 237840.4879193846 6580806.655332123 4.985, 237842.01966948388 6580802.69860913 4.985, 237846.54875149083 6580790.874610244 4.735, 237848.99981080636 6580784.413201869 4.735, 237849.89461934293 6580781.971019105 4.735, 237850.72126270435 6580779.886685948 4.735, 237851.1823980261 6580778.428217549 4.735, 237852.14653333504 6580775.196000046 4.865, 237853.47753424704 6580770.5741183655 4.865, 237854.6624337103 6580766.337221783 4.865, 237855.86270135018 6580762.15922763 4.795)</t>
  </si>
  <si>
    <t>POINT (237843.99865769062 6580795.8000631)</t>
  </si>
  <si>
    <t>['FV308 S2D1 m1014-1071']</t>
  </si>
  <si>
    <t>LINESTRING Z (237887.73271929327 6580643.181994194 4.395, 237886.93417478504 6580645.243691104 4.395, 237886.35606801827 6580646.8533996185 4.395, 237886.2144668155 6580647.288219768 4.325, 237883.78785176895 6580652.240158403 4.405, 237882.19796423888 6580656.443289177 4.485, 237880.28044000504 6580661.580363692 4.575, 237876.43542501415 6580671.855413379 4.875, 237873.2510196645 6580680.432916825 4.795, 237872.40115147852 6580683.483990543 4.795, 237872.20778386077 6580684.124453522 5.025, 237871.19341845726 6580688.024398884 4.945, 237869.90395243224 6580692.883688591 5.045, 237869.03138451563 6580696.017199618 5.115)</t>
  </si>
  <si>
    <t>POINT (237877.68406942312 6580669.354866941)</t>
  </si>
  <si>
    <t>2019-04-05</t>
  </si>
  <si>
    <t>2025-11-22T09:19:57Z</t>
  </si>
  <si>
    <t>['FV546 S3D1 m3598-3645']</t>
  </si>
  <si>
    <t>LINESTRING Z (-42322.38 6702310.37 30.661, -42322.48 6702312.98 30.561, -42323.31 6702316.99 30.421, -42324.53 6702322.09 30.271, -42324.39 6702337.65 29.341, -42324.03 6702347.29 30.181, -42321.64 6702357.02 30.301)</t>
  </si>
  <si>
    <t>POINT (-42323.75552071218 6702333.731596379)</t>
  </si>
  <si>
    <t>['FV546 S3D1 m3199-3245']</t>
  </si>
  <si>
    <t>LINESTRING Z (-42261.07 6702715.11 39.15, -42258.12 6702710.2 39.09, -42253.57 6702700.67 38.83, -42252.28 6702698.1 38.76, -42248.96 6702690.94 38.48, -42248.36 6702689.06 38.4, -42243.62 6702671.72 37.77)</t>
  </si>
  <si>
    <t>POINT (-42251.17563755813 6702693.886295464)</t>
  </si>
  <si>
    <t>2019-04-24</t>
  </si>
  <si>
    <t>[4180]</t>
  </si>
  <si>
    <t>['KV4180 S1D1 m1052-1091']</t>
  </si>
  <si>
    <t>LINESTRING Z (272564.1618314921 7043555.313234058 25.09, 272563.9104982589 7043555.269520914 25.081, 272563.70008000045 7043555.1264894605 25.076, 272561.00904589397 7043552.766447462 25.139, 272560.866034484 7043552.656275269 25.138, 272560.64371778123 7043552.621894876 25.098, 272550.1949717867 7043553.520463071 24.89, 272545.950584205 7043553.912319176 24.883, 272542.0549535759 7043554.272403808 24.876, 272535.275003321 7043554.899539226 24.864, 272528.03035672277 7043555.533162943 24.936, 272527.73726161086 7043555.697385553 24.946, 272525.80999936 7043558.491459507 24.847, 272525.6353635737 7043558.675703597 24.853, 272525.39741085167 7043558.742285724 24.834)</t>
  </si>
  <si>
    <t>POINT (272544.4965467141 7043554.374358196)</t>
  </si>
  <si>
    <t>['FV301 S1D1 m3481-3555']</t>
  </si>
  <si>
    <t>LINESTRING Z (214035.42676970072 6553248.327397134 42.048, 214033.68195831391 6553244.1087341895 42.085, 214030.71697740554 6553237.066344737 42.144, 214026.06244156224 6553226.27367571 42.313, 214022.41758151457 6553218.277462587 42.452, 214018.47486058227 6553208.726187505 42.675, 214014.18530479312 6553198.872488828 42.924, 214010.67282424466 6553190.683447497 43.232, 214006.45810146956 6553180.857177462 43.56, 214005.89003063308 6553181.133470139 43.51, 214007.20073787362 6553185.375156983 43.357, 214009.7792606749 6553193.672446332 43.049, 214011.27635812247 6553199.146575832 42.87, 214012.09734456596 6553201.9570142245 42.811, 214014.37059038336 6553207.255704555 42.649, 214017.15350857563 6553213.749677356 42.501, 214020.72425053996 6553222.06110648 42.318, 214023.8922565088 6553229.505304809 42.17, 214025.18920592847 6553231.75327758 42.175, 214027.52765006892 6553236.236052953 42.085, 214031.3114457766 6553243.34237347 41.958, 214034.32384217408 6553248.824730534 41.999, 214035.42676970072 6553248.327397134 42.048)</t>
  </si>
  <si>
    <t>POLYGON Z ((214035.42676970072 6553248.327397134 42.048, 214033.68195831391 6553244.1087341895 42.085, 214030.71697740554 6553237.066344737 42.144, 214026.06244156224 6553226.27367571 42.313, 214022.41758151457 6553218.277462587 42.452, 214018.47486058227 6553208.726187505 42.675, 214014.18530479312 6553198.872488828 42.924, 214010.67282424466 6553190.683447497 43.232, 214006.45810146956 6553180.857177462 43.56, 214005.89003063308 6553181.133470139 43.51, 214007.20073787362 6553185.375156983 43.357, 214009.7792606749 6553193.672446332 43.049, 214011.27635812247 6553199.146575832 42.87, 214012.09734456596 6553201.9570142245 42.811, 214014.37059038336 6553207.255704555 42.649, 214017.15350857563 6553213.749677356 42.501, 214020.72425053996 6553222.06110648 42.318, 214023.8922565088 6553229.505304809 42.17, 214025.18920592847 6553231.75327758 42.175, 214027.52765006892 6553236.236052953 42.085, 214031.3114457766 6553243.34237347 41.958, 214034.32384217408 6553248.824730534 41.999, 214035.42676970072 6553248.327397134 42.048))</t>
  </si>
  <si>
    <t>['FV301 S1D1 m3623-3694']</t>
  </si>
  <si>
    <t>LINESTRING Z (213973.03254015686 6553049.62527181 46.909, 213972.60698682832 6553049.7208892945 46.908, 213973.66751370812 6553054.68862313 46.709, 213974.83312696224 6553061.124261874 46.714, 213975.8789132749 6553067.479237666 46.547, 213977.24504064233 6553074.723941441 46.44, 213979.6406618831 6553084.79547894 46.267, 213982.1446908674 6553094.07334034 46.06, 213984.62391525297 6553102.662991091 45.834, 213987.3422893494 6553111.586874973 45.565, 213987.77544964518 6553111.497607168 45.555, 213988.9375326055 6553115.082338275 45.446, 213988.47086147103 6553112.188728114 45.502, 213987.9565756856 6553109.0119728455 45.576, 213987.10117517784 6553103.108185282 45.666, 213986.244490352 6553097.223608609 45.798, 213985.99006021878 6553095.313884622 45.865, 213985.45074228378 6553093.477057637 45.913, 213983.77869677462 6553087.187538018 46.127, 213981.65337617492 6553078.353951106 46.237, 213979.80639214697 6553070.356589748 46.411, 213978.8560311513 6553065.864354811 46.464, 213977.73734536057 6553062.404355851 46.487, 213976.67104772053 6553058.934612909 46.668, 213975.77107865928 6553056.4076662315 46.776, 213973.05666612246 6553048.28643 46.854, 213972.8340209255 6553047.611015031 46.846, 213973.03254015686 6553049.62527181 46.909)</t>
  </si>
  <si>
    <t>POLYGON Z ((213973.03254015686 6553049.62527181 46.909, 213972.60698682832 6553049.7208892945 46.908, 213973.66751370812 6553054.68862313 46.709, 213974.83312696224 6553061.124261874 46.714, 213975.8789132749 6553067.479237666 46.547, 213977.24504064233 6553074.723941441 46.44, 213979.6406618831 6553084.79547894 46.267, 213982.1446908674 6553094.07334034 46.06, 213984.62391525297 6553102.662991091 45.834, 213987.3422893494 6553111.586874973 45.565, 213987.77544964518 6553111.497607168 45.555, 213988.9375326055 6553115.082338275 45.446, 213988.47086147103 6553112.188728114 45.502, 213987.9565756856 6553109.0119728455 45.576, 213987.10117517784 6553103.108185282 45.666, 213986.244490352 6553097.223608609 45.798, 213985.99006021878 6553095.313884622 45.865, 213985.45074228378 6553093.477057637 45.913, 213983.77869677462 6553087.187538018 46.127, 213981.65337617492 6553078.353951106 46.237, 213979.80639214697 6553070.356589748 46.411, 213978.8560311513 6553065.864354811 46.464, 213977.73734536057 6553062.404355851 46.487, 213976.67104772053 6553058.934612909 46.668, 213975.77107865928 6553056.4076662315 46.776, 213973.05666612246 6553048.28643 46.854, 213972.8340209255 6553047.611015031 46.846, 213973.03254015686 6553049.62527181 46.909))</t>
  </si>
  <si>
    <t>['FV301 S2D1 m137-190']</t>
  </si>
  <si>
    <t>LINESTRING Z (214097.73266882054 6552580.319158474 30.044, 214098.1217883586 6552580.990633943 30.04, 214100.50388692884 6552578.60524898 29.847, 214104.48116614355 6552574.537510602 29.593, 214109.69110741996 6552569.1477055615 29.223, 214115.2889994608 6552563.546075779 28.86, 214120.60560034256 6552558.269276311 28.511, 214125.6563058471 6552553.220444197 28.177, 214130.44798626995 6552548.420065824 27.951, 214135.15809416486 6552543.852157866 27.73, 214134.45700685505 6552543.343453291 27.708, 214132.50331524166 6552544.816894332 27.758, 214130.31101298257 6552546.0736393295 27.848, 214126.08600945014 6552549.332543385 28.051, 214122.39815664536 6552552.228497259 28.275, 214120.8856324018 6552553.355673559 28.337, 214117.34475437395 6552556.9238079935 28.575, 214112.85802878038 6552561.494712202 28.896, 214106.78528571018 6552567.626543262 29.272, 214105.6568085684 6552569.313090832 29.358, 214103.28252761072 6552572.432435501 29.529, 214100.64538449218 6552576.382481592 29.763, 214097.73266882054 6552580.319158474 30.044)</t>
  </si>
  <si>
    <t>POLYGON Z ((214097.73266882054 6552580.319158474 30.044, 214098.1217883586 6552580.990633943 30.04, 214100.50388692884 6552578.60524898 29.847, 214104.48116614355 6552574.537510602 29.593, 214109.69110741996 6552569.1477055615 29.223, 214115.2889994608 6552563.546075779 28.86, 214120.60560034256 6552558.269276311 28.511, 214125.6563058471 6552553.220444197 28.177, 214130.44798626995 6552548.420065824 27.951, 214135.15809416486 6552543.852157866 27.73, 214134.45700685505 6552543.343453291 27.708, 214132.50331524166 6552544.816894332 27.758, 214130.31101298257 6552546.0736393295 27.848, 214126.08600945014 6552549.332543385 28.051, 214122.39815664536 6552552.228497259 28.275, 214120.8856324018 6552553.355673559 28.337, 214117.34475437395 6552556.9238079935 28.575, 214112.85802878038 6552561.494712202 28.896, 214106.78528571018 6552567.626543262 29.272, 214105.6568085684 6552569.313090832 29.358, 214103.28252761072 6552572.432435501 29.529, 214100.64538449218 6552576.382481592 29.763, 214097.73266882054 6552580.319158474 30.044))</t>
  </si>
  <si>
    <t>['FV301 S2D1 m118-172']</t>
  </si>
  <si>
    <t>LINESTRING Z (214091.13133630325 6552600.499432851 30.798, 214097.13182149228 6552595.930872043 30.289, 214098.39142371767 6552594.796325543 30.205, 214102.45314907568 6552590.963188372 29.939, 214104.0437048237 6552589.720441679 29.802, 214107.43545790506 6552586.103426861 29.549, 214112.67752778152 6552580.545905485 29.233, 214117.71349942754 6552575.233075845 28.867, 214118.93626068358 6552573.611402019 28.76, 214121.917036973 6552570.106781079 28.579, 214124.41046854167 6552566.24606096 28.325, 214128.10490940936 6552561.20280701 28.138, 214127.81023130845 6552560.843424178 28.136, 214121.39987235138 6552567.031794171 28.545, 214115.41796964046 6552573.011726304 28.934, 214109.9483292197 6552578.698286027 29.288, 214105.18281385832 6552583.85610426 29.642, 214099.57603839 6552590.006267511 30.078, 214094.65011795884 6552595.603654839 30.485, 214090.63025780342 6552600.202861249 30.826, 214091.13133630325 6552600.499432851 30.798)</t>
  </si>
  <si>
    <t>POLYGON Z ((214091.13133630325 6552600.499432851 30.798, 214097.13182149228 6552595.930872043 30.289, 214098.39142371767 6552594.796325543 30.205, 214102.45314907568 6552590.963188372 29.939, 214104.0437048237 6552589.720441679 29.802, 214107.43545790506 6552586.103426861 29.549, 214112.67752778152 6552580.545905485 29.233, 214117.71349942754 6552575.233075845 28.867, 214118.93626068358 6552573.611402019 28.76, 214121.917036973 6552570.106781079 28.579, 214124.41046854167 6552566.24606096 28.325, 214128.10490940936 6552561.20280701 28.138, 214127.81023130845 6552560.843424178 28.136, 214121.39987235138 6552567.031794171 28.545, 214115.41796964046 6552573.011726304 28.934, 214109.9483292197 6552578.698286027 29.288, 214105.18281385832 6552583.85610426 29.642, 214099.57603839 6552590.006267511 30.078, 214094.65011795884 6552595.603654839 30.485, 214090.63025780342 6552600.202861249 30.826, 214091.13133630325 6552600.499432851 30.798))</t>
  </si>
  <si>
    <t>2019-05-06</t>
  </si>
  <si>
    <t>[4630]</t>
  </si>
  <si>
    <t>['FV4630 S1D1 m2599-2636', 'FV4630 S1D1 m2636-2659']</t>
  </si>
  <si>
    <t>LINESTRING Z (-11291.48 6563477.64 44.257, -11290.47 6563482.07 44.367, -11289.32 6563486.6 44.467, -11288.79 6563488.82 44.507, -11288.52 6563490.03 44.567, -11288.12 6563492.24 44.667, -11287.71 6563497.33 44.887, -11286.83 6563506.01 45.277, -11285.94 6563515.03 45.687, -11285.33 6563521.44 45.957, -11285.1 6563523.2 46.067, -11285.19 6563525.32 46.157, -11285.43 6563527.36 46.277, -11285.54 6563529.26 46.357, -11285.99 6563530.97 46.427, -11286.68 6563532.88 46.537, -11287.46 6563534.73 46.587, -11288.25 6563536.48 46.647, -11290.33 6563539.25 46.667)</t>
  </si>
  <si>
    <t>POINT (-11287.421124132165 6563508.82911123)</t>
  </si>
  <si>
    <t>['FV4630 S1D1 m2660-2715']</t>
  </si>
  <si>
    <t>LINESTRING Z (-11299.12 6563478.35 44.267, -11299.98 6563475.27 44.237, -11301.01 6563471.96 44.167, -11301.94 6563468.89 44.097, -11302.92 6563465.65 44.037, -11303.46 6563463.53 43.997, -11303.67 6563462.46 43.997, -11303.74 6563461.44 43.977, -11304.34 6563456.24 43.937, -11305.18 6563448.55 43.867, -11306.03 6563441.05 43.747, -11306.48 6563437.44 43.747, -11306.5 6563435.3 43.737, -11306.45 6563434.43 43.717, -11306.19 6563432.31 43.647, -11305.93 6563431.2 43.617, -11305.64 6563430.25 43.617, -11305.02 6563428.36 43.527, -11304.26 6563426.68 43.487, -11303.35 6563424.81 43.457, -11302.5 6563423.08 43.417, -11302.1 6563422.17 43.407)</t>
  </si>
  <si>
    <t>POINT (-11304.004921680043 6563450.13813832)</t>
  </si>
  <si>
    <t>2019-05-16</t>
  </si>
  <si>
    <t>[2684]</t>
  </si>
  <si>
    <t>['FV2684 S1D1 m10871-10912']</t>
  </si>
  <si>
    <t>LINESTRING Z (242790.50177526 6625320.46264762 -999999, 242795.58177526 6625318.24014763 -999999, 242799.815108594 6625315.91181429 -999999, 242804.15427526 6625313.16014762 -999999, 242809.657608594 6625310.40848096 -999999, 242813.99677526 6625307.33931429 -999999, 242820.240941927 6625303.31764762 -999999, 242825.42677526 6625299.82514762 -999999)</t>
  </si>
  <si>
    <t>POINT (242808.25729570564 6625310.662671532)</t>
  </si>
  <si>
    <t>['FV450 S20D1 m2230-2321']</t>
  </si>
  <si>
    <t>LINESTRING Z (-9263.95 6555721.75 75.788, -9255.52 6555716.25 74.978, -9247.07 6555710.74 74.158, -9238.64 6555705.23 73.348, -9229.73 6555700.61 72.568, -9225.93 6555698.64 72.238, -9225.88 6555698.62 72.228, -9220.83 6555696 71.818, -9211.91 6555691.38 71.088, -9202.52 6555687.67 70.368, -9193.13 6555683.99 69.629, -9188.42 6555682.17 69.249, -9183.7 6555680.36 68.879)</t>
  </si>
  <si>
    <t>POINT (-9224.775994436099 6555699.204559304)</t>
  </si>
  <si>
    <t>['FV450 S20D1 m1857-1903']</t>
  </si>
  <si>
    <t>LINESTRING Z (-8874.74 6555576.81 43.559, -8869.66 6555576.26 43.189, -8867.36 6555576.01 43.019, -8863.56 6555575.59 42.739, -8859.49 6555575.13 42.439, -8857.56 6555574.53 42.279, -8851.81 6555572.67 41.779, -8849.88 6555572.04 41.609, -8846.04 6555570.77 41.269, -8845.08 6555570.44 41.189, -8842.84 6555569.15 40.959, -8840.61 6555567.86 40.729, -8837.94 6555566.3 40.449, -8835.28 6555564.71 40.169, -8833.51 6555563.64 39.979, -8831.74 6555562.55 39.799)</t>
  </si>
  <si>
    <t>POINT (-8852.54555608874 6555571.751617826)</t>
  </si>
  <si>
    <t>['RV41 S1D1 m9368-9419']</t>
  </si>
  <si>
    <t>LINESTRING Z (97161.5 6476061.87 32.982, 97160.36 6476058.61 33.062, 97157.72 6476054.07 33.232, 97156.59 6476052.25 33.282, 97153.21 6476047.51 33.402, 97149.22 6476042.02 33.542, 97144.92 6476036.6 33.632, 97140.34 6476030.68 33.722, 97136.42 6476025.82 33.742, 97133.67 6476022.39 33.732, 97132.06 6476020.83 33.722, 97133.13 6476022.7 33.732, 97140.51 6476036.27 33.762, 97147.69 6476045.49 33.612, 97152.32 6476051.42 33.462, 97161.46 6476061.9 33.002, 97161.5 6476061.87 32.982)</t>
  </si>
  <si>
    <t>POLYGON Z ((97161.5 6476061.87 32.982, 97160.36 6476058.61 33.062, 97157.72 6476054.07 33.232, 97156.59 6476052.25 33.282, 97153.21 6476047.51 33.402, 97149.22 6476042.02 33.542, 97144.92 6476036.6 33.632, 97140.34 6476030.68 33.722, 97136.42 6476025.82 33.742, 97133.67 6476022.39 33.732, 97132.06 6476020.83 33.722, 97133.13 6476022.7 33.732, 97140.51 6476036.27 33.762, 97147.69 6476045.49 33.612, 97152.32 6476051.42 33.462, 97161.46 6476061.9 33.002, 97161.5 6476061.87 32.982))</t>
  </si>
  <si>
    <t>2019-05-23</t>
  </si>
  <si>
    <t>['EV6 S126D1 m6978-7043']</t>
  </si>
  <si>
    <t>LINESTRING Z (469395.42538111366 7358714.61546974 79.262, 469395.1582038144 7358716.207037191 79.222, 469395.09134956176 7358716.597432209 79.212, 469394.76739370305 7358718.589310564 79.162, 469394.27142417984 7358721.572210104 79.082, 469394.169540831 7358722.582663538 79.052, 469393.7520116544 7358726.624557174 78.932, 469393.3344824867 7358730.666450817 78.812, 469392.90687763656 7358734.698428574 78.682, 469392.7030310499 7358736.709339658 78.612, 469392.43089971336 7358737.681168314 78.572, 469391.98419778806 7358739.324152979 78.522, 469391.13917479344 7358742.409807043 78.412, 469391.10990656976 7358742.500008839 78.402, 469391.09063413326 7358742.590130733 78.402, 469390.0611246739 7358746.357016499 78.262, 469389.400588159 7358748.761438873 78.172, 469388.8857535303 7358750.634885975 78.112, 469388.2157805632 7358753.109358764 78.042, 469387.55524405674 7358755.513781141 77.982, 469387.42913422803 7358755.994617677 77.972, 469386.37035657134 7358759.851705257 77.872, 469387.0699740058 7358761.085669458 77.812, 469386.84366659535 7358761.537317674 77.802, 469386.61735918466 7358761.9889658885 77.792, 469386.15482848097 7358762.90233801 77.772, 469384.78722794657 7358765.642294575 77.712, 469384.56092053675 7358766.093942791 77.702, 469382.39636603685 7358770.429701752 77.602, 469380.2217358532 7358774.755544839 77.502, 469379.0803628353 7358777.033857416 77.442)</t>
  </si>
  <si>
    <t>POINT (469389.2057656093 7358746.506913605)</t>
  </si>
  <si>
    <t>['EV6 S126D1 m7950-8015']</t>
  </si>
  <si>
    <t>LINESTRING Z (469333.2464448614 7359726.11106386 49.903, 469332.789442574 7359725.215038933 49.903, 469330.9813450932 7359721.620783611 49.923, 469329.1632518306 7359718.026608201 49.943, 469327.33524269506 7359714.442508471 49.973, 469326.4212381294 7359712.650458604 49.993, 469325.5071536554 7359710.848412951 50.013, 469323.6691487431 7359707.264393122 50.053, 469322.1153409908 7359704.217908336 50.093, 469322.11526108143 7359704.207912545 50.093, 469321.8310639264 7359703.670377495 50.103, 469319.81658518064 7359698.018508214 50.193, 469319.4792127146 7359697.081541212 50.213, 469318.4669355004 7359694.250648629 50.253, 469317.8021064502 7359692.366638922 50.293, 469317.12728161423 7359690.482709125 50.323, 469315.7875478254 7359686.704773831 50.393, 469315.12263887277 7359684.810768332 50.433, 469313.78290509444 7359681.032833028 50.503, 469313.4555284233 7359680.095786109 50.523, 469312.5858435177 7359675.094529088 50.603, 469311.54815519357 7359669.084976085 50.693, 469310.8663854119 7359665.08185943 50.753)</t>
  </si>
  <si>
    <t>POINT (469320.1750194636 7359696.242488203)</t>
  </si>
  <si>
    <t>2019-06-18</t>
  </si>
  <si>
    <t>[3670]</t>
  </si>
  <si>
    <t>['FV3670 S2D1 m210-257']</t>
  </si>
  <si>
    <t>LINESTRING Z (111573.84 6475614.77 9.175, 111573.76 6475616.9 9.435, 111574.01 6475618.02 9.445, 111575.4 6475621.7 9.405, 111576.2 6475623.91 9.565, 111576.51 6475625.48 9.645, 111576.83 6475627.04 9.725, 111578.32 6475634.18 9.875, 111579.46 6475639.92 10.045, 111580.59 6475645.3 10.175, 111580.88 6475647.42 10.225, 111580.86 6475649.94 10.255, 111580.69 6475652.97 10.305, 111580.27 6475658.49 10.415, 111580.18 6475660.62 10.445)</t>
  </si>
  <si>
    <t>POINT (111578.35631974995 6475637.5241359845)</t>
  </si>
  <si>
    <t>['FV3352 S1D1 m2943-2979']</t>
  </si>
  <si>
    <t>LINESTRING Z (195280.3 6554441.37 0.04, 195285.92 6554446.16 0.04, 195292.7 6554450.46 0.04, 195298.98 6554452.94 0.04, 195306.08000000002 6554456.08 0.04, 195311.04 6554457.89 0.04, 195303.11 6554452.77 0.04, 195295.01 6554448.14 0.04, 195289.06 6554445.33 0.04, 195280.3 6554441.37 0.04)</t>
  </si>
  <si>
    <t>POLYGON Z ((195280.3 6554441.37 0.04, 195285.92 6554446.16 0.04, 195292.7 6554450.46 0.04, 195298.98 6554452.94 0.04, 195306.08000000002 6554456.08 0.04, 195311.04 6554457.89 0.04, 195303.11 6554452.77 0.04, 195295.01 6554448.14 0.04, 195289.06 6554445.33 0.04, 195280.3 6554441.37 0.04))</t>
  </si>
  <si>
    <t>['FV3366 S1D1 m4341-4362']</t>
  </si>
  <si>
    <t>LINESTRING Z (173717.29 6549499.23 0.01, 173715.8 6549495.76 0.01, 173715.97 6549490.47 0.01, 173716.46 6549487 0.01, 173718.45 6549481.55 0.01, 173720.76 6549478.74 0.01, 173719.11 6549487 0.01, 173717.95 6549492.95 0.01, 173717.29 6549499.23 0.01)</t>
  </si>
  <si>
    <t>POLYGON Z ((173717.29 6549499.23 0.01, 173715.8 6549495.76 0.01, 173715.97 6549490.47 0.01, 173716.46 6549487 0.01, 173718.45 6549481.55 0.01, 173720.76 6549478.74 0.01, 173719.11 6549487 0.01, 173717.95 6549492.95 0.01, 173717.29 6549499.23 0.01))</t>
  </si>
  <si>
    <t>['FV3366 S1D1 m4816-4840']</t>
  </si>
  <si>
    <t>LINESTRING Z (173689.03 6549961.36 0.01, 173686.38 6549954.75 0.01, 173684.89 6549950.12 0.01, 173684.89 6549945.99 0.01, 173685.89 6549937.89 0.01, 173686.55 6549946.82 0.01, 173688.03 6549953.76 0.01, 173689.03 6549961.36 0.01)</t>
  </si>
  <si>
    <t>POLYGON Z ((173689.03 6549961.36 0.01, 173686.38 6549954.75 0.01, 173684.89 6549950.12 0.01, 173684.89 6549945.99 0.01, 173685.89 6549937.89 0.01, 173686.55 6549946.82 0.01, 173688.03 6549953.76 0.01, 173689.03 6549961.36 0.01))</t>
  </si>
  <si>
    <t>['FV3366 S1D1 m4855-4879']</t>
  </si>
  <si>
    <t>LINESTRING Z (173696.3 6550000.04 0.01, 173691.67 6549997.23 0.01, 173690.35 6549990.12 0.01, 173690.51 6549985.99 0.01, 173692.33 6549976.24 0.01, 173693.82 6549987.31 0.01, 173695.31 6549992.27 0.01, 173696.3 6550000.04 0.01)</t>
  </si>
  <si>
    <t>POLYGON Z ((173696.3 6550000.04 0.01, 173691.67 6549997.23 0.01, 173690.35 6549990.12 0.01, 173690.51 6549985.99 0.01, 173692.33 6549976.24 0.01, 173693.82 6549987.31 0.01, 173695.31 6549992.27 0.01, 173696.3 6550000.04 0.01))</t>
  </si>
  <si>
    <t>['FV3360 S2D1 m7023-7037']</t>
  </si>
  <si>
    <t>LINESTRING Z (187320.76 6548654.97 0.02, 187316.79 6548651 0.02, 187314.31 6548648.85 0.02, 187313.15 6548647.53 0.02, 187312.66 6548643.4 0.02, 187316.13 6548648.52 0.02, 187320.76 6548654.97 0.02)</t>
  </si>
  <si>
    <t>POLYGON Z ((187320.76 6548654.97 0.02, 187316.79 6548651 0.02, 187314.31 6548648.85 0.02, 187313.15 6548647.53 0.02, 187312.66 6548643.4 0.02, 187316.13 6548648.52 0.02, 187320.76 6548654.97 0.02))</t>
  </si>
  <si>
    <t>2019-07-03</t>
  </si>
  <si>
    <t>[574]</t>
  </si>
  <si>
    <t>['FV574 S1D1 m88-161']</t>
  </si>
  <si>
    <t>LINESTRING Z (-35842.8399658203 6727331.76000977 3.685, -35842.8699951172 6727331.63000488 3.685, -35842.8399658203 6727331.76000977 3.685, -35840.8699951172 6727343.20999146 3.525, -35839.4399414063 6727354.69000244 3.325, -35838.5 6727363.26000977 3.115, -35837.6400146484 6727371.88000488 2.885, -35836.4300537109 6727383.51000977 2.625, -35835.4100341797 6727394.88000488 2.375, -35834.5699462891 6727404.26998901 2.155, -35834.1500244141 6727399.47000122 2.245, -35834.3100585938 6727396.11999512 2.315, -35834.3599853516 6727393.01000977 2.415, -35834.2900390625 6727388.69000244 2.465, -35834.0400390625 6727384.02999878 2.515, -35833.9100341797 6727383.76000977 3.025, -35833.9399414062 6727381.42001343 3.025, -35833.9599609375 6727379.07998657 3.025, -35834.0300292969 6727377.55999756 2.695, -35834.0999755859 6727375.19000244 3.025, -35834.6300048828 6727368.95999146 3.025, -35835.7299804688 6727359.8999939 3.305, -35835.8800048828 6727358.70001221 3.325, -35836.0300292969 6727357.51000977 3.355, -35836.1500244141 6727356.51000977 3.375, -35836.2800292969 6727355.51998901 3.395, -35836.4000244141 6727354.51998901 3.425, -35836.5100097656 6727353.73001099 3.435, -35836.6400146484 6727352.73001099 3.465, -35836.7299804688 6727351.92999268 3.475, -35836.8599853516 6727350.94000244 3.495, -35837.0100097656 6727349.73999024 3.515, -35837.1400146484 6727348.75 3.535, -35837.2399902344 6727347.95001221 3.545, -35837.3299560547 6727347.1499939 3.565, -35837.5 6727346.16000366 3.585, -35837.7600097656 6727344.98999024 3.605, -35837.9000244141 6727344.51000977 3.615, -35838.0500488281 6727344.02999878 3.625, -35838.3599853516 6727343.07000732 3.655, -35838.6999511719 6727342.11999512 3.675, -35839.0500488281 6727341.17999268 3.685, -35839.3800048828 6727340.23999024 3.705, -35839.8100585938 6727339.10998535 3.715, -35840.2199707031 6727337.98001099 3.735, -35840.6400146484 6727336.8500061 3.755, -35840.9899902344 6727335.92001343 3.765, -35841.3399658203 6727334.97000122 3.775, -35841.7600097656 6727333.83999634 3.815, -35842.1400146484 6727332.91000366 3.835, -35842.8399658203 6727331.76000977 3.685)</t>
  </si>
  <si>
    <t>2019-08-09</t>
  </si>
  <si>
    <t>['EV39 S72D1 m4709-4757']</t>
  </si>
  <si>
    <t>LINESTRING Z (-19789.7 6759421.53 112.538, -19788.39 6759422.31 112.548, -19787.97 6759423.42 112.558, -19786.6 6759426.73 112.558, -19786.09 6759427.42 112.568, -19785 6759428.56 112.578, -19782.9 6759430.24 112.608, -19782.49 6759430.51 112.618, -19782 6759430.53 112.608, -19776.05 6759448.62 112.608, -19776.1 6759448.67 112.608, -19776.25 6759449.89 112.578, -19776.37 6759452.31 112.478, -19776.26 6759455.73 112.388, -19775.91 6759459.68 112.338, -19775.29 6759463.51 112.288, -19774.72 6759465.87 112.248)</t>
  </si>
  <si>
    <t>POINT (-19779.73419244297 6759442.526567032)</t>
  </si>
  <si>
    <t>['FV57 S1D1 m7457-7497']</t>
  </si>
  <si>
    <t>LINESTRING Z (-30469.8733598307 6758152.193200351 60.015, -30469.91190591862 6758152.343785257 60.018, -30469.888896785676 6758152.4846896585 60.009, -30469.828894256847 6758152.666512554 59.995, -30467.892262800946 6758154.17871393 59.982, -30464.412088362384 6758156.79404329 59.997, -30464.37412617053 6758156.801636476 59.992, -30463.64863368764 6758157.38665742 60.001, -30458.65558043099 6758161.034407196 60.042, -30452.099143018597 6758165.836842309 60.047, -30451.257786487346 6758166.422303548 60.035, -30451.21563594311 6758166.442605272 60.036, -30449.82110901142 6758167.535243465 60.051, -30447.839841225417 6758169.10579 60.074, -30446.006419103825 6758170.7553768875 60.098, -30444.1677536997 6758172.681451873 60.119, -30442.445359113626 6758174.558779972 60.153, -30440.88029544067 6758176.367966508 60.155, -30439.344945172314 6758177.952262596 60.158)</t>
  </si>
  <si>
    <t>POINT (-30454.298713735054 6758164.622075035)</t>
  </si>
  <si>
    <t>['RV3 S28D1 m2712-2770']</t>
  </si>
  <si>
    <t>LINESTRING Z (251155.235952359 6961535.58762865 -999999, 251160.866364918 6961522.69216762 -999999, 251160.957178024 6961522.01106933 -999999, 251160.957178024 6961521.37537759 -999999, 251160.684738707 6961520.6942793 -999999, 251160.866364918 6961519.51370892 -999999, 251164.907548126 6961512.83894564 -999999, 251169.629829628 6961507.11771998 -999999, 251175.260242187 6961499.6710453 -999999, 251179.710084371 6961494.72173104 -999999, 251181.980412016 6961493.99522619 -999999, 251184.931837955 6961492.72384271 -999999, 251189.517899798 6961488.45562674 -999999)</t>
  </si>
  <si>
    <t>POINT (251169.60280938708 6961509.903724986)</t>
  </si>
  <si>
    <t>['RV3 S28D1 m2992-3020']</t>
  </si>
  <si>
    <t>LINESTRING Z (251047.877581025 6961774.75069838 -999999, 251062.196608775 6961767.81414514 -999999, 251066.358540716 6961766.08000684 -999999, 251076.763370569 6961761.71988766 -999999, 251077.952493981 6961759.63892169 -999999, 251078.348868451 6961757.50840891 -999999, 251077.853400363 6961753.59421101 -999999, 251077.605666319 6961749.23409183 -999999, 251078.150681216 6961746.2117365 -999999, 251078.596602495 6961743.93258329 -999999)</t>
  </si>
  <si>
    <t>POINT (251067.96674528916 6961762.520443676)</t>
  </si>
  <si>
    <t>2019-08-19</t>
  </si>
  <si>
    <t>[4596]</t>
  </si>
  <si>
    <t>['FV4596 S1D1 m611-641']</t>
  </si>
  <si>
    <t>LINESTRING Z (-37506.16 6576567.75 35.866, -37506.16 6576566.24 35.776, -37504.63 6576539.13 34.616, -37504.44 6576537.66 34.576)</t>
  </si>
  <si>
    <t>POINT (-37505.39103368168 6576552.699166725)</t>
  </si>
  <si>
    <t>['FV4596 S1D1 m599-629']</t>
  </si>
  <si>
    <t>LINESTRING Z (-37518.02 6576555.69 35.356, -37516.23 6576527.15 34.126, -37516.23 6576525.6 34.066)</t>
  </si>
  <si>
    <t>POINT (-37517.07898240587 6576540.646441671)</t>
  </si>
  <si>
    <t>2021-07-25</t>
  </si>
  <si>
    <t>['FV511 S2D10 m2008-2075']</t>
  </si>
  <si>
    <t>LINESTRING Z (-51521.24 6612995.57 7.895, -51520.48 6612994.93 7.855, -51512.96 6612988.59 7.285, -51508.46 6612984.84 7.065, -51508.09 6612984.61 7.045, -51507.86 6612984.25 7.025, -51506.75 6612983.12 6.945, -51505.78 6612981.98 6.885, -51493.18 6612968.97 5.945, -51492.09 6612968.03 5.885, -51488.12 6612963.86 5.605, -51485.4 6612960.83 5.365, -51483.54 6612958.33 5.175, -51477.97 6612949.19 4.505, -51476.11 6612946.36 4.285)</t>
  </si>
  <si>
    <t>POINT (-51497.21565363158 6612972.246403521)</t>
  </si>
  <si>
    <t>['FV511 S2D10 m1885-1943']</t>
  </si>
  <si>
    <t>LINESTRING Z (-51393.59 6612857.29 2.595, -51406.66 6612860.55 2.645, -51408.67 6612861.44 2.635, -51409.95 6612862.23 2.655, -51420.71 6612867.63 2.695, -51422.23 6612868.23 2.725, -51426.27 6612870.51 2.735, -51431.51 6612874.04 2.765, -51436.58 6612878.18 2.735, -51440.23 6612882.08 2.835, -51444.52 6612888.17 2.665)</t>
  </si>
  <si>
    <t>POINT (-51421.11330428268 6612869.549821707)</t>
  </si>
  <si>
    <t>['FV511 S2D10 m1466-1518']</t>
  </si>
  <si>
    <t>LINESTRING Z (-51174.5 6612612.32 2.464, -51170.96 6612620.14 2.474, -51167.16 6612628.44 2.524, -51166.79 6612629.98 2.524, -51162.35 6612644.37 2.334, -51159.41 6612653.98 2.224, -51158.83 6612655.38 2.194, -51156.92 6612661.4 2.084)</t>
  </si>
  <si>
    <t>POINT (-51165.09099921923 6612636.621445958)</t>
  </si>
  <si>
    <t>['FV511 S2D10 m1352-1404']</t>
  </si>
  <si>
    <t>LINESTRING Z (-51203.51 6612502.77 1.304, -51202.64 6612508.12 1.244, -51202.09 6612514.41 1.244, -51201.93 6612516.34 1.264, -51201.62 6612517.75 1.274, -51201.22 6612519.22 1.294, -51199.02 6612531.05 1.354, -51198.88 6612532.54 1.354, -51197.67 6612538.84 1.504, -51196.3 6612544.17 1.664, -51194.83 6612548.81 1.834, -51193.65 6612553.38 1.964)</t>
  </si>
  <si>
    <t>POINT (-51199.296722452375 6612528.216382514)</t>
  </si>
  <si>
    <t>2019-09-13</t>
  </si>
  <si>
    <t>['FV630 S2D1 m5230-5243']</t>
  </si>
  <si>
    <t>LINESTRING Z (115921.20802076819 6794182.016245432 425.042, 115916.88981677382 6794180.996258819 424.976, 115912.87759603333 6794180.1897209855 424.951, 115905.65908183204 6794178.690434938 424.736, 115898.18278540723 6794177.219400896 424.45, 115875.54797262192 6794172.514631795 423.684, 115876.0428622347 6794173.807479091 423.59, 115879.88815189706 6794175.620110127 423.736, 115884.29532085161 6794176.955848451 423.85, 115889.89343459642 6794178.744855474 423.962, 115894.78603672469 6794180.195811299 424.094, 115899.66225209966 6794181.199548021 424.187, 115903.75413093099 6794181.840188304 424.402, 115909.1142959813 6794182.499061511 424.734, 115913.7162729819 6794182.735845977 424.846)</t>
  </si>
  <si>
    <t>POLYGON Z ((115921.20802076819 6794182.016245432 425.042, 115916.88981677382 6794180.996258819 424.976, 115912.87759603333 6794180.1897209855 424.951, 115905.65908183204 6794178.690434938 424.736, 115898.18278540723 6794177.219400896 424.45, 115875.54797262192 6794172.514631795 423.684, 115876.0428622347 6794173.807479091 423.59, 115879.88815189706 6794175.620110127 423.736, 115884.29532085161 6794176.955848451 423.85, 115889.89343459642 6794178.744855474 423.962, 115894.78603672469 6794180.195811299 424.094, 115899.66225209966 6794181.199548021 424.187, 115903.75413093099 6794181.840188304 424.402, 115909.1142959813 6794182.499061511 424.734, 115913.7162729819 6794182.735845977 424.846, 115921.20802076819 6794182.016245432 425.042))</t>
  </si>
  <si>
    <t>[5957]</t>
  </si>
  <si>
    <t>['FV5957 S2D1 m752-843']</t>
  </si>
  <si>
    <t>LINESTRING Z (40035.7 6962279.63 -77.924, 40035.68 6962279.56 -77.914, 40035.62 6962279.13 -77.954, 40035.54 6962278.63 -78.004, 40035.48 6962278.13 -78.054, 40035.4 6962277.64 -78.104, 40035.33 6962277.14 -78.154, 40035.26 6962276.64 -78.204, 40035.19 6962276.14 -78.244, 40035.11 6962275.64 -78.294, 40035.04 6962275.14 -78.344, 40034.97 6962274.65 -78.394, 40034.89 6962274.15 -78.444, 40034.83 6962273.64 -78.494, 40034.75 6962273.15 -78.545, 40034.68 6962272.65 -78.585, 40034.61 6962272.15 -78.635, 40034.54 6962271.66 -78.685, 40034.46 6962271.15 -78.735, 40034.38 6962270.65 -78.785, 40034.32 6962270.16 -78.835, 40034.24 6962269.66 -78.875, 40034.18 6962269.16 -78.925, 40034.1 6962268.66 -78.975, 40034.03 6962268.16 -79.025, 40033.95 6962267.66 -79.075, 40033.89 6962267.17 -79.125, 40033.81 6962266.67 -79.175, 40033.73 6962266.16 -79.215, 40033.67 6962265.67 -79.265, 40033.59 6962265.17 -79.315, 40033.52 6962264.67 -79.365, 40033.45 6962264.18 -79.415, 40033.38 6962263.67 -79.465, 40033.3 6962263.17 -79.505, 40033.23 6962262.68 -79.555, 40033.16 6962262.18 -79.605, 40033.08 6962261.68 -79.655, 40033.02 6962261.18 -79.705, 40032.94 6962260.68 -79.755, 40032.87 6962260.18 -79.805, 40032.8 6962259.69 -79.845, 40032.73 6962259.19 -79.895, 40032.65 6962258.68 -79.945, 40032.58 6962258.19 -79.995, 40032.51 6962257.69 -80.045, 40032.43 6962257.2 -80.095, 40032.37 6962256.7 -80.145, 40032.29 6962256.19 -80.185, 40032.22 6962255.69 -80.235, 40032.15 6962255.2 -80.285, 40032.08 6962254.7 -80.335, 40032 6962254.21 -80.385, 40031.93 6962253.7 -80.435, 40031.86 6962253.2 -80.475, 40031.78 6962252.71 -80.525, 40031.72 6962252.21 -80.575, 40031.64 6962251.71 -80.625, 40031.57 6962251.21 -80.675, 40031.5 6962250.71 -80.725, 40031.42 6962250.21 -80.775, 40031.36 6962249.76 -80.815, 40031.23 6962249.22 -80.865, 40031.11 6962248.74 -80.915, 40030.98 6962248.25 -80.965, 40030.87 6962247.77 -81.015, 40030.74 6962247.29 -81.065, 40030.63 6962246.79 -81.115, 40030.5 6962246.31 -81.165, 40030.38 6962245.82 -81.215, 40030.26 6962245.34 -81.265, 40030.14 6962244.85 -81.315, 40030.02 6962244.36 -81.365, 40029.9 6962243.88 -81.415, 40029.77 6962243.39 -81.465, 40029.66 6962242.91 -81.515, 40029.53 6962242.42 -81.565, 40029.42 6962241.93 -81.615, 40029.29 6962241.44 -81.665, 40029.18 6962240.96 -81.715, 40029.05 6962240.48 -81.765, 40028.93 6962239.99 -81.815, 40028.81 6962239.5 -81.865, 40028.69 6962239.01 -81.915, 40028.57 6962238.53 -81.965, 40028.45 6962238.04 -82.015, 40028.32 6962237.56 -82.065, 40028.21 6962237.06 -82.115, 40028.08 6962236.58 -82.165, 40027.97 6962236.1 -82.215, 40027.84 6962235.61 -82.265, 40027.72 6962235.13 -82.315, 40027.6 6962234.63 -82.365, 40027.48 6962234.15 -82.415, 40027.36 6962233.66 -82.465, 40027.24 6962233.18 -82.515, 40027.12 6962232.7 -82.565, 40027 6962232.2 -82.615, 40026.87 6962231.72 -82.665, 40026.76 6962231.23 -82.715, 40026.63 6962230.75 -82.765, 40026.51 6962230.26 -82.815, 40026.39 6962229.77 -82.865, 40026.27 6962229.29 -82.915, 40026.15 6962228.8 -82.965, 40026.03 6962228.32 -83.015, 40025.91 6962227.83 -83.065, 40025.79 6962227.34 -83.115, 40025.66 6962226.85 -83.165, 40025.55 6962226.37 -83.215, 40025.42 6962225.89 -83.265, 40025.31 6962225.4 -83.315, 40025.18 6962224.91 -83.365, 40025.06 6962224.42 -83.415, 40024.94 6962223.94 -83.465, 40024.82 6962223.45 -83.515, 40024.7 6962222.97 -83.565, 40024.58 6962222.47 -83.615, 40024.45 6962221.99 -83.665, 40024.34 6962221.51 -83.715, 40024.21 6962221.02 -83.765, 40024.1 6962220.57 -83.815, 40023.92 6962220.06 -83.865, 40023.76 6962219.58 -83.925, 40023.59 6962219.11 -83.975, 40023.42 6962218.64 -84.025, 40023.25 6962218.16 -84.075, 40023.08 6962217.69 -84.125, 40022.91 6962217.21 -84.175, 40022.74 6962216.74 -84.225, 40022.57 6962216.27 -84.285, 40022.4 6962215.79 -84.335, 40022.23 6962215.31 -84.385, 40022.07 6962214.85 -84.435, 40021.89 6962214.37 -84.485, 40021.72 6962213.89 -84.535, 40021.55 6962213.42 -84.585, 40021.39 6962212.95 -84.645, 40021.21 6962212.47 -84.695, 40021.05 6962212 -84.745, 40020.88 6962211.52 -84.795, 40020.7 6962211.05 -84.845, 40020.54 6962210.58 -84.895, 40020.36 6962210.1 -84.945, 40020.2 6962209.62 -85.005, 40020.02 6962209.16 -85.055, 40019.86 6962208.68 -85.105, 40019.68 6962208.2 -85.155, 40019.52 6962207.74 -85.205, 40019.35 6962207.26 -85.255, 40019.18 6962206.78 -85.305, 40019.01 6962206.31 -85.365, 40018.84 6962205.84 -85.415, 40018.67 6962205.36 -85.465, 40018.5 6962204.89 -85.515, 40018.33 6962204.41 -85.565, 40018.16 6962203.94 -85.615, 40017.99 6962203.47 -85.675, 40017.83 6962202.99 -85.725, 40017.65 6962202.51 -85.775, 40017.49 6962202.05 -85.825, 40017.31 6962201.57 -85.875, 40017.15 6962201.09 -85.925, 40016.97 6962200.62 -85.975, 40016.81 6962200.15 -86.035, 40016.63 6962199.67 -86.085, 40016.47 6962199.2 -86.135, 40016.3 6962198.72 -86.185, 40016.13 6962198.25 -86.235, 40015.96 6962197.78 -86.285, 40015.79 6962197.3 -86.335, 40015.62 6962196.82 -86.395, 40015.45 6962196.36 -86.445, 40015.28 6962195.88 -86.495, 40015.11 6962195.4 -86.545, 40014.94 6962194.94 -86.595, 40014.78 6962194.46 -86.645, 40014.6 6962193.98 -86.695, 40014.44 6962193.51 -86.755, 40014.26 6962193.04 -86.805, 40014.1 6962192.56 -86.855, 40013.95 6962192.14 -86.905, 40013.92 6962192.09 -86.925, 40035.7 6962279.63 -77.924)</t>
  </si>
  <si>
    <t>2019-09-18</t>
  </si>
  <si>
    <t>['RV36 S3D1 m4210-4276']</t>
  </si>
  <si>
    <t>LINESTRING Z (188362.69 6572324.54 -0.001, 188360.06 6572324.79 0.039, 188357.43 6572325.06 0.039, 188356.11 6572325.19 0.039, 188354.8 6572325.33 0.039, 188353.49 6572325.47 0.039, 188352.18 6572325.62 -0.001, 188349.56 6572325.92 0.039, 188346.94 6572326.22 0.039, 188344.32 6572326.53 0.039, 188341.7 6572326.85 -0.001, 188315.92 6572330.59 94.489, 188340.39 6572322.47 95.369, 188365.73 6572319.74 96.099, 188381.26 6572323.04 96.479, 188378.93 6572323.2 0.039, 188376.61 6572323.37 0.039, 188374.29 6572323.55 0.039, 188371.97 6572323.73 48.239, 188369.65 6572323.92 0.039, 188367.33 6572324.12 0.039, 188365.01 6572324.33 0.039, 188362.69 6572324.54 -0.001)</t>
  </si>
  <si>
    <t>POLYGON Z ((188362.69 6572324.54 -0.001, 188360.06 6572324.79 0.039, 188357.43 6572325.06 0.039, 188356.11 6572325.19 0.039, 188354.8 6572325.33 0.039, 188353.49 6572325.47 0.039, 188352.18 6572325.62 -0.001, 188349.56 6572325.92 0.039, 188346.94 6572326.22 0.039, 188344.32 6572326.53 0.039, 188341.7 6572326.85 -0.001, 188315.92 6572330.59 94.489, 188340.39 6572322.47 95.369, 188365.73 6572319.74 96.099, 188381.26 6572323.04 96.479, 188378.93 6572323.2 0.039, 188376.61 6572323.37 0.039, 188374.29 6572323.55 0.039, 188371.97 6572323.73 48.239, 188369.65 6572323.92 0.039, 188367.33 6572324.12 0.039, 188365.01 6572324.33 0.039, 188362.69 6572324.54 -0.001))</t>
  </si>
  <si>
    <t>['RV36 S3D1 m1936-2006']</t>
  </si>
  <si>
    <t>LINESTRING Z (189972.36 6572844.72 118.102, 189957.42 6572831.53 118.792, 189965.25 6572841.04 118.292, 189988.44 6572867.05 116.892, 189997.84 6572876.78 116.342, 190004.17 6572883 115.982, 189992.01 6572866.43 116.912, 189982.98 6572856.72 117.292, 189972.36 6572844.72 118.102)</t>
  </si>
  <si>
    <t>POLYGON Z ((189972.36 6572844.72 118.102, 189957.42 6572831.53 118.792, 189965.25 6572841.04 118.292, 189988.44 6572867.05 116.892, 189997.84 6572876.78 116.342, 190004.17 6572883 115.982, 189992.01 6572866.43 116.912, 189982.98 6572856.72 117.292, 189972.36 6572844.72 118.102))</t>
  </si>
  <si>
    <t>['RV36 S3D1 m1881-1951']</t>
  </si>
  <si>
    <t>LINESTRING Z (190041.47 6572924.03 114.142, 190023.6 6572913.93 115.022, 190000.98 6572893.47 116.412, 189988.97 6572877.04 116.982, 190016.73 6572903.72 115.422, 190041.47 6572924.03 114.142)</t>
  </si>
  <si>
    <t>POLYGON Z ((190041.47 6572924.03 114.142, 190023.6 6572913.93 115.022, 190000.98 6572893.47 116.412, 189988.97 6572877.04 116.982, 190016.73 6572903.72 115.422, 190041.47 6572924.03 114.142))</t>
  </si>
  <si>
    <t>['RV36 S3D1 m6039-6114']</t>
  </si>
  <si>
    <t>LINESTRING Z (186966.36 6573410.35 0.038, 186963.53 6573410.75 0.038, 186960.7 6573411.15 12.338, 186957.87 6573411.52 0.038, 186955.03 6573411.89 0.038, 186952.2 6573412.24 0.038, 186949.36 6573412.59 -0.002, 186931.55 6573414.31 23.338, 186916.52 6573415.09 22.838, 186896.6 6573415.73 22.258, 186916.71 6573418.31 22.908, 186947.32 6573416.09 24.018, 186972.02 6573409.51 24.688, 186969.19 6573409.93 0.038, 186966.36 6573410.35 0.038)</t>
  </si>
  <si>
    <t>POLYGON Z ((186966.36 6573410.35 0.038, 186963.53 6573410.75 0.038, 186960.7 6573411.15 12.338, 186957.87 6573411.52 0.038, 186955.03 6573411.89 0.038, 186952.2 6573412.24 0.038, 186949.36 6573412.59 -0.002, 186931.55 6573414.31 23.338, 186916.52 6573415.09 22.838, 186896.6 6573415.73 22.258, 186916.71 6573418.31 22.908, 186947.32 6573416.09 24.018, 186972.02 6573409.51 24.688, 186969.19 6573409.93 0.038, 186966.36 6573410.35 0.038))</t>
  </si>
  <si>
    <t>['RV36 S3D1 m5278-5343']</t>
  </si>
  <si>
    <t>LINESTRING Z (187508.39 6572997.45 52.528, 187550.39 6572947.69 55.528, 187537.23 6572956.23 54.448, 187521.05 6572975.37 53.788, 187508.39 6572997.45 52.528)</t>
  </si>
  <si>
    <t>POLYGON Z ((187508.39 6572997.45 52.528, 187550.39 6572947.69 55.528, 187537.23 6572956.23 54.448, 187521.05 6572975.37 53.788, 187508.39 6572997.45 52.528))</t>
  </si>
  <si>
    <t>['FV353 S3D1 m7439-7512']</t>
  </si>
  <si>
    <t>LINESTRING Z (189577.21 6571628.13 146.74, 189577.39 6571669.66 146.72, 189577.38 6571701.18 146.29, 189580.66 6571681.66 146.5, 189580.47 6571651.14 146.74, 189577.21 6571628.13 146.74)</t>
  </si>
  <si>
    <t>POLYGON Z ((189577.21 6571628.13 146.74, 189577.39 6571669.66 146.72, 189577.38 6571701.18 146.29, 189580.66 6571681.66 146.5, 189580.47 6571651.14 146.74, 189577.21 6571628.13 146.74))</t>
  </si>
  <si>
    <t>['FV353 S3D1 m7438-7513']</t>
  </si>
  <si>
    <t>LINESTRING Z (189571.2 6571627.15 146.75, 189571.31 6571658.17 146.82, 189571.27 6571702.21 146.21, 189568.03 6571677.2 146.69, 189568.04 6571647.18 146.81, 189571.2 6571627.15 146.75)</t>
  </si>
  <si>
    <t>POLYGON Z ((189571.2 6571627.15 146.75, 189571.31 6571658.17 146.82, 189571.27 6571702.21 146.21, 189568.03 6571677.2 146.69, 189568.04 6571647.18 146.81, 189571.2 6571627.15 146.75))</t>
  </si>
  <si>
    <t>['RV36 S3D1 m3810-3875']</t>
  </si>
  <si>
    <t>LINESTRING Z (188770.07 6572387.6 0.039, 188766.78 6572387.19 0.039, 188763.5 6572386.77 53.799, 188760.21 6572386.34 0.039, 188756.93 6572385.91 0.039, 188753.65 6572385.47 0.039, 188750.37 6572385.02 -0.001, 188746.61 6572384.49 0.039, 188742.86 6572383.95 0.039, 188739.1 6572383.4 0.039, 188735.35 6572382.84 -0.001, 188731.6 6572382.26 0.039, 188727.85 6572381.67 0.039, 188724.1 6572381.07 0.039, 188720.35 6572380.46 -0.001, 188712.02 6572379.06 105.919, 188726.18 6572385.96 106.439, 188751.12 6572389.68 107.129, 188776.65 6572388.4 107.589, 188773.36 6572388 0.039, 188770.07 6572387.6 0.039)</t>
  </si>
  <si>
    <t>POLYGON Z ((188770.07 6572387.6 0.039, 188766.78 6572387.19 0.039, 188763.5 6572386.77 53.799, 188760.21 6572386.34 0.039, 188756.93 6572385.91 0.039, 188753.65 6572385.47 0.039, 188750.37 6572385.02 -0.001, 188746.61 6572384.49 0.039, 188742.86 6572383.95 0.039, 188739.1 6572383.4 0.039, 188735.35 6572382.84 -0.001, 188731.6 6572382.26 0.039, 188727.85 6572381.67 0.039, 188724.1 6572381.07 0.039, 188720.35 6572380.46 -0.001, 188712.02 6572379.06 105.919, 188726.18 6572385.96 106.439, 188751.12 6572389.68 107.129, 188776.65 6572388.4 107.589, 188773.36 6572388 0.039, 188770.07 6572387.6 0.039))</t>
  </si>
  <si>
    <t>['EV39 S1D1 m2552-2631']</t>
  </si>
  <si>
    <t>LINESTRING Z (262384.07 7030369.42 15.837, 262380.71 7030370.77 15.787, 262376.42 7030372.61 15.687, 262368.16 7030375.82 15.597, 262365.15 7030376.81 15.587, 262360.83 7030378.07 15.537, 262356.47 7030379.29 15.487, 262352.45 7030380.43 15.437, 262347.19 7030381.92 15.357, 262343.09 7030383.06 15.307, 262338.47 7030384.33 15.247, 262334.08 7030385.47 15.177, 262329.73 7030386.49 15.127, 262325.5 7030387.32 15.097, 262320.76 7030388.07 15.087, 262313.44 7030389.08 15.047, 262308.25 7030390.11 14.977)</t>
  </si>
  <si>
    <t>POINT (262346.6069019034 7030381.380292766)</t>
  </si>
  <si>
    <t>2019-09-21</t>
  </si>
  <si>
    <t>['EV16 S47D70 m7894-7985']</t>
  </si>
  <si>
    <t>LINESTRING Z (249353.98 6647553.83 1.266, 249353.89 6647553.85 1.266, 249353.44 6647553.99 1.246, 249353.39 6647554.02 1.246, 249353.34 6647554.03 1.246, 249352.98 6647554.16 1.236, 249352.93 6647554.17 1.226, 249351.98 6647554.5 1.196, 249351.02 6647554.83 1.156, 249350.06 6647555.16 1.116, 249349.1 6647555.49 1.076, 249348.14 6647555.82 1.046, 249347.18 6647556.15 1.006, 249346.22 6647556.48 0.966, 249345.77 6647556.63 0.946, 249345.25 6647556.82 0.926, 249344.77 6647556.98 0.916, 249344.29 6647557.14 0.896, 249344.19 6647557.18 0.886, 249343.62 6647557.38 0.866, 249343.33 6647557.48 0.856, 249342.66 6647557.71 0.826, 249342.46 6647557.78 0.826, 249342.37 6647557.81 0.816, 249341.41 6647558.14 0.786, 249340.45 6647558.47 0.746, 249339.48 6647558.8 0.706, 249338.52 6647559.13 0.676, 249337.56 6647559.47 0.636, 249336.59 6647559.79 0.596, 249335.63 6647560.13 0.566, 249334.91 6647560.38 0.536, 249334.66 6647560.46 0.526, 249333.7 6647560.79 0.486, 249332.73 6647561.12 0.456, 249331.77 6647561.45 0.416, 249330.8 6647561.79 0.376, 249329.83 6647562.12 0.346, 249328.87 6647562.45 0.306, 249327.9 6647562.78 0.266, 249326.93 6647563.12 0.236, 249326.86 6647563.14 0.226, 249326.76 6647563.18 0.226, 249326.64 6647563.22 0.226, 249325.96 6647563.43 0.196, 249324.99 6647563.71 0.156, 249324.94 6647563.72 0.156, 249324.78 6647563.77 0.146, 249324.58 6647563.81 0.136, 249324.38 6647563.85 0.126, 249324.19 6647563.9 0.116, 249324 6647563.93 0.106, 249323.91 6647563.95 0.106, 249323.85 6647563.96 0.106, 249323.79 6647563.97 0.106, 249323.59 6647564.01 0.096, 249323.44 6647564.04 0.086, 249323.38 6647564.05 0.086, 249323.19 6647564.08 0.076, 249323 6647564.13 0.066, 249322.89 6647564.15 0.066, 249322.79 6647564.16 0.056, 249322.59 6647564.21 0.046, 249322.4 6647564.24 0.036, 249322.2 6647564.28 0.026, 249322.01 6647564.32 0.016, 249321.8 6647564.36 0.016, 249321.59 6647564.39 0.006, 249321.4 6647564.44 -0.004, 249321.2 6647564.47 -0.014, 249321.01 6647564.5 -0.024, 249320.01 6647564.69 -0.074, 249319.02 6647564.88 -0.114, 249318.02 6647565.07 -0.164, 249317.03 6647565.25 -0.204, 249316.03 6647565.42 -0.254, 249315.32 6647565.55 -0.284, 249315.14 6647565.59 -0.294, 249315.04 6647565.6 -0.294, 249314.04 6647565.78 -0.344, 249313.19 6647565.94 -0.384, 249313.1 6647565.94 -0.384, 249313.05 6647565.96 -0.384, 249312.87 6647565.99 -0.394, 249312.05 6647566.14 -0.434, 249311.05 6647566.3 -0.474, 249310.05 6647566.47 -0.524, 249309.06 6647566.64 -0.564, 249308.06 6647566.81 -0.614, 249307.07 6647566.98 -0.654, 249306.63 6647567.05 -0.674, 249306.37 6647567.09 -0.684, 249306.07 6647567.15 -0.704, 249305.24 6647567.28 -0.744, 249305.19 6647567.29 -0.744, 249305.14 6647567.3 -0.744, 249305.08 6647567.3 -0.744, 249305.02 6647567.32 -0.754, 249304.09 6647567.47 -0.794, 249303.08 6647567.63 -0.834, 249302.87 6647567.66 -0.844, 249302.09 6647567.79 -0.884, 249301.09 6647567.95 -0.924, 249300.1 6647568.1 -0.974, 249299.9 6647568.14 -0.984, 249299.11 6647568.26 -1.014, 249298.12 6647568.41 -1.064, 249297.61 6647568.49 -1.084, 249297.11 6647568.57 -1.104, 249296.32 6647568.69 -1.144, 249296.19 6647568.71 -1.154, 249296.12 6647568.73 -1.154, 249296.03 6647568.73 -1.154, 249295.12 6647568.85 -1.194, 249294.11 6647568.93 -1.244, 249293.86 6647568.95 -1.254, 249293.76 6647568.95 -1.264, 249293.69 6647568.95 -1.264, 249293.59 6647568.96 -1.274, 249293.1 6647568.98 -1.294, 249292.85 6647568.99 -1.304, 249292.09 6647569.02 -1.344, 249291.08 6647569.07 -1.394, 249290.07 6647569.11 -1.444, 249289.06 6647569.16 -1.484, 249288.75 6647569.17 -1.504, 249288.05 6647569.19 -1.534, 249287.05 6647569.24 -1.584, 249286.04 6647569.28 -1.634, 249285.03 6647569.33 -1.684, 249284.74 6647569.34 -1.694, 249284.02 6647569.37 -1.724, 249283.01 6647569.42 -1.774, 249282.01 6647569.45 -1.824, 249281.9 6647569.46 -1.824, 249281.85 6647569.47 -1.824, 249281.76 6647569.46 -1.834, 249281 6647569.5 -1.864, 249280.93 6647569.5 -1.874, 249280.01 6647569.54 -1.914, 249278.99 6647569.58 -1.964, 249277.98 6647569.63 -2.004, 249276.98 6647569.67 -2.054, 249275.97 6647569.72 -2.094, 249274.97 6647569.75 -2.144, 249273.96 6647569.8 -2.194, 249272.96 6647569.84 -2.234, 249272.8 6647569.85 -2.244, 249271.95 6647569.89 -2.284, 249271.04 6647569.93 -2.324, 249270.95 6647569.93 -2.324, 249269.94 6647569.98 -2.374, 249268.94 6647570.01 -2.414, 249268.74 6647570.03 -2.424, 249268.66 6647570.03 -2.424, 249268.58 6647570.03 -2.434, 249267.93 6647570.06 -2.464, 249266.93 6647570.1 -2.504, 249265.93 6647570.15 -2.554, 249265.8 6647570.16 -2.554, 249265.72 6647570.15 -2.554, 249265.27 6647570.18 -2.574, 249265.11 6647570.19 -2.584, 249264.98 6647570.21 -2.594, 249264.93 6647570.22 -2.594, 249264.87 6647570.22 -2.594)</t>
  </si>
  <si>
    <t>POINT (249309.96784510376 6647564.893779636)</t>
  </si>
  <si>
    <t>['EV16 S47D70 m5658-5763']</t>
  </si>
  <si>
    <t>LINESTRING Z (248245 6648667.63 10.997, 248244.98 6648667.74 10.997, 248244.8 6648668.69 11.047, 248244.78 6648668.74 11.047, 248244.35 6648670.71 11.147, 248243.98 6648672.41 11.227, 248243.93 6648672.67 11.247, 248243.49 6648674.64 11.337, 248243.06 6648676.61 11.437, 248242.63 6648678.58 11.537, 248242.2 6648680.54 11.637, 248241.98 6648681.53 11.687, 248241.77 6648682.51 11.737, 248241.34 6648684.47 11.837, 248240.91 6648686.44 11.927, 248240.48 6648688.41 12.027, 248240.05 6648690.37 12.127, 248239.62 6648692.34 12.227, 248239.19 6648694.3 12.327, 248239.02 6648695.1 12.367, 248238.76 6648696.27 12.417, 248238.43 6648698.23 12.517, 248238.19 6648700.23 12.607, 248237.96 6648702.22 12.697, 248237.73 6648704.2 12.797, 248237.61 6648705.19 12.837, 248237.5 6648706.19 12.887, 248237.26 6648708.17 12.977, 248237.02 6648710.15 13.067, 248236.8 6648712.13 13.167, 248236.56 6648714.11 13.257, 248236.33 6648716.1 13.347, 248236.1 6648718.09 13.437, 248235.86 6648720.07 13.527, 248235.63 6648722.05 13.627, 248235.4 6648724.03 13.717, 248235.17 6648726.01 13.807, 248235.1 6648726.57 13.837, 248235.05 6648727 13.857, 248235.02 6648727.42 13.867, 248235.01 6648727.47 13.877, 248234.98 6648727.99 13.897, 248234.83 6648729.98 13.987, 248234.68 6648731.97 14.077, 248234.53 6648733.96 14.167, 248234.39 6648735.95 14.257, 248234.24 6648737.94 14.347, 248234.1 6648739.93 14.427, 248233.95 6648741.92 14.517, 248233.8 6648743.9 14.607, 248233.65 6648745.9 14.697, 248233.51 6648747.88 14.787, 248233.43 6648748.88 14.827, 248233.36 6648749.88 14.877, 248233.34 6648750.25 14.887, 248233.22 6648751.86 14.967, 248233.14 6648752.86 15.017, 248233.07 6648753.86 15.067, 248232.93 6648755.84 15.157, 248232.77 6648757.84 15.257, 248232.62 6648759.82 15.347, 248232.48 6648761.82 15.447, 248232.34 6648763.81 15.537, 248232.19 6648765.81 15.637, 248232.03 6648767.8 15.727, 248231.89 6648769.79 15.817, 248231.82 6648770.79 15.867, 248231.81 6648770.91 15.877, 248231.8 6648771 15.877, 248231.72 6648771.79 15.917, 248231.69 6648772.03 15.927)</t>
  </si>
  <si>
    <t>POINT (248236.7710447827 6648719.605411992)</t>
  </si>
  <si>
    <t>['EV16 S47D70 m6178-6269']</t>
  </si>
  <si>
    <t>LINESTRING Z (248446.88 6648208.07 -13.074, 248446.42 6648208.76 -13.044, 248446.33 6648208.88 -13.034, 248446.23 6648209.02 -13.034, 248445.83 6648209.53 -13.014, 248445.77 6648209.6 -13.004, 248445.71 6648209.68 -13.004, 248445.08 6648210.46 -12.964, 248443.81 6648212.02 -12.894, 248442.55 6648213.58 -12.824, 248441.28 6648215.15 -12.744, 248440.01 6648216.71 -12.674, 248438.75 6648218.27 -12.604, 248437.49 6648219.83 -12.524, 248436.22 6648221.39 -12.454, 248434.95 6648222.96 -12.374, 248433.75 6648224.44 -12.304, 248433.7 6648224.51 -12.304, 248433.04 6648225.33 -12.264, 248432.42 6648226.08 -12.224, 248431.15 6648227.64 -12.144, 248429.88 6648229.2 -12.064, 248428.62 6648230.77 -11.994, 248428.1 6648231.42 -11.954, 248428.04 6648231.49 -11.954, 248427.98 6648231.56 -11.954, 248427.38 6648232.34 -11.914, 248426.79 6648233.17 -11.874, 248426.26 6648234 -11.844, 248425.71 6648234.84 -11.804, 248425.16 6648235.67 -11.764, 248424.06 6648237.35 -11.694, 248423.09 6648238.83 -11.624, 248422.96 6648239.02 -11.624, 248421.93 6648240.58 -11.554, 248421.86 6648240.7 -11.544, 248421.83 6648240.75 -11.544, 248420.76 6648242.37 -11.474, 248419.66 6648244.05 -11.394, 248418.56 6648245.72 -11.324, 248417.48 6648247.4 -11.244, 248416.38 6648249.07 -11.164, 248415.82 6648249.9 -11.124, 248415.28 6648250.74 -11.094, 248414.18 6648252.42 -11.014, 248413.9 6648252.86 -10.994, 248413.09 6648254.1 -10.934, 248411.99 6648255.78 -10.854, 248411.47 6648256.58 -10.814, 248411.04 6648257.27 -10.784, 248410.92 6648257.47 -10.774, 248410.43 6648258.36 -10.744, 248410.39 6648258.45 -10.734, 248410.35 6648258.51 -10.734, 248409.98 6648259.25 -10.704, 248409.06 6648261.03 -10.634, 248408.14 6648262.83 -10.554, 248407.22 6648264.62 -10.484, 248406.76 6648265.51 -10.444, 248406.3 6648266.41 -10.404, 248405.38 6648268.2 -10.334, 248404.45 6648269.99 -10.254, 248403.53 6648271.78 -10.174, 248402.61 6648273.58 -10.104, 248401.7 6648275.34 -10.024, 248401.54 6648275.65 -10.014, 248400.77 6648277.15 -9.944, 248399.85 6648278.95 -9.864, 248398.93 6648280.73 -9.794, 248398.47 6648281.63 -9.754, 248398.01 6648282.52 -9.714, 248397.55 6648283.43 -9.674, 248397.49 6648283.52 -9.664, 248397.47 6648283.58 -9.664, 248397.06 6648284.31 -9.624)</t>
  </si>
  <si>
    <t>POINT (248420.26587188736 6648245.080778746)</t>
  </si>
  <si>
    <t>['EV16 S47D70 m6659-6750']</t>
  </si>
  <si>
    <t>LINESTRING Z (248676.45 6647788.74 -15.914, 248676.17 6647789.33 -15.934, 248676.05 6647789.56 -15.934, 248676.02 6647789.61 -15.934, 248675.63 6647790.37 -15.954, 248675.16 6647791.19 -15.984, 248675.09 6647791.33 -15.984, 248674.11 6647793.09 -16.034, 248673.11 6647794.84 -16.074, 248672.13 6647796.6 -16.124, 248671.17 6647798.31 -16.164, 248671.15 6647798.37 -16.164, 248670.48 6647799.54 -16.194, 248670.16 6647800.12 -16.214, 248669.18 6647801.88 -16.254, 248668.2 6647803.63 -16.294, 248667.21 6647805.39 -16.334, 248666.35 6647806.93 -16.374, 248666.28 6647807.04 -16.374, 248666.23 6647807.14 -16.384, 248665.83 6647807.86 -16.394, 248665.25 6647808.89 -16.414, 248664.26 6647810.66 -16.454, 248663.28 6647812.41 -16.484, 248662.29 6647814.16 -16.524, 248661.8 6647815.04 -16.534, 248661.35 6647815.89 -16.554, 248660.96 6647816.71 -16.574, 248660.9 6647816.85 -16.574, 248660.51 6647817.75 -16.594, 248659.72 6647819.59 -16.634, 248658.92 6647821.43 -16.674, 248658.13 6647823.26 -16.704, 248657.33 6647825.1 -16.744, 248657.26 6647825.26 -16.754, 248656.54 6647826.93 -16.784, 248655.74 6647828.76 -16.814, 248654.94 6647830.6 -16.854, 248654.14 6647832.44 -16.884, 248653.38 6647834.21 -16.924, 248653.36 6647834.27 -16.924, 248652.56 6647836.11 -16.954, 248652.53 6647836.17 -16.954, 248651.76 6647837.95 -16.984, 248650.96 6647839.79 -17.024, 248650.17 6647841.62 -17.054, 248650.14 6647841.69 -17.054, 248649.77 6647842.54 -17.064, 248649.4 6647843.46 -17.084, 248649.36 6647843.54 -17.084, 248649.07 6647844.4 -17.104, 248649.04 6647844.5 -17.104, 248649.02 6647844.56 -17.104, 248648.76 6647845.37 -17.124, 248648.15 6647847.29 -17.154, 248647.53 6647849.2 -17.194, 248646.92 6647851.11 -17.224, 248646.34 6647852.97 -17.264, 248646.31 6647853.03 -17.264, 248645.7 6647854.95 -17.294, 248645.09 6647856.86 -17.324, 248644.48 6647858.78 -17.364, 248644.4 6647859.01 -17.364, 248644.14 6647859.84 -17.374, 248643.87 6647860.7 -17.394, 248643.25 6647862.6 -17.424, 248643.14 6647862.97 -17.434, 248642.64 6647864.52 -17.454, 248642.03 6647866.44 -17.484, 248641.42 6647868.35 -17.514, 248640.81 6647870.27 -17.544, 248640.49 6647871.23 -17.564, 248640.47 6647871.33 -17.564, 248640.44 6647871.39 -17.564, 248640.2 6647872.09 -17.574)</t>
  </si>
  <si>
    <t>POINT (248656.49491381686 6647829.621019273)</t>
  </si>
  <si>
    <t>['EV16 S47D70 m7151-7243']</t>
  </si>
  <si>
    <t>LINESTRING Z (249088.15 6647568.76 -6.634, 249086.82 6647568.89 -6.644, 249086.73 6647568.89 -6.644, 249086.63 6647568.9 -6.644, 249086.39 6647568.91 -6.644, 249084.38 6647569 -6.654, 249082.37 6647569.09 -6.664, 249080.36 6647569.19 -6.674, 249078.35 6647569.27 -6.684, 249076.35 6647569.37 -6.694, 249074.35 6647569.45 -6.714, 249072.34 6647569.55 -6.724, 249072.02 6647569.56 -6.724, 249070.33 6647569.64 -6.734, 249068.32 6647569.74 -6.744, 249066.31 6647569.82 -6.754, 249065.3 6647569.87 -6.764, 249064.3 6647569.91 -6.764, 249062.29 6647570.01 -6.774, 249060.28 6647570.09 -6.784, 249058.68 6647570.17 -6.794, 249058.6 6647570.18 -6.794, 249058.5 6647570.17 -6.794, 249058.27 6647570.19 -6.804, 249056.28 6647570.37 -6.814, 249056.04 6647570.41 -6.814, 249054.3 6647570.67 -6.834, 249052.32 6647570.95 -6.844, 249052.06 6647570.99 -6.854, 249050.34 6647571.25 -6.864, 249048.36 6647571.54 -6.884, 249046.38 6647571.82 -6.904, 249044.39 6647572.12 -6.914, 249042.42 6647572.4 -6.934, 249040.44 6647572.7 -6.954, 249038.46 6647572.98 -6.964, 249036.48 6647573.27 -6.984, 249034.52 6647573.56 -7.004, 249032.52 6647573.85 -7.024, 249032.35 6647573.87 -7.024, 249030.55 6647574.14 -7.034, 249028.8 6647574.39 -7.054, 249028.56 6647574.43 -7.054, 249026.6 6647574.81 -7.074, 249026.37 6647574.87 -7.074, 249026.28 6647574.89 -7.074, 249026.21 6647574.91 -7.084, 249024.65 6647575.31 -7.094, 249022.7 6647575.79 -7.124, 249020.74 6647576.27 -7.144, 249018.79 6647576.77 -7.164, 249016.84 6647577.25 -7.194, 249014.9 6647577.73 -7.214, 249012.94 6647578.23 -7.234, 249012.64 6647578.3 -7.244, 249010.99 6647578.71 -7.264, 249009.04 6647579.2 -7.284, 249007.09 6647579.69 -7.304, 249005.14 6647580.17 -7.334, 249003.18 6647580.66 -7.354, 249001.23 6647581.15 -7.374, 248999.28 6647581.63 -7.404, 248999.05 6647581.69 -7.404, 248998.96 6647581.72 -7.404, 248998.89 6647581.73 -7.404, 248997.56 6647581.99 -7.414)</t>
  </si>
  <si>
    <t>POINT (249042.57070365857 6647573.426974628)</t>
  </si>
  <si>
    <t>['EV16 S47D70 m8410-8499']</t>
  </si>
  <si>
    <t>LINESTRING Z (248801.63 6647768.15 -13.324, 248801.8 6647768 -13.314, 248801.85 6647767.95 -13.314, 248801.95 6647767.86 -13.304, 248802.32 6647767.51 -13.294, 248802.59 6647767.26 -13.284, 248803.29 6647766.54 -13.244, 248803.48 6647766.33 -13.234, 248803.53 6647766.27 -13.234, 248803.96 6647765.79 -13.204, 248804.63 6647765.04 -13.174, 248805.3 6647764.3 -13.134, 248805.98 6647763.55 -13.094, 248806.65 6647762.79 -13.064, 248807.33 6647762.04 -13.024, 248808 6647761.29 -12.984, 248808.67 6647760.54 -12.944, 248809.35 6647759.79 -12.904, 248810.02 6647759.04 -12.874, 248810.69 6647758.28 -12.834, 248811.28 6647757.63 -12.794, 248811.36 6647757.55 -12.794, 248812.04 6647756.79 -12.754, 248812.71 6647756.03 -12.714, 248813.38 6647755.28 -12.674, 248814.06 6647754.52 -12.634, 248814.73 6647753.78 -12.594, 248815.4 6647753.03 -12.554, 248816.09 6647752.27 -12.514, 248816.76 6647751.52 -12.474, 248817.43 6647750.77 -12.434, 248818.11 6647750.02 -12.394, 248818.78 6647749.26 -12.354, 248819.46 6647748.51 -12.314, 248819.59 6647748.36 -12.304, 248820.13 6647747.75 -12.274, 248820.6 6647747.24 -12.244, 248820.77 6647747.04 -12.234, 248820.82 6647746.99 -12.234, 248820.88 6647746.91 -12.224, 248821.29 6647746.46 -12.204, 248821.48 6647746.25 -12.194, 248822.02 6647745.65 -12.154, 248822.08 6647745.59 -12.154, 248822.15 6647745.5 -12.154, 248822.24 6647745.4 -12.144, 248822.35 6647745.29 -12.134, 248822.42 6647745.2 -12.134, 248822.83 6647744.75 -12.114, 248823.55 6647744.04 -12.074, 248824 6647743.62 -12.044, 248824.1 6647743.53 -12.044, 248824.29 6647743.36 -12.034, 248824.47 6647743.21 -12.024, 248824.94 6647742.78 -11.994, 248824.99 6647742.74 -11.994, 248825.03 6647742.71 -11.994, 248825.8 6647742.02 -11.954, 248826.55 6647741.36 -11.904, 248827.3 6647740.69 -11.864, 248828.06 6647740.03 -11.824, 248828.81 6647739.36 -11.784, 248829.46 6647738.8 -11.744, 248829.57 6647738.7 -11.744, 248830.35 6647738.05 -11.704, 248830.73 6647737.76 -11.684, 248831.16 6647737.46 -11.664, 248831.26 6647737.38 -11.654, 248831.35 6647737.31 -11.654, 248831.42 6647737.27 -11.654, 248831.81 6647737 -11.634, 248831.98 6647736.88 -11.624, 248832.82 6647736.3 -11.594, 248833.65 6647735.72 -11.554, 248834.48 6647735.15 -11.524, 248835.31 6647734.57 -11.484, 248835.36 6647734.53 -11.484, 248836.15 6647733.99 -11.454, 248836.97 6647733.41 -11.414, 248837.8 6647732.83 -11.384, 248838.64 6647732.26 -11.344, 248839.47 6647731.68 -11.314, 248840.3 6647731.1 -11.284, 248841.13 6647730.53 -11.244, 248841.42 6647730.33 -11.234, 248841.96 6647729.95 -11.214, 248842.79 6647729.38 -11.174, 248843.62 6647728.8 -11.144, 248843.67 6647728.76 -11.144, 248844.45 6647728.22 -11.114, 248844.59 6647728.12 -11.104, 248845.28 6647727.64 -11.074, 248845.97 6647727.16 -11.054, 248846.04 6647727.12 -11.044, 248846.09 6647727.09 -11.044, 248846.94 6647726.5 -11.014, 248847.77 6647725.92 -10.974, 248848.39 6647725.49 -10.954, 248848.59 6647725.34 -10.944, 248849.43 6647724.76 -10.914, 248850.25 6647724.2 -10.884, 248851.08 6647723.62 -10.854, 248851.92 6647723.04 -10.824, 248852 6647722.97 -10.824, 248852.74 6647722.46 -10.794, 248853.57 6647721.88 -10.764, 248854.4 6647721.32 -10.734, 248854.55 6647721.21 -10.734, 248854.62 6647721.16 -10.724, 248854.67 6647721.13 -10.724, 248855.22 6647720.73 -10.704, 248855.27 6647720.69 -10.704, 248855.86 6647720.22 -10.674, 248856 6647720.09 -10.664, 248856.78 6647719.46 -10.634, 248857.52 6647718.85 -10.594, 248858.33 6647718.19 -10.554, 248859.11 6647717.56 -10.524, 248859.89 6647716.92 -10.484, 248860.03 6647716.81 -10.474, 248860.67 6647716.29 -10.444, 248861.45 6647715.65 -10.414, 248862.23 6647715.02 -10.374, 248863.02 6647714.38 -10.334, 248863.8 6647713.76 -10.294, 248864.58 6647713.13 -10.264, 248865.37 6647712.5 -10.224, 248866.16 6647711.87 -10.184, 248866.94 6647711.25 -10.154, 248867.73 6647710.62 -10.114, 248867.79 6647710.57 -10.114, 248867.9 6647710.49 -10.104, 248868.36 6647710.12 -10.084, 248868.45 6647710.05 -10.084, 248868.5 6647710.02 -10.074, 248869.08 6647709.56 -10.054)</t>
  </si>
  <si>
    <t>POINT (248834.0677529948 6647737.440434439)</t>
  </si>
  <si>
    <t>['EV16 S47D70 m9711-9802']</t>
  </si>
  <si>
    <t>LINESTRING Z (248244.81 6648817.55 18.347, 248244.73 6648817.96 18.367, 248244.57 6648818.95 18.417, 248244.56 6648819.05 18.417, 248244.55 6648819.13 18.427, 248244.45 6648819.95 18.467, 248244.34 6648820.95 18.527, 248244.22 6648821.95 18.587, 248244.1 6648822.95 18.637, 248243.98 6648823.95 18.697, 248243.86 6648824.97 18.747, 248243.75 6648825.97 18.807, 248243.62 6648826.97 18.867, 248243.5 6648827.97 18.917, 248243.39 6648828.97 18.977, 248243.27 6648829.97 19.027, 248243.14 6648830.97 19.087, 248243.03 6648831.98 19.147, 248242.91 6648832.98 19.197, 248242.79 6648833.98 19.257, 248242.68 6648834.98 19.317, 248242.55 6648835.99 19.367, 248242.43 6648837 19.427, 248242.32 6648838 19.487, 248242.2 6648839.01 19.537, 248242.08 6648840.01 19.597, 248241.95 6648841.01 19.657, 248241.84 6648842.02 19.707, 248241.72 6648843.02 19.767, 248241.6 6648844.03 19.827, 248241.48 6648845.03 19.887, 248241.36 6648846.04 19.937, 248241.24 6648847.04 19.997, 248241.23 6648847.09 19.997, 248241.23 6648847.15 20.007, 248241.22 6648847.27 20.007, 248241.11 6648848.04 20.057, 248240.93 6648849.04 20.107, 248240.82 6648849.52 20.127, 248240.7 6648850.02 20.157, 248240.47 6648851 20.207, 248240.23 6648851.97 20.257, 248240 6648852.95 20.307, 248239.76 6648853.93 20.357, 248239.52 6648854.91 20.407, 248239.29 6648855.89 20.457, 248239.05 6648856.87 20.507, 248238.81 6648857.85 20.557, 248238.56 6648858.83 20.607, 248238.33 6648859.8 20.657, 248238.09 6648860.78 20.707, 248237.84 6648861.75 20.757, 248237.6 6648862.73 20.807, 248237.35 6648863.71 20.857, 248237.11 6648864.69 20.907, 248236.86 6648865.66 20.957, 248236.61 6648866.64 21.007, 248236.36 6648867.62 21.057, 248236.11 6648868.59 21.107, 248235.87 6648869.57 21.157, 248235.61 6648870.54 21.207, 248235.36 6648871.52 21.257, 248235.1 6648872.49 21.307, 248234.85 6648873.47 21.357, 248234.59 6648874.44 21.407, 248234.34 6648875.41 21.457, 248234.08 6648876.39 21.507, 248234.04 6648876.57 21.517, 248233.81 6648877.35 21.557, 248233.48 6648878.31 21.597, 248233.32 6648878.76 21.617, 248233.28 6648878.86 21.627, 248233.25 6648878.91 21.627, 248233.13 6648879.25 21.647, 248232.75 6648880.2 21.687, 248232.38 6648881.14 21.727, 248232.02 6648882.08 21.767, 248231.65 6648883.02 21.817, 248231.27 6648883.97 21.857, 248230.9 6648884.91 21.897, 248230.54 6648885.85 21.947, 248230.17 6648886.79 21.987, 248229.8 6648887.73 22.027, 248229.43 6648888.68 22.077, 248229.06 6648889.61 22.117, 248228.69 6648890.56 22.157, 248228.32 6648891.5 22.207, 248227.96 6648892.44 22.247, 248227.59 6648893.37 22.287, 248227.22 6648894.32 22.337, 248226.85 6648895.26 22.377, 248226.48 6648896.2 22.417, 248226.11 6648897.13 22.467, 248225.75 6648898.08 22.507, 248225.38 6648899.02 22.557, 248225.01 6648899.96 22.597, 248224.64 6648900.89 22.637, 248224.28 6648901.83 22.687, 248223.91 6648902.77 22.727, 248223.54 6648903.72 22.777, 248223.17 6648904.65 22.817, 248222.99 6648905.12 22.837, 248222.95 6648905.2 22.847, 248222.81 6648905.59 22.867)</t>
  </si>
  <si>
    <t>POINT (248236.30429094864 6648862.197311306)</t>
  </si>
  <si>
    <t>['EV16 S47D70 m9205-9295']</t>
  </si>
  <si>
    <t>LINESTRING Z (248393.37 6648342.34 -7.254, 248393.34 6648342.38 -7.254, 248393.31 6648342.42 -7.254, 248392.98 6648343.02 -7.224, 248392.94 6648343.1 -7.214, 248392.89 6648343.18 -7.214, 248392.86 6648343.26 -7.204, 248392.68 6648343.6 -7.184, 248392.4 6648344.16 -7.154, 248391.94 6648345.05 -7.104, 248391.48 6648345.95 -7.054, 248391.45 6648345.99 -7.054, 248391.02 6648346.84 -7.004, 248390.55 6648347.73 -6.954, 248390.09 6648348.63 -6.904, 248389.63 6648349.52 -6.854, 248389.16 6648350.41 -6.804, 248388.7 6648351.31 -6.754, 248388.24 6648352.2 -6.704, 248387.78 6648353.09 -6.654, 248387.32 6648353.98 -6.604, 248386.86 6648354.87 -6.554, 248386.4 6648355.77 -6.504, 248385.94 6648356.66 -6.454, 248385.48 6648357.55 -6.404, 248385.14 6648358.24 -6.364, 248385.02 6648358.45 -6.354, 248384.56 6648359.34 -6.304, 248384.11 6648360.23 -6.254, 248384.04 6648360.36 -6.244, 248383.96 6648360.51 -6.234, 248383.65 6648361.12 -6.204, 248383.19 6648362.01 -6.154, 248382.73 6648362.91 -6.104, 248382.26 6648363.8 -6.044, 248381.8 6648364.69 -5.994, 248381.34 6648365.58 -5.944, 248380.88 6648366.47 -5.894, 248380.51 6648367.19 -5.854, 248380.42 6648367.36 -5.844, 248380.02 6648368.13 -5.804, 248379.99 6648368.21 -5.794, 248379.96 6648368.25 -5.794, 248379.94 6648368.3 -5.794, 248379.49 6648369.13 -5.744, 248378.99 6648369.94 -5.694, 248378.43 6648370.82 -5.644, 248377.89 6648371.66 -5.604, 248377.35 6648372.5 -5.554, 248376.82 6648373.33 -5.504, 248376.27 6648374.17 -5.454, 248375.74 6648375.02 -5.404, 248375.4 6648375.55 -5.374, 248375.2 6648375.86 -5.364, 248375.07 6648376.07 -5.344, 248374.67 6648376.7 -5.314, 248374.48 6648376.99 -5.294, 248374.23 6648377.39 -5.274, 248374.15 6648377.52 -5.264, 248374.03 6648377.71 -5.254, 248373.6 6648378.38 -5.214, 248373.08 6648379.2 -5.174, 248372.53 6648380.06 -5.124, 248372.11 6648380.73 -5.084, 248372 6648380.9 -5.074, 248371.46 6648381.74 -5.024, 248370.94 6648382.59 -4.974, 248370.41 6648383.43 -4.934, 248369.96 6648384.14 -4.884, 248369.88 6648384.27 -4.884, 248369.35 6648385.11 -4.834, 248369 6648385.66 -4.804, 248368.82 6648385.96 -4.784, 248368.29 6648386.8 -4.734, 248367.77 6648387.65 -4.694, 248367.24 6648388.49 -4.644, 248366.72 6648389.33 -4.594, 248366.19 6648390.18 -4.544, 248365.67 6648391.02 -4.494, 248365.14 6648391.87 -4.454, 248364.69 6648392.61 -4.404, 248364.62 6648392.71 -4.404, 248364.11 6648393.56 -4.354, 248364.01 6648393.72 -4.344, 248363.57 6648394.4 -4.304, 248363.51 6648394.5 -4.304, 248363.1 6648395.07 -4.264, 248363 6648395.21 -4.264, 248362.96 6648395.26 -4.254, 248362.42 6648396 -4.214, 248361.81 6648396.82 -4.174, 248361.23 6648397.63 -4.124, 248360.63 6648398.43 -4.084, 248360.04 6648399.23 -4.034, 248359.45 6648400.04 -3.984, 248358.91 6648400.76 -3.944, 248358.86 6648400.84 -3.944, 248358.27 6648401.65 -3.894, 248357.68 6648402.45 -3.854, 248357.09 6648403.25 -3.804, 248356.5 6648404.06 -3.764, 248356.22 6648404.44 -3.744, 248355.91 6648404.86 -3.714, 248355.32 6648405.67 -3.674, 248354.73 6648406.47 -3.624, 248354.13 6648407.28 -3.584, 248353.55 6648408.09 -3.534, 248352.98 6648408.85 -3.494, 248352.36 6648409.69 -3.444, 248351.84 6648410.4 -3.414, 248351.77 6648410.5 -3.404, 248351.18 6648411.31 -3.364, 248350.59 6648412.11 -3.314, 248349.99 6648412.92 -3.274, 248349.47 6648413.63 -3.234, 248349.41 6648413.72 -3.224, 248348.81 6648414.53 -3.184, 248348.22 6648415.34 -3.134, 248347.63 6648416.14 -3.094, 248347.04 6648416.94 -3.044, 248346.56 6648417.59 -3.014, 248346.44 6648417.76 -3.004, 248345.88 6648418.59 -2.954)</t>
  </si>
  <si>
    <t>POINT (248370.9146208588 6648381.262204893)</t>
  </si>
  <si>
    <t>['EV16 S47D70 m8874-8963']</t>
  </si>
  <si>
    <t>LINESTRING Z (248574.17 6648065 -16.954, 248573.78 6648065.7 -16.934, 248573.73 6648065.78 -16.934, 248573.69 6648065.86 -16.934, 248573.22 6648066.77 -16.924, 248572.76 6648067.66 -16.904, 248572.3 6648068.55 -16.894, 248571.84 6648069.45 -16.874, 248571.38 6648070.34 -16.864, 248570.92 6648071.23 -16.854, 248570.44 6648072.13 -16.834, 248570.05 6648072.88 -16.824, 248569.98 6648073.01 -16.824, 248569.52 6648073.91 -16.804, 248569.09 6648074.75 -16.794, 248569.06 6648074.8 -16.794, 248569.03 6648074.86 -16.784, 248569.01 6648074.91 -16.784, 248568.98 6648074.95 -16.784, 248568.9 6648075.11 -16.784, 248568.6 6648075.69 -16.774, 248568.13 6648076.59 -16.764, 248567.67 6648077.48 -16.744, 248567.21 6648078.37 -16.724, 248567.03 6648078.72 -16.724, 248566.99 6648078.8 -16.724, 248566.96 6648078.85 -16.724, 248566.85 6648079.07 -16.714, 248566.75 6648079.27 -16.714, 248566.29 6648080.16 -16.694, 248565.82 6648081.05 -16.684, 248565.43 6648081.8 -16.664, 248565.36 6648081.94 -16.664, 248564.9 6648082.83 -16.654, 248564.44 6648083.73 -16.634, 248564.34 6648083.9 -16.634, 248563.98 6648084.62 -16.614, 248563.52 6648085.49 -16.604, 248563.5 6648085.54 -16.604, 248563.04 6648086.41 -16.584, 248562.68 6648087.12 -16.574, 248562.58 6648087.3 -16.564, 248562.12 6648088.19 -16.554, 248561.66 6648089.08 -16.534, 248561.44 6648089.52 -16.524, 248561.2 6648089.97 -16.514, 248560.82 6648090.71 -16.504, 248560.79 6648090.78 -16.504, 248560.73 6648090.87 -16.504, 248560.25 6648091.75 -16.484, 248559.75 6648092.56 -16.474, 248559.72 6648092.61 -16.464, 248559.55 6648092.87 -16.464, 248559.18 6648093.44 -16.454, 248558.64 6648094.28 -16.444, 248558.08 6648095.11 -16.424, 248557.54 6648095.95 -16.414, 248556.99 6648096.79 -16.394, 248556.45 6648097.63 -16.384, 248555.9 6648098.47 -16.364, 248555.36 6648099.31 -16.354, 248554.81 6648100.15 -16.334, 248554.26 6648100.98 -16.324, 248553.72 6648101.81 -16.304, 248553.17 6648102.65 -16.284, 248552.63 6648103.49 -16.274, 248552.08 6648104.33 -16.254, 248551.53 6648105.17 -16.244, 248550.98 6648106.01 -16.224, 248550.44 6648106.85 -16.204, 248549.89 6648107.69 -16.194, 248549.35 6648108.52 -16.174, 248548.79 6648109.36 -16.164, 248548.74 6648109.44 -16.154, 248548.25 6648110.2 -16.144, 248547.71 6648111.04 -16.124, 248547.16 6648111.88 -16.114, 248546.62 6648112.72 -16.094, 248546.07 6648113.55 -16.074, 248545.67 6648114.15 -16.064, 248545.52 6648114.38 -16.054, 248544.97 6648115.22 -16.044, 248544.43 6648116.06 -16.024, 248543.86 6648116.89 -16.004, 248543.25 6648117.68 -15.994, 248542.63 6648118.47 -15.974, 248541.99 6648119.26 -15.964, 248541.36 6648120.03 -15.944, 248540.73 6648120.82 -15.934, 248540.1 6648121.6 -15.914, 248539.47 6648122.39 -15.904, 248538.85 6648123.17 -15.884, 248538.21 6648123.96 -15.874, 248537.58 6648124.74 -15.854, 248536.95 6648125.52 -15.844, 248536.92 6648125.56 -15.834, 248536.32 6648126.3 -15.824, 248535.69 6648127.09 -15.804, 248535.06 6648127.87 -15.794, 248534.43 6648128.66 -15.774, 248533.8 6648129.44 -15.764, 248533.17 6648130.23 -15.744, 248532.54 6648131 -15.724, 248531.91 6648131.78 -15.714, 248531.28 6648132.57 -15.694, 248530.66 6648133.35 -15.674, 248530.02 6648134.14 -15.664, 248529.39 6648134.92 -15.644, 248528.76 6648135.7 -15.624, 248528.52 6648136.01 -15.614, 248528.13 6648136.48 -15.604, 248527.94 6648136.73 -15.604, 248527.5 6648137.27 -15.594, 248527.36 6648137.44 -15.584, 248526.87 6648138.05 -15.574, 248526.83 6648138.11 -15.574, 248526.28 6648138.79 -15.554, 248526.24 6648138.84 -15.554, 248525.71 6648139.51 -15.544, 248525.61 6648139.62 -15.534, 248525 6648140.42 -15.524)</t>
  </si>
  <si>
    <t>POINT (248551.23721298578 6648103.786487134)</t>
  </si>
  <si>
    <t>LINESTRING Z (248873.79 6647715.45 -10.644, 248873.76 6647715.49 -10.644, 248873.25 6647715.96 -10.674, 248873.19 6647716.04 -10.674, 248873.1 6647716.11 -10.674, 248872.69 6647716.53 -10.694, 248872.61 6647716.62 -10.704, 248872.53 6647716.68 -10.704, 248871.83 6647717.39 -10.734, 248871.11 6647718.1 -10.774, 248870.41 6647718.81 -10.804, 248869.71 6647719.52 -10.844, 248868.99 6647720.23 -10.874, 248868.29 6647720.94 -10.904, 248867.58 6647721.65 -10.944, 248866.88 6647722.35 -10.974, 248866.17 6647723.06 -11.004, 248865.6 6647723.63 -11.034, 248865.46 6647723.77 -11.044, 248864.76 6647724.48 -11.074, 248864.05 6647725.18 -11.114, 248863.35 6647725.89 -11.144, 248862.64 6647726.6 -11.174, 248861.93 6647727.31 -11.214, 248861.8 6647727.44 -11.214, 248861.3 6647727.95 -11.244, 248861.23 6647728.01 -11.244, 248860.76 6647728.48 -11.274, 248860.71 6647728.54 -11.274, 248860.66 6647728.59 -11.274, 248860.53 6647728.72 -11.284, 248859.82 6647729.43 -11.314, 248859.12 6647730.13 -11.344, 248858.52 6647730.73 -11.374, 248858.41 6647730.84 -11.384, 248857.71 6647731.55 -11.414, 248857.01 6647732.25 -11.454, 248856.29 6647732.96 -11.484, 248855.59 6647733.66 -11.524, 248855.42 6647733.84 -11.534, 248854.88 6647734.37 -11.554, 248854.18 6647735.08 -11.584, 248853.48 6647735.78 -11.614, 248853.42 6647735.84 -11.614, 248853.36 6647735.9 -11.624, 248852.76 6647736.47 -11.644, 248852.15 6647737.02 -11.674, 248852.01 6647737.13 -11.684, 248851.34 6647737.7 -11.714, 248851.27 6647737.77 -11.714, 248850.51 6647738.42 -11.744, 248849.75 6647739.06 -11.784, 248849.29 6647739.45 -11.804, 248849.02 6647739.69 -11.814, 248848.24 6647740.36 -11.854, 248847.5 6647740.99 -11.884, 248846.74 6647741.65 -11.914, 248845.98 6647742.3 -11.954, 248845.23 6647742.95 -11.984, 248844.48 6647743.6 -12.024, 248843.77 6647744.22 -12.054, 248843.72 6647744.25 -12.054, 248842.98 6647744.91 -12.084, 248842.23 6647745.56 -12.124, 248841.48 6647746.21 -12.154, 248840.73 6647746.86 -12.184, 248840.57 6647747 -12.194, 248840.24 6647747.3 -12.214, 248840.17 6647747.36 -12.214, 248840.08 6647747.44 -12.214, 248839.99 6647747.53 -12.224, 248839.6 6647747.86 -12.244, 248839.24 6647748.18 -12.254, 248838.49 6647748.83 -12.294, 248838.38 6647748.93 -12.294, 248837.74 6647749.49 -12.324, 248837 6647750.15 -12.354, 248836.29 6647750.78 -12.384, 248835.5 6647751.47 -12.424, 248834.8 6647752.1 -12.454, 248834.02 6647752.78 -12.494, 248833.96 6647752.84 -12.494, 248833.46 6647753.28 -12.514, 248833.27 6647753.45 -12.524, 248833.09 6647753.62 -12.534, 248832.99 6647753.71 -12.534, 248832.53 6647754.11 -12.554, 248831.79 6647754.77 -12.594, 248831.33 6647755.18 -12.614, 248831.26 6647755.25 -12.614, 248831.14 6647755.36 -12.624, 248831.05 6647755.43 -12.624, 248830.96 6647755.52 -12.634, 248830.9 6647755.57 -12.634, 248830.29 6647756.09 -12.664, 248830.07 6647756.26 -12.674, 248829.61 6647756.62 -12.694, 248829.53 6647756.68 -12.704, 248829.49 6647756.71 -12.704, 248829.27 6647756.88 -12.714, 248828.71 6647757.3 -12.734, 248828.07 6647757.78 -12.764, 248827.91 6647757.89 -12.774, 248827.11 6647758.5 -12.814, 248826.31 6647759.1 -12.854, 248825.5 6647759.69 -12.884, 248824.7 6647760.3 -12.924, 248823.91 6647760.89 -12.964, 248823.11 6647761.49 -13.004, 248822.31 6647762.09 -13.034, 248821.51 6647762.69 -13.074, 248820.71 6647763.29 -13.114, 248819.9 6647763.89 -13.144, 248819.1 6647764.49 -13.184, 248818.3 6647765.09 -13.224, 248818.23 6647765.15 -13.224, 248817.5 6647765.69 -13.254, 248816.7 6647766.29 -13.294, 248815.9 6647766.89 -13.334, 248815.1 6647767.49 -13.364, 248814.29 6647768.09 -13.404, 248813.49 6647768.69 -13.434, 248812.69 6647769.3 -13.474, 248811.88 6647769.89 -13.504, 248811.08 6647770.49 -13.544, 248810.28 6647771.1 -13.584, 248809.48 6647771.69 -13.614, 248808.96 6647772.08 -13.634, 248808.89 6647772.13 -13.644, 248808.68 6647772.3 -13.654, 248807.87 6647772.89 -13.684, 248807.58 6647773.11 -13.694, 248807.17 6647773.42 -13.714, 248807.07 6647773.49 -13.724, 248807.01 6647773.53 -13.724, 248806.84 6647773.68 -13.734, 248806.39 6647774.04 -13.754)</t>
  </si>
  <si>
    <t>POINT (248840.99803405776 6647745.789325475)</t>
  </si>
  <si>
    <t>2019-09-27</t>
  </si>
  <si>
    <t>['FV405 S4D1 m9068-9121']</t>
  </si>
  <si>
    <t>LINESTRING Z (95093.19 6496324.94 203.8, 95087.71 6496322.26 203.87, 95080.84 6496319.77 203.99, 95076.17 6496318.15 204.03, 95071.65 6496315.46 204.01, 95066.61 6496311.65 203.99, 95061.09 6496307.4 204.03, 95058.14 6496305.03 204.03, 95056.54 6496303.57 204.05, 95056 6496302.98 204.07, 95049.95 6496294.92 204.05)</t>
  </si>
  <si>
    <t>POINT (95069.88921412376 6496312.220242545)</t>
  </si>
  <si>
    <t>2019-10-14</t>
  </si>
  <si>
    <t>['KV4760 S1D1 m336-363']</t>
  </si>
  <si>
    <t>LINESTRING Z (272158.4 7042596.52 10.733, 272148.77 7042588.36 10.773, 272140.7 7042581.5 10.813, 272137.72 7042579 10.823)</t>
  </si>
  <si>
    <t>POINT (272148.06354883104 7042587.755777334)</t>
  </si>
  <si>
    <t>['KV4760 S1D1 m314-343']</t>
  </si>
  <si>
    <t>LINESTRING Z (272116.58 7042569.72 10.793, 272117.36 7042570.36 10.783, 272124.25 7042576.19 10.823, 272132.67 7042583.33 10.803, 272138.03 7042587.83 10.803, 272138.81 7042588.48 10.793)</t>
  </si>
  <si>
    <t>POINT (272127.6916098332 7042579.10396984)</t>
  </si>
  <si>
    <t>2019-10-15</t>
  </si>
  <si>
    <t>['KV6130 S5D1 m224-252']</t>
  </si>
  <si>
    <t>LINESTRING Z (276054.08685060445 7041651.938578644 7.541, 276028.9530063617 7041662.0987730725 7.271)</t>
  </si>
  <si>
    <t>POINT (276041.51992848306 7041657.018675858)</t>
  </si>
  <si>
    <t>2025-11-22T09:20:04Z</t>
  </si>
  <si>
    <t>['KV6130 S5D1 m292-319']</t>
  </si>
  <si>
    <t>LINESTRING Z (276118.8311725677 7041633.1722318 8.271, 276102.97587718384 7041639.405484379 8.111, 276093.6231936272 7041643.078097857 8.031)</t>
  </si>
  <si>
    <t>POINT (276106.2276372172 7041638.126320623)</t>
  </si>
  <si>
    <t>2021-02-24</t>
  </si>
  <si>
    <t>['EV16 S37D1 m6566-6656']</t>
  </si>
  <si>
    <t>LINESTRING Z (202415.36 6758612.98 395, 202415.38 6758612.91 395, 202415.55 6758612.42 394.97, 202415.7 6758611.96 394.95, 202416.18 6758610.54 394.88, 202417 6758608.13 394.76, 202417.32 6758607.18 394.71, 202418.62 6758603.37 394.53, 202418.94 6758602.41 394.48, 202420.23 6758598.61 394.29, 202420.55 6758597.66 394.24, 202421.84 6758593.85 394.06, 202422.16 6758592.89 394.01, 202423.45 6758589.09 393.82, 202423.77 6758588.14 393.77, 202425.03 6758584.44 393.59, 202425.04 6758584.39 393.59, 202425.06 6758584.33 393.59, 202425.29 6758583.35 393.54, 202425.51 6758582.4 393.49, 202425.65 6758581.81 393.46, 202426.2 6758579.46 393.34, 202426.24 6758579.26 393.33, 202426.43 6758578.49 393.29, 202427.32 6758574.58 393.09, 202427.55 6758573.61 393.04, 202428.46 6758569.72 392.84, 202428.69 6758568.74 392.79, 202429.6 6758564.84 392.59, 202429.82 6758563.87 392.54, 202430.73 6758559.98 392.34, 202430.95 6758559 392.29, 202431.27 6758557.7 392.22, 202431.87 6758555.11 392.09, 202431.88 6758555.05 392.08, 202432 6758554.12 392.03, 202432.16 6758552.9 391.97, 202432.53 6758550.13 391.82, 202432.65 6758549.13 391.77, 202433.18 6758545.15 391.56, 202433.31 6758544.15 391.5, 202433.84 6758540.16 391.29, 202433.98 6758539.17 391.24, 202434.49 6758535.19 391.03, 202434.63 6758534.19 390.97, 202435.16 6758530.2 390.76, 202435.29 6758529.21 390.71, 202435.48 6758527.7 390.63, 202435.68 6758526.23 390.55, 202435.82 6758525.24 390.5)</t>
  </si>
  <si>
    <t>POINT (202427.49319328016 6758569.553928317)</t>
  </si>
  <si>
    <t>['EV16 S37D1 m6015-6105']</t>
  </si>
  <si>
    <t>LINESTRING Z (202243.5 6759038.51 418.749, 202243.47 6759038.56 418.759, 202243.4 6759038.65 418.759, 202242.92 6759039.4 418.809, 202242.37 6759040.28 418.859, 202241.82 6759041.13 418.909, 202241.28 6759041.99 418.969, 202240.74 6759042.84 419.019, 202240.61 6759043.04 419.029, 202238.56 6759046.26 419.229, 202238.01 6759047.12 419.279, 202235.83 6759050.55 419.489, 202235.29 6759051.4 419.549, 202233.65 6759053.98 419.709, 202233.1 6759054.84 419.759, 202232.62 6759055.59 419.809, 202232.55 6759055.7 419.809, 202230.42 6759059.04 420.019, 202230.36 6759059.12 420.029, 202229.81 6759059.98 420.079, 202229.27 6759060.84 420.129, 202227.62 6759063.43 420.289, 202227.14 6759064.18 420.339, 202227.12 6759064.23 420.339, 202227.08 6759064.29 420.349, 202224.5 6759067.42 420.549, 202223.86 6759068.21 420.599, 202222.24 6759070.15 420.719, 202221.27 6759071.32 420.799, 202220.7 6759072.01 420.839, 202220.62 6759072.09 420.849, 202219.31 6759073.65 420.949, 202219.01 6759074.02 420.969, 202218.95 6759074.08 420.979, 202218.44 6759074.68 421.009, 202218.01 6759075.2 421.049, 202217.35 6759075.97 421.099, 202215.71 6759077.9 421.219, 202214.73 6759079.06 421.289, 202214.07 6759079.82 421.339, 202212.41 6759081.75 421.459, 202211.41 6759082.9 421.529, 202210.83 6759083.57 421.569, 202210.75 6759083.66 421.579, 202209.14 6759085.51 421.689, 202208.81 6759085.88 421.709, 202208.75 6759085.96 421.719, 202208.08 6759086.72 421.759, 202207.41 6759087.47 421.809, 202207.36 6759087.53 421.809, 202205.42 6759089.27 421.919, 202204.38 6759090.2 421.969, 202204.08 6759090.48 421.989, 202203.62 6759090.89 422.009, 202202.86 6759091.56 422.049, 202200.58 6759093.6 422.169, 202199.83 6759094.29 422.209, 202196.8 6759097 422.369, 202196.05 6759097.68 422.399, 202193.02 6759100.39 422.549, 202192.28 6759101.06 422.589, 202190.75 6759102.43 422.659, 202189.25 6759103.78 422.739, 202188.49 6759104.46 422.769, 202187.57 6759105.29 422.809, 202187.02 6759105.79 422.839, 202185.48 6759107.17 422.909, 202184.81 6759107.76 422.939, 202184.78 6759107.8 422.939, 202184.72 6759107.85 422.949)</t>
  </si>
  <si>
    <t>POINT (202216.2359915335 6759074.982378508)</t>
  </si>
  <si>
    <t>['EV16 S37D1 m6994-7130']</t>
  </si>
  <si>
    <t>LINESTRING Z (202556.18 6758068.2 367.201, 202555.57 6758069.62 367.281, 202555.45 6758069.88 367.291, 202555.15 6758070.53 367.331, 202555.03 6758070.78 367.351, 202555.02 6758070.83 367.351, 202553.45 6758074.18 367.541, 202553.03 6758075.1 367.601, 202551.33 6758078.75 367.811, 202550.91 6758079.66 367.861, 202549.22 6758083.31 368.071, 202548.79 6758084.22 368.121, 202547.95 6758086.05 368.231, 202547.6 6758086.79 368.271, 202547.1 6758087.88 368.341, 202546.67 6758088.79 368.391, 202545.72 6758090.85 368.511, 202545.56 6758091.2 368.531, 202544.98 6758092.45 368.601, 202544.56 6758093.37 368.651, 202542.86 6758097.01 368.871, 202542.44 6758097.93 368.921, 202540.74 6758101.59 369.131, 202540.32 6758102.5 369.181, 202539.32 6758104.64 369.311, 202538.63 6758106.16 369.401, 202538.26 6758106.95 369.441, 202538.2 6758107.08 369.451, 202537.13 6758109.38 369.58, 202536.5 6758110.73 369.66, 202536.07 6758111.64 369.71, 202534.37 6758115.31 369.93, 202533.2 6758117.86 370, 202532.36 6758119.3 370.09, 202531.34 6758120.47 370.19, 202530.27 6758121.37 370.29, 202529.34 6758121.95 370.37, 202527.68 6758122.65 370.48, 202525.91 6758123.01 370.58, 202523.75 6758122.96 370.68, 202521.88 6758122.49 370.75, 202516.57 6758120.7 370.94, 202513.21 6758130.66 371.45, 202518.89 6758132.57 371.27, 202520.59 6758133.38 371.21, 202521.89 6758134.34 371.16, 202522.96 6758135.46 371.16, 202523.81 6758136.73 371.15, 202524.53 6758138.43 371.17, 202524.91 6758140.59 371.24, 202524.71 6758143.01 371.34, 202523.91 6758146.71 371.57, 202523.47 6758148.68 371.67, 202523.25 6758149.67 371.71, 202522.39 6758153.61 371.9, 202522.17 6758154.59 371.95, 202521.31 6758158.53 372.14, 202521.1 6758159.52 372.18, 202520.49 6758162.29 372.32, 202520.31 6758163.06 372.35, 202520.24 6758163.45 372.37, 202520.02 6758164.44 372.42, 202519.58 6758166.4 372.51, 202519.44 6758167.04 372.54, 202519.15 6758168.37 372.61, 202518.93 6758169.36 372.65, 202518.07 6758173.29 372.84, 202517.85 6758174.27 372.89, 202516.99 6758178.21 373.08, 202516.78 6758179.19 373.12, 202515.91 6758183.12 373.31, 202515.7 6758184.1 373.36, 202514.83 6758188.04 373.55, 202514.61 6758189.03 373.6, 202513.76 6758192.95 373.79, 202513.61 6758193.64 373.82, 202513.54 6758193.94 373.83, 202513.38 6758194.64 373.87, 202512.95 6758196.43 373.95)</t>
  </si>
  <si>
    <t>POINT (202528.58729562315 6758130.298121152)</t>
  </si>
  <si>
    <t>['EV16 S37D1 m7518-7608']</t>
  </si>
  <si>
    <t>LINESTRING Z (202747.95 6757630.33 343.321, 202747.92 6757630.38 343.321, 202746.49 6757632.59 343.461, 202746.47 6757632.64 343.461, 202745.71 6757633.79 343.541, 202742.97 6757638.01 343.801, 202742.42 6757638.85 343.861, 202740.23 6757642.23 344.071, 202738.13 6757645.45 344.271, 202737.49 6757646.46 344.331, 202736.93 6757647.29 344.391, 202736.38 6757648.14 344.441, 202735.49 6757649.53 344.531, 202734.74 6757650.68 344.601, 202732 6757654.9 344.861, 202731.51 6757655.65 344.911, 202731.49 6757655.7 344.911, 202731.45 6757655.74 344.921, 202730.11 6757658.37 345.061, 202729.63 6757659.33 345.121, 202729.17 6757660.22 345.171, 202729.09 6757660.39 345.181, 202727.8 6757662.9 345.321, 202727.36 6757663.8 345.371, 202726.9 6757664.69 345.421, 202725.09 6757668.26 345.621, 202724.64 6757669.14 345.661, 202722.83 6757672.74 345.871, 202722.38 6757673.63 345.921, 202720.57 6757677.22 346.121, 202720.12 6757678.11 346.171, 202718.33 6757681.7 346.371, 202717.88 6757682.6 346.421, 202717.85 6757682.65 346.421, 202716.46 6757686.36 346.601, 202714.68 6757691.08 346.841, 202714.33 6757692.03 346.891, 202713.62 6757693.91 346.981, 202712.91 6757695.8 347.071, 202711.13 6757700.51 347.311, 202710.78 6757701.45 347.361, 202709.36 6757705.22 347.541, 202708.17 6757708.39 347.701, 202707.59 6757709.94 347.781, 202707.24 6757710.85 347.821)</t>
  </si>
  <si>
    <t>POINT (202725.6545150927 6757669.6082149865)</t>
  </si>
  <si>
    <t>['EV16 S37D1 m8019-8109']</t>
  </si>
  <si>
    <t>LINESTRING Z (203010.47 6757204.39 318.332, 203008.78 6757206.32 318.462, 203007.84 6757207.41 318.542, 203007.17 6757208.17 318.592, 203006.35 6757209.1 318.662, 203004.52 6757211.2 318.802, 203003.86 6757211.96 318.862, 203003.19 6757212.72 318.912, 203001.2 6757214.98 319.072, 203000.55 6757215.74 319.122, 202997.89 6757218.78 319.332, 202997.22 6757219.54 319.392, 202994.57 6757222.56 319.602, 202993.9 6757223.32 319.652, 202991.91 6757225.6 319.812, 202991.24 6757226.35 319.862, 202990.66 6757227.03 319.912, 202990.62 6757227.07 319.912, 202989.11 6757229.23 320.042, 202988.27 6757230.39 320.122, 202987.7 6757231.21 320.172, 202987.59 6757231.37 320.182, 202986.07 6757233.52 320.312, 202985.39 6757234.49 320.372, 202984.81 6757235.31 320.422, 202983.29 6757237.48 320.552, 202982.51 6757238.6 320.622, 202981.93 6757239.42 320.672, 202980.51 6757241.46 320.792, 202979.64 6757242.71 320.872, 202979.06 6757243.53 320.922, 202976.77 6757246.81 321.122, 202976.19 6757247.63 321.172, 202973.91 6757250.93 321.372, 202973.34 6757251.75 321.422, 202973.3 6757251.8 321.422, 202973.28 6757251.85 321.422, 202972.36 6757253.52 321.512, 202971.39 6757255.29 321.602, 202970.91 6757256.17 321.652, 202968.96 6757259.7 321.842, 202968.48 6757260.58 321.892, 202966.53 6757264.11 322.072, 202966.04 6757265 322.122, 202964.11 6757268.52 322.312, 202963.63 6757269.39 322.352, 202961.68 6757272.94 322.542, 202961.19 6757273.82 322.592, 202960.6 6757274.9 322.652, 202960.04 6757275.92 322.702, 202959.26 6757277.35 322.782, 202958.78 6757278.21 322.822)</t>
  </si>
  <si>
    <t>POINT (202982.84459979666 6757240.053539161)</t>
  </si>
  <si>
    <t>['EV16 S37D1 m8520-8610']</t>
  </si>
  <si>
    <t>LINESTRING Z (203331.13 6756819.99 293.324, 203331.09 6756820.03 293.324, 203331.05 6756820.07 293.334, 203330.28 6756820.73 293.384, 203329.08 6756821.76 293.464, 203327.99 6756822.7 293.544, 203327.23 6756823.35 293.594, 203324.17 6756825.97 293.804, 203323.41 6756826.63 293.854, 203320.34 6756829.24 294.074, 203319.59 6756829.9 294.124, 203317.29 6756831.87 294.284, 203316.52 6756832.53 294.334, 203315.77 6756833.17 294.384, 203312.7 6756835.81 294.604, 203311.93 6756836.46 294.654, 203308.88 6756839.09 294.864, 203308.24 6756839.63 294.913, 203308.2 6756839.67 294.913, 203308.13 6756839.73 294.913, 203306.34 6756841.62 295.043, 203305.35 6756842.66 295.123, 203304.67 6756843.39 295.173, 203304.55 6756843.51 295.173, 203301.92 6756846.31 295.373, 203301.23 6756847.04 295.423, 203298.49 6756849.96 295.623, 203297.88 6756850.59 295.663, 203297.85 6756850.63 295.663, 203297.8 6756850.69 295.673, 203295.05 6756853.61 295.873, 203294.37 6756854.34 295.923, 203292.99 6756855.81 296.023, 203291.63 6756857.28 296.123, 203290.95 6756858.01 296.173, 203289.02 6756860.08 296.313, 203288.21 6756860.94 296.373, 203287.52 6756861.68 296.423, 203287.49 6756861.72 296.423, 203285.92 6756863.8 296.543, 203285.1 6756864.89 296.603, 203284.5 6756865.7 296.653, 203282.07 6756868.92 296.843, 203281.46 6756869.72 296.883, 203279.04 6756872.94 297.073, 203278.44 6756873.75 297.123, 203276 6756876.97 297.313, 203275.4 6756877.77 297.353, 203272.98 6756880.99 297.543, 203272.37 6756881.79 297.593, 203271.77 6756882.6 297.643, 203270.94 6756883.69 297.703, 203269.95 6756885.01 297.783, 203269.36 6756885.79 297.823)</t>
  </si>
  <si>
    <t>POINT (203298.6575708743 6756851.400248332)</t>
  </si>
  <si>
    <t>['EV16 S37D1 m8998-9134']</t>
  </si>
  <si>
    <t>LINESTRING Z (203725.58 6756477.25 266.875, 203725.54 6756477.28 266.875, 203724.42 6756478.36 266.955, 203724.05 6756478.73 266.985, 203723.75 6756479.03 267.005, 203723.72 6756479.07 267.005, 203720.89 6756481.93 267.225, 203720.18 6756482.65 267.275, 203717.36 6756485.51 267.485, 203716.66 6756486.23 267.535, 203713.83 6756489.1 267.755, 203713.13 6756489.81 267.805, 203711.18 6756491.8 267.955, 203710.31 6756492.68 268.015, 203709.61 6756493.39 268.065, 203707.74 6756495.29 268.205, 203706.78 6756496.25 268.285, 203706.07 6756496.98 268.335, 203703.26 6756499.83 268.545, 203702.55 6756500.56 268.595, 203699.72 6756503.41 268.815, 203699.02 6756504.14 268.865, 203696.2 6756506.99 269.075, 203695.5 6756507.72 269.125, 203692.67 6756510.57 269.345, 203691.97 6756511.29 269.395, 203687.41 6756515.92 269.745, 203686.06 6756517.64 269.875, 203685.11 6756519.76 270.015, 203684.74 6756521.94 270.135, 203684.94 6756524.27 270.255, 203685.59 6756526.18 270.355, 203686.8 6756528.08 270.445, 203690.41 6756532.41 270.595, 203682.34 6756539.14 271.085, 203678.73 6756534.81 270.935, 203677 6756533.24 270.895, 203675.19 6756532.27 270.885, 203672.96 6756531.69 270.885, 203670.85 6756531.68 270.925, 203668.76 6756532.18 270.985, 203666.62 6756533.31 271.105, 203661.31 6756536.94 271.395, 203659.27 6756538.34 271.515, 203658 6756539.21 271.585, 203657.16 6756539.77 271.635, 203657.09 6756539.83 271.635, 203654.71 6756541.45 271.765, 203653.85 6756542.05 271.815, 203653.02 6756542.61 271.865, 203650.72 6756544.19 271.995, 203650.2 6756544.54 272.025, 203649.71 6756544.88 272.055, 203648.88 6756545.45 272.105, 203646.69 6756546.95 272.225, 203645.57 6756547.71 272.285, 203644.73 6756548.29 272.335, 203641.42 6756550.55 272.525, 203640.59 6756551.12 272.575, 203637.28 6756553.39 272.755, 203636.44 6756553.95 272.805, 203633.13 6756556.22 272.995, 203632.3 6756556.79 273.035, 203628.98 6756559.06 273.225, 203628.15 6756559.63 273.275, 203624.84 6756561.9 273.465, 203624 6756562.47 273.505, 203623.94 6756562.51 273.515, 203623.67 6756562.7 273.525, 203621.96 6756563.94 273.625)</t>
  </si>
  <si>
    <t>POINT (203677.4608203874 6756525.020813982)</t>
  </si>
  <si>
    <t>['EV16 S37D1 m9823-9914']</t>
  </si>
  <si>
    <t>LINESTRING Z (204116.6 6755830.9 233.077, 204117.31 6755862.27 233.787, 204113.86 6755892.36 234.397, 204106.26 6755921.77 235.017)</t>
  </si>
  <si>
    <t>POINT (204114.2286509257 6755876.657059527)</t>
  </si>
  <si>
    <t>['EV16 S37D1 m9572-9662']</t>
  </si>
  <si>
    <t>LINESTRING Z (204061.77 6756076.08 241.017, 204061.74 6756076.19 241.027, 204061.72 6756076.26 241.027, 204061.47 6756077.03 241.067, 204060.84 6756078.99 241.177, 204060.54 6756079.94 241.227, 204060.24 6756080.9 241.277, 204059.47 6756083.31 241.407, 204059.32 6756083.79 241.437, 204059.01 6756084.75 241.487, 204058.7 6756085.71 241.537, 204057.47 6756089.57 241.747, 204057.16 6756090.54 241.807, 204056.86 6756091.5 241.857, 204055.94 6756094.4 242.017, 204055.63 6756095.36 242.067, 204055.61 6756095.44 242.077, 204054.4 6756099.23 242.277, 204054.09 6756100.2 242.337, 204052.86 6756104.07 242.547, 204052.58 6756104.92 242.597, 204052.56 6756104.97 242.597, 204052.55 6756105.04 242.607, 204051.71 6756106.87 242.707, 204050.86 6756108.7 242.807, 204050.44 6756109.62 242.857, 204049.37 6756111.91 242.977, 204048.73 6756113.28 243.057, 204048.3 6756114.18 243.097, 204048.26 6756114.26 243.107, 204047.22 6756116.48 243.227, 204046.56 6756117.84 243.307, 204046.13 6756118.75 243.357, 204044.81 6756121.48 243.507, 204044.38 6756122.39 243.557, 204043.93 6756123.29 243.607, 204042.83 6756125.57 243.727, 204042.15 6756126.92 243.806, 204041.77 6756127.7 243.846, 204041.7 6756127.83 243.856, 204041.25 6756128.73 243.906, 204040.62 6756130 243.976, 204040.38 6756130.46 243.996, 204039.89 6756131.44 244.056, 204039.46 6756132.32 244.096, 204039.43 6756132.37 244.106, 204039.39 6756132.43 244.106, 204039.35 6756132.49 244.106, 204037.95 6756134.58 244.226, 204037.19 6756135.73 244.286, 204036.63 6756136.57 244.336, 204034.38 6756139.95 244.516, 204033.82 6756140.8 244.566, 204032.7 6756142.48 244.666, 204031.59 6756144.17 244.756, 204031.02 6756145.02 244.806, 204028.79 6756148.39 244.986, 204028.23 6756149.24 245.036, 204028.18 6756149.3 245.046, 204025.99 6756152.6 245.226, 204025.43 6756153.44 245.276, 204024.37 6756155.04 245.366, 204024.34 6756155.09 245.366, 204023.75 6756155.96 245.416, 204023.21 6756156.79 245.466, 204022.65 6756157.62 245.506)</t>
  </si>
  <si>
    <t>POINT (204044.76848409878 6756118.07744068)</t>
  </si>
  <si>
    <t>2019-01-01</t>
  </si>
  <si>
    <t>['FV319 S4D1 m6699-6745']</t>
  </si>
  <si>
    <t>LINESTRING Z (233644.75 6611041 5.357, 233649.170043945 6611033.33996582 5.167, 233649.359985352 6611033.01000977 5.157, 233649.560058594 6611032.68994141 5.147, 233649.760009766 6611032.36999512 5.147, 233649.969970703 6611032.06005859 5.137, 233650.189941406 6611031.75 5.137, 233650.41003418 6611031.43994141 5.127, 233650.640014648 6611031.14001465 5.117, 233650.869995117 6611030.83996582 5.117, 233651.109985352 6611030.55004883 5.107, 233654.699951172 6611026.23999023 5.047, 233663.91003418 6611015.15997314 4.827, 233664.150024414 6611014.86999512 4.797, 233664.400024414 6611014.59002686 4.787, 233664.66003418 6611014.30999756 4.787, 233664.920043945 6611014.0300293 4.787, 233665.189941406 6611013.76000977 4.787, 233665.459960938 6611013.5 4.787, 233665.729980469 6611013.23999024 4.787, 233666.020019531 6611012.97998047 4.787, 233666.300048828 6611012.73999023 4.787, 233672.890014648 6611007.10998535 4.727, 233673.189941406 6611006.84997559 4.727, 233673.479980469 6611006.58001709 4.727, 233644.75 6611041 5.357)</t>
  </si>
  <si>
    <t>POLYGON Z ((233644.75 6611041 5.357, 233649.170043945 6611033.33996582 5.167, 233649.359985352 6611033.01000977 5.157, 233649.560058594 6611032.68994141 5.147, 233649.760009766 6611032.36999512 5.147, 233649.969970703 6611032.06005859 5.137, 233650.189941406 6611031.75 5.137, 233650.41003418 6611031.43994141 5.127, 233650.640014648 6611031.14001465 5.117, 233650.869995117 6611030.83996582 5.117, 233651.109985352 6611030.55004883 5.107, 233654.699951172 6611026.23999023 5.047, 233663.91003418 6611015.15997314 4.827, 233664.150024414 6611014.86999512 4.797, 233664.400024414 6611014.59002686 4.787, 233664.66003418 6611014.30999756 4.787, 233664.920043945 6611014.0300293 4.787, 233665.189941406 6611013.76000977 4.787, 233665.459960938 6611013.5 4.787, 233665.729980469 6611013.23999024 4.787, 233666.020019531 6611012.97998047 4.787, 233666.300048828 6611012.73999023 4.787, 233672.890014648 6611007.10998535 4.727, 233673.189941406 6611006.84997559 4.727, 233673.479980469 6611006.58001709 4.727, 233644.75 6611041 5.357))</t>
  </si>
  <si>
    <t>['FV319 S4D1 m6696-6738']</t>
  </si>
  <si>
    <t>LINESTRING Z (233681.989990234 6611007.69000244 4.927, 233673.08996582 6611023.73999023 5.237, 233672.469970703 6611024.52001953 5.277, 233664.369995117 6611034.38000488 5.417, 233663.699951172 6611035.11999512 5.397, 233655.08996582 6611041.4699707 5.427, 233681.989990234 6611007.69000244 4.927)</t>
  </si>
  <si>
    <t>POLYGON Z ((233681.989990234 6611007.69000244 4.927, 233673.08996582 6611023.73999023 5.237, 233672.469970703 6611024.52001953 5.277, 233664.369995117 6611034.38000488 5.417, 233663.699951172 6611035.11999512 5.397, 233655.08996582 6611041.4699707 5.427, 233681.989990234 6611007.69000244 4.927))</t>
  </si>
  <si>
    <t>[4443]</t>
  </si>
  <si>
    <t>['FV4443 S1D1 m86-158']</t>
  </si>
  <si>
    <t>LINESTRING Z (-41938.75397117832 6546489.842302936 27.332, -41944.37940889143 6546491.01367038 27.372, -41949.15983874502 6546491.726204094 27.512, -41954.52300107828 6546493.125749859 27.662, -41958.65377706243 6546494.565387523 27.742, -41983.57712439739 6546511.504909474 28.282, -41987.280160804046 6546515.121852385 28.302, -41989.43097348523 6546517.521306544 28.302, -41992.027905630996 6546521.230001943 28.302, -41994.53761888214 6546524.900626845 28.242, -41998.91811905487 6546530.613113699 28.142)</t>
  </si>
  <si>
    <t>POINT (-41971.69458457283 6546505.8169880165)</t>
  </si>
  <si>
    <t>['FV866 S2D1 m11579-11721']</t>
  </si>
  <si>
    <t>LINESTRING Z (727202.92 7778209.75 54.215, 727200.17 7778204.58 54.035, 727196.07 7778195.49 53.625, 727191.38 7778184.21 53.175, 727185.55 7778170.67 52.665, 727182.61 7778164.51 52.435, 727180.22 7778160.34 52.225, 727171.62 7778150.03 51.765, 727164.17 7778141.56 51.385, 727156.74 7778132.87 50.995, 727149.47 7778126.05 50.565, 727143.07 7778121.87 50.275, 727133.88 7778116.32 49.885, 727117.63 7778106.2 49.305, 727110.4 7778101.7 49.015, 727110.16 7778101.63 49.005)</t>
  </si>
  <si>
    <t>POINT (727163.8547103603 7778149.314432002)</t>
  </si>
  <si>
    <t>['FV866 S2D1 m9959-10033']</t>
  </si>
  <si>
    <t>LINESTRING Z (725639.31 7777818.82 14.897, 725649.46 7777816.98 15.247, 725662.95 7777809.65 15.997, 725675.79 7777802.65 16.597, 725687.53 7777796.36 17.147, 725692.12 7777793.75 17.347, 725699.09 7777787.83 17.797, 725704.21 7777782.88 18.107)</t>
  </si>
  <si>
    <t>POINT (725673.1173428145 7777803.429918315)</t>
  </si>
  <si>
    <t>2020-10-07</t>
  </si>
  <si>
    <t>['FV319 S6D1 m2524-2598']</t>
  </si>
  <si>
    <t>LINESTRING Z (228578.93 6613804.03 25.008, 228578.98 6613802.94 25.088, 228579.03 6613801.84 25.158, 228579.03 6613800.89 25.178, 228578.97 6613799.62 25.128, 228578.95 6613799.18 25.098, 228578.77 6613798.02 25.128, 228578.45 6613795.92 25.138, 228577.87 6613792.36 25.148, 228576.99 6613786.81 25.078, 228576.66 6613784.61 25.048, 228576.42 6613783 25.018, 228576.32 6613781.82 25.018, 228576.29 6613780.68 24.988, 228576.33 6613779.79 24.958, 228576.39 6613778.92 24.938, 228576.55 6613777.83 24.928, 228577.01 6613774.61 24.878, 228577.65 6613769.97 24.818, 228578.4 6613764.47 24.698, 228579 6613760.09 24.618, 228579.42 6613757.1 24.558, 228579.73 6613754.65 24.518, 228579.92 6613753.51 24.498, 228580.14 6613752.39 24.478, 228580.4 6613751.29 24.428, 228580.79 6613749.94 24.438, 228582.32 6613745 24.378, 228583.69 6613740.64 24.328, 228585.02 6613736.51 24.318, 228585.71 6613734.29 24.288, 228586.04 6613733.21 24.268, 228586.32 6613732.12 24.268, 228586.57 6613730.99 24.208, 228586.83 6613729.86 24.088)</t>
  </si>
  <si>
    <t>POINT (228579.7090219791 6613766.673881625)</t>
  </si>
  <si>
    <t>['FV319 S6D1 m3175-3256']</t>
  </si>
  <si>
    <t>LINESTRING Z (228765.54 6613195 62.438, 228765.3 6613193.8 62.598, 228765 6613192.12 62.648, 228764.1 6613185.78 62.938, 228763.33 6613180.19 63.118, 228762.5 6613174.57 63.308, 228761.96 6613172.5 63.388, 228761.62 6613171.63 63.378, 228760.37 6613168.65 63.438, 228757.81 6613163.5 63.548, 228755.1 6613158.09 63.648, 228751.46 6613150.79 63.758, 228750.2 6613148.24 63.768, 228749.6 6613147.1 63.788, 228748.96 6613146.04 63.788, 228747.62 6613144.04 63.808, 228744.26 6613139.78 63.898, 228740.16 6613134.75 64.058, 228738.14 6613132.25 64.068, 228737.27 6613131.05 64.118, 228736.5 6613129.87 64.148, 228735.94 6613128.78 64.158, 228735.35 6613127.55 64.228, 228734.56 6613125.51 64.268, 228734.37 6613124.94 64.218, 228734.17 6613124.39 64.178, 228733.83 6613123.09 64.208, 228733.16 6613120.42 64.238)</t>
  </si>
  <si>
    <t>POINT (228752.14627406775 6613156.579914688)</t>
  </si>
  <si>
    <t>['FV319 S6D1 m2407-2455']</t>
  </si>
  <si>
    <t>LINESTRING Z (228608.82 6613869.89 23.088, 228608.79 6613871 23.098, 228608.86 6613872.08 23.108, 228608.94 6613873.25 23.038, 228609.09 6613874.4 22.998, 228609.28 6613875.45 22.968, 228609.58 6613877.05 22.888, 228609.88 6613878.8 22.798, 228610.03 6613879.7 22.758, 228610.27 6613881.01 22.688, 228610.41 6613882.16 22.638, 228610.48 6613883.38 22.598, 228610.48 6613884.47 22.528, 228610.41 6613885.6 22.468, 228610.31 6613886.67 22.408, 228610.17 6613887.78 22.378, 228609.98 6613888.84 22.308, 228609.79 6613889.82 22.268, 228609.24 6613892.37 22.148, 228608.67 6613895.08 21.978, 228608.15 6613897.56 21.838, 228607.45 6613900.75 21.698, 228607.24 6613901.8 21.648, 228606.94 6613902.88 21.568, 228606.56 6613903.91 21.508, 228606.13 6613904.82 21.438, 228605.65 6613905.86 21.338, 228605.22 6613906.74 21.238, 228604.04 6613909.02 21.068, 228602.17 6613912.73 20.778, 228601.3 6613914.43 20.628, 228600.84 6613915.48 20.548, 228600.42 6613916.48 20.388, 228600.06 6613917.4 20.298)</t>
  </si>
  <si>
    <t>POINT (228607.36231353367 6613894.133046853)</t>
  </si>
  <si>
    <t>2019-12-17</t>
  </si>
  <si>
    <t>['FV418 S3D1 m3298-3356']</t>
  </si>
  <si>
    <t>LINESTRING Z (157844.03936226858 6539139.384412006 43.047, 157842.2646739942 6539140.043956391 43.094, 157841.3848749674 6539140.349502732 43.094, 157840.55033136153 6539140.619177228 43.125, 157839.6564766842 6539140.839501825 43.113, 157838.7299464466 6539141.065533077 43.103, 157837.809724615 6539141.209686115 43.116, 157836.88945304777 6539141.316679621 43.149, 157833.63486306858 6539141.520666851 43.089, 157821.34141743358 6539142.32105696 43.212, 157808.8790598187 6539144.496363116 43.136, 157806.79188586178 6539144.874312016 43.091, 157799.35424048407 6539146.179431951 43.075, 157790.48832229653 6539147.947803642 42.925, 157787.41280968708 6539149.800354368 42.896)</t>
  </si>
  <si>
    <t>POINT (157815.52835112117 6539143.841454255)</t>
  </si>
  <si>
    <t>['FV418 S3D1 m3272-3316']</t>
  </si>
  <si>
    <t>LINESTRING Z (157871.68858719786 6539138.561746811 42.772, 157869.41270283813 6539139.684461167 42.823, 157862.11437028815 6539144.15408061 42.994, 157859.0368734699 6539145.348897235 43.15, 157853.52693189995 6539147.046547409 43.332, 157845.0798840992 6539149.680354461 43.45, 157838.19466001348 6539151.801733821 43.523, 157835.2096540818 6539152.571087148 43.558, 157833.20445186534 6539152.944288182 43.563, 157831.14308314974 6539153.099137123 43.544, 157829.12751740258 6539153.163830254 43.546)</t>
  </si>
  <si>
    <t>POINT (157850.91731110952 6539147.35314548)</t>
  </si>
  <si>
    <t>2022-02-08</t>
  </si>
  <si>
    <t>[5154]</t>
  </si>
  <si>
    <t>['FV5154 S1D1 m85-107']</t>
  </si>
  <si>
    <t>LINESTRING Z (-28586.3471774638 6712544.02405647 64.467, -28587.2779914237 6712542.66695953 64.51, -28588.7315214111 6712540.35153588 64.565, -28589.8116928209 6712538.50654433 64.621, -28590.7788045561 6712536.85163359 64.672, -28591.7919073431 6712535.11230073 64.722, -28592.8040113347 6712533.37287649 64.772, -28594.1326847462 6712531.23336199 64.834, -28595.9864753523 6712528.2304108 64.914, -28597.0394321148 6712526.50680784 64.958, -28598.0307767425 6712524.87324843 64.998)</t>
  </si>
  <si>
    <t>POINT (-28592.21342251745 6712534.465113712)</t>
  </si>
  <si>
    <t>['KV1005 S1D1 m274', 'KV1005 S1D1 m278-309']</t>
  </si>
  <si>
    <t>LINESTRING Z (-28622.149237858248 6711906.273414686 63.821, -28624.63711769157 6711907.702416829 63.793, -28627.067695795675 6711909.141286371 63.75, -28629.94440131972 6711910.899925907 63.708, -28633.279744311934 6711913.017750488 63.638, -28637.39285329159 6711915.749539265 63.551, -28639.830203355406 6711917.433761872 63.481, -28642.244381278637 6711919.151115366 63.446, -28644.079799685976 6711920.490242864 63.388, -28646.21600320912 6711922.0865007555 63.358, -28647.150988046196 6711922.798433153 63.32)</t>
  </si>
  <si>
    <t>POINT (-28634.83874435261 6711914.250594159)</t>
  </si>
  <si>
    <t>2020-01-13</t>
  </si>
  <si>
    <t>2025-04-30T14:47:23Z</t>
  </si>
  <si>
    <t>[12168]</t>
  </si>
  <si>
    <t>['KV12168 S1D1 m51-99']</t>
  </si>
  <si>
    <t>LINESTRING (263029.3888994068 6639432.99963971, 263037.09883925575 6639417.096622697, 263043.6255380106 6639400.889568978, 263048.401493535 6639388.256139846)</t>
  </si>
  <si>
    <t>POINT (263039.34520022833 6639410.822165168)</t>
  </si>
  <si>
    <t>['KV12168 S1D1 m55-95']</t>
  </si>
  <si>
    <t>LINESTRING (263031.1563768019 6639429.335614935, 263043.6255380106 6639400.889568978, 263047.0440938475 6639391.82694617)</t>
  </si>
  <si>
    <t>POINT (263039.2793864291 6639410.654276232)</t>
  </si>
  <si>
    <t>['KV12168 S1D1 m572-624']</t>
  </si>
  <si>
    <t>LINESTRING (262840.484381165 6639913.317923859, 262844.69791156426 6639897.101991725, 262848.2354102925 6639861.967853794)</t>
  </si>
  <si>
    <t>POINT (262845.219556663 6639887.7969084075)</t>
  </si>
  <si>
    <t>['KV12168 S1D1 m725-769']</t>
  </si>
  <si>
    <t>LINESTRING (262805.49934100907 6640052.585795653, 262805.70009966544 6640038.502588925, 262806.39788192906 6640028.4970203, 262809.81364574324 6640009.3951550005)</t>
  </si>
  <si>
    <t>POINT (262806.82068363874 6640030.908497727)</t>
  </si>
  <si>
    <t>2020-01-16</t>
  </si>
  <si>
    <t>['KV12168 S1D1 m1054-1152']</t>
  </si>
  <si>
    <t>LINESTRING (263092.8482974757 6640208.671430878, 263090.6001063392 6640207.006078483, 263084.34223551874 6640202.3250955865, 263080.2982492226 6640199.300493443, 263068.09860059764 6640193.301931652, 263060.3955312681 6640189.405704341, 263047.69797967386 6640185.99624833, 263040.2971049588 6640184.805465766, 263024.0990763821 6640184.500913338, 263014.9988965412 6640185.395356034, 263001.1631366977 6640188.100117467)</t>
  </si>
  <si>
    <t>POINT (263048.72558317304 6640190.746151983)</t>
  </si>
  <si>
    <t>2020-01-20</t>
  </si>
  <si>
    <t>['KV14376 S1D1 m542-571']</t>
  </si>
  <si>
    <t>LINESTRING (264011.5353179907 6642788.683166557, 264001.9109803552 6642761.591791987)</t>
  </si>
  <si>
    <t>POINT (264006.72314917296 6642775.137479272)</t>
  </si>
  <si>
    <t>[16345]</t>
  </si>
  <si>
    <t>['KV16345 S1D1 m633-668']</t>
  </si>
  <si>
    <t>LINESTRING (269125.77691562567 6637834.457325228, 269126.09580476675 6637855.305409078, 269127.42443462944 6637869.335654919)</t>
  </si>
  <si>
    <t>POINT (269126.2685891447 6637851.91472505)</t>
  </si>
  <si>
    <t>['KV16345 S1D1 m567-604']</t>
  </si>
  <si>
    <t>LINESTRING (269155.4332079975 6637928.85666157, 269154.2091998422 6637923.193868476, 269150.5078528974 6637915.675478112, 269145.8797908167 6637908.627872659, 269136.87243559916 6637894.193400921)</t>
  </si>
  <si>
    <t>POINT (269147.11602212227 6637911.108209977)</t>
  </si>
  <si>
    <t>['KV155 S1D1 m8173-8201']</t>
  </si>
  <si>
    <t>LINESTRING (263914.76469420595 6641137.629772147, 263932.4972668791 6641135.897069783, 263942.0926339486 6641135.051306508)</t>
  </si>
  <si>
    <t>POINT (263928.4259196118 6641136.311005388)</t>
  </si>
  <si>
    <t>['EV134 S35D1 m0-97', 'EV134 S34D1 m9970-10000']</t>
  </si>
  <si>
    <t>LINESTRING Z (145552.14953450655 6623442.811274384 162.102, 145554.48101291817 6623453.537084858 162.062, 145555.7500115399 6623459.387793747 162.112, 145557.9449408718 6623470.1571996985 162.172, 145561.70648703474 6623489.806186887 162.302, 145563.28208795097 6623498.674825894 162.362, 145562.99207986583 6623494.699603078 162.342, 145562.59420856106 6623489.729019323 162.332, 145561.759592015 6623479.801731111 162.292, 145559.19507716596 6623454.009426722 162.212, 145556.5139208283 6623431.739381573 162.192, 145554.64302800846 6623417.920257005 162.202, 145552.0717862916 6623400.659148806 162.242, 145548.31137117295 6623378.052526248 162.332, 145547.43624074332 6623373.138896325 162.362, 145547.70416055294 6623388.765301663 162.212, 145547.75568792003 6623399.322814149 162.122, 145547.79442752473 6623410.364443839 162.142, 145552.14953450655 6623442.811274384 162.102)</t>
  </si>
  <si>
    <t>2020-01-31</t>
  </si>
  <si>
    <t>['FV55 S18D1 m10604-10736']</t>
  </si>
  <si>
    <t>LINESTRING Z (25804.72 6817861.16 68.768, 25800.89 6817866.07 68.888, 25792.87 6817876.06 69.128, 25791.71 6817877.46 69.158, 25790.79 6817878.88 69.198, 25787.92 6817883.48 69.288, 25784.39 6817889.1 69.388, 25780.79 6817894.71 69.458, 25778.52 6817898.36 69.518, 25777.12 6817900.49 69.558, 25776.1 6817902.2 69.578, 25775.13 6817903.93 69.608, 25774.34 6817905.64 69.628, 25773.43 6817907.84 69.698, 25773.2 6817908.5 69.688, 25773.32 6817909.36 69.768, 25772.63 6817910.98 69.818, 25764.5 6817921.57 69.968, 25763.69 6817922 70.018, 25761.98 6817923.77 70.018, 25761.09 6817924.21 70.048, 25760.34 6817924.63 70.028, 25759.14 6817925.59 70.038, 25756.97 6817927.51 70.048, 25755.17 6817929.39 70.068, 25751.07 6817933.72 70.118, 25746.48 6817938.54 70.218, 25743.25 6817941.98 70.268, 25739.77 6817945.64 70.308, 25736.88 6817948.78 70.358, 25734.46 6817951.63 70.388, 25730.86 6817956.3 70.468, 25726.86 6817961.47 70.538, 25724.17 6817964.93 70.578)</t>
  </si>
  <si>
    <t>POINT (25765.760869756912 6817914.055045667)</t>
  </si>
  <si>
    <t>['FV55 S19D1 m2794-2940']</t>
  </si>
  <si>
    <t>LINESTRING Z (23599.99 6820099.06 83.336, 23602.47 6820096.29 83.376, 23605.04 6820093.49 83.386, 23607.98 6820090.31 83.416, 23610.81 6820087.28 83.446, 23614.06 6820083.89 83.486, 23616.57 6820081.66 83.536, 23620.24 6820078.37 83.586, 23623.66 6820075.38 83.656, 23627.76 6820071.7 83.666, 23632.25 6820067.65 83.716, 23637.5 6820062.98 83.786, 23641.35 6820059.56 83.846, 23643.73 6820057.89 83.886, 23645.85 6820056.78 83.916, 23647.82 6820056.38 83.936, 23649.11 6820056.37 83.966, 23650.31 6820056.49 83.966, 23651.95 6820056.55 83.996, 23654.47 6820056.62 84.006, 23655.9 6820056.83 84.036, 23657.12 6820057.72 84.066, 23659.05 6820059.33 84.156, 23660.81 6820060.67 84.226, 23667.55 6820053.41 84.226, 23665.85 6820051.82 84.126, 23664.4 6820050.11 84.056, 23663.09 6820048.46 84.056, 23662.52 6820046.67 84.046, 23661.95 6820044.43 84.036, 23661.51 6820043.08 84.006, 23661.44 6820041.62 84.016, 23661.51 6820039.89 84.036, 23662.1 6820038.29 84.036, 23663.19 6820036.4 84.066, 23664.35 6820034.77 84.096, 23665.9 6820032.68 84.116, 23668.19 6820029.63 84.136, 23671.2 6820025.53 84.166, 23675.57 6820019.67 84.206, 23680.1 6820013.68 84.216, 23684.44 6820007.87 84.196, 23686.95 6820004.56 84.226, 23688.89 6820002.35 84.236, 23692.4 6819998.61 84.266, 23698.77 6819991.86 84.376)</t>
  </si>
  <si>
    <t>POINT (23652.749996708153 6820048.314937872)</t>
  </si>
  <si>
    <t>['FV55 S19D1 m1199-1308']</t>
  </si>
  <si>
    <t>LINESTRING Z (24925.59 6818981.76 88.607, 24923.84 6818983.7 88.647, 24922.12 6818985.57 88.697, 24920.87 6818987.09 88.727, 24918.75 6818989.91 88.777, 24916.17 6818993.27 88.817, 24913.2 6818997.14 88.837, 24909.93 6819001.49 88.917, 24906.92 6819005.43 88.997, 24903.96 6819009.41 89.117, 24901.6 6819012.79 89.187, 24900.24 6819015 89.237, 24899.77 6819015.92 89.287, 24899.69 6819016.31 89.327, 24898.8 6819018.47 89.427, 24891.22 6819026.65 89.467, 24889.86 6819026.86 89.447, 24887.79 6819028.24 89.417, 24886.85 6819028.94 89.397, 24885.29 6819030.14 89.437, 24882.59 6819032.19 89.527, 24879.77 6819034.35 89.607, 24876.46 6819036.91 89.687, 24872.59 6819039.91 89.737, 24868.85 6819042.88 89.787, 24864.9 6819045.9 89.857, 24862.01 6819048.19 89.937, 24860.5 6819049.5 89.967, 24849.87 6819060.09 90.187)</t>
  </si>
  <si>
    <t>POINT (24889.6475843378 6819022.732243694)</t>
  </si>
  <si>
    <t>['FV55 S18D1 m9117-9226']</t>
  </si>
  <si>
    <t>LINESTRING Z (26856.96 6816815.81 48.018, 26854.61 6816817.66 48.058, 26846.42 6816824.03 48.188, 26842.46 6816827.27 48.238, 26839.52 6816830.14 48.338, 26833.27 6816836.28 48.508, 26826.87 6816842.55 48.658, 26823.96 6816845.41 48.748, 26822.61 6816846.7 48.798, 26821.05 6816848.54 48.838, 26819.86 6816850.12 48.908, 26818.71 6816851.7 48.968, 26818.3 6816852.34 48.998, 26818.18 6816852.82 49.008, 26818.11 6816853.48 49.028, 26816.62 6816855.05 49.058, 26806.84 6816862.87 49.098, 26805.87 6816862.82 49.128, 26804.7 6816863.43 49.128, 26803.88 6816863.67 49.128, 26802.94 6816863.86 49.138, 26802.31 6816864.33 49.478, 26799.69 6816865.68 49.518, 26795.92 6816868.04 49.578, 26789.78 6816871.97 49.668, 26784.35 6816875.51 49.728, 26779.32 6816878.71 49.778, 26775.1 6816881.47 49.828, 26773.41 6816882.6 49.848, 26772.85 6816883.05 49.858, 26771.01 6816884.51 49.888)</t>
  </si>
  <si>
    <t>POINT (26815.185296646578 6816851.787600062)</t>
  </si>
  <si>
    <t>['FV55 S18D1 m7445-7583']</t>
  </si>
  <si>
    <t>LINESTRING Z (27969.56 6815778.38 26.57, 27971.32 6815775.43 26.5, 27973.37 6815771.83 26.43, 27974.29 6815770.35 26.43, 27976.7 6815766.86 26.36, 27979.53 6815762.73 26.3, 27983.16 6815757.57 26.25, 27986.08 6815753.38 26.2, 27989.01 6815749.09 26.13, 27991.98 6815744.69 26.02, 27995.33 6815739.85 26, 27997.29 6815737.1 25.94, 27998.26 6815735.97 25.9, 27999.58 6815734.82 25.89, 28001.3 6815733.69 25.86, 28002.84 6815732.65 25.8, 28004.42 6815732.12 25.75, 28005.87 6815732.01 25.74, 28007.22 6815731.64 25.76, 28008.09 6815731.39 25.72, 28009.87 6815731.58 25.76, 28015.17 6815734.13 26, 28020.14 6815724.88 26.02, 28018.33 6815723.62 25.94, 28016.82 6815721.9 25.88, 28015.29 6815719.8 25.78, 28013.83 6815717.58 25.66, 28012.48 6815715.58 25.63, 28011.92 6815714.97 25.6, 28011.83 6815714.23 25.59, 28011.97 6815712.59 25.48, 28012.43 6815710.38 25.42, 28013.15 6815707.67 25.37, 28014.46 6815704.22 25.33, 28016.6 6815698.43 25.23, 28018.74 6815692.48 25.15, 28020.68 6815687.27 25.08, 28022.95 6815681.23 25.01, 28025.08 6815675.16 24.94, 28026.37 6815671.84 24.88, 28027.48 6815669.5 24.84, 28029.72 6815664.97 24.79, 28032.91 6815658.7 24.68, 28034.23 6815656.22 24.61)</t>
  </si>
  <si>
    <t>POINT (28006.693765928187 6815720.253020568)</t>
  </si>
  <si>
    <t>2019-06-01</t>
  </si>
  <si>
    <t>['FV3104 S1D1 m306-391']</t>
  </si>
  <si>
    <t>LINESTRING Z (238922.33719226765 6579407.5909946645 28.225, 238929.14093454665 6579411.522610795 28.185, 238933.3076924952 6579414.419338027 28.145, 238935.0380036019 6579415.836438678 28.125, 238938.22102076927 6579418.569094622 28.105, 238979.81877240504 6579438.797345714 26.276, 238986.96551138602 6579440.981071906 24.856, 238997.792631662 6579444.800917868 23.746, 238922.33719226765 6579407.5909946645 28.225)</t>
  </si>
  <si>
    <t>POLYGON Z ((238922.33719226765 6579407.5909946645 28.225, 238929.14093454665 6579411.522610795 28.185, 238933.3076924952 6579414.419338027 28.145, 238935.0380036019 6579415.836438678 28.125, 238938.22102076927 6579418.569094622 28.105, 238979.81877240504 6579438.797345714 26.276, 238986.96551138602 6579440.981071906 24.856, 238997.792631662 6579444.800917868 23.746, 238922.33719226765 6579407.5909946645 28.225))</t>
  </si>
  <si>
    <t>['FV3104 S1D1 m225-303']</t>
  </si>
  <si>
    <t>LINESTRING Z (238851.5059181073 6579367.441054282 25.935, 238922.27657412543 6579400.766557398 28.325, 238918.6769502281 6579398.693801335 28.185, 238915.28761381877 6579396.616845418 28.185, 238912.41303399883 6579394.886098074 28.185, 238909.91827984276 6579392.989272479 28.185, 238907.40949233648 6579391.033232905 28.185, 238904.31757597058 6579388.906073087 28.185, 238865.4535950832 6579370.6988355955 26.885, 238851.5059181073 6579367.441054282 25.935)</t>
  </si>
  <si>
    <t>POLYGON Z ((238851.5059181073 6579367.441054282 25.935, 238922.27657412543 6579400.766557398 28.325, 238918.6769502281 6579398.693801335 28.185, 238915.28761381877 6579396.616845418 28.185, 238912.41303399883 6579394.886098074 28.185, 238909.91827984276 6579392.989272479 28.185, 238907.40949233648 6579391.033232905 28.185, 238904.31757597058 6579388.906073087 28.185, 238865.4535950832 6579370.6988355955 26.885, 238851.5059181073 6579367.441054282 25.935))</t>
  </si>
  <si>
    <t>2025-11-22T09:20:11Z</t>
  </si>
  <si>
    <t>[3624]</t>
  </si>
  <si>
    <t>['KV3624 S1D1 m85-139', 'KV3624 S1D1 m171-412', 'KV3624 S2D1 m0-11']</t>
  </si>
  <si>
    <t>LINESTRING Z (-30903.46 6577434.78 16.714, -30900.2 6577435.79 16.814, -30898.2 6577436.4 16.874, -30896.61 6577436.89 16.924, -30892.55 6577438.15 17.074, -30890.56 6577438.76 17.194, -30889.06 6577439.23 17.294, -30888.51 6577439.4 17.324, -30887.29 6577439.78 17.394, -30886.38 6577440.06 17.454, -30886.29 6577440.09 17.464, -30884.62 6577440.59 17.564, -30882.95 6577441.12 17.664, -30882.65 6577441.21 17.684, -30882.21 6577441.4 17.714, -30882.06 6577441.51 17.724, -30881.38 6577442 17.734, -30879.35 6577443.48 17.754, -30878.34 6577444.22 17.764, -30877.33 6577444.95 17.774, -30875.79 6577446.08 17.784, -30874.23 6577447.21 17.794, -30872.69 6577448.34 17.814, -30871.14 6577449.46 17.844, -30870.18 6577450.16 17.854, -30869.22 6577450.85 17.864, -30867.91 6577451.81 17.884, -30866.59 6577452.77 17.894, -30865.71 6577453.43 17.904, -30865.48 6577453.61 17.914, -30865.23 6577453.89 17.914, -30865.16 6577453.99 17.924, -30864.55 6577454.94 17.984, -30863.94 6577455.91 18.044, -30863.3 6577456.9 18.114, -30862.68 6577457.89 18.184, -30862.32 6577458.44 18.214, -30862.04 6577458.88 18.244, -30861.91 6577459.09 18.264, -30861.95 6577459.14 18.254, -30862.28 6577459.16 18.274, -30862.92 6577459.17 18.234, -30863.63 6577459.1 18.194, -30864.79 6577458.88 18.114, -30865.96 6577458.68 18.044, -30867.04 6577458.37 17.964, -30868.14 6577458.07 17.894, -30868.24 6577458.04 17.894, -30868.62 6577457.91 17.864, -30868.85 6577457.82 17.854, -30868.9 6577457.8 17.974, -30869.95 6577457.39 17.914, -30871.43 6577456.64 17.824, -30872.89 6577455.91 17.734, -30873.89 6577455.25 17.684, -30874.89 6577454.6 17.624, -30876.44 6577453.48 17.554, -30877.98 6577452.35 17.484, -30879.53 6577451.22 17.424, -30881.07 6577450.09 17.374, -30882.09 6577449.36 17.344, -30883.1 6577448.62 17.314, -30885.13 6577447.14 17.264, -30885.81 6577446.65 17.244, -30885.94 6577446.55 17.244, -30886.31 6577446.28 17.234, -30886.56 6577446.11 17.234, -30887.87 6577445.17 17.204, -30889.19 6577444.23 17.174, -30889.26 6577444.18 17.164, -30889.99 6577443.68 17.154, -30890.95 6577443.02 17.134, -30891.42 6577442.7 16.994, -30892.64 6577441.87 16.964, -30894.27 6577440.79 16.924, -30897.7 6577438.55 16.844, -30899.03 6577437.68 16.814, -30900.72 6577436.57 16.774, -30903.44 6577434.79 16.714, -30890.97 6577443.01 17.004, -30889.78 6577443.37 17.234, -30888.89 6577443.64 17.314, -30888.79 6577443.67 17.324, -30887.33 6577444.4 17.454, -30885.86 6577445.15 17.594, -30885.62 6577445.32 17.614, -30885.26 6577445.59 17.644, -30885.11 6577445.69 17.654, -30884.43 6577446.19 17.684, -30882.4 6577447.66 17.724, -30881.39 6577448.4 17.744, -30880.38 6577449.13 17.764, -30878.83 6577450.26 17.784, -30877.28 6577451.39 17.814, -30875.74 6577452.52 17.854, -30874.19 6577453.64 17.894, -30873.23 6577454.34 17.914, -30872.27 6577455.05 17.934, -30870.95 6577456.01 17.964, -30869.64 6577456.97 17.984, -30868.87 6577457.77 17.984, -30903.46 6577434.78 16.714)</t>
  </si>
  <si>
    <t>['FV4566 S1D1 m5166-5240']</t>
  </si>
  <si>
    <t>LINESTRING Z (-31138.06 6577416.65 12.354, -31138.88 6577416.42 12.354, -31139.02 6577416.39 12.354, -31139.66 6577416.21 12.364, -31139.99 6577416.12 12.364, -31140.96 6577415.86 12.374, -31141.15 6577415.8 12.374, -31141.22 6577415.78 12.374, -31141.43 6577415.72 12.374, -31141.84 6577415.61 12.384, -31141.92 6577415.59 12.384, -31142.88 6577415.33 12.394, -31143.86 6577415.06 12.404, -31144 6577415.02 12.404, -31144.82 6577414.8 12.404, -31145.79 6577414.53 12.424, -31146.76 6577414.27 12.434, -31147.72 6577414 12.444, -31147.94 6577413.94 12.444, -31148.12 6577413.9 12.444, -31148.69 6577413.74 12.454, -31149.66 6577413.47 12.464, -31150.64 6577413.21 12.474, -31151.61 6577412.94 12.494, -31152.57 6577412.68 12.504, -31153.54 6577412.41 12.524, -31154.51 6577412.15 12.534, -31154.89 6577412.05 12.544, -31155.31 6577411.93 12.544, -31155.48 6577411.89 12.554, -31156.45 6577411.63 12.564, -31156.74 6577411.55 12.574, -31157.42 6577411.36 12.584, -31158.39 6577411.1 12.604, -31159.36 6577410.84 12.614, -31160.33 6577410.58 12.634, -31161.3 6577410.32 12.654, -31162.27 6577410.06 12.674, -31163.24 6577409.8 12.694, -31164.21 6577409.54 12.714, -31165.18 6577409.28 12.734, -31166.15 6577409.03 12.754, -31167.12 6577408.76 12.774, -31168.09 6577408.51 12.794, -31169.06 6577408.25 12.824, -31170.03 6577408 12.844, -31170.37 6577407.91 12.854, -31171.01 6577407.74 12.864, -31171.97 6577407.49 12.894, -31172.95 6577407.24 12.914, -31173.43 6577407.11 12.934, -31173.48 6577407.09 12.934, -31173.92 6577406.98 12.944, -31174.89 6577406.73 12.974, -31175.86 6577406.47 12.994, -31176.84 6577406.22 13.024, -31177.81 6577405.96 13.054, -31178.78 6577405.71 13.074, -31179.76 6577405.46 13.104, -31180.73 6577405.21 13.134, -31181.69 6577404.95 13.164, -31182.66 6577404.71 13.194, -31183.64 6577404.45 13.224, -31184.61 6577404.21 13.254, -31185.59 6577403.96 13.294, -31186.19 6577403.8 13.314, -31186.56 6577403.71 13.324, -31187.53 6577403.46 13.354, -31187.61 6577403.44 13.354, -31188.04 6577403.33 13.374, -31188.51 6577403.21 13.384, -31189.22 6577403.03 13.414, -31189.48 6577402.97 13.424, -31190.02 6577402.83 13.444, -31190.46 6577402.71 13.454, -31191.43 6577402.47 13.494, -31192.2 6577402.28 13.514, -31192.4 6577402.22 13.524, -31192.84 6577402.11 13.544, -31192.4 6577402.21 13.524, -31192.19 6577402.27 13.514, -31191.41 6577402.42 13.494, -31190.42 6577402.57 13.464, -31189.97 6577402.62 13.444, -31189.4 6577402.68 13.434, -31189.14 6577402.71 13.424, -31188.4 6577402.78 13.404, -31187.91 6577402.83 13.384, -31187.47 6577402.88 13.374, -31187.39 6577402.88 13.374, -31186.37 6577402.99 13.344, -31185.99 6577403.02 13.334, -31185.37 6577403.09 13.314, -31184.35 6577403.19 13.294, -31183.34 6577403.3 13.264, -31182.33 6577403.4 13.234, -31181.32 6577403.5 13.214, -31180.31 6577403.61 13.184, -31179.3 6577403.71 13.164, -31178.28 6577403.81 13.134, -31177.28 6577403.92 13.114, -31176.26 6577404.02 13.094, -31175.25 6577404.13 13.064, -31174.24 6577404.23 13.044, -31173.23 6577404.33 13.024, -31172.77 6577404.38 13.014, -31172.21 6577404.44 13.004, -31171.23 6577404.6 12.984, -31170.23 6577404.8 12.964, -31169.6 6577404.97 12.944, -31169.26 6577405.06 12.934, -31168.29 6577405.31 12.914, -31167.32 6577405.58 12.894, -31166.35 6577405.84 12.864, -31165.38 6577406.1 12.844, -31164.41 6577406.36 12.824, -31163.44 6577406.63 12.804, -31162.46 6577406.89 12.784, -31161.49 6577407.15 12.764, -31160.51 6577407.41 12.744, -31159.54 6577407.68 12.724, -31158.57 6577407.93 12.704, -31157.6 6577408.2 12.694, -31156.63 6577408.46 12.674, -31155.95 6577408.64 12.664, -31155.66 6577408.72 12.654, -31154.69 6577408.98 12.644, -31154.53 6577409.03 12.634, -31154.1 6577409.14 12.634, -31153.72 6577409.25 12.624, -31152.75 6577409.5 12.614, -31151.78 6577409.76 12.594, -31150.81 6577410.03 12.584, -31149.84 6577410.28 12.564, -31148.87 6577410.55 12.554, -31147.9 6577410.81 12.544, -31147.32 6577410.96 12.534, -31147.14 6577411.02 12.534, -31146.94 6577411.07 12.534, -31145.96 6577411.33 12.524, -31144.99 6577411.6 12.514, -31144.02 6577411.85 12.504, -31143.19 6577412.08 12.494, -31143.05 6577412.12 12.494, -31142.1 6577412.4 12.484, -31141.14 6577412.75 12.464, -31141.07 6577412.78 12.464, -31140.67 6577412.93 12.454, -31140.46 6577413.02 12.454, -31140.39 6577413.05 12.454, -31140.2 6577413.12 12.444, -31139.27 6577413.49 12.434, -31138.95 6577413.61 12.424, -31138.33 6577413.86 12.414, -31138.19 6577413.91 12.414, -31137.39 6577414.23 12.404, -31137.2 6577414.3 12.404, -31136.45 6577414.59 12.394, -31135.51 6577414.96 12.384, -31134.57 6577415.34 12.364, -31133.63 6577415.71 12.354, -31132.69 6577416.08 12.344, -31132.49 6577416.15 12.344, -31132.17 6577416.28 12.344, -31131.77 6577416.44 12.334, -31131.19 6577416.67 12.334, -31130.88 6577416.79 12.324, -31129.99 6577417.14 12.324, -31129.37 6577417.38 12.314, -31129.26 6577417.43 12.314, -31129.09 6577417.49 12.314, -31128.18 6577417.85 12.304, -31127.28 6577418.21 12.304, -31126.37 6577418.57 12.304, -31125.84 6577418.77 12.304, -31125.47 6577418.92 12.304, -31125.08 6577419.06 12.304, -31124.54 6577419.24 12.304, -31123.61 6577419.51 12.304, -31122.66 6577419.72 12.314, -31122.55 6577419.75 12.314, -31121.71 6577419.91 12.314, -31121.09 6577419.99 12.324, -31121.71 6577419.92 12.314, -31122.56 6577419.8 12.314, -31122.67 6577419.78 12.314, -31123.63 6577419.65 12.314, -31124.59 6577419.49 12.304, -31125.15 6577419.4 12.304, -31125.55 6577419.35 12.304, -31125.94 6577419.27 12.304, -31126.5 6577419.18 12.304, -31127.45 6577419.02 12.304, -31128.41 6577418.84 12.304, -31129.37 6577418.66 12.304, -31129.54 6577418.62 12.304, -31129.66 6577418.59 12.304, -31130.31 6577418.47 12.314, -31131.26 6577418.27 12.314, -31131.59 6577418.2 12.314, -31132.22 6577418.07 12.314, -31132.63 6577417.98 12.324, -31132.98 6577417.9 12.324, -31133.19 6577417.85 12.324, -31134.16 6577417.63 12.324, -31135.14 6577417.4 12.334, -31136.11 6577417.15 12.344, -31137.08 6577416.91 12.344, -31137.83 6577416.7 12.354, -31138.05 6577416.64 12.354, -31138.88 6577416.42 12.354, -31138.06 6577416.65 12.354)</t>
  </si>
  <si>
    <t>2020-02-12</t>
  </si>
  <si>
    <t>['EV6 S129D1 m5653-5718']</t>
  </si>
  <si>
    <t>LINESTRING Z (490607.398885306 7367745.676461159 128.414, 490571.0492577205 7367692.806833331 128.184, 490572.4795931734 7367696.663964611 128.224, 490574.65512335475 7367702.454419505 128.294, 490576.48304536554 7367707.278012698 128.344, 490577.0395232575 7367708.113251661 128.344, 490579.2953418883 7367711.44397199 128.364, 490580.42820906383 7367713.104294341 128.364, 490583.82673064346 7367718.075265706 128.384, 490584.9695934931 7367719.735508095 128.394, 490587.2552392426 7367723.045997197 128.414, 490590.69358361454 7367727.996657376 128.434, 490594.8476186578 7367732.441777419 128.424, 490597.6202539426 7367735.398500345 128.424, 490599.0115694207 7367736.876821827 128.424, 490603.1952716684 7367741.281719289 128.414, 490604.596502865 7367742.749965138 128.414, 490607.398885306 7367745.676461159 128.414, 490608.0945030692 7367746.410624058 128.414)</t>
  </si>
  <si>
    <t>['EV6 S128D1 m6272-6338']</t>
  </si>
  <si>
    <t>LINESTRING Z (482539.1823210953 7362966.24866402 182.085, 482473.9554343435 7362958.663180916 182.745, 482483.61911824177 7362962.0646405285 182.595, 482488.45112002734 7362963.785361748 182.515, 482493.413790321 7362964.345461037 182.475, 482503.32921507995 7362965.475735242 182.375, 482513.2348838511 7362966.636076511 182.275, 482523.29952976946 7362966.425646067 182.215, 482533.39440255717 7362966.244962987 182.135, 482538.4318432152 7362966.154701374 182.095, 482539.1823210953 7362966.24866402 182.085)</t>
  </si>
  <si>
    <t>['EV6 S128D1 m9066-9147']</t>
  </si>
  <si>
    <t>LINESTRING Z (484997.033158843 7364172.46670327 50.495, 484937.334052666 7364117.34445438 102.145, 484937.394506474 7364117.403949 102.145, 484940.966560773 7364120.32430482 102.255, 484941.097304224 7364120.42322271 102.255, 484942.786333918 7364121.62926958 102.305, 484943.168408702 7364121.90611178 102.315, 484943.449887007 7364122.10378769 102.325, 484950.97039514 7364127.51164666 102.585, 484953.363280455 7364129.2318747 102.675, 484953.504019607 7364129.33071265 102.685, 484954.982899763 7364130.508451 102.745, 484955.234470895 7364130.71636241 102.755, 484955.35537851 7364130.83535164 102.755, 484955.727937189 7364131.17224797 102.765, 484958.66850375 7364133.87773408 102.855, 484964.559632572 7364139.28862633 103.035, 484965.304749931 7364139.96241899 103.085, 484966.039871587 7364140.63629159 103.105, 484973.401243718 7364147.39492897 103.325, 484975.234050007 7364149.07965041 103.375, 484975.606688619 7364149.42654244 103.395, 484975.626759955 7364149.43637828 103.395, 484975.697289397 7364149.50578866 103.395, 484979.211847389 7364152.7364907 103.495, 484979.302448167 7364152.81573691 103.505, 484979.665011144 7364153.15271317 103.515, 484980.027494188 7364153.47969373 103.525, 484980.108099265 7364153.55901987 103.525, 484980.168473139 7364153.60851878 103.515, 484980.188624408 7364153.62835032 103.515, 484980.752700076 7364154.16364195 103.495, 484982.19495461 7364155.76151945 103.445, 484982.205110177 7364155.78143091 103.445, 484982.66946863 7364156.34750898 103.425, 484982.740157938 7364156.43691076 103.415, 484983.90325223 7364158.1269877 103.445, 484986.104216814 7364160.84838447 103.495, 484987.14296637 7364161.98965702 103.525, 484989.089242432 7364164.11331003 103.575, 484992.467697397 7364167.82492475 103.675, 484993.254236357 7364168.67832028 103.695, 484993.919707836 7364169.39273519 103.715, 484995.743317755 7364171.17749354 103.765, 484996.639569631 7364172.0000227 103.785, 484997.092733386 7364172.41624516 103.795)</t>
  </si>
  <si>
    <t>['EV6 S128D1 m8961-9046']</t>
  </si>
  <si>
    <t>LINESTRING Z (484853.998820739 7364052.87470315 100.445, 484855.300016398 7364054.33376007 100.435, 484855.96572768 7364055.07816218 100.425, 484857.428373293 7364056.72585851 100.425, 484857.973017093 7364057.33127999 100.415, 484858.638808308 7364058.08567779 100.415, 484859.364973398 7364058.88957452 100.415, 484861.749697386 7364062.08932652 100.405, 484864.31610253 7364065.50754516 100.405, 484866.872591908 7364068.93583943 100.415, 484867.842570548 7364070.22760717 100.425, 484868.741939814 7364071.43996882 100.435, 484868.822784689 7364071.54928208 100.435, 484871.233099497 7364074.19903063 100.485, 484873.005452012 7364075.82425761 100.515, 484874.78780023 7364077.44940467 100.555, 484876.993245172 7364079.48101833 100.605, 484877.667913033 7364080.09539637 100.615, 484877.728366841 7364080.15489098 100.615, 484878.050627286 7364080.4522042 100.625, 484878.161379335 7364080.55128196 100.625, 484881.142248485 7364083.29643134 100.675, 484882.149172493 7364084.20804265 100.695, 484882.94474797 7364084.94140992 100.705, 484884.956917399 7364086.5547228 100.735, 484886.062759301 7364087.33559066 100.745, 484889.118878032 7364089.49035413 100.795, 484890.184497327 7364090.24155461 100.815, 484891.240040987 7364090.98283932 100.845, 484894.306155416 7364093.13752286 100.915, 484896.779166253 7364094.87710294 100.975, 484897.110942802 7364095.114362 100.985, 484897.935306392 7364095.69755392 101.005, 484898.427893432 7364096.04348679 101.015, 484900.006251034 7364097.16045166 101.065, 484900.02632237 7364097.1702875 101.065, 484906.671289519 7364101.84541891 101.265, 484908.671864579 7364103.25889765 101.325, 484908.722082886 7364103.28848509 101.325, 484910.733452975 7364104.80184091 101.385, 484912.706199113 7364106.48544339 101.445, 484912.746581584 7364106.53510217 101.445, 484914.47863155 7364108.12066601 101.495, 484915.918727909 7364109.44865966 101.545, 484916.321433564 7364109.80530761 101.555, 484917.056555229 7364110.47918024 101.575, 484853.998820739 7364052.87470315 100.445)</t>
  </si>
  <si>
    <t>2020-02-20</t>
  </si>
  <si>
    <t>['EV6 S123D1 m7248-7348']</t>
  </si>
  <si>
    <t>LINESTRING Z (450126.81 7346275.93 13.857, 450136.31 7346279.03 13.897, 450146.74 7346282.2700000005 13.937, 450156.35000000003 7346285.11 13.987, 450167.57 7346289.0600000005 14.077, 450182.44 7346294.5600000005 14.247, 450189.25 7346297.11 14.327, 450197.01 7346300.66 14.467, 450208.06 7346305.5200000005 14.657, 450219.11 7346310.18 14.857, 450220.04000000004 7346310.55 14.867)</t>
  </si>
  <si>
    <t>POINT (450173.8301722582 7346292.152339518)</t>
  </si>
  <si>
    <t>['EV6 S123D1 m8353-8418']</t>
  </si>
  <si>
    <t>LINESTRING Z (451206.85000000003 7346296.79 40.216, 451210.83 7346297.69 40.156, 451214.93 7346298.66 40.076, 451218.83 7346299.62 39.996, 451226.66000000003 7346301.67 39.786, 451231.77 7346303.11 39.636, 451242.69 7346308.0600000005 39.296, 451250.92 7346312.03 39.036, 451254.55 7346313.84 38.926, 451260.89 7346319.22 38.686, 451264.55 7346322.42 38.496, 451266.34 7346324 38.386)</t>
  </si>
  <si>
    <t>POINT (451238.01369933865 7346307.535321393)</t>
  </si>
  <si>
    <t>['EV6 S123D1 m6112-6178']</t>
  </si>
  <si>
    <t>LINESTRING Z (449059.86 7345912.63 15.678, 449069.92 7345913.44 15.388, 449079.97000000003 7345914.25 15.188, 449085 7345914.66 15.118, 449094.76 7345916.850000001 14.878, 449104.52 7345919.04 14.628, 449109.41000000003 7345920.140000001 14.508, 449118.65 7345924.65 14.198, 449123.27 7345926.91 14.038)</t>
  </si>
  <si>
    <t>POINT (449092.1841411223 7345917.39499596)</t>
  </si>
  <si>
    <t>['EV6 S123D1 m5933-6008']</t>
  </si>
  <si>
    <t>LINESTRING Z (448882.83 7345879.71 20.819, 448892.38 7345882.850000001 20.489, 448901.77 7345886.66 20.119, 448907.93 7345888.890000001 19.879, 448921.10000000003 7345891.83 19.499, 448930.85000000003 7345894.01 19.218, 448940.97000000003 7345894.57 18.988, 448951.02 7345895.45 18.748, 448956.01 7345896.0600000005 18.618)</t>
  </si>
  <si>
    <t>POINT (448918.9458731835 7345890.021170775)</t>
  </si>
  <si>
    <t>['EV6 S123D1 m5292-5357']</t>
  </si>
  <si>
    <t>LINESTRING Z (448523.74 7345402.83 30.489, 448526.87 7345406.84 30.589, 448532.08 7345413.7700000005 30.739, 448535.39 7345418.36 30.829, 448538.47000000003 7345422.8 30.889, 448539.16000000003 7345423.8 30.899, 448544.97000000003 7345436.26 30.999, 448549.02 7345445.7 31.069, 448550.83 7345455.92 31.129, 448551.62 7345462.09 31.089)</t>
  </si>
  <si>
    <t>POINT (448540.80402398284 7345431.09430601)</t>
  </si>
  <si>
    <t>['EV6 S123D1 m9353-9418']</t>
  </si>
  <si>
    <t>LINESTRING Z (451987.04000000004 7346832.26 21.475, 451993.28 7346840.63 21.625, 451997.38 7346845.38 21.634, 452005.62 7346851.5200000005 21.624, 452014.10000000003 7346857.32 21.584, 452023.23 7346862.07 21.514, 452032.8 7346865.93 21.374, 452041.48 7346869.0600000005 21.174)</t>
  </si>
  <si>
    <t>POINT (452012.04961580806 7346853.721908807)</t>
  </si>
  <si>
    <t>2019-11-14</t>
  </si>
  <si>
    <t>[3152]</t>
  </si>
  <si>
    <t>['FV3152 S1D1 m1849-1901']</t>
  </si>
  <si>
    <t>LINESTRING Z (237280.12253455055 6584086.464375116 46.437, 237273.7610268233 6584084.542038548 46.406, 237266.42449654528 6584082.3269496765 46.399, 237265.39468629984 6584081.983880654 46.409, 237256.50229591905 6584077.484655683 46.315, 237247.67367591662 6584073.01282884 46.229, 237246.87627657928 6584072.49502196 46.18, 237235.9661861303 6584064.948500358 46.031, 237234.20388430252 6584063.704942874 45.885, 237280.12253455055 6584086.464375116 46.437)</t>
  </si>
  <si>
    <t>POLYGON Z ((237280.12253455055 6584086.464375116 46.437, 237273.7610268233 6584084.542038548 46.406, 237266.42449654528 6584082.3269496765 46.399, 237265.39468629984 6584081.983880654 46.409, 237256.50229591905 6584077.484655683 46.315, 237247.67367591662 6584073.01282884 46.229, 237246.87627657928 6584072.49502196 46.18, 237235.9661861303 6584064.948500358 46.031, 237234.20388430252 6584063.704942874 45.885, 237280.12253455055 6584086.464375116 46.437))</t>
  </si>
  <si>
    <t>['FV315 S2D1 m438-484']</t>
  </si>
  <si>
    <t>LINESTRING Z (234405.08910638775 6602865.523385542 112.214, 234405.77887523378 6602864.928372154 112.174, 234406.6064264463 6602864.190254309 112.144, 234407.42401041545 6602863.453038496 112.06400000000001, 234408.19626827457 6602862.770169008 112.034, 234409.0410479061 6602862.000345424 111.974, 234409.83143620612 6602861.2957374295 111.924, 234410.668052634 6602860.546750373 111.884, 234411.3378869875 6602859.95354108 111.84400000000001, 234412.02039464266 6602859.3893315 111.804, 234412.91586747812 6602858.735506788 111.784, 234413.82671967283 6602858.140583518 111.73400000000001, 234414.79372221255 6602857.610920849 111.684, 234415.77339804848 6602857.110257892 111.634, 234417.80973655253 6602856.182355799 111.554, 234419.76633709762 6602855.261669891 111.48400000000001, 234421.82170800987 6602854.321996579 111.394, 234423.82724268845 6602853.386833394 111.284, 234425.88261354459 6602852.447160145 111.174, 234428.96023514535 6602851.033117713 111.034, 234431.05276883452 6602850.059934742 110.964, 234433.16613899433 6602849.094915007 110.874, 234433.9862938404 6602848.719226164 110.854, 234435.00128338952 6602848.275660738 110.804, 234435.85494802234 6602847.937134811 110.764, 234436.7330572256 6602847.646641048 110.73400000000001, 234437.61477449932 6602847.396016252 110.694, 234438.6423472588 6602847.202533868 110.664, 234439.78226570424 6602847.029030999 110.604, 234440.9122168994 6602846.8564301515 110.544, 234442.07297182182 6602846.69109049 110.494, 234443.12408709893 6602846.535673038 110.444, 234444.24407102366 6602846.363974219 110.394, 234445.39395665616 6602846.189569346 110.354, 234446.52120174287 6602845.987066796 110.324, 234447.45997129433 6602845.811669845 110.284, 234405.08910638775 6602865.523385542 112.214)</t>
  </si>
  <si>
    <t>POLYGON Z ((234405.08910638775 6602865.523385542 112.214, 234405.77887523378 6602864.928372154 112.174, 234406.6064264463 6602864.190254309 112.144, 234407.42401041545 6602863.453038496 112.06400000000001, 234408.19626827457 6602862.770169008 112.034, 234409.0410479061 6602862.000345424 111.974, 234409.83143620612 6602861.2957374295 111.924, 234410.668052634 6602860.546750373 111.884, 234411.3378869875 6602859.95354108 111.84400000000001, 234412.02039464266 6602859.3893315 111.804, 234412.91586747812 6602858.735506788 111.784, 234413.82671967283 6602858.140583518 111.73400000000001, 234414.79372221255 6602857.610920849 111.684, 234415.77339804848 6602857.110257892 111.634, 234417.80973655253 6602856.182355799 111.554, 234419.76633709762 6602855.261669891 111.48400000000001, 234421.82170800987 6602854.321996579 111.394, 234423.82724268845 6602853.386833394 111.284, 234425.88261354459 6602852.447160145 111.174, 234428.96023514535 6602851.033117713 111.034, 234431.05276883452 6602850.059934742 110.964, 234433.16613899433 6602849.094915007 110.874, 234433.9862938404 6602848.719226164 110.854, 234435.00128338952 6602848.275660738 110.804, 234435.85494802234 6602847.937134811 110.764, 234436.7330572256 6602847.646641048 110.73400000000001, 234437.61477449932 6602847.396016252 110.694, 234438.6423472588 6602847.202533868 110.664, 234439.78226570424 6602847.029030999 110.604, 234440.9122168994 6602846.8564301515 110.544, 234442.07297182182 6602846.69109049 110.494, 234443.12408709893 6602846.535673038 110.444, 234444.24407102366 6602846.363974219 110.394, 234445.39395665616 6602846.189569346 110.354, 234446.52120174287 6602845.987066796 110.324, 234447.45997129433 6602845.811669845 110.284, 234405.08910638775 6602865.523385542 112.214))</t>
  </si>
  <si>
    <t>['RV13 S1D1 m12005-12096']</t>
  </si>
  <si>
    <t>LINESTRING Z (-32274.841523837415 6572916.321959825 1.9115503768324853, -32275.97615011991 6572914.043678758 2.0815506823062897, -32277.095178171527 6572911.751932942 2.2515509952306747, -32278.197059740196 6572909.457788288 2.4215513305068015, -32279.28334302269 6572907.15017886 2.59155168068409, -32280.35402799258 6572904.829104645 2.7615520383119585, -32281.40756639035 6572902.505631548 2.931552418291569, -32282.451222229865 6572900.169493343 3.10155280572176, -32283.473563864245 6572897.819090614 3.2715532155036926, -32284.46113425074 6572895.508953221 3.4385536252856257, -32285.46835535299 6572893.100022474 3.614554072320461, -32285.572554712882 6572892.855102897 3.632554117023945, -32286.4936789833 6572890.603364301 3.793554541707039, -32287.397656422225 6572888.349226731 3.9545549812912943, -32287.473276786972 6572888.100308657 3.9705550483465197, -32288.13195121521 6572885.766720443 4.112555674195289, -32288.77919430402 6572883.431532864 4.255556314945221, -32288.84909891372 6572883.1818150915 4.270556382000446, -32289.109544496285 6572882.236674162 4.328556650221348, -32289.607095317217 6572880.388256855 4.441557164311409, -32290.09166639205 6572878.54930607 4.554557685852051, -32290.096311123925 6572878.516108327 4.556557693302631, -32290.10512345622 6572878.494776211 4.557557693302631, -32290.155855226913 6572878.298788598 4.569557752907277, -32290.157403470832 6572878.287722684 4.570557760357857, -32290.166215803474 6572878.266390568 4.571557760357857, -32290.17967286834 6572878.211860708 4.574557775259018, -32290.18276935653 6572878.18972888 4.575557782709598, -32290.190033445717 6572878.179462675 4.576557790160179, -32290.79833772476 6572875.872674726 4.712558438360691, -32291.39104296756 6572873.55242177 4.848559101462365, -32291.42676946323 6572873.42202994 4.855559138715267, -32291.42831770866 6572873.410964023 4.856559146165848, -32291.43141419883 6572873.388832195 4.857559153616428, -32291.44332303095 6572873.345368251 4.860559161067009, -32292.053653244977 6572870.982451101 4.999559846520424, -32292.642668538843 6572868.605269227 5.13856053942442, -32292.663389733294 6572868.540473169 5.142560554325581, -32292.668034471106 6572868.507275427 5.1435605617761615, -32292.669582716888 6572868.4962095115 5.145560569226742, -32292.691852158285 6572868.420347539 5.149560591578484, -32293.5142830885 6572865.082960416 5.353561575055123, -32293.867264149012 6572863.643052351 5.441561992287636, -32293.868812395725 6572863.6319864355 5.442561999738216, -32293.871908889036 6572863.609854607 5.443562007188797, -32293.88226949598 6572863.577456581 5.4455620146393775, -32293.90037133661 6572863.489728984 5.450562036991119, -32294.447944948683 6572861.242139312 5.588562707543373, -32294.978371145204 6572858.992150525 5.725563385546208, -32294.981467639678 6572858.970018697 5.726563385546208, -32294.99182825582 6572858.9376206715 5.728563400447369, -32294.996472997707 6572858.9044229295 5.730563407897949, -32295.01350371784 6572858.782697875 5.736563452601433, -32295.019696706673 6572858.738434221 5.739563467502594, -32295.022793201264 6572858.716302391 5.740563474953174, -32295.027437942917 6572858.68310465 5.742563489854336, -32295.03053443751 6572858.660972823 5.743563497304916, -32295.053281032247 6572858.540047485 5.7505635420084005, -32295.440693554818 6572856.145941605 5.881564369022846, -32295.815126057016 6572853.761302198 6.011565203487873, -32295.81977079762 6572853.728104457 6.013565218389035, -32295.824415537994 6572853.694906713 6.014565225839615, -32295.830608525197 6572853.650643059 6.016565240740777, -32295.83215677191 6572853.639577145 6.018565248191357, -32295.8368015124 6572853.606379403 6.019565263092518, -32295.85335512273 6572853.529717721 6.02456528544426, -32296.222071713768 6572851.144278591 6.154566119909287, -32296.57780824788 6572848.768305931 6.284566969275475, -32296.582452987088 6572848.735108187 6.2855669841766355, -32296.59436186182 6572848.69164425 6.288566991627216, -32296.600554847275 6572848.647380593 6.290567013978959, -32296.61448906397 6572848.547787364 6.295567043781281, -32296.617585556232 6572848.525655537 6.297567058682442, -32296.97332204401 6572846.149682864 6.427567900598049, -32297.311910794582 6572843.771311026 6.557568757414818, -32297.316555531695 6572843.738113286 6.558568764865399, -32297.32274851424 6572843.693849629 6.56056877976656, -32297.330489742802 6572843.638520055 6.564568802118302, -32297.333586234367 6572843.616388227 6.565568809568882, -32297.34906869044 6572843.505729084 6.571568846821785, -32297.380033603054 6572843.2844108 6.583568928778171, -32297.70159157447 6572841.027764008 6.707569740891457, -32298.010169432615 6572838.780583678 6.8295705604553225, -32298.014814167167 6572838.747385937 6.831570567905903, -32298.02255539212 6572838.692056363 6.834570590257645, -32298.031844861573 6572838.62566088 6.837570612609387, -32298.034941351856 6572838.603529047 6.838570620059967, -32298.043159650522 6572838.503136099 6.84457065731287, -32298.052449119627 6572838.436740616 6.848570687115193, -32298.07876928302 6572838.248620069 6.858570754170418, -32298.385798804113 6572836.012505641 6.980571566283703, -32298.669964603265 6572833.773192322 7.102572393298149, -32298.674609335605 6572833.739994578 7.104572400748729, -32298.682350556133 6572833.684665008 7.107572423100471, -32298.693188264966 6572833.607203605 7.111572452902794, -32298.694736509 6572833.59613769 7.112572460353374, -32298.74296618416 6572833.501342777 7.132572467803955, -32298.761545114336 6572833.368551803 7.139572519958019, -32298.775956374826 6572833.223895197 7.147572572112083, -32299.028563070577 6572831.126839309 7.2555733544230465, -32299.27545374504 6572829.02898369 7.36157414418459, -32299.274382554693 6572828.994986229 7.363574159085751, -32299.28522025759 6572828.917524824 7.3675741888880735, -32299.297606203472 6572828.828997508 7.372574226140976)</t>
  </si>
  <si>
    <t>POINT (-32289.934292300444 6572873.409688973)</t>
  </si>
  <si>
    <t>2021-11-11</t>
  </si>
  <si>
    <t>[441]</t>
  </si>
  <si>
    <t>['FV441 S2D1 m7009 KD5 m63-83']</t>
  </si>
  <si>
    <t>LINESTRING Z (-32448.11095729249 6572957.25494104 30.243421600997447, -32448.72755560628 6572957.13815069 30.248421258270742, -32448.823653636617 6572957.117752358 30.258421206116676, -32449.15922238084 6572957.051891158 30.29042101985216, -32450.03970322665 6572956.881772112 30.259420535564423, -32451.804832239286 6572956.55340044 30.275419559538364, -32453.20426527993 6572956.297956449 30.286418784677984, -32453.48529506824 6572956.247027703 30.30441862821579, -32454.10189384676 6572956.130238202 30.342418292939662, -32455.554317752947 6572955.870928853 30.313417488276958, -32457.20465397695 6572955.571623763 30.324416564404967, -32457.287771878997 6572955.560691572 30.32541651970148, -32458.955255717272 6572955.263787126 30.332415588378908, -32459.026942153927 6572955.2512550345 30.333415551126002, -32459.117324585095 6572955.230056989 30.39841549897194, -32460.360405869083 6572955.009145676 30.405414806067945, -32460.43209231901 6572954.99661361 30.405414768815042, -32460.93961323204 6572954.909689154 30.40841448569298, -32460.964024974965 6572954.90182318 30.40841447079182, -32461.5073891544 6572954.808632773 30.410414172768593, -32461.878801728715 6572954.736506645 30.412413964152336, -32462.33904801996 6572954.654248443 30.415413703382015, -32462.79929433961 6572954.571990298 30.417413450062277, -32462.835137576563 6572954.565724288 30.417413435161116, -32463.73693429504 6572954.409874099 30.422412928521634, -32464.04809198575 6572954.351880137 30.42441275715828, -32464.34055367636 6572954.30255213 30.425412593245508, -32464.681838895194 6572954.237492239 30.42741240698099, -32465.063134336495 6572954.178032236 30.429412190914153, -32465.10624211328 6572954.16150036 30.42941216856241, -32465.919205369777 6572954.015782724 30.433411721527577, -32466.773727716645 6572953.864599262 30.438411244690418, -32467.849025469623 6572953.676620176 30.443410641193392)</t>
  </si>
  <si>
    <t>POINT (-32457.976331732138 6572955.443722009)</t>
  </si>
  <si>
    <t>['FV441 S2D1 m7023-7068']</t>
  </si>
  <si>
    <t>LINESTRING Z (-32327.76460930903 6572968.298463004 30.57149325323105, -32328.417706293054 6572967.83573698 30.577493044614794, -32329.08943691023 6572967.400878322 30.582492813646795, -32329.47896263399 6572967.169158214 30.585492672085763, -32329.776984604774 6572966.991618515 30.587492560327053, -32330.48107778991 6572966.611044678 30.591492284655573, -32330.752973588882 6572966.477473803 30.593492172896863, -32330.864727460546 6572966.422100226 30.59349212819338, -32330.966949403286 6572966.371908824 30.594492083489897, -32331.198809721507 6572966.2578872675 30.595491986632346, -32331.823962545954 6572965.981976939 30.598491710960865, -32331.93099900079 6572965.934234433 30.59849166625738, -32332.67455850751 6572965.640814578 30.600491323530676, -32332.79866777081 6572965.593606294 30.60049126392603, -32333.769938938785 6572965.232117851 30.601490809440612, -32334.46811423602 6572964.972871229 30.602490481615067, -32335.21849312901 6572964.693159581 30.601490131437778, -32336.142916363897 6572964.348591181 30.600489699304106, -32337.174653535243 6572963.964362268 30.598489215016365, -32337.67281799647 6572963.77870643 30.59748898404837, -32338.958857772406 6572963.299603086 30.592488380551337, -32339.74673308991 6572963.006155578 30.59048800802231, -32341.029685764224 6572962.527780633 30.58348740452528, -32342.347956518875 6572962.037487416 30.57848678612709, -32343.229708138737 6572961.7082018275 30.57348637634516, -32344.018582458957 6572961.4148444915 30.566486003816127, -32344.68352788675 6572961.166697485 30.562485690891744, -32344.963887194404 6572961.062090028 30.558485564231873, -32345.121226393967 6572961.003782075 30.556485489726068, -32345.39949755848 6572960.89999322 30.552485355615616, -32347.958049432607 6572959.946607822 30.38648415607214, -32355.999408021336 6572956.9512782125 30.26848038607836, -32356.10672196641 6572956.9116177 30.266480333924296, -32356.33396890899 6572956.826386085 30.262480229616166, -32357.880485739443 6572956.250951323 30.23647950690985, -32358.518285364262 6572956.013446079 30.232479208886623, -32359.18005355436 6572955.7670264095 30.22747889596224, -32359.611577865784 6572955.605567786 30.22347869479656, -32359.76682893862 6572955.54807842 30.222478620290758, -32360.11419617082 6572955.426356692 30.219478456377985, -32360.479267535033 6572955.298176337 30.21647827756405, -32360.719688479672 6572955.223198159 30.21547815835476, -32360.933053740766 6572955.157862813 30.213478054046632, -32361.196263895254 6572955.075877974 30.21147791993618, -32361.23657685716 6572955.064410652 30.211477905035018, -32361.270715574967 6572955.054400156 30.211477882683276, -32361.857067651697 6572954.884762828 30.216477584660055, -32362.031847342965 6572954.834072119 30.218477502703667, -32362.636722154915 6572954.660064315 30.225477189779284, -32363.077257997706 6572954.532654215 30.231476966261866, -32363.429904506193 6572954.430544375 30.23647679489851, -32363.767025216832 6572954.333075582 30.241476623535156, -32364.38333973603 6572954.155064955 30.251476310610773, -32364.40404080064 6572954.148876897 30.25147629570961, -32364.993480013683 6572953.978511153 30.261475997686386, -32365.120593147585 6572953.942652355 30.263475938081744, -32365.883813083055 6572953.721505705 30.27847555065155, -32366.534266332397 6572953.533484573 30.291475215375424, -32366.763795626466 6572953.467594283 30.295475103616717, -32367.600378089468 6572953.225878593 30.31347467893362, -32367.77207066689 6572953.175916289 30.318474589526655, -32368.486625077087 6572952.969511362 30.334474231898785, -32368.818570535164 6572952.8735895725 30.34347406053543, -32369.394572114805 6572952.707046253 30.357473769962787, -32369.770916640176 6572952.599018915 30.367473576247694)</t>
  </si>
  <si>
    <t>POINT (-32348.522069233106 6572959.855707731)</t>
  </si>
  <si>
    <t>['EV39 S100D1 m5521-5611']</t>
  </si>
  <si>
    <t>LINESTRING Z (-32528.512725104345 6572156.181591375 18.873731351435186, -32527.71615120559 6572156.792206993 18.849731582403184, -32524.52676100377 6572159.2568027815 18.759732498824597, -32520.539254526608 6572162.343083876 18.65773364621401, -32516.550205701496 6572165.440434661 18.56473479360342, -32512.561163052218 6572168.537789239 18.483735940992833, -32508.582011944847 6572171.647813482 18.413737073481084, -32504.601318537607 6572174.768907399 18.352738198518754, -32500.977458341164 6572178.255848616 18.28473893612623, -32497.3619410143 6572181.766524631 18.22073965138197, -32493.756315023173 6572185.28986951 18.162740359187126, -32490.16629725753 6572188.826683189 18.108741052091123, -32486.584622367984 6572192.387231567 18.060741730093955, -32483.022724143346 6572195.973114515 18.016742385745047, -32479.84207379876 6572199.916975797 17.941742631614208, -32478.491564361844 6572201.612192879 17.909742728471755, -32476.679651207523 6572203.897236814 17.848742855131626, -32474.171226853505 6572207.077687453 17.76574301159382, -32473.54581843817 6572207.881499727 17.744743048846722, -32470.437478601234 6572211.891896292 17.647743227660655, -32469.19964669796 6572213.490055913 17.6097432872653, -32467.357728425646 6572215.906294625 17.554743376672267, -32464.303471047664 6572219.946826481 17.46674349588156)</t>
  </si>
  <si>
    <t>POINT (-32494.603310913873 6572186.2603599485)</t>
  </si>
  <si>
    <t>['EV39 S100D1 m4152-4237']</t>
  </si>
  <si>
    <t>LINESTRING Z (-32519.24347639177 6572207.258279228 17.404714237451554, -32516.022177720442 6572211.117450387 17.23871455037594, -32512.822203471093 6572214.99088975 17.071714840948584, -32509.645102104172 6572218.867531371 16.903715116620063, -32506.49504189007 6572222.759241073 16.735715369939804, -32503.366305914242 6572226.665218817 16.566715600907802, -32502.784484501695 6572227.407430911 16.534715638160705, -32500.26877930446 6572230.598130404 16.426715802073478, -32498.207821458345 6572232.746771774 16.371716144800185, -32496.83420782222 6572234.190532454 16.335716368317605, -32493.425129198004 6572237.809068851 16.249716912209987, -32492.746124857105 6572238.537682789 16.233717016518117, -32490.03582657478 6572241.452939564 16.16871742630005, -32487.34685069963 6572244.382463757 16.10771782118082, -32486.673565203906 6572245.111878597 16.09371791803837, -32483.336796568008 6572248.796951781 16.022718379974364, -32482.004281998496 6572250.280314455 15.995718558788301, -32480.019803824136 6572252.5073591005 15.95671881955862, -32476.271678865654 6572255.841528223 15.941719706177711, -32472.550595460925 6572259.190766236 15.931720562994482, -32470.32483198063 6572261.226095476 15.92772106963396, -32468.84202314506 6572262.5756050125 15.926721397459506, -32465.157395508955 6572265.997644364 15.926722209572791, -32464.421709431102 6572266.6731998855 15.926722366034983, -32463.072892406955 6572267.939916729 15.92872265660763, -32461.488375805668 6572269.433152557 15.930722999334336)</t>
  </si>
  <si>
    <t>POINT (-32491.29833858019 6572239.224190493)</t>
  </si>
  <si>
    <t>['EV39 S100D1 m3009 KD2 m437-527']</t>
  </si>
  <si>
    <t>LINESTRING Z (-32342.35025996575 6573145.015286862 13.035404338002206, -32340.962396010058 6573149.544896189 13.026403183162213, -32339.484990277677 6573154.363521783 13.016401953816414, -32338.008583351504 6573159.182237442 13.006400724470616, -32336.53108708642 6573164.001861755 12.996399487674237, -32335.05467981717 6573168.820577153 12.986398258328437, -32333.57727339829 6573173.639202233 12.976397028982639, -32333.488730709534 6573173.928308771 12.975396954476833, -32332.562788515934 6573178.5509840315 12.952395464360714, -32331.578002191964 6573183.468468376 12.927393877387047, -32330.5922166995 6573188.385862435 12.902392282962799, -32329.60742999229 6573193.303346598 12.877390695989131, -32328.621644115774 6573198.220740479 12.852389109015466, -32327.636857024976 6573203.138224456 12.827387522041798, -32327.57801301789 6573203.433033601 12.82538742518425, -32327.113992421888 6573208.148775114 12.788385592341424, -32326.61982738145 6573213.164938168 12.747383647739888, -32326.12675130018 6573218.180192385 12.708381703138352, -32325.6335848202 6573223.196445528 12.668379758536815, -32325.140418132185 6573228.212698615 12.62737781393528, -32324.64625225868 6573233.228861462 12.587375869333744, -32324.617106924765 6573233.5293732295 12.585375750124454)</t>
  </si>
  <si>
    <t>POINT (-32331.518339325485 6573188.878586795)</t>
  </si>
  <si>
    <t>['RV13 S1D1 m1288-1378']</t>
  </si>
  <si>
    <t>LINESTRING Z (-31658.054358702386 6573110.68966641 -27.6271443952322, -31653.12878586608 6573109.617690154 -27.83414077425003, -31651.155745634343 6573109.183995785 -27.916139328837396, -31648.395990224788 6573108.58394431 -28.02813730227947, -31648.197495992994 6573108.544921627 -28.036137153267862, -31643.264658013242 6573107.483225665 -28.23213353228569, -31642.27527956548 6573107.265981575 -28.270132809579373, -31638.32610302139 6573106.420737458 -28.42212991130352, -31633.378738036146 6573105.379589168 -28.606126290321352, -31628.42410961585 6573104.348714755 -28.78512266933918, -31624.40735569049 6573103.945329337 -28.9411199349761, -31623.408227022737 6573103.839549658 -28.979119249522686, -31618.389251443907 6573103.352523352 -29.174115829706192, -31615.37579512631 6573103.066790665 -29.29111378079653, -31613.36301394191 6573102.875771067 -29.36911241734028, -31608.33059076767 6573102.443289752 -29.563109012424945, -31606.31626319152 6573102.263339975 -29.641107656419276, -31603.296621300746 6573102.021881199 -29.758105622410774, -31598.250750968233 6573101.643944951 -29.953102232396603, -31597.233065659297 6573101.670965102 -29.99910159909725, -31593.166494144243 6573101.790913163 -30.18609906589985, -31590.97062144766 6573101.867656553 -30.289097702443602, -31588.087484420394 6573101.983749771 -30.44309591430426, -31587.073968866025 6573102.022637365 -30.497095288455487, -31583.01526831009 6573102.211388668 -30.715092785060406, -31579.970083914115 6573102.361254518 -30.878090914964677, -31577.944130483083 6573102.473031165 -30.987089678168296, -31572.88395565981 6573102.781340624 -31.25808658617735, -31567.824859398883 6573103.1236536335 -31.530083523988726)</t>
  </si>
  <si>
    <t>POINT (-31613.153137847006 6573104.223054932)</t>
  </si>
  <si>
    <t>2020-08-06</t>
  </si>
  <si>
    <t>[3134]</t>
  </si>
  <si>
    <t>['FV3134 S2D1 m698-729']</t>
  </si>
  <si>
    <t>LINESTRING Z (232639.71 6584851.44 39.653914, 232638.57 6584853.15 39.493912, 232636.66 6584857.18 39.303906, 232635.67 6584861.4 39.153901, 232635.14 6584866.68 38.993894, 232634.69 6584871.92 38.793888, 232634.48 6584874.88 38.683885, 232633.43 6584880.61 38.603878, 232633.14 6584886.74 38.583871, 232632.84 6584890.36 38.543866, 232632.82 6584892.9 38.503863, 232632.81 6584895.56 38.50386, 232634.96 6584885.36 38.683873, 232637.16 6584873.28 38.963888, 232639.35 6584860.55 39.363904, 232640.91 6584850.64 39.743916, 232639.71 6584851.44 39.653914)</t>
  </si>
  <si>
    <t>POLYGON Z ((232639.71 6584851.44 39.653914, 232638.57 6584853.15 39.493912, 232636.66 6584857.18 39.303906, 232635.67 6584861.4 39.153901, 232635.14 6584866.68 38.993894, 232634.69 6584871.92 38.793888, 232634.48 6584874.88 38.683885, 232633.43 6584880.61 38.603878, 232633.14 6584886.74 38.583871, 232632.84 6584890.36 38.543866, 232632.82 6584892.9 38.503863, 232632.81 6584895.56 38.50386, 232634.96 6584885.36 38.683873, 232637.16 6584873.28 38.963888, 232639.35 6584860.55 39.363904, 232640.91 6584850.64 39.743916, 232639.71 6584851.44 39.653914))</t>
  </si>
  <si>
    <t>2020-01-30</t>
  </si>
  <si>
    <t>['FV3134 S2D1 m702-740']</t>
  </si>
  <si>
    <t>LINESTRING Z (232648.64 6584856.46 39.4239142203331, 232646.41 6584864.28 39.223904035389424, 232643.82 6584873.87 39.04389164507389, 232641.71 6584883.5 38.9638795080781, 232639.52 6584893.19 38.86386725187302, 232643.45 6584894.52 38.55386821299791, 232643.54 6584892.53 38.74387050777674, 232645.14 6584884.56 38.903880461752415, 232647.15 6584874.48 38.933893038332464, 232648.29 6584864.49 39.17390497416258, 232649.19 6584856.65 39.39391434699297, 232648.64 6584856.46 39.4239142203331)</t>
  </si>
  <si>
    <t>POLYGON Z ((232648.64 6584856.46 39.4239142203331, 232646.41 6584864.28 39.223904035389424, 232643.82 6584873.87 39.04389164507389, 232641.71 6584883.5 38.9638795080781, 232639.52 6584893.19 38.86386725187302, 232643.45 6584894.52 38.55386821299791, 232643.54 6584892.53 38.74387050777674, 232645.14 6584884.56 38.903880461752415, 232647.15 6584874.48 38.933893038332464, 232648.29 6584864.49 39.17390497416258, 232649.19 6584856.65 39.39391434699297, 232648.64 6584856.46 39.4239142203331))</t>
  </si>
  <si>
    <t>2025-11-22T09:20:20Z</t>
  </si>
  <si>
    <t>[5170]</t>
  </si>
  <si>
    <t>['FV5170 S1D1 m1359-1429']</t>
  </si>
  <si>
    <t>LINESTRING Z (-35514.74338459 6724608.4640319 50.56, -35511.9701707045 6724606.96123163 50.62, -35509.137307851 6724605.00980535 50.48, -35505.512421396 6724603.34846161 50.46, -35501.4367998376 6724602.20988312 50.45, -35499.4829045729 6724601.7691394 50.54, -35498.5236808558 6724600.80506659 50.37, -35497.2893586757 6724599.76544966 50.37, -35492.6094445633 6724596.42622718 50.5, -35487.1990516073 6724592.26473646 50.45, -35483.9724265708 6724589.77366628 50.26, -35477.8377453371 6724585.05234486 50.22, -35474.0185077287 6724581.99335443 50.27, -35467.7707154338 6724575.20700368 50.24, -35461.1635570459 6724568.05538094 50.21, -35458.6626953483 6724565.22787571 50.1, -35466.2461670665 6724572.16671838 50.04, -35472.2998879348 6724577.11228161 50.04, -35478.62969177 6724582.01261628 50.1, -35485.1757893971 6724586.64066627 50.18, -35491.4294152714 6724591.382949 50.26, -35497.7149048105 6724595.99721401 50.34, -35514.6343583486 6724608.55477027 50.56, -35514.74338459 6724608.4640319 50.56)</t>
  </si>
  <si>
    <t>2020-07-28</t>
  </si>
  <si>
    <t>['FV810 S1D1 m462-561']</t>
  </si>
  <si>
    <t>LINESTRING Z (462355.63640567265 7356820.8797766 21.94, 462356.4066344486 7356822.193153646 21.93, 462357.3701394663 7356823.924837383 21.900000000000002, 462358.10110398784 7356825.328496431 21.87, 462358.9139525748 7356826.971416143 21.830000000000002, 462359.6152491977 7356828.415298177 21.82, 462360.24593588815 7356829.779772861 21.79, 462360.7850622652 7356830.9450500775 21.77, 462361.5884742895 7356832.658020458 21.75, 462362.1782189497 7356833.90286481 21.71, 462362.8496079936 7356835.356982345 21.650000000000002, 462363.56145970646 7356836.870755256 21.69, 462364.40525450866 7356838.633385184 21.67, 462365.07664355566 7356840.087502716 21.63, 462366.12347074784 7356842.238371958 21.580000000000002, 462366.8043762574 7356843.632434639 21.57, 462367.4033178069 7356844.777240831 21.580000000000002, 462367.7179021616 7356845.364517822 21.57, 462368.3153257214 7356846.319403325 21.53, 462369.50857495697 7356848.029257817 21.53, 462370.1354267348 7356848.913932857 21.51, 462370.86183729797 7356849.747829827 21.5, 462371.5782520356 7356850.581806687 21.48, 462375.36184012296 7356854.950009612 21.37, 462377.33923783957 7356857.213398571 21.29, 462379.0340360339 7356859.139166495 21.26, 462380.98152616934 7356861.412790954 21.22, 462383.23168737406 7356864.033872473 21.17, 462384.7146557691 7356865.721418354 21.16, 462386.21809518157 7356867.468779396 21.09, 462387.73153042025 7356869.21606054 21.09, 462389.6483939273 7356871.409958055 21.03, 462391.0709080043 7356873.038008334 21, 462393.0889281834 7356875.3810442835 20.95, 462394.4207607821 7356876.919851177 20.92, 462395.82280384307 7356878.488086286 20.89, 462397.26578893914 7356880.17595172 20.84, 462399.041512476 7356882.221030352 20.81, 462400.35287405865 7356883.7000220725 20.75, 462401.6344878485 7356885.209240951 20.740000000000002, 462402.3399480313 7356885.923347772 20.72, 462403.0752359015 7356886.617223259 20.71, 462403.84027156455 7356887.280871589 20.68, 462404.97762949776 7356888.251434409 20.650000000000002, 462406.2459717894 7356889.3509043325 20.63, 462406.4271749588 7356889.509399438 20.63, 462407.99691000825 7356890.796393208 20.61, 462409.23486535077 7356891.846123683 20.580000000000002, 462410.37182381045 7356892.76670737 20.55, 462411.77059119835 7356893.92511361 20.52, 462413.1795142003 7356895.103431607 20.47, 462414.98083101667 7356896.598500122 20.46, 462416.1883994088 7356897.59849115 20.42, 462416.8729092058 7356898.192807843 20.37, 462418.6337633523 7356899.628220985 20.22)</t>
  </si>
  <si>
    <t>POINT (462383.9944001001 7356862.682436435)</t>
  </si>
  <si>
    <t>['FV810 S1D1 m462-553']</t>
  </si>
  <si>
    <t>LINESTRING Z (462364.1558415151 7356816.183319968 21.36, 462364.9760494124 7356817.496297541 21.36, 462365.81568970304 7356818.739144541 21.32, 462366.43270543055 7356819.643891137 21.3, 462367.0588381487 7356820.438603756 21.29, 462367.8257113674 7356821.332156117 21.25, 462368.6727109797 7356822.245060972 21.23, 462370.0833117453 7356823.633291388 21.18, 462372.4617408661 7356826.043422003 21.11, 462374.0738560269 7356827.62997105 21.07, 462375.292938223 7356828.819802931 21.04, 462376.34065328917 7356829.831068155 21.01, 462377.8421752148 7356831.33852942 20.96, 462377.91262535896 7356831.397945114 20.95, 462379.4944334659 7356832.944750523 20.91, 462380.1402382601 7356833.6993200425 20.91, 462381.1697193466 7356834.930653212 20.88, 462383.3792580572 7356837.472087734 20.82, 462385.1251538719 7356839.537397759 20.78, 462387.2740784774 7356841.999345032 20.75, 462389.4233226605 7356844.501275602 20.66, 462390.99713229877 7356846.298056523 20.62, 462392.81339836563 7356848.412786399 20.54, 462394.19560954085 7356850.001172971 20.54, 462396.0824855415 7356852.195310182 20.490000000000002, 462397.88859599613 7356854.290128286 20.400000000000002, 462399.5736380255 7356856.245963563 20.39, 462401.3393657079 7356858.2911221115 20.35, 462402.75180404435 7356859.90925646 20.32, 462404.880896794 7356862.391355124 20.21, 462406.9694469825 7356864.803802581 20.21, 462409.5628217868 7356867.8419923205 20.18, 462411.59075786977 7356870.17495253 20.09, 462412.17578877154 7356870.830043135 20.06, 462414.48016348016 7356873.980503871 19.91, 462416.9363930374 7356877.3696659915 19.86, 462419.06876146514 7356880.261593458 19.64, 462420.695825911 7356882.467803691 19.830000000000002, 462421.7668881972 7356883.898733733 19.75)</t>
  </si>
  <si>
    <t>POINT (462393.4402100301 7356849.610366588)</t>
  </si>
  <si>
    <t>2020-08-05</t>
  </si>
  <si>
    <t>2025-11-22T09:20:26Z</t>
  </si>
  <si>
    <t>[3242]</t>
  </si>
  <si>
    <t>['FV3242 S1D1 m2209-2233']</t>
  </si>
  <si>
    <t>LINESTRING (234530.2685000219 6604187.44615164, 234535.55674945918 6604164.155866789)</t>
  </si>
  <si>
    <t>2020-09-04</t>
  </si>
  <si>
    <t>2025-11-22T09:20:33Z</t>
  </si>
  <si>
    <t>['FV4668 S2D1 m9801-9827']</t>
  </si>
  <si>
    <t>LINESTRING (7109.285510316433 6576387.529690053, 7113.4667799852905 6576363.367170681)</t>
  </si>
  <si>
    <t>POINT (7111.376145150863 6576375.448430367)</t>
  </si>
  <si>
    <t>['FV4668 S1D1 m5846-5877']</t>
  </si>
  <si>
    <t>LINESTRING Z (2901.580379100342 6585368.40151338 375.403, 2883.6512651449884 6585393.544165713 374.091)</t>
  </si>
  <si>
    <t>POINT (2892.615822122665 6585380.972839546)</t>
  </si>
  <si>
    <t>['FV4668 S1D1 m5094-5124']</t>
  </si>
  <si>
    <t>LINESTRING Z (2543.638690173044 6586005.925247031 333.133, 2525.8423181601684 6586030.005508527 331.277)</t>
  </si>
  <si>
    <t>POINT (2534.740504166606 6586017.96537778)</t>
  </si>
  <si>
    <t>['FV4668 S1D1 m4656-4677']</t>
  </si>
  <si>
    <t>LINESTRING (2293.9290995094925 6586340.232330097, 2313.822128439613 6586332.034328053)</t>
  </si>
  <si>
    <t>POINT (2303.875613974553 6586336.133329075)</t>
  </si>
  <si>
    <t>['FV4668 S1D1 m2543-2576']</t>
  </si>
  <si>
    <t>LINESTRING (1352.9151566696237 6586801.816875613, 1374.0682257523877 6586826.785245418)</t>
  </si>
  <si>
    <t>POINT (1363.4916912110057 6586814.301060515)</t>
  </si>
  <si>
    <t>2020-09-16</t>
  </si>
  <si>
    <t>[4678]</t>
  </si>
  <si>
    <t>['FV4678 S1D1 m4672-4691']</t>
  </si>
  <si>
    <t>LINESTRING (-7378.092903511017 6596215.599376769, -7374.399674922635 6596233.833515331)</t>
  </si>
  <si>
    <t>POINT (-7376.246289216827 6596224.7164460495)</t>
  </si>
  <si>
    <t>['FV4662 S1D1 m1313-1325']</t>
  </si>
  <si>
    <t>LINESTRING (-13935.912872595189 6583427.93136014, -13928.689570720599 6583436.43013202)</t>
  </si>
  <si>
    <t>POINT (-13932.301221657894 6583432.18074608)</t>
  </si>
  <si>
    <t>['FV4662 S1D1 m1122-1155']</t>
  </si>
  <si>
    <t>LINESTRING (-14035.536818622728 6583267.254050573, -14029.08056685375 6583279.27577642, -14021.223244871479 6583293.59366754)</t>
  </si>
  <si>
    <t>POINT (-14028.40962182998 6583280.439923459)</t>
  </si>
  <si>
    <t>['FV4662 S1D1 m467-481']</t>
  </si>
  <si>
    <t>LINESTRING (-14564.418830491893 6583036.850264204, -14553.491014902072 6583046.245125418)</t>
  </si>
  <si>
    <t>POINT (-14558.954922696983 6583041.54769481)</t>
  </si>
  <si>
    <t>[4644]</t>
  </si>
  <si>
    <t>['FV4644 S1D1 m3463-3473']</t>
  </si>
  <si>
    <t>LINESTRING (-10204.49082124856 6577752.825084431, -10198.851642940426 6577760.000770151)</t>
  </si>
  <si>
    <t>POINT (-10201.671232094493 6577756.41292729)</t>
  </si>
  <si>
    <t>2020-10-02</t>
  </si>
  <si>
    <t>['FV1496 S2D1 m1071-1116']</t>
  </si>
  <si>
    <t>LINESTRING Z (279687.375272377 6659233.78080785 -999999, 279719.222503676 6659265.71903124 -999999)</t>
  </si>
  <si>
    <t>POINT (279703.2988880265 6659249.749919545)</t>
  </si>
  <si>
    <t>2020-10-15</t>
  </si>
  <si>
    <t>[253]</t>
  </si>
  <si>
    <t>['FV253 S1D1 m6891-6972']</t>
  </si>
  <si>
    <t>LINESTRING Z (252153.6771848299 6788748.962507097 135.92000000000002, 252152.91883056227 6788747.273695949 135.94, 252151.64830430978 6788744.4964650115 136.01, 252150.39770758603 6788741.717400077 136.06, 252149.62101399238 6788739.82929405 136.09, 252148.68965482025 6788737.352473308 136.14000000000001, 252147.35958918775 6788733.16379506 136.2, 252146.04853619265 6788728.963318043 136.28, 252145.67574874996 6788727.751531474 136.28, 252145.34098634007 6788726.516147538 136.27, 252143.21264975416 6788719.768057354 136.29, 252141.13529798682 6788713.246405076 136.31, 252139.22337180062 6788707.211986017 136.32, 252137.64229638875 6788702.1520336615 136.33, 252136.92502606835 6788699.926838056 136.36, 252136.58787869939 6788698.993147099 136.37, 252133.900362776 6788690.427375833 136.39000000000001, 252133.02567635736 6788687.583571057 136.35, 252131.87051462976 6788683.439091824 136.35, 252130.849845137 6788679.664103042 136.34, 252129.8871302693 6788675.863682927 136.35, 252128.84274177183 6788671.940139866 136.4)</t>
  </si>
  <si>
    <t>POINT (252140.47734985568 6788710.722436715)</t>
  </si>
  <si>
    <t>2020-11-13</t>
  </si>
  <si>
    <t>['FV420 S2D1 m1869-1895']</t>
  </si>
  <si>
    <t>LINESTRING Z (136391.76 6497331.89 27.75, 136392.85 6497327.49 27.72, 136393.77 6497323.29 27.71, 136394.56 6497318.92 27.66, 136395.16 6497315.11 27.63, 136395.3 6497314 27.650000000000002, 136396.45 6497306.35 27.69)</t>
  </si>
  <si>
    <t>POINT (136394.35715066083 6497319.16860282)</t>
  </si>
  <si>
    <t>['FV420 S2D1 m1867-1894']</t>
  </si>
  <si>
    <t>LINESTRING Z (136400.224 6497335.706 28.080000000000002, 136400.773 6497334.541 28.03, 136402.005 6497332.58 28.02, 136402.795 6497331.292 27.97, 136403.191 6497330.321 27.97, 136403.449 6497329.283 27.98, 136403.987 6497324.84 27.95, 136404.547 6497320.4350000005 27.900000000000002, 136404.676 6497318.614 27.87, 136404.487 6497316.619 27.85, 136404.2 6497313.075 27.82, 136403.83299999998 6497308.985 27.740000000000002)</t>
  </si>
  <si>
    <t>POINT (136403.59252040373 6497322.649998008)</t>
  </si>
  <si>
    <t>2020-12-17</t>
  </si>
  <si>
    <t>['FV410 S5D1 m5081-5145']</t>
  </si>
  <si>
    <t>LINESTRING Z (139538.5067210048 6498159.182845822 2.890041945129633, 139538.50865629944 6498159.202775859 2.8900419265031814, 139538.53826280957 6498159.300490756 2.8900417774915694, 139538.568836967 6498159.408170671 2.8900416135787963, 139538.58364022226 6498159.45702812 2.8900415390729903, 139538.59844347736 6498159.5058855675 2.890041460841894, 139538.61905261624 6498159.614533133 2.890041323006153, 139538.6486591266 6498159.712248028 2.890041170269251, 139538.66443002917 6498159.771070496 2.890041084587574, 139538.66926826548 6498159.820895591 2.8900410324335097, 139538.6988747763 6498159.918610488 2.8900408796966075, 139538.71948391525 6498160.027258051 2.8900407455861568, 139538.735254818 6498160.086080519 2.89004065990448, 139538.73622246535 6498160.096045537 2.8900406450033187, 139538.73912540713 6498160.125940594 2.8900406152009963, 139538.7687319183 6498160.223655491 2.8900404661893844, 139538.78934105742 6498160.332303054 2.890040324628353, 139538.80607960786 6498160.401090542 2.8900402314960956, 139538.80801490258 6498160.421020581 2.8900402091443538, 139538.8089825497 6498160.430985596 2.890040201693773, 139538.8128531389 6498160.470845674 2.89004016071558, 139538.829591689 6498160.539633159 2.890040060132742, 139538.84923318162 6498160.638315703 2.8900399334728717, 139538.85600671277 6498160.708070836 2.8900398589670657, 139538.8569743599 6498160.718035855 2.890039851516485, 139538.86887467408 6498160.73699825 2.8900398068130015, 139538.86984232126 6498160.746963265 2.8900397956371306, 139538.87951879454 6498160.8466134565 2.8900396950542926, 139538.89016291534 6498160.956228666 2.8900395795702933, 139538.91077205533 6498161.064876229 2.8900394417345523, 139538.92044852907 6498161.164526418 2.8900393337011336, 139538.940090022 6498161.263208961 2.890039210766554, 139538.94105766952 6498161.273173983 2.890039199590683, 139538.95073414332 6498161.372824172 2.8900390952825545, 139538.97037563619 6498161.471506714 2.8900389686226844, 139538.97231093107 6498161.491436754 2.8900389462709426, 139539.00646713562 6498161.739594584 2.89003866314888, 139539.03549655882 6498162.038545155 2.890038350224495, 139539.05456096394 6498162.338463374 2.890038063377142, 139539.0765283121 6498162.668276648 2.8900377467274665, 139539.07275973813 6498162.9402351035 2.8900375343859195, 139539.07566268044 6498162.970130158 2.890037504583597, 139539.0808914792 6498163.231155952 2.8900372847914695, 139539.0736428777 6498163.674455026 2.890036942064762, 139539.07141903957 6498163.755142827 2.8900368861854075, 139539.04347679677 6498164.814049245 2.890036103874445, 139539.049282683 6498164.873839359 2.8900360442698, 139539.02549958345 6498165.871988016 2.8900352992117404, 139539.01022126968 6498166.33618478 2.8900349639356135, 139538.99939062953 6498166.639005939 2.8900347478687762, 139539.0036517888 6498166.890066709 2.8900345392525195, 139538.9965897135 6498166.920929417 2.890034531801939, 139538.98324670002 6498167.405056216 2.8900341741740703, 139538.98170197348 6498167.596326873 2.8900340251624583, 139538.96864750172 6498167.979835835 2.8900337494909762, 139538.9722295549 6498168.120313749 2.8900336265563964, 139538.9601427333 6498168.51378773 2.8900333434343337, 139538.9516379675 6498169.047739625 2.890032933652401, 139538.93123288895 6498169.5627291305 2.890032572299242, 139538.93366079562 6498170.105678396 2.8900321289896964, 139538.96647637727 6498171.1687439475 2.8900311939418315, 139539.04814941582 6498172.217006235 2.8900301545858382, 139539.16416518367 6498173.100989977 2.8900291599333285, 139539.18961257813 6498173.25946263 2.8900289699435233, 139539.23760442296 6498173.546512887 2.8900286197662353, 139539.27785507968 6498173.753842984 2.890028355270624, 139539.33387664717 6498174.019995549 2.890028005093336, 139539.38893056678 6498174.276183095 2.8900276623666286, 139539.38989821548 6498174.286148114 2.8900276511907577, 139539.39086586394 6498174.296113134 2.890027643740177, 139539.62230274803 6498175.229242847 2.890026321262121, 139539.64000895643 6498175.307995348 2.8900262132287025, 139539.640976605 6498175.317960368 2.890026205778122, 139539.6705831298 6498175.415675262 2.8900260530412196, 139539.77614126372 6498175.777607418 2.8900255016982555, 139539.77710891218 6498175.787572435 2.8900254905223846, 139539.77807656117 6498175.797537454 2.8900254793465137, 139539.9399448008 6498176.325004338 2.8900246560573577, 139539.94091244938 6498176.334969357 2.890024648606777, 139540.23988065362 6498177.342013317 2.8900231026113032, 139540.53884886677 6498178.349057278 2.8900215566158294, 139540.54978153447 6498178.358054646 2.8900215230882167, 139540.847782107 6498179.355133577 2.8900199845433234, 139541.1467503372 6498180.362177526 2.89001844227314, 139541.1477179863 6498180.372142543 2.8900184273719787, 139541.44571857568 6498181.369221464 2.8900168925523757, 139541.75465184177 6498182.375297749 2.8900153204798698, 139541.78425837227 6498182.473012639 2.890015171468258, 139542.02304591722 6498183.274661773 2.890013938397169, 139542.05265244824 6498183.372376661 2.890013785660267, 139542.05362009752 6498183.382341676 2.890013778209686, 139542.3516207125 6498184.379420583 2.8900122359395026, 139542.35258836247 6498184.389385605 2.890012228488922, 139542.6505889856 6498185.386464501 2.8900106899440288, 139542.78575368365 6498185.846111527 2.8900099858641624, 139542.79571870196 6498185.845143876 2.8900099635124206, 139542.90417981707 6498186.236971067 2.8900093786418437, 139542.91898308403 6498186.28582851 2.8900093041360377, 139542.94858961762 6498186.383543398 2.890009155124426, 139542.9495572672 6498186.393508416 2.8900091402232646, 139543.2575229262 6498187.389619653 2.89000758305192, 139543.555523575 6498188.3866985375 2.8900060445070266, 139543.55649122462 6498188.396663554 2.8900060333311557, 139543.85352423228 6498189.383777415 2.8900045059621333, 139544.1524925481 6498190.390821305 2.8900029599666595, 139544.45049322204 6498191.38790017 2.890001421421766, 139544.46239354077 6498191.406862559 2.8900013767182826, 139544.71888736612 6498192.28726415 2.890000035613775, 139544.7198550165 6498192.297229169 2.8900000244379043, 139544.74849390483 6498192.384979035 2.889999882876873, 139544.76039422362 6498192.403941419 2.8899998381733893, 139545.0474622461 6498193.392022905 2.889998336881399, 139545.3554279636 6498194.388134105 2.889996775984764, 139545.65342867188 6498195.3852129495 2.8899952337145804, 139545.7766930897 6498195.825897562 2.8899945743381976, 139545.95239703864 6498196.392256806 2.8899936877191066, 139546.23365919112 6498197.320548164 2.889992246031761, 139546.2365621428 6498197.350443217 2.8899922125041484, 139546.2503977638 6498197.3893356435 2.889992145448923, 139546.5493661479 6498198.396379488 2.889990599453449, 139546.75564430415 6498199.070418619 2.8899895451962947, 139546.85733190743 6498199.392490656 2.889989034831524, 139547.19422507862 6498200.375733854 2.8899874106049537, 139547.2080607002 6498200.414626274 2.8899873435497283, 139547.24859991454 6498200.521338519 2.8899871572852134, 139547.27336820512 6498200.569228306 2.8899870604276656, 139547.58994071442 6498201.343206121 2.8899856485426425, 139547.62854462722 6498201.4299883265 2.8899854883551597, 139547.74532401754 6498201.700299971 2.889984981715679, 139548.03354614426 6498202.285910085 2.889983793348074, 139548.54497140303 6498203.20191045 2.8899817928671836, 139548.93545816204 6498203.908356927 2.8899802543222903, 139549.06636168493 6498204.116943153 2.889979762583971, 139549.62567674037 6498205.008175211 2.8899776615202426, 139550.17502678273 6498205.900374909 2.8957104623317718, 139550.7343418472 6498206.791606946 2.8957093335688113, 139550.98424857936 6498207.189817002 2.895708830654621, 139551.23512296448 6498207.597992075 2.89570831656456, 139551.28272424708 6498207.673841608 2.895708219707012, 139551.30652488832 6498207.711766374 2.895708171278238, 139551.8311066511 6498208.55607626 2.8957071021199225, 139552.29618681397 6498209.305574222 2.8957061558961867, 139552.3794890602 6498209.438310907 2.8957059882581233, 139552.92787147325 6498210.320545539 2.8957048706710338, 139553.4762538912 6498211.202780167 2.8957037568092345, 139554.0236686616 6498212.075049768 2.8957026466727256, 139554.5710834362 6498212.9473193595 2.8957015439867972, 139555.1085331979 6498213.820556594 2.8957004375755786, 139555.65594798134 6498214.692826168 2.8956993348896503, 139556.1933977515 6498215.566063381 2.8956982284784316, 139556.72987987433 6498216.429335576 2.895697133243084, 139556.81318212574 6498216.562072245 2.89569696187973, 139557.07595685445 6498216.989209656 2.895696425437927, 139557.34869660082 6498217.415379408 2.8956958815455436, 139557.62337165338 6498217.861479197 2.895695315301418, 139557.81377680186 6498218.164877296 2.895694927871227, 139557.8832434279 6498218.258721549 2.8956948049366473)</t>
  </si>
  <si>
    <t>POINT (139545.23559503487 6498189.658991614)</t>
  </si>
  <si>
    <t>['FV410 S5D1 m4754-4828']</t>
  </si>
  <si>
    <t>LINESTRING Z (139682.50298783433 6498421.1679159235 -0.0420780256390572, 139678.61691235803 6498421.250598379 -0.042078536003828, 139674.40010705445 6498420.589138725 -0.0420777387917042, 139670.2659842075 6498419.596949245 -0.0420763455331326, 139667.45478067204 6498419.266219418 -0.0420760177075863, 139662.08042096958 6498419.100854505 -0.0420762300491333, 139637.6890961734 6498418.687442224 -0.0420778393745422, 139634.05106806743 6498419.01817205 -0.042078785598278, 139620.32578021515 6498420.837186106 -0.0420833677053452, 139617.18384685193 6498420.837186107 -0.0420836769044399)</t>
  </si>
  <si>
    <t>POINT (139649.86657752842 6498419.596105203)</t>
  </si>
  <si>
    <t>['FV410 S5D1 m4801-4838']</t>
  </si>
  <si>
    <t>LINESTRING Z (139678.27203574684 6498430.229586439 17.73542271345854, 139678.21127805242 6498430.225427461 17.735422750711443, 139678.15951769106 6498430.210335808 17.735422795414927, 139677.91551924247 6498430.183734896 17.725422948151827, 139677.86472655175 6498430.178608247 17.72542298167944, 139677.83386386902 6498430.171546256 17.72542300403118, 139677.38669465645 6498430.124438749 17.715423283427953, 139677.19348889694 6498430.102964482 17.705423410087825, 139677.02118081623 6498430.089519878 17.705423514395953, 139676.87973541813 6498430.083137265 17.695423596352338, 139676.83890773094 6498430.077042945 17.69542362242937, 139676.6257719625 6498430.057504022 17.69542375281453, 139676.49429156806 6498430.050153739 17.68542383477092, 139676.31298615312 6498430.047641811 17.685423927903177, 139676.25222845806 6498430.043482834 17.675423965156078, 139675.89861495985 6498430.027526301 17.665424166321756, 139675.82789226 6498430.0243349895 17.66542420729995, 139675.2441159946 6498430.0206698915 17.655424520224333, 139675.19429097377 6498430.0255082445 17.645424538850786, 139674.9133355149 6498430.0326730255 17.645424680411818, 139674.82268280623 6498430.031417061 17.63542472884059, 139674.79278779362 6498430.034320076 17.63542474374175, 139674.70213508478 6498430.033064111 17.635424788445235, 139674.24180954823 6498430.057646972 17.62542500451207, 139674.141191835 6498430.057358679 17.615425060391427, 139673.9119967369 6498430.079615114 17.615425160974265, 139673.82231169834 6498430.088324156 17.605425194501876, 139673.6120789369 6498430.09868024 17.605425295084714, 139673.30316380312 6498430.128678045 17.595425425469877, 139673.19354875543 6498430.139322425 17.59542547389865, 139672.94539131818 6498430.1734792115 17.585425570756197, 139672.81584626134 6498430.186058936 17.575425626635553, 139672.66733886645 6498430.210539004 17.575425678789617, 139672.50886646745 6498430.235986749 17.575425734668972, 139672.47897145414 6498430.238889761 17.56542574957013, 139672.29060404154 6498430.267240518 17.565425820350647, 139672.0324815972 6498430.30236497 17.555425917208193, 139671.80425416573 6498430.334586412 17.545426002889872, 139670.80262706586 6498430.482146219 17.51542638286948, 139670.56443462765 6498430.5153353335 17.51542647227645, 139670.3561372023 6498430.5456214305 17.505426550507547, 139669.79103495216 6498430.630673699 17.495426759123802, 139669.6425275535 6498430.655153774 17.48542681500316, 139668.90802021965 6498430.756656458 17.465427094399928, 139668.13462053263 6498430.871994828 17.44542738124728, 139667.33132582554 6498430.990236215 17.415427686721088, 139667.03431102133 6498431.039196364 17.405427791029215, 139666.33966369 6498431.136828367 17.385428055524827, 139665.88320880302 6498431.201271253 17.37542823061347, 139665.83435144927 6498431.216074613 17.37542823806405, 139665.82438644418 6498431.217042285 17.37542824551463, 139665.75463140907 6498431.223815984 17.375428275316953, 139665.33706886886 6498431.274423184 17.355428442955017, 139664.88961131166 6498431.327933395 17.345428621768953, 139664.8397862863 6498431.332771753 17.345428644120695, 139664.81985627598 6498431.334707094 17.345428651571275, 139664.4710810969 6498431.368575589 17.335428800582886, 139664.1412682556 6498431.390543737 17.3254289495945, 139664.12133824528 6498431.39247908 17.335428957045078, 139664.0416182038 6498431.400220449 17.33542899429798, 139663.89117545472 6498431.404770512 17.32542906880379, 139663.88121044962 6498431.405738185 17.32542907252908, 139663.87124544434 6498431.406705856 17.32542907997966, 139663.13992937776 6498431.43748584 17.305429430156945, 139663.12996437238 6498431.43845351 17.305429433882235, 139663.11999936734 6498431.439421184 17.295429437607527, 139663.11003436218 6498431.440388857 17.295429441332818, 139663.06920666952 6498431.434294535 17.29542947113514, 139663.0393116541 6498431.437197552 17.29542948231101, 139662.887901232 6498431.431782609 17.295429564267398, 139662.86797122157 6498431.43371795 17.29542957544327, 139662.6368407571 6498431.43604438 17.285429694652557, 139662.54618803813 6498431.434788418 17.28542974308133, 139662.52625802753 6498431.436723761 17.28542975053191, 139662.24433486455 6498431.433923542 17.275429903268815, 139662.2234371826 6498431.42589388 17.275429921895267, 139662.21347217733 6498431.4268615525 17.275429925620557, 139662.07299443078 6498431.430443941 17.26542999640107, 139662.05306442012 6498431.432379284 17.26543000385165, 139661.89168899163 6498431.427932013 17.26543009325862, 139661.87175898068 6498431.429867356 17.26543010443449, 139661.86082630407 6498431.420870022 17.26543011933565, 139661.61973083223 6498431.424164126 17.255430238544943, 139661.59883315023 6498431.416134461 17.255430260896684, 139661.5789031394 6498431.418069803 17.255430268347265, 139661.53904311755 6498431.421940491 17.255430283248426, 139661.5191131069 6498431.423875834 17.255430294424297, 139660.8835763937 6498431.405119082 17.235430644601585, 139660.8536813773 6498431.408022096 17.235430659502747, 139659.87643145764 6498431.392271154 17.205431188493968, 139659.85650144657 6498431.394206498 17.20543119594455, 139659.84653644095 6498431.395174166 17.20543119966984, 139659.1113496619 6498431.386094131 17.18543159455061, 139658.87925151817 6498431.378455555 17.17543172493577, 139658.84935650113 6498431.381358569 17.17543173611164, 139658.1340997264 6498431.370343188 17.155432123541832, 139658.11320204375 6498431.362313528 17.155432142168284, 139658.06337701512 6498431.367151883 17.155432164520025, 139658.03348199785 6498431.370054896 17.1454321756959, 139658.0125843149 6498431.362025232 17.14543219804764, 139657.91196658637 6498431.361736941 17.145432250201704, 139657.84124387475 6498431.358545635 17.145432287454607, 139657.8113488576 6498431.361448648 17.14543230235577, 139657.7107311288 6498431.3611603575 17.13543235823512, 139657.6101133995 6498431.360872063 17.135432410389186, 139657.50949567062 6498431.360583773 17.13543246254325, 139657.40887794108 6498431.360295476 17.135432514697314, 139657.30729254067 6498431.350042182 17.125432578027247, 139657.20667481126 6498431.349753888 17.12543263018131, 139657.10605708184 6498431.349465597 17.125432686060666, 139657.0960920761 6498431.350433269 17.125432689785956, 139657.06619705842 6498431.353336283 17.125432700961827, 139657.01540435827 6498431.3482096335 17.115432734489442, 139656.9147866285 6498431.347921343 17.115432786643506, 139656.86399392784 6498431.34279469 17.11543282017112, 139656.84406391607 6498431.3447300345 17.1154328276217, 139656.81416889856 6498431.347633046 17.11543283879757, 139656.7135511688 6498431.347344756 17.115432890951634, 139656.6428284566 6498431.344153451 17.105432935655116, 139656.6129334391 6498431.347056463 17.105432946830987, 139656.60296843323 6498431.348024136 17.105432950556278, 139656.51134803746 6498431.336803165 17.105433010160922, 139656.4107303075 6498431.3365148725 17.105433062314987, 139656.3101125771 6498431.336226581 17.095433118194343, 139656.2094948467 6498431.335938287 17.095433166623117, 139656.1088771164 6498431.335649996 17.09543322250247, 139656.00825938588 6498431.335361705 17.085433278381824, 139655.90764165542 6498431.335073411 17.0854333268106, 139655.86681396037 6498431.328979092 17.08543335661292, 139655.83691894275 6498431.331882108 17.08543336778879, 139655.80702392478 6498431.334785121 17.085433382689953, 139655.7363012117 6498431.331593813 17.085433423668146, 139655.70543852256 6498431.324531822 17.085433442294597, 139655.6048207918 6498431.32424353 17.075433498173954, 139655.5042030607 6498431.323955235 17.07543355405331, 139655.41355033586 6498431.322699275 17.075433598756792, 139655.31293260463 6498431.322410982 17.065433654636145, 139655.21231487324 6498431.3221226875 17.06543370306492, 139655.1415921598 6498431.31893138 17.065433744043112, 139655.11169714178 6498431.321834395 17.065433758944273, 139655.01107941044 6498431.321546103 17.065433814823628, 139654.9104616788 6498431.32125781 17.0554338632524, 139654.85966897756 6498431.316131162 17.055433896780013, 139654.82977395947 6498431.319034178 17.055433907955884, 139654.80887627602 6498431.31100451 17.055433930307625, 139654.70825854415 6498431.310716219 17.0554339787364, 139654.60764081235 6498431.310427929 17.045434034615756, 139654.50702308054 6498431.310139636 17.04543409049511, 139654.4064053488 6498431.309851345 17.045434138923884, 139654.30578761647 6498431.309563051 17.04543419480324, 139654.20516988426 6498431.309274758 17.0354342469573, 139654.1045521521 6498431.308986465 17.035434299111365, 139654.00296674826 6498431.298733167 17.0354343624413, 139653.90234901576 6498431.298444875 17.025434418320657, 139653.83162630146 6498431.295253569 17.02543445557356, 139653.81169628934 6498431.29718891 17.02543446674943, 139653.7110785572 6498431.296900624 17.025434518903495, 139653.61046082393 6498431.296612328 17.015434571057558, 139653.50984309113 6498431.296324033 17.015434623211622, 139653.40922535793 6498431.2960357405 17.015434679090976, 139653.30860762548 6498431.295747451 17.01543473124504, 139653.23788491066 6498431.292556142 17.005434772223236, 139653.20702222054 6498431.28549415 17.005434794574978, 139652.8543763184 6498431.2795026265 16.99543498456478, 139652.8244812998 6498431.282405639 16.995434999465942, 139652.24070490967 6498431.278740545 16.975435308665038, 139652.20984221942 6498431.271678551 16.97543533101678, 139652.10922448518 6498431.271390257 16.975435383170844, 139652.07932946627 6498431.27429327 16.975435394346714, 139652.0086067511 6498431.2711019665 16.975435435324908, 139651.9079890165 6498431.270813672 16.96543549120426, 139651.84723130747 6498431.266654696 16.965435524731873, 139651.81733628863 6498431.26955771 16.965435539633035, 139651.8073712823 6498431.270525382 16.965435543358325, 139651.70675354742 6498431.270237085 16.96543559551239, 139651.60613581305 6498431.2699487945 16.965435651391743, 139651.50455040688 6498431.2596954955 16.95543571099639, 139651.40393267223 6498431.259407205 16.955435766875745, 139651.30331493722 6498431.259118912 16.9554358227551, 139651.20269720227 6498431.258830619 16.94543587118387, 139651.10207946686 6498431.258542324 16.945435927063226, 139651.00146173214 6498431.258254035 16.945435975492, 139650.9008439968 6498431.257965743 16.945436031371354, 139650.840086287 6498431.253806762 16.93543606862426, 139650.8201562742 6498431.255742107 16.93543607607484, 139650.8101912678 6498431.25670978 16.93543608352542, 139650.8002262615 6498431.257677448 16.93543608352542, 139650.69864085468 6498431.247424152 16.935436146855356, 139650.60798812553 6498431.246168189 16.93543619900942, 139650.53823308047 6498431.252941887 16.92543622881174, 139650.5073703897 6498431.245879894 16.925436247438192, 139650.40675265418 6498431.245591604 16.925436303317547, 139650.30613491824 6498431.245303309 16.92543635547161, 139650.20551718242 6498431.245015017 16.915436407625677, 139650.10489944636 6498431.244726724 16.91543646350503, 139650.00428171008 6498431.244438431 16.915436515659096, 139649.90269630263 6498431.234185133 16.91543657898903, 139649.84290626366 6498431.239991162 16.90543660506606, 139649.8120435729 6498431.23292917 16.905436627417803, 139649.80207856634 6498431.233896838 16.905436631143093, 139649.732323521 6498431.240670542 16.905436660945416, 139649.70146082982 6498431.233608547 16.905436683297157, 139649.6008430936 6498431.233320257 16.905436739176512, 139649.50022535678 6498431.233031962 16.895436791330575, 139649.3996076202 6498431.232743671 16.89543684348464, 139649.29898988357 6498431.232455379 16.895436895638703, 139649.2382321728 6498431.228296401 16.895436932891606, 139649.1983721467 6498431.232167085 16.895436951518057, 139649.13761443604 6498431.228008108 16.885436985045672, 139649.10771941626 6498431.230911123 16.885436999946833, 139649.0967867382 6498431.221913786 16.885437014847994, 139649.00613400765 6498431.220657823 16.885437059551478, 139648.90551627055 6498431.22036953 16.885437115430832, 139648.83479355322 6498431.217178224 16.875437156409024, 139648.80489853362 6498431.220081239 16.875437167584895, 139648.7042807961 6498431.219792945 16.87543721973896, 139648.6036630589 6498431.2195046535 16.875437275618314, 139648.50304532133 6498431.219216361 16.875437327772378, 139648.40242758382 6498431.218928069 16.865437379926444, 139648.3516348789 6498431.213801418 16.865437409728766, 139648.30084217445 6498431.20867477 16.86543744325638, 139648.20022443682 6498431.208386478 16.865437495410443, 139648.1404343968 6498431.214192506 16.855437521487474, 139648.13046939025 6498431.215160176 16.855437525212764, 139648.10957170546 6498431.207130512 16.855437547564506, 139648.09960669873 6498431.208098183 16.855437551289796, 139648.08964169218 6498431.209065853 16.855437551289796, 139647.99898896064 6498431.20780989 16.85543760344386, 139647.8983712226 6498431.207521596 16.855437655597925, 139647.8376135113 6498431.20336262 16.855437692850828, 139647.79775348457 6498431.207233306 16.84543770775199, 139647.6971357466 6498431.206945014 16.845437763631345, 139647.59651800798 6498431.206656721 16.84543781206012, 139647.50586527638 6498431.205400758 16.845437864214183, 139647.40427986655 6498431.19514746 16.835437927544117, 139647.30366212776 6498431.194859166 16.83543797969818, 139647.20304438914 6498431.194570875 16.835438031852245, 139647.13232167048 6498431.191379568 16.82543807283044, 139647.10242665012 6498431.194282581 16.8254380877316, 139647.0924616434 6498431.195250252 16.8254380877316, 139647.00180891145 6498431.193994288 16.825438139885666, 139646.90119117248 6498431.193705997 16.82543819203973, 139646.80057343317 6498431.193417704 16.825438244193794, 139646.6999556941 6498431.193129411 16.815438300073147, 139646.59837028343 6498431.182876113 16.815438359677792, 139646.4977525437 6498431.182587819 16.815438415557146, 139646.39713480452 6498431.1822995255 16.80543846771121, 139646.2965170648 6498431.182011235 16.805438519865273, 139646.19589932525 6498431.181722943 16.805438575744628, 139646.17596931156 6498431.183658285 16.805438579469918, 139646.0952815854 6498431.181434647 16.795438624173403, 139646.07535157184 6498431.183369991 16.795438635349274, 139645.99466384563 6498431.181146356 16.795438680052758, 139645.90401111258 6498431.179890392 16.795438728481532, 139645.80242570123 6498431.169637094 16.795438791811467, 139645.79246069433 6498431.170604764 16.795438795536757, 139645.70180796093 6498431.1693488 16.78543884396553, 139645.67191294034 6498431.172251814 16.7854388551414, 139645.6011902208 6498431.169060508 16.785438896119594, 139645.50057248073 6498431.168772218 16.785438951998948, 139645.3999547402 6498431.168483924 16.775439004153014, 139645.2993369996 6498431.16819563 16.77543905630708, 139645.19871925918 6498431.16790734 16.775439112186433, 139645.09810151852 6498431.167619046 16.775439160615207, 139644.99651610607 6498431.157365744 16.76543922767043, 139644.89589836536 6498431.157077454 16.765439279824495, 139644.79528062424 6498431.156789161 16.76543933197856, 139644.78531561734 6498431.1577568315 16.76543933570385, 139644.69466288324 6498431.156500868 16.755439387857916, 139644.67473286937 6498431.158436212 16.755439391583206, 139644.59404514212 6498431.156212575 16.75543943628669, 139644.49342740094 6498431.155924284 16.755439492166044, 139644.39280965953 6498431.15563599 16.745439544320107, 139644.30215692509 6498431.154380027 16.74543959274888, 139644.20057151228 6498431.144126728 16.745439656078815, 139644.09995377035 6498431.143838434 16.74543970823288, 139643.99933602882 6498431.143550141 16.735439764112236, 139643.89871828677 6498431.143261849 16.7354398162663, 139643.79810054507 6498431.142973557 16.735439868420364, 139643.7781705311 6498431.144908899 16.735439875870945, 139643.69748280302 6498431.142685264 16.725439924299717, 139643.66758778214 6498431.14558828 16.725439931750298, 139643.5968650611 6498431.142396972 16.72543997272849, 139643.4962473188 6498431.142108679 16.725440028607846, 139643.39562957658 6498431.141820387 16.72544007703662, 139643.29404416273 6498431.131567085 16.715440144091843, 139643.19342641998 6498431.131278791 16.715440199971198, 139643.11273869209 6498431.129055158 16.71544024094939, 139643.0928086777 6498431.1309905015 16.715440248399972, 139642.99219093513 6498431.130702209 16.70544030427933, 139642.89157319232 6498431.130413916 16.705440352708102, 139642.79095544934 6498431.130125623 16.705440408587457, 139642.78099044238 6498431.131093293 16.705440412312747, 139642.70030271396 6498431.128869661 16.69544045701623, 139642.65947501373 6498431.122775338 16.69544048309326, 139642.59968497063 6498431.128581366 16.695440509170293, 139642.49809955613 6498431.1183280675 16.695440572500228, 139642.39748181286 6498431.118039775 16.695440624654292, 139642.29686406982 6498431.117751484 16.68544068053365, 139642.1962463262 6498431.117463187 16.685440732687713, 139642.1155585972 6498431.115239555 16.685440773665906, 139642.09562858276 6498431.117174896 16.685440784841777, 139641.9950108392 6498431.116886604 16.67544084072113, 139641.89439309557 6498431.116598312 16.675440889149904, 139641.79377535172 6498431.116310018 16.67544094502926, 139641.77287766588 6498431.108280355 16.67544096365571, 139641.69218993653 6498431.106056719 16.675441008359194, 139641.6622949149 6498431.108959735 16.665441019535066, 139641.59157219238 6498431.105768425 16.66544106051326, 139641.4909544484 6498431.1054801345 16.665441116392614, 139641.3903367042 6498431.10519184 16.665441164821388, 139641.28971896006 6498431.104903547 16.65544122070074, 139641.1891012155 6498431.104615253 16.655441272854805, 139641.09844847856 6498431.10335929 16.65544132128358, 139640.99783073406 6498431.103070999 16.655441377162933, 139640.89624531812 6498431.092817699 16.645441436767577, 139640.7956275734 6498431.092529408 16.64544149264693, 139640.7756975586 6498431.094464747 16.645441500097512, 139640.76573255146 6498431.09543242 16.645441503822802, 139640.69500982855 6498431.092241114 16.645441544800995, 139640.65514979942 6498431.0961118005 16.645441559702157, 139640.59439208376 6498431.09195282 16.63544159695506, 139640.49377433874 6498431.091664529 16.635441652834416, 139640.39315659367 6498431.091376236 16.63544170126319, 139640.2925388484 6498431.091087945 16.625441757142543, 139640.19192110328 6498431.09079965 16.625441805571317, 139640.0913033578 6498431.090511357 16.62544186145067, 139639.98971794097 6498431.0802580565 16.625441924780606, 139639.8891001952 6498431.079969764 16.615441976934672, 139639.7884824496 6498431.079681472 16.615442032814027, 139639.76855243498 6498431.081616817 16.615442036539317, 139639.75858742732 6498431.0825844845 16.615442043989898, 139639.68786470394 6498431.079393179 16.6154420812428, 139639.6480046743 6498431.083263865 16.615442103594543, 139639.58724695805 6498431.0791048845 16.605442137122154, 139639.4965942197 6498431.077848922 16.605442185550928, 139639.39597647364 6498431.077560632 16.60544223770499, 139639.29535872757 6498431.077272335 16.605442293584346, 139639.19377330993 6498431.067019039 16.595442353188993, 139639.09315556387 6498431.066730746 16.595442409068347, 139639.02243283973 6498431.063539436 16.59544244632125, 139638.99253781722 6498431.066442451 16.59544246122241, 139638.89192007086 6498431.066154159 16.585442513376474, 139638.79130232433 6498431.065865867 16.58544256925583, 139638.76140730182 6498431.068768881 16.58544257670641, 139638.69068457768 6498431.065577574 16.585442617684603, 139638.64985687617 6498431.0594832525 16.585442647486925, 139638.5900668308 6498431.065289281 16.585442673563957, 139638.48944908398 6498431.0650009895 16.58544272199273, 139638.45858639007 6498431.057938998 16.585442748069763, 139638.3878636656 6498431.054747689 16.57544278904796, 139638.28724591836 6498431.054459393 16.575442841202022, 139638.18662817113 6498431.0541711 16.575442893356087, 139638.14676814096 6498431.058041789 16.575442911982538, 139638.12587045442 6498431.050012123 16.57544293060899, 139638.086010424 6498431.053882808 16.57544294923544, 139637.99535768444 6498431.052626845 16.575442997664215, 139637.89473993704 6498431.052338554 16.565443049818278, 139637.79412218952 6498431.052050261 16.565443101972342, 139637.7532944876 6498431.045955938 16.565443128049374, 139637.69350444188 6498431.051761966 16.565443154126406, 139637.6427117323 6498431.046635318 16.56544318765402, 139637.5919190226 6498431.041508665 16.56544321745634, 139637.49130127486 6498431.041220374 16.565443273335696, 139637.39068352705 6498431.040932081 16.56544332548976, 139637.29006577906 6498431.04064379 16.555443377643822, 139637.18944803107 6498431.040355498 16.555443429797887, 139637.1286903135 6498431.036196517 16.5554434633255, 139637.0888302828 6498431.040067202 16.55544348567724, 139636.9882125348 6498431.039778912 16.555443534106015, 139636.8875947864 6498431.039490619 16.55544358998537, 139636.78600936633 6498431.029237317 16.545443653315306, 139636.74614933546 6498431.0331080025 16.545443668216468, 139636.68539161794 6498431.028949027 16.54544370546937, 139636.63556657924 6498431.033787382 16.545443724095822, 139636.58477386937 6498431.028660734 16.545443757623435, 139636.4841561204 6498431.02837244 16.5454438097775, 139636.3935033793 6498431.027116474 16.545443858206273, 139636.2928856305 6498431.026828182 16.535443914085626, 139636.19226788153 6498431.02653989 16.53544396623969, 139636.09165013232 6498431.026251597 16.535444018393754, 139636.0816851245 6498431.027219268 16.535444025844335, 139635.99103238323 6498431.025963305 16.53544407054782, 139635.88944696268 6498431.015710005 16.535444133877753, 139635.78882921318 6498431.015421714 16.52544418975711, 139635.74896918208 6498431.019292397 16.52544420465827, 139635.73900417425 6498431.0202600695 16.52544420838356, 139635.68821146362 6498431.015133417 16.525444241911174, 139635.62842141656 6498431.020939445 16.525444264262916, 139635.58759371412 6498431.014845127 16.525444294065238, 139635.48697596445 6498431.014556834 16.525444346219302, 139635.38635821478 6498431.01426854 16.525444398373367, 139635.28574046487 6498431.01398025 16.51544445052743, 139635.1950877228 6498431.012724284 16.515444498956203, 139635.18512271513 6498431.013691955 16.515444506406784, 139635.1841550434 6498431.003726948 16.515444513857364, 139635.0835372933 6498431.003438653 16.51544456973672, 139634.9829195434 6498431.003150362 16.515444621890783, 139634.88230179297 6498431.002862068 16.515444674044847, 139634.79164905066 6498431.001606106 16.505444726198913, 139634.73089133156 6498430.997447125 16.505444759726526, 139634.69103130017 6498431.00131781 16.505444774627687, 139634.68106629216 6498431.0022854805 16.505444782078268, 139634.6302735813 6498430.997158833 16.50544481188059, 139634.59041354968 6498431.001029519 16.50544483050704, 139634.48979579908 6498431.000741224 16.505444882661106, 139634.38821037702 6498430.990487925 16.50544494599104, 139634.287592626 6498430.990199632 16.495445001870394, 139634.1869748754 6498430.989911338 16.495445050299168, 139634.17700986745 6498430.990879013 16.49544505774975, 139634.08538945287 6498430.979658039 16.495445117354393, 139633.7407731528 6498430.952768822 16.48544532224536, 139633.68098310503 6498430.958574851 16.485445348322393, 139633.19492134824 6498430.92530302 16.475445635169745, 139633.1849563404 6498430.926270692 16.495445638895035, 139633.16405865288 6498430.918241027 16.495445657521486, 139633.08337091707 6498430.916017392 16.49544570222497, 139632.9817854935 6498430.90576409 16.495445765554905, 139632.890165078 6498430.894543116 16.49544582888484, 139632.7885796544 6498430.884289817 16.495445888489485, 139632.68699423055 6498430.874036516 16.49544595181942, 139632.62526883907 6498430.8599125305 16.495445996522903, 139632.5844411353 6498430.853818208 16.495446026325226, 139632.48285571113 6498430.843564904 16.49544608965516, 139632.3912352951 6498430.832343932 16.495446149259806, 139632.28964987095 6498430.82209063 16.49544621258974, 139632.18709677533 6498430.801872322 16.495446287095547, 139632.1462690711 6498430.795778 16.49544631317258, 139632.08551135077 6498430.791619021 16.495446350425482, 139632.03471863875 6498430.786492372 16.495446380227804, 139631.982958255 6498430.771400713 16.495446424931288, 139631.89133783855 6498430.760179739 16.495446484535933, 139631.78975241398 6498430.74992644 16.495446544140577, 139631.68719931768 6498430.729708128 16.495446618646383, 139631.61550891743 6498430.716551811 16.495446670800447, 139631.58561389294 6498430.719454829 16.49544668570161, 139631.48306079645 6498430.699236519 16.495446756482124, 139631.39144037978 6498430.688015546 16.49544681608677, 139631.28888728307 6498430.667797235 16.495446890592575, 139631.18730185792 6498430.657543933 16.49544695392251, 139631.08474876115 6498430.637325626 16.495447028428316, 139630.98316333606 6498430.627072324 16.49544709175825, 139630.8915429184 6498430.61585135 16.495447151362896, 139630.78898982162 6498430.59563304 16.495447225868702, 139630.687404396 6498430.58537974 16.495447285473347, 139630.61571399495 6498430.572223423 16.49544733762741, 139630.5848512987 6498430.56516143 16.495447363704443, 139630.49323088117 6498430.553940458 16.495447423309088, 139630.3906777838 6498430.533722146 16.495447497814894, 139630.2890923578 6498430.523468847 16.49544755741954, 139630.18653925968 6498430.503250532 16.495447631925344, 139630.08495383378 6498430.492997233 16.49544769898057, 139629.99236574455 6498430.471811253 16.495447762310505, 139629.89078031818 6498430.461557951 16.49544782936573, 139629.78919489152 6498430.451304649 16.495447892695665, 139629.68664179352 6498430.431086341 16.49544796720147, 139629.61495139194 6498430.417930022 16.495448019355536, 139629.58505636692 6498430.420833038 16.495448030531406, 139629.49246827705 6498430.399647057 16.49544809758663, 139629.39088285016 6498430.389393753 16.495448164641857, 139629.28832975193 6498430.369175445 16.495448235422373, 139629.18674432475 6498430.3589221435 16.495448298752308, 139629.09415623447 6498430.3377361605 16.495448369532824, 139628.9925708074 6498430.327482859 16.49544843286276, 139628.8909853801 6498430.317229558 16.495448496192694, 139628.78843228106 6498430.297011245 16.4954485706985, 139628.68684685376 6498430.286757946 16.495448634028435, 139628.6151564513 6498430.273601624 16.4954486861825, 139628.5942587629 6498430.26557196 16.49544870480895, 139628.49267333525 6498430.255318659 16.495448764413595, 139628.3901202359 6498430.23510035 16.4954488389194, 139628.2885348082 6498430.224847048 16.495448905974627, 139628.1859817088 6498430.204628739 16.495448976755142, 139628.09436128917 6498430.193407762 16.495449036359787, 139627.61439383012 6498430.119308221 16.495449360460043, 139627.17525407538 6498430.051303002 16.495449658483267, 139626.6046338628 6498429.975947491 16.495450034737587, 139626.09380369983 6498429.894785954 16.495450381189585, 139625.60387122352 6498429.821654079 16.49545070901513, 139625.27724957146 6498429.772899498 16.49545092880726, 139625.09304105584 6498429.740492539 16.49545105919242, 139624.59314356628 6498429.668328337 16.495451390743256, 139624.09324607445 6498429.5961641325 16.495451726019382, 139623.56248588185 6498429.516937933 16.49545207992196, 139623.0825184033 6498429.442838385 16.495452407747507, 139622.64337863022 6498429.374833158 16.49545270577073, 139622.53086051653 6498429.3555825185 16.495452780276537, 139622.22513654485 6498429.3148575965 16.495452981442213, 139622.071790723 6498429.289512633 16.49545308575034, 139621.4802727946 6498429.206127453 16.495453480631113, 139621.06106303335 6498429.136186879 16.495453767478466, 139620.4187523821 6498429.047675044 16.49545419216156, 139620.05130300607 6498428.992826132 16.49545443803072, 139619.47971508576 6498428.907505607 16.49545482173562, 139619.37716197775 6498428.887287289 16.495454896241426, 139619.3572319594 6498428.889222633 16.495454907417297, 139619.0306102886 6498428.840468045 16.495455123484135, 139618.27481383592 6498428.722740552 16.495455637574196, 139618.0198825713 6498428.687142284 16.49545580148697, 139617.53991506854 6498428.613042727 16.495456125587225, 139617.34574153065 6498428.581603437 16.495456259697676, 139617.18243069248 6498428.557226142 16.495456371456385, 139616.99918983487 6498428.534784187 16.495456486940384, 139616.07011751895 6498428.393647069 16.495457116514444, 139615.9884620991 6498428.381458422 16.49545716866851, 139615.97849708924 6498428.382426091 16.4954571723938, 139615.8659789689 6498428.36317545 16.495457250624895, 139615.33521873696 6498428.283949237 16.495457604527473, 139614.95877200592 6498428.240033004 16.495457842946053, 139614.89704660448 6498428.225909012 16.495457891374826, 139614.18498084822 6498428.144170862 16.495458342134953, 139613.93101724557 6498428.1185376 16.495458502322435, 139613.8294318043 6498428.108284296 16.49545856192708, 139613.50474546006 6498428.07945972 16.495458763092756, 139613.24081684597 6498428.054794129 16.49545892700553, 139613.23085183598 6498428.055761799 16.49545892700553, 139612.9071331616 6498428.036902235 16.495459116995335)</t>
  </si>
  <si>
    <t>POINT (139645.55733831102 6498430.516816022)</t>
  </si>
  <si>
    <t>2021-01-04</t>
  </si>
  <si>
    <t>['FV421 S6D1 m9989-10040']</t>
  </si>
  <si>
    <t>LINESTRING Z (137700.42116853694 6502096.85379683 47.937854981571434, 137700.56762551377 6502098.257915685 47.96785393849015, 137701.0149039327 6502107.41862582 48.11784708395601, 137701.29996054125 6502109.835318352 48.13784528836608, 137701.64321498555 6502111.4013854535 48.147844126075505, 137702.11504843732 6502112.9449030245 48.15784298986197, 137702.31361034658 6502113.539225073 48.157842550277714, 137702.31457837502 6502113.549190228 48.15784254282713, 137702.35609018244 6502113.665868001 48.15784246087075, 137702.45198303834 6502113.928150982 48.15784226715565, 137702.52407347073 6502114.152509403 48.15784210324288, 137702.67821949144 6502114.600258209 48.15784177541733, 137702.76221113704 6502114.843578908 48.1578415966034, 137702.7789524927 6502114.912366962 48.15784154444933, 137702.94693578582 6502115.399008359 48.157841186821464, 137703.0289913757 6502115.622398747 48.15784102290869, 137703.34115554468 6502116.557756972 48.157840333729986, 137703.69289547444 6502117.589862654 48.16783957377076, 137704.28374113358 6502119.323002966 48.16783829972148, 137704.35583157575 6502119.547361378 48.16783813580871, 137704.77869394608 6502120.793860291 48.177837215662, 137705.02873286337 6502121.50389205 48.17783669412136, 137705.35570237914 6502122.488107982 48.17783597141504, 137705.6926370574 6502123.471355882 48.177835244983434, 137706.02860371402 6502124.444638619 48.187834529727695, 137706.1274006816 6502124.736817045 48.18783431738615, 137706.12836871087 6502124.746782199 48.18783430621028, 137706.1422059837 6502124.785674788 48.187834276407955, 137706.3555732537 6502125.428854536 48.18783380329609, 137706.45340219408 6502125.711067807 48.18783359840512, 137706.45437022357 6502125.721032962 48.18783359095454, 137706.52355658857 6502125.915495898 48.18783344566822, 137706.77843568445 6502126.675353405 48.19783288687468, 137707.02847463562 6502127.385385136 48.19783236160875, 137707.11537039647 6502127.658601279 48.19783216044307, 137707.18746085395 6502127.882959677 48.1978319965303, 137707.69237892493 6502129.352848896 48.20783091247082, 137708.35531521565 6502131.310347478 48.20782947078347, 137708.69224996504 6502132.293595322 48.207828744351865, 137709.02918472246 6502133.2768431585 48.217828021645545, 137709.19716808887 6502133.7634844985 48.217827660292386, 137709.19813611935 6502133.773449652 48.217827652841805, 137709.25542128237 6502133.948950303 48.217827526181935, 137709.27022658865 6502133.997808043 48.21782748892903, 137709.35228221223 6502134.221198406 48.21782732501626, 137709.57174256415 6502134.823549469 48.207826881706715, 137709.67856864945 6502135.094829535 48.19782668054104, 137709.74194684636 6502135.229501539 48.1978265799582, 137709.75481609226 6502135.258428973 48.19782656133175, 137710.29242031783 6502136.443485629 48.18782569333911, 137710.37960094638 6502136.616082184 48.17782556295395, 137710.62633752648 6502137.085014113 48.17782522395253, 137710.63727071107 6502137.094011235 48.17782522022724, 137710.67491041787 6502137.170828373 48.1778251606226, 137710.7968266626 6502137.390346606 48.167825000435116, 137711.37098909076 6502138.3304313645 48.1578243149817, 137711.54853929055 6502138.604900361 48.14782411381602, 137711.73605464492 6502138.878401329 48.147823916375636, 137711.93450318422 6502139.16089942 48.14782371520996, 137711.99304123066 6502139.245745647 48.137823651880026, 137712.51601152698 6502139.969501097 48.127823126614096, 137712.9585774088 6502140.590416061 48.11782267957926, 137712.99234499387 6502140.627372583 48.11782265350223, 137713.1203542726 6502140.806062163 48.11782252311707, 137714.1891292779 6502142.281532417 48.09782145023346, 137714.58312227204 6502142.816633108 48.08782106652856, 137714.89767888153 6502143.2588584805 48.0778207424283, 137715.02568816254 6502143.437548052 48.07782061204314, 137715.0713569636 6502143.4934668485 48.07782057106495, 137715.17653184407 6502143.644197022 48.07782046303153, 137715.40971600596 6502143.973616767 48.06782022461295, 137715.53772528755 6502144.152306338 48.06782009422779, 137715.56055968808 6502144.180265736 48.06782007560134, 137716.4675578475 6502145.440089838 48.04781915917993, 137716.63030274707 6502145.665701076 48.03781899526715, 137716.65313714783 6502145.693660474 48.0378189766407, 137716.94292329944 6502146.087996127 48.03781868979335, 137717.2208082354 6502146.463369502 48.02781841784716, 137717.24461066758 6502146.501294052 48.027818388044835)</t>
  </si>
  <si>
    <t>POINT (137706.29691540377 6502122.561582613)</t>
  </si>
  <si>
    <t>['FV541 S1D20 m946-1009']</t>
  </si>
  <si>
    <t>LINESTRING (-44153.16964313993 6640224.34789444, -44154.25399170315 6640224.164383522, -44156.68696578697 6640223.77101005, -44169.35223622166 6640221.728736431, -44174.99733423162 6640219.7940151775, -44175.04819163389 6640219.788563327, -44175.94090984971 6640219.496990321, -44186.42012328806 6640215.906401362, -44198.79829432606 6640211.702689603, -44199.74550059892 6640211.365704801, -44200.36485962232 6640211.089585769, -44210.56877148198 6640205.2076888, -44211.92644923518 6640204.454737672, -44212.41230835416 6640204.206779359)</t>
  </si>
  <si>
    <t>POINT (-44183.46497109806 6640216.215442881)</t>
  </si>
  <si>
    <t>2021-03-30</t>
  </si>
  <si>
    <t>2025-11-22T09:20:39Z</t>
  </si>
  <si>
    <t>[5368]</t>
  </si>
  <si>
    <t>['FV5368 S1D1 m3394-3451']</t>
  </si>
  <si>
    <t>LINESTRING Z (-34174.66832616425 6727893.701458188 112.5, -34179.22941556212 6727880.078986419 111.46000000000001, -34183.225980385556 6727868.771701034 110.38, -34187.77723095671 6727857.676358647 109.21000000000001, -34190.96480446367 6727850.364014054 108.46000000000001, -34195.44994759816 6727841.7503616065 107.63, -34192.7170737664 6727850.806486094 108.47, -34188.571165873786 6727862.754766773 109.8, -34183.95545224578 6727875.213976346 111.01, -34180.545361809665 6727883.966360231 111.82000000000001, -34174.66291128937 6727893.650603129 112.51, -34174.66832616425 6727893.701458188 112.5)</t>
  </si>
  <si>
    <t>2020-11-05</t>
  </si>
  <si>
    <t>['FV311 S2D1 m499-576']</t>
  </si>
  <si>
    <t>LINESTRING Z (240434.1806987261 6579391.380603543 20.990000000000002, 240434.0169439259 6579391.331519589 20.98, 240430.07024226114 6579390.204762486 20.89, 240426.12421579898 6579389.087986761 20.79, 240424.80487118528 6579388.705971833 20.76, 240423.77040924667 6579388.384900226 20.740000000000002, 240422.87501218115 6579388.044393071 20.71, 240422.25654223672 6579387.7954488555 20.68, 240421.37638099605 6579387.383721023 20.650000000000002, 240421.35574282144 6579387.375090167 20.650000000000002, 240420.44226078992 6579386.915481003 20.62, 240419.55009222214 6579386.47448413 20.580000000000002, 240418.6472669167 6579386.024181103 20.55, 240417.7444416075 6579385.573878072 20.51, 240416.84161629443 6579385.123575035 20.47, 240415.04662239068 6579384.232275097 20.400000000000002, 240412.34880313926 6579382.890672074 20.29, 240411.45663453726 6579382.449675158 20.25, 240408.85202467826 6579381.151901651 20.13, 240407.8666466228 6579380.667075137 20.09, 240406.97380270952 6579380.216096754 20.05, 240404.28664008935 6579378.883799746 19.92, 240401.6094588773 6579377.550827401 19.79, 240398.93227763128 6579376.21785501 19.650000000000002, 240396.25577164348 6579374.89486402 19.51, 240394.12854084847 6579373.835525785 19.400000000000002, 240393.5885717722 6579373.561216245 19.37, 240390.92204715946 6579372.237549873 19.25, 240390.0298784668 6579371.796552837 19.21, 240388.2555225133 6579370.913883458 19.13, 240387.1243265299 6579370.348677914 19.07, 240385.598979276 6579369.589541703 19, 240382.9431112975 6579368.275181347 18.87, 240381.16875528428 6579367.392511889 18.79, 240380.28656799387 6579366.9508395055 18.740000000000002, 240377.63069994844 6579365.636479065 18.62, 240376.7584940872 6579365.194131374 18.57, 240376.56141844636 6579365.097166029 18.56, 240376.40561916403 6579365.017462408 18.56, 240374.96185340037 6579363.982074194 18.490000000000002, 240373.8650328628 6579363.183918886 18.44, 240372.53984176225 6579362.270861202 18.37, 240370.16841261814 6579360.566253149 18.25, 240367.88831496364 6579359.025927267 18.13, 240367.4062086168 6579358.717621556 18.13, 240365.647763625 6579357.773712655 18.04, 240365.39537842275 6579357.600272197 18.03)</t>
  </si>
  <si>
    <t>POINT (240399.10252618926 6579375.933099048)</t>
  </si>
  <si>
    <t>['FV311 S2D1 m120-179']</t>
  </si>
  <si>
    <t>LINESTRING Z (240067.99817288006 6579378.613013014 3.4, 240067.88379767252 6579378.700968244 3.39, 240067.71155956745 6579378.822919628 3.39, 240067.3105710473 6579379.120781474 3.37, 240067.10973914014 6579379.264721667 3.37, 240067.0525515361 6579379.308699281 3.37, 240066.51061988698 6579379.746449559 3.35, 240066.27323859572 6579379.942998244 3.34, 240066.12231400431 6579380.08356197 3.34, 240066.07510786352 6579380.126864291 3.33, 240065.79119572524 6579380.376696764 3.3200000000000003, 240065.73468341515 6579380.430655844 3.3200000000000003, 240065.54585885227 6579380.603865135 3.31, 240064.9700789936 6579381.134149764 3.29, 240064.7433544594 6579381.340004626 3.2800000000000002, 240064.59242986754 6579381.48056835 3.27, 240064.5452237268 6579381.523870678 3.27, 240064.20479927777 6579381.827662233 3.25, 240064.01597471462 6579382.000871528 3.24, 240063.4401948552 6579382.531156169 3.22, 240063.26135175518 6579382.70369017 3.21, 240063.21347032033 6579382.737011031 3.21, 240063.06254572843 6579382.877574761 3.2, 240063.01533958755 6579382.920877086 3.2, 240062.67559043205 6579383.234650115 3.18, 240062.49607203793 6579383.397202653 3.18, 240061.9202921778 6579383.927487307 3.15, 240061.73146761404 6579384.100696606 3.14, 240061.68426147324 6579384.143998931 3.14, 240061.53266158683 6579384.274581198 3.13, 240061.4954369095 6579384.317208232 3.13, 240061.15568775366 6579384.630981266 3.11, 240061.117787782 6579384.663626832 3.11, 240060.9668631898 6579384.804190564 3.11, 240060.3790759824 6579385.305206129 3.08, 240060.18957612407 6579385.468433968 3.0700000000000003, 240060.1416946889 6579385.5017548315 3.0700000000000003, 240059.98011333862 6579385.633012398 3.06, 240059.94221336688 6579385.6656579655 3.06, 240059.57980010603 6579385.940855737 3.0500000000000003, 240059.37896819526 6579386.084795945 3.04, 240058.75650953472 6579386.517967158 3.02, 240058.55567762337 6579386.661907367 3.0100000000000002, 240058.33420749012 6579386.797216701 3, 240058.28632605463 6579386.830537565 3, 240057.9112301506 6579387.066484782 2.98, 240057.69839089195 6579387.181155896 2.98, 240057.0419360703 6579387.556464221 2.95, 240056.88695971036 6579387.637139178 2.95, 240056.8290968107 6579387.671135332 2.94, 240056.5962946233 6579387.787157037 2.94, 240056.5484131874 6579387.8204779 2.93, 240056.15065317546 6579388.017849859 2.92, 240055.97706447597 6579388.11983833 2.91, 240055.27002703538 6579388.488541669 2.89, 240055.25073940214 6579388.499873723 2.89, 240054.82438558489 6579388.719234496 2.87, 240054.77582885418 6579388.742573895 2.87, 240054.3787441334 6579388.949927318 2.86, 240054.22376777162 6579389.030602279 2.85, 240053.49744269197 6579389.4106376795 2.82, 240053.05247653215 6579389.651311972 2.81, 240053.00391980118 6579389.674651372 2.81, 240052.4804525173 6579389.940690953 2.79, 240051.71555216447 6579390.343390467 2.7600000000000002, 240051.2798921707 6579390.573408007 2.75, 240051.24131690344 6579390.596072114 2.74, 240050.7571001773 6579390.849429058 2.73, 240049.94364308688 6579391.2754679825 2.7, 240049.5079830897 6579391.505485526 2.68, 240049.4594263578 6579391.52882493 2.68, 240049.06234162746 6579391.736178368 2.67, 240048.9951725562 6579391.780831288 2.67, 240048.1717339948 6579392.207545518 2.65, 240047.73607399405 6579392.437563066 2.64, 240047.6875172618 6579392.460902468 2.63, 240047.2325696263 6579392.702252075 2.62, 240046.39982488865 6579393.139623075 2.6, 240045.96348958963 6579393.359659164 2.6, 240045.91560815176 6579393.39298003 2.59, 240045.4599852177 6579393.624348177 2.58, 240044.6372219378 6579394.061043888 2.57, 240044.19158046562 6579394.291736743 2.56, 240044.1430237327 6579394.315076149 2.56, 240044.0951422942 6579394.348397016 2.56, 240043.57167498898 6579394.614436626 2.5500000000000003, 240043.2038593471 6579394.809782731 2.54, 240042.86531280313 6579394.993121487 2.5300000000000002, 240042.41967132746 6579395.22381435 2.52, 240042.3711145941 6579395.247153751 2.52, 240041.97402985094 6579395.454507209 2.52, 240041.09340365438 6579395.925199106 2.5100000000000002, 240040.64776217495 6579396.155891971 2.5100000000000002, 240040.59920544113 6579396.1792313745 2.5100000000000002, 240040.20212069462 6579396.386584837 2.5, 240040.16422072056 6579396.419230413 2.5, 240039.3214944912 6579396.857276744 2.48, 240038.8758530082 6579397.087969613 2.47, 240038.8179901041 6579397.121965779 2.47, 240038.6144569969 6579397.225980158 2.47, 240037.1032685322 6579398.010065814 2.44, 240037.03542416258 6579398.044737275 2.44, 240036.8032972489 6579398.17074047 2.44, 240035.77700082707 6579398.71145062 2.42, 240035.4963171772 6579398.860793225 2.41, 240035.33135933697 6579398.942143499 2.41, 240035.2635149667 6579398.976814961 2.41, 240034.99213748606 6579399.115500807 2.41, 240033.5587748321 6579399.864239741 2.39, 240033.53948719703 6579399.875571798 2.39, 240033.49093046153 6579399.898911203 2.39, 240033.44304902124 6579399.932232074 2.39, 240032.144699804 6579400.601646629 2.36, 240031.79684707365 6579400.795642171 2.36, 240031.7190212371 6579400.830988931 2.36, 240031.34122410996 6579401.027010359 2.35, 240030.08280074195 6579401.693723749 2.34, 240030.02493783564 6579401.72771992 2.34, 240028.9593908157 6579402.281112758 2.33, 240028.55299987816 6579402.499123011 2.32, 240028.27231621905 6579402.6484656315 2.32, 240028.22375948235 6579402.67180504 2.32, 240027.9045005515 6579402.843811772 2.31, 240027.73954270544 6579402.9251620555 2.31, 240026.9739669712 6579403.317880231 2.3000000000000003, 240026.77110914854 6579403.431876092 2.3000000000000003, 240026.30618000426 6579403.673901056 2.29, 240025.81265705288 6579403.937914838 2.2800000000000002, 240025.42487845 6579404.134611577 2.2800000000000002, 240025.04775660744 6579404.340614487 2.2800000000000002, 240024.3992572707 6579404.685303267 2.27, 240023.87578991783 6579404.951342943 2.27, 240023.60508771864 6579405.100010276 2.27, 240022.47169629336 6579405.688074628 2.2600000000000002, 240022.26883846638 6579405.802070494 2.2600000000000002, 240021.9489042315 6579405.964095777 2.2600000000000002, 240021.15473467048 6579406.378802799 2.25, 240019.13396399101 6579407.337744533 2.25, 240018.07689982085 6579407.72010193 2.25, 240014.90526335707 6579408.415982279 2.25)</t>
  </si>
  <si>
    <t>POINT (240042.2722591809 6579394.927237089)</t>
  </si>
  <si>
    <t>['FV3126 S1D1 m89-140']</t>
  </si>
  <si>
    <t>LINESTRING Z (240503.90631435893 6579252.610729423 19.330000000000002, 240503.06108057624 6579255.234856111 19.150000000000002, 240499.20268312033 6579266.084533355 19.150000000000002, 240498.79161007327 6579268.308283926 19.13, 240497.55564322506 6579293.168921903 18.88, 240500.41775192026 6579303.904851532 18.89)</t>
  </si>
  <si>
    <t>POINT (240499.30810550984 6579278.111571181)</t>
  </si>
  <si>
    <t>['FV311 S2D120 m14-68']</t>
  </si>
  <si>
    <t>LINESTRING Z (240070.09505013408 6579356.250985219 4.29, 240070.87909019677 6579355.686556629 4.29, 240070.96622219495 6579355.640553146 4.3, 240071.57074384272 6579355.238677058 4.33, 240072.57032433336 6579354.599503271 4.38, 240074.3068866488 6579353.589600475 4.46, 240075.16890044548 6579353.140222418 4.51, 240075.1981695417 6579353.128215078 4.51, 240075.3531459013 6579353.047540164 4.5200000000000005, 240077.63193572208 6579351.900681709 4.63, 240077.89333170865 6579351.7626712695 4.64, 240078.7952713418 6579351.310592068 4.69, 240078.9602291613 6579351.229241867 4.69, 240079.21231897583 6579351.101888184 4.7, 240079.68722950845 6579350.859188163 4.72, 240080.11358331132 6579350.639827532 4.74, 240080.59847530432 6579350.396452216 4.75, 240083.2943126953 6579349.040889964 4.86, 240084.20555847592 6579348.57815404 4.9, 240086.01874385512 6579347.663338959 4.97, 240087.82194775704 6579346.749199191 5.05, 240088.31682119446 6579346.505148612 5.07, 240088.40395318583 6579346.45914514 5.07, 240088.7338688102 6579346.296444755 5.09, 240091.45829990043 6579344.91889384 5.2, 240092.35956418482 6579344.456833256 5.24, 240093.1743717673 6579344.0507576065 5.2700000000000005, 240093.27148521825 6579344.004078844 5.28, 240094.18273095647 6579343.541342976 5.3100000000000005, 240095.09397669087 6579343.078607114 5.34, 240096.00589771272 6579342.625852719 5.37, 240096.91714343935 6579342.163116868 5.41, 240097.8283891619 6579341.700381022 5.44, 240098.73963488068 6579341.237645177 5.48, 240099.6608620572 6579340.774234053 5.5200000000000005, 240100.2721365461 6579340.472172708 5.54, 240100.57210776804 6579340.311498223 5.5600000000000005, 240101.48402876646 6579339.858743858 5.6000000000000005, 240102.40525593082 6579339.395332747 5.63, 240103.3264830914 6579338.931921643 5.67, 240103.57857287725 6579338.804568001 5.68, 240104.23772878683 6579338.469185833 5.71, 240104.7033330941 6579338.237142639 5.73, 240105.15895593932 6579338.005774738 5.75, 240106.08018308794 6579337.542363648 5.79, 240107.00073494142 6579337.068971103 5.83, 240107.1271174778 6579337.010285016 5.84, 240107.65058467077 6579336.7442457015 5.86, 240107.92196208224 6579336.605560025 5.87, 240108.84318921887 6579336.14214895 5.91, 240109.76441635168 6579335.678737883 5.95, 240110.51070422473 6579335.29735228 5.99, 240110.66635584988 6579335.226658863 6, 240110.68564348025 6579335.21532682 6, 240110.96700234833 6579335.075965855 6.01, 240111.06411579135 6579335.029287108 6.01, 240111.15124777358 6579334.983283647 6.0200000000000005, 240111.23905504646 6579334.947261646 6.0200000000000005, 240111.3361684892 6579334.900582895 6.03, 240111.42330047133 6579334.8545794375 6.03, 240111.51110774407 6579334.818557435 6.04, 240111.60889647753 6579334.781860144 6.04, 240111.6960284594 6579334.735856682 6.04, 240111.79381719296 6579334.699159396 6.05, 240111.88162446572 6579334.663137397 6.05, 240111.978737908 6579334.616458644 6.0600000000000005, 240112.0665451807 6579334.580436646 6.0600000000000005, 240112.16433391385 6579334.543739355 6.0600000000000005, 240112.2521411864 6579334.507717356 6.07, 240112.3499299194 6579334.471020066 6.07, 240112.43773719188 6579334.434998066 6.08, 240112.53552592482 6579334.398300777 6.08, 240112.57410118537 6579334.375636694 6.08, 240112.6333146577 6579334.361603486 6.08, 240112.72112193 6579334.325581489 6.09, 240112.8189106631 6579334.2888842 6.09, 240112.90671793526 6579334.252862201 6.1000000000000005, 240113.00518195867 6579334.226146371 6.1000000000000005, 240113.10297069134 6579334.189449082 6.1000000000000005, 240113.1907779634 6579334.153427082 6.11, 240113.28924198676 6579334.126711253 6.11, 240113.38703071923 6579334.090013963 6.12, 240113.48549474258 6579334.063298134 6.12, 240113.55401438428 6579334.038608177 6.12, 240113.57330201456 6579334.027276137 6.13, 240113.60324639588 6579334.0252502635 6.13, 240113.6524784076 6579334.011892349 6.13, 240113.72099804916 6579333.987202394 6.13, 240113.74028567935 6579333.975870351 6.13, 240113.77023006076 6579333.973844477 6.13, 240113.83874970244 6579333.949154522 6.140000000000001, 240113.9372137254 6579333.922438694 6.140000000000001, 240114.03500245753 6579333.885741404 6.140000000000001, 240114.1334664805 6579333.859025574 6.15, 240114.22194904272 6579333.832985035 6.15, 240114.32041306546 6579333.806269208 6.16, 240114.41887708832 6579333.779553379 6.16, 240114.51734111097 6579333.752837551 6.16, 240114.556591662 6579333.7401549285 6.17, 240114.61580513365 6579333.726121724 6.17, 240114.71426915636 6579333.699405898 6.17, 240114.81340846937 6579333.6826715255 6.18, 240114.91187249197 6579333.655955697 6.18, 240115.01033651436 6579333.629239871 6.18, 240115.1088005366 6579333.602524041 6.19, 240115.20793984958 6579333.585789672 6.19, 240115.306403872 6579333.559073845 6.2, 240115.4055431848 6579333.542339475 6.2, 240115.50400720682 6579333.515623648 6.21, 240115.58318359897 6579333.50023986 6.21, 240115.60314651963 6579333.4988892805 6.21, 240115.70161054176 6579333.472173451 6.21, 240115.8007498546 6579333.455439085 6.22, 240115.89988916693 6579333.438704715 6.22, 240115.99902847945 6579333.421970349 6.22, 240116.0974925012 6579333.39525452 6.23, 240116.19663181377 6579333.3785201525 6.23, 240116.30575258637 6579333.361110495 6.24, 240116.4048918986 6579333.344376124 6.24, 240116.50403121114 6579333.32764176 6.24, 240116.60317052313 6579333.310907389 6.25, 240116.62313344373 6579333.30955681 6.25, 240116.70298512603 6579333.3041544845 6.25, 240116.81210589837 6579333.286744825 6.26, 240116.9112452106 6579333.270010458 6.26, 240117.0103845223 6579333.25327609 6.26, 240117.11019912502 6579333.246523184 6.2700000000000005, 240117.219319897 6579333.229113526 6.2700000000000005, 240117.31845920865 6579333.212379157 6.28, 240117.4182738111 6579333.205626248 6.28, 240117.52739458322 6579333.188216593 6.28, 240117.6272091855 6579333.181463686 6.29, 240117.69707940705 6579333.17673665 6.29, 240117.72702378777 6579333.174710779 6.29, 240117.83614455926 6579333.157301119 6.3, 240117.93595916138 6579333.15054821 6.3, 240118.0457552235 6579333.143120013 6.3, 240118.14556982557 6579333.136367107 6.3100000000000005, 240118.18549566643 6579333.133665943 6.3100000000000005, 240118.25536588766 6579333.128938909 6.3100000000000005, 240118.35518048945 6579333.122186001 6.32, 240118.45499509134 6579333.115433095 6.32, 240118.56479115307 6579333.108004894 6.32, 240118.66460575475 6579333.101251988 6.33, 240118.773726526 6579333.08384233 6.33, 240118.87354112745 6579333.077089425 6.34, 240118.98333718898 6579333.069661227 6.34, 240119.08315179043 6579333.06290832 6.34, 240119.1929478519 6579333.0554801235 6.3500000000000005, 240119.2927624532 6579333.048727215 6.3500000000000005, 240119.39257705447 6579333.041974308 6.36, 240119.5023731156 6579333.034546112 6.36, 240119.60218771663 6579333.027793204 6.36, 240119.71198377782 6579333.020365006 6.37, 240119.81179837868 6579333.013612099 6.37, 240119.86170567924 6579333.010235646 6.37, 240119.88166859932 6579333.008885065 6.37, 240120.82923201384 6579332.934750984 6.41, 240120.84919493398 6579332.933400406 6.41, 240120.94900953423 6579332.926647498 6.42, 240121.4680454543 6579332.891532382 6.43, 240122.0256566313 6579332.833753183 6.45, 240122.53996551322 6579332.728767848 6.48)</t>
  </si>
  <si>
    <t>POINT (240095.81051424073 6579343.01774602)</t>
  </si>
  <si>
    <t>['FV311 S2D1 m688-775']</t>
  </si>
  <si>
    <t>LINESTRING Z (240638.10166630082 6579492.154174714 19.900000000000002, 240623.46496925742 6579483.7490206575 19.94, 240580.79900861287 6579459.582441185 20.13, 240563.93231372678 6579451.859589233 20.34)</t>
  </si>
  <si>
    <t>POINT (240601.31983217748 6579471.418211765)</t>
  </si>
  <si>
    <t>[3420]</t>
  </si>
  <si>
    <t>['FV3420 S2D1 m1376-1422']</t>
  </si>
  <si>
    <t>LINESTRING Z (136492.56 6621611.65 346.59000000000003, 136502.65 6621619.52 347.55, 136503.62 6621620.2 347.65000000000003, 136504.46 6621620.72 347.74, 136505.43 6621621.19 347.58, 136506.4 6621621.72 347.66, 136507.82 6621622.3 347.87, 136511.57 6621623.6 348.07, 136525.15 6621627.42 349.35, 136530.25 6621628.04 349.72, 136536.53 6621628.35 350.02, 136532.52 6621626.83 349.68, 136516.95 6621623.06 348.47, 136508.68 6621620.19 347.8, 136502.54 6621617.37 347.29, 136492.56 6621611.65 346.59000000000003)</t>
  </si>
  <si>
    <t>['EV39 S100D1 m5772-5862']</t>
  </si>
  <si>
    <t>LINESTRING Z (-32367.786756150424 6572348.716859009 16.418746930599212, -32364.765209512785 6572352.77973892 16.42474702000618, -32362.96396680246 6572355.2285928605 16.427747064709664, -32361.767832599697 6572356.864942962 16.429747087061404, -32358.79471559089 6572360.971472148 16.435747131764888, -32358.20368989755 6572361.795318408 16.43674713921547, -32355.845858482295 6572365.099326486 16.44074714666605, -32353.503927461687 6572368.416855287 16.44574714666605, -32352.92126126925 6572369.248505974 16.44674713921547, -32350.02101413079 6572373.418011639 16.452747109413146, -32349.043364977348 6572375.188896922 16.439746938049794, -32347.585611470742 6572377.849033378 16.42074666237831, -32345.17809687578 6572382.294657996 16.388746192991732, -32342.798380159074 6572386.755884467 16.356745701253413, -32341.383867022698 6572389.439059478 16.33774538832903, -32340.44655150082 6572391.231713813 16.32474517971277, -32338.12270108075 6572395.721147066 16.29274463582039, -32337.66076558747 6572396.621102405 16.28674452406168, -32335.826648528455 6572400.2261821795 16.260744069576266, -32334.369333803654 6572404.019367338 16.204743287265302, -32334.00768465968 6572404.968660849 16.191743093550205, -32332.220146838692 6572409.720019111 16.121742087721824, -32331.514649710618 6572411.622227324 16.093741677939892, -32330.464215429733 6572414.478259018 16.052741059541702, -32328.738620901713 6572419.246287321 15.982740016460419, -32327.04463278118 6572424.02119727 15.913738943576814, -32326.043425690616 6572426.889729758 15.871738287925721, -32325.382160881185 6572428.803987851 15.843737840890885)</t>
  </si>
  <si>
    <t>POINT (-32344.062760929883 6572387.425226245)</t>
  </si>
  <si>
    <t>2021-06-16</t>
  </si>
  <si>
    <t>['FV47 S1D1 m5722-5794']</t>
  </si>
  <si>
    <t>LINESTRING Z (-50757.56042422459 6630069.953511178 -0.0949420630931854, -50756.816282119136 6630070.325582232 -0.094942070543766, -50757.56042419933 6630090.252054343 -0.0949444398283958, -50761.322475920664 6630118.529454604 -0.0949478894472122, -50766.15939958452 6630138.952021455 -0.0949504375457764, -50767.0689066014 6630140.522988135 -0.0949506536126137)</t>
  </si>
  <si>
    <t>POINT (-50760.22442566215 6630105.307683319)</t>
  </si>
  <si>
    <t>['FV47 S1D1 m5397-5468']</t>
  </si>
  <si>
    <t>LINESTRING Z (-50683.10487279447 6629753.445066173 -0.0948965921998024, -50682.608778055524 6629755.057374081 -0.0948967710137367, -50685.46132277092 6629773.702268114 -0.0948995798826218, -50693.02676747949 6629802.682469255 -0.0949041321873665, -50700.13745869126 6629821.575410657 -0.0949072316288948, -50701.37769553368 6629823.105036111 -0.0949075296521187)</t>
  </si>
  <si>
    <t>POINT (-50690.09433675269 6629788.798557881)</t>
  </si>
  <si>
    <t>['FV47 S1D1 m5243-5344']</t>
  </si>
  <si>
    <t>LINESTRING Z (-50659.375008089235 6629572.163779432 -0.0948684588074684, -50663.922543147346 6629598.704848096 -0.0948728322982788, -50667.5605712058 6629611.603311373 -0.0948750823736191, -50675.41540449986 6629648.727734516 -0.0948811993002892, -50677.81319570902 6629666.00836801 -0.0948838889598846, -50677.64783079084 6629670.142490854 -0.0948844626545906)</t>
  </si>
  <si>
    <t>POINT (-50669.217817177734 6629621.0699349)</t>
  </si>
  <si>
    <t>['FV47 S1D1 m5721-5794']</t>
  </si>
  <si>
    <t>LINESTRING Z (-50771.4924181056 6630066.27414185 -0.0949423387646675, -50772.4846075793 6630067.3490137905 -0.0949425175786018, -50777.69360229815 6630086.035249048 -0.0949449241161346, -50782.0757724368 6630118.074701095 -0.0949487686157227, -50782.28247855161 6630137.959831979 -0.0949510186910629, -50781.53833644441 6630138.455926719 -0.0949510410428047)</t>
  </si>
  <si>
    <t>POINT (-50779.11232543805 6630102.12343657)</t>
  </si>
  <si>
    <t>[4610]</t>
  </si>
  <si>
    <t>['FV4610 S1D1 m769-781']</t>
  </si>
  <si>
    <t>LINESTRING Z (-34290.802 6583102.584 10.493, -34290.8 6583102.42 10.484, -34290.77 6583099.87 10.334, -34290.69 6583096.24 10.194, -34290.646 6583094.382 10.087, -34290.62 6583093.27 10.024, -34290.53 6583090.91 9.824, -34290.47543643211 6583090.166116691 9.76398007531449)</t>
  </si>
  <si>
    <t>POINT (-34290.681156371444 6583096.373613702)</t>
  </si>
  <si>
    <t>2021-06-23</t>
  </si>
  <si>
    <t>[4584]</t>
  </si>
  <si>
    <t>['FV4584 S1D1 m288-357']</t>
  </si>
  <si>
    <t>LINESTRING Z (-32457.080350494012 6574337.802094228 -0.0762062296271324, -32453.028910145513 6574318.537081768 -0.0761949717998505, -32434.01194520062 6574275.70756909 -0.0761635527014732, -32430.125869747833 6574273.723190122 -0.0761601850390434)</t>
  </si>
  <si>
    <t>POINT (-32446.017900360785 6574304.362884824)</t>
  </si>
  <si>
    <t>2021-07-05</t>
  </si>
  <si>
    <t>[4856]</t>
  </si>
  <si>
    <t>['FV4856 S1D1 m1808-1859']</t>
  </si>
  <si>
    <t>LINESTRING Z (-49335.841778632835 6626768.933291148 58.9636405980587, -49338.06777845172 6626763.162107646 58.82364572405815, -49338.44997466693 6626762.169362449 58.80364660322666, -49338.82673144364 6626761.236560533 58.74364744514227, -49339.2815994462 6626760.330992276 58.69364833921194, -49339.780055919546 6626759.389088111 58.65364928543568, -49340.30304459855 6626758.509846939 58.58365022420883, -49340.87326629413 6626757.665110255 58.54365117788315, -49341.48254360363 6626756.8339904 58.52365215390921, -49341.85121424298 6626756.434313731 58.53365269035101, -49342.514995403704 6626755.668576577 58.49365368127823, -49343.235093561816 6626754.948241032 58.46365468710661, -49343.60013791465 6626754.588526542 58.46365519374609, -49343.995153910364 6626754.231531762 58.463655730187895, -49344.39744073886 6626753.905415198 58.463656244277956, -49344.80971811572 6626753.580205198 58.45365677326918, -49345.22745318315 6626753.305854511 58.43365727990866, -49346.088343845215 6626752.699022985 58.393658345341684, -49347.39150179771 6626751.88050375 58.413659895062445, -49348.30782116309 6626751.439866966 58.38366090834141, -49349.68729549553 6626750.779365065 58.34366242825985, -49350.14863731596 6626750.579481048 58.33366292744875, -49350.62996023381 6626750.381410174 58.313663441538814, -49351.135815370246 6626750.246002297 58.30366394072771, -49352.57889583369 6626749.772582806 58.15366540849209, -49353.09383495443 6626749.648072048 58.14366590768099, -49353.61604491214 6626749.554439504 58.10366639941931, -49353.64966110652 6626749.627999627 58.093666384518144, -49366.76041255484 6626747.896591053 57.80367828309536, -49375.935034736875 6626746.694414108 57.583686590492725, -49375.972258957336 6626746.617209421 57.58368666499853, -49376.430899427505 6626746.5580996275 57.573687074780466, -49376.959473751835 6626746.5053358255 57.55368754416704, -49376.94948320126 6626746.504429255 57.68368753671646, -49377.46534726326 6626746.480730538 57.67368797630072, -49378.47165486554 6626746.491463261 57.643688810765745, -49378.99116348557 6626746.538604967 57.6336892130971, -49379.51794294431 6626746.616624897 57.60368960797787, -49380.01565732481 6626746.681934563 57.593689987957475, -49380.529726523906 6626746.789019573 57.57369035303593, -49381.058337397175 6626746.957861037 57.55369070321321, -49387.50338669086 6626748.973043288 57.34369495749473)</t>
  </si>
  <si>
    <t>POINT (-49358.28157657022 6626752.147590542)</t>
  </si>
  <si>
    <t>['FV4856 S1D1 m1716-1766']</t>
  </si>
  <si>
    <t>LINESTRING Z (-49408.273939511855 6626834.88527136 54.06366624295712, -49407.8160054523 6626833.715561141 54.09366646647453, -49407.295426521916 6626832.681185756 54.12366657078266, -49406.641325911856 6626831.564184418 54.183666600584985, -49405.68562283891 6626829.99675625 54.23366661548614, -49404.6636303938 6626828.493822498 54.31366653352976, -49403.49810752156 6626826.796553592 54.39366643667221, -49402.7131867432 6626825.456152068 54.44366648137569, -49402.00273270346 6626824.072143846 54.513666608035564, -49401.420342662255 6626822.71990226 54.573666831552984, -49400.95874580159 6626821.368549064 54.64366715937853, -49400.61246625928 6626819.856422281 54.703667673468594, -49400.49341343087 6626819.3923422275 54.72366781502962, -49400.57424441888 6626819.3896042975 54.75366788953543, -49400.597851831815 6626819.351455247 54.75366792678833, -49399.23039166175 6626810.22226848 55.10367165207863, -49397.320083719795 6626797.196006002 55.62367702394724, -49397.210187655524 6626797.186033668 55.62367693454027, -49397.13744297554 6626796.655646092 55.633677158057694, -49397.08467939601 6626796.127071661 55.63367740392685, -49397.06915829249 6626795.632095189 55.64367765724659, -49397.07724459155 6626795.098969665 55.643677947819235, -49397.09713459073 6626794.546769609 55.64367826074362, -49397.17238035321 6626793.717553845 55.66367877483368, -49397.2829825487 6626792.498706567 55.68367952734232, -49397.3872569286 6626791.460595793 55.703680168092255, -49397.56046745984 6626789.884808385 55.743681166470054, -49397.821706876624 6626787.893950681 55.793682462871075, -49398.11289968691 6626785.795010049 55.84368384122848, -49398.23443538952 6626784.788684061 55.86368448197842, -49398.755629608175 6626784.040226341 55.863685323894025)</t>
  </si>
  <si>
    <t>POINT (-49400.28166589892 6626810.0383875435)</t>
  </si>
  <si>
    <t>['FV510 S3D1 m3481-3521']</t>
  </si>
  <si>
    <t>LINESTRING Z (-35484.89 6567843.3 23.649669551849367, -35452.84 6567867.45 24.03967937171459)</t>
  </si>
  <si>
    <t>POINT (-35468.865 6567855.375)</t>
  </si>
  <si>
    <t>[4540]</t>
  </si>
  <si>
    <t>['FV4540 S1D1 m1424-1494']</t>
  </si>
  <si>
    <t>LINESTRING Z (-35318.18 6568910.09 9.409675318598747, -35306.83 6568923.14 9.239678581953049, -35288.19 6568954.53 8.71968345463276, -35282.47 6568970.08 8.379684669077397)</t>
  </si>
  <si>
    <t>POINT (-35298.32760103534 6568938.899894667)</t>
  </si>
  <si>
    <t>2021-07-14</t>
  </si>
  <si>
    <t>['FV4610 S1D1 m698-727']</t>
  </si>
  <si>
    <t>LINESTRING (-34284.87239123217 6583144.792425404, -34279.4065942032 6583172.507729114)</t>
  </si>
  <si>
    <t>POINT (-34282.13949271769 6583158.650077259)</t>
  </si>
  <si>
    <t>2021-07-16</t>
  </si>
  <si>
    <t>[4684]</t>
  </si>
  <si>
    <t>['FV4684 S1D1 m5299-5334']</t>
  </si>
  <si>
    <t>LINESTRING (-17408.6691330194 6591140.07528574, -17395.678697766212 6591173.665759541)</t>
  </si>
  <si>
    <t>POINT (-17402.173915392807 6591156.870522641)</t>
  </si>
  <si>
    <t>['FV4684 S1D1 m5603-5614']</t>
  </si>
  <si>
    <t>LINESTRING (-17348.345052912657 6591445.626983398, -17347.329154933803 6591434.31960746)</t>
  </si>
  <si>
    <t>POINT (-17347.83710392323 6591439.973295429)</t>
  </si>
  <si>
    <t>['FV44 S18D1 m4322-4371']</t>
  </si>
  <si>
    <t>LINESTRING (-31524.80545071303 6571231.551756084, -31521.75014889764 6571183.4405202875)</t>
  </si>
  <si>
    <t>POINT (-31523.277799805335 6571207.496138185)</t>
  </si>
  <si>
    <t>['FV44 S18D1 m4352-4400']</t>
  </si>
  <si>
    <t>LINESTRING (-31545.14749188104 6571259.443939745, -31542.324958099052 6571215.267614335)</t>
  </si>
  <si>
    <t>POINT (-31543.736224990047 6571237.35577704)</t>
  </si>
  <si>
    <t>['FV40 S2D1 m2005-2069']</t>
  </si>
  <si>
    <t>LINESTRING (214795.19432265538 6569062.92132023, 214796.28298954567 6569057.92147812, 214801.7627138177 6569031.186999375, 214807.95140493364 6569000.051239237)</t>
  </si>
  <si>
    <t>2021-08-12</t>
  </si>
  <si>
    <t>2025-11-22T09:20:43Z</t>
  </si>
  <si>
    <t>['FV4780 S1D1 m3044-3089']</t>
  </si>
  <si>
    <t>LINESTRING Z (-39892.71360720205 6621315.195973969 -0.0989043340086937, -39886.89276027016 6621302.628239261 -0.0988630652427673, -39885.6359909937 6621282.122989951 -0.0987964048981667, -39888.546409434406 6621268.6953569325 -0.0987530276179314)</t>
  </si>
  <si>
    <t>POINT (-39887.51867166983 6621292.290971445)</t>
  </si>
  <si>
    <t>['FV4780 S1D1 m3116-3169']</t>
  </si>
  <si>
    <t>LINESTRING Z (-39895.872083167196 6621244.671250649 -0.0986755192279816, -39896.53354282107 6621242.091557618 -0.0986671894788742, -39897.12885751773 6621239.644156389 -0.0986592769622803, -39897.79031717137 6621237.395193812 -0.0986520200967789, -39898.1871919547 6621235.212377457 -0.098644956946373, -39898.716356649646 6621233.095706053 -0.098638117313385, -39899.37781630375 6621230.383721216 -0.098629355430603, -39900.03927596111 6621224.893605322 -0.0986115783452988, -39901.49449023814 6621208.158676552 -0.098557360470295, -39899.70854617213 6621191.093015432 -0.0985019207000732)</t>
  </si>
  <si>
    <t>POINT (-39899.76095281324 6621218.014139847)</t>
  </si>
  <si>
    <t>2021-08-13</t>
  </si>
  <si>
    <t>[5742]</t>
  </si>
  <si>
    <t>['FV5742 S6D1 m2575-2631']</t>
  </si>
  <si>
    <t>LINESTRING Z (57262.16809322912 6890098.203561406 263.09835992977025, 57259.85957804235 6890095.237292173 262.878361710459, 57257.81014428561 6890093.001854673 262.76836303293703, 57253.10866049031 6890089.412259971 262.6083650892973, 57246.05984692264 6890084.389894451 262.2383679428697, 57239.483463510056 6890079.686015692 261.79837063252927, 57233.14986196073 6890074.778426688 261.25837346747517, 57228.736552255636 6890071.474097244 260.9283753785491, 57224.50577438122 6890068.726533937 260.48837693944574, 57221.50752745563 6890067.112625913 260.27837783351544, 57217.65769042296 6890066.191743821 260.148378239572)</t>
  </si>
  <si>
    <t>POINT (57240.853957029845 6890080.797788263)</t>
  </si>
  <si>
    <t>['FV5742 S6D1 m4817-4884']</t>
  </si>
  <si>
    <t>LINESTRING Z (59329.4265642151 6890729.238355525 225.23830832332374, 59324.450997187116 6890726.056757462 225.53830852821469, 59319.17550750886 6890722.138066858 225.76830896407367, 59313.09926577774 6890718.917741297 225.99830896034837, 59295.24057673878 6890711.074360539 226.56830834940075, 59288.01532565628 6890708.162002197 226.64830801412464, 59283.16082466737 6890706.609749674 226.64830762669445, 59277.05710246734 6890705.153339778 226.7483069524169, 59267.7774565267 6890703.095989048 226.80830586463213)</t>
  </si>
  <si>
    <t>POINT (59299.54229240798 6890713.9796124)</t>
  </si>
  <si>
    <t>2016-01-01</t>
  </si>
  <si>
    <t>['FV152 S2D1 m1333-1433']</t>
  </si>
  <si>
    <t>LINESTRING Z (261792.996190317 6621679.41920594 -999999, 261807.942636069 6621681.48726762 -999999, 261822.04305659 6621683.36732369 -999999, 261870.736508788 6621679.79521716 -999999, 261894.143206853 6621674.43705736 -999999)</t>
  </si>
  <si>
    <t>POINT (261843.70870737635 6621680.482858844)</t>
  </si>
  <si>
    <t>2021-09-14</t>
  </si>
  <si>
    <t>['FV167 S2D1 m3923-3979']</t>
  </si>
  <si>
    <t>LINESTRING (244847.99767540567 6639037.7613983955, 244856.2366192707 6639092.7961299)</t>
  </si>
  <si>
    <t>POINT (244852.11714733817 6639065.278764147)</t>
  </si>
  <si>
    <t>2021-10-05</t>
  </si>
  <si>
    <t>['FV2780 S1D1 m136-158']</t>
  </si>
  <si>
    <t>LINESTRING (196354.30544498214 6638895.596176406, 196373.20991603448 6638905.678396284)</t>
  </si>
  <si>
    <t>POINT (196363.7576805083 6638900.637286345)</t>
  </si>
  <si>
    <t>['FV2780 S1D1 m3431-3465']</t>
  </si>
  <si>
    <t>LINESTRING (198615.69188985298 6638580.178054626, 198630.53033140465 6638569.155855598, 198644.78191978403 6638563.0142912995)</t>
  </si>
  <si>
    <t>POINT (198629.74932029063 6638570.750264072)</t>
  </si>
  <si>
    <t>['FV2780 S1D1 m3813-3832']</t>
  </si>
  <si>
    <t>LINESTRING (198899.01534928096 6638348.599447762, 198916.01433806325 6638340.876522069)</t>
  </si>
  <si>
    <t>POINT (198907.5148436721 6638344.737984915)</t>
  </si>
  <si>
    <t>['FV2780 S1D1 m4076-4096']</t>
  </si>
  <si>
    <t>LINESTRING (199146.34692376037 6638265.177256956, 199161.4608063033 6638250.05642363)</t>
  </si>
  <si>
    <t>POINT (199153.90386503184 6638257.616840293)</t>
  </si>
  <si>
    <t>['FV2780 S1D1 m8946-8960']</t>
  </si>
  <si>
    <t>LINESTRING (201517.90838308813 6635188.552014514, 201525.31800356915 6635185.61393559, 201531.23219395365 6635181.964750108)</t>
  </si>
  <si>
    <t>POINT (201524.71610323107 6635185.548902843)</t>
  </si>
  <si>
    <t>['FV319 S1D1 m39-72']</t>
  </si>
  <si>
    <t>LINESTRING (232055.40011418797 6629271.867075178, 232053.05877672427 6629257.222100127, 232048.9886544533 6629238.5446382295)</t>
  </si>
  <si>
    <t>POINT (232052.42426310017 6629255.162469113)</t>
  </si>
  <si>
    <t>['FV319 S1D1 m2142-2194']</t>
  </si>
  <si>
    <t>LINESTRING (231739.78106980323 6630985.961800928, 231792.1285352296 6630984.113350144)</t>
  </si>
  <si>
    <t>POINT (231765.9548025164 6630985.0375755355)</t>
  </si>
  <si>
    <t>2021-10-06</t>
  </si>
  <si>
    <t>['FV319 S2D1 m8529-8557']</t>
  </si>
  <si>
    <t>LINESTRING (240500.6957671206 6620321.283501652, 240510.72891477685 6620295.368193011)</t>
  </si>
  <si>
    <t>POINT (240505.71234094872 6620308.325847331)</t>
  </si>
  <si>
    <t>2021-10-11</t>
  </si>
  <si>
    <t>[5156]</t>
  </si>
  <si>
    <t>['FV5156 S3D1 m65-127']</t>
  </si>
  <si>
    <t>LINESTRING Z (-30327.425509863417 6714241.52099944 63.83377757161856, -30328.719676681212 6714241.135789505 63.87377634227276, -30329.68326759804 6714240.841202958 63.90377545565367, -30330.439791827346 6714240.60825 63.92377476274967, -30332.098152384744 6714240.095205385 63.9637732577324, -30332.574953886447 6714239.947455357 63.98377282559872, -30333.539458326763 6714239.642880857 64.01377196878195, -30335.46846722858 6714239.033731845 64.06377025514841, -30338.343831749517 6714238.098205429 64.1537678039074, -30338.43646367092 6714238.076463072 64.15376769959927, -30341.220109828282 6714237.152691034 64.2337653824687, -30343.131883451715 6714236.511751146 64.29376382529736, -30344.930135806324 6714235.9007145455 64.35376237988473, -30346.958171266364 6714235.199907498 64.41376079291105, -30347.915428358014 6714234.864455621 64.44376006275415, -30350.767223797273 6714233.856272974 64.53375791698694, -30351.245852356078 6714233.6885470245 64.55375755190849, -30351.714492977946 6714233.519907581 64.56375720918179, -30352.193121539894 6714233.352181631 64.58375684410333, -30352.672663598205 6714233.174467742 64.5937565162778, -30355.037669615354 6714232.3131216075 64.673754824996, -30357.404502663063 6714231.431799563 64.74375320076942, -30358.352685385267 6714231.085446194 64.77375252276659, -30362.130007931846 6714229.648266003 64.89375004172325, -30364.01005154685 6714228.913780469 64.95374887943268, -30366.830117017147 6714227.812052133 65.04374712854624, -30369.642935088603 6714226.679446432 65.13374550431966, -30371.432173849316 6714225.9467273075 65.19374451339245, -30371.51481785404 6714225.9240714405 65.19374443143606, -30371.97621108871 6714225.724554627 65.21374420791865, -30372.44667877094 6714225.535939248 65.22374393224716, -30372.907158513786 6714225.346410374 65.243743686378, -30373.378539693193 6714225.147807051 65.25374344050884, -30375.242261556676 6714224.371542642 65.3137424570322, -30375.97521668428 6714224.065933439 65.33374206960201, -30376.174122498254 6714223.9834104255 65.34374196529389, -30379.88433092553 6714222.399090701 65.46374014735223, -30380.81710539118 6714222.000970519 65.49373968541622, -30381.7408054166 6714221.591948898 65.52373928308486, -30383.79709925037 6714220.692296104 65.5937383517623, -30385.43469208246 6714219.965850282 65.64373765140772, -30386.10680611909 6714219.664748014 65.66373736828565)</t>
  </si>
  <si>
    <t>POINT (-30357.001927882302 6714231.225937676)</t>
  </si>
  <si>
    <t>['FV5156 S2D1 m829-850', 'FV5156 S3D1 m0-36']</t>
  </si>
  <si>
    <t>LINESTRING Z (-30241.142991392408 6714252.644567455 61.94390940219164, -30244.07432477537 6714252.3083782485 61.973904753029345, -30246.05034991866 6714252.066103238 61.99390166848898, -30246.2128972793 6714252.050755369 61.99390140026808, -30246.702366353595 6714251.984735902 61.9939006626606, -30248.362371245632 6714251.784058047 62.013898062407975, -30249.015301187872 6714251.692702779 62.023897078931334, -30249.50385677826 6714251.636671239 62.02389630407095, -30249.70818285353 6714251.605001493 62.02389601349831, -30249.840766429552 6714251.586913136 62.02389581233263, -30251.175676628598 6714251.416931008 62.0438937485218, -30251.981166023994 6714251.309314375 62.05389252662659, -30253.26613659435 6714251.13476477 62.06389058202505, -30253.93995591812 6714251.035248557 62.07388959109783, -30253.95993177907 6714251.037075547 62.07388953894377, -30253.99080906529 6714251.029828101 62.073889509141445, -30254.51115545642 6714250.956561182 62.08388872683049, -30254.542032743106 6714250.949313737 62.083888689577584, -30254.612861750764 6714250.945720274 62.083888562917714, -30256.817756487173 6714250.62366281 62.10388529956341, -30257.899314513546 6714250.470795019 62.123883690238, -30258.869178320514 6714250.327854638 62.133882259726526, -30258.89006767713 6714250.319693696 62.133882244825365, -30262.904847056954 6714249.699880006 62.183876425921916, -30263.14005044289 6714249.660962808 62.18387609064579, -30263.803881889442 6714249.560533086 62.19387512207032, -30266.25853558851 6714249.150532219 62.2338716724515, -30268.723177267355 6714248.741444831 62.26386820048094, -30269.0510125343 6714248.680785289 62.273867753446105, -30269.705769576016 6714248.56945413 62.28386684447527, -30271.353106874158 6714248.287045765 62.30386454969645, -30271.40487352328 6714248.271637375 62.303864504992966, -30271.435750813805 6714248.2643899275 62.30386446774006, -30271.97790013242 6714248.172974115 62.31386370778084, -30272.69441177114 6714248.047148061 62.3238627243042, -30273.627064450877 6714247.8705898775 62.333861480057244, -30275.583174716565 6714247.515707017 62.37385882765055, -30275.850168912788 6714247.459554433 62.373858492374424, -30277.551099933917 6714247.141761786 62.403856219947336, -30278.524617875228 6714246.958869633 62.41385492354632, -30279.67341164651 6714246.7315793 62.433853433430194, -30281.45790016104 6714246.381142865 62.46385110139847, -30283.407676596427 6714245.9853947405 62.50384860545397, -30287.309056547587 6714245.173922599 62.57384367316961, -30288.284401554265 6714244.971054558 62.59384244382382, -30290.720053875004 6714244.438457854 62.633839456141, -30293.146631803596 6714243.8949597115 62.68383652806282, -30295.57412327442 6714243.341473608 62.73383362978697, -30298.002528286655 6714242.777999556 62.78383076876402, -30298.970625926857 6714242.544254182 62.803829658627514)</t>
  </si>
  <si>
    <t>POINT (-30270.159629355505 6714248.185965562)</t>
  </si>
  <si>
    <t>['EV18 S27D1 m1508-1596']</t>
  </si>
  <si>
    <t>LINESTRING Z (196003.1150385592 6563432.000255912 27.71, 196003.0959158549 6563432.011877181 27.7, 196012.1004182943 6563437.935447693 27.73, 196018.83072380006 6563442.098871677 27.82, 196021.1660129642 6563443.261527023 27.86, 196029.54177999182 6563446.314990638 28.01, 196037.5926321246 6563449.325007505 28.14, 196044.95393310912 6563452.010419274 28.32, 196049.2577452871 6563453.542634928 28.42, 196054.13432850433 6563454.83674305 28.54, 196063.04678160348 6563456.972263277 28.75, 196070.60979579767 6563458.817613845 28.96, 196076.9530245972 6563460.362083277 29.12, 196078.2276200374 6563460.718684333 29.16, 196080.08197369432 6563461.5294575505 29.2, 196084.8457773812 6563463.646236159 29.32, 196085.13574219123 6563463.752818311 29.330000000000002, 196079.0023295798 6563460.494017538 29.19, 196068.69532545423 6563456.063774745 28.97, 196058.92991927732 6563451.990442123 28.77, 196047.9572582253 6563447.524819854 28.53, 196038.59802833467 6563443.749295147 28.330000000000002, 196029.38657849777 6563440.182471661 28.16, 196017.70901875064 6563435.935746349 27.95, 196006.45732521563 6563432.346693636 27.76, 196003.1150385592 6563432.000255912 27.71)</t>
  </si>
  <si>
    <t>POLYGON Z ((196003.1150385592 6563432.000255912 27.71, 196003.0959158549 6563432.011877181 27.7, 196012.1004182943 6563437.935447693 27.73, 196018.83072380006 6563442.098871677 27.82, 196021.1660129642 6563443.261527023 27.86, 196029.54177999182 6563446.314990638 28.01, 196037.5926321246 6563449.325007505 28.14, 196044.95393310912 6563452.010419274 28.32, 196049.2577452871 6563453.542634928 28.42, 196054.13432850433 6563454.83674305 28.54, 196063.04678160348 6563456.972263277 28.75, 196070.60979579767 6563458.817613845 28.96, 196076.9530245972 6563460.362083277 29.12, 196078.2276200374 6563460.718684333 29.16, 196080.08197369432 6563461.5294575505 29.2, 196084.8457773812 6563463.646236159 29.32, 196085.13574219123 6563463.752818311 29.330000000000002, 196079.0023295798 6563460.494017538 29.19, 196068.69532545423 6563456.063774745 28.97, 196058.92991927732 6563451.990442123 28.77, 196047.9572582253 6563447.524819854 28.53, 196038.59802833467 6563443.749295147 28.330000000000002, 196029.38657849777 6563440.182471661 28.16, 196017.70901875064 6563435.935746349 27.95, 196006.45732521563 6563432.346693636 27.76, 196003.1150385592 6563432.000255912 27.71))</t>
  </si>
  <si>
    <t>['EV18 S27D1 m16-95']</t>
  </si>
  <si>
    <t>LINESTRING Z (194701.49410827988 6563022.067688782 52.32, 194701.2313681129 6563021.075202491 52.34, 194699.86762794486 6563016.3579011 52.4, 194698.1753300209 6563012.039278774 52.54, 194697.2668255801 6563009.91524351 52.57, 194694.85300959426 6563004.642035979 52.660000000000004, 194692.0931982076 6562998.584050046 52.76, 194691.58402474975 6562997.039556429 52.800000000000004, 194690.84606520552 6562994.670476966 52.86, 194689.58887272322 6562990.878232964 52.95, 194687.6953726912 6562986.676647113 53.08, 194684.45870560943 6562981.53166645 53.2, 194681.0550481493 6562976.310107609 53.39, 194677.60408159235 6562971.002083288 53.59, 194675.6726160511 6562971.081316107 53.69, 194680.89004522422 6562983.915119645 53.44, 194684.78276832757 6562993.23337638 53.24, 194688.54635409056 6563001.8393125115 53.050000000000004, 194692.91763107403 6563011.359029339 52.84, 194696.93237390008 6563019.723302284 52.620000000000005, 194699.5747556024 6563024.967585309 52.480000000000004, 194703.01710276114 6563031.87291918 52.28, 194708.65835288365 6563042.422406898 51.94, 194706.2831260636 6563036.643936985 52.09, 194705.33624032163 6563033.569129645 52.15, 194705.33219487767 6563031.089211587 52.15, 194703.205701656 6563026.13367914 52.28, 194701.49410827988 6563022.067688782 52.32)</t>
  </si>
  <si>
    <t>POLYGON Z ((194701.49410827988 6563022.067688782 52.32, 194701.2313681129 6563021.075202491 52.34, 194699.86762794486 6563016.3579011 52.4, 194698.1753300209 6563012.039278774 52.54, 194697.2668255801 6563009.91524351 52.57, 194694.85300959426 6563004.642035979 52.660000000000004, 194692.0931982076 6562998.584050046 52.76, 194691.58402474975 6562997.039556429 52.800000000000004, 194690.84606520552 6562994.670476966 52.86, 194689.58887272322 6562990.878232964 52.95, 194687.6953726912 6562986.676647113 53.08, 194684.45870560943 6562981.53166645 53.2, 194681.0550481493 6562976.310107609 53.39, 194677.60408159235 6562971.002083288 53.59, 194675.6726160511 6562971.081316107 53.69, 194680.89004522422 6562983.915119645 53.44, 194684.78276832757 6562993.23337638 53.24, 194688.54635409056 6563001.8393125115 53.050000000000004, 194692.91763107403 6563011.359029339 52.84, 194696.93237390008 6563019.723302284 52.620000000000005, 194699.5747556024 6563024.967585309 52.480000000000004, 194703.01710276114 6563031.87291918 52.28, 194708.65835288365 6563042.422406898 51.94, 194706.2831260636 6563036.643936985 52.09, 194705.33624032163 6563033.569129645 52.15, 194705.33219487767 6563031.089211587 52.15, 194703.205701656 6563026.13367914 52.28, 194701.49410827988 6563022.067688782 52.32))</t>
  </si>
  <si>
    <t>['EV18 S27D1 m822-873']</t>
  </si>
  <si>
    <t>LINESTRING Z (195365.9360547327 6563366.855877833 31.470000000000002, 195364.39069481473 6563366.260565006 31.490000000000002, 195359.08869843645 6563364.8007614855 31.5, 195346.90961415425 6563363.3568380615 31.55, 195338.0578294575 6563362.320843974 31.62, 195335.75323882303 6563362.380702036 31.63, 195332.49350323516 6563362.7905902015 31.66, 195326.04623163329 6563363.755023622 31.75, 195325.06892539066 6563363.715267648 31.77, 195324.91269882757 6563364.862859664 31.810000000000002, 195334.513140878 6563366.088038856 31.75, 195347.23490905686 6563367.537334936 31.63, 195355.69361129298 6563368.555596339 31.55, 195367.68584397977 6563369.804085518 31.44, 195370.8278551869 6563370.1570325205 31.41, 195375.21324349946 6563370.367090214 31.37, 195370.255767186 6563369.4311041655 31.41, 195367.34578730538 6563368.848116909 31.44, 195366.9909510708 6563368.807142025 31.44, 195365.9360547327 6563366.855877833 31.470000000000002)</t>
  </si>
  <si>
    <t>POLYGON Z ((195365.9360547327 6563366.855877833 31.470000000000002, 195364.39069481473 6563366.260565006 31.490000000000002, 195359.08869843645 6563364.8007614855 31.5, 195346.90961415425 6563363.3568380615 31.55, 195338.0578294575 6563362.320843974 31.62, 195335.75323882303 6563362.380702036 31.63, 195332.49350323516 6563362.7905902015 31.66, 195326.04623163329 6563363.755023622 31.75, 195325.06892539066 6563363.715267648 31.77, 195324.91269882757 6563364.862859664 31.810000000000002, 195334.513140878 6563366.088038856 31.75, 195347.23490905686 6563367.537334936 31.63, 195355.69361129298 6563368.555596339 31.55, 195367.68584397977 6563369.804085518 31.44, 195370.8278551869 6563370.1570325205 31.41, 195375.21324349946 6563370.367090214 31.37, 195370.255767186 6563369.4311041655 31.41, 195367.34578730538 6563368.848116909 31.44, 195366.9909510708 6563368.807142025 31.44, 195365.9360547327 6563366.855877833 31.470000000000002))</t>
  </si>
  <si>
    <t>['EV18 S27D1 m646-697']</t>
  </si>
  <si>
    <t>LINESTRING Z (195150.45314015797 6563340.686710354 34.1, 195150.86895039718 6563341.465717117 34.1, 195153.9067012383 6563344.689099659 33.99, 195157.5067733035 6563347.1832049 33.97, 195160.0947079984 6563348.365164183 33.92, 195179.31319374597 6563352.972992346 33.75, 195184.25639483018 6563351.791409754 33.56, 195189.65083643736 6563351.817689894 33.46, 195200.32381479448 6563352.412023706 33.31, 195200.26761350792 6563351.974842131 33.29, 195194.49373662187 6563350.27285946 33.36, 195181.42729611218 6563347.325730482 33.55, 195167.35774655367 6563344.391183632 33.77, 195154.1698030578 6563341.675003782 34.03, 195150.45314015797 6563340.686710354 34.1)</t>
  </si>
  <si>
    <t>POLYGON Z ((195150.45314015797 6563340.686710354 34.1, 195150.86895039718 6563341.465717117 34.1, 195153.9067012383 6563344.689099659 33.99, 195157.5067733035 6563347.1832049 33.97, 195160.0947079984 6563348.365164183 33.92, 195179.31319374597 6563352.972992346 33.75, 195184.25639483018 6563351.791409754 33.56, 195189.65083643736 6563351.817689894 33.46, 195200.32381479448 6563352.412023706 33.31, 195200.26761350792 6563351.974842131 33.29, 195194.49373662187 6563350.27285946 33.36, 195181.42729611218 6563347.325730482 33.55, 195167.35774655367 6563344.391183632 33.77, 195154.1698030578 6563341.675003782 34.03, 195150.45314015797 6563340.686710354 34.1))</t>
  </si>
  <si>
    <t>['EV18 S27D1 m1147 KD1 m213-247']</t>
  </si>
  <si>
    <t>LINESTRING Z (195387.4015375618 6563346.033832801 34.79, 195387.5013572118 6563345.90508859 34.81, 195385.96832292544 6563346.674395433 34.730000000000004, 195378.86464756256 6563349.7816806 34.33, 195372.80639184924 6563351.808493021 33.97, 195365.66186087218 6563353.935091182 33.53, 195359.59141674213 6563355.571294033 33.22, 195353.83782041539 6563356.9102008 32.92, 195356.99301536445 6563357.4227223275 33.3, 195359.73930143035 6563357.9690264 33.37, 195363.60615986754 6563358.101426128 33.64, 195367.18942024547 6563357.35352446 33.88, 195374.2061166269 6563355.016575293 34.230000000000004, 195379.33997174946 6563353.34729414 34.27, 195382.14101633854 6563352.854804159 34.39, 195382.183381768 6563352.881428454 34.39, 195385.1275211447 6563352.176287387 34.5, 195386.86062374973 6563350.546969217 34.64, 195386.9487362727 6563350.519606771 34.65, 195387.4015375618 6563346.033832801 34.79)</t>
  </si>
  <si>
    <t>POLYGON Z ((195387.4015375618 6563346.033832801 34.79, 195387.5013572118 6563345.90508859 34.81, 195385.96832292544 6563346.674395433 34.730000000000004, 195378.86464756256 6563349.7816806 34.33, 195372.80639184924 6563351.808493021 33.97, 195365.66186087218 6563353.935091182 33.53, 195359.59141674213 6563355.571294033 33.22, 195353.83782041539 6563356.9102008 32.92, 195356.99301536445 6563357.4227223275 33.3, 195359.73930143035 6563357.9690264 33.37, 195363.60615986754 6563358.101426128 33.64, 195367.18942024547 6563357.35352446 33.88, 195374.2061166269 6563355.016575293 34.230000000000004, 195379.33997174946 6563353.34729414 34.27, 195382.14101633854 6563352.854804159 34.39, 195382.183381768 6563352.881428454 34.39, 195385.1275211447 6563352.176287387 34.5, 195386.86062374973 6563350.546969217 34.64, 195386.9487362727 6563350.519606771 34.65, 195387.4015375618 6563346.033832801 34.79))</t>
  </si>
  <si>
    <t>2021-10-20</t>
  </si>
  <si>
    <t>['FV109 S2D1 m4326-4385']</t>
  </si>
  <si>
    <t>LINESTRING (273893.334808144 6576670.358402193, 273942.71020350885 6576637.276594977)</t>
  </si>
  <si>
    <t>POINT (273918.02250582643 6576653.817498585)</t>
  </si>
  <si>
    <t>2021-11-03</t>
  </si>
  <si>
    <t>[4586]</t>
  </si>
  <si>
    <t>['FV4586 S1D1 m1362-1384']</t>
  </si>
  <si>
    <t>LINESTRING Z (-33874.61001181102 6576366.768855224 39.77, -33874.185550761176 6576367.677228192 39.71, -33871.49621967925 6576373.14480483 39.31, -33867.924387833686 6576380.466379856 38.75, -33865.22235990176 6576385.9630232975 38.32, -33864.76883134153 6576386.85869969 38.24)</t>
  </si>
  <si>
    <t>POINT (-33869.70263628386 6576376.820206643)</t>
  </si>
  <si>
    <t>2025-11-22T09:20:48Z</t>
  </si>
  <si>
    <t>['FV352 S1D1 m3151-3208']</t>
  </si>
  <si>
    <t>LINESTRING Z (196968.16999999998 6554602.02 0.04, 196981.4 6554581.03 0.04, 196988.01 6554569.96 0.04, 196998.09 6554551.61 0.04, 196994.78 6554562.19 0.04, 196989.66 6554571.94 0.04, 196984.54 6554580.37 0.04, 196979.74 6554589.13 0.04, 196974.45 6554595.74 0.04, 196968.16999999998 6554602.02 0.04)</t>
  </si>
  <si>
    <t>POLYGON Z ((196968.16999999998 6554602.02 0.04, 196981.4 6554581.03 0.04, 196988.01 6554569.96 0.04, 196998.09 6554551.61 0.04, 196994.78 6554562.19 0.04, 196989.66 6554571.94 0.04, 196984.54 6554580.37 0.04, 196979.74 6554589.13 0.04, 196974.45 6554595.74 0.04, 196968.16999999998 6554602.02 0.04))</t>
  </si>
  <si>
    <t>['FV402 S4D1 m4861-4938']</t>
  </si>
  <si>
    <t>LINESTRING Z (104878.892 6484295.103 59.355, 104877.439 6484297.637 59.175, 104871.871 6484307.645 58.463, 104867.744 6484314.415 58.002, 104863.602 6484320.724 57.605, 104856.023 6484332.882 56.87, 104851.268 6484340.919 56.429, 104849.802 6484343.324 56.315, 104841.564 6484355.832 55.742, 104839.551 6484359.511 55.594)</t>
  </si>
  <si>
    <t>POINT (104859.42818811823 6484327.433928252)</t>
  </si>
  <si>
    <t>['EV6 S190D1 m1087-1332']</t>
  </si>
  <si>
    <t>LINESTRING Z (723160.19 7756505.78 96.978, 723163.31 7756504.88 97.058, 723165.03 7756504.38 97.098, 723169.87 7756502.99 97.208, 723171.8 7756502.43 97.258, 723174.67 7756501.6 97.318, 723178.58 7756500.48 97.388, 723179.55 7756500.2 97.408, 723183.99 7756498.92 97.488, 723185.36 7756498.52 97.508, 723189.23 7756497.41 97.568, 723192.13 7756496.57 97.608, 723193.76 7756496.1 97.638, 723193.91 7756496.06 97.638, 723194.07 7756496.01 97.638, 723198.71 7756494.13 97.708, 723199.64 7756493.75 97.718, 723200.43 7756493.43 97.738, 723200.57 7756493.37 97.738, 723201.45 7756493.02 97.748, 723202.42 7756492.62 97.768, 723203.35 7756492.25 97.788, 723203.69 7756492.11 97.798, 723204.28 7756491.87 97.818, 723205.2 7756491.49 97.838, 723205.45 7756491.4 97.838, 723206.13 7756491.12 97.858, 723206.33 7756491.03 97.858, 723207.06 7756490.74 97.878, 723207.98 7756490.37 97.898, 723208.49 7756490.16 97.908, 723208.63 7756490.1 97.908, 723208.73 7756490.07 97.918, 723208.9 7756489.99 97.918, 723209.83 7756489.62 97.938, 723210.76 7756489.25 97.958, 723211.31 7756489.02 97.978, 723211.69 7756488.87 97.978, 723212.35 7756488.6 97.998, 723212.61 7756488.5 97.998, 723212.69 7756488.47 98.008, 723213.54 7756488.12 98.028, 723214.47 7756487.75 98.048, 723215.4 7756487.37 98.068, 723216.32 7756487 98.088, 723216.48 7756486.94 98.088, 723216.57 7756486.9 98.088, 723217.08 7756486.7 98.108, 723217.25 7756486.63 98.108, 723217.81 7756486.4 98.118, 723218.18 7756486.25 98.128, 723219.11 7756485.88 98.148, 723220.03 7756485.5 98.168, 723220.92 7756485.15 98.188, 723221.06 7756485.09 98.198, 723221.16 7756485.05 98.198, 723221.89 7756484.76 98.208, 723222.82 7756484.38 98.238, 723223.19 7756484.23 98.238, 723223.74 7756484.01 98.258, 723224.67 7756483.63 98.278, 723225.09 7756483.47 98.288, 723225.6 7756483.26 98.298, 723226.53 7756482.89 98.318, 723227.45 7756482.51 98.338, 723228.38 7756482.14 98.358, 723228.91 7756481.92 98.369, 723229 7756481.89 98.379, 723229.31 7756481.76 98.379, 723229.51 7756481.68 98.389, 723229.87 7756481.54 98.399, 723230.24 7756481.39 98.399, 723231.17 7756481.01 98.419, 723232.09 7756480.64 98.449, 723232.56 7756480.45 98.459, 723233.02 7756480.27 98.469, 723233.54 7756480.06 98.479, 723233.95 7756479.89 98.489, 723234.88 7756479.52 98.509, 723235.8 7756479.14 98.529, 723236.73 7756478.77 98.549, 723237.51 7756478.46 98.569, 723237.66 7756478.4 98.569, 723237.72 7756478.37 98.569, 723238.59 7756478.02 98.589, 723239.51 7756477.65 98.609, 723240.44 7756477.27 98.629, 723241.37 7756476.9 98.659, 723242.3 7756476.53 98.679, 723243.22 7756476.15 98.699, 723244.15 7756475.78 98.719, 723245.08 7756475.4 98.739, 723245.25 7756475.34 98.739, 723246.01 7756475.03 98.759, 723246.94 7756474.65 98.779, 723247.28 7756474.52 98.789, 723247.86 7756474.28 98.799, 723248.79 7756473.91 98.819, 723249.72 7756473.53 98.839, 723250.65 7756473.16 98.869, 723251.57 7756472.78 98.889, 723252.5 7756472.41 98.909, 723253.43 7756472.04 98.929, 723254.36 7756471.66 98.949, 723254.99 7756471.41 98.959, 723255.28 7756471.29 98.969, 723256.21 7756470.91 98.989, 723257.14 7756470.54 99.009, 723258.07 7756470.17 99.029, 723258.99 7756469.79 99.049, 723259.92 7756469.42 99.079, 723260.85 7756469.04 99.099, 723261.78 7756468.67 99.119, 723262.7 7756468.29 99.139, 723262.96 7756468.19 99.139, 723263.63 7756467.92 99.159, 723264.07 7756467.74 99.169, 723264.56 7756467.55 99.179, 723265.49 7756467.17 99.199, 723266.41 7756466.8 99.219, 723267.34 7756466.42 99.239, 723268.27 7756466.05 99.259, 723269.2 7756465.68 99.289, 723270.12 7756465.3 99.309, 723270.58 7756465.12 99.319, 723271.05 7756464.93 99.329, 723271.98 7756464.55 99.349, 723272.91 7756464.18 99.369, 723273.84 7756463.8 99.389, 723274.76 7756463.43 99.409, 723275.69 7756463.06 99.429, 723276.62 7756462.68 99.449, 723277.55 7756462.31 99.469, 723278.47 7756461.93 99.489, 723278.76 7756461.82 99.499, 723279.4 7756461.56 99.519, 723280.33 7756461.19 99.539, 723280.47 7756461.13 99.539, 723281.26 7756460.81 99.559, 723282.18 7756460.44 99.579, 723283.11 7756460.06 99.599, 723284.04 7756459.69 99.619, 723284.14 7756459.65 99.619, 723284.97 7756459.32 99.639, 723285.89 7756458.94 99.659, 723286.82 7756458.57 99.679, 723286.9 7756458.54 99.689, 723287.5 7756458.29 99.699, 723287.75 7756458.19 99.699, 723288.68 7756457.82 99.729, 723289.6 7756457.44 99.749, 723290.53 7756457.07 99.769, 723291.46 7756456.7 99.789, 723292.39 7756456.32 99.809, 723293.31 7756455.95 99.829, 723294.24 7756455.57 99.849, 723295.12 7756455.22 99.869, 723295.27 7756455.16 99.869, 723295.36 7756455.12 99.879, 723296.1 7756454.83 99.889, 723297.03 7756454.45 99.909, 723297.92 7756454.09 99.929, 723298.88 7756453.7 99.959, 723299.1 7756453.61 99.959, 723299.81 7756453.33 99.979, 723300.74 7756452.96 99.999, 723301.09 7756452.81 100.009, 723301.66 7756452.58 100.019, 723302.59 7756452.21 100.039, 723303.12 7756451.99 100.049, 723303.21 7756451.96 100.049, 723303.52 7756451.83 100.059, 723303.71 7756451.75 100.069, 723304.45 7756451.46 100.079, 723305.14 7756451.18 100.099, 723305.37 7756451.08 100.099, 723306.05 7756450.81 100.119, 723306.3 7756450.71 100.119, 723307.23 7756450.34 100.149, 723308.16 7756449.96 100.169, 723309.08 7756449.59 100.189, 723310.01 7756449.21 100.209, 723310.94 7756448.84 100.229, 723311.81 7756448.49 100.249, 723311.87 7756448.47 100.249, 723311.93 7756448.44 100.249, 723312.79 7756448.09 100.269, 723313.72 7756447.72 100.289, 723314.65 7756447.34 100.309, 723315.58 7756446.97 100.329, 723316.51 7756446.6 100.359, 723317.16 7756446.33 100.369, 723317.28 7756446.28 100.369, 723317.43 7756446.22 100.379, 723318.36 7756445.85 100.399, 723319.29 7756445.47 100.419, 723319.81 7756445.26 100.429, 723319.96 7756445.2 100.429, 723320.05 7756445.17 100.439, 723321.78 7756444.47 100.469, 723327.8 7756442.04 100.609, 723327.86 7756442.02 100.609, 723328.4 7756441.8 100.619, 723328.56 7756441.73 100.629, 723334.24 7756439.44 100.759, 723336.42 7756438.56 100.809, 723337.84 7756437.99 100.839, 723338.16 7756437.86 100.849, 723340.41 7756436.95 100.899, 723340.57 7756436.89 100.899, 723343.08 7756435.88 100.959, 723344.03 7756435.49 100.979, 723347.12 7756434.25 101.049, 723348.04 7756433.88 101.069, 723348.97 7756433.5 101.089, 723349.9 7756433.13 101.109, 723350.83 7756432.75 101.129, 723351.75 7756432.38 101.149, 723352.68 7756432 101.169, 723353.61 7756431.63 101.189, 723354.54 7756431.26 101.219, 723355.46 7756430.88 101.239, 723356.39 7756430.51 101.259, 723357.29 7756430.05 101.279, 723358.18 7756429.59 101.309, 723359.07 7756429.13 101.329, 723359.97 7756428.67 101.349, 723360.86 7756428.21 101.379, 723361.75 7756427.75 101.399, 723362.65 7756427.3 101.419, 723363.54 7756426.84 101.449, 723364.43 7756426.38 101.469, 723365.33 7756425.92 101.489, 723366.22 7756425.46 101.519, 723367.11 7756425 101.539, 723368.01 7756424.54 101.569, 723368.9 7756424.08 101.589, 723369.79 7756423.62 101.609, 723370.69 7756423.16 101.639, 723371.58 7756422.71 101.659, 723372.47 7756422.25 101.679, 723373.37 7756421.79 101.709, 723374.26 7756421.33 101.729, 723375.15 7756420.87 101.759, 723376.05 7756420.41 101.779, 723376.94 7756419.95 101.799, 723377.83 7756419.49 101.829, 723378.73 7756419.03 101.849, 723379.62 7756418.58 101.869, 723380.51 7756418.12 101.899, 723381.41 7756417.66 101.919, 723382.3 7756417.2 101.949, 723383.19 7756416.74 101.969, 723384.09 7756416.28 101.989, 723384.98 7756415.82 102.019, 723385.87 7756415.36 102.039, 723386.77 7756414.9 102.059, 723387.66 7756414.45 102.089)</t>
  </si>
  <si>
    <t>POINT (723274.9956373231 7756462.816068994)</t>
  </si>
  <si>
    <t>[662]</t>
  </si>
  <si>
    <t>['FV662 S2D1 m5520-5604']</t>
  </si>
  <si>
    <t>LINESTRING Z (92131.08 6984775.85 42.535, 92132.99 6984776.49 42.505, 92126.44 6984792.46 42.575, 92121.19 6984803.82 42.715, 92113.81 6984818.84 42.735, 92106.94 6984831 42.575, 92094.03 6984850.51 42.435, 92093.88 6984850.16 42.465)</t>
  </si>
  <si>
    <t>POINT (92115.32784764243 6984813.574282459)</t>
  </si>
  <si>
    <t>['FV50 S2D1 m9953-10055']</t>
  </si>
  <si>
    <t>LINESTRING Z (119312.573 6744902.403 786.978, 119307.724 6744907.006 786.662, 119300.556 6744913.628 786.091, 119292.174 6744921.605 785.475, 119283.831 6744929.232 784.95, 119274.323 6744937.1 784.362, 119265.286 6744944.696 783.795, 119256.41 6744952.231 783.171, 119247.579 6744959.685 782.55, 119240.223 6744965.792 782.012, 119236.375 6744969.025 781.781, 119235.867 6744969.184 781.743)</t>
  </si>
  <si>
    <t>POINT (119274.69967623056 6744936.368610885)</t>
  </si>
  <si>
    <t>['FV40 S27D1 m14485-14592']</t>
  </si>
  <si>
    <t>LINESTRING Z (129300.399719 6725276.592507 976.038, 129303.235314 6725282.892172 976.591, 129308.160192 6725292.798739 977.435, 129314.303572 6725303.995957 978.347, 129320.82777 6725315.694445 979.286, 129327.786306 6725328.226263 980.208, 129334.376492 6725340.327085 981.075, 129338.307228 6725348.481903 981.765, 129343.667046 6725360.690281 982.624, 129346.953721 6725368.676713 983.318, 129348.078639 6725371.351928 983.544)</t>
  </si>
  <si>
    <t>POINT (129324.82408535303 6725323.693471872)</t>
  </si>
  <si>
    <t>['FV420 S6D1 m3039-3118']</t>
  </si>
  <si>
    <t>LINESTRING Z (128098.813 6487377.189 57.224, 128110.331 6487373.988 57.302, 128115.641 6487372.754 57.339, 128123.96 6487370.587 57.396, 128140.423 6487368.01 57.71, 128142.152 6487367.752 57.729, 128145.94 6487367.302 57.805, 128153.267 6487366.495 58.032, 128157.564 6487366.414 58.131, 128168.672 6487366.827 58.346, 128176.973 6487367.179 58.528, 128177.668 6487367.208 58.543)</t>
  </si>
  <si>
    <t>POINT (128137.94805995813 6487369.652580063)</t>
  </si>
  <si>
    <t>['FV32 S8D1 m3037-3126']</t>
  </si>
  <si>
    <t>LINESTRING Z (194788.85 6568808.01 10.133, 194788.76 6568808.51 10.143, 194788.67 6568809 10.143, 194788.58 6568809.5 10.153, 194788.49 6568809.99 10.163, 194788.4 6568810.48 10.163, 194788.31 6568810.98 10.173, 194788.22 6568811.47 10.183, 194788.13 6568811.97 10.193, 194788.04 6568812.46 10.193, 194787.95 6568812.96 10.203, 194787.86 6568813.45 10.213, 194787.77 6568813.94 10.213, 194787.68 6568814.44 10.223, 194787.59 6568814.93 10.233, 194787.5 6568815.43 10.243, 194787.41 6568815.92 10.243, 194787.32 6568816.41 10.253, 194787.23 6568816.9 10.263, 194787.13 6568817.39 10.263, 194787.04 6568817.89 10.273, 194786.95 6568818.38 10.283, 194786.86 6568818.88 10.293, 194786.76 6568819.37 10.293, 194786.67 6568819.87 10.303, 194786.58 6568820.36 10.313, 194786.48 6568820.85 10.323, 194786.39 6568821.35 10.333, 194786.3 6568821.81 10.333, 194786.21 6568822.34 10.343, 194786.12 6568822.83 10.353, 194786.02 6568823.33 10.363, 194785.93 6568823.82 10.363, 194785.84 6568824.32 10.373, 194785.77 6568824.65 10.383, 194785.74 6568824.81 10.383, 194785.63 6568825.3 10.393, 194785.52 6568825.79 10.403, 194785.41 6568826.28 10.413, 194785.3 6568826.78 10.413, 194785.19 6568827.28 10.423, 194785.08 6568827.77 10.433, 194784.97 6568828.26 10.443, 194784.86 6568828.75 10.453, 194784.75 6568829.24 10.463, 194784.64 6568829.74 10.473, 194784.53 6568830.23 10.473, 194784.42 6568830.72 10.483, 194784.31 6568831.21 10.493, 194784.2 6568831.71 10.503, 194784.09 6568832.2 10.513, 194783.98 6568832.7 10.523, 194783.87 6568833.19 10.533, 194783.77 6568833.68 10.543, 194783.66 6568834.17 10.553, 194783.55 6568834.66 10.563, 194783.44 6568835.15 10.573, 194783.33 6568835.65 10.573, 194783.22 6568836.14 10.583, 194783.11 6568836.64 10.593, 194783 6568837.13 10.603, 194782.89 6568837.62 10.613, 194782.83 6568838.11 10.623, 194782.77 6568838.61 10.633, 194782.71 6568839.11 10.643, 194782.65 6568839.61 10.653, 194782.59 6568840.1 10.663, 194782.53 6568840.6 10.663, 194782.47 6568841.1 10.673, 194782.41 6568841.59 10.683, 194782.36 6568842.09 10.693, 194782.3 6568842.59 10.703, 194782.24 6568843.08 10.713, 194782.17 6568843.58 10.723, 194782.11 6568844.08 10.723, 194782.05 6568844.58 10.733, 194781.99 6568845.07 10.743, 194781.93 6568845.57 10.753, 194781.87 6568846.07 10.763, 194781.81 6568846.56 10.773, 194781.75 6568847.06 10.783, 194781.69 6568847.56 10.783, 194781.63 6568848.05 10.793, 194781.57 6568848.55 10.803, 194781.51 6568849.05 10.813, 194781.5 6568849.22 10.813, 194781.47 6568849.4 10.823, 194781.46 6568849.54 10.823, 194781.4 6568850.04 10.833, 194781.34 6568850.54 10.843, 194781.31 6568850.73 10.843, 194781.28 6568851.05 10.853, 194781.22 6568851.54 10.853, 194781.16 6568852.04 10.863, 194781.1 6568852.54 10.873, 194781.04 6568853.03 10.883, 194780.98 6568853.53 10.893, 194780.92 6568854.03 10.903, 194780.86 6568854.52 10.913, 194780.8 6568855.02 10.923, 194780.77 6568855.32 10.923, 194780.74 6568855.52 10.933, 194780.7 6568856.01 10.933, 194780.67 6568856.51 10.943, 194780.63 6568856.85 10.953, 194780.62 6568857.01 10.953, 194780.59 6568857.24 10.953, 194780.57 6568857.55 10.963, 194780.52 6568858.12 10.963, 194780.47 6568858.69 10.973, 194780.44 6568859.26 10.973, 194780.41 6568859.83 10.983, 194780.37 6568860.41 10.983, 194780.35 6568860.98 10.993, 194780.34 6568861.56 10.993, 194780.33 6568862.13 11.003, 194780.32 6568862.7 11.003, 194780.32 6568863.27 11.013, 194780.33 6568863.86 11.023, 194780.35 6568864.43 11.023, 194780.36 6568865 11.033, 194780.38 6568865.57 11.033, 194780.41 6568866.15 11.043, 194780.44 6568866.72 11.043, 194780.48 6568867.3 11.053, 194780.52 6568867.87 11.053, 194780.58 6568868.44 11.063, 194780.62 6568869.01 11.063, 194780.68 6568869.3 11.063, 194780.74 6568869.58 11.073, 194780.85 6568870.14 11.073, 194780.97 6568870.7 11.073, 194781.1 6568871.26 11.083, 194781.23 6568871.83 11.083, 194781.36 6568872.38 11.083, 194781.5 6568872.94 11.093, 194781.65 6568873.49 11.093, 194781.8 6568874.04 11.093, 194781.96 6568874.59 11.103, 194782.11 6568875.14 11.103, 194782.28 6568875.68 11.103, 194782.46 6568876.23 11.113, 194782.63 6568876.77 11.113, 194782.82 6568877.32 11.113, 194783 6568877.85 11.123, 194783.2 6568878.39 11.123, 194783.39 6568878.92 11.123, 194783.59 6568879.45 11.133, 194783.8 6568879.98 11.133, 194784 6568880.51 11.133, 194784.23 6568881.03 11.143, 194784.44 6568881.55 11.143, 194784.67 6568882.07 11.143, 194784.9 6568882.59 11.153, 194785.13 6568883.1 11.153, 194785.38 6568883.61 11.153, 194785.62 6568884.12 11.153, 194785.87 6568884.63 11.163, 194786.12 6568885.13 11.163, 194786.38 6568885.63 11.163, 194786.64 6568886.13 11.173, 194786.91 6568886.63 11.173, 194787.18 6568887.12 11.173, 194787.45 6568887.61 11.183, 194787.73 6568888.09 11.183, 194788.03 6568888.58 11.183, 194788.32 6568889.05 11.193, 194788.61 6568889.53 11.193, 194788.91 6568890 11.193, 194789.02 6568890.19 11.203, 194789.08 6568890.29 11.203, 194789.21 6568890.49 11.203, 194789.53 6568890.96 11.203, 194789.86 6568891.44 11.203, 194790.19 6568891.91 11.213, 194790.53 6568892.37 11.213, 194790.87 6568892.83 11.213, 194791.22 6568893.29 11.223, 194791.57 6568893.75 11.223, 194791.92 6568894.19 11.223, 194792.29 6568894.63 11.233, 194792.66 6568895.06 11.233, 194793.04 6568895.49 11.233, 194793.41 6568895.92 11.243, 194793.8 6568896.34 11.243, 194794.18 6568896.75 11.243, 194794.58 6568897.16 11.243, 194794.97 6568897.57 11.253, 194795.38 6568897.97 11.253, 194795.78 6568898.37 11.253, 194796.2 6568898.75 11.263)</t>
  </si>
  <si>
    <t>['FV352 S1D1 m2705-2765']</t>
  </si>
  <si>
    <t>LINESTRING Z (196655.66 6554801.45 0.04, 196649.35 6554801.22 0.04, 196645.22 6554800.87 0.04, 196640.5 6554800.33 0.04, 196633.89 6554800.29 0.04, 196623.93 6554801.01 0.04, 196616.01 6554801.43 0.04, 196609.95 6554801.84 0.04, 196600.24 6554803.82 0.04, 196595.3 6554804.67 0.04, 196611.28 6554804.3 0.04, 196620.72 6554804.07 0.04, 196632.9 6554803.47 0.04, 196640.98 6554802.83 0.04, 196650.12 6554802.11 0.04, 196655.66 6554801.45 0.04)</t>
  </si>
  <si>
    <t>POLYGON Z ((196655.66 6554801.45 0.04, 196649.35 6554801.22 0.04, 196645.22 6554800.87 0.04, 196640.5 6554800.33 0.04, 196633.89 6554800.29 0.04, 196623.93 6554801.01 0.04, 196616.01 6554801.43 0.04, 196609.95 6554801.84 0.04, 196600.24 6554803.82 0.04, 196595.3 6554804.67 0.04, 196611.28 6554804.3 0.04, 196620.72 6554804.07 0.04, 196632.9 6554803.47 0.04, 196640.98 6554802.83 0.04, 196650.12 6554802.11 0.04, 196655.66 6554801.45 0.04))</t>
  </si>
  <si>
    <t>2021-11-15</t>
  </si>
  <si>
    <t>['EV39 S79D1 m16381-16450']</t>
  </si>
  <si>
    <t>LINESTRING Z (-28547.023421898135 6712321.088564091 57.321958607137205, -28547.244452242856 6712322.0856950795 57.32195614099503, -28547.899382053525 6712325.056199115 57.31194880962372, -28549.008186821127 6712330.001902887 57.301936568319796, -28549.24011823081 6712330.989959405 57.30193410217762, -28549.54178823484 6712332.316747039 57.29193081647158, -28550.14695484133 6712334.950346694 57.29192426741123, -28551.296623804024 6712339.889716092 57.28191197395325, -28551.31836736668 6712339.982346395 57.28191174298525, -28552.46718152589 6712344.820924398 57.26189965814352, -28552.700939461356 6712345.78900534 57.261897229254245, -28552.699112819973 6712345.808980966 57.26189719200134, -28552.70727399341 6712345.829869921 57.2618971323967, -28552.94103192212 6712346.797950858 57.261894710958, -28553.65771468717 6712349.7539594285 57.25188730508089, -28554.86822328833 6712354.688821189 57.24187490731478, -28555.148208216764 6712355.812199327 57.241872083544735, -28556.099620651337 6712359.615521866 57.2318624946475, -28556.605260908953 6712361.575312767 57.231857540011404, -28556.856254381826 6712362.575183855 57.221855014264584, -28557.360981271486 6712364.544962596 57.221850029826165, -28558.632329516928 6712369.475316741 57.211837542653086, -28558.89513738954 6712370.456125551 57.20183504670859, -28558.932289946475 6712370.600521589 57.20183468163014, -28558.93137662369 6712370.610509404 57.22183465927839, -28559.93455434288 6712374.398423133 57.1918250182271, -28560.218192391563 6712375.4818500895 57.19182226896286, -28560.23542805272 6712375.513640186 57.19182217210531, -28560.984872314613 6712378.331646282 57.1918149971962, -28561.247680119704 6712379.312455126 57.18181249380112, -28561.519562409492 6712380.304165112 57.181809953153135, -28562.589855831815 6712384.239215005 57.17179989486933, -28563.12545916054 6712386.201746063 57.17179486572743, -28563.671050274977 6712388.165190463 57.16178982913494, -28563.79340902646 6712388.589304111 57.16178873389959, -28563.800656868727 6712388.620180884 57.161788659393785)</t>
  </si>
  <si>
    <t>POINT (-28555.09948353018 6712354.932375021)</t>
  </si>
  <si>
    <t>['FV119 S2D1 m8945-8959']</t>
  </si>
  <si>
    <t>LINESTRING (253423.77041048158 6585508.089785288, 253427.83861223172 6585521.191377595)</t>
  </si>
  <si>
    <t>POINT (253425.80451135663 6585514.640581442)</t>
  </si>
  <si>
    <t>['FV505 S4D10 m108-179']</t>
  </si>
  <si>
    <t>LINESTRING Z (-34736.56539769797 6555814.960201167 30.5, -34736.60133145773 6555814.449801458 30.63, -34736.62572914944 6555814.290859029 30.62, -34736.686315652216 6555813.953894273 30.62, -34736.73142413853 6555813.565177675 30.61, -34736.75221995206 6555813.446195969 30.61, -34736.807233598665 6555812.947587376 30.6, -34736.80903453729 6555812.927607015 30.6, -34736.837849554024 6555812.607921216 30.6, -34736.853157531354 6555812.438088133 30.6, -34736.89908146206 6555811.92858889 30.59, -34736.944104921655 6555811.429079826 30.580000000000002, -34736.99002884806 6555810.91958058 30.57, -34737.03595277236 6555810.410081334 30.57, -34737.08097622509 6555809.910572272 30.560000000000002, -34737.136890326394 6555809.401973492 30.55, -34737.54038538004 6555805.037164706 30.48, -34737.60341818258 6555804.337852008 30.47, -34737.6322331765 6555804.018166202 30.47, -34738.05562336615 6555799.544365843 30.400000000000002, -34738.07993600657 6555799.274630941 30.39, -34738.34740991739 6555797.53625432 30.36, -34738.556438424974 6555796.558031959 30.38, -34738.63160243421 6555796.282809216 30.38, -34738.724860835704 6555795.918575305 30.37, -34739.13596918527 6555794.374429417 30.330000000000002, -34739.6430373115 6555792.436079058 30.28, -34739.90201668849 6555791.46235901 30.26, -34740.4190749526 6555789.52490909 30.22, -34741.430509630474 6555785.678178805 30.13, -34741.69219035795 6555784.674488181 30.1, -34741.78004592529 6555784.37019534 30.1, -34741.9176823094 6555783.848819898 30.080000000000002, -34741.98195564351 6555783.582686849 30.080000000000002, -34742.02903505997 6555783.395574791 30.07, -34742.10419904138 6555783.120352033 30.07, -34742.16667144012 6555782.874199346 30.060000000000002, -34742.959002316464 6555779.893998436 29.990000000000002, -34742.97529576474 6555779.824967625 29.990000000000002, -34743.11473306385 6555779.283611808 29.97, -34743.678870555246 6555777.1590497065 29.92, -34743.93784981815 6555776.185329589 29.85, -34744.25840099109 6555774.975446958 29.82, -34745.42196408287 6555770.558290474 29.72, -34745.54240650346 6555770.115935988 29.71, -34745.91183794709 6555768.698960884 29.67, -34746.322045509354 6555767.164804974 29.64, -34746.33833895065 6555767.095774163 29.64, -34746.673467611894 6555765.947633505 29.61, -34746.929915521876 6555765.22546883 29.59, -34747.00696545991 6555765.04105815 29.580000000000002, -34747.30697595747 6555764.282534601 29.560000000000002, -34747.44658332132 6555763.962763694 29.55, -34748.364063888206 6555761.940549453 29.5, -34748.57801978581 6555761.466338398 29.48, -34748.943374152295 6555760.653276526 29.46, -34748.9941404633 6555760.536996194 29.46, -34749.83727245056 6555758.669222036 29.41, -34751.106515249354 6555755.873006069 29.330000000000002, -34751.9496471812 6555754.005231843 29.28, -34752.06567229959 6555753.723620712 29.28, -34752.3657678148 6555753.07588958 29.26, -34753.207999249105 6555751.218105494 29.22, -34753.62411986606 6555750.288763212 29.19, -34754.68210805184 6555747.936787615 29.14, -34754.872481684666 6555747.500736313 29.13, -34755.43494564318 6555746.237634482 29.043639881912203)</t>
  </si>
  <si>
    <t>POINT (-34743.8098022549 6555780.004197555)</t>
  </si>
  <si>
    <t>['FV505 S4D10 m130-198']</t>
  </si>
  <si>
    <t>LINESTRING Z (-34755.19196314621 6555768.373183501 29.34863231937188, -34755.08552721003 6555769.495617898 29.38, -34755.069233766175 6555769.564648713 29.38, -34754.90878071694 6555771.121316371 29.43, -34754.817273407476 6555772.583484992 29.47, -34754.78584214917 6555773.043933887 29.48, -34754.48880843399 6555777.680194303 29.61, -34754.414409910445 6555778.95254943 29.650000000000002, -34754.34254267556 6555779.97334904 29.67, -34754.20077920728 6555782.216552859 29.740000000000002, -34754.1594427753 6555782.786893759 29.75, -34754.164030156564 6555782.847735324 29.75, -34753.71505224914 6555785.9293841235 29.84, -34753.662570019835 6555786.176437293 29.84, -34753.587406022474 6555786.451660082 29.85, -34753.540326595656 6555786.638772158 29.86, -34753.47605324723 6555786.904905229 29.86, -34753.33841683355 6555787.426280718 29.88, -34753.260551431216 6555787.731474053 29.89, -34752.98888046504 6555788.734264296 29.91, -34751.97834603849 6555792.571004743 30.02, -34751.460387196625 6555794.518445016 30.060000000000002, -34751.21229841572 6555795.483075431 30.09, -34750.6952399984 6555797.420525495 30.14, -34750.28323109308 6555798.974661702 30.17, -34750.18997267168 6555799.338895646 30.18, -34750.1157091147 6555799.604128235 30.19, -34749.866719827405 6555800.578748807 30.21, -34749.41213377798 6555802.270046138 30.25, -34749.34876086644 6555802.526189005 30.25, -34748.21688300732 6555806.815273828 30.34, -34748.139017559355 6555807.120467135 30.35, -34747.95790348365 6555807.788993902 30.36, -34746.85591097816 6555811.969987549 30.45, -34746.72097587271 6555812.46139243 30.46, -34746.59693141666 6555812.943707596 30.46, -34746.47288695851 6555813.42602276 30.47, -34746.33885231684 6555813.907437454 30.48, -34746.21390738548 6555814.399742802 30.490000000000002, -34746.08986292244 6555814.882057961 30.5, -34746.044584393385 6555815.049189652 30.5, -34745.95672874455 6555815.353482473 30.51, -34745.83088333823 6555815.855777999 30.52, -34745.80189827818 6555815.953878878 30.52, -34745.69684868783 6555816.337192687 30.52, -34745.59720191464 6555816.660565403 30.53, -34745.55282385356 6555816.817706905 30.53, -34745.39970930526 6555817.287330473 30.54, -34745.225713921944 6555817.765143278 30.55, -34745.19582839019 6555817.87323434 30.55, -34745.05261900695 6555818.2329659015 30.560000000000002, -34744.85954372678 6555818.698987584 30.57, -34744.646488081664 6555819.163208325 30.57, -34744.447024496505 6555819.588368809 30.580000000000002, -34744.433432435384 6555819.627429062 30.580000000000002, -34744.210386605584 6555820.090749331 30.59, -34744.17411277047 6555820.157979191 30.59, -34743.97825106303 6555820.543178942 30.6, -34743.75520523114 6555821.006499206 30.6, -34743.532159397495 6555821.469819466 30.61, -34743.31001403276 6555821.923149547 30.62, -34743.086968196556 6555822.386469806 30.63, -34742.93917144195 6555822.685359793 30.63, -34742.86482282949 6555822.839799878 30.63, -34742.641776990844 6555823.3031201335 30.64, -34742.408740969375 6555823.765539915 30.650000000000002, -34742.18659559835 6555824.218869986 30.66, -34741.96354975633 6555824.682190233 30.66, -34741.86381795665 6555824.894770463 30.67, -34741.74050391221 6555825.14551048 30.67, -34741.51835853746 6555825.598840545 30.68, -34741.29531269136 6555826.062160787 30.69, -34740.84013128374 6555826.9779106155 30.7, -34740.39494005195 6555827.89456091 30.72, -34739.9488483452 6555828.821201377 30.73, -34739.49366692256 6555829.736951185 30.75, -34739.22075516125 6555830.306561519 30.76, -34739.04847567598 6555830.653601455 30.76, -34738.94874386862 6555830.866181674 30.77, -34738.61237413436 6555831.58114237 30.78, -34738.22622349311 6555832.513185633 30.79, -34737.88822280872 6555833.46971161 30.810000000000002, -34737.14499156794 6555835.346489698 30.830000000000002, -34737.40397128789 6555834.372769786 30.810000000000002, -34737.52801581903 6555833.890454683 30.810000000000002)</t>
  </si>
  <si>
    <t>POINT (-34748.21488201346 6555803.140204813)</t>
  </si>
  <si>
    <t>2021-11-17</t>
  </si>
  <si>
    <t>['EV39 S79D1 m17722-17853']</t>
  </si>
  <si>
    <t>LINESTRING Z (-29305.148249274935 6713398.702136834 65.04819420129061, -29306.20096293534 6713401.507616199 65.01818479120732, -29306.896417906042 6713403.373997569 64.9981785327196, -29308.631858266308 6713408.074908603 64.94816279709339, -29309.316411866923 6713409.95036449 64.92815652370453, -29310.33824828756 6713412.763091647 64.9081471285224, -29312.031910032732 6713417.480324994 64.84813139289618, -29312.359204975073 6713418.416682859 64.83812828600406, -29313.688360407134 6713422.163941196 64.79811580628157, -29313.69560802076 6713422.194818206 64.79811570942402, -29315.339330114773 6713426.9074847065 64.7481000483036, -29316.961249478976 6713431.638300214 64.68808437228203, -29316.96941050759 6713431.659189366 64.68808429777623, -29318.23681154789 6713435.420943187 64.6480718627572, -29318.56227952859 6713436.3772768695 64.62806868880988, -29319.19597999507 6713438.2581538195 64.60806246757508, -29320.143333680462 6713441.114426801 64.56805304259062, -29321.070711575216 6713443.968872987 64.53804364740849, -29321.692597231828 6713445.868812319 64.50803738892078, -29323.23187274777 6713450.622284527 64.45802174270153, -29323.84285702475 6713452.531298365 64.42801546931267, -29324.75025894353 6713455.38391787 64.39800610393286, -29325.48993295699 6713457.757913811 64.3679983329773, -29326.236854532035 6713460.162786792 64.3379904577136, -29326.53235873999 6713461.116380333 64.31798733592034, -29327.703474216978 6713464.93982898 64.27797484129667, -29329.159192441846 6713469.725945716 64.21795921742917, -29329.612376744975 6713471.268029446 64.19795420318842, -29330.584946896182 6713474.509322289 64.15794363081456, -29331.704295813106 6713478.348179793 64.10793116599322, -29331.988898601267 6713479.310847856 64.09792802929879, -29333.11908888584 6713483.251410931 64.04791525155306, -29333.362886534072 6713484.109633253 64.0379124724865, -29334.186731154332 6713486.994897259 63.99790312200784, -29334.725059578195 6713488.927481057 63.977896878421305, -29336.06725671247 6713493.743502113 63.917881314158436, -29336.58652272774 6713495.664271253 63.887875130176546, -29337.37857664784 6713498.566770858 63.857865772247315, -29338.669920671964 6713503.388212851 63.79785026013851, -29338.923646254814 6713504.358128608 63.78784714579582, -29339.93946193601 6713508.227803815 63.73783472567797, -29341.189027286135 6713513.065568022 63.677819221019746, -29342.41770329757 6713517.911493334 63.6178037238121, -29343.38175239123 6713521.796577344 63.56779132604599, -29343.579264156637 6713522.610281209 63.557788733243946)</t>
  </si>
  <si>
    <t>POINT (-29325.596544955195 6713460.27384621)</t>
  </si>
  <si>
    <t>['EV39 S79D1 m17221-17351']</t>
  </si>
  <si>
    <t>LINESTRING Z (-29029.435893066693 6712987.018743748 62.459716518819334, -29031.62496321462 6712989.072064849 62.48970799535513, -29032.153168436605 6712989.573580535 62.48970592409373, -29032.357373627252 6712989.763468256 62.49970513433218, -29032.440870596678 6712989.841603593 62.499704813957216, -29033.080709571717 6712990.4439704465 62.50970231056213, -29033.164206541376 6712990.522105783 62.50970199018717, -29035.249804026796 6712992.495464914 62.539693824350834, -29036.65926466533 6712993.822852309 62.55968831837178, -29036.714624851942 6712993.87827182 62.55968809485436, -29040.326737679425 6712997.330722329 62.609673841893674, -29040.37302339822 6712997.375240617 62.60967366307974, -29041.76159496256 6712998.710789214 62.62966815710068, -29043.843538928428 6713000.724100011 62.65965987950563, -29043.92703589832 6713000.802235361 62.659659551680086, -29047.5064450379 6713004.281909681 62.709645261466505, -29047.542742908816 6713004.325514595 62.70964509755373, -29048.217966373777 6713004.981474359 62.719642400443554, -29050.916120092035 6713007.635277032 62.75963153749704, -29051.073126183008 6713007.79063437 62.75963090419769, -29054.628906091442 6713011.30843373 62.809616532027725, -29058.162883532234 6713014.844382229 62.85960213005543, -29058.300827306462 6713014.987924977 62.85960155636072, -29060.97535178368 6713017.679852718 62.899590604007244, -29061.638760631904 6713018.354874945 62.90958786964416, -29061.675971882883 6713018.388492018 62.90958772808313, -29065.176332226838 6713021.961652174 62.95957325905562, -29065.249841346755 6713022.03887417 62.95957294613123, -29067.266377900378 6713024.106632551 62.9895645865798, -29068.620418988052 6713025.489380842 63.00955897629261, -29068.665791324223 6713025.543887 63.00955876767635, -29072.13344794186 6713029.144270961 63.059544253945354, -29072.179733659723 6713029.188789271 63.05954407513142, -29073.511972274282 6713030.58968661 63.079538449943065, -29075.515780806774 6713032.6864954345 63.10953000843525, -29075.590203308617 6713032.753729593 63.10952972531319, -29079.02515618899 6713036.381337365 63.1595151668787, -29079.051466206438 6713036.424028916 63.159515017867086, -29079.70306042279 6713037.118113657 63.16951223880053, -29082.30036281154 6713039.883551467 63.20950116723776, -29082.438306581113 6713040.02709427 63.209500586092474, -29085.839642330655 6713043.691913694 63.269485960602765, -29089.22916343517 6713047.37579564 63.31947129040957, -29089.357119352557 6713047.518425071 63.31947072416544, -29091.919891213416 6713050.33106242 63.359459555745126, -29092.560584175983 6713051.034221776 63.3694567617774, -29092.59779542638 6713051.067838867 63.36945662021637, -29095.944624916185 6713054.778031228 63.419441927671436, -29096.019047416747 6713054.845265413 63.41944163709879, -29097.946547206957 6713057.005596283 63.44943310618401, -29099.244255272788 6713058.453693312 63.46942737668753, -29099.280553137767 6713058.497298257 63.469427212774754, -29102.594678853056 6713062.23471442 63.51941246807576, -29102.640051183873 6713062.289220604 63.5194122594595, -29103.91778352775 6713063.735490973 63.53940655976534, -29105.84254311316 6713065.925785676 63.56939793944359, -29105.896989909466 6713065.991193101 63.56939768612385, -29109.177498452947 6713069.765820913 63.61938287436962, -29109.214709702646 6713069.799438013 63.61938273280859, -29109.833600157057 6713070.5207465 63.62937990903855, -29112.328224276775 6713073.417795142 63.66936856925488, -29112.447105718544 6713073.5495233955 63.66936804771424, -29115.69582385209 6713077.341387149 63.719353213608265, -29118.92182607751 6713081.161387888 63.76933833479882)</t>
  </si>
  <si>
    <t>POINT (-29075.114360555734 6713033.201335774)</t>
  </si>
  <si>
    <t>['EV39 S79D1 m16740-16830']</t>
  </si>
  <si>
    <t>LINESTRING Z (-28687.1133947185 6712650.310293701 58.05103133022785, -28688.126877959934 6712651.782747021 58.07102650970221, -28688.26025505259 6712651.9762280425 58.07102587640286, -28688.41086774913 6712652.201499227 58.07102514624596, -28689.834470071946 6712654.255309005 58.10101839601994, -28689.85261902283 6712654.27711135 58.10101832151413, -28691.28620914847 6712656.331834519 58.13101155638695, -28692.728873729007 6712658.397458909 58.15100475400686, -28693.30866779806 6712659.215901094 58.16100204199552, -28693.558186367387 6712659.571072999 58.171000872254375, -28694.172451637103 6712660.4530955255 58.18099796652794, -28695.62601734849 6712662.509645535 58.20099115669728, -28697.09048421192 6712664.557121117 58.23098435431719, -28698.544963232474 6712666.603683399 58.250977566838266, -28700.0194178808 6712668.652072426 58.28097073465586, -28701.494785859017 6712670.690473676 58.30096393227577, -28702.970153818373 6712672.728874976 58.330957114994526, -28703.606221379712 6712673.592748681 58.34095421671867, -28703.86664109805 6712673.938846173 58.34095303952694, -28704.457336281426 6712674.748214025 58.350950327515605, -28705.942692027893 6712676.787528771 58.3809434953332, -28707.43986227899 6712678.807781266 58.40093668550253, -28708.94702033722 6712680.828947156 58.43092985332012, -28709.107620826224 6712681.055131764 58.43092910081148, -28709.24282459193 6712681.228637201 58.430928504765035, -28710.444190552924 6712682.84919975 58.45092303603888, -28711.96224975027 6712684.861291266 58.48091621130705, -28713.471234456752 6712686.862481654 58.500909416377546, -28714.6934893789 6712688.474883186 58.53090392529965, -28714.828693139018 6712688.648388642 58.5309033292532, -28714.989293620572 6712688.874573267 58.53090257674456, -28716.50917946908 6712690.866689278 58.560895781815056, -28718.04812759976 6712692.870619868 58.5808889272809, -28719.587989065563 6712694.864562679 58.610882087647916, -28720.200486528454 6712695.655781782 58.62087937563658, -28720.470894038794 6712696.002792722 58.62087818354368, -28721.12876386696 6712696.848517716 58.63087527036667, -28722.669538652874 6712698.832472801 58.66086845308542, -28724.220301248715 6712700.817341287 58.680861613452436, -28725.78196500626 6712702.793135348 58.71085477381945, -28727.343628749368 6712704.768929459 58.73084793418646, -28728.906205829815 6712706.7347357925 58.76084110945463, -28730.47877072182 6712708.70145553 58.780834269821646, -28731.156616159715 6712709.549007365 58.79083131939173, -28731.427937004366 6712709.886030538 58.80083014219999, -28732.052248952095 6712710.658187492 58.81082744508982, -28733.634801641805 6712712.62582068 58.83082058310509, -28735.21918102319 6712714.5734782675 58.86081375837326, -28736.813548217644 6712716.522049257 58.88080691874028, -28736.99412432441 6712716.750060666 58.89080612152815, -28737.130241419072 6712716.913578357 58.890805547833445, -28738.380691980245 6712718.437916759 58.91080018341541, -28738.40791539906 6712718.470620295 58.9108000716567, -28740.01318374742 6712720.410116912 58.940793224573135, -28741.627526556025 6712722.360514759 58.960786340236666)</t>
  </si>
  <si>
    <t>POINT (-28713.819774763695 6712686.751958391)</t>
  </si>
  <si>
    <t>['EV39 S79D1 m14039-14156']</t>
  </si>
  <si>
    <t>LINESTRING Z (-28951.980941202375 6712880.03767631 61.56010011196137, -28951.63422528759 6712879.754185627 61.550101326406, -28950.85729646741 6712879.109069052 61.54010406821966, -28950.108504435048 6712878.486668274 61.530106713175776, -28950.08944212098 6712878.474853695 61.53010677278042, -28950.061305334093 6712878.452137909 61.53010686963797, -28949.312513302662 6712877.82973714 61.51010951459408, -28948.544658958213 6712877.195521803 61.500112219154836, -28947.767730142223 6712876.55040526 61.4901149609685, -28947.008950272924 6712875.927091144 61.480117620825766, -28946.9345277542 6712875.859857149 61.48011789649725, -28946.86010523571 6712875.792623157 61.48011817216873, -28946.22294698644 6712875.271073408 61.47012040734291, -28945.45509264618 6712874.636858105 61.45012310445309, -28944.678163834265 6712873.991741598 61.440125846266746, -28944.181689519668 6712873.583770805 61.43012758225203, -28943.91030949657 6712873.357526305 61.430128543376924, -28943.133380687214 6712872.712409812 61.420131285190585, -28942.365526351263 6712872.07819454 61.40013398230076, -28941.58859754412 6712871.433078061 61.39013672411442, -28940.821656578453 6712870.788874965 61.38013944357634, -28940.043814404984 6712870.153746345 61.37014215558767, -28939.27687344153 6712869.5095432615 61.350144882500175, -28938.49903127097 6712868.874414661 61.34014759451151, -28937.732090309262 6712868.230211592 61.33015031397343, -28936.964235981577 6712867.5959963715 61.320153011083605, -28936.187307181302 6712866.950879956 61.30015574544668, -28935.419452855596 6712866.316664752 61.29015843510628, -28934.642524058 6712865.671548351 61.28016116946936, -28933.875583101413 6712865.027345324 61.27016388893128, -28933.107728778617 6712864.393130146 61.25016658604145, -28932.33079998393 6712863.74801377 61.24016931295395, -28931.562945663696 6712863.113798607 61.23017201006412, -28930.786016871338 6712862.468682244 61.220174744427204, -28930.019075919874 6712861.82447926 61.200177456438546, -28929.25122160255 6712861.190264121 61.190180146098136, -28928.47429281345 6712860.545147783 61.18018288046122, -28927.707351864898 6712859.900944824 61.170185592472556, -28926.939497550717 6712859.266729711 61.15018828213215, -28926.172556604724 6712858.622526763 61.14019099414349, -28925.395627819584 6712857.97741046 61.13019372105599, -28924.62777350878 6712857.343195371 61.12019641071558, -28923.860832565464 6712856.698992452 61.10019912272692, -28923.083903783583 6712856.05387617 61.09020184963941, -28922.316962842247 6712855.409673264 61.08020456165075, -28921.55002190231 6712854.765470368 61.07020727366209, -28920.782167596044 6712854.13125532 61.06020995587111, -28920.015226657968 6712853.487052441 61.04021266788244, -28919.23829788156 6712852.841936201 61.03021538734436, -28918.47135694523 6712852.197733335 61.0202180993557, -28917.704416009597 6712851.553530481 61.010220803916454, -28916.93747507513 6712850.909327633 60.990223515927795, -28916.170534141827 6712850.265124791 60.98022622048855, -28915.403593209456 6712849.620921961 60.970228925049305, -28914.6366522779 6712848.9767191345 60.960231629610064, -28913.869711347274 6712848.33251632 60.94023433417082, -28913.10277041793 6712847.688313513 60.930237038731576, -28912.335829489282 6712847.0441107135 60.920239743292335, -28911.568888561917 6712846.3999079205 60.910242447853086, -28910.801947635133 6712845.75570514 60.89024515241385, -28910.03500670928 6712845.111502364 60.880247856974606, -28909.268065784592 6712844.467299598 60.87025056153536, -28908.50112486072 6712843.823096842 60.860253258645535, -28907.734183938126 6712843.178894088 60.84025596320629, -28906.968156381627 6712842.524703507 60.83025868266821, -28906.21120329888 6712841.881414139 60.820261372327806, -28905.444262379082 6712841.237211411 60.810264069437984, -28904.677321459865 6712840.593008692 60.79026676654816, -28903.911293906975 6712839.938818144 60.78026949346066, -28903.15434082807 6712839.295528806 60.770272175669675, -28902.388313276228 6712838.641338278 60.76027489513159, -28901.6213723612 6712837.99713559 60.74027759224177, -28900.86533264944 6712837.343858439 60.73028029680252, -28900.098391736043 6712836.699655768 60.7202829939127, -28899.332364188274 6712836.045465267 60.71028571337462, -28898.57541111426 6712835.40217598 60.69028838813305, -28897.80938356789 6712834.747985499 60.68029110759497, -28897.052430495736 6712834.104696227 60.670293789803985, -28896.286402951228 6712833.45050576 60.66029650181532, -28895.530363245052 6712832.797228667 60.650299206376076, -28894.764335702406 6712832.143038213 60.63030191838742, -28894.007382633397 6712831.499748975 60.62030460059643, -28893.251342929783 6712830.846471903 60.610307297706605, -28892.485315389466 6712830.192281478 60.600310009717944, -28891.729275687016 6712829.539004425 60.58031270682812, -28890.97323598538 6712828.8857273795 60.570315403938295, -28890.20720844774 6712828.231536977 60.560318123400215, -28889.451168747386 6712827.5782599505 60.550320820510386, -28888.695129047963 6712826.9249829305 60.530323510169985, -28887.93908934982 6712826.271705915 60.52032620728016, -28887.18304965191 6712825.61842891 60.510328904390335, -28886.42792331858 6712824.955164076 60.500331623852254, -28885.671883622068 6712824.301887089 60.48033431351185, -28884.915843926137 6712823.64861011 60.470337010622025, -28884.160717594437 6712822.985345301 60.460339722633364, -28883.40467790072 6712822.332068333 60.45034241974354, -28882.648638207233 6712821.678791378 60.430345109403135, -28881.893511877628 6712821.015526594 60.420347821414474, -28881.137472185306 6712820.362249655 60.410350518524645, -28880.38234585733 6712819.698984885 60.400353230535984, -28879.637207365944 6712819.036633489 60.380355927646164, -28878.881167675718 6712818.383356575 60.370358617305754, -28878.126041349606 6712817.720091827 60.360361329317094, -28877.38090286008 6712817.0577404555 60.35036402642727, -28876.62577653455 6712816.394475731 60.330366738438606, -28875.879724683706 6712815.742112207 60.32036940574646, -28875.124598359456 6712815.078847496 60.3103721177578, -28875.10644941288 6712815.057045099 60.31037219971419, -28874.379459872143 6712814.416496157 60.30037480741739, -28873.624333549524 6712813.753231462 60.28037751942873, -28872.879195063026 6712813.090880137 60.27038020908833, -28872.134969939478 6712812.418540989 60.26038292855024, -28871.37984361837 6712811.755276317 60.250385633111, -28870.634705133736 6712811.092925015 60.2403883227706, -28869.889566649217 6712810.430573725 60.22039101243019, -28869.145341528114 6712809.758234603 60.21039373189211, -28868.390215208754 6712809.094969967 60.20039643645287, -28867.645990088233 6712808.422630862 60.1903991484642, -28866.900851605926 6712807.760279603 60.1704018381238, -28866.156626486103 6712807.087940515 60.16040454268455, -28865.421475839918 6712806.426502635 60.15040721744299, -28864.677250721026 6712805.754163565 60.14040992945433, -28863.93302560202 6712805.081824505 60.12041263401508, -28863.188800483826 6712804.409485449 60.11041534602642, -28862.584345915937 6712803.860713016 60.10041755139828)</t>
  </si>
  <si>
    <t>POINT (-28907.002818144094 6712842.275453866)</t>
  </si>
  <si>
    <t>['EV39 S79D1 m13542-13631']</t>
  </si>
  <si>
    <t>LINESTRING Z (-29273.673734693555 6713255.8816786995 66.608632414639, -29272.24501356471 6713253.223100194 66.59864186942578, -29269.86017782986 6713248.795160968 66.58865760505199, -29269.807557872264 6713248.709777649 66.58865792542696, -29267.927059520385 6713245.264600547 66.57867020398379, -29267.46170050185 6713244.406259954 66.56867325127125, -29267.44355158042 6713244.384457426 66.56867334067822, -29265.01693734841 6713239.972840649 66.55868907630443, -29264.99062736763 6713239.930148992 66.55868923276662, -29263.545524302055 6713237.340572481 66.5486985012889, -29262.585755990352 6713235.611163353 66.5387046778202, -29262.56852046959 6713235.579372961 66.53870478957892, -29260.09830094641 6713231.204054367 66.51872047305108, -29259.10040792264 6713229.451016004 66.50872676879167, -29257.608105583233 6713226.826909144 66.49873618632554, -29255.096107581398 6713222.467913009 66.4787518697977, -29255.087946519838 6713222.447023887 66.47875193685293, -29254.591710394947 6713221.5959311295 66.46875500649215, -29252.624914778164 6713218.213362673 66.44876719564199, -29252.57320820517 6713218.117991515 66.4487675383687, -29250.018518333207 6713213.785305721 66.41878319203853, -29247.45384049078 6713209.451706696 66.39879885315895, -29247.392146050697 6713209.355422152 66.39879921078682, -29245.38174515101 6713206.009151927 66.36881134033203, -29244.884595545707 6713205.168047159 66.36881438016891, -29244.86736001924 6713205.136256775 66.36881449192762, -29243.825861685677 6713203.419516679 66.34882072806359, -29242.259076921735 6713200.838955961 66.32883010089398, -29242.232766931294 6713200.796264318 66.32883025735617, -29240.691378722782 6713198.268383161 66.30883944392204, -29239.657127989805 6713196.58252016 66.29884557574988, -29239.63989246101 6713196.55072978 66.29884569495917, -29236.989830916864 6713192.269751446 66.25886129647493, -29236.972595387488 6713192.23796107 66.25886140823364, -29235.92744333949 6713190.561172631 66.24886753261089, -29234.3642524702 6713188.05144065 66.22887668937445, -29234.328868012293 6713187.997847761 66.22887688308954, -29231.646102493396 6713183.74409318 66.18889244735242, -29231.627953565563 6713183.722290663 66.18889253675938, -29231.099013479077 6713182.898421603 66.1788955616951, -29229.01230328146 6713179.615673479 66.14890758693218, -29228.942447758047 6713179.498499846 66.13890801161527, -29228.16672982904 6713178.289492752 66.12891244471074)</t>
  </si>
  <si>
    <t>POINT (-29251.43636275778 6713216.78297956)</t>
  </si>
  <si>
    <t>2021-11-29</t>
  </si>
  <si>
    <t>['EV39 S79D1 m27833-27923']</t>
  </si>
  <si>
    <t>LINESTRING Z (-33148.09865768079 6722446.09829122 37.166519316136835, -33144.56380499003 6722442.793517064 37.126524159014224, -33140.899175475584 6722439.366075717 37.08652917325497, -33137.233631773386 6722435.948622637 37.04653418749571, -33133.5671738846 6722432.541157827 37.00653918683529, -33129.89072793466 6722429.13277903 36.96654419362545, -33126.21428198833 6722425.724400439 36.926549207866195, -33124.00350500806 6722423.68899577 36.90655221045017, -33122.53692185751 6722422.326010116 36.886554207205776, -33118.84865947906 6722418.936693873 36.84655920654535, -33115.16039710643 6722415.547377833 36.80656421333551, -33111.46214667626 6722412.157147807 36.766569220125675, -33110.7279409162 6722411.485643181 36.756570211052896, -33107.77297012776 6722408.777820241 36.726574212014675, -33104.06290327315 6722405.406652563 36.68657921135426, -33100.363738675485 6722402.026411216 36.64658421069384, -33097.386963404366 6722399.336736486 36.61658821165562, -33096.65275765024 6722398.66523201 36.60658920258284, -33092.93178857106 6722395.30313882 36.56659420192242, -33089.22080756305 6722391.941960022 36.526599193811414, -33085.488936255104 6722388.588941117 36.486604193150995, -33083.99963444797 6722387.254092126 36.4766061899066, -33081.91589178052 6722385.3713203035 36.456608983874325)</t>
  </si>
  <si>
    <t>POINT (-33115.11557506104 6722415.616744563)</t>
  </si>
  <si>
    <t>['EV39 S79D1 m27332-27422']</t>
  </si>
  <si>
    <t>LINESTRING Z (-32762.911189518287 6722126.367423322 33.187013781368734, -32760.496860609972 6722124.575264232 33.15701670944691, -32758.89396670612 6722123.381100982 33.147018654048445, -32754.866755903815 6722120.393864681 33.10702353417874, -32750.84045930882 6722117.396640543 33.06702842175961, -32746.813248602324 6722114.409404641 33.027033301889894, -32745.37916952977 6722113.351552975 33.017035037875175, -32742.786037943908 6722111.422168937 32.987038182020186, -32738.758827333804 6722108.434933431 32.94704306215048, -32737.145945495926 6722107.239856452 32.9270450142026, -32734.721628735075 6722105.4467839645 32.90704794973135, -32730.69533237978 6722102.449560819 32.86705283731222, -32726.67810995062 6722099.463240066 32.827057709991934, -32723.453260555863 6722097.063098581 32.79706162899733, -32722.65181369055 6722096.466017318 32.787062597572806, -32718.625517478213 6722093.468794769 32.74706748515368, -32714.599221313023 6722090.47157242 32.707072372734544, -32710.583827387774 6722087.46527639 32.667077267766, -32709.782380552613 6722086.8681952525 32.657078236341476, -32706.568433508743 6722084.458980559 32.62708215534687, -32702.553039676044 6722081.4526849305 32.58708704292774, -32698.538560045883 6722078.436401462 32.547091937959195, -32696.13604794105 6722076.625182366 32.52709487348795, -32694.52499461721 6722075.41013016 32.50709684044123, -32690.52141726669 6722072.384773217 32.46710174292326)</t>
  </si>
  <si>
    <t>POINT (-32726.67909658652 6722099.425880653)</t>
  </si>
  <si>
    <t>['EV39 S79D1 m26830-26920']</t>
  </si>
  <si>
    <t>LINESTRING Z (-32383.15527231095 6721798.796313037 29.207511308789254, -32382.539095005603 6721798.15576166 29.197512210309505, -32379.77311938873 6721795.253761582 29.16751624852419, -32376.320203641546 6721791.60401717 29.127521322369574, -32372.86728787131 6721787.954272966 29.08752638876438, -32369.425274217734 6721784.295455078 29.04753146260977, -32365.99324855127 6721780.637551523 29.007536521553995, -32363.250905380934 6721777.697428438 28.97754058212042, -32362.563051115023 6721776.95967215 28.967541602849963, -32359.142841663794 6721773.282707106 28.927546676695346, -32355.7335343234 6721769.596668382 28.887551750540734, -32353.689947507577 6721767.385228074 28.857554790377616, -32352.32514108182 6721765.900641854 28.8475568318367, -32348.926735821995 6721762.2055296535 28.80756190568209, -32345.53923266928 6721758.501343771 28.767566979527473, -32344.184414224932 6721757.017671872 28.747569006085396, -32342.15264361212 6721754.787170081 28.72757206082344, -32338.78603054292 6721751.074824847 28.687577127218248, -32335.42033156741 6721747.352491803 28.647582201063635, -32334.744293514523 6721746.59567396 28.637583229243756, -32332.05646080873 6721743.610182945 28.60758729726076, -32328.70166390098 6721739.878776424 28.567592371106148, -32325.35868321592 6721736.128308208 28.527597452402116, -32322.0157024964 6721732.377840196 28.487602541148664)</t>
  </si>
  <si>
    <t>POINT (-32352.387030902566 6721765.769815119)</t>
  </si>
  <si>
    <t>['EV39 S79D1 m26329-26419']</t>
  </si>
  <si>
    <t>LINESTRING Z (-32074.693505968316 6721403.25205987 25.21802074223757, -32072.186971128103 6721399.276010144 25.18802549570799, -32069.525332866702 6721395.01383112 25.14803058445454, -32066.863694505417 6721390.751652276 25.108035673201083, -32064.73819612211 6721387.344272563 25.06803973376751, -32064.212044035085 6721386.490387702 25.06804075449705, -32061.571295547532 6721382.220049407 25.02804582834244, -32058.941449040896 6721377.940637393 24.988050909638407, -32057.36390672403 6721375.368995072 24.95805396437645, -32056.3116024317 6721373.661225553 24.94805599093437, -32053.692657801206 6721369.372739991 24.90806107223034, -32051.083701057592 6721365.085168699 24.868066146075726, -32050.04321283754 6721363.358337461 24.84806818753481, -32048.4865603809 6721360.778535689 24.828071234822275, -32045.89849349833 6721356.482804938 24.788076301217078, -32043.321328590275 6721352.1780004585 24.748081367611885, -32042.797004512744 6721351.304139908 24.73808240324259, -32040.745077664382 6721347.863208166 24.708086448907853, -32038.179728709743 6721343.539342145 24.66809152275324, -32035.624367636046 6721339.216390391 24.628096596598624, -32033.069006454083 6721334.893438807 24.58810167044401, -32030.53544931661 6721330.552339595 24.5481067442894, -32028.50624029478 6721327.083272725 24.518110797405242, -32028.1669835106 6721326.498283917 24.50811148285866)</t>
  </si>
  <si>
    <t>POINT (-32051.20353691792 6721365.012591579)</t>
  </si>
  <si>
    <t>['EV39 S79D1 m24825-24914']</t>
  </si>
  <si>
    <t>LINESTRING Z (-31413.076336756698 6720055.642665674 19.46445803105831, -31411.67287535942 6720053.47977643 19.47446213632822, -31410.57786338404 6720051.798334387 19.48446534007788, -31407.839876392623 6720047.599723383 19.514473327100276, -31405.1009753322 6720043.411100516 19.544481291770936, -31402.352086226223 6720039.221563853 19.574489271342756, -31401.804123189533 6720038.385836929 19.574490858316423, -31399.602283052867 6720035.042015328 19.60449722856283, -31396.84340581007 6720030.851565057 19.62450520813465, -31394.072712573106 6720026.680176901 19.65451316535473, -31391.86088428006 6720023.335441735 19.67451953560114, -31391.312921174802 6720022.499714946 19.684521122574807, -31388.532239804976 6720018.3274131855 19.714529079794882, -31385.75155834679 6720014.155111602 19.74453703701496, -31382.969962826115 6720009.99279816 19.774544971883298, -31381.853146617417 6720008.329504835 19.78454815328121, -31380.177465291228 6720005.839558882 19.794552906751633, -31377.385881641996 6720001.676331831 19.82456084907055, -31374.58339598053 6719997.522178947 19.854568783938884, -31371.780910231988 6719993.368026246 19.88457671880722, -31368.96752247284 6719989.222947713 19.914584638774397, -31366.154134628363 6719985.077869365 19.93459255874157, -31363.668258255115 6719981.426053898 19.964599539935588)</t>
  </si>
  <si>
    <t>POINT (-31388.509892809045 6720018.442787059)</t>
  </si>
  <si>
    <t>['EV39 S79D1 m25326-25416']</t>
  </si>
  <si>
    <t>LINESTRING Z (-31659.19290590915 6720491.956501619 17.363641536831857, -31657.08338984847 6720487.603880457 17.34364955365658, -31654.88679017569 6720483.102287721 17.323657861053945, -31652.691104383208 6720478.59070717 17.30366616845131, -31651.807738023577 6720476.79769495 17.303669483959677, -31650.49359042768 6720474.09910271 17.293674453496934, -31648.27701441478 6720469.595682409 17.283682768344878, -31646.069512223825 6720465.103164243 17.263691053390502, -31643.852021930856 6720460.609732218 17.25369934588671, -31641.623629524256 6720456.125374306 17.253707630932333, -31639.395236985758 6720451.641016548 17.243715908527374, -31637.15685634734 6720447.1557449335 17.23372420102358, -31635.811830307357 6720444.464399239 17.23372917056084, -31634.918475577026 6720442.670473476 17.233732486069204, -31632.669192696456 6720438.194276132 17.233740763664247, -31630.409921717364 6720433.717164932 17.23374904870987, -31628.149736598018 6720429.250041858 17.233757318854334, -31627.698065162404 6720428.352622077 17.233758972883226, -31625.889551348868 6720424.782918944 17.233765581548216, -31623.61937800271 6720420.314882176 17.243773851692676, -31621.339216560125 6720415.845931557 17.25378212928772, -31619.520714490092 6720412.275314767 17.25378873795271, -31619.289427735726 6720411.831141914 17.253789564967157)</t>
  </si>
  <si>
    <t>POINT (-31639.38957888343 6720451.819906553)</t>
  </si>
  <si>
    <t>['EV39 S79D1 m25828-25917']</t>
  </si>
  <si>
    <t>LINESTRING Z (-31850.65514609497 6720954.734190829 21.232801275253298, -31848.96611972351 6720950.299176205 21.1928093367815, -31847.190076795057 6720945.604407617 21.152817860245705, -31846.832870594226 6720944.6652711015 21.15281956642866, -31845.414033706067 6720940.909639155 21.112826376259328, -31843.637990455958 6720936.214870819 21.07283489227295, -31841.87193502416 6720931.521016663 21.03284340083599, -31840.811218144605 6720928.694533443 21.01284851193428, -31840.106793483952 6720926.817174656 20.992851909399032, -31838.350725708297 6720922.124234806 20.952860395610333, -31836.595571823767 6720917.421307099 20.912868896722795, -31834.850405755336 6720912.719293573 20.872877382934092, -31833.095251546823 6720908.016366117 20.832885876595974, -31831.35008515464 6720903.314352839 20.792894355356694, -31829.604918599944 6720898.612339686 20.762902834117412, -31828.91139555408 6720896.725907293 20.742906231582165, -31827.859751883545 6720893.910326655 20.722911312878132, -31826.149052620633 6720889.271897818 20.6829196575284, -31826.124572982895 6720889.209227802 20.68291977673769, -31824.379405942047 6720884.507215021 20.64292824059725, -31822.63423873915 6720879.805202364 20.602936711907386, -31820.88907137385 6720875.103189834 20.562945175766945, -31820.195548002957 6720873.216757687 20.542948565781117, -31819.411351856194 6720871.1105235005 20.52295235812664)</t>
  </si>
  <si>
    <t>POINT (-31834.96899510633 6720912.946415739)</t>
  </si>
  <si>
    <t>['EV39 S79D1 m23321-23409']</t>
  </si>
  <si>
    <t>LINESTRING Z (-30537.724582001916 6718832.48470479 27.916699843704702, -30535.619010241586 6718829.079236751 27.93670546144247, -30532.98910165252 6718824.799929087 27.966712509691718, -30530.36010682746 6718820.510633704 27.99671956539154, -30527.750173828565 6718816.233154132 28.026726591289044, -30525.13025282859 6718811.954760869 28.046733617186547, -30522.521233489737 6718807.66729375 28.07674065053463, -30519.91130018083 6718803.3898147065 28.10674766898155, -30517.30136676866 6718799.112335838 28.136754679977894, -30514.69326098333 6718794.814881348 28.16676171332598, -30512.094229125418 6718790.528328803 28.196768724322318, -30509.486123130308 6718786.23087467 28.216775750219824, -30506.897078960435 6718781.945236336 28.246782746315002, -30504.2989606529 6718777.648696416 28.276789757311345, -30501.710830136668 6718773.353070539 28.306796760857107, -30499.11362548126 6718769.046543076 28.336803779304027, -30496.535482650157 6718764.751831411 28.356810767948627, -30493.94735181739 6718760.456206053 28.386817756593228, -30492.077703570714 6718757.33418609 28.406822830438614)</t>
  </si>
  <si>
    <t>POINT (-30514.827141597372 6718794.954422324)</t>
  </si>
  <si>
    <t>['EV39 S79D1 m22819-22909']</t>
  </si>
  <si>
    <t>LINESTRING Z (-30289.029403575812 6718398.228624964 30.727387867569924, -30288.93507196731 6718398.048778807 30.727388143241406, -30286.570384886116 6718393.6225401 30.757394886016847, -30284.226587278303 6718389.188141333 30.787401628792285, -30281.88278954604 6718384.753742727 30.80740837156773, -30279.53807786107 6718380.329332167 30.837415091991424, -30277.19519370841 6718375.884946006 30.867421834766866, -30274.841407720232 6718371.449634059 30.897428577542307, -30272.508511201013 6718367.006162052 30.927435305416584, -30270.175614556298 6718362.562690204 30.957442033290864, -30267.831816077 6718358.128292574 30.97744875371456, -30265.50982089073 6718353.675746992 31.007455481588842, -30263.18599792628 6718349.243177338 31.037462179660796, -30260.863088662154 6718344.800619964 31.067468885183334, -30258.53110521601 6718340.34716104 31.097475613057615, -30256.219097407185 6718335.895529932 31.11748231858015, -30253.897101589944 6718331.442985157 31.14748903155327, -30251.58600735152 6718326.981366489 31.177495737075805, -30249.2739991626 6718322.529735861 31.207502435147763, -30247.391934345593 6718318.882875552 31.2275079113245)</t>
  </si>
  <si>
    <t>POINT (-30268.13380813619 6718358.596080606)</t>
  </si>
  <si>
    <t>['EV39 S79D1 m22319-22407']</t>
  </si>
  <si>
    <t>LINESTRING Z (-30067.160341732553 6717947.8266593 33.54807793289423, -30065.190587703604 6717943.486927543 33.56808501839638, -30063.12108248379 6717938.91649726 33.59809248387813, -30061.051577120554 6717934.346067128 33.61913424104452, -30058.982071614242 6717929.7756371405 33.649147160351276, -30056.91347975342 6717925.195219428 33.679160102009774, -30054.863949701423 6717920.62661731 33.70917298406363, -30052.80534542317 6717916.04711368 33.72918590337038, -30050.74674100068 6717911.467610192 33.759198822677135, -30048.69721051643 6717906.8990085125 33.78921169728041, -30046.64950746298 6717902.310431234 33.819224616587164, -30044.60089047777 6717897.731841969 33.84923751354218, -30042.56317500421 6717893.144178768 33.86925041049719, -30040.514557729242 6717888.565589794 33.89926330000162, -30038.486829834874 6717883.978840666 33.929276182055474, -30036.449113924988 6717879.3911778955 33.95928907155991, -30034.42138573923 6717874.804429055 33.98930194616318, -30032.383669538074 6717870.2167665735 34.01931483566761, -30030.91638798022 6717866.879798023 34.02932418614626)</t>
  </si>
  <si>
    <t>POINT (-30048.963928036777 6717907.386546741)</t>
  </si>
  <si>
    <t>['EV39 S79D1 m21315-21404']</t>
  </si>
  <si>
    <t>LINESTRING Z (-29710.15498405858 6717011.010519085 39.17161602944136, -29708.668524890672 6717006.231599695 39.2016282632947, -29707.182979259407 6717001.442692558 39.231640512049196, -29705.698347163852 6716996.643797671 39.25165278315544, -29704.213714892743 6716991.844902892 39.281665046811106, -29702.73815659003 6716987.056909781 39.31167728066445, -29701.263511821395 6716982.258928925 39.34168952941894, -29699.788866876625 6716977.460948176 39.371701778173446, -29698.32420961035 6716972.663881233 39.39171401202679, -29696.849564314703 6716967.865900693 39.42172625333071, -29695.394894549856 6716963.06974767 39.45173847228289, -29693.93023675587 6716958.272681044 39.481750698685644, -29692.47648034559 6716953.466540379 39.511762932538986, -29691.03271161171 6716948.661313521 39.53177515149117, -29689.578954847646 6716943.855173063 39.56178737789393, -29688.134272054653 6716939.059934269 39.59179956704378, -29686.679601232754 6716934.2637818735 39.6218117710948, -29685.236745496863 6716929.448567579 39.65182399749756, -29684.204464223352 6716925.98020055 39.67183279663325)</t>
  </si>
  <si>
    <t>POINT (-29697.099835788224 6716968.519729225)</t>
  </si>
  <si>
    <t>['EV39 S79D1 m20813-20902']</t>
  </si>
  <si>
    <t>LINESTRING Z (-29576.05810730683 6716527.430318992 41.982825392782686, -29574.9157230556 6716522.7433152525 42.012836844325065, -29573.739845449105 6716517.871961968 42.0428487354517, -29572.553979807533 6716512.999695099 42.07286063402891, -29571.37810182781 6716508.128341979 42.10287252515555, -29570.20313733036 6716503.247001096 42.13288442373276, -29569.03724682529 6716498.376561813 42.15289629995823, -29567.862281953567 6716493.495221095 42.18290819853544, -29566.688230561325 6716488.603892614 42.2129201194644, -29565.533241010504 6716483.724379395 42.24293198823929, -29564.36734975688 6716478.853940444 42.272943849563596, -29563.212359831436 6716473.974427388 42.29295571833849, -29562.058283383958 6716469.084926569 42.322967609465124, -29560.90420674812 6716464.195425831 42.35297949314118, -29559.75920410687 6716459.316826689 42.38299133956433, -29558.614201278542 6716454.438227623 42.41300318598747, -29557.471025589854 6716449.5396529455 42.443015077114104, -29556.3360102328 6716444.66196771 42.463026908636095, -29555.316944407183 6716440.278317871 42.49303754061461)</t>
  </si>
  <si>
    <t>POINT (-29565.607385606938 6716483.873384456)</t>
  </si>
  <si>
    <t>['EV39 S79D1 m20312-20400']</t>
  </si>
  <si>
    <t>LINESTRING Z (-29472.381834964384 6716036.2905949745 45.463999716043475, -29471.59704354778 6716031.878024992 45.54401004254818, -29470.719017217285 6716026.943284103 45.63402158349753, -29469.831916475203 6716021.997641793 45.72403315424919, -29468.96387759992 6716017.063814651 45.81404468774796, -29468.096752157435 6716012.119999721 45.9140562286973, -29467.22962651844 6716007.176184847 46.014067777097225, -29466.37248852919 6716002.233283663 46.11407931059599, -29465.515350343427 6715997.290382537 46.214090836644175, -29464.658211961505 6715992.347481468 46.32410236269236, -29463.801073383307 6715987.404580456 46.43411388874054, -29462.943934609066 6715982.461679504 46.544125414788724, -29462.0976971091 6715977.50970439 46.65413694828749, -29461.260533633525 6715972.568630802 46.774148444533346, -29460.413382115425 6715967.626643649 46.89415995568037, -29459.57713187067 6715962.67558233 47.01417146682739, -29458.740881429054 6715957.724521066 47.134182985425, -29457.913705012994 6715952.78436133 47.264194466769695, -29457.24760315148 6715948.83586327 47.36420364588499)</t>
  </si>
  <si>
    <t>POINT (-29464.734452609366 6715992.577126254)</t>
  </si>
  <si>
    <t>['EV39 S79D1 m19810-19899']</t>
  </si>
  <si>
    <t>LINESTRING Z (-29393.939132516854 6715541.225684302 60.23514004975557, -29393.169002572657 6715536.542533917 60.385150771141056, -29392.35179723834 6715531.6032923255 60.54516208857298, -29391.535505295848 6715526.654062943 60.70517341345549, -29390.709225310362 6715521.703920028 60.85518475323916, -29389.88203154062 6715516.763765012 61.01519607067108, -29389.04484972905 6715511.822696469 61.17520739555359, -29388.21856915299 6715506.872553718 61.33521872788668, -29387.381386948284 6715501.931485289 61.49523005276919, -29386.877262679045 6715498.964663971 61.58523684769869, -29386.54420454707 6715496.990416914 61.65524137020111, -29385.69703410426 6715492.04843501 61.80525269508362, -29384.85985131038 6715487.107366752 61.96526401251555, -29384.01176689053 6715482.175372806 62.12527531504631, -29383.16550944303 6715477.223403228 62.28528665482998, -29382.327412476414 6715472.292322987 62.44529794245958, -29382.155432488536 6715471.309736649 62.475300199985504, -29381.470253207022 6715467.349427787 62.605309274792674, -29380.613093740772 6715462.406532644 62.76532059967518, -29379.755934078596 6715457.463637559 62.915331924557684, -29379.02818533685 6715453.308078274 63.04534144639969)</t>
  </si>
  <si>
    <t>POINT (-29386.55409447051 6715497.254939614)</t>
  </si>
  <si>
    <t>['EV39 S79D1 m19308-19397']</t>
  </si>
  <si>
    <t>LINESTRING Z (-29300.090081703034 6715048.750668781 74.5862685519457, -29299.127362383646 6715044.190910008 74.66627898275853, -29298.076762930257 6715039.270614196 74.75629024058581, -29297.04431187827 6715034.372121241 74.84630143880844, -29296.013687728904 6715029.453652665 74.92631267428398, -29294.981236294843 6715024.555159849 75.01632387250662, -29293.949698215583 6715019.646679264 75.09633508563041, -29292.929974878905 6715014.719136606 75.17634632110595, -29291.90842425893 6715009.81156971 75.2563575193286, -29290.896861291025 6715004.904916428 75.32636871010065, -29289.887125219684 6714999.978287531 75.40637993067503, -29288.887376798433 6714995.052572244 75.4636996459961, -29287.896702484344 6714990.137758415 75.53371659606695, -29286.917842906085 6714985.2038825145 75.61373356848955, -29285.938069591997 6714980.279994518 75.67375050365925, -29284.978271770524 6714975.357933682 75.74376737177373, -29284.019387297798 6714970.425885062 75.81378426223993, -29283.08139185817 6714965.485675752 75.87380111545325, -29282.356184041593 6714961.632497685 75.92381423592568)</t>
  </si>
  <si>
    <t>POINT (-29291.052304572957 6715005.226088381)</t>
  </si>
  <si>
    <t>['EV39 S79D1 m24324-24413']</t>
  </si>
  <si>
    <t>LINESTRING Z (-31115.40110055625 6719652.693370974 22.275235566198827, -31112.627265529707 6719649.216651678 22.305242286622526, -31109.48048274161 6719645.302943566 22.33524986386299, -31106.355503649567 6719641.371087653 22.36525744855404, -31103.832998513826 6719638.229585163 22.385263520777226, -31103.21146257012 6719637.427416128 22.38526505559683, -31100.102803474176 6719633.537340233 22.41527256578207, -31096.96783627651 6719629.604570977 22.445280143022536, -31093.84285695618 6719625.672715858 22.475287712812424, -31090.736939508002 6719621.752676744 22.50529525279999, -31089.01203181676 6719619.580527722 22.51529942512512, -31087.611046134843 6719617.830809952 22.53530280023813, -31084.496968513937 6719613.889881426 22.55531036257744, -31081.38197689713 6719609.958941029 22.585317910015583, -31078.26789916039 6719606.018012893 22.61532546490431, -31075.163809297374 6719602.077998896 22.645333012342455, -31072.058805439738 6719598.147973022 22.675340544879436, -31068.95471545949 6719594.207959415 22.695348084867, -31065.841551424237 6719590.257044132 22.725355639755726, -31062.74744925869 6719586.317944851 22.75536316484213, -31060.14967506018 6719583.008412243 22.785369482934474)</t>
  </si>
  <si>
    <t>POINT (-31087.718520558705 6719617.896038829)</t>
  </si>
  <si>
    <t>['EV39 S79D1 m23823-23912']</t>
  </si>
  <si>
    <t>LINESTRING Z (-30814.088908847538 6719252.062084114 25.09598024427891, -30811.325316400267 6719248.143172073 25.125987240374087, -30808.437429439975 6719244.041670973 25.145994556844236, -30805.5504563048 6719239.930182145 25.17600188076496, -30802.672557100537 6719235.829595329 25.206009189784528, -30799.795571719995 6719231.719020781 25.236016498804094, -30796.91858625901 6719227.608446422 25.266023807823657, -30794.0525025347 6719223.48879824 25.286031116843223, -30791.175516912015 6719219.378224255 25.31603841841221, -30788.309433024842 6719215.258576452 25.346045719981195, -30785.442435154226 6719211.148916746 25.376053006649016, -30782.577265005442 6719207.0192814 25.406060315668583, -30779.721168787102 6719202.900548058 25.436067594885827, -30776.865072486573 6719198.781814904 25.45607488155365, -30774.00989000441 6719194.653094019 25.486082168221476, -30771.155621338985 6719190.5143854115 25.516089469790458, -30768.31042660412 6719186.386578803 25.546096749007702, -30765.465231785434 6719182.258772383 25.576104020774366, -30763.19705320627 6719178.979414687 25.59610980242491)</t>
  </si>
  <si>
    <t>POINT (-30788.574429052467 6719215.568507144)</t>
  </si>
  <si>
    <t>['EV39 S79D1 m21817-21906']</t>
  </si>
  <si>
    <t>LINESTRING Z (-29874.001912255888 6717484.8954570955 36.35037298947573, -29872.296460766695 6717480.418776817 36.380385029613976, -29870.52030714962 6717475.724127812 36.41039763599634, -29868.744153371896 6717471.029478935 36.44041023492813, -29866.966171932872 6717466.354805909 36.47042278915644, -29865.18002997304 6717461.659243539 36.49043540298939, -29863.41477732372 6717456.955520931 36.520448001921174, -29861.648610763717 6717452.261786309 36.55046057850122, -29859.88335779053 6717447.558063956 36.580473177433014, -29858.11719090829 6717442.864329588 36.61048575401306, -29856.361011724686 6717438.171509095 36.63049830824137, -29854.605746127898 6717433.468700864 36.66051088482141, -29852.85955448181 6717428.776794372 36.69052342414856, -29851.104288560804 6717424.073986393 36.72053599327803, -29849.349936224055 6717419.36119068 36.75054858475924, -29847.61373195355 6717414.670198302 36.78056110173464, -29845.869367151405 6717409.958316587 36.800573678314684, -29844.13590379129 6717405.237360877 36.83058625489473, -29842.956368401297 6717402.057656909 36.850594733655456)</t>
  </si>
  <si>
    <t>POINT (-29858.403769596545 6717443.504796849)</t>
  </si>
  <si>
    <t>2021-11-30</t>
  </si>
  <si>
    <t>['EV16 S25D1 m2947-3028']</t>
  </si>
  <si>
    <t>LINESTRING Z (122165.774790993 6793411.16916992 -999999, 122205.399021523 6793473.25187943 -999999)</t>
  </si>
  <si>
    <t>POINT (122185.586906258 6793442.2105246745)</t>
  </si>
  <si>
    <t>['EV16 S25D1 m3451-3524']</t>
  </si>
  <si>
    <t>LINESTRING Z (122444.866587168 6793824.08271974 -999999, 122496.051624448 6793876.54901577 -999999)</t>
  </si>
  <si>
    <t>POINT (122470.459105808 6793850.315867756)</t>
  </si>
  <si>
    <t>['EV16 S25D1 m3946-4018']</t>
  </si>
  <si>
    <t>LINESTRING Z (122840.534663783 6794114.43643044 -999999, 122873.260868563 6794128.80954286 -999999, 122906.182046276 6794142.2890308 -999999)</t>
  </si>
  <si>
    <t>POINT (122873.27059917833 6794128.569584627)</t>
  </si>
  <si>
    <t>2021-12-01</t>
  </si>
  <si>
    <t>['EV39 S79D1 m6964-7054']</t>
  </si>
  <si>
    <t>LINESTRING Z (-30986.56736174214 6719436.613100354 23.725617333948612, -30986.091009065975 6719435.985362659 23.735618503689768, -30983.084118408966 6719431.973677593 23.755625954270364, -30980.07722768362 6719427.961992721 23.785633397400378, -30977.070336890174 6719423.950308041 23.815640840530396, -30974.063446028973 6719419.938623552 23.845648276209833, -30971.056555099087 6719415.926939259 23.875655711889266, -30968.661213017185 6719412.7165082935 23.895661650002005, -30968.059652028023 6719411.916169077 23.895663132667543, -30965.06366280839 6719407.895411158 23.925670568346977, -30962.067673519137 6719403.8746534325 23.955677996575833, -30959.081672086962 6719399.854809819 23.985685409903528, -30956.086596577778 6719395.824064554 24.01569284558296, -30953.100595006137 6719391.804221321 24.045700258910657, -30950.717068353784 6719388.57472935 24.065706197023392, -30950.12549520831 6719387.775304275 24.06570767223835, -30947.140407414176 6719383.745473504 24.095715085566045, -30944.15531954984 6719379.715642925 24.125722498893737, -30941.18113345711 6719375.676738526 24.155729919672012, -30938.206033375813 6719371.64782225 24.185737318098546, -30935.24183506472 6719367.609832151 24.20574471652508, -30933.06518243358 6719364.651059273 24.235750140547754)</t>
  </si>
  <si>
    <t>POINT (-30959.749174623375 6719400.681955773)</t>
  </si>
  <si>
    <t>['EV39 S79D1 m7965-8055']</t>
  </si>
  <si>
    <t>LINESTRING Z (-30436.53919733956 6718601.6231313795 29.35705006569624, -30435.166726069874 6718599.231467341 29.377053858041762, -30432.674878415186 6718594.874156738 29.407060764729977, -30430.192104693153 6718590.527748042 29.427067641615867, -30427.710244705086 6718586.171351624 29.45707452595234, -30425.228384603048 6718581.814955374 29.487081417739393, -30422.757426126045 6718577.449485249 29.517088302075862, -30421.758689272334 6718575.706378557 29.527091058790685, -30420.275565796066 6718573.093089338 29.547095178961754, -30417.803693244583 6718568.737607446 29.567102048397064, -30415.342722315807 6718564.373051674 29.597108917832376, -30412.871763380244 6718560.007582227 29.627115794718264, -30410.41079222143 6718555.643026793 29.657122656702995, -30407.949820947833 6718551.278471525 29.687129511237146, -30406.961985555594 6718549.526291194 29.697132267951964, -30405.489763402496 6718546.903928537 29.717136380672457, -30403.038779789116 6718542.540287453 29.737143227756025, -30400.578722012462 6718538.165744799 29.767150089740753, -30398.13863990188 6718533.79303 29.797156936824322, -30395.688569783582 6718529.419401531 29.827163783907892, -30393.238499549218 6718525.045773226 29.857170630991458, -30392.270639659953 6718523.295420984 29.86717336535454)</t>
  </si>
  <si>
    <t>POINT (-30414.329448043933 6718562.50192496)</t>
  </si>
  <si>
    <t>['EV39 S79D1 m8464-8554']</t>
  </si>
  <si>
    <t>LINESTRING Z (-30202.19670903124 6718161.077084288 32.1677218696475, -30200.022698195884 6718156.658227374 32.19772834420204, -30197.806058309507 6718152.154898526 32.22773494541645, -30195.599406168447 6718147.652483642 32.24774153918028, -30193.392753893393 6718143.1500689145 32.277748132944104, -30191.196089363424 6718138.648568149 32.30775471180677, -30188.989436820382 6718134.14615373 32.33776129066944, -30186.79277202196 6718129.644653273 32.36776786953211, -30184.60700877488 6718125.134078895 32.3977744409442, -30182.410343707772 6718120.632578744 32.4177810049057, -30180.22458019096 6718116.122004673 32.447787576317786, -30178.038816538756 6718111.611430757 32.47779414027929, -30175.853966556955 6718107.090869114 32.50780071914196, -30173.678190512 6718102.581209308 32.53780726820231, -30171.50241433154 6718098.071549655 32.55781381726265, -30169.327551819966 6718093.551902275 32.587820373773575, -30167.15268917184 6718089.03225505 32.6178269302845, -30164.98781426507 6718084.51352178 32.64783347934485, -30162.95807257807 6718080.279082204 32.67783961117268)</t>
  </si>
  <si>
    <t>POINT (-30182.50141245793 6718120.714984231)</t>
  </si>
  <si>
    <t>['EV39 S79D1 m8965-9054']</t>
  </si>
  <si>
    <t>LINESTRING Z (-29995.285100477282 6717705.699297537 34.979735786020754, -29994.937797901337 6717704.871877557 34.97973806589842, -29993.014511189656 6717700.244331175 35.00975082874298, -29991.09122432652 6717695.616784932 35.039763591587544, -29989.167937311227 6717690.989238826 35.06977634698153, -29987.245563913253 6717686.351704989 35.08978912472725, -29985.33226446202 6717681.725072922 35.11980185776949, -29983.797995151486 6717678.0194067145 35.13981205761433, -29983.419878626708 6717677.088453128 35.14981461316347, -29981.507492639124 6717672.451833466 35.179827368557454, -29979.595106498222 6717667.81521394 35.20984011650086, -29977.692708072253 6717663.17950832 35.22985285699367, -29975.79030949343 6717658.543802832 35.259865582585334, -29973.89789862861 6717653.909011248 35.289878300726414, -29972.374530218658 6717650.194271592 35.309888500571255, -29971.995499743265 6717649.2733060345 35.319891026318075, -29970.104002337903 6717644.62852685 35.349903759360316, -29968.212504778174 6717639.983747802 35.37991649240256, -29966.33099493198 6717635.339882652 35.39992920309305, -29964.439497064217 6717630.6951038735 35.42994192868471, -29962.55798690894 6717626.051238994 35.45995463937521, -29961.12078997167 6717622.495455622 35.47996436238289)</t>
  </si>
  <si>
    <t>POINT (-29978.12740221197 6717664.128394836)</t>
  </si>
  <si>
    <t>['EV39 S79D1 m9464-9553']</t>
  </si>
  <si>
    <t>LINESTRING Z (-29817.449269204168 6717238.973684219 37.790991812348366, -29816.59620874352 6717236.518780128 37.80099825710058, -29814.96535873576 6717231.777001366 37.8310106921196, -29813.334508560132 6717227.03522272 37.861023127138616, -29811.703658216284 6717222.293444192 37.89103556215763, -29810.072807704215 6717217.551665782 37.911047989726065, -29808.45194488403 6717212.810801216 37.94106040239334, -29807.799239073647 6717210.918085074 37.95106536448002, -29806.83108189539 6717208.069936766 37.971072815060616, -29805.21021873888 6717203.329072433 38.00108522027731, -29803.600257000653 6717198.579134086 38.03109763294459, -29801.990295093972 6717193.829195849 38.06111004561186, -29800.379419290926 6717189.089245591 38.08112243592739, -29798.779444905114 6717184.340221311 38.111134826242925, -29798.13764027669 6717182.438431317 38.12113979578018, -29797.179470349918 6717179.591197149 38.14114722400904, -29795.580409351038 6717174.832185244 38.171159629225734, -29793.980434457306 6717170.083161309 38.20117201954127, -29792.390447252546 6717165.335051213 38.221184387505055, -29790.80137360317 6717160.576953375 38.25119677782059, -29789.211386059294 6717155.828843509 38.28120914578438, -29788.824318090803 6717154.665430896 38.2912121707201)</t>
  </si>
  <si>
    <t>POINT (-29803.05759822739 6717196.846456933)</t>
  </si>
  <si>
    <t>['EV39 S79D1 m10464-10554']</t>
  </si>
  <si>
    <t>LINESTRING Z (-29550.62190521951 6716276.691709238 43.41340200811624, -29550.455288849073 6716275.870753668 43.41340396016836, -29549.41289816692 6716270.971329232 43.4434156948328, -29548.391396641964 6716266.0637443205 43.47342742949724, -29547.359907076345 6716261.15524583 43.503439171612264, -29546.33840516815 6716256.247661059 43.533450891375544, -29545.316903068684 6716251.34007636 43.563462618589405, -29544.49733822164 6716247.417821064 43.58347199141979, -29544.29540077725 6716246.432491735 43.58347433835268, -29543.283886143938 6716241.525820822 43.61348605066538, -29542.272371318424 6716236.619149985 43.6434977555275, -29541.26176994783 6716231.702491366 43.67350948274136, -29540.250254738494 6716226.79582067 43.70352118760348, -29539.24964083254 6716221.880075838 43.73353289246559, -29538.450050764717 6716217.959648174 43.75354223549366, -29538.24811308901 6716216.974318925 43.75354458242655, -29537.257486647693 6716212.0594878765 43.78355627983809, -29536.266860013595 6716207.144656898 43.813567969799045, -29535.275319542736 6716202.239813839 43.843579637408254, -29534.284692524 6716197.324982997 43.87359132736921, -29533.294978955993 6716192.400164376 43.89360303968191, -29532.605919056805 6716188.922919196 43.91361129492521)</t>
  </si>
  <si>
    <t>POINT (-29541.53317489096 6716232.823896547)</t>
  </si>
  <si>
    <t>['EV39 S79D1 m10965-11054']</t>
  </si>
  <si>
    <t>LINESTRING Z (-29462.55986790289 6715784.291533543 52.31455622971058, -29462.29934630904 6715782.515276345 52.36456031262875, -29461.554806393455 6715777.552462579 52.524571719467644, -29460.81934051786 6715772.600550324 52.68458309650421, -29460.084788052598 6715767.6386502655 52.84459448844194, -29459.933699675254 6715766.647902384 52.874596768319606, -29459.350235388847 6715762.676750254 53.00460588037968, -29458.60569467768 6715757.713936685 53.15461728721857, -29458.162417130545 6715754.742606719 53.2546241119504, -29457.871141615906 6715752.752036774 53.31462867915631, -29457.135674748453 6715747.800124761 53.474640041291714, -29457.124835116905 6715747.69841906 53.47464027225971, -29456.401121289935 6715742.838224938 53.63465142577887, -29455.66656763153 6715737.876325175 53.79466281026602, -29454.932013774407 6715732.914425457 53.954674194753174, -29454.187471870333 6715727.951612182 54.104685586690906, -29453.754181457334 6715724.981195994 54.20469239652157, -29453.452917615534 6715722.989712561 54.264696963727474, -29452.71836316213 6715718.027812986 54.42470834076405, -29451.98289490561 6715713.075901313 54.584719695448875, -29451.238352206536 6715708.113088231 54.74473107993603, -29450.493809308507 6715703.1502752 54.90474246442318, -29449.75925405952 6715698.188375823 55.05475383400917, -29449.413655710407 6715695.910837527 55.13475905686617)</t>
  </si>
  <si>
    <t>POINT (-29455.992970820447 6715740.10026741)</t>
  </si>
  <si>
    <t>['EV39 S79D1 m11468-11556']</t>
  </si>
  <si>
    <t>LINESTRING Z (-29380.21218072949 6715288.1948951045 68.18569431334734, -29380.126189995557 6715287.703602035 68.20569543093443, -29379.17639192089 6715282.782449232 68.3657067334652, -29378.237495068344 6715277.852222214 68.51571804344654, -29377.288610173506 6715272.921081697 68.67572936832904, -29376.9046955955 6715270.952255219 68.74573389083147, -29376.33881151746 6715267.999929095 68.83574066340924, -29375.389012667583 6715263.078776554 68.99575195848942, -29374.730742597138 6715259.7050723815 69.10575969964266, -29374.6220967368 6715259.131135868 69.12576101839542, -29374.430139343138 6715258.146722665 69.15576327592134, -29373.470352258766 6715253.224656689 69.30577457845212, -29372.510564980214 6715248.302590786 69.4657858735323, -29371.55077750876 6715243.380524944 69.61579717606307, -29370.590989843477 6715238.458459168 69.77580847114325, -29369.62121413718 6715233.535479899 69.92581976622343, -29368.843395863427 6715229.596913815 70.04582881122828, -29368.6514382374 6715228.612500693 70.0758310687542, -29367.681662144023 6715223.689521555 70.21584237128496, -29366.701898009982 6715218.76562892 70.36585367381574, -29366.116037006257 6715215.811476087 70.45586045384407, -29365.732121529873 6715213.842649917 70.51586496889591, -29364.75144344708 6715208.928745268 70.65587624907494, -29363.77167873294 6715204.004852836 70.7958875516057, -29363.19123742229 6715201.101552923 70.87589421242475)</t>
  </si>
  <si>
    <t>POINT (-29371.765047480734 6715244.635887228)</t>
  </si>
  <si>
    <t>['EV39 S79D1 m9965-10054']</t>
  </si>
  <si>
    <t>LINESTRING Z (-29668.853949720506 6716761.4085414 40.60221575647593, -29667.893406101502 6716757.926596114 40.62222446620464, -29666.563150990405 6716753.091471286 40.65223655849695, -29665.222907845047 6716748.255432859 40.68224865823984, -29663.901726535172 6716743.431209763 40.71226071327925, -29662.571470880765 6716738.596085215 40.7422727906704, -29661.251202897867 6716733.761874456 40.76228486061096, -29660.987514755107 6716732.791037172 40.77228728204965, -29659.93093473406 6716728.927663785 40.79229693055153, -29658.61158007651 6716724.0834653545 40.82230901539326, -29657.301299401675 6716719.250168564 40.852321062982085, -29655.99193223263 6716714.406884012 40.88233313292265, -29654.681651195046 6716709.573587404 40.902345180511475, -29653.372283662087 6716704.730303037 40.93235724300146, -29653.117669466767 6716703.770367405 40.94235962718725, -29652.072903799242 6716699.887932448 40.96236929059029, -29650.77261006867 6716695.055549808 40.99238131582737, -29649.473229841562 6716690.213179407 41.02239336341619, -29648.18475096929 6716685.361734926 41.05240541100502, -29646.895358229405 6716680.520278391 41.072417443692686, -29645.605965306866 6716675.678821951 41.10242946892977, -29645.47911494365 6716675.193860262 41.10243066847325)</t>
  </si>
  <si>
    <t>POINT (-29657.090111306872 6716718.3219102835)</t>
  </si>
  <si>
    <t>['EV39 S79D1 m7464-7554']</t>
  </si>
  <si>
    <t>LINESTRING Z (-30698.545987621183 6719027.761856984 26.546347386538983, -30697.528063721256 6719026.228489066 26.556350024044516, -30694.77915321442 6719022.038998109 26.57635719895363, -30692.02025470708 6719017.848593456 26.606364381313323, -30689.27134401747 6719013.659102866 26.63637155622244, -30686.53242114547 6719009.470526344 26.666378716230394, -30683.78442415665 6719005.2710482115 26.696385891139506, -30682.1414358872 6719002.753907333 26.706390190124512, -30681.045501100132 6719001.082472054 26.72639304369688, -30678.297503926908 6718996.8829942895 26.746400211155414, -30675.570396360592 6718992.67535656 26.77640737861395, -30672.832386909984 6718988.4767930405 26.806414531171324, -30670.094377366826 6718984.2782297 26.836421683728695, -30667.367269520066 6718980.07059252 26.86642883628607, -30665.735182706383 6718977.5443782685 26.87643312782049, -30664.640161579475 6718975.862955521 26.88643598884344, -30661.92304145277 6718971.656232583 26.916443126499654, -30659.195933324983 6718967.448595945 26.946450271606444, -30656.479726890568 6718963.231885463 26.976457416713238, -30653.76260648144 6718959.025163068 27.00646454691887, -30651.05638776417 6718954.809366829 27.0364716771245, -30649.450608813437 6718952.325846493 27.046475886702538)</t>
  </si>
  <si>
    <t>POINT (-30673.928605402907 6718990.089224065)</t>
  </si>
  <si>
    <t>['EV39 S79D1 m6498-6553']</t>
  </si>
  <si>
    <t>LINESTRING Z (-31273.375406651176 6719803.024416417 21.10491434931755, -31270.490988056757 6719799.215279667 21.134921725392342, -31268.86413284461 6719797.0722404625 21.154925875365734, -31267.452311546775 6719795.220810772 21.164929473996164, -31265.02518267848 6719792.027598974 21.18493565797806, -31264.413634971017 6719791.226342079 21.1949372151494, -31261.364056429476 6719787.240947572 21.21494494885206, -31258.31447782414 6719783.255553257 21.24495268255472, -31255.254911209107 6719779.269245181 21.274960416257382, -31254.030901754624 6719777.676719595 21.284963508248328, -31252.194430576987 6719775.292925248 21.304968135058882, -31249.133949882 6719771.316605507 21.334975853860378, -31246.06256722624 6719767.349359959 21.364983565211297, -31242.98119656439 6719763.381200648 21.384991276562214, -31240.36893161887 6719760.00990395 21.41499782562256)</t>
  </si>
  <si>
    <t>POINT (-31256.917957548685 6719781.482035236)</t>
  </si>
  <si>
    <t>['EV39 S79D1 m4458-4547']</t>
  </si>
  <si>
    <t>LINESTRING Z (-32243.123877131962 6721589.431757088 27.297766819000245, -32240.2757234202 6721585.776940975 27.257771520316602, -32239.050815128256 6721584.194373481 27.247773554325104, -32237.213452672004 6721581.820522295 27.21777660161257, -32234.152095971396 6721577.854115808 27.177781697809696, -32231.090739208157 6721573.887709518 27.137786786556244, -32230.488273028634 6721573.0973399915 27.137787792384625, -32228.050272496534 6721569.913143632 27.097791867852212, -32225.020707831252 6721565.929504051 27.05779694914818, -32221.992057209136 6721561.93587666 27.017802037894725, -32218.973394523142 6721557.943163568 26.977807126641274, -32215.955645878217 6721553.940462668 26.937812215387822, -32213.55942531675 6721550.739947478 26.907816275954247, -32212.95787316945 6721549.939590172 26.89781729668379, -32209.96192860615 6721545.918741871 26.857822392880916, -32206.975057868403 6721541.908795866 26.817827466726303, -32205.182217541616 6721539.488662331 26.79783052891493, -32204.000003275112 6721537.879788157 26.777832555472852, -32201.024948610808 6721533.85078064 26.7378376442194, -32198.060795981903 6721529.812699417 26.697842732965945, -32196.879495752277 6721528.193837427 26.67784476697445, -32195.106631281204 6721525.7755324915 26.657847814261913, -32192.164282717975 6721521.719303863 26.617852903008462, -32189.356214302592 6721517.8465829855 26.577857760787012)</t>
  </si>
  <si>
    <t>POINT (-32216.023434772203 6721553.8018696485)</t>
  </si>
  <si>
    <t>['EV39 S79D1 m4953-5043']</t>
  </si>
  <si>
    <t>LINESTRING Z (-31979.59713387699 6721171.81456978 23.318266842365265, -31979.273348885006 6721171.17056775 23.318267565071583, -31978.38000281609 6721169.376632173 23.298269569277764, -31977.03498967958 6721166.685271819 23.278272571861745, -31974.816606316017 6721162.20180419 23.238277571201326, -31972.59913689329 6721157.70834873 23.198282577991485, -31972.157457775553 6721156.811838066 23.188283576369287, -31970.39165532426 6721153.215807493 23.148287569880488, -31968.195075680385 6721148.7141924985 23.108292569220065, -31966.440175094758 6721145.109088232 23.07829657018185, -31966.00848388858 6721144.213491731 23.068297561109066, -31963.822806033655 6721139.702803127 23.028302560448648, -31961.657104015932 6721135.193942814 22.988307544887068, -31959.92309314874 6721131.580679074 22.958311538398267, -31959.492315932526 6721130.675094673 22.948312536776065, -31957.337515698862 6721126.1571607515 22.908317521214485, -31955.193617383484 6721121.6301530665 22.868322513103486, -31953.91218759201 6721118.904326167 22.848325508236886, -31953.491398284445 6721117.99965592 22.838326499164104, -31953.05970691645 6721117.104059596 22.828327490091326, -31950.9376124345 6721112.558904377 22.788332474529742, -31948.824591729557 6721108.024651361 22.748337451517582, -31947.973939058254 6721106.204408962 22.738339448273184, -31946.71248495346 6721103.480410505 22.708342435956002, -31944.620354007697 6721098.9379979335 22.66834739804268, -31942.529136988916 6721094.385597527 22.628352375030516, -31942.109261597972 6721093.470939455 22.61835337340832, -31941.028304793872 6721091.085752176 22.598355973660947)</t>
  </si>
  <si>
    <t>POINT (-31960.06818438644 6721131.566937953)</t>
  </si>
  <si>
    <t>['EV39 S79D1 m5454-5544']</t>
  </si>
  <si>
    <t>LINESTRING Z (-31789.597720780526 6720708.686463547 19.293217479586602, -31789.573241055827 6720708.623793575 19.29321759134531, -31789.186069221003 6720707.6819159975 19.283219304978847, -31787.28376362601 6720703.046100146 19.24322771668434, -31785.37238393433 6720698.39938242 19.203236150741578, -31783.46009005583 6720693.762652805 19.163244569897653, -31781.537808047375 6720689.125009296 19.123252996504306, -31779.604623877327 6720684.496439867 19.0832614082098, -31778.449439719436 6720681.711673505 19.053266467154028, -31778.060439640423 6720680.789772038 19.04326814353466, -31777.672353587695 6720679.857882599 19.043269842267037, -31775.739169113804 6720675.229313446 19.003278253972532, -31773.786008535535 6720670.598916367 18.963286680579184, -31771.84192175232 6720665.979421428 18.91329507738352, -31771.443847625167 6720665.046618048 18.913296783566476, -31769.877858864726 6720661.358098574 18.87330349653959, -31767.923783803708 6720656.737689887 18.833311900794506, -31766.348720880924 6720653.038268606 18.803318636119368, -31765.949732640176 6720652.115453278 18.79332032740116, -31764.373755568056 6720648.426020085 18.76332704782486, -31763.974767296924 6720647.503204787 18.753328731656076, -31761.99980180466 6720642.890956436 18.713337128460406, -31760.0148481878 6720638.277794194 18.6733455401659, -31758.018992417958 6720633.673706041 18.633353944420815, -31757.221015679534 6720631.828075632 18.623357304632663, -31756.024050527718 6720629.059630055 18.59336235612631, -31754.485216353438 6720625.514599221 18.563368823230267)</t>
  </si>
  <si>
    <t>POINT (-31772.19420068511 6720667.036070692)</t>
  </si>
  <si>
    <t>['EV39 S79D1 m5709-5799']</t>
  </si>
  <si>
    <t>LINESTRING Z (-31685.770915579516 6720476.118790202 17.363642892837525, -31684.745173883857 6720474.01060011 17.353646782040595, -31682.549487278564 6720469.499018577 17.333655104339122, -31681.667034607148 6720467.696017999 17.33365843474865, -31680.343812566716 6720464.986523188 17.323663434088232, -31678.137223706697 6720460.484015926 17.30367174893618, -31675.931548726046 6720455.971520844 17.293680071234704, -31673.714057614445 6720451.478087844 17.283688371181487, -31672.558604277787 6720449.1364525985 17.273692699968816, -31671.4874924107 6720446.973753023 17.273696693480016, -31669.260013062507 6720442.4794063205 17.26370500087738, -31667.022545610438 6720437.984145769 17.253713315725328, -31665.67843308614 6720435.282811521 17.253718307614328, -31664.78507802612 6720433.488885371 17.253721623122694, -31662.53670832829 6720429.00269909 17.243729923069477, -31660.288338499377 6720424.516512965 17.243738223016262, -31659.11199479783 6720422.183038156 17.243742544353008, -31658.029980568914 6720420.029412989 17.243746530413627, -31657.578308966826 6720419.131993012 17.2437481918931, -31655.760720527847 6720415.551387128 17.243754822909832, -31653.49146035663 6720411.073361429 17.25376312285662, -31651.222200055723 6720406.595335885 17.253771415352823, -31649.393709347467 6720403.023804321 17.253778038918973, -31648.942037646426 6720402.12638446 17.263779692947864, -31646.65188713884 6720397.65651919 17.26378798544407, -31645.523588749114 6720395.458372523 17.273792060911656)</t>
  </si>
  <si>
    <t>POINT (-31665.797725906126 6720435.713457831)</t>
  </si>
  <si>
    <t>['EV39 S79D1 m5959-6049']</t>
  </si>
  <si>
    <t>LINESTRING Z (-31524.505216583493 6720176.526190174 18.574201179742815, -31525.369722421165 6720177.9750379175 18.564198452830315, -31527.420761253685 6720181.425925101 18.544191948473454, -31527.935103952535 6720182.298863375 18.544190309345723, -31530.480509450426 6720186.620861026 18.51418218076229, -31533.035902801435 6720190.943772842 18.4841740372777, -31535.5713201185 6720195.26485685 18.45416591614485, -31536.59093139833 6720196.999831674 18.444162652790546, -31538.115811298718 6720199.596842986 18.424157765209674, -31539.629789206083 6720202.20292833 18.414152870178224, -31540.649400415015 6720203.937903268 18.394149606823923, -31543.17391544883 6720208.2680617655 18.37414147078991, -31545.69751638011 6720212.608208402 18.344133312404157, -31548.21021524514 6720216.957429177 18.314125154018402, -31550.722913997713 6720221.306650127 18.284116988182067, -31553.225624674233 6720225.654957256 18.254108822345735, -31554.719626252074 6720228.259215238 18.244103942215443, -31555.728335238295 6720230.003264558 18.22410066395998, -31558.220143731916 6720234.360646 18.204092490673066, -31560.70196414797 6720238.717113617 18.17408432483673, -31563.19285842008 6720243.084483367 18.144076136648657, -31563.68722487369 6720243.955594147 18.134074504971505, -31565.663776648697 6720247.450025295 18.11406796336174, -31568.144682727754 6720251.816481384 18.084059775173664, -31569.54885819531 6720254.30173241 18.074055118560793)</t>
  </si>
  <si>
    <t>POINT (-31547.17191056882 6720215.330018215)</t>
  </si>
  <si>
    <t>['EV39 S79D1 m2955-3099']</t>
  </si>
  <si>
    <t>LINESTRING Z (-33245.716291000135 6722499.8825698625 38.20641617029906, -33246.43685215234 6722500.59311387 38.216415157020094, -33249.97972946835 6722504.140348844 38.25641011297703, -33253.52260677237 6722507.687584026 38.296405068933964, -33257.06456986745 6722511.244807484 38.3364000248909, -33257.77422874165 6722511.964425501 38.346399004161356, -33260.60561875219 6722514.812019222 38.37639496594667, -33264.1366795497 6722518.378316965 38.41638991445303, -33264.44068846514 6722518.68815159 38.42638948231936, -33267.65775225847 6722521.943700719 38.45638487040997, -33270.47732576763 6722524.810356847 38.4863808247447, -33271.18698463112 6722525.529975021 38.496379811465744, -33274.70714311302 6722529.105347253 38.5363747599721, -33278.216399305034 6722532.689793568 38.566369708478454, -33278.65834475623 6722533.143186234 38.57636906772852, -33281.72565548145 6722536.274240084 38.60636465698481, -33283.134985112934 6722537.7125625 38.616362630426885, -33285.23399744183 6722539.868674881 38.636359598040585, -33286.311182331876 6722540.974443891 38.64635804086924, -33288.73143710906 6722543.47218376 38.66635453909635, -33292.22979095997 6722547.065704764 38.69634948760271, -33295.716328314506 6722550.678287926 38.71634442865849, -33299.20286565076 6722554.290871293 38.74633936226368, -33302.689402968506 6722557.903454859 38.766334303319454, -33304.077842203435 6722559.349937439 38.77633228421211, -33306.16503798764 6722561.525112509 38.78632924437523, -33308.253147966694 6722563.690299575 38.79632621198893, -33309.64067298698 6722565.146770362 38.806324185431, -33313.10631988861 6722568.767514214 38.82631912648678, -33316.570138363866 6722572.408234426 38.84631406009197, -33320.03487102059 6722576.038966765 38.85630900114775, -33320.72363947774 6722576.766745189 38.86630798786879, -33323.4887013745 6722579.67877318 38.87630393475294, -33324.87531215302 6722581.145232404 38.87630190074444, -33326.94161750178 6722583.32856788 38.88629886835814, -33330.38454552705 6722586.97744858 38.89629380196333, -33333.13870509027 6722589.898550898 38.906289748847485, -33333.8265593251 6722590.636317557 38.90628872811794, -33337.269487303565 6722594.285198663 38.916283669173716, -33340.70059876831 6722597.953141926 38.91627859532833, -33344.131710207555 6722601.621085394 38.91627352148294, -33345.4983447697 6722603.085716697 38.926271502375606, -33345.94753563823 6722603.569988307 38.92627083182335)</t>
  </si>
  <si>
    <t>POINT (-33296.14325846583 6722551.425266757)</t>
  </si>
  <si>
    <t>['EV39 S79D1 m3960-4049']</t>
  </si>
  <si>
    <t>LINESTRING Z (-32585.450012571295 6721948.293253069 31.29726661682129, -32584.936322718626 6721947.853442112 31.287267287373542, -32581.136297620367 6721944.58485792 31.2472722569108, -32577.347174710943 6721941.307200048 31.20727722644806, -32575.83515510522 6721940.000497825 31.197279208302497, -32573.568039845093 6721938.0304565225 31.16728219598532, -32569.789819139405 6721934.743725171 31.127287165522578, -32566.02250061836 6721931.447920143 31.087292142510414, -32565.277392992983 6721930.7854952635 31.077293133437635, -32563.011191902915 6721928.805466276 31.057296121120455, -32562.2660842794 6721928.143041434 31.047297112047673, -32558.510582097457 6721924.828174901 31.007302096486093, -32554.755079929484 6721921.513308573 30.967307073473933, -32551.010479940334 6721918.189368565 30.92731205791235, -32547.277696269564 6721914.84636685 30.88731704980135, -32544.289106079726 6721912.175778011 30.85732104331255, -32543.55398649315 6721911.514267508 30.84732202678919, -32540.566310452414 6721908.833690806 30.81732602030039, -32539.832105007954 6721908.162192317 30.80732701867819, -32536.111137672677 6721904.800129309 30.76733201801777, -32533.88854529895 6721902.783805742 30.747335005700588, -32532.400158369215 6721901.4389806455 30.72733700990677, -32528.70008123631 6721898.068758302 30.68734200179577, -32525.000918250415 6721894.688548135 30.64734700113535, -32523.533421512344 6721893.335563487 30.627348997890948, -32521.32264545397 6721891.300178431 30.60735199302435, -32518.814192013815 6721888.995828489 30.577355397939684)</t>
  </si>
  <si>
    <t>POINT (-32551.954993943007 6721918.843574322)</t>
  </si>
  <si>
    <t>['EV39 S79D1 m3460-3549']</t>
  </si>
  <si>
    <t>LINESTRING Z (-32979.16197747248 6722256.646748815 35.316776227056984, -32978.057435071794 6722255.729843918 35.30677764266729, -32975.736721182824 6722253.7951716045 35.27678063035011, -32971.88035378151 6722250.591912916 35.23678558498621, -32968.01399835257 6722247.387740255 35.196790539622306, -32964.14672877791 6722244.193555852 35.156795494258404, -32960.26947117702 6722240.998457484 35.1168004488945, -32956.39129943249 6722237.8133473685 35.0768054035306, -32952.51312771591 6722234.628237457 35.03681035071612, -32950.179683365626 6722232.722615936 35.01681332349777, -32948.62405380455 6722231.452201629 34.996815305352214, -32944.73497992288 6722228.276166 34.95682025253773, -32940.84499190003 6722225.110118632 34.91682519227266, -32936.945015855716 6722221.943157294 34.87683014690876, -32936.167201094795 6722221.307950274 34.8668311303854, -32933.044125671964 6722218.78618421 34.836835086643696, -32929.14323552046 6722215.629211324 34.79684002637863, -32925.23144317954 6722212.481312527 34.75684496611357, -32922.097465608735 6722209.968620798 34.726848922371865, -32921.3196508711 6722209.3334139325 34.716849905848505, -32917.3969563765 6722206.19458942 34.67685484558344, -32913.48333579709 6722203.066667325 34.6368597778678, -32909.83201145136 6722200.154115089 34.59686436742544)</t>
  </si>
  <si>
    <t>POINT (-32944.60093990183 6722228.272838731)</t>
  </si>
  <si>
    <t>2021-12-07</t>
  </si>
  <si>
    <t>['EV6 S69D1 m3189-3234']</t>
  </si>
  <si>
    <t>LINESTRING Z (262285.783170503 7000459.161051363 67.06, 262285.8190516731 7000459.178754861 67.09)</t>
  </si>
  <si>
    <t>['FV184 S1D1 m5772-5838']</t>
  </si>
  <si>
    <t>LINESTRING Z (283462.16410730017 6752801.37241357 217.51, 283466.86189786484 6752800.249083867 217.41, 283470.101187436 6752799.3261838425 217.33, 283472.73945252114 6752798.372876188 217.25, 283475.08263279893 6752797.404034721 217.20000000000002, 283476.756914039 6752796.721540934 217.22, 283478.62388982746 6752795.714693749 217.21, 283479.44545401086 6752795.162256309 217.20000000000002, 283489.20501804486 6752790.035201289 217.04, 283497.2231304332 6752785.829215259 216.93, 283498.17424731783 6752785.436376744 216.92000000000002, 283502.8403520523 6752782.986363715 216.82, 283504.72022655 6752782.012242055 216.78, 283510.33489023574 6752778.053036874 216.73000000000002, 283514.033714982 6752775.1929626195 216.64000000000001, 283517.48893803474 6752772.894811742 216.6, 283519.2935678503 6752771.579155443 216.59)</t>
  </si>
  <si>
    <t>2021-12-08</t>
  </si>
  <si>
    <t>['FV222 S3D1 m7748-7784']</t>
  </si>
  <si>
    <t>LINESTRING Z (288526.22770901455 6743925.76283689 171.16, 288524.40609472 6743936.246860224 170.93, 288522.74077983125 6743940.2169237295 170.8, 288522.34479020105 6743941.157346137 170.8, 288517.665222513 6743952.244916878 170.35, 288517.2782818114 6743953.1744640535 170.3, 288513.52724325133 6743958.50103995 169.99, 288512.9346682974 6743959.379117149 169.87)</t>
  </si>
  <si>
    <t>POINT (288520.95539555745 6743943.117817654)</t>
  </si>
  <si>
    <t>['FV184 S1D1 m5623-5695']</t>
  </si>
  <si>
    <t>LINESTRING Z (283650.6158931033 6752697.468594418 214.62, 283644.8495607687 6752699.223240617 214.6, 283638.2519586564 6752701.224933951 214.67000000000002, 283635.72012820124 6752701.989655582 214.71, 283634.7920671862 6752702.38623006 214.77, 283633.9402318377 6752702.95664462 214.77, 283623.1553811931 6752708.265941486 214.93, 283615.94677409105 6752711.820584371 215.01, 283614.983341958 6752712.160126233 215.02, 283608.9227921334 6752715.197549711 215.07, 283601.8104222494 6752720.129751148 215.15, 283592.4386767373 6752726.715891993 215.28, 283588.7301784681 6752728.452541671 215.3, 283586.28544927604 6752729.400152737 215.35)</t>
  </si>
  <si>
    <t>POINT (283617.737023525 6752711.951108458)</t>
  </si>
  <si>
    <t>['FV222 S3D1 m7624-7640']</t>
  </si>
  <si>
    <t>LINESTRING Z (288532.3137155069 6743814.841795992 175.66, 288532.4904569059 6743813.810968716 175.71, 288532.8139732124 6743812.847053075 175.78, 288534.59750428464 6743807.098094989 175.99, 288536.10376004735 6743802.37913437 176.15, 288536.424536785 6743801.385332549 176.11, 288537.5073281551 6743799.608425952 176.07)</t>
  </si>
  <si>
    <t>POINT (288534.6443841416 6743807.1183188455)</t>
  </si>
  <si>
    <t>['RV13 S28D1 m3344-3369']</t>
  </si>
  <si>
    <t>LINESTRING Z (34507.3059530072 6702450.87019046 -999999, 34511.6520573835 6702441.38116761 -999999, 34511.2469992995 6702435.87905746 -999999, 34506.7171376082 6702430.45571481 -999999, 34501.4968025454 6702426.09665596 -999999)</t>
  </si>
  <si>
    <t>POINT (34508.50066801242 6702437.597725914)</t>
  </si>
  <si>
    <t>2022-01-12</t>
  </si>
  <si>
    <t>2025-11-22T09:20:52Z</t>
  </si>
  <si>
    <t>['FV152 S5D1 m75-135']</t>
  </si>
  <si>
    <t>LINESTRING Z (265582.63 6626759.43 132.01, 265581.7 6626759.13 132.04, 265580.61 6626758.84 132.09, 265579.53 6626758.640000001 132.14000000000001, 265578.42 6626758.47 132.18, 265577.32 6626758.36 132.23, 265571.72000000003 6626757.71 132.47, 265567.21 6626757.18 132.64000000000001, 265566.07 6626757.04 132.69, 265564.96 6626756.87 132.75, 265563.83 6626756.65 132.77, 265562.72000000003 6626756.390000001 132.84, 265556.52 6626754.9 133.06, 265555.56 6626754.57 133.09, 265550.69 6626753.4 133.26, 265546.72000000003 6626752.44 133.36, 265543.85 6626751.74 133.46, 265542.81 6626751.62 133.5, 265541.85 6626751.33 133.52, 265540.89 6626751.05 133.56, 265539.87 6626750.67 133.58, 265538.91000000003 6626750.3100000005 133.61, 265537.97000000003 6626749.87 133.64000000000001, 265534.12 6626748.01 133.79, 265529.46 6626745.82 133.96, 265528.48 6626745.350000001 133.99, 265527.49 6626744.92 134.02, 265526.46 6626744.51 134.05, 265525.85 6626744.3100000005 134.07, 265525.13 6626744.16 134.08)</t>
  </si>
  <si>
    <t>POINT (265553.44226726075 6626753.317351488)</t>
  </si>
  <si>
    <t>2022-02-07</t>
  </si>
  <si>
    <t>['EV39 S79D1 m12730 KD2 m18-77']</t>
  </si>
  <si>
    <t>LINESTRING Z (-29287.662519917823 6714067.173246878 72.71637635648251, -29287.80034203909 6714067.538350756 72.7063750526309, -29288.153820967185 6714068.7389614545 72.68637096226216, -29288.467288161744 6714070.046698158 72.656366648376, -29288.713580769137 6714071.318077012 72.6363625729084, -29288.985148967942 6714072.863695296 72.58635767787695, -29289.272065201774 6714074.571859669 72.52635229110717, -29289.535412134952 6714076.207368659 72.49634715020657, -29289.718183984165 6714077.402438266 72.45634341746569, -29290.001747837174 6714078.596654719 72.42633948355913, -29290.378675310174 6714080.091480601 72.38633451402187, -29290.85986771749 6714081.87784153 72.36632850885391, -29291.32205817732 6714083.541607803 72.30632288366556, -29291.882119267946 6714085.566824119 72.26631604403258, -29292.333408354665 6714087.239664804 72.23631041884423, -29292.474763661274 6714087.786377043 72.2563085860014, -29292.72848449531 6714088.756293386 72.23630533754826, -29293.000354090007 6714089.74801238 72.21630199223758, -29293.26497623429 6714090.708854346 72.196298751235, -29293.54226631485 6714091.751426094 72.16629524946212, -29293.889350719983 6714093.021951892 72.12629095792771, -29294.232841555262 6714094.221649238 72.10628688246013, -29294.528280374478 6714095.286023655 72.09628327637911, -29294.849968536757 6714096.503869783 72.06627919346094, -29295.206127278856 6714097.785296927 72.03627485722303, -29295.554125096183 6714099.045834903 72.00627058804035, -29295.971917221206 6714100.5343269305 71.97626554399729, -29296.280023925356 6714101.680431155 71.94626168459654, -29296.707803874975 6714103.169836671 71.90625661075116, -29297.053061224055 6714104.460338239 71.86625225961208, -29297.377489715233 6714105.648220845 71.85624825119973, -29297.740042670397 6714106.859733057 71.83624409377575, -29297.865989544545 6714107.354679117 71.82624243974686, -29298.196812314447 6714108.472646752 71.76623861014843, -29298.544870367274 6714109.622404902 71.72623465389013, -29298.89658229996 6714110.732211638 71.70623080193997, -29299.28002439055 6714111.935562966 71.67622662216425, -29299.7478159857 6714113.317842564 71.65622175693512, -29300.2654864965 6714114.81546941 71.61621647447348, -29300.704227969865 6714116.185020752 71.58621170610189, -29301.086756538018 6714117.398359967 71.55620749652385, -29301.3658733489 6714118.420956121 71.53620403945446, -29301.571481623687 6714119.366329507 71.52620094746351, -29301.75528723467 6714120.32985166 71.50619784802198, -29301.92082337255 6714121.49313092 71.48619421958924, -29302.086419851985 6714122.545630303 71.45619090408087, -29302.193002665765 6714123.58266099 71.32618775248528)</t>
  </si>
  <si>
    <t>POINT (-29294.755962674855 6714095.429315465)</t>
  </si>
  <si>
    <t>['EV39 S79D1 m12730 KD7 m17-70']</t>
  </si>
  <si>
    <t>LINESTRING Z (-29427.18351755326 6714008.7891229335 72.26626441895962, -29425.782767482568 6714006.485589277 72.11627379179001, -29424.589935644297 6714004.221214175 71.92628264307976, -29423.94248130999 6714002.600931137 71.94628856629133, -29422.91511680605 6713999.958904363 71.69629816263914, -29421.7644247344 6713997.013527535 71.44630887657404, -29420.363483933383 6713993.390622064 71.11632201194763, -29419.013275354635 6713989.983856108 70.8063344246149, -29417.623175463406 6713986.462656378 70.49634723961354, -29416.418096921756 6713983.341091824 70.2163585421443, -29414.92732519796 6713979.59918549 69.8863721692562, -29413.61158696667 6713976.2560008615 69.596384306252, -29413.226195855415 6713975.294184456 69.51638781547547, -29412.80261997669 6713974.419518454 69.42639114588499, -29412.107906131074 6713972.875484783 69.28639692008495, -29411.29887887684 6713971.149782403 69.1164034318924, -29411.299792339443 6713971.13979454 68.99640346169473, -29410.454587890417 6713969.148926895 68.84641080051661, -29409.65980447759 6713966.276386716 68.59642056077719, -29408.82780992333 6713963.370229128 68.34643048495055, -29408.638281332795 6713962.909753423 68.31643216878176, -29408.17712274869 6713961.0144380685 68.15643848687411, -29407.993315763655 6713960.050915243 68.07644159376622)</t>
  </si>
  <si>
    <t>POINT (-29416.950724519833 6713984.665257174)</t>
  </si>
  <si>
    <t>['FV5156 S2D1 m30-90']</t>
  </si>
  <si>
    <t>LINESTRING Z (-29543.652905003983 6714057.974385327 72.56589198678732, -29543.13256171241 6714058.04765281 72.5658927989006, -29542.076406434528 6714058.253201555 72.56589428156614, -29539.78699426225 6714058.728673031 72.57589740335942, -29537.3649993469 6714059.222232989 72.55590074121952, -29534.837644906016 6714059.766585471 72.55590413868427, -29533.565350036486 6714060.022866421 72.55590589702129, -29533.000487934216 6714060.142419382 72.55590666443109, -29532.46924334194 6714060.224761254 72.56590747654438, -29531.08257483167 6714060.410153298 72.57590967446566, -29530.24712666613 6714060.51503041 72.58591101557016, -29529.647793908487 6714060.571002235 72.59591203629971, -29529.49614885461 6714060.577275916 72.60591231942178, -29528.520870462875 6714060.669364432 72.59591398090124, -29528.016909406288 6714060.673630249 72.55591496437788, -29527.714593080687 6714060.565409655 72.56591587334871, -29524.830717330566 6714060.493013082 72.5759217965603, -29522.18929102528 6714060.4125761995 72.56592725783587, -29519.325391151244 6714060.34200658 72.57593312889338, -29512.2600698116 6714060.179254476 72.55594759047031, -29509.4451960593 6714060.1232401095 72.55595332741737, -29508.429052866995 6714060.221662613 72.5959550485015, -29504.881410650793 6714060.138916377 72.56596232026816, -29501.746925165993 6714060.053670963 72.52596877992153, -29498.880285354215 6714060.013065006 72.53597457647324, -29498.1057384148 6714060.002654998 72.52597614109516, -29496.692881173687 6714059.923794998 72.52597917348146, -29496.000977631076 6714059.890729143 72.52598064124584, -29495.4135201592 6714059.816858635 72.52598201960325, -29494.766135461978 6714059.737507305 72.5159835395217, -29494.26040790719 6714059.65096882 72.51598479121924, -29493.665702983388 6714059.546221233 72.52598627388477, -29493.093714216724 6714059.413336972 72.52598779380321, -29491.73731128988 6714059.047569132 72.50599154889584, -29490.537120734458 6714058.625588263 72.52599516242742, -29489.094541179482 6714058.100867675 72.51599954336882, -29487.436795833055 6714057.506111397 72.51600456506014, -29486.333743608906 6714057.123228874 72.49600786566735, -29485.306027006707 6714056.797593471 72.48601084589959, -29484.247433330165 6714056.479205536 72.4760138708353, -29483.27416314499 6714056.21897819 72.49601656049491, -29482.50424395362 6714056.047848816 72.47601857960224)</t>
  </si>
  <si>
    <t>POINT (-29512.953903616006 6714059.555570127)</t>
  </si>
  <si>
    <t>2022-03-09</t>
  </si>
  <si>
    <t>['FV44 S10D1 m2988-3032']</t>
  </si>
  <si>
    <t>LINESTRING Z (-35963.9839907008 6524774.32883178 15.030000000000001, -35958.971938704606 6524774.018915286 14.88, -35957.5348473693 6524773.864503731 14.81, -35955.67783683201 6524773.670434551 14.76, -35954.700376369874 6524773.490417816 14.75, -35952.63478024048 6524772.982864133 14.68, -35951.265710521955 6524772.351784064 14.64, -35946.52298664604 6524770.651573788 14.56, -35942.72228469397 6524769.308713942 14.49, -35939.87920358777 6524768.284899168 14.450000000000001, -35938.432149625965 6524767.9162768535 14.43, -35936.214717602474 6524767.123602865 14.41, -35933.62274655164 6524766.186286177 14.4, -35932.14303430042 6524765.620480001 14.41, -35930.39517448936 6524764.874549278 14.4, -35929.69573851116 6524764.521418114 14.38, -35929.00197098986 6524764.128564586 14.39, -35928.54513136356 6524763.850583622 14.38, -35927.8783105968 6524763.410911377 14.39, -35927.23560235533 6524762.944281587 14.38, -35926.3942606803 6524762.307447044 14.39, -35925.95443721756 6524761.98123026 14.38, -35925.57419730467 6524761.663516152 14.39, -35924.23340541369 6524760.408237187 14.42, -35922.63016682118 6524759.145905125 14.43)</t>
  </si>
  <si>
    <t>POINT (-35942.536452817054 6524768.722389444)</t>
  </si>
  <si>
    <t>2022-01-01</t>
  </si>
  <si>
    <t>[362]</t>
  </si>
  <si>
    <t>['FV362 S1D1 m590-637']</t>
  </si>
  <si>
    <t>LINESTRING Z (109436.0339262865 6638116.498710921 759.33, 109449.20148473146 6638105.746635715 759.46, 109453.40048913 6638102.246941603 759.5, 109458.56380028225 6638097.512907835 759.5600000000001, 109465.63205583201 6638091.046691795 759.63, 109462.0301003711 6638092.590921743 759.65, 109428.43815511186 6638119.813882062 759.4, 109436.0339262865 6638116.498710921 759.33)</t>
  </si>
  <si>
    <t>POLYGON Z ((109436.0339262865 6638116.498710921 759.33, 109449.20148473146 6638105.746635715 759.46, 109453.40048913 6638102.246941603 759.5, 109458.56380028225 6638097.512907835 759.5600000000001, 109465.63205583201 6638091.046691795 759.63, 109462.0301003711 6638092.590921743 759.65, 109428.43815511186 6638119.813882062 759.4, 109436.0339262865 6638116.498710921 759.33))</t>
  </si>
  <si>
    <t>2022-03-29</t>
  </si>
  <si>
    <t>['EV39 S79D1 m28992-29082']</t>
  </si>
  <si>
    <t>LINESTRING Z (-33839.97821964277 6723253.328182108 24.165441604554655, -33841.303454065695 6723257.115622826 24.055437715351584, -33841.62976859859 6723258.062025886 24.025436746776105, -33843.239536408684 6723262.812188944 23.885431903898716, -33843.871274897945 6723264.713154702 23.825429966747762, -33844.819339712965 6723267.559609321 23.74542707592249, -33846.36734997912 6723272.32426324 23.605422255396842, -33847.895383848925 6723277.087088737 23.47541744977236, -33848.791679303744 6723279.9489484215 23.39541458129883, -33849.38255083072 6723281.856245386 23.345412666499616, -33851.30933224084 6723286.444062876 23.255407764017583, -33851.68832993065 6723287.365073073 23.235406780540945, -33853.20432062959 6723291.049113922 23.16540286153555, -33854.70033500623 6723294.731326322 23.095398957431318, -33855.06934452895 6723295.651422301 23.085397981405258, -33856.91256351513 6723300.271878497 22.995393101274967, -33857.63876583183 6723302.131132481 22.96539114922285, -33858.72398947168 6723304.909568247 22.915388221144678, -33860.50453666493 6723309.554503432 22.835383363366127, -33862.73377222323 6723314.029001939 22.795378364026547, -33864.057864928036 6723316.728584977 22.775375361442567, -33864.93121477112 6723318.520734021 22.765373372137546, -33867.10685241851 6723323.030613942 22.725368380248547, -33867.53761897818 6723323.936219482 22.725367381870747, -33869.2506970485 6723327.557727433 22.695363388359546, -33870.941970262094 6723331.197383165 22.675359402298927, -33871.37273677229 6723332.102988757 22.66535840392113, -33873.46298347192 6723336.665483644 22.64535341948271)</t>
  </si>
  <si>
    <t>POINT (-33855.62424256849 6723295.437487874)</t>
  </si>
  <si>
    <t>['EV39 S79D1 m2038-2128']</t>
  </si>
  <si>
    <t>LINESTRING Z (-33902.10223838873 6723325.1663342975 23.615345350503922, -33901.870388646144 6723324.178218469 23.625346296727656, -33901.63853889576 6723323.190102648 23.645347242951395, -33900.7002374304 6723319.246713232 23.725351020395756, -33899.741045341245 6723315.311483445 23.8053548052907, -33899.498293136014 6723314.332441496 23.825355751514437, -33898.25639618712 6723309.414512769 23.925360512435436, -33897.761817831546 6723307.445526536 23.96536241233349, -33896.99452281685 6723304.494755596 24.02536528080702, -33895.70085637225 6723299.592231939 24.13537005662918, -33894.639953980455 6723295.667835982 24.21537389367819, -33894.28367527656 6723294.718689619 24.23537488460541, -33893.19303435751 6723291.889398262 24.275377849936486, -33892.45867212338 6723290.009253287 24.305379831790926, -33890.60279019538 6723285.307062392 24.38538478642702, -33890.235609036405 6723284.3669899395 24.395385769903662, -33888.726017609006 6723280.61303122 24.4653897485137, -33887.205523698125 6723276.868146436 24.525393719673158, -33886.82835436694 6723275.927159762 24.545394710600377, -33884.88890997367 6723271.257607605 24.625399695038794, -33884.112766466686 6723269.39378203 24.665401684343816, -33883.326634819736 6723267.529042209 24.695403673648833, -33882.83411056246 6723266.637927359 24.705404701828957, -33880.39055116649 6723262.194169866 24.765409805476665, -33877.916113039246 6723257.757657865 24.815414916574955, -33876.415821067756 6723255.1124493815 24.85541798621416, -33875.40896765329 6723253.348367583 24.875420035123824, -33872.89091977151 6723248.9481513295 24.935425146222116, -33872.376590655185 6723248.075184327 24.945426166951655, -33870.34016463836 6723244.575156801 24.995430257320404, -33868.28284805745 6723241.083288971 25.045434347689152)</t>
  </si>
  <si>
    <t>POINT (-33887.80090839013 6723282.07580679)</t>
  </si>
  <si>
    <t>['EV39 S79D1 m2295-2385']</t>
  </si>
  <si>
    <t>LINESTRING Z (-33783.25663288892 6723097.381538028 29.645603006482126, -33782.22705885989 6723095.645594593 29.71560504049063, -33780.673166799825 6723093.03577119 29.835608110129833, -33778.058822023566 6723088.697249889 30.025613236129285, -33775.41359856352 6723084.365974123 30.215618369579317, -33773.8170111503 6723081.782458326 30.325621439218523, -33772.74657028122 6723080.052846258 30.405623503029346, -33770.047749071615 6723075.7569520455 30.59562863647938, -33769.501626252546 6723074.90121992 30.6356296646595, -33767.31804918661 6723071.468303377 30.78563378483057, -33764.80740135943 6723068.3076027585 30.9156378826499, -33764.174973904854 6723067.514473472 30.9456389182806, -33761.01100810105 6723063.568803378 31.095644051730634, -33759.7343365585 6723062.001606878 31.155646100640297, -33758.40322184586 6723060.3689962765 31.22564823895693, -33757.814335174975 6723059.650355065 31.245649185180664, -33754.60584559338 6723055.750968922 31.385654311180115, -33751.375551252626 6723051.8697307 31.525659429728986, -33748.1234521555 6723048.006640399 31.655664555728436, -33744.47703980899 6723044.4901855085 31.765669637024402, -33740.808822753024 6723040.99187855 31.86567471086979, -33737.139691450284 6723037.503559903 31.975679784715176, -33733.45874354965 6723034.034303431 32.0956848436594, -33729.82225071022 6723030.629547031 32.20568982809782, -33729.77596716001 6723030.585023384 32.20568989515304, -33726.08228842169 6723027.1448174035 32.32569493919611)</t>
  </si>
  <si>
    <t>POINT (-33756.77745977251 6723060.553782502)</t>
  </si>
  <si>
    <t>['RV580 S1D300 m362-425']</t>
  </si>
  <si>
    <t>LINESTRING Z (-34662.81356680975 6723391.122804845 34.98482900291681, -34658.94512377586 6723391.242077974 35.074831252992155, -34657.86731501017 6723391.133347015 35.09483199805021, -34655.74257631996 6723390.908639784 35.134833473265175, -34653.61059234443 6723390.653053747 35.16483497828245, -34651.47952268948 6723390.3874795465 35.20483649075032, -34649.350281639956 6723390.101929004 35.23483801811933, -34648.286118270946 6723389.954159652 35.25483878552914, -34647.22195491078 6723389.806390302 35.26483955293894, -34645.17374048976 6723389.185813242 35.28484130382538, -34644.381155413226 6723388.931969024 35.294841989278794, -34643.147331018 6723388.547088426 35.30484305471182, -34641.111847684835 6723387.897461171 35.32484482049942, -34638.08225622657 6723386.884896201 35.34484748780727, -34637.07633133547 6723386.541020537 35.35484838187695, -34635.06539585919 6723385.843281048 35.36485017001629, -34633.05628897832 6723385.125565236 35.37485198050737, -34631.05899886787 6723384.388787383 35.38485379099846, -34629.06262306764 6723383.642021381 35.38485561639071, -34628.06942926452 6723383.269095532 35.38485651791096, -34625.08443113987 6723382.09946287 35.39485928952694, -34623.112603185116 6723381.304584647 35.39486113727093, -34621.219904254074 6723380.305440503 35.38486309677363, -34618.3985810047 6723378.778131257 35.37486605465412, -34617.46812810423 6723378.269942473 35.36486703813076, -34615.59906270995 6723377.232674302 35.3548690199852, -34613.74181407329 6723376.176344098 35.33487100929022, -34612.033542705 6723375.032932166 35.304872976243495, -34610.15462706995 6723373.773181439 35.27487514436245, -34609.3186391755 6723373.223280417 35.264876098036765, -34608.483565566945 6723372.663391224 35.254877059161664, -34606.81341835775 6723371.543612867 35.22487898886204, -34605.14235687698 6723370.433822713 35.19488091111183, -34603.063746783766 6723369.045002301 35.1648833027482)</t>
  </si>
  <si>
    <t>POINT (-34631.87478479919 6723383.194730213)</t>
  </si>
  <si>
    <t>['RV580 S1D1 m3200-3290']</t>
  </si>
  <si>
    <t>LINESTRING Z (-33801.64848591841 6723915.112236957 27.404926389455795, -33797.100475493586 6723917.264217759 27.374927402734755, -33792.54156278982 6723919.425272193 27.334928416013717, -33787.98265022575 6723921.586326473 27.30492943674326, -33783.434640218504 6723923.738306819 27.26493045002222, -33778.875727933715 6723925.8993607955 27.234931463301184, -33774.32680388703 6723928.061328936 27.194932476580142, -33770.03096211888 6723930.649336081 27.144932983219626, -33765.73512045643 6723933.237343048 27.094933489859105, -33761.43927889934 6723935.825349842 27.044933996498585, -33757.14343744761 6723938.413356461 26.994934503138065, -33752.847596101696 6723941.001362904 26.944935009777545, -33748.55175486102 6723943.589369173 26.89493551641703, -33744.51898385689 6723946.604328679 26.834935516417026, -33740.476224826765 6723949.618373669 26.764935523867607, -33736.442539642565 6723952.643320882 26.704935516417027, -33732.399780751904 6723955.657365485 26.634935523867608, -33728.36701002554 6723958.672324214 26.57493552386761, -33725.13461777393 6723961.085740086 26.52493553131819, -33724.33332504914 6723961.697270842 26.504935516417028)</t>
  </si>
  <si>
    <t>POINT (-33761.95467055917 6723936.685184249)</t>
  </si>
  <si>
    <t>['RV580 S1D1 m2097-2165']</t>
  </si>
  <si>
    <t>LINESTRING Z (-34728.46170654334 6723351.294930383 27.03482149273157, -34723.94135565148 6723351.273956598 26.984824256896975, -34723.41831305029 6723351.266366631 26.98482458472252, -34719.90500906471 6723351.24692748 26.964826737940314, -34718.37491976295 6723351.237802896 26.954827676713467, -34713.33244096418 6723351.199250995 26.934830768704416, -34711.309273737366 6723351.185279303 26.934832012951375, -34708.27997419075 6723351.159784824 26.924833875596523, -34703.23749580444 6723351.121232951 26.92483697503805, -34701.2632175117 6723351.3433893975 26.924837995767593, -34701.243241151096 6723351.341560834 26.924838010668754, -34698.251859231386 6723351.672052648 26.92483956038952, -34693.26530857745 6723352.232860493 26.934842130839826, -34688.267855663784 6723352.802742201 26.934844708740712, -34685.265571597614 6723353.142307858 26.944846258461475, -34683.2694886704 6723353.382612049 26.944847279191016, -34679.258260837756 6723353.851403675 26.94484933555126, -34678.282800769084 6723354.164988283 26.944849670827388, -34677.306426425115 6723354.488561068 26.934849998652936, -34673.40184340405 6723355.772863973 26.904851332306862, -34669.496346215485 6723357.067154982 26.86485265105963, -34668.51905765361 6723357.400715901 26.854852978885173, -34664.621720220544 6723358.715897451 26.8048542752862, -34663.64626025967 6723359.02948199 26.794854610562325, -34661.69442607649 6723359.666639236 26.764855281114578, -34660.687173041166 6723359.997457265 26.754855623841287)</t>
  </si>
  <si>
    <t>POINT (-34694.21252675569 6723353.274040303)</t>
  </si>
  <si>
    <t>['RV580 S1D1 m3702-3792']</t>
  </si>
  <si>
    <t>LINESTRING Z (-33380.793496357976 6724187.593022011 22.597041467726232, -33378.842881494435 6724189.2072316175 22.59704268962145, -33376.89043797529 6724190.841417303 22.587043911516666, -33374.9570562609 6724192.4874196695 22.587045118510723, -33373.0236745578 6724194.133421984 22.58704632550478, -33372.24777566665 6724194.797632867 22.587046802341938, -33369.183218036196 6724197.468121714 22.597048709690572, -33367.64956772851 6724198.818348184 22.59704966336489, -33365.36906840396 6724200.8455164945 22.60705107152462, -33363.08674042276 6724202.8926608525 22.617052487134934, -33361.58213999076 6724204.255618257 22.61705341845751, -33358.57926986355 6724207.022399545 22.637055266201497, -33357.820604120614 6724207.718403127 22.637055735588074, -33356.14585852309 6724209.619731787 22.637056726515294, -33354.47927231272 6724211.541950854 22.62705770999193, -33352.82267415919 6724213.465084203 22.62705869346857, -33351.176064061816 6724215.3891318375 22.61705966204405, -33350.51087858318 6724216.164195112 22.61706005692482, -33347.899162629736 6724219.279007864 22.617061591744424, -33346.597841509036 6724220.8418653915 22.617062351703645, -33344.670372803695 6724223.193431487 22.617063484191895, -33342.74107541493 6724225.564973629 22.627064609229564, -33341.46880412067 6724227.140562092 22.627065346837043, -33338.941494626924 6724230.323531769 22.637066814601422, -33338.314432695624 6724231.122228352 22.647067179679873, -33336.94917759765 6724233.273466829 22.63706792473793, -33335.59299620241 6724235.435607652 22.62706866234541, -33334.24680284632 6724237.598662765 22.61706939250231, -33332.90968319157 6724239.7726202225 22.607070122659206, -33332.37610146578 6724240.650376509 22.60707040578127, -33330.274481717846 6724244.134180409 22.60707153826952, -33329.238196742604 6724245.882447851 22.597072097063066, -33327.68830611289 6724248.510300152 22.597072924077512, -33326.15747722983 6724251.149969122 22.597073736190797, -33325.14932769525 6724252.920955575 22.59707426518202, -33323.143930976745 6724256.453854672 22.607075323164462, -33322.65030141594 6724257.335268165 22.607075583934783)</t>
  </si>
  <si>
    <t>POINT (-33349.17552069771 6724220.341081112)</t>
  </si>
  <si>
    <t>['RV580 S1D1 m1295-1361']</t>
  </si>
  <si>
    <t>LINESTRING Z (-34793.53782347217 6723362.499217417 27.15477280318737, -34788.71672155231 6723364.223364064 27.144774330556395, -34783.906522276 6723365.938436683 27.124775857925414, -34779.08633498452 6723367.652594895 27.104777392745017, -34774.12419091177 6723368.38685857 27.114779814183713, -34769.16296132188 6723369.111134017 27.104782243072986, -34764.201731930836 6723369.835409412 27.10478467196226, -34759.24050273828 6723370.559684762 27.084787100851536, -34756.21908587881 6723370.998217643 27.074788576066496, -34755.26915617683 6723371.142917424 27.074789038002493, -34754.25936632184 6723371.171347182 27.07478962659836, -34749.21133145655 6723371.303507784 27.064792591929436, -34748.33321661083 6723371.323846868 27.064793106019497, -34748.31324024289 6723371.322018301 27.06479312092066, -34746.324539491325 6723371.371632487 27.064794290661812, -34746.182876350125 6723371.378808873 27.0647943726182, -34744.16329679778 6723371.435668387 27.054795549809935, -34743.800065053045 6723371.442706879 27.054795765876772, -34739.12525052973 6723371.568743275 27.03479850769043, -34737.10567109345 6723371.625602787 27.034799692332744, -34734.08629018348 6723371.711806346 27.014801458120346, -34730.0562054076 6723371.8364278395 26.994803805053234, -34729.04641575937 6723371.864857598 26.984804393649103, -34728.03662611975 6723371.893287356 26.98480498969555, -34727.985770924366 6723371.898704116 26.984805012047293)</t>
  </si>
  <si>
    <t>POINT (-34761.124730905656 6723369.268614434)</t>
  </si>
  <si>
    <t>['EV39 S79D1 m30435-30525']</t>
  </si>
  <si>
    <t>LINESTRING Z (-33372.76944441628 6724492.647315896 24.087014966011047, -33371.30205002101 6724494.043891298 24.1270158675313, -33367.639472436626 6724497.525798775 24.22701811015606, -33363.98505421518 6724501.028596523 24.32702034533024, -33360.34969777241 6724504.543210841 24.427022573053836, -33356.723415046814 6724508.06872737 24.527024785876275, -33353.10529167752 6724511.615134167 24.61702699124813, -33350.945488972706 6724513.754063437 24.677028310000896, -33349.66505473759 6724515.308758344 24.707029055058957, -33346.45806074131 6724519.205026347 24.787030932605266, -33343.27012847026 6724523.11311092 24.857032795250415, -33340.10217228241 6724527.023024013 24.937034642994405, -33336.95236345357 6724530.954741738 25.007036475837232, -33333.81162828626 6724534.897361675 25.07703830122948, -33331.93226564082 6724537.273470215 25.127039389014243, -33330.83970574732 6724538.976296588 25.147039985060694, -33329.48626234243 6724541.108469479 25.167040730118753, -33328.12100213894 6724543.259704069 25.19704147517681, -33325.42318892467 6724547.534952026 25.24704295039177, -33322.74352301657 6724551.832004626 25.307044403254988, -33320.08383313671 6724556.130885759 25.367045848667622, -33317.44320492074 6724560.441583482 25.427047279179096, -33315.866086903494 6724563.03672396 25.477048128545285)</t>
  </si>
  <si>
    <t>POINT (-33342.35388333414 6724526.254815455)</t>
  </si>
  <si>
    <t>[5188]</t>
  </si>
  <si>
    <t>['FV5188 S1D1 m150-216']</t>
  </si>
  <si>
    <t>LINESTRING Z (-33282.714672602946 6724407.636310277 45.03708819776774, -33282.69223958091 6724408.651504126 45.06708810836077, -33282.69582718075 6724408.722334851 45.06708810091019, -33282.66185660672 6724409.313458708 45.0870880562067, -33282.628939986345 6724409.67302863 45.09708804875612, -33282.506626414135 6724410.679078976 45.137088026404385, -33282.44184712437 6724411.166664891 45.1570880189538, -33282.3615936751 6724411.713264776 45.1770880189538, -33282.217475278536 6724412.73746252 45.21708801150322, -33282.08707213728 6724413.611839461 45.247088018953804, -33282.06336882035 6724413.760745912 45.2570880189538, -33281.91925040737 6724414.784943651 45.29708801150322, -33281.83625388995 6724415.361507688 45.31708801150322, -33281.77513198648 6724415.809141387 45.33708800405264, -33281.630099206 6724416.843327172 45.37708800405264, -33281.58726432093 6724417.091199801 45.39708800405264, -33281.475992715335 6724417.86661055 45.42708800405264, -33281.376537860604 6724418.622959543 45.45708799660206, -33281.330959918094 6724418.900796332 45.46708799660206, -33281.1868414639 6724419.924994057 45.51708798915148, -33281.073741138214 6724420.720380905 45.54708798915148, -33281.04180865025 6724420.95917983 45.557087981700896, -33281.01810532494 6724421.108086278 45.56708798915148, -33280.92765433865 6724421.986120603 45.59708795934915, -33280.87342833751 6724423.018547485 45.63708788484335, -33280.86956148571 6724423.390848505 45.65708785504103, -33280.87216491031 6724423.582450216 45.657087832689285, -33280.87097129598 6724424.035570014 45.677087780535224, -33280.91845451156 6724425.057164304 45.71708763897419, -33281.012290393584 6724426.012499632 45.74708747506142, -33281.02678038855 6724426.074256655 45.74708745270968, -33281.056604912155 6724426.29856558 45.75708740800619, -33281.1559967153 6724427.083189651 45.78708725899458, -33281.27522498043 6724428.091208303 45.827087065279486, -33281.31588208559 6724428.417226465 45.83708699822426, -33281.404441290535 6724429.100141306 45.85708686411381, -33281.499331136 6724429.823922709 45.88708672255278, -33281.53365759272 6724430.109074309 45.897086670398714, -33281.62038808351 6724430.81196526 45.927086528837684, -33281.66287388618 6724431.118007317 45.947086469233035, -33281.73335549724 6724431.668334414 45.96708635747433, -33281.79209017148 6724432.126940327 45.98708626806736, -33281.920392096275 6724433.145861391 46.03708607435227, -33281.91673468659 6724433.185813601 46.037086066901686, -33282.03962031228 6724434.153880049 46.07708588063717, -33282.10468561994 6724434.653352528 46.09708578377962, -33282.16883657302 6724435.16281306 46.117085679471494, -33282.22489800223 6724435.540600199 46.127085597515105, -33282.23390187661 6724435.662285543 46.13708558261395, -33282.29805282527 6724436.171746077 46.14708547830582, -33282.42726906913 6724437.180679095 46.18708528459072, -33282.51308516739 6724437.893558101 46.21708514302969, -33282.55648530554 6724438.18961211 46.227085083425045, -33282.685701533104 6724439.198545131 46.26708488225937, -33282.804929699516 6724440.206563799 46.297084695994855, -33282.81217469333 6724440.237442314 46.297084688544274, -33282.9341459109 6724441.215496822 46.32708449482918, -33283.06336211378 6724442.224429848 46.3670842936635, -33283.19257830852 6724443.233362873 46.407084099948406, -33283.32088014169 6724444.252283955 46.44708389878273, -33283.440108267125 6724445.260302629 46.48708370506763, -33283.569324436714 6724446.269235663 46.51708351135254, -33283.69854059862 6724447.278168697 46.55708331018686, -33283.82775675214 6724448.287101731 46.597083109021185, -33283.95697289752 6724449.296034767 46.637082915306095, -33284.08618903451 6724450.304967804 46.67708271414042, -33284.20541711047 6724451.312986489 46.707082520425324, -33284.33463323105 6724452.321919529 46.73708231925964, -33284.46293498913 6724453.340840627 46.78708212554455, -33284.59215109318 6724454.3497736715 46.817081924378876, -33284.72136718896 6724455.358706716 46.8570817232132, -33284.75752229523 6724455.623882223 46.86708167105913, -33284.841509577935 6724456.356737356 46.887081536948685, -33284.91473413969 6724456.877100317 46.90708142518997, -33284.999775461736 6724457.378401523 46.91708131343126, -33285.09571918892 6724457.870629034 46.937081194221975, -33285.20073661266 6724458.37375895 46.9470810675621, -33285.462540428154 6724459.364614455 46.96708077698946, -33285.76612515771 6724460.339151275 46.9970804566145, -33286.13055255264 6724461.3091861745 47.017080091536045, -33286.22846467362 6724461.559871708 47.0170799946785, -33286.525858454406 6724462.271976093 47.03707971155644, -33286.931152403005 6724463.23568037 47.05707931667566, -33287.32645829185 6724464.198470299 47.077078936696054, -33287.73175222718 6724465.16217459 47.09707854181528, -33288.12797245837 6724466.114976477 47.11707816183567, -33288.52327832754 6724467.077766422 47.14707777440548, -33288.9294865987 6724468.031482677 47.167077386975286, -33289.158862541546 6724468.606427557 47.177077163457874, -33289.32570681034 6724468.984284583 47.1870769995451, -33289.72192701523 6724469.937086494 47.21707661956549, -33290.11814721406 6724470.889888407 47.237076232135294, -33290.150784582016 6724470.9734502565 47.23707620233297, -33290.493476944044 6724471.850849674 47.25707586705685, -33290.62944268866 6724472.235951694 47.267075725495815, -33290.817952045356 6724472.817227218 47.28707553178072, -33291.09157251776 6724473.789021039 47.307075233757494)</t>
  </si>
  <si>
    <t>POINT (-33283.920750818856 6724441.091537647)</t>
  </si>
  <si>
    <t>['EV39 S79D1 m757-847']</t>
  </si>
  <si>
    <t>LINESTRING Z (-33465.93680890626 6724445.630516133 22.70695346146822, -33468.249951377744 6724443.686912992 22.666952016055586, -33472.10307865171 6724440.433952053 22.60694960951805, -33475.95529161615 6724437.190978986 22.55694720298052, -33479.8084189822 6724433.938017649 22.496944803893566, -33483.67062010919 6724430.695958533 22.436942389905454, -33487.52374756802 6724427.44299679 22.37693998336792, -33489.062818079605 6724426.143626782 22.346939022243024, -33491.163607839146 6724423.989219441 22.306937748193743, -33494.655545609654 6724420.39096731 22.226935639679432, -33498.14748338587 6724416.792714968 22.156933531165123, -33501.63942116685 6724413.194462432 22.086931415200233, -33505.14134702494 6724409.59712404 22.006929299235345, -33508.632370464504 6724406.00885916 21.936927190721036, -33510.03350655269 6724404.565928439 21.906926341354847, -33511.91195531015 6724402.19980253 21.84692525357008, -33515.04270321131 6724398.256259184 21.756923435628416, -33518.18435350107 6724394.303641918 21.66692161023617, -33521.315101331566 6724390.360098166 21.576919792294504, -33524.445849126205 6724386.416554216 21.48691797435284, -33527.58749931073 6724382.4639363345 21.40691614896059, -33528.83979840437 6724380.886518618 21.366915426254273)</t>
  </si>
  <si>
    <t>POINT (-33498.82643439794 6724414.655639121)</t>
  </si>
  <si>
    <t>['FV5188 S1D1 m399-466']</t>
  </si>
  <si>
    <t>LINESTRING Z (-33309.003393372055 6724654.393856841 47.45704337507487, -33308.99973588949 6724654.433809053 47.467043375074866, -33308.941920465324 6724655.395405217 47.46704330801964, -33308.83050728834 6724656.392381733 47.4770432856679, -33308.668239470106 6724657.394774449 47.487043293118475, -33308.456031381735 6724658.392595305 47.50704333782196, -33308.408694176585 6724658.579625194 47.50704335272312, -33308.18389497127 6724659.3849299345 47.51704342722893, -33308.151117672445 6724659.522933926 47.51704344213009, -33307.88088002545 6724660.384509498 47.53704353898764, -33307.57786507276 6724661.384089053 47.547043650746346, -33307.274850112735 6724662.383668605 47.55704376250505, -33306.97183514561 6724663.383248153 47.577043874263765, -33306.94088658586 6724663.501276035 47.577043881714346, -33306.85444150341 6724663.785443329 47.587043911516666, -33306.66790580016 6724664.392815746 47.607043986022475, -33306.36489081895 6724665.392395283 47.637044090330605, -33306.06096145918 6724666.401962863 47.66704420208931, -33305.973601999925 6724666.696118203 47.677044231891635, -33305.76702014427 6724667.412444812 47.69704430639744, -33305.53392150637 6724668.418424933 47.72704436600208, -33305.34077506908 6724669.428062539 47.767044395804405, -33305.21754498838 6724670.444100741 47.797044380903245, -33305.1342671077 6724671.463796428 47.82704432874918, -33305.11091753072 6724672.488978349 47.86704423934221, -33305.123932706076 6724673.446987018 47.897044127583506, -33305.12843452534 6724673.507829704 47.897044120132925, -33305.17591566744 6724674.5294241775 47.927043978571895, -33305.20735835715 6724675.066105911 47.937043896615506, -33305.22339680139 6724675.551018644 47.94704383701086, -33305.23057169351 6724675.692680119 47.94704381465912, -33305.27087792661 6724676.572613116 47.95704369544983, -33305.2905738547 6724677.01757364 47.967043628394606, -33305.31835904345 6724677.594207588 47.9770435538888, -33305.36584015179 6724678.615802059 47.987043412327765, -33305.41240687913 6724679.647384581 47.99704327076674, -33305.45988797012 6724680.668979056 48.007043129205705, -33305.506454680464 6724681.700561579 48.01704298019409, -33305.53065240488 6724682.206364789 48.02704291313887, -33305.55393575458 6724682.722156051 48.03704283863306, -33305.57721910172 6724683.237947317 48.047042771577836, -33305.60141682031 6724683.743750526 48.04704269707203, -33305.647983504576 6724684.775333052 48.057042555510996, -33305.69455018011 6724685.806915577 48.06704241394997, -33305.742031220114 6724686.8285100525 48.06704227238894, -33305.78859787842 6724687.8600925775 48.077042130827905, -33305.83516452811 6724688.891675106 48.08704198926687, -33305.89171922114 6724689.924172005 48.09704184025526, -33305.93828585325 6724690.955754533 48.10704169869423, -33305.984852477326 6724691.98733706 48.1270415571332, -33306.03141909256 6724693.018919586 48.13704141557217, -33306.077071324806 6724694.060490169 48.157041266560555, -33306.123637922574 6724695.092072696 48.177041124999526, -33306.15508052253 6724695.62875444 48.18704105049372, -33306.170204511494 6724696.123655227 48.19704098343849, -33306.21585671813 6724697.165225807 48.207040841877465, -33306.271496967296 6724698.2077107625 48.22704069286585, -33306.31806353037 6724699.239293293 48.24704055130482, -33306.36371571035 6724700.280863874 48.25704040974379, -33306.409367881366 6724701.322434456 48.27704026818276, -33306.45593441813 6724702.354016987 48.287040126621726, -33306.51157462376 6724703.396501944 48.30703997015953, -33306.557226768346 6724704.43807253 48.3270398285985, -33306.56264294707 6724704.488927163 48.32703982114792, -33306.5895837018 6724704.964766222 48.327039754092695, -33306.63284305984 6724705.482386234 48.337039664685726, -33306.686090466916 6724706.000920626 48.34703957527876, -33306.75024029857 6724706.51038134 48.35703947097063, -33306.93846826558 6724707.534789017 48.36703923255205, -33307.167562806746 6724708.552866144 48.37703896433115, -33307.45750002493 6724709.5664414745 48.38703864395619, -33307.79920624429 6724710.564612578 48.38703830122948, -33308.19268146565 6724711.547379461 48.39703791379929, -33308.4275425307 6724712.062396508 48.39703769028187, -33308.637011314626 6724712.524730175 48.397037489116194, -33309.09224358399 6724713.493007216 48.3970370644331, -33309.40419585304 6724714.156086379 48.39703677386046, -33309.54656147177 6724714.47127232 48.397036639750006, -33310.00179372821 6724715.439549376 48.39703620761633, -33310.44795230229 6724716.396924011 48.39703579038382, -33310.90318454674 6724717.365201081 48.397035365700724, -33311.3493431079 6724718.322575736 48.40703494846821, -33311.74563148606 6724719.16459556 48.41703457593918, -33311.79550166358 6724719.279950389 48.41703452378511, -33312.21169605665 6724720.234581922 48.427034128904346, -33312.21802660497 6724720.275448509 48.427034121453765, -33312.566133379354 6724721.20370331 48.437033771276475, -33312.86880168249 6724722.18822893 48.44703345090151)</t>
  </si>
  <si>
    <t>POINT (-33307.0779108228 6724688.584176935)</t>
  </si>
  <si>
    <t>['EV39 S79D1 m29995-30086']</t>
  </si>
  <si>
    <t>LINESTRING Z (-33678.71335912333 6724177.176815328 17.49683003515005, -33674.871133990586 6724180.420716208 17.516832426786422, -33671.02890890301 6724183.664616894 17.556834825873377, -33667.16762202454 6724186.896700618 17.59683723986149, -33663.307249531616 6724190.118796051 17.636839653849602, -33659.44596274884 6724193.350879373 17.686842067837716, -33655.575602265424 6724196.572060069 17.73684448927641, -33654.253526707646 6724197.92151441 17.766845286488532, -33652.055530264624 6724200.147604156 17.79684662014246, -33648.54453201906 6724203.734050464 17.85684875100851, -33645.034448119 6724207.31050848 17.916850874423982, -33641.514376142295 6724210.886051955 17.97685300529003, -33638.00429225818 6724214.462509564 18.03685513615608, -33634.494208381744 6724218.038966971 18.10685725957155, -33631.334412824945 6724221.969787759 18.19685909986496, -33628.17461723497 6724225.900608343 18.276860940158368, -33626.62879820785 6724227.823815204 18.32686183422804, -33625.0248096952 6724229.832343062 18.366862765550614, -33621.86501403933 6724233.763163241 18.45686460584402, -33618.715206432855 6724237.694897553 18.54686643868685, -33615.55632505193 6724241.61572924 18.636868278980256)</t>
  </si>
  <si>
    <t>POINT (-33645.72888727767 6724208.020354283)</t>
  </si>
  <si>
    <t>['EV39 S79D10 m461-530']</t>
  </si>
  <si>
    <t>LINESTRING Z (-33245.285886465805 6724645.851446738 34.99708974003792, -33245.818564578076 6724647.8440601425 35.16708915144205, -33246.35124265938 6724649.8366735615 35.3370885553956, -33247.14297977532 6724652.850106655 35.59708767622709, -33247.66749847145 6724654.821829649 35.767087095081806, -33247.94470486848 6724655.864454152 35.857086782157424, -33248.169367955066 6724656.710905163 35.927086536288265, -33248.475554085104 6724657.87704373 36.02708619356155, -33248.54441600002 6724658.11499816 36.04708611905575, -33248.74551552057 6724658.888789731 36.11708589553833, -33248.93303953321 6724659.590836234 36.17708568692208, -33249.28452399676 6724660.922269799 36.287085292041304, -33249.282065009815 6724661.939291955 36.367085187733174, -33249.27250113594 6724662.703869805 36.43708511322737, -33249.26870359655 6724662.965387786 36.45708509087563, -33249.2652641685 6724665.533370474 36.48708482265472, -33249.242762962356 6724668.089536373 36.51708456933498, -33249.24452167086 6724668.180343174 36.51708455443382, -33249.234751571435 6724670.707459296 36.537084293663504, -33249.21499337291 6724673.23366104 36.54708404034376, -33249.20163186558 6724674.259756864 36.547083943486214, -33249.19368653931 6724675.3367073 36.557083839178084, -33249.176321149804 6724678.3868593685 36.567083526253704, -33249.17695915594 6724680.250192481 36.577083325088026, -33249.156706667156 6724682.121684894 36.58708314627409, -33249.147636759095 6724683.540972055 36.597083004713056, -33249.13863688323 6724684.849476315 36.60708287060261, -33249.126613677014 6724686.631076299 36.617082691788674, -33249.11944251333 6724687.919604466 36.61708255767822, -33249.118952153134 6724688.695084725 36.627082475721835, -33249.10798337089 6724690.245130869 36.62708231925964, -33248.70368312532 6724692.021034442 36.717082423567774, -33248.278492388315 6724693.805097306 36.79708253532648, -33247.70390488685 6724696.340936758 36.94708267688751, -33247.09935319575 6724698.874033062 37.09708284080028, -33246.526594345225 6724701.389896367 37.197082989811896, -33245.9229569328 6724703.91300457 37.28708315372467, -33245.351112362 6724706.4188797735 37.3470832952857, -33244.758377276245 6724708.932914251 37.397083451747896, -33244.060909516294 6724711.930876742 37.40708363056183, -33243.595626180875 6724713.932847732 37.40708374977112, -33243.256880299654 6724715.432743328 37.42708383917809)</t>
  </si>
  <si>
    <t>POINT (-33247.674712598746 6724680.651347871)</t>
  </si>
  <si>
    <t>['RV580 S1D1 m870-960']</t>
  </si>
  <si>
    <t>LINESTRING Z (-34420.55663449399 6723490.464275085 23.80489548444748, -34418.308832963 6723492.4642517585 23.764895223677158, -34416.82603125193 6723493.8090814715 23.734895029962065, -34413.11449006398 6723497.165704391 23.654894553124905, -34409.440158655285 6723500.5559487445 23.574894031584265, -34407.97550470149 6723501.922583155 23.544893808066846, -34405.793048865045 6723503.978900226 23.50489345788956, -34402.89279115386 6723506.724899886 23.44489298850298, -34402.174989271094 6723507.414582538 23.42489286929369, -34398.584151286166 6723510.882971986 23.354892228543758, -34397.81190623401 6723511.507239915 23.344892191290857, -34394.71476647549 6723513.9834209625 23.324892057180406, -34392.397117065615 6723515.866212766 23.294891937971116, -34390.86261515063 6723517.115662786 23.284891848564147, -34388.87928440538 6723518.7571173925 23.264891721904277, -34387.800856621936 6723519.645441487 23.264891654849052, -34387.03768546006 6723520.280611754 23.25489160269499, -34383.22998924588 6723523.477353572 23.234891319572927, -34380.95862351882 6723525.4046690995 23.22489112585783, -34379.450428949436 6723526.696814375 23.22489099174738, -34375.68901641411 6723529.938079872 23.204890641570092, -34374.051959257224 6723531.097567118 23.214890693724154, -34371.60636169696 6723532.83771222 23.22489076822996, -34367.541854774 6723535.759149264 23.23489086508751, -34366.73240008298 6723536.349795258 23.23489087253809, -34363.494581348146 6723538.712379159 23.244890917241573, -34359.4554675587 6723541.686499461 23.254890954494478, -34355.43450155412 6723544.682424454 23.264890961945056, -34352.222075960715 6723547.097691562 23.264890954494476, -34351.42169518024 6723547.699239856 23.264890947043895)</t>
  </si>
  <si>
    <t>POINT (-34386.669683885724 6723519.906313621)</t>
  </si>
  <si>
    <t>['EV39 S79D1 m2677 KD4 m157-158']</t>
  </si>
  <si>
    <t>LINESTRING Z (-33568.173969901865 6723135.999721953 40.30570242702961, -33568.125493081636 6723135.09889652 40.33570318698883, -33568.01807062817 6723134.0718142325 40.355704088509086, -33567.865210292744 6723133.101003493 40.3857049676776, -33567.85979345697 6723133.050148782 40.38570501238108, -33567.67246625316 6723132.015752492 40.41570597350597, -33567.48422479036 6723130.991344289 40.44570691972971, -33567.40642323473 6723130.520921062 40.45570735186339, -33567.305971410475 6723129.967850343 40.475707858502865, -33567.11772993032 6723128.943442152 40.5057088047266, -33566.93040269264 6723127.909045868 40.5357097658515, -33566.753063538345 6723126.875563838 40.56571071207524, -33566.56482203305 6723125.851155651 40.59571165829897, -33566.377494769986 6723124.816759375 40.625712619423865, -33566.2299825392 6723124.007586622 40.64571336448193, -33566.19016749819 6723123.782363103 40.65571357309818, -33566.1222853451 6723123.42363739 40.65571390837431, -33566.012828309555 6723122.748881083 40.67571451932192, -33565.89541766187 6723121.720884568 40.69571542829275, -33565.82886171376 6723120.687471212 40.705716307461266, -33565.82070212264 6723120.666580779 40.70571632981301, -33565.80740032822 6723120.1517026005 40.71571676194668, -33565.812246215064 6723119.658629109 40.72571715682745, -33565.81407471537 6723119.638652924 40.72571717172861, -33565.821663350216 6723119.115615155 40.7357175964117, -33565.834531508386 6723118.864998612 40.7357177901268, -33565.84648541617 6723118.624370159 40.735717976391314, -33565.848313916125 6723118.604393978 40.735717991292475, -33565.89521529246 6723117.651868262 40.75571873635054, -33565.89978654194 6723117.601927804 40.75571878105402, -33565.94401381747 6723116.568583103 40.765719593167304, -33565.99731492612 6723115.546140745 40.78572039037943, -33565.99914342549 6723115.526164562 40.78572040528059, -33566.05061602662 6723114.523698384 40.79572118759155, -33566.06348417548 6723114.273081843 40.79572138875723, -33566.103917118744 6723113.501256023 40.805721992254256, -33566.10757411702 6723113.461303655 40.80572202205658, -33566.15721820202 6723112.47881366 40.82572278946638, -33566.20053118549 6723111.455457048 40.835723594129085, -33566.202359684394 6723111.435480863 40.83572360903025, -33566.25383225246 6723110.433014681 40.85572439879179, -33566.306219061604 6723109.4205604065 40.865725188553334, -33566.3595201117 6723108.398118034 40.875725985765456, -33566.40191881242 6723107.384749509 40.89572678297758, -33566.45521984575 6723106.362307139 40.905727587640285, -33566.5076066216 6723105.349852859 40.91572837740183, -33566.55999338953 6723104.337398577 40.925729167163375, -33566.61329439783 6723103.314956201 40.945729971826076, -33566.66568114911 6723102.302501916 40.955730761587624, -33566.70807980001 6723101.289133382 40.965731558799746, -33566.760466534644 6723100.276679098 40.97573234856129, -33566.81193901296 6723099.274212897 40.995733138322834, -33566.86432573118 6723098.261758608 41.005733928084375, -33566.866154227755 6723098.241782425 41.005733942985536, -33566.89189045946 6723097.740549325 41.00573433786631, -33566.916712441365 6723097.249304317 41.015734717845916, -33566.91854093794 6723097.229328131 41.01573473274708, -33566.934289073455 6723096.727180784 41.01573513507843, -33566.958196802996 6723096.245923868 41.02573550760746, -33566.96002529934 6723096.225947684 41.02573552250862, -33567.01058349665 6723095.233469577 41.03573630481959, -33567.062055934104 6723094.231003371 41.04573708713055, -33567.11444261123 6723093.218549076 41.05573787689209, -33567.16591503227 6723092.216082869 41.06573866665364, -33567.21738744562 6723091.213616663 41.0757394489646, -33567.26885985059 6723090.211150453 41.08574023127556, -33567.31034415506 6723089.207769999 41.0957410210371, -33567.32504074846 6723088.937177261 41.09574123710394, -33567.35717667558 6723088.36602751 41.1057416766882, -33567.35998804879 6723088.225279975 41.10574179589749, -33567.36181654397 6723088.205303785 41.10574181079865, -33567.36364503915 6723088.185327603 41.10574182569981, -33567.453241293435 6723087.206494568 41.10574256330729, -33567.58461840346 6723086.211342332 41.115743293464185, -33567.765935966745 6723085.220761332 41.11574399381876, -33567.99719398341 6723084.234751563 41.12574464946985, -33568.258416269906 6723083.25148453 41.13574529021979, -33568.51963854919 6723082.268217497 41.13574593096972, -33568.77994657413 6723081.29493855 41.14574656426907, -33569.04116883944 6723080.311671507 41.15574721246958, -33569.29148875852 6723079.337478303 41.16574784576893, -33569.36428539129 6723079.092347225 41.16574800223112, -33569.55271100975 6723078.354211248 41.175748493969444, -33569.81393325399 6723077.370944189 41.175749134719375, -33570.014175448916 6723076.61374627 41.18574962645769, -33570.07515549136 6723076.387677126 41.185749775469304, -33570.29551110475 6723075.410741164 41.195750431120395, -33570.46592624823 6723074.42923397 41.205751131474976, -33570.58640092146 6723073.44315554 41.21575185418129, -33570.60011461715 6723073.29333415 41.21575197339058)</t>
  </si>
  <si>
    <t>POINT (-33567.24199724332 6723104.575442214)</t>
  </si>
  <si>
    <t>['RV580 S1D1 m2448-2538']</t>
  </si>
  <si>
    <t>LINESTRING Z (-34398.721323963255 6723464.162162529 26.724930166900158, -34396.08334699168 6723465.693334349 26.794930524528027, -34394.33740371384 6723466.72199335 26.834930748045444, -34392.14452934335 6723468.011896846 26.884931031167508, -34389.97071702045 6723469.313617033 26.93493129938841, -34387.79599043657 6723470.625325328 26.98493155270815, -34385.6203495916 6723471.947021728 27.034931798577308, -34383.891639861395 6723473.007473594 27.074931984841825, -34381.2962895761 6723474.623121723 27.134932253062725, -34377.84520121408 6723476.784892182 27.224932588338852, -34376.98946310405 6723477.331014574 27.24493267029524, -34374.8392154054 6723478.705394373 27.294932856559754, -34372.69804159517 6723480.090676571 27.34493302792311, -34371.904906263924 6723480.7231041575 27.354932998120784, -34368.75051268854 6723483.274619294 27.404932841658592, -34366.38834017259 6723485.203694938 27.44493270754814, -34364.820217273664 6723486.490354852 27.464932618141177, -34362.86868037912 6723488.114576216 27.494932476580143, -34360.92713164829 6723489.739711819 27.53493233501911, -34358.99374250148 6723491.38573796 27.56493217110634, -34357.060353366076 6723493.031764055 27.594932007193567, -34355.52944024932 6723494.352045383 27.614931865632535, -34354.87346524245 6723494.916453352 27.624931806027888, -34354.75353839749 6723495.016265823 27.624931798577308, -34353.22171100101 6723496.346535256 27.634931649565697, -34351.31645776983 6723498.015280365 27.644931448400023, -34349.42027840868 6723499.694927862 27.644931232333185, -34348.726955600665 6723500.447282049 27.64493104606867, -34345.97455495747 6723503.448539137 27.634930278658867, -34343.25120446819 6723506.462527109 27.624929481446742, -34342.56786980759 6723507.2157955095 27.614929280281068, -34339.18932051491 6723511.0057708435 27.614928252100945, -34337.84171319578 6723512.5241242675 27.614927834868432, -34335.83982136566 6723514.808476995 27.6249271941185, -34332.509384207544 6723518.622999667 27.634926113784314, -34329.207082894514 6723522.460241306 27.654925003647804)</t>
  </si>
  <si>
    <t>POINT (-34361.97114406715 6723490.926616299)</t>
  </si>
  <si>
    <t>['FV546 S1D106 m196-238']</t>
  </si>
  <si>
    <t>LINESTRING Z (-33603.89171433216 6722962.771249911 43.465821651220324, -33604.024325771956 6722964.183365533 43.47582042187452, -33604.0604156421 6722964.559324774 43.47582009404898, -33604.07124945521 6722964.661034216 43.48582000464201, -33604.3816359936 6722967.872127043 43.49581720322371, -33604.56117103796 6722969.761911361 43.505815556645395, -33604.77144752571 6722971.866016901 43.52581371635198, -33604.63184312673 6722972.951062477 43.51581291913986, -33604.53415664192 6722973.798222209 43.51581228584051, -33604.41276847257 6722974.794289148 43.51581154823303, -33603.80765598675 6722979.754647622 43.51580788254738, -33603.21161716408 6722984.725908372 43.505804201960565, -33602.97974298184 6722986.70896834 43.50580272674561, -33602.636468578596 6722989.689009445 43.50580051392317, -33602.20830685308 6722993.376376875 43.49579777210951, -33602.070393654285 6722994.663012797 43.495796810984615, -33601.788853037055 6722996.198368328 43.49579573065043, -33601.72245622717 6722996.373582853 43.4957956263423, -33601.70972540963 6722996.4026329005 43.49579561144114, -33601.29854517814 6722997.593753402 43.485794888734816, -33601.16026611137 6722998.004111029 43.47579464286566, -33600.79002104339 6722999.078117091 43.475793994665146, -33600.63718267251 6722999.537500952 43.465793711543085, -33600.41977596772 6723000.152123143 43.465793346464636, -33600.1878099601 6723000.815771572 43.465792944133284, -33600.03497158387 6723001.275155428 43.455792668461804, -33599.63560789055 6723002.447213945 43.45579195320607, -33599.361792451586 6723003.237964885 43.45579147636891, -33598.964257224696 6723004.390047196 43.44579078346491)</t>
  </si>
  <si>
    <t>POINT (-33602.925525080616 6722983.755710536)</t>
  </si>
  <si>
    <t>['RV580 S1D1 m2699-2789']</t>
  </si>
  <si>
    <t>LINESTRING Z (-34214.87952445762 6723635.153325521 29.14490283071995, -34210.954716284876 6723638.309123458 29.144902644455435, -34207.813969319104 6723640.821593035 29.144902510344984, -34207.03082246764 6723641.454933053 29.13490247309208, -34203.10784300626 6723644.590754317 29.134902309179306, -34200.74025482556 6723646.468969333 29.124902219772338, -34199.165801628726 6723647.714758649 29.114902167618276, -34195.22558891005 6723650.818786508 29.104902033507823, -34193.64206191071 6723652.053673277 29.094901996254922, -34191.27630241541 6723653.911911738 29.074901921749117, -34187.65915982623 6723657.337595659 29.084901333153248, -34186.93137033691 6723658.026361952 29.084901213943958, -34184.032943425234 6723660.752376948 29.08490075945854, -34180.389493682655 6723664.135365025 29.08490022301674, -34176.72698199877 6723667.506536169 29.084899708926677, -34173.78318598156 6723670.1780385375 29.084899321496486, -34173.047236980754 6723670.845914108 29.08489922463894, -34170.84121858806 6723672.829564508 29.084898956418037, -34169.349344329676 6723674.163486977 29.094898777604104, -34168.667838325026 6723674.896777115 29.104898591339587, -34165.95271674113 6723677.8208637545 29.15489786863327, -34163.899124894524 6723680.009831588 29.194897332191466, -34162.52703905292 6723681.465509289 29.21489698201418, -34159.08321370382 6723685.088349751 29.274896132647992, -34155.601264432655 6723688.687556532 29.334895320534706, -34154.20104280149 6723690.120514865 29.35489500761032, -34152.09209367982 6723692.254055804 29.384894553124905, -34149.26351463597 6723695.097253105 29.434893957078458, -34148.55387284339 6723695.807823833 29.444893815517425)</t>
  </si>
  <si>
    <t>POINT (-34180.86606913288 6723664.544548696)</t>
  </si>
  <si>
    <t>['EV39 S79D1 m2677 KD5 m102-127']</t>
  </si>
  <si>
    <t>LINESTRING Z (-33561.99650004471 6722895.282844043 36.24590205043555, -33561.97652385675 6722895.28101558 36.24590206533671, -33561.0814576979 6722894.8264325345 36.29590297430754, -33560.22282390355 6722894.193892269 36.36590401738882, -33559.384234754834 6722893.45239721 36.43590512752533, -33558.51659555745 6722892.698171372 36.51590626746416, -33558.246139703784 6722892.46190868 36.54590662509203, -33557.49195801013 6722891.788570296 36.61590763092041, -33556.699583952664 6722891.2023820635 36.67590859204531, -33555.552141233464 6722890.644124303 36.7559097468853, -33554.64969279722 6722890.380229322 36.80591050684452, -33553.6227476364 6722890.2660873 36.85591122955084, -33552.46771728189 6722890.230867343 36.915911959707735, -33551.38351782167 6722890.192058914 36.965912645161154, -33550.39919930266 6722890.162392799 37.01591327100992, -33550.29840413993 6722890.16323858 37.025913330614564, -33549.21511893044 6722890.114442058 37.08591403096914, -33548.12909103616 6722890.0956098195 37.14591470897198, -33547.04489161447 6722890.056801395 37.205915394425396, -33545.95886373939 6722890.037969156 37.265916072428226, -33544.803833456244 6722890.002749206 37.335916802585125, -33544.783857271075 6722890.000920743 37.345916817486284, -33544.309845759184 6722890.007892339 37.36591710060835, -33543.771334537305 6722890.059319009 37.39591738373041, -33542.71415138256 6722890.385567306 37.44591776371002, -33541.67420172691 6722890.743608343 37.49591810643673, -33540.81755776226 6722891.299719663 37.52591817349195, -33540.6976322016 6722891.3995321365 37.52591816604137, -33539.764603522606 6722892.12994372 37.55591813623905, -33538.86611028062 6722892.813157528 37.58591812878847, -33537.97486243956 6722893.527249833 37.62591809153557, -33537.075591882225 6722893.998885223 37.66591825544834, -33536.18356672721 6722894.501399116 37.715918389558794)</t>
  </si>
  <si>
    <t>POINT (-33549.19066511265 6722891.543194076)</t>
  </si>
  <si>
    <t>['RV580 S1D1 m363-453']</t>
  </si>
  <si>
    <t>LINESTRING Z (-34035.17958778038 6723817.561831927 20.294863692820073, -34034.460872206604 6723818.261498857 20.274863566160203, -34031.58600991813 6723821.060166499 20.22486303716898, -34028.739283377305 6723823.881553188 20.164862470924856, -34028.029641617206 6723824.592122477 20.144862321913244, -34024.48234713683 6723828.134980686 20.074861599206926, -34023.07305174263 6723829.557033475 20.0448613011837, -34020.973176521366 6723831.701472184 20.004860831797124, -34017.47307972051 6723835.278865912 19.93486004948616, -34014.01110677619 6723838.879892924 19.864859222471715, -34011.73791494907 6723840.827173215 19.834859021306038, -34010.23971014621 6723842.12022515 19.82485887974501, -34006.48554685258 6723845.392350164 19.794858499765397, -34005.73053608858 6723846.048407041 19.78485842525959, -34002.75044552004 6723848.676291727 19.754858104884626, -33999.778514464386 6723851.325066836 19.724857754707337, -33999.03349183162 6723851.982037955 19.72485767275095, -33995.34375958657 6723855.320491282 19.684857203364373, -33993.871861943975 6723856.656238283 19.674857009649276, -33991.67308929213 6723858.670761159 19.654856711626053, -33987.68117870402 6723861.679398191 19.65485668927431, -33983.6965133535 6723864.718913699 19.654856637120247, -33981.32350992062 6723866.546266301 19.654856592416763, -33979.739983785665 6723867.7811481925 19.65485655516386, -33975.79161376436 6723870.864273038 19.654856450855732, -33975.00938167074 6723871.487622303 19.65485641360283, -33971.870465202606 6723873.98010498 19.66485629439354, -33968.73970825446 6723876.493478077 19.66485616028309, -33967.95747618086 6723877.116827275 19.664856123030187)</t>
  </si>
  <si>
    <t>POINT (-34002.35664834014 6723848.2289402)</t>
  </si>
  <si>
    <t>['EV39 S79D1 m2677 KD3 m171-193']</t>
  </si>
  <si>
    <t>LINESTRING Z (-33505.823584320606 6722835.562289963 36.255984811484815, -33506.04321051075 6722837.23416315 36.19598332136869, -33506.03731473605 6722837.95879101 36.15598273277283, -33506.03162416734 6722838.351069209 36.145982419848444, -33506.02698463085 6722838.51179288 36.145982293188574, -33506.0556926569 6722839.078439746 36.12598181635141, -33506.06202384026 6722839.119306335 36.12598177909851, -33506.09367975616 6722839.323639275 36.125981592833995, -33506.1108448524 6722839.466215219 36.11598146617413, -33506.36175991874 6722840.466143685 36.11598049759865, -33506.61738292349 6722841.1945652645 36.11597975254059, -33506.911975652445 6722842.047415061 36.11597887337208, -33507.197494512075 6722842.88936255 36.12597801655531, -33507.493001456955 6722843.732224265 36.12597715228796, -33507.77760607912 6722844.584159848 36.135976288020615, -33508.07311301329 6722845.427021572 36.15597541630268, -33508.34772953426 6722846.278042937 36.16597455948591, -33508.643236457254 6722847.120904669 36.185973695218564, -33508.92875528557 6722847.962852175 36.2059728384018, -33509.30944704788 6722849.08544886 36.23597169101238, -33509.530671424 6722849.639501795 36.24597110241652, -33509.53883105912 6722849.660392202 36.24597108006478, -33509.92605922988 6722850.491505817 36.28597017109394, -33510.29239698732 6722851.330779073 36.31596926957369, -33510.68869901111 6722852.172795017 36.35596833825112, -33511.06411062158 6722853.022970598 36.3959674218297, -33511.459498407436 6722853.874974645 36.435966483056546, -33511.83399577986 6722854.735138327 36.48596555918455, -33511.91017517296 6722854.893187737 36.49596538037062, -33512.1767004194 6722855.612535513 36.525964635312555)</t>
  </si>
  <si>
    <t>POINT (-33508.40301640473 6722845.742882574)</t>
  </si>
  <si>
    <t>['EV39 S79D1 m1522-1612']</t>
  </si>
  <si>
    <t>LINESTRING Z (-33914.477264996036 6723834.854824453 19.89492305159569, -33915.96974830562 6723831.093656911 19.95492520481348, -33916.33810364071 6723830.150410826 19.964925748705863, -33918.170806429815 6723825.42327789 20.034928483068942, -33918.897528913105 6723823.535871334 20.06492957830429, -33919.98353284923 6723820.694316189 20.104931224882602, -33921.7681234068 6723815.9426351795 20.184934011399747, -33923.51367567666 6723811.177308671 20.254936827719213, -33924.561555551365 6723808.31211983 20.294938519001008, -33925.2401658796 6723806.400165288 20.32493965893984, -33926.45458855212 6723801.495572781 20.35494291484356, -33926.69584116677 6723800.510476159 20.364943570494653, -33927.63996101834 6723796.578249124 20.394946193099024, -33928.56410452991 6723792.644193405 20.424948838055133, -33928.795368966996 6723791.658182436 20.424949493706226, -33929.91082428314 6723786.734458417 20.464952824115752, -33930.35337683698 6723784.760607811 20.47495416522026, -33931.00721749989 6723781.798917564 20.49495617687702, -33932.07456050115 6723776.85064558 20.53495955199003, -33932.61710484396 6723771.803974664 20.534963329434394, -33932.93500658497 6723768.771245394 20.534965601861476, -33933.129684644984 6723766.75456077 20.5349671292305, -33933.622288016486 6723761.703318211 20.534970936477183, -33933.71463293722 6723760.694518731 20.534971703886985, -33934.074024425354 6723756.658406487 20.524974766075612, -33934.413439556025 6723752.6204656055 20.5249778431654, -33934.49579628999 6723751.610751803 20.52497861802578, -33934.88760360994 6723746.560354157 20.52498249232769)</t>
  </si>
  <si>
    <t>POINT (-33927.41856797108 6723791.339991405)</t>
  </si>
  <si>
    <t>['EV39 S79D1 m2677 KD1 m85-103']</t>
  </si>
  <si>
    <t>LINESTRING Z (-33558.052486771485 6722826.685562305 36.42596026182175, -33557.979460364324 6722825.832848962 36.43596100687981, -33557.91642204556 6722824.981049851 36.45596173703671, -33557.922890022746 6722824.800349921 36.45596187859774, -33557.98793686647 6722823.86962867 36.465962593853476, -33557.97490739892 6722822.911617416 36.49596338361502, -33557.85011204076 6722822.0743091395 36.525964143574235, -33557.663559657754 6722821.251491692 36.5559649258852, -33557.47609304357 6722820.4386623455 36.59596570074558, -33557.29770029301 6722819.636735322 36.63596646070481, -33557.10749099136 6722818.85387026 36.67596721321345, -33556.94816019409 6722818.063759786 36.715967950820925, -33556.81049725844 6722817.477068105 36.75596851706505, -33556.76793897734 6722817.2818089565 36.76596869587898, -33556.59679162479 6722816.510760448 36.82596942603588, -33556.54607369867 6722816.294610883 36.83596963465214, -33556.3857602746 6722815.625271773 36.88597027540207, -33556.24633726175 6722814.947773023 36.935970916152, -33556.05612793111 6722814.164907974 36.995971668660644, -33555.88589478447 6722813.38387138 37.05597240626812, -33555.706587764085 6722812.591932469 37.12597315877676, -33555.61331154255 6722812.180523758 37.15597355365753, -33555.59248951054 6722812.077900135 37.16597365051508, -33555.527280738694 6722811.799993557 37.1859739112854, -33555.31350668066 6722810.944469179 37.25597473829985, -33555.13145697012 6722810.182494557 37.31597546845675, -33554.91585445125 6722809.346946376 37.385976280570034, -33554.72930198547 6722808.524128967 37.455977062881, -33554.610632591415 6722808.060037115 37.49597751736641, -33554.52656698064 6722807.437964201 37.545978068709374, -33554.45157523651 6722806.826793608 37.58597861260176, -33554.444466570625 6722806.574348569 37.60597882121802)</t>
  </si>
  <si>
    <t>POINT (-33556.51232788639 6722816.599230876)</t>
  </si>
  <si>
    <t>['EV39 S79D1 m29494-29584']</t>
  </si>
  <si>
    <t>LINESTRING Z (-33904.648349275 6723740.549152853 19.735005775392057, -33903.27960530133 6723745.379187705 19.66500268340111, -33902.44147740223 6723748.263577076 19.6150008431077, -33901.88272543647 6723750.186503301 19.584999621212482, -33900.45588107279 6723754.991075866 19.514996573925018, -33900.16651693627 6723755.95162464 19.50499597042799, -33899.00997462915 6723759.783831584 19.444993556439876, -33897.82346788631 6723763.613295532 19.394991164803507, -33897.52502988605 6723764.562941851 19.374990568757056, -33896.01103495713 6723769.329320958 19.304987610876562, -33895.59120194183 6723771.275035372 19.294986284673215, -33894.96190951881 6723774.188612908 19.274984295368196, -33893.88281957165 6723779.045161845 19.24498100221157, -33892.77376511798 6723783.898967765 19.20497772395611, -33892.09544617648 6723786.797985505 19.184975779354573, -33891.63566046604 6723788.740042554 19.174974475502967, -33890.46850561921 6723793.568386207 19.144971256852152, -33890.229081763304 6723794.5335063385 19.13497061610222, -33889.27138627111 6723798.393986832 19.104968060553073, -33888.676850555465 6723802.358213455 19.104965199530124, -33888.52640531177 6723803.341550445 19.114964484274388, -33887.76144794328 6723808.287285366 19.114960930347443, -33887.439666829654 6723810.262118799 19.11495951473713, -33886.95653794776 6723813.229362978 19.11495739877224, -33886.12166343618 6723818.168697583 19.124953882098197, -33885.25682440959 6723823.105289177 19.124950395226477, -33884.723754688865 6723826.067961684 19.12494830906391, -33884.362020868924 6723828.03913776 19.12494692325592)</t>
  </si>
  <si>
    <t>POINT (-33893.351687406175 6723784.026707348)</t>
  </si>
  <si>
    <t>['EV39 S79D1 m2677 KD2 m61-85']</t>
  </si>
  <si>
    <t>LINESTRING Z (-33509.82045432727 6722765.596952034 36.90603931248188, -33509.98842343851 6722765.632469969 36.90603917837143, -33510.26991843898 6722765.63809197 36.89603900700808, -33511.223358229036 6722765.675002497 36.88603839606047, -33512.176798026776 6722765.7119130185 36.88603778511286, -33512.518221581355 6722765.723020346 36.886037569046024, -33512.79971658741 6722765.728642348 36.876037390232085, -33513.11026164808 6722765.746995104 36.87603718906641, -33514.03465140588 6722765.771174874 36.87603660792112, -33514.94813885819 6722765.804428517 36.876036026775836, -33515.86162631668 6722765.837682164 36.87603543817997, -33516.61439009081 6722765.866296366 36.886034961342816, -33516.753309156746 6722765.88908355 36.88603485703469, -33517.61587360897 6722766.038537418 36.89603420883417, -33518.4775238462 6722766.197979379 36.91603355318308, -33519.34008831007 6722766.347433251 36.93603291243315, -33520.19266468764 6722766.495972905 36.95603227168322, -33521.045241070446 6722766.644512563 36.976031630933285, -33521.531000707415 6722766.729261765 36.99603126585484, -33521.907805551426 6722766.793966443 37.006030982732774, -33522.76038194576 6722766.942506102 37.036030341982844, -33523.612958345795 6722767.091045764 37.066029708683494, -33524.475522843655 6722767.240499654 37.09602906048298, -33525.327185033704 6722767.399027415 37.126028412282466, -33526.18974954309 6722767.548481304 37.16602776408195, -33527.052314058295 6722767.697935198 37.20602712333203, -33527.19123313518 6722767.72072239 37.2060270190239, -33527.89744003408 6722768.147946104 37.26602623671293, -33528.75705687166 6722768.659714012 37.32602529793978, -33528.90047871531 6722768.743343981 37.336025141477585, -33529.63573567697 6722769.183298469 37.40602433681488, -33530.533476450364 6722769.718699464 37.48602336078882, -33530.71502222435 6722769.825962506 37.49602315962315, -33530.83122245455 6722769.876885538 37.50602304786444, -33530.960153442225 6722769.898758509 37.51602295100689)</t>
  </si>
  <si>
    <t>POINT (-33520.631089801034 6722766.875751241)</t>
  </si>
  <si>
    <t>['EV39 S79D1 m1780-1870']</t>
  </si>
  <si>
    <t>LINESTRING Z (-33947.43082083366 6723579.05610052 21.70511117130518, -33947.65699628717 6723576.035117737 21.745113488435745, -33947.99885593669 6723570.9801471345 21.81511739999056, -33948.19598113466 6723567.946433322 21.865119746923448, -33948.32165343815 6723565.913359794 21.885121326446534, -33948.603583974764 6723560.852903374 21.965125267803668, -33948.655974810594 6723559.840446367 21.975126065015793, -33948.86553807126 6723555.790618333 22.035129231512546, -33949.0460511375 6723551.728059297 22.085132427811622, -33949.08845378179 6723550.714687991 22.105133225023746, -33949.163270927966 6723548.687031084 22.135134834349156, -33948.977189965895 6723545.658526667 22.155137412250042, -33948.84950181423 6723543.642548335 22.16513912588358, -33948.64344449283 6723540.612215347 22.185141718685628, -33948.27882017242 6723535.573149295 22.225146040022373, -33947.884231293225 6723530.531340397 22.255150383710863, -33947.63730689138 6723527.507338406 22.28515299141407, -33947.45876356738 6723525.496776776 22.29515474230051, -33947.00333128264 6723520.45947032 22.325159115791323, -33946.91405956715 6723519.454189513 22.33515998750925, -33946.81479972624 6723518.447994417 22.345160866677762, -33946.22187902557 6723515.462823542 22.345163660645486, -33945.41800049052 6723511.481376698 22.345167385935785, -33945.20704271982 6723510.485100708 22.34516832470894, -33944.17131569621 6723505.515537492 22.345172996222974, -33943.738497649436 6723503.53205938 22.335174873769283, -33943.09380743641 6723500.562293441 22.335177682638168, -33941.99540846213 6723495.617209014 22.335182376503944, -33940.86613065796 6723490.679369927 22.33518708527088, -33940.40243374149 6723488.703137175 22.335188970267772)</t>
  </si>
  <si>
    <t>POINT (-33946.72074210966 6723533.661502775)</t>
  </si>
  <si>
    <t>['FV546 S1D1 m709-769']</t>
  </si>
  <si>
    <t>LINESTRING Z (-33652.8160998876 6722568.4471221715 47.55611274540424, -33652.74963547266 6722568.733120401 47.54611255168915, -33652.58941677667 6722569.383193286 47.536112119555476, -33652.509307427565 6722569.708229725 47.52611190348863, -33652.210879157996 6722570.657877594 47.50611131489277, -33651.86159614986 6722571.612942529 47.48611074864864, -33651.766995827085 6722571.876221917 47.47611059218645, -33651.49325113231 6722572.556190935 47.46611020475626, -33651.10492989898 6722573.497610924 47.44610967576504, -33650.72659676464 6722574.439945115 47.42610913932324, -33650.338275520015 6722575.381365091 47.40610861033201, -33649.96085658169 6722576.313711164 47.386108081340794, -33649.57253532577 6722577.255131128 47.36610755234957, -33649.4943225492 6722577.449407985 47.35610744059086, -33649.20419027365 6722578.198379504 47.34610700845718, -33648.884871532326 6722579.15618701 47.31610641986132, -33648.626395620755 6722580.109491655 47.29610580146313, -33648.41244316008 6722581.0165126 47.276105197966096, -33648.40604370611 6722581.086429335 47.27610513836145, -33648.32952298131 6722581.482296695 47.26610486268997, -33648.236546516186 6722582.057949944 47.24610445290804, -33648.08611132018 6722583.04128707 47.216103745102885, -33647.94566422107 6722584.025538403 47.196103029847144, -33647.795229010284 6722585.008875525 47.166102322041986, -33647.64479379158 6722585.992212644 47.136101614236836, -33647.504346669884 6722586.976463967 47.116100898981095, -33647.35391143616 6722587.959801079 47.08610019117594, -33647.21346429968 6722588.944052397 47.0560994759202, -33647.06302905094 6722589.927389503 47.036098768115046, -33646.92258189886 6722590.91164082 47.00609805285931, -33646.8487355808 6722591.388327212 46.99609770268202, -33646.77214663522 6722591.89497792 46.98609733760357, -33646.62171136367 6722592.87831502 46.95609662979842, -33646.481264189584 6722593.862566324 46.936095914542676, -33646.33082890313 6722594.845903416 46.90609520673752, -33646.19038171333 6722595.830154718 46.886094491481785, -33646.03994641197 6722596.813491805 46.85609378367663, -33645.88951110281 6722597.79682889 46.83609307587147, -33645.749063890544 6722598.781080182 46.80609236061573, -33645.598628566484 6722599.764417262 46.786091652810576, -33645.45818133908 6722600.748668547 46.766090937554836, -33645.30774599989 6722601.73200562 46.73609022974968, -33645.167298757704 6722602.7162569 46.716089514493945, -33645.01686340326 6722603.699593968 46.696088806688785, -33644.865513832076 6722604.692919138 46.666088083982466, -33644.72506656672 6722605.677170412 46.64608736872673, -33644.57463118993 6722606.66050747 46.62608666092157, -33644.43418390991 6722607.644758736 46.596085945665834, -33644.28374851786 6722608.628095791 46.57608523786068, -33644.143301222124 6722609.612347055 46.55608452260494, -33643.99286581529 6722610.595684101 46.53608381479979, -33643.84243040066 6722611.579021147 46.50608310699463, -33643.72104508022 6722612.575088925 46.48608236938715, -33643.650514482404 6722613.565739647 46.46608160942793, -33643.627181765274 6722614.590925729 46.436080789864064, -33643.66377766337 6722615.621597075 46.406079925596714, -33643.67904639896 6722615.894932724 46.406079694628716, -33643.727731655 6722616.463408655 46.3860792028904, -33643.74032596825 6722616.655925262 46.38607903897763, -33643.8468385766 6722617.69299608 46.35607813000679, -33643.94244886155 6722618.7391407965 46.32607722103596, -33644.048047241755 6722619.78619972 46.296076304614544, -33644.11122342327 6722620.416432695 46.27607575327158, -33644.144571719575 6722620.822356333 46.26607540309429, -33644.250170081854 6722621.869415261 46.23607448667288, -33644.27901553502 6722622.214496062 46.226074188649655, -33644.35576843517 6722622.9164741915 46.20607357025147, -33644.384613885195 6722623.261554994 46.19607327222824, -33644.442304782686 6722623.951716596 46.176072676181796, -33644.477986391285 6722624.992376049 46.146071804463865, -33644.47778173513 6722625.324726114 46.136071536242966, -33644.47595331294 6722625.344702323 46.136071521341805, -33644.46555589384 6722626.00848824 46.1260709849, -33644.393196764984 6722627.019115161 46.09607021003961, -33644.391368342214 6722627.039091371 46.09607019513845, -33644.3365838842 6722627.52759425 46.086069830060005)</t>
  </si>
  <si>
    <t>POINT (-33646.56130144388 6722597.697623744)</t>
  </si>
  <si>
    <t>['EV39 S79D1 m1134-1223']</t>
  </si>
  <si>
    <t>LINESTRING Z (-33790.533878748305 6724107.604247741 18.534776506125926, -33790.52114765323 6724107.633297702 18.534776491224765, -33790.49842846056 6724107.661433332 18.534776476323604, -33790.486611698056 6724107.680495197 18.534776468873023, -33788.97139264003 6724110.039594592 18.534775470495223, -33788.50146512641 6724110.772104819 18.53477516502142, -33788.34967587481 6724110.999932844 18.53477506816387, -33788.337859111954 6724111.018994708 18.53477506071329, -33788.32604234922 6724111.03805657 18.53477505326271, -33788.30240882351 6724111.076180296 18.53477503836155, -33786.19276381133 6724114.317541705 18.53477368235588, -33785.747384143644 6724115.001940082 18.534773399233817, -33785.59650922101 6724115.219779998 18.53477330982685, -33785.57287569484 6724115.257903719 18.53477329492569, -33785.55015650147 6724115.286039348 18.534773287475108, -33785.53742540523 6724115.315089305 18.534773265123366, -33785.52560864249 6724115.334151167 18.534773257672786, -33784.50852223579 6724116.872675983 18.534772624373435, -33783.376011185 6724118.571855097 18.53477193146944, -33782.955179365934 6724119.208141621 18.53477167069912, -33782.80339010712 6724119.435969622 18.53477158129215, -33782.76885414962 6724119.483167107 18.53477155894041, -33782.75520871952 6724119.522205166 18.534771536588668, -33782.73248952569 6724119.550340789 18.534771529138087, -33780.539282293525 6724122.824339624 18.53477019548416, -33780.14482699218 6724123.392538103 18.534769979417323, -33779.99212339579 6724123.630354191 18.534769875109195, -33779.9684898681 6724123.668477913 18.534769860208034, -33779.945770674036 6724123.696613536 18.534769852757453, -33779.92213714635 6724123.734737256 18.53476983040571, -33779.89941795217 6724123.762872878 18.53476982295513, -33779.887601188384 6724123.78193474 18.53476981550455, -33777.66534394666 6724127.043202321 18.544768511652947, -33777.304510261514 6724127.57419139 18.54476830303669, -33777.14181856462 6724127.811093133 18.544768206179143, -33777.08364907745 6724127.896414334 18.54476817637682, -33777.060015549185 6724127.934538053 18.54476815402508, -33777.038210688625 6724127.952685578 18.54476815402508, -33777.02639392426 6724127.971747439 18.544768146574498, -33775.34313612396 6724130.40610984 18.554767192900183, -33774.762355578365 6724131.249333722 18.554766857624056, -33774.42606974812 6724131.732210952 18.55476667135954, -33774.26246371376 6724131.979100779 18.556766645610335, -33774.193391794804 6724132.073495739 18.556766682863238, -33774.16975826584 6724132.111619457 18.5567666977644, -33774.14703907096 6724132.139755078 18.55676671266556, -33774.13522230659 6724132.158816936 18.55676672011614, -33773.856191628845 6724132.566361058 18.556766876578333, -33773.68351183145 6724132.8023484545 18.55676697343588, -33773.60262314801 6724132.915805271 18.556767018139364, -33773.57990395313 6724132.943940894 18.556767033040526, -33773.55718475813 6724132.972076513 18.556767040491106, -33771.596158475615 6724135.250077827 18.546768202781678, -33771.24721112219 6724135.651221597 18.546768411397935, -33771.05546946579 6724135.87539222 18.536768523156642, -33770.96550702001 6724135.9779466 18.536768575310706, -33770.9427878249 6724136.00608222 18.536768590211867, -33770.909166199504 6724136.0432915995 18.53676860511303, -33770.256709882175 6724136.789307887 18.53676899254322, -33768.242085771635 6724139.102689791 18.526770184636117, -33767.93766247248 6724139.457550393 18.51677037090063, -33767.735018384294 6724139.690794766 18.51677049010992, -33767.63506784232 6724139.792434809 18.516770549714565, -33767.61143431219 6724139.830558523 18.516770557165145, -33767.58962945198 6724139.848706042 18.516770572066306, -33767.577812686795 6724139.867767901 18.516770579516887, -33765.91579326335 6724141.74005359 18.50677157044411, -33765.91396459367 6724141.760029782 18.50677157044411, -33765.89307406801 6724141.768189209 18.50677157789469, -33765.69042997935 6724142.001433571 18.50677170455456, -33765.61045562837 6724142.104902277 18.506771749258043, -33765.57774833753 6724142.13212356 18.506771771609785, -33765.555029142066 6724142.160259178 18.506771779060365, -33765.53322428139 6724142.178406698 18.506771793961526, -33764.869865529006 6724142.93349668 18.506772188842298, -33764.57908766309 6724143.249319218 18.49677236020565, -33764.376443574205 6724143.482563577 18.49677247941494, -33764.28648112749 6724143.585117946 18.496772539019585, -33764.25285950175 6724143.622327323 18.496772553920746, -33764.241042736685 6724143.64138918 18.496772561371326, -33764.21923787624 6724143.6595367 18.496772576272487, -33761.45952156186 6724146.740669826 18.48677421540022, -33761.21235341602 6724147.020197307 18.486774364411833, -33761.01062366122 6724147.2434535595 18.486774483621122, -33760.90975878388 6724147.355081683 18.486774543225767, -33760.887039588415 6724147.383217298 18.48677455812693, -33760.85433229781 6724147.410438579 18.48677458047867, -33760.84251553228 6724147.429500434 18.48677458792925, -33759.40860238846 6724149.010441679 18.476775444746018, -33758.04193249426 6724150.516964143 18.476776256859303, -33757.8183978789 6724150.758367898 18.466776390969752, -33757.60576569347 6724150.990697897 18.466776517629622, -33757.51488891069 6724151.10324035 18.466776569783686, -33757.4821816202 6724151.130461628 18.466776592135428, -33757.459462424624 6724151.15859724 18.46677660703659, -33757.43765756418 6724151.17674476 18.46677662193775, -33757.30317106063 6724151.325582253 18.466776696443556, -33754.58530537586 6724154.279612809 18.45677832812071, -33754.39539238601 6724154.483807185 18.456778439879418, -33754.37267319008 6724154.511942796 18.45677845478058, -33754.282710742555 6724154.614497149 18.456778506934644, -33754.239101022016 6724154.650792185 18.456778536736966, -33754.227284256136 6724154.669854039 18.456778536736966, -33754.20456506079 6724154.697989647 18.456778551638127, -33754.18276020035 6724154.716137169 18.45677856653929, -33754.08280965814 6724154.817777185 18.456778626143933, -33754.05917612661 6724154.855900893 18.456778641045094, -33754.02646883624 6724154.883122169 18.456778663396836, -33754.01465207082 6724154.902184022 18.456778663396836, -33753.92560395866 6724154.994750282 18.45677872300148, -33753.89289666817 6724155.021971559 18.456778737902642, -33753.87017747236 6724155.050107169 18.456778752803803, -33753.85836070671 6724155.069169022 18.456778760254384, -33753.712971772766 6724155.227080265 18.45677884966135, -33753.490351492655 6724155.458495909 18.4567789837718, -33753.40038904501 6724155.561050261 18.456779035925866, -33753.35677932459 6724155.597345296 18.45677906572819, -33753.334974464495 6724155.615492811 18.45677907317877, -33753.313169604284 6724155.633640333 18.45677908807993, -33750.859138912754 6724157.796007455 18.42678061544895, -33750.66289517295 6724157.959335103 18.42678073465824, -33750.629273547325 6724157.99654447 18.426780757009983, -33750.530237341416 6724158.08819639 18.426780816614627, -33750.497530051274 6724158.115417665 18.42678083896637, -33750.4648227616 6724158.142638939 18.42678085386753, -33750.4430179015 6724158.1607864555 18.42678086876869, -33750.37760332157 6724158.215229005 18.416780913472177, -33750.34489603201 6724158.24245028 18.41678092837334, -33750.30128631205 6724158.278745311 18.41678095817566, -33750.279481452075 6724158.296892828 18.416780973076822, -33750.25676225638 6724158.325028437 18.416780987977983, -33750.21315253654 6724158.361323471 18.416781010329725, -33750.19134767656 6724158.379470988 18.416781025230886, -33747.751876779366 6724160.492811868 18.376782545149325, -33746.975061250036 6724161.167012951 18.366783029437066, -33746.81152480224 6724161.303119317 18.366783126294614, -33746.7560983171 6724161.358476197 18.366783163547517, -33746.667964541935 6724161.4410543535 18.35678321570158, -33746.62526915886 6724161.467361288 18.3567832455039, -33746.60254996293 6724161.4954969 18.356783260405063, -33746.58074510319 6724161.513644415 18.356783267855644, -33746.50442809425 6724161.577160719 18.356783320009708, -33746.460818374995 6724161.613455748 18.35678334981203, -33746.43901351513 6724161.631603263 18.35678335726261, -33746.417208655505 6724161.64975078 18.356783372163772, -33743.08282420901 6724164.517127714 18.30678545087576, -33742.94109262235 6724164.635086558 18.30678554028273, -33742.864775614464 6724164.698602856 18.306785584986212, -33742.78845860646 6724164.762119155 18.296785637140275, -33742.75575131737 6724164.789340427 18.296785652041436, -33742.72304402804 6724164.816561698 18.296785674393178, -33742.657629449735 6724164.871004242 18.29678571164608, -33742.61401973106 6724164.907299269 18.296785741448403, -33742.59130053525 6724164.935434876 18.296785756349564, -33742.57041001215 6724164.943594298 18.296785771250725, -33741.51104565908 6724165.843724912 18.27678642690182, -33739.16336594219 6724167.834534979 18.246787894666195, -33739.04343921668 6724167.9343463015 18.246787969172, -33738.95530544326 6724168.016924447 18.246788021326065, -33738.901707631885 6724168.052305136 18.246788058578968, -33738.86900034326 6724168.079526407 18.24678808093071, -33738.84628114756 6724168.107662011 18.24678809583187, -33738.81448819558 6724168.124895186 18.236788110733034, -33738.79176899954 6724168.153030796 18.236788125634195, -33738.759061711025 6724168.180252064 18.236788147985937, -33738.72635442228 6724168.207473334 18.23678817033768, -33738.70454956312 6724168.225620845 18.23678817778826, -33738.573720408254 6724168.334505922 18.236788259744646, -33738.3665742462 6724168.506907297 18.236788393855097, -33738.32296452811 6724168.543202323 18.23678841620684, -33738.290257239365 6724168.570423592 18.23678843855858, -33738.25754995085 6724168.597644861 18.236788460910322, -33738.23574509169 6724168.615792374 18.236788475811483, -33735.23574830359 6724171.131051512 18.186790345907212, -33735.13671210164 6724171.22270341 18.186790412962438, -33735.03859023657 6724171.3043672135 18.186790472567083, -33735.01678537775 6724171.322514724 18.186790487468244, -33734.97408999677 6724171.348821657 18.186790509819986, -33734.94138270826 6724171.376042924 18.186790532171727, -33734.92956594203 6724171.395104773 18.186790539622308, -33734.907761082985 6724171.413252288 18.18679055452347, -33734.87505379482 6724171.440473554 18.18679056942463, -33734.85324893589 6724171.458621064 18.18679058432579, -33734.831444077194 6724171.4767685775 18.186790599226953, -33731.29997129564 6724174.406677317 18.13679281204939, -33731.21275186096 6724174.47926736 18.136792864203453, -33731.12461808941 6724174.561845497 18.136792916357518, -33731.10372756771 6724174.570004916 18.13679293125868, -33731.081008372246 6724174.59814052 18.13679294615984, -33731.04921542143 6724174.615373692 18.136792968511582, -33731.0373986552 6724174.634435538 18.136792975962162, -33731.016508133616 6724174.642594956 18.136792983412743, -33730.99470327492 6724174.660742469 18.136792998313904, -33730.96199598699 6724174.687963735 18.136793020665646, -33730.95017922053 6724174.707025581 18.136793028116227, -33730.437765043695 6724175.133492083 18.12679334849119, -33730.25333808316 6724175.277757828 18.12679346770048)</t>
  </si>
  <si>
    <t>POINT (-33762.54257221216 6724143.358737034)</t>
  </si>
  <si>
    <t>['EV39 S79D10 m348-421']</t>
  </si>
  <si>
    <t>LINESTRING Z (-33225.54752751032 6724751.993524176 29.27709260851145, -33222.25078640331 6724759.950554388 29.35709412097931, -33219.49783370877 6724769.558775286 29.447095067203044, -33219.08009727043 6724771.041367325 29.437095208764077, -33218.20727505477 6724774.194495446 29.41709549933672, -33217.409008397604 6724775.763111944 29.42709590166807, -33216.51163541025 6724777.5341623025 29.43709635615349, -33215.18055796169 6724780.19210936 29.457097026705743, -33213.661255870946 6724783.2558384845 29.467097786664965, -33212.97116912261 6724784.632923417 29.47709813684225, -33212.537464652094 6724785.519820102 29.47709835290909, -33210.86538826383 6724788.932146078 29.487099179923536, -33210.79082992149 6724789.086468484 29.48709921717644, -33209.487887667376 6724791.767134513 29.52709986537695, -33208.619564268854 6724793.550915818 29.547100297510625, -33207.66120817617 6724795.548033372 29.567100774347782, -33206.177777119214 6724797.889879893 29.617101579010487, -33204.22533137852 6724800.954242336 29.667102651894094, -33204.03534812271 6724801.269217638 29.67710275620222, -33203.49451824918 6724802.116091876 29.687103046774865, -33200.83939466614 6724806.365022901 29.7571044921875, -33198.18244224042 6724810.633929823 29.807105937600138, -33195.54546581756 6724814.90466532 29.85710736811161, -33194.37377326831 6724816.8117497815 29.87710800886154)</t>
  </si>
  <si>
    <t>POINT (-33211.57536039045 6724785.159537129)</t>
  </si>
  <si>
    <t>[3154]</t>
  </si>
  <si>
    <t>['FV3154 S1D1 m3203-3254']</t>
  </si>
  <si>
    <t>LINESTRING Z (233841.06386670383 6573730.286656504 33.52, 233842.86139001895 6573724.929271251 33.84, 233843.8854825222 6573721.802150843 34.03, 233844.616201061 6573719.766665486 34.15, 233845.47649661917 6573717.719485435 34.28, 233847.4088155331 6573714.078302989 34.52, 233849.16877310508 6573710.754136337 34.74, 233849.63234975416 6573709.878259102 34.78, 233853.41800401488 6573702.83414235 35.12, 233855.34485374525 6573699.243697287 35.230000000000004, 233855.8827725816 6573698.300818649 35.24, 233856.48319495766 6573697.382444845 35.27, 233857.13705300412 6573696.499442935 35.28, 233859.1628579229 6573694.005418657 35.36, 233860.15042792034 6573692.700400976 35.42, 233862.8142580801 6573688.591252504 35.550000000000004, 233864.99878674076 6573685.8517842805 35.64, 233841.06386670383 6573730.286656504 33.52)</t>
  </si>
  <si>
    <t>POLYGON Z ((233841.06386670383 6573730.286656504 33.52, 233842.86139001895 6573724.929271251 33.84, 233843.8854825222 6573721.802150843 34.03, 233844.616201061 6573719.766665486 34.15, 233845.47649661917 6573717.719485435 34.28, 233847.4088155331 6573714.078302989 34.52, 233849.16877310508 6573710.754136337 34.74, 233849.63234975416 6573709.878259102 34.78, 233853.41800401488 6573702.83414235 35.12, 233855.34485374525 6573699.243697287 35.230000000000004, 233855.8827725816 6573698.300818649 35.24, 233856.48319495766 6573697.382444845 35.27, 233857.13705300412 6573696.499442935 35.28, 233859.1628579229 6573694.005418657 35.36, 233860.15042792034 6573692.700400976 35.42, 233862.8142580801 6573688.591252504 35.550000000000004, 233864.99878674076 6573685.8517842805 35.64, 233841.06386670383 6573730.286656504 33.52))</t>
  </si>
  <si>
    <t>['FV3154 S1D1 m3265-3310']</t>
  </si>
  <si>
    <t>LINESTRING Z (233840.59986410395 6573742.959690211 32.67, 233840.26197864016 6573744.226169719 32.61, 233839.8743996953 6573745.2760638865 32.49, 233838.9390434177 6573748.495662453 32.28, 233838.30972723215 6573750.652628723 32.11, 233837.93121620122 6573751.691655869 32.04, 233837.5183048122 6573752.683544507 31.970000000000002, 233836.96135098918 6573753.638190198 31.87, 233832.906937154 6573760.153890339 31.29, 233832.37995764392 6573760.995295635 31.21, 233829.5282591179 6573765.583640798 30.77, 233826.05523231358 6573771.192734001 30.27, 233825.5056191301 6573772.006036203 30.16, 233824.85086185823 6573772.879071309 30.11, 233824.13450061873 6573773.73756909 30.01, 233823.37467113842 6573774.559795425 29.93, 233822.60217540048 6573775.353018983 29.82, 233821.8088451394 6573776.138074284 29.740000000000002, 233821.00284862 6573776.894126814 29.64, 233818.46974749828 6573779.222916948 29.3, 233817.26919109252 6573780.61749923 29.19, 233840.59986410395 6573742.959690211 32.67)</t>
  </si>
  <si>
    <t>POLYGON Z ((233840.59986410395 6573742.959690211 32.67, 233840.26197864016 6573744.226169719 32.61, 233839.8743996953 6573745.2760638865 32.49, 233838.9390434177 6573748.495662453 32.28, 233838.30972723215 6573750.652628723 32.11, 233837.93121620122 6573751.691655869 32.04, 233837.5183048122 6573752.683544507 31.970000000000002, 233836.96135098918 6573753.638190198 31.87, 233832.906937154 6573760.153890339 31.29, 233832.37995764392 6573760.995295635 31.21, 233829.5282591179 6573765.583640798 30.77, 233826.05523231358 6573771.192734001 30.27, 233825.5056191301 6573772.006036203 30.16, 233824.85086185823 6573772.879071309 30.11, 233824.13450061873 6573773.73756909 30.01, 233823.37467113842 6573774.559795425 29.93, 233822.60217540048 6573775.353018983 29.82, 233821.8088451394 6573776.138074284 29.740000000000002, 233821.00284862 6573776.894126814 29.64, 233818.46974749828 6573779.222916948 29.3, 233817.26919109252 6573780.61749923 29.19, 233840.59986410395 6573742.959690211 32.67))</t>
  </si>
  <si>
    <t>2022-05-27</t>
  </si>
  <si>
    <t>[2468]</t>
  </si>
  <si>
    <t>['FV2468 S1D1 m1953-1969']</t>
  </si>
  <si>
    <t>LINESTRING (210057.30282760656 6764293.0992909325, 210054.92313778924 6764278.303090151)</t>
  </si>
  <si>
    <t>POINT (210056.1129826979 6764285.701190542)</t>
  </si>
  <si>
    <t>[3282]</t>
  </si>
  <si>
    <t>['FV3282 S1D1 m1499-1562']</t>
  </si>
  <si>
    <t>LINESTRING Z (191379.4253858936 6577659.867386513 51.300000000000004, 191379.14748504 6577660.392469463 51.300000000000004, 191379.11254116148 6577660.455611433 51.300000000000004, 191379.05097682955 6577660.561123078 51.300000000000004, 191378.97276564705 6577660.708179311 51.300000000000004, 191378.95529370778 6577660.739750293 51.300000000000004, 191378.94697028212 6577660.760522588 51.300000000000004, 191378.93864685687 6577660.7812948795 51.300000000000004, 191378.852112249 6577660.949123404 51.300000000000004, 191378.82549179596 6577660.991493083 51.300000000000004, 191378.73813209968 6577661.149348003 51.300000000000004, 191378.721485249 6577661.190892589 51.300000000000004, 191378.5034985536 6577661.590516697 51.29, 191378.48767679167 6577661.642034888 51.29, 191378.0350565532 6577662.482827695 51.29, 191377.80957152403 6577662.913197702 51.29, 191377.70556497935 6577663.112597214 51.29, 191377.57576307084 6577663.364340008 51.29, 191377.54914261837 6577663.406709683 51.29, 191377.41934071004 6577663.658452474 51.29, 191377.39272025775 6577663.70082215 51.29, 191377.34030444134 6577663.795535105 51.29, 191377.33198101638 6577663.816307401 51.29, 191377.32365759136 6577663.8370796945 51.29, 191377.30536056386 6577663.858677078 51.29, 191377.23629789765 6577663.994934621 51.29, 191377.20967744524 6577664.037304298 51.29, 191377.14061477897 6577664.173561839 51.29, 191377.10649599042 6577664.246677413 51.29, 191377.08819896285 6577664.268274796 51.29, 191377.079875538 6577664.289047089 51.29, 191376.8627139381 6577664.698644811 51.300000000000004, 191376.83691857453 6577664.750988089 51.300000000000004, 191376.72458860703 6577664.9711599 51.300000000000004, 191376.6372289142 6577665.1290148245 51.300000000000004, 191376.40259537793 6577665.570183537 51.300000000000004, 191376.3768000147 6577665.622526818 51.300000000000004, 191376.16878693132 6577666.021325848 51.300000000000004, 191376.0281863354 6577666.263920132 51.300000000000004, 191375.82932176726 6577666.651920478 51.300000000000004, 191375.81267491804 6577666.693465064 51.300000000000004, 191375.69951986382 6577666.903663276 51.31, 191375.43909096904 6577667.397175274 51.31, 191375.23025280057 6577667.786000708 51.31, 191375.2036323491 6577667.828370388 51.31, 191375.0821538717 6577668.0593408905 51.31, 191374.9864707571 6577668.23796812 51.31, 191374.96982390835 6577668.279512709 51.31, 191374.76098574174 6577668.668338148 51.31, 191374.7343652901 6577668.710707827 51.31, 191374.5180287895 6577669.130279165 51.32, 191374.50138194102 6577669.171823754 51.32, 191374.44814103818 6577669.25656311 51.32, 191374.29171868716 6577669.550675592 51.32, 191374.28339526284 6577669.571447887 51.32, 191374.05791025056 6577670.001817919 51.32, 191374.04126340227 6577670.043362511 51.32, 191373.82327672612 6577670.4429866485 51.32, 191373.78915794007 6577670.516102224 51.32, 191373.77086091315 6577670.53769961 51.32, 191373.64023392578 6577670.77946881 51.33, 191373.35400968004 6577671.325324107 51.33, 191373.33736283187 6577671.366868696 51.33, 191373.3290394076 6577671.387640988 51.33, 191372.9379835396 6577672.122922211 51.33, 191372.91136308893 6577672.1652918905 51.33, 191372.89471624128 6577672.206836481 51.33, 191372.86809579033 6577672.249206159 51.33, 191372.8597723666 6577672.269978456 51.33, 191372.4154756008 6577673.089999041 51.34, 191372.41712577996 6577673.109946248 51.34, 191372.17334374943 6577673.561913676 51.34, 191372.14672329882 6577673.604283356 51.34, 191372.1383998752 6577673.625055652 51.34, 191372.00777289207 6577673.866824863 51.35, 191371.95700726018 6577673.9814850325 51.35, 191371.72237374535 6577674.422653775 51.35, 191371.69575329492 6577674.465023452 51.35, 191371.4877402312 6577674.863822515 51.35, 191371.01847320684 6577675.746160006 51.36, 191370.96605739684 6577675.840872971 51.36, 191370.5492061865 6577676.6284975 51.370000000000005, 191370.52258573688 6577676.670867183 51.370000000000005, 191370.0799391708 6577677.510835005 51.370000000000005, 191370.00172800157 6577677.657891255 51.370000000000005, 191369.98508115538 6577677.699435847 51.370000000000005, 191369.6547645448 6577678.319231842 51.38, 191369.61149724893 6577678.403146116 51.38, 191369.37686374487 6577678.844314875 51.38, 191369.3502432956 6577678.886684557 51.38, 191369.1946460501 6577679.190770663 51.39, 191369.18632262724 6577679.211542962 51.39, 191369.14223024173 6577679.285483631 51.39, 191369.13390681864 6577679.306255927 51.39, 191368.67296323873 6577680.167821153 51.4, 191368.6563163927 6577680.209365745 51.4, 191368.54233626404 6577680.409590374 51.4, 191368.20369623997 6577681.050158682 51.4, 191368.18704939436 6577681.091703274 51.4, 191367.79599356576 6577681.826984555 51.410000000000004, 191367.787670143 6577681.8477568505 51.410000000000004, 191367.76104969432 6577681.890126534 51.410000000000004, 191367.73525433597 6577681.942469819 51.410000000000004, 191367.7177824002 6577681.974040811 51.410000000000004, 191367.7011355547 6577682.015585401 51.410000000000004, 191367.32755166525 6577682.719295697 51.42, 191367.26598734572 6577682.82480736 51.42, 191367.24934050057 6577682.866351954 51.42, 191367.03135385248 6577683.265976137 51.42, 191367.0147070072 6577683.307520727 51.42, 191366.8066939633 6577683.706319819 51.43, 191366.41481305467 6577684.43162751 51.43, 191366.3374269817 6577684.588657371 51.43, 191366.31995504652 6577684.620228363 51.43, 191366.29333459848 6577684.662598047 51.44, 191365.8681600046 6577685.470994933 51.44, 191365.84153955668 6577685.513364616 51.44, 191365.3997181222 6577686.363306102 51.45, 191364.93045115384 6577687.245643675 51.46, 191364.70579127443 6577687.685987374 51.46, 191364.67834573647 6577687.718383455 51.46, 191364.47115779284 6577688.127156163 51.47, 191364.44371225475 6577688.159552244 51.47, 191364.00189083285 6577689.00949375 51.480000000000004, 191363.54259748058 6577689.891006251 51.49, 191363.51597703376 6577689.933375937 51.49, 191363.46438632184 6577690.038062516 51.49, 191363.07333052933 6577690.773343849 51.5, 191363.05668368615 6577690.814888444 51.5, 191362.61486227665 6577691.664829963 51.51, 191362.38855222618 6577692.08522647 51.51, 191362.38022880495 6577692.105998769 51.51, 191362.36275687104 6577692.137569762 51.51, 191362.15556893765 6577692.546342485 51.52, 191361.8868166915 6577693.060626882 51.52, 191361.69627560262 6577693.427855008 51.53, 191361.6796287602 6577693.469399607 51.53, 191361.23780736356 6577694.319341146 51.54, 191361.22033543006 6577694.350912139 51.54, 191361.18456647178 6577694.404080522 51.54, 191361.1670945381 6577694.435651515 51.54, 191360.8650486131 6577695.033025114 51.550000000000004, 191360.84757667978 6577695.064596107 51.550000000000004, 191360.77851403743 6577695.200853686 51.550000000000004, 191360.7610421041 6577695.232424678 51.550000000000004, 191360.70862630388 6577695.327137657 51.550000000000004, 191360.3200458071 6577696.092339832 51.56, 191360.302573874 6577696.123910827 51.56, 191360.09538594994 6577696.5326835625 51.56, 191360.0779140166 6577696.564254557 51.56, 191359.86075248977 6577696.973852382 51.57, 191359.78419151972 6577697.140855865 51.57, 191359.53291121975 6577697.623569287 51.57, 191359.48132051248 6577697.7282558745 51.58, 191359.46384857933 6577697.759826867 51.58, 191359.44720173784 6577697.801371464 51.58, 191359.41225787194 6577697.864513452 51.58, 191358.9629381672 6577698.745200922 51.59, 191358.94546623458 6577698.776771921 51.59, 191358.91967088124 6577698.829115212 51.59, 191358.67753909808 6577699.301029947 51.59, 191358.51444355882 6577699.635862008 51.59, 191358.12586308055 6577700.401064208 51.6, 191358.10839114798 6577700.432635199 51.6, 191358.10006772768 6577700.453407501 51.6, 191358.06594895432 6577700.526523094 51.6, 191358.00520973688 6577700.642008379 51.6, 191357.9702658719 6577700.7051503705 51.6, 191357.84128910827 6577700.9668668425 51.6, 191357.82381717587 6577700.998437835 51.61, 191357.61745435488 6577701.417184189 51.61, 191357.5999824223 6577701.448755183 51.61, 191357.28961310105 6577702.066901115 51.61, 191357.20307853224 6577702.234729694 51.61, 191357.16813466803 6577702.2978716865 51.61, 191356.85859044123 6577702.925991222 51.620000000000005, 191356.77205587318 6577703.093819805 51.620000000000005, 191356.730438773 6577703.197681302 51.620000000000005, 191356.71214174904 6577703.219278694 51.620000000000005, 191356.67802297702 6577703.29239429 51.620000000000005, 191356.65305271698 6577703.354711189 51.620000000000005, 191356.64472929708 6577703.375483488 51.620000000000005, 191356.60063692124 6577703.449424176 51.620000000000005, 191356.5831649892 6577703.48099517 51.620000000000005, 191356.29191779078 6577704.087517321 51.620000000000005, 191356.27444585902 6577704.119088318 51.620000000000005, 191355.85339681344 6577704.97735335 51.63, 191355.62873697834 6577705.417697109 51.63, 191355.62123865087 6577705.448443013 51.63, 191355.41487584065 6577705.867189383 51.63, 191355.20851303125 6577706.28593575 51.63, 191355.201014704 6577706.316681657 51.63, 191354.97717996454 6577706.766999024 51.64, 191354.96885654493 6577706.787771322 51.64, 191354.6351671688 6577707.488181392 51.64, 191354.54863260494 6577707.656009976 51.64, 191354.5411342777 6577707.686755881 51.64, 191354.17167595087 6577708.4403343415 51.64, 191354.12091034226 6577708.5549945375 51.64, 191354.09511499183 6577708.607337833 51.64, 191354.08761666517 6577708.63808374 51.64, 191353.9153726324 6577708.983714523 51.64, 191353.90704921307 6577709.004486823 51.64, 191353.69236299203 6577709.444005502 51.64, 191353.68486466527 6577709.474751405 51.64, 191353.4884754693 6577709.892672698 51.64, 191353.47100353846 6577709.924243695 51.64, 191353.36782213853 6577710.133616884 51.64, 191353.36032381206 6577710.164362791 51.64, 191353.2746143432 6577710.342164984 51.64, 191352.92510323634 6577711.094093273 51.64, 191352.85686569917 6577711.240324471 51.64, 191352.64300457673 6577711.689816761 51.64, 191352.6172092274 6577711.74216006 51.64, 191352.43911706004 6577712.138483964 51.64, 191352.42164512962 6577712.170054963 51.64, 191352.02219351806 6577713.046617064 51.65, 191351.7151246097 6577713.70465747 51.65, 191351.68932926084 6577713.757000766 51.65, 191351.60444488854 6577713.94477657 51.65, 191351.40055737778 6577714.393443777 51.65, 191351.39388414513 6577714.434163289 51.65, 191351.23243882123 6577714.788942599 51.65, 191351.22411540238 6577714.809714897 51.65, 191351.19749496132 6577714.852084591 51.65, 191351.18999663542 6577714.8828305 51.65, 191351.02022789407 6577715.258382107 51.660000000000004, 191350.7897199457 6577715.749419015 51.660000000000004, 191355.56815314078 6577709.419370073 51.54, 191357.33485845255 6577706.983670299 51.53, 191359.7443623793 6577703.942491043 51.550000000000004, 191360.07654657954 6577702.981117139 51.54, 191364.01056913496 6577695.305022715 51.5, 191369.334023359 6577685.124021827 51.44, 191369.92627392343 6577684.27167762 51.42, 191374.8079798178 6577674.820110709 51.32, 191375.60283050104 6577672.896610713 51.33, 191377.5127026835 6577667.336091464 51.22, 191379.53526774474 6577660.952858998 51.21, 191379.4253858936 6577659.867386513 51.300000000000004)</t>
  </si>
  <si>
    <t>POLYGON Z ((191379.4253858936 6577659.867386513 51.300000000000004, 191379.14748504 6577660.392469463 51.300000000000004, 191379.11254116148 6577660.455611433 51.300000000000004, 191379.05097682955 6577660.561123078 51.300000000000004, 191378.97276564705 6577660.708179311 51.300000000000004, 191378.95529370778 6577660.739750293 51.300000000000004, 191378.94697028212 6577660.760522588 51.300000000000004, 191378.93864685687 6577660.7812948795 51.300000000000004, 191378.852112249 6577660.949123404 51.300000000000004, 191378.82549179596 6577660.991493083 51.300000000000004, 191378.73813209968 6577661.149348003 51.300000000000004, 191378.721485249 6577661.190892589 51.300000000000004, 191378.5034985536 6577661.590516697 51.29, 191378.48767679167 6577661.642034888 51.29, 191378.0350565532 6577662.482827695 51.29, 191377.80957152403 6577662.913197702 51.29, 191377.70556497935 6577663.112597214 51.29, 191377.57576307084 6577663.364340008 51.29, 191377.54914261837 6577663.406709683 51.29, 191377.41934071004 6577663.658452474 51.29, 191377.39272025775 6577663.70082215 51.29, 191377.34030444134 6577663.795535105 51.29, 191377.33198101638 6577663.816307401 51.29, 191377.32365759136 6577663.8370796945 51.29, 191377.30536056386 6577663.858677078 51.29, 191377.23629789765 6577663.994934621 51.29, 191377.20967744524 6577664.037304298 51.29, 191377.14061477897 6577664.173561839 51.29, 191377.10649599042 6577664.246677413 51.29, 191377.08819896285 6577664.268274796 51.29, 191377.079875538 6577664.289047089 51.29, 191376.8627139381 6577664.698644811 51.300000000000004, 191376.83691857453 6577664.750988089 51.300000000000004, 191376.72458860703 6577664.9711599 51.300000000000004, 191376.6372289142 6577665.1290148245 51.300000000000004, 191376.40259537793 6577665.570183537 51.300000000000004, 191376.3768000147 6577665.622526818 51.300000000000004, 191376.16878693132 6577666.021325848 51.300000000000004, 191376.0281863354 6577666.263920132 51.300000000000004, 191375.82932176726 6577666.651920478 51.300000000000004, 191375.81267491804 6577666.693465064 51.300000000000004, 191375.69951986382 6577666.903663276 51.31, 191375.43909096904 6577667.397175274 51.31, 191375.23025280057 6577667.786000708 51.31, 191375.2036323491 6577667.828370388 51.31, 191375.0821538717 6577668.0593408905 51.31, 191374.9864707571 6577668.23796812 51.31, 191374.96982390835 6577668.279512709 51.31, 191374.76098574174 6577668.668338148 51.31, 191374.7343652901 6577668.710707827 51.31, 191374.5180287895 6577669.130279165 51.32, 191374.50138194102 6577669.171823754 51.32, 191374.44814103818 6577669.25656311 51.32, 191374.29171868716 6577669.550675592 51.32, 191374.28339526284 6577669.571447887 51.32, 191374.05791025056 6577670.001817919 51.32, 191374.04126340227 6577670.043362511 51.32, 191373.82327672612 6577670.4429866485 51.32, 191373.78915794007 6577670.516102224 51.32, 191373.77086091315 6577670.53769961 51.32, 191373.64023392578 6577670.77946881 51.33, 191373.35400968004 6577671.325324107 51.33, 191373.33736283187 6577671.366868696 51.33, 191373.3290394076 6577671.387640988 51.33, 191372.9379835396 6577672.122922211 51.33, 191372.91136308893 6577672.1652918905 51.33, 191372.89471624128 6577672.206836481 51.33, 191372.86809579033 6577672.249206159 51.33, 191372.8597723666 6577672.269978456 51.33, 191372.4154756008 6577673.089999041 51.34, 191372.41712577996 6577673.109946248 51.34, 191372.17334374943 6577673.561913676 51.34, 191372.14672329882 6577673.604283356 51.34, 191372.1383998752 6577673.625055652 51.34, 191372.00777289207 6577673.866824863 51.35, 191371.95700726018 6577673.9814850325 51.35, 191371.72237374535 6577674.422653775 51.35, 191371.69575329492 6577674.465023452 51.35, 191371.4877402312 6577674.863822515 51.35, 191371.01847320684 6577675.746160006 51.36, 191370.96605739684 6577675.840872971 51.36, 191370.5492061865 6577676.6284975 51.370000000000005, 191370.52258573688 6577676.670867183 51.370000000000005, 191370.0799391708 6577677.510835005 51.370000000000005, 191370.00172800157 6577677.657891255 51.370000000000005, 191369.98508115538 6577677.699435847 51.370000000000005, 191369.6547645448 6577678.319231842 51.38, 191369.61149724893 6577678.403146116 51.38, 191369.37686374487 6577678.844314875 51.38, 191369.3502432956 6577678.886684557 51.38, 191369.1946460501 6577679.190770663 51.39, 191369.18632262724 6577679.211542962 51.39, 191369.14223024173 6577679.285483631 51.39, 191369.13390681864 6577679.306255927 51.39, 191368.67296323873 6577680.167821153 51.4, 191368.6563163927 6577680.209365745 51.4, 191368.54233626404 6577680.409590374 51.4, 191368.20369623997 6577681.050158682 51.4, 191368.18704939436 6577681.091703274 51.4, 191367.79599356576 6577681.826984555 51.410000000000004, 191367.787670143 6577681.8477568505 51.410000000000004, 191367.76104969432 6577681.890126534 51.410000000000004, 191367.73525433597 6577681.942469819 51.410000000000004, 191367.7177824002 6577681.974040811 51.410000000000004, 191367.7011355547 6577682.015585401 51.410000000000004, 191367.32755166525 6577682.719295697 51.42, 191367.26598734572 6577682.82480736 51.42, 191367.24934050057 6577682.866351954 51.42, 191367.03135385248 6577683.265976137 51.42, 191367.0147070072 6577683.307520727 51.42, 191366.8066939633 6577683.706319819 51.43, 191366.41481305467 6577684.43162751 51.43, 191366.3374269817 6577684.588657371 51.43, 191366.31995504652 6577684.620228363 51.43, 191366.29333459848 6577684.662598047 51.44, 191365.8681600046 6577685.470994933 51.44, 191365.84153955668 6577685.513364616 51.44, 191365.3997181222 6577686.363306102 51.45, 191364.93045115384 6577687.245643675 51.46, 191364.70579127443 6577687.685987374 51.46, 191364.67834573647 6577687.718383455 51.46, 191364.47115779284 6577688.127156163 51.47, 191364.44371225475 6577688.159552244 51.47, 191364.00189083285 6577689.00949375 51.480000000000004, 191363.54259748058 6577689.891006251 51.49, 191363.51597703376 6577689.933375937 51.49, 191363.46438632184 6577690.038062516 51.49, 191363.07333052933 6577690.773343849 51.5, 191363.05668368615 6577690.814888444 51.5, 191362.61486227665 6577691.664829963 51.51, 191362.38855222618 6577692.08522647 51.51, 191362.38022880495 6577692.105998769 51.51, 191362.36275687104 6577692.137569762 51.51, 191362.15556893765 6577692.546342485 51.52, 191361.8868166915 6577693.060626882 51.52, 191361.69627560262 6577693.427855008 51.53, 191361.6796287602 6577693.469399607 51.53, 191361.23780736356 6577694.319341146 51.54, 191361.22033543006 6577694.350912139 51.54, 191361.18456647178 6577694.404080522 51.54, 191361.1670945381 6577694.435651515 51.54, 191360.8650486131 6577695.033025114 51.550000000000004, 191360.84757667978 6577695.064596107 51.550000000000004, 191360.77851403743 6577695.200853686 51.550000000000004, 191360.7610421041 6577695.232424678 51.550000000000004, 191360.70862630388 6577695.327137657 51.550000000000004, 191360.3200458071 6577696.092339832 51.56, 191360.302573874 6577696.123910827 51.56, 191360.09538594994 6577696.5326835625 51.56, 191360.0779140166 6577696.564254557 51.56, 191359.86075248977 6577696.973852382 51.57, 191359.78419151972 6577697.140855865 51.57, 191359.53291121975 6577697.623569287 51.57, 191359.48132051248 6577697.7282558745 51.58, 191359.46384857933 6577697.759826867 51.58, 191359.44720173784 6577697.801371464 51.58, 191359.41225787194 6577697.864513452 51.58, 191358.9629381672 6577698.745200922 51.59, 191358.94546623458 6577698.776771921 51.59, 191358.91967088124 6577698.829115212 51.59, 191358.67753909808 6577699.301029947 51.59, 191358.51444355882 6577699.635862008 51.59, 191358.12586308055 6577700.401064208 51.6, 191358.10839114798 6577700.432635199 51.6, 191358.10006772768 6577700.453407501 51.6, 191358.06594895432 6577700.526523094 51.6, 191358.00520973688 6577700.642008379 51.6, 191357.9702658719 6577700.7051503705 51.6, 191357.84128910827 6577700.9668668425 51.6, 191357.82381717587 6577700.998437835 51.61, 191357.61745435488 6577701.417184189 51.61, 191357.5999824223 6577701.448755183 51.61, 191357.28961310105 6577702.066901115 51.61, 191357.20307853224 6577702.234729694 51.61, 191357.16813466803 6577702.2978716865 51.61, 191356.85859044123 6577702.925991222 51.620000000000005, 191356.77205587318 6577703.093819805 51.620000000000005, 191356.730438773 6577703.197681302 51.620000000000005, 191356.71214174904 6577703.219278694 51.620000000000005, 191356.67802297702 6577703.29239429 51.620000000000005, 191356.65305271698 6577703.354711189 51.620000000000005, 191356.64472929708 6577703.375483488 51.620000000000005, 191356.60063692124 6577703.449424176 51.620000000000005, 191356.5831649892 6577703.48099517 51.620000000000005, 191356.29191779078 6577704.087517321 51.620000000000005, 191356.27444585902 6577704.119088318 51.620000000000005, 191355.85339681344 6577704.97735335 51.63, 191355.62873697834 6577705.417697109 51.63, 191355.62123865087 6577705.448443013 51.63, 191355.41487584065 6577705.867189383 51.63, 191355.20851303125 6577706.28593575 51.63, 191355.201014704 6577706.316681657 51.63, 191354.97717996454 6577706.766999024 51.64, 191354.96885654493 6577706.787771322 51.64, 191354.6351671688 6577707.488181392 51.64, 191354.54863260494 6577707.656009976 51.64, 191354.5411342777 6577707.686755881 51.64, 191354.17167595087 6577708.4403343415 51.64, 191354.12091034226 6577708.5549945375 51.64, 191354.09511499183 6577708.607337833 51.64, 191354.08761666517 6577708.63808374 51.64, 191353.9153726324 6577708.983714523 51.64, 191353.90704921307 6577709.004486823 51.64, 191353.69236299203 6577709.444005502 51.64, 191353.68486466527 6577709.474751405 51.64, 191353.4884754693 6577709.892672698 51.64, 191353.47100353846 6577709.924243695 51.64, 191353.36782213853 6577710.133616884 51.64, 191353.36032381206 6577710.164362791 51.64, 191353.2746143432 6577710.342164984 51.64, 191352.92510323634 6577711.094093273 51.64, 191352.85686569917 6577711.240324471 51.64, 191352.64300457673 6577711.689816761 51.64, 191352.6172092274 6577711.74216006 51.64, 191352.43911706004 6577712.138483964 51.64, 191352.42164512962 6577712.170054963 51.64, 191352.02219351806 6577713.046617064 51.65, 191351.7151246097 6577713.70465747 51.65, 191351.68932926084 6577713.757000766 51.65, 191351.60444488854 6577713.94477657 51.65, 191351.40055737778 6577714.393443777 51.65, 191351.39388414513 6577714.434163289 51.65, 191351.23243882123 6577714.788942599 51.65, 191351.22411540238 6577714.809714897 51.65, 191351.19749496132 6577714.852084591 51.65, 191351.18999663542 6577714.8828305 51.65, 191351.02022789407 6577715.258382107 51.660000000000004, 191350.7897199457 6577715.749419015 51.660000000000004, 191355.56815314078 6577709.419370073 51.54, 191357.33485845255 6577706.983670299 51.53, 191359.7443623793 6577703.942491043 51.550000000000004, 191360.07654657954 6577702.981117139 51.54, 191364.01056913496 6577695.305022715 51.5, 191369.334023359 6577685.124021827 51.44, 191369.92627392343 6577684.27167762 51.42, 191374.8079798178 6577674.820110709 51.32, 191375.60283050104 6577672.896610713 51.33, 191377.5127026835 6577667.336091464 51.22, 191379.53526774474 6577660.952858998 51.21, 191379.4253858936 6577659.867386513 51.300000000000004))</t>
  </si>
  <si>
    <t>2022-06-13</t>
  </si>
  <si>
    <t>['FV3282 S1D1 m387-520']</t>
  </si>
  <si>
    <t>LINESTRING Z (191904.4939872026 6577163.403454164 35.88, 191907.174992054 6577158.060346346 35.910000000000004, 191907.8383946609 6577156.368651511 36.01, 191908.77955302963 6577154.392892611 36.14, 191912.9059073883 6577144.792993274 36.22, 191921.8116769353 6577114.914933794 36.35, 191928.0417518295 6577093.964472271 36.46, 191933.6996922302 6577074.959244194 36.53, 191939.7690054305 6577054.614552546 36.65, 191942.13551819843 6577040.249791447 36.63, 191942.5152970954 6577037.557294978 36.550000000000004, 191942.95860389905 6577035.632762882 36.5, 191942.82630549953 6577034.519023961 36.51, 191942.61312181212 6577035.219502254 36.51, 191942.59729987086 6577035.271020142 36.51, 191942.32165346108 6577036.187543561 36.5, 191942.18008103274 6577036.661178134 36.5, 191942.16425909207 6577036.712696027 36.5, 191942.03933364287 6577037.144786272 36.5, 191941.74704026745 6577038.102854021 36.49, 191941.4647204621 6577039.060096744 36.49, 191941.4480734854 6577039.101641074 36.49, 191941.25903524767 6577039.7298293235 36.480000000000004, 191941.17242709984 6577040.018164505 36.480000000000004, 191941.1582552353 6577040.0896295225 36.480000000000004, 191940.89010730712 6577040.9754072325 36.480000000000004, 191940.74935993215 6577041.4590153815 36.47, 191940.73271295568 6577041.500559708 36.47, 191940.59781395766 6577041.933475001 36.47, 191940.59196558234 6577041.984167857 36.47, 191940.3154941778 6577042.890717739 36.47, 191940.03317440447 6577043.847960481 36.46, 191940.01735246653 6577043.899478372 36.46, 191939.74170611188 6577044.816001824 36.46, 191939.45938635123 6577045.773244573 36.45, 191939.30784039135 6577046.247704207 36.45, 191939.30199201743 6577046.2983970605 36.45, 191939.1670930339 6577046.731312364 36.45, 191938.8847732863 6577047.688555122 36.44, 191938.59247998154 6577048.64662292 36.43, 191938.58580657066 6577048.687342214 36.43, 191938.4117652733 6577049.254039037 36.43, 191938.3101602469 6577049.603865688 36.43, 191938.2935132727 6577049.645410014 36.43, 191938.01786695502 6577050.561933495 36.43, 191937.8771196123 6577051.045541662 36.42, 191937.86047263857 6577051.087085991 36.42, 191937.73554723308 6577051.51917627 36.42, 191937.4440789923 6577052.48721765 36.42, 191937.1617592834 6577053.444460434 36.410000000000004, 191937.14511231042 6577053.486004764 36.410000000000004, 191936.8694660173 6577054.402528257 36.410000000000004, 191936.58714632102 6577055.35977105 36.410000000000004, 191936.4455739559 6577055.833405662 36.4, 191936.42975202238 6577055.884923558 36.4, 191936.30317655392 6577056.297066717 36.4, 191936.2948530676 6577056.31783888 36.4, 191936.01253338443 6577057.275081681 36.4, 191935.7202401437 6577058.233149523 36.39, 191935.71439177444 6577058.28384238 36.39, 191935.43792047317 6577059.190392332 36.39, 191935.14562724537 6577060.14846018 36.39, 191935.06734262413 6577060.4160232255 36.39, 191935.00487993524 6577060.632068368 36.38, 191934.98823296442 6577060.673612703 36.38, 191934.86413262686 6577061.115676562 36.38, 191934.67591952527 6577061.753838442 36.38, 191934.57183941198 6577062.073744421 36.38, 191934.2895197674 6577063.030987247 36.37, 191934.27287279675 6577063.072531577 36.37, 191934.00720012846 6577063.988230071 36.37, 191933.71490693308 6577064.946297946 36.37, 191933.66909122077 6577065.120798764 36.37, 191933.5733345999 6577065.419932582 36.36, 191933.55751266977 6577065.471450479 36.36, 191933.4325873076 6577065.903540783 36.36, 191933.14029412472 6577066.861608663 36.36, 191932.85797451186 6577067.818851509 36.35, 191932.84215258283 6577067.870369406 36.35, 191932.5656813421 6577068.7769193975 36.35, 191932.44075598987 6577069.209009709 36.35, 191932.28418678197 6577069.744135817 36.35, 191932.18010668637 6577070.064041806 36.35, 191932.1326409008 6577070.218595501 36.34, 191932.126792536 6577070.269288362 36.34, 191931.9918936249 6577070.702203715 36.34, 191931.70957403787 6577071.659446576 36.34, 191931.4172808936 6577072.617514484 36.33, 191931.40063392604 6577072.659058819 36.33, 191931.22906784347 6577073.255676396 36.33, 191931.18077702133 6577073.40025653 36.33, 191931.1349613192 6577073.5747573525 36.33, 191930.94674827356 6577074.21291927 36.33, 191930.84266818798 6577074.53282527 36.33, 191930.70192092663 6577075.01643349 36.32, 191930.6852739596 6577075.0579778245 36.32, 191930.58449403645 6577075.41777808 36.32, 191930.5603486267 6577075.490068149 36.32, 191930.2680555079 6577076.448136071 36.32, 191929.98573595932 6577077.405378957 36.31, 191929.96991403343 6577077.456896858 36.31, 191929.79752293066 6577078.043540885 36.31, 191929.6942678938 6577078.373420452 36.31, 191929.5993363408 6577078.682527854 36.31, 191929.50522982905 6577079.001608821 36.300000000000004, 191929.4577640532 6577079.156162521 36.300000000000004, 191929.41194835835 6577079.3306633495 36.300000000000004, 191929.27037607273 6577079.804298017 36.300000000000004, 191929.25455414777 6577079.85581592 36.300000000000004, 191929.11965526541 6577080.288731292 36.300000000000004, 191928.99472994835 6577080.720821624 36.29, 191928.83733574272 6577081.245974196 36.29, 191928.55501622643 6577082.203217104 36.29, 191928.53836926149 6577082.244761442 36.29, 191928.40512046777 6577082.697623946 36.28, 191928.26272315264 6577083.1612850595 36.28, 191928.20775893982 6577083.346584495 36.28, 191927.9804036491 6577084.118527974 36.28, 191927.82968285616 6577084.602961255 36.27, 191927.8230094561 6577084.643680554 36.27, 191927.69643407036 6577085.0558237685 36.27, 191927.68811058818 6577085.076595936 36.27, 191927.40579109755 6577086.033838862 36.27, 191927.11349804932 6577086.991906831 36.26, 191927.09767612693 6577087.043424736 36.26, 191926.8320036127 6577087.959123328 36.26, 191926.53971057746 6577088.917191309 36.25, 191926.437280607 6577089.257044458 36.25, 191926.3981383235 6577089.390825997 36.25, 191926.3823164021 6577089.442343901 36.25, 191926.27238799265 6577089.812942784 36.25, 191926.25739111286 6577089.874434253 36.24, 191926.05920457543 6577090.513421253 36.24, 191925.96509809012 6577090.832502239 36.24, 191925.90263544733 6577091.048547415 36.24, 191925.88681352633 6577091.100065319 36.24, 191925.68277863803 6577091.789745189 36.24, 191925.66695671732 6577091.841263091 36.24, 191925.3904856284 6577092.747813185 36.230000000000004, 191925.10816618905 6577093.705056143 36.230000000000004, 191924.96741899254 6577094.188664407 36.22, 191924.95077203115 6577094.230208746 36.22, 191924.8566655541 6577094.549289735 36.22, 191924.84001859266 6577094.590834074 36.22, 191924.81587319227 6577094.663124148 36.22, 191924.5418772467 6577095.599594949 36.22, 191924.53437880776 6577095.630340681 36.22, 191924.4619426079 6577095.847210902 36.22, 191924.456094253 6577095.897903767 36.22, 191924.24208582361 6577096.588408693 36.21, 191924.2354124271 6577096.629127992 36.21, 191923.9597664103 6577097.54565167 36.21, 191923.66747343907 6577098.503719691 36.2, 191923.52590121672 6577098.977354399 36.2, 191923.51007929875 6577099.0288723055 36.2, 191923.38515403832 6577099.460962674 36.2, 191923.3535102022 6577099.563998484 36.2, 191923.25857869512 6577099.873105919 36.2, 191923.09286107996 6577100.419030705 36.19, 191922.81054169242 6577101.376273698 36.19, 191922.79471977497 6577101.427791604 36.19, 191922.51824874664 6577102.334341738 36.18, 191922.48075655987 6577102.488070413 36.18, 191922.23592937156 6577103.291584738 36.18, 191922.09518220794 6577103.7751930235 36.18, 191922.078535249 6577103.816737363 36.18, 191921.9536100031 6577104.2488277415 36.17, 191921.66214211943 6577105.216869362 36.17, 191921.37982276385 6577106.174112374 36.160000000000004, 191921.36317580543 6577106.215656714 36.160000000000004, 191921.08752985043 6577107.132180436 36.160000000000004, 191920.90599034767 6577107.7296231445 36.160000000000004, 191920.8052105076 6577108.089423457 36.160000000000004, 191920.78856354987 6577108.130967797 36.15, 191920.65366475272 6577108.563883226 36.15, 191920.6478164023 6577108.61457609 36.15, 191920.55955830758 6577108.882964237 36.15, 191920.51291760674 6577109.047491525 36.15, 191920.2305982766 6577110.004734553 36.15, 191920.08820104977 6577110.468395724 36.14, 191919.93830538902 6577110.962802631 36.14, 191919.93245703948 6577111.013495496 36.14, 191919.65598607174 6577111.920045668 36.14, 191919.37366676104 6577112.87728871 36.13, 191919.22294606542 6577113.361722062 36.13, 191919.2162726738 6577113.402441365 36.13, 191919.08137389255 6577113.835356804 36.13, 191918.79905459465 6577114.792599854 36.12, 191918.51756034687 6577115.759816477 36.12, 191918.50091339118 6577115.801360817 36.12, 191918.22526749736 6577116.717884578 36.11, 191917.94294821873 6577117.67512764 36.11, 191917.80137606023 6577118.148762392 36.11, 191917.7855541489 6577118.200280302 36.11, 191917.66062894656 6577118.632370708 36.1, 191917.64398199203 6577118.673915054 36.1, 191917.43327384687 6577119.404314312 36.1, 191917.37830968114 6577119.58961378 36.1, 191917.3141969946 6577119.7857118575 36.1, 191917.0860168574 6577120.547681902 36.09, 191917.08016851143 6577120.598374767 36.09, 191916.8036976045 6577121.504924981 36.09, 191916.5222034022 6577122.472141632 36.08, 191916.3806312593 6577122.945776393 36.08, 191916.36480934994 6577122.997294306 36.08, 191916.26402954845 6577123.357094637 36.08, 191916.23988416238 6577123.4293847205 36.08, 191915.95756492892 6577124.386627817 36.08, 191915.67524570163 6577125.34387091 36.07, 191915.65942379297 6577125.395388821 36.07, 191915.39292648097 6577126.30111401 36.07, 191915.10145874665 6577127.269155726 36.06, 191914.95988661976 6577127.742790499 36.06, 191914.9540382765 6577127.793483364 36.06, 191914.88325221383 6577128.030300751 36.06, 191914.81913953897 6577128.226398837 36.06, 191914.70171279868 6577128.627743525 36.050000000000004, 191914.5368203377 6577129.183641951 36.050000000000004, 191914.53014695074 6577129.224361253 36.050000000000004, 191914.25450114283 6577130.140885069 36.050000000000004, 191914.24865280074 6577130.191577937 36.050000000000004, 191914.2236823734 6577130.253894458 36.050000000000004, 191913.97218195448 6577131.09812819 36.04, 191913.93303971027 6577131.231909756 36.04, 191913.6906878174 6577132.065344882 36.04, 191913.54911570635 6577132.5389796635 36.04, 191913.5432673649 6577132.589672532 36.03, 191913.51829693874 6577132.651989055 36.03, 191913.51079850813 6577132.682734794 36.03, 191913.40836864169 6577133.022588013 36.03, 191913.12604947266 6577133.979831146 36.03, 191912.84373030998 6577134.937074287 36.02, 191912.83788196952 6577134.987767154 36.02, 191912.56223619863 6577135.904290995 36.02, 191912.27991704893 6577136.86153414 36.01, 191912.13916999922 6577137.3451425 36.01, 191912.1324966146 6577137.385861803 36.01, 191911.9975979057 6577137.818777293 36.01, 191911.96677914262 6577137.931786685 36.01, 191911.71610381413 6577138.785994012 36, 191911.5528614832 6577139.361839594 36, 191911.4337846837 6577139.743237173 36, 191911.42711129982 6577139.783956477 36, 191911.15146556008 6577140.700480338 36, 191910.86997148796 6577141.667697071 35.99, 191910.72839940886 6577142.141331874 35.99, 191910.72255107097 6577142.19202474 35.99, 191910.61179775326 6577142.552650151 35.99, 191910.58765237685 6577142.624940243 35.99, 191910.30533327238 6577143.582183419 35.980000000000004, 191910.0230141742 6577144.5394266 35.980000000000004, 191910.0246642654 6577144.559373729 35.980000000000004, 191910.0171658374 6577144.590119468 35.980000000000004, 191909.74152012815 6577145.506643348 35.97, 191909.45920104295 6577146.4638865385 35.97, 191909.31845402572 6577146.947494918 35.96, 191909.31178064406 6577146.988214223 35.96, 191909.2793117963 6577147.081276489 35.96, 191909.17688196414 6577147.4211297305 35.96, 191909.0369599961 6577147.9147116775 35.96, 191908.89538793784 6577148.388346494 35.96, 191908.6130688719 6577149.345589695 35.95, 191908.60639549105 6577149.3863090025 35.95, 191908.5664282178 6577149.510117011 35.95, 191908.3307498127 6577150.3028329015 35.95, 191908.26828725997 6577150.518878135 35.95, 191908.04925580585 6577151.270049677 35.94, 191907.9176573234 6577151.742859452 35.94, 191907.90183542465 6577151.794377373 35.94, 191907.82272592897 6577152.051966961 35.94, 191907.76693675917 6577152.227292889 35.94, 191907.48461771902 6577153.184536108 35.93, 191907.48626781168 6577153.204483237 35.93, 191907.2022986855 6577154.141779331 35.93, 191907.20394877827 6577154.16172646 35.93, 191907.19645035238 6577154.192472203 35.93, 191906.93077826977 6577155.108171074 35.92, 191906.64845924912 6577156.065414307 35.92, 191906.50523712486 6577156.519102011 35.92, 191906.5077122643 6577156.549022706 35.92, 191906.49106532044 6577156.59056706 35.92, 191906.36614023475 6577157.02265754 35.92, 191906.08464627364 6577157.989874343 35.910000000000004, 191906.06799933012 6577158.031418699 35.910000000000004, 191905.8023272723 6577158.947117588 35.910000000000004, 191905.78568032902 6577158.98866194 35.910000000000004, 191905.52000827744 6577159.904360835 35.9, 191905.23851433594 6577160.871577652 35.9, 191905.22186739318 6577160.913122008 35.9, 191905.09694232052 6577161.345212496 35.89, 191905.08112042502 6577161.3967304155 35.89, 191904.95619535388 6577161.8288209075 35.89, 191904.70387007453 6577162.663081195 35.89, 191904.67387637834 6577162.786064169 35.89, 191904.5622980654 6577163.136716045 35.89, 191904.4939872026 6577163.403454164 35.88)</t>
  </si>
  <si>
    <t>POLYGON Z ((191904.4939872026 6577163.403454164 35.88, 191907.174992054 6577158.060346346 35.910000000000004, 191907.8383946609 6577156.368651511 36.01, 191908.77955302963 6577154.392892611 36.14, 191912.9059073883 6577144.792993274 36.22, 191921.8116769353 6577114.914933794 36.35, 191928.0417518295 6577093.964472271 36.46, 191933.6996922302 6577074.959244194 36.53, 191939.7690054305 6577054.614552546 36.65, 191942.13551819843 6577040.249791447 36.63, 191942.5152970954 6577037.557294978 36.550000000000004, 191942.95860389905 6577035.632762882 36.5, 191942.82630549953 6577034.519023961 36.51, 191942.61312181212 6577035.219502254 36.51, 191942.59729987086 6577035.271020142 36.51, 191942.32165346108 6577036.187543561 36.5, 191942.18008103274 6577036.661178134 36.5, 191942.16425909207 6577036.712696027 36.5, 191942.03933364287 6577037.144786272 36.5, 191941.74704026745 6577038.102854021 36.49, 191941.4647204621 6577039.060096744 36.49, 191941.4480734854 6577039.101641074 36.49, 191941.25903524767 6577039.7298293235 36.480000000000004, 191941.17242709984 6577040.018164505 36.480000000000004, 191941.1582552353 6577040.0896295225 36.480000000000004, 191940.89010730712 6577040.9754072325 36.480000000000004, 191940.74935993215 6577041.4590153815 36.47, 191940.73271295568 6577041.500559708 36.47, 191940.59781395766 6577041.933475001 36.47, 191940.59196558234 6577041.984167857 36.47, 191940.3154941778 6577042.890717739 36.47, 191940.03317440447 6577043.847960481 36.46, 191940.01735246653 6577043.899478372 36.46, 191939.74170611188 6577044.816001824 36.46, 191939.45938635123 6577045.773244573 36.45, 191939.30784039135 6577046.247704207 36.45, 191939.30199201743 6577046.2983970605 36.45, 191939.1670930339 6577046.731312364 36.45, 191938.8847732863 6577047.688555122 36.44, 191938.59247998154 6577048.64662292 36.43, 191938.58580657066 6577048.687342214 36.43, 191938.4117652733 6577049.254039037 36.43, 191938.3101602469 6577049.603865688 36.43, 191938.2935132727 6577049.645410014 36.43, 191938.01786695502 6577050.561933495 36.43, 191937.8771196123 6577051.045541662 36.42, 191937.86047263857 6577051.087085991 36.42, 191937.73554723308 6577051.51917627 36.42, 191937.4440789923 6577052.48721765 36.42, 191937.1617592834 6577053.444460434 36.410000000000004, 191937.14511231042 6577053.486004764 36.410000000000004, 191936.8694660173 6577054.402528257 36.410000000000004, 191936.58714632102 6577055.35977105 36.410000000000004, 191936.4455739559 6577055.833405662 36.4, 191936.42975202238 6577055.884923558 36.4, 191936.30317655392 6577056.297066717 36.4, 191936.2948530676 6577056.31783888 36.4, 191936.01253338443 6577057.275081681 36.4, 191935.7202401437 6577058.233149523 36.39, 191935.71439177444 6577058.28384238 36.39, 191935.43792047317 6577059.190392332 36.39, 191935.14562724537 6577060.14846018 36.39, 191935.06734262413 6577060.4160232255 36.39, 191935.00487993524 6577060.632068368 36.38, 191934.98823296442 6577060.673612703 36.38, 191934.86413262686 6577061.115676562 36.38, 191934.67591952527 6577061.753838442 36.38, 191934.57183941198 6577062.073744421 36.38, 191934.2895197674 6577063.030987247 36.37, 191934.27287279675 6577063.072531577 36.37, 191934.00720012846 6577063.988230071 36.37, 191933.71490693308 6577064.946297946 36.37, 191933.66909122077 6577065.120798764 36.37, 191933.5733345999 6577065.419932582 36.36, 191933.55751266977 6577065.471450479 36.36, 191933.4325873076 6577065.903540783 36.36, 191933.14029412472 6577066.861608663 36.36, 191932.85797451186 6577067.818851509 36.35, 191932.84215258283 6577067.870369406 36.35, 191932.5656813421 6577068.7769193975 36.35, 191932.44075598987 6577069.209009709 36.35, 191932.28418678197 6577069.744135817 36.35, 191932.18010668637 6577070.064041806 36.35, 191932.1326409008 6577070.218595501 36.34, 191932.126792536 6577070.269288362 36.34, 191931.9918936249 6577070.702203715 36.34, 191931.70957403787 6577071.659446576 36.34, 191931.4172808936 6577072.617514484 36.33, 191931.40063392604 6577072.659058819 36.33, 191931.22906784347 6577073.255676396 36.33, 191931.18077702133 6577073.40025653 36.33, 191931.1349613192 6577073.5747573525 36.33, 191930.94674827356 6577074.21291927 36.33, 191930.84266818798 6577074.53282527 36.33, 191930.70192092663 6577075.01643349 36.32, 191930.6852739596 6577075.0579778245 36.32, 191930.58449403645 6577075.41777808 36.32, 191930.5603486267 6577075.490068149 36.32, 191930.2680555079 6577076.448136071 36.32, 191929.98573595932 6577077.405378957 36.31, 191929.96991403343 6577077.456896858 36.31, 191929.79752293066 6577078.043540885 36.31, 191929.6942678938 6577078.373420452 36.31, 191929.5993363408 6577078.682527854 36.31, 191929.50522982905 6577079.001608821 36.300000000000004, 191929.4577640532 6577079.156162521 36.300000000000004, 191929.41194835835 6577079.3306633495 36.300000000000004, 191929.27037607273 6577079.804298017 36.300000000000004, 191929.25455414777 6577079.85581592 36.300000000000004, 191929.11965526541 6577080.288731292 36.300000000000004, 191928.99472994835 6577080.720821624 36.29, 191928.83733574272 6577081.245974196 36.29, 191928.55501622643 6577082.203217104 36.29, 191928.53836926149 6577082.244761442 36.29, 191928.40512046777 6577082.697623946 36.28, 191928.26272315264 6577083.1612850595 36.28, 191928.20775893982 6577083.346584495 36.28, 191927.9804036491 6577084.118527974 36.28, 191927.82968285616 6577084.602961255 36.27, 191927.8230094561 6577084.643680554 36.27, 191927.69643407036 6577085.0558237685 36.27, 191927.68811058818 6577085.076595936 36.27, 191927.40579109755 6577086.033838862 36.27, 191927.11349804932 6577086.991906831 36.26, 191927.09767612693 6577087.043424736 36.26, 191926.8320036127 6577087.959123328 36.26, 191926.53971057746 6577088.917191309 36.25, 191926.437280607 6577089.257044458 36.25, 191926.3981383235 6577089.390825997 36.25, 191926.3823164021 6577089.442343901 36.25, 191926.27238799265 6577089.812942784 36.25, 191926.25739111286 6577089.874434253 36.24, 191926.05920457543 6577090.513421253 36.24, 191925.96509809012 6577090.832502239 36.24, 191925.90263544733 6577091.048547415 36.24, 191925.88681352633 6577091.100065319 36.24, 191925.68277863803 6577091.789745189 36.24, 191925.66695671732 6577091.841263091 36.24, 191925.3904856284 6577092.747813185 36.230000000000004, 191925.10816618905 6577093.705056143 36.230000000000004, 191924.96741899254 6577094.188664407 36.22, 191924.95077203115 6577094.230208746 36.22, 191924.8566655541 6577094.549289735 36.22, 191924.84001859266 6577094.590834074 36.22, 191924.81587319227 6577094.663124148 36.22, 191924.5418772467 6577095.599594949 36.22, 191924.53437880776 6577095.630340681 36.22, 191924.4619426079 6577095.847210902 36.22, 191924.456094253 6577095.897903767 36.22, 191924.24208582361 6577096.588408693 36.21, 191924.2354124271 6577096.629127992 36.21, 191923.9597664103 6577097.54565167 36.21, 191923.66747343907 6577098.503719691 36.2, 191923.52590121672 6577098.977354399 36.2, 191923.51007929875 6577099.0288723055 36.2, 191923.38515403832 6577099.460962674 36.2, 191923.3535102022 6577099.563998484 36.2, 191923.25857869512 6577099.873105919 36.2, 191923.09286107996 6577100.419030705 36.19, 191922.81054169242 6577101.376273698 36.19, 191922.79471977497 6577101.427791604 36.19, 191922.51824874664 6577102.334341738 36.18, 191922.48075655987 6577102.488070413 36.18, 191922.23592937156 6577103.291584738 36.18, 191922.09518220794 6577103.7751930235 36.18, 191922.078535249 6577103.816737363 36.18, 191921.9536100031 6577104.2488277415 36.17, 191921.66214211943 6577105.216869362 36.17, 191921.37982276385 6577106.174112374 36.160000000000004, 191921.36317580543 6577106.215656714 36.160000000000004, 191921.08752985043 6577107.132180436 36.160000000000004, 191920.90599034767 6577107.7296231445 36.160000000000004, 191920.8052105076 6577108.089423457 36.160000000000004, 191920.78856354987 6577108.130967797 36.15, 191920.65366475272 6577108.563883226 36.15, 191920.6478164023 6577108.61457609 36.15, 191920.55955830758 6577108.882964237 36.15, 191920.51291760674 6577109.047491525 36.15, 191920.2305982766 6577110.004734553 36.15, 191920.08820104977 6577110.468395724 36.14, 191919.93830538902 6577110.962802631 36.14, 191919.93245703948 6577111.013495496 36.14, 191919.65598607174 6577111.920045668 36.14, 191919.37366676104 6577112.87728871 36.13, 191919.22294606542 6577113.361722062 36.13, 191919.2162726738 6577113.402441365 36.13, 191919.08137389255 6577113.835356804 36.13, 191918.79905459465 6577114.792599854 36.12, 191918.51756034687 6577115.759816477 36.12, 191918.50091339118 6577115.801360817 36.12, 191918.22526749736 6577116.717884578 36.11, 191917.94294821873 6577117.67512764 36.11, 191917.80137606023 6577118.148762392 36.11, 191917.7855541489 6577118.200280302 36.11, 191917.66062894656 6577118.632370708 36.1, 191917.64398199203 6577118.673915054 36.1, 191917.43327384687 6577119.404314312 36.1, 191917.37830968114 6577119.58961378 36.1, 191917.3141969946 6577119.7857118575 36.1, 191917.0860168574 6577120.547681902 36.09, 191917.08016851143 6577120.598374767 36.09, 191916.8036976045 6577121.504924981 36.09, 191916.5222034022 6577122.472141632 36.08, 191916.3806312593 6577122.945776393 36.08, 191916.36480934994 6577122.997294306 36.08, 191916.26402954845 6577123.357094637 36.08, 191916.23988416238 6577123.4293847205 36.08, 191915.95756492892 6577124.386627817 36.08, 191915.67524570163 6577125.34387091 36.07, 191915.65942379297 6577125.395388821 36.07, 191915.39292648097 6577126.30111401 36.07, 191915.10145874665 6577127.269155726 36.06, 191914.95988661976 6577127.742790499 36.06, 191914.9540382765 6577127.793483364 36.06, 191914.88325221383 6577128.030300751 36.06, 191914.81913953897 6577128.226398837 36.06, 191914.70171279868 6577128.627743525 36.050000000000004, 191914.5368203377 6577129.183641951 36.050000000000004, 191914.53014695074 6577129.224361253 36.050000000000004, 191914.25450114283 6577130.140885069 36.050000000000004, 191914.24865280074 6577130.191577937 36.050000000000004, 191914.2236823734 6577130.253894458 36.050000000000004, 191913.97218195448 6577131.09812819 36.04, 191913.93303971027 6577131.231909756 36.04, 191913.6906878174 6577132.065344882 36.04, 191913.54911570635 6577132.5389796635 36.04, 191913.5432673649 6577132.589672532 36.03, 191913.51829693874 6577132.651989055 36.03, 191913.51079850813 6577132.682734794 36.03, 191913.40836864169 6577133.022588013 36.03, 191913.12604947266 6577133.979831146 36.03, 191912.84373030998 6577134.937074287 36.02, 191912.83788196952 6577134.987767154 36.02, 191912.56223619863 6577135.904290995 36.02, 191912.27991704893 6577136.86153414 36.01, 191912.13916999922 6577137.3451425 36.01, 191912.1324966146 6577137.385861803 36.01, 191911.9975979057 6577137.818777293 36.01, 191911.96677914262 6577137.931786685 36.01, 191911.71610381413 6577138.785994012 36, 191911.5528614832 6577139.361839594 36, 191911.4337846837 6577139.743237173 36, 191911.42711129982 6577139.783956477 36, 191911.15146556008 6577140.700480338 36, 191910.86997148796 6577141.667697071 35.99, 191910.72839940886 6577142.141331874 35.99, 191910.72255107097 6577142.19202474 35.99, 191910.61179775326 6577142.552650151 35.99, 191910.58765237685 6577142.624940243 35.99, 191910.30533327238 6577143.582183419 35.980000000000004, 191910.0230141742 6577144.5394266 35.980000000000004, 191910.0246642654 6577144.559373729 35.980000000000004, 191910.0171658374 6577144.590119468 35.980000000000004, 191909.74152012815 6577145.506643348 35.97, 191909.45920104295 6577146.4638865385 35.97, 191909.31845402572 6577146.947494918 35.96, 191909.31178064406 6577146.988214223 35.96, 191909.2793117963 6577147.081276489 35.96, 191909.17688196414 6577147.4211297305 35.96, 191909.0369599961 6577147.9147116775 35.96, 191908.89538793784 6577148.388346494 35.96, 191908.6130688719 6577149.345589695 35.95, 191908.60639549105 6577149.3863090025 35.95, 191908.5664282178 6577149.510117011 35.95, 191908.3307498127 6577150.3028329015 35.95, 191908.26828725997 6577150.518878135 35.95, 191908.04925580585 6577151.270049677 35.94, 191907.9176573234 6577151.742859452 35.94, 191907.90183542465 6577151.794377373 35.94, 191907.82272592897 6577152.051966961 35.94, 191907.76693675917 6577152.227292889 35.94, 191907.48461771902 6577153.184536108 35.93, 191907.48626781168 6577153.204483237 35.93, 191907.2022986855 6577154.141779331 35.93, 191907.20394877827 6577154.16172646 35.93, 191907.19645035238 6577154.192472203 35.93, 191906.93077826977 6577155.108171074 35.92, 191906.64845924912 6577156.065414307 35.92, 191906.50523712486 6577156.519102011 35.92, 191906.5077122643 6577156.549022706 35.92, 191906.49106532044 6577156.59056706 35.92, 191906.36614023475 6577157.02265754 35.92, 191906.08464627364 6577157.989874343 35.910000000000004, 191906.06799933012 6577158.031418699 35.910000000000004, 191905.8023272723 6577158.947117588 35.910000000000004, 191905.78568032902 6577158.98866194 35.910000000000004, 191905.52000827744 6577159.904360835 35.9, 191905.23851433594 6577160.871577652 35.9, 191905.22186739318 6577160.913122008 35.9, 191905.09694232052 6577161.345212496 35.89, 191905.08112042502 6577161.3967304155 35.89, 191904.95619535388 6577161.8288209075 35.89, 191904.70387007453 6577162.663081195 35.89, 191904.67387637834 6577162.786064169 35.89, 191904.5622980654 6577163.136716045 35.89, 191904.4939872026 6577163.403454164 35.88))</t>
  </si>
  <si>
    <t>['FV3282 S1D1 m2131-2196']</t>
  </si>
  <si>
    <t>LINESTRING Z (191101.59169551445 6578289.411694421 44.52, 191101.94601087034 6578288.960621995 44.54, 191101.96348269453 6578288.929050859 44.54, 191102.7270042959 6578287.962113459 44.58, 191103.9621212405 6578286.383772565 44.64, 191104.27069419314 6578285.986693941 44.65, 191104.57926714676 6578285.589615322 44.67, 191104.87036827573 6578285.224107837 44.68, 191104.88866523828 6578285.20251032 44.68, 191105.12487547914 6578284.901795381 44.7, 191105.16979274846 6578284.837827977 44.7, 191105.19723819284 6578284.805431704 44.7, 191105.2421554618 6578284.741464296 44.7, 191105.26045242464 6578284.719866781 44.7, 191105.27792424953 6578284.688295648 44.7, 191105.4151514708 6578284.526314282 44.71, 191105.79608713958 6578284.032871989 44.730000000000004, 191105.81438410236 6578284.011274474 44.730000000000004, 191105.84182954679 6578283.978878201 44.730000000000004, 191105.89589529752 6578283.904112038 44.730000000000004, 191106.04062072473 6578283.71138468 44.74, 191106.05974282563 6578283.69976078 44.74, 191106.41405818926 6578283.248688385 44.76, 191106.44067849556 6578283.206318495 44.76, 191106.49556938454 6578283.141525951 44.76, 191106.6045260245 6578283.001967246 44.77, 191106.73095448926 6578282.830837401 44.78, 191106.80414234113 6578282.744447343 44.78, 191106.84073626692 6578282.701252308 44.78, 191106.89480201813 6578282.62648615 44.78, 191106.91309898096 6578282.604888633 44.78, 191107.28488617117 6578282.12224511 44.800000000000004, 191107.34892554156 6578282.046653808 44.81, 191107.41213977436 6578281.961088889 44.81, 191108.15653929458 6578281.005775466 44.85, 191108.27546955476 6578280.865391626 44.85, 191108.39357467717 6578280.715034166 44.86, 191108.46593739156 6578280.61867049 44.86, 191108.48340921715 6578280.587099357 44.86, 191108.50253131788 6578280.575475459 44.86, 191108.8926154739 6578280.071234431 44.88, 191108.95582970715 6578279.985669516 44.89, 191108.97412667028 6578279.964072001 44.89, 191109.30099659407 6578279.545395893 44.9, 191109.53720683983 6578279.244680976 44.92, 191109.6095695552 6578279.148317305 44.92, 191109.6286916557 6578279.13669341 44.92, 191109.673608926 6578279.072726006 44.92, 191109.7102028525 6578279.029530979 44.92, 191109.7376482971 6578278.997134707 44.92, 191109.95556158037 6578278.718017307 44.94, 191110.0187758141 6578278.632452391 44.94, 191110.09196366678 6578278.546062335 44.94, 191110.12773245567 6578278.49289369 44.94, 191110.19177182694 6578278.417302392 44.95, 191110.33649725758 6578278.224575046 44.95, 191110.35479422094 6578278.202977534 44.96, 191110.37226604653 6578278.1714063985 44.96, 191110.39971149137 6578278.139010129 44.96, 191110.43713055528 6578278.105788722 44.96, 191110.57270750467 6578277.923860136 44.97, 191110.68083900906 6578277.774327815 44.97, 191110.88960381172 6578277.506009175 44.980000000000004, 191110.96196652733 6578277.409645502 44.99, 191111.03515438066 6578277.323255452 44.99, 191111.12498892192 6578277.195320645 44.99, 191111.17905467428 6578277.120554487 45, 191111.34207706933 6578276.906229634 45, 191111.39614282164 6578276.831463474 45.01, 191111.5034491892 6578276.671957537 45.01, 191111.92765186616 6578276.0946006505 45.03, 191112.18883214815 6578275.731568621 45.050000000000004, 191112.2337494195 6578275.66760122 45.050000000000004, 191112.25204638275 6578275.646003708 45.050000000000004, 191112.26951820875 6578275.614432575 45.050000000000004, 191112.287815172 6578275.592835061 45.050000000000004, 191112.34188092494 6578275.518068904 45.06, 191112.51322666544 6578275.282971677 45.07, 191112.69372088765 6578275.037075693 45.08, 191113.2160814553 6578274.311011642 45.1, 191113.39657567837 6578274.065115665 45.11, 191113.4240211235 6578274.032719393 45.12, 191114.045364719 6578273.167921796 45.15, 191114.63176466414 6578272.3662664695 45.18, 191114.86549950571 6578272.035630718 45.19, 191114.95533405 6578271.907695924 45.2, 191115.20819099253 6578271.565436281 45.21, 191115.47851976252 6578271.191605513 45.230000000000004, 191116.1098369857 6578270.325982807 45.26, 191116.25373728515 6578270.123281862 45.27, 191116.33442334802 6578270.006145823 45.27, 191116.44255485688 6578269.856613518 45.28, 191116.839312102 6578269.311652941 45.300000000000004, 191117.0464266386 6578269.023387089 45.31, 191117.31758054876 6578268.659529951 45.33, 191117.4606557124 6578268.446855388 45.33, 191117.80417234224 6578267.986634591 45.35, 191118.76820745214 6578266.65164264 45.410000000000004, 191119.2631225958 6578265.957974921 45.43, 191119.7230940864 6578265.327449463 45.46, 191120.0291916568 6578264.900450083 45.47, 191120.73287161975 6578263.93846378 45.51, 191121.24690887076 6578263.233172188 45.54, 191121.39913252118 6578263.0096988855 45.550000000000004, 191121.46317189618 6578262.9341076035 45.550000000000004, 191122.1926470396 6578261.919777817 45.59, 191122.68838733196 6578261.236083755 45.62, 191122.89632701315 6578260.957791547 45.63, 191123.0668476298 6578260.71272074 45.64, 191123.47275337536 6578260.156961465 45.660000000000004, 191123.6532476105 6578259.91106552 45.67, 191124.73456275754 6578258.415742655 45.730000000000004, 191125.11302306043 6578257.892379654 45.75, 191125.15794033586 6578257.8284122655 45.76, 191125.40082367777 6578257.486977816 45.77, 191125.6353836737 6578257.16631574 45.78, 191126.32076669886 6578256.225927027 45.82, 191126.43722156156 6578256.055622373 45.83, 191126.5727985251 6578255.873693829 45.84, 191126.79821004043 6578255.563830513 45.85, 191126.97787914454 6578255.3079609675 45.86, 191127.67990886985 6578254.326027531 45.9, 191127.7240010103 6578254.252086526 45.9, 191128.0118016331 6578253.846684703 45.92, 191128.09248770354 6578253.729548686 45.92, 191128.12825649756 6578253.676380054 45.92, 191128.1648504273 6578253.633185039 45.92, 191128.58657774515 6578253.0259074485 45.95, 191128.59490109212 6578253.005135074 45.95, 191128.61319805693 6578252.983537571 45.95, 191128.63066988642 6578252.951966446 45.95, 191128.747949887 6578252.791635416 45.96, 191128.90017354628 6578252.568162136 45.97, 191129.01662841177 6578252.397857488 45.97, 191129.08816600026 6578252.291520226 45.980000000000004, 191129.159703589 6578252.185182965 45.980000000000004, 191129.3476960435 6578251.908541056 45.99, 191129.42838211491 6578251.79140504 46, 191129.6696151939 6578251.43002338 46.01, 191129.6879121589 6578251.408425873 46.01, 191129.75030126562 6578251.312887367 46.01, 191129.77692157752 6578251.270517488 46.02, 191129.79439340724 6578251.238946363 46.02, 191129.8484591666 6578251.164180223 46.02, 191129.90252492635 6578251.089414089 46.02, 191129.91084827343 6578251.068641716 46.02, 191129.98238586274 6578250.962304457 46.03, 191130.12546104123 6578250.749629933 46.04, 191130.241915908 6578250.579325291 46.04, 191130.29515653237 6578250.494585535 46.04, 191130.61625055026 6578250.006094246 46.06, 191130.72438207018 6578249.856561976 46.07, 191130.80341787217 6578249.719478729 46.07, 191131.86320756702 6578248.085350513 46.14, 191131.88150453212 6578248.063753007 46.14, 191132.15685614216 6578247.629255493 46.15, 191132.227568598 6578247.512944619 46.160000000000004, 191132.56448418257 6578246.972934986 46.18, 191133.04364981654 6578246.210277227 46.2, 191133.24746383866 6578245.882116978 46.22, 191133.31900143024 6578245.775779723 46.22, 191133.47789817437 6578245.511586854 46.230000000000004, 191133.5036933528 6578245.459243364 46.230000000000004, 191134.25573520444 6578244.2321672635 46.27, 191134.4678725776 6578243.88323465 46.29, 191134.62511905475 6578243.599094551 46.300000000000004, 191134.74157392664 6578243.428789917 46.300000000000004, 191134.76736910566 6578243.376446428 46.31, 191136.0776124283 6578241.2496293895 46.38, 191136.17494520184 6578241.09094865 46.39, 191136.22068761627 6578241.036954893 46.39, 191136.34464070387 6578240.835904275 46.4, 191136.55760321714 6578240.496945291 46.410000000000004, 191136.575900183 6578240.475347786 46.410000000000004, 191136.60169536265 6578240.423004297 46.410000000000004, 191136.73644720303 6578240.231102168 46.42, 191137.03009579453 6578239.775007181 46.44, 191137.1997912983 6578239.519962814 46.45, 191137.26135527546 6578239.414450698 46.45, 191137.3245695217 6578239.328885819 46.46, 191137.4310507796 6578239.15940633 46.46, 191137.55665413762 6578238.978302952 46.47, 191137.73467299063 6578238.702486215 46.480000000000004, 191137.7529699565 6578238.680888712 46.480000000000004, 191138.16389856173 6578238.06446273 46.5, 191138.262881606 6578237.925729231 46.51, 191138.34274255007 6578237.798619614 46.51, 191138.47749439225 6578237.606717488 46.52, 191138.53988350462 6578237.511178994 46.53, 191138.8276841559 6578237.105777242 46.54, 191138.93499054963 6578236.946271374 46.550000000000004, 191138.7124144474 6578236.683512775 46.5, 191136.7454185898 6578239.125752912 46.39, 191134.28942748002 6578242.090458895 46.27, 191131.74539610074 6578244.962029894 46.18, 191129.10080342123 6578247.83187874 46.07, 191126.73561604542 6578250.437606806 45.980000000000004, 191126.24475453084 6578251.30165107 45.95, 191122.02267442085 6578257.073568395 45.71, 191118.35452617297 6578262.136893952 45.54, 191114.4027750697 6578267.534981215 45.32, 191113.74243407737 6578268.292544386 45.28, 191111.31112533278 6578271.676968588 45.14, 191108.3765061801 6578275.8963416675 44.94, 191107.27090226393 6578277.70497276 44.87, 191105.79831805377 6578280.297106268 44.800000000000004, 191104.4795358259 6578282.806222286 44.67, 191101.59169551445 6578289.411694421 44.52)</t>
  </si>
  <si>
    <t>POLYGON Z ((191101.59169551445 6578289.411694421 44.52, 191101.94601087034 6578288.960621995 44.54, 191101.96348269453 6578288.929050859 44.54, 191102.7270042959 6578287.962113459 44.58, 191103.9621212405 6578286.383772565 44.64, 191104.27069419314 6578285.986693941 44.65, 191104.57926714676 6578285.589615322 44.67, 191104.87036827573 6578285.224107837 44.68, 191104.88866523828 6578285.20251032 44.68, 191105.12487547914 6578284.901795381 44.7, 191105.16979274846 6578284.837827977 44.7, 191105.19723819284 6578284.805431704 44.7, 191105.2421554618 6578284.741464296 44.7, 191105.26045242464 6578284.719866781 44.7, 191105.27792424953 6578284.688295648 44.7, 191105.4151514708 6578284.526314282 44.71, 191105.79608713958 6578284.032871989 44.730000000000004, 191105.81438410236 6578284.011274474 44.730000000000004, 191105.84182954679 6578283.978878201 44.730000000000004, 191105.89589529752 6578283.904112038 44.730000000000004, 191106.04062072473 6578283.71138468 44.74, 191106.05974282563 6578283.69976078 44.74, 191106.41405818926 6578283.248688385 44.76, 191106.44067849556 6578283.206318495 44.76, 191106.49556938454 6578283.141525951 44.76, 191106.6045260245 6578283.001967246 44.77, 191106.73095448926 6578282.830837401 44.78, 191106.80414234113 6578282.744447343 44.78, 191106.84073626692 6578282.701252308 44.78, 191106.89480201813 6578282.62648615 44.78, 191106.91309898096 6578282.604888633 44.78, 191107.28488617117 6578282.12224511 44.800000000000004, 191107.34892554156 6578282.046653808 44.81, 191107.41213977436 6578281.961088889 44.81, 191108.15653929458 6578281.005775466 44.85, 191108.27546955476 6578280.865391626 44.85, 191108.39357467717 6578280.715034166 44.86, 191108.46593739156 6578280.61867049 44.86, 191108.48340921715 6578280.587099357 44.86, 191108.50253131788 6578280.575475459 44.86, 191108.8926154739 6578280.071234431 44.88, 191108.95582970715 6578279.985669516 44.89, 191108.97412667028 6578279.964072001 44.89, 191109.30099659407 6578279.545395893 44.9, 191109.53720683983 6578279.244680976 44.92, 191109.6095695552 6578279.148317305 44.92, 191109.6286916557 6578279.13669341 44.92, 191109.673608926 6578279.072726006 44.92, 191109.7102028525 6578279.029530979 44.92, 191109.7376482971 6578278.997134707 44.92, 191109.95556158037 6578278.718017307 44.94, 191110.0187758141 6578278.632452391 44.94, 191110.09196366678 6578278.546062335 44.94, 191110.12773245567 6578278.49289369 44.94, 191110.19177182694 6578278.417302392 44.95, 191110.33649725758 6578278.224575046 44.95, 191110.35479422094 6578278.202977534 44.96, 191110.37226604653 6578278.1714063985 44.96, 191110.39971149137 6578278.139010129 44.96, 191110.43713055528 6578278.105788722 44.96, 191110.57270750467 6578277.923860136 44.97, 191110.68083900906 6578277.774327815 44.97, 191110.88960381172 6578277.506009175 44.980000000000004, 191110.96196652733 6578277.409645502 44.99, 191111.03515438066 6578277.323255452 44.99, 191111.12498892192 6578277.195320645 44.99, 191111.17905467428 6578277.120554487 45, 191111.34207706933 6578276.906229634 45, 191111.39614282164 6578276.831463474 45.01, 191111.5034491892 6578276.671957537 45.01, 191111.92765186616 6578276.0946006505 45.03, 191112.18883214815 6578275.731568621 45.050000000000004, 191112.2337494195 6578275.66760122 45.050000000000004, 191112.25204638275 6578275.646003708 45.050000000000004, 191112.26951820875 6578275.614432575 45.050000000000004, 191112.287815172 6578275.592835061 45.050000000000004, 191112.34188092494 6578275.518068904 45.06, 191112.51322666544 6578275.282971677 45.07, 191112.69372088765 6578275.037075693 45.08, 191113.2160814553 6578274.311011642 45.1, 191113.39657567837 6578274.065115665 45.11, 191113.4240211235 6578274.032719393 45.12, 191114.045364719 6578273.167921796 45.15, 191114.63176466414 6578272.3662664695 45.18, 191114.86549950571 6578272.035630718 45.19, 191114.95533405 6578271.907695924 45.2, 191115.20819099253 6578271.565436281 45.21, 191115.47851976252 6578271.191605513 45.230000000000004, 191116.1098369857 6578270.325982807 45.26, 191116.25373728515 6578270.123281862 45.27, 191116.33442334802 6578270.006145823 45.27, 191116.44255485688 6578269.856613518 45.28, 191116.839312102 6578269.311652941 45.300000000000004, 191117.0464266386 6578269.023387089 45.31, 191117.31758054876 6578268.659529951 45.33, 191117.4606557124 6578268.446855388 45.33, 191117.80417234224 6578267.986634591 45.35, 191118.76820745214 6578266.65164264 45.410000000000004, 191119.2631225958 6578265.957974921 45.43, 191119.7230940864 6578265.327449463 45.46, 191120.0291916568 6578264.900450083 45.47, 191120.73287161975 6578263.93846378 45.51, 191121.24690887076 6578263.233172188 45.54, 191121.39913252118 6578263.0096988855 45.550000000000004, 191121.46317189618 6578262.9341076035 45.550000000000004, 191122.1926470396 6578261.919777817 45.59, 191122.68838733196 6578261.236083755 45.62, 191122.89632701315 6578260.957791547 45.63, 191123.0668476298 6578260.71272074 45.64, 191123.47275337536 6578260.156961465 45.660000000000004, 191123.6532476105 6578259.91106552 45.67, 191124.73456275754 6578258.415742655 45.730000000000004, 191125.11302306043 6578257.892379654 45.75, 191125.15794033586 6578257.8284122655 45.76, 191125.40082367777 6578257.486977816 45.77, 191125.6353836737 6578257.16631574 45.78, 191126.32076669886 6578256.225927027 45.82, 191126.43722156156 6578256.055622373 45.83, 191126.5727985251 6578255.873693829 45.84, 191126.79821004043 6578255.563830513 45.85, 191126.97787914454 6578255.3079609675 45.86, 191127.67990886985 6578254.326027531 45.9, 191127.7240010103 6578254.252086526 45.9, 191128.0118016331 6578253.846684703 45.92, 191128.09248770354 6578253.729548686 45.92, 191128.12825649756 6578253.676380054 45.92, 191128.1648504273 6578253.633185039 45.92, 191128.58657774515 6578253.0259074485 45.95, 191128.59490109212 6578253.005135074 45.95, 191128.61319805693 6578252.983537571 45.95, 191128.63066988642 6578252.951966446 45.95, 191128.747949887 6578252.791635416 45.96, 191128.90017354628 6578252.568162136 45.97, 191129.01662841177 6578252.397857488 45.97, 191129.08816600026 6578252.291520226 45.980000000000004, 191129.159703589 6578252.185182965 45.980000000000004, 191129.3476960435 6578251.908541056 45.99, 191129.42838211491 6578251.79140504 46, 191129.6696151939 6578251.43002338 46.01, 191129.6879121589 6578251.408425873 46.01, 191129.75030126562 6578251.312887367 46.01, 191129.77692157752 6578251.270517488 46.02, 191129.79439340724 6578251.238946363 46.02, 191129.8484591666 6578251.164180223 46.02, 191129.90252492635 6578251.089414089 46.02, 191129.91084827343 6578251.068641716 46.02, 191129.98238586274 6578250.962304457 46.03, 191130.12546104123 6578250.749629933 46.04, 191130.241915908 6578250.579325291 46.04, 191130.29515653237 6578250.494585535 46.04, 191130.61625055026 6578250.006094246 46.06, 191130.72438207018 6578249.856561976 46.07, 191130.80341787217 6578249.719478729 46.07, 191131.86320756702 6578248.085350513 46.14, 191131.88150453212 6578248.063753007 46.14, 191132.15685614216 6578247.629255493 46.15, 191132.227568598 6578247.512944619 46.160000000000004, 191132.56448418257 6578246.972934986 46.18, 191133.04364981654 6578246.210277227 46.2, 191133.24746383866 6578245.882116978 46.22, 191133.31900143024 6578245.775779723 46.22, 191133.47789817437 6578245.511586854 46.230000000000004, 191133.5036933528 6578245.459243364 46.230000000000004, 191134.25573520444 6578244.2321672635 46.27, 191134.4678725776 6578243.88323465 46.29, 191134.62511905475 6578243.599094551 46.300000000000004, 191134.74157392664 6578243.428789917 46.300000000000004, 191134.76736910566 6578243.376446428 46.31, 191136.0776124283 6578241.2496293895 46.38, 191136.17494520184 6578241.09094865 46.39, 191136.22068761627 6578241.036954893 46.39, 191136.34464070387 6578240.835904275 46.4, 191136.55760321714 6578240.496945291 46.410000000000004, 191136.575900183 6578240.475347786 46.410000000000004, 191136.60169536265 6578240.423004297 46.410000000000004, 191136.73644720303 6578240.231102168 46.42, 191137.03009579453 6578239.775007181 46.44, 191137.1997912983 6578239.519962814 46.45, 191137.26135527546 6578239.414450698 46.45, 191137.3245695217 6578239.328885819 46.46, 191137.4310507796 6578239.15940633 46.46, 191137.55665413762 6578238.978302952 46.47, 191137.73467299063 6578238.702486215 46.480000000000004, 191137.7529699565 6578238.680888712 46.480000000000004, 191138.16389856173 6578238.06446273 46.5, 191138.262881606 6578237.925729231 46.51, 191138.34274255007 6578237.798619614 46.51, 191138.47749439225 6578237.606717488 46.52, 191138.53988350462 6578237.511178994 46.53, 191138.8276841559 6578237.105777242 46.54, 191138.93499054963 6578236.946271374 46.550000000000004, 191138.7124144474 6578236.683512775 46.5, 191136.7454185898 6578239.125752912 46.39, 191134.28942748002 6578242.090458895 46.27, 191131.74539610074 6578244.962029894 46.18, 191129.10080342123 6578247.83187874 46.07, 191126.73561604542 6578250.437606806 45.980000000000004, 191126.24475453084 6578251.30165107 45.95, 191122.02267442085 6578257.073568395 45.71, 191118.35452617297 6578262.136893952 45.54, 191114.4027750697 6578267.534981215 45.32, 191113.74243407737 6578268.292544386 45.28, 191111.31112533278 6578271.676968588 45.14, 191108.3765061801 6578275.8963416675 44.94, 191107.27090226393 6578277.70497276 44.87, 191105.79831805377 6578280.297106268 44.800000000000004, 191104.4795358259 6578282.806222286 44.67, 191101.59169551445 6578289.411694421 44.52))</t>
  </si>
  <si>
    <t>['FV3282 S1D1 m1423-1490']</t>
  </si>
  <si>
    <t>LINESTRING Z (191387.37755369174 6577624.896493698 51.27, 191386.82602231216 6577625.755510782 51.28, 191383.53884801938 6577632.996498991 51.22, 191382.44076274446 6577636.109939958 51.230000000000004, 191381.04769438988 6577640.513058356 51.24, 191379.61720702122 6577644.949398003 51.27, 191378.48934629542 6577647.824297791 51.29, 191377.9667656474 6577648.911882802 51.29, 191378.35731377173 6577649.020159908 51.33, 191378.3739606265 6577648.978615324 51.33, 191378.79913540604 6577648.170218634 51.32, 191378.88567003014 6577648.002390116 51.32, 191378.96470631496 6577647.865307498 51.32, 191379.04209242453 6577647.708277672 51.32, 191379.11198019434 6577647.581993743 51.32, 191379.24178213172 6577647.33025097 51.31, 191379.26840258925 6577647.287881299 51.31, 191379.5978942357 6577646.658111825 51.31, 191379.711049319 6577646.447913637 51.31, 191379.72769617446 6577646.406369054 51.31, 191379.81423080055 6577646.238540542 51.31, 191379.86582154105 6577646.1338539915 51.31, 191380.1961382788 6577645.514058126 51.300000000000004, 191380.2909963334 6577645.3254573215 51.300000000000004, 191380.40415141842 6577645.115259136 51.300000000000004, 191380.4207982741 6577645.073714555 51.300000000000004, 191380.65543187287 6577644.632545896 51.29, 191380.89756381314 6577644.160631344 51.29, 191381.03733935795 6577643.908063491 51.29, 191381.0980786151 6577643.792578254 51.29, 191381.11472547083 6577643.7510336675 51.29, 191381.55654713005 6577642.901092432 51.28, 191381.5831675884 6577642.85872276 51.28, 191381.88686387916 6577642.281296586 51.28, 191381.90351073525 6577642.239752002 51.28, 191382.0249892521 6577642.00878153 51.28, 191382.0424611955 6577641.977210549 51.28, 191382.50092971983 6577641.085724741 51.27, 191382.70894286927 6577640.686925767 51.27, 191382.73556332832 6577640.644556096 51.27, 191382.8387448163 6577640.435183007 51.27, 191382.96022333548 6577640.204212539 51.27, 191383.40287009836 6577639.364244927 51.27, 191383.4186918686 6577639.312726745 51.27, 191383.8430416049 6577638.494356517 51.26, 191383.86133863608 6577638.4727591425 51.26, 191383.8779854931 6577638.431214556 51.26, 191384.11179402127 6577637.98007232 51.26, 191384.137589394 6577637.927729049 51.26, 191384.2149755126 6577637.770699236 51.26, 191384.43131209823 6577637.351127982 51.26, 191385.00293574098 6577636.249444036 51.26, 191385.01958259882 6577636.207899453 51.26, 191385.2275957591 6577635.809100496 51.26, 191385.25421621936 6577635.76673083 51.26, 191385.38319308672 6577635.505014476 51.26, 191385.7126847746 6577634.875245063 51.25, 191386.13538435864 6577634.036927663 51.25, 191386.16200481902 6577633.994557994 51.25, 191386.3176021498 6577633.690471979 51.26, 191386.70700802183 6577632.935243744 51.26, 191386.74945025478 6577632.841355895 51.26, 191386.7752456292 6577632.789012625 51.26, 191387.04234788957 6577632.25478125 51.26, 191387.0689683503 6577632.2124115825 51.26, 191387.26700791752 6577631.814437723 51.27, 191387.29362837865 6577631.772068057 51.27, 191387.34521912783 6577631.667381519 51.27, 191387.85362828156 6577630.651262042 51.27, 191388.39780641865 6577629.581974219 51.28, 191388.42442688008 6577629.539604553 51.28, 191388.84630140342 6577628.691313583 51.28, 191388.87292186503 6577628.648943919 51.28, 191389.40712641232 6577627.5804812 51.29, 191389.5194564322 6577627.360309444 51.29, 191389.54607689404 6577627.317939781 51.29, 191390.6303077864 6577625.12949619 51.300000000000004, 191390.65692824882 6577625.087126528 51.300000000000004, 191390.81170050928 6577624.773066931 51.300000000000004, 191391.2593704331 6577623.872432727 51.300000000000004, 191391.5081756882 6577623.359798759 51.31, 191391.71453870682 6577622.941052643 51.31, 191391.74115916947 6577622.898682976 51.31, 191391.75780603063 6577622.857138396 51.31, 191392.4035155552 6577621.558530378 51.32, 191392.41933733132 6577621.5070122 51.32, 191392.84121189412 6577620.658721284 51.32, 191392.85785875598 6577620.617176706 51.32, 191393.9312910466 6577618.419584711 51.33, 191393.94793790922 6577618.378040138 51.33, 191394.1451524229 6577617.970092715 51.33, 191394.17177288706 6577617.927723056 51.33, 191395.0113966267 6577616.181273262 51.34, 191395.0272184048 6577616.129755086 51.34, 191395.13954843913 6577615.909583352 51.34, 191395.8668421632 6577614.3833053205 51.34, 191395.89263754326 6577614.33096206 51.34, 191395.9525517351 6577614.205503248 51.34, 191396.08070355048 6577613.933813339 51.34, 191396.10649893043 6577613.881470075 51.34, 191396.55086857238 6577612.940941542 51.35, 191397.14918541943 6577611.676379846 51.35, 191397.16583228344 6577611.634835271 51.35, 191397.47372668528 6577610.986768944 51.35, 191397.5669346078 6577610.778220986 51.35, 191397.59355507354 6577610.735851327 51.35, 191398.190221768 6577609.451342447 51.35, 191398.197720116 6577609.420596561 51.35, 191398.22434058203 6577609.378226903 51.35, 191398.34416897275 6577609.12730929 51.35, 191398.42822838126 6577608.929560022 51.35, 191399.07566076954 6577607.530391041 51.36, 191399.2462548432 6577607.164813312 51.36, 191399.26290170837 6577607.123268738 51.36, 191399.38273010298 6577606.8723511305 51.36, 191399.85791826283 6577605.8188126935 51.36, 191399.90950902802 6577605.714126175 51.36, 191400.01104039035 6577605.48480594 51.36, 191400.266518966 6577604.931452554 51.36, 191400.27401731495 6577604.900706668 51.36, 191400.30063778162 6577604.858337009 51.36, 191400.32560808054 6577604.796020151 51.36, 191400.35140346352 6577604.743676892 51.36, 191400.51202394225 6577604.378924255 51.36, 191400.74920548743 6577603.847168244 51.36, 191400.89482927002 6577603.543907383 51.36, 191400.91147613619 6577603.502362811 51.36, 191401.00385898456 6577603.283841265 51.36, 191401.30177981762 6577602.636600057 51.36, 191401.318426684 6577602.595055484 51.36, 191401.66546303564 6577601.813206961 51.36, 191401.8934960721 6577601.292249649 51.36, 191402.3087700656 6577600.364170047 51.36, 191402.3162684153 6577600.33342416 51.36, 191402.3345654499 6577600.311826792 51.36, 191402.38450605114 6577600.187193076 51.36, 191402.41862486937 6577600.114077538 51.36, 191402.51183280587 6577599.905529596 51.35, 191402.52847967314 6577599.863985023 51.35, 191402.92463155655 6577598.947529201 51.35, 191402.97539724264 6577598.83286909 51.35, 191403.30496166128 6577598.08259156 51.35, 191403.3216085288 6577598.041046989 51.35, 191403.7177604229 6577597.124591179 51.35, 191404.03817633213 6577596.3851123415 51.35, 191404.07229515177 6577596.311996802 51.35, 191404.0980905373 6577596.259653547 51.35, 191404.11473740562 6577596.218108978 51.35, 191404.29117968818 6577595.8018381875 51.35, 191404.30782655661 6577595.760293619 51.35, 191404.50091570884 6577595.30247826 51.35, 191404.89706761856 6577594.386022469 51.34, 191405.26659906365 6577593.511936335 51.34, 191405.2832459326 6577593.470391765 51.34, 191405.64280378202 6577592.5971307205 51.34, 191405.66942425177 6577592.554761065 51.34, 191405.8034242881 6577592.232378111 51.34, 191405.82007115753 6577592.190833543 51.34, 191405.94657284277 6577591.899196474 51.34, 191406.04562897555 6577591.639955455 51.34, 191406.22207127052 6577591.223684682 51.33, 191406.2387181401 6577591.182140112 51.33, 191406.2636884441 6577591.1198232565 51.33, 191406.43180730566 6577590.724324769 51.33, 191406.68233543367 6577590.111129835 51.33, 191406.6981572205 6577590.059611665 51.33, 191406.8071869571 6577589.799545569 51.33, 191407.16674482694 6577588.926284541 51.33, 191407.1833916969 6577588.884739974 51.33, 191406.90922658693 6577588.726667317 51.28, 191406.1478138012 6577590.32606061 51.28, 191405.21017654781 6577591.980199823 51.26, 191401.63815571304 6577597.477383536 51.33, 191400.0859176793 6577599.835087542 51.33, 191398.42727039114 6577602.241761933 51.34, 191396.48533603438 6577605.836727346 51.35, 191396.16229972715 6577606.78730205 51.35, 191391.73704528454 6577615.929973525 51.36, 191387.37755369174 6577624.896493698 51.27)</t>
  </si>
  <si>
    <t>POLYGON Z ((191387.37755369174 6577624.896493698 51.27, 191386.82602231216 6577625.755510782 51.28, 191383.53884801938 6577632.996498991 51.22, 191382.44076274446 6577636.109939958 51.230000000000004, 191381.04769438988 6577640.513058356 51.24, 191379.61720702122 6577644.949398003 51.27, 191378.48934629542 6577647.824297791 51.29, 191377.9667656474 6577648.911882802 51.29, 191378.35731377173 6577649.020159908 51.33, 191378.3739606265 6577648.978615324 51.33, 191378.79913540604 6577648.170218634 51.32, 191378.88567003014 6577648.002390116 51.32, 191378.96470631496 6577647.865307498 51.32, 191379.04209242453 6577647.708277672 51.32, 191379.11198019434 6577647.581993743 51.32, 191379.24178213172 6577647.33025097 51.31, 191379.26840258925 6577647.287881299 51.31, 191379.5978942357 6577646.658111825 51.31, 191379.711049319 6577646.447913637 51.31, 191379.72769617446 6577646.406369054 51.31, 191379.81423080055 6577646.238540542 51.31, 191379.86582154105 6577646.1338539915 51.31, 191380.1961382788 6577645.514058126 51.300000000000004, 191380.2909963334 6577645.3254573215 51.300000000000004, 191380.40415141842 6577645.115259136 51.300000000000004, 191380.4207982741 6577645.073714555 51.300000000000004, 191380.65543187287 6577644.632545896 51.29, 191380.89756381314 6577644.160631344 51.29, 191381.03733935795 6577643.908063491 51.29, 191381.0980786151 6577643.792578254 51.29, 191381.11472547083 6577643.7510336675 51.29, 191381.55654713005 6577642.901092432 51.28, 191381.5831675884 6577642.85872276 51.28, 191381.88686387916 6577642.281296586 51.28, 191381.90351073525 6577642.239752002 51.28, 191382.0249892521 6577642.00878153 51.28, 191382.0424611955 6577641.977210549 51.28, 191382.50092971983 6577641.085724741 51.27, 191382.70894286927 6577640.686925767 51.27, 191382.73556332832 6577640.644556096 51.27, 191382.8387448163 6577640.435183007 51.27, 191382.96022333548 6577640.204212539 51.27, 191383.40287009836 6577639.364244927 51.27, 191383.4186918686 6577639.312726745 51.27, 191383.8430416049 6577638.494356517 51.26, 191383.86133863608 6577638.4727591425 51.26, 191383.8779854931 6577638.431214556 51.26, 191384.11179402127 6577637.98007232 51.26, 191384.137589394 6577637.927729049 51.26, 191384.2149755126 6577637.770699236 51.26, 191384.43131209823 6577637.351127982 51.26, 191385.00293574098 6577636.249444036 51.26, 191385.01958259882 6577636.207899453 51.26, 191385.2275957591 6577635.809100496 51.26, 191385.25421621936 6577635.76673083 51.26, 191385.38319308672 6577635.505014476 51.26, 191385.7126847746 6577634.875245063 51.25, 191386.13538435864 6577634.036927663 51.25, 191386.16200481902 6577633.994557994 51.25, 191386.3176021498 6577633.690471979 51.26, 191386.70700802183 6577632.935243744 51.26, 191386.74945025478 6577632.841355895 51.26, 191386.7752456292 6577632.789012625 51.26, 191387.04234788957 6577632.25478125 51.26, 191387.0689683503 6577632.2124115825 51.26, 191387.26700791752 6577631.814437723 51.27, 191387.29362837865 6577631.772068057 51.27, 191387.34521912783 6577631.667381519 51.27, 191387.85362828156 6577630.651262042 51.27, 191388.39780641865 6577629.581974219 51.28, 191388.42442688008 6577629.539604553 51.28, 191388.84630140342 6577628.691313583 51.28, 191388.87292186503 6577628.648943919 51.28, 191389.40712641232 6577627.5804812 51.29, 191389.5194564322 6577627.360309444 51.29, 191389.54607689404 6577627.317939781 51.29, 191390.6303077864 6577625.12949619 51.300000000000004, 191390.65692824882 6577625.087126528 51.300000000000004, 191390.81170050928 6577624.773066931 51.300000000000004, 191391.2593704331 6577623.872432727 51.300000000000004, 191391.5081756882 6577623.359798759 51.31, 191391.71453870682 6577622.941052643 51.31, 191391.74115916947 6577622.898682976 51.31, 191391.75780603063 6577622.857138396 51.31, 191392.4035155552 6577621.558530378 51.32, 191392.41933733132 6577621.5070122 51.32, 191392.84121189412 6577620.658721284 51.32, 191392.85785875598 6577620.617176706 51.32, 191393.9312910466 6577618.419584711 51.33, 191393.94793790922 6577618.378040138 51.33, 191394.1451524229 6577617.970092715 51.33, 191394.17177288706 6577617.927723056 51.33, 191395.0113966267 6577616.181273262 51.34, 191395.0272184048 6577616.129755086 51.34, 191395.13954843913 6577615.909583352 51.34, 191395.8668421632 6577614.3833053205 51.34, 191395.89263754326 6577614.33096206 51.34, 191395.9525517351 6577614.205503248 51.34, 191396.08070355048 6577613.933813339 51.34, 191396.10649893043 6577613.881470075 51.34, 191396.55086857238 6577612.940941542 51.35, 191397.14918541943 6577611.676379846 51.35, 191397.16583228344 6577611.634835271 51.35, 191397.47372668528 6577610.986768944 51.35, 191397.5669346078 6577610.778220986 51.35, 191397.59355507354 6577610.735851327 51.35, 191398.190221768 6577609.451342447 51.35, 191398.197720116 6577609.420596561 51.35, 191398.22434058203 6577609.378226903 51.35, 191398.34416897275 6577609.12730929 51.35, 191398.42822838126 6577608.929560022 51.35, 191399.07566076954 6577607.530391041 51.36, 191399.2462548432 6577607.164813312 51.36, 191399.26290170837 6577607.123268738 51.36, 191399.38273010298 6577606.8723511305 51.36, 191399.85791826283 6577605.8188126935 51.36, 191399.90950902802 6577605.714126175 51.36, 191400.01104039035 6577605.48480594 51.36, 191400.266518966 6577604.931452554 51.36, 191400.27401731495 6577604.900706668 51.36, 191400.30063778162 6577604.858337009 51.36, 191400.32560808054 6577604.796020151 51.36, 191400.35140346352 6577604.743676892 51.36, 191400.51202394225 6577604.378924255 51.36, 191400.74920548743 6577603.847168244 51.36, 191400.89482927002 6577603.543907383 51.36, 191400.91147613619 6577603.502362811 51.36, 191401.00385898456 6577603.283841265 51.36, 191401.30177981762 6577602.636600057 51.36, 191401.318426684 6577602.595055484 51.36, 191401.66546303564 6577601.813206961 51.36, 191401.8934960721 6577601.292249649 51.36, 191402.3087700656 6577600.364170047 51.36, 191402.3162684153 6577600.33342416 51.36, 191402.3345654499 6577600.311826792 51.36, 191402.38450605114 6577600.187193076 51.36, 191402.41862486937 6577600.114077538 51.36, 191402.51183280587 6577599.905529596 51.35, 191402.52847967314 6577599.863985023 51.35, 191402.92463155655 6577598.947529201 51.35, 191402.97539724264 6577598.83286909 51.35, 191403.30496166128 6577598.08259156 51.35, 191403.3216085288 6577598.041046989 51.35, 191403.7177604229 6577597.124591179 51.35, 191404.03817633213 6577596.3851123415 51.35, 191404.07229515177 6577596.311996802 51.35, 191404.0980905373 6577596.259653547 51.35, 191404.11473740562 6577596.218108978 51.35, 191404.29117968818 6577595.8018381875 51.35, 191404.30782655661 6577595.760293619 51.35, 191404.50091570884 6577595.30247826 51.35, 191404.89706761856 6577594.386022469 51.34, 191405.26659906365 6577593.511936335 51.34, 191405.2832459326 6577593.470391765 51.34, 191405.64280378202 6577592.5971307205 51.34, 191405.66942425177 6577592.554761065 51.34, 191405.8034242881 6577592.232378111 51.34, 191405.82007115753 6577592.190833543 51.34, 191405.94657284277 6577591.899196474 51.34, 191406.04562897555 6577591.639955455 51.34, 191406.22207127052 6577591.223684682 51.33, 191406.2387181401 6577591.182140112 51.33, 191406.2636884441 6577591.1198232565 51.33, 191406.43180730566 6577590.724324769 51.33, 191406.68233543367 6577590.111129835 51.33, 191406.6981572205 6577590.059611665 51.33, 191406.8071869571 6577589.799545569 51.33, 191407.16674482694 6577588.926284541 51.33, 191407.1833916969 6577588.884739974 51.33, 191406.90922658693 6577588.726667317 51.28, 191406.1478138012 6577590.32606061 51.28, 191405.21017654781 6577591.980199823 51.26, 191401.63815571304 6577597.477383536 51.33, 191400.0859176793 6577599.835087542 51.33, 191398.42727039114 6577602.241761933 51.34, 191396.48533603438 6577605.836727346 51.35, 191396.16229972715 6577606.78730205 51.35, 191391.73704528454 6577615.929973525 51.36, 191387.37755369174 6577624.896493698 51.27))</t>
  </si>
  <si>
    <t>['FV3282 S1D1 m2133-2195']</t>
  </si>
  <si>
    <t>LINESTRING Z (191130.67846311716 6578266.90143596 45.81, 191131.39362293849 6578266.19958892 45.85, 191134.86036010395 6578261.614853424 46.07, 191137.34896297794 6578258.316066896 46.19, 191138.24070731492 6578256.956930319 46.24, 191139.20998115878 6578255.199746201 46.32, 191141.23348462308 6578251.377093043 46.480000000000004, 191143.5739564905 6578247.016080688 46.64, 191145.11140544375 6578244.358330666 46.72, 191145.13802575518 6578244.3159607975 46.72, 191144.57042673632 6578244.252458557 46.72, 191144.45314673946 6578244.412789558 46.72, 191144.3799588835 6578244.499179573 46.71, 191144.30759616214 6578244.595543201 46.71, 191144.10715469246 6578244.8430893505 46.7, 191143.78110988007 6578245.271738878 46.68, 191143.62558568595 6578245.455317653 46.67, 191143.59896537475 6578245.497687525 46.67, 191143.5806684108 6578245.519285029 46.67, 191143.32616118505 6578245.841597308 46.660000000000004, 191143.18143574335 6578246.0343245715 46.65, 191143.13569333323 6578246.088318327 46.65, 191143.0175882025 6578246.238675715 46.64, 191141.4639245454 6578248.214919309 46.550000000000004, 191141.4281557527 6578248.268087933 46.550000000000004, 191141.30090214114 6578248.429244078 46.54, 191141.10128580942 6578248.6867638575 46.53, 191140.84677858633 6578249.009076149 46.52, 191139.94767996238 6578250.157941556 46.47, 191139.92105965235 6578250.200311432 46.47, 191139.7206181863 6578250.447857598 46.46, 191139.63910698507 6578250.555019986 46.45, 191139.40289672744 6578250.855734779 46.44, 191138.83981653058 6578251.575125515 46.410000000000004, 191138.4588808359 6578252.068567589 46.39, 191138.36739601794 6578252.176555117 46.38, 191138.04052607936 6578252.59523106 46.37, 191136.81455753074 6578254.162772463 46.300000000000004, 191136.7238978488 6578254.280733611 46.29, 191136.6057927219 6578254.431091016 46.29, 191136.23318037746 6578254.903760736 46.27, 191136.1791146226 6578254.978526871 46.26, 191136.05186101416 6578255.139683026 46.26, 191135.88801347883 6578255.344034196 46.25, 191135.8156507609 6578255.440397842 46.24, 191135.79735379736 6578255.461995346 46.24, 191135.73331442568 6578255.537586617 46.24, 191135.67924867087 6578255.612352752 46.24, 191135.6609517074 6578255.633950257 46.24, 191135.634331398 6578255.6763201365 46.230000000000004, 191135.56114354456 6578255.762710162 46.230000000000004, 191135.5528201983 6578255.783482529 46.230000000000004, 191135.27086753713 6578256.138191111 46.21, 191135.180207856 6578256.256152261 46.21, 191134.97144304868 6578256.524470816 46.2, 191134.8891067137 6578256.621659594 46.19, 191134.81674399588 6578256.718023236 46.19, 191134.68034190638 6578256.889978151 46.18, 191134.51649437216 6578257.094329326 46.17, 191134.3892407645 6578257.255485487 46.17, 191134.38091741898 6578257.27625786 46.17, 191134.3534719739 6578257.308654118 46.160000000000004, 191133.8810514711 6578257.910083758 46.14, 191133.8444575448 6578257.9532787725 46.14, 191133.80868875404 6578258.006447404 46.13, 191133.7172039377 6578258.114434938 46.13, 191133.40863096976 6578258.511513404 46.11, 191133.35456521588 6578258.586279542 46.11, 191132.619314157 6578259.5307939 46.07, 191132.40972421633 6578259.789138847 46.06, 191132.17433910316 6578260.099827293 46.050000000000004, 191132.02796339768 6578260.27260735 46.04, 191131.901534928 6578260.443737137 46.03, 191131.17460721964 6578261.367479142 45.980000000000004, 191130.92924849014 6578261.67899273 45.96, 191130.6655927982 6578262.012103829 45.95, 191130.62067552662 6578262.076071213 45.94, 191130.2214428847 6578262.59111086 45.92, 191129.07698557922 6578264.051490045 45.84, 191128.8865177413 6578264.298211117 45.83, 191128.44986604055 6578264.846472177 45.800000000000004, 191128.2685466846 6578265.082394499 45.79, 191128.05978188443 6578265.350713085 45.78, 191127.5233220259 6578266.027734063 45.74, 191126.7514770626 6578267.0154435225 45.69, 191126.68826282932 6578267.10100842 45.69, 191126.52441530133 6578267.305359622 45.68, 191125.98045723845 6578268.013126608 45.64, 191125.23440745147 6578268.948492588 45.59, 191124.9075375339 6578269.3671686165 45.57, 191124.42679370835 6578269.989370719 45.54, 191123.90945595858 6578270.654767843 45.5, 191122.88310380751 6578271.964789738 45.44, 191122.52878844988 6578272.415862046 45.42, 191122.374089406 6578272.609414506 45.4, 191122.092961899 6578272.974096776 45.39, 191121.87504862412 6578273.253214145 45.37, 191121.45669389958 6578273.779877745 45.35, 191121.33858878113 6578273.9302351875 45.34, 191121.25707758777 6578274.0373976035 45.33, 191121.11235216295 6578274.23012493 45.32, 191120.43949024193 6578275.079100935 45.28, 191120.15836273762 6578275.443783216 45.26, 191119.89470705902 6578275.776894371 45.24, 191119.79489890364 6578275.905654301 45.24, 191119.55868866883 6578276.20636919 45.22, 191118.94071763923 6578276.99055268 45.18, 191118.2878029619 6578277.837878439 45.14, 191118.26035751868 6578277.870274707 45.14, 191118.06988969096 6578278.116995821 45.12, 191117.5151328958 6578278.815614417 45.09, 191117.3338135496 6578279.051536777 45.08, 191117.15249420382 6578279.287459139 45.06, 191117.09760331758 6578279.352251676 45.06, 191117.0793063552 6578279.373849184 45.06, 191117.05186091235 6578279.406245458 45.06, 191117.04353756882 6578279.427017832 45.06, 191116.99697002617 6578279.471037996 45.050000000000004, 191116.98864668258 6578279.49181037 45.050000000000004, 191116.71666766435 6578279.845693916 45.04, 191116.2708675072 6578280.40475383 45.01, 191116.15276239137 6578280.555111281 45, 191116.09869664308 6578280.629877438 45, 191115.92570064164 6578280.845027431 44.99, 191115.88078337425 6578280.908994829 44.99, 191115.78097522113 6578281.03775477 44.980000000000004, 191115.70778737334 6578281.124144822 44.980000000000004, 191115.63542466302 6578281.2205084935 44.97, 191115.42665987567 6578281.48882713 44.96, 191115.30772962287 6578281.629210964 44.96, 191115.17215268366 6578281.811139548 44.95, 191115.13555875974 6578281.854334575 44.95, 191115.11808693572 6578281.885905709 44.94, 191115.09978997346 6578281.907503219 44.94, 191115.08149301173 6578281.929100732 44.94, 191114.92679397308 6578282.122653214 44.93, 191114.86357974424 6578282.208218129 44.93, 191114.83613430132 6578282.2406144 44.93, 191114.75462311017 6578282.3477768265 44.92, 191114.69058374362 6578282.423368126 44.92, 191114.47267047642 6578282.702485521 44.910000000000004, 191114.45437351463 6578282.724083035 44.910000000000004, 191114.40863110987 6578282.77807682 44.9, 191114.36371384282 6578282.842044221 44.9, 191114.3454168809 6578282.863641734 44.9, 191114.2822026522 6578282.94920665 44.9, 191114.03684394265 6578283.260720319 44.88, 191113.70914890495 6578283.6694228025 44.86, 191113.691677081 6578283.700993934 44.86, 191113.62846285233 6578283.786558851 44.86, 191113.23755358683 6578284.280826251 44.84, 191113.21925662516 6578284.302423766 44.84, 191113.20095966343 6578284.324021282 44.83, 191113.12859695422 6578284.420384956 44.83, 191113.01049184048 6578284.5707424125 44.82, 191112.90236034547 6578284.720274734 44.82, 191112.14716212277 6578285.666439663 44.77, 191112.0839478944 6578285.752004579 44.77, 191112.02073366666 6578285.837569499 44.77, 191111.6481213658 6578286.310239398 44.75, 191111.6298244043 6578286.331836915 44.74, 191111.57575865713 6578286.406603073 44.74, 191111.53998987196 6578286.459771723 44.74, 191111.4759505061 6578286.535363022 44.74, 191111.3486969123 6578286.696519242 44.730000000000004, 191111.23059179977 6578286.846876706 44.72, 191111.1757009147 6578286.911669249 44.72, 191111.14908061037 6578286.954039139 44.72, 191110.79476527288 6578287.405111531 44.7, 191110.77646831138 6578287.426709048 44.7, 191110.63091775618 6578287.609462782 44.69, 191110.56687839061 6578287.685054084 44.68, 191110.54940656718 6578287.716625217 44.68, 191110.5311096055 6578287.738222732 44.68, 191110.15017396497 6578288.231665019 44.660000000000004, 191110.01294675283 6578288.393646381 44.65, 191109.9954749297 6578288.425217515 44.65, 191109.97717796807 6578288.44681503 44.65, 191109.93226070266 6578288.510782438 44.65, 191109.9048152602 6578288.543178709 44.65, 191109.85907285637 6578288.597172496 44.64, 191109.62368777086 6578288.9078610465 44.63, 191109.60456567095 6578288.919484945 44.63, 191109.31428970123 6578289.294966043 44.61, 191109.0057167707 6578289.692044661 44.59, 191108.6971438403 6578290.089123277 44.58, 191107.46120184677 6578291.657490525 44.5, 191106.69850543933 6578292.634401533 44.46, 191106.68103361654 6578292.665972666 44.46, 191113.11158562923 6578287.856116762 44.67, 191115.60449142382 6578285.701747961 44.800000000000004, 191117.79069044464 6578283.60287937 44.95, 191118.3189708378 6578282.705613526 44.99, 191123.26941194112 6578276.3914259495 45.32, 191126.97393749544 6578271.646430822 45.57, 191130.67846311716 6578266.90143596 45.81)</t>
  </si>
  <si>
    <t>POLYGON Z ((191130.67846311716 6578266.90143596 45.81, 191131.39362293849 6578266.19958892 45.85, 191134.86036010395 6578261.614853424 46.07, 191137.34896297794 6578258.316066896 46.19, 191138.24070731492 6578256.956930319 46.24, 191139.20998115878 6578255.199746201 46.32, 191141.23348462308 6578251.377093043 46.480000000000004, 191143.5739564905 6578247.016080688 46.64, 191145.11140544375 6578244.358330666 46.72, 191145.13802575518 6578244.3159607975 46.72, 191144.57042673632 6578244.252458557 46.72, 191144.45314673946 6578244.412789558 46.72, 191144.3799588835 6578244.499179573 46.71, 191144.30759616214 6578244.595543201 46.71, 191144.10715469246 6578244.8430893505 46.7, 191143.78110988007 6578245.271738878 46.68, 191143.62558568595 6578245.455317653 46.67, 191143.59896537475 6578245.497687525 46.67, 191143.5806684108 6578245.519285029 46.67, 191143.32616118505 6578245.841597308 46.660000000000004, 191143.18143574335 6578246.0343245715 46.65, 191143.13569333323 6578246.088318327 46.65, 191143.0175882025 6578246.238675715 46.64, 191141.4639245454 6578248.214919309 46.550000000000004, 191141.4281557527 6578248.268087933 46.550000000000004, 191141.30090214114 6578248.429244078 46.54, 191141.10128580942 6578248.6867638575 46.53, 191140.84677858633 6578249.009076149 46.52, 191139.94767996238 6578250.157941556 46.47, 191139.92105965235 6578250.200311432 46.47, 191139.7206181863 6578250.447857598 46.46, 191139.63910698507 6578250.555019986 46.45, 191139.40289672744 6578250.855734779 46.44, 191138.83981653058 6578251.575125515 46.410000000000004, 191138.4588808359 6578252.068567589 46.39, 191138.36739601794 6578252.176555117 46.38, 191138.04052607936 6578252.59523106 46.37, 191136.81455753074 6578254.162772463 46.300000000000004, 191136.7238978488 6578254.280733611 46.29, 191136.6057927219 6578254.431091016 46.29, 191136.23318037746 6578254.903760736 46.27, 191136.1791146226 6578254.978526871 46.26, 191136.05186101416 6578255.139683026 46.26, 191135.88801347883 6578255.344034196 46.25, 191135.8156507609 6578255.440397842 46.24, 191135.79735379736 6578255.461995346 46.24, 191135.73331442568 6578255.537586617 46.24, 191135.67924867087 6578255.612352752 46.24, 191135.6609517074 6578255.633950257 46.24, 191135.634331398 6578255.6763201365 46.230000000000004, 191135.56114354456 6578255.762710162 46.230000000000004, 191135.5528201983 6578255.783482529 46.230000000000004, 191135.27086753713 6578256.138191111 46.21, 191135.180207856 6578256.256152261 46.21, 191134.97144304868 6578256.524470816 46.2, 191134.8891067137 6578256.621659594 46.19, 191134.81674399588 6578256.718023236 46.19, 191134.68034190638 6578256.889978151 46.18, 191134.51649437216 6578257.094329326 46.17, 191134.3892407645 6578257.255485487 46.17, 191134.38091741898 6578257.27625786 46.17, 191134.3534719739 6578257.308654118 46.160000000000004, 191133.8810514711 6578257.910083758 46.14, 191133.8444575448 6578257.9532787725 46.14, 191133.80868875404 6578258.006447404 46.13, 191133.7172039377 6578258.114434938 46.13, 191133.40863096976 6578258.511513404 46.11, 191133.35456521588 6578258.586279542 46.11, 191132.619314157 6578259.5307939 46.07, 191132.40972421633 6578259.789138847 46.06, 191132.17433910316 6578260.099827293 46.050000000000004, 191132.02796339768 6578260.27260735 46.04, 191131.901534928 6578260.443737137 46.03, 191131.17460721964 6578261.367479142 45.980000000000004, 191130.92924849014 6578261.67899273 45.96, 191130.6655927982 6578262.012103829 45.95, 191130.62067552662 6578262.076071213 45.94, 191130.2214428847 6578262.59111086 45.92, 191129.07698557922 6578264.051490045 45.84, 191128.8865177413 6578264.298211117 45.83, 191128.44986604055 6578264.846472177 45.800000000000004, 191128.2685466846 6578265.082394499 45.79, 191128.05978188443 6578265.350713085 45.78, 191127.5233220259 6578266.027734063 45.74, 191126.7514770626 6578267.0154435225 45.69, 191126.68826282932 6578267.10100842 45.69, 191126.52441530133 6578267.305359622 45.68, 191125.98045723845 6578268.013126608 45.64, 191125.23440745147 6578268.948492588 45.59, 191124.9075375339 6578269.3671686165 45.57, 191124.42679370835 6578269.989370719 45.54, 191123.90945595858 6578270.654767843 45.5, 191122.88310380751 6578271.964789738 45.44, 191122.52878844988 6578272.415862046 45.42, 191122.374089406 6578272.609414506 45.4, 191122.092961899 6578272.974096776 45.39, 191121.87504862412 6578273.253214145 45.37, 191121.45669389958 6578273.779877745 45.35, 191121.33858878113 6578273.9302351875 45.34, 191121.25707758777 6578274.0373976035 45.33, 191121.11235216295 6578274.23012493 45.32, 191120.43949024193 6578275.079100935 45.28, 191120.15836273762 6578275.443783216 45.26, 191119.89470705902 6578275.776894371 45.24, 191119.79489890364 6578275.905654301 45.24, 191119.55868866883 6578276.20636919 45.22, 191118.94071763923 6578276.99055268 45.18, 191118.2878029619 6578277.837878439 45.14, 191118.26035751868 6578277.870274707 45.14, 191118.06988969096 6578278.116995821 45.12, 191117.5151328958 6578278.815614417 45.09, 191117.3338135496 6578279.051536777 45.08, 191117.15249420382 6578279.287459139 45.06, 191117.09760331758 6578279.352251676 45.06, 191117.0793063552 6578279.373849184 45.06, 191117.05186091235 6578279.406245458 45.06, 191117.04353756882 6578279.427017832 45.06, 191116.99697002617 6578279.471037996 45.050000000000004, 191116.98864668258 6578279.49181037 45.050000000000004, 191116.71666766435 6578279.845693916 45.04, 191116.2708675072 6578280.40475383 45.01, 191116.15276239137 6578280.555111281 45, 191116.09869664308 6578280.629877438 45, 191115.92570064164 6578280.845027431 44.99, 191115.88078337425 6578280.908994829 44.99, 191115.78097522113 6578281.03775477 44.980000000000004, 191115.70778737334 6578281.124144822 44.980000000000004, 191115.63542466302 6578281.2205084935 44.97, 191115.42665987567 6578281.48882713 44.96, 191115.30772962287 6578281.629210964 44.96, 191115.17215268366 6578281.811139548 44.95, 191115.13555875974 6578281.854334575 44.95, 191115.11808693572 6578281.885905709 44.94, 191115.09978997346 6578281.907503219 44.94, 191115.08149301173 6578281.929100732 44.94, 191114.92679397308 6578282.122653214 44.93, 191114.86357974424 6578282.208218129 44.93, 191114.83613430132 6578282.2406144 44.93, 191114.75462311017 6578282.3477768265 44.92, 191114.69058374362 6578282.423368126 44.92, 191114.47267047642 6578282.702485521 44.910000000000004, 191114.45437351463 6578282.724083035 44.910000000000004, 191114.40863110987 6578282.77807682 44.9, 191114.36371384282 6578282.842044221 44.9, 191114.3454168809 6578282.863641734 44.9, 191114.2822026522 6578282.94920665 44.9, 191114.03684394265 6578283.260720319 44.88, 191113.70914890495 6578283.6694228025 44.86, 191113.691677081 6578283.700993934 44.86, 191113.62846285233 6578283.786558851 44.86, 191113.23755358683 6578284.280826251 44.84, 191113.21925662516 6578284.302423766 44.84, 191113.20095966343 6578284.324021282 44.83, 191113.12859695422 6578284.420384956 44.83, 191113.01049184048 6578284.5707424125 44.82, 191112.90236034547 6578284.720274734 44.82, 191112.14716212277 6578285.666439663 44.77, 191112.0839478944 6578285.752004579 44.77, 191112.02073366666 6578285.837569499 44.77, 191111.6481213658 6578286.310239398 44.75, 191111.6298244043 6578286.331836915 44.74, 191111.57575865713 6578286.406603073 44.74, 191111.53998987196 6578286.459771723 44.74, 191111.4759505061 6578286.535363022 44.74, 191111.3486969123 6578286.696519242 44.730000000000004, 191111.23059179977 6578286.846876706 44.72, 191111.1757009147 6578286.911669249 44.72, 191111.14908061037 6578286.954039139 44.72, 191110.79476527288 6578287.405111531 44.7, 191110.77646831138 6578287.426709048 44.7, 191110.63091775618 6578287.609462782 44.69, 191110.56687839061 6578287.685054084 44.68, 191110.54940656718 6578287.716625217 44.68, 191110.5311096055 6578287.738222732 44.68, 191110.15017396497 6578288.231665019 44.660000000000004, 191110.01294675283 6578288.393646381 44.65, 191109.9954749297 6578288.425217515 44.65, 191109.97717796807 6578288.44681503 44.65, 191109.93226070266 6578288.510782438 44.65, 191109.9048152602 6578288.543178709 44.65, 191109.85907285637 6578288.597172496 44.64, 191109.62368777086 6578288.9078610465 44.63, 191109.60456567095 6578288.919484945 44.63, 191109.31428970123 6578289.294966043 44.61, 191109.0057167707 6578289.692044661 44.59, 191108.6971438403 6578290.089123277 44.58, 191107.46120184677 6578291.657490525 44.5, 191106.69850543933 6578292.634401533 44.46, 191106.68103361654 6578292.665972666 44.46, 191113.11158562923 6578287.856116762 44.67, 191115.60449142382 6578285.701747961 44.800000000000004, 191117.79069044464 6578283.60287937 44.95, 191118.3189708378 6578282.705613526 44.99, 191123.26941194112 6578276.3914259495 45.32, 191126.97393749544 6578271.646430822 45.57, 191130.67846311716 6578266.90143596 45.81))</t>
  </si>
  <si>
    <t>['FV3282 S1D1 m51-103']</t>
  </si>
  <si>
    <t>LINESTRING Z (192111.01837346185 6576844.683514851 39.28, 192108.58548844553 6576849.262989336 39.28, 192106.3082751216 6576853.41787295 39.26, 192103.36336580553 6576858.120037348 39.21, 192103.06558944593 6576858.526258063 39.21, 192106.73198672896 6576855.019636234 39.26, 192106.98814555438 6576854.717276166 39.26, 192107.58279997128 6576854.015368872 39.26, 192107.63851617044 6576853.9605509825 39.26, 192107.80318970134 6576853.766176653 39.26, 192108.205725 6576853.291039417 39.26, 192108.28806176566 6576853.193852253 39.26, 192108.93843238387 6576852.43712708 39.26, 192109.58880300348 6576851.680401916 39.26, 192109.98218977457 6576851.216063263 39.26, 192110.22005154326 6576850.935300356 39.26, 192110.23834860243 6576850.913703209 39.26, 192110.83465306833 6576850.23174305 39.26, 192110.88871922414 6576850.1569780605 39.26, 192111.53908984712 6576849.40025292 39.26, 192112.18863544991 6576848.633554237 39.26, 192112.80241195654 6576847.9200233985 39.26, 192112.8489796265 6576847.876004088 39.26, 192113.3521487569 6576847.282082583 39.26, 192113.4993502529 6576847.119278972 39.26, 192114.00251938426 6576846.52535747 39.26, 192114.14889585914 6576846.352580311 39.26, 192114.79926648788 6576845.595855204 39.26, 192115.37562385877 6576844.91554514 39.25, 192115.4496371181 6576844.839130115 39.25, 192116.09918272775 6576844.072431473 39.25, 192116.74955335987 6576843.315706391 39.25, 192117.39992399327 6576842.558981321 39.24, 192118.0494696069 6576841.792282706 39.24, 192118.69984024268 6576841.035557647 39.230000000000004, 192119.35021087964 6576840.278832598 39.230000000000004, 192119.99975649657 6576839.512134004 39.22, 192120.65012713597 6576838.755408971 39.22, 192121.31047132693 6576837.997858921 39.21, 192121.96001694782 6576837.231160353 39.2, 192122.61038759042 6576836.474435341 39.19, 192122.82080377807 6576836.226068203 39.19, 192123.26075823425 6576835.717710334 39.19, 192123.9103038587 6576834.95101179 39.19, 192123.9743435682 6576834.875421791 39.19, 192124.03838327777 6576834.799831795 39.19, 192124.10242298734 6576834.724241797 39.18, 192124.16646269697 6576834.648651801 39.18, 192124.23050240625 6576834.573061801 39.18, 192124.3045156665 6576834.496646786 39.18, 192124.3685553763 6576834.42105679 39.18, 192124.43259508564 6576834.3454667935 39.18, 192124.49663479516 6576834.269876795 39.18, 192124.533228915 6576834.226682514 39.18, 192124.56067450496 6576834.194286799 39.18, 192124.6247142147 6576834.118696804 39.18, 192124.68875392433 6576834.043106807 39.18, 192124.75279363408 6576833.967516812 39.18, 192124.81683334382 6576833.891926817 39.18, 192124.89084660396 6576833.815511801 39.18, 192124.95488631353 6576833.739921803 39.18, 192125.01892602316 6576833.664331805 39.18, 192125.08296573278 6576833.588741808 39.18, 192125.14700544253 6576833.513151813 39.18, 192125.21104515222 6576833.4375618175 39.18, 192125.27508486208 6576833.361971823 39.18, 192125.3382995514 6576833.276408278 39.18, 192125.40233926132 6576833.200818282 39.18, 192125.47635252133 6576833.124403265 39.18, 192125.5403922312 6576833.048813269 39.18, 192125.604431941 6576832.973223274 39.17, 192125.66847165086 6576832.89763328 39.17, 192125.73251136072 6576832.822043285 39.17, 192125.79655107058 6576832.74645329 39.17, 192125.86059078044 6576832.670863293 39.17, 192125.92463049036 6576832.5952733 39.17, 192125.9886702001 6576832.519683302 39.17, 192126.05270991015 6576832.44409331 39.17, 192126.12672317034 6576832.367678295 39.17, 192126.1907628805 6576832.292088303 39.17, 192126.25480259024 6576832.216498305 39.17, 192126.31884229998 6576832.140908309 39.17, 192126.3828820099 6576832.065318314 39.17, 192126.44692172 6576831.989728321 39.17, 192126.5109614302 6576831.914138329 39.17, 192126.57500114018 6576831.838548334 39.17, 192126.6390408501 6576831.7629583385 39.17, 192126.7130541104 6576831.686543327 39.17, 192126.77709382056 6576831.610953332 39.17, 192126.84113353054 6576831.535363337 39.17, 192126.90517324064 6576831.459773344 39.17, 192126.96921295061 6576831.384183351 39.17, 192126.98668499058 6576831.352612659 39.17, 192127.03325266083 6576831.308593359 39.17, 192127.09729237063 6576831.233003361 39.160000000000004, 192127.64702919242 6576830.595062684 39.160000000000004, 192127.81087771262 6576830.390714868 39.160000000000004, 192128.46124836587 6576829.633989924 39.160000000000004, 192128.91949988873 6576829.104034963 39.15, 192129.12159257033 6576828.876439969 39.15, 192129.28544109163 6576828.672092157 39.15, 192129.44179112295 6576828.498490016 39.15, 192129.77113820595 6576828.109741491 39.15, 192130.42150886235 6576827.35301657 39.14, 192130.80574712687 6576826.899476633 39.14, 192130.8697868376 6576826.823886642 39.14, 192130.9438000985 6576826.747471635 39.14, 192131.0078398093 6576826.671881646 39.14, 192131.07187952002 6576826.596291658 39.14, 192131.1167971508 6576826.5323252585 39.14, 192131.135919231 6576826.520701666 39.14, 192131.19913392194 6576826.43513813 39.14, 192131.26317363285 6576826.359548141 39.14, 192131.3272133437 6576826.283958153 39.14, 192131.39125305472 6576826.2083681645 39.14, 192131.45529276552 6576826.132778176 39.14, 192131.52930602647 6576826.056363168 39.13, 192131.59334573738 6576825.98077318 39.13, 192131.63908838795 6576825.926780327 39.13, 192131.6573854481 6576825.905183189 39.13, 192131.7214251592 6576825.829593201 39.13, 192131.78546487016 6576825.754003211 39.13, 192131.849504581 6576825.678413226 39.13, 192131.91354429204 6576825.602823237 39.13, 192131.97758400312 6576825.527233249 39.13, 192132.04162371415 6576825.451643261 39.13, 192132.11563697504 6576825.375228256 39.13, 192132.17967668606 6576825.299638267 39.13, 192132.20712227636 6576825.2672425555 39.13, 192132.2437163972 6576825.224048277 39.13, 192132.2703369679 6576825.18167902 39.13, 192132.30775610823 6576825.14845829 39.13, 192132.527320832 6576824.889292619 39.13, 192133.02216648066 6576824.316143414 39.12, 192133.67171212327 6576823.549444979 39.12, 192133.90042537806 6576823.279480745 39.12, 192134.29463719623 6576822.825115814 39.12, 192134.45098722941 6576822.651513685 39.11, 192134.56909310236 6576822.501158734 39.11, 192134.88929165993 6576822.123208809 39.11, 192135.02734463295 6576821.971203824 39.11, 192135.05479022354 6576821.938808116 39.11, 192135.49391967477 6576821.420476797 39.11, 192136.06615198305 6576820.690299195 39.1, 192136.61678715545 6576819.941824544 39.1, 192136.90376498934 6576819.52645549 39.09, 192135.32194905734 6576819.948516539 39.07, 192130.45843237988 6576824.036169444 39.18, 192125.51527386578 6576827.889407564 39.22, 192124.81421041547 6576828.640284068 39.33, 192111.70616325754 6576843.893568995 39.29, 192111.01837346185 6576844.683514851 39.28)</t>
  </si>
  <si>
    <t>POLYGON Z ((192111.01837346185 6576844.683514851 39.28, 192108.58548844553 6576849.262989336 39.28, 192106.3082751216 6576853.41787295 39.26, 192103.36336580553 6576858.120037348 39.21, 192103.06558944593 6576858.526258063 39.21, 192106.73198672896 6576855.019636234 39.26, 192106.98814555438 6576854.717276166 39.26, 192107.58279997128 6576854.015368872 39.26, 192107.63851617044 6576853.9605509825 39.26, 192107.80318970134 6576853.766176653 39.26, 192108.205725 6576853.291039417 39.26, 192108.28806176566 6576853.193852253 39.26, 192108.93843238387 6576852.43712708 39.26, 192109.58880300348 6576851.680401916 39.26, 192109.98218977457 6576851.216063263 39.26, 192110.22005154326 6576850.935300356 39.26, 192110.23834860243 6576850.913703209 39.26, 192110.83465306833 6576850.23174305 39.26, 192110.88871922414 6576850.1569780605 39.26, 192111.53908984712 6576849.40025292 39.26, 192112.18863544991 6576848.633554237 39.26, 192112.80241195654 6576847.9200233985 39.26, 192112.8489796265 6576847.876004088 39.26, 192113.3521487569 6576847.282082583 39.26, 192113.4993502529 6576847.119278972 39.26, 192114.00251938426 6576846.52535747 39.26, 192114.14889585914 6576846.352580311 39.26, 192114.79926648788 6576845.595855204 39.26, 192115.37562385877 6576844.91554514 39.25, 192115.4496371181 6576844.839130115 39.25, 192116.09918272775 6576844.072431473 39.25, 192116.74955335987 6576843.315706391 39.25, 192117.39992399327 6576842.558981321 39.24, 192118.0494696069 6576841.792282706 39.24, 192118.69984024268 6576841.035557647 39.230000000000004, 192119.35021087964 6576840.278832598 39.230000000000004, 192119.99975649657 6576839.512134004 39.22, 192120.65012713597 6576838.755408971 39.22, 192121.31047132693 6576837.997858921 39.21, 192121.96001694782 6576837.231160353 39.2, 192122.61038759042 6576836.474435341 39.19, 192122.82080377807 6576836.226068203 39.19, 192123.26075823425 6576835.717710334 39.19, 192123.9103038587 6576834.95101179 39.19, 192123.9743435682 6576834.875421791 39.19, 192124.03838327777 6576834.799831795 39.19, 192124.10242298734 6576834.724241797 39.18, 192124.16646269697 6576834.648651801 39.18, 192124.23050240625 6576834.573061801 39.18, 192124.3045156665 6576834.496646786 39.18, 192124.3685553763 6576834.42105679 39.18, 192124.43259508564 6576834.3454667935 39.18, 192124.49663479516 6576834.269876795 39.18, 192124.533228915 6576834.226682514 39.18, 192124.56067450496 6576834.194286799 39.18, 192124.6247142147 6576834.118696804 39.18, 192124.68875392433 6576834.043106807 39.18, 192124.75279363408 6576833.967516812 39.18, 192124.81683334382 6576833.891926817 39.18, 192124.89084660396 6576833.815511801 39.18, 192124.95488631353 6576833.739921803 39.18, 192125.01892602316 6576833.664331805 39.18, 192125.08296573278 6576833.588741808 39.18, 192125.14700544253 6576833.513151813 39.18, 192125.21104515222 6576833.4375618175 39.18, 192125.27508486208 6576833.361971823 39.18, 192125.3382995514 6576833.276408278 39.18, 192125.40233926132 6576833.200818282 39.18, 192125.47635252133 6576833.124403265 39.18, 192125.5403922312 6576833.048813269 39.18, 192125.604431941 6576832.973223274 39.17, 192125.66847165086 6576832.89763328 39.17, 192125.73251136072 6576832.822043285 39.17, 192125.79655107058 6576832.74645329 39.17, 192125.86059078044 6576832.670863293 39.17, 192125.92463049036 6576832.5952733 39.17, 192125.9886702001 6576832.519683302 39.17, 192126.05270991015 6576832.44409331 39.17, 192126.12672317034 6576832.367678295 39.17, 192126.1907628805 6576832.292088303 39.17, 192126.25480259024 6576832.216498305 39.17, 192126.31884229998 6576832.140908309 39.17, 192126.3828820099 6576832.065318314 39.17, 192126.44692172 6576831.989728321 39.17, 192126.5109614302 6576831.914138329 39.17, 192126.57500114018 6576831.838548334 39.17, 192126.6390408501 6576831.7629583385 39.17, 192126.7130541104 6576831.686543327 39.17, 192126.77709382056 6576831.610953332 39.17, 192126.84113353054 6576831.535363337 39.17, 192126.90517324064 6576831.459773344 39.17, 192126.96921295061 6576831.384183351 39.17, 192126.98668499058 6576831.352612659 39.17, 192127.03325266083 6576831.308593359 39.17, 192127.09729237063 6576831.233003361 39.160000000000004, 192127.64702919242 6576830.595062684 39.160000000000004, 192127.81087771262 6576830.390714868 39.160000000000004, 192128.46124836587 6576829.633989924 39.160000000000004, 192128.91949988873 6576829.104034963 39.15, 192129.12159257033 6576828.876439969 39.15, 192129.28544109163 6576828.672092157 39.15, 192129.44179112295 6576828.498490016 39.15, 192129.77113820595 6576828.109741491 39.15, 192130.42150886235 6576827.35301657 39.14, 192130.80574712687 6576826.899476633 39.14, 192130.8697868376 6576826.823886642 39.14, 192130.9438000985 6576826.747471635 39.14, 192131.0078398093 6576826.671881646 39.14, 192131.07187952002 6576826.596291658 39.14, 192131.1167971508 6576826.5323252585 39.14, 192131.135919231 6576826.520701666 39.14, 192131.19913392194 6576826.43513813 39.14, 192131.26317363285 6576826.359548141 39.14, 192131.3272133437 6576826.283958153 39.14, 192131.39125305472 6576826.2083681645 39.14, 192131.45529276552 6576826.132778176 39.14, 192131.52930602647 6576826.056363168 39.13, 192131.59334573738 6576825.98077318 39.13, 192131.63908838795 6576825.926780327 39.13, 192131.6573854481 6576825.905183189 39.13, 192131.7214251592 6576825.829593201 39.13, 192131.78546487016 6576825.754003211 39.13, 192131.849504581 6576825.678413226 39.13, 192131.91354429204 6576825.602823237 39.13, 192131.97758400312 6576825.527233249 39.13, 192132.04162371415 6576825.451643261 39.13, 192132.11563697504 6576825.375228256 39.13, 192132.17967668606 6576825.299638267 39.13, 192132.20712227636 6576825.2672425555 39.13, 192132.2437163972 6576825.224048277 39.13, 192132.2703369679 6576825.18167902 39.13, 192132.30775610823 6576825.14845829 39.13, 192132.527320832 6576824.889292619 39.13, 192133.02216648066 6576824.316143414 39.12, 192133.67171212327 6576823.549444979 39.12, 192133.90042537806 6576823.279480745 39.12, 192134.29463719623 6576822.825115814 39.12, 192134.45098722941 6576822.651513685 39.11, 192134.56909310236 6576822.501158734 39.11, 192134.88929165993 6576822.123208809 39.11, 192135.02734463295 6576821.971203824 39.11, 192135.05479022354 6576821.938808116 39.11, 192135.49391967477 6576821.420476797 39.11, 192136.06615198305 6576820.690299195 39.1, 192136.61678715545 6576819.941824544 39.1, 192136.90376498934 6576819.52645549 39.09, 192135.32194905734 6576819.948516539 39.07, 192130.45843237988 6576824.036169444 39.18, 192125.51527386578 6576827.889407564 39.22, 192124.81421041547 6576828.640284068 39.33, 192111.70616325754 6576843.893568995 39.29, 192111.01837346185 6576844.683514851 39.28))</t>
  </si>
  <si>
    <t>2022-06-16</t>
  </si>
  <si>
    <t>['FV2640 S1D1 m11611-11644']</t>
  </si>
  <si>
    <t>LINESTRING (178831.1223240315 6873565.760782538, 178841.37538000732 6873565.359910294, 178855.925749149 6873568.380191804, 178862.32676931802 6873571.531893826)</t>
  </si>
  <si>
    <t>POINT (178847.0226663536 6873567.136027044)</t>
  </si>
  <si>
    <t>['FV2640 S2D1 m2233-2258']</t>
  </si>
  <si>
    <t>LINESTRING (175875.46198983473 6873589.054453697, 175881.01300101436 6873585.477903597, 175887.71288953268 6873582.784218497, 175893.34402576822 6873581.539037344, 175898.89812805795 6873580.230325236)</t>
  </si>
  <si>
    <t>POINT (175886.82175531948 6873583.768185888)</t>
  </si>
  <si>
    <t>['FV2640 S2D1 m2533-2555']</t>
  </si>
  <si>
    <t>LINESTRING (175585.76667975396 6873642.605019822, 175591.3909695918 6873641.289100669, 175597.25978301337 6873640.3042691555, 175607.85844016942 6873639.789916198)</t>
  </si>
  <si>
    <t>POINT (175596.7506456534 6873640.738074789)</t>
  </si>
  <si>
    <t>['FV2640 S3D1 m1184-1211']</t>
  </si>
  <si>
    <t>LINESTRING (170273.2327594958 6875562.735104055, 170273.7018945124 6875556.595347117, 170273.4316775211 6875550.8815975, 170272.94162155048 6875548.023708576, 170271.36957704584 6875542.790509887, 170268.4137514333 6875532.801879375)</t>
  </si>
  <si>
    <t>POINT (170272.01064813806 6875547.621907654)</t>
  </si>
  <si>
    <t>2022-06-17</t>
  </si>
  <si>
    <t>[2632]</t>
  </si>
  <si>
    <t>['FV2632 S1D1 m3533-3562']</t>
  </si>
  <si>
    <t>LINESTRING (187265.58401826245 6876600.022037285, 187272.32479790616 6876596.641831676, 187280.9663155165 6876593.122119149, 187286.98684677837 6876591.542006502, 187293.56960431492 6876589.91017181)</t>
  </si>
  <si>
    <t>POINT (187279.32614289116 6876594.278138247)</t>
  </si>
  <si>
    <t>2022-06-22</t>
  </si>
  <si>
    <t>[285]</t>
  </si>
  <si>
    <t>['FV285 S3D1 m5012-5078']</t>
  </si>
  <si>
    <t>LINESTRING (239683.5766275117 6652280.217773049, 239707.1406517921 6652301.834856259, 239737.42283996352 6652319.523950254)</t>
  </si>
  <si>
    <t>POINT (239709.44111779906 6652301.306116266)</t>
  </si>
  <si>
    <t>2022-06-30</t>
  </si>
  <si>
    <t>['FV288 S1D1 m10530-10561']</t>
  </si>
  <si>
    <t>LINESTRING (210431.9447604898 6683806.761238055, 210457.79316070734 6683818.132192958)</t>
  </si>
  <si>
    <t>POINT (210444.86896059857 6683812.446715507)</t>
  </si>
  <si>
    <t>['FV287 S2D1 m5558-5604']</t>
  </si>
  <si>
    <t>LINESTRING (207424.71191358857 6660803.655835615, 207430.13362369512 6660781.088843107, 207438.84424706112 6660759.235779271)</t>
  </si>
  <si>
    <t>POINT (207430.97974020173 6660781.192241085)</t>
  </si>
  <si>
    <t>2025-11-22T09:20:56Z</t>
  </si>
  <si>
    <t>['RV36 S1D1 m2565-2615']</t>
  </si>
  <si>
    <t>LINESTRING Z (194074.10846771707 6564927.40021997 14.63, 194074.59652533685 6564921.154203186 14.77, 194074.66811112367 6564918.617812925 14.86, 194074.53790440975 6564917.0420039045 14.92, 194073.40654140827 6564911.492125245 15.11, 194072.3276674354 6564906.942066268 15.280000000000001, 194070.78318753216 6564901.496613609 15.44, 194068.26405235048 6564894.5852933815 15.66, 194064.90321361565 6564886.237286068 15.93, 194058.6845549649 6564881.097719338 16.19, 194059.15675367217 6564882.072900911 16.15, 194062.51414689748 6564889.406994907 15.88, 194065.44836526382 6564896.966844593 15.620000000000001, 194067.99773892562 6564904.608700906 15.36, 194070.1181691935 6564912.406498699 15.08, 194071.73151650303 6564920.386777744 14.77, 194072.29301610484 6564924.387134011 14.64, 194073.64702751563 6564928.864250841 14.39, 194073.9263497849 6564929.935701803 14.51, 194074.10846771707 6564927.40021997 14.63)</t>
  </si>
  <si>
    <t>POLYGON Z ((194074.10846771707 6564927.40021997 14.63, 194074.59652533685 6564921.154203186 14.77, 194074.66811112367 6564918.617812925 14.86, 194074.53790440975 6564917.0420039045 14.92, 194073.40654140827 6564911.492125245 15.11, 194072.3276674354 6564906.942066268 15.280000000000001, 194070.78318753216 6564901.496613609 15.44, 194068.26405235048 6564894.5852933815 15.66, 194064.90321361565 6564886.237286068 15.93, 194058.6845549649 6564881.097719338 16.19, 194059.15675367217 6564882.072900911 16.15, 194062.51414689748 6564889.406994907 15.88, 194065.44836526382 6564896.966844593 15.620000000000001, 194067.99773892562 6564904.608700906 15.36, 194070.1181691935 6564912.406498699 15.08, 194071.73151650303 6564920.386777744 14.77, 194072.29301610484 6564924.387134011 14.64, 194073.64702751563 6564928.864250841 14.39, 194073.9263497849 6564929.935701803 14.51, 194074.10846771707 6564927.40021997 14.63))</t>
  </si>
  <si>
    <t>2024-02-06</t>
  </si>
  <si>
    <t>['RV36 S1D1 m2842-2888']</t>
  </si>
  <si>
    <t>LINESTRING Z (193996.83884561353 6565183.836085755 4.9, 193997.0363394132 6565183.932059558 4.9, 193999.63631293364 6565180.502209758 5.04, 194001.59129908425 6565177.705742605 5.15, 194003.7289695136 6565174.391323008 5.2700000000000005, 194005.69361033698 6565171.213828544 5.39, 194008.27914247685 6565167.460811929 5.54, 194011.77165323857 6565161.968529681 5.75, 194015.13810475008 6565156.553481866 5.95, 194018.1925927751 6565151.979926366 6.13, 194022.3747815744 6565145.694115313 6.37, 194021.7355151875 6565145.253372478 6.4, 194017.67924743402 6565149.885028195 6.16, 194013.3988676897 6565155.66427165 5.88, 194009.6817091708 6565161.152229833 5.63, 194006.30027616402 6565166.165864868 5.43, 194003.68134264986 6565170.648523374 5.3, 194001.81669379515 6565174.35481622 5.18, 194001.0006206496 6565176.008496881 4.96, 193996.83884561353 6565183.836085755 4.9)</t>
  </si>
  <si>
    <t>POLYGON Z ((193996.83884561353 6565183.836085755 4.9, 193997.0363394132 6565183.932059558 4.9, 193999.63631293364 6565180.502209758 5.04, 194001.59129908425 6565177.705742605 5.15, 194003.7289695136 6565174.391323008 5.2700000000000005, 194005.69361033698 6565171.213828544 5.39, 194008.27914247685 6565167.460811929 5.54, 194011.77165323857 6565161.968529681 5.75, 194015.13810475008 6565156.553481866 5.95, 194018.1925927751 6565151.979926366 6.13, 194022.3747815744 6565145.694115313 6.37, 194021.7355151875 6565145.253372478 6.4, 194017.67924743402 6565149.885028195 6.16, 194013.3988676897 6565155.66427165 5.88, 194009.6817091708 6565161.152229833 5.63, 194006.30027616402 6565166.165864868 5.43, 194003.68134264986 6565170.648523374 5.3, 194001.81669379515 6565174.35481622 5.18, 194001.0006206496 6565176.008496881 4.96, 193996.83884561353 6565183.836085755 4.9))</t>
  </si>
  <si>
    <t>['FV280 S2D1 m8198-8221']</t>
  </si>
  <si>
    <t>LINESTRING (212759.63699129852 6672513.637224475, 212779.1699703643 6672500.0292621255)</t>
  </si>
  <si>
    <t>POINT (212769.40348083142 6672506.8332433)</t>
  </si>
  <si>
    <t>2022-10-10</t>
  </si>
  <si>
    <t>['EV6 S160D1 m3975-4040']</t>
  </si>
  <si>
    <t>LINESTRING Z (574765.3561819681 7581423.355008139 11.914801601848604, 574807.2873190376 7581372.92977029 10.175517862662673)</t>
  </si>
  <si>
    <t>POINT (574786.3217505028 7581398.142389215)</t>
  </si>
  <si>
    <t>['EV6 S160D1 m2884-2961']</t>
  </si>
  <si>
    <t>LINESTRING Z (573840.1261110879 7581612.809523505 50.29883891437203, 573776.1813496562 7581566.307905504 49.971901167184114)</t>
  </si>
  <si>
    <t>['EV6 S160D1 m3866-3931']</t>
  </si>
  <si>
    <t>LINESTRING Z (574670.6722132739 7581530.885198036 17.65603292826563, 574718.2739820817 7581486.286996776 14.338135386817157)</t>
  </si>
  <si>
    <t>POINT (574694.4730976778 7581508.586097406)</t>
  </si>
  <si>
    <t>['KV54097 S1D1 m1178-1225']</t>
  </si>
  <si>
    <t>LINESTRING Z (574855.095358581 7581486.799104942 12.040190530009568, 574873.3596319963 7581490.731797908 12.040199764072895, 574887.6385162506 7581494.301518971 12.040207304991782, 574900.4429505003 7581498.33685582 12.040214569307864)</t>
  </si>
  <si>
    <t>POINT (574877.8894470148 7581492.11019164)</t>
  </si>
  <si>
    <t>2022-10-13</t>
  </si>
  <si>
    <t>[3422]</t>
  </si>
  <si>
    <t>['FV3422 S3D1 m1910-1969']</t>
  </si>
  <si>
    <t>LINESTRING (126770.59670727112 6630600.553404513, 126774.60237672133 6630599.523935852, 126778.68242152716 6630598.274002906, 126783.66986042529 6630596.394959751, 126788.0471905421 6630594.487407335, 126791.7255148979 6630592.683578912, 126796.67366507812 6630589.620115532, 126800.64632372826 6630586.732941444, 126803.52372584492 6630584.695516658, 126806.22716666578 6630582.451313509, 126810.72893763497 6630578.558159103, 126815.10715894005 6630574.621342542, 126817.61979360424 6630572.172056994)</t>
  </si>
  <si>
    <t>['FV3422 S3D1 m1922-1961']</t>
  </si>
  <si>
    <t>LINESTRING (126814.37700072001 6630585.905656615, 126812.00083504204 6630587.847974921, 126808.46176643146 6630590.8710424425, 126804.32589049538 6630594.054850295, 126800.79945683538 6630596.807593096, 126796.99092221161 6630599.633468586, 126794.59607279481 6630601.162862181, 126791.93730601127 6630602.550552199, 126788.63688838878 6630603.9913683655, 126785.20390262944 6630605.41184647, 126782.31626454327 6630606.441313952, 126779.65136911871 6630607.2018052)</t>
  </si>
  <si>
    <t>2022-10-19</t>
  </si>
  <si>
    <t>[290]</t>
  </si>
  <si>
    <t>['FV290 S1D10 m1855-1922']</t>
  </si>
  <si>
    <t>LINESTRING (236461.43181038846 6677533.495349969, 236466.19859524444 6677546.243845182, 236470.49637333985 6677555.594596982, 236479.61626425904 6677571.721946464, 236491.45597570337 6677590.338770115)</t>
  </si>
  <si>
    <t>POINT (236475.19857289726 6677562.548058625)</t>
  </si>
  <si>
    <t>2022-11-02</t>
  </si>
  <si>
    <t>[243]</t>
  </si>
  <si>
    <t>['FV243 S1D1 m7973-8013']</t>
  </si>
  <si>
    <t>LINESTRING (218431.70430203265 6724418.497087263, 218438.1365820592 6724424.259619755, 218446.78201428254 6724429.996297738, 218458.21623147873 6724435.514624807, 218468.1056635226 6724438.278858624)</t>
  </si>
  <si>
    <t>POINT (218449.00909808965 6724430.036855149)</t>
  </si>
  <si>
    <t>2022-11-23</t>
  </si>
  <si>
    <t>['FV5368 S1D1 m909-965']</t>
  </si>
  <si>
    <t>LINESTRING Z (-34759.177773774136 6728891.909940494 39.35, -34762.37585695239 6728894.821518181 39.42, -34764.14027072629 6728896.121230005 39.45, -34766.59379080869 6728897.594842247 39.47, -34767.79748392943 6728898.198601289 39.49, -34770.13228308037 6728899.318896615 39.53, -34771.87313566089 6728900.545947563 39.550000000000004, -34774.21634304931 6728902.674202232 39.6, -34776.40382452647 6728906.832789483 39.72, -34780.26091103419 6728914.206137863 39.9, -34781.52967932436 6728916.628797557 39.89, -34782.60889507795 6728918.701725243 39.96, -34784.151546553476 6728921.653062452 40.04, -34785.70418609376 6728924.6053144615 40.13, -34787.63944159518 6728928.43864634 40.13, -34788.44104110077 6728930.133633301 40.33, -34789.07840487594 6728931.6423570495 40.39, -34790.58782995213 6728935.396403133 40.63, -34791.45546545577 6728937.470097968 40.63, -34791.96968249953 6728938.453877169 40.67)</t>
  </si>
  <si>
    <t>POINT (-34778.05377876913 6728913.110755788)</t>
  </si>
  <si>
    <t>2022-11-24</t>
  </si>
  <si>
    <t>['FV1563 S1D1 m1351-1405']</t>
  </si>
  <si>
    <t>LINESTRING Z (297351.6440620497 6670286.099098786 165.35070000000002, 297354.23534152313 6670268.375293064 164.35070000000002, 297358.2631696169 6670248.687290282 165.35080000000002, 297363.5097840127 6670233.3984016245 164.35080000000002)</t>
  </si>
  <si>
    <t>POINT (297356.5386087297 6670259.4982113475)</t>
  </si>
  <si>
    <t>2022-12-05</t>
  </si>
  <si>
    <t>['FV421 S4D1 m1915-1964']</t>
  </si>
  <si>
    <t>LINESTRING Z (144779.2274057744 6513883.756873237 41.34, 144779.71705182863 6513883.930544529 41.36, 144791.99527919694 6513883.068402453 41.59, 144793.0772487406 6513883.023531037 41.6, 144813.07379670872 6513883.643788227 42.17, 144813.26796554495 6513883.675198197 42.18, 144827.7065253163 6513887.340579206 42.62)</t>
  </si>
  <si>
    <t>POINT (144803.60073431494 6513884.036510885)</t>
  </si>
  <si>
    <t>['FV421 S4D1 m1911-1961']</t>
  </si>
  <si>
    <t>LINESTRING Z (144831.56384315854 6513896.078575378 42.550000000000004, 144817.52527168364 6513898.077545042 42.22, 144816.4970005991 6513898.157428915 42.2, 144804.46217692085 6513897.798923058 41.87, 144796.73254152422 6513897.544779358 41.67, 144795.7186585585 6513897.462325677 41.660000000000004, 144787.18049451517 6513896.341300249 41.59, 144781.57630885218 6513895.498224186 41.33)</t>
  </si>
  <si>
    <t>POINT (144806.57070218824 6513897.254120457)</t>
  </si>
  <si>
    <t>2023-01-18</t>
  </si>
  <si>
    <t>['FV128 S8D1 m1343-1375']</t>
  </si>
  <si>
    <t>LINESTRING Z (278845.459790275 6615059.853598156 103.19, 278846.3647608005 6615059.420013475 103.18, 278849.08783025225 6615058.098429696 103.15, 278851.82357152225 6615056.805833657 103.11, 278854.5393857596 6615055.515043258 103.08, 278857.2633578557 6615054.203423143 103.05, 278859.9692085042 6615052.913535651 103.01, 278862.7031439929 6615051.601012859 102.98, 278863.63800488674 6615051.164719923 102.97, 278864.5330118126 6615050.732038161 102.92, 278866.27140261396 6615049.851261631 102.89, 278868.85769121896 6615048.5722078215 102.86, 278870.665826402 6615047.685111812 102.82000000000001, 278872.1252066279 6615046.940114695 102.8, 278872.86531162093 6615046.571695097 102.8, 278873.5637570695 6615046.186959687 102.78, 278874.23050646426 6615045.785005673 102.78)</t>
  </si>
  <si>
    <t>POINT (278859.89228582423 6615052.911359888)</t>
  </si>
  <si>
    <t>['FV128 S8D1 m1336-1370']</t>
  </si>
  <si>
    <t>LINESTRING Z (278873.1588273451 6615028.081853814 102.49000000000001, 278872.2529541288 6615028.505474676 102.52, 278867.7480288936 6615030.671590954 102.58, 278863.2132130519 6615032.840415759 102.66, 278858.66662800265 6615034.990216531 102.76, 278854.10282420315 6615037.171713514 102.79, 278853.2168778548 6615037.59352893 102.76, 278849.5942872643 6615039.297976458 102.77, 278846.5885958959 6615040.715485171 102.81, 278844.57844928757 6615041.701247781 102.83, 278843.8501131778 6615042.088691622 102.83, 278842.2955788124 6615043.00303542 102.85000000000001)</t>
  </si>
  <si>
    <t>POINT (278857.68591378815 6615035.464226812)</t>
  </si>
  <si>
    <t>2023-02-16</t>
  </si>
  <si>
    <t>[24]</t>
  </si>
  <si>
    <t>['FV24 S8D1 m6793-6849']</t>
  </si>
  <si>
    <t>LINESTRING (299528.9529441794 6734979.097052022, 299529.5018559562 6734980.204731685, 299529.6937018716 6734979.23415451, 299530.36586944724 6734975.7031643065, 299532.25959169975 6734965.262160577, 299534.26323459775 6734953.364089624, 299536.1986117722 6734942.396196525, 299538.443682236 6734929.826122385, 299539.5097282381 6734923.851173161, 299538.46847257705 6734925.382701554, 299537.68121940887 6734926.565184081, 299534.21316496213 6734933.51167226, 299530.8096147763 6734941.023758997, 299528.9804054359 6734950.85846242, 299527.71093238046 6734960.137268652, 299527.5686383153 6734970.201197429, 299527.5824756217 6734975.725063644, 299528.9529441794 6734979.097052022)</t>
  </si>
  <si>
    <t>['FV24 S8D1 m6927-6978']</t>
  </si>
  <si>
    <t>LINESTRING (299512.87412422313 6735106.695763909, 299516.1954611931 6735099.869060803, 299518.70844924846 6735093.065300103, 299519.9639847169 6735087.838667942, 299521.57331503043 6735079.355568032, 299523.3091909037 6735070.396626826, 299523.79618269036 6735062.679504508, 299524.0730533703 6735057.853657553, 299522.95277183637 6735056.800291396, 299520.5842958147 6735070.5826750975, 299518.7765912912 6735079.724214186, 299516.97435238364 6735088.865449035, 299515.52775566815 6735095.564857946, 299512.92352182243 6735106.503262736, 299512.87412422313 6735106.695763909)</t>
  </si>
  <si>
    <t>['FV24 S8D1 m6165-6216']</t>
  </si>
  <si>
    <t>LINESTRING (299674.585711887 6734379.27658633, 299677.06062842184 6734378.133682731, 299679.4522290715 6734376.381594745, 299683.98639319075 6734372.924835228, 299685.92680605035 6734371.4212037595, 299688.4381639969 6734369.070900092, 299693.9791564157 6734363.560054574, 299700.9980102553 6734356.8839684045, 299703.7578529731 6734354.084508014, 299704.4994721291 6734353.0608804, 299705.4705585862 6734351.444057028, 299706.5873445637 6734349.986498494, 299708.0297705068 6734347.796436409, 299708.74650449154 6734346.327768236, 299709.3654911681 6734345.165908974, 299709.48553472135 6734344.768566744, 299709.5662966261 6734344.451547068, 299709.8759463922 6734343.1395742865, 299709.05393516284 6734343.899836252, 299704.7623056101 6734347.878716041, 299698.9501157572 6734353.237296058, 299692.5201032942 6734359.288929232, 299685.8598821935 6734365.822206162, 299677.7654161035 6734374.29957703, 299673.026764005 6734379.676286436, 299674.585711887 6734379.27658633)</t>
  </si>
  <si>
    <t>['FV24 S8D1 m6173-6228']</t>
  </si>
  <si>
    <t>LINESTRING (299660.8123256363 6734382.971137137, 299662.1338675722 6734381.457465921, 299662.6379208132 6734380.8823897755, 299664.6946603779 6734378.52401494, 299668.1608455526 6734374.658216845, 299674.7443996149 6734367.537667094, 299682.1769248539 6734359.845088763, 299685.4830585448 6734356.345408742, 299689.5466226407 6734352.691762235, 299693.7720070406 6734348.604959116, 299699.88362138695 6734342.827835455, 299690.62817147246 6734348.256225699, 299681.1331063778 6734354.780644975, 299678.08316401124 6734356.89321682, 299675.1798394683 6734359.377059427, 299671.9075442574 6734362.796731302, 299668.4464672172 6734366.851973131, 299663.533564089 6734374.102302646, 299660.90698957327 6734380.555099667, 299660.8123256363 6734382.971137137)</t>
  </si>
  <si>
    <t>['EV6 S42D1 m4450-4480']</t>
  </si>
  <si>
    <t>LINESTRING (250306.9274802142 6802666.973446345, 250278.6183090744 6802676.632047869)</t>
  </si>
  <si>
    <t>POINT (250292.7728946443 6802671.802747107)</t>
  </si>
  <si>
    <t>2025-11-22T09:21:00Z</t>
  </si>
  <si>
    <t>[6591]</t>
  </si>
  <si>
    <t>['FV6591 S1D1 m1451-1518']</t>
  </si>
  <si>
    <t>LINESTRING Z (262862.770019531 7020641.61035156 25.841, 262862.75 7020639.50976563 25.891, 262862.639892578 7020627.26953125 26.161, 262862.469970703 7020612.12988281 26.491, 262862.179931641 7020592.95019531 26.921, 262861.899902344 7020574.55957031 27.401)</t>
  </si>
  <si>
    <t>POINT (262862.37986605393 7020608.084404351)</t>
  </si>
  <si>
    <t>['FV6591 S1D1 m1530-1609']</t>
  </si>
  <si>
    <t>LINESTRING Z (262870.340087891 7020732.37011719 24.371, 262870.310058594 7020726.15039063 24.451, 262870.179931641 7020717.80957031 24.571, 262870.110107422 7020708.74023438 24.661, 262869.899902344 7020694.98046875 24.801, 262869.780029297 7020681.20996094 25.021, 262869.530029297 7020665.15039063 25.281, 262869.419921875 7020653.25 25.531)</t>
  </si>
  <si>
    <t>POINT (262869.89203167264 7020692.8099891655)</t>
  </si>
  <si>
    <t>2023-07-05</t>
  </si>
  <si>
    <t>['RV3 S24D1 m8634 SD1 m5-175']</t>
  </si>
  <si>
    <t>LINESTRING (262727.21559668425 6933610.765827204, 262734.52594106493 6933613.988341579, 262740.8204895359 6933622.413553772, 262748.3965976675 6933635.180031692, 262753.0021078571 6933645.248005422, 262759.6688637915 6933658.911626414, 262766.7353617269 6933674.347291896, 262772.1811201334 6933698.078374534, 262774.38679606747 6933719.26880744, 262773.73256095406 6933733.454240801, 262768.6083882628 6933751.144069287, 262762.7279257624 6933764.037118236)</t>
  </si>
  <si>
    <t>['FV1390 S1D1 m634-691']</t>
  </si>
  <si>
    <t>LINESTRING Z (256822.03717161226 6624524.461896427 90.89, 256821.9664369882 6624524.789821751 90.83, 256825.96042872913 6624525.623249816 90.83, 256830.89472045167 6624526.632635359 90.83, 256836.3354083145 6624527.686523773 90.82000000000001, 256841.64564384636 6624528.742194772 90.79, 256846.78739808424 6624529.712672063 90.74, 256850.7134642838 6624530.461834545 90.7, 256853.84870935066 6624531.021484191 90.65, 256856.31994598184 6624531.460498846 90.62, 256860.00506293974 6624532.100897652 90.56, 256864.99194008374 6624532.914616848 90.48, 256868.73230521847 6624533.610288675 90.42, 256873.5687994332 6624534.42759781 90.33, 256877.59815683338 6624535.097062566 90.25, 256877.65347931735 6624534.820771058 90.3, 256873.6858196015 6624533.723728507 90.39, 256869.04069490547 6624531.914485847 90.5, 256865.39199733728 6624530.456960437 90.56, 256864.37927898407 6624530.036389913 90.58, 256863.3502448558 6624529.657487804 90.62, 256862.3972933612 6624529.342016695 90.64, 256861.49233609557 6624529.112618172 90.67, 256860.46232418367 6624529.055315449 90.68, 256856.52719673575 6624528.317021938 90.74, 256852.38914918533 6624527.556941087 90.78, 256848.61979149014 6624526.873945294 90.82000000000001, 256847.6451019887 6624526.540350974 90.83, 256844.6303436182 6624525.979822189 90.85000000000001, 256842.15820308385 6624525.530842109 90.88, 256841.07477464163 6624525.32767516 90.88, 256839.97683779278 6624525.18610716 90.89, 256838.8798046221 6624525.054504418 90.88, 256837.7836751297 6624524.932866938 90.9, 256836.7128982803 6624524.869213655 90.9, 256831.23481351128 6624524.954051487 90.9, 256826.105537416 6624524.896738652 90.89, 256822.03717161226 6624524.461896427 90.89)</t>
  </si>
  <si>
    <t>POLYGON Z ((256822.03717161226 6624524.461896427 90.89, 256821.9664369882 6624524.789821751 90.83, 256825.96042872913 6624525.623249816 90.83, 256830.89472045167 6624526.632635359 90.83, 256836.3354083145 6624527.686523773 90.82000000000001, 256841.64564384636 6624528.742194772 90.79, 256846.78739808424 6624529.712672063 90.74, 256850.7134642838 6624530.461834545 90.7, 256853.84870935066 6624531.021484191 90.65, 256856.31994598184 6624531.460498846 90.62, 256860.00506293974 6624532.100897652 90.56, 256864.99194008374 6624532.914616848 90.48, 256868.73230521847 6624533.610288675 90.42, 256873.5687994332 6624534.42759781 90.33, 256877.59815683338 6624535.097062566 90.25, 256877.65347931735 6624534.820771058 90.3, 256873.6858196015 6624533.723728507 90.39, 256869.04069490547 6624531.914485847 90.5, 256865.39199733728 6624530.456960437 90.56, 256864.37927898407 6624530.036389913 90.58, 256863.3502448558 6624529.657487804 90.62, 256862.3972933612 6624529.342016695 90.64, 256861.49233609557 6624529.112618172 90.67, 256860.46232418367 6624529.055315449 90.68, 256856.52719673575 6624528.317021938 90.74, 256852.38914918533 6624527.556941087 90.78, 256848.61979149014 6624526.873945294 90.82000000000001, 256847.6451019887 6624526.540350974 90.83, 256844.6303436182 6624525.979822189 90.85000000000001, 256842.15820308385 6624525.530842109 90.88, 256841.07477464163 6624525.32767516 90.88, 256839.97683779278 6624525.18610716 90.89, 256838.8798046221 6624525.054504418 90.88, 256837.7836751297 6624524.932866938 90.9, 256836.7128982803 6624524.869213655 90.9, 256831.23481351128 6624524.954051487 90.9, 256826.105537416 6624524.896738652 90.89, 256822.03717161226 6624524.461896427 90.89))</t>
  </si>
  <si>
    <t>[2930]</t>
  </si>
  <si>
    <t>['FV2930 S1D1 m991-1012']</t>
  </si>
  <si>
    <t>LINESTRING (150084.33578085684 6741120.479471376, 150104.03574331745 6741114.0575961685)</t>
  </si>
  <si>
    <t>POINT (150094.18576208715 6741117.268533772)</t>
  </si>
  <si>
    <t>2023-07-18</t>
  </si>
  <si>
    <t>['FV1809 S1D1 m1775-1824']</t>
  </si>
  <si>
    <t>LINESTRING Z (300263.3000890514 6749795.6928292615 253.84, 300256.5109402017 6749790.449300772 253.84, 300251.7110475329 6749786.961985726 253.8, 300247.9668312293 6749784.251751341 253.78, 300238.6316054354 6749777.423618128 253.75, 300234.38532271894 6749774.277276658 253.76000000000002, 300229.8482512218 6749771.027022241 253.76000000000002, 300226.22009134974 6749768.486950727 253.77, 300222.49314494623 6749765.855490573 253.75, 300223.15273716964 6749767.351955502 253.67000000000002, 300225.23848366085 6749769.722105251 253.62, 300227.8568267532 6749772.204123708 253.58, 300231.1443676633 6749775.739749273 253.69, 300232.4593000625 6749776.824533724 253.69, 300233.2576368792 6749777.424319675 253.68, 300234.873319113 6749778.6121031605 253.68, 300236.479040216 6749779.800800251 253.68, 300237.4486322748 6749780.515462533 253.67000000000002, 300238.8921455968 6749781.578408448 253.67000000000002, 300240.3030346312 6749782.6142118955 253.68, 300241.3061645977 6749783.365977703 253.68, 300242.3509663251 6749784.134011186 253.69, 300243.15835059976 6749784.722922284 253.70000000000002, 300244.5266542121 6749785.732496849 253.70000000000002, 300246.1323752657 6749786.921193758 253.71, 300247.748057432 6749788.108976994 253.72, 300248.7928591373 6749788.877010396 253.73000000000002, 300250.22358145646 6749789.800500429 253.74, 300252.907933339 6749791.030893503 253.75, 300261.66053898016 6749795.230469663 253.71, 300263.3000890514 6749795.6928292615 253.84)</t>
  </si>
  <si>
    <t>POLYGON Z ((300263.3000890514 6749795.6928292615 253.84, 300256.5109402017 6749790.449300772 253.84, 300251.7110475329 6749786.961985726 253.8, 300247.9668312293 6749784.251751341 253.78, 300238.6316054354 6749777.423618128 253.75, 300234.38532271894 6749774.277276658 253.76000000000002, 300229.8482512218 6749771.027022241 253.76000000000002, 300226.22009134974 6749768.486950727 253.77, 300222.49314494623 6749765.855490573 253.75, 300223.15273716964 6749767.351955502 253.67000000000002, 300225.23848366085 6749769.722105251 253.62, 300227.8568267532 6749772.204123708 253.58, 300231.1443676633 6749775.739749273 253.69, 300232.4593000625 6749776.824533724 253.69, 300233.2576368792 6749777.424319675 253.68, 300234.873319113 6749778.6121031605 253.68, 300236.479040216 6749779.800800251 253.68, 300237.4486322748 6749780.515462533 253.67000000000002, 300238.8921455968 6749781.578408448 253.67000000000002, 300240.3030346312 6749782.6142118955 253.68, 300241.3061645977 6749783.365977703 253.68, 300242.3509663251 6749784.134011186 253.69, 300243.15835059976 6749784.722922284 253.70000000000002, 300244.5266542121 6749785.732496849 253.70000000000002, 300246.1323752657 6749786.921193758 253.71, 300247.748057432 6749788.108976994 253.72, 300248.7928591373 6749788.877010396 253.73000000000002, 300250.22358145646 6749789.800500429 253.74, 300252.907933339 6749791.030893503 253.75, 300261.66053898016 6749795.230469663 253.71, 300263.3000890514 6749795.6928292615 253.84))</t>
  </si>
  <si>
    <t>['FV1809 S1D1 m1130-1183']</t>
  </si>
  <si>
    <t>LINESTRING Z (299703.27605221083 6749491.466948892 244.44, 299701.7921317005 6749490.839634037 244.45000000000002, 299698.05692632444 6749489.213407065 244.46, 299696.2967453322 6749488.5310705 244.47, 299693.73127118323 6749487.611199934 244.47, 299689.1573231094 6749485.82082139 244.49, 299684.4194281349 6749483.99525475 244.52, 299680.415359442 6749482.504181464 244.54, 299674.493469323 6749480.254825017 244.58, 299668.61416449747 6749478.031697387 244.64000000000001, 299662.8480867698 6749475.838364427 244.71, 299657.9381102418 6749473.998444976 244.75, 299654.2484074208 6749472.649302414 244.76, 299665.3913751141 6749479.582905206 244.6, 299667.6502352621 6749480.9929665215 244.57, 299668.516297801 6749481.345466537 244.56, 299669.557181904 6749481.742202067 244.56, 299671.83643484255 6749482.607964884 244.53, 299677.676808554 6749484.844707878 244.48000000000002, 299680.7061556733 6749486.00329215 244.45000000000002, 299681.6519074788 6749486.348483149 244.46, 299682.69279149116 6749486.745218589 244.45000000000002, 299683.6114006351 6749487.123033935 244.44, 299685.70130255783 6749487.895668833 244.44, 299688.2206255077 6749488.859952211 244.43, 299689.3583802907 6749489.217667934 244.43, 299690.1446647426 6749489.466990315 244.42000000000002, 299703.27605221083 6749491.466948892 244.44)</t>
  </si>
  <si>
    <t>POLYGON Z ((299703.27605221083 6749491.466948892 244.44, 299701.7921317005 6749490.839634037 244.45000000000002, 299698.05692632444 6749489.213407065 244.46, 299696.2967453322 6749488.5310705 244.47, 299693.73127118323 6749487.611199934 244.47, 299689.1573231094 6749485.82082139 244.49, 299684.4194281349 6749483.99525475 244.52, 299680.415359442 6749482.504181464 244.54, 299674.493469323 6749480.254825017 244.58, 299668.61416449747 6749478.031697387 244.64000000000001, 299662.8480867698 6749475.838364427 244.71, 299657.9381102418 6749473.998444976 244.75, 299654.2484074208 6749472.649302414 244.76, 299665.3913751141 6749479.582905206 244.6, 299667.6502352621 6749480.9929665215 244.57, 299668.516297801 6749481.345466537 244.56, 299669.557181904 6749481.742202067 244.56, 299671.83643484255 6749482.607964884 244.53, 299677.676808554 6749484.844707878 244.48000000000002, 299680.7061556733 6749486.00329215 244.45000000000002, 299681.6519074788 6749486.348483149 244.46, 299682.69279149116 6749486.745218589 244.45000000000002, 299683.6114006351 6749487.123033935 244.44, 299685.70130255783 6749487.895668833 244.44, 299688.2206255077 6749488.859952211 244.43, 299689.3583802907 6749489.217667934 244.43, 299690.1446647426 6749489.466990315 244.42000000000002, 299703.27605221083 6749491.466948892 244.44))</t>
  </si>
  <si>
    <t>['FV1809 S1D1 m1794-1849']</t>
  </si>
  <si>
    <t>LINESTRING Z (300257.8277032166 6749779.17866576 253.68, 300242.4538807617 6749771.347432574 253.72, 300243.85855199414 6749772.534480195 253.71, 300246.20914948714 6749774.287686885 253.73000000000002, 300250.9726742602 6749777.597529668 253.73000000000002, 300254.05892295355 6749779.705148536 253.74, 300256.936076988 6749781.942439668 253.76000000000002, 300260.28057891096 6749784.237314517 253.76000000000002, 300263.74305367714 6749786.832761204 253.78, 300267.4438594569 6749789.617291187 253.8, 300271.42284072057 6749792.587249886 253.82, 300279.1272069387 6749798.500202116 253.84, 300282.74284176226 6749801.232273818 253.87, 300287.1785626819 6749804.582225835 253.9, 300285.8034192609 6749802.950494317 253.87, 300278.5016705078 6749794.308576338 253.74, 300277.2139697729 6749793.3016541535 253.76000000000002, 300275.5982879248 6749792.113871273 253.76000000000002, 300273.83218673244 6749790.819345886 253.75, 300273.02388898097 6749790.22047386 253.75, 300271.40912075015 6749789.0426520165 253.74, 300269.8033999911 6749787.853955389 253.74, 300268.1886317431 6749786.676133487 253.73000000000002, 300266.5729498477 6749785.488350435 253.73000000000002, 300265.7755268358 6749784.898525817 253.72, 300264.1598449279 6749783.710742721 253.72, 300262.54416301125 6749782.52295959 253.71, 300260.93935584486 6749781.344223912 253.71, 300259.4750068935 6749780.273144346 253.70000000000002, 300258.4991084355 6749779.599240312 253.68, 300257.8277032166 6749779.17866576 253.68)</t>
  </si>
  <si>
    <t>POLYGON Z ((300257.8277032166 6749779.17866576 253.68, 300242.4538807617 6749771.347432574 253.72, 300243.85855199414 6749772.534480195 253.71, 300246.20914948714 6749774.287686885 253.73000000000002, 300250.9726742602 6749777.597529668 253.73000000000002, 300254.05892295355 6749779.705148536 253.74, 300256.936076988 6749781.942439668 253.76000000000002, 300260.28057891096 6749784.237314517 253.76000000000002, 300263.74305367714 6749786.832761204 253.78, 300267.4438594569 6749789.617291187 253.8, 300271.42284072057 6749792.587249886 253.82, 300279.1272069387 6749798.500202116 253.84, 300282.74284176226 6749801.232273818 253.87, 300287.1785626819 6749804.582225835 253.9, 300285.8034192609 6749802.950494317 253.87, 300278.5016705078 6749794.308576338 253.74, 300277.2139697729 6749793.3016541535 253.76000000000002, 300275.5982879248 6749792.113871273 253.76000000000002, 300273.83218673244 6749790.819345886 253.75, 300273.02388898097 6749790.22047386 253.75, 300271.40912075015 6749789.0426520165 253.74, 300269.8033999911 6749787.853955389 253.74, 300268.1886317431 6749786.676133487 253.73000000000002, 300266.5729498477 6749785.488350435 253.73000000000002, 300265.7755268358 6749784.898525817 253.72, 300264.1598449279 6749783.710742721 253.72, 300262.54416301125 6749782.52295959 253.71, 300260.93935584486 6749781.344223912 253.71, 300259.4750068935 6749780.273144346 253.70000000000002, 300258.4991084355 6749779.599240312 253.68, 300257.8277032166 6749779.17866576 253.68))</t>
  </si>
  <si>
    <t>2023-07-31</t>
  </si>
  <si>
    <t>['FV5582 S3D1 m6159-6229']</t>
  </si>
  <si>
    <t>LINESTRING Z (-48566.05238790123 6794269.050778568 17.259, -48561.222346824245 6794267.696273016 17.527, -48556.57420294685 6794265.666722077 17.796, -48555.43370603025 6794265.083143529 17.862000000000002, -48554.29207119392 6794264.50041248 17.926000000000002, -48553.15157430107 6794263.916833965 17.987000000000002, -48552.01008471241 6794263.333110241 18.046, -48550.85767742153 6794262.789361441 18.101, -48549.70611762826 6794262.246750585 18.155, -48548.55371036322 6794261.703001818 18.205000000000002, -48547.402295819134 6794261.159398287 18.254, -48546.19672839914 6794260.812691163 18.299, -48544.99130621913 6794260.464991343 18.342, -48543.78687676368 6794260.117436756 18.382, -48542.581309393165 6794259.770729665 18.42, -48541.37172349205 6794259.437630048 18.455000000000002, -48540.163130315836 6794259.104675661 18.488, -48538.953689672286 6794258.770583356 18.517, -48537.745096529485 6794258.437628993 18.545, -48536.53551069612 6794258.104529414 18.569, -48535.326917586965 6794257.771575071 18.591, -48534.11832449515 6794257.438620737 18.611, -48532.908738712315 6794257.105521189 18.628, -48531.700145654264 6794256.7725668745 18.642, -48530.4905599053 6794256.439467349 18.654, -48529.28196688078 6794256.106513057 18.663, -48528.07238116558 6794255.77341355 18.669, -48526.86378817493 6794255.440459278 18.673000000000002, -48525.65434771683 6794255.106367089 18.674, -48524.445754759945 6794254.773412838 18.673000000000002, -48523.236169112264 6794254.440313373 18.669, -48518.36432360241 6794253.239898 18.643, -48513.305134734954 6794252.730968356 18.618000000000002, -48510.769451920874 6794252.49386401 18.604, -48508.23376918642 6794252.256759681 18.586000000000002, -48505.700798064354 6794252.0149822775 18.564, -48503.16896495328 6794251.772357407 18.537, -48500.721495406586 6794251.209497831 18.507, -48498.27000738669 6794250.660245747 18.477)</t>
  </si>
  <si>
    <t>POINT (-48532.64433121464 6794258.091624977)</t>
  </si>
  <si>
    <t>['FV5582 S3D1 m5845-5914']</t>
  </si>
  <si>
    <t>LINESTRING Z (-48258.33589295205 6794211.118143331 20.116, -48258.32814845012 6794211.184944968 20.114, -48255.82189905015 6794211.100183968 20.067, -48255.21966989443 6794211.079004596 20.057000000000002, -48254.426286584814 6794211.068391372 20.043, -48253.81500383373 6794211.081375758 20.033, -48251.36569368269 6794211.321296422 19.988, -48249.55597346905 6794211.611182765 19.955000000000002, -48248.76894070604 6794211.737367689 19.941, -48246.80973613239 6794212.051013659 19.91, -48244.851524309954 6794212.364804833 19.882, -48243.71668733482 6794212.54657413 19.868000000000002, -48241.910090626334 6794212.835903383 19.847, -48241.71489412093 6794212.867171089 19.845, -48240.08574665303 6794213.128720065 19.828, -48239.39812751277 6794213.226862308 19.821, -48238.665884402115 6794213.30428123 19.815, -48236.138142689946 6794213.366440392 19.799, -48235.19842026278 6794213.3303634 19.794, -48233.646687037195 6794213.270662096 19.787, -48231.68453352188 6794213.195534207 19.778, -48228.85132335313 6794213.086262833 19.768, -48228.63455188309 6794213.077872183 19.768, -48226.14721250301 6794212.981682094 19.765, -48223.65972797829 6794212.886484714 19.766000000000002, -48223.622417043895 6794212.885082299 19.766000000000002, -48221.42845654453 6794212.800378146 19.772000000000002, -48218.60928981623 6794212.69214722 19.784, -48216.66544100747 6794212.616655252 19.796, -48214.72045431915 6794212.542010776 19.811, -48214.36451142852 6794212.528469981 19.814, -48213.59715560777 6794212.499357388 19.821, -48210.1408704893 6794212.365857033 19.851, -48208.58678613638 6794212.245988804 19.866, -48208.55402691371 6794212.241196463 19.867, -48208.49318154261 6794212.234323299 19.868000000000002, -48206.143738129875 6794211.8054519575 19.898, -48203.616156755714 6794211.187275194 19.936, -48201.380334908725 6794210.640170459 19.97, -48198.64038666652 6794209.96963373 20.011, -48195.1779888554 6794209.122433667 20.063, -48193.66285244981 6794208.812571192 20.084, -48191.656940988614 6794208.586047401 20.106, -48191.04977265361 6794208.55704781 20.112000000000002, -48189.289598510135 6794208.501327971 20.126, -48188.64579768048 6794208.480150747 20.132)</t>
  </si>
  <si>
    <t>POINT (-48223.43971349397 6794211.795429151)</t>
  </si>
  <si>
    <t>['FV5582 S3D1 m6283-6367']</t>
  </si>
  <si>
    <t>LINESTRING Z (-48700.572026662296 6794296.217812858 9.296, -48695.57096230169 6794296.732352555 9.562, -48690.6071468225 6794297.941830448 9.846, -48685.64718521829 6794299.22893248 10.151, -48684.38712129672 6794299.51811321 10.234, -48683.12768601556 6794299.789134714 10.319, -48680.60716826527 6794300.314713447 10.493, -48679.2997822779 6794300.372887402 10.568, -48678.645471574855 6794300.395800289 10.607000000000001, -48677.99091815285 6794300.406510209 10.646, -48676.684061277076 6794300.391756843 10.725, -48675.37667124905 6794300.366785933 10.805, -48672.87103745458 6794300.263862326 10.969, -48670.364556253306 6794300.159800797 11.13, -48669.07588052831 6794300.097009439 11.207, -48667.78720482392 6794300.034218084 11.282, -48667.14262425469 6794299.990619446 11.318, -48666.4987936744 6794299.934963077 11.355, -48665.213141810265 6794299.816846594 11.426, -48662.715032037115 6794299.586251487 11.562, -48660.21692234231 6794299.35565639 11.691, -48657.66656117467 6794299.0940964315 11.808, -48655.12440424063 6794298.755662218 11.922, -48652.58815386309 6794298.390715323 12.041, -48650.05076563114 6794298.026615943 12.164, -48647.53538205428 6794297.574479792 12.299, -48645.01985332975 6794297.123336381 12.439, -48642.521170707885 6794296.557038759 12.58, -48640.04035281099 6794295.91021038 12.726, -48637.54503024649 6794295.230841522 12.862, -48636.29786534596 6794294.891229715 12.929, -48635.67414960847 6794294.718869434 12.961, -48635.057187835104 6794294.521134397 12.994, -48632.67720641766 6794293.718713333 13.123000000000001, -48630.29722506262 6794292.916292322 13.248000000000001, -48628.04179519054 6794291.699133826 13.367, -48625.77917573333 6794290.510328285 13.481, -48624.602701890515 6794289.992462645 13.541, -48624.014041232294 6794289.732960866 13.57, -48623.431698861066 6794289.451062459 13.599, -48622.857707915595 6794289.132869509 13.629, -48622.30030051421 6794288.777558387 13.658, -48621.207056662184 6794288.023449924 13.718, -48621.06681608723 6794287.956292138 13.726, -48620.92299262865 6794287.8997637 13.734, -48620.63406255515 6794287.78854702 13.75, -48620.056057186564 6794287.567106369 13.782, -48618.8996107867 6794287.127203204 13.846, -48618.309718845296 6794286.93849809 13.878, -48617.7169462844 6794286.762552967 13.911, -48616.531255950336 6794286.411655438 13.978)</t>
  </si>
  <si>
    <t>POINT (-48657.94674872705 6794296.55317101)</t>
  </si>
  <si>
    <t>['FV5582 S3D1 m5697-5762']</t>
  </si>
  <si>
    <t>LINESTRING Z (-48105.98569215962 6794201.535637191 20.692, -48103.48673039768 6794201.352575312 20.72, -48100.98958293616 6794201.1363186 20.747, -48098.48575810902 6794200.542910777 20.774, -48097.23320414999 6794200.24712697 20.788, -48096.606999788666 6794200.098738719 20.795, -48095.97929550626 6794199.974465771 20.802, -48090.98246843077 6794198.776052176 20.856, -48088.48264277959 6794198.259275501 20.883, -48087.23365007329 6794198.001528749 20.892, -48085.983664683416 6794197.743636784 20.899, -48084.723205801914 6794197.689029892 20.902, -48083.46373964264 6794197.634568226 20.903, -48082.2032808013 6794197.579961335 20.900000000000002, -48080.94282197952 6794197.52535445 20.895, -48079.67527115054 6794197.512295833 20.886, -48078.40658241755 6794197.500084698 20.875, -48077.138572110794 6794197.497098329 20.86, -48075.86942389957 6794197.49495944 20.843, -48074.61349724198 6794197.52720101 20.822, -48073.3565779021 6794197.559297361 20.799, -48072.09965858224 6794197.591393708 20.772000000000002, -48070.84373198415 6794197.623635277 20.743000000000002, -48069.53575134475 6794197.692875525 20.711000000000002, -48068.22890865104 6794197.761268287 20.675, -48066.921920756344 6794197.83065375 20.636, -48066.26885055762 6794197.865915443 20.616, -48065.61556358519 6794197.923452246 20.595, -48064.292185280356 6794198.014774667 20.55, -48062.96895221912 6794198.105104381 20.503, -48060.33174110437 6794198.402707592 20.398, -48059.11710479378 6794198.603220878 20.342, -48057.89888354647 6794198.772791327 20.282, -48056.67981483741 6794198.941223846 20.22, -48055.460600924795 6794199.110649063 20.154, -48054.24834859604 6794199.53052347 20.085, -48053.03595106187 6794199.951390566 20.014, -48051.82355354389 6794200.372257649 19.939, -48050.61130126391 6794200.79213202 19.861, -48045.8159781876 6794202.624477367 19.544, -48043.393409397104 6794203.437132571 19.386, -48043.090570150176 6794203.538838556 19.366, -48042.78811886511 6794203.651754701 19.346, -48042.190093651996 6794203.899885948 19.307000000000002, -48040.99389801512 6794204.397141132 19.227)</t>
  </si>
  <si>
    <t>POINT (-48073.23666624716 6794199.386665037)</t>
  </si>
  <si>
    <t>['FV5356 S1D1 m2821-2882']</t>
  </si>
  <si>
    <t>LINESTRING Z (-23551.068507767923 6736027.081626299 29.14, -23551.023941822525 6736028.447197737 29.09, -23550.69018230983 6736032.968703174 28.96, -23550.206615643576 6736037.476481028 28.830000000000002, -23549.76228336786 6736040.457062963 28.75, -23549.399560669204 6736042.32724281 28.7, -23549.256516854162 6736043.009033599 28.68, -23549.033336747554 6736044.015823916 28.69, -23548.938557731453 6736044.500617557 28.69, -23548.205513624067 6736047.444672346 28.67, -23548.087099647208 6736047.967584176 28.67, -23547.968685668777 6736048.490496 28.67, -23547.849197022966 6736049.244942215 28.69, -23547.476327570155 6736051.335754084 28.75, -23547.062791793433 6736054.419867893 28.77, -23546.71825069585 6736057.520375014 28.830000000000002, -23546.48854665557 6736057.499326068 28.810000000000002, -23546.51333604008 6736057.118899871 28.8, -23546.724702727457 6736053.60334955 28.77, -23546.855135526974 6736051.520534997 28.77, -23546.98648346268 6736049.427733306 28.740000000000002, -23547.282683568483 6736044.107177739 28.78, -23547.493453676347 6736040.158519977 28.85, -23547.75340362324 6736036.002877918 28.92, -23547.96874932252 6736032.004284446 29.05, -23548.170447084936 6736028.044724318 29.21, -23548.37580539653 6736024.045215639 29.34, -23548.549371844972 6736020.0629357 29.560000000000002, -23548.735591085744 6736016.162383141 29.79, -23548.8864375127 6736012.208234227 30.03, -23549.058173247613 6736008.245928497 30.310000000000002, -23549.196286788094 6736004.3208257845 30.63, -23549.326243405696 6736000.374833623 30.970000000000002, -23549.49431809748 6735996.452476376 31.28, -23549.763055525895 6735996.487173008 31.3, -23549.754659625643 6735996.798604472 31.27, -23549.89173118904 6735999.369197482 31.01, -23550.399002676713 6736002.295985442 30.77, -23551.126587360224 6736005.676014502 30.46, -23551.69103599689 6736008.638254914 30.22, -23551.880233547767 6736009.431058535 30.13, -23551.790426003397 6736011.839867693 29.95, -23551.734281900863 6736012.892177352 29.94, -23551.418465974624 6736018.976331216 29.560000000000002, -23551.108258673863 6736026.098311419 29.23, -23551.068507767923 6736027.081626299 29.14)</t>
  </si>
  <si>
    <t>POLYGON Z ((-23551.068507767923 6736027.081626299 29.14, -23551.023941822525 6736028.447197737 29.09, -23550.69018230983 6736032.968703174 28.96, -23550.206615643576 6736037.476481028 28.830000000000002, -23549.76228336786 6736040.457062963 28.75, -23549.399560669204 6736042.32724281 28.7, -23549.256516854162 6736043.009033599 28.68, -23549.033336747554 6736044.015823916 28.69, -23548.938557731453 6736044.500617557 28.69, -23548.205513624067 6736047.444672346 28.67, -23548.087099647208 6736047.967584176 28.67, -23547.968685668777 6736048.490496 28.67, -23547.849197022966 6736049.244942215 28.69, -23547.476327570155 6736051.335754084 28.75, -23547.062791793433 6736054.419867893 28.77, -23546.71825069585 6736057.520375014 28.830000000000002, -23546.48854665557 6736057.499326068 28.810000000000002, -23546.51333604008 6736057.118899871 28.8, -23546.724702727457 6736053.60334955 28.77, -23546.855135526974 6736051.520534997 28.77, -23546.98648346268 6736049.427733306 28.740000000000002, -23547.282683568483 6736044.107177739 28.78, -23547.493453676347 6736040.158519977 28.85, -23547.75340362324 6736036.002877918 28.92, -23547.96874932252 6736032.004284446 29.05, -23548.170447084936 6736028.044724318 29.21, -23548.37580539653 6736024.045215639 29.34, -23548.549371844972 6736020.0629357 29.560000000000002, -23548.735591085744 6736016.162383141 29.79, -23548.8864375127 6736012.208234227 30.03, -23549.058173247613 6736008.245928497 30.310000000000002, -23549.196286788094 6736004.3208257845 30.63, -23549.326243405696 6736000.374833623 30.970000000000002, -23549.49431809748 6735996.452476376 31.28, -23549.763055525895 6735996.487173008 31.3, -23549.754659625643 6735996.798604472 31.27, -23549.89173118904 6735999.369197482 31.01, -23550.399002676713 6736002.295985442 30.77, -23551.126587360224 6736005.676014502 30.46, -23551.69103599689 6736008.638254914 30.22, -23551.880233547767 6736009.431058535 30.13, -23551.790426003397 6736011.839867693 29.95, -23551.734281900863 6736012.892177352 29.94, -23551.418465974624 6736018.976331216 29.560000000000002, -23551.108258673863 6736026.098311419 29.23, -23551.068507767923 6736027.081626299 29.14))</t>
  </si>
  <si>
    <t>['RV5 S8D1 m11690-11755']</t>
  </si>
  <si>
    <t>LINESTRING Z (66147.24951923633 6828536.346752691 522.66, 66146.56267635128 6828536.973771341 522.66, 66146.56359787664 6828536.983750371 522.66, 66151.6009828368 6828535.733564862 522.65, 66157.67587129434 6828534.1661591055 522.59, 66163.81600507174 6828532.542407684 522.49, 66169.97870346799 6828530.836059613 522.44, 66175.03604563623 6828529.584031556 522.38, 66180.84702844272 6828528.101381752 522.36, 66185.7176909881 6828527.007490811 522.3, 66190.35514961788 6828525.894878909 522.26, 66194.20365885459 6828525.066470135 522.22, 66199.25286415411 6828523.835322155 522.14, 66203.93208148243 6828522.738982459 522.08, 66207.46939745912 6828521.919183064 522, 66209.7940374632 6828521.372395568 521.96, 66209.31746840553 6828520.571018282 521.89, 66208.04228662775 6828520.276147128 521.92, 66205.93010357436 6828520.290044623 521.96, 66203.88287547004 6828520.68038058 521.98, 66200.05843407457 6828520.570602845 521.99, 66197.398931954 6828520.433760565 522, 66195.21457927983 6828520.102078195 522, 66192.1450153892 6828519.993039353 522.03, 66190.32038083952 6828519.960254606 522.04, 66188.90412263176 6828519.990399191 522.16, 66177.36675488245 6828523.108911794 522.22, 66174.38457762985 6828523.837189962 522.17, 66170.56926758186 6828525.679009985 522.27, 66165.55233946245 6828527.913590496 522.36, 66161.15656015632 6828529.899592021 522.42, 66156.47583872633 6828531.851522205 522.49, 66152.74249410874 6828533.27314417 522.54, 66150.46316561993 6828534.419595553 522.6, 66148.24663361511 6828535.701145789 522.64, 66147.24951923633 6828536.346752691 522.66)</t>
  </si>
  <si>
    <t>POLYGON Z ((66147.24951923633 6828536.346752691 522.66, 66146.56267635128 6828536.973771341 522.66, 66146.56359787664 6828536.983750371 522.66, 66151.6009828368 6828535.733564862 522.65, 66157.67587129434 6828534.1661591055 522.59, 66163.81600507174 6828532.542407684 522.49, 66169.97870346799 6828530.836059613 522.44, 66175.03604563623 6828529.584031556 522.38, 66180.84702844272 6828528.101381752 522.36, 66185.7176909881 6828527.007490811 522.3, 66190.35514961788 6828525.894878909 522.26, 66194.20365885459 6828525.066470135 522.22, 66199.25286415411 6828523.835322155 522.14, 66203.93208148243 6828522.738982459 522.08, 66207.46939745912 6828521.919183064 522, 66209.7940374632 6828521.372395568 521.96, 66209.31746840553 6828520.571018282 521.89, 66208.04228662775 6828520.276147128 521.92, 66205.93010357436 6828520.290044623 521.96, 66203.88287547004 6828520.68038058 521.98, 66200.05843407457 6828520.570602845 521.99, 66197.398931954 6828520.433760565 522, 66195.21457927983 6828520.102078195 522, 66192.1450153892 6828519.993039353 522.03, 66190.32038083952 6828519.960254606 522.04, 66188.90412263176 6828519.990399191 522.16, 66177.36675488245 6828523.108911794 522.22, 66174.38457762985 6828523.837189962 522.17, 66170.56926758186 6828525.679009985 522.27, 66165.55233946245 6828527.913590496 522.36, 66161.15656015632 6828529.899592021 522.42, 66156.47583872633 6828531.851522205 522.49, 66152.74249410874 6828533.27314417 522.54, 66150.46316561993 6828534.419595553 522.6, 66148.24663361511 6828535.701145789 522.64, 66147.24951923633 6828536.346752691 522.66))</t>
  </si>
  <si>
    <t>['EV6 S25D1 m4467-4509']</t>
  </si>
  <si>
    <t>LINESTRING (290424.6114085654 6695355.166549849, 290452.79454609717 6695385.837374327)</t>
  </si>
  <si>
    <t>POINT (290438.7029773313 6695370.501962088)</t>
  </si>
  <si>
    <t>['EV6 S25D1 m4945-4990']</t>
  </si>
  <si>
    <t>LINESTRING (290718.602413261 6695726.496875865, 290738.99199637084 6695766.206723841)</t>
  </si>
  <si>
    <t>POINT (290728.7972048159 6695746.351799853)</t>
  </si>
  <si>
    <t>['FV50 S2D1 m89-111']</t>
  </si>
  <si>
    <t>LINESTRING (125623.7863443935 6740182.796748832, 125644.77311288234 6740184.843902295)</t>
  </si>
  <si>
    <t>POINT (125634.27972863794 6740183.820325563)</t>
  </si>
  <si>
    <t>['FV157 S1D1 m6198-6264']</t>
  </si>
  <si>
    <t>LINESTRING Z (253327.37223702145 6631263.539364126 95.48, 253332.1938228311 6631267.954832295 95.7, 253334.303464092 6631269.7226806525 95.82000000000001, 253336.0969775101 6631271.217787142 95.92, 253340.30267741816 6631274.714525772 96.16, 253341.3878467063 6631275.600719807 96.22, 253345.3942735033 6631278.8944935715 96.46000000000001, 253345.55641590955 6631279.020446803 96.48, 253346.77475392114 6631279.934747384 96.56, 253351.2432299492 6631283.116261841 96.88, 253353.0639642465 6631284.357708765 97.01, 253355.90105064996 6631286.280595031 97.21000000000001, 253356.63024862105 6631286.787139279 97.26, 253362.81543103847 6631290.285115808 97.67, 253364.27295986217 6631291.0671888795 97.76, 253367.48513711398 6631292.805325788 97.97, 253369.93639272472 6631294.130225121 98.14, 253372.62224347523 6631295.715169163 98.34, 253375.9476024899 6631297.81479562 98.64, 253380.9777450337 6631301.096056686 98.97, 253376.36078414912 6631297.385448733 98.63, 253370.79632549468 6631292.977105906 98.08, 253365.66841056687 6631289.282718294 97.67, 253358.50142432316 6631284.376742866 97.18, 253353.1307197787 6631280.664194798 96.82000000000001, 253347.45023575917 6631276.638138315 96.44, 253342.95455740337 6631273.599757775 96.14, 253337.28403867263 6631269.572796354 95.81, 253332.85346707507 6631267.251932381 95.65, 253327.37223702145 6631263.539364126 95.48)</t>
  </si>
  <si>
    <t>POLYGON Z ((253327.37223702145 6631263.539364126 95.48, 253332.1938228311 6631267.954832295 95.7, 253334.303464092 6631269.7226806525 95.82000000000001, 253336.0969775101 6631271.217787142 95.92, 253340.30267741816 6631274.714525772 96.16, 253341.3878467063 6631275.600719807 96.22, 253345.3942735033 6631278.8944935715 96.46000000000001, 253345.55641590955 6631279.020446803 96.48, 253346.77475392114 6631279.934747384 96.56, 253351.2432299492 6631283.116261841 96.88, 253353.0639642465 6631284.357708765 97.01, 253355.90105064996 6631286.280595031 97.21000000000001, 253356.63024862105 6631286.787139279 97.26, 253362.81543103847 6631290.285115808 97.67, 253364.27295986217 6631291.0671888795 97.76, 253367.48513711398 6631292.805325788 97.97, 253369.93639272472 6631294.130225121 98.14, 253372.62224347523 6631295.715169163 98.34, 253375.9476024899 6631297.81479562 98.64, 253380.9777450337 6631301.096056686 98.97, 253376.36078414912 6631297.385448733 98.63, 253370.79632549468 6631292.977105906 98.08, 253365.66841056687 6631289.282718294 97.67, 253358.50142432316 6631284.376742866 97.18, 253353.1307197787 6631280.664194798 96.82000000000001, 253347.45023575917 6631276.638138315 96.44, 253342.95455740337 6631273.599757775 96.14, 253337.28403867263 6631269.572796354 95.81, 253332.85346707507 6631267.251932381 95.65, 253327.37223702145 6631263.539364126 95.48))</t>
  </si>
  <si>
    <t>['FV157 S1D1 m6323-6374']</t>
  </si>
  <si>
    <t>LINESTRING Z (253238.08260645892 6631198.796518707 94.59, 253240.3124212227 6631202.442409284 94.72, 253245.165377045 6631208.8645514995 94.77, 253247.98050105304 6631212.095618812 94.82000000000001, 253253.0820829074 6631216.164163208 94.91, 253258.5677054083 6631220.7002385035 95.02, 253263.14301633192 6631224.284014044 95.09, 253267.38047838374 6631227.46639973 95.18, 253272.70152527245 6631230.188749293 95.25, 253276.59669166006 6631232.477817465 95.28, 253274.78797333987 6631229.818570984 95.3, 253273.64029790965 6631228.907905047 95.3, 253270.64202834165 6631226.537453289 95.29, 253269.20177308196 6631225.392098782 95.29, 253264.86107622623 6631221.957843605 95.24, 253263.64908633966 6631221.002775474 95.23, 253260.06565704098 6631218.162946233 95.17, 253254.7077219574 6631213.926759464 95.05, 253250.30636488344 6631210.26691349 94.92, 253246.65506002432 6631207.011244442 94.84, 253244.17136171312 6631204.664433087 94.77, 253241.30181418662 6631201.830159225 94.68, 253239.25111729064 6631199.715342203 94.60000000000001, 253238.08260645892 6631198.796518707 94.59)</t>
  </si>
  <si>
    <t>POLYGON Z ((253238.08260645892 6631198.796518707 94.59, 253240.3124212227 6631202.442409284 94.72, 253245.165377045 6631208.8645514995 94.77, 253247.98050105304 6631212.095618812 94.82000000000001, 253253.0820829074 6631216.164163208 94.91, 253258.5677054083 6631220.7002385035 95.02, 253263.14301633192 6631224.284014044 95.09, 253267.38047838374 6631227.46639973 95.18, 253272.70152527245 6631230.188749293 95.25, 253276.59669166006 6631232.477817465 95.28, 253274.78797333987 6631229.818570984 95.3, 253273.64029790965 6631228.907905047 95.3, 253270.64202834165 6631226.537453289 95.29, 253269.20177308196 6631225.392098782 95.29, 253264.86107622623 6631221.957843605 95.24, 253263.64908633966 6631221.002775474 95.23, 253260.06565704098 6631218.162946233 95.17, 253254.7077219574 6631213.926759464 95.05, 253250.30636488344 6631210.26691349 94.92, 253246.65506002432 6631207.011244442 94.84, 253244.17136171312 6631204.664433087 94.77, 253241.30181418662 6631201.830159225 94.68, 253239.25111729064 6631199.715342203 94.60000000000001, 253238.08260645892 6631198.796518707 94.59))</t>
  </si>
  <si>
    <t>[3318]</t>
  </si>
  <si>
    <t>['FV3318 S2D1 m680-705']</t>
  </si>
  <si>
    <t>LINESTRING Z (162871.332490968 6596558.049009047 116.663, 162877.75295494753 6596555.347251913 116.702, 162885.22566345375 6596550.356973287 116.524, 162890.6627643702 6596543.242535751 116.598)</t>
  </si>
  <si>
    <t>POINT (162881.86713762302 6596551.7518256735)</t>
  </si>
  <si>
    <t>['FV3318 S2D1 m3116-3135']</t>
  </si>
  <si>
    <t>LINESTRING Z (163837.92823145475 6594586.347438286 99.629, 163838.5990167954 6594593.934046921 99.439, 163836.34800405597 6594600.807199825 99.276, 163834.39869027538 6594604.653098168 99.343)</t>
  </si>
  <si>
    <t>POINT (163837.3149738294 6594595.702819803)</t>
  </si>
  <si>
    <t>['FV3318 S2D1 m3524-3542']</t>
  </si>
  <si>
    <t>LINESTRING Z (163852.17792268924 6594208.62775248 91.257, 163848.6573953702 6594211.7180665545 91.384, 163847.08158469852 6594216.806894126 91.688, 163846.7475526941 6594221.460345601 91.841, 163849.1469740171 6594227.661344914 91.779)</t>
  </si>
  <si>
    <t>POLYGON Z ((163852.17792268924 6594208.62775248 91.257, 163848.6573953702 6594211.7180665545 91.384, 163847.08158469852 6594216.806894126 91.688, 163846.7475526941 6594221.460345601 91.841, 163849.1469740171 6594227.661344914 91.779, 163852.17792268924 6594208.62775248 91.257))</t>
  </si>
  <si>
    <t>['FV3318 S2D1 m1176-1209']</t>
  </si>
  <si>
    <t>LINESTRING Z (163286.7536206409 6596293.904912395 93.324, 163295.56481442775 6596287.385299938 92.755, 163304.3661998486 6596282.545930682 92.041, 163312.02039111074 6596280.854308955 91.407, 163317.21522521123 6596280.031822352 90.915)</t>
  </si>
  <si>
    <t>POINT (163301.2860707182 6596285.342943985)</t>
  </si>
  <si>
    <t>['FV3318 S2D1 m3394-3408']</t>
  </si>
  <si>
    <t>LINESTRING Z (163910.30893452204 6594340.750756004 96.113, 163910.95008959784 6594335.566148914 96.063, 163910.09797417925 6594330.816930263 95.709, 163908.02391888405 6594326.7252098285 95.575)</t>
  </si>
  <si>
    <t>POINT (163910.10312158967 6594333.578883341)</t>
  </si>
  <si>
    <t>['FV3318 S2D1 m3279-3298']</t>
  </si>
  <si>
    <t>LINESTRING Z (163896.3294396826 6594437.431107516 98.855, 163895.39045389567 6594444.019300036 98.864, 163892.6127407594 6594450.950543679 99.222, 163888.77610372915 6594454.8527013045 99.531)</t>
  </si>
  <si>
    <t>POINT (163893.70910670562 6594446.701921686)</t>
  </si>
  <si>
    <t>['FV3318 S2D1 m2411-2456']</t>
  </si>
  <si>
    <t>LINESTRING Z (163575.5429012801 6595197.195689641 85.435, 163575.5855681342 6595197.225467631 85.428, 163566.50437667908 6595208.056009258 86.879, 163566.52436206408 6595208.087811739 86.869, 163563.07784398267 6595214.810464135 87.51, 163557.56920107472 6595230.830314912 88.882, 163557.06294834195 6595238.925054428 89.501)</t>
  </si>
  <si>
    <t>POINT (163563.7828229967 6595216.943312949)</t>
  </si>
  <si>
    <t>['FV3318 S2D1 m2239-2271']</t>
  </si>
  <si>
    <t>LINESTRING Z (163569.4474159006 6595376.761370607 103.673, 163568.78190395614 6595380.638437689 103.967, 163572.09385248576 6595389.825362453 104.542, 163576.28849270934 6595398.72078023 105.038, 163582.03340244788 6595406.223922855 105.251)</t>
  </si>
  <si>
    <t>POINT (163573.8983259006 6595392.088027886)</t>
  </si>
  <si>
    <t>['FV3318 S2D1 m321-346']</t>
  </si>
  <si>
    <t>LINESTRING Z (162584.60141031316 6596737.03596117 112.18, 162593.83359635377 6596734.473671296 112.547, 162601.02520493633 6596730.179675874 112.709, 162606.5791863515 6596724.442554208 112.921)</t>
  </si>
  <si>
    <t>POINT (162596.3580860696 6596732.048980194)</t>
  </si>
  <si>
    <t>['EV6 S5D1 m3569-3613']</t>
  </si>
  <si>
    <t>LINESTRING (272795.3509714114 6582047.57422577, 272833.70336083416 6582046.494478851)</t>
  </si>
  <si>
    <t>POINT (272814.5271661228 6582047.03435231)</t>
  </si>
  <si>
    <t>2023-12-28</t>
  </si>
  <si>
    <t>['EV136 S14D1 m8299 SD1 m8-144']</t>
  </si>
  <si>
    <t>LINESTRING (161693.8340762502 6913800.075923261, 161695.2323884173 6913792.361118271, 161696.8818731333 6913785.742968467, 161698.45133339748 6913779.027696301, 161699.83298336668 6913772.191118061, 161702.0491736986 6913765.62092076, 161704.8770524923 6913758.848714329, 161708.26544888655 6913753.106891336, 161711.8591947038 6913747.659909422, 161718.2211159162 6913739.023221539, 161724.67093270307 6913731.604891691, 161732.0005891042 6913724.55358862, 161739.93927697506 6913718.317420383, 161751.93373272714 6913710.514816249, 161764.60783836397 6913704.922813978, 161771.37497350824 6913703.082748927, 161777.80985405284 6913703.169681879)</t>
  </si>
  <si>
    <t>POINT (161725.24314902822 6913741.676093203)</t>
  </si>
  <si>
    <t>['RV15 S2D1 m1462 SD1 m6-149']</t>
  </si>
  <si>
    <t>LINESTRING (198894.00969247136 6868627.179594338, 198900.4920012807 6868623.417371054, 198905.6858073175 6868617.926108389, 198912.50596561685 6868609.9521512585, 198919.6493774539 6868600.815562329, 198927.38948789646 6868591.20098489, 198933.10139264714 6868583.537559755, 198937.78571927792 6868577.098980254, 198940.94528764556 6868571.078594004, 198942.83699123072 6868565.170184857, 198943.78605808993 6868559.841189849, 198943.0632572266 6868554.872494655, 198941.932357564 6868549.301908328, 198937.4703328458 6868539.772664436, 198932.5276418712 6868530.427613117, 198926.92613034497 6868520.85720358, 198921.50685156172 6868512.5465465225, 198916.3774343381 6868508.321421512)</t>
  </si>
  <si>
    <t>POINT (198926.58340726473 6868569.965193378)</t>
  </si>
  <si>
    <t>['RV15 S1D1 m11871 SD1 m4-57']</t>
  </si>
  <si>
    <t>LINESTRING (202595.57396784343 6864753.528986389, 202593.71281641338 6864749.292673975, 202593.5348451977 6864745.619134939, 202596.5053694864 6864738.124102872, 202600.39563890448 6864729.76854715, 202604.1326298364 6864721.28444656, 202608.37861346075 6864713.749201253, 202612.56653802737 6864711.256023068, 202616.88947320444 6864711.943559968)</t>
  </si>
  <si>
    <t>POINT (202601.6669474923 6864729.62260569)</t>
  </si>
  <si>
    <t>['RV5 S14D1 m613-713']</t>
  </si>
  <si>
    <t>LINESTRING Z (13378.098245575442 6847910.081582623 2.46, 13377.069354954583 6847904.0753295515 2.45, 13376.454041985271 6847900.145174931 2.44, 13375.816916083219 6847896.1969015505 2.44, 13375.17794313049 6847892.228662246 2.44, 13374.56263051054 6847888.298507493 2.44, 13373.945470839739 6847884.348386812 2.44, 13373.377302405599 6847880.383665235 2.43, 13372.75385435985 6847876.474399815 2.43, 13372.153890174814 6847872.492483021 2.42, 13371.325012976537 6847866.689229508 2.42, 13370.443097675801 6847860.639173129 2.45, 13369.882142148039 6847856.643578896 2.47, 13369.086908790283 6847850.877486171 2.44, 13368.273027639312 6847844.800998596 2.42, 13367.728520590987 6847840.874361214 2.4, 13367.216556788131 6847836.864165944 2.39, 13366.720117524324 6847832.912944702 2.38, 13366.242720683338 6847828.949893328 2.36, 13365.515521969588 6847823.157369271 2.37, 13365.121641785372 6847819.770557695 2.4, 13364.62414454302 6847815.154920666 2.44, 13364.2685671082 6847811.311488028 2.48, 13364.859231422597 6847811.166226893 2.46, 13365.298709140741 6847812.978151604 2.46, 13366.193189057638 6847816.660975059 2.42, 13367.204652155924 6847820.846463431 2.39, 13368.358429412241 6847825.481931256 2.37, 13368.925755496952 6847828.349276909 2.37, 13369.534383410763 6847832.642512421 2.38, 13370.01349248772 6847835.9710969 2.38, 13370.012309648737 6847836.937771473 2.37, 13370.356534791645 6847839.352543231 2.37, 13370.966833783488 6847843.555008573 2.38, 13371.603916739288 6847848.0469791535 2.39, 13372.316951259389 6847852.92459006 2.41, 13372.976594706648 6847857.333926265 2.42, 13373.619219617802 6847861.885794328 2.42, 13374.238755141618 6847866.188088824 2.42, 13374.828341983957 6847870.493154021 2.42, 13375.440489127941 6847874.715584898 2.43, 13376.04709491029 6847878.878118088 2.43, 13376.691038308141 6847883.117744004 2.44, 13377.294302974595 6847887.461817188 2.45, 13377.93934671086 6847891.822161865 2.46, 13378.589008510578 6847896.232421197 2.45, 13378.705774233851 6847897.168046794 2.46, 13378.748582823668 6847900.67795317 2.46, 13378.787573800073 6847905.779017795 2.46, 13378.805934213218 6847909.895289217 2.46, 13378.922441344592 6847911.807572216 2.44, 13378.098245575442 6847910.081582623 2.46)</t>
  </si>
  <si>
    <t>POLYGON Z ((13378.098245575442 6847910.081582623 2.46, 13377.069354954583 6847904.0753295515 2.45, 13376.454041985271 6847900.145174931 2.44, 13375.816916083219 6847896.1969015505 2.44, 13375.17794313049 6847892.228662246 2.44, 13374.56263051054 6847888.298507493 2.44, 13373.945470839739 6847884.348386812 2.44, 13373.377302405599 6847880.383665235 2.43, 13372.75385435985 6847876.474399815 2.43, 13372.153890174814 6847872.492483021 2.42, 13371.325012976537 6847866.689229508 2.42, 13370.443097675801 6847860.639173129 2.45, 13369.882142148039 6847856.643578896 2.47, 13369.086908790283 6847850.877486171 2.44, 13368.273027639312 6847844.800998596 2.42, 13367.728520590987 6847840.874361214 2.4, 13367.216556788131 6847836.864165944 2.39, 13366.720117524324 6847832.912944702 2.38, 13366.242720683338 6847828.949893328 2.36, 13365.515521969588 6847823.157369271 2.37, 13365.121641785372 6847819.770557695 2.4, 13364.62414454302 6847815.154920666 2.44, 13364.2685671082 6847811.311488028 2.48, 13364.859231422597 6847811.166226893 2.46, 13365.298709140741 6847812.978151604 2.46, 13366.193189057638 6847816.660975059 2.42, 13367.204652155924 6847820.846463431 2.39, 13368.358429412241 6847825.481931256 2.37, 13368.925755496952 6847828.349276909 2.37, 13369.534383410763 6847832.642512421 2.38, 13370.01349248772 6847835.9710969 2.38, 13370.012309648737 6847836.937771473 2.37, 13370.356534791645 6847839.352543231 2.37, 13370.966833783488 6847843.555008573 2.38, 13371.603916739288 6847848.0469791535 2.39, 13372.316951259389 6847852.92459006 2.41, 13372.976594706648 6847857.333926265 2.42, 13373.619219617802 6847861.885794328 2.42, 13374.238755141618 6847866.188088824 2.42, 13374.828341983957 6847870.493154021 2.42, 13375.440489127941 6847874.715584898 2.43, 13376.04709491029 6847878.878118088 2.43, 13376.691038308141 6847883.117744004 2.44, 13377.294302974595 6847887.461817188 2.45, 13377.93934671086 6847891.822161865 2.46, 13378.589008510578 6847896.232421197 2.45, 13378.705774233851 6847897.168046794 2.46, 13378.748582823668 6847900.67795317 2.46, 13378.787573800073 6847905.779017795 2.46, 13378.805934213218 6847909.895289217 2.46, 13378.922441344592 6847911.807572216 2.44, 13378.098245575442 6847910.081582623 2.46))</t>
  </si>
  <si>
    <t>['FV558 S1D1 m3529-3584', 'FV558 S1D1 m3588 KD1 m62-70']</t>
  </si>
  <si>
    <t>LINESTRING Z (-35187.42081379704 6733433.606725358 18.42, -35187.12808470847 6733433.249894403 18.490000000000002, -35187.165086077526 6733433.204594549 18.490000000000002, -35187.220680007944 6733433.101179606 18.5, -35187.28475617652 6733433.009135565 18.51, -35187.46002020477 6733432.710261637 18.53, -35187.51272547105 6733432.626699833 18.53, -35187.64954379748 6733432.383052331 18.52, -35187.69087816216 6733432.307972763 18.52, -35187.732212526025 6733432.2328932 18.52, -35187.7721025584 6733432.167740205 18.51, -35187.77499122184 6733432.147887065 18.51, -35187.81488125422 6733432.082734069 18.51, -35187.9645148135 6733431.820677753 18.5, -35188.35078365158 6733431.1166262785 18.48, -35188.3764141181 6733431.079808661 18.48, -35188.42063714506 6733430.984875952 18.47, -35188.43345237826 6733430.966467146 18.47, -35188.45908284502 6733430.929649526 18.47, -35188.583085934515 6733430.704410828 18.46, -35188.610160732875 6733430.657666639 18.46, -35188.89805694192 6733430.142036238 18.44, -35188.92513174028 6733430.0952920485 18.44, -35188.92802040314 6733430.075438909 18.44, -35188.95509520103 6733430.028694719 18.44, -35189.147507449496 6733429.681632259 18.43, -35189.17458224739 6733429.634888069 18.43, -35189.21302794677 6733429.579661642 18.42, -35189.39118062926 6733429.260934559 18.41, -35189.42114408966 6733429.194337229 18.41, -35189.44966321858 6733429.137666472 18.41, -35189.488108917954 6733429.082440043 18.41, -35189.518072378356 6733429.0158427125 18.400000000000002, -35189.55796240899 6733428.950689713 18.400000000000002, -35189.59929677087 6733428.875610147 18.400000000000002, -35189.62781590002 6733428.818939384 18.400000000000002, -35189.667705930304 6733428.753786388 18.400000000000002, -35189.68340982625 6733428.715524434 18.39, -35189.929971665144 6733428.274973591 18.38, -35189.95560213085 6733428.238155971 18.38, -35189.96986169508 6733428.209820592 18.38, -35190.353241848294 6733427.525622221 18.35, -35190.38320530788 6733427.459024888 18.35, -35190.410280105076 6733427.412280697 18.35, -35190.423095337464 6733427.393871889 18.35, -35190.45017013443 6733427.347127699 18.35, -35190.46442969877 6733427.318792317 18.35, -35190.504319728236 6733427.253639319 18.34, -35190.5599136533 6733427.150224368 18.34, -35190.5898771123 6733427.083627037 18.34, -35190.65828626999 6733426.961803273 18.330000000000002, -35190.69817629957 6733426.896650273 18.330000000000002, -35190.91621900338 6733426.512770178 18.32, -35190.94618246239 6733426.446172846 18.32, -35191.28822824499 6733425.837054032 18.31, -35191.32811827387 6733425.771901028 18.31, -35191.4107869938 6733425.6217418825 18.3, -35191.44075045199 6733425.555144551 18.3, -35191.658793151495 6733425.171264446 18.29, -35191.69868318003 6733425.1061114445 18.29, -35191.72864663799 6733425.03951411 18.29, -35191.76853666641 6733424.97436111 18.29, -35191.90679930791 6733424.720787007 18.28, -35191.946689336095 6733424.655634005 18.28, -35192.40136728401 6733423.829758691 18.26, -35192.44125731161 6733423.764605687 18.26, -35192.49829556397 6733423.65126416 18.26, -35192.53818559169 6733423.586111156 18.25, -35192.55244515464 6733423.557775777 18.25, -35192.580964280874 6733423.501105011 18.25, -35192.66363299778 6733423.350945862 18.25, -35192.70352302515 6733423.285792857 18.25, -35192.89737958368 6733422.928803792 18.240000000000002, -35192.93726961082 6733422.863650788 18.240000000000002, -35193.00567876408 6733422.741827017 18.23, -35193.0455687911 6733422.676674014 18.23, -35193.25224057969 6733422.301276134 18.22, -35193.28075970523 6733422.244605371 18.22, -35193.32064973225 6733422.179452364 18.22, -35193.36053975916 6733422.114299359 18.22, -35193.401874116505 6733422.039219785 18.22, -35193.43183757225 6733421.972622449 18.22, -35193.78958722437 6733421.325241641 18.2, -35193.82947725081 6733421.260088634 18.2, -35193.89644207165 6733421.148191432 18.2, -35193.93777642853 6733421.073111855 18.19, -35194.07459473063 6733420.829464311 18.19, -35194.10455818556 6733420.762866977 18.19, -35194.39245435002 6733420.2472365 18.17, -35194.43234437611 6733420.182083492 18.17, -35194.44660393789 6733420.153748112 18.17, -35194.47223440185 6733420.116930487 18.17, -35194.48649396375 6733420.0885951035 18.17, -35194.50364218664 6733420.040406579 18.17, -35194.59768180037 6733419.88176518 18.17, -35194.62620092463 6733419.825094412 18.16, -35194.69316574407 6733419.713197209 18.16, -35194.98106190399 6733419.197566727 18.150000000000002, -35195.00958102755 6733419.140895962 18.150000000000002, -35195.04947105271 6733419.075742954 18.150000000000002, -35195.189178010914 6733418.81224226 18.150000000000002, -35195.20199324284 6733418.793833448 18.150000000000002, -35195.2276237061 6733418.757015821 18.150000000000002, -35195.25614282966 6733418.700345053 18.150000000000002, -35195.63933918637 6733418.087076921 18.14, -35195.68211787124 6733418.002070769 18.13, -35195.93986683129 6733417.623967945 18.13, -35195.99401641742 6733417.53047955 18.13, -35196.30013764184 6733417.098594611 18.11, -35196.33713900589 6733417.053294743 18.11, -35196.50084835384 6733416.833833321 18.11, -35196.52792314661 6733416.787089122 18.11, -35196.664557701675 6733416.614371892 18.1, -35196.69018816459 6733416.577554265 18.1, -35196.738560429774 6733416.523772157 18.1, -35196.76563522266 6733416.477027958 18.1, -35196.79126568511 6733416.440210334 18.09, -35196.91508500872 6733416.285901915 18.09, -35196.95064204279 6733416.25052862 18.09, -35197.46721680858 6733415.626257032 18.07, -35197.491402941174 6733415.5993659785 18.07, -35197.58814747201 6733415.491801755 18.06, -35197.61088927451 6733415.474837274 18.06, -35197.62370450585 6733415.456428459 18.06, -35197.66070586967 6733415.411128592 18.06, -35197.67352110089 6733415.392719777 18.06, -35197.768821301404 6733415.29508213 18.06, -35197.78163653286 6733415.276673314 18.06, -35198.25254395371 6733414.757261016 18.04, -35198.26535918517 6733414.738852202 18.04, -35198.42184688256 6733414.569023622 18.03, -35198.43466211355 6733414.550614809 18.03, -35198.68789434072 6733414.273222009 18.02, -35198.70070957183 6733414.254813194 18.02, -35198.92975566641 6733414.004311448 18.01, -35199.59559647599 6733413.259844106 17.98, -35199.608411706984 6733413.241435292 17.98, -35200.27136385627 6733412.516821085 17.95, -35200.2841790868 6733412.498412273 17.95, -35200.69534333877 6733412.041264295 17.94, -35200.70815856976 6733412.02285548 17.94, -35200.816274000914 6733411.906809007 17.93, -35200.82908923179 6733411.888400194 17.93, -35200.93720466271 6733411.772353721 17.93, -35200.95994646568 6733411.755389234 17.92, -35201.16625075601 6733411.521851958 17.92, -35201.179065987 6733411.503443143 17.92, -35201.6144163697 6733411.0194041 17.900000000000002, -35201.627231600345 6733411.000995287 17.900000000000002, -35202.28025717416 6733410.274936709 17.87, -35202.30299897725 6733410.257972223 17.87, -35202.63023392786 6733409.889979647 17.84, -35202.643049158854 6733409.87157083 17.84, -35202.95602454932 6733409.531913636 17.81, -35202.96883977961 6733409.513504822 17.81, -35203.11395657342 6733409.352158466 17.8, -35203.126771804295 6733409.33374965 17.8, -35203.63323625235 6733408.7789639775 17.76, -35203.64605148265 6733408.760555163 17.75, -35204.29907705239 6733408.034496549 17.7, -35204.31189228303 6733408.016087731 17.7, -35204.42000771302 6733407.90004125 17.69, -35204.432822943665 6733407.881632432 17.69, -35204.974844424054 6733407.291473437 17.64, -35204.98765965435 6733407.273064621 17.64, -35205.49412409973 6733406.718278922 17.59, -35205.50693933037 6733406.699870105 17.59, -35205.642129550106 6733406.537079411 17.580000000000002, -35205.66342702473 6733406.530041496 17.580000000000002, -35206.31789691944 6733405.794056271 17.52, -35206.330712149385 6733405.775647456 17.52, -35206.35345395224 6733405.758682968 17.52, -35206.36626918288 6733405.740274153 17.52, -35206.67924457078 6733405.400616924 17.490000000000002, -35206.69205980119 6733405.382208107 17.490000000000002, -35206.993664286565 6733405.051033124 17.46, -35207.00647951721 6733405.032624303 17.46, -35207.659505080665 6733404.306565629 17.400000000000002, -35207.67232031096 6733404.28815681 17.400000000000002, -35208.28834451048 6733403.607398005 17.35, -35208.301159740775 6733403.588989188 17.35, -35208.33671677427 6733403.553615881 17.34, -35208.349532004446 6733403.535207062 17.34, -35208.55294763285 6733403.32152289 17.32, -35208.565762863145 6733403.30311407 17.32, -35208.833254642086 6733402.997385804 17.3, -35208.84606987226 6733402.978976986 17.3, -35209.049485500436 6733402.765292809 17.29, -35209.0993020928 6733402.701584107 17.28, -35209.58446905739 6733402.15383627 17.27, -35210.07956259465 6733401.60753275 17.25, -35210.6941424621 6733400.936700474 17.240000000000002, -35210.8022578907 6733400.82065397 17.23, -35210.92463287769 6733400.676272075 17.23, -35210.94737468136 6733400.659307583 17.23, -35210.9616342393 6733400.630972193 17.23, -35211.0327483064 6733400.560225571 17.23, -35211.058378766524 6733400.523407931 17.22, -35211.709959993605 6733399.807275757 17.2, -35211.73414612538 6733399.7803846905 17.2, -35211.84370588185 6733399.654411613 17.19, -35211.903449046775 6733399.592147236 17.19, -35212.37580077781 6733399.062808175 17.17, -35212.459730074275 6733398.973652733 17.17, -35212.651774799335 6733398.768450781 17.17, -35212.664590029046 6733398.750041961 17.17, -35212.762778883334 6733398.632551126 17.17, -35212.858079081634 6733398.5349134365 17.16, -35213.06438336405 6733398.3013760885 17.16, -35213.752965949476 6733397.5399439875 17.16, -35213.99482726434 6733397.271033322 17.150000000000002, -35214.21250244777 6733397.029013724 17.150000000000002, -35214.43017763109 6733396.786994123 17.150000000000002, -35215.10738931177 6733396.034044243 17.14, -35215.78460099106 6733395.281094349 17.14, -35215.96527481242 6733395.084374628 17.14, -35216.38925427478 6733394.608817649 17.13, -35216.46181266918 6733394.5281444425 17.13, -35216.55855719454 6733394.42058017 17.13, -35216.777676703874 6733394.168633979 17.12, -35217.14046867273 6733393.765267953 17.11, -35217.78375135921 6733392.966834412 17.080000000000002, -35217.99727727496 6733392.683664161 17.07, -35218.048538191826 6733392.610028872 17.07, -35218.27632366354 6733392.298523223 17.06, -35218.39310505369 6733392.122917248 17.05, -35218.94001064007 6733391.290187261 17.03, -35218.967085425626 6733391.243443043 17.03, -35219.16797982401 6733390.907751255 17.02, -35220.651689096005 6733392.066348061 16.89, -35220.5354334478 6733392.586679227 16.9, -35220.427843760815 6733393.047450941 16.91, -35220.41917779634 6733393.107010391 16.91, -35219.93164791062 6733394.0193366995 16.94, -35219.8233487613 6733394.2063135775 16.94, -35219.63941884111 6733394.564747165 16.95, -35219.58815792133 6733394.638382453 16.95, -35219.39159648854 6733394.9442945095 16.96, -35218.81617174414 6733395.833695266 16.98, -35218.50427323696 6733396.30528671 17, -35218.32052703062 6733396.592789936 17, -35218.23226474703 6733396.711725112 17.01, -35218.168188595795 6733396.803769218 17.01, -35217.77813809679 6733397.324809805 17.01, -35217.62435533269 6733397.545715661 17.01, -35217.00651933998 6733398.378261871 17.02, -35216.38868334354 6733399.210808064 17.03, -35216.19789921364 6733399.4770137975 17.03, -35215.99574418063 6733399.751701778 17.03, -35215.76236509718 6733400.031983342 17.03, -35215.12052668363 6733400.820490232 17.04, -35214.91133373196 6733401.073880726 17.04, -35214.82596010191 6733401.172962742 17.04, -35214.726326912874 6733401.300380154 17.04, -35214.71351168188 6733401.318788974 17.04, -35214.52994919091 6733401.535361825 17.04, -35214.46731736569 6733401.61747935 17.05, -35213.99911486497 6733402.187969035 17.07, -35213.94929827028 6733402.251677736 17.07, -35213.839738506475 6733402.377650818 17.07, -35213.81555237307 6733402.404541883 17.07, -35213.18093559507 6733403.14341586 17.1, -35213.155305133085 6733403.1802335 17.1, -35213.08419106202 6733403.250980119 17.11, -35213.06993150269 6733403.279315512 17.11, -35213.04718969774 6733403.296280001 17.11, -35212.9376299337 6733403.422253078 17.11, -35212.85081197426 6733403.531261665 17.11, -35212.31582838402 6733404.142718224 17.13, -35211.88896022842 6733404.638128272 17.150000000000002, -35211.47201864573 6733405.1349826455 17.16, -35211.42364637891 6733405.188764773 17.17, -35211.252899116604 6733405.386928785 17.17, -35211.24008388526 6733405.405337605 17.18, -35210.97259208851 6733405.711065873 17.2, -35210.95977685717 6733405.729474692 17.2, -35210.764843460754 6733405.954529767 17.21, -35210.7520282293 6733405.972938585 17.21, -35210.71647119359 6733406.008311894 17.21, -35210.70365596248 6733406.026720712 17.22, -35210.10604054027 6733406.720294752 17.26, -35210.09322530904 6733406.738703569 17.26, -35209.44868194719 6733407.476133148 17.31, -35209.43586671597 6733407.494541965 17.31, -35209.14274445432 6733407.837087854 17.330000000000002, -35209.1299292231 6733407.855496673 17.330000000000002, -35208.81695381529 6733408.195153897 17.35, -35208.80413858383 6733408.213562715 17.36, -35208.781396779115 6733408.2305272035 17.36, -35208.10707369505 6733408.9636237705 17.400000000000002, -35208.084331890685 6733408.980588257 17.41, -35207.94914166152 6733409.143378952 17.42, -35207.926399857155 6733409.16034344 17.42, -35207.439788524294 6733409.718017801 17.45, -35207.42697329307 6733409.736426615 17.45, -35206.89343402092 6733410.337956515 17.490000000000002, -35206.88061878923 6733410.356365334 17.490000000000002, -35206.77250335191 6733410.472411815 17.5, -35206.75968812045 6733410.490820631 17.5, -35206.105218177894 6733411.226805822 17.55, -35206.09240294655 6733411.245214636 17.55, -35205.60579161043 6733411.802888971 17.580000000000002, -35205.592976378626 6733411.821297785 17.580000000000002, -35205.44785957516 6733411.982644142 17.59, -35205.4350443437 6733412.001052956 17.59, -35205.120624602656 6733412.350636723 17.61, -35205.10780937108 6733412.36904554 17.61, -35204.78057439835 6733412.737038118 17.64, -35204.76775916666 6733412.755446934 17.64, -35204.12321579212 6733413.492876413 17.66, -35204.100473987986 6733413.509840899 17.67, -35203.673605818185 6733414.005250846 17.68, -35203.45593061205 6733414.247270365 17.69, -35203.44311538013 6733414.265679181 17.69, -35203.32507336931 6733414.3802813245 17.7, -35203.31225813751 6733414.398690139 17.7, -35203.20414269925 6733414.514736612 17.7, -35203.19132746698 6733414.533145428 17.7, -35202.78016318777 6733414.990293404 17.72, -35202.75742138375 6733415.007257887 17.72, -35202.10439576267 6733415.733316429 17.75, -35202.08165395842 6733415.750280913 17.75, -35201.42862833617 6733416.476339441 17.78, -35201.41581310402 6733416.494748255 17.78, -35201.18676699442 6733416.745250002 17.79, -35201.17395176226 6733416.763658817 17.79, -35200.92071951798 6733417.041051621 17.8, -35200.752860908746 6733417.219362437 17.81, -35200.74004567659 6733417.237771251 17.81, -35200.269138223724 6733417.757183552 17.830000000000002, -35200.24639641959 6733417.774148036 17.830000000000002, -35200.16102278454 6733417.873230019 17.830000000000002, -35200.13683665043 6733417.900121073 17.830000000000002, -35200.10127961403 6733417.93549437 17.830000000000002, -35200.08846438164 6733417.953903185 17.830000000000002, -35200.06572257797 6733417.970867665 17.830000000000002, -35199.97890461248 6733418.079876217 17.84, -35199.954718478024 6733418.106767274 17.84, -35199.41829053266 6733418.728150203 17.86, -35199.38417782681 6733418.753596926 17.86, -35199.26035849459 6733418.907905345 17.86, -35199.2248014583 6733418.9432786405 17.87, -35199.189244421665 6733418.978651938 17.87, -35199.150798724964 6733419.033878376 17.87, -35199.11524168844 6733419.069251673 17.87, -35198.9701248823 6733419.230598002 17.88, -35198.94449441752 6733419.267415627 17.88, -35198.75100534281 6733419.4825440645 17.88, -35198.72537487827 6733419.51936169 17.88, -35198.373953763745 6733419.9142452665 17.900000000000002, -35198.31276626245 6733419.986436187 17.900000000000002, -35198.05664535554 6733420.283682113 17.91, -35197.995457854355 6733420.355873033 17.91, -35197.57003400568 6733420.841356331 17.92, -35197.533032638254 6733420.886656198 17.93, -35197.5202174061 6733420.905065009 17.93, -35197.49603127141 6733420.931956063 17.93, -35197.32528399944 6733421.130120011 17.93, -35197.27691173041 6733421.183902119 17.94, -35197.23991036357 6733421.229201983 17.94, -35196.89841581904 6733421.625529873 17.95, -35196.82585741533 6733421.706203031 17.95, -35196.77748514619 6733421.75998514 17.95, -35196.656554473564 6733421.894440403 17.96, -35196.619553106255 6733421.9397402685 17.96, -35196.60673787398 6733421.958149079 17.96, -35196.57118083746 6733421.993522373 17.96, -35196.55836560461 6733422.011931188 17.96, -35196.5099933357 6733422.065713291 17.96, -35196.13149742293 6733422.507341038 17.98, -35196.081680822885 6733422.571049715 17.98, -35195.90948921908 6733422.779140226 17.990000000000002, -35195.85967261891 6733422.8428489035 17.990000000000002, -35195.78422555374 6733422.943375204 18, -35195.734408953576 6733423.00708388 18, -35195.27902164322 6733423.559164484 18.02, -35195.239131613984 6733423.624317491 18.02, -35195.18931501324 6733423.68802617 18.02, -35195.14094274421 6733423.741808271 18.02, -35195.09257047495 6733423.795590376 18.02, -35195.05268044572 6733423.86074338 18.03, -35194.79367087304 6733424.177842421 18.04, -35194.74385427253 6733424.2415510975 18.04, -35194.65703630436 6733424.350559636 18.04, -35194.608664034866 6733424.404341737 18.04, -35194.36102536344 6733424.712958535 18.05, -35194.31120876281 6733424.776667209 18.06, -35194.22150213248 6733424.90552889 18.06, -35194.17312986276 6733424.959310992 18.06, -35194.15887029888 6733424.987646374 18.06, -35194.11049802927 6733425.041428477 18.07, -35194.03505096282 6733425.141954771 18.07, -35193.99660526391 6733425.197181206 18.07, -35193.43147442851 6733425.94616513 18.09, -35193.38310215913 6733425.9999472285 18.1, -35193.2179484606 6733426.229335198 18.1, -35193.16957619053 6733426.283117299 18.11, -35193.129686160246 6733426.348270302 18.11, -35193.08131389017 6733426.402052405 18.11, -35192.829342222074 6733426.740448902 18.12, -35192.77952562086 6733426.804157574 18.12, -35192.67844808742 6733426.941501485 18.13, -35192.63007581723 6733426.995283586 18.13, -35192.19743030041 6733427.530399669 18.150000000000002, -35192.14905802999 6733427.584181771 18.150000000000002, -35191.88715978945 6733427.921133928 18.16, -35191.838787519024 6733427.974916028 18.16, -35191.75196954899 6733428.083924557 18.17, -35191.70359727868 6733428.137706658 18.17, -35191.62959454197 6733428.2283063745 18.17, -35191.58122227155 6733428.282088473 18.17, -35191.56696270697 6733428.310423855 18.18, -35191.531405669986 6733428.345797142 18.18, -35191.518590436666 6733428.364205953 18.18, -35191.491515638656 6733428.410950143 18.18, -35191.44314336835 6733428.464732243 18.18, -35190.95075467578 6733429.062112645 18.21, -35190.93649511121 6733429.090448027 18.21, -35190.91230897594 6733429.117339075 18.21, -35190.6020384623 6733429.508073319 18.23, -35190.577852326795 6733429.5349643715 18.23, -35190.537962295 6733429.60011737 18.240000000000002, -35190.489590024576 6733429.653899466 18.240000000000002, -35190.45114432438 6733429.709125895 18.240000000000002, -35190.401327722124 6733429.772834561 18.240000000000002, -35190.35295545135 6733429.826616662 18.25, -35190.31450975151 6733429.881843086 18.25, -35190.276064050966 6733429.937069516 18.25, -35190.22769178043 6733429.990851613 18.25, -35190.01561013784 6733430.264095089 18.27, -35189.97716443753 6733430.319321517 18.27, -35189.94016306882 6733430.364621374 18.27, -35189.69252438855 6733430.673238137 18.28, -35189.66689392156 6733430.7100557545 18.29, -35189.65407868824 6733430.7284645615 18.29, -35189.618521650555 6733430.763837851 18.29, -35189.26691677014 6733431.229651651 18.31, -35189.23135973257 6733431.265024936 18.31, -35189.08190992463 6733431.456150933 18.32, -35189.05627945764 6733431.49296855 18.32, -35189.032093321905 6733431.519859599 18.32, -35188.97090581746 6733431.592050502 18.330000000000002, -35188.945275350474 6733431.62886812 18.330000000000002, -35188.46985112585 6733432.248990291 18.36, -35188.28195561608 6733432.495342707 18.37, -35188.233583344845 6733432.549124801 18.37, -35188.18376674189 6733432.612833465 18.37, -35188.13395013905 6733432.676542128 18.38, -35188.08268920402 6733432.750177361 18.38, -35187.90905325883 6733432.968194399 18.39, -35187.846421422204 6733433.05031187 18.39, -35187.64571067761 6733433.315073092 18.400000000000002, -35187.58307884075 6733433.397190562 18.41, -35187.509076101356 6733433.4877902735 18.41, -35187.47207473207 6733433.533090126 18.41, -35187.42081379704 6733433.606725358 18.42)</t>
  </si>
  <si>
    <t>POLYGON Z ((-35187.42081379704 6733433.606725358 18.42, -35187.12808470847 6733433.249894403 18.490000000000002, -35187.165086077526 6733433.204594549 18.490000000000002, -35187.220680007944 6733433.101179606 18.5, -35187.28475617652 6733433.009135565 18.51, -35187.46002020477 6733432.710261637 18.53, -35187.51272547105 6733432.626699833 18.53, -35187.64954379748 6733432.383052331 18.52, -35187.69087816216 6733432.307972763 18.52, -35187.732212526025 6733432.2328932 18.52, -35187.7721025584 6733432.167740205 18.51, -35187.77499122184 6733432.147887065 18.51, -35187.81488125422 6733432.082734069 18.51, -35187.9645148135 6733431.820677753 18.5, -35188.35078365158 6733431.1166262785 18.48, -35188.3764141181 6733431.079808661 18.48, -35188.42063714506 6733430.984875952 18.47, -35188.43345237826 6733430.966467146 18.47, -35188.45908284502 6733430.929649526 18.47, -35188.583085934515 6733430.704410828 18.46, -35188.610160732875 6733430.657666639 18.46, -35188.89805694192 6733430.142036238 18.44, -35188.92513174028 6733430.0952920485 18.44, -35188.92802040314 6733430.075438909 18.44, -35188.95509520103 6733430.028694719 18.44, -35189.147507449496 6733429.681632259 18.43, -35189.17458224739 6733429.634888069 18.43, -35189.21302794677 6733429.579661642 18.42, -35189.39118062926 6733429.260934559 18.41, -35189.42114408966 6733429.194337229 18.41, -35189.44966321858 6733429.137666472 18.41, -35189.488108917954 6733429.082440043 18.41, -35189.518072378356 6733429.0158427125 18.400000000000002, -35189.55796240899 6733428.950689713 18.400000000000002, -35189.59929677087 6733428.875610147 18.400000000000002, -35189.62781590002 6733428.818939384 18.400000000000002, -35189.667705930304 6733428.753786388 18.400000000000002, -35189.68340982625 6733428.715524434 18.39, -35189.929971665144 6733428.274973591 18.38, -35189.95560213085 6733428.238155971 18.38, -35189.96986169508 6733428.209820592 18.38, -35190.353241848294 6733427.525622221 18.35, -35190.38320530788 6733427.459024888 18.35, -35190.410280105076 6733427.412280697 18.35, -35190.423095337464 6733427.393871889 18.35, -35190.45017013443 6733427.347127699 18.35, -35190.46442969877 6733427.318792317 18.35, -35190.504319728236 6733427.253639319 18.34, -35190.5599136533 6733427.150224368 18.34, -35190.5898771123 6733427.083627037 18.34, -35190.65828626999 6733426.961803273 18.330000000000002, -35190.69817629957 6733426.896650273 18.330000000000002, -35190.91621900338 6733426.512770178 18.32, -35190.94618246239 6733426.446172846 18.32, -35191.28822824499 6733425.837054032 18.31, -35191.32811827387 6733425.771901028 18.31, -35191.4107869938 6733425.6217418825 18.3, -35191.44075045199 6733425.555144551 18.3, -35191.658793151495 6733425.171264446 18.29, -35191.69868318003 6733425.1061114445 18.29, -35191.72864663799 6733425.03951411 18.29, -35191.76853666641 6733424.97436111 18.29, -35191.90679930791 6733424.720787007 18.28, -35191.946689336095 6733424.655634005 18.28, -35192.40136728401 6733423.829758691 18.26, -35192.44125731161 6733423.764605687 18.26, -35192.49829556397 6733423.65126416 18.26, -35192.53818559169 6733423.586111156 18.25, -35192.55244515464 6733423.557775777 18.25, -35192.580964280874 6733423.501105011 18.25, -35192.66363299778 6733423.350945862 18.25, -35192.70352302515 6733423.285792857 18.25, -35192.89737958368 6733422.928803792 18.240000000000002, -35192.93726961082 6733422.863650788 18.240000000000002, -35193.00567876408 6733422.741827017 18.23, -35193.0455687911 6733422.676674014 18.23, -35193.25224057969 6733422.301276134 18.22, -35193.28075970523 6733422.244605371 18.22, -35193.32064973225 6733422.179452364 18.22, -35193.36053975916 6733422.114299359 18.22, -35193.401874116505 6733422.039219785 18.22, -35193.43183757225 6733421.972622449 18.22, -35193.78958722437 6733421.325241641 18.2, -35193.82947725081 6733421.260088634 18.2, -35193.89644207165 6733421.148191432 18.2, -35193.93777642853 6733421.073111855 18.19, -35194.07459473063 6733420.829464311 18.19, -35194.10455818556 6733420.762866977 18.19, -35194.39245435002 6733420.2472365 18.17, -35194.43234437611 6733420.182083492 18.17, -35194.44660393789 6733420.153748112 18.17, -35194.47223440185 6733420.116930487 18.17, -35194.48649396375 6733420.0885951035 18.17, -35194.50364218664 6733420.040406579 18.17, -35194.59768180037 6733419.88176518 18.17, -35194.62620092463 6733419.825094412 18.16, -35194.69316574407 6733419.713197209 18.16, -35194.98106190399 6733419.197566727 18.150000000000002, -35195.00958102755 6733419.140895962 18.150000000000002, -35195.04947105271 6733419.075742954 18.150000000000002, -35195.189178010914 6733418.81224226 18.150000000000002, -35195.20199324284 6733418.793833448 18.150000000000002, -35195.2276237061 6733418.757015821 18.150000000000002, -35195.25614282966 6733418.700345053 18.150000000000002, -35195.63933918637 6733418.087076921 18.14, -35195.68211787124 6733418.002070769 18.13, -35195.93986683129 6733417.623967945 18.13, -35195.99401641742 6733417.53047955 18.13, -35196.30013764184 6733417.098594611 18.11, -35196.33713900589 6733417.053294743 18.11, -35196.50084835384 6733416.833833321 18.11, -35196.52792314661 6733416.787089122 18.11, -35196.664557701675 6733416.614371892 18.1, -35196.69018816459 6733416.577554265 18.1, -35196.738560429774 6733416.523772157 18.1, -35196.76563522266 6733416.477027958 18.1, -35196.79126568511 6733416.440210334 18.09, -35196.91508500872 6733416.285901915 18.09, -35196.95064204279 6733416.25052862 18.09, -35197.46721680858 6733415.626257032 18.07, -35197.491402941174 6733415.5993659785 18.07, -35197.58814747201 6733415.491801755 18.06, -35197.61088927451 6733415.474837274 18.06, -35197.62370450585 6733415.456428459 18.06, -35197.66070586967 6733415.411128592 18.06, -35197.67352110089 6733415.392719777 18.06, -35197.768821301404 6733415.29508213 18.06, -35197.78163653286 6733415.276673314 18.06, -35198.25254395371 6733414.757261016 18.04, -35198.26535918517 6733414.738852202 18.04, -35198.42184688256 6733414.569023622 18.03, -35198.43466211355 6733414.550614809 18.03, -35198.68789434072 6733414.273222009 18.02, -35198.70070957183 6733414.254813194 18.02, -35198.92975566641 6733414.004311448 18.01, -35199.59559647599 6733413.259844106 17.98, -35199.608411706984 6733413.241435292 17.98, -35200.27136385627 6733412.516821085 17.95, -35200.2841790868 6733412.498412273 17.95, -35200.69534333877 6733412.041264295 17.94, -35200.70815856976 6733412.02285548 17.94, -35200.816274000914 6733411.906809007 17.93, -35200.82908923179 6733411.888400194 17.93, -35200.93720466271 6733411.772353721 17.93, -35200.95994646568 6733411.755389234 17.92, -35201.16625075601 6733411.521851958 17.92, -35201.179065987 6733411.503443143 17.92, -35201.6144163697 6733411.0194041 17.900000000000002, -35201.627231600345 6733411.000995287 17.900000000000002, -35202.28025717416 6733410.274936709 17.87, -35202.30299897725 6733410.257972223 17.87, -35202.63023392786 6733409.889979647 17.84, -35202.643049158854 6733409.87157083 17.84, -35202.95602454932 6733409.531913636 17.81, -35202.96883977961 6733409.513504822 17.81, -35203.11395657342 6733409.352158466 17.8, -35203.126771804295 6733409.33374965 17.8, -35203.63323625235 6733408.7789639775 17.76, -35203.64605148265 6733408.760555163 17.75, -35204.29907705239 6733408.034496549 17.7, -35204.31189228303 6733408.016087731 17.7, -35204.42000771302 6733407.90004125 17.69, -35204.432822943665 6733407.881632432 17.69, -35204.974844424054 6733407.291473437 17.64, -35204.98765965435 6733407.273064621 17.64, -35205.49412409973 6733406.718278922 17.59, -35205.50693933037 6733406.699870105 17.59, -35205.642129550106 6733406.537079411 17.580000000000002, -35205.66342702473 6733406.530041496 17.580000000000002, -35206.31789691944 6733405.794056271 17.52, -35206.330712149385 6733405.775647456 17.52, -35206.35345395224 6733405.758682968 17.52, -35206.36626918288 6733405.740274153 17.52, -35206.67924457078 6733405.400616924 17.490000000000002, -35206.69205980119 6733405.382208107 17.490000000000002, -35206.993664286565 6733405.051033124 17.46, -35207.00647951721 6733405.032624303 17.46, -35207.659505080665 6733404.306565629 17.400000000000002, -35207.67232031096 6733404.28815681 17.400000000000002, -35208.28834451048 6733403.607398005 17.35, -35208.301159740775 6733403.588989188 17.35, -35208.33671677427 6733403.553615881 17.34, -35208.349532004446 6733403.535207062 17.34, -35208.55294763285 6733403.32152289 17.32, -35208.565762863145 6733403.30311407 17.32, -35208.833254642086 6733402.997385804 17.3, -35208.84606987226 6733402.978976986 17.3, -35209.049485500436 6733402.765292809 17.29, -35209.0993020928 6733402.701584107 17.28, -35209.58446905739 6733402.15383627 17.27, -35210.07956259465 6733401.60753275 17.25, -35210.6941424621 6733400.936700474 17.240000000000002, -35210.8022578907 6733400.82065397 17.23, -35210.92463287769 6733400.676272075 17.23, -35210.94737468136 6733400.659307583 17.23, -35210.9616342393 6733400.630972193 17.23, -35211.0327483064 6733400.560225571 17.23, -35211.058378766524 6733400.523407931 17.22, -35211.709959993605 6733399.807275757 17.2, -35211.73414612538 6733399.7803846905 17.2, -35211.84370588185 6733399.654411613 17.19, -35211.903449046775 6733399.592147236 17.19, -35212.37580077781 6733399.062808175 17.17, -35212.459730074275 6733398.973652733 17.17, -35212.651774799335 6733398.768450781 17.17, -35212.664590029046 6733398.750041961 17.17, -35212.762778883334 6733398.632551126 17.17, -35212.858079081634 6733398.5349134365 17.16, -35213.06438336405 6733398.3013760885 17.16, -35213.752965949476 6733397.5399439875 17.16, -35213.99482726434 6733397.271033322 17.150000000000002, -35214.21250244777 6733397.029013724 17.150000000000002, -35214.43017763109 6733396.786994123 17.150000000000002, -35215.10738931177 6733396.034044243 17.14, -35215.78460099106 6733395.281094349 17.14, -35215.96527481242 6733395.084374628 17.14, -35216.38925427478 6733394.608817649 17.13, -35216.46181266918 6733394.5281444425 17.13, -35216.55855719454 6733394.42058017 17.13, -35216.777676703874 6733394.168633979 17.12, -35217.14046867273 6733393.765267953 17.11, -35217.78375135921 6733392.966834412 17.080000000000002, -35217.99727727496 6733392.683664161 17.07, -35218.048538191826 6733392.610028872 17.07, -35218.27632366354 6733392.298523223 17.06, -35218.39310505369 6733392.122917248 17.05, -35218.94001064007 6733391.290187261 17.03, -35218.967085425626 6733391.243443043 17.03, -35219.16797982401 6733390.907751255 17.02, -35220.651689096005 6733392.066348061 16.89, -35220.5354334478 6733392.586679227 16.9, -35220.427843760815 6733393.047450941 16.91, -35220.41917779634 6733393.107010391 16.91, -35219.93164791062 6733394.0193366995 16.94, -35219.8233487613 6733394.2063135775 16.94, -35219.63941884111 6733394.564747165 16.95, -35219.58815792133 6733394.638382453 16.95, -35219.39159648854 6733394.9442945095 16.96, -35218.81617174414 6733395.833695266 16.98, -35218.50427323696 6733396.30528671 17, -35218.32052703062 6733396.592789936 17, -35218.23226474703 6733396.711725112 17.01, -35218.168188595795 6733396.803769218 17.01, -35217.77813809679 6733397.324809805 17.01, -35217.62435533269 6733397.545715661 17.01, -35217.00651933998 6733398.378261871 17.02, -35216.38868334354 6733399.210808064 17.03, -35216.19789921364 6733399.4770137975 17.03, -35215.99574418063 6733399.751701778 17.03, -35215.76236509718 6733400.031983342 17.03, -35215.12052668363 6733400.820490232 17.04, -35214.91133373196 6733401.073880726 17.04, -35214.82596010191 6733401.172962742 17.04, -35214.726326912874 6733401.300380154 17.04, -35214.71351168188 6733401.318788974 17.04, -35214.52994919091 6733401.535361825 17.04, -35214.46731736569 6733401.61747935 17.05, -35213.99911486497 6733402.187969035 17.07, -35213.94929827028 6733402.251677736 17.07, -35213.839738506475 6733402.377650818 17.07, -35213.81555237307 6733402.404541883 17.07, -35213.18093559507 6733403.14341586 17.1, -35213.155305133085 6733403.1802335 17.1, -35213.08419106202 6733403.250980119 17.11, -35213.06993150269 6733403.279315512 17.11, -35213.04718969774 6733403.296280001 17.11, -35212.9376299337 6733403.422253078 17.11, -35212.85081197426 6733403.531261665 17.11, -35212.31582838402 6733404.142718224 17.13, -35211.88896022842 6733404.638128272 17.150000000000002, -35211.47201864573 6733405.1349826455 17.16, -35211.42364637891 6733405.188764773 17.17, -35211.252899116604 6733405.386928785 17.17, -35211.24008388526 6733405.405337605 17.18, -35210.97259208851 6733405.711065873 17.2, -35210.95977685717 6733405.729474692 17.2, -35210.764843460754 6733405.954529767 17.21, -35210.7520282293 6733405.972938585 17.21, -35210.71647119359 6733406.008311894 17.21, -35210.70365596248 6733406.026720712 17.22, -35210.10604054027 6733406.720294752 17.26, -35210.09322530904 6733406.738703569 17.26, -35209.44868194719 6733407.476133148 17.31, -35209.43586671597 6733407.494541965 17.31, -35209.14274445432 6733407.837087854 17.330000000000002, -35209.1299292231 6733407.855496673 17.330000000000002, -35208.81695381529 6733408.195153897 17.35, -35208.80413858383 6733408.213562715 17.36, -35208.781396779115 6733408.2305272035 17.36, -35208.10707369505 6733408.9636237705 17.400000000000002, -35208.084331890685 6733408.980588257 17.41, -35207.94914166152 6733409.143378952 17.42, -35207.926399857155 6733409.16034344 17.42, -35207.439788524294 6733409.718017801 17.45, -35207.42697329307 6733409.736426615 17.45, -35206.89343402092 6733410.337956515 17.490000000000002, -35206.88061878923 6733410.356365334 17.490000000000002, -35206.77250335191 6733410.472411815 17.5, -35206.75968812045 6733410.490820631 17.5, -35206.105218177894 6733411.226805822 17.55, -35206.09240294655 6733411.245214636 17.55, -35205.60579161043 6733411.802888971 17.580000000000002, -35205.592976378626 6733411.821297785 17.580000000000002, -35205.44785957516 6733411.982644142 17.59, -35205.4350443437 6733412.001052956 17.59, -35205.120624602656 6733412.350636723 17.61, -35205.10780937108 6733412.36904554 17.61, -35204.78057439835 6733412.737038118 17.64, -35204.76775916666 6733412.755446934 17.64, -35204.12321579212 6733413.492876413 17.66, -35204.100473987986 6733413.509840899 17.67, -35203.673605818185 6733414.005250846 17.68, -35203.45593061205 6733414.247270365 17.69, -35203.44311538013 6733414.265679181 17.69, -35203.32507336931 6733414.3802813245 17.7, -35203.31225813751 6733414.398690139 17.7, -35203.20414269925 6733414.514736612 17.7, -35203.19132746698 6733414.533145428 17.7, -35202.78016318777 6733414.990293404 17.72, -35202.75742138375 6733415.007257887 17.72, -35202.10439576267 6733415.733316429 17.75, -35202.08165395842 6733415.750280913 17.75, -35201.42862833617 6733416.476339441 17.78, -35201.41581310402 6733416.494748255 17.78, -35201.18676699442 6733416.745250002 17.79, -35201.17395176226 6733416.763658817 17.79, -35200.92071951798 6733417.041051621 17.8, -35200.752860908746 6733417.219362437 17.81, -35200.74004567659 6733417.237771251 17.81, -35200.269138223724 6733417.757183552 17.830000000000002, -35200.24639641959 6733417.774148036 17.830000000000002, -35200.16102278454 6733417.873230019 17.830000000000002, -35200.13683665043 6733417.900121073 17.830000000000002, -35200.10127961403 6733417.93549437 17.830000000000002, -35200.08846438164 6733417.953903185 17.830000000000002, -35200.06572257797 6733417.970867665 17.830000000000002, -35199.97890461248 6733418.079876217 17.84, -35199.954718478024 6733418.106767274 17.84, -35199.41829053266 6733418.728150203 17.86, -35199.38417782681 6733418.753596926 17.86, -35199.26035849459 6733418.907905345 17.86, -35199.2248014583 6733418.9432786405 17.87, -35199.189244421665 6733418.978651938 17.87, -35199.150798724964 6733419.033878376 17.87, -35199.11524168844 6733419.069251673 17.87, -35198.9701248823 6733419.230598002 17.88, -35198.94449441752 6733419.267415627 17.88, -35198.75100534281 6733419.4825440645 17.88, -35198.72537487827 6733419.51936169 17.88, -35198.373953763745 6733419.9142452665 17.900000000000002, -35198.31276626245 6733419.986436187 17.900000000000002, -35198.05664535554 6733420.283682113 17.91, -35197.995457854355 6733420.355873033 17.91, -35197.57003400568 6733420.841356331 17.92, -35197.533032638254 6733420.886656198 17.93, -35197.5202174061 6733420.905065009 17.93, -35197.49603127141 6733420.931956063 17.93, -35197.32528399944 6733421.130120011 17.93, -35197.27691173041 6733421.183902119 17.94, -35197.23991036357 6733421.229201983 17.94, -35196.89841581904 6733421.625529873 17.95, -35196.82585741533 6733421.706203031 17.95, -35196.77748514619 6733421.75998514 17.95, -35196.656554473564 6733421.894440403 17.96, -35196.619553106255 6733421.9397402685 17.96, -35196.60673787398 6733421.958149079 17.96, -35196.57118083746 6733421.993522373 17.96, -35196.55836560461 6733422.011931188 17.96, -35196.5099933357 6733422.065713291 17.96, -35196.13149742293 6733422.507341038 17.98, -35196.081680822885 6733422.571049715 17.98, -35195.90948921908 6733422.779140226 17.990000000000002, -35195.85967261891 6733422.8428489035 17.990000000000002, -35195.78422555374 6733422.943375204 18, -35195.734408953576 6733423.00708388 18, -35195.27902164322 6733423.559164484 18.02, -35195.239131613984 6733423.624317491 18.02, -35195.18931501324 6733423.68802617 18.02, -35195.14094274421 6733423.741808271 18.02, -35195.09257047495 6733423.795590376 18.02, -35195.05268044572 6733423.86074338 18.03, -35194.79367087304 6733424.177842421 18.04, -35194.74385427253 6733424.2415510975 18.04, -35194.65703630436 6733424.350559636 18.04, -35194.608664034866 6733424.404341737 18.04, -35194.36102536344 6733424.712958535 18.05, -35194.31120876281 6733424.776667209 18.06, -35194.22150213248 6733424.90552889 18.06, -35194.17312986276 6733424.959310992 18.06, -35194.15887029888 6733424.987646374 18.06, -35194.11049802927 6733425.041428477 18.07, -35194.03505096282 6733425.141954771 18.07, -35193.99660526391 6733425.197181206 18.07, -35193.43147442851 6733425.94616513 18.09, -35193.38310215913 6733425.9999472285 18.1, -35193.2179484606 6733426.229335198 18.1, -35193.16957619053 6733426.283117299 18.11, -35193.129686160246 6733426.348270302 18.11, -35193.08131389017 6733426.402052405 18.11, -35192.829342222074 6733426.740448902 18.12, -35192.77952562086 6733426.804157574 18.12, -35192.67844808742 6733426.941501485 18.13, -35192.63007581723 6733426.995283586 18.13, -35192.19743030041 6733427.530399669 18.150000000000002, -35192.14905802999 6733427.584181771 18.150000000000002, -35191.88715978945 6733427.921133928 18.16, -35191.838787519024 6733427.974916028 18.16, -35191.75196954899 6733428.083924557 18.17, -35191.70359727868 6733428.137706658 18.17, -35191.62959454197 6733428.2283063745 18.17, -35191.58122227155 6733428.282088473 18.17, -35191.56696270697 6733428.310423855 18.18, -35191.531405669986 6733428.345797142 18.18, -35191.518590436666 6733428.364205953 18.18, -35191.491515638656 6733428.410950143 18.18, -35191.44314336835 6733428.464732243 18.18, -35190.95075467578 6733429.062112645 18.21, -35190.93649511121 6733429.090448027 18.21, -35190.91230897594 6733429.117339075 18.21, -35190.6020384623 6733429.508073319 18.23, -35190.577852326795 6733429.5349643715 18.23, -35190.537962295 6733429.60011737 18.240000000000002, -35190.489590024576 6733429.653899466 18.240000000000002, -35190.45114432438 6733429.709125895 18.240000000000002, -35190.401327722124 6733429.772834561 18.240000000000002, -35190.35295545135 6733429.826616662 18.25, -35190.31450975151 6733429.881843086 18.25, -35190.276064050966 6733429.937069516 18.25, -35190.22769178043 6733429.990851613 18.25, -35190.01561013784 6733430.264095089 18.27, -35189.97716443753 6733430.319321517 18.27, -35189.94016306882 6733430.364621374 18.27, -35189.69252438855 6733430.673238137 18.28, -35189.66689392156 6733430.7100557545 18.29, -35189.65407868824 6733430.7284645615 18.29, -35189.618521650555 6733430.763837851 18.29, -35189.26691677014 6733431.229651651 18.31, -35189.23135973257 6733431.265024936 18.31, -35189.08190992463 6733431.456150933 18.32, -35189.05627945764 6733431.49296855 18.32, -35189.032093321905 6733431.519859599 18.32, -35188.97090581746 6733431.592050502 18.330000000000002, -35188.945275350474 6733431.62886812 18.330000000000002, -35188.46985112585 6733432.248990291 18.36, -35188.28195561608 6733432.495342707 18.37, -35188.233583344845 6733432.549124801 18.37, -35188.18376674189 6733432.612833465 18.37, -35188.13395013905 6733432.676542128 18.38, -35188.08268920402 6733432.750177361 18.38, -35187.90905325883 6733432.968194399 18.39, -35187.846421422204 6733433.05031187 18.39, -35187.64571067761 6733433.315073092 18.400000000000002, -35187.58307884075 6733433.397190562 18.41, -35187.509076101356 6733433.4877902735 18.41, -35187.47207473207 6733433.533090126 18.41, -35187.42081379704 6733433.606725358 18.42))</t>
  </si>
  <si>
    <t>['FV558 S1D1 m3528-3584', 'FV558 S1D1 m3588 KD1 m70-74']</t>
  </si>
  <si>
    <t>LINESTRING Z (-35193.50344201655 6733438.688361142 18.18, -35193.57888909988 6733438.58783486 18.17, -35193.65289185068 6733438.497235147 18.17, -35193.8635291988 6733438.233918252 18.150000000000002, -35193.92471671337 6733438.16172735 18.150000000000002, -35194.09690835385 6733437.953636877 18.14, -35194.15809586819 6733437.881445974 18.14, -35194.20935681171 6733437.807810741 18.13, -35194.2577290904 6733437.754028644 18.13, -35194.307545701624 6733437.690319977 18.13, -35194.51240571833 6733437.466709363 18.12, -35195.03457421018 6733436.87366198 18.09, -35195.05876034906 6733436.846770935 18.09, -35195.129874434206 6733436.77602436 18.080000000000002, -35195.14268967032 6733436.7576155495 18.080000000000002, -35195.16832014173 6733436.720797932 18.080000000000002, -35195.33762311621 6733436.532560594 18.07, -35195.37318015832 6733436.49718731 18.07, -35195.761602717335 6733436.057003968 18.05, -35195.79715975979 6733436.021630679 18.04, -35195.84553203825 6733435.967848583 18.04, -35196.100208664895 6733435.680529291 18.03, -35196.135765707004 6733435.6451560045 18.02, -35196.184137985576 6733435.591373907 18.02, -35196.416072805296 6733435.321019088 18.01, -35196.463000750984 6733435.27716356 18.01, -35196.50144645828 6733435.221937129 18, -35196.54981873627 6733435.168155032 18, -35196.59819101426 6733435.114372935 18, -35196.646563292714 6733435.060590838 18, -35196.69493557082 6733435.006808739 17.990000000000002, -35196.74330784893 6733434.95302664 17.990000000000002, -35196.79168012692 6733434.899244542 17.990000000000002, -35196.81586626626 6733434.872353492 17.990000000000002, -35197.14454564138 6733434.494434472 17.97, -35197.16873178037 6733434.467543423 17.97, -35197.192917919485 6733434.440652374 17.96, -35197.702271170565 6733433.8660137635 17.94, -35197.750643448555 6733433.812231665 17.93, -35197.787644823315 6733433.766931805 17.93, -35197.83601710107 6733433.713149704 17.93, -35197.858758908 6733433.696185227 17.93, -35197.907131185755 6733433.642403128 17.92, -35197.98113393469 6733433.551803406 17.92, -35198.029506212566 6733433.498021308 17.92, -35198.124806436244 6733433.400383679 17.91, -35198.17462304619 6733433.336675008 17.91, -35198.453485810314 6733433.022464644 17.900000000000002, -35198.50185808807 6733432.968682544 17.900000000000002, -35198.961394727114 6733432.457752589 17.88, -35199.00976700499 6733432.4039704865 17.88, -35199.11932679603 6733432.277997473 17.87, -35199.17906997702 6733432.215733133 17.87, -35199.457932739984 6733431.901522762 17.86, -35199.50630501751 6733431.847740662 17.86, -35199.554677295266 6733431.793958561 17.85, -35199.60449390509 6733431.730249886 17.85, -35199.80502092349 6733431.536418953 17.84, -35199.85339320067 6733431.482636851 17.84, -35200.507679529605 6733430.817582225 17.81, -35200.55605180736 6733430.763800122 17.81, -35200.63998112723 6733430.674644726 17.81, -35200.69827997638 6733430.622306956 17.81, -35200.71109521156 6733430.603898144 17.8, -35200.7594674892 6733430.55011604 17.8, -35200.87750951946 6733430.4355139285 17.8, -35200.935808369075 6733430.3831761535 17.8, -35201.210338135366 6733430.098745488 17.78, -35201.25871041301 6733430.044963383 17.78, -35201.365381539916 6733429.9388435045 17.78, -35201.41375381756 6733429.8850614 17.78, -35201.6911722474 6733429.580777586 17.76, -35201.73810019309 6733429.536922054 17.76, -35201.7864724705 6733429.483139948 17.76, -35201.84477132 6733429.430802176 17.76, -35201.894587928895 6733429.367093501 17.75, -35201.94296020665 6733429.313311394 17.75, -35202.43516522134 6733428.786861243 17.73, -35202.484981830465 6733428.723152566 17.73, -35202.57883772196 6733428.635441498 17.73, -35202.628654330736 6733428.57173282 17.72, -35202.80932820565 6733428.375013208 17.72, -35202.8676270548 6733428.322675434 17.71, -35203.25460527325 6733427.892418581 17.7, -35203.31290412275 6733427.840080806 17.7, -35203.32571935782 6733427.821671993 17.7, -35203.362720731646 6733427.776372126 17.69, -35203.37553596648 6733427.757963316 17.69, -35203.41109300894 6733427.72259002 17.69, -35203.55043251475 6733427.600949986 17.69, -35203.58743388858 6733427.555650121 17.68, -35203.65710364189 6733427.494830101 17.68, -35203.91881817207 6733427.228808229 17.67, -35203.95437521441 6733427.193434932 17.67, -35203.98993225675 6733427.158061641 17.66, -35204.120789521956 6733427.025050701 17.66, -35204.14353132935 6733427.00808622 17.66, -35204.18053270283 6733426.962786353 17.66, -35204.510472655296 6733426.645871028 17.64, -35204.54747402889 6733426.600571161 17.64, -35204.76081628236 6733426.388331389 17.63, -35204.807744228165 6733426.344475854 17.63, -35205.1761298856 6733425.972334082 17.61, -35205.21168692794 6733425.936960785 17.61, -35205.41221394646 6733425.743129823 17.6, -35205.44777098845 6733425.707756529 17.6, -35205.601370061166 6733425.557781104 17.6, -35205.636927103624 6733425.5224078065 17.59, -35205.68529938045 6733425.468625697 17.59, -35205.72085642279 6733425.433252401 17.59, -35205.756413465366 6733425.397879103 17.59, -35205.88871506159 6733425.254941588 17.580000000000002, -35205.92282777268 6733425.229494863 17.580000000000002, -35206.503111352446 6733424.655039874 17.56, -35206.52729749109 6733424.628148819 17.56, -35206.622597713955 6733424.530511169 17.56, -35206.635412948905 6733424.512102356 17.56, -35206.65815475618 6733424.495137873 17.55, -35206.69515612966 6733424.449838001 17.55, -35206.71789793717 6733424.43287352 17.55, -35206.81175382901 6733424.345162443 17.55, -35206.83449563617 6733424.32819796 17.55, -35207.32236765558 6733423.831527461 17.53, -35207.34510946297 6733423.81456298 17.53, -35207.500152866705 6733423.654660973 17.52, -35207.52289467421 6733423.637696489 17.52, -35207.78460920474 6733423.371674589 17.51, -35207.79742443981 6733423.3532657735 17.51, -35208.04343507334 6733423.125505832 17.5, -35208.06473255006 6733423.1184679195 17.5, -35208.78994921723 6733422.453596902 17.47, -35208.80276445218 6733422.435188086 17.47, -35209.52798112086 6733421.770317052 17.44, -35209.54079635546 6733421.751908239 17.44, -35209.995816251845 6733421.341688204 17.42, -35210.01855805947 6733421.324723721 17.42, -35210.12522918673 6733421.21860382 17.41, -35210.147970994 6733421.201639336 17.41, -35210.26601302554 6733421.087037191 17.400000000000002, -35210.27882825979 6733421.068628376 17.400000000000002, -35210.50209708733 6733420.857832902 17.39, -35210.5149123217 6733420.8394240895 17.39, -35210.985636115074 6733420.390942083 17.37, -35211.00693359203 6733420.383904171 17.37, -35211.713741448126 6733419.7062178645 17.34, -35211.72655668273 6733419.687809049 17.34, -35212.09060934943 6733419.345446935 17.330000000000002, -35212.10342458391 6733419.327038119 17.330000000000002, -35212.45177335525 6733419.022937964 17.31, -35212.474515162874 6733419.005973482 17.31, -35212.62666990608 6733418.865924601 17.31, -35212.6494117144 6733418.848960115 17.3, -35213.206769749406 6733418.36239986 17.28, -35213.21958498366 6733418.343991047 17.28, -35213.96321047575 6733417.69193517 17.25, -35214.09117908112 6733417.578777349 17.25, -35214.11392088933 6733417.561812858 17.240000000000002, -35214.7182068734 6733417.031397041 17.22, -35214.73950435163 6733417.024359125 17.22, -35215.3082332944 6733416.529316604 17.2, -35215.32104852842 6733416.510907788 17.2, -35215.48168551654 6733416.382229801 17.19, -35215.49450075091 6733416.363820984 17.19, -35216.24805282219 6733415.713209402 17.16, -35216.27223896084 6733415.686318339 17.16, -35216.29498076916 6733415.66935385 17.16, -35216.66173836286 6733415.378068902 17.14, -35217.01856938284 6733415.085339617 17.13, -35217.041311191395 6733415.068375128 17.12, -35217.81038342463 6733414.450431907 17.09, -35217.82319865923 6733414.432023086 17.09, -35218.54534294817 6733413.857935401 17.06, -35218.60075313959 6733413.825450754 17.06, -35218.61356837361 6733413.8070419375 17.06, -35218.85380169412 6733413.618988229 17.05, -35218.87509917293 6733413.611950313 17.05, -35219.19492882374 6733413.364520896 17.04, -35219.21767063229 6733413.347556408 17.04, -35219.33282400551 6733413.252807389 17.03, -35219.365492388606 6733413.23728723 17.03, -35219.94829717069 6733412.784839607 17.01, -35220.31216611131 6733412.513407777 17, -35220.36902063363 6733412.470996552 17, -35220.438690389856 6733412.410176508 16.990000000000002, -35220.461432198645 6733412.393212019 16.990000000000002, -35220.494100581855 6733412.377691861 16.990000000000002, -35220.563770338194 6733412.316871818 16.990000000000002, -35220.60780962615 6733412.292869413 16.990000000000002, -35221.3880690434 6733411.737374241 16.97, -35221.41081085231 6733411.720409753 16.97, -35221.555743951 6733411.629993717 16.97, -35221.61404280295 6733411.577655917 16.97, -35222.200996848405 6733411.166358897 16.95, -35222.29196408449 6733411.098500938 16.95, -35222.5179378459 6733410.938782607 16.96, -35222.53923532518 6733410.931744694 16.96, -35222.664315275266 6733410.838439996 16.96, -35222.76809774607 6733410.752173216 16.96, -35223.01825764659 6733410.565563819 16.96, -35223.83262979018 6733409.984621877 16.96, -35224.128273310955 6733409.764083494 16.96, -35224.38835978857 6733409.578918422 16.97, -35224.65692851262 6733409.405124252 16.97, -35225.4981917307 6733408.848368427 16.97, -35226.34938152984 6733408.293056915 16.98, -35226.56254006247 6733408.1517473925 16.98, -35227.08975094394 6733407.802714704 16.98, -35227.18920042901 6733407.746227639 16.98, -35227.3099473943 6733407.68270266 16.98, -35227.606851521414 6733407.52316804 16.990000000000002, -35228.081357140676 6733407.257697207 16.990000000000002, -35228.97495818813 6733406.759240187 17, -35229.28323322453 6733406.591223317 17.01, -35229.35994090128 6733406.551700744 17.01, -35229.68103117321 6733406.365275048 17.01, -35229.85863266722 6733406.25933883 17.01, -35230.698267861386 6733405.78343987 17.02, -35230.742307153065 6733405.759437458 17.02, -35231.07332400489 6733405.574456084 17.03, -35231.59331325942 6733405.275056238 17.04, -35231.62598164589 6733405.259536074 17.04, -35232.57895845105 6733404.840675349 16.990000000000002, -35233.26210592105 6733404.534605028 16.95, -35233.52345301886 6733404.410443704 16.94, -35233.685350625776 6733404.342769454 16.93, -35233.80465326982 6733404.289171037 16.92, -35234.45098310034 6733403.95747024 16.89, -35234.627140272874 6733403.861460587 16.88, -35235.24080172053 6733403.545279949 16.84, -35235.74666418659 6733404.318317814 16.84, -35231.15628367767 6733406.954985076 16.84, -35228.94436699769 6733408.711177554 16.84, -35226.18517702911 6733411.44196058 16.84, -35224.49774079991 6733413.355559241 16.98, -35224.486369894934 6733413.364041486 17, -35224.30280734773 6733413.580614335 16.990000000000002, -35224.23169325676 6733413.651360957 16.990000000000002, -35223.72811730055 6733414.1862935955 17, -35223.679745019996 6733414.240075721 17, -35223.56025864824 6733414.364604473 17, -35223.5360725082 6733414.391495534 17, -35222.83215325151 6733415.04932884 17.02, -35222.80796711147 6733415.076219904 17.02, -35222.726926445845 6733415.145522189 17.02, -35222.70418463531 6733415.162486684 17.02, -35222.69136940024 6733415.1808955 17.02, -35222.634514874895 6733415.223306727 17.02, -35222.58758692455 6733415.267162278 17.02, -35222.33164969308 6733415.493477956 17.03, -35221.915075461264 6733415.84847163 17.05, -35221.900815895526 6733415.876807023 17.05, -35221.80984865583 6733415.944664978 17.06, -35221.7970334203 6733415.9630737975 17.06, -35221.495612569386 6733416.223318449 17.07, -35221.47287075943 6733416.240282938 17.07, -35221.25104624359 6733416.441151877 17.080000000000002, -35221.22830443352 6733416.458116368 17.080000000000002, -35221.19419171871 6733416.483563099 17.080000000000002, -35221.181376483175 6733416.501971919 17.09, -35220.496049787616 6733417.101690069 17.11, -35220.4747523081 6733417.108727982 17.11, -35219.731126758736 6733417.760783917 17.14, -35219.718311523786 6733417.7791927345 17.150000000000002, -35219.38133362937 6733418.074810678 17.16, -35219.3600361502 6733418.081848591 17.16, -35219.01168735139 6733418.385948778 17.17, -35218.99887211621 6733418.4043575935 17.17, -35218.97613030637 6733418.421322082 17.18, -35218.96331507119 6733418.4397308985 17.18, -35218.22113385622 6733419.081860232 17.21, -35218.198392046266 6733419.09882472 17.21, -35218.046237291885 6733419.238873609 17.21, -35218.02349548205 6733419.255838095 17.21, -35217.466137407 6733419.742398374 17.240000000000002, -35217.45332217147 6733419.760807191 17.240000000000002, -35216.8391095734 6733420.289778678 17.26, -35216.8262943381 6733420.308187492 17.26, -35216.7096966292 6733420.412863073 17.27, -35216.6883991505 6733420.419900986 17.27, -35215.94477360975 6733421.071956858 17.3, -35215.37460030278 6733421.576925926 17.32, -35215.35185849352 6733421.593890411 17.32, -35215.18977716635 6733421.73249496 17.330000000000002, -35215.17696193105 6733421.750903774 17.330000000000002, -35214.82861313666 6733422.055003927 17.35, -35214.807315658545 6733422.06204184 17.35, -35214.43478072458 6733422.393033046 17.36, -35214.42196548905 6733422.411441865 17.36, -35213.67978428479 6733423.053571123 17.39, -35213.65704247565 6733423.070535608 17.39, -35213.16935416625 6733423.496275803 17.41, -35213.156538930605 6733423.514684618 17.42, -35212.924787846394 6733423.714109185 17.43, -35212.90204603714 6733423.731073671 17.43, -35212.78544832952 6733423.835749241 17.43, -35212.7627065205 6733423.8527137255 17.43, -35212.64610881277 6733423.957389295 17.44, -35212.62336700421 6733423.974353778 17.44, -35212.159864836605 6733424.373202904 17.46, -35212.14704960096 6733424.3916117195 17.46, -35211.40342407068 6733425.043667514 17.490000000000002, -35210.64842763776 6733425.70420554 17.52, -35210.381119510974 6733425.939003392 17.53, -35210.359822033555 6733425.946041303 17.53, -35210.07969867124 6733426.199247965 17.55, -35210.06688343536 6733426.217656781 17.55, -35209.8934312067 6733426.36474355 17.55, -35209.87068939756 6733426.381708036 17.55, -35209.34744404978 6733426.842821484 17.57, -35209.32470224099 6733426.859785969 17.580000000000002, -35209.22091977077 6733426.946052714 17.580000000000002, -35209.20810453466 6733426.964461529 17.580000000000002, -35209.17254749022 6733426.999834826 17.580000000000002, -35209.14980568155 6733427.016799309 17.580000000000002, -35209.12706387276 6733427.033763792 17.580000000000002, -35209.021837070584 6733427.1299571125 17.59, -35208.98916868924 6733427.14547726 17.59, -35208.365029535955 6733427.673004301 17.61, -35208.330916822655 6733427.698451026 17.61, -35208.181650735554 6733427.818646734 17.62, -35208.13616711809 6733427.852575701 17.62, -35208.100610074005 6733427.887948993 17.62, -35208.04375555215 6733427.930360202 17.63, -35207.999716267106 6733427.954362593 17.63, -35207.82770837122 6733428.091522782 17.63, -35207.78366908606 6733428.115525172 17.64, -35207.56617757375 6733428.286614324 17.64, -35207.52069395641 6733428.320543292 17.650000000000002, -35207.099970500334 6733428.634386206 17.66, -35207.05448688357 6733428.668315169 17.66, -35206.861181512126 6733428.812513265 17.68, -35206.80432699097 6733428.854924469 17.68, -35206.48594167398 6733429.092427215 17.7, -35206.45182896138 6733429.117873937 17.7, -35206.42908715294 6733429.134838418 17.7, -35206.282709730556 6733429.235180976 17.71, -35206.25852359063 6733429.2620720295 17.71, -35206.22441087826 6733429.287518752 17.71, -35205.95150917838 6733429.491092531 17.72, -35205.906025562086 6733429.525021491 17.73, -35205.883283753996 6733429.541985972 17.73, -35205.83780013712 6733429.575914935 17.73, -35205.6899783836 6733429.686184064 17.73, -35205.644494767184 6733429.720113026 17.740000000000002, -35205.62175295886 6733429.737077508 17.740000000000002, -35205.58764024661 6733429.76252423 17.740000000000002, -35205.56489843805 6733429.7794887135 17.740000000000002, -35205.496673013666 6733429.830382153 17.740000000000002, -35205.029021614 6733430.18808059 17.76, -35204.962240521214 6733430.2290474605 17.76, -35204.73482243996 6733430.39869227 17.77, -35204.67796791962 6733430.4411034705 17.78, -35204.56425887928 6733430.525925876 17.78, -35204.507404359174 6733430.568337078 17.78, -35203.916117349756 6733431.009413574 17.81, -35203.85781849793 6733431.061751348 17.81, -35203.79103740561 6733431.102718217 17.81, -35203.73273855378 6733431.1550559895 17.82, -35203.675884033786 6733431.197467192 17.82, -35203.60910294182 6733431.23843406 17.82, -35203.27790239465 6733431.494345596 17.84, -35203.21112130303 6733431.535312464 17.84, -35203.09596793156 6733431.630061436 17.84, -35203.02918683947 6733431.671028308 17.85, -35202.70935719716 6733431.9184576 17.86, -35202.64257610601 6733431.959424467 17.86, -35202.51749616291 6733432.052729106 17.87, -35202.45919731143 6733432.105066876 17.87, -35202.43645550357 6733432.122031356 17.87, -35202.369674412184 6733432.162998226 17.87, -35202.26733627706 6733432.239338383 17.88, -35202.209037425346 6733432.291676155 17.88, -35201.44718686631 6733432.859986222 17.91, -35201.39033234678 6733432.90239742 17.91, -35201.1629142703 6733433.072042216 17.92, -35201.09468884731 6733433.122935653 17.93, -35201.03783432813 6733433.16534685 17.93, -35200.980979809305 6733433.207758048 17.93, -35200.628481791355 6733433.470707473 17.95, -35200.5602563686 6733433.521600912 17.95, -35200.42380552308 6733433.6233877875 17.95, -35200.366951004486 6733433.665798983 17.96, -35199.79840581643 6733434.089910957 17.98, -35199.74155129818 6733434.132322149 17.98, -35199.389053282444 6733434.395271571 18, -35199.332198763965 6733434.4376827665 18, -35199.21848972689 6733434.522505159 18, -35199.16019087611 6733434.574842927 18.01, -35199.05929707526 6733434.641256506 18.01, -35199.00244255678 6733434.683667704 18.01, -35198.97970074951 6733434.700632181 18.02, -35198.93421713449 6733434.73456114 18.02, -35198.877362615895 6733434.776972338 18.02, -35198.81906376581 6733434.8293101 18.02, -35198.18373749335 6733435.294388918 18.06, -35198.15955135354 6733435.321279969 18.06, -35198.12688297534 6733435.336800112 18.06, -35197.71753044508 6733435.642160718 18.080000000000002, -35197.69334430562 6733435.6690517645 18.09, -35197.62656321633 6733435.710018626 18.09, -35197.56970869843 6733435.752429821 18.09, -35197.51140984811 6733435.804767588 18.09, -35197.44462875882 6733435.845734449 18.1, -35197.38777424104 6733435.888145642 18.1, -35197.34084629419 6733435.93200117 18.1, -35197.274065205245 6733435.972968032 18.11, -35197.22713725839 6733436.016823558 18.11, -35196.94142033707 6733436.238806097 18.13, -35196.884565819055 6733436.281217292 18.13, -35196.839082205086 6733436.315146248 18.13, -35196.53910571558 6733436.565464168 18.150000000000002, -35196.49362210184 6733436.599393119 18.150000000000002, -35196.48080686561 6733436.61780193 18.150000000000002, -35196.44524982234 6733436.65317522 18.150000000000002, -35196.00448949402 6733437.035059709 18.18, -35195.96893245075 6733437.070432996 18.18, -35195.78266499727 6733437.235928524 18.19, -35195.74710795446 6733437.271301811 18.19, -35195.72436614742 6733437.288266289 18.19, -35195.65325206146 6733437.359012862 18.2, -35195.62906592153 6733437.38590391 18.2, -35195.06159756635 6733437.941949913 18.23, -35194.858181878924 6733438.15563396 18.240000000000002, -35194.80980959977 6733438.209416053 18.240000000000002, -35194.79699436354 6733438.227824865 18.240000000000002, -35194.74862208427 6733438.28160696 18.25, -35194.690323234536 6733438.33394472 18.25, -35194.63058005192 6733438.396209054 18.25, -35194.44701750588 6733438.612781765 18.23, -35194.3858299905 6733438.684972665 18.23, -35194.15678383084 6733438.935474328 18.2, -35194.09415198257 6733439.017591801 18.19, -35193.50344201655 6733438.688361142 18.18)</t>
  </si>
  <si>
    <t>POLYGON Z ((-35193.50344201655 6733438.688361142 18.18, -35193.57888909988 6733438.58783486 18.17, -35193.65289185068 6733438.497235147 18.17, -35193.8635291988 6733438.233918252 18.150000000000002, -35193.92471671337 6733438.16172735 18.150000000000002, -35194.09690835385 6733437.953636877 18.14, -35194.15809586819 6733437.881445974 18.14, -35194.20935681171 6733437.807810741 18.13, -35194.2577290904 6733437.754028644 18.13, -35194.307545701624 6733437.690319977 18.13, -35194.51240571833 6733437.466709363 18.12, -35195.03457421018 6733436.87366198 18.09, -35195.05876034906 6733436.846770935 18.09, -35195.129874434206 6733436.77602436 18.080000000000002, -35195.14268967032 6733436.7576155495 18.080000000000002, -35195.16832014173 6733436.720797932 18.080000000000002, -35195.33762311621 6733436.532560594 18.07, -35195.37318015832 6733436.49718731 18.07, -35195.761602717335 6733436.057003968 18.05, -35195.79715975979 6733436.021630679 18.04, -35195.84553203825 6733435.967848583 18.04, -35196.100208664895 6733435.680529291 18.03, -35196.135765707004 6733435.6451560045 18.02, -35196.184137985576 6733435.591373907 18.02, -35196.416072805296 6733435.321019088 18.01, -35196.463000750984 6733435.27716356 18.01, -35196.50144645828 6733435.221937129 18, -35196.54981873627 6733435.168155032 18, -35196.59819101426 6733435.114372935 18, -35196.646563292714 6733435.060590838 18, -35196.69493557082 6733435.006808739 17.990000000000002, -35196.74330784893 6733434.95302664 17.990000000000002, -35196.79168012692 6733434.899244542 17.990000000000002, -35196.81586626626 6733434.872353492 17.990000000000002, -35197.14454564138 6733434.494434472 17.97, -35197.16873178037 6733434.467543423 17.97, -35197.192917919485 6733434.440652374 17.96, -35197.702271170565 6733433.8660137635 17.94, -35197.750643448555 6733433.812231665 17.93, -35197.787644823315 6733433.766931805 17.93, -35197.83601710107 6733433.713149704 17.93, -35197.858758908 6733433.696185227 17.93, -35197.907131185755 6733433.642403128 17.92, -35197.98113393469 6733433.551803406 17.92, -35198.029506212566 6733433.498021308 17.92, -35198.124806436244 6733433.400383679 17.91, -35198.17462304619 6733433.336675008 17.91, -35198.453485810314 6733433.022464644 17.900000000000002, -35198.50185808807 6733432.968682544 17.900000000000002, -35198.961394727114 6733432.457752589 17.88, -35199.00976700499 6733432.4039704865 17.88, -35199.11932679603 6733432.277997473 17.87, -35199.17906997702 6733432.215733133 17.87, -35199.457932739984 6733431.901522762 17.86, -35199.50630501751 6733431.847740662 17.86, -35199.554677295266 6733431.793958561 17.85, -35199.60449390509 6733431.730249886 17.85, -35199.80502092349 6733431.536418953 17.84, -35199.85339320067 6733431.482636851 17.84, -35200.507679529605 6733430.817582225 17.81, -35200.55605180736 6733430.763800122 17.81, -35200.63998112723 6733430.674644726 17.81, -35200.69827997638 6733430.622306956 17.81, -35200.71109521156 6733430.603898144 17.8, -35200.7594674892 6733430.55011604 17.8, -35200.87750951946 6733430.4355139285 17.8, -35200.935808369075 6733430.3831761535 17.8, -35201.210338135366 6733430.098745488 17.78, -35201.25871041301 6733430.044963383 17.78, -35201.365381539916 6733429.9388435045 17.78, -35201.41375381756 6733429.8850614 17.78, -35201.6911722474 6733429.580777586 17.76, -35201.73810019309 6733429.536922054 17.76, -35201.7864724705 6733429.483139948 17.76, -35201.84477132 6733429.430802176 17.76, -35201.894587928895 6733429.367093501 17.75, -35201.94296020665 6733429.313311394 17.75, -35202.43516522134 6733428.786861243 17.73, -35202.484981830465 6733428.723152566 17.73, -35202.57883772196 6733428.635441498 17.73, -35202.628654330736 6733428.57173282 17.72, -35202.80932820565 6733428.375013208 17.72, -35202.8676270548 6733428.322675434 17.71, -35203.25460527325 6733427.892418581 17.7, -35203.31290412275 6733427.840080806 17.7, -35203.32571935782 6733427.821671993 17.7, -35203.362720731646 6733427.776372126 17.69, -35203.37553596648 6733427.757963316 17.69, -35203.41109300894 6733427.72259002 17.69, -35203.55043251475 6733427.600949986 17.69, -35203.58743388858 6733427.555650121 17.68, -35203.65710364189 6733427.494830101 17.68, -35203.91881817207 6733427.228808229 17.67, -35203.95437521441 6733427.193434932 17.67, -35203.98993225675 6733427.158061641 17.66, -35204.120789521956 6733427.025050701 17.66, -35204.14353132935 6733427.00808622 17.66, -35204.18053270283 6733426.962786353 17.66, -35204.510472655296 6733426.645871028 17.64, -35204.54747402889 6733426.600571161 17.64, -35204.76081628236 6733426.388331389 17.63, -35204.807744228165 6733426.344475854 17.63, -35205.1761298856 6733425.972334082 17.61, -35205.21168692794 6733425.936960785 17.61, -35205.41221394646 6733425.743129823 17.6, -35205.44777098845 6733425.707756529 17.6, -35205.601370061166 6733425.557781104 17.6, -35205.636927103624 6733425.5224078065 17.59, -35205.68529938045 6733425.468625697 17.59, -35205.72085642279 6733425.433252401 17.59, -35205.756413465366 6733425.397879103 17.59, -35205.88871506159 6733425.254941588 17.580000000000002, -35205.92282777268 6733425.229494863 17.580000000000002, -35206.503111352446 6733424.655039874 17.56, -35206.52729749109 6733424.628148819 17.56, -35206.622597713955 6733424.530511169 17.56, -35206.635412948905 6733424.512102356 17.56, -35206.65815475618 6733424.495137873 17.55, -35206.69515612966 6733424.449838001 17.55, -35206.71789793717 6733424.43287352 17.55, -35206.81175382901 6733424.345162443 17.55, -35206.83449563617 6733424.32819796 17.55, -35207.32236765558 6733423.831527461 17.53, -35207.34510946297 6733423.81456298 17.53, -35207.500152866705 6733423.654660973 17.52, -35207.52289467421 6733423.637696489 17.52, -35207.78460920474 6733423.371674589 17.51, -35207.79742443981 6733423.3532657735 17.51, -35208.04343507334 6733423.125505832 17.5, -35208.06473255006 6733423.1184679195 17.5, -35208.78994921723 6733422.453596902 17.47, -35208.80276445218 6733422.435188086 17.47, -35209.52798112086 6733421.770317052 17.44, -35209.54079635546 6733421.751908239 17.44, -35209.995816251845 6733421.341688204 17.42, -35210.01855805947 6733421.324723721 17.42, -35210.12522918673 6733421.21860382 17.41, -35210.147970994 6733421.201639336 17.41, -35210.26601302554 6733421.087037191 17.400000000000002, -35210.27882825979 6733421.068628376 17.400000000000002, -35210.50209708733 6733420.857832902 17.39, -35210.5149123217 6733420.8394240895 17.39, -35210.985636115074 6733420.390942083 17.37, -35211.00693359203 6733420.383904171 17.37, -35211.713741448126 6733419.7062178645 17.34, -35211.72655668273 6733419.687809049 17.34, -35212.09060934943 6733419.345446935 17.330000000000002, -35212.10342458391 6733419.327038119 17.330000000000002, -35212.45177335525 6733419.022937964 17.31, -35212.474515162874 6733419.005973482 17.31, -35212.62666990608 6733418.865924601 17.31, -35212.6494117144 6733418.848960115 17.3, -35213.206769749406 6733418.36239986 17.28, -35213.21958498366 6733418.343991047 17.28, -35213.96321047575 6733417.69193517 17.25, -35214.09117908112 6733417.578777349 17.25, -35214.11392088933 6733417.561812858 17.240000000000002, -35214.7182068734 6733417.031397041 17.22, -35214.73950435163 6733417.024359125 17.22, -35215.3082332944 6733416.529316604 17.2, -35215.32104852842 6733416.510907788 17.2, -35215.48168551654 6733416.382229801 17.19, -35215.49450075091 6733416.363820984 17.19, -35216.24805282219 6733415.713209402 17.16, -35216.27223896084 6733415.686318339 17.16, -35216.29498076916 6733415.66935385 17.16, -35216.66173836286 6733415.378068902 17.14, -35217.01856938284 6733415.085339617 17.13, -35217.041311191395 6733415.068375128 17.12, -35217.81038342463 6733414.450431907 17.09, -35217.82319865923 6733414.432023086 17.09, -35218.54534294817 6733413.857935401 17.06, -35218.60075313959 6733413.825450754 17.06, -35218.61356837361 6733413.8070419375 17.06, -35218.85380169412 6733413.618988229 17.05, -35218.87509917293 6733413.611950313 17.05, -35219.19492882374 6733413.364520896 17.04, -35219.21767063229 6733413.347556408 17.04, -35219.33282400551 6733413.252807389 17.03, -35219.365492388606 6733413.23728723 17.03, -35219.94829717069 6733412.784839607 17.01, -35220.31216611131 6733412.513407777 17, -35220.36902063363 6733412.470996552 17, -35220.438690389856 6733412.410176508 16.990000000000002, -35220.461432198645 6733412.393212019 16.990000000000002, -35220.494100581855 6733412.377691861 16.990000000000002, -35220.563770338194 6733412.316871818 16.990000000000002, -35220.60780962615 6733412.292869413 16.990000000000002, -35221.3880690434 6733411.737374241 16.97, -35221.41081085231 6733411.720409753 16.97, -35221.555743951 6733411.629993717 16.97, -35221.61404280295 6733411.577655917 16.97, -35222.200996848405 6733411.166358897 16.95, -35222.29196408449 6733411.098500938 16.95, -35222.5179378459 6733410.938782607 16.96, -35222.53923532518 6733410.931744694 16.96, -35222.664315275266 6733410.838439996 16.96, -35222.76809774607 6733410.752173216 16.96, -35223.01825764659 6733410.565563819 16.96, -35223.83262979018 6733409.984621877 16.96, -35224.128273310955 6733409.764083494 16.96, -35224.38835978857 6733409.578918422 16.97, -35224.65692851262 6733409.405124252 16.97, -35225.4981917307 6733408.848368427 16.97, -35226.34938152984 6733408.293056915 16.98, -35226.56254006247 6733408.1517473925 16.98, -35227.08975094394 6733407.802714704 16.98, -35227.18920042901 6733407.746227639 16.98, -35227.3099473943 6733407.68270266 16.98, -35227.606851521414 6733407.52316804 16.990000000000002, -35228.081357140676 6733407.257697207 16.990000000000002, -35228.97495818813 6733406.759240187 17, -35229.28323322453 6733406.591223317 17.01, -35229.35994090128 6733406.551700744 17.01, -35229.68103117321 6733406.365275048 17.01, -35229.85863266722 6733406.25933883 17.01, -35230.698267861386 6733405.78343987 17.02, -35230.742307153065 6733405.759437458 17.02, -35231.07332400489 6733405.574456084 17.03, -35231.59331325942 6733405.275056238 17.04, -35231.62598164589 6733405.259536074 17.04, -35232.57895845105 6733404.840675349 16.990000000000002, -35233.26210592105 6733404.534605028 16.95, -35233.52345301886 6733404.410443704 16.94, -35233.685350625776 6733404.342769454 16.93, -35233.80465326982 6733404.289171037 16.92, -35234.45098310034 6733403.95747024 16.89, -35234.627140272874 6733403.861460587 16.88, -35235.24080172053 6733403.545279949 16.84, -35235.74666418659 6733404.318317814 16.84, -35231.15628367767 6733406.954985076 16.84, -35228.94436699769 6733408.711177554 16.84, -35226.18517702911 6733411.44196058 16.84, -35224.49774079991 6733413.355559241 16.98, -35224.486369894934 6733413.364041486 17, -35224.30280734773 6733413.580614335 16.990000000000002, -35224.23169325676 6733413.651360957 16.990000000000002, -35223.72811730055 6733414.1862935955 17, -35223.679745019996 6733414.240075721 17, -35223.56025864824 6733414.364604473 17, -35223.5360725082 6733414.391495534 17, -35222.83215325151 6733415.04932884 17.02, -35222.80796711147 6733415.076219904 17.02, -35222.726926445845 6733415.145522189 17.02, -35222.70418463531 6733415.162486684 17.02, -35222.69136940024 6733415.1808955 17.02, -35222.634514874895 6733415.223306727 17.02, -35222.58758692455 6733415.267162278 17.02, -35222.33164969308 6733415.493477956 17.03, -35221.915075461264 6733415.84847163 17.05, -35221.900815895526 6733415.876807023 17.05, -35221.80984865583 6733415.944664978 17.06, -35221.7970334203 6733415.9630737975 17.06, -35221.495612569386 6733416.223318449 17.07, -35221.47287075943 6733416.240282938 17.07, -35221.25104624359 6733416.441151877 17.080000000000002, -35221.22830443352 6733416.458116368 17.080000000000002, -35221.19419171871 6733416.483563099 17.080000000000002, -35221.181376483175 6733416.501971919 17.09, -35220.496049787616 6733417.101690069 17.11, -35220.4747523081 6733417.108727982 17.11, -35219.731126758736 6733417.760783917 17.14, -35219.718311523786 6733417.7791927345 17.150000000000002, -35219.38133362937 6733418.074810678 17.16, -35219.3600361502 6733418.081848591 17.16, -35219.01168735139 6733418.385948778 17.17, -35218.99887211621 6733418.4043575935 17.17, -35218.97613030637 6733418.421322082 17.18, -35218.96331507119 6733418.4397308985 17.18, -35218.22113385622 6733419.081860232 17.21, -35218.198392046266 6733419.09882472 17.21, -35218.046237291885 6733419.238873609 17.21, -35218.02349548205 6733419.255838095 17.21, -35217.466137407 6733419.742398374 17.240000000000002, -35217.45332217147 6733419.760807191 17.240000000000002, -35216.8391095734 6733420.289778678 17.26, -35216.8262943381 6733420.308187492 17.26, -35216.7096966292 6733420.412863073 17.27, -35216.6883991505 6733420.419900986 17.27, -35215.94477360975 6733421.071956858 17.3, -35215.37460030278 6733421.576925926 17.32, -35215.35185849352 6733421.593890411 17.32, -35215.18977716635 6733421.73249496 17.330000000000002, -35215.17696193105 6733421.750903774 17.330000000000002, -35214.82861313666 6733422.055003927 17.35, -35214.807315658545 6733422.06204184 17.35, -35214.43478072458 6733422.393033046 17.36, -35214.42196548905 6733422.411441865 17.36, -35213.67978428479 6733423.053571123 17.39, -35213.65704247565 6733423.070535608 17.39, -35213.16935416625 6733423.496275803 17.41, -35213.156538930605 6733423.514684618 17.42, -35212.924787846394 6733423.714109185 17.43, -35212.90204603714 6733423.731073671 17.43, -35212.78544832952 6733423.835749241 17.43, -35212.7627065205 6733423.8527137255 17.43, -35212.64610881277 6733423.957389295 17.44, -35212.62336700421 6733423.974353778 17.44, -35212.159864836605 6733424.373202904 17.46, -35212.14704960096 6733424.3916117195 17.46, -35211.40342407068 6733425.043667514 17.490000000000002, -35210.64842763776 6733425.70420554 17.52, -35210.381119510974 6733425.939003392 17.53, -35210.359822033555 6733425.946041303 17.53, -35210.07969867124 6733426.199247965 17.55, -35210.06688343536 6733426.217656781 17.55, -35209.8934312067 6733426.36474355 17.55, -35209.87068939756 6733426.381708036 17.55, -35209.34744404978 6733426.842821484 17.57, -35209.32470224099 6733426.859785969 17.580000000000002, -35209.22091977077 6733426.946052714 17.580000000000002, -35209.20810453466 6733426.964461529 17.580000000000002, -35209.17254749022 6733426.999834826 17.580000000000002, -35209.14980568155 6733427.016799309 17.580000000000002, -35209.12706387276 6733427.033763792 17.580000000000002, -35209.021837070584 6733427.1299571125 17.59, -35208.98916868924 6733427.14547726 17.59, -35208.365029535955 6733427.673004301 17.61, -35208.330916822655 6733427.698451026 17.61, -35208.181650735554 6733427.818646734 17.62, -35208.13616711809 6733427.852575701 17.62, -35208.100610074005 6733427.887948993 17.62, -35208.04375555215 6733427.930360202 17.63, -35207.999716267106 6733427.954362593 17.63, -35207.82770837122 6733428.091522782 17.63, -35207.78366908606 6733428.115525172 17.64, -35207.56617757375 6733428.286614324 17.64, -35207.52069395641 6733428.320543292 17.650000000000002, -35207.099970500334 6733428.634386206 17.66, -35207.05448688357 6733428.668315169 17.66, -35206.861181512126 6733428.812513265 17.68, -35206.80432699097 6733428.854924469 17.68, -35206.48594167398 6733429.092427215 17.7, -35206.45182896138 6733429.117873937 17.7, -35206.42908715294 6733429.134838418 17.7, -35206.282709730556 6733429.235180976 17.71, -35206.25852359063 6733429.2620720295 17.71, -35206.22441087826 6733429.287518752 17.71, -35205.95150917838 6733429.491092531 17.72, -35205.906025562086 6733429.525021491 17.73, -35205.883283753996 6733429.541985972 17.73, -35205.83780013712 6733429.575914935 17.73, -35205.6899783836 6733429.686184064 17.73, -35205.644494767184 6733429.720113026 17.740000000000002, -35205.62175295886 6733429.737077508 17.740000000000002, -35205.58764024661 6733429.76252423 17.740000000000002, -35205.56489843805 6733429.7794887135 17.740000000000002, -35205.496673013666 6733429.830382153 17.740000000000002, -35205.029021614 6733430.18808059 17.76, -35204.962240521214 6733430.2290474605 17.76, -35204.73482243996 6733430.39869227 17.77, -35204.67796791962 6733430.4411034705 17.78, -35204.56425887928 6733430.525925876 17.78, -35204.507404359174 6733430.568337078 17.78, -35203.916117349756 6733431.009413574 17.81, -35203.85781849793 6733431.061751348 17.81, -35203.79103740561 6733431.102718217 17.81, -35203.73273855378 6733431.1550559895 17.82, -35203.675884033786 6733431.197467192 17.82, -35203.60910294182 6733431.23843406 17.82, -35203.27790239465 6733431.494345596 17.84, -35203.21112130303 6733431.535312464 17.84, -35203.09596793156 6733431.630061436 17.84, -35203.02918683947 6733431.671028308 17.85, -35202.70935719716 6733431.9184576 17.86, -35202.64257610601 6733431.959424467 17.86, -35202.51749616291 6733432.052729106 17.87, -35202.45919731143 6733432.105066876 17.87, -35202.43645550357 6733432.122031356 17.87, -35202.369674412184 6733432.162998226 17.87, -35202.26733627706 6733432.239338383 17.88, -35202.209037425346 6733432.291676155 17.88, -35201.44718686631 6733432.859986222 17.91, -35201.39033234678 6733432.90239742 17.91, -35201.1629142703 6733433.072042216 17.92, -35201.09468884731 6733433.122935653 17.93, -35201.03783432813 6733433.16534685 17.93, -35200.980979809305 6733433.207758048 17.93, -35200.628481791355 6733433.470707473 17.95, -35200.5602563686 6733433.521600912 17.95, -35200.42380552308 6733433.6233877875 17.95, -35200.366951004486 6733433.665798983 17.96, -35199.79840581643 6733434.089910957 17.98, -35199.74155129818 6733434.132322149 17.98, -35199.389053282444 6733434.395271571 18, -35199.332198763965 6733434.4376827665 18, -35199.21848972689 6733434.522505159 18, -35199.16019087611 6733434.574842927 18.01, -35199.05929707526 6733434.641256506 18.01, -35199.00244255678 6733434.683667704 18.01, -35198.97970074951 6733434.700632181 18.02, -35198.93421713449 6733434.73456114 18.02, -35198.877362615895 6733434.776972338 18.02, -35198.81906376581 6733434.8293101 18.02, -35198.18373749335 6733435.294388918 18.06, -35198.15955135354 6733435.321279969 18.06, -35198.12688297534 6733435.336800112 18.06, -35197.71753044508 6733435.642160718 18.080000000000002, -35197.69334430562 6733435.6690517645 18.09, -35197.62656321633 6733435.710018626 18.09, -35197.56970869843 6733435.752429821 18.09, -35197.51140984811 6733435.804767588 18.09, -35197.44462875882 6733435.845734449 18.1, -35197.38777424104 6733435.888145642 18.1, -35197.34084629419 6733435.93200117 18.1, -35197.274065205245 6733435.972968032 18.11, -35197.22713725839 6733436.016823558 18.11, -35196.94142033707 6733436.238806097 18.13, -35196.884565819055 6733436.281217292 18.13, -35196.839082205086 6733436.315146248 18.13, -35196.53910571558 6733436.565464168 18.150000000000002, -35196.49362210184 6733436.599393119 18.150000000000002, -35196.48080686561 6733436.61780193 18.150000000000002, -35196.44524982234 6733436.65317522 18.150000000000002, -35196.00448949402 6733437.035059709 18.18, -35195.96893245075 6733437.070432996 18.18, -35195.78266499727 6733437.235928524 18.19, -35195.74710795446 6733437.271301811 18.19, -35195.72436614742 6733437.288266289 18.19, -35195.65325206146 6733437.359012862 18.2, -35195.62906592153 6733437.38590391 18.2, -35195.06159756635 6733437.941949913 18.23, -35194.858181878924 6733438.15563396 18.240000000000002, -35194.80980959977 6733438.209416053 18.240000000000002, -35194.79699436354 6733438.227824865 18.240000000000002, -35194.74862208427 6733438.28160696 18.25, -35194.690323234536 6733438.33394472 18.25, -35194.63058005192 6733438.396209054 18.25, -35194.44701750588 6733438.612781765 18.23, -35194.3858299905 6733438.684972665 18.23, -35194.15678383084 6733438.935474328 18.2, -35194.09415198257 6733439.017591801 18.19, -35193.50344201655 6733438.688361142 18.18))</t>
  </si>
  <si>
    <t>['FV558 S1D1 m3465-3525']</t>
  </si>
  <si>
    <t>LINESTRING Z (-35191.452662457945 6733441.2181150755 18.29, -35192.10508544219 6733441.819879906 18.32, -35192.06663973245 6733441.87510633 18.330000000000002, -35192.025305356714 6733441.950185896 18.34, -35192.01249012025 6733441.968594702 18.34, -35191.96971141163 6733442.053600836 18.36, -35191.92982136877 6733442.11875383 18.36, -35191.88848699257 6733442.193833397 18.38, -35191.80581824086 6733442.343992523 18.400000000000002, -35191.77729910135 6733442.400663281 18.41, -35191.723149488564 6733442.494151651 18.42, -35191.61196159653 6733442.700981536 18.42, -35191.58344245737 6733442.75765229 18.43, -35191.55347898428 6733442.824249617 18.43, -35191.539219414 6733442.852584996 18.43, -35191.52640417754 6733442.870993802 18.43, -35191.51214460761 6733442.899329182 18.43, -35191.45655066136 6733443.002744123 18.43, -35191.413771951804 6733443.087750256 18.43, -35191.35673367209 6733443.201091766 18.43, -35191.22262020921 6733443.495816447 18.44, -35191.181285832194 6733443.570896012 18.44, -35191.137062788475 6733443.665828718 18.44, -35191.12280321878 6733443.694164093 18.44, -35191.08850674564 6733443.790541126 18.45, -35190.734538629884 6733444.620933074 18.46, -35190.68309391849 6733444.765498629 18.46, -35190.53887011658 6733445.129709298 18.47, -35190.4859810709 6733445.284201418 18.47, -35190.43164769129 6733445.448620112 18.47, -35190.417388120666 6733445.476955486 18.47, -35190.40023988322 6733445.525144007 18.47, -35190.365943407756 6733445.621521042 18.47, -35190.348795169964 6733445.6697095595 18.47, -35190.32298093091 6733445.777457497 18.48, -35190.30583269347 6733445.825646014 18.48, -35190.270091884304 6733445.931949619 18.48, -35190.21864717058 6733446.076515171 18.48, -35190.175684693386 6733446.232451624 18.48, -35190.03127712023 6733446.667592612 18.490000000000002, -35189.97983240546 6733446.812158165 18.490000000000002, -35189.77531411126 6733447.451424118 18.5, -35189.741017633816 6733447.54780115 18.5, -35189.69949948753 6733447.693811034 18.5, -35189.68379558239 6733447.732072982 18.5, -35189.67946258106 6733447.761852694 18.5, -35189.66664734355 6733447.780261498 18.5, -35189.64805477101 6733447.8383765835 18.5, -35189.62657353061 6733447.916344811 18.5, -35189.62368486321 6733447.936197953 18.5, -35189.57224014634 6733448.080763498 18.5, -35189.48361028335 6733448.34155922 18.51, -35189.433609899716 6733448.476198199 18.51, -35189.383609515615 6733448.610837177 18.51, -35189.366461276426 6733448.659025693 18.52, -35189.327831795905 6733448.785182436 18.52, -35189.165015404345 6733449.2075081775 18.55, -35189.11790368729 6733449.3222940145 18.56, -35189.07223630417 6733449.427153283 18.57, -35189.059421066544 6733449.445562087 18.57, -35189.01375368296 6733449.550421356 18.580000000000002, -35188.998049777234 6733449.588683301 18.580000000000002, -35188.963753297576 6733449.685060332 18.580000000000002, -35188.92097458185 6733449.770066458 18.580000000000002, -35188.88812243636 6733449.856516918 18.59, -35188.84389938635 6733449.951449616 18.59, -35188.59570932633 6733450.472857281 18.6, -35188.56574584823 6733450.5394546 18.6, -35188.5628571799 6733450.559307739 18.6, -35188.19644130557 6733451.266247789 18.62, -35188.15510692238 6733451.341327347 18.62, -35188.12803211238 6733451.388071525 18.62, -35188.00258462969 6733451.623236762 18.63, -35187.975509819225 6733451.669980942 18.63, -35187.94699067436 6733451.726651695 18.63, -35187.909989294014 6733451.771951539 18.63, -35187.88291448355 6733451.818695719 18.63, -35187.855839672964 6733451.865439899 18.63, -35187.70476171293 6733452.137422745 18.64, -35187.66487166402 6733452.20257573 18.64, -35187.65061209141 6733452.230911104 18.64, -35187.25586083194 6733452.923591564 18.66, -35187.203155544354 6733453.007153354 18.66, -35186.7670698961 6733453.77491336 18.68, -35186.74143941922 6733453.811730968 18.68, -35186.65877065051 6733453.961890075 18.69, -35186.61743626569 6733454.036969628 18.69, -35186.46924696979 6733454.2890993245 18.7, -35186.42791258497 6733454.364178879 18.7, -35186.41509734641 6733454.382587683 18.7, -35186.330984242726 6733454.542673356 18.7, -35186.291094192304 6733454.607826338 18.71, -35185.86926810688 6733455.347250953 18.73, -35185.82937805622 6733455.412403935 18.73, -35185.40755196544 6733456.1518285405 18.75, -35185.36910624907 6733456.207054952 18.75, -35185.19095346646 6733456.525781958 18.76, -35185.152507750085 6733456.581008368 18.76, -35185.05702373898 6733456.749576271 18.77, -35185.02850459132 6733456.806247017 18.77, -35184.93157624535 6733456.9847414885 18.77, -35184.91876100609 6733457.003150295 18.78, -35184.74494122586 6733457.292097589 18.78, -35184.71786641306 6733457.338841765 18.79, -35184.4855640016 6733457.751057114 18.8, -35184.458489188575 6733457.7978012925 18.8, -35184.21481587144 6733458.218498874 18.81, -35184.19911196211 6733458.256760816 18.81, -35184.011032604845 6733458.574043475 18.82, -35183.99821736547 6733458.592452281 18.82, -35183.84713938972 6733458.864435097 18.830000000000002, -35183.821508911555 6733458.901252706 18.830000000000002, -35183.79443409783 6733458.947996883 18.830000000000002, -35183.77873018861 6733458.986258821 18.84, -35183.563576015644 6733459.350285654 18.85, -35183.54787210631 6733459.388547595 18.85, -35183.113230751245 6733460.146380959 18.88, -35183.087600272615 6733460.183198565 18.88, -35182.652958912426 6733460.941031921 18.91, -35182.64014367282 6733460.959440725 18.91, -35182.40639691299 6733461.381582622 18.93, -35182.3935816735 6733461.399991425 18.93, -35182.189798397245 6733461.755536011 18.94, -35181.73945311655 6733462.551631289 18.97, -35181.293440837064 6733463.31794685 19, -35181.27918126166 6733463.346282221 19, -35181.143807185465 6733463.580003083 19.01, -35181.008433108684 6733463.813723943 19.02, -35180.820353736635 6733464.131006577 19.04, -35180.37000843964 6733464.927101825 19.07, -35180.126335096546 6733465.347799368 19.080000000000002, -35179.921107472735 6733465.713270499 19.1, -35179.86695784074 6733465.8067588415 19.1, -35179.46083559666 6733466.507921393 19.13, -35179.42094554007 6733466.573074366 19.13, -35179.010490282904 6733467.304016618 19.16, -35178.98630413832 6733467.330907652 19.16, -35178.959229321685 6733467.377651821 19.16, -35178.76681693189 6733467.724714141 19.18, -35178.75400169147 6733467.743122942 19.18, -35178.60436803009 6733468.0051791575 19.19, -35178.59155278944 6733468.02358796 19.19, -35178.563033636776 6733468.080258695 19.19, -35178.550218396005 6733468.098667495 19.19, -35178.53740315547 6733468.117076297 19.19, -35178.42621521477 6733468.323906107 19.2, -35178.101317408145 6733468.884836131 19.22, -35178.08705783135 6733468.913171497 19.23, -35177.695195145905 6733469.585998653 19.25, -35177.68093556876 6733469.614334022 19.25, -35177.64104551042 6733469.679486989 19.26, -35177.62678593339 6733469.707822358 19.26, -35177.55982105713 6733469.819719493 19.26, -35177.54556148045 6733469.84805486 19.26, -35177.301888119895 6733470.26875237 19.28, -35177.24629414757 6733470.372167274 19.28, -35177.23203457042 6733470.40050264 19.29, -35177.18925583898 6733470.485508744 19.29, -35177.16506969358 6733470.512399777 19.29, -35177.083845239715 6733470.652632276 19.3, -35176.94702681259 6733470.8962796815 19.31, -35176.932767235325 6733470.92461505 19.31, -35176.728983930196 6733471.280159583 19.32, -35176.70479778515 6733471.307050615 19.32, -35176.51094104699 6733471.664039483 19.34, -35176.486754901474 6733471.690930517 19.34, -35176.43116092787 6733471.794345416 19.34, -35176.41690135049 6733471.822680782 19.34, -35176.26871201652 6733472.074810415 19.35, -35176.2530081023 6733472.113072349 19.36, -35175.9537407594 6733472.637184745 19.38, -35175.92811027763 6733472.674002339 19.38, -35175.80699576053 6733472.879387804 19.39, -35175.791291846195 6733472.917649738 19.39, -35175.34527949942 6733473.683965184 19.42, -35175.3295755845 6733473.722227116 19.42, -35174.99186251045 6733474.301565895 19.45, -35174.966232027975 6733474.338383493 19.45, -35174.93915720866 6733474.385127654 19.45, -35174.88356323226 6733474.488542556 19.46, -35174.85648841283 6733474.535286719 19.46, -35174.62563027709 6733474.9375754 19.47, -35174.59855545743 6733474.984319563 19.48, -35174.57148063788 6733475.031063726 19.48, -35174.421846959856 6733475.293119915 19.490000000000002, -35174.39477214008 6733475.339864078 19.490000000000002, -35174.366252983455 6733475.396534808 19.490000000000002, -35173.95868634526 6733476.107623832 19.52, -35173.93161152513 6733476.1543679945 19.53, -35173.78197784501 6733476.416424178 19.54, -35173.743532119785 6733476.471650572 19.54, -35173.71501296223 6733476.528321303 19.54, -35173.49552572449 6733476.9221277395 19.56, -35173.45852433669 6733476.967427564 19.56, -35173.45563566242 6733476.9872807 19.56, -35173.4300051789 6733477.024098297 19.56, -35173.38867077965 6733477.099177823 19.57, -35173.02243853081 6733477.735187304 19.59, -35172.99391937279 6733477.791858031 19.6, -35172.95258497284 6733477.86693756 19.6, -35172.57498181553 6733478.5114292605 19.63, -35172.559277898865 6733478.549691192 19.63, -35172.545018319506 6733478.578026556 19.63, -35172.409644213505 6733478.811747365 19.64, -35172.37119848735 6733478.866973758 19.64, -35172.33130842424 6733478.932126714 19.64, -35172.20730522205 6733479.157365292 19.650000000000002, -35172.08619069401 6733479.362750733 19.66, -35172.05622719752 6733479.42934803 19.67, -35171.62303005101 6733480.177254604 19.7, -35171.61021480861 6733480.1956634 19.7, -35171.58169564931 6733480.252334129 19.7, -35171.528990342864 6733480.335895884 19.71, -35171.33802225173 6733480.673031573 19.72, -35171.283872607746 6733480.766519894 19.72, -35171.22972296341 6733480.860008215 19.73, -35171.18838856148 6733480.935087738 19.73, -35171.13423891738 6733481.028576058 19.740000000000002, -35171.08008927293 6733481.122064376 19.740000000000002, -35171.06727403053 6733481.140473174 19.740000000000002, -35171.01168004819 6733481.2438880615 19.740000000000002, -35170.9846052262 6733481.290632222 19.75, -35170.94615949935 6733481.34585861 19.75, -35170.917640339234 6733481.402529338 19.75, -35170.852119789924 6733481.504499887 19.76, -35170.75952441839 6733481.653214593 19.76, -35170.69255953131 6733481.765111709 19.77, -35170.63985422393 6733481.848673461 19.77, -35170.62415030587 6733481.886935392 19.77, -35170.56151843176 6733481.9690528065 19.78, -35170.49455354421 6733482.080949921 19.78, -35170.41621775215 6733482.201329265 19.79, -35170.32651105523 6733482.330190837 19.79, -35170.11857850046 6733482.644584706 19.81, -35170.094392353436 6733482.67147573 19.81, -35170.028871802846 6733482.7734462805 19.81, -35169.94205378101 6733482.882454718 19.81, -35169.92923853861 6733482.900863513 19.81, -35169.852347083506 6733483.011316288 19.8, -35169.75126948126 6733483.148660088 19.8, -35169.66445145942 6733483.257668524 19.8, -35169.61463482701 6733483.3213771405 19.8, -35169.56337385683 6733483.395012325 19.8, -35169.524928128696 6733483.450238713 19.8, -35169.51211288653 6733483.46864751 19.8, -35169.45092534972 6733483.540838352 19.8, -35169.41247962159 6733483.596064741 19.81, -35169.30003111437 6733483.741890767 19.81, -35169.28721587185 6733483.760299562 19.82, -35169.17476736382 6733483.90612559 19.82, -35169.06231885636 6733484.051951618 19.830000000000002, -35168.885794135625 6733484.289821618 19.84, -35168.810347017716 6733484.390347824 19.85, -35168.77334562782 6733484.435647641 19.85, -35168.69789850968 6733484.536173848 19.85, -35168.59682090604 6733484.673517645 19.86, -35168.47155715537 6733484.837752463 19.87, -35168.37047955138 6733484.975096259 19.88, -35168.33347816137 6733485.020396079 19.88, -35168.26940194762 6733485.112440053 19.88, -35168.221029652865 6733485.166222102 19.89, -35168.15839777759 6733485.248339509 19.89, -35168.13276729174 6733485.285157099 19.89, -35168.06869107799 6733485.377201074 19.900000000000002, -35167.94342732616 6733485.541435894 19.91, -35167.67141855077 6733485.947873718 19.92, -35167.59308275499 6733486.068253057 19.93, -35167.45067074546 6733486.280676365 19.94, -35167.131550209364 6733486.801899967 19.96, -35167.107364061405 6733486.8287909925 19.97, -35167.06458531774 6733486.913797073 19.97, -35166.99762042612 6733487.02569418 19.97, -35166.641314693494 6733487.663147898 20, -35166.58427636768 6733487.776489342 20.01, -35166.51731147547 6733487.888386444 20.01, -35166.18789675925 6733488.550026303 20.04, -35166.1436736756 6733488.644958951 20.04, -35166.10937715811 6733488.741335936 20.05, -35166.09511757677 6733488.769671294 20.05, -35166.05233883124 6733488.854677377 20.05, -35166.00956008572 6733488.939683456 20.05, -35165.86822480161 6733489.2840407975 20.07, -35165.82689039421 6733489.359120311 20.07, -35165.79548255354 6733489.435644162 20.07, -35165.792593876366 6733489.455497294 20.07, -35165.761186034884 6733489.532021148 20.080000000000002, -35165.43699724879 6733490.366745633 20.11, -35165.416960311704 6733490.4347872585 20.11, -35165.39836771297 6733490.492902316 20.11, -35165.21821908199 6733491.034346632 20.13, -35165.20107082173 6733491.082535125 20.13, -35165.129589103744 6733491.295142225 20.14, -35165.12236740964 6733491.344775053 20.14, -35164.41700369702 6733492.012533743 20.05, -35164.52477769402 6733491.480832194 20.03, -35164.57929495792 6733491.245483288 20.03, -35164.58651665191 6733491.195850456 20.03, -35164.62821867131 6733490.978910343 20.02, -35164.64681126969 6733490.920795284 20.02, -35164.757473937236 6733490.369240599 20, -35164.776066535385 6733490.311125545 20, -35164.7861769062 6733490.241639581 20, -35164.98420900712 6733489.3682855675 19.97, -35164.995763715706 6733489.288873039 19.97, -35164.99865239265 6733489.269019907 19.96, -35165.018689328805 6733489.200978282 19.96, -35165.03168837575 6733489.111639188 19.96, -35165.11490859941 6733488.748689254 19.95, -35165.137834212044 6733488.660794497 19.95, -35165.150833258405 6733488.571455403 19.94, -35165.16509284021 6733488.543120043 19.94, -35165.17953622481 6733488.44385438 19.94, -35165.20390617568 6733488.346033056 19.94, -35165.3887554087 6733487.632948431 19.91, -35165.41601403523 6733487.515273973 19.91, -35165.4432726613 6733487.397599519 19.900000000000002, -35165.61530664365 6733486.702923684 19.88, -35165.64256526891 6733486.585249228 19.88, -35165.665490879095 6733486.497354469 19.88, -35165.669823893695 6733486.467574772 19.88, -35165.83445237682 6733485.893462067 19.86, -35165.89889619069 6733485.65955749 19.85, -35165.94041439495 6733485.513547673 19.84, -35166.05504244007 6733485.074073876 19.830000000000002, -35166.1122645617 6733484.889802132 19.82, -35166.13663450873 6733484.791980802 19.82, -35166.155227102805 6733484.7338657435 19.82, -35166.17959704937 6733484.636044417 19.82, -35166.19674530532 6733484.587855923 19.81, -35166.22255959001 6733484.480108029 19.81, -35166.23970784596 6733484.431919537 19.81, -35166.28411472426 6733484.266056584 19.8, -35166.33989250602 6733484.091711404 19.8, -35166.39422595 6733483.9272927875 19.79, -35166.42996679968 6733483.820989235 19.79, -35166.448559393175 6733483.762874174 19.79, -35166.48430024262 6733483.656570619 19.78, -35166.574374534655 6733483.385848449 19.77, -35166.62870797713 6733483.221429832 19.77, -35166.683041419135 6733483.057011218 19.76, -35166.697300999425 6733483.028675853 19.76, -35166.75163444097 6733482.864257237 19.76, -35166.771671372 6733482.796215609 19.75, -35166.791708302684 6733482.728173982 19.75, -35166.794596978114 6733482.70832085 19.75, -35166.826004813425 6733482.631796991 19.75, -35166.848930419306 6733482.543902233 19.75, -35166.878893916495 6733482.477304941 19.740000000000002, -35166.91752343997 6733482.351148253 19.740000000000002, -35166.97041254281 6733482.196656202 19.73, -35167.00904206571 6733482.070499512 19.73, -35167.02330164518 6733482.042164151 19.73, -35167.061931168195 6733481.916007458 19.72, -35167.1075985817 6733481.811148244 19.72, -35167.11337593279 6733481.771441976 19.72, -35167.24478461908 6733481.425640282 19.71, -35167.296229382395 6733481.281074797 19.7, -35167.34478547098 6733481.156362442 19.7, -35167.394785896526 6733481.021723522 19.69, -35167.42908240552 6733480.92534653 19.69, -35167.43341541779 6733480.895566832 19.69, -35167.46771192609 6733480.799189841 19.69, -35167.51626801398 6733480.674477488 19.68, -35167.58052801783 6733480.511503206 19.68, -35167.61771320109 6733480.39527308 19.67, -35167.64767669665 6733480.328675789 19.67, -35167.664824950276 6733480.280487295 19.67, -35167.68341754179 6733480.222372233 19.67, -35167.73052929097 6733480.107586444 19.66, -35167.76771447365 6733479.99135632 19.66, -35167.80489965633 6733479.875126192 19.650000000000002, -35167.83486315131 6733479.808528902 19.650000000000002, -35167.87060399621 6733479.702225342 19.650000000000002, -35167.90634484065 6733479.595921785 19.64, -35168.050568760256 6733479.231711289 19.63, -35168.09479183389 6733479.13677863 19.63, -35168.11338442436 6733479.078663571 19.63, -35168.127644003136 6733479.050328206 19.62, -35168.45038834296 6733478.225530212 19.6, -35168.46753659588 6733478.177341713 19.59, -35168.47042527038 6733478.157488581 19.59, -35168.56320442655 6733477.937843566 19.59, -35168.660316593596 6733477.688418854 19.580000000000002, -35168.68035352032 6733477.620377223 19.57, -35168.71031701402 6733477.553779929 19.57, -35168.80887351732 6733477.2944286475 19.56, -35168.823133095284 6733477.266093285 19.56, -35168.83883701055 6733477.2278313525 19.56, -35169.11446958955 6733476.517819135 19.54, -35169.147321756114 6733476.431368708 19.53, -35169.177285248996 6733476.364771413 19.53, -35169.45147348393 6733475.664685758 19.51, -35169.48288131307 6733475.588161896 19.5, -35169.50002956507 6733475.539973395 19.5, -35169.5299930569 6733475.473376102 19.5, -35169.70562478935 6733475.032641726 19.490000000000002, -35169.72421737737 6733474.9745266605 19.48, -35169.75273653236 6733474.9178559305 19.48, -35169.8754791721 6733474.631613617 19.47, -35169.89407176024 6733474.57349855 19.47, -35170.24081841414 6733473.792739798 19.44, -35170.25941100146 6733473.734624731 19.44, -35170.286485819146 6733473.687880568 19.44, -35170.40922845551 6733473.40163825 19.43, -35170.42782104248 6733473.343523184 19.43, -35170.4548958597 6733473.296779021 19.43, -35170.64189848548 6733472.847562405 19.41, -35170.66897330282 6733472.800818242 19.41, -35170.716085043154 6733472.686032445 19.400000000000002, -35170.73323329305 6733472.637843947 19.400000000000002, -35170.76030811004 6733472.591099784 19.400000000000002, -35171.05416566308 6733471.964833078 19.38, -35171.06986957602 6733471.926571148 19.38, -35171.464988496504 6733471.09203031 19.35, -35171.482136745355 6733471.043841813 19.35, -35171.58628678869 6733470.815714552 19.34, -35171.60199070163 6733470.777452617 19.34, -35171.86732909118 6733470.207856631 19.32, -35171.89295957063 6733470.171039036 19.31, -35172.014257860836 6733469.89472327 19.3, -35172.03988834028 6733469.857905673 19.3, -35172.085555740865 6733469.75304644 19.3, -35172.11118622054 6733469.716228842 19.3, -35172.298005043995 6733469.337942518 19.28, -35172.31226461986 6733469.309607149 19.28, -35172.51045434538 6733468.92283859 19.27, -35172.52471392078 6733468.894503227 19.27, -35172.654494438786 6733468.62955836 19.26, -35172.737163220765 6733468.479399298 19.25, -35172.752867132425 6733468.441137364 19.25, -35172.795645859325 6733468.356131263 19.25, -35172.809905434726 6733468.327795898 19.25, -35172.86549940158 6733468.224380997 19.240000000000002, -35173.105023513315 6733467.762532902 19.23, -35173.11928308848 6733467.7341975365 19.23, -35173.177765726694 6733467.610929498 19.22, -35173.19202530186 6733467.582594134 19.22, -35173.23335969227 6733467.5075146 19.22, -35173.24617493164 6733467.489105802 19.22, -35173.635332688806 6733466.765201499 19.19, -35173.64959226386 6733466.736866132 19.19, -35173.9802673799 6733466.136229862 19.17, -35174.10427054798 6733465.910991256 19.16, -35174.117085787235 6733465.8925824575 19.16, -35174.15986451192 6733465.807576357 19.150000000000002, -35174.16275318328 6733465.787723221 19.150000000000002, -35174.313831164385 6733465.5157404505 19.14, -35174.326646403526 6733465.49733165 19.14, -35174.54180057964 6733465.133304877 19.13, -35174.5688753936 6733465.0865607085 19.13, -35174.584579303744 6733465.048298775 19.13, -35175.02914722613 6733464.291909855 19.1, -35175.05766637542 6733464.235239118 19.09, -35175.07048161444 6733464.216830318 19.09, -35175.49086338945 6733463.487332422 19.07, -35175.54501301574 6733463.393844085 19.06, -35175.77442675957 6733463.001481933 19.05, -35176.040841882816 6733462.563819944 19.03, -35176.545152976876 6733461.7451666985 19, -35176.75597413583 6733461.4109196095 18.990000000000002, -35176.90271910082 6733461.168716526 18.98, -35177.049464065814 6733460.926513438 18.97, -35177.063723639585 6733460.898178068 18.97, -35177.59203708707 6733460.123564078 18.93, -35178.1331657687 6733459.330541275 18.900000000000002, -35178.379543966614 6733458.960920904 18.88, -35178.664367877995 6733458.536074125 18.87, -35178.68855401932 6733458.509183091 18.86, -35179.215423119604 6733457.744495635 18.830000000000002, -35179.23960926081 6733457.717604601 18.830000000000002, -35179.75510745356 6733456.961399368 18.8, -35179.780737929745 6733456.924581763 18.8, -35180.037042689975 6733456.556405714 18.79, -35180.06122883118 6733456.529514675 18.78, -35180.09967454511 6733456.474288268 18.78, -35180.125305021065 6733456.437470663 18.78, -35180.31608925585 6733456.1712651905 18.77, -35180.32890449371 6733456.152856387 18.77, -35180.55524577235 6733455.851277644 18.76, -35180.58232058282 6733455.804533469 18.76, -35180.87418238481 6733455.400984138 18.75, -35180.91118376388 6733455.3556843 18.740000000000002, -35181.20304556482 6733454.952134965 18.73, -35181.23012037494 6733454.905390791 18.73, -35181.443646413274 6733454.622220845 18.72, -35181.45646165102 6733454.603812041 18.72, -35181.58316969429 6733454.429650575 18.71, -35181.62017107301 6733454.384350735 18.71, -35181.7355082127 6733454.2186715035 18.7, -35181.77395392582 6733454.163445094 18.7, -35182.00173953525 6733453.851939769 18.69, -35182.04018524825 6733453.796713359 18.69, -35182.56127698789 6733453.071732117 18.67, -35182.611093604006 6733453.008023471 18.66, -35183.11937010265 6733452.301451021 18.64, -35183.17063105246 6733452.227815805 18.64, -35183.28307952138 6733452.0819897065 18.63, -35183.297339093406 6733452.053654333 18.63, -35183.34860004287 6733451.980019117 18.63, -35183.525124698994 6733451.7421489945 18.62, -35183.57638564834 6733451.66851378 18.62, -35183.68738978298 6733451.532614247 18.62, -35183.714464591816 6733451.485870069 18.61, -35184.2554094597 6733450.763777464 18.59, -35184.31804131239 6733450.6816600105 18.59, -35184.80916956195 6733450.023276044 18.57, -35184.82342913316 6733449.994940669 18.56, -35184.87324574834 6733449.931232019 18.56, -35185.062585638254 6733449.674953086 18.55, -35185.099587015924 6733449.629653242 18.55, -35185.12666182418 6733449.582909062 18.55, -35185.1636632022 6733449.537609215 18.55, -35185.20066457975 6733449.492309371 18.55, -35185.23766595754 6733449.447009523 18.55, -35185.391448803246 6733449.226103863 18.54, -35185.42989451473 6733449.170877447 18.54, -35185.479711129214 6733449.107168798 18.54, -35185.950986234006 6733448.445896146 18.52, -35185.963801471284 6733448.427487338 18.52, -35186.01217375207 6733448.373705255 18.51, -35186.343925580964 6733447.905002882 18.5, -35186.40655743214 6733447.822885426 18.5, -35186.46918928297 6733447.740767968 18.5, -35186.52045023104 6733447.667132746 18.490000000000002, -35186.58308208233 6733447.585015287 18.490000000000002, -35186.598785986425 6733447.546753342 18.490000000000002, -35186.67278874095 6733447.456153648 18.490000000000002, -35186.68560397753 6733447.437744843 18.490000000000002, -35186.74968016241 6733447.345700814 18.48, -35186.8251272504 6733447.245174548 18.48, -35187.08846989076 6733446.898295905 18.47, -35187.1639169784 6733446.79776964 18.47, -35187.200918355375 6733446.752469793 18.47, -35187.277809776366 6733446.642016957 18.46, -35187.364627767354 6733446.533008453 18.46, -35187.516966275754 6733446.32202935 18.45, -35187.60522860009 6733446.203094278 18.45, -35187.666416116874 6733446.130903387 18.45, -35187.704861827195 6733446.075676969 18.44, -35187.72904796712 6733446.04878593 18.44, -35187.74330753763 6733446.020450551 18.44, -35187.83156986127 6733445.901515478 18.44, -35187.89420171175 6733445.819398018 18.44, -35188.260066243005 6733445.325248916 18.42, -35188.34688423318 6733445.216240408 18.42, -35188.59885596647 6733444.877843988 18.41, -35188.69704485929 6733444.760353249 18.41, -35188.773936279584 6733444.649900405 18.400000000000002, -35188.83656812925 6733444.567782943 18.400000000000002, -35188.87212517217 6733444.532409664 18.400000000000002, -35188.93475702207 6733444.450292201 18.400000000000002, -35188.96183182881 6733444.403548016 18.400000000000002, -35189.021575011546 6733444.341283693 18.39, -35189.04864981829 6733444.29453951 18.39, -35189.07139162475 6733444.277575035 18.39, -35189.161098280805 6733444.148713388 18.39, -35189.26073150674 6733444.021296075 18.38, -35189.48562843143 6733443.729643831 18.38, -35189.572446420905 6733443.6206353195 18.37, -35190.09768735396 6733442.936804557 18.35, -35190.15887487016 6733442.864613659 18.35, -35190.17313443986 6733442.836278282 18.35, -35190.235766288475 6733442.754160816 18.35, -35190.285582901095 6733442.690452158 18.34, -35190.484849351225 6733442.4356175205 18.34, -35190.548925533076 6733442.343573484 18.330000000000002, -35190.60866871558 6733442.281309156 18.330000000000002, -35190.68267146801 6733442.190709453 18.330000000000002, -35190.69693103712 6733442.162374075 18.330000000000002, -35190.719672843814 6733442.145409601 18.330000000000002, -35190.73393241328 6733442.117074222 18.330000000000002, -35190.78230469255 6733442.063292133 18.32, -35190.81930606847 6733442.01799228 18.32, -35190.967311572516 6733441.83679287 18.32, -35191.018572517554 6733441.763157641 18.31, -35191.068389129825 6733441.699448981 18.31, -35191.168022354366 6733441.572031658 18.31, -35191.22776553698 6733441.509767331 18.31, -35191.266211245675 6733441.45454091 18.3, -35191.32884309406 6733441.372423443 18.3, -35191.39147494279 6733441.290305972 18.3, -35191.42847631837 6733441.245006118 18.29, -35191.452662457945 6733441.2181150755 18.29)</t>
  </si>
  <si>
    <t>POLYGON Z ((-35191.452662457945 6733441.2181150755 18.29, -35192.10508544219 6733441.819879906 18.32, -35192.06663973245 6733441.87510633 18.330000000000002, -35192.025305356714 6733441.950185896 18.34, -35192.01249012025 6733441.968594702 18.34, -35191.96971141163 6733442.053600836 18.36, -35191.92982136877 6733442.11875383 18.36, -35191.88848699257 6733442.193833397 18.38, -35191.80581824086 6733442.343992523 18.400000000000002, -35191.77729910135 6733442.400663281 18.41, -35191.723149488564 6733442.494151651 18.42, -35191.61196159653 6733442.700981536 18.42, -35191.58344245737 6733442.75765229 18.43, -35191.55347898428 6733442.824249617 18.43, -35191.539219414 6733442.852584996 18.43, -35191.52640417754 6733442.870993802 18.43, -35191.51214460761 6733442.899329182 18.43, -35191.45655066136 6733443.002744123 18.43, -35191.413771951804 6733443.087750256 18.43, -35191.35673367209 6733443.201091766 18.43, -35191.22262020921 6733443.495816447 18.44, -35191.181285832194 6733443.570896012 18.44, -35191.137062788475 6733443.665828718 18.44, -35191.12280321878 6733443.694164093 18.44, -35191.08850674564 6733443.790541126 18.45, -35190.734538629884 6733444.620933074 18.46, -35190.68309391849 6733444.765498629 18.46, -35190.53887011658 6733445.129709298 18.47, -35190.4859810709 6733445.284201418 18.47, -35190.43164769129 6733445.448620112 18.47, -35190.417388120666 6733445.476955486 18.47, -35190.40023988322 6733445.525144007 18.47, -35190.365943407756 6733445.621521042 18.47, -35190.348795169964 6733445.6697095595 18.47, -35190.32298093091 6733445.777457497 18.48, -35190.30583269347 6733445.825646014 18.48, -35190.270091884304 6733445.931949619 18.48, -35190.21864717058 6733446.076515171 18.48, -35190.175684693386 6733446.232451624 18.48, -35190.03127712023 6733446.667592612 18.490000000000002, -35189.97983240546 6733446.812158165 18.490000000000002, -35189.77531411126 6733447.451424118 18.5, -35189.741017633816 6733447.54780115 18.5, -35189.69949948753 6733447.693811034 18.5, -35189.68379558239 6733447.732072982 18.5, -35189.67946258106 6733447.761852694 18.5, -35189.66664734355 6733447.780261498 18.5, -35189.64805477101 6733447.8383765835 18.5, -35189.62657353061 6733447.916344811 18.5, -35189.62368486321 6733447.936197953 18.5, -35189.57224014634 6733448.080763498 18.5, -35189.48361028335 6733448.34155922 18.51, -35189.433609899716 6733448.476198199 18.51, -35189.383609515615 6733448.610837177 18.51, -35189.366461276426 6733448.659025693 18.52, -35189.327831795905 6733448.785182436 18.52, -35189.165015404345 6733449.2075081775 18.55, -35189.11790368729 6733449.3222940145 18.56, -35189.07223630417 6733449.427153283 18.57, -35189.059421066544 6733449.445562087 18.57, -35189.01375368296 6733449.550421356 18.580000000000002, -35188.998049777234 6733449.588683301 18.580000000000002, -35188.963753297576 6733449.685060332 18.580000000000002, -35188.92097458185 6733449.770066458 18.580000000000002, -35188.88812243636 6733449.856516918 18.59, -35188.84389938635 6733449.951449616 18.59, -35188.59570932633 6733450.472857281 18.6, -35188.56574584823 6733450.5394546 18.6, -35188.5628571799 6733450.559307739 18.6, -35188.19644130557 6733451.266247789 18.62, -35188.15510692238 6733451.341327347 18.62, -35188.12803211238 6733451.388071525 18.62, -35188.00258462969 6733451.623236762 18.63, -35187.975509819225 6733451.669980942 18.63, -35187.94699067436 6733451.726651695 18.63, -35187.909989294014 6733451.771951539 18.63, -35187.88291448355 6733451.818695719 18.63, -35187.855839672964 6733451.865439899 18.63, -35187.70476171293 6733452.137422745 18.64, -35187.66487166402 6733452.20257573 18.64, -35187.65061209141 6733452.230911104 18.64, -35187.25586083194 6733452.923591564 18.66, -35187.203155544354 6733453.007153354 18.66, -35186.7670698961 6733453.77491336 18.68, -35186.74143941922 6733453.811730968 18.68, -35186.65877065051 6733453.961890075 18.69, -35186.61743626569 6733454.036969628 18.69, -35186.46924696979 6733454.2890993245 18.7, -35186.42791258497 6733454.364178879 18.7, -35186.41509734641 6733454.382587683 18.7, -35186.330984242726 6733454.542673356 18.7, -35186.291094192304 6733454.607826338 18.71, -35185.86926810688 6733455.347250953 18.73, -35185.82937805622 6733455.412403935 18.73, -35185.40755196544 6733456.1518285405 18.75, -35185.36910624907 6733456.207054952 18.75, -35185.19095346646 6733456.525781958 18.76, -35185.152507750085 6733456.581008368 18.76, -35185.05702373898 6733456.749576271 18.77, -35185.02850459132 6733456.806247017 18.77, -35184.93157624535 6733456.9847414885 18.77, -35184.91876100609 6733457.003150295 18.78, -35184.74494122586 6733457.292097589 18.78, -35184.71786641306 6733457.338841765 18.79, -35184.4855640016 6733457.751057114 18.8, -35184.458489188575 6733457.7978012925 18.8, -35184.21481587144 6733458.218498874 18.81, -35184.19911196211 6733458.256760816 18.81, -35184.011032604845 6733458.574043475 18.82, -35183.99821736547 6733458.592452281 18.82, -35183.84713938972 6733458.864435097 18.830000000000002, -35183.821508911555 6733458.901252706 18.830000000000002, -35183.79443409783 6733458.947996883 18.830000000000002, -35183.77873018861 6733458.986258821 18.84, -35183.563576015644 6733459.350285654 18.85, -35183.54787210631 6733459.388547595 18.85, -35183.113230751245 6733460.146380959 18.88, -35183.087600272615 6733460.183198565 18.88, -35182.652958912426 6733460.941031921 18.91, -35182.64014367282 6733460.959440725 18.91, -35182.40639691299 6733461.381582622 18.93, -35182.3935816735 6733461.399991425 18.93, -35182.189798397245 6733461.755536011 18.94, -35181.73945311655 6733462.551631289 18.97, -35181.293440837064 6733463.31794685 19, -35181.27918126166 6733463.346282221 19, -35181.143807185465 6733463.580003083 19.01, -35181.008433108684 6733463.813723943 19.02, -35180.820353736635 6733464.131006577 19.04, -35180.37000843964 6733464.927101825 19.07, -35180.126335096546 6733465.347799368 19.080000000000002, -35179.921107472735 6733465.713270499 19.1, -35179.86695784074 6733465.8067588415 19.1, -35179.46083559666 6733466.507921393 19.13, -35179.42094554007 6733466.573074366 19.13, -35179.010490282904 6733467.304016618 19.16, -35178.98630413832 6733467.330907652 19.16, -35178.959229321685 6733467.377651821 19.16, -35178.76681693189 6733467.724714141 19.18, -35178.75400169147 6733467.743122942 19.18, -35178.60436803009 6733468.0051791575 19.19, -35178.59155278944 6733468.02358796 19.19, -35178.563033636776 6733468.080258695 19.19, -35178.550218396005 6733468.098667495 19.19, -35178.53740315547 6733468.117076297 19.19, -35178.42621521477 6733468.323906107 19.2, -35178.101317408145 6733468.884836131 19.22, -35178.08705783135 6733468.913171497 19.23, -35177.695195145905 6733469.585998653 19.25, -35177.68093556876 6733469.614334022 19.25, -35177.64104551042 6733469.679486989 19.26, -35177.62678593339 6733469.707822358 19.26, -35177.55982105713 6733469.819719493 19.26, -35177.54556148045 6733469.84805486 19.26, -35177.301888119895 6733470.26875237 19.28, -35177.24629414757 6733470.372167274 19.28, -35177.23203457042 6733470.40050264 19.29, -35177.18925583898 6733470.485508744 19.29, -35177.16506969358 6733470.512399777 19.29, -35177.083845239715 6733470.652632276 19.3, -35176.94702681259 6733470.8962796815 19.31, -35176.932767235325 6733470.92461505 19.31, -35176.728983930196 6733471.280159583 19.32, -35176.70479778515 6733471.307050615 19.32, -35176.51094104699 6733471.664039483 19.34, -35176.486754901474 6733471.690930517 19.34, -35176.43116092787 6733471.794345416 19.34, -35176.41690135049 6733471.822680782 19.34, -35176.26871201652 6733472.074810415 19.35, -35176.2530081023 6733472.113072349 19.36, -35175.9537407594 6733472.637184745 19.38, -35175.92811027763 6733472.674002339 19.38, -35175.80699576053 6733472.879387804 19.39, -35175.791291846195 6733472.917649738 19.39, -35175.34527949942 6733473.683965184 19.42, -35175.3295755845 6733473.722227116 19.42, -35174.99186251045 6733474.301565895 19.45, -35174.966232027975 6733474.338383493 19.45, -35174.93915720866 6733474.385127654 19.45, -35174.88356323226 6733474.488542556 19.46, -35174.85648841283 6733474.535286719 19.46, -35174.62563027709 6733474.9375754 19.47, -35174.59855545743 6733474.984319563 19.48, -35174.57148063788 6733475.031063726 19.48, -35174.421846959856 6733475.293119915 19.490000000000002, -35174.39477214008 6733475.339864078 19.490000000000002, -35174.366252983455 6733475.396534808 19.490000000000002, -35173.95868634526 6733476.107623832 19.52, -35173.93161152513 6733476.1543679945 19.53, -35173.78197784501 6733476.416424178 19.54, -35173.743532119785 6733476.471650572 19.54, -35173.71501296223 6733476.528321303 19.54, -35173.49552572449 6733476.9221277395 19.56, -35173.45852433669 6733476.967427564 19.56, -35173.45563566242 6733476.9872807 19.56, -35173.4300051789 6733477.024098297 19.56, -35173.38867077965 6733477.099177823 19.57, -35173.02243853081 6733477.735187304 19.59, -35172.99391937279 6733477.791858031 19.6, -35172.95258497284 6733477.86693756 19.6, -35172.57498181553 6733478.5114292605 19.63, -35172.559277898865 6733478.549691192 19.63, -35172.545018319506 6733478.578026556 19.63, -35172.409644213505 6733478.811747365 19.64, -35172.37119848735 6733478.866973758 19.64, -35172.33130842424 6733478.932126714 19.64, -35172.20730522205 6733479.157365292 19.650000000000002, -35172.08619069401 6733479.362750733 19.66, -35172.05622719752 6733479.42934803 19.67, -35171.62303005101 6733480.177254604 19.7, -35171.61021480861 6733480.1956634 19.7, -35171.58169564931 6733480.252334129 19.7, -35171.528990342864 6733480.335895884 19.71, -35171.33802225173 6733480.673031573 19.72, -35171.283872607746 6733480.766519894 19.72, -35171.22972296341 6733480.860008215 19.73, -35171.18838856148 6733480.935087738 19.73, -35171.13423891738 6733481.028576058 19.740000000000002, -35171.08008927293 6733481.122064376 19.740000000000002, -35171.06727403053 6733481.140473174 19.740000000000002, -35171.01168004819 6733481.2438880615 19.740000000000002, -35170.9846052262 6733481.290632222 19.75, -35170.94615949935 6733481.34585861 19.75, -35170.917640339234 6733481.402529338 19.75, -35170.852119789924 6733481.504499887 19.76, -35170.75952441839 6733481.653214593 19.76, -35170.69255953131 6733481.765111709 19.77, -35170.63985422393 6733481.848673461 19.77, -35170.62415030587 6733481.886935392 19.77, -35170.56151843176 6733481.9690528065 19.78, -35170.49455354421 6733482.080949921 19.78, -35170.41621775215 6733482.201329265 19.79, -35170.32651105523 6733482.330190837 19.79, -35170.11857850046 6733482.644584706 19.81, -35170.094392353436 6733482.67147573 19.81, -35170.028871802846 6733482.7734462805 19.81, -35169.94205378101 6733482.882454718 19.81, -35169.92923853861 6733482.900863513 19.81, -35169.852347083506 6733483.011316288 19.8, -35169.75126948126 6733483.148660088 19.8, -35169.66445145942 6733483.257668524 19.8, -35169.61463482701 6733483.3213771405 19.8, -35169.56337385683 6733483.395012325 19.8, -35169.524928128696 6733483.450238713 19.8, -35169.51211288653 6733483.46864751 19.8, -35169.45092534972 6733483.540838352 19.8, -35169.41247962159 6733483.596064741 19.81, -35169.30003111437 6733483.741890767 19.81, -35169.28721587185 6733483.760299562 19.82, -35169.17476736382 6733483.90612559 19.82, -35169.06231885636 6733484.051951618 19.830000000000002, -35168.885794135625 6733484.289821618 19.84, -35168.810347017716 6733484.390347824 19.85, -35168.77334562782 6733484.435647641 19.85, -35168.69789850968 6733484.536173848 19.85, -35168.59682090604 6733484.673517645 19.86, -35168.47155715537 6733484.837752463 19.87, -35168.37047955138 6733484.975096259 19.88, -35168.33347816137 6733485.020396079 19.88, -35168.26940194762 6733485.112440053 19.88, -35168.221029652865 6733485.166222102 19.89, -35168.15839777759 6733485.248339509 19.89, -35168.13276729174 6733485.285157099 19.89, -35168.06869107799 6733485.377201074 19.900000000000002, -35167.94342732616 6733485.541435894 19.91, -35167.67141855077 6733485.947873718 19.92, -35167.59308275499 6733486.068253057 19.93, -35167.45067074546 6733486.280676365 19.94, -35167.131550209364 6733486.801899967 19.96, -35167.107364061405 6733486.8287909925 19.97, -35167.06458531774 6733486.913797073 19.97, -35166.99762042612 6733487.02569418 19.97, -35166.641314693494 6733487.663147898 20, -35166.58427636768 6733487.776489342 20.01, -35166.51731147547 6733487.888386444 20.01, -35166.18789675925 6733488.550026303 20.04, -35166.1436736756 6733488.644958951 20.04, -35166.10937715811 6733488.741335936 20.05, -35166.09511757677 6733488.769671294 20.05, -35166.05233883124 6733488.854677377 20.05, -35166.00956008572 6733488.939683456 20.05, -35165.86822480161 6733489.2840407975 20.07, -35165.82689039421 6733489.359120311 20.07, -35165.79548255354 6733489.435644162 20.07, -35165.792593876366 6733489.455497294 20.07, -35165.761186034884 6733489.532021148 20.080000000000002, -35165.43699724879 6733490.366745633 20.11, -35165.416960311704 6733490.4347872585 20.11, -35165.39836771297 6733490.492902316 20.11, -35165.21821908199 6733491.034346632 20.13, -35165.20107082173 6733491.082535125 20.13, -35165.129589103744 6733491.295142225 20.14, -35165.12236740964 6733491.344775053 20.14, -35164.41700369702 6733492.012533743 20.05, -35164.52477769402 6733491.480832194 20.03, -35164.57929495792 6733491.245483288 20.03, -35164.58651665191 6733491.195850456 20.03, -35164.62821867131 6733490.978910343 20.02, -35164.64681126969 6733490.920795284 20.02, -35164.757473937236 6733490.369240599 20, -35164.776066535385 6733490.311125545 20, -35164.7861769062 6733490.241639581 20, -35164.98420900712 6733489.3682855675 19.97, -35164.995763715706 6733489.288873039 19.97, -35164.99865239265 6733489.269019907 19.96, -35165.018689328805 6733489.200978282 19.96, -35165.03168837575 6733489.111639188 19.96, -35165.11490859941 6733488.748689254 19.95, -35165.137834212044 6733488.660794497 19.95, -35165.150833258405 6733488.571455403 19.94, -35165.16509284021 6733488.543120043 19.94, -35165.17953622481 6733488.44385438 19.94, -35165.20390617568 6733488.346033056 19.94, -35165.3887554087 6733487.632948431 19.91, -35165.41601403523 6733487.515273973 19.91, -35165.4432726613 6733487.397599519 19.900000000000002, -35165.61530664365 6733486.702923684 19.88, -35165.64256526891 6733486.585249228 19.88, -35165.665490879095 6733486.497354469 19.88, -35165.669823893695 6733486.467574772 19.88, -35165.83445237682 6733485.893462067 19.86, -35165.89889619069 6733485.65955749 19.85, -35165.94041439495 6733485.513547673 19.84, -35166.05504244007 6733485.074073876 19.830000000000002, -35166.1122645617 6733484.889802132 19.82, -35166.13663450873 6733484.791980802 19.82, -35166.155227102805 6733484.7338657435 19.82, -35166.17959704937 6733484.636044417 19.82, -35166.19674530532 6733484.587855923 19.81, -35166.22255959001 6733484.480108029 19.81, -35166.23970784596 6733484.431919537 19.81, -35166.28411472426 6733484.266056584 19.8, -35166.33989250602 6733484.091711404 19.8, -35166.39422595 6733483.9272927875 19.79, -35166.42996679968 6733483.820989235 19.79, -35166.448559393175 6733483.762874174 19.79, -35166.48430024262 6733483.656570619 19.78, -35166.574374534655 6733483.385848449 19.77, -35166.62870797713 6733483.221429832 19.77, -35166.683041419135 6733483.057011218 19.76, -35166.697300999425 6733483.028675853 19.76, -35166.75163444097 6733482.864257237 19.76, -35166.771671372 6733482.796215609 19.75, -35166.791708302684 6733482.728173982 19.75, -35166.794596978114 6733482.70832085 19.75, -35166.826004813425 6733482.631796991 19.75, -35166.848930419306 6733482.543902233 19.75, -35166.878893916495 6733482.477304941 19.740000000000002, -35166.91752343997 6733482.351148253 19.740000000000002, -35166.97041254281 6733482.196656202 19.73, -35167.00904206571 6733482.070499512 19.73, -35167.02330164518 6733482.042164151 19.73, -35167.061931168195 6733481.916007458 19.72, -35167.1075985817 6733481.811148244 19.72, -35167.11337593279 6733481.771441976 19.72, -35167.24478461908 6733481.425640282 19.71, -35167.296229382395 6733481.281074797 19.7, -35167.34478547098 6733481.156362442 19.7, -35167.394785896526 6733481.021723522 19.69, -35167.42908240552 6733480.92534653 19.69, -35167.43341541779 6733480.895566832 19.69, -35167.46771192609 6733480.799189841 19.69, -35167.51626801398 6733480.674477488 19.68, -35167.58052801783 6733480.511503206 19.68, -35167.61771320109 6733480.39527308 19.67, -35167.64767669665 6733480.328675789 19.67, -35167.664824950276 6733480.280487295 19.67, -35167.68341754179 6733480.222372233 19.67, -35167.73052929097 6733480.107586444 19.66, -35167.76771447365 6733479.99135632 19.66, -35167.80489965633 6733479.875126192 19.650000000000002, -35167.83486315131 6733479.808528902 19.650000000000002, -35167.87060399621 6733479.702225342 19.650000000000002, -35167.90634484065 6733479.595921785 19.64, -35168.050568760256 6733479.231711289 19.63, -35168.09479183389 6733479.13677863 19.63, -35168.11338442436 6733479.078663571 19.63, -35168.127644003136 6733479.050328206 19.62, -35168.45038834296 6733478.225530212 19.6, -35168.46753659588 6733478.177341713 19.59, -35168.47042527038 6733478.157488581 19.59, -35168.56320442655 6733477.937843566 19.59, -35168.660316593596 6733477.688418854 19.580000000000002, -35168.68035352032 6733477.620377223 19.57, -35168.71031701402 6733477.553779929 19.57, -35168.80887351732 6733477.2944286475 19.56, -35168.823133095284 6733477.266093285 19.56, -35168.83883701055 6733477.2278313525 19.56, -35169.11446958955 6733476.517819135 19.54, -35169.147321756114 6733476.431368708 19.53, -35169.177285248996 6733476.364771413 19.53, -35169.45147348393 6733475.664685758 19.51, -35169.48288131307 6733475.588161896 19.5, -35169.50002956507 6733475.539973395 19.5, -35169.5299930569 6733475.473376102 19.5, -35169.70562478935 6733475.032641726 19.490000000000002, -35169.72421737737 6733474.9745266605 19.48, -35169.75273653236 6733474.9178559305 19.48, -35169.8754791721 6733474.631613617 19.47, -35169.89407176024 6733474.57349855 19.47, -35170.24081841414 6733473.792739798 19.44, -35170.25941100146 6733473.734624731 19.44, -35170.286485819146 6733473.687880568 19.44, -35170.40922845551 6733473.40163825 19.43, -35170.42782104248 6733473.343523184 19.43, -35170.4548958597 6733473.296779021 19.43, -35170.64189848548 6733472.847562405 19.41, -35170.66897330282 6733472.800818242 19.41, -35170.716085043154 6733472.686032445 19.400000000000002, -35170.73323329305 6733472.637843947 19.400000000000002, -35170.76030811004 6733472.591099784 19.400000000000002, -35171.05416566308 6733471.964833078 19.38, -35171.06986957602 6733471.926571148 19.38, -35171.464988496504 6733471.09203031 19.35, -35171.482136745355 6733471.043841813 19.35, -35171.58628678869 6733470.815714552 19.34, -35171.60199070163 6733470.777452617 19.34, -35171.86732909118 6733470.207856631 19.32, -35171.89295957063 6733470.171039036 19.31, -35172.014257860836 6733469.89472327 19.3, -35172.03988834028 6733469.857905673 19.3, -35172.085555740865 6733469.75304644 19.3, -35172.11118622054 6733469.716228842 19.3, -35172.298005043995 6733469.337942518 19.28, -35172.31226461986 6733469.309607149 19.28, -35172.51045434538 6733468.92283859 19.27, -35172.52471392078 6733468.894503227 19.27, -35172.654494438786 6733468.62955836 19.26, -35172.737163220765 6733468.479399298 19.25, -35172.752867132425 6733468.441137364 19.25, -35172.795645859325 6733468.356131263 19.25, -35172.809905434726 6733468.327795898 19.25, -35172.86549940158 6733468.224380997 19.240000000000002, -35173.105023513315 6733467.762532902 19.23, -35173.11928308848 6733467.7341975365 19.23, -35173.177765726694 6733467.610929498 19.22, -35173.19202530186 6733467.582594134 19.22, -35173.23335969227 6733467.5075146 19.22, -35173.24617493164 6733467.489105802 19.22, -35173.635332688806 6733466.765201499 19.19, -35173.64959226386 6733466.736866132 19.19, -35173.9802673799 6733466.136229862 19.17, -35174.10427054798 6733465.910991256 19.16, -35174.117085787235 6733465.8925824575 19.16, -35174.15986451192 6733465.807576357 19.150000000000002, -35174.16275318328 6733465.787723221 19.150000000000002, -35174.313831164385 6733465.5157404505 19.14, -35174.326646403526 6733465.49733165 19.14, -35174.54180057964 6733465.133304877 19.13, -35174.5688753936 6733465.0865607085 19.13, -35174.584579303744 6733465.048298775 19.13, -35175.02914722613 6733464.291909855 19.1, -35175.05766637542 6733464.235239118 19.09, -35175.07048161444 6733464.216830318 19.09, -35175.49086338945 6733463.487332422 19.07, -35175.54501301574 6733463.393844085 19.06, -35175.77442675957 6733463.001481933 19.05, -35176.040841882816 6733462.563819944 19.03, -35176.545152976876 6733461.7451666985 19, -35176.75597413583 6733461.4109196095 18.990000000000002, -35176.90271910082 6733461.168716526 18.98, -35177.049464065814 6733460.926513438 18.97, -35177.063723639585 6733460.898178068 18.97, -35177.59203708707 6733460.123564078 18.93, -35178.1331657687 6733459.330541275 18.900000000000002, -35178.379543966614 6733458.960920904 18.88, -35178.664367877995 6733458.536074125 18.87, -35178.68855401932 6733458.509183091 18.86, -35179.215423119604 6733457.744495635 18.830000000000002, -35179.23960926081 6733457.717604601 18.830000000000002, -35179.75510745356 6733456.961399368 18.8, -35179.780737929745 6733456.924581763 18.8, -35180.037042689975 6733456.556405714 18.79, -35180.06122883118 6733456.529514675 18.78, -35180.09967454511 6733456.474288268 18.78, -35180.125305021065 6733456.437470663 18.78, -35180.31608925585 6733456.1712651905 18.77, -35180.32890449371 6733456.152856387 18.77, -35180.55524577235 6733455.851277644 18.76, -35180.58232058282 6733455.804533469 18.76, -35180.87418238481 6733455.400984138 18.75, -35180.91118376388 6733455.3556843 18.740000000000002, -35181.20304556482 6733454.952134965 18.73, -35181.23012037494 6733454.905390791 18.73, -35181.443646413274 6733454.622220845 18.72, -35181.45646165102 6733454.603812041 18.72, -35181.58316969429 6733454.429650575 18.71, -35181.62017107301 6733454.384350735 18.71, -35181.7355082127 6733454.2186715035 18.7, -35181.77395392582 6733454.163445094 18.7, -35182.00173953525 6733453.851939769 18.69, -35182.04018524825 6733453.796713359 18.69, -35182.56127698789 6733453.071732117 18.67, -35182.611093604006 6733453.008023471 18.66, -35183.11937010265 6733452.301451021 18.64, -35183.17063105246 6733452.227815805 18.64, -35183.28307952138 6733452.0819897065 18.63, -35183.297339093406 6733452.053654333 18.63, -35183.34860004287 6733451.980019117 18.63, -35183.525124698994 6733451.7421489945 18.62, -35183.57638564834 6733451.66851378 18.62, -35183.68738978298 6733451.532614247 18.62, -35183.714464591816 6733451.485870069 18.61, -35184.2554094597 6733450.763777464 18.59, -35184.31804131239 6733450.6816600105 18.59, -35184.80916956195 6733450.023276044 18.57, -35184.82342913316 6733449.994940669 18.56, -35184.87324574834 6733449.931232019 18.56, -35185.062585638254 6733449.674953086 18.55, -35185.099587015924 6733449.629653242 18.55, -35185.12666182418 6733449.582909062 18.55, -35185.1636632022 6733449.537609215 18.55, -35185.20066457975 6733449.492309371 18.55, -35185.23766595754 6733449.447009523 18.55, -35185.391448803246 6733449.226103863 18.54, -35185.42989451473 6733449.170877447 18.54, -35185.479711129214 6733449.107168798 18.54, -35185.950986234006 6733448.445896146 18.52, -35185.963801471284 6733448.427487338 18.52, -35186.01217375207 6733448.373705255 18.51, -35186.343925580964 6733447.905002882 18.5, -35186.40655743214 6733447.822885426 18.5, -35186.46918928297 6733447.740767968 18.5, -35186.52045023104 6733447.667132746 18.490000000000002, -35186.58308208233 6733447.585015287 18.490000000000002, -35186.598785986425 6733447.546753342 18.490000000000002, -35186.67278874095 6733447.456153648 18.490000000000002, -35186.68560397753 6733447.437744843 18.490000000000002, -35186.74968016241 6733447.345700814 18.48, -35186.8251272504 6733447.245174548 18.48, -35187.08846989076 6733446.898295905 18.47, -35187.1639169784 6733446.79776964 18.47, -35187.200918355375 6733446.752469793 18.47, -35187.277809776366 6733446.642016957 18.46, -35187.364627767354 6733446.533008453 18.46, -35187.516966275754 6733446.32202935 18.45, -35187.60522860009 6733446.203094278 18.45, -35187.666416116874 6733446.130903387 18.45, -35187.704861827195 6733446.075676969 18.44, -35187.72904796712 6733446.04878593 18.44, -35187.74330753763 6733446.020450551 18.44, -35187.83156986127 6733445.901515478 18.44, -35187.89420171175 6733445.819398018 18.44, -35188.260066243005 6733445.325248916 18.42, -35188.34688423318 6733445.216240408 18.42, -35188.59885596647 6733444.877843988 18.41, -35188.69704485929 6733444.760353249 18.41, -35188.773936279584 6733444.649900405 18.400000000000002, -35188.83656812925 6733444.567782943 18.400000000000002, -35188.87212517217 6733444.532409664 18.400000000000002, -35188.93475702207 6733444.450292201 18.400000000000002, -35188.96183182881 6733444.403548016 18.400000000000002, -35189.021575011546 6733444.341283693 18.39, -35189.04864981829 6733444.29453951 18.39, -35189.07139162475 6733444.277575035 18.39, -35189.161098280805 6733444.148713388 18.39, -35189.26073150674 6733444.021296075 18.38, -35189.48562843143 6733443.729643831 18.38, -35189.572446420905 6733443.6206353195 18.37, -35190.09768735396 6733442.936804557 18.35, -35190.15887487016 6733442.864613659 18.35, -35190.17313443986 6733442.836278282 18.35, -35190.235766288475 6733442.754160816 18.35, -35190.285582901095 6733442.690452158 18.34, -35190.484849351225 6733442.4356175205 18.34, -35190.548925533076 6733442.343573484 18.330000000000002, -35190.60866871558 6733442.281309156 18.330000000000002, -35190.68267146801 6733442.190709453 18.330000000000002, -35190.69693103712 6733442.162374075 18.330000000000002, -35190.719672843814 6733442.145409601 18.330000000000002, -35190.73393241328 6733442.117074222 18.330000000000002, -35190.78230469255 6733442.063292133 18.32, -35190.81930606847 6733442.01799228 18.32, -35190.967311572516 6733441.83679287 18.32, -35191.018572517554 6733441.763157641 18.31, -35191.068389129825 6733441.699448981 18.31, -35191.168022354366 6733441.572031658 18.31, -35191.22776553698 6733441.509767331 18.31, -35191.266211245675 6733441.45454091 18.3, -35191.32884309406 6733441.372423443 18.3, -35191.39147494279 6733441.290305972 18.3, -35191.42847631837 6733441.245006118 18.29, -35191.452662457945 6733441.2181150755 18.29))</t>
  </si>
  <si>
    <t>['FV558 S1D1 m3471-3526']</t>
  </si>
  <si>
    <t>LINESTRING Z (-35185.43770870555 6733436.298376764 18.53, -35185.38500343647 6733436.3819385655 18.54, -35185.3465577343 6733436.437164985 18.54, -35185.28537022788 6733436.509355883 18.54, -35185.19566358905 6733436.638217532 18.55, -35185.14729131677 6733436.69199962 18.55, -35185.09458604781 6733436.775561419 18.55, -35184.95650713658 6733436.958205155 18.56, -35184.91950576636 6733437.003505007 18.56, -35184.87961573142 6733437.068657998 18.56, -35184.8554295951 6733437.095549042 18.56, -35184.842614360736 6733437.113957851 18.57, -35184.82979912695 6733437.132366655 18.57, -35184.75579638616 6733437.222966357 18.57, -35184.703091116855 6733437.306528155 18.57, -35184.62908837595 6733437.397127859 18.580000000000002, -35184.4496750962 6733437.6548511535 18.59, -35184.39985849161 6733437.718559809 18.59, -35184.33722665266 6733437.800677274 18.59, -35184.313040516456 6733437.82756832 18.59, -35184.26177957922 6733437.901203545 18.59, -35183.773356341524 6733438.6106647635 18.62, -35183.68509403337 6733438.729599839 18.62, -35183.47860595002 6733439.03406731 18.63, -35183.38889930898 6733439.162928954 18.64, -35183.297748335055 6733439.301717167 18.64, -35183.28493310069 6733439.320125975 18.64, -35183.24793172954 6733439.365425824 18.650000000000002, -35183.19667079195 6733439.439061048 18.650000000000002, -35183.17104032275 6733439.4758786615 18.650000000000002, -35183.11833505228 6733439.559440453 18.650000000000002, -35183.08133368124 6733439.604740303 18.650000000000002, -35183.02862841077 6733439.688302096 18.66, -35182.941810434335 6733439.797310599 18.66, -35182.86203036166 6733439.927616576 18.67, -35182.61998523737 6733440.267457319 18.68, -35182.53172292805 6733440.38639239 18.68, -35182.174340690835 6733440.891912387 18.7, -35182.12163541955 6733440.975474178 18.7, -35182.03337310988 6733441.094409246 18.71, -35182.01911354205 6733441.122744622 18.71, -35181.99492740561 6733441.149635663 18.71, -35181.95503736858 6733441.214788649 18.71, -35181.90377642959 6733441.2884238735 18.71, -35181.90088776406 6733441.308277011 18.71, -35181.81262545427 6733441.427212078 18.72, -35181.65450963867 6733441.677897451 18.72, -35181.57472956425 6733441.808203422 18.73, -35181.48646725353 6733441.927138491 18.73, -35181.459392450866 6733441.973882672 18.73, -35181.38250104198 6733442.084335507 18.740000000000002, -35181.12186334666 6733442.482291317 18.75, -35181.05345417396 6733442.604115047 18.75, -35180.97800709715 6733442.704641312 18.76, -35180.97511843126 6733442.72449445 18.76, -35180.8996713548 6733442.825020711 18.76, -35180.88396745373 6733442.863282655 18.76, -35180.81989127945 6733442.955326678 18.76, -35180.76718600665 6733443.038888468 18.77, -35180.703109832015 6733443.130932494 18.77, -35180.6489602261 6733443.22442085 18.77, -35180.29157797946 6733443.729940818 18.79, -35180.24176137254 6733443.793649467 18.79, -35180.22894613736 6733443.812058275 18.79, -35179.72915196966 6733444.530001655 18.82, -35179.67789102893 6733444.603636873 18.82, -35179.63944532396 6733444.658863284 18.82, -35179.47284726682 6733444.898177745 18.830000000000002, -35179.43440156127 6733444.953404157 18.830000000000002, -35179.39740018919 6733444.998704001 18.830000000000002, -35179.358954483876 6733445.053930413 18.84, -35179.32195311133 6733445.09923026 18.84, -35179.29343397473 6733445.155901004 18.84, -35179.091278877924 6733445.430588735 18.85, -35179.04994450556 6733445.505668285 18.85, -35179.025758368545 6733445.532559322 18.85, -35178.5330020946 6733446.271800153 18.88, -35178.46892591764 6733446.363844176 18.88, -35177.92490869772 6733447.176720209 18.91, -35177.89927822724 6733447.213537814 18.91, -35177.79386767652 6733447.3806613805 18.92, -35177.742606734624 6733447.4542965945 18.92, -35177.56174910418 6733447.721946415 18.93, -35177.5090438287 6733447.805508197 18.93, -35177.49622859282 6733447.823916999 18.93, -35177.37944713968 6733447.9995228 18.94, -35177.33811276627 6733448.074602344 18.94, -35176.82676390861 6733448.871958219 18.97, -35176.77550296567 6733448.945593435 18.97, -35176.26415410312 6733449.742949296 19, -35176.22426406224 6733449.808102271 19, -35176.0020720521 6733450.150831624 19.01, -35175.96218201087 6733450.2159846015 19.01, -35175.84395622078 6733450.401516961 19.02, -35175.80551051325 6733450.456743369 19.02, -35175.687284722575 6733450.642275729 19.03, -35175.673025152995 6733450.670611099 19.03, -35175.47501927847 6733450.986449413 19.04, -35175.436573570594 6733451.041675819 19.04, -35175.15734327771 6733451.497746645 19.06, -35175.130268472014 6733451.544490815 19.06, -35174.84111160913 6733451.999117307 19.07, -35174.81403680297 6733452.045861479 19.07, -35174.60032702121 6733452.399961721 19.09, -35174.58751178521 6733452.418370521 19.09, -35174.40232114296 6733452.715800023 19.1, -35174.37669067038 6733452.752617626 19.1, -35174.348171529826 6733452.809288366 19.1, -35174.32109672343 6733452.856032537 19.1, -35174.08031213272 6733453.256876946 19.12, -35174.06460822793 6733453.295138886 19.12, -35173.56444646907 6733454.154942767 19.14, -35173.540260330774 6733454.181833801 19.14, -35173.05002513295 6733455.043082007 19.17, -35173.03720989637 6733455.061490809 19.17, -35172.76646182209 6733455.528932507 19.19, -35172.753646585275 6733455.547341311 19.19, -35172.52278855338 6733455.949630038 19.2, -35171.99844063609 6733456.83632492 19.23, -35171.49683451711 6733457.706055324 19.26, -35171.48401928006 6733457.724464125 19.26, -35171.332941331435 6733457.996446901 19.26, -35171.17338115 6733458.257058772 19.27, -35170.9695979174 6733458.612603316 19.29, -35170.465103114955 6733459.502186834 19.31, -35170.19291068858 6733459.9795550695 19.330000000000002, -35169.95068173879 6733460.390326005 19.34, -35169.89508778497 6733460.493740904 19.35, -35169.46459572215 6733461.292724737 19.37, -35169.46170705219 6733461.312577869 19.37, -35169.42181700491 6733461.377730835 19.37, -35168.98699193029 6733462.2064943565 19.400000000000002, -35168.96280579048 6733462.233385389 19.400000000000002, -35168.93428664468 6733462.290056123 19.400000000000002, -35168.734652626095 6733462.686751246 19.41, -35168.72183738835 6733462.705160047 19.41, -35168.55649985524 6733463.005478169 19.42, -35168.55361118459 6733463.025331303 19.42, -35168.5122768007 6733463.100410836 19.43, -35168.498017227976 6733463.128746199 19.43, -35168.36119883985 6733463.372393588 19.44, -35168.02474642696 6733464.012736098 19.46, -35168.01048685354 6733464.041071465 19.46, -35167.59425433888 6733464.81171989 19.48, -35167.57999476534 6733464.840055254 19.48, -35167.53866038076 6733464.915134784 19.490000000000002, -35167.52295647189 6733464.953396715 19.490000000000002, -35167.45454727532 6733465.07522041 19.490000000000002, -35167.440287702484 6733465.1035557715 19.490000000000002, -35167.17657748307 6733465.5922948755 19.51, -35167.11953918857 6733465.7056363365 19.51, -35167.1052796148 6733465.7339717 19.51, -35167.06105655839 6733465.828904361 19.52, -35167.03687041812 6733465.85579539 19.52, -35166.951312975725 6733466.025807579 19.52, -35166.810161574045 6733466.299234659 19.53, -35166.784531097626 6733466.336052257 19.53, -35166.57352616149 6733466.741229591 19.55, -35166.55926658772 6733466.7695649555 19.55, -35166.34826164995 6733467.174742289 19.56, -35166.32263117307 6733467.211559885 19.56, -35166.265592877055 6733467.324901341 19.57, -35166.24988896714 6733467.363163274 19.57, -35166.09736665944 6733467.645072582 19.580000000000002, -35166.07029184722 6733467.691816741 19.580000000000002, -35165.76091422164 6733468.285415052 19.6, -35165.745210311376 6733468.323676982 19.6, -35165.60983624763 6733468.557397788 19.61, -35165.592688001576 6733468.605586284 19.61, -35165.13223239465 6733469.471167319 19.64, -35165.10515758139 6733469.51791148 19.64, -35164.75588989386 6733470.176662733 19.66, -35164.728815080365 6733470.223406893 19.66, -35164.70174026687 6733470.270151054 19.67, -35164.64470196748 6733470.383492504 19.67, -35164.61618281796 6733470.440163231 19.67, -35164.36673214997 6733470.900566933 19.69, -35164.33821299998 6733470.957237659 19.69, -35164.31962041592 6733471.015352724 19.69, -35164.184062559274 6733471.3200038215 19.7, -35164.156987745315 6733471.366747978 19.7, -35164.12846859463 6733471.423418706 19.7, -35163.76312940742 6733472.26229247 19.73, -35163.734610256506 6733472.318963195 19.73, -35163.59905239544 6733472.623614287 19.740000000000002, -35163.57053324429 6733472.680285013 19.740000000000002, -35163.54056975688 6733472.746882304 19.75, -35163.33226968034 6733473.203136771 19.76, -35163.31223275815 6733473.271178402 19.76, -35163.283713606885 6733473.327849125 19.76, -35163.240934879985 6733473.41285521 19.77, -35162.911336510326 6733474.1454254 19.79, -35162.881373021635 6733474.212022693 19.79, -35162.83859429404 6733474.297028776 19.8, -35162.49618067779 6733475.048007757 19.82, -35162.47903242835 6733475.096196251 19.82, -35162.46621718886 6733475.114605047 19.82, -35162.31658353424 6733475.376661192 19.830000000000002, -35162.295102274395 6733475.454629382 19.830000000000002, -35162.263694448164 6733475.53115324 19.84, -35162.17506452487 6733475.79194884 19.84, -35162.089323274675 6733476.032891305 19.85, -35162.08643460111 6733476.052744436 19.85, -35162.05791544833 6733476.109415158 19.85, -35161.74491393054 6733477.006587729 19.88, -35161.74202525662 6733477.026440861 19.88, -35161.7120617663 6733477.093038148 19.88, -35161.6763209278 6733477.1993417 19.89, -35161.527764018276 6733477.59333187 19.900000000000002, -35161.49202317919 6733477.699635422 19.900000000000002, -35161.44635577442 6733477.804494635 19.900000000000002, -35161.41350360913 6733477.8909450555 19.91, -35161.37776276993 6733477.997248605 19.91, -35161.32920669066 6733478.121960952 19.91, -35161.2806506108 6733478.246673295 19.92, -35161.26061368536 6733478.314714921 19.92, -35161.23209453095 6733478.371385642 19.92, -35161.21205760562 6733478.439427265 19.92, -35161.16350152553 6733478.564139608 19.93, -35161.0977971938 6733478.737040446 19.93, -35161.04779677617 6733478.871679355 19.94, -35161.01205593592 6733478.977982905 19.94, -35160.99779635854 6733479.006318266 19.94, -35160.952128952136 6733479.111177478 19.94, -35160.902128533926 6733479.245816387 19.95, -35160.860610344214 6733479.391826198 19.95, -35160.809165588114 6733479.536391676 19.96, -35160.69183270307 6733479.924788283 19.97, -35160.677573124995 6733479.953123643 19.97, -35160.63894360897 6733480.079280323 19.97, -35160.60031409224 6733480.205437003 19.98, -35160.58461017709 6733480.243698929 19.98, -35160.54598066048 6733480.369855608 19.98, -35160.49020289094 6733480.544200778 19.990000000000002, -35160.44164680783 6733480.668913124 19.990000000000002, -35160.42016554298 6733480.746881312 19.990000000000002, -35160.38586903771 6733480.843258292 19.990000000000002, -35160.3658321104 6733480.911299914 20, -35160.36294343544 6733480.931153047 20, -35160.330091267126 6733481.0176034635 20, -35160.31005433947 6733481.085645085 20, -35160.25427656865 6733481.259990254 20.01, -35160.249943556264 6733481.289769952 20.01, -35160.19272144744 6733481.474041687 20.01, -35160.146870241035 6733481.649831196 20.02, -35160.063833853 6733481.941850814 20.02, -35160.02664867125 6733482.058080928 20.03, -35160.0080560802 6733482.116195983 20.03, -35159.97087089834 6733482.232426097 20.03, -35159.925019690534 6733482.408215601 20.04, -35159.866353241494 6733482.602413903 20.04, -35159.820502033224 6733482.778203406 20.05, -35159.80190944171 6733482.836318463 20.05, -35159.7775394998 6733482.934139781 20.05, -35159.7575025704 6733483.002181402 20.05, -35159.7232060628 6733483.098558383 20.06, -35159.71598437405 6733483.148191211 20.06, -35159.70316913305 6733483.166600006 20.06, -35159.678799190675 6733483.264421324 20.06, -35159.63005930511 6733483.460063959 20.07, -35159.51958049345 6733483.940688318 20.080000000000002, -35159.47661795758 6733484.096624692 20.080000000000002, -35159.42065638106 6733484.341900154 20.09, -35159.27154804033 6733484.948681189 20.11, -35159.268659364665 6733484.96853432 20.11, -35159.254399785306 6733484.996869679 20.11, -35159.231474178494 6733485.084764428 20.11, -35159.201326882234 6733485.222292007 20.11, -35159.13399439899 6733485.476049696 20.12, -35158.91671276244 6733485.018692485 20.3, -35158.93115614168 6733484.91942683 20.3, -35158.935489155236 6733484.889647135 20.3, -35158.93837783125 6733484.869794002 20.3, -35159.0676330399 6733484.260124296 20.28, -35159.115112388274 6733484.003477932 20.27, -35159.14670402056 6733483.856023787 20.27, -35159.238774038386 6733483.362584188 20.26, -35159.28751392313 6733483.166941553 20.25, -35159.30340163794 6733483.057749331 20.25, -35159.31206766353 6733482.998189941 20.25, -35159.33788194321 6733482.890442057 20.25, -35159.34654796915 6733482.830882662 20.240000000000002, -35159.372362248716 6733482.723134778 20.240000000000002, -35159.38102827454 6733482.663575386 20.240000000000002, -35159.41695291689 6733482.486341545 20.240000000000002, -35159.455766234314 6733482.289254569 20.23, -35159.491690876195 6733482.112020726 20.23, -35159.51894949202 6733481.9943462815 20.22, -35159.52905985492 6733481.92486032 20.22, -35159.55631847086 6733481.807185868 20.22, -35159.62094606436 6733481.502351012 20.21, -35159.656870704144 6733481.32511717 20.21, -35159.694239681354 6733481.13795676 20.2, -35159.69857269409 6733481.108177061 20.2, -35159.73594167025 6733480.921016654 20.2, -35159.74605203234 6733480.851530693 20.2, -35159.76608895953 6733480.783489073 20.2, -35159.768977634376 6733480.763635941 20.19, -35159.77186630899 6733480.74378281 20.19, -35159.781976670725 6733480.67429685 20.19, -35159.80634661019 6733480.576475531 20.19, -35159.81790130888 6733480.497063005 20.19, -35159.84804859746 6733480.359535423 20.19, -35159.88397323503 6733480.18230158 20.18, -35159.90419395745 6733480.04332966 20.18, -35159.91845353483 6733480.014994301 20.18, -35159.93867425702 6733479.876022382 20.17, -35159.96737720736 6733479.748421362 20.17, -35159.97171021893 6733479.718641666 20.17, -35160.050781177124 6733479.314541147 20.16, -35160.08237280068 6733479.167087001 20.16, -35160.11396442389 6733479.019632853 20.150000000000002, -35160.14555604721 6733478.872178703 20.14, -35160.16144375596 6733478.762986478 20.14, -35160.177147669834 6733478.724724556 20.13, -35160.19303537859 6733478.615532332 20.13, -35160.22318266367 6733478.47800475 20.11, -35160.260551634245 6733478.290844337 20.1, -35160.29069891921 6733478.153316752 20.09, -35160.300809278735 6733478.083830792 20.09, -35160.31940186699 6733478.025715735 20.080000000000002, -35160.329512226046 6733477.956229775 20.080000000000002, -35160.36814173858 6733477.830073097 20.080000000000002, -35160.39684468566 6733477.702472079 20.07, -35160.42410329543 6733477.584797626 20.07, -35160.44702889456 6733477.496902869 20.07, -35160.474287503865 6733477.379228417 20.07, -35160.500101776095 6733477.2714805305 20.06, -35160.60191452713 6733476.85041555 20.05, -35160.62628446205 6733476.752594227 20.05, -35160.647765722824 6733476.674626038 20.05, -35160.65065439686 6733476.654772907 20.05, -35160.88713205338 6733475.726192519 20.03, -35160.897242410574 6733475.6567065595 20.03, -35160.966019200394 6733475.3930222895 20.02, -35161.036240325426 6733475.119411456 20.01, -35161.05916592188 6733475.031516699 20.01, -35161.07920284453 6733474.963475074 19.96, -35161.15231264196 6733474.670011106 20, -35161.156645651674 6733474.640231409 20, -35161.16386733507 6733474.5905985795 20, -35161.373086364474 6733473.779692634 19.98, -35161.39601195918 6733473.691797877 19.98, -35161.407566651236 6733473.612385349 19.98, -35161.603970432305 6733472.819888196 19.96, -35161.62689602631 6733472.731993439 19.96, -35161.64548861061 6733472.67387838 19.96, -35161.66696986754 6733472.595910186 19.96, -35161.790263851755 6733472.096877002 19.95, -35161.800374206156 6733472.027391038 19.94, -35161.82041112636 6733471.9593494125 19.94, -35161.89929825836 6733471.626179174 19.94, -35161.917890841956 6733471.568064115 19.93, -35162.14155320369 6733470.657892494 19.92, -35162.16014578659 6733470.599777433 19.91, -35162.18018270552 6733470.531735808 19.91, -35162.257625495666 6733470.208492134 19.91, -35162.27766241436 6733470.140450506 19.900000000000002, -35162.286328430986 6733470.080891108 19.900000000000002, -35162.41251107212 6733469.562004782 19.89, -35162.43110365432 6733469.503889721 19.89, -35162.45980658883 6733469.376288696 19.89, -35162.47839917056 6733469.318173637 19.89, -35162.49699175276 6733469.260058573 19.89, -35162.674802911 6733468.52567646 19.87, -35162.68202459067 6733468.4760436285 19.87, -35162.95694786997 6733467.492236801 19.85, -35162.97409611498 6733467.444048304 19.85, -35163.05279944476 6733467.181808359 19.84, -35163.06994768977 6733467.133619864 19.84, -35163.29720787739 6733466.477389717 19.830000000000002, -35163.31291178614 6733466.439127787 19.830000000000002, -35163.43006082566 6733466.121661448 19.82, -35163.44576473464 6733466.083399516 19.82, -35163.49432079622 6733465.958687159 19.82, -35163.51002470474 6733465.920425229 19.81, -35163.68421203387 6733465.489617434 19.830000000000002, -35163.699915942736 6733465.451355503 19.830000000000002, -35163.88402983651 6733465.021992038 19.84, -35163.90966031095 6733464.9851744445 19.84, -35164.042329471675 6733464.7003764715 19.830000000000002, -35164.12933124334 6733464.520437718 19.830000000000002, -35164.14359081583 6733464.492102356 19.830000000000002, -35164.18781386956 6733464.397169694 19.82, -35164.20351777726 6733464.358907764 19.82, -35164.26055606769 6733464.2455663085 19.82, -35164.527154939366 6733463.736974088 19.8, -35164.54141451151 6733463.708638725 19.8, -35164.611268038396 6733463.576888468 19.8, -35164.63545417704 6733463.549997441 19.8, -35164.67823289463 6733463.464991347 19.79, -35164.69249246677 6733463.436655982 19.79, -35165.14139332296 6733462.650487448 19.77, -35165.155652894755 6733462.622152085 19.77, -35165.52332931897 6733461.976216033 19.75, -35165.66159203311 6733461.722642081 19.740000000000002, -35165.674407270155 6733461.704233281 19.740000000000002, -35165.72711255215 6733461.620671522 19.740000000000002, -35165.74137212429 6733461.592336158 19.740000000000002, -35165.90670964611 6733461.292018041 19.73, -35165.91952488304 6733461.273609242 19.72, -35166.140456355875 6733460.869876229 19.71, -35166.177457730984 6733460.824576401 19.71, -35166.19316163764 6733460.78631447 19.71, -35166.67058161856 6733459.943475175 19.68, -35166.71047166316 6733459.878322212 19.68, -35166.71336033312 6733459.858469077 19.68, -35167.17507640133 6733459.053891703 19.66, -35167.23067035142 6733458.950476806 19.650000000000002, -35167.47434361931 6733458.529779316 19.64, -35167.749424697366 6733458.032557954 19.63, -35168.269623370375 6733457.104712527 19.6, -35168.486221825005 6733456.730759192 19.59, -35168.63585542899 6733456.46870299 19.580000000000002, -35168.798304268974 6733456.188237985 19.57, -35168.81256383937 6733456.159902619 19.57, -35169.3170585928 6733455.270319098 19.54, -35169.83581290953 6733454.3524002 19.52, -35170.07100392785 6733453.920331781 19.51, -35170.08381916373 6733453.901922979 19.5, -35170.354567219154 6733453.434481289 19.490000000000002, -35170.370271123014 6733453.396219352 19.490000000000002, -35170.87476585503 6733452.5066358 19.47, -35170.89046975889 6733452.468373861 19.46, -35171.3935201501 6733451.588716863 19.44, -35171.41915062058 6733451.551899259 19.44, -35171.65434162866 6733451.119830822 19.42, -35171.679972099024 6733451.083013219 19.42, -35171.7084912376 6733451.02634248 19.42, -35171.7355660419 6733450.979598311 19.42, -35171.91371877154 6733450.660871346 19.41, -35171.92653400649 6733450.642462545 19.41, -35172.13176153926 6733450.276991409 19.400000000000002, -35172.15883634344 6733450.230247238 19.39, -35172.44239961926 6733449.744396719 19.38, -35172.479400991 6733449.699096882 19.38, -35172.77000216523 6733449.23454383 19.36, -35172.80844787008 6733449.179317426 19.35, -35173.01782463177 6733448.854996886 19.32, -35173.04201076843 6733448.828105849 19.32, -35173.1701631184 6733448.644017826 19.3, -35173.210053156945 6733448.578864853 19.3, -35173.33676117298 6733448.404703395 19.28, -35173.38657777931 6733448.340994754 19.27, -35173.63854947779 6733448.002598409 19.26, -35173.688366083894 6733447.938889768 19.26, -35174.29609192477 6733447.175830388 19.22, -35174.357279432006 6733447.103639511 19.22, -35175.0103051106 6733446.37758149 19.19, -35175.0714926176 6733446.305390614 19.18, -35175.22509166994 6733446.1554152835 19.17, -35175.237906904775 6733446.13700648 19.17, -35175.30902097968 6733446.066259936 19.17, -35175.54654934234 6733445.827129256 19.16, -35175.61766341748 6733445.756382708 19.150000000000002, -35175.749964999966 6733445.613445282 19.150000000000002, -35175.785522037186 6733445.578072011 19.14, -35176.489624888985 6733444.84930906 19.11, -35176.57210986561 6733444.770080279 19.1, -35177.20365430787 6733444.121990433 19.07, -35177.23776701256 6733444.096543725 19.07, -35177.29751018644 6733444.034279411 19.06, -35177.53648288152 6733443.785222154 19.05, -35177.58485515381 6733443.731440072 19.05, -35177.62185652449 6733443.686140227 19.05, -35177.66878446366 6733443.642284717 19.05, -35177.715712402714 6733443.598429207 19.04, -35177.762640342 6733443.554573696 19.04, -35177.97742690088 6733443.332407473 19.03, -35178.02435484005 6733443.288551963 19.03, -35178.08409801358 6733443.226287647 19.02, -35178.705715887016 6733442.576753444 18.990000000000002, -35178.72845769045 6733442.559788973 18.990000000000002, -35178.77682996262 6733442.506006891 18.990000000000002, -35179.22770055011 6733442.054636534 18.97, -35179.30025895825 6733441.97396341 18.96, -35179.37281736662 6733441.893290288 18.96, -35179.44393144152 6733441.822543737 18.96, -35179.52641641861 6733441.743314943 18.95, -35179.56197345629 6733441.707941666 18.95, -35179.645902765915 6733441.618786306 18.95, -35179.658718000515 6733441.600377501 18.95, -35179.75257387909 6733441.512666473 18.94, -35179.84787409031 6733441.415028879 18.94, -35180.18214699614 6733441.068334009 18.92, -35180.277447207365 6733440.970696411 18.92, -35180.314448577585 6733440.925396565 18.91, -35180.419675357756 6733440.8292033 18.91, -35180.52779080358 6733440.713156896 18.900000000000002, -35180.72976212774 6733440.509399465 18.89, -35180.83787757298 6733440.393353063 18.89, -35180.90899164858 6733440.322606505 18.88, -35180.9573639204 6733440.268824421 18.88, -35180.992920957855 6733440.233451145 18.88, -35181.01710709394 6733440.2065601 18.88, -35181.122333874344 6733440.110366833 18.87, -35181.1835213803 6733440.038175946 18.87, -35181.62302106607 6733439.595287795 18.85, -35181.71832127764 6733439.497650192 18.84, -35182.01559281291 6733439.196255152 18.830000000000002, -35182.11233735655 6733439.088690984 18.82, -35182.219008469605 6733438.982571144 18.82, -35182.29012254474 6733438.911824584 18.82, -35182.31575301301 6733438.875006974 18.81, -35182.38686708838 6733438.804260414 18.81, -35182.422424125834 6733438.768887135 18.81, -35182.49209386879 6733438.708067144 18.81, -35182.51772433729 6733438.67124953 18.8, -35182.54191047279 6733438.644358491 18.8, -35182.64858158585 6733438.538238649 18.8, -35182.76662360027 6733438.423636573 18.79, -35183.01841152855 6733438.156170474 18.78, -35183.12508264161 6733438.050050633 18.77, -35183.721070044325 6733437.437333958 18.740000000000002, -35183.79218411911 6733437.3665873995 18.740000000000002, -35183.81492592301 6733437.349622923 18.740000000000002, -35183.88748433045 6733437.268949795 18.740000000000002, -35183.94578317145 6733437.216612036 18.73, -35184.16201406182 6733436.984519211 18.72, -35184.244499038905 6733436.905290411 18.72, -35184.30424221209 6733436.843026087 18.71, -35184.3881715216 6733436.753870715 18.71, -35184.41091332538 6733436.73690624 18.71, -35184.4237285594 6733436.718497434 18.71, -35184.44647036283 6733436.701532959 18.7, -35184.496286966605 6733436.637824302 18.69, -35184.53184400429 6733436.60245102 18.68, -35184.698258290766 6733436.434066847 18.650000000000002, -35184.75944579614 6733436.361875953 18.64, -35184.80781806796 6733436.308093861 18.63, -35184.917377845035 6733436.182120879 18.6, -35184.97712101834 6733436.119856552 18.59, -35185.02549329004 6733436.066074462 18.580000000000002, -35185.43770870555 6733436.298376764 18.53)</t>
  </si>
  <si>
    <t>POLYGON Z ((-35185.43770870555 6733436.298376764 18.53, -35185.38500343647 6733436.3819385655 18.54, -35185.3465577343 6733436.437164985 18.54, -35185.28537022788 6733436.509355883 18.54, -35185.19566358905 6733436.638217532 18.55, -35185.14729131677 6733436.69199962 18.55, -35185.09458604781 6733436.775561419 18.55, -35184.95650713658 6733436.958205155 18.56, -35184.91950576636 6733437.003505007 18.56, -35184.87961573142 6733437.068657998 18.56, -35184.8554295951 6733437.095549042 18.56, -35184.842614360736 6733437.113957851 18.57, -35184.82979912695 6733437.132366655 18.57, -35184.75579638616 6733437.222966357 18.57, -35184.703091116855 6733437.306528155 18.57, -35184.62908837595 6733437.397127859 18.580000000000002, -35184.4496750962 6733437.6548511535 18.59, -35184.39985849161 6733437.718559809 18.59, -35184.33722665266 6733437.800677274 18.59, -35184.313040516456 6733437.82756832 18.59, -35184.26177957922 6733437.901203545 18.59, -35183.773356341524 6733438.6106647635 18.62, -35183.68509403337 6733438.729599839 18.62, -35183.47860595002 6733439.03406731 18.63, -35183.38889930898 6733439.162928954 18.64, -35183.297748335055 6733439.301717167 18.64, -35183.28493310069 6733439.320125975 18.64, -35183.24793172954 6733439.365425824 18.650000000000002, -35183.19667079195 6733439.439061048 18.650000000000002, -35183.17104032275 6733439.4758786615 18.650000000000002, -35183.11833505228 6733439.559440453 18.650000000000002, -35183.08133368124 6733439.604740303 18.650000000000002, -35183.02862841077 6733439.688302096 18.66, -35182.941810434335 6733439.797310599 18.66, -35182.86203036166 6733439.927616576 18.67, -35182.61998523737 6733440.267457319 18.68, -35182.53172292805 6733440.38639239 18.68, -35182.174340690835 6733440.891912387 18.7, -35182.12163541955 6733440.975474178 18.7, -35182.03337310988 6733441.094409246 18.71, -35182.01911354205 6733441.122744622 18.71, -35181.99492740561 6733441.149635663 18.71, -35181.95503736858 6733441.214788649 18.71, -35181.90377642959 6733441.2884238735 18.71, -35181.90088776406 6733441.308277011 18.71, -35181.81262545427 6733441.427212078 18.72, -35181.65450963867 6733441.677897451 18.72, -35181.57472956425 6733441.808203422 18.73, -35181.48646725353 6733441.927138491 18.73, -35181.459392450866 6733441.973882672 18.73, -35181.38250104198 6733442.084335507 18.740000000000002, -35181.12186334666 6733442.482291317 18.75, -35181.05345417396 6733442.604115047 18.75, -35180.97800709715 6733442.704641312 18.76, -35180.97511843126 6733442.72449445 18.76, -35180.8996713548 6733442.825020711 18.76, -35180.88396745373 6733442.863282655 18.76, -35180.81989127945 6733442.955326678 18.76, -35180.76718600665 6733443.038888468 18.77, -35180.703109832015 6733443.130932494 18.77, -35180.6489602261 6733443.22442085 18.77, -35180.29157797946 6733443.729940818 18.79, -35180.24176137254 6733443.793649467 18.79, -35180.22894613736 6733443.812058275 18.79, -35179.72915196966 6733444.530001655 18.82, -35179.67789102893 6733444.603636873 18.82, -35179.63944532396 6733444.658863284 18.82, -35179.47284726682 6733444.898177745 18.830000000000002, -35179.43440156127 6733444.953404157 18.830000000000002, -35179.39740018919 6733444.998704001 18.830000000000002, -35179.358954483876 6733445.053930413 18.84, -35179.32195311133 6733445.09923026 18.84, -35179.29343397473 6733445.155901004 18.84, -35179.091278877924 6733445.430588735 18.85, -35179.04994450556 6733445.505668285 18.85, -35179.025758368545 6733445.532559322 18.85, -35178.5330020946 6733446.271800153 18.88, -35178.46892591764 6733446.363844176 18.88, -35177.92490869772 6733447.176720209 18.91, -35177.89927822724 6733447.213537814 18.91, -35177.79386767652 6733447.3806613805 18.92, -35177.742606734624 6733447.4542965945 18.92, -35177.56174910418 6733447.721946415 18.93, -35177.5090438287 6733447.805508197 18.93, -35177.49622859282 6733447.823916999 18.93, -35177.37944713968 6733447.9995228 18.94, -35177.33811276627 6733448.074602344 18.94, -35176.82676390861 6733448.871958219 18.97, -35176.77550296567 6733448.945593435 18.97, -35176.26415410312 6733449.742949296 19, -35176.22426406224 6733449.808102271 19, -35176.0020720521 6733450.150831624 19.01, -35175.96218201087 6733450.2159846015 19.01, -35175.84395622078 6733450.401516961 19.02, -35175.80551051325 6733450.456743369 19.02, -35175.687284722575 6733450.642275729 19.03, -35175.673025152995 6733450.670611099 19.03, -35175.47501927847 6733450.986449413 19.04, -35175.436573570594 6733451.041675819 19.04, -35175.15734327771 6733451.497746645 19.06, -35175.130268472014 6733451.544490815 19.06, -35174.84111160913 6733451.999117307 19.07, -35174.81403680297 6733452.045861479 19.07, -35174.60032702121 6733452.399961721 19.09, -35174.58751178521 6733452.418370521 19.09, -35174.40232114296 6733452.715800023 19.1, -35174.37669067038 6733452.752617626 19.1, -35174.348171529826 6733452.809288366 19.1, -35174.32109672343 6733452.856032537 19.1, -35174.08031213272 6733453.256876946 19.12, -35174.06460822793 6733453.295138886 19.12, -35173.56444646907 6733454.154942767 19.14, -35173.540260330774 6733454.181833801 19.14, -35173.05002513295 6733455.043082007 19.17, -35173.03720989637 6733455.061490809 19.17, -35172.76646182209 6733455.528932507 19.19, -35172.753646585275 6733455.547341311 19.19, -35172.52278855338 6733455.949630038 19.2, -35171.99844063609 6733456.83632492 19.23, -35171.49683451711 6733457.706055324 19.26, -35171.48401928006 6733457.724464125 19.26, -35171.332941331435 6733457.996446901 19.26, -35171.17338115 6733458.257058772 19.27, -35170.9695979174 6733458.612603316 19.29, -35170.465103114955 6733459.502186834 19.31, -35170.19291068858 6733459.9795550695 19.330000000000002, -35169.95068173879 6733460.390326005 19.34, -35169.89508778497 6733460.493740904 19.35, -35169.46459572215 6733461.292724737 19.37, -35169.46170705219 6733461.312577869 19.37, -35169.42181700491 6733461.377730835 19.37, -35168.98699193029 6733462.2064943565 19.400000000000002, -35168.96280579048 6733462.233385389 19.400000000000002, -35168.93428664468 6733462.290056123 19.400000000000002, -35168.734652626095 6733462.686751246 19.41, -35168.72183738835 6733462.705160047 19.41, -35168.55649985524 6733463.005478169 19.42, -35168.55361118459 6733463.025331303 19.42, -35168.5122768007 6733463.100410836 19.43, -35168.498017227976 6733463.128746199 19.43, -35168.36119883985 6733463.372393588 19.44, -35168.02474642696 6733464.012736098 19.46, -35168.01048685354 6733464.041071465 19.46, -35167.59425433888 6733464.81171989 19.48, -35167.57999476534 6733464.840055254 19.48, -35167.53866038076 6733464.915134784 19.490000000000002, -35167.52295647189 6733464.953396715 19.490000000000002, -35167.45454727532 6733465.07522041 19.490000000000002, -35167.440287702484 6733465.1035557715 19.490000000000002, -35167.17657748307 6733465.5922948755 19.51, -35167.11953918857 6733465.7056363365 19.51, -35167.1052796148 6733465.7339717 19.51, -35167.06105655839 6733465.828904361 19.52, -35167.03687041812 6733465.85579539 19.52, -35166.951312975725 6733466.025807579 19.52, -35166.810161574045 6733466.299234659 19.53, -35166.784531097626 6733466.336052257 19.53, -35166.57352616149 6733466.741229591 19.55, -35166.55926658772 6733466.7695649555 19.55, -35166.34826164995 6733467.174742289 19.56, -35166.32263117307 6733467.211559885 19.56, -35166.265592877055 6733467.324901341 19.57, -35166.24988896714 6733467.363163274 19.57, -35166.09736665944 6733467.645072582 19.580000000000002, -35166.07029184722 6733467.691816741 19.580000000000002, -35165.76091422164 6733468.285415052 19.6, -35165.745210311376 6733468.323676982 19.6, -35165.60983624763 6733468.557397788 19.61, -35165.592688001576 6733468.605586284 19.61, -35165.13223239465 6733469.471167319 19.64, -35165.10515758139 6733469.51791148 19.64, -35164.75588989386 6733470.176662733 19.66, -35164.728815080365 6733470.223406893 19.66, -35164.70174026687 6733470.270151054 19.67, -35164.64470196748 6733470.383492504 19.67, -35164.61618281796 6733470.440163231 19.67, -35164.36673214997 6733470.900566933 19.69, -35164.33821299998 6733470.957237659 19.69, -35164.31962041592 6733471.015352724 19.69, -35164.184062559274 6733471.3200038215 19.7, -35164.156987745315 6733471.366747978 19.7, -35164.12846859463 6733471.423418706 19.7, -35163.76312940742 6733472.26229247 19.73, -35163.734610256506 6733472.318963195 19.73, -35163.59905239544 6733472.623614287 19.740000000000002, -35163.57053324429 6733472.680285013 19.740000000000002, -35163.54056975688 6733472.746882304 19.75, -35163.33226968034 6733473.203136771 19.76, -35163.31223275815 6733473.271178402 19.76, -35163.283713606885 6733473.327849125 19.76, -35163.240934879985 6733473.41285521 19.77, -35162.911336510326 6733474.1454254 19.79, -35162.881373021635 6733474.212022693 19.79, -35162.83859429404 6733474.297028776 19.8, -35162.49618067779 6733475.048007757 19.82, -35162.47903242835 6733475.096196251 19.82, -35162.46621718886 6733475.114605047 19.82, -35162.31658353424 6733475.376661192 19.830000000000002, -35162.295102274395 6733475.454629382 19.830000000000002, -35162.263694448164 6733475.53115324 19.84, -35162.17506452487 6733475.79194884 19.84, -35162.089323274675 6733476.032891305 19.85, -35162.08643460111 6733476.052744436 19.85, -35162.05791544833 6733476.109415158 19.85, -35161.74491393054 6733477.006587729 19.88, -35161.74202525662 6733477.026440861 19.88, -35161.7120617663 6733477.093038148 19.88, -35161.6763209278 6733477.1993417 19.89, -35161.527764018276 6733477.59333187 19.900000000000002, -35161.49202317919 6733477.699635422 19.900000000000002, -35161.44635577442 6733477.804494635 19.900000000000002, -35161.41350360913 6733477.8909450555 19.91, -35161.37776276993 6733477.997248605 19.91, -35161.32920669066 6733478.121960952 19.91, -35161.2806506108 6733478.246673295 19.92, -35161.26061368536 6733478.314714921 19.92, -35161.23209453095 6733478.371385642 19.92, -35161.21205760562 6733478.439427265 19.92, -35161.16350152553 6733478.564139608 19.93, -35161.0977971938 6733478.737040446 19.93, -35161.04779677617 6733478.871679355 19.94, -35161.01205593592 6733478.977982905 19.94, -35160.99779635854 6733479.006318266 19.94, -35160.952128952136 6733479.111177478 19.94, -35160.902128533926 6733479.245816387 19.95, -35160.860610344214 6733479.391826198 19.95, -35160.809165588114 6733479.536391676 19.96, -35160.69183270307 6733479.924788283 19.97, -35160.677573124995 6733479.953123643 19.97, -35160.63894360897 6733480.079280323 19.97, -35160.60031409224 6733480.205437003 19.98, -35160.58461017709 6733480.243698929 19.98, -35160.54598066048 6733480.369855608 19.98, -35160.49020289094 6733480.544200778 19.990000000000002, -35160.44164680783 6733480.668913124 19.990000000000002, -35160.42016554298 6733480.746881312 19.990000000000002, -35160.38586903771 6733480.843258292 19.990000000000002, -35160.3658321104 6733480.911299914 20, -35160.36294343544 6733480.931153047 20, -35160.330091267126 6733481.0176034635 20, -35160.31005433947 6733481.085645085 20, -35160.25427656865 6733481.259990254 20.01, -35160.249943556264 6733481.289769952 20.01, -35160.19272144744 6733481.474041687 20.01, -35160.146870241035 6733481.649831196 20.02, -35160.063833853 6733481.941850814 20.02, -35160.02664867125 6733482.058080928 20.03, -35160.0080560802 6733482.116195983 20.03, -35159.97087089834 6733482.232426097 20.03, -35159.925019690534 6733482.408215601 20.04, -35159.866353241494 6733482.602413903 20.04, -35159.820502033224 6733482.778203406 20.05, -35159.80190944171 6733482.836318463 20.05, -35159.7775394998 6733482.934139781 20.05, -35159.7575025704 6733483.002181402 20.05, -35159.7232060628 6733483.098558383 20.06, -35159.71598437405 6733483.148191211 20.06, -35159.70316913305 6733483.166600006 20.06, -35159.678799190675 6733483.264421324 20.06, -35159.63005930511 6733483.460063959 20.07, -35159.51958049345 6733483.940688318 20.080000000000002, -35159.47661795758 6733484.096624692 20.080000000000002, -35159.42065638106 6733484.341900154 20.09, -35159.27154804033 6733484.948681189 20.11, -35159.268659364665 6733484.96853432 20.11, -35159.254399785306 6733484.996869679 20.11, -35159.231474178494 6733485.084764428 20.11, -35159.201326882234 6733485.222292007 20.11, -35159.13399439899 6733485.476049696 20.12, -35158.91671276244 6733485.018692485 20.3, -35158.93115614168 6733484.91942683 20.3, -35158.935489155236 6733484.889647135 20.3, -35158.93837783125 6733484.869794002 20.3, -35159.0676330399 6733484.260124296 20.28, -35159.115112388274 6733484.003477932 20.27, -35159.14670402056 6733483.856023787 20.27, -35159.238774038386 6733483.362584188 20.26, -35159.28751392313 6733483.166941553 20.25, -35159.30340163794 6733483.057749331 20.25, -35159.31206766353 6733482.998189941 20.25, -35159.33788194321 6733482.890442057 20.25, -35159.34654796915 6733482.830882662 20.240000000000002, -35159.372362248716 6733482.723134778 20.240000000000002, -35159.38102827454 6733482.663575386 20.240000000000002, -35159.41695291689 6733482.486341545 20.240000000000002, -35159.455766234314 6733482.289254569 20.23, -35159.491690876195 6733482.112020726 20.23, -35159.51894949202 6733481.9943462815 20.22, -35159.52905985492 6733481.92486032 20.22, -35159.55631847086 6733481.807185868 20.22, -35159.62094606436 6733481.502351012 20.21, -35159.656870704144 6733481.32511717 20.21, -35159.694239681354 6733481.13795676 20.2, -35159.69857269409 6733481.108177061 20.2, -35159.73594167025 6733480.921016654 20.2, -35159.74605203234 6733480.851530693 20.2, -35159.76608895953 6733480.783489073 20.2, -35159.768977634376 6733480.763635941 20.19, -35159.77186630899 6733480.74378281 20.19, -35159.781976670725 6733480.67429685 20.19, -35159.80634661019 6733480.576475531 20.19, -35159.81790130888 6733480.497063005 20.19, -35159.84804859746 6733480.359535423 20.19, -35159.88397323503 6733480.18230158 20.18, -35159.90419395745 6733480.04332966 20.18, -35159.91845353483 6733480.014994301 20.18, -35159.93867425702 6733479.876022382 20.17, -35159.96737720736 6733479.748421362 20.17, -35159.97171021893 6733479.718641666 20.17, -35160.050781177124 6733479.314541147 20.16, -35160.08237280068 6733479.167087001 20.16, -35160.11396442389 6733479.019632853 20.150000000000002, -35160.14555604721 6733478.872178703 20.14, -35160.16144375596 6733478.762986478 20.14, -35160.177147669834 6733478.724724556 20.13, -35160.19303537859 6733478.615532332 20.13, -35160.22318266367 6733478.47800475 20.11, -35160.260551634245 6733478.290844337 20.1, -35160.29069891921 6733478.153316752 20.09, -35160.300809278735 6733478.083830792 20.09, -35160.31940186699 6733478.025715735 20.080000000000002, -35160.329512226046 6733477.956229775 20.080000000000002, -35160.36814173858 6733477.830073097 20.080000000000002, -35160.39684468566 6733477.702472079 20.07, -35160.42410329543 6733477.584797626 20.07, -35160.44702889456 6733477.496902869 20.07, -35160.474287503865 6733477.379228417 20.07, -35160.500101776095 6733477.2714805305 20.06, -35160.60191452713 6733476.85041555 20.05, -35160.62628446205 6733476.752594227 20.05, -35160.647765722824 6733476.674626038 20.05, -35160.65065439686 6733476.654772907 20.05, -35160.88713205338 6733475.726192519 20.03, -35160.897242410574 6733475.6567065595 20.03, -35160.966019200394 6733475.3930222895 20.02, -35161.036240325426 6733475.119411456 20.01, -35161.05916592188 6733475.031516699 20.01, -35161.07920284453 6733474.963475074 19.96, -35161.15231264196 6733474.670011106 20, -35161.156645651674 6733474.640231409 20, -35161.16386733507 6733474.5905985795 20, -35161.373086364474 6733473.779692634 19.98, -35161.39601195918 6733473.691797877 19.98, -35161.407566651236 6733473.612385349 19.98, -35161.603970432305 6733472.819888196 19.96, -35161.62689602631 6733472.731993439 19.96, -35161.64548861061 6733472.67387838 19.96, -35161.66696986754 6733472.595910186 19.96, -35161.790263851755 6733472.096877002 19.95, -35161.800374206156 6733472.027391038 19.94, -35161.82041112636 6733471.9593494125 19.94, -35161.89929825836 6733471.626179174 19.94, -35161.917890841956 6733471.568064115 19.93, -35162.14155320369 6733470.657892494 19.92, -35162.16014578659 6733470.599777433 19.91, -35162.18018270552 6733470.531735808 19.91, -35162.257625495666 6733470.208492134 19.91, -35162.27766241436 6733470.140450506 19.900000000000002, -35162.286328430986 6733470.080891108 19.900000000000002, -35162.41251107212 6733469.562004782 19.89, -35162.43110365432 6733469.503889721 19.89, -35162.45980658883 6733469.376288696 19.89, -35162.47839917056 6733469.318173637 19.89, -35162.49699175276 6733469.260058573 19.89, -35162.674802911 6733468.52567646 19.87, -35162.68202459067 6733468.4760436285 19.87, -35162.95694786997 6733467.492236801 19.85, -35162.97409611498 6733467.444048304 19.85, -35163.05279944476 6733467.181808359 19.84, -35163.06994768977 6733467.133619864 19.84, -35163.29720787739 6733466.477389717 19.830000000000002, -35163.31291178614 6733466.439127787 19.830000000000002, -35163.43006082566 6733466.121661448 19.82, -35163.44576473464 6733466.083399516 19.82, -35163.49432079622 6733465.958687159 19.82, -35163.51002470474 6733465.920425229 19.81, -35163.68421203387 6733465.489617434 19.830000000000002, -35163.699915942736 6733465.451355503 19.830000000000002, -35163.88402983651 6733465.021992038 19.84, -35163.90966031095 6733464.9851744445 19.84, -35164.042329471675 6733464.7003764715 19.830000000000002, -35164.12933124334 6733464.520437718 19.830000000000002, -35164.14359081583 6733464.492102356 19.830000000000002, -35164.18781386956 6733464.397169694 19.82, -35164.20351777726 6733464.358907764 19.82, -35164.26055606769 6733464.2455663085 19.82, -35164.527154939366 6733463.736974088 19.8, -35164.54141451151 6733463.708638725 19.8, -35164.611268038396 6733463.576888468 19.8, -35164.63545417704 6733463.549997441 19.8, -35164.67823289463 6733463.464991347 19.79, -35164.69249246677 6733463.436655982 19.79, -35165.14139332296 6733462.650487448 19.77, -35165.155652894755 6733462.622152085 19.77, -35165.52332931897 6733461.976216033 19.75, -35165.66159203311 6733461.722642081 19.740000000000002, -35165.674407270155 6733461.704233281 19.740000000000002, -35165.72711255215 6733461.620671522 19.740000000000002, -35165.74137212429 6733461.592336158 19.740000000000002, -35165.90670964611 6733461.292018041 19.73, -35165.91952488304 6733461.273609242 19.72, -35166.140456355875 6733460.869876229 19.71, -35166.177457730984 6733460.824576401 19.71, -35166.19316163764 6733460.78631447 19.71, -35166.67058161856 6733459.943475175 19.68, -35166.71047166316 6733459.878322212 19.68, -35166.71336033312 6733459.858469077 19.68, -35167.17507640133 6733459.053891703 19.66, -35167.23067035142 6733458.950476806 19.650000000000002, -35167.47434361931 6733458.529779316 19.64, -35167.749424697366 6733458.032557954 19.63, -35168.269623370375 6733457.104712527 19.6, -35168.486221825005 6733456.730759192 19.59, -35168.63585542899 6733456.46870299 19.580000000000002, -35168.798304268974 6733456.188237985 19.57, -35168.81256383937 6733456.159902619 19.57, -35169.3170585928 6733455.270319098 19.54, -35169.83581290953 6733454.3524002 19.52, -35170.07100392785 6733453.920331781 19.51, -35170.08381916373 6733453.901922979 19.5, -35170.354567219154 6733453.434481289 19.490000000000002, -35170.370271123014 6733453.396219352 19.490000000000002, -35170.87476585503 6733452.5066358 19.47, -35170.89046975889 6733452.468373861 19.46, -35171.3935201501 6733451.588716863 19.44, -35171.41915062058 6733451.551899259 19.44, -35171.65434162866 6733451.119830822 19.42, -35171.679972099024 6733451.083013219 19.42, -35171.7084912376 6733451.02634248 19.42, -35171.7355660419 6733450.979598311 19.42, -35171.91371877154 6733450.660871346 19.41, -35171.92653400649 6733450.642462545 19.41, -35172.13176153926 6733450.276991409 19.400000000000002, -35172.15883634344 6733450.230247238 19.39, -35172.44239961926 6733449.744396719 19.38, -35172.479400991 6733449.699096882 19.38, -35172.77000216523 6733449.23454383 19.36, -35172.80844787008 6733449.179317426 19.35, -35173.01782463177 6733448.854996886 19.32, -35173.04201076843 6733448.828105849 19.32, -35173.1701631184 6733448.644017826 19.3, -35173.210053156945 6733448.578864853 19.3, -35173.33676117298 6733448.404703395 19.28, -35173.38657777931 6733448.340994754 19.27, -35173.63854947779 6733448.002598409 19.26, -35173.688366083894 6733447.938889768 19.26, -35174.29609192477 6733447.175830388 19.22, -35174.357279432006 6733447.103639511 19.22, -35175.0103051106 6733446.37758149 19.19, -35175.0714926176 6733446.305390614 19.18, -35175.22509166994 6733446.1554152835 19.17, -35175.237906904775 6733446.13700648 19.17, -35175.30902097968 6733446.066259936 19.17, -35175.54654934234 6733445.827129256 19.16, -35175.61766341748 6733445.756382708 19.150000000000002, -35175.749964999966 6733445.613445282 19.150000000000002, -35175.785522037186 6733445.578072011 19.14, -35176.489624888985 6733444.84930906 19.11, -35176.57210986561 6733444.770080279 19.1, -35177.20365430787 6733444.121990433 19.07, -35177.23776701256 6733444.096543725 19.07, -35177.29751018644 6733444.034279411 19.06, -35177.53648288152 6733443.785222154 19.05, -35177.58485515381 6733443.731440072 19.05, -35177.62185652449 6733443.686140227 19.05, -35177.66878446366 6733443.642284717 19.05, -35177.715712402714 6733443.598429207 19.04, -35177.762640342 6733443.554573696 19.04, -35177.97742690088 6733443.332407473 19.03, -35178.02435484005 6733443.288551963 19.03, -35178.08409801358 6733443.226287647 19.02, -35178.705715887016 6733442.576753444 18.990000000000002, -35178.72845769045 6733442.559788973 18.990000000000002, -35178.77682996262 6733442.506006891 18.990000000000002, -35179.22770055011 6733442.054636534 18.97, -35179.30025895825 6733441.97396341 18.96, -35179.37281736662 6733441.893290288 18.96, -35179.44393144152 6733441.822543737 18.96, -35179.52641641861 6733441.743314943 18.95, -35179.56197345629 6733441.707941666 18.95, -35179.645902765915 6733441.618786306 18.95, -35179.658718000515 6733441.600377501 18.95, -35179.75257387909 6733441.512666473 18.94, -35179.84787409031 6733441.415028879 18.94, -35180.18214699614 6733441.068334009 18.92, -35180.277447207365 6733440.970696411 18.92, -35180.314448577585 6733440.925396565 18.91, -35180.419675357756 6733440.8292033 18.91, -35180.52779080358 6733440.713156896 18.900000000000002, -35180.72976212774 6733440.509399465 18.89, -35180.83787757298 6733440.393353063 18.89, -35180.90899164858 6733440.322606505 18.88, -35180.9573639204 6733440.268824421 18.88, -35180.992920957855 6733440.233451145 18.88, -35181.01710709394 6733440.2065601 18.88, -35181.122333874344 6733440.110366833 18.87, -35181.1835213803 6733440.038175946 18.87, -35181.62302106607 6733439.595287795 18.85, -35181.71832127764 6733439.497650192 18.84, -35182.01559281291 6733439.196255152 18.830000000000002, -35182.11233735655 6733439.088690984 18.82, -35182.219008469605 6733438.982571144 18.82, -35182.29012254474 6733438.911824584 18.82, -35182.31575301301 6733438.875006974 18.81, -35182.38686708838 6733438.804260414 18.81, -35182.422424125834 6733438.768887135 18.81, -35182.49209386879 6733438.708067144 18.81, -35182.51772433729 6733438.67124953 18.8, -35182.54191047279 6733438.644358491 18.8, -35182.64858158585 6733438.538238649 18.8, -35182.76662360027 6733438.423636573 18.79, -35183.01841152855 6733438.156170474 18.78, -35183.12508264161 6733438.050050633 18.77, -35183.721070044325 6733437.437333958 18.740000000000002, -35183.79218411911 6733437.3665873995 18.740000000000002, -35183.81492592301 6733437.349622923 18.740000000000002, -35183.88748433045 6733437.268949795 18.740000000000002, -35183.94578317145 6733437.216612036 18.73, -35184.16201406182 6733436.984519211 18.72, -35184.244499038905 6733436.905290411 18.72, -35184.30424221209 6733436.843026087 18.71, -35184.3881715216 6733436.753870715 18.71, -35184.41091332538 6733436.73690624 18.71, -35184.4237285594 6733436.718497434 18.71, -35184.44647036283 6733436.701532959 18.7, -35184.496286966605 6733436.637824302 18.69, -35184.53184400429 6733436.60245102 18.68, -35184.698258290766 6733436.434066847 18.650000000000002, -35184.75944579614 6733436.361875953 18.64, -35184.80781806796 6733436.308093861 18.63, -35184.917377845035 6733436.182120879 18.6, -35184.97712101834 6733436.119856552 18.59, -35185.02549329004 6733436.066074462 18.580000000000002, -35185.43770870555 6733436.298376764 18.53))</t>
  </si>
  <si>
    <t>['FV563 S1D1 m7229-7285']</t>
  </si>
  <si>
    <t>LINESTRING Z (-36122.57364074723 6742327.086201533 16.17, -36124.0920760982 6742324.803471859 16.06, -36124.75407015823 6742324.991102894 16.04, -36120.2622004617 6742333.561683217 16.12, -36117.108451108914 6742339.9043724 16.18, -36114.812115847715 6742344.46615887 16.22, -36111.816806449555 6742350.973837037 16.28, -36110.45276920311 6742353.866995365 16.3, -36101.67387551337 6742375.518534584 16.35, -36100.94095067831 6742375.33071132 16.35, -36101.798147510504 6742371.532514077 16.36, -36102.90241882962 6742365.550291309 16.37, -36103.69436346402 6742361.225604797 16.38, -36104.68948242604 6742358.359821714 16.39, -36105.04297351651 6742357.742254081 16.39, -36105.65358147805 6742356.472810969 16.39, -36109.67100096319 6742347.610130776 16.32, -36113.15346310369 6742339.845443114 16.26, -36114.35714101198 6742337.496605652 16.17, -36115.159051701194 6742336.305704367 16.29, -36116.41622583906 6742334.633699173 16.17, -36122.57364074723 6742327.086201533 16.17)</t>
  </si>
  <si>
    <t>POLYGON Z ((-36122.57364074723 6742327.086201533 16.17, -36124.0920760982 6742324.803471859 16.06, -36124.75407015823 6742324.991102894 16.04, -36120.2622004617 6742333.561683217 16.12, -36117.108451108914 6742339.9043724 16.18, -36114.812115847715 6742344.46615887 16.22, -36111.816806449555 6742350.973837037 16.28, -36110.45276920311 6742353.866995365 16.3, -36101.67387551337 6742375.518534584 16.35, -36100.94095067831 6742375.33071132 16.35, -36101.798147510504 6742371.532514077 16.36, -36102.90241882962 6742365.550291309 16.37, -36103.69436346402 6742361.225604797 16.38, -36104.68948242604 6742358.359821714 16.39, -36105.04297351651 6742357.742254081 16.39, -36105.65358147805 6742356.472810969 16.39, -36109.67100096319 6742347.610130776 16.32, -36113.15346310369 6742339.845443114 16.26, -36114.35714101198 6742337.496605652 16.17, -36115.159051701194 6742336.305704367 16.29, -36116.41622583906 6742334.633699173 16.17, -36122.57364074723 6742327.086201533 16.17))</t>
  </si>
  <si>
    <t>['FV563 S1D1 m5801-5855']</t>
  </si>
  <si>
    <t>LINESTRING Z (-36411.028759903624 6740999.98289473 22.18, -36411.92340691644 6741000.173977763 22.240000000000002, -36411.376295848866 6741013.191347569 22.580000000000002, -36410.98454536707 6741026.464489564 22.63, -36410.43342627457 6741040.971418033 22.580000000000002, -36409.91761349002 6741053.425672185 22.46, -36409.069327566074 6741053.403531075 22.37, -36408.53823716461 6741047.7913908 22.41, -36407.44478115218 6741038.174343087 22.51, -36407.61331145582 6741037.225727346 22.51, -36407.696998192696 6741035.1192750875 22.51, -36407.995864367695 6741028.958934212 22.57, -36408.15788602643 6741023.042231213 22.54, -36408.221195928054 6741019.544040431 22.52, -36408.225961710676 6741017.770755929 22.51, -36408.32276668039 6741016.061557486 22.48, -36408.47779670288 6741014.857550595 22.46, -36410.4907219006 6741003.817445713 22.28, -36411.028759903624 6740999.98289473 22.18)</t>
  </si>
  <si>
    <t>POLYGON Z ((-36411.028759903624 6740999.98289473 22.18, -36411.92340691644 6741000.173977763 22.240000000000002, -36411.376295848866 6741013.191347569 22.580000000000002, -36410.98454536707 6741026.464489564 22.63, -36410.43342627457 6741040.971418033 22.580000000000002, -36409.91761349002 6741053.425672185 22.46, -36409.069327566074 6741053.403531075 22.37, -36408.53823716461 6741047.7913908 22.41, -36407.44478115218 6741038.174343087 22.51, -36407.61331145582 6741037.225727346 22.51, -36407.696998192696 6741035.1192750875 22.51, -36407.995864367695 6741028.958934212 22.57, -36408.15788602643 6741023.042231213 22.54, -36408.221195928054 6741019.544040431 22.52, -36408.225961710676 6741017.770755929 22.51, -36408.32276668039 6741016.061557486 22.48, -36408.47779670288 6741014.857550595 22.46, -36410.4907219006 6741003.817445713 22.28, -36411.028759903624 6740999.98289473 22.18))</t>
  </si>
  <si>
    <t>['FV563 S1D1 m5492-5539']</t>
  </si>
  <si>
    <t>LINESTRING Z (-36383.6477289031 6740713.629702972 23.46, -36385.97287597472 6740711.51507986 23.32, -36390.1486329207 6740707.551263658 23.06, -36390.580305395066 6740707.928361034 23.09, -36389.28847476817 6740709.838636313 23.14, -36386.87132343312 6740712.933291152 23.21, -36382.54742182314 6740719.237461027 23.34, -36378.91575816693 6740725.034197234 23.32, -36375.379059224855 6740731.919282557 23.25, -36372.39939065685 6740738.459714835 23.22, -36370.82390391419 6740742.457461767 23.17, -36369.270892538945 6740747.066701478 23.07, -36367.96312014619 6740750.6878091805 23.11, -36367.6057632491 6740750.635779053 23.11, -36368.054787088535 6740748.247999362 23.14, -36369.738651252585 6740737.170125501 23.26, -36370.17014096852 6740734.972395985 23.29, -36370.81822435057 6740734.002368923 23.3, -36376.00224993087 6740724.366711638 23.42, -36379.33398680738 6740718.262745033 23.46, -36379.692563527846 6740717.331662614 23.46, -36380.41389760957 6740716.554766548 23.46, -36383.6477289031 6740713.629702972 23.46)</t>
  </si>
  <si>
    <t>POLYGON Z ((-36383.6477289031 6740713.629702972 23.46, -36385.97287597472 6740711.51507986 23.32, -36390.1486329207 6740707.551263658 23.06, -36390.580305395066 6740707.928361034 23.09, -36389.28847476817 6740709.838636313 23.14, -36386.87132343312 6740712.933291152 23.21, -36382.54742182314 6740719.237461027 23.34, -36378.91575816693 6740725.034197234 23.32, -36375.379059224855 6740731.919282557 23.25, -36372.39939065685 6740738.459714835 23.22, -36370.82390391419 6740742.457461767 23.17, -36369.270892538945 6740747.066701478 23.07, -36367.96312014619 6740750.6878091805 23.11, -36367.6057632491 6740750.635779053 23.11, -36368.054787088535 6740748.247999362 23.14, -36369.738651252585 6740737.170125501 23.26, -36370.17014096852 6740734.972395985 23.29, -36370.81822435057 6740734.002368923 23.3, -36376.00224993087 6740724.366711638 23.42, -36379.33398680738 6740718.262745033 23.46, -36379.692563527846 6740717.331662614 23.46, -36380.41389760957 6740716.554766548 23.46, -36383.6477289031 6740713.629702972 23.46))</t>
  </si>
  <si>
    <t>['FV563 S1D1 m6471-6540']</t>
  </si>
  <si>
    <t>LINESTRING Z (-36342.15989795129 6741649.246840748 12.3, -36342.2809672961 6741645.909115104 12.51, -36342.54531419359 6741636.783738169 12.780000000000001, -36343.3017517532 6741636.670867521 12.870000000000001, -36343.882983078714 6741641.033323285 12.56, -36346.138504350674 6741657.915505212 11.94, -36348.4487559417 6741674.491410114 11.73, -36351.14968897856 6741690.33351545 11.92, -36353.96393400524 6741705.188556153 12.51, -36353.68290825398 6741705.238869351 12.51, -36351.90267034003 6741699.921274462 12.51, -36349.08577380364 6741691.837380418 12.01, -36347.57510435593 6741687.035478047 11.94, -36347.05462694343 6741684.344339592 11.91, -36346.44274661504 6741679.774679745 11.91, -36345.737190790125 6741675.22179107 11.91, -36344.65629261453 6741667.816430888 11.92, -36344.31498195918 6741665.496039825 11.92, -36344.024580794736 6741664.287997162 11.92, -36342.5993955899 6741655.13962341 12.120000000000001, -36342.21489119902 6741652.0019813245 12.42, -36342.15989795129 6741649.246840748 12.3)</t>
  </si>
  <si>
    <t>POLYGON Z ((-36342.15989795129 6741649.246840748 12.3, -36342.2809672961 6741645.909115104 12.51, -36342.54531419359 6741636.783738169 12.780000000000001, -36343.3017517532 6741636.670867521 12.870000000000001, -36343.882983078714 6741641.033323285 12.56, -36346.138504350674 6741657.915505212 11.94, -36348.4487559417 6741674.491410114 11.73, -36351.14968897856 6741690.33351545 11.92, -36353.96393400524 6741705.188556153 12.51, -36353.68290825398 6741705.238869351 12.51, -36351.90267034003 6741699.921274462 12.51, -36349.08577380364 6741691.837380418 12.01, -36347.57510435593 6741687.035478047 11.94, -36347.05462694343 6741684.344339592 11.91, -36346.44274661504 6741679.774679745 11.91, -36345.737190790125 6741675.22179107 11.91, -36344.65629261453 6741667.816430888 11.92, -36344.31498195918 6741665.496039825 11.92, -36344.024580794736 6741664.287997162 11.92, -36342.5993955899 6741655.13962341 12.120000000000001, -36342.21489119902 6741652.0019813245 12.42, -36342.15989795129 6741649.246840748 12.3))</t>
  </si>
  <si>
    <t>['FV563 S1D1 m7531-7585']</t>
  </si>
  <si>
    <t>LINESTRING Z (-36051.02992092562 6742616.723369821 16.98, -36051.31759749388 6742616.836220696 16.91, -36048.809233127395 6742622.157807408 17.23, -36046.03758333484 6742628.312835957 17.740000000000002, -36043.91075235524 6742632.615459348 17.93, -36036.86406396481 6742639.029868083 18.23, -36029.429089519894 6742645.81348676 18.650000000000002, -36028.83986730012 6742646.518369188 18.7, -36013.68605654908 6742655.421794663 19.6, -36013.072251210106 6742655.251315188 19.56, -36016.28715544124 6742652.526321054 19.37, -36018.19081061671 6742651.009286059 19.25, -36024.054333195905 6742646.176286256 18.900000000000002, -36030.56538369355 6742640.586071812 18.41, -36035.69347612676 6742635.443235876 18.11, -36042.16933970607 6742628.702414544 17.68, -36046.20098804205 6742623.501281291 17.400000000000002, -36049.21108541568 6742619.39823911 17.13, -36051.02992092562 6742616.723369821 16.98)</t>
  </si>
  <si>
    <t>POLYGON Z ((-36051.02992092562 6742616.723369821 16.98, -36051.31759749388 6742616.836220696 16.91, -36048.809233127395 6742622.157807408 17.23, -36046.03758333484 6742628.312835957 17.740000000000002, -36043.91075235524 6742632.615459348 17.93, -36036.86406396481 6742639.029868083 18.23, -36029.429089519894 6742645.81348676 18.650000000000002, -36028.83986730012 6742646.518369188 18.7, -36013.68605654908 6742655.421794663 19.6, -36013.072251210106 6742655.251315188 19.56, -36016.28715544124 6742652.526321054 19.37, -36018.19081061671 6742651.009286059 19.25, -36024.054333195905 6742646.176286256 18.900000000000002, -36030.56538369355 6742640.586071812 18.41, -36035.69347612676 6742635.443235876 18.11, -36042.16933970607 6742628.702414544 17.68, -36046.20098804205 6742623.501281291 17.400000000000002, -36049.21108541568 6742619.39823911 17.13, -36051.02992092562 6742616.723369821 16.98))</t>
  </si>
  <si>
    <t>['FV563 S1D1 m8277-8331']</t>
  </si>
  <si>
    <t>LINESTRING Z (-36195.739659390994 6743149.634945541 9.33, -36204.08279813884 6743169.958248403 9.78, -36211.35251624067 6743188.533720919 10.18, -36214.20018850779 6743196.1964034075 10.34, -36215.15391079092 6743199.183799572 10.4, -36214.32490290969 6743199.377320061 10.31, -36213.447318552295 6743197.607318849 10.25, -36206.774460438406 6743185.444273143 10.06, -36206.506057057064 6743184.502989961 10.040000000000001, -36203.38988538005 6743176.456548461 9.86, -36199.9360164149 6743167.387774284 9.66, -36199.40663232794 6743166.428759095 9.64, -36196.780899359495 6743155.919483324 9.41, -36195.04056441202 6743150.050126074 9.28, -36195.739659390994 6743149.634945541 9.33)</t>
  </si>
  <si>
    <t>POLYGON Z ((-36195.739659390994 6743149.634945541 9.33, -36204.08279813884 6743169.958248403 9.78, -36211.35251624067 6743188.533720919 10.18, -36214.20018850779 6743196.1964034075 10.34, -36215.15391079092 6743199.183799572 10.4, -36214.32490290969 6743199.377320061 10.31, -36213.447318552295 6743197.607318849 10.25, -36206.774460438406 6743185.444273143 10.06, -36206.506057057064 6743184.502989961 10.040000000000001, -36203.38988538005 6743176.456548461 9.86, -36199.9360164149 6743167.387774284 9.66, -36199.40663232794 6743166.428759095 9.64, -36196.780899359495 6743155.919483324 9.41, -36195.04056441202 6743150.050126074 9.28, -36195.739659390994 6743149.634945541 9.33))</t>
  </si>
  <si>
    <t>['FV563 S1D1 m5728-5778']</t>
  </si>
  <si>
    <t>LINESTRING Z (-36413.397312101675 6740926.276832182 21.11, -36413.756495486945 6740926.177073785 21.1, -36416.00303476374 6740931.146923145 21.21, -36416.96365900978 6740933.182412064 21.26, -36418.90061518503 6740937.215129015 21.35, -36420.392589989235 6740940.544424852 21.42, -36420.30347349448 6740941.50460341 21.43, -36420.99015727709 6740948.345702423 21.47, -36421.715403357055 6740955.61817114 21.52, -36422.12491936702 6740959.489316145 21.55, -36422.2955296936 6740960.406214756 21.56, -36421.60992887034 6740963.722567181 21.55, -36420.4445326007 6740968.732902888 21.55, -36419.50231737527 6740973.0458682 21.55, -36419.209491111105 6740974.848170349 21.580000000000002, -36418.95473523333 6740976.7371117 21.63, -36418.46688737371 6740976.67621805 21.580000000000002, -36419.01111806696 6740967.368577549 21.38, -36419.03363859549 6740960.042791191 21.37, -36419.08657396177 6740954.596781952 21.26, -36418.73575869319 6740947.885681475 21.25, -36418.15026367945 6740944.0395993935 21.150000000000002, -36416.65743017057 6740937.861676168 21.09, -36415.151207351126 6740931.914955193 21.07, -36413.397312101675 6740926.276832182 21.11)</t>
  </si>
  <si>
    <t>POLYGON Z ((-36413.397312101675 6740926.276832182 21.11, -36413.756495486945 6740926.177073785 21.1, -36416.00303476374 6740931.146923145 21.21, -36416.96365900978 6740933.182412064 21.26, -36418.90061518503 6740937.215129015 21.35, -36420.392589989235 6740940.544424852 21.42, -36420.30347349448 6740941.50460341 21.43, -36420.99015727709 6740948.345702423 21.47, -36421.715403357055 6740955.61817114 21.52, -36422.12491936702 6740959.489316145 21.55, -36422.2955296936 6740960.406214756 21.56, -36421.60992887034 6740963.722567181 21.55, -36420.4445326007 6740968.732902888 21.55, -36419.50231737527 6740973.0458682 21.55, -36419.209491111105 6740974.848170349 21.580000000000002, -36418.95473523333 6740976.7371117 21.63, -36418.46688737371 6740976.67621805 21.580000000000002, -36419.01111806696 6740967.368577549 21.38, -36419.03363859549 6740960.042791191 21.37, -36419.08657396177 6740954.596781952 21.26, -36418.73575869319 6740947.885681475 21.25, -36418.15026367945 6740944.0395993935 21.150000000000002, -36416.65743017057 6740937.861676168 21.09, -36415.151207351126 6740931.914955193 21.07, -36413.397312101675 6740926.276832182 21.11))</t>
  </si>
  <si>
    <t>['FV563 S1D1 m6414-6471']</t>
  </si>
  <si>
    <t>LINESTRING Z (-36344.19126759423 6741579.810051542 16.81, -36344.72026613902 6741579.866803864 16.81, -36344.92730223539 6741580.951200189 16.7, -36345.73529482691 6741584.870233419 16.31, -36346.48708471004 6741588.061354643 16.03, -36347.66353017732 6741592.652396124 15.68, -36348.32202684658 6741595.71842605 15.540000000000001, -36348.57689130376 6741598.005955323 15.4, -36349.654019519454 6741608.918174854 14.32, -36350.459320060094 6741617.5201213695 13.59, -36350.33857337828 6741622.317625524 14.19, -36349.89238396438 6741632.065294829 13.65, -36349.74074780033 6741634.638293212 12.450000000000001, -36349.741260202136 6741636.027139989 12.39, -36349.39219397295 6741636.057409121 12.38, -36348.889418892795 6741632.061172836 12.61, -36347.71734131966 6741620.060602814 13.5, -36346.59334210155 6741607.590593971 14.51, -36345.09983788675 6741590.626767322 15.89, -36344.19126759423 6741579.810051542 16.81)</t>
  </si>
  <si>
    <t>POLYGON Z ((-36344.19126759423 6741579.810051542 16.81, -36344.72026613902 6741579.866803864 16.81, -36344.92730223539 6741580.951200189 16.7, -36345.73529482691 6741584.870233419 16.31, -36346.48708471004 6741588.061354643 16.03, -36347.66353017732 6741592.652396124 15.68, -36348.32202684658 6741595.71842605 15.540000000000001, -36348.57689130376 6741598.005955323 15.4, -36349.654019519454 6741608.918174854 14.32, -36350.459320060094 6741617.5201213695 13.59, -36350.33857337828 6741622.317625524 14.19, -36349.89238396438 6741632.065294829 13.65, -36349.74074780033 6741634.638293212 12.450000000000001, -36349.741260202136 6741636.027139989 12.39, -36349.39219397295 6741636.057409121 12.38, -36348.889418892795 6741632.061172836 12.61, -36347.71734131966 6741620.060602814 13.5, -36346.59334210155 6741607.590593971 14.51, -36345.09983788675 6741590.626767322 15.89, -36344.19126759423 6741579.810051542 16.81))</t>
  </si>
  <si>
    <t>['FV563 S1D1 m7116-7168']</t>
  </si>
  <si>
    <t>LINESTRING Z (-36192.1224500502 6742233.045776193 12.51, -36192.35615864652 6742233.181178134 10.43, -36190.04875042825 6742238.167113704 10.64, -36187.35711311689 6742244.120937246 10.98, -36186.4743602135 6742246.354317882 11.02, -36185.84996241063 6742246.952712106 11.05, -36175.350630261935 6742262.18031599 11.44, -36174.847282916075 6742263.130858379 11.46, -36172.81836224347 6742265.856242964 11.6, -36162.8096923487 6742275.904319308 12.280000000000001, -36162.47363595164 6742275.845246792 12.39, -36168.96813814307 6742266.400519815 11.86, -36180.889249937376 6742249.484331167 11.19, -36192.1224500502 6742233.045776193 12.51)</t>
  </si>
  <si>
    <t>POLYGON Z ((-36192.1224500502 6742233.045776193 12.51, -36192.35615864652 6742233.181178134 10.43, -36190.04875042825 6742238.167113704 10.64, -36187.35711311689 6742244.120937246 10.98, -36186.4743602135 6742246.354317882 11.02, -36185.84996241063 6742246.952712106 11.05, -36175.350630261935 6742262.18031599 11.44, -36174.847282916075 6742263.130858379 11.46, -36172.81836224347 6742265.856242964 11.6, -36162.8096923487 6742275.904319308 12.280000000000001, -36162.47363595164 6742275.845246792 12.39, -36168.96813814307 6742266.400519815 11.86, -36180.889249937376 6742249.484331167 11.19, -36192.1224500502 6742233.045776193 12.51))</t>
  </si>
  <si>
    <t>['FV563 S1D1 m5431-5486']</t>
  </si>
  <si>
    <t>LINESTRING Z (-36441.51836756326 6740673.397789367 20.68, -36441.74051743292 6740673.612599835 20.77, -36440.15811542375 6740675.429885777 20.990000000000002, -36436.556273744674 6740679.629321488 21.37, -36431.145466943504 6740686.018536273 21.57, -36430.37237052177 6740686.524334319 21.52, -36427.26602574182 6740688.991522706 21.71, -36418.80722070148 6740696.193948456 22.3, -36416.533722300665 6740698.093078529 22.42, -36415.84794893279 6740698.834604596 22.47, -36408.998590476345 6740703.128883724 22.46, -36403.94107973634 6740706.325689098 22.45, -36402.14615148411 6740707.513946651 22.45, -36399.99291442742 6740709.004831063 22.45, -36399.91030801996 6740708.597460359 22.45, -36407.24790142919 6740701.57645183 22.44, -36422.792137641576 6740688.806443894 21.8, -36441.51836756326 6740673.397789367 20.68)</t>
  </si>
  <si>
    <t>POLYGON Z ((-36441.51836756326 6740673.397789367 20.68, -36441.74051743292 6740673.612599835 20.77, -36440.15811542375 6740675.429885777 20.990000000000002, -36436.556273744674 6740679.629321488 21.37, -36431.145466943504 6740686.018536273 21.57, -36430.37237052177 6740686.524334319 21.52, -36427.26602574182 6740688.991522706 21.71, -36418.80722070148 6740696.193948456 22.3, -36416.533722300665 6740698.093078529 22.42, -36415.84794893279 6740698.834604596 22.47, -36408.998590476345 6740703.128883724 22.46, -36403.94107973634 6740706.325689098 22.45, -36402.14615148411 6740707.513946651 22.45, -36399.99291442742 6740709.004831063 22.45, -36399.91030801996 6740708.597460359 22.45, -36407.24790142919 6740701.57645183 22.44, -36422.792137641576 6740688.806443894 21.8, -36441.51836756326 6740673.397789367 20.68))</t>
  </si>
  <si>
    <t>['FV563 S1D1 m7601-7654']</t>
  </si>
  <si>
    <t>LINESTRING Z (-35958.92587838194 6742698.233844641 23.36, -35958.17801568436 6742697.800555314 23.32, -35964.04467570654 6742688.142811408 22.81, -35967.353620299255 6742683.170965433 22.54, -35968.03015890217 6742682.701812903 22.48, -35972.915009664604 6742678.32438511 22.2, -35981.64715937653 6742670.290218943 21.47, -35982.28186950018 6742669.5514132045 21.41, -35985.57734687894 6742667.456510743 21.27, -35991.92120075598 6742663.362502883 20.86, -35996.306946106255 6742660.463352199 20.57, -35996.94215053029 6742661.113386692 20.52, -35991.07390828349 6742666.118025188 21.2, -35983.56318343757 6742672.586496278 21.45, -35974.37933655619 6742681.355707805 22.13, -35968.358738846146 6742687.615418053 22.6, -35962.998971156776 6742693.444235375 22.98, -35958.92587838194 6742698.233844641 23.36)</t>
  </si>
  <si>
    <t>POLYGON Z ((-35958.92587838194 6742698.233844641 23.36, -35958.17801568436 6742697.800555314 23.32, -35964.04467570654 6742688.142811408 22.81, -35967.353620299255 6742683.170965433 22.54, -35968.03015890217 6742682.701812903 22.48, -35972.915009664604 6742678.32438511 22.2, -35981.64715937653 6742670.290218943 21.47, -35982.28186950018 6742669.5514132045 21.41, -35985.57734687894 6742667.456510743 21.27, -35991.92120075598 6742663.362502883 20.86, -35996.306946106255 6742660.463352199 20.57, -35996.94215053029 6742661.113386692 20.52, -35991.07390828349 6742666.118025188 21.2, -35983.56318343757 6742672.586496278 21.45, -35974.37933655619 6742681.355707805 22.13, -35968.358738846146 6742687.615418053 22.6, -35962.998971156776 6742693.444235375 22.98, -35958.92587838194 6742698.233844641 23.36))</t>
  </si>
  <si>
    <t>['FV563 S1D1 m8676-8728']</t>
  </si>
  <si>
    <t>LINESTRING Z (-36305.186266070465 6743462.822140437 23.03, -36305.60192717018 6743462.821851862 22.91, -36306.56353548332 6743471.254000843 22.59, -36307.87728886923 6743482.697452955 22.13, -36308.881012856145 6743489.7266859645 21.67, -36310.90899371577 6743499.885377996 21.31, -36312.89910259796 6743507.798266718 21.05, -36315.030979946256 6743514.1808330435 20.94, -36314.683358815964 6743514.201167274 20.990000000000002, -36312.99816893984 6743511.01600264 21.080000000000002, -36310.777430032496 6743507.053387945 21.22, -36309.65515844326 6743505.0145935565 21.31, -36307.88506388257 6743501.229115443 21.42, -36307.11532877956 6743498.927413541 21.52, -36307.1366292967 6743497.876262234 21.56, -36306.45691053057 6743493.773137532 21.73, -36305.59919179173 6743487.829558145 21.98, -36304.38306118827 6743479.6137683345 22.32, -36304.141163612716 6743478.838535444 22.36, -36304.28447335621 6743477.784878632 22.38, -36304.600779759 6743473.107077482 22.55, -36305.10694543028 6743466.429515869 22.89, -36305.186266070465 6743462.822140437 23.03)</t>
  </si>
  <si>
    <t>POLYGON Z ((-36305.186266070465 6743462.822140437 23.03, -36305.60192717018 6743462.821851862 22.91, -36306.56353548332 6743471.254000843 22.59, -36307.87728886923 6743482.697452955 22.13, -36308.881012856145 6743489.7266859645 21.67, -36310.90899371577 6743499.885377996 21.31, -36312.89910259796 6743507.798266718 21.05, -36315.030979946256 6743514.1808330435 20.94, -36314.683358815964 6743514.201167274 20.990000000000002, -36312.99816893984 6743511.01600264 21.080000000000002, -36310.777430032496 6743507.053387945 21.22, -36309.65515844326 6743505.0145935565 21.31, -36307.88506388257 6743501.229115443 21.42, -36307.11532877956 6743498.927413541 21.52, -36307.1366292967 6743497.876262234 21.56, -36306.45691053057 6743493.773137532 21.73, -36305.59919179173 6743487.829558145 21.98, -36304.38306118827 6743479.6137683345 22.32, -36304.141163612716 6743478.838535444 22.36, -36304.28447335621 6743477.784878632 22.38, -36304.600779759 6743473.107077482 22.55, -36305.10694543028 6743466.429515869 22.89, -36305.186266070465 6743462.822140437 23.03))</t>
  </si>
  <si>
    <t>['FV563 S1D1 m8080-8129']</t>
  </si>
  <si>
    <t>LINESTRING Z (-36125.74173227488 6743019.8953868905 13.26, -36120.53193153732 6743013.83504042 13.05, -36112.38213907275 6743004.852847862 12.74, -36105.588720207685 6742997.902980857 12.48, -36099.88250014116 6742992.327881616 12.280000000000001, -36095.59442816884 6742988.5001289705 12.13, -36091.019933213945 6742984.620529041 13.030000000000001, -36091.36687729764 6742984.326394691 13.1, -36098.521488646744 6742987.821451079 14.31, -36100.126405030955 6742988.703937969 14.58, -36102.90882093832 6742990.619546077 14.47, -36103.586620610324 6742991.2555133505 14.44, -36104.26442028233 6742991.891480635 14.41, -36117.530334653915 6743005.9066718165 13.790000000000001, -36118.335733343265 6743006.571358152 13.75, -36121.16104226292 6743009.9326703055 13.61, -36122.06339683919 6743011.462985633 13.56, -36125.19499556231 6743018.011378029 13.32, -36126.150934372796 6743019.661004051 13.26, -36125.74173227488 6743019.8953868905 13.26)</t>
  </si>
  <si>
    <t>POLYGON Z ((-36125.74173227488 6743019.8953868905 13.26, -36120.53193153732 6743013.83504042 13.05, -36112.38213907275 6743004.852847862 12.74, -36105.588720207685 6742997.902980857 12.48, -36099.88250014116 6742992.327881616 12.280000000000001, -36095.59442816884 6742988.5001289705 12.13, -36091.019933213945 6742984.620529041 13.030000000000001, -36091.36687729764 6742984.326394691 13.1, -36098.521488646744 6742987.821451079 14.31, -36100.126405030955 6742988.703937969 14.58, -36102.90882093832 6742990.619546077 14.47, -36103.586620610324 6742991.2555133505 14.44, -36104.26442028233 6742991.891480635 14.41, -36117.530334653915 6743005.9066718165 13.790000000000001, -36118.335733343265 6743006.571358152 13.75, -36121.16104226292 6743009.9326703055 13.61, -36122.06339683919 6743011.462985633 13.56, -36125.19499556231 6743018.011378029 13.32, -36126.150934372796 6743019.661004051 13.26, -36125.74173227488 6743019.8953868905 13.26))</t>
  </si>
  <si>
    <t>['FV563 S1D1 m8545-8607']</t>
  </si>
  <si>
    <t>LINESTRING Z (-36274.36514833302 6743404.313269028 23.41, -36274.06581048062 6743404.837350515 23.41, -36269.615068686195 6743403.449177356 23.35, -36265.88549327897 6743402.399180973 23.3, -36257.811380639905 6743400.554290041 23.21, -36245.744304123684 6743398.006253279 23.05, -36237.99429883319 6743396.441715187 22.96, -36229.9708815373 6743394.735989496 22.82, -36226.2613536967 6743393.617954094 22.75, -36222.64318856632 6743392.2902092105 22.68, -36218.89964125876 6743390.640093692 22.6, -36215.08217548556 6743388.523046764 22.47, -36215.2243272115 6743387.8949781135 22.39, -36216.40606377588 6743388.411735389 22.42, -36218.19081186934 6743388.894665663 22.45, -36221.467427976895 6743389.57458478 22.52, -36223.93604544632 6743390.025326485 22.580000000000002, -36232.65923331538 6743391.589671302 22.76, -36233.58760316495 6743391.897200859 22.78, -36241.61988735106 6743393.472436042 22.92, -36251.74213744688 6743395.453406788 23.1, -36252.67542268825 6743395.51836325 23.12, -36255.13806586794 6743396.079742616 23.150000000000002, -36256.41656247282 6743396.488946998 23.17, -36257.92838029924 6743397.1754193595 23.18, -36261.83470487001 6743398.96074876 23.23, -36267.530597262084 6743401.543959315 23.34, -36270.0115516067 6743402.675680122 23.35, -36271.69645728846 6743403.356948625 23.37, -36274.36514833302 6743404.313269028 23.41)</t>
  </si>
  <si>
    <t>POLYGON Z ((-36274.36514833302 6743404.313269028 23.41, -36274.06581048062 6743404.837350515 23.41, -36269.615068686195 6743403.449177356 23.35, -36265.88549327897 6743402.399180973 23.3, -36257.811380639905 6743400.554290041 23.21, -36245.744304123684 6743398.006253279 23.05, -36237.99429883319 6743396.441715187 22.96, -36229.9708815373 6743394.735989496 22.82, -36226.2613536967 6743393.617954094 22.75, -36222.64318856632 6743392.2902092105 22.68, -36218.89964125876 6743390.640093692 22.6, -36215.08217548556 6743388.523046764 22.47, -36215.2243272115 6743387.8949781135 22.39, -36216.40606377588 6743388.411735389 22.42, -36218.19081186934 6743388.894665663 22.45, -36221.467427976895 6743389.57458478 22.52, -36223.93604544632 6743390.025326485 22.580000000000002, -36232.65923331538 6743391.589671302 22.76, -36233.58760316495 6743391.897200859 22.78, -36241.61988735106 6743393.472436042 22.92, -36251.74213744688 6743395.453406788 23.1, -36252.67542268825 6743395.51836325 23.12, -36255.13806586794 6743396.079742616 23.150000000000002, -36256.41656247282 6743396.488946998 23.17, -36257.92838029924 6743397.1754193595 23.18, -36261.83470487001 6743398.96074876 23.23, -36267.530597262084 6743401.543959315 23.34, -36270.0115516067 6743402.675680122 23.35, -36271.69645728846 6743403.356948625 23.37, -36274.36514833302 6743404.313269028 23.41))</t>
  </si>
  <si>
    <t>2024-02-08</t>
  </si>
  <si>
    <t>['RV9 S8D1 m1152-1203']</t>
  </si>
  <si>
    <t>LINESTRING (82247.47680239542 6516519.049885085, 82233.01605670259 6516506.644457793, 82224.08945294522 6516498.19266487, 82209.6251965473 6516484.297124887)</t>
  </si>
  <si>
    <t>POINT (82228.32351750268 6516501.924014752)</t>
  </si>
  <si>
    <t>['RV9 S8D1 m1054-1087']</t>
  </si>
  <si>
    <t>LINESTRING (82137.36424437637 6516416.852235172, 82146.46420079912 6516427.638843812, 82154.47895497136 6516437.836334392, 82157.16890177008 6516440.919726711)</t>
  </si>
  <si>
    <t>POINT (82147.30025961611 6516428.85951986)</t>
  </si>
  <si>
    <t>['RV5 S12D1 m311-332']</t>
  </si>
  <si>
    <t>LINESTRING Z (54095.49270569382 6850615.578704961 225.28934317469597, 54113.39664200775 6850606.441983384 225.3892122232914)</t>
  </si>
  <si>
    <t>POINT (54104.44467385078 6850611.010344172)</t>
  </si>
  <si>
    <t>['RV5 S12D1 m317-328']</t>
  </si>
  <si>
    <t>LINESTRING Z (54100.637841517455 6850607.174997028 225.3293626728654, 54089.93770723004 6850586.910772874 225.3296949762106)</t>
  </si>
  <si>
    <t>POINT (54095.28777437375 6850597.042884952)</t>
  </si>
  <si>
    <t>2025-11-22T09:21:05Z</t>
  </si>
  <si>
    <t>[5916]</t>
  </si>
  <si>
    <t>['FV5916 S1D1 m11450-11456']</t>
  </si>
  <si>
    <t>LINESTRING (75869.95754805894 6949164.084326194, 75873.8964070825 6949159.767437087)</t>
  </si>
  <si>
    <t>POINT (75871.92697757072 6949161.925881641)</t>
  </si>
  <si>
    <t>['FV540 S1D1 m3766-3794', 'FV540 S1D1 m3755 SD1 m0-12', 'FV540 S1D1 m3755 SD2 m106-132']</t>
  </si>
  <si>
    <t>LINESTRING Z (-34673.56965962262 6729898.89283198 41.67, -34671.847690491704 6729900.648775467 41.53, -34670.89532861684 6729901.699671908 41.550000000000004, -34669.969421407906 6729902.571697357 41.56, -34668.70559884538 6729903.614210875 41.57, -34667.885211096145 6729904.213887996 41.910000000000004, -34667.00123551919 6729904.848028652 41.92, -34666.45243086736 6729905.34164552 41.79, -34666.14074576972 6729905.665614314 41.59, -34665.845377631136 6729906.031365122 41.2, -34665.36999929673 6729906.713001041 41.95, -34664.49182893371 6729908.163496135 41.980000000000004, -34662.603663658374 6729911.294137715 41.83, -34661.29273692204 6729913.510747453 41.96, -34660.79181869619 6729914.361266181 42.1, -34660.52268078714 6729914.880497666 42.11, -34660.37804891972 6729915.249982488 41.38, -34660.25064881728 6729915.651261224 42.13, -34660.164115916356 6729916.046211104 42.15, -34660.09755921096 6729916.4429906 42.160000000000004, -34660.06096679822 6729916.842514529 41.96, -34660.07164525951 6729917.165792916 41.84, -34660.13928342913 6729917.856876129 41.47, -34660.22971703939 6729918.40904078 42.230000000000004, -34660.26662573207 6729918.885799877 41.51, -34660.274484939175 6729919.349826447 41.52, -34660.26343239448 6729919.580467518 41.93, -34660.2423917515 6729919.810193777 41.94, -34660.174005412846 6729920.226949468 41.95, -34660.108438323135 6729920.502956976 42.19, -34659.96686712676 6729921.718760522 42.18, -34660.65961334086 6729920.533295365 41.57, -34673.56965962262 6729898.89283198 41.67)</t>
  </si>
  <si>
    <t>POLYGON Z ((-34673.56965962262 6729898.89283198 41.67, -34671.847690491704 6729900.648775467 41.53, -34670.89532861684 6729901.699671908 41.550000000000004, -34669.969421407906 6729902.571697357 41.56, -34668.70559884538 6729903.614210875 41.57, -34667.885211096145 6729904.213887996 41.910000000000004, -34667.00123551919 6729904.848028652 41.92, -34666.45243086736 6729905.34164552 41.79, -34666.14074576972 6729905.665614314 41.59, -34665.845377631136 6729906.031365122 41.2, -34665.36999929673 6729906.713001041 41.95, -34664.49182893371 6729908.163496135 41.980000000000004, -34662.603663658374 6729911.294137715 41.83, -34661.29273692204 6729913.510747453 41.96, -34660.79181869619 6729914.361266181 42.1, -34660.52268078714 6729914.880497666 42.11, -34660.37804891972 6729915.249982488 41.38, -34660.25064881728 6729915.651261224 42.13, -34660.164115916356 6729916.046211104 42.15, -34660.09755921096 6729916.4429906 42.160000000000004, -34660.06096679822 6729916.842514529 41.96, -34660.07164525951 6729917.165792916 41.84, -34660.13928342913 6729917.856876129 41.47, -34660.22971703939 6729918.40904078 42.230000000000004, -34660.26662573207 6729918.885799877 41.51, -34660.274484939175 6729919.349826447 41.52, -34660.26343239448 6729919.580467518 41.93, -34660.2423917515 6729919.810193777 41.94, -34660.174005412846 6729920.226949468 41.95, -34660.108438323135 6729920.502956976 42.19, -34659.96686712676 6729921.718760522 42.18, -34660.65961334086 6729920.533295365 41.57, -34673.56965962262 6729898.89283198 41.67))</t>
  </si>
  <si>
    <t>2024-04-25</t>
  </si>
  <si>
    <t>['FV450 S20D1 m882-928']</t>
  </si>
  <si>
    <t>LINESTRING Z (-8169.601904735493 6554865.345582957 13.2, -8188.728056071559 6554883.49074952 13.244, -8203.287612902408 6554897.085987614 13.341)</t>
  </si>
  <si>
    <t>POINT (-8186.413950347534 6554881.248518097)</t>
  </si>
  <si>
    <t>['FV450 S20D1 m848-897']</t>
  </si>
  <si>
    <t>LINESTRING Z (-8140.797952413675 6554846.648360187 13.195, -8160.999988763942 6554865.6685799975 13.203, -8176.2664564410225 6554880.101214332 13.165)</t>
  </si>
  <si>
    <t>POINT (-8158.540628565942 6554863.365858077)</t>
  </si>
  <si>
    <t>['EV134 S14D1 m3978-4043']</t>
  </si>
  <si>
    <t>LINESTRING Z (50728.59910265362 6661632.815638012 1055.41, 50728.29520318133 6661633.778101824 1055.43, 50728.00239379314 6661634.749388147 1055.44, 50727.83891099173 6661635.262189603 1055.44, 50727.70845062728 6661635.710718185 1055.45, 50727.415641256666 6661636.682004516 1055.46, 50727.11174181901 6661637.644468351 1055.47, 50726.81779867876 6661638.605798406 1055.48, 50726.52498933481 6661639.577084756 1055.48, 50726.35721920425 6661640.140801459 1055.49, 50726.231046212255 6661640.538414821 1055.49, 50725.93823688553 6661641.509701183 1055.5, 50725.644293780264 6661642.47103126 1055.51, 50725.350350683846 6661643.432361344 1055.52, 50725.05754138355 6661644.403647722 1055.53, 50724.75364201539 6661645.366111602 1055.54, 50724.682423822815 6661645.626356707 1055.54, 50724.460832732904 6661646.337397993 1055.55, 50724.16688967118 6661647.2987281 1055.55, 50723.86412411736 6661648.27114829 1055.56, 50723.57018107275 6661649.232478407 1055.57, 50723.266281748016 6661650.19494232 1055.57, 50722.96351622074 6661651.167362529 1055.58, 50722.65961691289 6661652.129826451 1055.58, 50722.35571761441 6661653.092290383 1055.59, 50722.04299582372 6661654.065844396 1055.59, 50721.73909654224 6661655.028308338 1055.6, 50721.42524098058 6661655.991906076 1055.6, 50721.11138542701 6661656.955503819 1055.6100000000001, 50720.69116425514 6661657.870701723 1055.6, 50720.481053671916 6661658.32830068 1055.6, 50720.26980930095 6661658.775943348 1055.6, 50719.83963185357 6661659.6922750585 1055.6, 50719.419410702365 6661660.607472989 1055.6, 50719.09372165933 6661661.290027087 1055.6, 50718.98809947877 6661661.513848426 1055.6, 50718.56787834113 6661662.429046369 1055.6, 50718.13656713115 6661663.335421825 1055.6, 50717.705255927576 6661664.241797283 1055.59, 50717.275078520994 6661665.158129046 1055.59, 50716.83381104126 6661666.065638312 1055.59, 50716.402499857766 6661666.972013799 1055.59, 50715.97118868091 6661667.878389291 1055.59, 50715.529921220965 6661668.785898584 1055.59, 50715.088653767365 6661669.693407884 1055.58, 50714.64625252987 6661670.590960901 1055.58, 50714.21494137921 6661671.497336429 1055.58, 50713.763717655675 6661672.405979543 1055.58, 50713.321316437214 6661673.3035325855 1055.58, 50712.88004901615 6661674.211041925 1055.57, 50712.43764781067 6661675.108594986 1055.57, 50711.98529032181 6661676.007281844 1055.57, 50711.944579201634 6661676.092601118 1055.57, 50711.53406663035 6661676.915925 1055.57, 50711.09166544379 6661677.813478082 1055.57, 50710.860508563055 6661678.2633884195 1055.57, 50710.63930797408 6661678.712164969 1055.57, 50710.18695050996 6661679.610851858 1055.57, 50709.55286441394 6661680.419294026 1055.56, 50708.91877832025 6661681.227736203 1055.56, 50708.28469222959 6661682.03617839 1055.56, 50707.64947234967 6661682.834664299 1055.55, 50707.015386264364 6661683.643106508 1055.55, 50706.38016638922 6661684.4415924335 1055.55, 50705.734990226396 6661685.241212168 1055.55, 50705.099770356435 6661686.039698117 1055.55, 50704.45459419873 6661686.839317871 1055.55, 50703.819374333485 6661687.637803842 1055.55, 50703.17419818038 6661688.437423615 1055.55, 50702.53784452763 6661689.225953316 1055.55, 50701.89266837924 6661690.025573111 1055.56, 50701.24635844055 6661690.815236625 1055.56, 50700.60118229664 6661691.614856441 1055.57)</t>
  </si>
  <si>
    <t>POINT (50716.833022678664 6661663.360252914)</t>
  </si>
  <si>
    <t>['EV39 S59D1 m3297-3397']</t>
  </si>
  <si>
    <t>LINESTRING Z (7759.115844420157 6837184.515887363 211.864, 7767.738353226392 6837189.63774922 212.192, 7785.54553214414 6837198.8585655745 212.893, 7794.224463506485 6837203.833314631 213.25, 7811.012670678552 6837214.775400487 213.9, 7819.1631180167315 6837220.574561033 214.22400000000002, 7834.739644778485 6837233.19528016 214.83100000000002, 7842.8177681935485 6837239.136787914 215.135, 7759.115844420157 6837184.515887363 211.864)</t>
  </si>
  <si>
    <t>POLYGON Z ((7759.115844420157 6837184.515887363 211.864, 7767.738353226392 6837189.63774922 212.192, 7785.54553214414 6837198.8585655745 212.893, 7794.224463506485 6837203.833314631 213.25, 7811.012670678552 6837214.775400487 213.9, 7819.1631180167315 6837220.574561033 214.22400000000002, 7834.739644778485 6837233.19528016 214.83100000000002, 7842.8177681935485 6837239.136787914 215.135, 7759.115844420157 6837184.515887363 211.864))</t>
  </si>
  <si>
    <t>['EV39 S59D1 m3077-3177']</t>
  </si>
  <si>
    <t>LINESTRING Z (7943.599971558608 6837304.860403908 219.077, 7952.209364916431 6837310.003418208 219.417, 7970.0017486799625 6837319.25472818 220.114, 7978.7012143637985 6837324.189956503 220.463, 7995.495177937497 6837335.12303722 221.118, 8003.656734978023 6837340.901286553 221.424, 8019.227730534039 6837353.525803211 222.084, 8027.2301166640245 6837359.572643245 222.44, 7943.599971558608 6837304.860403908 219.077)</t>
  </si>
  <si>
    <t>POLYGON Z ((7943.599971558608 6837304.860403908 219.077, 7952.209364916431 6837310.003418208 219.417, 7970.0017486799625 6837319.25472818 220.114, 7978.7012143637985 6837324.189956503 220.463, 7995.495177937497 6837335.12303722 221.118, 8003.656734978023 6837340.901286553 221.424, 8019.227730534039 6837353.525803211 222.084, 8027.2301166640245 6837359.572643245 222.44, 7943.599971558608 6837304.860403908 219.077))</t>
  </si>
  <si>
    <t>['EV39 S59D1 m2857-2958']</t>
  </si>
  <si>
    <t>LINESTRING Z (8116.492585713626 6837438.309233489 226.174, 8123.623955234361 6837445.366552495 226.507, 8142.891845809761 6837468.461882266 227.39000000000001, 8163.440611466882 6837490.391271138 228.441, 8177.957599596819 6837504.222321726 229.328, 8184.898982611368 6837511.462564024 229.734, 8116.492585713626 6837438.309233489 226.174)</t>
  </si>
  <si>
    <t>2025-11-22T09:21:08Z</t>
  </si>
  <si>
    <t>['FV6838 S2D1 m9813-9832']</t>
  </si>
  <si>
    <t>LINESTRING Z (265673.09835923964 7066743.047901391 153.828, 265667.8427872741 7066742.789932929 153.874, 265664.72848260147 7066745.046008057 153.947, 265662.9728735923 7066748.058605467 153.946, 265661.46101136267 7066752.891515541 154.079, 265660.6511917898 7066754.80499154 154.048, 265657.87326066964 7066757.484684948 154.127, 265654.13262276584 7066759.664048389 154.21, 265650.57337870356 7066758.5820323955 154.246, 265646.0976389855 7066756.946087968 154.612, 265644.1165469367 7066755.3647257 154.487, 265641.4972758032 7066750.922772885 154.413, 265641.3228220538 7066749.550218662 154.263, 265641.7704654342 7066746.287892669 154.294, 265642.779582608 7066741.666138776 154.258, 265643.90384873 7066739.132088017 154.17, 265645.8092011382 7066737.357684228 154.136, 265647.64684826287 7066736.3906797655 154.145, 265649.60657622427 7066736.229286985 154.138, 265651.9176071053 7066736.062960329 154.057, 265653.46313542116 7066735.729504084 153.991, 265654.72122706886 7066735.1185799595 153.958, 265656.3677410396 7066733.818808411 153.925, 265657.83157896635 7066732.3935188 153.954, 265658.9521902681 7066731.005569342 153.985, 265659.4879226859 7066729.895807458 153.999)</t>
  </si>
  <si>
    <t>POLYGON Z ((265673.09835923964 7066743.047901391 153.828, 265667.8427872741 7066742.789932929 153.874, 265664.72848260147 7066745.046008057 153.947, 265662.9728735923 7066748.058605467 153.946, 265661.46101136267 7066752.891515541 154.079, 265660.6511917898 7066754.80499154 154.048, 265657.87326066964 7066757.484684948 154.127, 265654.13262276584 7066759.664048389 154.21, 265650.57337870356 7066758.5820323955 154.246, 265646.0976389855 7066756.946087968 154.612, 265644.1165469367 7066755.3647257 154.487, 265641.4972758032 7066750.922772885 154.413, 265641.3228220538 7066749.550218662 154.263, 265641.7704654342 7066746.287892669 154.294, 265642.779582608 7066741.666138776 154.258, 265643.90384873 7066739.132088017 154.17, 265645.8092011382 7066737.357684228 154.136, 265647.64684826287 7066736.3906797655 154.145, 265649.60657622427 7066736.229286985 154.138, 265651.9176071053 7066736.062960329 154.057, 265653.46313542116 7066735.729504084 153.991, 265654.72122706886 7066735.1185799595 153.958, 265656.3677410396 7066733.818808411 153.925, 265657.83157896635 7066732.3935188 153.954, 265658.9521902681 7066731.005569342 153.985, 265659.4879226859 7066729.895807458 153.999, 265673.09835923964 7066743.047901391 153.828))</t>
  </si>
  <si>
    <t>2024-08-07</t>
  </si>
  <si>
    <t>['EV39 S95D1 m2239-2252']</t>
  </si>
  <si>
    <t>LINESTRING Z (-44296.513976859394 6598915.622325785 6.588778440058231, -44294.6841300244 6598911.781553739 6.578780973255634, -44293.777801416116 6598908.073504376 6.578783506453037, -44293.6782051468 6598905.028705549 6.55878565222025, -44294.157480263966 6598901.975879986 6.548787865042686, -44294.81633236166 6598899.648204898 6.568789578676224)</t>
  </si>
  <si>
    <t>POINT (-44294.467905147234 6598907.754300809)</t>
  </si>
  <si>
    <t>['EV39 S95D1 m2207-2223']</t>
  </si>
  <si>
    <t>LINESTRING Z (-44291.47280811414 6598929.401600363 6.688768158257008, -44289.398503729375 6598929.448096934 6.728767912387848, -44286.87703782332 6598929.785069084 6.768767413198948, -44284.4218723845 6598930.577527215 6.778766608536244, -44281.77779292804 6598931.626626887 6.828765595257282, -44279.33196210442 6598933.1299045 6.898764276504517, -44277.45923462161 6598934.73581598 6.93876294285059, -44275.92259112839 6598936.542058484 6.9987615048885345, -44273.98237155366 6598939.111268692 7.028759485781193)</t>
  </si>
  <si>
    <t>POINT (-44281.87313579813 6598932.695712613)</t>
  </si>
  <si>
    <t>2024-08-15</t>
  </si>
  <si>
    <t>['EV6 S13D1 m2882-2893']</t>
  </si>
  <si>
    <t>LINESTRING (260898.98454688155 6627539.529226648, 260907.1453458366 6627546.746144249)</t>
  </si>
  <si>
    <t>POINT (260903.06494635908 6627543.137685448)</t>
  </si>
  <si>
    <t>['EV6 S13D1 m3656-3666']</t>
  </si>
  <si>
    <t>LINESTRING (261421.03879419976 6628108.346417178, 261426.44695133663 6628116.315177428)</t>
  </si>
  <si>
    <t>POINT (261423.7428727682 6628112.3307973035)</t>
  </si>
  <si>
    <t>['EV6 S13D1 m3909-3921']</t>
  </si>
  <si>
    <t>LINESTRING (261558.65939553134 6628319.91708584, 261565.0476640058 6628328.876958755)</t>
  </si>
  <si>
    <t>POINT (261561.8535297686 6628324.397022299)</t>
  </si>
  <si>
    <t>['EV6 S13D1 m4157-4167']</t>
  </si>
  <si>
    <t>LINESTRING (261701.2449012702 6628522.770553281, 261707.2206211096 6628530.90995226)</t>
  </si>
  <si>
    <t>POINT (261704.2327611899 6628526.84025277)</t>
  </si>
  <si>
    <t>['EV6 S13D1 m4910-4920']</t>
  </si>
  <si>
    <t>LINESTRING (262131.00204893565 6629140.946350914, 262136.61898156267 6629149.711623864)</t>
  </si>
  <si>
    <t>POINT (262133.81051524915 6629145.328987391)</t>
  </si>
  <si>
    <t>['EV6 S13D1 m7291-7302']</t>
  </si>
  <si>
    <t>LINESTRING (262126.2533426937 6629156.856411379, 262120.36360373828 6629148.259575751)</t>
  </si>
  <si>
    <t>POINT (262123.308473216 6629152.557993564)</t>
  </si>
  <si>
    <t>['EV6 S13D1 m8545-8556']</t>
  </si>
  <si>
    <t>LINESTRING (261403.37420338835 6628131.753242275, 261397.28054633547 6628123.120589753)</t>
  </si>
  <si>
    <t>POINT (261400.32737486192 6628127.436916015)</t>
  </si>
  <si>
    <t>['EV6 S13D1 m9313-9324']</t>
  </si>
  <si>
    <t>LINESTRING (260889.31168953137 6627549.411067128, 260897.24405596103 6627556.604851419)</t>
  </si>
  <si>
    <t>POINT (260893.2778727462 6627553.007959274)</t>
  </si>
  <si>
    <t>['EV6 S13D1 m8046-8056']</t>
  </si>
  <si>
    <t>LINESTRING (261695.35540147263 6628538.6335123945, 261690.17270286448 6628529.908963047)</t>
  </si>
  <si>
    <t>POINT (261692.76405216855 6628534.271237722)</t>
  </si>
  <si>
    <t>['EV6 S13D1 m8292-8303']</t>
  </si>
  <si>
    <t>LINESTRING (261547.84651636356 6628326.692190365, 261554.34596653207 6628335.175835844)</t>
  </si>
  <si>
    <t>POINT (261551.0962414478 6628330.934013104)</t>
  </si>
  <si>
    <t>2024-08-16</t>
  </si>
  <si>
    <t>['FV465 S4D1 m2327-2369']</t>
  </si>
  <si>
    <t>LINESTRING Z (24150.01930152293 6488164.44442622 2.99, 24151.114008667995 6488165.346047102 3, 24158.89438877633 6488170.116713806 2.96, 24167.954615021183 6488175.7351578465 2.85, 24174.297311774397 6488179.68820813 2.75, 24179.312970622792 6488182.819685989 2.64, 24184.974704991735 6488186.343957495 2.48)</t>
  </si>
  <si>
    <t>POINT (24167.45815644123 6488175.445153985)</t>
  </si>
  <si>
    <t>2024-09-18</t>
  </si>
  <si>
    <t>['EV134 S14D1 m7724-7813']</t>
  </si>
  <si>
    <t>LINESTRING Z (54065.80728913541 6660693.194303923 1110.71, 54036.72267287318 6660696.122832158 1110.74, 54006.421087406285 6660695.892121814 1110.49, 53976.88337632484 6660692.538829737 1110.1200000000001)</t>
  </si>
  <si>
    <t>POINT (54021.3315144737 6660694.968928455)</t>
  </si>
  <si>
    <t>['EV134 S14D1 m5994-6045']</t>
  </si>
  <si>
    <t>LINESTRING Z (52298.30374571099 6660679.529183092 1093.29, 52287.282444062585 6660680.431155726 1093.2, 52258.21965725004 6660680.1904290365 1092.8600000000001, 52247.21081141132 6660679.164703969 1092.74)</t>
  </si>
  <si>
    <t>POINT (52272.75303089337 6660680.102553265)</t>
  </si>
  <si>
    <t>['EV134 S14D1 m8352-8403']</t>
  </si>
  <si>
    <t>LINESTRING Z (54655.47095662489 6660697.826485141 1095.1200000000001, 54645.27084033645 6660698.675300885 1095.38, 54615.34776868945 6660698.401512949 1096.23, 54605.137042384245 6660697.385814008 1096.55)</t>
  </si>
  <si>
    <t>POINT (54630.2979807435 6660698.348830424)</t>
  </si>
  <si>
    <t>['EV134 S14D1 m6546-6643']</t>
  </si>
  <si>
    <t>LINESTRING Z (52896.13146811939 6660684.201233312 1099.32, 52886.105988317344 6660684.636836671 1099.23, 52858.03781968594 6660687.106725431 1099.06, 52826.79447287606 6660686.579798593 1098.72, 52799.314260781975 6660683.4964038525 1098.3500000000001)</t>
  </si>
  <si>
    <t>POINT (52847.692481455604 6660685.796867084)</t>
  </si>
  <si>
    <t>['EV134 S14D1 m8911-9001']</t>
  </si>
  <si>
    <t>LINESTRING Z (55253.93635493895 6660702.646029215 1076.6100000000001, 55223.393512763316 6660705.51873696 1077.53, 55193.072138251795 6660705.19956067 1078.51, 55163.934401749575 6660701.901656313 1079.33)</t>
  </si>
  <si>
    <t>POINT (55208.91705267173 6660704.338369054)</t>
  </si>
  <si>
    <t>['EV134 S15D1 m1270-1331']</t>
  </si>
  <si>
    <t>LINESTRING Z (57082.87787451543 6661018.627803618 1005.62, 57098.7500016641 6661025.170610999 1004.87, 57115.46002868051 6661031.809614528 1004.0600000000001, 57117.07506741438 6661032.442573836 1003.98, 57118.23657892621 6661032.723786876 1003.9300000000001, 57119.57793130586 6661032.813081065 1003.84, 57121.184190747445 6661032.660431022 1003.77, 57122.35417483898 6661032.3961038245 1003.74, 57123.6385977086 6661031.896881456 1003.7, 57124.76865700947 6661031.193372357 1003.6800000000001, 57125.491421443876 6661030.455563955 1003.7, 57127.5775979663 6661027.343863731 1003.78, 57136.43689986132 6661027.918360947 1003.89, 57134.24127090484 6661032.282945941 1003.7, 57131.81563091057 6661037.107365815 1003.47, 57131.12106277887 6661038.447047307 1003.41, 57130.910920167225 6661039.701313219 1003.35, 57132.750625193235 6661043.19292224 1003.07, 57135.165780047246 6661045.892904259 1002.87, 57136.60310009692 6661047.09067535 1002.74)</t>
  </si>
  <si>
    <t>POINT (57116.40925390157 6661030.126671507)</t>
  </si>
  <si>
    <t>['EV134 S14D10 m29-88']</t>
  </si>
  <si>
    <t>LINESTRING Z (51759.56962213834 6660634.180854304 1088.96, 51751.80059956323 6660648.942831177 1088.56, 51731.84134340286 6660664.08433825 1088.44, 51710.50379210664 6660669.247078509 1088.34)</t>
  </si>
  <si>
    <t>POINT (51738.33481757147 6660656.096768446)</t>
  </si>
  <si>
    <t>['EV134 S14D1 m7144-7195']</t>
  </si>
  <si>
    <t>LINESTRING Z (53447.84585777612 6660688.425509555 1104.98, 53437.81600095169 6660689.2650196655 1104.84, 53407.60723418958 6660689.053972355 1104.52, 53397.00784918963 6660687.99173549 1104.4)</t>
  </si>
  <si>
    <t>POINT (53422.41993414266 6660688.96422532)</t>
  </si>
  <si>
    <t>['EV134 S15D1 m350-439']</t>
  </si>
  <si>
    <t>LINESTRING Z (56360.492907484295 6660609.251395146 1042.01, 56333.8086430112 6660597.384462209 1043.46, 56307.79045861954 6660582.24479408 1044.69, 56283.555865990464 6660564.612776483 1045.88)</t>
  </si>
  <si>
    <t>POINT (56320.98462084286 6660588.7310958635)</t>
  </si>
  <si>
    <t>['EV134 S14D1 m9515-9565']</t>
  </si>
  <si>
    <t>LINESTRING Z (55789.385939181084 6660567.865388923 1068.08, 55780.66168555425 6660574.677742358 1068.13, 55756.29218534299 6660590.492309229 1068.25, 55747.46067620092 6660595.299905875 1068.29)</t>
  </si>
  <si>
    <t>POINT (55768.80046569705 6660582.155593951)</t>
  </si>
  <si>
    <t>['EV134 S15D1 m848-897']</t>
  </si>
  <si>
    <t>LINESTRING Z (56757.296918635315 6660838.798440734 1021.61, 56746.440797548275 6660833.529927152 1022.16, 56722.82216598425 6660819.801319851 1023.3100000000001, 56714.63342531165 6660813.956785433 1023.71)</t>
  </si>
  <si>
    <t>POINT (56735.602316222816 6660826.992466772)</t>
  </si>
  <si>
    <t>2025-11-22T09:21:12Z</t>
  </si>
  <si>
    <t>['EV16 S19D1 m8244-8248']</t>
  </si>
  <si>
    <t>LINESTRING Z (84292.39391572092 6781126.606319502 180.91863015526533, 84289.35795395618 6781124.042211356 180.83464615166187)</t>
  </si>
  <si>
    <t>POINT (84290.87593483855 6781125.324265429)</t>
  </si>
  <si>
    <t>['KV17972 S1D1 m543-563']</t>
  </si>
  <si>
    <t>LINESTRING (261981.9408851251 6650495.166081832, 261984.98443955267 6650493.393708215, 261987.5651259722 6650486.772378314, 261990.27148550714 6650479.767648419, 261988.67434790384 6650476.568003583, 261981.89030259437 6650494.381230766)</t>
  </si>
  <si>
    <t>POLYGON ((261981.9408851251 6650495.166081832, 261984.98443955267 6650493.393708215, 261987.5651259722 6650486.772378314, 261990.27148550714 6650479.767648419, 261988.67434790384 6650476.568003583, 261981.89030259437 6650494.381230766, 261981.9408851251 6650495.166081832))</t>
  </si>
  <si>
    <t>['KV17852 S1D1 m425-470']</t>
  </si>
  <si>
    <t>LINESTRING Z (266035.48486205924 6649082.9677787535 92.81, 266035.00840027374 6649082.1470688535 92.8, 266034.00473858975 6649081.05278192 92.79, 266033.15687581094 6649080.346202079 92.78, 266032.06080717524 6649079.782741896 92.77, 266030.04802229535 6649078.971061013 92.76, 266026.43731454364 6649078.264428148 92.73, 266005.8463173437 6649083.511627861 92.57000000000001, 266003.36698793946 6649084.309635127 92.55, 265999.6846835625 6649085.357634293 92.52, 265990.7230272897 6649089.115839026 92.45, 265990.5273623483 6649089.173809759 92.45, 265990.9295622709 6649089.066927009 92.45, 265991.332667853 6649088.970008642 92.46000000000001, 265991.7466434741 6649088.882148997 92.47, 265992.16061909345 6649088.794289348 92.48, 265992.5655359932 6649088.717299741 92.49, 265992.9813229314 6649088.649368851 92.49, 265993.398015529 6649088.591402343 92.5, 265993.8147081254 6649088.533435838 92.51, 265994.232306381 6649088.485433709 92.52, 265994.64084591676 6649088.448301618 92.52, 265995.0593498301 6649088.410263871 92.53, 266002.26721607376 6649087.905842543 92.52, 266002.63589806977 6649087.872333101 92.52, 266003.0045800648 6649087.838823658 92.53, 266003.3723563978 6649087.795349836 92.52, 266003.7392270693 6649087.74191164 92.52, 266004.1060977397 6649087.688473441 92.51, 266004.4720627483 6649087.625070863 92.49, 266004.8371220953 6649087.5517039085 92.58, 266005.19221706304 6649087.4792426145 92.60000000000001, 266005.5563707475 6649087.395911284 92.59, 266005.8806669189 6649087.316202596 92.56, 266027.1755162764 6649081.743815273 92.85000000000001, 266027.3720868218 6649081.695808947 92.85000000000001, 266027.88298910635 6649081.568999616 92.83, 266028.3938913889 6649081.4421902895 92.84, 266028.9047936696 6649081.3153809635 92.86, 266029.4274716436 6649081.207594729 92.86, 266029.9392795797 6649081.090749777 92.86, 266030.4628632097 6649080.992927926 92.87, 266030.65037503385 6649080.955791633 92.87, 266030.8487568937 6649080.927714058 92.87, 266031.038080037 6649080.91050652 92.87, 266031.23827321606 6649080.902357698 92.87, 266031.4384663947 6649080.894208876 92.88, 266031.63050651713 6649080.906894467 92.9, 266031.83251101465 6649080.9186743945 92.92, 266032.0245511362 6649080.931359985 92.93, 266032.21840257733 6649080.963974328 92.92, 266032.41225401836 6649080.996588669 92.88, 266032.59704674274 6649081.0400730455 92.89, 266032.7927095026 6649081.092616135 92.92, 266032.9784078866 6649081.14606489 92.96000000000001, 266033.16501193016 6649081.209478017 92.96000000000001, 266033.34255725786 6649081.283761183 92.92, 266033.53097262094 6649081.367103061 92.96000000000001, 266033.6994592318 6649081.452256259 92.94, 266033.87881587876 6649081.546468173 92.94, 266034.04820814985 6649081.641585748 92.9, 266034.20854170463 6649081.747573355 92.93, 266034.3697809194 6649081.8635253385 92.87, 266034.5210557585 6649081.9803829845 92.92, 266034.6732362575 6649082.1072050035 92.86, 266034.8254167563 6649082.234027022 92.9, 266034.9685385397 6649082.371719077 92.88, 266035.1026016075 6649082.520281168 92.89, 266035.2257946394 6649082.659784541 92.86, 266035.3507989914 6649082.819216664 92.86, 266035.4748976837 6649082.9686844135 92.84, 266035.5799732851 6649083.129927861 92.83, 266035.6859545463 6649083.301135679 92.82000000000001, 266035.48486205924 6649082.9677787535 92.81)</t>
  </si>
  <si>
    <t>POLYGON Z ((266035.48486205924 6649082.9677787535 92.81, 266035.00840027374 6649082.1470688535 92.8, 266034.00473858975 6649081.05278192 92.79, 266033.15687581094 6649080.346202079 92.78, 266032.06080717524 6649079.782741896 92.77, 266030.04802229535 6649078.971061013 92.76, 266026.43731454364 6649078.264428148 92.73, 266005.8463173437 6649083.511627861 92.57000000000001, 266003.36698793946 6649084.309635127 92.55, 265999.6846835625 6649085.357634293 92.52, 265990.7230272897 6649089.115839026 92.45, 265990.5273623483 6649089.173809759 92.45, 265990.9295622709 6649089.066927009 92.45, 265991.332667853 6649088.970008642 92.46000000000001, 265991.7466434741 6649088.882148997 92.47, 265992.16061909345 6649088.794289348 92.48, 265992.5655359932 6649088.717299741 92.49, 265992.9813229314 6649088.649368851 92.49, 265993.398015529 6649088.591402343 92.5, 265993.8147081254 6649088.533435838 92.51, 265994.232306381 6649088.485433709 92.52, 265994.64084591676 6649088.448301618 92.52, 265995.0593498301 6649088.410263871 92.53, 266002.26721607376 6649087.905842543 92.52, 266002.63589806977 6649087.872333101 92.52, 266003.0045800648 6649087.838823658 92.53, 266003.3723563978 6649087.795349836 92.52, 266003.7392270693 6649087.74191164 92.52, 266004.1060977397 6649087.688473441 92.51, 266004.4720627483 6649087.625070863 92.49, 266004.8371220953 6649087.5517039085 92.58, 266005.19221706304 6649087.4792426145 92.60000000000001, 266005.5563707475 6649087.395911284 92.59, 266005.8806669189 6649087.316202596 92.56, 266027.1755162764 6649081.743815273 92.85000000000001, 266027.3720868218 6649081.695808947 92.85000000000001, 266027.88298910635 6649081.568999616 92.83, 266028.3938913889 6649081.4421902895 92.84, 266028.9047936696 6649081.3153809635 92.86, 266029.4274716436 6649081.207594729 92.86, 266029.9392795797 6649081.090749777 92.86, 266030.4628632097 6649080.992927926 92.87, 266030.65037503385 6649080.955791633 92.87, 266030.8487568937 6649080.927714058 92.87, 266031.038080037 6649080.91050652 92.87, 266031.23827321606 6649080.902357698 92.87, 266031.4384663947 6649080.894208876 92.88, 266031.63050651713 6649080.906894467 92.9, 266031.83251101465 6649080.9186743945 92.92, 266032.0245511362 6649080.931359985 92.93, 266032.21840257733 6649080.963974328 92.92, 266032.41225401836 6649080.996588669 92.88, 266032.59704674274 6649081.0400730455 92.89, 266032.7927095026 6649081.092616135 92.92, 266032.9784078866 6649081.14606489 92.96000000000001, 266033.16501193016 6649081.209478017 92.96000000000001, 266033.34255725786 6649081.283761183 92.92, 266033.53097262094 6649081.367103061 92.96000000000001, 266033.6994592318 6649081.452256259 92.94, 266033.87881587876 6649081.546468173 92.94, 266034.04820814985 6649081.641585748 92.9, 266034.20854170463 6649081.747573355 92.93, 266034.3697809194 6649081.8635253385 92.87, 266034.5210557585 6649081.9803829845 92.92, 266034.6732362575 6649082.1072050035 92.86, 266034.8254167563 6649082.234027022 92.9, 266034.9685385397 6649082.371719077 92.88, 266035.1026016075 6649082.520281168 92.89, 266035.2257946394 6649082.659784541 92.86, 266035.3507989914 6649082.819216664 92.86, 266035.4748976837 6649082.9686844135 92.84, 266035.5799732851 6649083.129927861 92.83, 266035.6859545463 6649083.301135679 92.82000000000001, 266035.48486205924 6649082.9677787535 92.81))</t>
  </si>
  <si>
    <t>['EV134 S17D1 m1729-1779']</t>
  </si>
  <si>
    <t>LINESTRING Z (66766.28383704543 6654066.707498271 976.69, 66767.08103836747 6654066.09242961 976.65, 66767.8682849459 6654065.4784937715 976.62, 66768.6444439654 6654064.855736016 976.58, 66769.42060298298 6654064.232978272 976.5500000000001, 66770.2055839242 6654063.599132984 976.51, 66770.98061012238 6654062.96642052 976.48, 66771.75563631835 6654062.333708066 976.46, 66772.54288288293 6654061.719772289 976.4200000000001, 66773.34777329577 6654061.083661407 976.38, 66774.1350198554 6654060.469725651 976.35, 66774.96888226172 6654059.910987086 976.32, 66775.81383221893 6654059.361070458 976.29, 66776.65878217161 6654058.811153834 976.26, 66777.49491019495 6654058.272324778 976.22, 66778.33986013959 6654057.7224081755 976.19, 66779.17485534004 6654057.1736244 976.16, 66780.0098505367 6654056.624840631 976.13, 66780.83375817467 6654056.0672349455 976.1, 66781.67870810331 6654055.517318387 976.07, 66782.51257047337 6654054.9585799035 976.04, 66783.33647810062 6654054.4009742495 976.01, 66784.17034046323 6654053.84223579 975.98, 66785.00420282182 6654053.283497339 975.95, 66785.8380651765 6654052.724758898 975.91, 66786.66197278822 6654052.167153279 975.88, 66787.49583513534 6654051.60841486 975.84, 66789.16469263128 6654050.5008927835 975.77, 66789.99855496665 6654049.94215439 975.74, 66790.82246255915 6654049.384548821 975.71, 66791.48733491119 6654048.935793737 975.6800000000001, 66791.65632488678 6654048.825810447 975.6800000000001, 66792.49018721038 6654048.267072083 975.65, 66793.2389881364 6654047.758348003 975.61, 66793.81993189926 6654047.36956195 975.59, 66794.65379421302 6654046.810823612 975.5600000000001, 66795.80572698923 6654046.034384348 975.51, 66796.62963455531 6654045.476778846 975.48, 66796.98639115982 6654045.244591926 975.48, 66797.36961353908 6654044.979142358 975.46, 66797.8091659075 6654044.6770317 975.45, 66798.54032296123 6654044.190482775 975.4200000000001, 66799.15339654643 6654043.818207804 975.4, 66800.02618555014 6654043.335708992 975.37, 66800.92883876158 6654042.8498117495 975.34, 66801.80276056664 6654042.37726769 975.3100000000001, 66802.68663710426 6654041.90359083 975.29, 66803.56938082312 6654041.41995924 975.26, 66804.44330261159 6654040.947415207 975.24, 66805.32831194415 6654040.48369311 975.21, 66806.20223372121 6654040.011149093 975.1800000000001, 66807.08497741824 6654039.5275175385 975.16, 66807.95663356013 6654039.035064066 975.13)</t>
  </si>
  <si>
    <t>POINT (66786.74429155061 6654052.302947431)</t>
  </si>
  <si>
    <t>['EV134 S17D1 m1137-1188']</t>
  </si>
  <si>
    <t>LINESTRING Z (66232.25597021438 6654315.55955574 996, 66233.24870211864 6654315.24490945 995.97, 66233.92514634709 6654314.986423868 995.95, 66234.41924659803 6654314.809191142 995.9200000000001, 66235.1133347099 6654314.528530288 995.9, 66235.7897789274 6654314.270044715 995.87, 66237.63992529636 6654313.5149792675 995.8000000000001, 66239.49007163616 6654312.759913849 995.73, 66241.3612603771 6654312.012537557 995.66, 66243.2580229058 6654311.3126695575 995.6, 66245.16724671691 6654310.722304294 995.5400000000001, 66247.08755813236 6654310.140760996 995.49, 66248.99678187573 6654309.550395778 995.4200000000001, 66250.91596037598 6654308.958897737 995.35, 66252.82405120495 6654308.358577775 995.2900000000001, 66254.73214200034 6654307.758257836 995.23, 66256.65245324466 6654307.176714657 995.1700000000001, 66258.55941112619 6654306.566439973 995.12, 66260.46750182047 6654305.966120108 995.0500000000001, 66262.37445963494 6654305.355845474 994.99, 66264.29363789695 6654304.764347596 994.9300000000001, 66266.20172849 6654304.164027801 994.87, 66268.10868620343 6654303.553753238 994.82, 66269.0726862597 6654303.252460516 994.78, 66270.02673151845 6654302.952300646 994.76, 66270.89344935946 6654302.682245968 994.72, 66271.43076713738 6654302.530346355 994.71, 66271.97148345015 6654302.408311115 994.69, 66272.47351345012 6654302.300762045 994.6700000000001, 66273.92982949241 6654301.983779073 994.63, 66275.88817549736 6654301.559247046 994.58, 66277.84765431023 6654301.144669826 994.53, 66279.81595502817 6654300.71900499 994.48, 66280.82770404598 6654300.482864467 994.45, 66281.27769437246 6654300.361070067 994.4300000000001)</t>
  </si>
  <si>
    <t>POINT (66256.58302678946 6654307.357763774)</t>
  </si>
  <si>
    <t>2024-10-22</t>
  </si>
  <si>
    <t>['EV6 S47D1 m952-1042']</t>
  </si>
  <si>
    <t>LINESTRING (233876.538 6834454.565, 233881.35 6834453.0940000005, 233886.161 6834451.603, 233890.971 6834450.102, 233895.78 6834448.592, 233900.58800000002 6834447.071, 233905.39500000002 6834445.54, 233909.989 6834443.538, 233914.585 6834441.538, 233919.18 6834439.527, 233923.772 6834437.505, 233925.33800000002 6834436.815, 233928.354 6834435.476, 233932.793 6834433.512, 233932.93600000002 6834433.446, 233937.309 6834430.955, 233941.68 6834428.456, 233946.05000000002 6834425.955, 233950.41 6834423.446, 233954.771 6834420.947, 233959.131 6834418.437)</t>
  </si>
  <si>
    <t>POINT (233918.7155517227 6834438.520787181)</t>
  </si>
  <si>
    <t>['EV6 S47D1 m1951-2041']</t>
  </si>
  <si>
    <t>LINESTRING (232926.923 6834762.93, 232931.885 6834762.092, 232936.84900000002 6834761.233, 232941.812 6834760.365, 232946.775 6834759.488, 232951.739 6834758.599, 232956.703 6834757.701, 232961.517 6834756.309, 232966.333 6834754.9180000005, 232971.14800000002 6834753.515000001, 232975.96300000002 6834752.103, 232977.605 6834751.621, 232980.768 6834750.682, 232985.423 6834749.306, 232985.574 6834749.259000001, 232990.23200000002 6834747.353, 232994.888 6834745.438, 232999.545 6834743.522, 233004.191 6834741.596, 233008.839 6834739.68, 233013.48500000002 6834737.754)</t>
  </si>
  <si>
    <t>POINT (232970.81717195112 6834752.458312579)</t>
  </si>
  <si>
    <t>['EV6 S47D1 m2444-2534']</t>
  </si>
  <si>
    <t>LINESTRING (232449.441 6834887.061, 232454.419 6834886.326, 232459.399 6834885.571, 232464.37900000002 6834884.805, 232469.36000000002 6834884.031, 232474.34 6834883.246, 232479.323 6834882.45, 232484.165 6834881.158, 232489.008 6834879.867000001, 232493.851 6834878.565, 232498.69400000002 6834877.2530000005, 232500.346 6834876.805, 232503.528 6834875.931, 232508.21 6834874.653, 232508.362 6834874.609, 232513.05800000002 6834872.8, 232517.753 6834870.982, 232522.449 6834869.1620000005, 232527.134 6834867.333000001, 232531.82 6834865.513, 232536.506 6834863.684)</t>
  </si>
  <si>
    <t>POINT (232493.54272839133 6834877.501169963)</t>
  </si>
  <si>
    <t>['EV6 S47D1 m3453-3543']</t>
  </si>
  <si>
    <t>LINESTRING (231473.38700000002 6835146.767, 231478.365 6835146.032000001, 231483.345 6835145.276000001, 231488.325 6835144.511, 231493.306 6835143.737, 231498.286 6835142.951, 231503.268 6835142.156, 231508.111 6835140.864, 231512.954 6835139.573, 231517.797 6835138.271, 231522.64 6835136.958000001, 231524.29200000002 6835136.51, 231527.47400000002 6835135.637, 231532.15600000002 6835134.359, 231532.30800000002 6835134.315, 231537.00400000002 6835132.506, 231541.699 6835130.687, 231546.39500000002 6835128.868, 231551.08000000002 6835127.039, 231555.766 6835125.2190000005, 231560.45200000002 6835123.390000001)</t>
  </si>
  <si>
    <t>POINT (231517.48867796414 6835137.20693978)</t>
  </si>
  <si>
    <t>['EV6 S47D1 m2708-2798']</t>
  </si>
  <si>
    <t>LINESTRING (232193.836 6834955.635, 232198.815 6834954.9, 232203.794 6834954.144, 232208.775 6834953.379, 232213.755 6834952.605, 232218.736 6834951.819, 232223.718 6834951.024, 232228.56 6834949.732, 232233.403 6834948.441000001, 232238.247 6834947.139, 232243.09 6834945.8270000005, 232244.741 6834945.379, 232247.924 6834944.505, 232252.606 6834943.227, 232252.758 6834943.183, 232257.454 6834941.374, 232262.149 6834939.555, 232266.844 6834937.7360000005, 232271.53 6834935.907000001, 232276.21600000001 6834934.087, 232280.901 6834932.258)</t>
  </si>
  <si>
    <t>POINT (232237.9377467352 6834946.075163187)</t>
  </si>
  <si>
    <t>['EV6 S47D1 m444-534']</t>
  </si>
  <si>
    <t>LINESTRING (234345.207 6834256.004, 234350.019 6834254.533, 234354.831 6834253.042, 234359.64 6834251.541, 234364.449 6834250.031, 234369.257 6834248.51, 234374.064 6834246.979, 234378.659 6834244.977, 234383.25400000002 6834242.977, 234387.84900000002 6834240.966, 234392.441 6834238.944, 234394.007 6834238.254, 234397.02300000002 6834236.915, 234401.462 6834234.951, 234401.605 6834234.885, 234405.978 6834232.394, 234410.34900000002 6834229.8950000005, 234414.72 6834227.394, 234419.079 6834224.885, 234423.441 6834222.386, 234427.80000000002 6834219.876)</t>
  </si>
  <si>
    <t>POINT (234387.38459360623 6834239.959870941)</t>
  </si>
  <si>
    <t>['EV6 S47D1 m1446-1536']</t>
  </si>
  <si>
    <t>LINESTRING (233413.208 6834625.505, 233418.144 6834624.526000001, 233423.081 6834623.527, 233428.017 6834622.518, 233432.953 6834621.5, 233437.89 6834620.471, 233442.82700000002 6834619.431, 233447.59900000002 6834617.903, 233452.373 6834616.375, 233457.147 6834614.837, 233461.919 6834613.288, 233463.547 6834612.759000001, 233466.68300000002 6834611.73, 233471.296 6834610.223, 233471.446 6834610.172, 233476.047 6834608.134000001, 233480.647 6834606.087, 233485.247 6834604.04, 233489.837 6834601.982, 233494.428 6834599.9350000005, 233499.018 6834597.877)</t>
  </si>
  <si>
    <t>POINT (233456.78620612266 6834613.789224528)</t>
  </si>
  <si>
    <t>['EV6 S48D1 m6480-6570']</t>
  </si>
  <si>
    <t>LINESTRING Z (218624.543 6846881.32 314.596, 218627.92 6846872.75 314.486, 218631.608 6846863.393 314.366, 218635.295 6846854.035 314.246, 218635.615 6846853.246 314.236, 218638.10700000002 6846844.437 314.096, 218640.821 6846834.807 313.946, 218643.545 6846825.176 313.796, 218643.778 6846824.363 313.786, 218645.391 6846815.2930000005 313.616, 218647.154 6846805.397 313.436, 218648.90600000002 6846795.5030000005 313.25600000000003, 218649.063 6846794.665 313.246)</t>
  </si>
  <si>
    <t>POINT (218638.72687827807 6846838.537073364)</t>
  </si>
  <si>
    <t>['EV6 S48D1 m4478-4568']</t>
  </si>
  <si>
    <t>LINESTRING Z (219234.649 6844983.268 314.596, 219239.623 6844975.515000001 314.486, 219245.054 6844967.05 314.366, 219250.48500000002 6844958.585 314.246, 219250.952 6844957.873000001 314.236, 219255.105 6844949.714 314.096, 219259.634 6844940.7930000005 313.946, 219264.173 6844931.872 313.796, 219264.559 6844931.12 313.786, 219267.9 6844922.535 313.616, 219271.546 6844913.1680000005 313.436, 219275.18300000002 6844903.801 313.25600000000003, 219275.5 6844903.009000001 313.246)</t>
  </si>
  <si>
    <t>POINT (219256.8563564025 6844944.045630166)</t>
  </si>
  <si>
    <t>LINESTRING Z (219457.79200000002 6844551.816000001 314.596, 219462.766 6844544.063 314.486, 219468.19700000001 6844535.598 314.366, 219473.628 6844527.133 314.246, 219474.095 6844526.421 314.236, 219478.247 6844518.262 314.096, 219482.776 6844509.341 313.946, 219487.315 6844500.42 313.796, 219487.702 6844499.6680000005 313.786, 219491.04200000002 6844491.083000001 313.616, 219494.689 6844481.716 313.436, 219498.326 6844472.349 313.25600000000003, 219498.643 6844471.557 313.246)</t>
  </si>
  <si>
    <t>POINT (219479.9990442154 6844512.5934816785)</t>
  </si>
  <si>
    <t>['EV6 S48D1 m6978-7068']</t>
  </si>
  <si>
    <t>LINESTRING Z (218463.73 6847352.925 314.596, 218467.93300000002 6847344.728 314.486, 218472.521 6847335.778 314.366, 218477.11000000002 6847326.828 314.246, 218477.505 6847326.075 314.236, 218480.851 6847317.552 314.096, 218484.497 6847308.2360000005 313.946, 218488.153 6847298.9180000005 313.796, 218488.46600000001 6847298.133 313.786, 218490.961 6847289.265000001 313.616, 218493.687 6847279.59 313.436, 218496.402 6847269.915 313.25600000000003, 218496.641 6847269.097 313.246)</t>
  </si>
  <si>
    <t>POINT (218482.04668787407 6847311.741887775)</t>
  </si>
  <si>
    <t>['EV6 S48D1 m5994-6084']</t>
  </si>
  <si>
    <t>LINESTRING Z (218747.054 6846317.993 292.257, 218744.59900000002 6846325.415 292.16700000000003, 218741.44700000001 6846334.974 292.047, 218738.326 6846344.542 291.927, 218737.628 6846346.67 291.897, 218735.973 6846354.283 291.777, 218734.443 6846361.372 291.66700000000003, 218733.866 6846364.083000001 291.627, 218731.779 6846373.881 291.47700000000003, 218731.317 6846376.069 291.447, 218730.469 6846383.842 291.307, 218729.394 6846393.853 291.127, 218728.339 6846403.863 290.947, 218728.102 6846406.092 290.907)</t>
  </si>
  <si>
    <t>POINT (218735.49547514252 6846361.593948793)</t>
  </si>
  <si>
    <t>['EV6 S48D1 m4989-5079']</t>
  </si>
  <si>
    <t>LINESTRING Z (219018.882 6845445.715 314.596, 219023.329 6845437.648 314.486, 219028.185 6845428.84 314.366, 219033.04 6845420.032000001 314.246, 219033.459 6845419.291 314.236, 219037.059 6845410.873000001 314.096, 219040.984 6845401.671 313.946, 219044.919 6845392.467 313.796, 219045.255 6845391.691000001 313.786, 219048.016 6845382.903 313.616, 219051.032 6845373.314 313.436, 219054.037 6845363.726 313.25600000000003, 219054.30000000002 6845362.915 313.246)</t>
  </si>
  <si>
    <t>POINT (219038.42926221326 6845405.101505901)</t>
  </si>
  <si>
    <t>['EV6 S48D1 m5475-5564']</t>
  </si>
  <si>
    <t>LINESTRING (218862.02368128294 6845904.443480793, 218872.55326186382 6845881.348624997, 218881.92533002415 6845851.079557738, 218886.29131344828 6845818.939245239)</t>
  </si>
  <si>
    <t>POINT (218876.90667193013 6845862.472382108)</t>
  </si>
  <si>
    <t>[5060]</t>
  </si>
  <si>
    <t>['FV5060 S1D1 m1651-1676']</t>
  </si>
  <si>
    <t>LINESTRING Z (-34515.103088860866 6665995.948873879 42.6, -34516.47996909672 6665994.543361432 42.82, -34517.26194737514 6665993.808836384 42.88, -34520.91937161225 6665990.254224014 43.1, -34525.36876300874 6665985.965995903 43.37, -34530.518385680276 6665981.066730016 43.69, -34531.278567027184 6665980.350363263 43.730000000000004, -34532.7862120081 6665978.946686666 43.76)</t>
  </si>
  <si>
    <t>POINT (-34523.90442434835 6665987.406360112)</t>
  </si>
  <si>
    <t>['FV5060 S1D1 m1222-1247']</t>
  </si>
  <si>
    <t>LINESTRING Z (-34165.28288172465 6666236.511200963 45.35, -34167.09374194371 6666235.648798875 45.58, -34171.69445288787 6666233.459205726 45.63, -34174.52062038076 6666232.175608467 45.660000000000004, -34179.139489927446 6666230.007811983 45.63, -34182.871087775566 6666228.293013421 45.62, -34185.624622002244 6666226.922228254 45.6, -34187.52174332889 6666226.10796792 45.4)</t>
  </si>
  <si>
    <t>POINT (-34176.39390508242 6666231.28985724)</t>
  </si>
  <si>
    <t>['FV5060 S1D1 m792-817']</t>
  </si>
  <si>
    <t>LINESTRING Z (-33752.67384482268 6666313.974911885 47.14, -33754.606142537436 6666314.654459719 47.27, -33759.507718082285 6666316.34970809 47.36, -33764.27217969403 6666318.0022552945 47.44, -33768.109538016026 6666319.328655975 47.51, -33771.051578616025 6666320.311661417 47.5, -33773.01111402048 6666321.02390475 47.49, -33773.97817265021 6666321.353689995 47.44, -33775.92955583683 6666321.934259839 47.33)</t>
  </si>
  <si>
    <t>POINT (-33764.288081796345 6666317.997053895)</t>
  </si>
  <si>
    <t>['FV5060 S1D1 m2015-2037']</t>
  </si>
  <si>
    <t>LINESTRING Z (-34760.49797557318 6666033.906625784 27.35, -34761.1070071219 6666035.845495852 27.5, -34762.355946377385 6666039.715976049 27.560000000000002, -34764.250233894214 6666045.568920487 27.63, -34765.51460245822 6666049.491164493 27.66, -34766.47672933864 6666052.419001274 27.7, -34767.27728316374 6666054.909112863 27.740000000000002)</t>
  </si>
  <si>
    <t>POINT (-34763.87767999344 6666044.411065529)</t>
  </si>
  <si>
    <t>2024-11-04</t>
  </si>
  <si>
    <t>[870]</t>
  </si>
  <si>
    <t>['FV870 S1D1 m390-457']</t>
  </si>
  <si>
    <t>LINESTRING Z (818954.84 7784166.93 4.8100000000000005, 818941.29 7784165.82 4.76, 818929.05 7784165.13 4.76, 818915.29 7784165.01 4.74, 818902.98 7784165.66 4.73, 818887.65 7784166.94 4.7, 818899.97 7784163.64 4.7, 818905.87 7784162.18 4.7, 818911.86 7784161.8 4.67, 818916.08 7784161.78 4.69, 818916.72 7784161.87 4.7, 818925.17 7784161.76 4.7700000000000005, 818936.17 7784161.54 4.73, 818937.09 7784161.43 4.73, 818938.67 7784161.66 4.71, 818944.22 7784163.36 4.71, 818954.6 7784166.54 4.8500000000000005, 818954.84 7784166.93 4.8100000000000005)</t>
  </si>
  <si>
    <t>POLYGON Z ((818954.84 7784166.93 4.8100000000000005, 818941.29 7784165.82 4.76, 818929.05 7784165.13 4.76, 818915.29 7784165.01 4.74, 818902.98 7784165.66 4.73, 818887.65 7784166.94 4.7, 818899.97 7784163.64 4.7, 818905.87 7784162.18 4.7, 818911.86 7784161.8 4.67, 818916.08 7784161.78 4.69, 818916.72 7784161.87 4.7, 818925.17 7784161.76 4.7700000000000005, 818936.17 7784161.54 4.73, 818937.09 7784161.43 4.73, 818938.67 7784161.66 4.71, 818944.22 7784163.36 4.71, 818954.6 7784166.54 4.8500000000000005, 818954.84 7784166.93 4.8100000000000005))</t>
  </si>
  <si>
    <t>['FV870 S1D1 m508-580']</t>
  </si>
  <si>
    <t>LINESTRING Z (818838.51 7784182.46 3.77, 818831.43 7784184.08 3.84, 818825.16 7784186.43 3.86, 818820.69 7784188.27 3.8200000000000003, 818813.3 7784190.14 3.7600000000000002, 818808.21 7784191.2 3.7800000000000002, 818801.91 7784192.4 3.87, 818788.3 7784195.34 3.92, 818787.78 7784195.5 3.91, 818785.28 7784195.95 3.9, 818778.68 7784196.47 3.97, 818768.27 7784197.25 4.0600000000000005, 818768.23 7784196.97 4.07, 818784.86 7784193.17 4.04, 818805.2 7784188.61 3.89, 818826.88 7784183.91 3.85, 818838.33 7784181.8 3.77, 818838.51 7784182.46 3.77)</t>
  </si>
  <si>
    <t>POLYGON Z ((818838.51 7784182.46 3.77, 818831.43 7784184.08 3.84, 818825.16 7784186.43 3.86, 818820.69 7784188.27 3.8200000000000003, 818813.3 7784190.14 3.7600000000000002, 818808.21 7784191.2 3.7800000000000002, 818801.91 7784192.4 3.87, 818788.3 7784195.34 3.92, 818787.78 7784195.5 3.91, 818785.28 7784195.95 3.9, 818778.68 7784196.47 3.97, 818768.27 7784197.25 4.0600000000000005, 818768.23 7784196.97 4.07, 818784.86 7784193.17 4.04, 818805.2 7784188.61 3.89, 818826.88 7784183.91 3.85, 818838.33 7784181.8 3.77, 818838.51 7784182.46 3.77))</t>
  </si>
  <si>
    <t>2024-12-03</t>
  </si>
  <si>
    <t>[8112]</t>
  </si>
  <si>
    <t>['FV8112 S2D1 m14274-14324']</t>
  </si>
  <si>
    <t>LINESTRING (1054333.18 7829652.09, 1054339.85 7829646.27, 1054344.61 7829642.46, 1054348.42 7829639.81, 1054351.81 7829637.69, 1054354.35 7829636.53, 1054357.52 7829636.53, 1054363.02 7829637.38, 1054368 7829639.81, 1054378.37 7829650.18, 1054383.77 7829656.22, 1054368.1 7829654.52, 1054349.48 7829653.36, 1054333.29 7829652.09)</t>
  </si>
  <si>
    <t>POLYGON ((1054333.18 7829652.09, 1054339.85 7829646.27, 1054344.61 7829642.46, 1054348.42 7829639.81, 1054351.81 7829637.69, 1054354.35 7829636.53, 1054357.52 7829636.53, 1054363.02 7829637.38, 1054368 7829639.81, 1054378.37 7829650.18, 1054383.77 7829656.22, 1054368.1 7829654.52, 1054349.48 7829653.36, 1054333.29 7829652.09, 1054333.18 7829652.09))</t>
  </si>
  <si>
    <t>[8024]</t>
  </si>
  <si>
    <t>['FV8024 S1D1 m1680-1702']</t>
  </si>
  <si>
    <t>LINESTRING (808360.72 7875266.39, 808359.93 7875260.44, 808360.19 7875255.28, 808362.57 7875252.1, 808365.35 7875250.78, 808368.92 7875250.51, 808373.29 7875251.7, 808378.32 7875254.09, 808368.92 7875259.51, 808366.01 7875261.63, 808360.72 7875266.52)</t>
  </si>
  <si>
    <t>POLYGON ((808360.72 7875266.39, 808359.93 7875260.44, 808360.19 7875255.28, 808362.57 7875252.1, 808365.35 7875250.78, 808368.92 7875250.51, 808373.29 7875251.7, 808378.32 7875254.09, 808368.92 7875259.51, 808366.01 7875261.63, 808360.72 7875266.52, 808360.72 7875266.39))</t>
  </si>
  <si>
    <t>['FV8024 S1D1 m4878-4928']</t>
  </si>
  <si>
    <t>LINESTRING (806355.07 7874947.85, 806367.77 7874943.2, 806374.33 7874936.64, 806377.51 7874928.8, 806376.87 7874917.37, 806370.52 7874907, 806361.84 7874899.17, 806355.07 7874930.71, 806354.86 7874948.07)</t>
  </si>
  <si>
    <t>POLYGON ((806355.07 7874947.85, 806367.77 7874943.2, 806374.33 7874936.64, 806377.51 7874928.8, 806376.87 7874917.37, 806370.52 7874907, 806361.84 7874899.17, 806355.07 7874930.71, 806354.86 7874948.07, 806355.07 7874947.85))</t>
  </si>
  <si>
    <t>2024-12-11</t>
  </si>
  <si>
    <t>[17308]</t>
  </si>
  <si>
    <t>['KV17308 S5D1 m22-71']</t>
  </si>
  <si>
    <t>LINESTRING (270889.7340787761 6651883.631725541, 270938.67926830787 6651879.356470235)</t>
  </si>
  <si>
    <t>POINT (270914.206673542 6651881.4940978885)</t>
  </si>
  <si>
    <t>2024-12-13</t>
  </si>
  <si>
    <t>['FV1496 S7D1 m211-231']</t>
  </si>
  <si>
    <t>LINESTRING (287343.5166450386 6673723.897008577, 287343.8110851761 6673743.105659141)</t>
  </si>
  <si>
    <t>POINT (287343.66386510734 6673733.501333859)</t>
  </si>
  <si>
    <t>['FV1496 S5D1 m5692-5719']</t>
  </si>
  <si>
    <t>LINESTRING (285451.3657280928 6669201.501249043, 285455.24980488606 6669175.904969403)</t>
  </si>
  <si>
    <t>POINT (285453.30776648945 6669188.703109223)</t>
  </si>
  <si>
    <t>2024-12-18</t>
  </si>
  <si>
    <t>['FV401 S1D1 m338-385']</t>
  </si>
  <si>
    <t>LINESTRING Z (103623.16684620694 6470750.031418086 8.862913087368012, 103623.1054209529 6470756.795524451 8.588917393803596, 103622.820542478 6470762.815118714 8.237921059489251, 103622.35436617711 6470768.224241449 7.902924203634262, 103621.42178637261 6470773.029259306 7.770926625072956, 103620.41810946196 6470777.2300518425 7.539928599476815, 103619.18225908588 6470781.286625832 7.737930305659771, 103618.02476780344 6470784.936856444 7.878931810677051, 103616.92575084599 6470787.541764704 6.942932682394981, 103615.46204480273 6470790.174234293 6.622933308243752, 103612.87446407072 6470793.6364148995 6.390933650970459, 103608.31715091283 6470799.471500445 6.137934060752392, 103603.54164964758 6470805.566494316 5.734934463083744, 103604.67758606869 6470799.108720442 6.147931192278862, 103606.60811528412 6470790.702934469 6.648927258372307, 103608.19717005483 6470784.047747839 7.08992417383194, 103609.84026503976 6470778.177360756 7.4209216182827955, 103611.65901940403 6470771.920100166 7.6859189286232, 103613.38892025116 6470765.636579774 7.998916149556637, 103614.99863678939 6470759.291375401 8.447913236379623, 103616.26954463532 6470753.48845029 8.700910420060158, 103617.14471820032 6470749.031573222 8.969908177435398, 103623.12667408522 6470749.96459535 8.857913012862205)</t>
  </si>
  <si>
    <t>POLYGON Z ((103623.16684620694 6470750.031418086 8.862913087368012, 103623.1054209529 6470756.795524451 8.588917393803596, 103622.820542478 6470762.815118714 8.237921059489251, 103622.35436617711 6470768.224241449 7.902924203634262, 103621.42178637261 6470773.029259306 7.770926625072956, 103620.41810946196 6470777.2300518425 7.539928599476815, 103619.18225908588 6470781.286625832 7.737930305659771, 103618.02476780344 6470784.936856444 7.878931810677051, 103616.92575084599 6470787.541764704 6.942932682394981, 103615.46204480273 6470790.174234293 6.622933308243752, 103612.87446407072 6470793.6364148995 6.390933650970459, 103608.31715091283 6470799.471500445 6.137934060752392, 103603.54164964758 6470805.566494316 5.734934463083744, 103604.67758606869 6470799.108720442 6.147931192278862, 103606.60811528412 6470790.702934469 6.648927258372307, 103608.19717005483 6470784.047747839 7.08992417383194, 103609.84026503976 6470778.177360756 7.4209216182827955, 103611.65901940403 6470771.920100166 7.6859189286232, 103613.38892025116 6470765.636579774 7.998916149556637, 103614.99863678939 6470759.291375401 8.447913236379623, 103616.26954463532 6470753.48845029 8.700910420060158, 103617.14471820032 6470749.031573222 8.969908177435398, 103623.12667408522 6470749.96459535 8.857913012862205, 103623.16684620694 6470750.031418086 8.862913087368012))</t>
  </si>
  <si>
    <t>2025-01-06</t>
  </si>
  <si>
    <t>[7550]</t>
  </si>
  <si>
    <t>['FV7550 S1D1 m1664-1694']</t>
  </si>
  <si>
    <t>LINESTRING Z (561958.0621044739 7605366.731111646 5.356004, 561957.6506765654 7605364.020749658 5.298254, 561957.1005065537 7605360.170202991 5.264589, 561957.0484855715 7605359.48586946 5.236749, 561956.9110405295 7605358.5655430425 5.221487, 561956.1622131768 7605353.645155372 5.159837, 561955.4736933224 7605349.238510794 5.111658, 561954.8622026023 7605345.173026589 5.082497, 561954.2679152028 7605341.512219968 5.046958, 561953.512446648 7605337.26297076 5.012643)</t>
  </si>
  <si>
    <t>POINT (561955.8691996813 7605351.984516519)</t>
  </si>
  <si>
    <t>['FV7550 S1D1 m1629-1664']</t>
  </si>
  <si>
    <t>LINESTRING Z (561964.579542669 7605366.11257892 5.286608, 561965.1314068815 7605370.149169483 5.335332, 561965.5176367657 7605373.318065572 5.404056, 561966.1696120782 7605377.794925554 5.446903, 561966.9274094416 7605382.754055798 5.478013, 561967.6917520316 7605387.975157871 5.498086, 561968.4257114271 7605392.812570937 5.528228, 561969.120196843 7605396.841392274 5.551389, 561969.4866584945 7605399.228284476 5.545064, 561969.7119916879 7605400.283624546 5.57)</t>
  </si>
  <si>
    <t>POINT (561967.0245120834 7605383.217054045)</t>
  </si>
  <si>
    <t>LINESTRING (270889.33876028657 6651876.455893545, 270938.1366831216 6651872.227279264)</t>
  </si>
  <si>
    <t>POINT (270913.73772170406 6651874.3415864045)</t>
  </si>
  <si>
    <t>['FV5510 S1D30 m746-764']</t>
  </si>
  <si>
    <t>LINESTRING (-59057.425193222705 6782197.0038932115, -59046.05664833821 6782183.491723249)</t>
  </si>
  <si>
    <t>POINT (-59051.74092078046 6782190.24780823)</t>
  </si>
  <si>
    <t>['FV5510 S1D30 m915-940']</t>
  </si>
  <si>
    <t>LINESTRING (-59060.82824822527 6782323.275983708, -59045.394621307496 6782343.136899007)</t>
  </si>
  <si>
    <t>POINT (-59053.11143476638 6782333.206441358)</t>
  </si>
  <si>
    <t>2025-01-15</t>
  </si>
  <si>
    <t>['RV15 S16D1 m4375-4398']</t>
  </si>
  <si>
    <t>LINESTRING Z (86187.41779427236 6888289.879289584 35.536, 86187.28226349817 6888289.519897388 35.519, 86187.50254670344 6888289.150435204 35.507, 86187.76255965629 6888288.784425453 35.539, 86187.93449498381 6888288.302593209 35.506, 86187.96731549408 6888288.029530367 35.51, 86187.92650579207 6888287.765020392 35.552, 86188.19739815098 6888287.562120748 35.473, 86188.3125074794 6888287.242187399 35.438, 86188.34682615171 6888286.626084827 35.453, 86188.35933460726 6888286.317061145 35.441, 86188.23716072732 6888286.107381697 35.442, 86188.21919088595 6888285.831142793 35.443, 86188.10250465426 6888285.590573044 35.445, 86187.98392394418 6888285.325012641 35.449, 86187.8256535927 6888285.108433433 35.456, 86187.14620884327 6888284.372547293 35.458, 86186.34793217637 6888283.342893915 35.46, 86188.70155378751 6888281.692992948 35.278, 86190.06745345978 6888283.173026784 35.295, 86191.43185060477 6888284.640125547 35.307, 86192.77984023193 6888286.122239732 35.332, 86194.12010099844 6888287.6072685225 35.349000000000004, 86195.47535717924 6888289.082487984 35.367, 86196.82323123695 6888290.563607048 35.396, 86198.20051822113 6888292.020132482 35.409, 86199.47362124006 6888293.569434144 35.435, 86200.81334934023 6888295.058558331 35.449, 86202.13525781798 6888296.567904115 35.477000000000004, 86202.70786061563 6888297.174012408 35.488, 86201.86609677871 6888298.183410864 35.54, 86199.80482364545 6888300.961062459 35.602000000000004, 86199.21530338656 6888301.754601124 35.632, 86198.87433834933 6888302.213713823 35.727000000000004, 86197.92503636237 6888301.733045573 35.706, 86197.28223499726 6888301.468881353 35.697, 86196.50819864299 6888301.307694643 35.714, 86195.51023192581 6888300.850830976 35.67, 86194.57854829624 6888300.4871107135 35.67, 86194.08028441644 6888299.748330475 35.587, 86193.18138727668 6888298.416744071 35.549, 86191.6408105861 6888296.136140104 35.522, 86188.10139445256 6888290.894027703 35.410000000000004, 86187.41779427236 6888289.879289584 35.536)</t>
  </si>
  <si>
    <t>POLYGON Z ((86187.41779427236 6888289.879289584 35.536, 86187.28226349817 6888289.519897388 35.519, 86187.50254670344 6888289.150435204 35.507, 86187.76255965629 6888288.784425453 35.539, 86187.93449498381 6888288.302593209 35.506, 86187.96731549408 6888288.029530367 35.51, 86187.92650579207 6888287.765020392 35.552, 86188.19739815098 6888287.562120748 35.473, 86188.3125074794 6888287.242187399 35.438, 86188.34682615171 6888286.626084827 35.453, 86188.35933460726 6888286.317061145 35.441, 86188.23716072732 6888286.107381697 35.442, 86188.21919088595 6888285.831142793 35.443, 86188.10250465426 6888285.590573044 35.445, 86187.98392394418 6888285.325012641 35.449, 86187.8256535927 6888285.108433433 35.456, 86187.14620884327 6888284.372547293 35.458, 86186.34793217637 6888283.342893915 35.46, 86188.70155378751 6888281.692992948 35.278, 86190.06745345978 6888283.173026784 35.295, 86191.43185060477 6888284.640125547 35.307, 86192.77984023193 6888286.122239732 35.332, 86194.12010099844 6888287.6072685225 35.349000000000004, 86195.47535717924 6888289.082487984 35.367, 86196.82323123695 6888290.563607048 35.396, 86198.20051822113 6888292.020132482 35.409, 86199.47362124006 6888293.569434144 35.435, 86200.81334934023 6888295.058558331 35.449, 86202.13525781798 6888296.567904115 35.477000000000004, 86202.70786061563 6888297.174012408 35.488, 86201.86609677871 6888298.183410864 35.54, 86199.80482364545 6888300.961062459 35.602000000000004, 86199.21530338656 6888301.754601124 35.632, 86198.87433834933 6888302.213713823 35.727000000000004, 86197.92503636237 6888301.733045573 35.706, 86197.28223499726 6888301.468881353 35.697, 86196.50819864299 6888301.307694643 35.714, 86195.51023192581 6888300.850830976 35.67, 86194.57854829624 6888300.4871107135 35.67, 86194.08028441644 6888299.748330475 35.587, 86193.18138727668 6888298.416744071 35.549, 86191.6408105861 6888296.136140104 35.522, 86188.10139445256 6888290.894027703 35.410000000000004, 86187.41779427236 6888289.879289584 35.536))</t>
  </si>
  <si>
    <t>['RV15 S16D1 m3069-3085']</t>
  </si>
  <si>
    <t>LINESTRING Z (87152.01603598875 6889190.814008247 48.715, 87153.91043900815 6889190.957977921 48.806000000000004, 87154.4205687223 6889190.904767426 48.748, 87155.42924244411 6889191.158689891 48.732, 87155.44519679382 6889191.052969228 48.711, 87156.21641062049 6889190.096137177 48.653, 87156.53591136803 6889189.704057377 48.621, 87156.8824830788 6889189.327992768 48.603, 87149.13443801459 6889183.152995757 48.519, 87144.74475980649 6889179.654467568 48.46, 87144.20562920236 6889180.412907455 48.499, 87141.80537077191 6889183.770448637 48.703, 87142.0285296375 6889184.354618856 48.803000000000004, 87142.21546387277 6889185.260649601 48.807, 87142.22403215861 6889186.046222013 48.823, 87142.4849574982 6889186.174232689 48.698, 87143.37095183763 6889186.604762375 48.595, 87147.09070688911 6889188.416379003 48.604, 87151.23904409364 6889190.436363296 48.654, 87152.01603598875 6889190.814008247 48.715)</t>
  </si>
  <si>
    <t>POLYGON Z ((87152.01603598875 6889190.814008247 48.715, 87153.91043900815 6889190.957977921 48.806000000000004, 87154.4205687223 6889190.904767426 48.748, 87155.42924244411 6889191.158689891 48.732, 87155.44519679382 6889191.052969228 48.711, 87156.21641062049 6889190.096137177 48.653, 87156.53591136803 6889189.704057377 48.621, 87156.8824830788 6889189.327992768 48.603, 87149.13443801459 6889183.152995757 48.519, 87144.74475980649 6889179.654467568 48.46, 87144.20562920236 6889180.412907455 48.499, 87141.80537077191 6889183.770448637 48.703, 87142.0285296375 6889184.354618856 48.803000000000004, 87142.21546387277 6889185.260649601 48.807, 87142.22403215861 6889186.046222013 48.823, 87142.4849574982 6889186.174232689 48.698, 87143.37095183763 6889186.604762375 48.595, 87147.09070688911 6889188.416379003 48.604, 87151.23904409364 6889190.436363296 48.654, 87152.01603598875 6889190.814008247 48.715))</t>
  </si>
  <si>
    <t>['RV15 S16D1 m4794-4817']</t>
  </si>
  <si>
    <t>LINESTRING Z (85937.2069134207 6887947.251297081 31.625, 85937.94131509378 6887948.738134909 31.666, 85938.7217865694 6887950.612909345 31.749000000000002, 85939.30206849944 6887952.005713346 31.766000000000002, 85940.25596530217 6887954.2969937045 31.762, 85940.44507427624 6887954.753023564 31.783, 85940.88278338674 6887955.283036815 31.815, 85941.50442250754 6887955.85118279 31.738, 85942.26765297377 6887956.596500667 31.681, 85942.91813153028 6887957.291384281 31.623, 85943.62267139478 6887958.113101148 31.568, 85944.1902377294 6887958.840809443 31.566, 85944.75207991566 6887959.640781202 31.555, 85945.46762376896 6887960.739546683 31.527, 85946.62009193911 6887962.543883413 31.539, 85947.5429669373 6887964.00378644 31.558, 85948.36703583325 6887965.281547761 31.580000000000002, 85948.82137324498 6887965.885261729 31.594, 85949.00239909888 6887965.828939307 31.553, 85947.9986015656 6887963.446646196 31.532, 85946.52831742004 6887960.086914096 31.497, 85945.7068593924 6887958.267322243 31.485, 85944.57357672654 6887955.673172669 31.485, 85943.61363426235 6887953.434024622 31.487000000000002, 85942.51911072194 6887951.025966209 31.475, 85941.39029997372 6887948.574494192 31.455000000000002, 85940.37046607572 6887946.39272433 31.435000000000002, 85939.87169802736 6887945.241551177 31.429000000000002, 85939.81378598721 6887945.385424593 31.411, 85939.66377449268 6887945.760842253 31.424, 85939.08120137872 6887946.284322504 31.481, 85938.1786787766 6887946.822781484 31.541, 85937.74599632865 6887947.013212197 31.602, 85937.2069134207 6887947.251297081 31.625)</t>
  </si>
  <si>
    <t>POLYGON Z ((85937.2069134207 6887947.251297081 31.625, 85937.94131509378 6887948.738134909 31.666, 85938.7217865694 6887950.612909345 31.749000000000002, 85939.30206849944 6887952.005713346 31.766000000000002, 85940.25596530217 6887954.2969937045 31.762, 85940.44507427624 6887954.753023564 31.783, 85940.88278338674 6887955.283036815 31.815, 85941.50442250754 6887955.85118279 31.738, 85942.26765297377 6887956.596500667 31.681, 85942.91813153028 6887957.291384281 31.623, 85943.62267139478 6887958.113101148 31.568, 85944.1902377294 6887958.840809443 31.566, 85944.75207991566 6887959.640781202 31.555, 85945.46762376896 6887960.739546683 31.527, 85946.62009193911 6887962.543883413 31.539, 85947.5429669373 6887964.00378644 31.558, 85948.36703583325 6887965.281547761 31.580000000000002, 85948.82137324498 6887965.885261729 31.594, 85949.00239909888 6887965.828939307 31.553, 85947.9986015656 6887963.446646196 31.532, 85946.52831742004 6887960.086914096 31.497, 85945.7068593924 6887958.267322243 31.485, 85944.57357672654 6887955.673172669 31.485, 85943.61363426235 6887953.434024622 31.487000000000002, 85942.51911072194 6887951.025966209 31.475, 85941.39029997372 6887948.574494192 31.455000000000002, 85940.37046607572 6887946.39272433 31.435000000000002, 85939.87169802736 6887945.241551177 31.429000000000002, 85939.81378598721 6887945.385424593 31.411, 85939.66377449268 6887945.760842253 31.424, 85939.08120137872 6887946.284322504 31.481, 85938.1786787766 6887946.822781484 31.541, 85937.74599632865 6887947.013212197 31.602, 85937.2069134207 6887947.251297081 31.625))</t>
  </si>
  <si>
    <t>['FV8690 S1D1 m3876-3925']</t>
  </si>
  <si>
    <t>LINESTRING Z (722500.32 7780059.53 3.41, 722486.6 7780074 3.13)</t>
  </si>
  <si>
    <t>POINT (722493.46 7780066.765000001)</t>
  </si>
  <si>
    <t>['RV9 S11D1 m5200-5271']</t>
  </si>
  <si>
    <t>LINESTRING Z (84538.24027954892 6543564.272932988 204.69, 84539.12817257066 6543561.058068291 204.69, 84539.72987429227 6543558.792758937 204.71, 84540.63237596641 6543554.991582206 204.70000000000002, 84541.46730478166 6543551.127452934 204.67000000000002, 84542.22806991759 6543547.231354804 204.66, 84542.94565507717 6543543.3098786445 204.67000000000002, 84543.60351524025 6543539.395129266 204.66, 84544.28563253966 6543535.427245621 204.66, 84544.93241770816 6543531.503663279 204.66, 84545.57808191603 6543527.570126799 204.67000000000002, 84546.20495901728 6543523.648786803 204.67000000000002, 84546.82847292325 6543519.697584283 204.67000000000002, 84547.46965313994 6543515.7242311975 204.67000000000002, 84548.08545541047 6543511.794058287 204.67000000000002, 84548.72663595044 6543507.820705306 204.67000000000002, 84549.32028792513 6543503.87286635 204.68, 84549.9261364842 6543499.94381471 204.68, 84550.85174352996 6543493.841691946 204.68, 84549.36085538077 6543496.983342724 204.70000000000002, 84548.56217477826 6543499.200273302 204.68, 84545.71302963694 6543508.361729734 204.63, 84544.44779237814 6543512.969874707 204.63, 84543.77854989684 6543517.410089701 204.66, 84541.76861552364 6543529.995110046 204.68, 84540.06230271817 6543540.711290736 204.67000000000002, 84538.65862555051 6543546.685810757 204.67000000000002, 84538.11454234371 6543549.015193805 204.69, 84537.871531173 6543552.943702655 204.65, 84537.93343107961 6543557.341893117 204.69, 84538.10499707062 6543561.102743423 204.69, 84538.24027954892 6543564.272932988 204.69)</t>
  </si>
  <si>
    <t>POLYGON Z ((84538.24027954892 6543564.272932988 204.69, 84539.12817257066 6543561.058068291 204.69, 84539.72987429227 6543558.792758937 204.71, 84540.63237596641 6543554.991582206 204.70000000000002, 84541.46730478166 6543551.127452934 204.67000000000002, 84542.22806991759 6543547.231354804 204.66, 84542.94565507717 6543543.3098786445 204.67000000000002, 84543.60351524025 6543539.395129266 204.66, 84544.28563253966 6543535.427245621 204.66, 84544.93241770816 6543531.503663279 204.66, 84545.57808191603 6543527.570126799 204.67000000000002, 84546.20495901728 6543523.648786803 204.67000000000002, 84546.82847292325 6543519.697584283 204.67000000000002, 84547.46965313994 6543515.7242311975 204.67000000000002, 84548.08545541047 6543511.794058287 204.67000000000002, 84548.72663595044 6543507.820705306 204.67000000000002, 84549.32028792513 6543503.87286635 204.68, 84549.9261364842 6543499.94381471 204.68, 84550.85174352996 6543493.841691946 204.68, 84549.36085538077 6543496.983342724 204.70000000000002, 84548.56217477826 6543499.200273302 204.68, 84545.71302963694 6543508.361729734 204.63, 84544.44779237814 6543512.969874707 204.63, 84543.77854989684 6543517.410089701 204.66, 84541.76861552364 6543529.995110046 204.68, 84540.06230271817 6543540.711290736 204.67000000000002, 84538.65862555051 6543546.685810757 204.67000000000002, 84538.11454234371 6543549.015193805 204.69, 84537.871531173 6543552.943702655 204.65, 84537.93343107961 6543557.341893117 204.69, 84538.10499707062 6543561.102743423 204.69, 84538.24027954892 6543564.272932988 204.69))</t>
  </si>
  <si>
    <t>['RV9 S11D1 m5200-5277']</t>
  </si>
  <si>
    <t>LINESTRING Z (84556.25313003047 6543498.122370683 204.67000000000002, 84554.77511524886 6543507.643502725 204.67000000000002, 84553.22222407337 6543517.394838458 204.69, 84551.67184786726 6543527.347500586 204.68, 84550.18218306784 6543537.212681675 204.69, 84548.75462256034 6543547.181753582 204.68, 84547.4983906803 6543557.060966262 204.69, 84546.72458142275 6543567.016890928 204.71, 84546.51924768626 6543571.727432032 204.73000000000002, 84548.46656494768 6543566.820694425 204.69, 84550.14583265153 6543561.6820549825 204.61, 84550.7242964069 6543558.67340899 204.61, 84551.15657284245 6543554.8143081935 204.64000000000001, 84552.1653430718 6543548.10807086 204.70000000000002, 84553.30229524954 6543540.570879534 204.68, 84555.07985000993 6543529.413216703 204.65, 84557.240965868 6543515.843446735 204.66, 84557.24321012833 6543509.95620536 204.64000000000001, 84557.30596343405 6543499.415057076 204.66, 84556.74160051334 6543494.851688806 204.67000000000002, 84556.25313003047 6543498.122370683 204.67000000000002)</t>
  </si>
  <si>
    <t>POLYGON Z ((84556.25313003047 6543498.122370683 204.67000000000002, 84554.77511524886 6543507.643502725 204.67000000000002, 84553.22222407337 6543517.394838458 204.69, 84551.67184786726 6543527.347500586 204.68, 84550.18218306784 6543537.212681675 204.69, 84548.75462256034 6543547.181753582 204.68, 84547.4983906803 6543557.060966262 204.69, 84546.72458142275 6543567.016890928 204.71, 84546.51924768626 6543571.727432032 204.73000000000002, 84548.46656494768 6543566.820694425 204.69, 84550.14583265153 6543561.6820549825 204.61, 84550.7242964069 6543558.67340899 204.61, 84551.15657284245 6543554.8143081935 204.64000000000001, 84552.1653430718 6543548.10807086 204.70000000000002, 84553.30229524954 6543540.570879534 204.68, 84555.07985000993 6543529.413216703 204.65, 84557.240965868 6543515.843446735 204.66, 84557.24321012833 6543509.95620536 204.64000000000001, 84557.30596343405 6543499.415057076 204.66, 84556.74160051334 6543494.851688806 204.67000000000002, 84556.25313003047 6543498.122370683 204.67000000000002))</t>
  </si>
  <si>
    <t>['FV42 S1D1 m1670 SD1 m16-41']</t>
  </si>
  <si>
    <t>LINESTRING Z (133246.8895575396 6498859.293734097 49.24, 133251.12408834195 6498854.026784512 49.31, 133254.59479306423 6498849.66297691 49.29, 133258.81562878808 6498844.467651373 49.42, 133262.25908606203 6498840.136455696 49.39)</t>
  </si>
  <si>
    <t>POINT (133254.57721852895 6498849.717378407)</t>
  </si>
  <si>
    <t>['EV39 S47D1 m5325-5419']</t>
  </si>
  <si>
    <t>LINESTRING Z (28033.5790408068 6896426.570523285 4.990015276484192, 28037.242077071627 6896423.411387736 4.830014889985323, 28040.009740241338 6896420.909266249 4.720014595687389, 28043.4315889813 6896417.863141721 4.590014235265553, 28045.308732463163 6896416.178661948 4.52001403875649, 28044.999369720346 6896415.774500422 4.550014047138393, 28032.815894572646 6896424.315841658 5.050015249475837, 28025.083267002017 6896429.725542156 5.3900160243362185, 28019.58939846087 6896433.658789969 5.620016584061086, 28011.961928802077 6896439.00838632 5.940017366372049, 28006.119859883853 6896443.094788433 6.1800179708003995, 27996.737859909597 6896449.714780719 6.500018956139684, 27988.287449328403 6896455.6341257505 6.8000198539346455, 27979.334208822693 6896461.992808912 7.080020822510123, 27976.009939614276 6896464.355355316 7.190021184794605, 27976.43765895546 6896464.949870908 7.170021180137992, 27979.60724188038 6896463.30641218 7.040020860694349, 27984.574279023684 6896460.529514898 6.850020354986191, 27991.71762385062 6896456.362504238 6.63001962389797, 27996.38451262738 6896453.714162612 6.520019154511393, 27997.765695195063 6896453.193234356 6.4800190269202, 28009.373360135767 6896445.822857921 6.070017837621272, 28010.460506402538 6896444.8460075 6.050017716549337, 28033.5790408068 6896426.570523285 4.990015276484192)</t>
  </si>
  <si>
    <t>POLYGON Z ((28033.5790408068 6896426.570523285 4.990015276484192, 28037.242077071627 6896423.411387736 4.830014889985323, 28040.009740241338 6896420.909266249 4.720014595687389, 28043.4315889813 6896417.863141721 4.590014235265553, 28045.308732463163 6896416.178661948 4.52001403875649, 28044.999369720346 6896415.774500422 4.550014047138393, 28032.815894572646 6896424.315841658 5.050015249475837, 28025.083267002017 6896429.725542156 5.3900160243362185, 28019.58939846087 6896433.658789969 5.620016584061086, 28011.961928802077 6896439.00838632 5.940017366372049, 28006.119859883853 6896443.094788433 6.1800179708003995, 27996.737859909597 6896449.714780719 6.500018956139684, 27988.287449328403 6896455.6341257505 6.8000198539346455, 27979.334208822693 6896461.992808912 7.080020822510123, 27976.009939614276 6896464.355355316 7.190021184794605, 27976.43765895546 6896464.949870908 7.170021180137992, 27979.60724188038 6896463.30641218 7.040020860694349, 27984.574279023684 6896460.529514898 6.850020354986191, 27991.71762385062 6896456.362504238 6.63001962389797, 27996.38451262738 6896453.714162612 6.520019154511393, 27997.765695195063 6896453.193234356 6.4800190269202, 28009.373360135767 6896445.822857921 6.070017837621272, 28010.460506402538 6896444.8460075 6.050017716549337, 28033.5790408068 6896426.570523285 4.990015276484192))</t>
  </si>
  <si>
    <t>[15950]</t>
  </si>
  <si>
    <t>['KV15950 S1D1 m265-293']</t>
  </si>
  <si>
    <t>LINESTRING Z (264620.5413611551 6649228.882882146 55.96, 264620.0295514197 6649228.778698754 55.94, 264619.5113999088 6649228.715279002 55.92, 264617.2956601798 6649228.876481867 55.85, 264616.8644700219 6649228.885532609 55.84, 264616.46498671273 6649228.801280212 55.83, 264610.61229031417 6649224.76193748 55.59, 264610.37858063076 6649224.622430553 55.58, 264609.9582666846 6649224.308994827 55.56, 264609.251703557 6649223.830687087 55.52, 264608.9853833595 6649223.664003718 55.51, 264604.79220429173 6649220.749770796 55.29, 264604.57661222894 6649220.588523512 55.28, 264603.44882945094 6649219.786815477 55.22, 264603.2042495891 6649219.63824972 55.21, 264598.4757129714 6649216.360756241 54.980000000000004, 264598.10341823334 6649215.580802679 54.94, 264597.745630602 6649214.076160206 54.89, 264597.61429099727 6649213.515429542 54.870000000000005, 264597.429502153 6649213.140399496 54.86, 264597.2673572977 6649212.90396667 54.85, 264597.80271474656 6649213.267226961 54.88, 264599.67782432673 6649214.553584712 54.980000000000004, 264605.0467972752 6649218.245068644 55.24, 264607.0686530919 6649219.708977759 55.34, 264612.3751218971 6649223.37600184 55.61, 264617.689743722 6649227.022190931 55.870000000000005, 264619.8483852776 6649228.443526763 55.94, 264620.5413611551 6649228.882882146 55.96)</t>
  </si>
  <si>
    <t>POLYGON Z ((264620.5413611551 6649228.882882146 55.96, 264620.0295514197 6649228.778698754 55.94, 264619.5113999088 6649228.715279002 55.92, 264617.2956601798 6649228.876481867 55.85, 264616.8644700219 6649228.885532609 55.84, 264616.46498671273 6649228.801280212 55.83, 264610.61229031417 6649224.76193748 55.59, 264610.37858063076 6649224.622430553 55.58, 264609.9582666846 6649224.308994827 55.56, 264609.251703557 6649223.830687087 55.52, 264608.9853833595 6649223.664003718 55.51, 264604.79220429173 6649220.749770796 55.29, 264604.57661222894 6649220.588523512 55.28, 264603.44882945094 6649219.786815477 55.22, 264603.2042495891 6649219.63824972 55.21, 264598.4757129714 6649216.360756241 54.980000000000004, 264598.10341823334 6649215.580802679 54.94, 264597.745630602 6649214.076160206 54.89, 264597.61429099727 6649213.515429542 54.870000000000005, 264597.429502153 6649213.140399496 54.86, 264597.2673572977 6649212.90396667 54.85, 264597.80271474656 6649213.267226961 54.88, 264599.67782432673 6649214.553584712 54.980000000000004, 264605.0467972752 6649218.245068644 55.24, 264607.0686530919 6649219.708977759 55.34, 264612.3751218971 6649223.37600184 55.61, 264617.689743722 6649227.022190931 55.870000000000005, 264619.8483852776 6649228.443526763 55.94, 264620.5413611551 6649228.882882146 55.96))</t>
  </si>
  <si>
    <t>['KV15950 S1D1 m175-207']</t>
  </si>
  <si>
    <t>LINESTRING Z (264518.51797850244 6649169.435632859 51.38, 264526.3581845036 6649171.023756051 51.64, 264528.8737520706 6649171.6189545365 51.74, 264534.0543524631 6649172.906281456 51.9, 264537.5926301276 6649173.920913076 52.03, 264541.60014062724 6649175.12397269 52.21, 264544.5577602215 6649176.161239863 52.34, 264549.5743893473 6649177.965810443 52.52, 264549.57257799624 6649177.94588145 52.03, 264550.29273260577 6649178.242111722 52.52, 264549.9793089541 6649177.999334899 52.51, 264549.7338254295 6649177.730289349 52.5, 264548.2256070784 6649175.506370366 52.42, 264548.02632334 6649175.192938444 52.42, 264547.7056542861 6649174.870445629 52.4, 264545.10856596555 6649173.931018284 52.300000000000004, 264542.25602543214 6649172.944481295 52.19, 264541.2613849505 6649173.165492962 52.15, 264540.89088718605 6649173.179073951 52.14, 264540.58380324754 6649173.006048577 52.13, 264539.9406558343 6649172.230618753 52.1, 264537.93961968436 6649171.548467243 52, 264535.5155462093 6649170.854531571 51.92, 264533.1376704096 6649170.226724662 51.82, 264530.8358857819 6649169.662329487 51.75, 264529.38017160643 6649169.342532901 51.7, 264528.4244812598 6649169.660472523 51.67, 264528.0322431085 6649169.655935851 51.660000000000004, 264527.68982952344 6649169.536355649 51.65, 264526.9098961073 6649168.803498665 51.620000000000005, 264526.1100233194 6649168.6250288375 51.69, 264521.37419411005 6649167.699148947 51.46, 264521.0381181574 6649167.759835395 51.44, 264520.5552896628 6649167.974515631 51.43, 264518.6801337425 6649169.11949005 51.36, 264518.3485861581 6649169.229998997 51.35, 264518.0116045225 6649169.280720944 51.34, 264518.51797850244 6649169.435632859 51.38)</t>
  </si>
  <si>
    <t>POLYGON Z ((264518.51797850244 6649169.435632859 51.38, 264526.3581845036 6649171.023756051 51.64, 264528.8737520706 6649171.6189545365 51.74, 264534.0543524631 6649172.906281456 51.9, 264537.5926301276 6649173.920913076 52.03, 264541.60014062724 6649175.12397269 52.21, 264544.5577602215 6649176.161239863 52.34, 264549.5743893473 6649177.965810443 52.52, 264549.57257799624 6649177.94588145 52.03, 264550.29273260577 6649178.242111722 52.52, 264549.9793089541 6649177.999334899 52.51, 264549.7338254295 6649177.730289349 52.5, 264548.2256070784 6649175.506370366 52.42, 264548.02632334 6649175.192938444 52.42, 264547.7056542861 6649174.870445629 52.4, 264545.10856596555 6649173.931018284 52.300000000000004, 264542.25602543214 6649172.944481295 52.19, 264541.2613849505 6649173.165492962 52.15, 264540.89088718605 6649173.179073951 52.14, 264540.58380324754 6649173.006048577 52.13, 264539.9406558343 6649172.230618753 52.1, 264537.93961968436 6649171.548467243 52, 264535.5155462093 6649170.854531571 51.92, 264533.1376704096 6649170.226724662 51.82, 264530.8358857819 6649169.662329487 51.75, 264529.38017160643 6649169.342532901 51.7, 264528.4244812598 6649169.660472523 51.67, 264528.0322431085 6649169.655935851 51.660000000000004, 264527.68982952344 6649169.536355649 51.65, 264526.9098961073 6649168.803498665 51.620000000000005, 264526.1100233194 6649168.6250288375 51.69, 264521.37419411005 6649167.699148947 51.46, 264521.0381181574 6649167.759835395 51.44, 264520.5552896628 6649167.974515631 51.43, 264518.6801337425 6649169.11949005 51.36, 264518.3485861581 6649169.229998997 51.35, 264518.0116045225 6649169.280720944 51.34, 264518.51797850244 6649169.435632859 51.38))</t>
  </si>
  <si>
    <t>LINESTRING Z (264600.78671393474 6649208.294102494 54.86, 264600.9823790387 6649208.346646064 54.870000000000005, 264601.272255001 6649208.3303459 54.89, 264603.4100924924 6649208.085802709 54.96, 264603.81954235723 6649208.0586344125 54.97, 264604.2779069677 6649208.127488328 54.99, 264607.96471614076 6649210.665779891 55.17, 264611.08446303906 6649212.823599101 55.32, 264622.32424687775 6649220.643200409 55.88, 264622.7164705601 6649221.421342439 55.88, 264623.1331313927 6649223.352646326 55.92, 264623.24364040245 6649223.684193577 55.93, 264623.4329596589 6649223.998530903 55.93, 264623.0044926262 6649223.705929873 55.93, 264621.11035999533 6649222.431348368 55.870000000000005, 264615.81295243313 6649218.642939271 55.620000000000005, 264610.4240509542 6649214.953267051 55.36, 264603.0513381913 6649209.886648618 55.02, 264601.3338472025 6649208.676386103 54.9, 264600.78671393474 6649208.294102494 54.86)</t>
  </si>
  <si>
    <t>POLYGON Z ((264600.78671393474 6649208.294102494 54.86, 264600.9823790387 6649208.346646064 54.870000000000005, 264601.272255001 6649208.3303459 54.89, 264603.4100924924 6649208.085802709 54.96, 264603.81954235723 6649208.0586344125 54.97, 264604.2779069677 6649208.127488328 54.99, 264607.96471614076 6649210.665779891 55.17, 264611.08446303906 6649212.823599101 55.32, 264622.32424687775 6649220.643200409 55.88, 264622.7164705601 6649221.421342439 55.88, 264623.1331313927 6649223.352646326 55.92, 264623.24364040245 6649223.684193577 55.93, 264623.4329596589 6649223.998530903 55.93, 264623.0044926262 6649223.705929873 55.93, 264621.11035999533 6649222.431348368 55.870000000000005, 264615.81295243313 6649218.642939271 55.620000000000005, 264610.4240509542 6649214.953267051 55.36, 264603.0513381913 6649209.886648618 55.02, 264601.3338472025 6649208.676386103 54.9, 264600.78671393474 6649208.294102494 54.86))</t>
  </si>
  <si>
    <t>['KV15950 S1D1 m174-207']</t>
  </si>
  <si>
    <t>LINESTRING Z (264516.86830051744 6649174.940525657 51.45, 264517.0168602678 6649175.027491197 51.45, 264517.2043702721 6649175.211384704 51.45, 264519.1664337845 6649177.012275181 51.550000000000004, 264519.8412903178 6649177.58388675 51.58, 264523.44389000477 6649178.311361312 51.68, 264524.75285588554 6649178.564121279 51.71, 264525.5083505857 6649178.254330594 51.730000000000004, 264525.75112332846 6649178.161937207 51.730000000000004, 264526.1569486899 6649178.20542617 51.74, 264526.457690876 6649178.41921522 51.75, 264526.5455579484 6649178.501650304 51.75, 264527.2167896809 6649179.143918998 51.77, 264529.21058270877 6649179.6358393 51.83, 264532.39104843687 6649180.472009288 51.96, 264536.8179717061 6649181.757510002 52.14, 264537.78724915924 6649181.478522624 52.18, 264538.15774487064 6649181.575456763 52.19, 264538.5164626688 6649181.763882731 52.2, 264538.6405629604 6649181.913352261 52.21, 264539.1496456538 6649182.540218194 52.24, 264544.2333095549 6649184.308555374 52.45, 264544.6617829406 6649184.269611298 52.46, 264545.0359054576 6649184.185373117 52.47, 264547.0876944475 6649183.546778763 52.49, 264547.7951758021 6649183.3719606185 52.5, 264547.9636665761 6649183.346599629 52.5, 264547.91384409077 6649183.35112801 52.5, 264547.4645401675 6649183.160888647 52.52, 264544.33209419204 6649181.858200882 52.410000000000004, 264542.03122157854 6649180.972225035 52.31, 264540.0682320493 6649180.26652198 52.230000000000004, 264537.52640006715 6649179.382353294 52.13, 264535.1304086782 6649178.665771752 52.02, 264532.6465481132 6649177.977270257 51.89, 264530.2360596283 6649177.432802156 51.83, 264527.7213977332 6649176.847568299 51.74, 264525.18952381844 6649176.2940392615 51.67, 264521.4836544335 6649175.646278581 51.59, 264517.37648793 6649175.0048513785 51.47, 264516.86830051744 6649174.940525657 51.45)</t>
  </si>
  <si>
    <t>POLYGON Z ((264516.86830051744 6649174.940525657 51.45, 264517.0168602678 6649175.027491197 51.45, 264517.2043702721 6649175.211384704 51.45, 264519.1664337845 6649177.012275181 51.550000000000004, 264519.8412903178 6649177.58388675 51.58, 264523.44389000477 6649178.311361312 51.68, 264524.75285588554 6649178.564121279 51.71, 264525.5083505857 6649178.254330594 51.730000000000004, 264525.75112332846 6649178.161937207 51.730000000000004, 264526.1569486899 6649178.20542617 51.74, 264526.457690876 6649178.41921522 51.75, 264526.5455579484 6649178.501650304 51.75, 264527.2167896809 6649179.143918998 51.77, 264529.21058270877 6649179.6358393 51.83, 264532.39104843687 6649180.472009288 51.96, 264536.8179717061 6649181.757510002 52.14, 264537.78724915924 6649181.478522624 52.18, 264538.15774487064 6649181.575456763 52.19, 264538.5164626688 6649181.763882731 52.2, 264538.6405629604 6649181.913352261 52.21, 264539.1496456538 6649182.540218194 52.24, 264544.2333095549 6649184.308555374 52.45, 264544.6617829406 6649184.269611298 52.46, 264545.0359054576 6649184.185373117 52.47, 264547.0876944475 6649183.546778763 52.49, 264547.7951758021 6649183.3719606185 52.5, 264547.9636665761 6649183.346599629 52.5, 264547.91384409077 6649183.35112801 52.5, 264547.4645401675 6649183.160888647 52.52, 264544.33209419204 6649181.858200882 52.410000000000004, 264542.03122157854 6649180.972225035 52.31, 264540.0682320493 6649180.26652198 52.230000000000004, 264537.52640006715 6649179.382353294 52.13, 264535.1304086782 6649178.665771752 52.02, 264532.6465481132 6649177.977270257 51.89, 264530.2360596283 6649177.432802156 51.83, 264527.7213977332 6649176.847568299 51.74, 264525.18952381844 6649176.2940392615 51.67, 264521.4836544335 6649175.646278581 51.59, 264517.37648793 6649175.0048513785 51.47, 264516.86830051744 6649174.940525657 51.45))</t>
  </si>
  <si>
    <t>2025-02-11</t>
  </si>
  <si>
    <t>[419]</t>
  </si>
  <si>
    <t>['FV419 S2D1 m1055-1094']</t>
  </si>
  <si>
    <t>LINESTRING Z (143476.4512631175 6499059.47172754 18.75, 143474.6087038216 6499058.772044997 18.740000000000002, 143471.76364770107 6499057.770021755 18.69, 143468.90400368918 6499056.829639958 18.6, 143466.05358404556 6499055.7677629255 18.48, 143465.15009216923 6499055.335881919 18.46, 143462.58760566753 6499053.896253445 18.36, 143457.3975581695 6499050.851880332 18.26, 143452.2401190694 6499047.834752096 18.18, 143450.65034520812 6499046.589520141 18.16, 143448.3577710691 6499044.68325325 18.19, 143446.10524211405 6499042.662784992 18.19, 143443.2015787639 6499039.996763437 18.26)</t>
  </si>
  <si>
    <t>POINT (143459.03741728375 6499051.067936856)</t>
  </si>
  <si>
    <t>['FV120 S5D1 m9832 SD1 m7-58']</t>
  </si>
  <si>
    <t>LINESTRING Z (301113.51 6560269.221 110.199, 301114.26 6560269.45 110.207, 301115.21 6560269.75 110.217, 301116.17 6560270.04 110.227, 301117.12 6560270.34 110.237, 301118.07 6560270.64 110.247, 301119.02 6560270.93 110.257, 301119.98 6560271.24 110.267, 301120.94 6560271.53 110.267, 301121.9 6560271.84 110.277, 301122.86 6560272.14 110.277, 301123.82 6560272.44 110.287, 301124.77 6560272.74 110.287, 301125.74 6560273.05 110.287, 301126.7 6560273.34 110.297, 301127.66 6560273.65 110.297, 301128.63 6560273.95 110.297, 301129.61 6560274.25 110.297, 301130.58 6560274.56 110.287, 301131.56 6560274.86 110.267, 301132.55 6560275.16 110.247, 301133.53 6560275.48 110.227, 301134.51 6560275.78 110.207, 301135.49 6560276.08 110.187, 301136.46 6560276.39 110.167, 301137.44 6560276.7 110.157, 301138.43 6560277 110.137, 301139.41 6560277.31 110.117, 301140.38 6560277.61 110.107, 301141.35 6560277.91 110.097, 301142.31 6560278.21 110.097, 301143.28 6560278.51 110.097, 301144.25 6560278.8 110.087, 301145.22 6560279.1 110.087, 301146.18 6560279.4 110.077, 301147.14 6560279.7 110.067, 301148.11 6560280 110.057, 301149.06 6560280.29 110.057, 301150.01 6560280.59 110.057, 301150.96 6560280.89 110.057, 301151.92 6560281.17 110.057, 301152.87 6560281.47 110.057, 301153.82 6560281.76 110.047, 301154.77 6560282.06 110.047, 301155.73 6560282.35 110.047, 301156.67 6560282.64 110.047, 301157.62 6560282.94 110.057, 301158.56 6560283.22 110.057, 301159.51 6560283.51 110.067, 301160.46 6560283.81 110.077, 301161.4 6560284.09 110.077, 301162.35 6560284.38 110.087, 301163.29 6560284.68 110.087, 301164.24 6560284.96 110.097, 301165.18 6560285.25 110.107, 301166.12 6560285.54 110.117, 301167.07 6560285.83 110.127, 301168 6560286.11 110.137, 301168.93 6560286.4 110.137, 301169.86 6560286.67 110.147, 301170.8 6560286.95 110.147, 301171.73 6560287.24 110.147, 301172.66 6560287.52 110.157, 301173.58 6560287.79 110.157, 301174.51 6560288.08 110.167, 301175.45 6560288.36 110.167, 301176.38 6560288.64 110.177, 301177.31 6560288.92 110.177, 301178.23 6560289.19 110.187, 301179.2 6560289.47 110.197, 301180.18 6560289.74 110.207, 301181.15 6560290.02 110.217, 301182.12 6560290.29 110.227, 301183.09 6560290.56 110.237, 301184.06 6560290.84 110.247, 301185.04 6560291.12 110.257, 301186.01 6560291.39 110.257, 301186.99 6560291.67 110.267, 301187.95 6560291.93 110.287, 301188.9 6560292.2 110.307, 301189.86 6560292.46 110.317, 301190.82 6560292.73 110.337, 301191.78 6560292.99 110.357, 301192.74 6560293.26 110.377, 301193.69 6560293.52 110.387, 301194.65 6560293.79 110.407, 301195.61 6560294.05 110.417, 301196.59 6560294.33 110.437, 301197.57 6560294.6 110.447, 301198.54 6560294.87 110.457, 301199.51 6560295.15 110.467, 301200.49 6560295.43 110.477, 301201.46 6560295.71 110.487, 301202.246 6560295.926 110.495)</t>
  </si>
  <si>
    <t>POINT (301157.79691716935 6560282.846502139)</t>
  </si>
  <si>
    <t>['FV220 S2D1 m3876-3941']</t>
  </si>
  <si>
    <t>LINESTRING Z (299154.453 6543886.649 129.307, 299153.2 6543889.1 129.307, 299147 6543902.2 129.407, 299140.8 6543915.2 129.807, 299134.6 6543926.7 129.707, 299129.2 6543939.1 129.607, 299126.637 6543945.364 129.702)</t>
  </si>
  <si>
    <t>POINT (299140.29602082627 6543915.896679374)</t>
  </si>
  <si>
    <t>LINESTRING Z (277026.952 6623581.507 110.881, 277029.462 6623584.491 111.084, 277035.67 6623591.87 111.585, 277037.81 6623596.89 111.585, 277038.38 6623614.65 111.495, 277038.5 6623625.29 111.495, 277037.88 6623628.03 111.495, 277036.11 6623630.4 111.585, 277030.637 6623633.895 110.813, 277027.49 6623635.905 110.369)</t>
  </si>
  <si>
    <t>POINT (277035.52470828866 6623609.533679401)</t>
  </si>
  <si>
    <t>['FV21 S2D1 m2580-2682']</t>
  </si>
  <si>
    <t>LINESTRING Z (298725.276 6559728.801 82.44, 298725.58 6559729.01 82.444, 298726.41 6559729.56 82.464, 298727.24 6559730.12 82.484, 298728.07 6559730.69 82.494, 298728.9 6559731.25 82.514, 298729.73 6559731.8 82.534, 298730.56 6559732.36 82.544, 298731.39 6559732.93 82.564, 298732.21 6559733.49 82.584, 298733.05 6559734.05 82.594, 298733.87 6559734.61 82.614, 298734.71 6559735.17 82.624, 298735.54 6559735.74 82.644, 298736.36 6559736.3 82.654, 298737.23 6559736.88 82.674, 298738.1 6559737.46 82.704, 298738.97 6559738.03 82.724, 298739.84 6559738.61 82.744, 298740.71 6559739.18 82.774, 298741.58 6559739.76 82.794, 298742.44 6559740.33 82.824, 298743.32 6559740.9 82.844, 298744.18 6559741.48 82.874, 298745.05 6559742.05 82.894, 298745.92 6559742.63 82.914, 298746.79 6559743.2 82.934, 298747.65 6559743.78 82.954, 298748.53 6559744.35 82.964, 298749.36 6559744.91 82.984, 298750.2 6559745.48 82.994, 298751.03 6559746.03 82.994, 298751.85 6559746.6 83.004, 298752.69 6559747.17 83.014, 298753.52 6559747.73 83.024, 298754.36 6559748.3 83.024, 298755.17 6559748.84 83.034, 298755.98 6559749.38 83.044, 298756.8 6559749.93 83.054, 298757.62 6559750.47 83.064, 298758.44 6559751.02 83.074, 298759.25 6559751.56 83.084, 298760.06 6559752.11 83.094, 298760.89 6559752.65 83.104, 298761.7 6559753.2 83.114, 298762.52 6559753.75 83.124, 298763.37 6559754.3 83.144, 298764.2 6559754.86 83.164, 298765.03 6559755.42 83.174, 298765.87 6559755.97 83.194, 298766.7 6559756.53 83.214, 298767.53 6559757.09 83.234, 298768.37 6559757.65 83.254, 298769.2 6559758.21 83.274, 298770.03 6559758.76 83.294, 298770.87 6559759.32 83.314, 298771.7 6559759.88 83.334, 298772.51 6559760.42 83.344, 298773.34 6559760.96 83.364, 298774.16 6559761.49 83.374, 298774.94 6559762.03 83.384, 298775.72 6559762.55 83.394, 298776.5 6559763.08 83.404, 298777.27 6559763.6 83.414, 298778.05 6559764.14 83.424, 298778.83 6559764.66 83.424, 298779.61 6559765.19 83.434, 298780.39 6559765.71 83.444, 298781.16 6559766.24 83.454, 298781.95 6559766.78 83.464, 298782.74 6559767.31 83.464, 298783.53 6559767.84 83.474, 298784.31 6559768.38 83.484, 298785.09 6559768.91 83.494, 298785.88 6559769.45 83.504, 298786.66 6559769.99 83.504, 298787.44 6559770.52 83.514, 298788.29 6559771.09 83.524, 298789.13 6559771.64 83.544, 298789.97 6559772.19 83.555, 298790.82 6559772.75 83.575, 298791.67 6559773.3 83.585, 298792.52 6559773.87 83.595, 298793.37 6559774.43 83.605, 298794.21 6559774.98 83.615, 298795.07 6559775.54 83.625, 298795.91 6559776.09 83.635, 298796.76 6559776.65 83.645, 298797.61 6559777.22 83.645, 298798.46 6559777.77 83.655, 298799.31 6559778.33 83.665, 298800.16 6559778.88 83.675, 298801.01 6559779.46 83.685, 298801.86 6559780.04 83.705, 298802.72 6559780.61 83.725, 298803.56 6559781.19 83.735, 298804.42 6559781.77 83.755, 298805.26 6559782.35 83.765, 298806.11 6559782.93 83.785, 298806.96 6559783.5 83.795, 298807.81 6559784.09 83.815, 298808.63 6559784.64 83.835, 298809.47 6559785.19 83.845, 298810.05 6559785.572 83.859)</t>
  </si>
  <si>
    <t>POINT (298767.6583910619 6559757.193834591)</t>
  </si>
  <si>
    <t>['FV457 S1D1 m5449-5494']</t>
  </si>
  <si>
    <t>LINESTRING Z (87537.93276634841 6458582.130823072 6.115975786745548, 87536.59224332351 6458582.981862546 6.166976040065289, 87535.04936720495 6458584.30468315 6.192976211428642, 87530.55784698098 6458588.366539696 6.103976658463478, 87529.82515638543 6458588.994310561 6.072976740419865, 87529.04074536625 6458589.572372529 6.080976859629154, 87528.65027778427 6458589.852697145 6.057976919233799, 87527.7844713229 6458590.386717147 6.0819770831465725, 87527.20659650536 6458590.7089207135 6.090977209806442, 87526.37485125609 6458591.162436185 6.080977388620377, 87521.87977054354 6458593.572712309 6.039978357195855, 87515.70018659491 6458596.868756671 6.018979705750942, 87512.12931701052 6458598.756902278 6.0009804955124855, 87511.22071980959 6458599.217277779 5.998980696678162, 87510.32595367025 6458599.652274019 5.947980905294418, 87509.8777785126 6458599.827086628 5.948981024503708, 87509.39224716928 6458599.989137253 5.944981166064739, 87508.92828232108 6458600.111033728 5.937981307625771, 87508.40291971958 6458600.164970574 5.929981486439705, 87503.2382046894 6458600.979096755 5.9209832298755645, 87500.53578419622 6458601.3822894525 5.930984146296979, 87499.63970649365 6458601.509558033 5.928984451770782, 87498.77011331002 6458601.640498739 5.933984749794006, 87498.31791233493 6458601.725128136 5.925984898805618, 87497.86389338516 6458601.811931867 5.932985047817231, 87497.13859255798 6458601.970233977 5.922985278785229, 87496.38113892358 6458602.15152667 5.922985509753228)</t>
  </si>
  <si>
    <t>POINT (87518.1829366549 6458594.385146854)</t>
  </si>
  <si>
    <t>['FV457 S1D1 m5456-5480']</t>
  </si>
  <si>
    <t>LINESTRING Z (87519.697 6458578.916 6.18, 87516.229 6458580.181 6.16, 87508.086 6458584.308 6.05, 87499.32 6458588.6620000005 5.9)</t>
  </si>
  <si>
    <t>POINT (87509.4452529542 6458583.64011808)</t>
  </si>
  <si>
    <t>['EV6 S91D1 m1182-1204', 'EV6 S91D1 m1210 SD1 m4-75']</t>
  </si>
  <si>
    <t>LINESTRING Z (329992.3286456338 7110101.327649001 68.869651, 329993.81378985697 7110088.27092056 69.357573, 329994.45334397274 7110089.802729356 69.300997, 329995.2156752632 7110092.870740526 69.243782, 329997.3754632581 7110095.148771993 69.319805, 330000.84212626447 7110097.77561771 69.488382, 330006.0392119935 7110101.566097715 69.702632, 330010.6901185566 7110105.314925784 69.77829, 330013.32108070236 7110108.028871539 69.805126, 330015.69543394994 7110113.170141249 69.745577, 330017.37965622696 7110118.510271001 69.64605, 330018.5131708524 7110120.730888579 69.635503, 330015.70201924606 7110122.064615743 69.524215, 330015.03403632494 7110127.987219527 69.328434, 330014.4497425127 7110130.97895045 69.255483, 330012.9546140713 7110134.656353678 68.992558, 330010.82125668635 7110137.629083055 68.844892, 330007.20449989894 7110140.797460259 68.64402, 330002.0526062745 7110143.296788726 68.278999, 329997.03573779366 7110144.699775211 67.971303, 329992.2770720973 7110145.625005099 67.684934, 329988.6727951345 7110146.550441584 67.444896, 329985.7472324753 7110148.7856038045 67.137611, 329982.7353697177 7110151.984694094 66.914472, 329985.3374593919 7110140.897514136 67.360549, 329987.35669973085 7110132.0315757245 67.719808, 329988.6134189797 7110125.643443139 67.966705, 329989.60390706 7110128.811102059 67.803545, 329990.9381394302 7110132.209086026 67.744022, 329992.85107328097 7110135.305208559 67.818176, 329995.2246784742 7110136.922475213 67.899293, 329997.308269285 7110136.83200135 67.996769, 330001.10681816825 7110135.742106488 68.191012, 330004.07514841284 7110133.893036478 68.400542, 330006.62233324826 7110129.913010436 68.674069, 330008.31646357314 7110125.412367712 68.967224, 330009.4116525084 7110120.197529206 69.217361, 330009.1891749392 7110115.248308489 69.403972, 330007.2080987208 7110111.377799647 69.431277, 330004.0658163247 7110109.232643737 69.301116, 330000.10213476093 7110108.321934653 69.078378, 329997.47791907494 7110108.849718371 68.907292, 329994.569758042 7110110.734479407 68.691621, 329992.3874997645 7110113.023436067 68.516997, 329990.2740766398 7110115.649353977 68.342125, 329991.6185014013 7110105.260880636 68.720275, 329992.1877671882 7110103.021881587 68.822058)</t>
  </si>
  <si>
    <t>POLYGON Z ((329992.3286456338 7110101.327649001 68.869651, 329993.81378985697 7110088.27092056 69.357573, 329994.45334397274 7110089.802729356 69.300997, 329995.2156752632 7110092.870740526 69.243782, 329997.3754632581 7110095.148771993 69.319805, 330000.84212626447 7110097.77561771 69.488382, 330006.0392119935 7110101.566097715 69.702632, 330010.6901185566 7110105.314925784 69.77829, 330013.32108070236 7110108.028871539 69.805126, 330015.69543394994 7110113.170141249 69.745577, 330017.37965622696 7110118.510271001 69.64605, 330018.5131708524 7110120.730888579 69.635503, 330015.70201924606 7110122.064615743 69.524215, 330015.03403632494 7110127.987219527 69.328434, 330014.4497425127 7110130.97895045 69.255483, 330012.9546140713 7110134.656353678 68.992558, 330010.82125668635 7110137.629083055 68.844892, 330007.20449989894 7110140.797460259 68.64402, 330002.0526062745 7110143.296788726 68.278999, 329997.03573779366 7110144.699775211 67.971303, 329992.2770720973 7110145.625005099 67.684934, 329988.6727951345 7110146.550441584 67.444896, 329985.7472324753 7110148.7856038045 67.137611, 329982.7353697177 7110151.984694094 66.914472, 329985.3374593919 7110140.897514136 67.360549, 329987.35669973085 7110132.0315757245 67.719808, 329988.6134189797 7110125.643443139 67.966705, 329989.60390706 7110128.811102059 67.803545, 329990.9381394302 7110132.209086026 67.744022, 329992.85107328097 7110135.305208559 67.818176, 329995.2246784742 7110136.922475213 67.899293, 329997.308269285 7110136.83200135 67.996769, 330001.10681816825 7110135.742106488 68.191012, 330004.07514841284 7110133.893036478 68.400542, 330006.62233324826 7110129.913010436 68.674069, 330008.31646357314 7110125.412367712 68.967224, 330009.4116525084 7110120.197529206 69.217361, 330009.1891749392 7110115.248308489 69.403972, 330007.2080987208 7110111.377799647 69.431277, 330004.0658163247 7110109.232643737 69.301116, 330000.10213476093 7110108.321934653 69.078378, 329997.47791907494 7110108.849718371 68.907292, 329994.569758042 7110110.734479407 68.691621, 329992.3874997645 7110113.023436067 68.516997, 329990.2740766398 7110115.649353977 68.342125, 329991.6185014013 7110105.260880636 68.720275, 329992.1877671882 7110103.021881587 68.822058, 329992.3286456338 7110101.327649001 68.869651))</t>
  </si>
  <si>
    <t>2025-03-14</t>
  </si>
  <si>
    <t>['RV3 S12D1 m7875-7921']</t>
  </si>
  <si>
    <t>LINESTRING Z (288273.914910542 6831244.49362219 276.303, 288270.7684876942 6831247.182383988 276.293, 288267.65861482837 6831250.908605499 276.368, 288265.62387672235 6831254.407929113 276.459, 288254.923731957 6831272.437424997 276.79200000000003, 288253.82156339387 6831274.01407954 276.841, 288251.93953997595 6831277.393808251 276.91700000000003, 288250.585605353 6831281.9986784095 277.00600000000003, 288250.52095949 6831283.833144631 277.07800000000003, 288250.96523955977 6831284.6621506 277.07800000000003, 288260.8063923075 6831268.01404342 277.07800000000003, 288264.89166682353 6831260.979777636 277.07800000000003, 288271.0421955624 6831250.754817098 277.07800000000003, 288274.6238258673 6831244.620034441 277.07800000000003, 288273.914910542 6831244.49362219 276.303)</t>
  </si>
  <si>
    <t>POLYGON Z ((288273.914910542 6831244.49362219 276.303, 288270.7684876942 6831247.182383988 276.293, 288267.65861482837 6831250.908605499 276.368, 288265.62387672235 6831254.407929113 276.459, 288254.923731957 6831272.437424997 276.79200000000003, 288253.82156339387 6831274.01407954 276.841, 288251.93953997595 6831277.393808251 276.91700000000003, 288250.585605353 6831281.9986784095 277.00600000000003, 288250.52095949 6831283.833144631 277.07800000000003, 288250.96523955977 6831284.6621506 277.07800000000003, 288260.8063923075 6831268.01404342 277.07800000000003, 288264.89166682353 6831260.979777636 277.07800000000003, 288271.0421955624 6831250.754817098 277.07800000000003, 288274.6238258673 6831244.620034441 277.07800000000003, 288273.914910542 6831244.49362219 276.303))</t>
  </si>
  <si>
    <t>['RV3 S12D1 m7756-7833']</t>
  </si>
  <si>
    <t>LINESTRING Z (288300.9167627711 6831212.377977704 275.841, 288302.0400202167 6831212.421913963 275.66, 288307.14816434076 6831208.293111116 275.546, 288309.64568031183 6831205.888328124 275.51800000000003, 288311.48613945063 6831203.015779415 275.531, 288311.8643261563 6831202.356949901 275.53000000000003, 288323.65940024896 6831182.56361151 275.293, 288327.1323960041 6831176.840734287 275.187, 288333.8637602814 6831165.29022613 274.948, 288335.6469082815 6831161.9929747125 274.899, 288339.49987357634 6831152.704603561 274.794, 288340.9358458908 6831147.20403554 274.78000000000003, 288340.87876487046 6831146.248846315 274.914, 288340.50097415637 6831146.052667437 274.944, 288300.9167627711 6831212.377977704 275.841)</t>
  </si>
  <si>
    <t>POLYGON Z ((288300.9167627711 6831212.377977704 275.841, 288302.0400202167 6831212.421913963 275.66, 288307.14816434076 6831208.293111116 275.546, 288309.64568031183 6831205.888328124 275.51800000000003, 288311.48613945063 6831203.015779415 275.531, 288311.8643261563 6831202.356949901 275.53000000000003, 288323.65940024896 6831182.56361151 275.293, 288327.1323960041 6831176.840734287 275.187, 288333.8637602814 6831165.29022613 274.948, 288335.6469082815 6831161.9929747125 274.899, 288339.49987357634 6831152.704603561 274.794, 288340.9358458908 6831147.20403554 274.78000000000003, 288340.87876487046 6831146.248846315 274.914, 288340.50097415637 6831146.052667437 274.944, 288300.9167627711 6831212.377977704 275.841))</t>
  </si>
  <si>
    <t>['FV51 S13D1 m7994-8030']</t>
  </si>
  <si>
    <t>LINESTRING (176579.03024859988 6838767.782596529, 176580.43707128835 6838768.259052414, 176582.00158576592 6838768.505971179, 176584.34781685687 6838768.679553094, 176585.89568860584 6838768.749081987, 176587.70785054076 6838768.579073825, 176589.870930586 6838767.946658764, 176591.70648192207 6838766.879694347, 176593.03900011774 6838766.182037098, 176596.3346268352 6838766.159189917, 176602.59150645597 6838767.898609273, 176605.05530050467 6838769.707540195, 176608.1807060631 6838773.601834798, 176608.84662933694 6838777.261571638, 176609.4692854408 6838780.460088273, 176610.55620926985 6838782.111854052)</t>
  </si>
  <si>
    <t>POINT (176597.6425866684 6838770.391198293)</t>
  </si>
  <si>
    <t>['FV500 S7D1 m8108-8162']</t>
  </si>
  <si>
    <t>LINESTRING Z (-19840.3496838804 6665084.903672738 13.094, -19838.395856904448 6665084.496170711 13.196, -19833.59049107757 6665083.619571146 13.529, -19828.928665661602 6665082.825527129 13.888, -19823.621649914538 6665081.884118708 14.216000000000001, -19820.491620717687 6665080.856937512 14.47, -19813.883329370932 6665078.3136699665 14.949, -19806.333874153323 6665075.4228781015 15.486, -19806.29519200558 6665075.438489971 15.504, -19804.42648730526 6665074.715476874 15.661, -19802.35400832555 6665073.50966215 15.82, -19797.614322523237 6665070.4517402 16.19, -19792.455361756613 6665067.176389538 16.583000000000002, -19789.483169225045 6665065.28946436 16.8, -19840.3496838804 6665084.903672738 13.094)</t>
  </si>
  <si>
    <t>POLYGON Z ((-19840.3496838804 6665084.903672738 13.094, -19838.395856904448 6665084.496170711 13.196, -19833.59049107757 6665083.619571146 13.529, -19828.928665661602 6665082.825527129 13.888, -19823.621649914538 6665081.884118708 14.216000000000001, -19820.491620717687 6665080.856937512 14.47, -19813.883329370932 6665078.3136699665 14.949, -19806.333874153323 6665075.4228781015 15.486, -19806.29519200558 6665075.438489971 15.504, -19804.42648730526 6665074.715476874 15.661, -19802.35400832555 6665073.50966215 15.82, -19797.614322523237 6665070.4517402 16.19, -19792.455361756613 6665067.176389538 16.583000000000002, -19789.483169225045 6665065.28946436 16.8, -19840.3496838804 6665084.903672738 13.094))</t>
  </si>
  <si>
    <t>['FV500 S7D1 m7940-7988']</t>
  </si>
  <si>
    <t>LINESTRING Z (-19677.42590337945 6665027.477565522 24.995, -19677.366575546737 6665027.74205173 24.987000000000002, -19675.329284808948 6665028.1517213145 25.127, -19673.078763922676 6665028.17138402 25.375, -19669.826019549975 6665028.1602177005 25.481, -19665.531447988527 6665028.23244068 25.743000000000002, -19662.250289790623 6665027.526847711 25.957, -19656.63976102468 6665026.45710366 26.251, -19651.766380891786 6665025.022454446 26.490000000000002, -19646.73375652067 6665023.478644105 26.807000000000002, -19643.82708923117 6665022.486908347 27.028000000000002, -19638.718658935162 6665019.563594731 27.305, -19634.29864575091 6665016.733172471 27.591, -19630.36737841094 6665014.042919495 28.056, -19630.827289222856 6665013.249954286 27.881, -19630.907187309756 6665013.27938391 27.881, -19636.090265671548 6665015.4602527665 27.562, -19640.108582630986 6665017.028527968 27.335, -19644.336000639363 6665018.645046031 27.067, -19648.962553198857 6665020.357320692 26.776, -19654.079884678125 6665021.955167484 26.42, -19658.148557988752 6665023.136287719 26.172, -19667.308347226586 6665025.086084652 25.658, -19670.45756844175 6665025.847136804 25.477, -19677.42590337945 6665027.477565522 24.995)</t>
  </si>
  <si>
    <t>POLYGON Z ((-19677.42590337945 6665027.477565522 24.995, -19677.366575546737 6665027.74205173 24.987000000000002, -19675.329284808948 6665028.1517213145 25.127, -19673.078763922676 6665028.17138402 25.375, -19669.826019549975 6665028.1602177005 25.481, -19665.531447988527 6665028.23244068 25.743000000000002, -19662.250289790623 6665027.526847711 25.957, -19656.63976102468 6665026.45710366 26.251, -19651.766380891786 6665025.022454446 26.490000000000002, -19646.73375652067 6665023.478644105 26.807000000000002, -19643.82708923117 6665022.486908347 27.028000000000002, -19638.718658935162 6665019.563594731 27.305, -19634.29864575091 6665016.733172471 27.591, -19630.36737841094 6665014.042919495 28.056, -19630.827289222856 6665013.249954286 27.881, -19630.907187309756 6665013.27938391 27.881, -19636.090265671548 6665015.4602527665 27.562, -19640.108582630986 6665017.028527968 27.335, -19644.336000639363 6665018.645046031 27.067, -19648.962553198857 6665020.357320692 26.776, -19654.079884678125 6665021.955167484 26.42, -19658.148557988752 6665023.136287719 26.172, -19667.308347226586 6665025.086084652 25.658, -19670.45756844175 6665025.847136804 25.477, -19677.42590337945 6665027.477565522 24.995))</t>
  </si>
  <si>
    <t>2025-05-13</t>
  </si>
  <si>
    <t>[166]</t>
  </si>
  <si>
    <t>['FV166 S1D1 m1026-1149']</t>
  </si>
  <si>
    <t>LINESTRING Z (255337.50963542584 6648290.169601957 17.31, 255346.6616409883 6648307.072784038 16.94, 255348.96079042315 6648310.946893128 16.85, 255351.15355501894 6648314.878377864 16.76, 255353.34631968057 6648318.809862496 16.67, 255355.32092061004 6648322.335088381 16.59, 255358.1074034823 6648327.329062689 16.47, 255359.93459428393 6648330.603636239 16.4, 255362.376822725 6648334.959300957 16.32, 255365.09896451407 6648339.155536515 16.26, 255367.77371081754 6648343.244707538 16.23, 255370.3924404366 6648347.247453997 16.1, 255372.75168433052 6648351.267867713 16.01, 255374.66160578612 6648355.168476639 16.04, 255375.8805939324 6648354.664367928 16.04, 255374.11680778366 6648350.112114018 16.01, 255372.05722513725 6648345.780529407 16.07, 255369.8932962457 6648341.536261123 16.14, 255367.82301198435 6648337.636543921 16.15, 255365.42932563994 6648333.257521374 16.19, 255362.98641777676 6648328.891876491 16.26, 255361.15922704432 6648325.617302985 16.330000000000002, 255358.3734237899 6648320.633308963 16.45, 255356.15798065375 6648316.6632626075 16.54, 255353.72505332233 6648312.2969377125 16.64, 255351.39621784363 6648308.134081777 16.73, 255349.0893814227 6648303.999807371 16.830000000000002, 255346.89661706306 6648300.068322436 16.91, 255344.70385276937 6648296.136837398 17, 255342.50178782814 6648292.216011985 17.09, 255340.267743745 6648288.267284327 17.18, 255338.03166119487 6648284.288615886 17.27, 255335.81078258768 6648280.238726742 17.36, 255333.6350486045 6648276.115578357 17.45, 255331.77592163318 6648272.371933079 17.53, 255329.9912004506 6648268.543009833 17.61, 255328.3015250264 6648264.637429828 17.69, 255326.53909990998 6648260.105134057 17.78, 255324.97288187026 6648255.509346878 17.85, 255323.70878875582 6648250.933095248 17.91, 255322.82296783212 6648247.052996028 17.95, 255321.95243551338 6648242.219339234 18, 255321.80600189586 6648241.246713157 18.01, 255320.49540714492 6648241.436210503 18.06, 255319.94670882745 6648246.336416882 18.07, 255319.38938944778 6648251.257263253 18.09, 255319.37100140474 6648253.785190894 18.09, 255319.8803342282 6648257.289863943 18.06, 255321.0751175856 6648260.848132588 18.01, 255322.94991538746 6648264.380154972 17.93, 255325.120680223 6648268.283059313 17.830000000000002, 255327.49759007758 6648272.562961158 17.72, 255329.8624812539 6648276.813601715 17.62, 255332.28474825012 6648281.170627071 17.52, 255334.69567608085 6648285.508371357 17.42, 255337.0322404662 6648289.490224976 17.330000000000002, 255337.50963542584 6648290.169601957 17.31)</t>
  </si>
  <si>
    <t>POLYGON Z ((255337.50963542584 6648290.169601957 17.31, 255346.6616409883 6648307.072784038 16.94, 255348.96079042315 6648310.946893128 16.85, 255351.15355501894 6648314.878377864 16.76, 255353.34631968057 6648318.809862496 16.67, 255355.32092061004 6648322.335088381 16.59, 255358.1074034823 6648327.329062689 16.47, 255359.93459428393 6648330.603636239 16.4, 255362.376822725 6648334.959300957 16.32, 255365.09896451407 6648339.155536515 16.26, 255367.77371081754 6648343.244707538 16.23, 255370.3924404366 6648347.247453997 16.1, 255372.75168433052 6648351.267867713 16.01, 255374.66160578612 6648355.168476639 16.04, 255375.8805939324 6648354.664367928 16.04, 255374.11680778366 6648350.112114018 16.01, 255372.05722513725 6648345.780529407 16.07, 255369.8932962457 6648341.536261123 16.14, 255367.82301198435 6648337.636543921 16.15, 255365.42932563994 6648333.257521374 16.19, 255362.98641777676 6648328.891876491 16.26, 255361.15922704432 6648325.617302985 16.330000000000002, 255358.3734237899 6648320.633308963 16.45, 255356.15798065375 6648316.6632626075 16.54, 255353.72505332233 6648312.2969377125 16.64, 255351.39621784363 6648308.134081777 16.73, 255349.0893814227 6648303.999807371 16.830000000000002, 255346.89661706306 6648300.068322436 16.91, 255344.70385276937 6648296.136837398 17, 255342.50178782814 6648292.216011985 17.09, 255340.267743745 6648288.267284327 17.18, 255338.03166119487 6648284.288615886 17.27, 255335.81078258768 6648280.238726742 17.36, 255333.6350486045 6648276.115578357 17.45, 255331.77592163318 6648272.371933079 17.53, 255329.9912004506 6648268.543009833 17.61, 255328.3015250264 6648264.637429828 17.69, 255326.53909990998 6648260.105134057 17.78, 255324.97288187026 6648255.509346878 17.85, 255323.70878875582 6648250.933095248 17.91, 255322.82296783212 6648247.052996028 17.95, 255321.95243551338 6648242.219339234 18, 255321.80600189586 6648241.246713157 18.01, 255320.49540714492 6648241.436210503 18.06, 255319.94670882745 6648246.336416882 18.07, 255319.38938944778 6648251.257263253 18.09, 255319.37100140474 6648253.785190894 18.09, 255319.8803342282 6648257.289863943 18.06, 255321.0751175856 6648260.848132588 18.01, 255322.94991538746 6648264.380154972 17.93, 255325.120680223 6648268.283059313 17.830000000000002, 255327.49759007758 6648272.562961158 17.72, 255329.8624812539 6648276.813601715 17.62, 255332.28474825012 6648281.170627071 17.52, 255334.69567608085 6648285.508371357 17.42, 255337.0322404662 6648289.490224976 17.330000000000002, 255337.50963542584 6648290.169601957 17.31))</t>
  </si>
  <si>
    <t>['FV6591 S1D1 m753-795']</t>
  </si>
  <si>
    <t>LINESTRING Z (263058.265 7019953.045 45.233, 263056.35 7019955.26 45.23, 263052.05 7019960.15 45.24, 263040.99 7019973.23 45.17, 263038.32 7019976.27 45.14, 263031.017 7019985.235 45.123)</t>
  </si>
  <si>
    <t>POINT (263044.54693744035 7019969.060880106)</t>
  </si>
  <si>
    <t>[4054]</t>
  </si>
  <si>
    <t>['FV4054 S1D1 m39-59']</t>
  </si>
  <si>
    <t>LINESTRING Z (46279.925670210505 6464385.348065872 37.6, 46288.14643314347 6464387.807247022 37.08, 46296.763455751236 6464390.383475749 36.480000000000004, 46298.68722844834 6464390.995313077 36.33, 46301.789291289344 6464391.142693084 36.11)</t>
  </si>
  <si>
    <t>POINT (46290.8060085941 6464388.555400538)</t>
  </si>
  <si>
    <t>[21597]</t>
  </si>
  <si>
    <t>['PV21597 S3D1 m48-57']</t>
  </si>
  <si>
    <t>LINESTRING Z (264693.3595635055 6649631.882658517 60.38, 264687.14165359986 6649637.310484123 60.7, 264687.6163275911 6649637.116636962 60.69, 264691.5975889645 6649636.925559595 60.61, 264696.1477857853 6649633.045825442 60.31, 264693.3595635055 6649631.882658517 60.38)</t>
  </si>
  <si>
    <t>POLYGON Z ((264693.3595635055 6649631.882658517 60.38, 264687.14165359986 6649637.310484123 60.7, 264687.6163275911 6649637.116636962 60.69, 264691.5975889645 6649636.925559595 60.61, 264696.1477857853 6649633.045825442 60.31, 264693.3595635055 6649631.882658517 60.38))</t>
  </si>
  <si>
    <t>['FV482 S1D1 m2440-2481']</t>
  </si>
  <si>
    <t>LINESTRING Z (87622.14573191886 6469034.327600768 3.0100000000000002, 87620.54378726817 6469035.595284855 3.21, 87616.78297607758 6469040.54137948 3.24, 87613.83100848284 6469044.248000953 3.25, 87612.59652968019 6469045.8273661975 3.2600000000000002, 87608.88647808216 6469050.596439476 3.2800000000000002, 87607.449152852 6469053.156010351 3.22, 87606.44709931785 6469054.921048553 3.18, 87606.22946349351 6469055.3183149295 3.17, 87603.50524710666 6469060.430714453 3.18, 87600.62293235009 6469065.661585045 3.19, 87598.80720092432 6469068.082045152 3.22)</t>
  </si>
  <si>
    <t>POINT (87609.7962252688 6469050.702043856)</t>
  </si>
  <si>
    <t>2025-09-08</t>
  </si>
  <si>
    <t>['FV51 S12D10 m2216-2320']</t>
  </si>
  <si>
    <t>LINESTRING Z (170759.1860849093 6833620.827859838 986.310263, 170761.5533310788 6833620.537422143 986.374462, 170764.347597946 6833619.673836002 986.400959, 170765.37717738887 6833619.10738204 986.415007, 170770.35902485886 6833614.367178762 986.516803, 170775.34780926135 6833609.645073256 986.654883, 170779.51405517472 6833605.632338078 986.839677, 170784.13595540577 6833601.712315198 987.110944, 170787.73733304685 6833598.684254866 987.437493, 170792.44395364128 6833594.695675163 987.820774, 170794.52220006462 6833592.868439783 988.045222, 170799.94679602102 6833589.563192603 988.494583, 170805.8487991279 6833585.8938542735 988.992987, 170812.99423641642 6833581.51517132 989.627721, 170820.33475933992 6833576.959208284 990.282977, 170825.83058883488 6833573.530589251 990.713437, 170828.2679474625 6833571.950544585 990.955399, 170833.58545595844 6833567.637767339 991.468009, 170838.9918080619 6833563.180286146 992.048643, 170843.33267254493 6833559.545853219 992.520016)</t>
  </si>
  <si>
    <t>POINT (170801.0959553388 6833590.410840992)</t>
  </si>
  <si>
    <t>['FV401 S2D1 m5112-5145']</t>
  </si>
  <si>
    <t>LINESTRING Z (94046.4773352241 6466615.641007683 11.703, 94047.71317395807 6466614.238935251 11.888, 94066.31718362076 6466592.149666707 12.476, 94067.56314370752 6466590.714499371 12.352)</t>
  </si>
  <si>
    <t>POINT (94057.02506638794 6466603.181979143)</t>
  </si>
  <si>
    <t>['FV401 S2D1 m5120-5191']</t>
  </si>
  <si>
    <t>LINESTRING Z (94054.55335967743 6466589.594106798 11.962, 94052.95606666169 6466590.733716514 11.914, 94050.98211686459 6466592.397889821 11.868, 94049.03794147319 6466593.933656327 11.817, 94045.09887530614 6466597.124401272 11.688, 94041.71856495406 6466600.117353928 11.498000000000001, 94038.69670216436 6466603.091364174 11.501, 94036.24323859764 6466605.907965633 11.556000000000001, 94034.0889484164 6466608.32361848 11.407, 94031.87492362573 6466610.825085704 11.325000000000001, 94030.0795811211 6466612.844510073 11.281, 94027.47900362452 6466615.759761773 11.19, 94024.8267821109 6466618.750045389 11.102, 94022.15750775347 6466621.797181226 11.099, 94020.05377451546 6466624.136894014 10.949, 94018.61749372666 6466625.919024251 10.896, 94016.70564673131 6466628.650022562 10.797, 94014.82913882093 6466631.34869076 10.673, 94013.23847097764 6466633.587242626 10.616, 94011.52454003028 6466636.045043008 10.567, 94010.83306627598 6466637.054443372 10.557, 94009.67570659902 6466638.681886624 10.514, 94008.27967595041 6466640.655581203 10.449, 94007.26085424772 6466642.0996326925 10.433)</t>
  </si>
  <si>
    <t>POINT (94029.49945033068 6466614.540416389)</t>
  </si>
  <si>
    <t>['KV10069 S1D1 m351-387']</t>
  </si>
  <si>
    <t>LINESTRING Z (261973.3642500582 6649426.903680451 15.27, 261967.60906712603 6649419.685769057 14.92, 261963.8035771153 6649414.891748805 14.72, 261960.60066157716 6649410.848758094 14.530000000000001, 261959.26148436614 6649409.14527713 14.450000000000001, 261958.89223129276 6649409.170420603 14.44, 261959.22787355076 6649412.185469684 14.56, 261959.3949865617 6649412.72552519 14.58, 261959.7383384358 6649413.2034496665 14.6, 261962.152033951 6649416.257467719 14.74, 261963.99377403554 6649418.568397115 14.84, 261975.3535499348 6649432.854056576 15.5, 261977.62323738667 6649435.707332214 15.59, 261978.06456225316 6649436.298898332 15.63, 261978.5129351991 6649436.699488919 15.65, 261979.4748218999 6649436.984904154 15.67, 261981.43919408627 6649437.5629962 15.65, 261981.55512701985 6649437.204189037 15.65, 261978.8282324462 6649433.820585347 15.56, 261977.105784004 6649431.641898597 15.48, 261973.44362250247 6649427.038640938 15.280000000000001, 261973.3642500582 6649426.903680451 15.27)</t>
  </si>
  <si>
    <t>POLYGON Z ((261973.3642500582 6649426.903680451 15.27, 261967.60906712603 6649419.685769057 14.92, 261963.8035771153 6649414.891748805 14.72, 261960.60066157716 6649410.848758094 14.530000000000001, 261959.26148436614 6649409.14527713 14.450000000000001, 261958.89223129276 6649409.170420603 14.44, 261959.22787355076 6649412.185469684 14.56, 261959.3949865617 6649412.72552519 14.58, 261959.7383384358 6649413.2034496665 14.6, 261962.152033951 6649416.257467719 14.74, 261963.99377403554 6649418.568397115 14.84, 261975.3535499348 6649432.854056576 15.5, 261977.62323738667 6649435.707332214 15.59, 261978.06456225316 6649436.298898332 15.63, 261978.5129351991 6649436.699488919 15.65, 261979.4748218999 6649436.984904154 15.67, 261981.43919408627 6649437.5629962 15.65, 261981.55512701985 6649437.204189037 15.65, 261978.8282324462 6649433.820585347 15.56, 261977.105784004 6649431.641898597 15.48, 261973.44362250247 6649427.038640938 15.280000000000001, 261973.3642500582 6649426.903680451 15.27))</t>
  </si>
  <si>
    <t>[562]</t>
  </si>
  <si>
    <t>['FV562 S1D1 m8285-8371']</t>
  </si>
  <si>
    <t>LINESTRING Z (-39308.54 6740644.92 35.87, -39308.37 6740643.92 35.89, -39302.13 6740611.31 36.74, -39299.16 6740595.74 37.08, -39298.93 6740594.29 37.11, -39298.82 6740592.82 37.13, -39297.2 6740563.69 37.56, -39297.12 6740562.69 37.58, -39297.02 6740561.87 37.59, -39296.81 6740560.74 37.61, -39297.82 6740560.57 37.660000000000004, -39298.08 6740561.61 37.64, -39299.07 6740565.79 37.56, -39300.03 6740570.14 37.480000000000004, -39301.03 6740575 37.39, -39301.76 6740578.89 37.32, -39302.79 6740584.75 37.21, -39303.58 6740589.65 37.13, -39304.37 6740595.06 37.03, -39305.08 6740600.49 36.93, -39306.02 6740608.41 36.76, -39306.97 6740617.35 36.56, -39308.13 6740629.18 36.27, -39309.57 6740644.82 35.910000000000004, -39308.54 6740644.92 35.87, -39308.59 6740644.89 35.87, -39308.54 6740644.92 35.87)</t>
  </si>
  <si>
    <t>[8074]</t>
  </si>
  <si>
    <t>['FV8074 S2D1 m11935-12070']</t>
  </si>
  <si>
    <t>LINESTRING (976530.5 7906712.59, 976530.46 7906712.59, 976525.63 7906704.32, 976521.21 7906695.33, 976516.89 7906685.82, 976512.5 7906677.53, 976507.53 7906667.84, 976503.28 7906659.11, 976498.61 7906650.1, 976493.35 7906640.01, 976488.79 7906630.98, 976483.7 7906621.24, 976478.91 7906612.13, 976473.65 7906600.99, 976470.67 7906590.8, 976468.78 7906581.06, 976467.87 7906570.83, 976468.43 7906560.25, 976469.79 7906550.09, 976472.63 7906539.93, 976475.61 7906532.46, 976479.51 7906525.17, 976481.92 7906521.13, 976484.3 7906518.56, 976485.9 7906518.16, 976483.81 7906521.96, 976481.46 7906526.44, 976478.19 7906533.28, 976475.47 7906541.11, 976472.78 7906550.73, 976471.44 7906560.62, 976470.86 7906570.7, 976471.69 7906580.61, 976473.47 7906589.95, 976476.55 7906600.35, 976480.88 7906611.01, 976485.33 7906620.5, 976489.61 7906629.5, 976494.58 7906639.45, 976499.79 7906649.36, 976504.33 7906658.38, 976508.87 7906667.4, 976513.59 7906676.72, 976518.3 7906685.28, 976522.65 7906694.71, 976526.94 7906703.83, 976530.51 7906712.59)</t>
  </si>
  <si>
    <t>POLYGON ((976530.5 7906712.59, 976530.46 7906712.59, 976525.63 7906704.32, 976521.21 7906695.33, 976516.89 7906685.82, 976512.5 7906677.53, 976507.53 7906667.84, 976503.28 7906659.11, 976498.61 7906650.1, 976493.35 7906640.01, 976488.79 7906630.98, 976483.7 7906621.24, 976478.91 7906612.13, 976473.65 7906600.99, 976470.67 7906590.8, 976468.78 7906581.06, 976467.87 7906570.83, 976468.43 7906560.25, 976469.79 7906550.09, 976472.63 7906539.93, 976475.61 7906532.46, 976479.51 7906525.17, 976481.92 7906521.13, 976484.3 7906518.56, 976485.9 7906518.16, 976483.81 7906521.96, 976481.46 7906526.44, 976478.19 7906533.28, 976475.47 7906541.11, 976472.78 7906550.73, 976471.44 7906560.62, 976470.86 7906570.7, 976471.69 7906580.61, 976473.47 7906589.95, 976476.55 7906600.35, 976480.88 7906611.01, 976485.33 7906620.5, 976489.61 7906629.5, 976494.58 7906639.45, 976499.79 7906649.36, 976504.33 7906658.38, 976508.87 7906667.4, 976513.59 7906676.72, 976518.3 7906685.28, 976522.65 7906694.71, 976526.94 7906703.83, 976530.51 7906712.59, 976530.5 7906712.59))</t>
  </si>
  <si>
    <t>['FV616 S3D10 m7321-7375']</t>
  </si>
  <si>
    <t>LINESTRING Z (-4335.98860016145 6893906.407947109 58.704251100465655, -4336.730715862766 6893903.581115717 58.8632484704107, -4337.489320582536 6893900.643761749 59.02324572300911, -4339.347382656473 6893893.916044545 59.4132395632416, -4340.105988946918 6893890.978690825 59.58323681770265, -4342.722662826942 6893881.313620786 60.133227916121484, -4345.339342221909 6893871.648551637 60.6832190182656, -4345.592212131771 6893870.669433909 60.74321810370684, -4347.956027131644 6893861.983483371 61.24321012227237, -4348.261133711378 6893861.01215875 61.29320927476883, -4350.066975790425 6893854.276651142 61.67620305912197)</t>
  </si>
  <si>
    <t>POINT (-4342.998424621817 6893880.334232101)</t>
  </si>
  <si>
    <t>['RV36 S9D1 m605-670']</t>
  </si>
  <si>
    <t>LINESTRING Z (168441.27020763623 6598506.211025578 35.54, 168484.8299342373 6598458.347652096 34.77)</t>
  </si>
  <si>
    <t>POINT (168463.05007093676 6598482.279338837)</t>
  </si>
  <si>
    <t>['RV36 S9D1 m726-782']</t>
  </si>
  <si>
    <t>LINESTRING Z (168402.3190287081 6598546.179702057 35.230000000000004, 168363.99213173473 6598587.984883458 34.730000000000004)</t>
  </si>
  <si>
    <t>POINT (168383.1555802214 6598567.082292759)</t>
  </si>
  <si>
    <t>['RV36 S8D1 m5151-5208']</t>
  </si>
  <si>
    <t>LINESTRING Z (168837.21466750972 6597851.745618844 27.19, 168810.7078970392 6597902.745045095 29.62)</t>
  </si>
  <si>
    <t>POINT (168823.96128227445 6597877.245331969)</t>
  </si>
  <si>
    <t>['RV36 S8D1 m5123-5192']</t>
  </si>
  <si>
    <t>LINESTRING Z (168852.73981555714 6597829.0556731345 25.96, 168820.04883841088 6597888.93407936 29.52)</t>
  </si>
  <si>
    <t>POINT (168836.394326984 6597858.994876247)</t>
  </si>
  <si>
    <t>['RV36 S9D1 m2674-2734']</t>
  </si>
  <si>
    <t>LINESTRING Z (167057.20350804954 6599900.583800104 24.71, 167028.80016223254 6599953.7805020185 24.51)</t>
  </si>
  <si>
    <t>POINT (167043.00183514104 6599927.1821510615)</t>
  </si>
  <si>
    <t>2025-11-17</t>
  </si>
  <si>
    <t>['FV3292 S1D1 m694-717']</t>
  </si>
  <si>
    <t>LINESTRING Z (192027.30957224738 6567638.823696923 60.901, 192034.19340657012 6567635.884307029 60.379, 192038.53275874304 6567634.459436126 60.11, 192043.05507159646 6567633.377675414 59.713, 192049.23227913817 6567632.00542575 59.169)</t>
  </si>
  <si>
    <t>POINT (192038.12116984543 6567634.946548746)</t>
  </si>
  <si>
    <t>2025-11-24T08:36:36Z</t>
  </si>
  <si>
    <t>[196]</t>
  </si>
  <si>
    <t>['FV196 S1D1 m1161-1182']</t>
  </si>
  <si>
    <t>LINESTRING Z (333931.22552505636 6675981.1974691 150.26, 333932.1685908677 6675983.903509806 150.33, 333940.35552197974 6675981.041686082 150.42000000000002, 333952.14717625384 6675976.922567769 150.52, 333951.11153153144 6675974.149989514 150.47)</t>
  </si>
  <si>
    <t>POINT (333942.0856911903 6675980.104789159)</t>
  </si>
  <si>
    <t>Bremsekjegler, snøskred</t>
  </si>
  <si>
    <t>ET_ID</t>
  </si>
  <si>
    <t>ET_Navn</t>
  </si>
  <si>
    <t>Utgår_Geometri, linje</t>
  </si>
  <si>
    <t>Zoomer til vegobjektet i Vegkart. Merk: Det kan være flere vegobjekter som vises, sjekk at da NVDB-ID for å sikre at det er valgt riktig.</t>
  </si>
  <si>
    <t>Vegobjektets NVDBID</t>
  </si>
  <si>
    <t>Vegobjekttype-ID</t>
  </si>
  <si>
    <t>Vegobjekttype-Navn</t>
  </si>
  <si>
    <t>Egenskapstype-ID</t>
  </si>
  <si>
    <t>Egenskapstype-Navn</t>
  </si>
  <si>
    <t>Vegobjektversjon. Merk: Fane "Gyldige vegobjekter" viser kun gyldig versjon, fane "Fullstendig oversikt" viser alle versjoner, også lukka. Også lukka versjoner blir korrigert.</t>
  </si>
  <si>
    <t>Dato gitt versjon av vegobjektet ble opprettet</t>
  </si>
  <si>
    <t>Dato gitt versjon av vegobjektet ble lukka</t>
  </si>
  <si>
    <t>Dato vegobjektet sist ble modifisert</t>
  </si>
  <si>
    <t xml:space="preserve">Fylkesnummer der vegobjektet er stedfesta. Merk: Vegobjekter som har stedfesting i mer enn ett fylke vil ha oppgitt mer enn ett fylke.  </t>
  </si>
  <si>
    <t>Vegkategori på veg vegobjektet er stedfestet til. Merk: Vegobjekt som har stedfesting til to eller flere veger med ulik vegkategori vil ha oppgitt to eller flere vegkategorier.</t>
  </si>
  <si>
    <t>Vegnummer på veg vegobjektet er stedfestet til. Merk: Vegobjekt som har stedfesting til to eller flere veger med ulike vegnummer vil ha oppgitt to eller flere vegnummer.</t>
  </si>
  <si>
    <t>Vegsystemreferanse for vegobjektet. Merk: Vegobjekt kan ha oppdelt vegsystemreferanse. Disse listes da opp etterhverandre.</t>
  </si>
  <si>
    <t>Geometri slik den er lagret i NVDB i dag. Denne geometrien vil bli slettet i NVDB i forbinsdelse med lansering av ny versjon av Datakatalogen. Det gjelder både for gyldige og historiske vegobjekter.</t>
  </si>
  <si>
    <t xml:space="preserve">Utfyllende beskrivelse og begrunnelse av behandling. </t>
  </si>
  <si>
    <t>Viser lengde mellom første og siste punkt på linja.</t>
  </si>
  <si>
    <t>Viser lengde av linjegeometri</t>
  </si>
  <si>
    <t>Geometri slik den vil bli etter konvertering.</t>
  </si>
  <si>
    <r>
      <t xml:space="preserve">Det beskrives her hva som vil bli gjort av tiltak. Se også kolonne "Tilleggsinformasjon for utfyllende info.
- </t>
    </r>
    <r>
      <rPr>
        <b/>
        <i/>
        <sz val="11"/>
        <color theme="1"/>
        <rFont val="Calibri"/>
        <family val="2"/>
        <scheme val="minor"/>
      </rPr>
      <t>Konverteres til flate</t>
    </r>
    <r>
      <rPr>
        <sz val="11"/>
        <color theme="1"/>
        <rFont val="Calibri"/>
        <family val="2"/>
        <scheme val="minor"/>
      </rPr>
      <t xml:space="preserve">: Oppretter flategeometri ved å lukke linjegeometrien, dvs lager polygon ved å kople første og siste punkt på linja. Dette gjøres om vegobjekttype har flateegenskap - avstand mellom første og siste punkt er under grenseverdi (10 eller 20 meter) -  vegobjektet ikke har flategeometri fra før - geometri ikke krysser seg selv (8-tall) - linje har minst 4 pkt - forhold mellom avstand første og siste punkt og lengde er over grenseverdi
- </t>
    </r>
    <r>
      <rPr>
        <b/>
        <i/>
        <sz val="11"/>
        <color theme="1"/>
        <rFont val="Calibri"/>
        <family val="2"/>
        <scheme val="minor"/>
      </rPr>
      <t>Genererer flate basert på linje med buffer</t>
    </r>
    <r>
      <rPr>
        <sz val="11"/>
        <color theme="1"/>
        <rFont val="Calibri"/>
        <family val="2"/>
        <scheme val="minor"/>
      </rPr>
      <t xml:space="preserve">. Oppretter flategeometri ved å generere en flate som er en buffer rundt den gitte linjegeometrien. Dette resulter i ei langsgående flate som blir 1 meter bred. Metode benyttes om kriterier for å konvertere til flate ikke er tilstede. Vi er klar over at dette er blir feil, vi oppfordrer derfor til å fikse disse geometriene så snart som mulig.
</t>
    </r>
    <r>
      <rPr>
        <i/>
        <sz val="11"/>
        <color theme="1"/>
        <rFont val="Calibri"/>
        <family val="2"/>
        <scheme val="minor"/>
      </rPr>
      <t xml:space="preserve">- </t>
    </r>
    <r>
      <rPr>
        <b/>
        <i/>
        <sz val="11"/>
        <color theme="1"/>
        <rFont val="Calibri"/>
        <family val="2"/>
        <scheme val="minor"/>
      </rPr>
      <t>Konverteres til punkt</t>
    </r>
    <r>
      <rPr>
        <i/>
        <sz val="11"/>
        <color theme="1"/>
        <rFont val="Calibri"/>
        <family val="2"/>
        <scheme val="minor"/>
      </rPr>
      <t>:</t>
    </r>
    <r>
      <rPr>
        <sz val="11"/>
        <color theme="1"/>
        <rFont val="Calibri"/>
        <family val="2"/>
        <scheme val="minor"/>
      </rPr>
      <t xml:space="preserve"> Oppretter punktgeometri basert på linjegeometrien. Dette gjøres om vegobjekttype har punktegenskap og ikke flateegenskap - Det kan også gjøres om det finnes flateegenskap i noen tilfeller om ikke alle kriteriene for å opprette flate er tilstede. 
- </t>
    </r>
    <r>
      <rPr>
        <b/>
        <i/>
        <sz val="11"/>
        <color theme="1"/>
        <rFont val="Calibri"/>
        <family val="2"/>
        <scheme val="minor"/>
      </rPr>
      <t>Ingen tiltak</t>
    </r>
    <r>
      <rPr>
        <sz val="11"/>
        <color theme="1"/>
        <rFont val="Calibri"/>
        <family val="2"/>
        <scheme val="minor"/>
      </rPr>
      <t>: Benyttes om vegobjekt har flategeometri eller punktgeometri fra før. Benyttes også om det er linjegeometri som ikke er mulig å lage flategeometri av, f.eks pga at den krysser seg selv.</t>
    </r>
  </si>
  <si>
    <t>Kolonneoverskrift</t>
  </si>
  <si>
    <t>Forkalring</t>
  </si>
  <si>
    <t>Filtrer forekomster dere som vegeier er ansvarlig for</t>
  </si>
  <si>
    <t xml:space="preserve">1. </t>
  </si>
  <si>
    <t xml:space="preserve">2. </t>
  </si>
  <si>
    <t>Sjekk f.eks ved å benytte vegkartlink at forslag til konvertering ser fornuftig ut.</t>
  </si>
  <si>
    <t xml:space="preserve">3. </t>
  </si>
  <si>
    <t>Der behandling er "Genererer flate basert på linje med buffer" må det etableres riktig flategeometri. Dette må ikke gjøres før friste, men det er uheldig om det blir stående som 1 meter bred flate over lang tid.</t>
  </si>
  <si>
    <t xml:space="preserve">4. </t>
  </si>
  <si>
    <t xml:space="preserve">Kontroller spesielt tilfeller der det ikke blir gjort behandlig pga linja krysser seg selv. I slike tilfeller kan det visuelt se bra ut, men det mangler </t>
  </si>
  <si>
    <t>Gå gjennom forlaring (egen fane)</t>
  </si>
  <si>
    <t>5.</t>
  </si>
  <si>
    <t>6.</t>
  </si>
  <si>
    <t>Bli kjent med innholdet på de øvrige fanene. Det er viktigst å gå gjennom Gyldige forekomster. Historiske forekomster blir konvertert også</t>
  </si>
  <si>
    <t xml:space="preserve">Oppgaver i forbindelse med at vi fjerner en del "Utgår_linje"-geometriegenskaper fra NVDB i versjon 2.44 av Datakatalogen. </t>
  </si>
  <si>
    <t>Det er ikke nødvendig å slette data tilhørende utgår-egenskapstypene da disse vil bli sletta automatisk i forbindelse med ny versjon av Datakatalogen.</t>
  </si>
  <si>
    <t>8.</t>
  </si>
  <si>
    <t>Kvitter ut og legg eventuelt inn merkaner på egen oversikt over "dataoperasjoner" (gjelder fylkeskommuner og Statens vegvesen (doV), øvrige må melde inn kommentarer via NVDB kontaktskjema om det er spørsmål/kommentarer.</t>
  </si>
  <si>
    <t>9.</t>
  </si>
  <si>
    <t>Når det gjelder trekkekum ser vi at det er lagt inn linjegeometri som i praksis er omriss av trekkekum, samtidig har vi ikke lagt opp til flategeometri her. Er det behov for flategeometri her, gi gjerne sysnpunkt.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</si>
</sst>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4"/>
      <name val="Calibri"/>
      <family val="2"/>
    </font>
    <font>
      <sz val="14"/>
      <color theme="1"/>
      <name val="Calibri"/>
      <family val="2"/>
      <scheme val="minor"/>
    </font>
    <font>
      <u/>
      <sz val="11"/>
      <color theme="4" tint="-0.249977111117893"/>
      <name val="Calibri"/>
      <family val="2"/>
      <scheme val="minor"/>
    </font>
    <font>
      <sz val="11"/>
      <color theme="1"/>
      <name val="Calibri"/>
      <family val="2"/>
      <scheme val="minor"/>
    </font>
    <font>
      <b/>
      <sz val="11"/>
      <color rgb="FF3F3F3F"/>
      <name val="Calibri"/>
      <family val="2"/>
      <scheme val="minor"/>
    </font>
    <font>
      <i/>
      <sz val="11"/>
      <color theme="1"/>
      <name val="Calibri"/>
      <family val="2"/>
      <scheme val="minor"/>
    </font>
    <font>
      <b/>
      <i/>
      <sz val="11"/>
      <color theme="1"/>
      <name val="Calibri"/>
      <family val="2"/>
      <scheme val="minor"/>
    </font>
    <font>
      <b/>
      <sz val="14"/>
      <color theme="1"/>
      <name val="Calibri"/>
      <family val="2"/>
      <scheme val="minor"/>
    </font>
  </fonts>
  <fills count="4">
    <fill>
      <patternFill patternType="none"/>
    </fill>
    <fill>
      <patternFill patternType="gray125"/>
    </fill>
    <fill>
      <patternFill patternType="solid">
        <fgColor rgb="FFF2F2F2"/>
      </patternFill>
    </fill>
    <fill>
      <patternFill patternType="solid">
        <fgColor rgb="FFFFFFCC"/>
      </patternFill>
    </fill>
  </fills>
  <borders count="3">
    <border>
      <left/>
      <right/>
      <top/>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3">
    <xf numFmtId="0" fontId="0" fillId="0" borderId="0"/>
    <xf numFmtId="0" fontId="5" fillId="2" borderId="1" applyNumberFormat="0" applyAlignment="0" applyProtection="0"/>
    <xf numFmtId="0" fontId="4" fillId="3" borderId="2" applyNumberFormat="0" applyFont="0" applyAlignment="0" applyProtection="0"/>
  </cellStyleXfs>
  <cellXfs count="17">
    <xf numFmtId="0" fontId="0" fillId="0" borderId="0" xfId="0"/>
    <xf numFmtId="0" fontId="3" fillId="0" borderId="0" xfId="0" applyFont="1" applyAlignment="1">
      <alignment horizontal="center"/>
    </xf>
    <xf numFmtId="0" fontId="0" fillId="0" borderId="0" xfId="0" applyAlignment="1">
      <alignment horizontal="center"/>
    </xf>
    <xf numFmtId="0" fontId="1" fillId="3" borderId="2" xfId="2" applyFont="1" applyAlignment="1">
      <alignment horizontal="center" vertical="center" textRotation="90" wrapText="1"/>
    </xf>
    <xf numFmtId="0" fontId="2" fillId="3" borderId="2" xfId="2" applyFont="1" applyAlignment="1">
      <alignment vertical="center" textRotation="90" wrapText="1"/>
    </xf>
    <xf numFmtId="0" fontId="1" fillId="3" borderId="2" xfId="2" applyFont="1" applyAlignment="1">
      <alignment horizontal="center" vertical="center" wrapText="1"/>
    </xf>
    <xf numFmtId="0" fontId="2" fillId="3" borderId="2" xfId="2" applyFont="1" applyAlignment="1">
      <alignment vertical="center" wrapText="1"/>
    </xf>
    <xf numFmtId="0" fontId="0" fillId="0" borderId="0" xfId="0" applyAlignment="1">
      <alignment vertical="top" wrapText="1"/>
    </xf>
    <xf numFmtId="0" fontId="0" fillId="0" borderId="0" xfId="0" applyAlignment="1">
      <alignment wrapText="1"/>
    </xf>
    <xf numFmtId="0" fontId="5" fillId="2" borderId="1" xfId="1" applyAlignment="1">
      <alignment horizontal="left" vertical="center"/>
    </xf>
    <xf numFmtId="0" fontId="5" fillId="2" borderId="1" xfId="1" applyAlignment="1">
      <alignment horizontal="left" vertical="center" wrapText="1"/>
    </xf>
    <xf numFmtId="0" fontId="0" fillId="0" borderId="0" xfId="0" applyAlignment="1">
      <alignment horizontal="left" vertical="top"/>
    </xf>
    <xf numFmtId="0" fontId="2" fillId="0" borderId="0" xfId="0" applyFont="1" applyAlignment="1">
      <alignment horizontal="left" vertical="top"/>
    </xf>
    <xf numFmtId="0" fontId="2" fillId="0" borderId="0" xfId="0" applyFont="1"/>
    <xf numFmtId="0" fontId="8" fillId="0" borderId="0" xfId="0" applyFont="1" applyAlignment="1">
      <alignment wrapText="1"/>
    </xf>
    <xf numFmtId="0" fontId="0" fillId="0" borderId="0" xfId="0" applyFont="1" applyAlignment="1">
      <alignment wrapText="1"/>
    </xf>
    <xf numFmtId="0" fontId="1" fillId="3" borderId="2" xfId="2" applyFont="1" applyAlignment="1">
      <alignment horizontal="center" vertical="center" textRotation="90" wrapText="1"/>
    </xf>
  </cellXfs>
  <cellStyles count="3">
    <cellStyle name="Merknad" xfId="2" builtinId="10"/>
    <cellStyle name="Normal" xfId="0" builtinId="0"/>
    <cellStyle name="Utdata" xfId="1" builtinId="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D9DBF-D1D0-4C33-94FF-C9BEBB83F6E8}">
  <dimension ref="A1:B10"/>
  <sheetViews>
    <sheetView workbookViewId="0">
      <selection activeCell="B25" sqref="B25"/>
    </sheetView>
  </sheetViews>
  <sheetFormatPr baseColWidth="10" defaultRowHeight="15" x14ac:dyDescent="0.25"/>
  <cols>
    <col min="1" max="1" width="11.42578125" style="11"/>
    <col min="2" max="2" width="76" style="8" customWidth="1"/>
  </cols>
  <sheetData>
    <row r="1" spans="1:2" s="13" customFormat="1" ht="37.5" x14ac:dyDescent="0.3">
      <c r="A1" s="12"/>
      <c r="B1" s="14" t="s">
        <v>23514</v>
      </c>
    </row>
    <row r="2" spans="1:2" x14ac:dyDescent="0.25">
      <c r="A2" s="11" t="s">
        <v>23503</v>
      </c>
      <c r="B2" s="15" t="s">
        <v>23510</v>
      </c>
    </row>
    <row r="3" spans="1:2" ht="30" x14ac:dyDescent="0.25">
      <c r="A3" s="11" t="s">
        <v>23504</v>
      </c>
      <c r="B3" s="15" t="s">
        <v>23513</v>
      </c>
    </row>
    <row r="4" spans="1:2" x14ac:dyDescent="0.25">
      <c r="A4" s="11" t="s">
        <v>23506</v>
      </c>
      <c r="B4" s="15" t="s">
        <v>23502</v>
      </c>
    </row>
    <row r="5" spans="1:2" x14ac:dyDescent="0.25">
      <c r="A5" s="11" t="s">
        <v>23508</v>
      </c>
      <c r="B5" s="8" t="s">
        <v>23505</v>
      </c>
    </row>
    <row r="6" spans="1:2" ht="45" x14ac:dyDescent="0.25">
      <c r="A6" s="11" t="s">
        <v>23511</v>
      </c>
      <c r="B6" s="8" t="s">
        <v>23507</v>
      </c>
    </row>
    <row r="7" spans="1:2" ht="30" x14ac:dyDescent="0.25">
      <c r="A7" s="11" t="s">
        <v>23512</v>
      </c>
      <c r="B7" s="8" t="s">
        <v>23509</v>
      </c>
    </row>
    <row r="8" spans="1:2" ht="30" x14ac:dyDescent="0.25">
      <c r="A8" s="11">
        <v>7</v>
      </c>
      <c r="B8" s="8" t="s">
        <v>23515</v>
      </c>
    </row>
    <row r="9" spans="1:2" ht="45" x14ac:dyDescent="0.25">
      <c r="A9" s="11" t="s">
        <v>23516</v>
      </c>
      <c r="B9" s="8" t="s">
        <v>23517</v>
      </c>
    </row>
    <row r="10" spans="1:2" ht="45" x14ac:dyDescent="0.25">
      <c r="A10" s="11" t="s">
        <v>23518</v>
      </c>
      <c r="B10" s="8" t="s">
        <v>23519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8690E-D00B-4A0C-B966-0C38D6B3A9DB}">
  <dimension ref="A1:B16385"/>
  <sheetViews>
    <sheetView topLeftCell="A2" workbookViewId="0">
      <selection activeCell="B17" sqref="B17"/>
    </sheetView>
  </sheetViews>
  <sheetFormatPr baseColWidth="10" defaultRowHeight="15" x14ac:dyDescent="0.25"/>
  <cols>
    <col min="1" max="1" width="55.140625" customWidth="1"/>
    <col min="2" max="2" width="124.28515625" style="8" customWidth="1"/>
  </cols>
  <sheetData>
    <row r="1" spans="1:2" s="9" customFormat="1" ht="27.75" customHeight="1" x14ac:dyDescent="0.25">
      <c r="A1" s="9" t="s">
        <v>23500</v>
      </c>
      <c r="B1" s="10" t="s">
        <v>23501</v>
      </c>
    </row>
    <row r="2" spans="1:2" ht="18.75" x14ac:dyDescent="0.25">
      <c r="A2" s="5" t="s">
        <v>0</v>
      </c>
      <c r="B2" s="8" t="s">
        <v>23480</v>
      </c>
    </row>
    <row r="3" spans="1:2" ht="18.75" x14ac:dyDescent="0.25">
      <c r="A3" s="5" t="s">
        <v>1</v>
      </c>
      <c r="B3" s="8" t="s">
        <v>23481</v>
      </c>
    </row>
    <row r="4" spans="1:2" ht="18.75" x14ac:dyDescent="0.25">
      <c r="A4" s="5" t="s">
        <v>2</v>
      </c>
      <c r="B4" s="8" t="s">
        <v>23482</v>
      </c>
    </row>
    <row r="5" spans="1:2" ht="18.75" x14ac:dyDescent="0.25">
      <c r="A5" s="5" t="s">
        <v>3</v>
      </c>
      <c r="B5" s="8" t="s">
        <v>23483</v>
      </c>
    </row>
    <row r="6" spans="1:2" ht="18.75" x14ac:dyDescent="0.25">
      <c r="A6" s="5" t="s">
        <v>23477</v>
      </c>
      <c r="B6" s="8" t="s">
        <v>23484</v>
      </c>
    </row>
    <row r="7" spans="1:2" ht="18.75" x14ac:dyDescent="0.25">
      <c r="A7" s="5" t="s">
        <v>23478</v>
      </c>
      <c r="B7" s="8" t="s">
        <v>23485</v>
      </c>
    </row>
    <row r="8" spans="1:2" ht="30" x14ac:dyDescent="0.25">
      <c r="A8" s="5" t="s">
        <v>4</v>
      </c>
      <c r="B8" s="8" t="s">
        <v>23486</v>
      </c>
    </row>
    <row r="9" spans="1:2" ht="18.75" x14ac:dyDescent="0.25">
      <c r="A9" s="5" t="s">
        <v>5</v>
      </c>
      <c r="B9" s="8" t="s">
        <v>23487</v>
      </c>
    </row>
    <row r="10" spans="1:2" ht="18.75" x14ac:dyDescent="0.25">
      <c r="A10" s="5" t="s">
        <v>6</v>
      </c>
      <c r="B10" s="8" t="s">
        <v>23488</v>
      </c>
    </row>
    <row r="11" spans="1:2" ht="18.75" x14ac:dyDescent="0.25">
      <c r="A11" s="5" t="s">
        <v>7</v>
      </c>
      <c r="B11" s="8" t="s">
        <v>23489</v>
      </c>
    </row>
    <row r="12" spans="1:2" ht="18.75" x14ac:dyDescent="0.25">
      <c r="A12" s="5" t="s">
        <v>8</v>
      </c>
      <c r="B12" s="8" t="s">
        <v>23490</v>
      </c>
    </row>
    <row r="13" spans="1:2" ht="30" x14ac:dyDescent="0.25">
      <c r="A13" s="5" t="s">
        <v>9</v>
      </c>
      <c r="B13" s="8" t="s">
        <v>23491</v>
      </c>
    </row>
    <row r="14" spans="1:2" ht="30" x14ac:dyDescent="0.25">
      <c r="A14" s="5" t="s">
        <v>10</v>
      </c>
      <c r="B14" s="8" t="s">
        <v>23492</v>
      </c>
    </row>
    <row r="15" spans="1:2" ht="18.75" x14ac:dyDescent="0.25">
      <c r="A15" s="5" t="s">
        <v>11</v>
      </c>
      <c r="B15" s="8" t="s">
        <v>23493</v>
      </c>
    </row>
    <row r="16" spans="1:2" ht="30" x14ac:dyDescent="0.25">
      <c r="A16" s="5" t="s">
        <v>12</v>
      </c>
      <c r="B16" s="8" t="s">
        <v>23494</v>
      </c>
    </row>
    <row r="17" spans="1:2" ht="200.25" customHeight="1" x14ac:dyDescent="0.25">
      <c r="A17" s="5" t="s">
        <v>13</v>
      </c>
      <c r="B17" s="7" t="s">
        <v>23499</v>
      </c>
    </row>
    <row r="18" spans="1:2" ht="18.75" x14ac:dyDescent="0.25">
      <c r="A18" s="5" t="s">
        <v>14</v>
      </c>
      <c r="B18" s="8" t="s">
        <v>23495</v>
      </c>
    </row>
    <row r="19" spans="1:2" ht="18.75" x14ac:dyDescent="0.25">
      <c r="A19" s="5" t="s">
        <v>15</v>
      </c>
      <c r="B19" s="8" t="s">
        <v>23496</v>
      </c>
    </row>
    <row r="20" spans="1:2" ht="18.75" x14ac:dyDescent="0.25">
      <c r="A20" s="5" t="s">
        <v>16</v>
      </c>
      <c r="B20" s="8" t="s">
        <v>23497</v>
      </c>
    </row>
    <row r="21" spans="1:2" ht="18.75" x14ac:dyDescent="0.25">
      <c r="A21" s="5" t="s">
        <v>17</v>
      </c>
      <c r="B21" s="8" t="s">
        <v>23498</v>
      </c>
    </row>
    <row r="22" spans="1:2" ht="18.75" x14ac:dyDescent="0.25">
      <c r="A22" s="6"/>
    </row>
    <row r="23" spans="1:2" ht="18.75" x14ac:dyDescent="0.25">
      <c r="A23" s="6"/>
    </row>
    <row r="24" spans="1:2" ht="18.75" x14ac:dyDescent="0.25">
      <c r="A24" s="6"/>
    </row>
    <row r="25" spans="1:2" ht="18.75" x14ac:dyDescent="0.25">
      <c r="A25" s="6"/>
    </row>
    <row r="26" spans="1:2" ht="18.75" x14ac:dyDescent="0.25">
      <c r="A26" s="6"/>
    </row>
    <row r="27" spans="1:2" ht="18.75" x14ac:dyDescent="0.25">
      <c r="A27" s="6"/>
    </row>
    <row r="28" spans="1:2" ht="18.75" x14ac:dyDescent="0.25">
      <c r="A28" s="6"/>
    </row>
    <row r="29" spans="1:2" ht="18.75" x14ac:dyDescent="0.25">
      <c r="A29" s="6"/>
    </row>
    <row r="30" spans="1:2" ht="18.75" x14ac:dyDescent="0.25">
      <c r="A30" s="6"/>
    </row>
    <row r="31" spans="1:2" ht="18.75" x14ac:dyDescent="0.25">
      <c r="A31" s="6"/>
    </row>
    <row r="32" spans="1:2" ht="18.75" x14ac:dyDescent="0.25">
      <c r="A32" s="6"/>
    </row>
    <row r="33" spans="1:1" ht="18.75" x14ac:dyDescent="0.25">
      <c r="A33" s="6"/>
    </row>
    <row r="34" spans="1:1" ht="18.75" x14ac:dyDescent="0.25">
      <c r="A34" s="6"/>
    </row>
    <row r="35" spans="1:1" ht="18.75" x14ac:dyDescent="0.25">
      <c r="A35" s="6"/>
    </row>
    <row r="36" spans="1:1" ht="18.75" x14ac:dyDescent="0.25">
      <c r="A36" s="6"/>
    </row>
    <row r="37" spans="1:1" ht="18.75" x14ac:dyDescent="0.25">
      <c r="A37" s="6"/>
    </row>
    <row r="38" spans="1:1" ht="18.75" x14ac:dyDescent="0.25">
      <c r="A38" s="6"/>
    </row>
    <row r="39" spans="1:1" ht="18.75" x14ac:dyDescent="0.25">
      <c r="A39" s="6"/>
    </row>
    <row r="40" spans="1:1" ht="18.75" x14ac:dyDescent="0.25">
      <c r="A40" s="6"/>
    </row>
    <row r="41" spans="1:1" ht="18.75" x14ac:dyDescent="0.25">
      <c r="A41" s="6"/>
    </row>
    <row r="42" spans="1:1" ht="18.75" x14ac:dyDescent="0.25">
      <c r="A42" s="6"/>
    </row>
    <row r="43" spans="1:1" ht="18.75" x14ac:dyDescent="0.25">
      <c r="A43" s="6"/>
    </row>
    <row r="44" spans="1:1" ht="18.75" x14ac:dyDescent="0.25">
      <c r="A44" s="6"/>
    </row>
    <row r="45" spans="1:1" ht="18.75" x14ac:dyDescent="0.25">
      <c r="A45" s="6"/>
    </row>
    <row r="46" spans="1:1" ht="18.75" x14ac:dyDescent="0.25">
      <c r="A46" s="6"/>
    </row>
    <row r="47" spans="1:1" ht="18.75" x14ac:dyDescent="0.25">
      <c r="A47" s="6"/>
    </row>
    <row r="48" spans="1:1" ht="18.75" x14ac:dyDescent="0.25">
      <c r="A48" s="6"/>
    </row>
    <row r="49" spans="1:1" ht="18.75" x14ac:dyDescent="0.25">
      <c r="A49" s="6"/>
    </row>
    <row r="50" spans="1:1" ht="18.75" x14ac:dyDescent="0.25">
      <c r="A50" s="6"/>
    </row>
    <row r="51" spans="1:1" ht="18.75" x14ac:dyDescent="0.25">
      <c r="A51" s="6"/>
    </row>
    <row r="52" spans="1:1" ht="18.75" x14ac:dyDescent="0.25">
      <c r="A52" s="6"/>
    </row>
    <row r="53" spans="1:1" ht="18.75" x14ac:dyDescent="0.25">
      <c r="A53" s="6"/>
    </row>
    <row r="54" spans="1:1" ht="18.75" x14ac:dyDescent="0.25">
      <c r="A54" s="6"/>
    </row>
    <row r="55" spans="1:1" ht="18.75" x14ac:dyDescent="0.25">
      <c r="A55" s="6"/>
    </row>
    <row r="56" spans="1:1" ht="18.75" x14ac:dyDescent="0.25">
      <c r="A56" s="6"/>
    </row>
    <row r="57" spans="1:1" ht="18.75" x14ac:dyDescent="0.25">
      <c r="A57" s="6"/>
    </row>
    <row r="58" spans="1:1" ht="18.75" x14ac:dyDescent="0.25">
      <c r="A58" s="6"/>
    </row>
    <row r="59" spans="1:1" ht="18.75" x14ac:dyDescent="0.25">
      <c r="A59" s="6"/>
    </row>
    <row r="60" spans="1:1" ht="18.75" x14ac:dyDescent="0.25">
      <c r="A60" s="6"/>
    </row>
    <row r="61" spans="1:1" ht="18.75" x14ac:dyDescent="0.25">
      <c r="A61" s="6"/>
    </row>
    <row r="62" spans="1:1" ht="18.75" x14ac:dyDescent="0.25">
      <c r="A62" s="6"/>
    </row>
    <row r="63" spans="1:1" ht="18.75" x14ac:dyDescent="0.25">
      <c r="A63" s="6"/>
    </row>
    <row r="64" spans="1:1" ht="18.75" x14ac:dyDescent="0.25">
      <c r="A64" s="6"/>
    </row>
    <row r="65" spans="1:1" ht="18.75" x14ac:dyDescent="0.25">
      <c r="A65" s="6"/>
    </row>
    <row r="66" spans="1:1" ht="18.75" x14ac:dyDescent="0.25">
      <c r="A66" s="6"/>
    </row>
    <row r="67" spans="1:1" ht="18.75" x14ac:dyDescent="0.25">
      <c r="A67" s="6"/>
    </row>
    <row r="68" spans="1:1" ht="18.75" x14ac:dyDescent="0.25">
      <c r="A68" s="6"/>
    </row>
    <row r="69" spans="1:1" ht="18.75" x14ac:dyDescent="0.25">
      <c r="A69" s="6"/>
    </row>
    <row r="70" spans="1:1" ht="18.75" x14ac:dyDescent="0.25">
      <c r="A70" s="6"/>
    </row>
    <row r="71" spans="1:1" ht="18.75" x14ac:dyDescent="0.25">
      <c r="A71" s="6"/>
    </row>
    <row r="72" spans="1:1" ht="18.75" x14ac:dyDescent="0.25">
      <c r="A72" s="6"/>
    </row>
    <row r="73" spans="1:1" ht="18.75" x14ac:dyDescent="0.25">
      <c r="A73" s="6"/>
    </row>
    <row r="74" spans="1:1" ht="18.75" x14ac:dyDescent="0.25">
      <c r="A74" s="6"/>
    </row>
    <row r="75" spans="1:1" ht="18.75" x14ac:dyDescent="0.25">
      <c r="A75" s="6"/>
    </row>
    <row r="76" spans="1:1" ht="18.75" x14ac:dyDescent="0.25">
      <c r="A76" s="6"/>
    </row>
    <row r="77" spans="1:1" ht="18.75" x14ac:dyDescent="0.25">
      <c r="A77" s="6"/>
    </row>
    <row r="78" spans="1:1" ht="18.75" x14ac:dyDescent="0.25">
      <c r="A78" s="6"/>
    </row>
    <row r="79" spans="1:1" ht="18.75" x14ac:dyDescent="0.25">
      <c r="A79" s="6"/>
    </row>
    <row r="80" spans="1:1" ht="18.75" x14ac:dyDescent="0.25">
      <c r="A80" s="6"/>
    </row>
    <row r="81" spans="1:1" ht="18.75" x14ac:dyDescent="0.25">
      <c r="A81" s="6"/>
    </row>
    <row r="82" spans="1:1" ht="18.75" x14ac:dyDescent="0.25">
      <c r="A82" s="6"/>
    </row>
    <row r="83" spans="1:1" ht="18.75" x14ac:dyDescent="0.25">
      <c r="A83" s="6"/>
    </row>
    <row r="84" spans="1:1" ht="18.75" x14ac:dyDescent="0.25">
      <c r="A84" s="6"/>
    </row>
    <row r="85" spans="1:1" ht="18.75" x14ac:dyDescent="0.25">
      <c r="A85" s="6"/>
    </row>
    <row r="86" spans="1:1" ht="18.75" x14ac:dyDescent="0.25">
      <c r="A86" s="6"/>
    </row>
    <row r="87" spans="1:1" ht="18.75" x14ac:dyDescent="0.25">
      <c r="A87" s="6"/>
    </row>
    <row r="88" spans="1:1" ht="18.75" x14ac:dyDescent="0.25">
      <c r="A88" s="6"/>
    </row>
    <row r="89" spans="1:1" ht="18.75" x14ac:dyDescent="0.25">
      <c r="A89" s="6"/>
    </row>
    <row r="90" spans="1:1" ht="18.75" x14ac:dyDescent="0.25">
      <c r="A90" s="6"/>
    </row>
    <row r="91" spans="1:1" ht="18.75" x14ac:dyDescent="0.25">
      <c r="A91" s="6"/>
    </row>
    <row r="92" spans="1:1" ht="18.75" x14ac:dyDescent="0.25">
      <c r="A92" s="6"/>
    </row>
    <row r="93" spans="1:1" ht="18.75" x14ac:dyDescent="0.25">
      <c r="A93" s="6"/>
    </row>
    <row r="94" spans="1:1" ht="18.75" x14ac:dyDescent="0.25">
      <c r="A94" s="6"/>
    </row>
    <row r="95" spans="1:1" ht="18.75" x14ac:dyDescent="0.25">
      <c r="A95" s="6"/>
    </row>
    <row r="96" spans="1:1" ht="18.75" x14ac:dyDescent="0.25">
      <c r="A96" s="6"/>
    </row>
    <row r="97" spans="1:1" ht="18.75" x14ac:dyDescent="0.25">
      <c r="A97" s="6"/>
    </row>
    <row r="98" spans="1:1" ht="18.75" x14ac:dyDescent="0.25">
      <c r="A98" s="6"/>
    </row>
    <row r="99" spans="1:1" ht="18.75" x14ac:dyDescent="0.25">
      <c r="A99" s="6"/>
    </row>
    <row r="100" spans="1:1" ht="18.75" x14ac:dyDescent="0.25">
      <c r="A100" s="6"/>
    </row>
    <row r="101" spans="1:1" ht="18.75" x14ac:dyDescent="0.25">
      <c r="A101" s="6"/>
    </row>
    <row r="102" spans="1:1" ht="18.75" x14ac:dyDescent="0.25">
      <c r="A102" s="6"/>
    </row>
    <row r="103" spans="1:1" ht="18.75" x14ac:dyDescent="0.25">
      <c r="A103" s="6"/>
    </row>
    <row r="104" spans="1:1" ht="18.75" x14ac:dyDescent="0.25">
      <c r="A104" s="6"/>
    </row>
    <row r="105" spans="1:1" ht="18.75" x14ac:dyDescent="0.25">
      <c r="A105" s="6"/>
    </row>
    <row r="106" spans="1:1" ht="18.75" x14ac:dyDescent="0.25">
      <c r="A106" s="6"/>
    </row>
    <row r="107" spans="1:1" ht="18.75" x14ac:dyDescent="0.25">
      <c r="A107" s="6"/>
    </row>
    <row r="108" spans="1:1" ht="18.75" x14ac:dyDescent="0.25">
      <c r="A108" s="6"/>
    </row>
    <row r="109" spans="1:1" ht="18.75" x14ac:dyDescent="0.25">
      <c r="A109" s="6"/>
    </row>
    <row r="110" spans="1:1" ht="18.75" x14ac:dyDescent="0.25">
      <c r="A110" s="6"/>
    </row>
    <row r="111" spans="1:1" ht="18.75" x14ac:dyDescent="0.25">
      <c r="A111" s="6"/>
    </row>
    <row r="112" spans="1:1" ht="18.75" x14ac:dyDescent="0.25">
      <c r="A112" s="6"/>
    </row>
    <row r="113" spans="1:1" ht="18.75" x14ac:dyDescent="0.25">
      <c r="A113" s="6"/>
    </row>
    <row r="114" spans="1:1" ht="18.75" x14ac:dyDescent="0.25">
      <c r="A114" s="6"/>
    </row>
    <row r="115" spans="1:1" ht="18.75" x14ac:dyDescent="0.25">
      <c r="A115" s="6"/>
    </row>
    <row r="116" spans="1:1" ht="18.75" x14ac:dyDescent="0.25">
      <c r="A116" s="6"/>
    </row>
    <row r="117" spans="1:1" ht="18.75" x14ac:dyDescent="0.25">
      <c r="A117" s="6"/>
    </row>
    <row r="118" spans="1:1" ht="18.75" x14ac:dyDescent="0.25">
      <c r="A118" s="6"/>
    </row>
    <row r="119" spans="1:1" ht="18.75" x14ac:dyDescent="0.25">
      <c r="A119" s="6"/>
    </row>
    <row r="120" spans="1:1" ht="18.75" x14ac:dyDescent="0.25">
      <c r="A120" s="6"/>
    </row>
    <row r="121" spans="1:1" ht="18.75" x14ac:dyDescent="0.25">
      <c r="A121" s="6"/>
    </row>
    <row r="122" spans="1:1" ht="18.75" x14ac:dyDescent="0.25">
      <c r="A122" s="6"/>
    </row>
    <row r="123" spans="1:1" ht="18.75" x14ac:dyDescent="0.25">
      <c r="A123" s="6"/>
    </row>
    <row r="124" spans="1:1" ht="18.75" x14ac:dyDescent="0.25">
      <c r="A124" s="6"/>
    </row>
    <row r="125" spans="1:1" ht="18.75" x14ac:dyDescent="0.25">
      <c r="A125" s="6"/>
    </row>
    <row r="126" spans="1:1" ht="18.75" x14ac:dyDescent="0.25">
      <c r="A126" s="6"/>
    </row>
    <row r="127" spans="1:1" ht="18.75" x14ac:dyDescent="0.25">
      <c r="A127" s="6"/>
    </row>
    <row r="128" spans="1:1" ht="18.75" x14ac:dyDescent="0.25">
      <c r="A128" s="6"/>
    </row>
    <row r="129" spans="1:1" ht="18.75" x14ac:dyDescent="0.25">
      <c r="A129" s="6"/>
    </row>
    <row r="130" spans="1:1" ht="18.75" x14ac:dyDescent="0.25">
      <c r="A130" s="6"/>
    </row>
    <row r="131" spans="1:1" ht="18.75" x14ac:dyDescent="0.25">
      <c r="A131" s="6"/>
    </row>
    <row r="132" spans="1:1" ht="18.75" x14ac:dyDescent="0.25">
      <c r="A132" s="6"/>
    </row>
    <row r="133" spans="1:1" ht="18.75" x14ac:dyDescent="0.25">
      <c r="A133" s="6"/>
    </row>
    <row r="134" spans="1:1" ht="18.75" x14ac:dyDescent="0.25">
      <c r="A134" s="6"/>
    </row>
    <row r="135" spans="1:1" ht="18.75" x14ac:dyDescent="0.25">
      <c r="A135" s="6"/>
    </row>
    <row r="136" spans="1:1" ht="18.75" x14ac:dyDescent="0.25">
      <c r="A136" s="6"/>
    </row>
    <row r="137" spans="1:1" ht="18.75" x14ac:dyDescent="0.25">
      <c r="A137" s="6"/>
    </row>
    <row r="138" spans="1:1" ht="18.75" x14ac:dyDescent="0.25">
      <c r="A138" s="6"/>
    </row>
    <row r="139" spans="1:1" ht="18.75" x14ac:dyDescent="0.25">
      <c r="A139" s="6"/>
    </row>
    <row r="140" spans="1:1" ht="18.75" x14ac:dyDescent="0.25">
      <c r="A140" s="6"/>
    </row>
    <row r="141" spans="1:1" ht="18.75" x14ac:dyDescent="0.25">
      <c r="A141" s="6"/>
    </row>
    <row r="142" spans="1:1" ht="18.75" x14ac:dyDescent="0.25">
      <c r="A142" s="6"/>
    </row>
    <row r="143" spans="1:1" ht="18.75" x14ac:dyDescent="0.25">
      <c r="A143" s="6"/>
    </row>
    <row r="144" spans="1:1" ht="18.75" x14ac:dyDescent="0.25">
      <c r="A144" s="6"/>
    </row>
    <row r="145" spans="1:1" ht="18.75" x14ac:dyDescent="0.25">
      <c r="A145" s="6"/>
    </row>
    <row r="146" spans="1:1" ht="18.75" x14ac:dyDescent="0.25">
      <c r="A146" s="6"/>
    </row>
    <row r="147" spans="1:1" ht="18.75" x14ac:dyDescent="0.25">
      <c r="A147" s="6"/>
    </row>
    <row r="148" spans="1:1" ht="18.75" x14ac:dyDescent="0.25">
      <c r="A148" s="6"/>
    </row>
    <row r="149" spans="1:1" ht="18.75" x14ac:dyDescent="0.25">
      <c r="A149" s="6"/>
    </row>
    <row r="150" spans="1:1" ht="18.75" x14ac:dyDescent="0.25">
      <c r="A150" s="6"/>
    </row>
    <row r="151" spans="1:1" ht="18.75" x14ac:dyDescent="0.25">
      <c r="A151" s="6"/>
    </row>
    <row r="152" spans="1:1" ht="18.75" x14ac:dyDescent="0.25">
      <c r="A152" s="6"/>
    </row>
    <row r="153" spans="1:1" ht="18.75" x14ac:dyDescent="0.25">
      <c r="A153" s="6"/>
    </row>
    <row r="154" spans="1:1" ht="18.75" x14ac:dyDescent="0.25">
      <c r="A154" s="6"/>
    </row>
    <row r="155" spans="1:1" ht="18.75" x14ac:dyDescent="0.25">
      <c r="A155" s="6"/>
    </row>
    <row r="156" spans="1:1" ht="18.75" x14ac:dyDescent="0.25">
      <c r="A156" s="6"/>
    </row>
    <row r="157" spans="1:1" ht="18.75" x14ac:dyDescent="0.25">
      <c r="A157" s="6"/>
    </row>
    <row r="158" spans="1:1" ht="18.75" x14ac:dyDescent="0.25">
      <c r="A158" s="6"/>
    </row>
    <row r="159" spans="1:1" ht="18.75" x14ac:dyDescent="0.25">
      <c r="A159" s="6"/>
    </row>
    <row r="160" spans="1:1" ht="18.75" x14ac:dyDescent="0.25">
      <c r="A160" s="6"/>
    </row>
    <row r="161" spans="1:1" ht="18.75" x14ac:dyDescent="0.25">
      <c r="A161" s="6"/>
    </row>
    <row r="162" spans="1:1" ht="18.75" x14ac:dyDescent="0.25">
      <c r="A162" s="6"/>
    </row>
    <row r="163" spans="1:1" ht="18.75" x14ac:dyDescent="0.25">
      <c r="A163" s="6"/>
    </row>
    <row r="164" spans="1:1" ht="18.75" x14ac:dyDescent="0.25">
      <c r="A164" s="6"/>
    </row>
    <row r="165" spans="1:1" ht="18.75" x14ac:dyDescent="0.25">
      <c r="A165" s="6"/>
    </row>
    <row r="166" spans="1:1" ht="18.75" x14ac:dyDescent="0.25">
      <c r="A166" s="6"/>
    </row>
    <row r="167" spans="1:1" ht="18.75" x14ac:dyDescent="0.25">
      <c r="A167" s="6"/>
    </row>
    <row r="168" spans="1:1" ht="18.75" x14ac:dyDescent="0.25">
      <c r="A168" s="6"/>
    </row>
    <row r="169" spans="1:1" ht="18.75" x14ac:dyDescent="0.25">
      <c r="A169" s="6"/>
    </row>
    <row r="170" spans="1:1" ht="18.75" x14ac:dyDescent="0.25">
      <c r="A170" s="6"/>
    </row>
    <row r="171" spans="1:1" ht="18.75" x14ac:dyDescent="0.25">
      <c r="A171" s="6"/>
    </row>
    <row r="172" spans="1:1" ht="18.75" x14ac:dyDescent="0.25">
      <c r="A172" s="6"/>
    </row>
    <row r="173" spans="1:1" ht="18.75" x14ac:dyDescent="0.25">
      <c r="A173" s="6"/>
    </row>
    <row r="174" spans="1:1" ht="18.75" x14ac:dyDescent="0.25">
      <c r="A174" s="6"/>
    </row>
    <row r="175" spans="1:1" ht="18.75" x14ac:dyDescent="0.25">
      <c r="A175" s="6"/>
    </row>
    <row r="176" spans="1:1" ht="18.75" x14ac:dyDescent="0.25">
      <c r="A176" s="6"/>
    </row>
    <row r="177" spans="1:1" ht="18.75" x14ac:dyDescent="0.25">
      <c r="A177" s="6"/>
    </row>
    <row r="178" spans="1:1" ht="18.75" x14ac:dyDescent="0.25">
      <c r="A178" s="6"/>
    </row>
    <row r="179" spans="1:1" ht="18.75" x14ac:dyDescent="0.25">
      <c r="A179" s="6"/>
    </row>
    <row r="180" spans="1:1" ht="18.75" x14ac:dyDescent="0.25">
      <c r="A180" s="6"/>
    </row>
    <row r="181" spans="1:1" ht="18.75" x14ac:dyDescent="0.25">
      <c r="A181" s="6"/>
    </row>
    <row r="182" spans="1:1" ht="18.75" x14ac:dyDescent="0.25">
      <c r="A182" s="6"/>
    </row>
    <row r="183" spans="1:1" ht="18.75" x14ac:dyDescent="0.25">
      <c r="A183" s="6"/>
    </row>
    <row r="184" spans="1:1" ht="18.75" x14ac:dyDescent="0.25">
      <c r="A184" s="6"/>
    </row>
    <row r="185" spans="1:1" ht="18.75" x14ac:dyDescent="0.25">
      <c r="A185" s="6"/>
    </row>
    <row r="186" spans="1:1" ht="18.75" x14ac:dyDescent="0.25">
      <c r="A186" s="6"/>
    </row>
    <row r="187" spans="1:1" ht="18.75" x14ac:dyDescent="0.25">
      <c r="A187" s="6"/>
    </row>
    <row r="188" spans="1:1" ht="18.75" x14ac:dyDescent="0.25">
      <c r="A188" s="6"/>
    </row>
    <row r="189" spans="1:1" ht="18.75" x14ac:dyDescent="0.25">
      <c r="A189" s="6"/>
    </row>
    <row r="190" spans="1:1" ht="18.75" x14ac:dyDescent="0.25">
      <c r="A190" s="6"/>
    </row>
    <row r="191" spans="1:1" ht="18.75" x14ac:dyDescent="0.25">
      <c r="A191" s="6"/>
    </row>
    <row r="192" spans="1:1" ht="18.75" x14ac:dyDescent="0.25">
      <c r="A192" s="6"/>
    </row>
    <row r="193" spans="1:1" ht="18.75" x14ac:dyDescent="0.25">
      <c r="A193" s="6"/>
    </row>
    <row r="194" spans="1:1" ht="18.75" x14ac:dyDescent="0.25">
      <c r="A194" s="6"/>
    </row>
    <row r="195" spans="1:1" ht="18.75" x14ac:dyDescent="0.25">
      <c r="A195" s="6"/>
    </row>
    <row r="196" spans="1:1" ht="18.75" x14ac:dyDescent="0.25">
      <c r="A196" s="6"/>
    </row>
    <row r="197" spans="1:1" ht="18.75" x14ac:dyDescent="0.25">
      <c r="A197" s="6"/>
    </row>
    <row r="198" spans="1:1" ht="18.75" x14ac:dyDescent="0.25">
      <c r="A198" s="6"/>
    </row>
    <row r="199" spans="1:1" ht="18.75" x14ac:dyDescent="0.25">
      <c r="A199" s="6"/>
    </row>
    <row r="200" spans="1:1" ht="18.75" x14ac:dyDescent="0.25">
      <c r="A200" s="6"/>
    </row>
    <row r="201" spans="1:1" ht="18.75" x14ac:dyDescent="0.25">
      <c r="A201" s="6"/>
    </row>
    <row r="202" spans="1:1" ht="18.75" x14ac:dyDescent="0.25">
      <c r="A202" s="6"/>
    </row>
    <row r="203" spans="1:1" ht="18.75" x14ac:dyDescent="0.25">
      <c r="A203" s="6"/>
    </row>
    <row r="204" spans="1:1" ht="18.75" x14ac:dyDescent="0.25">
      <c r="A204" s="6"/>
    </row>
    <row r="205" spans="1:1" ht="18.75" x14ac:dyDescent="0.25">
      <c r="A205" s="6"/>
    </row>
    <row r="206" spans="1:1" ht="18.75" x14ac:dyDescent="0.25">
      <c r="A206" s="6"/>
    </row>
    <row r="207" spans="1:1" ht="18.75" x14ac:dyDescent="0.25">
      <c r="A207" s="6"/>
    </row>
    <row r="208" spans="1:1" ht="18.75" x14ac:dyDescent="0.25">
      <c r="A208" s="6"/>
    </row>
    <row r="209" spans="1:1" ht="18.75" x14ac:dyDescent="0.25">
      <c r="A209" s="6"/>
    </row>
    <row r="210" spans="1:1" ht="18.75" x14ac:dyDescent="0.25">
      <c r="A210" s="6"/>
    </row>
    <row r="211" spans="1:1" ht="18.75" x14ac:dyDescent="0.25">
      <c r="A211" s="6"/>
    </row>
    <row r="212" spans="1:1" ht="18.75" x14ac:dyDescent="0.25">
      <c r="A212" s="6"/>
    </row>
    <row r="213" spans="1:1" ht="18.75" x14ac:dyDescent="0.25">
      <c r="A213" s="6"/>
    </row>
    <row r="214" spans="1:1" ht="18.75" x14ac:dyDescent="0.25">
      <c r="A214" s="6"/>
    </row>
    <row r="215" spans="1:1" ht="18.75" x14ac:dyDescent="0.25">
      <c r="A215" s="6"/>
    </row>
    <row r="216" spans="1:1" ht="18.75" x14ac:dyDescent="0.25">
      <c r="A216" s="6"/>
    </row>
    <row r="217" spans="1:1" ht="18.75" x14ac:dyDescent="0.25">
      <c r="A217" s="6"/>
    </row>
    <row r="218" spans="1:1" ht="18.75" x14ac:dyDescent="0.25">
      <c r="A218" s="6"/>
    </row>
    <row r="219" spans="1:1" ht="18.75" x14ac:dyDescent="0.25">
      <c r="A219" s="6"/>
    </row>
    <row r="220" spans="1:1" ht="18.75" x14ac:dyDescent="0.25">
      <c r="A220" s="6"/>
    </row>
    <row r="221" spans="1:1" ht="18.75" x14ac:dyDescent="0.25">
      <c r="A221" s="6"/>
    </row>
    <row r="222" spans="1:1" ht="18.75" x14ac:dyDescent="0.25">
      <c r="A222" s="6"/>
    </row>
    <row r="223" spans="1:1" ht="18.75" x14ac:dyDescent="0.25">
      <c r="A223" s="6"/>
    </row>
    <row r="224" spans="1:1" ht="18.75" x14ac:dyDescent="0.25">
      <c r="A224" s="6"/>
    </row>
    <row r="225" spans="1:1" ht="18.75" x14ac:dyDescent="0.25">
      <c r="A225" s="6"/>
    </row>
    <row r="226" spans="1:1" ht="18.75" x14ac:dyDescent="0.25">
      <c r="A226" s="6"/>
    </row>
    <row r="227" spans="1:1" ht="18.75" x14ac:dyDescent="0.25">
      <c r="A227" s="6"/>
    </row>
    <row r="228" spans="1:1" ht="18.75" x14ac:dyDescent="0.25">
      <c r="A228" s="6"/>
    </row>
    <row r="229" spans="1:1" ht="18.75" x14ac:dyDescent="0.25">
      <c r="A229" s="6"/>
    </row>
    <row r="230" spans="1:1" ht="18.75" x14ac:dyDescent="0.25">
      <c r="A230" s="6"/>
    </row>
    <row r="231" spans="1:1" ht="18.75" x14ac:dyDescent="0.25">
      <c r="A231" s="6"/>
    </row>
    <row r="232" spans="1:1" ht="18.75" x14ac:dyDescent="0.25">
      <c r="A232" s="6"/>
    </row>
    <row r="233" spans="1:1" ht="18.75" x14ac:dyDescent="0.25">
      <c r="A233" s="6"/>
    </row>
    <row r="234" spans="1:1" ht="18.75" x14ac:dyDescent="0.25">
      <c r="A234" s="6"/>
    </row>
    <row r="235" spans="1:1" ht="18.75" x14ac:dyDescent="0.25">
      <c r="A235" s="6"/>
    </row>
    <row r="236" spans="1:1" ht="18.75" x14ac:dyDescent="0.25">
      <c r="A236" s="6"/>
    </row>
    <row r="237" spans="1:1" ht="18.75" x14ac:dyDescent="0.25">
      <c r="A237" s="6"/>
    </row>
    <row r="238" spans="1:1" ht="18.75" x14ac:dyDescent="0.25">
      <c r="A238" s="6"/>
    </row>
    <row r="239" spans="1:1" ht="18.75" x14ac:dyDescent="0.25">
      <c r="A239" s="6"/>
    </row>
    <row r="240" spans="1:1" ht="18.75" x14ac:dyDescent="0.25">
      <c r="A240" s="6"/>
    </row>
    <row r="241" spans="1:1" ht="18.75" x14ac:dyDescent="0.25">
      <c r="A241" s="6"/>
    </row>
    <row r="242" spans="1:1" ht="18.75" x14ac:dyDescent="0.25">
      <c r="A242" s="6"/>
    </row>
    <row r="243" spans="1:1" ht="18.75" x14ac:dyDescent="0.25">
      <c r="A243" s="6"/>
    </row>
    <row r="244" spans="1:1" ht="18.75" x14ac:dyDescent="0.25">
      <c r="A244" s="6"/>
    </row>
    <row r="245" spans="1:1" ht="18.75" x14ac:dyDescent="0.25">
      <c r="A245" s="6"/>
    </row>
    <row r="246" spans="1:1" ht="18.75" x14ac:dyDescent="0.25">
      <c r="A246" s="6"/>
    </row>
    <row r="247" spans="1:1" ht="18.75" x14ac:dyDescent="0.25">
      <c r="A247" s="6"/>
    </row>
    <row r="248" spans="1:1" ht="18.75" x14ac:dyDescent="0.25">
      <c r="A248" s="6"/>
    </row>
    <row r="249" spans="1:1" ht="18.75" x14ac:dyDescent="0.25">
      <c r="A249" s="6"/>
    </row>
    <row r="250" spans="1:1" ht="18.75" x14ac:dyDescent="0.25">
      <c r="A250" s="6"/>
    </row>
    <row r="251" spans="1:1" ht="18.75" x14ac:dyDescent="0.25">
      <c r="A251" s="6"/>
    </row>
    <row r="252" spans="1:1" ht="18.75" x14ac:dyDescent="0.25">
      <c r="A252" s="6"/>
    </row>
    <row r="253" spans="1:1" ht="18.75" x14ac:dyDescent="0.25">
      <c r="A253" s="6"/>
    </row>
    <row r="254" spans="1:1" ht="18.75" x14ac:dyDescent="0.25">
      <c r="A254" s="6"/>
    </row>
    <row r="255" spans="1:1" ht="18.75" x14ac:dyDescent="0.25">
      <c r="A255" s="6"/>
    </row>
    <row r="256" spans="1:1" ht="18.75" x14ac:dyDescent="0.25">
      <c r="A256" s="6"/>
    </row>
    <row r="257" spans="1:1" ht="18.75" x14ac:dyDescent="0.25">
      <c r="A257" s="6"/>
    </row>
    <row r="258" spans="1:1" ht="18.75" x14ac:dyDescent="0.25">
      <c r="A258" s="6"/>
    </row>
    <row r="259" spans="1:1" ht="18.75" x14ac:dyDescent="0.25">
      <c r="A259" s="6"/>
    </row>
    <row r="260" spans="1:1" ht="18.75" x14ac:dyDescent="0.25">
      <c r="A260" s="6"/>
    </row>
    <row r="261" spans="1:1" ht="18.75" x14ac:dyDescent="0.25">
      <c r="A261" s="6"/>
    </row>
    <row r="262" spans="1:1" ht="18.75" x14ac:dyDescent="0.25">
      <c r="A262" s="6"/>
    </row>
    <row r="263" spans="1:1" ht="18.75" x14ac:dyDescent="0.25">
      <c r="A263" s="6"/>
    </row>
    <row r="264" spans="1:1" ht="18.75" x14ac:dyDescent="0.25">
      <c r="A264" s="6"/>
    </row>
    <row r="265" spans="1:1" ht="18.75" x14ac:dyDescent="0.25">
      <c r="A265" s="6"/>
    </row>
    <row r="266" spans="1:1" ht="18.75" x14ac:dyDescent="0.25">
      <c r="A266" s="6"/>
    </row>
    <row r="267" spans="1:1" ht="18.75" x14ac:dyDescent="0.25">
      <c r="A267" s="6"/>
    </row>
    <row r="268" spans="1:1" ht="18.75" x14ac:dyDescent="0.25">
      <c r="A268" s="6"/>
    </row>
    <row r="269" spans="1:1" ht="18.75" x14ac:dyDescent="0.25">
      <c r="A269" s="6"/>
    </row>
    <row r="270" spans="1:1" ht="18.75" x14ac:dyDescent="0.25">
      <c r="A270" s="6"/>
    </row>
    <row r="271" spans="1:1" ht="18.75" x14ac:dyDescent="0.25">
      <c r="A271" s="6"/>
    </row>
    <row r="272" spans="1:1" ht="18.75" x14ac:dyDescent="0.25">
      <c r="A272" s="6"/>
    </row>
    <row r="273" spans="1:1" ht="18.75" x14ac:dyDescent="0.25">
      <c r="A273" s="6"/>
    </row>
    <row r="274" spans="1:1" ht="18.75" x14ac:dyDescent="0.25">
      <c r="A274" s="6"/>
    </row>
    <row r="275" spans="1:1" ht="18.75" x14ac:dyDescent="0.25">
      <c r="A275" s="6"/>
    </row>
    <row r="276" spans="1:1" ht="18.75" x14ac:dyDescent="0.25">
      <c r="A276" s="6"/>
    </row>
    <row r="277" spans="1:1" ht="18.75" x14ac:dyDescent="0.25">
      <c r="A277" s="6"/>
    </row>
    <row r="278" spans="1:1" ht="18.75" x14ac:dyDescent="0.25">
      <c r="A278" s="6"/>
    </row>
    <row r="279" spans="1:1" ht="18.75" x14ac:dyDescent="0.25">
      <c r="A279" s="6"/>
    </row>
    <row r="280" spans="1:1" ht="18.75" x14ac:dyDescent="0.25">
      <c r="A280" s="6"/>
    </row>
    <row r="281" spans="1:1" ht="18.75" x14ac:dyDescent="0.25">
      <c r="A281" s="6"/>
    </row>
    <row r="282" spans="1:1" ht="18.75" x14ac:dyDescent="0.25">
      <c r="A282" s="6"/>
    </row>
    <row r="283" spans="1:1" ht="18.75" x14ac:dyDescent="0.25">
      <c r="A283" s="6"/>
    </row>
    <row r="284" spans="1:1" ht="18.75" x14ac:dyDescent="0.25">
      <c r="A284" s="6"/>
    </row>
    <row r="285" spans="1:1" ht="18.75" x14ac:dyDescent="0.25">
      <c r="A285" s="6"/>
    </row>
    <row r="286" spans="1:1" ht="18.75" x14ac:dyDescent="0.25">
      <c r="A286" s="6"/>
    </row>
    <row r="287" spans="1:1" ht="18.75" x14ac:dyDescent="0.25">
      <c r="A287" s="6"/>
    </row>
    <row r="288" spans="1:1" ht="18.75" x14ac:dyDescent="0.25">
      <c r="A288" s="6"/>
    </row>
    <row r="289" spans="1:1" ht="18.75" x14ac:dyDescent="0.25">
      <c r="A289" s="6"/>
    </row>
    <row r="290" spans="1:1" ht="18.75" x14ac:dyDescent="0.25">
      <c r="A290" s="6"/>
    </row>
    <row r="291" spans="1:1" ht="18.75" x14ac:dyDescent="0.25">
      <c r="A291" s="6"/>
    </row>
    <row r="292" spans="1:1" ht="18.75" x14ac:dyDescent="0.25">
      <c r="A292" s="6"/>
    </row>
    <row r="293" spans="1:1" ht="18.75" x14ac:dyDescent="0.25">
      <c r="A293" s="6"/>
    </row>
    <row r="294" spans="1:1" ht="18.75" x14ac:dyDescent="0.25">
      <c r="A294" s="6"/>
    </row>
    <row r="295" spans="1:1" ht="18.75" x14ac:dyDescent="0.25">
      <c r="A295" s="6"/>
    </row>
    <row r="296" spans="1:1" ht="18.75" x14ac:dyDescent="0.25">
      <c r="A296" s="6"/>
    </row>
    <row r="297" spans="1:1" ht="18.75" x14ac:dyDescent="0.25">
      <c r="A297" s="6"/>
    </row>
    <row r="298" spans="1:1" ht="18.75" x14ac:dyDescent="0.25">
      <c r="A298" s="6"/>
    </row>
    <row r="299" spans="1:1" ht="18.75" x14ac:dyDescent="0.25">
      <c r="A299" s="6"/>
    </row>
    <row r="300" spans="1:1" ht="18.75" x14ac:dyDescent="0.25">
      <c r="A300" s="6"/>
    </row>
    <row r="301" spans="1:1" ht="18.75" x14ac:dyDescent="0.25">
      <c r="A301" s="6"/>
    </row>
    <row r="302" spans="1:1" ht="18.75" x14ac:dyDescent="0.25">
      <c r="A302" s="6"/>
    </row>
    <row r="303" spans="1:1" ht="18.75" x14ac:dyDescent="0.25">
      <c r="A303" s="6"/>
    </row>
    <row r="304" spans="1:1" ht="18.75" x14ac:dyDescent="0.25">
      <c r="A304" s="6"/>
    </row>
    <row r="305" spans="1:1" ht="18.75" x14ac:dyDescent="0.25">
      <c r="A305" s="6"/>
    </row>
    <row r="306" spans="1:1" ht="18.75" x14ac:dyDescent="0.25">
      <c r="A306" s="6"/>
    </row>
    <row r="307" spans="1:1" ht="18.75" x14ac:dyDescent="0.25">
      <c r="A307" s="6"/>
    </row>
    <row r="308" spans="1:1" ht="18.75" x14ac:dyDescent="0.25">
      <c r="A308" s="6"/>
    </row>
    <row r="309" spans="1:1" ht="18.75" x14ac:dyDescent="0.25">
      <c r="A309" s="6"/>
    </row>
    <row r="310" spans="1:1" ht="18.75" x14ac:dyDescent="0.25">
      <c r="A310" s="6"/>
    </row>
    <row r="311" spans="1:1" ht="18.75" x14ac:dyDescent="0.25">
      <c r="A311" s="6"/>
    </row>
    <row r="312" spans="1:1" ht="18.75" x14ac:dyDescent="0.25">
      <c r="A312" s="6"/>
    </row>
    <row r="313" spans="1:1" ht="18.75" x14ac:dyDescent="0.25">
      <c r="A313" s="6"/>
    </row>
    <row r="314" spans="1:1" ht="18.75" x14ac:dyDescent="0.25">
      <c r="A314" s="6"/>
    </row>
    <row r="315" spans="1:1" ht="18.75" x14ac:dyDescent="0.25">
      <c r="A315" s="6"/>
    </row>
    <row r="316" spans="1:1" ht="18.75" x14ac:dyDescent="0.25">
      <c r="A316" s="6"/>
    </row>
    <row r="317" spans="1:1" ht="18.75" x14ac:dyDescent="0.25">
      <c r="A317" s="6"/>
    </row>
    <row r="318" spans="1:1" ht="18.75" x14ac:dyDescent="0.25">
      <c r="A318" s="6"/>
    </row>
    <row r="319" spans="1:1" ht="18.75" x14ac:dyDescent="0.25">
      <c r="A319" s="6"/>
    </row>
    <row r="320" spans="1:1" ht="18.75" x14ac:dyDescent="0.25">
      <c r="A320" s="6"/>
    </row>
    <row r="321" spans="1:1" ht="18.75" x14ac:dyDescent="0.25">
      <c r="A321" s="6"/>
    </row>
    <row r="322" spans="1:1" ht="18.75" x14ac:dyDescent="0.25">
      <c r="A322" s="6"/>
    </row>
    <row r="323" spans="1:1" ht="18.75" x14ac:dyDescent="0.25">
      <c r="A323" s="6"/>
    </row>
    <row r="324" spans="1:1" ht="18.75" x14ac:dyDescent="0.25">
      <c r="A324" s="6"/>
    </row>
    <row r="325" spans="1:1" ht="18.75" x14ac:dyDescent="0.25">
      <c r="A325" s="6"/>
    </row>
    <row r="326" spans="1:1" ht="18.75" x14ac:dyDescent="0.25">
      <c r="A326" s="6"/>
    </row>
    <row r="327" spans="1:1" ht="18.75" x14ac:dyDescent="0.25">
      <c r="A327" s="6"/>
    </row>
    <row r="328" spans="1:1" ht="18.75" x14ac:dyDescent="0.25">
      <c r="A328" s="6"/>
    </row>
    <row r="329" spans="1:1" ht="18.75" x14ac:dyDescent="0.25">
      <c r="A329" s="6"/>
    </row>
    <row r="330" spans="1:1" ht="18.75" x14ac:dyDescent="0.25">
      <c r="A330" s="6"/>
    </row>
    <row r="331" spans="1:1" ht="18.75" x14ac:dyDescent="0.25">
      <c r="A331" s="6"/>
    </row>
    <row r="332" spans="1:1" ht="18.75" x14ac:dyDescent="0.25">
      <c r="A332" s="6"/>
    </row>
    <row r="333" spans="1:1" ht="18.75" x14ac:dyDescent="0.25">
      <c r="A333" s="6"/>
    </row>
    <row r="334" spans="1:1" ht="18.75" x14ac:dyDescent="0.25">
      <c r="A334" s="6"/>
    </row>
    <row r="335" spans="1:1" ht="18.75" x14ac:dyDescent="0.25">
      <c r="A335" s="6"/>
    </row>
    <row r="336" spans="1:1" ht="18.75" x14ac:dyDescent="0.25">
      <c r="A336" s="6"/>
    </row>
    <row r="337" spans="1:1" ht="18.75" x14ac:dyDescent="0.25">
      <c r="A337" s="6"/>
    </row>
    <row r="338" spans="1:1" ht="18.75" x14ac:dyDescent="0.25">
      <c r="A338" s="6"/>
    </row>
    <row r="339" spans="1:1" ht="18.75" x14ac:dyDescent="0.25">
      <c r="A339" s="6"/>
    </row>
    <row r="340" spans="1:1" ht="18.75" x14ac:dyDescent="0.25">
      <c r="A340" s="6"/>
    </row>
    <row r="341" spans="1:1" ht="18.75" x14ac:dyDescent="0.25">
      <c r="A341" s="6"/>
    </row>
    <row r="342" spans="1:1" ht="18.75" x14ac:dyDescent="0.25">
      <c r="A342" s="6"/>
    </row>
    <row r="343" spans="1:1" ht="18.75" x14ac:dyDescent="0.25">
      <c r="A343" s="6"/>
    </row>
    <row r="344" spans="1:1" ht="18.75" x14ac:dyDescent="0.25">
      <c r="A344" s="6"/>
    </row>
    <row r="345" spans="1:1" ht="18.75" x14ac:dyDescent="0.25">
      <c r="A345" s="6"/>
    </row>
    <row r="346" spans="1:1" ht="18.75" x14ac:dyDescent="0.25">
      <c r="A346" s="6"/>
    </row>
    <row r="347" spans="1:1" ht="18.75" x14ac:dyDescent="0.25">
      <c r="A347" s="6"/>
    </row>
    <row r="348" spans="1:1" ht="18.75" x14ac:dyDescent="0.25">
      <c r="A348" s="6"/>
    </row>
    <row r="349" spans="1:1" ht="18.75" x14ac:dyDescent="0.25">
      <c r="A349" s="6"/>
    </row>
    <row r="350" spans="1:1" ht="18.75" x14ac:dyDescent="0.25">
      <c r="A350" s="6"/>
    </row>
    <row r="351" spans="1:1" ht="18.75" x14ac:dyDescent="0.25">
      <c r="A351" s="6"/>
    </row>
    <row r="352" spans="1:1" ht="18.75" x14ac:dyDescent="0.25">
      <c r="A352" s="6"/>
    </row>
    <row r="353" spans="1:1" ht="18.75" x14ac:dyDescent="0.25">
      <c r="A353" s="6"/>
    </row>
    <row r="354" spans="1:1" ht="18.75" x14ac:dyDescent="0.25">
      <c r="A354" s="6"/>
    </row>
    <row r="355" spans="1:1" ht="18.75" x14ac:dyDescent="0.25">
      <c r="A355" s="6"/>
    </row>
    <row r="356" spans="1:1" ht="18.75" x14ac:dyDescent="0.25">
      <c r="A356" s="6"/>
    </row>
    <row r="357" spans="1:1" ht="18.75" x14ac:dyDescent="0.25">
      <c r="A357" s="6"/>
    </row>
    <row r="358" spans="1:1" ht="18.75" x14ac:dyDescent="0.25">
      <c r="A358" s="6"/>
    </row>
    <row r="359" spans="1:1" ht="18.75" x14ac:dyDescent="0.25">
      <c r="A359" s="6"/>
    </row>
    <row r="360" spans="1:1" ht="18.75" x14ac:dyDescent="0.25">
      <c r="A360" s="6"/>
    </row>
    <row r="361" spans="1:1" ht="18.75" x14ac:dyDescent="0.25">
      <c r="A361" s="6"/>
    </row>
    <row r="362" spans="1:1" ht="18.75" x14ac:dyDescent="0.25">
      <c r="A362" s="6"/>
    </row>
    <row r="363" spans="1:1" ht="18.75" x14ac:dyDescent="0.25">
      <c r="A363" s="6"/>
    </row>
    <row r="364" spans="1:1" ht="18.75" x14ac:dyDescent="0.25">
      <c r="A364" s="6"/>
    </row>
    <row r="365" spans="1:1" ht="18.75" x14ac:dyDescent="0.25">
      <c r="A365" s="6"/>
    </row>
    <row r="366" spans="1:1" ht="18.75" x14ac:dyDescent="0.25">
      <c r="A366" s="6"/>
    </row>
    <row r="367" spans="1:1" ht="18.75" x14ac:dyDescent="0.25">
      <c r="A367" s="6"/>
    </row>
    <row r="368" spans="1:1" ht="18.75" x14ac:dyDescent="0.25">
      <c r="A368" s="6"/>
    </row>
    <row r="369" spans="1:1" ht="18.75" x14ac:dyDescent="0.25">
      <c r="A369" s="6"/>
    </row>
    <row r="370" spans="1:1" ht="18.75" x14ac:dyDescent="0.25">
      <c r="A370" s="6"/>
    </row>
    <row r="371" spans="1:1" ht="18.75" x14ac:dyDescent="0.25">
      <c r="A371" s="6"/>
    </row>
    <row r="372" spans="1:1" ht="18.75" x14ac:dyDescent="0.25">
      <c r="A372" s="6"/>
    </row>
    <row r="373" spans="1:1" ht="18.75" x14ac:dyDescent="0.25">
      <c r="A373" s="6"/>
    </row>
    <row r="374" spans="1:1" ht="18.75" x14ac:dyDescent="0.25">
      <c r="A374" s="6"/>
    </row>
    <row r="375" spans="1:1" ht="18.75" x14ac:dyDescent="0.25">
      <c r="A375" s="6"/>
    </row>
    <row r="376" spans="1:1" ht="18.75" x14ac:dyDescent="0.25">
      <c r="A376" s="6"/>
    </row>
    <row r="377" spans="1:1" ht="18.75" x14ac:dyDescent="0.25">
      <c r="A377" s="6"/>
    </row>
    <row r="378" spans="1:1" ht="18.75" x14ac:dyDescent="0.25">
      <c r="A378" s="6"/>
    </row>
    <row r="379" spans="1:1" ht="18.75" x14ac:dyDescent="0.25">
      <c r="A379" s="6"/>
    </row>
    <row r="380" spans="1:1" ht="18.75" x14ac:dyDescent="0.25">
      <c r="A380" s="6"/>
    </row>
    <row r="381" spans="1:1" ht="18.75" x14ac:dyDescent="0.25">
      <c r="A381" s="6"/>
    </row>
    <row r="382" spans="1:1" ht="18.75" x14ac:dyDescent="0.25">
      <c r="A382" s="6"/>
    </row>
    <row r="383" spans="1:1" ht="18.75" x14ac:dyDescent="0.25">
      <c r="A383" s="6"/>
    </row>
    <row r="384" spans="1:1" ht="18.75" x14ac:dyDescent="0.25">
      <c r="A384" s="6"/>
    </row>
    <row r="385" spans="1:1" ht="18.75" x14ac:dyDescent="0.25">
      <c r="A385" s="6"/>
    </row>
    <row r="386" spans="1:1" ht="18.75" x14ac:dyDescent="0.25">
      <c r="A386" s="6"/>
    </row>
    <row r="387" spans="1:1" ht="18.75" x14ac:dyDescent="0.25">
      <c r="A387" s="6"/>
    </row>
    <row r="388" spans="1:1" ht="18.75" x14ac:dyDescent="0.25">
      <c r="A388" s="6"/>
    </row>
    <row r="389" spans="1:1" ht="18.75" x14ac:dyDescent="0.25">
      <c r="A389" s="6"/>
    </row>
    <row r="390" spans="1:1" ht="18.75" x14ac:dyDescent="0.25">
      <c r="A390" s="6"/>
    </row>
    <row r="391" spans="1:1" ht="18.75" x14ac:dyDescent="0.25">
      <c r="A391" s="6"/>
    </row>
    <row r="392" spans="1:1" ht="18.75" x14ac:dyDescent="0.25">
      <c r="A392" s="6"/>
    </row>
    <row r="393" spans="1:1" ht="18.75" x14ac:dyDescent="0.25">
      <c r="A393" s="6"/>
    </row>
    <row r="394" spans="1:1" ht="18.75" x14ac:dyDescent="0.25">
      <c r="A394" s="6"/>
    </row>
    <row r="395" spans="1:1" ht="18.75" x14ac:dyDescent="0.25">
      <c r="A395" s="6"/>
    </row>
    <row r="396" spans="1:1" ht="18.75" x14ac:dyDescent="0.25">
      <c r="A396" s="6"/>
    </row>
    <row r="397" spans="1:1" ht="18.75" x14ac:dyDescent="0.25">
      <c r="A397" s="6"/>
    </row>
    <row r="398" spans="1:1" ht="18.75" x14ac:dyDescent="0.25">
      <c r="A398" s="6"/>
    </row>
    <row r="399" spans="1:1" ht="18.75" x14ac:dyDescent="0.25">
      <c r="A399" s="6"/>
    </row>
    <row r="400" spans="1:1" ht="18.75" x14ac:dyDescent="0.25">
      <c r="A400" s="6"/>
    </row>
    <row r="401" spans="1:1" ht="18.75" x14ac:dyDescent="0.25">
      <c r="A401" s="6"/>
    </row>
    <row r="402" spans="1:1" ht="18.75" x14ac:dyDescent="0.25">
      <c r="A402" s="6"/>
    </row>
    <row r="403" spans="1:1" ht="18.75" x14ac:dyDescent="0.25">
      <c r="A403" s="6"/>
    </row>
    <row r="404" spans="1:1" ht="18.75" x14ac:dyDescent="0.25">
      <c r="A404" s="6"/>
    </row>
    <row r="405" spans="1:1" ht="18.75" x14ac:dyDescent="0.25">
      <c r="A405" s="6"/>
    </row>
    <row r="406" spans="1:1" ht="18.75" x14ac:dyDescent="0.25">
      <c r="A406" s="6"/>
    </row>
    <row r="407" spans="1:1" ht="18.75" x14ac:dyDescent="0.25">
      <c r="A407" s="6"/>
    </row>
    <row r="408" spans="1:1" ht="18.75" x14ac:dyDescent="0.25">
      <c r="A408" s="6"/>
    </row>
    <row r="409" spans="1:1" ht="18.75" x14ac:dyDescent="0.25">
      <c r="A409" s="6"/>
    </row>
    <row r="410" spans="1:1" ht="18.75" x14ac:dyDescent="0.25">
      <c r="A410" s="6"/>
    </row>
    <row r="411" spans="1:1" ht="18.75" x14ac:dyDescent="0.25">
      <c r="A411" s="6"/>
    </row>
    <row r="412" spans="1:1" ht="18.75" x14ac:dyDescent="0.25">
      <c r="A412" s="6"/>
    </row>
    <row r="413" spans="1:1" ht="18.75" x14ac:dyDescent="0.25">
      <c r="A413" s="6"/>
    </row>
    <row r="414" spans="1:1" ht="18.75" x14ac:dyDescent="0.25">
      <c r="A414" s="6"/>
    </row>
    <row r="415" spans="1:1" ht="18.75" x14ac:dyDescent="0.25">
      <c r="A415" s="6"/>
    </row>
    <row r="416" spans="1:1" ht="18.75" x14ac:dyDescent="0.25">
      <c r="A416" s="6"/>
    </row>
    <row r="417" spans="1:1" ht="18.75" x14ac:dyDescent="0.25">
      <c r="A417" s="6"/>
    </row>
    <row r="418" spans="1:1" ht="18.75" x14ac:dyDescent="0.25">
      <c r="A418" s="6"/>
    </row>
    <row r="419" spans="1:1" ht="18.75" x14ac:dyDescent="0.25">
      <c r="A419" s="6"/>
    </row>
    <row r="420" spans="1:1" ht="18.75" x14ac:dyDescent="0.25">
      <c r="A420" s="6"/>
    </row>
    <row r="421" spans="1:1" ht="18.75" x14ac:dyDescent="0.25">
      <c r="A421" s="6"/>
    </row>
    <row r="422" spans="1:1" ht="18.75" x14ac:dyDescent="0.25">
      <c r="A422" s="6"/>
    </row>
    <row r="423" spans="1:1" ht="18.75" x14ac:dyDescent="0.25">
      <c r="A423" s="6"/>
    </row>
    <row r="424" spans="1:1" ht="18.75" x14ac:dyDescent="0.25">
      <c r="A424" s="6"/>
    </row>
    <row r="425" spans="1:1" ht="18.75" x14ac:dyDescent="0.25">
      <c r="A425" s="6"/>
    </row>
    <row r="426" spans="1:1" ht="18.75" x14ac:dyDescent="0.25">
      <c r="A426" s="6"/>
    </row>
    <row r="427" spans="1:1" ht="18.75" x14ac:dyDescent="0.25">
      <c r="A427" s="6"/>
    </row>
    <row r="428" spans="1:1" ht="18.75" x14ac:dyDescent="0.25">
      <c r="A428" s="6"/>
    </row>
    <row r="429" spans="1:1" ht="18.75" x14ac:dyDescent="0.25">
      <c r="A429" s="6"/>
    </row>
    <row r="430" spans="1:1" ht="18.75" x14ac:dyDescent="0.25">
      <c r="A430" s="6"/>
    </row>
    <row r="431" spans="1:1" ht="18.75" x14ac:dyDescent="0.25">
      <c r="A431" s="6"/>
    </row>
    <row r="432" spans="1:1" ht="18.75" x14ac:dyDescent="0.25">
      <c r="A432" s="6"/>
    </row>
    <row r="433" spans="1:1" ht="18.75" x14ac:dyDescent="0.25">
      <c r="A433" s="6"/>
    </row>
    <row r="434" spans="1:1" ht="18.75" x14ac:dyDescent="0.25">
      <c r="A434" s="6"/>
    </row>
    <row r="435" spans="1:1" ht="18.75" x14ac:dyDescent="0.25">
      <c r="A435" s="6"/>
    </row>
    <row r="436" spans="1:1" ht="18.75" x14ac:dyDescent="0.25">
      <c r="A436" s="6"/>
    </row>
    <row r="437" spans="1:1" ht="18.75" x14ac:dyDescent="0.25">
      <c r="A437" s="6"/>
    </row>
    <row r="438" spans="1:1" ht="18.75" x14ac:dyDescent="0.25">
      <c r="A438" s="6"/>
    </row>
    <row r="439" spans="1:1" ht="18.75" x14ac:dyDescent="0.25">
      <c r="A439" s="6"/>
    </row>
    <row r="440" spans="1:1" ht="18.75" x14ac:dyDescent="0.25">
      <c r="A440" s="6"/>
    </row>
    <row r="441" spans="1:1" ht="18.75" x14ac:dyDescent="0.25">
      <c r="A441" s="6"/>
    </row>
    <row r="442" spans="1:1" ht="18.75" x14ac:dyDescent="0.25">
      <c r="A442" s="6"/>
    </row>
    <row r="443" spans="1:1" ht="18.75" x14ac:dyDescent="0.25">
      <c r="A443" s="6"/>
    </row>
    <row r="444" spans="1:1" ht="18.75" x14ac:dyDescent="0.25">
      <c r="A444" s="6"/>
    </row>
    <row r="445" spans="1:1" ht="18.75" x14ac:dyDescent="0.25">
      <c r="A445" s="6"/>
    </row>
    <row r="446" spans="1:1" ht="18.75" x14ac:dyDescent="0.25">
      <c r="A446" s="6"/>
    </row>
    <row r="447" spans="1:1" ht="18.75" x14ac:dyDescent="0.25">
      <c r="A447" s="6"/>
    </row>
    <row r="448" spans="1:1" ht="18.75" x14ac:dyDescent="0.25">
      <c r="A448" s="6"/>
    </row>
    <row r="449" spans="1:1" ht="18.75" x14ac:dyDescent="0.25">
      <c r="A449" s="6"/>
    </row>
    <row r="450" spans="1:1" ht="18.75" x14ac:dyDescent="0.25">
      <c r="A450" s="6"/>
    </row>
    <row r="451" spans="1:1" ht="18.75" x14ac:dyDescent="0.25">
      <c r="A451" s="6"/>
    </row>
    <row r="452" spans="1:1" ht="18.75" x14ac:dyDescent="0.25">
      <c r="A452" s="6"/>
    </row>
    <row r="453" spans="1:1" ht="18.75" x14ac:dyDescent="0.25">
      <c r="A453" s="6"/>
    </row>
    <row r="454" spans="1:1" ht="18.75" x14ac:dyDescent="0.25">
      <c r="A454" s="6"/>
    </row>
    <row r="455" spans="1:1" ht="18.75" x14ac:dyDescent="0.25">
      <c r="A455" s="6"/>
    </row>
    <row r="456" spans="1:1" ht="18.75" x14ac:dyDescent="0.25">
      <c r="A456" s="6"/>
    </row>
    <row r="457" spans="1:1" ht="18.75" x14ac:dyDescent="0.25">
      <c r="A457" s="6"/>
    </row>
    <row r="458" spans="1:1" ht="18.75" x14ac:dyDescent="0.25">
      <c r="A458" s="6"/>
    </row>
    <row r="459" spans="1:1" ht="18.75" x14ac:dyDescent="0.25">
      <c r="A459" s="6"/>
    </row>
    <row r="460" spans="1:1" ht="18.75" x14ac:dyDescent="0.25">
      <c r="A460" s="6"/>
    </row>
    <row r="461" spans="1:1" ht="18.75" x14ac:dyDescent="0.25">
      <c r="A461" s="6"/>
    </row>
    <row r="462" spans="1:1" ht="18.75" x14ac:dyDescent="0.25">
      <c r="A462" s="6"/>
    </row>
    <row r="463" spans="1:1" ht="18.75" x14ac:dyDescent="0.25">
      <c r="A463" s="6"/>
    </row>
    <row r="464" spans="1:1" ht="18.75" x14ac:dyDescent="0.25">
      <c r="A464" s="6"/>
    </row>
    <row r="465" spans="1:1" ht="18.75" x14ac:dyDescent="0.25">
      <c r="A465" s="6"/>
    </row>
    <row r="466" spans="1:1" ht="18.75" x14ac:dyDescent="0.25">
      <c r="A466" s="6"/>
    </row>
    <row r="467" spans="1:1" ht="18.75" x14ac:dyDescent="0.25">
      <c r="A467" s="6"/>
    </row>
    <row r="468" spans="1:1" ht="18.75" x14ac:dyDescent="0.25">
      <c r="A468" s="6"/>
    </row>
    <row r="469" spans="1:1" ht="18.75" x14ac:dyDescent="0.25">
      <c r="A469" s="6"/>
    </row>
    <row r="470" spans="1:1" ht="18.75" x14ac:dyDescent="0.25">
      <c r="A470" s="6"/>
    </row>
    <row r="471" spans="1:1" ht="18.75" x14ac:dyDescent="0.25">
      <c r="A471" s="6"/>
    </row>
    <row r="472" spans="1:1" ht="18.75" x14ac:dyDescent="0.25">
      <c r="A472" s="6"/>
    </row>
    <row r="473" spans="1:1" ht="18.75" x14ac:dyDescent="0.25">
      <c r="A473" s="6"/>
    </row>
    <row r="474" spans="1:1" ht="18.75" x14ac:dyDescent="0.25">
      <c r="A474" s="6"/>
    </row>
    <row r="475" spans="1:1" ht="18.75" x14ac:dyDescent="0.25">
      <c r="A475" s="6"/>
    </row>
    <row r="476" spans="1:1" ht="18.75" x14ac:dyDescent="0.25">
      <c r="A476" s="6"/>
    </row>
    <row r="477" spans="1:1" ht="18.75" x14ac:dyDescent="0.25">
      <c r="A477" s="6"/>
    </row>
    <row r="478" spans="1:1" ht="18.75" x14ac:dyDescent="0.25">
      <c r="A478" s="6"/>
    </row>
    <row r="479" spans="1:1" ht="18.75" x14ac:dyDescent="0.25">
      <c r="A479" s="6"/>
    </row>
    <row r="480" spans="1:1" ht="18.75" x14ac:dyDescent="0.25">
      <c r="A480" s="6"/>
    </row>
    <row r="481" spans="1:1" ht="18.75" x14ac:dyDescent="0.25">
      <c r="A481" s="6"/>
    </row>
    <row r="482" spans="1:1" ht="18.75" x14ac:dyDescent="0.25">
      <c r="A482" s="6"/>
    </row>
    <row r="483" spans="1:1" ht="18.75" x14ac:dyDescent="0.25">
      <c r="A483" s="6"/>
    </row>
    <row r="484" spans="1:1" ht="18.75" x14ac:dyDescent="0.25">
      <c r="A484" s="6"/>
    </row>
    <row r="485" spans="1:1" ht="18.75" x14ac:dyDescent="0.25">
      <c r="A485" s="6"/>
    </row>
    <row r="486" spans="1:1" ht="18.75" x14ac:dyDescent="0.25">
      <c r="A486" s="6"/>
    </row>
    <row r="487" spans="1:1" ht="18.75" x14ac:dyDescent="0.25">
      <c r="A487" s="6"/>
    </row>
    <row r="488" spans="1:1" ht="18.75" x14ac:dyDescent="0.25">
      <c r="A488" s="6"/>
    </row>
    <row r="489" spans="1:1" ht="18.75" x14ac:dyDescent="0.25">
      <c r="A489" s="6"/>
    </row>
    <row r="490" spans="1:1" ht="18.75" x14ac:dyDescent="0.25">
      <c r="A490" s="6"/>
    </row>
    <row r="491" spans="1:1" ht="18.75" x14ac:dyDescent="0.25">
      <c r="A491" s="6"/>
    </row>
    <row r="492" spans="1:1" ht="18.75" x14ac:dyDescent="0.25">
      <c r="A492" s="6"/>
    </row>
    <row r="493" spans="1:1" ht="18.75" x14ac:dyDescent="0.25">
      <c r="A493" s="6"/>
    </row>
    <row r="494" spans="1:1" ht="18.75" x14ac:dyDescent="0.25">
      <c r="A494" s="6"/>
    </row>
    <row r="495" spans="1:1" ht="18.75" x14ac:dyDescent="0.25">
      <c r="A495" s="6"/>
    </row>
    <row r="496" spans="1:1" ht="18.75" x14ac:dyDescent="0.25">
      <c r="A496" s="6"/>
    </row>
    <row r="497" spans="1:1" ht="18.75" x14ac:dyDescent="0.25">
      <c r="A497" s="6"/>
    </row>
    <row r="498" spans="1:1" ht="18.75" x14ac:dyDescent="0.25">
      <c r="A498" s="6"/>
    </row>
    <row r="499" spans="1:1" ht="18.75" x14ac:dyDescent="0.25">
      <c r="A499" s="6"/>
    </row>
    <row r="500" spans="1:1" ht="18.75" x14ac:dyDescent="0.25">
      <c r="A500" s="6"/>
    </row>
    <row r="501" spans="1:1" ht="18.75" x14ac:dyDescent="0.25">
      <c r="A501" s="6"/>
    </row>
    <row r="502" spans="1:1" ht="18.75" x14ac:dyDescent="0.25">
      <c r="A502" s="6"/>
    </row>
    <row r="503" spans="1:1" ht="18.75" x14ac:dyDescent="0.25">
      <c r="A503" s="6"/>
    </row>
    <row r="504" spans="1:1" ht="18.75" x14ac:dyDescent="0.25">
      <c r="A504" s="6"/>
    </row>
    <row r="505" spans="1:1" ht="18.75" x14ac:dyDescent="0.25">
      <c r="A505" s="6"/>
    </row>
    <row r="506" spans="1:1" ht="18.75" x14ac:dyDescent="0.25">
      <c r="A506" s="6"/>
    </row>
    <row r="507" spans="1:1" ht="18.75" x14ac:dyDescent="0.25">
      <c r="A507" s="6"/>
    </row>
    <row r="508" spans="1:1" ht="18.75" x14ac:dyDescent="0.25">
      <c r="A508" s="6"/>
    </row>
    <row r="509" spans="1:1" ht="18.75" x14ac:dyDescent="0.25">
      <c r="A509" s="6"/>
    </row>
    <row r="510" spans="1:1" ht="18.75" x14ac:dyDescent="0.25">
      <c r="A510" s="6"/>
    </row>
    <row r="511" spans="1:1" ht="18.75" x14ac:dyDescent="0.25">
      <c r="A511" s="6"/>
    </row>
    <row r="512" spans="1:1" ht="18.75" x14ac:dyDescent="0.25">
      <c r="A512" s="6"/>
    </row>
    <row r="513" spans="1:1" ht="18.75" x14ac:dyDescent="0.25">
      <c r="A513" s="6"/>
    </row>
    <row r="514" spans="1:1" ht="18.75" x14ac:dyDescent="0.25">
      <c r="A514" s="6"/>
    </row>
    <row r="515" spans="1:1" ht="18.75" x14ac:dyDescent="0.25">
      <c r="A515" s="6"/>
    </row>
    <row r="516" spans="1:1" ht="18.75" x14ac:dyDescent="0.25">
      <c r="A516" s="6"/>
    </row>
    <row r="517" spans="1:1" ht="18.75" x14ac:dyDescent="0.25">
      <c r="A517" s="6"/>
    </row>
    <row r="518" spans="1:1" ht="18.75" x14ac:dyDescent="0.25">
      <c r="A518" s="6"/>
    </row>
    <row r="519" spans="1:1" ht="18.75" x14ac:dyDescent="0.25">
      <c r="A519" s="6"/>
    </row>
    <row r="520" spans="1:1" ht="18.75" x14ac:dyDescent="0.25">
      <c r="A520" s="6"/>
    </row>
    <row r="521" spans="1:1" ht="18.75" x14ac:dyDescent="0.25">
      <c r="A521" s="6"/>
    </row>
    <row r="522" spans="1:1" ht="18.75" x14ac:dyDescent="0.25">
      <c r="A522" s="6"/>
    </row>
    <row r="523" spans="1:1" ht="18.75" x14ac:dyDescent="0.25">
      <c r="A523" s="6"/>
    </row>
    <row r="524" spans="1:1" ht="18.75" x14ac:dyDescent="0.25">
      <c r="A524" s="6"/>
    </row>
    <row r="525" spans="1:1" ht="18.75" x14ac:dyDescent="0.25">
      <c r="A525" s="6"/>
    </row>
    <row r="526" spans="1:1" ht="18.75" x14ac:dyDescent="0.25">
      <c r="A526" s="6"/>
    </row>
    <row r="527" spans="1:1" ht="18.75" x14ac:dyDescent="0.25">
      <c r="A527" s="6"/>
    </row>
    <row r="528" spans="1:1" ht="18.75" x14ac:dyDescent="0.25">
      <c r="A528" s="6"/>
    </row>
    <row r="529" spans="1:1" ht="18.75" x14ac:dyDescent="0.25">
      <c r="A529" s="6"/>
    </row>
    <row r="530" spans="1:1" ht="18.75" x14ac:dyDescent="0.25">
      <c r="A530" s="6"/>
    </row>
    <row r="531" spans="1:1" ht="18.75" x14ac:dyDescent="0.25">
      <c r="A531" s="6"/>
    </row>
    <row r="532" spans="1:1" ht="18.75" x14ac:dyDescent="0.25">
      <c r="A532" s="6"/>
    </row>
    <row r="533" spans="1:1" ht="18.75" x14ac:dyDescent="0.25">
      <c r="A533" s="6"/>
    </row>
    <row r="534" spans="1:1" ht="18.75" x14ac:dyDescent="0.25">
      <c r="A534" s="6"/>
    </row>
    <row r="535" spans="1:1" ht="18.75" x14ac:dyDescent="0.25">
      <c r="A535" s="6"/>
    </row>
    <row r="536" spans="1:1" ht="18.75" x14ac:dyDescent="0.25">
      <c r="A536" s="6"/>
    </row>
    <row r="537" spans="1:1" ht="18.75" x14ac:dyDescent="0.25">
      <c r="A537" s="6"/>
    </row>
    <row r="538" spans="1:1" ht="18.75" x14ac:dyDescent="0.25">
      <c r="A538" s="6"/>
    </row>
    <row r="539" spans="1:1" ht="18.75" x14ac:dyDescent="0.25">
      <c r="A539" s="6"/>
    </row>
    <row r="540" spans="1:1" ht="18.75" x14ac:dyDescent="0.25">
      <c r="A540" s="6"/>
    </row>
    <row r="541" spans="1:1" ht="18.75" x14ac:dyDescent="0.25">
      <c r="A541" s="6"/>
    </row>
    <row r="542" spans="1:1" ht="18.75" x14ac:dyDescent="0.25">
      <c r="A542" s="6"/>
    </row>
    <row r="543" spans="1:1" ht="18.75" x14ac:dyDescent="0.25">
      <c r="A543" s="6"/>
    </row>
    <row r="544" spans="1:1" ht="18.75" x14ac:dyDescent="0.25">
      <c r="A544" s="6"/>
    </row>
    <row r="545" spans="1:1" ht="18.75" x14ac:dyDescent="0.25">
      <c r="A545" s="6"/>
    </row>
    <row r="546" spans="1:1" ht="18.75" x14ac:dyDescent="0.25">
      <c r="A546" s="6"/>
    </row>
    <row r="547" spans="1:1" ht="18.75" x14ac:dyDescent="0.25">
      <c r="A547" s="6"/>
    </row>
    <row r="548" spans="1:1" ht="18.75" x14ac:dyDescent="0.25">
      <c r="A548" s="6"/>
    </row>
    <row r="549" spans="1:1" ht="18.75" x14ac:dyDescent="0.25">
      <c r="A549" s="6"/>
    </row>
    <row r="550" spans="1:1" ht="18.75" x14ac:dyDescent="0.25">
      <c r="A550" s="6"/>
    </row>
    <row r="551" spans="1:1" ht="18.75" x14ac:dyDescent="0.25">
      <c r="A551" s="6"/>
    </row>
    <row r="552" spans="1:1" ht="18.75" x14ac:dyDescent="0.25">
      <c r="A552" s="6"/>
    </row>
    <row r="553" spans="1:1" ht="18.75" x14ac:dyDescent="0.25">
      <c r="A553" s="6"/>
    </row>
    <row r="554" spans="1:1" ht="18.75" x14ac:dyDescent="0.25">
      <c r="A554" s="6"/>
    </row>
    <row r="555" spans="1:1" ht="18.75" x14ac:dyDescent="0.25">
      <c r="A555" s="6"/>
    </row>
    <row r="556" spans="1:1" ht="18.75" x14ac:dyDescent="0.25">
      <c r="A556" s="6"/>
    </row>
    <row r="557" spans="1:1" ht="18.75" x14ac:dyDescent="0.25">
      <c r="A557" s="6"/>
    </row>
    <row r="558" spans="1:1" ht="18.75" x14ac:dyDescent="0.25">
      <c r="A558" s="6"/>
    </row>
    <row r="559" spans="1:1" ht="18.75" x14ac:dyDescent="0.25">
      <c r="A559" s="6"/>
    </row>
    <row r="560" spans="1:1" ht="18.75" x14ac:dyDescent="0.25">
      <c r="A560" s="6"/>
    </row>
    <row r="561" spans="1:1" ht="18.75" x14ac:dyDescent="0.25">
      <c r="A561" s="6"/>
    </row>
    <row r="562" spans="1:1" ht="18.75" x14ac:dyDescent="0.25">
      <c r="A562" s="6"/>
    </row>
    <row r="563" spans="1:1" ht="18.75" x14ac:dyDescent="0.25">
      <c r="A563" s="6"/>
    </row>
    <row r="564" spans="1:1" ht="18.75" x14ac:dyDescent="0.25">
      <c r="A564" s="6"/>
    </row>
    <row r="565" spans="1:1" ht="18.75" x14ac:dyDescent="0.25">
      <c r="A565" s="6"/>
    </row>
    <row r="566" spans="1:1" ht="18.75" x14ac:dyDescent="0.25">
      <c r="A566" s="6"/>
    </row>
    <row r="567" spans="1:1" ht="18.75" x14ac:dyDescent="0.25">
      <c r="A567" s="6"/>
    </row>
    <row r="568" spans="1:1" ht="18.75" x14ac:dyDescent="0.25">
      <c r="A568" s="6"/>
    </row>
    <row r="569" spans="1:1" ht="18.75" x14ac:dyDescent="0.25">
      <c r="A569" s="6"/>
    </row>
    <row r="570" spans="1:1" ht="18.75" x14ac:dyDescent="0.25">
      <c r="A570" s="6"/>
    </row>
    <row r="571" spans="1:1" ht="18.75" x14ac:dyDescent="0.25">
      <c r="A571" s="6"/>
    </row>
    <row r="572" spans="1:1" ht="18.75" x14ac:dyDescent="0.25">
      <c r="A572" s="6"/>
    </row>
    <row r="573" spans="1:1" ht="18.75" x14ac:dyDescent="0.25">
      <c r="A573" s="6"/>
    </row>
    <row r="574" spans="1:1" ht="18.75" x14ac:dyDescent="0.25">
      <c r="A574" s="6"/>
    </row>
    <row r="575" spans="1:1" ht="18.75" x14ac:dyDescent="0.25">
      <c r="A575" s="6"/>
    </row>
    <row r="576" spans="1:1" ht="18.75" x14ac:dyDescent="0.25">
      <c r="A576" s="6"/>
    </row>
    <row r="577" spans="1:1" ht="18.75" x14ac:dyDescent="0.25">
      <c r="A577" s="6"/>
    </row>
    <row r="578" spans="1:1" ht="18.75" x14ac:dyDescent="0.25">
      <c r="A578" s="6"/>
    </row>
    <row r="579" spans="1:1" ht="18.75" x14ac:dyDescent="0.25">
      <c r="A579" s="6"/>
    </row>
    <row r="580" spans="1:1" ht="18.75" x14ac:dyDescent="0.25">
      <c r="A580" s="6"/>
    </row>
    <row r="581" spans="1:1" ht="18.75" x14ac:dyDescent="0.25">
      <c r="A581" s="6"/>
    </row>
    <row r="582" spans="1:1" ht="18.75" x14ac:dyDescent="0.25">
      <c r="A582" s="6"/>
    </row>
    <row r="583" spans="1:1" ht="18.75" x14ac:dyDescent="0.25">
      <c r="A583" s="6"/>
    </row>
    <row r="584" spans="1:1" ht="18.75" x14ac:dyDescent="0.25">
      <c r="A584" s="6"/>
    </row>
    <row r="585" spans="1:1" ht="18.75" x14ac:dyDescent="0.25">
      <c r="A585" s="6"/>
    </row>
    <row r="586" spans="1:1" ht="18.75" x14ac:dyDescent="0.25">
      <c r="A586" s="6"/>
    </row>
    <row r="587" spans="1:1" ht="18.75" x14ac:dyDescent="0.25">
      <c r="A587" s="6"/>
    </row>
    <row r="588" spans="1:1" ht="18.75" x14ac:dyDescent="0.25">
      <c r="A588" s="6"/>
    </row>
    <row r="589" spans="1:1" ht="18.75" x14ac:dyDescent="0.25">
      <c r="A589" s="6"/>
    </row>
    <row r="590" spans="1:1" ht="18.75" x14ac:dyDescent="0.25">
      <c r="A590" s="6"/>
    </row>
    <row r="591" spans="1:1" ht="18.75" x14ac:dyDescent="0.25">
      <c r="A591" s="6"/>
    </row>
    <row r="592" spans="1:1" ht="18.75" x14ac:dyDescent="0.25">
      <c r="A592" s="6"/>
    </row>
    <row r="593" spans="1:1" ht="18.75" x14ac:dyDescent="0.25">
      <c r="A593" s="6"/>
    </row>
    <row r="594" spans="1:1" ht="18.75" x14ac:dyDescent="0.25">
      <c r="A594" s="6"/>
    </row>
    <row r="595" spans="1:1" ht="18.75" x14ac:dyDescent="0.25">
      <c r="A595" s="6"/>
    </row>
    <row r="596" spans="1:1" ht="18.75" x14ac:dyDescent="0.25">
      <c r="A596" s="6"/>
    </row>
    <row r="597" spans="1:1" ht="18.75" x14ac:dyDescent="0.25">
      <c r="A597" s="6"/>
    </row>
    <row r="598" spans="1:1" ht="18.75" x14ac:dyDescent="0.25">
      <c r="A598" s="6"/>
    </row>
    <row r="599" spans="1:1" ht="18.75" x14ac:dyDescent="0.25">
      <c r="A599" s="6"/>
    </row>
    <row r="600" spans="1:1" ht="18.75" x14ac:dyDescent="0.25">
      <c r="A600" s="6"/>
    </row>
    <row r="601" spans="1:1" ht="18.75" x14ac:dyDescent="0.25">
      <c r="A601" s="6"/>
    </row>
    <row r="602" spans="1:1" ht="18.75" x14ac:dyDescent="0.25">
      <c r="A602" s="6"/>
    </row>
    <row r="603" spans="1:1" ht="18.75" x14ac:dyDescent="0.25">
      <c r="A603" s="6"/>
    </row>
    <row r="604" spans="1:1" ht="18.75" x14ac:dyDescent="0.25">
      <c r="A604" s="6"/>
    </row>
    <row r="605" spans="1:1" ht="18.75" x14ac:dyDescent="0.25">
      <c r="A605" s="6"/>
    </row>
    <row r="606" spans="1:1" ht="18.75" x14ac:dyDescent="0.25">
      <c r="A606" s="6"/>
    </row>
    <row r="607" spans="1:1" ht="18.75" x14ac:dyDescent="0.25">
      <c r="A607" s="6"/>
    </row>
    <row r="608" spans="1:1" ht="18.75" x14ac:dyDescent="0.25">
      <c r="A608" s="6"/>
    </row>
    <row r="609" spans="1:1" ht="18.75" x14ac:dyDescent="0.25">
      <c r="A609" s="6"/>
    </row>
    <row r="610" spans="1:1" ht="18.75" x14ac:dyDescent="0.25">
      <c r="A610" s="6"/>
    </row>
    <row r="611" spans="1:1" ht="18.75" x14ac:dyDescent="0.25">
      <c r="A611" s="6"/>
    </row>
    <row r="612" spans="1:1" ht="18.75" x14ac:dyDescent="0.25">
      <c r="A612" s="6"/>
    </row>
    <row r="613" spans="1:1" ht="18.75" x14ac:dyDescent="0.25">
      <c r="A613" s="6"/>
    </row>
    <row r="614" spans="1:1" ht="18.75" x14ac:dyDescent="0.25">
      <c r="A614" s="6"/>
    </row>
    <row r="615" spans="1:1" ht="18.75" x14ac:dyDescent="0.25">
      <c r="A615" s="6"/>
    </row>
    <row r="616" spans="1:1" ht="18.75" x14ac:dyDescent="0.25">
      <c r="A616" s="6"/>
    </row>
    <row r="617" spans="1:1" ht="18.75" x14ac:dyDescent="0.25">
      <c r="A617" s="6"/>
    </row>
    <row r="618" spans="1:1" ht="18.75" x14ac:dyDescent="0.25">
      <c r="A618" s="6"/>
    </row>
    <row r="619" spans="1:1" ht="18.75" x14ac:dyDescent="0.25">
      <c r="A619" s="6"/>
    </row>
    <row r="620" spans="1:1" ht="18.75" x14ac:dyDescent="0.25">
      <c r="A620" s="6"/>
    </row>
    <row r="621" spans="1:1" ht="18.75" x14ac:dyDescent="0.25">
      <c r="A621" s="6"/>
    </row>
    <row r="622" spans="1:1" ht="18.75" x14ac:dyDescent="0.25">
      <c r="A622" s="6"/>
    </row>
    <row r="623" spans="1:1" ht="18.75" x14ac:dyDescent="0.25">
      <c r="A623" s="6"/>
    </row>
    <row r="624" spans="1:1" ht="18.75" x14ac:dyDescent="0.25">
      <c r="A624" s="6"/>
    </row>
    <row r="625" spans="1:1" ht="18.75" x14ac:dyDescent="0.25">
      <c r="A625" s="6"/>
    </row>
    <row r="626" spans="1:1" ht="18.75" x14ac:dyDescent="0.25">
      <c r="A626" s="6"/>
    </row>
    <row r="627" spans="1:1" ht="18.75" x14ac:dyDescent="0.25">
      <c r="A627" s="6"/>
    </row>
    <row r="628" spans="1:1" ht="18.75" x14ac:dyDescent="0.25">
      <c r="A628" s="6"/>
    </row>
    <row r="629" spans="1:1" ht="18.75" x14ac:dyDescent="0.25">
      <c r="A629" s="6"/>
    </row>
    <row r="630" spans="1:1" ht="18.75" x14ac:dyDescent="0.25">
      <c r="A630" s="6"/>
    </row>
    <row r="631" spans="1:1" ht="18.75" x14ac:dyDescent="0.25">
      <c r="A631" s="6"/>
    </row>
    <row r="632" spans="1:1" ht="18.75" x14ac:dyDescent="0.25">
      <c r="A632" s="6"/>
    </row>
    <row r="633" spans="1:1" ht="18.75" x14ac:dyDescent="0.25">
      <c r="A633" s="6"/>
    </row>
    <row r="634" spans="1:1" ht="18.75" x14ac:dyDescent="0.25">
      <c r="A634" s="6"/>
    </row>
    <row r="635" spans="1:1" ht="18.75" x14ac:dyDescent="0.25">
      <c r="A635" s="6"/>
    </row>
    <row r="636" spans="1:1" ht="18.75" x14ac:dyDescent="0.25">
      <c r="A636" s="6"/>
    </row>
    <row r="637" spans="1:1" ht="18.75" x14ac:dyDescent="0.25">
      <c r="A637" s="6"/>
    </row>
    <row r="638" spans="1:1" ht="18.75" x14ac:dyDescent="0.25">
      <c r="A638" s="6"/>
    </row>
    <row r="639" spans="1:1" ht="18.75" x14ac:dyDescent="0.25">
      <c r="A639" s="6"/>
    </row>
    <row r="640" spans="1:1" ht="18.75" x14ac:dyDescent="0.25">
      <c r="A640" s="6"/>
    </row>
    <row r="641" spans="1:1" ht="18.75" x14ac:dyDescent="0.25">
      <c r="A641" s="6"/>
    </row>
    <row r="642" spans="1:1" ht="18.75" x14ac:dyDescent="0.25">
      <c r="A642" s="6"/>
    </row>
    <row r="643" spans="1:1" ht="18.75" x14ac:dyDescent="0.25">
      <c r="A643" s="6"/>
    </row>
    <row r="644" spans="1:1" ht="18.75" x14ac:dyDescent="0.25">
      <c r="A644" s="6"/>
    </row>
    <row r="645" spans="1:1" ht="18.75" x14ac:dyDescent="0.25">
      <c r="A645" s="6"/>
    </row>
    <row r="646" spans="1:1" ht="18.75" x14ac:dyDescent="0.25">
      <c r="A646" s="6"/>
    </row>
    <row r="647" spans="1:1" ht="18.75" x14ac:dyDescent="0.25">
      <c r="A647" s="6"/>
    </row>
    <row r="648" spans="1:1" ht="18.75" x14ac:dyDescent="0.25">
      <c r="A648" s="6"/>
    </row>
    <row r="649" spans="1:1" ht="18.75" x14ac:dyDescent="0.25">
      <c r="A649" s="6"/>
    </row>
    <row r="650" spans="1:1" ht="18.75" x14ac:dyDescent="0.25">
      <c r="A650" s="6"/>
    </row>
    <row r="651" spans="1:1" ht="18.75" x14ac:dyDescent="0.25">
      <c r="A651" s="6"/>
    </row>
    <row r="652" spans="1:1" ht="18.75" x14ac:dyDescent="0.25">
      <c r="A652" s="6"/>
    </row>
    <row r="653" spans="1:1" ht="18.75" x14ac:dyDescent="0.25">
      <c r="A653" s="6"/>
    </row>
    <row r="654" spans="1:1" ht="18.75" x14ac:dyDescent="0.25">
      <c r="A654" s="6"/>
    </row>
    <row r="655" spans="1:1" ht="18.75" x14ac:dyDescent="0.25">
      <c r="A655" s="6"/>
    </row>
    <row r="656" spans="1:1" ht="18.75" x14ac:dyDescent="0.25">
      <c r="A656" s="6"/>
    </row>
    <row r="657" spans="1:1" ht="18.75" x14ac:dyDescent="0.25">
      <c r="A657" s="6"/>
    </row>
    <row r="658" spans="1:1" ht="18.75" x14ac:dyDescent="0.25">
      <c r="A658" s="6"/>
    </row>
    <row r="659" spans="1:1" ht="18.75" x14ac:dyDescent="0.25">
      <c r="A659" s="6"/>
    </row>
    <row r="660" spans="1:1" ht="18.75" x14ac:dyDescent="0.25">
      <c r="A660" s="6"/>
    </row>
    <row r="661" spans="1:1" ht="18.75" x14ac:dyDescent="0.25">
      <c r="A661" s="6"/>
    </row>
    <row r="662" spans="1:1" ht="18.75" x14ac:dyDescent="0.25">
      <c r="A662" s="6"/>
    </row>
    <row r="663" spans="1:1" ht="18.75" x14ac:dyDescent="0.25">
      <c r="A663" s="6"/>
    </row>
    <row r="664" spans="1:1" ht="18.75" x14ac:dyDescent="0.25">
      <c r="A664" s="6"/>
    </row>
    <row r="665" spans="1:1" ht="18.75" x14ac:dyDescent="0.25">
      <c r="A665" s="6"/>
    </row>
    <row r="666" spans="1:1" ht="18.75" x14ac:dyDescent="0.25">
      <c r="A666" s="6"/>
    </row>
    <row r="667" spans="1:1" ht="18.75" x14ac:dyDescent="0.25">
      <c r="A667" s="6"/>
    </row>
    <row r="668" spans="1:1" ht="18.75" x14ac:dyDescent="0.25">
      <c r="A668" s="6"/>
    </row>
    <row r="669" spans="1:1" ht="18.75" x14ac:dyDescent="0.25">
      <c r="A669" s="6"/>
    </row>
    <row r="670" spans="1:1" ht="18.75" x14ac:dyDescent="0.25">
      <c r="A670" s="6"/>
    </row>
    <row r="671" spans="1:1" ht="18.75" x14ac:dyDescent="0.25">
      <c r="A671" s="6"/>
    </row>
    <row r="672" spans="1:1" ht="18.75" x14ac:dyDescent="0.25">
      <c r="A672" s="6"/>
    </row>
    <row r="673" spans="1:1" ht="18.75" x14ac:dyDescent="0.25">
      <c r="A673" s="6"/>
    </row>
    <row r="674" spans="1:1" ht="18.75" x14ac:dyDescent="0.25">
      <c r="A674" s="6"/>
    </row>
    <row r="675" spans="1:1" ht="18.75" x14ac:dyDescent="0.25">
      <c r="A675" s="6"/>
    </row>
    <row r="676" spans="1:1" ht="18.75" x14ac:dyDescent="0.25">
      <c r="A676" s="6"/>
    </row>
    <row r="677" spans="1:1" ht="18.75" x14ac:dyDescent="0.25">
      <c r="A677" s="6"/>
    </row>
    <row r="678" spans="1:1" ht="18.75" x14ac:dyDescent="0.25">
      <c r="A678" s="6"/>
    </row>
    <row r="679" spans="1:1" ht="18.75" x14ac:dyDescent="0.25">
      <c r="A679" s="6"/>
    </row>
    <row r="680" spans="1:1" ht="18.75" x14ac:dyDescent="0.25">
      <c r="A680" s="6"/>
    </row>
    <row r="681" spans="1:1" ht="18.75" x14ac:dyDescent="0.25">
      <c r="A681" s="6"/>
    </row>
    <row r="682" spans="1:1" ht="18.75" x14ac:dyDescent="0.25">
      <c r="A682" s="6"/>
    </row>
    <row r="683" spans="1:1" ht="18.75" x14ac:dyDescent="0.25">
      <c r="A683" s="6"/>
    </row>
    <row r="684" spans="1:1" ht="18.75" x14ac:dyDescent="0.25">
      <c r="A684" s="6"/>
    </row>
    <row r="685" spans="1:1" ht="18.75" x14ac:dyDescent="0.25">
      <c r="A685" s="6"/>
    </row>
    <row r="686" spans="1:1" ht="18.75" x14ac:dyDescent="0.25">
      <c r="A686" s="6"/>
    </row>
    <row r="687" spans="1:1" ht="18.75" x14ac:dyDescent="0.25">
      <c r="A687" s="6"/>
    </row>
    <row r="688" spans="1:1" ht="18.75" x14ac:dyDescent="0.25">
      <c r="A688" s="6"/>
    </row>
    <row r="689" spans="1:1" ht="18.75" x14ac:dyDescent="0.25">
      <c r="A689" s="6"/>
    </row>
    <row r="690" spans="1:1" ht="18.75" x14ac:dyDescent="0.25">
      <c r="A690" s="6"/>
    </row>
    <row r="691" spans="1:1" ht="18.75" x14ac:dyDescent="0.25">
      <c r="A691" s="6"/>
    </row>
    <row r="692" spans="1:1" ht="18.75" x14ac:dyDescent="0.25">
      <c r="A692" s="6"/>
    </row>
    <row r="693" spans="1:1" ht="18.75" x14ac:dyDescent="0.25">
      <c r="A693" s="6"/>
    </row>
    <row r="694" spans="1:1" ht="18.75" x14ac:dyDescent="0.25">
      <c r="A694" s="6"/>
    </row>
    <row r="695" spans="1:1" ht="18.75" x14ac:dyDescent="0.25">
      <c r="A695" s="6"/>
    </row>
    <row r="696" spans="1:1" ht="18.75" x14ac:dyDescent="0.25">
      <c r="A696" s="6"/>
    </row>
    <row r="697" spans="1:1" ht="18.75" x14ac:dyDescent="0.25">
      <c r="A697" s="6"/>
    </row>
    <row r="698" spans="1:1" ht="18.75" x14ac:dyDescent="0.25">
      <c r="A698" s="6"/>
    </row>
    <row r="699" spans="1:1" ht="18.75" x14ac:dyDescent="0.25">
      <c r="A699" s="6"/>
    </row>
    <row r="700" spans="1:1" ht="18.75" x14ac:dyDescent="0.25">
      <c r="A700" s="6"/>
    </row>
    <row r="701" spans="1:1" ht="18.75" x14ac:dyDescent="0.25">
      <c r="A701" s="6"/>
    </row>
    <row r="702" spans="1:1" ht="18.75" x14ac:dyDescent="0.25">
      <c r="A702" s="6"/>
    </row>
    <row r="703" spans="1:1" ht="18.75" x14ac:dyDescent="0.25">
      <c r="A703" s="6"/>
    </row>
    <row r="704" spans="1:1" ht="18.75" x14ac:dyDescent="0.25">
      <c r="A704" s="6"/>
    </row>
    <row r="705" spans="1:1" ht="18.75" x14ac:dyDescent="0.25">
      <c r="A705" s="6"/>
    </row>
    <row r="706" spans="1:1" ht="18.75" x14ac:dyDescent="0.25">
      <c r="A706" s="6"/>
    </row>
    <row r="707" spans="1:1" ht="18.75" x14ac:dyDescent="0.25">
      <c r="A707" s="6"/>
    </row>
    <row r="708" spans="1:1" ht="18.75" x14ac:dyDescent="0.25">
      <c r="A708" s="6"/>
    </row>
    <row r="709" spans="1:1" ht="18.75" x14ac:dyDescent="0.25">
      <c r="A709" s="6"/>
    </row>
    <row r="710" spans="1:1" ht="18.75" x14ac:dyDescent="0.25">
      <c r="A710" s="6"/>
    </row>
    <row r="711" spans="1:1" ht="18.75" x14ac:dyDescent="0.25">
      <c r="A711" s="6"/>
    </row>
    <row r="712" spans="1:1" ht="18.75" x14ac:dyDescent="0.25">
      <c r="A712" s="6"/>
    </row>
    <row r="713" spans="1:1" ht="18.75" x14ac:dyDescent="0.25">
      <c r="A713" s="6"/>
    </row>
    <row r="714" spans="1:1" ht="18.75" x14ac:dyDescent="0.25">
      <c r="A714" s="6"/>
    </row>
    <row r="715" spans="1:1" ht="18.75" x14ac:dyDescent="0.25">
      <c r="A715" s="6"/>
    </row>
    <row r="716" spans="1:1" ht="18.75" x14ac:dyDescent="0.25">
      <c r="A716" s="6"/>
    </row>
    <row r="717" spans="1:1" ht="18.75" x14ac:dyDescent="0.25">
      <c r="A717" s="6"/>
    </row>
    <row r="718" spans="1:1" ht="18.75" x14ac:dyDescent="0.25">
      <c r="A718" s="6"/>
    </row>
    <row r="719" spans="1:1" ht="18.75" x14ac:dyDescent="0.25">
      <c r="A719" s="6"/>
    </row>
    <row r="720" spans="1:1" ht="18.75" x14ac:dyDescent="0.25">
      <c r="A720" s="6"/>
    </row>
    <row r="721" spans="1:1" ht="18.75" x14ac:dyDescent="0.25">
      <c r="A721" s="6"/>
    </row>
    <row r="722" spans="1:1" ht="18.75" x14ac:dyDescent="0.25">
      <c r="A722" s="6"/>
    </row>
    <row r="723" spans="1:1" ht="18.75" x14ac:dyDescent="0.25">
      <c r="A723" s="6"/>
    </row>
    <row r="724" spans="1:1" ht="18.75" x14ac:dyDescent="0.25">
      <c r="A724" s="6"/>
    </row>
    <row r="725" spans="1:1" ht="18.75" x14ac:dyDescent="0.25">
      <c r="A725" s="6"/>
    </row>
    <row r="726" spans="1:1" ht="18.75" x14ac:dyDescent="0.25">
      <c r="A726" s="6"/>
    </row>
    <row r="727" spans="1:1" ht="18.75" x14ac:dyDescent="0.25">
      <c r="A727" s="6"/>
    </row>
    <row r="728" spans="1:1" ht="18.75" x14ac:dyDescent="0.25">
      <c r="A728" s="6"/>
    </row>
    <row r="729" spans="1:1" ht="18.75" x14ac:dyDescent="0.25">
      <c r="A729" s="6"/>
    </row>
    <row r="730" spans="1:1" ht="18.75" x14ac:dyDescent="0.25">
      <c r="A730" s="6"/>
    </row>
    <row r="731" spans="1:1" ht="18.75" x14ac:dyDescent="0.25">
      <c r="A731" s="6"/>
    </row>
    <row r="732" spans="1:1" ht="18.75" x14ac:dyDescent="0.25">
      <c r="A732" s="6"/>
    </row>
    <row r="733" spans="1:1" ht="18.75" x14ac:dyDescent="0.25">
      <c r="A733" s="6"/>
    </row>
    <row r="734" spans="1:1" ht="18.75" x14ac:dyDescent="0.25">
      <c r="A734" s="6"/>
    </row>
    <row r="735" spans="1:1" ht="18.75" x14ac:dyDescent="0.25">
      <c r="A735" s="6"/>
    </row>
    <row r="736" spans="1:1" ht="18.75" x14ac:dyDescent="0.25">
      <c r="A736" s="6"/>
    </row>
    <row r="737" spans="1:1" ht="18.75" x14ac:dyDescent="0.25">
      <c r="A737" s="6"/>
    </row>
    <row r="738" spans="1:1" ht="18.75" x14ac:dyDescent="0.25">
      <c r="A738" s="6"/>
    </row>
    <row r="739" spans="1:1" ht="18.75" x14ac:dyDescent="0.25">
      <c r="A739" s="6"/>
    </row>
    <row r="740" spans="1:1" ht="18.75" x14ac:dyDescent="0.25">
      <c r="A740" s="6"/>
    </row>
    <row r="741" spans="1:1" ht="18.75" x14ac:dyDescent="0.25">
      <c r="A741" s="6"/>
    </row>
    <row r="742" spans="1:1" ht="18.75" x14ac:dyDescent="0.25">
      <c r="A742" s="6"/>
    </row>
    <row r="743" spans="1:1" ht="18.75" x14ac:dyDescent="0.25">
      <c r="A743" s="6"/>
    </row>
    <row r="744" spans="1:1" ht="18.75" x14ac:dyDescent="0.25">
      <c r="A744" s="6"/>
    </row>
    <row r="745" spans="1:1" ht="18.75" x14ac:dyDescent="0.25">
      <c r="A745" s="6"/>
    </row>
    <row r="746" spans="1:1" ht="18.75" x14ac:dyDescent="0.25">
      <c r="A746" s="6"/>
    </row>
    <row r="747" spans="1:1" ht="18.75" x14ac:dyDescent="0.25">
      <c r="A747" s="6"/>
    </row>
    <row r="748" spans="1:1" ht="18.75" x14ac:dyDescent="0.25">
      <c r="A748" s="6"/>
    </row>
    <row r="749" spans="1:1" ht="18.75" x14ac:dyDescent="0.25">
      <c r="A749" s="6"/>
    </row>
    <row r="750" spans="1:1" ht="18.75" x14ac:dyDescent="0.25">
      <c r="A750" s="6"/>
    </row>
    <row r="751" spans="1:1" ht="18.75" x14ac:dyDescent="0.25">
      <c r="A751" s="6"/>
    </row>
    <row r="752" spans="1:1" ht="18.75" x14ac:dyDescent="0.25">
      <c r="A752" s="6"/>
    </row>
    <row r="753" spans="1:1" ht="18.75" x14ac:dyDescent="0.25">
      <c r="A753" s="6"/>
    </row>
    <row r="754" spans="1:1" ht="18.75" x14ac:dyDescent="0.25">
      <c r="A754" s="6"/>
    </row>
    <row r="755" spans="1:1" ht="18.75" x14ac:dyDescent="0.25">
      <c r="A755" s="6"/>
    </row>
    <row r="756" spans="1:1" ht="18.75" x14ac:dyDescent="0.25">
      <c r="A756" s="6"/>
    </row>
    <row r="757" spans="1:1" ht="18.75" x14ac:dyDescent="0.25">
      <c r="A757" s="6"/>
    </row>
    <row r="758" spans="1:1" ht="18.75" x14ac:dyDescent="0.25">
      <c r="A758" s="6"/>
    </row>
    <row r="759" spans="1:1" ht="18.75" x14ac:dyDescent="0.25">
      <c r="A759" s="6"/>
    </row>
    <row r="760" spans="1:1" ht="18.75" x14ac:dyDescent="0.25">
      <c r="A760" s="6"/>
    </row>
    <row r="761" spans="1:1" ht="18.75" x14ac:dyDescent="0.25">
      <c r="A761" s="6"/>
    </row>
    <row r="762" spans="1:1" ht="18.75" x14ac:dyDescent="0.25">
      <c r="A762" s="6"/>
    </row>
    <row r="763" spans="1:1" ht="18.75" x14ac:dyDescent="0.25">
      <c r="A763" s="6"/>
    </row>
    <row r="764" spans="1:1" ht="18.75" x14ac:dyDescent="0.25">
      <c r="A764" s="6"/>
    </row>
    <row r="765" spans="1:1" ht="18.75" x14ac:dyDescent="0.25">
      <c r="A765" s="6"/>
    </row>
    <row r="766" spans="1:1" ht="18.75" x14ac:dyDescent="0.25">
      <c r="A766" s="6"/>
    </row>
    <row r="767" spans="1:1" ht="18.75" x14ac:dyDescent="0.25">
      <c r="A767" s="6"/>
    </row>
    <row r="768" spans="1:1" ht="18.75" x14ac:dyDescent="0.25">
      <c r="A768" s="6"/>
    </row>
    <row r="769" spans="1:1" ht="18.75" x14ac:dyDescent="0.25">
      <c r="A769" s="6"/>
    </row>
    <row r="770" spans="1:1" ht="18.75" x14ac:dyDescent="0.25">
      <c r="A770" s="6"/>
    </row>
    <row r="771" spans="1:1" ht="18.75" x14ac:dyDescent="0.25">
      <c r="A771" s="6"/>
    </row>
    <row r="772" spans="1:1" ht="18.75" x14ac:dyDescent="0.25">
      <c r="A772" s="6"/>
    </row>
    <row r="773" spans="1:1" ht="18.75" x14ac:dyDescent="0.25">
      <c r="A773" s="6"/>
    </row>
    <row r="774" spans="1:1" ht="18.75" x14ac:dyDescent="0.25">
      <c r="A774" s="6"/>
    </row>
    <row r="775" spans="1:1" ht="18.75" x14ac:dyDescent="0.25">
      <c r="A775" s="6"/>
    </row>
    <row r="776" spans="1:1" ht="18.75" x14ac:dyDescent="0.25">
      <c r="A776" s="6"/>
    </row>
    <row r="777" spans="1:1" ht="18.75" x14ac:dyDescent="0.25">
      <c r="A777" s="6"/>
    </row>
    <row r="778" spans="1:1" ht="18.75" x14ac:dyDescent="0.25">
      <c r="A778" s="6"/>
    </row>
    <row r="779" spans="1:1" ht="18.75" x14ac:dyDescent="0.25">
      <c r="A779" s="6"/>
    </row>
    <row r="780" spans="1:1" ht="18.75" x14ac:dyDescent="0.25">
      <c r="A780" s="6"/>
    </row>
    <row r="781" spans="1:1" ht="18.75" x14ac:dyDescent="0.25">
      <c r="A781" s="6"/>
    </row>
    <row r="782" spans="1:1" ht="18.75" x14ac:dyDescent="0.25">
      <c r="A782" s="6"/>
    </row>
    <row r="783" spans="1:1" ht="18.75" x14ac:dyDescent="0.25">
      <c r="A783" s="6"/>
    </row>
    <row r="784" spans="1:1" ht="18.75" x14ac:dyDescent="0.25">
      <c r="A784" s="6"/>
    </row>
    <row r="785" spans="1:1" ht="18.75" x14ac:dyDescent="0.25">
      <c r="A785" s="6"/>
    </row>
    <row r="786" spans="1:1" ht="18.75" x14ac:dyDescent="0.25">
      <c r="A786" s="6"/>
    </row>
    <row r="787" spans="1:1" ht="18.75" x14ac:dyDescent="0.25">
      <c r="A787" s="6"/>
    </row>
    <row r="788" spans="1:1" ht="18.75" x14ac:dyDescent="0.25">
      <c r="A788" s="6"/>
    </row>
    <row r="789" spans="1:1" ht="18.75" x14ac:dyDescent="0.25">
      <c r="A789" s="6"/>
    </row>
    <row r="790" spans="1:1" ht="18.75" x14ac:dyDescent="0.25">
      <c r="A790" s="6"/>
    </row>
    <row r="791" spans="1:1" ht="18.75" x14ac:dyDescent="0.25">
      <c r="A791" s="6"/>
    </row>
    <row r="792" spans="1:1" ht="18.75" x14ac:dyDescent="0.25">
      <c r="A792" s="6"/>
    </row>
    <row r="793" spans="1:1" ht="18.75" x14ac:dyDescent="0.25">
      <c r="A793" s="6"/>
    </row>
    <row r="794" spans="1:1" ht="18.75" x14ac:dyDescent="0.25">
      <c r="A794" s="6"/>
    </row>
    <row r="795" spans="1:1" ht="18.75" x14ac:dyDescent="0.25">
      <c r="A795" s="6"/>
    </row>
    <row r="796" spans="1:1" ht="18.75" x14ac:dyDescent="0.25">
      <c r="A796" s="6"/>
    </row>
    <row r="797" spans="1:1" ht="18.75" x14ac:dyDescent="0.25">
      <c r="A797" s="6"/>
    </row>
    <row r="798" spans="1:1" ht="18.75" x14ac:dyDescent="0.25">
      <c r="A798" s="6"/>
    </row>
    <row r="799" spans="1:1" ht="18.75" x14ac:dyDescent="0.25">
      <c r="A799" s="6"/>
    </row>
    <row r="800" spans="1:1" ht="18.75" x14ac:dyDescent="0.25">
      <c r="A800" s="6"/>
    </row>
    <row r="801" spans="1:1" ht="18.75" x14ac:dyDescent="0.25">
      <c r="A801" s="6"/>
    </row>
    <row r="802" spans="1:1" ht="18.75" x14ac:dyDescent="0.25">
      <c r="A802" s="6"/>
    </row>
    <row r="803" spans="1:1" ht="18.75" x14ac:dyDescent="0.25">
      <c r="A803" s="6"/>
    </row>
    <row r="804" spans="1:1" ht="18.75" x14ac:dyDescent="0.25">
      <c r="A804" s="6"/>
    </row>
    <row r="805" spans="1:1" ht="18.75" x14ac:dyDescent="0.25">
      <c r="A805" s="6"/>
    </row>
    <row r="806" spans="1:1" ht="18.75" x14ac:dyDescent="0.25">
      <c r="A806" s="6"/>
    </row>
    <row r="807" spans="1:1" ht="18.75" x14ac:dyDescent="0.25">
      <c r="A807" s="6"/>
    </row>
    <row r="808" spans="1:1" ht="18.75" x14ac:dyDescent="0.25">
      <c r="A808" s="6"/>
    </row>
    <row r="809" spans="1:1" ht="18.75" x14ac:dyDescent="0.25">
      <c r="A809" s="6"/>
    </row>
    <row r="810" spans="1:1" ht="18.75" x14ac:dyDescent="0.25">
      <c r="A810" s="6"/>
    </row>
    <row r="811" spans="1:1" ht="18.75" x14ac:dyDescent="0.25">
      <c r="A811" s="6"/>
    </row>
    <row r="812" spans="1:1" ht="18.75" x14ac:dyDescent="0.25">
      <c r="A812" s="6"/>
    </row>
    <row r="813" spans="1:1" ht="18.75" x14ac:dyDescent="0.25">
      <c r="A813" s="6"/>
    </row>
    <row r="814" spans="1:1" ht="18.75" x14ac:dyDescent="0.25">
      <c r="A814" s="6"/>
    </row>
    <row r="815" spans="1:1" ht="18.75" x14ac:dyDescent="0.25">
      <c r="A815" s="6"/>
    </row>
    <row r="816" spans="1:1" ht="18.75" x14ac:dyDescent="0.25">
      <c r="A816" s="6"/>
    </row>
    <row r="817" spans="1:1" ht="18.75" x14ac:dyDescent="0.25">
      <c r="A817" s="6"/>
    </row>
    <row r="818" spans="1:1" ht="18.75" x14ac:dyDescent="0.25">
      <c r="A818" s="6"/>
    </row>
    <row r="819" spans="1:1" ht="18.75" x14ac:dyDescent="0.25">
      <c r="A819" s="6"/>
    </row>
    <row r="820" spans="1:1" ht="18.75" x14ac:dyDescent="0.25">
      <c r="A820" s="6"/>
    </row>
    <row r="821" spans="1:1" ht="18.75" x14ac:dyDescent="0.25">
      <c r="A821" s="6"/>
    </row>
    <row r="822" spans="1:1" ht="18.75" x14ac:dyDescent="0.25">
      <c r="A822" s="6"/>
    </row>
    <row r="823" spans="1:1" ht="18.75" x14ac:dyDescent="0.25">
      <c r="A823" s="6"/>
    </row>
    <row r="824" spans="1:1" ht="18.75" x14ac:dyDescent="0.25">
      <c r="A824" s="6"/>
    </row>
    <row r="825" spans="1:1" ht="18.75" x14ac:dyDescent="0.25">
      <c r="A825" s="6"/>
    </row>
    <row r="826" spans="1:1" ht="18.75" x14ac:dyDescent="0.25">
      <c r="A826" s="6"/>
    </row>
    <row r="827" spans="1:1" ht="18.75" x14ac:dyDescent="0.25">
      <c r="A827" s="6"/>
    </row>
    <row r="828" spans="1:1" ht="18.75" x14ac:dyDescent="0.25">
      <c r="A828" s="6"/>
    </row>
    <row r="829" spans="1:1" ht="18.75" x14ac:dyDescent="0.25">
      <c r="A829" s="6"/>
    </row>
    <row r="830" spans="1:1" ht="18.75" x14ac:dyDescent="0.25">
      <c r="A830" s="6"/>
    </row>
    <row r="831" spans="1:1" ht="18.75" x14ac:dyDescent="0.25">
      <c r="A831" s="6"/>
    </row>
    <row r="832" spans="1:1" ht="18.75" x14ac:dyDescent="0.25">
      <c r="A832" s="6"/>
    </row>
    <row r="833" spans="1:1" ht="18.75" x14ac:dyDescent="0.25">
      <c r="A833" s="6"/>
    </row>
    <row r="834" spans="1:1" ht="18.75" x14ac:dyDescent="0.25">
      <c r="A834" s="6"/>
    </row>
    <row r="835" spans="1:1" ht="18.75" x14ac:dyDescent="0.25">
      <c r="A835" s="6"/>
    </row>
    <row r="836" spans="1:1" ht="18.75" x14ac:dyDescent="0.25">
      <c r="A836" s="6"/>
    </row>
    <row r="837" spans="1:1" ht="18.75" x14ac:dyDescent="0.25">
      <c r="A837" s="6"/>
    </row>
    <row r="838" spans="1:1" ht="18.75" x14ac:dyDescent="0.25">
      <c r="A838" s="6"/>
    </row>
    <row r="839" spans="1:1" ht="18.75" x14ac:dyDescent="0.25">
      <c r="A839" s="6"/>
    </row>
    <row r="840" spans="1:1" ht="18.75" x14ac:dyDescent="0.25">
      <c r="A840" s="6"/>
    </row>
    <row r="841" spans="1:1" ht="18.75" x14ac:dyDescent="0.25">
      <c r="A841" s="6"/>
    </row>
    <row r="842" spans="1:1" ht="18.75" x14ac:dyDescent="0.25">
      <c r="A842" s="6"/>
    </row>
    <row r="843" spans="1:1" ht="18.75" x14ac:dyDescent="0.25">
      <c r="A843" s="6"/>
    </row>
    <row r="844" spans="1:1" ht="18.75" x14ac:dyDescent="0.25">
      <c r="A844" s="6"/>
    </row>
    <row r="845" spans="1:1" ht="18.75" x14ac:dyDescent="0.25">
      <c r="A845" s="6"/>
    </row>
    <row r="846" spans="1:1" ht="18.75" x14ac:dyDescent="0.25">
      <c r="A846" s="6"/>
    </row>
    <row r="847" spans="1:1" ht="18.75" x14ac:dyDescent="0.25">
      <c r="A847" s="6"/>
    </row>
    <row r="848" spans="1:1" ht="18.75" x14ac:dyDescent="0.25">
      <c r="A848" s="6"/>
    </row>
    <row r="849" spans="1:1" ht="18.75" x14ac:dyDescent="0.25">
      <c r="A849" s="6"/>
    </row>
    <row r="850" spans="1:1" ht="18.75" x14ac:dyDescent="0.25">
      <c r="A850" s="6"/>
    </row>
    <row r="851" spans="1:1" ht="18.75" x14ac:dyDescent="0.25">
      <c r="A851" s="6"/>
    </row>
    <row r="852" spans="1:1" ht="18.75" x14ac:dyDescent="0.25">
      <c r="A852" s="6"/>
    </row>
    <row r="853" spans="1:1" ht="18.75" x14ac:dyDescent="0.25">
      <c r="A853" s="6"/>
    </row>
    <row r="854" spans="1:1" ht="18.75" x14ac:dyDescent="0.25">
      <c r="A854" s="6"/>
    </row>
    <row r="855" spans="1:1" ht="18.75" x14ac:dyDescent="0.25">
      <c r="A855" s="6"/>
    </row>
    <row r="856" spans="1:1" ht="18.75" x14ac:dyDescent="0.25">
      <c r="A856" s="6"/>
    </row>
    <row r="857" spans="1:1" ht="18.75" x14ac:dyDescent="0.25">
      <c r="A857" s="6"/>
    </row>
    <row r="858" spans="1:1" ht="18.75" x14ac:dyDescent="0.25">
      <c r="A858" s="6"/>
    </row>
    <row r="859" spans="1:1" ht="18.75" x14ac:dyDescent="0.25">
      <c r="A859" s="6"/>
    </row>
    <row r="860" spans="1:1" ht="18.75" x14ac:dyDescent="0.25">
      <c r="A860" s="6"/>
    </row>
    <row r="861" spans="1:1" ht="18.75" x14ac:dyDescent="0.25">
      <c r="A861" s="6"/>
    </row>
    <row r="862" spans="1:1" ht="18.75" x14ac:dyDescent="0.25">
      <c r="A862" s="6"/>
    </row>
    <row r="863" spans="1:1" ht="18.75" x14ac:dyDescent="0.25">
      <c r="A863" s="6"/>
    </row>
    <row r="864" spans="1:1" ht="18.75" x14ac:dyDescent="0.25">
      <c r="A864" s="6"/>
    </row>
    <row r="865" spans="1:1" ht="18.75" x14ac:dyDescent="0.25">
      <c r="A865" s="6"/>
    </row>
    <row r="866" spans="1:1" ht="18.75" x14ac:dyDescent="0.25">
      <c r="A866" s="6"/>
    </row>
    <row r="867" spans="1:1" ht="18.75" x14ac:dyDescent="0.25">
      <c r="A867" s="6"/>
    </row>
    <row r="868" spans="1:1" ht="18.75" x14ac:dyDescent="0.25">
      <c r="A868" s="6"/>
    </row>
    <row r="869" spans="1:1" ht="18.75" x14ac:dyDescent="0.25">
      <c r="A869" s="6"/>
    </row>
    <row r="870" spans="1:1" ht="18.75" x14ac:dyDescent="0.25">
      <c r="A870" s="6"/>
    </row>
    <row r="871" spans="1:1" ht="18.75" x14ac:dyDescent="0.25">
      <c r="A871" s="6"/>
    </row>
    <row r="872" spans="1:1" ht="18.75" x14ac:dyDescent="0.25">
      <c r="A872" s="6"/>
    </row>
    <row r="873" spans="1:1" ht="18.75" x14ac:dyDescent="0.25">
      <c r="A873" s="6"/>
    </row>
    <row r="874" spans="1:1" ht="18.75" x14ac:dyDescent="0.25">
      <c r="A874" s="6"/>
    </row>
    <row r="875" spans="1:1" ht="18.75" x14ac:dyDescent="0.25">
      <c r="A875" s="6"/>
    </row>
    <row r="876" spans="1:1" ht="18.75" x14ac:dyDescent="0.25">
      <c r="A876" s="6"/>
    </row>
    <row r="877" spans="1:1" ht="18.75" x14ac:dyDescent="0.25">
      <c r="A877" s="6"/>
    </row>
    <row r="878" spans="1:1" ht="18.75" x14ac:dyDescent="0.25">
      <c r="A878" s="6"/>
    </row>
    <row r="879" spans="1:1" ht="18.75" x14ac:dyDescent="0.25">
      <c r="A879" s="6"/>
    </row>
    <row r="880" spans="1:1" ht="18.75" x14ac:dyDescent="0.25">
      <c r="A880" s="6"/>
    </row>
    <row r="881" spans="1:1" ht="18.75" x14ac:dyDescent="0.25">
      <c r="A881" s="6"/>
    </row>
    <row r="882" spans="1:1" ht="18.75" x14ac:dyDescent="0.25">
      <c r="A882" s="6"/>
    </row>
    <row r="883" spans="1:1" ht="18.75" x14ac:dyDescent="0.25">
      <c r="A883" s="6"/>
    </row>
    <row r="884" spans="1:1" ht="18.75" x14ac:dyDescent="0.25">
      <c r="A884" s="6"/>
    </row>
    <row r="885" spans="1:1" ht="18.75" x14ac:dyDescent="0.25">
      <c r="A885" s="6"/>
    </row>
    <row r="886" spans="1:1" ht="18.75" x14ac:dyDescent="0.25">
      <c r="A886" s="6"/>
    </row>
    <row r="887" spans="1:1" ht="18.75" x14ac:dyDescent="0.25">
      <c r="A887" s="6"/>
    </row>
    <row r="888" spans="1:1" ht="18.75" x14ac:dyDescent="0.25">
      <c r="A888" s="6"/>
    </row>
    <row r="889" spans="1:1" ht="18.75" x14ac:dyDescent="0.25">
      <c r="A889" s="6"/>
    </row>
    <row r="890" spans="1:1" ht="18.75" x14ac:dyDescent="0.25">
      <c r="A890" s="6"/>
    </row>
    <row r="891" spans="1:1" ht="18.75" x14ac:dyDescent="0.25">
      <c r="A891" s="6"/>
    </row>
    <row r="892" spans="1:1" ht="18.75" x14ac:dyDescent="0.25">
      <c r="A892" s="6"/>
    </row>
    <row r="893" spans="1:1" ht="18.75" x14ac:dyDescent="0.25">
      <c r="A893" s="6"/>
    </row>
    <row r="894" spans="1:1" ht="18.75" x14ac:dyDescent="0.25">
      <c r="A894" s="6"/>
    </row>
    <row r="895" spans="1:1" ht="18.75" x14ac:dyDescent="0.25">
      <c r="A895" s="6"/>
    </row>
    <row r="896" spans="1:1" ht="18.75" x14ac:dyDescent="0.25">
      <c r="A896" s="6"/>
    </row>
    <row r="897" spans="1:1" ht="18.75" x14ac:dyDescent="0.25">
      <c r="A897" s="6"/>
    </row>
    <row r="898" spans="1:1" ht="18.75" x14ac:dyDescent="0.25">
      <c r="A898" s="6"/>
    </row>
    <row r="899" spans="1:1" ht="18.75" x14ac:dyDescent="0.25">
      <c r="A899" s="6"/>
    </row>
    <row r="900" spans="1:1" ht="18.75" x14ac:dyDescent="0.25">
      <c r="A900" s="6"/>
    </row>
    <row r="901" spans="1:1" ht="18.75" x14ac:dyDescent="0.25">
      <c r="A901" s="6"/>
    </row>
    <row r="902" spans="1:1" ht="18.75" x14ac:dyDescent="0.25">
      <c r="A902" s="6"/>
    </row>
    <row r="903" spans="1:1" ht="18.75" x14ac:dyDescent="0.25">
      <c r="A903" s="6"/>
    </row>
    <row r="904" spans="1:1" ht="18.75" x14ac:dyDescent="0.25">
      <c r="A904" s="6"/>
    </row>
    <row r="905" spans="1:1" ht="18.75" x14ac:dyDescent="0.25">
      <c r="A905" s="6"/>
    </row>
    <row r="906" spans="1:1" ht="18.75" x14ac:dyDescent="0.25">
      <c r="A906" s="6"/>
    </row>
    <row r="907" spans="1:1" ht="18.75" x14ac:dyDescent="0.25">
      <c r="A907" s="6"/>
    </row>
    <row r="908" spans="1:1" ht="18.75" x14ac:dyDescent="0.25">
      <c r="A908" s="6"/>
    </row>
    <row r="909" spans="1:1" ht="18.75" x14ac:dyDescent="0.25">
      <c r="A909" s="6"/>
    </row>
    <row r="910" spans="1:1" ht="18.75" x14ac:dyDescent="0.25">
      <c r="A910" s="6"/>
    </row>
    <row r="911" spans="1:1" ht="18.75" x14ac:dyDescent="0.25">
      <c r="A911" s="6"/>
    </row>
    <row r="912" spans="1:1" ht="18.75" x14ac:dyDescent="0.25">
      <c r="A912" s="6"/>
    </row>
    <row r="913" spans="1:1" ht="18.75" x14ac:dyDescent="0.25">
      <c r="A913" s="6"/>
    </row>
    <row r="914" spans="1:1" ht="18.75" x14ac:dyDescent="0.25">
      <c r="A914" s="6"/>
    </row>
    <row r="915" spans="1:1" ht="18.75" x14ac:dyDescent="0.25">
      <c r="A915" s="6"/>
    </row>
    <row r="916" spans="1:1" ht="18.75" x14ac:dyDescent="0.25">
      <c r="A916" s="6"/>
    </row>
    <row r="917" spans="1:1" ht="18.75" x14ac:dyDescent="0.25">
      <c r="A917" s="6"/>
    </row>
    <row r="918" spans="1:1" ht="18.75" x14ac:dyDescent="0.25">
      <c r="A918" s="6"/>
    </row>
    <row r="919" spans="1:1" ht="18.75" x14ac:dyDescent="0.25">
      <c r="A919" s="6"/>
    </row>
    <row r="920" spans="1:1" ht="18.75" x14ac:dyDescent="0.25">
      <c r="A920" s="6"/>
    </row>
    <row r="921" spans="1:1" ht="18.75" x14ac:dyDescent="0.25">
      <c r="A921" s="6"/>
    </row>
    <row r="922" spans="1:1" ht="18.75" x14ac:dyDescent="0.25">
      <c r="A922" s="6"/>
    </row>
    <row r="923" spans="1:1" ht="18.75" x14ac:dyDescent="0.25">
      <c r="A923" s="6"/>
    </row>
    <row r="924" spans="1:1" ht="18.75" x14ac:dyDescent="0.25">
      <c r="A924" s="6"/>
    </row>
    <row r="925" spans="1:1" ht="18.75" x14ac:dyDescent="0.25">
      <c r="A925" s="6"/>
    </row>
    <row r="926" spans="1:1" ht="18.75" x14ac:dyDescent="0.25">
      <c r="A926" s="6"/>
    </row>
    <row r="927" spans="1:1" ht="18.75" x14ac:dyDescent="0.25">
      <c r="A927" s="6"/>
    </row>
    <row r="928" spans="1:1" ht="18.75" x14ac:dyDescent="0.25">
      <c r="A928" s="6"/>
    </row>
    <row r="929" spans="1:1" ht="18.75" x14ac:dyDescent="0.25">
      <c r="A929" s="6"/>
    </row>
    <row r="930" spans="1:1" ht="18.75" x14ac:dyDescent="0.25">
      <c r="A930" s="6"/>
    </row>
    <row r="931" spans="1:1" ht="18.75" x14ac:dyDescent="0.25">
      <c r="A931" s="6"/>
    </row>
    <row r="932" spans="1:1" ht="18.75" x14ac:dyDescent="0.25">
      <c r="A932" s="6"/>
    </row>
    <row r="933" spans="1:1" ht="18.75" x14ac:dyDescent="0.25">
      <c r="A933" s="6"/>
    </row>
    <row r="934" spans="1:1" ht="18.75" x14ac:dyDescent="0.25">
      <c r="A934" s="6"/>
    </row>
    <row r="935" spans="1:1" ht="18.75" x14ac:dyDescent="0.25">
      <c r="A935" s="6"/>
    </row>
    <row r="936" spans="1:1" ht="18.75" x14ac:dyDescent="0.25">
      <c r="A936" s="6"/>
    </row>
    <row r="937" spans="1:1" ht="18.75" x14ac:dyDescent="0.25">
      <c r="A937" s="6"/>
    </row>
    <row r="938" spans="1:1" ht="18.75" x14ac:dyDescent="0.25">
      <c r="A938" s="6"/>
    </row>
    <row r="939" spans="1:1" ht="18.75" x14ac:dyDescent="0.25">
      <c r="A939" s="6"/>
    </row>
    <row r="940" spans="1:1" ht="18.75" x14ac:dyDescent="0.25">
      <c r="A940" s="6"/>
    </row>
    <row r="941" spans="1:1" ht="18.75" x14ac:dyDescent="0.25">
      <c r="A941" s="6"/>
    </row>
    <row r="942" spans="1:1" ht="18.75" x14ac:dyDescent="0.25">
      <c r="A942" s="6"/>
    </row>
    <row r="943" spans="1:1" ht="18.75" x14ac:dyDescent="0.25">
      <c r="A943" s="6"/>
    </row>
    <row r="944" spans="1:1" ht="18.75" x14ac:dyDescent="0.25">
      <c r="A944" s="6"/>
    </row>
    <row r="945" spans="1:1" ht="18.75" x14ac:dyDescent="0.25">
      <c r="A945" s="6"/>
    </row>
    <row r="946" spans="1:1" ht="18.75" x14ac:dyDescent="0.25">
      <c r="A946" s="6"/>
    </row>
    <row r="947" spans="1:1" ht="18.75" x14ac:dyDescent="0.25">
      <c r="A947" s="6"/>
    </row>
    <row r="948" spans="1:1" ht="18.75" x14ac:dyDescent="0.25">
      <c r="A948" s="6"/>
    </row>
    <row r="949" spans="1:1" ht="18.75" x14ac:dyDescent="0.25">
      <c r="A949" s="6"/>
    </row>
    <row r="950" spans="1:1" ht="18.75" x14ac:dyDescent="0.25">
      <c r="A950" s="6"/>
    </row>
    <row r="951" spans="1:1" ht="18.75" x14ac:dyDescent="0.25">
      <c r="A951" s="6"/>
    </row>
    <row r="952" spans="1:1" ht="18.75" x14ac:dyDescent="0.25">
      <c r="A952" s="6"/>
    </row>
    <row r="953" spans="1:1" ht="18.75" x14ac:dyDescent="0.25">
      <c r="A953" s="6"/>
    </row>
    <row r="954" spans="1:1" ht="18.75" x14ac:dyDescent="0.25">
      <c r="A954" s="6"/>
    </row>
    <row r="955" spans="1:1" ht="18.75" x14ac:dyDescent="0.25">
      <c r="A955" s="6"/>
    </row>
    <row r="956" spans="1:1" ht="18.75" x14ac:dyDescent="0.25">
      <c r="A956" s="6"/>
    </row>
    <row r="957" spans="1:1" ht="18.75" x14ac:dyDescent="0.25">
      <c r="A957" s="6"/>
    </row>
    <row r="958" spans="1:1" ht="18.75" x14ac:dyDescent="0.25">
      <c r="A958" s="6"/>
    </row>
    <row r="959" spans="1:1" ht="18.75" x14ac:dyDescent="0.25">
      <c r="A959" s="6"/>
    </row>
    <row r="960" spans="1:1" ht="18.75" x14ac:dyDescent="0.25">
      <c r="A960" s="6"/>
    </row>
    <row r="961" spans="1:1" ht="18.75" x14ac:dyDescent="0.25">
      <c r="A961" s="6"/>
    </row>
    <row r="962" spans="1:1" ht="18.75" x14ac:dyDescent="0.25">
      <c r="A962" s="6"/>
    </row>
    <row r="963" spans="1:1" ht="18.75" x14ac:dyDescent="0.25">
      <c r="A963" s="6"/>
    </row>
    <row r="964" spans="1:1" ht="18.75" x14ac:dyDescent="0.25">
      <c r="A964" s="6"/>
    </row>
    <row r="965" spans="1:1" ht="18.75" x14ac:dyDescent="0.25">
      <c r="A965" s="6"/>
    </row>
    <row r="966" spans="1:1" ht="18.75" x14ac:dyDescent="0.25">
      <c r="A966" s="6"/>
    </row>
    <row r="967" spans="1:1" ht="18.75" x14ac:dyDescent="0.25">
      <c r="A967" s="6"/>
    </row>
    <row r="968" spans="1:1" ht="18.75" x14ac:dyDescent="0.25">
      <c r="A968" s="6"/>
    </row>
    <row r="969" spans="1:1" ht="18.75" x14ac:dyDescent="0.25">
      <c r="A969" s="6"/>
    </row>
    <row r="970" spans="1:1" ht="18.75" x14ac:dyDescent="0.25">
      <c r="A970" s="6"/>
    </row>
    <row r="971" spans="1:1" ht="18.75" x14ac:dyDescent="0.25">
      <c r="A971" s="6"/>
    </row>
    <row r="972" spans="1:1" ht="18.75" x14ac:dyDescent="0.25">
      <c r="A972" s="6"/>
    </row>
    <row r="973" spans="1:1" ht="18.75" x14ac:dyDescent="0.25">
      <c r="A973" s="6"/>
    </row>
    <row r="974" spans="1:1" ht="18.75" x14ac:dyDescent="0.25">
      <c r="A974" s="6"/>
    </row>
    <row r="975" spans="1:1" ht="18.75" x14ac:dyDescent="0.25">
      <c r="A975" s="6"/>
    </row>
    <row r="976" spans="1:1" ht="18.75" x14ac:dyDescent="0.25">
      <c r="A976" s="6"/>
    </row>
    <row r="977" spans="1:1" ht="18.75" x14ac:dyDescent="0.25">
      <c r="A977" s="6"/>
    </row>
    <row r="978" spans="1:1" ht="18.75" x14ac:dyDescent="0.25">
      <c r="A978" s="6"/>
    </row>
    <row r="979" spans="1:1" ht="18.75" x14ac:dyDescent="0.25">
      <c r="A979" s="6"/>
    </row>
    <row r="980" spans="1:1" ht="18.75" x14ac:dyDescent="0.25">
      <c r="A980" s="6"/>
    </row>
    <row r="981" spans="1:1" ht="18.75" x14ac:dyDescent="0.25">
      <c r="A981" s="6"/>
    </row>
    <row r="982" spans="1:1" ht="18.75" x14ac:dyDescent="0.25">
      <c r="A982" s="6"/>
    </row>
    <row r="983" spans="1:1" ht="18.75" x14ac:dyDescent="0.25">
      <c r="A983" s="6"/>
    </row>
    <row r="984" spans="1:1" ht="18.75" x14ac:dyDescent="0.25">
      <c r="A984" s="6"/>
    </row>
    <row r="985" spans="1:1" ht="18.75" x14ac:dyDescent="0.25">
      <c r="A985" s="6"/>
    </row>
    <row r="986" spans="1:1" ht="18.75" x14ac:dyDescent="0.25">
      <c r="A986" s="6"/>
    </row>
    <row r="987" spans="1:1" ht="18.75" x14ac:dyDescent="0.25">
      <c r="A987" s="6"/>
    </row>
    <row r="988" spans="1:1" ht="18.75" x14ac:dyDescent="0.25">
      <c r="A988" s="6"/>
    </row>
    <row r="989" spans="1:1" ht="18.75" x14ac:dyDescent="0.25">
      <c r="A989" s="6"/>
    </row>
    <row r="990" spans="1:1" ht="18.75" x14ac:dyDescent="0.25">
      <c r="A990" s="6"/>
    </row>
    <row r="991" spans="1:1" ht="18.75" x14ac:dyDescent="0.25">
      <c r="A991" s="6"/>
    </row>
    <row r="992" spans="1:1" ht="18.75" x14ac:dyDescent="0.25">
      <c r="A992" s="6"/>
    </row>
    <row r="993" spans="1:1" ht="18.75" x14ac:dyDescent="0.25">
      <c r="A993" s="6"/>
    </row>
    <row r="994" spans="1:1" ht="18.75" x14ac:dyDescent="0.25">
      <c r="A994" s="6"/>
    </row>
    <row r="995" spans="1:1" ht="18.75" x14ac:dyDescent="0.25">
      <c r="A995" s="6"/>
    </row>
    <row r="996" spans="1:1" ht="18.75" x14ac:dyDescent="0.25">
      <c r="A996" s="6"/>
    </row>
    <row r="997" spans="1:1" ht="18.75" x14ac:dyDescent="0.25">
      <c r="A997" s="6"/>
    </row>
    <row r="998" spans="1:1" ht="18.75" x14ac:dyDescent="0.25">
      <c r="A998" s="6"/>
    </row>
    <row r="999" spans="1:1" ht="18.75" x14ac:dyDescent="0.25">
      <c r="A999" s="6"/>
    </row>
    <row r="1000" spans="1:1" ht="18.75" x14ac:dyDescent="0.25">
      <c r="A1000" s="6"/>
    </row>
    <row r="1001" spans="1:1" ht="18.75" x14ac:dyDescent="0.25">
      <c r="A1001" s="6"/>
    </row>
    <row r="1002" spans="1:1" ht="18.75" x14ac:dyDescent="0.25">
      <c r="A1002" s="6"/>
    </row>
    <row r="1003" spans="1:1" ht="18.75" x14ac:dyDescent="0.25">
      <c r="A1003" s="6"/>
    </row>
    <row r="1004" spans="1:1" ht="18.75" x14ac:dyDescent="0.25">
      <c r="A1004" s="6"/>
    </row>
    <row r="1005" spans="1:1" ht="18.75" x14ac:dyDescent="0.25">
      <c r="A1005" s="6"/>
    </row>
    <row r="1006" spans="1:1" ht="18.75" x14ac:dyDescent="0.25">
      <c r="A1006" s="6"/>
    </row>
    <row r="1007" spans="1:1" ht="18.75" x14ac:dyDescent="0.25">
      <c r="A1007" s="6"/>
    </row>
    <row r="1008" spans="1:1" ht="18.75" x14ac:dyDescent="0.25">
      <c r="A1008" s="6"/>
    </row>
    <row r="1009" spans="1:1" ht="18.75" x14ac:dyDescent="0.25">
      <c r="A1009" s="6"/>
    </row>
    <row r="1010" spans="1:1" ht="18.75" x14ac:dyDescent="0.25">
      <c r="A1010" s="6"/>
    </row>
    <row r="1011" spans="1:1" ht="18.75" x14ac:dyDescent="0.25">
      <c r="A1011" s="6"/>
    </row>
    <row r="1012" spans="1:1" ht="18.75" x14ac:dyDescent="0.25">
      <c r="A1012" s="6"/>
    </row>
    <row r="1013" spans="1:1" ht="18.75" x14ac:dyDescent="0.25">
      <c r="A1013" s="6"/>
    </row>
    <row r="1014" spans="1:1" ht="18.75" x14ac:dyDescent="0.25">
      <c r="A1014" s="6"/>
    </row>
    <row r="1015" spans="1:1" ht="18.75" x14ac:dyDescent="0.25">
      <c r="A1015" s="6"/>
    </row>
    <row r="1016" spans="1:1" ht="18.75" x14ac:dyDescent="0.25">
      <c r="A1016" s="6"/>
    </row>
    <row r="1017" spans="1:1" ht="18.75" x14ac:dyDescent="0.25">
      <c r="A1017" s="6"/>
    </row>
    <row r="1018" spans="1:1" ht="18.75" x14ac:dyDescent="0.25">
      <c r="A1018" s="6"/>
    </row>
    <row r="1019" spans="1:1" ht="18.75" x14ac:dyDescent="0.25">
      <c r="A1019" s="6"/>
    </row>
    <row r="1020" spans="1:1" ht="18.75" x14ac:dyDescent="0.25">
      <c r="A1020" s="6"/>
    </row>
    <row r="1021" spans="1:1" ht="18.75" x14ac:dyDescent="0.25">
      <c r="A1021" s="6"/>
    </row>
    <row r="1022" spans="1:1" ht="18.75" x14ac:dyDescent="0.25">
      <c r="A1022" s="6"/>
    </row>
    <row r="1023" spans="1:1" ht="18.75" x14ac:dyDescent="0.25">
      <c r="A1023" s="6"/>
    </row>
    <row r="1024" spans="1:1" ht="18.75" x14ac:dyDescent="0.25">
      <c r="A1024" s="6"/>
    </row>
    <row r="1025" spans="1:1" ht="18.75" x14ac:dyDescent="0.25">
      <c r="A1025" s="6"/>
    </row>
    <row r="1026" spans="1:1" ht="18.75" x14ac:dyDescent="0.25">
      <c r="A1026" s="6"/>
    </row>
    <row r="1027" spans="1:1" ht="18.75" x14ac:dyDescent="0.25">
      <c r="A1027" s="6"/>
    </row>
    <row r="1028" spans="1:1" ht="18.75" x14ac:dyDescent="0.25">
      <c r="A1028" s="6"/>
    </row>
    <row r="1029" spans="1:1" ht="18.75" x14ac:dyDescent="0.25">
      <c r="A1029" s="6"/>
    </row>
    <row r="1030" spans="1:1" ht="18.75" x14ac:dyDescent="0.25">
      <c r="A1030" s="6"/>
    </row>
    <row r="1031" spans="1:1" ht="18.75" x14ac:dyDescent="0.25">
      <c r="A1031" s="6"/>
    </row>
    <row r="1032" spans="1:1" ht="18.75" x14ac:dyDescent="0.25">
      <c r="A1032" s="6"/>
    </row>
    <row r="1033" spans="1:1" ht="18.75" x14ac:dyDescent="0.25">
      <c r="A1033" s="6"/>
    </row>
    <row r="1034" spans="1:1" ht="18.75" x14ac:dyDescent="0.25">
      <c r="A1034" s="6"/>
    </row>
    <row r="1035" spans="1:1" ht="18.75" x14ac:dyDescent="0.25">
      <c r="A1035" s="6"/>
    </row>
    <row r="1036" spans="1:1" ht="18.75" x14ac:dyDescent="0.25">
      <c r="A1036" s="6"/>
    </row>
    <row r="1037" spans="1:1" ht="18.75" x14ac:dyDescent="0.25">
      <c r="A1037" s="6"/>
    </row>
    <row r="1038" spans="1:1" ht="18.75" x14ac:dyDescent="0.25">
      <c r="A1038" s="6"/>
    </row>
    <row r="1039" spans="1:1" ht="18.75" x14ac:dyDescent="0.25">
      <c r="A1039" s="6"/>
    </row>
    <row r="1040" spans="1:1" ht="18.75" x14ac:dyDescent="0.25">
      <c r="A1040" s="6"/>
    </row>
    <row r="1041" spans="1:1" ht="18.75" x14ac:dyDescent="0.25">
      <c r="A1041" s="6"/>
    </row>
    <row r="1042" spans="1:1" ht="18.75" x14ac:dyDescent="0.25">
      <c r="A1042" s="6"/>
    </row>
    <row r="1043" spans="1:1" ht="18.75" x14ac:dyDescent="0.25">
      <c r="A1043" s="6"/>
    </row>
    <row r="1044" spans="1:1" ht="18.75" x14ac:dyDescent="0.25">
      <c r="A1044" s="6"/>
    </row>
    <row r="1045" spans="1:1" ht="18.75" x14ac:dyDescent="0.25">
      <c r="A1045" s="6"/>
    </row>
    <row r="1046" spans="1:1" ht="18.75" x14ac:dyDescent="0.25">
      <c r="A1046" s="6"/>
    </row>
    <row r="1047" spans="1:1" ht="18.75" x14ac:dyDescent="0.25">
      <c r="A1047" s="6"/>
    </row>
    <row r="1048" spans="1:1" ht="18.75" x14ac:dyDescent="0.25">
      <c r="A1048" s="6"/>
    </row>
    <row r="1049" spans="1:1" ht="18.75" x14ac:dyDescent="0.25">
      <c r="A1049" s="6"/>
    </row>
    <row r="1050" spans="1:1" ht="18.75" x14ac:dyDescent="0.25">
      <c r="A1050" s="6"/>
    </row>
    <row r="1051" spans="1:1" ht="18.75" x14ac:dyDescent="0.25">
      <c r="A1051" s="6"/>
    </row>
    <row r="1052" spans="1:1" ht="18.75" x14ac:dyDescent="0.25">
      <c r="A1052" s="6"/>
    </row>
    <row r="1053" spans="1:1" ht="18.75" x14ac:dyDescent="0.25">
      <c r="A1053" s="6"/>
    </row>
    <row r="1054" spans="1:1" ht="18.75" x14ac:dyDescent="0.25">
      <c r="A1054" s="6"/>
    </row>
    <row r="1055" spans="1:1" ht="18.75" x14ac:dyDescent="0.25">
      <c r="A1055" s="6"/>
    </row>
    <row r="1056" spans="1:1" ht="18.75" x14ac:dyDescent="0.25">
      <c r="A1056" s="6"/>
    </row>
    <row r="1057" spans="1:1" ht="18.75" x14ac:dyDescent="0.25">
      <c r="A1057" s="6"/>
    </row>
    <row r="1058" spans="1:1" ht="18.75" x14ac:dyDescent="0.25">
      <c r="A1058" s="6"/>
    </row>
    <row r="1059" spans="1:1" ht="18.75" x14ac:dyDescent="0.25">
      <c r="A1059" s="6"/>
    </row>
    <row r="1060" spans="1:1" ht="18.75" x14ac:dyDescent="0.25">
      <c r="A1060" s="6"/>
    </row>
    <row r="1061" spans="1:1" ht="18.75" x14ac:dyDescent="0.25">
      <c r="A1061" s="6"/>
    </row>
    <row r="1062" spans="1:1" ht="18.75" x14ac:dyDescent="0.25">
      <c r="A1062" s="6"/>
    </row>
    <row r="1063" spans="1:1" ht="18.75" x14ac:dyDescent="0.25">
      <c r="A1063" s="6"/>
    </row>
    <row r="1064" spans="1:1" ht="18.75" x14ac:dyDescent="0.25">
      <c r="A1064" s="6"/>
    </row>
    <row r="1065" spans="1:1" ht="18.75" x14ac:dyDescent="0.25">
      <c r="A1065" s="6"/>
    </row>
    <row r="1066" spans="1:1" ht="18.75" x14ac:dyDescent="0.25">
      <c r="A1066" s="6"/>
    </row>
    <row r="1067" spans="1:1" ht="18.75" x14ac:dyDescent="0.25">
      <c r="A1067" s="6"/>
    </row>
    <row r="1068" spans="1:1" ht="18.75" x14ac:dyDescent="0.25">
      <c r="A1068" s="6"/>
    </row>
    <row r="1069" spans="1:1" ht="18.75" x14ac:dyDescent="0.25">
      <c r="A1069" s="6"/>
    </row>
    <row r="1070" spans="1:1" ht="18.75" x14ac:dyDescent="0.25">
      <c r="A1070" s="6"/>
    </row>
    <row r="1071" spans="1:1" ht="18.75" x14ac:dyDescent="0.25">
      <c r="A1071" s="6"/>
    </row>
    <row r="1072" spans="1:1" ht="18.75" x14ac:dyDescent="0.25">
      <c r="A1072" s="6"/>
    </row>
    <row r="1073" spans="1:1" ht="18.75" x14ac:dyDescent="0.25">
      <c r="A1073" s="6"/>
    </row>
    <row r="1074" spans="1:1" ht="18.75" x14ac:dyDescent="0.25">
      <c r="A1074" s="6"/>
    </row>
    <row r="1075" spans="1:1" ht="18.75" x14ac:dyDescent="0.25">
      <c r="A1075" s="6"/>
    </row>
    <row r="1076" spans="1:1" ht="18.75" x14ac:dyDescent="0.25">
      <c r="A1076" s="6"/>
    </row>
    <row r="1077" spans="1:1" ht="18.75" x14ac:dyDescent="0.25">
      <c r="A1077" s="6"/>
    </row>
    <row r="1078" spans="1:1" ht="18.75" x14ac:dyDescent="0.25">
      <c r="A1078" s="6"/>
    </row>
    <row r="1079" spans="1:1" ht="18.75" x14ac:dyDescent="0.25">
      <c r="A1079" s="6"/>
    </row>
    <row r="1080" spans="1:1" ht="18.75" x14ac:dyDescent="0.25">
      <c r="A1080" s="6"/>
    </row>
    <row r="1081" spans="1:1" ht="18.75" x14ac:dyDescent="0.25">
      <c r="A1081" s="6"/>
    </row>
    <row r="1082" spans="1:1" ht="18.75" x14ac:dyDescent="0.25">
      <c r="A1082" s="6"/>
    </row>
    <row r="1083" spans="1:1" ht="18.75" x14ac:dyDescent="0.25">
      <c r="A1083" s="6"/>
    </row>
    <row r="1084" spans="1:1" ht="18.75" x14ac:dyDescent="0.25">
      <c r="A1084" s="6"/>
    </row>
    <row r="1085" spans="1:1" ht="18.75" x14ac:dyDescent="0.25">
      <c r="A1085" s="6"/>
    </row>
    <row r="1086" spans="1:1" ht="18.75" x14ac:dyDescent="0.25">
      <c r="A1086" s="6"/>
    </row>
    <row r="1087" spans="1:1" ht="18.75" x14ac:dyDescent="0.25">
      <c r="A1087" s="6"/>
    </row>
    <row r="1088" spans="1:1" ht="18.75" x14ac:dyDescent="0.25">
      <c r="A1088" s="6"/>
    </row>
    <row r="1089" spans="1:1" ht="18.75" x14ac:dyDescent="0.25">
      <c r="A1089" s="6"/>
    </row>
    <row r="1090" spans="1:1" ht="18.75" x14ac:dyDescent="0.25">
      <c r="A1090" s="6"/>
    </row>
    <row r="1091" spans="1:1" ht="18.75" x14ac:dyDescent="0.25">
      <c r="A1091" s="6"/>
    </row>
    <row r="1092" spans="1:1" ht="18.75" x14ac:dyDescent="0.25">
      <c r="A1092" s="6"/>
    </row>
    <row r="1093" spans="1:1" ht="18.75" x14ac:dyDescent="0.25">
      <c r="A1093" s="6"/>
    </row>
    <row r="1094" spans="1:1" ht="18.75" x14ac:dyDescent="0.25">
      <c r="A1094" s="6"/>
    </row>
    <row r="1095" spans="1:1" ht="18.75" x14ac:dyDescent="0.25">
      <c r="A1095" s="6"/>
    </row>
    <row r="1096" spans="1:1" ht="18.75" x14ac:dyDescent="0.25">
      <c r="A1096" s="6"/>
    </row>
    <row r="1097" spans="1:1" ht="18.75" x14ac:dyDescent="0.25">
      <c r="A1097" s="6"/>
    </row>
    <row r="1098" spans="1:1" ht="18.75" x14ac:dyDescent="0.25">
      <c r="A1098" s="6"/>
    </row>
    <row r="1099" spans="1:1" ht="18.75" x14ac:dyDescent="0.25">
      <c r="A1099" s="6"/>
    </row>
    <row r="1100" spans="1:1" ht="18.75" x14ac:dyDescent="0.25">
      <c r="A1100" s="6"/>
    </row>
    <row r="1101" spans="1:1" ht="18.75" x14ac:dyDescent="0.25">
      <c r="A1101" s="6"/>
    </row>
    <row r="1102" spans="1:1" ht="18.75" x14ac:dyDescent="0.25">
      <c r="A1102" s="6"/>
    </row>
    <row r="1103" spans="1:1" ht="18.75" x14ac:dyDescent="0.25">
      <c r="A1103" s="6"/>
    </row>
    <row r="1104" spans="1:1" ht="18.75" x14ac:dyDescent="0.25">
      <c r="A1104" s="6"/>
    </row>
    <row r="1105" spans="1:1" ht="18.75" x14ac:dyDescent="0.25">
      <c r="A1105" s="6"/>
    </row>
    <row r="1106" spans="1:1" ht="18.75" x14ac:dyDescent="0.25">
      <c r="A1106" s="6"/>
    </row>
    <row r="1107" spans="1:1" ht="18.75" x14ac:dyDescent="0.25">
      <c r="A1107" s="6"/>
    </row>
    <row r="1108" spans="1:1" ht="18.75" x14ac:dyDescent="0.25">
      <c r="A1108" s="6"/>
    </row>
    <row r="1109" spans="1:1" ht="18.75" x14ac:dyDescent="0.25">
      <c r="A1109" s="6"/>
    </row>
    <row r="1110" spans="1:1" ht="18.75" x14ac:dyDescent="0.25">
      <c r="A1110" s="6"/>
    </row>
    <row r="1111" spans="1:1" ht="18.75" x14ac:dyDescent="0.25">
      <c r="A1111" s="6"/>
    </row>
    <row r="1112" spans="1:1" ht="18.75" x14ac:dyDescent="0.25">
      <c r="A1112" s="6"/>
    </row>
    <row r="1113" spans="1:1" ht="18.75" x14ac:dyDescent="0.25">
      <c r="A1113" s="6"/>
    </row>
    <row r="1114" spans="1:1" ht="18.75" x14ac:dyDescent="0.25">
      <c r="A1114" s="6"/>
    </row>
    <row r="1115" spans="1:1" ht="18.75" x14ac:dyDescent="0.25">
      <c r="A1115" s="6"/>
    </row>
    <row r="1116" spans="1:1" ht="18.75" x14ac:dyDescent="0.25">
      <c r="A1116" s="6"/>
    </row>
    <row r="1117" spans="1:1" ht="18.75" x14ac:dyDescent="0.25">
      <c r="A1117" s="6"/>
    </row>
    <row r="1118" spans="1:1" ht="18.75" x14ac:dyDescent="0.25">
      <c r="A1118" s="6"/>
    </row>
    <row r="1119" spans="1:1" ht="18.75" x14ac:dyDescent="0.25">
      <c r="A1119" s="6"/>
    </row>
    <row r="1120" spans="1:1" ht="18.75" x14ac:dyDescent="0.25">
      <c r="A1120" s="6"/>
    </row>
    <row r="1121" spans="1:1" ht="18.75" x14ac:dyDescent="0.25">
      <c r="A1121" s="6"/>
    </row>
    <row r="1122" spans="1:1" ht="18.75" x14ac:dyDescent="0.25">
      <c r="A1122" s="6"/>
    </row>
    <row r="1123" spans="1:1" ht="18.75" x14ac:dyDescent="0.25">
      <c r="A1123" s="6"/>
    </row>
    <row r="1124" spans="1:1" ht="18.75" x14ac:dyDescent="0.25">
      <c r="A1124" s="6"/>
    </row>
    <row r="1125" spans="1:1" ht="18.75" x14ac:dyDescent="0.25">
      <c r="A1125" s="6"/>
    </row>
    <row r="1126" spans="1:1" ht="18.75" x14ac:dyDescent="0.25">
      <c r="A1126" s="6"/>
    </row>
    <row r="1127" spans="1:1" ht="18.75" x14ac:dyDescent="0.25">
      <c r="A1127" s="6"/>
    </row>
    <row r="1128" spans="1:1" ht="18.75" x14ac:dyDescent="0.25">
      <c r="A1128" s="6"/>
    </row>
    <row r="1129" spans="1:1" ht="18.75" x14ac:dyDescent="0.25">
      <c r="A1129" s="6"/>
    </row>
    <row r="1130" spans="1:1" ht="18.75" x14ac:dyDescent="0.25">
      <c r="A1130" s="6"/>
    </row>
    <row r="1131" spans="1:1" ht="18.75" x14ac:dyDescent="0.25">
      <c r="A1131" s="6"/>
    </row>
    <row r="1132" spans="1:1" ht="18.75" x14ac:dyDescent="0.25">
      <c r="A1132" s="6"/>
    </row>
    <row r="1133" spans="1:1" ht="18.75" x14ac:dyDescent="0.25">
      <c r="A1133" s="6"/>
    </row>
    <row r="1134" spans="1:1" ht="18.75" x14ac:dyDescent="0.25">
      <c r="A1134" s="6"/>
    </row>
    <row r="1135" spans="1:1" ht="18.75" x14ac:dyDescent="0.25">
      <c r="A1135" s="6"/>
    </row>
    <row r="1136" spans="1:1" ht="18.75" x14ac:dyDescent="0.25">
      <c r="A1136" s="6"/>
    </row>
    <row r="1137" spans="1:1" ht="18.75" x14ac:dyDescent="0.25">
      <c r="A1137" s="6"/>
    </row>
    <row r="1138" spans="1:1" ht="18.75" x14ac:dyDescent="0.25">
      <c r="A1138" s="6"/>
    </row>
    <row r="1139" spans="1:1" ht="18.75" x14ac:dyDescent="0.25">
      <c r="A1139" s="6"/>
    </row>
    <row r="1140" spans="1:1" ht="18.75" x14ac:dyDescent="0.25">
      <c r="A1140" s="6"/>
    </row>
    <row r="1141" spans="1:1" ht="18.75" x14ac:dyDescent="0.25">
      <c r="A1141" s="6"/>
    </row>
    <row r="1142" spans="1:1" ht="18.75" x14ac:dyDescent="0.25">
      <c r="A1142" s="6"/>
    </row>
    <row r="1143" spans="1:1" ht="18.75" x14ac:dyDescent="0.25">
      <c r="A1143" s="6"/>
    </row>
    <row r="1144" spans="1:1" ht="18.75" x14ac:dyDescent="0.25">
      <c r="A1144" s="6"/>
    </row>
    <row r="1145" spans="1:1" ht="18.75" x14ac:dyDescent="0.25">
      <c r="A1145" s="6"/>
    </row>
    <row r="1146" spans="1:1" ht="18.75" x14ac:dyDescent="0.25">
      <c r="A1146" s="6"/>
    </row>
    <row r="1147" spans="1:1" ht="18.75" x14ac:dyDescent="0.25">
      <c r="A1147" s="6"/>
    </row>
    <row r="1148" spans="1:1" ht="18.75" x14ac:dyDescent="0.25">
      <c r="A1148" s="6"/>
    </row>
    <row r="1149" spans="1:1" ht="18.75" x14ac:dyDescent="0.25">
      <c r="A1149" s="6"/>
    </row>
    <row r="1150" spans="1:1" ht="18.75" x14ac:dyDescent="0.25">
      <c r="A1150" s="6"/>
    </row>
    <row r="1151" spans="1:1" ht="18.75" x14ac:dyDescent="0.25">
      <c r="A1151" s="6"/>
    </row>
    <row r="1152" spans="1:1" ht="18.75" x14ac:dyDescent="0.25">
      <c r="A1152" s="6"/>
    </row>
    <row r="1153" spans="1:1" ht="18.75" x14ac:dyDescent="0.25">
      <c r="A1153" s="6"/>
    </row>
    <row r="1154" spans="1:1" ht="18.75" x14ac:dyDescent="0.25">
      <c r="A1154" s="6"/>
    </row>
    <row r="1155" spans="1:1" ht="18.75" x14ac:dyDescent="0.25">
      <c r="A1155" s="6"/>
    </row>
    <row r="1156" spans="1:1" ht="18.75" x14ac:dyDescent="0.25">
      <c r="A1156" s="6"/>
    </row>
    <row r="1157" spans="1:1" ht="18.75" x14ac:dyDescent="0.25">
      <c r="A1157" s="6"/>
    </row>
    <row r="1158" spans="1:1" ht="18.75" x14ac:dyDescent="0.25">
      <c r="A1158" s="6"/>
    </row>
    <row r="1159" spans="1:1" ht="18.75" x14ac:dyDescent="0.25">
      <c r="A1159" s="6"/>
    </row>
    <row r="1160" spans="1:1" ht="18.75" x14ac:dyDescent="0.25">
      <c r="A1160" s="6"/>
    </row>
    <row r="1161" spans="1:1" ht="18.75" x14ac:dyDescent="0.25">
      <c r="A1161" s="6"/>
    </row>
    <row r="1162" spans="1:1" ht="18.75" x14ac:dyDescent="0.25">
      <c r="A1162" s="6"/>
    </row>
    <row r="1163" spans="1:1" ht="18.75" x14ac:dyDescent="0.25">
      <c r="A1163" s="6"/>
    </row>
    <row r="1164" spans="1:1" ht="18.75" x14ac:dyDescent="0.25">
      <c r="A1164" s="6"/>
    </row>
    <row r="1165" spans="1:1" ht="18.75" x14ac:dyDescent="0.25">
      <c r="A1165" s="6"/>
    </row>
    <row r="1166" spans="1:1" ht="18.75" x14ac:dyDescent="0.25">
      <c r="A1166" s="6"/>
    </row>
    <row r="1167" spans="1:1" ht="18.75" x14ac:dyDescent="0.25">
      <c r="A1167" s="6"/>
    </row>
    <row r="1168" spans="1:1" ht="18.75" x14ac:dyDescent="0.25">
      <c r="A1168" s="6"/>
    </row>
    <row r="1169" spans="1:1" ht="18.75" x14ac:dyDescent="0.25">
      <c r="A1169" s="6"/>
    </row>
    <row r="1170" spans="1:1" ht="18.75" x14ac:dyDescent="0.25">
      <c r="A1170" s="6"/>
    </row>
    <row r="1171" spans="1:1" ht="18.75" x14ac:dyDescent="0.25">
      <c r="A1171" s="6"/>
    </row>
    <row r="1172" spans="1:1" ht="18.75" x14ac:dyDescent="0.25">
      <c r="A1172" s="6"/>
    </row>
    <row r="1173" spans="1:1" ht="18.75" x14ac:dyDescent="0.25">
      <c r="A1173" s="6"/>
    </row>
    <row r="1174" spans="1:1" ht="18.75" x14ac:dyDescent="0.25">
      <c r="A1174" s="6"/>
    </row>
    <row r="1175" spans="1:1" ht="18.75" x14ac:dyDescent="0.25">
      <c r="A1175" s="6"/>
    </row>
    <row r="1176" spans="1:1" ht="18.75" x14ac:dyDescent="0.25">
      <c r="A1176" s="6"/>
    </row>
    <row r="1177" spans="1:1" ht="18.75" x14ac:dyDescent="0.25">
      <c r="A1177" s="6"/>
    </row>
    <row r="1178" spans="1:1" ht="18.75" x14ac:dyDescent="0.25">
      <c r="A1178" s="6"/>
    </row>
    <row r="1179" spans="1:1" ht="18.75" x14ac:dyDescent="0.25">
      <c r="A1179" s="6"/>
    </row>
    <row r="1180" spans="1:1" ht="18.75" x14ac:dyDescent="0.25">
      <c r="A1180" s="6"/>
    </row>
    <row r="1181" spans="1:1" ht="18.75" x14ac:dyDescent="0.25">
      <c r="A1181" s="6"/>
    </row>
    <row r="1182" spans="1:1" ht="18.75" x14ac:dyDescent="0.25">
      <c r="A1182" s="6"/>
    </row>
    <row r="1183" spans="1:1" ht="18.75" x14ac:dyDescent="0.25">
      <c r="A1183" s="6"/>
    </row>
    <row r="1184" spans="1:1" ht="18.75" x14ac:dyDescent="0.25">
      <c r="A1184" s="6"/>
    </row>
    <row r="1185" spans="1:1" ht="18.75" x14ac:dyDescent="0.25">
      <c r="A1185" s="6"/>
    </row>
    <row r="1186" spans="1:1" ht="18.75" x14ac:dyDescent="0.25">
      <c r="A1186" s="6"/>
    </row>
    <row r="1187" spans="1:1" ht="18.75" x14ac:dyDescent="0.25">
      <c r="A1187" s="6"/>
    </row>
    <row r="1188" spans="1:1" ht="18.75" x14ac:dyDescent="0.25">
      <c r="A1188" s="6"/>
    </row>
    <row r="1189" spans="1:1" ht="18.75" x14ac:dyDescent="0.25">
      <c r="A1189" s="6"/>
    </row>
    <row r="1190" spans="1:1" ht="18.75" x14ac:dyDescent="0.25">
      <c r="A1190" s="6"/>
    </row>
    <row r="1191" spans="1:1" ht="18.75" x14ac:dyDescent="0.25">
      <c r="A1191" s="6"/>
    </row>
    <row r="1192" spans="1:1" ht="18.75" x14ac:dyDescent="0.25">
      <c r="A1192" s="6"/>
    </row>
    <row r="1193" spans="1:1" ht="18.75" x14ac:dyDescent="0.25">
      <c r="A1193" s="6"/>
    </row>
    <row r="1194" spans="1:1" ht="18.75" x14ac:dyDescent="0.25">
      <c r="A1194" s="6"/>
    </row>
    <row r="1195" spans="1:1" ht="18.75" x14ac:dyDescent="0.25">
      <c r="A1195" s="6"/>
    </row>
    <row r="1196" spans="1:1" ht="18.75" x14ac:dyDescent="0.25">
      <c r="A1196" s="6"/>
    </row>
    <row r="1197" spans="1:1" ht="18.75" x14ac:dyDescent="0.25">
      <c r="A1197" s="6"/>
    </row>
    <row r="1198" spans="1:1" ht="18.75" x14ac:dyDescent="0.25">
      <c r="A1198" s="6"/>
    </row>
    <row r="1199" spans="1:1" ht="18.75" x14ac:dyDescent="0.25">
      <c r="A1199" s="6"/>
    </row>
    <row r="1200" spans="1:1" ht="18.75" x14ac:dyDescent="0.25">
      <c r="A1200" s="6"/>
    </row>
    <row r="1201" spans="1:1" ht="18.75" x14ac:dyDescent="0.25">
      <c r="A1201" s="6"/>
    </row>
    <row r="1202" spans="1:1" ht="18.75" x14ac:dyDescent="0.25">
      <c r="A1202" s="6"/>
    </row>
    <row r="1203" spans="1:1" ht="18.75" x14ac:dyDescent="0.25">
      <c r="A1203" s="6"/>
    </row>
    <row r="1204" spans="1:1" ht="18.75" x14ac:dyDescent="0.25">
      <c r="A1204" s="6"/>
    </row>
    <row r="1205" spans="1:1" ht="18.75" x14ac:dyDescent="0.25">
      <c r="A1205" s="6"/>
    </row>
    <row r="1206" spans="1:1" ht="18.75" x14ac:dyDescent="0.25">
      <c r="A1206" s="6"/>
    </row>
    <row r="1207" spans="1:1" ht="18.75" x14ac:dyDescent="0.25">
      <c r="A1207" s="6"/>
    </row>
    <row r="1208" spans="1:1" ht="18.75" x14ac:dyDescent="0.25">
      <c r="A1208" s="6"/>
    </row>
    <row r="1209" spans="1:1" ht="18.75" x14ac:dyDescent="0.25">
      <c r="A1209" s="6"/>
    </row>
    <row r="1210" spans="1:1" ht="18.75" x14ac:dyDescent="0.25">
      <c r="A1210" s="6"/>
    </row>
    <row r="1211" spans="1:1" ht="18.75" x14ac:dyDescent="0.25">
      <c r="A1211" s="6"/>
    </row>
    <row r="1212" spans="1:1" ht="18.75" x14ac:dyDescent="0.25">
      <c r="A1212" s="6"/>
    </row>
    <row r="1213" spans="1:1" ht="18.75" x14ac:dyDescent="0.25">
      <c r="A1213" s="6"/>
    </row>
    <row r="1214" spans="1:1" ht="18.75" x14ac:dyDescent="0.25">
      <c r="A1214" s="6"/>
    </row>
    <row r="1215" spans="1:1" ht="18.75" x14ac:dyDescent="0.25">
      <c r="A1215" s="6"/>
    </row>
    <row r="1216" spans="1:1" ht="18.75" x14ac:dyDescent="0.25">
      <c r="A1216" s="6"/>
    </row>
    <row r="1217" spans="1:1" ht="18.75" x14ac:dyDescent="0.25">
      <c r="A1217" s="6"/>
    </row>
    <row r="1218" spans="1:1" ht="18.75" x14ac:dyDescent="0.25">
      <c r="A1218" s="6"/>
    </row>
    <row r="1219" spans="1:1" ht="18.75" x14ac:dyDescent="0.25">
      <c r="A1219" s="6"/>
    </row>
    <row r="1220" spans="1:1" ht="18.75" x14ac:dyDescent="0.25">
      <c r="A1220" s="6"/>
    </row>
    <row r="1221" spans="1:1" ht="18.75" x14ac:dyDescent="0.25">
      <c r="A1221" s="6"/>
    </row>
    <row r="1222" spans="1:1" ht="18.75" x14ac:dyDescent="0.25">
      <c r="A1222" s="6"/>
    </row>
    <row r="1223" spans="1:1" ht="18.75" x14ac:dyDescent="0.25">
      <c r="A1223" s="6"/>
    </row>
    <row r="1224" spans="1:1" ht="18.75" x14ac:dyDescent="0.25">
      <c r="A1224" s="6"/>
    </row>
    <row r="1225" spans="1:1" ht="18.75" x14ac:dyDescent="0.25">
      <c r="A1225" s="6"/>
    </row>
    <row r="1226" spans="1:1" ht="18.75" x14ac:dyDescent="0.25">
      <c r="A1226" s="6"/>
    </row>
    <row r="1227" spans="1:1" ht="18.75" x14ac:dyDescent="0.25">
      <c r="A1227" s="6"/>
    </row>
    <row r="1228" spans="1:1" ht="18.75" x14ac:dyDescent="0.25">
      <c r="A1228" s="6"/>
    </row>
    <row r="1229" spans="1:1" ht="18.75" x14ac:dyDescent="0.25">
      <c r="A1229" s="6"/>
    </row>
    <row r="1230" spans="1:1" ht="18.75" x14ac:dyDescent="0.25">
      <c r="A1230" s="6"/>
    </row>
    <row r="1231" spans="1:1" ht="18.75" x14ac:dyDescent="0.25">
      <c r="A1231" s="6"/>
    </row>
    <row r="1232" spans="1:1" ht="18.75" x14ac:dyDescent="0.25">
      <c r="A1232" s="6"/>
    </row>
    <row r="1233" spans="1:1" ht="18.75" x14ac:dyDescent="0.25">
      <c r="A1233" s="6"/>
    </row>
    <row r="1234" spans="1:1" ht="18.75" x14ac:dyDescent="0.25">
      <c r="A1234" s="6"/>
    </row>
    <row r="1235" spans="1:1" ht="18.75" x14ac:dyDescent="0.25">
      <c r="A1235" s="6"/>
    </row>
    <row r="1236" spans="1:1" ht="18.75" x14ac:dyDescent="0.25">
      <c r="A1236" s="6"/>
    </row>
    <row r="1237" spans="1:1" ht="18.75" x14ac:dyDescent="0.25">
      <c r="A1237" s="6"/>
    </row>
    <row r="1238" spans="1:1" ht="18.75" x14ac:dyDescent="0.25">
      <c r="A1238" s="6"/>
    </row>
    <row r="1239" spans="1:1" ht="18.75" x14ac:dyDescent="0.25">
      <c r="A1239" s="6"/>
    </row>
    <row r="1240" spans="1:1" ht="18.75" x14ac:dyDescent="0.25">
      <c r="A1240" s="6"/>
    </row>
    <row r="1241" spans="1:1" ht="18.75" x14ac:dyDescent="0.25">
      <c r="A1241" s="6"/>
    </row>
    <row r="1242" spans="1:1" ht="18.75" x14ac:dyDescent="0.25">
      <c r="A1242" s="6"/>
    </row>
    <row r="1243" spans="1:1" ht="18.75" x14ac:dyDescent="0.25">
      <c r="A1243" s="6"/>
    </row>
    <row r="1244" spans="1:1" ht="18.75" x14ac:dyDescent="0.25">
      <c r="A1244" s="6"/>
    </row>
    <row r="1245" spans="1:1" ht="18.75" x14ac:dyDescent="0.25">
      <c r="A1245" s="6"/>
    </row>
    <row r="1246" spans="1:1" ht="18.75" x14ac:dyDescent="0.25">
      <c r="A1246" s="6"/>
    </row>
    <row r="1247" spans="1:1" ht="18.75" x14ac:dyDescent="0.25">
      <c r="A1247" s="6"/>
    </row>
    <row r="1248" spans="1:1" ht="18.75" x14ac:dyDescent="0.25">
      <c r="A1248" s="6"/>
    </row>
    <row r="1249" spans="1:1" ht="18.75" x14ac:dyDescent="0.25">
      <c r="A1249" s="6"/>
    </row>
    <row r="1250" spans="1:1" ht="18.75" x14ac:dyDescent="0.25">
      <c r="A1250" s="6"/>
    </row>
    <row r="1251" spans="1:1" ht="18.75" x14ac:dyDescent="0.25">
      <c r="A1251" s="6"/>
    </row>
    <row r="1252" spans="1:1" ht="18.75" x14ac:dyDescent="0.25">
      <c r="A1252" s="6"/>
    </row>
    <row r="1253" spans="1:1" ht="18.75" x14ac:dyDescent="0.25">
      <c r="A1253" s="6"/>
    </row>
    <row r="1254" spans="1:1" ht="18.75" x14ac:dyDescent="0.25">
      <c r="A1254" s="6"/>
    </row>
    <row r="1255" spans="1:1" ht="18.75" x14ac:dyDescent="0.25">
      <c r="A1255" s="6"/>
    </row>
    <row r="1256" spans="1:1" ht="18.75" x14ac:dyDescent="0.25">
      <c r="A1256" s="6"/>
    </row>
    <row r="1257" spans="1:1" ht="18.75" x14ac:dyDescent="0.25">
      <c r="A1257" s="6"/>
    </row>
    <row r="1258" spans="1:1" ht="18.75" x14ac:dyDescent="0.25">
      <c r="A1258" s="6"/>
    </row>
    <row r="1259" spans="1:1" ht="18.75" x14ac:dyDescent="0.25">
      <c r="A1259" s="6"/>
    </row>
    <row r="1260" spans="1:1" ht="18.75" x14ac:dyDescent="0.25">
      <c r="A1260" s="6"/>
    </row>
    <row r="1261" spans="1:1" ht="18.75" x14ac:dyDescent="0.25">
      <c r="A1261" s="6"/>
    </row>
    <row r="1262" spans="1:1" ht="18.75" x14ac:dyDescent="0.25">
      <c r="A1262" s="6"/>
    </row>
    <row r="1263" spans="1:1" ht="18.75" x14ac:dyDescent="0.25">
      <c r="A1263" s="6"/>
    </row>
    <row r="1264" spans="1:1" ht="18.75" x14ac:dyDescent="0.25">
      <c r="A1264" s="6"/>
    </row>
    <row r="1265" spans="1:1" ht="18.75" x14ac:dyDescent="0.25">
      <c r="A1265" s="6"/>
    </row>
    <row r="1266" spans="1:1" ht="18.75" x14ac:dyDescent="0.25">
      <c r="A1266" s="6"/>
    </row>
    <row r="1267" spans="1:1" ht="18.75" x14ac:dyDescent="0.25">
      <c r="A1267" s="6"/>
    </row>
    <row r="1268" spans="1:1" ht="18.75" x14ac:dyDescent="0.25">
      <c r="A1268" s="6"/>
    </row>
    <row r="1269" spans="1:1" ht="18.75" x14ac:dyDescent="0.25">
      <c r="A1269" s="6"/>
    </row>
    <row r="1270" spans="1:1" ht="18.75" x14ac:dyDescent="0.25">
      <c r="A1270" s="6"/>
    </row>
    <row r="1271" spans="1:1" ht="18.75" x14ac:dyDescent="0.25">
      <c r="A1271" s="6"/>
    </row>
    <row r="1272" spans="1:1" ht="18.75" x14ac:dyDescent="0.25">
      <c r="A1272" s="6"/>
    </row>
    <row r="1273" spans="1:1" ht="18.75" x14ac:dyDescent="0.25">
      <c r="A1273" s="6"/>
    </row>
    <row r="1274" spans="1:1" ht="18.75" x14ac:dyDescent="0.25">
      <c r="A1274" s="6"/>
    </row>
    <row r="1275" spans="1:1" ht="18.75" x14ac:dyDescent="0.25">
      <c r="A1275" s="6"/>
    </row>
    <row r="1276" spans="1:1" ht="18.75" x14ac:dyDescent="0.25">
      <c r="A1276" s="6"/>
    </row>
    <row r="1277" spans="1:1" ht="18.75" x14ac:dyDescent="0.25">
      <c r="A1277" s="6"/>
    </row>
    <row r="1278" spans="1:1" ht="18.75" x14ac:dyDescent="0.25">
      <c r="A1278" s="6"/>
    </row>
    <row r="1279" spans="1:1" ht="18.75" x14ac:dyDescent="0.25">
      <c r="A1279" s="6"/>
    </row>
    <row r="1280" spans="1:1" ht="18.75" x14ac:dyDescent="0.25">
      <c r="A1280" s="6"/>
    </row>
    <row r="1281" spans="1:1" ht="18.75" x14ac:dyDescent="0.25">
      <c r="A1281" s="6"/>
    </row>
    <row r="1282" spans="1:1" ht="18.75" x14ac:dyDescent="0.25">
      <c r="A1282" s="6"/>
    </row>
    <row r="1283" spans="1:1" ht="18.75" x14ac:dyDescent="0.25">
      <c r="A1283" s="6"/>
    </row>
    <row r="1284" spans="1:1" ht="18.75" x14ac:dyDescent="0.25">
      <c r="A1284" s="6"/>
    </row>
    <row r="1285" spans="1:1" ht="18.75" x14ac:dyDescent="0.25">
      <c r="A1285" s="6"/>
    </row>
    <row r="1286" spans="1:1" ht="18.75" x14ac:dyDescent="0.25">
      <c r="A1286" s="6"/>
    </row>
    <row r="1287" spans="1:1" ht="18.75" x14ac:dyDescent="0.25">
      <c r="A1287" s="6"/>
    </row>
    <row r="1288" spans="1:1" ht="18.75" x14ac:dyDescent="0.25">
      <c r="A1288" s="6"/>
    </row>
    <row r="1289" spans="1:1" ht="18.75" x14ac:dyDescent="0.25">
      <c r="A1289" s="6"/>
    </row>
    <row r="1290" spans="1:1" ht="18.75" x14ac:dyDescent="0.25">
      <c r="A1290" s="6"/>
    </row>
    <row r="1291" spans="1:1" ht="18.75" x14ac:dyDescent="0.25">
      <c r="A1291" s="6"/>
    </row>
    <row r="1292" spans="1:1" ht="18.75" x14ac:dyDescent="0.25">
      <c r="A1292" s="6"/>
    </row>
    <row r="1293" spans="1:1" ht="18.75" x14ac:dyDescent="0.25">
      <c r="A1293" s="6"/>
    </row>
    <row r="1294" spans="1:1" ht="18.75" x14ac:dyDescent="0.25">
      <c r="A1294" s="6"/>
    </row>
    <row r="1295" spans="1:1" ht="18.75" x14ac:dyDescent="0.25">
      <c r="A1295" s="6"/>
    </row>
    <row r="1296" spans="1:1" ht="18.75" x14ac:dyDescent="0.25">
      <c r="A1296" s="6"/>
    </row>
    <row r="1297" spans="1:1" ht="18.75" x14ac:dyDescent="0.25">
      <c r="A1297" s="6"/>
    </row>
    <row r="1298" spans="1:1" ht="18.75" x14ac:dyDescent="0.25">
      <c r="A1298" s="6"/>
    </row>
    <row r="1299" spans="1:1" ht="18.75" x14ac:dyDescent="0.25">
      <c r="A1299" s="6"/>
    </row>
    <row r="1300" spans="1:1" ht="18.75" x14ac:dyDescent="0.25">
      <c r="A1300" s="6"/>
    </row>
    <row r="1301" spans="1:1" ht="18.75" x14ac:dyDescent="0.25">
      <c r="A1301" s="6"/>
    </row>
    <row r="1302" spans="1:1" ht="18.75" x14ac:dyDescent="0.25">
      <c r="A1302" s="6"/>
    </row>
    <row r="1303" spans="1:1" ht="18.75" x14ac:dyDescent="0.25">
      <c r="A1303" s="6"/>
    </row>
    <row r="1304" spans="1:1" ht="18.75" x14ac:dyDescent="0.25">
      <c r="A1304" s="6"/>
    </row>
    <row r="1305" spans="1:1" ht="18.75" x14ac:dyDescent="0.25">
      <c r="A1305" s="6"/>
    </row>
    <row r="1306" spans="1:1" ht="18.75" x14ac:dyDescent="0.25">
      <c r="A1306" s="6"/>
    </row>
    <row r="1307" spans="1:1" ht="18.75" x14ac:dyDescent="0.25">
      <c r="A1307" s="6"/>
    </row>
    <row r="1308" spans="1:1" ht="18.75" x14ac:dyDescent="0.25">
      <c r="A1308" s="6"/>
    </row>
    <row r="1309" spans="1:1" ht="18.75" x14ac:dyDescent="0.25">
      <c r="A1309" s="6"/>
    </row>
    <row r="1310" spans="1:1" ht="18.75" x14ac:dyDescent="0.25">
      <c r="A1310" s="6"/>
    </row>
    <row r="1311" spans="1:1" ht="18.75" x14ac:dyDescent="0.25">
      <c r="A1311" s="6"/>
    </row>
    <row r="1312" spans="1:1" ht="18.75" x14ac:dyDescent="0.25">
      <c r="A1312" s="6"/>
    </row>
    <row r="1313" spans="1:1" ht="18.75" x14ac:dyDescent="0.25">
      <c r="A1313" s="6"/>
    </row>
    <row r="1314" spans="1:1" ht="18.75" x14ac:dyDescent="0.25">
      <c r="A1314" s="6"/>
    </row>
    <row r="1315" spans="1:1" ht="18.75" x14ac:dyDescent="0.25">
      <c r="A1315" s="6"/>
    </row>
    <row r="1316" spans="1:1" ht="18.75" x14ac:dyDescent="0.25">
      <c r="A1316" s="6"/>
    </row>
    <row r="1317" spans="1:1" ht="18.75" x14ac:dyDescent="0.25">
      <c r="A1317" s="6"/>
    </row>
    <row r="1318" spans="1:1" ht="18.75" x14ac:dyDescent="0.25">
      <c r="A1318" s="6"/>
    </row>
    <row r="1319" spans="1:1" ht="18.75" x14ac:dyDescent="0.25">
      <c r="A1319" s="6"/>
    </row>
    <row r="1320" spans="1:1" ht="18.75" x14ac:dyDescent="0.25">
      <c r="A1320" s="6"/>
    </row>
    <row r="1321" spans="1:1" ht="18.75" x14ac:dyDescent="0.25">
      <c r="A1321" s="6"/>
    </row>
    <row r="1322" spans="1:1" ht="18.75" x14ac:dyDescent="0.25">
      <c r="A1322" s="6"/>
    </row>
    <row r="1323" spans="1:1" ht="18.75" x14ac:dyDescent="0.25">
      <c r="A1323" s="6"/>
    </row>
    <row r="1324" spans="1:1" ht="18.75" x14ac:dyDescent="0.25">
      <c r="A1324" s="6"/>
    </row>
    <row r="1325" spans="1:1" ht="18.75" x14ac:dyDescent="0.25">
      <c r="A1325" s="6"/>
    </row>
    <row r="1326" spans="1:1" ht="18.75" x14ac:dyDescent="0.25">
      <c r="A1326" s="6"/>
    </row>
    <row r="1327" spans="1:1" ht="18.75" x14ac:dyDescent="0.25">
      <c r="A1327" s="6"/>
    </row>
    <row r="1328" spans="1:1" ht="18.75" x14ac:dyDescent="0.25">
      <c r="A1328" s="6"/>
    </row>
    <row r="1329" spans="1:1" ht="18.75" x14ac:dyDescent="0.25">
      <c r="A1329" s="6"/>
    </row>
    <row r="1330" spans="1:1" ht="18.75" x14ac:dyDescent="0.25">
      <c r="A1330" s="6"/>
    </row>
    <row r="1331" spans="1:1" ht="18.75" x14ac:dyDescent="0.25">
      <c r="A1331" s="6"/>
    </row>
    <row r="1332" spans="1:1" ht="18.75" x14ac:dyDescent="0.25">
      <c r="A1332" s="6"/>
    </row>
    <row r="1333" spans="1:1" ht="18.75" x14ac:dyDescent="0.25">
      <c r="A1333" s="6"/>
    </row>
    <row r="1334" spans="1:1" ht="18.75" x14ac:dyDescent="0.25">
      <c r="A1334" s="6"/>
    </row>
    <row r="1335" spans="1:1" ht="18.75" x14ac:dyDescent="0.25">
      <c r="A1335" s="6"/>
    </row>
    <row r="1336" spans="1:1" ht="18.75" x14ac:dyDescent="0.25">
      <c r="A1336" s="6"/>
    </row>
    <row r="1337" spans="1:1" ht="18.75" x14ac:dyDescent="0.25">
      <c r="A1337" s="6"/>
    </row>
    <row r="1338" spans="1:1" ht="18.75" x14ac:dyDescent="0.25">
      <c r="A1338" s="6"/>
    </row>
    <row r="1339" spans="1:1" ht="18.75" x14ac:dyDescent="0.25">
      <c r="A1339" s="6"/>
    </row>
    <row r="1340" spans="1:1" ht="18.75" x14ac:dyDescent="0.25">
      <c r="A1340" s="6"/>
    </row>
    <row r="1341" spans="1:1" ht="18.75" x14ac:dyDescent="0.25">
      <c r="A1341" s="6"/>
    </row>
    <row r="1342" spans="1:1" ht="18.75" x14ac:dyDescent="0.25">
      <c r="A1342" s="6"/>
    </row>
    <row r="1343" spans="1:1" ht="18.75" x14ac:dyDescent="0.25">
      <c r="A1343" s="6"/>
    </row>
    <row r="1344" spans="1:1" ht="18.75" x14ac:dyDescent="0.25">
      <c r="A1344" s="6"/>
    </row>
    <row r="1345" spans="1:1" ht="18.75" x14ac:dyDescent="0.25">
      <c r="A1345" s="6"/>
    </row>
    <row r="1346" spans="1:1" ht="18.75" x14ac:dyDescent="0.25">
      <c r="A1346" s="6"/>
    </row>
    <row r="1347" spans="1:1" ht="18.75" x14ac:dyDescent="0.25">
      <c r="A1347" s="6"/>
    </row>
    <row r="1348" spans="1:1" ht="18.75" x14ac:dyDescent="0.25">
      <c r="A1348" s="6"/>
    </row>
    <row r="1349" spans="1:1" ht="18.75" x14ac:dyDescent="0.25">
      <c r="A1349" s="6"/>
    </row>
    <row r="1350" spans="1:1" ht="18.75" x14ac:dyDescent="0.25">
      <c r="A1350" s="6"/>
    </row>
    <row r="1351" spans="1:1" ht="18.75" x14ac:dyDescent="0.25">
      <c r="A1351" s="6"/>
    </row>
    <row r="1352" spans="1:1" ht="18.75" x14ac:dyDescent="0.25">
      <c r="A1352" s="6"/>
    </row>
    <row r="1353" spans="1:1" ht="18.75" x14ac:dyDescent="0.25">
      <c r="A1353" s="6"/>
    </row>
    <row r="1354" spans="1:1" ht="18.75" x14ac:dyDescent="0.25">
      <c r="A1354" s="6"/>
    </row>
    <row r="1355" spans="1:1" ht="18.75" x14ac:dyDescent="0.25">
      <c r="A1355" s="6"/>
    </row>
    <row r="1356" spans="1:1" ht="18.75" x14ac:dyDescent="0.25">
      <c r="A1356" s="6"/>
    </row>
    <row r="1357" spans="1:1" ht="18.75" x14ac:dyDescent="0.25">
      <c r="A1357" s="6"/>
    </row>
    <row r="1358" spans="1:1" ht="18.75" x14ac:dyDescent="0.25">
      <c r="A1358" s="6"/>
    </row>
    <row r="1359" spans="1:1" ht="18.75" x14ac:dyDescent="0.25">
      <c r="A1359" s="6"/>
    </row>
    <row r="1360" spans="1:1" ht="18.75" x14ac:dyDescent="0.25">
      <c r="A1360" s="6"/>
    </row>
    <row r="1361" spans="1:1" ht="18.75" x14ac:dyDescent="0.25">
      <c r="A1361" s="6"/>
    </row>
    <row r="1362" spans="1:1" ht="18.75" x14ac:dyDescent="0.25">
      <c r="A1362" s="6"/>
    </row>
    <row r="1363" spans="1:1" ht="18.75" x14ac:dyDescent="0.25">
      <c r="A1363" s="6"/>
    </row>
    <row r="1364" spans="1:1" ht="18.75" x14ac:dyDescent="0.25">
      <c r="A1364" s="6"/>
    </row>
    <row r="1365" spans="1:1" ht="18.75" x14ac:dyDescent="0.25">
      <c r="A1365" s="6"/>
    </row>
    <row r="1366" spans="1:1" ht="18.75" x14ac:dyDescent="0.25">
      <c r="A1366" s="6"/>
    </row>
    <row r="1367" spans="1:1" ht="18.75" x14ac:dyDescent="0.25">
      <c r="A1367" s="6"/>
    </row>
    <row r="1368" spans="1:1" ht="18.75" x14ac:dyDescent="0.25">
      <c r="A1368" s="6"/>
    </row>
    <row r="1369" spans="1:1" ht="18.75" x14ac:dyDescent="0.25">
      <c r="A1369" s="6"/>
    </row>
    <row r="1370" spans="1:1" ht="18.75" x14ac:dyDescent="0.25">
      <c r="A1370" s="6"/>
    </row>
    <row r="1371" spans="1:1" ht="18.75" x14ac:dyDescent="0.25">
      <c r="A1371" s="6"/>
    </row>
    <row r="1372" spans="1:1" ht="18.75" x14ac:dyDescent="0.25">
      <c r="A1372" s="6"/>
    </row>
    <row r="1373" spans="1:1" ht="18.75" x14ac:dyDescent="0.25">
      <c r="A1373" s="6"/>
    </row>
    <row r="1374" spans="1:1" ht="18.75" x14ac:dyDescent="0.25">
      <c r="A1374" s="6"/>
    </row>
    <row r="1375" spans="1:1" ht="18.75" x14ac:dyDescent="0.25">
      <c r="A1375" s="6"/>
    </row>
    <row r="1376" spans="1:1" ht="18.75" x14ac:dyDescent="0.25">
      <c r="A1376" s="6"/>
    </row>
    <row r="1377" spans="1:1" ht="18.75" x14ac:dyDescent="0.25">
      <c r="A1377" s="6"/>
    </row>
    <row r="1378" spans="1:1" ht="18.75" x14ac:dyDescent="0.25">
      <c r="A1378" s="6"/>
    </row>
    <row r="1379" spans="1:1" ht="18.75" x14ac:dyDescent="0.25">
      <c r="A1379" s="6"/>
    </row>
    <row r="1380" spans="1:1" ht="18.75" x14ac:dyDescent="0.25">
      <c r="A1380" s="6"/>
    </row>
    <row r="1381" spans="1:1" ht="18.75" x14ac:dyDescent="0.25">
      <c r="A1381" s="6"/>
    </row>
    <row r="1382" spans="1:1" ht="18.75" x14ac:dyDescent="0.25">
      <c r="A1382" s="6"/>
    </row>
    <row r="1383" spans="1:1" ht="18.75" x14ac:dyDescent="0.25">
      <c r="A1383" s="6"/>
    </row>
    <row r="1384" spans="1:1" ht="18.75" x14ac:dyDescent="0.25">
      <c r="A1384" s="6"/>
    </row>
    <row r="1385" spans="1:1" ht="18.75" x14ac:dyDescent="0.25">
      <c r="A1385" s="6"/>
    </row>
    <row r="1386" spans="1:1" ht="18.75" x14ac:dyDescent="0.25">
      <c r="A1386" s="6"/>
    </row>
    <row r="1387" spans="1:1" ht="18.75" x14ac:dyDescent="0.25">
      <c r="A1387" s="6"/>
    </row>
    <row r="1388" spans="1:1" ht="18.75" x14ac:dyDescent="0.25">
      <c r="A1388" s="6"/>
    </row>
    <row r="1389" spans="1:1" ht="18.75" x14ac:dyDescent="0.25">
      <c r="A1389" s="6"/>
    </row>
    <row r="1390" spans="1:1" ht="18.75" x14ac:dyDescent="0.25">
      <c r="A1390" s="6"/>
    </row>
    <row r="1391" spans="1:1" ht="18.75" x14ac:dyDescent="0.25">
      <c r="A1391" s="6"/>
    </row>
    <row r="1392" spans="1:1" ht="18.75" x14ac:dyDescent="0.25">
      <c r="A1392" s="6"/>
    </row>
    <row r="1393" spans="1:1" ht="18.75" x14ac:dyDescent="0.25">
      <c r="A1393" s="6"/>
    </row>
    <row r="1394" spans="1:1" ht="18.75" x14ac:dyDescent="0.25">
      <c r="A1394" s="6"/>
    </row>
    <row r="1395" spans="1:1" ht="18.75" x14ac:dyDescent="0.25">
      <c r="A1395" s="6"/>
    </row>
    <row r="1396" spans="1:1" ht="18.75" x14ac:dyDescent="0.25">
      <c r="A1396" s="6"/>
    </row>
    <row r="1397" spans="1:1" ht="18.75" x14ac:dyDescent="0.25">
      <c r="A1397" s="6"/>
    </row>
    <row r="1398" spans="1:1" ht="18.75" x14ac:dyDescent="0.25">
      <c r="A1398" s="6"/>
    </row>
    <row r="1399" spans="1:1" ht="18.75" x14ac:dyDescent="0.25">
      <c r="A1399" s="6"/>
    </row>
    <row r="1400" spans="1:1" ht="18.75" x14ac:dyDescent="0.25">
      <c r="A1400" s="6"/>
    </row>
    <row r="1401" spans="1:1" ht="18.75" x14ac:dyDescent="0.25">
      <c r="A1401" s="6"/>
    </row>
    <row r="1402" spans="1:1" ht="18.75" x14ac:dyDescent="0.25">
      <c r="A1402" s="6"/>
    </row>
    <row r="1403" spans="1:1" ht="18.75" x14ac:dyDescent="0.25">
      <c r="A1403" s="6"/>
    </row>
    <row r="1404" spans="1:1" ht="18.75" x14ac:dyDescent="0.25">
      <c r="A1404" s="6"/>
    </row>
    <row r="1405" spans="1:1" ht="18.75" x14ac:dyDescent="0.25">
      <c r="A1405" s="6"/>
    </row>
    <row r="1406" spans="1:1" ht="18.75" x14ac:dyDescent="0.25">
      <c r="A1406" s="6"/>
    </row>
    <row r="1407" spans="1:1" ht="18.75" x14ac:dyDescent="0.25">
      <c r="A1407" s="6"/>
    </row>
    <row r="1408" spans="1:1" ht="18.75" x14ac:dyDescent="0.25">
      <c r="A1408" s="6"/>
    </row>
    <row r="1409" spans="1:1" ht="18.75" x14ac:dyDescent="0.25">
      <c r="A1409" s="6"/>
    </row>
    <row r="1410" spans="1:1" ht="18.75" x14ac:dyDescent="0.25">
      <c r="A1410" s="6"/>
    </row>
    <row r="1411" spans="1:1" ht="18.75" x14ac:dyDescent="0.25">
      <c r="A1411" s="6"/>
    </row>
    <row r="1412" spans="1:1" ht="18.75" x14ac:dyDescent="0.25">
      <c r="A1412" s="6"/>
    </row>
    <row r="1413" spans="1:1" ht="18.75" x14ac:dyDescent="0.25">
      <c r="A1413" s="6"/>
    </row>
    <row r="1414" spans="1:1" ht="18.75" x14ac:dyDescent="0.25">
      <c r="A1414" s="6"/>
    </row>
    <row r="1415" spans="1:1" ht="18.75" x14ac:dyDescent="0.25">
      <c r="A1415" s="6"/>
    </row>
    <row r="1416" spans="1:1" ht="18.75" x14ac:dyDescent="0.25">
      <c r="A1416" s="6"/>
    </row>
    <row r="1417" spans="1:1" ht="18.75" x14ac:dyDescent="0.25">
      <c r="A1417" s="6"/>
    </row>
    <row r="1418" spans="1:1" ht="18.75" x14ac:dyDescent="0.25">
      <c r="A1418" s="6"/>
    </row>
    <row r="1419" spans="1:1" ht="18.75" x14ac:dyDescent="0.25">
      <c r="A1419" s="6"/>
    </row>
    <row r="1420" spans="1:1" ht="18.75" x14ac:dyDescent="0.25">
      <c r="A1420" s="6"/>
    </row>
    <row r="1421" spans="1:1" ht="18.75" x14ac:dyDescent="0.25">
      <c r="A1421" s="6"/>
    </row>
    <row r="1422" spans="1:1" ht="18.75" x14ac:dyDescent="0.25">
      <c r="A1422" s="6"/>
    </row>
    <row r="1423" spans="1:1" ht="18.75" x14ac:dyDescent="0.25">
      <c r="A1423" s="6"/>
    </row>
    <row r="1424" spans="1:1" ht="18.75" x14ac:dyDescent="0.25">
      <c r="A1424" s="6"/>
    </row>
    <row r="1425" spans="1:1" ht="18.75" x14ac:dyDescent="0.25">
      <c r="A1425" s="6"/>
    </row>
    <row r="1426" spans="1:1" ht="18.75" x14ac:dyDescent="0.25">
      <c r="A1426" s="6"/>
    </row>
    <row r="1427" spans="1:1" ht="18.75" x14ac:dyDescent="0.25">
      <c r="A1427" s="6"/>
    </row>
    <row r="1428" spans="1:1" ht="18.75" x14ac:dyDescent="0.25">
      <c r="A1428" s="6"/>
    </row>
    <row r="1429" spans="1:1" ht="18.75" x14ac:dyDescent="0.25">
      <c r="A1429" s="6"/>
    </row>
    <row r="1430" spans="1:1" ht="18.75" x14ac:dyDescent="0.25">
      <c r="A1430" s="6"/>
    </row>
    <row r="1431" spans="1:1" ht="18.75" x14ac:dyDescent="0.25">
      <c r="A1431" s="6"/>
    </row>
    <row r="1432" spans="1:1" ht="18.75" x14ac:dyDescent="0.25">
      <c r="A1432" s="6"/>
    </row>
    <row r="1433" spans="1:1" ht="18.75" x14ac:dyDescent="0.25">
      <c r="A1433" s="6"/>
    </row>
    <row r="1434" spans="1:1" ht="18.75" x14ac:dyDescent="0.25">
      <c r="A1434" s="6"/>
    </row>
    <row r="1435" spans="1:1" ht="18.75" x14ac:dyDescent="0.25">
      <c r="A1435" s="6"/>
    </row>
    <row r="1436" spans="1:1" ht="18.75" x14ac:dyDescent="0.25">
      <c r="A1436" s="6"/>
    </row>
    <row r="1437" spans="1:1" ht="18.75" x14ac:dyDescent="0.25">
      <c r="A1437" s="6"/>
    </row>
    <row r="1438" spans="1:1" ht="18.75" x14ac:dyDescent="0.25">
      <c r="A1438" s="6"/>
    </row>
    <row r="1439" spans="1:1" ht="18.75" x14ac:dyDescent="0.25">
      <c r="A1439" s="6"/>
    </row>
    <row r="1440" spans="1:1" ht="18.75" x14ac:dyDescent="0.25">
      <c r="A1440" s="6"/>
    </row>
    <row r="1441" spans="1:1" ht="18.75" x14ac:dyDescent="0.25">
      <c r="A1441" s="6"/>
    </row>
    <row r="1442" spans="1:1" ht="18.75" x14ac:dyDescent="0.25">
      <c r="A1442" s="6"/>
    </row>
    <row r="1443" spans="1:1" ht="18.75" x14ac:dyDescent="0.25">
      <c r="A1443" s="6"/>
    </row>
    <row r="1444" spans="1:1" ht="18.75" x14ac:dyDescent="0.25">
      <c r="A1444" s="6"/>
    </row>
    <row r="1445" spans="1:1" ht="18.75" x14ac:dyDescent="0.25">
      <c r="A1445" s="6"/>
    </row>
    <row r="1446" spans="1:1" ht="18.75" x14ac:dyDescent="0.25">
      <c r="A1446" s="6"/>
    </row>
    <row r="1447" spans="1:1" ht="18.75" x14ac:dyDescent="0.25">
      <c r="A1447" s="6"/>
    </row>
    <row r="1448" spans="1:1" ht="18.75" x14ac:dyDescent="0.25">
      <c r="A1448" s="6"/>
    </row>
    <row r="1449" spans="1:1" ht="18.75" x14ac:dyDescent="0.25">
      <c r="A1449" s="6"/>
    </row>
    <row r="1450" spans="1:1" ht="18.75" x14ac:dyDescent="0.25">
      <c r="A1450" s="6"/>
    </row>
    <row r="1451" spans="1:1" ht="18.75" x14ac:dyDescent="0.25">
      <c r="A1451" s="6"/>
    </row>
    <row r="1452" spans="1:1" ht="18.75" x14ac:dyDescent="0.25">
      <c r="A1452" s="6"/>
    </row>
    <row r="1453" spans="1:1" ht="18.75" x14ac:dyDescent="0.25">
      <c r="A1453" s="6"/>
    </row>
    <row r="1454" spans="1:1" ht="18.75" x14ac:dyDescent="0.25">
      <c r="A1454" s="6"/>
    </row>
    <row r="1455" spans="1:1" ht="18.75" x14ac:dyDescent="0.25">
      <c r="A1455" s="6"/>
    </row>
    <row r="1456" spans="1:1" ht="18.75" x14ac:dyDescent="0.25">
      <c r="A1456" s="6"/>
    </row>
    <row r="1457" spans="1:1" ht="18.75" x14ac:dyDescent="0.25">
      <c r="A1457" s="6"/>
    </row>
    <row r="1458" spans="1:1" ht="18.75" x14ac:dyDescent="0.25">
      <c r="A1458" s="6"/>
    </row>
    <row r="1459" spans="1:1" ht="18.75" x14ac:dyDescent="0.25">
      <c r="A1459" s="6"/>
    </row>
    <row r="1460" spans="1:1" ht="18.75" x14ac:dyDescent="0.25">
      <c r="A1460" s="6"/>
    </row>
    <row r="1461" spans="1:1" ht="18.75" x14ac:dyDescent="0.25">
      <c r="A1461" s="6"/>
    </row>
    <row r="1462" spans="1:1" ht="18.75" x14ac:dyDescent="0.25">
      <c r="A1462" s="6"/>
    </row>
    <row r="1463" spans="1:1" ht="18.75" x14ac:dyDescent="0.25">
      <c r="A1463" s="6"/>
    </row>
    <row r="1464" spans="1:1" ht="18.75" x14ac:dyDescent="0.25">
      <c r="A1464" s="6"/>
    </row>
    <row r="1465" spans="1:1" ht="18.75" x14ac:dyDescent="0.25">
      <c r="A1465" s="6"/>
    </row>
    <row r="1466" spans="1:1" ht="18.75" x14ac:dyDescent="0.25">
      <c r="A1466" s="6"/>
    </row>
    <row r="1467" spans="1:1" ht="18.75" x14ac:dyDescent="0.25">
      <c r="A1467" s="6"/>
    </row>
    <row r="1468" spans="1:1" ht="18.75" x14ac:dyDescent="0.25">
      <c r="A1468" s="6"/>
    </row>
    <row r="1469" spans="1:1" ht="18.75" x14ac:dyDescent="0.25">
      <c r="A1469" s="6"/>
    </row>
    <row r="1470" spans="1:1" ht="18.75" x14ac:dyDescent="0.25">
      <c r="A1470" s="6"/>
    </row>
    <row r="1471" spans="1:1" ht="18.75" x14ac:dyDescent="0.25">
      <c r="A1471" s="6"/>
    </row>
    <row r="1472" spans="1:1" ht="18.75" x14ac:dyDescent="0.25">
      <c r="A1472" s="6"/>
    </row>
    <row r="1473" spans="1:1" ht="18.75" x14ac:dyDescent="0.25">
      <c r="A1473" s="6"/>
    </row>
    <row r="1474" spans="1:1" ht="18.75" x14ac:dyDescent="0.25">
      <c r="A1474" s="6"/>
    </row>
    <row r="1475" spans="1:1" ht="18.75" x14ac:dyDescent="0.25">
      <c r="A1475" s="6"/>
    </row>
    <row r="1476" spans="1:1" ht="18.75" x14ac:dyDescent="0.25">
      <c r="A1476" s="6"/>
    </row>
    <row r="1477" spans="1:1" ht="18.75" x14ac:dyDescent="0.25">
      <c r="A1477" s="6"/>
    </row>
    <row r="1478" spans="1:1" ht="18.75" x14ac:dyDescent="0.25">
      <c r="A1478" s="6"/>
    </row>
    <row r="1479" spans="1:1" ht="18.75" x14ac:dyDescent="0.25">
      <c r="A1479" s="6"/>
    </row>
    <row r="1480" spans="1:1" ht="18.75" x14ac:dyDescent="0.25">
      <c r="A1480" s="6"/>
    </row>
    <row r="1481" spans="1:1" ht="18.75" x14ac:dyDescent="0.25">
      <c r="A1481" s="6"/>
    </row>
    <row r="1482" spans="1:1" ht="18.75" x14ac:dyDescent="0.25">
      <c r="A1482" s="6"/>
    </row>
    <row r="1483" spans="1:1" ht="18.75" x14ac:dyDescent="0.25">
      <c r="A1483" s="6"/>
    </row>
    <row r="1484" spans="1:1" ht="18.75" x14ac:dyDescent="0.25">
      <c r="A1484" s="6"/>
    </row>
    <row r="1485" spans="1:1" ht="18.75" x14ac:dyDescent="0.25">
      <c r="A1485" s="6"/>
    </row>
    <row r="1486" spans="1:1" ht="18.75" x14ac:dyDescent="0.25">
      <c r="A1486" s="6"/>
    </row>
    <row r="1487" spans="1:1" ht="18.75" x14ac:dyDescent="0.25">
      <c r="A1487" s="6"/>
    </row>
    <row r="1488" spans="1:1" ht="18.75" x14ac:dyDescent="0.25">
      <c r="A1488" s="6"/>
    </row>
    <row r="1489" spans="1:1" ht="18.75" x14ac:dyDescent="0.25">
      <c r="A1489" s="6"/>
    </row>
    <row r="1490" spans="1:1" ht="18.75" x14ac:dyDescent="0.25">
      <c r="A1490" s="6"/>
    </row>
    <row r="1491" spans="1:1" ht="18.75" x14ac:dyDescent="0.25">
      <c r="A1491" s="6"/>
    </row>
    <row r="1492" spans="1:1" ht="18.75" x14ac:dyDescent="0.25">
      <c r="A1492" s="6"/>
    </row>
    <row r="1493" spans="1:1" ht="18.75" x14ac:dyDescent="0.25">
      <c r="A1493" s="6"/>
    </row>
    <row r="1494" spans="1:1" ht="18.75" x14ac:dyDescent="0.25">
      <c r="A1494" s="6"/>
    </row>
    <row r="1495" spans="1:1" ht="18.75" x14ac:dyDescent="0.25">
      <c r="A1495" s="6"/>
    </row>
    <row r="1496" spans="1:1" ht="18.75" x14ac:dyDescent="0.25">
      <c r="A1496" s="6"/>
    </row>
    <row r="1497" spans="1:1" ht="18.75" x14ac:dyDescent="0.25">
      <c r="A1497" s="6"/>
    </row>
    <row r="1498" spans="1:1" ht="18.75" x14ac:dyDescent="0.25">
      <c r="A1498" s="6"/>
    </row>
    <row r="1499" spans="1:1" ht="18.75" x14ac:dyDescent="0.25">
      <c r="A1499" s="6"/>
    </row>
    <row r="1500" spans="1:1" ht="18.75" x14ac:dyDescent="0.25">
      <c r="A1500" s="6"/>
    </row>
    <row r="1501" spans="1:1" ht="18.75" x14ac:dyDescent="0.25">
      <c r="A1501" s="6"/>
    </row>
    <row r="1502" spans="1:1" ht="18.75" x14ac:dyDescent="0.25">
      <c r="A1502" s="6"/>
    </row>
    <row r="1503" spans="1:1" ht="18.75" x14ac:dyDescent="0.25">
      <c r="A1503" s="6"/>
    </row>
    <row r="1504" spans="1:1" ht="18.75" x14ac:dyDescent="0.25">
      <c r="A1504" s="6"/>
    </row>
    <row r="1505" spans="1:1" ht="18.75" x14ac:dyDescent="0.25">
      <c r="A1505" s="6"/>
    </row>
    <row r="1506" spans="1:1" ht="18.75" x14ac:dyDescent="0.25">
      <c r="A1506" s="6"/>
    </row>
    <row r="1507" spans="1:1" ht="18.75" x14ac:dyDescent="0.25">
      <c r="A1507" s="6"/>
    </row>
    <row r="1508" spans="1:1" ht="18.75" x14ac:dyDescent="0.25">
      <c r="A1508" s="6"/>
    </row>
    <row r="1509" spans="1:1" ht="18.75" x14ac:dyDescent="0.25">
      <c r="A1509" s="6"/>
    </row>
    <row r="1510" spans="1:1" ht="18.75" x14ac:dyDescent="0.25">
      <c r="A1510" s="6"/>
    </row>
    <row r="1511" spans="1:1" ht="18.75" x14ac:dyDescent="0.25">
      <c r="A1511" s="6"/>
    </row>
    <row r="1512" spans="1:1" ht="18.75" x14ac:dyDescent="0.25">
      <c r="A1512" s="6"/>
    </row>
    <row r="1513" spans="1:1" ht="18.75" x14ac:dyDescent="0.25">
      <c r="A1513" s="6"/>
    </row>
    <row r="1514" spans="1:1" ht="18.75" x14ac:dyDescent="0.25">
      <c r="A1514" s="6"/>
    </row>
    <row r="1515" spans="1:1" ht="18.75" x14ac:dyDescent="0.25">
      <c r="A1515" s="6"/>
    </row>
    <row r="1516" spans="1:1" ht="18.75" x14ac:dyDescent="0.25">
      <c r="A1516" s="6"/>
    </row>
    <row r="1517" spans="1:1" ht="18.75" x14ac:dyDescent="0.25">
      <c r="A1517" s="6"/>
    </row>
    <row r="1518" spans="1:1" ht="18.75" x14ac:dyDescent="0.25">
      <c r="A1518" s="6"/>
    </row>
    <row r="1519" spans="1:1" ht="18.75" x14ac:dyDescent="0.25">
      <c r="A1519" s="6"/>
    </row>
    <row r="1520" spans="1:1" ht="18.75" x14ac:dyDescent="0.25">
      <c r="A1520" s="6"/>
    </row>
    <row r="1521" spans="1:1" ht="18.75" x14ac:dyDescent="0.25">
      <c r="A1521" s="6"/>
    </row>
    <row r="1522" spans="1:1" ht="18.75" x14ac:dyDescent="0.25">
      <c r="A1522" s="6"/>
    </row>
    <row r="1523" spans="1:1" ht="18.75" x14ac:dyDescent="0.25">
      <c r="A1523" s="6"/>
    </row>
    <row r="1524" spans="1:1" ht="18.75" x14ac:dyDescent="0.25">
      <c r="A1524" s="6"/>
    </row>
    <row r="1525" spans="1:1" ht="18.75" x14ac:dyDescent="0.25">
      <c r="A1525" s="6"/>
    </row>
    <row r="1526" spans="1:1" ht="18.75" x14ac:dyDescent="0.25">
      <c r="A1526" s="6"/>
    </row>
    <row r="1527" spans="1:1" ht="18.75" x14ac:dyDescent="0.25">
      <c r="A1527" s="6"/>
    </row>
    <row r="1528" spans="1:1" ht="18.75" x14ac:dyDescent="0.25">
      <c r="A1528" s="6"/>
    </row>
    <row r="1529" spans="1:1" ht="18.75" x14ac:dyDescent="0.25">
      <c r="A1529" s="6"/>
    </row>
    <row r="1530" spans="1:1" ht="18.75" x14ac:dyDescent="0.25">
      <c r="A1530" s="6"/>
    </row>
    <row r="1531" spans="1:1" ht="18.75" x14ac:dyDescent="0.25">
      <c r="A1531" s="6"/>
    </row>
    <row r="1532" spans="1:1" ht="18.75" x14ac:dyDescent="0.25">
      <c r="A1532" s="6"/>
    </row>
    <row r="1533" spans="1:1" ht="18.75" x14ac:dyDescent="0.25">
      <c r="A1533" s="6"/>
    </row>
    <row r="1534" spans="1:1" ht="18.75" x14ac:dyDescent="0.25">
      <c r="A1534" s="6"/>
    </row>
    <row r="1535" spans="1:1" ht="18.75" x14ac:dyDescent="0.25">
      <c r="A1535" s="6"/>
    </row>
    <row r="1536" spans="1:1" ht="18.75" x14ac:dyDescent="0.25">
      <c r="A1536" s="6"/>
    </row>
    <row r="1537" spans="1:1" ht="18.75" x14ac:dyDescent="0.25">
      <c r="A1537" s="6"/>
    </row>
    <row r="1538" spans="1:1" ht="18.75" x14ac:dyDescent="0.25">
      <c r="A1538" s="6"/>
    </row>
    <row r="1539" spans="1:1" ht="18.75" x14ac:dyDescent="0.25">
      <c r="A1539" s="6"/>
    </row>
    <row r="1540" spans="1:1" ht="18.75" x14ac:dyDescent="0.25">
      <c r="A1540" s="6"/>
    </row>
    <row r="1541" spans="1:1" ht="18.75" x14ac:dyDescent="0.25">
      <c r="A1541" s="6"/>
    </row>
    <row r="1542" spans="1:1" ht="18.75" x14ac:dyDescent="0.25">
      <c r="A1542" s="6"/>
    </row>
    <row r="1543" spans="1:1" ht="18.75" x14ac:dyDescent="0.25">
      <c r="A1543" s="6"/>
    </row>
    <row r="1544" spans="1:1" ht="18.75" x14ac:dyDescent="0.25">
      <c r="A1544" s="6"/>
    </row>
    <row r="1545" spans="1:1" ht="18.75" x14ac:dyDescent="0.25">
      <c r="A1545" s="6"/>
    </row>
    <row r="1546" spans="1:1" ht="18.75" x14ac:dyDescent="0.25">
      <c r="A1546" s="6"/>
    </row>
    <row r="1547" spans="1:1" ht="18.75" x14ac:dyDescent="0.25">
      <c r="A1547" s="6"/>
    </row>
    <row r="1548" spans="1:1" ht="18.75" x14ac:dyDescent="0.25">
      <c r="A1548" s="6"/>
    </row>
    <row r="1549" spans="1:1" ht="18.75" x14ac:dyDescent="0.25">
      <c r="A1549" s="6"/>
    </row>
    <row r="1550" spans="1:1" ht="18.75" x14ac:dyDescent="0.25">
      <c r="A1550" s="6"/>
    </row>
    <row r="1551" spans="1:1" ht="18.75" x14ac:dyDescent="0.25">
      <c r="A1551" s="6"/>
    </row>
    <row r="1552" spans="1:1" ht="18.75" x14ac:dyDescent="0.25">
      <c r="A1552" s="6"/>
    </row>
    <row r="1553" spans="1:1" ht="18.75" x14ac:dyDescent="0.25">
      <c r="A1553" s="6"/>
    </row>
    <row r="1554" spans="1:1" ht="18.75" x14ac:dyDescent="0.25">
      <c r="A1554" s="6"/>
    </row>
    <row r="1555" spans="1:1" ht="18.75" x14ac:dyDescent="0.25">
      <c r="A1555" s="6"/>
    </row>
    <row r="1556" spans="1:1" ht="18.75" x14ac:dyDescent="0.25">
      <c r="A1556" s="6"/>
    </row>
    <row r="1557" spans="1:1" ht="18.75" x14ac:dyDescent="0.25">
      <c r="A1557" s="6"/>
    </row>
    <row r="1558" spans="1:1" ht="18.75" x14ac:dyDescent="0.25">
      <c r="A1558" s="6"/>
    </row>
    <row r="1559" spans="1:1" ht="18.75" x14ac:dyDescent="0.25">
      <c r="A1559" s="6"/>
    </row>
    <row r="1560" spans="1:1" ht="18.75" x14ac:dyDescent="0.25">
      <c r="A1560" s="6"/>
    </row>
    <row r="1561" spans="1:1" ht="18.75" x14ac:dyDescent="0.25">
      <c r="A1561" s="6"/>
    </row>
    <row r="1562" spans="1:1" ht="18.75" x14ac:dyDescent="0.25">
      <c r="A1562" s="6"/>
    </row>
    <row r="1563" spans="1:1" ht="18.75" x14ac:dyDescent="0.25">
      <c r="A1563" s="6"/>
    </row>
    <row r="1564" spans="1:1" ht="18.75" x14ac:dyDescent="0.25">
      <c r="A1564" s="6"/>
    </row>
    <row r="1565" spans="1:1" ht="18.75" x14ac:dyDescent="0.25">
      <c r="A1565" s="6"/>
    </row>
    <row r="1566" spans="1:1" ht="18.75" x14ac:dyDescent="0.25">
      <c r="A1566" s="6"/>
    </row>
    <row r="1567" spans="1:1" ht="18.75" x14ac:dyDescent="0.25">
      <c r="A1567" s="6"/>
    </row>
    <row r="1568" spans="1:1" ht="18.75" x14ac:dyDescent="0.25">
      <c r="A1568" s="6"/>
    </row>
    <row r="1569" spans="1:1" ht="18.75" x14ac:dyDescent="0.25">
      <c r="A1569" s="6"/>
    </row>
    <row r="1570" spans="1:1" ht="18.75" x14ac:dyDescent="0.25">
      <c r="A1570" s="6"/>
    </row>
    <row r="1571" spans="1:1" ht="18.75" x14ac:dyDescent="0.25">
      <c r="A1571" s="6"/>
    </row>
    <row r="1572" spans="1:1" ht="18.75" x14ac:dyDescent="0.25">
      <c r="A1572" s="6"/>
    </row>
    <row r="1573" spans="1:1" ht="18.75" x14ac:dyDescent="0.25">
      <c r="A1573" s="6"/>
    </row>
    <row r="1574" spans="1:1" ht="18.75" x14ac:dyDescent="0.25">
      <c r="A1574" s="6"/>
    </row>
    <row r="1575" spans="1:1" ht="18.75" x14ac:dyDescent="0.25">
      <c r="A1575" s="6"/>
    </row>
    <row r="1576" spans="1:1" ht="18.75" x14ac:dyDescent="0.25">
      <c r="A1576" s="6"/>
    </row>
    <row r="1577" spans="1:1" ht="18.75" x14ac:dyDescent="0.25">
      <c r="A1577" s="6"/>
    </row>
    <row r="1578" spans="1:1" ht="18.75" x14ac:dyDescent="0.25">
      <c r="A1578" s="6"/>
    </row>
    <row r="1579" spans="1:1" ht="18.75" x14ac:dyDescent="0.25">
      <c r="A1579" s="6"/>
    </row>
    <row r="1580" spans="1:1" ht="18.75" x14ac:dyDescent="0.25">
      <c r="A1580" s="6"/>
    </row>
    <row r="1581" spans="1:1" ht="18.75" x14ac:dyDescent="0.25">
      <c r="A1581" s="6"/>
    </row>
    <row r="1582" spans="1:1" ht="18.75" x14ac:dyDescent="0.25">
      <c r="A1582" s="6"/>
    </row>
    <row r="1583" spans="1:1" ht="18.75" x14ac:dyDescent="0.25">
      <c r="A1583" s="6"/>
    </row>
    <row r="1584" spans="1:1" ht="18.75" x14ac:dyDescent="0.25">
      <c r="A1584" s="6"/>
    </row>
    <row r="1585" spans="1:1" ht="18.75" x14ac:dyDescent="0.25">
      <c r="A1585" s="6"/>
    </row>
    <row r="1586" spans="1:1" ht="18.75" x14ac:dyDescent="0.25">
      <c r="A1586" s="6"/>
    </row>
    <row r="1587" spans="1:1" ht="18.75" x14ac:dyDescent="0.25">
      <c r="A1587" s="6"/>
    </row>
    <row r="1588" spans="1:1" ht="18.75" x14ac:dyDescent="0.25">
      <c r="A1588" s="6"/>
    </row>
    <row r="1589" spans="1:1" ht="18.75" x14ac:dyDescent="0.25">
      <c r="A1589" s="6"/>
    </row>
    <row r="1590" spans="1:1" ht="18.75" x14ac:dyDescent="0.25">
      <c r="A1590" s="6"/>
    </row>
    <row r="1591" spans="1:1" ht="18.75" x14ac:dyDescent="0.25">
      <c r="A1591" s="6"/>
    </row>
    <row r="1592" spans="1:1" ht="18.75" x14ac:dyDescent="0.25">
      <c r="A1592" s="6"/>
    </row>
    <row r="1593" spans="1:1" ht="18.75" x14ac:dyDescent="0.25">
      <c r="A1593" s="6"/>
    </row>
    <row r="1594" spans="1:1" ht="18.75" x14ac:dyDescent="0.25">
      <c r="A1594" s="6"/>
    </row>
    <row r="1595" spans="1:1" ht="18.75" x14ac:dyDescent="0.25">
      <c r="A1595" s="6"/>
    </row>
    <row r="1596" spans="1:1" ht="18.75" x14ac:dyDescent="0.25">
      <c r="A1596" s="6"/>
    </row>
    <row r="1597" spans="1:1" ht="18.75" x14ac:dyDescent="0.25">
      <c r="A1597" s="6"/>
    </row>
    <row r="1598" spans="1:1" ht="18.75" x14ac:dyDescent="0.25">
      <c r="A1598" s="6"/>
    </row>
    <row r="1599" spans="1:1" ht="18.75" x14ac:dyDescent="0.25">
      <c r="A1599" s="6"/>
    </row>
    <row r="1600" spans="1:1" ht="18.75" x14ac:dyDescent="0.25">
      <c r="A1600" s="6"/>
    </row>
    <row r="1601" spans="1:1" ht="18.75" x14ac:dyDescent="0.25">
      <c r="A1601" s="6"/>
    </row>
    <row r="1602" spans="1:1" ht="18.75" x14ac:dyDescent="0.25">
      <c r="A1602" s="6"/>
    </row>
    <row r="1603" spans="1:1" ht="18.75" x14ac:dyDescent="0.25">
      <c r="A1603" s="6"/>
    </row>
    <row r="1604" spans="1:1" ht="18.75" x14ac:dyDescent="0.25">
      <c r="A1604" s="6"/>
    </row>
    <row r="1605" spans="1:1" ht="18.75" x14ac:dyDescent="0.25">
      <c r="A1605" s="6"/>
    </row>
    <row r="1606" spans="1:1" ht="18.75" x14ac:dyDescent="0.25">
      <c r="A1606" s="6"/>
    </row>
    <row r="1607" spans="1:1" ht="18.75" x14ac:dyDescent="0.25">
      <c r="A1607" s="6"/>
    </row>
    <row r="1608" spans="1:1" ht="18.75" x14ac:dyDescent="0.25">
      <c r="A1608" s="6"/>
    </row>
    <row r="1609" spans="1:1" ht="18.75" x14ac:dyDescent="0.25">
      <c r="A1609" s="6"/>
    </row>
    <row r="1610" spans="1:1" ht="18.75" x14ac:dyDescent="0.25">
      <c r="A1610" s="6"/>
    </row>
    <row r="1611" spans="1:1" ht="18.75" x14ac:dyDescent="0.25">
      <c r="A1611" s="6"/>
    </row>
    <row r="1612" spans="1:1" ht="18.75" x14ac:dyDescent="0.25">
      <c r="A1612" s="6"/>
    </row>
    <row r="1613" spans="1:1" ht="18.75" x14ac:dyDescent="0.25">
      <c r="A1613" s="6"/>
    </row>
    <row r="1614" spans="1:1" ht="18.75" x14ac:dyDescent="0.25">
      <c r="A1614" s="6"/>
    </row>
    <row r="1615" spans="1:1" ht="18.75" x14ac:dyDescent="0.25">
      <c r="A1615" s="6"/>
    </row>
    <row r="1616" spans="1:1" ht="18.75" x14ac:dyDescent="0.25">
      <c r="A1616" s="6"/>
    </row>
    <row r="1617" spans="1:1" ht="18.75" x14ac:dyDescent="0.25">
      <c r="A1617" s="6"/>
    </row>
    <row r="1618" spans="1:1" ht="18.75" x14ac:dyDescent="0.25">
      <c r="A1618" s="6"/>
    </row>
    <row r="1619" spans="1:1" ht="18.75" x14ac:dyDescent="0.25">
      <c r="A1619" s="6"/>
    </row>
    <row r="1620" spans="1:1" ht="18.75" x14ac:dyDescent="0.25">
      <c r="A1620" s="6"/>
    </row>
    <row r="1621" spans="1:1" ht="18.75" x14ac:dyDescent="0.25">
      <c r="A1621" s="6"/>
    </row>
    <row r="1622" spans="1:1" ht="18.75" x14ac:dyDescent="0.25">
      <c r="A1622" s="6"/>
    </row>
    <row r="1623" spans="1:1" ht="18.75" x14ac:dyDescent="0.25">
      <c r="A1623" s="6"/>
    </row>
    <row r="1624" spans="1:1" ht="18.75" x14ac:dyDescent="0.25">
      <c r="A1624" s="6"/>
    </row>
    <row r="1625" spans="1:1" ht="18.75" x14ac:dyDescent="0.25">
      <c r="A1625" s="6"/>
    </row>
    <row r="1626" spans="1:1" ht="18.75" x14ac:dyDescent="0.25">
      <c r="A1626" s="6"/>
    </row>
    <row r="1627" spans="1:1" ht="18.75" x14ac:dyDescent="0.25">
      <c r="A1627" s="6"/>
    </row>
    <row r="1628" spans="1:1" ht="18.75" x14ac:dyDescent="0.25">
      <c r="A1628" s="6"/>
    </row>
    <row r="1629" spans="1:1" ht="18.75" x14ac:dyDescent="0.25">
      <c r="A1629" s="6"/>
    </row>
    <row r="1630" spans="1:1" ht="18.75" x14ac:dyDescent="0.25">
      <c r="A1630" s="6"/>
    </row>
    <row r="1631" spans="1:1" ht="18.75" x14ac:dyDescent="0.25">
      <c r="A1631" s="6"/>
    </row>
    <row r="1632" spans="1:1" ht="18.75" x14ac:dyDescent="0.25">
      <c r="A1632" s="6"/>
    </row>
    <row r="1633" spans="1:1" ht="18.75" x14ac:dyDescent="0.25">
      <c r="A1633" s="6"/>
    </row>
    <row r="1634" spans="1:1" ht="18.75" x14ac:dyDescent="0.25">
      <c r="A1634" s="6"/>
    </row>
    <row r="1635" spans="1:1" ht="18.75" x14ac:dyDescent="0.25">
      <c r="A1635" s="6"/>
    </row>
    <row r="1636" spans="1:1" ht="18.75" x14ac:dyDescent="0.25">
      <c r="A1636" s="6"/>
    </row>
    <row r="1637" spans="1:1" ht="18.75" x14ac:dyDescent="0.25">
      <c r="A1637" s="6"/>
    </row>
    <row r="1638" spans="1:1" ht="18.75" x14ac:dyDescent="0.25">
      <c r="A1638" s="6"/>
    </row>
    <row r="1639" spans="1:1" ht="18.75" x14ac:dyDescent="0.25">
      <c r="A1639" s="6"/>
    </row>
    <row r="1640" spans="1:1" ht="18.75" x14ac:dyDescent="0.25">
      <c r="A1640" s="6"/>
    </row>
    <row r="1641" spans="1:1" ht="18.75" x14ac:dyDescent="0.25">
      <c r="A1641" s="6"/>
    </row>
    <row r="1642" spans="1:1" ht="18.75" x14ac:dyDescent="0.25">
      <c r="A1642" s="6"/>
    </row>
    <row r="1643" spans="1:1" ht="18.75" x14ac:dyDescent="0.25">
      <c r="A1643" s="6"/>
    </row>
    <row r="1644" spans="1:1" ht="18.75" x14ac:dyDescent="0.25">
      <c r="A1644" s="6"/>
    </row>
    <row r="1645" spans="1:1" ht="18.75" x14ac:dyDescent="0.25">
      <c r="A1645" s="6"/>
    </row>
    <row r="1646" spans="1:1" ht="18.75" x14ac:dyDescent="0.25">
      <c r="A1646" s="6"/>
    </row>
    <row r="1647" spans="1:1" ht="18.75" x14ac:dyDescent="0.25">
      <c r="A1647" s="6"/>
    </row>
    <row r="1648" spans="1:1" ht="18.75" x14ac:dyDescent="0.25">
      <c r="A1648" s="6"/>
    </row>
    <row r="1649" spans="1:1" ht="18.75" x14ac:dyDescent="0.25">
      <c r="A1649" s="6"/>
    </row>
    <row r="1650" spans="1:1" ht="18.75" x14ac:dyDescent="0.25">
      <c r="A1650" s="6"/>
    </row>
    <row r="1651" spans="1:1" ht="18.75" x14ac:dyDescent="0.25">
      <c r="A1651" s="6"/>
    </row>
    <row r="1652" spans="1:1" ht="18.75" x14ac:dyDescent="0.25">
      <c r="A1652" s="6"/>
    </row>
    <row r="1653" spans="1:1" ht="18.75" x14ac:dyDescent="0.25">
      <c r="A1653" s="6"/>
    </row>
    <row r="1654" spans="1:1" ht="18.75" x14ac:dyDescent="0.25">
      <c r="A1654" s="6"/>
    </row>
    <row r="1655" spans="1:1" ht="18.75" x14ac:dyDescent="0.25">
      <c r="A1655" s="6"/>
    </row>
    <row r="1656" spans="1:1" ht="18.75" x14ac:dyDescent="0.25">
      <c r="A1656" s="6"/>
    </row>
    <row r="1657" spans="1:1" ht="18.75" x14ac:dyDescent="0.25">
      <c r="A1657" s="6"/>
    </row>
    <row r="1658" spans="1:1" ht="18.75" x14ac:dyDescent="0.25">
      <c r="A1658" s="6"/>
    </row>
    <row r="1659" spans="1:1" ht="18.75" x14ac:dyDescent="0.25">
      <c r="A1659" s="6"/>
    </row>
    <row r="1660" spans="1:1" ht="18.75" x14ac:dyDescent="0.25">
      <c r="A1660" s="6"/>
    </row>
    <row r="1661" spans="1:1" ht="18.75" x14ac:dyDescent="0.25">
      <c r="A1661" s="6"/>
    </row>
    <row r="1662" spans="1:1" ht="18.75" x14ac:dyDescent="0.25">
      <c r="A1662" s="6"/>
    </row>
    <row r="1663" spans="1:1" ht="18.75" x14ac:dyDescent="0.25">
      <c r="A1663" s="6"/>
    </row>
    <row r="1664" spans="1:1" ht="18.75" x14ac:dyDescent="0.25">
      <c r="A1664" s="6"/>
    </row>
    <row r="1665" spans="1:1" ht="18.75" x14ac:dyDescent="0.25">
      <c r="A1665" s="6"/>
    </row>
    <row r="1666" spans="1:1" ht="18.75" x14ac:dyDescent="0.25">
      <c r="A1666" s="6"/>
    </row>
    <row r="1667" spans="1:1" ht="18.75" x14ac:dyDescent="0.25">
      <c r="A1667" s="6"/>
    </row>
    <row r="1668" spans="1:1" ht="18.75" x14ac:dyDescent="0.25">
      <c r="A1668" s="6"/>
    </row>
    <row r="1669" spans="1:1" ht="18.75" x14ac:dyDescent="0.25">
      <c r="A1669" s="6"/>
    </row>
    <row r="1670" spans="1:1" ht="18.75" x14ac:dyDescent="0.25">
      <c r="A1670" s="6"/>
    </row>
    <row r="1671" spans="1:1" ht="18.75" x14ac:dyDescent="0.25">
      <c r="A1671" s="6"/>
    </row>
    <row r="1672" spans="1:1" ht="18.75" x14ac:dyDescent="0.25">
      <c r="A1672" s="6"/>
    </row>
    <row r="1673" spans="1:1" ht="18.75" x14ac:dyDescent="0.25">
      <c r="A1673" s="6"/>
    </row>
    <row r="1674" spans="1:1" ht="18.75" x14ac:dyDescent="0.25">
      <c r="A1674" s="6"/>
    </row>
    <row r="1675" spans="1:1" ht="18.75" x14ac:dyDescent="0.25">
      <c r="A1675" s="6"/>
    </row>
    <row r="1676" spans="1:1" ht="18.75" x14ac:dyDescent="0.25">
      <c r="A1676" s="6"/>
    </row>
    <row r="1677" spans="1:1" ht="18.75" x14ac:dyDescent="0.25">
      <c r="A1677" s="6"/>
    </row>
    <row r="1678" spans="1:1" ht="18.75" x14ac:dyDescent="0.25">
      <c r="A1678" s="6"/>
    </row>
    <row r="1679" spans="1:1" ht="18.75" x14ac:dyDescent="0.25">
      <c r="A1679" s="6"/>
    </row>
    <row r="1680" spans="1:1" ht="18.75" x14ac:dyDescent="0.25">
      <c r="A1680" s="6"/>
    </row>
    <row r="1681" spans="1:1" ht="18.75" x14ac:dyDescent="0.25">
      <c r="A1681" s="6"/>
    </row>
    <row r="1682" spans="1:1" ht="18.75" x14ac:dyDescent="0.25">
      <c r="A1682" s="6"/>
    </row>
    <row r="1683" spans="1:1" ht="18.75" x14ac:dyDescent="0.25">
      <c r="A1683" s="6"/>
    </row>
    <row r="1684" spans="1:1" ht="18.75" x14ac:dyDescent="0.25">
      <c r="A1684" s="6"/>
    </row>
    <row r="1685" spans="1:1" ht="18.75" x14ac:dyDescent="0.25">
      <c r="A1685" s="6"/>
    </row>
    <row r="1686" spans="1:1" ht="18.75" x14ac:dyDescent="0.25">
      <c r="A1686" s="6"/>
    </row>
    <row r="1687" spans="1:1" ht="18.75" x14ac:dyDescent="0.25">
      <c r="A1687" s="6"/>
    </row>
    <row r="1688" spans="1:1" ht="18.75" x14ac:dyDescent="0.25">
      <c r="A1688" s="6"/>
    </row>
    <row r="1689" spans="1:1" ht="18.75" x14ac:dyDescent="0.25">
      <c r="A1689" s="6"/>
    </row>
    <row r="1690" spans="1:1" ht="18.75" x14ac:dyDescent="0.25">
      <c r="A1690" s="6"/>
    </row>
    <row r="1691" spans="1:1" ht="18.75" x14ac:dyDescent="0.25">
      <c r="A1691" s="6"/>
    </row>
    <row r="1692" spans="1:1" ht="18.75" x14ac:dyDescent="0.25">
      <c r="A1692" s="6"/>
    </row>
    <row r="1693" spans="1:1" ht="18.75" x14ac:dyDescent="0.25">
      <c r="A1693" s="6"/>
    </row>
    <row r="1694" spans="1:1" ht="18.75" x14ac:dyDescent="0.25">
      <c r="A1694" s="6"/>
    </row>
    <row r="1695" spans="1:1" ht="18.75" x14ac:dyDescent="0.25">
      <c r="A1695" s="6"/>
    </row>
    <row r="1696" spans="1:1" ht="18.75" x14ac:dyDescent="0.25">
      <c r="A1696" s="6"/>
    </row>
    <row r="1697" spans="1:1" ht="18.75" x14ac:dyDescent="0.25">
      <c r="A1697" s="6"/>
    </row>
    <row r="1698" spans="1:1" ht="18.75" x14ac:dyDescent="0.25">
      <c r="A1698" s="6"/>
    </row>
    <row r="1699" spans="1:1" ht="18.75" x14ac:dyDescent="0.25">
      <c r="A1699" s="6"/>
    </row>
    <row r="1700" spans="1:1" ht="18.75" x14ac:dyDescent="0.25">
      <c r="A1700" s="6"/>
    </row>
    <row r="1701" spans="1:1" ht="18.75" x14ac:dyDescent="0.25">
      <c r="A1701" s="6"/>
    </row>
    <row r="1702" spans="1:1" ht="18.75" x14ac:dyDescent="0.25">
      <c r="A1702" s="6"/>
    </row>
    <row r="1703" spans="1:1" ht="18.75" x14ac:dyDescent="0.25">
      <c r="A1703" s="6"/>
    </row>
    <row r="1704" spans="1:1" ht="18.75" x14ac:dyDescent="0.25">
      <c r="A1704" s="6"/>
    </row>
    <row r="1705" spans="1:1" ht="18.75" x14ac:dyDescent="0.25">
      <c r="A1705" s="6"/>
    </row>
    <row r="1706" spans="1:1" ht="18.75" x14ac:dyDescent="0.25">
      <c r="A1706" s="6"/>
    </row>
    <row r="1707" spans="1:1" ht="18.75" x14ac:dyDescent="0.25">
      <c r="A1707" s="6"/>
    </row>
    <row r="1708" spans="1:1" ht="18.75" x14ac:dyDescent="0.25">
      <c r="A1708" s="6"/>
    </row>
    <row r="1709" spans="1:1" ht="18.75" x14ac:dyDescent="0.25">
      <c r="A1709" s="6"/>
    </row>
    <row r="1710" spans="1:1" ht="18.75" x14ac:dyDescent="0.25">
      <c r="A1710" s="6"/>
    </row>
    <row r="1711" spans="1:1" ht="18.75" x14ac:dyDescent="0.25">
      <c r="A1711" s="6"/>
    </row>
    <row r="1712" spans="1:1" ht="18.75" x14ac:dyDescent="0.25">
      <c r="A1712" s="6"/>
    </row>
    <row r="1713" spans="1:1" ht="18.75" x14ac:dyDescent="0.25">
      <c r="A1713" s="6"/>
    </row>
    <row r="1714" spans="1:1" ht="18.75" x14ac:dyDescent="0.25">
      <c r="A1714" s="6"/>
    </row>
    <row r="1715" spans="1:1" ht="18.75" x14ac:dyDescent="0.25">
      <c r="A1715" s="6"/>
    </row>
    <row r="1716" spans="1:1" ht="18.75" x14ac:dyDescent="0.25">
      <c r="A1716" s="6"/>
    </row>
    <row r="1717" spans="1:1" ht="18.75" x14ac:dyDescent="0.25">
      <c r="A1717" s="6"/>
    </row>
    <row r="1718" spans="1:1" ht="18.75" x14ac:dyDescent="0.25">
      <c r="A1718" s="6"/>
    </row>
    <row r="1719" spans="1:1" ht="18.75" x14ac:dyDescent="0.25">
      <c r="A1719" s="6"/>
    </row>
    <row r="1720" spans="1:1" ht="18.75" x14ac:dyDescent="0.25">
      <c r="A1720" s="6"/>
    </row>
    <row r="1721" spans="1:1" ht="18.75" x14ac:dyDescent="0.25">
      <c r="A1721" s="6"/>
    </row>
    <row r="1722" spans="1:1" ht="18.75" x14ac:dyDescent="0.25">
      <c r="A1722" s="6"/>
    </row>
    <row r="1723" spans="1:1" ht="18.75" x14ac:dyDescent="0.25">
      <c r="A1723" s="6"/>
    </row>
    <row r="1724" spans="1:1" ht="18.75" x14ac:dyDescent="0.25">
      <c r="A1724" s="6"/>
    </row>
    <row r="1725" spans="1:1" ht="18.75" x14ac:dyDescent="0.25">
      <c r="A1725" s="6"/>
    </row>
    <row r="1726" spans="1:1" ht="18.75" x14ac:dyDescent="0.25">
      <c r="A1726" s="6"/>
    </row>
    <row r="1727" spans="1:1" ht="18.75" x14ac:dyDescent="0.25">
      <c r="A1727" s="6"/>
    </row>
    <row r="1728" spans="1:1" ht="18.75" x14ac:dyDescent="0.25">
      <c r="A1728" s="6"/>
    </row>
    <row r="1729" spans="1:1" ht="18.75" x14ac:dyDescent="0.25">
      <c r="A1729" s="6"/>
    </row>
    <row r="1730" spans="1:1" ht="18.75" x14ac:dyDescent="0.25">
      <c r="A1730" s="6"/>
    </row>
    <row r="1731" spans="1:1" ht="18.75" x14ac:dyDescent="0.25">
      <c r="A1731" s="6"/>
    </row>
    <row r="1732" spans="1:1" ht="18.75" x14ac:dyDescent="0.25">
      <c r="A1732" s="6"/>
    </row>
    <row r="1733" spans="1:1" ht="18.75" x14ac:dyDescent="0.25">
      <c r="A1733" s="6"/>
    </row>
    <row r="1734" spans="1:1" ht="18.75" x14ac:dyDescent="0.25">
      <c r="A1734" s="6"/>
    </row>
    <row r="1735" spans="1:1" ht="18.75" x14ac:dyDescent="0.25">
      <c r="A1735" s="6"/>
    </row>
    <row r="1736" spans="1:1" ht="18.75" x14ac:dyDescent="0.25">
      <c r="A1736" s="6"/>
    </row>
    <row r="1737" spans="1:1" ht="18.75" x14ac:dyDescent="0.25">
      <c r="A1737" s="6"/>
    </row>
    <row r="1738" spans="1:1" ht="18.75" x14ac:dyDescent="0.25">
      <c r="A1738" s="6"/>
    </row>
    <row r="1739" spans="1:1" ht="18.75" x14ac:dyDescent="0.25">
      <c r="A1739" s="6"/>
    </row>
    <row r="1740" spans="1:1" ht="18.75" x14ac:dyDescent="0.25">
      <c r="A1740" s="6"/>
    </row>
    <row r="1741" spans="1:1" ht="18.75" x14ac:dyDescent="0.25">
      <c r="A1741" s="6"/>
    </row>
    <row r="1742" spans="1:1" ht="18.75" x14ac:dyDescent="0.25">
      <c r="A1742" s="6"/>
    </row>
    <row r="1743" spans="1:1" ht="18.75" x14ac:dyDescent="0.25">
      <c r="A1743" s="6"/>
    </row>
    <row r="1744" spans="1:1" ht="18.75" x14ac:dyDescent="0.25">
      <c r="A1744" s="6"/>
    </row>
    <row r="1745" spans="1:1" ht="18.75" x14ac:dyDescent="0.25">
      <c r="A1745" s="6"/>
    </row>
    <row r="1746" spans="1:1" ht="18.75" x14ac:dyDescent="0.25">
      <c r="A1746" s="6"/>
    </row>
    <row r="1747" spans="1:1" ht="18.75" x14ac:dyDescent="0.25">
      <c r="A1747" s="6"/>
    </row>
    <row r="1748" spans="1:1" ht="18.75" x14ac:dyDescent="0.25">
      <c r="A1748" s="6"/>
    </row>
    <row r="1749" spans="1:1" ht="18.75" x14ac:dyDescent="0.25">
      <c r="A1749" s="6"/>
    </row>
    <row r="1750" spans="1:1" ht="18.75" x14ac:dyDescent="0.25">
      <c r="A1750" s="6"/>
    </row>
    <row r="1751" spans="1:1" ht="18.75" x14ac:dyDescent="0.25">
      <c r="A1751" s="6"/>
    </row>
    <row r="1752" spans="1:1" ht="18.75" x14ac:dyDescent="0.25">
      <c r="A1752" s="6"/>
    </row>
    <row r="1753" spans="1:1" ht="18.75" x14ac:dyDescent="0.25">
      <c r="A1753" s="6"/>
    </row>
    <row r="1754" spans="1:1" ht="18.75" x14ac:dyDescent="0.25">
      <c r="A1754" s="6"/>
    </row>
    <row r="1755" spans="1:1" ht="18.75" x14ac:dyDescent="0.25">
      <c r="A1755" s="6"/>
    </row>
    <row r="1756" spans="1:1" ht="18.75" x14ac:dyDescent="0.25">
      <c r="A1756" s="6"/>
    </row>
    <row r="1757" spans="1:1" ht="18.75" x14ac:dyDescent="0.25">
      <c r="A1757" s="6"/>
    </row>
    <row r="1758" spans="1:1" ht="18.75" x14ac:dyDescent="0.25">
      <c r="A1758" s="6"/>
    </row>
    <row r="1759" spans="1:1" ht="18.75" x14ac:dyDescent="0.25">
      <c r="A1759" s="6"/>
    </row>
    <row r="1760" spans="1:1" ht="18.75" x14ac:dyDescent="0.25">
      <c r="A1760" s="6"/>
    </row>
    <row r="1761" spans="1:1" ht="18.75" x14ac:dyDescent="0.25">
      <c r="A1761" s="6"/>
    </row>
    <row r="1762" spans="1:1" ht="18.75" x14ac:dyDescent="0.25">
      <c r="A1762" s="6"/>
    </row>
    <row r="1763" spans="1:1" ht="18.75" x14ac:dyDescent="0.25">
      <c r="A1763" s="6"/>
    </row>
    <row r="1764" spans="1:1" ht="18.75" x14ac:dyDescent="0.25">
      <c r="A1764" s="6"/>
    </row>
    <row r="1765" spans="1:1" ht="18.75" x14ac:dyDescent="0.25">
      <c r="A1765" s="6"/>
    </row>
    <row r="1766" spans="1:1" ht="18.75" x14ac:dyDescent="0.25">
      <c r="A1766" s="6"/>
    </row>
    <row r="1767" spans="1:1" ht="18.75" x14ac:dyDescent="0.25">
      <c r="A1767" s="6"/>
    </row>
    <row r="1768" spans="1:1" ht="18.75" x14ac:dyDescent="0.25">
      <c r="A1768" s="6"/>
    </row>
    <row r="1769" spans="1:1" ht="18.75" x14ac:dyDescent="0.25">
      <c r="A1769" s="6"/>
    </row>
    <row r="1770" spans="1:1" ht="18.75" x14ac:dyDescent="0.25">
      <c r="A1770" s="6"/>
    </row>
    <row r="1771" spans="1:1" ht="18.75" x14ac:dyDescent="0.25">
      <c r="A1771" s="6"/>
    </row>
    <row r="1772" spans="1:1" ht="18.75" x14ac:dyDescent="0.25">
      <c r="A1772" s="6"/>
    </row>
    <row r="1773" spans="1:1" ht="18.75" x14ac:dyDescent="0.25">
      <c r="A1773" s="6"/>
    </row>
    <row r="1774" spans="1:1" ht="18.75" x14ac:dyDescent="0.25">
      <c r="A1774" s="6"/>
    </row>
    <row r="1775" spans="1:1" ht="18.75" x14ac:dyDescent="0.25">
      <c r="A1775" s="6"/>
    </row>
    <row r="1776" spans="1:1" ht="18.75" x14ac:dyDescent="0.25">
      <c r="A1776" s="6"/>
    </row>
    <row r="1777" spans="1:1" ht="18.75" x14ac:dyDescent="0.25">
      <c r="A1777" s="6"/>
    </row>
    <row r="1778" spans="1:1" ht="18.75" x14ac:dyDescent="0.25">
      <c r="A1778" s="6"/>
    </row>
    <row r="1779" spans="1:1" ht="18.75" x14ac:dyDescent="0.25">
      <c r="A1779" s="6"/>
    </row>
    <row r="1780" spans="1:1" ht="18.75" x14ac:dyDescent="0.25">
      <c r="A1780" s="6"/>
    </row>
    <row r="1781" spans="1:1" ht="18.75" x14ac:dyDescent="0.25">
      <c r="A1781" s="6"/>
    </row>
    <row r="1782" spans="1:1" ht="18.75" x14ac:dyDescent="0.25">
      <c r="A1782" s="6"/>
    </row>
    <row r="1783" spans="1:1" ht="18.75" x14ac:dyDescent="0.25">
      <c r="A1783" s="6"/>
    </row>
    <row r="1784" spans="1:1" ht="18.75" x14ac:dyDescent="0.25">
      <c r="A1784" s="6"/>
    </row>
    <row r="1785" spans="1:1" ht="18.75" x14ac:dyDescent="0.25">
      <c r="A1785" s="6"/>
    </row>
    <row r="1786" spans="1:1" ht="18.75" x14ac:dyDescent="0.25">
      <c r="A1786" s="6"/>
    </row>
    <row r="1787" spans="1:1" ht="18.75" x14ac:dyDescent="0.25">
      <c r="A1787" s="6"/>
    </row>
    <row r="1788" spans="1:1" ht="18.75" x14ac:dyDescent="0.25">
      <c r="A1788" s="6"/>
    </row>
    <row r="1789" spans="1:1" ht="18.75" x14ac:dyDescent="0.25">
      <c r="A1789" s="6"/>
    </row>
    <row r="1790" spans="1:1" ht="18.75" x14ac:dyDescent="0.25">
      <c r="A1790" s="6"/>
    </row>
    <row r="1791" spans="1:1" ht="18.75" x14ac:dyDescent="0.25">
      <c r="A1791" s="6"/>
    </row>
    <row r="1792" spans="1:1" ht="18.75" x14ac:dyDescent="0.25">
      <c r="A1792" s="6"/>
    </row>
    <row r="1793" spans="1:1" ht="18.75" x14ac:dyDescent="0.25">
      <c r="A1793" s="6"/>
    </row>
    <row r="1794" spans="1:1" ht="18.75" x14ac:dyDescent="0.25">
      <c r="A1794" s="6"/>
    </row>
    <row r="1795" spans="1:1" ht="18.75" x14ac:dyDescent="0.25">
      <c r="A1795" s="6"/>
    </row>
    <row r="1796" spans="1:1" ht="18.75" x14ac:dyDescent="0.25">
      <c r="A1796" s="6"/>
    </row>
    <row r="1797" spans="1:1" ht="18.75" x14ac:dyDescent="0.25">
      <c r="A1797" s="6"/>
    </row>
    <row r="1798" spans="1:1" ht="18.75" x14ac:dyDescent="0.25">
      <c r="A1798" s="6"/>
    </row>
    <row r="1799" spans="1:1" ht="18.75" x14ac:dyDescent="0.25">
      <c r="A1799" s="6"/>
    </row>
    <row r="1800" spans="1:1" ht="18.75" x14ac:dyDescent="0.25">
      <c r="A1800" s="6"/>
    </row>
    <row r="1801" spans="1:1" ht="18.75" x14ac:dyDescent="0.25">
      <c r="A1801" s="6"/>
    </row>
    <row r="1802" spans="1:1" ht="18.75" x14ac:dyDescent="0.25">
      <c r="A1802" s="6"/>
    </row>
    <row r="1803" spans="1:1" ht="18.75" x14ac:dyDescent="0.25">
      <c r="A1803" s="6"/>
    </row>
    <row r="1804" spans="1:1" ht="18.75" x14ac:dyDescent="0.25">
      <c r="A1804" s="6"/>
    </row>
    <row r="1805" spans="1:1" ht="18.75" x14ac:dyDescent="0.25">
      <c r="A1805" s="6"/>
    </row>
    <row r="1806" spans="1:1" ht="18.75" x14ac:dyDescent="0.25">
      <c r="A1806" s="6"/>
    </row>
    <row r="1807" spans="1:1" ht="18.75" x14ac:dyDescent="0.25">
      <c r="A1807" s="6"/>
    </row>
    <row r="1808" spans="1:1" ht="18.75" x14ac:dyDescent="0.25">
      <c r="A1808" s="6"/>
    </row>
    <row r="1809" spans="1:1" ht="18.75" x14ac:dyDescent="0.25">
      <c r="A1809" s="6"/>
    </row>
    <row r="1810" spans="1:1" ht="18.75" x14ac:dyDescent="0.25">
      <c r="A1810" s="6"/>
    </row>
    <row r="1811" spans="1:1" ht="18.75" x14ac:dyDescent="0.25">
      <c r="A1811" s="6"/>
    </row>
    <row r="1812" spans="1:1" ht="18.75" x14ac:dyDescent="0.25">
      <c r="A1812" s="6"/>
    </row>
    <row r="1813" spans="1:1" ht="18.75" x14ac:dyDescent="0.25">
      <c r="A1813" s="6"/>
    </row>
    <row r="1814" spans="1:1" ht="18.75" x14ac:dyDescent="0.25">
      <c r="A1814" s="6"/>
    </row>
    <row r="1815" spans="1:1" ht="18.75" x14ac:dyDescent="0.25">
      <c r="A1815" s="6"/>
    </row>
    <row r="1816" spans="1:1" ht="18.75" x14ac:dyDescent="0.25">
      <c r="A1816" s="6"/>
    </row>
    <row r="1817" spans="1:1" ht="18.75" x14ac:dyDescent="0.25">
      <c r="A1817" s="6"/>
    </row>
    <row r="1818" spans="1:1" ht="18.75" x14ac:dyDescent="0.25">
      <c r="A1818" s="6"/>
    </row>
    <row r="1819" spans="1:1" ht="18.75" x14ac:dyDescent="0.25">
      <c r="A1819" s="6"/>
    </row>
    <row r="1820" spans="1:1" ht="18.75" x14ac:dyDescent="0.25">
      <c r="A1820" s="6"/>
    </row>
    <row r="1821" spans="1:1" ht="18.75" x14ac:dyDescent="0.25">
      <c r="A1821" s="6"/>
    </row>
    <row r="1822" spans="1:1" ht="18.75" x14ac:dyDescent="0.25">
      <c r="A1822" s="6"/>
    </row>
    <row r="1823" spans="1:1" ht="18.75" x14ac:dyDescent="0.25">
      <c r="A1823" s="6"/>
    </row>
    <row r="1824" spans="1:1" ht="18.75" x14ac:dyDescent="0.25">
      <c r="A1824" s="6"/>
    </row>
    <row r="1825" spans="1:1" ht="18.75" x14ac:dyDescent="0.25">
      <c r="A1825" s="6"/>
    </row>
    <row r="1826" spans="1:1" ht="18.75" x14ac:dyDescent="0.25">
      <c r="A1826" s="6"/>
    </row>
    <row r="1827" spans="1:1" ht="18.75" x14ac:dyDescent="0.25">
      <c r="A1827" s="6"/>
    </row>
    <row r="1828" spans="1:1" ht="18.75" x14ac:dyDescent="0.25">
      <c r="A1828" s="6"/>
    </row>
    <row r="1829" spans="1:1" ht="18.75" x14ac:dyDescent="0.25">
      <c r="A1829" s="6"/>
    </row>
    <row r="1830" spans="1:1" ht="18.75" x14ac:dyDescent="0.25">
      <c r="A1830" s="6"/>
    </row>
    <row r="1831" spans="1:1" ht="18.75" x14ac:dyDescent="0.25">
      <c r="A1831" s="6"/>
    </row>
    <row r="1832" spans="1:1" ht="18.75" x14ac:dyDescent="0.25">
      <c r="A1832" s="6"/>
    </row>
    <row r="1833" spans="1:1" ht="18.75" x14ac:dyDescent="0.25">
      <c r="A1833" s="6"/>
    </row>
    <row r="1834" spans="1:1" ht="18.75" x14ac:dyDescent="0.25">
      <c r="A1834" s="6"/>
    </row>
    <row r="1835" spans="1:1" ht="18.75" x14ac:dyDescent="0.25">
      <c r="A1835" s="6"/>
    </row>
    <row r="1836" spans="1:1" ht="18.75" x14ac:dyDescent="0.25">
      <c r="A1836" s="6"/>
    </row>
    <row r="1837" spans="1:1" ht="18.75" x14ac:dyDescent="0.25">
      <c r="A1837" s="6"/>
    </row>
    <row r="1838" spans="1:1" ht="18.75" x14ac:dyDescent="0.25">
      <c r="A1838" s="6"/>
    </row>
    <row r="1839" spans="1:1" ht="18.75" x14ac:dyDescent="0.25">
      <c r="A1839" s="6"/>
    </row>
    <row r="1840" spans="1:1" ht="18.75" x14ac:dyDescent="0.25">
      <c r="A1840" s="6"/>
    </row>
    <row r="1841" spans="1:1" ht="18.75" x14ac:dyDescent="0.25">
      <c r="A1841" s="6"/>
    </row>
    <row r="1842" spans="1:1" ht="18.75" x14ac:dyDescent="0.25">
      <c r="A1842" s="6"/>
    </row>
    <row r="1843" spans="1:1" ht="18.75" x14ac:dyDescent="0.25">
      <c r="A1843" s="6"/>
    </row>
    <row r="1844" spans="1:1" ht="18.75" x14ac:dyDescent="0.25">
      <c r="A1844" s="6"/>
    </row>
    <row r="1845" spans="1:1" ht="18.75" x14ac:dyDescent="0.25">
      <c r="A1845" s="6"/>
    </row>
    <row r="1846" spans="1:1" ht="18.75" x14ac:dyDescent="0.25">
      <c r="A1846" s="6"/>
    </row>
    <row r="1847" spans="1:1" ht="18.75" x14ac:dyDescent="0.25">
      <c r="A1847" s="6"/>
    </row>
    <row r="1848" spans="1:1" ht="18.75" x14ac:dyDescent="0.25">
      <c r="A1848" s="6"/>
    </row>
    <row r="1849" spans="1:1" ht="18.75" x14ac:dyDescent="0.25">
      <c r="A1849" s="6"/>
    </row>
    <row r="1850" spans="1:1" ht="18.75" x14ac:dyDescent="0.25">
      <c r="A1850" s="6"/>
    </row>
    <row r="1851" spans="1:1" ht="18.75" x14ac:dyDescent="0.25">
      <c r="A1851" s="6"/>
    </row>
    <row r="1852" spans="1:1" ht="18.75" x14ac:dyDescent="0.25">
      <c r="A1852" s="6"/>
    </row>
    <row r="1853" spans="1:1" ht="18.75" x14ac:dyDescent="0.25">
      <c r="A1853" s="6"/>
    </row>
    <row r="1854" spans="1:1" ht="18.75" x14ac:dyDescent="0.25">
      <c r="A1854" s="6"/>
    </row>
    <row r="1855" spans="1:1" ht="18.75" x14ac:dyDescent="0.25">
      <c r="A1855" s="6"/>
    </row>
    <row r="1856" spans="1:1" ht="18.75" x14ac:dyDescent="0.25">
      <c r="A1856" s="6"/>
    </row>
    <row r="1857" spans="1:1" ht="18.75" x14ac:dyDescent="0.25">
      <c r="A1857" s="6"/>
    </row>
    <row r="1858" spans="1:1" ht="18.75" x14ac:dyDescent="0.25">
      <c r="A1858" s="6"/>
    </row>
    <row r="1859" spans="1:1" ht="18.75" x14ac:dyDescent="0.25">
      <c r="A1859" s="6"/>
    </row>
    <row r="1860" spans="1:1" ht="18.75" x14ac:dyDescent="0.25">
      <c r="A1860" s="6"/>
    </row>
    <row r="1861" spans="1:1" ht="18.75" x14ac:dyDescent="0.25">
      <c r="A1861" s="6"/>
    </row>
    <row r="1862" spans="1:1" ht="18.75" x14ac:dyDescent="0.25">
      <c r="A1862" s="6"/>
    </row>
    <row r="1863" spans="1:1" ht="18.75" x14ac:dyDescent="0.25">
      <c r="A1863" s="6"/>
    </row>
    <row r="1864" spans="1:1" ht="18.75" x14ac:dyDescent="0.25">
      <c r="A1864" s="6"/>
    </row>
    <row r="1865" spans="1:1" ht="18.75" x14ac:dyDescent="0.25">
      <c r="A1865" s="6"/>
    </row>
    <row r="1866" spans="1:1" ht="18.75" x14ac:dyDescent="0.25">
      <c r="A1866" s="6"/>
    </row>
    <row r="1867" spans="1:1" ht="18.75" x14ac:dyDescent="0.25">
      <c r="A1867" s="6"/>
    </row>
    <row r="1868" spans="1:1" ht="18.75" x14ac:dyDescent="0.25">
      <c r="A1868" s="6"/>
    </row>
    <row r="1869" spans="1:1" ht="18.75" x14ac:dyDescent="0.25">
      <c r="A1869" s="6"/>
    </row>
    <row r="1870" spans="1:1" ht="18.75" x14ac:dyDescent="0.25">
      <c r="A1870" s="6"/>
    </row>
    <row r="1871" spans="1:1" ht="18.75" x14ac:dyDescent="0.25">
      <c r="A1871" s="6"/>
    </row>
    <row r="1872" spans="1:1" ht="18.75" x14ac:dyDescent="0.25">
      <c r="A1872" s="6"/>
    </row>
    <row r="1873" spans="1:1" ht="18.75" x14ac:dyDescent="0.25">
      <c r="A1873" s="6"/>
    </row>
    <row r="1874" spans="1:1" ht="18.75" x14ac:dyDescent="0.25">
      <c r="A1874" s="6"/>
    </row>
    <row r="1875" spans="1:1" ht="18.75" x14ac:dyDescent="0.25">
      <c r="A1875" s="6"/>
    </row>
    <row r="1876" spans="1:1" ht="18.75" x14ac:dyDescent="0.25">
      <c r="A1876" s="6"/>
    </row>
    <row r="1877" spans="1:1" ht="18.75" x14ac:dyDescent="0.25">
      <c r="A1877" s="6"/>
    </row>
    <row r="1878" spans="1:1" ht="18.75" x14ac:dyDescent="0.25">
      <c r="A1878" s="6"/>
    </row>
    <row r="1879" spans="1:1" ht="18.75" x14ac:dyDescent="0.25">
      <c r="A1879" s="6"/>
    </row>
    <row r="1880" spans="1:1" ht="18.75" x14ac:dyDescent="0.25">
      <c r="A1880" s="6"/>
    </row>
    <row r="1881" spans="1:1" ht="18.75" x14ac:dyDescent="0.25">
      <c r="A1881" s="6"/>
    </row>
    <row r="1882" spans="1:1" ht="18.75" x14ac:dyDescent="0.25">
      <c r="A1882" s="6"/>
    </row>
    <row r="1883" spans="1:1" ht="18.75" x14ac:dyDescent="0.25">
      <c r="A1883" s="6"/>
    </row>
    <row r="1884" spans="1:1" ht="18.75" x14ac:dyDescent="0.25">
      <c r="A1884" s="6"/>
    </row>
    <row r="1885" spans="1:1" ht="18.75" x14ac:dyDescent="0.25">
      <c r="A1885" s="6"/>
    </row>
    <row r="1886" spans="1:1" ht="18.75" x14ac:dyDescent="0.25">
      <c r="A1886" s="6"/>
    </row>
    <row r="1887" spans="1:1" ht="18.75" x14ac:dyDescent="0.25">
      <c r="A1887" s="6"/>
    </row>
    <row r="1888" spans="1:1" ht="18.75" x14ac:dyDescent="0.25">
      <c r="A1888" s="6"/>
    </row>
    <row r="1889" spans="1:1" ht="18.75" x14ac:dyDescent="0.25">
      <c r="A1889" s="6"/>
    </row>
    <row r="1890" spans="1:1" ht="18.75" x14ac:dyDescent="0.25">
      <c r="A1890" s="6"/>
    </row>
    <row r="1891" spans="1:1" ht="18.75" x14ac:dyDescent="0.25">
      <c r="A1891" s="6"/>
    </row>
    <row r="1892" spans="1:1" ht="18.75" x14ac:dyDescent="0.25">
      <c r="A1892" s="6"/>
    </row>
    <row r="1893" spans="1:1" ht="18.75" x14ac:dyDescent="0.25">
      <c r="A1893" s="6"/>
    </row>
    <row r="1894" spans="1:1" ht="18.75" x14ac:dyDescent="0.25">
      <c r="A1894" s="6"/>
    </row>
    <row r="1895" spans="1:1" ht="18.75" x14ac:dyDescent="0.25">
      <c r="A1895" s="6"/>
    </row>
    <row r="1896" spans="1:1" ht="18.75" x14ac:dyDescent="0.25">
      <c r="A1896" s="6"/>
    </row>
    <row r="1897" spans="1:1" ht="18.75" x14ac:dyDescent="0.25">
      <c r="A1897" s="6"/>
    </row>
    <row r="1898" spans="1:1" ht="18.75" x14ac:dyDescent="0.25">
      <c r="A1898" s="6"/>
    </row>
    <row r="1899" spans="1:1" ht="18.75" x14ac:dyDescent="0.25">
      <c r="A1899" s="6"/>
    </row>
    <row r="1900" spans="1:1" ht="18.75" x14ac:dyDescent="0.25">
      <c r="A1900" s="6"/>
    </row>
    <row r="1901" spans="1:1" ht="18.75" x14ac:dyDescent="0.25">
      <c r="A1901" s="6"/>
    </row>
    <row r="1902" spans="1:1" ht="18.75" x14ac:dyDescent="0.25">
      <c r="A1902" s="6"/>
    </row>
    <row r="1903" spans="1:1" ht="18.75" x14ac:dyDescent="0.25">
      <c r="A1903" s="6"/>
    </row>
    <row r="1904" spans="1:1" ht="18.75" x14ac:dyDescent="0.25">
      <c r="A1904" s="6"/>
    </row>
    <row r="1905" spans="1:1" ht="18.75" x14ac:dyDescent="0.25">
      <c r="A1905" s="6"/>
    </row>
    <row r="1906" spans="1:1" ht="18.75" x14ac:dyDescent="0.25">
      <c r="A1906" s="6"/>
    </row>
    <row r="1907" spans="1:1" ht="18.75" x14ac:dyDescent="0.25">
      <c r="A1907" s="6"/>
    </row>
    <row r="1908" spans="1:1" ht="18.75" x14ac:dyDescent="0.25">
      <c r="A1908" s="6"/>
    </row>
    <row r="1909" spans="1:1" ht="18.75" x14ac:dyDescent="0.25">
      <c r="A1909" s="6"/>
    </row>
    <row r="1910" spans="1:1" ht="18.75" x14ac:dyDescent="0.25">
      <c r="A1910" s="6"/>
    </row>
    <row r="1911" spans="1:1" ht="18.75" x14ac:dyDescent="0.25">
      <c r="A1911" s="6"/>
    </row>
    <row r="1912" spans="1:1" ht="18.75" x14ac:dyDescent="0.25">
      <c r="A1912" s="6"/>
    </row>
    <row r="1913" spans="1:1" ht="18.75" x14ac:dyDescent="0.25">
      <c r="A1913" s="6"/>
    </row>
    <row r="1914" spans="1:1" ht="18.75" x14ac:dyDescent="0.25">
      <c r="A1914" s="6"/>
    </row>
    <row r="1915" spans="1:1" ht="18.75" x14ac:dyDescent="0.25">
      <c r="A1915" s="6"/>
    </row>
    <row r="1916" spans="1:1" ht="18.75" x14ac:dyDescent="0.25">
      <c r="A1916" s="6"/>
    </row>
    <row r="1917" spans="1:1" ht="18.75" x14ac:dyDescent="0.25">
      <c r="A1917" s="6"/>
    </row>
    <row r="1918" spans="1:1" ht="18.75" x14ac:dyDescent="0.25">
      <c r="A1918" s="6"/>
    </row>
    <row r="1919" spans="1:1" ht="18.75" x14ac:dyDescent="0.25">
      <c r="A1919" s="6"/>
    </row>
    <row r="1920" spans="1:1" ht="18.75" x14ac:dyDescent="0.25">
      <c r="A1920" s="6"/>
    </row>
    <row r="1921" spans="1:1" ht="18.75" x14ac:dyDescent="0.25">
      <c r="A1921" s="6"/>
    </row>
    <row r="1922" spans="1:1" ht="18.75" x14ac:dyDescent="0.25">
      <c r="A1922" s="6"/>
    </row>
    <row r="1923" spans="1:1" ht="18.75" x14ac:dyDescent="0.25">
      <c r="A1923" s="6"/>
    </row>
    <row r="1924" spans="1:1" ht="18.75" x14ac:dyDescent="0.25">
      <c r="A1924" s="6"/>
    </row>
    <row r="1925" spans="1:1" ht="18.75" x14ac:dyDescent="0.25">
      <c r="A1925" s="6"/>
    </row>
    <row r="1926" spans="1:1" ht="18.75" x14ac:dyDescent="0.25">
      <c r="A1926" s="6"/>
    </row>
    <row r="1927" spans="1:1" ht="18.75" x14ac:dyDescent="0.25">
      <c r="A1927" s="6"/>
    </row>
    <row r="1928" spans="1:1" ht="18.75" x14ac:dyDescent="0.25">
      <c r="A1928" s="6"/>
    </row>
    <row r="1929" spans="1:1" ht="18.75" x14ac:dyDescent="0.25">
      <c r="A1929" s="6"/>
    </row>
    <row r="1930" spans="1:1" ht="18.75" x14ac:dyDescent="0.25">
      <c r="A1930" s="6"/>
    </row>
    <row r="1931" spans="1:1" ht="18.75" x14ac:dyDescent="0.25">
      <c r="A1931" s="6"/>
    </row>
    <row r="1932" spans="1:1" ht="18.75" x14ac:dyDescent="0.25">
      <c r="A1932" s="6"/>
    </row>
    <row r="1933" spans="1:1" ht="18.75" x14ac:dyDescent="0.25">
      <c r="A1933" s="6"/>
    </row>
    <row r="1934" spans="1:1" ht="18.75" x14ac:dyDescent="0.25">
      <c r="A1934" s="6"/>
    </row>
    <row r="1935" spans="1:1" ht="18.75" x14ac:dyDescent="0.25">
      <c r="A1935" s="6"/>
    </row>
    <row r="1936" spans="1:1" ht="18.75" x14ac:dyDescent="0.25">
      <c r="A1936" s="6"/>
    </row>
    <row r="1937" spans="1:1" ht="18.75" x14ac:dyDescent="0.25">
      <c r="A1937" s="6"/>
    </row>
    <row r="1938" spans="1:1" ht="18.75" x14ac:dyDescent="0.25">
      <c r="A1938" s="6"/>
    </row>
    <row r="1939" spans="1:1" ht="18.75" x14ac:dyDescent="0.25">
      <c r="A1939" s="6"/>
    </row>
    <row r="1940" spans="1:1" ht="18.75" x14ac:dyDescent="0.25">
      <c r="A1940" s="6"/>
    </row>
    <row r="1941" spans="1:1" ht="18.75" x14ac:dyDescent="0.25">
      <c r="A1941" s="6"/>
    </row>
    <row r="1942" spans="1:1" ht="18.75" x14ac:dyDescent="0.25">
      <c r="A1942" s="6"/>
    </row>
    <row r="1943" spans="1:1" ht="18.75" x14ac:dyDescent="0.25">
      <c r="A1943" s="6"/>
    </row>
    <row r="1944" spans="1:1" ht="18.75" x14ac:dyDescent="0.25">
      <c r="A1944" s="6"/>
    </row>
    <row r="1945" spans="1:1" ht="18.75" x14ac:dyDescent="0.25">
      <c r="A1945" s="6"/>
    </row>
    <row r="1946" spans="1:1" ht="18.75" x14ac:dyDescent="0.25">
      <c r="A1946" s="6"/>
    </row>
    <row r="1947" spans="1:1" ht="18.75" x14ac:dyDescent="0.25">
      <c r="A1947" s="6"/>
    </row>
    <row r="1948" spans="1:1" ht="18.75" x14ac:dyDescent="0.25">
      <c r="A1948" s="6"/>
    </row>
    <row r="1949" spans="1:1" ht="18.75" x14ac:dyDescent="0.25">
      <c r="A1949" s="6"/>
    </row>
    <row r="1950" spans="1:1" ht="18.75" x14ac:dyDescent="0.25">
      <c r="A1950" s="6"/>
    </row>
    <row r="1951" spans="1:1" ht="18.75" x14ac:dyDescent="0.25">
      <c r="A1951" s="6"/>
    </row>
    <row r="1952" spans="1:1" ht="18.75" x14ac:dyDescent="0.25">
      <c r="A1952" s="6"/>
    </row>
    <row r="1953" spans="1:1" ht="18.75" x14ac:dyDescent="0.25">
      <c r="A1953" s="6"/>
    </row>
    <row r="1954" spans="1:1" ht="18.75" x14ac:dyDescent="0.25">
      <c r="A1954" s="6"/>
    </row>
    <row r="1955" spans="1:1" ht="18.75" x14ac:dyDescent="0.25">
      <c r="A1955" s="6"/>
    </row>
    <row r="1956" spans="1:1" ht="18.75" x14ac:dyDescent="0.25">
      <c r="A1956" s="6"/>
    </row>
    <row r="1957" spans="1:1" ht="18.75" x14ac:dyDescent="0.25">
      <c r="A1957" s="6"/>
    </row>
    <row r="1958" spans="1:1" ht="18.75" x14ac:dyDescent="0.25">
      <c r="A1958" s="6"/>
    </row>
    <row r="1959" spans="1:1" ht="18.75" x14ac:dyDescent="0.25">
      <c r="A1959" s="6"/>
    </row>
    <row r="1960" spans="1:1" ht="18.75" x14ac:dyDescent="0.25">
      <c r="A1960" s="6"/>
    </row>
    <row r="1961" spans="1:1" ht="18.75" x14ac:dyDescent="0.25">
      <c r="A1961" s="6"/>
    </row>
    <row r="1962" spans="1:1" ht="18.75" x14ac:dyDescent="0.25">
      <c r="A1962" s="6"/>
    </row>
    <row r="1963" spans="1:1" ht="18.75" x14ac:dyDescent="0.25">
      <c r="A1963" s="6"/>
    </row>
    <row r="1964" spans="1:1" ht="18.75" x14ac:dyDescent="0.25">
      <c r="A1964" s="6"/>
    </row>
    <row r="1965" spans="1:1" ht="18.75" x14ac:dyDescent="0.25">
      <c r="A1965" s="6"/>
    </row>
    <row r="1966" spans="1:1" ht="18.75" x14ac:dyDescent="0.25">
      <c r="A1966" s="6"/>
    </row>
    <row r="1967" spans="1:1" ht="18.75" x14ac:dyDescent="0.25">
      <c r="A1967" s="6"/>
    </row>
    <row r="1968" spans="1:1" ht="18.75" x14ac:dyDescent="0.25">
      <c r="A1968" s="6"/>
    </row>
    <row r="1969" spans="1:1" ht="18.75" x14ac:dyDescent="0.25">
      <c r="A1969" s="6"/>
    </row>
    <row r="1970" spans="1:1" ht="18.75" x14ac:dyDescent="0.25">
      <c r="A1970" s="6"/>
    </row>
    <row r="1971" spans="1:1" ht="18.75" x14ac:dyDescent="0.25">
      <c r="A1971" s="6"/>
    </row>
    <row r="1972" spans="1:1" ht="18.75" x14ac:dyDescent="0.25">
      <c r="A1972" s="6"/>
    </row>
    <row r="1973" spans="1:1" ht="18.75" x14ac:dyDescent="0.25">
      <c r="A1973" s="6"/>
    </row>
    <row r="1974" spans="1:1" ht="18.75" x14ac:dyDescent="0.25">
      <c r="A1974" s="6"/>
    </row>
    <row r="1975" spans="1:1" ht="18.75" x14ac:dyDescent="0.25">
      <c r="A1975" s="6"/>
    </row>
    <row r="1976" spans="1:1" ht="18.75" x14ac:dyDescent="0.25">
      <c r="A1976" s="6"/>
    </row>
    <row r="1977" spans="1:1" ht="18.75" x14ac:dyDescent="0.25">
      <c r="A1977" s="6"/>
    </row>
    <row r="1978" spans="1:1" ht="18.75" x14ac:dyDescent="0.25">
      <c r="A1978" s="6"/>
    </row>
    <row r="1979" spans="1:1" ht="18.75" x14ac:dyDescent="0.25">
      <c r="A1979" s="6"/>
    </row>
    <row r="1980" spans="1:1" ht="18.75" x14ac:dyDescent="0.25">
      <c r="A1980" s="6"/>
    </row>
    <row r="1981" spans="1:1" ht="18.75" x14ac:dyDescent="0.25">
      <c r="A1981" s="6"/>
    </row>
    <row r="1982" spans="1:1" ht="18.75" x14ac:dyDescent="0.25">
      <c r="A1982" s="6"/>
    </row>
    <row r="1983" spans="1:1" ht="18.75" x14ac:dyDescent="0.25">
      <c r="A1983" s="6"/>
    </row>
    <row r="1984" spans="1:1" ht="18.75" x14ac:dyDescent="0.25">
      <c r="A1984" s="6"/>
    </row>
    <row r="1985" spans="1:1" ht="18.75" x14ac:dyDescent="0.25">
      <c r="A1985" s="6"/>
    </row>
    <row r="1986" spans="1:1" ht="18.75" x14ac:dyDescent="0.25">
      <c r="A1986" s="6"/>
    </row>
    <row r="1987" spans="1:1" ht="18.75" x14ac:dyDescent="0.25">
      <c r="A1987" s="6"/>
    </row>
    <row r="1988" spans="1:1" ht="18.75" x14ac:dyDescent="0.25">
      <c r="A1988" s="6"/>
    </row>
    <row r="1989" spans="1:1" ht="18.75" x14ac:dyDescent="0.25">
      <c r="A1989" s="6"/>
    </row>
    <row r="1990" spans="1:1" ht="18.75" x14ac:dyDescent="0.25">
      <c r="A1990" s="6"/>
    </row>
    <row r="1991" spans="1:1" ht="18.75" x14ac:dyDescent="0.25">
      <c r="A1991" s="6"/>
    </row>
    <row r="1992" spans="1:1" ht="18.75" x14ac:dyDescent="0.25">
      <c r="A1992" s="6"/>
    </row>
    <row r="1993" spans="1:1" ht="18.75" x14ac:dyDescent="0.25">
      <c r="A1993" s="6"/>
    </row>
    <row r="1994" spans="1:1" ht="18.75" x14ac:dyDescent="0.25">
      <c r="A1994" s="6"/>
    </row>
    <row r="1995" spans="1:1" ht="18.75" x14ac:dyDescent="0.25">
      <c r="A1995" s="6"/>
    </row>
    <row r="1996" spans="1:1" ht="18.75" x14ac:dyDescent="0.25">
      <c r="A1996" s="6"/>
    </row>
    <row r="1997" spans="1:1" ht="18.75" x14ac:dyDescent="0.25">
      <c r="A1997" s="6"/>
    </row>
    <row r="1998" spans="1:1" ht="18.75" x14ac:dyDescent="0.25">
      <c r="A1998" s="6"/>
    </row>
    <row r="1999" spans="1:1" ht="18.75" x14ac:dyDescent="0.25">
      <c r="A1999" s="6"/>
    </row>
    <row r="2000" spans="1:1" ht="18.75" x14ac:dyDescent="0.25">
      <c r="A2000" s="6"/>
    </row>
    <row r="2001" spans="1:1" ht="18.75" x14ac:dyDescent="0.25">
      <c r="A2001" s="6"/>
    </row>
    <row r="2002" spans="1:1" ht="18.75" x14ac:dyDescent="0.25">
      <c r="A2002" s="6"/>
    </row>
    <row r="2003" spans="1:1" ht="18.75" x14ac:dyDescent="0.25">
      <c r="A2003" s="6"/>
    </row>
    <row r="2004" spans="1:1" ht="18.75" x14ac:dyDescent="0.25">
      <c r="A2004" s="6"/>
    </row>
    <row r="2005" spans="1:1" ht="18.75" x14ac:dyDescent="0.25">
      <c r="A2005" s="6"/>
    </row>
    <row r="2006" spans="1:1" ht="18.75" x14ac:dyDescent="0.25">
      <c r="A2006" s="6"/>
    </row>
    <row r="2007" spans="1:1" ht="18.75" x14ac:dyDescent="0.25">
      <c r="A2007" s="6"/>
    </row>
    <row r="2008" spans="1:1" ht="18.75" x14ac:dyDescent="0.25">
      <c r="A2008" s="6"/>
    </row>
    <row r="2009" spans="1:1" ht="18.75" x14ac:dyDescent="0.25">
      <c r="A2009" s="6"/>
    </row>
    <row r="2010" spans="1:1" ht="18.75" x14ac:dyDescent="0.25">
      <c r="A2010" s="6"/>
    </row>
    <row r="2011" spans="1:1" ht="18.75" x14ac:dyDescent="0.25">
      <c r="A2011" s="6"/>
    </row>
    <row r="2012" spans="1:1" ht="18.75" x14ac:dyDescent="0.25">
      <c r="A2012" s="6"/>
    </row>
    <row r="2013" spans="1:1" ht="18.75" x14ac:dyDescent="0.25">
      <c r="A2013" s="6"/>
    </row>
    <row r="2014" spans="1:1" ht="18.75" x14ac:dyDescent="0.25">
      <c r="A2014" s="6"/>
    </row>
    <row r="2015" spans="1:1" ht="18.75" x14ac:dyDescent="0.25">
      <c r="A2015" s="6"/>
    </row>
    <row r="2016" spans="1:1" ht="18.75" x14ac:dyDescent="0.25">
      <c r="A2016" s="6"/>
    </row>
    <row r="2017" spans="1:1" ht="18.75" x14ac:dyDescent="0.25">
      <c r="A2017" s="6"/>
    </row>
    <row r="2018" spans="1:1" ht="18.75" x14ac:dyDescent="0.25">
      <c r="A2018" s="6"/>
    </row>
    <row r="2019" spans="1:1" ht="18.75" x14ac:dyDescent="0.25">
      <c r="A2019" s="6"/>
    </row>
    <row r="2020" spans="1:1" ht="18.75" x14ac:dyDescent="0.25">
      <c r="A2020" s="6"/>
    </row>
    <row r="2021" spans="1:1" ht="18.75" x14ac:dyDescent="0.25">
      <c r="A2021" s="6"/>
    </row>
    <row r="2022" spans="1:1" ht="18.75" x14ac:dyDescent="0.25">
      <c r="A2022" s="6"/>
    </row>
    <row r="2023" spans="1:1" ht="18.75" x14ac:dyDescent="0.25">
      <c r="A2023" s="6"/>
    </row>
    <row r="2024" spans="1:1" ht="18.75" x14ac:dyDescent="0.25">
      <c r="A2024" s="6"/>
    </row>
    <row r="2025" spans="1:1" ht="18.75" x14ac:dyDescent="0.25">
      <c r="A2025" s="6"/>
    </row>
    <row r="2026" spans="1:1" ht="18.75" x14ac:dyDescent="0.25">
      <c r="A2026" s="6"/>
    </row>
    <row r="2027" spans="1:1" ht="18.75" x14ac:dyDescent="0.25">
      <c r="A2027" s="6"/>
    </row>
    <row r="2028" spans="1:1" ht="18.75" x14ac:dyDescent="0.25">
      <c r="A2028" s="6"/>
    </row>
    <row r="2029" spans="1:1" ht="18.75" x14ac:dyDescent="0.25">
      <c r="A2029" s="6"/>
    </row>
    <row r="2030" spans="1:1" ht="18.75" x14ac:dyDescent="0.25">
      <c r="A2030" s="6"/>
    </row>
    <row r="2031" spans="1:1" ht="18.75" x14ac:dyDescent="0.25">
      <c r="A2031" s="6"/>
    </row>
    <row r="2032" spans="1:1" ht="18.75" x14ac:dyDescent="0.25">
      <c r="A2032" s="6"/>
    </row>
    <row r="2033" spans="1:1" ht="18.75" x14ac:dyDescent="0.25">
      <c r="A2033" s="6"/>
    </row>
    <row r="2034" spans="1:1" ht="18.75" x14ac:dyDescent="0.25">
      <c r="A2034" s="6"/>
    </row>
    <row r="2035" spans="1:1" ht="18.75" x14ac:dyDescent="0.25">
      <c r="A2035" s="6"/>
    </row>
    <row r="2036" spans="1:1" ht="18.75" x14ac:dyDescent="0.25">
      <c r="A2036" s="6"/>
    </row>
    <row r="2037" spans="1:1" ht="18.75" x14ac:dyDescent="0.25">
      <c r="A2037" s="6"/>
    </row>
    <row r="2038" spans="1:1" ht="18.75" x14ac:dyDescent="0.25">
      <c r="A2038" s="6"/>
    </row>
    <row r="2039" spans="1:1" ht="18.75" x14ac:dyDescent="0.25">
      <c r="A2039" s="6"/>
    </row>
    <row r="2040" spans="1:1" ht="18.75" x14ac:dyDescent="0.25">
      <c r="A2040" s="6"/>
    </row>
    <row r="2041" spans="1:1" ht="18.75" x14ac:dyDescent="0.25">
      <c r="A2041" s="6"/>
    </row>
    <row r="2042" spans="1:1" ht="18.75" x14ac:dyDescent="0.25">
      <c r="A2042" s="6"/>
    </row>
    <row r="2043" spans="1:1" ht="18.75" x14ac:dyDescent="0.25">
      <c r="A2043" s="6"/>
    </row>
    <row r="2044" spans="1:1" ht="18.75" x14ac:dyDescent="0.25">
      <c r="A2044" s="6"/>
    </row>
    <row r="2045" spans="1:1" ht="18.75" x14ac:dyDescent="0.25">
      <c r="A2045" s="6"/>
    </row>
    <row r="2046" spans="1:1" ht="18.75" x14ac:dyDescent="0.25">
      <c r="A2046" s="6"/>
    </row>
    <row r="2047" spans="1:1" ht="18.75" x14ac:dyDescent="0.25">
      <c r="A2047" s="6"/>
    </row>
    <row r="2048" spans="1:1" ht="18.75" x14ac:dyDescent="0.25">
      <c r="A2048" s="6"/>
    </row>
    <row r="2049" spans="1:1" ht="18.75" x14ac:dyDescent="0.25">
      <c r="A2049" s="6"/>
    </row>
    <row r="2050" spans="1:1" ht="18.75" x14ac:dyDescent="0.25">
      <c r="A2050" s="6"/>
    </row>
    <row r="2051" spans="1:1" ht="18.75" x14ac:dyDescent="0.25">
      <c r="A2051" s="6"/>
    </row>
    <row r="2052" spans="1:1" ht="18.75" x14ac:dyDescent="0.25">
      <c r="A2052" s="6"/>
    </row>
    <row r="2053" spans="1:1" ht="18.75" x14ac:dyDescent="0.25">
      <c r="A2053" s="6"/>
    </row>
    <row r="2054" spans="1:1" ht="18.75" x14ac:dyDescent="0.25">
      <c r="A2054" s="6"/>
    </row>
    <row r="2055" spans="1:1" ht="18.75" x14ac:dyDescent="0.25">
      <c r="A2055" s="6"/>
    </row>
    <row r="2056" spans="1:1" ht="18.75" x14ac:dyDescent="0.25">
      <c r="A2056" s="6"/>
    </row>
    <row r="2057" spans="1:1" ht="18.75" x14ac:dyDescent="0.25">
      <c r="A2057" s="6"/>
    </row>
    <row r="2058" spans="1:1" ht="18.75" x14ac:dyDescent="0.25">
      <c r="A2058" s="6"/>
    </row>
    <row r="2059" spans="1:1" ht="18.75" x14ac:dyDescent="0.25">
      <c r="A2059" s="6"/>
    </row>
    <row r="2060" spans="1:1" ht="18.75" x14ac:dyDescent="0.25">
      <c r="A2060" s="6"/>
    </row>
    <row r="2061" spans="1:1" ht="18.75" x14ac:dyDescent="0.25">
      <c r="A2061" s="6"/>
    </row>
    <row r="2062" spans="1:1" ht="18.75" x14ac:dyDescent="0.25">
      <c r="A2062" s="6"/>
    </row>
    <row r="2063" spans="1:1" ht="18.75" x14ac:dyDescent="0.25">
      <c r="A2063" s="6"/>
    </row>
    <row r="2064" spans="1:1" ht="18.75" x14ac:dyDescent="0.25">
      <c r="A2064" s="6"/>
    </row>
    <row r="2065" spans="1:1" ht="18.75" x14ac:dyDescent="0.25">
      <c r="A2065" s="6"/>
    </row>
    <row r="2066" spans="1:1" ht="18.75" x14ac:dyDescent="0.25">
      <c r="A2066" s="6"/>
    </row>
    <row r="2067" spans="1:1" ht="18.75" x14ac:dyDescent="0.25">
      <c r="A2067" s="6"/>
    </row>
    <row r="2068" spans="1:1" ht="18.75" x14ac:dyDescent="0.25">
      <c r="A2068" s="6"/>
    </row>
    <row r="2069" spans="1:1" ht="18.75" x14ac:dyDescent="0.25">
      <c r="A2069" s="6"/>
    </row>
    <row r="2070" spans="1:1" ht="18.75" x14ac:dyDescent="0.25">
      <c r="A2070" s="6"/>
    </row>
    <row r="2071" spans="1:1" ht="18.75" x14ac:dyDescent="0.25">
      <c r="A2071" s="6"/>
    </row>
    <row r="2072" spans="1:1" ht="18.75" x14ac:dyDescent="0.25">
      <c r="A2072" s="6"/>
    </row>
    <row r="2073" spans="1:1" ht="18.75" x14ac:dyDescent="0.25">
      <c r="A2073" s="6"/>
    </row>
    <row r="2074" spans="1:1" ht="18.75" x14ac:dyDescent="0.25">
      <c r="A2074" s="6"/>
    </row>
    <row r="2075" spans="1:1" ht="18.75" x14ac:dyDescent="0.25">
      <c r="A2075" s="6"/>
    </row>
    <row r="2076" spans="1:1" ht="18.75" x14ac:dyDescent="0.25">
      <c r="A2076" s="6"/>
    </row>
    <row r="2077" spans="1:1" ht="18.75" x14ac:dyDescent="0.25">
      <c r="A2077" s="6"/>
    </row>
    <row r="2078" spans="1:1" ht="18.75" x14ac:dyDescent="0.25">
      <c r="A2078" s="6"/>
    </row>
    <row r="2079" spans="1:1" ht="18.75" x14ac:dyDescent="0.25">
      <c r="A2079" s="6"/>
    </row>
    <row r="2080" spans="1:1" ht="18.75" x14ac:dyDescent="0.25">
      <c r="A2080" s="6"/>
    </row>
    <row r="2081" spans="1:1" ht="18.75" x14ac:dyDescent="0.25">
      <c r="A2081" s="6"/>
    </row>
    <row r="2082" spans="1:1" ht="18.75" x14ac:dyDescent="0.25">
      <c r="A2082" s="6"/>
    </row>
    <row r="2083" spans="1:1" ht="18.75" x14ac:dyDescent="0.25">
      <c r="A2083" s="6"/>
    </row>
    <row r="2084" spans="1:1" ht="18.75" x14ac:dyDescent="0.25">
      <c r="A2084" s="6"/>
    </row>
    <row r="2085" spans="1:1" ht="18.75" x14ac:dyDescent="0.25">
      <c r="A2085" s="6"/>
    </row>
    <row r="2086" spans="1:1" ht="18.75" x14ac:dyDescent="0.25">
      <c r="A2086" s="6"/>
    </row>
    <row r="2087" spans="1:1" ht="18.75" x14ac:dyDescent="0.25">
      <c r="A2087" s="6"/>
    </row>
    <row r="2088" spans="1:1" ht="18.75" x14ac:dyDescent="0.25">
      <c r="A2088" s="6"/>
    </row>
    <row r="2089" spans="1:1" ht="18.75" x14ac:dyDescent="0.25">
      <c r="A2089" s="6"/>
    </row>
    <row r="2090" spans="1:1" ht="18.75" x14ac:dyDescent="0.25">
      <c r="A2090" s="6"/>
    </row>
    <row r="2091" spans="1:1" ht="18.75" x14ac:dyDescent="0.25">
      <c r="A2091" s="6"/>
    </row>
    <row r="2092" spans="1:1" ht="18.75" x14ac:dyDescent="0.25">
      <c r="A2092" s="6"/>
    </row>
    <row r="2093" spans="1:1" ht="18.75" x14ac:dyDescent="0.25">
      <c r="A2093" s="6"/>
    </row>
    <row r="2094" spans="1:1" ht="18.75" x14ac:dyDescent="0.25">
      <c r="A2094" s="6"/>
    </row>
    <row r="2095" spans="1:1" ht="18.75" x14ac:dyDescent="0.25">
      <c r="A2095" s="6"/>
    </row>
    <row r="2096" spans="1:1" ht="18.75" x14ac:dyDescent="0.25">
      <c r="A2096" s="6"/>
    </row>
    <row r="2097" spans="1:1" ht="18.75" x14ac:dyDescent="0.25">
      <c r="A2097" s="6"/>
    </row>
    <row r="2098" spans="1:1" ht="18.75" x14ac:dyDescent="0.25">
      <c r="A2098" s="6"/>
    </row>
    <row r="2099" spans="1:1" ht="18.75" x14ac:dyDescent="0.25">
      <c r="A2099" s="6"/>
    </row>
    <row r="2100" spans="1:1" ht="18.75" x14ac:dyDescent="0.25">
      <c r="A2100" s="6"/>
    </row>
    <row r="2101" spans="1:1" ht="18.75" x14ac:dyDescent="0.25">
      <c r="A2101" s="6"/>
    </row>
    <row r="2102" spans="1:1" ht="18.75" x14ac:dyDescent="0.25">
      <c r="A2102" s="6"/>
    </row>
    <row r="2103" spans="1:1" ht="18.75" x14ac:dyDescent="0.25">
      <c r="A2103" s="6"/>
    </row>
    <row r="2104" spans="1:1" ht="18.75" x14ac:dyDescent="0.25">
      <c r="A2104" s="6"/>
    </row>
    <row r="2105" spans="1:1" ht="18.75" x14ac:dyDescent="0.25">
      <c r="A2105" s="6"/>
    </row>
    <row r="2106" spans="1:1" ht="18.75" x14ac:dyDescent="0.25">
      <c r="A2106" s="6"/>
    </row>
    <row r="2107" spans="1:1" ht="18.75" x14ac:dyDescent="0.25">
      <c r="A2107" s="6"/>
    </row>
    <row r="2108" spans="1:1" ht="18.75" x14ac:dyDescent="0.25">
      <c r="A2108" s="6"/>
    </row>
    <row r="2109" spans="1:1" ht="18.75" x14ac:dyDescent="0.25">
      <c r="A2109" s="6"/>
    </row>
    <row r="2110" spans="1:1" ht="18.75" x14ac:dyDescent="0.25">
      <c r="A2110" s="6"/>
    </row>
    <row r="2111" spans="1:1" ht="18.75" x14ac:dyDescent="0.25">
      <c r="A2111" s="6"/>
    </row>
    <row r="2112" spans="1:1" ht="18.75" x14ac:dyDescent="0.25">
      <c r="A2112" s="6"/>
    </row>
    <row r="2113" spans="1:1" ht="18.75" x14ac:dyDescent="0.25">
      <c r="A2113" s="6"/>
    </row>
    <row r="2114" spans="1:1" ht="18.75" x14ac:dyDescent="0.25">
      <c r="A2114" s="6"/>
    </row>
    <row r="2115" spans="1:1" ht="18.75" x14ac:dyDescent="0.25">
      <c r="A2115" s="6"/>
    </row>
    <row r="2116" spans="1:1" ht="18.75" x14ac:dyDescent="0.25">
      <c r="A2116" s="6"/>
    </row>
    <row r="2117" spans="1:1" ht="18.75" x14ac:dyDescent="0.25">
      <c r="A2117" s="6"/>
    </row>
    <row r="2118" spans="1:1" ht="18.75" x14ac:dyDescent="0.25">
      <c r="A2118" s="6"/>
    </row>
    <row r="2119" spans="1:1" ht="18.75" x14ac:dyDescent="0.25">
      <c r="A2119" s="6"/>
    </row>
    <row r="2120" spans="1:1" ht="18.75" x14ac:dyDescent="0.25">
      <c r="A2120" s="6"/>
    </row>
    <row r="2121" spans="1:1" ht="18.75" x14ac:dyDescent="0.25">
      <c r="A2121" s="6"/>
    </row>
    <row r="2122" spans="1:1" ht="18.75" x14ac:dyDescent="0.25">
      <c r="A2122" s="6"/>
    </row>
    <row r="2123" spans="1:1" ht="18.75" x14ac:dyDescent="0.25">
      <c r="A2123" s="6"/>
    </row>
    <row r="2124" spans="1:1" ht="18.75" x14ac:dyDescent="0.25">
      <c r="A2124" s="6"/>
    </row>
    <row r="2125" spans="1:1" ht="18.75" x14ac:dyDescent="0.25">
      <c r="A2125" s="6"/>
    </row>
    <row r="2126" spans="1:1" ht="18.75" x14ac:dyDescent="0.25">
      <c r="A2126" s="6"/>
    </row>
    <row r="2127" spans="1:1" ht="18.75" x14ac:dyDescent="0.25">
      <c r="A2127" s="6"/>
    </row>
    <row r="2128" spans="1:1" ht="18.75" x14ac:dyDescent="0.25">
      <c r="A2128" s="6"/>
    </row>
    <row r="2129" spans="1:1" ht="18.75" x14ac:dyDescent="0.25">
      <c r="A2129" s="6"/>
    </row>
    <row r="2130" spans="1:1" ht="18.75" x14ac:dyDescent="0.25">
      <c r="A2130" s="6"/>
    </row>
    <row r="2131" spans="1:1" ht="18.75" x14ac:dyDescent="0.25">
      <c r="A2131" s="6"/>
    </row>
    <row r="2132" spans="1:1" ht="18.75" x14ac:dyDescent="0.25">
      <c r="A2132" s="6"/>
    </row>
    <row r="2133" spans="1:1" ht="18.75" x14ac:dyDescent="0.25">
      <c r="A2133" s="6"/>
    </row>
    <row r="2134" spans="1:1" ht="18.75" x14ac:dyDescent="0.25">
      <c r="A2134" s="6"/>
    </row>
    <row r="2135" spans="1:1" ht="18.75" x14ac:dyDescent="0.25">
      <c r="A2135" s="6"/>
    </row>
    <row r="2136" spans="1:1" ht="18.75" x14ac:dyDescent="0.25">
      <c r="A2136" s="6"/>
    </row>
    <row r="2137" spans="1:1" ht="18.75" x14ac:dyDescent="0.25">
      <c r="A2137" s="6"/>
    </row>
    <row r="2138" spans="1:1" ht="18.75" x14ac:dyDescent="0.25">
      <c r="A2138" s="6"/>
    </row>
    <row r="2139" spans="1:1" ht="18.75" x14ac:dyDescent="0.25">
      <c r="A2139" s="6"/>
    </row>
    <row r="2140" spans="1:1" ht="18.75" x14ac:dyDescent="0.25">
      <c r="A2140" s="6"/>
    </row>
    <row r="2141" spans="1:1" ht="18.75" x14ac:dyDescent="0.25">
      <c r="A2141" s="6"/>
    </row>
    <row r="2142" spans="1:1" ht="18.75" x14ac:dyDescent="0.25">
      <c r="A2142" s="6"/>
    </row>
    <row r="2143" spans="1:1" ht="18.75" x14ac:dyDescent="0.25">
      <c r="A2143" s="6"/>
    </row>
    <row r="2144" spans="1:1" ht="18.75" x14ac:dyDescent="0.25">
      <c r="A2144" s="6"/>
    </row>
    <row r="2145" spans="1:1" ht="18.75" x14ac:dyDescent="0.25">
      <c r="A2145" s="6"/>
    </row>
    <row r="2146" spans="1:1" ht="18.75" x14ac:dyDescent="0.25">
      <c r="A2146" s="6"/>
    </row>
    <row r="2147" spans="1:1" ht="18.75" x14ac:dyDescent="0.25">
      <c r="A2147" s="6"/>
    </row>
    <row r="2148" spans="1:1" ht="18.75" x14ac:dyDescent="0.25">
      <c r="A2148" s="6"/>
    </row>
    <row r="2149" spans="1:1" ht="18.75" x14ac:dyDescent="0.25">
      <c r="A2149" s="6"/>
    </row>
    <row r="2150" spans="1:1" ht="18.75" x14ac:dyDescent="0.25">
      <c r="A2150" s="6"/>
    </row>
    <row r="2151" spans="1:1" ht="18.75" x14ac:dyDescent="0.25">
      <c r="A2151" s="6"/>
    </row>
    <row r="2152" spans="1:1" ht="18.75" x14ac:dyDescent="0.25">
      <c r="A2152" s="6"/>
    </row>
    <row r="2153" spans="1:1" ht="18.75" x14ac:dyDescent="0.25">
      <c r="A2153" s="6"/>
    </row>
    <row r="2154" spans="1:1" ht="18.75" x14ac:dyDescent="0.25">
      <c r="A2154" s="6"/>
    </row>
    <row r="2155" spans="1:1" ht="18.75" x14ac:dyDescent="0.25">
      <c r="A2155" s="6"/>
    </row>
    <row r="2156" spans="1:1" ht="18.75" x14ac:dyDescent="0.25">
      <c r="A2156" s="6"/>
    </row>
    <row r="2157" spans="1:1" ht="18.75" x14ac:dyDescent="0.25">
      <c r="A2157" s="6"/>
    </row>
    <row r="2158" spans="1:1" ht="18.75" x14ac:dyDescent="0.25">
      <c r="A2158" s="6"/>
    </row>
    <row r="2159" spans="1:1" ht="18.75" x14ac:dyDescent="0.25">
      <c r="A2159" s="6"/>
    </row>
    <row r="2160" spans="1:1" ht="18.75" x14ac:dyDescent="0.25">
      <c r="A2160" s="6"/>
    </row>
    <row r="2161" spans="1:1" ht="18.75" x14ac:dyDescent="0.25">
      <c r="A2161" s="6"/>
    </row>
    <row r="2162" spans="1:1" ht="18.75" x14ac:dyDescent="0.25">
      <c r="A2162" s="6"/>
    </row>
    <row r="2163" spans="1:1" ht="18.75" x14ac:dyDescent="0.25">
      <c r="A2163" s="6"/>
    </row>
    <row r="2164" spans="1:1" ht="18.75" x14ac:dyDescent="0.25">
      <c r="A2164" s="6"/>
    </row>
    <row r="2165" spans="1:1" ht="18.75" x14ac:dyDescent="0.25">
      <c r="A2165" s="6"/>
    </row>
    <row r="2166" spans="1:1" ht="18.75" x14ac:dyDescent="0.25">
      <c r="A2166" s="6"/>
    </row>
    <row r="2167" spans="1:1" ht="18.75" x14ac:dyDescent="0.25">
      <c r="A2167" s="6"/>
    </row>
    <row r="2168" spans="1:1" ht="18.75" x14ac:dyDescent="0.25">
      <c r="A2168" s="6"/>
    </row>
    <row r="2169" spans="1:1" ht="18.75" x14ac:dyDescent="0.25">
      <c r="A2169" s="6"/>
    </row>
    <row r="2170" spans="1:1" ht="18.75" x14ac:dyDescent="0.25">
      <c r="A2170" s="6"/>
    </row>
    <row r="2171" spans="1:1" ht="18.75" x14ac:dyDescent="0.25">
      <c r="A2171" s="6"/>
    </row>
    <row r="2172" spans="1:1" ht="18.75" x14ac:dyDescent="0.25">
      <c r="A2172" s="6"/>
    </row>
    <row r="2173" spans="1:1" ht="18.75" x14ac:dyDescent="0.25">
      <c r="A2173" s="6"/>
    </row>
    <row r="2174" spans="1:1" ht="18.75" x14ac:dyDescent="0.25">
      <c r="A2174" s="6"/>
    </row>
    <row r="2175" spans="1:1" ht="18.75" x14ac:dyDescent="0.25">
      <c r="A2175" s="6"/>
    </row>
    <row r="2176" spans="1:1" ht="18.75" x14ac:dyDescent="0.25">
      <c r="A2176" s="6"/>
    </row>
    <row r="2177" spans="1:1" ht="18.75" x14ac:dyDescent="0.25">
      <c r="A2177" s="6"/>
    </row>
    <row r="2178" spans="1:1" ht="18.75" x14ac:dyDescent="0.25">
      <c r="A2178" s="6"/>
    </row>
    <row r="2179" spans="1:1" ht="18.75" x14ac:dyDescent="0.25">
      <c r="A2179" s="6"/>
    </row>
    <row r="2180" spans="1:1" ht="18.75" x14ac:dyDescent="0.25">
      <c r="A2180" s="6"/>
    </row>
    <row r="2181" spans="1:1" ht="18.75" x14ac:dyDescent="0.25">
      <c r="A2181" s="6"/>
    </row>
    <row r="2182" spans="1:1" ht="18.75" x14ac:dyDescent="0.25">
      <c r="A2182" s="6"/>
    </row>
    <row r="2183" spans="1:1" ht="18.75" x14ac:dyDescent="0.25">
      <c r="A2183" s="6"/>
    </row>
    <row r="2184" spans="1:1" ht="18.75" x14ac:dyDescent="0.25">
      <c r="A2184" s="6"/>
    </row>
    <row r="2185" spans="1:1" ht="18.75" x14ac:dyDescent="0.25">
      <c r="A2185" s="6"/>
    </row>
    <row r="2186" spans="1:1" ht="18.75" x14ac:dyDescent="0.25">
      <c r="A2186" s="6"/>
    </row>
    <row r="2187" spans="1:1" ht="18.75" x14ac:dyDescent="0.25">
      <c r="A2187" s="6"/>
    </row>
    <row r="2188" spans="1:1" ht="18.75" x14ac:dyDescent="0.25">
      <c r="A2188" s="6"/>
    </row>
    <row r="2189" spans="1:1" ht="18.75" x14ac:dyDescent="0.25">
      <c r="A2189" s="6"/>
    </row>
    <row r="2190" spans="1:1" ht="18.75" x14ac:dyDescent="0.25">
      <c r="A2190" s="6"/>
    </row>
    <row r="2191" spans="1:1" ht="18.75" x14ac:dyDescent="0.25">
      <c r="A2191" s="6"/>
    </row>
    <row r="2192" spans="1:1" ht="18.75" x14ac:dyDescent="0.25">
      <c r="A2192" s="6"/>
    </row>
    <row r="2193" spans="1:1" ht="18.75" x14ac:dyDescent="0.25">
      <c r="A2193" s="6"/>
    </row>
    <row r="2194" spans="1:1" ht="18.75" x14ac:dyDescent="0.25">
      <c r="A2194" s="6"/>
    </row>
    <row r="2195" spans="1:1" ht="18.75" x14ac:dyDescent="0.25">
      <c r="A2195" s="6"/>
    </row>
    <row r="2196" spans="1:1" ht="18.75" x14ac:dyDescent="0.25">
      <c r="A2196" s="6"/>
    </row>
    <row r="2197" spans="1:1" ht="18.75" x14ac:dyDescent="0.25">
      <c r="A2197" s="6"/>
    </row>
    <row r="2198" spans="1:1" ht="18.75" x14ac:dyDescent="0.25">
      <c r="A2198" s="6"/>
    </row>
    <row r="2199" spans="1:1" ht="18.75" x14ac:dyDescent="0.25">
      <c r="A2199" s="6"/>
    </row>
    <row r="2200" spans="1:1" ht="18.75" x14ac:dyDescent="0.25">
      <c r="A2200" s="6"/>
    </row>
    <row r="2201" spans="1:1" ht="18.75" x14ac:dyDescent="0.25">
      <c r="A2201" s="6"/>
    </row>
    <row r="2202" spans="1:1" ht="18.75" x14ac:dyDescent="0.25">
      <c r="A2202" s="6"/>
    </row>
    <row r="2203" spans="1:1" ht="18.75" x14ac:dyDescent="0.25">
      <c r="A2203" s="6"/>
    </row>
    <row r="2204" spans="1:1" ht="18.75" x14ac:dyDescent="0.25">
      <c r="A2204" s="6"/>
    </row>
    <row r="2205" spans="1:1" ht="18.75" x14ac:dyDescent="0.25">
      <c r="A2205" s="6"/>
    </row>
    <row r="2206" spans="1:1" ht="18.75" x14ac:dyDescent="0.25">
      <c r="A2206" s="6"/>
    </row>
    <row r="2207" spans="1:1" ht="18.75" x14ac:dyDescent="0.25">
      <c r="A2207" s="6"/>
    </row>
    <row r="2208" spans="1:1" ht="18.75" x14ac:dyDescent="0.25">
      <c r="A2208" s="6"/>
    </row>
    <row r="2209" spans="1:1" ht="18.75" x14ac:dyDescent="0.25">
      <c r="A2209" s="6"/>
    </row>
    <row r="2210" spans="1:1" ht="18.75" x14ac:dyDescent="0.25">
      <c r="A2210" s="6"/>
    </row>
    <row r="2211" spans="1:1" ht="18.75" x14ac:dyDescent="0.25">
      <c r="A2211" s="6"/>
    </row>
    <row r="2212" spans="1:1" ht="18.75" x14ac:dyDescent="0.25">
      <c r="A2212" s="6"/>
    </row>
    <row r="2213" spans="1:1" ht="18.75" x14ac:dyDescent="0.25">
      <c r="A2213" s="6"/>
    </row>
    <row r="2214" spans="1:1" ht="18.75" x14ac:dyDescent="0.25">
      <c r="A2214" s="6"/>
    </row>
    <row r="2215" spans="1:1" ht="18.75" x14ac:dyDescent="0.25">
      <c r="A2215" s="6"/>
    </row>
    <row r="2216" spans="1:1" ht="18.75" x14ac:dyDescent="0.25">
      <c r="A2216" s="6"/>
    </row>
    <row r="2217" spans="1:1" ht="18.75" x14ac:dyDescent="0.25">
      <c r="A2217" s="6"/>
    </row>
    <row r="2218" spans="1:1" ht="18.75" x14ac:dyDescent="0.25">
      <c r="A2218" s="6"/>
    </row>
    <row r="2219" spans="1:1" ht="18.75" x14ac:dyDescent="0.25">
      <c r="A2219" s="6"/>
    </row>
    <row r="2220" spans="1:1" ht="18.75" x14ac:dyDescent="0.25">
      <c r="A2220" s="6"/>
    </row>
    <row r="2221" spans="1:1" ht="18.75" x14ac:dyDescent="0.25">
      <c r="A2221" s="6"/>
    </row>
    <row r="2222" spans="1:1" ht="18.75" x14ac:dyDescent="0.25">
      <c r="A2222" s="6"/>
    </row>
    <row r="2223" spans="1:1" ht="18.75" x14ac:dyDescent="0.25">
      <c r="A2223" s="6"/>
    </row>
    <row r="2224" spans="1:1" ht="18.75" x14ac:dyDescent="0.25">
      <c r="A2224" s="6"/>
    </row>
    <row r="2225" spans="1:1" ht="18.75" x14ac:dyDescent="0.25">
      <c r="A2225" s="6"/>
    </row>
    <row r="2226" spans="1:1" ht="18.75" x14ac:dyDescent="0.25">
      <c r="A2226" s="6"/>
    </row>
    <row r="2227" spans="1:1" ht="18.75" x14ac:dyDescent="0.25">
      <c r="A2227" s="6"/>
    </row>
    <row r="2228" spans="1:1" ht="18.75" x14ac:dyDescent="0.25">
      <c r="A2228" s="6"/>
    </row>
    <row r="2229" spans="1:1" ht="18.75" x14ac:dyDescent="0.25">
      <c r="A2229" s="6"/>
    </row>
    <row r="2230" spans="1:1" ht="18.75" x14ac:dyDescent="0.25">
      <c r="A2230" s="6"/>
    </row>
    <row r="2231" spans="1:1" ht="18.75" x14ac:dyDescent="0.25">
      <c r="A2231" s="6"/>
    </row>
    <row r="2232" spans="1:1" ht="18.75" x14ac:dyDescent="0.25">
      <c r="A2232" s="6"/>
    </row>
    <row r="2233" spans="1:1" ht="18.75" x14ac:dyDescent="0.25">
      <c r="A2233" s="6"/>
    </row>
    <row r="2234" spans="1:1" ht="18.75" x14ac:dyDescent="0.25">
      <c r="A2234" s="6"/>
    </row>
    <row r="2235" spans="1:1" ht="18.75" x14ac:dyDescent="0.25">
      <c r="A2235" s="6"/>
    </row>
    <row r="2236" spans="1:1" ht="18.75" x14ac:dyDescent="0.25">
      <c r="A2236" s="6"/>
    </row>
    <row r="2237" spans="1:1" ht="18.75" x14ac:dyDescent="0.25">
      <c r="A2237" s="6"/>
    </row>
    <row r="2238" spans="1:1" ht="18.75" x14ac:dyDescent="0.25">
      <c r="A2238" s="6"/>
    </row>
    <row r="2239" spans="1:1" ht="18.75" x14ac:dyDescent="0.25">
      <c r="A2239" s="6"/>
    </row>
    <row r="2240" spans="1:1" ht="18.75" x14ac:dyDescent="0.25">
      <c r="A2240" s="6"/>
    </row>
    <row r="2241" spans="1:1" ht="18.75" x14ac:dyDescent="0.25">
      <c r="A2241" s="6"/>
    </row>
    <row r="2242" spans="1:1" ht="18.75" x14ac:dyDescent="0.25">
      <c r="A2242" s="6"/>
    </row>
    <row r="2243" spans="1:1" ht="18.75" x14ac:dyDescent="0.25">
      <c r="A2243" s="6"/>
    </row>
    <row r="2244" spans="1:1" ht="18.75" x14ac:dyDescent="0.25">
      <c r="A2244" s="6"/>
    </row>
    <row r="2245" spans="1:1" ht="18.75" x14ac:dyDescent="0.25">
      <c r="A2245" s="6"/>
    </row>
    <row r="2246" spans="1:1" ht="18.75" x14ac:dyDescent="0.25">
      <c r="A2246" s="6"/>
    </row>
    <row r="2247" spans="1:1" ht="18.75" x14ac:dyDescent="0.25">
      <c r="A2247" s="6"/>
    </row>
    <row r="2248" spans="1:1" ht="18.75" x14ac:dyDescent="0.25">
      <c r="A2248" s="6"/>
    </row>
    <row r="2249" spans="1:1" ht="18.75" x14ac:dyDescent="0.25">
      <c r="A2249" s="6"/>
    </row>
    <row r="2250" spans="1:1" ht="18.75" x14ac:dyDescent="0.25">
      <c r="A2250" s="6"/>
    </row>
    <row r="2251" spans="1:1" ht="18.75" x14ac:dyDescent="0.25">
      <c r="A2251" s="6"/>
    </row>
    <row r="2252" spans="1:1" ht="18.75" x14ac:dyDescent="0.25">
      <c r="A2252" s="6"/>
    </row>
    <row r="2253" spans="1:1" ht="18.75" x14ac:dyDescent="0.25">
      <c r="A2253" s="6"/>
    </row>
    <row r="2254" spans="1:1" ht="18.75" x14ac:dyDescent="0.25">
      <c r="A2254" s="6"/>
    </row>
    <row r="2255" spans="1:1" ht="18.75" x14ac:dyDescent="0.25">
      <c r="A2255" s="6"/>
    </row>
    <row r="2256" spans="1:1" ht="18.75" x14ac:dyDescent="0.25">
      <c r="A2256" s="6"/>
    </row>
    <row r="2257" spans="1:1" ht="18.75" x14ac:dyDescent="0.25">
      <c r="A2257" s="6"/>
    </row>
    <row r="2258" spans="1:1" ht="18.75" x14ac:dyDescent="0.25">
      <c r="A2258" s="6"/>
    </row>
    <row r="2259" spans="1:1" ht="18.75" x14ac:dyDescent="0.25">
      <c r="A2259" s="6"/>
    </row>
    <row r="2260" spans="1:1" ht="18.75" x14ac:dyDescent="0.25">
      <c r="A2260" s="6"/>
    </row>
    <row r="2261" spans="1:1" ht="18.75" x14ac:dyDescent="0.25">
      <c r="A2261" s="6"/>
    </row>
    <row r="2262" spans="1:1" ht="18.75" x14ac:dyDescent="0.25">
      <c r="A2262" s="6"/>
    </row>
    <row r="2263" spans="1:1" ht="18.75" x14ac:dyDescent="0.25">
      <c r="A2263" s="6"/>
    </row>
    <row r="2264" spans="1:1" ht="18.75" x14ac:dyDescent="0.25">
      <c r="A2264" s="6"/>
    </row>
    <row r="2265" spans="1:1" ht="18.75" x14ac:dyDescent="0.25">
      <c r="A2265" s="6"/>
    </row>
    <row r="2266" spans="1:1" ht="18.75" x14ac:dyDescent="0.25">
      <c r="A2266" s="6"/>
    </row>
    <row r="2267" spans="1:1" ht="18.75" x14ac:dyDescent="0.25">
      <c r="A2267" s="6"/>
    </row>
    <row r="2268" spans="1:1" ht="18.75" x14ac:dyDescent="0.25">
      <c r="A2268" s="6"/>
    </row>
    <row r="2269" spans="1:1" ht="18.75" x14ac:dyDescent="0.25">
      <c r="A2269" s="6"/>
    </row>
    <row r="2270" spans="1:1" ht="18.75" x14ac:dyDescent="0.25">
      <c r="A2270" s="6"/>
    </row>
    <row r="2271" spans="1:1" ht="18.75" x14ac:dyDescent="0.25">
      <c r="A2271" s="6"/>
    </row>
    <row r="2272" spans="1:1" ht="18.75" x14ac:dyDescent="0.25">
      <c r="A2272" s="6"/>
    </row>
    <row r="2273" spans="1:1" ht="18.75" x14ac:dyDescent="0.25">
      <c r="A2273" s="6"/>
    </row>
    <row r="2274" spans="1:1" ht="18.75" x14ac:dyDescent="0.25">
      <c r="A2274" s="6"/>
    </row>
    <row r="2275" spans="1:1" ht="18.75" x14ac:dyDescent="0.25">
      <c r="A2275" s="6"/>
    </row>
    <row r="2276" spans="1:1" ht="18.75" x14ac:dyDescent="0.25">
      <c r="A2276" s="6"/>
    </row>
    <row r="2277" spans="1:1" ht="18.75" x14ac:dyDescent="0.25">
      <c r="A2277" s="6"/>
    </row>
    <row r="2278" spans="1:1" ht="18.75" x14ac:dyDescent="0.25">
      <c r="A2278" s="6"/>
    </row>
    <row r="2279" spans="1:1" ht="18.75" x14ac:dyDescent="0.25">
      <c r="A2279" s="6"/>
    </row>
    <row r="2280" spans="1:1" ht="18.75" x14ac:dyDescent="0.25">
      <c r="A2280" s="6"/>
    </row>
    <row r="2281" spans="1:1" ht="18.75" x14ac:dyDescent="0.25">
      <c r="A2281" s="6"/>
    </row>
    <row r="2282" spans="1:1" ht="18.75" x14ac:dyDescent="0.25">
      <c r="A2282" s="6"/>
    </row>
    <row r="2283" spans="1:1" ht="18.75" x14ac:dyDescent="0.25">
      <c r="A2283" s="6"/>
    </row>
    <row r="2284" spans="1:1" ht="18.75" x14ac:dyDescent="0.25">
      <c r="A2284" s="6"/>
    </row>
    <row r="2285" spans="1:1" ht="18.75" x14ac:dyDescent="0.25">
      <c r="A2285" s="6"/>
    </row>
    <row r="2286" spans="1:1" ht="18.75" x14ac:dyDescent="0.25">
      <c r="A2286" s="6"/>
    </row>
    <row r="2287" spans="1:1" ht="18.75" x14ac:dyDescent="0.25">
      <c r="A2287" s="6"/>
    </row>
    <row r="2288" spans="1:1" ht="18.75" x14ac:dyDescent="0.25">
      <c r="A2288" s="6"/>
    </row>
    <row r="2289" spans="1:1" ht="18.75" x14ac:dyDescent="0.25">
      <c r="A2289" s="6"/>
    </row>
    <row r="2290" spans="1:1" ht="18.75" x14ac:dyDescent="0.25">
      <c r="A2290" s="6"/>
    </row>
    <row r="2291" spans="1:1" ht="18.75" x14ac:dyDescent="0.25">
      <c r="A2291" s="6"/>
    </row>
    <row r="2292" spans="1:1" ht="18.75" x14ac:dyDescent="0.25">
      <c r="A2292" s="6"/>
    </row>
    <row r="2293" spans="1:1" ht="18.75" x14ac:dyDescent="0.25">
      <c r="A2293" s="6"/>
    </row>
    <row r="2294" spans="1:1" ht="18.75" x14ac:dyDescent="0.25">
      <c r="A2294" s="6"/>
    </row>
    <row r="2295" spans="1:1" ht="18.75" x14ac:dyDescent="0.25">
      <c r="A2295" s="6"/>
    </row>
    <row r="2296" spans="1:1" ht="18.75" x14ac:dyDescent="0.25">
      <c r="A2296" s="6"/>
    </row>
    <row r="2297" spans="1:1" ht="18.75" x14ac:dyDescent="0.25">
      <c r="A2297" s="6"/>
    </row>
    <row r="2298" spans="1:1" ht="18.75" x14ac:dyDescent="0.25">
      <c r="A2298" s="6"/>
    </row>
    <row r="2299" spans="1:1" ht="18.75" x14ac:dyDescent="0.25">
      <c r="A2299" s="6"/>
    </row>
    <row r="2300" spans="1:1" ht="18.75" x14ac:dyDescent="0.25">
      <c r="A2300" s="6"/>
    </row>
    <row r="2301" spans="1:1" ht="18.75" x14ac:dyDescent="0.25">
      <c r="A2301" s="6"/>
    </row>
    <row r="2302" spans="1:1" ht="18.75" x14ac:dyDescent="0.25">
      <c r="A2302" s="6"/>
    </row>
    <row r="2303" spans="1:1" ht="18.75" x14ac:dyDescent="0.25">
      <c r="A2303" s="6"/>
    </row>
    <row r="2304" spans="1:1" ht="18.75" x14ac:dyDescent="0.25">
      <c r="A2304" s="6"/>
    </row>
    <row r="2305" spans="1:1" ht="18.75" x14ac:dyDescent="0.25">
      <c r="A2305" s="6"/>
    </row>
    <row r="2306" spans="1:1" ht="18.75" x14ac:dyDescent="0.25">
      <c r="A2306" s="6"/>
    </row>
    <row r="2307" spans="1:1" ht="18.75" x14ac:dyDescent="0.25">
      <c r="A2307" s="6"/>
    </row>
    <row r="2308" spans="1:1" ht="18.75" x14ac:dyDescent="0.25">
      <c r="A2308" s="6"/>
    </row>
    <row r="2309" spans="1:1" ht="18.75" x14ac:dyDescent="0.25">
      <c r="A2309" s="6"/>
    </row>
    <row r="2310" spans="1:1" ht="18.75" x14ac:dyDescent="0.25">
      <c r="A2310" s="6"/>
    </row>
    <row r="2311" spans="1:1" ht="18.75" x14ac:dyDescent="0.25">
      <c r="A2311" s="6"/>
    </row>
    <row r="2312" spans="1:1" ht="18.75" x14ac:dyDescent="0.25">
      <c r="A2312" s="6"/>
    </row>
    <row r="2313" spans="1:1" ht="18.75" x14ac:dyDescent="0.25">
      <c r="A2313" s="6"/>
    </row>
    <row r="2314" spans="1:1" ht="18.75" x14ac:dyDescent="0.25">
      <c r="A2314" s="6"/>
    </row>
    <row r="2315" spans="1:1" ht="18.75" x14ac:dyDescent="0.25">
      <c r="A2315" s="6"/>
    </row>
    <row r="2316" spans="1:1" ht="18.75" x14ac:dyDescent="0.25">
      <c r="A2316" s="6"/>
    </row>
    <row r="2317" spans="1:1" ht="18.75" x14ac:dyDescent="0.25">
      <c r="A2317" s="6"/>
    </row>
    <row r="2318" spans="1:1" ht="18.75" x14ac:dyDescent="0.25">
      <c r="A2318" s="6"/>
    </row>
    <row r="2319" spans="1:1" ht="18.75" x14ac:dyDescent="0.25">
      <c r="A2319" s="6"/>
    </row>
    <row r="2320" spans="1:1" ht="18.75" x14ac:dyDescent="0.25">
      <c r="A2320" s="6"/>
    </row>
    <row r="2321" spans="1:1" ht="18.75" x14ac:dyDescent="0.25">
      <c r="A2321" s="6"/>
    </row>
    <row r="2322" spans="1:1" ht="18.75" x14ac:dyDescent="0.25">
      <c r="A2322" s="6"/>
    </row>
    <row r="2323" spans="1:1" ht="18.75" x14ac:dyDescent="0.25">
      <c r="A2323" s="6"/>
    </row>
    <row r="2324" spans="1:1" ht="18.75" x14ac:dyDescent="0.25">
      <c r="A2324" s="6"/>
    </row>
    <row r="2325" spans="1:1" ht="18.75" x14ac:dyDescent="0.25">
      <c r="A2325" s="6"/>
    </row>
    <row r="2326" spans="1:1" ht="18.75" x14ac:dyDescent="0.25">
      <c r="A2326" s="6"/>
    </row>
    <row r="2327" spans="1:1" ht="18.75" x14ac:dyDescent="0.25">
      <c r="A2327" s="6"/>
    </row>
    <row r="2328" spans="1:1" ht="18.75" x14ac:dyDescent="0.25">
      <c r="A2328" s="6"/>
    </row>
    <row r="2329" spans="1:1" ht="18.75" x14ac:dyDescent="0.25">
      <c r="A2329" s="6"/>
    </row>
    <row r="2330" spans="1:1" ht="18.75" x14ac:dyDescent="0.25">
      <c r="A2330" s="6"/>
    </row>
    <row r="2331" spans="1:1" ht="18.75" x14ac:dyDescent="0.25">
      <c r="A2331" s="6"/>
    </row>
    <row r="2332" spans="1:1" ht="18.75" x14ac:dyDescent="0.25">
      <c r="A2332" s="6"/>
    </row>
    <row r="2333" spans="1:1" ht="18.75" x14ac:dyDescent="0.25">
      <c r="A2333" s="6"/>
    </row>
    <row r="2334" spans="1:1" ht="18.75" x14ac:dyDescent="0.25">
      <c r="A2334" s="6"/>
    </row>
    <row r="2335" spans="1:1" ht="18.75" x14ac:dyDescent="0.25">
      <c r="A2335" s="6"/>
    </row>
    <row r="2336" spans="1:1" ht="18.75" x14ac:dyDescent="0.25">
      <c r="A2336" s="6"/>
    </row>
    <row r="2337" spans="1:1" ht="18.75" x14ac:dyDescent="0.25">
      <c r="A2337" s="6"/>
    </row>
    <row r="2338" spans="1:1" ht="18.75" x14ac:dyDescent="0.25">
      <c r="A2338" s="6"/>
    </row>
    <row r="2339" spans="1:1" ht="18.75" x14ac:dyDescent="0.25">
      <c r="A2339" s="6"/>
    </row>
    <row r="2340" spans="1:1" ht="18.75" x14ac:dyDescent="0.25">
      <c r="A2340" s="6"/>
    </row>
    <row r="2341" spans="1:1" ht="18.75" x14ac:dyDescent="0.25">
      <c r="A2341" s="6"/>
    </row>
    <row r="2342" spans="1:1" ht="18.75" x14ac:dyDescent="0.25">
      <c r="A2342" s="6"/>
    </row>
    <row r="2343" spans="1:1" ht="18.75" x14ac:dyDescent="0.25">
      <c r="A2343" s="6"/>
    </row>
    <row r="2344" spans="1:1" ht="18.75" x14ac:dyDescent="0.25">
      <c r="A2344" s="6"/>
    </row>
    <row r="2345" spans="1:1" ht="18.75" x14ac:dyDescent="0.25">
      <c r="A2345" s="6"/>
    </row>
    <row r="2346" spans="1:1" ht="18.75" x14ac:dyDescent="0.25">
      <c r="A2346" s="6"/>
    </row>
    <row r="2347" spans="1:1" ht="18.75" x14ac:dyDescent="0.25">
      <c r="A2347" s="6"/>
    </row>
    <row r="2348" spans="1:1" ht="18.75" x14ac:dyDescent="0.25">
      <c r="A2348" s="6"/>
    </row>
    <row r="2349" spans="1:1" ht="18.75" x14ac:dyDescent="0.25">
      <c r="A2349" s="6"/>
    </row>
    <row r="2350" spans="1:1" ht="18.75" x14ac:dyDescent="0.25">
      <c r="A2350" s="6"/>
    </row>
    <row r="2351" spans="1:1" ht="18.75" x14ac:dyDescent="0.25">
      <c r="A2351" s="6"/>
    </row>
    <row r="2352" spans="1:1" ht="18.75" x14ac:dyDescent="0.25">
      <c r="A2352" s="6"/>
    </row>
    <row r="2353" spans="1:1" ht="18.75" x14ac:dyDescent="0.25">
      <c r="A2353" s="6"/>
    </row>
    <row r="2354" spans="1:1" ht="18.75" x14ac:dyDescent="0.25">
      <c r="A2354" s="6"/>
    </row>
    <row r="2355" spans="1:1" ht="18.75" x14ac:dyDescent="0.25">
      <c r="A2355" s="6"/>
    </row>
    <row r="2356" spans="1:1" ht="18.75" x14ac:dyDescent="0.25">
      <c r="A2356" s="6"/>
    </row>
    <row r="2357" spans="1:1" ht="18.75" x14ac:dyDescent="0.25">
      <c r="A2357" s="6"/>
    </row>
    <row r="2358" spans="1:1" ht="18.75" x14ac:dyDescent="0.25">
      <c r="A2358" s="6"/>
    </row>
    <row r="2359" spans="1:1" ht="18.75" x14ac:dyDescent="0.25">
      <c r="A2359" s="6"/>
    </row>
    <row r="2360" spans="1:1" ht="18.75" x14ac:dyDescent="0.25">
      <c r="A2360" s="6"/>
    </row>
    <row r="2361" spans="1:1" ht="18.75" x14ac:dyDescent="0.25">
      <c r="A2361" s="6"/>
    </row>
    <row r="2362" spans="1:1" ht="18.75" x14ac:dyDescent="0.25">
      <c r="A2362" s="6"/>
    </row>
    <row r="2363" spans="1:1" ht="18.75" x14ac:dyDescent="0.25">
      <c r="A2363" s="6"/>
    </row>
    <row r="2364" spans="1:1" ht="18.75" x14ac:dyDescent="0.25">
      <c r="A2364" s="6"/>
    </row>
    <row r="2365" spans="1:1" ht="18.75" x14ac:dyDescent="0.25">
      <c r="A2365" s="6"/>
    </row>
    <row r="2366" spans="1:1" ht="18.75" x14ac:dyDescent="0.25">
      <c r="A2366" s="6"/>
    </row>
    <row r="2367" spans="1:1" ht="18.75" x14ac:dyDescent="0.25">
      <c r="A2367" s="6"/>
    </row>
    <row r="2368" spans="1:1" ht="18.75" x14ac:dyDescent="0.25">
      <c r="A2368" s="6"/>
    </row>
    <row r="2369" spans="1:1" ht="18.75" x14ac:dyDescent="0.25">
      <c r="A2369" s="6"/>
    </row>
    <row r="2370" spans="1:1" ht="18.75" x14ac:dyDescent="0.25">
      <c r="A2370" s="6"/>
    </row>
    <row r="2371" spans="1:1" ht="18.75" x14ac:dyDescent="0.25">
      <c r="A2371" s="6"/>
    </row>
    <row r="2372" spans="1:1" ht="18.75" x14ac:dyDescent="0.25">
      <c r="A2372" s="6"/>
    </row>
    <row r="2373" spans="1:1" ht="18.75" x14ac:dyDescent="0.25">
      <c r="A2373" s="6"/>
    </row>
    <row r="2374" spans="1:1" ht="18.75" x14ac:dyDescent="0.25">
      <c r="A2374" s="6"/>
    </row>
    <row r="2375" spans="1:1" ht="18.75" x14ac:dyDescent="0.25">
      <c r="A2375" s="6"/>
    </row>
    <row r="2376" spans="1:1" ht="18.75" x14ac:dyDescent="0.25">
      <c r="A2376" s="6"/>
    </row>
    <row r="2377" spans="1:1" ht="18.75" x14ac:dyDescent="0.25">
      <c r="A2377" s="6"/>
    </row>
    <row r="2378" spans="1:1" ht="18.75" x14ac:dyDescent="0.25">
      <c r="A2378" s="6"/>
    </row>
    <row r="2379" spans="1:1" ht="18.75" x14ac:dyDescent="0.25">
      <c r="A2379" s="6"/>
    </row>
    <row r="2380" spans="1:1" ht="18.75" x14ac:dyDescent="0.25">
      <c r="A2380" s="6"/>
    </row>
    <row r="2381" spans="1:1" ht="18.75" x14ac:dyDescent="0.25">
      <c r="A2381" s="6"/>
    </row>
    <row r="2382" spans="1:1" ht="18.75" x14ac:dyDescent="0.25">
      <c r="A2382" s="6"/>
    </row>
    <row r="2383" spans="1:1" ht="18.75" x14ac:dyDescent="0.25">
      <c r="A2383" s="6"/>
    </row>
    <row r="2384" spans="1:1" ht="18.75" x14ac:dyDescent="0.25">
      <c r="A2384" s="6"/>
    </row>
    <row r="2385" spans="1:1" ht="18.75" x14ac:dyDescent="0.25">
      <c r="A2385" s="6"/>
    </row>
    <row r="2386" spans="1:1" ht="18.75" x14ac:dyDescent="0.25">
      <c r="A2386" s="6"/>
    </row>
    <row r="2387" spans="1:1" ht="18.75" x14ac:dyDescent="0.25">
      <c r="A2387" s="6"/>
    </row>
    <row r="2388" spans="1:1" ht="18.75" x14ac:dyDescent="0.25">
      <c r="A2388" s="6"/>
    </row>
    <row r="2389" spans="1:1" ht="18.75" x14ac:dyDescent="0.25">
      <c r="A2389" s="6"/>
    </row>
    <row r="2390" spans="1:1" ht="18.75" x14ac:dyDescent="0.25">
      <c r="A2390" s="6"/>
    </row>
    <row r="2391" spans="1:1" ht="18.75" x14ac:dyDescent="0.25">
      <c r="A2391" s="6"/>
    </row>
    <row r="2392" spans="1:1" ht="18.75" x14ac:dyDescent="0.25">
      <c r="A2392" s="6"/>
    </row>
    <row r="2393" spans="1:1" ht="18.75" x14ac:dyDescent="0.25">
      <c r="A2393" s="6"/>
    </row>
    <row r="2394" spans="1:1" ht="18.75" x14ac:dyDescent="0.25">
      <c r="A2394" s="6"/>
    </row>
    <row r="2395" spans="1:1" ht="18.75" x14ac:dyDescent="0.25">
      <c r="A2395" s="6"/>
    </row>
    <row r="2396" spans="1:1" ht="18.75" x14ac:dyDescent="0.25">
      <c r="A2396" s="6"/>
    </row>
    <row r="2397" spans="1:1" ht="18.75" x14ac:dyDescent="0.25">
      <c r="A2397" s="6"/>
    </row>
    <row r="2398" spans="1:1" ht="18.75" x14ac:dyDescent="0.25">
      <c r="A2398" s="6"/>
    </row>
    <row r="2399" spans="1:1" ht="18.75" x14ac:dyDescent="0.25">
      <c r="A2399" s="6"/>
    </row>
    <row r="2400" spans="1:1" ht="18.75" x14ac:dyDescent="0.25">
      <c r="A2400" s="6"/>
    </row>
    <row r="2401" spans="1:1" ht="18.75" x14ac:dyDescent="0.25">
      <c r="A2401" s="6"/>
    </row>
    <row r="2402" spans="1:1" ht="18.75" x14ac:dyDescent="0.25">
      <c r="A2402" s="6"/>
    </row>
    <row r="2403" spans="1:1" ht="18.75" x14ac:dyDescent="0.25">
      <c r="A2403" s="6"/>
    </row>
    <row r="2404" spans="1:1" ht="18.75" x14ac:dyDescent="0.25">
      <c r="A2404" s="6"/>
    </row>
    <row r="2405" spans="1:1" ht="18.75" x14ac:dyDescent="0.25">
      <c r="A2405" s="6"/>
    </row>
    <row r="2406" spans="1:1" ht="18.75" x14ac:dyDescent="0.25">
      <c r="A2406" s="6"/>
    </row>
    <row r="2407" spans="1:1" ht="18.75" x14ac:dyDescent="0.25">
      <c r="A2407" s="6"/>
    </row>
    <row r="2408" spans="1:1" ht="18.75" x14ac:dyDescent="0.25">
      <c r="A2408" s="6"/>
    </row>
    <row r="2409" spans="1:1" ht="18.75" x14ac:dyDescent="0.25">
      <c r="A2409" s="6"/>
    </row>
    <row r="2410" spans="1:1" ht="18.75" x14ac:dyDescent="0.25">
      <c r="A2410" s="6"/>
    </row>
    <row r="2411" spans="1:1" ht="18.75" x14ac:dyDescent="0.25">
      <c r="A2411" s="6"/>
    </row>
    <row r="2412" spans="1:1" ht="18.75" x14ac:dyDescent="0.25">
      <c r="A2412" s="6"/>
    </row>
    <row r="2413" spans="1:1" ht="18.75" x14ac:dyDescent="0.25">
      <c r="A2413" s="6"/>
    </row>
    <row r="2414" spans="1:1" ht="18.75" x14ac:dyDescent="0.25">
      <c r="A2414" s="6"/>
    </row>
    <row r="2415" spans="1:1" ht="18.75" x14ac:dyDescent="0.25">
      <c r="A2415" s="6"/>
    </row>
    <row r="2416" spans="1:1" ht="18.75" x14ac:dyDescent="0.25">
      <c r="A2416" s="6"/>
    </row>
    <row r="2417" spans="1:1" ht="18.75" x14ac:dyDescent="0.25">
      <c r="A2417" s="6"/>
    </row>
    <row r="2418" spans="1:1" ht="18.75" x14ac:dyDescent="0.25">
      <c r="A2418" s="6"/>
    </row>
    <row r="2419" spans="1:1" ht="18.75" x14ac:dyDescent="0.25">
      <c r="A2419" s="6"/>
    </row>
    <row r="2420" spans="1:1" ht="18.75" x14ac:dyDescent="0.25">
      <c r="A2420" s="6"/>
    </row>
    <row r="2421" spans="1:1" ht="18.75" x14ac:dyDescent="0.25">
      <c r="A2421" s="6"/>
    </row>
    <row r="2422" spans="1:1" ht="18.75" x14ac:dyDescent="0.25">
      <c r="A2422" s="6"/>
    </row>
    <row r="2423" spans="1:1" ht="18.75" x14ac:dyDescent="0.25">
      <c r="A2423" s="6"/>
    </row>
    <row r="2424" spans="1:1" ht="18.75" x14ac:dyDescent="0.25">
      <c r="A2424" s="6"/>
    </row>
    <row r="2425" spans="1:1" ht="18.75" x14ac:dyDescent="0.25">
      <c r="A2425" s="6"/>
    </row>
    <row r="2426" spans="1:1" ht="18.75" x14ac:dyDescent="0.25">
      <c r="A2426" s="6"/>
    </row>
    <row r="2427" spans="1:1" ht="18.75" x14ac:dyDescent="0.25">
      <c r="A2427" s="6"/>
    </row>
    <row r="2428" spans="1:1" ht="18.75" x14ac:dyDescent="0.25">
      <c r="A2428" s="6"/>
    </row>
    <row r="2429" spans="1:1" ht="18.75" x14ac:dyDescent="0.25">
      <c r="A2429" s="6"/>
    </row>
    <row r="2430" spans="1:1" ht="18.75" x14ac:dyDescent="0.25">
      <c r="A2430" s="6"/>
    </row>
    <row r="2431" spans="1:1" ht="18.75" x14ac:dyDescent="0.25">
      <c r="A2431" s="6"/>
    </row>
    <row r="2432" spans="1:1" ht="18.75" x14ac:dyDescent="0.25">
      <c r="A2432" s="6"/>
    </row>
    <row r="2433" spans="1:1" ht="18.75" x14ac:dyDescent="0.25">
      <c r="A2433" s="6"/>
    </row>
    <row r="2434" spans="1:1" ht="18.75" x14ac:dyDescent="0.25">
      <c r="A2434" s="6"/>
    </row>
    <row r="2435" spans="1:1" ht="18.75" x14ac:dyDescent="0.25">
      <c r="A2435" s="6"/>
    </row>
    <row r="2436" spans="1:1" ht="18.75" x14ac:dyDescent="0.25">
      <c r="A2436" s="6"/>
    </row>
    <row r="2437" spans="1:1" ht="18.75" x14ac:dyDescent="0.25">
      <c r="A2437" s="6"/>
    </row>
    <row r="2438" spans="1:1" ht="18.75" x14ac:dyDescent="0.25">
      <c r="A2438" s="6"/>
    </row>
    <row r="2439" spans="1:1" ht="18.75" x14ac:dyDescent="0.25">
      <c r="A2439" s="6"/>
    </row>
    <row r="2440" spans="1:1" ht="18.75" x14ac:dyDescent="0.25">
      <c r="A2440" s="6"/>
    </row>
    <row r="2441" spans="1:1" ht="18.75" x14ac:dyDescent="0.25">
      <c r="A2441" s="6"/>
    </row>
    <row r="2442" spans="1:1" ht="18.75" x14ac:dyDescent="0.25">
      <c r="A2442" s="6"/>
    </row>
    <row r="2443" spans="1:1" ht="18.75" x14ac:dyDescent="0.25">
      <c r="A2443" s="6"/>
    </row>
    <row r="2444" spans="1:1" ht="18.75" x14ac:dyDescent="0.25">
      <c r="A2444" s="6"/>
    </row>
    <row r="2445" spans="1:1" ht="18.75" x14ac:dyDescent="0.25">
      <c r="A2445" s="6"/>
    </row>
    <row r="2446" spans="1:1" ht="18.75" x14ac:dyDescent="0.25">
      <c r="A2446" s="6"/>
    </row>
    <row r="2447" spans="1:1" ht="18.75" x14ac:dyDescent="0.25">
      <c r="A2447" s="6"/>
    </row>
    <row r="2448" spans="1:1" ht="18.75" x14ac:dyDescent="0.25">
      <c r="A2448" s="6"/>
    </row>
    <row r="2449" spans="1:1" ht="18.75" x14ac:dyDescent="0.25">
      <c r="A2449" s="6"/>
    </row>
    <row r="2450" spans="1:1" ht="18.75" x14ac:dyDescent="0.25">
      <c r="A2450" s="6"/>
    </row>
    <row r="2451" spans="1:1" ht="18.75" x14ac:dyDescent="0.25">
      <c r="A2451" s="6"/>
    </row>
    <row r="2452" spans="1:1" ht="18.75" x14ac:dyDescent="0.25">
      <c r="A2452" s="6"/>
    </row>
    <row r="2453" spans="1:1" ht="18.75" x14ac:dyDescent="0.25">
      <c r="A2453" s="6"/>
    </row>
    <row r="2454" spans="1:1" ht="18.75" x14ac:dyDescent="0.25">
      <c r="A2454" s="6"/>
    </row>
    <row r="2455" spans="1:1" ht="18.75" x14ac:dyDescent="0.25">
      <c r="A2455" s="6"/>
    </row>
    <row r="2456" spans="1:1" ht="18.75" x14ac:dyDescent="0.25">
      <c r="A2456" s="6"/>
    </row>
    <row r="2457" spans="1:1" ht="18.75" x14ac:dyDescent="0.25">
      <c r="A2457" s="6"/>
    </row>
    <row r="2458" spans="1:1" ht="18.75" x14ac:dyDescent="0.25">
      <c r="A2458" s="6"/>
    </row>
    <row r="2459" spans="1:1" ht="18.75" x14ac:dyDescent="0.25">
      <c r="A2459" s="6"/>
    </row>
    <row r="2460" spans="1:1" ht="18.75" x14ac:dyDescent="0.25">
      <c r="A2460" s="6"/>
    </row>
    <row r="2461" spans="1:1" ht="18.75" x14ac:dyDescent="0.25">
      <c r="A2461" s="6"/>
    </row>
    <row r="2462" spans="1:1" ht="18.75" x14ac:dyDescent="0.25">
      <c r="A2462" s="6"/>
    </row>
    <row r="2463" spans="1:1" ht="18.75" x14ac:dyDescent="0.25">
      <c r="A2463" s="6"/>
    </row>
    <row r="2464" spans="1:1" ht="18.75" x14ac:dyDescent="0.25">
      <c r="A2464" s="6"/>
    </row>
    <row r="2465" spans="1:1" ht="18.75" x14ac:dyDescent="0.25">
      <c r="A2465" s="6"/>
    </row>
    <row r="2466" spans="1:1" ht="18.75" x14ac:dyDescent="0.25">
      <c r="A2466" s="6"/>
    </row>
    <row r="2467" spans="1:1" ht="18.75" x14ac:dyDescent="0.25">
      <c r="A2467" s="6"/>
    </row>
    <row r="2468" spans="1:1" ht="18.75" x14ac:dyDescent="0.25">
      <c r="A2468" s="6"/>
    </row>
    <row r="2469" spans="1:1" ht="18.75" x14ac:dyDescent="0.25">
      <c r="A2469" s="6"/>
    </row>
    <row r="2470" spans="1:1" ht="18.75" x14ac:dyDescent="0.25">
      <c r="A2470" s="6"/>
    </row>
    <row r="2471" spans="1:1" ht="18.75" x14ac:dyDescent="0.25">
      <c r="A2471" s="6"/>
    </row>
    <row r="2472" spans="1:1" ht="18.75" x14ac:dyDescent="0.25">
      <c r="A2472" s="6"/>
    </row>
    <row r="2473" spans="1:1" ht="18.75" x14ac:dyDescent="0.25">
      <c r="A2473" s="6"/>
    </row>
    <row r="2474" spans="1:1" ht="18.75" x14ac:dyDescent="0.25">
      <c r="A2474" s="6"/>
    </row>
    <row r="2475" spans="1:1" ht="18.75" x14ac:dyDescent="0.25">
      <c r="A2475" s="6"/>
    </row>
    <row r="2476" spans="1:1" ht="18.75" x14ac:dyDescent="0.25">
      <c r="A2476" s="6"/>
    </row>
    <row r="2477" spans="1:1" ht="18.75" x14ac:dyDescent="0.25">
      <c r="A2477" s="6"/>
    </row>
    <row r="2478" spans="1:1" ht="18.75" x14ac:dyDescent="0.25">
      <c r="A2478" s="6"/>
    </row>
    <row r="2479" spans="1:1" ht="18.75" x14ac:dyDescent="0.25">
      <c r="A2479" s="6"/>
    </row>
    <row r="2480" spans="1:1" ht="18.75" x14ac:dyDescent="0.25">
      <c r="A2480" s="6"/>
    </row>
    <row r="2481" spans="1:1" ht="18.75" x14ac:dyDescent="0.25">
      <c r="A2481" s="6"/>
    </row>
    <row r="2482" spans="1:1" ht="18.75" x14ac:dyDescent="0.25">
      <c r="A2482" s="6"/>
    </row>
    <row r="2483" spans="1:1" ht="18.75" x14ac:dyDescent="0.25">
      <c r="A2483" s="6"/>
    </row>
    <row r="2484" spans="1:1" ht="18.75" x14ac:dyDescent="0.25">
      <c r="A2484" s="6"/>
    </row>
    <row r="2485" spans="1:1" ht="18.75" x14ac:dyDescent="0.25">
      <c r="A2485" s="6"/>
    </row>
    <row r="2486" spans="1:1" ht="18.75" x14ac:dyDescent="0.25">
      <c r="A2486" s="6"/>
    </row>
    <row r="2487" spans="1:1" ht="18.75" x14ac:dyDescent="0.25">
      <c r="A2487" s="6"/>
    </row>
    <row r="2488" spans="1:1" ht="18.75" x14ac:dyDescent="0.25">
      <c r="A2488" s="6"/>
    </row>
    <row r="2489" spans="1:1" ht="18.75" x14ac:dyDescent="0.25">
      <c r="A2489" s="6"/>
    </row>
    <row r="2490" spans="1:1" ht="18.75" x14ac:dyDescent="0.25">
      <c r="A2490" s="6"/>
    </row>
    <row r="2491" spans="1:1" ht="18.75" x14ac:dyDescent="0.25">
      <c r="A2491" s="6"/>
    </row>
    <row r="2492" spans="1:1" ht="18.75" x14ac:dyDescent="0.25">
      <c r="A2492" s="6"/>
    </row>
    <row r="2493" spans="1:1" ht="18.75" x14ac:dyDescent="0.25">
      <c r="A2493" s="6"/>
    </row>
    <row r="2494" spans="1:1" ht="18.75" x14ac:dyDescent="0.25">
      <c r="A2494" s="6"/>
    </row>
    <row r="2495" spans="1:1" ht="18.75" x14ac:dyDescent="0.25">
      <c r="A2495" s="6"/>
    </row>
    <row r="2496" spans="1:1" ht="18.75" x14ac:dyDescent="0.25">
      <c r="A2496" s="6"/>
    </row>
    <row r="2497" spans="1:1" ht="18.75" x14ac:dyDescent="0.25">
      <c r="A2497" s="6"/>
    </row>
    <row r="2498" spans="1:1" ht="18.75" x14ac:dyDescent="0.25">
      <c r="A2498" s="6"/>
    </row>
    <row r="2499" spans="1:1" ht="18.75" x14ac:dyDescent="0.25">
      <c r="A2499" s="6"/>
    </row>
    <row r="2500" spans="1:1" ht="18.75" x14ac:dyDescent="0.25">
      <c r="A2500" s="6"/>
    </row>
    <row r="2501" spans="1:1" ht="18.75" x14ac:dyDescent="0.25">
      <c r="A2501" s="6"/>
    </row>
    <row r="2502" spans="1:1" ht="18.75" x14ac:dyDescent="0.25">
      <c r="A2502" s="6"/>
    </row>
    <row r="2503" spans="1:1" ht="18.75" x14ac:dyDescent="0.25">
      <c r="A2503" s="6"/>
    </row>
    <row r="2504" spans="1:1" ht="18.75" x14ac:dyDescent="0.25">
      <c r="A2504" s="6"/>
    </row>
    <row r="2505" spans="1:1" ht="18.75" x14ac:dyDescent="0.25">
      <c r="A2505" s="6"/>
    </row>
    <row r="2506" spans="1:1" ht="18.75" x14ac:dyDescent="0.25">
      <c r="A2506" s="6"/>
    </row>
    <row r="2507" spans="1:1" ht="18.75" x14ac:dyDescent="0.25">
      <c r="A2507" s="6"/>
    </row>
    <row r="2508" spans="1:1" ht="18.75" x14ac:dyDescent="0.25">
      <c r="A2508" s="6"/>
    </row>
    <row r="2509" spans="1:1" ht="18.75" x14ac:dyDescent="0.25">
      <c r="A2509" s="6"/>
    </row>
    <row r="2510" spans="1:1" ht="18.75" x14ac:dyDescent="0.25">
      <c r="A2510" s="6"/>
    </row>
    <row r="2511" spans="1:1" ht="18.75" x14ac:dyDescent="0.25">
      <c r="A2511" s="6"/>
    </row>
    <row r="2512" spans="1:1" ht="18.75" x14ac:dyDescent="0.25">
      <c r="A2512" s="6"/>
    </row>
    <row r="2513" spans="1:1" ht="18.75" x14ac:dyDescent="0.25">
      <c r="A2513" s="6"/>
    </row>
    <row r="2514" spans="1:1" ht="18.75" x14ac:dyDescent="0.25">
      <c r="A2514" s="6"/>
    </row>
    <row r="2515" spans="1:1" ht="18.75" x14ac:dyDescent="0.25">
      <c r="A2515" s="6"/>
    </row>
    <row r="2516" spans="1:1" ht="18.75" x14ac:dyDescent="0.25">
      <c r="A2516" s="6"/>
    </row>
    <row r="2517" spans="1:1" ht="18.75" x14ac:dyDescent="0.25">
      <c r="A2517" s="6"/>
    </row>
    <row r="2518" spans="1:1" ht="18.75" x14ac:dyDescent="0.25">
      <c r="A2518" s="6"/>
    </row>
    <row r="2519" spans="1:1" ht="18.75" x14ac:dyDescent="0.25">
      <c r="A2519" s="6"/>
    </row>
    <row r="2520" spans="1:1" ht="18.75" x14ac:dyDescent="0.25">
      <c r="A2520" s="6"/>
    </row>
    <row r="2521" spans="1:1" ht="18.75" x14ac:dyDescent="0.25">
      <c r="A2521" s="6"/>
    </row>
    <row r="2522" spans="1:1" ht="18.75" x14ac:dyDescent="0.25">
      <c r="A2522" s="6"/>
    </row>
    <row r="2523" spans="1:1" ht="18.75" x14ac:dyDescent="0.25">
      <c r="A2523" s="6"/>
    </row>
    <row r="2524" spans="1:1" ht="18.75" x14ac:dyDescent="0.25">
      <c r="A2524" s="6"/>
    </row>
    <row r="2525" spans="1:1" ht="18.75" x14ac:dyDescent="0.25">
      <c r="A2525" s="6"/>
    </row>
    <row r="2526" spans="1:1" ht="18.75" x14ac:dyDescent="0.25">
      <c r="A2526" s="6"/>
    </row>
    <row r="2527" spans="1:1" ht="18.75" x14ac:dyDescent="0.25">
      <c r="A2527" s="6"/>
    </row>
    <row r="2528" spans="1:1" ht="18.75" x14ac:dyDescent="0.25">
      <c r="A2528" s="6"/>
    </row>
    <row r="2529" spans="1:1" ht="18.75" x14ac:dyDescent="0.25">
      <c r="A2529" s="6"/>
    </row>
    <row r="2530" spans="1:1" ht="18.75" x14ac:dyDescent="0.25">
      <c r="A2530" s="6"/>
    </row>
    <row r="2531" spans="1:1" ht="18.75" x14ac:dyDescent="0.25">
      <c r="A2531" s="6"/>
    </row>
    <row r="2532" spans="1:1" ht="18.75" x14ac:dyDescent="0.25">
      <c r="A2532" s="6"/>
    </row>
    <row r="2533" spans="1:1" ht="18.75" x14ac:dyDescent="0.25">
      <c r="A2533" s="6"/>
    </row>
    <row r="2534" spans="1:1" ht="18.75" x14ac:dyDescent="0.25">
      <c r="A2534" s="6"/>
    </row>
    <row r="2535" spans="1:1" ht="18.75" x14ac:dyDescent="0.25">
      <c r="A2535" s="6"/>
    </row>
    <row r="2536" spans="1:1" ht="18.75" x14ac:dyDescent="0.25">
      <c r="A2536" s="6"/>
    </row>
    <row r="2537" spans="1:1" ht="18.75" x14ac:dyDescent="0.25">
      <c r="A2537" s="6"/>
    </row>
    <row r="2538" spans="1:1" ht="18.75" x14ac:dyDescent="0.25">
      <c r="A2538" s="6"/>
    </row>
    <row r="2539" spans="1:1" ht="18.75" x14ac:dyDescent="0.25">
      <c r="A2539" s="6"/>
    </row>
    <row r="2540" spans="1:1" ht="18.75" x14ac:dyDescent="0.25">
      <c r="A2540" s="6"/>
    </row>
    <row r="2541" spans="1:1" ht="18.75" x14ac:dyDescent="0.25">
      <c r="A2541" s="6"/>
    </row>
    <row r="2542" spans="1:1" ht="18.75" x14ac:dyDescent="0.25">
      <c r="A2542" s="6"/>
    </row>
    <row r="2543" spans="1:1" ht="18.75" x14ac:dyDescent="0.25">
      <c r="A2543" s="6"/>
    </row>
    <row r="2544" spans="1:1" ht="18.75" x14ac:dyDescent="0.25">
      <c r="A2544" s="6"/>
    </row>
    <row r="2545" spans="1:1" ht="18.75" x14ac:dyDescent="0.25">
      <c r="A2545" s="6"/>
    </row>
    <row r="2546" spans="1:1" ht="18.75" x14ac:dyDescent="0.25">
      <c r="A2546" s="6"/>
    </row>
    <row r="2547" spans="1:1" ht="18.75" x14ac:dyDescent="0.25">
      <c r="A2547" s="6"/>
    </row>
    <row r="2548" spans="1:1" ht="18.75" x14ac:dyDescent="0.25">
      <c r="A2548" s="6"/>
    </row>
    <row r="2549" spans="1:1" ht="18.75" x14ac:dyDescent="0.25">
      <c r="A2549" s="6"/>
    </row>
    <row r="2550" spans="1:1" ht="18.75" x14ac:dyDescent="0.25">
      <c r="A2550" s="6"/>
    </row>
    <row r="2551" spans="1:1" ht="18.75" x14ac:dyDescent="0.25">
      <c r="A2551" s="6"/>
    </row>
    <row r="2552" spans="1:1" ht="18.75" x14ac:dyDescent="0.25">
      <c r="A2552" s="6"/>
    </row>
    <row r="2553" spans="1:1" ht="18.75" x14ac:dyDescent="0.25">
      <c r="A2553" s="6"/>
    </row>
    <row r="2554" spans="1:1" ht="18.75" x14ac:dyDescent="0.25">
      <c r="A2554" s="6"/>
    </row>
    <row r="2555" spans="1:1" ht="18.75" x14ac:dyDescent="0.25">
      <c r="A2555" s="6"/>
    </row>
    <row r="2556" spans="1:1" ht="18.75" x14ac:dyDescent="0.25">
      <c r="A2556" s="6"/>
    </row>
    <row r="2557" spans="1:1" ht="18.75" x14ac:dyDescent="0.25">
      <c r="A2557" s="6"/>
    </row>
    <row r="2558" spans="1:1" ht="18.75" x14ac:dyDescent="0.25">
      <c r="A2558" s="6"/>
    </row>
    <row r="2559" spans="1:1" ht="18.75" x14ac:dyDescent="0.25">
      <c r="A2559" s="6"/>
    </row>
    <row r="2560" spans="1:1" ht="18.75" x14ac:dyDescent="0.25">
      <c r="A2560" s="6"/>
    </row>
    <row r="2561" spans="1:1" ht="18.75" x14ac:dyDescent="0.25">
      <c r="A2561" s="6"/>
    </row>
    <row r="2562" spans="1:1" ht="18.75" x14ac:dyDescent="0.25">
      <c r="A2562" s="6"/>
    </row>
    <row r="2563" spans="1:1" ht="18.75" x14ac:dyDescent="0.25">
      <c r="A2563" s="6"/>
    </row>
    <row r="2564" spans="1:1" ht="18.75" x14ac:dyDescent="0.25">
      <c r="A2564" s="6"/>
    </row>
    <row r="2565" spans="1:1" ht="18.75" x14ac:dyDescent="0.25">
      <c r="A2565" s="6"/>
    </row>
    <row r="2566" spans="1:1" ht="18.75" x14ac:dyDescent="0.25">
      <c r="A2566" s="6"/>
    </row>
    <row r="2567" spans="1:1" ht="18.75" x14ac:dyDescent="0.25">
      <c r="A2567" s="6"/>
    </row>
    <row r="2568" spans="1:1" ht="18.75" x14ac:dyDescent="0.25">
      <c r="A2568" s="6"/>
    </row>
    <row r="2569" spans="1:1" ht="18.75" x14ac:dyDescent="0.25">
      <c r="A2569" s="6"/>
    </row>
    <row r="2570" spans="1:1" ht="18.75" x14ac:dyDescent="0.25">
      <c r="A2570" s="6"/>
    </row>
    <row r="2571" spans="1:1" ht="18.75" x14ac:dyDescent="0.25">
      <c r="A2571" s="6"/>
    </row>
    <row r="2572" spans="1:1" ht="18.75" x14ac:dyDescent="0.25">
      <c r="A2572" s="6"/>
    </row>
    <row r="2573" spans="1:1" ht="18.75" x14ac:dyDescent="0.25">
      <c r="A2573" s="6"/>
    </row>
    <row r="2574" spans="1:1" ht="18.75" x14ac:dyDescent="0.25">
      <c r="A2574" s="6"/>
    </row>
    <row r="2575" spans="1:1" ht="18.75" x14ac:dyDescent="0.25">
      <c r="A2575" s="6"/>
    </row>
    <row r="2576" spans="1:1" ht="18.75" x14ac:dyDescent="0.25">
      <c r="A2576" s="6"/>
    </row>
    <row r="2577" spans="1:1" ht="18.75" x14ac:dyDescent="0.25">
      <c r="A2577" s="6"/>
    </row>
    <row r="2578" spans="1:1" ht="18.75" x14ac:dyDescent="0.25">
      <c r="A2578" s="6"/>
    </row>
    <row r="2579" spans="1:1" ht="18.75" x14ac:dyDescent="0.25">
      <c r="A2579" s="6"/>
    </row>
    <row r="2580" spans="1:1" ht="18.75" x14ac:dyDescent="0.25">
      <c r="A2580" s="6"/>
    </row>
    <row r="2581" spans="1:1" ht="18.75" x14ac:dyDescent="0.25">
      <c r="A2581" s="6"/>
    </row>
    <row r="2582" spans="1:1" ht="18.75" x14ac:dyDescent="0.25">
      <c r="A2582" s="6"/>
    </row>
    <row r="2583" spans="1:1" ht="18.75" x14ac:dyDescent="0.25">
      <c r="A2583" s="6"/>
    </row>
    <row r="2584" spans="1:1" ht="18.75" x14ac:dyDescent="0.25">
      <c r="A2584" s="6"/>
    </row>
    <row r="2585" spans="1:1" ht="18.75" x14ac:dyDescent="0.25">
      <c r="A2585" s="6"/>
    </row>
    <row r="2586" spans="1:1" ht="18.75" x14ac:dyDescent="0.25">
      <c r="A2586" s="6"/>
    </row>
    <row r="2587" spans="1:1" ht="18.75" x14ac:dyDescent="0.25">
      <c r="A2587" s="6"/>
    </row>
    <row r="2588" spans="1:1" ht="18.75" x14ac:dyDescent="0.25">
      <c r="A2588" s="6"/>
    </row>
    <row r="2589" spans="1:1" ht="18.75" x14ac:dyDescent="0.25">
      <c r="A2589" s="6"/>
    </row>
    <row r="2590" spans="1:1" ht="18.75" x14ac:dyDescent="0.25">
      <c r="A2590" s="6"/>
    </row>
    <row r="2591" spans="1:1" ht="18.75" x14ac:dyDescent="0.25">
      <c r="A2591" s="6"/>
    </row>
    <row r="2592" spans="1:1" ht="18.75" x14ac:dyDescent="0.25">
      <c r="A2592" s="6"/>
    </row>
    <row r="2593" spans="1:1" ht="18.75" x14ac:dyDescent="0.25">
      <c r="A2593" s="6"/>
    </row>
    <row r="2594" spans="1:1" ht="18.75" x14ac:dyDescent="0.25">
      <c r="A2594" s="6"/>
    </row>
    <row r="2595" spans="1:1" ht="18.75" x14ac:dyDescent="0.25">
      <c r="A2595" s="6"/>
    </row>
    <row r="2596" spans="1:1" ht="18.75" x14ac:dyDescent="0.25">
      <c r="A2596" s="6"/>
    </row>
    <row r="2597" spans="1:1" ht="18.75" x14ac:dyDescent="0.25">
      <c r="A2597" s="6"/>
    </row>
    <row r="2598" spans="1:1" ht="18.75" x14ac:dyDescent="0.25">
      <c r="A2598" s="6"/>
    </row>
    <row r="2599" spans="1:1" ht="18.75" x14ac:dyDescent="0.25">
      <c r="A2599" s="6"/>
    </row>
    <row r="2600" spans="1:1" ht="18.75" x14ac:dyDescent="0.25">
      <c r="A2600" s="6"/>
    </row>
    <row r="2601" spans="1:1" ht="18.75" x14ac:dyDescent="0.25">
      <c r="A2601" s="6"/>
    </row>
    <row r="2602" spans="1:1" ht="18.75" x14ac:dyDescent="0.25">
      <c r="A2602" s="6"/>
    </row>
    <row r="2603" spans="1:1" ht="18.75" x14ac:dyDescent="0.25">
      <c r="A2603" s="6"/>
    </row>
    <row r="2604" spans="1:1" ht="18.75" x14ac:dyDescent="0.25">
      <c r="A2604" s="6"/>
    </row>
    <row r="2605" spans="1:1" ht="18.75" x14ac:dyDescent="0.25">
      <c r="A2605" s="6"/>
    </row>
    <row r="2606" spans="1:1" ht="18.75" x14ac:dyDescent="0.25">
      <c r="A2606" s="6"/>
    </row>
    <row r="2607" spans="1:1" ht="18.75" x14ac:dyDescent="0.25">
      <c r="A2607" s="6"/>
    </row>
    <row r="2608" spans="1:1" ht="18.75" x14ac:dyDescent="0.25">
      <c r="A2608" s="6"/>
    </row>
    <row r="2609" spans="1:1" ht="18.75" x14ac:dyDescent="0.25">
      <c r="A2609" s="6"/>
    </row>
    <row r="2610" spans="1:1" ht="18.75" x14ac:dyDescent="0.25">
      <c r="A2610" s="6"/>
    </row>
    <row r="2611" spans="1:1" ht="18.75" x14ac:dyDescent="0.25">
      <c r="A2611" s="6"/>
    </row>
    <row r="2612" spans="1:1" ht="18.75" x14ac:dyDescent="0.25">
      <c r="A2612" s="6"/>
    </row>
    <row r="2613" spans="1:1" ht="18.75" x14ac:dyDescent="0.25">
      <c r="A2613" s="6"/>
    </row>
    <row r="2614" spans="1:1" ht="18.75" x14ac:dyDescent="0.25">
      <c r="A2614" s="6"/>
    </row>
    <row r="2615" spans="1:1" ht="18.75" x14ac:dyDescent="0.25">
      <c r="A2615" s="6"/>
    </row>
    <row r="2616" spans="1:1" ht="18.75" x14ac:dyDescent="0.25">
      <c r="A2616" s="6"/>
    </row>
    <row r="2617" spans="1:1" ht="18.75" x14ac:dyDescent="0.25">
      <c r="A2617" s="6"/>
    </row>
    <row r="2618" spans="1:1" ht="18.75" x14ac:dyDescent="0.25">
      <c r="A2618" s="6"/>
    </row>
    <row r="2619" spans="1:1" ht="18.75" x14ac:dyDescent="0.25">
      <c r="A2619" s="6"/>
    </row>
    <row r="2620" spans="1:1" ht="18.75" x14ac:dyDescent="0.25">
      <c r="A2620" s="6"/>
    </row>
    <row r="2621" spans="1:1" ht="18.75" x14ac:dyDescent="0.25">
      <c r="A2621" s="6"/>
    </row>
    <row r="2622" spans="1:1" ht="18.75" x14ac:dyDescent="0.25">
      <c r="A2622" s="6"/>
    </row>
    <row r="2623" spans="1:1" ht="18.75" x14ac:dyDescent="0.25">
      <c r="A2623" s="6"/>
    </row>
    <row r="2624" spans="1:1" ht="18.75" x14ac:dyDescent="0.25">
      <c r="A2624" s="6"/>
    </row>
    <row r="2625" spans="1:1" ht="18.75" x14ac:dyDescent="0.25">
      <c r="A2625" s="6"/>
    </row>
    <row r="2626" spans="1:1" ht="18.75" x14ac:dyDescent="0.25">
      <c r="A2626" s="6"/>
    </row>
    <row r="2627" spans="1:1" ht="18.75" x14ac:dyDescent="0.25">
      <c r="A2627" s="6"/>
    </row>
    <row r="2628" spans="1:1" ht="18.75" x14ac:dyDescent="0.25">
      <c r="A2628" s="6"/>
    </row>
    <row r="2629" spans="1:1" ht="18.75" x14ac:dyDescent="0.25">
      <c r="A2629" s="6"/>
    </row>
    <row r="2630" spans="1:1" ht="18.75" x14ac:dyDescent="0.25">
      <c r="A2630" s="6"/>
    </row>
    <row r="2631" spans="1:1" ht="18.75" x14ac:dyDescent="0.25">
      <c r="A2631" s="6"/>
    </row>
    <row r="2632" spans="1:1" ht="18.75" x14ac:dyDescent="0.25">
      <c r="A2632" s="6"/>
    </row>
    <row r="2633" spans="1:1" ht="18.75" x14ac:dyDescent="0.25">
      <c r="A2633" s="6"/>
    </row>
    <row r="2634" spans="1:1" ht="18.75" x14ac:dyDescent="0.25">
      <c r="A2634" s="6"/>
    </row>
    <row r="2635" spans="1:1" ht="18.75" x14ac:dyDescent="0.25">
      <c r="A2635" s="6"/>
    </row>
    <row r="2636" spans="1:1" ht="18.75" x14ac:dyDescent="0.25">
      <c r="A2636" s="6"/>
    </row>
    <row r="2637" spans="1:1" ht="18.75" x14ac:dyDescent="0.25">
      <c r="A2637" s="6"/>
    </row>
    <row r="2638" spans="1:1" ht="18.75" x14ac:dyDescent="0.25">
      <c r="A2638" s="6"/>
    </row>
    <row r="2639" spans="1:1" ht="18.75" x14ac:dyDescent="0.25">
      <c r="A2639" s="6"/>
    </row>
    <row r="2640" spans="1:1" ht="18.75" x14ac:dyDescent="0.25">
      <c r="A2640" s="6"/>
    </row>
    <row r="2641" spans="1:1" ht="18.75" x14ac:dyDescent="0.25">
      <c r="A2641" s="6"/>
    </row>
    <row r="2642" spans="1:1" ht="18.75" x14ac:dyDescent="0.25">
      <c r="A2642" s="6"/>
    </row>
    <row r="2643" spans="1:1" ht="18.75" x14ac:dyDescent="0.25">
      <c r="A2643" s="6"/>
    </row>
    <row r="2644" spans="1:1" ht="18.75" x14ac:dyDescent="0.25">
      <c r="A2644" s="6"/>
    </row>
    <row r="2645" spans="1:1" ht="18.75" x14ac:dyDescent="0.25">
      <c r="A2645" s="6"/>
    </row>
    <row r="2646" spans="1:1" ht="18.75" x14ac:dyDescent="0.25">
      <c r="A2646" s="6"/>
    </row>
    <row r="2647" spans="1:1" ht="18.75" x14ac:dyDescent="0.25">
      <c r="A2647" s="6"/>
    </row>
    <row r="2648" spans="1:1" ht="18.75" x14ac:dyDescent="0.25">
      <c r="A2648" s="6"/>
    </row>
    <row r="2649" spans="1:1" ht="18.75" x14ac:dyDescent="0.25">
      <c r="A2649" s="6"/>
    </row>
    <row r="2650" spans="1:1" ht="18.75" x14ac:dyDescent="0.25">
      <c r="A2650" s="6"/>
    </row>
    <row r="2651" spans="1:1" ht="18.75" x14ac:dyDescent="0.25">
      <c r="A2651" s="6"/>
    </row>
    <row r="2652" spans="1:1" ht="18.75" x14ac:dyDescent="0.25">
      <c r="A2652" s="6"/>
    </row>
    <row r="2653" spans="1:1" ht="18.75" x14ac:dyDescent="0.25">
      <c r="A2653" s="6"/>
    </row>
    <row r="2654" spans="1:1" ht="18.75" x14ac:dyDescent="0.25">
      <c r="A2654" s="6"/>
    </row>
    <row r="2655" spans="1:1" ht="18.75" x14ac:dyDescent="0.25">
      <c r="A2655" s="6"/>
    </row>
    <row r="2656" spans="1:1" ht="18.75" x14ac:dyDescent="0.25">
      <c r="A2656" s="6"/>
    </row>
    <row r="2657" spans="1:1" ht="18.75" x14ac:dyDescent="0.25">
      <c r="A2657" s="6"/>
    </row>
    <row r="2658" spans="1:1" ht="18.75" x14ac:dyDescent="0.25">
      <c r="A2658" s="6"/>
    </row>
    <row r="2659" spans="1:1" ht="18.75" x14ac:dyDescent="0.25">
      <c r="A2659" s="6"/>
    </row>
    <row r="2660" spans="1:1" ht="18.75" x14ac:dyDescent="0.25">
      <c r="A2660" s="6"/>
    </row>
    <row r="2661" spans="1:1" ht="18.75" x14ac:dyDescent="0.25">
      <c r="A2661" s="6"/>
    </row>
    <row r="2662" spans="1:1" ht="18.75" x14ac:dyDescent="0.25">
      <c r="A2662" s="6"/>
    </row>
    <row r="2663" spans="1:1" ht="18.75" x14ac:dyDescent="0.25">
      <c r="A2663" s="6"/>
    </row>
    <row r="2664" spans="1:1" ht="18.75" x14ac:dyDescent="0.25">
      <c r="A2664" s="6"/>
    </row>
    <row r="2665" spans="1:1" ht="18.75" x14ac:dyDescent="0.25">
      <c r="A2665" s="6"/>
    </row>
    <row r="2666" spans="1:1" ht="18.75" x14ac:dyDescent="0.25">
      <c r="A2666" s="6"/>
    </row>
    <row r="2667" spans="1:1" ht="18.75" x14ac:dyDescent="0.25">
      <c r="A2667" s="6"/>
    </row>
    <row r="2668" spans="1:1" ht="18.75" x14ac:dyDescent="0.25">
      <c r="A2668" s="6"/>
    </row>
    <row r="2669" spans="1:1" ht="18.75" x14ac:dyDescent="0.25">
      <c r="A2669" s="6"/>
    </row>
    <row r="2670" spans="1:1" ht="18.75" x14ac:dyDescent="0.25">
      <c r="A2670" s="6"/>
    </row>
    <row r="2671" spans="1:1" ht="18.75" x14ac:dyDescent="0.25">
      <c r="A2671" s="6"/>
    </row>
    <row r="2672" spans="1:1" ht="18.75" x14ac:dyDescent="0.25">
      <c r="A2672" s="6"/>
    </row>
    <row r="2673" spans="1:1" ht="18.75" x14ac:dyDescent="0.25">
      <c r="A2673" s="6"/>
    </row>
    <row r="2674" spans="1:1" ht="18.75" x14ac:dyDescent="0.25">
      <c r="A2674" s="6"/>
    </row>
    <row r="2675" spans="1:1" ht="18.75" x14ac:dyDescent="0.25">
      <c r="A2675" s="6"/>
    </row>
    <row r="2676" spans="1:1" ht="18.75" x14ac:dyDescent="0.25">
      <c r="A2676" s="6"/>
    </row>
    <row r="2677" spans="1:1" ht="18.75" x14ac:dyDescent="0.25">
      <c r="A2677" s="6"/>
    </row>
    <row r="2678" spans="1:1" ht="18.75" x14ac:dyDescent="0.25">
      <c r="A2678" s="6"/>
    </row>
    <row r="2679" spans="1:1" ht="18.75" x14ac:dyDescent="0.25">
      <c r="A2679" s="6"/>
    </row>
    <row r="2680" spans="1:1" ht="18.75" x14ac:dyDescent="0.25">
      <c r="A2680" s="6"/>
    </row>
    <row r="2681" spans="1:1" ht="18.75" x14ac:dyDescent="0.25">
      <c r="A2681" s="6"/>
    </row>
    <row r="2682" spans="1:1" ht="18.75" x14ac:dyDescent="0.25">
      <c r="A2682" s="6"/>
    </row>
    <row r="2683" spans="1:1" ht="18.75" x14ac:dyDescent="0.25">
      <c r="A2683" s="6"/>
    </row>
    <row r="2684" spans="1:1" ht="18.75" x14ac:dyDescent="0.25">
      <c r="A2684" s="6"/>
    </row>
    <row r="2685" spans="1:1" ht="18.75" x14ac:dyDescent="0.25">
      <c r="A2685" s="6"/>
    </row>
    <row r="2686" spans="1:1" ht="18.75" x14ac:dyDescent="0.25">
      <c r="A2686" s="6"/>
    </row>
    <row r="2687" spans="1:1" ht="18.75" x14ac:dyDescent="0.25">
      <c r="A2687" s="6"/>
    </row>
    <row r="2688" spans="1:1" ht="18.75" x14ac:dyDescent="0.25">
      <c r="A2688" s="6"/>
    </row>
    <row r="2689" spans="1:1" ht="18.75" x14ac:dyDescent="0.25">
      <c r="A2689" s="6"/>
    </row>
    <row r="2690" spans="1:1" ht="18.75" x14ac:dyDescent="0.25">
      <c r="A2690" s="6"/>
    </row>
    <row r="2691" spans="1:1" ht="18.75" x14ac:dyDescent="0.25">
      <c r="A2691" s="6"/>
    </row>
    <row r="2692" spans="1:1" ht="18.75" x14ac:dyDescent="0.25">
      <c r="A2692" s="6"/>
    </row>
    <row r="2693" spans="1:1" ht="18.75" x14ac:dyDescent="0.25">
      <c r="A2693" s="6"/>
    </row>
    <row r="2694" spans="1:1" ht="18.75" x14ac:dyDescent="0.25">
      <c r="A2694" s="6"/>
    </row>
    <row r="2695" spans="1:1" ht="18.75" x14ac:dyDescent="0.25">
      <c r="A2695" s="6"/>
    </row>
    <row r="2696" spans="1:1" ht="18.75" x14ac:dyDescent="0.25">
      <c r="A2696" s="6"/>
    </row>
    <row r="2697" spans="1:1" ht="18.75" x14ac:dyDescent="0.25">
      <c r="A2697" s="6"/>
    </row>
    <row r="2698" spans="1:1" ht="18.75" x14ac:dyDescent="0.25">
      <c r="A2698" s="6"/>
    </row>
    <row r="2699" spans="1:1" ht="18.75" x14ac:dyDescent="0.25">
      <c r="A2699" s="6"/>
    </row>
    <row r="2700" spans="1:1" ht="18.75" x14ac:dyDescent="0.25">
      <c r="A2700" s="6"/>
    </row>
    <row r="2701" spans="1:1" ht="18.75" x14ac:dyDescent="0.25">
      <c r="A2701" s="6"/>
    </row>
    <row r="2702" spans="1:1" ht="18.75" x14ac:dyDescent="0.25">
      <c r="A2702" s="6"/>
    </row>
    <row r="2703" spans="1:1" ht="18.75" x14ac:dyDescent="0.25">
      <c r="A2703" s="6"/>
    </row>
    <row r="2704" spans="1:1" ht="18.75" x14ac:dyDescent="0.25">
      <c r="A2704" s="6"/>
    </row>
    <row r="2705" spans="1:1" ht="18.75" x14ac:dyDescent="0.25">
      <c r="A2705" s="6"/>
    </row>
    <row r="2706" spans="1:1" ht="18.75" x14ac:dyDescent="0.25">
      <c r="A2706" s="6"/>
    </row>
    <row r="2707" spans="1:1" ht="18.75" x14ac:dyDescent="0.25">
      <c r="A2707" s="6"/>
    </row>
    <row r="2708" spans="1:1" ht="18.75" x14ac:dyDescent="0.25">
      <c r="A2708" s="6"/>
    </row>
    <row r="2709" spans="1:1" ht="18.75" x14ac:dyDescent="0.25">
      <c r="A2709" s="6"/>
    </row>
    <row r="2710" spans="1:1" ht="18.75" x14ac:dyDescent="0.25">
      <c r="A2710" s="6"/>
    </row>
    <row r="2711" spans="1:1" ht="18.75" x14ac:dyDescent="0.25">
      <c r="A2711" s="6"/>
    </row>
    <row r="2712" spans="1:1" ht="18.75" x14ac:dyDescent="0.25">
      <c r="A2712" s="6"/>
    </row>
    <row r="2713" spans="1:1" ht="18.75" x14ac:dyDescent="0.25">
      <c r="A2713" s="6"/>
    </row>
    <row r="2714" spans="1:1" ht="18.75" x14ac:dyDescent="0.25">
      <c r="A2714" s="6"/>
    </row>
    <row r="2715" spans="1:1" ht="18.75" x14ac:dyDescent="0.25">
      <c r="A2715" s="6"/>
    </row>
    <row r="2716" spans="1:1" ht="18.75" x14ac:dyDescent="0.25">
      <c r="A2716" s="6"/>
    </row>
    <row r="2717" spans="1:1" ht="18.75" x14ac:dyDescent="0.25">
      <c r="A2717" s="6"/>
    </row>
    <row r="2718" spans="1:1" ht="18.75" x14ac:dyDescent="0.25">
      <c r="A2718" s="6"/>
    </row>
    <row r="2719" spans="1:1" ht="18.75" x14ac:dyDescent="0.25">
      <c r="A2719" s="6"/>
    </row>
    <row r="2720" spans="1:1" ht="18.75" x14ac:dyDescent="0.25">
      <c r="A2720" s="6"/>
    </row>
    <row r="2721" spans="1:1" ht="18.75" x14ac:dyDescent="0.25">
      <c r="A2721" s="6"/>
    </row>
    <row r="2722" spans="1:1" ht="18.75" x14ac:dyDescent="0.25">
      <c r="A2722" s="6"/>
    </row>
    <row r="2723" spans="1:1" ht="18.75" x14ac:dyDescent="0.25">
      <c r="A2723" s="6"/>
    </row>
    <row r="2724" spans="1:1" ht="18.75" x14ac:dyDescent="0.25">
      <c r="A2724" s="6"/>
    </row>
    <row r="2725" spans="1:1" ht="18.75" x14ac:dyDescent="0.25">
      <c r="A2725" s="6"/>
    </row>
    <row r="2726" spans="1:1" ht="18.75" x14ac:dyDescent="0.25">
      <c r="A2726" s="6"/>
    </row>
    <row r="2727" spans="1:1" ht="18.75" x14ac:dyDescent="0.25">
      <c r="A2727" s="6"/>
    </row>
    <row r="2728" spans="1:1" ht="18.75" x14ac:dyDescent="0.25">
      <c r="A2728" s="6"/>
    </row>
    <row r="2729" spans="1:1" ht="18.75" x14ac:dyDescent="0.25">
      <c r="A2729" s="6"/>
    </row>
    <row r="2730" spans="1:1" ht="18.75" x14ac:dyDescent="0.25">
      <c r="A2730" s="6"/>
    </row>
    <row r="2731" spans="1:1" ht="18.75" x14ac:dyDescent="0.25">
      <c r="A2731" s="6"/>
    </row>
    <row r="2732" spans="1:1" ht="18.75" x14ac:dyDescent="0.25">
      <c r="A2732" s="6"/>
    </row>
    <row r="2733" spans="1:1" ht="18.75" x14ac:dyDescent="0.25">
      <c r="A2733" s="6"/>
    </row>
    <row r="2734" spans="1:1" ht="18.75" x14ac:dyDescent="0.25">
      <c r="A2734" s="6"/>
    </row>
    <row r="2735" spans="1:1" ht="18.75" x14ac:dyDescent="0.25">
      <c r="A2735" s="6"/>
    </row>
    <row r="2736" spans="1:1" ht="18.75" x14ac:dyDescent="0.25">
      <c r="A2736" s="6"/>
    </row>
    <row r="2737" spans="1:1" ht="18.75" x14ac:dyDescent="0.25">
      <c r="A2737" s="6"/>
    </row>
    <row r="2738" spans="1:1" ht="18.75" x14ac:dyDescent="0.25">
      <c r="A2738" s="6"/>
    </row>
    <row r="2739" spans="1:1" ht="18.75" x14ac:dyDescent="0.25">
      <c r="A2739" s="6"/>
    </row>
    <row r="2740" spans="1:1" ht="18.75" x14ac:dyDescent="0.25">
      <c r="A2740" s="6"/>
    </row>
    <row r="2741" spans="1:1" ht="18.75" x14ac:dyDescent="0.25">
      <c r="A2741" s="6"/>
    </row>
    <row r="2742" spans="1:1" ht="18.75" x14ac:dyDescent="0.25">
      <c r="A2742" s="6"/>
    </row>
    <row r="2743" spans="1:1" ht="18.75" x14ac:dyDescent="0.25">
      <c r="A2743" s="6"/>
    </row>
    <row r="2744" spans="1:1" ht="18.75" x14ac:dyDescent="0.25">
      <c r="A2744" s="6"/>
    </row>
    <row r="2745" spans="1:1" ht="18.75" x14ac:dyDescent="0.25">
      <c r="A2745" s="6"/>
    </row>
    <row r="2746" spans="1:1" ht="18.75" x14ac:dyDescent="0.25">
      <c r="A2746" s="6"/>
    </row>
    <row r="2747" spans="1:1" ht="18.75" x14ac:dyDescent="0.25">
      <c r="A2747" s="6"/>
    </row>
    <row r="2748" spans="1:1" ht="18.75" x14ac:dyDescent="0.25">
      <c r="A2748" s="6"/>
    </row>
    <row r="2749" spans="1:1" ht="18.75" x14ac:dyDescent="0.25">
      <c r="A2749" s="6"/>
    </row>
    <row r="2750" spans="1:1" ht="18.75" x14ac:dyDescent="0.25">
      <c r="A2750" s="6"/>
    </row>
    <row r="2751" spans="1:1" ht="18.75" x14ac:dyDescent="0.25">
      <c r="A2751" s="6"/>
    </row>
    <row r="2752" spans="1:1" ht="18.75" x14ac:dyDescent="0.25">
      <c r="A2752" s="6"/>
    </row>
    <row r="2753" spans="1:1" ht="18.75" x14ac:dyDescent="0.25">
      <c r="A2753" s="6"/>
    </row>
    <row r="2754" spans="1:1" ht="18.75" x14ac:dyDescent="0.25">
      <c r="A2754" s="6"/>
    </row>
    <row r="2755" spans="1:1" ht="18.75" x14ac:dyDescent="0.25">
      <c r="A2755" s="6"/>
    </row>
    <row r="2756" spans="1:1" ht="18.75" x14ac:dyDescent="0.25">
      <c r="A2756" s="6"/>
    </row>
    <row r="2757" spans="1:1" ht="18.75" x14ac:dyDescent="0.25">
      <c r="A2757" s="6"/>
    </row>
    <row r="2758" spans="1:1" ht="18.75" x14ac:dyDescent="0.25">
      <c r="A2758" s="6"/>
    </row>
    <row r="2759" spans="1:1" ht="18.75" x14ac:dyDescent="0.25">
      <c r="A2759" s="6"/>
    </row>
    <row r="2760" spans="1:1" ht="18.75" x14ac:dyDescent="0.25">
      <c r="A2760" s="6"/>
    </row>
    <row r="2761" spans="1:1" ht="18.75" x14ac:dyDescent="0.25">
      <c r="A2761" s="6"/>
    </row>
    <row r="2762" spans="1:1" ht="18.75" x14ac:dyDescent="0.25">
      <c r="A2762" s="6"/>
    </row>
    <row r="2763" spans="1:1" ht="18.75" x14ac:dyDescent="0.25">
      <c r="A2763" s="6"/>
    </row>
    <row r="2764" spans="1:1" ht="18.75" x14ac:dyDescent="0.25">
      <c r="A2764" s="6"/>
    </row>
    <row r="2765" spans="1:1" ht="18.75" x14ac:dyDescent="0.25">
      <c r="A2765" s="6"/>
    </row>
    <row r="2766" spans="1:1" ht="18.75" x14ac:dyDescent="0.25">
      <c r="A2766" s="6"/>
    </row>
    <row r="2767" spans="1:1" ht="18.75" x14ac:dyDescent="0.25">
      <c r="A2767" s="6"/>
    </row>
    <row r="2768" spans="1:1" ht="18.75" x14ac:dyDescent="0.25">
      <c r="A2768" s="6"/>
    </row>
    <row r="2769" spans="1:1" ht="18.75" x14ac:dyDescent="0.25">
      <c r="A2769" s="6"/>
    </row>
    <row r="2770" spans="1:1" ht="18.75" x14ac:dyDescent="0.25">
      <c r="A2770" s="6"/>
    </row>
    <row r="2771" spans="1:1" ht="18.75" x14ac:dyDescent="0.25">
      <c r="A2771" s="6"/>
    </row>
    <row r="2772" spans="1:1" ht="18.75" x14ac:dyDescent="0.25">
      <c r="A2772" s="6"/>
    </row>
    <row r="2773" spans="1:1" ht="18.75" x14ac:dyDescent="0.25">
      <c r="A2773" s="6"/>
    </row>
    <row r="2774" spans="1:1" ht="18.75" x14ac:dyDescent="0.25">
      <c r="A2774" s="6"/>
    </row>
    <row r="2775" spans="1:1" ht="18.75" x14ac:dyDescent="0.25">
      <c r="A2775" s="6"/>
    </row>
    <row r="2776" spans="1:1" ht="18.75" x14ac:dyDescent="0.25">
      <c r="A2776" s="6"/>
    </row>
    <row r="2777" spans="1:1" ht="18.75" x14ac:dyDescent="0.25">
      <c r="A2777" s="6"/>
    </row>
    <row r="2778" spans="1:1" ht="18.75" x14ac:dyDescent="0.25">
      <c r="A2778" s="6"/>
    </row>
    <row r="2779" spans="1:1" ht="18.75" x14ac:dyDescent="0.25">
      <c r="A2779" s="6"/>
    </row>
    <row r="2780" spans="1:1" ht="18.75" x14ac:dyDescent="0.25">
      <c r="A2780" s="6"/>
    </row>
    <row r="2781" spans="1:1" ht="18.75" x14ac:dyDescent="0.25">
      <c r="A2781" s="6"/>
    </row>
    <row r="2782" spans="1:1" ht="18.75" x14ac:dyDescent="0.25">
      <c r="A2782" s="6"/>
    </row>
    <row r="2783" spans="1:1" ht="18.75" x14ac:dyDescent="0.25">
      <c r="A2783" s="6"/>
    </row>
    <row r="2784" spans="1:1" ht="18.75" x14ac:dyDescent="0.25">
      <c r="A2784" s="6"/>
    </row>
    <row r="2785" spans="1:1" ht="18.75" x14ac:dyDescent="0.25">
      <c r="A2785" s="6"/>
    </row>
    <row r="2786" spans="1:1" ht="18.75" x14ac:dyDescent="0.25">
      <c r="A2786" s="6"/>
    </row>
    <row r="2787" spans="1:1" ht="18.75" x14ac:dyDescent="0.25">
      <c r="A2787" s="6"/>
    </row>
    <row r="2788" spans="1:1" ht="18.75" x14ac:dyDescent="0.25">
      <c r="A2788" s="6"/>
    </row>
    <row r="2789" spans="1:1" ht="18.75" x14ac:dyDescent="0.25">
      <c r="A2789" s="6"/>
    </row>
    <row r="2790" spans="1:1" ht="18.75" x14ac:dyDescent="0.25">
      <c r="A2790" s="6"/>
    </row>
    <row r="2791" spans="1:1" ht="18.75" x14ac:dyDescent="0.25">
      <c r="A2791" s="6"/>
    </row>
    <row r="2792" spans="1:1" ht="18.75" x14ac:dyDescent="0.25">
      <c r="A2792" s="6"/>
    </row>
    <row r="2793" spans="1:1" ht="18.75" x14ac:dyDescent="0.25">
      <c r="A2793" s="6"/>
    </row>
    <row r="2794" spans="1:1" ht="18.75" x14ac:dyDescent="0.25">
      <c r="A2794" s="6"/>
    </row>
    <row r="2795" spans="1:1" ht="18.75" x14ac:dyDescent="0.25">
      <c r="A2795" s="6"/>
    </row>
    <row r="2796" spans="1:1" ht="18.75" x14ac:dyDescent="0.25">
      <c r="A2796" s="6"/>
    </row>
    <row r="2797" spans="1:1" ht="18.75" x14ac:dyDescent="0.25">
      <c r="A2797" s="6"/>
    </row>
    <row r="2798" spans="1:1" ht="18.75" x14ac:dyDescent="0.25">
      <c r="A2798" s="6"/>
    </row>
    <row r="2799" spans="1:1" ht="18.75" x14ac:dyDescent="0.25">
      <c r="A2799" s="6"/>
    </row>
    <row r="2800" spans="1:1" ht="18.75" x14ac:dyDescent="0.25">
      <c r="A2800" s="6"/>
    </row>
    <row r="2801" spans="1:1" ht="18.75" x14ac:dyDescent="0.25">
      <c r="A2801" s="6"/>
    </row>
    <row r="2802" spans="1:1" ht="18.75" x14ac:dyDescent="0.25">
      <c r="A2802" s="6"/>
    </row>
    <row r="2803" spans="1:1" ht="18.75" x14ac:dyDescent="0.25">
      <c r="A2803" s="6"/>
    </row>
    <row r="2804" spans="1:1" ht="18.75" x14ac:dyDescent="0.25">
      <c r="A2804" s="6"/>
    </row>
    <row r="2805" spans="1:1" ht="18.75" x14ac:dyDescent="0.25">
      <c r="A2805" s="6"/>
    </row>
    <row r="2806" spans="1:1" ht="18.75" x14ac:dyDescent="0.25">
      <c r="A2806" s="6"/>
    </row>
    <row r="2807" spans="1:1" ht="18.75" x14ac:dyDescent="0.25">
      <c r="A2807" s="6"/>
    </row>
    <row r="2808" spans="1:1" ht="18.75" x14ac:dyDescent="0.25">
      <c r="A2808" s="6"/>
    </row>
    <row r="2809" spans="1:1" ht="18.75" x14ac:dyDescent="0.25">
      <c r="A2809" s="6"/>
    </row>
    <row r="2810" spans="1:1" ht="18.75" x14ac:dyDescent="0.25">
      <c r="A2810" s="6"/>
    </row>
    <row r="2811" spans="1:1" ht="18.75" x14ac:dyDescent="0.25">
      <c r="A2811" s="6"/>
    </row>
    <row r="2812" spans="1:1" ht="18.75" x14ac:dyDescent="0.25">
      <c r="A2812" s="6"/>
    </row>
    <row r="2813" spans="1:1" ht="18.75" x14ac:dyDescent="0.25">
      <c r="A2813" s="6"/>
    </row>
    <row r="2814" spans="1:1" ht="18.75" x14ac:dyDescent="0.25">
      <c r="A2814" s="6"/>
    </row>
    <row r="2815" spans="1:1" ht="18.75" x14ac:dyDescent="0.25">
      <c r="A2815" s="6"/>
    </row>
    <row r="2816" spans="1:1" ht="18.75" x14ac:dyDescent="0.25">
      <c r="A2816" s="6"/>
    </row>
    <row r="2817" spans="1:1" ht="18.75" x14ac:dyDescent="0.25">
      <c r="A2817" s="6"/>
    </row>
    <row r="2818" spans="1:1" ht="18.75" x14ac:dyDescent="0.25">
      <c r="A2818" s="6"/>
    </row>
    <row r="2819" spans="1:1" ht="18.75" x14ac:dyDescent="0.25">
      <c r="A2819" s="6"/>
    </row>
    <row r="2820" spans="1:1" ht="18.75" x14ac:dyDescent="0.25">
      <c r="A2820" s="6"/>
    </row>
    <row r="2821" spans="1:1" ht="18.75" x14ac:dyDescent="0.25">
      <c r="A2821" s="6"/>
    </row>
    <row r="2822" spans="1:1" ht="18.75" x14ac:dyDescent="0.25">
      <c r="A2822" s="6"/>
    </row>
    <row r="2823" spans="1:1" ht="18.75" x14ac:dyDescent="0.25">
      <c r="A2823" s="6"/>
    </row>
    <row r="2824" spans="1:1" ht="18.75" x14ac:dyDescent="0.25">
      <c r="A2824" s="6"/>
    </row>
    <row r="2825" spans="1:1" ht="18.75" x14ac:dyDescent="0.25">
      <c r="A2825" s="6"/>
    </row>
    <row r="2826" spans="1:1" ht="18.75" x14ac:dyDescent="0.25">
      <c r="A2826" s="6"/>
    </row>
    <row r="2827" spans="1:1" ht="18.75" x14ac:dyDescent="0.25">
      <c r="A2827" s="6"/>
    </row>
    <row r="2828" spans="1:1" ht="18.75" x14ac:dyDescent="0.25">
      <c r="A2828" s="6"/>
    </row>
    <row r="2829" spans="1:1" ht="18.75" x14ac:dyDescent="0.25">
      <c r="A2829" s="6"/>
    </row>
    <row r="2830" spans="1:1" ht="18.75" x14ac:dyDescent="0.25">
      <c r="A2830" s="6"/>
    </row>
    <row r="2831" spans="1:1" ht="18.75" x14ac:dyDescent="0.25">
      <c r="A2831" s="6"/>
    </row>
    <row r="2832" spans="1:1" ht="18.75" x14ac:dyDescent="0.25">
      <c r="A2832" s="6"/>
    </row>
    <row r="2833" spans="1:1" ht="18.75" x14ac:dyDescent="0.25">
      <c r="A2833" s="6"/>
    </row>
    <row r="2834" spans="1:1" ht="18.75" x14ac:dyDescent="0.25">
      <c r="A2834" s="6"/>
    </row>
    <row r="2835" spans="1:1" ht="18.75" x14ac:dyDescent="0.25">
      <c r="A2835" s="6"/>
    </row>
    <row r="2836" spans="1:1" ht="18.75" x14ac:dyDescent="0.25">
      <c r="A2836" s="6"/>
    </row>
    <row r="2837" spans="1:1" ht="18.75" x14ac:dyDescent="0.25">
      <c r="A2837" s="6"/>
    </row>
    <row r="2838" spans="1:1" ht="18.75" x14ac:dyDescent="0.25">
      <c r="A2838" s="6"/>
    </row>
    <row r="2839" spans="1:1" ht="18.75" x14ac:dyDescent="0.25">
      <c r="A2839" s="6"/>
    </row>
    <row r="2840" spans="1:1" ht="18.75" x14ac:dyDescent="0.25">
      <c r="A2840" s="6"/>
    </row>
    <row r="2841" spans="1:1" ht="18.75" x14ac:dyDescent="0.25">
      <c r="A2841" s="6"/>
    </row>
    <row r="2842" spans="1:1" ht="18.75" x14ac:dyDescent="0.25">
      <c r="A2842" s="6"/>
    </row>
    <row r="2843" spans="1:1" ht="18.75" x14ac:dyDescent="0.25">
      <c r="A2843" s="6"/>
    </row>
    <row r="2844" spans="1:1" ht="18.75" x14ac:dyDescent="0.25">
      <c r="A2844" s="6"/>
    </row>
    <row r="2845" spans="1:1" ht="18.75" x14ac:dyDescent="0.25">
      <c r="A2845" s="6"/>
    </row>
    <row r="2846" spans="1:1" ht="18.75" x14ac:dyDescent="0.25">
      <c r="A2846" s="6"/>
    </row>
    <row r="2847" spans="1:1" ht="18.75" x14ac:dyDescent="0.25">
      <c r="A2847" s="6"/>
    </row>
    <row r="2848" spans="1:1" ht="18.75" x14ac:dyDescent="0.25">
      <c r="A2848" s="6"/>
    </row>
    <row r="2849" spans="1:1" ht="18.75" x14ac:dyDescent="0.25">
      <c r="A2849" s="6"/>
    </row>
    <row r="2850" spans="1:1" ht="18.75" x14ac:dyDescent="0.25">
      <c r="A2850" s="6"/>
    </row>
    <row r="2851" spans="1:1" ht="18.75" x14ac:dyDescent="0.25">
      <c r="A2851" s="6"/>
    </row>
    <row r="2852" spans="1:1" ht="18.75" x14ac:dyDescent="0.25">
      <c r="A2852" s="6"/>
    </row>
    <row r="2853" spans="1:1" ht="18.75" x14ac:dyDescent="0.25">
      <c r="A2853" s="6"/>
    </row>
    <row r="2854" spans="1:1" ht="18.75" x14ac:dyDescent="0.25">
      <c r="A2854" s="6"/>
    </row>
    <row r="2855" spans="1:1" ht="18.75" x14ac:dyDescent="0.25">
      <c r="A2855" s="6"/>
    </row>
    <row r="2856" spans="1:1" ht="18.75" x14ac:dyDescent="0.25">
      <c r="A2856" s="6"/>
    </row>
    <row r="2857" spans="1:1" ht="18.75" x14ac:dyDescent="0.25">
      <c r="A2857" s="6"/>
    </row>
    <row r="2858" spans="1:1" ht="18.75" x14ac:dyDescent="0.25">
      <c r="A2858" s="6"/>
    </row>
    <row r="2859" spans="1:1" ht="18.75" x14ac:dyDescent="0.25">
      <c r="A2859" s="6"/>
    </row>
    <row r="2860" spans="1:1" ht="18.75" x14ac:dyDescent="0.25">
      <c r="A2860" s="6"/>
    </row>
    <row r="2861" spans="1:1" ht="18.75" x14ac:dyDescent="0.25">
      <c r="A2861" s="6"/>
    </row>
    <row r="2862" spans="1:1" ht="18.75" x14ac:dyDescent="0.25">
      <c r="A2862" s="6"/>
    </row>
    <row r="2863" spans="1:1" ht="18.75" x14ac:dyDescent="0.25">
      <c r="A2863" s="6"/>
    </row>
    <row r="2864" spans="1:1" ht="18.75" x14ac:dyDescent="0.25">
      <c r="A2864" s="6"/>
    </row>
    <row r="2865" spans="1:1" ht="18.75" x14ac:dyDescent="0.25">
      <c r="A2865" s="6"/>
    </row>
    <row r="2866" spans="1:1" ht="18.75" x14ac:dyDescent="0.25">
      <c r="A2866" s="6"/>
    </row>
    <row r="2867" spans="1:1" ht="18.75" x14ac:dyDescent="0.25">
      <c r="A2867" s="6"/>
    </row>
    <row r="2868" spans="1:1" ht="18.75" x14ac:dyDescent="0.25">
      <c r="A2868" s="6"/>
    </row>
    <row r="2869" spans="1:1" ht="18.75" x14ac:dyDescent="0.25">
      <c r="A2869" s="6"/>
    </row>
    <row r="2870" spans="1:1" ht="18.75" x14ac:dyDescent="0.25">
      <c r="A2870" s="6"/>
    </row>
    <row r="2871" spans="1:1" ht="18.75" x14ac:dyDescent="0.25">
      <c r="A2871" s="6"/>
    </row>
    <row r="2872" spans="1:1" ht="18.75" x14ac:dyDescent="0.25">
      <c r="A2872" s="6"/>
    </row>
    <row r="2873" spans="1:1" ht="18.75" x14ac:dyDescent="0.25">
      <c r="A2873" s="6"/>
    </row>
    <row r="2874" spans="1:1" ht="18.75" x14ac:dyDescent="0.25">
      <c r="A2874" s="6"/>
    </row>
    <row r="2875" spans="1:1" ht="18.75" x14ac:dyDescent="0.25">
      <c r="A2875" s="6"/>
    </row>
    <row r="2876" spans="1:1" ht="18.75" x14ac:dyDescent="0.25">
      <c r="A2876" s="6"/>
    </row>
    <row r="2877" spans="1:1" ht="18.75" x14ac:dyDescent="0.25">
      <c r="A2877" s="6"/>
    </row>
    <row r="2878" spans="1:1" ht="18.75" x14ac:dyDescent="0.25">
      <c r="A2878" s="6"/>
    </row>
    <row r="2879" spans="1:1" ht="18.75" x14ac:dyDescent="0.25">
      <c r="A2879" s="6"/>
    </row>
    <row r="2880" spans="1:1" ht="18.75" x14ac:dyDescent="0.25">
      <c r="A2880" s="6"/>
    </row>
    <row r="2881" spans="1:1" ht="18.75" x14ac:dyDescent="0.25">
      <c r="A2881" s="6"/>
    </row>
    <row r="2882" spans="1:1" ht="18.75" x14ac:dyDescent="0.25">
      <c r="A2882" s="6"/>
    </row>
    <row r="2883" spans="1:1" ht="18.75" x14ac:dyDescent="0.25">
      <c r="A2883" s="6"/>
    </row>
    <row r="2884" spans="1:1" ht="18.75" x14ac:dyDescent="0.25">
      <c r="A2884" s="6"/>
    </row>
    <row r="2885" spans="1:1" ht="18.75" x14ac:dyDescent="0.25">
      <c r="A2885" s="6"/>
    </row>
    <row r="2886" spans="1:1" ht="18.75" x14ac:dyDescent="0.25">
      <c r="A2886" s="6"/>
    </row>
    <row r="2887" spans="1:1" ht="18.75" x14ac:dyDescent="0.25">
      <c r="A2887" s="6"/>
    </row>
    <row r="2888" spans="1:1" ht="18.75" x14ac:dyDescent="0.25">
      <c r="A2888" s="6"/>
    </row>
    <row r="2889" spans="1:1" ht="18.75" x14ac:dyDescent="0.25">
      <c r="A2889" s="6"/>
    </row>
    <row r="2890" spans="1:1" ht="18.75" x14ac:dyDescent="0.25">
      <c r="A2890" s="6"/>
    </row>
    <row r="2891" spans="1:1" ht="18.75" x14ac:dyDescent="0.25">
      <c r="A2891" s="6"/>
    </row>
    <row r="2892" spans="1:1" ht="18.75" x14ac:dyDescent="0.25">
      <c r="A2892" s="6"/>
    </row>
    <row r="2893" spans="1:1" ht="18.75" x14ac:dyDescent="0.25">
      <c r="A2893" s="6"/>
    </row>
    <row r="2894" spans="1:1" ht="18.75" x14ac:dyDescent="0.25">
      <c r="A2894" s="6"/>
    </row>
    <row r="2895" spans="1:1" ht="18.75" x14ac:dyDescent="0.25">
      <c r="A2895" s="6"/>
    </row>
    <row r="2896" spans="1:1" ht="18.75" x14ac:dyDescent="0.25">
      <c r="A2896" s="6"/>
    </row>
    <row r="2897" spans="1:1" ht="18.75" x14ac:dyDescent="0.25">
      <c r="A2897" s="6"/>
    </row>
    <row r="2898" spans="1:1" ht="18.75" x14ac:dyDescent="0.25">
      <c r="A2898" s="6"/>
    </row>
    <row r="2899" spans="1:1" ht="18.75" x14ac:dyDescent="0.25">
      <c r="A2899" s="6"/>
    </row>
    <row r="2900" spans="1:1" ht="18.75" x14ac:dyDescent="0.25">
      <c r="A2900" s="6"/>
    </row>
    <row r="2901" spans="1:1" ht="18.75" x14ac:dyDescent="0.25">
      <c r="A2901" s="6"/>
    </row>
    <row r="2902" spans="1:1" ht="18.75" x14ac:dyDescent="0.25">
      <c r="A2902" s="6"/>
    </row>
    <row r="2903" spans="1:1" ht="18.75" x14ac:dyDescent="0.25">
      <c r="A2903" s="6"/>
    </row>
    <row r="2904" spans="1:1" ht="18.75" x14ac:dyDescent="0.25">
      <c r="A2904" s="6"/>
    </row>
    <row r="2905" spans="1:1" ht="18.75" x14ac:dyDescent="0.25">
      <c r="A2905" s="6"/>
    </row>
    <row r="2906" spans="1:1" ht="18.75" x14ac:dyDescent="0.25">
      <c r="A2906" s="6"/>
    </row>
    <row r="2907" spans="1:1" ht="18.75" x14ac:dyDescent="0.25">
      <c r="A2907" s="6"/>
    </row>
    <row r="2908" spans="1:1" ht="18.75" x14ac:dyDescent="0.25">
      <c r="A2908" s="6"/>
    </row>
    <row r="2909" spans="1:1" ht="18.75" x14ac:dyDescent="0.25">
      <c r="A2909" s="6"/>
    </row>
    <row r="2910" spans="1:1" ht="18.75" x14ac:dyDescent="0.25">
      <c r="A2910" s="6"/>
    </row>
    <row r="2911" spans="1:1" ht="18.75" x14ac:dyDescent="0.25">
      <c r="A2911" s="6"/>
    </row>
    <row r="2912" spans="1:1" ht="18.75" x14ac:dyDescent="0.25">
      <c r="A2912" s="6"/>
    </row>
    <row r="2913" spans="1:1" ht="18.75" x14ac:dyDescent="0.25">
      <c r="A2913" s="6"/>
    </row>
    <row r="2914" spans="1:1" ht="18.75" x14ac:dyDescent="0.25">
      <c r="A2914" s="6"/>
    </row>
    <row r="2915" spans="1:1" ht="18.75" x14ac:dyDescent="0.25">
      <c r="A2915" s="6"/>
    </row>
    <row r="2916" spans="1:1" ht="18.75" x14ac:dyDescent="0.25">
      <c r="A2916" s="6"/>
    </row>
    <row r="2917" spans="1:1" ht="18.75" x14ac:dyDescent="0.25">
      <c r="A2917" s="6"/>
    </row>
    <row r="2918" spans="1:1" ht="18.75" x14ac:dyDescent="0.25">
      <c r="A2918" s="6"/>
    </row>
    <row r="2919" spans="1:1" ht="18.75" x14ac:dyDescent="0.25">
      <c r="A2919" s="6"/>
    </row>
    <row r="2920" spans="1:1" ht="18.75" x14ac:dyDescent="0.25">
      <c r="A2920" s="6"/>
    </row>
    <row r="2921" spans="1:1" ht="18.75" x14ac:dyDescent="0.25">
      <c r="A2921" s="6"/>
    </row>
    <row r="2922" spans="1:1" ht="18.75" x14ac:dyDescent="0.25">
      <c r="A2922" s="6"/>
    </row>
    <row r="2923" spans="1:1" ht="18.75" x14ac:dyDescent="0.25">
      <c r="A2923" s="6"/>
    </row>
    <row r="2924" spans="1:1" ht="18.75" x14ac:dyDescent="0.25">
      <c r="A2924" s="6"/>
    </row>
    <row r="2925" spans="1:1" ht="18.75" x14ac:dyDescent="0.25">
      <c r="A2925" s="6"/>
    </row>
    <row r="2926" spans="1:1" ht="18.75" x14ac:dyDescent="0.25">
      <c r="A2926" s="6"/>
    </row>
    <row r="2927" spans="1:1" ht="18.75" x14ac:dyDescent="0.25">
      <c r="A2927" s="6"/>
    </row>
    <row r="2928" spans="1:1" ht="18.75" x14ac:dyDescent="0.25">
      <c r="A2928" s="6"/>
    </row>
    <row r="2929" spans="1:1" ht="18.75" x14ac:dyDescent="0.25">
      <c r="A2929" s="6"/>
    </row>
    <row r="2930" spans="1:1" ht="18.75" x14ac:dyDescent="0.25">
      <c r="A2930" s="6"/>
    </row>
    <row r="2931" spans="1:1" ht="18.75" x14ac:dyDescent="0.25">
      <c r="A2931" s="6"/>
    </row>
    <row r="2932" spans="1:1" ht="18.75" x14ac:dyDescent="0.25">
      <c r="A2932" s="6"/>
    </row>
    <row r="2933" spans="1:1" ht="18.75" x14ac:dyDescent="0.25">
      <c r="A2933" s="6"/>
    </row>
    <row r="2934" spans="1:1" ht="18.75" x14ac:dyDescent="0.25">
      <c r="A2934" s="6"/>
    </row>
    <row r="2935" spans="1:1" ht="18.75" x14ac:dyDescent="0.25">
      <c r="A2935" s="6"/>
    </row>
    <row r="2936" spans="1:1" ht="18.75" x14ac:dyDescent="0.25">
      <c r="A2936" s="6"/>
    </row>
    <row r="2937" spans="1:1" ht="18.75" x14ac:dyDescent="0.25">
      <c r="A2937" s="6"/>
    </row>
    <row r="2938" spans="1:1" ht="18.75" x14ac:dyDescent="0.25">
      <c r="A2938" s="6"/>
    </row>
    <row r="2939" spans="1:1" ht="18.75" x14ac:dyDescent="0.25">
      <c r="A2939" s="6"/>
    </row>
    <row r="2940" spans="1:1" ht="18.75" x14ac:dyDescent="0.25">
      <c r="A2940" s="6"/>
    </row>
    <row r="2941" spans="1:1" ht="18.75" x14ac:dyDescent="0.25">
      <c r="A2941" s="6"/>
    </row>
    <row r="2942" spans="1:1" ht="18.75" x14ac:dyDescent="0.25">
      <c r="A2942" s="6"/>
    </row>
    <row r="2943" spans="1:1" ht="18.75" x14ac:dyDescent="0.25">
      <c r="A2943" s="6"/>
    </row>
    <row r="2944" spans="1:1" ht="18.75" x14ac:dyDescent="0.25">
      <c r="A2944" s="6"/>
    </row>
    <row r="2945" spans="1:1" ht="18.75" x14ac:dyDescent="0.25">
      <c r="A2945" s="6"/>
    </row>
    <row r="2946" spans="1:1" ht="18.75" x14ac:dyDescent="0.25">
      <c r="A2946" s="6"/>
    </row>
    <row r="2947" spans="1:1" ht="18.75" x14ac:dyDescent="0.25">
      <c r="A2947" s="6"/>
    </row>
    <row r="2948" spans="1:1" ht="18.75" x14ac:dyDescent="0.25">
      <c r="A2948" s="6"/>
    </row>
    <row r="2949" spans="1:1" ht="18.75" x14ac:dyDescent="0.25">
      <c r="A2949" s="6"/>
    </row>
    <row r="2950" spans="1:1" ht="18.75" x14ac:dyDescent="0.25">
      <c r="A2950" s="6"/>
    </row>
    <row r="2951" spans="1:1" ht="18.75" x14ac:dyDescent="0.25">
      <c r="A2951" s="6"/>
    </row>
    <row r="2952" spans="1:1" ht="18.75" x14ac:dyDescent="0.25">
      <c r="A2952" s="6"/>
    </row>
    <row r="2953" spans="1:1" ht="18.75" x14ac:dyDescent="0.25">
      <c r="A2953" s="6"/>
    </row>
    <row r="2954" spans="1:1" ht="18.75" x14ac:dyDescent="0.25">
      <c r="A2954" s="6"/>
    </row>
    <row r="2955" spans="1:1" ht="18.75" x14ac:dyDescent="0.25">
      <c r="A2955" s="6"/>
    </row>
    <row r="2956" spans="1:1" ht="18.75" x14ac:dyDescent="0.25">
      <c r="A2956" s="6"/>
    </row>
    <row r="2957" spans="1:1" ht="18.75" x14ac:dyDescent="0.25">
      <c r="A2957" s="6"/>
    </row>
    <row r="2958" spans="1:1" ht="18.75" x14ac:dyDescent="0.25">
      <c r="A2958" s="6"/>
    </row>
    <row r="2959" spans="1:1" ht="18.75" x14ac:dyDescent="0.25">
      <c r="A2959" s="6"/>
    </row>
    <row r="2960" spans="1:1" ht="18.75" x14ac:dyDescent="0.25">
      <c r="A2960" s="6"/>
    </row>
    <row r="2961" spans="1:1" ht="18.75" x14ac:dyDescent="0.25">
      <c r="A2961" s="6"/>
    </row>
    <row r="2962" spans="1:1" ht="18.75" x14ac:dyDescent="0.25">
      <c r="A2962" s="6"/>
    </row>
    <row r="2963" spans="1:1" ht="18.75" x14ac:dyDescent="0.25">
      <c r="A2963" s="6"/>
    </row>
    <row r="2964" spans="1:1" ht="18.75" x14ac:dyDescent="0.25">
      <c r="A2964" s="6"/>
    </row>
    <row r="2965" spans="1:1" ht="18.75" x14ac:dyDescent="0.25">
      <c r="A2965" s="6"/>
    </row>
    <row r="2966" spans="1:1" ht="18.75" x14ac:dyDescent="0.25">
      <c r="A2966" s="6"/>
    </row>
    <row r="2967" spans="1:1" ht="18.75" x14ac:dyDescent="0.25">
      <c r="A2967" s="6"/>
    </row>
    <row r="2968" spans="1:1" ht="18.75" x14ac:dyDescent="0.25">
      <c r="A2968" s="6"/>
    </row>
    <row r="2969" spans="1:1" ht="18.75" x14ac:dyDescent="0.25">
      <c r="A2969" s="6"/>
    </row>
    <row r="2970" spans="1:1" ht="18.75" x14ac:dyDescent="0.25">
      <c r="A2970" s="6"/>
    </row>
    <row r="2971" spans="1:1" ht="18.75" x14ac:dyDescent="0.25">
      <c r="A2971" s="6"/>
    </row>
    <row r="2972" spans="1:1" ht="18.75" x14ac:dyDescent="0.25">
      <c r="A2972" s="6"/>
    </row>
    <row r="2973" spans="1:1" ht="18.75" x14ac:dyDescent="0.25">
      <c r="A2973" s="6"/>
    </row>
    <row r="2974" spans="1:1" ht="18.75" x14ac:dyDescent="0.25">
      <c r="A2974" s="6"/>
    </row>
    <row r="2975" spans="1:1" ht="18.75" x14ac:dyDescent="0.25">
      <c r="A2975" s="6"/>
    </row>
    <row r="2976" spans="1:1" ht="18.75" x14ac:dyDescent="0.25">
      <c r="A2976" s="6"/>
    </row>
    <row r="2977" spans="1:1" ht="18.75" x14ac:dyDescent="0.25">
      <c r="A2977" s="6"/>
    </row>
    <row r="2978" spans="1:1" ht="18.75" x14ac:dyDescent="0.25">
      <c r="A2978" s="6"/>
    </row>
    <row r="2979" spans="1:1" ht="18.75" x14ac:dyDescent="0.25">
      <c r="A2979" s="6"/>
    </row>
    <row r="2980" spans="1:1" ht="18.75" x14ac:dyDescent="0.25">
      <c r="A2980" s="6"/>
    </row>
    <row r="2981" spans="1:1" ht="18.75" x14ac:dyDescent="0.25">
      <c r="A2981" s="6"/>
    </row>
    <row r="2982" spans="1:1" ht="18.75" x14ac:dyDescent="0.25">
      <c r="A2982" s="6"/>
    </row>
    <row r="2983" spans="1:1" ht="18.75" x14ac:dyDescent="0.25">
      <c r="A2983" s="6"/>
    </row>
    <row r="2984" spans="1:1" ht="18.75" x14ac:dyDescent="0.25">
      <c r="A2984" s="6"/>
    </row>
    <row r="2985" spans="1:1" ht="18.75" x14ac:dyDescent="0.25">
      <c r="A2985" s="6"/>
    </row>
    <row r="2986" spans="1:1" ht="18.75" x14ac:dyDescent="0.25">
      <c r="A2986" s="6"/>
    </row>
    <row r="2987" spans="1:1" ht="18.75" x14ac:dyDescent="0.25">
      <c r="A2987" s="6"/>
    </row>
    <row r="2988" spans="1:1" ht="18.75" x14ac:dyDescent="0.25">
      <c r="A2988" s="6"/>
    </row>
    <row r="2989" spans="1:1" ht="18.75" x14ac:dyDescent="0.25">
      <c r="A2989" s="6"/>
    </row>
    <row r="2990" spans="1:1" ht="18.75" x14ac:dyDescent="0.25">
      <c r="A2990" s="6"/>
    </row>
    <row r="2991" spans="1:1" ht="18.75" x14ac:dyDescent="0.25">
      <c r="A2991" s="6"/>
    </row>
    <row r="2992" spans="1:1" ht="18.75" x14ac:dyDescent="0.25">
      <c r="A2992" s="6"/>
    </row>
    <row r="2993" spans="1:1" ht="18.75" x14ac:dyDescent="0.25">
      <c r="A2993" s="6"/>
    </row>
    <row r="2994" spans="1:1" ht="18.75" x14ac:dyDescent="0.25">
      <c r="A2994" s="6"/>
    </row>
    <row r="2995" spans="1:1" ht="18.75" x14ac:dyDescent="0.25">
      <c r="A2995" s="6"/>
    </row>
    <row r="2996" spans="1:1" ht="18.75" x14ac:dyDescent="0.25">
      <c r="A2996" s="6"/>
    </row>
    <row r="2997" spans="1:1" ht="18.75" x14ac:dyDescent="0.25">
      <c r="A2997" s="6"/>
    </row>
    <row r="2998" spans="1:1" ht="18.75" x14ac:dyDescent="0.25">
      <c r="A2998" s="6"/>
    </row>
    <row r="2999" spans="1:1" ht="18.75" x14ac:dyDescent="0.25">
      <c r="A2999" s="6"/>
    </row>
    <row r="3000" spans="1:1" ht="18.75" x14ac:dyDescent="0.25">
      <c r="A3000" s="6"/>
    </row>
    <row r="3001" spans="1:1" ht="18.75" x14ac:dyDescent="0.25">
      <c r="A3001" s="6"/>
    </row>
    <row r="3002" spans="1:1" ht="18.75" x14ac:dyDescent="0.25">
      <c r="A3002" s="6"/>
    </row>
    <row r="3003" spans="1:1" ht="18.75" x14ac:dyDescent="0.25">
      <c r="A3003" s="6"/>
    </row>
    <row r="3004" spans="1:1" ht="18.75" x14ac:dyDescent="0.25">
      <c r="A3004" s="6"/>
    </row>
    <row r="3005" spans="1:1" ht="18.75" x14ac:dyDescent="0.25">
      <c r="A3005" s="6"/>
    </row>
    <row r="3006" spans="1:1" ht="18.75" x14ac:dyDescent="0.25">
      <c r="A3006" s="6"/>
    </row>
    <row r="3007" spans="1:1" ht="18.75" x14ac:dyDescent="0.25">
      <c r="A3007" s="6"/>
    </row>
    <row r="3008" spans="1:1" ht="18.75" x14ac:dyDescent="0.25">
      <c r="A3008" s="6"/>
    </row>
    <row r="3009" spans="1:1" ht="18.75" x14ac:dyDescent="0.25">
      <c r="A3009" s="6"/>
    </row>
    <row r="3010" spans="1:1" ht="18.75" x14ac:dyDescent="0.25">
      <c r="A3010" s="6"/>
    </row>
    <row r="3011" spans="1:1" ht="18.75" x14ac:dyDescent="0.25">
      <c r="A3011" s="6"/>
    </row>
    <row r="3012" spans="1:1" ht="18.75" x14ac:dyDescent="0.25">
      <c r="A3012" s="6"/>
    </row>
    <row r="3013" spans="1:1" ht="18.75" x14ac:dyDescent="0.25">
      <c r="A3013" s="6"/>
    </row>
    <row r="3014" spans="1:1" ht="18.75" x14ac:dyDescent="0.25">
      <c r="A3014" s="6"/>
    </row>
    <row r="3015" spans="1:1" ht="18.75" x14ac:dyDescent="0.25">
      <c r="A3015" s="6"/>
    </row>
    <row r="3016" spans="1:1" ht="18.75" x14ac:dyDescent="0.25">
      <c r="A3016" s="6"/>
    </row>
    <row r="3017" spans="1:1" ht="18.75" x14ac:dyDescent="0.25">
      <c r="A3017" s="6"/>
    </row>
    <row r="3018" spans="1:1" ht="18.75" x14ac:dyDescent="0.25">
      <c r="A3018" s="6"/>
    </row>
    <row r="3019" spans="1:1" ht="18.75" x14ac:dyDescent="0.25">
      <c r="A3019" s="6"/>
    </row>
    <row r="3020" spans="1:1" ht="18.75" x14ac:dyDescent="0.25">
      <c r="A3020" s="6"/>
    </row>
    <row r="3021" spans="1:1" ht="18.75" x14ac:dyDescent="0.25">
      <c r="A3021" s="6"/>
    </row>
    <row r="3022" spans="1:1" ht="18.75" x14ac:dyDescent="0.25">
      <c r="A3022" s="6"/>
    </row>
    <row r="3023" spans="1:1" ht="18.75" x14ac:dyDescent="0.25">
      <c r="A3023" s="6"/>
    </row>
    <row r="3024" spans="1:1" ht="18.75" x14ac:dyDescent="0.25">
      <c r="A3024" s="6"/>
    </row>
    <row r="3025" spans="1:1" ht="18.75" x14ac:dyDescent="0.25">
      <c r="A3025" s="6"/>
    </row>
    <row r="3026" spans="1:1" ht="18.75" x14ac:dyDescent="0.25">
      <c r="A3026" s="6"/>
    </row>
    <row r="3027" spans="1:1" ht="18.75" x14ac:dyDescent="0.25">
      <c r="A3027" s="6"/>
    </row>
    <row r="3028" spans="1:1" ht="18.75" x14ac:dyDescent="0.25">
      <c r="A3028" s="6"/>
    </row>
    <row r="3029" spans="1:1" ht="18.75" x14ac:dyDescent="0.25">
      <c r="A3029" s="6"/>
    </row>
    <row r="3030" spans="1:1" ht="18.75" x14ac:dyDescent="0.25">
      <c r="A3030" s="6"/>
    </row>
    <row r="3031" spans="1:1" ht="18.75" x14ac:dyDescent="0.25">
      <c r="A3031" s="6"/>
    </row>
    <row r="3032" spans="1:1" ht="18.75" x14ac:dyDescent="0.25">
      <c r="A3032" s="6"/>
    </row>
    <row r="3033" spans="1:1" ht="18.75" x14ac:dyDescent="0.25">
      <c r="A3033" s="6"/>
    </row>
    <row r="3034" spans="1:1" ht="18.75" x14ac:dyDescent="0.25">
      <c r="A3034" s="6"/>
    </row>
    <row r="3035" spans="1:1" ht="18.75" x14ac:dyDescent="0.25">
      <c r="A3035" s="6"/>
    </row>
    <row r="3036" spans="1:1" ht="18.75" x14ac:dyDescent="0.25">
      <c r="A3036" s="6"/>
    </row>
    <row r="3037" spans="1:1" ht="18.75" x14ac:dyDescent="0.25">
      <c r="A3037" s="6"/>
    </row>
    <row r="3038" spans="1:1" ht="18.75" x14ac:dyDescent="0.25">
      <c r="A3038" s="6"/>
    </row>
    <row r="3039" spans="1:1" ht="18.75" x14ac:dyDescent="0.25">
      <c r="A3039" s="6"/>
    </row>
    <row r="3040" spans="1:1" ht="18.75" x14ac:dyDescent="0.25">
      <c r="A3040" s="6"/>
    </row>
    <row r="3041" spans="1:1" ht="18.75" x14ac:dyDescent="0.25">
      <c r="A3041" s="6"/>
    </row>
    <row r="3042" spans="1:1" ht="18.75" x14ac:dyDescent="0.25">
      <c r="A3042" s="6"/>
    </row>
    <row r="3043" spans="1:1" ht="18.75" x14ac:dyDescent="0.25">
      <c r="A3043" s="6"/>
    </row>
    <row r="3044" spans="1:1" ht="18.75" x14ac:dyDescent="0.25">
      <c r="A3044" s="6"/>
    </row>
    <row r="3045" spans="1:1" ht="18.75" x14ac:dyDescent="0.25">
      <c r="A3045" s="6"/>
    </row>
    <row r="3046" spans="1:1" ht="18.75" x14ac:dyDescent="0.25">
      <c r="A3046" s="6"/>
    </row>
    <row r="3047" spans="1:1" ht="18.75" x14ac:dyDescent="0.25">
      <c r="A3047" s="6"/>
    </row>
    <row r="3048" spans="1:1" ht="18.75" x14ac:dyDescent="0.25">
      <c r="A3048" s="6"/>
    </row>
    <row r="3049" spans="1:1" ht="18.75" x14ac:dyDescent="0.25">
      <c r="A3049" s="6"/>
    </row>
    <row r="3050" spans="1:1" ht="18.75" x14ac:dyDescent="0.25">
      <c r="A3050" s="6"/>
    </row>
    <row r="3051" spans="1:1" ht="18.75" x14ac:dyDescent="0.25">
      <c r="A3051" s="6"/>
    </row>
    <row r="3052" spans="1:1" ht="18.75" x14ac:dyDescent="0.25">
      <c r="A3052" s="6"/>
    </row>
    <row r="3053" spans="1:1" ht="18.75" x14ac:dyDescent="0.25">
      <c r="A3053" s="6"/>
    </row>
    <row r="3054" spans="1:1" ht="18.75" x14ac:dyDescent="0.25">
      <c r="A3054" s="6"/>
    </row>
    <row r="3055" spans="1:1" ht="18.75" x14ac:dyDescent="0.25">
      <c r="A3055" s="6"/>
    </row>
    <row r="3056" spans="1:1" ht="18.75" x14ac:dyDescent="0.25">
      <c r="A3056" s="6"/>
    </row>
    <row r="3057" spans="1:1" ht="18.75" x14ac:dyDescent="0.25">
      <c r="A3057" s="6"/>
    </row>
    <row r="3058" spans="1:1" ht="18.75" x14ac:dyDescent="0.25">
      <c r="A3058" s="6"/>
    </row>
    <row r="3059" spans="1:1" ht="18.75" x14ac:dyDescent="0.25">
      <c r="A3059" s="6"/>
    </row>
    <row r="3060" spans="1:1" ht="18.75" x14ac:dyDescent="0.25">
      <c r="A3060" s="6"/>
    </row>
    <row r="3061" spans="1:1" ht="18.75" x14ac:dyDescent="0.25">
      <c r="A3061" s="6"/>
    </row>
    <row r="3062" spans="1:1" ht="18.75" x14ac:dyDescent="0.25">
      <c r="A3062" s="6"/>
    </row>
    <row r="3063" spans="1:1" ht="18.75" x14ac:dyDescent="0.25">
      <c r="A3063" s="6"/>
    </row>
    <row r="3064" spans="1:1" ht="18.75" x14ac:dyDescent="0.25">
      <c r="A3064" s="6"/>
    </row>
    <row r="3065" spans="1:1" ht="18.75" x14ac:dyDescent="0.25">
      <c r="A3065" s="6"/>
    </row>
    <row r="3066" spans="1:1" ht="18.75" x14ac:dyDescent="0.25">
      <c r="A3066" s="6"/>
    </row>
    <row r="3067" spans="1:1" ht="18.75" x14ac:dyDescent="0.25">
      <c r="A3067" s="6"/>
    </row>
    <row r="3068" spans="1:1" ht="18.75" x14ac:dyDescent="0.25">
      <c r="A3068" s="6"/>
    </row>
    <row r="3069" spans="1:1" ht="18.75" x14ac:dyDescent="0.25">
      <c r="A3069" s="6"/>
    </row>
    <row r="3070" spans="1:1" ht="18.75" x14ac:dyDescent="0.25">
      <c r="A3070" s="6"/>
    </row>
    <row r="3071" spans="1:1" ht="18.75" x14ac:dyDescent="0.25">
      <c r="A3071" s="6"/>
    </row>
    <row r="3072" spans="1:1" ht="18.75" x14ac:dyDescent="0.25">
      <c r="A3072" s="6"/>
    </row>
    <row r="3073" spans="1:1" ht="18.75" x14ac:dyDescent="0.25">
      <c r="A3073" s="6"/>
    </row>
    <row r="3074" spans="1:1" ht="18.75" x14ac:dyDescent="0.25">
      <c r="A3074" s="6"/>
    </row>
    <row r="3075" spans="1:1" ht="18.75" x14ac:dyDescent="0.25">
      <c r="A3075" s="6"/>
    </row>
    <row r="3076" spans="1:1" ht="18.75" x14ac:dyDescent="0.25">
      <c r="A3076" s="6"/>
    </row>
    <row r="3077" spans="1:1" ht="18.75" x14ac:dyDescent="0.25">
      <c r="A3077" s="6"/>
    </row>
    <row r="3078" spans="1:1" ht="18.75" x14ac:dyDescent="0.25">
      <c r="A3078" s="6"/>
    </row>
    <row r="3079" spans="1:1" ht="18.75" x14ac:dyDescent="0.25">
      <c r="A3079" s="6"/>
    </row>
    <row r="3080" spans="1:1" ht="18.75" x14ac:dyDescent="0.25">
      <c r="A3080" s="6"/>
    </row>
    <row r="3081" spans="1:1" ht="18.75" x14ac:dyDescent="0.25">
      <c r="A3081" s="6"/>
    </row>
    <row r="3082" spans="1:1" ht="18.75" x14ac:dyDescent="0.25">
      <c r="A3082" s="6"/>
    </row>
    <row r="3083" spans="1:1" ht="18.75" x14ac:dyDescent="0.25">
      <c r="A3083" s="6"/>
    </row>
    <row r="3084" spans="1:1" ht="18.75" x14ac:dyDescent="0.25">
      <c r="A3084" s="6"/>
    </row>
    <row r="3085" spans="1:1" ht="18.75" x14ac:dyDescent="0.25">
      <c r="A3085" s="6"/>
    </row>
    <row r="3086" spans="1:1" ht="18.75" x14ac:dyDescent="0.25">
      <c r="A3086" s="6"/>
    </row>
    <row r="3087" spans="1:1" ht="18.75" x14ac:dyDescent="0.25">
      <c r="A3087" s="6"/>
    </row>
    <row r="3088" spans="1:1" ht="18.75" x14ac:dyDescent="0.25">
      <c r="A3088" s="6"/>
    </row>
    <row r="3089" spans="1:1" ht="18.75" x14ac:dyDescent="0.25">
      <c r="A3089" s="6"/>
    </row>
    <row r="3090" spans="1:1" ht="18.75" x14ac:dyDescent="0.25">
      <c r="A3090" s="6"/>
    </row>
    <row r="3091" spans="1:1" ht="18.75" x14ac:dyDescent="0.25">
      <c r="A3091" s="6"/>
    </row>
    <row r="3092" spans="1:1" ht="18.75" x14ac:dyDescent="0.25">
      <c r="A3092" s="6"/>
    </row>
    <row r="3093" spans="1:1" ht="18.75" x14ac:dyDescent="0.25">
      <c r="A3093" s="6"/>
    </row>
    <row r="3094" spans="1:1" ht="18.75" x14ac:dyDescent="0.25">
      <c r="A3094" s="6"/>
    </row>
    <row r="3095" spans="1:1" ht="18.75" x14ac:dyDescent="0.25">
      <c r="A3095" s="6"/>
    </row>
    <row r="3096" spans="1:1" ht="18.75" x14ac:dyDescent="0.25">
      <c r="A3096" s="6"/>
    </row>
    <row r="3097" spans="1:1" ht="18.75" x14ac:dyDescent="0.25">
      <c r="A3097" s="6"/>
    </row>
    <row r="3098" spans="1:1" ht="18.75" x14ac:dyDescent="0.25">
      <c r="A3098" s="6"/>
    </row>
    <row r="3099" spans="1:1" ht="18.75" x14ac:dyDescent="0.25">
      <c r="A3099" s="6"/>
    </row>
    <row r="3100" spans="1:1" ht="18.75" x14ac:dyDescent="0.25">
      <c r="A3100" s="6"/>
    </row>
    <row r="3101" spans="1:1" ht="18.75" x14ac:dyDescent="0.25">
      <c r="A3101" s="6"/>
    </row>
    <row r="3102" spans="1:1" ht="18.75" x14ac:dyDescent="0.25">
      <c r="A3102" s="6"/>
    </row>
    <row r="3103" spans="1:1" ht="18.75" x14ac:dyDescent="0.25">
      <c r="A3103" s="6"/>
    </row>
    <row r="3104" spans="1:1" ht="18.75" x14ac:dyDescent="0.25">
      <c r="A3104" s="6"/>
    </row>
    <row r="3105" spans="1:1" ht="18.75" x14ac:dyDescent="0.25">
      <c r="A3105" s="6"/>
    </row>
    <row r="3106" spans="1:1" ht="18.75" x14ac:dyDescent="0.25">
      <c r="A3106" s="6"/>
    </row>
    <row r="3107" spans="1:1" ht="18.75" x14ac:dyDescent="0.25">
      <c r="A3107" s="6"/>
    </row>
    <row r="3108" spans="1:1" ht="18.75" x14ac:dyDescent="0.25">
      <c r="A3108" s="6"/>
    </row>
    <row r="3109" spans="1:1" ht="18.75" x14ac:dyDescent="0.25">
      <c r="A3109" s="6"/>
    </row>
    <row r="3110" spans="1:1" ht="18.75" x14ac:dyDescent="0.25">
      <c r="A3110" s="6"/>
    </row>
    <row r="3111" spans="1:1" ht="18.75" x14ac:dyDescent="0.25">
      <c r="A3111" s="6"/>
    </row>
    <row r="3112" spans="1:1" ht="18.75" x14ac:dyDescent="0.25">
      <c r="A3112" s="6"/>
    </row>
    <row r="3113" spans="1:1" ht="18.75" x14ac:dyDescent="0.25">
      <c r="A3113" s="6"/>
    </row>
    <row r="3114" spans="1:1" ht="18.75" x14ac:dyDescent="0.25">
      <c r="A3114" s="6"/>
    </row>
    <row r="3115" spans="1:1" ht="18.75" x14ac:dyDescent="0.25">
      <c r="A3115" s="6"/>
    </row>
    <row r="3116" spans="1:1" ht="18.75" x14ac:dyDescent="0.25">
      <c r="A3116" s="6"/>
    </row>
    <row r="3117" spans="1:1" ht="18.75" x14ac:dyDescent="0.25">
      <c r="A3117" s="6"/>
    </row>
    <row r="3118" spans="1:1" ht="18.75" x14ac:dyDescent="0.25">
      <c r="A3118" s="6"/>
    </row>
    <row r="3119" spans="1:1" ht="18.75" x14ac:dyDescent="0.25">
      <c r="A3119" s="6"/>
    </row>
    <row r="3120" spans="1:1" ht="18.75" x14ac:dyDescent="0.25">
      <c r="A3120" s="6"/>
    </row>
    <row r="3121" spans="1:1" ht="18.75" x14ac:dyDescent="0.25">
      <c r="A3121" s="6"/>
    </row>
    <row r="3122" spans="1:1" ht="18.75" x14ac:dyDescent="0.25">
      <c r="A3122" s="6"/>
    </row>
    <row r="3123" spans="1:1" ht="18.75" x14ac:dyDescent="0.25">
      <c r="A3123" s="6"/>
    </row>
    <row r="3124" spans="1:1" ht="18.75" x14ac:dyDescent="0.25">
      <c r="A3124" s="6"/>
    </row>
    <row r="3125" spans="1:1" ht="18.75" x14ac:dyDescent="0.25">
      <c r="A3125" s="6"/>
    </row>
    <row r="3126" spans="1:1" ht="18.75" x14ac:dyDescent="0.25">
      <c r="A3126" s="6"/>
    </row>
    <row r="3127" spans="1:1" ht="18.75" x14ac:dyDescent="0.25">
      <c r="A3127" s="6"/>
    </row>
    <row r="3128" spans="1:1" ht="18.75" x14ac:dyDescent="0.25">
      <c r="A3128" s="6"/>
    </row>
    <row r="3129" spans="1:1" ht="18.75" x14ac:dyDescent="0.25">
      <c r="A3129" s="6"/>
    </row>
    <row r="3130" spans="1:1" ht="18.75" x14ac:dyDescent="0.25">
      <c r="A3130" s="6"/>
    </row>
    <row r="3131" spans="1:1" ht="18.75" x14ac:dyDescent="0.25">
      <c r="A3131" s="6"/>
    </row>
    <row r="3132" spans="1:1" ht="18.75" x14ac:dyDescent="0.25">
      <c r="A3132" s="6"/>
    </row>
    <row r="3133" spans="1:1" ht="18.75" x14ac:dyDescent="0.25">
      <c r="A3133" s="6"/>
    </row>
    <row r="3134" spans="1:1" ht="18.75" x14ac:dyDescent="0.25">
      <c r="A3134" s="6"/>
    </row>
    <row r="3135" spans="1:1" ht="18.75" x14ac:dyDescent="0.25">
      <c r="A3135" s="6"/>
    </row>
    <row r="3136" spans="1:1" ht="18.75" x14ac:dyDescent="0.25">
      <c r="A3136" s="6"/>
    </row>
    <row r="3137" spans="1:1" ht="18.75" x14ac:dyDescent="0.25">
      <c r="A3137" s="6"/>
    </row>
    <row r="3138" spans="1:1" ht="18.75" x14ac:dyDescent="0.25">
      <c r="A3138" s="6"/>
    </row>
    <row r="3139" spans="1:1" ht="18.75" x14ac:dyDescent="0.25">
      <c r="A3139" s="6"/>
    </row>
    <row r="3140" spans="1:1" ht="18.75" x14ac:dyDescent="0.25">
      <c r="A3140" s="6"/>
    </row>
    <row r="3141" spans="1:1" ht="18.75" x14ac:dyDescent="0.25">
      <c r="A3141" s="6"/>
    </row>
    <row r="3142" spans="1:1" ht="18.75" x14ac:dyDescent="0.25">
      <c r="A3142" s="6"/>
    </row>
    <row r="3143" spans="1:1" ht="18.75" x14ac:dyDescent="0.25">
      <c r="A3143" s="6"/>
    </row>
    <row r="3144" spans="1:1" ht="18.75" x14ac:dyDescent="0.25">
      <c r="A3144" s="6"/>
    </row>
    <row r="3145" spans="1:1" ht="18.75" x14ac:dyDescent="0.25">
      <c r="A3145" s="6"/>
    </row>
    <row r="3146" spans="1:1" ht="18.75" x14ac:dyDescent="0.25">
      <c r="A3146" s="6"/>
    </row>
    <row r="3147" spans="1:1" ht="18.75" x14ac:dyDescent="0.25">
      <c r="A3147" s="6"/>
    </row>
    <row r="3148" spans="1:1" ht="18.75" x14ac:dyDescent="0.25">
      <c r="A3148" s="6"/>
    </row>
    <row r="3149" spans="1:1" ht="18.75" x14ac:dyDescent="0.25">
      <c r="A3149" s="6"/>
    </row>
    <row r="3150" spans="1:1" ht="18.75" x14ac:dyDescent="0.25">
      <c r="A3150" s="6"/>
    </row>
    <row r="3151" spans="1:1" ht="18.75" x14ac:dyDescent="0.25">
      <c r="A3151" s="6"/>
    </row>
    <row r="3152" spans="1:1" ht="18.75" x14ac:dyDescent="0.25">
      <c r="A3152" s="6"/>
    </row>
    <row r="3153" spans="1:1" ht="18.75" x14ac:dyDescent="0.25">
      <c r="A3153" s="6"/>
    </row>
    <row r="3154" spans="1:1" ht="18.75" x14ac:dyDescent="0.25">
      <c r="A3154" s="6"/>
    </row>
    <row r="3155" spans="1:1" ht="18.75" x14ac:dyDescent="0.25">
      <c r="A3155" s="6"/>
    </row>
    <row r="3156" spans="1:1" ht="18.75" x14ac:dyDescent="0.25">
      <c r="A3156" s="6"/>
    </row>
    <row r="3157" spans="1:1" ht="18.75" x14ac:dyDescent="0.25">
      <c r="A3157" s="6"/>
    </row>
    <row r="3158" spans="1:1" ht="18.75" x14ac:dyDescent="0.25">
      <c r="A3158" s="6"/>
    </row>
    <row r="3159" spans="1:1" ht="18.75" x14ac:dyDescent="0.25">
      <c r="A3159" s="6"/>
    </row>
    <row r="3160" spans="1:1" ht="18.75" x14ac:dyDescent="0.25">
      <c r="A3160" s="6"/>
    </row>
    <row r="3161" spans="1:1" ht="18.75" x14ac:dyDescent="0.25">
      <c r="A3161" s="6"/>
    </row>
    <row r="3162" spans="1:1" ht="18.75" x14ac:dyDescent="0.25">
      <c r="A3162" s="6"/>
    </row>
    <row r="3163" spans="1:1" ht="18.75" x14ac:dyDescent="0.25">
      <c r="A3163" s="6"/>
    </row>
    <row r="3164" spans="1:1" ht="18.75" x14ac:dyDescent="0.25">
      <c r="A3164" s="6"/>
    </row>
    <row r="3165" spans="1:1" ht="18.75" x14ac:dyDescent="0.25">
      <c r="A3165" s="6"/>
    </row>
    <row r="3166" spans="1:1" ht="18.75" x14ac:dyDescent="0.25">
      <c r="A3166" s="6"/>
    </row>
    <row r="3167" spans="1:1" ht="18.75" x14ac:dyDescent="0.25">
      <c r="A3167" s="6"/>
    </row>
    <row r="3168" spans="1:1" ht="18.75" x14ac:dyDescent="0.25">
      <c r="A3168" s="6"/>
    </row>
    <row r="3169" spans="1:1" ht="18.75" x14ac:dyDescent="0.25">
      <c r="A3169" s="6"/>
    </row>
    <row r="3170" spans="1:1" ht="18.75" x14ac:dyDescent="0.25">
      <c r="A3170" s="6"/>
    </row>
    <row r="3171" spans="1:1" ht="18.75" x14ac:dyDescent="0.25">
      <c r="A3171" s="6"/>
    </row>
    <row r="3172" spans="1:1" ht="18.75" x14ac:dyDescent="0.25">
      <c r="A3172" s="6"/>
    </row>
    <row r="3173" spans="1:1" ht="18.75" x14ac:dyDescent="0.25">
      <c r="A3173" s="6"/>
    </row>
    <row r="3174" spans="1:1" ht="18.75" x14ac:dyDescent="0.25">
      <c r="A3174" s="6"/>
    </row>
    <row r="3175" spans="1:1" ht="18.75" x14ac:dyDescent="0.25">
      <c r="A3175" s="6"/>
    </row>
    <row r="3176" spans="1:1" ht="18.75" x14ac:dyDescent="0.25">
      <c r="A3176" s="6"/>
    </row>
    <row r="3177" spans="1:1" ht="18.75" x14ac:dyDescent="0.25">
      <c r="A3177" s="6"/>
    </row>
    <row r="3178" spans="1:1" ht="18.75" x14ac:dyDescent="0.25">
      <c r="A3178" s="6"/>
    </row>
    <row r="3179" spans="1:1" ht="18.75" x14ac:dyDescent="0.25">
      <c r="A3179" s="6"/>
    </row>
    <row r="3180" spans="1:1" ht="18.75" x14ac:dyDescent="0.25">
      <c r="A3180" s="6"/>
    </row>
    <row r="3181" spans="1:1" ht="18.75" x14ac:dyDescent="0.25">
      <c r="A3181" s="6"/>
    </row>
    <row r="3182" spans="1:1" ht="18.75" x14ac:dyDescent="0.25">
      <c r="A3182" s="6"/>
    </row>
    <row r="3183" spans="1:1" ht="18.75" x14ac:dyDescent="0.25">
      <c r="A3183" s="6"/>
    </row>
    <row r="3184" spans="1:1" ht="18.75" x14ac:dyDescent="0.25">
      <c r="A3184" s="6"/>
    </row>
    <row r="3185" spans="1:1" ht="18.75" x14ac:dyDescent="0.25">
      <c r="A3185" s="6"/>
    </row>
    <row r="3186" spans="1:1" ht="18.75" x14ac:dyDescent="0.25">
      <c r="A3186" s="6"/>
    </row>
    <row r="3187" spans="1:1" ht="18.75" x14ac:dyDescent="0.25">
      <c r="A3187" s="6"/>
    </row>
    <row r="3188" spans="1:1" ht="18.75" x14ac:dyDescent="0.25">
      <c r="A3188" s="6"/>
    </row>
    <row r="3189" spans="1:1" ht="18.75" x14ac:dyDescent="0.25">
      <c r="A3189" s="6"/>
    </row>
    <row r="3190" spans="1:1" ht="18.75" x14ac:dyDescent="0.25">
      <c r="A3190" s="6"/>
    </row>
    <row r="3191" spans="1:1" ht="18.75" x14ac:dyDescent="0.25">
      <c r="A3191" s="6"/>
    </row>
    <row r="3192" spans="1:1" ht="18.75" x14ac:dyDescent="0.25">
      <c r="A3192" s="6"/>
    </row>
    <row r="3193" spans="1:1" ht="18.75" x14ac:dyDescent="0.25">
      <c r="A3193" s="6"/>
    </row>
    <row r="3194" spans="1:1" ht="18.75" x14ac:dyDescent="0.25">
      <c r="A3194" s="6"/>
    </row>
    <row r="3195" spans="1:1" ht="18.75" x14ac:dyDescent="0.25">
      <c r="A3195" s="6"/>
    </row>
    <row r="3196" spans="1:1" ht="18.75" x14ac:dyDescent="0.25">
      <c r="A3196" s="6"/>
    </row>
    <row r="3197" spans="1:1" ht="18.75" x14ac:dyDescent="0.25">
      <c r="A3197" s="6"/>
    </row>
    <row r="3198" spans="1:1" ht="18.75" x14ac:dyDescent="0.25">
      <c r="A3198" s="6"/>
    </row>
    <row r="3199" spans="1:1" ht="18.75" x14ac:dyDescent="0.25">
      <c r="A3199" s="6"/>
    </row>
    <row r="3200" spans="1:1" ht="18.75" x14ac:dyDescent="0.25">
      <c r="A3200" s="6"/>
    </row>
    <row r="3201" spans="1:1" ht="18.75" x14ac:dyDescent="0.25">
      <c r="A3201" s="6"/>
    </row>
    <row r="3202" spans="1:1" ht="18.75" x14ac:dyDescent="0.25">
      <c r="A3202" s="6"/>
    </row>
    <row r="3203" spans="1:1" ht="18.75" x14ac:dyDescent="0.25">
      <c r="A3203" s="6"/>
    </row>
    <row r="3204" spans="1:1" ht="18.75" x14ac:dyDescent="0.25">
      <c r="A3204" s="6"/>
    </row>
    <row r="3205" spans="1:1" ht="18.75" x14ac:dyDescent="0.25">
      <c r="A3205" s="6"/>
    </row>
    <row r="3206" spans="1:1" ht="18.75" x14ac:dyDescent="0.25">
      <c r="A3206" s="6"/>
    </row>
    <row r="3207" spans="1:1" ht="18.75" x14ac:dyDescent="0.25">
      <c r="A3207" s="6"/>
    </row>
    <row r="3208" spans="1:1" ht="18.75" x14ac:dyDescent="0.25">
      <c r="A3208" s="6"/>
    </row>
    <row r="3209" spans="1:1" ht="18.75" x14ac:dyDescent="0.25">
      <c r="A3209" s="6"/>
    </row>
    <row r="3210" spans="1:1" ht="18.75" x14ac:dyDescent="0.25">
      <c r="A3210" s="6"/>
    </row>
    <row r="3211" spans="1:1" ht="18.75" x14ac:dyDescent="0.25">
      <c r="A3211" s="6"/>
    </row>
    <row r="3212" spans="1:1" ht="18.75" x14ac:dyDescent="0.25">
      <c r="A3212" s="6"/>
    </row>
    <row r="3213" spans="1:1" ht="18.75" x14ac:dyDescent="0.25">
      <c r="A3213" s="6"/>
    </row>
    <row r="3214" spans="1:1" ht="18.75" x14ac:dyDescent="0.25">
      <c r="A3214" s="6"/>
    </row>
    <row r="3215" spans="1:1" ht="18.75" x14ac:dyDescent="0.25">
      <c r="A3215" s="6"/>
    </row>
    <row r="3216" spans="1:1" ht="18.75" x14ac:dyDescent="0.25">
      <c r="A3216" s="6"/>
    </row>
    <row r="3217" spans="1:1" ht="18.75" x14ac:dyDescent="0.25">
      <c r="A3217" s="6"/>
    </row>
    <row r="3218" spans="1:1" ht="18.75" x14ac:dyDescent="0.25">
      <c r="A3218" s="6"/>
    </row>
    <row r="3219" spans="1:1" ht="18.75" x14ac:dyDescent="0.25">
      <c r="A3219" s="6"/>
    </row>
    <row r="3220" spans="1:1" ht="18.75" x14ac:dyDescent="0.25">
      <c r="A3220" s="6"/>
    </row>
    <row r="3221" spans="1:1" ht="18.75" x14ac:dyDescent="0.25">
      <c r="A3221" s="6"/>
    </row>
    <row r="3222" spans="1:1" ht="18.75" x14ac:dyDescent="0.25">
      <c r="A3222" s="6"/>
    </row>
    <row r="3223" spans="1:1" ht="18.75" x14ac:dyDescent="0.25">
      <c r="A3223" s="6"/>
    </row>
    <row r="3224" spans="1:1" ht="18.75" x14ac:dyDescent="0.25">
      <c r="A3224" s="6"/>
    </row>
    <row r="3225" spans="1:1" ht="18.75" x14ac:dyDescent="0.25">
      <c r="A3225" s="6"/>
    </row>
    <row r="3226" spans="1:1" ht="18.75" x14ac:dyDescent="0.25">
      <c r="A3226" s="6"/>
    </row>
    <row r="3227" spans="1:1" ht="18.75" x14ac:dyDescent="0.25">
      <c r="A3227" s="6"/>
    </row>
    <row r="3228" spans="1:1" ht="18.75" x14ac:dyDescent="0.25">
      <c r="A3228" s="6"/>
    </row>
    <row r="3229" spans="1:1" ht="18.75" x14ac:dyDescent="0.25">
      <c r="A3229" s="6"/>
    </row>
    <row r="3230" spans="1:1" ht="18.75" x14ac:dyDescent="0.25">
      <c r="A3230" s="6"/>
    </row>
    <row r="3231" spans="1:1" ht="18.75" x14ac:dyDescent="0.25">
      <c r="A3231" s="6"/>
    </row>
    <row r="3232" spans="1:1" ht="18.75" x14ac:dyDescent="0.25">
      <c r="A3232" s="6"/>
    </row>
    <row r="3233" spans="1:1" ht="18.75" x14ac:dyDescent="0.25">
      <c r="A3233" s="6"/>
    </row>
    <row r="3234" spans="1:1" ht="18.75" x14ac:dyDescent="0.25">
      <c r="A3234" s="6"/>
    </row>
    <row r="3235" spans="1:1" ht="18.75" x14ac:dyDescent="0.25">
      <c r="A3235" s="6"/>
    </row>
    <row r="3236" spans="1:1" ht="18.75" x14ac:dyDescent="0.25">
      <c r="A3236" s="6"/>
    </row>
    <row r="3237" spans="1:1" ht="18.75" x14ac:dyDescent="0.25">
      <c r="A3237" s="6"/>
    </row>
    <row r="3238" spans="1:1" ht="18.75" x14ac:dyDescent="0.25">
      <c r="A3238" s="6"/>
    </row>
    <row r="3239" spans="1:1" ht="18.75" x14ac:dyDescent="0.25">
      <c r="A3239" s="6"/>
    </row>
    <row r="3240" spans="1:1" ht="18.75" x14ac:dyDescent="0.25">
      <c r="A3240" s="6"/>
    </row>
    <row r="3241" spans="1:1" ht="18.75" x14ac:dyDescent="0.25">
      <c r="A3241" s="6"/>
    </row>
    <row r="3242" spans="1:1" ht="18.75" x14ac:dyDescent="0.25">
      <c r="A3242" s="6"/>
    </row>
    <row r="3243" spans="1:1" ht="18.75" x14ac:dyDescent="0.25">
      <c r="A3243" s="6"/>
    </row>
    <row r="3244" spans="1:1" ht="18.75" x14ac:dyDescent="0.25">
      <c r="A3244" s="6"/>
    </row>
    <row r="3245" spans="1:1" ht="18.75" x14ac:dyDescent="0.25">
      <c r="A3245" s="6"/>
    </row>
    <row r="3246" spans="1:1" ht="18.75" x14ac:dyDescent="0.25">
      <c r="A3246" s="6"/>
    </row>
    <row r="3247" spans="1:1" ht="18.75" x14ac:dyDescent="0.25">
      <c r="A3247" s="6"/>
    </row>
    <row r="3248" spans="1:1" ht="18.75" x14ac:dyDescent="0.25">
      <c r="A3248" s="6"/>
    </row>
    <row r="3249" spans="1:1" ht="18.75" x14ac:dyDescent="0.25">
      <c r="A3249" s="6"/>
    </row>
    <row r="3250" spans="1:1" ht="18.75" x14ac:dyDescent="0.25">
      <c r="A3250" s="6"/>
    </row>
    <row r="3251" spans="1:1" ht="18.75" x14ac:dyDescent="0.25">
      <c r="A3251" s="6"/>
    </row>
    <row r="3252" spans="1:1" ht="18.75" x14ac:dyDescent="0.25">
      <c r="A3252" s="6"/>
    </row>
    <row r="3253" spans="1:1" ht="18.75" x14ac:dyDescent="0.25">
      <c r="A3253" s="6"/>
    </row>
    <row r="3254" spans="1:1" ht="18.75" x14ac:dyDescent="0.25">
      <c r="A3254" s="6"/>
    </row>
    <row r="3255" spans="1:1" ht="18.75" x14ac:dyDescent="0.25">
      <c r="A3255" s="6"/>
    </row>
    <row r="3256" spans="1:1" ht="18.75" x14ac:dyDescent="0.25">
      <c r="A3256" s="6"/>
    </row>
    <row r="3257" spans="1:1" ht="18.75" x14ac:dyDescent="0.25">
      <c r="A3257" s="6"/>
    </row>
    <row r="3258" spans="1:1" ht="18.75" x14ac:dyDescent="0.25">
      <c r="A3258" s="6"/>
    </row>
    <row r="3259" spans="1:1" ht="18.75" x14ac:dyDescent="0.25">
      <c r="A3259" s="6"/>
    </row>
    <row r="3260" spans="1:1" ht="18.75" x14ac:dyDescent="0.25">
      <c r="A3260" s="6"/>
    </row>
    <row r="3261" spans="1:1" ht="18.75" x14ac:dyDescent="0.25">
      <c r="A3261" s="6"/>
    </row>
    <row r="3262" spans="1:1" ht="18.75" x14ac:dyDescent="0.25">
      <c r="A3262" s="6"/>
    </row>
    <row r="3263" spans="1:1" ht="18.75" x14ac:dyDescent="0.25">
      <c r="A3263" s="6"/>
    </row>
    <row r="3264" spans="1:1" ht="18.75" x14ac:dyDescent="0.25">
      <c r="A3264" s="6"/>
    </row>
    <row r="3265" spans="1:1" ht="18.75" x14ac:dyDescent="0.25">
      <c r="A3265" s="6"/>
    </row>
    <row r="3266" spans="1:1" ht="18.75" x14ac:dyDescent="0.25">
      <c r="A3266" s="6"/>
    </row>
    <row r="3267" spans="1:1" ht="18.75" x14ac:dyDescent="0.25">
      <c r="A3267" s="6"/>
    </row>
    <row r="3268" spans="1:1" ht="18.75" x14ac:dyDescent="0.25">
      <c r="A3268" s="6"/>
    </row>
    <row r="3269" spans="1:1" ht="18.75" x14ac:dyDescent="0.25">
      <c r="A3269" s="6"/>
    </row>
    <row r="3270" spans="1:1" ht="18.75" x14ac:dyDescent="0.25">
      <c r="A3270" s="6"/>
    </row>
    <row r="3271" spans="1:1" ht="18.75" x14ac:dyDescent="0.25">
      <c r="A3271" s="6"/>
    </row>
    <row r="3272" spans="1:1" ht="18.75" x14ac:dyDescent="0.25">
      <c r="A3272" s="6"/>
    </row>
    <row r="3273" spans="1:1" ht="18.75" x14ac:dyDescent="0.25">
      <c r="A3273" s="6"/>
    </row>
    <row r="3274" spans="1:1" ht="18.75" x14ac:dyDescent="0.25">
      <c r="A3274" s="6"/>
    </row>
    <row r="3275" spans="1:1" ht="18.75" x14ac:dyDescent="0.25">
      <c r="A3275" s="6"/>
    </row>
    <row r="3276" spans="1:1" ht="18.75" x14ac:dyDescent="0.25">
      <c r="A3276" s="6"/>
    </row>
    <row r="3277" spans="1:1" ht="18.75" x14ac:dyDescent="0.25">
      <c r="A3277" s="6"/>
    </row>
    <row r="3278" spans="1:1" ht="18.75" x14ac:dyDescent="0.25">
      <c r="A3278" s="6"/>
    </row>
    <row r="3279" spans="1:1" ht="18.75" x14ac:dyDescent="0.25">
      <c r="A3279" s="6"/>
    </row>
    <row r="3280" spans="1:1" ht="18.75" x14ac:dyDescent="0.25">
      <c r="A3280" s="6"/>
    </row>
    <row r="3281" spans="1:1" ht="18.75" x14ac:dyDescent="0.25">
      <c r="A3281" s="6"/>
    </row>
    <row r="3282" spans="1:1" ht="18.75" x14ac:dyDescent="0.25">
      <c r="A3282" s="6"/>
    </row>
    <row r="3283" spans="1:1" ht="18.75" x14ac:dyDescent="0.25">
      <c r="A3283" s="6"/>
    </row>
    <row r="3284" spans="1:1" ht="18.75" x14ac:dyDescent="0.25">
      <c r="A3284" s="6"/>
    </row>
    <row r="3285" spans="1:1" ht="18.75" x14ac:dyDescent="0.25">
      <c r="A3285" s="6"/>
    </row>
    <row r="3286" spans="1:1" ht="18.75" x14ac:dyDescent="0.25">
      <c r="A3286" s="6"/>
    </row>
    <row r="3287" spans="1:1" ht="18.75" x14ac:dyDescent="0.25">
      <c r="A3287" s="6"/>
    </row>
    <row r="3288" spans="1:1" ht="18.75" x14ac:dyDescent="0.25">
      <c r="A3288" s="6"/>
    </row>
    <row r="3289" spans="1:1" ht="18.75" x14ac:dyDescent="0.25">
      <c r="A3289" s="6"/>
    </row>
    <row r="3290" spans="1:1" ht="18.75" x14ac:dyDescent="0.25">
      <c r="A3290" s="6"/>
    </row>
    <row r="3291" spans="1:1" ht="18.75" x14ac:dyDescent="0.25">
      <c r="A3291" s="6"/>
    </row>
    <row r="3292" spans="1:1" ht="18.75" x14ac:dyDescent="0.25">
      <c r="A3292" s="6"/>
    </row>
    <row r="3293" spans="1:1" ht="18.75" x14ac:dyDescent="0.25">
      <c r="A3293" s="6"/>
    </row>
    <row r="3294" spans="1:1" ht="18.75" x14ac:dyDescent="0.25">
      <c r="A3294" s="6"/>
    </row>
    <row r="3295" spans="1:1" ht="18.75" x14ac:dyDescent="0.25">
      <c r="A3295" s="6"/>
    </row>
    <row r="3296" spans="1:1" ht="18.75" x14ac:dyDescent="0.25">
      <c r="A3296" s="6"/>
    </row>
    <row r="3297" spans="1:1" ht="18.75" x14ac:dyDescent="0.25">
      <c r="A3297" s="6"/>
    </row>
    <row r="3298" spans="1:1" ht="18.75" x14ac:dyDescent="0.25">
      <c r="A3298" s="6"/>
    </row>
    <row r="3299" spans="1:1" ht="18.75" x14ac:dyDescent="0.25">
      <c r="A3299" s="6"/>
    </row>
    <row r="3300" spans="1:1" ht="18.75" x14ac:dyDescent="0.25">
      <c r="A3300" s="6"/>
    </row>
    <row r="3301" spans="1:1" ht="18.75" x14ac:dyDescent="0.25">
      <c r="A3301" s="6"/>
    </row>
    <row r="3302" spans="1:1" ht="18.75" x14ac:dyDescent="0.25">
      <c r="A3302" s="6"/>
    </row>
    <row r="3303" spans="1:1" ht="18.75" x14ac:dyDescent="0.25">
      <c r="A3303" s="6"/>
    </row>
    <row r="3304" spans="1:1" ht="18.75" x14ac:dyDescent="0.25">
      <c r="A3304" s="6"/>
    </row>
    <row r="3305" spans="1:1" ht="18.75" x14ac:dyDescent="0.25">
      <c r="A3305" s="6"/>
    </row>
    <row r="3306" spans="1:1" ht="18.75" x14ac:dyDescent="0.25">
      <c r="A3306" s="6"/>
    </row>
    <row r="3307" spans="1:1" ht="18.75" x14ac:dyDescent="0.25">
      <c r="A3307" s="6"/>
    </row>
    <row r="3308" spans="1:1" ht="18.75" x14ac:dyDescent="0.25">
      <c r="A3308" s="6"/>
    </row>
    <row r="3309" spans="1:1" ht="18.75" x14ac:dyDescent="0.25">
      <c r="A3309" s="6"/>
    </row>
    <row r="3310" spans="1:1" ht="18.75" x14ac:dyDescent="0.25">
      <c r="A3310" s="6"/>
    </row>
    <row r="3311" spans="1:1" ht="18.75" x14ac:dyDescent="0.25">
      <c r="A3311" s="6"/>
    </row>
    <row r="3312" spans="1:1" ht="18.75" x14ac:dyDescent="0.25">
      <c r="A3312" s="6"/>
    </row>
    <row r="3313" spans="1:1" ht="18.75" x14ac:dyDescent="0.25">
      <c r="A3313" s="6"/>
    </row>
    <row r="3314" spans="1:1" ht="18.75" x14ac:dyDescent="0.25">
      <c r="A3314" s="6"/>
    </row>
    <row r="3315" spans="1:1" ht="18.75" x14ac:dyDescent="0.25">
      <c r="A3315" s="6"/>
    </row>
    <row r="3316" spans="1:1" ht="18.75" x14ac:dyDescent="0.25">
      <c r="A3316" s="6"/>
    </row>
    <row r="3317" spans="1:1" ht="18.75" x14ac:dyDescent="0.25">
      <c r="A3317" s="6"/>
    </row>
    <row r="3318" spans="1:1" ht="18.75" x14ac:dyDescent="0.25">
      <c r="A3318" s="6"/>
    </row>
    <row r="3319" spans="1:1" ht="18.75" x14ac:dyDescent="0.25">
      <c r="A3319" s="6"/>
    </row>
    <row r="3320" spans="1:1" ht="18.75" x14ac:dyDescent="0.25">
      <c r="A3320" s="6"/>
    </row>
    <row r="3321" spans="1:1" ht="18.75" x14ac:dyDescent="0.25">
      <c r="A3321" s="6"/>
    </row>
    <row r="3322" spans="1:1" ht="18.75" x14ac:dyDescent="0.25">
      <c r="A3322" s="6"/>
    </row>
    <row r="3323" spans="1:1" ht="18.75" x14ac:dyDescent="0.25">
      <c r="A3323" s="6"/>
    </row>
    <row r="3324" spans="1:1" ht="18.75" x14ac:dyDescent="0.25">
      <c r="A3324" s="6"/>
    </row>
    <row r="3325" spans="1:1" ht="18.75" x14ac:dyDescent="0.25">
      <c r="A3325" s="6"/>
    </row>
    <row r="3326" spans="1:1" ht="18.75" x14ac:dyDescent="0.25">
      <c r="A3326" s="6"/>
    </row>
    <row r="3327" spans="1:1" ht="18.75" x14ac:dyDescent="0.25">
      <c r="A3327" s="6"/>
    </row>
    <row r="3328" spans="1:1" ht="18.75" x14ac:dyDescent="0.25">
      <c r="A3328" s="6"/>
    </row>
    <row r="3329" spans="1:1" ht="18.75" x14ac:dyDescent="0.25">
      <c r="A3329" s="6"/>
    </row>
    <row r="3330" spans="1:1" ht="18.75" x14ac:dyDescent="0.25">
      <c r="A3330" s="6"/>
    </row>
    <row r="3331" spans="1:1" ht="18.75" x14ac:dyDescent="0.25">
      <c r="A3331" s="6"/>
    </row>
    <row r="3332" spans="1:1" ht="18.75" x14ac:dyDescent="0.25">
      <c r="A3332" s="6"/>
    </row>
    <row r="3333" spans="1:1" ht="18.75" x14ac:dyDescent="0.25">
      <c r="A3333" s="6"/>
    </row>
    <row r="3334" spans="1:1" ht="18.75" x14ac:dyDescent="0.25">
      <c r="A3334" s="6"/>
    </row>
    <row r="3335" spans="1:1" ht="18.75" x14ac:dyDescent="0.25">
      <c r="A3335" s="6"/>
    </row>
    <row r="3336" spans="1:1" ht="18.75" x14ac:dyDescent="0.25">
      <c r="A3336" s="6"/>
    </row>
    <row r="3337" spans="1:1" ht="18.75" x14ac:dyDescent="0.25">
      <c r="A3337" s="6"/>
    </row>
    <row r="3338" spans="1:1" ht="18.75" x14ac:dyDescent="0.25">
      <c r="A3338" s="6"/>
    </row>
    <row r="3339" spans="1:1" ht="18.75" x14ac:dyDescent="0.25">
      <c r="A3339" s="6"/>
    </row>
    <row r="3340" spans="1:1" ht="18.75" x14ac:dyDescent="0.25">
      <c r="A3340" s="6"/>
    </row>
    <row r="3341" spans="1:1" ht="18.75" x14ac:dyDescent="0.25">
      <c r="A3341" s="6"/>
    </row>
    <row r="3342" spans="1:1" ht="18.75" x14ac:dyDescent="0.25">
      <c r="A3342" s="6"/>
    </row>
    <row r="3343" spans="1:1" ht="18.75" x14ac:dyDescent="0.25">
      <c r="A3343" s="6"/>
    </row>
    <row r="3344" spans="1:1" ht="18.75" x14ac:dyDescent="0.25">
      <c r="A3344" s="6"/>
    </row>
    <row r="3345" spans="1:1" ht="18.75" x14ac:dyDescent="0.25">
      <c r="A3345" s="6"/>
    </row>
    <row r="3346" spans="1:1" ht="18.75" x14ac:dyDescent="0.25">
      <c r="A3346" s="6"/>
    </row>
    <row r="3347" spans="1:1" ht="18.75" x14ac:dyDescent="0.25">
      <c r="A3347" s="6"/>
    </row>
    <row r="3348" spans="1:1" ht="18.75" x14ac:dyDescent="0.25">
      <c r="A3348" s="6"/>
    </row>
    <row r="3349" spans="1:1" ht="18.75" x14ac:dyDescent="0.25">
      <c r="A3349" s="6"/>
    </row>
    <row r="3350" spans="1:1" ht="18.75" x14ac:dyDescent="0.25">
      <c r="A3350" s="6"/>
    </row>
    <row r="3351" spans="1:1" ht="18.75" x14ac:dyDescent="0.25">
      <c r="A3351" s="6"/>
    </row>
    <row r="3352" spans="1:1" ht="18.75" x14ac:dyDescent="0.25">
      <c r="A3352" s="6"/>
    </row>
    <row r="3353" spans="1:1" ht="18.75" x14ac:dyDescent="0.25">
      <c r="A3353" s="6"/>
    </row>
    <row r="3354" spans="1:1" ht="18.75" x14ac:dyDescent="0.25">
      <c r="A3354" s="6"/>
    </row>
    <row r="3355" spans="1:1" ht="18.75" x14ac:dyDescent="0.25">
      <c r="A3355" s="6"/>
    </row>
    <row r="3356" spans="1:1" ht="18.75" x14ac:dyDescent="0.25">
      <c r="A3356" s="6"/>
    </row>
    <row r="3357" spans="1:1" ht="18.75" x14ac:dyDescent="0.25">
      <c r="A3357" s="6"/>
    </row>
    <row r="3358" spans="1:1" ht="18.75" x14ac:dyDescent="0.25">
      <c r="A3358" s="6"/>
    </row>
    <row r="3359" spans="1:1" ht="18.75" x14ac:dyDescent="0.25">
      <c r="A3359" s="6"/>
    </row>
    <row r="3360" spans="1:1" ht="18.75" x14ac:dyDescent="0.25">
      <c r="A3360" s="6"/>
    </row>
    <row r="3361" spans="1:1" ht="18.75" x14ac:dyDescent="0.25">
      <c r="A3361" s="6"/>
    </row>
    <row r="3362" spans="1:1" ht="18.75" x14ac:dyDescent="0.25">
      <c r="A3362" s="6"/>
    </row>
    <row r="3363" spans="1:1" ht="18.75" x14ac:dyDescent="0.25">
      <c r="A3363" s="6"/>
    </row>
    <row r="3364" spans="1:1" ht="18.75" x14ac:dyDescent="0.25">
      <c r="A3364" s="6"/>
    </row>
    <row r="3365" spans="1:1" ht="18.75" x14ac:dyDescent="0.25">
      <c r="A3365" s="6"/>
    </row>
    <row r="3366" spans="1:1" ht="18.75" x14ac:dyDescent="0.25">
      <c r="A3366" s="6"/>
    </row>
    <row r="3367" spans="1:1" ht="18.75" x14ac:dyDescent="0.25">
      <c r="A3367" s="6"/>
    </row>
    <row r="3368" spans="1:1" ht="18.75" x14ac:dyDescent="0.25">
      <c r="A3368" s="6"/>
    </row>
    <row r="3369" spans="1:1" ht="18.75" x14ac:dyDescent="0.25">
      <c r="A3369" s="6"/>
    </row>
    <row r="3370" spans="1:1" ht="18.75" x14ac:dyDescent="0.25">
      <c r="A3370" s="6"/>
    </row>
    <row r="3371" spans="1:1" ht="18.75" x14ac:dyDescent="0.25">
      <c r="A3371" s="6"/>
    </row>
    <row r="3372" spans="1:1" ht="18.75" x14ac:dyDescent="0.25">
      <c r="A3372" s="6"/>
    </row>
    <row r="3373" spans="1:1" ht="18.75" x14ac:dyDescent="0.25">
      <c r="A3373" s="6"/>
    </row>
    <row r="3374" spans="1:1" ht="18.75" x14ac:dyDescent="0.25">
      <c r="A3374" s="6"/>
    </row>
    <row r="3375" spans="1:1" ht="18.75" x14ac:dyDescent="0.25">
      <c r="A3375" s="6"/>
    </row>
    <row r="3376" spans="1:1" ht="18.75" x14ac:dyDescent="0.25">
      <c r="A3376" s="6"/>
    </row>
    <row r="3377" spans="1:1" ht="18.75" x14ac:dyDescent="0.25">
      <c r="A3377" s="6"/>
    </row>
    <row r="3378" spans="1:1" ht="18.75" x14ac:dyDescent="0.25">
      <c r="A3378" s="6"/>
    </row>
    <row r="3379" spans="1:1" ht="18.75" x14ac:dyDescent="0.25">
      <c r="A3379" s="6"/>
    </row>
    <row r="3380" spans="1:1" ht="18.75" x14ac:dyDescent="0.25">
      <c r="A3380" s="6"/>
    </row>
    <row r="3381" spans="1:1" ht="18.75" x14ac:dyDescent="0.25">
      <c r="A3381" s="6"/>
    </row>
    <row r="3382" spans="1:1" ht="18.75" x14ac:dyDescent="0.25">
      <c r="A3382" s="6"/>
    </row>
    <row r="3383" spans="1:1" ht="18.75" x14ac:dyDescent="0.25">
      <c r="A3383" s="6"/>
    </row>
    <row r="3384" spans="1:1" ht="18.75" x14ac:dyDescent="0.25">
      <c r="A3384" s="6"/>
    </row>
    <row r="3385" spans="1:1" ht="18.75" x14ac:dyDescent="0.25">
      <c r="A3385" s="6"/>
    </row>
    <row r="3386" spans="1:1" ht="18.75" x14ac:dyDescent="0.25">
      <c r="A3386" s="6"/>
    </row>
    <row r="3387" spans="1:1" ht="18.75" x14ac:dyDescent="0.25">
      <c r="A3387" s="6"/>
    </row>
    <row r="3388" spans="1:1" ht="18.75" x14ac:dyDescent="0.25">
      <c r="A3388" s="6"/>
    </row>
    <row r="3389" spans="1:1" ht="18.75" x14ac:dyDescent="0.25">
      <c r="A3389" s="6"/>
    </row>
    <row r="3390" spans="1:1" ht="18.75" x14ac:dyDescent="0.25">
      <c r="A3390" s="6"/>
    </row>
    <row r="3391" spans="1:1" ht="18.75" x14ac:dyDescent="0.25">
      <c r="A3391" s="6"/>
    </row>
    <row r="3392" spans="1:1" ht="18.75" x14ac:dyDescent="0.25">
      <c r="A3392" s="6"/>
    </row>
    <row r="3393" spans="1:1" ht="18.75" x14ac:dyDescent="0.25">
      <c r="A3393" s="6"/>
    </row>
    <row r="3394" spans="1:1" ht="18.75" x14ac:dyDescent="0.25">
      <c r="A3394" s="6"/>
    </row>
    <row r="3395" spans="1:1" ht="18.75" x14ac:dyDescent="0.25">
      <c r="A3395" s="6"/>
    </row>
    <row r="3396" spans="1:1" ht="18.75" x14ac:dyDescent="0.25">
      <c r="A3396" s="6"/>
    </row>
    <row r="3397" spans="1:1" ht="18.75" x14ac:dyDescent="0.25">
      <c r="A3397" s="6"/>
    </row>
    <row r="3398" spans="1:1" ht="18.75" x14ac:dyDescent="0.25">
      <c r="A3398" s="6"/>
    </row>
    <row r="3399" spans="1:1" ht="18.75" x14ac:dyDescent="0.25">
      <c r="A3399" s="6"/>
    </row>
    <row r="3400" spans="1:1" ht="18.75" x14ac:dyDescent="0.25">
      <c r="A3400" s="6"/>
    </row>
    <row r="3401" spans="1:1" ht="18.75" x14ac:dyDescent="0.25">
      <c r="A3401" s="6"/>
    </row>
    <row r="3402" spans="1:1" ht="18.75" x14ac:dyDescent="0.25">
      <c r="A3402" s="6"/>
    </row>
    <row r="3403" spans="1:1" ht="18.75" x14ac:dyDescent="0.25">
      <c r="A3403" s="6"/>
    </row>
    <row r="3404" spans="1:1" ht="18.75" x14ac:dyDescent="0.25">
      <c r="A3404" s="6"/>
    </row>
    <row r="3405" spans="1:1" ht="18.75" x14ac:dyDescent="0.25">
      <c r="A3405" s="6"/>
    </row>
    <row r="3406" spans="1:1" ht="18.75" x14ac:dyDescent="0.25">
      <c r="A3406" s="6"/>
    </row>
    <row r="3407" spans="1:1" ht="18.75" x14ac:dyDescent="0.25">
      <c r="A3407" s="6"/>
    </row>
    <row r="3408" spans="1:1" ht="18.75" x14ac:dyDescent="0.25">
      <c r="A3408" s="6"/>
    </row>
    <row r="3409" spans="1:1" ht="18.75" x14ac:dyDescent="0.25">
      <c r="A3409" s="6"/>
    </row>
    <row r="3410" spans="1:1" ht="18.75" x14ac:dyDescent="0.25">
      <c r="A3410" s="6"/>
    </row>
    <row r="3411" spans="1:1" ht="18.75" x14ac:dyDescent="0.25">
      <c r="A3411" s="6"/>
    </row>
    <row r="3412" spans="1:1" ht="18.75" x14ac:dyDescent="0.25">
      <c r="A3412" s="6"/>
    </row>
    <row r="3413" spans="1:1" ht="18.75" x14ac:dyDescent="0.25">
      <c r="A3413" s="6"/>
    </row>
    <row r="3414" spans="1:1" ht="18.75" x14ac:dyDescent="0.25">
      <c r="A3414" s="6"/>
    </row>
    <row r="3415" spans="1:1" ht="18.75" x14ac:dyDescent="0.25">
      <c r="A3415" s="6"/>
    </row>
    <row r="3416" spans="1:1" ht="18.75" x14ac:dyDescent="0.25">
      <c r="A3416" s="6"/>
    </row>
    <row r="3417" spans="1:1" ht="18.75" x14ac:dyDescent="0.25">
      <c r="A3417" s="6"/>
    </row>
    <row r="3418" spans="1:1" ht="18.75" x14ac:dyDescent="0.25">
      <c r="A3418" s="6"/>
    </row>
    <row r="3419" spans="1:1" ht="18.75" x14ac:dyDescent="0.25">
      <c r="A3419" s="6"/>
    </row>
    <row r="3420" spans="1:1" ht="18.75" x14ac:dyDescent="0.25">
      <c r="A3420" s="6"/>
    </row>
    <row r="3421" spans="1:1" ht="18.75" x14ac:dyDescent="0.25">
      <c r="A3421" s="6"/>
    </row>
    <row r="3422" spans="1:1" ht="18.75" x14ac:dyDescent="0.25">
      <c r="A3422" s="6"/>
    </row>
    <row r="3423" spans="1:1" ht="18.75" x14ac:dyDescent="0.25">
      <c r="A3423" s="6"/>
    </row>
    <row r="3424" spans="1:1" ht="18.75" x14ac:dyDescent="0.25">
      <c r="A3424" s="6"/>
    </row>
    <row r="3425" spans="1:1" ht="18.75" x14ac:dyDescent="0.25">
      <c r="A3425" s="6"/>
    </row>
    <row r="3426" spans="1:1" ht="18.75" x14ac:dyDescent="0.25">
      <c r="A3426" s="6"/>
    </row>
    <row r="3427" spans="1:1" ht="18.75" x14ac:dyDescent="0.25">
      <c r="A3427" s="6"/>
    </row>
    <row r="3428" spans="1:1" ht="18.75" x14ac:dyDescent="0.25">
      <c r="A3428" s="6"/>
    </row>
    <row r="3429" spans="1:1" ht="18.75" x14ac:dyDescent="0.25">
      <c r="A3429" s="6"/>
    </row>
    <row r="3430" spans="1:1" ht="18.75" x14ac:dyDescent="0.25">
      <c r="A3430" s="6"/>
    </row>
    <row r="3431" spans="1:1" ht="18.75" x14ac:dyDescent="0.25">
      <c r="A3431" s="6"/>
    </row>
    <row r="3432" spans="1:1" ht="18.75" x14ac:dyDescent="0.25">
      <c r="A3432" s="6"/>
    </row>
    <row r="3433" spans="1:1" ht="18.75" x14ac:dyDescent="0.25">
      <c r="A3433" s="6"/>
    </row>
    <row r="3434" spans="1:1" ht="18.75" x14ac:dyDescent="0.25">
      <c r="A3434" s="6"/>
    </row>
    <row r="3435" spans="1:1" ht="18.75" x14ac:dyDescent="0.25">
      <c r="A3435" s="6"/>
    </row>
    <row r="3436" spans="1:1" ht="18.75" x14ac:dyDescent="0.25">
      <c r="A3436" s="6"/>
    </row>
    <row r="3437" spans="1:1" ht="18.75" x14ac:dyDescent="0.25">
      <c r="A3437" s="6"/>
    </row>
    <row r="3438" spans="1:1" ht="18.75" x14ac:dyDescent="0.25">
      <c r="A3438" s="6"/>
    </row>
    <row r="3439" spans="1:1" ht="18.75" x14ac:dyDescent="0.25">
      <c r="A3439" s="6"/>
    </row>
    <row r="3440" spans="1:1" ht="18.75" x14ac:dyDescent="0.25">
      <c r="A3440" s="6"/>
    </row>
    <row r="3441" spans="1:1" ht="18.75" x14ac:dyDescent="0.25">
      <c r="A3441" s="6"/>
    </row>
    <row r="3442" spans="1:1" ht="18.75" x14ac:dyDescent="0.25">
      <c r="A3442" s="6"/>
    </row>
    <row r="3443" spans="1:1" ht="18.75" x14ac:dyDescent="0.25">
      <c r="A3443" s="6"/>
    </row>
    <row r="3444" spans="1:1" ht="18.75" x14ac:dyDescent="0.25">
      <c r="A3444" s="6"/>
    </row>
    <row r="3445" spans="1:1" ht="18.75" x14ac:dyDescent="0.25">
      <c r="A3445" s="6"/>
    </row>
    <row r="3446" spans="1:1" ht="18.75" x14ac:dyDescent="0.25">
      <c r="A3446" s="6"/>
    </row>
    <row r="3447" spans="1:1" ht="18.75" x14ac:dyDescent="0.25">
      <c r="A3447" s="6"/>
    </row>
    <row r="3448" spans="1:1" ht="18.75" x14ac:dyDescent="0.25">
      <c r="A3448" s="6"/>
    </row>
    <row r="3449" spans="1:1" ht="18.75" x14ac:dyDescent="0.25">
      <c r="A3449" s="6"/>
    </row>
    <row r="3450" spans="1:1" ht="18.75" x14ac:dyDescent="0.25">
      <c r="A3450" s="6"/>
    </row>
    <row r="3451" spans="1:1" ht="18.75" x14ac:dyDescent="0.25">
      <c r="A3451" s="6"/>
    </row>
    <row r="3452" spans="1:1" ht="18.75" x14ac:dyDescent="0.25">
      <c r="A3452" s="6"/>
    </row>
    <row r="3453" spans="1:1" ht="18.75" x14ac:dyDescent="0.25">
      <c r="A3453" s="6"/>
    </row>
    <row r="3454" spans="1:1" ht="18.75" x14ac:dyDescent="0.25">
      <c r="A3454" s="6"/>
    </row>
    <row r="3455" spans="1:1" ht="18.75" x14ac:dyDescent="0.25">
      <c r="A3455" s="6"/>
    </row>
    <row r="3456" spans="1:1" ht="18.75" x14ac:dyDescent="0.25">
      <c r="A3456" s="6"/>
    </row>
    <row r="3457" spans="1:1" ht="18.75" x14ac:dyDescent="0.25">
      <c r="A3457" s="6"/>
    </row>
    <row r="3458" spans="1:1" ht="18.75" x14ac:dyDescent="0.25">
      <c r="A3458" s="6"/>
    </row>
    <row r="3459" spans="1:1" ht="18.75" x14ac:dyDescent="0.25">
      <c r="A3459" s="6"/>
    </row>
    <row r="3460" spans="1:1" ht="18.75" x14ac:dyDescent="0.25">
      <c r="A3460" s="6"/>
    </row>
    <row r="3461" spans="1:1" ht="18.75" x14ac:dyDescent="0.25">
      <c r="A3461" s="6"/>
    </row>
    <row r="3462" spans="1:1" ht="18.75" x14ac:dyDescent="0.25">
      <c r="A3462" s="6"/>
    </row>
    <row r="3463" spans="1:1" ht="18.75" x14ac:dyDescent="0.25">
      <c r="A3463" s="6"/>
    </row>
    <row r="3464" spans="1:1" ht="18.75" x14ac:dyDescent="0.25">
      <c r="A3464" s="6"/>
    </row>
    <row r="3465" spans="1:1" ht="18.75" x14ac:dyDescent="0.25">
      <c r="A3465" s="6"/>
    </row>
    <row r="3466" spans="1:1" ht="18.75" x14ac:dyDescent="0.25">
      <c r="A3466" s="6"/>
    </row>
    <row r="3467" spans="1:1" ht="18.75" x14ac:dyDescent="0.25">
      <c r="A3467" s="6"/>
    </row>
    <row r="3468" spans="1:1" ht="18.75" x14ac:dyDescent="0.25">
      <c r="A3468" s="6"/>
    </row>
    <row r="3469" spans="1:1" ht="18.75" x14ac:dyDescent="0.25">
      <c r="A3469" s="6"/>
    </row>
    <row r="3470" spans="1:1" ht="18.75" x14ac:dyDescent="0.25">
      <c r="A3470" s="6"/>
    </row>
    <row r="3471" spans="1:1" ht="18.75" x14ac:dyDescent="0.25">
      <c r="A3471" s="6"/>
    </row>
    <row r="3472" spans="1:1" ht="18.75" x14ac:dyDescent="0.25">
      <c r="A3472" s="6"/>
    </row>
    <row r="3473" spans="1:1" ht="18.75" x14ac:dyDescent="0.25">
      <c r="A3473" s="6"/>
    </row>
    <row r="3474" spans="1:1" ht="18.75" x14ac:dyDescent="0.25">
      <c r="A3474" s="6"/>
    </row>
    <row r="3475" spans="1:1" ht="18.75" x14ac:dyDescent="0.25">
      <c r="A3475" s="6"/>
    </row>
    <row r="3476" spans="1:1" ht="18.75" x14ac:dyDescent="0.25">
      <c r="A3476" s="6"/>
    </row>
    <row r="3477" spans="1:1" ht="18.75" x14ac:dyDescent="0.25">
      <c r="A3477" s="6"/>
    </row>
    <row r="3478" spans="1:1" ht="18.75" x14ac:dyDescent="0.25">
      <c r="A3478" s="6"/>
    </row>
    <row r="3479" spans="1:1" ht="18.75" x14ac:dyDescent="0.25">
      <c r="A3479" s="6"/>
    </row>
    <row r="3480" spans="1:1" ht="18.75" x14ac:dyDescent="0.25">
      <c r="A3480" s="6"/>
    </row>
    <row r="3481" spans="1:1" ht="18.75" x14ac:dyDescent="0.25">
      <c r="A3481" s="6"/>
    </row>
    <row r="3482" spans="1:1" ht="18.75" x14ac:dyDescent="0.25">
      <c r="A3482" s="6"/>
    </row>
    <row r="3483" spans="1:1" ht="18.75" x14ac:dyDescent="0.25">
      <c r="A3483" s="6"/>
    </row>
    <row r="3484" spans="1:1" ht="18.75" x14ac:dyDescent="0.25">
      <c r="A3484" s="6"/>
    </row>
    <row r="3485" spans="1:1" ht="18.75" x14ac:dyDescent="0.25">
      <c r="A3485" s="6"/>
    </row>
    <row r="3486" spans="1:1" ht="18.75" x14ac:dyDescent="0.25">
      <c r="A3486" s="6"/>
    </row>
    <row r="3487" spans="1:1" ht="18.75" x14ac:dyDescent="0.25">
      <c r="A3487" s="6"/>
    </row>
    <row r="3488" spans="1:1" ht="18.75" x14ac:dyDescent="0.25">
      <c r="A3488" s="6"/>
    </row>
    <row r="3489" spans="1:1" ht="18.75" x14ac:dyDescent="0.25">
      <c r="A3489" s="6"/>
    </row>
    <row r="3490" spans="1:1" ht="18.75" x14ac:dyDescent="0.25">
      <c r="A3490" s="6"/>
    </row>
    <row r="3491" spans="1:1" ht="18.75" x14ac:dyDescent="0.25">
      <c r="A3491" s="6"/>
    </row>
    <row r="3492" spans="1:1" ht="18.75" x14ac:dyDescent="0.25">
      <c r="A3492" s="6"/>
    </row>
    <row r="3493" spans="1:1" ht="18.75" x14ac:dyDescent="0.25">
      <c r="A3493" s="6"/>
    </row>
    <row r="3494" spans="1:1" ht="18.75" x14ac:dyDescent="0.25">
      <c r="A3494" s="6"/>
    </row>
    <row r="3495" spans="1:1" ht="18.75" x14ac:dyDescent="0.25">
      <c r="A3495" s="6"/>
    </row>
    <row r="3496" spans="1:1" ht="18.75" x14ac:dyDescent="0.25">
      <c r="A3496" s="6"/>
    </row>
    <row r="3497" spans="1:1" ht="18.75" x14ac:dyDescent="0.25">
      <c r="A3497" s="6"/>
    </row>
    <row r="3498" spans="1:1" ht="18.75" x14ac:dyDescent="0.25">
      <c r="A3498" s="6"/>
    </row>
    <row r="3499" spans="1:1" ht="18.75" x14ac:dyDescent="0.25">
      <c r="A3499" s="6"/>
    </row>
    <row r="3500" spans="1:1" ht="18.75" x14ac:dyDescent="0.25">
      <c r="A3500" s="6"/>
    </row>
    <row r="3501" spans="1:1" ht="18.75" x14ac:dyDescent="0.25">
      <c r="A3501" s="6"/>
    </row>
    <row r="3502" spans="1:1" ht="18.75" x14ac:dyDescent="0.25">
      <c r="A3502" s="6"/>
    </row>
    <row r="3503" spans="1:1" ht="18.75" x14ac:dyDescent="0.25">
      <c r="A3503" s="6"/>
    </row>
    <row r="3504" spans="1:1" ht="18.75" x14ac:dyDescent="0.25">
      <c r="A3504" s="6"/>
    </row>
    <row r="3505" spans="1:1" ht="18.75" x14ac:dyDescent="0.25">
      <c r="A3505" s="6"/>
    </row>
    <row r="3506" spans="1:1" ht="18.75" x14ac:dyDescent="0.25">
      <c r="A3506" s="6"/>
    </row>
    <row r="3507" spans="1:1" ht="18.75" x14ac:dyDescent="0.25">
      <c r="A3507" s="6"/>
    </row>
    <row r="3508" spans="1:1" ht="18.75" x14ac:dyDescent="0.25">
      <c r="A3508" s="6"/>
    </row>
    <row r="3509" spans="1:1" ht="18.75" x14ac:dyDescent="0.25">
      <c r="A3509" s="6"/>
    </row>
    <row r="3510" spans="1:1" ht="18.75" x14ac:dyDescent="0.25">
      <c r="A3510" s="6"/>
    </row>
    <row r="3511" spans="1:1" ht="18.75" x14ac:dyDescent="0.25">
      <c r="A3511" s="6"/>
    </row>
    <row r="3512" spans="1:1" ht="18.75" x14ac:dyDescent="0.25">
      <c r="A3512" s="6"/>
    </row>
    <row r="3513" spans="1:1" ht="18.75" x14ac:dyDescent="0.25">
      <c r="A3513" s="6"/>
    </row>
    <row r="3514" spans="1:1" ht="18.75" x14ac:dyDescent="0.25">
      <c r="A3514" s="6"/>
    </row>
    <row r="3515" spans="1:1" ht="18.75" x14ac:dyDescent="0.25">
      <c r="A3515" s="6"/>
    </row>
    <row r="3516" spans="1:1" ht="18.75" x14ac:dyDescent="0.25">
      <c r="A3516" s="6"/>
    </row>
    <row r="3517" spans="1:1" ht="18.75" x14ac:dyDescent="0.25">
      <c r="A3517" s="6"/>
    </row>
    <row r="3518" spans="1:1" ht="18.75" x14ac:dyDescent="0.25">
      <c r="A3518" s="6"/>
    </row>
    <row r="3519" spans="1:1" ht="18.75" x14ac:dyDescent="0.25">
      <c r="A3519" s="6"/>
    </row>
    <row r="3520" spans="1:1" ht="18.75" x14ac:dyDescent="0.25">
      <c r="A3520" s="6"/>
    </row>
    <row r="3521" spans="1:1" ht="18.75" x14ac:dyDescent="0.25">
      <c r="A3521" s="6"/>
    </row>
    <row r="3522" spans="1:1" ht="18.75" x14ac:dyDescent="0.25">
      <c r="A3522" s="6"/>
    </row>
    <row r="3523" spans="1:1" ht="18.75" x14ac:dyDescent="0.25">
      <c r="A3523" s="6"/>
    </row>
    <row r="3524" spans="1:1" ht="18.75" x14ac:dyDescent="0.25">
      <c r="A3524" s="6"/>
    </row>
    <row r="3525" spans="1:1" ht="18.75" x14ac:dyDescent="0.25">
      <c r="A3525" s="6"/>
    </row>
    <row r="3526" spans="1:1" ht="18.75" x14ac:dyDescent="0.25">
      <c r="A3526" s="6"/>
    </row>
    <row r="3527" spans="1:1" ht="18.75" x14ac:dyDescent="0.25">
      <c r="A3527" s="6"/>
    </row>
    <row r="3528" spans="1:1" ht="18.75" x14ac:dyDescent="0.25">
      <c r="A3528" s="6"/>
    </row>
    <row r="3529" spans="1:1" ht="18.75" x14ac:dyDescent="0.25">
      <c r="A3529" s="6"/>
    </row>
    <row r="3530" spans="1:1" ht="18.75" x14ac:dyDescent="0.25">
      <c r="A3530" s="6"/>
    </row>
    <row r="3531" spans="1:1" ht="18.75" x14ac:dyDescent="0.25">
      <c r="A3531" s="6"/>
    </row>
    <row r="3532" spans="1:1" ht="18.75" x14ac:dyDescent="0.25">
      <c r="A3532" s="6"/>
    </row>
    <row r="3533" spans="1:1" ht="18.75" x14ac:dyDescent="0.25">
      <c r="A3533" s="6"/>
    </row>
    <row r="3534" spans="1:1" ht="18.75" x14ac:dyDescent="0.25">
      <c r="A3534" s="6"/>
    </row>
    <row r="3535" spans="1:1" ht="18.75" x14ac:dyDescent="0.25">
      <c r="A3535" s="6"/>
    </row>
    <row r="3536" spans="1:1" ht="18.75" x14ac:dyDescent="0.25">
      <c r="A3536" s="6"/>
    </row>
    <row r="3537" spans="1:1" ht="18.75" x14ac:dyDescent="0.25">
      <c r="A3537" s="6"/>
    </row>
    <row r="3538" spans="1:1" ht="18.75" x14ac:dyDescent="0.25">
      <c r="A3538" s="6"/>
    </row>
    <row r="3539" spans="1:1" ht="18.75" x14ac:dyDescent="0.25">
      <c r="A3539" s="6"/>
    </row>
    <row r="3540" spans="1:1" ht="18.75" x14ac:dyDescent="0.25">
      <c r="A3540" s="6"/>
    </row>
    <row r="3541" spans="1:1" ht="18.75" x14ac:dyDescent="0.25">
      <c r="A3541" s="6"/>
    </row>
    <row r="3542" spans="1:1" ht="18.75" x14ac:dyDescent="0.25">
      <c r="A3542" s="6"/>
    </row>
    <row r="3543" spans="1:1" ht="18.75" x14ac:dyDescent="0.25">
      <c r="A3543" s="6"/>
    </row>
    <row r="3544" spans="1:1" ht="18.75" x14ac:dyDescent="0.25">
      <c r="A3544" s="6"/>
    </row>
    <row r="3545" spans="1:1" ht="18.75" x14ac:dyDescent="0.25">
      <c r="A3545" s="6"/>
    </row>
    <row r="3546" spans="1:1" ht="18.75" x14ac:dyDescent="0.25">
      <c r="A3546" s="6"/>
    </row>
    <row r="3547" spans="1:1" ht="18.75" x14ac:dyDescent="0.25">
      <c r="A3547" s="6"/>
    </row>
    <row r="3548" spans="1:1" ht="18.75" x14ac:dyDescent="0.25">
      <c r="A3548" s="6"/>
    </row>
    <row r="3549" spans="1:1" ht="18.75" x14ac:dyDescent="0.25">
      <c r="A3549" s="6"/>
    </row>
    <row r="3550" spans="1:1" ht="18.75" x14ac:dyDescent="0.25">
      <c r="A3550" s="6"/>
    </row>
    <row r="3551" spans="1:1" ht="18.75" x14ac:dyDescent="0.25">
      <c r="A3551" s="6"/>
    </row>
    <row r="3552" spans="1:1" ht="18.75" x14ac:dyDescent="0.25">
      <c r="A3552" s="6"/>
    </row>
    <row r="3553" spans="1:1" ht="18.75" x14ac:dyDescent="0.25">
      <c r="A3553" s="6"/>
    </row>
    <row r="3554" spans="1:1" ht="18.75" x14ac:dyDescent="0.25">
      <c r="A3554" s="6"/>
    </row>
    <row r="3555" spans="1:1" ht="18.75" x14ac:dyDescent="0.25">
      <c r="A3555" s="6"/>
    </row>
    <row r="3556" spans="1:1" ht="18.75" x14ac:dyDescent="0.25">
      <c r="A3556" s="6"/>
    </row>
    <row r="3557" spans="1:1" ht="18.75" x14ac:dyDescent="0.25">
      <c r="A3557" s="6"/>
    </row>
    <row r="3558" spans="1:1" ht="18.75" x14ac:dyDescent="0.25">
      <c r="A3558" s="6"/>
    </row>
    <row r="3559" spans="1:1" ht="18.75" x14ac:dyDescent="0.25">
      <c r="A3559" s="6"/>
    </row>
    <row r="3560" spans="1:1" ht="18.75" x14ac:dyDescent="0.25">
      <c r="A3560" s="6"/>
    </row>
    <row r="3561" spans="1:1" ht="18.75" x14ac:dyDescent="0.25">
      <c r="A3561" s="6"/>
    </row>
    <row r="3562" spans="1:1" ht="18.75" x14ac:dyDescent="0.25">
      <c r="A3562" s="6"/>
    </row>
    <row r="3563" spans="1:1" ht="18.75" x14ac:dyDescent="0.25">
      <c r="A3563" s="6"/>
    </row>
    <row r="3564" spans="1:1" ht="18.75" x14ac:dyDescent="0.25">
      <c r="A3564" s="6"/>
    </row>
    <row r="3565" spans="1:1" ht="18.75" x14ac:dyDescent="0.25">
      <c r="A3565" s="6"/>
    </row>
    <row r="3566" spans="1:1" ht="18.75" x14ac:dyDescent="0.25">
      <c r="A3566" s="6"/>
    </row>
    <row r="3567" spans="1:1" ht="18.75" x14ac:dyDescent="0.25">
      <c r="A3567" s="6"/>
    </row>
    <row r="3568" spans="1:1" ht="18.75" x14ac:dyDescent="0.25">
      <c r="A3568" s="6"/>
    </row>
    <row r="3569" spans="1:1" ht="18.75" x14ac:dyDescent="0.25">
      <c r="A3569" s="6"/>
    </row>
    <row r="3570" spans="1:1" ht="18.75" x14ac:dyDescent="0.25">
      <c r="A3570" s="6"/>
    </row>
    <row r="3571" spans="1:1" ht="18.75" x14ac:dyDescent="0.25">
      <c r="A3571" s="6"/>
    </row>
    <row r="3572" spans="1:1" ht="18.75" x14ac:dyDescent="0.25">
      <c r="A3572" s="6"/>
    </row>
    <row r="3573" spans="1:1" ht="18.75" x14ac:dyDescent="0.25">
      <c r="A3573" s="6"/>
    </row>
    <row r="3574" spans="1:1" ht="18.75" x14ac:dyDescent="0.25">
      <c r="A3574" s="6"/>
    </row>
    <row r="3575" spans="1:1" ht="18.75" x14ac:dyDescent="0.25">
      <c r="A3575" s="6"/>
    </row>
    <row r="3576" spans="1:1" ht="18.75" x14ac:dyDescent="0.25">
      <c r="A3576" s="6"/>
    </row>
    <row r="3577" spans="1:1" ht="18.75" x14ac:dyDescent="0.25">
      <c r="A3577" s="6"/>
    </row>
    <row r="3578" spans="1:1" ht="18.75" x14ac:dyDescent="0.25">
      <c r="A3578" s="6"/>
    </row>
    <row r="3579" spans="1:1" ht="18.75" x14ac:dyDescent="0.25">
      <c r="A3579" s="6"/>
    </row>
    <row r="3580" spans="1:1" ht="18.75" x14ac:dyDescent="0.25">
      <c r="A3580" s="6"/>
    </row>
    <row r="3581" spans="1:1" ht="18.75" x14ac:dyDescent="0.25">
      <c r="A3581" s="6"/>
    </row>
    <row r="3582" spans="1:1" ht="18.75" x14ac:dyDescent="0.25">
      <c r="A3582" s="6"/>
    </row>
    <row r="3583" spans="1:1" ht="18.75" x14ac:dyDescent="0.25">
      <c r="A3583" s="6"/>
    </row>
    <row r="3584" spans="1:1" ht="18.75" x14ac:dyDescent="0.25">
      <c r="A3584" s="6"/>
    </row>
    <row r="3585" spans="1:1" ht="18.75" x14ac:dyDescent="0.25">
      <c r="A3585" s="6"/>
    </row>
    <row r="3586" spans="1:1" ht="18.75" x14ac:dyDescent="0.25">
      <c r="A3586" s="6"/>
    </row>
    <row r="3587" spans="1:1" ht="18.75" x14ac:dyDescent="0.25">
      <c r="A3587" s="6"/>
    </row>
    <row r="3588" spans="1:1" ht="18.75" x14ac:dyDescent="0.25">
      <c r="A3588" s="6"/>
    </row>
    <row r="3589" spans="1:1" ht="18.75" x14ac:dyDescent="0.25">
      <c r="A3589" s="6"/>
    </row>
    <row r="3590" spans="1:1" ht="18.75" x14ac:dyDescent="0.25">
      <c r="A3590" s="6"/>
    </row>
    <row r="3591" spans="1:1" ht="18.75" x14ac:dyDescent="0.25">
      <c r="A3591" s="6"/>
    </row>
    <row r="3592" spans="1:1" ht="18.75" x14ac:dyDescent="0.25">
      <c r="A3592" s="6"/>
    </row>
    <row r="3593" spans="1:1" ht="18.75" x14ac:dyDescent="0.25">
      <c r="A3593" s="6"/>
    </row>
    <row r="3594" spans="1:1" ht="18.75" x14ac:dyDescent="0.25">
      <c r="A3594" s="6"/>
    </row>
    <row r="3595" spans="1:1" ht="18.75" x14ac:dyDescent="0.25">
      <c r="A3595" s="6"/>
    </row>
    <row r="3596" spans="1:1" ht="18.75" x14ac:dyDescent="0.25">
      <c r="A3596" s="6"/>
    </row>
    <row r="3597" spans="1:1" ht="18.75" x14ac:dyDescent="0.25">
      <c r="A3597" s="6"/>
    </row>
    <row r="3598" spans="1:1" ht="18.75" x14ac:dyDescent="0.25">
      <c r="A3598" s="6"/>
    </row>
    <row r="3599" spans="1:1" ht="18.75" x14ac:dyDescent="0.25">
      <c r="A3599" s="6"/>
    </row>
    <row r="3600" spans="1:1" ht="18.75" x14ac:dyDescent="0.25">
      <c r="A3600" s="6"/>
    </row>
    <row r="3601" spans="1:1" ht="18.75" x14ac:dyDescent="0.25">
      <c r="A3601" s="6"/>
    </row>
    <row r="3602" spans="1:1" ht="18.75" x14ac:dyDescent="0.25">
      <c r="A3602" s="6"/>
    </row>
    <row r="3603" spans="1:1" ht="18.75" x14ac:dyDescent="0.25">
      <c r="A3603" s="6"/>
    </row>
    <row r="3604" spans="1:1" ht="18.75" x14ac:dyDescent="0.25">
      <c r="A3604" s="6"/>
    </row>
    <row r="3605" spans="1:1" ht="18.75" x14ac:dyDescent="0.25">
      <c r="A3605" s="6"/>
    </row>
    <row r="3606" spans="1:1" ht="18.75" x14ac:dyDescent="0.25">
      <c r="A3606" s="6"/>
    </row>
    <row r="3607" spans="1:1" ht="18.75" x14ac:dyDescent="0.25">
      <c r="A3607" s="6"/>
    </row>
    <row r="3608" spans="1:1" ht="18.75" x14ac:dyDescent="0.25">
      <c r="A3608" s="6"/>
    </row>
    <row r="3609" spans="1:1" ht="18.75" x14ac:dyDescent="0.25">
      <c r="A3609" s="6"/>
    </row>
    <row r="3610" spans="1:1" ht="18.75" x14ac:dyDescent="0.25">
      <c r="A3610" s="6"/>
    </row>
    <row r="3611" spans="1:1" ht="18.75" x14ac:dyDescent="0.25">
      <c r="A3611" s="6"/>
    </row>
    <row r="3612" spans="1:1" ht="18.75" x14ac:dyDescent="0.25">
      <c r="A3612" s="6"/>
    </row>
    <row r="3613" spans="1:1" ht="18.75" x14ac:dyDescent="0.25">
      <c r="A3613" s="6"/>
    </row>
    <row r="3614" spans="1:1" ht="18.75" x14ac:dyDescent="0.25">
      <c r="A3614" s="6"/>
    </row>
    <row r="3615" spans="1:1" ht="18.75" x14ac:dyDescent="0.25">
      <c r="A3615" s="6"/>
    </row>
    <row r="3616" spans="1:1" ht="18.75" x14ac:dyDescent="0.25">
      <c r="A3616" s="6"/>
    </row>
    <row r="3617" spans="1:1" ht="18.75" x14ac:dyDescent="0.25">
      <c r="A3617" s="6"/>
    </row>
    <row r="3618" spans="1:1" ht="18.75" x14ac:dyDescent="0.25">
      <c r="A3618" s="6"/>
    </row>
    <row r="3619" spans="1:1" ht="18.75" x14ac:dyDescent="0.25">
      <c r="A3619" s="6"/>
    </row>
    <row r="3620" spans="1:1" ht="18.75" x14ac:dyDescent="0.25">
      <c r="A3620" s="6"/>
    </row>
    <row r="3621" spans="1:1" ht="18.75" x14ac:dyDescent="0.25">
      <c r="A3621" s="6"/>
    </row>
    <row r="3622" spans="1:1" ht="18.75" x14ac:dyDescent="0.25">
      <c r="A3622" s="6"/>
    </row>
    <row r="3623" spans="1:1" ht="18.75" x14ac:dyDescent="0.25">
      <c r="A3623" s="6"/>
    </row>
    <row r="3624" spans="1:1" ht="18.75" x14ac:dyDescent="0.25">
      <c r="A3624" s="6"/>
    </row>
    <row r="3625" spans="1:1" ht="18.75" x14ac:dyDescent="0.25">
      <c r="A3625" s="6"/>
    </row>
    <row r="3626" spans="1:1" ht="18.75" x14ac:dyDescent="0.25">
      <c r="A3626" s="6"/>
    </row>
    <row r="3627" spans="1:1" ht="18.75" x14ac:dyDescent="0.25">
      <c r="A3627" s="6"/>
    </row>
    <row r="3628" spans="1:1" ht="18.75" x14ac:dyDescent="0.25">
      <c r="A3628" s="6"/>
    </row>
    <row r="3629" spans="1:1" ht="18.75" x14ac:dyDescent="0.25">
      <c r="A3629" s="6"/>
    </row>
    <row r="3630" spans="1:1" ht="18.75" x14ac:dyDescent="0.25">
      <c r="A3630" s="6"/>
    </row>
    <row r="3631" spans="1:1" ht="18.75" x14ac:dyDescent="0.25">
      <c r="A3631" s="6"/>
    </row>
    <row r="3632" spans="1:1" ht="18.75" x14ac:dyDescent="0.25">
      <c r="A3632" s="6"/>
    </row>
    <row r="3633" spans="1:1" ht="18.75" x14ac:dyDescent="0.25">
      <c r="A3633" s="6"/>
    </row>
    <row r="3634" spans="1:1" ht="18.75" x14ac:dyDescent="0.25">
      <c r="A3634" s="6"/>
    </row>
    <row r="3635" spans="1:1" ht="18.75" x14ac:dyDescent="0.25">
      <c r="A3635" s="6"/>
    </row>
    <row r="3636" spans="1:1" ht="18.75" x14ac:dyDescent="0.25">
      <c r="A3636" s="6"/>
    </row>
    <row r="3637" spans="1:1" ht="18.75" x14ac:dyDescent="0.25">
      <c r="A3637" s="6"/>
    </row>
    <row r="3638" spans="1:1" ht="18.75" x14ac:dyDescent="0.25">
      <c r="A3638" s="6"/>
    </row>
    <row r="3639" spans="1:1" ht="18.75" x14ac:dyDescent="0.25">
      <c r="A3639" s="6"/>
    </row>
    <row r="3640" spans="1:1" ht="18.75" x14ac:dyDescent="0.25">
      <c r="A3640" s="6"/>
    </row>
    <row r="3641" spans="1:1" ht="18.75" x14ac:dyDescent="0.25">
      <c r="A3641" s="6"/>
    </row>
    <row r="3642" spans="1:1" ht="18.75" x14ac:dyDescent="0.25">
      <c r="A3642" s="6"/>
    </row>
    <row r="3643" spans="1:1" ht="18.75" x14ac:dyDescent="0.25">
      <c r="A3643" s="6"/>
    </row>
    <row r="3644" spans="1:1" ht="18.75" x14ac:dyDescent="0.25">
      <c r="A3644" s="6"/>
    </row>
    <row r="3645" spans="1:1" ht="18.75" x14ac:dyDescent="0.25">
      <c r="A3645" s="6"/>
    </row>
    <row r="3646" spans="1:1" ht="18.75" x14ac:dyDescent="0.25">
      <c r="A3646" s="6"/>
    </row>
    <row r="3647" spans="1:1" ht="18.75" x14ac:dyDescent="0.25">
      <c r="A3647" s="6"/>
    </row>
    <row r="3648" spans="1:1" ht="18.75" x14ac:dyDescent="0.25">
      <c r="A3648" s="6"/>
    </row>
    <row r="3649" spans="1:1" ht="18.75" x14ac:dyDescent="0.25">
      <c r="A3649" s="6"/>
    </row>
    <row r="3650" spans="1:1" ht="18.75" x14ac:dyDescent="0.25">
      <c r="A3650" s="6"/>
    </row>
    <row r="3651" spans="1:1" ht="18.75" x14ac:dyDescent="0.25">
      <c r="A3651" s="6"/>
    </row>
    <row r="3652" spans="1:1" ht="18.75" x14ac:dyDescent="0.25">
      <c r="A3652" s="6"/>
    </row>
    <row r="3653" spans="1:1" ht="18.75" x14ac:dyDescent="0.25">
      <c r="A3653" s="6"/>
    </row>
    <row r="3654" spans="1:1" ht="18.75" x14ac:dyDescent="0.25">
      <c r="A3654" s="6"/>
    </row>
    <row r="3655" spans="1:1" ht="18.75" x14ac:dyDescent="0.25">
      <c r="A3655" s="6"/>
    </row>
    <row r="3656" spans="1:1" ht="18.75" x14ac:dyDescent="0.25">
      <c r="A3656" s="6"/>
    </row>
    <row r="3657" spans="1:1" ht="18.75" x14ac:dyDescent="0.25">
      <c r="A3657" s="6"/>
    </row>
    <row r="3658" spans="1:1" ht="18.75" x14ac:dyDescent="0.25">
      <c r="A3658" s="6"/>
    </row>
    <row r="3659" spans="1:1" ht="18.75" x14ac:dyDescent="0.25">
      <c r="A3659" s="6"/>
    </row>
    <row r="3660" spans="1:1" ht="18.75" x14ac:dyDescent="0.25">
      <c r="A3660" s="6"/>
    </row>
    <row r="3661" spans="1:1" ht="18.75" x14ac:dyDescent="0.25">
      <c r="A3661" s="6"/>
    </row>
    <row r="3662" spans="1:1" ht="18.75" x14ac:dyDescent="0.25">
      <c r="A3662" s="6"/>
    </row>
    <row r="3663" spans="1:1" ht="18.75" x14ac:dyDescent="0.25">
      <c r="A3663" s="6"/>
    </row>
    <row r="3664" spans="1:1" ht="18.75" x14ac:dyDescent="0.25">
      <c r="A3664" s="6"/>
    </row>
    <row r="3665" spans="1:1" ht="18.75" x14ac:dyDescent="0.25">
      <c r="A3665" s="6"/>
    </row>
    <row r="3666" spans="1:1" ht="18.75" x14ac:dyDescent="0.25">
      <c r="A3666" s="6"/>
    </row>
    <row r="3667" spans="1:1" ht="18.75" x14ac:dyDescent="0.25">
      <c r="A3667" s="6"/>
    </row>
    <row r="3668" spans="1:1" ht="18.75" x14ac:dyDescent="0.25">
      <c r="A3668" s="6"/>
    </row>
    <row r="3669" spans="1:1" ht="18.75" x14ac:dyDescent="0.25">
      <c r="A3669" s="6"/>
    </row>
    <row r="3670" spans="1:1" ht="18.75" x14ac:dyDescent="0.25">
      <c r="A3670" s="6"/>
    </row>
    <row r="3671" spans="1:1" ht="18.75" x14ac:dyDescent="0.25">
      <c r="A3671" s="6"/>
    </row>
    <row r="3672" spans="1:1" ht="18.75" x14ac:dyDescent="0.25">
      <c r="A3672" s="6"/>
    </row>
    <row r="3673" spans="1:1" ht="18.75" x14ac:dyDescent="0.25">
      <c r="A3673" s="6"/>
    </row>
    <row r="3674" spans="1:1" ht="18.75" x14ac:dyDescent="0.25">
      <c r="A3674" s="6"/>
    </row>
    <row r="3675" spans="1:1" ht="18.75" x14ac:dyDescent="0.25">
      <c r="A3675" s="6"/>
    </row>
    <row r="3676" spans="1:1" ht="18.75" x14ac:dyDescent="0.25">
      <c r="A3676" s="6"/>
    </row>
    <row r="3677" spans="1:1" ht="18.75" x14ac:dyDescent="0.25">
      <c r="A3677" s="6"/>
    </row>
    <row r="3678" spans="1:1" ht="18.75" x14ac:dyDescent="0.25">
      <c r="A3678" s="6"/>
    </row>
    <row r="3679" spans="1:1" ht="18.75" x14ac:dyDescent="0.25">
      <c r="A3679" s="6"/>
    </row>
    <row r="3680" spans="1:1" ht="18.75" x14ac:dyDescent="0.25">
      <c r="A3680" s="6"/>
    </row>
    <row r="3681" spans="1:1" ht="18.75" x14ac:dyDescent="0.25">
      <c r="A3681" s="6"/>
    </row>
    <row r="3682" spans="1:1" ht="18.75" x14ac:dyDescent="0.25">
      <c r="A3682" s="6"/>
    </row>
    <row r="3683" spans="1:1" ht="18.75" x14ac:dyDescent="0.25">
      <c r="A3683" s="6"/>
    </row>
    <row r="3684" spans="1:1" ht="18.75" x14ac:dyDescent="0.25">
      <c r="A3684" s="6"/>
    </row>
    <row r="3685" spans="1:1" ht="18.75" x14ac:dyDescent="0.25">
      <c r="A3685" s="6"/>
    </row>
    <row r="3686" spans="1:1" ht="18.75" x14ac:dyDescent="0.25">
      <c r="A3686" s="6"/>
    </row>
    <row r="3687" spans="1:1" ht="18.75" x14ac:dyDescent="0.25">
      <c r="A3687" s="6"/>
    </row>
    <row r="3688" spans="1:1" ht="18.75" x14ac:dyDescent="0.25">
      <c r="A3688" s="6"/>
    </row>
    <row r="3689" spans="1:1" ht="18.75" x14ac:dyDescent="0.25">
      <c r="A3689" s="6"/>
    </row>
    <row r="3690" spans="1:1" ht="18.75" x14ac:dyDescent="0.25">
      <c r="A3690" s="6"/>
    </row>
    <row r="3691" spans="1:1" ht="18.75" x14ac:dyDescent="0.25">
      <c r="A3691" s="6"/>
    </row>
    <row r="3692" spans="1:1" ht="18.75" x14ac:dyDescent="0.25">
      <c r="A3692" s="6"/>
    </row>
    <row r="3693" spans="1:1" ht="18.75" x14ac:dyDescent="0.25">
      <c r="A3693" s="6"/>
    </row>
    <row r="3694" spans="1:1" ht="18.75" x14ac:dyDescent="0.25">
      <c r="A3694" s="6"/>
    </row>
    <row r="3695" spans="1:1" ht="18.75" x14ac:dyDescent="0.25">
      <c r="A3695" s="6"/>
    </row>
    <row r="3696" spans="1:1" ht="18.75" x14ac:dyDescent="0.25">
      <c r="A3696" s="6"/>
    </row>
    <row r="3697" spans="1:1" ht="18.75" x14ac:dyDescent="0.25">
      <c r="A3697" s="6"/>
    </row>
    <row r="3698" spans="1:1" ht="18.75" x14ac:dyDescent="0.25">
      <c r="A3698" s="6"/>
    </row>
    <row r="3699" spans="1:1" ht="18.75" x14ac:dyDescent="0.25">
      <c r="A3699" s="6"/>
    </row>
    <row r="3700" spans="1:1" ht="18.75" x14ac:dyDescent="0.25">
      <c r="A3700" s="6"/>
    </row>
    <row r="3701" spans="1:1" ht="18.75" x14ac:dyDescent="0.25">
      <c r="A3701" s="6"/>
    </row>
    <row r="3702" spans="1:1" ht="18.75" x14ac:dyDescent="0.25">
      <c r="A3702" s="6"/>
    </row>
    <row r="3703" spans="1:1" ht="18.75" x14ac:dyDescent="0.25">
      <c r="A3703" s="6"/>
    </row>
    <row r="3704" spans="1:1" ht="18.75" x14ac:dyDescent="0.25">
      <c r="A3704" s="6"/>
    </row>
    <row r="3705" spans="1:1" ht="18.75" x14ac:dyDescent="0.25">
      <c r="A3705" s="6"/>
    </row>
    <row r="3706" spans="1:1" ht="18.75" x14ac:dyDescent="0.25">
      <c r="A3706" s="6"/>
    </row>
    <row r="3707" spans="1:1" ht="18.75" x14ac:dyDescent="0.25">
      <c r="A3707" s="6"/>
    </row>
    <row r="3708" spans="1:1" ht="18.75" x14ac:dyDescent="0.25">
      <c r="A3708" s="6"/>
    </row>
    <row r="3709" spans="1:1" ht="18.75" x14ac:dyDescent="0.25">
      <c r="A3709" s="6"/>
    </row>
    <row r="3710" spans="1:1" ht="18.75" x14ac:dyDescent="0.25">
      <c r="A3710" s="6"/>
    </row>
    <row r="3711" spans="1:1" ht="18.75" x14ac:dyDescent="0.25">
      <c r="A3711" s="6"/>
    </row>
    <row r="3712" spans="1:1" ht="18.75" x14ac:dyDescent="0.25">
      <c r="A3712" s="6"/>
    </row>
    <row r="3713" spans="1:1" ht="18.75" x14ac:dyDescent="0.25">
      <c r="A3713" s="6"/>
    </row>
    <row r="3714" spans="1:1" ht="18.75" x14ac:dyDescent="0.25">
      <c r="A3714" s="6"/>
    </row>
    <row r="3715" spans="1:1" ht="18.75" x14ac:dyDescent="0.25">
      <c r="A3715" s="6"/>
    </row>
    <row r="3716" spans="1:1" ht="18.75" x14ac:dyDescent="0.25">
      <c r="A3716" s="6"/>
    </row>
    <row r="3717" spans="1:1" ht="18.75" x14ac:dyDescent="0.25">
      <c r="A3717" s="6"/>
    </row>
    <row r="3718" spans="1:1" ht="18.75" x14ac:dyDescent="0.25">
      <c r="A3718" s="6"/>
    </row>
    <row r="3719" spans="1:1" ht="18.75" x14ac:dyDescent="0.25">
      <c r="A3719" s="6"/>
    </row>
    <row r="3720" spans="1:1" ht="18.75" x14ac:dyDescent="0.25">
      <c r="A3720" s="6"/>
    </row>
    <row r="3721" spans="1:1" ht="18.75" x14ac:dyDescent="0.25">
      <c r="A3721" s="6"/>
    </row>
    <row r="3722" spans="1:1" ht="18.75" x14ac:dyDescent="0.25">
      <c r="A3722" s="6"/>
    </row>
    <row r="3723" spans="1:1" ht="18.75" x14ac:dyDescent="0.25">
      <c r="A3723" s="6"/>
    </row>
    <row r="3724" spans="1:1" ht="18.75" x14ac:dyDescent="0.25">
      <c r="A3724" s="6"/>
    </row>
    <row r="3725" spans="1:1" ht="18.75" x14ac:dyDescent="0.25">
      <c r="A3725" s="6"/>
    </row>
    <row r="3726" spans="1:1" ht="18.75" x14ac:dyDescent="0.25">
      <c r="A3726" s="6"/>
    </row>
    <row r="3727" spans="1:1" ht="18.75" x14ac:dyDescent="0.25">
      <c r="A3727" s="6"/>
    </row>
    <row r="3728" spans="1:1" ht="18.75" x14ac:dyDescent="0.25">
      <c r="A3728" s="6"/>
    </row>
    <row r="3729" spans="1:1" ht="18.75" x14ac:dyDescent="0.25">
      <c r="A3729" s="6"/>
    </row>
    <row r="3730" spans="1:1" ht="18.75" x14ac:dyDescent="0.25">
      <c r="A3730" s="6"/>
    </row>
    <row r="3731" spans="1:1" ht="18.75" x14ac:dyDescent="0.25">
      <c r="A3731" s="6"/>
    </row>
    <row r="3732" spans="1:1" ht="18.75" x14ac:dyDescent="0.25">
      <c r="A3732" s="6"/>
    </row>
    <row r="3733" spans="1:1" ht="18.75" x14ac:dyDescent="0.25">
      <c r="A3733" s="6"/>
    </row>
    <row r="3734" spans="1:1" ht="18.75" x14ac:dyDescent="0.25">
      <c r="A3734" s="6"/>
    </row>
    <row r="3735" spans="1:1" ht="18.75" x14ac:dyDescent="0.25">
      <c r="A3735" s="6"/>
    </row>
    <row r="3736" spans="1:1" ht="18.75" x14ac:dyDescent="0.25">
      <c r="A3736" s="6"/>
    </row>
    <row r="3737" spans="1:1" ht="18.75" x14ac:dyDescent="0.25">
      <c r="A3737" s="6"/>
    </row>
    <row r="3738" spans="1:1" ht="18.75" x14ac:dyDescent="0.25">
      <c r="A3738" s="6"/>
    </row>
    <row r="3739" spans="1:1" ht="18.75" x14ac:dyDescent="0.25">
      <c r="A3739" s="6"/>
    </row>
    <row r="3740" spans="1:1" ht="18.75" x14ac:dyDescent="0.25">
      <c r="A3740" s="6"/>
    </row>
    <row r="3741" spans="1:1" ht="18.75" x14ac:dyDescent="0.25">
      <c r="A3741" s="6"/>
    </row>
    <row r="3742" spans="1:1" ht="18.75" x14ac:dyDescent="0.25">
      <c r="A3742" s="6"/>
    </row>
    <row r="3743" spans="1:1" ht="18.75" x14ac:dyDescent="0.25">
      <c r="A3743" s="6"/>
    </row>
    <row r="3744" spans="1:1" ht="18.75" x14ac:dyDescent="0.25">
      <c r="A3744" s="6"/>
    </row>
    <row r="3745" spans="1:1" ht="18.75" x14ac:dyDescent="0.25">
      <c r="A3745" s="6"/>
    </row>
    <row r="3746" spans="1:1" ht="18.75" x14ac:dyDescent="0.25">
      <c r="A3746" s="6"/>
    </row>
    <row r="3747" spans="1:1" ht="18.75" x14ac:dyDescent="0.25">
      <c r="A3747" s="6"/>
    </row>
    <row r="3748" spans="1:1" ht="18.75" x14ac:dyDescent="0.25">
      <c r="A3748" s="6"/>
    </row>
    <row r="3749" spans="1:1" ht="18.75" x14ac:dyDescent="0.25">
      <c r="A3749" s="6"/>
    </row>
    <row r="3750" spans="1:1" ht="18.75" x14ac:dyDescent="0.25">
      <c r="A3750" s="6"/>
    </row>
    <row r="3751" spans="1:1" ht="18.75" x14ac:dyDescent="0.25">
      <c r="A3751" s="6"/>
    </row>
    <row r="3752" spans="1:1" ht="18.75" x14ac:dyDescent="0.25">
      <c r="A3752" s="6"/>
    </row>
    <row r="3753" spans="1:1" ht="18.75" x14ac:dyDescent="0.25">
      <c r="A3753" s="6"/>
    </row>
    <row r="3754" spans="1:1" ht="18.75" x14ac:dyDescent="0.25">
      <c r="A3754" s="6"/>
    </row>
    <row r="3755" spans="1:1" ht="18.75" x14ac:dyDescent="0.25">
      <c r="A3755" s="6"/>
    </row>
    <row r="3756" spans="1:1" ht="18.75" x14ac:dyDescent="0.25">
      <c r="A3756" s="6"/>
    </row>
    <row r="3757" spans="1:1" ht="18.75" x14ac:dyDescent="0.25">
      <c r="A3757" s="6"/>
    </row>
    <row r="3758" spans="1:1" ht="18.75" x14ac:dyDescent="0.25">
      <c r="A3758" s="6"/>
    </row>
    <row r="3759" spans="1:1" ht="18.75" x14ac:dyDescent="0.25">
      <c r="A3759" s="6"/>
    </row>
    <row r="3760" spans="1:1" ht="18.75" x14ac:dyDescent="0.25">
      <c r="A3760" s="6"/>
    </row>
    <row r="3761" spans="1:1" ht="18.75" x14ac:dyDescent="0.25">
      <c r="A3761" s="6"/>
    </row>
    <row r="3762" spans="1:1" ht="18.75" x14ac:dyDescent="0.25">
      <c r="A3762" s="6"/>
    </row>
    <row r="3763" spans="1:1" ht="18.75" x14ac:dyDescent="0.25">
      <c r="A3763" s="6"/>
    </row>
    <row r="3764" spans="1:1" ht="18.75" x14ac:dyDescent="0.25">
      <c r="A3764" s="6"/>
    </row>
    <row r="3765" spans="1:1" ht="18.75" x14ac:dyDescent="0.25">
      <c r="A3765" s="6"/>
    </row>
    <row r="3766" spans="1:1" ht="18.75" x14ac:dyDescent="0.25">
      <c r="A3766" s="6"/>
    </row>
    <row r="3767" spans="1:1" ht="18.75" x14ac:dyDescent="0.25">
      <c r="A3767" s="6"/>
    </row>
    <row r="3768" spans="1:1" ht="18.75" x14ac:dyDescent="0.25">
      <c r="A3768" s="6"/>
    </row>
    <row r="3769" spans="1:1" ht="18.75" x14ac:dyDescent="0.25">
      <c r="A3769" s="6"/>
    </row>
    <row r="3770" spans="1:1" ht="18.75" x14ac:dyDescent="0.25">
      <c r="A3770" s="6"/>
    </row>
    <row r="3771" spans="1:1" ht="18.75" x14ac:dyDescent="0.25">
      <c r="A3771" s="6"/>
    </row>
    <row r="3772" spans="1:1" ht="18.75" x14ac:dyDescent="0.25">
      <c r="A3772" s="6"/>
    </row>
    <row r="3773" spans="1:1" ht="18.75" x14ac:dyDescent="0.25">
      <c r="A3773" s="6"/>
    </row>
    <row r="3774" spans="1:1" ht="18.75" x14ac:dyDescent="0.25">
      <c r="A3774" s="6"/>
    </row>
    <row r="3775" spans="1:1" ht="18.75" x14ac:dyDescent="0.25">
      <c r="A3775" s="6"/>
    </row>
    <row r="3776" spans="1:1" ht="18.75" x14ac:dyDescent="0.25">
      <c r="A3776" s="6"/>
    </row>
    <row r="3777" spans="1:1" ht="18.75" x14ac:dyDescent="0.25">
      <c r="A3777" s="6"/>
    </row>
    <row r="3778" spans="1:1" ht="18.75" x14ac:dyDescent="0.25">
      <c r="A3778" s="6"/>
    </row>
    <row r="3779" spans="1:1" ht="18.75" x14ac:dyDescent="0.25">
      <c r="A3779" s="6"/>
    </row>
    <row r="3780" spans="1:1" ht="18.75" x14ac:dyDescent="0.25">
      <c r="A3780" s="6"/>
    </row>
    <row r="3781" spans="1:1" ht="18.75" x14ac:dyDescent="0.25">
      <c r="A3781" s="6"/>
    </row>
    <row r="3782" spans="1:1" ht="18.75" x14ac:dyDescent="0.25">
      <c r="A3782" s="6"/>
    </row>
    <row r="3783" spans="1:1" ht="18.75" x14ac:dyDescent="0.25">
      <c r="A3783" s="6"/>
    </row>
    <row r="3784" spans="1:1" ht="18.75" x14ac:dyDescent="0.25">
      <c r="A3784" s="6"/>
    </row>
    <row r="3785" spans="1:1" ht="18.75" x14ac:dyDescent="0.25">
      <c r="A3785" s="6"/>
    </row>
    <row r="3786" spans="1:1" ht="18.75" x14ac:dyDescent="0.25">
      <c r="A3786" s="6"/>
    </row>
    <row r="3787" spans="1:1" ht="18.75" x14ac:dyDescent="0.25">
      <c r="A3787" s="6"/>
    </row>
    <row r="3788" spans="1:1" ht="18.75" x14ac:dyDescent="0.25">
      <c r="A3788" s="6"/>
    </row>
    <row r="3789" spans="1:1" ht="18.75" x14ac:dyDescent="0.25">
      <c r="A3789" s="6"/>
    </row>
    <row r="3790" spans="1:1" ht="18.75" x14ac:dyDescent="0.25">
      <c r="A3790" s="6"/>
    </row>
    <row r="3791" spans="1:1" ht="18.75" x14ac:dyDescent="0.25">
      <c r="A3791" s="6"/>
    </row>
    <row r="3792" spans="1:1" ht="18.75" x14ac:dyDescent="0.25">
      <c r="A3792" s="6"/>
    </row>
    <row r="3793" spans="1:1" ht="18.75" x14ac:dyDescent="0.25">
      <c r="A3793" s="6"/>
    </row>
    <row r="3794" spans="1:1" ht="18.75" x14ac:dyDescent="0.25">
      <c r="A3794" s="6"/>
    </row>
    <row r="3795" spans="1:1" ht="18.75" x14ac:dyDescent="0.25">
      <c r="A3795" s="6"/>
    </row>
    <row r="3796" spans="1:1" ht="18.75" x14ac:dyDescent="0.25">
      <c r="A3796" s="6"/>
    </row>
    <row r="3797" spans="1:1" ht="18.75" x14ac:dyDescent="0.25">
      <c r="A3797" s="6"/>
    </row>
    <row r="3798" spans="1:1" ht="18.75" x14ac:dyDescent="0.25">
      <c r="A3798" s="6"/>
    </row>
    <row r="3799" spans="1:1" ht="18.75" x14ac:dyDescent="0.25">
      <c r="A3799" s="6"/>
    </row>
    <row r="3800" spans="1:1" ht="18.75" x14ac:dyDescent="0.25">
      <c r="A3800" s="6"/>
    </row>
    <row r="3801" spans="1:1" ht="18.75" x14ac:dyDescent="0.25">
      <c r="A3801" s="6"/>
    </row>
    <row r="3802" spans="1:1" ht="18.75" x14ac:dyDescent="0.25">
      <c r="A3802" s="6"/>
    </row>
    <row r="3803" spans="1:1" ht="18.75" x14ac:dyDescent="0.25">
      <c r="A3803" s="6"/>
    </row>
    <row r="3804" spans="1:1" ht="18.75" x14ac:dyDescent="0.25">
      <c r="A3804" s="6"/>
    </row>
    <row r="3805" spans="1:1" ht="18.75" x14ac:dyDescent="0.25">
      <c r="A3805" s="6"/>
    </row>
    <row r="3806" spans="1:1" ht="18.75" x14ac:dyDescent="0.25">
      <c r="A3806" s="6"/>
    </row>
    <row r="3807" spans="1:1" ht="18.75" x14ac:dyDescent="0.25">
      <c r="A3807" s="6"/>
    </row>
    <row r="3808" spans="1:1" ht="18.75" x14ac:dyDescent="0.25">
      <c r="A3808" s="6"/>
    </row>
    <row r="3809" spans="1:1" ht="18.75" x14ac:dyDescent="0.25">
      <c r="A3809" s="6"/>
    </row>
    <row r="3810" spans="1:1" ht="18.75" x14ac:dyDescent="0.25">
      <c r="A3810" s="6"/>
    </row>
    <row r="3811" spans="1:1" ht="18.75" x14ac:dyDescent="0.25">
      <c r="A3811" s="6"/>
    </row>
    <row r="3812" spans="1:1" ht="18.75" x14ac:dyDescent="0.25">
      <c r="A3812" s="6"/>
    </row>
    <row r="3813" spans="1:1" ht="18.75" x14ac:dyDescent="0.25">
      <c r="A3813" s="6"/>
    </row>
    <row r="3814" spans="1:1" ht="18.75" x14ac:dyDescent="0.25">
      <c r="A3814" s="6"/>
    </row>
    <row r="3815" spans="1:1" ht="18.75" x14ac:dyDescent="0.25">
      <c r="A3815" s="6"/>
    </row>
    <row r="3816" spans="1:1" ht="18.75" x14ac:dyDescent="0.25">
      <c r="A3816" s="6"/>
    </row>
    <row r="3817" spans="1:1" ht="18.75" x14ac:dyDescent="0.25">
      <c r="A3817" s="6"/>
    </row>
    <row r="3818" spans="1:1" ht="18.75" x14ac:dyDescent="0.25">
      <c r="A3818" s="6"/>
    </row>
    <row r="3819" spans="1:1" ht="18.75" x14ac:dyDescent="0.25">
      <c r="A3819" s="6"/>
    </row>
    <row r="3820" spans="1:1" ht="18.75" x14ac:dyDescent="0.25">
      <c r="A3820" s="6"/>
    </row>
    <row r="3821" spans="1:1" ht="18.75" x14ac:dyDescent="0.25">
      <c r="A3821" s="6"/>
    </row>
    <row r="3822" spans="1:1" ht="18.75" x14ac:dyDescent="0.25">
      <c r="A3822" s="6"/>
    </row>
    <row r="3823" spans="1:1" ht="18.75" x14ac:dyDescent="0.25">
      <c r="A3823" s="6"/>
    </row>
    <row r="3824" spans="1:1" ht="18.75" x14ac:dyDescent="0.25">
      <c r="A3824" s="6"/>
    </row>
    <row r="3825" spans="1:1" ht="18.75" x14ac:dyDescent="0.25">
      <c r="A3825" s="6"/>
    </row>
    <row r="3826" spans="1:1" ht="18.75" x14ac:dyDescent="0.25">
      <c r="A3826" s="6"/>
    </row>
    <row r="3827" spans="1:1" ht="18.75" x14ac:dyDescent="0.25">
      <c r="A3827" s="6"/>
    </row>
    <row r="3828" spans="1:1" ht="18.75" x14ac:dyDescent="0.25">
      <c r="A3828" s="6"/>
    </row>
    <row r="3829" spans="1:1" ht="18.75" x14ac:dyDescent="0.25">
      <c r="A3829" s="6"/>
    </row>
    <row r="3830" spans="1:1" ht="18.75" x14ac:dyDescent="0.25">
      <c r="A3830" s="6"/>
    </row>
    <row r="3831" spans="1:1" ht="18.75" x14ac:dyDescent="0.25">
      <c r="A3831" s="6"/>
    </row>
    <row r="3832" spans="1:1" ht="18.75" x14ac:dyDescent="0.25">
      <c r="A3832" s="6"/>
    </row>
    <row r="3833" spans="1:1" ht="18.75" x14ac:dyDescent="0.25">
      <c r="A3833" s="6"/>
    </row>
    <row r="3834" spans="1:1" ht="18.75" x14ac:dyDescent="0.25">
      <c r="A3834" s="6"/>
    </row>
    <row r="3835" spans="1:1" ht="18.75" x14ac:dyDescent="0.25">
      <c r="A3835" s="6"/>
    </row>
    <row r="3836" spans="1:1" ht="18.75" x14ac:dyDescent="0.25">
      <c r="A3836" s="6"/>
    </row>
    <row r="3837" spans="1:1" ht="18.75" x14ac:dyDescent="0.25">
      <c r="A3837" s="6"/>
    </row>
    <row r="3838" spans="1:1" ht="18.75" x14ac:dyDescent="0.25">
      <c r="A3838" s="6"/>
    </row>
    <row r="3839" spans="1:1" ht="18.75" x14ac:dyDescent="0.25">
      <c r="A3839" s="6"/>
    </row>
    <row r="3840" spans="1:1" ht="18.75" x14ac:dyDescent="0.25">
      <c r="A3840" s="6"/>
    </row>
    <row r="3841" spans="1:1" ht="18.75" x14ac:dyDescent="0.25">
      <c r="A3841" s="6"/>
    </row>
    <row r="3842" spans="1:1" ht="18.75" x14ac:dyDescent="0.25">
      <c r="A3842" s="6"/>
    </row>
    <row r="3843" spans="1:1" ht="18.75" x14ac:dyDescent="0.25">
      <c r="A3843" s="6"/>
    </row>
    <row r="3844" spans="1:1" ht="18.75" x14ac:dyDescent="0.25">
      <c r="A3844" s="6"/>
    </row>
    <row r="3845" spans="1:1" ht="18.75" x14ac:dyDescent="0.25">
      <c r="A3845" s="6"/>
    </row>
    <row r="3846" spans="1:1" ht="18.75" x14ac:dyDescent="0.25">
      <c r="A3846" s="6"/>
    </row>
    <row r="3847" spans="1:1" ht="18.75" x14ac:dyDescent="0.25">
      <c r="A3847" s="6"/>
    </row>
    <row r="3848" spans="1:1" ht="18.75" x14ac:dyDescent="0.25">
      <c r="A3848" s="6"/>
    </row>
    <row r="3849" spans="1:1" ht="18.75" x14ac:dyDescent="0.25">
      <c r="A3849" s="6"/>
    </row>
    <row r="3850" spans="1:1" ht="18.75" x14ac:dyDescent="0.25">
      <c r="A3850" s="6"/>
    </row>
    <row r="3851" spans="1:1" ht="18.75" x14ac:dyDescent="0.25">
      <c r="A3851" s="6"/>
    </row>
    <row r="3852" spans="1:1" ht="18.75" x14ac:dyDescent="0.25">
      <c r="A3852" s="6"/>
    </row>
    <row r="3853" spans="1:1" ht="18.75" x14ac:dyDescent="0.25">
      <c r="A3853" s="6"/>
    </row>
    <row r="3854" spans="1:1" ht="18.75" x14ac:dyDescent="0.25">
      <c r="A3854" s="6"/>
    </row>
    <row r="3855" spans="1:1" ht="18.75" x14ac:dyDescent="0.25">
      <c r="A3855" s="6"/>
    </row>
    <row r="3856" spans="1:1" ht="18.75" x14ac:dyDescent="0.25">
      <c r="A3856" s="6"/>
    </row>
    <row r="3857" spans="1:1" ht="18.75" x14ac:dyDescent="0.25">
      <c r="A3857" s="6"/>
    </row>
    <row r="3858" spans="1:1" ht="18.75" x14ac:dyDescent="0.25">
      <c r="A3858" s="6"/>
    </row>
    <row r="3859" spans="1:1" ht="18.75" x14ac:dyDescent="0.25">
      <c r="A3859" s="6"/>
    </row>
    <row r="3860" spans="1:1" ht="18.75" x14ac:dyDescent="0.25">
      <c r="A3860" s="6"/>
    </row>
    <row r="3861" spans="1:1" ht="18.75" x14ac:dyDescent="0.25">
      <c r="A3861" s="6"/>
    </row>
    <row r="3862" spans="1:1" ht="18.75" x14ac:dyDescent="0.25">
      <c r="A3862" s="6"/>
    </row>
    <row r="3863" spans="1:1" ht="18.75" x14ac:dyDescent="0.25">
      <c r="A3863" s="6"/>
    </row>
    <row r="3864" spans="1:1" ht="18.75" x14ac:dyDescent="0.25">
      <c r="A3864" s="6"/>
    </row>
    <row r="3865" spans="1:1" ht="18.75" x14ac:dyDescent="0.25">
      <c r="A3865" s="6"/>
    </row>
    <row r="3866" spans="1:1" ht="18.75" x14ac:dyDescent="0.25">
      <c r="A3866" s="6"/>
    </row>
    <row r="3867" spans="1:1" ht="18.75" x14ac:dyDescent="0.25">
      <c r="A3867" s="6"/>
    </row>
    <row r="3868" spans="1:1" ht="18.75" x14ac:dyDescent="0.25">
      <c r="A3868" s="6"/>
    </row>
    <row r="3869" spans="1:1" ht="18.75" x14ac:dyDescent="0.25">
      <c r="A3869" s="6"/>
    </row>
    <row r="3870" spans="1:1" ht="18.75" x14ac:dyDescent="0.25">
      <c r="A3870" s="6"/>
    </row>
    <row r="3871" spans="1:1" ht="18.75" x14ac:dyDescent="0.25">
      <c r="A3871" s="6"/>
    </row>
    <row r="3872" spans="1:1" ht="18.75" x14ac:dyDescent="0.25">
      <c r="A3872" s="6"/>
    </row>
    <row r="3873" spans="1:1" ht="18.75" x14ac:dyDescent="0.25">
      <c r="A3873" s="6"/>
    </row>
    <row r="3874" spans="1:1" ht="18.75" x14ac:dyDescent="0.25">
      <c r="A3874" s="6"/>
    </row>
    <row r="3875" spans="1:1" ht="18.75" x14ac:dyDescent="0.25">
      <c r="A3875" s="6"/>
    </row>
    <row r="3876" spans="1:1" ht="18.75" x14ac:dyDescent="0.25">
      <c r="A3876" s="6"/>
    </row>
    <row r="3877" spans="1:1" ht="18.75" x14ac:dyDescent="0.25">
      <c r="A3877" s="6"/>
    </row>
    <row r="3878" spans="1:1" ht="18.75" x14ac:dyDescent="0.25">
      <c r="A3878" s="6"/>
    </row>
    <row r="3879" spans="1:1" ht="18.75" x14ac:dyDescent="0.25">
      <c r="A3879" s="6"/>
    </row>
    <row r="3880" spans="1:1" ht="18.75" x14ac:dyDescent="0.25">
      <c r="A3880" s="6"/>
    </row>
    <row r="3881" spans="1:1" ht="18.75" x14ac:dyDescent="0.25">
      <c r="A3881" s="6"/>
    </row>
    <row r="3882" spans="1:1" ht="18.75" x14ac:dyDescent="0.25">
      <c r="A3882" s="6"/>
    </row>
    <row r="3883" spans="1:1" ht="18.75" x14ac:dyDescent="0.25">
      <c r="A3883" s="6"/>
    </row>
    <row r="3884" spans="1:1" ht="18.75" x14ac:dyDescent="0.25">
      <c r="A3884" s="6"/>
    </row>
    <row r="3885" spans="1:1" ht="18.75" x14ac:dyDescent="0.25">
      <c r="A3885" s="6"/>
    </row>
    <row r="3886" spans="1:1" ht="18.75" x14ac:dyDescent="0.25">
      <c r="A3886" s="6"/>
    </row>
    <row r="3887" spans="1:1" ht="18.75" x14ac:dyDescent="0.25">
      <c r="A3887" s="6"/>
    </row>
    <row r="3888" spans="1:1" ht="18.75" x14ac:dyDescent="0.25">
      <c r="A3888" s="6"/>
    </row>
    <row r="3889" spans="1:1" ht="18.75" x14ac:dyDescent="0.25">
      <c r="A3889" s="6"/>
    </row>
    <row r="3890" spans="1:1" ht="18.75" x14ac:dyDescent="0.25">
      <c r="A3890" s="6"/>
    </row>
    <row r="3891" spans="1:1" ht="18.75" x14ac:dyDescent="0.25">
      <c r="A3891" s="6"/>
    </row>
    <row r="3892" spans="1:1" ht="18.75" x14ac:dyDescent="0.25">
      <c r="A3892" s="6"/>
    </row>
    <row r="3893" spans="1:1" ht="18.75" x14ac:dyDescent="0.25">
      <c r="A3893" s="6"/>
    </row>
    <row r="3894" spans="1:1" ht="18.75" x14ac:dyDescent="0.25">
      <c r="A3894" s="6"/>
    </row>
    <row r="3895" spans="1:1" ht="18.75" x14ac:dyDescent="0.25">
      <c r="A3895" s="6"/>
    </row>
    <row r="3896" spans="1:1" ht="18.75" x14ac:dyDescent="0.25">
      <c r="A3896" s="6"/>
    </row>
    <row r="3897" spans="1:1" ht="18.75" x14ac:dyDescent="0.25">
      <c r="A3897" s="6"/>
    </row>
    <row r="3898" spans="1:1" ht="18.75" x14ac:dyDescent="0.25">
      <c r="A3898" s="6"/>
    </row>
    <row r="3899" spans="1:1" ht="18.75" x14ac:dyDescent="0.25">
      <c r="A3899" s="6"/>
    </row>
    <row r="3900" spans="1:1" ht="18.75" x14ac:dyDescent="0.25">
      <c r="A3900" s="6"/>
    </row>
    <row r="3901" spans="1:1" ht="18.75" x14ac:dyDescent="0.25">
      <c r="A3901" s="6"/>
    </row>
    <row r="3902" spans="1:1" ht="18.75" x14ac:dyDescent="0.25">
      <c r="A3902" s="6"/>
    </row>
    <row r="3903" spans="1:1" ht="18.75" x14ac:dyDescent="0.25">
      <c r="A3903" s="6"/>
    </row>
    <row r="3904" spans="1:1" ht="18.75" x14ac:dyDescent="0.25">
      <c r="A3904" s="6"/>
    </row>
    <row r="3905" spans="1:1" ht="18.75" x14ac:dyDescent="0.25">
      <c r="A3905" s="6"/>
    </row>
    <row r="3906" spans="1:1" ht="18.75" x14ac:dyDescent="0.25">
      <c r="A3906" s="6"/>
    </row>
    <row r="3907" spans="1:1" ht="18.75" x14ac:dyDescent="0.25">
      <c r="A3907" s="6"/>
    </row>
    <row r="3908" spans="1:1" ht="18.75" x14ac:dyDescent="0.25">
      <c r="A3908" s="6"/>
    </row>
    <row r="3909" spans="1:1" ht="18.75" x14ac:dyDescent="0.25">
      <c r="A3909" s="6"/>
    </row>
    <row r="3910" spans="1:1" ht="18.75" x14ac:dyDescent="0.25">
      <c r="A3910" s="6"/>
    </row>
    <row r="3911" spans="1:1" ht="18.75" x14ac:dyDescent="0.25">
      <c r="A3911" s="6"/>
    </row>
    <row r="3912" spans="1:1" ht="18.75" x14ac:dyDescent="0.25">
      <c r="A3912" s="6"/>
    </row>
    <row r="3913" spans="1:1" ht="18.75" x14ac:dyDescent="0.25">
      <c r="A3913" s="6"/>
    </row>
    <row r="3914" spans="1:1" ht="18.75" x14ac:dyDescent="0.25">
      <c r="A3914" s="6"/>
    </row>
    <row r="3915" spans="1:1" ht="18.75" x14ac:dyDescent="0.25">
      <c r="A3915" s="6"/>
    </row>
    <row r="3916" spans="1:1" ht="18.75" x14ac:dyDescent="0.25">
      <c r="A3916" s="6"/>
    </row>
    <row r="3917" spans="1:1" ht="18.75" x14ac:dyDescent="0.25">
      <c r="A3917" s="6"/>
    </row>
    <row r="3918" spans="1:1" ht="18.75" x14ac:dyDescent="0.25">
      <c r="A3918" s="6"/>
    </row>
    <row r="3919" spans="1:1" ht="18.75" x14ac:dyDescent="0.25">
      <c r="A3919" s="6"/>
    </row>
    <row r="3920" spans="1:1" ht="18.75" x14ac:dyDescent="0.25">
      <c r="A3920" s="6"/>
    </row>
    <row r="3921" spans="1:1" ht="18.75" x14ac:dyDescent="0.25">
      <c r="A3921" s="6"/>
    </row>
    <row r="3922" spans="1:1" ht="18.75" x14ac:dyDescent="0.25">
      <c r="A3922" s="6"/>
    </row>
    <row r="3923" spans="1:1" ht="18.75" x14ac:dyDescent="0.25">
      <c r="A3923" s="6"/>
    </row>
    <row r="3924" spans="1:1" ht="18.75" x14ac:dyDescent="0.25">
      <c r="A3924" s="6"/>
    </row>
    <row r="3925" spans="1:1" ht="18.75" x14ac:dyDescent="0.25">
      <c r="A3925" s="6"/>
    </row>
    <row r="3926" spans="1:1" ht="18.75" x14ac:dyDescent="0.25">
      <c r="A3926" s="6"/>
    </row>
    <row r="3927" spans="1:1" ht="18.75" x14ac:dyDescent="0.25">
      <c r="A3927" s="6"/>
    </row>
    <row r="3928" spans="1:1" ht="18.75" x14ac:dyDescent="0.25">
      <c r="A3928" s="6"/>
    </row>
    <row r="3929" spans="1:1" ht="18.75" x14ac:dyDescent="0.25">
      <c r="A3929" s="6"/>
    </row>
    <row r="3930" spans="1:1" ht="18.75" x14ac:dyDescent="0.25">
      <c r="A3930" s="6"/>
    </row>
    <row r="3931" spans="1:1" ht="18.75" x14ac:dyDescent="0.25">
      <c r="A3931" s="6"/>
    </row>
    <row r="3932" spans="1:1" ht="18.75" x14ac:dyDescent="0.25">
      <c r="A3932" s="6"/>
    </row>
    <row r="3933" spans="1:1" ht="18.75" x14ac:dyDescent="0.25">
      <c r="A3933" s="6"/>
    </row>
    <row r="3934" spans="1:1" ht="18.75" x14ac:dyDescent="0.25">
      <c r="A3934" s="6"/>
    </row>
    <row r="3935" spans="1:1" ht="18.75" x14ac:dyDescent="0.25">
      <c r="A3935" s="6"/>
    </row>
    <row r="3936" spans="1:1" ht="18.75" x14ac:dyDescent="0.25">
      <c r="A3936" s="6"/>
    </row>
    <row r="3937" spans="1:1" ht="18.75" x14ac:dyDescent="0.25">
      <c r="A3937" s="6"/>
    </row>
    <row r="3938" spans="1:1" ht="18.75" x14ac:dyDescent="0.25">
      <c r="A3938" s="6"/>
    </row>
    <row r="3939" spans="1:1" ht="18.75" x14ac:dyDescent="0.25">
      <c r="A3939" s="6"/>
    </row>
    <row r="3940" spans="1:1" ht="18.75" x14ac:dyDescent="0.25">
      <c r="A3940" s="6"/>
    </row>
    <row r="3941" spans="1:1" ht="18.75" x14ac:dyDescent="0.25">
      <c r="A3941" s="6"/>
    </row>
    <row r="3942" spans="1:1" ht="18.75" x14ac:dyDescent="0.25">
      <c r="A3942" s="6"/>
    </row>
    <row r="3943" spans="1:1" ht="18.75" x14ac:dyDescent="0.25">
      <c r="A3943" s="6"/>
    </row>
    <row r="3944" spans="1:1" ht="18.75" x14ac:dyDescent="0.25">
      <c r="A3944" s="6"/>
    </row>
    <row r="3945" spans="1:1" ht="18.75" x14ac:dyDescent="0.25">
      <c r="A3945" s="6"/>
    </row>
    <row r="3946" spans="1:1" ht="18.75" x14ac:dyDescent="0.25">
      <c r="A3946" s="6"/>
    </row>
    <row r="3947" spans="1:1" ht="18.75" x14ac:dyDescent="0.25">
      <c r="A3947" s="6"/>
    </row>
    <row r="3948" spans="1:1" ht="18.75" x14ac:dyDescent="0.25">
      <c r="A3948" s="6"/>
    </row>
    <row r="3949" spans="1:1" ht="18.75" x14ac:dyDescent="0.25">
      <c r="A3949" s="6"/>
    </row>
    <row r="3950" spans="1:1" ht="18.75" x14ac:dyDescent="0.25">
      <c r="A3950" s="6"/>
    </row>
    <row r="3951" spans="1:1" ht="18.75" x14ac:dyDescent="0.25">
      <c r="A3951" s="6"/>
    </row>
    <row r="3952" spans="1:1" ht="18.75" x14ac:dyDescent="0.25">
      <c r="A3952" s="6"/>
    </row>
    <row r="3953" spans="1:1" ht="18.75" x14ac:dyDescent="0.25">
      <c r="A3953" s="6"/>
    </row>
    <row r="3954" spans="1:1" ht="18.75" x14ac:dyDescent="0.25">
      <c r="A3954" s="6"/>
    </row>
    <row r="3955" spans="1:1" ht="18.75" x14ac:dyDescent="0.25">
      <c r="A3955" s="6"/>
    </row>
    <row r="3956" spans="1:1" ht="18.75" x14ac:dyDescent="0.25">
      <c r="A3956" s="6"/>
    </row>
    <row r="3957" spans="1:1" ht="18.75" x14ac:dyDescent="0.25">
      <c r="A3957" s="6"/>
    </row>
    <row r="3958" spans="1:1" ht="18.75" x14ac:dyDescent="0.25">
      <c r="A3958" s="6"/>
    </row>
    <row r="3959" spans="1:1" ht="18.75" x14ac:dyDescent="0.25">
      <c r="A3959" s="6"/>
    </row>
    <row r="3960" spans="1:1" ht="18.75" x14ac:dyDescent="0.25">
      <c r="A3960" s="6"/>
    </row>
    <row r="3961" spans="1:1" ht="18.75" x14ac:dyDescent="0.25">
      <c r="A3961" s="6"/>
    </row>
    <row r="3962" spans="1:1" ht="18.75" x14ac:dyDescent="0.25">
      <c r="A3962" s="6"/>
    </row>
    <row r="3963" spans="1:1" ht="18.75" x14ac:dyDescent="0.25">
      <c r="A3963" s="6"/>
    </row>
    <row r="3964" spans="1:1" ht="18.75" x14ac:dyDescent="0.25">
      <c r="A3964" s="6"/>
    </row>
    <row r="3965" spans="1:1" ht="18.75" x14ac:dyDescent="0.25">
      <c r="A3965" s="6"/>
    </row>
    <row r="3966" spans="1:1" ht="18.75" x14ac:dyDescent="0.25">
      <c r="A3966" s="6"/>
    </row>
    <row r="3967" spans="1:1" ht="18.75" x14ac:dyDescent="0.25">
      <c r="A3967" s="6"/>
    </row>
    <row r="3968" spans="1:1" ht="18.75" x14ac:dyDescent="0.25">
      <c r="A3968" s="6"/>
    </row>
    <row r="3969" spans="1:1" ht="18.75" x14ac:dyDescent="0.25">
      <c r="A3969" s="6"/>
    </row>
    <row r="3970" spans="1:1" ht="18.75" x14ac:dyDescent="0.25">
      <c r="A3970" s="6"/>
    </row>
    <row r="3971" spans="1:1" ht="18.75" x14ac:dyDescent="0.25">
      <c r="A3971" s="6"/>
    </row>
    <row r="3972" spans="1:1" ht="18.75" x14ac:dyDescent="0.25">
      <c r="A3972" s="6"/>
    </row>
    <row r="3973" spans="1:1" ht="18.75" x14ac:dyDescent="0.25">
      <c r="A3973" s="6"/>
    </row>
    <row r="3974" spans="1:1" ht="18.75" x14ac:dyDescent="0.25">
      <c r="A3974" s="6"/>
    </row>
    <row r="3975" spans="1:1" ht="18.75" x14ac:dyDescent="0.25">
      <c r="A3975" s="6"/>
    </row>
    <row r="3976" spans="1:1" ht="18.75" x14ac:dyDescent="0.25">
      <c r="A3976" s="6"/>
    </row>
    <row r="3977" spans="1:1" ht="18.75" x14ac:dyDescent="0.25">
      <c r="A3977" s="6"/>
    </row>
    <row r="3978" spans="1:1" ht="18.75" x14ac:dyDescent="0.25">
      <c r="A3978" s="6"/>
    </row>
    <row r="3979" spans="1:1" ht="18.75" x14ac:dyDescent="0.25">
      <c r="A3979" s="6"/>
    </row>
    <row r="3980" spans="1:1" ht="18.75" x14ac:dyDescent="0.25">
      <c r="A3980" s="6"/>
    </row>
    <row r="3981" spans="1:1" ht="18.75" x14ac:dyDescent="0.25">
      <c r="A3981" s="6"/>
    </row>
    <row r="3982" spans="1:1" ht="18.75" x14ac:dyDescent="0.25">
      <c r="A3982" s="6"/>
    </row>
    <row r="3983" spans="1:1" ht="18.75" x14ac:dyDescent="0.25">
      <c r="A3983" s="6"/>
    </row>
    <row r="3984" spans="1:1" ht="18.75" x14ac:dyDescent="0.25">
      <c r="A3984" s="6"/>
    </row>
    <row r="3985" spans="1:1" ht="18.75" x14ac:dyDescent="0.25">
      <c r="A3985" s="6"/>
    </row>
    <row r="3986" spans="1:1" ht="18.75" x14ac:dyDescent="0.25">
      <c r="A3986" s="6"/>
    </row>
    <row r="3987" spans="1:1" ht="18.75" x14ac:dyDescent="0.25">
      <c r="A3987" s="6"/>
    </row>
    <row r="3988" spans="1:1" ht="18.75" x14ac:dyDescent="0.25">
      <c r="A3988" s="6"/>
    </row>
    <row r="3989" spans="1:1" ht="18.75" x14ac:dyDescent="0.25">
      <c r="A3989" s="6"/>
    </row>
    <row r="3990" spans="1:1" ht="18.75" x14ac:dyDescent="0.25">
      <c r="A3990" s="6"/>
    </row>
    <row r="3991" spans="1:1" ht="18.75" x14ac:dyDescent="0.25">
      <c r="A3991" s="6"/>
    </row>
    <row r="3992" spans="1:1" ht="18.75" x14ac:dyDescent="0.25">
      <c r="A3992" s="6"/>
    </row>
    <row r="3993" spans="1:1" ht="18.75" x14ac:dyDescent="0.25">
      <c r="A3993" s="6"/>
    </row>
    <row r="3994" spans="1:1" ht="18.75" x14ac:dyDescent="0.25">
      <c r="A3994" s="6"/>
    </row>
    <row r="3995" spans="1:1" ht="18.75" x14ac:dyDescent="0.25">
      <c r="A3995" s="6"/>
    </row>
    <row r="3996" spans="1:1" ht="18.75" x14ac:dyDescent="0.25">
      <c r="A3996" s="6"/>
    </row>
    <row r="3997" spans="1:1" ht="18.75" x14ac:dyDescent="0.25">
      <c r="A3997" s="6"/>
    </row>
    <row r="3998" spans="1:1" ht="18.75" x14ac:dyDescent="0.25">
      <c r="A3998" s="6"/>
    </row>
    <row r="3999" spans="1:1" ht="18.75" x14ac:dyDescent="0.25">
      <c r="A3999" s="6"/>
    </row>
    <row r="4000" spans="1:1" ht="18.75" x14ac:dyDescent="0.25">
      <c r="A4000" s="6"/>
    </row>
    <row r="4001" spans="1:1" ht="18.75" x14ac:dyDescent="0.25">
      <c r="A4001" s="6"/>
    </row>
    <row r="4002" spans="1:1" ht="18.75" x14ac:dyDescent="0.25">
      <c r="A4002" s="6"/>
    </row>
    <row r="4003" spans="1:1" ht="18.75" x14ac:dyDescent="0.25">
      <c r="A4003" s="6"/>
    </row>
    <row r="4004" spans="1:1" ht="18.75" x14ac:dyDescent="0.25">
      <c r="A4004" s="6"/>
    </row>
    <row r="4005" spans="1:1" ht="18.75" x14ac:dyDescent="0.25">
      <c r="A4005" s="6"/>
    </row>
    <row r="4006" spans="1:1" ht="18.75" x14ac:dyDescent="0.25">
      <c r="A4006" s="6"/>
    </row>
    <row r="4007" spans="1:1" ht="18.75" x14ac:dyDescent="0.25">
      <c r="A4007" s="6"/>
    </row>
    <row r="4008" spans="1:1" ht="18.75" x14ac:dyDescent="0.25">
      <c r="A4008" s="6"/>
    </row>
    <row r="4009" spans="1:1" ht="18.75" x14ac:dyDescent="0.25">
      <c r="A4009" s="6"/>
    </row>
    <row r="4010" spans="1:1" ht="18.75" x14ac:dyDescent="0.25">
      <c r="A4010" s="6"/>
    </row>
    <row r="4011" spans="1:1" ht="18.75" x14ac:dyDescent="0.25">
      <c r="A4011" s="6"/>
    </row>
    <row r="4012" spans="1:1" ht="18.75" x14ac:dyDescent="0.25">
      <c r="A4012" s="6"/>
    </row>
    <row r="4013" spans="1:1" ht="18.75" x14ac:dyDescent="0.25">
      <c r="A4013" s="6"/>
    </row>
    <row r="4014" spans="1:1" ht="18.75" x14ac:dyDescent="0.25">
      <c r="A4014" s="6"/>
    </row>
    <row r="4015" spans="1:1" ht="18.75" x14ac:dyDescent="0.25">
      <c r="A4015" s="6"/>
    </row>
    <row r="4016" spans="1:1" ht="18.75" x14ac:dyDescent="0.25">
      <c r="A4016" s="6"/>
    </row>
    <row r="4017" spans="1:1" ht="18.75" x14ac:dyDescent="0.25">
      <c r="A4017" s="6"/>
    </row>
    <row r="4018" spans="1:1" ht="18.75" x14ac:dyDescent="0.25">
      <c r="A4018" s="6"/>
    </row>
    <row r="4019" spans="1:1" ht="18.75" x14ac:dyDescent="0.25">
      <c r="A4019" s="6"/>
    </row>
    <row r="4020" spans="1:1" ht="18.75" x14ac:dyDescent="0.25">
      <c r="A4020" s="6"/>
    </row>
    <row r="4021" spans="1:1" ht="18.75" x14ac:dyDescent="0.25">
      <c r="A4021" s="6"/>
    </row>
    <row r="4022" spans="1:1" ht="18.75" x14ac:dyDescent="0.25">
      <c r="A4022" s="6"/>
    </row>
    <row r="4023" spans="1:1" ht="18.75" x14ac:dyDescent="0.25">
      <c r="A4023" s="6"/>
    </row>
    <row r="4024" spans="1:1" ht="18.75" x14ac:dyDescent="0.25">
      <c r="A4024" s="6"/>
    </row>
    <row r="4025" spans="1:1" ht="18.75" x14ac:dyDescent="0.25">
      <c r="A4025" s="6"/>
    </row>
    <row r="4026" spans="1:1" ht="18.75" x14ac:dyDescent="0.25">
      <c r="A4026" s="6"/>
    </row>
    <row r="4027" spans="1:1" ht="18.75" x14ac:dyDescent="0.25">
      <c r="A4027" s="6"/>
    </row>
    <row r="4028" spans="1:1" ht="18.75" x14ac:dyDescent="0.25">
      <c r="A4028" s="6"/>
    </row>
    <row r="4029" spans="1:1" ht="18.75" x14ac:dyDescent="0.25">
      <c r="A4029" s="6"/>
    </row>
    <row r="4030" spans="1:1" ht="18.75" x14ac:dyDescent="0.25">
      <c r="A4030" s="6"/>
    </row>
    <row r="4031" spans="1:1" ht="18.75" x14ac:dyDescent="0.25">
      <c r="A4031" s="6"/>
    </row>
    <row r="4032" spans="1:1" ht="18.75" x14ac:dyDescent="0.25">
      <c r="A4032" s="6"/>
    </row>
    <row r="4033" spans="1:1" ht="18.75" x14ac:dyDescent="0.25">
      <c r="A4033" s="6"/>
    </row>
    <row r="4034" spans="1:1" ht="18.75" x14ac:dyDescent="0.25">
      <c r="A4034" s="6"/>
    </row>
    <row r="4035" spans="1:1" ht="18.75" x14ac:dyDescent="0.25">
      <c r="A4035" s="6"/>
    </row>
    <row r="4036" spans="1:1" ht="18.75" x14ac:dyDescent="0.25">
      <c r="A4036" s="6"/>
    </row>
    <row r="4037" spans="1:1" ht="18.75" x14ac:dyDescent="0.25">
      <c r="A4037" s="6"/>
    </row>
    <row r="4038" spans="1:1" ht="18.75" x14ac:dyDescent="0.25">
      <c r="A4038" s="6"/>
    </row>
    <row r="4039" spans="1:1" ht="18.75" x14ac:dyDescent="0.25">
      <c r="A4039" s="6"/>
    </row>
    <row r="4040" spans="1:1" ht="18.75" x14ac:dyDescent="0.25">
      <c r="A4040" s="6"/>
    </row>
    <row r="4041" spans="1:1" ht="18.75" x14ac:dyDescent="0.25">
      <c r="A4041" s="6"/>
    </row>
    <row r="4042" spans="1:1" ht="18.75" x14ac:dyDescent="0.25">
      <c r="A4042" s="6"/>
    </row>
    <row r="4043" spans="1:1" ht="18.75" x14ac:dyDescent="0.25">
      <c r="A4043" s="6"/>
    </row>
    <row r="4044" spans="1:1" ht="18.75" x14ac:dyDescent="0.25">
      <c r="A4044" s="6"/>
    </row>
    <row r="4045" spans="1:1" ht="18.75" x14ac:dyDescent="0.25">
      <c r="A4045" s="6"/>
    </row>
    <row r="4046" spans="1:1" ht="18.75" x14ac:dyDescent="0.25">
      <c r="A4046" s="6"/>
    </row>
    <row r="4047" spans="1:1" ht="18.75" x14ac:dyDescent="0.25">
      <c r="A4047" s="6"/>
    </row>
    <row r="4048" spans="1:1" ht="18.75" x14ac:dyDescent="0.25">
      <c r="A4048" s="6"/>
    </row>
    <row r="4049" spans="1:1" ht="18.75" x14ac:dyDescent="0.25">
      <c r="A4049" s="6"/>
    </row>
    <row r="4050" spans="1:1" ht="18.75" x14ac:dyDescent="0.25">
      <c r="A4050" s="6"/>
    </row>
    <row r="4051" spans="1:1" ht="18.75" x14ac:dyDescent="0.25">
      <c r="A4051" s="6"/>
    </row>
    <row r="4052" spans="1:1" ht="18.75" x14ac:dyDescent="0.25">
      <c r="A4052" s="6"/>
    </row>
    <row r="4053" spans="1:1" ht="18.75" x14ac:dyDescent="0.25">
      <c r="A4053" s="6"/>
    </row>
    <row r="4054" spans="1:1" ht="18.75" x14ac:dyDescent="0.25">
      <c r="A4054" s="6"/>
    </row>
    <row r="4055" spans="1:1" ht="18.75" x14ac:dyDescent="0.25">
      <c r="A4055" s="6"/>
    </row>
    <row r="4056" spans="1:1" ht="18.75" x14ac:dyDescent="0.25">
      <c r="A4056" s="6"/>
    </row>
    <row r="4057" spans="1:1" ht="18.75" x14ac:dyDescent="0.25">
      <c r="A4057" s="6"/>
    </row>
    <row r="4058" spans="1:1" ht="18.75" x14ac:dyDescent="0.25">
      <c r="A4058" s="6"/>
    </row>
    <row r="4059" spans="1:1" ht="18.75" x14ac:dyDescent="0.25">
      <c r="A4059" s="6"/>
    </row>
    <row r="4060" spans="1:1" ht="18.75" x14ac:dyDescent="0.25">
      <c r="A4060" s="6"/>
    </row>
    <row r="4061" spans="1:1" ht="18.75" x14ac:dyDescent="0.25">
      <c r="A4061" s="6"/>
    </row>
    <row r="4062" spans="1:1" ht="18.75" x14ac:dyDescent="0.25">
      <c r="A4062" s="6"/>
    </row>
    <row r="4063" spans="1:1" ht="18.75" x14ac:dyDescent="0.25">
      <c r="A4063" s="6"/>
    </row>
    <row r="4064" spans="1:1" ht="18.75" x14ac:dyDescent="0.25">
      <c r="A4064" s="6"/>
    </row>
    <row r="4065" spans="1:1" ht="18.75" x14ac:dyDescent="0.25">
      <c r="A4065" s="6"/>
    </row>
    <row r="4066" spans="1:1" ht="18.75" x14ac:dyDescent="0.25">
      <c r="A4066" s="6"/>
    </row>
    <row r="4067" spans="1:1" ht="18.75" x14ac:dyDescent="0.25">
      <c r="A4067" s="6"/>
    </row>
    <row r="4068" spans="1:1" ht="18.75" x14ac:dyDescent="0.25">
      <c r="A4068" s="6"/>
    </row>
    <row r="4069" spans="1:1" ht="18.75" x14ac:dyDescent="0.25">
      <c r="A4069" s="6"/>
    </row>
    <row r="4070" spans="1:1" ht="18.75" x14ac:dyDescent="0.25">
      <c r="A4070" s="6"/>
    </row>
    <row r="4071" spans="1:1" ht="18.75" x14ac:dyDescent="0.25">
      <c r="A4071" s="6"/>
    </row>
    <row r="4072" spans="1:1" ht="18.75" x14ac:dyDescent="0.25">
      <c r="A4072" s="6"/>
    </row>
    <row r="4073" spans="1:1" ht="18.75" x14ac:dyDescent="0.25">
      <c r="A4073" s="6"/>
    </row>
    <row r="4074" spans="1:1" ht="18.75" x14ac:dyDescent="0.25">
      <c r="A4074" s="6"/>
    </row>
    <row r="4075" spans="1:1" ht="18.75" x14ac:dyDescent="0.25">
      <c r="A4075" s="6"/>
    </row>
    <row r="4076" spans="1:1" ht="18.75" x14ac:dyDescent="0.25">
      <c r="A4076" s="6"/>
    </row>
    <row r="4077" spans="1:1" ht="18.75" x14ac:dyDescent="0.25">
      <c r="A4077" s="6"/>
    </row>
    <row r="4078" spans="1:1" ht="18.75" x14ac:dyDescent="0.25">
      <c r="A4078" s="6"/>
    </row>
    <row r="4079" spans="1:1" ht="18.75" x14ac:dyDescent="0.25">
      <c r="A4079" s="6"/>
    </row>
    <row r="4080" spans="1:1" ht="18.75" x14ac:dyDescent="0.25">
      <c r="A4080" s="6"/>
    </row>
    <row r="4081" spans="1:1" ht="18.75" x14ac:dyDescent="0.25">
      <c r="A4081" s="6"/>
    </row>
    <row r="4082" spans="1:1" ht="18.75" x14ac:dyDescent="0.25">
      <c r="A4082" s="6"/>
    </row>
    <row r="4083" spans="1:1" ht="18.75" x14ac:dyDescent="0.25">
      <c r="A4083" s="6"/>
    </row>
    <row r="4084" spans="1:1" ht="18.75" x14ac:dyDescent="0.25">
      <c r="A4084" s="6"/>
    </row>
    <row r="4085" spans="1:1" ht="18.75" x14ac:dyDescent="0.25">
      <c r="A4085" s="6"/>
    </row>
    <row r="4086" spans="1:1" ht="18.75" x14ac:dyDescent="0.25">
      <c r="A4086" s="6"/>
    </row>
    <row r="4087" spans="1:1" ht="18.75" x14ac:dyDescent="0.25">
      <c r="A4087" s="6"/>
    </row>
    <row r="4088" spans="1:1" ht="18.75" x14ac:dyDescent="0.25">
      <c r="A4088" s="6"/>
    </row>
    <row r="4089" spans="1:1" ht="18.75" x14ac:dyDescent="0.25">
      <c r="A4089" s="6"/>
    </row>
    <row r="4090" spans="1:1" ht="18.75" x14ac:dyDescent="0.25">
      <c r="A4090" s="6"/>
    </row>
    <row r="4091" spans="1:1" ht="18.75" x14ac:dyDescent="0.25">
      <c r="A4091" s="6"/>
    </row>
    <row r="4092" spans="1:1" ht="18.75" x14ac:dyDescent="0.25">
      <c r="A4092" s="6"/>
    </row>
    <row r="4093" spans="1:1" ht="18.75" x14ac:dyDescent="0.25">
      <c r="A4093" s="6"/>
    </row>
    <row r="4094" spans="1:1" ht="18.75" x14ac:dyDescent="0.25">
      <c r="A4094" s="6"/>
    </row>
    <row r="4095" spans="1:1" ht="18.75" x14ac:dyDescent="0.25">
      <c r="A4095" s="6"/>
    </row>
    <row r="4096" spans="1:1" ht="18.75" x14ac:dyDescent="0.25">
      <c r="A4096" s="6"/>
    </row>
    <row r="4097" spans="1:1" ht="18.75" x14ac:dyDescent="0.25">
      <c r="A4097" s="6"/>
    </row>
    <row r="4098" spans="1:1" ht="18.75" x14ac:dyDescent="0.25">
      <c r="A4098" s="6"/>
    </row>
    <row r="4099" spans="1:1" ht="18.75" x14ac:dyDescent="0.25">
      <c r="A4099" s="6"/>
    </row>
    <row r="4100" spans="1:1" ht="18.75" x14ac:dyDescent="0.25">
      <c r="A4100" s="6"/>
    </row>
    <row r="4101" spans="1:1" ht="18.75" x14ac:dyDescent="0.25">
      <c r="A4101" s="6"/>
    </row>
    <row r="4102" spans="1:1" ht="18.75" x14ac:dyDescent="0.25">
      <c r="A4102" s="6"/>
    </row>
    <row r="4103" spans="1:1" ht="18.75" x14ac:dyDescent="0.25">
      <c r="A4103" s="6"/>
    </row>
    <row r="4104" spans="1:1" ht="18.75" x14ac:dyDescent="0.25">
      <c r="A4104" s="6"/>
    </row>
    <row r="4105" spans="1:1" ht="18.75" x14ac:dyDescent="0.25">
      <c r="A4105" s="6"/>
    </row>
    <row r="4106" spans="1:1" ht="18.75" x14ac:dyDescent="0.25">
      <c r="A4106" s="6"/>
    </row>
    <row r="4107" spans="1:1" ht="18.75" x14ac:dyDescent="0.25">
      <c r="A4107" s="6"/>
    </row>
    <row r="4108" spans="1:1" ht="18.75" x14ac:dyDescent="0.25">
      <c r="A4108" s="6"/>
    </row>
    <row r="4109" spans="1:1" ht="18.75" x14ac:dyDescent="0.25">
      <c r="A4109" s="6"/>
    </row>
    <row r="4110" spans="1:1" ht="18.75" x14ac:dyDescent="0.25">
      <c r="A4110" s="6"/>
    </row>
    <row r="4111" spans="1:1" ht="18.75" x14ac:dyDescent="0.25">
      <c r="A4111" s="6"/>
    </row>
    <row r="4112" spans="1:1" ht="18.75" x14ac:dyDescent="0.25">
      <c r="A4112" s="6"/>
    </row>
    <row r="4113" spans="1:1" ht="18.75" x14ac:dyDescent="0.25">
      <c r="A4113" s="6"/>
    </row>
    <row r="4114" spans="1:1" ht="18.75" x14ac:dyDescent="0.25">
      <c r="A4114" s="6"/>
    </row>
    <row r="4115" spans="1:1" ht="18.75" x14ac:dyDescent="0.25">
      <c r="A4115" s="6"/>
    </row>
    <row r="4116" spans="1:1" ht="18.75" x14ac:dyDescent="0.25">
      <c r="A4116" s="6"/>
    </row>
    <row r="4117" spans="1:1" ht="18.75" x14ac:dyDescent="0.25">
      <c r="A4117" s="6"/>
    </row>
    <row r="4118" spans="1:1" ht="18.75" x14ac:dyDescent="0.25">
      <c r="A4118" s="6"/>
    </row>
    <row r="4119" spans="1:1" ht="18.75" x14ac:dyDescent="0.25">
      <c r="A4119" s="6"/>
    </row>
    <row r="4120" spans="1:1" ht="18.75" x14ac:dyDescent="0.25">
      <c r="A4120" s="6"/>
    </row>
    <row r="4121" spans="1:1" ht="18.75" x14ac:dyDescent="0.25">
      <c r="A4121" s="6"/>
    </row>
    <row r="4122" spans="1:1" ht="18.75" x14ac:dyDescent="0.25">
      <c r="A4122" s="6"/>
    </row>
    <row r="4123" spans="1:1" ht="18.75" x14ac:dyDescent="0.25">
      <c r="A4123" s="6"/>
    </row>
    <row r="4124" spans="1:1" ht="18.75" x14ac:dyDescent="0.25">
      <c r="A4124" s="6"/>
    </row>
    <row r="4125" spans="1:1" ht="18.75" x14ac:dyDescent="0.25">
      <c r="A4125" s="6"/>
    </row>
    <row r="4126" spans="1:1" ht="18.75" x14ac:dyDescent="0.25">
      <c r="A4126" s="6"/>
    </row>
    <row r="4127" spans="1:1" ht="18.75" x14ac:dyDescent="0.25">
      <c r="A4127" s="6"/>
    </row>
    <row r="4128" spans="1:1" ht="18.75" x14ac:dyDescent="0.25">
      <c r="A4128" s="6"/>
    </row>
    <row r="4129" spans="1:1" ht="18.75" x14ac:dyDescent="0.25">
      <c r="A4129" s="6"/>
    </row>
    <row r="4130" spans="1:1" ht="18.75" x14ac:dyDescent="0.25">
      <c r="A4130" s="6"/>
    </row>
    <row r="4131" spans="1:1" ht="18.75" x14ac:dyDescent="0.25">
      <c r="A4131" s="6"/>
    </row>
    <row r="4132" spans="1:1" ht="18.75" x14ac:dyDescent="0.25">
      <c r="A4132" s="6"/>
    </row>
    <row r="4133" spans="1:1" ht="18.75" x14ac:dyDescent="0.25">
      <c r="A4133" s="6"/>
    </row>
    <row r="4134" spans="1:1" ht="18.75" x14ac:dyDescent="0.25">
      <c r="A4134" s="6"/>
    </row>
    <row r="4135" spans="1:1" ht="18.75" x14ac:dyDescent="0.25">
      <c r="A4135" s="6"/>
    </row>
    <row r="4136" spans="1:1" ht="18.75" x14ac:dyDescent="0.25">
      <c r="A4136" s="6"/>
    </row>
    <row r="4137" spans="1:1" ht="18.75" x14ac:dyDescent="0.25">
      <c r="A4137" s="6"/>
    </row>
    <row r="4138" spans="1:1" ht="18.75" x14ac:dyDescent="0.25">
      <c r="A4138" s="6"/>
    </row>
    <row r="4139" spans="1:1" ht="18.75" x14ac:dyDescent="0.25">
      <c r="A4139" s="6"/>
    </row>
    <row r="4140" spans="1:1" ht="18.75" x14ac:dyDescent="0.25">
      <c r="A4140" s="6"/>
    </row>
    <row r="4141" spans="1:1" ht="18.75" x14ac:dyDescent="0.25">
      <c r="A4141" s="6"/>
    </row>
    <row r="4142" spans="1:1" ht="18.75" x14ac:dyDescent="0.25">
      <c r="A4142" s="6"/>
    </row>
    <row r="4143" spans="1:1" ht="18.75" x14ac:dyDescent="0.25">
      <c r="A4143" s="6"/>
    </row>
    <row r="4144" spans="1:1" ht="18.75" x14ac:dyDescent="0.25">
      <c r="A4144" s="6"/>
    </row>
    <row r="4145" spans="1:1" ht="18.75" x14ac:dyDescent="0.25">
      <c r="A4145" s="6"/>
    </row>
    <row r="4146" spans="1:1" ht="18.75" x14ac:dyDescent="0.25">
      <c r="A4146" s="6"/>
    </row>
    <row r="4147" spans="1:1" ht="18.75" x14ac:dyDescent="0.25">
      <c r="A4147" s="6"/>
    </row>
    <row r="4148" spans="1:1" ht="18.75" x14ac:dyDescent="0.25">
      <c r="A4148" s="6"/>
    </row>
    <row r="4149" spans="1:1" ht="18.75" x14ac:dyDescent="0.25">
      <c r="A4149" s="6"/>
    </row>
    <row r="4150" spans="1:1" ht="18.75" x14ac:dyDescent="0.25">
      <c r="A4150" s="6"/>
    </row>
    <row r="4151" spans="1:1" ht="18.75" x14ac:dyDescent="0.25">
      <c r="A4151" s="6"/>
    </row>
    <row r="4152" spans="1:1" ht="18.75" x14ac:dyDescent="0.25">
      <c r="A4152" s="6"/>
    </row>
    <row r="4153" spans="1:1" ht="18.75" x14ac:dyDescent="0.25">
      <c r="A4153" s="6"/>
    </row>
    <row r="4154" spans="1:1" ht="18.75" x14ac:dyDescent="0.25">
      <c r="A4154" s="6"/>
    </row>
    <row r="4155" spans="1:1" ht="18.75" x14ac:dyDescent="0.25">
      <c r="A4155" s="6"/>
    </row>
    <row r="4156" spans="1:1" ht="18.75" x14ac:dyDescent="0.25">
      <c r="A4156" s="6"/>
    </row>
    <row r="4157" spans="1:1" ht="18.75" x14ac:dyDescent="0.25">
      <c r="A4157" s="6"/>
    </row>
    <row r="4158" spans="1:1" ht="18.75" x14ac:dyDescent="0.25">
      <c r="A4158" s="6"/>
    </row>
    <row r="4159" spans="1:1" ht="18.75" x14ac:dyDescent="0.25">
      <c r="A4159" s="6"/>
    </row>
    <row r="4160" spans="1:1" ht="18.75" x14ac:dyDescent="0.25">
      <c r="A4160" s="6"/>
    </row>
    <row r="4161" spans="1:1" ht="18.75" x14ac:dyDescent="0.25">
      <c r="A4161" s="6"/>
    </row>
    <row r="4162" spans="1:1" ht="18.75" x14ac:dyDescent="0.25">
      <c r="A4162" s="6"/>
    </row>
    <row r="4163" spans="1:1" ht="18.75" x14ac:dyDescent="0.25">
      <c r="A4163" s="6"/>
    </row>
    <row r="4164" spans="1:1" ht="18.75" x14ac:dyDescent="0.25">
      <c r="A4164" s="6"/>
    </row>
    <row r="4165" spans="1:1" ht="18.75" x14ac:dyDescent="0.25">
      <c r="A4165" s="6"/>
    </row>
    <row r="4166" spans="1:1" ht="18.75" x14ac:dyDescent="0.25">
      <c r="A4166" s="6"/>
    </row>
    <row r="4167" spans="1:1" ht="18.75" x14ac:dyDescent="0.25">
      <c r="A4167" s="6"/>
    </row>
    <row r="4168" spans="1:1" ht="18.75" x14ac:dyDescent="0.25">
      <c r="A4168" s="6"/>
    </row>
    <row r="4169" spans="1:1" ht="18.75" x14ac:dyDescent="0.25">
      <c r="A4169" s="6"/>
    </row>
    <row r="4170" spans="1:1" ht="18.75" x14ac:dyDescent="0.25">
      <c r="A4170" s="6"/>
    </row>
    <row r="4171" spans="1:1" ht="18.75" x14ac:dyDescent="0.25">
      <c r="A4171" s="6"/>
    </row>
    <row r="4172" spans="1:1" ht="18.75" x14ac:dyDescent="0.25">
      <c r="A4172" s="6"/>
    </row>
    <row r="4173" spans="1:1" ht="18.75" x14ac:dyDescent="0.25">
      <c r="A4173" s="6"/>
    </row>
    <row r="4174" spans="1:1" ht="18.75" x14ac:dyDescent="0.25">
      <c r="A4174" s="6"/>
    </row>
    <row r="4175" spans="1:1" ht="18.75" x14ac:dyDescent="0.25">
      <c r="A4175" s="6"/>
    </row>
    <row r="4176" spans="1:1" ht="18.75" x14ac:dyDescent="0.25">
      <c r="A4176" s="6"/>
    </row>
    <row r="4177" spans="1:1" ht="18.75" x14ac:dyDescent="0.25">
      <c r="A4177" s="6"/>
    </row>
    <row r="4178" spans="1:1" ht="18.75" x14ac:dyDescent="0.25">
      <c r="A4178" s="6"/>
    </row>
    <row r="4179" spans="1:1" ht="18.75" x14ac:dyDescent="0.25">
      <c r="A4179" s="6"/>
    </row>
    <row r="4180" spans="1:1" ht="18.75" x14ac:dyDescent="0.25">
      <c r="A4180" s="6"/>
    </row>
    <row r="4181" spans="1:1" ht="18.75" x14ac:dyDescent="0.25">
      <c r="A4181" s="6"/>
    </row>
    <row r="4182" spans="1:1" ht="18.75" x14ac:dyDescent="0.25">
      <c r="A4182" s="6"/>
    </row>
    <row r="4183" spans="1:1" ht="18.75" x14ac:dyDescent="0.25">
      <c r="A4183" s="6"/>
    </row>
    <row r="4184" spans="1:1" ht="18.75" x14ac:dyDescent="0.25">
      <c r="A4184" s="6"/>
    </row>
    <row r="4185" spans="1:1" ht="18.75" x14ac:dyDescent="0.25">
      <c r="A4185" s="6"/>
    </row>
    <row r="4186" spans="1:1" ht="18.75" x14ac:dyDescent="0.25">
      <c r="A4186" s="6"/>
    </row>
    <row r="4187" spans="1:1" ht="18.75" x14ac:dyDescent="0.25">
      <c r="A4187" s="6"/>
    </row>
    <row r="4188" spans="1:1" ht="18.75" x14ac:dyDescent="0.25">
      <c r="A4188" s="6"/>
    </row>
    <row r="4189" spans="1:1" ht="18.75" x14ac:dyDescent="0.25">
      <c r="A4189" s="6"/>
    </row>
    <row r="4190" spans="1:1" ht="18.75" x14ac:dyDescent="0.25">
      <c r="A4190" s="6"/>
    </row>
    <row r="4191" spans="1:1" ht="18.75" x14ac:dyDescent="0.25">
      <c r="A4191" s="6"/>
    </row>
    <row r="4192" spans="1:1" ht="18.75" x14ac:dyDescent="0.25">
      <c r="A4192" s="6"/>
    </row>
    <row r="4193" spans="1:1" ht="18.75" x14ac:dyDescent="0.25">
      <c r="A4193" s="6"/>
    </row>
    <row r="4194" spans="1:1" ht="18.75" x14ac:dyDescent="0.25">
      <c r="A4194" s="6"/>
    </row>
    <row r="4195" spans="1:1" ht="18.75" x14ac:dyDescent="0.25">
      <c r="A4195" s="6"/>
    </row>
    <row r="4196" spans="1:1" ht="18.75" x14ac:dyDescent="0.25">
      <c r="A4196" s="6"/>
    </row>
    <row r="4197" spans="1:1" ht="18.75" x14ac:dyDescent="0.25">
      <c r="A4197" s="6"/>
    </row>
    <row r="4198" spans="1:1" ht="18.75" x14ac:dyDescent="0.25">
      <c r="A4198" s="6"/>
    </row>
    <row r="4199" spans="1:1" ht="18.75" x14ac:dyDescent="0.25">
      <c r="A4199" s="6"/>
    </row>
    <row r="4200" spans="1:1" ht="18.75" x14ac:dyDescent="0.25">
      <c r="A4200" s="6"/>
    </row>
    <row r="4201" spans="1:1" ht="18.75" x14ac:dyDescent="0.25">
      <c r="A4201" s="6"/>
    </row>
    <row r="4202" spans="1:1" ht="18.75" x14ac:dyDescent="0.25">
      <c r="A4202" s="6"/>
    </row>
    <row r="4203" spans="1:1" ht="18.75" x14ac:dyDescent="0.25">
      <c r="A4203" s="6"/>
    </row>
    <row r="4204" spans="1:1" ht="18.75" x14ac:dyDescent="0.25">
      <c r="A4204" s="6"/>
    </row>
    <row r="4205" spans="1:1" ht="18.75" x14ac:dyDescent="0.25">
      <c r="A4205" s="6"/>
    </row>
    <row r="4206" spans="1:1" ht="18.75" x14ac:dyDescent="0.25">
      <c r="A4206" s="6"/>
    </row>
    <row r="4207" spans="1:1" ht="18.75" x14ac:dyDescent="0.25">
      <c r="A4207" s="6"/>
    </row>
    <row r="4208" spans="1:1" ht="18.75" x14ac:dyDescent="0.25">
      <c r="A4208" s="6"/>
    </row>
    <row r="4209" spans="1:1" ht="18.75" x14ac:dyDescent="0.25">
      <c r="A4209" s="6"/>
    </row>
    <row r="4210" spans="1:1" ht="18.75" x14ac:dyDescent="0.25">
      <c r="A4210" s="6"/>
    </row>
    <row r="4211" spans="1:1" ht="18.75" x14ac:dyDescent="0.25">
      <c r="A4211" s="6"/>
    </row>
    <row r="4212" spans="1:1" ht="18.75" x14ac:dyDescent="0.25">
      <c r="A4212" s="6"/>
    </row>
    <row r="4213" spans="1:1" ht="18.75" x14ac:dyDescent="0.25">
      <c r="A4213" s="6"/>
    </row>
    <row r="4214" spans="1:1" ht="18.75" x14ac:dyDescent="0.25">
      <c r="A4214" s="6"/>
    </row>
    <row r="4215" spans="1:1" ht="18.75" x14ac:dyDescent="0.25">
      <c r="A4215" s="6"/>
    </row>
    <row r="4216" spans="1:1" ht="18.75" x14ac:dyDescent="0.25">
      <c r="A4216" s="6"/>
    </row>
    <row r="4217" spans="1:1" ht="18.75" x14ac:dyDescent="0.25">
      <c r="A4217" s="6"/>
    </row>
    <row r="4218" spans="1:1" ht="18.75" x14ac:dyDescent="0.25">
      <c r="A4218" s="6"/>
    </row>
    <row r="4219" spans="1:1" ht="18.75" x14ac:dyDescent="0.25">
      <c r="A4219" s="6"/>
    </row>
    <row r="4220" spans="1:1" ht="18.75" x14ac:dyDescent="0.25">
      <c r="A4220" s="6"/>
    </row>
    <row r="4221" spans="1:1" ht="18.75" x14ac:dyDescent="0.25">
      <c r="A4221" s="6"/>
    </row>
    <row r="4222" spans="1:1" ht="18.75" x14ac:dyDescent="0.25">
      <c r="A4222" s="6"/>
    </row>
    <row r="4223" spans="1:1" ht="18.75" x14ac:dyDescent="0.25">
      <c r="A4223" s="6"/>
    </row>
    <row r="4224" spans="1:1" ht="18.75" x14ac:dyDescent="0.25">
      <c r="A4224" s="6"/>
    </row>
    <row r="4225" spans="1:1" ht="18.75" x14ac:dyDescent="0.25">
      <c r="A4225" s="6"/>
    </row>
    <row r="4226" spans="1:1" ht="18.75" x14ac:dyDescent="0.25">
      <c r="A4226" s="6"/>
    </row>
    <row r="4227" spans="1:1" ht="18.75" x14ac:dyDescent="0.25">
      <c r="A4227" s="6"/>
    </row>
    <row r="4228" spans="1:1" ht="18.75" x14ac:dyDescent="0.25">
      <c r="A4228" s="6"/>
    </row>
    <row r="4229" spans="1:1" ht="18.75" x14ac:dyDescent="0.25">
      <c r="A4229" s="6"/>
    </row>
    <row r="4230" spans="1:1" ht="18.75" x14ac:dyDescent="0.25">
      <c r="A4230" s="6"/>
    </row>
    <row r="4231" spans="1:1" ht="18.75" x14ac:dyDescent="0.25">
      <c r="A4231" s="6"/>
    </row>
    <row r="4232" spans="1:1" ht="18.75" x14ac:dyDescent="0.25">
      <c r="A4232" s="6"/>
    </row>
    <row r="4233" spans="1:1" ht="18.75" x14ac:dyDescent="0.25">
      <c r="A4233" s="6"/>
    </row>
    <row r="4234" spans="1:1" ht="18.75" x14ac:dyDescent="0.25">
      <c r="A4234" s="6"/>
    </row>
    <row r="4235" spans="1:1" ht="18.75" x14ac:dyDescent="0.25">
      <c r="A4235" s="6"/>
    </row>
    <row r="4236" spans="1:1" ht="18.75" x14ac:dyDescent="0.25">
      <c r="A4236" s="6"/>
    </row>
    <row r="4237" spans="1:1" ht="18.75" x14ac:dyDescent="0.25">
      <c r="A4237" s="6"/>
    </row>
    <row r="4238" spans="1:1" ht="18.75" x14ac:dyDescent="0.25">
      <c r="A4238" s="6"/>
    </row>
    <row r="4239" spans="1:1" ht="18.75" x14ac:dyDescent="0.25">
      <c r="A4239" s="6"/>
    </row>
    <row r="4240" spans="1:1" ht="18.75" x14ac:dyDescent="0.25">
      <c r="A4240" s="6"/>
    </row>
    <row r="4241" spans="1:1" ht="18.75" x14ac:dyDescent="0.25">
      <c r="A4241" s="6"/>
    </row>
    <row r="4242" spans="1:1" ht="18.75" x14ac:dyDescent="0.25">
      <c r="A4242" s="6"/>
    </row>
    <row r="4243" spans="1:1" ht="18.75" x14ac:dyDescent="0.25">
      <c r="A4243" s="6"/>
    </row>
    <row r="4244" spans="1:1" ht="18.75" x14ac:dyDescent="0.25">
      <c r="A4244" s="6"/>
    </row>
    <row r="4245" spans="1:1" ht="18.75" x14ac:dyDescent="0.25">
      <c r="A4245" s="6"/>
    </row>
    <row r="4246" spans="1:1" ht="18.75" x14ac:dyDescent="0.25">
      <c r="A4246" s="6"/>
    </row>
    <row r="4247" spans="1:1" ht="18.75" x14ac:dyDescent="0.25">
      <c r="A4247" s="6"/>
    </row>
    <row r="4248" spans="1:1" ht="18.75" x14ac:dyDescent="0.25">
      <c r="A4248" s="6"/>
    </row>
    <row r="4249" spans="1:1" ht="18.75" x14ac:dyDescent="0.25">
      <c r="A4249" s="6"/>
    </row>
    <row r="4250" spans="1:1" ht="18.75" x14ac:dyDescent="0.25">
      <c r="A4250" s="6"/>
    </row>
    <row r="4251" spans="1:1" ht="18.75" x14ac:dyDescent="0.25">
      <c r="A4251" s="6"/>
    </row>
    <row r="4252" spans="1:1" ht="18.75" x14ac:dyDescent="0.25">
      <c r="A4252" s="6"/>
    </row>
    <row r="4253" spans="1:1" ht="18.75" x14ac:dyDescent="0.25">
      <c r="A4253" s="6"/>
    </row>
    <row r="4254" spans="1:1" ht="18.75" x14ac:dyDescent="0.25">
      <c r="A4254" s="6"/>
    </row>
    <row r="4255" spans="1:1" ht="18.75" x14ac:dyDescent="0.25">
      <c r="A4255" s="6"/>
    </row>
    <row r="4256" spans="1:1" ht="18.75" x14ac:dyDescent="0.25">
      <c r="A4256" s="6"/>
    </row>
    <row r="4257" spans="1:1" ht="18.75" x14ac:dyDescent="0.25">
      <c r="A4257" s="6"/>
    </row>
    <row r="4258" spans="1:1" ht="18.75" x14ac:dyDescent="0.25">
      <c r="A4258" s="6"/>
    </row>
    <row r="4259" spans="1:1" ht="18.75" x14ac:dyDescent="0.25">
      <c r="A4259" s="6"/>
    </row>
    <row r="4260" spans="1:1" ht="18.75" x14ac:dyDescent="0.25">
      <c r="A4260" s="6"/>
    </row>
    <row r="4261" spans="1:1" ht="18.75" x14ac:dyDescent="0.25">
      <c r="A4261" s="6"/>
    </row>
    <row r="4262" spans="1:1" ht="18.75" x14ac:dyDescent="0.25">
      <c r="A4262" s="6"/>
    </row>
    <row r="4263" spans="1:1" ht="18.75" x14ac:dyDescent="0.25">
      <c r="A4263" s="6"/>
    </row>
    <row r="4264" spans="1:1" ht="18.75" x14ac:dyDescent="0.25">
      <c r="A4264" s="6"/>
    </row>
    <row r="4265" spans="1:1" ht="18.75" x14ac:dyDescent="0.25">
      <c r="A4265" s="6"/>
    </row>
    <row r="4266" spans="1:1" ht="18.75" x14ac:dyDescent="0.25">
      <c r="A4266" s="6"/>
    </row>
    <row r="4267" spans="1:1" ht="18.75" x14ac:dyDescent="0.25">
      <c r="A4267" s="6"/>
    </row>
    <row r="4268" spans="1:1" ht="18.75" x14ac:dyDescent="0.25">
      <c r="A4268" s="6"/>
    </row>
    <row r="4269" spans="1:1" ht="18.75" x14ac:dyDescent="0.25">
      <c r="A4269" s="6"/>
    </row>
    <row r="4270" spans="1:1" ht="18.75" x14ac:dyDescent="0.25">
      <c r="A4270" s="6"/>
    </row>
    <row r="4271" spans="1:1" ht="18.75" x14ac:dyDescent="0.25">
      <c r="A4271" s="6"/>
    </row>
    <row r="4272" spans="1:1" ht="18.75" x14ac:dyDescent="0.25">
      <c r="A4272" s="6"/>
    </row>
    <row r="4273" spans="1:1" ht="18.75" x14ac:dyDescent="0.25">
      <c r="A4273" s="6"/>
    </row>
    <row r="4274" spans="1:1" ht="18.75" x14ac:dyDescent="0.25">
      <c r="A4274" s="6"/>
    </row>
    <row r="4275" spans="1:1" ht="18.75" x14ac:dyDescent="0.25">
      <c r="A4275" s="6"/>
    </row>
    <row r="4276" spans="1:1" ht="18.75" x14ac:dyDescent="0.25">
      <c r="A4276" s="6"/>
    </row>
    <row r="4277" spans="1:1" ht="18.75" x14ac:dyDescent="0.25">
      <c r="A4277" s="6"/>
    </row>
    <row r="4278" spans="1:1" ht="18.75" x14ac:dyDescent="0.25">
      <c r="A4278" s="6"/>
    </row>
    <row r="4279" spans="1:1" ht="18.75" x14ac:dyDescent="0.25">
      <c r="A4279" s="6"/>
    </row>
    <row r="4280" spans="1:1" ht="18.75" x14ac:dyDescent="0.25">
      <c r="A4280" s="6"/>
    </row>
    <row r="4281" spans="1:1" ht="18.75" x14ac:dyDescent="0.25">
      <c r="A4281" s="6"/>
    </row>
    <row r="4282" spans="1:1" ht="18.75" x14ac:dyDescent="0.25">
      <c r="A4282" s="6"/>
    </row>
    <row r="4283" spans="1:1" ht="18.75" x14ac:dyDescent="0.25">
      <c r="A4283" s="6"/>
    </row>
    <row r="4284" spans="1:1" ht="18.75" x14ac:dyDescent="0.25">
      <c r="A4284" s="6"/>
    </row>
    <row r="4285" spans="1:1" ht="18.75" x14ac:dyDescent="0.25">
      <c r="A4285" s="6"/>
    </row>
    <row r="4286" spans="1:1" ht="18.75" x14ac:dyDescent="0.25">
      <c r="A4286" s="6"/>
    </row>
    <row r="4287" spans="1:1" ht="18.75" x14ac:dyDescent="0.25">
      <c r="A4287" s="6"/>
    </row>
    <row r="4288" spans="1:1" ht="18.75" x14ac:dyDescent="0.25">
      <c r="A4288" s="6"/>
    </row>
    <row r="4289" spans="1:1" ht="18.75" x14ac:dyDescent="0.25">
      <c r="A4289" s="6"/>
    </row>
    <row r="4290" spans="1:1" ht="18.75" x14ac:dyDescent="0.25">
      <c r="A4290" s="6"/>
    </row>
    <row r="4291" spans="1:1" ht="18.75" x14ac:dyDescent="0.25">
      <c r="A4291" s="6"/>
    </row>
    <row r="4292" spans="1:1" ht="18.75" x14ac:dyDescent="0.25">
      <c r="A4292" s="6"/>
    </row>
    <row r="4293" spans="1:1" ht="18.75" x14ac:dyDescent="0.25">
      <c r="A4293" s="6"/>
    </row>
    <row r="4294" spans="1:1" ht="18.75" x14ac:dyDescent="0.25">
      <c r="A4294" s="6"/>
    </row>
    <row r="4295" spans="1:1" ht="18.75" x14ac:dyDescent="0.25">
      <c r="A4295" s="6"/>
    </row>
    <row r="4296" spans="1:1" ht="18.75" x14ac:dyDescent="0.25">
      <c r="A4296" s="6"/>
    </row>
    <row r="4297" spans="1:1" ht="18.75" x14ac:dyDescent="0.25">
      <c r="A4297" s="6"/>
    </row>
    <row r="4298" spans="1:1" ht="18.75" x14ac:dyDescent="0.25">
      <c r="A4298" s="6"/>
    </row>
    <row r="4299" spans="1:1" ht="18.75" x14ac:dyDescent="0.25">
      <c r="A4299" s="6"/>
    </row>
    <row r="4300" spans="1:1" ht="18.75" x14ac:dyDescent="0.25">
      <c r="A4300" s="6"/>
    </row>
    <row r="4301" spans="1:1" ht="18.75" x14ac:dyDescent="0.25">
      <c r="A4301" s="6"/>
    </row>
    <row r="4302" spans="1:1" ht="18.75" x14ac:dyDescent="0.25">
      <c r="A4302" s="6"/>
    </row>
    <row r="4303" spans="1:1" ht="18.75" x14ac:dyDescent="0.25">
      <c r="A4303" s="6"/>
    </row>
    <row r="4304" spans="1:1" ht="18.75" x14ac:dyDescent="0.25">
      <c r="A4304" s="6"/>
    </row>
    <row r="4305" spans="1:1" ht="18.75" x14ac:dyDescent="0.25">
      <c r="A4305" s="6"/>
    </row>
    <row r="4306" spans="1:1" ht="18.75" x14ac:dyDescent="0.25">
      <c r="A4306" s="6"/>
    </row>
    <row r="4307" spans="1:1" ht="18.75" x14ac:dyDescent="0.25">
      <c r="A4307" s="6"/>
    </row>
    <row r="4308" spans="1:1" ht="18.75" x14ac:dyDescent="0.25">
      <c r="A4308" s="6"/>
    </row>
    <row r="4309" spans="1:1" ht="18.75" x14ac:dyDescent="0.25">
      <c r="A4309" s="6"/>
    </row>
    <row r="4310" spans="1:1" ht="18.75" x14ac:dyDescent="0.25">
      <c r="A4310" s="6"/>
    </row>
    <row r="4311" spans="1:1" ht="18.75" x14ac:dyDescent="0.25">
      <c r="A4311" s="6"/>
    </row>
    <row r="4312" spans="1:1" ht="18.75" x14ac:dyDescent="0.25">
      <c r="A4312" s="6"/>
    </row>
    <row r="4313" spans="1:1" ht="18.75" x14ac:dyDescent="0.25">
      <c r="A4313" s="6"/>
    </row>
    <row r="4314" spans="1:1" ht="18.75" x14ac:dyDescent="0.25">
      <c r="A4314" s="6"/>
    </row>
    <row r="4315" spans="1:1" ht="18.75" x14ac:dyDescent="0.25">
      <c r="A4315" s="6"/>
    </row>
    <row r="4316" spans="1:1" ht="18.75" x14ac:dyDescent="0.25">
      <c r="A4316" s="6"/>
    </row>
    <row r="4317" spans="1:1" ht="18.75" x14ac:dyDescent="0.25">
      <c r="A4317" s="6"/>
    </row>
    <row r="4318" spans="1:1" ht="18.75" x14ac:dyDescent="0.25">
      <c r="A4318" s="6"/>
    </row>
    <row r="4319" spans="1:1" ht="18.75" x14ac:dyDescent="0.25">
      <c r="A4319" s="6"/>
    </row>
    <row r="4320" spans="1:1" ht="18.75" x14ac:dyDescent="0.25">
      <c r="A4320" s="6"/>
    </row>
    <row r="4321" spans="1:1" ht="18.75" x14ac:dyDescent="0.25">
      <c r="A4321" s="6"/>
    </row>
    <row r="4322" spans="1:1" ht="18.75" x14ac:dyDescent="0.25">
      <c r="A4322" s="6"/>
    </row>
    <row r="4323" spans="1:1" ht="18.75" x14ac:dyDescent="0.25">
      <c r="A4323" s="6"/>
    </row>
    <row r="4324" spans="1:1" ht="18.75" x14ac:dyDescent="0.25">
      <c r="A4324" s="6"/>
    </row>
    <row r="4325" spans="1:1" ht="18.75" x14ac:dyDescent="0.25">
      <c r="A4325" s="6"/>
    </row>
    <row r="4326" spans="1:1" ht="18.75" x14ac:dyDescent="0.25">
      <c r="A4326" s="6"/>
    </row>
    <row r="4327" spans="1:1" ht="18.75" x14ac:dyDescent="0.25">
      <c r="A4327" s="6"/>
    </row>
    <row r="4328" spans="1:1" ht="18.75" x14ac:dyDescent="0.25">
      <c r="A4328" s="6"/>
    </row>
    <row r="4329" spans="1:1" ht="18.75" x14ac:dyDescent="0.25">
      <c r="A4329" s="6"/>
    </row>
    <row r="4330" spans="1:1" ht="18.75" x14ac:dyDescent="0.25">
      <c r="A4330" s="6"/>
    </row>
    <row r="4331" spans="1:1" ht="18.75" x14ac:dyDescent="0.25">
      <c r="A4331" s="6"/>
    </row>
    <row r="4332" spans="1:1" ht="18.75" x14ac:dyDescent="0.25">
      <c r="A4332" s="6"/>
    </row>
    <row r="4333" spans="1:1" ht="18.75" x14ac:dyDescent="0.25">
      <c r="A4333" s="6"/>
    </row>
    <row r="4334" spans="1:1" ht="18.75" x14ac:dyDescent="0.25">
      <c r="A4334" s="6"/>
    </row>
    <row r="4335" spans="1:1" ht="18.75" x14ac:dyDescent="0.25">
      <c r="A4335" s="6"/>
    </row>
    <row r="4336" spans="1:1" ht="18.75" x14ac:dyDescent="0.25">
      <c r="A4336" s="6"/>
    </row>
    <row r="4337" spans="1:1" ht="18.75" x14ac:dyDescent="0.25">
      <c r="A4337" s="6"/>
    </row>
    <row r="4338" spans="1:1" ht="18.75" x14ac:dyDescent="0.25">
      <c r="A4338" s="6"/>
    </row>
    <row r="4339" spans="1:1" ht="18.75" x14ac:dyDescent="0.25">
      <c r="A4339" s="6"/>
    </row>
    <row r="4340" spans="1:1" ht="18.75" x14ac:dyDescent="0.25">
      <c r="A4340" s="6"/>
    </row>
    <row r="4341" spans="1:1" ht="18.75" x14ac:dyDescent="0.25">
      <c r="A4341" s="6"/>
    </row>
    <row r="4342" spans="1:1" ht="18.75" x14ac:dyDescent="0.25">
      <c r="A4342" s="6"/>
    </row>
    <row r="4343" spans="1:1" ht="18.75" x14ac:dyDescent="0.25">
      <c r="A4343" s="6"/>
    </row>
    <row r="4344" spans="1:1" ht="18.75" x14ac:dyDescent="0.25">
      <c r="A4344" s="6"/>
    </row>
    <row r="4345" spans="1:1" ht="18.75" x14ac:dyDescent="0.25">
      <c r="A4345" s="6"/>
    </row>
    <row r="4346" spans="1:1" ht="18.75" x14ac:dyDescent="0.25">
      <c r="A4346" s="6"/>
    </row>
    <row r="4347" spans="1:1" ht="18.75" x14ac:dyDescent="0.25">
      <c r="A4347" s="6"/>
    </row>
    <row r="4348" spans="1:1" ht="18.75" x14ac:dyDescent="0.25">
      <c r="A4348" s="6"/>
    </row>
    <row r="4349" spans="1:1" ht="18.75" x14ac:dyDescent="0.25">
      <c r="A4349" s="6"/>
    </row>
    <row r="4350" spans="1:1" ht="18.75" x14ac:dyDescent="0.25">
      <c r="A4350" s="6"/>
    </row>
    <row r="4351" spans="1:1" ht="18.75" x14ac:dyDescent="0.25">
      <c r="A4351" s="6"/>
    </row>
    <row r="4352" spans="1:1" ht="18.75" x14ac:dyDescent="0.25">
      <c r="A4352" s="6"/>
    </row>
    <row r="4353" spans="1:1" ht="18.75" x14ac:dyDescent="0.25">
      <c r="A4353" s="6"/>
    </row>
    <row r="4354" spans="1:1" ht="18.75" x14ac:dyDescent="0.25">
      <c r="A4354" s="6"/>
    </row>
    <row r="4355" spans="1:1" ht="18.75" x14ac:dyDescent="0.25">
      <c r="A4355" s="6"/>
    </row>
    <row r="4356" spans="1:1" ht="18.75" x14ac:dyDescent="0.25">
      <c r="A4356" s="6"/>
    </row>
    <row r="4357" spans="1:1" ht="18.75" x14ac:dyDescent="0.25">
      <c r="A4357" s="6"/>
    </row>
    <row r="4358" spans="1:1" ht="18.75" x14ac:dyDescent="0.25">
      <c r="A4358" s="6"/>
    </row>
    <row r="4359" spans="1:1" ht="18.75" x14ac:dyDescent="0.25">
      <c r="A4359" s="6"/>
    </row>
    <row r="4360" spans="1:1" ht="18.75" x14ac:dyDescent="0.25">
      <c r="A4360" s="6"/>
    </row>
    <row r="4361" spans="1:1" ht="18.75" x14ac:dyDescent="0.25">
      <c r="A4361" s="6"/>
    </row>
    <row r="4362" spans="1:1" ht="18.75" x14ac:dyDescent="0.25">
      <c r="A4362" s="6"/>
    </row>
    <row r="4363" spans="1:1" ht="18.75" x14ac:dyDescent="0.25">
      <c r="A4363" s="6"/>
    </row>
    <row r="4364" spans="1:1" ht="18.75" x14ac:dyDescent="0.25">
      <c r="A4364" s="6"/>
    </row>
    <row r="4365" spans="1:1" ht="18.75" x14ac:dyDescent="0.25">
      <c r="A4365" s="6"/>
    </row>
    <row r="4366" spans="1:1" ht="18.75" x14ac:dyDescent="0.25">
      <c r="A4366" s="6"/>
    </row>
    <row r="4367" spans="1:1" ht="18.75" x14ac:dyDescent="0.25">
      <c r="A4367" s="6"/>
    </row>
    <row r="4368" spans="1:1" ht="18.75" x14ac:dyDescent="0.25">
      <c r="A4368" s="6"/>
    </row>
    <row r="4369" spans="1:1" ht="18.75" x14ac:dyDescent="0.25">
      <c r="A4369" s="6"/>
    </row>
    <row r="4370" spans="1:1" ht="18.75" x14ac:dyDescent="0.25">
      <c r="A4370" s="6"/>
    </row>
    <row r="4371" spans="1:1" ht="18.75" x14ac:dyDescent="0.25">
      <c r="A4371" s="6"/>
    </row>
    <row r="4372" spans="1:1" ht="18.75" x14ac:dyDescent="0.25">
      <c r="A4372" s="6"/>
    </row>
    <row r="4373" spans="1:1" ht="18.75" x14ac:dyDescent="0.25">
      <c r="A4373" s="6"/>
    </row>
    <row r="4374" spans="1:1" ht="18.75" x14ac:dyDescent="0.25">
      <c r="A4374" s="6"/>
    </row>
    <row r="4375" spans="1:1" ht="18.75" x14ac:dyDescent="0.25">
      <c r="A4375" s="6"/>
    </row>
    <row r="4376" spans="1:1" ht="18.75" x14ac:dyDescent="0.25">
      <c r="A4376" s="6"/>
    </row>
    <row r="4377" spans="1:1" ht="18.75" x14ac:dyDescent="0.25">
      <c r="A4377" s="6"/>
    </row>
    <row r="4378" spans="1:1" ht="18.75" x14ac:dyDescent="0.25">
      <c r="A4378" s="6"/>
    </row>
    <row r="4379" spans="1:1" ht="18.75" x14ac:dyDescent="0.25">
      <c r="A4379" s="6"/>
    </row>
    <row r="4380" spans="1:1" ht="18.75" x14ac:dyDescent="0.25">
      <c r="A4380" s="6"/>
    </row>
    <row r="4381" spans="1:1" ht="18.75" x14ac:dyDescent="0.25">
      <c r="A4381" s="6"/>
    </row>
    <row r="4382" spans="1:1" ht="18.75" x14ac:dyDescent="0.25">
      <c r="A4382" s="6"/>
    </row>
    <row r="4383" spans="1:1" ht="18.75" x14ac:dyDescent="0.25">
      <c r="A4383" s="6"/>
    </row>
    <row r="4384" spans="1:1" ht="18.75" x14ac:dyDescent="0.25">
      <c r="A4384" s="6"/>
    </row>
    <row r="4385" spans="1:1" ht="18.75" x14ac:dyDescent="0.25">
      <c r="A4385" s="6"/>
    </row>
    <row r="4386" spans="1:1" ht="18.75" x14ac:dyDescent="0.25">
      <c r="A4386" s="6"/>
    </row>
    <row r="4387" spans="1:1" ht="18.75" x14ac:dyDescent="0.25">
      <c r="A4387" s="6"/>
    </row>
    <row r="4388" spans="1:1" ht="18.75" x14ac:dyDescent="0.25">
      <c r="A4388" s="6"/>
    </row>
    <row r="4389" spans="1:1" ht="18.75" x14ac:dyDescent="0.25">
      <c r="A4389" s="6"/>
    </row>
    <row r="4390" spans="1:1" ht="18.75" x14ac:dyDescent="0.25">
      <c r="A4390" s="6"/>
    </row>
    <row r="4391" spans="1:1" ht="18.75" x14ac:dyDescent="0.25">
      <c r="A4391" s="6"/>
    </row>
    <row r="4392" spans="1:1" ht="18.75" x14ac:dyDescent="0.25">
      <c r="A4392" s="6"/>
    </row>
    <row r="4393" spans="1:1" ht="18.75" x14ac:dyDescent="0.25">
      <c r="A4393" s="6"/>
    </row>
    <row r="4394" spans="1:1" ht="18.75" x14ac:dyDescent="0.25">
      <c r="A4394" s="6"/>
    </row>
    <row r="4395" spans="1:1" ht="18.75" x14ac:dyDescent="0.25">
      <c r="A4395" s="6"/>
    </row>
    <row r="4396" spans="1:1" ht="18.75" x14ac:dyDescent="0.25">
      <c r="A4396" s="6"/>
    </row>
    <row r="4397" spans="1:1" ht="18.75" x14ac:dyDescent="0.25">
      <c r="A4397" s="6"/>
    </row>
    <row r="4398" spans="1:1" ht="18.75" x14ac:dyDescent="0.25">
      <c r="A4398" s="6"/>
    </row>
    <row r="4399" spans="1:1" ht="18.75" x14ac:dyDescent="0.25">
      <c r="A4399" s="6"/>
    </row>
    <row r="4400" spans="1:1" ht="18.75" x14ac:dyDescent="0.25">
      <c r="A4400" s="6"/>
    </row>
    <row r="4401" spans="1:1" ht="18.75" x14ac:dyDescent="0.25">
      <c r="A4401" s="6"/>
    </row>
    <row r="4402" spans="1:1" ht="18.75" x14ac:dyDescent="0.25">
      <c r="A4402" s="6"/>
    </row>
    <row r="4403" spans="1:1" ht="18.75" x14ac:dyDescent="0.25">
      <c r="A4403" s="6"/>
    </row>
    <row r="4404" spans="1:1" ht="18.75" x14ac:dyDescent="0.25">
      <c r="A4404" s="6"/>
    </row>
    <row r="4405" spans="1:1" ht="18.75" x14ac:dyDescent="0.25">
      <c r="A4405" s="6"/>
    </row>
    <row r="4406" spans="1:1" ht="18.75" x14ac:dyDescent="0.25">
      <c r="A4406" s="6"/>
    </row>
    <row r="4407" spans="1:1" ht="18.75" x14ac:dyDescent="0.25">
      <c r="A4407" s="6"/>
    </row>
    <row r="4408" spans="1:1" ht="18.75" x14ac:dyDescent="0.25">
      <c r="A4408" s="6"/>
    </row>
    <row r="4409" spans="1:1" ht="18.75" x14ac:dyDescent="0.25">
      <c r="A4409" s="6"/>
    </row>
    <row r="4410" spans="1:1" ht="18.75" x14ac:dyDescent="0.25">
      <c r="A4410" s="6"/>
    </row>
    <row r="4411" spans="1:1" ht="18.75" x14ac:dyDescent="0.25">
      <c r="A4411" s="6"/>
    </row>
    <row r="4412" spans="1:1" ht="18.75" x14ac:dyDescent="0.25">
      <c r="A4412" s="6"/>
    </row>
    <row r="4413" spans="1:1" ht="18.75" x14ac:dyDescent="0.25">
      <c r="A4413" s="6"/>
    </row>
    <row r="4414" spans="1:1" ht="18.75" x14ac:dyDescent="0.25">
      <c r="A4414" s="6"/>
    </row>
    <row r="4415" spans="1:1" ht="18.75" x14ac:dyDescent="0.25">
      <c r="A4415" s="6"/>
    </row>
    <row r="4416" spans="1:1" ht="18.75" x14ac:dyDescent="0.25">
      <c r="A4416" s="6"/>
    </row>
    <row r="4417" spans="1:1" ht="18.75" x14ac:dyDescent="0.25">
      <c r="A4417" s="6"/>
    </row>
    <row r="4418" spans="1:1" ht="18.75" x14ac:dyDescent="0.25">
      <c r="A4418" s="6"/>
    </row>
    <row r="4419" spans="1:1" ht="18.75" x14ac:dyDescent="0.25">
      <c r="A4419" s="6"/>
    </row>
    <row r="4420" spans="1:1" ht="18.75" x14ac:dyDescent="0.25">
      <c r="A4420" s="6"/>
    </row>
    <row r="4421" spans="1:1" ht="18.75" x14ac:dyDescent="0.25">
      <c r="A4421" s="6"/>
    </row>
    <row r="4422" spans="1:1" ht="18.75" x14ac:dyDescent="0.25">
      <c r="A4422" s="6"/>
    </row>
    <row r="4423" spans="1:1" ht="18.75" x14ac:dyDescent="0.25">
      <c r="A4423" s="6"/>
    </row>
    <row r="4424" spans="1:1" ht="18.75" x14ac:dyDescent="0.25">
      <c r="A4424" s="6"/>
    </row>
    <row r="4425" spans="1:1" ht="18.75" x14ac:dyDescent="0.25">
      <c r="A4425" s="6"/>
    </row>
    <row r="4426" spans="1:1" ht="18.75" x14ac:dyDescent="0.25">
      <c r="A4426" s="6"/>
    </row>
    <row r="4427" spans="1:1" ht="18.75" x14ac:dyDescent="0.25">
      <c r="A4427" s="6"/>
    </row>
    <row r="4428" spans="1:1" ht="18.75" x14ac:dyDescent="0.25">
      <c r="A4428" s="6"/>
    </row>
    <row r="4429" spans="1:1" ht="18.75" x14ac:dyDescent="0.25">
      <c r="A4429" s="6"/>
    </row>
    <row r="4430" spans="1:1" ht="18.75" x14ac:dyDescent="0.25">
      <c r="A4430" s="6"/>
    </row>
    <row r="4431" spans="1:1" ht="18.75" x14ac:dyDescent="0.25">
      <c r="A4431" s="6"/>
    </row>
    <row r="4432" spans="1:1" ht="18.75" x14ac:dyDescent="0.25">
      <c r="A4432" s="6"/>
    </row>
    <row r="4433" spans="1:1" ht="18.75" x14ac:dyDescent="0.25">
      <c r="A4433" s="6"/>
    </row>
    <row r="4434" spans="1:1" ht="18.75" x14ac:dyDescent="0.25">
      <c r="A4434" s="6"/>
    </row>
    <row r="4435" spans="1:1" ht="18.75" x14ac:dyDescent="0.25">
      <c r="A4435" s="6"/>
    </row>
    <row r="4436" spans="1:1" ht="18.75" x14ac:dyDescent="0.25">
      <c r="A4436" s="6"/>
    </row>
    <row r="4437" spans="1:1" ht="18.75" x14ac:dyDescent="0.25">
      <c r="A4437" s="6"/>
    </row>
    <row r="4438" spans="1:1" ht="18.75" x14ac:dyDescent="0.25">
      <c r="A4438" s="6"/>
    </row>
    <row r="4439" spans="1:1" ht="18.75" x14ac:dyDescent="0.25">
      <c r="A4439" s="6"/>
    </row>
    <row r="4440" spans="1:1" ht="18.75" x14ac:dyDescent="0.25">
      <c r="A4440" s="6"/>
    </row>
    <row r="4441" spans="1:1" ht="18.75" x14ac:dyDescent="0.25">
      <c r="A4441" s="6"/>
    </row>
    <row r="4442" spans="1:1" ht="18.75" x14ac:dyDescent="0.25">
      <c r="A4442" s="6"/>
    </row>
    <row r="4443" spans="1:1" ht="18.75" x14ac:dyDescent="0.25">
      <c r="A4443" s="6"/>
    </row>
    <row r="4444" spans="1:1" ht="18.75" x14ac:dyDescent="0.25">
      <c r="A4444" s="6"/>
    </row>
    <row r="4445" spans="1:1" ht="18.75" x14ac:dyDescent="0.25">
      <c r="A4445" s="6"/>
    </row>
    <row r="4446" spans="1:1" ht="18.75" x14ac:dyDescent="0.25">
      <c r="A4446" s="6"/>
    </row>
    <row r="4447" spans="1:1" ht="18.75" x14ac:dyDescent="0.25">
      <c r="A4447" s="6"/>
    </row>
    <row r="4448" spans="1:1" ht="18.75" x14ac:dyDescent="0.25">
      <c r="A4448" s="6"/>
    </row>
    <row r="4449" spans="1:1" ht="18.75" x14ac:dyDescent="0.25">
      <c r="A4449" s="6"/>
    </row>
    <row r="4450" spans="1:1" ht="18.75" x14ac:dyDescent="0.25">
      <c r="A4450" s="6"/>
    </row>
    <row r="4451" spans="1:1" ht="18.75" x14ac:dyDescent="0.25">
      <c r="A4451" s="6"/>
    </row>
    <row r="4452" spans="1:1" ht="18.75" x14ac:dyDescent="0.25">
      <c r="A4452" s="6"/>
    </row>
    <row r="4453" spans="1:1" ht="18.75" x14ac:dyDescent="0.25">
      <c r="A4453" s="6"/>
    </row>
    <row r="4454" spans="1:1" ht="18.75" x14ac:dyDescent="0.25">
      <c r="A4454" s="6"/>
    </row>
    <row r="4455" spans="1:1" ht="18.75" x14ac:dyDescent="0.25">
      <c r="A4455" s="6"/>
    </row>
    <row r="4456" spans="1:1" ht="18.75" x14ac:dyDescent="0.25">
      <c r="A4456" s="6"/>
    </row>
    <row r="4457" spans="1:1" ht="18.75" x14ac:dyDescent="0.25">
      <c r="A4457" s="6"/>
    </row>
    <row r="4458" spans="1:1" ht="18.75" x14ac:dyDescent="0.25">
      <c r="A4458" s="6"/>
    </row>
    <row r="4459" spans="1:1" ht="18.75" x14ac:dyDescent="0.25">
      <c r="A4459" s="6"/>
    </row>
    <row r="4460" spans="1:1" ht="18.75" x14ac:dyDescent="0.25">
      <c r="A4460" s="6"/>
    </row>
    <row r="4461" spans="1:1" ht="18.75" x14ac:dyDescent="0.25">
      <c r="A4461" s="6"/>
    </row>
    <row r="4462" spans="1:1" ht="18.75" x14ac:dyDescent="0.25">
      <c r="A4462" s="6"/>
    </row>
    <row r="4463" spans="1:1" ht="18.75" x14ac:dyDescent="0.25">
      <c r="A4463" s="6"/>
    </row>
    <row r="4464" spans="1:1" ht="18.75" x14ac:dyDescent="0.25">
      <c r="A4464" s="6"/>
    </row>
    <row r="4465" spans="1:1" ht="18.75" x14ac:dyDescent="0.25">
      <c r="A4465" s="6"/>
    </row>
    <row r="4466" spans="1:1" ht="18.75" x14ac:dyDescent="0.25">
      <c r="A4466" s="6"/>
    </row>
    <row r="4467" spans="1:1" ht="18.75" x14ac:dyDescent="0.25">
      <c r="A4467" s="6"/>
    </row>
    <row r="4468" spans="1:1" ht="18.75" x14ac:dyDescent="0.25">
      <c r="A4468" s="6"/>
    </row>
    <row r="4469" spans="1:1" ht="18.75" x14ac:dyDescent="0.25">
      <c r="A4469" s="6"/>
    </row>
    <row r="4470" spans="1:1" ht="18.75" x14ac:dyDescent="0.25">
      <c r="A4470" s="6"/>
    </row>
    <row r="4471" spans="1:1" ht="18.75" x14ac:dyDescent="0.25">
      <c r="A4471" s="6"/>
    </row>
    <row r="4472" spans="1:1" ht="18.75" x14ac:dyDescent="0.25">
      <c r="A4472" s="6"/>
    </row>
    <row r="4473" spans="1:1" ht="18.75" x14ac:dyDescent="0.25">
      <c r="A4473" s="6"/>
    </row>
    <row r="4474" spans="1:1" ht="18.75" x14ac:dyDescent="0.25">
      <c r="A4474" s="6"/>
    </row>
    <row r="4475" spans="1:1" ht="18.75" x14ac:dyDescent="0.25">
      <c r="A4475" s="6"/>
    </row>
    <row r="4476" spans="1:1" ht="18.75" x14ac:dyDescent="0.25">
      <c r="A4476" s="6"/>
    </row>
    <row r="4477" spans="1:1" ht="18.75" x14ac:dyDescent="0.25">
      <c r="A4477" s="6"/>
    </row>
    <row r="4478" spans="1:1" ht="18.75" x14ac:dyDescent="0.25">
      <c r="A4478" s="6"/>
    </row>
    <row r="4479" spans="1:1" ht="18.75" x14ac:dyDescent="0.25">
      <c r="A4479" s="6"/>
    </row>
    <row r="4480" spans="1:1" ht="18.75" x14ac:dyDescent="0.25">
      <c r="A4480" s="6"/>
    </row>
    <row r="4481" spans="1:1" ht="18.75" x14ac:dyDescent="0.25">
      <c r="A4481" s="6"/>
    </row>
    <row r="4482" spans="1:1" ht="18.75" x14ac:dyDescent="0.25">
      <c r="A4482" s="6"/>
    </row>
    <row r="4483" spans="1:1" ht="18.75" x14ac:dyDescent="0.25">
      <c r="A4483" s="6"/>
    </row>
    <row r="4484" spans="1:1" ht="18.75" x14ac:dyDescent="0.25">
      <c r="A4484" s="6"/>
    </row>
    <row r="4485" spans="1:1" ht="18.75" x14ac:dyDescent="0.25">
      <c r="A4485" s="6"/>
    </row>
    <row r="4486" spans="1:1" ht="18.75" x14ac:dyDescent="0.25">
      <c r="A4486" s="6"/>
    </row>
    <row r="4487" spans="1:1" ht="18.75" x14ac:dyDescent="0.25">
      <c r="A4487" s="6"/>
    </row>
    <row r="4488" spans="1:1" ht="18.75" x14ac:dyDescent="0.25">
      <c r="A4488" s="6"/>
    </row>
    <row r="4489" spans="1:1" ht="18.75" x14ac:dyDescent="0.25">
      <c r="A4489" s="6"/>
    </row>
    <row r="4490" spans="1:1" ht="18.75" x14ac:dyDescent="0.25">
      <c r="A4490" s="6"/>
    </row>
    <row r="4491" spans="1:1" ht="18.75" x14ac:dyDescent="0.25">
      <c r="A4491" s="6"/>
    </row>
    <row r="4492" spans="1:1" ht="18.75" x14ac:dyDescent="0.25">
      <c r="A4492" s="6"/>
    </row>
    <row r="4493" spans="1:1" ht="18.75" x14ac:dyDescent="0.25">
      <c r="A4493" s="6"/>
    </row>
    <row r="4494" spans="1:1" ht="18.75" x14ac:dyDescent="0.25">
      <c r="A4494" s="6"/>
    </row>
    <row r="4495" spans="1:1" ht="18.75" x14ac:dyDescent="0.25">
      <c r="A4495" s="6"/>
    </row>
    <row r="4496" spans="1:1" ht="18.75" x14ac:dyDescent="0.25">
      <c r="A4496" s="6"/>
    </row>
    <row r="4497" spans="1:1" ht="18.75" x14ac:dyDescent="0.25">
      <c r="A4497" s="6"/>
    </row>
    <row r="4498" spans="1:1" ht="18.75" x14ac:dyDescent="0.25">
      <c r="A4498" s="6"/>
    </row>
    <row r="4499" spans="1:1" ht="18.75" x14ac:dyDescent="0.25">
      <c r="A4499" s="6"/>
    </row>
    <row r="4500" spans="1:1" ht="18.75" x14ac:dyDescent="0.25">
      <c r="A4500" s="6"/>
    </row>
    <row r="4501" spans="1:1" ht="18.75" x14ac:dyDescent="0.25">
      <c r="A4501" s="6"/>
    </row>
    <row r="4502" spans="1:1" ht="18.75" x14ac:dyDescent="0.25">
      <c r="A4502" s="6"/>
    </row>
    <row r="4503" spans="1:1" ht="18.75" x14ac:dyDescent="0.25">
      <c r="A4503" s="6"/>
    </row>
    <row r="4504" spans="1:1" ht="18.75" x14ac:dyDescent="0.25">
      <c r="A4504" s="6"/>
    </row>
    <row r="4505" spans="1:1" ht="18.75" x14ac:dyDescent="0.25">
      <c r="A4505" s="6"/>
    </row>
    <row r="4506" spans="1:1" ht="18.75" x14ac:dyDescent="0.25">
      <c r="A4506" s="6"/>
    </row>
    <row r="4507" spans="1:1" ht="18.75" x14ac:dyDescent="0.25">
      <c r="A4507" s="6"/>
    </row>
    <row r="4508" spans="1:1" ht="18.75" x14ac:dyDescent="0.25">
      <c r="A4508" s="6"/>
    </row>
    <row r="4509" spans="1:1" ht="18.75" x14ac:dyDescent="0.25">
      <c r="A4509" s="6"/>
    </row>
    <row r="4510" spans="1:1" ht="18.75" x14ac:dyDescent="0.25">
      <c r="A4510" s="6"/>
    </row>
    <row r="4511" spans="1:1" ht="18.75" x14ac:dyDescent="0.25">
      <c r="A4511" s="6"/>
    </row>
    <row r="4512" spans="1:1" ht="18.75" x14ac:dyDescent="0.25">
      <c r="A4512" s="6"/>
    </row>
    <row r="4513" spans="1:1" ht="18.75" x14ac:dyDescent="0.25">
      <c r="A4513" s="6"/>
    </row>
    <row r="4514" spans="1:1" ht="18.75" x14ac:dyDescent="0.25">
      <c r="A4514" s="6"/>
    </row>
    <row r="4515" spans="1:1" ht="18.75" x14ac:dyDescent="0.25">
      <c r="A4515" s="6"/>
    </row>
    <row r="4516" spans="1:1" ht="18.75" x14ac:dyDescent="0.25">
      <c r="A4516" s="6"/>
    </row>
    <row r="4517" spans="1:1" ht="18.75" x14ac:dyDescent="0.25">
      <c r="A4517" s="6"/>
    </row>
    <row r="4518" spans="1:1" ht="18.75" x14ac:dyDescent="0.25">
      <c r="A4518" s="6"/>
    </row>
    <row r="4519" spans="1:1" ht="18.75" x14ac:dyDescent="0.25">
      <c r="A4519" s="6"/>
    </row>
    <row r="4520" spans="1:1" ht="18.75" x14ac:dyDescent="0.25">
      <c r="A4520" s="6"/>
    </row>
    <row r="4521" spans="1:1" ht="18.75" x14ac:dyDescent="0.25">
      <c r="A4521" s="6"/>
    </row>
    <row r="4522" spans="1:1" ht="18.75" x14ac:dyDescent="0.25">
      <c r="A4522" s="6"/>
    </row>
    <row r="4523" spans="1:1" ht="18.75" x14ac:dyDescent="0.25">
      <c r="A4523" s="6"/>
    </row>
    <row r="4524" spans="1:1" ht="18.75" x14ac:dyDescent="0.25">
      <c r="A4524" s="6"/>
    </row>
    <row r="4525" spans="1:1" ht="18.75" x14ac:dyDescent="0.25">
      <c r="A4525" s="6"/>
    </row>
    <row r="4526" spans="1:1" ht="18.75" x14ac:dyDescent="0.25">
      <c r="A4526" s="6"/>
    </row>
    <row r="4527" spans="1:1" ht="18.75" x14ac:dyDescent="0.25">
      <c r="A4527" s="6"/>
    </row>
    <row r="4528" spans="1:1" ht="18.75" x14ac:dyDescent="0.25">
      <c r="A4528" s="6"/>
    </row>
    <row r="4529" spans="1:1" ht="18.75" x14ac:dyDescent="0.25">
      <c r="A4529" s="6"/>
    </row>
    <row r="4530" spans="1:1" ht="18.75" x14ac:dyDescent="0.25">
      <c r="A4530" s="6"/>
    </row>
    <row r="4531" spans="1:1" ht="18.75" x14ac:dyDescent="0.25">
      <c r="A4531" s="6"/>
    </row>
    <row r="4532" spans="1:1" ht="18.75" x14ac:dyDescent="0.25">
      <c r="A4532" s="6"/>
    </row>
    <row r="4533" spans="1:1" ht="18.75" x14ac:dyDescent="0.25">
      <c r="A4533" s="6"/>
    </row>
    <row r="4534" spans="1:1" ht="18.75" x14ac:dyDescent="0.25">
      <c r="A4534" s="6"/>
    </row>
    <row r="4535" spans="1:1" ht="18.75" x14ac:dyDescent="0.25">
      <c r="A4535" s="6"/>
    </row>
    <row r="4536" spans="1:1" ht="18.75" x14ac:dyDescent="0.25">
      <c r="A4536" s="6"/>
    </row>
    <row r="4537" spans="1:1" ht="18.75" x14ac:dyDescent="0.25">
      <c r="A4537" s="6"/>
    </row>
    <row r="4538" spans="1:1" ht="18.75" x14ac:dyDescent="0.25">
      <c r="A4538" s="6"/>
    </row>
    <row r="4539" spans="1:1" ht="18.75" x14ac:dyDescent="0.25">
      <c r="A4539" s="6"/>
    </row>
    <row r="4540" spans="1:1" ht="18.75" x14ac:dyDescent="0.25">
      <c r="A4540" s="6"/>
    </row>
    <row r="4541" spans="1:1" ht="18.75" x14ac:dyDescent="0.25">
      <c r="A4541" s="6"/>
    </row>
    <row r="4542" spans="1:1" ht="18.75" x14ac:dyDescent="0.25">
      <c r="A4542" s="6"/>
    </row>
    <row r="4543" spans="1:1" ht="18.75" x14ac:dyDescent="0.25">
      <c r="A4543" s="6"/>
    </row>
    <row r="4544" spans="1:1" ht="18.75" x14ac:dyDescent="0.25">
      <c r="A4544" s="6"/>
    </row>
    <row r="4545" spans="1:1" ht="18.75" x14ac:dyDescent="0.25">
      <c r="A4545" s="6"/>
    </row>
    <row r="4546" spans="1:1" ht="18.75" x14ac:dyDescent="0.25">
      <c r="A4546" s="6"/>
    </row>
    <row r="4547" spans="1:1" ht="18.75" x14ac:dyDescent="0.25">
      <c r="A4547" s="6"/>
    </row>
    <row r="4548" spans="1:1" ht="18.75" x14ac:dyDescent="0.25">
      <c r="A4548" s="6"/>
    </row>
    <row r="4549" spans="1:1" ht="18.75" x14ac:dyDescent="0.25">
      <c r="A4549" s="6"/>
    </row>
    <row r="4550" spans="1:1" ht="18.75" x14ac:dyDescent="0.25">
      <c r="A4550" s="6"/>
    </row>
    <row r="4551" spans="1:1" ht="18.75" x14ac:dyDescent="0.25">
      <c r="A4551" s="6"/>
    </row>
    <row r="4552" spans="1:1" ht="18.75" x14ac:dyDescent="0.25">
      <c r="A4552" s="6"/>
    </row>
    <row r="4553" spans="1:1" ht="18.75" x14ac:dyDescent="0.25">
      <c r="A4553" s="6"/>
    </row>
    <row r="4554" spans="1:1" ht="18.75" x14ac:dyDescent="0.25">
      <c r="A4554" s="6"/>
    </row>
    <row r="4555" spans="1:1" ht="18.75" x14ac:dyDescent="0.25">
      <c r="A4555" s="6"/>
    </row>
    <row r="4556" spans="1:1" ht="18.75" x14ac:dyDescent="0.25">
      <c r="A4556" s="6"/>
    </row>
    <row r="4557" spans="1:1" ht="18.75" x14ac:dyDescent="0.25">
      <c r="A4557" s="6"/>
    </row>
    <row r="4558" spans="1:1" ht="18.75" x14ac:dyDescent="0.25">
      <c r="A4558" s="6"/>
    </row>
    <row r="4559" spans="1:1" ht="18.75" x14ac:dyDescent="0.25">
      <c r="A4559" s="6"/>
    </row>
    <row r="4560" spans="1:1" ht="18.75" x14ac:dyDescent="0.25">
      <c r="A4560" s="6"/>
    </row>
    <row r="4561" spans="1:1" ht="18.75" x14ac:dyDescent="0.25">
      <c r="A4561" s="6"/>
    </row>
    <row r="4562" spans="1:1" ht="18.75" x14ac:dyDescent="0.25">
      <c r="A4562" s="6"/>
    </row>
    <row r="4563" spans="1:1" ht="18.75" x14ac:dyDescent="0.25">
      <c r="A4563" s="6"/>
    </row>
    <row r="4564" spans="1:1" ht="18.75" x14ac:dyDescent="0.25">
      <c r="A4564" s="6"/>
    </row>
    <row r="4565" spans="1:1" ht="18.75" x14ac:dyDescent="0.25">
      <c r="A4565" s="6"/>
    </row>
    <row r="4566" spans="1:1" ht="18.75" x14ac:dyDescent="0.25">
      <c r="A4566" s="6"/>
    </row>
    <row r="4567" spans="1:1" ht="18.75" x14ac:dyDescent="0.25">
      <c r="A4567" s="6"/>
    </row>
    <row r="4568" spans="1:1" ht="18.75" x14ac:dyDescent="0.25">
      <c r="A4568" s="6"/>
    </row>
    <row r="4569" spans="1:1" ht="18.75" x14ac:dyDescent="0.25">
      <c r="A4569" s="6"/>
    </row>
    <row r="4570" spans="1:1" ht="18.75" x14ac:dyDescent="0.25">
      <c r="A4570" s="6"/>
    </row>
    <row r="4571" spans="1:1" ht="18.75" x14ac:dyDescent="0.25">
      <c r="A4571" s="6"/>
    </row>
    <row r="4572" spans="1:1" ht="18.75" x14ac:dyDescent="0.25">
      <c r="A4572" s="6"/>
    </row>
    <row r="4573" spans="1:1" ht="18.75" x14ac:dyDescent="0.25">
      <c r="A4573" s="6"/>
    </row>
    <row r="4574" spans="1:1" ht="18.75" x14ac:dyDescent="0.25">
      <c r="A4574" s="6"/>
    </row>
    <row r="4575" spans="1:1" ht="18.75" x14ac:dyDescent="0.25">
      <c r="A4575" s="6"/>
    </row>
    <row r="4576" spans="1:1" ht="18.75" x14ac:dyDescent="0.25">
      <c r="A4576" s="6"/>
    </row>
    <row r="4577" spans="1:1" ht="18.75" x14ac:dyDescent="0.25">
      <c r="A4577" s="6"/>
    </row>
    <row r="4578" spans="1:1" ht="18.75" x14ac:dyDescent="0.25">
      <c r="A4578" s="6"/>
    </row>
    <row r="4579" spans="1:1" ht="18.75" x14ac:dyDescent="0.25">
      <c r="A4579" s="6"/>
    </row>
    <row r="4580" spans="1:1" ht="18.75" x14ac:dyDescent="0.25">
      <c r="A4580" s="6"/>
    </row>
    <row r="4581" spans="1:1" ht="18.75" x14ac:dyDescent="0.25">
      <c r="A4581" s="6"/>
    </row>
    <row r="4582" spans="1:1" ht="18.75" x14ac:dyDescent="0.25">
      <c r="A4582" s="6"/>
    </row>
    <row r="4583" spans="1:1" ht="18.75" x14ac:dyDescent="0.25">
      <c r="A4583" s="6"/>
    </row>
    <row r="4584" spans="1:1" ht="18.75" x14ac:dyDescent="0.25">
      <c r="A4584" s="6"/>
    </row>
    <row r="4585" spans="1:1" ht="18.75" x14ac:dyDescent="0.25">
      <c r="A4585" s="6"/>
    </row>
    <row r="4586" spans="1:1" ht="18.75" x14ac:dyDescent="0.25">
      <c r="A4586" s="6"/>
    </row>
    <row r="4587" spans="1:1" ht="18.75" x14ac:dyDescent="0.25">
      <c r="A4587" s="6"/>
    </row>
    <row r="4588" spans="1:1" ht="18.75" x14ac:dyDescent="0.25">
      <c r="A4588" s="6"/>
    </row>
    <row r="4589" spans="1:1" ht="18.75" x14ac:dyDescent="0.25">
      <c r="A4589" s="6"/>
    </row>
    <row r="4590" spans="1:1" ht="18.75" x14ac:dyDescent="0.25">
      <c r="A4590" s="6"/>
    </row>
    <row r="4591" spans="1:1" ht="18.75" x14ac:dyDescent="0.25">
      <c r="A4591" s="6"/>
    </row>
    <row r="4592" spans="1:1" ht="18.75" x14ac:dyDescent="0.25">
      <c r="A4592" s="6"/>
    </row>
    <row r="4593" spans="1:1" ht="18.75" x14ac:dyDescent="0.25">
      <c r="A4593" s="6"/>
    </row>
    <row r="4594" spans="1:1" ht="18.75" x14ac:dyDescent="0.25">
      <c r="A4594" s="6"/>
    </row>
    <row r="4595" spans="1:1" ht="18.75" x14ac:dyDescent="0.25">
      <c r="A4595" s="6"/>
    </row>
    <row r="4596" spans="1:1" ht="18.75" x14ac:dyDescent="0.25">
      <c r="A4596" s="6"/>
    </row>
    <row r="4597" spans="1:1" ht="18.75" x14ac:dyDescent="0.25">
      <c r="A4597" s="6"/>
    </row>
    <row r="4598" spans="1:1" ht="18.75" x14ac:dyDescent="0.25">
      <c r="A4598" s="6"/>
    </row>
    <row r="4599" spans="1:1" ht="18.75" x14ac:dyDescent="0.25">
      <c r="A4599" s="6"/>
    </row>
    <row r="4600" spans="1:1" ht="18.75" x14ac:dyDescent="0.25">
      <c r="A4600" s="6"/>
    </row>
    <row r="4601" spans="1:1" ht="18.75" x14ac:dyDescent="0.25">
      <c r="A4601" s="6"/>
    </row>
    <row r="4602" spans="1:1" ht="18.75" x14ac:dyDescent="0.25">
      <c r="A4602" s="6"/>
    </row>
    <row r="4603" spans="1:1" ht="18.75" x14ac:dyDescent="0.25">
      <c r="A4603" s="6"/>
    </row>
    <row r="4604" spans="1:1" ht="18.75" x14ac:dyDescent="0.25">
      <c r="A4604" s="6"/>
    </row>
    <row r="4605" spans="1:1" ht="18.75" x14ac:dyDescent="0.25">
      <c r="A4605" s="6"/>
    </row>
    <row r="4606" spans="1:1" ht="18.75" x14ac:dyDescent="0.25">
      <c r="A4606" s="6"/>
    </row>
    <row r="4607" spans="1:1" ht="18.75" x14ac:dyDescent="0.25">
      <c r="A4607" s="6"/>
    </row>
    <row r="4608" spans="1:1" ht="18.75" x14ac:dyDescent="0.25">
      <c r="A4608" s="6"/>
    </row>
    <row r="4609" spans="1:1" ht="18.75" x14ac:dyDescent="0.25">
      <c r="A4609" s="6"/>
    </row>
    <row r="4610" spans="1:1" ht="18.75" x14ac:dyDescent="0.25">
      <c r="A4610" s="6"/>
    </row>
    <row r="4611" spans="1:1" ht="18.75" x14ac:dyDescent="0.25">
      <c r="A4611" s="6"/>
    </row>
    <row r="4612" spans="1:1" ht="18.75" x14ac:dyDescent="0.25">
      <c r="A4612" s="6"/>
    </row>
    <row r="4613" spans="1:1" ht="18.75" x14ac:dyDescent="0.25">
      <c r="A4613" s="6"/>
    </row>
    <row r="4614" spans="1:1" ht="18.75" x14ac:dyDescent="0.25">
      <c r="A4614" s="6"/>
    </row>
    <row r="4615" spans="1:1" ht="18.75" x14ac:dyDescent="0.25">
      <c r="A4615" s="6"/>
    </row>
    <row r="4616" spans="1:1" ht="18.75" x14ac:dyDescent="0.25">
      <c r="A4616" s="6"/>
    </row>
    <row r="4617" spans="1:1" ht="18.75" x14ac:dyDescent="0.25">
      <c r="A4617" s="6"/>
    </row>
    <row r="4618" spans="1:1" ht="18.75" x14ac:dyDescent="0.25">
      <c r="A4618" s="6"/>
    </row>
    <row r="4619" spans="1:1" ht="18.75" x14ac:dyDescent="0.25">
      <c r="A4619" s="6"/>
    </row>
    <row r="4620" spans="1:1" ht="18.75" x14ac:dyDescent="0.25">
      <c r="A4620" s="6"/>
    </row>
    <row r="4621" spans="1:1" ht="18.75" x14ac:dyDescent="0.25">
      <c r="A4621" s="6"/>
    </row>
    <row r="4622" spans="1:1" ht="18.75" x14ac:dyDescent="0.25">
      <c r="A4622" s="6"/>
    </row>
    <row r="4623" spans="1:1" ht="18.75" x14ac:dyDescent="0.25">
      <c r="A4623" s="6"/>
    </row>
    <row r="4624" spans="1:1" ht="18.75" x14ac:dyDescent="0.25">
      <c r="A4624" s="6"/>
    </row>
    <row r="4625" spans="1:1" ht="18.75" x14ac:dyDescent="0.25">
      <c r="A4625" s="6"/>
    </row>
    <row r="4626" spans="1:1" ht="18.75" x14ac:dyDescent="0.25">
      <c r="A4626" s="6"/>
    </row>
    <row r="4627" spans="1:1" ht="18.75" x14ac:dyDescent="0.25">
      <c r="A4627" s="6"/>
    </row>
    <row r="4628" spans="1:1" ht="18.75" x14ac:dyDescent="0.25">
      <c r="A4628" s="6"/>
    </row>
    <row r="4629" spans="1:1" ht="18.75" x14ac:dyDescent="0.25">
      <c r="A4629" s="6"/>
    </row>
    <row r="4630" spans="1:1" ht="18.75" x14ac:dyDescent="0.25">
      <c r="A4630" s="6"/>
    </row>
    <row r="4631" spans="1:1" ht="18.75" x14ac:dyDescent="0.25">
      <c r="A4631" s="6"/>
    </row>
    <row r="4632" spans="1:1" ht="18.75" x14ac:dyDescent="0.25">
      <c r="A4632" s="6"/>
    </row>
    <row r="4633" spans="1:1" ht="18.75" x14ac:dyDescent="0.25">
      <c r="A4633" s="6"/>
    </row>
    <row r="4634" spans="1:1" ht="18.75" x14ac:dyDescent="0.25">
      <c r="A4634" s="6"/>
    </row>
    <row r="4635" spans="1:1" ht="18.75" x14ac:dyDescent="0.25">
      <c r="A4635" s="6"/>
    </row>
    <row r="4636" spans="1:1" ht="18.75" x14ac:dyDescent="0.25">
      <c r="A4636" s="6"/>
    </row>
    <row r="4637" spans="1:1" ht="18.75" x14ac:dyDescent="0.25">
      <c r="A4637" s="6"/>
    </row>
    <row r="4638" spans="1:1" ht="18.75" x14ac:dyDescent="0.25">
      <c r="A4638" s="6"/>
    </row>
    <row r="4639" spans="1:1" ht="18.75" x14ac:dyDescent="0.25">
      <c r="A4639" s="6"/>
    </row>
    <row r="4640" spans="1:1" ht="18.75" x14ac:dyDescent="0.25">
      <c r="A4640" s="6"/>
    </row>
    <row r="4641" spans="1:1" ht="18.75" x14ac:dyDescent="0.25">
      <c r="A4641" s="6"/>
    </row>
    <row r="4642" spans="1:1" ht="18.75" x14ac:dyDescent="0.25">
      <c r="A4642" s="6"/>
    </row>
    <row r="4643" spans="1:1" ht="18.75" x14ac:dyDescent="0.25">
      <c r="A4643" s="6"/>
    </row>
    <row r="4644" spans="1:1" ht="18.75" x14ac:dyDescent="0.25">
      <c r="A4644" s="6"/>
    </row>
    <row r="4645" spans="1:1" ht="18.75" x14ac:dyDescent="0.25">
      <c r="A4645" s="6"/>
    </row>
    <row r="4646" spans="1:1" ht="18.75" x14ac:dyDescent="0.25">
      <c r="A4646" s="6"/>
    </row>
    <row r="4647" spans="1:1" ht="18.75" x14ac:dyDescent="0.25">
      <c r="A4647" s="6"/>
    </row>
    <row r="4648" spans="1:1" ht="18.75" x14ac:dyDescent="0.25">
      <c r="A4648" s="6"/>
    </row>
    <row r="4649" spans="1:1" ht="18.75" x14ac:dyDescent="0.25">
      <c r="A4649" s="6"/>
    </row>
    <row r="4650" spans="1:1" ht="18.75" x14ac:dyDescent="0.25">
      <c r="A4650" s="6"/>
    </row>
    <row r="4651" spans="1:1" ht="18.75" x14ac:dyDescent="0.25">
      <c r="A4651" s="6"/>
    </row>
    <row r="4652" spans="1:1" ht="18.75" x14ac:dyDescent="0.25">
      <c r="A4652" s="6"/>
    </row>
    <row r="4653" spans="1:1" ht="18.75" x14ac:dyDescent="0.25">
      <c r="A4653" s="6"/>
    </row>
    <row r="4654" spans="1:1" ht="18.75" x14ac:dyDescent="0.25">
      <c r="A4654" s="6"/>
    </row>
    <row r="4655" spans="1:1" ht="18.75" x14ac:dyDescent="0.25">
      <c r="A4655" s="6"/>
    </row>
    <row r="4656" spans="1:1" ht="18.75" x14ac:dyDescent="0.25">
      <c r="A4656" s="6"/>
    </row>
    <row r="4657" spans="1:1" ht="18.75" x14ac:dyDescent="0.25">
      <c r="A4657" s="6"/>
    </row>
    <row r="4658" spans="1:1" ht="18.75" x14ac:dyDescent="0.25">
      <c r="A4658" s="6"/>
    </row>
    <row r="4659" spans="1:1" ht="18.75" x14ac:dyDescent="0.25">
      <c r="A4659" s="6"/>
    </row>
    <row r="4660" spans="1:1" ht="18.75" x14ac:dyDescent="0.25">
      <c r="A4660" s="6"/>
    </row>
    <row r="4661" spans="1:1" ht="18.75" x14ac:dyDescent="0.25">
      <c r="A4661" s="6"/>
    </row>
    <row r="4662" spans="1:1" ht="18.75" x14ac:dyDescent="0.25">
      <c r="A4662" s="6"/>
    </row>
    <row r="4663" spans="1:1" ht="18.75" x14ac:dyDescent="0.25">
      <c r="A4663" s="6"/>
    </row>
    <row r="4664" spans="1:1" ht="18.75" x14ac:dyDescent="0.25">
      <c r="A4664" s="6"/>
    </row>
    <row r="4665" spans="1:1" ht="18.75" x14ac:dyDescent="0.25">
      <c r="A4665" s="6"/>
    </row>
    <row r="4666" spans="1:1" ht="18.75" x14ac:dyDescent="0.25">
      <c r="A4666" s="6"/>
    </row>
    <row r="4667" spans="1:1" ht="18.75" x14ac:dyDescent="0.25">
      <c r="A4667" s="6"/>
    </row>
    <row r="4668" spans="1:1" ht="18.75" x14ac:dyDescent="0.25">
      <c r="A4668" s="6"/>
    </row>
    <row r="4669" spans="1:1" ht="18.75" x14ac:dyDescent="0.25">
      <c r="A4669" s="6"/>
    </row>
    <row r="4670" spans="1:1" ht="18.75" x14ac:dyDescent="0.25">
      <c r="A4670" s="6"/>
    </row>
    <row r="4671" spans="1:1" ht="18.75" x14ac:dyDescent="0.25">
      <c r="A4671" s="6"/>
    </row>
    <row r="4672" spans="1:1" ht="18.75" x14ac:dyDescent="0.25">
      <c r="A4672" s="6"/>
    </row>
    <row r="4673" spans="1:1" ht="18.75" x14ac:dyDescent="0.25">
      <c r="A4673" s="6"/>
    </row>
    <row r="4674" spans="1:1" ht="18.75" x14ac:dyDescent="0.25">
      <c r="A4674" s="6"/>
    </row>
    <row r="4675" spans="1:1" ht="18.75" x14ac:dyDescent="0.25">
      <c r="A4675" s="6"/>
    </row>
    <row r="4676" spans="1:1" ht="18.75" x14ac:dyDescent="0.25">
      <c r="A4676" s="6"/>
    </row>
    <row r="4677" spans="1:1" ht="18.75" x14ac:dyDescent="0.25">
      <c r="A4677" s="6"/>
    </row>
    <row r="4678" spans="1:1" ht="18.75" x14ac:dyDescent="0.25">
      <c r="A4678" s="6"/>
    </row>
    <row r="4679" spans="1:1" ht="18.75" x14ac:dyDescent="0.25">
      <c r="A4679" s="6"/>
    </row>
    <row r="4680" spans="1:1" ht="18.75" x14ac:dyDescent="0.25">
      <c r="A4680" s="6"/>
    </row>
    <row r="4681" spans="1:1" ht="18.75" x14ac:dyDescent="0.25">
      <c r="A4681" s="6"/>
    </row>
    <row r="4682" spans="1:1" ht="18.75" x14ac:dyDescent="0.25">
      <c r="A4682" s="6"/>
    </row>
    <row r="4683" spans="1:1" ht="18.75" x14ac:dyDescent="0.25">
      <c r="A4683" s="6"/>
    </row>
    <row r="4684" spans="1:1" ht="18.75" x14ac:dyDescent="0.25">
      <c r="A4684" s="6"/>
    </row>
    <row r="4685" spans="1:1" ht="18.75" x14ac:dyDescent="0.25">
      <c r="A4685" s="6"/>
    </row>
    <row r="4686" spans="1:1" ht="18.75" x14ac:dyDescent="0.25">
      <c r="A4686" s="6"/>
    </row>
    <row r="4687" spans="1:1" ht="18.75" x14ac:dyDescent="0.25">
      <c r="A4687" s="6"/>
    </row>
    <row r="4688" spans="1:1" ht="18.75" x14ac:dyDescent="0.25">
      <c r="A4688" s="6"/>
    </row>
    <row r="4689" spans="1:1" ht="18.75" x14ac:dyDescent="0.25">
      <c r="A4689" s="6"/>
    </row>
    <row r="4690" spans="1:1" ht="18.75" x14ac:dyDescent="0.25">
      <c r="A4690" s="6"/>
    </row>
    <row r="4691" spans="1:1" ht="18.75" x14ac:dyDescent="0.25">
      <c r="A4691" s="6"/>
    </row>
    <row r="4692" spans="1:1" ht="18.75" x14ac:dyDescent="0.25">
      <c r="A4692" s="6"/>
    </row>
    <row r="4693" spans="1:1" ht="18.75" x14ac:dyDescent="0.25">
      <c r="A4693" s="6"/>
    </row>
    <row r="4694" spans="1:1" ht="18.75" x14ac:dyDescent="0.25">
      <c r="A4694" s="6"/>
    </row>
    <row r="4695" spans="1:1" ht="18.75" x14ac:dyDescent="0.25">
      <c r="A4695" s="6"/>
    </row>
    <row r="4696" spans="1:1" ht="18.75" x14ac:dyDescent="0.25">
      <c r="A4696" s="6"/>
    </row>
    <row r="4697" spans="1:1" ht="18.75" x14ac:dyDescent="0.25">
      <c r="A4697" s="6"/>
    </row>
    <row r="4698" spans="1:1" ht="18.75" x14ac:dyDescent="0.25">
      <c r="A4698" s="6"/>
    </row>
    <row r="4699" spans="1:1" ht="18.75" x14ac:dyDescent="0.25">
      <c r="A4699" s="6"/>
    </row>
    <row r="4700" spans="1:1" ht="18.75" x14ac:dyDescent="0.25">
      <c r="A4700" s="6"/>
    </row>
    <row r="4701" spans="1:1" ht="18.75" x14ac:dyDescent="0.25">
      <c r="A4701" s="6"/>
    </row>
    <row r="4702" spans="1:1" ht="18.75" x14ac:dyDescent="0.25">
      <c r="A4702" s="6"/>
    </row>
    <row r="4703" spans="1:1" ht="18.75" x14ac:dyDescent="0.25">
      <c r="A4703" s="6"/>
    </row>
    <row r="4704" spans="1:1" ht="18.75" x14ac:dyDescent="0.25">
      <c r="A4704" s="6"/>
    </row>
    <row r="4705" spans="1:1" ht="18.75" x14ac:dyDescent="0.25">
      <c r="A4705" s="6"/>
    </row>
    <row r="4706" spans="1:1" ht="18.75" x14ac:dyDescent="0.25">
      <c r="A4706" s="6"/>
    </row>
    <row r="4707" spans="1:1" ht="18.75" x14ac:dyDescent="0.25">
      <c r="A4707" s="6"/>
    </row>
    <row r="4708" spans="1:1" ht="18.75" x14ac:dyDescent="0.25">
      <c r="A4708" s="6"/>
    </row>
    <row r="4709" spans="1:1" ht="18.75" x14ac:dyDescent="0.25">
      <c r="A4709" s="6"/>
    </row>
    <row r="4710" spans="1:1" ht="18.75" x14ac:dyDescent="0.25">
      <c r="A4710" s="6"/>
    </row>
    <row r="4711" spans="1:1" ht="18.75" x14ac:dyDescent="0.25">
      <c r="A4711" s="6"/>
    </row>
    <row r="4712" spans="1:1" ht="18.75" x14ac:dyDescent="0.25">
      <c r="A4712" s="6"/>
    </row>
    <row r="4713" spans="1:1" ht="18.75" x14ac:dyDescent="0.25">
      <c r="A4713" s="6"/>
    </row>
    <row r="4714" spans="1:1" ht="18.75" x14ac:dyDescent="0.25">
      <c r="A4714" s="6"/>
    </row>
    <row r="4715" spans="1:1" ht="18.75" x14ac:dyDescent="0.25">
      <c r="A4715" s="6"/>
    </row>
    <row r="4716" spans="1:1" ht="18.75" x14ac:dyDescent="0.25">
      <c r="A4716" s="6"/>
    </row>
    <row r="4717" spans="1:1" ht="18.75" x14ac:dyDescent="0.25">
      <c r="A4717" s="6"/>
    </row>
    <row r="4718" spans="1:1" ht="18.75" x14ac:dyDescent="0.25">
      <c r="A4718" s="6"/>
    </row>
    <row r="4719" spans="1:1" ht="18.75" x14ac:dyDescent="0.25">
      <c r="A4719" s="6"/>
    </row>
    <row r="4720" spans="1:1" ht="18.75" x14ac:dyDescent="0.25">
      <c r="A4720" s="6"/>
    </row>
    <row r="4721" spans="1:1" ht="18.75" x14ac:dyDescent="0.25">
      <c r="A4721" s="6"/>
    </row>
    <row r="4722" spans="1:1" ht="18.75" x14ac:dyDescent="0.25">
      <c r="A4722" s="6"/>
    </row>
    <row r="4723" spans="1:1" ht="18.75" x14ac:dyDescent="0.25">
      <c r="A4723" s="6"/>
    </row>
    <row r="4724" spans="1:1" ht="18.75" x14ac:dyDescent="0.25">
      <c r="A4724" s="6"/>
    </row>
    <row r="4725" spans="1:1" ht="18.75" x14ac:dyDescent="0.25">
      <c r="A4725" s="6"/>
    </row>
    <row r="4726" spans="1:1" ht="18.75" x14ac:dyDescent="0.25">
      <c r="A4726" s="6"/>
    </row>
    <row r="4727" spans="1:1" ht="18.75" x14ac:dyDescent="0.25">
      <c r="A4727" s="6"/>
    </row>
    <row r="4728" spans="1:1" ht="18.75" x14ac:dyDescent="0.25">
      <c r="A4728" s="6"/>
    </row>
    <row r="4729" spans="1:1" ht="18.75" x14ac:dyDescent="0.25">
      <c r="A4729" s="6"/>
    </row>
    <row r="4730" spans="1:1" ht="18.75" x14ac:dyDescent="0.25">
      <c r="A4730" s="6"/>
    </row>
    <row r="4731" spans="1:1" ht="18.75" x14ac:dyDescent="0.25">
      <c r="A4731" s="6"/>
    </row>
    <row r="4732" spans="1:1" ht="18.75" x14ac:dyDescent="0.25">
      <c r="A4732" s="6"/>
    </row>
    <row r="4733" spans="1:1" ht="18.75" x14ac:dyDescent="0.25">
      <c r="A4733" s="6"/>
    </row>
    <row r="4734" spans="1:1" ht="18.75" x14ac:dyDescent="0.25">
      <c r="A4734" s="6"/>
    </row>
    <row r="4735" spans="1:1" ht="18.75" x14ac:dyDescent="0.25">
      <c r="A4735" s="6"/>
    </row>
    <row r="4736" spans="1:1" ht="18.75" x14ac:dyDescent="0.25">
      <c r="A4736" s="6"/>
    </row>
    <row r="4737" spans="1:1" ht="18.75" x14ac:dyDescent="0.25">
      <c r="A4737" s="6"/>
    </row>
    <row r="4738" spans="1:1" ht="18.75" x14ac:dyDescent="0.25">
      <c r="A4738" s="6"/>
    </row>
    <row r="4739" spans="1:1" ht="18.75" x14ac:dyDescent="0.25">
      <c r="A4739" s="6"/>
    </row>
    <row r="4740" spans="1:1" ht="18.75" x14ac:dyDescent="0.25">
      <c r="A4740" s="6"/>
    </row>
    <row r="4741" spans="1:1" ht="18.75" x14ac:dyDescent="0.25">
      <c r="A4741" s="6"/>
    </row>
    <row r="4742" spans="1:1" ht="18.75" x14ac:dyDescent="0.25">
      <c r="A4742" s="6"/>
    </row>
    <row r="4743" spans="1:1" ht="18.75" x14ac:dyDescent="0.25">
      <c r="A4743" s="6"/>
    </row>
    <row r="4744" spans="1:1" ht="18.75" x14ac:dyDescent="0.25">
      <c r="A4744" s="6"/>
    </row>
    <row r="4745" spans="1:1" ht="18.75" x14ac:dyDescent="0.25">
      <c r="A4745" s="6"/>
    </row>
    <row r="4746" spans="1:1" ht="18.75" x14ac:dyDescent="0.25">
      <c r="A4746" s="6"/>
    </row>
    <row r="4747" spans="1:1" ht="18.75" x14ac:dyDescent="0.25">
      <c r="A4747" s="6"/>
    </row>
    <row r="4748" spans="1:1" ht="18.75" x14ac:dyDescent="0.25">
      <c r="A4748" s="6"/>
    </row>
    <row r="4749" spans="1:1" ht="18.75" x14ac:dyDescent="0.25">
      <c r="A4749" s="6"/>
    </row>
    <row r="4750" spans="1:1" ht="18.75" x14ac:dyDescent="0.25">
      <c r="A4750" s="6"/>
    </row>
    <row r="4751" spans="1:1" ht="18.75" x14ac:dyDescent="0.25">
      <c r="A4751" s="6"/>
    </row>
    <row r="4752" spans="1:1" ht="18.75" x14ac:dyDescent="0.25">
      <c r="A4752" s="6"/>
    </row>
    <row r="4753" spans="1:1" ht="18.75" x14ac:dyDescent="0.25">
      <c r="A4753" s="6"/>
    </row>
    <row r="4754" spans="1:1" ht="18.75" x14ac:dyDescent="0.25">
      <c r="A4754" s="6"/>
    </row>
    <row r="4755" spans="1:1" ht="18.75" x14ac:dyDescent="0.25">
      <c r="A4755" s="6"/>
    </row>
    <row r="4756" spans="1:1" ht="18.75" x14ac:dyDescent="0.25">
      <c r="A4756" s="6"/>
    </row>
    <row r="4757" spans="1:1" ht="18.75" x14ac:dyDescent="0.25">
      <c r="A4757" s="6"/>
    </row>
    <row r="4758" spans="1:1" ht="18.75" x14ac:dyDescent="0.25">
      <c r="A4758" s="6"/>
    </row>
    <row r="4759" spans="1:1" ht="18.75" x14ac:dyDescent="0.25">
      <c r="A4759" s="6"/>
    </row>
    <row r="4760" spans="1:1" ht="18.75" x14ac:dyDescent="0.25">
      <c r="A4760" s="6"/>
    </row>
    <row r="4761" spans="1:1" ht="18.75" x14ac:dyDescent="0.25">
      <c r="A4761" s="6"/>
    </row>
    <row r="4762" spans="1:1" ht="18.75" x14ac:dyDescent="0.25">
      <c r="A4762" s="6"/>
    </row>
    <row r="4763" spans="1:1" ht="18.75" x14ac:dyDescent="0.25">
      <c r="A4763" s="6"/>
    </row>
    <row r="4764" spans="1:1" ht="18.75" x14ac:dyDescent="0.25">
      <c r="A4764" s="6"/>
    </row>
    <row r="4765" spans="1:1" ht="18.75" x14ac:dyDescent="0.25">
      <c r="A4765" s="6"/>
    </row>
    <row r="4766" spans="1:1" ht="18.75" x14ac:dyDescent="0.25">
      <c r="A4766" s="6"/>
    </row>
    <row r="4767" spans="1:1" ht="18.75" x14ac:dyDescent="0.25">
      <c r="A4767" s="6"/>
    </row>
    <row r="4768" spans="1:1" ht="18.75" x14ac:dyDescent="0.25">
      <c r="A4768" s="6"/>
    </row>
    <row r="4769" spans="1:1" ht="18.75" x14ac:dyDescent="0.25">
      <c r="A4769" s="6"/>
    </row>
    <row r="4770" spans="1:1" ht="18.75" x14ac:dyDescent="0.25">
      <c r="A4770" s="6"/>
    </row>
    <row r="4771" spans="1:1" ht="18.75" x14ac:dyDescent="0.25">
      <c r="A4771" s="6"/>
    </row>
    <row r="4772" spans="1:1" ht="18.75" x14ac:dyDescent="0.25">
      <c r="A4772" s="6"/>
    </row>
    <row r="4773" spans="1:1" ht="18.75" x14ac:dyDescent="0.25">
      <c r="A4773" s="6"/>
    </row>
    <row r="4774" spans="1:1" ht="18.75" x14ac:dyDescent="0.25">
      <c r="A4774" s="6"/>
    </row>
    <row r="4775" spans="1:1" ht="18.75" x14ac:dyDescent="0.25">
      <c r="A4775" s="6"/>
    </row>
    <row r="4776" spans="1:1" ht="18.75" x14ac:dyDescent="0.25">
      <c r="A4776" s="6"/>
    </row>
    <row r="4777" spans="1:1" ht="18.75" x14ac:dyDescent="0.25">
      <c r="A4777" s="6"/>
    </row>
    <row r="4778" spans="1:1" ht="18.75" x14ac:dyDescent="0.25">
      <c r="A4778" s="6"/>
    </row>
    <row r="4779" spans="1:1" ht="18.75" x14ac:dyDescent="0.25">
      <c r="A4779" s="6"/>
    </row>
    <row r="4780" spans="1:1" ht="18.75" x14ac:dyDescent="0.25">
      <c r="A4780" s="6"/>
    </row>
    <row r="4781" spans="1:1" ht="18.75" x14ac:dyDescent="0.25">
      <c r="A4781" s="6"/>
    </row>
    <row r="4782" spans="1:1" ht="18.75" x14ac:dyDescent="0.25">
      <c r="A4782" s="6"/>
    </row>
    <row r="4783" spans="1:1" ht="18.75" x14ac:dyDescent="0.25">
      <c r="A4783" s="6"/>
    </row>
    <row r="4784" spans="1:1" ht="18.75" x14ac:dyDescent="0.25">
      <c r="A4784" s="6"/>
    </row>
    <row r="4785" spans="1:1" ht="18.75" x14ac:dyDescent="0.25">
      <c r="A4785" s="6"/>
    </row>
    <row r="4786" spans="1:1" ht="18.75" x14ac:dyDescent="0.25">
      <c r="A4786" s="6"/>
    </row>
    <row r="4787" spans="1:1" ht="18.75" x14ac:dyDescent="0.25">
      <c r="A4787" s="6"/>
    </row>
    <row r="4788" spans="1:1" ht="18.75" x14ac:dyDescent="0.25">
      <c r="A4788" s="6"/>
    </row>
    <row r="4789" spans="1:1" ht="18.75" x14ac:dyDescent="0.25">
      <c r="A4789" s="6"/>
    </row>
    <row r="4790" spans="1:1" ht="18.75" x14ac:dyDescent="0.25">
      <c r="A4790" s="6"/>
    </row>
    <row r="4791" spans="1:1" ht="18.75" x14ac:dyDescent="0.25">
      <c r="A4791" s="6"/>
    </row>
    <row r="4792" spans="1:1" ht="18.75" x14ac:dyDescent="0.25">
      <c r="A4792" s="6"/>
    </row>
    <row r="4793" spans="1:1" ht="18.75" x14ac:dyDescent="0.25">
      <c r="A4793" s="6"/>
    </row>
    <row r="4794" spans="1:1" ht="18.75" x14ac:dyDescent="0.25">
      <c r="A4794" s="6"/>
    </row>
    <row r="4795" spans="1:1" ht="18.75" x14ac:dyDescent="0.25">
      <c r="A4795" s="6"/>
    </row>
    <row r="4796" spans="1:1" ht="18.75" x14ac:dyDescent="0.25">
      <c r="A4796" s="6"/>
    </row>
    <row r="4797" spans="1:1" ht="18.75" x14ac:dyDescent="0.25">
      <c r="A4797" s="6"/>
    </row>
    <row r="4798" spans="1:1" ht="18.75" x14ac:dyDescent="0.25">
      <c r="A4798" s="6"/>
    </row>
    <row r="4799" spans="1:1" ht="18.75" x14ac:dyDescent="0.25">
      <c r="A4799" s="6"/>
    </row>
    <row r="4800" spans="1:1" ht="18.75" x14ac:dyDescent="0.25">
      <c r="A4800" s="6"/>
    </row>
    <row r="4801" spans="1:1" ht="18.75" x14ac:dyDescent="0.25">
      <c r="A4801" s="6"/>
    </row>
    <row r="4802" spans="1:1" ht="18.75" x14ac:dyDescent="0.25">
      <c r="A4802" s="6"/>
    </row>
    <row r="4803" spans="1:1" ht="18.75" x14ac:dyDescent="0.25">
      <c r="A4803" s="6"/>
    </row>
    <row r="4804" spans="1:1" ht="18.75" x14ac:dyDescent="0.25">
      <c r="A4804" s="6"/>
    </row>
    <row r="4805" spans="1:1" ht="18.75" x14ac:dyDescent="0.25">
      <c r="A4805" s="6"/>
    </row>
    <row r="4806" spans="1:1" ht="18.75" x14ac:dyDescent="0.25">
      <c r="A4806" s="6"/>
    </row>
    <row r="4807" spans="1:1" ht="18.75" x14ac:dyDescent="0.25">
      <c r="A4807" s="6"/>
    </row>
    <row r="4808" spans="1:1" ht="18.75" x14ac:dyDescent="0.25">
      <c r="A4808" s="6"/>
    </row>
    <row r="4809" spans="1:1" ht="18.75" x14ac:dyDescent="0.25">
      <c r="A4809" s="6"/>
    </row>
    <row r="4810" spans="1:1" ht="18.75" x14ac:dyDescent="0.25">
      <c r="A4810" s="6"/>
    </row>
    <row r="4811" spans="1:1" ht="18.75" x14ac:dyDescent="0.25">
      <c r="A4811" s="6"/>
    </row>
    <row r="4812" spans="1:1" ht="18.75" x14ac:dyDescent="0.25">
      <c r="A4812" s="6"/>
    </row>
    <row r="4813" spans="1:1" ht="18.75" x14ac:dyDescent="0.25">
      <c r="A4813" s="6"/>
    </row>
    <row r="4814" spans="1:1" ht="18.75" x14ac:dyDescent="0.25">
      <c r="A4814" s="6"/>
    </row>
    <row r="4815" spans="1:1" ht="18.75" x14ac:dyDescent="0.25">
      <c r="A4815" s="6"/>
    </row>
    <row r="4816" spans="1:1" ht="18.75" x14ac:dyDescent="0.25">
      <c r="A4816" s="6"/>
    </row>
    <row r="4817" spans="1:1" ht="18.75" x14ac:dyDescent="0.25">
      <c r="A4817" s="6"/>
    </row>
    <row r="4818" spans="1:1" ht="18.75" x14ac:dyDescent="0.25">
      <c r="A4818" s="6"/>
    </row>
    <row r="4819" spans="1:1" ht="18.75" x14ac:dyDescent="0.25">
      <c r="A4819" s="6"/>
    </row>
    <row r="4820" spans="1:1" ht="18.75" x14ac:dyDescent="0.25">
      <c r="A4820" s="6"/>
    </row>
    <row r="4821" spans="1:1" ht="18.75" x14ac:dyDescent="0.25">
      <c r="A4821" s="6"/>
    </row>
    <row r="4822" spans="1:1" ht="18.75" x14ac:dyDescent="0.25">
      <c r="A4822" s="6"/>
    </row>
    <row r="4823" spans="1:1" ht="18.75" x14ac:dyDescent="0.25">
      <c r="A4823" s="6"/>
    </row>
    <row r="4824" spans="1:1" ht="18.75" x14ac:dyDescent="0.25">
      <c r="A4824" s="6"/>
    </row>
    <row r="4825" spans="1:1" ht="18.75" x14ac:dyDescent="0.25">
      <c r="A4825" s="6"/>
    </row>
    <row r="4826" spans="1:1" ht="18.75" x14ac:dyDescent="0.25">
      <c r="A4826" s="6"/>
    </row>
    <row r="4827" spans="1:1" ht="18.75" x14ac:dyDescent="0.25">
      <c r="A4827" s="6"/>
    </row>
    <row r="4828" spans="1:1" ht="18.75" x14ac:dyDescent="0.25">
      <c r="A4828" s="6"/>
    </row>
    <row r="4829" spans="1:1" ht="18.75" x14ac:dyDescent="0.25">
      <c r="A4829" s="6"/>
    </row>
    <row r="4830" spans="1:1" ht="18.75" x14ac:dyDescent="0.25">
      <c r="A4830" s="6"/>
    </row>
    <row r="4831" spans="1:1" ht="18.75" x14ac:dyDescent="0.25">
      <c r="A4831" s="6"/>
    </row>
    <row r="4832" spans="1:1" ht="18.75" x14ac:dyDescent="0.25">
      <c r="A4832" s="6"/>
    </row>
    <row r="4833" spans="1:1" ht="18.75" x14ac:dyDescent="0.25">
      <c r="A4833" s="6"/>
    </row>
    <row r="4834" spans="1:1" ht="18.75" x14ac:dyDescent="0.25">
      <c r="A4834" s="6"/>
    </row>
    <row r="4835" spans="1:1" ht="18.75" x14ac:dyDescent="0.25">
      <c r="A4835" s="6"/>
    </row>
    <row r="4836" spans="1:1" ht="18.75" x14ac:dyDescent="0.25">
      <c r="A4836" s="6"/>
    </row>
    <row r="4837" spans="1:1" ht="18.75" x14ac:dyDescent="0.25">
      <c r="A4837" s="6"/>
    </row>
    <row r="4838" spans="1:1" ht="18.75" x14ac:dyDescent="0.25">
      <c r="A4838" s="6"/>
    </row>
    <row r="4839" spans="1:1" ht="18.75" x14ac:dyDescent="0.25">
      <c r="A4839" s="6"/>
    </row>
    <row r="4840" spans="1:1" ht="18.75" x14ac:dyDescent="0.25">
      <c r="A4840" s="6"/>
    </row>
    <row r="4841" spans="1:1" ht="18.75" x14ac:dyDescent="0.25">
      <c r="A4841" s="6"/>
    </row>
    <row r="4842" spans="1:1" ht="18.75" x14ac:dyDescent="0.25">
      <c r="A4842" s="6"/>
    </row>
    <row r="4843" spans="1:1" ht="18.75" x14ac:dyDescent="0.25">
      <c r="A4843" s="6"/>
    </row>
    <row r="4844" spans="1:1" ht="18.75" x14ac:dyDescent="0.25">
      <c r="A4844" s="6"/>
    </row>
    <row r="4845" spans="1:1" ht="18.75" x14ac:dyDescent="0.25">
      <c r="A4845" s="6"/>
    </row>
    <row r="4846" spans="1:1" ht="18.75" x14ac:dyDescent="0.25">
      <c r="A4846" s="6"/>
    </row>
    <row r="4847" spans="1:1" ht="18.75" x14ac:dyDescent="0.25">
      <c r="A4847" s="6"/>
    </row>
    <row r="4848" spans="1:1" ht="18.75" x14ac:dyDescent="0.25">
      <c r="A4848" s="6"/>
    </row>
    <row r="4849" spans="1:1" ht="18.75" x14ac:dyDescent="0.25">
      <c r="A4849" s="6"/>
    </row>
    <row r="4850" spans="1:1" ht="18.75" x14ac:dyDescent="0.25">
      <c r="A4850" s="6"/>
    </row>
    <row r="4851" spans="1:1" ht="18.75" x14ac:dyDescent="0.25">
      <c r="A4851" s="6"/>
    </row>
    <row r="4852" spans="1:1" ht="18.75" x14ac:dyDescent="0.25">
      <c r="A4852" s="6"/>
    </row>
    <row r="4853" spans="1:1" ht="18.75" x14ac:dyDescent="0.25">
      <c r="A4853" s="6"/>
    </row>
    <row r="4854" spans="1:1" ht="18.75" x14ac:dyDescent="0.25">
      <c r="A4854" s="6"/>
    </row>
    <row r="4855" spans="1:1" ht="18.75" x14ac:dyDescent="0.25">
      <c r="A4855" s="6"/>
    </row>
    <row r="4856" spans="1:1" ht="18.75" x14ac:dyDescent="0.25">
      <c r="A4856" s="6"/>
    </row>
    <row r="4857" spans="1:1" ht="18.75" x14ac:dyDescent="0.25">
      <c r="A4857" s="6"/>
    </row>
    <row r="4858" spans="1:1" ht="18.75" x14ac:dyDescent="0.25">
      <c r="A4858" s="6"/>
    </row>
    <row r="4859" spans="1:1" ht="18.75" x14ac:dyDescent="0.25">
      <c r="A4859" s="6"/>
    </row>
    <row r="4860" spans="1:1" ht="18.75" x14ac:dyDescent="0.25">
      <c r="A4860" s="6"/>
    </row>
    <row r="4861" spans="1:1" ht="18.75" x14ac:dyDescent="0.25">
      <c r="A4861" s="6"/>
    </row>
    <row r="4862" spans="1:1" ht="18.75" x14ac:dyDescent="0.25">
      <c r="A4862" s="6"/>
    </row>
    <row r="4863" spans="1:1" ht="18.75" x14ac:dyDescent="0.25">
      <c r="A4863" s="6"/>
    </row>
    <row r="4864" spans="1:1" ht="18.75" x14ac:dyDescent="0.25">
      <c r="A4864" s="6"/>
    </row>
    <row r="4865" spans="1:1" ht="18.75" x14ac:dyDescent="0.25">
      <c r="A4865" s="6"/>
    </row>
    <row r="4866" spans="1:1" ht="18.75" x14ac:dyDescent="0.25">
      <c r="A4866" s="6"/>
    </row>
    <row r="4867" spans="1:1" ht="18.75" x14ac:dyDescent="0.25">
      <c r="A4867" s="6"/>
    </row>
    <row r="4868" spans="1:1" ht="18.75" x14ac:dyDescent="0.25">
      <c r="A4868" s="6"/>
    </row>
    <row r="4869" spans="1:1" ht="18.75" x14ac:dyDescent="0.25">
      <c r="A4869" s="6"/>
    </row>
    <row r="4870" spans="1:1" ht="18.75" x14ac:dyDescent="0.25">
      <c r="A4870" s="6"/>
    </row>
    <row r="4871" spans="1:1" ht="18.75" x14ac:dyDescent="0.25">
      <c r="A4871" s="6"/>
    </row>
    <row r="4872" spans="1:1" ht="18.75" x14ac:dyDescent="0.25">
      <c r="A4872" s="6"/>
    </row>
    <row r="4873" spans="1:1" ht="18.75" x14ac:dyDescent="0.25">
      <c r="A4873" s="6"/>
    </row>
    <row r="4874" spans="1:1" ht="18.75" x14ac:dyDescent="0.25">
      <c r="A4874" s="6"/>
    </row>
    <row r="4875" spans="1:1" ht="18.75" x14ac:dyDescent="0.25">
      <c r="A4875" s="6"/>
    </row>
    <row r="4876" spans="1:1" ht="18.75" x14ac:dyDescent="0.25">
      <c r="A4876" s="6"/>
    </row>
    <row r="4877" spans="1:1" ht="18.75" x14ac:dyDescent="0.25">
      <c r="A4877" s="6"/>
    </row>
    <row r="4878" spans="1:1" ht="18.75" x14ac:dyDescent="0.25">
      <c r="A4878" s="6"/>
    </row>
    <row r="4879" spans="1:1" ht="18.75" x14ac:dyDescent="0.25">
      <c r="A4879" s="6"/>
    </row>
    <row r="4880" spans="1:1" ht="18.75" x14ac:dyDescent="0.25">
      <c r="A4880" s="6"/>
    </row>
    <row r="4881" spans="1:1" ht="18.75" x14ac:dyDescent="0.25">
      <c r="A4881" s="6"/>
    </row>
    <row r="4882" spans="1:1" ht="18.75" x14ac:dyDescent="0.25">
      <c r="A4882" s="6"/>
    </row>
    <row r="4883" spans="1:1" ht="18.75" x14ac:dyDescent="0.25">
      <c r="A4883" s="6"/>
    </row>
    <row r="4884" spans="1:1" ht="18.75" x14ac:dyDescent="0.25">
      <c r="A4884" s="6"/>
    </row>
    <row r="4885" spans="1:1" ht="18.75" x14ac:dyDescent="0.25">
      <c r="A4885" s="6"/>
    </row>
    <row r="4886" spans="1:1" ht="18.75" x14ac:dyDescent="0.25">
      <c r="A4886" s="6"/>
    </row>
    <row r="4887" spans="1:1" ht="18.75" x14ac:dyDescent="0.25">
      <c r="A4887" s="6"/>
    </row>
    <row r="4888" spans="1:1" ht="18.75" x14ac:dyDescent="0.25">
      <c r="A4888" s="6"/>
    </row>
    <row r="4889" spans="1:1" ht="18.75" x14ac:dyDescent="0.25">
      <c r="A4889" s="6"/>
    </row>
    <row r="4890" spans="1:1" ht="18.75" x14ac:dyDescent="0.25">
      <c r="A4890" s="6"/>
    </row>
    <row r="4891" spans="1:1" ht="18.75" x14ac:dyDescent="0.25">
      <c r="A4891" s="6"/>
    </row>
    <row r="4892" spans="1:1" ht="18.75" x14ac:dyDescent="0.25">
      <c r="A4892" s="6"/>
    </row>
    <row r="4893" spans="1:1" ht="18.75" x14ac:dyDescent="0.25">
      <c r="A4893" s="6"/>
    </row>
    <row r="4894" spans="1:1" ht="18.75" x14ac:dyDescent="0.25">
      <c r="A4894" s="6"/>
    </row>
    <row r="4895" spans="1:1" ht="18.75" x14ac:dyDescent="0.25">
      <c r="A4895" s="6"/>
    </row>
    <row r="4896" spans="1:1" ht="18.75" x14ac:dyDescent="0.25">
      <c r="A4896" s="6"/>
    </row>
    <row r="4897" spans="1:1" ht="18.75" x14ac:dyDescent="0.25">
      <c r="A4897" s="6"/>
    </row>
    <row r="4898" spans="1:1" ht="18.75" x14ac:dyDescent="0.25">
      <c r="A4898" s="6"/>
    </row>
    <row r="4899" spans="1:1" ht="18.75" x14ac:dyDescent="0.25">
      <c r="A4899" s="6"/>
    </row>
    <row r="4900" spans="1:1" ht="18.75" x14ac:dyDescent="0.25">
      <c r="A4900" s="6"/>
    </row>
    <row r="4901" spans="1:1" ht="18.75" x14ac:dyDescent="0.25">
      <c r="A4901" s="6"/>
    </row>
    <row r="4902" spans="1:1" ht="18.75" x14ac:dyDescent="0.25">
      <c r="A4902" s="6"/>
    </row>
    <row r="4903" spans="1:1" ht="18.75" x14ac:dyDescent="0.25">
      <c r="A4903" s="6"/>
    </row>
    <row r="4904" spans="1:1" ht="18.75" x14ac:dyDescent="0.25">
      <c r="A4904" s="6"/>
    </row>
    <row r="4905" spans="1:1" ht="18.75" x14ac:dyDescent="0.25">
      <c r="A4905" s="6"/>
    </row>
    <row r="4906" spans="1:1" ht="18.75" x14ac:dyDescent="0.25">
      <c r="A4906" s="6"/>
    </row>
    <row r="4907" spans="1:1" ht="18.75" x14ac:dyDescent="0.25">
      <c r="A4907" s="6"/>
    </row>
    <row r="4908" spans="1:1" ht="18.75" x14ac:dyDescent="0.25">
      <c r="A4908" s="6"/>
    </row>
    <row r="4909" spans="1:1" ht="18.75" x14ac:dyDescent="0.25">
      <c r="A4909" s="6"/>
    </row>
    <row r="4910" spans="1:1" ht="18.75" x14ac:dyDescent="0.25">
      <c r="A4910" s="6"/>
    </row>
    <row r="4911" spans="1:1" ht="18.75" x14ac:dyDescent="0.25">
      <c r="A4911" s="6"/>
    </row>
    <row r="4912" spans="1:1" ht="18.75" x14ac:dyDescent="0.25">
      <c r="A4912" s="6"/>
    </row>
    <row r="4913" spans="1:1" ht="18.75" x14ac:dyDescent="0.25">
      <c r="A4913" s="6"/>
    </row>
    <row r="4914" spans="1:1" ht="18.75" x14ac:dyDescent="0.25">
      <c r="A4914" s="6"/>
    </row>
    <row r="4915" spans="1:1" ht="18.75" x14ac:dyDescent="0.25">
      <c r="A4915" s="6"/>
    </row>
    <row r="4916" spans="1:1" ht="18.75" x14ac:dyDescent="0.25">
      <c r="A4916" s="6"/>
    </row>
    <row r="4917" spans="1:1" ht="18.75" x14ac:dyDescent="0.25">
      <c r="A4917" s="6"/>
    </row>
    <row r="4918" spans="1:1" ht="18.75" x14ac:dyDescent="0.25">
      <c r="A4918" s="6"/>
    </row>
    <row r="4919" spans="1:1" ht="18.75" x14ac:dyDescent="0.25">
      <c r="A4919" s="6"/>
    </row>
    <row r="4920" spans="1:1" ht="18.75" x14ac:dyDescent="0.25">
      <c r="A4920" s="6"/>
    </row>
    <row r="4921" spans="1:1" ht="18.75" x14ac:dyDescent="0.25">
      <c r="A4921" s="6"/>
    </row>
    <row r="4922" spans="1:1" ht="18.75" x14ac:dyDescent="0.25">
      <c r="A4922" s="6"/>
    </row>
    <row r="4923" spans="1:1" ht="18.75" x14ac:dyDescent="0.25">
      <c r="A4923" s="6"/>
    </row>
    <row r="4924" spans="1:1" ht="18.75" x14ac:dyDescent="0.25">
      <c r="A4924" s="6"/>
    </row>
    <row r="4925" spans="1:1" ht="18.75" x14ac:dyDescent="0.25">
      <c r="A4925" s="6"/>
    </row>
    <row r="4926" spans="1:1" ht="18.75" x14ac:dyDescent="0.25">
      <c r="A4926" s="6"/>
    </row>
    <row r="4927" spans="1:1" ht="18.75" x14ac:dyDescent="0.25">
      <c r="A4927" s="6"/>
    </row>
    <row r="4928" spans="1:1" ht="18.75" x14ac:dyDescent="0.25">
      <c r="A4928" s="6"/>
    </row>
    <row r="4929" spans="1:1" ht="18.75" x14ac:dyDescent="0.25">
      <c r="A4929" s="6"/>
    </row>
    <row r="4930" spans="1:1" ht="18.75" x14ac:dyDescent="0.25">
      <c r="A4930" s="6"/>
    </row>
    <row r="4931" spans="1:1" ht="18.75" x14ac:dyDescent="0.25">
      <c r="A4931" s="6"/>
    </row>
    <row r="4932" spans="1:1" ht="18.75" x14ac:dyDescent="0.25">
      <c r="A4932" s="6"/>
    </row>
    <row r="4933" spans="1:1" ht="18.75" x14ac:dyDescent="0.25">
      <c r="A4933" s="6"/>
    </row>
    <row r="4934" spans="1:1" ht="18.75" x14ac:dyDescent="0.25">
      <c r="A4934" s="6"/>
    </row>
    <row r="4935" spans="1:1" ht="18.75" x14ac:dyDescent="0.25">
      <c r="A4935" s="6"/>
    </row>
    <row r="4936" spans="1:1" ht="18.75" x14ac:dyDescent="0.25">
      <c r="A4936" s="6"/>
    </row>
    <row r="4937" spans="1:1" ht="18.75" x14ac:dyDescent="0.25">
      <c r="A4937" s="6"/>
    </row>
    <row r="4938" spans="1:1" ht="18.75" x14ac:dyDescent="0.25">
      <c r="A4938" s="6"/>
    </row>
    <row r="4939" spans="1:1" ht="18.75" x14ac:dyDescent="0.25">
      <c r="A4939" s="6"/>
    </row>
    <row r="4940" spans="1:1" ht="18.75" x14ac:dyDescent="0.25">
      <c r="A4940" s="6"/>
    </row>
    <row r="4941" spans="1:1" ht="18.75" x14ac:dyDescent="0.25">
      <c r="A4941" s="6"/>
    </row>
    <row r="4942" spans="1:1" ht="18.75" x14ac:dyDescent="0.25">
      <c r="A4942" s="6"/>
    </row>
    <row r="4943" spans="1:1" ht="18.75" x14ac:dyDescent="0.25">
      <c r="A4943" s="6"/>
    </row>
    <row r="4944" spans="1:1" ht="18.75" x14ac:dyDescent="0.25">
      <c r="A4944" s="6"/>
    </row>
    <row r="4945" spans="1:1" ht="18.75" x14ac:dyDescent="0.25">
      <c r="A4945" s="6"/>
    </row>
    <row r="4946" spans="1:1" ht="18.75" x14ac:dyDescent="0.25">
      <c r="A4946" s="6"/>
    </row>
    <row r="4947" spans="1:1" ht="18.75" x14ac:dyDescent="0.25">
      <c r="A4947" s="6"/>
    </row>
    <row r="4948" spans="1:1" ht="18.75" x14ac:dyDescent="0.25">
      <c r="A4948" s="6"/>
    </row>
    <row r="4949" spans="1:1" ht="18.75" x14ac:dyDescent="0.25">
      <c r="A4949" s="6"/>
    </row>
    <row r="4950" spans="1:1" ht="18.75" x14ac:dyDescent="0.25">
      <c r="A4950" s="6"/>
    </row>
    <row r="4951" spans="1:1" ht="18.75" x14ac:dyDescent="0.25">
      <c r="A4951" s="6"/>
    </row>
    <row r="4952" spans="1:1" ht="18.75" x14ac:dyDescent="0.25">
      <c r="A4952" s="6"/>
    </row>
    <row r="4953" spans="1:1" ht="18.75" x14ac:dyDescent="0.25">
      <c r="A4953" s="6"/>
    </row>
    <row r="4954" spans="1:1" ht="18.75" x14ac:dyDescent="0.25">
      <c r="A4954" s="6"/>
    </row>
    <row r="4955" spans="1:1" ht="18.75" x14ac:dyDescent="0.25">
      <c r="A4955" s="6"/>
    </row>
    <row r="4956" spans="1:1" ht="18.75" x14ac:dyDescent="0.25">
      <c r="A4956" s="6"/>
    </row>
    <row r="4957" spans="1:1" ht="18.75" x14ac:dyDescent="0.25">
      <c r="A4957" s="6"/>
    </row>
    <row r="4958" spans="1:1" ht="18.75" x14ac:dyDescent="0.25">
      <c r="A4958" s="6"/>
    </row>
    <row r="4959" spans="1:1" ht="18.75" x14ac:dyDescent="0.25">
      <c r="A4959" s="6"/>
    </row>
    <row r="4960" spans="1:1" ht="18.75" x14ac:dyDescent="0.25">
      <c r="A4960" s="6"/>
    </row>
    <row r="4961" spans="1:1" ht="18.75" x14ac:dyDescent="0.25">
      <c r="A4961" s="6"/>
    </row>
    <row r="4962" spans="1:1" ht="18.75" x14ac:dyDescent="0.25">
      <c r="A4962" s="6"/>
    </row>
    <row r="4963" spans="1:1" ht="18.75" x14ac:dyDescent="0.25">
      <c r="A4963" s="6"/>
    </row>
    <row r="4964" spans="1:1" ht="18.75" x14ac:dyDescent="0.25">
      <c r="A4964" s="6"/>
    </row>
    <row r="4965" spans="1:1" ht="18.75" x14ac:dyDescent="0.25">
      <c r="A4965" s="6"/>
    </row>
    <row r="4966" spans="1:1" ht="18.75" x14ac:dyDescent="0.25">
      <c r="A4966" s="6"/>
    </row>
    <row r="4967" spans="1:1" ht="18.75" x14ac:dyDescent="0.25">
      <c r="A4967" s="6"/>
    </row>
    <row r="4968" spans="1:1" ht="18.75" x14ac:dyDescent="0.25">
      <c r="A4968" s="6"/>
    </row>
    <row r="4969" spans="1:1" ht="18.75" x14ac:dyDescent="0.25">
      <c r="A4969" s="6"/>
    </row>
    <row r="4970" spans="1:1" ht="18.75" x14ac:dyDescent="0.25">
      <c r="A4970" s="6"/>
    </row>
    <row r="4971" spans="1:1" ht="18.75" x14ac:dyDescent="0.25">
      <c r="A4971" s="6"/>
    </row>
    <row r="4972" spans="1:1" ht="18.75" x14ac:dyDescent="0.25">
      <c r="A4972" s="6"/>
    </row>
    <row r="4973" spans="1:1" ht="18.75" x14ac:dyDescent="0.25">
      <c r="A4973" s="6"/>
    </row>
    <row r="4974" spans="1:1" ht="18.75" x14ac:dyDescent="0.25">
      <c r="A4974" s="6"/>
    </row>
    <row r="4975" spans="1:1" ht="18.75" x14ac:dyDescent="0.25">
      <c r="A4975" s="6"/>
    </row>
    <row r="4976" spans="1:1" ht="18.75" x14ac:dyDescent="0.25">
      <c r="A4976" s="6"/>
    </row>
    <row r="4977" spans="1:1" ht="18.75" x14ac:dyDescent="0.25">
      <c r="A4977" s="6"/>
    </row>
    <row r="4978" spans="1:1" ht="18.75" x14ac:dyDescent="0.25">
      <c r="A4978" s="6"/>
    </row>
    <row r="4979" spans="1:1" ht="18.75" x14ac:dyDescent="0.25">
      <c r="A4979" s="6"/>
    </row>
    <row r="4980" spans="1:1" ht="18.75" x14ac:dyDescent="0.25">
      <c r="A4980" s="6"/>
    </row>
    <row r="4981" spans="1:1" ht="18.75" x14ac:dyDescent="0.25">
      <c r="A4981" s="6"/>
    </row>
    <row r="4982" spans="1:1" ht="18.75" x14ac:dyDescent="0.25">
      <c r="A4982" s="6"/>
    </row>
    <row r="4983" spans="1:1" ht="18.75" x14ac:dyDescent="0.25">
      <c r="A4983" s="6"/>
    </row>
    <row r="4984" spans="1:1" ht="18.75" x14ac:dyDescent="0.25">
      <c r="A4984" s="6"/>
    </row>
    <row r="4985" spans="1:1" ht="18.75" x14ac:dyDescent="0.25">
      <c r="A4985" s="6"/>
    </row>
    <row r="4986" spans="1:1" ht="18.75" x14ac:dyDescent="0.25">
      <c r="A4986" s="6"/>
    </row>
    <row r="4987" spans="1:1" ht="18.75" x14ac:dyDescent="0.25">
      <c r="A4987" s="6"/>
    </row>
    <row r="4988" spans="1:1" ht="18.75" x14ac:dyDescent="0.25">
      <c r="A4988" s="6"/>
    </row>
    <row r="4989" spans="1:1" ht="18.75" x14ac:dyDescent="0.25">
      <c r="A4989" s="6"/>
    </row>
    <row r="4990" spans="1:1" ht="18.75" x14ac:dyDescent="0.25">
      <c r="A4990" s="6"/>
    </row>
    <row r="4991" spans="1:1" ht="18.75" x14ac:dyDescent="0.25">
      <c r="A4991" s="6"/>
    </row>
    <row r="4992" spans="1:1" ht="18.75" x14ac:dyDescent="0.25">
      <c r="A4992" s="6"/>
    </row>
    <row r="4993" spans="1:1" ht="18.75" x14ac:dyDescent="0.25">
      <c r="A4993" s="6"/>
    </row>
    <row r="4994" spans="1:1" ht="18.75" x14ac:dyDescent="0.25">
      <c r="A4994" s="6"/>
    </row>
    <row r="4995" spans="1:1" ht="18.75" x14ac:dyDescent="0.25">
      <c r="A4995" s="6"/>
    </row>
    <row r="4996" spans="1:1" ht="18.75" x14ac:dyDescent="0.25">
      <c r="A4996" s="6"/>
    </row>
    <row r="4997" spans="1:1" ht="18.75" x14ac:dyDescent="0.25">
      <c r="A4997" s="6"/>
    </row>
    <row r="4998" spans="1:1" ht="18.75" x14ac:dyDescent="0.25">
      <c r="A4998" s="6"/>
    </row>
    <row r="4999" spans="1:1" ht="18.75" x14ac:dyDescent="0.25">
      <c r="A4999" s="6"/>
    </row>
    <row r="5000" spans="1:1" ht="18.75" x14ac:dyDescent="0.25">
      <c r="A5000" s="6"/>
    </row>
    <row r="5001" spans="1:1" ht="18.75" x14ac:dyDescent="0.25">
      <c r="A5001" s="6"/>
    </row>
    <row r="5002" spans="1:1" ht="18.75" x14ac:dyDescent="0.25">
      <c r="A5002" s="6"/>
    </row>
    <row r="5003" spans="1:1" ht="18.75" x14ac:dyDescent="0.25">
      <c r="A5003" s="6"/>
    </row>
    <row r="5004" spans="1:1" ht="18.75" x14ac:dyDescent="0.25">
      <c r="A5004" s="6"/>
    </row>
    <row r="5005" spans="1:1" ht="18.75" x14ac:dyDescent="0.25">
      <c r="A5005" s="6"/>
    </row>
    <row r="5006" spans="1:1" ht="18.75" x14ac:dyDescent="0.25">
      <c r="A5006" s="6"/>
    </row>
    <row r="5007" spans="1:1" ht="18.75" x14ac:dyDescent="0.25">
      <c r="A5007" s="6"/>
    </row>
    <row r="5008" spans="1:1" ht="18.75" x14ac:dyDescent="0.25">
      <c r="A5008" s="6"/>
    </row>
    <row r="5009" spans="1:1" ht="18.75" x14ac:dyDescent="0.25">
      <c r="A5009" s="6"/>
    </row>
    <row r="5010" spans="1:1" ht="18.75" x14ac:dyDescent="0.25">
      <c r="A5010" s="6"/>
    </row>
    <row r="5011" spans="1:1" ht="18.75" x14ac:dyDescent="0.25">
      <c r="A5011" s="6"/>
    </row>
    <row r="5012" spans="1:1" ht="18.75" x14ac:dyDescent="0.25">
      <c r="A5012" s="6"/>
    </row>
    <row r="5013" spans="1:1" ht="18.75" x14ac:dyDescent="0.25">
      <c r="A5013" s="6"/>
    </row>
    <row r="5014" spans="1:1" ht="18.75" x14ac:dyDescent="0.25">
      <c r="A5014" s="6"/>
    </row>
    <row r="5015" spans="1:1" ht="18.75" x14ac:dyDescent="0.25">
      <c r="A5015" s="6"/>
    </row>
    <row r="5016" spans="1:1" ht="18.75" x14ac:dyDescent="0.25">
      <c r="A5016" s="6"/>
    </row>
    <row r="5017" spans="1:1" ht="18.75" x14ac:dyDescent="0.25">
      <c r="A5017" s="6"/>
    </row>
    <row r="5018" spans="1:1" ht="18.75" x14ac:dyDescent="0.25">
      <c r="A5018" s="6"/>
    </row>
    <row r="5019" spans="1:1" ht="18.75" x14ac:dyDescent="0.25">
      <c r="A5019" s="6"/>
    </row>
    <row r="5020" spans="1:1" ht="18.75" x14ac:dyDescent="0.25">
      <c r="A5020" s="6"/>
    </row>
    <row r="5021" spans="1:1" ht="18.75" x14ac:dyDescent="0.25">
      <c r="A5021" s="6"/>
    </row>
    <row r="5022" spans="1:1" ht="18.75" x14ac:dyDescent="0.25">
      <c r="A5022" s="6"/>
    </row>
    <row r="5023" spans="1:1" ht="18.75" x14ac:dyDescent="0.25">
      <c r="A5023" s="6"/>
    </row>
    <row r="5024" spans="1:1" ht="18.75" x14ac:dyDescent="0.25">
      <c r="A5024" s="6"/>
    </row>
    <row r="5025" spans="1:1" ht="18.75" x14ac:dyDescent="0.25">
      <c r="A5025" s="6"/>
    </row>
    <row r="5026" spans="1:1" ht="18.75" x14ac:dyDescent="0.25">
      <c r="A5026" s="6"/>
    </row>
    <row r="5027" spans="1:1" ht="18.75" x14ac:dyDescent="0.25">
      <c r="A5027" s="6"/>
    </row>
    <row r="5028" spans="1:1" ht="18.75" x14ac:dyDescent="0.25">
      <c r="A5028" s="6"/>
    </row>
    <row r="5029" spans="1:1" ht="18.75" x14ac:dyDescent="0.25">
      <c r="A5029" s="6"/>
    </row>
    <row r="5030" spans="1:1" ht="18.75" x14ac:dyDescent="0.25">
      <c r="A5030" s="6"/>
    </row>
    <row r="5031" spans="1:1" ht="18.75" x14ac:dyDescent="0.25">
      <c r="A5031" s="6"/>
    </row>
    <row r="5032" spans="1:1" ht="18.75" x14ac:dyDescent="0.25">
      <c r="A5032" s="6"/>
    </row>
    <row r="5033" spans="1:1" ht="18.75" x14ac:dyDescent="0.25">
      <c r="A5033" s="6"/>
    </row>
    <row r="5034" spans="1:1" ht="18.75" x14ac:dyDescent="0.25">
      <c r="A5034" s="6"/>
    </row>
    <row r="5035" spans="1:1" ht="18.75" x14ac:dyDescent="0.25">
      <c r="A5035" s="6"/>
    </row>
    <row r="5036" spans="1:1" ht="18.75" x14ac:dyDescent="0.25">
      <c r="A5036" s="6"/>
    </row>
    <row r="5037" spans="1:1" ht="18.75" x14ac:dyDescent="0.25">
      <c r="A5037" s="6"/>
    </row>
    <row r="5038" spans="1:1" ht="18.75" x14ac:dyDescent="0.25">
      <c r="A5038" s="6"/>
    </row>
    <row r="5039" spans="1:1" ht="18.75" x14ac:dyDescent="0.25">
      <c r="A5039" s="6"/>
    </row>
    <row r="5040" spans="1:1" ht="18.75" x14ac:dyDescent="0.25">
      <c r="A5040" s="6"/>
    </row>
    <row r="5041" spans="1:1" ht="18.75" x14ac:dyDescent="0.25">
      <c r="A5041" s="6"/>
    </row>
    <row r="5042" spans="1:1" ht="18.75" x14ac:dyDescent="0.25">
      <c r="A5042" s="6"/>
    </row>
    <row r="5043" spans="1:1" ht="18.75" x14ac:dyDescent="0.25">
      <c r="A5043" s="6"/>
    </row>
    <row r="5044" spans="1:1" ht="18.75" x14ac:dyDescent="0.25">
      <c r="A5044" s="6"/>
    </row>
    <row r="5045" spans="1:1" ht="18.75" x14ac:dyDescent="0.25">
      <c r="A5045" s="6"/>
    </row>
    <row r="5046" spans="1:1" ht="18.75" x14ac:dyDescent="0.25">
      <c r="A5046" s="6"/>
    </row>
    <row r="5047" spans="1:1" ht="18.75" x14ac:dyDescent="0.25">
      <c r="A5047" s="6"/>
    </row>
    <row r="5048" spans="1:1" ht="18.75" x14ac:dyDescent="0.25">
      <c r="A5048" s="6"/>
    </row>
    <row r="5049" spans="1:1" ht="18.75" x14ac:dyDescent="0.25">
      <c r="A5049" s="6"/>
    </row>
    <row r="5050" spans="1:1" ht="18.75" x14ac:dyDescent="0.25">
      <c r="A5050" s="6"/>
    </row>
    <row r="5051" spans="1:1" ht="18.75" x14ac:dyDescent="0.25">
      <c r="A5051" s="6"/>
    </row>
    <row r="5052" spans="1:1" ht="18.75" x14ac:dyDescent="0.25">
      <c r="A5052" s="6"/>
    </row>
    <row r="5053" spans="1:1" ht="18.75" x14ac:dyDescent="0.25">
      <c r="A5053" s="6"/>
    </row>
    <row r="5054" spans="1:1" ht="18.75" x14ac:dyDescent="0.25">
      <c r="A5054" s="6"/>
    </row>
    <row r="5055" spans="1:1" ht="18.75" x14ac:dyDescent="0.25">
      <c r="A5055" s="6"/>
    </row>
    <row r="5056" spans="1:1" ht="18.75" x14ac:dyDescent="0.25">
      <c r="A5056" s="6"/>
    </row>
    <row r="5057" spans="1:1" ht="18.75" x14ac:dyDescent="0.25">
      <c r="A5057" s="6"/>
    </row>
    <row r="5058" spans="1:1" ht="18.75" x14ac:dyDescent="0.25">
      <c r="A5058" s="6"/>
    </row>
    <row r="5059" spans="1:1" ht="18.75" x14ac:dyDescent="0.25">
      <c r="A5059" s="6"/>
    </row>
    <row r="5060" spans="1:1" ht="18.75" x14ac:dyDescent="0.25">
      <c r="A5060" s="6"/>
    </row>
    <row r="5061" spans="1:1" ht="18.75" x14ac:dyDescent="0.25">
      <c r="A5061" s="6"/>
    </row>
    <row r="5062" spans="1:1" ht="18.75" x14ac:dyDescent="0.25">
      <c r="A5062" s="6"/>
    </row>
    <row r="5063" spans="1:1" ht="18.75" x14ac:dyDescent="0.25">
      <c r="A5063" s="6"/>
    </row>
    <row r="5064" spans="1:1" ht="18.75" x14ac:dyDescent="0.25">
      <c r="A5064" s="6"/>
    </row>
    <row r="5065" spans="1:1" ht="18.75" x14ac:dyDescent="0.25">
      <c r="A5065" s="6"/>
    </row>
    <row r="5066" spans="1:1" ht="18.75" x14ac:dyDescent="0.25">
      <c r="A5066" s="6"/>
    </row>
    <row r="5067" spans="1:1" ht="18.75" x14ac:dyDescent="0.25">
      <c r="A5067" s="6"/>
    </row>
    <row r="5068" spans="1:1" ht="18.75" x14ac:dyDescent="0.25">
      <c r="A5068" s="6"/>
    </row>
    <row r="5069" spans="1:1" ht="18.75" x14ac:dyDescent="0.25">
      <c r="A5069" s="6"/>
    </row>
    <row r="5070" spans="1:1" ht="18.75" x14ac:dyDescent="0.25">
      <c r="A5070" s="6"/>
    </row>
    <row r="5071" spans="1:1" ht="18.75" x14ac:dyDescent="0.25">
      <c r="A5071" s="6"/>
    </row>
    <row r="5072" spans="1:1" ht="18.75" x14ac:dyDescent="0.25">
      <c r="A5072" s="6"/>
    </row>
    <row r="5073" spans="1:1" ht="18.75" x14ac:dyDescent="0.25">
      <c r="A5073" s="6"/>
    </row>
    <row r="5074" spans="1:1" ht="18.75" x14ac:dyDescent="0.25">
      <c r="A5074" s="6"/>
    </row>
    <row r="5075" spans="1:1" ht="18.75" x14ac:dyDescent="0.25">
      <c r="A5075" s="6"/>
    </row>
    <row r="5076" spans="1:1" ht="18.75" x14ac:dyDescent="0.25">
      <c r="A5076" s="6"/>
    </row>
    <row r="5077" spans="1:1" ht="18.75" x14ac:dyDescent="0.25">
      <c r="A5077" s="6"/>
    </row>
    <row r="5078" spans="1:1" ht="18.75" x14ac:dyDescent="0.25">
      <c r="A5078" s="6"/>
    </row>
    <row r="5079" spans="1:1" ht="18.75" x14ac:dyDescent="0.25">
      <c r="A5079" s="6"/>
    </row>
    <row r="5080" spans="1:1" ht="18.75" x14ac:dyDescent="0.25">
      <c r="A5080" s="6"/>
    </row>
    <row r="5081" spans="1:1" ht="18.75" x14ac:dyDescent="0.25">
      <c r="A5081" s="6"/>
    </row>
    <row r="5082" spans="1:1" ht="18.75" x14ac:dyDescent="0.25">
      <c r="A5082" s="6"/>
    </row>
    <row r="5083" spans="1:1" ht="18.75" x14ac:dyDescent="0.25">
      <c r="A5083" s="6"/>
    </row>
    <row r="5084" spans="1:1" ht="18.75" x14ac:dyDescent="0.25">
      <c r="A5084" s="6"/>
    </row>
    <row r="5085" spans="1:1" ht="18.75" x14ac:dyDescent="0.25">
      <c r="A5085" s="6"/>
    </row>
    <row r="5086" spans="1:1" ht="18.75" x14ac:dyDescent="0.25">
      <c r="A5086" s="6"/>
    </row>
    <row r="5087" spans="1:1" ht="18.75" x14ac:dyDescent="0.25">
      <c r="A5087" s="6"/>
    </row>
    <row r="5088" spans="1:1" ht="18.75" x14ac:dyDescent="0.25">
      <c r="A5088" s="6"/>
    </row>
    <row r="5089" spans="1:1" ht="18.75" x14ac:dyDescent="0.25">
      <c r="A5089" s="6"/>
    </row>
    <row r="5090" spans="1:1" ht="18.75" x14ac:dyDescent="0.25">
      <c r="A5090" s="6"/>
    </row>
    <row r="5091" spans="1:1" ht="18.75" x14ac:dyDescent="0.25">
      <c r="A5091" s="6"/>
    </row>
    <row r="5092" spans="1:1" ht="18.75" x14ac:dyDescent="0.25">
      <c r="A5092" s="6"/>
    </row>
    <row r="5093" spans="1:1" ht="18.75" x14ac:dyDescent="0.25">
      <c r="A5093" s="6"/>
    </row>
    <row r="5094" spans="1:1" ht="18.75" x14ac:dyDescent="0.25">
      <c r="A5094" s="6"/>
    </row>
    <row r="5095" spans="1:1" ht="18.75" x14ac:dyDescent="0.25">
      <c r="A5095" s="6"/>
    </row>
    <row r="5096" spans="1:1" ht="18.75" x14ac:dyDescent="0.25">
      <c r="A5096" s="6"/>
    </row>
    <row r="5097" spans="1:1" ht="18.75" x14ac:dyDescent="0.25">
      <c r="A5097" s="6"/>
    </row>
    <row r="5098" spans="1:1" ht="18.75" x14ac:dyDescent="0.25">
      <c r="A5098" s="6"/>
    </row>
    <row r="5099" spans="1:1" ht="18.75" x14ac:dyDescent="0.25">
      <c r="A5099" s="6"/>
    </row>
    <row r="5100" spans="1:1" ht="18.75" x14ac:dyDescent="0.25">
      <c r="A5100" s="6"/>
    </row>
    <row r="5101" spans="1:1" ht="18.75" x14ac:dyDescent="0.25">
      <c r="A5101" s="6"/>
    </row>
    <row r="5102" spans="1:1" ht="18.75" x14ac:dyDescent="0.25">
      <c r="A5102" s="6"/>
    </row>
    <row r="5103" spans="1:1" ht="18.75" x14ac:dyDescent="0.25">
      <c r="A5103" s="6"/>
    </row>
    <row r="5104" spans="1:1" ht="18.75" x14ac:dyDescent="0.25">
      <c r="A5104" s="6"/>
    </row>
    <row r="5105" spans="1:1" ht="18.75" x14ac:dyDescent="0.25">
      <c r="A5105" s="6"/>
    </row>
    <row r="5106" spans="1:1" ht="18.75" x14ac:dyDescent="0.25">
      <c r="A5106" s="6"/>
    </row>
    <row r="5107" spans="1:1" ht="18.75" x14ac:dyDescent="0.25">
      <c r="A5107" s="6"/>
    </row>
    <row r="5108" spans="1:1" ht="18.75" x14ac:dyDescent="0.25">
      <c r="A5108" s="6"/>
    </row>
    <row r="5109" spans="1:1" ht="18.75" x14ac:dyDescent="0.25">
      <c r="A5109" s="6"/>
    </row>
    <row r="5110" spans="1:1" ht="18.75" x14ac:dyDescent="0.25">
      <c r="A5110" s="6"/>
    </row>
    <row r="5111" spans="1:1" ht="18.75" x14ac:dyDescent="0.25">
      <c r="A5111" s="6"/>
    </row>
    <row r="5112" spans="1:1" ht="18.75" x14ac:dyDescent="0.25">
      <c r="A5112" s="6"/>
    </row>
    <row r="5113" spans="1:1" ht="18.75" x14ac:dyDescent="0.25">
      <c r="A5113" s="6"/>
    </row>
    <row r="5114" spans="1:1" ht="18.75" x14ac:dyDescent="0.25">
      <c r="A5114" s="6"/>
    </row>
    <row r="5115" spans="1:1" ht="18.75" x14ac:dyDescent="0.25">
      <c r="A5115" s="6"/>
    </row>
    <row r="5116" spans="1:1" ht="18.75" x14ac:dyDescent="0.25">
      <c r="A5116" s="6"/>
    </row>
    <row r="5117" spans="1:1" ht="18.75" x14ac:dyDescent="0.25">
      <c r="A5117" s="6"/>
    </row>
    <row r="5118" spans="1:1" ht="18.75" x14ac:dyDescent="0.25">
      <c r="A5118" s="6"/>
    </row>
    <row r="5119" spans="1:1" ht="18.75" x14ac:dyDescent="0.25">
      <c r="A5119" s="6"/>
    </row>
    <row r="5120" spans="1:1" ht="18.75" x14ac:dyDescent="0.25">
      <c r="A5120" s="6"/>
    </row>
    <row r="5121" spans="1:1" ht="18.75" x14ac:dyDescent="0.25">
      <c r="A5121" s="6"/>
    </row>
    <row r="5122" spans="1:1" ht="18.75" x14ac:dyDescent="0.25">
      <c r="A5122" s="6"/>
    </row>
    <row r="5123" spans="1:1" ht="18.75" x14ac:dyDescent="0.25">
      <c r="A5123" s="6"/>
    </row>
    <row r="5124" spans="1:1" ht="18.75" x14ac:dyDescent="0.25">
      <c r="A5124" s="6"/>
    </row>
    <row r="5125" spans="1:1" ht="18.75" x14ac:dyDescent="0.25">
      <c r="A5125" s="6"/>
    </row>
    <row r="5126" spans="1:1" ht="18.75" x14ac:dyDescent="0.25">
      <c r="A5126" s="6"/>
    </row>
    <row r="5127" spans="1:1" ht="18.75" x14ac:dyDescent="0.25">
      <c r="A5127" s="6"/>
    </row>
    <row r="5128" spans="1:1" ht="18.75" x14ac:dyDescent="0.25">
      <c r="A5128" s="6"/>
    </row>
    <row r="5129" spans="1:1" ht="18.75" x14ac:dyDescent="0.25">
      <c r="A5129" s="6"/>
    </row>
    <row r="5130" spans="1:1" ht="18.75" x14ac:dyDescent="0.25">
      <c r="A5130" s="6"/>
    </row>
    <row r="5131" spans="1:1" ht="18.75" x14ac:dyDescent="0.25">
      <c r="A5131" s="6"/>
    </row>
    <row r="5132" spans="1:1" ht="18.75" x14ac:dyDescent="0.25">
      <c r="A5132" s="6"/>
    </row>
    <row r="5133" spans="1:1" ht="18.75" x14ac:dyDescent="0.25">
      <c r="A5133" s="6"/>
    </row>
    <row r="5134" spans="1:1" ht="18.75" x14ac:dyDescent="0.25">
      <c r="A5134" s="6"/>
    </row>
    <row r="5135" spans="1:1" ht="18.75" x14ac:dyDescent="0.25">
      <c r="A5135" s="6"/>
    </row>
    <row r="5136" spans="1:1" ht="18.75" x14ac:dyDescent="0.25">
      <c r="A5136" s="6"/>
    </row>
    <row r="5137" spans="1:1" ht="18.75" x14ac:dyDescent="0.25">
      <c r="A5137" s="6"/>
    </row>
    <row r="5138" spans="1:1" ht="18.75" x14ac:dyDescent="0.25">
      <c r="A5138" s="6"/>
    </row>
    <row r="5139" spans="1:1" ht="18.75" x14ac:dyDescent="0.25">
      <c r="A5139" s="6"/>
    </row>
    <row r="5140" spans="1:1" ht="18.75" x14ac:dyDescent="0.25">
      <c r="A5140" s="6"/>
    </row>
    <row r="5141" spans="1:1" ht="18.75" x14ac:dyDescent="0.25">
      <c r="A5141" s="6"/>
    </row>
    <row r="5142" spans="1:1" ht="18.75" x14ac:dyDescent="0.25">
      <c r="A5142" s="6"/>
    </row>
    <row r="5143" spans="1:1" ht="18.75" x14ac:dyDescent="0.25">
      <c r="A5143" s="6"/>
    </row>
    <row r="5144" spans="1:1" ht="18.75" x14ac:dyDescent="0.25">
      <c r="A5144" s="6"/>
    </row>
    <row r="5145" spans="1:1" ht="18.75" x14ac:dyDescent="0.25">
      <c r="A5145" s="6"/>
    </row>
    <row r="5146" spans="1:1" ht="18.75" x14ac:dyDescent="0.25">
      <c r="A5146" s="6"/>
    </row>
    <row r="5147" spans="1:1" ht="18.75" x14ac:dyDescent="0.25">
      <c r="A5147" s="6"/>
    </row>
    <row r="5148" spans="1:1" ht="18.75" x14ac:dyDescent="0.25">
      <c r="A5148" s="6"/>
    </row>
    <row r="5149" spans="1:1" ht="18.75" x14ac:dyDescent="0.25">
      <c r="A5149" s="6"/>
    </row>
    <row r="5150" spans="1:1" ht="18.75" x14ac:dyDescent="0.25">
      <c r="A5150" s="6"/>
    </row>
    <row r="5151" spans="1:1" ht="18.75" x14ac:dyDescent="0.25">
      <c r="A5151" s="6"/>
    </row>
    <row r="5152" spans="1:1" ht="18.75" x14ac:dyDescent="0.25">
      <c r="A5152" s="6"/>
    </row>
    <row r="5153" spans="1:1" ht="18.75" x14ac:dyDescent="0.25">
      <c r="A5153" s="6"/>
    </row>
    <row r="5154" spans="1:1" ht="18.75" x14ac:dyDescent="0.25">
      <c r="A5154" s="6"/>
    </row>
    <row r="5155" spans="1:1" ht="18.75" x14ac:dyDescent="0.25">
      <c r="A5155" s="6"/>
    </row>
    <row r="5156" spans="1:1" ht="18.75" x14ac:dyDescent="0.25">
      <c r="A5156" s="6"/>
    </row>
    <row r="5157" spans="1:1" ht="18.75" x14ac:dyDescent="0.25">
      <c r="A5157" s="6"/>
    </row>
    <row r="5158" spans="1:1" ht="18.75" x14ac:dyDescent="0.25">
      <c r="A5158" s="6"/>
    </row>
    <row r="5159" spans="1:1" ht="18.75" x14ac:dyDescent="0.25">
      <c r="A5159" s="6"/>
    </row>
    <row r="5160" spans="1:1" ht="18.75" x14ac:dyDescent="0.25">
      <c r="A5160" s="6"/>
    </row>
    <row r="5161" spans="1:1" ht="18.75" x14ac:dyDescent="0.25">
      <c r="A5161" s="6"/>
    </row>
    <row r="5162" spans="1:1" ht="18.75" x14ac:dyDescent="0.25">
      <c r="A5162" s="6"/>
    </row>
    <row r="5163" spans="1:1" ht="18.75" x14ac:dyDescent="0.25">
      <c r="A5163" s="6"/>
    </row>
    <row r="5164" spans="1:1" ht="18.75" x14ac:dyDescent="0.25">
      <c r="A5164" s="6"/>
    </row>
    <row r="5165" spans="1:1" ht="18.75" x14ac:dyDescent="0.25">
      <c r="A5165" s="6"/>
    </row>
    <row r="5166" spans="1:1" ht="18.75" x14ac:dyDescent="0.25">
      <c r="A5166" s="6"/>
    </row>
    <row r="5167" spans="1:1" ht="18.75" x14ac:dyDescent="0.25">
      <c r="A5167" s="6"/>
    </row>
    <row r="5168" spans="1:1" ht="18.75" x14ac:dyDescent="0.25">
      <c r="A5168" s="6"/>
    </row>
    <row r="5169" spans="1:1" ht="18.75" x14ac:dyDescent="0.25">
      <c r="A5169" s="6"/>
    </row>
    <row r="5170" spans="1:1" ht="18.75" x14ac:dyDescent="0.25">
      <c r="A5170" s="6"/>
    </row>
    <row r="5171" spans="1:1" ht="18.75" x14ac:dyDescent="0.25">
      <c r="A5171" s="6"/>
    </row>
    <row r="5172" spans="1:1" ht="18.75" x14ac:dyDescent="0.25">
      <c r="A5172" s="6"/>
    </row>
    <row r="5173" spans="1:1" ht="18.75" x14ac:dyDescent="0.25">
      <c r="A5173" s="6"/>
    </row>
    <row r="5174" spans="1:1" ht="18.75" x14ac:dyDescent="0.25">
      <c r="A5174" s="6"/>
    </row>
    <row r="5175" spans="1:1" ht="18.75" x14ac:dyDescent="0.25">
      <c r="A5175" s="6"/>
    </row>
    <row r="5176" spans="1:1" ht="18.75" x14ac:dyDescent="0.25">
      <c r="A5176" s="6"/>
    </row>
    <row r="5177" spans="1:1" ht="18.75" x14ac:dyDescent="0.25">
      <c r="A5177" s="6"/>
    </row>
    <row r="5178" spans="1:1" ht="18.75" x14ac:dyDescent="0.25">
      <c r="A5178" s="6"/>
    </row>
    <row r="5179" spans="1:1" ht="18.75" x14ac:dyDescent="0.25">
      <c r="A5179" s="6"/>
    </row>
    <row r="5180" spans="1:1" ht="18.75" x14ac:dyDescent="0.25">
      <c r="A5180" s="6"/>
    </row>
    <row r="5181" spans="1:1" ht="18.75" x14ac:dyDescent="0.25">
      <c r="A5181" s="6"/>
    </row>
    <row r="5182" spans="1:1" ht="18.75" x14ac:dyDescent="0.25">
      <c r="A5182" s="6"/>
    </row>
    <row r="5183" spans="1:1" ht="18.75" x14ac:dyDescent="0.25">
      <c r="A5183" s="6"/>
    </row>
    <row r="5184" spans="1:1" ht="18.75" x14ac:dyDescent="0.25">
      <c r="A5184" s="6"/>
    </row>
    <row r="5185" spans="1:1" ht="18.75" x14ac:dyDescent="0.25">
      <c r="A5185" s="6"/>
    </row>
    <row r="5186" spans="1:1" ht="18.75" x14ac:dyDescent="0.25">
      <c r="A5186" s="6"/>
    </row>
    <row r="5187" spans="1:1" ht="18.75" x14ac:dyDescent="0.25">
      <c r="A5187" s="6"/>
    </row>
    <row r="5188" spans="1:1" ht="18.75" x14ac:dyDescent="0.25">
      <c r="A5188" s="6"/>
    </row>
    <row r="5189" spans="1:1" ht="18.75" x14ac:dyDescent="0.25">
      <c r="A5189" s="6"/>
    </row>
    <row r="5190" spans="1:1" ht="18.75" x14ac:dyDescent="0.25">
      <c r="A5190" s="6"/>
    </row>
    <row r="5191" spans="1:1" ht="18.75" x14ac:dyDescent="0.25">
      <c r="A5191" s="6"/>
    </row>
    <row r="5192" spans="1:1" ht="18.75" x14ac:dyDescent="0.25">
      <c r="A5192" s="6"/>
    </row>
    <row r="5193" spans="1:1" ht="18.75" x14ac:dyDescent="0.25">
      <c r="A5193" s="6"/>
    </row>
    <row r="5194" spans="1:1" ht="18.75" x14ac:dyDescent="0.25">
      <c r="A5194" s="6"/>
    </row>
    <row r="5195" spans="1:1" ht="18.75" x14ac:dyDescent="0.25">
      <c r="A5195" s="6"/>
    </row>
    <row r="5196" spans="1:1" ht="18.75" x14ac:dyDescent="0.25">
      <c r="A5196" s="6"/>
    </row>
    <row r="5197" spans="1:1" ht="18.75" x14ac:dyDescent="0.25">
      <c r="A5197" s="6"/>
    </row>
    <row r="5198" spans="1:1" ht="18.75" x14ac:dyDescent="0.25">
      <c r="A5198" s="6"/>
    </row>
    <row r="5199" spans="1:1" ht="18.75" x14ac:dyDescent="0.25">
      <c r="A5199" s="6"/>
    </row>
    <row r="5200" spans="1:1" ht="18.75" x14ac:dyDescent="0.25">
      <c r="A5200" s="6"/>
    </row>
    <row r="5201" spans="1:1" ht="18.75" x14ac:dyDescent="0.25">
      <c r="A5201" s="6"/>
    </row>
    <row r="5202" spans="1:1" ht="18.75" x14ac:dyDescent="0.25">
      <c r="A5202" s="6"/>
    </row>
    <row r="5203" spans="1:1" ht="18.75" x14ac:dyDescent="0.25">
      <c r="A5203" s="6"/>
    </row>
    <row r="5204" spans="1:1" ht="18.75" x14ac:dyDescent="0.25">
      <c r="A5204" s="6"/>
    </row>
    <row r="5205" spans="1:1" ht="18.75" x14ac:dyDescent="0.25">
      <c r="A5205" s="6"/>
    </row>
    <row r="5206" spans="1:1" ht="18.75" x14ac:dyDescent="0.25">
      <c r="A5206" s="6"/>
    </row>
    <row r="5207" spans="1:1" ht="18.75" x14ac:dyDescent="0.25">
      <c r="A5207" s="6"/>
    </row>
    <row r="5208" spans="1:1" ht="18.75" x14ac:dyDescent="0.25">
      <c r="A5208" s="6"/>
    </row>
    <row r="5209" spans="1:1" ht="18.75" x14ac:dyDescent="0.25">
      <c r="A5209" s="6"/>
    </row>
    <row r="5210" spans="1:1" ht="18.75" x14ac:dyDescent="0.25">
      <c r="A5210" s="6"/>
    </row>
    <row r="5211" spans="1:1" ht="18.75" x14ac:dyDescent="0.25">
      <c r="A5211" s="6"/>
    </row>
    <row r="5212" spans="1:1" ht="18.75" x14ac:dyDescent="0.25">
      <c r="A5212" s="6"/>
    </row>
    <row r="5213" spans="1:1" ht="18.75" x14ac:dyDescent="0.25">
      <c r="A5213" s="6"/>
    </row>
    <row r="5214" spans="1:1" ht="18.75" x14ac:dyDescent="0.25">
      <c r="A5214" s="6"/>
    </row>
    <row r="5215" spans="1:1" ht="18.75" x14ac:dyDescent="0.25">
      <c r="A5215" s="6"/>
    </row>
    <row r="5216" spans="1:1" ht="18.75" x14ac:dyDescent="0.25">
      <c r="A5216" s="6"/>
    </row>
    <row r="5217" spans="1:1" ht="18.75" x14ac:dyDescent="0.25">
      <c r="A5217" s="6"/>
    </row>
    <row r="5218" spans="1:1" ht="18.75" x14ac:dyDescent="0.25">
      <c r="A5218" s="6"/>
    </row>
    <row r="5219" spans="1:1" ht="18.75" x14ac:dyDescent="0.25">
      <c r="A5219" s="6"/>
    </row>
    <row r="5220" spans="1:1" ht="18.75" x14ac:dyDescent="0.25">
      <c r="A5220" s="6"/>
    </row>
    <row r="5221" spans="1:1" ht="18.75" x14ac:dyDescent="0.25">
      <c r="A5221" s="6"/>
    </row>
    <row r="5222" spans="1:1" ht="18.75" x14ac:dyDescent="0.25">
      <c r="A5222" s="6"/>
    </row>
    <row r="5223" spans="1:1" ht="18.75" x14ac:dyDescent="0.25">
      <c r="A5223" s="6"/>
    </row>
    <row r="5224" spans="1:1" ht="18.75" x14ac:dyDescent="0.25">
      <c r="A5224" s="6"/>
    </row>
    <row r="5225" spans="1:1" ht="18.75" x14ac:dyDescent="0.25">
      <c r="A5225" s="6"/>
    </row>
    <row r="5226" spans="1:1" ht="18.75" x14ac:dyDescent="0.25">
      <c r="A5226" s="6"/>
    </row>
    <row r="5227" spans="1:1" ht="18.75" x14ac:dyDescent="0.25">
      <c r="A5227" s="6"/>
    </row>
    <row r="5228" spans="1:1" ht="18.75" x14ac:dyDescent="0.25">
      <c r="A5228" s="6"/>
    </row>
    <row r="5229" spans="1:1" ht="18.75" x14ac:dyDescent="0.25">
      <c r="A5229" s="6"/>
    </row>
    <row r="5230" spans="1:1" ht="18.75" x14ac:dyDescent="0.25">
      <c r="A5230" s="6"/>
    </row>
    <row r="5231" spans="1:1" ht="18.75" x14ac:dyDescent="0.25">
      <c r="A5231" s="6"/>
    </row>
    <row r="5232" spans="1:1" ht="18.75" x14ac:dyDescent="0.25">
      <c r="A5232" s="6"/>
    </row>
    <row r="5233" spans="1:1" ht="18.75" x14ac:dyDescent="0.25">
      <c r="A5233" s="6"/>
    </row>
    <row r="5234" spans="1:1" ht="18.75" x14ac:dyDescent="0.25">
      <c r="A5234" s="6"/>
    </row>
    <row r="5235" spans="1:1" ht="18.75" x14ac:dyDescent="0.25">
      <c r="A5235" s="6"/>
    </row>
    <row r="5236" spans="1:1" ht="18.75" x14ac:dyDescent="0.25">
      <c r="A5236" s="6"/>
    </row>
    <row r="5237" spans="1:1" ht="18.75" x14ac:dyDescent="0.25">
      <c r="A5237" s="6"/>
    </row>
    <row r="5238" spans="1:1" ht="18.75" x14ac:dyDescent="0.25">
      <c r="A5238" s="6"/>
    </row>
    <row r="5239" spans="1:1" ht="18.75" x14ac:dyDescent="0.25">
      <c r="A5239" s="6"/>
    </row>
    <row r="5240" spans="1:1" ht="18.75" x14ac:dyDescent="0.25">
      <c r="A5240" s="6"/>
    </row>
    <row r="5241" spans="1:1" ht="18.75" x14ac:dyDescent="0.25">
      <c r="A5241" s="6"/>
    </row>
    <row r="5242" spans="1:1" ht="18.75" x14ac:dyDescent="0.25">
      <c r="A5242" s="6"/>
    </row>
    <row r="5243" spans="1:1" ht="18.75" x14ac:dyDescent="0.25">
      <c r="A5243" s="6"/>
    </row>
    <row r="5244" spans="1:1" ht="18.75" x14ac:dyDescent="0.25">
      <c r="A5244" s="6"/>
    </row>
    <row r="5245" spans="1:1" ht="18.75" x14ac:dyDescent="0.25">
      <c r="A5245" s="6"/>
    </row>
    <row r="5246" spans="1:1" ht="18.75" x14ac:dyDescent="0.25">
      <c r="A5246" s="6"/>
    </row>
    <row r="5247" spans="1:1" ht="18.75" x14ac:dyDescent="0.25">
      <c r="A5247" s="6"/>
    </row>
    <row r="5248" spans="1:1" ht="18.75" x14ac:dyDescent="0.25">
      <c r="A5248" s="6"/>
    </row>
    <row r="5249" spans="1:1" ht="18.75" x14ac:dyDescent="0.25">
      <c r="A5249" s="6"/>
    </row>
    <row r="5250" spans="1:1" ht="18.75" x14ac:dyDescent="0.25">
      <c r="A5250" s="6"/>
    </row>
    <row r="5251" spans="1:1" ht="18.75" x14ac:dyDescent="0.25">
      <c r="A5251" s="6"/>
    </row>
    <row r="5252" spans="1:1" ht="18.75" x14ac:dyDescent="0.25">
      <c r="A5252" s="6"/>
    </row>
    <row r="5253" spans="1:1" ht="18.75" x14ac:dyDescent="0.25">
      <c r="A5253" s="6"/>
    </row>
    <row r="5254" spans="1:1" ht="18.75" x14ac:dyDescent="0.25">
      <c r="A5254" s="6"/>
    </row>
    <row r="5255" spans="1:1" ht="18.75" x14ac:dyDescent="0.25">
      <c r="A5255" s="6"/>
    </row>
    <row r="5256" spans="1:1" ht="18.75" x14ac:dyDescent="0.25">
      <c r="A5256" s="6"/>
    </row>
    <row r="5257" spans="1:1" ht="18.75" x14ac:dyDescent="0.25">
      <c r="A5257" s="6"/>
    </row>
    <row r="5258" spans="1:1" ht="18.75" x14ac:dyDescent="0.25">
      <c r="A5258" s="6"/>
    </row>
    <row r="5259" spans="1:1" ht="18.75" x14ac:dyDescent="0.25">
      <c r="A5259" s="6"/>
    </row>
    <row r="5260" spans="1:1" ht="18.75" x14ac:dyDescent="0.25">
      <c r="A5260" s="6"/>
    </row>
    <row r="5261" spans="1:1" ht="18.75" x14ac:dyDescent="0.25">
      <c r="A5261" s="6"/>
    </row>
    <row r="5262" spans="1:1" ht="18.75" x14ac:dyDescent="0.25">
      <c r="A5262" s="6"/>
    </row>
    <row r="5263" spans="1:1" ht="18.75" x14ac:dyDescent="0.25">
      <c r="A5263" s="6"/>
    </row>
    <row r="5264" spans="1:1" ht="18.75" x14ac:dyDescent="0.25">
      <c r="A5264" s="6"/>
    </row>
    <row r="5265" spans="1:1" ht="18.75" x14ac:dyDescent="0.25">
      <c r="A5265" s="6"/>
    </row>
    <row r="5266" spans="1:1" ht="18.75" x14ac:dyDescent="0.25">
      <c r="A5266" s="6"/>
    </row>
    <row r="5267" spans="1:1" ht="18.75" x14ac:dyDescent="0.25">
      <c r="A5267" s="6"/>
    </row>
    <row r="5268" spans="1:1" ht="18.75" x14ac:dyDescent="0.25">
      <c r="A5268" s="6"/>
    </row>
    <row r="5269" spans="1:1" ht="18.75" x14ac:dyDescent="0.25">
      <c r="A5269" s="6"/>
    </row>
    <row r="5270" spans="1:1" ht="18.75" x14ac:dyDescent="0.25">
      <c r="A5270" s="6"/>
    </row>
    <row r="5271" spans="1:1" ht="18.75" x14ac:dyDescent="0.25">
      <c r="A5271" s="6"/>
    </row>
    <row r="5272" spans="1:1" ht="18.75" x14ac:dyDescent="0.25">
      <c r="A5272" s="6"/>
    </row>
    <row r="5273" spans="1:1" ht="18.75" x14ac:dyDescent="0.25">
      <c r="A5273" s="6"/>
    </row>
    <row r="5274" spans="1:1" ht="18.75" x14ac:dyDescent="0.25">
      <c r="A5274" s="6"/>
    </row>
    <row r="5275" spans="1:1" ht="18.75" x14ac:dyDescent="0.25">
      <c r="A5275" s="6"/>
    </row>
    <row r="5276" spans="1:1" ht="18.75" x14ac:dyDescent="0.25">
      <c r="A5276" s="6"/>
    </row>
    <row r="5277" spans="1:1" ht="18.75" x14ac:dyDescent="0.25">
      <c r="A5277" s="6"/>
    </row>
    <row r="5278" spans="1:1" ht="18.75" x14ac:dyDescent="0.25">
      <c r="A5278" s="6"/>
    </row>
    <row r="5279" spans="1:1" ht="18.75" x14ac:dyDescent="0.25">
      <c r="A5279" s="6"/>
    </row>
    <row r="5280" spans="1:1" ht="18.75" x14ac:dyDescent="0.25">
      <c r="A5280" s="6"/>
    </row>
    <row r="5281" spans="1:1" ht="18.75" x14ac:dyDescent="0.25">
      <c r="A5281" s="6"/>
    </row>
    <row r="5282" spans="1:1" ht="18.75" x14ac:dyDescent="0.25">
      <c r="A5282" s="6"/>
    </row>
    <row r="5283" spans="1:1" ht="18.75" x14ac:dyDescent="0.25">
      <c r="A5283" s="6"/>
    </row>
    <row r="5284" spans="1:1" ht="18.75" x14ac:dyDescent="0.25">
      <c r="A5284" s="6"/>
    </row>
    <row r="5285" spans="1:1" ht="18.75" x14ac:dyDescent="0.25">
      <c r="A5285" s="6"/>
    </row>
    <row r="5286" spans="1:1" ht="18.75" x14ac:dyDescent="0.25">
      <c r="A5286" s="6"/>
    </row>
    <row r="5287" spans="1:1" ht="18.75" x14ac:dyDescent="0.25">
      <c r="A5287" s="6"/>
    </row>
    <row r="5288" spans="1:1" ht="18.75" x14ac:dyDescent="0.25">
      <c r="A5288" s="6"/>
    </row>
    <row r="5289" spans="1:1" ht="18.75" x14ac:dyDescent="0.25">
      <c r="A5289" s="6"/>
    </row>
    <row r="5290" spans="1:1" ht="18.75" x14ac:dyDescent="0.25">
      <c r="A5290" s="6"/>
    </row>
    <row r="5291" spans="1:1" ht="18.75" x14ac:dyDescent="0.25">
      <c r="A5291" s="6"/>
    </row>
    <row r="5292" spans="1:1" ht="18.75" x14ac:dyDescent="0.25">
      <c r="A5292" s="6"/>
    </row>
    <row r="5293" spans="1:1" ht="18.75" x14ac:dyDescent="0.25">
      <c r="A5293" s="6"/>
    </row>
    <row r="5294" spans="1:1" ht="18.75" x14ac:dyDescent="0.25">
      <c r="A5294" s="6"/>
    </row>
    <row r="5295" spans="1:1" ht="18.75" x14ac:dyDescent="0.25">
      <c r="A5295" s="6"/>
    </row>
    <row r="5296" spans="1:1" ht="18.75" x14ac:dyDescent="0.25">
      <c r="A5296" s="6"/>
    </row>
    <row r="5297" spans="1:1" ht="18.75" x14ac:dyDescent="0.25">
      <c r="A5297" s="6"/>
    </row>
    <row r="5298" spans="1:1" ht="18.75" x14ac:dyDescent="0.25">
      <c r="A5298" s="6"/>
    </row>
    <row r="5299" spans="1:1" ht="18.75" x14ac:dyDescent="0.25">
      <c r="A5299" s="6"/>
    </row>
    <row r="5300" spans="1:1" ht="18.75" x14ac:dyDescent="0.25">
      <c r="A5300" s="6"/>
    </row>
    <row r="5301" spans="1:1" ht="18.75" x14ac:dyDescent="0.25">
      <c r="A5301" s="6"/>
    </row>
    <row r="5302" spans="1:1" ht="18.75" x14ac:dyDescent="0.25">
      <c r="A5302" s="6"/>
    </row>
    <row r="5303" spans="1:1" ht="18.75" x14ac:dyDescent="0.25">
      <c r="A5303" s="6"/>
    </row>
    <row r="5304" spans="1:1" ht="18.75" x14ac:dyDescent="0.25">
      <c r="A5304" s="6"/>
    </row>
    <row r="5305" spans="1:1" ht="18.75" x14ac:dyDescent="0.25">
      <c r="A5305" s="6"/>
    </row>
    <row r="5306" spans="1:1" ht="18.75" x14ac:dyDescent="0.25">
      <c r="A5306" s="6"/>
    </row>
    <row r="5307" spans="1:1" ht="18.75" x14ac:dyDescent="0.25">
      <c r="A5307" s="6"/>
    </row>
    <row r="5308" spans="1:1" ht="18.75" x14ac:dyDescent="0.25">
      <c r="A5308" s="6"/>
    </row>
    <row r="5309" spans="1:1" ht="18.75" x14ac:dyDescent="0.25">
      <c r="A5309" s="6"/>
    </row>
    <row r="5310" spans="1:1" ht="18.75" x14ac:dyDescent="0.25">
      <c r="A5310" s="6"/>
    </row>
    <row r="5311" spans="1:1" ht="18.75" x14ac:dyDescent="0.25">
      <c r="A5311" s="6"/>
    </row>
    <row r="5312" spans="1:1" ht="18.75" x14ac:dyDescent="0.25">
      <c r="A5312" s="6"/>
    </row>
    <row r="5313" spans="1:1" ht="18.75" x14ac:dyDescent="0.25">
      <c r="A5313" s="6"/>
    </row>
    <row r="5314" spans="1:1" ht="18.75" x14ac:dyDescent="0.25">
      <c r="A5314" s="6"/>
    </row>
    <row r="5315" spans="1:1" ht="18.75" x14ac:dyDescent="0.25">
      <c r="A5315" s="6"/>
    </row>
    <row r="5316" spans="1:1" ht="18.75" x14ac:dyDescent="0.25">
      <c r="A5316" s="6"/>
    </row>
    <row r="5317" spans="1:1" ht="18.75" x14ac:dyDescent="0.25">
      <c r="A5317" s="6"/>
    </row>
    <row r="5318" spans="1:1" ht="18.75" x14ac:dyDescent="0.25">
      <c r="A5318" s="6"/>
    </row>
    <row r="5319" spans="1:1" ht="18.75" x14ac:dyDescent="0.25">
      <c r="A5319" s="6"/>
    </row>
    <row r="5320" spans="1:1" ht="18.75" x14ac:dyDescent="0.25">
      <c r="A5320" s="6"/>
    </row>
    <row r="5321" spans="1:1" ht="18.75" x14ac:dyDescent="0.25">
      <c r="A5321" s="6"/>
    </row>
    <row r="5322" spans="1:1" ht="18.75" x14ac:dyDescent="0.25">
      <c r="A5322" s="6"/>
    </row>
    <row r="5323" spans="1:1" ht="18.75" x14ac:dyDescent="0.25">
      <c r="A5323" s="6"/>
    </row>
    <row r="5324" spans="1:1" ht="18.75" x14ac:dyDescent="0.25">
      <c r="A5324" s="6"/>
    </row>
    <row r="5325" spans="1:1" ht="18.75" x14ac:dyDescent="0.25">
      <c r="A5325" s="6"/>
    </row>
    <row r="5326" spans="1:1" ht="18.75" x14ac:dyDescent="0.25">
      <c r="A5326" s="6"/>
    </row>
    <row r="5327" spans="1:1" ht="18.75" x14ac:dyDescent="0.25">
      <c r="A5327" s="6"/>
    </row>
    <row r="5328" spans="1:1" ht="18.75" x14ac:dyDescent="0.25">
      <c r="A5328" s="6"/>
    </row>
    <row r="5329" spans="1:1" ht="18.75" x14ac:dyDescent="0.25">
      <c r="A5329" s="6"/>
    </row>
    <row r="5330" spans="1:1" ht="18.75" x14ac:dyDescent="0.25">
      <c r="A5330" s="6"/>
    </row>
    <row r="5331" spans="1:1" ht="18.75" x14ac:dyDescent="0.25">
      <c r="A5331" s="6"/>
    </row>
    <row r="5332" spans="1:1" ht="18.75" x14ac:dyDescent="0.25">
      <c r="A5332" s="6"/>
    </row>
    <row r="5333" spans="1:1" ht="18.75" x14ac:dyDescent="0.25">
      <c r="A5333" s="6"/>
    </row>
    <row r="5334" spans="1:1" ht="18.75" x14ac:dyDescent="0.25">
      <c r="A5334" s="6"/>
    </row>
    <row r="5335" spans="1:1" ht="18.75" x14ac:dyDescent="0.25">
      <c r="A5335" s="6"/>
    </row>
    <row r="5336" spans="1:1" ht="18.75" x14ac:dyDescent="0.25">
      <c r="A5336" s="6"/>
    </row>
    <row r="5337" spans="1:1" ht="18.75" x14ac:dyDescent="0.25">
      <c r="A5337" s="6"/>
    </row>
    <row r="5338" spans="1:1" ht="18.75" x14ac:dyDescent="0.25">
      <c r="A5338" s="6"/>
    </row>
    <row r="5339" spans="1:1" ht="18.75" x14ac:dyDescent="0.25">
      <c r="A5339" s="6"/>
    </row>
    <row r="5340" spans="1:1" ht="18.75" x14ac:dyDescent="0.25">
      <c r="A5340" s="6"/>
    </row>
    <row r="5341" spans="1:1" ht="18.75" x14ac:dyDescent="0.25">
      <c r="A5341" s="6"/>
    </row>
    <row r="5342" spans="1:1" ht="18.75" x14ac:dyDescent="0.25">
      <c r="A5342" s="6"/>
    </row>
    <row r="5343" spans="1:1" ht="18.75" x14ac:dyDescent="0.25">
      <c r="A5343" s="6"/>
    </row>
    <row r="5344" spans="1:1" ht="18.75" x14ac:dyDescent="0.25">
      <c r="A5344" s="6"/>
    </row>
    <row r="5345" spans="1:1" ht="18.75" x14ac:dyDescent="0.25">
      <c r="A5345" s="6"/>
    </row>
    <row r="5346" spans="1:1" ht="18.75" x14ac:dyDescent="0.25">
      <c r="A5346" s="6"/>
    </row>
    <row r="5347" spans="1:1" ht="18.75" x14ac:dyDescent="0.25">
      <c r="A5347" s="6"/>
    </row>
    <row r="5348" spans="1:1" ht="18.75" x14ac:dyDescent="0.25">
      <c r="A5348" s="6"/>
    </row>
    <row r="5349" spans="1:1" ht="18.75" x14ac:dyDescent="0.25">
      <c r="A5349" s="6"/>
    </row>
    <row r="5350" spans="1:1" ht="18.75" x14ac:dyDescent="0.25">
      <c r="A5350" s="6"/>
    </row>
    <row r="5351" spans="1:1" ht="18.75" x14ac:dyDescent="0.25">
      <c r="A5351" s="6"/>
    </row>
    <row r="5352" spans="1:1" ht="18.75" x14ac:dyDescent="0.25">
      <c r="A5352" s="6"/>
    </row>
    <row r="5353" spans="1:1" ht="18.75" x14ac:dyDescent="0.25">
      <c r="A5353" s="6"/>
    </row>
    <row r="5354" spans="1:1" ht="18.75" x14ac:dyDescent="0.25">
      <c r="A5354" s="6"/>
    </row>
    <row r="5355" spans="1:1" ht="18.75" x14ac:dyDescent="0.25">
      <c r="A5355" s="6"/>
    </row>
    <row r="5356" spans="1:1" ht="18.75" x14ac:dyDescent="0.25">
      <c r="A5356" s="6"/>
    </row>
    <row r="5357" spans="1:1" ht="18.75" x14ac:dyDescent="0.25">
      <c r="A5357" s="6"/>
    </row>
    <row r="5358" spans="1:1" ht="18.75" x14ac:dyDescent="0.25">
      <c r="A5358" s="6"/>
    </row>
    <row r="5359" spans="1:1" ht="18.75" x14ac:dyDescent="0.25">
      <c r="A5359" s="6"/>
    </row>
    <row r="5360" spans="1:1" ht="18.75" x14ac:dyDescent="0.25">
      <c r="A5360" s="6"/>
    </row>
    <row r="5361" spans="1:1" ht="18.75" x14ac:dyDescent="0.25">
      <c r="A5361" s="6"/>
    </row>
    <row r="5362" spans="1:1" ht="18.75" x14ac:dyDescent="0.25">
      <c r="A5362" s="6"/>
    </row>
    <row r="5363" spans="1:1" ht="18.75" x14ac:dyDescent="0.25">
      <c r="A5363" s="6"/>
    </row>
    <row r="5364" spans="1:1" ht="18.75" x14ac:dyDescent="0.25">
      <c r="A5364" s="6"/>
    </row>
    <row r="5365" spans="1:1" ht="18.75" x14ac:dyDescent="0.25">
      <c r="A5365" s="6"/>
    </row>
    <row r="5366" spans="1:1" ht="18.75" x14ac:dyDescent="0.25">
      <c r="A5366" s="6"/>
    </row>
    <row r="5367" spans="1:1" ht="18.75" x14ac:dyDescent="0.25">
      <c r="A5367" s="6"/>
    </row>
    <row r="5368" spans="1:1" ht="18.75" x14ac:dyDescent="0.25">
      <c r="A5368" s="6"/>
    </row>
    <row r="5369" spans="1:1" ht="18.75" x14ac:dyDescent="0.25">
      <c r="A5369" s="6"/>
    </row>
    <row r="5370" spans="1:1" ht="18.75" x14ac:dyDescent="0.25">
      <c r="A5370" s="6"/>
    </row>
    <row r="5371" spans="1:1" ht="18.75" x14ac:dyDescent="0.25">
      <c r="A5371" s="6"/>
    </row>
    <row r="5372" spans="1:1" ht="18.75" x14ac:dyDescent="0.25">
      <c r="A5372" s="6"/>
    </row>
    <row r="5373" spans="1:1" ht="18.75" x14ac:dyDescent="0.25">
      <c r="A5373" s="6"/>
    </row>
    <row r="5374" spans="1:1" ht="18.75" x14ac:dyDescent="0.25">
      <c r="A5374" s="6"/>
    </row>
    <row r="5375" spans="1:1" ht="18.75" x14ac:dyDescent="0.25">
      <c r="A5375" s="6"/>
    </row>
    <row r="5376" spans="1:1" ht="18.75" x14ac:dyDescent="0.25">
      <c r="A5376" s="6"/>
    </row>
    <row r="5377" spans="1:1" ht="18.75" x14ac:dyDescent="0.25">
      <c r="A5377" s="6"/>
    </row>
    <row r="5378" spans="1:1" ht="18.75" x14ac:dyDescent="0.25">
      <c r="A5378" s="6"/>
    </row>
    <row r="5379" spans="1:1" ht="18.75" x14ac:dyDescent="0.25">
      <c r="A5379" s="6"/>
    </row>
    <row r="5380" spans="1:1" ht="18.75" x14ac:dyDescent="0.25">
      <c r="A5380" s="6"/>
    </row>
    <row r="5381" spans="1:1" ht="18.75" x14ac:dyDescent="0.25">
      <c r="A5381" s="6"/>
    </row>
    <row r="5382" spans="1:1" ht="18.75" x14ac:dyDescent="0.25">
      <c r="A5382" s="6"/>
    </row>
    <row r="5383" spans="1:1" ht="18.75" x14ac:dyDescent="0.25">
      <c r="A5383" s="6"/>
    </row>
    <row r="5384" spans="1:1" ht="18.75" x14ac:dyDescent="0.25">
      <c r="A5384" s="6"/>
    </row>
    <row r="5385" spans="1:1" ht="18.75" x14ac:dyDescent="0.25">
      <c r="A5385" s="6"/>
    </row>
    <row r="5386" spans="1:1" ht="18.75" x14ac:dyDescent="0.25">
      <c r="A5386" s="6"/>
    </row>
    <row r="5387" spans="1:1" ht="18.75" x14ac:dyDescent="0.25">
      <c r="A5387" s="6"/>
    </row>
    <row r="5388" spans="1:1" ht="18.75" x14ac:dyDescent="0.25">
      <c r="A5388" s="6"/>
    </row>
    <row r="5389" spans="1:1" ht="18.75" x14ac:dyDescent="0.25">
      <c r="A5389" s="6"/>
    </row>
    <row r="5390" spans="1:1" ht="18.75" x14ac:dyDescent="0.25">
      <c r="A5390" s="6"/>
    </row>
    <row r="5391" spans="1:1" ht="18.75" x14ac:dyDescent="0.25">
      <c r="A5391" s="6"/>
    </row>
    <row r="5392" spans="1:1" ht="18.75" x14ac:dyDescent="0.25">
      <c r="A5392" s="6"/>
    </row>
    <row r="5393" spans="1:1" ht="18.75" x14ac:dyDescent="0.25">
      <c r="A5393" s="6"/>
    </row>
    <row r="5394" spans="1:1" ht="18.75" x14ac:dyDescent="0.25">
      <c r="A5394" s="6"/>
    </row>
    <row r="5395" spans="1:1" ht="18.75" x14ac:dyDescent="0.25">
      <c r="A5395" s="6"/>
    </row>
    <row r="5396" spans="1:1" ht="18.75" x14ac:dyDescent="0.25">
      <c r="A5396" s="6"/>
    </row>
    <row r="5397" spans="1:1" ht="18.75" x14ac:dyDescent="0.25">
      <c r="A5397" s="6"/>
    </row>
    <row r="5398" spans="1:1" ht="18.75" x14ac:dyDescent="0.25">
      <c r="A5398" s="6"/>
    </row>
    <row r="5399" spans="1:1" ht="18.75" x14ac:dyDescent="0.25">
      <c r="A5399" s="6"/>
    </row>
    <row r="5400" spans="1:1" ht="18.75" x14ac:dyDescent="0.25">
      <c r="A5400" s="6"/>
    </row>
    <row r="5401" spans="1:1" ht="18.75" x14ac:dyDescent="0.25">
      <c r="A5401" s="6"/>
    </row>
    <row r="5402" spans="1:1" ht="18.75" x14ac:dyDescent="0.25">
      <c r="A5402" s="6"/>
    </row>
    <row r="5403" spans="1:1" ht="18.75" x14ac:dyDescent="0.25">
      <c r="A5403" s="6"/>
    </row>
    <row r="5404" spans="1:1" ht="18.75" x14ac:dyDescent="0.25">
      <c r="A5404" s="6"/>
    </row>
    <row r="5405" spans="1:1" ht="18.75" x14ac:dyDescent="0.25">
      <c r="A5405" s="6"/>
    </row>
    <row r="5406" spans="1:1" ht="18.75" x14ac:dyDescent="0.25">
      <c r="A5406" s="6"/>
    </row>
    <row r="5407" spans="1:1" ht="18.75" x14ac:dyDescent="0.25">
      <c r="A5407" s="6"/>
    </row>
    <row r="5408" spans="1:1" ht="18.75" x14ac:dyDescent="0.25">
      <c r="A5408" s="6"/>
    </row>
    <row r="5409" spans="1:1" ht="18.75" x14ac:dyDescent="0.25">
      <c r="A5409" s="6"/>
    </row>
    <row r="5410" spans="1:1" ht="18.75" x14ac:dyDescent="0.25">
      <c r="A5410" s="6"/>
    </row>
    <row r="5411" spans="1:1" ht="18.75" x14ac:dyDescent="0.25">
      <c r="A5411" s="6"/>
    </row>
    <row r="5412" spans="1:1" ht="18.75" x14ac:dyDescent="0.25">
      <c r="A5412" s="6"/>
    </row>
    <row r="5413" spans="1:1" ht="18.75" x14ac:dyDescent="0.25">
      <c r="A5413" s="6"/>
    </row>
    <row r="5414" spans="1:1" ht="18.75" x14ac:dyDescent="0.25">
      <c r="A5414" s="6"/>
    </row>
    <row r="5415" spans="1:1" ht="18.75" x14ac:dyDescent="0.25">
      <c r="A5415" s="6"/>
    </row>
    <row r="5416" spans="1:1" ht="18.75" x14ac:dyDescent="0.25">
      <c r="A5416" s="6"/>
    </row>
    <row r="5417" spans="1:1" ht="18.75" x14ac:dyDescent="0.25">
      <c r="A5417" s="6"/>
    </row>
    <row r="5418" spans="1:1" ht="18.75" x14ac:dyDescent="0.25">
      <c r="A5418" s="6"/>
    </row>
    <row r="5419" spans="1:1" ht="18.75" x14ac:dyDescent="0.25">
      <c r="A5419" s="6"/>
    </row>
    <row r="5420" spans="1:1" ht="18.75" x14ac:dyDescent="0.25">
      <c r="A5420" s="6"/>
    </row>
    <row r="5421" spans="1:1" ht="18.75" x14ac:dyDescent="0.25">
      <c r="A5421" s="6"/>
    </row>
    <row r="5422" spans="1:1" ht="18.75" x14ac:dyDescent="0.25">
      <c r="A5422" s="6"/>
    </row>
    <row r="5423" spans="1:1" ht="18.75" x14ac:dyDescent="0.25">
      <c r="A5423" s="6"/>
    </row>
    <row r="5424" spans="1:1" ht="18.75" x14ac:dyDescent="0.25">
      <c r="A5424" s="6"/>
    </row>
    <row r="5425" spans="1:1" ht="18.75" x14ac:dyDescent="0.25">
      <c r="A5425" s="6"/>
    </row>
    <row r="5426" spans="1:1" ht="18.75" x14ac:dyDescent="0.25">
      <c r="A5426" s="6"/>
    </row>
    <row r="5427" spans="1:1" ht="18.75" x14ac:dyDescent="0.25">
      <c r="A5427" s="6"/>
    </row>
    <row r="5428" spans="1:1" ht="18.75" x14ac:dyDescent="0.25">
      <c r="A5428" s="6"/>
    </row>
    <row r="5429" spans="1:1" ht="18.75" x14ac:dyDescent="0.25">
      <c r="A5429" s="6"/>
    </row>
    <row r="5430" spans="1:1" ht="18.75" x14ac:dyDescent="0.25">
      <c r="A5430" s="6"/>
    </row>
    <row r="5431" spans="1:1" ht="18.75" x14ac:dyDescent="0.25">
      <c r="A5431" s="6"/>
    </row>
    <row r="5432" spans="1:1" ht="18.75" x14ac:dyDescent="0.25">
      <c r="A5432" s="6"/>
    </row>
    <row r="5433" spans="1:1" ht="18.75" x14ac:dyDescent="0.25">
      <c r="A5433" s="6"/>
    </row>
    <row r="5434" spans="1:1" ht="18.75" x14ac:dyDescent="0.25">
      <c r="A5434" s="6"/>
    </row>
    <row r="5435" spans="1:1" ht="18.75" x14ac:dyDescent="0.25">
      <c r="A5435" s="6"/>
    </row>
    <row r="5436" spans="1:1" ht="18.75" x14ac:dyDescent="0.25">
      <c r="A5436" s="6"/>
    </row>
    <row r="5437" spans="1:1" ht="18.75" x14ac:dyDescent="0.25">
      <c r="A5437" s="6"/>
    </row>
    <row r="5438" spans="1:1" ht="18.75" x14ac:dyDescent="0.25">
      <c r="A5438" s="6"/>
    </row>
    <row r="5439" spans="1:1" ht="18.75" x14ac:dyDescent="0.25">
      <c r="A5439" s="6"/>
    </row>
    <row r="5440" spans="1:1" ht="18.75" x14ac:dyDescent="0.25">
      <c r="A5440" s="6"/>
    </row>
    <row r="5441" spans="1:1" ht="18.75" x14ac:dyDescent="0.25">
      <c r="A5441" s="6"/>
    </row>
    <row r="5442" spans="1:1" ht="18.75" x14ac:dyDescent="0.25">
      <c r="A5442" s="6"/>
    </row>
    <row r="5443" spans="1:1" ht="18.75" x14ac:dyDescent="0.25">
      <c r="A5443" s="6"/>
    </row>
    <row r="5444" spans="1:1" ht="18.75" x14ac:dyDescent="0.25">
      <c r="A5444" s="6"/>
    </row>
    <row r="5445" spans="1:1" ht="18.75" x14ac:dyDescent="0.25">
      <c r="A5445" s="6"/>
    </row>
    <row r="5446" spans="1:1" ht="18.75" x14ac:dyDescent="0.25">
      <c r="A5446" s="6"/>
    </row>
    <row r="5447" spans="1:1" ht="18.75" x14ac:dyDescent="0.25">
      <c r="A5447" s="6"/>
    </row>
    <row r="5448" spans="1:1" ht="18.75" x14ac:dyDescent="0.25">
      <c r="A5448" s="6"/>
    </row>
    <row r="5449" spans="1:1" ht="18.75" x14ac:dyDescent="0.25">
      <c r="A5449" s="6"/>
    </row>
    <row r="5450" spans="1:1" ht="18.75" x14ac:dyDescent="0.25">
      <c r="A5450" s="6"/>
    </row>
    <row r="5451" spans="1:1" ht="18.75" x14ac:dyDescent="0.25">
      <c r="A5451" s="6"/>
    </row>
    <row r="5452" spans="1:1" ht="18.75" x14ac:dyDescent="0.25">
      <c r="A5452" s="6"/>
    </row>
    <row r="5453" spans="1:1" ht="18.75" x14ac:dyDescent="0.25">
      <c r="A5453" s="6"/>
    </row>
    <row r="5454" spans="1:1" ht="18.75" x14ac:dyDescent="0.25">
      <c r="A5454" s="6"/>
    </row>
    <row r="5455" spans="1:1" ht="18.75" x14ac:dyDescent="0.25">
      <c r="A5455" s="6"/>
    </row>
    <row r="5456" spans="1:1" ht="18.75" x14ac:dyDescent="0.25">
      <c r="A5456" s="6"/>
    </row>
    <row r="5457" spans="1:1" ht="18.75" x14ac:dyDescent="0.25">
      <c r="A5457" s="6"/>
    </row>
    <row r="5458" spans="1:1" ht="18.75" x14ac:dyDescent="0.25">
      <c r="A5458" s="6"/>
    </row>
    <row r="5459" spans="1:1" ht="18.75" x14ac:dyDescent="0.25">
      <c r="A5459" s="6"/>
    </row>
    <row r="5460" spans="1:1" ht="18.75" x14ac:dyDescent="0.25">
      <c r="A5460" s="6"/>
    </row>
    <row r="5461" spans="1:1" ht="18.75" x14ac:dyDescent="0.25">
      <c r="A5461" s="6"/>
    </row>
    <row r="5462" spans="1:1" ht="18.75" x14ac:dyDescent="0.25">
      <c r="A5462" s="6"/>
    </row>
    <row r="5463" spans="1:1" ht="18.75" x14ac:dyDescent="0.25">
      <c r="A5463" s="6"/>
    </row>
    <row r="5464" spans="1:1" ht="18.75" x14ac:dyDescent="0.25">
      <c r="A5464" s="6"/>
    </row>
    <row r="5465" spans="1:1" ht="18.75" x14ac:dyDescent="0.25">
      <c r="A5465" s="6"/>
    </row>
    <row r="5466" spans="1:1" ht="18.75" x14ac:dyDescent="0.25">
      <c r="A5466" s="6"/>
    </row>
    <row r="5467" spans="1:1" ht="18.75" x14ac:dyDescent="0.25">
      <c r="A5467" s="6"/>
    </row>
    <row r="5468" spans="1:1" ht="18.75" x14ac:dyDescent="0.25">
      <c r="A5468" s="6"/>
    </row>
    <row r="5469" spans="1:1" ht="18.75" x14ac:dyDescent="0.25">
      <c r="A5469" s="6"/>
    </row>
    <row r="5470" spans="1:1" ht="18.75" x14ac:dyDescent="0.25">
      <c r="A5470" s="6"/>
    </row>
    <row r="5471" spans="1:1" ht="18.75" x14ac:dyDescent="0.25">
      <c r="A5471" s="6"/>
    </row>
    <row r="5472" spans="1:1" ht="18.75" x14ac:dyDescent="0.25">
      <c r="A5472" s="6"/>
    </row>
    <row r="5473" spans="1:1" ht="18.75" x14ac:dyDescent="0.25">
      <c r="A5473" s="6"/>
    </row>
    <row r="5474" spans="1:1" ht="18.75" x14ac:dyDescent="0.25">
      <c r="A5474" s="6"/>
    </row>
    <row r="5475" spans="1:1" ht="18.75" x14ac:dyDescent="0.25">
      <c r="A5475" s="6"/>
    </row>
    <row r="5476" spans="1:1" ht="18.75" x14ac:dyDescent="0.25">
      <c r="A5476" s="6"/>
    </row>
    <row r="5477" spans="1:1" ht="18.75" x14ac:dyDescent="0.25">
      <c r="A5477" s="6"/>
    </row>
    <row r="5478" spans="1:1" ht="18.75" x14ac:dyDescent="0.25">
      <c r="A5478" s="6"/>
    </row>
    <row r="5479" spans="1:1" ht="18.75" x14ac:dyDescent="0.25">
      <c r="A5479" s="6"/>
    </row>
    <row r="5480" spans="1:1" ht="18.75" x14ac:dyDescent="0.25">
      <c r="A5480" s="6"/>
    </row>
    <row r="5481" spans="1:1" ht="18.75" x14ac:dyDescent="0.25">
      <c r="A5481" s="6"/>
    </row>
    <row r="5482" spans="1:1" ht="18.75" x14ac:dyDescent="0.25">
      <c r="A5482" s="6"/>
    </row>
    <row r="5483" spans="1:1" ht="18.75" x14ac:dyDescent="0.25">
      <c r="A5483" s="6"/>
    </row>
    <row r="5484" spans="1:1" ht="18.75" x14ac:dyDescent="0.25">
      <c r="A5484" s="6"/>
    </row>
    <row r="5485" spans="1:1" ht="18.75" x14ac:dyDescent="0.25">
      <c r="A5485" s="6"/>
    </row>
    <row r="5486" spans="1:1" ht="18.75" x14ac:dyDescent="0.25">
      <c r="A5486" s="6"/>
    </row>
    <row r="5487" spans="1:1" ht="18.75" x14ac:dyDescent="0.25">
      <c r="A5487" s="6"/>
    </row>
    <row r="5488" spans="1:1" ht="18.75" x14ac:dyDescent="0.25">
      <c r="A5488" s="6"/>
    </row>
    <row r="5489" spans="1:1" ht="18.75" x14ac:dyDescent="0.25">
      <c r="A5489" s="6"/>
    </row>
    <row r="5490" spans="1:1" ht="18.75" x14ac:dyDescent="0.25">
      <c r="A5490" s="6"/>
    </row>
    <row r="5491" spans="1:1" ht="18.75" x14ac:dyDescent="0.25">
      <c r="A5491" s="6"/>
    </row>
    <row r="5492" spans="1:1" ht="18.75" x14ac:dyDescent="0.25">
      <c r="A5492" s="6"/>
    </row>
    <row r="5493" spans="1:1" ht="18.75" x14ac:dyDescent="0.25">
      <c r="A5493" s="6"/>
    </row>
    <row r="5494" spans="1:1" ht="18.75" x14ac:dyDescent="0.25">
      <c r="A5494" s="6"/>
    </row>
    <row r="5495" spans="1:1" ht="18.75" x14ac:dyDescent="0.25">
      <c r="A5495" s="6"/>
    </row>
    <row r="5496" spans="1:1" ht="18.75" x14ac:dyDescent="0.25">
      <c r="A5496" s="6"/>
    </row>
    <row r="5497" spans="1:1" ht="18.75" x14ac:dyDescent="0.25">
      <c r="A5497" s="6"/>
    </row>
    <row r="5498" spans="1:1" ht="18.75" x14ac:dyDescent="0.25">
      <c r="A5498" s="6"/>
    </row>
    <row r="5499" spans="1:1" ht="18.75" x14ac:dyDescent="0.25">
      <c r="A5499" s="6"/>
    </row>
    <row r="5500" spans="1:1" ht="18.75" x14ac:dyDescent="0.25">
      <c r="A5500" s="6"/>
    </row>
    <row r="5501" spans="1:1" ht="18.75" x14ac:dyDescent="0.25">
      <c r="A5501" s="6"/>
    </row>
    <row r="5502" spans="1:1" ht="18.75" x14ac:dyDescent="0.25">
      <c r="A5502" s="6"/>
    </row>
    <row r="5503" spans="1:1" ht="18.75" x14ac:dyDescent="0.25">
      <c r="A5503" s="6"/>
    </row>
    <row r="5504" spans="1:1" ht="18.75" x14ac:dyDescent="0.25">
      <c r="A5504" s="6"/>
    </row>
    <row r="5505" spans="1:1" ht="18.75" x14ac:dyDescent="0.25">
      <c r="A5505" s="6"/>
    </row>
    <row r="5506" spans="1:1" ht="18.75" x14ac:dyDescent="0.25">
      <c r="A5506" s="6"/>
    </row>
    <row r="5507" spans="1:1" ht="18.75" x14ac:dyDescent="0.25">
      <c r="A5507" s="6"/>
    </row>
    <row r="5508" spans="1:1" ht="18.75" x14ac:dyDescent="0.25">
      <c r="A5508" s="6"/>
    </row>
    <row r="5509" spans="1:1" ht="18.75" x14ac:dyDescent="0.25">
      <c r="A5509" s="6"/>
    </row>
    <row r="5510" spans="1:1" ht="18.75" x14ac:dyDescent="0.25">
      <c r="A5510" s="6"/>
    </row>
    <row r="5511" spans="1:1" ht="18.75" x14ac:dyDescent="0.25">
      <c r="A5511" s="6"/>
    </row>
    <row r="5512" spans="1:1" ht="18.75" x14ac:dyDescent="0.25">
      <c r="A5512" s="6"/>
    </row>
    <row r="5513" spans="1:1" ht="18.75" x14ac:dyDescent="0.25">
      <c r="A5513" s="6"/>
    </row>
    <row r="5514" spans="1:1" ht="18.75" x14ac:dyDescent="0.25">
      <c r="A5514" s="6"/>
    </row>
    <row r="5515" spans="1:1" ht="18.75" x14ac:dyDescent="0.25">
      <c r="A5515" s="6"/>
    </row>
    <row r="5516" spans="1:1" ht="18.75" x14ac:dyDescent="0.25">
      <c r="A5516" s="6"/>
    </row>
    <row r="5517" spans="1:1" ht="18.75" x14ac:dyDescent="0.25">
      <c r="A5517" s="6"/>
    </row>
    <row r="5518" spans="1:1" ht="18.75" x14ac:dyDescent="0.25">
      <c r="A5518" s="6"/>
    </row>
    <row r="5519" spans="1:1" ht="18.75" x14ac:dyDescent="0.25">
      <c r="A5519" s="6"/>
    </row>
    <row r="5520" spans="1:1" ht="18.75" x14ac:dyDescent="0.25">
      <c r="A5520" s="6"/>
    </row>
    <row r="5521" spans="1:1" ht="18.75" x14ac:dyDescent="0.25">
      <c r="A5521" s="6"/>
    </row>
    <row r="5522" spans="1:1" ht="18.75" x14ac:dyDescent="0.25">
      <c r="A5522" s="6"/>
    </row>
    <row r="5523" spans="1:1" ht="18.75" x14ac:dyDescent="0.25">
      <c r="A5523" s="6"/>
    </row>
    <row r="5524" spans="1:1" ht="18.75" x14ac:dyDescent="0.25">
      <c r="A5524" s="6"/>
    </row>
    <row r="5525" spans="1:1" ht="18.75" x14ac:dyDescent="0.25">
      <c r="A5525" s="6"/>
    </row>
    <row r="5526" spans="1:1" ht="18.75" x14ac:dyDescent="0.25">
      <c r="A5526" s="6"/>
    </row>
    <row r="5527" spans="1:1" ht="18.75" x14ac:dyDescent="0.25">
      <c r="A5527" s="6"/>
    </row>
    <row r="5528" spans="1:1" ht="18.75" x14ac:dyDescent="0.25">
      <c r="A5528" s="6"/>
    </row>
    <row r="5529" spans="1:1" ht="18.75" x14ac:dyDescent="0.25">
      <c r="A5529" s="6"/>
    </row>
    <row r="5530" spans="1:1" ht="18.75" x14ac:dyDescent="0.25">
      <c r="A5530" s="6"/>
    </row>
    <row r="5531" spans="1:1" ht="18.75" x14ac:dyDescent="0.25">
      <c r="A5531" s="6"/>
    </row>
    <row r="5532" spans="1:1" ht="18.75" x14ac:dyDescent="0.25">
      <c r="A5532" s="6"/>
    </row>
    <row r="5533" spans="1:1" ht="18.75" x14ac:dyDescent="0.25">
      <c r="A5533" s="6"/>
    </row>
    <row r="5534" spans="1:1" ht="18.75" x14ac:dyDescent="0.25">
      <c r="A5534" s="6"/>
    </row>
    <row r="5535" spans="1:1" ht="18.75" x14ac:dyDescent="0.25">
      <c r="A5535" s="6"/>
    </row>
    <row r="5536" spans="1:1" ht="18.75" x14ac:dyDescent="0.25">
      <c r="A5536" s="6"/>
    </row>
    <row r="5537" spans="1:1" ht="18.75" x14ac:dyDescent="0.25">
      <c r="A5537" s="6"/>
    </row>
    <row r="5538" spans="1:1" ht="18.75" x14ac:dyDescent="0.25">
      <c r="A5538" s="6"/>
    </row>
    <row r="5539" spans="1:1" ht="18.75" x14ac:dyDescent="0.25">
      <c r="A5539" s="6"/>
    </row>
    <row r="5540" spans="1:1" ht="18.75" x14ac:dyDescent="0.25">
      <c r="A5540" s="6"/>
    </row>
    <row r="5541" spans="1:1" ht="18.75" x14ac:dyDescent="0.25">
      <c r="A5541" s="6"/>
    </row>
    <row r="5542" spans="1:1" ht="18.75" x14ac:dyDescent="0.25">
      <c r="A5542" s="6"/>
    </row>
    <row r="5543" spans="1:1" ht="18.75" x14ac:dyDescent="0.25">
      <c r="A5543" s="6"/>
    </row>
    <row r="5544" spans="1:1" ht="18.75" x14ac:dyDescent="0.25">
      <c r="A5544" s="6"/>
    </row>
    <row r="5545" spans="1:1" ht="18.75" x14ac:dyDescent="0.25">
      <c r="A5545" s="6"/>
    </row>
    <row r="5546" spans="1:1" ht="18.75" x14ac:dyDescent="0.25">
      <c r="A5546" s="6"/>
    </row>
    <row r="5547" spans="1:1" ht="18.75" x14ac:dyDescent="0.25">
      <c r="A5547" s="6"/>
    </row>
    <row r="5548" spans="1:1" ht="18.75" x14ac:dyDescent="0.25">
      <c r="A5548" s="6"/>
    </row>
    <row r="5549" spans="1:1" ht="18.75" x14ac:dyDescent="0.25">
      <c r="A5549" s="6"/>
    </row>
    <row r="5550" spans="1:1" ht="18.75" x14ac:dyDescent="0.25">
      <c r="A5550" s="6"/>
    </row>
    <row r="5551" spans="1:1" ht="18.75" x14ac:dyDescent="0.25">
      <c r="A5551" s="6"/>
    </row>
    <row r="5552" spans="1:1" ht="18.75" x14ac:dyDescent="0.25">
      <c r="A5552" s="6"/>
    </row>
    <row r="5553" spans="1:1" ht="18.75" x14ac:dyDescent="0.25">
      <c r="A5553" s="6"/>
    </row>
    <row r="5554" spans="1:1" ht="18.75" x14ac:dyDescent="0.25">
      <c r="A5554" s="6"/>
    </row>
    <row r="5555" spans="1:1" ht="18.75" x14ac:dyDescent="0.25">
      <c r="A5555" s="6"/>
    </row>
    <row r="5556" spans="1:1" ht="18.75" x14ac:dyDescent="0.25">
      <c r="A5556" s="6"/>
    </row>
    <row r="5557" spans="1:1" ht="18.75" x14ac:dyDescent="0.25">
      <c r="A5557" s="6"/>
    </row>
    <row r="5558" spans="1:1" ht="18.75" x14ac:dyDescent="0.25">
      <c r="A5558" s="6"/>
    </row>
    <row r="5559" spans="1:1" ht="18.75" x14ac:dyDescent="0.25">
      <c r="A5559" s="6"/>
    </row>
    <row r="5560" spans="1:1" ht="18.75" x14ac:dyDescent="0.25">
      <c r="A5560" s="6"/>
    </row>
    <row r="5561" spans="1:1" ht="18.75" x14ac:dyDescent="0.25">
      <c r="A5561" s="6"/>
    </row>
    <row r="5562" spans="1:1" ht="18.75" x14ac:dyDescent="0.25">
      <c r="A5562" s="6"/>
    </row>
    <row r="5563" spans="1:1" ht="18.75" x14ac:dyDescent="0.25">
      <c r="A5563" s="6"/>
    </row>
    <row r="5564" spans="1:1" ht="18.75" x14ac:dyDescent="0.25">
      <c r="A5564" s="6"/>
    </row>
    <row r="5565" spans="1:1" ht="18.75" x14ac:dyDescent="0.25">
      <c r="A5565" s="6"/>
    </row>
    <row r="5566" spans="1:1" ht="18.75" x14ac:dyDescent="0.25">
      <c r="A5566" s="6"/>
    </row>
    <row r="5567" spans="1:1" ht="18.75" x14ac:dyDescent="0.25">
      <c r="A5567" s="6"/>
    </row>
    <row r="5568" spans="1:1" ht="18.75" x14ac:dyDescent="0.25">
      <c r="A5568" s="6"/>
    </row>
    <row r="5569" spans="1:1" ht="18.75" x14ac:dyDescent="0.25">
      <c r="A5569" s="6"/>
    </row>
    <row r="5570" spans="1:1" ht="18.75" x14ac:dyDescent="0.25">
      <c r="A5570" s="6"/>
    </row>
    <row r="5571" spans="1:1" ht="18.75" x14ac:dyDescent="0.25">
      <c r="A5571" s="6"/>
    </row>
    <row r="5572" spans="1:1" ht="18.75" x14ac:dyDescent="0.25">
      <c r="A5572" s="6"/>
    </row>
    <row r="5573" spans="1:1" ht="18.75" x14ac:dyDescent="0.25">
      <c r="A5573" s="6"/>
    </row>
    <row r="5574" spans="1:1" ht="18.75" x14ac:dyDescent="0.25">
      <c r="A5574" s="6"/>
    </row>
    <row r="5575" spans="1:1" ht="18.75" x14ac:dyDescent="0.25">
      <c r="A5575" s="6"/>
    </row>
    <row r="5576" spans="1:1" ht="18.75" x14ac:dyDescent="0.25">
      <c r="A5576" s="6"/>
    </row>
    <row r="5577" spans="1:1" ht="18.75" x14ac:dyDescent="0.25">
      <c r="A5577" s="6"/>
    </row>
    <row r="5578" spans="1:1" ht="18.75" x14ac:dyDescent="0.25">
      <c r="A5578" s="6"/>
    </row>
    <row r="5579" spans="1:1" ht="18.75" x14ac:dyDescent="0.25">
      <c r="A5579" s="6"/>
    </row>
    <row r="5580" spans="1:1" ht="18.75" x14ac:dyDescent="0.25">
      <c r="A5580" s="6"/>
    </row>
    <row r="5581" spans="1:1" ht="18.75" x14ac:dyDescent="0.25">
      <c r="A5581" s="6"/>
    </row>
    <row r="5582" spans="1:1" ht="18.75" x14ac:dyDescent="0.25">
      <c r="A5582" s="6"/>
    </row>
    <row r="5583" spans="1:1" ht="18.75" x14ac:dyDescent="0.25">
      <c r="A5583" s="6"/>
    </row>
    <row r="5584" spans="1:1" ht="18.75" x14ac:dyDescent="0.25">
      <c r="A5584" s="6"/>
    </row>
    <row r="5585" spans="1:1" ht="18.75" x14ac:dyDescent="0.25">
      <c r="A5585" s="6"/>
    </row>
    <row r="5586" spans="1:1" ht="18.75" x14ac:dyDescent="0.25">
      <c r="A5586" s="6"/>
    </row>
    <row r="5587" spans="1:1" ht="18.75" x14ac:dyDescent="0.25">
      <c r="A5587" s="6"/>
    </row>
    <row r="5588" spans="1:1" ht="18.75" x14ac:dyDescent="0.25">
      <c r="A5588" s="6"/>
    </row>
    <row r="5589" spans="1:1" ht="18.75" x14ac:dyDescent="0.25">
      <c r="A5589" s="6"/>
    </row>
    <row r="5590" spans="1:1" ht="18.75" x14ac:dyDescent="0.25">
      <c r="A5590" s="6"/>
    </row>
    <row r="5591" spans="1:1" ht="18.75" x14ac:dyDescent="0.25">
      <c r="A5591" s="6"/>
    </row>
    <row r="5592" spans="1:1" ht="18.75" x14ac:dyDescent="0.25">
      <c r="A5592" s="6"/>
    </row>
    <row r="5593" spans="1:1" ht="18.75" x14ac:dyDescent="0.25">
      <c r="A5593" s="6"/>
    </row>
    <row r="5594" spans="1:1" ht="18.75" x14ac:dyDescent="0.25">
      <c r="A5594" s="6"/>
    </row>
    <row r="5595" spans="1:1" ht="18.75" x14ac:dyDescent="0.25">
      <c r="A5595" s="6"/>
    </row>
    <row r="5596" spans="1:1" ht="18.75" x14ac:dyDescent="0.25">
      <c r="A5596" s="6"/>
    </row>
    <row r="5597" spans="1:1" ht="18.75" x14ac:dyDescent="0.25">
      <c r="A5597" s="6"/>
    </row>
    <row r="5598" spans="1:1" ht="18.75" x14ac:dyDescent="0.25">
      <c r="A5598" s="6"/>
    </row>
    <row r="5599" spans="1:1" ht="18.75" x14ac:dyDescent="0.25">
      <c r="A5599" s="6"/>
    </row>
    <row r="5600" spans="1:1" ht="18.75" x14ac:dyDescent="0.25">
      <c r="A5600" s="6"/>
    </row>
    <row r="5601" spans="1:1" ht="18.75" x14ac:dyDescent="0.25">
      <c r="A5601" s="6"/>
    </row>
    <row r="5602" spans="1:1" ht="18.75" x14ac:dyDescent="0.25">
      <c r="A5602" s="6"/>
    </row>
    <row r="5603" spans="1:1" ht="18.75" x14ac:dyDescent="0.25">
      <c r="A5603" s="6"/>
    </row>
    <row r="5604" spans="1:1" ht="18.75" x14ac:dyDescent="0.25">
      <c r="A5604" s="6"/>
    </row>
    <row r="5605" spans="1:1" ht="18.75" x14ac:dyDescent="0.25">
      <c r="A5605" s="6"/>
    </row>
    <row r="5606" spans="1:1" ht="18.75" x14ac:dyDescent="0.25">
      <c r="A5606" s="6"/>
    </row>
    <row r="5607" spans="1:1" ht="18.75" x14ac:dyDescent="0.25">
      <c r="A5607" s="6"/>
    </row>
    <row r="5608" spans="1:1" ht="18.75" x14ac:dyDescent="0.25">
      <c r="A5608" s="6"/>
    </row>
    <row r="5609" spans="1:1" ht="18.75" x14ac:dyDescent="0.25">
      <c r="A5609" s="6"/>
    </row>
    <row r="5610" spans="1:1" ht="18.75" x14ac:dyDescent="0.25">
      <c r="A5610" s="6"/>
    </row>
    <row r="5611" spans="1:1" ht="18.75" x14ac:dyDescent="0.25">
      <c r="A5611" s="6"/>
    </row>
    <row r="5612" spans="1:1" ht="18.75" x14ac:dyDescent="0.25">
      <c r="A5612" s="6"/>
    </row>
    <row r="5613" spans="1:1" ht="18.75" x14ac:dyDescent="0.25">
      <c r="A5613" s="6"/>
    </row>
    <row r="5614" spans="1:1" ht="18.75" x14ac:dyDescent="0.25">
      <c r="A5614" s="6"/>
    </row>
    <row r="5615" spans="1:1" ht="18.75" x14ac:dyDescent="0.25">
      <c r="A5615" s="6"/>
    </row>
    <row r="5616" spans="1:1" ht="18.75" x14ac:dyDescent="0.25">
      <c r="A5616" s="6"/>
    </row>
    <row r="5617" spans="1:1" ht="18.75" x14ac:dyDescent="0.25">
      <c r="A5617" s="6"/>
    </row>
    <row r="5618" spans="1:1" ht="18.75" x14ac:dyDescent="0.25">
      <c r="A5618" s="6"/>
    </row>
    <row r="5619" spans="1:1" ht="18.75" x14ac:dyDescent="0.25">
      <c r="A5619" s="6"/>
    </row>
    <row r="5620" spans="1:1" ht="18.75" x14ac:dyDescent="0.25">
      <c r="A5620" s="6"/>
    </row>
    <row r="5621" spans="1:1" ht="18.75" x14ac:dyDescent="0.25">
      <c r="A5621" s="6"/>
    </row>
    <row r="5622" spans="1:1" ht="18.75" x14ac:dyDescent="0.25">
      <c r="A5622" s="6"/>
    </row>
    <row r="5623" spans="1:1" ht="18.75" x14ac:dyDescent="0.25">
      <c r="A5623" s="6"/>
    </row>
    <row r="5624" spans="1:1" ht="18.75" x14ac:dyDescent="0.25">
      <c r="A5624" s="6"/>
    </row>
    <row r="5625" spans="1:1" ht="18.75" x14ac:dyDescent="0.25">
      <c r="A5625" s="6"/>
    </row>
    <row r="5626" spans="1:1" ht="18.75" x14ac:dyDescent="0.25">
      <c r="A5626" s="6"/>
    </row>
    <row r="5627" spans="1:1" ht="18.75" x14ac:dyDescent="0.25">
      <c r="A5627" s="6"/>
    </row>
    <row r="5628" spans="1:1" ht="18.75" x14ac:dyDescent="0.25">
      <c r="A5628" s="6"/>
    </row>
    <row r="5629" spans="1:1" ht="18.75" x14ac:dyDescent="0.25">
      <c r="A5629" s="6"/>
    </row>
    <row r="5630" spans="1:1" ht="18.75" x14ac:dyDescent="0.25">
      <c r="A5630" s="6"/>
    </row>
    <row r="5631" spans="1:1" ht="18.75" x14ac:dyDescent="0.25">
      <c r="A5631" s="6"/>
    </row>
    <row r="5632" spans="1:1" ht="18.75" x14ac:dyDescent="0.25">
      <c r="A5632" s="6"/>
    </row>
    <row r="5633" spans="1:1" ht="18.75" x14ac:dyDescent="0.25">
      <c r="A5633" s="6"/>
    </row>
    <row r="5634" spans="1:1" ht="18.75" x14ac:dyDescent="0.25">
      <c r="A5634" s="6"/>
    </row>
    <row r="5635" spans="1:1" ht="18.75" x14ac:dyDescent="0.25">
      <c r="A5635" s="6"/>
    </row>
    <row r="5636" spans="1:1" ht="18.75" x14ac:dyDescent="0.25">
      <c r="A5636" s="6"/>
    </row>
    <row r="5637" spans="1:1" ht="18.75" x14ac:dyDescent="0.25">
      <c r="A5637" s="6"/>
    </row>
    <row r="5638" spans="1:1" ht="18.75" x14ac:dyDescent="0.25">
      <c r="A5638" s="6"/>
    </row>
    <row r="5639" spans="1:1" ht="18.75" x14ac:dyDescent="0.25">
      <c r="A5639" s="6"/>
    </row>
    <row r="5640" spans="1:1" ht="18.75" x14ac:dyDescent="0.25">
      <c r="A5640" s="6"/>
    </row>
    <row r="5641" spans="1:1" ht="18.75" x14ac:dyDescent="0.25">
      <c r="A5641" s="6"/>
    </row>
    <row r="5642" spans="1:1" ht="18.75" x14ac:dyDescent="0.25">
      <c r="A5642" s="6"/>
    </row>
    <row r="5643" spans="1:1" ht="18.75" x14ac:dyDescent="0.25">
      <c r="A5643" s="6"/>
    </row>
    <row r="5644" spans="1:1" ht="18.75" x14ac:dyDescent="0.25">
      <c r="A5644" s="6"/>
    </row>
    <row r="5645" spans="1:1" ht="18.75" x14ac:dyDescent="0.25">
      <c r="A5645" s="6"/>
    </row>
    <row r="5646" spans="1:1" ht="18.75" x14ac:dyDescent="0.25">
      <c r="A5646" s="6"/>
    </row>
    <row r="5647" spans="1:1" ht="18.75" x14ac:dyDescent="0.25">
      <c r="A5647" s="6"/>
    </row>
    <row r="5648" spans="1:1" ht="18.75" x14ac:dyDescent="0.25">
      <c r="A5648" s="6"/>
    </row>
    <row r="5649" spans="1:1" ht="18.75" x14ac:dyDescent="0.25">
      <c r="A5649" s="6"/>
    </row>
    <row r="5650" spans="1:1" ht="18.75" x14ac:dyDescent="0.25">
      <c r="A5650" s="6"/>
    </row>
    <row r="5651" spans="1:1" ht="18.75" x14ac:dyDescent="0.25">
      <c r="A5651" s="6"/>
    </row>
    <row r="5652" spans="1:1" ht="18.75" x14ac:dyDescent="0.25">
      <c r="A5652" s="6"/>
    </row>
    <row r="5653" spans="1:1" ht="18.75" x14ac:dyDescent="0.25">
      <c r="A5653" s="6"/>
    </row>
    <row r="5654" spans="1:1" ht="18.75" x14ac:dyDescent="0.25">
      <c r="A5654" s="6"/>
    </row>
    <row r="5655" spans="1:1" ht="18.75" x14ac:dyDescent="0.25">
      <c r="A5655" s="6"/>
    </row>
    <row r="5656" spans="1:1" ht="18.75" x14ac:dyDescent="0.25">
      <c r="A5656" s="6"/>
    </row>
    <row r="5657" spans="1:1" ht="18.75" x14ac:dyDescent="0.25">
      <c r="A5657" s="6"/>
    </row>
    <row r="5658" spans="1:1" ht="18.75" x14ac:dyDescent="0.25">
      <c r="A5658" s="6"/>
    </row>
    <row r="5659" spans="1:1" ht="18.75" x14ac:dyDescent="0.25">
      <c r="A5659" s="6"/>
    </row>
    <row r="5660" spans="1:1" ht="18.75" x14ac:dyDescent="0.25">
      <c r="A5660" s="6"/>
    </row>
    <row r="5661" spans="1:1" ht="18.75" x14ac:dyDescent="0.25">
      <c r="A5661" s="6"/>
    </row>
    <row r="5662" spans="1:1" ht="18.75" x14ac:dyDescent="0.25">
      <c r="A5662" s="6"/>
    </row>
    <row r="5663" spans="1:1" ht="18.75" x14ac:dyDescent="0.25">
      <c r="A5663" s="6"/>
    </row>
    <row r="5664" spans="1:1" ht="18.75" x14ac:dyDescent="0.25">
      <c r="A5664" s="6"/>
    </row>
    <row r="5665" spans="1:1" ht="18.75" x14ac:dyDescent="0.25">
      <c r="A5665" s="6"/>
    </row>
    <row r="5666" spans="1:1" ht="18.75" x14ac:dyDescent="0.25">
      <c r="A5666" s="6"/>
    </row>
    <row r="5667" spans="1:1" ht="18.75" x14ac:dyDescent="0.25">
      <c r="A5667" s="6"/>
    </row>
    <row r="5668" spans="1:1" ht="18.75" x14ac:dyDescent="0.25">
      <c r="A5668" s="6"/>
    </row>
    <row r="5669" spans="1:1" ht="18.75" x14ac:dyDescent="0.25">
      <c r="A5669" s="6"/>
    </row>
    <row r="5670" spans="1:1" ht="18.75" x14ac:dyDescent="0.25">
      <c r="A5670" s="6"/>
    </row>
    <row r="5671" spans="1:1" ht="18.75" x14ac:dyDescent="0.25">
      <c r="A5671" s="6"/>
    </row>
    <row r="5672" spans="1:1" ht="18.75" x14ac:dyDescent="0.25">
      <c r="A5672" s="6"/>
    </row>
    <row r="5673" spans="1:1" ht="18.75" x14ac:dyDescent="0.25">
      <c r="A5673" s="6"/>
    </row>
    <row r="5674" spans="1:1" ht="18.75" x14ac:dyDescent="0.25">
      <c r="A5674" s="6"/>
    </row>
    <row r="5675" spans="1:1" ht="18.75" x14ac:dyDescent="0.25">
      <c r="A5675" s="6"/>
    </row>
    <row r="5676" spans="1:1" ht="18.75" x14ac:dyDescent="0.25">
      <c r="A5676" s="6"/>
    </row>
    <row r="5677" spans="1:1" ht="18.75" x14ac:dyDescent="0.25">
      <c r="A5677" s="6"/>
    </row>
    <row r="5678" spans="1:1" ht="18.75" x14ac:dyDescent="0.25">
      <c r="A5678" s="6"/>
    </row>
    <row r="5679" spans="1:1" ht="18.75" x14ac:dyDescent="0.25">
      <c r="A5679" s="6"/>
    </row>
    <row r="5680" spans="1:1" ht="18.75" x14ac:dyDescent="0.25">
      <c r="A5680" s="6"/>
    </row>
    <row r="5681" spans="1:1" ht="18.75" x14ac:dyDescent="0.25">
      <c r="A5681" s="6"/>
    </row>
    <row r="5682" spans="1:1" ht="18.75" x14ac:dyDescent="0.25">
      <c r="A5682" s="6"/>
    </row>
    <row r="5683" spans="1:1" ht="18.75" x14ac:dyDescent="0.25">
      <c r="A5683" s="6"/>
    </row>
    <row r="5684" spans="1:1" ht="18.75" x14ac:dyDescent="0.25">
      <c r="A5684" s="6"/>
    </row>
    <row r="5685" spans="1:1" ht="18.75" x14ac:dyDescent="0.25">
      <c r="A5685" s="6"/>
    </row>
    <row r="5686" spans="1:1" ht="18.75" x14ac:dyDescent="0.25">
      <c r="A5686" s="6"/>
    </row>
    <row r="5687" spans="1:1" ht="18.75" x14ac:dyDescent="0.25">
      <c r="A5687" s="6"/>
    </row>
    <row r="5688" spans="1:1" ht="18.75" x14ac:dyDescent="0.25">
      <c r="A5688" s="6"/>
    </row>
    <row r="5689" spans="1:1" ht="18.75" x14ac:dyDescent="0.25">
      <c r="A5689" s="6"/>
    </row>
    <row r="5690" spans="1:1" ht="18.75" x14ac:dyDescent="0.25">
      <c r="A5690" s="6"/>
    </row>
    <row r="5691" spans="1:1" ht="18.75" x14ac:dyDescent="0.25">
      <c r="A5691" s="6"/>
    </row>
    <row r="5692" spans="1:1" ht="18.75" x14ac:dyDescent="0.25">
      <c r="A5692" s="6"/>
    </row>
    <row r="5693" spans="1:1" ht="18.75" x14ac:dyDescent="0.25">
      <c r="A5693" s="6"/>
    </row>
    <row r="5694" spans="1:1" ht="18.75" x14ac:dyDescent="0.25">
      <c r="A5694" s="6"/>
    </row>
    <row r="5695" spans="1:1" ht="18.75" x14ac:dyDescent="0.25">
      <c r="A5695" s="6"/>
    </row>
    <row r="5696" spans="1:1" ht="18.75" x14ac:dyDescent="0.25">
      <c r="A5696" s="6"/>
    </row>
    <row r="5697" spans="1:1" ht="18.75" x14ac:dyDescent="0.25">
      <c r="A5697" s="6"/>
    </row>
    <row r="5698" spans="1:1" ht="18.75" x14ac:dyDescent="0.25">
      <c r="A5698" s="6"/>
    </row>
    <row r="5699" spans="1:1" ht="18.75" x14ac:dyDescent="0.25">
      <c r="A5699" s="6"/>
    </row>
    <row r="5700" spans="1:1" ht="18.75" x14ac:dyDescent="0.25">
      <c r="A5700" s="6"/>
    </row>
    <row r="5701" spans="1:1" ht="18.75" x14ac:dyDescent="0.25">
      <c r="A5701" s="6"/>
    </row>
    <row r="5702" spans="1:1" ht="18.75" x14ac:dyDescent="0.25">
      <c r="A5702" s="6"/>
    </row>
    <row r="5703" spans="1:1" ht="18.75" x14ac:dyDescent="0.25">
      <c r="A5703" s="6"/>
    </row>
    <row r="5704" spans="1:1" ht="18.75" x14ac:dyDescent="0.25">
      <c r="A5704" s="6"/>
    </row>
    <row r="5705" spans="1:1" ht="18.75" x14ac:dyDescent="0.25">
      <c r="A5705" s="6"/>
    </row>
    <row r="5706" spans="1:1" ht="18.75" x14ac:dyDescent="0.25">
      <c r="A5706" s="6"/>
    </row>
    <row r="5707" spans="1:1" ht="18.75" x14ac:dyDescent="0.25">
      <c r="A5707" s="6"/>
    </row>
    <row r="5708" spans="1:1" ht="18.75" x14ac:dyDescent="0.25">
      <c r="A5708" s="6"/>
    </row>
    <row r="5709" spans="1:1" ht="18.75" x14ac:dyDescent="0.25">
      <c r="A5709" s="6"/>
    </row>
    <row r="5710" spans="1:1" ht="18.75" x14ac:dyDescent="0.25">
      <c r="A5710" s="6"/>
    </row>
    <row r="5711" spans="1:1" ht="18.75" x14ac:dyDescent="0.25">
      <c r="A5711" s="6"/>
    </row>
    <row r="5712" spans="1:1" ht="18.75" x14ac:dyDescent="0.25">
      <c r="A5712" s="6"/>
    </row>
    <row r="5713" spans="1:1" ht="18.75" x14ac:dyDescent="0.25">
      <c r="A5713" s="6"/>
    </row>
    <row r="5714" spans="1:1" ht="18.75" x14ac:dyDescent="0.25">
      <c r="A5714" s="6"/>
    </row>
    <row r="5715" spans="1:1" ht="18.75" x14ac:dyDescent="0.25">
      <c r="A5715" s="6"/>
    </row>
    <row r="5716" spans="1:1" ht="18.75" x14ac:dyDescent="0.25">
      <c r="A5716" s="6"/>
    </row>
    <row r="5717" spans="1:1" ht="18.75" x14ac:dyDescent="0.25">
      <c r="A5717" s="6"/>
    </row>
    <row r="5718" spans="1:1" ht="18.75" x14ac:dyDescent="0.25">
      <c r="A5718" s="6"/>
    </row>
    <row r="5719" spans="1:1" ht="18.75" x14ac:dyDescent="0.25">
      <c r="A5719" s="6"/>
    </row>
    <row r="5720" spans="1:1" ht="18.75" x14ac:dyDescent="0.25">
      <c r="A5720" s="6"/>
    </row>
    <row r="5721" spans="1:1" ht="18.75" x14ac:dyDescent="0.25">
      <c r="A5721" s="6"/>
    </row>
    <row r="5722" spans="1:1" ht="18.75" x14ac:dyDescent="0.25">
      <c r="A5722" s="6"/>
    </row>
    <row r="5723" spans="1:1" ht="18.75" x14ac:dyDescent="0.25">
      <c r="A5723" s="6"/>
    </row>
    <row r="5724" spans="1:1" ht="18.75" x14ac:dyDescent="0.25">
      <c r="A5724" s="6"/>
    </row>
    <row r="5725" spans="1:1" ht="18.75" x14ac:dyDescent="0.25">
      <c r="A5725" s="6"/>
    </row>
    <row r="5726" spans="1:1" ht="18.75" x14ac:dyDescent="0.25">
      <c r="A5726" s="6"/>
    </row>
    <row r="5727" spans="1:1" ht="18.75" x14ac:dyDescent="0.25">
      <c r="A5727" s="6"/>
    </row>
    <row r="5728" spans="1:1" ht="18.75" x14ac:dyDescent="0.25">
      <c r="A5728" s="6"/>
    </row>
    <row r="5729" spans="1:1" ht="18.75" x14ac:dyDescent="0.25">
      <c r="A5729" s="6"/>
    </row>
    <row r="5730" spans="1:1" ht="18.75" x14ac:dyDescent="0.25">
      <c r="A5730" s="6"/>
    </row>
    <row r="5731" spans="1:1" ht="18.75" x14ac:dyDescent="0.25">
      <c r="A5731" s="6"/>
    </row>
    <row r="5732" spans="1:1" ht="18.75" x14ac:dyDescent="0.25">
      <c r="A5732" s="6"/>
    </row>
    <row r="5733" spans="1:1" ht="18.75" x14ac:dyDescent="0.25">
      <c r="A5733" s="6"/>
    </row>
    <row r="5734" spans="1:1" ht="18.75" x14ac:dyDescent="0.25">
      <c r="A5734" s="6"/>
    </row>
    <row r="5735" spans="1:1" ht="18.75" x14ac:dyDescent="0.25">
      <c r="A5735" s="6"/>
    </row>
    <row r="5736" spans="1:1" ht="18.75" x14ac:dyDescent="0.25">
      <c r="A5736" s="6"/>
    </row>
    <row r="5737" spans="1:1" ht="18.75" x14ac:dyDescent="0.25">
      <c r="A5737" s="6"/>
    </row>
    <row r="5738" spans="1:1" ht="18.75" x14ac:dyDescent="0.25">
      <c r="A5738" s="6"/>
    </row>
    <row r="5739" spans="1:1" ht="18.75" x14ac:dyDescent="0.25">
      <c r="A5739" s="6"/>
    </row>
    <row r="5740" spans="1:1" ht="18.75" x14ac:dyDescent="0.25">
      <c r="A5740" s="6"/>
    </row>
    <row r="5741" spans="1:1" ht="18.75" x14ac:dyDescent="0.25">
      <c r="A5741" s="6"/>
    </row>
    <row r="5742" spans="1:1" ht="18.75" x14ac:dyDescent="0.25">
      <c r="A5742" s="6"/>
    </row>
    <row r="5743" spans="1:1" ht="18.75" x14ac:dyDescent="0.25">
      <c r="A5743" s="6"/>
    </row>
    <row r="5744" spans="1:1" ht="18.75" x14ac:dyDescent="0.25">
      <c r="A5744" s="6"/>
    </row>
    <row r="5745" spans="1:1" ht="18.75" x14ac:dyDescent="0.25">
      <c r="A5745" s="6"/>
    </row>
    <row r="5746" spans="1:1" ht="18.75" x14ac:dyDescent="0.25">
      <c r="A5746" s="6"/>
    </row>
    <row r="5747" spans="1:1" ht="18.75" x14ac:dyDescent="0.25">
      <c r="A5747" s="6"/>
    </row>
    <row r="5748" spans="1:1" ht="18.75" x14ac:dyDescent="0.25">
      <c r="A5748" s="6"/>
    </row>
    <row r="5749" spans="1:1" ht="18.75" x14ac:dyDescent="0.25">
      <c r="A5749" s="6"/>
    </row>
    <row r="5750" spans="1:1" ht="18.75" x14ac:dyDescent="0.25">
      <c r="A5750" s="6"/>
    </row>
    <row r="5751" spans="1:1" ht="18.75" x14ac:dyDescent="0.25">
      <c r="A5751" s="6"/>
    </row>
    <row r="5752" spans="1:1" ht="18.75" x14ac:dyDescent="0.25">
      <c r="A5752" s="6"/>
    </row>
    <row r="5753" spans="1:1" ht="18.75" x14ac:dyDescent="0.25">
      <c r="A5753" s="6"/>
    </row>
    <row r="5754" spans="1:1" ht="18.75" x14ac:dyDescent="0.25">
      <c r="A5754" s="6"/>
    </row>
    <row r="5755" spans="1:1" ht="18.75" x14ac:dyDescent="0.25">
      <c r="A5755" s="6"/>
    </row>
    <row r="5756" spans="1:1" ht="18.75" x14ac:dyDescent="0.25">
      <c r="A5756" s="6"/>
    </row>
    <row r="5757" spans="1:1" ht="18.75" x14ac:dyDescent="0.25">
      <c r="A5757" s="6"/>
    </row>
    <row r="5758" spans="1:1" ht="18.75" x14ac:dyDescent="0.25">
      <c r="A5758" s="6"/>
    </row>
    <row r="5759" spans="1:1" ht="18.75" x14ac:dyDescent="0.25">
      <c r="A5759" s="6"/>
    </row>
    <row r="5760" spans="1:1" ht="18.75" x14ac:dyDescent="0.25">
      <c r="A5760" s="6"/>
    </row>
    <row r="5761" spans="1:1" ht="18.75" x14ac:dyDescent="0.25">
      <c r="A5761" s="6"/>
    </row>
    <row r="5762" spans="1:1" ht="18.75" x14ac:dyDescent="0.25">
      <c r="A5762" s="6"/>
    </row>
    <row r="5763" spans="1:1" ht="18.75" x14ac:dyDescent="0.25">
      <c r="A5763" s="6"/>
    </row>
    <row r="5764" spans="1:1" ht="18.75" x14ac:dyDescent="0.25">
      <c r="A5764" s="6"/>
    </row>
    <row r="5765" spans="1:1" ht="18.75" x14ac:dyDescent="0.25">
      <c r="A5765" s="6"/>
    </row>
    <row r="5766" spans="1:1" ht="18.75" x14ac:dyDescent="0.25">
      <c r="A5766" s="6"/>
    </row>
    <row r="5767" spans="1:1" ht="18.75" x14ac:dyDescent="0.25">
      <c r="A5767" s="6"/>
    </row>
    <row r="5768" spans="1:1" ht="18.75" x14ac:dyDescent="0.25">
      <c r="A5768" s="6"/>
    </row>
    <row r="5769" spans="1:1" ht="18.75" x14ac:dyDescent="0.25">
      <c r="A5769" s="6"/>
    </row>
    <row r="5770" spans="1:1" ht="18.75" x14ac:dyDescent="0.25">
      <c r="A5770" s="6"/>
    </row>
    <row r="5771" spans="1:1" ht="18.75" x14ac:dyDescent="0.25">
      <c r="A5771" s="6"/>
    </row>
    <row r="5772" spans="1:1" ht="18.75" x14ac:dyDescent="0.25">
      <c r="A5772" s="6"/>
    </row>
    <row r="5773" spans="1:1" ht="18.75" x14ac:dyDescent="0.25">
      <c r="A5773" s="6"/>
    </row>
    <row r="5774" spans="1:1" ht="18.75" x14ac:dyDescent="0.25">
      <c r="A5774" s="6"/>
    </row>
    <row r="5775" spans="1:1" ht="18.75" x14ac:dyDescent="0.25">
      <c r="A5775" s="6"/>
    </row>
    <row r="5776" spans="1:1" ht="18.75" x14ac:dyDescent="0.25">
      <c r="A5776" s="6"/>
    </row>
    <row r="5777" spans="1:1" ht="18.75" x14ac:dyDescent="0.25">
      <c r="A5777" s="6"/>
    </row>
    <row r="5778" spans="1:1" ht="18.75" x14ac:dyDescent="0.25">
      <c r="A5778" s="6"/>
    </row>
    <row r="5779" spans="1:1" ht="18.75" x14ac:dyDescent="0.25">
      <c r="A5779" s="6"/>
    </row>
    <row r="5780" spans="1:1" ht="18.75" x14ac:dyDescent="0.25">
      <c r="A5780" s="6"/>
    </row>
    <row r="5781" spans="1:1" ht="18.75" x14ac:dyDescent="0.25">
      <c r="A5781" s="6"/>
    </row>
    <row r="5782" spans="1:1" ht="18.75" x14ac:dyDescent="0.25">
      <c r="A5782" s="6"/>
    </row>
    <row r="5783" spans="1:1" ht="18.75" x14ac:dyDescent="0.25">
      <c r="A5783" s="6"/>
    </row>
    <row r="5784" spans="1:1" ht="18.75" x14ac:dyDescent="0.25">
      <c r="A5784" s="6"/>
    </row>
    <row r="5785" spans="1:1" ht="18.75" x14ac:dyDescent="0.25">
      <c r="A5785" s="6"/>
    </row>
    <row r="5786" spans="1:1" ht="18.75" x14ac:dyDescent="0.25">
      <c r="A5786" s="6"/>
    </row>
    <row r="5787" spans="1:1" ht="18.75" x14ac:dyDescent="0.25">
      <c r="A5787" s="6"/>
    </row>
    <row r="5788" spans="1:1" ht="18.75" x14ac:dyDescent="0.25">
      <c r="A5788" s="6"/>
    </row>
    <row r="5789" spans="1:1" ht="18.75" x14ac:dyDescent="0.25">
      <c r="A5789" s="6"/>
    </row>
    <row r="5790" spans="1:1" ht="18.75" x14ac:dyDescent="0.25">
      <c r="A5790" s="6"/>
    </row>
    <row r="5791" spans="1:1" ht="18.75" x14ac:dyDescent="0.25">
      <c r="A5791" s="6"/>
    </row>
    <row r="5792" spans="1:1" ht="18.75" x14ac:dyDescent="0.25">
      <c r="A5792" s="6"/>
    </row>
    <row r="5793" spans="1:1" ht="18.75" x14ac:dyDescent="0.25">
      <c r="A5793" s="6"/>
    </row>
    <row r="5794" spans="1:1" ht="18.75" x14ac:dyDescent="0.25">
      <c r="A5794" s="6"/>
    </row>
    <row r="5795" spans="1:1" ht="18.75" x14ac:dyDescent="0.25">
      <c r="A5795" s="6"/>
    </row>
    <row r="5796" spans="1:1" ht="18.75" x14ac:dyDescent="0.25">
      <c r="A5796" s="6"/>
    </row>
    <row r="5797" spans="1:1" ht="18.75" x14ac:dyDescent="0.25">
      <c r="A5797" s="6"/>
    </row>
    <row r="5798" spans="1:1" ht="18.75" x14ac:dyDescent="0.25">
      <c r="A5798" s="6"/>
    </row>
    <row r="5799" spans="1:1" ht="18.75" x14ac:dyDescent="0.25">
      <c r="A5799" s="6"/>
    </row>
    <row r="5800" spans="1:1" ht="18.75" x14ac:dyDescent="0.25">
      <c r="A5800" s="6"/>
    </row>
    <row r="5801" spans="1:1" ht="18.75" x14ac:dyDescent="0.25">
      <c r="A5801" s="6"/>
    </row>
    <row r="5802" spans="1:1" ht="18.75" x14ac:dyDescent="0.25">
      <c r="A5802" s="6"/>
    </row>
    <row r="5803" spans="1:1" ht="18.75" x14ac:dyDescent="0.25">
      <c r="A5803" s="6"/>
    </row>
    <row r="5804" spans="1:1" ht="18.75" x14ac:dyDescent="0.25">
      <c r="A5804" s="6"/>
    </row>
    <row r="5805" spans="1:1" ht="18.75" x14ac:dyDescent="0.25">
      <c r="A5805" s="6"/>
    </row>
    <row r="5806" spans="1:1" ht="18.75" x14ac:dyDescent="0.25">
      <c r="A5806" s="6"/>
    </row>
    <row r="5807" spans="1:1" ht="18.75" x14ac:dyDescent="0.25">
      <c r="A5807" s="6"/>
    </row>
    <row r="5808" spans="1:1" ht="18.75" x14ac:dyDescent="0.25">
      <c r="A5808" s="6"/>
    </row>
    <row r="5809" spans="1:1" ht="18.75" x14ac:dyDescent="0.25">
      <c r="A5809" s="6"/>
    </row>
    <row r="5810" spans="1:1" ht="18.75" x14ac:dyDescent="0.25">
      <c r="A5810" s="6"/>
    </row>
    <row r="5811" spans="1:1" ht="18.75" x14ac:dyDescent="0.25">
      <c r="A5811" s="6"/>
    </row>
    <row r="5812" spans="1:1" ht="18.75" x14ac:dyDescent="0.25">
      <c r="A5812" s="6"/>
    </row>
    <row r="5813" spans="1:1" ht="18.75" x14ac:dyDescent="0.25">
      <c r="A5813" s="6"/>
    </row>
    <row r="5814" spans="1:1" ht="18.75" x14ac:dyDescent="0.25">
      <c r="A5814" s="6"/>
    </row>
    <row r="5815" spans="1:1" ht="18.75" x14ac:dyDescent="0.25">
      <c r="A5815" s="6"/>
    </row>
    <row r="5816" spans="1:1" ht="18.75" x14ac:dyDescent="0.25">
      <c r="A5816" s="6"/>
    </row>
    <row r="5817" spans="1:1" ht="18.75" x14ac:dyDescent="0.25">
      <c r="A5817" s="6"/>
    </row>
    <row r="5818" spans="1:1" ht="18.75" x14ac:dyDescent="0.25">
      <c r="A5818" s="6"/>
    </row>
    <row r="5819" spans="1:1" ht="18.75" x14ac:dyDescent="0.25">
      <c r="A5819" s="6"/>
    </row>
    <row r="5820" spans="1:1" ht="18.75" x14ac:dyDescent="0.25">
      <c r="A5820" s="6"/>
    </row>
    <row r="5821" spans="1:1" ht="18.75" x14ac:dyDescent="0.25">
      <c r="A5821" s="6"/>
    </row>
    <row r="5822" spans="1:1" ht="18.75" x14ac:dyDescent="0.25">
      <c r="A5822" s="6"/>
    </row>
    <row r="5823" spans="1:1" ht="18.75" x14ac:dyDescent="0.25">
      <c r="A5823" s="6"/>
    </row>
    <row r="5824" spans="1:1" ht="18.75" x14ac:dyDescent="0.25">
      <c r="A5824" s="6"/>
    </row>
    <row r="5825" spans="1:1" ht="18.75" x14ac:dyDescent="0.25">
      <c r="A5825" s="6"/>
    </row>
    <row r="5826" spans="1:1" ht="18.75" x14ac:dyDescent="0.25">
      <c r="A5826" s="6"/>
    </row>
    <row r="5827" spans="1:1" ht="18.75" x14ac:dyDescent="0.25">
      <c r="A5827" s="6"/>
    </row>
    <row r="5828" spans="1:1" ht="18.75" x14ac:dyDescent="0.25">
      <c r="A5828" s="6"/>
    </row>
    <row r="5829" spans="1:1" ht="18.75" x14ac:dyDescent="0.25">
      <c r="A5829" s="6"/>
    </row>
    <row r="5830" spans="1:1" ht="18.75" x14ac:dyDescent="0.25">
      <c r="A5830" s="6"/>
    </row>
    <row r="5831" spans="1:1" ht="18.75" x14ac:dyDescent="0.25">
      <c r="A5831" s="6"/>
    </row>
    <row r="5832" spans="1:1" ht="18.75" x14ac:dyDescent="0.25">
      <c r="A5832" s="6"/>
    </row>
    <row r="5833" spans="1:1" ht="18.75" x14ac:dyDescent="0.25">
      <c r="A5833" s="6"/>
    </row>
    <row r="5834" spans="1:1" ht="18.75" x14ac:dyDescent="0.25">
      <c r="A5834" s="6"/>
    </row>
    <row r="5835" spans="1:1" ht="18.75" x14ac:dyDescent="0.25">
      <c r="A5835" s="6"/>
    </row>
    <row r="5836" spans="1:1" ht="18.75" x14ac:dyDescent="0.25">
      <c r="A5836" s="6"/>
    </row>
    <row r="5837" spans="1:1" ht="18.75" x14ac:dyDescent="0.25">
      <c r="A5837" s="6"/>
    </row>
    <row r="5838" spans="1:1" ht="18.75" x14ac:dyDescent="0.25">
      <c r="A5838" s="6"/>
    </row>
    <row r="5839" spans="1:1" ht="18.75" x14ac:dyDescent="0.25">
      <c r="A5839" s="6"/>
    </row>
    <row r="5840" spans="1:1" ht="18.75" x14ac:dyDescent="0.25">
      <c r="A5840" s="6"/>
    </row>
    <row r="5841" spans="1:1" ht="18.75" x14ac:dyDescent="0.25">
      <c r="A5841" s="6"/>
    </row>
    <row r="5842" spans="1:1" ht="18.75" x14ac:dyDescent="0.25">
      <c r="A5842" s="6"/>
    </row>
    <row r="5843" spans="1:1" ht="18.75" x14ac:dyDescent="0.25">
      <c r="A5843" s="6"/>
    </row>
    <row r="5844" spans="1:1" ht="18.75" x14ac:dyDescent="0.25">
      <c r="A5844" s="6"/>
    </row>
    <row r="5845" spans="1:1" ht="18.75" x14ac:dyDescent="0.25">
      <c r="A5845" s="6"/>
    </row>
    <row r="5846" spans="1:1" ht="18.75" x14ac:dyDescent="0.25">
      <c r="A5846" s="6"/>
    </row>
    <row r="5847" spans="1:1" ht="18.75" x14ac:dyDescent="0.25">
      <c r="A5847" s="6"/>
    </row>
    <row r="5848" spans="1:1" ht="18.75" x14ac:dyDescent="0.25">
      <c r="A5848" s="6"/>
    </row>
    <row r="5849" spans="1:1" ht="18.75" x14ac:dyDescent="0.25">
      <c r="A5849" s="6"/>
    </row>
    <row r="5850" spans="1:1" ht="18.75" x14ac:dyDescent="0.25">
      <c r="A5850" s="6"/>
    </row>
    <row r="5851" spans="1:1" ht="18.75" x14ac:dyDescent="0.25">
      <c r="A5851" s="6"/>
    </row>
    <row r="5852" spans="1:1" ht="18.75" x14ac:dyDescent="0.25">
      <c r="A5852" s="6"/>
    </row>
    <row r="5853" spans="1:1" ht="18.75" x14ac:dyDescent="0.25">
      <c r="A5853" s="6"/>
    </row>
    <row r="5854" spans="1:1" ht="18.75" x14ac:dyDescent="0.25">
      <c r="A5854" s="6"/>
    </row>
    <row r="5855" spans="1:1" ht="18.75" x14ac:dyDescent="0.25">
      <c r="A5855" s="6"/>
    </row>
    <row r="5856" spans="1:1" ht="18.75" x14ac:dyDescent="0.25">
      <c r="A5856" s="6"/>
    </row>
    <row r="5857" spans="1:1" ht="18.75" x14ac:dyDescent="0.25">
      <c r="A5857" s="6"/>
    </row>
    <row r="5858" spans="1:1" ht="18.75" x14ac:dyDescent="0.25">
      <c r="A5858" s="6"/>
    </row>
    <row r="5859" spans="1:1" ht="18.75" x14ac:dyDescent="0.25">
      <c r="A5859" s="6"/>
    </row>
    <row r="5860" spans="1:1" ht="18.75" x14ac:dyDescent="0.25">
      <c r="A5860" s="6"/>
    </row>
    <row r="5861" spans="1:1" ht="18.75" x14ac:dyDescent="0.25">
      <c r="A5861" s="6"/>
    </row>
    <row r="5862" spans="1:1" ht="18.75" x14ac:dyDescent="0.25">
      <c r="A5862" s="6"/>
    </row>
    <row r="5863" spans="1:1" ht="18.75" x14ac:dyDescent="0.25">
      <c r="A5863" s="6"/>
    </row>
    <row r="5864" spans="1:1" ht="18.75" x14ac:dyDescent="0.25">
      <c r="A5864" s="6"/>
    </row>
    <row r="5865" spans="1:1" ht="18.75" x14ac:dyDescent="0.25">
      <c r="A5865" s="6"/>
    </row>
    <row r="5866" spans="1:1" ht="18.75" x14ac:dyDescent="0.25">
      <c r="A5866" s="6"/>
    </row>
    <row r="5867" spans="1:1" ht="18.75" x14ac:dyDescent="0.25">
      <c r="A5867" s="6"/>
    </row>
    <row r="5868" spans="1:1" ht="18.75" x14ac:dyDescent="0.25">
      <c r="A5868" s="6"/>
    </row>
    <row r="5869" spans="1:1" ht="18.75" x14ac:dyDescent="0.25">
      <c r="A5869" s="6"/>
    </row>
    <row r="5870" spans="1:1" ht="18.75" x14ac:dyDescent="0.25">
      <c r="A5870" s="6"/>
    </row>
    <row r="5871" spans="1:1" ht="18.75" x14ac:dyDescent="0.25">
      <c r="A5871" s="6"/>
    </row>
    <row r="5872" spans="1:1" ht="18.75" x14ac:dyDescent="0.25">
      <c r="A5872" s="6"/>
    </row>
    <row r="5873" spans="1:1" ht="18.75" x14ac:dyDescent="0.25">
      <c r="A5873" s="6"/>
    </row>
    <row r="5874" spans="1:1" ht="18.75" x14ac:dyDescent="0.25">
      <c r="A5874" s="6"/>
    </row>
    <row r="5875" spans="1:1" ht="18.75" x14ac:dyDescent="0.25">
      <c r="A5875" s="6"/>
    </row>
    <row r="5876" spans="1:1" ht="18.75" x14ac:dyDescent="0.25">
      <c r="A5876" s="6"/>
    </row>
    <row r="5877" spans="1:1" ht="18.75" x14ac:dyDescent="0.25">
      <c r="A5877" s="6"/>
    </row>
    <row r="5878" spans="1:1" ht="18.75" x14ac:dyDescent="0.25">
      <c r="A5878" s="6"/>
    </row>
    <row r="5879" spans="1:1" ht="18.75" x14ac:dyDescent="0.25">
      <c r="A5879" s="6"/>
    </row>
    <row r="5880" spans="1:1" ht="18.75" x14ac:dyDescent="0.25">
      <c r="A5880" s="6"/>
    </row>
    <row r="5881" spans="1:1" ht="18.75" x14ac:dyDescent="0.25">
      <c r="A5881" s="6"/>
    </row>
    <row r="5882" spans="1:1" ht="18.75" x14ac:dyDescent="0.25">
      <c r="A5882" s="6"/>
    </row>
    <row r="5883" spans="1:1" ht="18.75" x14ac:dyDescent="0.25">
      <c r="A5883" s="6"/>
    </row>
    <row r="5884" spans="1:1" ht="18.75" x14ac:dyDescent="0.25">
      <c r="A5884" s="6"/>
    </row>
    <row r="5885" spans="1:1" ht="18.75" x14ac:dyDescent="0.25">
      <c r="A5885" s="6"/>
    </row>
    <row r="5886" spans="1:1" ht="18.75" x14ac:dyDescent="0.25">
      <c r="A5886" s="6"/>
    </row>
    <row r="5887" spans="1:1" ht="18.75" x14ac:dyDescent="0.25">
      <c r="A5887" s="6"/>
    </row>
    <row r="5888" spans="1:1" ht="18.75" x14ac:dyDescent="0.25">
      <c r="A5888" s="6"/>
    </row>
    <row r="5889" spans="1:1" ht="18.75" x14ac:dyDescent="0.25">
      <c r="A5889" s="6"/>
    </row>
    <row r="5890" spans="1:1" ht="18.75" x14ac:dyDescent="0.25">
      <c r="A5890" s="6"/>
    </row>
    <row r="5891" spans="1:1" ht="18.75" x14ac:dyDescent="0.25">
      <c r="A5891" s="6"/>
    </row>
    <row r="5892" spans="1:1" ht="18.75" x14ac:dyDescent="0.25">
      <c r="A5892" s="6"/>
    </row>
    <row r="5893" spans="1:1" ht="18.75" x14ac:dyDescent="0.25">
      <c r="A5893" s="6"/>
    </row>
    <row r="5894" spans="1:1" ht="18.75" x14ac:dyDescent="0.25">
      <c r="A5894" s="6"/>
    </row>
    <row r="5895" spans="1:1" ht="18.75" x14ac:dyDescent="0.25">
      <c r="A5895" s="6"/>
    </row>
    <row r="5896" spans="1:1" ht="18.75" x14ac:dyDescent="0.25">
      <c r="A5896" s="6"/>
    </row>
    <row r="5897" spans="1:1" ht="18.75" x14ac:dyDescent="0.25">
      <c r="A5897" s="6"/>
    </row>
    <row r="5898" spans="1:1" ht="18.75" x14ac:dyDescent="0.25">
      <c r="A5898" s="6"/>
    </row>
    <row r="5899" spans="1:1" ht="18.75" x14ac:dyDescent="0.25">
      <c r="A5899" s="6"/>
    </row>
    <row r="5900" spans="1:1" ht="18.75" x14ac:dyDescent="0.25">
      <c r="A5900" s="6"/>
    </row>
    <row r="5901" spans="1:1" ht="18.75" x14ac:dyDescent="0.25">
      <c r="A5901" s="6"/>
    </row>
    <row r="5902" spans="1:1" ht="18.75" x14ac:dyDescent="0.25">
      <c r="A5902" s="6"/>
    </row>
    <row r="5903" spans="1:1" ht="18.75" x14ac:dyDescent="0.25">
      <c r="A5903" s="6"/>
    </row>
    <row r="5904" spans="1:1" ht="18.75" x14ac:dyDescent="0.25">
      <c r="A5904" s="6"/>
    </row>
    <row r="5905" spans="1:1" ht="18.75" x14ac:dyDescent="0.25">
      <c r="A5905" s="6"/>
    </row>
    <row r="5906" spans="1:1" ht="18.75" x14ac:dyDescent="0.25">
      <c r="A5906" s="6"/>
    </row>
    <row r="5907" spans="1:1" ht="18.75" x14ac:dyDescent="0.25">
      <c r="A5907" s="6"/>
    </row>
    <row r="5908" spans="1:1" ht="18.75" x14ac:dyDescent="0.25">
      <c r="A5908" s="6"/>
    </row>
    <row r="5909" spans="1:1" ht="18.75" x14ac:dyDescent="0.25">
      <c r="A5909" s="6"/>
    </row>
    <row r="5910" spans="1:1" ht="18.75" x14ac:dyDescent="0.25">
      <c r="A5910" s="6"/>
    </row>
    <row r="5911" spans="1:1" ht="18.75" x14ac:dyDescent="0.25">
      <c r="A5911" s="6"/>
    </row>
    <row r="5912" spans="1:1" ht="18.75" x14ac:dyDescent="0.25">
      <c r="A5912" s="6"/>
    </row>
    <row r="5913" spans="1:1" ht="18.75" x14ac:dyDescent="0.25">
      <c r="A5913" s="6"/>
    </row>
    <row r="5914" spans="1:1" ht="18.75" x14ac:dyDescent="0.25">
      <c r="A5914" s="6"/>
    </row>
    <row r="5915" spans="1:1" ht="18.75" x14ac:dyDescent="0.25">
      <c r="A5915" s="6"/>
    </row>
    <row r="5916" spans="1:1" ht="18.75" x14ac:dyDescent="0.25">
      <c r="A5916" s="6"/>
    </row>
    <row r="5917" spans="1:1" ht="18.75" x14ac:dyDescent="0.25">
      <c r="A5917" s="6"/>
    </row>
    <row r="5918" spans="1:1" ht="18.75" x14ac:dyDescent="0.25">
      <c r="A5918" s="6"/>
    </row>
    <row r="5919" spans="1:1" ht="18.75" x14ac:dyDescent="0.25">
      <c r="A5919" s="6"/>
    </row>
    <row r="5920" spans="1:1" ht="18.75" x14ac:dyDescent="0.25">
      <c r="A5920" s="6"/>
    </row>
    <row r="5921" spans="1:1" ht="18.75" x14ac:dyDescent="0.25">
      <c r="A5921" s="6"/>
    </row>
    <row r="5922" spans="1:1" ht="18.75" x14ac:dyDescent="0.25">
      <c r="A5922" s="6"/>
    </row>
    <row r="5923" spans="1:1" ht="18.75" x14ac:dyDescent="0.25">
      <c r="A5923" s="6"/>
    </row>
    <row r="5924" spans="1:1" ht="18.75" x14ac:dyDescent="0.25">
      <c r="A5924" s="6"/>
    </row>
    <row r="5925" spans="1:1" ht="18.75" x14ac:dyDescent="0.25">
      <c r="A5925" s="6"/>
    </row>
    <row r="5926" spans="1:1" ht="18.75" x14ac:dyDescent="0.25">
      <c r="A5926" s="6"/>
    </row>
    <row r="5927" spans="1:1" ht="18.75" x14ac:dyDescent="0.25">
      <c r="A5927" s="6"/>
    </row>
    <row r="5928" spans="1:1" ht="18.75" x14ac:dyDescent="0.25">
      <c r="A5928" s="6"/>
    </row>
    <row r="5929" spans="1:1" ht="18.75" x14ac:dyDescent="0.25">
      <c r="A5929" s="6"/>
    </row>
    <row r="5930" spans="1:1" ht="18.75" x14ac:dyDescent="0.25">
      <c r="A5930" s="6"/>
    </row>
    <row r="5931" spans="1:1" ht="18.75" x14ac:dyDescent="0.25">
      <c r="A5931" s="6"/>
    </row>
    <row r="5932" spans="1:1" ht="18.75" x14ac:dyDescent="0.25">
      <c r="A5932" s="6"/>
    </row>
    <row r="5933" spans="1:1" ht="18.75" x14ac:dyDescent="0.25">
      <c r="A5933" s="6"/>
    </row>
    <row r="5934" spans="1:1" ht="18.75" x14ac:dyDescent="0.25">
      <c r="A5934" s="6"/>
    </row>
    <row r="5935" spans="1:1" ht="18.75" x14ac:dyDescent="0.25">
      <c r="A5935" s="6"/>
    </row>
    <row r="5936" spans="1:1" ht="18.75" x14ac:dyDescent="0.25">
      <c r="A5936" s="6"/>
    </row>
    <row r="5937" spans="1:1" ht="18.75" x14ac:dyDescent="0.25">
      <c r="A5937" s="6"/>
    </row>
    <row r="5938" spans="1:1" ht="18.75" x14ac:dyDescent="0.25">
      <c r="A5938" s="6"/>
    </row>
    <row r="5939" spans="1:1" ht="18.75" x14ac:dyDescent="0.25">
      <c r="A5939" s="6"/>
    </row>
    <row r="5940" spans="1:1" ht="18.75" x14ac:dyDescent="0.25">
      <c r="A5940" s="6"/>
    </row>
    <row r="5941" spans="1:1" ht="18.75" x14ac:dyDescent="0.25">
      <c r="A5941" s="6"/>
    </row>
    <row r="5942" spans="1:1" ht="18.75" x14ac:dyDescent="0.25">
      <c r="A5942" s="6"/>
    </row>
    <row r="5943" spans="1:1" ht="18.75" x14ac:dyDescent="0.25">
      <c r="A5943" s="6"/>
    </row>
    <row r="5944" spans="1:1" ht="18.75" x14ac:dyDescent="0.25">
      <c r="A5944" s="6"/>
    </row>
    <row r="5945" spans="1:1" ht="18.75" x14ac:dyDescent="0.25">
      <c r="A5945" s="6"/>
    </row>
    <row r="5946" spans="1:1" ht="18.75" x14ac:dyDescent="0.25">
      <c r="A5946" s="6"/>
    </row>
    <row r="5947" spans="1:1" ht="18.75" x14ac:dyDescent="0.25">
      <c r="A5947" s="6"/>
    </row>
    <row r="5948" spans="1:1" ht="18.75" x14ac:dyDescent="0.25">
      <c r="A5948" s="6"/>
    </row>
    <row r="5949" spans="1:1" ht="18.75" x14ac:dyDescent="0.25">
      <c r="A5949" s="6"/>
    </row>
    <row r="5950" spans="1:1" ht="18.75" x14ac:dyDescent="0.25">
      <c r="A5950" s="6"/>
    </row>
    <row r="5951" spans="1:1" ht="18.75" x14ac:dyDescent="0.25">
      <c r="A5951" s="6"/>
    </row>
    <row r="5952" spans="1:1" ht="18.75" x14ac:dyDescent="0.25">
      <c r="A5952" s="6"/>
    </row>
    <row r="5953" spans="1:1" ht="18.75" x14ac:dyDescent="0.25">
      <c r="A5953" s="6"/>
    </row>
    <row r="5954" spans="1:1" ht="18.75" x14ac:dyDescent="0.25">
      <c r="A5954" s="6"/>
    </row>
    <row r="5955" spans="1:1" ht="18.75" x14ac:dyDescent="0.25">
      <c r="A5955" s="6"/>
    </row>
    <row r="5956" spans="1:1" ht="18.75" x14ac:dyDescent="0.25">
      <c r="A5956" s="6"/>
    </row>
    <row r="5957" spans="1:1" ht="18.75" x14ac:dyDescent="0.25">
      <c r="A5957" s="6"/>
    </row>
    <row r="5958" spans="1:1" ht="18.75" x14ac:dyDescent="0.25">
      <c r="A5958" s="6"/>
    </row>
    <row r="5959" spans="1:1" ht="18.75" x14ac:dyDescent="0.25">
      <c r="A5959" s="6"/>
    </row>
    <row r="5960" spans="1:1" ht="18.75" x14ac:dyDescent="0.25">
      <c r="A5960" s="6"/>
    </row>
    <row r="5961" spans="1:1" ht="18.75" x14ac:dyDescent="0.25">
      <c r="A5961" s="6"/>
    </row>
    <row r="5962" spans="1:1" ht="18.75" x14ac:dyDescent="0.25">
      <c r="A5962" s="6"/>
    </row>
    <row r="5963" spans="1:1" ht="18.75" x14ac:dyDescent="0.25">
      <c r="A5963" s="6"/>
    </row>
    <row r="5964" spans="1:1" ht="18.75" x14ac:dyDescent="0.25">
      <c r="A5964" s="6"/>
    </row>
    <row r="5965" spans="1:1" ht="18.75" x14ac:dyDescent="0.25">
      <c r="A5965" s="6"/>
    </row>
    <row r="5966" spans="1:1" ht="18.75" x14ac:dyDescent="0.25">
      <c r="A5966" s="6"/>
    </row>
    <row r="5967" spans="1:1" ht="18.75" x14ac:dyDescent="0.25">
      <c r="A5967" s="6"/>
    </row>
    <row r="5968" spans="1:1" ht="18.75" x14ac:dyDescent="0.25">
      <c r="A5968" s="6"/>
    </row>
    <row r="5969" spans="1:1" ht="18.75" x14ac:dyDescent="0.25">
      <c r="A5969" s="6"/>
    </row>
    <row r="5970" spans="1:1" ht="18.75" x14ac:dyDescent="0.25">
      <c r="A5970" s="6"/>
    </row>
    <row r="5971" spans="1:1" ht="18.75" x14ac:dyDescent="0.25">
      <c r="A5971" s="6"/>
    </row>
    <row r="5972" spans="1:1" ht="18.75" x14ac:dyDescent="0.25">
      <c r="A5972" s="6"/>
    </row>
    <row r="5973" spans="1:1" ht="18.75" x14ac:dyDescent="0.25">
      <c r="A5973" s="6"/>
    </row>
    <row r="5974" spans="1:1" ht="18.75" x14ac:dyDescent="0.25">
      <c r="A5974" s="6"/>
    </row>
    <row r="5975" spans="1:1" ht="18.75" x14ac:dyDescent="0.25">
      <c r="A5975" s="6"/>
    </row>
    <row r="5976" spans="1:1" ht="18.75" x14ac:dyDescent="0.25">
      <c r="A5976" s="6"/>
    </row>
    <row r="5977" spans="1:1" ht="18.75" x14ac:dyDescent="0.25">
      <c r="A5977" s="6"/>
    </row>
    <row r="5978" spans="1:1" ht="18.75" x14ac:dyDescent="0.25">
      <c r="A5978" s="6"/>
    </row>
    <row r="5979" spans="1:1" ht="18.75" x14ac:dyDescent="0.25">
      <c r="A5979" s="6"/>
    </row>
    <row r="5980" spans="1:1" ht="18.75" x14ac:dyDescent="0.25">
      <c r="A5980" s="6"/>
    </row>
    <row r="5981" spans="1:1" ht="18.75" x14ac:dyDescent="0.25">
      <c r="A5981" s="6"/>
    </row>
    <row r="5982" spans="1:1" ht="18.75" x14ac:dyDescent="0.25">
      <c r="A5982" s="6"/>
    </row>
    <row r="5983" spans="1:1" ht="18.75" x14ac:dyDescent="0.25">
      <c r="A5983" s="6"/>
    </row>
    <row r="5984" spans="1:1" ht="18.75" x14ac:dyDescent="0.25">
      <c r="A5984" s="6"/>
    </row>
    <row r="5985" spans="1:1" ht="18.75" x14ac:dyDescent="0.25">
      <c r="A5985" s="6"/>
    </row>
    <row r="5986" spans="1:1" ht="18.75" x14ac:dyDescent="0.25">
      <c r="A5986" s="6"/>
    </row>
    <row r="5987" spans="1:1" ht="18.75" x14ac:dyDescent="0.25">
      <c r="A5987" s="6"/>
    </row>
    <row r="5988" spans="1:1" ht="18.75" x14ac:dyDescent="0.25">
      <c r="A5988" s="6"/>
    </row>
    <row r="5989" spans="1:1" ht="18.75" x14ac:dyDescent="0.25">
      <c r="A5989" s="6"/>
    </row>
    <row r="5990" spans="1:1" ht="18.75" x14ac:dyDescent="0.25">
      <c r="A5990" s="6"/>
    </row>
    <row r="5991" spans="1:1" ht="18.75" x14ac:dyDescent="0.25">
      <c r="A5991" s="6"/>
    </row>
    <row r="5992" spans="1:1" ht="18.75" x14ac:dyDescent="0.25">
      <c r="A5992" s="6"/>
    </row>
    <row r="5993" spans="1:1" ht="18.75" x14ac:dyDescent="0.25">
      <c r="A5993" s="6"/>
    </row>
    <row r="5994" spans="1:1" ht="18.75" x14ac:dyDescent="0.25">
      <c r="A5994" s="6"/>
    </row>
    <row r="5995" spans="1:1" ht="18.75" x14ac:dyDescent="0.25">
      <c r="A5995" s="6"/>
    </row>
    <row r="5996" spans="1:1" ht="18.75" x14ac:dyDescent="0.25">
      <c r="A5996" s="6"/>
    </row>
    <row r="5997" spans="1:1" ht="18.75" x14ac:dyDescent="0.25">
      <c r="A5997" s="6"/>
    </row>
    <row r="5998" spans="1:1" ht="18.75" x14ac:dyDescent="0.25">
      <c r="A5998" s="6"/>
    </row>
    <row r="5999" spans="1:1" ht="18.75" x14ac:dyDescent="0.25">
      <c r="A5999" s="6"/>
    </row>
    <row r="6000" spans="1:1" ht="18.75" x14ac:dyDescent="0.25">
      <c r="A6000" s="6"/>
    </row>
    <row r="6001" spans="1:1" ht="18.75" x14ac:dyDescent="0.25">
      <c r="A6001" s="6"/>
    </row>
    <row r="6002" spans="1:1" ht="18.75" x14ac:dyDescent="0.25">
      <c r="A6002" s="6"/>
    </row>
    <row r="6003" spans="1:1" ht="18.75" x14ac:dyDescent="0.25">
      <c r="A6003" s="6"/>
    </row>
    <row r="6004" spans="1:1" ht="18.75" x14ac:dyDescent="0.25">
      <c r="A6004" s="6"/>
    </row>
    <row r="6005" spans="1:1" ht="18.75" x14ac:dyDescent="0.25">
      <c r="A6005" s="6"/>
    </row>
    <row r="6006" spans="1:1" ht="18.75" x14ac:dyDescent="0.25">
      <c r="A6006" s="6"/>
    </row>
    <row r="6007" spans="1:1" ht="18.75" x14ac:dyDescent="0.25">
      <c r="A6007" s="6"/>
    </row>
    <row r="6008" spans="1:1" ht="18.75" x14ac:dyDescent="0.25">
      <c r="A6008" s="6"/>
    </row>
    <row r="6009" spans="1:1" ht="18.75" x14ac:dyDescent="0.25">
      <c r="A6009" s="6"/>
    </row>
    <row r="6010" spans="1:1" ht="18.75" x14ac:dyDescent="0.25">
      <c r="A6010" s="6"/>
    </row>
    <row r="6011" spans="1:1" ht="18.75" x14ac:dyDescent="0.25">
      <c r="A6011" s="6"/>
    </row>
    <row r="6012" spans="1:1" ht="18.75" x14ac:dyDescent="0.25">
      <c r="A6012" s="6"/>
    </row>
    <row r="6013" spans="1:1" ht="18.75" x14ac:dyDescent="0.25">
      <c r="A6013" s="6"/>
    </row>
    <row r="6014" spans="1:1" ht="18.75" x14ac:dyDescent="0.25">
      <c r="A6014" s="6"/>
    </row>
    <row r="6015" spans="1:1" ht="18.75" x14ac:dyDescent="0.25">
      <c r="A6015" s="6"/>
    </row>
    <row r="6016" spans="1:1" ht="18.75" x14ac:dyDescent="0.25">
      <c r="A6016" s="6"/>
    </row>
    <row r="6017" spans="1:1" ht="18.75" x14ac:dyDescent="0.25">
      <c r="A6017" s="6"/>
    </row>
    <row r="6018" spans="1:1" ht="18.75" x14ac:dyDescent="0.25">
      <c r="A6018" s="6"/>
    </row>
    <row r="6019" spans="1:1" ht="18.75" x14ac:dyDescent="0.25">
      <c r="A6019" s="6"/>
    </row>
    <row r="6020" spans="1:1" ht="18.75" x14ac:dyDescent="0.25">
      <c r="A6020" s="6"/>
    </row>
    <row r="6021" spans="1:1" ht="18.75" x14ac:dyDescent="0.25">
      <c r="A6021" s="6"/>
    </row>
    <row r="6022" spans="1:1" ht="18.75" x14ac:dyDescent="0.25">
      <c r="A6022" s="6"/>
    </row>
    <row r="6023" spans="1:1" ht="18.75" x14ac:dyDescent="0.25">
      <c r="A6023" s="6"/>
    </row>
    <row r="6024" spans="1:1" ht="18.75" x14ac:dyDescent="0.25">
      <c r="A6024" s="6"/>
    </row>
    <row r="6025" spans="1:1" ht="18.75" x14ac:dyDescent="0.25">
      <c r="A6025" s="6"/>
    </row>
    <row r="6026" spans="1:1" ht="18.75" x14ac:dyDescent="0.25">
      <c r="A6026" s="6"/>
    </row>
    <row r="6027" spans="1:1" ht="18.75" x14ac:dyDescent="0.25">
      <c r="A6027" s="6"/>
    </row>
    <row r="6028" spans="1:1" ht="18.75" x14ac:dyDescent="0.25">
      <c r="A6028" s="6"/>
    </row>
    <row r="6029" spans="1:1" ht="18.75" x14ac:dyDescent="0.25">
      <c r="A6029" s="6"/>
    </row>
    <row r="6030" spans="1:1" ht="18.75" x14ac:dyDescent="0.25">
      <c r="A6030" s="6"/>
    </row>
    <row r="6031" spans="1:1" ht="18.75" x14ac:dyDescent="0.25">
      <c r="A6031" s="6"/>
    </row>
    <row r="6032" spans="1:1" ht="18.75" x14ac:dyDescent="0.25">
      <c r="A6032" s="6"/>
    </row>
    <row r="6033" spans="1:1" ht="18.75" x14ac:dyDescent="0.25">
      <c r="A6033" s="6"/>
    </row>
    <row r="6034" spans="1:1" ht="18.75" x14ac:dyDescent="0.25">
      <c r="A6034" s="6"/>
    </row>
    <row r="6035" spans="1:1" ht="18.75" x14ac:dyDescent="0.25">
      <c r="A6035" s="6"/>
    </row>
    <row r="6036" spans="1:1" ht="18.75" x14ac:dyDescent="0.25">
      <c r="A6036" s="6"/>
    </row>
    <row r="6037" spans="1:1" ht="18.75" x14ac:dyDescent="0.25">
      <c r="A6037" s="6"/>
    </row>
    <row r="6038" spans="1:1" ht="18.75" x14ac:dyDescent="0.25">
      <c r="A6038" s="6"/>
    </row>
    <row r="6039" spans="1:1" ht="18.75" x14ac:dyDescent="0.25">
      <c r="A6039" s="6"/>
    </row>
    <row r="6040" spans="1:1" ht="18.75" x14ac:dyDescent="0.25">
      <c r="A6040" s="6"/>
    </row>
    <row r="6041" spans="1:1" ht="18.75" x14ac:dyDescent="0.25">
      <c r="A6041" s="6"/>
    </row>
    <row r="6042" spans="1:1" ht="18.75" x14ac:dyDescent="0.25">
      <c r="A6042" s="6"/>
    </row>
    <row r="6043" spans="1:1" ht="18.75" x14ac:dyDescent="0.25">
      <c r="A6043" s="6"/>
    </row>
    <row r="6044" spans="1:1" ht="18.75" x14ac:dyDescent="0.25">
      <c r="A6044" s="6"/>
    </row>
    <row r="6045" spans="1:1" ht="18.75" x14ac:dyDescent="0.25">
      <c r="A6045" s="6"/>
    </row>
    <row r="6046" spans="1:1" ht="18.75" x14ac:dyDescent="0.25">
      <c r="A6046" s="6"/>
    </row>
    <row r="6047" spans="1:1" ht="18.75" x14ac:dyDescent="0.25">
      <c r="A6047" s="6"/>
    </row>
    <row r="6048" spans="1:1" ht="18.75" x14ac:dyDescent="0.25">
      <c r="A6048" s="6"/>
    </row>
    <row r="6049" spans="1:1" ht="18.75" x14ac:dyDescent="0.25">
      <c r="A6049" s="6"/>
    </row>
    <row r="6050" spans="1:1" ht="18.75" x14ac:dyDescent="0.25">
      <c r="A6050" s="6"/>
    </row>
    <row r="6051" spans="1:1" ht="18.75" x14ac:dyDescent="0.25">
      <c r="A6051" s="6"/>
    </row>
    <row r="6052" spans="1:1" ht="18.75" x14ac:dyDescent="0.25">
      <c r="A6052" s="6"/>
    </row>
    <row r="6053" spans="1:1" ht="18.75" x14ac:dyDescent="0.25">
      <c r="A6053" s="6"/>
    </row>
    <row r="6054" spans="1:1" ht="18.75" x14ac:dyDescent="0.25">
      <c r="A6054" s="6"/>
    </row>
    <row r="6055" spans="1:1" ht="18.75" x14ac:dyDescent="0.25">
      <c r="A6055" s="6"/>
    </row>
    <row r="6056" spans="1:1" ht="18.75" x14ac:dyDescent="0.25">
      <c r="A6056" s="6"/>
    </row>
    <row r="6057" spans="1:1" ht="18.75" x14ac:dyDescent="0.25">
      <c r="A6057" s="6"/>
    </row>
    <row r="6058" spans="1:1" ht="18.75" x14ac:dyDescent="0.25">
      <c r="A6058" s="6"/>
    </row>
    <row r="6059" spans="1:1" ht="18.75" x14ac:dyDescent="0.25">
      <c r="A6059" s="6"/>
    </row>
    <row r="6060" spans="1:1" ht="18.75" x14ac:dyDescent="0.25">
      <c r="A6060" s="6"/>
    </row>
    <row r="6061" spans="1:1" ht="18.75" x14ac:dyDescent="0.25">
      <c r="A6061" s="6"/>
    </row>
    <row r="6062" spans="1:1" ht="18.75" x14ac:dyDescent="0.25">
      <c r="A6062" s="6"/>
    </row>
    <row r="6063" spans="1:1" ht="18.75" x14ac:dyDescent="0.25">
      <c r="A6063" s="6"/>
    </row>
    <row r="6064" spans="1:1" ht="18.75" x14ac:dyDescent="0.25">
      <c r="A6064" s="6"/>
    </row>
    <row r="6065" spans="1:1" ht="18.75" x14ac:dyDescent="0.25">
      <c r="A6065" s="6"/>
    </row>
    <row r="6066" spans="1:1" ht="18.75" x14ac:dyDescent="0.25">
      <c r="A6066" s="6"/>
    </row>
    <row r="6067" spans="1:1" ht="18.75" x14ac:dyDescent="0.25">
      <c r="A6067" s="6"/>
    </row>
    <row r="6068" spans="1:1" ht="18.75" x14ac:dyDescent="0.25">
      <c r="A6068" s="6"/>
    </row>
    <row r="6069" spans="1:1" ht="18.75" x14ac:dyDescent="0.25">
      <c r="A6069" s="6"/>
    </row>
    <row r="6070" spans="1:1" ht="18.75" x14ac:dyDescent="0.25">
      <c r="A6070" s="6"/>
    </row>
    <row r="6071" spans="1:1" ht="18.75" x14ac:dyDescent="0.25">
      <c r="A6071" s="6"/>
    </row>
    <row r="6072" spans="1:1" ht="18.75" x14ac:dyDescent="0.25">
      <c r="A6072" s="6"/>
    </row>
    <row r="6073" spans="1:1" ht="18.75" x14ac:dyDescent="0.25">
      <c r="A6073" s="6"/>
    </row>
    <row r="6074" spans="1:1" ht="18.75" x14ac:dyDescent="0.25">
      <c r="A6074" s="6"/>
    </row>
    <row r="6075" spans="1:1" ht="18.75" x14ac:dyDescent="0.25">
      <c r="A6075" s="6"/>
    </row>
    <row r="6076" spans="1:1" ht="18.75" x14ac:dyDescent="0.25">
      <c r="A6076" s="6"/>
    </row>
    <row r="6077" spans="1:1" ht="18.75" x14ac:dyDescent="0.25">
      <c r="A6077" s="6"/>
    </row>
    <row r="6078" spans="1:1" ht="18.75" x14ac:dyDescent="0.25">
      <c r="A6078" s="6"/>
    </row>
    <row r="6079" spans="1:1" ht="18.75" x14ac:dyDescent="0.25">
      <c r="A6079" s="6"/>
    </row>
    <row r="6080" spans="1:1" ht="18.75" x14ac:dyDescent="0.25">
      <c r="A6080" s="6"/>
    </row>
    <row r="6081" spans="1:1" ht="18.75" x14ac:dyDescent="0.25">
      <c r="A6081" s="6"/>
    </row>
    <row r="6082" spans="1:1" ht="18.75" x14ac:dyDescent="0.25">
      <c r="A6082" s="6"/>
    </row>
    <row r="6083" spans="1:1" ht="18.75" x14ac:dyDescent="0.25">
      <c r="A6083" s="6"/>
    </row>
    <row r="6084" spans="1:1" ht="18.75" x14ac:dyDescent="0.25">
      <c r="A6084" s="6"/>
    </row>
    <row r="6085" spans="1:1" ht="18.75" x14ac:dyDescent="0.25">
      <c r="A6085" s="6"/>
    </row>
    <row r="6086" spans="1:1" ht="18.75" x14ac:dyDescent="0.25">
      <c r="A6086" s="6"/>
    </row>
    <row r="6087" spans="1:1" ht="18.75" x14ac:dyDescent="0.25">
      <c r="A6087" s="6"/>
    </row>
    <row r="6088" spans="1:1" ht="18.75" x14ac:dyDescent="0.25">
      <c r="A6088" s="6"/>
    </row>
    <row r="6089" spans="1:1" ht="18.75" x14ac:dyDescent="0.25">
      <c r="A6089" s="6"/>
    </row>
    <row r="6090" spans="1:1" ht="18.75" x14ac:dyDescent="0.25">
      <c r="A6090" s="6"/>
    </row>
    <row r="6091" spans="1:1" ht="18.75" x14ac:dyDescent="0.25">
      <c r="A6091" s="6"/>
    </row>
    <row r="6092" spans="1:1" ht="18.75" x14ac:dyDescent="0.25">
      <c r="A6092" s="6"/>
    </row>
    <row r="6093" spans="1:1" ht="18.75" x14ac:dyDescent="0.25">
      <c r="A6093" s="6"/>
    </row>
    <row r="6094" spans="1:1" ht="18.75" x14ac:dyDescent="0.25">
      <c r="A6094" s="6"/>
    </row>
    <row r="6095" spans="1:1" ht="18.75" x14ac:dyDescent="0.25">
      <c r="A6095" s="6"/>
    </row>
    <row r="6096" spans="1:1" ht="18.75" x14ac:dyDescent="0.25">
      <c r="A6096" s="6"/>
    </row>
    <row r="6097" spans="1:1" ht="18.75" x14ac:dyDescent="0.25">
      <c r="A6097" s="6"/>
    </row>
    <row r="6098" spans="1:1" ht="18.75" x14ac:dyDescent="0.25">
      <c r="A6098" s="6"/>
    </row>
    <row r="6099" spans="1:1" ht="18.75" x14ac:dyDescent="0.25">
      <c r="A6099" s="6"/>
    </row>
    <row r="6100" spans="1:1" ht="18.75" x14ac:dyDescent="0.25">
      <c r="A6100" s="6"/>
    </row>
    <row r="6101" spans="1:1" ht="18.75" x14ac:dyDescent="0.25">
      <c r="A6101" s="6"/>
    </row>
    <row r="6102" spans="1:1" ht="18.75" x14ac:dyDescent="0.25">
      <c r="A6102" s="6"/>
    </row>
    <row r="6103" spans="1:1" ht="18.75" x14ac:dyDescent="0.25">
      <c r="A6103" s="6"/>
    </row>
    <row r="6104" spans="1:1" ht="18.75" x14ac:dyDescent="0.25">
      <c r="A6104" s="6"/>
    </row>
    <row r="6105" spans="1:1" ht="18.75" x14ac:dyDescent="0.25">
      <c r="A6105" s="6"/>
    </row>
    <row r="6106" spans="1:1" ht="18.75" x14ac:dyDescent="0.25">
      <c r="A6106" s="6"/>
    </row>
    <row r="6107" spans="1:1" ht="18.75" x14ac:dyDescent="0.25">
      <c r="A6107" s="6"/>
    </row>
    <row r="6108" spans="1:1" ht="18.75" x14ac:dyDescent="0.25">
      <c r="A6108" s="6"/>
    </row>
    <row r="6109" spans="1:1" ht="18.75" x14ac:dyDescent="0.25">
      <c r="A6109" s="6"/>
    </row>
    <row r="6110" spans="1:1" ht="18.75" x14ac:dyDescent="0.25">
      <c r="A6110" s="6"/>
    </row>
    <row r="6111" spans="1:1" ht="18.75" x14ac:dyDescent="0.25">
      <c r="A6111" s="6"/>
    </row>
    <row r="6112" spans="1:1" ht="18.75" x14ac:dyDescent="0.25">
      <c r="A6112" s="6"/>
    </row>
    <row r="6113" spans="1:1" ht="18.75" x14ac:dyDescent="0.25">
      <c r="A6113" s="6"/>
    </row>
    <row r="6114" spans="1:1" ht="18.75" x14ac:dyDescent="0.25">
      <c r="A6114" s="6"/>
    </row>
    <row r="6115" spans="1:1" ht="18.75" x14ac:dyDescent="0.25">
      <c r="A6115" s="6"/>
    </row>
    <row r="6116" spans="1:1" ht="18.75" x14ac:dyDescent="0.25">
      <c r="A6116" s="6"/>
    </row>
    <row r="6117" spans="1:1" ht="18.75" x14ac:dyDescent="0.25">
      <c r="A6117" s="6"/>
    </row>
    <row r="6118" spans="1:1" ht="18.75" x14ac:dyDescent="0.25">
      <c r="A6118" s="6"/>
    </row>
    <row r="6119" spans="1:1" ht="18.75" x14ac:dyDescent="0.25">
      <c r="A6119" s="6"/>
    </row>
    <row r="6120" spans="1:1" ht="18.75" x14ac:dyDescent="0.25">
      <c r="A6120" s="6"/>
    </row>
    <row r="6121" spans="1:1" ht="18.75" x14ac:dyDescent="0.25">
      <c r="A6121" s="6"/>
    </row>
    <row r="6122" spans="1:1" ht="18.75" x14ac:dyDescent="0.25">
      <c r="A6122" s="6"/>
    </row>
    <row r="6123" spans="1:1" ht="18.75" x14ac:dyDescent="0.25">
      <c r="A6123" s="6"/>
    </row>
    <row r="6124" spans="1:1" ht="18.75" x14ac:dyDescent="0.25">
      <c r="A6124" s="6"/>
    </row>
    <row r="6125" spans="1:1" ht="18.75" x14ac:dyDescent="0.25">
      <c r="A6125" s="6"/>
    </row>
    <row r="6126" spans="1:1" ht="18.75" x14ac:dyDescent="0.25">
      <c r="A6126" s="6"/>
    </row>
    <row r="6127" spans="1:1" ht="18.75" x14ac:dyDescent="0.25">
      <c r="A6127" s="6"/>
    </row>
    <row r="6128" spans="1:1" ht="18.75" x14ac:dyDescent="0.25">
      <c r="A6128" s="6"/>
    </row>
    <row r="6129" spans="1:1" ht="18.75" x14ac:dyDescent="0.25">
      <c r="A6129" s="6"/>
    </row>
    <row r="6130" spans="1:1" ht="18.75" x14ac:dyDescent="0.25">
      <c r="A6130" s="6"/>
    </row>
    <row r="6131" spans="1:1" ht="18.75" x14ac:dyDescent="0.25">
      <c r="A6131" s="6"/>
    </row>
    <row r="6132" spans="1:1" ht="18.75" x14ac:dyDescent="0.25">
      <c r="A6132" s="6"/>
    </row>
    <row r="6133" spans="1:1" ht="18.75" x14ac:dyDescent="0.25">
      <c r="A6133" s="6"/>
    </row>
    <row r="6134" spans="1:1" ht="18.75" x14ac:dyDescent="0.25">
      <c r="A6134" s="6"/>
    </row>
    <row r="6135" spans="1:1" ht="18.75" x14ac:dyDescent="0.25">
      <c r="A6135" s="6"/>
    </row>
    <row r="6136" spans="1:1" ht="18.75" x14ac:dyDescent="0.25">
      <c r="A6136" s="6"/>
    </row>
    <row r="6137" spans="1:1" ht="18.75" x14ac:dyDescent="0.25">
      <c r="A6137" s="6"/>
    </row>
    <row r="6138" spans="1:1" ht="18.75" x14ac:dyDescent="0.25">
      <c r="A6138" s="6"/>
    </row>
    <row r="6139" spans="1:1" ht="18.75" x14ac:dyDescent="0.25">
      <c r="A6139" s="6"/>
    </row>
    <row r="6140" spans="1:1" ht="18.75" x14ac:dyDescent="0.25">
      <c r="A6140" s="6"/>
    </row>
    <row r="6141" spans="1:1" ht="18.75" x14ac:dyDescent="0.25">
      <c r="A6141" s="6"/>
    </row>
    <row r="6142" spans="1:1" ht="18.75" x14ac:dyDescent="0.25">
      <c r="A6142" s="6"/>
    </row>
    <row r="6143" spans="1:1" ht="18.75" x14ac:dyDescent="0.25">
      <c r="A6143" s="6"/>
    </row>
    <row r="6144" spans="1:1" ht="18.75" x14ac:dyDescent="0.25">
      <c r="A6144" s="6"/>
    </row>
    <row r="6145" spans="1:1" ht="18.75" x14ac:dyDescent="0.25">
      <c r="A6145" s="6"/>
    </row>
    <row r="6146" spans="1:1" ht="18.75" x14ac:dyDescent="0.25">
      <c r="A6146" s="6"/>
    </row>
    <row r="6147" spans="1:1" ht="18.75" x14ac:dyDescent="0.25">
      <c r="A6147" s="6"/>
    </row>
    <row r="6148" spans="1:1" ht="18.75" x14ac:dyDescent="0.25">
      <c r="A6148" s="6"/>
    </row>
    <row r="6149" spans="1:1" ht="18.75" x14ac:dyDescent="0.25">
      <c r="A6149" s="6"/>
    </row>
    <row r="6150" spans="1:1" ht="18.75" x14ac:dyDescent="0.25">
      <c r="A6150" s="6"/>
    </row>
    <row r="6151" spans="1:1" ht="18.75" x14ac:dyDescent="0.25">
      <c r="A6151" s="6"/>
    </row>
    <row r="6152" spans="1:1" ht="18.75" x14ac:dyDescent="0.25">
      <c r="A6152" s="6"/>
    </row>
    <row r="6153" spans="1:1" ht="18.75" x14ac:dyDescent="0.25">
      <c r="A6153" s="6"/>
    </row>
    <row r="6154" spans="1:1" ht="18.75" x14ac:dyDescent="0.25">
      <c r="A6154" s="6"/>
    </row>
    <row r="6155" spans="1:1" ht="18.75" x14ac:dyDescent="0.25">
      <c r="A6155" s="6"/>
    </row>
    <row r="6156" spans="1:1" ht="18.75" x14ac:dyDescent="0.25">
      <c r="A6156" s="6"/>
    </row>
    <row r="6157" spans="1:1" ht="18.75" x14ac:dyDescent="0.25">
      <c r="A6157" s="6"/>
    </row>
    <row r="6158" spans="1:1" ht="18.75" x14ac:dyDescent="0.25">
      <c r="A6158" s="6"/>
    </row>
    <row r="6159" spans="1:1" ht="18.75" x14ac:dyDescent="0.25">
      <c r="A6159" s="6"/>
    </row>
    <row r="6160" spans="1:1" ht="18.75" x14ac:dyDescent="0.25">
      <c r="A6160" s="6"/>
    </row>
    <row r="6161" spans="1:1" ht="18.75" x14ac:dyDescent="0.25">
      <c r="A6161" s="6"/>
    </row>
    <row r="6162" spans="1:1" ht="18.75" x14ac:dyDescent="0.25">
      <c r="A6162" s="6"/>
    </row>
    <row r="6163" spans="1:1" ht="18.75" x14ac:dyDescent="0.25">
      <c r="A6163" s="6"/>
    </row>
    <row r="6164" spans="1:1" ht="18.75" x14ac:dyDescent="0.25">
      <c r="A6164" s="6"/>
    </row>
    <row r="6165" spans="1:1" ht="18.75" x14ac:dyDescent="0.25">
      <c r="A6165" s="6"/>
    </row>
    <row r="6166" spans="1:1" ht="18.75" x14ac:dyDescent="0.25">
      <c r="A6166" s="6"/>
    </row>
    <row r="6167" spans="1:1" ht="18.75" x14ac:dyDescent="0.25">
      <c r="A6167" s="6"/>
    </row>
    <row r="6168" spans="1:1" ht="18.75" x14ac:dyDescent="0.25">
      <c r="A6168" s="6"/>
    </row>
    <row r="6169" spans="1:1" ht="18.75" x14ac:dyDescent="0.25">
      <c r="A6169" s="6"/>
    </row>
    <row r="6170" spans="1:1" ht="18.75" x14ac:dyDescent="0.25">
      <c r="A6170" s="6"/>
    </row>
    <row r="6171" spans="1:1" ht="18.75" x14ac:dyDescent="0.25">
      <c r="A6171" s="6"/>
    </row>
    <row r="6172" spans="1:1" ht="18.75" x14ac:dyDescent="0.25">
      <c r="A6172" s="6"/>
    </row>
    <row r="6173" spans="1:1" ht="18.75" x14ac:dyDescent="0.25">
      <c r="A6173" s="6"/>
    </row>
    <row r="6174" spans="1:1" ht="18.75" x14ac:dyDescent="0.25">
      <c r="A6174" s="6"/>
    </row>
    <row r="6175" spans="1:1" ht="18.75" x14ac:dyDescent="0.25">
      <c r="A6175" s="6"/>
    </row>
    <row r="6176" spans="1:1" ht="18.75" x14ac:dyDescent="0.25">
      <c r="A6176" s="6"/>
    </row>
    <row r="6177" spans="1:1" ht="18.75" x14ac:dyDescent="0.25">
      <c r="A6177" s="6"/>
    </row>
    <row r="6178" spans="1:1" ht="18.75" x14ac:dyDescent="0.25">
      <c r="A6178" s="6"/>
    </row>
    <row r="6179" spans="1:1" ht="18.75" x14ac:dyDescent="0.25">
      <c r="A6179" s="6"/>
    </row>
    <row r="6180" spans="1:1" ht="18.75" x14ac:dyDescent="0.25">
      <c r="A6180" s="6"/>
    </row>
    <row r="6181" spans="1:1" ht="18.75" x14ac:dyDescent="0.25">
      <c r="A6181" s="6"/>
    </row>
    <row r="6182" spans="1:1" ht="18.75" x14ac:dyDescent="0.25">
      <c r="A6182" s="6"/>
    </row>
    <row r="6183" spans="1:1" ht="18.75" x14ac:dyDescent="0.25">
      <c r="A6183" s="6"/>
    </row>
    <row r="6184" spans="1:1" ht="18.75" x14ac:dyDescent="0.25">
      <c r="A6184" s="6"/>
    </row>
    <row r="6185" spans="1:1" ht="18.75" x14ac:dyDescent="0.25">
      <c r="A6185" s="6"/>
    </row>
    <row r="6186" spans="1:1" ht="18.75" x14ac:dyDescent="0.25">
      <c r="A6186" s="6"/>
    </row>
    <row r="6187" spans="1:1" ht="18.75" x14ac:dyDescent="0.25">
      <c r="A6187" s="6"/>
    </row>
    <row r="6188" spans="1:1" ht="18.75" x14ac:dyDescent="0.25">
      <c r="A6188" s="6"/>
    </row>
    <row r="6189" spans="1:1" ht="18.75" x14ac:dyDescent="0.25">
      <c r="A6189" s="6"/>
    </row>
    <row r="6190" spans="1:1" ht="18.75" x14ac:dyDescent="0.25">
      <c r="A6190" s="6"/>
    </row>
    <row r="6191" spans="1:1" ht="18.75" x14ac:dyDescent="0.25">
      <c r="A6191" s="6"/>
    </row>
    <row r="6192" spans="1:1" ht="18.75" x14ac:dyDescent="0.25">
      <c r="A6192" s="6"/>
    </row>
    <row r="6193" spans="1:1" ht="18.75" x14ac:dyDescent="0.25">
      <c r="A6193" s="6"/>
    </row>
    <row r="6194" spans="1:1" ht="18.75" x14ac:dyDescent="0.25">
      <c r="A6194" s="6"/>
    </row>
    <row r="6195" spans="1:1" ht="18.75" x14ac:dyDescent="0.25">
      <c r="A6195" s="6"/>
    </row>
    <row r="6196" spans="1:1" ht="18.75" x14ac:dyDescent="0.25">
      <c r="A6196" s="6"/>
    </row>
    <row r="6197" spans="1:1" ht="18.75" x14ac:dyDescent="0.25">
      <c r="A6197" s="6"/>
    </row>
    <row r="6198" spans="1:1" ht="18.75" x14ac:dyDescent="0.25">
      <c r="A6198" s="6"/>
    </row>
    <row r="6199" spans="1:1" ht="18.75" x14ac:dyDescent="0.25">
      <c r="A6199" s="6"/>
    </row>
    <row r="6200" spans="1:1" ht="18.75" x14ac:dyDescent="0.25">
      <c r="A6200" s="6"/>
    </row>
    <row r="6201" spans="1:1" ht="18.75" x14ac:dyDescent="0.25">
      <c r="A6201" s="6"/>
    </row>
    <row r="6202" spans="1:1" ht="18.75" x14ac:dyDescent="0.25">
      <c r="A6202" s="6"/>
    </row>
    <row r="6203" spans="1:1" ht="18.75" x14ac:dyDescent="0.25">
      <c r="A6203" s="6"/>
    </row>
    <row r="6204" spans="1:1" ht="18.75" x14ac:dyDescent="0.25">
      <c r="A6204" s="6"/>
    </row>
    <row r="6205" spans="1:1" ht="18.75" x14ac:dyDescent="0.25">
      <c r="A6205" s="6"/>
    </row>
    <row r="6206" spans="1:1" ht="18.75" x14ac:dyDescent="0.25">
      <c r="A6206" s="6"/>
    </row>
    <row r="6207" spans="1:1" ht="18.75" x14ac:dyDescent="0.25">
      <c r="A6207" s="6"/>
    </row>
    <row r="6208" spans="1:1" ht="18.75" x14ac:dyDescent="0.25">
      <c r="A6208" s="6"/>
    </row>
    <row r="6209" spans="1:1" ht="18.75" x14ac:dyDescent="0.25">
      <c r="A6209" s="6"/>
    </row>
    <row r="6210" spans="1:1" ht="18.75" x14ac:dyDescent="0.25">
      <c r="A6210" s="6"/>
    </row>
    <row r="6211" spans="1:1" ht="18.75" x14ac:dyDescent="0.25">
      <c r="A6211" s="6"/>
    </row>
    <row r="6212" spans="1:1" ht="18.75" x14ac:dyDescent="0.25">
      <c r="A6212" s="6"/>
    </row>
    <row r="6213" spans="1:1" ht="18.75" x14ac:dyDescent="0.25">
      <c r="A6213" s="6"/>
    </row>
    <row r="6214" spans="1:1" ht="18.75" x14ac:dyDescent="0.25">
      <c r="A6214" s="6"/>
    </row>
    <row r="6215" spans="1:1" ht="18.75" x14ac:dyDescent="0.25">
      <c r="A6215" s="6"/>
    </row>
    <row r="6216" spans="1:1" ht="18.75" x14ac:dyDescent="0.25">
      <c r="A6216" s="6"/>
    </row>
    <row r="6217" spans="1:1" ht="18.75" x14ac:dyDescent="0.25">
      <c r="A6217" s="6"/>
    </row>
    <row r="6218" spans="1:1" ht="18.75" x14ac:dyDescent="0.25">
      <c r="A6218" s="6"/>
    </row>
    <row r="6219" spans="1:1" ht="18.75" x14ac:dyDescent="0.25">
      <c r="A6219" s="6"/>
    </row>
    <row r="6220" spans="1:1" ht="18.75" x14ac:dyDescent="0.25">
      <c r="A6220" s="6"/>
    </row>
    <row r="6221" spans="1:1" ht="18.75" x14ac:dyDescent="0.25">
      <c r="A6221" s="6"/>
    </row>
    <row r="6222" spans="1:1" ht="18.75" x14ac:dyDescent="0.25">
      <c r="A6222" s="6"/>
    </row>
    <row r="6223" spans="1:1" ht="18.75" x14ac:dyDescent="0.25">
      <c r="A6223" s="6"/>
    </row>
    <row r="6224" spans="1:1" ht="18.75" x14ac:dyDescent="0.25">
      <c r="A6224" s="6"/>
    </row>
    <row r="6225" spans="1:1" ht="18.75" x14ac:dyDescent="0.25">
      <c r="A6225" s="6"/>
    </row>
    <row r="6226" spans="1:1" ht="18.75" x14ac:dyDescent="0.25">
      <c r="A6226" s="6"/>
    </row>
    <row r="6227" spans="1:1" ht="18.75" x14ac:dyDescent="0.25">
      <c r="A6227" s="6"/>
    </row>
    <row r="6228" spans="1:1" ht="18.75" x14ac:dyDescent="0.25">
      <c r="A6228" s="6"/>
    </row>
    <row r="6229" spans="1:1" ht="18.75" x14ac:dyDescent="0.25">
      <c r="A6229" s="6"/>
    </row>
    <row r="6230" spans="1:1" ht="18.75" x14ac:dyDescent="0.25">
      <c r="A6230" s="6"/>
    </row>
    <row r="6231" spans="1:1" ht="18.75" x14ac:dyDescent="0.25">
      <c r="A6231" s="6"/>
    </row>
    <row r="6232" spans="1:1" ht="18.75" x14ac:dyDescent="0.25">
      <c r="A6232" s="6"/>
    </row>
    <row r="6233" spans="1:1" ht="18.75" x14ac:dyDescent="0.25">
      <c r="A6233" s="6"/>
    </row>
    <row r="6234" spans="1:1" ht="18.75" x14ac:dyDescent="0.25">
      <c r="A6234" s="6"/>
    </row>
    <row r="6235" spans="1:1" ht="18.75" x14ac:dyDescent="0.25">
      <c r="A6235" s="6"/>
    </row>
    <row r="6236" spans="1:1" ht="18.75" x14ac:dyDescent="0.25">
      <c r="A6236" s="6"/>
    </row>
    <row r="6237" spans="1:1" ht="18.75" x14ac:dyDescent="0.25">
      <c r="A6237" s="6"/>
    </row>
    <row r="6238" spans="1:1" ht="18.75" x14ac:dyDescent="0.25">
      <c r="A6238" s="6"/>
    </row>
    <row r="6239" spans="1:1" ht="18.75" x14ac:dyDescent="0.25">
      <c r="A6239" s="6"/>
    </row>
    <row r="6240" spans="1:1" ht="18.75" x14ac:dyDescent="0.25">
      <c r="A6240" s="6"/>
    </row>
    <row r="6241" spans="1:1" ht="18.75" x14ac:dyDescent="0.25">
      <c r="A6241" s="6"/>
    </row>
    <row r="6242" spans="1:1" ht="18.75" x14ac:dyDescent="0.25">
      <c r="A6242" s="6"/>
    </row>
    <row r="6243" spans="1:1" ht="18.75" x14ac:dyDescent="0.25">
      <c r="A6243" s="6"/>
    </row>
    <row r="6244" spans="1:1" ht="18.75" x14ac:dyDescent="0.25">
      <c r="A6244" s="6"/>
    </row>
    <row r="6245" spans="1:1" ht="18.75" x14ac:dyDescent="0.25">
      <c r="A6245" s="6"/>
    </row>
    <row r="6246" spans="1:1" ht="18.75" x14ac:dyDescent="0.25">
      <c r="A6246" s="6"/>
    </row>
    <row r="6247" spans="1:1" ht="18.75" x14ac:dyDescent="0.25">
      <c r="A6247" s="6"/>
    </row>
    <row r="6248" spans="1:1" ht="18.75" x14ac:dyDescent="0.25">
      <c r="A6248" s="6"/>
    </row>
    <row r="6249" spans="1:1" ht="18.75" x14ac:dyDescent="0.25">
      <c r="A6249" s="6"/>
    </row>
    <row r="6250" spans="1:1" ht="18.75" x14ac:dyDescent="0.25">
      <c r="A6250" s="6"/>
    </row>
    <row r="6251" spans="1:1" ht="18.75" x14ac:dyDescent="0.25">
      <c r="A6251" s="6"/>
    </row>
    <row r="6252" spans="1:1" ht="18.75" x14ac:dyDescent="0.25">
      <c r="A6252" s="6"/>
    </row>
    <row r="6253" spans="1:1" ht="18.75" x14ac:dyDescent="0.25">
      <c r="A6253" s="6"/>
    </row>
    <row r="6254" spans="1:1" ht="18.75" x14ac:dyDescent="0.25">
      <c r="A6254" s="6"/>
    </row>
    <row r="6255" spans="1:1" ht="18.75" x14ac:dyDescent="0.25">
      <c r="A6255" s="6"/>
    </row>
    <row r="6256" spans="1:1" ht="18.75" x14ac:dyDescent="0.25">
      <c r="A6256" s="6"/>
    </row>
    <row r="6257" spans="1:1" ht="18.75" x14ac:dyDescent="0.25">
      <c r="A6257" s="6"/>
    </row>
    <row r="6258" spans="1:1" ht="18.75" x14ac:dyDescent="0.25">
      <c r="A6258" s="6"/>
    </row>
    <row r="6259" spans="1:1" ht="18.75" x14ac:dyDescent="0.25">
      <c r="A6259" s="6"/>
    </row>
    <row r="6260" spans="1:1" ht="18.75" x14ac:dyDescent="0.25">
      <c r="A6260" s="6"/>
    </row>
    <row r="6261" spans="1:1" ht="18.75" x14ac:dyDescent="0.25">
      <c r="A6261" s="6"/>
    </row>
    <row r="6262" spans="1:1" ht="18.75" x14ac:dyDescent="0.25">
      <c r="A6262" s="6"/>
    </row>
    <row r="6263" spans="1:1" ht="18.75" x14ac:dyDescent="0.25">
      <c r="A6263" s="6"/>
    </row>
    <row r="6264" spans="1:1" ht="18.75" x14ac:dyDescent="0.25">
      <c r="A6264" s="6"/>
    </row>
    <row r="6265" spans="1:1" ht="18.75" x14ac:dyDescent="0.25">
      <c r="A6265" s="6"/>
    </row>
    <row r="6266" spans="1:1" ht="18.75" x14ac:dyDescent="0.25">
      <c r="A6266" s="6"/>
    </row>
    <row r="6267" spans="1:1" ht="18.75" x14ac:dyDescent="0.25">
      <c r="A6267" s="6"/>
    </row>
    <row r="6268" spans="1:1" ht="18.75" x14ac:dyDescent="0.25">
      <c r="A6268" s="6"/>
    </row>
    <row r="6269" spans="1:1" ht="18.75" x14ac:dyDescent="0.25">
      <c r="A6269" s="6"/>
    </row>
    <row r="6270" spans="1:1" ht="18.75" x14ac:dyDescent="0.25">
      <c r="A6270" s="6"/>
    </row>
    <row r="6271" spans="1:1" ht="18.75" x14ac:dyDescent="0.25">
      <c r="A6271" s="6"/>
    </row>
    <row r="6272" spans="1:1" ht="18.75" x14ac:dyDescent="0.25">
      <c r="A6272" s="6"/>
    </row>
    <row r="6273" spans="1:1" ht="18.75" x14ac:dyDescent="0.25">
      <c r="A6273" s="6"/>
    </row>
    <row r="6274" spans="1:1" ht="18.75" x14ac:dyDescent="0.25">
      <c r="A6274" s="6"/>
    </row>
    <row r="6275" spans="1:1" ht="18.75" x14ac:dyDescent="0.25">
      <c r="A6275" s="6"/>
    </row>
    <row r="6276" spans="1:1" ht="18.75" x14ac:dyDescent="0.25">
      <c r="A6276" s="6"/>
    </row>
    <row r="6277" spans="1:1" ht="18.75" x14ac:dyDescent="0.25">
      <c r="A6277" s="6"/>
    </row>
    <row r="6278" spans="1:1" ht="18.75" x14ac:dyDescent="0.25">
      <c r="A6278" s="6"/>
    </row>
    <row r="6279" spans="1:1" ht="18.75" x14ac:dyDescent="0.25">
      <c r="A6279" s="6"/>
    </row>
    <row r="6280" spans="1:1" ht="18.75" x14ac:dyDescent="0.25">
      <c r="A6280" s="6"/>
    </row>
    <row r="6281" spans="1:1" ht="18.75" x14ac:dyDescent="0.25">
      <c r="A6281" s="6"/>
    </row>
    <row r="6282" spans="1:1" ht="18.75" x14ac:dyDescent="0.25">
      <c r="A6282" s="6"/>
    </row>
    <row r="6283" spans="1:1" ht="18.75" x14ac:dyDescent="0.25">
      <c r="A6283" s="6"/>
    </row>
    <row r="6284" spans="1:1" ht="18.75" x14ac:dyDescent="0.25">
      <c r="A6284" s="6"/>
    </row>
    <row r="6285" spans="1:1" ht="18.75" x14ac:dyDescent="0.25">
      <c r="A6285" s="6"/>
    </row>
    <row r="6286" spans="1:1" ht="18.75" x14ac:dyDescent="0.25">
      <c r="A6286" s="6"/>
    </row>
    <row r="6287" spans="1:1" ht="18.75" x14ac:dyDescent="0.25">
      <c r="A6287" s="6"/>
    </row>
    <row r="6288" spans="1:1" ht="18.75" x14ac:dyDescent="0.25">
      <c r="A6288" s="6"/>
    </row>
    <row r="6289" spans="1:1" ht="18.75" x14ac:dyDescent="0.25">
      <c r="A6289" s="6"/>
    </row>
    <row r="6290" spans="1:1" ht="18.75" x14ac:dyDescent="0.25">
      <c r="A6290" s="6"/>
    </row>
    <row r="6291" spans="1:1" ht="18.75" x14ac:dyDescent="0.25">
      <c r="A6291" s="6"/>
    </row>
    <row r="6292" spans="1:1" ht="18.75" x14ac:dyDescent="0.25">
      <c r="A6292" s="6"/>
    </row>
    <row r="6293" spans="1:1" ht="18.75" x14ac:dyDescent="0.25">
      <c r="A6293" s="6"/>
    </row>
    <row r="6294" spans="1:1" ht="18.75" x14ac:dyDescent="0.25">
      <c r="A6294" s="6"/>
    </row>
    <row r="6295" spans="1:1" ht="18.75" x14ac:dyDescent="0.25">
      <c r="A6295" s="6"/>
    </row>
    <row r="6296" spans="1:1" ht="18.75" x14ac:dyDescent="0.25">
      <c r="A6296" s="6"/>
    </row>
    <row r="6297" spans="1:1" ht="18.75" x14ac:dyDescent="0.25">
      <c r="A6297" s="6"/>
    </row>
    <row r="6298" spans="1:1" ht="18.75" x14ac:dyDescent="0.25">
      <c r="A6298" s="6"/>
    </row>
    <row r="6299" spans="1:1" ht="18.75" x14ac:dyDescent="0.25">
      <c r="A6299" s="6"/>
    </row>
    <row r="6300" spans="1:1" ht="18.75" x14ac:dyDescent="0.25">
      <c r="A6300" s="6"/>
    </row>
    <row r="6301" spans="1:1" ht="18.75" x14ac:dyDescent="0.25">
      <c r="A6301" s="6"/>
    </row>
    <row r="6302" spans="1:1" ht="18.75" x14ac:dyDescent="0.25">
      <c r="A6302" s="6"/>
    </row>
    <row r="6303" spans="1:1" ht="18.75" x14ac:dyDescent="0.25">
      <c r="A6303" s="6"/>
    </row>
    <row r="6304" spans="1:1" ht="18.75" x14ac:dyDescent="0.25">
      <c r="A6304" s="6"/>
    </row>
    <row r="6305" spans="1:1" ht="18.75" x14ac:dyDescent="0.25">
      <c r="A6305" s="6"/>
    </row>
    <row r="6306" spans="1:1" ht="18.75" x14ac:dyDescent="0.25">
      <c r="A6306" s="6"/>
    </row>
    <row r="6307" spans="1:1" ht="18.75" x14ac:dyDescent="0.25">
      <c r="A6307" s="6"/>
    </row>
    <row r="6308" spans="1:1" ht="18.75" x14ac:dyDescent="0.25">
      <c r="A6308" s="6"/>
    </row>
    <row r="6309" spans="1:1" ht="18.75" x14ac:dyDescent="0.25">
      <c r="A6309" s="6"/>
    </row>
    <row r="6310" spans="1:1" ht="18.75" x14ac:dyDescent="0.25">
      <c r="A6310" s="6"/>
    </row>
    <row r="6311" spans="1:1" ht="18.75" x14ac:dyDescent="0.25">
      <c r="A6311" s="6"/>
    </row>
    <row r="6312" spans="1:1" ht="18.75" x14ac:dyDescent="0.25">
      <c r="A6312" s="6"/>
    </row>
    <row r="6313" spans="1:1" ht="18.75" x14ac:dyDescent="0.25">
      <c r="A6313" s="6"/>
    </row>
    <row r="6314" spans="1:1" ht="18.75" x14ac:dyDescent="0.25">
      <c r="A6314" s="6"/>
    </row>
    <row r="6315" spans="1:1" ht="18.75" x14ac:dyDescent="0.25">
      <c r="A6315" s="6"/>
    </row>
    <row r="6316" spans="1:1" ht="18.75" x14ac:dyDescent="0.25">
      <c r="A6316" s="6"/>
    </row>
    <row r="6317" spans="1:1" ht="18.75" x14ac:dyDescent="0.25">
      <c r="A6317" s="6"/>
    </row>
    <row r="6318" spans="1:1" ht="18.75" x14ac:dyDescent="0.25">
      <c r="A6318" s="6"/>
    </row>
    <row r="6319" spans="1:1" ht="18.75" x14ac:dyDescent="0.25">
      <c r="A6319" s="6"/>
    </row>
    <row r="6320" spans="1:1" ht="18.75" x14ac:dyDescent="0.25">
      <c r="A6320" s="6"/>
    </row>
    <row r="6321" spans="1:1" ht="18.75" x14ac:dyDescent="0.25">
      <c r="A6321" s="6"/>
    </row>
    <row r="6322" spans="1:1" ht="18.75" x14ac:dyDescent="0.25">
      <c r="A6322" s="6"/>
    </row>
    <row r="6323" spans="1:1" ht="18.75" x14ac:dyDescent="0.25">
      <c r="A6323" s="6"/>
    </row>
    <row r="6324" spans="1:1" ht="18.75" x14ac:dyDescent="0.25">
      <c r="A6324" s="6"/>
    </row>
    <row r="6325" spans="1:1" ht="18.75" x14ac:dyDescent="0.25">
      <c r="A6325" s="6"/>
    </row>
    <row r="6326" spans="1:1" ht="18.75" x14ac:dyDescent="0.25">
      <c r="A6326" s="6"/>
    </row>
    <row r="6327" spans="1:1" ht="18.75" x14ac:dyDescent="0.25">
      <c r="A6327" s="6"/>
    </row>
    <row r="6328" spans="1:1" ht="18.75" x14ac:dyDescent="0.25">
      <c r="A6328" s="6"/>
    </row>
    <row r="6329" spans="1:1" ht="18.75" x14ac:dyDescent="0.25">
      <c r="A6329" s="6"/>
    </row>
    <row r="6330" spans="1:1" ht="18.75" x14ac:dyDescent="0.25">
      <c r="A6330" s="6"/>
    </row>
    <row r="6331" spans="1:1" ht="18.75" x14ac:dyDescent="0.25">
      <c r="A6331" s="6"/>
    </row>
    <row r="6332" spans="1:1" ht="18.75" x14ac:dyDescent="0.25">
      <c r="A6332" s="6"/>
    </row>
    <row r="6333" spans="1:1" ht="18.75" x14ac:dyDescent="0.25">
      <c r="A6333" s="6"/>
    </row>
    <row r="6334" spans="1:1" ht="18.75" x14ac:dyDescent="0.25">
      <c r="A6334" s="6"/>
    </row>
    <row r="6335" spans="1:1" ht="18.75" x14ac:dyDescent="0.25">
      <c r="A6335" s="6"/>
    </row>
    <row r="6336" spans="1:1" ht="18.75" x14ac:dyDescent="0.25">
      <c r="A6336" s="6"/>
    </row>
    <row r="6337" spans="1:1" ht="18.75" x14ac:dyDescent="0.25">
      <c r="A6337" s="6"/>
    </row>
    <row r="6338" spans="1:1" ht="18.75" x14ac:dyDescent="0.25">
      <c r="A6338" s="6"/>
    </row>
    <row r="6339" spans="1:1" ht="18.75" x14ac:dyDescent="0.25">
      <c r="A6339" s="6"/>
    </row>
    <row r="6340" spans="1:1" ht="18.75" x14ac:dyDescent="0.25">
      <c r="A6340" s="6"/>
    </row>
    <row r="6341" spans="1:1" ht="18.75" x14ac:dyDescent="0.25">
      <c r="A6341" s="6"/>
    </row>
    <row r="6342" spans="1:1" ht="18.75" x14ac:dyDescent="0.25">
      <c r="A6342" s="6"/>
    </row>
    <row r="6343" spans="1:1" ht="18.75" x14ac:dyDescent="0.25">
      <c r="A6343" s="6"/>
    </row>
    <row r="6344" spans="1:1" ht="18.75" x14ac:dyDescent="0.25">
      <c r="A6344" s="6"/>
    </row>
    <row r="6345" spans="1:1" ht="18.75" x14ac:dyDescent="0.25">
      <c r="A6345" s="6"/>
    </row>
    <row r="6346" spans="1:1" ht="18.75" x14ac:dyDescent="0.25">
      <c r="A6346" s="6"/>
    </row>
    <row r="6347" spans="1:1" ht="18.75" x14ac:dyDescent="0.25">
      <c r="A6347" s="6"/>
    </row>
    <row r="6348" spans="1:1" ht="18.75" x14ac:dyDescent="0.25">
      <c r="A6348" s="6"/>
    </row>
    <row r="6349" spans="1:1" ht="18.75" x14ac:dyDescent="0.25">
      <c r="A6349" s="6"/>
    </row>
    <row r="6350" spans="1:1" ht="18.75" x14ac:dyDescent="0.25">
      <c r="A6350" s="6"/>
    </row>
    <row r="6351" spans="1:1" ht="18.75" x14ac:dyDescent="0.25">
      <c r="A6351" s="6"/>
    </row>
    <row r="6352" spans="1:1" ht="18.75" x14ac:dyDescent="0.25">
      <c r="A6352" s="6"/>
    </row>
    <row r="6353" spans="1:1" ht="18.75" x14ac:dyDescent="0.25">
      <c r="A6353" s="6"/>
    </row>
    <row r="6354" spans="1:1" ht="18.75" x14ac:dyDescent="0.25">
      <c r="A6354" s="6"/>
    </row>
    <row r="6355" spans="1:1" ht="18.75" x14ac:dyDescent="0.25">
      <c r="A6355" s="6"/>
    </row>
    <row r="6356" spans="1:1" ht="18.75" x14ac:dyDescent="0.25">
      <c r="A6356" s="6"/>
    </row>
    <row r="6357" spans="1:1" ht="18.75" x14ac:dyDescent="0.25">
      <c r="A6357" s="6"/>
    </row>
    <row r="6358" spans="1:1" ht="18.75" x14ac:dyDescent="0.25">
      <c r="A6358" s="6"/>
    </row>
    <row r="6359" spans="1:1" ht="18.75" x14ac:dyDescent="0.25">
      <c r="A6359" s="6"/>
    </row>
    <row r="6360" spans="1:1" ht="18.75" x14ac:dyDescent="0.25">
      <c r="A6360" s="6"/>
    </row>
    <row r="6361" spans="1:1" ht="18.75" x14ac:dyDescent="0.25">
      <c r="A6361" s="6"/>
    </row>
    <row r="6362" spans="1:1" ht="18.75" x14ac:dyDescent="0.25">
      <c r="A6362" s="6"/>
    </row>
    <row r="6363" spans="1:1" ht="18.75" x14ac:dyDescent="0.25">
      <c r="A6363" s="6"/>
    </row>
    <row r="6364" spans="1:1" ht="18.75" x14ac:dyDescent="0.25">
      <c r="A6364" s="6"/>
    </row>
    <row r="6365" spans="1:1" ht="18.75" x14ac:dyDescent="0.25">
      <c r="A6365" s="6"/>
    </row>
    <row r="6366" spans="1:1" ht="18.75" x14ac:dyDescent="0.25">
      <c r="A6366" s="6"/>
    </row>
    <row r="6367" spans="1:1" ht="18.75" x14ac:dyDescent="0.25">
      <c r="A6367" s="6"/>
    </row>
    <row r="6368" spans="1:1" ht="18.75" x14ac:dyDescent="0.25">
      <c r="A6368" s="6"/>
    </row>
    <row r="6369" spans="1:1" ht="18.75" x14ac:dyDescent="0.25">
      <c r="A6369" s="6"/>
    </row>
    <row r="6370" spans="1:1" ht="18.75" x14ac:dyDescent="0.25">
      <c r="A6370" s="6"/>
    </row>
    <row r="6371" spans="1:1" ht="18.75" x14ac:dyDescent="0.25">
      <c r="A6371" s="6"/>
    </row>
    <row r="6372" spans="1:1" ht="18.75" x14ac:dyDescent="0.25">
      <c r="A6372" s="6"/>
    </row>
    <row r="6373" spans="1:1" ht="18.75" x14ac:dyDescent="0.25">
      <c r="A6373" s="6"/>
    </row>
    <row r="6374" spans="1:1" ht="18.75" x14ac:dyDescent="0.25">
      <c r="A6374" s="6"/>
    </row>
    <row r="6375" spans="1:1" ht="18.75" x14ac:dyDescent="0.25">
      <c r="A6375" s="6"/>
    </row>
    <row r="6376" spans="1:1" ht="18.75" x14ac:dyDescent="0.25">
      <c r="A6376" s="6"/>
    </row>
    <row r="6377" spans="1:1" ht="18.75" x14ac:dyDescent="0.25">
      <c r="A6377" s="6"/>
    </row>
    <row r="6378" spans="1:1" ht="18.75" x14ac:dyDescent="0.25">
      <c r="A6378" s="6"/>
    </row>
    <row r="6379" spans="1:1" ht="18.75" x14ac:dyDescent="0.25">
      <c r="A6379" s="6"/>
    </row>
    <row r="6380" spans="1:1" ht="18.75" x14ac:dyDescent="0.25">
      <c r="A6380" s="6"/>
    </row>
    <row r="6381" spans="1:1" ht="18.75" x14ac:dyDescent="0.25">
      <c r="A6381" s="6"/>
    </row>
    <row r="6382" spans="1:1" ht="18.75" x14ac:dyDescent="0.25">
      <c r="A6382" s="6"/>
    </row>
    <row r="6383" spans="1:1" ht="18.75" x14ac:dyDescent="0.25">
      <c r="A6383" s="6"/>
    </row>
    <row r="6384" spans="1:1" ht="18.75" x14ac:dyDescent="0.25">
      <c r="A6384" s="6"/>
    </row>
    <row r="6385" spans="1:1" ht="18.75" x14ac:dyDescent="0.25">
      <c r="A6385" s="6"/>
    </row>
    <row r="6386" spans="1:1" ht="18.75" x14ac:dyDescent="0.25">
      <c r="A6386" s="6"/>
    </row>
    <row r="6387" spans="1:1" ht="18.75" x14ac:dyDescent="0.25">
      <c r="A6387" s="6"/>
    </row>
    <row r="6388" spans="1:1" ht="18.75" x14ac:dyDescent="0.25">
      <c r="A6388" s="6"/>
    </row>
    <row r="6389" spans="1:1" ht="18.75" x14ac:dyDescent="0.25">
      <c r="A6389" s="6"/>
    </row>
    <row r="6390" spans="1:1" ht="18.75" x14ac:dyDescent="0.25">
      <c r="A6390" s="6"/>
    </row>
    <row r="6391" spans="1:1" ht="18.75" x14ac:dyDescent="0.25">
      <c r="A6391" s="6"/>
    </row>
    <row r="6392" spans="1:1" ht="18.75" x14ac:dyDescent="0.25">
      <c r="A6392" s="6"/>
    </row>
    <row r="6393" spans="1:1" ht="18.75" x14ac:dyDescent="0.25">
      <c r="A6393" s="6"/>
    </row>
    <row r="6394" spans="1:1" ht="18.75" x14ac:dyDescent="0.25">
      <c r="A6394" s="6"/>
    </row>
    <row r="6395" spans="1:1" ht="18.75" x14ac:dyDescent="0.25">
      <c r="A6395" s="6"/>
    </row>
    <row r="6396" spans="1:1" ht="18.75" x14ac:dyDescent="0.25">
      <c r="A6396" s="6"/>
    </row>
    <row r="6397" spans="1:1" ht="18.75" x14ac:dyDescent="0.25">
      <c r="A6397" s="6"/>
    </row>
    <row r="6398" spans="1:1" ht="18.75" x14ac:dyDescent="0.25">
      <c r="A6398" s="6"/>
    </row>
    <row r="6399" spans="1:1" ht="18.75" x14ac:dyDescent="0.25">
      <c r="A6399" s="6"/>
    </row>
    <row r="6400" spans="1:1" ht="18.75" x14ac:dyDescent="0.25">
      <c r="A6400" s="6"/>
    </row>
    <row r="6401" spans="1:1" ht="18.75" x14ac:dyDescent="0.25">
      <c r="A6401" s="6"/>
    </row>
    <row r="6402" spans="1:1" ht="18.75" x14ac:dyDescent="0.25">
      <c r="A6402" s="6"/>
    </row>
    <row r="6403" spans="1:1" ht="18.75" x14ac:dyDescent="0.25">
      <c r="A6403" s="6"/>
    </row>
    <row r="6404" spans="1:1" ht="18.75" x14ac:dyDescent="0.25">
      <c r="A6404" s="6"/>
    </row>
    <row r="6405" spans="1:1" ht="18.75" x14ac:dyDescent="0.25">
      <c r="A6405" s="6"/>
    </row>
    <row r="6406" spans="1:1" ht="18.75" x14ac:dyDescent="0.25">
      <c r="A6406" s="6"/>
    </row>
    <row r="6407" spans="1:1" ht="18.75" x14ac:dyDescent="0.25">
      <c r="A6407" s="6"/>
    </row>
    <row r="6408" spans="1:1" ht="18.75" x14ac:dyDescent="0.25">
      <c r="A6408" s="6"/>
    </row>
    <row r="6409" spans="1:1" ht="18.75" x14ac:dyDescent="0.25">
      <c r="A6409" s="6"/>
    </row>
    <row r="6410" spans="1:1" ht="18.75" x14ac:dyDescent="0.25">
      <c r="A6410" s="6"/>
    </row>
    <row r="6411" spans="1:1" ht="18.75" x14ac:dyDescent="0.25">
      <c r="A6411" s="6"/>
    </row>
    <row r="6412" spans="1:1" ht="18.75" x14ac:dyDescent="0.25">
      <c r="A6412" s="6"/>
    </row>
    <row r="6413" spans="1:1" ht="18.75" x14ac:dyDescent="0.25">
      <c r="A6413" s="6"/>
    </row>
    <row r="6414" spans="1:1" ht="18.75" x14ac:dyDescent="0.25">
      <c r="A6414" s="6"/>
    </row>
    <row r="6415" spans="1:1" ht="18.75" x14ac:dyDescent="0.25">
      <c r="A6415" s="6"/>
    </row>
    <row r="6416" spans="1:1" ht="18.75" x14ac:dyDescent="0.25">
      <c r="A6416" s="6"/>
    </row>
    <row r="6417" spans="1:1" ht="18.75" x14ac:dyDescent="0.25">
      <c r="A6417" s="6"/>
    </row>
    <row r="6418" spans="1:1" ht="18.75" x14ac:dyDescent="0.25">
      <c r="A6418" s="6"/>
    </row>
    <row r="6419" spans="1:1" ht="18.75" x14ac:dyDescent="0.25">
      <c r="A6419" s="6"/>
    </row>
    <row r="6420" spans="1:1" ht="18.75" x14ac:dyDescent="0.25">
      <c r="A6420" s="6"/>
    </row>
    <row r="6421" spans="1:1" ht="18.75" x14ac:dyDescent="0.25">
      <c r="A6421" s="6"/>
    </row>
    <row r="6422" spans="1:1" ht="18.75" x14ac:dyDescent="0.25">
      <c r="A6422" s="6"/>
    </row>
    <row r="6423" spans="1:1" ht="18.75" x14ac:dyDescent="0.25">
      <c r="A6423" s="6"/>
    </row>
    <row r="6424" spans="1:1" ht="18.75" x14ac:dyDescent="0.25">
      <c r="A6424" s="6"/>
    </row>
    <row r="6425" spans="1:1" ht="18.75" x14ac:dyDescent="0.25">
      <c r="A6425" s="6"/>
    </row>
    <row r="6426" spans="1:1" ht="18.75" x14ac:dyDescent="0.25">
      <c r="A6426" s="6"/>
    </row>
    <row r="6427" spans="1:1" ht="18.75" x14ac:dyDescent="0.25">
      <c r="A6427" s="6"/>
    </row>
    <row r="6428" spans="1:1" ht="18.75" x14ac:dyDescent="0.25">
      <c r="A6428" s="6"/>
    </row>
    <row r="6429" spans="1:1" ht="18.75" x14ac:dyDescent="0.25">
      <c r="A6429" s="6"/>
    </row>
    <row r="6430" spans="1:1" ht="18.75" x14ac:dyDescent="0.25">
      <c r="A6430" s="6"/>
    </row>
    <row r="6431" spans="1:1" ht="18.75" x14ac:dyDescent="0.25">
      <c r="A6431" s="6"/>
    </row>
    <row r="6432" spans="1:1" ht="18.75" x14ac:dyDescent="0.25">
      <c r="A6432" s="6"/>
    </row>
    <row r="6433" spans="1:1" ht="18.75" x14ac:dyDescent="0.25">
      <c r="A6433" s="6"/>
    </row>
    <row r="6434" spans="1:1" ht="18.75" x14ac:dyDescent="0.25">
      <c r="A6434" s="6"/>
    </row>
    <row r="6435" spans="1:1" ht="18.75" x14ac:dyDescent="0.25">
      <c r="A6435" s="6"/>
    </row>
    <row r="6436" spans="1:1" ht="18.75" x14ac:dyDescent="0.25">
      <c r="A6436" s="6"/>
    </row>
    <row r="6437" spans="1:1" ht="18.75" x14ac:dyDescent="0.25">
      <c r="A6437" s="6"/>
    </row>
    <row r="6438" spans="1:1" ht="18.75" x14ac:dyDescent="0.25">
      <c r="A6438" s="6"/>
    </row>
    <row r="6439" spans="1:1" ht="18.75" x14ac:dyDescent="0.25">
      <c r="A6439" s="6"/>
    </row>
    <row r="6440" spans="1:1" ht="18.75" x14ac:dyDescent="0.25">
      <c r="A6440" s="6"/>
    </row>
    <row r="6441" spans="1:1" ht="18.75" x14ac:dyDescent="0.25">
      <c r="A6441" s="6"/>
    </row>
    <row r="6442" spans="1:1" ht="18.75" x14ac:dyDescent="0.25">
      <c r="A6442" s="6"/>
    </row>
    <row r="6443" spans="1:1" ht="18.75" x14ac:dyDescent="0.25">
      <c r="A6443" s="6"/>
    </row>
    <row r="6444" spans="1:1" ht="18.75" x14ac:dyDescent="0.25">
      <c r="A6444" s="6"/>
    </row>
    <row r="6445" spans="1:1" ht="18.75" x14ac:dyDescent="0.25">
      <c r="A6445" s="6"/>
    </row>
    <row r="6446" spans="1:1" ht="18.75" x14ac:dyDescent="0.25">
      <c r="A6446" s="6"/>
    </row>
    <row r="6447" spans="1:1" ht="18.75" x14ac:dyDescent="0.25">
      <c r="A6447" s="6"/>
    </row>
    <row r="6448" spans="1:1" ht="18.75" x14ac:dyDescent="0.25">
      <c r="A6448" s="6"/>
    </row>
    <row r="6449" spans="1:1" ht="18.75" x14ac:dyDescent="0.25">
      <c r="A6449" s="6"/>
    </row>
    <row r="6450" spans="1:1" ht="18.75" x14ac:dyDescent="0.25">
      <c r="A6450" s="6"/>
    </row>
    <row r="6451" spans="1:1" ht="18.75" x14ac:dyDescent="0.25">
      <c r="A6451" s="6"/>
    </row>
    <row r="6452" spans="1:1" ht="18.75" x14ac:dyDescent="0.25">
      <c r="A6452" s="6"/>
    </row>
    <row r="6453" spans="1:1" ht="18.75" x14ac:dyDescent="0.25">
      <c r="A6453" s="6"/>
    </row>
    <row r="6454" spans="1:1" ht="18.75" x14ac:dyDescent="0.25">
      <c r="A6454" s="6"/>
    </row>
    <row r="6455" spans="1:1" ht="18.75" x14ac:dyDescent="0.25">
      <c r="A6455" s="6"/>
    </row>
    <row r="6456" spans="1:1" ht="18.75" x14ac:dyDescent="0.25">
      <c r="A6456" s="6"/>
    </row>
    <row r="6457" spans="1:1" ht="18.75" x14ac:dyDescent="0.25">
      <c r="A6457" s="6"/>
    </row>
    <row r="6458" spans="1:1" ht="18.75" x14ac:dyDescent="0.25">
      <c r="A6458" s="6"/>
    </row>
    <row r="6459" spans="1:1" ht="18.75" x14ac:dyDescent="0.25">
      <c r="A6459" s="6"/>
    </row>
    <row r="6460" spans="1:1" ht="18.75" x14ac:dyDescent="0.25">
      <c r="A6460" s="6"/>
    </row>
    <row r="6461" spans="1:1" ht="18.75" x14ac:dyDescent="0.25">
      <c r="A6461" s="6"/>
    </row>
    <row r="6462" spans="1:1" ht="18.75" x14ac:dyDescent="0.25">
      <c r="A6462" s="6"/>
    </row>
    <row r="6463" spans="1:1" ht="18.75" x14ac:dyDescent="0.25">
      <c r="A6463" s="6"/>
    </row>
    <row r="6464" spans="1:1" ht="18.75" x14ac:dyDescent="0.25">
      <c r="A6464" s="6"/>
    </row>
    <row r="6465" spans="1:1" ht="18.75" x14ac:dyDescent="0.25">
      <c r="A6465" s="6"/>
    </row>
    <row r="6466" spans="1:1" ht="18.75" x14ac:dyDescent="0.25">
      <c r="A6466" s="6"/>
    </row>
    <row r="6467" spans="1:1" ht="18.75" x14ac:dyDescent="0.25">
      <c r="A6467" s="6"/>
    </row>
    <row r="6468" spans="1:1" ht="18.75" x14ac:dyDescent="0.25">
      <c r="A6468" s="6"/>
    </row>
    <row r="6469" spans="1:1" ht="18.75" x14ac:dyDescent="0.25">
      <c r="A6469" s="6"/>
    </row>
    <row r="6470" spans="1:1" ht="18.75" x14ac:dyDescent="0.25">
      <c r="A6470" s="6"/>
    </row>
    <row r="6471" spans="1:1" ht="18.75" x14ac:dyDescent="0.25">
      <c r="A6471" s="6"/>
    </row>
    <row r="6472" spans="1:1" ht="18.75" x14ac:dyDescent="0.25">
      <c r="A6472" s="6"/>
    </row>
    <row r="6473" spans="1:1" ht="18.75" x14ac:dyDescent="0.25">
      <c r="A6473" s="6"/>
    </row>
    <row r="6474" spans="1:1" ht="18.75" x14ac:dyDescent="0.25">
      <c r="A6474" s="6"/>
    </row>
    <row r="6475" spans="1:1" ht="18.75" x14ac:dyDescent="0.25">
      <c r="A6475" s="6"/>
    </row>
    <row r="6476" spans="1:1" ht="18.75" x14ac:dyDescent="0.25">
      <c r="A6476" s="6"/>
    </row>
    <row r="6477" spans="1:1" ht="18.75" x14ac:dyDescent="0.25">
      <c r="A6477" s="6"/>
    </row>
    <row r="6478" spans="1:1" ht="18.75" x14ac:dyDescent="0.25">
      <c r="A6478" s="6"/>
    </row>
    <row r="6479" spans="1:1" ht="18.75" x14ac:dyDescent="0.25">
      <c r="A6479" s="6"/>
    </row>
    <row r="6480" spans="1:1" ht="18.75" x14ac:dyDescent="0.25">
      <c r="A6480" s="6"/>
    </row>
    <row r="6481" spans="1:1" ht="18.75" x14ac:dyDescent="0.25">
      <c r="A6481" s="6"/>
    </row>
    <row r="6482" spans="1:1" ht="18.75" x14ac:dyDescent="0.25">
      <c r="A6482" s="6"/>
    </row>
    <row r="6483" spans="1:1" ht="18.75" x14ac:dyDescent="0.25">
      <c r="A6483" s="6"/>
    </row>
    <row r="6484" spans="1:1" ht="18.75" x14ac:dyDescent="0.25">
      <c r="A6484" s="6"/>
    </row>
    <row r="6485" spans="1:1" ht="18.75" x14ac:dyDescent="0.25">
      <c r="A6485" s="6"/>
    </row>
    <row r="6486" spans="1:1" ht="18.75" x14ac:dyDescent="0.25">
      <c r="A6486" s="6"/>
    </row>
    <row r="6487" spans="1:1" ht="18.75" x14ac:dyDescent="0.25">
      <c r="A6487" s="6"/>
    </row>
    <row r="6488" spans="1:1" ht="18.75" x14ac:dyDescent="0.25">
      <c r="A6488" s="6"/>
    </row>
    <row r="6489" spans="1:1" ht="18.75" x14ac:dyDescent="0.25">
      <c r="A6489" s="6"/>
    </row>
    <row r="6490" spans="1:1" ht="18.75" x14ac:dyDescent="0.25">
      <c r="A6490" s="6"/>
    </row>
    <row r="6491" spans="1:1" ht="18.75" x14ac:dyDescent="0.25">
      <c r="A6491" s="6"/>
    </row>
    <row r="6492" spans="1:1" ht="18.75" x14ac:dyDescent="0.25">
      <c r="A6492" s="6"/>
    </row>
    <row r="6493" spans="1:1" ht="18.75" x14ac:dyDescent="0.25">
      <c r="A6493" s="6"/>
    </row>
    <row r="6494" spans="1:1" ht="18.75" x14ac:dyDescent="0.25">
      <c r="A6494" s="6"/>
    </row>
    <row r="6495" spans="1:1" ht="18.75" x14ac:dyDescent="0.25">
      <c r="A6495" s="6"/>
    </row>
    <row r="6496" spans="1:1" ht="18.75" x14ac:dyDescent="0.25">
      <c r="A6496" s="6"/>
    </row>
    <row r="6497" spans="1:1" ht="18.75" x14ac:dyDescent="0.25">
      <c r="A6497" s="6"/>
    </row>
    <row r="6498" spans="1:1" ht="18.75" x14ac:dyDescent="0.25">
      <c r="A6498" s="6"/>
    </row>
    <row r="6499" spans="1:1" ht="18.75" x14ac:dyDescent="0.25">
      <c r="A6499" s="6"/>
    </row>
    <row r="6500" spans="1:1" ht="18.75" x14ac:dyDescent="0.25">
      <c r="A6500" s="6"/>
    </row>
    <row r="6501" spans="1:1" ht="18.75" x14ac:dyDescent="0.25">
      <c r="A6501" s="6"/>
    </row>
    <row r="6502" spans="1:1" ht="18.75" x14ac:dyDescent="0.25">
      <c r="A6502" s="6"/>
    </row>
    <row r="6503" spans="1:1" ht="18.75" x14ac:dyDescent="0.25">
      <c r="A6503" s="6"/>
    </row>
    <row r="6504" spans="1:1" ht="18.75" x14ac:dyDescent="0.25">
      <c r="A6504" s="6"/>
    </row>
    <row r="6505" spans="1:1" ht="18.75" x14ac:dyDescent="0.25">
      <c r="A6505" s="6"/>
    </row>
    <row r="6506" spans="1:1" ht="18.75" x14ac:dyDescent="0.25">
      <c r="A6506" s="6"/>
    </row>
    <row r="6507" spans="1:1" ht="18.75" x14ac:dyDescent="0.25">
      <c r="A6507" s="6"/>
    </row>
    <row r="6508" spans="1:1" ht="18.75" x14ac:dyDescent="0.25">
      <c r="A6508" s="6"/>
    </row>
    <row r="6509" spans="1:1" ht="18.75" x14ac:dyDescent="0.25">
      <c r="A6509" s="6"/>
    </row>
    <row r="6510" spans="1:1" ht="18.75" x14ac:dyDescent="0.25">
      <c r="A6510" s="6"/>
    </row>
    <row r="6511" spans="1:1" ht="18.75" x14ac:dyDescent="0.25">
      <c r="A6511" s="6"/>
    </row>
    <row r="6512" spans="1:1" ht="18.75" x14ac:dyDescent="0.25">
      <c r="A6512" s="6"/>
    </row>
    <row r="6513" spans="1:1" ht="18.75" x14ac:dyDescent="0.25">
      <c r="A6513" s="6"/>
    </row>
    <row r="6514" spans="1:1" ht="18.75" x14ac:dyDescent="0.25">
      <c r="A6514" s="6"/>
    </row>
    <row r="6515" spans="1:1" ht="18.75" x14ac:dyDescent="0.25">
      <c r="A6515" s="6"/>
    </row>
    <row r="6516" spans="1:1" ht="18.75" x14ac:dyDescent="0.25">
      <c r="A6516" s="6"/>
    </row>
    <row r="6517" spans="1:1" ht="18.75" x14ac:dyDescent="0.25">
      <c r="A6517" s="6"/>
    </row>
    <row r="6518" spans="1:1" ht="18.75" x14ac:dyDescent="0.25">
      <c r="A6518" s="6"/>
    </row>
    <row r="6519" spans="1:1" ht="18.75" x14ac:dyDescent="0.25">
      <c r="A6519" s="6"/>
    </row>
    <row r="6520" spans="1:1" ht="18.75" x14ac:dyDescent="0.25">
      <c r="A6520" s="6"/>
    </row>
    <row r="6521" spans="1:1" ht="18.75" x14ac:dyDescent="0.25">
      <c r="A6521" s="6"/>
    </row>
    <row r="6522" spans="1:1" ht="18.75" x14ac:dyDescent="0.25">
      <c r="A6522" s="6"/>
    </row>
    <row r="6523" spans="1:1" ht="18.75" x14ac:dyDescent="0.25">
      <c r="A6523" s="6"/>
    </row>
    <row r="6524" spans="1:1" ht="18.75" x14ac:dyDescent="0.25">
      <c r="A6524" s="6"/>
    </row>
    <row r="6525" spans="1:1" ht="18.75" x14ac:dyDescent="0.25">
      <c r="A6525" s="6"/>
    </row>
    <row r="6526" spans="1:1" ht="18.75" x14ac:dyDescent="0.25">
      <c r="A6526" s="6"/>
    </row>
    <row r="6527" spans="1:1" ht="18.75" x14ac:dyDescent="0.25">
      <c r="A6527" s="6"/>
    </row>
    <row r="6528" spans="1:1" ht="18.75" x14ac:dyDescent="0.25">
      <c r="A6528" s="6"/>
    </row>
    <row r="6529" spans="1:1" ht="18.75" x14ac:dyDescent="0.25">
      <c r="A6529" s="6"/>
    </row>
    <row r="6530" spans="1:1" ht="18.75" x14ac:dyDescent="0.25">
      <c r="A6530" s="6"/>
    </row>
    <row r="6531" spans="1:1" ht="18.75" x14ac:dyDescent="0.25">
      <c r="A6531" s="6"/>
    </row>
    <row r="6532" spans="1:1" ht="18.75" x14ac:dyDescent="0.25">
      <c r="A6532" s="6"/>
    </row>
    <row r="6533" spans="1:1" ht="18.75" x14ac:dyDescent="0.25">
      <c r="A6533" s="6"/>
    </row>
    <row r="6534" spans="1:1" ht="18.75" x14ac:dyDescent="0.25">
      <c r="A6534" s="6"/>
    </row>
    <row r="6535" spans="1:1" ht="18.75" x14ac:dyDescent="0.25">
      <c r="A6535" s="6"/>
    </row>
    <row r="6536" spans="1:1" ht="18.75" x14ac:dyDescent="0.25">
      <c r="A6536" s="6"/>
    </row>
    <row r="6537" spans="1:1" ht="18.75" x14ac:dyDescent="0.25">
      <c r="A6537" s="6"/>
    </row>
    <row r="6538" spans="1:1" ht="18.75" x14ac:dyDescent="0.25">
      <c r="A6538" s="6"/>
    </row>
    <row r="6539" spans="1:1" ht="18.75" x14ac:dyDescent="0.25">
      <c r="A6539" s="6"/>
    </row>
    <row r="6540" spans="1:1" ht="18.75" x14ac:dyDescent="0.25">
      <c r="A6540" s="6"/>
    </row>
    <row r="6541" spans="1:1" ht="18.75" x14ac:dyDescent="0.25">
      <c r="A6541" s="6"/>
    </row>
    <row r="6542" spans="1:1" ht="18.75" x14ac:dyDescent="0.25">
      <c r="A6542" s="6"/>
    </row>
    <row r="6543" spans="1:1" ht="18.75" x14ac:dyDescent="0.25">
      <c r="A6543" s="6"/>
    </row>
    <row r="6544" spans="1:1" ht="18.75" x14ac:dyDescent="0.25">
      <c r="A6544" s="6"/>
    </row>
    <row r="6545" spans="1:1" ht="18.75" x14ac:dyDescent="0.25">
      <c r="A6545" s="6"/>
    </row>
    <row r="6546" spans="1:1" ht="18.75" x14ac:dyDescent="0.25">
      <c r="A6546" s="6"/>
    </row>
    <row r="6547" spans="1:1" ht="18.75" x14ac:dyDescent="0.25">
      <c r="A6547" s="6"/>
    </row>
    <row r="6548" spans="1:1" ht="18.75" x14ac:dyDescent="0.25">
      <c r="A6548" s="6"/>
    </row>
    <row r="6549" spans="1:1" ht="18.75" x14ac:dyDescent="0.25">
      <c r="A6549" s="6"/>
    </row>
    <row r="6550" spans="1:1" ht="18.75" x14ac:dyDescent="0.25">
      <c r="A6550" s="6"/>
    </row>
    <row r="6551" spans="1:1" ht="18.75" x14ac:dyDescent="0.25">
      <c r="A6551" s="6"/>
    </row>
    <row r="6552" spans="1:1" ht="18.75" x14ac:dyDescent="0.25">
      <c r="A6552" s="6"/>
    </row>
    <row r="6553" spans="1:1" ht="18.75" x14ac:dyDescent="0.25">
      <c r="A6553" s="6"/>
    </row>
    <row r="6554" spans="1:1" ht="18.75" x14ac:dyDescent="0.25">
      <c r="A6554" s="6"/>
    </row>
    <row r="6555" spans="1:1" ht="18.75" x14ac:dyDescent="0.25">
      <c r="A6555" s="6"/>
    </row>
    <row r="6556" spans="1:1" ht="18.75" x14ac:dyDescent="0.25">
      <c r="A6556" s="6"/>
    </row>
    <row r="6557" spans="1:1" ht="18.75" x14ac:dyDescent="0.25">
      <c r="A6557" s="6"/>
    </row>
    <row r="6558" spans="1:1" ht="18.75" x14ac:dyDescent="0.25">
      <c r="A6558" s="6"/>
    </row>
    <row r="6559" spans="1:1" ht="18.75" x14ac:dyDescent="0.25">
      <c r="A6559" s="6"/>
    </row>
    <row r="6560" spans="1:1" ht="18.75" x14ac:dyDescent="0.25">
      <c r="A6560" s="6"/>
    </row>
    <row r="6561" spans="1:1" ht="18.75" x14ac:dyDescent="0.25">
      <c r="A6561" s="6"/>
    </row>
    <row r="6562" spans="1:1" ht="18.75" x14ac:dyDescent="0.25">
      <c r="A6562" s="6"/>
    </row>
    <row r="6563" spans="1:1" ht="18.75" x14ac:dyDescent="0.25">
      <c r="A6563" s="6"/>
    </row>
    <row r="6564" spans="1:1" ht="18.75" x14ac:dyDescent="0.25">
      <c r="A6564" s="6"/>
    </row>
    <row r="6565" spans="1:1" ht="18.75" x14ac:dyDescent="0.25">
      <c r="A6565" s="6"/>
    </row>
    <row r="6566" spans="1:1" ht="18.75" x14ac:dyDescent="0.25">
      <c r="A6566" s="6"/>
    </row>
    <row r="6567" spans="1:1" ht="18.75" x14ac:dyDescent="0.25">
      <c r="A6567" s="6"/>
    </row>
    <row r="6568" spans="1:1" ht="18.75" x14ac:dyDescent="0.25">
      <c r="A6568" s="6"/>
    </row>
    <row r="6569" spans="1:1" ht="18.75" x14ac:dyDescent="0.25">
      <c r="A6569" s="6"/>
    </row>
    <row r="6570" spans="1:1" ht="18.75" x14ac:dyDescent="0.25">
      <c r="A6570" s="6"/>
    </row>
    <row r="6571" spans="1:1" ht="18.75" x14ac:dyDescent="0.25">
      <c r="A6571" s="6"/>
    </row>
    <row r="6572" spans="1:1" ht="18.75" x14ac:dyDescent="0.25">
      <c r="A6572" s="6"/>
    </row>
    <row r="6573" spans="1:1" ht="18.75" x14ac:dyDescent="0.25">
      <c r="A6573" s="6"/>
    </row>
    <row r="6574" spans="1:1" ht="18.75" x14ac:dyDescent="0.25">
      <c r="A6574" s="6"/>
    </row>
    <row r="6575" spans="1:1" ht="18.75" x14ac:dyDescent="0.25">
      <c r="A6575" s="6"/>
    </row>
    <row r="6576" spans="1:1" ht="18.75" x14ac:dyDescent="0.25">
      <c r="A6576" s="6"/>
    </row>
    <row r="6577" spans="1:1" ht="18.75" x14ac:dyDescent="0.25">
      <c r="A6577" s="6"/>
    </row>
    <row r="6578" spans="1:1" ht="18.75" x14ac:dyDescent="0.25">
      <c r="A6578" s="6"/>
    </row>
    <row r="6579" spans="1:1" ht="18.75" x14ac:dyDescent="0.25">
      <c r="A6579" s="6"/>
    </row>
    <row r="6580" spans="1:1" ht="18.75" x14ac:dyDescent="0.25">
      <c r="A6580" s="6"/>
    </row>
    <row r="6581" spans="1:1" ht="18.75" x14ac:dyDescent="0.25">
      <c r="A6581" s="6"/>
    </row>
    <row r="6582" spans="1:1" ht="18.75" x14ac:dyDescent="0.25">
      <c r="A6582" s="6"/>
    </row>
    <row r="6583" spans="1:1" ht="18.75" x14ac:dyDescent="0.25">
      <c r="A6583" s="6"/>
    </row>
    <row r="6584" spans="1:1" ht="18.75" x14ac:dyDescent="0.25">
      <c r="A6584" s="6"/>
    </row>
    <row r="6585" spans="1:1" ht="18.75" x14ac:dyDescent="0.25">
      <c r="A6585" s="6"/>
    </row>
    <row r="6586" spans="1:1" ht="18.75" x14ac:dyDescent="0.25">
      <c r="A6586" s="6"/>
    </row>
    <row r="6587" spans="1:1" ht="18.75" x14ac:dyDescent="0.25">
      <c r="A6587" s="6"/>
    </row>
    <row r="6588" spans="1:1" ht="18.75" x14ac:dyDescent="0.25">
      <c r="A6588" s="6"/>
    </row>
    <row r="6589" spans="1:1" ht="18.75" x14ac:dyDescent="0.25">
      <c r="A6589" s="6"/>
    </row>
    <row r="6590" spans="1:1" ht="18.75" x14ac:dyDescent="0.25">
      <c r="A6590" s="6"/>
    </row>
    <row r="6591" spans="1:1" ht="18.75" x14ac:dyDescent="0.25">
      <c r="A6591" s="6"/>
    </row>
    <row r="6592" spans="1:1" ht="18.75" x14ac:dyDescent="0.25">
      <c r="A6592" s="6"/>
    </row>
    <row r="6593" spans="1:1" ht="18.75" x14ac:dyDescent="0.25">
      <c r="A6593" s="6"/>
    </row>
    <row r="6594" spans="1:1" ht="18.75" x14ac:dyDescent="0.25">
      <c r="A6594" s="6"/>
    </row>
    <row r="6595" spans="1:1" ht="18.75" x14ac:dyDescent="0.25">
      <c r="A6595" s="6"/>
    </row>
    <row r="6596" spans="1:1" ht="18.75" x14ac:dyDescent="0.25">
      <c r="A6596" s="6"/>
    </row>
    <row r="6597" spans="1:1" ht="18.75" x14ac:dyDescent="0.25">
      <c r="A6597" s="6"/>
    </row>
    <row r="6598" spans="1:1" ht="18.75" x14ac:dyDescent="0.25">
      <c r="A6598" s="6"/>
    </row>
    <row r="6599" spans="1:1" ht="18.75" x14ac:dyDescent="0.25">
      <c r="A6599" s="6"/>
    </row>
    <row r="6600" spans="1:1" ht="18.75" x14ac:dyDescent="0.25">
      <c r="A6600" s="6"/>
    </row>
    <row r="6601" spans="1:1" ht="18.75" x14ac:dyDescent="0.25">
      <c r="A6601" s="6"/>
    </row>
    <row r="6602" spans="1:1" ht="18.75" x14ac:dyDescent="0.25">
      <c r="A6602" s="6"/>
    </row>
    <row r="6603" spans="1:1" ht="18.75" x14ac:dyDescent="0.25">
      <c r="A6603" s="6"/>
    </row>
    <row r="6604" spans="1:1" ht="18.75" x14ac:dyDescent="0.25">
      <c r="A6604" s="6"/>
    </row>
    <row r="6605" spans="1:1" ht="18.75" x14ac:dyDescent="0.25">
      <c r="A6605" s="6"/>
    </row>
    <row r="6606" spans="1:1" ht="18.75" x14ac:dyDescent="0.25">
      <c r="A6606" s="6"/>
    </row>
    <row r="6607" spans="1:1" ht="18.75" x14ac:dyDescent="0.25">
      <c r="A6607" s="6"/>
    </row>
    <row r="6608" spans="1:1" ht="18.75" x14ac:dyDescent="0.25">
      <c r="A6608" s="6"/>
    </row>
    <row r="6609" spans="1:1" ht="18.75" x14ac:dyDescent="0.25">
      <c r="A6609" s="6"/>
    </row>
    <row r="6610" spans="1:1" ht="18.75" x14ac:dyDescent="0.25">
      <c r="A6610" s="6"/>
    </row>
    <row r="6611" spans="1:1" ht="18.75" x14ac:dyDescent="0.25">
      <c r="A6611" s="6"/>
    </row>
    <row r="6612" spans="1:1" ht="18.75" x14ac:dyDescent="0.25">
      <c r="A6612" s="6"/>
    </row>
    <row r="6613" spans="1:1" ht="18.75" x14ac:dyDescent="0.25">
      <c r="A6613" s="6"/>
    </row>
    <row r="6614" spans="1:1" ht="18.75" x14ac:dyDescent="0.25">
      <c r="A6614" s="6"/>
    </row>
    <row r="6615" spans="1:1" ht="18.75" x14ac:dyDescent="0.25">
      <c r="A6615" s="6"/>
    </row>
    <row r="6616" spans="1:1" ht="18.75" x14ac:dyDescent="0.25">
      <c r="A6616" s="6"/>
    </row>
    <row r="6617" spans="1:1" ht="18.75" x14ac:dyDescent="0.25">
      <c r="A6617" s="6"/>
    </row>
    <row r="6618" spans="1:1" ht="18.75" x14ac:dyDescent="0.25">
      <c r="A6618" s="6"/>
    </row>
    <row r="6619" spans="1:1" ht="18.75" x14ac:dyDescent="0.25">
      <c r="A6619" s="6"/>
    </row>
    <row r="6620" spans="1:1" ht="18.75" x14ac:dyDescent="0.25">
      <c r="A6620" s="6"/>
    </row>
    <row r="6621" spans="1:1" ht="18.75" x14ac:dyDescent="0.25">
      <c r="A6621" s="6"/>
    </row>
    <row r="6622" spans="1:1" ht="18.75" x14ac:dyDescent="0.25">
      <c r="A6622" s="6"/>
    </row>
    <row r="6623" spans="1:1" ht="18.75" x14ac:dyDescent="0.25">
      <c r="A6623" s="6"/>
    </row>
    <row r="6624" spans="1:1" ht="18.75" x14ac:dyDescent="0.25">
      <c r="A6624" s="6"/>
    </row>
    <row r="6625" spans="1:1" ht="18.75" x14ac:dyDescent="0.25">
      <c r="A6625" s="6"/>
    </row>
    <row r="6626" spans="1:1" ht="18.75" x14ac:dyDescent="0.25">
      <c r="A6626" s="6"/>
    </row>
    <row r="6627" spans="1:1" ht="18.75" x14ac:dyDescent="0.25">
      <c r="A6627" s="6"/>
    </row>
    <row r="6628" spans="1:1" ht="18.75" x14ac:dyDescent="0.25">
      <c r="A6628" s="6"/>
    </row>
    <row r="6629" spans="1:1" ht="18.75" x14ac:dyDescent="0.25">
      <c r="A6629" s="6"/>
    </row>
    <row r="6630" spans="1:1" ht="18.75" x14ac:dyDescent="0.25">
      <c r="A6630" s="6"/>
    </row>
    <row r="6631" spans="1:1" ht="18.75" x14ac:dyDescent="0.25">
      <c r="A6631" s="6"/>
    </row>
    <row r="6632" spans="1:1" ht="18.75" x14ac:dyDescent="0.25">
      <c r="A6632" s="6"/>
    </row>
    <row r="6633" spans="1:1" ht="18.75" x14ac:dyDescent="0.25">
      <c r="A6633" s="6"/>
    </row>
    <row r="6634" spans="1:1" ht="18.75" x14ac:dyDescent="0.25">
      <c r="A6634" s="6"/>
    </row>
    <row r="6635" spans="1:1" ht="18.75" x14ac:dyDescent="0.25">
      <c r="A6635" s="6"/>
    </row>
    <row r="6636" spans="1:1" ht="18.75" x14ac:dyDescent="0.25">
      <c r="A6636" s="6"/>
    </row>
    <row r="6637" spans="1:1" ht="18.75" x14ac:dyDescent="0.25">
      <c r="A6637" s="6"/>
    </row>
    <row r="6638" spans="1:1" ht="18.75" x14ac:dyDescent="0.25">
      <c r="A6638" s="6"/>
    </row>
    <row r="6639" spans="1:1" ht="18.75" x14ac:dyDescent="0.25">
      <c r="A6639" s="6"/>
    </row>
    <row r="6640" spans="1:1" ht="18.75" x14ac:dyDescent="0.25">
      <c r="A6640" s="6"/>
    </row>
    <row r="6641" spans="1:1" ht="18.75" x14ac:dyDescent="0.25">
      <c r="A6641" s="6"/>
    </row>
    <row r="6642" spans="1:1" ht="18.75" x14ac:dyDescent="0.25">
      <c r="A6642" s="6"/>
    </row>
    <row r="6643" spans="1:1" ht="18.75" x14ac:dyDescent="0.25">
      <c r="A6643" s="6"/>
    </row>
    <row r="6644" spans="1:1" ht="18.75" x14ac:dyDescent="0.25">
      <c r="A6644" s="6"/>
    </row>
    <row r="6645" spans="1:1" ht="18.75" x14ac:dyDescent="0.25">
      <c r="A6645" s="6"/>
    </row>
    <row r="6646" spans="1:1" ht="18.75" x14ac:dyDescent="0.25">
      <c r="A6646" s="6"/>
    </row>
    <row r="6647" spans="1:1" ht="18.75" x14ac:dyDescent="0.25">
      <c r="A6647" s="6"/>
    </row>
    <row r="6648" spans="1:1" ht="18.75" x14ac:dyDescent="0.25">
      <c r="A6648" s="6"/>
    </row>
    <row r="6649" spans="1:1" ht="18.75" x14ac:dyDescent="0.25">
      <c r="A6649" s="6"/>
    </row>
    <row r="6650" spans="1:1" ht="18.75" x14ac:dyDescent="0.25">
      <c r="A6650" s="6"/>
    </row>
    <row r="6651" spans="1:1" ht="18.75" x14ac:dyDescent="0.25">
      <c r="A6651" s="6"/>
    </row>
    <row r="6652" spans="1:1" ht="18.75" x14ac:dyDescent="0.25">
      <c r="A6652" s="6"/>
    </row>
    <row r="6653" spans="1:1" ht="18.75" x14ac:dyDescent="0.25">
      <c r="A6653" s="6"/>
    </row>
    <row r="6654" spans="1:1" ht="18.75" x14ac:dyDescent="0.25">
      <c r="A6654" s="6"/>
    </row>
    <row r="6655" spans="1:1" ht="18.75" x14ac:dyDescent="0.25">
      <c r="A6655" s="6"/>
    </row>
    <row r="6656" spans="1:1" ht="18.75" x14ac:dyDescent="0.25">
      <c r="A6656" s="6"/>
    </row>
    <row r="6657" spans="1:1" ht="18.75" x14ac:dyDescent="0.25">
      <c r="A6657" s="6"/>
    </row>
    <row r="6658" spans="1:1" ht="18.75" x14ac:dyDescent="0.25">
      <c r="A6658" s="6"/>
    </row>
    <row r="6659" spans="1:1" ht="18.75" x14ac:dyDescent="0.25">
      <c r="A6659" s="6"/>
    </row>
    <row r="6660" spans="1:1" ht="18.75" x14ac:dyDescent="0.25">
      <c r="A6660" s="6"/>
    </row>
    <row r="6661" spans="1:1" ht="18.75" x14ac:dyDescent="0.25">
      <c r="A6661" s="6"/>
    </row>
    <row r="6662" spans="1:1" ht="18.75" x14ac:dyDescent="0.25">
      <c r="A6662" s="6"/>
    </row>
    <row r="6663" spans="1:1" ht="18.75" x14ac:dyDescent="0.25">
      <c r="A6663" s="6"/>
    </row>
    <row r="6664" spans="1:1" ht="18.75" x14ac:dyDescent="0.25">
      <c r="A6664" s="6"/>
    </row>
    <row r="6665" spans="1:1" ht="18.75" x14ac:dyDescent="0.25">
      <c r="A6665" s="6"/>
    </row>
    <row r="6666" spans="1:1" ht="18.75" x14ac:dyDescent="0.25">
      <c r="A6666" s="6"/>
    </row>
    <row r="6667" spans="1:1" ht="18.75" x14ac:dyDescent="0.25">
      <c r="A6667" s="6"/>
    </row>
    <row r="6668" spans="1:1" ht="18.75" x14ac:dyDescent="0.25">
      <c r="A6668" s="6"/>
    </row>
    <row r="6669" spans="1:1" ht="18.75" x14ac:dyDescent="0.25">
      <c r="A6669" s="6"/>
    </row>
    <row r="6670" spans="1:1" ht="18.75" x14ac:dyDescent="0.25">
      <c r="A6670" s="6"/>
    </row>
    <row r="6671" spans="1:1" ht="18.75" x14ac:dyDescent="0.25">
      <c r="A6671" s="6"/>
    </row>
    <row r="6672" spans="1:1" ht="18.75" x14ac:dyDescent="0.25">
      <c r="A6672" s="6"/>
    </row>
    <row r="6673" spans="1:1" ht="18.75" x14ac:dyDescent="0.25">
      <c r="A6673" s="6"/>
    </row>
    <row r="6674" spans="1:1" ht="18.75" x14ac:dyDescent="0.25">
      <c r="A6674" s="6"/>
    </row>
    <row r="6675" spans="1:1" ht="18.75" x14ac:dyDescent="0.25">
      <c r="A6675" s="6"/>
    </row>
    <row r="6676" spans="1:1" ht="18.75" x14ac:dyDescent="0.25">
      <c r="A6676" s="6"/>
    </row>
    <row r="6677" spans="1:1" ht="18.75" x14ac:dyDescent="0.25">
      <c r="A6677" s="6"/>
    </row>
    <row r="6678" spans="1:1" ht="18.75" x14ac:dyDescent="0.25">
      <c r="A6678" s="6"/>
    </row>
    <row r="6679" spans="1:1" ht="18.75" x14ac:dyDescent="0.25">
      <c r="A6679" s="6"/>
    </row>
    <row r="6680" spans="1:1" ht="18.75" x14ac:dyDescent="0.25">
      <c r="A6680" s="6"/>
    </row>
    <row r="6681" spans="1:1" ht="18.75" x14ac:dyDescent="0.25">
      <c r="A6681" s="6"/>
    </row>
    <row r="6682" spans="1:1" ht="18.75" x14ac:dyDescent="0.25">
      <c r="A6682" s="6"/>
    </row>
    <row r="6683" spans="1:1" ht="18.75" x14ac:dyDescent="0.25">
      <c r="A6683" s="6"/>
    </row>
    <row r="6684" spans="1:1" ht="18.75" x14ac:dyDescent="0.25">
      <c r="A6684" s="6"/>
    </row>
    <row r="6685" spans="1:1" ht="18.75" x14ac:dyDescent="0.25">
      <c r="A6685" s="6"/>
    </row>
    <row r="6686" spans="1:1" ht="18.75" x14ac:dyDescent="0.25">
      <c r="A6686" s="6"/>
    </row>
    <row r="6687" spans="1:1" ht="18.75" x14ac:dyDescent="0.25">
      <c r="A6687" s="6"/>
    </row>
    <row r="6688" spans="1:1" ht="18.75" x14ac:dyDescent="0.25">
      <c r="A6688" s="6"/>
    </row>
    <row r="6689" spans="1:1" ht="18.75" x14ac:dyDescent="0.25">
      <c r="A6689" s="6"/>
    </row>
    <row r="6690" spans="1:1" ht="18.75" x14ac:dyDescent="0.25">
      <c r="A6690" s="6"/>
    </row>
    <row r="6691" spans="1:1" ht="18.75" x14ac:dyDescent="0.25">
      <c r="A6691" s="6"/>
    </row>
    <row r="6692" spans="1:1" ht="18.75" x14ac:dyDescent="0.25">
      <c r="A6692" s="6"/>
    </row>
    <row r="6693" spans="1:1" ht="18.75" x14ac:dyDescent="0.25">
      <c r="A6693" s="6"/>
    </row>
    <row r="6694" spans="1:1" ht="18.75" x14ac:dyDescent="0.25">
      <c r="A6694" s="6"/>
    </row>
    <row r="6695" spans="1:1" ht="18.75" x14ac:dyDescent="0.25">
      <c r="A6695" s="6"/>
    </row>
    <row r="6696" spans="1:1" ht="18.75" x14ac:dyDescent="0.25">
      <c r="A6696" s="6"/>
    </row>
    <row r="6697" spans="1:1" ht="18.75" x14ac:dyDescent="0.25">
      <c r="A6697" s="6"/>
    </row>
    <row r="6698" spans="1:1" ht="18.75" x14ac:dyDescent="0.25">
      <c r="A6698" s="6"/>
    </row>
    <row r="6699" spans="1:1" ht="18.75" x14ac:dyDescent="0.25">
      <c r="A6699" s="6"/>
    </row>
    <row r="6700" spans="1:1" ht="18.75" x14ac:dyDescent="0.25">
      <c r="A6700" s="6"/>
    </row>
    <row r="6701" spans="1:1" ht="18.75" x14ac:dyDescent="0.25">
      <c r="A6701" s="6"/>
    </row>
    <row r="6702" spans="1:1" ht="18.75" x14ac:dyDescent="0.25">
      <c r="A6702" s="6"/>
    </row>
    <row r="6703" spans="1:1" ht="18.75" x14ac:dyDescent="0.25">
      <c r="A6703" s="6"/>
    </row>
    <row r="6704" spans="1:1" ht="18.75" x14ac:dyDescent="0.25">
      <c r="A6704" s="6"/>
    </row>
    <row r="6705" spans="1:1" ht="18.75" x14ac:dyDescent="0.25">
      <c r="A6705" s="6"/>
    </row>
    <row r="6706" spans="1:1" ht="18.75" x14ac:dyDescent="0.25">
      <c r="A6706" s="6"/>
    </row>
    <row r="6707" spans="1:1" ht="18.75" x14ac:dyDescent="0.25">
      <c r="A6707" s="6"/>
    </row>
    <row r="6708" spans="1:1" ht="18.75" x14ac:dyDescent="0.25">
      <c r="A6708" s="6"/>
    </row>
    <row r="6709" spans="1:1" ht="18.75" x14ac:dyDescent="0.25">
      <c r="A6709" s="6"/>
    </row>
    <row r="6710" spans="1:1" ht="18.75" x14ac:dyDescent="0.25">
      <c r="A6710" s="6"/>
    </row>
    <row r="6711" spans="1:1" ht="18.75" x14ac:dyDescent="0.25">
      <c r="A6711" s="6"/>
    </row>
    <row r="6712" spans="1:1" ht="18.75" x14ac:dyDescent="0.25">
      <c r="A6712" s="6"/>
    </row>
    <row r="6713" spans="1:1" ht="18.75" x14ac:dyDescent="0.25">
      <c r="A6713" s="6"/>
    </row>
    <row r="6714" spans="1:1" ht="18.75" x14ac:dyDescent="0.25">
      <c r="A6714" s="6"/>
    </row>
    <row r="6715" spans="1:1" ht="18.75" x14ac:dyDescent="0.25">
      <c r="A6715" s="6"/>
    </row>
    <row r="6716" spans="1:1" ht="18.75" x14ac:dyDescent="0.25">
      <c r="A6716" s="6"/>
    </row>
    <row r="6717" spans="1:1" ht="18.75" x14ac:dyDescent="0.25">
      <c r="A6717" s="6"/>
    </row>
    <row r="6718" spans="1:1" ht="18.75" x14ac:dyDescent="0.25">
      <c r="A6718" s="6"/>
    </row>
    <row r="6719" spans="1:1" ht="18.75" x14ac:dyDescent="0.25">
      <c r="A6719" s="6"/>
    </row>
    <row r="6720" spans="1:1" ht="18.75" x14ac:dyDescent="0.25">
      <c r="A6720" s="6"/>
    </row>
    <row r="6721" spans="1:1" ht="18.75" x14ac:dyDescent="0.25">
      <c r="A6721" s="6"/>
    </row>
    <row r="6722" spans="1:1" ht="18.75" x14ac:dyDescent="0.25">
      <c r="A6722" s="6"/>
    </row>
    <row r="6723" spans="1:1" ht="18.75" x14ac:dyDescent="0.25">
      <c r="A6723" s="6"/>
    </row>
    <row r="6724" spans="1:1" ht="18.75" x14ac:dyDescent="0.25">
      <c r="A6724" s="6"/>
    </row>
    <row r="6725" spans="1:1" ht="18.75" x14ac:dyDescent="0.25">
      <c r="A6725" s="6"/>
    </row>
    <row r="6726" spans="1:1" ht="18.75" x14ac:dyDescent="0.25">
      <c r="A6726" s="6"/>
    </row>
    <row r="6727" spans="1:1" ht="18.75" x14ac:dyDescent="0.25">
      <c r="A6727" s="6"/>
    </row>
    <row r="6728" spans="1:1" ht="18.75" x14ac:dyDescent="0.25">
      <c r="A6728" s="6"/>
    </row>
    <row r="6729" spans="1:1" ht="18.75" x14ac:dyDescent="0.25">
      <c r="A6729" s="6"/>
    </row>
    <row r="6730" spans="1:1" ht="18.75" x14ac:dyDescent="0.25">
      <c r="A6730" s="6"/>
    </row>
    <row r="6731" spans="1:1" ht="18.75" x14ac:dyDescent="0.25">
      <c r="A6731" s="6"/>
    </row>
    <row r="6732" spans="1:1" ht="18.75" x14ac:dyDescent="0.25">
      <c r="A6732" s="6"/>
    </row>
    <row r="6733" spans="1:1" ht="18.75" x14ac:dyDescent="0.25">
      <c r="A6733" s="6"/>
    </row>
    <row r="6734" spans="1:1" ht="18.75" x14ac:dyDescent="0.25">
      <c r="A6734" s="6"/>
    </row>
    <row r="6735" spans="1:1" ht="18.75" x14ac:dyDescent="0.25">
      <c r="A6735" s="6"/>
    </row>
    <row r="6736" spans="1:1" ht="18.75" x14ac:dyDescent="0.25">
      <c r="A6736" s="6"/>
    </row>
    <row r="6737" spans="1:1" ht="18.75" x14ac:dyDescent="0.25">
      <c r="A6737" s="6"/>
    </row>
    <row r="6738" spans="1:1" ht="18.75" x14ac:dyDescent="0.25">
      <c r="A6738" s="6"/>
    </row>
    <row r="6739" spans="1:1" ht="18.75" x14ac:dyDescent="0.25">
      <c r="A6739" s="6"/>
    </row>
    <row r="6740" spans="1:1" ht="18.75" x14ac:dyDescent="0.25">
      <c r="A6740" s="6"/>
    </row>
    <row r="6741" spans="1:1" ht="18.75" x14ac:dyDescent="0.25">
      <c r="A6741" s="6"/>
    </row>
    <row r="6742" spans="1:1" ht="18.75" x14ac:dyDescent="0.25">
      <c r="A6742" s="6"/>
    </row>
    <row r="6743" spans="1:1" ht="18.75" x14ac:dyDescent="0.25">
      <c r="A6743" s="6"/>
    </row>
    <row r="6744" spans="1:1" ht="18.75" x14ac:dyDescent="0.25">
      <c r="A6744" s="6"/>
    </row>
    <row r="6745" spans="1:1" ht="18.75" x14ac:dyDescent="0.25">
      <c r="A6745" s="6"/>
    </row>
    <row r="6746" spans="1:1" ht="18.75" x14ac:dyDescent="0.25">
      <c r="A6746" s="6"/>
    </row>
    <row r="6747" spans="1:1" ht="18.75" x14ac:dyDescent="0.25">
      <c r="A6747" s="6"/>
    </row>
    <row r="6748" spans="1:1" ht="18.75" x14ac:dyDescent="0.25">
      <c r="A6748" s="6"/>
    </row>
    <row r="6749" spans="1:1" ht="18.75" x14ac:dyDescent="0.25">
      <c r="A6749" s="6"/>
    </row>
    <row r="6750" spans="1:1" ht="18.75" x14ac:dyDescent="0.25">
      <c r="A6750" s="6"/>
    </row>
    <row r="6751" spans="1:1" ht="18.75" x14ac:dyDescent="0.25">
      <c r="A6751" s="6"/>
    </row>
    <row r="6752" spans="1:1" ht="18.75" x14ac:dyDescent="0.25">
      <c r="A6752" s="6"/>
    </row>
    <row r="6753" spans="1:1" ht="18.75" x14ac:dyDescent="0.25">
      <c r="A6753" s="6"/>
    </row>
    <row r="6754" spans="1:1" ht="18.75" x14ac:dyDescent="0.25">
      <c r="A6754" s="6"/>
    </row>
    <row r="6755" spans="1:1" ht="18.75" x14ac:dyDescent="0.25">
      <c r="A6755" s="6"/>
    </row>
    <row r="6756" spans="1:1" ht="18.75" x14ac:dyDescent="0.25">
      <c r="A6756" s="6"/>
    </row>
    <row r="6757" spans="1:1" ht="18.75" x14ac:dyDescent="0.25">
      <c r="A6757" s="6"/>
    </row>
    <row r="6758" spans="1:1" ht="18.75" x14ac:dyDescent="0.25">
      <c r="A6758" s="6"/>
    </row>
    <row r="6759" spans="1:1" ht="18.75" x14ac:dyDescent="0.25">
      <c r="A6759" s="6"/>
    </row>
    <row r="6760" spans="1:1" ht="18.75" x14ac:dyDescent="0.25">
      <c r="A6760" s="6"/>
    </row>
    <row r="6761" spans="1:1" ht="18.75" x14ac:dyDescent="0.25">
      <c r="A6761" s="6"/>
    </row>
    <row r="6762" spans="1:1" ht="18.75" x14ac:dyDescent="0.25">
      <c r="A6762" s="6"/>
    </row>
    <row r="6763" spans="1:1" ht="18.75" x14ac:dyDescent="0.25">
      <c r="A6763" s="6"/>
    </row>
    <row r="6764" spans="1:1" ht="18.75" x14ac:dyDescent="0.25">
      <c r="A6764" s="6"/>
    </row>
    <row r="6765" spans="1:1" ht="18.75" x14ac:dyDescent="0.25">
      <c r="A6765" s="6"/>
    </row>
    <row r="6766" spans="1:1" ht="18.75" x14ac:dyDescent="0.25">
      <c r="A6766" s="6"/>
    </row>
    <row r="6767" spans="1:1" ht="18.75" x14ac:dyDescent="0.25">
      <c r="A6767" s="6"/>
    </row>
    <row r="6768" spans="1:1" ht="18.75" x14ac:dyDescent="0.25">
      <c r="A6768" s="6"/>
    </row>
    <row r="6769" spans="1:1" ht="18.75" x14ac:dyDescent="0.25">
      <c r="A6769" s="6"/>
    </row>
    <row r="6770" spans="1:1" ht="18.75" x14ac:dyDescent="0.25">
      <c r="A6770" s="6"/>
    </row>
    <row r="6771" spans="1:1" ht="18.75" x14ac:dyDescent="0.25">
      <c r="A6771" s="6"/>
    </row>
    <row r="6772" spans="1:1" ht="18.75" x14ac:dyDescent="0.25">
      <c r="A6772" s="6"/>
    </row>
    <row r="6773" spans="1:1" ht="18.75" x14ac:dyDescent="0.25">
      <c r="A6773" s="6"/>
    </row>
    <row r="6774" spans="1:1" ht="18.75" x14ac:dyDescent="0.25">
      <c r="A6774" s="6"/>
    </row>
    <row r="6775" spans="1:1" ht="18.75" x14ac:dyDescent="0.25">
      <c r="A6775" s="6"/>
    </row>
    <row r="6776" spans="1:1" ht="18.75" x14ac:dyDescent="0.25">
      <c r="A6776" s="6"/>
    </row>
    <row r="6777" spans="1:1" ht="18.75" x14ac:dyDescent="0.25">
      <c r="A6777" s="6"/>
    </row>
    <row r="6778" spans="1:1" ht="18.75" x14ac:dyDescent="0.25">
      <c r="A6778" s="6"/>
    </row>
    <row r="6779" spans="1:1" ht="18.75" x14ac:dyDescent="0.25">
      <c r="A6779" s="6"/>
    </row>
    <row r="6780" spans="1:1" ht="18.75" x14ac:dyDescent="0.25">
      <c r="A6780" s="6"/>
    </row>
    <row r="6781" spans="1:1" ht="18.75" x14ac:dyDescent="0.25">
      <c r="A6781" s="6"/>
    </row>
    <row r="6782" spans="1:1" ht="18.75" x14ac:dyDescent="0.25">
      <c r="A6782" s="6"/>
    </row>
    <row r="6783" spans="1:1" ht="18.75" x14ac:dyDescent="0.25">
      <c r="A6783" s="6"/>
    </row>
    <row r="6784" spans="1:1" ht="18.75" x14ac:dyDescent="0.25">
      <c r="A6784" s="6"/>
    </row>
    <row r="6785" spans="1:1" ht="18.75" x14ac:dyDescent="0.25">
      <c r="A6785" s="6"/>
    </row>
    <row r="6786" spans="1:1" ht="18.75" x14ac:dyDescent="0.25">
      <c r="A6786" s="6"/>
    </row>
    <row r="6787" spans="1:1" ht="18.75" x14ac:dyDescent="0.25">
      <c r="A6787" s="6"/>
    </row>
    <row r="6788" spans="1:1" ht="18.75" x14ac:dyDescent="0.25">
      <c r="A6788" s="6"/>
    </row>
    <row r="6789" spans="1:1" ht="18.75" x14ac:dyDescent="0.25">
      <c r="A6789" s="6"/>
    </row>
    <row r="6790" spans="1:1" ht="18.75" x14ac:dyDescent="0.25">
      <c r="A6790" s="6"/>
    </row>
    <row r="6791" spans="1:1" ht="18.75" x14ac:dyDescent="0.25">
      <c r="A6791" s="6"/>
    </row>
    <row r="6792" spans="1:1" ht="18.75" x14ac:dyDescent="0.25">
      <c r="A6792" s="6"/>
    </row>
    <row r="6793" spans="1:1" ht="18.75" x14ac:dyDescent="0.25">
      <c r="A6793" s="6"/>
    </row>
    <row r="6794" spans="1:1" ht="18.75" x14ac:dyDescent="0.25">
      <c r="A6794" s="6"/>
    </row>
    <row r="6795" spans="1:1" ht="18.75" x14ac:dyDescent="0.25">
      <c r="A6795" s="6"/>
    </row>
    <row r="6796" spans="1:1" ht="18.75" x14ac:dyDescent="0.25">
      <c r="A6796" s="6"/>
    </row>
    <row r="6797" spans="1:1" ht="18.75" x14ac:dyDescent="0.25">
      <c r="A6797" s="6"/>
    </row>
    <row r="6798" spans="1:1" ht="18.75" x14ac:dyDescent="0.25">
      <c r="A6798" s="6"/>
    </row>
    <row r="6799" spans="1:1" ht="18.75" x14ac:dyDescent="0.25">
      <c r="A6799" s="6"/>
    </row>
    <row r="6800" spans="1:1" ht="18.75" x14ac:dyDescent="0.25">
      <c r="A6800" s="6"/>
    </row>
    <row r="6801" spans="1:1" ht="18.75" x14ac:dyDescent="0.25">
      <c r="A6801" s="6"/>
    </row>
    <row r="6802" spans="1:1" ht="18.75" x14ac:dyDescent="0.25">
      <c r="A6802" s="6"/>
    </row>
    <row r="6803" spans="1:1" ht="18.75" x14ac:dyDescent="0.25">
      <c r="A6803" s="6"/>
    </row>
    <row r="6804" spans="1:1" ht="18.75" x14ac:dyDescent="0.25">
      <c r="A6804" s="6"/>
    </row>
    <row r="6805" spans="1:1" ht="18.75" x14ac:dyDescent="0.25">
      <c r="A6805" s="6"/>
    </row>
    <row r="6806" spans="1:1" ht="18.75" x14ac:dyDescent="0.25">
      <c r="A6806" s="6"/>
    </row>
    <row r="6807" spans="1:1" ht="18.75" x14ac:dyDescent="0.25">
      <c r="A6807" s="6"/>
    </row>
    <row r="6808" spans="1:1" ht="18.75" x14ac:dyDescent="0.25">
      <c r="A6808" s="6"/>
    </row>
    <row r="6809" spans="1:1" ht="18.75" x14ac:dyDescent="0.25">
      <c r="A6809" s="6"/>
    </row>
    <row r="6810" spans="1:1" ht="18.75" x14ac:dyDescent="0.25">
      <c r="A6810" s="6"/>
    </row>
    <row r="6811" spans="1:1" ht="18.75" x14ac:dyDescent="0.25">
      <c r="A6811" s="6"/>
    </row>
    <row r="6812" spans="1:1" ht="18.75" x14ac:dyDescent="0.25">
      <c r="A6812" s="6"/>
    </row>
    <row r="6813" spans="1:1" ht="18.75" x14ac:dyDescent="0.25">
      <c r="A6813" s="6"/>
    </row>
    <row r="6814" spans="1:1" ht="18.75" x14ac:dyDescent="0.25">
      <c r="A6814" s="6"/>
    </row>
    <row r="6815" spans="1:1" ht="18.75" x14ac:dyDescent="0.25">
      <c r="A6815" s="6"/>
    </row>
    <row r="6816" spans="1:1" ht="18.75" x14ac:dyDescent="0.25">
      <c r="A6816" s="6"/>
    </row>
    <row r="6817" spans="1:1" ht="18.75" x14ac:dyDescent="0.25">
      <c r="A6817" s="6"/>
    </row>
    <row r="6818" spans="1:1" ht="18.75" x14ac:dyDescent="0.25">
      <c r="A6818" s="6"/>
    </row>
    <row r="6819" spans="1:1" ht="18.75" x14ac:dyDescent="0.25">
      <c r="A6819" s="6"/>
    </row>
    <row r="6820" spans="1:1" ht="18.75" x14ac:dyDescent="0.25">
      <c r="A6820" s="6"/>
    </row>
    <row r="6821" spans="1:1" ht="18.75" x14ac:dyDescent="0.25">
      <c r="A6821" s="6"/>
    </row>
    <row r="6822" spans="1:1" ht="18.75" x14ac:dyDescent="0.25">
      <c r="A6822" s="6"/>
    </row>
    <row r="6823" spans="1:1" ht="18.75" x14ac:dyDescent="0.25">
      <c r="A6823" s="6"/>
    </row>
    <row r="6824" spans="1:1" ht="18.75" x14ac:dyDescent="0.25">
      <c r="A6824" s="6"/>
    </row>
    <row r="6825" spans="1:1" ht="18.75" x14ac:dyDescent="0.25">
      <c r="A6825" s="6"/>
    </row>
    <row r="6826" spans="1:1" ht="18.75" x14ac:dyDescent="0.25">
      <c r="A6826" s="6"/>
    </row>
    <row r="6827" spans="1:1" ht="18.75" x14ac:dyDescent="0.25">
      <c r="A6827" s="6"/>
    </row>
    <row r="6828" spans="1:1" ht="18.75" x14ac:dyDescent="0.25">
      <c r="A6828" s="6"/>
    </row>
    <row r="6829" spans="1:1" ht="18.75" x14ac:dyDescent="0.25">
      <c r="A6829" s="6"/>
    </row>
    <row r="6830" spans="1:1" ht="18.75" x14ac:dyDescent="0.25">
      <c r="A6830" s="6"/>
    </row>
    <row r="6831" spans="1:1" ht="18.75" x14ac:dyDescent="0.25">
      <c r="A6831" s="6"/>
    </row>
    <row r="6832" spans="1:1" ht="18.75" x14ac:dyDescent="0.25">
      <c r="A6832" s="6"/>
    </row>
    <row r="6833" spans="1:1" ht="18.75" x14ac:dyDescent="0.25">
      <c r="A6833" s="6"/>
    </row>
    <row r="6834" spans="1:1" ht="18.75" x14ac:dyDescent="0.25">
      <c r="A6834" s="6"/>
    </row>
    <row r="6835" spans="1:1" ht="18.75" x14ac:dyDescent="0.25">
      <c r="A6835" s="6"/>
    </row>
    <row r="6836" spans="1:1" ht="18.75" x14ac:dyDescent="0.25">
      <c r="A6836" s="6"/>
    </row>
    <row r="6837" spans="1:1" ht="18.75" x14ac:dyDescent="0.25">
      <c r="A6837" s="6"/>
    </row>
    <row r="6838" spans="1:1" ht="18.75" x14ac:dyDescent="0.25">
      <c r="A6838" s="6"/>
    </row>
    <row r="6839" spans="1:1" ht="18.75" x14ac:dyDescent="0.25">
      <c r="A6839" s="6"/>
    </row>
    <row r="6840" spans="1:1" ht="18.75" x14ac:dyDescent="0.25">
      <c r="A6840" s="6"/>
    </row>
    <row r="6841" spans="1:1" ht="18.75" x14ac:dyDescent="0.25">
      <c r="A6841" s="6"/>
    </row>
    <row r="6842" spans="1:1" ht="18.75" x14ac:dyDescent="0.25">
      <c r="A6842" s="6"/>
    </row>
    <row r="6843" spans="1:1" ht="18.75" x14ac:dyDescent="0.25">
      <c r="A6843" s="6"/>
    </row>
    <row r="6844" spans="1:1" ht="18.75" x14ac:dyDescent="0.25">
      <c r="A6844" s="6"/>
    </row>
    <row r="6845" spans="1:1" ht="18.75" x14ac:dyDescent="0.25">
      <c r="A6845" s="6"/>
    </row>
    <row r="6846" spans="1:1" ht="18.75" x14ac:dyDescent="0.25">
      <c r="A6846" s="6"/>
    </row>
    <row r="6847" spans="1:1" ht="18.75" x14ac:dyDescent="0.25">
      <c r="A6847" s="6"/>
    </row>
    <row r="6848" spans="1:1" ht="18.75" x14ac:dyDescent="0.25">
      <c r="A6848" s="6"/>
    </row>
    <row r="6849" spans="1:1" ht="18.75" x14ac:dyDescent="0.25">
      <c r="A6849" s="6"/>
    </row>
    <row r="6850" spans="1:1" ht="18.75" x14ac:dyDescent="0.25">
      <c r="A6850" s="6"/>
    </row>
    <row r="6851" spans="1:1" ht="18.75" x14ac:dyDescent="0.25">
      <c r="A6851" s="6"/>
    </row>
    <row r="6852" spans="1:1" ht="18.75" x14ac:dyDescent="0.25">
      <c r="A6852" s="6"/>
    </row>
    <row r="6853" spans="1:1" ht="18.75" x14ac:dyDescent="0.25">
      <c r="A6853" s="6"/>
    </row>
    <row r="6854" spans="1:1" ht="18.75" x14ac:dyDescent="0.25">
      <c r="A6854" s="6"/>
    </row>
    <row r="6855" spans="1:1" ht="18.75" x14ac:dyDescent="0.25">
      <c r="A6855" s="6"/>
    </row>
    <row r="6856" spans="1:1" ht="18.75" x14ac:dyDescent="0.25">
      <c r="A6856" s="6"/>
    </row>
    <row r="6857" spans="1:1" ht="18.75" x14ac:dyDescent="0.25">
      <c r="A6857" s="6"/>
    </row>
    <row r="6858" spans="1:1" ht="18.75" x14ac:dyDescent="0.25">
      <c r="A6858" s="6"/>
    </row>
    <row r="6859" spans="1:1" ht="18.75" x14ac:dyDescent="0.25">
      <c r="A6859" s="6"/>
    </row>
    <row r="6860" spans="1:1" ht="18.75" x14ac:dyDescent="0.25">
      <c r="A6860" s="6"/>
    </row>
    <row r="6861" spans="1:1" ht="18.75" x14ac:dyDescent="0.25">
      <c r="A6861" s="6"/>
    </row>
    <row r="6862" spans="1:1" ht="18.75" x14ac:dyDescent="0.25">
      <c r="A6862" s="6"/>
    </row>
    <row r="6863" spans="1:1" ht="18.75" x14ac:dyDescent="0.25">
      <c r="A6863" s="6"/>
    </row>
    <row r="6864" spans="1:1" ht="18.75" x14ac:dyDescent="0.25">
      <c r="A6864" s="6"/>
    </row>
    <row r="6865" spans="1:1" ht="18.75" x14ac:dyDescent="0.25">
      <c r="A6865" s="6"/>
    </row>
    <row r="6866" spans="1:1" ht="18.75" x14ac:dyDescent="0.25">
      <c r="A6866" s="6"/>
    </row>
    <row r="6867" spans="1:1" ht="18.75" x14ac:dyDescent="0.25">
      <c r="A6867" s="6"/>
    </row>
    <row r="6868" spans="1:1" ht="18.75" x14ac:dyDescent="0.25">
      <c r="A6868" s="6"/>
    </row>
    <row r="6869" spans="1:1" ht="18.75" x14ac:dyDescent="0.25">
      <c r="A6869" s="6"/>
    </row>
    <row r="6870" spans="1:1" ht="18.75" x14ac:dyDescent="0.25">
      <c r="A6870" s="6"/>
    </row>
    <row r="6871" spans="1:1" ht="18.75" x14ac:dyDescent="0.25">
      <c r="A6871" s="6"/>
    </row>
    <row r="6872" spans="1:1" ht="18.75" x14ac:dyDescent="0.25">
      <c r="A6872" s="6"/>
    </row>
    <row r="6873" spans="1:1" ht="18.75" x14ac:dyDescent="0.25">
      <c r="A6873" s="6"/>
    </row>
    <row r="6874" spans="1:1" ht="18.75" x14ac:dyDescent="0.25">
      <c r="A6874" s="6"/>
    </row>
    <row r="6875" spans="1:1" ht="18.75" x14ac:dyDescent="0.25">
      <c r="A6875" s="6"/>
    </row>
    <row r="6876" spans="1:1" ht="18.75" x14ac:dyDescent="0.25">
      <c r="A6876" s="6"/>
    </row>
    <row r="6877" spans="1:1" ht="18.75" x14ac:dyDescent="0.25">
      <c r="A6877" s="6"/>
    </row>
    <row r="6878" spans="1:1" ht="18.75" x14ac:dyDescent="0.25">
      <c r="A6878" s="6"/>
    </row>
    <row r="6879" spans="1:1" ht="18.75" x14ac:dyDescent="0.25">
      <c r="A6879" s="6"/>
    </row>
    <row r="6880" spans="1:1" ht="18.75" x14ac:dyDescent="0.25">
      <c r="A6880" s="6"/>
    </row>
    <row r="6881" spans="1:1" ht="18.75" x14ac:dyDescent="0.25">
      <c r="A6881" s="6"/>
    </row>
    <row r="6882" spans="1:1" ht="18.75" x14ac:dyDescent="0.25">
      <c r="A6882" s="6"/>
    </row>
    <row r="6883" spans="1:1" ht="18.75" x14ac:dyDescent="0.25">
      <c r="A6883" s="6"/>
    </row>
    <row r="6884" spans="1:1" ht="18.75" x14ac:dyDescent="0.25">
      <c r="A6884" s="6"/>
    </row>
    <row r="6885" spans="1:1" ht="18.75" x14ac:dyDescent="0.25">
      <c r="A6885" s="6"/>
    </row>
    <row r="6886" spans="1:1" ht="18.75" x14ac:dyDescent="0.25">
      <c r="A6886" s="6"/>
    </row>
    <row r="6887" spans="1:1" ht="18.75" x14ac:dyDescent="0.25">
      <c r="A6887" s="6"/>
    </row>
    <row r="6888" spans="1:1" ht="18.75" x14ac:dyDescent="0.25">
      <c r="A6888" s="6"/>
    </row>
    <row r="6889" spans="1:1" ht="18.75" x14ac:dyDescent="0.25">
      <c r="A6889" s="6"/>
    </row>
    <row r="6890" spans="1:1" ht="18.75" x14ac:dyDescent="0.25">
      <c r="A6890" s="6"/>
    </row>
    <row r="6891" spans="1:1" ht="18.75" x14ac:dyDescent="0.25">
      <c r="A6891" s="6"/>
    </row>
    <row r="6892" spans="1:1" ht="18.75" x14ac:dyDescent="0.25">
      <c r="A6892" s="6"/>
    </row>
    <row r="6893" spans="1:1" ht="18.75" x14ac:dyDescent="0.25">
      <c r="A6893" s="6"/>
    </row>
    <row r="6894" spans="1:1" ht="18.75" x14ac:dyDescent="0.25">
      <c r="A6894" s="6"/>
    </row>
    <row r="6895" spans="1:1" ht="18.75" x14ac:dyDescent="0.25">
      <c r="A6895" s="6"/>
    </row>
    <row r="6896" spans="1:1" ht="18.75" x14ac:dyDescent="0.25">
      <c r="A6896" s="6"/>
    </row>
    <row r="6897" spans="1:1" ht="18.75" x14ac:dyDescent="0.25">
      <c r="A6897" s="6"/>
    </row>
    <row r="6898" spans="1:1" ht="18.75" x14ac:dyDescent="0.25">
      <c r="A6898" s="6"/>
    </row>
    <row r="6899" spans="1:1" ht="18.75" x14ac:dyDescent="0.25">
      <c r="A6899" s="6"/>
    </row>
    <row r="6900" spans="1:1" ht="18.75" x14ac:dyDescent="0.25">
      <c r="A6900" s="6"/>
    </row>
    <row r="6901" spans="1:1" ht="18.75" x14ac:dyDescent="0.25">
      <c r="A6901" s="6"/>
    </row>
    <row r="6902" spans="1:1" ht="18.75" x14ac:dyDescent="0.25">
      <c r="A6902" s="6"/>
    </row>
    <row r="6903" spans="1:1" ht="18.75" x14ac:dyDescent="0.25">
      <c r="A6903" s="6"/>
    </row>
    <row r="6904" spans="1:1" ht="18.75" x14ac:dyDescent="0.25">
      <c r="A6904" s="6"/>
    </row>
    <row r="6905" spans="1:1" ht="18.75" x14ac:dyDescent="0.25">
      <c r="A6905" s="6"/>
    </row>
    <row r="6906" spans="1:1" ht="18.75" x14ac:dyDescent="0.25">
      <c r="A6906" s="6"/>
    </row>
    <row r="6907" spans="1:1" ht="18.75" x14ac:dyDescent="0.25">
      <c r="A6907" s="6"/>
    </row>
    <row r="6908" spans="1:1" ht="18.75" x14ac:dyDescent="0.25">
      <c r="A6908" s="6"/>
    </row>
    <row r="6909" spans="1:1" ht="18.75" x14ac:dyDescent="0.25">
      <c r="A6909" s="6"/>
    </row>
    <row r="6910" spans="1:1" ht="18.75" x14ac:dyDescent="0.25">
      <c r="A6910" s="6"/>
    </row>
    <row r="6911" spans="1:1" ht="18.75" x14ac:dyDescent="0.25">
      <c r="A6911" s="6"/>
    </row>
    <row r="6912" spans="1:1" ht="18.75" x14ac:dyDescent="0.25">
      <c r="A6912" s="6"/>
    </row>
    <row r="6913" spans="1:1" ht="18.75" x14ac:dyDescent="0.25">
      <c r="A6913" s="6"/>
    </row>
    <row r="6914" spans="1:1" ht="18.75" x14ac:dyDescent="0.25">
      <c r="A6914" s="6"/>
    </row>
    <row r="6915" spans="1:1" ht="18.75" x14ac:dyDescent="0.25">
      <c r="A6915" s="6"/>
    </row>
    <row r="6916" spans="1:1" ht="18.75" x14ac:dyDescent="0.25">
      <c r="A6916" s="6"/>
    </row>
    <row r="6917" spans="1:1" ht="18.75" x14ac:dyDescent="0.25">
      <c r="A6917" s="6"/>
    </row>
    <row r="6918" spans="1:1" ht="18.75" x14ac:dyDescent="0.25">
      <c r="A6918" s="6"/>
    </row>
    <row r="6919" spans="1:1" ht="18.75" x14ac:dyDescent="0.25">
      <c r="A6919" s="6"/>
    </row>
    <row r="6920" spans="1:1" ht="18.75" x14ac:dyDescent="0.25">
      <c r="A6920" s="6"/>
    </row>
    <row r="6921" spans="1:1" ht="18.75" x14ac:dyDescent="0.25">
      <c r="A6921" s="6"/>
    </row>
    <row r="6922" spans="1:1" ht="18.75" x14ac:dyDescent="0.25">
      <c r="A6922" s="6"/>
    </row>
    <row r="6923" spans="1:1" ht="18.75" x14ac:dyDescent="0.25">
      <c r="A6923" s="6"/>
    </row>
    <row r="6924" spans="1:1" ht="18.75" x14ac:dyDescent="0.25">
      <c r="A6924" s="6"/>
    </row>
    <row r="6925" spans="1:1" ht="18.75" x14ac:dyDescent="0.25">
      <c r="A6925" s="6"/>
    </row>
    <row r="6926" spans="1:1" ht="18.75" x14ac:dyDescent="0.25">
      <c r="A6926" s="6"/>
    </row>
    <row r="6927" spans="1:1" ht="18.75" x14ac:dyDescent="0.25">
      <c r="A6927" s="6"/>
    </row>
    <row r="6928" spans="1:1" ht="18.75" x14ac:dyDescent="0.25">
      <c r="A6928" s="6"/>
    </row>
    <row r="6929" spans="1:1" ht="18.75" x14ac:dyDescent="0.25">
      <c r="A6929" s="6"/>
    </row>
    <row r="6930" spans="1:1" ht="18.75" x14ac:dyDescent="0.25">
      <c r="A6930" s="6"/>
    </row>
    <row r="6931" spans="1:1" ht="18.75" x14ac:dyDescent="0.25">
      <c r="A6931" s="6"/>
    </row>
    <row r="6932" spans="1:1" ht="18.75" x14ac:dyDescent="0.25">
      <c r="A6932" s="6"/>
    </row>
    <row r="6933" spans="1:1" ht="18.75" x14ac:dyDescent="0.25">
      <c r="A6933" s="6"/>
    </row>
    <row r="6934" spans="1:1" ht="18.75" x14ac:dyDescent="0.25">
      <c r="A6934" s="6"/>
    </row>
    <row r="6935" spans="1:1" ht="18.75" x14ac:dyDescent="0.25">
      <c r="A6935" s="6"/>
    </row>
    <row r="6936" spans="1:1" ht="18.75" x14ac:dyDescent="0.25">
      <c r="A6936" s="6"/>
    </row>
    <row r="6937" spans="1:1" ht="18.75" x14ac:dyDescent="0.25">
      <c r="A6937" s="6"/>
    </row>
    <row r="6938" spans="1:1" ht="18.75" x14ac:dyDescent="0.25">
      <c r="A6938" s="6"/>
    </row>
    <row r="6939" spans="1:1" ht="18.75" x14ac:dyDescent="0.25">
      <c r="A6939" s="6"/>
    </row>
    <row r="6940" spans="1:1" ht="18.75" x14ac:dyDescent="0.25">
      <c r="A6940" s="6"/>
    </row>
    <row r="6941" spans="1:1" ht="18.75" x14ac:dyDescent="0.25">
      <c r="A6941" s="6"/>
    </row>
    <row r="6942" spans="1:1" ht="18.75" x14ac:dyDescent="0.25">
      <c r="A6942" s="6"/>
    </row>
    <row r="6943" spans="1:1" ht="18.75" x14ac:dyDescent="0.25">
      <c r="A6943" s="6"/>
    </row>
    <row r="6944" spans="1:1" ht="18.75" x14ac:dyDescent="0.25">
      <c r="A6944" s="6"/>
    </row>
    <row r="6945" spans="1:1" ht="18.75" x14ac:dyDescent="0.25">
      <c r="A6945" s="6"/>
    </row>
    <row r="6946" spans="1:1" ht="18.75" x14ac:dyDescent="0.25">
      <c r="A6946" s="6"/>
    </row>
    <row r="6947" spans="1:1" ht="18.75" x14ac:dyDescent="0.25">
      <c r="A6947" s="6"/>
    </row>
    <row r="6948" spans="1:1" ht="18.75" x14ac:dyDescent="0.25">
      <c r="A6948" s="6"/>
    </row>
    <row r="6949" spans="1:1" ht="18.75" x14ac:dyDescent="0.25">
      <c r="A6949" s="6"/>
    </row>
    <row r="6950" spans="1:1" ht="18.75" x14ac:dyDescent="0.25">
      <c r="A6950" s="6"/>
    </row>
    <row r="6951" spans="1:1" ht="18.75" x14ac:dyDescent="0.25">
      <c r="A6951" s="6"/>
    </row>
    <row r="6952" spans="1:1" ht="18.75" x14ac:dyDescent="0.25">
      <c r="A6952" s="6"/>
    </row>
    <row r="6953" spans="1:1" ht="18.75" x14ac:dyDescent="0.25">
      <c r="A6953" s="6"/>
    </row>
    <row r="6954" spans="1:1" ht="18.75" x14ac:dyDescent="0.25">
      <c r="A6954" s="6"/>
    </row>
    <row r="6955" spans="1:1" ht="18.75" x14ac:dyDescent="0.25">
      <c r="A6955" s="6"/>
    </row>
    <row r="6956" spans="1:1" ht="18.75" x14ac:dyDescent="0.25">
      <c r="A6956" s="6"/>
    </row>
    <row r="6957" spans="1:1" ht="18.75" x14ac:dyDescent="0.25">
      <c r="A6957" s="6"/>
    </row>
    <row r="6958" spans="1:1" ht="18.75" x14ac:dyDescent="0.25">
      <c r="A6958" s="6"/>
    </row>
    <row r="6959" spans="1:1" ht="18.75" x14ac:dyDescent="0.25">
      <c r="A6959" s="6"/>
    </row>
    <row r="6960" spans="1:1" ht="18.75" x14ac:dyDescent="0.25">
      <c r="A6960" s="6"/>
    </row>
    <row r="6961" spans="1:1" ht="18.75" x14ac:dyDescent="0.25">
      <c r="A6961" s="6"/>
    </row>
    <row r="6962" spans="1:1" ht="18.75" x14ac:dyDescent="0.25">
      <c r="A6962" s="6"/>
    </row>
    <row r="6963" spans="1:1" ht="18.75" x14ac:dyDescent="0.25">
      <c r="A6963" s="6"/>
    </row>
    <row r="6964" spans="1:1" ht="18.75" x14ac:dyDescent="0.25">
      <c r="A6964" s="6"/>
    </row>
    <row r="6965" spans="1:1" ht="18.75" x14ac:dyDescent="0.25">
      <c r="A6965" s="6"/>
    </row>
    <row r="6966" spans="1:1" ht="18.75" x14ac:dyDescent="0.25">
      <c r="A6966" s="6"/>
    </row>
    <row r="6967" spans="1:1" ht="18.75" x14ac:dyDescent="0.25">
      <c r="A6967" s="6"/>
    </row>
    <row r="6968" spans="1:1" ht="18.75" x14ac:dyDescent="0.25">
      <c r="A6968" s="6"/>
    </row>
    <row r="6969" spans="1:1" ht="18.75" x14ac:dyDescent="0.25">
      <c r="A6969" s="6"/>
    </row>
    <row r="6970" spans="1:1" ht="18.75" x14ac:dyDescent="0.25">
      <c r="A6970" s="6"/>
    </row>
    <row r="6971" spans="1:1" ht="18.75" x14ac:dyDescent="0.25">
      <c r="A6971" s="6"/>
    </row>
    <row r="6972" spans="1:1" ht="18.75" x14ac:dyDescent="0.25">
      <c r="A6972" s="6"/>
    </row>
    <row r="6973" spans="1:1" ht="18.75" x14ac:dyDescent="0.25">
      <c r="A6973" s="6"/>
    </row>
    <row r="6974" spans="1:1" ht="18.75" x14ac:dyDescent="0.25">
      <c r="A6974" s="6"/>
    </row>
    <row r="6975" spans="1:1" ht="18.75" x14ac:dyDescent="0.25">
      <c r="A6975" s="6"/>
    </row>
    <row r="6976" spans="1:1" ht="18.75" x14ac:dyDescent="0.25">
      <c r="A6976" s="6"/>
    </row>
    <row r="6977" spans="1:1" ht="18.75" x14ac:dyDescent="0.25">
      <c r="A6977" s="6"/>
    </row>
    <row r="6978" spans="1:1" ht="18.75" x14ac:dyDescent="0.25">
      <c r="A6978" s="6"/>
    </row>
    <row r="6979" spans="1:1" ht="18.75" x14ac:dyDescent="0.25">
      <c r="A6979" s="6"/>
    </row>
    <row r="6980" spans="1:1" ht="18.75" x14ac:dyDescent="0.25">
      <c r="A6980" s="6"/>
    </row>
    <row r="6981" spans="1:1" ht="18.75" x14ac:dyDescent="0.25">
      <c r="A6981" s="6"/>
    </row>
    <row r="6982" spans="1:1" ht="18.75" x14ac:dyDescent="0.25">
      <c r="A6982" s="6"/>
    </row>
    <row r="6983" spans="1:1" ht="18.75" x14ac:dyDescent="0.25">
      <c r="A6983" s="6"/>
    </row>
    <row r="6984" spans="1:1" ht="18.75" x14ac:dyDescent="0.25">
      <c r="A6984" s="6"/>
    </row>
    <row r="6985" spans="1:1" ht="18.75" x14ac:dyDescent="0.25">
      <c r="A6985" s="6"/>
    </row>
    <row r="6986" spans="1:1" ht="18.75" x14ac:dyDescent="0.25">
      <c r="A6986" s="6"/>
    </row>
    <row r="6987" spans="1:1" ht="18.75" x14ac:dyDescent="0.25">
      <c r="A6987" s="6"/>
    </row>
    <row r="6988" spans="1:1" ht="18.75" x14ac:dyDescent="0.25">
      <c r="A6988" s="6"/>
    </row>
    <row r="6989" spans="1:1" ht="18.75" x14ac:dyDescent="0.25">
      <c r="A6989" s="6"/>
    </row>
    <row r="6990" spans="1:1" ht="18.75" x14ac:dyDescent="0.25">
      <c r="A6990" s="6"/>
    </row>
    <row r="6991" spans="1:1" ht="18.75" x14ac:dyDescent="0.25">
      <c r="A6991" s="6"/>
    </row>
    <row r="6992" spans="1:1" ht="18.75" x14ac:dyDescent="0.25">
      <c r="A6992" s="6"/>
    </row>
    <row r="6993" spans="1:1" ht="18.75" x14ac:dyDescent="0.25">
      <c r="A6993" s="6"/>
    </row>
    <row r="6994" spans="1:1" ht="18.75" x14ac:dyDescent="0.25">
      <c r="A6994" s="6"/>
    </row>
    <row r="6995" spans="1:1" ht="18.75" x14ac:dyDescent="0.25">
      <c r="A6995" s="6"/>
    </row>
    <row r="6996" spans="1:1" ht="18.75" x14ac:dyDescent="0.25">
      <c r="A6996" s="6"/>
    </row>
    <row r="6997" spans="1:1" ht="18.75" x14ac:dyDescent="0.25">
      <c r="A6997" s="6"/>
    </row>
    <row r="6998" spans="1:1" ht="18.75" x14ac:dyDescent="0.25">
      <c r="A6998" s="6"/>
    </row>
    <row r="6999" spans="1:1" ht="18.75" x14ac:dyDescent="0.25">
      <c r="A6999" s="6"/>
    </row>
    <row r="7000" spans="1:1" ht="18.75" x14ac:dyDescent="0.25">
      <c r="A7000" s="6"/>
    </row>
    <row r="7001" spans="1:1" ht="18.75" x14ac:dyDescent="0.25">
      <c r="A7001" s="6"/>
    </row>
    <row r="7002" spans="1:1" ht="18.75" x14ac:dyDescent="0.25">
      <c r="A7002" s="6"/>
    </row>
    <row r="7003" spans="1:1" ht="18.75" x14ac:dyDescent="0.25">
      <c r="A7003" s="6"/>
    </row>
    <row r="7004" spans="1:1" ht="18.75" x14ac:dyDescent="0.25">
      <c r="A7004" s="6"/>
    </row>
    <row r="7005" spans="1:1" ht="18.75" x14ac:dyDescent="0.25">
      <c r="A7005" s="6"/>
    </row>
    <row r="7006" spans="1:1" ht="18.75" x14ac:dyDescent="0.25">
      <c r="A7006" s="6"/>
    </row>
    <row r="7007" spans="1:1" ht="18.75" x14ac:dyDescent="0.25">
      <c r="A7007" s="6"/>
    </row>
    <row r="7008" spans="1:1" ht="18.75" x14ac:dyDescent="0.25">
      <c r="A7008" s="6"/>
    </row>
    <row r="7009" spans="1:1" ht="18.75" x14ac:dyDescent="0.25">
      <c r="A7009" s="6"/>
    </row>
    <row r="7010" spans="1:1" ht="18.75" x14ac:dyDescent="0.25">
      <c r="A7010" s="6"/>
    </row>
    <row r="7011" spans="1:1" ht="18.75" x14ac:dyDescent="0.25">
      <c r="A7011" s="6"/>
    </row>
    <row r="7012" spans="1:1" ht="18.75" x14ac:dyDescent="0.25">
      <c r="A7012" s="6"/>
    </row>
    <row r="7013" spans="1:1" ht="18.75" x14ac:dyDescent="0.25">
      <c r="A7013" s="6"/>
    </row>
    <row r="7014" spans="1:1" ht="18.75" x14ac:dyDescent="0.25">
      <c r="A7014" s="6"/>
    </row>
    <row r="7015" spans="1:1" ht="18.75" x14ac:dyDescent="0.25">
      <c r="A7015" s="6"/>
    </row>
    <row r="7016" spans="1:1" ht="18.75" x14ac:dyDescent="0.25">
      <c r="A7016" s="6"/>
    </row>
    <row r="7017" spans="1:1" ht="18.75" x14ac:dyDescent="0.25">
      <c r="A7017" s="6"/>
    </row>
    <row r="7018" spans="1:1" ht="18.75" x14ac:dyDescent="0.25">
      <c r="A7018" s="6"/>
    </row>
    <row r="7019" spans="1:1" ht="18.75" x14ac:dyDescent="0.25">
      <c r="A7019" s="6"/>
    </row>
    <row r="7020" spans="1:1" ht="18.75" x14ac:dyDescent="0.25">
      <c r="A7020" s="6"/>
    </row>
    <row r="7021" spans="1:1" ht="18.75" x14ac:dyDescent="0.25">
      <c r="A7021" s="6"/>
    </row>
    <row r="7022" spans="1:1" ht="18.75" x14ac:dyDescent="0.25">
      <c r="A7022" s="6"/>
    </row>
    <row r="7023" spans="1:1" ht="18.75" x14ac:dyDescent="0.25">
      <c r="A7023" s="6"/>
    </row>
    <row r="7024" spans="1:1" ht="18.75" x14ac:dyDescent="0.25">
      <c r="A7024" s="6"/>
    </row>
    <row r="7025" spans="1:1" ht="18.75" x14ac:dyDescent="0.25">
      <c r="A7025" s="6"/>
    </row>
    <row r="7026" spans="1:1" ht="18.75" x14ac:dyDescent="0.25">
      <c r="A7026" s="6"/>
    </row>
    <row r="7027" spans="1:1" ht="18.75" x14ac:dyDescent="0.25">
      <c r="A7027" s="6"/>
    </row>
    <row r="7028" spans="1:1" ht="18.75" x14ac:dyDescent="0.25">
      <c r="A7028" s="6"/>
    </row>
    <row r="7029" spans="1:1" ht="18.75" x14ac:dyDescent="0.25">
      <c r="A7029" s="6"/>
    </row>
    <row r="7030" spans="1:1" ht="18.75" x14ac:dyDescent="0.25">
      <c r="A7030" s="6"/>
    </row>
    <row r="7031" spans="1:1" ht="18.75" x14ac:dyDescent="0.25">
      <c r="A7031" s="6"/>
    </row>
    <row r="7032" spans="1:1" ht="18.75" x14ac:dyDescent="0.25">
      <c r="A7032" s="6"/>
    </row>
    <row r="7033" spans="1:1" ht="18.75" x14ac:dyDescent="0.25">
      <c r="A7033" s="6"/>
    </row>
    <row r="7034" spans="1:1" ht="18.75" x14ac:dyDescent="0.25">
      <c r="A7034" s="6"/>
    </row>
    <row r="7035" spans="1:1" ht="18.75" x14ac:dyDescent="0.25">
      <c r="A7035" s="6"/>
    </row>
    <row r="7036" spans="1:1" ht="18.75" x14ac:dyDescent="0.25">
      <c r="A7036" s="6"/>
    </row>
    <row r="7037" spans="1:1" ht="18.75" x14ac:dyDescent="0.25">
      <c r="A7037" s="6"/>
    </row>
    <row r="7038" spans="1:1" ht="18.75" x14ac:dyDescent="0.25">
      <c r="A7038" s="6"/>
    </row>
    <row r="7039" spans="1:1" ht="18.75" x14ac:dyDescent="0.25">
      <c r="A7039" s="6"/>
    </row>
    <row r="7040" spans="1:1" ht="18.75" x14ac:dyDescent="0.25">
      <c r="A7040" s="6"/>
    </row>
    <row r="7041" spans="1:1" ht="18.75" x14ac:dyDescent="0.25">
      <c r="A7041" s="6"/>
    </row>
    <row r="7042" spans="1:1" ht="18.75" x14ac:dyDescent="0.25">
      <c r="A7042" s="6"/>
    </row>
    <row r="7043" spans="1:1" ht="18.75" x14ac:dyDescent="0.25">
      <c r="A7043" s="6"/>
    </row>
    <row r="7044" spans="1:1" ht="18.75" x14ac:dyDescent="0.25">
      <c r="A7044" s="6"/>
    </row>
    <row r="7045" spans="1:1" ht="18.75" x14ac:dyDescent="0.25">
      <c r="A7045" s="6"/>
    </row>
    <row r="7046" spans="1:1" ht="18.75" x14ac:dyDescent="0.25">
      <c r="A7046" s="6"/>
    </row>
    <row r="7047" spans="1:1" ht="18.75" x14ac:dyDescent="0.25">
      <c r="A7047" s="6"/>
    </row>
    <row r="7048" spans="1:1" ht="18.75" x14ac:dyDescent="0.25">
      <c r="A7048" s="6"/>
    </row>
    <row r="7049" spans="1:1" ht="18.75" x14ac:dyDescent="0.25">
      <c r="A7049" s="6"/>
    </row>
    <row r="7050" spans="1:1" ht="18.75" x14ac:dyDescent="0.25">
      <c r="A7050" s="6"/>
    </row>
    <row r="7051" spans="1:1" ht="18.75" x14ac:dyDescent="0.25">
      <c r="A7051" s="6"/>
    </row>
    <row r="7052" spans="1:1" ht="18.75" x14ac:dyDescent="0.25">
      <c r="A7052" s="6"/>
    </row>
    <row r="7053" spans="1:1" ht="18.75" x14ac:dyDescent="0.25">
      <c r="A7053" s="6"/>
    </row>
    <row r="7054" spans="1:1" ht="18.75" x14ac:dyDescent="0.25">
      <c r="A7054" s="6"/>
    </row>
    <row r="7055" spans="1:1" ht="18.75" x14ac:dyDescent="0.25">
      <c r="A7055" s="6"/>
    </row>
    <row r="7056" spans="1:1" ht="18.75" x14ac:dyDescent="0.25">
      <c r="A7056" s="6"/>
    </row>
    <row r="7057" spans="1:1" ht="18.75" x14ac:dyDescent="0.25">
      <c r="A7057" s="6"/>
    </row>
    <row r="7058" spans="1:1" ht="18.75" x14ac:dyDescent="0.25">
      <c r="A7058" s="6"/>
    </row>
    <row r="7059" spans="1:1" ht="18.75" x14ac:dyDescent="0.25">
      <c r="A7059" s="6"/>
    </row>
    <row r="7060" spans="1:1" ht="18.75" x14ac:dyDescent="0.25">
      <c r="A7060" s="6"/>
    </row>
    <row r="7061" spans="1:1" ht="18.75" x14ac:dyDescent="0.25">
      <c r="A7061" s="6"/>
    </row>
    <row r="7062" spans="1:1" ht="18.75" x14ac:dyDescent="0.25">
      <c r="A7062" s="6"/>
    </row>
    <row r="7063" spans="1:1" ht="18.75" x14ac:dyDescent="0.25">
      <c r="A7063" s="6"/>
    </row>
    <row r="7064" spans="1:1" ht="18.75" x14ac:dyDescent="0.25">
      <c r="A7064" s="6"/>
    </row>
    <row r="7065" spans="1:1" ht="18.75" x14ac:dyDescent="0.25">
      <c r="A7065" s="6"/>
    </row>
    <row r="7066" spans="1:1" ht="18.75" x14ac:dyDescent="0.25">
      <c r="A7066" s="6"/>
    </row>
    <row r="7067" spans="1:1" ht="18.75" x14ac:dyDescent="0.25">
      <c r="A7067" s="6"/>
    </row>
    <row r="7068" spans="1:1" ht="18.75" x14ac:dyDescent="0.25">
      <c r="A7068" s="6"/>
    </row>
    <row r="7069" spans="1:1" ht="18.75" x14ac:dyDescent="0.25">
      <c r="A7069" s="6"/>
    </row>
    <row r="7070" spans="1:1" ht="18.75" x14ac:dyDescent="0.25">
      <c r="A7070" s="6"/>
    </row>
    <row r="7071" spans="1:1" ht="18.75" x14ac:dyDescent="0.25">
      <c r="A7071" s="6"/>
    </row>
    <row r="7072" spans="1:1" ht="18.75" x14ac:dyDescent="0.25">
      <c r="A7072" s="6"/>
    </row>
    <row r="7073" spans="1:1" ht="18.75" x14ac:dyDescent="0.25">
      <c r="A7073" s="6"/>
    </row>
    <row r="7074" spans="1:1" ht="18.75" x14ac:dyDescent="0.25">
      <c r="A7074" s="6"/>
    </row>
    <row r="7075" spans="1:1" ht="18.75" x14ac:dyDescent="0.25">
      <c r="A7075" s="6"/>
    </row>
    <row r="7076" spans="1:1" ht="18.75" x14ac:dyDescent="0.25">
      <c r="A7076" s="6"/>
    </row>
    <row r="7077" spans="1:1" ht="18.75" x14ac:dyDescent="0.25">
      <c r="A7077" s="6"/>
    </row>
    <row r="7078" spans="1:1" ht="18.75" x14ac:dyDescent="0.25">
      <c r="A7078" s="6"/>
    </row>
    <row r="7079" spans="1:1" ht="18.75" x14ac:dyDescent="0.25">
      <c r="A7079" s="6"/>
    </row>
    <row r="7080" spans="1:1" ht="18.75" x14ac:dyDescent="0.25">
      <c r="A7080" s="6"/>
    </row>
    <row r="7081" spans="1:1" ht="18.75" x14ac:dyDescent="0.25">
      <c r="A7081" s="6"/>
    </row>
    <row r="7082" spans="1:1" ht="18.75" x14ac:dyDescent="0.25">
      <c r="A7082" s="6"/>
    </row>
    <row r="7083" spans="1:1" ht="18.75" x14ac:dyDescent="0.25">
      <c r="A7083" s="6"/>
    </row>
    <row r="7084" spans="1:1" ht="18.75" x14ac:dyDescent="0.25">
      <c r="A7084" s="6"/>
    </row>
    <row r="7085" spans="1:1" ht="18.75" x14ac:dyDescent="0.25">
      <c r="A7085" s="6"/>
    </row>
    <row r="7086" spans="1:1" ht="18.75" x14ac:dyDescent="0.25">
      <c r="A7086" s="6"/>
    </row>
    <row r="7087" spans="1:1" ht="18.75" x14ac:dyDescent="0.25">
      <c r="A7087" s="6"/>
    </row>
    <row r="7088" spans="1:1" ht="18.75" x14ac:dyDescent="0.25">
      <c r="A7088" s="6"/>
    </row>
    <row r="7089" spans="1:1" ht="18.75" x14ac:dyDescent="0.25">
      <c r="A7089" s="6"/>
    </row>
    <row r="7090" spans="1:1" ht="18.75" x14ac:dyDescent="0.25">
      <c r="A7090" s="6"/>
    </row>
    <row r="7091" spans="1:1" ht="18.75" x14ac:dyDescent="0.25">
      <c r="A7091" s="6"/>
    </row>
    <row r="7092" spans="1:1" ht="18.75" x14ac:dyDescent="0.25">
      <c r="A7092" s="6"/>
    </row>
    <row r="7093" spans="1:1" ht="18.75" x14ac:dyDescent="0.25">
      <c r="A7093" s="6"/>
    </row>
    <row r="7094" spans="1:1" ht="18.75" x14ac:dyDescent="0.25">
      <c r="A7094" s="6"/>
    </row>
    <row r="7095" spans="1:1" ht="18.75" x14ac:dyDescent="0.25">
      <c r="A7095" s="6"/>
    </row>
    <row r="7096" spans="1:1" ht="18.75" x14ac:dyDescent="0.25">
      <c r="A7096" s="6"/>
    </row>
    <row r="7097" spans="1:1" ht="18.75" x14ac:dyDescent="0.25">
      <c r="A7097" s="6"/>
    </row>
    <row r="7098" spans="1:1" ht="18.75" x14ac:dyDescent="0.25">
      <c r="A7098" s="6"/>
    </row>
    <row r="7099" spans="1:1" ht="18.75" x14ac:dyDescent="0.25">
      <c r="A7099" s="6"/>
    </row>
    <row r="7100" spans="1:1" ht="18.75" x14ac:dyDescent="0.25">
      <c r="A7100" s="6"/>
    </row>
    <row r="7101" spans="1:1" ht="18.75" x14ac:dyDescent="0.25">
      <c r="A7101" s="6"/>
    </row>
    <row r="7102" spans="1:1" ht="18.75" x14ac:dyDescent="0.25">
      <c r="A7102" s="6"/>
    </row>
    <row r="7103" spans="1:1" ht="18.75" x14ac:dyDescent="0.25">
      <c r="A7103" s="6"/>
    </row>
    <row r="7104" spans="1:1" ht="18.75" x14ac:dyDescent="0.25">
      <c r="A7104" s="6"/>
    </row>
    <row r="7105" spans="1:1" ht="18.75" x14ac:dyDescent="0.25">
      <c r="A7105" s="6"/>
    </row>
    <row r="7106" spans="1:1" ht="18.75" x14ac:dyDescent="0.25">
      <c r="A7106" s="6"/>
    </row>
    <row r="7107" spans="1:1" ht="18.75" x14ac:dyDescent="0.25">
      <c r="A7107" s="6"/>
    </row>
    <row r="7108" spans="1:1" ht="18.75" x14ac:dyDescent="0.25">
      <c r="A7108" s="6"/>
    </row>
    <row r="7109" spans="1:1" ht="18.75" x14ac:dyDescent="0.25">
      <c r="A7109" s="6"/>
    </row>
    <row r="7110" spans="1:1" ht="18.75" x14ac:dyDescent="0.25">
      <c r="A7110" s="6"/>
    </row>
    <row r="7111" spans="1:1" ht="18.75" x14ac:dyDescent="0.25">
      <c r="A7111" s="6"/>
    </row>
    <row r="7112" spans="1:1" ht="18.75" x14ac:dyDescent="0.25">
      <c r="A7112" s="6"/>
    </row>
    <row r="7113" spans="1:1" ht="18.75" x14ac:dyDescent="0.25">
      <c r="A7113" s="6"/>
    </row>
    <row r="7114" spans="1:1" ht="18.75" x14ac:dyDescent="0.25">
      <c r="A7114" s="6"/>
    </row>
    <row r="7115" spans="1:1" ht="18.75" x14ac:dyDescent="0.25">
      <c r="A7115" s="6"/>
    </row>
    <row r="7116" spans="1:1" ht="18.75" x14ac:dyDescent="0.25">
      <c r="A7116" s="6"/>
    </row>
    <row r="7117" spans="1:1" ht="18.75" x14ac:dyDescent="0.25">
      <c r="A7117" s="6"/>
    </row>
    <row r="7118" spans="1:1" ht="18.75" x14ac:dyDescent="0.25">
      <c r="A7118" s="6"/>
    </row>
    <row r="7119" spans="1:1" ht="18.75" x14ac:dyDescent="0.25">
      <c r="A7119" s="6"/>
    </row>
    <row r="7120" spans="1:1" ht="18.75" x14ac:dyDescent="0.25">
      <c r="A7120" s="6"/>
    </row>
    <row r="7121" spans="1:1" ht="18.75" x14ac:dyDescent="0.25">
      <c r="A7121" s="6"/>
    </row>
    <row r="7122" spans="1:1" ht="18.75" x14ac:dyDescent="0.25">
      <c r="A7122" s="6"/>
    </row>
    <row r="7123" spans="1:1" ht="18.75" x14ac:dyDescent="0.25">
      <c r="A7123" s="6"/>
    </row>
    <row r="7124" spans="1:1" ht="18.75" x14ac:dyDescent="0.25">
      <c r="A7124" s="6"/>
    </row>
    <row r="7125" spans="1:1" ht="18.75" x14ac:dyDescent="0.25">
      <c r="A7125" s="6"/>
    </row>
    <row r="7126" spans="1:1" ht="18.75" x14ac:dyDescent="0.25">
      <c r="A7126" s="6"/>
    </row>
    <row r="7127" spans="1:1" ht="18.75" x14ac:dyDescent="0.25">
      <c r="A7127" s="6"/>
    </row>
    <row r="7128" spans="1:1" ht="18.75" x14ac:dyDescent="0.25">
      <c r="A7128" s="6"/>
    </row>
    <row r="7129" spans="1:1" ht="18.75" x14ac:dyDescent="0.25">
      <c r="A7129" s="6"/>
    </row>
    <row r="7130" spans="1:1" ht="18.75" x14ac:dyDescent="0.25">
      <c r="A7130" s="6"/>
    </row>
    <row r="7131" spans="1:1" ht="18.75" x14ac:dyDescent="0.25">
      <c r="A7131" s="6"/>
    </row>
    <row r="7132" spans="1:1" ht="18.75" x14ac:dyDescent="0.25">
      <c r="A7132" s="6"/>
    </row>
    <row r="7133" spans="1:1" ht="18.75" x14ac:dyDescent="0.25">
      <c r="A7133" s="6"/>
    </row>
    <row r="7134" spans="1:1" ht="18.75" x14ac:dyDescent="0.25">
      <c r="A7134" s="6"/>
    </row>
    <row r="7135" spans="1:1" ht="18.75" x14ac:dyDescent="0.25">
      <c r="A7135" s="6"/>
    </row>
    <row r="7136" spans="1:1" ht="18.75" x14ac:dyDescent="0.25">
      <c r="A7136" s="6"/>
    </row>
    <row r="7137" spans="1:1" ht="18.75" x14ac:dyDescent="0.25">
      <c r="A7137" s="6"/>
    </row>
    <row r="7138" spans="1:1" ht="18.75" x14ac:dyDescent="0.25">
      <c r="A7138" s="6"/>
    </row>
    <row r="7139" spans="1:1" ht="18.75" x14ac:dyDescent="0.25">
      <c r="A7139" s="6"/>
    </row>
    <row r="7140" spans="1:1" ht="18.75" x14ac:dyDescent="0.25">
      <c r="A7140" s="6"/>
    </row>
    <row r="7141" spans="1:1" ht="18.75" x14ac:dyDescent="0.25">
      <c r="A7141" s="6"/>
    </row>
    <row r="7142" spans="1:1" ht="18.75" x14ac:dyDescent="0.25">
      <c r="A7142" s="6"/>
    </row>
    <row r="7143" spans="1:1" ht="18.75" x14ac:dyDescent="0.25">
      <c r="A7143" s="6"/>
    </row>
    <row r="7144" spans="1:1" ht="18.75" x14ac:dyDescent="0.25">
      <c r="A7144" s="6"/>
    </row>
    <row r="7145" spans="1:1" ht="18.75" x14ac:dyDescent="0.25">
      <c r="A7145" s="6"/>
    </row>
    <row r="7146" spans="1:1" ht="18.75" x14ac:dyDescent="0.25">
      <c r="A7146" s="6"/>
    </row>
    <row r="7147" spans="1:1" ht="18.75" x14ac:dyDescent="0.25">
      <c r="A7147" s="6"/>
    </row>
    <row r="7148" spans="1:1" ht="18.75" x14ac:dyDescent="0.25">
      <c r="A7148" s="6"/>
    </row>
    <row r="7149" spans="1:1" ht="18.75" x14ac:dyDescent="0.25">
      <c r="A7149" s="6"/>
    </row>
    <row r="7150" spans="1:1" ht="18.75" x14ac:dyDescent="0.25">
      <c r="A7150" s="6"/>
    </row>
    <row r="7151" spans="1:1" ht="18.75" x14ac:dyDescent="0.25">
      <c r="A7151" s="6"/>
    </row>
    <row r="7152" spans="1:1" ht="18.75" x14ac:dyDescent="0.25">
      <c r="A7152" s="6"/>
    </row>
    <row r="7153" spans="1:1" ht="18.75" x14ac:dyDescent="0.25">
      <c r="A7153" s="6"/>
    </row>
    <row r="7154" spans="1:1" ht="18.75" x14ac:dyDescent="0.25">
      <c r="A7154" s="6"/>
    </row>
    <row r="7155" spans="1:1" ht="18.75" x14ac:dyDescent="0.25">
      <c r="A7155" s="6"/>
    </row>
    <row r="7156" spans="1:1" ht="18.75" x14ac:dyDescent="0.25">
      <c r="A7156" s="6"/>
    </row>
    <row r="7157" spans="1:1" ht="18.75" x14ac:dyDescent="0.25">
      <c r="A7157" s="6"/>
    </row>
    <row r="7158" spans="1:1" ht="18.75" x14ac:dyDescent="0.25">
      <c r="A7158" s="6"/>
    </row>
    <row r="7159" spans="1:1" ht="18.75" x14ac:dyDescent="0.25">
      <c r="A7159" s="6"/>
    </row>
    <row r="7160" spans="1:1" ht="18.75" x14ac:dyDescent="0.25">
      <c r="A7160" s="6"/>
    </row>
    <row r="7161" spans="1:1" ht="18.75" x14ac:dyDescent="0.25">
      <c r="A7161" s="6"/>
    </row>
    <row r="7162" spans="1:1" ht="18.75" x14ac:dyDescent="0.25">
      <c r="A7162" s="6"/>
    </row>
    <row r="7163" spans="1:1" ht="18.75" x14ac:dyDescent="0.25">
      <c r="A7163" s="6"/>
    </row>
    <row r="7164" spans="1:1" ht="18.75" x14ac:dyDescent="0.25">
      <c r="A7164" s="6"/>
    </row>
    <row r="7165" spans="1:1" ht="18.75" x14ac:dyDescent="0.25">
      <c r="A7165" s="6"/>
    </row>
    <row r="7166" spans="1:1" ht="18.75" x14ac:dyDescent="0.25">
      <c r="A7166" s="6"/>
    </row>
    <row r="7167" spans="1:1" ht="18.75" x14ac:dyDescent="0.25">
      <c r="A7167" s="6"/>
    </row>
    <row r="7168" spans="1:1" ht="18.75" x14ac:dyDescent="0.25">
      <c r="A7168" s="6"/>
    </row>
    <row r="7169" spans="1:1" ht="18.75" x14ac:dyDescent="0.25">
      <c r="A7169" s="6"/>
    </row>
    <row r="7170" spans="1:1" ht="18.75" x14ac:dyDescent="0.25">
      <c r="A7170" s="6"/>
    </row>
    <row r="7171" spans="1:1" ht="18.75" x14ac:dyDescent="0.25">
      <c r="A7171" s="6"/>
    </row>
    <row r="7172" spans="1:1" ht="18.75" x14ac:dyDescent="0.25">
      <c r="A7172" s="6"/>
    </row>
    <row r="7173" spans="1:1" ht="18.75" x14ac:dyDescent="0.25">
      <c r="A7173" s="6"/>
    </row>
    <row r="7174" spans="1:1" ht="18.75" x14ac:dyDescent="0.25">
      <c r="A7174" s="6"/>
    </row>
    <row r="7175" spans="1:1" ht="18.75" x14ac:dyDescent="0.25">
      <c r="A7175" s="6"/>
    </row>
    <row r="7176" spans="1:1" ht="18.75" x14ac:dyDescent="0.25">
      <c r="A7176" s="6"/>
    </row>
    <row r="7177" spans="1:1" ht="18.75" x14ac:dyDescent="0.25">
      <c r="A7177" s="6"/>
    </row>
    <row r="7178" spans="1:1" ht="18.75" x14ac:dyDescent="0.25">
      <c r="A7178" s="6"/>
    </row>
    <row r="7179" spans="1:1" ht="18.75" x14ac:dyDescent="0.25">
      <c r="A7179" s="6"/>
    </row>
    <row r="7180" spans="1:1" ht="18.75" x14ac:dyDescent="0.25">
      <c r="A7180" s="6"/>
    </row>
    <row r="7181" spans="1:1" ht="18.75" x14ac:dyDescent="0.25">
      <c r="A7181" s="6"/>
    </row>
    <row r="7182" spans="1:1" ht="18.75" x14ac:dyDescent="0.25">
      <c r="A7182" s="6"/>
    </row>
    <row r="7183" spans="1:1" ht="18.75" x14ac:dyDescent="0.25">
      <c r="A7183" s="6"/>
    </row>
    <row r="7184" spans="1:1" ht="18.75" x14ac:dyDescent="0.25">
      <c r="A7184" s="6"/>
    </row>
    <row r="7185" spans="1:1" ht="18.75" x14ac:dyDescent="0.25">
      <c r="A7185" s="6"/>
    </row>
    <row r="7186" spans="1:1" ht="18.75" x14ac:dyDescent="0.25">
      <c r="A7186" s="6"/>
    </row>
    <row r="7187" spans="1:1" ht="18.75" x14ac:dyDescent="0.25">
      <c r="A7187" s="6"/>
    </row>
    <row r="7188" spans="1:1" ht="18.75" x14ac:dyDescent="0.25">
      <c r="A7188" s="6"/>
    </row>
    <row r="7189" spans="1:1" ht="18.75" x14ac:dyDescent="0.25">
      <c r="A7189" s="6"/>
    </row>
    <row r="7190" spans="1:1" ht="18.75" x14ac:dyDescent="0.25">
      <c r="A7190" s="6"/>
    </row>
    <row r="7191" spans="1:1" ht="18.75" x14ac:dyDescent="0.25">
      <c r="A7191" s="6"/>
    </row>
    <row r="7192" spans="1:1" ht="18.75" x14ac:dyDescent="0.25">
      <c r="A7192" s="6"/>
    </row>
    <row r="7193" spans="1:1" ht="18.75" x14ac:dyDescent="0.25">
      <c r="A7193" s="6"/>
    </row>
    <row r="7194" spans="1:1" ht="18.75" x14ac:dyDescent="0.25">
      <c r="A7194" s="6"/>
    </row>
    <row r="7195" spans="1:1" ht="18.75" x14ac:dyDescent="0.25">
      <c r="A7195" s="6"/>
    </row>
    <row r="7196" spans="1:1" ht="18.75" x14ac:dyDescent="0.25">
      <c r="A7196" s="6"/>
    </row>
    <row r="7197" spans="1:1" ht="18.75" x14ac:dyDescent="0.25">
      <c r="A7197" s="6"/>
    </row>
    <row r="7198" spans="1:1" ht="18.75" x14ac:dyDescent="0.25">
      <c r="A7198" s="6"/>
    </row>
    <row r="7199" spans="1:1" ht="18.75" x14ac:dyDescent="0.25">
      <c r="A7199" s="6"/>
    </row>
    <row r="7200" spans="1:1" ht="18.75" x14ac:dyDescent="0.25">
      <c r="A7200" s="6"/>
    </row>
    <row r="7201" spans="1:1" ht="18.75" x14ac:dyDescent="0.25">
      <c r="A7201" s="6"/>
    </row>
    <row r="7202" spans="1:1" ht="18.75" x14ac:dyDescent="0.25">
      <c r="A7202" s="6"/>
    </row>
    <row r="7203" spans="1:1" ht="18.75" x14ac:dyDescent="0.25">
      <c r="A7203" s="6"/>
    </row>
    <row r="7204" spans="1:1" ht="18.75" x14ac:dyDescent="0.25">
      <c r="A7204" s="6"/>
    </row>
    <row r="7205" spans="1:1" ht="18.75" x14ac:dyDescent="0.25">
      <c r="A7205" s="6"/>
    </row>
    <row r="7206" spans="1:1" ht="18.75" x14ac:dyDescent="0.25">
      <c r="A7206" s="6"/>
    </row>
    <row r="7207" spans="1:1" ht="18.75" x14ac:dyDescent="0.25">
      <c r="A7207" s="6"/>
    </row>
    <row r="7208" spans="1:1" ht="18.75" x14ac:dyDescent="0.25">
      <c r="A7208" s="6"/>
    </row>
    <row r="7209" spans="1:1" ht="18.75" x14ac:dyDescent="0.25">
      <c r="A7209" s="6"/>
    </row>
    <row r="7210" spans="1:1" ht="18.75" x14ac:dyDescent="0.25">
      <c r="A7210" s="6"/>
    </row>
    <row r="7211" spans="1:1" ht="18.75" x14ac:dyDescent="0.25">
      <c r="A7211" s="6"/>
    </row>
    <row r="7212" spans="1:1" ht="18.75" x14ac:dyDescent="0.25">
      <c r="A7212" s="6"/>
    </row>
    <row r="7213" spans="1:1" ht="18.75" x14ac:dyDescent="0.25">
      <c r="A7213" s="6"/>
    </row>
    <row r="7214" spans="1:1" ht="18.75" x14ac:dyDescent="0.25">
      <c r="A7214" s="6"/>
    </row>
    <row r="7215" spans="1:1" ht="18.75" x14ac:dyDescent="0.25">
      <c r="A7215" s="6"/>
    </row>
    <row r="7216" spans="1:1" ht="18.75" x14ac:dyDescent="0.25">
      <c r="A7216" s="6"/>
    </row>
    <row r="7217" spans="1:1" ht="18.75" x14ac:dyDescent="0.25">
      <c r="A7217" s="6"/>
    </row>
    <row r="7218" spans="1:1" ht="18.75" x14ac:dyDescent="0.25">
      <c r="A7218" s="6"/>
    </row>
    <row r="7219" spans="1:1" ht="18.75" x14ac:dyDescent="0.25">
      <c r="A7219" s="6"/>
    </row>
    <row r="7220" spans="1:1" ht="18.75" x14ac:dyDescent="0.25">
      <c r="A7220" s="6"/>
    </row>
    <row r="7221" spans="1:1" ht="18.75" x14ac:dyDescent="0.25">
      <c r="A7221" s="6"/>
    </row>
    <row r="7222" spans="1:1" ht="18.75" x14ac:dyDescent="0.25">
      <c r="A7222" s="6"/>
    </row>
    <row r="7223" spans="1:1" ht="18.75" x14ac:dyDescent="0.25">
      <c r="A7223" s="6"/>
    </row>
    <row r="7224" spans="1:1" ht="18.75" x14ac:dyDescent="0.25">
      <c r="A7224" s="6"/>
    </row>
    <row r="7225" spans="1:1" ht="18.75" x14ac:dyDescent="0.25">
      <c r="A7225" s="6"/>
    </row>
    <row r="7226" spans="1:1" ht="18.75" x14ac:dyDescent="0.25">
      <c r="A7226" s="6"/>
    </row>
    <row r="7227" spans="1:1" ht="18.75" x14ac:dyDescent="0.25">
      <c r="A7227" s="6"/>
    </row>
    <row r="7228" spans="1:1" ht="18.75" x14ac:dyDescent="0.25">
      <c r="A7228" s="6"/>
    </row>
    <row r="7229" spans="1:1" ht="18.75" x14ac:dyDescent="0.25">
      <c r="A7229" s="6"/>
    </row>
    <row r="7230" spans="1:1" ht="18.75" x14ac:dyDescent="0.25">
      <c r="A7230" s="6"/>
    </row>
    <row r="7231" spans="1:1" ht="18.75" x14ac:dyDescent="0.25">
      <c r="A7231" s="6"/>
    </row>
    <row r="7232" spans="1:1" ht="18.75" x14ac:dyDescent="0.25">
      <c r="A7232" s="6"/>
    </row>
    <row r="7233" spans="1:1" ht="18.75" x14ac:dyDescent="0.25">
      <c r="A7233" s="6"/>
    </row>
    <row r="7234" spans="1:1" ht="18.75" x14ac:dyDescent="0.25">
      <c r="A7234" s="6"/>
    </row>
    <row r="7235" spans="1:1" ht="18.75" x14ac:dyDescent="0.25">
      <c r="A7235" s="6"/>
    </row>
    <row r="7236" spans="1:1" ht="18.75" x14ac:dyDescent="0.25">
      <c r="A7236" s="6"/>
    </row>
    <row r="7237" spans="1:1" ht="18.75" x14ac:dyDescent="0.25">
      <c r="A7237" s="6"/>
    </row>
    <row r="7238" spans="1:1" ht="18.75" x14ac:dyDescent="0.25">
      <c r="A7238" s="6"/>
    </row>
    <row r="7239" spans="1:1" ht="18.75" x14ac:dyDescent="0.25">
      <c r="A7239" s="6"/>
    </row>
    <row r="7240" spans="1:1" ht="18.75" x14ac:dyDescent="0.25">
      <c r="A7240" s="6"/>
    </row>
    <row r="7241" spans="1:1" ht="18.75" x14ac:dyDescent="0.25">
      <c r="A7241" s="6"/>
    </row>
    <row r="7242" spans="1:1" ht="18.75" x14ac:dyDescent="0.25">
      <c r="A7242" s="6"/>
    </row>
    <row r="7243" spans="1:1" ht="18.75" x14ac:dyDescent="0.25">
      <c r="A7243" s="6"/>
    </row>
    <row r="7244" spans="1:1" ht="18.75" x14ac:dyDescent="0.25">
      <c r="A7244" s="6"/>
    </row>
    <row r="7245" spans="1:1" ht="18.75" x14ac:dyDescent="0.25">
      <c r="A7245" s="6"/>
    </row>
    <row r="7246" spans="1:1" ht="18.75" x14ac:dyDescent="0.25">
      <c r="A7246" s="6"/>
    </row>
    <row r="7247" spans="1:1" ht="18.75" x14ac:dyDescent="0.25">
      <c r="A7247" s="6"/>
    </row>
    <row r="7248" spans="1:1" ht="18.75" x14ac:dyDescent="0.25">
      <c r="A7248" s="6"/>
    </row>
    <row r="7249" spans="1:1" ht="18.75" x14ac:dyDescent="0.25">
      <c r="A7249" s="6"/>
    </row>
    <row r="7250" spans="1:1" ht="18.75" x14ac:dyDescent="0.25">
      <c r="A7250" s="6"/>
    </row>
    <row r="7251" spans="1:1" ht="18.75" x14ac:dyDescent="0.25">
      <c r="A7251" s="6"/>
    </row>
    <row r="7252" spans="1:1" ht="18.75" x14ac:dyDescent="0.25">
      <c r="A7252" s="6"/>
    </row>
    <row r="7253" spans="1:1" ht="18.75" x14ac:dyDescent="0.25">
      <c r="A7253" s="6"/>
    </row>
    <row r="7254" spans="1:1" ht="18.75" x14ac:dyDescent="0.25">
      <c r="A7254" s="6"/>
    </row>
    <row r="7255" spans="1:1" ht="18.75" x14ac:dyDescent="0.25">
      <c r="A7255" s="6"/>
    </row>
    <row r="7256" spans="1:1" ht="18.75" x14ac:dyDescent="0.25">
      <c r="A7256" s="6"/>
    </row>
    <row r="7257" spans="1:1" ht="18.75" x14ac:dyDescent="0.25">
      <c r="A7257" s="6"/>
    </row>
    <row r="7258" spans="1:1" ht="18.75" x14ac:dyDescent="0.25">
      <c r="A7258" s="6"/>
    </row>
    <row r="7259" spans="1:1" ht="18.75" x14ac:dyDescent="0.25">
      <c r="A7259" s="6"/>
    </row>
    <row r="7260" spans="1:1" ht="18.75" x14ac:dyDescent="0.25">
      <c r="A7260" s="6"/>
    </row>
    <row r="7261" spans="1:1" ht="18.75" x14ac:dyDescent="0.25">
      <c r="A7261" s="6"/>
    </row>
    <row r="7262" spans="1:1" ht="18.75" x14ac:dyDescent="0.25">
      <c r="A7262" s="6"/>
    </row>
    <row r="7263" spans="1:1" ht="18.75" x14ac:dyDescent="0.25">
      <c r="A7263" s="6"/>
    </row>
    <row r="7264" spans="1:1" ht="18.75" x14ac:dyDescent="0.25">
      <c r="A7264" s="6"/>
    </row>
    <row r="7265" spans="1:1" ht="18.75" x14ac:dyDescent="0.25">
      <c r="A7265" s="6"/>
    </row>
    <row r="7266" spans="1:1" ht="18.75" x14ac:dyDescent="0.25">
      <c r="A7266" s="6"/>
    </row>
    <row r="7267" spans="1:1" ht="18.75" x14ac:dyDescent="0.25">
      <c r="A7267" s="6"/>
    </row>
    <row r="7268" spans="1:1" ht="18.75" x14ac:dyDescent="0.25">
      <c r="A7268" s="6"/>
    </row>
    <row r="7269" spans="1:1" ht="18.75" x14ac:dyDescent="0.25">
      <c r="A7269" s="6"/>
    </row>
    <row r="7270" spans="1:1" ht="18.75" x14ac:dyDescent="0.25">
      <c r="A7270" s="6"/>
    </row>
    <row r="7271" spans="1:1" ht="18.75" x14ac:dyDescent="0.25">
      <c r="A7271" s="6"/>
    </row>
    <row r="7272" spans="1:1" ht="18.75" x14ac:dyDescent="0.25">
      <c r="A7272" s="6"/>
    </row>
    <row r="7273" spans="1:1" ht="18.75" x14ac:dyDescent="0.25">
      <c r="A7273" s="6"/>
    </row>
    <row r="7274" spans="1:1" ht="18.75" x14ac:dyDescent="0.25">
      <c r="A7274" s="6"/>
    </row>
    <row r="7275" spans="1:1" ht="18.75" x14ac:dyDescent="0.25">
      <c r="A7275" s="6"/>
    </row>
    <row r="7276" spans="1:1" ht="18.75" x14ac:dyDescent="0.25">
      <c r="A7276" s="6"/>
    </row>
    <row r="7277" spans="1:1" ht="18.75" x14ac:dyDescent="0.25">
      <c r="A7277" s="6"/>
    </row>
    <row r="7278" spans="1:1" ht="18.75" x14ac:dyDescent="0.25">
      <c r="A7278" s="6"/>
    </row>
    <row r="7279" spans="1:1" ht="18.75" x14ac:dyDescent="0.25">
      <c r="A7279" s="6"/>
    </row>
    <row r="7280" spans="1:1" ht="18.75" x14ac:dyDescent="0.25">
      <c r="A7280" s="6"/>
    </row>
    <row r="7281" spans="1:1" ht="18.75" x14ac:dyDescent="0.25">
      <c r="A7281" s="6"/>
    </row>
    <row r="7282" spans="1:1" ht="18.75" x14ac:dyDescent="0.25">
      <c r="A7282" s="6"/>
    </row>
    <row r="7283" spans="1:1" ht="18.75" x14ac:dyDescent="0.25">
      <c r="A7283" s="6"/>
    </row>
    <row r="7284" spans="1:1" ht="18.75" x14ac:dyDescent="0.25">
      <c r="A7284" s="6"/>
    </row>
    <row r="7285" spans="1:1" ht="18.75" x14ac:dyDescent="0.25">
      <c r="A7285" s="6"/>
    </row>
    <row r="7286" spans="1:1" ht="18.75" x14ac:dyDescent="0.25">
      <c r="A7286" s="6"/>
    </row>
    <row r="7287" spans="1:1" ht="18.75" x14ac:dyDescent="0.25">
      <c r="A7287" s="6"/>
    </row>
    <row r="7288" spans="1:1" ht="18.75" x14ac:dyDescent="0.25">
      <c r="A7288" s="6"/>
    </row>
    <row r="7289" spans="1:1" ht="18.75" x14ac:dyDescent="0.25">
      <c r="A7289" s="6"/>
    </row>
    <row r="7290" spans="1:1" ht="18.75" x14ac:dyDescent="0.25">
      <c r="A7290" s="6"/>
    </row>
    <row r="7291" spans="1:1" ht="18.75" x14ac:dyDescent="0.25">
      <c r="A7291" s="6"/>
    </row>
    <row r="7292" spans="1:1" ht="18.75" x14ac:dyDescent="0.25">
      <c r="A7292" s="6"/>
    </row>
    <row r="7293" spans="1:1" ht="18.75" x14ac:dyDescent="0.25">
      <c r="A7293" s="6"/>
    </row>
    <row r="7294" spans="1:1" ht="18.75" x14ac:dyDescent="0.25">
      <c r="A7294" s="6"/>
    </row>
    <row r="7295" spans="1:1" ht="18.75" x14ac:dyDescent="0.25">
      <c r="A7295" s="6"/>
    </row>
    <row r="7296" spans="1:1" ht="18.75" x14ac:dyDescent="0.25">
      <c r="A7296" s="6"/>
    </row>
    <row r="7297" spans="1:1" ht="18.75" x14ac:dyDescent="0.25">
      <c r="A7297" s="6"/>
    </row>
    <row r="7298" spans="1:1" ht="18.75" x14ac:dyDescent="0.25">
      <c r="A7298" s="6"/>
    </row>
    <row r="7299" spans="1:1" ht="18.75" x14ac:dyDescent="0.25">
      <c r="A7299" s="6"/>
    </row>
    <row r="7300" spans="1:1" ht="18.75" x14ac:dyDescent="0.25">
      <c r="A7300" s="6"/>
    </row>
    <row r="7301" spans="1:1" ht="18.75" x14ac:dyDescent="0.25">
      <c r="A7301" s="6"/>
    </row>
    <row r="7302" spans="1:1" ht="18.75" x14ac:dyDescent="0.25">
      <c r="A7302" s="6"/>
    </row>
    <row r="7303" spans="1:1" ht="18.75" x14ac:dyDescent="0.25">
      <c r="A7303" s="6"/>
    </row>
    <row r="7304" spans="1:1" ht="18.75" x14ac:dyDescent="0.25">
      <c r="A7304" s="6"/>
    </row>
    <row r="7305" spans="1:1" ht="18.75" x14ac:dyDescent="0.25">
      <c r="A7305" s="6"/>
    </row>
    <row r="7306" spans="1:1" ht="18.75" x14ac:dyDescent="0.25">
      <c r="A7306" s="6"/>
    </row>
    <row r="7307" spans="1:1" ht="18.75" x14ac:dyDescent="0.25">
      <c r="A7307" s="6"/>
    </row>
    <row r="7308" spans="1:1" ht="18.75" x14ac:dyDescent="0.25">
      <c r="A7308" s="6"/>
    </row>
    <row r="7309" spans="1:1" ht="18.75" x14ac:dyDescent="0.25">
      <c r="A7309" s="6"/>
    </row>
    <row r="7310" spans="1:1" ht="18.75" x14ac:dyDescent="0.25">
      <c r="A7310" s="6"/>
    </row>
    <row r="7311" spans="1:1" ht="18.75" x14ac:dyDescent="0.25">
      <c r="A7311" s="6"/>
    </row>
    <row r="7312" spans="1:1" ht="18.75" x14ac:dyDescent="0.25">
      <c r="A7312" s="6"/>
    </row>
    <row r="7313" spans="1:1" ht="18.75" x14ac:dyDescent="0.25">
      <c r="A7313" s="6"/>
    </row>
    <row r="7314" spans="1:1" ht="18.75" x14ac:dyDescent="0.25">
      <c r="A7314" s="6"/>
    </row>
    <row r="7315" spans="1:1" ht="18.75" x14ac:dyDescent="0.25">
      <c r="A7315" s="6"/>
    </row>
    <row r="7316" spans="1:1" ht="18.75" x14ac:dyDescent="0.25">
      <c r="A7316" s="6"/>
    </row>
    <row r="7317" spans="1:1" ht="18.75" x14ac:dyDescent="0.25">
      <c r="A7317" s="6"/>
    </row>
    <row r="7318" spans="1:1" ht="18.75" x14ac:dyDescent="0.25">
      <c r="A7318" s="6"/>
    </row>
    <row r="7319" spans="1:1" ht="18.75" x14ac:dyDescent="0.25">
      <c r="A7319" s="6"/>
    </row>
    <row r="7320" spans="1:1" ht="18.75" x14ac:dyDescent="0.25">
      <c r="A7320" s="6"/>
    </row>
    <row r="7321" spans="1:1" ht="18.75" x14ac:dyDescent="0.25">
      <c r="A7321" s="6"/>
    </row>
    <row r="7322" spans="1:1" ht="18.75" x14ac:dyDescent="0.25">
      <c r="A7322" s="6"/>
    </row>
    <row r="7323" spans="1:1" ht="18.75" x14ac:dyDescent="0.25">
      <c r="A7323" s="6"/>
    </row>
    <row r="7324" spans="1:1" ht="18.75" x14ac:dyDescent="0.25">
      <c r="A7324" s="6"/>
    </row>
    <row r="7325" spans="1:1" ht="18.75" x14ac:dyDescent="0.25">
      <c r="A7325" s="6"/>
    </row>
    <row r="7326" spans="1:1" ht="18.75" x14ac:dyDescent="0.25">
      <c r="A7326" s="6"/>
    </row>
    <row r="7327" spans="1:1" ht="18.75" x14ac:dyDescent="0.25">
      <c r="A7327" s="6"/>
    </row>
    <row r="7328" spans="1:1" ht="18.75" x14ac:dyDescent="0.25">
      <c r="A7328" s="6"/>
    </row>
    <row r="7329" spans="1:1" ht="18.75" x14ac:dyDescent="0.25">
      <c r="A7329" s="6"/>
    </row>
    <row r="7330" spans="1:1" ht="18.75" x14ac:dyDescent="0.25">
      <c r="A7330" s="6"/>
    </row>
    <row r="7331" spans="1:1" ht="18.75" x14ac:dyDescent="0.25">
      <c r="A7331" s="6"/>
    </row>
    <row r="7332" spans="1:1" ht="18.75" x14ac:dyDescent="0.25">
      <c r="A7332" s="6"/>
    </row>
    <row r="7333" spans="1:1" ht="18.75" x14ac:dyDescent="0.25">
      <c r="A7333" s="6"/>
    </row>
    <row r="7334" spans="1:1" ht="18.75" x14ac:dyDescent="0.25">
      <c r="A7334" s="6"/>
    </row>
    <row r="7335" spans="1:1" ht="18.75" x14ac:dyDescent="0.25">
      <c r="A7335" s="6"/>
    </row>
    <row r="7336" spans="1:1" ht="18.75" x14ac:dyDescent="0.25">
      <c r="A7336" s="6"/>
    </row>
    <row r="7337" spans="1:1" ht="18.75" x14ac:dyDescent="0.25">
      <c r="A7337" s="6"/>
    </row>
    <row r="7338" spans="1:1" ht="18.75" x14ac:dyDescent="0.25">
      <c r="A7338" s="6"/>
    </row>
    <row r="7339" spans="1:1" ht="18.75" x14ac:dyDescent="0.25">
      <c r="A7339" s="6"/>
    </row>
    <row r="7340" spans="1:1" ht="18.75" x14ac:dyDescent="0.25">
      <c r="A7340" s="6"/>
    </row>
    <row r="7341" spans="1:1" ht="18.75" x14ac:dyDescent="0.25">
      <c r="A7341" s="6"/>
    </row>
    <row r="7342" spans="1:1" ht="18.75" x14ac:dyDescent="0.25">
      <c r="A7342" s="6"/>
    </row>
    <row r="7343" spans="1:1" ht="18.75" x14ac:dyDescent="0.25">
      <c r="A7343" s="6"/>
    </row>
    <row r="7344" spans="1:1" ht="18.75" x14ac:dyDescent="0.25">
      <c r="A7344" s="6"/>
    </row>
    <row r="7345" spans="1:1" ht="18.75" x14ac:dyDescent="0.25">
      <c r="A7345" s="6"/>
    </row>
    <row r="7346" spans="1:1" ht="18.75" x14ac:dyDescent="0.25">
      <c r="A7346" s="6"/>
    </row>
    <row r="7347" spans="1:1" ht="18.75" x14ac:dyDescent="0.25">
      <c r="A7347" s="6"/>
    </row>
    <row r="7348" spans="1:1" ht="18.75" x14ac:dyDescent="0.25">
      <c r="A7348" s="6"/>
    </row>
    <row r="7349" spans="1:1" ht="18.75" x14ac:dyDescent="0.25">
      <c r="A7349" s="6"/>
    </row>
    <row r="7350" spans="1:1" ht="18.75" x14ac:dyDescent="0.25">
      <c r="A7350" s="6"/>
    </row>
    <row r="7351" spans="1:1" ht="18.75" x14ac:dyDescent="0.25">
      <c r="A7351" s="6"/>
    </row>
    <row r="7352" spans="1:1" ht="18.75" x14ac:dyDescent="0.25">
      <c r="A7352" s="6"/>
    </row>
    <row r="7353" spans="1:1" ht="18.75" x14ac:dyDescent="0.25">
      <c r="A7353" s="6"/>
    </row>
    <row r="7354" spans="1:1" ht="18.75" x14ac:dyDescent="0.25">
      <c r="A7354" s="6"/>
    </row>
    <row r="7355" spans="1:1" ht="18.75" x14ac:dyDescent="0.25">
      <c r="A7355" s="6"/>
    </row>
    <row r="7356" spans="1:1" ht="18.75" x14ac:dyDescent="0.25">
      <c r="A7356" s="6"/>
    </row>
    <row r="7357" spans="1:1" ht="18.75" x14ac:dyDescent="0.25">
      <c r="A7357" s="6"/>
    </row>
    <row r="7358" spans="1:1" ht="18.75" x14ac:dyDescent="0.25">
      <c r="A7358" s="6"/>
    </row>
    <row r="7359" spans="1:1" ht="18.75" x14ac:dyDescent="0.25">
      <c r="A7359" s="6"/>
    </row>
    <row r="7360" spans="1:1" ht="18.75" x14ac:dyDescent="0.25">
      <c r="A7360" s="6"/>
    </row>
    <row r="7361" spans="1:1" ht="18.75" x14ac:dyDescent="0.25">
      <c r="A7361" s="6"/>
    </row>
    <row r="7362" spans="1:1" ht="18.75" x14ac:dyDescent="0.25">
      <c r="A7362" s="6"/>
    </row>
    <row r="7363" spans="1:1" ht="18.75" x14ac:dyDescent="0.25">
      <c r="A7363" s="6"/>
    </row>
    <row r="7364" spans="1:1" ht="18.75" x14ac:dyDescent="0.25">
      <c r="A7364" s="6"/>
    </row>
    <row r="7365" spans="1:1" ht="18.75" x14ac:dyDescent="0.25">
      <c r="A7365" s="6"/>
    </row>
    <row r="7366" spans="1:1" ht="18.75" x14ac:dyDescent="0.25">
      <c r="A7366" s="6"/>
    </row>
    <row r="7367" spans="1:1" ht="18.75" x14ac:dyDescent="0.25">
      <c r="A7367" s="6"/>
    </row>
    <row r="7368" spans="1:1" ht="18.75" x14ac:dyDescent="0.25">
      <c r="A7368" s="6"/>
    </row>
    <row r="7369" spans="1:1" ht="18.75" x14ac:dyDescent="0.25">
      <c r="A7369" s="6"/>
    </row>
    <row r="7370" spans="1:1" ht="18.75" x14ac:dyDescent="0.25">
      <c r="A7370" s="6"/>
    </row>
    <row r="7371" spans="1:1" ht="18.75" x14ac:dyDescent="0.25">
      <c r="A7371" s="6"/>
    </row>
    <row r="7372" spans="1:1" ht="18.75" x14ac:dyDescent="0.25">
      <c r="A7372" s="6"/>
    </row>
    <row r="7373" spans="1:1" ht="18.75" x14ac:dyDescent="0.25">
      <c r="A7373" s="6"/>
    </row>
    <row r="7374" spans="1:1" ht="18.75" x14ac:dyDescent="0.25">
      <c r="A7374" s="6"/>
    </row>
    <row r="7375" spans="1:1" ht="18.75" x14ac:dyDescent="0.25">
      <c r="A7375" s="6"/>
    </row>
    <row r="7376" spans="1:1" ht="18.75" x14ac:dyDescent="0.25">
      <c r="A7376" s="6"/>
    </row>
    <row r="7377" spans="1:1" ht="18.75" x14ac:dyDescent="0.25">
      <c r="A7377" s="6"/>
    </row>
    <row r="7378" spans="1:1" ht="18.75" x14ac:dyDescent="0.25">
      <c r="A7378" s="6"/>
    </row>
    <row r="7379" spans="1:1" ht="18.75" x14ac:dyDescent="0.25">
      <c r="A7379" s="6"/>
    </row>
    <row r="7380" spans="1:1" ht="18.75" x14ac:dyDescent="0.25">
      <c r="A7380" s="6"/>
    </row>
    <row r="7381" spans="1:1" ht="18.75" x14ac:dyDescent="0.25">
      <c r="A7381" s="6"/>
    </row>
    <row r="7382" spans="1:1" ht="18.75" x14ac:dyDescent="0.25">
      <c r="A7382" s="6"/>
    </row>
    <row r="7383" spans="1:1" ht="18.75" x14ac:dyDescent="0.25">
      <c r="A7383" s="6"/>
    </row>
    <row r="7384" spans="1:1" ht="18.75" x14ac:dyDescent="0.25">
      <c r="A7384" s="6"/>
    </row>
    <row r="7385" spans="1:1" ht="18.75" x14ac:dyDescent="0.25">
      <c r="A7385" s="6"/>
    </row>
    <row r="7386" spans="1:1" ht="18.75" x14ac:dyDescent="0.25">
      <c r="A7386" s="6"/>
    </row>
    <row r="7387" spans="1:1" ht="18.75" x14ac:dyDescent="0.25">
      <c r="A7387" s="6"/>
    </row>
    <row r="7388" spans="1:1" ht="18.75" x14ac:dyDescent="0.25">
      <c r="A7388" s="6"/>
    </row>
    <row r="7389" spans="1:1" ht="18.75" x14ac:dyDescent="0.25">
      <c r="A7389" s="6"/>
    </row>
    <row r="7390" spans="1:1" ht="18.75" x14ac:dyDescent="0.25">
      <c r="A7390" s="6"/>
    </row>
    <row r="7391" spans="1:1" ht="18.75" x14ac:dyDescent="0.25">
      <c r="A7391" s="6"/>
    </row>
    <row r="7392" spans="1:1" ht="18.75" x14ac:dyDescent="0.25">
      <c r="A7392" s="6"/>
    </row>
    <row r="7393" spans="1:1" ht="18.75" x14ac:dyDescent="0.25">
      <c r="A7393" s="6"/>
    </row>
    <row r="7394" spans="1:1" ht="18.75" x14ac:dyDescent="0.25">
      <c r="A7394" s="6"/>
    </row>
    <row r="7395" spans="1:1" ht="18.75" x14ac:dyDescent="0.25">
      <c r="A7395" s="6"/>
    </row>
    <row r="7396" spans="1:1" ht="18.75" x14ac:dyDescent="0.25">
      <c r="A7396" s="6"/>
    </row>
    <row r="7397" spans="1:1" ht="18.75" x14ac:dyDescent="0.25">
      <c r="A7397" s="6"/>
    </row>
    <row r="7398" spans="1:1" ht="18.75" x14ac:dyDescent="0.25">
      <c r="A7398" s="6"/>
    </row>
    <row r="7399" spans="1:1" ht="18.75" x14ac:dyDescent="0.25">
      <c r="A7399" s="6"/>
    </row>
    <row r="7400" spans="1:1" ht="18.75" x14ac:dyDescent="0.25">
      <c r="A7400" s="6"/>
    </row>
    <row r="7401" spans="1:1" ht="18.75" x14ac:dyDescent="0.25">
      <c r="A7401" s="6"/>
    </row>
    <row r="7402" spans="1:1" ht="18.75" x14ac:dyDescent="0.25">
      <c r="A7402" s="6"/>
    </row>
    <row r="7403" spans="1:1" ht="18.75" x14ac:dyDescent="0.25">
      <c r="A7403" s="6"/>
    </row>
    <row r="7404" spans="1:1" ht="18.75" x14ac:dyDescent="0.25">
      <c r="A7404" s="6"/>
    </row>
    <row r="7405" spans="1:1" ht="18.75" x14ac:dyDescent="0.25">
      <c r="A7405" s="6"/>
    </row>
    <row r="7406" spans="1:1" ht="18.75" x14ac:dyDescent="0.25">
      <c r="A7406" s="6"/>
    </row>
    <row r="7407" spans="1:1" ht="18.75" x14ac:dyDescent="0.25">
      <c r="A7407" s="6"/>
    </row>
    <row r="7408" spans="1:1" ht="18.75" x14ac:dyDescent="0.25">
      <c r="A7408" s="6"/>
    </row>
    <row r="7409" spans="1:1" ht="18.75" x14ac:dyDescent="0.25">
      <c r="A7409" s="6"/>
    </row>
    <row r="7410" spans="1:1" ht="18.75" x14ac:dyDescent="0.25">
      <c r="A7410" s="6"/>
    </row>
    <row r="7411" spans="1:1" ht="18.75" x14ac:dyDescent="0.25">
      <c r="A7411" s="6"/>
    </row>
    <row r="7412" spans="1:1" ht="18.75" x14ac:dyDescent="0.25">
      <c r="A7412" s="6"/>
    </row>
    <row r="7413" spans="1:1" ht="18.75" x14ac:dyDescent="0.25">
      <c r="A7413" s="6"/>
    </row>
    <row r="7414" spans="1:1" ht="18.75" x14ac:dyDescent="0.25">
      <c r="A7414" s="6"/>
    </row>
    <row r="7415" spans="1:1" ht="18.75" x14ac:dyDescent="0.25">
      <c r="A7415" s="6"/>
    </row>
    <row r="7416" spans="1:1" ht="18.75" x14ac:dyDescent="0.25">
      <c r="A7416" s="6"/>
    </row>
    <row r="7417" spans="1:1" ht="18.75" x14ac:dyDescent="0.25">
      <c r="A7417" s="6"/>
    </row>
    <row r="7418" spans="1:1" ht="18.75" x14ac:dyDescent="0.25">
      <c r="A7418" s="6"/>
    </row>
    <row r="7419" spans="1:1" ht="18.75" x14ac:dyDescent="0.25">
      <c r="A7419" s="6"/>
    </row>
    <row r="7420" spans="1:1" ht="18.75" x14ac:dyDescent="0.25">
      <c r="A7420" s="6"/>
    </row>
    <row r="7421" spans="1:1" ht="18.75" x14ac:dyDescent="0.25">
      <c r="A7421" s="6"/>
    </row>
    <row r="7422" spans="1:1" ht="18.75" x14ac:dyDescent="0.25">
      <c r="A7422" s="6"/>
    </row>
    <row r="7423" spans="1:1" ht="18.75" x14ac:dyDescent="0.25">
      <c r="A7423" s="6"/>
    </row>
    <row r="7424" spans="1:1" ht="18.75" x14ac:dyDescent="0.25">
      <c r="A7424" s="6"/>
    </row>
    <row r="7425" spans="1:1" ht="18.75" x14ac:dyDescent="0.25">
      <c r="A7425" s="6"/>
    </row>
    <row r="7426" spans="1:1" ht="18.75" x14ac:dyDescent="0.25">
      <c r="A7426" s="6"/>
    </row>
    <row r="7427" spans="1:1" ht="18.75" x14ac:dyDescent="0.25">
      <c r="A7427" s="6"/>
    </row>
    <row r="7428" spans="1:1" ht="18.75" x14ac:dyDescent="0.25">
      <c r="A7428" s="6"/>
    </row>
    <row r="7429" spans="1:1" ht="18.75" x14ac:dyDescent="0.25">
      <c r="A7429" s="6"/>
    </row>
    <row r="7430" spans="1:1" ht="18.75" x14ac:dyDescent="0.25">
      <c r="A7430" s="6"/>
    </row>
    <row r="7431" spans="1:1" ht="18.75" x14ac:dyDescent="0.25">
      <c r="A7431" s="6"/>
    </row>
    <row r="7432" spans="1:1" ht="18.75" x14ac:dyDescent="0.25">
      <c r="A7432" s="6"/>
    </row>
    <row r="7433" spans="1:1" ht="18.75" x14ac:dyDescent="0.25">
      <c r="A7433" s="6"/>
    </row>
    <row r="7434" spans="1:1" ht="18.75" x14ac:dyDescent="0.25">
      <c r="A7434" s="6"/>
    </row>
    <row r="7435" spans="1:1" ht="18.75" x14ac:dyDescent="0.25">
      <c r="A7435" s="6"/>
    </row>
    <row r="7436" spans="1:1" ht="18.75" x14ac:dyDescent="0.25">
      <c r="A7436" s="6"/>
    </row>
    <row r="7437" spans="1:1" ht="18.75" x14ac:dyDescent="0.25">
      <c r="A7437" s="6"/>
    </row>
    <row r="7438" spans="1:1" ht="18.75" x14ac:dyDescent="0.25">
      <c r="A7438" s="6"/>
    </row>
    <row r="7439" spans="1:1" ht="18.75" x14ac:dyDescent="0.25">
      <c r="A7439" s="6"/>
    </row>
    <row r="7440" spans="1:1" ht="18.75" x14ac:dyDescent="0.25">
      <c r="A7440" s="6"/>
    </row>
    <row r="7441" spans="1:1" ht="18.75" x14ac:dyDescent="0.25">
      <c r="A7441" s="6"/>
    </row>
    <row r="7442" spans="1:1" ht="18.75" x14ac:dyDescent="0.25">
      <c r="A7442" s="6"/>
    </row>
    <row r="7443" spans="1:1" ht="18.75" x14ac:dyDescent="0.25">
      <c r="A7443" s="6"/>
    </row>
    <row r="7444" spans="1:1" ht="18.75" x14ac:dyDescent="0.25">
      <c r="A7444" s="6"/>
    </row>
    <row r="7445" spans="1:1" ht="18.75" x14ac:dyDescent="0.25">
      <c r="A7445" s="6"/>
    </row>
    <row r="7446" spans="1:1" ht="18.75" x14ac:dyDescent="0.25">
      <c r="A7446" s="6"/>
    </row>
    <row r="7447" spans="1:1" ht="18.75" x14ac:dyDescent="0.25">
      <c r="A7447" s="6"/>
    </row>
    <row r="7448" spans="1:1" ht="18.75" x14ac:dyDescent="0.25">
      <c r="A7448" s="6"/>
    </row>
    <row r="7449" spans="1:1" ht="18.75" x14ac:dyDescent="0.25">
      <c r="A7449" s="6"/>
    </row>
    <row r="7450" spans="1:1" ht="18.75" x14ac:dyDescent="0.25">
      <c r="A7450" s="6"/>
    </row>
    <row r="7451" spans="1:1" ht="18.75" x14ac:dyDescent="0.25">
      <c r="A7451" s="6"/>
    </row>
    <row r="7452" spans="1:1" ht="18.75" x14ac:dyDescent="0.25">
      <c r="A7452" s="6"/>
    </row>
    <row r="7453" spans="1:1" ht="18.75" x14ac:dyDescent="0.25">
      <c r="A7453" s="6"/>
    </row>
    <row r="7454" spans="1:1" ht="18.75" x14ac:dyDescent="0.25">
      <c r="A7454" s="6"/>
    </row>
    <row r="7455" spans="1:1" ht="18.75" x14ac:dyDescent="0.25">
      <c r="A7455" s="6"/>
    </row>
    <row r="7456" spans="1:1" ht="18.75" x14ac:dyDescent="0.25">
      <c r="A7456" s="6"/>
    </row>
    <row r="7457" spans="1:1" ht="18.75" x14ac:dyDescent="0.25">
      <c r="A7457" s="6"/>
    </row>
    <row r="7458" spans="1:1" ht="18.75" x14ac:dyDescent="0.25">
      <c r="A7458" s="6"/>
    </row>
    <row r="7459" spans="1:1" ht="18.75" x14ac:dyDescent="0.25">
      <c r="A7459" s="6"/>
    </row>
    <row r="7460" spans="1:1" ht="18.75" x14ac:dyDescent="0.25">
      <c r="A7460" s="6"/>
    </row>
    <row r="7461" spans="1:1" ht="18.75" x14ac:dyDescent="0.25">
      <c r="A7461" s="6"/>
    </row>
    <row r="7462" spans="1:1" ht="18.75" x14ac:dyDescent="0.25">
      <c r="A7462" s="6"/>
    </row>
    <row r="7463" spans="1:1" ht="18.75" x14ac:dyDescent="0.25">
      <c r="A7463" s="6"/>
    </row>
    <row r="7464" spans="1:1" ht="18.75" x14ac:dyDescent="0.25">
      <c r="A7464" s="6"/>
    </row>
    <row r="7465" spans="1:1" ht="18.75" x14ac:dyDescent="0.25">
      <c r="A7465" s="6"/>
    </row>
    <row r="7466" spans="1:1" ht="18.75" x14ac:dyDescent="0.25">
      <c r="A7466" s="6"/>
    </row>
    <row r="7467" spans="1:1" ht="18.75" x14ac:dyDescent="0.25">
      <c r="A7467" s="6"/>
    </row>
    <row r="7468" spans="1:1" ht="18.75" x14ac:dyDescent="0.25">
      <c r="A7468" s="6"/>
    </row>
    <row r="7469" spans="1:1" ht="18.75" x14ac:dyDescent="0.25">
      <c r="A7469" s="6"/>
    </row>
    <row r="7470" spans="1:1" ht="18.75" x14ac:dyDescent="0.25">
      <c r="A7470" s="6"/>
    </row>
    <row r="7471" spans="1:1" ht="18.75" x14ac:dyDescent="0.25">
      <c r="A7471" s="6"/>
    </row>
    <row r="7472" spans="1:1" ht="18.75" x14ac:dyDescent="0.25">
      <c r="A7472" s="6"/>
    </row>
    <row r="7473" spans="1:1" ht="18.75" x14ac:dyDescent="0.25">
      <c r="A7473" s="6"/>
    </row>
    <row r="7474" spans="1:1" ht="18.75" x14ac:dyDescent="0.25">
      <c r="A7474" s="6"/>
    </row>
    <row r="7475" spans="1:1" ht="18.75" x14ac:dyDescent="0.25">
      <c r="A7475" s="6"/>
    </row>
    <row r="7476" spans="1:1" ht="18.75" x14ac:dyDescent="0.25">
      <c r="A7476" s="6"/>
    </row>
    <row r="7477" spans="1:1" ht="18.75" x14ac:dyDescent="0.25">
      <c r="A7477" s="6"/>
    </row>
    <row r="7478" spans="1:1" ht="18.75" x14ac:dyDescent="0.25">
      <c r="A7478" s="6"/>
    </row>
    <row r="7479" spans="1:1" ht="18.75" x14ac:dyDescent="0.25">
      <c r="A7479" s="6"/>
    </row>
    <row r="7480" spans="1:1" ht="18.75" x14ac:dyDescent="0.25">
      <c r="A7480" s="6"/>
    </row>
    <row r="7481" spans="1:1" ht="18.75" x14ac:dyDescent="0.25">
      <c r="A7481" s="6"/>
    </row>
    <row r="7482" spans="1:1" ht="18.75" x14ac:dyDescent="0.25">
      <c r="A7482" s="6"/>
    </row>
    <row r="7483" spans="1:1" ht="18.75" x14ac:dyDescent="0.25">
      <c r="A7483" s="6"/>
    </row>
    <row r="7484" spans="1:1" ht="18.75" x14ac:dyDescent="0.25">
      <c r="A7484" s="6"/>
    </row>
    <row r="7485" spans="1:1" ht="18.75" x14ac:dyDescent="0.25">
      <c r="A7485" s="6"/>
    </row>
    <row r="7486" spans="1:1" ht="18.75" x14ac:dyDescent="0.25">
      <c r="A7486" s="6"/>
    </row>
    <row r="7487" spans="1:1" ht="18.75" x14ac:dyDescent="0.25">
      <c r="A7487" s="6"/>
    </row>
    <row r="7488" spans="1:1" ht="18.75" x14ac:dyDescent="0.25">
      <c r="A7488" s="6"/>
    </row>
    <row r="7489" spans="1:1" ht="18.75" x14ac:dyDescent="0.25">
      <c r="A7489" s="6"/>
    </row>
    <row r="7490" spans="1:1" ht="18.75" x14ac:dyDescent="0.25">
      <c r="A7490" s="6"/>
    </row>
    <row r="7491" spans="1:1" ht="18.75" x14ac:dyDescent="0.25">
      <c r="A7491" s="6"/>
    </row>
    <row r="7492" spans="1:1" ht="18.75" x14ac:dyDescent="0.25">
      <c r="A7492" s="6"/>
    </row>
    <row r="7493" spans="1:1" ht="18.75" x14ac:dyDescent="0.25">
      <c r="A7493" s="6"/>
    </row>
    <row r="7494" spans="1:1" ht="18.75" x14ac:dyDescent="0.25">
      <c r="A7494" s="6"/>
    </row>
    <row r="7495" spans="1:1" ht="18.75" x14ac:dyDescent="0.25">
      <c r="A7495" s="6"/>
    </row>
    <row r="7496" spans="1:1" ht="18.75" x14ac:dyDescent="0.25">
      <c r="A7496" s="6"/>
    </row>
    <row r="7497" spans="1:1" ht="18.75" x14ac:dyDescent="0.25">
      <c r="A7497" s="6"/>
    </row>
    <row r="7498" spans="1:1" ht="18.75" x14ac:dyDescent="0.25">
      <c r="A7498" s="6"/>
    </row>
    <row r="7499" spans="1:1" ht="18.75" x14ac:dyDescent="0.25">
      <c r="A7499" s="6"/>
    </row>
    <row r="7500" spans="1:1" ht="18.75" x14ac:dyDescent="0.25">
      <c r="A7500" s="6"/>
    </row>
    <row r="7501" spans="1:1" ht="18.75" x14ac:dyDescent="0.25">
      <c r="A7501" s="6"/>
    </row>
    <row r="7502" spans="1:1" ht="18.75" x14ac:dyDescent="0.25">
      <c r="A7502" s="6"/>
    </row>
    <row r="7503" spans="1:1" ht="18.75" x14ac:dyDescent="0.25">
      <c r="A7503" s="6"/>
    </row>
    <row r="7504" spans="1:1" ht="18.75" x14ac:dyDescent="0.25">
      <c r="A7504" s="6"/>
    </row>
    <row r="7505" spans="1:1" ht="18.75" x14ac:dyDescent="0.25">
      <c r="A7505" s="6"/>
    </row>
    <row r="7506" spans="1:1" ht="18.75" x14ac:dyDescent="0.25">
      <c r="A7506" s="6"/>
    </row>
    <row r="7507" spans="1:1" ht="18.75" x14ac:dyDescent="0.25">
      <c r="A7507" s="6"/>
    </row>
    <row r="7508" spans="1:1" ht="18.75" x14ac:dyDescent="0.25">
      <c r="A7508" s="6"/>
    </row>
    <row r="7509" spans="1:1" ht="18.75" x14ac:dyDescent="0.25">
      <c r="A7509" s="6"/>
    </row>
    <row r="7510" spans="1:1" ht="18.75" x14ac:dyDescent="0.25">
      <c r="A7510" s="6"/>
    </row>
    <row r="7511" spans="1:1" ht="18.75" x14ac:dyDescent="0.25">
      <c r="A7511" s="6"/>
    </row>
    <row r="7512" spans="1:1" ht="18.75" x14ac:dyDescent="0.25">
      <c r="A7512" s="6"/>
    </row>
    <row r="7513" spans="1:1" ht="18.75" x14ac:dyDescent="0.25">
      <c r="A7513" s="6"/>
    </row>
    <row r="7514" spans="1:1" ht="18.75" x14ac:dyDescent="0.25">
      <c r="A7514" s="6"/>
    </row>
    <row r="7515" spans="1:1" ht="18.75" x14ac:dyDescent="0.25">
      <c r="A7515" s="6"/>
    </row>
    <row r="7516" spans="1:1" ht="18.75" x14ac:dyDescent="0.25">
      <c r="A7516" s="6"/>
    </row>
    <row r="7517" spans="1:1" ht="18.75" x14ac:dyDescent="0.25">
      <c r="A7517" s="6"/>
    </row>
    <row r="7518" spans="1:1" ht="18.75" x14ac:dyDescent="0.25">
      <c r="A7518" s="6"/>
    </row>
    <row r="7519" spans="1:1" ht="18.75" x14ac:dyDescent="0.25">
      <c r="A7519" s="6"/>
    </row>
    <row r="7520" spans="1:1" ht="18.75" x14ac:dyDescent="0.25">
      <c r="A7520" s="6"/>
    </row>
    <row r="7521" spans="1:1" ht="18.75" x14ac:dyDescent="0.25">
      <c r="A7521" s="6"/>
    </row>
    <row r="7522" spans="1:1" ht="18.75" x14ac:dyDescent="0.25">
      <c r="A7522" s="6"/>
    </row>
    <row r="7523" spans="1:1" ht="18.75" x14ac:dyDescent="0.25">
      <c r="A7523" s="6"/>
    </row>
    <row r="7524" spans="1:1" ht="18.75" x14ac:dyDescent="0.25">
      <c r="A7524" s="6"/>
    </row>
    <row r="7525" spans="1:1" ht="18.75" x14ac:dyDescent="0.25">
      <c r="A7525" s="6"/>
    </row>
    <row r="7526" spans="1:1" ht="18.75" x14ac:dyDescent="0.25">
      <c r="A7526" s="6"/>
    </row>
    <row r="7527" spans="1:1" ht="18.75" x14ac:dyDescent="0.25">
      <c r="A7527" s="6"/>
    </row>
    <row r="7528" spans="1:1" ht="18.75" x14ac:dyDescent="0.25">
      <c r="A7528" s="6"/>
    </row>
    <row r="7529" spans="1:1" ht="18.75" x14ac:dyDescent="0.25">
      <c r="A7529" s="6"/>
    </row>
    <row r="7530" spans="1:1" ht="18.75" x14ac:dyDescent="0.25">
      <c r="A7530" s="6"/>
    </row>
    <row r="7531" spans="1:1" ht="18.75" x14ac:dyDescent="0.25">
      <c r="A7531" s="6"/>
    </row>
    <row r="7532" spans="1:1" ht="18.75" x14ac:dyDescent="0.25">
      <c r="A7532" s="6"/>
    </row>
    <row r="7533" spans="1:1" ht="18.75" x14ac:dyDescent="0.25">
      <c r="A7533" s="6"/>
    </row>
    <row r="7534" spans="1:1" ht="18.75" x14ac:dyDescent="0.25">
      <c r="A7534" s="6"/>
    </row>
    <row r="7535" spans="1:1" ht="18.75" x14ac:dyDescent="0.25">
      <c r="A7535" s="6"/>
    </row>
    <row r="7536" spans="1:1" ht="18.75" x14ac:dyDescent="0.25">
      <c r="A7536" s="6"/>
    </row>
    <row r="7537" spans="1:1" ht="18.75" x14ac:dyDescent="0.25">
      <c r="A7537" s="6"/>
    </row>
    <row r="7538" spans="1:1" ht="18.75" x14ac:dyDescent="0.25">
      <c r="A7538" s="6"/>
    </row>
    <row r="7539" spans="1:1" ht="18.75" x14ac:dyDescent="0.25">
      <c r="A7539" s="6"/>
    </row>
    <row r="7540" spans="1:1" ht="18.75" x14ac:dyDescent="0.25">
      <c r="A7540" s="6"/>
    </row>
    <row r="7541" spans="1:1" ht="18.75" x14ac:dyDescent="0.25">
      <c r="A7541" s="6"/>
    </row>
    <row r="7542" spans="1:1" ht="18.75" x14ac:dyDescent="0.25">
      <c r="A7542" s="6"/>
    </row>
    <row r="7543" spans="1:1" ht="18.75" x14ac:dyDescent="0.25">
      <c r="A7543" s="6"/>
    </row>
    <row r="7544" spans="1:1" ht="18.75" x14ac:dyDescent="0.25">
      <c r="A7544" s="6"/>
    </row>
    <row r="7545" spans="1:1" ht="18.75" x14ac:dyDescent="0.25">
      <c r="A7545" s="6"/>
    </row>
    <row r="7546" spans="1:1" ht="18.75" x14ac:dyDescent="0.25">
      <c r="A7546" s="6"/>
    </row>
    <row r="7547" spans="1:1" ht="18.75" x14ac:dyDescent="0.25">
      <c r="A7547" s="6"/>
    </row>
    <row r="7548" spans="1:1" ht="18.75" x14ac:dyDescent="0.25">
      <c r="A7548" s="6"/>
    </row>
    <row r="7549" spans="1:1" ht="18.75" x14ac:dyDescent="0.25">
      <c r="A7549" s="6"/>
    </row>
    <row r="7550" spans="1:1" ht="18.75" x14ac:dyDescent="0.25">
      <c r="A7550" s="6"/>
    </row>
    <row r="7551" spans="1:1" ht="18.75" x14ac:dyDescent="0.25">
      <c r="A7551" s="6"/>
    </row>
    <row r="7552" spans="1:1" ht="18.75" x14ac:dyDescent="0.25">
      <c r="A7552" s="6"/>
    </row>
    <row r="7553" spans="1:1" ht="18.75" x14ac:dyDescent="0.25">
      <c r="A7553" s="6"/>
    </row>
    <row r="7554" spans="1:1" ht="18.75" x14ac:dyDescent="0.25">
      <c r="A7554" s="6"/>
    </row>
    <row r="7555" spans="1:1" ht="18.75" x14ac:dyDescent="0.25">
      <c r="A7555" s="6"/>
    </row>
    <row r="7556" spans="1:1" ht="18.75" x14ac:dyDescent="0.25">
      <c r="A7556" s="6"/>
    </row>
    <row r="7557" spans="1:1" ht="18.75" x14ac:dyDescent="0.25">
      <c r="A7557" s="6"/>
    </row>
    <row r="7558" spans="1:1" ht="18.75" x14ac:dyDescent="0.25">
      <c r="A7558" s="6"/>
    </row>
    <row r="7559" spans="1:1" ht="18.75" x14ac:dyDescent="0.25">
      <c r="A7559" s="6"/>
    </row>
    <row r="7560" spans="1:1" ht="18.75" x14ac:dyDescent="0.25">
      <c r="A7560" s="6"/>
    </row>
    <row r="7561" spans="1:1" ht="18.75" x14ac:dyDescent="0.25">
      <c r="A7561" s="6"/>
    </row>
    <row r="7562" spans="1:1" ht="18.75" x14ac:dyDescent="0.25">
      <c r="A7562" s="6"/>
    </row>
    <row r="7563" spans="1:1" ht="18.75" x14ac:dyDescent="0.25">
      <c r="A7563" s="6"/>
    </row>
    <row r="7564" spans="1:1" ht="18.75" x14ac:dyDescent="0.25">
      <c r="A7564" s="6"/>
    </row>
    <row r="7565" spans="1:1" ht="18.75" x14ac:dyDescent="0.25">
      <c r="A7565" s="6"/>
    </row>
    <row r="7566" spans="1:1" ht="18.75" x14ac:dyDescent="0.25">
      <c r="A7566" s="6"/>
    </row>
    <row r="7567" spans="1:1" ht="18.75" x14ac:dyDescent="0.25">
      <c r="A7567" s="6"/>
    </row>
    <row r="7568" spans="1:1" ht="18.75" x14ac:dyDescent="0.25">
      <c r="A7568" s="6"/>
    </row>
    <row r="7569" spans="1:1" ht="18.75" x14ac:dyDescent="0.25">
      <c r="A7569" s="6"/>
    </row>
    <row r="7570" spans="1:1" ht="18.75" x14ac:dyDescent="0.25">
      <c r="A7570" s="6"/>
    </row>
    <row r="7571" spans="1:1" ht="18.75" x14ac:dyDescent="0.25">
      <c r="A7571" s="6"/>
    </row>
    <row r="7572" spans="1:1" ht="18.75" x14ac:dyDescent="0.25">
      <c r="A7572" s="6"/>
    </row>
    <row r="7573" spans="1:1" ht="18.75" x14ac:dyDescent="0.25">
      <c r="A7573" s="6"/>
    </row>
    <row r="7574" spans="1:1" ht="18.75" x14ac:dyDescent="0.25">
      <c r="A7574" s="6"/>
    </row>
    <row r="7575" spans="1:1" ht="18.75" x14ac:dyDescent="0.25">
      <c r="A7575" s="6"/>
    </row>
    <row r="7576" spans="1:1" ht="18.75" x14ac:dyDescent="0.25">
      <c r="A7576" s="6"/>
    </row>
    <row r="7577" spans="1:1" ht="18.75" x14ac:dyDescent="0.25">
      <c r="A7577" s="6"/>
    </row>
    <row r="7578" spans="1:1" ht="18.75" x14ac:dyDescent="0.25">
      <c r="A7578" s="6"/>
    </row>
    <row r="7579" spans="1:1" ht="18.75" x14ac:dyDescent="0.25">
      <c r="A7579" s="6"/>
    </row>
    <row r="7580" spans="1:1" ht="18.75" x14ac:dyDescent="0.25">
      <c r="A7580" s="6"/>
    </row>
    <row r="7581" spans="1:1" ht="18.75" x14ac:dyDescent="0.25">
      <c r="A7581" s="6"/>
    </row>
    <row r="7582" spans="1:1" ht="18.75" x14ac:dyDescent="0.25">
      <c r="A7582" s="6"/>
    </row>
    <row r="7583" spans="1:1" ht="18.75" x14ac:dyDescent="0.25">
      <c r="A7583" s="6"/>
    </row>
    <row r="7584" spans="1:1" ht="18.75" x14ac:dyDescent="0.25">
      <c r="A7584" s="6"/>
    </row>
    <row r="7585" spans="1:1" ht="18.75" x14ac:dyDescent="0.25">
      <c r="A7585" s="6"/>
    </row>
    <row r="7586" spans="1:1" ht="18.75" x14ac:dyDescent="0.25">
      <c r="A7586" s="6"/>
    </row>
    <row r="7587" spans="1:1" ht="18.75" x14ac:dyDescent="0.25">
      <c r="A7587" s="6"/>
    </row>
    <row r="7588" spans="1:1" ht="18.75" x14ac:dyDescent="0.25">
      <c r="A7588" s="6"/>
    </row>
    <row r="7589" spans="1:1" ht="18.75" x14ac:dyDescent="0.25">
      <c r="A7589" s="6"/>
    </row>
    <row r="7590" spans="1:1" ht="18.75" x14ac:dyDescent="0.25">
      <c r="A7590" s="6"/>
    </row>
    <row r="7591" spans="1:1" ht="18.75" x14ac:dyDescent="0.25">
      <c r="A7591" s="6"/>
    </row>
    <row r="7592" spans="1:1" ht="18.75" x14ac:dyDescent="0.25">
      <c r="A7592" s="6"/>
    </row>
    <row r="7593" spans="1:1" ht="18.75" x14ac:dyDescent="0.25">
      <c r="A7593" s="6"/>
    </row>
    <row r="7594" spans="1:1" ht="18.75" x14ac:dyDescent="0.25">
      <c r="A7594" s="6"/>
    </row>
    <row r="7595" spans="1:1" ht="18.75" x14ac:dyDescent="0.25">
      <c r="A7595" s="6"/>
    </row>
    <row r="7596" spans="1:1" ht="18.75" x14ac:dyDescent="0.25">
      <c r="A7596" s="6"/>
    </row>
    <row r="7597" spans="1:1" ht="18.75" x14ac:dyDescent="0.25">
      <c r="A7597" s="6"/>
    </row>
    <row r="7598" spans="1:1" ht="18.75" x14ac:dyDescent="0.25">
      <c r="A7598" s="6"/>
    </row>
    <row r="7599" spans="1:1" ht="18.75" x14ac:dyDescent="0.25">
      <c r="A7599" s="6"/>
    </row>
    <row r="7600" spans="1:1" ht="18.75" x14ac:dyDescent="0.25">
      <c r="A7600" s="6"/>
    </row>
    <row r="7601" spans="1:1" ht="18.75" x14ac:dyDescent="0.25">
      <c r="A7601" s="6"/>
    </row>
    <row r="7602" spans="1:1" ht="18.75" x14ac:dyDescent="0.25">
      <c r="A7602" s="6"/>
    </row>
    <row r="7603" spans="1:1" ht="18.75" x14ac:dyDescent="0.25">
      <c r="A7603" s="6"/>
    </row>
    <row r="7604" spans="1:1" ht="18.75" x14ac:dyDescent="0.25">
      <c r="A7604" s="6"/>
    </row>
    <row r="7605" spans="1:1" ht="18.75" x14ac:dyDescent="0.25">
      <c r="A7605" s="6"/>
    </row>
    <row r="7606" spans="1:1" ht="18.75" x14ac:dyDescent="0.25">
      <c r="A7606" s="6"/>
    </row>
    <row r="7607" spans="1:1" ht="18.75" x14ac:dyDescent="0.25">
      <c r="A7607" s="6"/>
    </row>
    <row r="7608" spans="1:1" ht="18.75" x14ac:dyDescent="0.25">
      <c r="A7608" s="6"/>
    </row>
    <row r="7609" spans="1:1" ht="18.75" x14ac:dyDescent="0.25">
      <c r="A7609" s="6"/>
    </row>
    <row r="7610" spans="1:1" ht="18.75" x14ac:dyDescent="0.25">
      <c r="A7610" s="6"/>
    </row>
    <row r="7611" spans="1:1" ht="18.75" x14ac:dyDescent="0.25">
      <c r="A7611" s="6"/>
    </row>
    <row r="7612" spans="1:1" ht="18.75" x14ac:dyDescent="0.25">
      <c r="A7612" s="6"/>
    </row>
    <row r="7613" spans="1:1" ht="18.75" x14ac:dyDescent="0.25">
      <c r="A7613" s="6"/>
    </row>
    <row r="7614" spans="1:1" ht="18.75" x14ac:dyDescent="0.25">
      <c r="A7614" s="6"/>
    </row>
    <row r="7615" spans="1:1" ht="18.75" x14ac:dyDescent="0.25">
      <c r="A7615" s="6"/>
    </row>
    <row r="7616" spans="1:1" ht="18.75" x14ac:dyDescent="0.25">
      <c r="A7616" s="6"/>
    </row>
    <row r="7617" spans="1:1" ht="18.75" x14ac:dyDescent="0.25">
      <c r="A7617" s="6"/>
    </row>
    <row r="7618" spans="1:1" ht="18.75" x14ac:dyDescent="0.25">
      <c r="A7618" s="6"/>
    </row>
    <row r="7619" spans="1:1" ht="18.75" x14ac:dyDescent="0.25">
      <c r="A7619" s="6"/>
    </row>
    <row r="7620" spans="1:1" ht="18.75" x14ac:dyDescent="0.25">
      <c r="A7620" s="6"/>
    </row>
    <row r="7621" spans="1:1" ht="18.75" x14ac:dyDescent="0.25">
      <c r="A7621" s="6"/>
    </row>
    <row r="7622" spans="1:1" ht="18.75" x14ac:dyDescent="0.25">
      <c r="A7622" s="6"/>
    </row>
    <row r="7623" spans="1:1" ht="18.75" x14ac:dyDescent="0.25">
      <c r="A7623" s="6"/>
    </row>
    <row r="7624" spans="1:1" ht="18.75" x14ac:dyDescent="0.25">
      <c r="A7624" s="6"/>
    </row>
    <row r="7625" spans="1:1" ht="18.75" x14ac:dyDescent="0.25">
      <c r="A7625" s="6"/>
    </row>
    <row r="7626" spans="1:1" ht="18.75" x14ac:dyDescent="0.25">
      <c r="A7626" s="6"/>
    </row>
    <row r="7627" spans="1:1" ht="18.75" x14ac:dyDescent="0.25">
      <c r="A7627" s="6"/>
    </row>
    <row r="7628" spans="1:1" ht="18.75" x14ac:dyDescent="0.25">
      <c r="A7628" s="6"/>
    </row>
    <row r="7629" spans="1:1" ht="18.75" x14ac:dyDescent="0.25">
      <c r="A7629" s="6"/>
    </row>
    <row r="7630" spans="1:1" ht="18.75" x14ac:dyDescent="0.25">
      <c r="A7630" s="6"/>
    </row>
    <row r="7631" spans="1:1" ht="18.75" x14ac:dyDescent="0.25">
      <c r="A7631" s="6"/>
    </row>
    <row r="7632" spans="1:1" ht="18.75" x14ac:dyDescent="0.25">
      <c r="A7632" s="6"/>
    </row>
    <row r="7633" spans="1:1" ht="18.75" x14ac:dyDescent="0.25">
      <c r="A7633" s="6"/>
    </row>
    <row r="7634" spans="1:1" ht="18.75" x14ac:dyDescent="0.25">
      <c r="A7634" s="6"/>
    </row>
    <row r="7635" spans="1:1" ht="18.75" x14ac:dyDescent="0.25">
      <c r="A7635" s="6"/>
    </row>
    <row r="7636" spans="1:1" ht="18.75" x14ac:dyDescent="0.25">
      <c r="A7636" s="6"/>
    </row>
    <row r="7637" spans="1:1" ht="18.75" x14ac:dyDescent="0.25">
      <c r="A7637" s="6"/>
    </row>
    <row r="7638" spans="1:1" ht="18.75" x14ac:dyDescent="0.25">
      <c r="A7638" s="6"/>
    </row>
    <row r="7639" spans="1:1" ht="18.75" x14ac:dyDescent="0.25">
      <c r="A7639" s="6"/>
    </row>
    <row r="7640" spans="1:1" ht="18.75" x14ac:dyDescent="0.25">
      <c r="A7640" s="6"/>
    </row>
    <row r="7641" spans="1:1" ht="18.75" x14ac:dyDescent="0.25">
      <c r="A7641" s="6"/>
    </row>
    <row r="7642" spans="1:1" ht="18.75" x14ac:dyDescent="0.25">
      <c r="A7642" s="6"/>
    </row>
    <row r="7643" spans="1:1" ht="18.75" x14ac:dyDescent="0.25">
      <c r="A7643" s="6"/>
    </row>
    <row r="7644" spans="1:1" ht="18.75" x14ac:dyDescent="0.25">
      <c r="A7644" s="6"/>
    </row>
    <row r="7645" spans="1:1" ht="18.75" x14ac:dyDescent="0.25">
      <c r="A7645" s="6"/>
    </row>
    <row r="7646" spans="1:1" ht="18.75" x14ac:dyDescent="0.25">
      <c r="A7646" s="6"/>
    </row>
    <row r="7647" spans="1:1" ht="18.75" x14ac:dyDescent="0.25">
      <c r="A7647" s="6"/>
    </row>
    <row r="7648" spans="1:1" ht="18.75" x14ac:dyDescent="0.25">
      <c r="A7648" s="6"/>
    </row>
    <row r="7649" spans="1:1" ht="18.75" x14ac:dyDescent="0.25">
      <c r="A7649" s="6"/>
    </row>
    <row r="7650" spans="1:1" ht="18.75" x14ac:dyDescent="0.25">
      <c r="A7650" s="6"/>
    </row>
    <row r="7651" spans="1:1" ht="18.75" x14ac:dyDescent="0.25">
      <c r="A7651" s="6"/>
    </row>
    <row r="7652" spans="1:1" ht="18.75" x14ac:dyDescent="0.25">
      <c r="A7652" s="6"/>
    </row>
    <row r="7653" spans="1:1" ht="18.75" x14ac:dyDescent="0.25">
      <c r="A7653" s="6"/>
    </row>
    <row r="7654" spans="1:1" ht="18.75" x14ac:dyDescent="0.25">
      <c r="A7654" s="6"/>
    </row>
    <row r="7655" spans="1:1" ht="18.75" x14ac:dyDescent="0.25">
      <c r="A7655" s="6"/>
    </row>
    <row r="7656" spans="1:1" ht="18.75" x14ac:dyDescent="0.25">
      <c r="A7656" s="6"/>
    </row>
    <row r="7657" spans="1:1" ht="18.75" x14ac:dyDescent="0.25">
      <c r="A7657" s="6"/>
    </row>
    <row r="7658" spans="1:1" ht="18.75" x14ac:dyDescent="0.25">
      <c r="A7658" s="6"/>
    </row>
    <row r="7659" spans="1:1" ht="18.75" x14ac:dyDescent="0.25">
      <c r="A7659" s="6"/>
    </row>
    <row r="7660" spans="1:1" ht="18.75" x14ac:dyDescent="0.25">
      <c r="A7660" s="6"/>
    </row>
    <row r="7661" spans="1:1" ht="18.75" x14ac:dyDescent="0.25">
      <c r="A7661" s="6"/>
    </row>
    <row r="7662" spans="1:1" ht="18.75" x14ac:dyDescent="0.25">
      <c r="A7662" s="6"/>
    </row>
    <row r="7663" spans="1:1" ht="18.75" x14ac:dyDescent="0.25">
      <c r="A7663" s="6"/>
    </row>
    <row r="7664" spans="1:1" ht="18.75" x14ac:dyDescent="0.25">
      <c r="A7664" s="6"/>
    </row>
    <row r="7665" spans="1:1" ht="18.75" x14ac:dyDescent="0.25">
      <c r="A7665" s="6"/>
    </row>
    <row r="7666" spans="1:1" ht="18.75" x14ac:dyDescent="0.25">
      <c r="A7666" s="6"/>
    </row>
    <row r="7667" spans="1:1" ht="18.75" x14ac:dyDescent="0.25">
      <c r="A7667" s="6"/>
    </row>
    <row r="7668" spans="1:1" ht="18.75" x14ac:dyDescent="0.25">
      <c r="A7668" s="6"/>
    </row>
    <row r="7669" spans="1:1" ht="18.75" x14ac:dyDescent="0.25">
      <c r="A7669" s="6"/>
    </row>
    <row r="7670" spans="1:1" ht="18.75" x14ac:dyDescent="0.25">
      <c r="A7670" s="6"/>
    </row>
    <row r="7671" spans="1:1" ht="18.75" x14ac:dyDescent="0.25">
      <c r="A7671" s="6"/>
    </row>
    <row r="7672" spans="1:1" ht="18.75" x14ac:dyDescent="0.25">
      <c r="A7672" s="6"/>
    </row>
    <row r="7673" spans="1:1" ht="18.75" x14ac:dyDescent="0.25">
      <c r="A7673" s="6"/>
    </row>
    <row r="7674" spans="1:1" ht="18.75" x14ac:dyDescent="0.25">
      <c r="A7674" s="6"/>
    </row>
    <row r="7675" spans="1:1" ht="18.75" x14ac:dyDescent="0.25">
      <c r="A7675" s="6"/>
    </row>
    <row r="7676" spans="1:1" ht="18.75" x14ac:dyDescent="0.25">
      <c r="A7676" s="6"/>
    </row>
    <row r="7677" spans="1:1" ht="18.75" x14ac:dyDescent="0.25">
      <c r="A7677" s="6"/>
    </row>
    <row r="7678" spans="1:1" ht="18.75" x14ac:dyDescent="0.25">
      <c r="A7678" s="6"/>
    </row>
    <row r="7679" spans="1:1" ht="18.75" x14ac:dyDescent="0.25">
      <c r="A7679" s="6"/>
    </row>
    <row r="7680" spans="1:1" ht="18.75" x14ac:dyDescent="0.25">
      <c r="A7680" s="6"/>
    </row>
    <row r="7681" spans="1:1" ht="18.75" x14ac:dyDescent="0.25">
      <c r="A7681" s="6"/>
    </row>
    <row r="7682" spans="1:1" ht="18.75" x14ac:dyDescent="0.25">
      <c r="A7682" s="6"/>
    </row>
    <row r="7683" spans="1:1" ht="18.75" x14ac:dyDescent="0.25">
      <c r="A7683" s="6"/>
    </row>
    <row r="7684" spans="1:1" ht="18.75" x14ac:dyDescent="0.25">
      <c r="A7684" s="6"/>
    </row>
    <row r="7685" spans="1:1" ht="18.75" x14ac:dyDescent="0.25">
      <c r="A7685" s="6"/>
    </row>
    <row r="7686" spans="1:1" ht="18.75" x14ac:dyDescent="0.25">
      <c r="A7686" s="6"/>
    </row>
    <row r="7687" spans="1:1" ht="18.75" x14ac:dyDescent="0.25">
      <c r="A7687" s="6"/>
    </row>
    <row r="7688" spans="1:1" ht="18.75" x14ac:dyDescent="0.25">
      <c r="A7688" s="6"/>
    </row>
    <row r="7689" spans="1:1" ht="18.75" x14ac:dyDescent="0.25">
      <c r="A7689" s="6"/>
    </row>
    <row r="7690" spans="1:1" ht="18.75" x14ac:dyDescent="0.25">
      <c r="A7690" s="6"/>
    </row>
    <row r="7691" spans="1:1" ht="18.75" x14ac:dyDescent="0.25">
      <c r="A7691" s="6"/>
    </row>
    <row r="7692" spans="1:1" ht="18.75" x14ac:dyDescent="0.25">
      <c r="A7692" s="6"/>
    </row>
    <row r="7693" spans="1:1" ht="18.75" x14ac:dyDescent="0.25">
      <c r="A7693" s="6"/>
    </row>
    <row r="7694" spans="1:1" ht="18.75" x14ac:dyDescent="0.25">
      <c r="A7694" s="6"/>
    </row>
    <row r="7695" spans="1:1" ht="18.75" x14ac:dyDescent="0.25">
      <c r="A7695" s="6"/>
    </row>
    <row r="7696" spans="1:1" ht="18.75" x14ac:dyDescent="0.25">
      <c r="A7696" s="6"/>
    </row>
    <row r="7697" spans="1:1" ht="18.75" x14ac:dyDescent="0.25">
      <c r="A7697" s="6"/>
    </row>
    <row r="7698" spans="1:1" ht="18.75" x14ac:dyDescent="0.25">
      <c r="A7698" s="6"/>
    </row>
    <row r="7699" spans="1:1" ht="18.75" x14ac:dyDescent="0.25">
      <c r="A7699" s="6"/>
    </row>
    <row r="7700" spans="1:1" ht="18.75" x14ac:dyDescent="0.25">
      <c r="A7700" s="6"/>
    </row>
    <row r="7701" spans="1:1" ht="18.75" x14ac:dyDescent="0.25">
      <c r="A7701" s="6"/>
    </row>
    <row r="7702" spans="1:1" ht="18.75" x14ac:dyDescent="0.25">
      <c r="A7702" s="6"/>
    </row>
    <row r="7703" spans="1:1" ht="18.75" x14ac:dyDescent="0.25">
      <c r="A7703" s="6"/>
    </row>
    <row r="7704" spans="1:1" ht="18.75" x14ac:dyDescent="0.25">
      <c r="A7704" s="6"/>
    </row>
    <row r="7705" spans="1:1" ht="18.75" x14ac:dyDescent="0.25">
      <c r="A7705" s="6"/>
    </row>
    <row r="7706" spans="1:1" ht="18.75" x14ac:dyDescent="0.25">
      <c r="A7706" s="6"/>
    </row>
    <row r="7707" spans="1:1" ht="18.75" x14ac:dyDescent="0.25">
      <c r="A7707" s="6"/>
    </row>
    <row r="7708" spans="1:1" ht="18.75" x14ac:dyDescent="0.25">
      <c r="A7708" s="6"/>
    </row>
    <row r="7709" spans="1:1" ht="18.75" x14ac:dyDescent="0.25">
      <c r="A7709" s="6"/>
    </row>
    <row r="7710" spans="1:1" ht="18.75" x14ac:dyDescent="0.25">
      <c r="A7710" s="6"/>
    </row>
    <row r="7711" spans="1:1" ht="18.75" x14ac:dyDescent="0.25">
      <c r="A7711" s="6"/>
    </row>
    <row r="7712" spans="1:1" ht="18.75" x14ac:dyDescent="0.25">
      <c r="A7712" s="6"/>
    </row>
    <row r="7713" spans="1:1" ht="18.75" x14ac:dyDescent="0.25">
      <c r="A7713" s="6"/>
    </row>
    <row r="7714" spans="1:1" ht="18.75" x14ac:dyDescent="0.25">
      <c r="A7714" s="6"/>
    </row>
    <row r="7715" spans="1:1" ht="18.75" x14ac:dyDescent="0.25">
      <c r="A7715" s="6"/>
    </row>
    <row r="7716" spans="1:1" ht="18.75" x14ac:dyDescent="0.25">
      <c r="A7716" s="6"/>
    </row>
    <row r="7717" spans="1:1" ht="18.75" x14ac:dyDescent="0.25">
      <c r="A7717" s="6"/>
    </row>
    <row r="7718" spans="1:1" ht="18.75" x14ac:dyDescent="0.25">
      <c r="A7718" s="6"/>
    </row>
    <row r="7719" spans="1:1" ht="18.75" x14ac:dyDescent="0.25">
      <c r="A7719" s="6"/>
    </row>
    <row r="7720" spans="1:1" ht="18.75" x14ac:dyDescent="0.25">
      <c r="A7720" s="6"/>
    </row>
    <row r="7721" spans="1:1" ht="18.75" x14ac:dyDescent="0.25">
      <c r="A7721" s="6"/>
    </row>
    <row r="7722" spans="1:1" ht="18.75" x14ac:dyDescent="0.25">
      <c r="A7722" s="6"/>
    </row>
    <row r="7723" spans="1:1" ht="18.75" x14ac:dyDescent="0.25">
      <c r="A7723" s="6"/>
    </row>
    <row r="7724" spans="1:1" ht="18.75" x14ac:dyDescent="0.25">
      <c r="A7724" s="6"/>
    </row>
    <row r="7725" spans="1:1" ht="18.75" x14ac:dyDescent="0.25">
      <c r="A7725" s="6"/>
    </row>
    <row r="7726" spans="1:1" ht="18.75" x14ac:dyDescent="0.25">
      <c r="A7726" s="6"/>
    </row>
    <row r="7727" spans="1:1" ht="18.75" x14ac:dyDescent="0.25">
      <c r="A7727" s="6"/>
    </row>
    <row r="7728" spans="1:1" ht="18.75" x14ac:dyDescent="0.25">
      <c r="A7728" s="6"/>
    </row>
    <row r="7729" spans="1:1" ht="18.75" x14ac:dyDescent="0.25">
      <c r="A7729" s="6"/>
    </row>
    <row r="7730" spans="1:1" ht="18.75" x14ac:dyDescent="0.25">
      <c r="A7730" s="6"/>
    </row>
    <row r="7731" spans="1:1" ht="18.75" x14ac:dyDescent="0.25">
      <c r="A7731" s="6"/>
    </row>
    <row r="7732" spans="1:1" ht="18.75" x14ac:dyDescent="0.25">
      <c r="A7732" s="6"/>
    </row>
    <row r="7733" spans="1:1" ht="18.75" x14ac:dyDescent="0.25">
      <c r="A7733" s="6"/>
    </row>
    <row r="7734" spans="1:1" ht="18.75" x14ac:dyDescent="0.25">
      <c r="A7734" s="6"/>
    </row>
    <row r="7735" spans="1:1" ht="18.75" x14ac:dyDescent="0.25">
      <c r="A7735" s="6"/>
    </row>
    <row r="7736" spans="1:1" ht="18.75" x14ac:dyDescent="0.25">
      <c r="A7736" s="6"/>
    </row>
    <row r="7737" spans="1:1" ht="18.75" x14ac:dyDescent="0.25">
      <c r="A7737" s="6"/>
    </row>
    <row r="7738" spans="1:1" ht="18.75" x14ac:dyDescent="0.25">
      <c r="A7738" s="6"/>
    </row>
    <row r="7739" spans="1:1" ht="18.75" x14ac:dyDescent="0.25">
      <c r="A7739" s="6"/>
    </row>
    <row r="7740" spans="1:1" ht="18.75" x14ac:dyDescent="0.25">
      <c r="A7740" s="6"/>
    </row>
    <row r="7741" spans="1:1" ht="18.75" x14ac:dyDescent="0.25">
      <c r="A7741" s="6"/>
    </row>
    <row r="7742" spans="1:1" ht="18.75" x14ac:dyDescent="0.25">
      <c r="A7742" s="6"/>
    </row>
    <row r="7743" spans="1:1" ht="18.75" x14ac:dyDescent="0.25">
      <c r="A7743" s="6"/>
    </row>
    <row r="7744" spans="1:1" ht="18.75" x14ac:dyDescent="0.25">
      <c r="A7744" s="6"/>
    </row>
    <row r="7745" spans="1:1" ht="18.75" x14ac:dyDescent="0.25">
      <c r="A7745" s="6"/>
    </row>
    <row r="7746" spans="1:1" ht="18.75" x14ac:dyDescent="0.25">
      <c r="A7746" s="6"/>
    </row>
    <row r="7747" spans="1:1" ht="18.75" x14ac:dyDescent="0.25">
      <c r="A7747" s="6"/>
    </row>
    <row r="7748" spans="1:1" ht="18.75" x14ac:dyDescent="0.25">
      <c r="A7748" s="6"/>
    </row>
    <row r="7749" spans="1:1" ht="18.75" x14ac:dyDescent="0.25">
      <c r="A7749" s="6"/>
    </row>
    <row r="7750" spans="1:1" ht="18.75" x14ac:dyDescent="0.25">
      <c r="A7750" s="6"/>
    </row>
    <row r="7751" spans="1:1" ht="18.75" x14ac:dyDescent="0.25">
      <c r="A7751" s="6"/>
    </row>
    <row r="7752" spans="1:1" ht="18.75" x14ac:dyDescent="0.25">
      <c r="A7752" s="6"/>
    </row>
    <row r="7753" spans="1:1" ht="18.75" x14ac:dyDescent="0.25">
      <c r="A7753" s="6"/>
    </row>
    <row r="7754" spans="1:1" ht="18.75" x14ac:dyDescent="0.25">
      <c r="A7754" s="6"/>
    </row>
    <row r="7755" spans="1:1" ht="18.75" x14ac:dyDescent="0.25">
      <c r="A7755" s="6"/>
    </row>
    <row r="7756" spans="1:1" ht="18.75" x14ac:dyDescent="0.25">
      <c r="A7756" s="6"/>
    </row>
    <row r="7757" spans="1:1" ht="18.75" x14ac:dyDescent="0.25">
      <c r="A7757" s="6"/>
    </row>
    <row r="7758" spans="1:1" ht="18.75" x14ac:dyDescent="0.25">
      <c r="A7758" s="6"/>
    </row>
    <row r="7759" spans="1:1" ht="18.75" x14ac:dyDescent="0.25">
      <c r="A7759" s="6"/>
    </row>
    <row r="7760" spans="1:1" ht="18.75" x14ac:dyDescent="0.25">
      <c r="A7760" s="6"/>
    </row>
    <row r="7761" spans="1:1" ht="18.75" x14ac:dyDescent="0.25">
      <c r="A7761" s="6"/>
    </row>
    <row r="7762" spans="1:1" ht="18.75" x14ac:dyDescent="0.25">
      <c r="A7762" s="6"/>
    </row>
    <row r="7763" spans="1:1" ht="18.75" x14ac:dyDescent="0.25">
      <c r="A7763" s="6"/>
    </row>
    <row r="7764" spans="1:1" ht="18.75" x14ac:dyDescent="0.25">
      <c r="A7764" s="6"/>
    </row>
    <row r="7765" spans="1:1" ht="18.75" x14ac:dyDescent="0.25">
      <c r="A7765" s="6"/>
    </row>
    <row r="7766" spans="1:1" ht="18.75" x14ac:dyDescent="0.25">
      <c r="A7766" s="6"/>
    </row>
    <row r="7767" spans="1:1" ht="18.75" x14ac:dyDescent="0.25">
      <c r="A7767" s="6"/>
    </row>
    <row r="7768" spans="1:1" ht="18.75" x14ac:dyDescent="0.25">
      <c r="A7768" s="6"/>
    </row>
    <row r="7769" spans="1:1" ht="18.75" x14ac:dyDescent="0.25">
      <c r="A7769" s="6"/>
    </row>
    <row r="7770" spans="1:1" ht="18.75" x14ac:dyDescent="0.25">
      <c r="A7770" s="6"/>
    </row>
    <row r="7771" spans="1:1" ht="18.75" x14ac:dyDescent="0.25">
      <c r="A7771" s="6"/>
    </row>
    <row r="7772" spans="1:1" ht="18.75" x14ac:dyDescent="0.25">
      <c r="A7772" s="6"/>
    </row>
    <row r="7773" spans="1:1" ht="18.75" x14ac:dyDescent="0.25">
      <c r="A7773" s="6"/>
    </row>
    <row r="7774" spans="1:1" ht="18.75" x14ac:dyDescent="0.25">
      <c r="A7774" s="6"/>
    </row>
    <row r="7775" spans="1:1" ht="18.75" x14ac:dyDescent="0.25">
      <c r="A7775" s="6"/>
    </row>
    <row r="7776" spans="1:1" ht="18.75" x14ac:dyDescent="0.25">
      <c r="A7776" s="6"/>
    </row>
    <row r="7777" spans="1:1" ht="18.75" x14ac:dyDescent="0.25">
      <c r="A7777" s="6"/>
    </row>
    <row r="7778" spans="1:1" ht="18.75" x14ac:dyDescent="0.25">
      <c r="A7778" s="6"/>
    </row>
    <row r="7779" spans="1:1" ht="18.75" x14ac:dyDescent="0.25">
      <c r="A7779" s="6"/>
    </row>
    <row r="7780" spans="1:1" ht="18.75" x14ac:dyDescent="0.25">
      <c r="A7780" s="6"/>
    </row>
    <row r="7781" spans="1:1" ht="18.75" x14ac:dyDescent="0.25">
      <c r="A7781" s="6"/>
    </row>
    <row r="7782" spans="1:1" ht="18.75" x14ac:dyDescent="0.25">
      <c r="A7782" s="6"/>
    </row>
    <row r="7783" spans="1:1" ht="18.75" x14ac:dyDescent="0.25">
      <c r="A7783" s="6"/>
    </row>
    <row r="7784" spans="1:1" ht="18.75" x14ac:dyDescent="0.25">
      <c r="A7784" s="6"/>
    </row>
    <row r="7785" spans="1:1" ht="18.75" x14ac:dyDescent="0.25">
      <c r="A7785" s="6"/>
    </row>
    <row r="7786" spans="1:1" ht="18.75" x14ac:dyDescent="0.25">
      <c r="A7786" s="6"/>
    </row>
    <row r="7787" spans="1:1" ht="18.75" x14ac:dyDescent="0.25">
      <c r="A7787" s="6"/>
    </row>
    <row r="7788" spans="1:1" ht="18.75" x14ac:dyDescent="0.25">
      <c r="A7788" s="6"/>
    </row>
    <row r="7789" spans="1:1" ht="18.75" x14ac:dyDescent="0.25">
      <c r="A7789" s="6"/>
    </row>
    <row r="7790" spans="1:1" ht="18.75" x14ac:dyDescent="0.25">
      <c r="A7790" s="6"/>
    </row>
    <row r="7791" spans="1:1" ht="18.75" x14ac:dyDescent="0.25">
      <c r="A7791" s="6"/>
    </row>
    <row r="7792" spans="1:1" ht="18.75" x14ac:dyDescent="0.25">
      <c r="A7792" s="6"/>
    </row>
    <row r="7793" spans="1:1" ht="18.75" x14ac:dyDescent="0.25">
      <c r="A7793" s="6"/>
    </row>
    <row r="7794" spans="1:1" ht="18.75" x14ac:dyDescent="0.25">
      <c r="A7794" s="6"/>
    </row>
    <row r="7795" spans="1:1" ht="18.75" x14ac:dyDescent="0.25">
      <c r="A7795" s="6"/>
    </row>
    <row r="7796" spans="1:1" ht="18.75" x14ac:dyDescent="0.25">
      <c r="A7796" s="6"/>
    </row>
    <row r="7797" spans="1:1" ht="18.75" x14ac:dyDescent="0.25">
      <c r="A7797" s="6"/>
    </row>
    <row r="7798" spans="1:1" ht="18.75" x14ac:dyDescent="0.25">
      <c r="A7798" s="6"/>
    </row>
    <row r="7799" spans="1:1" ht="18.75" x14ac:dyDescent="0.25">
      <c r="A7799" s="6"/>
    </row>
    <row r="7800" spans="1:1" ht="18.75" x14ac:dyDescent="0.25">
      <c r="A7800" s="6"/>
    </row>
    <row r="7801" spans="1:1" ht="18.75" x14ac:dyDescent="0.25">
      <c r="A7801" s="6"/>
    </row>
    <row r="7802" spans="1:1" ht="18.75" x14ac:dyDescent="0.25">
      <c r="A7802" s="6"/>
    </row>
    <row r="7803" spans="1:1" ht="18.75" x14ac:dyDescent="0.25">
      <c r="A7803" s="6"/>
    </row>
    <row r="7804" spans="1:1" ht="18.75" x14ac:dyDescent="0.25">
      <c r="A7804" s="6"/>
    </row>
    <row r="7805" spans="1:1" ht="18.75" x14ac:dyDescent="0.25">
      <c r="A7805" s="6"/>
    </row>
    <row r="7806" spans="1:1" ht="18.75" x14ac:dyDescent="0.25">
      <c r="A7806" s="6"/>
    </row>
    <row r="7807" spans="1:1" ht="18.75" x14ac:dyDescent="0.25">
      <c r="A7807" s="6"/>
    </row>
    <row r="7808" spans="1:1" ht="18.75" x14ac:dyDescent="0.25">
      <c r="A7808" s="6"/>
    </row>
    <row r="7809" spans="1:1" ht="18.75" x14ac:dyDescent="0.25">
      <c r="A7809" s="6"/>
    </row>
    <row r="7810" spans="1:1" ht="18.75" x14ac:dyDescent="0.25">
      <c r="A7810" s="6"/>
    </row>
    <row r="7811" spans="1:1" ht="18.75" x14ac:dyDescent="0.25">
      <c r="A7811" s="6"/>
    </row>
    <row r="7812" spans="1:1" ht="18.75" x14ac:dyDescent="0.25">
      <c r="A7812" s="6"/>
    </row>
    <row r="7813" spans="1:1" ht="18.75" x14ac:dyDescent="0.25">
      <c r="A7813" s="6"/>
    </row>
    <row r="7814" spans="1:1" ht="18.75" x14ac:dyDescent="0.25">
      <c r="A7814" s="6"/>
    </row>
    <row r="7815" spans="1:1" ht="18.75" x14ac:dyDescent="0.25">
      <c r="A7815" s="6"/>
    </row>
    <row r="7816" spans="1:1" ht="18.75" x14ac:dyDescent="0.25">
      <c r="A7816" s="6"/>
    </row>
    <row r="7817" spans="1:1" ht="18.75" x14ac:dyDescent="0.25">
      <c r="A7817" s="6"/>
    </row>
    <row r="7818" spans="1:1" ht="18.75" x14ac:dyDescent="0.25">
      <c r="A7818" s="6"/>
    </row>
    <row r="7819" spans="1:1" ht="18.75" x14ac:dyDescent="0.25">
      <c r="A7819" s="6"/>
    </row>
    <row r="7820" spans="1:1" ht="18.75" x14ac:dyDescent="0.25">
      <c r="A7820" s="6"/>
    </row>
    <row r="7821" spans="1:1" ht="18.75" x14ac:dyDescent="0.25">
      <c r="A7821" s="6"/>
    </row>
    <row r="7822" spans="1:1" ht="18.75" x14ac:dyDescent="0.25">
      <c r="A7822" s="6"/>
    </row>
    <row r="7823" spans="1:1" ht="18.75" x14ac:dyDescent="0.25">
      <c r="A7823" s="6"/>
    </row>
    <row r="7824" spans="1:1" ht="18.75" x14ac:dyDescent="0.25">
      <c r="A7824" s="6"/>
    </row>
    <row r="7825" spans="1:1" ht="18.75" x14ac:dyDescent="0.25">
      <c r="A7825" s="6"/>
    </row>
    <row r="7826" spans="1:1" ht="18.75" x14ac:dyDescent="0.25">
      <c r="A7826" s="6"/>
    </row>
    <row r="7827" spans="1:1" ht="18.75" x14ac:dyDescent="0.25">
      <c r="A7827" s="6"/>
    </row>
    <row r="7828" spans="1:1" ht="18.75" x14ac:dyDescent="0.25">
      <c r="A7828" s="6"/>
    </row>
    <row r="7829" spans="1:1" ht="18.75" x14ac:dyDescent="0.25">
      <c r="A7829" s="6"/>
    </row>
    <row r="7830" spans="1:1" ht="18.75" x14ac:dyDescent="0.25">
      <c r="A7830" s="6"/>
    </row>
    <row r="7831" spans="1:1" ht="18.75" x14ac:dyDescent="0.25">
      <c r="A7831" s="6"/>
    </row>
    <row r="7832" spans="1:1" ht="18.75" x14ac:dyDescent="0.25">
      <c r="A7832" s="6"/>
    </row>
    <row r="7833" spans="1:1" ht="18.75" x14ac:dyDescent="0.25">
      <c r="A7833" s="6"/>
    </row>
    <row r="7834" spans="1:1" ht="18.75" x14ac:dyDescent="0.25">
      <c r="A7834" s="6"/>
    </row>
    <row r="7835" spans="1:1" ht="18.75" x14ac:dyDescent="0.25">
      <c r="A7835" s="6"/>
    </row>
    <row r="7836" spans="1:1" ht="18.75" x14ac:dyDescent="0.25">
      <c r="A7836" s="6"/>
    </row>
    <row r="7837" spans="1:1" ht="18.75" x14ac:dyDescent="0.25">
      <c r="A7837" s="6"/>
    </row>
    <row r="7838" spans="1:1" ht="18.75" x14ac:dyDescent="0.25">
      <c r="A7838" s="6"/>
    </row>
    <row r="7839" spans="1:1" ht="18.75" x14ac:dyDescent="0.25">
      <c r="A7839" s="6"/>
    </row>
    <row r="7840" spans="1:1" ht="18.75" x14ac:dyDescent="0.25">
      <c r="A7840" s="6"/>
    </row>
    <row r="7841" spans="1:1" ht="18.75" x14ac:dyDescent="0.25">
      <c r="A7841" s="6"/>
    </row>
    <row r="7842" spans="1:1" ht="18.75" x14ac:dyDescent="0.25">
      <c r="A7842" s="6"/>
    </row>
    <row r="7843" spans="1:1" ht="18.75" x14ac:dyDescent="0.25">
      <c r="A7843" s="6"/>
    </row>
    <row r="7844" spans="1:1" ht="18.75" x14ac:dyDescent="0.25">
      <c r="A7844" s="6"/>
    </row>
    <row r="7845" spans="1:1" ht="18.75" x14ac:dyDescent="0.25">
      <c r="A7845" s="6"/>
    </row>
    <row r="7846" spans="1:1" ht="18.75" x14ac:dyDescent="0.25">
      <c r="A7846" s="6"/>
    </row>
    <row r="7847" spans="1:1" ht="18.75" x14ac:dyDescent="0.25">
      <c r="A7847" s="6"/>
    </row>
    <row r="7848" spans="1:1" ht="18.75" x14ac:dyDescent="0.25">
      <c r="A7848" s="6"/>
    </row>
    <row r="7849" spans="1:1" ht="18.75" x14ac:dyDescent="0.25">
      <c r="A7849" s="6"/>
    </row>
    <row r="7850" spans="1:1" ht="18.75" x14ac:dyDescent="0.25">
      <c r="A7850" s="6"/>
    </row>
    <row r="7851" spans="1:1" ht="18.75" x14ac:dyDescent="0.25">
      <c r="A7851" s="6"/>
    </row>
    <row r="7852" spans="1:1" ht="18.75" x14ac:dyDescent="0.25">
      <c r="A7852" s="6"/>
    </row>
    <row r="7853" spans="1:1" ht="18.75" x14ac:dyDescent="0.25">
      <c r="A7853" s="6"/>
    </row>
    <row r="7854" spans="1:1" ht="18.75" x14ac:dyDescent="0.25">
      <c r="A7854" s="6"/>
    </row>
    <row r="7855" spans="1:1" ht="18.75" x14ac:dyDescent="0.25">
      <c r="A7855" s="6"/>
    </row>
    <row r="7856" spans="1:1" ht="18.75" x14ac:dyDescent="0.25">
      <c r="A7856" s="6"/>
    </row>
    <row r="7857" spans="1:1" ht="18.75" x14ac:dyDescent="0.25">
      <c r="A7857" s="6"/>
    </row>
    <row r="7858" spans="1:1" ht="18.75" x14ac:dyDescent="0.25">
      <c r="A7858" s="6"/>
    </row>
    <row r="7859" spans="1:1" ht="18.75" x14ac:dyDescent="0.25">
      <c r="A7859" s="6"/>
    </row>
    <row r="7860" spans="1:1" ht="18.75" x14ac:dyDescent="0.25">
      <c r="A7860" s="6"/>
    </row>
    <row r="7861" spans="1:1" ht="18.75" x14ac:dyDescent="0.25">
      <c r="A7861" s="6"/>
    </row>
    <row r="7862" spans="1:1" ht="18.75" x14ac:dyDescent="0.25">
      <c r="A7862" s="6"/>
    </row>
    <row r="7863" spans="1:1" ht="18.75" x14ac:dyDescent="0.25">
      <c r="A7863" s="6"/>
    </row>
    <row r="7864" spans="1:1" ht="18.75" x14ac:dyDescent="0.25">
      <c r="A7864" s="6"/>
    </row>
    <row r="7865" spans="1:1" ht="18.75" x14ac:dyDescent="0.25">
      <c r="A7865" s="6"/>
    </row>
    <row r="7866" spans="1:1" ht="18.75" x14ac:dyDescent="0.25">
      <c r="A7866" s="6"/>
    </row>
    <row r="7867" spans="1:1" ht="18.75" x14ac:dyDescent="0.25">
      <c r="A7867" s="6"/>
    </row>
    <row r="7868" spans="1:1" ht="18.75" x14ac:dyDescent="0.25">
      <c r="A7868" s="6"/>
    </row>
    <row r="7869" spans="1:1" ht="18.75" x14ac:dyDescent="0.25">
      <c r="A7869" s="6"/>
    </row>
    <row r="7870" spans="1:1" ht="18.75" x14ac:dyDescent="0.25">
      <c r="A7870" s="6"/>
    </row>
    <row r="7871" spans="1:1" ht="18.75" x14ac:dyDescent="0.25">
      <c r="A7871" s="6"/>
    </row>
    <row r="7872" spans="1:1" ht="18.75" x14ac:dyDescent="0.25">
      <c r="A7872" s="6"/>
    </row>
    <row r="7873" spans="1:1" ht="18.75" x14ac:dyDescent="0.25">
      <c r="A7873" s="6"/>
    </row>
    <row r="7874" spans="1:1" ht="18.75" x14ac:dyDescent="0.25">
      <c r="A7874" s="6"/>
    </row>
    <row r="7875" spans="1:1" ht="18.75" x14ac:dyDescent="0.25">
      <c r="A7875" s="6"/>
    </row>
    <row r="7876" spans="1:1" ht="18.75" x14ac:dyDescent="0.25">
      <c r="A7876" s="6"/>
    </row>
    <row r="7877" spans="1:1" ht="18.75" x14ac:dyDescent="0.25">
      <c r="A7877" s="6"/>
    </row>
    <row r="7878" spans="1:1" ht="18.75" x14ac:dyDescent="0.25">
      <c r="A7878" s="6"/>
    </row>
    <row r="7879" spans="1:1" ht="18.75" x14ac:dyDescent="0.25">
      <c r="A7879" s="6"/>
    </row>
    <row r="7880" spans="1:1" ht="18.75" x14ac:dyDescent="0.25">
      <c r="A7880" s="6"/>
    </row>
    <row r="7881" spans="1:1" ht="18.75" x14ac:dyDescent="0.25">
      <c r="A7881" s="6"/>
    </row>
    <row r="7882" spans="1:1" ht="18.75" x14ac:dyDescent="0.25">
      <c r="A7882" s="6"/>
    </row>
    <row r="7883" spans="1:1" ht="18.75" x14ac:dyDescent="0.25">
      <c r="A7883" s="6"/>
    </row>
    <row r="7884" spans="1:1" ht="18.75" x14ac:dyDescent="0.25">
      <c r="A7884" s="6"/>
    </row>
    <row r="7885" spans="1:1" ht="18.75" x14ac:dyDescent="0.25">
      <c r="A7885" s="6"/>
    </row>
    <row r="7886" spans="1:1" ht="18.75" x14ac:dyDescent="0.25">
      <c r="A7886" s="6"/>
    </row>
    <row r="7887" spans="1:1" ht="18.75" x14ac:dyDescent="0.25">
      <c r="A7887" s="6"/>
    </row>
    <row r="7888" spans="1:1" ht="18.75" x14ac:dyDescent="0.25">
      <c r="A7888" s="6"/>
    </row>
    <row r="7889" spans="1:1" ht="18.75" x14ac:dyDescent="0.25">
      <c r="A7889" s="6"/>
    </row>
    <row r="7890" spans="1:1" ht="18.75" x14ac:dyDescent="0.25">
      <c r="A7890" s="6"/>
    </row>
    <row r="7891" spans="1:1" ht="18.75" x14ac:dyDescent="0.25">
      <c r="A7891" s="6"/>
    </row>
    <row r="7892" spans="1:1" ht="18.75" x14ac:dyDescent="0.25">
      <c r="A7892" s="6"/>
    </row>
    <row r="7893" spans="1:1" ht="18.75" x14ac:dyDescent="0.25">
      <c r="A7893" s="6"/>
    </row>
    <row r="7894" spans="1:1" ht="18.75" x14ac:dyDescent="0.25">
      <c r="A7894" s="6"/>
    </row>
    <row r="7895" spans="1:1" ht="18.75" x14ac:dyDescent="0.25">
      <c r="A7895" s="6"/>
    </row>
    <row r="7896" spans="1:1" ht="18.75" x14ac:dyDescent="0.25">
      <c r="A7896" s="6"/>
    </row>
    <row r="7897" spans="1:1" ht="18.75" x14ac:dyDescent="0.25">
      <c r="A7897" s="6"/>
    </row>
    <row r="7898" spans="1:1" ht="18.75" x14ac:dyDescent="0.25">
      <c r="A7898" s="6"/>
    </row>
    <row r="7899" spans="1:1" ht="18.75" x14ac:dyDescent="0.25">
      <c r="A7899" s="6"/>
    </row>
    <row r="7900" spans="1:1" ht="18.75" x14ac:dyDescent="0.25">
      <c r="A7900" s="6"/>
    </row>
    <row r="7901" spans="1:1" ht="18.75" x14ac:dyDescent="0.25">
      <c r="A7901" s="6"/>
    </row>
    <row r="7902" spans="1:1" ht="18.75" x14ac:dyDescent="0.25">
      <c r="A7902" s="6"/>
    </row>
    <row r="7903" spans="1:1" ht="18.75" x14ac:dyDescent="0.25">
      <c r="A7903" s="6"/>
    </row>
    <row r="7904" spans="1:1" ht="18.75" x14ac:dyDescent="0.25">
      <c r="A7904" s="6"/>
    </row>
    <row r="7905" spans="1:1" ht="18.75" x14ac:dyDescent="0.25">
      <c r="A7905" s="6"/>
    </row>
    <row r="7906" spans="1:1" ht="18.75" x14ac:dyDescent="0.25">
      <c r="A7906" s="6"/>
    </row>
    <row r="7907" spans="1:1" ht="18.75" x14ac:dyDescent="0.25">
      <c r="A7907" s="6"/>
    </row>
    <row r="7908" spans="1:1" ht="18.75" x14ac:dyDescent="0.25">
      <c r="A7908" s="6"/>
    </row>
    <row r="7909" spans="1:1" ht="18.75" x14ac:dyDescent="0.25">
      <c r="A7909" s="6"/>
    </row>
    <row r="7910" spans="1:1" ht="18.75" x14ac:dyDescent="0.25">
      <c r="A7910" s="6"/>
    </row>
    <row r="7911" spans="1:1" ht="18.75" x14ac:dyDescent="0.25">
      <c r="A7911" s="6"/>
    </row>
    <row r="7912" spans="1:1" ht="18.75" x14ac:dyDescent="0.25">
      <c r="A7912" s="6"/>
    </row>
    <row r="7913" spans="1:1" ht="18.75" x14ac:dyDescent="0.25">
      <c r="A7913" s="6"/>
    </row>
    <row r="7914" spans="1:1" ht="18.75" x14ac:dyDescent="0.25">
      <c r="A7914" s="6"/>
    </row>
    <row r="7915" spans="1:1" ht="18.75" x14ac:dyDescent="0.25">
      <c r="A7915" s="6"/>
    </row>
    <row r="7916" spans="1:1" ht="18.75" x14ac:dyDescent="0.25">
      <c r="A7916" s="6"/>
    </row>
    <row r="7917" spans="1:1" ht="18.75" x14ac:dyDescent="0.25">
      <c r="A7917" s="6"/>
    </row>
    <row r="7918" spans="1:1" ht="18.75" x14ac:dyDescent="0.25">
      <c r="A7918" s="6"/>
    </row>
    <row r="7919" spans="1:1" ht="18.75" x14ac:dyDescent="0.25">
      <c r="A7919" s="6"/>
    </row>
    <row r="7920" spans="1:1" ht="18.75" x14ac:dyDescent="0.25">
      <c r="A7920" s="6"/>
    </row>
    <row r="7921" spans="1:1" ht="18.75" x14ac:dyDescent="0.25">
      <c r="A7921" s="6"/>
    </row>
    <row r="7922" spans="1:1" ht="18.75" x14ac:dyDescent="0.25">
      <c r="A7922" s="6"/>
    </row>
    <row r="7923" spans="1:1" ht="18.75" x14ac:dyDescent="0.25">
      <c r="A7923" s="6"/>
    </row>
    <row r="7924" spans="1:1" ht="18.75" x14ac:dyDescent="0.25">
      <c r="A7924" s="6"/>
    </row>
    <row r="7925" spans="1:1" ht="18.75" x14ac:dyDescent="0.25">
      <c r="A7925" s="6"/>
    </row>
    <row r="7926" spans="1:1" ht="18.75" x14ac:dyDescent="0.25">
      <c r="A7926" s="6"/>
    </row>
    <row r="7927" spans="1:1" ht="18.75" x14ac:dyDescent="0.25">
      <c r="A7927" s="6"/>
    </row>
    <row r="7928" spans="1:1" ht="18.75" x14ac:dyDescent="0.25">
      <c r="A7928" s="6"/>
    </row>
    <row r="7929" spans="1:1" ht="18.75" x14ac:dyDescent="0.25">
      <c r="A7929" s="6"/>
    </row>
    <row r="7930" spans="1:1" ht="18.75" x14ac:dyDescent="0.25">
      <c r="A7930" s="6"/>
    </row>
    <row r="7931" spans="1:1" ht="18.75" x14ac:dyDescent="0.25">
      <c r="A7931" s="6"/>
    </row>
    <row r="7932" spans="1:1" ht="18.75" x14ac:dyDescent="0.25">
      <c r="A7932" s="6"/>
    </row>
    <row r="7933" spans="1:1" ht="18.75" x14ac:dyDescent="0.25">
      <c r="A7933" s="6"/>
    </row>
    <row r="7934" spans="1:1" ht="18.75" x14ac:dyDescent="0.25">
      <c r="A7934" s="6"/>
    </row>
    <row r="7935" spans="1:1" ht="18.75" x14ac:dyDescent="0.25">
      <c r="A7935" s="6"/>
    </row>
    <row r="7936" spans="1:1" ht="18.75" x14ac:dyDescent="0.25">
      <c r="A7936" s="6"/>
    </row>
    <row r="7937" spans="1:1" ht="18.75" x14ac:dyDescent="0.25">
      <c r="A7937" s="6"/>
    </row>
    <row r="7938" spans="1:1" ht="18.75" x14ac:dyDescent="0.25">
      <c r="A7938" s="6"/>
    </row>
    <row r="7939" spans="1:1" ht="18.75" x14ac:dyDescent="0.25">
      <c r="A7939" s="6"/>
    </row>
    <row r="7940" spans="1:1" ht="18.75" x14ac:dyDescent="0.25">
      <c r="A7940" s="6"/>
    </row>
    <row r="7941" spans="1:1" ht="18.75" x14ac:dyDescent="0.25">
      <c r="A7941" s="6"/>
    </row>
    <row r="7942" spans="1:1" ht="18.75" x14ac:dyDescent="0.25">
      <c r="A7942" s="6"/>
    </row>
    <row r="7943" spans="1:1" ht="18.75" x14ac:dyDescent="0.25">
      <c r="A7943" s="6"/>
    </row>
    <row r="7944" spans="1:1" ht="18.75" x14ac:dyDescent="0.25">
      <c r="A7944" s="6"/>
    </row>
    <row r="7945" spans="1:1" ht="18.75" x14ac:dyDescent="0.25">
      <c r="A7945" s="6"/>
    </row>
    <row r="7946" spans="1:1" ht="18.75" x14ac:dyDescent="0.25">
      <c r="A7946" s="6"/>
    </row>
    <row r="7947" spans="1:1" ht="18.75" x14ac:dyDescent="0.25">
      <c r="A7947" s="6"/>
    </row>
    <row r="7948" spans="1:1" ht="18.75" x14ac:dyDescent="0.25">
      <c r="A7948" s="6"/>
    </row>
    <row r="7949" spans="1:1" ht="18.75" x14ac:dyDescent="0.25">
      <c r="A7949" s="6"/>
    </row>
    <row r="7950" spans="1:1" ht="18.75" x14ac:dyDescent="0.25">
      <c r="A7950" s="6"/>
    </row>
    <row r="7951" spans="1:1" ht="18.75" x14ac:dyDescent="0.25">
      <c r="A7951" s="6"/>
    </row>
    <row r="7952" spans="1:1" ht="18.75" x14ac:dyDescent="0.25">
      <c r="A7952" s="6"/>
    </row>
    <row r="7953" spans="1:1" ht="18.75" x14ac:dyDescent="0.25">
      <c r="A7953" s="6"/>
    </row>
    <row r="7954" spans="1:1" ht="18.75" x14ac:dyDescent="0.25">
      <c r="A7954" s="6"/>
    </row>
    <row r="7955" spans="1:1" ht="18.75" x14ac:dyDescent="0.25">
      <c r="A7955" s="6"/>
    </row>
    <row r="7956" spans="1:1" ht="18.75" x14ac:dyDescent="0.25">
      <c r="A7956" s="6"/>
    </row>
    <row r="7957" spans="1:1" ht="18.75" x14ac:dyDescent="0.25">
      <c r="A7957" s="6"/>
    </row>
    <row r="7958" spans="1:1" ht="18.75" x14ac:dyDescent="0.25">
      <c r="A7958" s="6"/>
    </row>
    <row r="7959" spans="1:1" ht="18.75" x14ac:dyDescent="0.25">
      <c r="A7959" s="6"/>
    </row>
    <row r="7960" spans="1:1" ht="18.75" x14ac:dyDescent="0.25">
      <c r="A7960" s="6"/>
    </row>
    <row r="7961" spans="1:1" ht="18.75" x14ac:dyDescent="0.25">
      <c r="A7961" s="6"/>
    </row>
    <row r="7962" spans="1:1" ht="18.75" x14ac:dyDescent="0.25">
      <c r="A7962" s="6"/>
    </row>
    <row r="7963" spans="1:1" ht="18.75" x14ac:dyDescent="0.25">
      <c r="A7963" s="6"/>
    </row>
    <row r="7964" spans="1:1" ht="18.75" x14ac:dyDescent="0.25">
      <c r="A7964" s="6"/>
    </row>
    <row r="7965" spans="1:1" ht="18.75" x14ac:dyDescent="0.25">
      <c r="A7965" s="6"/>
    </row>
    <row r="7966" spans="1:1" ht="18.75" x14ac:dyDescent="0.25">
      <c r="A7966" s="6"/>
    </row>
    <row r="7967" spans="1:1" ht="18.75" x14ac:dyDescent="0.25">
      <c r="A7967" s="6"/>
    </row>
    <row r="7968" spans="1:1" ht="18.75" x14ac:dyDescent="0.25">
      <c r="A7968" s="6"/>
    </row>
    <row r="7969" spans="1:1" ht="18.75" x14ac:dyDescent="0.25">
      <c r="A7969" s="6"/>
    </row>
    <row r="7970" spans="1:1" ht="18.75" x14ac:dyDescent="0.25">
      <c r="A7970" s="6"/>
    </row>
    <row r="7971" spans="1:1" ht="18.75" x14ac:dyDescent="0.25">
      <c r="A7971" s="6"/>
    </row>
    <row r="7972" spans="1:1" ht="18.75" x14ac:dyDescent="0.25">
      <c r="A7972" s="6"/>
    </row>
    <row r="7973" spans="1:1" ht="18.75" x14ac:dyDescent="0.25">
      <c r="A7973" s="6"/>
    </row>
    <row r="7974" spans="1:1" ht="18.75" x14ac:dyDescent="0.25">
      <c r="A7974" s="6"/>
    </row>
    <row r="7975" spans="1:1" ht="18.75" x14ac:dyDescent="0.25">
      <c r="A7975" s="6"/>
    </row>
    <row r="7976" spans="1:1" ht="18.75" x14ac:dyDescent="0.25">
      <c r="A7976" s="6"/>
    </row>
    <row r="7977" spans="1:1" ht="18.75" x14ac:dyDescent="0.25">
      <c r="A7977" s="6"/>
    </row>
    <row r="7978" spans="1:1" ht="18.75" x14ac:dyDescent="0.25">
      <c r="A7978" s="6"/>
    </row>
    <row r="7979" spans="1:1" ht="18.75" x14ac:dyDescent="0.25">
      <c r="A7979" s="6"/>
    </row>
    <row r="7980" spans="1:1" ht="18.75" x14ac:dyDescent="0.25">
      <c r="A7980" s="6"/>
    </row>
    <row r="7981" spans="1:1" ht="18.75" x14ac:dyDescent="0.25">
      <c r="A7981" s="6"/>
    </row>
    <row r="7982" spans="1:1" ht="18.75" x14ac:dyDescent="0.25">
      <c r="A7982" s="6"/>
    </row>
    <row r="7983" spans="1:1" ht="18.75" x14ac:dyDescent="0.25">
      <c r="A7983" s="6"/>
    </row>
    <row r="7984" spans="1:1" ht="18.75" x14ac:dyDescent="0.25">
      <c r="A7984" s="6"/>
    </row>
    <row r="7985" spans="1:1" ht="18.75" x14ac:dyDescent="0.25">
      <c r="A7985" s="6"/>
    </row>
    <row r="7986" spans="1:1" ht="18.75" x14ac:dyDescent="0.25">
      <c r="A7986" s="6"/>
    </row>
    <row r="7987" spans="1:1" ht="18.75" x14ac:dyDescent="0.25">
      <c r="A7987" s="6"/>
    </row>
    <row r="7988" spans="1:1" ht="18.75" x14ac:dyDescent="0.25">
      <c r="A7988" s="6"/>
    </row>
    <row r="7989" spans="1:1" ht="18.75" x14ac:dyDescent="0.25">
      <c r="A7989" s="6"/>
    </row>
    <row r="7990" spans="1:1" ht="18.75" x14ac:dyDescent="0.25">
      <c r="A7990" s="6"/>
    </row>
    <row r="7991" spans="1:1" ht="18.75" x14ac:dyDescent="0.25">
      <c r="A7991" s="6"/>
    </row>
    <row r="7992" spans="1:1" ht="18.75" x14ac:dyDescent="0.25">
      <c r="A7992" s="6"/>
    </row>
    <row r="7993" spans="1:1" ht="18.75" x14ac:dyDescent="0.25">
      <c r="A7993" s="6"/>
    </row>
    <row r="7994" spans="1:1" ht="18.75" x14ac:dyDescent="0.25">
      <c r="A7994" s="6"/>
    </row>
    <row r="7995" spans="1:1" ht="18.75" x14ac:dyDescent="0.25">
      <c r="A7995" s="6"/>
    </row>
    <row r="7996" spans="1:1" ht="18.75" x14ac:dyDescent="0.25">
      <c r="A7996" s="6"/>
    </row>
    <row r="7997" spans="1:1" ht="18.75" x14ac:dyDescent="0.25">
      <c r="A7997" s="6"/>
    </row>
    <row r="7998" spans="1:1" ht="18.75" x14ac:dyDescent="0.25">
      <c r="A7998" s="6"/>
    </row>
    <row r="7999" spans="1:1" ht="18.75" x14ac:dyDescent="0.25">
      <c r="A7999" s="6"/>
    </row>
    <row r="8000" spans="1:1" ht="18.75" x14ac:dyDescent="0.25">
      <c r="A8000" s="6"/>
    </row>
    <row r="8001" spans="1:1" ht="18.75" x14ac:dyDescent="0.25">
      <c r="A8001" s="6"/>
    </row>
    <row r="8002" spans="1:1" ht="18.75" x14ac:dyDescent="0.25">
      <c r="A8002" s="6"/>
    </row>
    <row r="8003" spans="1:1" ht="18.75" x14ac:dyDescent="0.25">
      <c r="A8003" s="6"/>
    </row>
    <row r="8004" spans="1:1" ht="18.75" x14ac:dyDescent="0.25">
      <c r="A8004" s="6"/>
    </row>
    <row r="8005" spans="1:1" ht="18.75" x14ac:dyDescent="0.25">
      <c r="A8005" s="6"/>
    </row>
    <row r="8006" spans="1:1" ht="18.75" x14ac:dyDescent="0.25">
      <c r="A8006" s="6"/>
    </row>
    <row r="8007" spans="1:1" ht="18.75" x14ac:dyDescent="0.25">
      <c r="A8007" s="6"/>
    </row>
    <row r="8008" spans="1:1" ht="18.75" x14ac:dyDescent="0.25">
      <c r="A8008" s="6"/>
    </row>
    <row r="8009" spans="1:1" ht="18.75" x14ac:dyDescent="0.25">
      <c r="A8009" s="6"/>
    </row>
    <row r="8010" spans="1:1" ht="18.75" x14ac:dyDescent="0.25">
      <c r="A8010" s="6"/>
    </row>
    <row r="8011" spans="1:1" ht="18.75" x14ac:dyDescent="0.25">
      <c r="A8011" s="6"/>
    </row>
    <row r="8012" spans="1:1" ht="18.75" x14ac:dyDescent="0.25">
      <c r="A8012" s="6"/>
    </row>
    <row r="8013" spans="1:1" ht="18.75" x14ac:dyDescent="0.25">
      <c r="A8013" s="6"/>
    </row>
    <row r="8014" spans="1:1" ht="18.75" x14ac:dyDescent="0.25">
      <c r="A8014" s="6"/>
    </row>
    <row r="8015" spans="1:1" ht="18.75" x14ac:dyDescent="0.25">
      <c r="A8015" s="6"/>
    </row>
    <row r="8016" spans="1:1" ht="18.75" x14ac:dyDescent="0.25">
      <c r="A8016" s="6"/>
    </row>
    <row r="8017" spans="1:1" ht="18.75" x14ac:dyDescent="0.25">
      <c r="A8017" s="6"/>
    </row>
    <row r="8018" spans="1:1" ht="18.75" x14ac:dyDescent="0.25">
      <c r="A8018" s="6"/>
    </row>
    <row r="8019" spans="1:1" ht="18.75" x14ac:dyDescent="0.25">
      <c r="A8019" s="6"/>
    </row>
    <row r="8020" spans="1:1" ht="18.75" x14ac:dyDescent="0.25">
      <c r="A8020" s="6"/>
    </row>
    <row r="8021" spans="1:1" ht="18.75" x14ac:dyDescent="0.25">
      <c r="A8021" s="6"/>
    </row>
    <row r="8022" spans="1:1" ht="18.75" x14ac:dyDescent="0.25">
      <c r="A8022" s="6"/>
    </row>
    <row r="8023" spans="1:1" ht="18.75" x14ac:dyDescent="0.25">
      <c r="A8023" s="6"/>
    </row>
    <row r="8024" spans="1:1" ht="18.75" x14ac:dyDescent="0.25">
      <c r="A8024" s="6"/>
    </row>
    <row r="8025" spans="1:1" ht="18.75" x14ac:dyDescent="0.25">
      <c r="A8025" s="6"/>
    </row>
    <row r="8026" spans="1:1" ht="18.75" x14ac:dyDescent="0.25">
      <c r="A8026" s="6"/>
    </row>
    <row r="8027" spans="1:1" ht="18.75" x14ac:dyDescent="0.25">
      <c r="A8027" s="6"/>
    </row>
    <row r="8028" spans="1:1" ht="18.75" x14ac:dyDescent="0.25">
      <c r="A8028" s="6"/>
    </row>
    <row r="8029" spans="1:1" ht="18.75" x14ac:dyDescent="0.25">
      <c r="A8029" s="6"/>
    </row>
    <row r="8030" spans="1:1" ht="18.75" x14ac:dyDescent="0.25">
      <c r="A8030" s="6"/>
    </row>
    <row r="8031" spans="1:1" ht="18.75" x14ac:dyDescent="0.25">
      <c r="A8031" s="6"/>
    </row>
    <row r="8032" spans="1:1" ht="18.75" x14ac:dyDescent="0.25">
      <c r="A8032" s="6"/>
    </row>
    <row r="8033" spans="1:1" ht="18.75" x14ac:dyDescent="0.25">
      <c r="A8033" s="6"/>
    </row>
    <row r="8034" spans="1:1" ht="18.75" x14ac:dyDescent="0.25">
      <c r="A8034" s="6"/>
    </row>
    <row r="8035" spans="1:1" ht="18.75" x14ac:dyDescent="0.25">
      <c r="A8035" s="6"/>
    </row>
    <row r="8036" spans="1:1" ht="18.75" x14ac:dyDescent="0.25">
      <c r="A8036" s="6"/>
    </row>
    <row r="8037" spans="1:1" ht="18.75" x14ac:dyDescent="0.25">
      <c r="A8037" s="6"/>
    </row>
    <row r="8038" spans="1:1" ht="18.75" x14ac:dyDescent="0.25">
      <c r="A8038" s="6"/>
    </row>
    <row r="8039" spans="1:1" ht="18.75" x14ac:dyDescent="0.25">
      <c r="A8039" s="6"/>
    </row>
    <row r="8040" spans="1:1" ht="18.75" x14ac:dyDescent="0.25">
      <c r="A8040" s="6"/>
    </row>
    <row r="8041" spans="1:1" ht="18.75" x14ac:dyDescent="0.25">
      <c r="A8041" s="6"/>
    </row>
    <row r="8042" spans="1:1" ht="18.75" x14ac:dyDescent="0.25">
      <c r="A8042" s="6"/>
    </row>
    <row r="8043" spans="1:1" ht="18.75" x14ac:dyDescent="0.25">
      <c r="A8043" s="6"/>
    </row>
    <row r="8044" spans="1:1" ht="18.75" x14ac:dyDescent="0.25">
      <c r="A8044" s="6"/>
    </row>
    <row r="8045" spans="1:1" ht="18.75" x14ac:dyDescent="0.25">
      <c r="A8045" s="6"/>
    </row>
    <row r="8046" spans="1:1" ht="18.75" x14ac:dyDescent="0.25">
      <c r="A8046" s="6"/>
    </row>
    <row r="8047" spans="1:1" ht="18.75" x14ac:dyDescent="0.25">
      <c r="A8047" s="6"/>
    </row>
    <row r="8048" spans="1:1" ht="18.75" x14ac:dyDescent="0.25">
      <c r="A8048" s="6"/>
    </row>
    <row r="8049" spans="1:1" ht="18.75" x14ac:dyDescent="0.25">
      <c r="A8049" s="6"/>
    </row>
    <row r="8050" spans="1:1" ht="18.75" x14ac:dyDescent="0.25">
      <c r="A8050" s="6"/>
    </row>
    <row r="8051" spans="1:1" ht="18.75" x14ac:dyDescent="0.25">
      <c r="A8051" s="6"/>
    </row>
    <row r="8052" spans="1:1" ht="18.75" x14ac:dyDescent="0.25">
      <c r="A8052" s="6"/>
    </row>
    <row r="8053" spans="1:1" ht="18.75" x14ac:dyDescent="0.25">
      <c r="A8053" s="6"/>
    </row>
    <row r="8054" spans="1:1" ht="18.75" x14ac:dyDescent="0.25">
      <c r="A8054" s="6"/>
    </row>
    <row r="8055" spans="1:1" ht="18.75" x14ac:dyDescent="0.25">
      <c r="A8055" s="6"/>
    </row>
    <row r="8056" spans="1:1" ht="18.75" x14ac:dyDescent="0.25">
      <c r="A8056" s="6"/>
    </row>
    <row r="8057" spans="1:1" ht="18.75" x14ac:dyDescent="0.25">
      <c r="A8057" s="6"/>
    </row>
    <row r="8058" spans="1:1" ht="18.75" x14ac:dyDescent="0.25">
      <c r="A8058" s="6"/>
    </row>
    <row r="8059" spans="1:1" ht="18.75" x14ac:dyDescent="0.25">
      <c r="A8059" s="6"/>
    </row>
    <row r="8060" spans="1:1" ht="18.75" x14ac:dyDescent="0.25">
      <c r="A8060" s="6"/>
    </row>
    <row r="8061" spans="1:1" ht="18.75" x14ac:dyDescent="0.25">
      <c r="A8061" s="6"/>
    </row>
    <row r="8062" spans="1:1" ht="18.75" x14ac:dyDescent="0.25">
      <c r="A8062" s="6"/>
    </row>
    <row r="8063" spans="1:1" ht="18.75" x14ac:dyDescent="0.25">
      <c r="A8063" s="6"/>
    </row>
    <row r="8064" spans="1:1" ht="18.75" x14ac:dyDescent="0.25">
      <c r="A8064" s="6"/>
    </row>
    <row r="8065" spans="1:1" ht="18.75" x14ac:dyDescent="0.25">
      <c r="A8065" s="6"/>
    </row>
    <row r="8066" spans="1:1" ht="18.75" x14ac:dyDescent="0.25">
      <c r="A8066" s="6"/>
    </row>
    <row r="8067" spans="1:1" ht="18.75" x14ac:dyDescent="0.25">
      <c r="A8067" s="6"/>
    </row>
    <row r="8068" spans="1:1" ht="18.75" x14ac:dyDescent="0.25">
      <c r="A8068" s="6"/>
    </row>
    <row r="8069" spans="1:1" ht="18.75" x14ac:dyDescent="0.25">
      <c r="A8069" s="6"/>
    </row>
    <row r="8070" spans="1:1" ht="18.75" x14ac:dyDescent="0.25">
      <c r="A8070" s="6"/>
    </row>
    <row r="8071" spans="1:1" ht="18.75" x14ac:dyDescent="0.25">
      <c r="A8071" s="6"/>
    </row>
    <row r="8072" spans="1:1" ht="18.75" x14ac:dyDescent="0.25">
      <c r="A8072" s="6"/>
    </row>
    <row r="8073" spans="1:1" ht="18.75" x14ac:dyDescent="0.25">
      <c r="A8073" s="6"/>
    </row>
    <row r="8074" spans="1:1" ht="18.75" x14ac:dyDescent="0.25">
      <c r="A8074" s="6"/>
    </row>
    <row r="8075" spans="1:1" ht="18.75" x14ac:dyDescent="0.25">
      <c r="A8075" s="6"/>
    </row>
    <row r="8076" spans="1:1" ht="18.75" x14ac:dyDescent="0.25">
      <c r="A8076" s="6"/>
    </row>
    <row r="8077" spans="1:1" ht="18.75" x14ac:dyDescent="0.25">
      <c r="A8077" s="6"/>
    </row>
    <row r="8078" spans="1:1" ht="18.75" x14ac:dyDescent="0.25">
      <c r="A8078" s="6"/>
    </row>
    <row r="8079" spans="1:1" ht="18.75" x14ac:dyDescent="0.25">
      <c r="A8079" s="6"/>
    </row>
    <row r="8080" spans="1:1" ht="18.75" x14ac:dyDescent="0.25">
      <c r="A8080" s="6"/>
    </row>
    <row r="8081" spans="1:1" ht="18.75" x14ac:dyDescent="0.25">
      <c r="A8081" s="6"/>
    </row>
    <row r="8082" spans="1:1" ht="18.75" x14ac:dyDescent="0.25">
      <c r="A8082" s="6"/>
    </row>
    <row r="8083" spans="1:1" ht="18.75" x14ac:dyDescent="0.25">
      <c r="A8083" s="6"/>
    </row>
    <row r="8084" spans="1:1" ht="18.75" x14ac:dyDescent="0.25">
      <c r="A8084" s="6"/>
    </row>
    <row r="8085" spans="1:1" ht="18.75" x14ac:dyDescent="0.25">
      <c r="A8085" s="6"/>
    </row>
    <row r="8086" spans="1:1" ht="18.75" x14ac:dyDescent="0.25">
      <c r="A8086" s="6"/>
    </row>
    <row r="8087" spans="1:1" ht="18.75" x14ac:dyDescent="0.25">
      <c r="A8087" s="6"/>
    </row>
    <row r="8088" spans="1:1" ht="18.75" x14ac:dyDescent="0.25">
      <c r="A8088" s="6"/>
    </row>
    <row r="8089" spans="1:1" ht="18.75" x14ac:dyDescent="0.25">
      <c r="A8089" s="6"/>
    </row>
    <row r="8090" spans="1:1" ht="18.75" x14ac:dyDescent="0.25">
      <c r="A8090" s="6"/>
    </row>
    <row r="8091" spans="1:1" ht="18.75" x14ac:dyDescent="0.25">
      <c r="A8091" s="6"/>
    </row>
    <row r="8092" spans="1:1" ht="18.75" x14ac:dyDescent="0.25">
      <c r="A8092" s="6"/>
    </row>
    <row r="8093" spans="1:1" ht="18.75" x14ac:dyDescent="0.25">
      <c r="A8093" s="6"/>
    </row>
    <row r="8094" spans="1:1" ht="18.75" x14ac:dyDescent="0.25">
      <c r="A8094" s="6"/>
    </row>
    <row r="8095" spans="1:1" ht="18.75" x14ac:dyDescent="0.25">
      <c r="A8095" s="6"/>
    </row>
    <row r="8096" spans="1:1" ht="18.75" x14ac:dyDescent="0.25">
      <c r="A8096" s="6"/>
    </row>
    <row r="8097" spans="1:1" ht="18.75" x14ac:dyDescent="0.25">
      <c r="A8097" s="6"/>
    </row>
    <row r="8098" spans="1:1" ht="18.75" x14ac:dyDescent="0.25">
      <c r="A8098" s="6"/>
    </row>
    <row r="8099" spans="1:1" ht="18.75" x14ac:dyDescent="0.25">
      <c r="A8099" s="6"/>
    </row>
    <row r="8100" spans="1:1" ht="18.75" x14ac:dyDescent="0.25">
      <c r="A8100" s="6"/>
    </row>
    <row r="8101" spans="1:1" ht="18.75" x14ac:dyDescent="0.25">
      <c r="A8101" s="6"/>
    </row>
    <row r="8102" spans="1:1" ht="18.75" x14ac:dyDescent="0.25">
      <c r="A8102" s="6"/>
    </row>
    <row r="8103" spans="1:1" ht="18.75" x14ac:dyDescent="0.25">
      <c r="A8103" s="6"/>
    </row>
    <row r="8104" spans="1:1" ht="18.75" x14ac:dyDescent="0.25">
      <c r="A8104" s="6"/>
    </row>
    <row r="8105" spans="1:1" ht="18.75" x14ac:dyDescent="0.25">
      <c r="A8105" s="6"/>
    </row>
    <row r="8106" spans="1:1" ht="18.75" x14ac:dyDescent="0.25">
      <c r="A8106" s="6"/>
    </row>
    <row r="8107" spans="1:1" ht="18.75" x14ac:dyDescent="0.25">
      <c r="A8107" s="6"/>
    </row>
    <row r="8108" spans="1:1" ht="18.75" x14ac:dyDescent="0.25">
      <c r="A8108" s="6"/>
    </row>
    <row r="8109" spans="1:1" ht="18.75" x14ac:dyDescent="0.25">
      <c r="A8109" s="6"/>
    </row>
    <row r="8110" spans="1:1" ht="18.75" x14ac:dyDescent="0.25">
      <c r="A8110" s="6"/>
    </row>
    <row r="8111" spans="1:1" ht="18.75" x14ac:dyDescent="0.25">
      <c r="A8111" s="6"/>
    </row>
    <row r="8112" spans="1:1" ht="18.75" x14ac:dyDescent="0.25">
      <c r="A8112" s="6"/>
    </row>
    <row r="8113" spans="1:1" ht="18.75" x14ac:dyDescent="0.25">
      <c r="A8113" s="6"/>
    </row>
    <row r="8114" spans="1:1" ht="18.75" x14ac:dyDescent="0.25">
      <c r="A8114" s="6"/>
    </row>
    <row r="8115" spans="1:1" ht="18.75" x14ac:dyDescent="0.25">
      <c r="A8115" s="6"/>
    </row>
    <row r="8116" spans="1:1" ht="18.75" x14ac:dyDescent="0.25">
      <c r="A8116" s="6"/>
    </row>
    <row r="8117" spans="1:1" ht="18.75" x14ac:dyDescent="0.25">
      <c r="A8117" s="6"/>
    </row>
    <row r="8118" spans="1:1" ht="18.75" x14ac:dyDescent="0.25">
      <c r="A8118" s="6"/>
    </row>
    <row r="8119" spans="1:1" ht="18.75" x14ac:dyDescent="0.25">
      <c r="A8119" s="6"/>
    </row>
    <row r="8120" spans="1:1" ht="18.75" x14ac:dyDescent="0.25">
      <c r="A8120" s="6"/>
    </row>
    <row r="8121" spans="1:1" ht="18.75" x14ac:dyDescent="0.25">
      <c r="A8121" s="6"/>
    </row>
    <row r="8122" spans="1:1" ht="18.75" x14ac:dyDescent="0.25">
      <c r="A8122" s="6"/>
    </row>
    <row r="8123" spans="1:1" ht="18.75" x14ac:dyDescent="0.25">
      <c r="A8123" s="6"/>
    </row>
    <row r="8124" spans="1:1" ht="18.75" x14ac:dyDescent="0.25">
      <c r="A8124" s="6"/>
    </row>
    <row r="8125" spans="1:1" ht="18.75" x14ac:dyDescent="0.25">
      <c r="A8125" s="6"/>
    </row>
    <row r="8126" spans="1:1" ht="18.75" x14ac:dyDescent="0.25">
      <c r="A8126" s="6"/>
    </row>
    <row r="8127" spans="1:1" ht="18.75" x14ac:dyDescent="0.25">
      <c r="A8127" s="6"/>
    </row>
    <row r="8128" spans="1:1" ht="18.75" x14ac:dyDescent="0.25">
      <c r="A8128" s="6"/>
    </row>
    <row r="8129" spans="1:1" ht="18.75" x14ac:dyDescent="0.25">
      <c r="A8129" s="6"/>
    </row>
    <row r="8130" spans="1:1" ht="18.75" x14ac:dyDescent="0.25">
      <c r="A8130" s="6"/>
    </row>
    <row r="8131" spans="1:1" ht="18.75" x14ac:dyDescent="0.25">
      <c r="A8131" s="6"/>
    </row>
    <row r="8132" spans="1:1" ht="18.75" x14ac:dyDescent="0.25">
      <c r="A8132" s="6"/>
    </row>
    <row r="8133" spans="1:1" ht="18.75" x14ac:dyDescent="0.25">
      <c r="A8133" s="6"/>
    </row>
    <row r="8134" spans="1:1" ht="18.75" x14ac:dyDescent="0.25">
      <c r="A8134" s="6"/>
    </row>
    <row r="8135" spans="1:1" ht="18.75" x14ac:dyDescent="0.25">
      <c r="A8135" s="6"/>
    </row>
    <row r="8136" spans="1:1" ht="18.75" x14ac:dyDescent="0.25">
      <c r="A8136" s="6"/>
    </row>
    <row r="8137" spans="1:1" ht="18.75" x14ac:dyDescent="0.25">
      <c r="A8137" s="6"/>
    </row>
    <row r="8138" spans="1:1" ht="18.75" x14ac:dyDescent="0.25">
      <c r="A8138" s="6"/>
    </row>
    <row r="8139" spans="1:1" ht="18.75" x14ac:dyDescent="0.25">
      <c r="A8139" s="6"/>
    </row>
    <row r="8140" spans="1:1" ht="18.75" x14ac:dyDescent="0.25">
      <c r="A8140" s="6"/>
    </row>
    <row r="8141" spans="1:1" ht="18.75" x14ac:dyDescent="0.25">
      <c r="A8141" s="6"/>
    </row>
    <row r="8142" spans="1:1" ht="18.75" x14ac:dyDescent="0.25">
      <c r="A8142" s="6"/>
    </row>
    <row r="8143" spans="1:1" ht="18.75" x14ac:dyDescent="0.25">
      <c r="A8143" s="6"/>
    </row>
    <row r="8144" spans="1:1" ht="18.75" x14ac:dyDescent="0.25">
      <c r="A8144" s="6"/>
    </row>
    <row r="8145" spans="1:1" ht="18.75" x14ac:dyDescent="0.25">
      <c r="A8145" s="6"/>
    </row>
    <row r="8146" spans="1:1" ht="18.75" x14ac:dyDescent="0.25">
      <c r="A8146" s="6"/>
    </row>
    <row r="8147" spans="1:1" ht="18.75" x14ac:dyDescent="0.25">
      <c r="A8147" s="6"/>
    </row>
    <row r="8148" spans="1:1" ht="18.75" x14ac:dyDescent="0.25">
      <c r="A8148" s="6"/>
    </row>
    <row r="8149" spans="1:1" ht="18.75" x14ac:dyDescent="0.25">
      <c r="A8149" s="6"/>
    </row>
    <row r="8150" spans="1:1" ht="18.75" x14ac:dyDescent="0.25">
      <c r="A8150" s="6"/>
    </row>
    <row r="8151" spans="1:1" ht="18.75" x14ac:dyDescent="0.25">
      <c r="A8151" s="6"/>
    </row>
    <row r="8152" spans="1:1" ht="18.75" x14ac:dyDescent="0.25">
      <c r="A8152" s="6"/>
    </row>
    <row r="8153" spans="1:1" ht="18.75" x14ac:dyDescent="0.25">
      <c r="A8153" s="6"/>
    </row>
    <row r="8154" spans="1:1" ht="18.75" x14ac:dyDescent="0.25">
      <c r="A8154" s="6"/>
    </row>
    <row r="8155" spans="1:1" ht="18.75" x14ac:dyDescent="0.25">
      <c r="A8155" s="6"/>
    </row>
    <row r="8156" spans="1:1" ht="18.75" x14ac:dyDescent="0.25">
      <c r="A8156" s="6"/>
    </row>
    <row r="8157" spans="1:1" ht="18.75" x14ac:dyDescent="0.25">
      <c r="A8157" s="6"/>
    </row>
    <row r="8158" spans="1:1" ht="18.75" x14ac:dyDescent="0.25">
      <c r="A8158" s="6"/>
    </row>
    <row r="8159" spans="1:1" ht="18.75" x14ac:dyDescent="0.25">
      <c r="A8159" s="6"/>
    </row>
    <row r="8160" spans="1:1" ht="18.75" x14ac:dyDescent="0.25">
      <c r="A8160" s="6"/>
    </row>
    <row r="8161" spans="1:1" ht="18.75" x14ac:dyDescent="0.25">
      <c r="A8161" s="6"/>
    </row>
    <row r="8162" spans="1:1" ht="18.75" x14ac:dyDescent="0.25">
      <c r="A8162" s="6"/>
    </row>
    <row r="8163" spans="1:1" ht="18.75" x14ac:dyDescent="0.25">
      <c r="A8163" s="6"/>
    </row>
    <row r="8164" spans="1:1" ht="18.75" x14ac:dyDescent="0.25">
      <c r="A8164" s="6"/>
    </row>
    <row r="8165" spans="1:1" ht="18.75" x14ac:dyDescent="0.25">
      <c r="A8165" s="6"/>
    </row>
    <row r="8166" spans="1:1" ht="18.75" x14ac:dyDescent="0.25">
      <c r="A8166" s="6"/>
    </row>
    <row r="8167" spans="1:1" ht="18.75" x14ac:dyDescent="0.25">
      <c r="A8167" s="6"/>
    </row>
    <row r="8168" spans="1:1" ht="18.75" x14ac:dyDescent="0.25">
      <c r="A8168" s="6"/>
    </row>
    <row r="8169" spans="1:1" ht="18.75" x14ac:dyDescent="0.25">
      <c r="A8169" s="6"/>
    </row>
    <row r="8170" spans="1:1" ht="18.75" x14ac:dyDescent="0.25">
      <c r="A8170" s="6"/>
    </row>
    <row r="8171" spans="1:1" ht="18.75" x14ac:dyDescent="0.25">
      <c r="A8171" s="6"/>
    </row>
    <row r="8172" spans="1:1" ht="18.75" x14ac:dyDescent="0.25">
      <c r="A8172" s="6"/>
    </row>
    <row r="8173" spans="1:1" ht="18.75" x14ac:dyDescent="0.25">
      <c r="A8173" s="6"/>
    </row>
    <row r="8174" spans="1:1" ht="18.75" x14ac:dyDescent="0.25">
      <c r="A8174" s="6"/>
    </row>
    <row r="8175" spans="1:1" ht="18.75" x14ac:dyDescent="0.25">
      <c r="A8175" s="6"/>
    </row>
    <row r="8176" spans="1:1" ht="18.75" x14ac:dyDescent="0.25">
      <c r="A8176" s="6"/>
    </row>
    <row r="8177" spans="1:1" ht="18.75" x14ac:dyDescent="0.25">
      <c r="A8177" s="6"/>
    </row>
    <row r="8178" spans="1:1" ht="18.75" x14ac:dyDescent="0.25">
      <c r="A8178" s="6"/>
    </row>
    <row r="8179" spans="1:1" ht="18.75" x14ac:dyDescent="0.25">
      <c r="A8179" s="6"/>
    </row>
    <row r="8180" spans="1:1" ht="18.75" x14ac:dyDescent="0.25">
      <c r="A8180" s="6"/>
    </row>
    <row r="8181" spans="1:1" ht="18.75" x14ac:dyDescent="0.25">
      <c r="A8181" s="6"/>
    </row>
    <row r="8182" spans="1:1" ht="18.75" x14ac:dyDescent="0.25">
      <c r="A8182" s="6"/>
    </row>
    <row r="8183" spans="1:1" ht="18.75" x14ac:dyDescent="0.25">
      <c r="A8183" s="6"/>
    </row>
    <row r="8184" spans="1:1" ht="18.75" x14ac:dyDescent="0.25">
      <c r="A8184" s="6"/>
    </row>
    <row r="8185" spans="1:1" ht="18.75" x14ac:dyDescent="0.25">
      <c r="A8185" s="6"/>
    </row>
    <row r="8186" spans="1:1" ht="18.75" x14ac:dyDescent="0.25">
      <c r="A8186" s="6"/>
    </row>
    <row r="8187" spans="1:1" ht="18.75" x14ac:dyDescent="0.25">
      <c r="A8187" s="6"/>
    </row>
    <row r="8188" spans="1:1" ht="18.75" x14ac:dyDescent="0.25">
      <c r="A8188" s="6"/>
    </row>
    <row r="8189" spans="1:1" ht="18.75" x14ac:dyDescent="0.25">
      <c r="A8189" s="6"/>
    </row>
    <row r="8190" spans="1:1" ht="18.75" x14ac:dyDescent="0.25">
      <c r="A8190" s="6"/>
    </row>
    <row r="8191" spans="1:1" ht="18.75" x14ac:dyDescent="0.25">
      <c r="A8191" s="6"/>
    </row>
    <row r="8192" spans="1:1" ht="18.75" x14ac:dyDescent="0.25">
      <c r="A8192" s="6"/>
    </row>
    <row r="8193" spans="1:1" ht="18.75" x14ac:dyDescent="0.25">
      <c r="A8193" s="6"/>
    </row>
    <row r="8194" spans="1:1" ht="18.75" x14ac:dyDescent="0.25">
      <c r="A8194" s="6"/>
    </row>
    <row r="8195" spans="1:1" ht="18.75" x14ac:dyDescent="0.25">
      <c r="A8195" s="6"/>
    </row>
    <row r="8196" spans="1:1" ht="18.75" x14ac:dyDescent="0.25">
      <c r="A8196" s="6"/>
    </row>
    <row r="8197" spans="1:1" ht="18.75" x14ac:dyDescent="0.25">
      <c r="A8197" s="6"/>
    </row>
    <row r="8198" spans="1:1" ht="18.75" x14ac:dyDescent="0.25">
      <c r="A8198" s="6"/>
    </row>
    <row r="8199" spans="1:1" ht="18.75" x14ac:dyDescent="0.25">
      <c r="A8199" s="6"/>
    </row>
    <row r="8200" spans="1:1" ht="18.75" x14ac:dyDescent="0.25">
      <c r="A8200" s="6"/>
    </row>
    <row r="8201" spans="1:1" ht="18.75" x14ac:dyDescent="0.25">
      <c r="A8201" s="6"/>
    </row>
    <row r="8202" spans="1:1" ht="18.75" x14ac:dyDescent="0.25">
      <c r="A8202" s="6"/>
    </row>
    <row r="8203" spans="1:1" ht="18.75" x14ac:dyDescent="0.25">
      <c r="A8203" s="6"/>
    </row>
    <row r="8204" spans="1:1" ht="18.75" x14ac:dyDescent="0.25">
      <c r="A8204" s="6"/>
    </row>
    <row r="8205" spans="1:1" ht="18.75" x14ac:dyDescent="0.25">
      <c r="A8205" s="6"/>
    </row>
    <row r="8206" spans="1:1" ht="18.75" x14ac:dyDescent="0.25">
      <c r="A8206" s="6"/>
    </row>
    <row r="8207" spans="1:1" ht="18.75" x14ac:dyDescent="0.25">
      <c r="A8207" s="6"/>
    </row>
    <row r="8208" spans="1:1" ht="18.75" x14ac:dyDescent="0.25">
      <c r="A8208" s="6"/>
    </row>
    <row r="8209" spans="1:1" ht="18.75" x14ac:dyDescent="0.25">
      <c r="A8209" s="6"/>
    </row>
    <row r="8210" spans="1:1" ht="18.75" x14ac:dyDescent="0.25">
      <c r="A8210" s="6"/>
    </row>
    <row r="8211" spans="1:1" ht="18.75" x14ac:dyDescent="0.25">
      <c r="A8211" s="6"/>
    </row>
    <row r="8212" spans="1:1" ht="18.75" x14ac:dyDescent="0.25">
      <c r="A8212" s="6"/>
    </row>
    <row r="8213" spans="1:1" ht="18.75" x14ac:dyDescent="0.25">
      <c r="A8213" s="6"/>
    </row>
    <row r="8214" spans="1:1" ht="18.75" x14ac:dyDescent="0.25">
      <c r="A8214" s="6"/>
    </row>
    <row r="8215" spans="1:1" ht="18.75" x14ac:dyDescent="0.25">
      <c r="A8215" s="6"/>
    </row>
    <row r="8216" spans="1:1" ht="18.75" x14ac:dyDescent="0.25">
      <c r="A8216" s="6"/>
    </row>
    <row r="8217" spans="1:1" ht="18.75" x14ac:dyDescent="0.25">
      <c r="A8217" s="6"/>
    </row>
    <row r="8218" spans="1:1" ht="18.75" x14ac:dyDescent="0.25">
      <c r="A8218" s="6"/>
    </row>
    <row r="8219" spans="1:1" ht="18.75" x14ac:dyDescent="0.25">
      <c r="A8219" s="6"/>
    </row>
    <row r="8220" spans="1:1" ht="18.75" x14ac:dyDescent="0.25">
      <c r="A8220" s="6"/>
    </row>
    <row r="8221" spans="1:1" ht="18.75" x14ac:dyDescent="0.25">
      <c r="A8221" s="6"/>
    </row>
    <row r="8222" spans="1:1" ht="18.75" x14ac:dyDescent="0.25">
      <c r="A8222" s="6"/>
    </row>
    <row r="8223" spans="1:1" ht="18.75" x14ac:dyDescent="0.25">
      <c r="A8223" s="6"/>
    </row>
    <row r="8224" spans="1:1" ht="18.75" x14ac:dyDescent="0.25">
      <c r="A8224" s="6"/>
    </row>
    <row r="8225" spans="1:1" ht="18.75" x14ac:dyDescent="0.25">
      <c r="A8225" s="6"/>
    </row>
    <row r="8226" spans="1:1" ht="18.75" x14ac:dyDescent="0.25">
      <c r="A8226" s="6"/>
    </row>
    <row r="8227" spans="1:1" ht="18.75" x14ac:dyDescent="0.25">
      <c r="A8227" s="6"/>
    </row>
    <row r="8228" spans="1:1" ht="18.75" x14ac:dyDescent="0.25">
      <c r="A8228" s="6"/>
    </row>
    <row r="8229" spans="1:1" ht="18.75" x14ac:dyDescent="0.25">
      <c r="A8229" s="6"/>
    </row>
    <row r="8230" spans="1:1" ht="18.75" x14ac:dyDescent="0.25">
      <c r="A8230" s="6"/>
    </row>
    <row r="8231" spans="1:1" ht="18.75" x14ac:dyDescent="0.25">
      <c r="A8231" s="6"/>
    </row>
    <row r="8232" spans="1:1" ht="18.75" x14ac:dyDescent="0.25">
      <c r="A8232" s="6"/>
    </row>
    <row r="8233" spans="1:1" ht="18.75" x14ac:dyDescent="0.25">
      <c r="A8233" s="6"/>
    </row>
    <row r="8234" spans="1:1" ht="18.75" x14ac:dyDescent="0.25">
      <c r="A8234" s="6"/>
    </row>
    <row r="8235" spans="1:1" ht="18.75" x14ac:dyDescent="0.25">
      <c r="A8235" s="6"/>
    </row>
    <row r="8236" spans="1:1" ht="18.75" x14ac:dyDescent="0.25">
      <c r="A8236" s="6"/>
    </row>
    <row r="8237" spans="1:1" ht="18.75" x14ac:dyDescent="0.25">
      <c r="A8237" s="6"/>
    </row>
    <row r="8238" spans="1:1" ht="18.75" x14ac:dyDescent="0.25">
      <c r="A8238" s="6"/>
    </row>
    <row r="8239" spans="1:1" ht="18.75" x14ac:dyDescent="0.25">
      <c r="A8239" s="6"/>
    </row>
    <row r="8240" spans="1:1" ht="18.75" x14ac:dyDescent="0.25">
      <c r="A8240" s="6"/>
    </row>
    <row r="8241" spans="1:1" ht="18.75" x14ac:dyDescent="0.25">
      <c r="A8241" s="6"/>
    </row>
    <row r="8242" spans="1:1" ht="18.75" x14ac:dyDescent="0.25">
      <c r="A8242" s="6"/>
    </row>
    <row r="8243" spans="1:1" ht="18.75" x14ac:dyDescent="0.25">
      <c r="A8243" s="6"/>
    </row>
    <row r="8244" spans="1:1" ht="18.75" x14ac:dyDescent="0.25">
      <c r="A8244" s="6"/>
    </row>
    <row r="8245" spans="1:1" ht="18.75" x14ac:dyDescent="0.25">
      <c r="A8245" s="6"/>
    </row>
    <row r="8246" spans="1:1" ht="18.75" x14ac:dyDescent="0.25">
      <c r="A8246" s="6"/>
    </row>
    <row r="8247" spans="1:1" ht="18.75" x14ac:dyDescent="0.25">
      <c r="A8247" s="6"/>
    </row>
    <row r="8248" spans="1:1" ht="18.75" x14ac:dyDescent="0.25">
      <c r="A8248" s="6"/>
    </row>
    <row r="8249" spans="1:1" ht="18.75" x14ac:dyDescent="0.25">
      <c r="A8249" s="6"/>
    </row>
    <row r="8250" spans="1:1" ht="18.75" x14ac:dyDescent="0.25">
      <c r="A8250" s="6"/>
    </row>
    <row r="8251" spans="1:1" ht="18.75" x14ac:dyDescent="0.25">
      <c r="A8251" s="6"/>
    </row>
    <row r="8252" spans="1:1" ht="18.75" x14ac:dyDescent="0.25">
      <c r="A8252" s="6"/>
    </row>
    <row r="8253" spans="1:1" ht="18.75" x14ac:dyDescent="0.25">
      <c r="A8253" s="6"/>
    </row>
    <row r="8254" spans="1:1" ht="18.75" x14ac:dyDescent="0.25">
      <c r="A8254" s="6"/>
    </row>
    <row r="8255" spans="1:1" ht="18.75" x14ac:dyDescent="0.25">
      <c r="A8255" s="6"/>
    </row>
    <row r="8256" spans="1:1" ht="18.75" x14ac:dyDescent="0.25">
      <c r="A8256" s="6"/>
    </row>
    <row r="8257" spans="1:1" ht="18.75" x14ac:dyDescent="0.25">
      <c r="A8257" s="6"/>
    </row>
    <row r="8258" spans="1:1" ht="18.75" x14ac:dyDescent="0.25">
      <c r="A8258" s="6"/>
    </row>
    <row r="8259" spans="1:1" ht="18.75" x14ac:dyDescent="0.25">
      <c r="A8259" s="6"/>
    </row>
    <row r="8260" spans="1:1" ht="18.75" x14ac:dyDescent="0.25">
      <c r="A8260" s="6"/>
    </row>
    <row r="8261" spans="1:1" ht="18.75" x14ac:dyDescent="0.25">
      <c r="A8261" s="6"/>
    </row>
    <row r="8262" spans="1:1" ht="18.75" x14ac:dyDescent="0.25">
      <c r="A8262" s="6"/>
    </row>
    <row r="8263" spans="1:1" ht="18.75" x14ac:dyDescent="0.25">
      <c r="A8263" s="6"/>
    </row>
    <row r="8264" spans="1:1" ht="18.75" x14ac:dyDescent="0.25">
      <c r="A8264" s="6"/>
    </row>
    <row r="8265" spans="1:1" ht="18.75" x14ac:dyDescent="0.25">
      <c r="A8265" s="6"/>
    </row>
    <row r="8266" spans="1:1" ht="18.75" x14ac:dyDescent="0.25">
      <c r="A8266" s="6"/>
    </row>
    <row r="8267" spans="1:1" ht="18.75" x14ac:dyDescent="0.25">
      <c r="A8267" s="6"/>
    </row>
    <row r="8268" spans="1:1" ht="18.75" x14ac:dyDescent="0.25">
      <c r="A8268" s="6"/>
    </row>
    <row r="8269" spans="1:1" ht="18.75" x14ac:dyDescent="0.25">
      <c r="A8269" s="6"/>
    </row>
    <row r="8270" spans="1:1" ht="18.75" x14ac:dyDescent="0.25">
      <c r="A8270" s="6"/>
    </row>
    <row r="8271" spans="1:1" ht="18.75" x14ac:dyDescent="0.25">
      <c r="A8271" s="6"/>
    </row>
    <row r="8272" spans="1:1" ht="18.75" x14ac:dyDescent="0.25">
      <c r="A8272" s="6"/>
    </row>
    <row r="8273" spans="1:1" ht="18.75" x14ac:dyDescent="0.25">
      <c r="A8273" s="6"/>
    </row>
    <row r="8274" spans="1:1" ht="18.75" x14ac:dyDescent="0.25">
      <c r="A8274" s="6"/>
    </row>
    <row r="8275" spans="1:1" ht="18.75" x14ac:dyDescent="0.25">
      <c r="A8275" s="6"/>
    </row>
    <row r="8276" spans="1:1" ht="18.75" x14ac:dyDescent="0.25">
      <c r="A8276" s="6"/>
    </row>
    <row r="8277" spans="1:1" ht="18.75" x14ac:dyDescent="0.25">
      <c r="A8277" s="6"/>
    </row>
    <row r="8278" spans="1:1" ht="18.75" x14ac:dyDescent="0.25">
      <c r="A8278" s="6"/>
    </row>
    <row r="8279" spans="1:1" ht="18.75" x14ac:dyDescent="0.25">
      <c r="A8279" s="6"/>
    </row>
    <row r="8280" spans="1:1" ht="18.75" x14ac:dyDescent="0.25">
      <c r="A8280" s="6"/>
    </row>
    <row r="8281" spans="1:1" ht="18.75" x14ac:dyDescent="0.25">
      <c r="A8281" s="6"/>
    </row>
    <row r="8282" spans="1:1" ht="18.75" x14ac:dyDescent="0.25">
      <c r="A8282" s="6"/>
    </row>
    <row r="8283" spans="1:1" ht="18.75" x14ac:dyDescent="0.25">
      <c r="A8283" s="6"/>
    </row>
    <row r="8284" spans="1:1" ht="18.75" x14ac:dyDescent="0.25">
      <c r="A8284" s="6"/>
    </row>
    <row r="8285" spans="1:1" ht="18.75" x14ac:dyDescent="0.25">
      <c r="A8285" s="6"/>
    </row>
    <row r="8286" spans="1:1" ht="18.75" x14ac:dyDescent="0.25">
      <c r="A8286" s="6"/>
    </row>
    <row r="8287" spans="1:1" ht="18.75" x14ac:dyDescent="0.25">
      <c r="A8287" s="6"/>
    </row>
    <row r="8288" spans="1:1" ht="18.75" x14ac:dyDescent="0.25">
      <c r="A8288" s="6"/>
    </row>
    <row r="8289" spans="1:1" ht="18.75" x14ac:dyDescent="0.25">
      <c r="A8289" s="6"/>
    </row>
    <row r="8290" spans="1:1" ht="18.75" x14ac:dyDescent="0.25">
      <c r="A8290" s="6"/>
    </row>
    <row r="8291" spans="1:1" ht="18.75" x14ac:dyDescent="0.25">
      <c r="A8291" s="6"/>
    </row>
    <row r="8292" spans="1:1" ht="18.75" x14ac:dyDescent="0.25">
      <c r="A8292" s="6"/>
    </row>
    <row r="8293" spans="1:1" ht="18.75" x14ac:dyDescent="0.25">
      <c r="A8293" s="6"/>
    </row>
    <row r="8294" spans="1:1" ht="18.75" x14ac:dyDescent="0.25">
      <c r="A8294" s="6"/>
    </row>
    <row r="8295" spans="1:1" ht="18.75" x14ac:dyDescent="0.25">
      <c r="A8295" s="6"/>
    </row>
    <row r="8296" spans="1:1" ht="18.75" x14ac:dyDescent="0.25">
      <c r="A8296" s="6"/>
    </row>
    <row r="8297" spans="1:1" ht="18.75" x14ac:dyDescent="0.25">
      <c r="A8297" s="6"/>
    </row>
    <row r="8298" spans="1:1" ht="18.75" x14ac:dyDescent="0.25">
      <c r="A8298" s="6"/>
    </row>
    <row r="8299" spans="1:1" ht="18.75" x14ac:dyDescent="0.25">
      <c r="A8299" s="6"/>
    </row>
    <row r="8300" spans="1:1" ht="18.75" x14ac:dyDescent="0.25">
      <c r="A8300" s="6"/>
    </row>
    <row r="8301" spans="1:1" ht="18.75" x14ac:dyDescent="0.25">
      <c r="A8301" s="6"/>
    </row>
    <row r="8302" spans="1:1" ht="18.75" x14ac:dyDescent="0.25">
      <c r="A8302" s="6"/>
    </row>
    <row r="8303" spans="1:1" ht="18.75" x14ac:dyDescent="0.25">
      <c r="A8303" s="6"/>
    </row>
    <row r="8304" spans="1:1" ht="18.75" x14ac:dyDescent="0.25">
      <c r="A8304" s="6"/>
    </row>
    <row r="8305" spans="1:1" ht="18.75" x14ac:dyDescent="0.25">
      <c r="A8305" s="6"/>
    </row>
    <row r="8306" spans="1:1" ht="18.75" x14ac:dyDescent="0.25">
      <c r="A8306" s="6"/>
    </row>
    <row r="8307" spans="1:1" ht="18.75" x14ac:dyDescent="0.25">
      <c r="A8307" s="6"/>
    </row>
    <row r="8308" spans="1:1" ht="18.75" x14ac:dyDescent="0.25">
      <c r="A8308" s="6"/>
    </row>
    <row r="8309" spans="1:1" ht="18.75" x14ac:dyDescent="0.25">
      <c r="A8309" s="6"/>
    </row>
    <row r="8310" spans="1:1" ht="18.75" x14ac:dyDescent="0.25">
      <c r="A8310" s="6"/>
    </row>
    <row r="8311" spans="1:1" ht="18.75" x14ac:dyDescent="0.25">
      <c r="A8311" s="6"/>
    </row>
    <row r="8312" spans="1:1" ht="18.75" x14ac:dyDescent="0.25">
      <c r="A8312" s="6"/>
    </row>
    <row r="8313" spans="1:1" ht="18.75" x14ac:dyDescent="0.25">
      <c r="A8313" s="6"/>
    </row>
    <row r="8314" spans="1:1" ht="18.75" x14ac:dyDescent="0.25">
      <c r="A8314" s="6"/>
    </row>
    <row r="8315" spans="1:1" ht="18.75" x14ac:dyDescent="0.25">
      <c r="A8315" s="6"/>
    </row>
    <row r="8316" spans="1:1" ht="18.75" x14ac:dyDescent="0.25">
      <c r="A8316" s="6"/>
    </row>
    <row r="8317" spans="1:1" ht="18.75" x14ac:dyDescent="0.25">
      <c r="A8317" s="6"/>
    </row>
    <row r="8318" spans="1:1" ht="18.75" x14ac:dyDescent="0.25">
      <c r="A8318" s="6"/>
    </row>
    <row r="8319" spans="1:1" ht="18.75" x14ac:dyDescent="0.25">
      <c r="A8319" s="6"/>
    </row>
    <row r="8320" spans="1:1" ht="18.75" x14ac:dyDescent="0.25">
      <c r="A8320" s="6"/>
    </row>
    <row r="8321" spans="1:1" ht="18.75" x14ac:dyDescent="0.25">
      <c r="A8321" s="6"/>
    </row>
    <row r="8322" spans="1:1" ht="18.75" x14ac:dyDescent="0.25">
      <c r="A8322" s="6"/>
    </row>
    <row r="8323" spans="1:1" ht="18.75" x14ac:dyDescent="0.25">
      <c r="A8323" s="6"/>
    </row>
    <row r="8324" spans="1:1" ht="18.75" x14ac:dyDescent="0.25">
      <c r="A8324" s="6"/>
    </row>
    <row r="8325" spans="1:1" ht="18.75" x14ac:dyDescent="0.25">
      <c r="A8325" s="6"/>
    </row>
    <row r="8326" spans="1:1" ht="18.75" x14ac:dyDescent="0.25">
      <c r="A8326" s="6"/>
    </row>
    <row r="8327" spans="1:1" ht="18.75" x14ac:dyDescent="0.25">
      <c r="A8327" s="6"/>
    </row>
    <row r="8328" spans="1:1" ht="18.75" x14ac:dyDescent="0.25">
      <c r="A8328" s="6"/>
    </row>
    <row r="8329" spans="1:1" ht="18.75" x14ac:dyDescent="0.25">
      <c r="A8329" s="6"/>
    </row>
    <row r="8330" spans="1:1" ht="18.75" x14ac:dyDescent="0.25">
      <c r="A8330" s="6"/>
    </row>
    <row r="8331" spans="1:1" ht="18.75" x14ac:dyDescent="0.25">
      <c r="A8331" s="6"/>
    </row>
    <row r="8332" spans="1:1" ht="18.75" x14ac:dyDescent="0.25">
      <c r="A8332" s="6"/>
    </row>
    <row r="8333" spans="1:1" ht="18.75" x14ac:dyDescent="0.25">
      <c r="A8333" s="6"/>
    </row>
    <row r="8334" spans="1:1" ht="18.75" x14ac:dyDescent="0.25">
      <c r="A8334" s="6"/>
    </row>
    <row r="8335" spans="1:1" ht="18.75" x14ac:dyDescent="0.25">
      <c r="A8335" s="6"/>
    </row>
    <row r="8336" spans="1:1" ht="18.75" x14ac:dyDescent="0.25">
      <c r="A8336" s="6"/>
    </row>
    <row r="8337" spans="1:1" ht="18.75" x14ac:dyDescent="0.25">
      <c r="A8337" s="6"/>
    </row>
    <row r="8338" spans="1:1" ht="18.75" x14ac:dyDescent="0.25">
      <c r="A8338" s="6"/>
    </row>
    <row r="8339" spans="1:1" ht="18.75" x14ac:dyDescent="0.25">
      <c r="A8339" s="6"/>
    </row>
    <row r="8340" spans="1:1" ht="18.75" x14ac:dyDescent="0.25">
      <c r="A8340" s="6"/>
    </row>
    <row r="8341" spans="1:1" ht="18.75" x14ac:dyDescent="0.25">
      <c r="A8341" s="6"/>
    </row>
    <row r="8342" spans="1:1" ht="18.75" x14ac:dyDescent="0.25">
      <c r="A8342" s="6"/>
    </row>
    <row r="8343" spans="1:1" ht="18.75" x14ac:dyDescent="0.25">
      <c r="A8343" s="6"/>
    </row>
    <row r="8344" spans="1:1" ht="18.75" x14ac:dyDescent="0.25">
      <c r="A8344" s="6"/>
    </row>
    <row r="8345" spans="1:1" ht="18.75" x14ac:dyDescent="0.25">
      <c r="A8345" s="6"/>
    </row>
    <row r="8346" spans="1:1" ht="18.75" x14ac:dyDescent="0.25">
      <c r="A8346" s="6"/>
    </row>
    <row r="8347" spans="1:1" ht="18.75" x14ac:dyDescent="0.25">
      <c r="A8347" s="6"/>
    </row>
    <row r="8348" spans="1:1" ht="18.75" x14ac:dyDescent="0.25">
      <c r="A8348" s="6"/>
    </row>
    <row r="8349" spans="1:1" ht="18.75" x14ac:dyDescent="0.25">
      <c r="A8349" s="6"/>
    </row>
    <row r="8350" spans="1:1" ht="18.75" x14ac:dyDescent="0.25">
      <c r="A8350" s="6"/>
    </row>
    <row r="8351" spans="1:1" ht="18.75" x14ac:dyDescent="0.25">
      <c r="A8351" s="6"/>
    </row>
    <row r="8352" spans="1:1" ht="18.75" x14ac:dyDescent="0.25">
      <c r="A8352" s="6"/>
    </row>
    <row r="8353" spans="1:1" ht="18.75" x14ac:dyDescent="0.25">
      <c r="A8353" s="6"/>
    </row>
    <row r="8354" spans="1:1" ht="18.75" x14ac:dyDescent="0.25">
      <c r="A8354" s="6"/>
    </row>
    <row r="8355" spans="1:1" ht="18.75" x14ac:dyDescent="0.25">
      <c r="A8355" s="6"/>
    </row>
    <row r="8356" spans="1:1" ht="18.75" x14ac:dyDescent="0.25">
      <c r="A8356" s="6"/>
    </row>
    <row r="8357" spans="1:1" ht="18.75" x14ac:dyDescent="0.25">
      <c r="A8357" s="6"/>
    </row>
    <row r="8358" spans="1:1" ht="18.75" x14ac:dyDescent="0.25">
      <c r="A8358" s="6"/>
    </row>
    <row r="8359" spans="1:1" ht="18.75" x14ac:dyDescent="0.25">
      <c r="A8359" s="6"/>
    </row>
    <row r="8360" spans="1:1" ht="18.75" x14ac:dyDescent="0.25">
      <c r="A8360" s="6"/>
    </row>
    <row r="8361" spans="1:1" ht="18.75" x14ac:dyDescent="0.25">
      <c r="A8361" s="6"/>
    </row>
    <row r="8362" spans="1:1" ht="18.75" x14ac:dyDescent="0.25">
      <c r="A8362" s="6"/>
    </row>
    <row r="8363" spans="1:1" ht="18.75" x14ac:dyDescent="0.25">
      <c r="A8363" s="6"/>
    </row>
    <row r="8364" spans="1:1" ht="18.75" x14ac:dyDescent="0.25">
      <c r="A8364" s="6"/>
    </row>
    <row r="8365" spans="1:1" ht="18.75" x14ac:dyDescent="0.25">
      <c r="A8365" s="6"/>
    </row>
    <row r="8366" spans="1:1" ht="18.75" x14ac:dyDescent="0.25">
      <c r="A8366" s="6"/>
    </row>
    <row r="8367" spans="1:1" ht="18.75" x14ac:dyDescent="0.25">
      <c r="A8367" s="6"/>
    </row>
    <row r="8368" spans="1:1" ht="18.75" x14ac:dyDescent="0.25">
      <c r="A8368" s="6"/>
    </row>
    <row r="8369" spans="1:1" ht="18.75" x14ac:dyDescent="0.25">
      <c r="A8369" s="6"/>
    </row>
    <row r="8370" spans="1:1" ht="18.75" x14ac:dyDescent="0.25">
      <c r="A8370" s="6"/>
    </row>
    <row r="8371" spans="1:1" ht="18.75" x14ac:dyDescent="0.25">
      <c r="A8371" s="6"/>
    </row>
    <row r="8372" spans="1:1" ht="18.75" x14ac:dyDescent="0.25">
      <c r="A8372" s="6"/>
    </row>
    <row r="8373" spans="1:1" ht="18.75" x14ac:dyDescent="0.25">
      <c r="A8373" s="6"/>
    </row>
    <row r="8374" spans="1:1" ht="18.75" x14ac:dyDescent="0.25">
      <c r="A8374" s="6"/>
    </row>
    <row r="8375" spans="1:1" ht="18.75" x14ac:dyDescent="0.25">
      <c r="A8375" s="6"/>
    </row>
    <row r="8376" spans="1:1" ht="18.75" x14ac:dyDescent="0.25">
      <c r="A8376" s="6"/>
    </row>
    <row r="8377" spans="1:1" ht="18.75" x14ac:dyDescent="0.25">
      <c r="A8377" s="6"/>
    </row>
    <row r="8378" spans="1:1" ht="18.75" x14ac:dyDescent="0.25">
      <c r="A8378" s="6"/>
    </row>
    <row r="8379" spans="1:1" ht="18.75" x14ac:dyDescent="0.25">
      <c r="A8379" s="6"/>
    </row>
    <row r="8380" spans="1:1" ht="18.75" x14ac:dyDescent="0.25">
      <c r="A8380" s="6"/>
    </row>
    <row r="8381" spans="1:1" ht="18.75" x14ac:dyDescent="0.25">
      <c r="A8381" s="6"/>
    </row>
    <row r="8382" spans="1:1" ht="18.75" x14ac:dyDescent="0.25">
      <c r="A8382" s="6"/>
    </row>
    <row r="8383" spans="1:1" ht="18.75" x14ac:dyDescent="0.25">
      <c r="A8383" s="6"/>
    </row>
    <row r="8384" spans="1:1" ht="18.75" x14ac:dyDescent="0.25">
      <c r="A8384" s="6"/>
    </row>
    <row r="8385" spans="1:1" ht="18.75" x14ac:dyDescent="0.25">
      <c r="A8385" s="6"/>
    </row>
    <row r="8386" spans="1:1" ht="18.75" x14ac:dyDescent="0.25">
      <c r="A8386" s="6"/>
    </row>
    <row r="8387" spans="1:1" ht="18.75" x14ac:dyDescent="0.25">
      <c r="A8387" s="6"/>
    </row>
    <row r="8388" spans="1:1" ht="18.75" x14ac:dyDescent="0.25">
      <c r="A8388" s="6"/>
    </row>
    <row r="8389" spans="1:1" ht="18.75" x14ac:dyDescent="0.25">
      <c r="A8389" s="6"/>
    </row>
    <row r="8390" spans="1:1" ht="18.75" x14ac:dyDescent="0.25">
      <c r="A8390" s="6"/>
    </row>
    <row r="8391" spans="1:1" ht="18.75" x14ac:dyDescent="0.25">
      <c r="A8391" s="6"/>
    </row>
    <row r="8392" spans="1:1" ht="18.75" x14ac:dyDescent="0.25">
      <c r="A8392" s="6"/>
    </row>
    <row r="8393" spans="1:1" ht="18.75" x14ac:dyDescent="0.25">
      <c r="A8393" s="6"/>
    </row>
    <row r="8394" spans="1:1" ht="18.75" x14ac:dyDescent="0.25">
      <c r="A8394" s="6"/>
    </row>
    <row r="8395" spans="1:1" ht="18.75" x14ac:dyDescent="0.25">
      <c r="A8395" s="6"/>
    </row>
    <row r="8396" spans="1:1" ht="18.75" x14ac:dyDescent="0.25">
      <c r="A8396" s="6"/>
    </row>
    <row r="8397" spans="1:1" ht="18.75" x14ac:dyDescent="0.25">
      <c r="A8397" s="6"/>
    </row>
    <row r="8398" spans="1:1" ht="18.75" x14ac:dyDescent="0.25">
      <c r="A8398" s="6"/>
    </row>
    <row r="8399" spans="1:1" ht="18.75" x14ac:dyDescent="0.25">
      <c r="A8399" s="6"/>
    </row>
    <row r="8400" spans="1:1" ht="18.75" x14ac:dyDescent="0.25">
      <c r="A8400" s="6"/>
    </row>
    <row r="8401" spans="1:1" ht="18.75" x14ac:dyDescent="0.25">
      <c r="A8401" s="6"/>
    </row>
    <row r="8402" spans="1:1" ht="18.75" x14ac:dyDescent="0.25">
      <c r="A8402" s="6"/>
    </row>
    <row r="8403" spans="1:1" ht="18.75" x14ac:dyDescent="0.25">
      <c r="A8403" s="6"/>
    </row>
    <row r="8404" spans="1:1" ht="18.75" x14ac:dyDescent="0.25">
      <c r="A8404" s="6"/>
    </row>
    <row r="8405" spans="1:1" ht="18.75" x14ac:dyDescent="0.25">
      <c r="A8405" s="6"/>
    </row>
    <row r="8406" spans="1:1" ht="18.75" x14ac:dyDescent="0.25">
      <c r="A8406" s="6"/>
    </row>
    <row r="8407" spans="1:1" ht="18.75" x14ac:dyDescent="0.25">
      <c r="A8407" s="6"/>
    </row>
    <row r="8408" spans="1:1" ht="18.75" x14ac:dyDescent="0.25">
      <c r="A8408" s="6"/>
    </row>
    <row r="8409" spans="1:1" ht="18.75" x14ac:dyDescent="0.25">
      <c r="A8409" s="6"/>
    </row>
    <row r="8410" spans="1:1" ht="18.75" x14ac:dyDescent="0.25">
      <c r="A8410" s="6"/>
    </row>
    <row r="8411" spans="1:1" ht="18.75" x14ac:dyDescent="0.25">
      <c r="A8411" s="6"/>
    </row>
    <row r="8412" spans="1:1" ht="18.75" x14ac:dyDescent="0.25">
      <c r="A8412" s="6"/>
    </row>
    <row r="8413" spans="1:1" ht="18.75" x14ac:dyDescent="0.25">
      <c r="A8413" s="6"/>
    </row>
    <row r="8414" spans="1:1" ht="18.75" x14ac:dyDescent="0.25">
      <c r="A8414" s="6"/>
    </row>
    <row r="8415" spans="1:1" ht="18.75" x14ac:dyDescent="0.25">
      <c r="A8415" s="6"/>
    </row>
    <row r="8416" spans="1:1" ht="18.75" x14ac:dyDescent="0.25">
      <c r="A8416" s="6"/>
    </row>
    <row r="8417" spans="1:1" ht="18.75" x14ac:dyDescent="0.25">
      <c r="A8417" s="6"/>
    </row>
    <row r="8418" spans="1:1" ht="18.75" x14ac:dyDescent="0.25">
      <c r="A8418" s="6"/>
    </row>
    <row r="8419" spans="1:1" ht="18.75" x14ac:dyDescent="0.25">
      <c r="A8419" s="6"/>
    </row>
    <row r="8420" spans="1:1" ht="18.75" x14ac:dyDescent="0.25">
      <c r="A8420" s="6"/>
    </row>
    <row r="8421" spans="1:1" ht="18.75" x14ac:dyDescent="0.25">
      <c r="A8421" s="6"/>
    </row>
    <row r="8422" spans="1:1" ht="18.75" x14ac:dyDescent="0.25">
      <c r="A8422" s="6"/>
    </row>
    <row r="8423" spans="1:1" ht="18.75" x14ac:dyDescent="0.25">
      <c r="A8423" s="6"/>
    </row>
    <row r="8424" spans="1:1" ht="18.75" x14ac:dyDescent="0.25">
      <c r="A8424" s="6"/>
    </row>
    <row r="8425" spans="1:1" ht="18.75" x14ac:dyDescent="0.25">
      <c r="A8425" s="6"/>
    </row>
    <row r="8426" spans="1:1" ht="18.75" x14ac:dyDescent="0.25">
      <c r="A8426" s="6"/>
    </row>
    <row r="8427" spans="1:1" ht="18.75" x14ac:dyDescent="0.25">
      <c r="A8427" s="6"/>
    </row>
    <row r="8428" spans="1:1" ht="18.75" x14ac:dyDescent="0.25">
      <c r="A8428" s="6"/>
    </row>
    <row r="8429" spans="1:1" ht="18.75" x14ac:dyDescent="0.25">
      <c r="A8429" s="6"/>
    </row>
    <row r="8430" spans="1:1" ht="18.75" x14ac:dyDescent="0.25">
      <c r="A8430" s="6"/>
    </row>
    <row r="8431" spans="1:1" ht="18.75" x14ac:dyDescent="0.25">
      <c r="A8431" s="6"/>
    </row>
    <row r="8432" spans="1:1" ht="18.75" x14ac:dyDescent="0.25">
      <c r="A8432" s="6"/>
    </row>
    <row r="8433" spans="1:1" ht="18.75" x14ac:dyDescent="0.25">
      <c r="A8433" s="6"/>
    </row>
    <row r="8434" spans="1:1" ht="18.75" x14ac:dyDescent="0.25">
      <c r="A8434" s="6"/>
    </row>
    <row r="8435" spans="1:1" ht="18.75" x14ac:dyDescent="0.25">
      <c r="A8435" s="6"/>
    </row>
    <row r="8436" spans="1:1" ht="18.75" x14ac:dyDescent="0.25">
      <c r="A8436" s="6"/>
    </row>
    <row r="8437" spans="1:1" ht="18.75" x14ac:dyDescent="0.25">
      <c r="A8437" s="6"/>
    </row>
    <row r="8438" spans="1:1" ht="18.75" x14ac:dyDescent="0.25">
      <c r="A8438" s="6"/>
    </row>
    <row r="8439" spans="1:1" ht="18.75" x14ac:dyDescent="0.25">
      <c r="A8439" s="6"/>
    </row>
    <row r="8440" spans="1:1" ht="18.75" x14ac:dyDescent="0.25">
      <c r="A8440" s="6"/>
    </row>
    <row r="8441" spans="1:1" ht="18.75" x14ac:dyDescent="0.25">
      <c r="A8441" s="6"/>
    </row>
    <row r="8442" spans="1:1" ht="18.75" x14ac:dyDescent="0.25">
      <c r="A8442" s="6"/>
    </row>
    <row r="8443" spans="1:1" ht="18.75" x14ac:dyDescent="0.25">
      <c r="A8443" s="6"/>
    </row>
    <row r="8444" spans="1:1" ht="18.75" x14ac:dyDescent="0.25">
      <c r="A8444" s="6"/>
    </row>
    <row r="8445" spans="1:1" ht="18.75" x14ac:dyDescent="0.25">
      <c r="A8445" s="6"/>
    </row>
    <row r="8446" spans="1:1" ht="18.75" x14ac:dyDescent="0.25">
      <c r="A8446" s="6"/>
    </row>
    <row r="8447" spans="1:1" ht="18.75" x14ac:dyDescent="0.25">
      <c r="A8447" s="6"/>
    </row>
    <row r="8448" spans="1:1" ht="18.75" x14ac:dyDescent="0.25">
      <c r="A8448" s="6"/>
    </row>
    <row r="8449" spans="1:1" ht="18.75" x14ac:dyDescent="0.25">
      <c r="A8449" s="6"/>
    </row>
    <row r="8450" spans="1:1" ht="18.75" x14ac:dyDescent="0.25">
      <c r="A8450" s="6"/>
    </row>
    <row r="8451" spans="1:1" ht="18.75" x14ac:dyDescent="0.25">
      <c r="A8451" s="6"/>
    </row>
    <row r="8452" spans="1:1" ht="18.75" x14ac:dyDescent="0.25">
      <c r="A8452" s="6"/>
    </row>
    <row r="8453" spans="1:1" ht="18.75" x14ac:dyDescent="0.25">
      <c r="A8453" s="6"/>
    </row>
    <row r="8454" spans="1:1" ht="18.75" x14ac:dyDescent="0.25">
      <c r="A8454" s="6"/>
    </row>
    <row r="8455" spans="1:1" ht="18.75" x14ac:dyDescent="0.25">
      <c r="A8455" s="6"/>
    </row>
    <row r="8456" spans="1:1" ht="18.75" x14ac:dyDescent="0.25">
      <c r="A8456" s="6"/>
    </row>
    <row r="8457" spans="1:1" ht="18.75" x14ac:dyDescent="0.25">
      <c r="A8457" s="6"/>
    </row>
    <row r="8458" spans="1:1" ht="18.75" x14ac:dyDescent="0.25">
      <c r="A8458" s="6"/>
    </row>
    <row r="8459" spans="1:1" ht="18.75" x14ac:dyDescent="0.25">
      <c r="A8459" s="6"/>
    </row>
    <row r="8460" spans="1:1" ht="18.75" x14ac:dyDescent="0.25">
      <c r="A8460" s="6"/>
    </row>
    <row r="8461" spans="1:1" ht="18.75" x14ac:dyDescent="0.25">
      <c r="A8461" s="6"/>
    </row>
    <row r="8462" spans="1:1" ht="18.75" x14ac:dyDescent="0.25">
      <c r="A8462" s="6"/>
    </row>
    <row r="8463" spans="1:1" ht="18.75" x14ac:dyDescent="0.25">
      <c r="A8463" s="6"/>
    </row>
    <row r="8464" spans="1:1" ht="18.75" x14ac:dyDescent="0.25">
      <c r="A8464" s="6"/>
    </row>
    <row r="8465" spans="1:1" ht="18.75" x14ac:dyDescent="0.25">
      <c r="A8465" s="6"/>
    </row>
    <row r="8466" spans="1:1" ht="18.75" x14ac:dyDescent="0.25">
      <c r="A8466" s="6"/>
    </row>
    <row r="8467" spans="1:1" ht="18.75" x14ac:dyDescent="0.25">
      <c r="A8467" s="6"/>
    </row>
    <row r="8468" spans="1:1" ht="18.75" x14ac:dyDescent="0.25">
      <c r="A8468" s="6"/>
    </row>
    <row r="8469" spans="1:1" ht="18.75" x14ac:dyDescent="0.25">
      <c r="A8469" s="6"/>
    </row>
    <row r="8470" spans="1:1" ht="18.75" x14ac:dyDescent="0.25">
      <c r="A8470" s="6"/>
    </row>
    <row r="8471" spans="1:1" ht="18.75" x14ac:dyDescent="0.25">
      <c r="A8471" s="6"/>
    </row>
    <row r="8472" spans="1:1" ht="18.75" x14ac:dyDescent="0.25">
      <c r="A8472" s="6"/>
    </row>
    <row r="8473" spans="1:1" ht="18.75" x14ac:dyDescent="0.25">
      <c r="A8473" s="6"/>
    </row>
    <row r="8474" spans="1:1" ht="18.75" x14ac:dyDescent="0.25">
      <c r="A8474" s="6"/>
    </row>
    <row r="8475" spans="1:1" ht="18.75" x14ac:dyDescent="0.25">
      <c r="A8475" s="6"/>
    </row>
    <row r="8476" spans="1:1" ht="18.75" x14ac:dyDescent="0.25">
      <c r="A8476" s="6"/>
    </row>
    <row r="8477" spans="1:1" ht="18.75" x14ac:dyDescent="0.25">
      <c r="A8477" s="6"/>
    </row>
    <row r="8478" spans="1:1" ht="18.75" x14ac:dyDescent="0.25">
      <c r="A8478" s="6"/>
    </row>
    <row r="8479" spans="1:1" ht="18.75" x14ac:dyDescent="0.25">
      <c r="A8479" s="6"/>
    </row>
    <row r="8480" spans="1:1" ht="18.75" x14ac:dyDescent="0.25">
      <c r="A8480" s="6"/>
    </row>
    <row r="8481" spans="1:1" ht="18.75" x14ac:dyDescent="0.25">
      <c r="A8481" s="6"/>
    </row>
    <row r="8482" spans="1:1" ht="18.75" x14ac:dyDescent="0.25">
      <c r="A8482" s="6"/>
    </row>
    <row r="8483" spans="1:1" ht="18.75" x14ac:dyDescent="0.25">
      <c r="A8483" s="6"/>
    </row>
    <row r="8484" spans="1:1" ht="18.75" x14ac:dyDescent="0.25">
      <c r="A8484" s="6"/>
    </row>
    <row r="8485" spans="1:1" ht="18.75" x14ac:dyDescent="0.25">
      <c r="A8485" s="6"/>
    </row>
    <row r="8486" spans="1:1" ht="18.75" x14ac:dyDescent="0.25">
      <c r="A8486" s="6"/>
    </row>
    <row r="8487" spans="1:1" ht="18.75" x14ac:dyDescent="0.25">
      <c r="A8487" s="6"/>
    </row>
    <row r="8488" spans="1:1" ht="18.75" x14ac:dyDescent="0.25">
      <c r="A8488" s="6"/>
    </row>
    <row r="8489" spans="1:1" ht="18.75" x14ac:dyDescent="0.25">
      <c r="A8489" s="6"/>
    </row>
    <row r="8490" spans="1:1" ht="18.75" x14ac:dyDescent="0.25">
      <c r="A8490" s="6"/>
    </row>
    <row r="8491" spans="1:1" ht="18.75" x14ac:dyDescent="0.25">
      <c r="A8491" s="6"/>
    </row>
    <row r="8492" spans="1:1" ht="18.75" x14ac:dyDescent="0.25">
      <c r="A8492" s="6"/>
    </row>
    <row r="8493" spans="1:1" ht="18.75" x14ac:dyDescent="0.25">
      <c r="A8493" s="6"/>
    </row>
    <row r="8494" spans="1:1" ht="18.75" x14ac:dyDescent="0.25">
      <c r="A8494" s="6"/>
    </row>
    <row r="8495" spans="1:1" ht="18.75" x14ac:dyDescent="0.25">
      <c r="A8495" s="6"/>
    </row>
    <row r="8496" spans="1:1" ht="18.75" x14ac:dyDescent="0.25">
      <c r="A8496" s="6"/>
    </row>
    <row r="8497" spans="1:1" ht="18.75" x14ac:dyDescent="0.25">
      <c r="A8497" s="6"/>
    </row>
    <row r="8498" spans="1:1" ht="18.75" x14ac:dyDescent="0.25">
      <c r="A8498" s="6"/>
    </row>
    <row r="8499" spans="1:1" ht="18.75" x14ac:dyDescent="0.25">
      <c r="A8499" s="6"/>
    </row>
    <row r="8500" spans="1:1" ht="18.75" x14ac:dyDescent="0.25">
      <c r="A8500" s="6"/>
    </row>
    <row r="8501" spans="1:1" ht="18.75" x14ac:dyDescent="0.25">
      <c r="A8501" s="6"/>
    </row>
    <row r="8502" spans="1:1" ht="18.75" x14ac:dyDescent="0.25">
      <c r="A8502" s="6"/>
    </row>
    <row r="8503" spans="1:1" ht="18.75" x14ac:dyDescent="0.25">
      <c r="A8503" s="6"/>
    </row>
    <row r="8504" spans="1:1" ht="18.75" x14ac:dyDescent="0.25">
      <c r="A8504" s="6"/>
    </row>
    <row r="8505" spans="1:1" ht="18.75" x14ac:dyDescent="0.25">
      <c r="A8505" s="6"/>
    </row>
    <row r="8506" spans="1:1" ht="18.75" x14ac:dyDescent="0.25">
      <c r="A8506" s="6"/>
    </row>
    <row r="8507" spans="1:1" ht="18.75" x14ac:dyDescent="0.25">
      <c r="A8507" s="6"/>
    </row>
    <row r="8508" spans="1:1" ht="18.75" x14ac:dyDescent="0.25">
      <c r="A8508" s="6"/>
    </row>
    <row r="8509" spans="1:1" ht="18.75" x14ac:dyDescent="0.25">
      <c r="A8509" s="6"/>
    </row>
    <row r="8510" spans="1:1" ht="18.75" x14ac:dyDescent="0.25">
      <c r="A8510" s="6"/>
    </row>
    <row r="8511" spans="1:1" ht="18.75" x14ac:dyDescent="0.25">
      <c r="A8511" s="6"/>
    </row>
    <row r="8512" spans="1:1" ht="18.75" x14ac:dyDescent="0.25">
      <c r="A8512" s="6"/>
    </row>
    <row r="8513" spans="1:1" ht="18.75" x14ac:dyDescent="0.25">
      <c r="A8513" s="6"/>
    </row>
    <row r="8514" spans="1:1" ht="18.75" x14ac:dyDescent="0.25">
      <c r="A8514" s="6"/>
    </row>
    <row r="8515" spans="1:1" ht="18.75" x14ac:dyDescent="0.25">
      <c r="A8515" s="6"/>
    </row>
    <row r="8516" spans="1:1" ht="18.75" x14ac:dyDescent="0.25">
      <c r="A8516" s="6"/>
    </row>
    <row r="8517" spans="1:1" ht="18.75" x14ac:dyDescent="0.25">
      <c r="A8517" s="6"/>
    </row>
    <row r="8518" spans="1:1" ht="18.75" x14ac:dyDescent="0.25">
      <c r="A8518" s="6"/>
    </row>
    <row r="8519" spans="1:1" ht="18.75" x14ac:dyDescent="0.25">
      <c r="A8519" s="6"/>
    </row>
    <row r="8520" spans="1:1" ht="18.75" x14ac:dyDescent="0.25">
      <c r="A8520" s="6"/>
    </row>
    <row r="8521" spans="1:1" ht="18.75" x14ac:dyDescent="0.25">
      <c r="A8521" s="6"/>
    </row>
    <row r="8522" spans="1:1" ht="18.75" x14ac:dyDescent="0.25">
      <c r="A8522" s="6"/>
    </row>
    <row r="8523" spans="1:1" ht="18.75" x14ac:dyDescent="0.25">
      <c r="A8523" s="6"/>
    </row>
    <row r="8524" spans="1:1" ht="18.75" x14ac:dyDescent="0.25">
      <c r="A8524" s="6"/>
    </row>
    <row r="8525" spans="1:1" ht="18.75" x14ac:dyDescent="0.25">
      <c r="A8525" s="6"/>
    </row>
    <row r="8526" spans="1:1" ht="18.75" x14ac:dyDescent="0.25">
      <c r="A8526" s="6"/>
    </row>
    <row r="8527" spans="1:1" ht="18.75" x14ac:dyDescent="0.25">
      <c r="A8527" s="6"/>
    </row>
    <row r="8528" spans="1:1" ht="18.75" x14ac:dyDescent="0.25">
      <c r="A8528" s="6"/>
    </row>
    <row r="8529" spans="1:1" ht="18.75" x14ac:dyDescent="0.25">
      <c r="A8529" s="6"/>
    </row>
    <row r="8530" spans="1:1" ht="18.75" x14ac:dyDescent="0.25">
      <c r="A8530" s="6"/>
    </row>
    <row r="8531" spans="1:1" ht="18.75" x14ac:dyDescent="0.25">
      <c r="A8531" s="6"/>
    </row>
    <row r="8532" spans="1:1" ht="18.75" x14ac:dyDescent="0.25">
      <c r="A8532" s="6"/>
    </row>
    <row r="8533" spans="1:1" ht="18.75" x14ac:dyDescent="0.25">
      <c r="A8533" s="6"/>
    </row>
    <row r="8534" spans="1:1" ht="18.75" x14ac:dyDescent="0.25">
      <c r="A8534" s="6"/>
    </row>
    <row r="8535" spans="1:1" ht="18.75" x14ac:dyDescent="0.25">
      <c r="A8535" s="6"/>
    </row>
    <row r="8536" spans="1:1" ht="18.75" x14ac:dyDescent="0.25">
      <c r="A8536" s="6"/>
    </row>
    <row r="8537" spans="1:1" ht="18.75" x14ac:dyDescent="0.25">
      <c r="A8537" s="6"/>
    </row>
    <row r="8538" spans="1:1" ht="18.75" x14ac:dyDescent="0.25">
      <c r="A8538" s="6"/>
    </row>
    <row r="8539" spans="1:1" ht="18.75" x14ac:dyDescent="0.25">
      <c r="A8539" s="6"/>
    </row>
    <row r="8540" spans="1:1" ht="18.75" x14ac:dyDescent="0.25">
      <c r="A8540" s="6"/>
    </row>
    <row r="8541" spans="1:1" ht="18.75" x14ac:dyDescent="0.25">
      <c r="A8541" s="6"/>
    </row>
    <row r="8542" spans="1:1" ht="18.75" x14ac:dyDescent="0.25">
      <c r="A8542" s="6"/>
    </row>
    <row r="8543" spans="1:1" ht="18.75" x14ac:dyDescent="0.25">
      <c r="A8543" s="6"/>
    </row>
    <row r="8544" spans="1:1" ht="18.75" x14ac:dyDescent="0.25">
      <c r="A8544" s="6"/>
    </row>
    <row r="8545" spans="1:1" ht="18.75" x14ac:dyDescent="0.25">
      <c r="A8545" s="6"/>
    </row>
    <row r="8546" spans="1:1" ht="18.75" x14ac:dyDescent="0.25">
      <c r="A8546" s="6"/>
    </row>
    <row r="8547" spans="1:1" ht="18.75" x14ac:dyDescent="0.25">
      <c r="A8547" s="6"/>
    </row>
    <row r="8548" spans="1:1" ht="18.75" x14ac:dyDescent="0.25">
      <c r="A8548" s="6"/>
    </row>
    <row r="8549" spans="1:1" ht="18.75" x14ac:dyDescent="0.25">
      <c r="A8549" s="6"/>
    </row>
    <row r="8550" spans="1:1" ht="18.75" x14ac:dyDescent="0.25">
      <c r="A8550" s="6"/>
    </row>
    <row r="8551" spans="1:1" ht="18.75" x14ac:dyDescent="0.25">
      <c r="A8551" s="6"/>
    </row>
    <row r="8552" spans="1:1" ht="18.75" x14ac:dyDescent="0.25">
      <c r="A8552" s="6"/>
    </row>
    <row r="8553" spans="1:1" ht="18.75" x14ac:dyDescent="0.25">
      <c r="A8553" s="6"/>
    </row>
    <row r="8554" spans="1:1" ht="18.75" x14ac:dyDescent="0.25">
      <c r="A8554" s="6"/>
    </row>
    <row r="8555" spans="1:1" ht="18.75" x14ac:dyDescent="0.25">
      <c r="A8555" s="6"/>
    </row>
    <row r="8556" spans="1:1" ht="18.75" x14ac:dyDescent="0.25">
      <c r="A8556" s="6"/>
    </row>
    <row r="8557" spans="1:1" ht="18.75" x14ac:dyDescent="0.25">
      <c r="A8557" s="6"/>
    </row>
    <row r="8558" spans="1:1" ht="18.75" x14ac:dyDescent="0.25">
      <c r="A8558" s="6"/>
    </row>
    <row r="8559" spans="1:1" ht="18.75" x14ac:dyDescent="0.25">
      <c r="A8559" s="6"/>
    </row>
    <row r="8560" spans="1:1" ht="18.75" x14ac:dyDescent="0.25">
      <c r="A8560" s="6"/>
    </row>
    <row r="8561" spans="1:1" ht="18.75" x14ac:dyDescent="0.25">
      <c r="A8561" s="6"/>
    </row>
    <row r="8562" spans="1:1" ht="18.75" x14ac:dyDescent="0.25">
      <c r="A8562" s="6"/>
    </row>
    <row r="8563" spans="1:1" ht="18.75" x14ac:dyDescent="0.25">
      <c r="A8563" s="6"/>
    </row>
    <row r="8564" spans="1:1" ht="18.75" x14ac:dyDescent="0.25">
      <c r="A8564" s="6"/>
    </row>
    <row r="8565" spans="1:1" ht="18.75" x14ac:dyDescent="0.25">
      <c r="A8565" s="6"/>
    </row>
    <row r="8566" spans="1:1" ht="18.75" x14ac:dyDescent="0.25">
      <c r="A8566" s="6"/>
    </row>
    <row r="8567" spans="1:1" ht="18.75" x14ac:dyDescent="0.25">
      <c r="A8567" s="6"/>
    </row>
    <row r="8568" spans="1:1" ht="18.75" x14ac:dyDescent="0.25">
      <c r="A8568" s="6"/>
    </row>
    <row r="8569" spans="1:1" ht="18.75" x14ac:dyDescent="0.25">
      <c r="A8569" s="6"/>
    </row>
    <row r="8570" spans="1:1" ht="18.75" x14ac:dyDescent="0.25">
      <c r="A8570" s="6"/>
    </row>
    <row r="8571" spans="1:1" ht="18.75" x14ac:dyDescent="0.25">
      <c r="A8571" s="6"/>
    </row>
    <row r="8572" spans="1:1" ht="18.75" x14ac:dyDescent="0.25">
      <c r="A8572" s="6"/>
    </row>
    <row r="8573" spans="1:1" ht="18.75" x14ac:dyDescent="0.25">
      <c r="A8573" s="6"/>
    </row>
    <row r="8574" spans="1:1" ht="18.75" x14ac:dyDescent="0.25">
      <c r="A8574" s="6"/>
    </row>
    <row r="8575" spans="1:1" ht="18.75" x14ac:dyDescent="0.25">
      <c r="A8575" s="6"/>
    </row>
    <row r="8576" spans="1:1" ht="18.75" x14ac:dyDescent="0.25">
      <c r="A8576" s="6"/>
    </row>
    <row r="8577" spans="1:1" ht="18.75" x14ac:dyDescent="0.25">
      <c r="A8577" s="6"/>
    </row>
    <row r="8578" spans="1:1" ht="18.75" x14ac:dyDescent="0.25">
      <c r="A8578" s="6"/>
    </row>
    <row r="8579" spans="1:1" ht="18.75" x14ac:dyDescent="0.25">
      <c r="A8579" s="6"/>
    </row>
    <row r="8580" spans="1:1" ht="18.75" x14ac:dyDescent="0.25">
      <c r="A8580" s="6"/>
    </row>
    <row r="8581" spans="1:1" ht="18.75" x14ac:dyDescent="0.25">
      <c r="A8581" s="6"/>
    </row>
    <row r="8582" spans="1:1" ht="18.75" x14ac:dyDescent="0.25">
      <c r="A8582" s="6"/>
    </row>
    <row r="8583" spans="1:1" ht="18.75" x14ac:dyDescent="0.25">
      <c r="A8583" s="6"/>
    </row>
    <row r="8584" spans="1:1" ht="18.75" x14ac:dyDescent="0.25">
      <c r="A8584" s="6"/>
    </row>
    <row r="8585" spans="1:1" ht="18.75" x14ac:dyDescent="0.25">
      <c r="A8585" s="6"/>
    </row>
    <row r="8586" spans="1:1" ht="18.75" x14ac:dyDescent="0.25">
      <c r="A8586" s="6"/>
    </row>
    <row r="8587" spans="1:1" ht="18.75" x14ac:dyDescent="0.25">
      <c r="A8587" s="6"/>
    </row>
    <row r="8588" spans="1:1" ht="18.75" x14ac:dyDescent="0.25">
      <c r="A8588" s="6"/>
    </row>
    <row r="8589" spans="1:1" ht="18.75" x14ac:dyDescent="0.25">
      <c r="A8589" s="6"/>
    </row>
    <row r="8590" spans="1:1" ht="18.75" x14ac:dyDescent="0.25">
      <c r="A8590" s="6"/>
    </row>
    <row r="8591" spans="1:1" ht="18.75" x14ac:dyDescent="0.25">
      <c r="A8591" s="6"/>
    </row>
    <row r="8592" spans="1:1" ht="18.75" x14ac:dyDescent="0.25">
      <c r="A8592" s="6"/>
    </row>
    <row r="8593" spans="1:1" ht="18.75" x14ac:dyDescent="0.25">
      <c r="A8593" s="6"/>
    </row>
    <row r="8594" spans="1:1" ht="18.75" x14ac:dyDescent="0.25">
      <c r="A8594" s="6"/>
    </row>
    <row r="8595" spans="1:1" ht="18.75" x14ac:dyDescent="0.25">
      <c r="A8595" s="6"/>
    </row>
    <row r="8596" spans="1:1" ht="18.75" x14ac:dyDescent="0.25">
      <c r="A8596" s="6"/>
    </row>
    <row r="8597" spans="1:1" ht="18.75" x14ac:dyDescent="0.25">
      <c r="A8597" s="6"/>
    </row>
    <row r="8598" spans="1:1" ht="18.75" x14ac:dyDescent="0.25">
      <c r="A8598" s="6"/>
    </row>
    <row r="8599" spans="1:1" ht="18.75" x14ac:dyDescent="0.25">
      <c r="A8599" s="6"/>
    </row>
    <row r="8600" spans="1:1" ht="18.75" x14ac:dyDescent="0.25">
      <c r="A8600" s="6"/>
    </row>
    <row r="8601" spans="1:1" ht="18.75" x14ac:dyDescent="0.25">
      <c r="A8601" s="6"/>
    </row>
    <row r="8602" spans="1:1" ht="18.75" x14ac:dyDescent="0.25">
      <c r="A8602" s="6"/>
    </row>
    <row r="8603" spans="1:1" ht="18.75" x14ac:dyDescent="0.25">
      <c r="A8603" s="6"/>
    </row>
    <row r="8604" spans="1:1" ht="18.75" x14ac:dyDescent="0.25">
      <c r="A8604" s="6"/>
    </row>
    <row r="8605" spans="1:1" ht="18.75" x14ac:dyDescent="0.25">
      <c r="A8605" s="6"/>
    </row>
    <row r="8606" spans="1:1" ht="18.75" x14ac:dyDescent="0.25">
      <c r="A8606" s="6"/>
    </row>
    <row r="8607" spans="1:1" ht="18.75" x14ac:dyDescent="0.25">
      <c r="A8607" s="6"/>
    </row>
    <row r="8608" spans="1:1" ht="18.75" x14ac:dyDescent="0.25">
      <c r="A8608" s="6"/>
    </row>
    <row r="8609" spans="1:1" ht="18.75" x14ac:dyDescent="0.25">
      <c r="A8609" s="6"/>
    </row>
    <row r="8610" spans="1:1" ht="18.75" x14ac:dyDescent="0.25">
      <c r="A8610" s="6"/>
    </row>
    <row r="8611" spans="1:1" ht="18.75" x14ac:dyDescent="0.25">
      <c r="A8611" s="6"/>
    </row>
    <row r="8612" spans="1:1" ht="18.75" x14ac:dyDescent="0.25">
      <c r="A8612" s="6"/>
    </row>
    <row r="8613" spans="1:1" ht="18.75" x14ac:dyDescent="0.25">
      <c r="A8613" s="6"/>
    </row>
    <row r="8614" spans="1:1" ht="18.75" x14ac:dyDescent="0.25">
      <c r="A8614" s="6"/>
    </row>
    <row r="8615" spans="1:1" ht="18.75" x14ac:dyDescent="0.25">
      <c r="A8615" s="6"/>
    </row>
    <row r="8616" spans="1:1" ht="18.75" x14ac:dyDescent="0.25">
      <c r="A8616" s="6"/>
    </row>
    <row r="8617" spans="1:1" ht="18.75" x14ac:dyDescent="0.25">
      <c r="A8617" s="6"/>
    </row>
    <row r="8618" spans="1:1" ht="18.75" x14ac:dyDescent="0.25">
      <c r="A8618" s="6"/>
    </row>
    <row r="8619" spans="1:1" ht="18.75" x14ac:dyDescent="0.25">
      <c r="A8619" s="6"/>
    </row>
    <row r="8620" spans="1:1" ht="18.75" x14ac:dyDescent="0.25">
      <c r="A8620" s="6"/>
    </row>
    <row r="8621" spans="1:1" ht="18.75" x14ac:dyDescent="0.25">
      <c r="A8621" s="6"/>
    </row>
    <row r="8622" spans="1:1" ht="18.75" x14ac:dyDescent="0.25">
      <c r="A8622" s="6"/>
    </row>
    <row r="8623" spans="1:1" ht="18.75" x14ac:dyDescent="0.25">
      <c r="A8623" s="6"/>
    </row>
    <row r="8624" spans="1:1" ht="18.75" x14ac:dyDescent="0.25">
      <c r="A8624" s="6"/>
    </row>
    <row r="8625" spans="1:1" ht="18.75" x14ac:dyDescent="0.25">
      <c r="A8625" s="6"/>
    </row>
    <row r="8626" spans="1:1" ht="18.75" x14ac:dyDescent="0.25">
      <c r="A8626" s="6"/>
    </row>
    <row r="8627" spans="1:1" ht="18.75" x14ac:dyDescent="0.25">
      <c r="A8627" s="6"/>
    </row>
    <row r="8628" spans="1:1" ht="18.75" x14ac:dyDescent="0.25">
      <c r="A8628" s="6"/>
    </row>
    <row r="8629" spans="1:1" ht="18.75" x14ac:dyDescent="0.25">
      <c r="A8629" s="6"/>
    </row>
    <row r="8630" spans="1:1" ht="18.75" x14ac:dyDescent="0.25">
      <c r="A8630" s="6"/>
    </row>
    <row r="8631" spans="1:1" ht="18.75" x14ac:dyDescent="0.25">
      <c r="A8631" s="6"/>
    </row>
    <row r="8632" spans="1:1" ht="18.75" x14ac:dyDescent="0.25">
      <c r="A8632" s="6"/>
    </row>
    <row r="8633" spans="1:1" ht="18.75" x14ac:dyDescent="0.25">
      <c r="A8633" s="6"/>
    </row>
    <row r="8634" spans="1:1" ht="18.75" x14ac:dyDescent="0.25">
      <c r="A8634" s="6"/>
    </row>
    <row r="8635" spans="1:1" ht="18.75" x14ac:dyDescent="0.25">
      <c r="A8635" s="6"/>
    </row>
    <row r="8636" spans="1:1" ht="18.75" x14ac:dyDescent="0.25">
      <c r="A8636" s="6"/>
    </row>
    <row r="8637" spans="1:1" ht="18.75" x14ac:dyDescent="0.25">
      <c r="A8637" s="6"/>
    </row>
    <row r="8638" spans="1:1" ht="18.75" x14ac:dyDescent="0.25">
      <c r="A8638" s="6"/>
    </row>
    <row r="8639" spans="1:1" ht="18.75" x14ac:dyDescent="0.25">
      <c r="A8639" s="6"/>
    </row>
    <row r="8640" spans="1:1" ht="18.75" x14ac:dyDescent="0.25">
      <c r="A8640" s="6"/>
    </row>
    <row r="8641" spans="1:1" ht="18.75" x14ac:dyDescent="0.25">
      <c r="A8641" s="6"/>
    </row>
    <row r="8642" spans="1:1" ht="18.75" x14ac:dyDescent="0.25">
      <c r="A8642" s="6"/>
    </row>
    <row r="8643" spans="1:1" ht="18.75" x14ac:dyDescent="0.25">
      <c r="A8643" s="6"/>
    </row>
    <row r="8644" spans="1:1" ht="18.75" x14ac:dyDescent="0.25">
      <c r="A8644" s="6"/>
    </row>
    <row r="8645" spans="1:1" ht="18.75" x14ac:dyDescent="0.25">
      <c r="A8645" s="6"/>
    </row>
    <row r="8646" spans="1:1" ht="18.75" x14ac:dyDescent="0.25">
      <c r="A8646" s="6"/>
    </row>
    <row r="8647" spans="1:1" ht="18.75" x14ac:dyDescent="0.25">
      <c r="A8647" s="6"/>
    </row>
    <row r="8648" spans="1:1" ht="18.75" x14ac:dyDescent="0.25">
      <c r="A8648" s="6"/>
    </row>
    <row r="8649" spans="1:1" ht="18.75" x14ac:dyDescent="0.25">
      <c r="A8649" s="6"/>
    </row>
    <row r="8650" spans="1:1" ht="18.75" x14ac:dyDescent="0.25">
      <c r="A8650" s="6"/>
    </row>
    <row r="8651" spans="1:1" ht="18.75" x14ac:dyDescent="0.25">
      <c r="A8651" s="6"/>
    </row>
    <row r="8652" spans="1:1" ht="18.75" x14ac:dyDescent="0.25">
      <c r="A8652" s="6"/>
    </row>
    <row r="8653" spans="1:1" ht="18.75" x14ac:dyDescent="0.25">
      <c r="A8653" s="6"/>
    </row>
    <row r="8654" spans="1:1" ht="18.75" x14ac:dyDescent="0.25">
      <c r="A8654" s="6"/>
    </row>
    <row r="8655" spans="1:1" ht="18.75" x14ac:dyDescent="0.25">
      <c r="A8655" s="6"/>
    </row>
    <row r="8656" spans="1:1" ht="18.75" x14ac:dyDescent="0.25">
      <c r="A8656" s="6"/>
    </row>
    <row r="8657" spans="1:1" ht="18.75" x14ac:dyDescent="0.25">
      <c r="A8657" s="6"/>
    </row>
    <row r="8658" spans="1:1" ht="18.75" x14ac:dyDescent="0.25">
      <c r="A8658" s="6"/>
    </row>
    <row r="8659" spans="1:1" ht="18.75" x14ac:dyDescent="0.25">
      <c r="A8659" s="6"/>
    </row>
    <row r="8660" spans="1:1" ht="18.75" x14ac:dyDescent="0.25">
      <c r="A8660" s="6"/>
    </row>
    <row r="8661" spans="1:1" ht="18.75" x14ac:dyDescent="0.25">
      <c r="A8661" s="6"/>
    </row>
    <row r="8662" spans="1:1" ht="18.75" x14ac:dyDescent="0.25">
      <c r="A8662" s="6"/>
    </row>
    <row r="8663" spans="1:1" ht="18.75" x14ac:dyDescent="0.25">
      <c r="A8663" s="6"/>
    </row>
    <row r="8664" spans="1:1" ht="18.75" x14ac:dyDescent="0.25">
      <c r="A8664" s="6"/>
    </row>
    <row r="8665" spans="1:1" ht="18.75" x14ac:dyDescent="0.25">
      <c r="A8665" s="6"/>
    </row>
    <row r="8666" spans="1:1" ht="18.75" x14ac:dyDescent="0.25">
      <c r="A8666" s="6"/>
    </row>
    <row r="8667" spans="1:1" ht="18.75" x14ac:dyDescent="0.25">
      <c r="A8667" s="6"/>
    </row>
    <row r="8668" spans="1:1" ht="18.75" x14ac:dyDescent="0.25">
      <c r="A8668" s="6"/>
    </row>
    <row r="8669" spans="1:1" ht="18.75" x14ac:dyDescent="0.25">
      <c r="A8669" s="6"/>
    </row>
    <row r="8670" spans="1:1" ht="18.75" x14ac:dyDescent="0.25">
      <c r="A8670" s="6"/>
    </row>
    <row r="8671" spans="1:1" ht="18.75" x14ac:dyDescent="0.25">
      <c r="A8671" s="6"/>
    </row>
    <row r="8672" spans="1:1" ht="18.75" x14ac:dyDescent="0.25">
      <c r="A8672" s="6"/>
    </row>
    <row r="8673" spans="1:1" ht="18.75" x14ac:dyDescent="0.25">
      <c r="A8673" s="6"/>
    </row>
    <row r="8674" spans="1:1" ht="18.75" x14ac:dyDescent="0.25">
      <c r="A8674" s="6"/>
    </row>
    <row r="8675" spans="1:1" ht="18.75" x14ac:dyDescent="0.25">
      <c r="A8675" s="6"/>
    </row>
    <row r="8676" spans="1:1" ht="18.75" x14ac:dyDescent="0.25">
      <c r="A8676" s="6"/>
    </row>
    <row r="8677" spans="1:1" ht="18.75" x14ac:dyDescent="0.25">
      <c r="A8677" s="6"/>
    </row>
    <row r="8678" spans="1:1" ht="18.75" x14ac:dyDescent="0.25">
      <c r="A8678" s="6"/>
    </row>
    <row r="8679" spans="1:1" ht="18.75" x14ac:dyDescent="0.25">
      <c r="A8679" s="6"/>
    </row>
    <row r="8680" spans="1:1" ht="18.75" x14ac:dyDescent="0.25">
      <c r="A8680" s="6"/>
    </row>
    <row r="8681" spans="1:1" ht="18.75" x14ac:dyDescent="0.25">
      <c r="A8681" s="6"/>
    </row>
    <row r="8682" spans="1:1" ht="18.75" x14ac:dyDescent="0.25">
      <c r="A8682" s="6"/>
    </row>
    <row r="8683" spans="1:1" ht="18.75" x14ac:dyDescent="0.25">
      <c r="A8683" s="6"/>
    </row>
    <row r="8684" spans="1:1" ht="18.75" x14ac:dyDescent="0.25">
      <c r="A8684" s="6"/>
    </row>
    <row r="8685" spans="1:1" ht="18.75" x14ac:dyDescent="0.25">
      <c r="A8685" s="6"/>
    </row>
    <row r="8686" spans="1:1" ht="18.75" x14ac:dyDescent="0.25">
      <c r="A8686" s="6"/>
    </row>
    <row r="8687" spans="1:1" ht="18.75" x14ac:dyDescent="0.25">
      <c r="A8687" s="6"/>
    </row>
    <row r="8688" spans="1:1" ht="18.75" x14ac:dyDescent="0.25">
      <c r="A8688" s="6"/>
    </row>
    <row r="8689" spans="1:1" ht="18.75" x14ac:dyDescent="0.25">
      <c r="A8689" s="6"/>
    </row>
    <row r="8690" spans="1:1" ht="18.75" x14ac:dyDescent="0.25">
      <c r="A8690" s="6"/>
    </row>
    <row r="8691" spans="1:1" ht="18.75" x14ac:dyDescent="0.25">
      <c r="A8691" s="6"/>
    </row>
    <row r="8692" spans="1:1" ht="18.75" x14ac:dyDescent="0.25">
      <c r="A8692" s="6"/>
    </row>
    <row r="8693" spans="1:1" ht="18.75" x14ac:dyDescent="0.25">
      <c r="A8693" s="6"/>
    </row>
    <row r="8694" spans="1:1" ht="18.75" x14ac:dyDescent="0.25">
      <c r="A8694" s="6"/>
    </row>
    <row r="8695" spans="1:1" ht="18.75" x14ac:dyDescent="0.25">
      <c r="A8695" s="6"/>
    </row>
    <row r="8696" spans="1:1" ht="18.75" x14ac:dyDescent="0.25">
      <c r="A8696" s="6"/>
    </row>
    <row r="8697" spans="1:1" ht="18.75" x14ac:dyDescent="0.25">
      <c r="A8697" s="6"/>
    </row>
    <row r="8698" spans="1:1" ht="18.75" x14ac:dyDescent="0.25">
      <c r="A8698" s="6"/>
    </row>
    <row r="8699" spans="1:1" ht="18.75" x14ac:dyDescent="0.25">
      <c r="A8699" s="6"/>
    </row>
    <row r="8700" spans="1:1" ht="18.75" x14ac:dyDescent="0.25">
      <c r="A8700" s="6"/>
    </row>
    <row r="8701" spans="1:1" ht="18.75" x14ac:dyDescent="0.25">
      <c r="A8701" s="6"/>
    </row>
    <row r="8702" spans="1:1" ht="18.75" x14ac:dyDescent="0.25">
      <c r="A8702" s="6"/>
    </row>
    <row r="8703" spans="1:1" ht="18.75" x14ac:dyDescent="0.25">
      <c r="A8703" s="6"/>
    </row>
    <row r="8704" spans="1:1" ht="18.75" x14ac:dyDescent="0.25">
      <c r="A8704" s="6"/>
    </row>
    <row r="8705" spans="1:1" ht="18.75" x14ac:dyDescent="0.25">
      <c r="A8705" s="6"/>
    </row>
    <row r="8706" spans="1:1" ht="18.75" x14ac:dyDescent="0.25">
      <c r="A8706" s="6"/>
    </row>
    <row r="8707" spans="1:1" ht="18.75" x14ac:dyDescent="0.25">
      <c r="A8707" s="6"/>
    </row>
    <row r="8708" spans="1:1" ht="18.75" x14ac:dyDescent="0.25">
      <c r="A8708" s="6"/>
    </row>
    <row r="8709" spans="1:1" ht="18.75" x14ac:dyDescent="0.25">
      <c r="A8709" s="6"/>
    </row>
    <row r="8710" spans="1:1" ht="18.75" x14ac:dyDescent="0.25">
      <c r="A8710" s="6"/>
    </row>
    <row r="8711" spans="1:1" ht="18.75" x14ac:dyDescent="0.25">
      <c r="A8711" s="6"/>
    </row>
    <row r="8712" spans="1:1" ht="18.75" x14ac:dyDescent="0.25">
      <c r="A8712" s="6"/>
    </row>
    <row r="8713" spans="1:1" ht="18.75" x14ac:dyDescent="0.25">
      <c r="A8713" s="6"/>
    </row>
    <row r="8714" spans="1:1" ht="18.75" x14ac:dyDescent="0.25">
      <c r="A8714" s="6"/>
    </row>
    <row r="8715" spans="1:1" ht="18.75" x14ac:dyDescent="0.25">
      <c r="A8715" s="6"/>
    </row>
    <row r="8716" spans="1:1" ht="18.75" x14ac:dyDescent="0.25">
      <c r="A8716" s="6"/>
    </row>
    <row r="8717" spans="1:1" ht="18.75" x14ac:dyDescent="0.25">
      <c r="A8717" s="6"/>
    </row>
    <row r="8718" spans="1:1" ht="18.75" x14ac:dyDescent="0.25">
      <c r="A8718" s="6"/>
    </row>
    <row r="8719" spans="1:1" ht="18.75" x14ac:dyDescent="0.25">
      <c r="A8719" s="6"/>
    </row>
    <row r="8720" spans="1:1" ht="18.75" x14ac:dyDescent="0.25">
      <c r="A8720" s="6"/>
    </row>
    <row r="8721" spans="1:1" ht="18.75" x14ac:dyDescent="0.25">
      <c r="A8721" s="6"/>
    </row>
    <row r="8722" spans="1:1" ht="18.75" x14ac:dyDescent="0.25">
      <c r="A8722" s="6"/>
    </row>
    <row r="8723" spans="1:1" ht="18.75" x14ac:dyDescent="0.25">
      <c r="A8723" s="6"/>
    </row>
    <row r="8724" spans="1:1" ht="18.75" x14ac:dyDescent="0.25">
      <c r="A8724" s="6"/>
    </row>
    <row r="8725" spans="1:1" ht="18.75" x14ac:dyDescent="0.25">
      <c r="A8725" s="6"/>
    </row>
    <row r="8726" spans="1:1" ht="18.75" x14ac:dyDescent="0.25">
      <c r="A8726" s="6"/>
    </row>
    <row r="8727" spans="1:1" ht="18.75" x14ac:dyDescent="0.25">
      <c r="A8727" s="6"/>
    </row>
    <row r="8728" spans="1:1" ht="18.75" x14ac:dyDescent="0.25">
      <c r="A8728" s="6"/>
    </row>
    <row r="8729" spans="1:1" ht="18.75" x14ac:dyDescent="0.25">
      <c r="A8729" s="6"/>
    </row>
    <row r="8730" spans="1:1" ht="18.75" x14ac:dyDescent="0.25">
      <c r="A8730" s="6"/>
    </row>
    <row r="8731" spans="1:1" ht="18.75" x14ac:dyDescent="0.25">
      <c r="A8731" s="6"/>
    </row>
    <row r="8732" spans="1:1" ht="18.75" x14ac:dyDescent="0.25">
      <c r="A8732" s="6"/>
    </row>
    <row r="8733" spans="1:1" ht="18.75" x14ac:dyDescent="0.25">
      <c r="A8733" s="6"/>
    </row>
    <row r="8734" spans="1:1" ht="18.75" x14ac:dyDescent="0.25">
      <c r="A8734" s="6"/>
    </row>
    <row r="8735" spans="1:1" ht="18.75" x14ac:dyDescent="0.25">
      <c r="A8735" s="6"/>
    </row>
    <row r="8736" spans="1:1" ht="18.75" x14ac:dyDescent="0.25">
      <c r="A8736" s="6"/>
    </row>
    <row r="8737" spans="1:1" ht="18.75" x14ac:dyDescent="0.25">
      <c r="A8737" s="6"/>
    </row>
    <row r="8738" spans="1:1" ht="18.75" x14ac:dyDescent="0.25">
      <c r="A8738" s="6"/>
    </row>
    <row r="8739" spans="1:1" ht="18.75" x14ac:dyDescent="0.25">
      <c r="A8739" s="6"/>
    </row>
    <row r="8740" spans="1:1" ht="18.75" x14ac:dyDescent="0.25">
      <c r="A8740" s="6"/>
    </row>
    <row r="8741" spans="1:1" ht="18.75" x14ac:dyDescent="0.25">
      <c r="A8741" s="6"/>
    </row>
    <row r="8742" spans="1:1" ht="18.75" x14ac:dyDescent="0.25">
      <c r="A8742" s="6"/>
    </row>
    <row r="8743" spans="1:1" ht="18.75" x14ac:dyDescent="0.25">
      <c r="A8743" s="6"/>
    </row>
    <row r="8744" spans="1:1" ht="18.75" x14ac:dyDescent="0.25">
      <c r="A8744" s="6"/>
    </row>
    <row r="8745" spans="1:1" ht="18.75" x14ac:dyDescent="0.25">
      <c r="A8745" s="6"/>
    </row>
    <row r="8746" spans="1:1" ht="18.75" x14ac:dyDescent="0.25">
      <c r="A8746" s="6"/>
    </row>
    <row r="8747" spans="1:1" ht="18.75" x14ac:dyDescent="0.25">
      <c r="A8747" s="6"/>
    </row>
    <row r="8748" spans="1:1" ht="18.75" x14ac:dyDescent="0.25">
      <c r="A8748" s="6"/>
    </row>
    <row r="8749" spans="1:1" ht="18.75" x14ac:dyDescent="0.25">
      <c r="A8749" s="6"/>
    </row>
    <row r="8750" spans="1:1" ht="18.75" x14ac:dyDescent="0.25">
      <c r="A8750" s="6"/>
    </row>
    <row r="8751" spans="1:1" ht="18.75" x14ac:dyDescent="0.25">
      <c r="A8751" s="6"/>
    </row>
    <row r="8752" spans="1:1" ht="18.75" x14ac:dyDescent="0.25">
      <c r="A8752" s="6"/>
    </row>
    <row r="8753" spans="1:1" ht="18.75" x14ac:dyDescent="0.25">
      <c r="A8753" s="6"/>
    </row>
    <row r="8754" spans="1:1" ht="18.75" x14ac:dyDescent="0.25">
      <c r="A8754" s="6"/>
    </row>
    <row r="8755" spans="1:1" ht="18.75" x14ac:dyDescent="0.25">
      <c r="A8755" s="6"/>
    </row>
    <row r="8756" spans="1:1" ht="18.75" x14ac:dyDescent="0.25">
      <c r="A8756" s="6"/>
    </row>
    <row r="8757" spans="1:1" ht="18.75" x14ac:dyDescent="0.25">
      <c r="A8757" s="6"/>
    </row>
    <row r="8758" spans="1:1" ht="18.75" x14ac:dyDescent="0.25">
      <c r="A8758" s="6"/>
    </row>
    <row r="8759" spans="1:1" ht="18.75" x14ac:dyDescent="0.25">
      <c r="A8759" s="6"/>
    </row>
    <row r="8760" spans="1:1" ht="18.75" x14ac:dyDescent="0.25">
      <c r="A8760" s="6"/>
    </row>
    <row r="8761" spans="1:1" ht="18.75" x14ac:dyDescent="0.25">
      <c r="A8761" s="6"/>
    </row>
    <row r="8762" spans="1:1" ht="18.75" x14ac:dyDescent="0.25">
      <c r="A8762" s="6"/>
    </row>
    <row r="8763" spans="1:1" ht="18.75" x14ac:dyDescent="0.25">
      <c r="A8763" s="6"/>
    </row>
    <row r="8764" spans="1:1" ht="18.75" x14ac:dyDescent="0.25">
      <c r="A8764" s="6"/>
    </row>
    <row r="8765" spans="1:1" ht="18.75" x14ac:dyDescent="0.25">
      <c r="A8765" s="6"/>
    </row>
    <row r="8766" spans="1:1" ht="18.75" x14ac:dyDescent="0.25">
      <c r="A8766" s="6"/>
    </row>
    <row r="8767" spans="1:1" ht="18.75" x14ac:dyDescent="0.25">
      <c r="A8767" s="6"/>
    </row>
    <row r="8768" spans="1:1" ht="18.75" x14ac:dyDescent="0.25">
      <c r="A8768" s="6"/>
    </row>
    <row r="8769" spans="1:1" ht="18.75" x14ac:dyDescent="0.25">
      <c r="A8769" s="6"/>
    </row>
    <row r="8770" spans="1:1" ht="18.75" x14ac:dyDescent="0.25">
      <c r="A8770" s="6"/>
    </row>
    <row r="8771" spans="1:1" ht="18.75" x14ac:dyDescent="0.25">
      <c r="A8771" s="6"/>
    </row>
    <row r="8772" spans="1:1" ht="18.75" x14ac:dyDescent="0.25">
      <c r="A8772" s="6"/>
    </row>
    <row r="8773" spans="1:1" ht="18.75" x14ac:dyDescent="0.25">
      <c r="A8773" s="6"/>
    </row>
    <row r="8774" spans="1:1" ht="18.75" x14ac:dyDescent="0.25">
      <c r="A8774" s="6"/>
    </row>
    <row r="8775" spans="1:1" ht="18.75" x14ac:dyDescent="0.25">
      <c r="A8775" s="6"/>
    </row>
    <row r="8776" spans="1:1" ht="18.75" x14ac:dyDescent="0.25">
      <c r="A8776" s="6"/>
    </row>
    <row r="8777" spans="1:1" ht="18.75" x14ac:dyDescent="0.25">
      <c r="A8777" s="6"/>
    </row>
    <row r="8778" spans="1:1" ht="18.75" x14ac:dyDescent="0.25">
      <c r="A8778" s="6"/>
    </row>
    <row r="8779" spans="1:1" ht="18.75" x14ac:dyDescent="0.25">
      <c r="A8779" s="6"/>
    </row>
    <row r="8780" spans="1:1" ht="18.75" x14ac:dyDescent="0.25">
      <c r="A8780" s="6"/>
    </row>
    <row r="8781" spans="1:1" ht="18.75" x14ac:dyDescent="0.25">
      <c r="A8781" s="6"/>
    </row>
    <row r="8782" spans="1:1" ht="18.75" x14ac:dyDescent="0.25">
      <c r="A8782" s="6"/>
    </row>
    <row r="8783" spans="1:1" ht="18.75" x14ac:dyDescent="0.25">
      <c r="A8783" s="6"/>
    </row>
    <row r="8784" spans="1:1" ht="18.75" x14ac:dyDescent="0.25">
      <c r="A8784" s="6"/>
    </row>
    <row r="8785" spans="1:1" ht="18.75" x14ac:dyDescent="0.25">
      <c r="A8785" s="6"/>
    </row>
    <row r="8786" spans="1:1" ht="18.75" x14ac:dyDescent="0.25">
      <c r="A8786" s="6"/>
    </row>
    <row r="8787" spans="1:1" ht="18.75" x14ac:dyDescent="0.25">
      <c r="A8787" s="6"/>
    </row>
    <row r="8788" spans="1:1" ht="18.75" x14ac:dyDescent="0.25">
      <c r="A8788" s="6"/>
    </row>
    <row r="8789" spans="1:1" ht="18.75" x14ac:dyDescent="0.25">
      <c r="A8789" s="6"/>
    </row>
    <row r="8790" spans="1:1" ht="18.75" x14ac:dyDescent="0.25">
      <c r="A8790" s="6"/>
    </row>
    <row r="8791" spans="1:1" ht="18.75" x14ac:dyDescent="0.25">
      <c r="A8791" s="6"/>
    </row>
    <row r="8792" spans="1:1" ht="18.75" x14ac:dyDescent="0.25">
      <c r="A8792" s="6"/>
    </row>
    <row r="8793" spans="1:1" ht="18.75" x14ac:dyDescent="0.25">
      <c r="A8793" s="6"/>
    </row>
    <row r="8794" spans="1:1" ht="18.75" x14ac:dyDescent="0.25">
      <c r="A8794" s="6"/>
    </row>
    <row r="8795" spans="1:1" ht="18.75" x14ac:dyDescent="0.25">
      <c r="A8795" s="6"/>
    </row>
    <row r="8796" spans="1:1" ht="18.75" x14ac:dyDescent="0.25">
      <c r="A8796" s="6"/>
    </row>
    <row r="8797" spans="1:1" ht="18.75" x14ac:dyDescent="0.25">
      <c r="A8797" s="6"/>
    </row>
    <row r="8798" spans="1:1" ht="18.75" x14ac:dyDescent="0.25">
      <c r="A8798" s="6"/>
    </row>
    <row r="8799" spans="1:1" ht="18.75" x14ac:dyDescent="0.25">
      <c r="A8799" s="6"/>
    </row>
    <row r="8800" spans="1:1" ht="18.75" x14ac:dyDescent="0.25">
      <c r="A8800" s="6"/>
    </row>
    <row r="8801" spans="1:1" ht="18.75" x14ac:dyDescent="0.25">
      <c r="A8801" s="6"/>
    </row>
    <row r="8802" spans="1:1" ht="18.75" x14ac:dyDescent="0.25">
      <c r="A8802" s="6"/>
    </row>
    <row r="8803" spans="1:1" ht="18.75" x14ac:dyDescent="0.25">
      <c r="A8803" s="6"/>
    </row>
    <row r="8804" spans="1:1" ht="18.75" x14ac:dyDescent="0.25">
      <c r="A8804" s="6"/>
    </row>
    <row r="8805" spans="1:1" ht="18.75" x14ac:dyDescent="0.25">
      <c r="A8805" s="6"/>
    </row>
    <row r="8806" spans="1:1" ht="18.75" x14ac:dyDescent="0.25">
      <c r="A8806" s="6"/>
    </row>
    <row r="8807" spans="1:1" ht="18.75" x14ac:dyDescent="0.25">
      <c r="A8807" s="6"/>
    </row>
    <row r="8808" spans="1:1" ht="18.75" x14ac:dyDescent="0.25">
      <c r="A8808" s="6"/>
    </row>
    <row r="8809" spans="1:1" ht="18.75" x14ac:dyDescent="0.25">
      <c r="A8809" s="6"/>
    </row>
    <row r="8810" spans="1:1" ht="18.75" x14ac:dyDescent="0.25">
      <c r="A8810" s="6"/>
    </row>
    <row r="8811" spans="1:1" ht="18.75" x14ac:dyDescent="0.25">
      <c r="A8811" s="6"/>
    </row>
    <row r="8812" spans="1:1" ht="18.75" x14ac:dyDescent="0.25">
      <c r="A8812" s="6"/>
    </row>
    <row r="8813" spans="1:1" ht="18.75" x14ac:dyDescent="0.25">
      <c r="A8813" s="6"/>
    </row>
    <row r="8814" spans="1:1" ht="18.75" x14ac:dyDescent="0.25">
      <c r="A8814" s="6"/>
    </row>
    <row r="8815" spans="1:1" ht="18.75" x14ac:dyDescent="0.25">
      <c r="A8815" s="6"/>
    </row>
    <row r="8816" spans="1:1" ht="18.75" x14ac:dyDescent="0.25">
      <c r="A8816" s="6"/>
    </row>
    <row r="8817" spans="1:1" ht="18.75" x14ac:dyDescent="0.25">
      <c r="A8817" s="6"/>
    </row>
    <row r="8818" spans="1:1" ht="18.75" x14ac:dyDescent="0.25">
      <c r="A8818" s="6"/>
    </row>
    <row r="8819" spans="1:1" ht="18.75" x14ac:dyDescent="0.25">
      <c r="A8819" s="6"/>
    </row>
    <row r="8820" spans="1:1" ht="18.75" x14ac:dyDescent="0.25">
      <c r="A8820" s="6"/>
    </row>
    <row r="8821" spans="1:1" ht="18.75" x14ac:dyDescent="0.25">
      <c r="A8821" s="6"/>
    </row>
    <row r="8822" spans="1:1" ht="18.75" x14ac:dyDescent="0.25">
      <c r="A8822" s="6"/>
    </row>
    <row r="8823" spans="1:1" ht="18.75" x14ac:dyDescent="0.25">
      <c r="A8823" s="6"/>
    </row>
    <row r="8824" spans="1:1" ht="18.75" x14ac:dyDescent="0.25">
      <c r="A8824" s="6"/>
    </row>
    <row r="8825" spans="1:1" ht="18.75" x14ac:dyDescent="0.25">
      <c r="A8825" s="6"/>
    </row>
    <row r="8826" spans="1:1" ht="18.75" x14ac:dyDescent="0.25">
      <c r="A8826" s="6"/>
    </row>
    <row r="8827" spans="1:1" ht="18.75" x14ac:dyDescent="0.25">
      <c r="A8827" s="6"/>
    </row>
    <row r="8828" spans="1:1" ht="18.75" x14ac:dyDescent="0.25">
      <c r="A8828" s="6"/>
    </row>
    <row r="8829" spans="1:1" ht="18.75" x14ac:dyDescent="0.25">
      <c r="A8829" s="6"/>
    </row>
    <row r="8830" spans="1:1" ht="18.75" x14ac:dyDescent="0.25">
      <c r="A8830" s="6"/>
    </row>
    <row r="8831" spans="1:1" ht="18.75" x14ac:dyDescent="0.25">
      <c r="A8831" s="6"/>
    </row>
    <row r="8832" spans="1:1" ht="18.75" x14ac:dyDescent="0.25">
      <c r="A8832" s="6"/>
    </row>
    <row r="8833" spans="1:1" ht="18.75" x14ac:dyDescent="0.25">
      <c r="A8833" s="6"/>
    </row>
    <row r="8834" spans="1:1" ht="18.75" x14ac:dyDescent="0.25">
      <c r="A8834" s="6"/>
    </row>
    <row r="8835" spans="1:1" ht="18.75" x14ac:dyDescent="0.25">
      <c r="A8835" s="6"/>
    </row>
    <row r="8836" spans="1:1" ht="18.75" x14ac:dyDescent="0.25">
      <c r="A8836" s="6"/>
    </row>
    <row r="8837" spans="1:1" ht="18.75" x14ac:dyDescent="0.25">
      <c r="A8837" s="6"/>
    </row>
    <row r="8838" spans="1:1" ht="18.75" x14ac:dyDescent="0.25">
      <c r="A8838" s="6"/>
    </row>
    <row r="8839" spans="1:1" ht="18.75" x14ac:dyDescent="0.25">
      <c r="A8839" s="6"/>
    </row>
    <row r="8840" spans="1:1" ht="18.75" x14ac:dyDescent="0.25">
      <c r="A8840" s="6"/>
    </row>
    <row r="8841" spans="1:1" ht="18.75" x14ac:dyDescent="0.25">
      <c r="A8841" s="6"/>
    </row>
    <row r="8842" spans="1:1" ht="18.75" x14ac:dyDescent="0.25">
      <c r="A8842" s="6"/>
    </row>
    <row r="8843" spans="1:1" ht="18.75" x14ac:dyDescent="0.25">
      <c r="A8843" s="6"/>
    </row>
    <row r="8844" spans="1:1" ht="18.75" x14ac:dyDescent="0.25">
      <c r="A8844" s="6"/>
    </row>
    <row r="8845" spans="1:1" ht="18.75" x14ac:dyDescent="0.25">
      <c r="A8845" s="6"/>
    </row>
    <row r="8846" spans="1:1" ht="18.75" x14ac:dyDescent="0.25">
      <c r="A8846" s="6"/>
    </row>
    <row r="8847" spans="1:1" ht="18.75" x14ac:dyDescent="0.25">
      <c r="A8847" s="6"/>
    </row>
    <row r="8848" spans="1:1" ht="18.75" x14ac:dyDescent="0.25">
      <c r="A8848" s="6"/>
    </row>
    <row r="8849" spans="1:1" ht="18.75" x14ac:dyDescent="0.25">
      <c r="A8849" s="6"/>
    </row>
    <row r="8850" spans="1:1" ht="18.75" x14ac:dyDescent="0.25">
      <c r="A8850" s="6"/>
    </row>
    <row r="8851" spans="1:1" ht="18.75" x14ac:dyDescent="0.25">
      <c r="A8851" s="6"/>
    </row>
    <row r="8852" spans="1:1" ht="18.75" x14ac:dyDescent="0.25">
      <c r="A8852" s="6"/>
    </row>
    <row r="8853" spans="1:1" ht="18.75" x14ac:dyDescent="0.25">
      <c r="A8853" s="6"/>
    </row>
    <row r="8854" spans="1:1" ht="18.75" x14ac:dyDescent="0.25">
      <c r="A8854" s="6"/>
    </row>
    <row r="8855" spans="1:1" ht="18.75" x14ac:dyDescent="0.25">
      <c r="A8855" s="6"/>
    </row>
    <row r="8856" spans="1:1" ht="18.75" x14ac:dyDescent="0.25">
      <c r="A8856" s="6"/>
    </row>
    <row r="8857" spans="1:1" ht="18.75" x14ac:dyDescent="0.25">
      <c r="A8857" s="6"/>
    </row>
    <row r="8858" spans="1:1" ht="18.75" x14ac:dyDescent="0.25">
      <c r="A8858" s="6"/>
    </row>
    <row r="8859" spans="1:1" ht="18.75" x14ac:dyDescent="0.25">
      <c r="A8859" s="6"/>
    </row>
    <row r="8860" spans="1:1" ht="18.75" x14ac:dyDescent="0.25">
      <c r="A8860" s="6"/>
    </row>
    <row r="8861" spans="1:1" ht="18.75" x14ac:dyDescent="0.25">
      <c r="A8861" s="6"/>
    </row>
    <row r="8862" spans="1:1" ht="18.75" x14ac:dyDescent="0.25">
      <c r="A8862" s="6"/>
    </row>
    <row r="8863" spans="1:1" ht="18.75" x14ac:dyDescent="0.25">
      <c r="A8863" s="6"/>
    </row>
    <row r="8864" spans="1:1" ht="18.75" x14ac:dyDescent="0.25">
      <c r="A8864" s="6"/>
    </row>
    <row r="8865" spans="1:1" ht="18.75" x14ac:dyDescent="0.25">
      <c r="A8865" s="6"/>
    </row>
    <row r="8866" spans="1:1" ht="18.75" x14ac:dyDescent="0.25">
      <c r="A8866" s="6"/>
    </row>
    <row r="8867" spans="1:1" ht="18.75" x14ac:dyDescent="0.25">
      <c r="A8867" s="6"/>
    </row>
    <row r="8868" spans="1:1" ht="18.75" x14ac:dyDescent="0.25">
      <c r="A8868" s="6"/>
    </row>
    <row r="8869" spans="1:1" ht="18.75" x14ac:dyDescent="0.25">
      <c r="A8869" s="6"/>
    </row>
    <row r="8870" spans="1:1" ht="18.75" x14ac:dyDescent="0.25">
      <c r="A8870" s="6"/>
    </row>
    <row r="8871" spans="1:1" ht="18.75" x14ac:dyDescent="0.25">
      <c r="A8871" s="6"/>
    </row>
    <row r="8872" spans="1:1" ht="18.75" x14ac:dyDescent="0.25">
      <c r="A8872" s="6"/>
    </row>
    <row r="8873" spans="1:1" ht="18.75" x14ac:dyDescent="0.25">
      <c r="A8873" s="6"/>
    </row>
    <row r="8874" spans="1:1" ht="18.75" x14ac:dyDescent="0.25">
      <c r="A8874" s="6"/>
    </row>
    <row r="8875" spans="1:1" ht="18.75" x14ac:dyDescent="0.25">
      <c r="A8875" s="6"/>
    </row>
    <row r="8876" spans="1:1" ht="18.75" x14ac:dyDescent="0.25">
      <c r="A8876" s="6"/>
    </row>
    <row r="8877" spans="1:1" ht="18.75" x14ac:dyDescent="0.25">
      <c r="A8877" s="6"/>
    </row>
    <row r="8878" spans="1:1" ht="18.75" x14ac:dyDescent="0.25">
      <c r="A8878" s="6"/>
    </row>
    <row r="8879" spans="1:1" ht="18.75" x14ac:dyDescent="0.25">
      <c r="A8879" s="6"/>
    </row>
    <row r="8880" spans="1:1" ht="18.75" x14ac:dyDescent="0.25">
      <c r="A8880" s="6"/>
    </row>
    <row r="8881" spans="1:1" ht="18.75" x14ac:dyDescent="0.25">
      <c r="A8881" s="6"/>
    </row>
    <row r="8882" spans="1:1" ht="18.75" x14ac:dyDescent="0.25">
      <c r="A8882" s="6"/>
    </row>
    <row r="8883" spans="1:1" ht="18.75" x14ac:dyDescent="0.25">
      <c r="A8883" s="6"/>
    </row>
    <row r="8884" spans="1:1" ht="18.75" x14ac:dyDescent="0.25">
      <c r="A8884" s="6"/>
    </row>
    <row r="8885" spans="1:1" ht="18.75" x14ac:dyDescent="0.25">
      <c r="A8885" s="6"/>
    </row>
    <row r="8886" spans="1:1" ht="18.75" x14ac:dyDescent="0.25">
      <c r="A8886" s="6"/>
    </row>
    <row r="8887" spans="1:1" ht="18.75" x14ac:dyDescent="0.25">
      <c r="A8887" s="6"/>
    </row>
    <row r="8888" spans="1:1" ht="18.75" x14ac:dyDescent="0.25">
      <c r="A8888" s="6"/>
    </row>
    <row r="8889" spans="1:1" ht="18.75" x14ac:dyDescent="0.25">
      <c r="A8889" s="6"/>
    </row>
    <row r="8890" spans="1:1" ht="18.75" x14ac:dyDescent="0.25">
      <c r="A8890" s="6"/>
    </row>
    <row r="8891" spans="1:1" ht="18.75" x14ac:dyDescent="0.25">
      <c r="A8891" s="6"/>
    </row>
    <row r="8892" spans="1:1" ht="18.75" x14ac:dyDescent="0.25">
      <c r="A8892" s="6"/>
    </row>
    <row r="8893" spans="1:1" ht="18.75" x14ac:dyDescent="0.25">
      <c r="A8893" s="6"/>
    </row>
    <row r="8894" spans="1:1" ht="18.75" x14ac:dyDescent="0.25">
      <c r="A8894" s="6"/>
    </row>
    <row r="8895" spans="1:1" ht="18.75" x14ac:dyDescent="0.25">
      <c r="A8895" s="6"/>
    </row>
    <row r="8896" spans="1:1" ht="18.75" x14ac:dyDescent="0.25">
      <c r="A8896" s="6"/>
    </row>
    <row r="8897" spans="1:1" ht="18.75" x14ac:dyDescent="0.25">
      <c r="A8897" s="6"/>
    </row>
    <row r="8898" spans="1:1" ht="18.75" x14ac:dyDescent="0.25">
      <c r="A8898" s="6"/>
    </row>
    <row r="8899" spans="1:1" ht="18.75" x14ac:dyDescent="0.25">
      <c r="A8899" s="6"/>
    </row>
    <row r="8900" spans="1:1" ht="18.75" x14ac:dyDescent="0.25">
      <c r="A8900" s="6"/>
    </row>
    <row r="8901" spans="1:1" ht="18.75" x14ac:dyDescent="0.25">
      <c r="A8901" s="6"/>
    </row>
    <row r="8902" spans="1:1" ht="18.75" x14ac:dyDescent="0.25">
      <c r="A8902" s="6"/>
    </row>
    <row r="8903" spans="1:1" ht="18.75" x14ac:dyDescent="0.25">
      <c r="A8903" s="6"/>
    </row>
    <row r="8904" spans="1:1" ht="18.75" x14ac:dyDescent="0.25">
      <c r="A8904" s="6"/>
    </row>
    <row r="8905" spans="1:1" ht="18.75" x14ac:dyDescent="0.25">
      <c r="A8905" s="6"/>
    </row>
    <row r="8906" spans="1:1" ht="18.75" x14ac:dyDescent="0.25">
      <c r="A8906" s="6"/>
    </row>
    <row r="8907" spans="1:1" ht="18.75" x14ac:dyDescent="0.25">
      <c r="A8907" s="6"/>
    </row>
    <row r="8908" spans="1:1" ht="18.75" x14ac:dyDescent="0.25">
      <c r="A8908" s="6"/>
    </row>
    <row r="8909" spans="1:1" ht="18.75" x14ac:dyDescent="0.25">
      <c r="A8909" s="6"/>
    </row>
    <row r="8910" spans="1:1" ht="18.75" x14ac:dyDescent="0.25">
      <c r="A8910" s="6"/>
    </row>
    <row r="8911" spans="1:1" ht="18.75" x14ac:dyDescent="0.25">
      <c r="A8911" s="6"/>
    </row>
    <row r="8912" spans="1:1" ht="18.75" x14ac:dyDescent="0.25">
      <c r="A8912" s="6"/>
    </row>
    <row r="8913" spans="1:1" ht="18.75" x14ac:dyDescent="0.25">
      <c r="A8913" s="6"/>
    </row>
    <row r="8914" spans="1:1" ht="18.75" x14ac:dyDescent="0.25">
      <c r="A8914" s="6"/>
    </row>
    <row r="8915" spans="1:1" ht="18.75" x14ac:dyDescent="0.25">
      <c r="A8915" s="6"/>
    </row>
    <row r="8916" spans="1:1" ht="18.75" x14ac:dyDescent="0.25">
      <c r="A8916" s="6"/>
    </row>
    <row r="8917" spans="1:1" ht="18.75" x14ac:dyDescent="0.25">
      <c r="A8917" s="6"/>
    </row>
    <row r="8918" spans="1:1" ht="18.75" x14ac:dyDescent="0.25">
      <c r="A8918" s="6"/>
    </row>
    <row r="8919" spans="1:1" ht="18.75" x14ac:dyDescent="0.25">
      <c r="A8919" s="6"/>
    </row>
    <row r="8920" spans="1:1" ht="18.75" x14ac:dyDescent="0.25">
      <c r="A8920" s="6"/>
    </row>
    <row r="8921" spans="1:1" ht="18.75" x14ac:dyDescent="0.25">
      <c r="A8921" s="6"/>
    </row>
    <row r="8922" spans="1:1" ht="18.75" x14ac:dyDescent="0.25">
      <c r="A8922" s="6"/>
    </row>
    <row r="8923" spans="1:1" ht="18.75" x14ac:dyDescent="0.25">
      <c r="A8923" s="6"/>
    </row>
    <row r="8924" spans="1:1" ht="18.75" x14ac:dyDescent="0.25">
      <c r="A8924" s="6"/>
    </row>
    <row r="8925" spans="1:1" ht="18.75" x14ac:dyDescent="0.25">
      <c r="A8925" s="6"/>
    </row>
    <row r="8926" spans="1:1" ht="18.75" x14ac:dyDescent="0.25">
      <c r="A8926" s="6"/>
    </row>
    <row r="8927" spans="1:1" ht="18.75" x14ac:dyDescent="0.25">
      <c r="A8927" s="6"/>
    </row>
    <row r="8928" spans="1:1" ht="18.75" x14ac:dyDescent="0.25">
      <c r="A8928" s="6"/>
    </row>
    <row r="8929" spans="1:1" ht="18.75" x14ac:dyDescent="0.25">
      <c r="A8929" s="6"/>
    </row>
    <row r="8930" spans="1:1" ht="18.75" x14ac:dyDescent="0.25">
      <c r="A8930" s="6"/>
    </row>
    <row r="8931" spans="1:1" ht="18.75" x14ac:dyDescent="0.25">
      <c r="A8931" s="6"/>
    </row>
    <row r="8932" spans="1:1" ht="18.75" x14ac:dyDescent="0.25">
      <c r="A8932" s="6"/>
    </row>
    <row r="8933" spans="1:1" ht="18.75" x14ac:dyDescent="0.25">
      <c r="A8933" s="6"/>
    </row>
    <row r="8934" spans="1:1" ht="18.75" x14ac:dyDescent="0.25">
      <c r="A8934" s="6"/>
    </row>
    <row r="8935" spans="1:1" ht="18.75" x14ac:dyDescent="0.25">
      <c r="A8935" s="6"/>
    </row>
    <row r="8936" spans="1:1" ht="18.75" x14ac:dyDescent="0.25">
      <c r="A8936" s="6"/>
    </row>
    <row r="8937" spans="1:1" ht="18.75" x14ac:dyDescent="0.25">
      <c r="A8937" s="6"/>
    </row>
    <row r="8938" spans="1:1" ht="18.75" x14ac:dyDescent="0.25">
      <c r="A8938" s="6"/>
    </row>
    <row r="8939" spans="1:1" ht="18.75" x14ac:dyDescent="0.25">
      <c r="A8939" s="6"/>
    </row>
    <row r="8940" spans="1:1" ht="18.75" x14ac:dyDescent="0.25">
      <c r="A8940" s="6"/>
    </row>
    <row r="8941" spans="1:1" ht="18.75" x14ac:dyDescent="0.25">
      <c r="A8941" s="6"/>
    </row>
    <row r="8942" spans="1:1" ht="18.75" x14ac:dyDescent="0.25">
      <c r="A8942" s="6"/>
    </row>
    <row r="8943" spans="1:1" ht="18.75" x14ac:dyDescent="0.25">
      <c r="A8943" s="6"/>
    </row>
    <row r="8944" spans="1:1" ht="18.75" x14ac:dyDescent="0.25">
      <c r="A8944" s="6"/>
    </row>
    <row r="8945" spans="1:1" ht="18.75" x14ac:dyDescent="0.25">
      <c r="A8945" s="6"/>
    </row>
    <row r="8946" spans="1:1" ht="18.75" x14ac:dyDescent="0.25">
      <c r="A8946" s="6"/>
    </row>
    <row r="8947" spans="1:1" ht="18.75" x14ac:dyDescent="0.25">
      <c r="A8947" s="6"/>
    </row>
    <row r="8948" spans="1:1" ht="18.75" x14ac:dyDescent="0.25">
      <c r="A8948" s="6"/>
    </row>
    <row r="8949" spans="1:1" ht="18.75" x14ac:dyDescent="0.25">
      <c r="A8949" s="6"/>
    </row>
    <row r="8950" spans="1:1" ht="18.75" x14ac:dyDescent="0.25">
      <c r="A8950" s="6"/>
    </row>
    <row r="8951" spans="1:1" ht="18.75" x14ac:dyDescent="0.25">
      <c r="A8951" s="6"/>
    </row>
    <row r="8952" spans="1:1" ht="18.75" x14ac:dyDescent="0.25">
      <c r="A8952" s="6"/>
    </row>
    <row r="8953" spans="1:1" ht="18.75" x14ac:dyDescent="0.25">
      <c r="A8953" s="6"/>
    </row>
    <row r="8954" spans="1:1" ht="18.75" x14ac:dyDescent="0.25">
      <c r="A8954" s="6"/>
    </row>
    <row r="8955" spans="1:1" ht="18.75" x14ac:dyDescent="0.25">
      <c r="A8955" s="6"/>
    </row>
    <row r="8956" spans="1:1" ht="18.75" x14ac:dyDescent="0.25">
      <c r="A8956" s="6"/>
    </row>
    <row r="8957" spans="1:1" ht="18.75" x14ac:dyDescent="0.25">
      <c r="A8957" s="6"/>
    </row>
    <row r="8958" spans="1:1" ht="18.75" x14ac:dyDescent="0.25">
      <c r="A8958" s="6"/>
    </row>
    <row r="8959" spans="1:1" ht="18.75" x14ac:dyDescent="0.25">
      <c r="A8959" s="6"/>
    </row>
    <row r="8960" spans="1:1" ht="18.75" x14ac:dyDescent="0.25">
      <c r="A8960" s="6"/>
    </row>
    <row r="8961" spans="1:1" ht="18.75" x14ac:dyDescent="0.25">
      <c r="A8961" s="6"/>
    </row>
    <row r="8962" spans="1:1" ht="18.75" x14ac:dyDescent="0.25">
      <c r="A8962" s="6"/>
    </row>
    <row r="8963" spans="1:1" ht="18.75" x14ac:dyDescent="0.25">
      <c r="A8963" s="6"/>
    </row>
    <row r="8964" spans="1:1" ht="18.75" x14ac:dyDescent="0.25">
      <c r="A8964" s="6"/>
    </row>
    <row r="8965" spans="1:1" ht="18.75" x14ac:dyDescent="0.25">
      <c r="A8965" s="6"/>
    </row>
    <row r="8966" spans="1:1" ht="18.75" x14ac:dyDescent="0.25">
      <c r="A8966" s="6"/>
    </row>
    <row r="8967" spans="1:1" ht="18.75" x14ac:dyDescent="0.25">
      <c r="A8967" s="6"/>
    </row>
    <row r="8968" spans="1:1" ht="18.75" x14ac:dyDescent="0.25">
      <c r="A8968" s="6"/>
    </row>
    <row r="8969" spans="1:1" ht="18.75" x14ac:dyDescent="0.25">
      <c r="A8969" s="6"/>
    </row>
    <row r="8970" spans="1:1" ht="18.75" x14ac:dyDescent="0.25">
      <c r="A8970" s="6"/>
    </row>
    <row r="8971" spans="1:1" ht="18.75" x14ac:dyDescent="0.25">
      <c r="A8971" s="6"/>
    </row>
    <row r="8972" spans="1:1" ht="18.75" x14ac:dyDescent="0.25">
      <c r="A8972" s="6"/>
    </row>
    <row r="8973" spans="1:1" ht="18.75" x14ac:dyDescent="0.25">
      <c r="A8973" s="6"/>
    </row>
    <row r="8974" spans="1:1" ht="18.75" x14ac:dyDescent="0.25">
      <c r="A8974" s="6"/>
    </row>
    <row r="8975" spans="1:1" ht="18.75" x14ac:dyDescent="0.25">
      <c r="A8975" s="6"/>
    </row>
    <row r="8976" spans="1:1" ht="18.75" x14ac:dyDescent="0.25">
      <c r="A8976" s="6"/>
    </row>
    <row r="8977" spans="1:1" ht="18.75" x14ac:dyDescent="0.25">
      <c r="A8977" s="6"/>
    </row>
    <row r="8978" spans="1:1" ht="18.75" x14ac:dyDescent="0.25">
      <c r="A8978" s="6"/>
    </row>
    <row r="8979" spans="1:1" ht="18.75" x14ac:dyDescent="0.25">
      <c r="A8979" s="6"/>
    </row>
    <row r="8980" spans="1:1" ht="18.75" x14ac:dyDescent="0.25">
      <c r="A8980" s="6"/>
    </row>
    <row r="8981" spans="1:1" ht="18.75" x14ac:dyDescent="0.25">
      <c r="A8981" s="6"/>
    </row>
    <row r="8982" spans="1:1" ht="18.75" x14ac:dyDescent="0.25">
      <c r="A8982" s="6"/>
    </row>
    <row r="8983" spans="1:1" ht="18.75" x14ac:dyDescent="0.25">
      <c r="A8983" s="6"/>
    </row>
    <row r="8984" spans="1:1" ht="18.75" x14ac:dyDescent="0.25">
      <c r="A8984" s="6"/>
    </row>
    <row r="8985" spans="1:1" ht="18.75" x14ac:dyDescent="0.25">
      <c r="A8985" s="6"/>
    </row>
    <row r="8986" spans="1:1" ht="18.75" x14ac:dyDescent="0.25">
      <c r="A8986" s="6"/>
    </row>
    <row r="8987" spans="1:1" ht="18.75" x14ac:dyDescent="0.25">
      <c r="A8987" s="6"/>
    </row>
    <row r="8988" spans="1:1" ht="18.75" x14ac:dyDescent="0.25">
      <c r="A8988" s="6"/>
    </row>
    <row r="8989" spans="1:1" ht="18.75" x14ac:dyDescent="0.25">
      <c r="A8989" s="6"/>
    </row>
    <row r="8990" spans="1:1" ht="18.75" x14ac:dyDescent="0.25">
      <c r="A8990" s="6"/>
    </row>
    <row r="8991" spans="1:1" ht="18.75" x14ac:dyDescent="0.25">
      <c r="A8991" s="6"/>
    </row>
    <row r="8992" spans="1:1" ht="18.75" x14ac:dyDescent="0.25">
      <c r="A8992" s="6"/>
    </row>
    <row r="8993" spans="1:1" ht="18.75" x14ac:dyDescent="0.25">
      <c r="A8993" s="6"/>
    </row>
    <row r="8994" spans="1:1" ht="18.75" x14ac:dyDescent="0.25">
      <c r="A8994" s="6"/>
    </row>
    <row r="8995" spans="1:1" ht="18.75" x14ac:dyDescent="0.25">
      <c r="A8995" s="6"/>
    </row>
    <row r="8996" spans="1:1" ht="18.75" x14ac:dyDescent="0.25">
      <c r="A8996" s="6"/>
    </row>
    <row r="8997" spans="1:1" ht="18.75" x14ac:dyDescent="0.25">
      <c r="A8997" s="6"/>
    </row>
    <row r="8998" spans="1:1" ht="18.75" x14ac:dyDescent="0.25">
      <c r="A8998" s="6"/>
    </row>
    <row r="8999" spans="1:1" ht="18.75" x14ac:dyDescent="0.25">
      <c r="A8999" s="6"/>
    </row>
    <row r="9000" spans="1:1" ht="18.75" x14ac:dyDescent="0.25">
      <c r="A9000" s="6"/>
    </row>
    <row r="9001" spans="1:1" ht="18.75" x14ac:dyDescent="0.25">
      <c r="A9001" s="6"/>
    </row>
    <row r="9002" spans="1:1" ht="18.75" x14ac:dyDescent="0.25">
      <c r="A9002" s="6"/>
    </row>
    <row r="9003" spans="1:1" ht="18.75" x14ac:dyDescent="0.25">
      <c r="A9003" s="6"/>
    </row>
    <row r="9004" spans="1:1" ht="18.75" x14ac:dyDescent="0.25">
      <c r="A9004" s="6"/>
    </row>
    <row r="9005" spans="1:1" ht="18.75" x14ac:dyDescent="0.25">
      <c r="A9005" s="6"/>
    </row>
    <row r="9006" spans="1:1" ht="18.75" x14ac:dyDescent="0.25">
      <c r="A9006" s="6"/>
    </row>
    <row r="9007" spans="1:1" ht="18.75" x14ac:dyDescent="0.25">
      <c r="A9007" s="6"/>
    </row>
    <row r="9008" spans="1:1" ht="18.75" x14ac:dyDescent="0.25">
      <c r="A9008" s="6"/>
    </row>
    <row r="9009" spans="1:1" ht="18.75" x14ac:dyDescent="0.25">
      <c r="A9009" s="6"/>
    </row>
    <row r="9010" spans="1:1" ht="18.75" x14ac:dyDescent="0.25">
      <c r="A9010" s="6"/>
    </row>
    <row r="9011" spans="1:1" ht="18.75" x14ac:dyDescent="0.25">
      <c r="A9011" s="6"/>
    </row>
    <row r="9012" spans="1:1" ht="18.75" x14ac:dyDescent="0.25">
      <c r="A9012" s="6"/>
    </row>
    <row r="9013" spans="1:1" ht="18.75" x14ac:dyDescent="0.25">
      <c r="A9013" s="6"/>
    </row>
    <row r="9014" spans="1:1" ht="18.75" x14ac:dyDescent="0.25">
      <c r="A9014" s="6"/>
    </row>
    <row r="9015" spans="1:1" ht="18.75" x14ac:dyDescent="0.25">
      <c r="A9015" s="6"/>
    </row>
    <row r="9016" spans="1:1" ht="18.75" x14ac:dyDescent="0.25">
      <c r="A9016" s="6"/>
    </row>
    <row r="9017" spans="1:1" ht="18.75" x14ac:dyDescent="0.25">
      <c r="A9017" s="6"/>
    </row>
    <row r="9018" spans="1:1" ht="18.75" x14ac:dyDescent="0.25">
      <c r="A9018" s="6"/>
    </row>
    <row r="9019" spans="1:1" ht="18.75" x14ac:dyDescent="0.25">
      <c r="A9019" s="6"/>
    </row>
    <row r="9020" spans="1:1" ht="18.75" x14ac:dyDescent="0.25">
      <c r="A9020" s="6"/>
    </row>
    <row r="9021" spans="1:1" ht="18.75" x14ac:dyDescent="0.25">
      <c r="A9021" s="6"/>
    </row>
    <row r="9022" spans="1:1" ht="18.75" x14ac:dyDescent="0.25">
      <c r="A9022" s="6"/>
    </row>
    <row r="9023" spans="1:1" ht="18.75" x14ac:dyDescent="0.25">
      <c r="A9023" s="6"/>
    </row>
    <row r="9024" spans="1:1" ht="18.75" x14ac:dyDescent="0.25">
      <c r="A9024" s="6"/>
    </row>
    <row r="9025" spans="1:1" ht="18.75" x14ac:dyDescent="0.25">
      <c r="A9025" s="6"/>
    </row>
    <row r="9026" spans="1:1" ht="18.75" x14ac:dyDescent="0.25">
      <c r="A9026" s="6"/>
    </row>
    <row r="9027" spans="1:1" ht="18.75" x14ac:dyDescent="0.25">
      <c r="A9027" s="6"/>
    </row>
    <row r="9028" spans="1:1" ht="18.75" x14ac:dyDescent="0.25">
      <c r="A9028" s="6"/>
    </row>
    <row r="9029" spans="1:1" ht="18.75" x14ac:dyDescent="0.25">
      <c r="A9029" s="6"/>
    </row>
    <row r="9030" spans="1:1" ht="18.75" x14ac:dyDescent="0.25">
      <c r="A9030" s="6"/>
    </row>
    <row r="9031" spans="1:1" ht="18.75" x14ac:dyDescent="0.25">
      <c r="A9031" s="6"/>
    </row>
    <row r="9032" spans="1:1" ht="18.75" x14ac:dyDescent="0.25">
      <c r="A9032" s="6"/>
    </row>
    <row r="9033" spans="1:1" ht="18.75" x14ac:dyDescent="0.25">
      <c r="A9033" s="6"/>
    </row>
    <row r="9034" spans="1:1" ht="18.75" x14ac:dyDescent="0.25">
      <c r="A9034" s="6"/>
    </row>
    <row r="9035" spans="1:1" ht="18.75" x14ac:dyDescent="0.25">
      <c r="A9035" s="6"/>
    </row>
    <row r="9036" spans="1:1" ht="18.75" x14ac:dyDescent="0.25">
      <c r="A9036" s="6"/>
    </row>
    <row r="9037" spans="1:1" ht="18.75" x14ac:dyDescent="0.25">
      <c r="A9037" s="6"/>
    </row>
    <row r="9038" spans="1:1" ht="18.75" x14ac:dyDescent="0.25">
      <c r="A9038" s="6"/>
    </row>
    <row r="9039" spans="1:1" ht="18.75" x14ac:dyDescent="0.25">
      <c r="A9039" s="6"/>
    </row>
    <row r="9040" spans="1:1" ht="18.75" x14ac:dyDescent="0.25">
      <c r="A9040" s="6"/>
    </row>
    <row r="9041" spans="1:1" ht="18.75" x14ac:dyDescent="0.25">
      <c r="A9041" s="6"/>
    </row>
    <row r="9042" spans="1:1" ht="18.75" x14ac:dyDescent="0.25">
      <c r="A9042" s="6"/>
    </row>
    <row r="9043" spans="1:1" ht="18.75" x14ac:dyDescent="0.25">
      <c r="A9043" s="6"/>
    </row>
    <row r="9044" spans="1:1" ht="18.75" x14ac:dyDescent="0.25">
      <c r="A9044" s="6"/>
    </row>
    <row r="9045" spans="1:1" ht="18.75" x14ac:dyDescent="0.25">
      <c r="A9045" s="6"/>
    </row>
    <row r="9046" spans="1:1" ht="18.75" x14ac:dyDescent="0.25">
      <c r="A9046" s="6"/>
    </row>
    <row r="9047" spans="1:1" ht="18.75" x14ac:dyDescent="0.25">
      <c r="A9047" s="6"/>
    </row>
    <row r="9048" spans="1:1" ht="18.75" x14ac:dyDescent="0.25">
      <c r="A9048" s="6"/>
    </row>
    <row r="9049" spans="1:1" ht="18.75" x14ac:dyDescent="0.25">
      <c r="A9049" s="6"/>
    </row>
    <row r="9050" spans="1:1" ht="18.75" x14ac:dyDescent="0.25">
      <c r="A9050" s="6"/>
    </row>
    <row r="9051" spans="1:1" ht="18.75" x14ac:dyDescent="0.25">
      <c r="A9051" s="6"/>
    </row>
    <row r="9052" spans="1:1" ht="18.75" x14ac:dyDescent="0.25">
      <c r="A9052" s="6"/>
    </row>
    <row r="9053" spans="1:1" ht="18.75" x14ac:dyDescent="0.25">
      <c r="A9053" s="6"/>
    </row>
    <row r="9054" spans="1:1" ht="18.75" x14ac:dyDescent="0.25">
      <c r="A9054" s="6"/>
    </row>
    <row r="9055" spans="1:1" ht="18.75" x14ac:dyDescent="0.25">
      <c r="A9055" s="6"/>
    </row>
    <row r="9056" spans="1:1" ht="18.75" x14ac:dyDescent="0.25">
      <c r="A9056" s="6"/>
    </row>
    <row r="9057" spans="1:1" ht="18.75" x14ac:dyDescent="0.25">
      <c r="A9057" s="6"/>
    </row>
    <row r="9058" spans="1:1" ht="18.75" x14ac:dyDescent="0.25">
      <c r="A9058" s="6"/>
    </row>
    <row r="9059" spans="1:1" ht="18.75" x14ac:dyDescent="0.25">
      <c r="A9059" s="6"/>
    </row>
    <row r="9060" spans="1:1" ht="18.75" x14ac:dyDescent="0.25">
      <c r="A9060" s="6"/>
    </row>
    <row r="9061" spans="1:1" ht="18.75" x14ac:dyDescent="0.25">
      <c r="A9061" s="6"/>
    </row>
    <row r="9062" spans="1:1" ht="18.75" x14ac:dyDescent="0.25">
      <c r="A9062" s="6"/>
    </row>
    <row r="9063" spans="1:1" ht="18.75" x14ac:dyDescent="0.25">
      <c r="A9063" s="6"/>
    </row>
    <row r="9064" spans="1:1" ht="18.75" x14ac:dyDescent="0.25">
      <c r="A9064" s="6"/>
    </row>
    <row r="9065" spans="1:1" ht="18.75" x14ac:dyDescent="0.25">
      <c r="A9065" s="6"/>
    </row>
    <row r="9066" spans="1:1" ht="18.75" x14ac:dyDescent="0.25">
      <c r="A9066" s="6"/>
    </row>
    <row r="9067" spans="1:1" ht="18.75" x14ac:dyDescent="0.25">
      <c r="A9067" s="6"/>
    </row>
    <row r="9068" spans="1:1" ht="18.75" x14ac:dyDescent="0.25">
      <c r="A9068" s="6"/>
    </row>
    <row r="9069" spans="1:1" ht="18.75" x14ac:dyDescent="0.25">
      <c r="A9069" s="6"/>
    </row>
    <row r="9070" spans="1:1" ht="18.75" x14ac:dyDescent="0.25">
      <c r="A9070" s="6"/>
    </row>
    <row r="9071" spans="1:1" ht="18.75" x14ac:dyDescent="0.25">
      <c r="A9071" s="6"/>
    </row>
    <row r="9072" spans="1:1" ht="18.75" x14ac:dyDescent="0.25">
      <c r="A9072" s="6"/>
    </row>
    <row r="9073" spans="1:1" ht="18.75" x14ac:dyDescent="0.25">
      <c r="A9073" s="6"/>
    </row>
    <row r="9074" spans="1:1" ht="18.75" x14ac:dyDescent="0.25">
      <c r="A9074" s="6"/>
    </row>
    <row r="9075" spans="1:1" ht="18.75" x14ac:dyDescent="0.25">
      <c r="A9075" s="6"/>
    </row>
    <row r="9076" spans="1:1" ht="18.75" x14ac:dyDescent="0.25">
      <c r="A9076" s="6"/>
    </row>
    <row r="9077" spans="1:1" ht="18.75" x14ac:dyDescent="0.25">
      <c r="A9077" s="6"/>
    </row>
    <row r="9078" spans="1:1" ht="18.75" x14ac:dyDescent="0.25">
      <c r="A9078" s="6"/>
    </row>
    <row r="9079" spans="1:1" ht="18.75" x14ac:dyDescent="0.25">
      <c r="A9079" s="6"/>
    </row>
    <row r="9080" spans="1:1" ht="18.75" x14ac:dyDescent="0.25">
      <c r="A9080" s="6"/>
    </row>
    <row r="9081" spans="1:1" ht="18.75" x14ac:dyDescent="0.25">
      <c r="A9081" s="6"/>
    </row>
    <row r="9082" spans="1:1" ht="18.75" x14ac:dyDescent="0.25">
      <c r="A9082" s="6"/>
    </row>
    <row r="9083" spans="1:1" ht="18.75" x14ac:dyDescent="0.25">
      <c r="A9083" s="6"/>
    </row>
    <row r="9084" spans="1:1" ht="18.75" x14ac:dyDescent="0.25">
      <c r="A9084" s="6"/>
    </row>
    <row r="9085" spans="1:1" ht="18.75" x14ac:dyDescent="0.25">
      <c r="A9085" s="6"/>
    </row>
    <row r="9086" spans="1:1" ht="18.75" x14ac:dyDescent="0.25">
      <c r="A9086" s="6"/>
    </row>
    <row r="9087" spans="1:1" ht="18.75" x14ac:dyDescent="0.25">
      <c r="A9087" s="6"/>
    </row>
    <row r="9088" spans="1:1" ht="18.75" x14ac:dyDescent="0.25">
      <c r="A9088" s="6"/>
    </row>
    <row r="9089" spans="1:1" ht="18.75" x14ac:dyDescent="0.25">
      <c r="A9089" s="6"/>
    </row>
    <row r="9090" spans="1:1" ht="18.75" x14ac:dyDescent="0.25">
      <c r="A9090" s="6"/>
    </row>
    <row r="9091" spans="1:1" ht="18.75" x14ac:dyDescent="0.25">
      <c r="A9091" s="6"/>
    </row>
    <row r="9092" spans="1:1" ht="18.75" x14ac:dyDescent="0.25">
      <c r="A9092" s="6"/>
    </row>
    <row r="9093" spans="1:1" ht="18.75" x14ac:dyDescent="0.25">
      <c r="A9093" s="6"/>
    </row>
    <row r="9094" spans="1:1" ht="18.75" x14ac:dyDescent="0.25">
      <c r="A9094" s="6"/>
    </row>
    <row r="9095" spans="1:1" ht="18.75" x14ac:dyDescent="0.25">
      <c r="A9095" s="6"/>
    </row>
    <row r="9096" spans="1:1" ht="18.75" x14ac:dyDescent="0.25">
      <c r="A9096" s="6"/>
    </row>
    <row r="9097" spans="1:1" ht="18.75" x14ac:dyDescent="0.25">
      <c r="A9097" s="6"/>
    </row>
    <row r="9098" spans="1:1" ht="18.75" x14ac:dyDescent="0.25">
      <c r="A9098" s="6"/>
    </row>
    <row r="9099" spans="1:1" ht="18.75" x14ac:dyDescent="0.25">
      <c r="A9099" s="6"/>
    </row>
    <row r="9100" spans="1:1" ht="18.75" x14ac:dyDescent="0.25">
      <c r="A9100" s="6"/>
    </row>
    <row r="9101" spans="1:1" ht="18.75" x14ac:dyDescent="0.25">
      <c r="A9101" s="6"/>
    </row>
    <row r="9102" spans="1:1" ht="18.75" x14ac:dyDescent="0.25">
      <c r="A9102" s="6"/>
    </row>
    <row r="9103" spans="1:1" ht="18.75" x14ac:dyDescent="0.25">
      <c r="A9103" s="6"/>
    </row>
    <row r="9104" spans="1:1" ht="18.75" x14ac:dyDescent="0.25">
      <c r="A9104" s="6"/>
    </row>
    <row r="9105" spans="1:1" ht="18.75" x14ac:dyDescent="0.25">
      <c r="A9105" s="6"/>
    </row>
    <row r="9106" spans="1:1" ht="18.75" x14ac:dyDescent="0.25">
      <c r="A9106" s="6"/>
    </row>
    <row r="9107" spans="1:1" ht="18.75" x14ac:dyDescent="0.25">
      <c r="A9107" s="6"/>
    </row>
    <row r="9108" spans="1:1" ht="18.75" x14ac:dyDescent="0.25">
      <c r="A9108" s="6"/>
    </row>
    <row r="9109" spans="1:1" ht="18.75" x14ac:dyDescent="0.25">
      <c r="A9109" s="6"/>
    </row>
    <row r="9110" spans="1:1" ht="18.75" x14ac:dyDescent="0.25">
      <c r="A9110" s="6"/>
    </row>
    <row r="9111" spans="1:1" ht="18.75" x14ac:dyDescent="0.25">
      <c r="A9111" s="6"/>
    </row>
    <row r="9112" spans="1:1" ht="18.75" x14ac:dyDescent="0.25">
      <c r="A9112" s="6"/>
    </row>
    <row r="9113" spans="1:1" ht="18.75" x14ac:dyDescent="0.25">
      <c r="A9113" s="6"/>
    </row>
    <row r="9114" spans="1:1" ht="18.75" x14ac:dyDescent="0.25">
      <c r="A9114" s="6"/>
    </row>
    <row r="9115" spans="1:1" ht="18.75" x14ac:dyDescent="0.25">
      <c r="A9115" s="6"/>
    </row>
    <row r="9116" spans="1:1" ht="18.75" x14ac:dyDescent="0.25">
      <c r="A9116" s="6"/>
    </row>
    <row r="9117" spans="1:1" ht="18.75" x14ac:dyDescent="0.25">
      <c r="A9117" s="6"/>
    </row>
    <row r="9118" spans="1:1" ht="18.75" x14ac:dyDescent="0.25">
      <c r="A9118" s="6"/>
    </row>
    <row r="9119" spans="1:1" ht="18.75" x14ac:dyDescent="0.25">
      <c r="A9119" s="6"/>
    </row>
    <row r="9120" spans="1:1" ht="18.75" x14ac:dyDescent="0.25">
      <c r="A9120" s="6"/>
    </row>
    <row r="9121" spans="1:1" ht="18.75" x14ac:dyDescent="0.25">
      <c r="A9121" s="6"/>
    </row>
    <row r="9122" spans="1:1" ht="18.75" x14ac:dyDescent="0.25">
      <c r="A9122" s="6"/>
    </row>
    <row r="9123" spans="1:1" ht="18.75" x14ac:dyDescent="0.25">
      <c r="A9123" s="6"/>
    </row>
    <row r="9124" spans="1:1" ht="18.75" x14ac:dyDescent="0.25">
      <c r="A9124" s="6"/>
    </row>
    <row r="9125" spans="1:1" ht="18.75" x14ac:dyDescent="0.25">
      <c r="A9125" s="6"/>
    </row>
    <row r="9126" spans="1:1" ht="18.75" x14ac:dyDescent="0.25">
      <c r="A9126" s="6"/>
    </row>
    <row r="9127" spans="1:1" ht="18.75" x14ac:dyDescent="0.25">
      <c r="A9127" s="6"/>
    </row>
    <row r="9128" spans="1:1" ht="18.75" x14ac:dyDescent="0.25">
      <c r="A9128" s="6"/>
    </row>
    <row r="9129" spans="1:1" ht="18.75" x14ac:dyDescent="0.25">
      <c r="A9129" s="6"/>
    </row>
    <row r="9130" spans="1:1" ht="18.75" x14ac:dyDescent="0.25">
      <c r="A9130" s="6"/>
    </row>
    <row r="9131" spans="1:1" ht="18.75" x14ac:dyDescent="0.25">
      <c r="A9131" s="6"/>
    </row>
    <row r="9132" spans="1:1" ht="18.75" x14ac:dyDescent="0.25">
      <c r="A9132" s="6"/>
    </row>
    <row r="9133" spans="1:1" ht="18.75" x14ac:dyDescent="0.25">
      <c r="A9133" s="6"/>
    </row>
    <row r="9134" spans="1:1" ht="18.75" x14ac:dyDescent="0.25">
      <c r="A9134" s="6"/>
    </row>
    <row r="9135" spans="1:1" ht="18.75" x14ac:dyDescent="0.25">
      <c r="A9135" s="6"/>
    </row>
    <row r="9136" spans="1:1" ht="18.75" x14ac:dyDescent="0.25">
      <c r="A9136" s="6"/>
    </row>
    <row r="9137" spans="1:1" ht="18.75" x14ac:dyDescent="0.25">
      <c r="A9137" s="6"/>
    </row>
    <row r="9138" spans="1:1" ht="18.75" x14ac:dyDescent="0.25">
      <c r="A9138" s="6"/>
    </row>
    <row r="9139" spans="1:1" ht="18.75" x14ac:dyDescent="0.25">
      <c r="A9139" s="6"/>
    </row>
    <row r="9140" spans="1:1" ht="18.75" x14ac:dyDescent="0.25">
      <c r="A9140" s="6"/>
    </row>
    <row r="9141" spans="1:1" ht="18.75" x14ac:dyDescent="0.25">
      <c r="A9141" s="6"/>
    </row>
    <row r="9142" spans="1:1" ht="18.75" x14ac:dyDescent="0.25">
      <c r="A9142" s="6"/>
    </row>
    <row r="9143" spans="1:1" ht="18.75" x14ac:dyDescent="0.25">
      <c r="A9143" s="6"/>
    </row>
    <row r="9144" spans="1:1" ht="18.75" x14ac:dyDescent="0.25">
      <c r="A9144" s="6"/>
    </row>
    <row r="9145" spans="1:1" ht="18.75" x14ac:dyDescent="0.25">
      <c r="A9145" s="6"/>
    </row>
    <row r="9146" spans="1:1" ht="18.75" x14ac:dyDescent="0.25">
      <c r="A9146" s="6"/>
    </row>
    <row r="9147" spans="1:1" ht="18.75" x14ac:dyDescent="0.25">
      <c r="A9147" s="6"/>
    </row>
    <row r="9148" spans="1:1" ht="18.75" x14ac:dyDescent="0.25">
      <c r="A9148" s="6"/>
    </row>
    <row r="9149" spans="1:1" ht="18.75" x14ac:dyDescent="0.25">
      <c r="A9149" s="6"/>
    </row>
    <row r="9150" spans="1:1" ht="18.75" x14ac:dyDescent="0.25">
      <c r="A9150" s="6"/>
    </row>
    <row r="9151" spans="1:1" ht="18.75" x14ac:dyDescent="0.25">
      <c r="A9151" s="6"/>
    </row>
    <row r="9152" spans="1:1" ht="18.75" x14ac:dyDescent="0.25">
      <c r="A9152" s="6"/>
    </row>
    <row r="9153" spans="1:1" ht="18.75" x14ac:dyDescent="0.25">
      <c r="A9153" s="6"/>
    </row>
    <row r="9154" spans="1:1" ht="18.75" x14ac:dyDescent="0.25">
      <c r="A9154" s="6"/>
    </row>
    <row r="9155" spans="1:1" ht="18.75" x14ac:dyDescent="0.25">
      <c r="A9155" s="6"/>
    </row>
    <row r="9156" spans="1:1" ht="18.75" x14ac:dyDescent="0.25">
      <c r="A9156" s="6"/>
    </row>
    <row r="9157" spans="1:1" ht="18.75" x14ac:dyDescent="0.25">
      <c r="A9157" s="6"/>
    </row>
    <row r="9158" spans="1:1" ht="18.75" x14ac:dyDescent="0.25">
      <c r="A9158" s="6"/>
    </row>
    <row r="9159" spans="1:1" ht="18.75" x14ac:dyDescent="0.25">
      <c r="A9159" s="6"/>
    </row>
    <row r="9160" spans="1:1" ht="18.75" x14ac:dyDescent="0.25">
      <c r="A9160" s="6"/>
    </row>
    <row r="9161" spans="1:1" ht="18.75" x14ac:dyDescent="0.25">
      <c r="A9161" s="6"/>
    </row>
    <row r="9162" spans="1:1" ht="18.75" x14ac:dyDescent="0.25">
      <c r="A9162" s="6"/>
    </row>
    <row r="9163" spans="1:1" ht="18.75" x14ac:dyDescent="0.25">
      <c r="A9163" s="6"/>
    </row>
    <row r="9164" spans="1:1" ht="18.75" x14ac:dyDescent="0.25">
      <c r="A9164" s="6"/>
    </row>
    <row r="9165" spans="1:1" ht="18.75" x14ac:dyDescent="0.25">
      <c r="A9165" s="6"/>
    </row>
    <row r="9166" spans="1:1" ht="18.75" x14ac:dyDescent="0.25">
      <c r="A9166" s="6"/>
    </row>
    <row r="9167" spans="1:1" ht="18.75" x14ac:dyDescent="0.25">
      <c r="A9167" s="6"/>
    </row>
    <row r="9168" spans="1:1" ht="18.75" x14ac:dyDescent="0.25">
      <c r="A9168" s="6"/>
    </row>
    <row r="9169" spans="1:1" ht="18.75" x14ac:dyDescent="0.25">
      <c r="A9169" s="6"/>
    </row>
    <row r="9170" spans="1:1" ht="18.75" x14ac:dyDescent="0.25">
      <c r="A9170" s="6"/>
    </row>
    <row r="9171" spans="1:1" ht="18.75" x14ac:dyDescent="0.25">
      <c r="A9171" s="6"/>
    </row>
    <row r="9172" spans="1:1" ht="18.75" x14ac:dyDescent="0.25">
      <c r="A9172" s="6"/>
    </row>
    <row r="9173" spans="1:1" ht="18.75" x14ac:dyDescent="0.25">
      <c r="A9173" s="6"/>
    </row>
    <row r="9174" spans="1:1" ht="18.75" x14ac:dyDescent="0.25">
      <c r="A9174" s="6"/>
    </row>
    <row r="9175" spans="1:1" ht="18.75" x14ac:dyDescent="0.25">
      <c r="A9175" s="6"/>
    </row>
    <row r="9176" spans="1:1" ht="18.75" x14ac:dyDescent="0.25">
      <c r="A9176" s="6"/>
    </row>
    <row r="9177" spans="1:1" ht="18.75" x14ac:dyDescent="0.25">
      <c r="A9177" s="6"/>
    </row>
    <row r="9178" spans="1:1" ht="18.75" x14ac:dyDescent="0.25">
      <c r="A9178" s="6"/>
    </row>
    <row r="9179" spans="1:1" ht="18.75" x14ac:dyDescent="0.25">
      <c r="A9179" s="6"/>
    </row>
    <row r="9180" spans="1:1" ht="18.75" x14ac:dyDescent="0.25">
      <c r="A9180" s="6"/>
    </row>
    <row r="9181" spans="1:1" ht="18.75" x14ac:dyDescent="0.25">
      <c r="A9181" s="6"/>
    </row>
    <row r="9182" spans="1:1" ht="18.75" x14ac:dyDescent="0.25">
      <c r="A9182" s="6"/>
    </row>
    <row r="9183" spans="1:1" ht="18.75" x14ac:dyDescent="0.25">
      <c r="A9183" s="6"/>
    </row>
    <row r="9184" spans="1:1" ht="18.75" x14ac:dyDescent="0.25">
      <c r="A9184" s="6"/>
    </row>
    <row r="9185" spans="1:1" ht="18.75" x14ac:dyDescent="0.25">
      <c r="A9185" s="6"/>
    </row>
    <row r="9186" spans="1:1" ht="18.75" x14ac:dyDescent="0.25">
      <c r="A9186" s="6"/>
    </row>
    <row r="9187" spans="1:1" ht="18.75" x14ac:dyDescent="0.25">
      <c r="A9187" s="6"/>
    </row>
    <row r="9188" spans="1:1" ht="18.75" x14ac:dyDescent="0.25">
      <c r="A9188" s="6"/>
    </row>
    <row r="9189" spans="1:1" ht="18.75" x14ac:dyDescent="0.25">
      <c r="A9189" s="6"/>
    </row>
    <row r="9190" spans="1:1" ht="18.75" x14ac:dyDescent="0.25">
      <c r="A9190" s="6"/>
    </row>
    <row r="9191" spans="1:1" ht="18.75" x14ac:dyDescent="0.25">
      <c r="A9191" s="6"/>
    </row>
    <row r="9192" spans="1:1" ht="18.75" x14ac:dyDescent="0.25">
      <c r="A9192" s="6"/>
    </row>
    <row r="9193" spans="1:1" ht="18.75" x14ac:dyDescent="0.25">
      <c r="A9193" s="6"/>
    </row>
    <row r="9194" spans="1:1" ht="18.75" x14ac:dyDescent="0.25">
      <c r="A9194" s="6"/>
    </row>
    <row r="9195" spans="1:1" ht="18.75" x14ac:dyDescent="0.25">
      <c r="A9195" s="6"/>
    </row>
    <row r="9196" spans="1:1" ht="18.75" x14ac:dyDescent="0.25">
      <c r="A9196" s="6"/>
    </row>
    <row r="9197" spans="1:1" ht="18.75" x14ac:dyDescent="0.25">
      <c r="A9197" s="6"/>
    </row>
    <row r="9198" spans="1:1" ht="18.75" x14ac:dyDescent="0.25">
      <c r="A9198" s="6"/>
    </row>
    <row r="9199" spans="1:1" ht="18.75" x14ac:dyDescent="0.25">
      <c r="A9199" s="6"/>
    </row>
    <row r="9200" spans="1:1" ht="18.75" x14ac:dyDescent="0.25">
      <c r="A9200" s="6"/>
    </row>
    <row r="9201" spans="1:1" ht="18.75" x14ac:dyDescent="0.25">
      <c r="A9201" s="6"/>
    </row>
    <row r="9202" spans="1:1" ht="18.75" x14ac:dyDescent="0.25">
      <c r="A9202" s="6"/>
    </row>
    <row r="9203" spans="1:1" ht="18.75" x14ac:dyDescent="0.25">
      <c r="A9203" s="6"/>
    </row>
    <row r="9204" spans="1:1" ht="18.75" x14ac:dyDescent="0.25">
      <c r="A9204" s="6"/>
    </row>
    <row r="9205" spans="1:1" ht="18.75" x14ac:dyDescent="0.25">
      <c r="A9205" s="6"/>
    </row>
    <row r="9206" spans="1:1" ht="18.75" x14ac:dyDescent="0.25">
      <c r="A9206" s="6"/>
    </row>
    <row r="9207" spans="1:1" ht="18.75" x14ac:dyDescent="0.25">
      <c r="A9207" s="6"/>
    </row>
    <row r="9208" spans="1:1" ht="18.75" x14ac:dyDescent="0.25">
      <c r="A9208" s="6"/>
    </row>
    <row r="9209" spans="1:1" ht="18.75" x14ac:dyDescent="0.25">
      <c r="A9209" s="6"/>
    </row>
    <row r="9210" spans="1:1" ht="18.75" x14ac:dyDescent="0.25">
      <c r="A9210" s="6"/>
    </row>
    <row r="9211" spans="1:1" ht="18.75" x14ac:dyDescent="0.25">
      <c r="A9211" s="6"/>
    </row>
    <row r="9212" spans="1:1" ht="18.75" x14ac:dyDescent="0.25">
      <c r="A9212" s="6"/>
    </row>
    <row r="9213" spans="1:1" ht="18.75" x14ac:dyDescent="0.25">
      <c r="A9213" s="6"/>
    </row>
    <row r="9214" spans="1:1" ht="18.75" x14ac:dyDescent="0.25">
      <c r="A9214" s="6"/>
    </row>
    <row r="9215" spans="1:1" ht="18.75" x14ac:dyDescent="0.25">
      <c r="A9215" s="6"/>
    </row>
    <row r="9216" spans="1:1" ht="18.75" x14ac:dyDescent="0.25">
      <c r="A9216" s="6"/>
    </row>
    <row r="9217" spans="1:1" ht="18.75" x14ac:dyDescent="0.25">
      <c r="A9217" s="6"/>
    </row>
    <row r="9218" spans="1:1" ht="18.75" x14ac:dyDescent="0.25">
      <c r="A9218" s="6"/>
    </row>
    <row r="9219" spans="1:1" ht="18.75" x14ac:dyDescent="0.25">
      <c r="A9219" s="6"/>
    </row>
    <row r="9220" spans="1:1" ht="18.75" x14ac:dyDescent="0.25">
      <c r="A9220" s="6"/>
    </row>
    <row r="9221" spans="1:1" ht="18.75" x14ac:dyDescent="0.25">
      <c r="A9221" s="6"/>
    </row>
    <row r="9222" spans="1:1" ht="18.75" x14ac:dyDescent="0.25">
      <c r="A9222" s="6"/>
    </row>
    <row r="9223" spans="1:1" ht="18.75" x14ac:dyDescent="0.25">
      <c r="A9223" s="6"/>
    </row>
    <row r="9224" spans="1:1" ht="18.75" x14ac:dyDescent="0.25">
      <c r="A9224" s="6"/>
    </row>
    <row r="9225" spans="1:1" ht="18.75" x14ac:dyDescent="0.25">
      <c r="A9225" s="6"/>
    </row>
    <row r="9226" spans="1:1" ht="18.75" x14ac:dyDescent="0.25">
      <c r="A9226" s="6"/>
    </row>
    <row r="9227" spans="1:1" ht="18.75" x14ac:dyDescent="0.25">
      <c r="A9227" s="6"/>
    </row>
    <row r="9228" spans="1:1" ht="18.75" x14ac:dyDescent="0.25">
      <c r="A9228" s="6"/>
    </row>
    <row r="9229" spans="1:1" ht="18.75" x14ac:dyDescent="0.25">
      <c r="A9229" s="6"/>
    </row>
    <row r="9230" spans="1:1" ht="18.75" x14ac:dyDescent="0.25">
      <c r="A9230" s="6"/>
    </row>
    <row r="9231" spans="1:1" ht="18.75" x14ac:dyDescent="0.25">
      <c r="A9231" s="6"/>
    </row>
    <row r="9232" spans="1:1" ht="18.75" x14ac:dyDescent="0.25">
      <c r="A9232" s="6"/>
    </row>
    <row r="9233" spans="1:1" ht="18.75" x14ac:dyDescent="0.25">
      <c r="A9233" s="6"/>
    </row>
    <row r="9234" spans="1:1" ht="18.75" x14ac:dyDescent="0.25">
      <c r="A9234" s="6"/>
    </row>
    <row r="9235" spans="1:1" ht="18.75" x14ac:dyDescent="0.25">
      <c r="A9235" s="6"/>
    </row>
    <row r="9236" spans="1:1" ht="18.75" x14ac:dyDescent="0.25">
      <c r="A9236" s="6"/>
    </row>
    <row r="9237" spans="1:1" ht="18.75" x14ac:dyDescent="0.25">
      <c r="A9237" s="6"/>
    </row>
    <row r="9238" spans="1:1" ht="18.75" x14ac:dyDescent="0.25">
      <c r="A9238" s="6"/>
    </row>
    <row r="9239" spans="1:1" ht="18.75" x14ac:dyDescent="0.25">
      <c r="A9239" s="6"/>
    </row>
    <row r="9240" spans="1:1" ht="18.75" x14ac:dyDescent="0.25">
      <c r="A9240" s="6"/>
    </row>
    <row r="9241" spans="1:1" ht="18.75" x14ac:dyDescent="0.25">
      <c r="A9241" s="6"/>
    </row>
    <row r="9242" spans="1:1" ht="18.75" x14ac:dyDescent="0.25">
      <c r="A9242" s="6"/>
    </row>
    <row r="9243" spans="1:1" ht="18.75" x14ac:dyDescent="0.25">
      <c r="A9243" s="6"/>
    </row>
    <row r="9244" spans="1:1" ht="18.75" x14ac:dyDescent="0.25">
      <c r="A9244" s="6"/>
    </row>
    <row r="9245" spans="1:1" ht="18.75" x14ac:dyDescent="0.25">
      <c r="A9245" s="6"/>
    </row>
    <row r="9246" spans="1:1" ht="18.75" x14ac:dyDescent="0.25">
      <c r="A9246" s="6"/>
    </row>
    <row r="9247" spans="1:1" ht="18.75" x14ac:dyDescent="0.25">
      <c r="A9247" s="6"/>
    </row>
    <row r="9248" spans="1:1" ht="18.75" x14ac:dyDescent="0.25">
      <c r="A9248" s="6"/>
    </row>
    <row r="9249" spans="1:1" ht="18.75" x14ac:dyDescent="0.25">
      <c r="A9249" s="6"/>
    </row>
    <row r="9250" spans="1:1" ht="18.75" x14ac:dyDescent="0.25">
      <c r="A9250" s="6"/>
    </row>
    <row r="9251" spans="1:1" ht="18.75" x14ac:dyDescent="0.25">
      <c r="A9251" s="6"/>
    </row>
    <row r="9252" spans="1:1" ht="18.75" x14ac:dyDescent="0.25">
      <c r="A9252" s="6"/>
    </row>
    <row r="9253" spans="1:1" ht="18.75" x14ac:dyDescent="0.25">
      <c r="A9253" s="6"/>
    </row>
    <row r="9254" spans="1:1" ht="18.75" x14ac:dyDescent="0.25">
      <c r="A9254" s="6"/>
    </row>
    <row r="9255" spans="1:1" ht="18.75" x14ac:dyDescent="0.25">
      <c r="A9255" s="6"/>
    </row>
    <row r="9256" spans="1:1" ht="18.75" x14ac:dyDescent="0.25">
      <c r="A9256" s="6"/>
    </row>
    <row r="9257" spans="1:1" ht="18.75" x14ac:dyDescent="0.25">
      <c r="A9257" s="6"/>
    </row>
    <row r="9258" spans="1:1" ht="18.75" x14ac:dyDescent="0.25">
      <c r="A9258" s="6"/>
    </row>
    <row r="9259" spans="1:1" ht="18.75" x14ac:dyDescent="0.25">
      <c r="A9259" s="6"/>
    </row>
    <row r="9260" spans="1:1" ht="18.75" x14ac:dyDescent="0.25">
      <c r="A9260" s="6"/>
    </row>
    <row r="9261" spans="1:1" ht="18.75" x14ac:dyDescent="0.25">
      <c r="A9261" s="6"/>
    </row>
    <row r="9262" spans="1:1" ht="18.75" x14ac:dyDescent="0.25">
      <c r="A9262" s="6"/>
    </row>
    <row r="9263" spans="1:1" ht="18.75" x14ac:dyDescent="0.25">
      <c r="A9263" s="6"/>
    </row>
    <row r="9264" spans="1:1" ht="18.75" x14ac:dyDescent="0.25">
      <c r="A9264" s="6"/>
    </row>
    <row r="9265" spans="1:1" ht="18.75" x14ac:dyDescent="0.25">
      <c r="A9265" s="6"/>
    </row>
    <row r="9266" spans="1:1" ht="18.75" x14ac:dyDescent="0.25">
      <c r="A9266" s="6"/>
    </row>
    <row r="9267" spans="1:1" ht="18.75" x14ac:dyDescent="0.25">
      <c r="A9267" s="6"/>
    </row>
    <row r="9268" spans="1:1" ht="18.75" x14ac:dyDescent="0.25">
      <c r="A9268" s="6"/>
    </row>
    <row r="9269" spans="1:1" ht="18.75" x14ac:dyDescent="0.25">
      <c r="A9269" s="6"/>
    </row>
    <row r="9270" spans="1:1" ht="18.75" x14ac:dyDescent="0.25">
      <c r="A9270" s="6"/>
    </row>
    <row r="9271" spans="1:1" ht="18.75" x14ac:dyDescent="0.25">
      <c r="A9271" s="6"/>
    </row>
    <row r="9272" spans="1:1" ht="18.75" x14ac:dyDescent="0.25">
      <c r="A9272" s="6"/>
    </row>
    <row r="9273" spans="1:1" ht="18.75" x14ac:dyDescent="0.25">
      <c r="A9273" s="6"/>
    </row>
    <row r="9274" spans="1:1" ht="18.75" x14ac:dyDescent="0.25">
      <c r="A9274" s="6"/>
    </row>
    <row r="9275" spans="1:1" ht="18.75" x14ac:dyDescent="0.25">
      <c r="A9275" s="6"/>
    </row>
    <row r="9276" spans="1:1" ht="18.75" x14ac:dyDescent="0.25">
      <c r="A9276" s="6"/>
    </row>
    <row r="9277" spans="1:1" ht="18.75" x14ac:dyDescent="0.25">
      <c r="A9277" s="6"/>
    </row>
    <row r="9278" spans="1:1" ht="18.75" x14ac:dyDescent="0.25">
      <c r="A9278" s="6"/>
    </row>
    <row r="9279" spans="1:1" ht="18.75" x14ac:dyDescent="0.25">
      <c r="A9279" s="6"/>
    </row>
    <row r="9280" spans="1:1" ht="18.75" x14ac:dyDescent="0.25">
      <c r="A9280" s="6"/>
    </row>
    <row r="9281" spans="1:1" ht="18.75" x14ac:dyDescent="0.25">
      <c r="A9281" s="6"/>
    </row>
    <row r="9282" spans="1:1" ht="18.75" x14ac:dyDescent="0.25">
      <c r="A9282" s="6"/>
    </row>
    <row r="9283" spans="1:1" ht="18.75" x14ac:dyDescent="0.25">
      <c r="A9283" s="6"/>
    </row>
    <row r="9284" spans="1:1" ht="18.75" x14ac:dyDescent="0.25">
      <c r="A9284" s="6"/>
    </row>
    <row r="9285" spans="1:1" ht="18.75" x14ac:dyDescent="0.25">
      <c r="A9285" s="6"/>
    </row>
    <row r="9286" spans="1:1" ht="18.75" x14ac:dyDescent="0.25">
      <c r="A9286" s="6"/>
    </row>
    <row r="9287" spans="1:1" ht="18.75" x14ac:dyDescent="0.25">
      <c r="A9287" s="6"/>
    </row>
    <row r="9288" spans="1:1" ht="18.75" x14ac:dyDescent="0.25">
      <c r="A9288" s="6"/>
    </row>
    <row r="9289" spans="1:1" ht="18.75" x14ac:dyDescent="0.25">
      <c r="A9289" s="6"/>
    </row>
    <row r="9290" spans="1:1" ht="18.75" x14ac:dyDescent="0.25">
      <c r="A9290" s="6"/>
    </row>
    <row r="9291" spans="1:1" ht="18.75" x14ac:dyDescent="0.25">
      <c r="A9291" s="6"/>
    </row>
    <row r="9292" spans="1:1" ht="18.75" x14ac:dyDescent="0.25">
      <c r="A9292" s="6"/>
    </row>
    <row r="9293" spans="1:1" ht="18.75" x14ac:dyDescent="0.25">
      <c r="A9293" s="6"/>
    </row>
    <row r="9294" spans="1:1" ht="18.75" x14ac:dyDescent="0.25">
      <c r="A9294" s="6"/>
    </row>
    <row r="9295" spans="1:1" ht="18.75" x14ac:dyDescent="0.25">
      <c r="A9295" s="6"/>
    </row>
    <row r="9296" spans="1:1" ht="18.75" x14ac:dyDescent="0.25">
      <c r="A9296" s="6"/>
    </row>
    <row r="9297" spans="1:1" ht="18.75" x14ac:dyDescent="0.25">
      <c r="A9297" s="6"/>
    </row>
    <row r="9298" spans="1:1" ht="18.75" x14ac:dyDescent="0.25">
      <c r="A9298" s="6"/>
    </row>
    <row r="9299" spans="1:1" ht="18.75" x14ac:dyDescent="0.25">
      <c r="A9299" s="6"/>
    </row>
    <row r="9300" spans="1:1" ht="18.75" x14ac:dyDescent="0.25">
      <c r="A9300" s="6"/>
    </row>
    <row r="9301" spans="1:1" ht="18.75" x14ac:dyDescent="0.25">
      <c r="A9301" s="6"/>
    </row>
    <row r="9302" spans="1:1" ht="18.75" x14ac:dyDescent="0.25">
      <c r="A9302" s="6"/>
    </row>
    <row r="9303" spans="1:1" ht="18.75" x14ac:dyDescent="0.25">
      <c r="A9303" s="6"/>
    </row>
    <row r="9304" spans="1:1" ht="18.75" x14ac:dyDescent="0.25">
      <c r="A9304" s="6"/>
    </row>
    <row r="9305" spans="1:1" ht="18.75" x14ac:dyDescent="0.25">
      <c r="A9305" s="6"/>
    </row>
    <row r="9306" spans="1:1" ht="18.75" x14ac:dyDescent="0.25">
      <c r="A9306" s="6"/>
    </row>
    <row r="9307" spans="1:1" ht="18.75" x14ac:dyDescent="0.25">
      <c r="A9307" s="6"/>
    </row>
    <row r="9308" spans="1:1" ht="18.75" x14ac:dyDescent="0.25">
      <c r="A9308" s="6"/>
    </row>
    <row r="9309" spans="1:1" ht="18.75" x14ac:dyDescent="0.25">
      <c r="A9309" s="6"/>
    </row>
    <row r="9310" spans="1:1" ht="18.75" x14ac:dyDescent="0.25">
      <c r="A9310" s="6"/>
    </row>
    <row r="9311" spans="1:1" ht="18.75" x14ac:dyDescent="0.25">
      <c r="A9311" s="6"/>
    </row>
    <row r="9312" spans="1:1" ht="18.75" x14ac:dyDescent="0.25">
      <c r="A9312" s="6"/>
    </row>
    <row r="9313" spans="1:1" ht="18.75" x14ac:dyDescent="0.25">
      <c r="A9313" s="6"/>
    </row>
    <row r="9314" spans="1:1" ht="18.75" x14ac:dyDescent="0.25">
      <c r="A9314" s="6"/>
    </row>
    <row r="9315" spans="1:1" ht="18.75" x14ac:dyDescent="0.25">
      <c r="A9315" s="6"/>
    </row>
    <row r="9316" spans="1:1" ht="18.75" x14ac:dyDescent="0.25">
      <c r="A9316" s="6"/>
    </row>
    <row r="9317" spans="1:1" ht="18.75" x14ac:dyDescent="0.25">
      <c r="A9317" s="6"/>
    </row>
    <row r="9318" spans="1:1" ht="18.75" x14ac:dyDescent="0.25">
      <c r="A9318" s="6"/>
    </row>
    <row r="9319" spans="1:1" ht="18.75" x14ac:dyDescent="0.25">
      <c r="A9319" s="6"/>
    </row>
    <row r="9320" spans="1:1" ht="18.75" x14ac:dyDescent="0.25">
      <c r="A9320" s="6"/>
    </row>
    <row r="9321" spans="1:1" ht="18.75" x14ac:dyDescent="0.25">
      <c r="A9321" s="6"/>
    </row>
    <row r="9322" spans="1:1" ht="18.75" x14ac:dyDescent="0.25">
      <c r="A9322" s="6"/>
    </row>
    <row r="9323" spans="1:1" ht="18.75" x14ac:dyDescent="0.25">
      <c r="A9323" s="6"/>
    </row>
    <row r="9324" spans="1:1" ht="18.75" x14ac:dyDescent="0.25">
      <c r="A9324" s="6"/>
    </row>
    <row r="9325" spans="1:1" ht="18.75" x14ac:dyDescent="0.25">
      <c r="A9325" s="6"/>
    </row>
    <row r="9326" spans="1:1" ht="18.75" x14ac:dyDescent="0.25">
      <c r="A9326" s="6"/>
    </row>
    <row r="9327" spans="1:1" ht="18.75" x14ac:dyDescent="0.25">
      <c r="A9327" s="6"/>
    </row>
    <row r="9328" spans="1:1" ht="18.75" x14ac:dyDescent="0.25">
      <c r="A9328" s="6"/>
    </row>
    <row r="9329" spans="1:1" ht="18.75" x14ac:dyDescent="0.25">
      <c r="A9329" s="6"/>
    </row>
    <row r="9330" spans="1:1" ht="18.75" x14ac:dyDescent="0.25">
      <c r="A9330" s="6"/>
    </row>
    <row r="9331" spans="1:1" ht="18.75" x14ac:dyDescent="0.25">
      <c r="A9331" s="6"/>
    </row>
    <row r="9332" spans="1:1" ht="18.75" x14ac:dyDescent="0.25">
      <c r="A9332" s="6"/>
    </row>
    <row r="9333" spans="1:1" ht="18.75" x14ac:dyDescent="0.25">
      <c r="A9333" s="6"/>
    </row>
    <row r="9334" spans="1:1" ht="18.75" x14ac:dyDescent="0.25">
      <c r="A9334" s="6"/>
    </row>
    <row r="9335" spans="1:1" ht="18.75" x14ac:dyDescent="0.25">
      <c r="A9335" s="6"/>
    </row>
    <row r="9336" spans="1:1" ht="18.75" x14ac:dyDescent="0.25">
      <c r="A9336" s="6"/>
    </row>
    <row r="9337" spans="1:1" ht="18.75" x14ac:dyDescent="0.25">
      <c r="A9337" s="6"/>
    </row>
    <row r="9338" spans="1:1" ht="18.75" x14ac:dyDescent="0.25">
      <c r="A9338" s="6"/>
    </row>
    <row r="9339" spans="1:1" ht="18.75" x14ac:dyDescent="0.25">
      <c r="A9339" s="6"/>
    </row>
    <row r="9340" spans="1:1" ht="18.75" x14ac:dyDescent="0.25">
      <c r="A9340" s="6"/>
    </row>
    <row r="9341" spans="1:1" ht="18.75" x14ac:dyDescent="0.25">
      <c r="A9341" s="6"/>
    </row>
    <row r="9342" spans="1:1" ht="18.75" x14ac:dyDescent="0.25">
      <c r="A9342" s="6"/>
    </row>
    <row r="9343" spans="1:1" ht="18.75" x14ac:dyDescent="0.25">
      <c r="A9343" s="6"/>
    </row>
    <row r="9344" spans="1:1" ht="18.75" x14ac:dyDescent="0.25">
      <c r="A9344" s="6"/>
    </row>
    <row r="9345" spans="1:1" ht="18.75" x14ac:dyDescent="0.25">
      <c r="A9345" s="6"/>
    </row>
    <row r="9346" spans="1:1" ht="18.75" x14ac:dyDescent="0.25">
      <c r="A9346" s="6"/>
    </row>
    <row r="9347" spans="1:1" ht="18.75" x14ac:dyDescent="0.25">
      <c r="A9347" s="6"/>
    </row>
    <row r="9348" spans="1:1" ht="18.75" x14ac:dyDescent="0.25">
      <c r="A9348" s="6"/>
    </row>
    <row r="9349" spans="1:1" ht="18.75" x14ac:dyDescent="0.25">
      <c r="A9349" s="6"/>
    </row>
    <row r="9350" spans="1:1" ht="18.75" x14ac:dyDescent="0.25">
      <c r="A9350" s="6"/>
    </row>
    <row r="9351" spans="1:1" ht="18.75" x14ac:dyDescent="0.25">
      <c r="A9351" s="6"/>
    </row>
    <row r="9352" spans="1:1" ht="18.75" x14ac:dyDescent="0.25">
      <c r="A9352" s="6"/>
    </row>
    <row r="9353" spans="1:1" ht="18.75" x14ac:dyDescent="0.25">
      <c r="A9353" s="6"/>
    </row>
    <row r="9354" spans="1:1" ht="18.75" x14ac:dyDescent="0.25">
      <c r="A9354" s="6"/>
    </row>
    <row r="9355" spans="1:1" ht="18.75" x14ac:dyDescent="0.25">
      <c r="A9355" s="6"/>
    </row>
    <row r="9356" spans="1:1" ht="18.75" x14ac:dyDescent="0.25">
      <c r="A9356" s="6"/>
    </row>
    <row r="9357" spans="1:1" ht="18.75" x14ac:dyDescent="0.25">
      <c r="A9357" s="6"/>
    </row>
    <row r="9358" spans="1:1" ht="18.75" x14ac:dyDescent="0.25">
      <c r="A9358" s="6"/>
    </row>
    <row r="9359" spans="1:1" ht="18.75" x14ac:dyDescent="0.25">
      <c r="A9359" s="6"/>
    </row>
    <row r="9360" spans="1:1" ht="18.75" x14ac:dyDescent="0.25">
      <c r="A9360" s="6"/>
    </row>
    <row r="9361" spans="1:1" ht="18.75" x14ac:dyDescent="0.25">
      <c r="A9361" s="6"/>
    </row>
    <row r="9362" spans="1:1" ht="18.75" x14ac:dyDescent="0.25">
      <c r="A9362" s="6"/>
    </row>
    <row r="9363" spans="1:1" ht="18.75" x14ac:dyDescent="0.25">
      <c r="A9363" s="6"/>
    </row>
    <row r="9364" spans="1:1" ht="18.75" x14ac:dyDescent="0.25">
      <c r="A9364" s="6"/>
    </row>
    <row r="9365" spans="1:1" ht="18.75" x14ac:dyDescent="0.25">
      <c r="A9365" s="6"/>
    </row>
    <row r="9366" spans="1:1" ht="18.75" x14ac:dyDescent="0.25">
      <c r="A9366" s="6"/>
    </row>
    <row r="9367" spans="1:1" ht="18.75" x14ac:dyDescent="0.25">
      <c r="A9367" s="6"/>
    </row>
    <row r="9368" spans="1:1" ht="18.75" x14ac:dyDescent="0.25">
      <c r="A9368" s="6"/>
    </row>
    <row r="9369" spans="1:1" ht="18.75" x14ac:dyDescent="0.25">
      <c r="A9369" s="6"/>
    </row>
    <row r="9370" spans="1:1" ht="18.75" x14ac:dyDescent="0.25">
      <c r="A9370" s="6"/>
    </row>
    <row r="9371" spans="1:1" ht="18.75" x14ac:dyDescent="0.25">
      <c r="A9371" s="6"/>
    </row>
    <row r="9372" spans="1:1" ht="18.75" x14ac:dyDescent="0.25">
      <c r="A9372" s="6"/>
    </row>
    <row r="9373" spans="1:1" ht="18.75" x14ac:dyDescent="0.25">
      <c r="A9373" s="6"/>
    </row>
    <row r="9374" spans="1:1" ht="18.75" x14ac:dyDescent="0.25">
      <c r="A9374" s="6"/>
    </row>
    <row r="9375" spans="1:1" ht="18.75" x14ac:dyDescent="0.25">
      <c r="A9375" s="6"/>
    </row>
    <row r="9376" spans="1:1" ht="18.75" x14ac:dyDescent="0.25">
      <c r="A9376" s="6"/>
    </row>
    <row r="9377" spans="1:1" ht="18.75" x14ac:dyDescent="0.25">
      <c r="A9377" s="6"/>
    </row>
    <row r="9378" spans="1:1" ht="18.75" x14ac:dyDescent="0.25">
      <c r="A9378" s="6"/>
    </row>
    <row r="9379" spans="1:1" ht="18.75" x14ac:dyDescent="0.25">
      <c r="A9379" s="6"/>
    </row>
    <row r="9380" spans="1:1" ht="18.75" x14ac:dyDescent="0.25">
      <c r="A9380" s="6"/>
    </row>
    <row r="9381" spans="1:1" ht="18.75" x14ac:dyDescent="0.25">
      <c r="A9381" s="6"/>
    </row>
    <row r="9382" spans="1:1" ht="18.75" x14ac:dyDescent="0.25">
      <c r="A9382" s="6"/>
    </row>
    <row r="9383" spans="1:1" ht="18.75" x14ac:dyDescent="0.25">
      <c r="A9383" s="6"/>
    </row>
    <row r="9384" spans="1:1" ht="18.75" x14ac:dyDescent="0.25">
      <c r="A9384" s="6"/>
    </row>
    <row r="9385" spans="1:1" ht="18.75" x14ac:dyDescent="0.25">
      <c r="A9385" s="6"/>
    </row>
    <row r="9386" spans="1:1" ht="18.75" x14ac:dyDescent="0.25">
      <c r="A9386" s="6"/>
    </row>
    <row r="9387" spans="1:1" ht="18.75" x14ac:dyDescent="0.25">
      <c r="A9387" s="6"/>
    </row>
    <row r="9388" spans="1:1" ht="18.75" x14ac:dyDescent="0.25">
      <c r="A9388" s="6"/>
    </row>
    <row r="9389" spans="1:1" ht="18.75" x14ac:dyDescent="0.25">
      <c r="A9389" s="6"/>
    </row>
    <row r="9390" spans="1:1" ht="18.75" x14ac:dyDescent="0.25">
      <c r="A9390" s="6"/>
    </row>
    <row r="9391" spans="1:1" ht="18.75" x14ac:dyDescent="0.25">
      <c r="A9391" s="6"/>
    </row>
    <row r="9392" spans="1:1" ht="18.75" x14ac:dyDescent="0.25">
      <c r="A9392" s="6"/>
    </row>
    <row r="9393" spans="1:1" ht="18.75" x14ac:dyDescent="0.25">
      <c r="A9393" s="6"/>
    </row>
    <row r="9394" spans="1:1" ht="18.75" x14ac:dyDescent="0.25">
      <c r="A9394" s="6"/>
    </row>
    <row r="9395" spans="1:1" ht="18.75" x14ac:dyDescent="0.25">
      <c r="A9395" s="6"/>
    </row>
    <row r="9396" spans="1:1" ht="18.75" x14ac:dyDescent="0.25">
      <c r="A9396" s="6"/>
    </row>
    <row r="9397" spans="1:1" ht="18.75" x14ac:dyDescent="0.25">
      <c r="A9397" s="6"/>
    </row>
    <row r="9398" spans="1:1" ht="18.75" x14ac:dyDescent="0.25">
      <c r="A9398" s="6"/>
    </row>
    <row r="9399" spans="1:1" ht="18.75" x14ac:dyDescent="0.25">
      <c r="A9399" s="6"/>
    </row>
    <row r="9400" spans="1:1" ht="18.75" x14ac:dyDescent="0.25">
      <c r="A9400" s="6"/>
    </row>
    <row r="9401" spans="1:1" ht="18.75" x14ac:dyDescent="0.25">
      <c r="A9401" s="6"/>
    </row>
    <row r="9402" spans="1:1" ht="18.75" x14ac:dyDescent="0.25">
      <c r="A9402" s="6"/>
    </row>
    <row r="9403" spans="1:1" ht="18.75" x14ac:dyDescent="0.25">
      <c r="A9403" s="6"/>
    </row>
    <row r="9404" spans="1:1" ht="18.75" x14ac:dyDescent="0.25">
      <c r="A9404" s="6"/>
    </row>
    <row r="9405" spans="1:1" ht="18.75" x14ac:dyDescent="0.25">
      <c r="A9405" s="6"/>
    </row>
    <row r="9406" spans="1:1" ht="18.75" x14ac:dyDescent="0.25">
      <c r="A9406" s="6"/>
    </row>
    <row r="9407" spans="1:1" ht="18.75" x14ac:dyDescent="0.25">
      <c r="A9407" s="6"/>
    </row>
    <row r="9408" spans="1:1" ht="18.75" x14ac:dyDescent="0.25">
      <c r="A9408" s="6"/>
    </row>
    <row r="9409" spans="1:1" ht="18.75" x14ac:dyDescent="0.25">
      <c r="A9409" s="6"/>
    </row>
    <row r="9410" spans="1:1" ht="18.75" x14ac:dyDescent="0.25">
      <c r="A9410" s="6"/>
    </row>
    <row r="9411" spans="1:1" ht="18.75" x14ac:dyDescent="0.25">
      <c r="A9411" s="6"/>
    </row>
    <row r="9412" spans="1:1" ht="18.75" x14ac:dyDescent="0.25">
      <c r="A9412" s="6"/>
    </row>
    <row r="9413" spans="1:1" ht="18.75" x14ac:dyDescent="0.25">
      <c r="A9413" s="6"/>
    </row>
    <row r="9414" spans="1:1" ht="18.75" x14ac:dyDescent="0.25">
      <c r="A9414" s="6"/>
    </row>
    <row r="9415" spans="1:1" ht="18.75" x14ac:dyDescent="0.25">
      <c r="A9415" s="6"/>
    </row>
    <row r="9416" spans="1:1" ht="18.75" x14ac:dyDescent="0.25">
      <c r="A9416" s="6"/>
    </row>
    <row r="9417" spans="1:1" ht="18.75" x14ac:dyDescent="0.25">
      <c r="A9417" s="6"/>
    </row>
    <row r="9418" spans="1:1" ht="18.75" x14ac:dyDescent="0.25">
      <c r="A9418" s="6"/>
    </row>
    <row r="9419" spans="1:1" ht="18.75" x14ac:dyDescent="0.25">
      <c r="A9419" s="6"/>
    </row>
    <row r="9420" spans="1:1" ht="18.75" x14ac:dyDescent="0.25">
      <c r="A9420" s="6"/>
    </row>
    <row r="9421" spans="1:1" ht="18.75" x14ac:dyDescent="0.25">
      <c r="A9421" s="6"/>
    </row>
    <row r="9422" spans="1:1" ht="18.75" x14ac:dyDescent="0.25">
      <c r="A9422" s="6"/>
    </row>
    <row r="9423" spans="1:1" ht="18.75" x14ac:dyDescent="0.25">
      <c r="A9423" s="6"/>
    </row>
    <row r="9424" spans="1:1" ht="18.75" x14ac:dyDescent="0.25">
      <c r="A9424" s="6"/>
    </row>
    <row r="9425" spans="1:1" ht="18.75" x14ac:dyDescent="0.25">
      <c r="A9425" s="6"/>
    </row>
    <row r="9426" spans="1:1" ht="18.75" x14ac:dyDescent="0.25">
      <c r="A9426" s="6"/>
    </row>
    <row r="9427" spans="1:1" ht="18.75" x14ac:dyDescent="0.25">
      <c r="A9427" s="6"/>
    </row>
    <row r="9428" spans="1:1" ht="18.75" x14ac:dyDescent="0.25">
      <c r="A9428" s="6"/>
    </row>
    <row r="9429" spans="1:1" ht="18.75" x14ac:dyDescent="0.25">
      <c r="A9429" s="6"/>
    </row>
    <row r="9430" spans="1:1" ht="18.75" x14ac:dyDescent="0.25">
      <c r="A9430" s="6"/>
    </row>
    <row r="9431" spans="1:1" ht="18.75" x14ac:dyDescent="0.25">
      <c r="A9431" s="6"/>
    </row>
    <row r="9432" spans="1:1" ht="18.75" x14ac:dyDescent="0.25">
      <c r="A9432" s="6"/>
    </row>
    <row r="9433" spans="1:1" ht="18.75" x14ac:dyDescent="0.25">
      <c r="A9433" s="6"/>
    </row>
    <row r="9434" spans="1:1" ht="18.75" x14ac:dyDescent="0.25">
      <c r="A9434" s="6"/>
    </row>
    <row r="9435" spans="1:1" ht="18.75" x14ac:dyDescent="0.25">
      <c r="A9435" s="6"/>
    </row>
    <row r="9436" spans="1:1" ht="18.75" x14ac:dyDescent="0.25">
      <c r="A9436" s="6"/>
    </row>
    <row r="9437" spans="1:1" ht="18.75" x14ac:dyDescent="0.25">
      <c r="A9437" s="6"/>
    </row>
    <row r="9438" spans="1:1" ht="18.75" x14ac:dyDescent="0.25">
      <c r="A9438" s="6"/>
    </row>
    <row r="9439" spans="1:1" ht="18.75" x14ac:dyDescent="0.25">
      <c r="A9439" s="6"/>
    </row>
    <row r="9440" spans="1:1" ht="18.75" x14ac:dyDescent="0.25">
      <c r="A9440" s="6"/>
    </row>
    <row r="9441" spans="1:1" ht="18.75" x14ac:dyDescent="0.25">
      <c r="A9441" s="6"/>
    </row>
    <row r="9442" spans="1:1" ht="18.75" x14ac:dyDescent="0.25">
      <c r="A9442" s="6"/>
    </row>
    <row r="9443" spans="1:1" ht="18.75" x14ac:dyDescent="0.25">
      <c r="A9443" s="6"/>
    </row>
    <row r="9444" spans="1:1" ht="18.75" x14ac:dyDescent="0.25">
      <c r="A9444" s="6"/>
    </row>
    <row r="9445" spans="1:1" ht="18.75" x14ac:dyDescent="0.25">
      <c r="A9445" s="6"/>
    </row>
    <row r="9446" spans="1:1" ht="18.75" x14ac:dyDescent="0.25">
      <c r="A9446" s="6"/>
    </row>
    <row r="9447" spans="1:1" ht="18.75" x14ac:dyDescent="0.25">
      <c r="A9447" s="6"/>
    </row>
    <row r="9448" spans="1:1" ht="18.75" x14ac:dyDescent="0.25">
      <c r="A9448" s="6"/>
    </row>
    <row r="9449" spans="1:1" ht="18.75" x14ac:dyDescent="0.25">
      <c r="A9449" s="6"/>
    </row>
    <row r="9450" spans="1:1" ht="18.75" x14ac:dyDescent="0.25">
      <c r="A9450" s="6"/>
    </row>
    <row r="9451" spans="1:1" ht="18.75" x14ac:dyDescent="0.25">
      <c r="A9451" s="6"/>
    </row>
    <row r="9452" spans="1:1" ht="18.75" x14ac:dyDescent="0.25">
      <c r="A9452" s="6"/>
    </row>
    <row r="9453" spans="1:1" ht="18.75" x14ac:dyDescent="0.25">
      <c r="A9453" s="6"/>
    </row>
    <row r="9454" spans="1:1" ht="18.75" x14ac:dyDescent="0.25">
      <c r="A9454" s="6"/>
    </row>
    <row r="9455" spans="1:1" ht="18.75" x14ac:dyDescent="0.25">
      <c r="A9455" s="6"/>
    </row>
    <row r="9456" spans="1:1" ht="18.75" x14ac:dyDescent="0.25">
      <c r="A9456" s="6"/>
    </row>
    <row r="9457" spans="1:1" ht="18.75" x14ac:dyDescent="0.25">
      <c r="A9457" s="6"/>
    </row>
    <row r="9458" spans="1:1" ht="18.75" x14ac:dyDescent="0.25">
      <c r="A9458" s="6"/>
    </row>
    <row r="9459" spans="1:1" ht="18.75" x14ac:dyDescent="0.25">
      <c r="A9459" s="6"/>
    </row>
    <row r="9460" spans="1:1" ht="18.75" x14ac:dyDescent="0.25">
      <c r="A9460" s="6"/>
    </row>
    <row r="9461" spans="1:1" ht="18.75" x14ac:dyDescent="0.25">
      <c r="A9461" s="6"/>
    </row>
    <row r="9462" spans="1:1" ht="18.75" x14ac:dyDescent="0.25">
      <c r="A9462" s="6"/>
    </row>
    <row r="9463" spans="1:1" ht="18.75" x14ac:dyDescent="0.25">
      <c r="A9463" s="6"/>
    </row>
    <row r="9464" spans="1:1" ht="18.75" x14ac:dyDescent="0.25">
      <c r="A9464" s="6"/>
    </row>
    <row r="9465" spans="1:1" ht="18.75" x14ac:dyDescent="0.25">
      <c r="A9465" s="6"/>
    </row>
    <row r="9466" spans="1:1" ht="18.75" x14ac:dyDescent="0.25">
      <c r="A9466" s="6"/>
    </row>
    <row r="9467" spans="1:1" ht="18.75" x14ac:dyDescent="0.25">
      <c r="A9467" s="6"/>
    </row>
    <row r="9468" spans="1:1" ht="18.75" x14ac:dyDescent="0.25">
      <c r="A9468" s="6"/>
    </row>
    <row r="9469" spans="1:1" ht="18.75" x14ac:dyDescent="0.25">
      <c r="A9469" s="6"/>
    </row>
    <row r="9470" spans="1:1" ht="18.75" x14ac:dyDescent="0.25">
      <c r="A9470" s="6"/>
    </row>
    <row r="9471" spans="1:1" ht="18.75" x14ac:dyDescent="0.25">
      <c r="A9471" s="6"/>
    </row>
    <row r="9472" spans="1:1" ht="18.75" x14ac:dyDescent="0.25">
      <c r="A9472" s="6"/>
    </row>
    <row r="9473" spans="1:1" ht="18.75" x14ac:dyDescent="0.25">
      <c r="A9473" s="6"/>
    </row>
    <row r="9474" spans="1:1" ht="18.75" x14ac:dyDescent="0.25">
      <c r="A9474" s="6"/>
    </row>
    <row r="9475" spans="1:1" ht="18.75" x14ac:dyDescent="0.25">
      <c r="A9475" s="6"/>
    </row>
    <row r="9476" spans="1:1" ht="18.75" x14ac:dyDescent="0.25">
      <c r="A9476" s="6"/>
    </row>
    <row r="9477" spans="1:1" ht="18.75" x14ac:dyDescent="0.25">
      <c r="A9477" s="6"/>
    </row>
    <row r="9478" spans="1:1" ht="18.75" x14ac:dyDescent="0.25">
      <c r="A9478" s="6"/>
    </row>
    <row r="9479" spans="1:1" ht="18.75" x14ac:dyDescent="0.25">
      <c r="A9479" s="6"/>
    </row>
    <row r="9480" spans="1:1" ht="18.75" x14ac:dyDescent="0.25">
      <c r="A9480" s="6"/>
    </row>
    <row r="9481" spans="1:1" ht="18.75" x14ac:dyDescent="0.25">
      <c r="A9481" s="6"/>
    </row>
    <row r="9482" spans="1:1" ht="18.75" x14ac:dyDescent="0.25">
      <c r="A9482" s="6"/>
    </row>
    <row r="9483" spans="1:1" ht="18.75" x14ac:dyDescent="0.25">
      <c r="A9483" s="6"/>
    </row>
    <row r="9484" spans="1:1" ht="18.75" x14ac:dyDescent="0.25">
      <c r="A9484" s="6"/>
    </row>
    <row r="9485" spans="1:1" ht="18.75" x14ac:dyDescent="0.25">
      <c r="A9485" s="6"/>
    </row>
    <row r="9486" spans="1:1" ht="18.75" x14ac:dyDescent="0.25">
      <c r="A9486" s="6"/>
    </row>
    <row r="9487" spans="1:1" ht="18.75" x14ac:dyDescent="0.25">
      <c r="A9487" s="6"/>
    </row>
    <row r="9488" spans="1:1" ht="18.75" x14ac:dyDescent="0.25">
      <c r="A9488" s="6"/>
    </row>
    <row r="9489" spans="1:1" ht="18.75" x14ac:dyDescent="0.25">
      <c r="A9489" s="6"/>
    </row>
    <row r="9490" spans="1:1" ht="18.75" x14ac:dyDescent="0.25">
      <c r="A9490" s="6"/>
    </row>
    <row r="9491" spans="1:1" ht="18.75" x14ac:dyDescent="0.25">
      <c r="A9491" s="6"/>
    </row>
    <row r="9492" spans="1:1" ht="18.75" x14ac:dyDescent="0.25">
      <c r="A9492" s="6"/>
    </row>
    <row r="9493" spans="1:1" ht="18.75" x14ac:dyDescent="0.25">
      <c r="A9493" s="6"/>
    </row>
    <row r="9494" spans="1:1" ht="18.75" x14ac:dyDescent="0.25">
      <c r="A9494" s="6"/>
    </row>
    <row r="9495" spans="1:1" ht="18.75" x14ac:dyDescent="0.25">
      <c r="A9495" s="6"/>
    </row>
    <row r="9496" spans="1:1" ht="18.75" x14ac:dyDescent="0.25">
      <c r="A9496" s="6"/>
    </row>
    <row r="9497" spans="1:1" ht="18.75" x14ac:dyDescent="0.25">
      <c r="A9497" s="6"/>
    </row>
    <row r="9498" spans="1:1" ht="18.75" x14ac:dyDescent="0.25">
      <c r="A9498" s="6"/>
    </row>
    <row r="9499" spans="1:1" ht="18.75" x14ac:dyDescent="0.25">
      <c r="A9499" s="6"/>
    </row>
    <row r="9500" spans="1:1" ht="18.75" x14ac:dyDescent="0.25">
      <c r="A9500" s="6"/>
    </row>
    <row r="9501" spans="1:1" ht="18.75" x14ac:dyDescent="0.25">
      <c r="A9501" s="6"/>
    </row>
    <row r="9502" spans="1:1" ht="18.75" x14ac:dyDescent="0.25">
      <c r="A9502" s="6"/>
    </row>
    <row r="9503" spans="1:1" ht="18.75" x14ac:dyDescent="0.25">
      <c r="A9503" s="6"/>
    </row>
    <row r="9504" spans="1:1" ht="18.75" x14ac:dyDescent="0.25">
      <c r="A9504" s="6"/>
    </row>
    <row r="9505" spans="1:1" ht="18.75" x14ac:dyDescent="0.25">
      <c r="A9505" s="6"/>
    </row>
    <row r="9506" spans="1:1" ht="18.75" x14ac:dyDescent="0.25">
      <c r="A9506" s="6"/>
    </row>
    <row r="9507" spans="1:1" ht="18.75" x14ac:dyDescent="0.25">
      <c r="A9507" s="6"/>
    </row>
    <row r="9508" spans="1:1" ht="18.75" x14ac:dyDescent="0.25">
      <c r="A9508" s="6"/>
    </row>
    <row r="9509" spans="1:1" ht="18.75" x14ac:dyDescent="0.25">
      <c r="A9509" s="6"/>
    </row>
    <row r="9510" spans="1:1" ht="18.75" x14ac:dyDescent="0.25">
      <c r="A9510" s="6"/>
    </row>
    <row r="9511" spans="1:1" ht="18.75" x14ac:dyDescent="0.25">
      <c r="A9511" s="6"/>
    </row>
    <row r="9512" spans="1:1" ht="18.75" x14ac:dyDescent="0.25">
      <c r="A9512" s="6"/>
    </row>
    <row r="9513" spans="1:1" ht="18.75" x14ac:dyDescent="0.25">
      <c r="A9513" s="6"/>
    </row>
    <row r="9514" spans="1:1" ht="18.75" x14ac:dyDescent="0.25">
      <c r="A9514" s="6"/>
    </row>
    <row r="9515" spans="1:1" ht="18.75" x14ac:dyDescent="0.25">
      <c r="A9515" s="6"/>
    </row>
    <row r="9516" spans="1:1" ht="18.75" x14ac:dyDescent="0.25">
      <c r="A9516" s="6"/>
    </row>
    <row r="9517" spans="1:1" ht="18.75" x14ac:dyDescent="0.25">
      <c r="A9517" s="6"/>
    </row>
    <row r="9518" spans="1:1" ht="18.75" x14ac:dyDescent="0.25">
      <c r="A9518" s="6"/>
    </row>
    <row r="9519" spans="1:1" ht="18.75" x14ac:dyDescent="0.25">
      <c r="A9519" s="6"/>
    </row>
    <row r="9520" spans="1:1" ht="18.75" x14ac:dyDescent="0.25">
      <c r="A9520" s="6"/>
    </row>
    <row r="9521" spans="1:1" ht="18.75" x14ac:dyDescent="0.25">
      <c r="A9521" s="6"/>
    </row>
    <row r="9522" spans="1:1" ht="18.75" x14ac:dyDescent="0.25">
      <c r="A9522" s="6"/>
    </row>
    <row r="9523" spans="1:1" ht="18.75" x14ac:dyDescent="0.25">
      <c r="A9523" s="6"/>
    </row>
    <row r="9524" spans="1:1" ht="18.75" x14ac:dyDescent="0.25">
      <c r="A9524" s="6"/>
    </row>
    <row r="9525" spans="1:1" ht="18.75" x14ac:dyDescent="0.25">
      <c r="A9525" s="6"/>
    </row>
    <row r="9526" spans="1:1" ht="18.75" x14ac:dyDescent="0.25">
      <c r="A9526" s="6"/>
    </row>
    <row r="9527" spans="1:1" ht="18.75" x14ac:dyDescent="0.25">
      <c r="A9527" s="6"/>
    </row>
    <row r="9528" spans="1:1" ht="18.75" x14ac:dyDescent="0.25">
      <c r="A9528" s="6"/>
    </row>
    <row r="9529" spans="1:1" ht="18.75" x14ac:dyDescent="0.25">
      <c r="A9529" s="6"/>
    </row>
    <row r="9530" spans="1:1" ht="18.75" x14ac:dyDescent="0.25">
      <c r="A9530" s="6"/>
    </row>
    <row r="9531" spans="1:1" ht="18.75" x14ac:dyDescent="0.25">
      <c r="A9531" s="6"/>
    </row>
    <row r="9532" spans="1:1" ht="18.75" x14ac:dyDescent="0.25">
      <c r="A9532" s="6"/>
    </row>
    <row r="9533" spans="1:1" ht="18.75" x14ac:dyDescent="0.25">
      <c r="A9533" s="6"/>
    </row>
    <row r="9534" spans="1:1" ht="18.75" x14ac:dyDescent="0.25">
      <c r="A9534" s="6"/>
    </row>
    <row r="9535" spans="1:1" ht="18.75" x14ac:dyDescent="0.25">
      <c r="A9535" s="6"/>
    </row>
    <row r="9536" spans="1:1" ht="18.75" x14ac:dyDescent="0.25">
      <c r="A9536" s="6"/>
    </row>
    <row r="9537" spans="1:1" ht="18.75" x14ac:dyDescent="0.25">
      <c r="A9537" s="6"/>
    </row>
    <row r="9538" spans="1:1" ht="18.75" x14ac:dyDescent="0.25">
      <c r="A9538" s="6"/>
    </row>
    <row r="9539" spans="1:1" ht="18.75" x14ac:dyDescent="0.25">
      <c r="A9539" s="6"/>
    </row>
    <row r="9540" spans="1:1" ht="18.75" x14ac:dyDescent="0.25">
      <c r="A9540" s="6"/>
    </row>
    <row r="9541" spans="1:1" ht="18.75" x14ac:dyDescent="0.25">
      <c r="A9541" s="6"/>
    </row>
    <row r="9542" spans="1:1" ht="18.75" x14ac:dyDescent="0.25">
      <c r="A9542" s="6"/>
    </row>
    <row r="9543" spans="1:1" ht="18.75" x14ac:dyDescent="0.25">
      <c r="A9543" s="6"/>
    </row>
    <row r="9544" spans="1:1" ht="18.75" x14ac:dyDescent="0.25">
      <c r="A9544" s="6"/>
    </row>
    <row r="9545" spans="1:1" ht="18.75" x14ac:dyDescent="0.25">
      <c r="A9545" s="6"/>
    </row>
    <row r="9546" spans="1:1" ht="18.75" x14ac:dyDescent="0.25">
      <c r="A9546" s="6"/>
    </row>
    <row r="9547" spans="1:1" ht="18.75" x14ac:dyDescent="0.25">
      <c r="A9547" s="6"/>
    </row>
    <row r="9548" spans="1:1" ht="18.75" x14ac:dyDescent="0.25">
      <c r="A9548" s="6"/>
    </row>
    <row r="9549" spans="1:1" ht="18.75" x14ac:dyDescent="0.25">
      <c r="A9549" s="6"/>
    </row>
    <row r="9550" spans="1:1" ht="18.75" x14ac:dyDescent="0.25">
      <c r="A9550" s="6"/>
    </row>
    <row r="9551" spans="1:1" ht="18.75" x14ac:dyDescent="0.25">
      <c r="A9551" s="6"/>
    </row>
    <row r="9552" spans="1:1" ht="18.75" x14ac:dyDescent="0.25">
      <c r="A9552" s="6"/>
    </row>
    <row r="9553" spans="1:1" ht="18.75" x14ac:dyDescent="0.25">
      <c r="A9553" s="6"/>
    </row>
    <row r="9554" spans="1:1" ht="18.75" x14ac:dyDescent="0.25">
      <c r="A9554" s="6"/>
    </row>
    <row r="9555" spans="1:1" ht="18.75" x14ac:dyDescent="0.25">
      <c r="A9555" s="6"/>
    </row>
    <row r="9556" spans="1:1" ht="18.75" x14ac:dyDescent="0.25">
      <c r="A9556" s="6"/>
    </row>
    <row r="9557" spans="1:1" ht="18.75" x14ac:dyDescent="0.25">
      <c r="A9557" s="6"/>
    </row>
    <row r="9558" spans="1:1" ht="18.75" x14ac:dyDescent="0.25">
      <c r="A9558" s="6"/>
    </row>
    <row r="9559" spans="1:1" ht="18.75" x14ac:dyDescent="0.25">
      <c r="A9559" s="6"/>
    </row>
    <row r="9560" spans="1:1" ht="18.75" x14ac:dyDescent="0.25">
      <c r="A9560" s="6"/>
    </row>
    <row r="9561" spans="1:1" ht="18.75" x14ac:dyDescent="0.25">
      <c r="A9561" s="6"/>
    </row>
    <row r="9562" spans="1:1" ht="18.75" x14ac:dyDescent="0.25">
      <c r="A9562" s="6"/>
    </row>
    <row r="9563" spans="1:1" ht="18.75" x14ac:dyDescent="0.25">
      <c r="A9563" s="6"/>
    </row>
    <row r="9564" spans="1:1" ht="18.75" x14ac:dyDescent="0.25">
      <c r="A9564" s="6"/>
    </row>
    <row r="9565" spans="1:1" ht="18.75" x14ac:dyDescent="0.25">
      <c r="A9565" s="6"/>
    </row>
    <row r="9566" spans="1:1" ht="18.75" x14ac:dyDescent="0.25">
      <c r="A9566" s="6"/>
    </row>
    <row r="9567" spans="1:1" ht="18.75" x14ac:dyDescent="0.25">
      <c r="A9567" s="6"/>
    </row>
    <row r="9568" spans="1:1" ht="18.75" x14ac:dyDescent="0.25">
      <c r="A9568" s="6"/>
    </row>
    <row r="9569" spans="1:1" ht="18.75" x14ac:dyDescent="0.25">
      <c r="A9569" s="6"/>
    </row>
    <row r="9570" spans="1:1" ht="18.75" x14ac:dyDescent="0.25">
      <c r="A9570" s="6"/>
    </row>
    <row r="9571" spans="1:1" ht="18.75" x14ac:dyDescent="0.25">
      <c r="A9571" s="6"/>
    </row>
    <row r="9572" spans="1:1" ht="18.75" x14ac:dyDescent="0.25">
      <c r="A9572" s="6"/>
    </row>
    <row r="9573" spans="1:1" ht="18.75" x14ac:dyDescent="0.25">
      <c r="A9573" s="6"/>
    </row>
    <row r="9574" spans="1:1" ht="18.75" x14ac:dyDescent="0.25">
      <c r="A9574" s="6"/>
    </row>
    <row r="9575" spans="1:1" ht="18.75" x14ac:dyDescent="0.25">
      <c r="A9575" s="6"/>
    </row>
    <row r="9576" spans="1:1" ht="18.75" x14ac:dyDescent="0.25">
      <c r="A9576" s="6"/>
    </row>
    <row r="9577" spans="1:1" ht="18.75" x14ac:dyDescent="0.25">
      <c r="A9577" s="6"/>
    </row>
    <row r="9578" spans="1:1" ht="18.75" x14ac:dyDescent="0.25">
      <c r="A9578" s="6"/>
    </row>
    <row r="9579" spans="1:1" ht="18.75" x14ac:dyDescent="0.25">
      <c r="A9579" s="6"/>
    </row>
    <row r="9580" spans="1:1" ht="18.75" x14ac:dyDescent="0.25">
      <c r="A9580" s="6"/>
    </row>
    <row r="9581" spans="1:1" ht="18.75" x14ac:dyDescent="0.25">
      <c r="A9581" s="6"/>
    </row>
    <row r="9582" spans="1:1" ht="18.75" x14ac:dyDescent="0.25">
      <c r="A9582" s="6"/>
    </row>
    <row r="9583" spans="1:1" ht="18.75" x14ac:dyDescent="0.25">
      <c r="A9583" s="6"/>
    </row>
    <row r="9584" spans="1:1" ht="18.75" x14ac:dyDescent="0.25">
      <c r="A9584" s="6"/>
    </row>
    <row r="9585" spans="1:1" ht="18.75" x14ac:dyDescent="0.25">
      <c r="A9585" s="6"/>
    </row>
    <row r="9586" spans="1:1" ht="18.75" x14ac:dyDescent="0.25">
      <c r="A9586" s="6"/>
    </row>
    <row r="9587" spans="1:1" ht="18.75" x14ac:dyDescent="0.25">
      <c r="A9587" s="6"/>
    </row>
    <row r="9588" spans="1:1" ht="18.75" x14ac:dyDescent="0.25">
      <c r="A9588" s="6"/>
    </row>
    <row r="9589" spans="1:1" ht="18.75" x14ac:dyDescent="0.25">
      <c r="A9589" s="6"/>
    </row>
    <row r="9590" spans="1:1" ht="18.75" x14ac:dyDescent="0.25">
      <c r="A9590" s="6"/>
    </row>
    <row r="9591" spans="1:1" ht="18.75" x14ac:dyDescent="0.25">
      <c r="A9591" s="6"/>
    </row>
    <row r="9592" spans="1:1" ht="18.75" x14ac:dyDescent="0.25">
      <c r="A9592" s="6"/>
    </row>
    <row r="9593" spans="1:1" ht="18.75" x14ac:dyDescent="0.25">
      <c r="A9593" s="6"/>
    </row>
    <row r="9594" spans="1:1" ht="18.75" x14ac:dyDescent="0.25">
      <c r="A9594" s="6"/>
    </row>
    <row r="9595" spans="1:1" ht="18.75" x14ac:dyDescent="0.25">
      <c r="A9595" s="6"/>
    </row>
    <row r="9596" spans="1:1" ht="18.75" x14ac:dyDescent="0.25">
      <c r="A9596" s="6"/>
    </row>
    <row r="9597" spans="1:1" ht="18.75" x14ac:dyDescent="0.25">
      <c r="A9597" s="6"/>
    </row>
    <row r="9598" spans="1:1" ht="18.75" x14ac:dyDescent="0.25">
      <c r="A9598" s="6"/>
    </row>
    <row r="9599" spans="1:1" ht="18.75" x14ac:dyDescent="0.25">
      <c r="A9599" s="6"/>
    </row>
    <row r="9600" spans="1:1" ht="18.75" x14ac:dyDescent="0.25">
      <c r="A9600" s="6"/>
    </row>
    <row r="9601" spans="1:1" ht="18.75" x14ac:dyDescent="0.25">
      <c r="A9601" s="6"/>
    </row>
    <row r="9602" spans="1:1" ht="18.75" x14ac:dyDescent="0.25">
      <c r="A9602" s="6"/>
    </row>
    <row r="9603" spans="1:1" ht="18.75" x14ac:dyDescent="0.25">
      <c r="A9603" s="6"/>
    </row>
    <row r="9604" spans="1:1" ht="18.75" x14ac:dyDescent="0.25">
      <c r="A9604" s="6"/>
    </row>
    <row r="9605" spans="1:1" ht="18.75" x14ac:dyDescent="0.25">
      <c r="A9605" s="6"/>
    </row>
    <row r="9606" spans="1:1" ht="18.75" x14ac:dyDescent="0.25">
      <c r="A9606" s="6"/>
    </row>
    <row r="9607" spans="1:1" ht="18.75" x14ac:dyDescent="0.25">
      <c r="A9607" s="6"/>
    </row>
    <row r="9608" spans="1:1" ht="18.75" x14ac:dyDescent="0.25">
      <c r="A9608" s="6"/>
    </row>
    <row r="9609" spans="1:1" ht="18.75" x14ac:dyDescent="0.25">
      <c r="A9609" s="6"/>
    </row>
    <row r="9610" spans="1:1" ht="18.75" x14ac:dyDescent="0.25">
      <c r="A9610" s="6"/>
    </row>
    <row r="9611" spans="1:1" ht="18.75" x14ac:dyDescent="0.25">
      <c r="A9611" s="6"/>
    </row>
    <row r="9612" spans="1:1" ht="18.75" x14ac:dyDescent="0.25">
      <c r="A9612" s="6"/>
    </row>
    <row r="9613" spans="1:1" ht="18.75" x14ac:dyDescent="0.25">
      <c r="A9613" s="6"/>
    </row>
    <row r="9614" spans="1:1" ht="18.75" x14ac:dyDescent="0.25">
      <c r="A9614" s="6"/>
    </row>
    <row r="9615" spans="1:1" ht="18.75" x14ac:dyDescent="0.25">
      <c r="A9615" s="6"/>
    </row>
    <row r="9616" spans="1:1" ht="18.75" x14ac:dyDescent="0.25">
      <c r="A9616" s="6"/>
    </row>
    <row r="9617" spans="1:1" ht="18.75" x14ac:dyDescent="0.25">
      <c r="A9617" s="6"/>
    </row>
    <row r="9618" spans="1:1" ht="18.75" x14ac:dyDescent="0.25">
      <c r="A9618" s="6"/>
    </row>
    <row r="9619" spans="1:1" ht="18.75" x14ac:dyDescent="0.25">
      <c r="A9619" s="6"/>
    </row>
    <row r="9620" spans="1:1" ht="18.75" x14ac:dyDescent="0.25">
      <c r="A9620" s="6"/>
    </row>
    <row r="9621" spans="1:1" ht="18.75" x14ac:dyDescent="0.25">
      <c r="A9621" s="6"/>
    </row>
    <row r="9622" spans="1:1" ht="18.75" x14ac:dyDescent="0.25">
      <c r="A9622" s="6"/>
    </row>
    <row r="9623" spans="1:1" ht="18.75" x14ac:dyDescent="0.25">
      <c r="A9623" s="6"/>
    </row>
    <row r="9624" spans="1:1" ht="18.75" x14ac:dyDescent="0.25">
      <c r="A9624" s="6"/>
    </row>
    <row r="9625" spans="1:1" ht="18.75" x14ac:dyDescent="0.25">
      <c r="A9625" s="6"/>
    </row>
    <row r="9626" spans="1:1" ht="18.75" x14ac:dyDescent="0.25">
      <c r="A9626" s="6"/>
    </row>
    <row r="9627" spans="1:1" ht="18.75" x14ac:dyDescent="0.25">
      <c r="A9627" s="6"/>
    </row>
    <row r="9628" spans="1:1" ht="18.75" x14ac:dyDescent="0.25">
      <c r="A9628" s="6"/>
    </row>
    <row r="9629" spans="1:1" ht="18.75" x14ac:dyDescent="0.25">
      <c r="A9629" s="6"/>
    </row>
    <row r="9630" spans="1:1" ht="18.75" x14ac:dyDescent="0.25">
      <c r="A9630" s="6"/>
    </row>
    <row r="9631" spans="1:1" ht="18.75" x14ac:dyDescent="0.25">
      <c r="A9631" s="6"/>
    </row>
    <row r="9632" spans="1:1" ht="18.75" x14ac:dyDescent="0.25">
      <c r="A9632" s="6"/>
    </row>
    <row r="9633" spans="1:1" ht="18.75" x14ac:dyDescent="0.25">
      <c r="A9633" s="6"/>
    </row>
    <row r="9634" spans="1:1" ht="18.75" x14ac:dyDescent="0.25">
      <c r="A9634" s="6"/>
    </row>
    <row r="9635" spans="1:1" ht="18.75" x14ac:dyDescent="0.25">
      <c r="A9635" s="6"/>
    </row>
    <row r="9636" spans="1:1" ht="18.75" x14ac:dyDescent="0.25">
      <c r="A9636" s="6"/>
    </row>
    <row r="9637" spans="1:1" ht="18.75" x14ac:dyDescent="0.25">
      <c r="A9637" s="6"/>
    </row>
    <row r="9638" spans="1:1" ht="18.75" x14ac:dyDescent="0.25">
      <c r="A9638" s="6"/>
    </row>
    <row r="9639" spans="1:1" ht="18.75" x14ac:dyDescent="0.25">
      <c r="A9639" s="6"/>
    </row>
    <row r="9640" spans="1:1" ht="18.75" x14ac:dyDescent="0.25">
      <c r="A9640" s="6"/>
    </row>
    <row r="9641" spans="1:1" ht="18.75" x14ac:dyDescent="0.25">
      <c r="A9641" s="6"/>
    </row>
    <row r="9642" spans="1:1" ht="18.75" x14ac:dyDescent="0.25">
      <c r="A9642" s="6"/>
    </row>
    <row r="9643" spans="1:1" ht="18.75" x14ac:dyDescent="0.25">
      <c r="A9643" s="6"/>
    </row>
    <row r="9644" spans="1:1" ht="18.75" x14ac:dyDescent="0.25">
      <c r="A9644" s="6"/>
    </row>
    <row r="9645" spans="1:1" ht="18.75" x14ac:dyDescent="0.25">
      <c r="A9645" s="6"/>
    </row>
    <row r="9646" spans="1:1" ht="18.75" x14ac:dyDescent="0.25">
      <c r="A9646" s="6"/>
    </row>
    <row r="9647" spans="1:1" ht="18.75" x14ac:dyDescent="0.25">
      <c r="A9647" s="6"/>
    </row>
    <row r="9648" spans="1:1" ht="18.75" x14ac:dyDescent="0.25">
      <c r="A9648" s="6"/>
    </row>
    <row r="9649" spans="1:1" ht="18.75" x14ac:dyDescent="0.25">
      <c r="A9649" s="6"/>
    </row>
    <row r="9650" spans="1:1" ht="18.75" x14ac:dyDescent="0.25">
      <c r="A9650" s="6"/>
    </row>
    <row r="9651" spans="1:1" ht="18.75" x14ac:dyDescent="0.25">
      <c r="A9651" s="6"/>
    </row>
    <row r="9652" spans="1:1" ht="18.75" x14ac:dyDescent="0.25">
      <c r="A9652" s="6"/>
    </row>
    <row r="9653" spans="1:1" ht="18.75" x14ac:dyDescent="0.25">
      <c r="A9653" s="6"/>
    </row>
    <row r="9654" spans="1:1" ht="18.75" x14ac:dyDescent="0.25">
      <c r="A9654" s="6"/>
    </row>
    <row r="9655" spans="1:1" ht="18.75" x14ac:dyDescent="0.25">
      <c r="A9655" s="6"/>
    </row>
    <row r="9656" spans="1:1" ht="18.75" x14ac:dyDescent="0.25">
      <c r="A9656" s="6"/>
    </row>
    <row r="9657" spans="1:1" ht="18.75" x14ac:dyDescent="0.25">
      <c r="A9657" s="6"/>
    </row>
    <row r="9658" spans="1:1" ht="18.75" x14ac:dyDescent="0.25">
      <c r="A9658" s="6"/>
    </row>
    <row r="9659" spans="1:1" ht="18.75" x14ac:dyDescent="0.25">
      <c r="A9659" s="6"/>
    </row>
    <row r="9660" spans="1:1" ht="18.75" x14ac:dyDescent="0.25">
      <c r="A9660" s="6"/>
    </row>
    <row r="9661" spans="1:1" ht="18.75" x14ac:dyDescent="0.25">
      <c r="A9661" s="6"/>
    </row>
    <row r="9662" spans="1:1" ht="18.75" x14ac:dyDescent="0.25">
      <c r="A9662" s="6"/>
    </row>
    <row r="9663" spans="1:1" ht="18.75" x14ac:dyDescent="0.25">
      <c r="A9663" s="6"/>
    </row>
    <row r="9664" spans="1:1" ht="18.75" x14ac:dyDescent="0.25">
      <c r="A9664" s="6"/>
    </row>
    <row r="9665" spans="1:1" ht="18.75" x14ac:dyDescent="0.25">
      <c r="A9665" s="6"/>
    </row>
    <row r="9666" spans="1:1" ht="18.75" x14ac:dyDescent="0.25">
      <c r="A9666" s="6"/>
    </row>
    <row r="9667" spans="1:1" ht="18.75" x14ac:dyDescent="0.25">
      <c r="A9667" s="6"/>
    </row>
    <row r="9668" spans="1:1" ht="18.75" x14ac:dyDescent="0.25">
      <c r="A9668" s="6"/>
    </row>
    <row r="9669" spans="1:1" ht="18.75" x14ac:dyDescent="0.25">
      <c r="A9669" s="6"/>
    </row>
    <row r="9670" spans="1:1" ht="18.75" x14ac:dyDescent="0.25">
      <c r="A9670" s="6"/>
    </row>
    <row r="9671" spans="1:1" ht="18.75" x14ac:dyDescent="0.25">
      <c r="A9671" s="6"/>
    </row>
    <row r="9672" spans="1:1" ht="18.75" x14ac:dyDescent="0.25">
      <c r="A9672" s="6"/>
    </row>
    <row r="9673" spans="1:1" ht="18.75" x14ac:dyDescent="0.25">
      <c r="A9673" s="6"/>
    </row>
    <row r="9674" spans="1:1" ht="18.75" x14ac:dyDescent="0.25">
      <c r="A9674" s="6"/>
    </row>
    <row r="9675" spans="1:1" ht="18.75" x14ac:dyDescent="0.25">
      <c r="A9675" s="6"/>
    </row>
    <row r="9676" spans="1:1" ht="18.75" x14ac:dyDescent="0.25">
      <c r="A9676" s="6"/>
    </row>
    <row r="9677" spans="1:1" ht="18.75" x14ac:dyDescent="0.25">
      <c r="A9677" s="6"/>
    </row>
    <row r="9678" spans="1:1" ht="18.75" x14ac:dyDescent="0.25">
      <c r="A9678" s="6"/>
    </row>
    <row r="9679" spans="1:1" ht="18.75" x14ac:dyDescent="0.25">
      <c r="A9679" s="6"/>
    </row>
    <row r="9680" spans="1:1" ht="18.75" x14ac:dyDescent="0.25">
      <c r="A9680" s="6"/>
    </row>
    <row r="9681" spans="1:1" ht="18.75" x14ac:dyDescent="0.25">
      <c r="A9681" s="6"/>
    </row>
    <row r="9682" spans="1:1" ht="18.75" x14ac:dyDescent="0.25">
      <c r="A9682" s="6"/>
    </row>
    <row r="9683" spans="1:1" ht="18.75" x14ac:dyDescent="0.25">
      <c r="A9683" s="6"/>
    </row>
    <row r="9684" spans="1:1" ht="18.75" x14ac:dyDescent="0.25">
      <c r="A9684" s="6"/>
    </row>
    <row r="9685" spans="1:1" ht="18.75" x14ac:dyDescent="0.25">
      <c r="A9685" s="6"/>
    </row>
    <row r="9686" spans="1:1" ht="18.75" x14ac:dyDescent="0.25">
      <c r="A9686" s="6"/>
    </row>
    <row r="9687" spans="1:1" ht="18.75" x14ac:dyDescent="0.25">
      <c r="A9687" s="6"/>
    </row>
    <row r="9688" spans="1:1" ht="18.75" x14ac:dyDescent="0.25">
      <c r="A9688" s="6"/>
    </row>
    <row r="9689" spans="1:1" ht="18.75" x14ac:dyDescent="0.25">
      <c r="A9689" s="6"/>
    </row>
    <row r="9690" spans="1:1" ht="18.75" x14ac:dyDescent="0.25">
      <c r="A9690" s="6"/>
    </row>
    <row r="9691" spans="1:1" ht="18.75" x14ac:dyDescent="0.25">
      <c r="A9691" s="6"/>
    </row>
    <row r="9692" spans="1:1" ht="18.75" x14ac:dyDescent="0.25">
      <c r="A9692" s="6"/>
    </row>
    <row r="9693" spans="1:1" ht="18.75" x14ac:dyDescent="0.25">
      <c r="A9693" s="6"/>
    </row>
    <row r="9694" spans="1:1" ht="18.75" x14ac:dyDescent="0.25">
      <c r="A9694" s="6"/>
    </row>
    <row r="9695" spans="1:1" ht="18.75" x14ac:dyDescent="0.25">
      <c r="A9695" s="6"/>
    </row>
    <row r="9696" spans="1:1" ht="18.75" x14ac:dyDescent="0.25">
      <c r="A9696" s="6"/>
    </row>
    <row r="9697" spans="1:1" ht="18.75" x14ac:dyDescent="0.25">
      <c r="A9697" s="6"/>
    </row>
    <row r="9698" spans="1:1" ht="18.75" x14ac:dyDescent="0.25">
      <c r="A9698" s="6"/>
    </row>
    <row r="9699" spans="1:1" ht="18.75" x14ac:dyDescent="0.25">
      <c r="A9699" s="6"/>
    </row>
    <row r="9700" spans="1:1" ht="18.75" x14ac:dyDescent="0.25">
      <c r="A9700" s="6"/>
    </row>
    <row r="9701" spans="1:1" ht="18.75" x14ac:dyDescent="0.25">
      <c r="A9701" s="6"/>
    </row>
    <row r="9702" spans="1:1" ht="18.75" x14ac:dyDescent="0.25">
      <c r="A9702" s="6"/>
    </row>
    <row r="9703" spans="1:1" ht="18.75" x14ac:dyDescent="0.25">
      <c r="A9703" s="6"/>
    </row>
    <row r="9704" spans="1:1" ht="18.75" x14ac:dyDescent="0.25">
      <c r="A9704" s="6"/>
    </row>
    <row r="9705" spans="1:1" ht="18.75" x14ac:dyDescent="0.25">
      <c r="A9705" s="6"/>
    </row>
    <row r="9706" spans="1:1" ht="18.75" x14ac:dyDescent="0.25">
      <c r="A9706" s="6"/>
    </row>
    <row r="9707" spans="1:1" ht="18.75" x14ac:dyDescent="0.25">
      <c r="A9707" s="6"/>
    </row>
    <row r="9708" spans="1:1" ht="18.75" x14ac:dyDescent="0.25">
      <c r="A9708" s="6"/>
    </row>
    <row r="9709" spans="1:1" ht="18.75" x14ac:dyDescent="0.25">
      <c r="A9709" s="6"/>
    </row>
    <row r="9710" spans="1:1" ht="18.75" x14ac:dyDescent="0.25">
      <c r="A9710" s="6"/>
    </row>
    <row r="9711" spans="1:1" ht="18.75" x14ac:dyDescent="0.25">
      <c r="A9711" s="6"/>
    </row>
    <row r="9712" spans="1:1" ht="18.75" x14ac:dyDescent="0.25">
      <c r="A9712" s="6"/>
    </row>
    <row r="9713" spans="1:1" ht="18.75" x14ac:dyDescent="0.25">
      <c r="A9713" s="6"/>
    </row>
    <row r="9714" spans="1:1" ht="18.75" x14ac:dyDescent="0.25">
      <c r="A9714" s="6"/>
    </row>
    <row r="9715" spans="1:1" ht="18.75" x14ac:dyDescent="0.25">
      <c r="A9715" s="6"/>
    </row>
    <row r="9716" spans="1:1" ht="18.75" x14ac:dyDescent="0.25">
      <c r="A9716" s="6"/>
    </row>
    <row r="9717" spans="1:1" ht="18.75" x14ac:dyDescent="0.25">
      <c r="A9717" s="6"/>
    </row>
    <row r="9718" spans="1:1" ht="18.75" x14ac:dyDescent="0.25">
      <c r="A9718" s="6"/>
    </row>
    <row r="9719" spans="1:1" ht="18.75" x14ac:dyDescent="0.25">
      <c r="A9719" s="6"/>
    </row>
    <row r="9720" spans="1:1" ht="18.75" x14ac:dyDescent="0.25">
      <c r="A9720" s="6"/>
    </row>
    <row r="9721" spans="1:1" ht="18.75" x14ac:dyDescent="0.25">
      <c r="A9721" s="6"/>
    </row>
    <row r="9722" spans="1:1" ht="18.75" x14ac:dyDescent="0.25">
      <c r="A9722" s="6"/>
    </row>
    <row r="9723" spans="1:1" ht="18.75" x14ac:dyDescent="0.25">
      <c r="A9723" s="6"/>
    </row>
    <row r="9724" spans="1:1" ht="18.75" x14ac:dyDescent="0.25">
      <c r="A9724" s="6"/>
    </row>
    <row r="9725" spans="1:1" ht="18.75" x14ac:dyDescent="0.25">
      <c r="A9725" s="6"/>
    </row>
    <row r="9726" spans="1:1" ht="18.75" x14ac:dyDescent="0.25">
      <c r="A9726" s="6"/>
    </row>
    <row r="9727" spans="1:1" ht="18.75" x14ac:dyDescent="0.25">
      <c r="A9727" s="6"/>
    </row>
    <row r="9728" spans="1:1" ht="18.75" x14ac:dyDescent="0.25">
      <c r="A9728" s="6"/>
    </row>
    <row r="9729" spans="1:1" ht="18.75" x14ac:dyDescent="0.25">
      <c r="A9729" s="6"/>
    </row>
    <row r="9730" spans="1:1" ht="18.75" x14ac:dyDescent="0.25">
      <c r="A9730" s="6"/>
    </row>
    <row r="9731" spans="1:1" ht="18.75" x14ac:dyDescent="0.25">
      <c r="A9731" s="6"/>
    </row>
    <row r="9732" spans="1:1" ht="18.75" x14ac:dyDescent="0.25">
      <c r="A9732" s="6"/>
    </row>
    <row r="9733" spans="1:1" ht="18.75" x14ac:dyDescent="0.25">
      <c r="A9733" s="6"/>
    </row>
    <row r="9734" spans="1:1" ht="18.75" x14ac:dyDescent="0.25">
      <c r="A9734" s="6"/>
    </row>
    <row r="9735" spans="1:1" ht="18.75" x14ac:dyDescent="0.25">
      <c r="A9735" s="6"/>
    </row>
    <row r="9736" spans="1:1" ht="18.75" x14ac:dyDescent="0.25">
      <c r="A9736" s="6"/>
    </row>
    <row r="9737" spans="1:1" ht="18.75" x14ac:dyDescent="0.25">
      <c r="A9737" s="6"/>
    </row>
    <row r="9738" spans="1:1" ht="18.75" x14ac:dyDescent="0.25">
      <c r="A9738" s="6"/>
    </row>
    <row r="9739" spans="1:1" ht="18.75" x14ac:dyDescent="0.25">
      <c r="A9739" s="6"/>
    </row>
    <row r="9740" spans="1:1" ht="18.75" x14ac:dyDescent="0.25">
      <c r="A9740" s="6"/>
    </row>
    <row r="9741" spans="1:1" ht="18.75" x14ac:dyDescent="0.25">
      <c r="A9741" s="6"/>
    </row>
    <row r="9742" spans="1:1" ht="18.75" x14ac:dyDescent="0.25">
      <c r="A9742" s="6"/>
    </row>
    <row r="9743" spans="1:1" ht="18.75" x14ac:dyDescent="0.25">
      <c r="A9743" s="6"/>
    </row>
    <row r="9744" spans="1:1" ht="18.75" x14ac:dyDescent="0.25">
      <c r="A9744" s="6"/>
    </row>
    <row r="9745" spans="1:1" ht="18.75" x14ac:dyDescent="0.25">
      <c r="A9745" s="6"/>
    </row>
    <row r="9746" spans="1:1" ht="18.75" x14ac:dyDescent="0.25">
      <c r="A9746" s="6"/>
    </row>
    <row r="9747" spans="1:1" ht="18.75" x14ac:dyDescent="0.25">
      <c r="A9747" s="6"/>
    </row>
    <row r="9748" spans="1:1" ht="18.75" x14ac:dyDescent="0.25">
      <c r="A9748" s="6"/>
    </row>
    <row r="9749" spans="1:1" ht="18.75" x14ac:dyDescent="0.25">
      <c r="A9749" s="6"/>
    </row>
    <row r="9750" spans="1:1" ht="18.75" x14ac:dyDescent="0.25">
      <c r="A9750" s="6"/>
    </row>
    <row r="9751" spans="1:1" ht="18.75" x14ac:dyDescent="0.25">
      <c r="A9751" s="6"/>
    </row>
    <row r="9752" spans="1:1" ht="18.75" x14ac:dyDescent="0.25">
      <c r="A9752" s="6"/>
    </row>
    <row r="9753" spans="1:1" ht="18.75" x14ac:dyDescent="0.25">
      <c r="A9753" s="6"/>
    </row>
    <row r="9754" spans="1:1" ht="18.75" x14ac:dyDescent="0.25">
      <c r="A9754" s="6"/>
    </row>
    <row r="9755" spans="1:1" ht="18.75" x14ac:dyDescent="0.25">
      <c r="A9755" s="6"/>
    </row>
    <row r="9756" spans="1:1" ht="18.75" x14ac:dyDescent="0.25">
      <c r="A9756" s="6"/>
    </row>
    <row r="9757" spans="1:1" ht="18.75" x14ac:dyDescent="0.25">
      <c r="A9757" s="6"/>
    </row>
    <row r="9758" spans="1:1" ht="18.75" x14ac:dyDescent="0.25">
      <c r="A9758" s="6"/>
    </row>
    <row r="9759" spans="1:1" ht="18.75" x14ac:dyDescent="0.25">
      <c r="A9759" s="6"/>
    </row>
    <row r="9760" spans="1:1" ht="18.75" x14ac:dyDescent="0.25">
      <c r="A9760" s="6"/>
    </row>
    <row r="9761" spans="1:1" ht="18.75" x14ac:dyDescent="0.25">
      <c r="A9761" s="6"/>
    </row>
    <row r="9762" spans="1:1" ht="18.75" x14ac:dyDescent="0.25">
      <c r="A9762" s="6"/>
    </row>
    <row r="9763" spans="1:1" ht="18.75" x14ac:dyDescent="0.25">
      <c r="A9763" s="6"/>
    </row>
    <row r="9764" spans="1:1" ht="18.75" x14ac:dyDescent="0.25">
      <c r="A9764" s="6"/>
    </row>
    <row r="9765" spans="1:1" ht="18.75" x14ac:dyDescent="0.25">
      <c r="A9765" s="6"/>
    </row>
    <row r="9766" spans="1:1" ht="18.75" x14ac:dyDescent="0.25">
      <c r="A9766" s="6"/>
    </row>
    <row r="9767" spans="1:1" ht="18.75" x14ac:dyDescent="0.25">
      <c r="A9767" s="6"/>
    </row>
    <row r="9768" spans="1:1" ht="18.75" x14ac:dyDescent="0.25">
      <c r="A9768" s="6"/>
    </row>
    <row r="9769" spans="1:1" ht="18.75" x14ac:dyDescent="0.25">
      <c r="A9769" s="6"/>
    </row>
    <row r="9770" spans="1:1" ht="18.75" x14ac:dyDescent="0.25">
      <c r="A9770" s="6"/>
    </row>
    <row r="9771" spans="1:1" ht="18.75" x14ac:dyDescent="0.25">
      <c r="A9771" s="6"/>
    </row>
    <row r="9772" spans="1:1" ht="18.75" x14ac:dyDescent="0.25">
      <c r="A9772" s="6"/>
    </row>
    <row r="9773" spans="1:1" ht="18.75" x14ac:dyDescent="0.25">
      <c r="A9773" s="6"/>
    </row>
    <row r="9774" spans="1:1" ht="18.75" x14ac:dyDescent="0.25">
      <c r="A9774" s="6"/>
    </row>
    <row r="9775" spans="1:1" ht="18.75" x14ac:dyDescent="0.25">
      <c r="A9775" s="6"/>
    </row>
    <row r="9776" spans="1:1" ht="18.75" x14ac:dyDescent="0.25">
      <c r="A9776" s="6"/>
    </row>
    <row r="9777" spans="1:1" ht="18.75" x14ac:dyDescent="0.25">
      <c r="A9777" s="6"/>
    </row>
    <row r="9778" spans="1:1" ht="18.75" x14ac:dyDescent="0.25">
      <c r="A9778" s="6"/>
    </row>
    <row r="9779" spans="1:1" ht="18.75" x14ac:dyDescent="0.25">
      <c r="A9779" s="6"/>
    </row>
    <row r="9780" spans="1:1" ht="18.75" x14ac:dyDescent="0.25">
      <c r="A9780" s="6"/>
    </row>
    <row r="9781" spans="1:1" ht="18.75" x14ac:dyDescent="0.25">
      <c r="A9781" s="6"/>
    </row>
    <row r="9782" spans="1:1" ht="18.75" x14ac:dyDescent="0.25">
      <c r="A9782" s="6"/>
    </row>
    <row r="9783" spans="1:1" ht="18.75" x14ac:dyDescent="0.25">
      <c r="A9783" s="6"/>
    </row>
    <row r="9784" spans="1:1" ht="18.75" x14ac:dyDescent="0.25">
      <c r="A9784" s="6"/>
    </row>
    <row r="9785" spans="1:1" ht="18.75" x14ac:dyDescent="0.25">
      <c r="A9785" s="6"/>
    </row>
    <row r="9786" spans="1:1" ht="18.75" x14ac:dyDescent="0.25">
      <c r="A9786" s="6"/>
    </row>
    <row r="9787" spans="1:1" ht="18.75" x14ac:dyDescent="0.25">
      <c r="A9787" s="6"/>
    </row>
    <row r="9788" spans="1:1" ht="18.75" x14ac:dyDescent="0.25">
      <c r="A9788" s="6"/>
    </row>
    <row r="9789" spans="1:1" ht="18.75" x14ac:dyDescent="0.25">
      <c r="A9789" s="6"/>
    </row>
    <row r="9790" spans="1:1" ht="18.75" x14ac:dyDescent="0.25">
      <c r="A9790" s="6"/>
    </row>
    <row r="9791" spans="1:1" ht="18.75" x14ac:dyDescent="0.25">
      <c r="A9791" s="6"/>
    </row>
    <row r="9792" spans="1:1" ht="18.75" x14ac:dyDescent="0.25">
      <c r="A9792" s="6"/>
    </row>
    <row r="9793" spans="1:1" ht="18.75" x14ac:dyDescent="0.25">
      <c r="A9793" s="6"/>
    </row>
    <row r="9794" spans="1:1" ht="18.75" x14ac:dyDescent="0.25">
      <c r="A9794" s="6"/>
    </row>
    <row r="9795" spans="1:1" ht="18.75" x14ac:dyDescent="0.25">
      <c r="A9795" s="6"/>
    </row>
    <row r="9796" spans="1:1" ht="18.75" x14ac:dyDescent="0.25">
      <c r="A9796" s="6"/>
    </row>
    <row r="9797" spans="1:1" ht="18.75" x14ac:dyDescent="0.25">
      <c r="A9797" s="6"/>
    </row>
    <row r="9798" spans="1:1" ht="18.75" x14ac:dyDescent="0.25">
      <c r="A9798" s="6"/>
    </row>
    <row r="9799" spans="1:1" ht="18.75" x14ac:dyDescent="0.25">
      <c r="A9799" s="6"/>
    </row>
    <row r="9800" spans="1:1" ht="18.75" x14ac:dyDescent="0.25">
      <c r="A9800" s="6"/>
    </row>
    <row r="9801" spans="1:1" ht="18.75" x14ac:dyDescent="0.25">
      <c r="A9801" s="6"/>
    </row>
    <row r="9802" spans="1:1" ht="18.75" x14ac:dyDescent="0.25">
      <c r="A9802" s="6"/>
    </row>
    <row r="9803" spans="1:1" ht="18.75" x14ac:dyDescent="0.25">
      <c r="A9803" s="6"/>
    </row>
    <row r="9804" spans="1:1" ht="18.75" x14ac:dyDescent="0.25">
      <c r="A9804" s="6"/>
    </row>
    <row r="9805" spans="1:1" ht="18.75" x14ac:dyDescent="0.25">
      <c r="A9805" s="6"/>
    </row>
    <row r="9806" spans="1:1" ht="18.75" x14ac:dyDescent="0.25">
      <c r="A9806" s="6"/>
    </row>
    <row r="9807" spans="1:1" ht="18.75" x14ac:dyDescent="0.25">
      <c r="A9807" s="6"/>
    </row>
    <row r="9808" spans="1:1" ht="18.75" x14ac:dyDescent="0.25">
      <c r="A9808" s="6"/>
    </row>
    <row r="9809" spans="1:1" ht="18.75" x14ac:dyDescent="0.25">
      <c r="A9809" s="6"/>
    </row>
    <row r="9810" spans="1:1" ht="18.75" x14ac:dyDescent="0.25">
      <c r="A9810" s="6"/>
    </row>
    <row r="9811" spans="1:1" ht="18.75" x14ac:dyDescent="0.25">
      <c r="A9811" s="6"/>
    </row>
    <row r="9812" spans="1:1" ht="18.75" x14ac:dyDescent="0.25">
      <c r="A9812" s="6"/>
    </row>
    <row r="9813" spans="1:1" ht="18.75" x14ac:dyDescent="0.25">
      <c r="A9813" s="6"/>
    </row>
    <row r="9814" spans="1:1" ht="18.75" x14ac:dyDescent="0.25">
      <c r="A9814" s="6"/>
    </row>
    <row r="9815" spans="1:1" ht="18.75" x14ac:dyDescent="0.25">
      <c r="A9815" s="6"/>
    </row>
    <row r="9816" spans="1:1" ht="18.75" x14ac:dyDescent="0.25">
      <c r="A9816" s="6"/>
    </row>
    <row r="9817" spans="1:1" ht="18.75" x14ac:dyDescent="0.25">
      <c r="A9817" s="6"/>
    </row>
    <row r="9818" spans="1:1" ht="18.75" x14ac:dyDescent="0.25">
      <c r="A9818" s="6"/>
    </row>
    <row r="9819" spans="1:1" ht="18.75" x14ac:dyDescent="0.25">
      <c r="A9819" s="6"/>
    </row>
    <row r="9820" spans="1:1" ht="18.75" x14ac:dyDescent="0.25">
      <c r="A9820" s="6"/>
    </row>
    <row r="9821" spans="1:1" ht="18.75" x14ac:dyDescent="0.25">
      <c r="A9821" s="6"/>
    </row>
    <row r="9822" spans="1:1" ht="18.75" x14ac:dyDescent="0.25">
      <c r="A9822" s="6"/>
    </row>
    <row r="9823" spans="1:1" ht="18.75" x14ac:dyDescent="0.25">
      <c r="A9823" s="6"/>
    </row>
    <row r="9824" spans="1:1" ht="18.75" x14ac:dyDescent="0.25">
      <c r="A9824" s="6"/>
    </row>
    <row r="9825" spans="1:1" ht="18.75" x14ac:dyDescent="0.25">
      <c r="A9825" s="6"/>
    </row>
    <row r="9826" spans="1:1" ht="18.75" x14ac:dyDescent="0.25">
      <c r="A9826" s="6"/>
    </row>
    <row r="9827" spans="1:1" ht="18.75" x14ac:dyDescent="0.25">
      <c r="A9827" s="6"/>
    </row>
    <row r="9828" spans="1:1" ht="18.75" x14ac:dyDescent="0.25">
      <c r="A9828" s="6"/>
    </row>
    <row r="9829" spans="1:1" ht="18.75" x14ac:dyDescent="0.25">
      <c r="A9829" s="6"/>
    </row>
    <row r="9830" spans="1:1" ht="18.75" x14ac:dyDescent="0.25">
      <c r="A9830" s="6"/>
    </row>
    <row r="9831" spans="1:1" ht="18.75" x14ac:dyDescent="0.25">
      <c r="A9831" s="6"/>
    </row>
    <row r="9832" spans="1:1" ht="18.75" x14ac:dyDescent="0.25">
      <c r="A9832" s="6"/>
    </row>
    <row r="9833" spans="1:1" ht="18.75" x14ac:dyDescent="0.25">
      <c r="A9833" s="6"/>
    </row>
    <row r="9834" spans="1:1" ht="18.75" x14ac:dyDescent="0.25">
      <c r="A9834" s="6"/>
    </row>
    <row r="9835" spans="1:1" ht="18.75" x14ac:dyDescent="0.25">
      <c r="A9835" s="6"/>
    </row>
    <row r="9836" spans="1:1" ht="18.75" x14ac:dyDescent="0.25">
      <c r="A9836" s="6"/>
    </row>
    <row r="9837" spans="1:1" ht="18.75" x14ac:dyDescent="0.25">
      <c r="A9837" s="6"/>
    </row>
    <row r="9838" spans="1:1" ht="18.75" x14ac:dyDescent="0.25">
      <c r="A9838" s="6"/>
    </row>
    <row r="9839" spans="1:1" ht="18.75" x14ac:dyDescent="0.25">
      <c r="A9839" s="6"/>
    </row>
    <row r="9840" spans="1:1" ht="18.75" x14ac:dyDescent="0.25">
      <c r="A9840" s="6"/>
    </row>
    <row r="9841" spans="1:1" ht="18.75" x14ac:dyDescent="0.25">
      <c r="A9841" s="6"/>
    </row>
    <row r="9842" spans="1:1" ht="18.75" x14ac:dyDescent="0.25">
      <c r="A9842" s="6"/>
    </row>
    <row r="9843" spans="1:1" ht="18.75" x14ac:dyDescent="0.25">
      <c r="A9843" s="6"/>
    </row>
    <row r="9844" spans="1:1" ht="18.75" x14ac:dyDescent="0.25">
      <c r="A9844" s="6"/>
    </row>
    <row r="9845" spans="1:1" ht="18.75" x14ac:dyDescent="0.25">
      <c r="A9845" s="6"/>
    </row>
    <row r="9846" spans="1:1" ht="18.75" x14ac:dyDescent="0.25">
      <c r="A9846" s="6"/>
    </row>
    <row r="9847" spans="1:1" ht="18.75" x14ac:dyDescent="0.25">
      <c r="A9847" s="6"/>
    </row>
    <row r="9848" spans="1:1" ht="18.75" x14ac:dyDescent="0.25">
      <c r="A9848" s="6"/>
    </row>
    <row r="9849" spans="1:1" ht="18.75" x14ac:dyDescent="0.25">
      <c r="A9849" s="6"/>
    </row>
    <row r="9850" spans="1:1" ht="18.75" x14ac:dyDescent="0.25">
      <c r="A9850" s="6"/>
    </row>
    <row r="9851" spans="1:1" ht="18.75" x14ac:dyDescent="0.25">
      <c r="A9851" s="6"/>
    </row>
    <row r="9852" spans="1:1" ht="18.75" x14ac:dyDescent="0.25">
      <c r="A9852" s="6"/>
    </row>
    <row r="9853" spans="1:1" ht="18.75" x14ac:dyDescent="0.25">
      <c r="A9853" s="6"/>
    </row>
    <row r="9854" spans="1:1" ht="18.75" x14ac:dyDescent="0.25">
      <c r="A9854" s="6"/>
    </row>
    <row r="9855" spans="1:1" ht="18.75" x14ac:dyDescent="0.25">
      <c r="A9855" s="6"/>
    </row>
    <row r="9856" spans="1:1" ht="18.75" x14ac:dyDescent="0.25">
      <c r="A9856" s="6"/>
    </row>
    <row r="9857" spans="1:1" ht="18.75" x14ac:dyDescent="0.25">
      <c r="A9857" s="6"/>
    </row>
    <row r="9858" spans="1:1" ht="18.75" x14ac:dyDescent="0.25">
      <c r="A9858" s="6"/>
    </row>
    <row r="9859" spans="1:1" ht="18.75" x14ac:dyDescent="0.25">
      <c r="A9859" s="6"/>
    </row>
    <row r="9860" spans="1:1" ht="18.75" x14ac:dyDescent="0.25">
      <c r="A9860" s="6"/>
    </row>
    <row r="9861" spans="1:1" ht="18.75" x14ac:dyDescent="0.25">
      <c r="A9861" s="6"/>
    </row>
    <row r="9862" spans="1:1" ht="18.75" x14ac:dyDescent="0.25">
      <c r="A9862" s="6"/>
    </row>
    <row r="9863" spans="1:1" ht="18.75" x14ac:dyDescent="0.25">
      <c r="A9863" s="6"/>
    </row>
    <row r="9864" spans="1:1" ht="18.75" x14ac:dyDescent="0.25">
      <c r="A9864" s="6"/>
    </row>
    <row r="9865" spans="1:1" ht="18.75" x14ac:dyDescent="0.25">
      <c r="A9865" s="6"/>
    </row>
    <row r="9866" spans="1:1" ht="18.75" x14ac:dyDescent="0.25">
      <c r="A9866" s="6"/>
    </row>
    <row r="9867" spans="1:1" ht="18.75" x14ac:dyDescent="0.25">
      <c r="A9867" s="6"/>
    </row>
    <row r="9868" spans="1:1" ht="18.75" x14ac:dyDescent="0.25">
      <c r="A9868" s="6"/>
    </row>
    <row r="9869" spans="1:1" ht="18.75" x14ac:dyDescent="0.25">
      <c r="A9869" s="6"/>
    </row>
    <row r="9870" spans="1:1" ht="18.75" x14ac:dyDescent="0.25">
      <c r="A9870" s="6"/>
    </row>
    <row r="9871" spans="1:1" ht="18.75" x14ac:dyDescent="0.25">
      <c r="A9871" s="6"/>
    </row>
    <row r="9872" spans="1:1" ht="18.75" x14ac:dyDescent="0.25">
      <c r="A9872" s="6"/>
    </row>
    <row r="9873" spans="1:1" ht="18.75" x14ac:dyDescent="0.25">
      <c r="A9873" s="6"/>
    </row>
    <row r="9874" spans="1:1" ht="18.75" x14ac:dyDescent="0.25">
      <c r="A9874" s="6"/>
    </row>
    <row r="9875" spans="1:1" ht="18.75" x14ac:dyDescent="0.25">
      <c r="A9875" s="6"/>
    </row>
    <row r="9876" spans="1:1" ht="18.75" x14ac:dyDescent="0.25">
      <c r="A9876" s="6"/>
    </row>
    <row r="9877" spans="1:1" ht="18.75" x14ac:dyDescent="0.25">
      <c r="A9877" s="6"/>
    </row>
    <row r="9878" spans="1:1" ht="18.75" x14ac:dyDescent="0.25">
      <c r="A9878" s="6"/>
    </row>
    <row r="9879" spans="1:1" ht="18.75" x14ac:dyDescent="0.25">
      <c r="A9879" s="6"/>
    </row>
    <row r="9880" spans="1:1" ht="18.75" x14ac:dyDescent="0.25">
      <c r="A9880" s="6"/>
    </row>
    <row r="9881" spans="1:1" ht="18.75" x14ac:dyDescent="0.25">
      <c r="A9881" s="6"/>
    </row>
    <row r="9882" spans="1:1" ht="18.75" x14ac:dyDescent="0.25">
      <c r="A9882" s="6"/>
    </row>
    <row r="9883" spans="1:1" ht="18.75" x14ac:dyDescent="0.25">
      <c r="A9883" s="6"/>
    </row>
    <row r="9884" spans="1:1" ht="18.75" x14ac:dyDescent="0.25">
      <c r="A9884" s="6"/>
    </row>
    <row r="9885" spans="1:1" ht="18.75" x14ac:dyDescent="0.25">
      <c r="A9885" s="6"/>
    </row>
    <row r="9886" spans="1:1" ht="18.75" x14ac:dyDescent="0.25">
      <c r="A9886" s="6"/>
    </row>
    <row r="9887" spans="1:1" ht="18.75" x14ac:dyDescent="0.25">
      <c r="A9887" s="6"/>
    </row>
    <row r="9888" spans="1:1" ht="18.75" x14ac:dyDescent="0.25">
      <c r="A9888" s="6"/>
    </row>
    <row r="9889" spans="1:1" ht="18.75" x14ac:dyDescent="0.25">
      <c r="A9889" s="6"/>
    </row>
    <row r="9890" spans="1:1" ht="18.75" x14ac:dyDescent="0.25">
      <c r="A9890" s="6"/>
    </row>
    <row r="9891" spans="1:1" ht="18.75" x14ac:dyDescent="0.25">
      <c r="A9891" s="6"/>
    </row>
    <row r="9892" spans="1:1" ht="18.75" x14ac:dyDescent="0.25">
      <c r="A9892" s="6"/>
    </row>
    <row r="9893" spans="1:1" ht="18.75" x14ac:dyDescent="0.25">
      <c r="A9893" s="6"/>
    </row>
    <row r="9894" spans="1:1" ht="18.75" x14ac:dyDescent="0.25">
      <c r="A9894" s="6"/>
    </row>
    <row r="9895" spans="1:1" ht="18.75" x14ac:dyDescent="0.25">
      <c r="A9895" s="6"/>
    </row>
    <row r="9896" spans="1:1" ht="18.75" x14ac:dyDescent="0.25">
      <c r="A9896" s="6"/>
    </row>
    <row r="9897" spans="1:1" ht="18.75" x14ac:dyDescent="0.25">
      <c r="A9897" s="6"/>
    </row>
    <row r="9898" spans="1:1" ht="18.75" x14ac:dyDescent="0.25">
      <c r="A9898" s="6"/>
    </row>
    <row r="9899" spans="1:1" ht="18.75" x14ac:dyDescent="0.25">
      <c r="A9899" s="6"/>
    </row>
    <row r="9900" spans="1:1" ht="18.75" x14ac:dyDescent="0.25">
      <c r="A9900" s="6"/>
    </row>
    <row r="9901" spans="1:1" ht="18.75" x14ac:dyDescent="0.25">
      <c r="A9901" s="6"/>
    </row>
    <row r="9902" spans="1:1" ht="18.75" x14ac:dyDescent="0.25">
      <c r="A9902" s="6"/>
    </row>
    <row r="9903" spans="1:1" ht="18.75" x14ac:dyDescent="0.25">
      <c r="A9903" s="6"/>
    </row>
    <row r="9904" spans="1:1" ht="18.75" x14ac:dyDescent="0.25">
      <c r="A9904" s="6"/>
    </row>
    <row r="9905" spans="1:1" ht="18.75" x14ac:dyDescent="0.25">
      <c r="A9905" s="6"/>
    </row>
    <row r="9906" spans="1:1" ht="18.75" x14ac:dyDescent="0.25">
      <c r="A9906" s="6"/>
    </row>
    <row r="9907" spans="1:1" ht="18.75" x14ac:dyDescent="0.25">
      <c r="A9907" s="6"/>
    </row>
    <row r="9908" spans="1:1" ht="18.75" x14ac:dyDescent="0.25">
      <c r="A9908" s="6"/>
    </row>
    <row r="9909" spans="1:1" ht="18.75" x14ac:dyDescent="0.25">
      <c r="A9909" s="6"/>
    </row>
    <row r="9910" spans="1:1" ht="18.75" x14ac:dyDescent="0.25">
      <c r="A9910" s="6"/>
    </row>
    <row r="9911" spans="1:1" ht="18.75" x14ac:dyDescent="0.25">
      <c r="A9911" s="6"/>
    </row>
    <row r="9912" spans="1:1" ht="18.75" x14ac:dyDescent="0.25">
      <c r="A9912" s="6"/>
    </row>
    <row r="9913" spans="1:1" ht="18.75" x14ac:dyDescent="0.25">
      <c r="A9913" s="6"/>
    </row>
    <row r="9914" spans="1:1" ht="18.75" x14ac:dyDescent="0.25">
      <c r="A9914" s="6"/>
    </row>
    <row r="9915" spans="1:1" ht="18.75" x14ac:dyDescent="0.25">
      <c r="A9915" s="6"/>
    </row>
    <row r="9916" spans="1:1" ht="18.75" x14ac:dyDescent="0.25">
      <c r="A9916" s="6"/>
    </row>
    <row r="9917" spans="1:1" ht="18.75" x14ac:dyDescent="0.25">
      <c r="A9917" s="6"/>
    </row>
    <row r="9918" spans="1:1" ht="18.75" x14ac:dyDescent="0.25">
      <c r="A9918" s="6"/>
    </row>
    <row r="9919" spans="1:1" ht="18.75" x14ac:dyDescent="0.25">
      <c r="A9919" s="6"/>
    </row>
    <row r="9920" spans="1:1" ht="18.75" x14ac:dyDescent="0.25">
      <c r="A9920" s="6"/>
    </row>
    <row r="9921" spans="1:1" ht="18.75" x14ac:dyDescent="0.25">
      <c r="A9921" s="6"/>
    </row>
    <row r="9922" spans="1:1" ht="18.75" x14ac:dyDescent="0.25">
      <c r="A9922" s="6"/>
    </row>
    <row r="9923" spans="1:1" ht="18.75" x14ac:dyDescent="0.25">
      <c r="A9923" s="6"/>
    </row>
    <row r="9924" spans="1:1" ht="18.75" x14ac:dyDescent="0.25">
      <c r="A9924" s="6"/>
    </row>
    <row r="9925" spans="1:1" ht="18.75" x14ac:dyDescent="0.25">
      <c r="A9925" s="6"/>
    </row>
    <row r="9926" spans="1:1" ht="18.75" x14ac:dyDescent="0.25">
      <c r="A9926" s="6"/>
    </row>
    <row r="9927" spans="1:1" ht="18.75" x14ac:dyDescent="0.25">
      <c r="A9927" s="6"/>
    </row>
    <row r="9928" spans="1:1" ht="18.75" x14ac:dyDescent="0.25">
      <c r="A9928" s="6"/>
    </row>
    <row r="9929" spans="1:1" ht="18.75" x14ac:dyDescent="0.25">
      <c r="A9929" s="6"/>
    </row>
    <row r="9930" spans="1:1" ht="18.75" x14ac:dyDescent="0.25">
      <c r="A9930" s="6"/>
    </row>
    <row r="9931" spans="1:1" ht="18.75" x14ac:dyDescent="0.25">
      <c r="A9931" s="6"/>
    </row>
    <row r="9932" spans="1:1" ht="18.75" x14ac:dyDescent="0.25">
      <c r="A9932" s="6"/>
    </row>
    <row r="9933" spans="1:1" ht="18.75" x14ac:dyDescent="0.25">
      <c r="A9933" s="6"/>
    </row>
    <row r="9934" spans="1:1" ht="18.75" x14ac:dyDescent="0.25">
      <c r="A9934" s="6"/>
    </row>
    <row r="9935" spans="1:1" ht="18.75" x14ac:dyDescent="0.25">
      <c r="A9935" s="6"/>
    </row>
    <row r="9936" spans="1:1" ht="18.75" x14ac:dyDescent="0.25">
      <c r="A9936" s="6"/>
    </row>
    <row r="9937" spans="1:1" ht="18.75" x14ac:dyDescent="0.25">
      <c r="A9937" s="6"/>
    </row>
    <row r="9938" spans="1:1" ht="18.75" x14ac:dyDescent="0.25">
      <c r="A9938" s="6"/>
    </row>
    <row r="9939" spans="1:1" ht="18.75" x14ac:dyDescent="0.25">
      <c r="A9939" s="6"/>
    </row>
    <row r="9940" spans="1:1" ht="18.75" x14ac:dyDescent="0.25">
      <c r="A9940" s="6"/>
    </row>
    <row r="9941" spans="1:1" ht="18.75" x14ac:dyDescent="0.25">
      <c r="A9941" s="6"/>
    </row>
    <row r="9942" spans="1:1" ht="18.75" x14ac:dyDescent="0.25">
      <c r="A9942" s="6"/>
    </row>
    <row r="9943" spans="1:1" ht="18.75" x14ac:dyDescent="0.25">
      <c r="A9943" s="6"/>
    </row>
    <row r="9944" spans="1:1" ht="18.75" x14ac:dyDescent="0.25">
      <c r="A9944" s="6"/>
    </row>
    <row r="9945" spans="1:1" ht="18.75" x14ac:dyDescent="0.25">
      <c r="A9945" s="6"/>
    </row>
    <row r="9946" spans="1:1" ht="18.75" x14ac:dyDescent="0.25">
      <c r="A9946" s="6"/>
    </row>
    <row r="9947" spans="1:1" ht="18.75" x14ac:dyDescent="0.25">
      <c r="A9947" s="6"/>
    </row>
    <row r="9948" spans="1:1" ht="18.75" x14ac:dyDescent="0.25">
      <c r="A9948" s="6"/>
    </row>
    <row r="9949" spans="1:1" ht="18.75" x14ac:dyDescent="0.25">
      <c r="A9949" s="6"/>
    </row>
    <row r="9950" spans="1:1" ht="18.75" x14ac:dyDescent="0.25">
      <c r="A9950" s="6"/>
    </row>
    <row r="9951" spans="1:1" ht="18.75" x14ac:dyDescent="0.25">
      <c r="A9951" s="6"/>
    </row>
    <row r="9952" spans="1:1" ht="18.75" x14ac:dyDescent="0.25">
      <c r="A9952" s="6"/>
    </row>
    <row r="9953" spans="1:1" ht="18.75" x14ac:dyDescent="0.25">
      <c r="A9953" s="6"/>
    </row>
    <row r="9954" spans="1:1" ht="18.75" x14ac:dyDescent="0.25">
      <c r="A9954" s="6"/>
    </row>
    <row r="9955" spans="1:1" ht="18.75" x14ac:dyDescent="0.25">
      <c r="A9955" s="6"/>
    </row>
    <row r="9956" spans="1:1" ht="18.75" x14ac:dyDescent="0.25">
      <c r="A9956" s="6"/>
    </row>
    <row r="9957" spans="1:1" ht="18.75" x14ac:dyDescent="0.25">
      <c r="A9957" s="6"/>
    </row>
    <row r="9958" spans="1:1" ht="18.75" x14ac:dyDescent="0.25">
      <c r="A9958" s="6"/>
    </row>
    <row r="9959" spans="1:1" ht="18.75" x14ac:dyDescent="0.25">
      <c r="A9959" s="6"/>
    </row>
    <row r="9960" spans="1:1" ht="18.75" x14ac:dyDescent="0.25">
      <c r="A9960" s="6"/>
    </row>
    <row r="9961" spans="1:1" ht="18.75" x14ac:dyDescent="0.25">
      <c r="A9961" s="6"/>
    </row>
    <row r="9962" spans="1:1" ht="18.75" x14ac:dyDescent="0.25">
      <c r="A9962" s="6"/>
    </row>
    <row r="9963" spans="1:1" ht="18.75" x14ac:dyDescent="0.25">
      <c r="A9963" s="6"/>
    </row>
    <row r="9964" spans="1:1" ht="18.75" x14ac:dyDescent="0.25">
      <c r="A9964" s="6"/>
    </row>
    <row r="9965" spans="1:1" ht="18.75" x14ac:dyDescent="0.25">
      <c r="A9965" s="6"/>
    </row>
    <row r="9966" spans="1:1" ht="18.75" x14ac:dyDescent="0.25">
      <c r="A9966" s="6"/>
    </row>
    <row r="9967" spans="1:1" ht="18.75" x14ac:dyDescent="0.25">
      <c r="A9967" s="6"/>
    </row>
    <row r="9968" spans="1:1" ht="18.75" x14ac:dyDescent="0.25">
      <c r="A9968" s="6"/>
    </row>
    <row r="9969" spans="1:1" ht="18.75" x14ac:dyDescent="0.25">
      <c r="A9969" s="6"/>
    </row>
    <row r="9970" spans="1:1" ht="18.75" x14ac:dyDescent="0.25">
      <c r="A9970" s="6"/>
    </row>
    <row r="9971" spans="1:1" ht="18.75" x14ac:dyDescent="0.25">
      <c r="A9971" s="6"/>
    </row>
    <row r="9972" spans="1:1" ht="18.75" x14ac:dyDescent="0.25">
      <c r="A9972" s="6"/>
    </row>
    <row r="9973" spans="1:1" ht="18.75" x14ac:dyDescent="0.25">
      <c r="A9973" s="6"/>
    </row>
    <row r="9974" spans="1:1" ht="18.75" x14ac:dyDescent="0.25">
      <c r="A9974" s="6"/>
    </row>
    <row r="9975" spans="1:1" ht="18.75" x14ac:dyDescent="0.25">
      <c r="A9975" s="6"/>
    </row>
    <row r="9976" spans="1:1" ht="18.75" x14ac:dyDescent="0.25">
      <c r="A9976" s="6"/>
    </row>
    <row r="9977" spans="1:1" ht="18.75" x14ac:dyDescent="0.25">
      <c r="A9977" s="6"/>
    </row>
    <row r="9978" spans="1:1" ht="18.75" x14ac:dyDescent="0.25">
      <c r="A9978" s="6"/>
    </row>
    <row r="9979" spans="1:1" ht="18.75" x14ac:dyDescent="0.25">
      <c r="A9979" s="6"/>
    </row>
    <row r="9980" spans="1:1" ht="18.75" x14ac:dyDescent="0.25">
      <c r="A9980" s="6"/>
    </row>
    <row r="9981" spans="1:1" ht="18.75" x14ac:dyDescent="0.25">
      <c r="A9981" s="6"/>
    </row>
    <row r="9982" spans="1:1" ht="18.75" x14ac:dyDescent="0.25">
      <c r="A9982" s="6"/>
    </row>
    <row r="9983" spans="1:1" ht="18.75" x14ac:dyDescent="0.25">
      <c r="A9983" s="6"/>
    </row>
    <row r="9984" spans="1:1" ht="18.75" x14ac:dyDescent="0.25">
      <c r="A9984" s="6"/>
    </row>
    <row r="9985" spans="1:1" ht="18.75" x14ac:dyDescent="0.25">
      <c r="A9985" s="6"/>
    </row>
    <row r="9986" spans="1:1" ht="18.75" x14ac:dyDescent="0.25">
      <c r="A9986" s="6"/>
    </row>
    <row r="9987" spans="1:1" ht="18.75" x14ac:dyDescent="0.25">
      <c r="A9987" s="6"/>
    </row>
    <row r="9988" spans="1:1" ht="18.75" x14ac:dyDescent="0.25">
      <c r="A9988" s="6"/>
    </row>
    <row r="9989" spans="1:1" ht="18.75" x14ac:dyDescent="0.25">
      <c r="A9989" s="6"/>
    </row>
    <row r="9990" spans="1:1" ht="18.75" x14ac:dyDescent="0.25">
      <c r="A9990" s="6"/>
    </row>
    <row r="9991" spans="1:1" ht="18.75" x14ac:dyDescent="0.25">
      <c r="A9991" s="6"/>
    </row>
    <row r="9992" spans="1:1" ht="18.75" x14ac:dyDescent="0.25">
      <c r="A9992" s="6"/>
    </row>
    <row r="9993" spans="1:1" ht="18.75" x14ac:dyDescent="0.25">
      <c r="A9993" s="6"/>
    </row>
    <row r="9994" spans="1:1" ht="18.75" x14ac:dyDescent="0.25">
      <c r="A9994" s="6"/>
    </row>
    <row r="9995" spans="1:1" ht="18.75" x14ac:dyDescent="0.25">
      <c r="A9995" s="6"/>
    </row>
    <row r="9996" spans="1:1" ht="18.75" x14ac:dyDescent="0.25">
      <c r="A9996" s="6"/>
    </row>
    <row r="9997" spans="1:1" ht="18.75" x14ac:dyDescent="0.25">
      <c r="A9997" s="6"/>
    </row>
    <row r="9998" spans="1:1" ht="18.75" x14ac:dyDescent="0.25">
      <c r="A9998" s="6"/>
    </row>
    <row r="9999" spans="1:1" ht="18.75" x14ac:dyDescent="0.25">
      <c r="A9999" s="6"/>
    </row>
    <row r="10000" spans="1:1" ht="18.75" x14ac:dyDescent="0.25">
      <c r="A10000" s="6"/>
    </row>
    <row r="10001" spans="1:1" ht="18.75" x14ac:dyDescent="0.25">
      <c r="A10001" s="6"/>
    </row>
    <row r="10002" spans="1:1" ht="18.75" x14ac:dyDescent="0.25">
      <c r="A10002" s="6"/>
    </row>
    <row r="10003" spans="1:1" ht="18.75" x14ac:dyDescent="0.25">
      <c r="A10003" s="6"/>
    </row>
    <row r="10004" spans="1:1" ht="18.75" x14ac:dyDescent="0.25">
      <c r="A10004" s="6"/>
    </row>
    <row r="10005" spans="1:1" ht="18.75" x14ac:dyDescent="0.25">
      <c r="A10005" s="6"/>
    </row>
    <row r="10006" spans="1:1" ht="18.75" x14ac:dyDescent="0.25">
      <c r="A10006" s="6"/>
    </row>
    <row r="10007" spans="1:1" ht="18.75" x14ac:dyDescent="0.25">
      <c r="A10007" s="6"/>
    </row>
    <row r="10008" spans="1:1" ht="18.75" x14ac:dyDescent="0.25">
      <c r="A10008" s="6"/>
    </row>
    <row r="10009" spans="1:1" ht="18.75" x14ac:dyDescent="0.25">
      <c r="A10009" s="6"/>
    </row>
    <row r="10010" spans="1:1" ht="18.75" x14ac:dyDescent="0.25">
      <c r="A10010" s="6"/>
    </row>
    <row r="10011" spans="1:1" ht="18.75" x14ac:dyDescent="0.25">
      <c r="A10011" s="6"/>
    </row>
    <row r="10012" spans="1:1" ht="18.75" x14ac:dyDescent="0.25">
      <c r="A10012" s="6"/>
    </row>
    <row r="10013" spans="1:1" ht="18.75" x14ac:dyDescent="0.25">
      <c r="A10013" s="6"/>
    </row>
    <row r="10014" spans="1:1" ht="18.75" x14ac:dyDescent="0.25">
      <c r="A10014" s="6"/>
    </row>
    <row r="10015" spans="1:1" ht="18.75" x14ac:dyDescent="0.25">
      <c r="A10015" s="6"/>
    </row>
    <row r="10016" spans="1:1" ht="18.75" x14ac:dyDescent="0.25">
      <c r="A10016" s="6"/>
    </row>
    <row r="10017" spans="1:1" ht="18.75" x14ac:dyDescent="0.25">
      <c r="A10017" s="6"/>
    </row>
    <row r="10018" spans="1:1" ht="18.75" x14ac:dyDescent="0.25">
      <c r="A10018" s="6"/>
    </row>
    <row r="10019" spans="1:1" ht="18.75" x14ac:dyDescent="0.25">
      <c r="A10019" s="6"/>
    </row>
    <row r="10020" spans="1:1" ht="18.75" x14ac:dyDescent="0.25">
      <c r="A10020" s="6"/>
    </row>
    <row r="10021" spans="1:1" ht="18.75" x14ac:dyDescent="0.25">
      <c r="A10021" s="6"/>
    </row>
    <row r="10022" spans="1:1" ht="18.75" x14ac:dyDescent="0.25">
      <c r="A10022" s="6"/>
    </row>
    <row r="10023" spans="1:1" ht="18.75" x14ac:dyDescent="0.25">
      <c r="A10023" s="6"/>
    </row>
    <row r="10024" spans="1:1" ht="18.75" x14ac:dyDescent="0.25">
      <c r="A10024" s="6"/>
    </row>
    <row r="10025" spans="1:1" ht="18.75" x14ac:dyDescent="0.25">
      <c r="A10025" s="6"/>
    </row>
    <row r="10026" spans="1:1" ht="18.75" x14ac:dyDescent="0.25">
      <c r="A10026" s="6"/>
    </row>
    <row r="10027" spans="1:1" ht="18.75" x14ac:dyDescent="0.25">
      <c r="A10027" s="6"/>
    </row>
    <row r="10028" spans="1:1" ht="18.75" x14ac:dyDescent="0.25">
      <c r="A10028" s="6"/>
    </row>
    <row r="10029" spans="1:1" ht="18.75" x14ac:dyDescent="0.25">
      <c r="A10029" s="6"/>
    </row>
    <row r="10030" spans="1:1" ht="18.75" x14ac:dyDescent="0.25">
      <c r="A10030" s="6"/>
    </row>
    <row r="10031" spans="1:1" ht="18.75" x14ac:dyDescent="0.25">
      <c r="A10031" s="6"/>
    </row>
    <row r="10032" spans="1:1" ht="18.75" x14ac:dyDescent="0.25">
      <c r="A10032" s="6"/>
    </row>
    <row r="10033" spans="1:1" ht="18.75" x14ac:dyDescent="0.25">
      <c r="A10033" s="6"/>
    </row>
    <row r="10034" spans="1:1" ht="18.75" x14ac:dyDescent="0.25">
      <c r="A10034" s="6"/>
    </row>
    <row r="10035" spans="1:1" ht="18.75" x14ac:dyDescent="0.25">
      <c r="A10035" s="6"/>
    </row>
    <row r="10036" spans="1:1" ht="18.75" x14ac:dyDescent="0.25">
      <c r="A10036" s="6"/>
    </row>
    <row r="10037" spans="1:1" ht="18.75" x14ac:dyDescent="0.25">
      <c r="A10037" s="6"/>
    </row>
    <row r="10038" spans="1:1" ht="18.75" x14ac:dyDescent="0.25">
      <c r="A10038" s="6"/>
    </row>
    <row r="10039" spans="1:1" ht="18.75" x14ac:dyDescent="0.25">
      <c r="A10039" s="6"/>
    </row>
    <row r="10040" spans="1:1" ht="18.75" x14ac:dyDescent="0.25">
      <c r="A10040" s="6"/>
    </row>
    <row r="10041" spans="1:1" ht="18.75" x14ac:dyDescent="0.25">
      <c r="A10041" s="6"/>
    </row>
    <row r="10042" spans="1:1" ht="18.75" x14ac:dyDescent="0.25">
      <c r="A10042" s="6"/>
    </row>
    <row r="10043" spans="1:1" ht="18.75" x14ac:dyDescent="0.25">
      <c r="A10043" s="6"/>
    </row>
    <row r="10044" spans="1:1" ht="18.75" x14ac:dyDescent="0.25">
      <c r="A10044" s="6"/>
    </row>
    <row r="10045" spans="1:1" ht="18.75" x14ac:dyDescent="0.25">
      <c r="A10045" s="6"/>
    </row>
    <row r="10046" spans="1:1" ht="18.75" x14ac:dyDescent="0.25">
      <c r="A10046" s="6"/>
    </row>
    <row r="10047" spans="1:1" ht="18.75" x14ac:dyDescent="0.25">
      <c r="A10047" s="6"/>
    </row>
    <row r="10048" spans="1:1" ht="18.75" x14ac:dyDescent="0.25">
      <c r="A10048" s="6"/>
    </row>
    <row r="10049" spans="1:1" ht="18.75" x14ac:dyDescent="0.25">
      <c r="A10049" s="6"/>
    </row>
    <row r="10050" spans="1:1" ht="18.75" x14ac:dyDescent="0.25">
      <c r="A10050" s="6"/>
    </row>
    <row r="10051" spans="1:1" ht="18.75" x14ac:dyDescent="0.25">
      <c r="A10051" s="6"/>
    </row>
    <row r="10052" spans="1:1" ht="18.75" x14ac:dyDescent="0.25">
      <c r="A10052" s="6"/>
    </row>
    <row r="10053" spans="1:1" ht="18.75" x14ac:dyDescent="0.25">
      <c r="A10053" s="6"/>
    </row>
    <row r="10054" spans="1:1" ht="18.75" x14ac:dyDescent="0.25">
      <c r="A10054" s="6"/>
    </row>
    <row r="10055" spans="1:1" ht="18.75" x14ac:dyDescent="0.25">
      <c r="A10055" s="6"/>
    </row>
    <row r="10056" spans="1:1" ht="18.75" x14ac:dyDescent="0.25">
      <c r="A10056" s="6"/>
    </row>
    <row r="10057" spans="1:1" ht="18.75" x14ac:dyDescent="0.25">
      <c r="A10057" s="6"/>
    </row>
    <row r="10058" spans="1:1" ht="18.75" x14ac:dyDescent="0.25">
      <c r="A10058" s="6"/>
    </row>
    <row r="10059" spans="1:1" ht="18.75" x14ac:dyDescent="0.25">
      <c r="A10059" s="6"/>
    </row>
    <row r="10060" spans="1:1" ht="18.75" x14ac:dyDescent="0.25">
      <c r="A10060" s="6"/>
    </row>
    <row r="10061" spans="1:1" ht="18.75" x14ac:dyDescent="0.25">
      <c r="A10061" s="6"/>
    </row>
    <row r="10062" spans="1:1" ht="18.75" x14ac:dyDescent="0.25">
      <c r="A10062" s="6"/>
    </row>
    <row r="10063" spans="1:1" ht="18.75" x14ac:dyDescent="0.25">
      <c r="A10063" s="6"/>
    </row>
    <row r="10064" spans="1:1" ht="18.75" x14ac:dyDescent="0.25">
      <c r="A10064" s="6"/>
    </row>
    <row r="10065" spans="1:1" ht="18.75" x14ac:dyDescent="0.25">
      <c r="A10065" s="6"/>
    </row>
    <row r="10066" spans="1:1" ht="18.75" x14ac:dyDescent="0.25">
      <c r="A10066" s="6"/>
    </row>
    <row r="10067" spans="1:1" ht="18.75" x14ac:dyDescent="0.25">
      <c r="A10067" s="6"/>
    </row>
    <row r="10068" spans="1:1" ht="18.75" x14ac:dyDescent="0.25">
      <c r="A10068" s="6"/>
    </row>
    <row r="10069" spans="1:1" ht="18.75" x14ac:dyDescent="0.25">
      <c r="A10069" s="6"/>
    </row>
    <row r="10070" spans="1:1" ht="18.75" x14ac:dyDescent="0.25">
      <c r="A10070" s="6"/>
    </row>
    <row r="10071" spans="1:1" ht="18.75" x14ac:dyDescent="0.25">
      <c r="A10071" s="6"/>
    </row>
    <row r="10072" spans="1:1" ht="18.75" x14ac:dyDescent="0.25">
      <c r="A10072" s="6"/>
    </row>
    <row r="10073" spans="1:1" ht="18.75" x14ac:dyDescent="0.25">
      <c r="A10073" s="6"/>
    </row>
    <row r="10074" spans="1:1" ht="18.75" x14ac:dyDescent="0.25">
      <c r="A10074" s="6"/>
    </row>
    <row r="10075" spans="1:1" ht="18.75" x14ac:dyDescent="0.25">
      <c r="A10075" s="6"/>
    </row>
    <row r="10076" spans="1:1" ht="18.75" x14ac:dyDescent="0.25">
      <c r="A10076" s="6"/>
    </row>
    <row r="10077" spans="1:1" ht="18.75" x14ac:dyDescent="0.25">
      <c r="A10077" s="6"/>
    </row>
    <row r="10078" spans="1:1" ht="18.75" x14ac:dyDescent="0.25">
      <c r="A10078" s="6"/>
    </row>
    <row r="10079" spans="1:1" ht="18.75" x14ac:dyDescent="0.25">
      <c r="A10079" s="6"/>
    </row>
    <row r="10080" spans="1:1" ht="18.75" x14ac:dyDescent="0.25">
      <c r="A10080" s="6"/>
    </row>
    <row r="10081" spans="1:1" ht="18.75" x14ac:dyDescent="0.25">
      <c r="A10081" s="6"/>
    </row>
    <row r="10082" spans="1:1" ht="18.75" x14ac:dyDescent="0.25">
      <c r="A10082" s="6"/>
    </row>
    <row r="10083" spans="1:1" ht="18.75" x14ac:dyDescent="0.25">
      <c r="A10083" s="6"/>
    </row>
    <row r="10084" spans="1:1" ht="18.75" x14ac:dyDescent="0.25">
      <c r="A10084" s="6"/>
    </row>
    <row r="10085" spans="1:1" ht="18.75" x14ac:dyDescent="0.25">
      <c r="A10085" s="6"/>
    </row>
    <row r="10086" spans="1:1" ht="18.75" x14ac:dyDescent="0.25">
      <c r="A10086" s="6"/>
    </row>
    <row r="10087" spans="1:1" ht="18.75" x14ac:dyDescent="0.25">
      <c r="A10087" s="6"/>
    </row>
    <row r="10088" spans="1:1" ht="18.75" x14ac:dyDescent="0.25">
      <c r="A10088" s="6"/>
    </row>
    <row r="10089" spans="1:1" ht="18.75" x14ac:dyDescent="0.25">
      <c r="A10089" s="6"/>
    </row>
    <row r="10090" spans="1:1" ht="18.75" x14ac:dyDescent="0.25">
      <c r="A10090" s="6"/>
    </row>
    <row r="10091" spans="1:1" ht="18.75" x14ac:dyDescent="0.25">
      <c r="A10091" s="6"/>
    </row>
    <row r="10092" spans="1:1" ht="18.75" x14ac:dyDescent="0.25">
      <c r="A10092" s="6"/>
    </row>
    <row r="10093" spans="1:1" ht="18.75" x14ac:dyDescent="0.25">
      <c r="A10093" s="6"/>
    </row>
    <row r="10094" spans="1:1" ht="18.75" x14ac:dyDescent="0.25">
      <c r="A10094" s="6"/>
    </row>
    <row r="10095" spans="1:1" ht="18.75" x14ac:dyDescent="0.25">
      <c r="A10095" s="6"/>
    </row>
    <row r="10096" spans="1:1" ht="18.75" x14ac:dyDescent="0.25">
      <c r="A10096" s="6"/>
    </row>
    <row r="10097" spans="1:1" ht="18.75" x14ac:dyDescent="0.25">
      <c r="A10097" s="6"/>
    </row>
    <row r="10098" spans="1:1" ht="18.75" x14ac:dyDescent="0.25">
      <c r="A10098" s="6"/>
    </row>
    <row r="10099" spans="1:1" ht="18.75" x14ac:dyDescent="0.25">
      <c r="A10099" s="6"/>
    </row>
    <row r="10100" spans="1:1" ht="18.75" x14ac:dyDescent="0.25">
      <c r="A10100" s="6"/>
    </row>
    <row r="10101" spans="1:1" ht="18.75" x14ac:dyDescent="0.25">
      <c r="A10101" s="6"/>
    </row>
    <row r="10102" spans="1:1" ht="18.75" x14ac:dyDescent="0.25">
      <c r="A10102" s="6"/>
    </row>
    <row r="10103" spans="1:1" ht="18.75" x14ac:dyDescent="0.25">
      <c r="A10103" s="6"/>
    </row>
    <row r="10104" spans="1:1" ht="18.75" x14ac:dyDescent="0.25">
      <c r="A10104" s="6"/>
    </row>
    <row r="10105" spans="1:1" ht="18.75" x14ac:dyDescent="0.25">
      <c r="A10105" s="6"/>
    </row>
    <row r="10106" spans="1:1" ht="18.75" x14ac:dyDescent="0.25">
      <c r="A10106" s="6"/>
    </row>
    <row r="10107" spans="1:1" ht="18.75" x14ac:dyDescent="0.25">
      <c r="A10107" s="6"/>
    </row>
    <row r="10108" spans="1:1" ht="18.75" x14ac:dyDescent="0.25">
      <c r="A10108" s="6"/>
    </row>
    <row r="10109" spans="1:1" ht="18.75" x14ac:dyDescent="0.25">
      <c r="A10109" s="6"/>
    </row>
    <row r="10110" spans="1:1" ht="18.75" x14ac:dyDescent="0.25">
      <c r="A10110" s="6"/>
    </row>
    <row r="10111" spans="1:1" ht="18.75" x14ac:dyDescent="0.25">
      <c r="A10111" s="6"/>
    </row>
    <row r="10112" spans="1:1" ht="18.75" x14ac:dyDescent="0.25">
      <c r="A10112" s="6"/>
    </row>
    <row r="10113" spans="1:1" ht="18.75" x14ac:dyDescent="0.25">
      <c r="A10113" s="6"/>
    </row>
    <row r="10114" spans="1:1" ht="18.75" x14ac:dyDescent="0.25">
      <c r="A10114" s="6"/>
    </row>
    <row r="10115" spans="1:1" ht="18.75" x14ac:dyDescent="0.25">
      <c r="A10115" s="6"/>
    </row>
    <row r="10116" spans="1:1" ht="18.75" x14ac:dyDescent="0.25">
      <c r="A10116" s="6"/>
    </row>
    <row r="10117" spans="1:1" ht="18.75" x14ac:dyDescent="0.25">
      <c r="A10117" s="6"/>
    </row>
    <row r="10118" spans="1:1" ht="18.75" x14ac:dyDescent="0.25">
      <c r="A10118" s="6"/>
    </row>
    <row r="10119" spans="1:1" ht="18.75" x14ac:dyDescent="0.25">
      <c r="A10119" s="6"/>
    </row>
    <row r="10120" spans="1:1" ht="18.75" x14ac:dyDescent="0.25">
      <c r="A10120" s="6"/>
    </row>
    <row r="10121" spans="1:1" ht="18.75" x14ac:dyDescent="0.25">
      <c r="A10121" s="6"/>
    </row>
    <row r="10122" spans="1:1" ht="18.75" x14ac:dyDescent="0.25">
      <c r="A10122" s="6"/>
    </row>
    <row r="10123" spans="1:1" ht="18.75" x14ac:dyDescent="0.25">
      <c r="A10123" s="6"/>
    </row>
    <row r="10124" spans="1:1" ht="18.75" x14ac:dyDescent="0.25">
      <c r="A10124" s="6"/>
    </row>
    <row r="10125" spans="1:1" ht="18.75" x14ac:dyDescent="0.25">
      <c r="A10125" s="6"/>
    </row>
    <row r="10126" spans="1:1" ht="18.75" x14ac:dyDescent="0.25">
      <c r="A10126" s="6"/>
    </row>
    <row r="10127" spans="1:1" ht="18.75" x14ac:dyDescent="0.25">
      <c r="A10127" s="6"/>
    </row>
    <row r="10128" spans="1:1" ht="18.75" x14ac:dyDescent="0.25">
      <c r="A10128" s="6"/>
    </row>
    <row r="10129" spans="1:1" ht="18.75" x14ac:dyDescent="0.25">
      <c r="A10129" s="6"/>
    </row>
    <row r="10130" spans="1:1" ht="18.75" x14ac:dyDescent="0.25">
      <c r="A10130" s="6"/>
    </row>
    <row r="10131" spans="1:1" ht="18.75" x14ac:dyDescent="0.25">
      <c r="A10131" s="6"/>
    </row>
    <row r="10132" spans="1:1" ht="18.75" x14ac:dyDescent="0.25">
      <c r="A10132" s="6"/>
    </row>
    <row r="10133" spans="1:1" ht="18.75" x14ac:dyDescent="0.25">
      <c r="A10133" s="6"/>
    </row>
    <row r="10134" spans="1:1" ht="18.75" x14ac:dyDescent="0.25">
      <c r="A10134" s="6"/>
    </row>
    <row r="10135" spans="1:1" ht="18.75" x14ac:dyDescent="0.25">
      <c r="A10135" s="6"/>
    </row>
    <row r="10136" spans="1:1" ht="18.75" x14ac:dyDescent="0.25">
      <c r="A10136" s="6"/>
    </row>
    <row r="10137" spans="1:1" ht="18.75" x14ac:dyDescent="0.25">
      <c r="A10137" s="6"/>
    </row>
    <row r="10138" spans="1:1" ht="18.75" x14ac:dyDescent="0.25">
      <c r="A10138" s="6"/>
    </row>
    <row r="10139" spans="1:1" ht="18.75" x14ac:dyDescent="0.25">
      <c r="A10139" s="6"/>
    </row>
    <row r="10140" spans="1:1" ht="18.75" x14ac:dyDescent="0.25">
      <c r="A10140" s="6"/>
    </row>
    <row r="10141" spans="1:1" ht="18.75" x14ac:dyDescent="0.25">
      <c r="A10141" s="6"/>
    </row>
    <row r="10142" spans="1:1" ht="18.75" x14ac:dyDescent="0.25">
      <c r="A10142" s="6"/>
    </row>
    <row r="10143" spans="1:1" ht="18.75" x14ac:dyDescent="0.25">
      <c r="A10143" s="6"/>
    </row>
    <row r="10144" spans="1:1" ht="18.75" x14ac:dyDescent="0.25">
      <c r="A10144" s="6"/>
    </row>
    <row r="10145" spans="1:1" ht="18.75" x14ac:dyDescent="0.25">
      <c r="A10145" s="6"/>
    </row>
    <row r="10146" spans="1:1" ht="18.75" x14ac:dyDescent="0.25">
      <c r="A10146" s="6"/>
    </row>
    <row r="10147" spans="1:1" ht="18.75" x14ac:dyDescent="0.25">
      <c r="A10147" s="6"/>
    </row>
    <row r="10148" spans="1:1" ht="18.75" x14ac:dyDescent="0.25">
      <c r="A10148" s="6"/>
    </row>
    <row r="10149" spans="1:1" ht="18.75" x14ac:dyDescent="0.25">
      <c r="A10149" s="6"/>
    </row>
    <row r="10150" spans="1:1" ht="18.75" x14ac:dyDescent="0.25">
      <c r="A10150" s="6"/>
    </row>
    <row r="10151" spans="1:1" ht="18.75" x14ac:dyDescent="0.25">
      <c r="A10151" s="6"/>
    </row>
    <row r="10152" spans="1:1" ht="18.75" x14ac:dyDescent="0.25">
      <c r="A10152" s="6"/>
    </row>
    <row r="10153" spans="1:1" ht="18.75" x14ac:dyDescent="0.25">
      <c r="A10153" s="6"/>
    </row>
    <row r="10154" spans="1:1" ht="18.75" x14ac:dyDescent="0.25">
      <c r="A10154" s="6"/>
    </row>
    <row r="10155" spans="1:1" ht="18.75" x14ac:dyDescent="0.25">
      <c r="A10155" s="6"/>
    </row>
    <row r="10156" spans="1:1" ht="18.75" x14ac:dyDescent="0.25">
      <c r="A10156" s="6"/>
    </row>
    <row r="10157" spans="1:1" ht="18.75" x14ac:dyDescent="0.25">
      <c r="A10157" s="6"/>
    </row>
    <row r="10158" spans="1:1" ht="18.75" x14ac:dyDescent="0.25">
      <c r="A10158" s="6"/>
    </row>
    <row r="10159" spans="1:1" ht="18.75" x14ac:dyDescent="0.25">
      <c r="A10159" s="6"/>
    </row>
    <row r="10160" spans="1:1" ht="18.75" x14ac:dyDescent="0.25">
      <c r="A10160" s="6"/>
    </row>
    <row r="10161" spans="1:1" ht="18.75" x14ac:dyDescent="0.25">
      <c r="A10161" s="6"/>
    </row>
    <row r="10162" spans="1:1" ht="18.75" x14ac:dyDescent="0.25">
      <c r="A10162" s="6"/>
    </row>
    <row r="10163" spans="1:1" ht="18.75" x14ac:dyDescent="0.25">
      <c r="A10163" s="6"/>
    </row>
    <row r="10164" spans="1:1" ht="18.75" x14ac:dyDescent="0.25">
      <c r="A10164" s="6"/>
    </row>
    <row r="10165" spans="1:1" ht="18.75" x14ac:dyDescent="0.25">
      <c r="A10165" s="6"/>
    </row>
    <row r="10166" spans="1:1" ht="18.75" x14ac:dyDescent="0.25">
      <c r="A10166" s="6"/>
    </row>
    <row r="10167" spans="1:1" ht="18.75" x14ac:dyDescent="0.25">
      <c r="A10167" s="6"/>
    </row>
    <row r="10168" spans="1:1" ht="18.75" x14ac:dyDescent="0.25">
      <c r="A10168" s="6"/>
    </row>
    <row r="10169" spans="1:1" ht="18.75" x14ac:dyDescent="0.25">
      <c r="A10169" s="6"/>
    </row>
    <row r="10170" spans="1:1" ht="18.75" x14ac:dyDescent="0.25">
      <c r="A10170" s="6"/>
    </row>
    <row r="10171" spans="1:1" ht="18.75" x14ac:dyDescent="0.25">
      <c r="A10171" s="6"/>
    </row>
    <row r="10172" spans="1:1" ht="18.75" x14ac:dyDescent="0.25">
      <c r="A10172" s="6"/>
    </row>
    <row r="10173" spans="1:1" ht="18.75" x14ac:dyDescent="0.25">
      <c r="A10173" s="6"/>
    </row>
    <row r="10174" spans="1:1" ht="18.75" x14ac:dyDescent="0.25">
      <c r="A10174" s="6"/>
    </row>
    <row r="10175" spans="1:1" ht="18.75" x14ac:dyDescent="0.25">
      <c r="A10175" s="6"/>
    </row>
    <row r="10176" spans="1:1" ht="18.75" x14ac:dyDescent="0.25">
      <c r="A10176" s="6"/>
    </row>
    <row r="10177" spans="1:1" ht="18.75" x14ac:dyDescent="0.25">
      <c r="A10177" s="6"/>
    </row>
    <row r="10178" spans="1:1" ht="18.75" x14ac:dyDescent="0.25">
      <c r="A10178" s="6"/>
    </row>
    <row r="10179" spans="1:1" ht="18.75" x14ac:dyDescent="0.25">
      <c r="A10179" s="6"/>
    </row>
    <row r="10180" spans="1:1" ht="18.75" x14ac:dyDescent="0.25">
      <c r="A10180" s="6"/>
    </row>
    <row r="10181" spans="1:1" ht="18.75" x14ac:dyDescent="0.25">
      <c r="A10181" s="6"/>
    </row>
    <row r="10182" spans="1:1" ht="18.75" x14ac:dyDescent="0.25">
      <c r="A10182" s="6"/>
    </row>
    <row r="10183" spans="1:1" ht="18.75" x14ac:dyDescent="0.25">
      <c r="A10183" s="6"/>
    </row>
    <row r="10184" spans="1:1" ht="18.75" x14ac:dyDescent="0.25">
      <c r="A10184" s="6"/>
    </row>
    <row r="10185" spans="1:1" ht="18.75" x14ac:dyDescent="0.25">
      <c r="A10185" s="6"/>
    </row>
    <row r="10186" spans="1:1" ht="18.75" x14ac:dyDescent="0.25">
      <c r="A10186" s="6"/>
    </row>
    <row r="10187" spans="1:1" ht="18.75" x14ac:dyDescent="0.25">
      <c r="A10187" s="6"/>
    </row>
    <row r="10188" spans="1:1" ht="18.75" x14ac:dyDescent="0.25">
      <c r="A10188" s="6"/>
    </row>
    <row r="10189" spans="1:1" ht="18.75" x14ac:dyDescent="0.25">
      <c r="A10189" s="6"/>
    </row>
    <row r="10190" spans="1:1" ht="18.75" x14ac:dyDescent="0.25">
      <c r="A10190" s="6"/>
    </row>
    <row r="10191" spans="1:1" ht="18.75" x14ac:dyDescent="0.25">
      <c r="A10191" s="6"/>
    </row>
    <row r="10192" spans="1:1" ht="18.75" x14ac:dyDescent="0.25">
      <c r="A10192" s="6"/>
    </row>
    <row r="10193" spans="1:1" ht="18.75" x14ac:dyDescent="0.25">
      <c r="A10193" s="6"/>
    </row>
    <row r="10194" spans="1:1" ht="18.75" x14ac:dyDescent="0.25">
      <c r="A10194" s="6"/>
    </row>
    <row r="10195" spans="1:1" ht="18.75" x14ac:dyDescent="0.25">
      <c r="A10195" s="6"/>
    </row>
    <row r="10196" spans="1:1" ht="18.75" x14ac:dyDescent="0.25">
      <c r="A10196" s="6"/>
    </row>
    <row r="10197" spans="1:1" ht="18.75" x14ac:dyDescent="0.25">
      <c r="A10197" s="6"/>
    </row>
    <row r="10198" spans="1:1" ht="18.75" x14ac:dyDescent="0.25">
      <c r="A10198" s="6"/>
    </row>
    <row r="10199" spans="1:1" ht="18.75" x14ac:dyDescent="0.25">
      <c r="A10199" s="6"/>
    </row>
    <row r="10200" spans="1:1" ht="18.75" x14ac:dyDescent="0.25">
      <c r="A10200" s="6"/>
    </row>
    <row r="10201" spans="1:1" ht="18.75" x14ac:dyDescent="0.25">
      <c r="A10201" s="6"/>
    </row>
    <row r="10202" spans="1:1" ht="18.75" x14ac:dyDescent="0.25">
      <c r="A10202" s="6"/>
    </row>
    <row r="10203" spans="1:1" ht="18.75" x14ac:dyDescent="0.25">
      <c r="A10203" s="6"/>
    </row>
    <row r="10204" spans="1:1" ht="18.75" x14ac:dyDescent="0.25">
      <c r="A10204" s="6"/>
    </row>
    <row r="10205" spans="1:1" ht="18.75" x14ac:dyDescent="0.25">
      <c r="A10205" s="6"/>
    </row>
    <row r="10206" spans="1:1" ht="18.75" x14ac:dyDescent="0.25">
      <c r="A10206" s="6"/>
    </row>
    <row r="10207" spans="1:1" ht="18.75" x14ac:dyDescent="0.25">
      <c r="A10207" s="6"/>
    </row>
    <row r="10208" spans="1:1" ht="18.75" x14ac:dyDescent="0.25">
      <c r="A10208" s="6"/>
    </row>
    <row r="10209" spans="1:1" ht="18.75" x14ac:dyDescent="0.25">
      <c r="A10209" s="6"/>
    </row>
    <row r="10210" spans="1:1" ht="18.75" x14ac:dyDescent="0.25">
      <c r="A10210" s="6"/>
    </row>
    <row r="10211" spans="1:1" ht="18.75" x14ac:dyDescent="0.25">
      <c r="A10211" s="6"/>
    </row>
    <row r="10212" spans="1:1" ht="18.75" x14ac:dyDescent="0.25">
      <c r="A10212" s="6"/>
    </row>
    <row r="10213" spans="1:1" ht="18.75" x14ac:dyDescent="0.25">
      <c r="A10213" s="6"/>
    </row>
    <row r="10214" spans="1:1" ht="18.75" x14ac:dyDescent="0.25">
      <c r="A10214" s="6"/>
    </row>
    <row r="10215" spans="1:1" ht="18.75" x14ac:dyDescent="0.25">
      <c r="A10215" s="6"/>
    </row>
    <row r="10216" spans="1:1" ht="18.75" x14ac:dyDescent="0.25">
      <c r="A10216" s="6"/>
    </row>
    <row r="10217" spans="1:1" ht="18.75" x14ac:dyDescent="0.25">
      <c r="A10217" s="6"/>
    </row>
    <row r="10218" spans="1:1" ht="18.75" x14ac:dyDescent="0.25">
      <c r="A10218" s="6"/>
    </row>
    <row r="10219" spans="1:1" ht="18.75" x14ac:dyDescent="0.25">
      <c r="A10219" s="6"/>
    </row>
    <row r="10220" spans="1:1" ht="18.75" x14ac:dyDescent="0.25">
      <c r="A10220" s="6"/>
    </row>
    <row r="10221" spans="1:1" ht="18.75" x14ac:dyDescent="0.25">
      <c r="A10221" s="6"/>
    </row>
    <row r="10222" spans="1:1" ht="18.75" x14ac:dyDescent="0.25">
      <c r="A10222" s="6"/>
    </row>
    <row r="10223" spans="1:1" ht="18.75" x14ac:dyDescent="0.25">
      <c r="A10223" s="6"/>
    </row>
    <row r="10224" spans="1:1" ht="18.75" x14ac:dyDescent="0.25">
      <c r="A10224" s="6"/>
    </row>
    <row r="10225" spans="1:1" ht="18.75" x14ac:dyDescent="0.25">
      <c r="A10225" s="6"/>
    </row>
    <row r="10226" spans="1:1" ht="18.75" x14ac:dyDescent="0.25">
      <c r="A10226" s="6"/>
    </row>
    <row r="10227" spans="1:1" ht="18.75" x14ac:dyDescent="0.25">
      <c r="A10227" s="6"/>
    </row>
    <row r="10228" spans="1:1" ht="18.75" x14ac:dyDescent="0.25">
      <c r="A10228" s="6"/>
    </row>
    <row r="10229" spans="1:1" ht="18.75" x14ac:dyDescent="0.25">
      <c r="A10229" s="6"/>
    </row>
    <row r="10230" spans="1:1" ht="18.75" x14ac:dyDescent="0.25">
      <c r="A10230" s="6"/>
    </row>
    <row r="10231" spans="1:1" ht="18.75" x14ac:dyDescent="0.25">
      <c r="A10231" s="6"/>
    </row>
    <row r="10232" spans="1:1" ht="18.75" x14ac:dyDescent="0.25">
      <c r="A10232" s="6"/>
    </row>
    <row r="10233" spans="1:1" ht="18.75" x14ac:dyDescent="0.25">
      <c r="A10233" s="6"/>
    </row>
    <row r="10234" spans="1:1" ht="18.75" x14ac:dyDescent="0.25">
      <c r="A10234" s="6"/>
    </row>
    <row r="10235" spans="1:1" ht="18.75" x14ac:dyDescent="0.25">
      <c r="A10235" s="6"/>
    </row>
    <row r="10236" spans="1:1" ht="18.75" x14ac:dyDescent="0.25">
      <c r="A10236" s="6"/>
    </row>
    <row r="10237" spans="1:1" ht="18.75" x14ac:dyDescent="0.25">
      <c r="A10237" s="6"/>
    </row>
    <row r="10238" spans="1:1" ht="18.75" x14ac:dyDescent="0.25">
      <c r="A10238" s="6"/>
    </row>
    <row r="10239" spans="1:1" ht="18.75" x14ac:dyDescent="0.25">
      <c r="A10239" s="6"/>
    </row>
    <row r="10240" spans="1:1" ht="18.75" x14ac:dyDescent="0.25">
      <c r="A10240" s="6"/>
    </row>
    <row r="10241" spans="1:1" ht="18.75" x14ac:dyDescent="0.25">
      <c r="A10241" s="6"/>
    </row>
    <row r="10242" spans="1:1" ht="18.75" x14ac:dyDescent="0.25">
      <c r="A10242" s="6"/>
    </row>
    <row r="10243" spans="1:1" ht="18.75" x14ac:dyDescent="0.25">
      <c r="A10243" s="6"/>
    </row>
    <row r="10244" spans="1:1" ht="18.75" x14ac:dyDescent="0.25">
      <c r="A10244" s="6"/>
    </row>
    <row r="10245" spans="1:1" ht="18.75" x14ac:dyDescent="0.25">
      <c r="A10245" s="6"/>
    </row>
    <row r="10246" spans="1:1" ht="18.75" x14ac:dyDescent="0.25">
      <c r="A10246" s="6"/>
    </row>
    <row r="10247" spans="1:1" ht="18.75" x14ac:dyDescent="0.25">
      <c r="A10247" s="6"/>
    </row>
    <row r="10248" spans="1:1" ht="18.75" x14ac:dyDescent="0.25">
      <c r="A10248" s="6"/>
    </row>
    <row r="10249" spans="1:1" ht="18.75" x14ac:dyDescent="0.25">
      <c r="A10249" s="6"/>
    </row>
    <row r="10250" spans="1:1" ht="18.75" x14ac:dyDescent="0.25">
      <c r="A10250" s="6"/>
    </row>
    <row r="10251" spans="1:1" ht="18.75" x14ac:dyDescent="0.25">
      <c r="A10251" s="6"/>
    </row>
    <row r="10252" spans="1:1" ht="18.75" x14ac:dyDescent="0.25">
      <c r="A10252" s="6"/>
    </row>
    <row r="10253" spans="1:1" ht="18.75" x14ac:dyDescent="0.25">
      <c r="A10253" s="6"/>
    </row>
    <row r="10254" spans="1:1" ht="18.75" x14ac:dyDescent="0.25">
      <c r="A10254" s="6"/>
    </row>
    <row r="10255" spans="1:1" ht="18.75" x14ac:dyDescent="0.25">
      <c r="A10255" s="6"/>
    </row>
    <row r="10256" spans="1:1" ht="18.75" x14ac:dyDescent="0.25">
      <c r="A10256" s="6"/>
    </row>
    <row r="10257" spans="1:1" ht="18.75" x14ac:dyDescent="0.25">
      <c r="A10257" s="6"/>
    </row>
    <row r="10258" spans="1:1" ht="18.75" x14ac:dyDescent="0.25">
      <c r="A10258" s="6"/>
    </row>
    <row r="10259" spans="1:1" ht="18.75" x14ac:dyDescent="0.25">
      <c r="A10259" s="6"/>
    </row>
    <row r="10260" spans="1:1" ht="18.75" x14ac:dyDescent="0.25">
      <c r="A10260" s="6"/>
    </row>
    <row r="10261" spans="1:1" ht="18.75" x14ac:dyDescent="0.25">
      <c r="A10261" s="6"/>
    </row>
    <row r="10262" spans="1:1" ht="18.75" x14ac:dyDescent="0.25">
      <c r="A10262" s="6"/>
    </row>
    <row r="10263" spans="1:1" ht="18.75" x14ac:dyDescent="0.25">
      <c r="A10263" s="6"/>
    </row>
    <row r="10264" spans="1:1" ht="18.75" x14ac:dyDescent="0.25">
      <c r="A10264" s="6"/>
    </row>
    <row r="10265" spans="1:1" ht="18.75" x14ac:dyDescent="0.25">
      <c r="A10265" s="6"/>
    </row>
    <row r="10266" spans="1:1" ht="18.75" x14ac:dyDescent="0.25">
      <c r="A10266" s="6"/>
    </row>
    <row r="10267" spans="1:1" ht="18.75" x14ac:dyDescent="0.25">
      <c r="A10267" s="6"/>
    </row>
    <row r="10268" spans="1:1" ht="18.75" x14ac:dyDescent="0.25">
      <c r="A10268" s="6"/>
    </row>
    <row r="10269" spans="1:1" ht="18.75" x14ac:dyDescent="0.25">
      <c r="A10269" s="6"/>
    </row>
    <row r="10270" spans="1:1" ht="18.75" x14ac:dyDescent="0.25">
      <c r="A10270" s="6"/>
    </row>
    <row r="10271" spans="1:1" ht="18.75" x14ac:dyDescent="0.25">
      <c r="A10271" s="6"/>
    </row>
    <row r="10272" spans="1:1" ht="18.75" x14ac:dyDescent="0.25">
      <c r="A10272" s="6"/>
    </row>
    <row r="10273" spans="1:1" ht="18.75" x14ac:dyDescent="0.25">
      <c r="A10273" s="6"/>
    </row>
    <row r="10274" spans="1:1" ht="18.75" x14ac:dyDescent="0.25">
      <c r="A10274" s="6"/>
    </row>
    <row r="10275" spans="1:1" ht="18.75" x14ac:dyDescent="0.25">
      <c r="A10275" s="6"/>
    </row>
    <row r="10276" spans="1:1" ht="18.75" x14ac:dyDescent="0.25">
      <c r="A10276" s="6"/>
    </row>
    <row r="10277" spans="1:1" ht="18.75" x14ac:dyDescent="0.25">
      <c r="A10277" s="6"/>
    </row>
    <row r="10278" spans="1:1" ht="18.75" x14ac:dyDescent="0.25">
      <c r="A10278" s="6"/>
    </row>
    <row r="10279" spans="1:1" ht="18.75" x14ac:dyDescent="0.25">
      <c r="A10279" s="6"/>
    </row>
    <row r="10280" spans="1:1" ht="18.75" x14ac:dyDescent="0.25">
      <c r="A10280" s="6"/>
    </row>
    <row r="10281" spans="1:1" ht="18.75" x14ac:dyDescent="0.25">
      <c r="A10281" s="6"/>
    </row>
    <row r="10282" spans="1:1" ht="18.75" x14ac:dyDescent="0.25">
      <c r="A10282" s="6"/>
    </row>
    <row r="10283" spans="1:1" ht="18.75" x14ac:dyDescent="0.25">
      <c r="A10283" s="6"/>
    </row>
    <row r="10284" spans="1:1" ht="18.75" x14ac:dyDescent="0.25">
      <c r="A10284" s="6"/>
    </row>
    <row r="10285" spans="1:1" ht="18.75" x14ac:dyDescent="0.25">
      <c r="A10285" s="6"/>
    </row>
    <row r="10286" spans="1:1" ht="18.75" x14ac:dyDescent="0.25">
      <c r="A10286" s="6"/>
    </row>
    <row r="10287" spans="1:1" ht="18.75" x14ac:dyDescent="0.25">
      <c r="A10287" s="6"/>
    </row>
    <row r="10288" spans="1:1" ht="18.75" x14ac:dyDescent="0.25">
      <c r="A10288" s="6"/>
    </row>
    <row r="10289" spans="1:1" ht="18.75" x14ac:dyDescent="0.25">
      <c r="A10289" s="6"/>
    </row>
    <row r="10290" spans="1:1" ht="18.75" x14ac:dyDescent="0.25">
      <c r="A10290" s="6"/>
    </row>
    <row r="10291" spans="1:1" ht="18.75" x14ac:dyDescent="0.25">
      <c r="A10291" s="6"/>
    </row>
    <row r="10292" spans="1:1" ht="18.75" x14ac:dyDescent="0.25">
      <c r="A10292" s="6"/>
    </row>
    <row r="10293" spans="1:1" ht="18.75" x14ac:dyDescent="0.25">
      <c r="A10293" s="6"/>
    </row>
    <row r="10294" spans="1:1" ht="18.75" x14ac:dyDescent="0.25">
      <c r="A10294" s="6"/>
    </row>
    <row r="10295" spans="1:1" ht="18.75" x14ac:dyDescent="0.25">
      <c r="A10295" s="6"/>
    </row>
    <row r="10296" spans="1:1" ht="18.75" x14ac:dyDescent="0.25">
      <c r="A10296" s="6"/>
    </row>
    <row r="10297" spans="1:1" ht="18.75" x14ac:dyDescent="0.25">
      <c r="A10297" s="6"/>
    </row>
    <row r="10298" spans="1:1" ht="18.75" x14ac:dyDescent="0.25">
      <c r="A10298" s="6"/>
    </row>
    <row r="10299" spans="1:1" ht="18.75" x14ac:dyDescent="0.25">
      <c r="A10299" s="6"/>
    </row>
    <row r="10300" spans="1:1" ht="18.75" x14ac:dyDescent="0.25">
      <c r="A10300" s="6"/>
    </row>
    <row r="10301" spans="1:1" ht="18.75" x14ac:dyDescent="0.25">
      <c r="A10301" s="6"/>
    </row>
    <row r="10302" spans="1:1" ht="18.75" x14ac:dyDescent="0.25">
      <c r="A10302" s="6"/>
    </row>
    <row r="10303" spans="1:1" ht="18.75" x14ac:dyDescent="0.25">
      <c r="A10303" s="6"/>
    </row>
    <row r="10304" spans="1:1" ht="18.75" x14ac:dyDescent="0.25">
      <c r="A10304" s="6"/>
    </row>
    <row r="10305" spans="1:1" ht="18.75" x14ac:dyDescent="0.25">
      <c r="A10305" s="6"/>
    </row>
    <row r="10306" spans="1:1" ht="18.75" x14ac:dyDescent="0.25">
      <c r="A10306" s="6"/>
    </row>
    <row r="10307" spans="1:1" ht="18.75" x14ac:dyDescent="0.25">
      <c r="A10307" s="6"/>
    </row>
    <row r="10308" spans="1:1" ht="18.75" x14ac:dyDescent="0.25">
      <c r="A10308" s="6"/>
    </row>
    <row r="10309" spans="1:1" ht="18.75" x14ac:dyDescent="0.25">
      <c r="A10309" s="6"/>
    </row>
    <row r="10310" spans="1:1" ht="18.75" x14ac:dyDescent="0.25">
      <c r="A10310" s="6"/>
    </row>
    <row r="10311" spans="1:1" ht="18.75" x14ac:dyDescent="0.25">
      <c r="A10311" s="6"/>
    </row>
    <row r="10312" spans="1:1" ht="18.75" x14ac:dyDescent="0.25">
      <c r="A10312" s="6"/>
    </row>
    <row r="10313" spans="1:1" ht="18.75" x14ac:dyDescent="0.25">
      <c r="A10313" s="6"/>
    </row>
    <row r="10314" spans="1:1" ht="18.75" x14ac:dyDescent="0.25">
      <c r="A10314" s="6"/>
    </row>
    <row r="10315" spans="1:1" ht="18.75" x14ac:dyDescent="0.25">
      <c r="A10315" s="6"/>
    </row>
    <row r="10316" spans="1:1" ht="18.75" x14ac:dyDescent="0.25">
      <c r="A10316" s="6"/>
    </row>
    <row r="10317" spans="1:1" ht="18.75" x14ac:dyDescent="0.25">
      <c r="A10317" s="6"/>
    </row>
    <row r="10318" spans="1:1" ht="18.75" x14ac:dyDescent="0.25">
      <c r="A10318" s="6"/>
    </row>
    <row r="10319" spans="1:1" ht="18.75" x14ac:dyDescent="0.25">
      <c r="A10319" s="6"/>
    </row>
    <row r="10320" spans="1:1" ht="18.75" x14ac:dyDescent="0.25">
      <c r="A10320" s="6"/>
    </row>
    <row r="10321" spans="1:1" ht="18.75" x14ac:dyDescent="0.25">
      <c r="A10321" s="6"/>
    </row>
    <row r="10322" spans="1:1" ht="18.75" x14ac:dyDescent="0.25">
      <c r="A10322" s="6"/>
    </row>
    <row r="10323" spans="1:1" ht="18.75" x14ac:dyDescent="0.25">
      <c r="A10323" s="6"/>
    </row>
    <row r="10324" spans="1:1" ht="18.75" x14ac:dyDescent="0.25">
      <c r="A10324" s="6"/>
    </row>
    <row r="10325" spans="1:1" ht="18.75" x14ac:dyDescent="0.25">
      <c r="A10325" s="6"/>
    </row>
    <row r="10326" spans="1:1" ht="18.75" x14ac:dyDescent="0.25">
      <c r="A10326" s="6"/>
    </row>
    <row r="10327" spans="1:1" ht="18.75" x14ac:dyDescent="0.25">
      <c r="A10327" s="6"/>
    </row>
    <row r="10328" spans="1:1" ht="18.75" x14ac:dyDescent="0.25">
      <c r="A10328" s="6"/>
    </row>
    <row r="10329" spans="1:1" ht="18.75" x14ac:dyDescent="0.25">
      <c r="A10329" s="6"/>
    </row>
    <row r="10330" spans="1:1" ht="18.75" x14ac:dyDescent="0.25">
      <c r="A10330" s="6"/>
    </row>
    <row r="10331" spans="1:1" ht="18.75" x14ac:dyDescent="0.25">
      <c r="A10331" s="6"/>
    </row>
    <row r="10332" spans="1:1" ht="18.75" x14ac:dyDescent="0.25">
      <c r="A10332" s="6"/>
    </row>
    <row r="10333" spans="1:1" ht="18.75" x14ac:dyDescent="0.25">
      <c r="A10333" s="6"/>
    </row>
    <row r="10334" spans="1:1" ht="18.75" x14ac:dyDescent="0.25">
      <c r="A10334" s="6"/>
    </row>
    <row r="10335" spans="1:1" ht="18.75" x14ac:dyDescent="0.25">
      <c r="A10335" s="6"/>
    </row>
    <row r="10336" spans="1:1" ht="18.75" x14ac:dyDescent="0.25">
      <c r="A10336" s="6"/>
    </row>
    <row r="10337" spans="1:1" ht="18.75" x14ac:dyDescent="0.25">
      <c r="A10337" s="6"/>
    </row>
    <row r="10338" spans="1:1" ht="18.75" x14ac:dyDescent="0.25">
      <c r="A10338" s="6"/>
    </row>
    <row r="10339" spans="1:1" ht="18.75" x14ac:dyDescent="0.25">
      <c r="A10339" s="6"/>
    </row>
    <row r="10340" spans="1:1" ht="18.75" x14ac:dyDescent="0.25">
      <c r="A10340" s="6"/>
    </row>
    <row r="10341" spans="1:1" ht="18.75" x14ac:dyDescent="0.25">
      <c r="A10341" s="6"/>
    </row>
    <row r="10342" spans="1:1" ht="18.75" x14ac:dyDescent="0.25">
      <c r="A10342" s="6"/>
    </row>
    <row r="10343" spans="1:1" ht="18.75" x14ac:dyDescent="0.25">
      <c r="A10343" s="6"/>
    </row>
    <row r="10344" spans="1:1" ht="18.75" x14ac:dyDescent="0.25">
      <c r="A10344" s="6"/>
    </row>
    <row r="10345" spans="1:1" ht="18.75" x14ac:dyDescent="0.25">
      <c r="A10345" s="6"/>
    </row>
    <row r="10346" spans="1:1" ht="18.75" x14ac:dyDescent="0.25">
      <c r="A10346" s="6"/>
    </row>
    <row r="10347" spans="1:1" ht="18.75" x14ac:dyDescent="0.25">
      <c r="A10347" s="6"/>
    </row>
    <row r="10348" spans="1:1" ht="18.75" x14ac:dyDescent="0.25">
      <c r="A10348" s="6"/>
    </row>
    <row r="10349" spans="1:1" ht="18.75" x14ac:dyDescent="0.25">
      <c r="A10349" s="6"/>
    </row>
    <row r="10350" spans="1:1" ht="18.75" x14ac:dyDescent="0.25">
      <c r="A10350" s="6"/>
    </row>
    <row r="10351" spans="1:1" ht="18.75" x14ac:dyDescent="0.25">
      <c r="A10351" s="6"/>
    </row>
    <row r="10352" spans="1:1" ht="18.75" x14ac:dyDescent="0.25">
      <c r="A10352" s="6"/>
    </row>
    <row r="10353" spans="1:1" ht="18.75" x14ac:dyDescent="0.25">
      <c r="A10353" s="6"/>
    </row>
    <row r="10354" spans="1:1" ht="18.75" x14ac:dyDescent="0.25">
      <c r="A10354" s="6"/>
    </row>
    <row r="10355" spans="1:1" ht="18.75" x14ac:dyDescent="0.25">
      <c r="A10355" s="6"/>
    </row>
    <row r="10356" spans="1:1" ht="18.75" x14ac:dyDescent="0.25">
      <c r="A10356" s="6"/>
    </row>
    <row r="10357" spans="1:1" ht="18.75" x14ac:dyDescent="0.25">
      <c r="A10357" s="6"/>
    </row>
    <row r="10358" spans="1:1" ht="18.75" x14ac:dyDescent="0.25">
      <c r="A10358" s="6"/>
    </row>
    <row r="10359" spans="1:1" ht="18.75" x14ac:dyDescent="0.25">
      <c r="A10359" s="6"/>
    </row>
    <row r="10360" spans="1:1" ht="18.75" x14ac:dyDescent="0.25">
      <c r="A10360" s="6"/>
    </row>
    <row r="10361" spans="1:1" ht="18.75" x14ac:dyDescent="0.25">
      <c r="A10361" s="6"/>
    </row>
    <row r="10362" spans="1:1" ht="18.75" x14ac:dyDescent="0.25">
      <c r="A10362" s="6"/>
    </row>
    <row r="10363" spans="1:1" ht="18.75" x14ac:dyDescent="0.25">
      <c r="A10363" s="6"/>
    </row>
    <row r="10364" spans="1:1" ht="18.75" x14ac:dyDescent="0.25">
      <c r="A10364" s="6"/>
    </row>
    <row r="10365" spans="1:1" ht="18.75" x14ac:dyDescent="0.25">
      <c r="A10365" s="6"/>
    </row>
    <row r="10366" spans="1:1" ht="18.75" x14ac:dyDescent="0.25">
      <c r="A10366" s="6"/>
    </row>
    <row r="10367" spans="1:1" ht="18.75" x14ac:dyDescent="0.25">
      <c r="A10367" s="6"/>
    </row>
    <row r="10368" spans="1:1" ht="18.75" x14ac:dyDescent="0.25">
      <c r="A10368" s="6"/>
    </row>
    <row r="10369" spans="1:1" ht="18.75" x14ac:dyDescent="0.25">
      <c r="A10369" s="6"/>
    </row>
    <row r="10370" spans="1:1" ht="18.75" x14ac:dyDescent="0.25">
      <c r="A10370" s="6"/>
    </row>
    <row r="10371" spans="1:1" ht="18.75" x14ac:dyDescent="0.25">
      <c r="A10371" s="6"/>
    </row>
    <row r="10372" spans="1:1" ht="18.75" x14ac:dyDescent="0.25">
      <c r="A10372" s="6"/>
    </row>
    <row r="10373" spans="1:1" ht="18.75" x14ac:dyDescent="0.25">
      <c r="A10373" s="6"/>
    </row>
    <row r="10374" spans="1:1" ht="18.75" x14ac:dyDescent="0.25">
      <c r="A10374" s="6"/>
    </row>
    <row r="10375" spans="1:1" ht="18.75" x14ac:dyDescent="0.25">
      <c r="A10375" s="6"/>
    </row>
    <row r="10376" spans="1:1" ht="18.75" x14ac:dyDescent="0.25">
      <c r="A10376" s="6"/>
    </row>
    <row r="10377" spans="1:1" ht="18.75" x14ac:dyDescent="0.25">
      <c r="A10377" s="6"/>
    </row>
    <row r="10378" spans="1:1" ht="18.75" x14ac:dyDescent="0.25">
      <c r="A10378" s="6"/>
    </row>
    <row r="10379" spans="1:1" ht="18.75" x14ac:dyDescent="0.25">
      <c r="A10379" s="6"/>
    </row>
    <row r="10380" spans="1:1" ht="18.75" x14ac:dyDescent="0.25">
      <c r="A10380" s="6"/>
    </row>
    <row r="10381" spans="1:1" ht="18.75" x14ac:dyDescent="0.25">
      <c r="A10381" s="6"/>
    </row>
    <row r="10382" spans="1:1" ht="18.75" x14ac:dyDescent="0.25">
      <c r="A10382" s="6"/>
    </row>
    <row r="10383" spans="1:1" ht="18.75" x14ac:dyDescent="0.25">
      <c r="A10383" s="6"/>
    </row>
    <row r="10384" spans="1:1" ht="18.75" x14ac:dyDescent="0.25">
      <c r="A10384" s="6"/>
    </row>
    <row r="10385" spans="1:1" ht="18.75" x14ac:dyDescent="0.25">
      <c r="A10385" s="6"/>
    </row>
    <row r="10386" spans="1:1" ht="18.75" x14ac:dyDescent="0.25">
      <c r="A10386" s="6"/>
    </row>
    <row r="10387" spans="1:1" ht="18.75" x14ac:dyDescent="0.25">
      <c r="A10387" s="6"/>
    </row>
    <row r="10388" spans="1:1" ht="18.75" x14ac:dyDescent="0.25">
      <c r="A10388" s="6"/>
    </row>
    <row r="10389" spans="1:1" ht="18.75" x14ac:dyDescent="0.25">
      <c r="A10389" s="6"/>
    </row>
    <row r="10390" spans="1:1" ht="18.75" x14ac:dyDescent="0.25">
      <c r="A10390" s="6"/>
    </row>
    <row r="10391" spans="1:1" ht="18.75" x14ac:dyDescent="0.25">
      <c r="A10391" s="6"/>
    </row>
    <row r="10392" spans="1:1" ht="18.75" x14ac:dyDescent="0.25">
      <c r="A10392" s="6"/>
    </row>
    <row r="10393" spans="1:1" ht="18.75" x14ac:dyDescent="0.25">
      <c r="A10393" s="6"/>
    </row>
    <row r="10394" spans="1:1" ht="18.75" x14ac:dyDescent="0.25">
      <c r="A10394" s="6"/>
    </row>
    <row r="10395" spans="1:1" ht="18.75" x14ac:dyDescent="0.25">
      <c r="A10395" s="6"/>
    </row>
    <row r="10396" spans="1:1" ht="18.75" x14ac:dyDescent="0.25">
      <c r="A10396" s="6"/>
    </row>
    <row r="10397" spans="1:1" ht="18.75" x14ac:dyDescent="0.25">
      <c r="A10397" s="6"/>
    </row>
    <row r="10398" spans="1:1" ht="18.75" x14ac:dyDescent="0.25">
      <c r="A10398" s="6"/>
    </row>
    <row r="10399" spans="1:1" ht="18.75" x14ac:dyDescent="0.25">
      <c r="A10399" s="6"/>
    </row>
    <row r="10400" spans="1:1" ht="18.75" x14ac:dyDescent="0.25">
      <c r="A10400" s="6"/>
    </row>
    <row r="10401" spans="1:1" ht="18.75" x14ac:dyDescent="0.25">
      <c r="A10401" s="6"/>
    </row>
    <row r="10402" spans="1:1" ht="18.75" x14ac:dyDescent="0.25">
      <c r="A10402" s="6"/>
    </row>
    <row r="10403" spans="1:1" ht="18.75" x14ac:dyDescent="0.25">
      <c r="A10403" s="6"/>
    </row>
    <row r="10404" spans="1:1" ht="18.75" x14ac:dyDescent="0.25">
      <c r="A10404" s="6"/>
    </row>
    <row r="10405" spans="1:1" ht="18.75" x14ac:dyDescent="0.25">
      <c r="A10405" s="6"/>
    </row>
    <row r="10406" spans="1:1" ht="18.75" x14ac:dyDescent="0.25">
      <c r="A10406" s="6"/>
    </row>
    <row r="10407" spans="1:1" ht="18.75" x14ac:dyDescent="0.25">
      <c r="A10407" s="6"/>
    </row>
    <row r="10408" spans="1:1" ht="18.75" x14ac:dyDescent="0.25">
      <c r="A10408" s="6"/>
    </row>
    <row r="10409" spans="1:1" ht="18.75" x14ac:dyDescent="0.25">
      <c r="A10409" s="6"/>
    </row>
    <row r="10410" spans="1:1" ht="18.75" x14ac:dyDescent="0.25">
      <c r="A10410" s="6"/>
    </row>
    <row r="10411" spans="1:1" ht="18.75" x14ac:dyDescent="0.25">
      <c r="A10411" s="6"/>
    </row>
    <row r="10412" spans="1:1" ht="18.75" x14ac:dyDescent="0.25">
      <c r="A10412" s="6"/>
    </row>
    <row r="10413" spans="1:1" ht="18.75" x14ac:dyDescent="0.25">
      <c r="A10413" s="6"/>
    </row>
    <row r="10414" spans="1:1" ht="18.75" x14ac:dyDescent="0.25">
      <c r="A10414" s="6"/>
    </row>
    <row r="10415" spans="1:1" ht="18.75" x14ac:dyDescent="0.25">
      <c r="A10415" s="6"/>
    </row>
    <row r="10416" spans="1:1" ht="18.75" x14ac:dyDescent="0.25">
      <c r="A10416" s="6"/>
    </row>
    <row r="10417" spans="1:1" ht="18.75" x14ac:dyDescent="0.25">
      <c r="A10417" s="6"/>
    </row>
    <row r="10418" spans="1:1" ht="18.75" x14ac:dyDescent="0.25">
      <c r="A10418" s="6"/>
    </row>
    <row r="10419" spans="1:1" ht="18.75" x14ac:dyDescent="0.25">
      <c r="A10419" s="6"/>
    </row>
    <row r="10420" spans="1:1" ht="18.75" x14ac:dyDescent="0.25">
      <c r="A10420" s="6"/>
    </row>
    <row r="10421" spans="1:1" ht="18.75" x14ac:dyDescent="0.25">
      <c r="A10421" s="6"/>
    </row>
    <row r="10422" spans="1:1" ht="18.75" x14ac:dyDescent="0.25">
      <c r="A10422" s="6"/>
    </row>
    <row r="10423" spans="1:1" ht="18.75" x14ac:dyDescent="0.25">
      <c r="A10423" s="6"/>
    </row>
    <row r="10424" spans="1:1" ht="18.75" x14ac:dyDescent="0.25">
      <c r="A10424" s="6"/>
    </row>
    <row r="10425" spans="1:1" ht="18.75" x14ac:dyDescent="0.25">
      <c r="A10425" s="6"/>
    </row>
    <row r="10426" spans="1:1" ht="18.75" x14ac:dyDescent="0.25">
      <c r="A10426" s="6"/>
    </row>
    <row r="10427" spans="1:1" ht="18.75" x14ac:dyDescent="0.25">
      <c r="A10427" s="6"/>
    </row>
    <row r="10428" spans="1:1" ht="18.75" x14ac:dyDescent="0.25">
      <c r="A10428" s="6"/>
    </row>
    <row r="10429" spans="1:1" ht="18.75" x14ac:dyDescent="0.25">
      <c r="A10429" s="6"/>
    </row>
    <row r="10430" spans="1:1" ht="18.75" x14ac:dyDescent="0.25">
      <c r="A10430" s="6"/>
    </row>
    <row r="10431" spans="1:1" ht="18.75" x14ac:dyDescent="0.25">
      <c r="A10431" s="6"/>
    </row>
    <row r="10432" spans="1:1" ht="18.75" x14ac:dyDescent="0.25">
      <c r="A10432" s="6"/>
    </row>
    <row r="10433" spans="1:1" ht="18.75" x14ac:dyDescent="0.25">
      <c r="A10433" s="6"/>
    </row>
    <row r="10434" spans="1:1" ht="18.75" x14ac:dyDescent="0.25">
      <c r="A10434" s="6"/>
    </row>
    <row r="10435" spans="1:1" ht="18.75" x14ac:dyDescent="0.25">
      <c r="A10435" s="6"/>
    </row>
    <row r="10436" spans="1:1" ht="18.75" x14ac:dyDescent="0.25">
      <c r="A10436" s="6"/>
    </row>
    <row r="10437" spans="1:1" ht="18.75" x14ac:dyDescent="0.25">
      <c r="A10437" s="6"/>
    </row>
    <row r="10438" spans="1:1" ht="18.75" x14ac:dyDescent="0.25">
      <c r="A10438" s="6"/>
    </row>
    <row r="10439" spans="1:1" ht="18.75" x14ac:dyDescent="0.25">
      <c r="A10439" s="6"/>
    </row>
    <row r="10440" spans="1:1" ht="18.75" x14ac:dyDescent="0.25">
      <c r="A10440" s="6"/>
    </row>
    <row r="10441" spans="1:1" ht="18.75" x14ac:dyDescent="0.25">
      <c r="A10441" s="6"/>
    </row>
    <row r="10442" spans="1:1" ht="18.75" x14ac:dyDescent="0.25">
      <c r="A10442" s="6"/>
    </row>
    <row r="10443" spans="1:1" ht="18.75" x14ac:dyDescent="0.25">
      <c r="A10443" s="6"/>
    </row>
    <row r="10444" spans="1:1" ht="18.75" x14ac:dyDescent="0.25">
      <c r="A10444" s="6"/>
    </row>
    <row r="10445" spans="1:1" ht="18.75" x14ac:dyDescent="0.25">
      <c r="A10445" s="6"/>
    </row>
    <row r="10446" spans="1:1" ht="18.75" x14ac:dyDescent="0.25">
      <c r="A10446" s="6"/>
    </row>
    <row r="10447" spans="1:1" ht="18.75" x14ac:dyDescent="0.25">
      <c r="A10447" s="6"/>
    </row>
    <row r="10448" spans="1:1" ht="18.75" x14ac:dyDescent="0.25">
      <c r="A10448" s="6"/>
    </row>
    <row r="10449" spans="1:1" ht="18.75" x14ac:dyDescent="0.25">
      <c r="A10449" s="6"/>
    </row>
    <row r="10450" spans="1:1" ht="18.75" x14ac:dyDescent="0.25">
      <c r="A10450" s="6"/>
    </row>
    <row r="10451" spans="1:1" ht="18.75" x14ac:dyDescent="0.25">
      <c r="A10451" s="6"/>
    </row>
    <row r="10452" spans="1:1" ht="18.75" x14ac:dyDescent="0.25">
      <c r="A10452" s="6"/>
    </row>
    <row r="10453" spans="1:1" ht="18.75" x14ac:dyDescent="0.25">
      <c r="A10453" s="6"/>
    </row>
    <row r="10454" spans="1:1" ht="18.75" x14ac:dyDescent="0.25">
      <c r="A10454" s="6"/>
    </row>
    <row r="10455" spans="1:1" ht="18.75" x14ac:dyDescent="0.25">
      <c r="A10455" s="6"/>
    </row>
    <row r="10456" spans="1:1" ht="18.75" x14ac:dyDescent="0.25">
      <c r="A10456" s="6"/>
    </row>
    <row r="10457" spans="1:1" ht="18.75" x14ac:dyDescent="0.25">
      <c r="A10457" s="6"/>
    </row>
    <row r="10458" spans="1:1" ht="18.75" x14ac:dyDescent="0.25">
      <c r="A10458" s="6"/>
    </row>
    <row r="10459" spans="1:1" ht="18.75" x14ac:dyDescent="0.25">
      <c r="A10459" s="6"/>
    </row>
    <row r="10460" spans="1:1" ht="18.75" x14ac:dyDescent="0.25">
      <c r="A10460" s="6"/>
    </row>
    <row r="10461" spans="1:1" ht="18.75" x14ac:dyDescent="0.25">
      <c r="A10461" s="6"/>
    </row>
    <row r="10462" spans="1:1" ht="18.75" x14ac:dyDescent="0.25">
      <c r="A10462" s="6"/>
    </row>
    <row r="10463" spans="1:1" ht="18.75" x14ac:dyDescent="0.25">
      <c r="A10463" s="6"/>
    </row>
    <row r="10464" spans="1:1" ht="18.75" x14ac:dyDescent="0.25">
      <c r="A10464" s="6"/>
    </row>
    <row r="10465" spans="1:1" ht="18.75" x14ac:dyDescent="0.25">
      <c r="A10465" s="6"/>
    </row>
    <row r="10466" spans="1:1" ht="18.75" x14ac:dyDescent="0.25">
      <c r="A10466" s="6"/>
    </row>
    <row r="10467" spans="1:1" ht="18.75" x14ac:dyDescent="0.25">
      <c r="A10467" s="6"/>
    </row>
    <row r="10468" spans="1:1" ht="18.75" x14ac:dyDescent="0.25">
      <c r="A10468" s="6"/>
    </row>
    <row r="10469" spans="1:1" ht="18.75" x14ac:dyDescent="0.25">
      <c r="A10469" s="6"/>
    </row>
    <row r="10470" spans="1:1" ht="18.75" x14ac:dyDescent="0.25">
      <c r="A10470" s="6"/>
    </row>
    <row r="10471" spans="1:1" ht="18.75" x14ac:dyDescent="0.25">
      <c r="A10471" s="6"/>
    </row>
    <row r="10472" spans="1:1" ht="18.75" x14ac:dyDescent="0.25">
      <c r="A10472" s="6"/>
    </row>
    <row r="10473" spans="1:1" ht="18.75" x14ac:dyDescent="0.25">
      <c r="A10473" s="6"/>
    </row>
    <row r="10474" spans="1:1" ht="18.75" x14ac:dyDescent="0.25">
      <c r="A10474" s="6"/>
    </row>
    <row r="10475" spans="1:1" ht="18.75" x14ac:dyDescent="0.25">
      <c r="A10475" s="6"/>
    </row>
    <row r="10476" spans="1:1" ht="18.75" x14ac:dyDescent="0.25">
      <c r="A10476" s="6"/>
    </row>
    <row r="10477" spans="1:1" ht="18.75" x14ac:dyDescent="0.25">
      <c r="A10477" s="6"/>
    </row>
    <row r="10478" spans="1:1" ht="18.75" x14ac:dyDescent="0.25">
      <c r="A10478" s="6"/>
    </row>
    <row r="10479" spans="1:1" ht="18.75" x14ac:dyDescent="0.25">
      <c r="A10479" s="6"/>
    </row>
    <row r="10480" spans="1:1" ht="18.75" x14ac:dyDescent="0.25">
      <c r="A10480" s="6"/>
    </row>
    <row r="10481" spans="1:1" ht="18.75" x14ac:dyDescent="0.25">
      <c r="A10481" s="6"/>
    </row>
    <row r="10482" spans="1:1" ht="18.75" x14ac:dyDescent="0.25">
      <c r="A10482" s="6"/>
    </row>
    <row r="10483" spans="1:1" ht="18.75" x14ac:dyDescent="0.25">
      <c r="A10483" s="6"/>
    </row>
    <row r="10484" spans="1:1" ht="18.75" x14ac:dyDescent="0.25">
      <c r="A10484" s="6"/>
    </row>
    <row r="10485" spans="1:1" ht="18.75" x14ac:dyDescent="0.25">
      <c r="A10485" s="6"/>
    </row>
    <row r="10486" spans="1:1" ht="18.75" x14ac:dyDescent="0.25">
      <c r="A10486" s="6"/>
    </row>
    <row r="10487" spans="1:1" ht="18.75" x14ac:dyDescent="0.25">
      <c r="A10487" s="6"/>
    </row>
    <row r="10488" spans="1:1" ht="18.75" x14ac:dyDescent="0.25">
      <c r="A10488" s="6"/>
    </row>
    <row r="10489" spans="1:1" ht="18.75" x14ac:dyDescent="0.25">
      <c r="A10489" s="6"/>
    </row>
    <row r="10490" spans="1:1" ht="18.75" x14ac:dyDescent="0.25">
      <c r="A10490" s="6"/>
    </row>
    <row r="10491" spans="1:1" ht="18.75" x14ac:dyDescent="0.25">
      <c r="A10491" s="6"/>
    </row>
    <row r="10492" spans="1:1" ht="18.75" x14ac:dyDescent="0.25">
      <c r="A10492" s="6"/>
    </row>
    <row r="10493" spans="1:1" ht="18.75" x14ac:dyDescent="0.25">
      <c r="A10493" s="6"/>
    </row>
    <row r="10494" spans="1:1" ht="18.75" x14ac:dyDescent="0.25">
      <c r="A10494" s="6"/>
    </row>
    <row r="10495" spans="1:1" ht="18.75" x14ac:dyDescent="0.25">
      <c r="A10495" s="6"/>
    </row>
    <row r="10496" spans="1:1" ht="18.75" x14ac:dyDescent="0.25">
      <c r="A10496" s="6"/>
    </row>
    <row r="10497" spans="1:1" ht="18.75" x14ac:dyDescent="0.25">
      <c r="A10497" s="6"/>
    </row>
    <row r="10498" spans="1:1" ht="18.75" x14ac:dyDescent="0.25">
      <c r="A10498" s="6"/>
    </row>
    <row r="10499" spans="1:1" ht="18.75" x14ac:dyDescent="0.25">
      <c r="A10499" s="6"/>
    </row>
    <row r="10500" spans="1:1" ht="18.75" x14ac:dyDescent="0.25">
      <c r="A10500" s="6"/>
    </row>
    <row r="10501" spans="1:1" ht="18.75" x14ac:dyDescent="0.25">
      <c r="A10501" s="6"/>
    </row>
    <row r="10502" spans="1:1" ht="18.75" x14ac:dyDescent="0.25">
      <c r="A10502" s="6"/>
    </row>
    <row r="10503" spans="1:1" ht="18.75" x14ac:dyDescent="0.25">
      <c r="A10503" s="6"/>
    </row>
    <row r="10504" spans="1:1" ht="18.75" x14ac:dyDescent="0.25">
      <c r="A10504" s="6"/>
    </row>
    <row r="10505" spans="1:1" ht="18.75" x14ac:dyDescent="0.25">
      <c r="A10505" s="6"/>
    </row>
    <row r="10506" spans="1:1" ht="18.75" x14ac:dyDescent="0.25">
      <c r="A10506" s="6"/>
    </row>
    <row r="10507" spans="1:1" ht="18.75" x14ac:dyDescent="0.25">
      <c r="A10507" s="6"/>
    </row>
    <row r="10508" spans="1:1" ht="18.75" x14ac:dyDescent="0.25">
      <c r="A10508" s="6"/>
    </row>
    <row r="10509" spans="1:1" ht="18.75" x14ac:dyDescent="0.25">
      <c r="A10509" s="6"/>
    </row>
    <row r="10510" spans="1:1" ht="18.75" x14ac:dyDescent="0.25">
      <c r="A10510" s="6"/>
    </row>
    <row r="10511" spans="1:1" ht="18.75" x14ac:dyDescent="0.25">
      <c r="A10511" s="6"/>
    </row>
    <row r="10512" spans="1:1" ht="18.75" x14ac:dyDescent="0.25">
      <c r="A10512" s="6"/>
    </row>
    <row r="10513" spans="1:1" ht="18.75" x14ac:dyDescent="0.25">
      <c r="A10513" s="6"/>
    </row>
    <row r="10514" spans="1:1" ht="18.75" x14ac:dyDescent="0.25">
      <c r="A10514" s="6"/>
    </row>
    <row r="10515" spans="1:1" ht="18.75" x14ac:dyDescent="0.25">
      <c r="A10515" s="6"/>
    </row>
    <row r="10516" spans="1:1" ht="18.75" x14ac:dyDescent="0.25">
      <c r="A10516" s="6"/>
    </row>
    <row r="10517" spans="1:1" ht="18.75" x14ac:dyDescent="0.25">
      <c r="A10517" s="6"/>
    </row>
    <row r="10518" spans="1:1" ht="18.75" x14ac:dyDescent="0.25">
      <c r="A10518" s="6"/>
    </row>
    <row r="10519" spans="1:1" ht="18.75" x14ac:dyDescent="0.25">
      <c r="A10519" s="6"/>
    </row>
    <row r="10520" spans="1:1" ht="18.75" x14ac:dyDescent="0.25">
      <c r="A10520" s="6"/>
    </row>
    <row r="10521" spans="1:1" ht="18.75" x14ac:dyDescent="0.25">
      <c r="A10521" s="6"/>
    </row>
    <row r="10522" spans="1:1" ht="18.75" x14ac:dyDescent="0.25">
      <c r="A10522" s="6"/>
    </row>
    <row r="10523" spans="1:1" ht="18.75" x14ac:dyDescent="0.25">
      <c r="A10523" s="6"/>
    </row>
    <row r="10524" spans="1:1" ht="18.75" x14ac:dyDescent="0.25">
      <c r="A10524" s="6"/>
    </row>
    <row r="10525" spans="1:1" ht="18.75" x14ac:dyDescent="0.25">
      <c r="A10525" s="6"/>
    </row>
    <row r="10526" spans="1:1" ht="18.75" x14ac:dyDescent="0.25">
      <c r="A10526" s="6"/>
    </row>
    <row r="10527" spans="1:1" ht="18.75" x14ac:dyDescent="0.25">
      <c r="A10527" s="6"/>
    </row>
    <row r="10528" spans="1:1" ht="18.75" x14ac:dyDescent="0.25">
      <c r="A10528" s="6"/>
    </row>
    <row r="10529" spans="1:1" ht="18.75" x14ac:dyDescent="0.25">
      <c r="A10529" s="6"/>
    </row>
    <row r="10530" spans="1:1" ht="18.75" x14ac:dyDescent="0.25">
      <c r="A10530" s="6"/>
    </row>
    <row r="10531" spans="1:1" ht="18.75" x14ac:dyDescent="0.25">
      <c r="A10531" s="6"/>
    </row>
    <row r="10532" spans="1:1" ht="18.75" x14ac:dyDescent="0.25">
      <c r="A10532" s="6"/>
    </row>
    <row r="10533" spans="1:1" ht="18.75" x14ac:dyDescent="0.25">
      <c r="A10533" s="6"/>
    </row>
    <row r="10534" spans="1:1" ht="18.75" x14ac:dyDescent="0.25">
      <c r="A10534" s="6"/>
    </row>
    <row r="10535" spans="1:1" ht="18.75" x14ac:dyDescent="0.25">
      <c r="A10535" s="6"/>
    </row>
    <row r="10536" spans="1:1" ht="18.75" x14ac:dyDescent="0.25">
      <c r="A10536" s="6"/>
    </row>
    <row r="10537" spans="1:1" ht="18.75" x14ac:dyDescent="0.25">
      <c r="A10537" s="6"/>
    </row>
    <row r="10538" spans="1:1" ht="18.75" x14ac:dyDescent="0.25">
      <c r="A10538" s="6"/>
    </row>
    <row r="10539" spans="1:1" ht="18.75" x14ac:dyDescent="0.25">
      <c r="A10539" s="6"/>
    </row>
    <row r="10540" spans="1:1" ht="18.75" x14ac:dyDescent="0.25">
      <c r="A10540" s="6"/>
    </row>
    <row r="10541" spans="1:1" ht="18.75" x14ac:dyDescent="0.25">
      <c r="A10541" s="6"/>
    </row>
    <row r="10542" spans="1:1" ht="18.75" x14ac:dyDescent="0.25">
      <c r="A10542" s="6"/>
    </row>
    <row r="10543" spans="1:1" ht="18.75" x14ac:dyDescent="0.25">
      <c r="A10543" s="6"/>
    </row>
    <row r="10544" spans="1:1" ht="18.75" x14ac:dyDescent="0.25">
      <c r="A10544" s="6"/>
    </row>
    <row r="10545" spans="1:1" ht="18.75" x14ac:dyDescent="0.25">
      <c r="A10545" s="6"/>
    </row>
    <row r="10546" spans="1:1" ht="18.75" x14ac:dyDescent="0.25">
      <c r="A10546" s="6"/>
    </row>
    <row r="10547" spans="1:1" ht="18.75" x14ac:dyDescent="0.25">
      <c r="A10547" s="6"/>
    </row>
    <row r="10548" spans="1:1" ht="18.75" x14ac:dyDescent="0.25">
      <c r="A10548" s="6"/>
    </row>
    <row r="10549" spans="1:1" ht="18.75" x14ac:dyDescent="0.25">
      <c r="A10549" s="6"/>
    </row>
    <row r="10550" spans="1:1" ht="18.75" x14ac:dyDescent="0.25">
      <c r="A10550" s="6"/>
    </row>
    <row r="10551" spans="1:1" ht="18.75" x14ac:dyDescent="0.25">
      <c r="A10551" s="6"/>
    </row>
    <row r="10552" spans="1:1" ht="18.75" x14ac:dyDescent="0.25">
      <c r="A10552" s="6"/>
    </row>
    <row r="10553" spans="1:1" ht="18.75" x14ac:dyDescent="0.25">
      <c r="A10553" s="6"/>
    </row>
    <row r="10554" spans="1:1" ht="18.75" x14ac:dyDescent="0.25">
      <c r="A10554" s="6"/>
    </row>
    <row r="10555" spans="1:1" ht="18.75" x14ac:dyDescent="0.25">
      <c r="A10555" s="6"/>
    </row>
    <row r="10556" spans="1:1" ht="18.75" x14ac:dyDescent="0.25">
      <c r="A10556" s="6"/>
    </row>
    <row r="10557" spans="1:1" ht="18.75" x14ac:dyDescent="0.25">
      <c r="A10557" s="6"/>
    </row>
    <row r="10558" spans="1:1" ht="18.75" x14ac:dyDescent="0.25">
      <c r="A10558" s="6"/>
    </row>
    <row r="10559" spans="1:1" ht="18.75" x14ac:dyDescent="0.25">
      <c r="A10559" s="6"/>
    </row>
    <row r="10560" spans="1:1" ht="18.75" x14ac:dyDescent="0.25">
      <c r="A10560" s="6"/>
    </row>
    <row r="10561" spans="1:1" ht="18.75" x14ac:dyDescent="0.25">
      <c r="A10561" s="6"/>
    </row>
    <row r="10562" spans="1:1" ht="18.75" x14ac:dyDescent="0.25">
      <c r="A10562" s="6"/>
    </row>
    <row r="10563" spans="1:1" ht="18.75" x14ac:dyDescent="0.25">
      <c r="A10563" s="6"/>
    </row>
    <row r="10564" spans="1:1" ht="18.75" x14ac:dyDescent="0.25">
      <c r="A10564" s="6"/>
    </row>
    <row r="10565" spans="1:1" ht="18.75" x14ac:dyDescent="0.25">
      <c r="A10565" s="6"/>
    </row>
    <row r="10566" spans="1:1" ht="18.75" x14ac:dyDescent="0.25">
      <c r="A10566" s="6"/>
    </row>
    <row r="10567" spans="1:1" ht="18.75" x14ac:dyDescent="0.25">
      <c r="A10567" s="6"/>
    </row>
    <row r="10568" spans="1:1" ht="18.75" x14ac:dyDescent="0.25">
      <c r="A10568" s="6"/>
    </row>
    <row r="10569" spans="1:1" ht="18.75" x14ac:dyDescent="0.25">
      <c r="A10569" s="6"/>
    </row>
    <row r="10570" spans="1:1" ht="18.75" x14ac:dyDescent="0.25">
      <c r="A10570" s="6"/>
    </row>
    <row r="10571" spans="1:1" ht="18.75" x14ac:dyDescent="0.25">
      <c r="A10571" s="6"/>
    </row>
    <row r="10572" spans="1:1" ht="18.75" x14ac:dyDescent="0.25">
      <c r="A10572" s="6"/>
    </row>
    <row r="10573" spans="1:1" ht="18.75" x14ac:dyDescent="0.25">
      <c r="A10573" s="6"/>
    </row>
    <row r="10574" spans="1:1" ht="18.75" x14ac:dyDescent="0.25">
      <c r="A10574" s="6"/>
    </row>
    <row r="10575" spans="1:1" ht="18.75" x14ac:dyDescent="0.25">
      <c r="A10575" s="6"/>
    </row>
    <row r="10576" spans="1:1" ht="18.75" x14ac:dyDescent="0.25">
      <c r="A10576" s="6"/>
    </row>
    <row r="10577" spans="1:1" ht="18.75" x14ac:dyDescent="0.25">
      <c r="A10577" s="6"/>
    </row>
    <row r="10578" spans="1:1" ht="18.75" x14ac:dyDescent="0.25">
      <c r="A10578" s="6"/>
    </row>
    <row r="10579" spans="1:1" ht="18.75" x14ac:dyDescent="0.25">
      <c r="A10579" s="6"/>
    </row>
    <row r="10580" spans="1:1" ht="18.75" x14ac:dyDescent="0.25">
      <c r="A10580" s="6"/>
    </row>
    <row r="10581" spans="1:1" ht="18.75" x14ac:dyDescent="0.25">
      <c r="A10581" s="6"/>
    </row>
    <row r="10582" spans="1:1" ht="18.75" x14ac:dyDescent="0.25">
      <c r="A10582" s="6"/>
    </row>
    <row r="10583" spans="1:1" ht="18.75" x14ac:dyDescent="0.25">
      <c r="A10583" s="6"/>
    </row>
    <row r="10584" spans="1:1" ht="18.75" x14ac:dyDescent="0.25">
      <c r="A10584" s="6"/>
    </row>
    <row r="10585" spans="1:1" ht="18.75" x14ac:dyDescent="0.25">
      <c r="A10585" s="6"/>
    </row>
    <row r="10586" spans="1:1" ht="18.75" x14ac:dyDescent="0.25">
      <c r="A10586" s="6"/>
    </row>
    <row r="10587" spans="1:1" ht="18.75" x14ac:dyDescent="0.25">
      <c r="A10587" s="6"/>
    </row>
    <row r="10588" spans="1:1" ht="18.75" x14ac:dyDescent="0.25">
      <c r="A10588" s="6"/>
    </row>
    <row r="10589" spans="1:1" ht="18.75" x14ac:dyDescent="0.25">
      <c r="A10589" s="6"/>
    </row>
    <row r="10590" spans="1:1" ht="18.75" x14ac:dyDescent="0.25">
      <c r="A10590" s="6"/>
    </row>
    <row r="10591" spans="1:1" ht="18.75" x14ac:dyDescent="0.25">
      <c r="A10591" s="6"/>
    </row>
    <row r="10592" spans="1:1" ht="18.75" x14ac:dyDescent="0.25">
      <c r="A10592" s="6"/>
    </row>
    <row r="10593" spans="1:1" ht="18.75" x14ac:dyDescent="0.25">
      <c r="A10593" s="6"/>
    </row>
    <row r="10594" spans="1:1" ht="18.75" x14ac:dyDescent="0.25">
      <c r="A10594" s="6"/>
    </row>
    <row r="10595" spans="1:1" ht="18.75" x14ac:dyDescent="0.25">
      <c r="A10595" s="6"/>
    </row>
    <row r="10596" spans="1:1" ht="18.75" x14ac:dyDescent="0.25">
      <c r="A10596" s="6"/>
    </row>
    <row r="10597" spans="1:1" ht="18.75" x14ac:dyDescent="0.25">
      <c r="A10597" s="6"/>
    </row>
    <row r="10598" spans="1:1" ht="18.75" x14ac:dyDescent="0.25">
      <c r="A10598" s="6"/>
    </row>
    <row r="10599" spans="1:1" ht="18.75" x14ac:dyDescent="0.25">
      <c r="A10599" s="6"/>
    </row>
    <row r="10600" spans="1:1" ht="18.75" x14ac:dyDescent="0.25">
      <c r="A10600" s="6"/>
    </row>
    <row r="10601" spans="1:1" ht="18.75" x14ac:dyDescent="0.25">
      <c r="A10601" s="6"/>
    </row>
    <row r="10602" spans="1:1" ht="18.75" x14ac:dyDescent="0.25">
      <c r="A10602" s="6"/>
    </row>
    <row r="10603" spans="1:1" ht="18.75" x14ac:dyDescent="0.25">
      <c r="A10603" s="6"/>
    </row>
    <row r="10604" spans="1:1" ht="18.75" x14ac:dyDescent="0.25">
      <c r="A10604" s="6"/>
    </row>
    <row r="10605" spans="1:1" ht="18.75" x14ac:dyDescent="0.25">
      <c r="A10605" s="6"/>
    </row>
    <row r="10606" spans="1:1" ht="18.75" x14ac:dyDescent="0.25">
      <c r="A10606" s="6"/>
    </row>
    <row r="10607" spans="1:1" ht="18.75" x14ac:dyDescent="0.25">
      <c r="A10607" s="6"/>
    </row>
    <row r="10608" spans="1:1" ht="18.75" x14ac:dyDescent="0.25">
      <c r="A10608" s="6"/>
    </row>
    <row r="10609" spans="1:1" ht="18.75" x14ac:dyDescent="0.25">
      <c r="A10609" s="6"/>
    </row>
    <row r="10610" spans="1:1" ht="18.75" x14ac:dyDescent="0.25">
      <c r="A10610" s="6"/>
    </row>
    <row r="10611" spans="1:1" ht="18.75" x14ac:dyDescent="0.25">
      <c r="A10611" s="6"/>
    </row>
    <row r="10612" spans="1:1" ht="18.75" x14ac:dyDescent="0.25">
      <c r="A10612" s="6"/>
    </row>
    <row r="10613" spans="1:1" ht="18.75" x14ac:dyDescent="0.25">
      <c r="A10613" s="6"/>
    </row>
    <row r="10614" spans="1:1" ht="18.75" x14ac:dyDescent="0.25">
      <c r="A10614" s="6"/>
    </row>
    <row r="10615" spans="1:1" ht="18.75" x14ac:dyDescent="0.25">
      <c r="A10615" s="6"/>
    </row>
    <row r="10616" spans="1:1" ht="18.75" x14ac:dyDescent="0.25">
      <c r="A10616" s="6"/>
    </row>
    <row r="10617" spans="1:1" ht="18.75" x14ac:dyDescent="0.25">
      <c r="A10617" s="6"/>
    </row>
    <row r="10618" spans="1:1" ht="18.75" x14ac:dyDescent="0.25">
      <c r="A10618" s="6"/>
    </row>
    <row r="10619" spans="1:1" ht="18.75" x14ac:dyDescent="0.25">
      <c r="A10619" s="6"/>
    </row>
    <row r="10620" spans="1:1" ht="18.75" x14ac:dyDescent="0.25">
      <c r="A10620" s="6"/>
    </row>
    <row r="10621" spans="1:1" ht="18.75" x14ac:dyDescent="0.25">
      <c r="A10621" s="6"/>
    </row>
    <row r="10622" spans="1:1" ht="18.75" x14ac:dyDescent="0.25">
      <c r="A10622" s="6"/>
    </row>
    <row r="10623" spans="1:1" ht="18.75" x14ac:dyDescent="0.25">
      <c r="A10623" s="6"/>
    </row>
    <row r="10624" spans="1:1" ht="18.75" x14ac:dyDescent="0.25">
      <c r="A10624" s="6"/>
    </row>
    <row r="10625" spans="1:1" ht="18.75" x14ac:dyDescent="0.25">
      <c r="A10625" s="6"/>
    </row>
    <row r="10626" spans="1:1" ht="18.75" x14ac:dyDescent="0.25">
      <c r="A10626" s="6"/>
    </row>
    <row r="10627" spans="1:1" ht="18.75" x14ac:dyDescent="0.25">
      <c r="A10627" s="6"/>
    </row>
    <row r="10628" spans="1:1" ht="18.75" x14ac:dyDescent="0.25">
      <c r="A10628" s="6"/>
    </row>
    <row r="10629" spans="1:1" ht="18.75" x14ac:dyDescent="0.25">
      <c r="A10629" s="6"/>
    </row>
    <row r="10630" spans="1:1" ht="18.75" x14ac:dyDescent="0.25">
      <c r="A10630" s="6"/>
    </row>
    <row r="10631" spans="1:1" ht="18.75" x14ac:dyDescent="0.25">
      <c r="A10631" s="6"/>
    </row>
    <row r="10632" spans="1:1" ht="18.75" x14ac:dyDescent="0.25">
      <c r="A10632" s="6"/>
    </row>
    <row r="10633" spans="1:1" ht="18.75" x14ac:dyDescent="0.25">
      <c r="A10633" s="6"/>
    </row>
    <row r="10634" spans="1:1" ht="18.75" x14ac:dyDescent="0.25">
      <c r="A10634" s="6"/>
    </row>
    <row r="10635" spans="1:1" ht="18.75" x14ac:dyDescent="0.25">
      <c r="A10635" s="6"/>
    </row>
    <row r="10636" spans="1:1" ht="18.75" x14ac:dyDescent="0.25">
      <c r="A10636" s="6"/>
    </row>
    <row r="10637" spans="1:1" ht="18.75" x14ac:dyDescent="0.25">
      <c r="A10637" s="6"/>
    </row>
    <row r="10638" spans="1:1" ht="18.75" x14ac:dyDescent="0.25">
      <c r="A10638" s="6"/>
    </row>
    <row r="10639" spans="1:1" ht="18.75" x14ac:dyDescent="0.25">
      <c r="A10639" s="6"/>
    </row>
    <row r="10640" spans="1:1" ht="18.75" x14ac:dyDescent="0.25">
      <c r="A10640" s="6"/>
    </row>
    <row r="10641" spans="1:1" ht="18.75" x14ac:dyDescent="0.25">
      <c r="A10641" s="6"/>
    </row>
    <row r="10642" spans="1:1" ht="18.75" x14ac:dyDescent="0.25">
      <c r="A10642" s="6"/>
    </row>
    <row r="10643" spans="1:1" ht="18.75" x14ac:dyDescent="0.25">
      <c r="A10643" s="6"/>
    </row>
    <row r="10644" spans="1:1" ht="18.75" x14ac:dyDescent="0.25">
      <c r="A10644" s="6"/>
    </row>
    <row r="10645" spans="1:1" ht="18.75" x14ac:dyDescent="0.25">
      <c r="A10645" s="6"/>
    </row>
    <row r="10646" spans="1:1" ht="18.75" x14ac:dyDescent="0.25">
      <c r="A10646" s="6"/>
    </row>
    <row r="10647" spans="1:1" ht="18.75" x14ac:dyDescent="0.25">
      <c r="A10647" s="6"/>
    </row>
    <row r="10648" spans="1:1" ht="18.75" x14ac:dyDescent="0.25">
      <c r="A10648" s="6"/>
    </row>
    <row r="10649" spans="1:1" ht="18.75" x14ac:dyDescent="0.25">
      <c r="A10649" s="6"/>
    </row>
    <row r="10650" spans="1:1" ht="18.75" x14ac:dyDescent="0.25">
      <c r="A10650" s="6"/>
    </row>
    <row r="10651" spans="1:1" ht="18.75" x14ac:dyDescent="0.25">
      <c r="A10651" s="6"/>
    </row>
    <row r="10652" spans="1:1" ht="18.75" x14ac:dyDescent="0.25">
      <c r="A10652" s="6"/>
    </row>
    <row r="10653" spans="1:1" ht="18.75" x14ac:dyDescent="0.25">
      <c r="A10653" s="6"/>
    </row>
    <row r="10654" spans="1:1" ht="18.75" x14ac:dyDescent="0.25">
      <c r="A10654" s="6"/>
    </row>
    <row r="10655" spans="1:1" ht="18.75" x14ac:dyDescent="0.25">
      <c r="A10655" s="6"/>
    </row>
    <row r="10656" spans="1:1" ht="18.75" x14ac:dyDescent="0.25">
      <c r="A10656" s="6"/>
    </row>
    <row r="10657" spans="1:1" ht="18.75" x14ac:dyDescent="0.25">
      <c r="A10657" s="6"/>
    </row>
    <row r="10658" spans="1:1" ht="18.75" x14ac:dyDescent="0.25">
      <c r="A10658" s="6"/>
    </row>
    <row r="10659" spans="1:1" ht="18.75" x14ac:dyDescent="0.25">
      <c r="A10659" s="6"/>
    </row>
    <row r="10660" spans="1:1" ht="18.75" x14ac:dyDescent="0.25">
      <c r="A10660" s="6"/>
    </row>
    <row r="10661" spans="1:1" ht="18.75" x14ac:dyDescent="0.25">
      <c r="A10661" s="6"/>
    </row>
    <row r="10662" spans="1:1" ht="18.75" x14ac:dyDescent="0.25">
      <c r="A10662" s="6"/>
    </row>
    <row r="10663" spans="1:1" ht="18.75" x14ac:dyDescent="0.25">
      <c r="A10663" s="6"/>
    </row>
    <row r="10664" spans="1:1" ht="18.75" x14ac:dyDescent="0.25">
      <c r="A10664" s="6"/>
    </row>
    <row r="10665" spans="1:1" ht="18.75" x14ac:dyDescent="0.25">
      <c r="A10665" s="6"/>
    </row>
    <row r="10666" spans="1:1" ht="18.75" x14ac:dyDescent="0.25">
      <c r="A10666" s="6"/>
    </row>
    <row r="10667" spans="1:1" ht="18.75" x14ac:dyDescent="0.25">
      <c r="A10667" s="6"/>
    </row>
    <row r="10668" spans="1:1" ht="18.75" x14ac:dyDescent="0.25">
      <c r="A10668" s="6"/>
    </row>
    <row r="10669" spans="1:1" ht="18.75" x14ac:dyDescent="0.25">
      <c r="A10669" s="6"/>
    </row>
    <row r="10670" spans="1:1" ht="18.75" x14ac:dyDescent="0.25">
      <c r="A10670" s="6"/>
    </row>
    <row r="10671" spans="1:1" ht="18.75" x14ac:dyDescent="0.25">
      <c r="A10671" s="6"/>
    </row>
    <row r="10672" spans="1:1" ht="18.75" x14ac:dyDescent="0.25">
      <c r="A10672" s="6"/>
    </row>
    <row r="10673" spans="1:1" ht="18.75" x14ac:dyDescent="0.25">
      <c r="A10673" s="6"/>
    </row>
    <row r="10674" spans="1:1" ht="18.75" x14ac:dyDescent="0.25">
      <c r="A10674" s="6"/>
    </row>
    <row r="10675" spans="1:1" ht="18.75" x14ac:dyDescent="0.25">
      <c r="A10675" s="6"/>
    </row>
    <row r="10676" spans="1:1" ht="18.75" x14ac:dyDescent="0.25">
      <c r="A10676" s="6"/>
    </row>
    <row r="10677" spans="1:1" ht="18.75" x14ac:dyDescent="0.25">
      <c r="A10677" s="6"/>
    </row>
    <row r="10678" spans="1:1" ht="18.75" x14ac:dyDescent="0.25">
      <c r="A10678" s="6"/>
    </row>
    <row r="10679" spans="1:1" ht="18.75" x14ac:dyDescent="0.25">
      <c r="A10679" s="6"/>
    </row>
    <row r="10680" spans="1:1" ht="18.75" x14ac:dyDescent="0.25">
      <c r="A10680" s="6"/>
    </row>
    <row r="10681" spans="1:1" ht="18.75" x14ac:dyDescent="0.25">
      <c r="A10681" s="6"/>
    </row>
    <row r="10682" spans="1:1" ht="18.75" x14ac:dyDescent="0.25">
      <c r="A10682" s="6"/>
    </row>
    <row r="10683" spans="1:1" ht="18.75" x14ac:dyDescent="0.25">
      <c r="A10683" s="6"/>
    </row>
    <row r="10684" spans="1:1" ht="18.75" x14ac:dyDescent="0.25">
      <c r="A10684" s="6"/>
    </row>
    <row r="10685" spans="1:1" ht="18.75" x14ac:dyDescent="0.25">
      <c r="A10685" s="6"/>
    </row>
    <row r="10686" spans="1:1" ht="18.75" x14ac:dyDescent="0.25">
      <c r="A10686" s="6"/>
    </row>
    <row r="10687" spans="1:1" ht="18.75" x14ac:dyDescent="0.25">
      <c r="A10687" s="6"/>
    </row>
    <row r="10688" spans="1:1" ht="18.75" x14ac:dyDescent="0.25">
      <c r="A10688" s="6"/>
    </row>
    <row r="10689" spans="1:1" ht="18.75" x14ac:dyDescent="0.25">
      <c r="A10689" s="6"/>
    </row>
    <row r="10690" spans="1:1" ht="18.75" x14ac:dyDescent="0.25">
      <c r="A10690" s="6"/>
    </row>
    <row r="10691" spans="1:1" ht="18.75" x14ac:dyDescent="0.25">
      <c r="A10691" s="6"/>
    </row>
    <row r="10692" spans="1:1" ht="18.75" x14ac:dyDescent="0.25">
      <c r="A10692" s="6"/>
    </row>
    <row r="10693" spans="1:1" ht="18.75" x14ac:dyDescent="0.25">
      <c r="A10693" s="6"/>
    </row>
    <row r="10694" spans="1:1" ht="18.75" x14ac:dyDescent="0.25">
      <c r="A10694" s="6"/>
    </row>
    <row r="10695" spans="1:1" ht="18.75" x14ac:dyDescent="0.25">
      <c r="A10695" s="6"/>
    </row>
    <row r="10696" spans="1:1" ht="18.75" x14ac:dyDescent="0.25">
      <c r="A10696" s="6"/>
    </row>
    <row r="10697" spans="1:1" ht="18.75" x14ac:dyDescent="0.25">
      <c r="A10697" s="6"/>
    </row>
    <row r="10698" spans="1:1" ht="18.75" x14ac:dyDescent="0.25">
      <c r="A10698" s="6"/>
    </row>
    <row r="10699" spans="1:1" ht="18.75" x14ac:dyDescent="0.25">
      <c r="A10699" s="6"/>
    </row>
    <row r="10700" spans="1:1" ht="18.75" x14ac:dyDescent="0.25">
      <c r="A10700" s="6"/>
    </row>
    <row r="10701" spans="1:1" ht="18.75" x14ac:dyDescent="0.25">
      <c r="A10701" s="6"/>
    </row>
    <row r="10702" spans="1:1" ht="18.75" x14ac:dyDescent="0.25">
      <c r="A10702" s="6"/>
    </row>
    <row r="10703" spans="1:1" ht="18.75" x14ac:dyDescent="0.25">
      <c r="A10703" s="6"/>
    </row>
    <row r="10704" spans="1:1" ht="18.75" x14ac:dyDescent="0.25">
      <c r="A10704" s="6"/>
    </row>
    <row r="10705" spans="1:1" ht="18.75" x14ac:dyDescent="0.25">
      <c r="A10705" s="6"/>
    </row>
    <row r="10706" spans="1:1" ht="18.75" x14ac:dyDescent="0.25">
      <c r="A10706" s="6"/>
    </row>
    <row r="10707" spans="1:1" ht="18.75" x14ac:dyDescent="0.25">
      <c r="A10707" s="6"/>
    </row>
    <row r="10708" spans="1:1" ht="18.75" x14ac:dyDescent="0.25">
      <c r="A10708" s="6"/>
    </row>
    <row r="10709" spans="1:1" ht="18.75" x14ac:dyDescent="0.25">
      <c r="A10709" s="6"/>
    </row>
    <row r="10710" spans="1:1" ht="18.75" x14ac:dyDescent="0.25">
      <c r="A10710" s="6"/>
    </row>
    <row r="10711" spans="1:1" ht="18.75" x14ac:dyDescent="0.25">
      <c r="A10711" s="6"/>
    </row>
    <row r="10712" spans="1:1" ht="18.75" x14ac:dyDescent="0.25">
      <c r="A10712" s="6"/>
    </row>
    <row r="10713" spans="1:1" ht="18.75" x14ac:dyDescent="0.25">
      <c r="A10713" s="6"/>
    </row>
    <row r="10714" spans="1:1" ht="18.75" x14ac:dyDescent="0.25">
      <c r="A10714" s="6"/>
    </row>
    <row r="10715" spans="1:1" ht="18.75" x14ac:dyDescent="0.25">
      <c r="A10715" s="6"/>
    </row>
    <row r="10716" spans="1:1" ht="18.75" x14ac:dyDescent="0.25">
      <c r="A10716" s="6"/>
    </row>
    <row r="10717" spans="1:1" ht="18.75" x14ac:dyDescent="0.25">
      <c r="A10717" s="6"/>
    </row>
    <row r="10718" spans="1:1" ht="18.75" x14ac:dyDescent="0.25">
      <c r="A10718" s="6"/>
    </row>
    <row r="10719" spans="1:1" ht="18.75" x14ac:dyDescent="0.25">
      <c r="A10719" s="6"/>
    </row>
    <row r="10720" spans="1:1" ht="18.75" x14ac:dyDescent="0.25">
      <c r="A10720" s="6"/>
    </row>
    <row r="10721" spans="1:1" ht="18.75" x14ac:dyDescent="0.25">
      <c r="A10721" s="6"/>
    </row>
    <row r="10722" spans="1:1" ht="18.75" x14ac:dyDescent="0.25">
      <c r="A10722" s="6"/>
    </row>
    <row r="10723" spans="1:1" ht="18.75" x14ac:dyDescent="0.25">
      <c r="A10723" s="6"/>
    </row>
    <row r="10724" spans="1:1" ht="18.75" x14ac:dyDescent="0.25">
      <c r="A10724" s="6"/>
    </row>
    <row r="10725" spans="1:1" ht="18.75" x14ac:dyDescent="0.25">
      <c r="A10725" s="6"/>
    </row>
    <row r="10726" spans="1:1" ht="18.75" x14ac:dyDescent="0.25">
      <c r="A10726" s="6"/>
    </row>
    <row r="10727" spans="1:1" ht="18.75" x14ac:dyDescent="0.25">
      <c r="A10727" s="6"/>
    </row>
    <row r="10728" spans="1:1" ht="18.75" x14ac:dyDescent="0.25">
      <c r="A10728" s="6"/>
    </row>
    <row r="10729" spans="1:1" ht="18.75" x14ac:dyDescent="0.25">
      <c r="A10729" s="6"/>
    </row>
    <row r="10730" spans="1:1" ht="18.75" x14ac:dyDescent="0.25">
      <c r="A10730" s="6"/>
    </row>
    <row r="10731" spans="1:1" ht="18.75" x14ac:dyDescent="0.25">
      <c r="A10731" s="6"/>
    </row>
    <row r="10732" spans="1:1" ht="18.75" x14ac:dyDescent="0.25">
      <c r="A10732" s="6"/>
    </row>
    <row r="10733" spans="1:1" ht="18.75" x14ac:dyDescent="0.25">
      <c r="A10733" s="6"/>
    </row>
    <row r="10734" spans="1:1" ht="18.75" x14ac:dyDescent="0.25">
      <c r="A10734" s="6"/>
    </row>
    <row r="10735" spans="1:1" ht="18.75" x14ac:dyDescent="0.25">
      <c r="A10735" s="6"/>
    </row>
    <row r="10736" spans="1:1" ht="18.75" x14ac:dyDescent="0.25">
      <c r="A10736" s="6"/>
    </row>
    <row r="10737" spans="1:1" ht="18.75" x14ac:dyDescent="0.25">
      <c r="A10737" s="6"/>
    </row>
    <row r="10738" spans="1:1" ht="18.75" x14ac:dyDescent="0.25">
      <c r="A10738" s="6"/>
    </row>
    <row r="10739" spans="1:1" ht="18.75" x14ac:dyDescent="0.25">
      <c r="A10739" s="6"/>
    </row>
    <row r="10740" spans="1:1" ht="18.75" x14ac:dyDescent="0.25">
      <c r="A10740" s="6"/>
    </row>
    <row r="10741" spans="1:1" ht="18.75" x14ac:dyDescent="0.25">
      <c r="A10741" s="6"/>
    </row>
    <row r="10742" spans="1:1" ht="18.75" x14ac:dyDescent="0.25">
      <c r="A10742" s="6"/>
    </row>
    <row r="10743" spans="1:1" ht="18.75" x14ac:dyDescent="0.25">
      <c r="A10743" s="6"/>
    </row>
    <row r="10744" spans="1:1" ht="18.75" x14ac:dyDescent="0.25">
      <c r="A10744" s="6"/>
    </row>
    <row r="10745" spans="1:1" ht="18.75" x14ac:dyDescent="0.25">
      <c r="A10745" s="6"/>
    </row>
    <row r="10746" spans="1:1" ht="18.75" x14ac:dyDescent="0.25">
      <c r="A10746" s="6"/>
    </row>
    <row r="10747" spans="1:1" ht="18.75" x14ac:dyDescent="0.25">
      <c r="A10747" s="6"/>
    </row>
    <row r="10748" spans="1:1" ht="18.75" x14ac:dyDescent="0.25">
      <c r="A10748" s="6"/>
    </row>
    <row r="10749" spans="1:1" ht="18.75" x14ac:dyDescent="0.25">
      <c r="A10749" s="6"/>
    </row>
    <row r="10750" spans="1:1" ht="18.75" x14ac:dyDescent="0.25">
      <c r="A10750" s="6"/>
    </row>
    <row r="10751" spans="1:1" ht="18.75" x14ac:dyDescent="0.25">
      <c r="A10751" s="6"/>
    </row>
    <row r="10752" spans="1:1" ht="18.75" x14ac:dyDescent="0.25">
      <c r="A10752" s="6"/>
    </row>
    <row r="10753" spans="1:1" ht="18.75" x14ac:dyDescent="0.25">
      <c r="A10753" s="6"/>
    </row>
    <row r="10754" spans="1:1" ht="18.75" x14ac:dyDescent="0.25">
      <c r="A10754" s="6"/>
    </row>
    <row r="10755" spans="1:1" ht="18.75" x14ac:dyDescent="0.25">
      <c r="A10755" s="6"/>
    </row>
    <row r="10756" spans="1:1" ht="18.75" x14ac:dyDescent="0.25">
      <c r="A10756" s="6"/>
    </row>
    <row r="10757" spans="1:1" ht="18.75" x14ac:dyDescent="0.25">
      <c r="A10757" s="6"/>
    </row>
    <row r="10758" spans="1:1" ht="18.75" x14ac:dyDescent="0.25">
      <c r="A10758" s="6"/>
    </row>
    <row r="10759" spans="1:1" ht="18.75" x14ac:dyDescent="0.25">
      <c r="A10759" s="6"/>
    </row>
    <row r="10760" spans="1:1" ht="18.75" x14ac:dyDescent="0.25">
      <c r="A10760" s="6"/>
    </row>
    <row r="10761" spans="1:1" ht="18.75" x14ac:dyDescent="0.25">
      <c r="A10761" s="6"/>
    </row>
    <row r="10762" spans="1:1" ht="18.75" x14ac:dyDescent="0.25">
      <c r="A10762" s="6"/>
    </row>
    <row r="10763" spans="1:1" ht="18.75" x14ac:dyDescent="0.25">
      <c r="A10763" s="6"/>
    </row>
    <row r="10764" spans="1:1" ht="18.75" x14ac:dyDescent="0.25">
      <c r="A10764" s="6"/>
    </row>
    <row r="10765" spans="1:1" ht="18.75" x14ac:dyDescent="0.25">
      <c r="A10765" s="6"/>
    </row>
    <row r="10766" spans="1:1" ht="18.75" x14ac:dyDescent="0.25">
      <c r="A10766" s="6"/>
    </row>
    <row r="10767" spans="1:1" ht="18.75" x14ac:dyDescent="0.25">
      <c r="A10767" s="6"/>
    </row>
    <row r="10768" spans="1:1" ht="18.75" x14ac:dyDescent="0.25">
      <c r="A10768" s="6"/>
    </row>
    <row r="10769" spans="1:1" ht="18.75" x14ac:dyDescent="0.25">
      <c r="A10769" s="6"/>
    </row>
    <row r="10770" spans="1:1" ht="18.75" x14ac:dyDescent="0.25">
      <c r="A10770" s="6"/>
    </row>
    <row r="10771" spans="1:1" ht="18.75" x14ac:dyDescent="0.25">
      <c r="A10771" s="6"/>
    </row>
    <row r="10772" spans="1:1" ht="18.75" x14ac:dyDescent="0.25">
      <c r="A10772" s="6"/>
    </row>
    <row r="10773" spans="1:1" ht="18.75" x14ac:dyDescent="0.25">
      <c r="A10773" s="6"/>
    </row>
    <row r="10774" spans="1:1" ht="18.75" x14ac:dyDescent="0.25">
      <c r="A10774" s="6"/>
    </row>
    <row r="10775" spans="1:1" ht="18.75" x14ac:dyDescent="0.25">
      <c r="A10775" s="6"/>
    </row>
    <row r="10776" spans="1:1" ht="18.75" x14ac:dyDescent="0.25">
      <c r="A10776" s="6"/>
    </row>
    <row r="10777" spans="1:1" ht="18.75" x14ac:dyDescent="0.25">
      <c r="A10777" s="6"/>
    </row>
    <row r="10778" spans="1:1" ht="18.75" x14ac:dyDescent="0.25">
      <c r="A10778" s="6"/>
    </row>
    <row r="10779" spans="1:1" ht="18.75" x14ac:dyDescent="0.25">
      <c r="A10779" s="6"/>
    </row>
    <row r="10780" spans="1:1" ht="18.75" x14ac:dyDescent="0.25">
      <c r="A10780" s="6"/>
    </row>
    <row r="10781" spans="1:1" ht="18.75" x14ac:dyDescent="0.25">
      <c r="A10781" s="6"/>
    </row>
    <row r="10782" spans="1:1" ht="18.75" x14ac:dyDescent="0.25">
      <c r="A10782" s="6"/>
    </row>
    <row r="10783" spans="1:1" ht="18.75" x14ac:dyDescent="0.25">
      <c r="A10783" s="6"/>
    </row>
    <row r="10784" spans="1:1" ht="18.75" x14ac:dyDescent="0.25">
      <c r="A10784" s="6"/>
    </row>
    <row r="10785" spans="1:1" ht="18.75" x14ac:dyDescent="0.25">
      <c r="A10785" s="6"/>
    </row>
    <row r="10786" spans="1:1" ht="18.75" x14ac:dyDescent="0.25">
      <c r="A10786" s="6"/>
    </row>
    <row r="10787" spans="1:1" ht="18.75" x14ac:dyDescent="0.25">
      <c r="A10787" s="6"/>
    </row>
    <row r="10788" spans="1:1" ht="18.75" x14ac:dyDescent="0.25">
      <c r="A10788" s="6"/>
    </row>
    <row r="10789" spans="1:1" ht="18.75" x14ac:dyDescent="0.25">
      <c r="A10789" s="6"/>
    </row>
    <row r="10790" spans="1:1" ht="18.75" x14ac:dyDescent="0.25">
      <c r="A10790" s="6"/>
    </row>
    <row r="10791" spans="1:1" ht="18.75" x14ac:dyDescent="0.25">
      <c r="A10791" s="6"/>
    </row>
    <row r="10792" spans="1:1" ht="18.75" x14ac:dyDescent="0.25">
      <c r="A10792" s="6"/>
    </row>
    <row r="10793" spans="1:1" ht="18.75" x14ac:dyDescent="0.25">
      <c r="A10793" s="6"/>
    </row>
    <row r="10794" spans="1:1" ht="18.75" x14ac:dyDescent="0.25">
      <c r="A10794" s="6"/>
    </row>
    <row r="10795" spans="1:1" ht="18.75" x14ac:dyDescent="0.25">
      <c r="A10795" s="6"/>
    </row>
    <row r="10796" spans="1:1" ht="18.75" x14ac:dyDescent="0.25">
      <c r="A10796" s="6"/>
    </row>
    <row r="10797" spans="1:1" ht="18.75" x14ac:dyDescent="0.25">
      <c r="A10797" s="6"/>
    </row>
    <row r="10798" spans="1:1" ht="18.75" x14ac:dyDescent="0.25">
      <c r="A10798" s="6"/>
    </row>
    <row r="10799" spans="1:1" ht="18.75" x14ac:dyDescent="0.25">
      <c r="A10799" s="6"/>
    </row>
    <row r="10800" spans="1:1" ht="18.75" x14ac:dyDescent="0.25">
      <c r="A10800" s="6"/>
    </row>
    <row r="10801" spans="1:1" ht="18.75" x14ac:dyDescent="0.25">
      <c r="A10801" s="6"/>
    </row>
    <row r="10802" spans="1:1" ht="18.75" x14ac:dyDescent="0.25">
      <c r="A10802" s="6"/>
    </row>
    <row r="10803" spans="1:1" ht="18.75" x14ac:dyDescent="0.25">
      <c r="A10803" s="6"/>
    </row>
    <row r="10804" spans="1:1" ht="18.75" x14ac:dyDescent="0.25">
      <c r="A10804" s="6"/>
    </row>
    <row r="10805" spans="1:1" ht="18.75" x14ac:dyDescent="0.25">
      <c r="A10805" s="6"/>
    </row>
    <row r="10806" spans="1:1" ht="18.75" x14ac:dyDescent="0.25">
      <c r="A10806" s="6"/>
    </row>
    <row r="10807" spans="1:1" ht="18.75" x14ac:dyDescent="0.25">
      <c r="A10807" s="6"/>
    </row>
    <row r="10808" spans="1:1" ht="18.75" x14ac:dyDescent="0.25">
      <c r="A10808" s="6"/>
    </row>
    <row r="10809" spans="1:1" ht="18.75" x14ac:dyDescent="0.25">
      <c r="A10809" s="6"/>
    </row>
    <row r="10810" spans="1:1" ht="18.75" x14ac:dyDescent="0.25">
      <c r="A10810" s="6"/>
    </row>
    <row r="10811" spans="1:1" ht="18.75" x14ac:dyDescent="0.25">
      <c r="A10811" s="6"/>
    </row>
    <row r="10812" spans="1:1" ht="18.75" x14ac:dyDescent="0.25">
      <c r="A10812" s="6"/>
    </row>
    <row r="10813" spans="1:1" ht="18.75" x14ac:dyDescent="0.25">
      <c r="A10813" s="6"/>
    </row>
    <row r="10814" spans="1:1" ht="18.75" x14ac:dyDescent="0.25">
      <c r="A10814" s="6"/>
    </row>
    <row r="10815" spans="1:1" ht="18.75" x14ac:dyDescent="0.25">
      <c r="A10815" s="6"/>
    </row>
    <row r="10816" spans="1:1" ht="18.75" x14ac:dyDescent="0.25">
      <c r="A10816" s="6"/>
    </row>
    <row r="10817" spans="1:1" ht="18.75" x14ac:dyDescent="0.25">
      <c r="A10817" s="6"/>
    </row>
    <row r="10818" spans="1:1" ht="18.75" x14ac:dyDescent="0.25">
      <c r="A10818" s="6"/>
    </row>
    <row r="10819" spans="1:1" ht="18.75" x14ac:dyDescent="0.25">
      <c r="A10819" s="6"/>
    </row>
    <row r="10820" spans="1:1" ht="18.75" x14ac:dyDescent="0.25">
      <c r="A10820" s="6"/>
    </row>
    <row r="10821" spans="1:1" ht="18.75" x14ac:dyDescent="0.25">
      <c r="A10821" s="6"/>
    </row>
    <row r="10822" spans="1:1" ht="18.75" x14ac:dyDescent="0.25">
      <c r="A10822" s="6"/>
    </row>
    <row r="10823" spans="1:1" ht="18.75" x14ac:dyDescent="0.25">
      <c r="A10823" s="6"/>
    </row>
    <row r="10824" spans="1:1" ht="18.75" x14ac:dyDescent="0.25">
      <c r="A10824" s="6"/>
    </row>
    <row r="10825" spans="1:1" ht="18.75" x14ac:dyDescent="0.25">
      <c r="A10825" s="6"/>
    </row>
    <row r="10826" spans="1:1" ht="18.75" x14ac:dyDescent="0.25">
      <c r="A10826" s="6"/>
    </row>
    <row r="10827" spans="1:1" ht="18.75" x14ac:dyDescent="0.25">
      <c r="A10827" s="6"/>
    </row>
    <row r="10828" spans="1:1" ht="18.75" x14ac:dyDescent="0.25">
      <c r="A10828" s="6"/>
    </row>
    <row r="10829" spans="1:1" ht="18.75" x14ac:dyDescent="0.25">
      <c r="A10829" s="6"/>
    </row>
    <row r="10830" spans="1:1" ht="18.75" x14ac:dyDescent="0.25">
      <c r="A10830" s="6"/>
    </row>
    <row r="10831" spans="1:1" ht="18.75" x14ac:dyDescent="0.25">
      <c r="A10831" s="6"/>
    </row>
    <row r="10832" spans="1:1" ht="18.75" x14ac:dyDescent="0.25">
      <c r="A10832" s="6"/>
    </row>
    <row r="10833" spans="1:1" ht="18.75" x14ac:dyDescent="0.25">
      <c r="A10833" s="6"/>
    </row>
    <row r="10834" spans="1:1" ht="18.75" x14ac:dyDescent="0.25">
      <c r="A10834" s="6"/>
    </row>
    <row r="10835" spans="1:1" ht="18.75" x14ac:dyDescent="0.25">
      <c r="A10835" s="6"/>
    </row>
    <row r="10836" spans="1:1" ht="18.75" x14ac:dyDescent="0.25">
      <c r="A10836" s="6"/>
    </row>
    <row r="10837" spans="1:1" ht="18.75" x14ac:dyDescent="0.25">
      <c r="A10837" s="6"/>
    </row>
    <row r="10838" spans="1:1" ht="18.75" x14ac:dyDescent="0.25">
      <c r="A10838" s="6"/>
    </row>
    <row r="10839" spans="1:1" ht="18.75" x14ac:dyDescent="0.25">
      <c r="A10839" s="6"/>
    </row>
    <row r="10840" spans="1:1" ht="18.75" x14ac:dyDescent="0.25">
      <c r="A10840" s="6"/>
    </row>
    <row r="10841" spans="1:1" ht="18.75" x14ac:dyDescent="0.25">
      <c r="A10841" s="6"/>
    </row>
    <row r="10842" spans="1:1" ht="18.75" x14ac:dyDescent="0.25">
      <c r="A10842" s="6"/>
    </row>
    <row r="10843" spans="1:1" ht="18.75" x14ac:dyDescent="0.25">
      <c r="A10843" s="6"/>
    </row>
    <row r="10844" spans="1:1" ht="18.75" x14ac:dyDescent="0.25">
      <c r="A10844" s="6"/>
    </row>
    <row r="10845" spans="1:1" ht="18.75" x14ac:dyDescent="0.25">
      <c r="A10845" s="6"/>
    </row>
    <row r="10846" spans="1:1" ht="18.75" x14ac:dyDescent="0.25">
      <c r="A10846" s="6"/>
    </row>
    <row r="10847" spans="1:1" ht="18.75" x14ac:dyDescent="0.25">
      <c r="A10847" s="6"/>
    </row>
    <row r="10848" spans="1:1" ht="18.75" x14ac:dyDescent="0.25">
      <c r="A10848" s="6"/>
    </row>
    <row r="10849" spans="1:1" ht="18.75" x14ac:dyDescent="0.25">
      <c r="A10849" s="6"/>
    </row>
    <row r="10850" spans="1:1" ht="18.75" x14ac:dyDescent="0.25">
      <c r="A10850" s="6"/>
    </row>
    <row r="10851" spans="1:1" ht="18.75" x14ac:dyDescent="0.25">
      <c r="A10851" s="6"/>
    </row>
    <row r="10852" spans="1:1" ht="18.75" x14ac:dyDescent="0.25">
      <c r="A10852" s="6"/>
    </row>
    <row r="10853" spans="1:1" ht="18.75" x14ac:dyDescent="0.25">
      <c r="A10853" s="6"/>
    </row>
    <row r="10854" spans="1:1" ht="18.75" x14ac:dyDescent="0.25">
      <c r="A10854" s="6"/>
    </row>
    <row r="10855" spans="1:1" ht="18.75" x14ac:dyDescent="0.25">
      <c r="A10855" s="6"/>
    </row>
    <row r="10856" spans="1:1" ht="18.75" x14ac:dyDescent="0.25">
      <c r="A10856" s="6"/>
    </row>
    <row r="10857" spans="1:1" ht="18.75" x14ac:dyDescent="0.25">
      <c r="A10857" s="6"/>
    </row>
    <row r="10858" spans="1:1" ht="18.75" x14ac:dyDescent="0.25">
      <c r="A10858" s="6"/>
    </row>
    <row r="10859" spans="1:1" ht="18.75" x14ac:dyDescent="0.25">
      <c r="A10859" s="6"/>
    </row>
    <row r="10860" spans="1:1" ht="18.75" x14ac:dyDescent="0.25">
      <c r="A10860" s="6"/>
    </row>
    <row r="10861" spans="1:1" ht="18.75" x14ac:dyDescent="0.25">
      <c r="A10861" s="6"/>
    </row>
    <row r="10862" spans="1:1" ht="18.75" x14ac:dyDescent="0.25">
      <c r="A10862" s="6"/>
    </row>
    <row r="10863" spans="1:1" ht="18.75" x14ac:dyDescent="0.25">
      <c r="A10863" s="6"/>
    </row>
    <row r="10864" spans="1:1" ht="18.75" x14ac:dyDescent="0.25">
      <c r="A10864" s="6"/>
    </row>
    <row r="10865" spans="1:1" ht="18.75" x14ac:dyDescent="0.25">
      <c r="A10865" s="6"/>
    </row>
    <row r="10866" spans="1:1" ht="18.75" x14ac:dyDescent="0.25">
      <c r="A10866" s="6"/>
    </row>
    <row r="10867" spans="1:1" ht="18.75" x14ac:dyDescent="0.25">
      <c r="A10867" s="6"/>
    </row>
    <row r="10868" spans="1:1" ht="18.75" x14ac:dyDescent="0.25">
      <c r="A10868" s="6"/>
    </row>
    <row r="10869" spans="1:1" ht="18.75" x14ac:dyDescent="0.25">
      <c r="A10869" s="6"/>
    </row>
    <row r="10870" spans="1:1" ht="18.75" x14ac:dyDescent="0.25">
      <c r="A10870" s="6"/>
    </row>
    <row r="10871" spans="1:1" ht="18.75" x14ac:dyDescent="0.25">
      <c r="A10871" s="6"/>
    </row>
    <row r="10872" spans="1:1" ht="18.75" x14ac:dyDescent="0.25">
      <c r="A10872" s="6"/>
    </row>
    <row r="10873" spans="1:1" ht="18.75" x14ac:dyDescent="0.25">
      <c r="A10873" s="6"/>
    </row>
    <row r="10874" spans="1:1" ht="18.75" x14ac:dyDescent="0.25">
      <c r="A10874" s="6"/>
    </row>
    <row r="10875" spans="1:1" ht="18.75" x14ac:dyDescent="0.25">
      <c r="A10875" s="6"/>
    </row>
    <row r="10876" spans="1:1" ht="18.75" x14ac:dyDescent="0.25">
      <c r="A10876" s="6"/>
    </row>
    <row r="10877" spans="1:1" ht="18.75" x14ac:dyDescent="0.25">
      <c r="A10877" s="6"/>
    </row>
    <row r="10878" spans="1:1" ht="18.75" x14ac:dyDescent="0.25">
      <c r="A10878" s="6"/>
    </row>
    <row r="10879" spans="1:1" ht="18.75" x14ac:dyDescent="0.25">
      <c r="A10879" s="6"/>
    </row>
    <row r="10880" spans="1:1" ht="18.75" x14ac:dyDescent="0.25">
      <c r="A10880" s="6"/>
    </row>
    <row r="10881" spans="1:1" ht="18.75" x14ac:dyDescent="0.25">
      <c r="A10881" s="6"/>
    </row>
    <row r="10882" spans="1:1" ht="18.75" x14ac:dyDescent="0.25">
      <c r="A10882" s="6"/>
    </row>
    <row r="10883" spans="1:1" ht="18.75" x14ac:dyDescent="0.25">
      <c r="A10883" s="6"/>
    </row>
    <row r="10884" spans="1:1" ht="18.75" x14ac:dyDescent="0.25">
      <c r="A10884" s="6"/>
    </row>
    <row r="10885" spans="1:1" ht="18.75" x14ac:dyDescent="0.25">
      <c r="A10885" s="6"/>
    </row>
    <row r="10886" spans="1:1" ht="18.75" x14ac:dyDescent="0.25">
      <c r="A10886" s="6"/>
    </row>
    <row r="10887" spans="1:1" ht="18.75" x14ac:dyDescent="0.25">
      <c r="A10887" s="6"/>
    </row>
    <row r="10888" spans="1:1" ht="18.75" x14ac:dyDescent="0.25">
      <c r="A10888" s="6"/>
    </row>
    <row r="10889" spans="1:1" ht="18.75" x14ac:dyDescent="0.25">
      <c r="A10889" s="6"/>
    </row>
    <row r="10890" spans="1:1" ht="18.75" x14ac:dyDescent="0.25">
      <c r="A10890" s="6"/>
    </row>
    <row r="10891" spans="1:1" ht="18.75" x14ac:dyDescent="0.25">
      <c r="A10891" s="6"/>
    </row>
    <row r="10892" spans="1:1" ht="18.75" x14ac:dyDescent="0.25">
      <c r="A10892" s="6"/>
    </row>
    <row r="10893" spans="1:1" ht="18.75" x14ac:dyDescent="0.25">
      <c r="A10893" s="6"/>
    </row>
    <row r="10894" spans="1:1" ht="18.75" x14ac:dyDescent="0.25">
      <c r="A10894" s="6"/>
    </row>
    <row r="10895" spans="1:1" ht="18.75" x14ac:dyDescent="0.25">
      <c r="A10895" s="6"/>
    </row>
    <row r="10896" spans="1:1" ht="18.75" x14ac:dyDescent="0.25">
      <c r="A10896" s="6"/>
    </row>
    <row r="10897" spans="1:1" ht="18.75" x14ac:dyDescent="0.25">
      <c r="A10897" s="6"/>
    </row>
    <row r="10898" spans="1:1" ht="18.75" x14ac:dyDescent="0.25">
      <c r="A10898" s="6"/>
    </row>
    <row r="10899" spans="1:1" ht="18.75" x14ac:dyDescent="0.25">
      <c r="A10899" s="6"/>
    </row>
    <row r="10900" spans="1:1" ht="18.75" x14ac:dyDescent="0.25">
      <c r="A10900" s="6"/>
    </row>
    <row r="10901" spans="1:1" ht="18.75" x14ac:dyDescent="0.25">
      <c r="A10901" s="6"/>
    </row>
    <row r="10902" spans="1:1" ht="18.75" x14ac:dyDescent="0.25">
      <c r="A10902" s="6"/>
    </row>
    <row r="10903" spans="1:1" ht="18.75" x14ac:dyDescent="0.25">
      <c r="A10903" s="6"/>
    </row>
    <row r="10904" spans="1:1" ht="18.75" x14ac:dyDescent="0.25">
      <c r="A10904" s="6"/>
    </row>
    <row r="10905" spans="1:1" ht="18.75" x14ac:dyDescent="0.25">
      <c r="A10905" s="6"/>
    </row>
    <row r="10906" spans="1:1" ht="18.75" x14ac:dyDescent="0.25">
      <c r="A10906" s="6"/>
    </row>
    <row r="10907" spans="1:1" ht="18.75" x14ac:dyDescent="0.25">
      <c r="A10907" s="6"/>
    </row>
    <row r="10908" spans="1:1" ht="18.75" x14ac:dyDescent="0.25">
      <c r="A10908" s="6"/>
    </row>
    <row r="10909" spans="1:1" ht="18.75" x14ac:dyDescent="0.25">
      <c r="A10909" s="6"/>
    </row>
    <row r="10910" spans="1:1" ht="18.75" x14ac:dyDescent="0.25">
      <c r="A10910" s="6"/>
    </row>
    <row r="10911" spans="1:1" ht="18.75" x14ac:dyDescent="0.25">
      <c r="A10911" s="6"/>
    </row>
    <row r="10912" spans="1:1" ht="18.75" x14ac:dyDescent="0.25">
      <c r="A10912" s="6"/>
    </row>
    <row r="10913" spans="1:1" ht="18.75" x14ac:dyDescent="0.25">
      <c r="A10913" s="6"/>
    </row>
    <row r="10914" spans="1:1" ht="18.75" x14ac:dyDescent="0.25">
      <c r="A10914" s="6"/>
    </row>
    <row r="10915" spans="1:1" ht="18.75" x14ac:dyDescent="0.25">
      <c r="A10915" s="6"/>
    </row>
    <row r="10916" spans="1:1" ht="18.75" x14ac:dyDescent="0.25">
      <c r="A10916" s="6"/>
    </row>
    <row r="10917" spans="1:1" ht="18.75" x14ac:dyDescent="0.25">
      <c r="A10917" s="6"/>
    </row>
    <row r="10918" spans="1:1" ht="18.75" x14ac:dyDescent="0.25">
      <c r="A10918" s="6"/>
    </row>
    <row r="10919" spans="1:1" ht="18.75" x14ac:dyDescent="0.25">
      <c r="A10919" s="6"/>
    </row>
    <row r="10920" spans="1:1" ht="18.75" x14ac:dyDescent="0.25">
      <c r="A10920" s="6"/>
    </row>
    <row r="10921" spans="1:1" ht="18.75" x14ac:dyDescent="0.25">
      <c r="A10921" s="6"/>
    </row>
    <row r="10922" spans="1:1" ht="18.75" x14ac:dyDescent="0.25">
      <c r="A10922" s="6"/>
    </row>
    <row r="10923" spans="1:1" ht="18.75" x14ac:dyDescent="0.25">
      <c r="A10923" s="6"/>
    </row>
    <row r="10924" spans="1:1" ht="18.75" x14ac:dyDescent="0.25">
      <c r="A10924" s="6"/>
    </row>
    <row r="10925" spans="1:1" ht="18.75" x14ac:dyDescent="0.25">
      <c r="A10925" s="6"/>
    </row>
    <row r="10926" spans="1:1" ht="18.75" x14ac:dyDescent="0.25">
      <c r="A10926" s="6"/>
    </row>
    <row r="10927" spans="1:1" ht="18.75" x14ac:dyDescent="0.25">
      <c r="A10927" s="6"/>
    </row>
    <row r="10928" spans="1:1" ht="18.75" x14ac:dyDescent="0.25">
      <c r="A10928" s="6"/>
    </row>
    <row r="10929" spans="1:1" ht="18.75" x14ac:dyDescent="0.25">
      <c r="A10929" s="6"/>
    </row>
    <row r="10930" spans="1:1" ht="18.75" x14ac:dyDescent="0.25">
      <c r="A10930" s="6"/>
    </row>
    <row r="10931" spans="1:1" ht="18.75" x14ac:dyDescent="0.25">
      <c r="A10931" s="6"/>
    </row>
    <row r="10932" spans="1:1" ht="18.75" x14ac:dyDescent="0.25">
      <c r="A10932" s="6"/>
    </row>
    <row r="10933" spans="1:1" ht="18.75" x14ac:dyDescent="0.25">
      <c r="A10933" s="6"/>
    </row>
    <row r="10934" spans="1:1" ht="18.75" x14ac:dyDescent="0.25">
      <c r="A10934" s="6"/>
    </row>
    <row r="10935" spans="1:1" ht="18.75" x14ac:dyDescent="0.25">
      <c r="A10935" s="6"/>
    </row>
    <row r="10936" spans="1:1" ht="18.75" x14ac:dyDescent="0.25">
      <c r="A10936" s="6"/>
    </row>
    <row r="10937" spans="1:1" ht="18.75" x14ac:dyDescent="0.25">
      <c r="A10937" s="6"/>
    </row>
    <row r="10938" spans="1:1" ht="18.75" x14ac:dyDescent="0.25">
      <c r="A10938" s="6"/>
    </row>
    <row r="10939" spans="1:1" ht="18.75" x14ac:dyDescent="0.25">
      <c r="A10939" s="6"/>
    </row>
    <row r="10940" spans="1:1" ht="18.75" x14ac:dyDescent="0.25">
      <c r="A10940" s="6"/>
    </row>
    <row r="10941" spans="1:1" ht="18.75" x14ac:dyDescent="0.25">
      <c r="A10941" s="6"/>
    </row>
    <row r="10942" spans="1:1" ht="18.75" x14ac:dyDescent="0.25">
      <c r="A10942" s="6"/>
    </row>
    <row r="10943" spans="1:1" ht="18.75" x14ac:dyDescent="0.25">
      <c r="A10943" s="6"/>
    </row>
    <row r="10944" spans="1:1" ht="18.75" x14ac:dyDescent="0.25">
      <c r="A10944" s="6"/>
    </row>
    <row r="10945" spans="1:1" ht="18.75" x14ac:dyDescent="0.25">
      <c r="A10945" s="6"/>
    </row>
    <row r="10946" spans="1:1" ht="18.75" x14ac:dyDescent="0.25">
      <c r="A10946" s="6"/>
    </row>
    <row r="10947" spans="1:1" ht="18.75" x14ac:dyDescent="0.25">
      <c r="A10947" s="6"/>
    </row>
    <row r="10948" spans="1:1" ht="18.75" x14ac:dyDescent="0.25">
      <c r="A10948" s="6"/>
    </row>
    <row r="10949" spans="1:1" ht="18.75" x14ac:dyDescent="0.25">
      <c r="A10949" s="6"/>
    </row>
    <row r="10950" spans="1:1" ht="18.75" x14ac:dyDescent="0.25">
      <c r="A10950" s="6"/>
    </row>
    <row r="10951" spans="1:1" ht="18.75" x14ac:dyDescent="0.25">
      <c r="A10951" s="6"/>
    </row>
    <row r="10952" spans="1:1" ht="18.75" x14ac:dyDescent="0.25">
      <c r="A10952" s="6"/>
    </row>
    <row r="10953" spans="1:1" ht="18.75" x14ac:dyDescent="0.25">
      <c r="A10953" s="6"/>
    </row>
    <row r="10954" spans="1:1" ht="18.75" x14ac:dyDescent="0.25">
      <c r="A10954" s="6"/>
    </row>
    <row r="10955" spans="1:1" ht="18.75" x14ac:dyDescent="0.25">
      <c r="A10955" s="6"/>
    </row>
    <row r="10956" spans="1:1" ht="18.75" x14ac:dyDescent="0.25">
      <c r="A10956" s="6"/>
    </row>
    <row r="10957" spans="1:1" ht="18.75" x14ac:dyDescent="0.25">
      <c r="A10957" s="6"/>
    </row>
    <row r="10958" spans="1:1" ht="18.75" x14ac:dyDescent="0.25">
      <c r="A10958" s="6"/>
    </row>
    <row r="10959" spans="1:1" ht="18.75" x14ac:dyDescent="0.25">
      <c r="A10959" s="6"/>
    </row>
    <row r="10960" spans="1:1" ht="18.75" x14ac:dyDescent="0.25">
      <c r="A10960" s="6"/>
    </row>
    <row r="10961" spans="1:1" ht="18.75" x14ac:dyDescent="0.25">
      <c r="A10961" s="6"/>
    </row>
    <row r="10962" spans="1:1" ht="18.75" x14ac:dyDescent="0.25">
      <c r="A10962" s="6"/>
    </row>
    <row r="10963" spans="1:1" ht="18.75" x14ac:dyDescent="0.25">
      <c r="A10963" s="6"/>
    </row>
    <row r="10964" spans="1:1" ht="18.75" x14ac:dyDescent="0.25">
      <c r="A10964" s="6"/>
    </row>
    <row r="10965" spans="1:1" ht="18.75" x14ac:dyDescent="0.25">
      <c r="A10965" s="6"/>
    </row>
    <row r="10966" spans="1:1" ht="18.75" x14ac:dyDescent="0.25">
      <c r="A10966" s="6"/>
    </row>
    <row r="10967" spans="1:1" ht="18.75" x14ac:dyDescent="0.25">
      <c r="A10967" s="6"/>
    </row>
    <row r="10968" spans="1:1" ht="18.75" x14ac:dyDescent="0.25">
      <c r="A10968" s="6"/>
    </row>
    <row r="10969" spans="1:1" ht="18.75" x14ac:dyDescent="0.25">
      <c r="A10969" s="6"/>
    </row>
    <row r="10970" spans="1:1" ht="18.75" x14ac:dyDescent="0.25">
      <c r="A10970" s="6"/>
    </row>
    <row r="10971" spans="1:1" ht="18.75" x14ac:dyDescent="0.25">
      <c r="A10971" s="6"/>
    </row>
    <row r="10972" spans="1:1" ht="18.75" x14ac:dyDescent="0.25">
      <c r="A10972" s="6"/>
    </row>
    <row r="10973" spans="1:1" ht="18.75" x14ac:dyDescent="0.25">
      <c r="A10973" s="6"/>
    </row>
    <row r="10974" spans="1:1" ht="18.75" x14ac:dyDescent="0.25">
      <c r="A10974" s="6"/>
    </row>
    <row r="10975" spans="1:1" ht="18.75" x14ac:dyDescent="0.25">
      <c r="A10975" s="6"/>
    </row>
    <row r="10976" spans="1:1" ht="18.75" x14ac:dyDescent="0.25">
      <c r="A10976" s="6"/>
    </row>
    <row r="10977" spans="1:1" ht="18.75" x14ac:dyDescent="0.25">
      <c r="A10977" s="6"/>
    </row>
    <row r="10978" spans="1:1" ht="18.75" x14ac:dyDescent="0.25">
      <c r="A10978" s="6"/>
    </row>
    <row r="10979" spans="1:1" ht="18.75" x14ac:dyDescent="0.25">
      <c r="A10979" s="6"/>
    </row>
    <row r="10980" spans="1:1" ht="18.75" x14ac:dyDescent="0.25">
      <c r="A10980" s="6"/>
    </row>
    <row r="10981" spans="1:1" ht="18.75" x14ac:dyDescent="0.25">
      <c r="A10981" s="6"/>
    </row>
    <row r="10982" spans="1:1" ht="18.75" x14ac:dyDescent="0.25">
      <c r="A10982" s="6"/>
    </row>
    <row r="10983" spans="1:1" ht="18.75" x14ac:dyDescent="0.25">
      <c r="A10983" s="6"/>
    </row>
    <row r="10984" spans="1:1" ht="18.75" x14ac:dyDescent="0.25">
      <c r="A10984" s="6"/>
    </row>
    <row r="10985" spans="1:1" ht="18.75" x14ac:dyDescent="0.25">
      <c r="A10985" s="6"/>
    </row>
    <row r="10986" spans="1:1" ht="18.75" x14ac:dyDescent="0.25">
      <c r="A10986" s="6"/>
    </row>
    <row r="10987" spans="1:1" ht="18.75" x14ac:dyDescent="0.25">
      <c r="A10987" s="6"/>
    </row>
    <row r="10988" spans="1:1" ht="18.75" x14ac:dyDescent="0.25">
      <c r="A10988" s="6"/>
    </row>
    <row r="10989" spans="1:1" ht="18.75" x14ac:dyDescent="0.25">
      <c r="A10989" s="6"/>
    </row>
    <row r="10990" spans="1:1" ht="18.75" x14ac:dyDescent="0.25">
      <c r="A10990" s="6"/>
    </row>
    <row r="10991" spans="1:1" ht="18.75" x14ac:dyDescent="0.25">
      <c r="A10991" s="6"/>
    </row>
    <row r="10992" spans="1:1" ht="18.75" x14ac:dyDescent="0.25">
      <c r="A10992" s="6"/>
    </row>
    <row r="10993" spans="1:1" ht="18.75" x14ac:dyDescent="0.25">
      <c r="A10993" s="6"/>
    </row>
    <row r="10994" spans="1:1" ht="18.75" x14ac:dyDescent="0.25">
      <c r="A10994" s="6"/>
    </row>
    <row r="10995" spans="1:1" ht="18.75" x14ac:dyDescent="0.25">
      <c r="A10995" s="6"/>
    </row>
    <row r="10996" spans="1:1" ht="18.75" x14ac:dyDescent="0.25">
      <c r="A10996" s="6"/>
    </row>
    <row r="10997" spans="1:1" ht="18.75" x14ac:dyDescent="0.25">
      <c r="A10997" s="6"/>
    </row>
    <row r="10998" spans="1:1" ht="18.75" x14ac:dyDescent="0.25">
      <c r="A10998" s="6"/>
    </row>
    <row r="10999" spans="1:1" ht="18.75" x14ac:dyDescent="0.25">
      <c r="A10999" s="6"/>
    </row>
    <row r="11000" spans="1:1" ht="18.75" x14ac:dyDescent="0.25">
      <c r="A11000" s="6"/>
    </row>
    <row r="11001" spans="1:1" ht="18.75" x14ac:dyDescent="0.25">
      <c r="A11001" s="6"/>
    </row>
    <row r="11002" spans="1:1" ht="18.75" x14ac:dyDescent="0.25">
      <c r="A11002" s="6"/>
    </row>
    <row r="11003" spans="1:1" ht="18.75" x14ac:dyDescent="0.25">
      <c r="A11003" s="6"/>
    </row>
    <row r="11004" spans="1:1" ht="18.75" x14ac:dyDescent="0.25">
      <c r="A11004" s="6"/>
    </row>
    <row r="11005" spans="1:1" ht="18.75" x14ac:dyDescent="0.25">
      <c r="A11005" s="6"/>
    </row>
    <row r="11006" spans="1:1" ht="18.75" x14ac:dyDescent="0.25">
      <c r="A11006" s="6"/>
    </row>
    <row r="11007" spans="1:1" ht="18.75" x14ac:dyDescent="0.25">
      <c r="A11007" s="6"/>
    </row>
    <row r="11008" spans="1:1" ht="18.75" x14ac:dyDescent="0.25">
      <c r="A11008" s="6"/>
    </row>
    <row r="11009" spans="1:1" ht="18.75" x14ac:dyDescent="0.25">
      <c r="A11009" s="6"/>
    </row>
    <row r="11010" spans="1:1" ht="18.75" x14ac:dyDescent="0.25">
      <c r="A11010" s="6"/>
    </row>
    <row r="11011" spans="1:1" ht="18.75" x14ac:dyDescent="0.25">
      <c r="A11011" s="6"/>
    </row>
    <row r="11012" spans="1:1" ht="18.75" x14ac:dyDescent="0.25">
      <c r="A11012" s="6"/>
    </row>
    <row r="11013" spans="1:1" ht="18.75" x14ac:dyDescent="0.25">
      <c r="A11013" s="6"/>
    </row>
    <row r="11014" spans="1:1" ht="18.75" x14ac:dyDescent="0.25">
      <c r="A11014" s="6"/>
    </row>
    <row r="11015" spans="1:1" ht="18.75" x14ac:dyDescent="0.25">
      <c r="A11015" s="6"/>
    </row>
    <row r="11016" spans="1:1" ht="18.75" x14ac:dyDescent="0.25">
      <c r="A11016" s="6"/>
    </row>
    <row r="11017" spans="1:1" ht="18.75" x14ac:dyDescent="0.25">
      <c r="A11017" s="6"/>
    </row>
    <row r="11018" spans="1:1" ht="18.75" x14ac:dyDescent="0.25">
      <c r="A11018" s="6"/>
    </row>
    <row r="11019" spans="1:1" ht="18.75" x14ac:dyDescent="0.25">
      <c r="A11019" s="6"/>
    </row>
    <row r="11020" spans="1:1" ht="18.75" x14ac:dyDescent="0.25">
      <c r="A11020" s="6"/>
    </row>
    <row r="11021" spans="1:1" ht="18.75" x14ac:dyDescent="0.25">
      <c r="A11021" s="6"/>
    </row>
    <row r="11022" spans="1:1" ht="18.75" x14ac:dyDescent="0.25">
      <c r="A11022" s="6"/>
    </row>
    <row r="11023" spans="1:1" ht="18.75" x14ac:dyDescent="0.25">
      <c r="A11023" s="6"/>
    </row>
    <row r="11024" spans="1:1" ht="18.75" x14ac:dyDescent="0.25">
      <c r="A11024" s="6"/>
    </row>
    <row r="11025" spans="1:1" ht="18.75" x14ac:dyDescent="0.25">
      <c r="A11025" s="6"/>
    </row>
    <row r="11026" spans="1:1" ht="18.75" x14ac:dyDescent="0.25">
      <c r="A11026" s="6"/>
    </row>
    <row r="11027" spans="1:1" ht="18.75" x14ac:dyDescent="0.25">
      <c r="A11027" s="6"/>
    </row>
    <row r="11028" spans="1:1" ht="18.75" x14ac:dyDescent="0.25">
      <c r="A11028" s="6"/>
    </row>
    <row r="11029" spans="1:1" ht="18.75" x14ac:dyDescent="0.25">
      <c r="A11029" s="6"/>
    </row>
    <row r="11030" spans="1:1" ht="18.75" x14ac:dyDescent="0.25">
      <c r="A11030" s="6"/>
    </row>
    <row r="11031" spans="1:1" ht="18.75" x14ac:dyDescent="0.25">
      <c r="A11031" s="6"/>
    </row>
    <row r="11032" spans="1:1" ht="18.75" x14ac:dyDescent="0.25">
      <c r="A11032" s="6"/>
    </row>
    <row r="11033" spans="1:1" ht="18.75" x14ac:dyDescent="0.25">
      <c r="A11033" s="6"/>
    </row>
    <row r="11034" spans="1:1" ht="18.75" x14ac:dyDescent="0.25">
      <c r="A11034" s="6"/>
    </row>
    <row r="11035" spans="1:1" ht="18.75" x14ac:dyDescent="0.25">
      <c r="A11035" s="6"/>
    </row>
    <row r="11036" spans="1:1" ht="18.75" x14ac:dyDescent="0.25">
      <c r="A11036" s="6"/>
    </row>
    <row r="11037" spans="1:1" ht="18.75" x14ac:dyDescent="0.25">
      <c r="A11037" s="6"/>
    </row>
    <row r="11038" spans="1:1" ht="18.75" x14ac:dyDescent="0.25">
      <c r="A11038" s="6"/>
    </row>
    <row r="11039" spans="1:1" ht="18.75" x14ac:dyDescent="0.25">
      <c r="A11039" s="6"/>
    </row>
    <row r="11040" spans="1:1" ht="18.75" x14ac:dyDescent="0.25">
      <c r="A11040" s="6"/>
    </row>
    <row r="11041" spans="1:1" ht="18.75" x14ac:dyDescent="0.25">
      <c r="A11041" s="6"/>
    </row>
    <row r="11042" spans="1:1" ht="18.75" x14ac:dyDescent="0.25">
      <c r="A11042" s="6"/>
    </row>
    <row r="11043" spans="1:1" ht="18.75" x14ac:dyDescent="0.25">
      <c r="A11043" s="6"/>
    </row>
    <row r="11044" spans="1:1" ht="18.75" x14ac:dyDescent="0.25">
      <c r="A11044" s="6"/>
    </row>
    <row r="11045" spans="1:1" ht="18.75" x14ac:dyDescent="0.25">
      <c r="A11045" s="6"/>
    </row>
    <row r="11046" spans="1:1" ht="18.75" x14ac:dyDescent="0.25">
      <c r="A11046" s="6"/>
    </row>
    <row r="11047" spans="1:1" ht="18.75" x14ac:dyDescent="0.25">
      <c r="A11047" s="6"/>
    </row>
    <row r="11048" spans="1:1" ht="18.75" x14ac:dyDescent="0.25">
      <c r="A11048" s="6"/>
    </row>
    <row r="11049" spans="1:1" ht="18.75" x14ac:dyDescent="0.25">
      <c r="A11049" s="6"/>
    </row>
    <row r="11050" spans="1:1" ht="18.75" x14ac:dyDescent="0.25">
      <c r="A11050" s="6"/>
    </row>
    <row r="11051" spans="1:1" ht="18.75" x14ac:dyDescent="0.25">
      <c r="A11051" s="6"/>
    </row>
    <row r="11052" spans="1:1" ht="18.75" x14ac:dyDescent="0.25">
      <c r="A11052" s="6"/>
    </row>
    <row r="11053" spans="1:1" ht="18.75" x14ac:dyDescent="0.25">
      <c r="A11053" s="6"/>
    </row>
    <row r="11054" spans="1:1" ht="18.75" x14ac:dyDescent="0.25">
      <c r="A11054" s="6"/>
    </row>
    <row r="11055" spans="1:1" ht="18.75" x14ac:dyDescent="0.25">
      <c r="A11055" s="6"/>
    </row>
    <row r="11056" spans="1:1" ht="18.75" x14ac:dyDescent="0.25">
      <c r="A11056" s="6"/>
    </row>
    <row r="11057" spans="1:1" ht="18.75" x14ac:dyDescent="0.25">
      <c r="A11057" s="6"/>
    </row>
    <row r="11058" spans="1:1" ht="18.75" x14ac:dyDescent="0.25">
      <c r="A11058" s="6"/>
    </row>
    <row r="11059" spans="1:1" ht="18.75" x14ac:dyDescent="0.25">
      <c r="A11059" s="6"/>
    </row>
    <row r="11060" spans="1:1" ht="18.75" x14ac:dyDescent="0.25">
      <c r="A11060" s="6"/>
    </row>
    <row r="11061" spans="1:1" ht="18.75" x14ac:dyDescent="0.25">
      <c r="A11061" s="6"/>
    </row>
    <row r="11062" spans="1:1" ht="18.75" x14ac:dyDescent="0.25">
      <c r="A11062" s="6"/>
    </row>
    <row r="11063" spans="1:1" ht="18.75" x14ac:dyDescent="0.25">
      <c r="A11063" s="6"/>
    </row>
    <row r="11064" spans="1:1" ht="18.75" x14ac:dyDescent="0.25">
      <c r="A11064" s="6"/>
    </row>
    <row r="11065" spans="1:1" ht="18.75" x14ac:dyDescent="0.25">
      <c r="A11065" s="6"/>
    </row>
    <row r="11066" spans="1:1" ht="18.75" x14ac:dyDescent="0.25">
      <c r="A11066" s="6"/>
    </row>
    <row r="11067" spans="1:1" ht="18.75" x14ac:dyDescent="0.25">
      <c r="A11067" s="6"/>
    </row>
    <row r="11068" spans="1:1" ht="18.75" x14ac:dyDescent="0.25">
      <c r="A11068" s="6"/>
    </row>
    <row r="11069" spans="1:1" ht="18.75" x14ac:dyDescent="0.25">
      <c r="A11069" s="6"/>
    </row>
    <row r="11070" spans="1:1" ht="18.75" x14ac:dyDescent="0.25">
      <c r="A11070" s="6"/>
    </row>
    <row r="11071" spans="1:1" ht="18.75" x14ac:dyDescent="0.25">
      <c r="A11071" s="6"/>
    </row>
    <row r="11072" spans="1:1" ht="18.75" x14ac:dyDescent="0.25">
      <c r="A11072" s="6"/>
    </row>
    <row r="11073" spans="1:1" ht="18.75" x14ac:dyDescent="0.25">
      <c r="A11073" s="6"/>
    </row>
    <row r="11074" spans="1:1" ht="18.75" x14ac:dyDescent="0.25">
      <c r="A11074" s="6"/>
    </row>
    <row r="11075" spans="1:1" ht="18.75" x14ac:dyDescent="0.25">
      <c r="A11075" s="6"/>
    </row>
    <row r="11076" spans="1:1" ht="18.75" x14ac:dyDescent="0.25">
      <c r="A11076" s="6"/>
    </row>
    <row r="11077" spans="1:1" ht="18.75" x14ac:dyDescent="0.25">
      <c r="A11077" s="6"/>
    </row>
    <row r="11078" spans="1:1" ht="18.75" x14ac:dyDescent="0.25">
      <c r="A11078" s="6"/>
    </row>
    <row r="11079" spans="1:1" ht="18.75" x14ac:dyDescent="0.25">
      <c r="A11079" s="6"/>
    </row>
    <row r="11080" spans="1:1" ht="18.75" x14ac:dyDescent="0.25">
      <c r="A11080" s="6"/>
    </row>
    <row r="11081" spans="1:1" ht="18.75" x14ac:dyDescent="0.25">
      <c r="A11081" s="6"/>
    </row>
    <row r="11082" spans="1:1" ht="18.75" x14ac:dyDescent="0.25">
      <c r="A11082" s="6"/>
    </row>
    <row r="11083" spans="1:1" ht="18.75" x14ac:dyDescent="0.25">
      <c r="A11083" s="6"/>
    </row>
    <row r="11084" spans="1:1" ht="18.75" x14ac:dyDescent="0.25">
      <c r="A11084" s="6"/>
    </row>
    <row r="11085" spans="1:1" ht="18.75" x14ac:dyDescent="0.25">
      <c r="A11085" s="6"/>
    </row>
    <row r="11086" spans="1:1" ht="18.75" x14ac:dyDescent="0.25">
      <c r="A11086" s="6"/>
    </row>
    <row r="11087" spans="1:1" ht="18.75" x14ac:dyDescent="0.25">
      <c r="A11087" s="6"/>
    </row>
    <row r="11088" spans="1:1" ht="18.75" x14ac:dyDescent="0.25">
      <c r="A11088" s="6"/>
    </row>
    <row r="11089" spans="1:1" ht="18.75" x14ac:dyDescent="0.25">
      <c r="A11089" s="6"/>
    </row>
    <row r="11090" spans="1:1" ht="18.75" x14ac:dyDescent="0.25">
      <c r="A11090" s="6"/>
    </row>
    <row r="11091" spans="1:1" ht="18.75" x14ac:dyDescent="0.25">
      <c r="A11091" s="6"/>
    </row>
    <row r="11092" spans="1:1" ht="18.75" x14ac:dyDescent="0.25">
      <c r="A11092" s="6"/>
    </row>
    <row r="11093" spans="1:1" ht="18.75" x14ac:dyDescent="0.25">
      <c r="A11093" s="6"/>
    </row>
    <row r="11094" spans="1:1" ht="18.75" x14ac:dyDescent="0.25">
      <c r="A11094" s="6"/>
    </row>
    <row r="11095" spans="1:1" ht="18.75" x14ac:dyDescent="0.25">
      <c r="A11095" s="6"/>
    </row>
    <row r="11096" spans="1:1" ht="18.75" x14ac:dyDescent="0.25">
      <c r="A11096" s="6"/>
    </row>
    <row r="11097" spans="1:1" ht="18.75" x14ac:dyDescent="0.25">
      <c r="A11097" s="6"/>
    </row>
    <row r="11098" spans="1:1" ht="18.75" x14ac:dyDescent="0.25">
      <c r="A11098" s="6"/>
    </row>
    <row r="11099" spans="1:1" ht="18.75" x14ac:dyDescent="0.25">
      <c r="A11099" s="6"/>
    </row>
    <row r="11100" spans="1:1" ht="18.75" x14ac:dyDescent="0.25">
      <c r="A11100" s="6"/>
    </row>
    <row r="11101" spans="1:1" ht="18.75" x14ac:dyDescent="0.25">
      <c r="A11101" s="6"/>
    </row>
    <row r="11102" spans="1:1" ht="18.75" x14ac:dyDescent="0.25">
      <c r="A11102" s="6"/>
    </row>
    <row r="11103" spans="1:1" ht="18.75" x14ac:dyDescent="0.25">
      <c r="A11103" s="6"/>
    </row>
    <row r="11104" spans="1:1" ht="18.75" x14ac:dyDescent="0.25">
      <c r="A11104" s="6"/>
    </row>
    <row r="11105" spans="1:1" ht="18.75" x14ac:dyDescent="0.25">
      <c r="A11105" s="6"/>
    </row>
    <row r="11106" spans="1:1" ht="18.75" x14ac:dyDescent="0.25">
      <c r="A11106" s="6"/>
    </row>
    <row r="11107" spans="1:1" ht="18.75" x14ac:dyDescent="0.25">
      <c r="A11107" s="6"/>
    </row>
    <row r="11108" spans="1:1" ht="18.75" x14ac:dyDescent="0.25">
      <c r="A11108" s="6"/>
    </row>
    <row r="11109" spans="1:1" ht="18.75" x14ac:dyDescent="0.25">
      <c r="A11109" s="6"/>
    </row>
    <row r="11110" spans="1:1" ht="18.75" x14ac:dyDescent="0.25">
      <c r="A11110" s="6"/>
    </row>
    <row r="11111" spans="1:1" ht="18.75" x14ac:dyDescent="0.25">
      <c r="A11111" s="6"/>
    </row>
    <row r="11112" spans="1:1" ht="18.75" x14ac:dyDescent="0.25">
      <c r="A11112" s="6"/>
    </row>
    <row r="11113" spans="1:1" ht="18.75" x14ac:dyDescent="0.25">
      <c r="A11113" s="6"/>
    </row>
    <row r="11114" spans="1:1" ht="18.75" x14ac:dyDescent="0.25">
      <c r="A11114" s="6"/>
    </row>
    <row r="11115" spans="1:1" ht="18.75" x14ac:dyDescent="0.25">
      <c r="A11115" s="6"/>
    </row>
    <row r="11116" spans="1:1" ht="18.75" x14ac:dyDescent="0.25">
      <c r="A11116" s="6"/>
    </row>
    <row r="11117" spans="1:1" ht="18.75" x14ac:dyDescent="0.25">
      <c r="A11117" s="6"/>
    </row>
    <row r="11118" spans="1:1" ht="18.75" x14ac:dyDescent="0.25">
      <c r="A11118" s="6"/>
    </row>
    <row r="11119" spans="1:1" ht="18.75" x14ac:dyDescent="0.25">
      <c r="A11119" s="6"/>
    </row>
    <row r="11120" spans="1:1" ht="18.75" x14ac:dyDescent="0.25">
      <c r="A11120" s="6"/>
    </row>
    <row r="11121" spans="1:1" ht="18.75" x14ac:dyDescent="0.25">
      <c r="A11121" s="6"/>
    </row>
    <row r="11122" spans="1:1" ht="18.75" x14ac:dyDescent="0.25">
      <c r="A11122" s="6"/>
    </row>
    <row r="11123" spans="1:1" ht="18.75" x14ac:dyDescent="0.25">
      <c r="A11123" s="6"/>
    </row>
    <row r="11124" spans="1:1" ht="18.75" x14ac:dyDescent="0.25">
      <c r="A11124" s="6"/>
    </row>
    <row r="11125" spans="1:1" ht="18.75" x14ac:dyDescent="0.25">
      <c r="A11125" s="6"/>
    </row>
    <row r="11126" spans="1:1" ht="18.75" x14ac:dyDescent="0.25">
      <c r="A11126" s="6"/>
    </row>
    <row r="11127" spans="1:1" ht="18.75" x14ac:dyDescent="0.25">
      <c r="A11127" s="6"/>
    </row>
    <row r="11128" spans="1:1" ht="18.75" x14ac:dyDescent="0.25">
      <c r="A11128" s="6"/>
    </row>
    <row r="11129" spans="1:1" ht="18.75" x14ac:dyDescent="0.25">
      <c r="A11129" s="6"/>
    </row>
    <row r="11130" spans="1:1" ht="18.75" x14ac:dyDescent="0.25">
      <c r="A11130" s="6"/>
    </row>
    <row r="11131" spans="1:1" ht="18.75" x14ac:dyDescent="0.25">
      <c r="A11131" s="6"/>
    </row>
    <row r="11132" spans="1:1" ht="18.75" x14ac:dyDescent="0.25">
      <c r="A11132" s="6"/>
    </row>
    <row r="11133" spans="1:1" ht="18.75" x14ac:dyDescent="0.25">
      <c r="A11133" s="6"/>
    </row>
    <row r="11134" spans="1:1" ht="18.75" x14ac:dyDescent="0.25">
      <c r="A11134" s="6"/>
    </row>
    <row r="11135" spans="1:1" ht="18.75" x14ac:dyDescent="0.25">
      <c r="A11135" s="6"/>
    </row>
    <row r="11136" spans="1:1" ht="18.75" x14ac:dyDescent="0.25">
      <c r="A11136" s="6"/>
    </row>
    <row r="11137" spans="1:1" ht="18.75" x14ac:dyDescent="0.25">
      <c r="A11137" s="6"/>
    </row>
    <row r="11138" spans="1:1" ht="18.75" x14ac:dyDescent="0.25">
      <c r="A11138" s="6"/>
    </row>
    <row r="11139" spans="1:1" ht="18.75" x14ac:dyDescent="0.25">
      <c r="A11139" s="6"/>
    </row>
    <row r="11140" spans="1:1" ht="18.75" x14ac:dyDescent="0.25">
      <c r="A11140" s="6"/>
    </row>
    <row r="11141" spans="1:1" ht="18.75" x14ac:dyDescent="0.25">
      <c r="A11141" s="6"/>
    </row>
    <row r="11142" spans="1:1" ht="18.75" x14ac:dyDescent="0.25">
      <c r="A11142" s="6"/>
    </row>
    <row r="11143" spans="1:1" ht="18.75" x14ac:dyDescent="0.25">
      <c r="A11143" s="6"/>
    </row>
    <row r="11144" spans="1:1" ht="18.75" x14ac:dyDescent="0.25">
      <c r="A11144" s="6"/>
    </row>
    <row r="11145" spans="1:1" ht="18.75" x14ac:dyDescent="0.25">
      <c r="A11145" s="6"/>
    </row>
    <row r="11146" spans="1:1" ht="18.75" x14ac:dyDescent="0.25">
      <c r="A11146" s="6"/>
    </row>
    <row r="11147" spans="1:1" ht="18.75" x14ac:dyDescent="0.25">
      <c r="A11147" s="6"/>
    </row>
    <row r="11148" spans="1:1" ht="18.75" x14ac:dyDescent="0.25">
      <c r="A11148" s="6"/>
    </row>
    <row r="11149" spans="1:1" ht="18.75" x14ac:dyDescent="0.25">
      <c r="A11149" s="6"/>
    </row>
    <row r="11150" spans="1:1" ht="18.75" x14ac:dyDescent="0.25">
      <c r="A11150" s="6"/>
    </row>
    <row r="11151" spans="1:1" ht="18.75" x14ac:dyDescent="0.25">
      <c r="A11151" s="6"/>
    </row>
    <row r="11152" spans="1:1" ht="18.75" x14ac:dyDescent="0.25">
      <c r="A11152" s="6"/>
    </row>
    <row r="11153" spans="1:1" ht="18.75" x14ac:dyDescent="0.25">
      <c r="A11153" s="6"/>
    </row>
    <row r="11154" spans="1:1" ht="18.75" x14ac:dyDescent="0.25">
      <c r="A11154" s="6"/>
    </row>
    <row r="11155" spans="1:1" ht="18.75" x14ac:dyDescent="0.25">
      <c r="A11155" s="6"/>
    </row>
    <row r="11156" spans="1:1" ht="18.75" x14ac:dyDescent="0.25">
      <c r="A11156" s="6"/>
    </row>
    <row r="11157" spans="1:1" ht="18.75" x14ac:dyDescent="0.25">
      <c r="A11157" s="6"/>
    </row>
    <row r="11158" spans="1:1" ht="18.75" x14ac:dyDescent="0.25">
      <c r="A11158" s="6"/>
    </row>
    <row r="11159" spans="1:1" ht="18.75" x14ac:dyDescent="0.25">
      <c r="A11159" s="6"/>
    </row>
    <row r="11160" spans="1:1" ht="18.75" x14ac:dyDescent="0.25">
      <c r="A11160" s="6"/>
    </row>
    <row r="11161" spans="1:1" ht="18.75" x14ac:dyDescent="0.25">
      <c r="A11161" s="6"/>
    </row>
    <row r="11162" spans="1:1" ht="18.75" x14ac:dyDescent="0.25">
      <c r="A11162" s="6"/>
    </row>
    <row r="11163" spans="1:1" ht="18.75" x14ac:dyDescent="0.25">
      <c r="A11163" s="6"/>
    </row>
    <row r="11164" spans="1:1" ht="18.75" x14ac:dyDescent="0.25">
      <c r="A11164" s="6"/>
    </row>
    <row r="11165" spans="1:1" ht="18.75" x14ac:dyDescent="0.25">
      <c r="A11165" s="6"/>
    </row>
    <row r="11166" spans="1:1" ht="18.75" x14ac:dyDescent="0.25">
      <c r="A11166" s="6"/>
    </row>
    <row r="11167" spans="1:1" ht="18.75" x14ac:dyDescent="0.25">
      <c r="A11167" s="6"/>
    </row>
    <row r="11168" spans="1:1" ht="18.75" x14ac:dyDescent="0.25">
      <c r="A11168" s="6"/>
    </row>
    <row r="11169" spans="1:1" ht="18.75" x14ac:dyDescent="0.25">
      <c r="A11169" s="6"/>
    </row>
    <row r="11170" spans="1:1" ht="18.75" x14ac:dyDescent="0.25">
      <c r="A11170" s="6"/>
    </row>
    <row r="11171" spans="1:1" ht="18.75" x14ac:dyDescent="0.25">
      <c r="A11171" s="6"/>
    </row>
    <row r="11172" spans="1:1" ht="18.75" x14ac:dyDescent="0.25">
      <c r="A11172" s="6"/>
    </row>
    <row r="11173" spans="1:1" ht="18.75" x14ac:dyDescent="0.25">
      <c r="A11173" s="6"/>
    </row>
    <row r="11174" spans="1:1" ht="18.75" x14ac:dyDescent="0.25">
      <c r="A11174" s="6"/>
    </row>
    <row r="11175" spans="1:1" ht="18.75" x14ac:dyDescent="0.25">
      <c r="A11175" s="6"/>
    </row>
    <row r="11176" spans="1:1" ht="18.75" x14ac:dyDescent="0.25">
      <c r="A11176" s="6"/>
    </row>
    <row r="11177" spans="1:1" ht="18.75" x14ac:dyDescent="0.25">
      <c r="A11177" s="6"/>
    </row>
    <row r="11178" spans="1:1" ht="18.75" x14ac:dyDescent="0.25">
      <c r="A11178" s="6"/>
    </row>
    <row r="11179" spans="1:1" ht="18.75" x14ac:dyDescent="0.25">
      <c r="A11179" s="6"/>
    </row>
    <row r="11180" spans="1:1" ht="18.75" x14ac:dyDescent="0.25">
      <c r="A11180" s="6"/>
    </row>
    <row r="11181" spans="1:1" ht="18.75" x14ac:dyDescent="0.25">
      <c r="A11181" s="6"/>
    </row>
    <row r="11182" spans="1:1" ht="18.75" x14ac:dyDescent="0.25">
      <c r="A11182" s="6"/>
    </row>
    <row r="11183" spans="1:1" ht="18.75" x14ac:dyDescent="0.25">
      <c r="A11183" s="6"/>
    </row>
    <row r="11184" spans="1:1" ht="18.75" x14ac:dyDescent="0.25">
      <c r="A11184" s="6"/>
    </row>
    <row r="11185" spans="1:1" ht="18.75" x14ac:dyDescent="0.25">
      <c r="A11185" s="6"/>
    </row>
    <row r="11186" spans="1:1" ht="18.75" x14ac:dyDescent="0.25">
      <c r="A11186" s="6"/>
    </row>
    <row r="11187" spans="1:1" ht="18.75" x14ac:dyDescent="0.25">
      <c r="A11187" s="6"/>
    </row>
    <row r="11188" spans="1:1" ht="18.75" x14ac:dyDescent="0.25">
      <c r="A11188" s="6"/>
    </row>
    <row r="11189" spans="1:1" ht="18.75" x14ac:dyDescent="0.25">
      <c r="A11189" s="6"/>
    </row>
    <row r="11190" spans="1:1" ht="18.75" x14ac:dyDescent="0.25">
      <c r="A11190" s="6"/>
    </row>
    <row r="11191" spans="1:1" ht="18.75" x14ac:dyDescent="0.25">
      <c r="A11191" s="6"/>
    </row>
    <row r="11192" spans="1:1" ht="18.75" x14ac:dyDescent="0.25">
      <c r="A11192" s="6"/>
    </row>
    <row r="11193" spans="1:1" ht="18.75" x14ac:dyDescent="0.25">
      <c r="A11193" s="6"/>
    </row>
    <row r="11194" spans="1:1" ht="18.75" x14ac:dyDescent="0.25">
      <c r="A11194" s="6"/>
    </row>
    <row r="11195" spans="1:1" ht="18.75" x14ac:dyDescent="0.25">
      <c r="A11195" s="6"/>
    </row>
    <row r="11196" spans="1:1" ht="18.75" x14ac:dyDescent="0.25">
      <c r="A11196" s="6"/>
    </row>
    <row r="11197" spans="1:1" ht="18.75" x14ac:dyDescent="0.25">
      <c r="A11197" s="6"/>
    </row>
    <row r="11198" spans="1:1" ht="18.75" x14ac:dyDescent="0.25">
      <c r="A11198" s="6"/>
    </row>
    <row r="11199" spans="1:1" ht="18.75" x14ac:dyDescent="0.25">
      <c r="A11199" s="6"/>
    </row>
    <row r="11200" spans="1:1" ht="18.75" x14ac:dyDescent="0.25">
      <c r="A11200" s="6"/>
    </row>
    <row r="11201" spans="1:1" ht="18.75" x14ac:dyDescent="0.25">
      <c r="A11201" s="6"/>
    </row>
    <row r="11202" spans="1:1" ht="18.75" x14ac:dyDescent="0.25">
      <c r="A11202" s="6"/>
    </row>
    <row r="11203" spans="1:1" ht="18.75" x14ac:dyDescent="0.25">
      <c r="A11203" s="6"/>
    </row>
    <row r="11204" spans="1:1" ht="18.75" x14ac:dyDescent="0.25">
      <c r="A11204" s="6"/>
    </row>
    <row r="11205" spans="1:1" ht="18.75" x14ac:dyDescent="0.25">
      <c r="A11205" s="6"/>
    </row>
    <row r="11206" spans="1:1" ht="18.75" x14ac:dyDescent="0.25">
      <c r="A11206" s="6"/>
    </row>
    <row r="11207" spans="1:1" ht="18.75" x14ac:dyDescent="0.25">
      <c r="A11207" s="6"/>
    </row>
    <row r="11208" spans="1:1" ht="18.75" x14ac:dyDescent="0.25">
      <c r="A11208" s="6"/>
    </row>
    <row r="11209" spans="1:1" ht="18.75" x14ac:dyDescent="0.25">
      <c r="A11209" s="6"/>
    </row>
    <row r="11210" spans="1:1" ht="18.75" x14ac:dyDescent="0.25">
      <c r="A11210" s="6"/>
    </row>
    <row r="11211" spans="1:1" ht="18.75" x14ac:dyDescent="0.25">
      <c r="A11211" s="6"/>
    </row>
    <row r="11212" spans="1:1" ht="18.75" x14ac:dyDescent="0.25">
      <c r="A11212" s="6"/>
    </row>
    <row r="11213" spans="1:1" ht="18.75" x14ac:dyDescent="0.25">
      <c r="A11213" s="6"/>
    </row>
    <row r="11214" spans="1:1" ht="18.75" x14ac:dyDescent="0.25">
      <c r="A11214" s="6"/>
    </row>
    <row r="11215" spans="1:1" ht="18.75" x14ac:dyDescent="0.25">
      <c r="A11215" s="6"/>
    </row>
    <row r="11216" spans="1:1" ht="18.75" x14ac:dyDescent="0.25">
      <c r="A11216" s="6"/>
    </row>
    <row r="11217" spans="1:1" ht="18.75" x14ac:dyDescent="0.25">
      <c r="A11217" s="6"/>
    </row>
    <row r="11218" spans="1:1" ht="18.75" x14ac:dyDescent="0.25">
      <c r="A11218" s="6"/>
    </row>
    <row r="11219" spans="1:1" ht="18.75" x14ac:dyDescent="0.25">
      <c r="A11219" s="6"/>
    </row>
    <row r="11220" spans="1:1" ht="18.75" x14ac:dyDescent="0.25">
      <c r="A11220" s="6"/>
    </row>
    <row r="11221" spans="1:1" ht="18.75" x14ac:dyDescent="0.25">
      <c r="A11221" s="6"/>
    </row>
    <row r="11222" spans="1:1" ht="18.75" x14ac:dyDescent="0.25">
      <c r="A11222" s="6"/>
    </row>
    <row r="11223" spans="1:1" ht="18.75" x14ac:dyDescent="0.25">
      <c r="A11223" s="6"/>
    </row>
    <row r="11224" spans="1:1" ht="18.75" x14ac:dyDescent="0.25">
      <c r="A11224" s="6"/>
    </row>
    <row r="11225" spans="1:1" ht="18.75" x14ac:dyDescent="0.25">
      <c r="A11225" s="6"/>
    </row>
    <row r="11226" spans="1:1" ht="18.75" x14ac:dyDescent="0.25">
      <c r="A11226" s="6"/>
    </row>
    <row r="11227" spans="1:1" ht="18.75" x14ac:dyDescent="0.25">
      <c r="A11227" s="6"/>
    </row>
    <row r="11228" spans="1:1" ht="18.75" x14ac:dyDescent="0.25">
      <c r="A11228" s="6"/>
    </row>
    <row r="11229" spans="1:1" ht="18.75" x14ac:dyDescent="0.25">
      <c r="A11229" s="6"/>
    </row>
    <row r="11230" spans="1:1" ht="18.75" x14ac:dyDescent="0.25">
      <c r="A11230" s="6"/>
    </row>
    <row r="11231" spans="1:1" ht="18.75" x14ac:dyDescent="0.25">
      <c r="A11231" s="6"/>
    </row>
    <row r="11232" spans="1:1" ht="18.75" x14ac:dyDescent="0.25">
      <c r="A11232" s="6"/>
    </row>
    <row r="11233" spans="1:1" ht="18.75" x14ac:dyDescent="0.25">
      <c r="A11233" s="6"/>
    </row>
    <row r="11234" spans="1:1" ht="18.75" x14ac:dyDescent="0.25">
      <c r="A11234" s="6"/>
    </row>
    <row r="11235" spans="1:1" ht="18.75" x14ac:dyDescent="0.25">
      <c r="A11235" s="6"/>
    </row>
    <row r="11236" spans="1:1" ht="18.75" x14ac:dyDescent="0.25">
      <c r="A11236" s="6"/>
    </row>
    <row r="11237" spans="1:1" ht="18.75" x14ac:dyDescent="0.25">
      <c r="A11237" s="6"/>
    </row>
    <row r="11238" spans="1:1" ht="18.75" x14ac:dyDescent="0.25">
      <c r="A11238" s="6"/>
    </row>
    <row r="11239" spans="1:1" ht="18.75" x14ac:dyDescent="0.25">
      <c r="A11239" s="6"/>
    </row>
    <row r="11240" spans="1:1" ht="18.75" x14ac:dyDescent="0.25">
      <c r="A11240" s="6"/>
    </row>
    <row r="11241" spans="1:1" ht="18.75" x14ac:dyDescent="0.25">
      <c r="A11241" s="6"/>
    </row>
    <row r="11242" spans="1:1" ht="18.75" x14ac:dyDescent="0.25">
      <c r="A11242" s="6"/>
    </row>
    <row r="11243" spans="1:1" ht="18.75" x14ac:dyDescent="0.25">
      <c r="A11243" s="6"/>
    </row>
    <row r="11244" spans="1:1" ht="18.75" x14ac:dyDescent="0.25">
      <c r="A11244" s="6"/>
    </row>
    <row r="11245" spans="1:1" ht="18.75" x14ac:dyDescent="0.25">
      <c r="A11245" s="6"/>
    </row>
    <row r="11246" spans="1:1" ht="18.75" x14ac:dyDescent="0.25">
      <c r="A11246" s="6"/>
    </row>
    <row r="11247" spans="1:1" ht="18.75" x14ac:dyDescent="0.25">
      <c r="A11247" s="6"/>
    </row>
    <row r="11248" spans="1:1" ht="18.75" x14ac:dyDescent="0.25">
      <c r="A11248" s="6"/>
    </row>
    <row r="11249" spans="1:1" ht="18.75" x14ac:dyDescent="0.25">
      <c r="A11249" s="6"/>
    </row>
    <row r="11250" spans="1:1" ht="18.75" x14ac:dyDescent="0.25">
      <c r="A11250" s="6"/>
    </row>
    <row r="11251" spans="1:1" ht="18.75" x14ac:dyDescent="0.25">
      <c r="A11251" s="6"/>
    </row>
    <row r="11252" spans="1:1" ht="18.75" x14ac:dyDescent="0.25">
      <c r="A11252" s="6"/>
    </row>
    <row r="11253" spans="1:1" ht="18.75" x14ac:dyDescent="0.25">
      <c r="A11253" s="6"/>
    </row>
    <row r="11254" spans="1:1" ht="18.75" x14ac:dyDescent="0.25">
      <c r="A11254" s="6"/>
    </row>
    <row r="11255" spans="1:1" ht="18.75" x14ac:dyDescent="0.25">
      <c r="A11255" s="6"/>
    </row>
    <row r="11256" spans="1:1" ht="18.75" x14ac:dyDescent="0.25">
      <c r="A11256" s="6"/>
    </row>
    <row r="11257" spans="1:1" ht="18.75" x14ac:dyDescent="0.25">
      <c r="A11257" s="6"/>
    </row>
    <row r="11258" spans="1:1" ht="18.75" x14ac:dyDescent="0.25">
      <c r="A11258" s="6"/>
    </row>
    <row r="11259" spans="1:1" ht="18.75" x14ac:dyDescent="0.25">
      <c r="A11259" s="6"/>
    </row>
    <row r="11260" spans="1:1" ht="18.75" x14ac:dyDescent="0.25">
      <c r="A11260" s="6"/>
    </row>
    <row r="11261" spans="1:1" ht="18.75" x14ac:dyDescent="0.25">
      <c r="A11261" s="6"/>
    </row>
    <row r="11262" spans="1:1" ht="18.75" x14ac:dyDescent="0.25">
      <c r="A11262" s="6"/>
    </row>
    <row r="11263" spans="1:1" ht="18.75" x14ac:dyDescent="0.25">
      <c r="A11263" s="6"/>
    </row>
    <row r="11264" spans="1:1" ht="18.75" x14ac:dyDescent="0.25">
      <c r="A11264" s="6"/>
    </row>
    <row r="11265" spans="1:1" ht="18.75" x14ac:dyDescent="0.25">
      <c r="A11265" s="6"/>
    </row>
    <row r="11266" spans="1:1" ht="18.75" x14ac:dyDescent="0.25">
      <c r="A11266" s="6"/>
    </row>
    <row r="11267" spans="1:1" ht="18.75" x14ac:dyDescent="0.25">
      <c r="A11267" s="6"/>
    </row>
    <row r="11268" spans="1:1" ht="18.75" x14ac:dyDescent="0.25">
      <c r="A11268" s="6"/>
    </row>
    <row r="11269" spans="1:1" ht="18.75" x14ac:dyDescent="0.25">
      <c r="A11269" s="6"/>
    </row>
    <row r="11270" spans="1:1" ht="18.75" x14ac:dyDescent="0.25">
      <c r="A11270" s="6"/>
    </row>
    <row r="11271" spans="1:1" ht="18.75" x14ac:dyDescent="0.25">
      <c r="A11271" s="6"/>
    </row>
    <row r="11272" spans="1:1" ht="18.75" x14ac:dyDescent="0.25">
      <c r="A11272" s="6"/>
    </row>
    <row r="11273" spans="1:1" ht="18.75" x14ac:dyDescent="0.25">
      <c r="A11273" s="6"/>
    </row>
    <row r="11274" spans="1:1" ht="18.75" x14ac:dyDescent="0.25">
      <c r="A11274" s="6"/>
    </row>
    <row r="11275" spans="1:1" ht="18.75" x14ac:dyDescent="0.25">
      <c r="A11275" s="6"/>
    </row>
    <row r="11276" spans="1:1" ht="18.75" x14ac:dyDescent="0.25">
      <c r="A11276" s="6"/>
    </row>
    <row r="11277" spans="1:1" ht="18.75" x14ac:dyDescent="0.25">
      <c r="A11277" s="6"/>
    </row>
    <row r="11278" spans="1:1" ht="18.75" x14ac:dyDescent="0.25">
      <c r="A11278" s="6"/>
    </row>
    <row r="11279" spans="1:1" ht="18.75" x14ac:dyDescent="0.25">
      <c r="A11279" s="6"/>
    </row>
    <row r="11280" spans="1:1" ht="18.75" x14ac:dyDescent="0.25">
      <c r="A11280" s="6"/>
    </row>
    <row r="11281" spans="1:1" ht="18.75" x14ac:dyDescent="0.25">
      <c r="A11281" s="6"/>
    </row>
    <row r="11282" spans="1:1" ht="18.75" x14ac:dyDescent="0.25">
      <c r="A11282" s="6"/>
    </row>
    <row r="11283" spans="1:1" ht="18.75" x14ac:dyDescent="0.25">
      <c r="A11283" s="6"/>
    </row>
    <row r="11284" spans="1:1" ht="18.75" x14ac:dyDescent="0.25">
      <c r="A11284" s="6"/>
    </row>
    <row r="11285" spans="1:1" ht="18.75" x14ac:dyDescent="0.25">
      <c r="A11285" s="6"/>
    </row>
    <row r="11286" spans="1:1" ht="18.75" x14ac:dyDescent="0.25">
      <c r="A11286" s="6"/>
    </row>
    <row r="11287" spans="1:1" ht="18.75" x14ac:dyDescent="0.25">
      <c r="A11287" s="6"/>
    </row>
    <row r="11288" spans="1:1" ht="18.75" x14ac:dyDescent="0.25">
      <c r="A11288" s="6"/>
    </row>
    <row r="11289" spans="1:1" ht="18.75" x14ac:dyDescent="0.25">
      <c r="A11289" s="6"/>
    </row>
    <row r="11290" spans="1:1" ht="18.75" x14ac:dyDescent="0.25">
      <c r="A11290" s="6"/>
    </row>
    <row r="11291" spans="1:1" ht="18.75" x14ac:dyDescent="0.25">
      <c r="A11291" s="6"/>
    </row>
    <row r="11292" spans="1:1" ht="18.75" x14ac:dyDescent="0.25">
      <c r="A11292" s="6"/>
    </row>
    <row r="11293" spans="1:1" ht="18.75" x14ac:dyDescent="0.25">
      <c r="A11293" s="6"/>
    </row>
    <row r="11294" spans="1:1" ht="18.75" x14ac:dyDescent="0.25">
      <c r="A11294" s="6"/>
    </row>
    <row r="11295" spans="1:1" ht="18.75" x14ac:dyDescent="0.25">
      <c r="A11295" s="6"/>
    </row>
    <row r="11296" spans="1:1" ht="18.75" x14ac:dyDescent="0.25">
      <c r="A11296" s="6"/>
    </row>
    <row r="11297" spans="1:1" ht="18.75" x14ac:dyDescent="0.25">
      <c r="A11297" s="6"/>
    </row>
    <row r="11298" spans="1:1" ht="18.75" x14ac:dyDescent="0.25">
      <c r="A11298" s="6"/>
    </row>
    <row r="11299" spans="1:1" ht="18.75" x14ac:dyDescent="0.25">
      <c r="A11299" s="6"/>
    </row>
    <row r="11300" spans="1:1" ht="18.75" x14ac:dyDescent="0.25">
      <c r="A11300" s="6"/>
    </row>
    <row r="11301" spans="1:1" ht="18.75" x14ac:dyDescent="0.25">
      <c r="A11301" s="6"/>
    </row>
    <row r="11302" spans="1:1" ht="18.75" x14ac:dyDescent="0.25">
      <c r="A11302" s="6"/>
    </row>
    <row r="11303" spans="1:1" ht="18.75" x14ac:dyDescent="0.25">
      <c r="A11303" s="6"/>
    </row>
    <row r="11304" spans="1:1" ht="18.75" x14ac:dyDescent="0.25">
      <c r="A11304" s="6"/>
    </row>
    <row r="11305" spans="1:1" ht="18.75" x14ac:dyDescent="0.25">
      <c r="A11305" s="6"/>
    </row>
    <row r="11306" spans="1:1" ht="18.75" x14ac:dyDescent="0.25">
      <c r="A11306" s="6"/>
    </row>
    <row r="11307" spans="1:1" ht="18.75" x14ac:dyDescent="0.25">
      <c r="A11307" s="6"/>
    </row>
    <row r="11308" spans="1:1" ht="18.75" x14ac:dyDescent="0.25">
      <c r="A11308" s="6"/>
    </row>
    <row r="11309" spans="1:1" ht="18.75" x14ac:dyDescent="0.25">
      <c r="A11309" s="6"/>
    </row>
    <row r="11310" spans="1:1" ht="18.75" x14ac:dyDescent="0.25">
      <c r="A11310" s="6"/>
    </row>
    <row r="11311" spans="1:1" ht="18.75" x14ac:dyDescent="0.25">
      <c r="A11311" s="6"/>
    </row>
    <row r="11312" spans="1:1" ht="18.75" x14ac:dyDescent="0.25">
      <c r="A11312" s="6"/>
    </row>
    <row r="11313" spans="1:1" ht="18.75" x14ac:dyDescent="0.25">
      <c r="A11313" s="6"/>
    </row>
    <row r="11314" spans="1:1" ht="18.75" x14ac:dyDescent="0.25">
      <c r="A11314" s="6"/>
    </row>
    <row r="11315" spans="1:1" ht="18.75" x14ac:dyDescent="0.25">
      <c r="A11315" s="6"/>
    </row>
    <row r="11316" spans="1:1" ht="18.75" x14ac:dyDescent="0.25">
      <c r="A11316" s="6"/>
    </row>
    <row r="11317" spans="1:1" ht="18.75" x14ac:dyDescent="0.25">
      <c r="A11317" s="6"/>
    </row>
    <row r="11318" spans="1:1" ht="18.75" x14ac:dyDescent="0.25">
      <c r="A11318" s="6"/>
    </row>
    <row r="11319" spans="1:1" ht="18.75" x14ac:dyDescent="0.25">
      <c r="A11319" s="6"/>
    </row>
    <row r="11320" spans="1:1" ht="18.75" x14ac:dyDescent="0.25">
      <c r="A11320" s="6"/>
    </row>
    <row r="11321" spans="1:1" ht="18.75" x14ac:dyDescent="0.25">
      <c r="A11321" s="6"/>
    </row>
    <row r="11322" spans="1:1" ht="18.75" x14ac:dyDescent="0.25">
      <c r="A11322" s="6"/>
    </row>
    <row r="11323" spans="1:1" ht="18.75" x14ac:dyDescent="0.25">
      <c r="A11323" s="6"/>
    </row>
    <row r="11324" spans="1:1" ht="18.75" x14ac:dyDescent="0.25">
      <c r="A11324" s="6"/>
    </row>
    <row r="11325" spans="1:1" ht="18.75" x14ac:dyDescent="0.25">
      <c r="A11325" s="6"/>
    </row>
    <row r="11326" spans="1:1" ht="18.75" x14ac:dyDescent="0.25">
      <c r="A11326" s="6"/>
    </row>
    <row r="11327" spans="1:1" ht="18.75" x14ac:dyDescent="0.25">
      <c r="A11327" s="6"/>
    </row>
    <row r="11328" spans="1:1" ht="18.75" x14ac:dyDescent="0.25">
      <c r="A11328" s="6"/>
    </row>
    <row r="11329" spans="1:1" ht="18.75" x14ac:dyDescent="0.25">
      <c r="A11329" s="6"/>
    </row>
    <row r="11330" spans="1:1" ht="18.75" x14ac:dyDescent="0.25">
      <c r="A11330" s="6"/>
    </row>
    <row r="11331" spans="1:1" ht="18.75" x14ac:dyDescent="0.25">
      <c r="A11331" s="6"/>
    </row>
    <row r="11332" spans="1:1" ht="18.75" x14ac:dyDescent="0.25">
      <c r="A11332" s="6"/>
    </row>
    <row r="11333" spans="1:1" ht="18.75" x14ac:dyDescent="0.25">
      <c r="A11333" s="6"/>
    </row>
    <row r="11334" spans="1:1" ht="18.75" x14ac:dyDescent="0.25">
      <c r="A11334" s="6"/>
    </row>
    <row r="11335" spans="1:1" ht="18.75" x14ac:dyDescent="0.25">
      <c r="A11335" s="6"/>
    </row>
    <row r="11336" spans="1:1" ht="18.75" x14ac:dyDescent="0.25">
      <c r="A11336" s="6"/>
    </row>
    <row r="11337" spans="1:1" ht="18.75" x14ac:dyDescent="0.25">
      <c r="A11337" s="6"/>
    </row>
    <row r="11338" spans="1:1" ht="18.75" x14ac:dyDescent="0.25">
      <c r="A11338" s="6"/>
    </row>
    <row r="11339" spans="1:1" ht="18.75" x14ac:dyDescent="0.25">
      <c r="A11339" s="6"/>
    </row>
    <row r="11340" spans="1:1" ht="18.75" x14ac:dyDescent="0.25">
      <c r="A11340" s="6"/>
    </row>
    <row r="11341" spans="1:1" ht="18.75" x14ac:dyDescent="0.25">
      <c r="A11341" s="6"/>
    </row>
    <row r="11342" spans="1:1" ht="18.75" x14ac:dyDescent="0.25">
      <c r="A11342" s="6"/>
    </row>
    <row r="11343" spans="1:1" ht="18.75" x14ac:dyDescent="0.25">
      <c r="A11343" s="6"/>
    </row>
    <row r="11344" spans="1:1" ht="18.75" x14ac:dyDescent="0.25">
      <c r="A11344" s="6"/>
    </row>
    <row r="11345" spans="1:1" ht="18.75" x14ac:dyDescent="0.25">
      <c r="A11345" s="6"/>
    </row>
    <row r="11346" spans="1:1" ht="18.75" x14ac:dyDescent="0.25">
      <c r="A11346" s="6"/>
    </row>
    <row r="11347" spans="1:1" ht="18.75" x14ac:dyDescent="0.25">
      <c r="A11347" s="6"/>
    </row>
    <row r="11348" spans="1:1" ht="18.75" x14ac:dyDescent="0.25">
      <c r="A11348" s="6"/>
    </row>
    <row r="11349" spans="1:1" ht="18.75" x14ac:dyDescent="0.25">
      <c r="A11349" s="6"/>
    </row>
    <row r="11350" spans="1:1" ht="18.75" x14ac:dyDescent="0.25">
      <c r="A11350" s="6"/>
    </row>
    <row r="11351" spans="1:1" ht="18.75" x14ac:dyDescent="0.25">
      <c r="A11351" s="6"/>
    </row>
    <row r="11352" spans="1:1" ht="18.75" x14ac:dyDescent="0.25">
      <c r="A11352" s="6"/>
    </row>
    <row r="11353" spans="1:1" ht="18.75" x14ac:dyDescent="0.25">
      <c r="A11353" s="6"/>
    </row>
    <row r="11354" spans="1:1" ht="18.75" x14ac:dyDescent="0.25">
      <c r="A11354" s="6"/>
    </row>
    <row r="11355" spans="1:1" ht="18.75" x14ac:dyDescent="0.25">
      <c r="A11355" s="6"/>
    </row>
    <row r="11356" spans="1:1" ht="18.75" x14ac:dyDescent="0.25">
      <c r="A11356" s="6"/>
    </row>
    <row r="11357" spans="1:1" ht="18.75" x14ac:dyDescent="0.25">
      <c r="A11357" s="6"/>
    </row>
    <row r="11358" spans="1:1" ht="18.75" x14ac:dyDescent="0.25">
      <c r="A11358" s="6"/>
    </row>
    <row r="11359" spans="1:1" ht="18.75" x14ac:dyDescent="0.25">
      <c r="A11359" s="6"/>
    </row>
    <row r="11360" spans="1:1" ht="18.75" x14ac:dyDescent="0.25">
      <c r="A11360" s="6"/>
    </row>
    <row r="11361" spans="1:1" ht="18.75" x14ac:dyDescent="0.25">
      <c r="A11361" s="6"/>
    </row>
    <row r="11362" spans="1:1" ht="18.75" x14ac:dyDescent="0.25">
      <c r="A11362" s="6"/>
    </row>
    <row r="11363" spans="1:1" ht="18.75" x14ac:dyDescent="0.25">
      <c r="A11363" s="6"/>
    </row>
    <row r="11364" spans="1:1" ht="18.75" x14ac:dyDescent="0.25">
      <c r="A11364" s="6"/>
    </row>
    <row r="11365" spans="1:1" ht="18.75" x14ac:dyDescent="0.25">
      <c r="A11365" s="6"/>
    </row>
    <row r="11366" spans="1:1" ht="18.75" x14ac:dyDescent="0.25">
      <c r="A11366" s="6"/>
    </row>
    <row r="11367" spans="1:1" ht="18.75" x14ac:dyDescent="0.25">
      <c r="A11367" s="6"/>
    </row>
    <row r="11368" spans="1:1" ht="18.75" x14ac:dyDescent="0.25">
      <c r="A11368" s="6"/>
    </row>
    <row r="11369" spans="1:1" ht="18.75" x14ac:dyDescent="0.25">
      <c r="A11369" s="6"/>
    </row>
    <row r="11370" spans="1:1" ht="18.75" x14ac:dyDescent="0.25">
      <c r="A11370" s="6"/>
    </row>
    <row r="11371" spans="1:1" ht="18.75" x14ac:dyDescent="0.25">
      <c r="A11371" s="6"/>
    </row>
    <row r="11372" spans="1:1" ht="18.75" x14ac:dyDescent="0.25">
      <c r="A11372" s="6"/>
    </row>
    <row r="11373" spans="1:1" ht="18.75" x14ac:dyDescent="0.25">
      <c r="A11373" s="6"/>
    </row>
    <row r="11374" spans="1:1" ht="18.75" x14ac:dyDescent="0.25">
      <c r="A11374" s="6"/>
    </row>
    <row r="11375" spans="1:1" ht="18.75" x14ac:dyDescent="0.25">
      <c r="A11375" s="6"/>
    </row>
    <row r="11376" spans="1:1" ht="18.75" x14ac:dyDescent="0.25">
      <c r="A11376" s="6"/>
    </row>
    <row r="11377" spans="1:1" ht="18.75" x14ac:dyDescent="0.25">
      <c r="A11377" s="6"/>
    </row>
    <row r="11378" spans="1:1" ht="18.75" x14ac:dyDescent="0.25">
      <c r="A11378" s="6"/>
    </row>
    <row r="11379" spans="1:1" ht="18.75" x14ac:dyDescent="0.25">
      <c r="A11379" s="6"/>
    </row>
    <row r="11380" spans="1:1" ht="18.75" x14ac:dyDescent="0.25">
      <c r="A11380" s="6"/>
    </row>
    <row r="11381" spans="1:1" ht="18.75" x14ac:dyDescent="0.25">
      <c r="A11381" s="6"/>
    </row>
    <row r="11382" spans="1:1" ht="18.75" x14ac:dyDescent="0.25">
      <c r="A11382" s="6"/>
    </row>
    <row r="11383" spans="1:1" ht="18.75" x14ac:dyDescent="0.25">
      <c r="A11383" s="6"/>
    </row>
    <row r="11384" spans="1:1" ht="18.75" x14ac:dyDescent="0.25">
      <c r="A11384" s="6"/>
    </row>
    <row r="11385" spans="1:1" ht="18.75" x14ac:dyDescent="0.25">
      <c r="A11385" s="6"/>
    </row>
    <row r="11386" spans="1:1" ht="18.75" x14ac:dyDescent="0.25">
      <c r="A11386" s="6"/>
    </row>
    <row r="11387" spans="1:1" ht="18.75" x14ac:dyDescent="0.25">
      <c r="A11387" s="6"/>
    </row>
    <row r="11388" spans="1:1" ht="18.75" x14ac:dyDescent="0.25">
      <c r="A11388" s="6"/>
    </row>
    <row r="11389" spans="1:1" ht="18.75" x14ac:dyDescent="0.25">
      <c r="A11389" s="6"/>
    </row>
    <row r="11390" spans="1:1" ht="18.75" x14ac:dyDescent="0.25">
      <c r="A11390" s="6"/>
    </row>
    <row r="11391" spans="1:1" ht="18.75" x14ac:dyDescent="0.25">
      <c r="A11391" s="6"/>
    </row>
    <row r="11392" spans="1:1" ht="18.75" x14ac:dyDescent="0.25">
      <c r="A11392" s="6"/>
    </row>
    <row r="11393" spans="1:1" ht="18.75" x14ac:dyDescent="0.25">
      <c r="A11393" s="6"/>
    </row>
    <row r="11394" spans="1:1" ht="18.75" x14ac:dyDescent="0.25">
      <c r="A11394" s="6"/>
    </row>
    <row r="11395" spans="1:1" ht="18.75" x14ac:dyDescent="0.25">
      <c r="A11395" s="6"/>
    </row>
    <row r="11396" spans="1:1" ht="18.75" x14ac:dyDescent="0.25">
      <c r="A11396" s="6"/>
    </row>
    <row r="11397" spans="1:1" ht="18.75" x14ac:dyDescent="0.25">
      <c r="A11397" s="6"/>
    </row>
    <row r="11398" spans="1:1" ht="18.75" x14ac:dyDescent="0.25">
      <c r="A11398" s="6"/>
    </row>
    <row r="11399" spans="1:1" ht="18.75" x14ac:dyDescent="0.25">
      <c r="A11399" s="6"/>
    </row>
    <row r="11400" spans="1:1" ht="18.75" x14ac:dyDescent="0.25">
      <c r="A11400" s="6"/>
    </row>
    <row r="11401" spans="1:1" ht="18.75" x14ac:dyDescent="0.25">
      <c r="A11401" s="6"/>
    </row>
    <row r="11402" spans="1:1" ht="18.75" x14ac:dyDescent="0.25">
      <c r="A11402" s="6"/>
    </row>
    <row r="11403" spans="1:1" ht="18.75" x14ac:dyDescent="0.25">
      <c r="A11403" s="6"/>
    </row>
    <row r="11404" spans="1:1" ht="18.75" x14ac:dyDescent="0.25">
      <c r="A11404" s="6"/>
    </row>
    <row r="11405" spans="1:1" ht="18.75" x14ac:dyDescent="0.25">
      <c r="A11405" s="6"/>
    </row>
    <row r="11406" spans="1:1" ht="18.75" x14ac:dyDescent="0.25">
      <c r="A11406" s="6"/>
    </row>
    <row r="11407" spans="1:1" ht="18.75" x14ac:dyDescent="0.25">
      <c r="A11407" s="6"/>
    </row>
    <row r="11408" spans="1:1" ht="18.75" x14ac:dyDescent="0.25">
      <c r="A11408" s="6"/>
    </row>
    <row r="11409" spans="1:1" ht="18.75" x14ac:dyDescent="0.25">
      <c r="A11409" s="6"/>
    </row>
    <row r="11410" spans="1:1" ht="18.75" x14ac:dyDescent="0.25">
      <c r="A11410" s="6"/>
    </row>
    <row r="11411" spans="1:1" ht="18.75" x14ac:dyDescent="0.25">
      <c r="A11411" s="6"/>
    </row>
    <row r="11412" spans="1:1" ht="18.75" x14ac:dyDescent="0.25">
      <c r="A11412" s="6"/>
    </row>
    <row r="11413" spans="1:1" ht="18.75" x14ac:dyDescent="0.25">
      <c r="A11413" s="6"/>
    </row>
    <row r="11414" spans="1:1" ht="18.75" x14ac:dyDescent="0.25">
      <c r="A11414" s="6"/>
    </row>
    <row r="11415" spans="1:1" ht="18.75" x14ac:dyDescent="0.25">
      <c r="A11415" s="6"/>
    </row>
    <row r="11416" spans="1:1" ht="18.75" x14ac:dyDescent="0.25">
      <c r="A11416" s="6"/>
    </row>
    <row r="11417" spans="1:1" ht="18.75" x14ac:dyDescent="0.25">
      <c r="A11417" s="6"/>
    </row>
    <row r="11418" spans="1:1" ht="18.75" x14ac:dyDescent="0.25">
      <c r="A11418" s="6"/>
    </row>
    <row r="11419" spans="1:1" ht="18.75" x14ac:dyDescent="0.25">
      <c r="A11419" s="6"/>
    </row>
    <row r="11420" spans="1:1" ht="18.75" x14ac:dyDescent="0.25">
      <c r="A11420" s="6"/>
    </row>
    <row r="11421" spans="1:1" ht="18.75" x14ac:dyDescent="0.25">
      <c r="A11421" s="6"/>
    </row>
    <row r="11422" spans="1:1" ht="18.75" x14ac:dyDescent="0.25">
      <c r="A11422" s="6"/>
    </row>
    <row r="11423" spans="1:1" ht="18.75" x14ac:dyDescent="0.25">
      <c r="A11423" s="6"/>
    </row>
    <row r="11424" spans="1:1" ht="18.75" x14ac:dyDescent="0.25">
      <c r="A11424" s="6"/>
    </row>
    <row r="11425" spans="1:1" ht="18.75" x14ac:dyDescent="0.25">
      <c r="A11425" s="6"/>
    </row>
    <row r="11426" spans="1:1" ht="18.75" x14ac:dyDescent="0.25">
      <c r="A11426" s="6"/>
    </row>
    <row r="11427" spans="1:1" ht="18.75" x14ac:dyDescent="0.25">
      <c r="A11427" s="6"/>
    </row>
    <row r="11428" spans="1:1" ht="18.75" x14ac:dyDescent="0.25">
      <c r="A11428" s="6"/>
    </row>
    <row r="11429" spans="1:1" ht="18.75" x14ac:dyDescent="0.25">
      <c r="A11429" s="6"/>
    </row>
    <row r="11430" spans="1:1" ht="18.75" x14ac:dyDescent="0.25">
      <c r="A11430" s="6"/>
    </row>
    <row r="11431" spans="1:1" ht="18.75" x14ac:dyDescent="0.25">
      <c r="A11431" s="6"/>
    </row>
    <row r="11432" spans="1:1" ht="18.75" x14ac:dyDescent="0.25">
      <c r="A11432" s="6"/>
    </row>
    <row r="11433" spans="1:1" ht="18.75" x14ac:dyDescent="0.25">
      <c r="A11433" s="6"/>
    </row>
    <row r="11434" spans="1:1" ht="18.75" x14ac:dyDescent="0.25">
      <c r="A11434" s="6"/>
    </row>
    <row r="11435" spans="1:1" ht="18.75" x14ac:dyDescent="0.25">
      <c r="A11435" s="6"/>
    </row>
    <row r="11436" spans="1:1" ht="18.75" x14ac:dyDescent="0.25">
      <c r="A11436" s="6"/>
    </row>
    <row r="11437" spans="1:1" ht="18.75" x14ac:dyDescent="0.25">
      <c r="A11437" s="6"/>
    </row>
    <row r="11438" spans="1:1" ht="18.75" x14ac:dyDescent="0.25">
      <c r="A11438" s="6"/>
    </row>
    <row r="11439" spans="1:1" ht="18.75" x14ac:dyDescent="0.25">
      <c r="A11439" s="6"/>
    </row>
    <row r="11440" spans="1:1" ht="18.75" x14ac:dyDescent="0.25">
      <c r="A11440" s="6"/>
    </row>
    <row r="11441" spans="1:1" ht="18.75" x14ac:dyDescent="0.25">
      <c r="A11441" s="6"/>
    </row>
    <row r="11442" spans="1:1" ht="18.75" x14ac:dyDescent="0.25">
      <c r="A11442" s="6"/>
    </row>
    <row r="11443" spans="1:1" ht="18.75" x14ac:dyDescent="0.25">
      <c r="A11443" s="6"/>
    </row>
    <row r="11444" spans="1:1" ht="18.75" x14ac:dyDescent="0.25">
      <c r="A11444" s="6"/>
    </row>
    <row r="11445" spans="1:1" ht="18.75" x14ac:dyDescent="0.25">
      <c r="A11445" s="6"/>
    </row>
    <row r="11446" spans="1:1" ht="18.75" x14ac:dyDescent="0.25">
      <c r="A11446" s="6"/>
    </row>
    <row r="11447" spans="1:1" ht="18.75" x14ac:dyDescent="0.25">
      <c r="A11447" s="6"/>
    </row>
    <row r="11448" spans="1:1" ht="18.75" x14ac:dyDescent="0.25">
      <c r="A11448" s="6"/>
    </row>
    <row r="11449" spans="1:1" ht="18.75" x14ac:dyDescent="0.25">
      <c r="A11449" s="6"/>
    </row>
    <row r="11450" spans="1:1" ht="18.75" x14ac:dyDescent="0.25">
      <c r="A11450" s="6"/>
    </row>
    <row r="11451" spans="1:1" ht="18.75" x14ac:dyDescent="0.25">
      <c r="A11451" s="6"/>
    </row>
    <row r="11452" spans="1:1" ht="18.75" x14ac:dyDescent="0.25">
      <c r="A11452" s="6"/>
    </row>
    <row r="11453" spans="1:1" ht="18.75" x14ac:dyDescent="0.25">
      <c r="A11453" s="6"/>
    </row>
    <row r="11454" spans="1:1" ht="18.75" x14ac:dyDescent="0.25">
      <c r="A11454" s="6"/>
    </row>
    <row r="11455" spans="1:1" ht="18.75" x14ac:dyDescent="0.25">
      <c r="A11455" s="6"/>
    </row>
    <row r="11456" spans="1:1" ht="18.75" x14ac:dyDescent="0.25">
      <c r="A11456" s="6"/>
    </row>
    <row r="11457" spans="1:1" ht="18.75" x14ac:dyDescent="0.25">
      <c r="A11457" s="6"/>
    </row>
    <row r="11458" spans="1:1" ht="18.75" x14ac:dyDescent="0.25">
      <c r="A11458" s="6"/>
    </row>
    <row r="11459" spans="1:1" ht="18.75" x14ac:dyDescent="0.25">
      <c r="A11459" s="6"/>
    </row>
    <row r="11460" spans="1:1" ht="18.75" x14ac:dyDescent="0.25">
      <c r="A11460" s="6"/>
    </row>
    <row r="11461" spans="1:1" ht="18.75" x14ac:dyDescent="0.25">
      <c r="A11461" s="6"/>
    </row>
    <row r="11462" spans="1:1" ht="18.75" x14ac:dyDescent="0.25">
      <c r="A11462" s="6"/>
    </row>
    <row r="11463" spans="1:1" ht="18.75" x14ac:dyDescent="0.25">
      <c r="A11463" s="6"/>
    </row>
    <row r="11464" spans="1:1" ht="18.75" x14ac:dyDescent="0.25">
      <c r="A11464" s="6"/>
    </row>
    <row r="11465" spans="1:1" ht="18.75" x14ac:dyDescent="0.25">
      <c r="A11465" s="6"/>
    </row>
    <row r="11466" spans="1:1" ht="18.75" x14ac:dyDescent="0.25">
      <c r="A11466" s="6"/>
    </row>
    <row r="11467" spans="1:1" ht="18.75" x14ac:dyDescent="0.25">
      <c r="A11467" s="6"/>
    </row>
    <row r="11468" spans="1:1" ht="18.75" x14ac:dyDescent="0.25">
      <c r="A11468" s="6"/>
    </row>
    <row r="11469" spans="1:1" ht="18.75" x14ac:dyDescent="0.25">
      <c r="A11469" s="6"/>
    </row>
    <row r="11470" spans="1:1" ht="18.75" x14ac:dyDescent="0.25">
      <c r="A11470" s="6"/>
    </row>
    <row r="11471" spans="1:1" ht="18.75" x14ac:dyDescent="0.25">
      <c r="A11471" s="6"/>
    </row>
    <row r="11472" spans="1:1" ht="18.75" x14ac:dyDescent="0.25">
      <c r="A11472" s="6"/>
    </row>
    <row r="11473" spans="1:1" ht="18.75" x14ac:dyDescent="0.25">
      <c r="A11473" s="6"/>
    </row>
    <row r="11474" spans="1:1" ht="18.75" x14ac:dyDescent="0.25">
      <c r="A11474" s="6"/>
    </row>
    <row r="11475" spans="1:1" ht="18.75" x14ac:dyDescent="0.25">
      <c r="A11475" s="6"/>
    </row>
    <row r="11476" spans="1:1" ht="18.75" x14ac:dyDescent="0.25">
      <c r="A11476" s="6"/>
    </row>
    <row r="11477" spans="1:1" ht="18.75" x14ac:dyDescent="0.25">
      <c r="A11477" s="6"/>
    </row>
    <row r="11478" spans="1:1" ht="18.75" x14ac:dyDescent="0.25">
      <c r="A11478" s="6"/>
    </row>
    <row r="11479" spans="1:1" ht="18.75" x14ac:dyDescent="0.25">
      <c r="A11479" s="6"/>
    </row>
    <row r="11480" spans="1:1" ht="18.75" x14ac:dyDescent="0.25">
      <c r="A11480" s="6"/>
    </row>
    <row r="11481" spans="1:1" ht="18.75" x14ac:dyDescent="0.25">
      <c r="A11481" s="6"/>
    </row>
    <row r="11482" spans="1:1" ht="18.75" x14ac:dyDescent="0.25">
      <c r="A11482" s="6"/>
    </row>
    <row r="11483" spans="1:1" ht="18.75" x14ac:dyDescent="0.25">
      <c r="A11483" s="6"/>
    </row>
    <row r="11484" spans="1:1" ht="18.75" x14ac:dyDescent="0.25">
      <c r="A11484" s="6"/>
    </row>
    <row r="11485" spans="1:1" ht="18.75" x14ac:dyDescent="0.25">
      <c r="A11485" s="6"/>
    </row>
    <row r="11486" spans="1:1" ht="18.75" x14ac:dyDescent="0.25">
      <c r="A11486" s="6"/>
    </row>
    <row r="11487" spans="1:1" ht="18.75" x14ac:dyDescent="0.25">
      <c r="A11487" s="6"/>
    </row>
    <row r="11488" spans="1:1" ht="18.75" x14ac:dyDescent="0.25">
      <c r="A11488" s="6"/>
    </row>
    <row r="11489" spans="1:1" ht="18.75" x14ac:dyDescent="0.25">
      <c r="A11489" s="6"/>
    </row>
    <row r="11490" spans="1:1" ht="18.75" x14ac:dyDescent="0.25">
      <c r="A11490" s="6"/>
    </row>
    <row r="11491" spans="1:1" ht="18.75" x14ac:dyDescent="0.25">
      <c r="A11491" s="6"/>
    </row>
    <row r="11492" spans="1:1" ht="18.75" x14ac:dyDescent="0.25">
      <c r="A11492" s="6"/>
    </row>
    <row r="11493" spans="1:1" ht="18.75" x14ac:dyDescent="0.25">
      <c r="A11493" s="6"/>
    </row>
    <row r="11494" spans="1:1" ht="18.75" x14ac:dyDescent="0.25">
      <c r="A11494" s="6"/>
    </row>
    <row r="11495" spans="1:1" ht="18.75" x14ac:dyDescent="0.25">
      <c r="A11495" s="6"/>
    </row>
    <row r="11496" spans="1:1" ht="18.75" x14ac:dyDescent="0.25">
      <c r="A11496" s="6"/>
    </row>
    <row r="11497" spans="1:1" ht="18.75" x14ac:dyDescent="0.25">
      <c r="A11497" s="6"/>
    </row>
    <row r="11498" spans="1:1" ht="18.75" x14ac:dyDescent="0.25">
      <c r="A11498" s="6"/>
    </row>
    <row r="11499" spans="1:1" ht="18.75" x14ac:dyDescent="0.25">
      <c r="A11499" s="6"/>
    </row>
    <row r="11500" spans="1:1" ht="18.75" x14ac:dyDescent="0.25">
      <c r="A11500" s="6"/>
    </row>
    <row r="11501" spans="1:1" ht="18.75" x14ac:dyDescent="0.25">
      <c r="A11501" s="6"/>
    </row>
    <row r="11502" spans="1:1" ht="18.75" x14ac:dyDescent="0.25">
      <c r="A11502" s="6"/>
    </row>
    <row r="11503" spans="1:1" ht="18.75" x14ac:dyDescent="0.25">
      <c r="A11503" s="6"/>
    </row>
    <row r="11504" spans="1:1" ht="18.75" x14ac:dyDescent="0.25">
      <c r="A11504" s="6"/>
    </row>
    <row r="11505" spans="1:1" ht="18.75" x14ac:dyDescent="0.25">
      <c r="A11505" s="6"/>
    </row>
    <row r="11506" spans="1:1" ht="18.75" x14ac:dyDescent="0.25">
      <c r="A11506" s="6"/>
    </row>
    <row r="11507" spans="1:1" ht="18.75" x14ac:dyDescent="0.25">
      <c r="A11507" s="6"/>
    </row>
    <row r="11508" spans="1:1" ht="18.75" x14ac:dyDescent="0.25">
      <c r="A11508" s="6"/>
    </row>
    <row r="11509" spans="1:1" ht="18.75" x14ac:dyDescent="0.25">
      <c r="A11509" s="6"/>
    </row>
    <row r="11510" spans="1:1" ht="18.75" x14ac:dyDescent="0.25">
      <c r="A11510" s="6"/>
    </row>
    <row r="11511" spans="1:1" ht="18.75" x14ac:dyDescent="0.25">
      <c r="A11511" s="6"/>
    </row>
    <row r="11512" spans="1:1" ht="18.75" x14ac:dyDescent="0.25">
      <c r="A11512" s="6"/>
    </row>
    <row r="11513" spans="1:1" ht="18.75" x14ac:dyDescent="0.25">
      <c r="A11513" s="6"/>
    </row>
    <row r="11514" spans="1:1" ht="18.75" x14ac:dyDescent="0.25">
      <c r="A11514" s="6"/>
    </row>
    <row r="11515" spans="1:1" ht="18.75" x14ac:dyDescent="0.25">
      <c r="A11515" s="6"/>
    </row>
    <row r="11516" spans="1:1" ht="18.75" x14ac:dyDescent="0.25">
      <c r="A11516" s="6"/>
    </row>
    <row r="11517" spans="1:1" ht="18.75" x14ac:dyDescent="0.25">
      <c r="A11517" s="6"/>
    </row>
    <row r="11518" spans="1:1" ht="18.75" x14ac:dyDescent="0.25">
      <c r="A11518" s="6"/>
    </row>
    <row r="11519" spans="1:1" ht="18.75" x14ac:dyDescent="0.25">
      <c r="A11519" s="6"/>
    </row>
    <row r="11520" spans="1:1" ht="18.75" x14ac:dyDescent="0.25">
      <c r="A11520" s="6"/>
    </row>
    <row r="11521" spans="1:1" ht="18.75" x14ac:dyDescent="0.25">
      <c r="A11521" s="6"/>
    </row>
    <row r="11522" spans="1:1" ht="18.75" x14ac:dyDescent="0.25">
      <c r="A11522" s="6"/>
    </row>
    <row r="11523" spans="1:1" ht="18.75" x14ac:dyDescent="0.25">
      <c r="A11523" s="6"/>
    </row>
    <row r="11524" spans="1:1" ht="18.75" x14ac:dyDescent="0.25">
      <c r="A11524" s="6"/>
    </row>
    <row r="11525" spans="1:1" ht="18.75" x14ac:dyDescent="0.25">
      <c r="A11525" s="6"/>
    </row>
    <row r="11526" spans="1:1" ht="18.75" x14ac:dyDescent="0.25">
      <c r="A11526" s="6"/>
    </row>
    <row r="11527" spans="1:1" ht="18.75" x14ac:dyDescent="0.25">
      <c r="A11527" s="6"/>
    </row>
    <row r="11528" spans="1:1" ht="18.75" x14ac:dyDescent="0.25">
      <c r="A11528" s="6"/>
    </row>
    <row r="11529" spans="1:1" ht="18.75" x14ac:dyDescent="0.25">
      <c r="A11529" s="6"/>
    </row>
    <row r="11530" spans="1:1" ht="18.75" x14ac:dyDescent="0.25">
      <c r="A11530" s="6"/>
    </row>
    <row r="11531" spans="1:1" ht="18.75" x14ac:dyDescent="0.25">
      <c r="A11531" s="6"/>
    </row>
    <row r="11532" spans="1:1" ht="18.75" x14ac:dyDescent="0.25">
      <c r="A11532" s="6"/>
    </row>
    <row r="11533" spans="1:1" ht="18.75" x14ac:dyDescent="0.25">
      <c r="A11533" s="6"/>
    </row>
    <row r="11534" spans="1:1" ht="18.75" x14ac:dyDescent="0.25">
      <c r="A11534" s="6"/>
    </row>
    <row r="11535" spans="1:1" ht="18.75" x14ac:dyDescent="0.25">
      <c r="A11535" s="6"/>
    </row>
    <row r="11536" spans="1:1" ht="18.75" x14ac:dyDescent="0.25">
      <c r="A11536" s="6"/>
    </row>
    <row r="11537" spans="1:1" ht="18.75" x14ac:dyDescent="0.25">
      <c r="A11537" s="6"/>
    </row>
    <row r="11538" spans="1:1" ht="18.75" x14ac:dyDescent="0.25">
      <c r="A11538" s="6"/>
    </row>
    <row r="11539" spans="1:1" ht="18.75" x14ac:dyDescent="0.25">
      <c r="A11539" s="6"/>
    </row>
    <row r="11540" spans="1:1" ht="18.75" x14ac:dyDescent="0.25">
      <c r="A11540" s="6"/>
    </row>
    <row r="11541" spans="1:1" ht="18.75" x14ac:dyDescent="0.25">
      <c r="A11541" s="6"/>
    </row>
    <row r="11542" spans="1:1" ht="18.75" x14ac:dyDescent="0.25">
      <c r="A11542" s="6"/>
    </row>
    <row r="11543" spans="1:1" ht="18.75" x14ac:dyDescent="0.25">
      <c r="A11543" s="6"/>
    </row>
    <row r="11544" spans="1:1" ht="18.75" x14ac:dyDescent="0.25">
      <c r="A11544" s="6"/>
    </row>
    <row r="11545" spans="1:1" ht="18.75" x14ac:dyDescent="0.25">
      <c r="A11545" s="6"/>
    </row>
    <row r="11546" spans="1:1" ht="18.75" x14ac:dyDescent="0.25">
      <c r="A11546" s="6"/>
    </row>
    <row r="11547" spans="1:1" ht="18.75" x14ac:dyDescent="0.25">
      <c r="A11547" s="6"/>
    </row>
    <row r="11548" spans="1:1" ht="18.75" x14ac:dyDescent="0.25">
      <c r="A11548" s="6"/>
    </row>
    <row r="11549" spans="1:1" ht="18.75" x14ac:dyDescent="0.25">
      <c r="A11549" s="6"/>
    </row>
    <row r="11550" spans="1:1" ht="18.75" x14ac:dyDescent="0.25">
      <c r="A11550" s="6"/>
    </row>
    <row r="11551" spans="1:1" ht="18.75" x14ac:dyDescent="0.25">
      <c r="A11551" s="6"/>
    </row>
    <row r="11552" spans="1:1" ht="18.75" x14ac:dyDescent="0.25">
      <c r="A11552" s="6"/>
    </row>
    <row r="11553" spans="1:1" ht="18.75" x14ac:dyDescent="0.25">
      <c r="A11553" s="6"/>
    </row>
    <row r="11554" spans="1:1" ht="18.75" x14ac:dyDescent="0.25">
      <c r="A11554" s="6"/>
    </row>
    <row r="11555" spans="1:1" ht="18.75" x14ac:dyDescent="0.25">
      <c r="A11555" s="6"/>
    </row>
    <row r="11556" spans="1:1" ht="18.75" x14ac:dyDescent="0.25">
      <c r="A11556" s="6"/>
    </row>
    <row r="11557" spans="1:1" ht="18.75" x14ac:dyDescent="0.25">
      <c r="A11557" s="6"/>
    </row>
    <row r="11558" spans="1:1" ht="18.75" x14ac:dyDescent="0.25">
      <c r="A11558" s="6"/>
    </row>
    <row r="11559" spans="1:1" ht="18.75" x14ac:dyDescent="0.25">
      <c r="A11559" s="6"/>
    </row>
    <row r="11560" spans="1:1" ht="18.75" x14ac:dyDescent="0.25">
      <c r="A11560" s="6"/>
    </row>
    <row r="11561" spans="1:1" ht="18.75" x14ac:dyDescent="0.25">
      <c r="A11561" s="6"/>
    </row>
    <row r="11562" spans="1:1" ht="18.75" x14ac:dyDescent="0.25">
      <c r="A11562" s="6"/>
    </row>
    <row r="11563" spans="1:1" ht="18.75" x14ac:dyDescent="0.25">
      <c r="A11563" s="6"/>
    </row>
    <row r="11564" spans="1:1" ht="18.75" x14ac:dyDescent="0.25">
      <c r="A11564" s="6"/>
    </row>
    <row r="11565" spans="1:1" ht="18.75" x14ac:dyDescent="0.25">
      <c r="A11565" s="6"/>
    </row>
    <row r="11566" spans="1:1" ht="18.75" x14ac:dyDescent="0.25">
      <c r="A11566" s="6"/>
    </row>
    <row r="11567" spans="1:1" ht="18.75" x14ac:dyDescent="0.25">
      <c r="A11567" s="6"/>
    </row>
    <row r="11568" spans="1:1" ht="18.75" x14ac:dyDescent="0.25">
      <c r="A11568" s="6"/>
    </row>
    <row r="11569" spans="1:1" ht="18.75" x14ac:dyDescent="0.25">
      <c r="A11569" s="6"/>
    </row>
    <row r="11570" spans="1:1" ht="18.75" x14ac:dyDescent="0.25">
      <c r="A11570" s="6"/>
    </row>
    <row r="11571" spans="1:1" ht="18.75" x14ac:dyDescent="0.25">
      <c r="A11571" s="6"/>
    </row>
    <row r="11572" spans="1:1" ht="18.75" x14ac:dyDescent="0.25">
      <c r="A11572" s="6"/>
    </row>
    <row r="11573" spans="1:1" ht="18.75" x14ac:dyDescent="0.25">
      <c r="A11573" s="6"/>
    </row>
    <row r="11574" spans="1:1" ht="18.75" x14ac:dyDescent="0.25">
      <c r="A11574" s="6"/>
    </row>
    <row r="11575" spans="1:1" ht="18.75" x14ac:dyDescent="0.25">
      <c r="A11575" s="6"/>
    </row>
    <row r="11576" spans="1:1" ht="18.75" x14ac:dyDescent="0.25">
      <c r="A11576" s="6"/>
    </row>
    <row r="11577" spans="1:1" ht="18.75" x14ac:dyDescent="0.25">
      <c r="A11577" s="6"/>
    </row>
    <row r="11578" spans="1:1" ht="18.75" x14ac:dyDescent="0.25">
      <c r="A11578" s="6"/>
    </row>
    <row r="11579" spans="1:1" ht="18.75" x14ac:dyDescent="0.25">
      <c r="A11579" s="6"/>
    </row>
    <row r="11580" spans="1:1" ht="18.75" x14ac:dyDescent="0.25">
      <c r="A11580" s="6"/>
    </row>
    <row r="11581" spans="1:1" ht="18.75" x14ac:dyDescent="0.25">
      <c r="A11581" s="6"/>
    </row>
    <row r="11582" spans="1:1" ht="18.75" x14ac:dyDescent="0.25">
      <c r="A11582" s="6"/>
    </row>
    <row r="11583" spans="1:1" ht="18.75" x14ac:dyDescent="0.25">
      <c r="A11583" s="6"/>
    </row>
    <row r="11584" spans="1:1" ht="18.75" x14ac:dyDescent="0.25">
      <c r="A11584" s="6"/>
    </row>
    <row r="11585" spans="1:1" ht="18.75" x14ac:dyDescent="0.25">
      <c r="A11585" s="6"/>
    </row>
    <row r="11586" spans="1:1" ht="18.75" x14ac:dyDescent="0.25">
      <c r="A11586" s="6"/>
    </row>
    <row r="11587" spans="1:1" ht="18.75" x14ac:dyDescent="0.25">
      <c r="A11587" s="6"/>
    </row>
    <row r="11588" spans="1:1" ht="18.75" x14ac:dyDescent="0.25">
      <c r="A11588" s="6"/>
    </row>
    <row r="11589" spans="1:1" ht="18.75" x14ac:dyDescent="0.25">
      <c r="A11589" s="6"/>
    </row>
    <row r="11590" spans="1:1" ht="18.75" x14ac:dyDescent="0.25">
      <c r="A11590" s="6"/>
    </row>
    <row r="11591" spans="1:1" ht="18.75" x14ac:dyDescent="0.25">
      <c r="A11591" s="6"/>
    </row>
    <row r="11592" spans="1:1" ht="18.75" x14ac:dyDescent="0.25">
      <c r="A11592" s="6"/>
    </row>
    <row r="11593" spans="1:1" ht="18.75" x14ac:dyDescent="0.25">
      <c r="A11593" s="6"/>
    </row>
    <row r="11594" spans="1:1" ht="18.75" x14ac:dyDescent="0.25">
      <c r="A11594" s="6"/>
    </row>
    <row r="11595" spans="1:1" ht="18.75" x14ac:dyDescent="0.25">
      <c r="A11595" s="6"/>
    </row>
    <row r="11596" spans="1:1" ht="18.75" x14ac:dyDescent="0.25">
      <c r="A11596" s="6"/>
    </row>
    <row r="11597" spans="1:1" ht="18.75" x14ac:dyDescent="0.25">
      <c r="A11597" s="6"/>
    </row>
    <row r="11598" spans="1:1" ht="18.75" x14ac:dyDescent="0.25">
      <c r="A11598" s="6"/>
    </row>
    <row r="11599" spans="1:1" ht="18.75" x14ac:dyDescent="0.25">
      <c r="A11599" s="6"/>
    </row>
    <row r="11600" spans="1:1" ht="18.75" x14ac:dyDescent="0.25">
      <c r="A11600" s="6"/>
    </row>
    <row r="11601" spans="1:1" ht="18.75" x14ac:dyDescent="0.25">
      <c r="A11601" s="6"/>
    </row>
    <row r="11602" spans="1:1" ht="18.75" x14ac:dyDescent="0.25">
      <c r="A11602" s="6"/>
    </row>
    <row r="11603" spans="1:1" ht="18.75" x14ac:dyDescent="0.25">
      <c r="A11603" s="6"/>
    </row>
    <row r="11604" spans="1:1" ht="18.75" x14ac:dyDescent="0.25">
      <c r="A11604" s="6"/>
    </row>
    <row r="11605" spans="1:1" ht="18.75" x14ac:dyDescent="0.25">
      <c r="A11605" s="6"/>
    </row>
    <row r="11606" spans="1:1" ht="18.75" x14ac:dyDescent="0.25">
      <c r="A11606" s="6"/>
    </row>
    <row r="11607" spans="1:1" ht="18.75" x14ac:dyDescent="0.25">
      <c r="A11607" s="6"/>
    </row>
    <row r="11608" spans="1:1" ht="18.75" x14ac:dyDescent="0.25">
      <c r="A11608" s="6"/>
    </row>
    <row r="11609" spans="1:1" ht="18.75" x14ac:dyDescent="0.25">
      <c r="A11609" s="6"/>
    </row>
    <row r="11610" spans="1:1" ht="18.75" x14ac:dyDescent="0.25">
      <c r="A11610" s="6"/>
    </row>
    <row r="11611" spans="1:1" ht="18.75" x14ac:dyDescent="0.25">
      <c r="A11611" s="6"/>
    </row>
    <row r="11612" spans="1:1" ht="18.75" x14ac:dyDescent="0.25">
      <c r="A11612" s="6"/>
    </row>
    <row r="11613" spans="1:1" ht="18.75" x14ac:dyDescent="0.25">
      <c r="A11613" s="6"/>
    </row>
    <row r="11614" spans="1:1" ht="18.75" x14ac:dyDescent="0.25">
      <c r="A11614" s="6"/>
    </row>
    <row r="11615" spans="1:1" ht="18.75" x14ac:dyDescent="0.25">
      <c r="A11615" s="6"/>
    </row>
    <row r="11616" spans="1:1" ht="18.75" x14ac:dyDescent="0.25">
      <c r="A11616" s="6"/>
    </row>
    <row r="11617" spans="1:1" ht="18.75" x14ac:dyDescent="0.25">
      <c r="A11617" s="6"/>
    </row>
    <row r="11618" spans="1:1" ht="18.75" x14ac:dyDescent="0.25">
      <c r="A11618" s="6"/>
    </row>
    <row r="11619" spans="1:1" ht="18.75" x14ac:dyDescent="0.25">
      <c r="A11619" s="6"/>
    </row>
    <row r="11620" spans="1:1" ht="18.75" x14ac:dyDescent="0.25">
      <c r="A11620" s="6"/>
    </row>
    <row r="11621" spans="1:1" ht="18.75" x14ac:dyDescent="0.25">
      <c r="A11621" s="6"/>
    </row>
    <row r="11622" spans="1:1" ht="18.75" x14ac:dyDescent="0.25">
      <c r="A11622" s="6"/>
    </row>
    <row r="11623" spans="1:1" ht="18.75" x14ac:dyDescent="0.25">
      <c r="A11623" s="6"/>
    </row>
    <row r="11624" spans="1:1" ht="18.75" x14ac:dyDescent="0.25">
      <c r="A11624" s="6"/>
    </row>
    <row r="11625" spans="1:1" ht="18.75" x14ac:dyDescent="0.25">
      <c r="A11625" s="6"/>
    </row>
    <row r="11626" spans="1:1" ht="18.75" x14ac:dyDescent="0.25">
      <c r="A11626" s="6"/>
    </row>
    <row r="11627" spans="1:1" ht="18.75" x14ac:dyDescent="0.25">
      <c r="A11627" s="6"/>
    </row>
    <row r="11628" spans="1:1" ht="18.75" x14ac:dyDescent="0.25">
      <c r="A11628" s="6"/>
    </row>
    <row r="11629" spans="1:1" ht="18.75" x14ac:dyDescent="0.25">
      <c r="A11629" s="6"/>
    </row>
    <row r="11630" spans="1:1" ht="18.75" x14ac:dyDescent="0.25">
      <c r="A11630" s="6"/>
    </row>
    <row r="11631" spans="1:1" ht="18.75" x14ac:dyDescent="0.25">
      <c r="A11631" s="6"/>
    </row>
    <row r="11632" spans="1:1" ht="18.75" x14ac:dyDescent="0.25">
      <c r="A11632" s="6"/>
    </row>
    <row r="11633" spans="1:1" ht="18.75" x14ac:dyDescent="0.25">
      <c r="A11633" s="6"/>
    </row>
    <row r="11634" spans="1:1" ht="18.75" x14ac:dyDescent="0.25">
      <c r="A11634" s="6"/>
    </row>
    <row r="11635" spans="1:1" ht="18.75" x14ac:dyDescent="0.25">
      <c r="A11635" s="6"/>
    </row>
    <row r="11636" spans="1:1" ht="18.75" x14ac:dyDescent="0.25">
      <c r="A11636" s="6"/>
    </row>
    <row r="11637" spans="1:1" ht="18.75" x14ac:dyDescent="0.25">
      <c r="A11637" s="6"/>
    </row>
    <row r="11638" spans="1:1" ht="18.75" x14ac:dyDescent="0.25">
      <c r="A11638" s="6"/>
    </row>
    <row r="11639" spans="1:1" ht="18.75" x14ac:dyDescent="0.25">
      <c r="A11639" s="6"/>
    </row>
    <row r="11640" spans="1:1" ht="18.75" x14ac:dyDescent="0.25">
      <c r="A11640" s="6"/>
    </row>
    <row r="11641" spans="1:1" ht="18.75" x14ac:dyDescent="0.25">
      <c r="A11641" s="6"/>
    </row>
    <row r="11642" spans="1:1" ht="18.75" x14ac:dyDescent="0.25">
      <c r="A11642" s="6"/>
    </row>
    <row r="11643" spans="1:1" ht="18.75" x14ac:dyDescent="0.25">
      <c r="A11643" s="6"/>
    </row>
    <row r="11644" spans="1:1" ht="18.75" x14ac:dyDescent="0.25">
      <c r="A11644" s="6"/>
    </row>
    <row r="11645" spans="1:1" ht="18.75" x14ac:dyDescent="0.25">
      <c r="A11645" s="6"/>
    </row>
    <row r="11646" spans="1:1" ht="18.75" x14ac:dyDescent="0.25">
      <c r="A11646" s="6"/>
    </row>
    <row r="11647" spans="1:1" ht="18.75" x14ac:dyDescent="0.25">
      <c r="A11647" s="6"/>
    </row>
    <row r="11648" spans="1:1" ht="18.75" x14ac:dyDescent="0.25">
      <c r="A11648" s="6"/>
    </row>
    <row r="11649" spans="1:1" ht="18.75" x14ac:dyDescent="0.25">
      <c r="A11649" s="6"/>
    </row>
    <row r="11650" spans="1:1" ht="18.75" x14ac:dyDescent="0.25">
      <c r="A11650" s="6"/>
    </row>
    <row r="11651" spans="1:1" ht="18.75" x14ac:dyDescent="0.25">
      <c r="A11651" s="6"/>
    </row>
    <row r="11652" spans="1:1" ht="18.75" x14ac:dyDescent="0.25">
      <c r="A11652" s="6"/>
    </row>
    <row r="11653" spans="1:1" ht="18.75" x14ac:dyDescent="0.25">
      <c r="A11653" s="6"/>
    </row>
    <row r="11654" spans="1:1" ht="18.75" x14ac:dyDescent="0.25">
      <c r="A11654" s="6"/>
    </row>
    <row r="11655" spans="1:1" ht="18.75" x14ac:dyDescent="0.25">
      <c r="A11655" s="6"/>
    </row>
    <row r="11656" spans="1:1" ht="18.75" x14ac:dyDescent="0.25">
      <c r="A11656" s="6"/>
    </row>
    <row r="11657" spans="1:1" ht="18.75" x14ac:dyDescent="0.25">
      <c r="A11657" s="6"/>
    </row>
    <row r="11658" spans="1:1" ht="18.75" x14ac:dyDescent="0.25">
      <c r="A11658" s="6"/>
    </row>
    <row r="11659" spans="1:1" ht="18.75" x14ac:dyDescent="0.25">
      <c r="A11659" s="6"/>
    </row>
    <row r="11660" spans="1:1" ht="18.75" x14ac:dyDescent="0.25">
      <c r="A11660" s="6"/>
    </row>
    <row r="11661" spans="1:1" ht="18.75" x14ac:dyDescent="0.25">
      <c r="A11661" s="6"/>
    </row>
    <row r="11662" spans="1:1" ht="18.75" x14ac:dyDescent="0.25">
      <c r="A11662" s="6"/>
    </row>
    <row r="11663" spans="1:1" ht="18.75" x14ac:dyDescent="0.25">
      <c r="A11663" s="6"/>
    </row>
    <row r="11664" spans="1:1" ht="18.75" x14ac:dyDescent="0.25">
      <c r="A11664" s="6"/>
    </row>
    <row r="11665" spans="1:1" ht="18.75" x14ac:dyDescent="0.25">
      <c r="A11665" s="6"/>
    </row>
    <row r="11666" spans="1:1" ht="18.75" x14ac:dyDescent="0.25">
      <c r="A11666" s="6"/>
    </row>
    <row r="11667" spans="1:1" ht="18.75" x14ac:dyDescent="0.25">
      <c r="A11667" s="6"/>
    </row>
    <row r="11668" spans="1:1" ht="18.75" x14ac:dyDescent="0.25">
      <c r="A11668" s="6"/>
    </row>
    <row r="11669" spans="1:1" ht="18.75" x14ac:dyDescent="0.25">
      <c r="A11669" s="6"/>
    </row>
    <row r="11670" spans="1:1" ht="18.75" x14ac:dyDescent="0.25">
      <c r="A11670" s="6"/>
    </row>
    <row r="11671" spans="1:1" ht="18.75" x14ac:dyDescent="0.25">
      <c r="A11671" s="6"/>
    </row>
    <row r="11672" spans="1:1" ht="18.75" x14ac:dyDescent="0.25">
      <c r="A11672" s="6"/>
    </row>
    <row r="11673" spans="1:1" ht="18.75" x14ac:dyDescent="0.25">
      <c r="A11673" s="6"/>
    </row>
    <row r="11674" spans="1:1" ht="18.75" x14ac:dyDescent="0.25">
      <c r="A11674" s="6"/>
    </row>
    <row r="11675" spans="1:1" ht="18.75" x14ac:dyDescent="0.25">
      <c r="A11675" s="6"/>
    </row>
    <row r="11676" spans="1:1" ht="18.75" x14ac:dyDescent="0.25">
      <c r="A11676" s="6"/>
    </row>
    <row r="11677" spans="1:1" ht="18.75" x14ac:dyDescent="0.25">
      <c r="A11677" s="6"/>
    </row>
    <row r="11678" spans="1:1" ht="18.75" x14ac:dyDescent="0.25">
      <c r="A11678" s="6"/>
    </row>
    <row r="11679" spans="1:1" ht="18.75" x14ac:dyDescent="0.25">
      <c r="A11679" s="6"/>
    </row>
    <row r="11680" spans="1:1" ht="18.75" x14ac:dyDescent="0.25">
      <c r="A11680" s="6"/>
    </row>
    <row r="11681" spans="1:1" ht="18.75" x14ac:dyDescent="0.25">
      <c r="A11681" s="6"/>
    </row>
    <row r="11682" spans="1:1" ht="18.75" x14ac:dyDescent="0.25">
      <c r="A11682" s="6"/>
    </row>
    <row r="11683" spans="1:1" ht="18.75" x14ac:dyDescent="0.25">
      <c r="A11683" s="6"/>
    </row>
    <row r="11684" spans="1:1" ht="18.75" x14ac:dyDescent="0.25">
      <c r="A11684" s="6"/>
    </row>
    <row r="11685" spans="1:1" ht="18.75" x14ac:dyDescent="0.25">
      <c r="A11685" s="6"/>
    </row>
    <row r="11686" spans="1:1" ht="18.75" x14ac:dyDescent="0.25">
      <c r="A11686" s="6"/>
    </row>
    <row r="11687" spans="1:1" ht="18.75" x14ac:dyDescent="0.25">
      <c r="A11687" s="6"/>
    </row>
    <row r="11688" spans="1:1" ht="18.75" x14ac:dyDescent="0.25">
      <c r="A11688" s="6"/>
    </row>
    <row r="11689" spans="1:1" ht="18.75" x14ac:dyDescent="0.25">
      <c r="A11689" s="6"/>
    </row>
    <row r="11690" spans="1:1" ht="18.75" x14ac:dyDescent="0.25">
      <c r="A11690" s="6"/>
    </row>
    <row r="11691" spans="1:1" ht="18.75" x14ac:dyDescent="0.25">
      <c r="A11691" s="6"/>
    </row>
    <row r="11692" spans="1:1" ht="18.75" x14ac:dyDescent="0.25">
      <c r="A11692" s="6"/>
    </row>
    <row r="11693" spans="1:1" ht="18.75" x14ac:dyDescent="0.25">
      <c r="A11693" s="6"/>
    </row>
    <row r="11694" spans="1:1" ht="18.75" x14ac:dyDescent="0.25">
      <c r="A11694" s="6"/>
    </row>
    <row r="11695" spans="1:1" ht="18.75" x14ac:dyDescent="0.25">
      <c r="A11695" s="6"/>
    </row>
    <row r="11696" spans="1:1" ht="18.75" x14ac:dyDescent="0.25">
      <c r="A11696" s="6"/>
    </row>
    <row r="11697" spans="1:1" ht="18.75" x14ac:dyDescent="0.25">
      <c r="A11697" s="6"/>
    </row>
    <row r="11698" spans="1:1" ht="18.75" x14ac:dyDescent="0.25">
      <c r="A11698" s="6"/>
    </row>
    <row r="11699" spans="1:1" ht="18.75" x14ac:dyDescent="0.25">
      <c r="A11699" s="6"/>
    </row>
    <row r="11700" spans="1:1" ht="18.75" x14ac:dyDescent="0.25">
      <c r="A11700" s="6"/>
    </row>
    <row r="11701" spans="1:1" ht="18.75" x14ac:dyDescent="0.25">
      <c r="A11701" s="6"/>
    </row>
    <row r="11702" spans="1:1" ht="18.75" x14ac:dyDescent="0.25">
      <c r="A11702" s="6"/>
    </row>
    <row r="11703" spans="1:1" ht="18.75" x14ac:dyDescent="0.25">
      <c r="A11703" s="6"/>
    </row>
    <row r="11704" spans="1:1" ht="18.75" x14ac:dyDescent="0.25">
      <c r="A11704" s="6"/>
    </row>
    <row r="11705" spans="1:1" ht="18.75" x14ac:dyDescent="0.25">
      <c r="A11705" s="6"/>
    </row>
    <row r="11706" spans="1:1" ht="18.75" x14ac:dyDescent="0.25">
      <c r="A11706" s="6"/>
    </row>
    <row r="11707" spans="1:1" ht="18.75" x14ac:dyDescent="0.25">
      <c r="A11707" s="6"/>
    </row>
    <row r="11708" spans="1:1" ht="18.75" x14ac:dyDescent="0.25">
      <c r="A11708" s="6"/>
    </row>
    <row r="11709" spans="1:1" ht="18.75" x14ac:dyDescent="0.25">
      <c r="A11709" s="6"/>
    </row>
    <row r="11710" spans="1:1" ht="18.75" x14ac:dyDescent="0.25">
      <c r="A11710" s="6"/>
    </row>
    <row r="11711" spans="1:1" ht="18.75" x14ac:dyDescent="0.25">
      <c r="A11711" s="6"/>
    </row>
    <row r="11712" spans="1:1" ht="18.75" x14ac:dyDescent="0.25">
      <c r="A11712" s="6"/>
    </row>
    <row r="11713" spans="1:1" ht="18.75" x14ac:dyDescent="0.25">
      <c r="A11713" s="6"/>
    </row>
    <row r="11714" spans="1:1" ht="18.75" x14ac:dyDescent="0.25">
      <c r="A11714" s="6"/>
    </row>
    <row r="11715" spans="1:1" ht="18.75" x14ac:dyDescent="0.25">
      <c r="A11715" s="6"/>
    </row>
    <row r="11716" spans="1:1" ht="18.75" x14ac:dyDescent="0.25">
      <c r="A11716" s="6"/>
    </row>
    <row r="11717" spans="1:1" ht="18.75" x14ac:dyDescent="0.25">
      <c r="A11717" s="6"/>
    </row>
    <row r="11718" spans="1:1" ht="18.75" x14ac:dyDescent="0.25">
      <c r="A11718" s="6"/>
    </row>
    <row r="11719" spans="1:1" ht="18.75" x14ac:dyDescent="0.25">
      <c r="A11719" s="6"/>
    </row>
    <row r="11720" spans="1:1" ht="18.75" x14ac:dyDescent="0.25">
      <c r="A11720" s="6"/>
    </row>
    <row r="11721" spans="1:1" ht="18.75" x14ac:dyDescent="0.25">
      <c r="A11721" s="6"/>
    </row>
    <row r="11722" spans="1:1" ht="18.75" x14ac:dyDescent="0.25">
      <c r="A11722" s="6"/>
    </row>
    <row r="11723" spans="1:1" ht="18.75" x14ac:dyDescent="0.25">
      <c r="A11723" s="6"/>
    </row>
    <row r="11724" spans="1:1" ht="18.75" x14ac:dyDescent="0.25">
      <c r="A11724" s="6"/>
    </row>
    <row r="11725" spans="1:1" ht="18.75" x14ac:dyDescent="0.25">
      <c r="A11725" s="6"/>
    </row>
    <row r="11726" spans="1:1" ht="18.75" x14ac:dyDescent="0.25">
      <c r="A11726" s="6"/>
    </row>
    <row r="11727" spans="1:1" ht="18.75" x14ac:dyDescent="0.25">
      <c r="A11727" s="6"/>
    </row>
    <row r="11728" spans="1:1" ht="18.75" x14ac:dyDescent="0.25">
      <c r="A11728" s="6"/>
    </row>
    <row r="11729" spans="1:1" ht="18.75" x14ac:dyDescent="0.25">
      <c r="A11729" s="6"/>
    </row>
    <row r="11730" spans="1:1" ht="18.75" x14ac:dyDescent="0.25">
      <c r="A11730" s="6"/>
    </row>
    <row r="11731" spans="1:1" ht="18.75" x14ac:dyDescent="0.25">
      <c r="A11731" s="6"/>
    </row>
    <row r="11732" spans="1:1" ht="18.75" x14ac:dyDescent="0.25">
      <c r="A11732" s="6"/>
    </row>
    <row r="11733" spans="1:1" ht="18.75" x14ac:dyDescent="0.25">
      <c r="A11733" s="6"/>
    </row>
    <row r="11734" spans="1:1" ht="18.75" x14ac:dyDescent="0.25">
      <c r="A11734" s="6"/>
    </row>
    <row r="11735" spans="1:1" ht="18.75" x14ac:dyDescent="0.25">
      <c r="A11735" s="6"/>
    </row>
    <row r="11736" spans="1:1" ht="18.75" x14ac:dyDescent="0.25">
      <c r="A11736" s="6"/>
    </row>
    <row r="11737" spans="1:1" ht="18.75" x14ac:dyDescent="0.25">
      <c r="A11737" s="6"/>
    </row>
    <row r="11738" spans="1:1" ht="18.75" x14ac:dyDescent="0.25">
      <c r="A11738" s="6"/>
    </row>
    <row r="11739" spans="1:1" ht="18.75" x14ac:dyDescent="0.25">
      <c r="A11739" s="6"/>
    </row>
    <row r="11740" spans="1:1" ht="18.75" x14ac:dyDescent="0.25">
      <c r="A11740" s="6"/>
    </row>
    <row r="11741" spans="1:1" ht="18.75" x14ac:dyDescent="0.25">
      <c r="A11741" s="6"/>
    </row>
    <row r="11742" spans="1:1" ht="18.75" x14ac:dyDescent="0.25">
      <c r="A11742" s="6"/>
    </row>
    <row r="11743" spans="1:1" ht="18.75" x14ac:dyDescent="0.25">
      <c r="A11743" s="6"/>
    </row>
    <row r="11744" spans="1:1" ht="18.75" x14ac:dyDescent="0.25">
      <c r="A11744" s="6"/>
    </row>
    <row r="11745" spans="1:1" ht="18.75" x14ac:dyDescent="0.25">
      <c r="A11745" s="6"/>
    </row>
    <row r="11746" spans="1:1" ht="18.75" x14ac:dyDescent="0.25">
      <c r="A11746" s="6"/>
    </row>
    <row r="11747" spans="1:1" ht="18.75" x14ac:dyDescent="0.25">
      <c r="A11747" s="6"/>
    </row>
    <row r="11748" spans="1:1" ht="18.75" x14ac:dyDescent="0.25">
      <c r="A11748" s="6"/>
    </row>
    <row r="11749" spans="1:1" ht="18.75" x14ac:dyDescent="0.25">
      <c r="A11749" s="6"/>
    </row>
    <row r="11750" spans="1:1" ht="18.75" x14ac:dyDescent="0.25">
      <c r="A11750" s="6"/>
    </row>
    <row r="11751" spans="1:1" ht="18.75" x14ac:dyDescent="0.25">
      <c r="A11751" s="6"/>
    </row>
    <row r="11752" spans="1:1" ht="18.75" x14ac:dyDescent="0.25">
      <c r="A11752" s="6"/>
    </row>
    <row r="11753" spans="1:1" ht="18.75" x14ac:dyDescent="0.25">
      <c r="A11753" s="6"/>
    </row>
    <row r="11754" spans="1:1" ht="18.75" x14ac:dyDescent="0.25">
      <c r="A11754" s="6"/>
    </row>
    <row r="11755" spans="1:1" ht="18.75" x14ac:dyDescent="0.25">
      <c r="A11755" s="6"/>
    </row>
    <row r="11756" spans="1:1" ht="18.75" x14ac:dyDescent="0.25">
      <c r="A11756" s="6"/>
    </row>
    <row r="11757" spans="1:1" ht="18.75" x14ac:dyDescent="0.25">
      <c r="A11757" s="6"/>
    </row>
    <row r="11758" spans="1:1" ht="18.75" x14ac:dyDescent="0.25">
      <c r="A11758" s="6"/>
    </row>
    <row r="11759" spans="1:1" ht="18.75" x14ac:dyDescent="0.25">
      <c r="A11759" s="6"/>
    </row>
    <row r="11760" spans="1:1" ht="18.75" x14ac:dyDescent="0.25">
      <c r="A11760" s="6"/>
    </row>
    <row r="11761" spans="1:1" ht="18.75" x14ac:dyDescent="0.25">
      <c r="A11761" s="6"/>
    </row>
    <row r="11762" spans="1:1" ht="18.75" x14ac:dyDescent="0.25">
      <c r="A11762" s="6"/>
    </row>
    <row r="11763" spans="1:1" ht="18.75" x14ac:dyDescent="0.25">
      <c r="A11763" s="6"/>
    </row>
    <row r="11764" spans="1:1" ht="18.75" x14ac:dyDescent="0.25">
      <c r="A11764" s="6"/>
    </row>
    <row r="11765" spans="1:1" ht="18.75" x14ac:dyDescent="0.25">
      <c r="A11765" s="6"/>
    </row>
    <row r="11766" spans="1:1" ht="18.75" x14ac:dyDescent="0.25">
      <c r="A11766" s="6"/>
    </row>
    <row r="11767" spans="1:1" ht="18.75" x14ac:dyDescent="0.25">
      <c r="A11767" s="6"/>
    </row>
    <row r="11768" spans="1:1" ht="18.75" x14ac:dyDescent="0.25">
      <c r="A11768" s="6"/>
    </row>
    <row r="11769" spans="1:1" ht="18.75" x14ac:dyDescent="0.25">
      <c r="A11769" s="6"/>
    </row>
    <row r="11770" spans="1:1" ht="18.75" x14ac:dyDescent="0.25">
      <c r="A11770" s="6"/>
    </row>
    <row r="11771" spans="1:1" ht="18.75" x14ac:dyDescent="0.25">
      <c r="A11771" s="6"/>
    </row>
    <row r="11772" spans="1:1" ht="18.75" x14ac:dyDescent="0.25">
      <c r="A11772" s="6"/>
    </row>
    <row r="11773" spans="1:1" ht="18.75" x14ac:dyDescent="0.25">
      <c r="A11773" s="6"/>
    </row>
    <row r="11774" spans="1:1" ht="18.75" x14ac:dyDescent="0.25">
      <c r="A11774" s="6"/>
    </row>
    <row r="11775" spans="1:1" ht="18.75" x14ac:dyDescent="0.25">
      <c r="A11775" s="6"/>
    </row>
    <row r="11776" spans="1:1" ht="18.75" x14ac:dyDescent="0.25">
      <c r="A11776" s="6"/>
    </row>
    <row r="11777" spans="1:1" ht="18.75" x14ac:dyDescent="0.25">
      <c r="A11777" s="6"/>
    </row>
    <row r="11778" spans="1:1" ht="18.75" x14ac:dyDescent="0.25">
      <c r="A11778" s="6"/>
    </row>
    <row r="11779" spans="1:1" ht="18.75" x14ac:dyDescent="0.25">
      <c r="A11779" s="6"/>
    </row>
    <row r="11780" spans="1:1" ht="18.75" x14ac:dyDescent="0.25">
      <c r="A11780" s="6"/>
    </row>
    <row r="11781" spans="1:1" ht="18.75" x14ac:dyDescent="0.25">
      <c r="A11781" s="6"/>
    </row>
    <row r="11782" spans="1:1" ht="18.75" x14ac:dyDescent="0.25">
      <c r="A11782" s="6"/>
    </row>
    <row r="11783" spans="1:1" ht="18.75" x14ac:dyDescent="0.25">
      <c r="A11783" s="6"/>
    </row>
    <row r="11784" spans="1:1" ht="18.75" x14ac:dyDescent="0.25">
      <c r="A11784" s="6"/>
    </row>
    <row r="11785" spans="1:1" ht="18.75" x14ac:dyDescent="0.25">
      <c r="A11785" s="6"/>
    </row>
    <row r="11786" spans="1:1" ht="18.75" x14ac:dyDescent="0.25">
      <c r="A11786" s="6"/>
    </row>
    <row r="11787" spans="1:1" ht="18.75" x14ac:dyDescent="0.25">
      <c r="A11787" s="6"/>
    </row>
    <row r="11788" spans="1:1" ht="18.75" x14ac:dyDescent="0.25">
      <c r="A11788" s="6"/>
    </row>
    <row r="11789" spans="1:1" ht="18.75" x14ac:dyDescent="0.25">
      <c r="A11789" s="6"/>
    </row>
    <row r="11790" spans="1:1" ht="18.75" x14ac:dyDescent="0.25">
      <c r="A11790" s="6"/>
    </row>
    <row r="11791" spans="1:1" ht="18.75" x14ac:dyDescent="0.25">
      <c r="A11791" s="6"/>
    </row>
    <row r="11792" spans="1:1" ht="18.75" x14ac:dyDescent="0.25">
      <c r="A11792" s="6"/>
    </row>
    <row r="11793" spans="1:1" ht="18.75" x14ac:dyDescent="0.25">
      <c r="A11793" s="6"/>
    </row>
    <row r="11794" spans="1:1" ht="18.75" x14ac:dyDescent="0.25">
      <c r="A11794" s="6"/>
    </row>
    <row r="11795" spans="1:1" ht="18.75" x14ac:dyDescent="0.25">
      <c r="A11795" s="6"/>
    </row>
    <row r="11796" spans="1:1" ht="18.75" x14ac:dyDescent="0.25">
      <c r="A11796" s="6"/>
    </row>
    <row r="11797" spans="1:1" ht="18.75" x14ac:dyDescent="0.25">
      <c r="A11797" s="6"/>
    </row>
    <row r="11798" spans="1:1" ht="18.75" x14ac:dyDescent="0.25">
      <c r="A11798" s="6"/>
    </row>
    <row r="11799" spans="1:1" ht="18.75" x14ac:dyDescent="0.25">
      <c r="A11799" s="6"/>
    </row>
    <row r="11800" spans="1:1" ht="18.75" x14ac:dyDescent="0.25">
      <c r="A11800" s="6"/>
    </row>
    <row r="11801" spans="1:1" ht="18.75" x14ac:dyDescent="0.25">
      <c r="A11801" s="6"/>
    </row>
    <row r="11802" spans="1:1" ht="18.75" x14ac:dyDescent="0.25">
      <c r="A11802" s="6"/>
    </row>
    <row r="11803" spans="1:1" ht="18.75" x14ac:dyDescent="0.25">
      <c r="A11803" s="6"/>
    </row>
    <row r="11804" spans="1:1" ht="18.75" x14ac:dyDescent="0.25">
      <c r="A11804" s="6"/>
    </row>
    <row r="11805" spans="1:1" ht="18.75" x14ac:dyDescent="0.25">
      <c r="A11805" s="6"/>
    </row>
    <row r="11806" spans="1:1" ht="18.75" x14ac:dyDescent="0.25">
      <c r="A11806" s="6"/>
    </row>
    <row r="11807" spans="1:1" ht="18.75" x14ac:dyDescent="0.25">
      <c r="A11807" s="6"/>
    </row>
    <row r="11808" spans="1:1" ht="18.75" x14ac:dyDescent="0.25">
      <c r="A11808" s="6"/>
    </row>
    <row r="11809" spans="1:1" ht="18.75" x14ac:dyDescent="0.25">
      <c r="A11809" s="6"/>
    </row>
    <row r="11810" spans="1:1" ht="18.75" x14ac:dyDescent="0.25">
      <c r="A11810" s="6"/>
    </row>
    <row r="11811" spans="1:1" ht="18.75" x14ac:dyDescent="0.25">
      <c r="A11811" s="6"/>
    </row>
    <row r="11812" spans="1:1" ht="18.75" x14ac:dyDescent="0.25">
      <c r="A11812" s="6"/>
    </row>
    <row r="11813" spans="1:1" ht="18.75" x14ac:dyDescent="0.25">
      <c r="A11813" s="6"/>
    </row>
    <row r="11814" spans="1:1" ht="18.75" x14ac:dyDescent="0.25">
      <c r="A11814" s="6"/>
    </row>
    <row r="11815" spans="1:1" ht="18.75" x14ac:dyDescent="0.25">
      <c r="A11815" s="6"/>
    </row>
    <row r="11816" spans="1:1" ht="18.75" x14ac:dyDescent="0.25">
      <c r="A11816" s="6"/>
    </row>
    <row r="11817" spans="1:1" ht="18.75" x14ac:dyDescent="0.25">
      <c r="A11817" s="6"/>
    </row>
    <row r="11818" spans="1:1" ht="18.75" x14ac:dyDescent="0.25">
      <c r="A11818" s="6"/>
    </row>
    <row r="11819" spans="1:1" ht="18.75" x14ac:dyDescent="0.25">
      <c r="A11819" s="6"/>
    </row>
    <row r="11820" spans="1:1" ht="18.75" x14ac:dyDescent="0.25">
      <c r="A11820" s="6"/>
    </row>
    <row r="11821" spans="1:1" ht="18.75" x14ac:dyDescent="0.25">
      <c r="A11821" s="6"/>
    </row>
    <row r="11822" spans="1:1" ht="18.75" x14ac:dyDescent="0.25">
      <c r="A11822" s="6"/>
    </row>
    <row r="11823" spans="1:1" ht="18.75" x14ac:dyDescent="0.25">
      <c r="A11823" s="6"/>
    </row>
    <row r="11824" spans="1:1" ht="18.75" x14ac:dyDescent="0.25">
      <c r="A11824" s="6"/>
    </row>
    <row r="11825" spans="1:1" ht="18.75" x14ac:dyDescent="0.25">
      <c r="A11825" s="6"/>
    </row>
    <row r="11826" spans="1:1" ht="18.75" x14ac:dyDescent="0.25">
      <c r="A11826" s="6"/>
    </row>
    <row r="11827" spans="1:1" ht="18.75" x14ac:dyDescent="0.25">
      <c r="A11827" s="6"/>
    </row>
    <row r="11828" spans="1:1" ht="18.75" x14ac:dyDescent="0.25">
      <c r="A11828" s="6"/>
    </row>
    <row r="11829" spans="1:1" ht="18.75" x14ac:dyDescent="0.25">
      <c r="A11829" s="6"/>
    </row>
    <row r="11830" spans="1:1" ht="18.75" x14ac:dyDescent="0.25">
      <c r="A11830" s="6"/>
    </row>
    <row r="11831" spans="1:1" ht="18.75" x14ac:dyDescent="0.25">
      <c r="A11831" s="6"/>
    </row>
    <row r="11832" spans="1:1" ht="18.75" x14ac:dyDescent="0.25">
      <c r="A11832" s="6"/>
    </row>
    <row r="11833" spans="1:1" ht="18.75" x14ac:dyDescent="0.25">
      <c r="A11833" s="6"/>
    </row>
    <row r="11834" spans="1:1" ht="18.75" x14ac:dyDescent="0.25">
      <c r="A11834" s="6"/>
    </row>
    <row r="11835" spans="1:1" ht="18.75" x14ac:dyDescent="0.25">
      <c r="A11835" s="6"/>
    </row>
    <row r="11836" spans="1:1" ht="18.75" x14ac:dyDescent="0.25">
      <c r="A11836" s="6"/>
    </row>
    <row r="11837" spans="1:1" ht="18.75" x14ac:dyDescent="0.25">
      <c r="A11837" s="6"/>
    </row>
    <row r="11838" spans="1:1" ht="18.75" x14ac:dyDescent="0.25">
      <c r="A11838" s="6"/>
    </row>
    <row r="11839" spans="1:1" ht="18.75" x14ac:dyDescent="0.25">
      <c r="A11839" s="6"/>
    </row>
    <row r="11840" spans="1:1" ht="18.75" x14ac:dyDescent="0.25">
      <c r="A11840" s="6"/>
    </row>
    <row r="11841" spans="1:1" ht="18.75" x14ac:dyDescent="0.25">
      <c r="A11841" s="6"/>
    </row>
    <row r="11842" spans="1:1" ht="18.75" x14ac:dyDescent="0.25">
      <c r="A11842" s="6"/>
    </row>
    <row r="11843" spans="1:1" ht="18.75" x14ac:dyDescent="0.25">
      <c r="A11843" s="6"/>
    </row>
    <row r="11844" spans="1:1" ht="18.75" x14ac:dyDescent="0.25">
      <c r="A11844" s="6"/>
    </row>
    <row r="11845" spans="1:1" ht="18.75" x14ac:dyDescent="0.25">
      <c r="A11845" s="6"/>
    </row>
    <row r="11846" spans="1:1" ht="18.75" x14ac:dyDescent="0.25">
      <c r="A11846" s="6"/>
    </row>
    <row r="11847" spans="1:1" ht="18.75" x14ac:dyDescent="0.25">
      <c r="A11847" s="6"/>
    </row>
    <row r="11848" spans="1:1" ht="18.75" x14ac:dyDescent="0.25">
      <c r="A11848" s="6"/>
    </row>
    <row r="11849" spans="1:1" ht="18.75" x14ac:dyDescent="0.25">
      <c r="A11849" s="6"/>
    </row>
    <row r="11850" spans="1:1" ht="18.75" x14ac:dyDescent="0.25">
      <c r="A11850" s="6"/>
    </row>
    <row r="11851" spans="1:1" ht="18.75" x14ac:dyDescent="0.25">
      <c r="A11851" s="6"/>
    </row>
    <row r="11852" spans="1:1" ht="18.75" x14ac:dyDescent="0.25">
      <c r="A11852" s="6"/>
    </row>
    <row r="11853" spans="1:1" ht="18.75" x14ac:dyDescent="0.25">
      <c r="A11853" s="6"/>
    </row>
    <row r="11854" spans="1:1" ht="18.75" x14ac:dyDescent="0.25">
      <c r="A11854" s="6"/>
    </row>
    <row r="11855" spans="1:1" ht="18.75" x14ac:dyDescent="0.25">
      <c r="A11855" s="6"/>
    </row>
    <row r="11856" spans="1:1" ht="18.75" x14ac:dyDescent="0.25">
      <c r="A11856" s="6"/>
    </row>
    <row r="11857" spans="1:1" ht="18.75" x14ac:dyDescent="0.25">
      <c r="A11857" s="6"/>
    </row>
    <row r="11858" spans="1:1" ht="18.75" x14ac:dyDescent="0.25">
      <c r="A11858" s="6"/>
    </row>
    <row r="11859" spans="1:1" ht="18.75" x14ac:dyDescent="0.25">
      <c r="A11859" s="6"/>
    </row>
    <row r="11860" spans="1:1" ht="18.75" x14ac:dyDescent="0.25">
      <c r="A11860" s="6"/>
    </row>
    <row r="11861" spans="1:1" ht="18.75" x14ac:dyDescent="0.25">
      <c r="A11861" s="6"/>
    </row>
    <row r="11862" spans="1:1" ht="18.75" x14ac:dyDescent="0.25">
      <c r="A11862" s="6"/>
    </row>
    <row r="11863" spans="1:1" ht="18.75" x14ac:dyDescent="0.25">
      <c r="A11863" s="6"/>
    </row>
    <row r="11864" spans="1:1" ht="18.75" x14ac:dyDescent="0.25">
      <c r="A11864" s="6"/>
    </row>
    <row r="11865" spans="1:1" ht="18.75" x14ac:dyDescent="0.25">
      <c r="A11865" s="6"/>
    </row>
    <row r="11866" spans="1:1" ht="18.75" x14ac:dyDescent="0.25">
      <c r="A11866" s="6"/>
    </row>
    <row r="11867" spans="1:1" ht="18.75" x14ac:dyDescent="0.25">
      <c r="A11867" s="6"/>
    </row>
    <row r="11868" spans="1:1" ht="18.75" x14ac:dyDescent="0.25">
      <c r="A11868" s="6"/>
    </row>
    <row r="11869" spans="1:1" ht="18.75" x14ac:dyDescent="0.25">
      <c r="A11869" s="6"/>
    </row>
    <row r="11870" spans="1:1" ht="18.75" x14ac:dyDescent="0.25">
      <c r="A11870" s="6"/>
    </row>
    <row r="11871" spans="1:1" ht="18.75" x14ac:dyDescent="0.25">
      <c r="A11871" s="6"/>
    </row>
    <row r="11872" spans="1:1" ht="18.75" x14ac:dyDescent="0.25">
      <c r="A11872" s="6"/>
    </row>
    <row r="11873" spans="1:1" ht="18.75" x14ac:dyDescent="0.25">
      <c r="A11873" s="6"/>
    </row>
    <row r="11874" spans="1:1" ht="18.75" x14ac:dyDescent="0.25">
      <c r="A11874" s="6"/>
    </row>
    <row r="11875" spans="1:1" ht="18.75" x14ac:dyDescent="0.25">
      <c r="A11875" s="6"/>
    </row>
    <row r="11876" spans="1:1" ht="18.75" x14ac:dyDescent="0.25">
      <c r="A11876" s="6"/>
    </row>
    <row r="11877" spans="1:1" ht="18.75" x14ac:dyDescent="0.25">
      <c r="A11877" s="6"/>
    </row>
    <row r="11878" spans="1:1" ht="18.75" x14ac:dyDescent="0.25">
      <c r="A11878" s="6"/>
    </row>
    <row r="11879" spans="1:1" ht="18.75" x14ac:dyDescent="0.25">
      <c r="A11879" s="6"/>
    </row>
    <row r="11880" spans="1:1" ht="18.75" x14ac:dyDescent="0.25">
      <c r="A11880" s="6"/>
    </row>
    <row r="11881" spans="1:1" ht="18.75" x14ac:dyDescent="0.25">
      <c r="A11881" s="6"/>
    </row>
    <row r="11882" spans="1:1" ht="18.75" x14ac:dyDescent="0.25">
      <c r="A11882" s="6"/>
    </row>
    <row r="11883" spans="1:1" ht="18.75" x14ac:dyDescent="0.25">
      <c r="A11883" s="6"/>
    </row>
    <row r="11884" spans="1:1" ht="18.75" x14ac:dyDescent="0.25">
      <c r="A11884" s="6"/>
    </row>
    <row r="11885" spans="1:1" ht="18.75" x14ac:dyDescent="0.25">
      <c r="A11885" s="6"/>
    </row>
    <row r="11886" spans="1:1" ht="18.75" x14ac:dyDescent="0.25">
      <c r="A11886" s="6"/>
    </row>
    <row r="11887" spans="1:1" ht="18.75" x14ac:dyDescent="0.25">
      <c r="A11887" s="6"/>
    </row>
    <row r="11888" spans="1:1" ht="18.75" x14ac:dyDescent="0.25">
      <c r="A11888" s="6"/>
    </row>
    <row r="11889" spans="1:1" ht="18.75" x14ac:dyDescent="0.25">
      <c r="A11889" s="6"/>
    </row>
    <row r="11890" spans="1:1" ht="18.75" x14ac:dyDescent="0.25">
      <c r="A11890" s="6"/>
    </row>
    <row r="11891" spans="1:1" ht="18.75" x14ac:dyDescent="0.25">
      <c r="A11891" s="6"/>
    </row>
    <row r="11892" spans="1:1" ht="18.75" x14ac:dyDescent="0.25">
      <c r="A11892" s="6"/>
    </row>
    <row r="11893" spans="1:1" ht="18.75" x14ac:dyDescent="0.25">
      <c r="A11893" s="6"/>
    </row>
    <row r="11894" spans="1:1" ht="18.75" x14ac:dyDescent="0.25">
      <c r="A11894" s="6"/>
    </row>
    <row r="11895" spans="1:1" ht="18.75" x14ac:dyDescent="0.25">
      <c r="A11895" s="6"/>
    </row>
    <row r="11896" spans="1:1" ht="18.75" x14ac:dyDescent="0.25">
      <c r="A11896" s="6"/>
    </row>
    <row r="11897" spans="1:1" ht="18.75" x14ac:dyDescent="0.25">
      <c r="A11897" s="6"/>
    </row>
    <row r="11898" spans="1:1" ht="18.75" x14ac:dyDescent="0.25">
      <c r="A11898" s="6"/>
    </row>
    <row r="11899" spans="1:1" ht="18.75" x14ac:dyDescent="0.25">
      <c r="A11899" s="6"/>
    </row>
    <row r="11900" spans="1:1" ht="18.75" x14ac:dyDescent="0.25">
      <c r="A11900" s="6"/>
    </row>
    <row r="11901" spans="1:1" ht="18.75" x14ac:dyDescent="0.25">
      <c r="A11901" s="6"/>
    </row>
    <row r="11902" spans="1:1" ht="18.75" x14ac:dyDescent="0.25">
      <c r="A11902" s="6"/>
    </row>
    <row r="11903" spans="1:1" ht="18.75" x14ac:dyDescent="0.25">
      <c r="A11903" s="6"/>
    </row>
    <row r="11904" spans="1:1" ht="18.75" x14ac:dyDescent="0.25">
      <c r="A11904" s="6"/>
    </row>
    <row r="11905" spans="1:1" ht="18.75" x14ac:dyDescent="0.25">
      <c r="A11905" s="6"/>
    </row>
    <row r="11906" spans="1:1" ht="18.75" x14ac:dyDescent="0.25">
      <c r="A11906" s="6"/>
    </row>
    <row r="11907" spans="1:1" ht="18.75" x14ac:dyDescent="0.25">
      <c r="A11907" s="6"/>
    </row>
    <row r="11908" spans="1:1" ht="18.75" x14ac:dyDescent="0.25">
      <c r="A11908" s="6"/>
    </row>
    <row r="11909" spans="1:1" ht="18.75" x14ac:dyDescent="0.25">
      <c r="A11909" s="6"/>
    </row>
    <row r="11910" spans="1:1" ht="18.75" x14ac:dyDescent="0.25">
      <c r="A11910" s="6"/>
    </row>
    <row r="11911" spans="1:1" ht="18.75" x14ac:dyDescent="0.25">
      <c r="A11911" s="6"/>
    </row>
    <row r="11912" spans="1:1" ht="18.75" x14ac:dyDescent="0.25">
      <c r="A11912" s="6"/>
    </row>
    <row r="11913" spans="1:1" ht="18.75" x14ac:dyDescent="0.25">
      <c r="A11913" s="6"/>
    </row>
    <row r="11914" spans="1:1" ht="18.75" x14ac:dyDescent="0.25">
      <c r="A11914" s="6"/>
    </row>
    <row r="11915" spans="1:1" ht="18.75" x14ac:dyDescent="0.25">
      <c r="A11915" s="6"/>
    </row>
    <row r="11916" spans="1:1" ht="18.75" x14ac:dyDescent="0.25">
      <c r="A11916" s="6"/>
    </row>
    <row r="11917" spans="1:1" ht="18.75" x14ac:dyDescent="0.25">
      <c r="A11917" s="6"/>
    </row>
    <row r="11918" spans="1:1" ht="18.75" x14ac:dyDescent="0.25">
      <c r="A11918" s="6"/>
    </row>
    <row r="11919" spans="1:1" ht="18.75" x14ac:dyDescent="0.25">
      <c r="A11919" s="6"/>
    </row>
    <row r="11920" spans="1:1" ht="18.75" x14ac:dyDescent="0.25">
      <c r="A11920" s="6"/>
    </row>
    <row r="11921" spans="1:1" ht="18.75" x14ac:dyDescent="0.25">
      <c r="A11921" s="6"/>
    </row>
    <row r="11922" spans="1:1" ht="18.75" x14ac:dyDescent="0.25">
      <c r="A11922" s="6"/>
    </row>
    <row r="11923" spans="1:1" ht="18.75" x14ac:dyDescent="0.25">
      <c r="A11923" s="6"/>
    </row>
    <row r="11924" spans="1:1" ht="18.75" x14ac:dyDescent="0.25">
      <c r="A11924" s="6"/>
    </row>
    <row r="11925" spans="1:1" ht="18.75" x14ac:dyDescent="0.25">
      <c r="A11925" s="6"/>
    </row>
    <row r="11926" spans="1:1" ht="18.75" x14ac:dyDescent="0.25">
      <c r="A11926" s="6"/>
    </row>
    <row r="11927" spans="1:1" ht="18.75" x14ac:dyDescent="0.25">
      <c r="A11927" s="6"/>
    </row>
    <row r="11928" spans="1:1" ht="18.75" x14ac:dyDescent="0.25">
      <c r="A11928" s="6"/>
    </row>
    <row r="11929" spans="1:1" ht="18.75" x14ac:dyDescent="0.25">
      <c r="A11929" s="6"/>
    </row>
    <row r="11930" spans="1:1" ht="18.75" x14ac:dyDescent="0.25">
      <c r="A11930" s="6"/>
    </row>
    <row r="11931" spans="1:1" ht="18.75" x14ac:dyDescent="0.25">
      <c r="A11931" s="6"/>
    </row>
    <row r="11932" spans="1:1" ht="18.75" x14ac:dyDescent="0.25">
      <c r="A11932" s="6"/>
    </row>
    <row r="11933" spans="1:1" ht="18.75" x14ac:dyDescent="0.25">
      <c r="A11933" s="6"/>
    </row>
    <row r="11934" spans="1:1" ht="18.75" x14ac:dyDescent="0.25">
      <c r="A11934" s="6"/>
    </row>
    <row r="11935" spans="1:1" ht="18.75" x14ac:dyDescent="0.25">
      <c r="A11935" s="6"/>
    </row>
    <row r="11936" spans="1:1" ht="18.75" x14ac:dyDescent="0.25">
      <c r="A11936" s="6"/>
    </row>
    <row r="11937" spans="1:1" ht="18.75" x14ac:dyDescent="0.25">
      <c r="A11937" s="6"/>
    </row>
    <row r="11938" spans="1:1" ht="18.75" x14ac:dyDescent="0.25">
      <c r="A11938" s="6"/>
    </row>
    <row r="11939" spans="1:1" ht="18.75" x14ac:dyDescent="0.25">
      <c r="A11939" s="6"/>
    </row>
    <row r="11940" spans="1:1" ht="18.75" x14ac:dyDescent="0.25">
      <c r="A11940" s="6"/>
    </row>
    <row r="11941" spans="1:1" ht="18.75" x14ac:dyDescent="0.25">
      <c r="A11941" s="6"/>
    </row>
    <row r="11942" spans="1:1" ht="18.75" x14ac:dyDescent="0.25">
      <c r="A11942" s="6"/>
    </row>
    <row r="11943" spans="1:1" ht="18.75" x14ac:dyDescent="0.25">
      <c r="A11943" s="6"/>
    </row>
    <row r="11944" spans="1:1" ht="18.75" x14ac:dyDescent="0.25">
      <c r="A11944" s="6"/>
    </row>
    <row r="11945" spans="1:1" ht="18.75" x14ac:dyDescent="0.25">
      <c r="A11945" s="6"/>
    </row>
    <row r="11946" spans="1:1" ht="18.75" x14ac:dyDescent="0.25">
      <c r="A11946" s="6"/>
    </row>
    <row r="11947" spans="1:1" ht="18.75" x14ac:dyDescent="0.25">
      <c r="A11947" s="6"/>
    </row>
    <row r="11948" spans="1:1" ht="18.75" x14ac:dyDescent="0.25">
      <c r="A11948" s="6"/>
    </row>
    <row r="11949" spans="1:1" ht="18.75" x14ac:dyDescent="0.25">
      <c r="A11949" s="6"/>
    </row>
    <row r="11950" spans="1:1" ht="18.75" x14ac:dyDescent="0.25">
      <c r="A11950" s="6"/>
    </row>
    <row r="11951" spans="1:1" ht="18.75" x14ac:dyDescent="0.25">
      <c r="A11951" s="6"/>
    </row>
    <row r="11952" spans="1:1" ht="18.75" x14ac:dyDescent="0.25">
      <c r="A11952" s="6"/>
    </row>
    <row r="11953" spans="1:1" ht="18.75" x14ac:dyDescent="0.25">
      <c r="A11953" s="6"/>
    </row>
    <row r="11954" spans="1:1" ht="18.75" x14ac:dyDescent="0.25">
      <c r="A11954" s="6"/>
    </row>
    <row r="11955" spans="1:1" ht="18.75" x14ac:dyDescent="0.25">
      <c r="A11955" s="6"/>
    </row>
    <row r="11956" spans="1:1" ht="18.75" x14ac:dyDescent="0.25">
      <c r="A11956" s="6"/>
    </row>
    <row r="11957" spans="1:1" ht="18.75" x14ac:dyDescent="0.25">
      <c r="A11957" s="6"/>
    </row>
    <row r="11958" spans="1:1" ht="18.75" x14ac:dyDescent="0.25">
      <c r="A11958" s="6"/>
    </row>
    <row r="11959" spans="1:1" ht="18.75" x14ac:dyDescent="0.25">
      <c r="A11959" s="6"/>
    </row>
    <row r="11960" spans="1:1" ht="18.75" x14ac:dyDescent="0.25">
      <c r="A11960" s="6"/>
    </row>
    <row r="11961" spans="1:1" ht="18.75" x14ac:dyDescent="0.25">
      <c r="A11961" s="6"/>
    </row>
    <row r="11962" spans="1:1" ht="18.75" x14ac:dyDescent="0.25">
      <c r="A11962" s="6"/>
    </row>
    <row r="11963" spans="1:1" ht="18.75" x14ac:dyDescent="0.25">
      <c r="A11963" s="6"/>
    </row>
    <row r="11964" spans="1:1" ht="18.75" x14ac:dyDescent="0.25">
      <c r="A11964" s="6"/>
    </row>
    <row r="11965" spans="1:1" ht="18.75" x14ac:dyDescent="0.25">
      <c r="A11965" s="6"/>
    </row>
    <row r="11966" spans="1:1" ht="18.75" x14ac:dyDescent="0.25">
      <c r="A11966" s="6"/>
    </row>
    <row r="11967" spans="1:1" ht="18.75" x14ac:dyDescent="0.25">
      <c r="A11967" s="6"/>
    </row>
    <row r="11968" spans="1:1" ht="18.75" x14ac:dyDescent="0.25">
      <c r="A11968" s="6"/>
    </row>
    <row r="11969" spans="1:1" ht="18.75" x14ac:dyDescent="0.25">
      <c r="A11969" s="6"/>
    </row>
    <row r="11970" spans="1:1" ht="18.75" x14ac:dyDescent="0.25">
      <c r="A11970" s="6"/>
    </row>
    <row r="11971" spans="1:1" ht="18.75" x14ac:dyDescent="0.25">
      <c r="A11971" s="6"/>
    </row>
    <row r="11972" spans="1:1" ht="18.75" x14ac:dyDescent="0.25">
      <c r="A11972" s="6"/>
    </row>
    <row r="11973" spans="1:1" ht="18.75" x14ac:dyDescent="0.25">
      <c r="A11973" s="6"/>
    </row>
    <row r="11974" spans="1:1" ht="18.75" x14ac:dyDescent="0.25">
      <c r="A11974" s="6"/>
    </row>
    <row r="11975" spans="1:1" ht="18.75" x14ac:dyDescent="0.25">
      <c r="A11975" s="6"/>
    </row>
    <row r="11976" spans="1:1" ht="18.75" x14ac:dyDescent="0.25">
      <c r="A11976" s="6"/>
    </row>
    <row r="11977" spans="1:1" ht="18.75" x14ac:dyDescent="0.25">
      <c r="A11977" s="6"/>
    </row>
    <row r="11978" spans="1:1" ht="18.75" x14ac:dyDescent="0.25">
      <c r="A11978" s="6"/>
    </row>
    <row r="11979" spans="1:1" ht="18.75" x14ac:dyDescent="0.25">
      <c r="A11979" s="6"/>
    </row>
    <row r="11980" spans="1:1" ht="18.75" x14ac:dyDescent="0.25">
      <c r="A11980" s="6"/>
    </row>
    <row r="11981" spans="1:1" ht="18.75" x14ac:dyDescent="0.25">
      <c r="A11981" s="6"/>
    </row>
    <row r="11982" spans="1:1" ht="18.75" x14ac:dyDescent="0.25">
      <c r="A11982" s="6"/>
    </row>
    <row r="11983" spans="1:1" ht="18.75" x14ac:dyDescent="0.25">
      <c r="A11983" s="6"/>
    </row>
    <row r="11984" spans="1:1" ht="18.75" x14ac:dyDescent="0.25">
      <c r="A11984" s="6"/>
    </row>
    <row r="11985" spans="1:1" ht="18.75" x14ac:dyDescent="0.25">
      <c r="A11985" s="6"/>
    </row>
    <row r="11986" spans="1:1" ht="18.75" x14ac:dyDescent="0.25">
      <c r="A11986" s="6"/>
    </row>
    <row r="11987" spans="1:1" ht="18.75" x14ac:dyDescent="0.25">
      <c r="A11987" s="6"/>
    </row>
    <row r="11988" spans="1:1" ht="18.75" x14ac:dyDescent="0.25">
      <c r="A11988" s="6"/>
    </row>
    <row r="11989" spans="1:1" ht="18.75" x14ac:dyDescent="0.25">
      <c r="A11989" s="6"/>
    </row>
    <row r="11990" spans="1:1" ht="18.75" x14ac:dyDescent="0.25">
      <c r="A11990" s="6"/>
    </row>
    <row r="11991" spans="1:1" ht="18.75" x14ac:dyDescent="0.25">
      <c r="A11991" s="6"/>
    </row>
    <row r="11992" spans="1:1" ht="18.75" x14ac:dyDescent="0.25">
      <c r="A11992" s="6"/>
    </row>
    <row r="11993" spans="1:1" ht="18.75" x14ac:dyDescent="0.25">
      <c r="A11993" s="6"/>
    </row>
    <row r="11994" spans="1:1" ht="18.75" x14ac:dyDescent="0.25">
      <c r="A11994" s="6"/>
    </row>
    <row r="11995" spans="1:1" ht="18.75" x14ac:dyDescent="0.25">
      <c r="A11995" s="6"/>
    </row>
    <row r="11996" spans="1:1" ht="18.75" x14ac:dyDescent="0.25">
      <c r="A11996" s="6"/>
    </row>
    <row r="11997" spans="1:1" ht="18.75" x14ac:dyDescent="0.25">
      <c r="A11997" s="6"/>
    </row>
    <row r="11998" spans="1:1" ht="18.75" x14ac:dyDescent="0.25">
      <c r="A11998" s="6"/>
    </row>
    <row r="11999" spans="1:1" ht="18.75" x14ac:dyDescent="0.25">
      <c r="A11999" s="6"/>
    </row>
    <row r="12000" spans="1:1" ht="18.75" x14ac:dyDescent="0.25">
      <c r="A12000" s="6"/>
    </row>
    <row r="12001" spans="1:1" ht="18.75" x14ac:dyDescent="0.25">
      <c r="A12001" s="6"/>
    </row>
    <row r="12002" spans="1:1" ht="18.75" x14ac:dyDescent="0.25">
      <c r="A12002" s="6"/>
    </row>
    <row r="12003" spans="1:1" ht="18.75" x14ac:dyDescent="0.25">
      <c r="A12003" s="6"/>
    </row>
    <row r="12004" spans="1:1" ht="18.75" x14ac:dyDescent="0.25">
      <c r="A12004" s="6"/>
    </row>
    <row r="12005" spans="1:1" ht="18.75" x14ac:dyDescent="0.25">
      <c r="A12005" s="6"/>
    </row>
    <row r="12006" spans="1:1" ht="18.75" x14ac:dyDescent="0.25">
      <c r="A12006" s="6"/>
    </row>
    <row r="12007" spans="1:1" ht="18.75" x14ac:dyDescent="0.25">
      <c r="A12007" s="6"/>
    </row>
    <row r="12008" spans="1:1" ht="18.75" x14ac:dyDescent="0.25">
      <c r="A12008" s="6"/>
    </row>
    <row r="12009" spans="1:1" ht="18.75" x14ac:dyDescent="0.25">
      <c r="A12009" s="6"/>
    </row>
    <row r="12010" spans="1:1" ht="18.75" x14ac:dyDescent="0.25">
      <c r="A12010" s="6"/>
    </row>
    <row r="12011" spans="1:1" ht="18.75" x14ac:dyDescent="0.25">
      <c r="A12011" s="6"/>
    </row>
    <row r="12012" spans="1:1" ht="18.75" x14ac:dyDescent="0.25">
      <c r="A12012" s="6"/>
    </row>
    <row r="12013" spans="1:1" ht="18.75" x14ac:dyDescent="0.25">
      <c r="A12013" s="6"/>
    </row>
    <row r="12014" spans="1:1" ht="18.75" x14ac:dyDescent="0.25">
      <c r="A12014" s="6"/>
    </row>
    <row r="12015" spans="1:1" ht="18.75" x14ac:dyDescent="0.25">
      <c r="A12015" s="6"/>
    </row>
    <row r="12016" spans="1:1" ht="18.75" x14ac:dyDescent="0.25">
      <c r="A12016" s="6"/>
    </row>
    <row r="12017" spans="1:1" ht="18.75" x14ac:dyDescent="0.25">
      <c r="A12017" s="6"/>
    </row>
    <row r="12018" spans="1:1" ht="18.75" x14ac:dyDescent="0.25">
      <c r="A12018" s="6"/>
    </row>
    <row r="12019" spans="1:1" ht="18.75" x14ac:dyDescent="0.25">
      <c r="A12019" s="6"/>
    </row>
    <row r="12020" spans="1:1" ht="18.75" x14ac:dyDescent="0.25">
      <c r="A12020" s="6"/>
    </row>
    <row r="12021" spans="1:1" ht="18.75" x14ac:dyDescent="0.25">
      <c r="A12021" s="6"/>
    </row>
    <row r="12022" spans="1:1" ht="18.75" x14ac:dyDescent="0.25">
      <c r="A12022" s="6"/>
    </row>
    <row r="12023" spans="1:1" ht="18.75" x14ac:dyDescent="0.25">
      <c r="A12023" s="6"/>
    </row>
    <row r="12024" spans="1:1" ht="18.75" x14ac:dyDescent="0.25">
      <c r="A12024" s="6"/>
    </row>
    <row r="12025" spans="1:1" ht="18.75" x14ac:dyDescent="0.25">
      <c r="A12025" s="6"/>
    </row>
    <row r="12026" spans="1:1" ht="18.75" x14ac:dyDescent="0.25">
      <c r="A12026" s="6"/>
    </row>
    <row r="12027" spans="1:1" ht="18.75" x14ac:dyDescent="0.25">
      <c r="A12027" s="6"/>
    </row>
    <row r="12028" spans="1:1" ht="18.75" x14ac:dyDescent="0.25">
      <c r="A12028" s="6"/>
    </row>
    <row r="12029" spans="1:1" ht="18.75" x14ac:dyDescent="0.25">
      <c r="A12029" s="6"/>
    </row>
    <row r="12030" spans="1:1" ht="18.75" x14ac:dyDescent="0.25">
      <c r="A12030" s="6"/>
    </row>
    <row r="12031" spans="1:1" ht="18.75" x14ac:dyDescent="0.25">
      <c r="A12031" s="6"/>
    </row>
    <row r="12032" spans="1:1" ht="18.75" x14ac:dyDescent="0.25">
      <c r="A12032" s="6"/>
    </row>
    <row r="12033" spans="1:1" ht="18.75" x14ac:dyDescent="0.25">
      <c r="A12033" s="6"/>
    </row>
    <row r="12034" spans="1:1" ht="18.75" x14ac:dyDescent="0.25">
      <c r="A12034" s="6"/>
    </row>
    <row r="12035" spans="1:1" ht="18.75" x14ac:dyDescent="0.25">
      <c r="A12035" s="6"/>
    </row>
    <row r="12036" spans="1:1" ht="18.75" x14ac:dyDescent="0.25">
      <c r="A12036" s="6"/>
    </row>
    <row r="12037" spans="1:1" ht="18.75" x14ac:dyDescent="0.25">
      <c r="A12037" s="6"/>
    </row>
    <row r="12038" spans="1:1" ht="18.75" x14ac:dyDescent="0.25">
      <c r="A12038" s="6"/>
    </row>
    <row r="12039" spans="1:1" ht="18.75" x14ac:dyDescent="0.25">
      <c r="A12039" s="6"/>
    </row>
    <row r="12040" spans="1:1" ht="18.75" x14ac:dyDescent="0.25">
      <c r="A12040" s="6"/>
    </row>
    <row r="12041" spans="1:1" ht="18.75" x14ac:dyDescent="0.25">
      <c r="A12041" s="6"/>
    </row>
    <row r="12042" spans="1:1" ht="18.75" x14ac:dyDescent="0.25">
      <c r="A12042" s="6"/>
    </row>
    <row r="12043" spans="1:1" ht="18.75" x14ac:dyDescent="0.25">
      <c r="A12043" s="6"/>
    </row>
    <row r="12044" spans="1:1" ht="18.75" x14ac:dyDescent="0.25">
      <c r="A12044" s="6"/>
    </row>
    <row r="12045" spans="1:1" ht="18.75" x14ac:dyDescent="0.25">
      <c r="A12045" s="6"/>
    </row>
    <row r="12046" spans="1:1" ht="18.75" x14ac:dyDescent="0.25">
      <c r="A12046" s="6"/>
    </row>
    <row r="12047" spans="1:1" ht="18.75" x14ac:dyDescent="0.25">
      <c r="A12047" s="6"/>
    </row>
    <row r="12048" spans="1:1" ht="18.75" x14ac:dyDescent="0.25">
      <c r="A12048" s="6"/>
    </row>
    <row r="12049" spans="1:1" ht="18.75" x14ac:dyDescent="0.25">
      <c r="A12049" s="6"/>
    </row>
    <row r="12050" spans="1:1" ht="18.75" x14ac:dyDescent="0.25">
      <c r="A12050" s="6"/>
    </row>
    <row r="12051" spans="1:1" ht="18.75" x14ac:dyDescent="0.25">
      <c r="A12051" s="6"/>
    </row>
    <row r="12052" spans="1:1" ht="18.75" x14ac:dyDescent="0.25">
      <c r="A12052" s="6"/>
    </row>
    <row r="12053" spans="1:1" ht="18.75" x14ac:dyDescent="0.25">
      <c r="A12053" s="6"/>
    </row>
    <row r="12054" spans="1:1" ht="18.75" x14ac:dyDescent="0.25">
      <c r="A12054" s="6"/>
    </row>
    <row r="12055" spans="1:1" ht="18.75" x14ac:dyDescent="0.25">
      <c r="A12055" s="6"/>
    </row>
    <row r="12056" spans="1:1" ht="18.75" x14ac:dyDescent="0.25">
      <c r="A12056" s="6"/>
    </row>
    <row r="12057" spans="1:1" ht="18.75" x14ac:dyDescent="0.25">
      <c r="A12057" s="6"/>
    </row>
    <row r="12058" spans="1:1" ht="18.75" x14ac:dyDescent="0.25">
      <c r="A12058" s="6"/>
    </row>
    <row r="12059" spans="1:1" ht="18.75" x14ac:dyDescent="0.25">
      <c r="A12059" s="6"/>
    </row>
    <row r="12060" spans="1:1" ht="18.75" x14ac:dyDescent="0.25">
      <c r="A12060" s="6"/>
    </row>
    <row r="12061" spans="1:1" ht="18.75" x14ac:dyDescent="0.25">
      <c r="A12061" s="6"/>
    </row>
    <row r="12062" spans="1:1" ht="18.75" x14ac:dyDescent="0.25">
      <c r="A12062" s="6"/>
    </row>
    <row r="12063" spans="1:1" ht="18.75" x14ac:dyDescent="0.25">
      <c r="A12063" s="6"/>
    </row>
    <row r="12064" spans="1:1" ht="18.75" x14ac:dyDescent="0.25">
      <c r="A12064" s="6"/>
    </row>
    <row r="12065" spans="1:1" ht="18.75" x14ac:dyDescent="0.25">
      <c r="A12065" s="6"/>
    </row>
    <row r="12066" spans="1:1" ht="18.75" x14ac:dyDescent="0.25">
      <c r="A12066" s="6"/>
    </row>
    <row r="12067" spans="1:1" ht="18.75" x14ac:dyDescent="0.25">
      <c r="A12067" s="6"/>
    </row>
    <row r="12068" spans="1:1" ht="18.75" x14ac:dyDescent="0.25">
      <c r="A12068" s="6"/>
    </row>
    <row r="12069" spans="1:1" ht="18.75" x14ac:dyDescent="0.25">
      <c r="A12069" s="6"/>
    </row>
    <row r="12070" spans="1:1" ht="18.75" x14ac:dyDescent="0.25">
      <c r="A12070" s="6"/>
    </row>
    <row r="12071" spans="1:1" ht="18.75" x14ac:dyDescent="0.25">
      <c r="A12071" s="6"/>
    </row>
    <row r="12072" spans="1:1" ht="18.75" x14ac:dyDescent="0.25">
      <c r="A12072" s="6"/>
    </row>
    <row r="12073" spans="1:1" ht="18.75" x14ac:dyDescent="0.25">
      <c r="A12073" s="6"/>
    </row>
    <row r="12074" spans="1:1" ht="18.75" x14ac:dyDescent="0.25">
      <c r="A12074" s="6"/>
    </row>
    <row r="12075" spans="1:1" ht="18.75" x14ac:dyDescent="0.25">
      <c r="A12075" s="6"/>
    </row>
    <row r="12076" spans="1:1" ht="18.75" x14ac:dyDescent="0.25">
      <c r="A12076" s="6"/>
    </row>
    <row r="12077" spans="1:1" ht="18.75" x14ac:dyDescent="0.25">
      <c r="A12077" s="6"/>
    </row>
    <row r="12078" spans="1:1" ht="18.75" x14ac:dyDescent="0.25">
      <c r="A12078" s="6"/>
    </row>
    <row r="12079" spans="1:1" ht="18.75" x14ac:dyDescent="0.25">
      <c r="A12079" s="6"/>
    </row>
    <row r="12080" spans="1:1" ht="18.75" x14ac:dyDescent="0.25">
      <c r="A12080" s="6"/>
    </row>
    <row r="12081" spans="1:1" ht="18.75" x14ac:dyDescent="0.25">
      <c r="A12081" s="6"/>
    </row>
    <row r="12082" spans="1:1" ht="18.75" x14ac:dyDescent="0.25">
      <c r="A12082" s="6"/>
    </row>
    <row r="12083" spans="1:1" ht="18.75" x14ac:dyDescent="0.25">
      <c r="A12083" s="6"/>
    </row>
    <row r="12084" spans="1:1" ht="18.75" x14ac:dyDescent="0.25">
      <c r="A12084" s="6"/>
    </row>
    <row r="12085" spans="1:1" ht="18.75" x14ac:dyDescent="0.25">
      <c r="A12085" s="6"/>
    </row>
    <row r="12086" spans="1:1" ht="18.75" x14ac:dyDescent="0.25">
      <c r="A12086" s="6"/>
    </row>
    <row r="12087" spans="1:1" ht="18.75" x14ac:dyDescent="0.25">
      <c r="A12087" s="6"/>
    </row>
    <row r="12088" spans="1:1" ht="18.75" x14ac:dyDescent="0.25">
      <c r="A12088" s="6"/>
    </row>
    <row r="12089" spans="1:1" ht="18.75" x14ac:dyDescent="0.25">
      <c r="A12089" s="6"/>
    </row>
    <row r="12090" spans="1:1" ht="18.75" x14ac:dyDescent="0.25">
      <c r="A12090" s="6"/>
    </row>
    <row r="12091" spans="1:1" ht="18.75" x14ac:dyDescent="0.25">
      <c r="A12091" s="6"/>
    </row>
    <row r="12092" spans="1:1" ht="18.75" x14ac:dyDescent="0.25">
      <c r="A12092" s="6"/>
    </row>
    <row r="12093" spans="1:1" ht="18.75" x14ac:dyDescent="0.25">
      <c r="A12093" s="6"/>
    </row>
    <row r="12094" spans="1:1" ht="18.75" x14ac:dyDescent="0.25">
      <c r="A12094" s="6"/>
    </row>
    <row r="12095" spans="1:1" ht="18.75" x14ac:dyDescent="0.25">
      <c r="A12095" s="6"/>
    </row>
    <row r="12096" spans="1:1" ht="18.75" x14ac:dyDescent="0.25">
      <c r="A12096" s="6"/>
    </row>
    <row r="12097" spans="1:1" ht="18.75" x14ac:dyDescent="0.25">
      <c r="A12097" s="6"/>
    </row>
    <row r="12098" spans="1:1" ht="18.75" x14ac:dyDescent="0.25">
      <c r="A12098" s="6"/>
    </row>
    <row r="12099" spans="1:1" ht="18.75" x14ac:dyDescent="0.25">
      <c r="A12099" s="6"/>
    </row>
    <row r="12100" spans="1:1" ht="18.75" x14ac:dyDescent="0.25">
      <c r="A12100" s="6"/>
    </row>
    <row r="12101" spans="1:1" ht="18.75" x14ac:dyDescent="0.25">
      <c r="A12101" s="6"/>
    </row>
    <row r="12102" spans="1:1" ht="18.75" x14ac:dyDescent="0.25">
      <c r="A12102" s="6"/>
    </row>
    <row r="12103" spans="1:1" ht="18.75" x14ac:dyDescent="0.25">
      <c r="A12103" s="6"/>
    </row>
    <row r="12104" spans="1:1" ht="18.75" x14ac:dyDescent="0.25">
      <c r="A12104" s="6"/>
    </row>
    <row r="12105" spans="1:1" ht="18.75" x14ac:dyDescent="0.25">
      <c r="A12105" s="6"/>
    </row>
    <row r="12106" spans="1:1" ht="18.75" x14ac:dyDescent="0.25">
      <c r="A12106" s="6"/>
    </row>
    <row r="12107" spans="1:1" ht="18.75" x14ac:dyDescent="0.25">
      <c r="A12107" s="6"/>
    </row>
    <row r="12108" spans="1:1" ht="18.75" x14ac:dyDescent="0.25">
      <c r="A12108" s="6"/>
    </row>
    <row r="12109" spans="1:1" ht="18.75" x14ac:dyDescent="0.25">
      <c r="A12109" s="6"/>
    </row>
    <row r="12110" spans="1:1" ht="18.75" x14ac:dyDescent="0.25">
      <c r="A12110" s="6"/>
    </row>
    <row r="12111" spans="1:1" ht="18.75" x14ac:dyDescent="0.25">
      <c r="A12111" s="6"/>
    </row>
    <row r="12112" spans="1:1" ht="18.75" x14ac:dyDescent="0.25">
      <c r="A12112" s="6"/>
    </row>
    <row r="12113" spans="1:1" ht="18.75" x14ac:dyDescent="0.25">
      <c r="A12113" s="6"/>
    </row>
    <row r="12114" spans="1:1" ht="18.75" x14ac:dyDescent="0.25">
      <c r="A12114" s="6"/>
    </row>
    <row r="12115" spans="1:1" ht="18.75" x14ac:dyDescent="0.25">
      <c r="A12115" s="6"/>
    </row>
    <row r="12116" spans="1:1" ht="18.75" x14ac:dyDescent="0.25">
      <c r="A12116" s="6"/>
    </row>
    <row r="12117" spans="1:1" ht="18.75" x14ac:dyDescent="0.25">
      <c r="A12117" s="6"/>
    </row>
    <row r="12118" spans="1:1" ht="18.75" x14ac:dyDescent="0.25">
      <c r="A12118" s="6"/>
    </row>
    <row r="12119" spans="1:1" ht="18.75" x14ac:dyDescent="0.25">
      <c r="A12119" s="6"/>
    </row>
    <row r="12120" spans="1:1" ht="18.75" x14ac:dyDescent="0.25">
      <c r="A12120" s="6"/>
    </row>
    <row r="12121" spans="1:1" ht="18.75" x14ac:dyDescent="0.25">
      <c r="A12121" s="6"/>
    </row>
    <row r="12122" spans="1:1" ht="18.75" x14ac:dyDescent="0.25">
      <c r="A12122" s="6"/>
    </row>
    <row r="12123" spans="1:1" ht="18.75" x14ac:dyDescent="0.25">
      <c r="A12123" s="6"/>
    </row>
    <row r="12124" spans="1:1" ht="18.75" x14ac:dyDescent="0.25">
      <c r="A12124" s="6"/>
    </row>
    <row r="12125" spans="1:1" ht="18.75" x14ac:dyDescent="0.25">
      <c r="A12125" s="6"/>
    </row>
    <row r="12126" spans="1:1" ht="18.75" x14ac:dyDescent="0.25">
      <c r="A12126" s="6"/>
    </row>
    <row r="12127" spans="1:1" ht="18.75" x14ac:dyDescent="0.25">
      <c r="A12127" s="6"/>
    </row>
    <row r="12128" spans="1:1" ht="18.75" x14ac:dyDescent="0.25">
      <c r="A12128" s="6"/>
    </row>
    <row r="12129" spans="1:1" ht="18.75" x14ac:dyDescent="0.25">
      <c r="A12129" s="6"/>
    </row>
    <row r="12130" spans="1:1" ht="18.75" x14ac:dyDescent="0.25">
      <c r="A12130" s="6"/>
    </row>
    <row r="12131" spans="1:1" ht="18.75" x14ac:dyDescent="0.25">
      <c r="A12131" s="6"/>
    </row>
    <row r="12132" spans="1:1" ht="18.75" x14ac:dyDescent="0.25">
      <c r="A12132" s="6"/>
    </row>
    <row r="12133" spans="1:1" ht="18.75" x14ac:dyDescent="0.25">
      <c r="A12133" s="6"/>
    </row>
    <row r="12134" spans="1:1" ht="18.75" x14ac:dyDescent="0.25">
      <c r="A12134" s="6"/>
    </row>
    <row r="12135" spans="1:1" ht="18.75" x14ac:dyDescent="0.25">
      <c r="A12135" s="6"/>
    </row>
    <row r="12136" spans="1:1" ht="18.75" x14ac:dyDescent="0.25">
      <c r="A12136" s="6"/>
    </row>
    <row r="12137" spans="1:1" ht="18.75" x14ac:dyDescent="0.25">
      <c r="A12137" s="6"/>
    </row>
    <row r="12138" spans="1:1" ht="18.75" x14ac:dyDescent="0.25">
      <c r="A12138" s="6"/>
    </row>
    <row r="12139" spans="1:1" ht="18.75" x14ac:dyDescent="0.25">
      <c r="A12139" s="6"/>
    </row>
    <row r="12140" spans="1:1" ht="18.75" x14ac:dyDescent="0.25">
      <c r="A12140" s="6"/>
    </row>
    <row r="12141" spans="1:1" ht="18.75" x14ac:dyDescent="0.25">
      <c r="A12141" s="6"/>
    </row>
    <row r="12142" spans="1:1" ht="18.75" x14ac:dyDescent="0.25">
      <c r="A12142" s="6"/>
    </row>
    <row r="12143" spans="1:1" ht="18.75" x14ac:dyDescent="0.25">
      <c r="A12143" s="6"/>
    </row>
    <row r="12144" spans="1:1" ht="18.75" x14ac:dyDescent="0.25">
      <c r="A12144" s="6"/>
    </row>
    <row r="12145" spans="1:1" ht="18.75" x14ac:dyDescent="0.25">
      <c r="A12145" s="6"/>
    </row>
    <row r="12146" spans="1:1" ht="18.75" x14ac:dyDescent="0.25">
      <c r="A12146" s="6"/>
    </row>
    <row r="12147" spans="1:1" ht="18.75" x14ac:dyDescent="0.25">
      <c r="A12147" s="6"/>
    </row>
    <row r="12148" spans="1:1" ht="18.75" x14ac:dyDescent="0.25">
      <c r="A12148" s="6"/>
    </row>
    <row r="12149" spans="1:1" ht="18.75" x14ac:dyDescent="0.25">
      <c r="A12149" s="6"/>
    </row>
    <row r="12150" spans="1:1" ht="18.75" x14ac:dyDescent="0.25">
      <c r="A12150" s="6"/>
    </row>
    <row r="12151" spans="1:1" ht="18.75" x14ac:dyDescent="0.25">
      <c r="A12151" s="6"/>
    </row>
    <row r="12152" spans="1:1" ht="18.75" x14ac:dyDescent="0.25">
      <c r="A12152" s="6"/>
    </row>
    <row r="12153" spans="1:1" ht="18.75" x14ac:dyDescent="0.25">
      <c r="A12153" s="6"/>
    </row>
    <row r="12154" spans="1:1" ht="18.75" x14ac:dyDescent="0.25">
      <c r="A12154" s="6"/>
    </row>
    <row r="12155" spans="1:1" ht="18.75" x14ac:dyDescent="0.25">
      <c r="A12155" s="6"/>
    </row>
    <row r="12156" spans="1:1" ht="18.75" x14ac:dyDescent="0.25">
      <c r="A12156" s="6"/>
    </row>
    <row r="12157" spans="1:1" ht="18.75" x14ac:dyDescent="0.25">
      <c r="A12157" s="6"/>
    </row>
    <row r="12158" spans="1:1" ht="18.75" x14ac:dyDescent="0.25">
      <c r="A12158" s="6"/>
    </row>
    <row r="12159" spans="1:1" ht="18.75" x14ac:dyDescent="0.25">
      <c r="A12159" s="6"/>
    </row>
    <row r="12160" spans="1:1" ht="18.75" x14ac:dyDescent="0.25">
      <c r="A12160" s="6"/>
    </row>
    <row r="12161" spans="1:1" ht="18.75" x14ac:dyDescent="0.25">
      <c r="A12161" s="6"/>
    </row>
    <row r="12162" spans="1:1" ht="18.75" x14ac:dyDescent="0.25">
      <c r="A12162" s="6"/>
    </row>
    <row r="12163" spans="1:1" ht="18.75" x14ac:dyDescent="0.25">
      <c r="A12163" s="6"/>
    </row>
    <row r="12164" spans="1:1" ht="18.75" x14ac:dyDescent="0.25">
      <c r="A12164" s="6"/>
    </row>
    <row r="12165" spans="1:1" ht="18.75" x14ac:dyDescent="0.25">
      <c r="A12165" s="6"/>
    </row>
    <row r="12166" spans="1:1" ht="18.75" x14ac:dyDescent="0.25">
      <c r="A12166" s="6"/>
    </row>
    <row r="12167" spans="1:1" ht="18.75" x14ac:dyDescent="0.25">
      <c r="A12167" s="6"/>
    </row>
    <row r="12168" spans="1:1" ht="18.75" x14ac:dyDescent="0.25">
      <c r="A12168" s="6"/>
    </row>
    <row r="12169" spans="1:1" ht="18.75" x14ac:dyDescent="0.25">
      <c r="A12169" s="6"/>
    </row>
    <row r="12170" spans="1:1" ht="18.75" x14ac:dyDescent="0.25">
      <c r="A12170" s="6"/>
    </row>
    <row r="12171" spans="1:1" ht="18.75" x14ac:dyDescent="0.25">
      <c r="A12171" s="6"/>
    </row>
    <row r="12172" spans="1:1" ht="18.75" x14ac:dyDescent="0.25">
      <c r="A12172" s="6"/>
    </row>
    <row r="12173" spans="1:1" ht="18.75" x14ac:dyDescent="0.25">
      <c r="A12173" s="6"/>
    </row>
    <row r="12174" spans="1:1" ht="18.75" x14ac:dyDescent="0.25">
      <c r="A12174" s="6"/>
    </row>
    <row r="12175" spans="1:1" ht="18.75" x14ac:dyDescent="0.25">
      <c r="A12175" s="6"/>
    </row>
    <row r="12176" spans="1:1" ht="18.75" x14ac:dyDescent="0.25">
      <c r="A12176" s="6"/>
    </row>
    <row r="12177" spans="1:1" ht="18.75" x14ac:dyDescent="0.25">
      <c r="A12177" s="6"/>
    </row>
    <row r="12178" spans="1:1" ht="18.75" x14ac:dyDescent="0.25">
      <c r="A12178" s="6"/>
    </row>
    <row r="12179" spans="1:1" ht="18.75" x14ac:dyDescent="0.25">
      <c r="A12179" s="6"/>
    </row>
    <row r="12180" spans="1:1" ht="18.75" x14ac:dyDescent="0.25">
      <c r="A12180" s="6"/>
    </row>
    <row r="12181" spans="1:1" ht="18.75" x14ac:dyDescent="0.25">
      <c r="A12181" s="6"/>
    </row>
    <row r="12182" spans="1:1" ht="18.75" x14ac:dyDescent="0.25">
      <c r="A12182" s="6"/>
    </row>
    <row r="12183" spans="1:1" ht="18.75" x14ac:dyDescent="0.25">
      <c r="A12183" s="6"/>
    </row>
    <row r="12184" spans="1:1" ht="18.75" x14ac:dyDescent="0.25">
      <c r="A12184" s="6"/>
    </row>
    <row r="12185" spans="1:1" ht="18.75" x14ac:dyDescent="0.25">
      <c r="A12185" s="6"/>
    </row>
    <row r="12186" spans="1:1" ht="18.75" x14ac:dyDescent="0.25">
      <c r="A12186" s="6"/>
    </row>
    <row r="12187" spans="1:1" ht="18.75" x14ac:dyDescent="0.25">
      <c r="A12187" s="6"/>
    </row>
    <row r="12188" spans="1:1" ht="18.75" x14ac:dyDescent="0.25">
      <c r="A12188" s="6"/>
    </row>
    <row r="12189" spans="1:1" ht="18.75" x14ac:dyDescent="0.25">
      <c r="A12189" s="6"/>
    </row>
    <row r="12190" spans="1:1" ht="18.75" x14ac:dyDescent="0.25">
      <c r="A12190" s="6"/>
    </row>
    <row r="12191" spans="1:1" ht="18.75" x14ac:dyDescent="0.25">
      <c r="A12191" s="6"/>
    </row>
    <row r="12192" spans="1:1" ht="18.75" x14ac:dyDescent="0.25">
      <c r="A12192" s="6"/>
    </row>
    <row r="12193" spans="1:1" ht="18.75" x14ac:dyDescent="0.25">
      <c r="A12193" s="6"/>
    </row>
    <row r="12194" spans="1:1" ht="18.75" x14ac:dyDescent="0.25">
      <c r="A12194" s="6"/>
    </row>
    <row r="12195" spans="1:1" ht="18.75" x14ac:dyDescent="0.25">
      <c r="A12195" s="6"/>
    </row>
    <row r="12196" spans="1:1" ht="18.75" x14ac:dyDescent="0.25">
      <c r="A12196" s="6"/>
    </row>
    <row r="12197" spans="1:1" ht="18.75" x14ac:dyDescent="0.25">
      <c r="A12197" s="6"/>
    </row>
    <row r="12198" spans="1:1" ht="18.75" x14ac:dyDescent="0.25">
      <c r="A12198" s="6"/>
    </row>
    <row r="12199" spans="1:1" ht="18.75" x14ac:dyDescent="0.25">
      <c r="A12199" s="6"/>
    </row>
    <row r="12200" spans="1:1" ht="18.75" x14ac:dyDescent="0.25">
      <c r="A12200" s="6"/>
    </row>
    <row r="12201" spans="1:1" ht="18.75" x14ac:dyDescent="0.25">
      <c r="A12201" s="6"/>
    </row>
    <row r="12202" spans="1:1" ht="18.75" x14ac:dyDescent="0.25">
      <c r="A12202" s="6"/>
    </row>
    <row r="12203" spans="1:1" ht="18.75" x14ac:dyDescent="0.25">
      <c r="A12203" s="6"/>
    </row>
    <row r="12204" spans="1:1" ht="18.75" x14ac:dyDescent="0.25">
      <c r="A12204" s="6"/>
    </row>
    <row r="12205" spans="1:1" ht="18.75" x14ac:dyDescent="0.25">
      <c r="A12205" s="6"/>
    </row>
    <row r="12206" spans="1:1" ht="18.75" x14ac:dyDescent="0.25">
      <c r="A12206" s="6"/>
    </row>
    <row r="12207" spans="1:1" ht="18.75" x14ac:dyDescent="0.25">
      <c r="A12207" s="6"/>
    </row>
    <row r="12208" spans="1:1" ht="18.75" x14ac:dyDescent="0.25">
      <c r="A12208" s="6"/>
    </row>
    <row r="12209" spans="1:1" ht="18.75" x14ac:dyDescent="0.25">
      <c r="A12209" s="6"/>
    </row>
    <row r="12210" spans="1:1" ht="18.75" x14ac:dyDescent="0.25">
      <c r="A12210" s="6"/>
    </row>
    <row r="12211" spans="1:1" ht="18.75" x14ac:dyDescent="0.25">
      <c r="A12211" s="6"/>
    </row>
    <row r="12212" spans="1:1" ht="18.75" x14ac:dyDescent="0.25">
      <c r="A12212" s="6"/>
    </row>
    <row r="12213" spans="1:1" ht="18.75" x14ac:dyDescent="0.25">
      <c r="A12213" s="6"/>
    </row>
    <row r="12214" spans="1:1" ht="18.75" x14ac:dyDescent="0.25">
      <c r="A12214" s="6"/>
    </row>
    <row r="12215" spans="1:1" ht="18.75" x14ac:dyDescent="0.25">
      <c r="A12215" s="6"/>
    </row>
    <row r="12216" spans="1:1" ht="18.75" x14ac:dyDescent="0.25">
      <c r="A12216" s="6"/>
    </row>
    <row r="12217" spans="1:1" ht="18.75" x14ac:dyDescent="0.25">
      <c r="A12217" s="6"/>
    </row>
    <row r="12218" spans="1:1" ht="18.75" x14ac:dyDescent="0.25">
      <c r="A12218" s="6"/>
    </row>
    <row r="12219" spans="1:1" ht="18.75" x14ac:dyDescent="0.25">
      <c r="A12219" s="6"/>
    </row>
    <row r="12220" spans="1:1" ht="18.75" x14ac:dyDescent="0.25">
      <c r="A12220" s="6"/>
    </row>
    <row r="12221" spans="1:1" ht="18.75" x14ac:dyDescent="0.25">
      <c r="A12221" s="6"/>
    </row>
    <row r="12222" spans="1:1" ht="18.75" x14ac:dyDescent="0.25">
      <c r="A12222" s="6"/>
    </row>
    <row r="12223" spans="1:1" ht="18.75" x14ac:dyDescent="0.25">
      <c r="A12223" s="6"/>
    </row>
    <row r="12224" spans="1:1" ht="18.75" x14ac:dyDescent="0.25">
      <c r="A12224" s="6"/>
    </row>
    <row r="12225" spans="1:1" ht="18.75" x14ac:dyDescent="0.25">
      <c r="A12225" s="6"/>
    </row>
    <row r="12226" spans="1:1" ht="18.75" x14ac:dyDescent="0.25">
      <c r="A12226" s="6"/>
    </row>
    <row r="12227" spans="1:1" ht="18.75" x14ac:dyDescent="0.25">
      <c r="A12227" s="6"/>
    </row>
    <row r="12228" spans="1:1" ht="18.75" x14ac:dyDescent="0.25">
      <c r="A12228" s="6"/>
    </row>
    <row r="12229" spans="1:1" ht="18.75" x14ac:dyDescent="0.25">
      <c r="A12229" s="6"/>
    </row>
    <row r="12230" spans="1:1" ht="18.75" x14ac:dyDescent="0.25">
      <c r="A12230" s="6"/>
    </row>
    <row r="12231" spans="1:1" ht="18.75" x14ac:dyDescent="0.25">
      <c r="A12231" s="6"/>
    </row>
    <row r="12232" spans="1:1" ht="18.75" x14ac:dyDescent="0.25">
      <c r="A12232" s="6"/>
    </row>
    <row r="12233" spans="1:1" ht="18.75" x14ac:dyDescent="0.25">
      <c r="A12233" s="6"/>
    </row>
    <row r="12234" spans="1:1" ht="18.75" x14ac:dyDescent="0.25">
      <c r="A12234" s="6"/>
    </row>
    <row r="12235" spans="1:1" ht="18.75" x14ac:dyDescent="0.25">
      <c r="A12235" s="6"/>
    </row>
    <row r="12236" spans="1:1" ht="18.75" x14ac:dyDescent="0.25">
      <c r="A12236" s="6"/>
    </row>
    <row r="12237" spans="1:1" ht="18.75" x14ac:dyDescent="0.25">
      <c r="A12237" s="6"/>
    </row>
    <row r="12238" spans="1:1" ht="18.75" x14ac:dyDescent="0.25">
      <c r="A12238" s="6"/>
    </row>
    <row r="12239" spans="1:1" ht="18.75" x14ac:dyDescent="0.25">
      <c r="A12239" s="6"/>
    </row>
    <row r="12240" spans="1:1" ht="18.75" x14ac:dyDescent="0.25">
      <c r="A12240" s="6"/>
    </row>
    <row r="12241" spans="1:1" ht="18.75" x14ac:dyDescent="0.25">
      <c r="A12241" s="6"/>
    </row>
    <row r="12242" spans="1:1" ht="18.75" x14ac:dyDescent="0.25">
      <c r="A12242" s="6"/>
    </row>
    <row r="12243" spans="1:1" ht="18.75" x14ac:dyDescent="0.25">
      <c r="A12243" s="6"/>
    </row>
    <row r="12244" spans="1:1" ht="18.75" x14ac:dyDescent="0.25">
      <c r="A12244" s="6"/>
    </row>
    <row r="12245" spans="1:1" ht="18.75" x14ac:dyDescent="0.25">
      <c r="A12245" s="6"/>
    </row>
    <row r="12246" spans="1:1" ht="18.75" x14ac:dyDescent="0.25">
      <c r="A12246" s="6"/>
    </row>
    <row r="12247" spans="1:1" ht="18.75" x14ac:dyDescent="0.25">
      <c r="A12247" s="6"/>
    </row>
    <row r="12248" spans="1:1" ht="18.75" x14ac:dyDescent="0.25">
      <c r="A12248" s="6"/>
    </row>
    <row r="12249" spans="1:1" ht="18.75" x14ac:dyDescent="0.25">
      <c r="A12249" s="6"/>
    </row>
    <row r="12250" spans="1:1" ht="18.75" x14ac:dyDescent="0.25">
      <c r="A12250" s="6"/>
    </row>
    <row r="12251" spans="1:1" ht="18.75" x14ac:dyDescent="0.25">
      <c r="A12251" s="6"/>
    </row>
    <row r="12252" spans="1:1" ht="18.75" x14ac:dyDescent="0.25">
      <c r="A12252" s="6"/>
    </row>
    <row r="12253" spans="1:1" ht="18.75" x14ac:dyDescent="0.25">
      <c r="A12253" s="6"/>
    </row>
    <row r="12254" spans="1:1" ht="18.75" x14ac:dyDescent="0.25">
      <c r="A12254" s="6"/>
    </row>
    <row r="12255" spans="1:1" ht="18.75" x14ac:dyDescent="0.25">
      <c r="A12255" s="6"/>
    </row>
    <row r="12256" spans="1:1" ht="18.75" x14ac:dyDescent="0.25">
      <c r="A12256" s="6"/>
    </row>
    <row r="12257" spans="1:1" ht="18.75" x14ac:dyDescent="0.25">
      <c r="A12257" s="6"/>
    </row>
    <row r="12258" spans="1:1" ht="18.75" x14ac:dyDescent="0.25">
      <c r="A12258" s="6"/>
    </row>
    <row r="12259" spans="1:1" ht="18.75" x14ac:dyDescent="0.25">
      <c r="A12259" s="6"/>
    </row>
    <row r="12260" spans="1:1" ht="18.75" x14ac:dyDescent="0.25">
      <c r="A12260" s="6"/>
    </row>
    <row r="12261" spans="1:1" ht="18.75" x14ac:dyDescent="0.25">
      <c r="A12261" s="6"/>
    </row>
    <row r="12262" spans="1:1" ht="18.75" x14ac:dyDescent="0.25">
      <c r="A12262" s="6"/>
    </row>
    <row r="12263" spans="1:1" ht="18.75" x14ac:dyDescent="0.25">
      <c r="A12263" s="6"/>
    </row>
    <row r="12264" spans="1:1" ht="18.75" x14ac:dyDescent="0.25">
      <c r="A12264" s="6"/>
    </row>
    <row r="12265" spans="1:1" ht="18.75" x14ac:dyDescent="0.25">
      <c r="A12265" s="6"/>
    </row>
    <row r="12266" spans="1:1" ht="18.75" x14ac:dyDescent="0.25">
      <c r="A12266" s="6"/>
    </row>
    <row r="12267" spans="1:1" ht="18.75" x14ac:dyDescent="0.25">
      <c r="A12267" s="6"/>
    </row>
    <row r="12268" spans="1:1" ht="18.75" x14ac:dyDescent="0.25">
      <c r="A12268" s="6"/>
    </row>
    <row r="12269" spans="1:1" ht="18.75" x14ac:dyDescent="0.25">
      <c r="A12269" s="6"/>
    </row>
    <row r="12270" spans="1:1" ht="18.75" x14ac:dyDescent="0.25">
      <c r="A12270" s="6"/>
    </row>
    <row r="12271" spans="1:1" ht="18.75" x14ac:dyDescent="0.25">
      <c r="A12271" s="6"/>
    </row>
    <row r="12272" spans="1:1" ht="18.75" x14ac:dyDescent="0.25">
      <c r="A12272" s="6"/>
    </row>
    <row r="12273" spans="1:1" ht="18.75" x14ac:dyDescent="0.25">
      <c r="A12273" s="6"/>
    </row>
    <row r="12274" spans="1:1" ht="18.75" x14ac:dyDescent="0.25">
      <c r="A12274" s="6"/>
    </row>
    <row r="12275" spans="1:1" ht="18.75" x14ac:dyDescent="0.25">
      <c r="A12275" s="6"/>
    </row>
    <row r="12276" spans="1:1" ht="18.75" x14ac:dyDescent="0.25">
      <c r="A12276" s="6"/>
    </row>
    <row r="12277" spans="1:1" ht="18.75" x14ac:dyDescent="0.25">
      <c r="A12277" s="6"/>
    </row>
    <row r="12278" spans="1:1" ht="18.75" x14ac:dyDescent="0.25">
      <c r="A12278" s="6"/>
    </row>
    <row r="12279" spans="1:1" ht="18.75" x14ac:dyDescent="0.25">
      <c r="A12279" s="6"/>
    </row>
    <row r="12280" spans="1:1" ht="18.75" x14ac:dyDescent="0.25">
      <c r="A12280" s="6"/>
    </row>
    <row r="12281" spans="1:1" ht="18.75" x14ac:dyDescent="0.25">
      <c r="A12281" s="6"/>
    </row>
    <row r="12282" spans="1:1" ht="18.75" x14ac:dyDescent="0.25">
      <c r="A12282" s="6"/>
    </row>
    <row r="12283" spans="1:1" ht="18.75" x14ac:dyDescent="0.25">
      <c r="A12283" s="6"/>
    </row>
    <row r="12284" spans="1:1" ht="18.75" x14ac:dyDescent="0.25">
      <c r="A12284" s="6"/>
    </row>
    <row r="12285" spans="1:1" ht="18.75" x14ac:dyDescent="0.25">
      <c r="A12285" s="6"/>
    </row>
    <row r="12286" spans="1:1" ht="18.75" x14ac:dyDescent="0.25">
      <c r="A12286" s="6"/>
    </row>
    <row r="12287" spans="1:1" ht="18.75" x14ac:dyDescent="0.25">
      <c r="A12287" s="6"/>
    </row>
    <row r="12288" spans="1:1" ht="18.75" x14ac:dyDescent="0.25">
      <c r="A12288" s="6"/>
    </row>
    <row r="12289" spans="1:1" ht="18.75" x14ac:dyDescent="0.25">
      <c r="A12289" s="6"/>
    </row>
    <row r="12290" spans="1:1" ht="18.75" x14ac:dyDescent="0.25">
      <c r="A12290" s="6"/>
    </row>
    <row r="12291" spans="1:1" ht="18.75" x14ac:dyDescent="0.25">
      <c r="A12291" s="6"/>
    </row>
    <row r="12292" spans="1:1" ht="18.75" x14ac:dyDescent="0.25">
      <c r="A12292" s="6"/>
    </row>
    <row r="12293" spans="1:1" ht="18.75" x14ac:dyDescent="0.25">
      <c r="A12293" s="6"/>
    </row>
    <row r="12294" spans="1:1" ht="18.75" x14ac:dyDescent="0.25">
      <c r="A12294" s="6"/>
    </row>
    <row r="12295" spans="1:1" ht="18.75" x14ac:dyDescent="0.25">
      <c r="A12295" s="6"/>
    </row>
    <row r="12296" spans="1:1" ht="18.75" x14ac:dyDescent="0.25">
      <c r="A12296" s="6"/>
    </row>
    <row r="12297" spans="1:1" ht="18.75" x14ac:dyDescent="0.25">
      <c r="A12297" s="6"/>
    </row>
    <row r="12298" spans="1:1" ht="18.75" x14ac:dyDescent="0.25">
      <c r="A12298" s="6"/>
    </row>
    <row r="12299" spans="1:1" ht="18.75" x14ac:dyDescent="0.25">
      <c r="A12299" s="6"/>
    </row>
    <row r="12300" spans="1:1" ht="18.75" x14ac:dyDescent="0.25">
      <c r="A12300" s="6"/>
    </row>
    <row r="12301" spans="1:1" ht="18.75" x14ac:dyDescent="0.25">
      <c r="A12301" s="6"/>
    </row>
    <row r="12302" spans="1:1" ht="18.75" x14ac:dyDescent="0.25">
      <c r="A12302" s="6"/>
    </row>
    <row r="12303" spans="1:1" ht="18.75" x14ac:dyDescent="0.25">
      <c r="A12303" s="6"/>
    </row>
    <row r="12304" spans="1:1" ht="18.75" x14ac:dyDescent="0.25">
      <c r="A12304" s="6"/>
    </row>
    <row r="12305" spans="1:1" ht="18.75" x14ac:dyDescent="0.25">
      <c r="A12305" s="6"/>
    </row>
    <row r="12306" spans="1:1" ht="18.75" x14ac:dyDescent="0.25">
      <c r="A12306" s="6"/>
    </row>
    <row r="12307" spans="1:1" ht="18.75" x14ac:dyDescent="0.25">
      <c r="A12307" s="6"/>
    </row>
    <row r="12308" spans="1:1" ht="18.75" x14ac:dyDescent="0.25">
      <c r="A12308" s="6"/>
    </row>
    <row r="12309" spans="1:1" ht="18.75" x14ac:dyDescent="0.25">
      <c r="A12309" s="6"/>
    </row>
    <row r="12310" spans="1:1" ht="18.75" x14ac:dyDescent="0.25">
      <c r="A12310" s="6"/>
    </row>
    <row r="12311" spans="1:1" ht="18.75" x14ac:dyDescent="0.25">
      <c r="A12311" s="6"/>
    </row>
    <row r="12312" spans="1:1" ht="18.75" x14ac:dyDescent="0.25">
      <c r="A12312" s="6"/>
    </row>
    <row r="12313" spans="1:1" ht="18.75" x14ac:dyDescent="0.25">
      <c r="A12313" s="6"/>
    </row>
    <row r="12314" spans="1:1" ht="18.75" x14ac:dyDescent="0.25">
      <c r="A12314" s="6"/>
    </row>
    <row r="12315" spans="1:1" ht="18.75" x14ac:dyDescent="0.25">
      <c r="A12315" s="6"/>
    </row>
    <row r="12316" spans="1:1" ht="18.75" x14ac:dyDescent="0.25">
      <c r="A12316" s="6"/>
    </row>
    <row r="12317" spans="1:1" ht="18.75" x14ac:dyDescent="0.25">
      <c r="A12317" s="6"/>
    </row>
    <row r="12318" spans="1:1" ht="18.75" x14ac:dyDescent="0.25">
      <c r="A12318" s="6"/>
    </row>
    <row r="12319" spans="1:1" ht="18.75" x14ac:dyDescent="0.25">
      <c r="A12319" s="6"/>
    </row>
    <row r="12320" spans="1:1" ht="18.75" x14ac:dyDescent="0.25">
      <c r="A12320" s="6"/>
    </row>
    <row r="12321" spans="1:1" ht="18.75" x14ac:dyDescent="0.25">
      <c r="A12321" s="6"/>
    </row>
    <row r="12322" spans="1:1" ht="18.75" x14ac:dyDescent="0.25">
      <c r="A12322" s="6"/>
    </row>
    <row r="12323" spans="1:1" ht="18.75" x14ac:dyDescent="0.25">
      <c r="A12323" s="6"/>
    </row>
    <row r="12324" spans="1:1" ht="18.75" x14ac:dyDescent="0.25">
      <c r="A12324" s="6"/>
    </row>
    <row r="12325" spans="1:1" ht="18.75" x14ac:dyDescent="0.25">
      <c r="A12325" s="6"/>
    </row>
    <row r="12326" spans="1:1" ht="18.75" x14ac:dyDescent="0.25">
      <c r="A12326" s="6"/>
    </row>
    <row r="12327" spans="1:1" ht="18.75" x14ac:dyDescent="0.25">
      <c r="A12327" s="6"/>
    </row>
    <row r="12328" spans="1:1" ht="18.75" x14ac:dyDescent="0.25">
      <c r="A12328" s="6"/>
    </row>
    <row r="12329" spans="1:1" ht="18.75" x14ac:dyDescent="0.25">
      <c r="A12329" s="6"/>
    </row>
    <row r="12330" spans="1:1" ht="18.75" x14ac:dyDescent="0.25">
      <c r="A12330" s="6"/>
    </row>
    <row r="12331" spans="1:1" ht="18.75" x14ac:dyDescent="0.25">
      <c r="A12331" s="6"/>
    </row>
    <row r="12332" spans="1:1" ht="18.75" x14ac:dyDescent="0.25">
      <c r="A12332" s="6"/>
    </row>
    <row r="12333" spans="1:1" ht="18.75" x14ac:dyDescent="0.25">
      <c r="A12333" s="6"/>
    </row>
    <row r="12334" spans="1:1" ht="18.75" x14ac:dyDescent="0.25">
      <c r="A12334" s="6"/>
    </row>
    <row r="12335" spans="1:1" ht="18.75" x14ac:dyDescent="0.25">
      <c r="A12335" s="6"/>
    </row>
    <row r="12336" spans="1:1" ht="18.75" x14ac:dyDescent="0.25">
      <c r="A12336" s="6"/>
    </row>
    <row r="12337" spans="1:1" ht="18.75" x14ac:dyDescent="0.25">
      <c r="A12337" s="6"/>
    </row>
    <row r="12338" spans="1:1" ht="18.75" x14ac:dyDescent="0.25">
      <c r="A12338" s="6"/>
    </row>
    <row r="12339" spans="1:1" ht="18.75" x14ac:dyDescent="0.25">
      <c r="A12339" s="6"/>
    </row>
    <row r="12340" spans="1:1" ht="18.75" x14ac:dyDescent="0.25">
      <c r="A12340" s="6"/>
    </row>
    <row r="12341" spans="1:1" ht="18.75" x14ac:dyDescent="0.25">
      <c r="A12341" s="6"/>
    </row>
    <row r="12342" spans="1:1" ht="18.75" x14ac:dyDescent="0.25">
      <c r="A12342" s="6"/>
    </row>
    <row r="12343" spans="1:1" ht="18.75" x14ac:dyDescent="0.25">
      <c r="A12343" s="6"/>
    </row>
    <row r="12344" spans="1:1" ht="18.75" x14ac:dyDescent="0.25">
      <c r="A12344" s="6"/>
    </row>
    <row r="12345" spans="1:1" ht="18.75" x14ac:dyDescent="0.25">
      <c r="A12345" s="6"/>
    </row>
    <row r="12346" spans="1:1" ht="18.75" x14ac:dyDescent="0.25">
      <c r="A12346" s="6"/>
    </row>
    <row r="12347" spans="1:1" ht="18.75" x14ac:dyDescent="0.25">
      <c r="A12347" s="6"/>
    </row>
    <row r="12348" spans="1:1" ht="18.75" x14ac:dyDescent="0.25">
      <c r="A12348" s="6"/>
    </row>
    <row r="12349" spans="1:1" ht="18.75" x14ac:dyDescent="0.25">
      <c r="A12349" s="6"/>
    </row>
    <row r="12350" spans="1:1" ht="18.75" x14ac:dyDescent="0.25">
      <c r="A12350" s="6"/>
    </row>
    <row r="12351" spans="1:1" ht="18.75" x14ac:dyDescent="0.25">
      <c r="A12351" s="6"/>
    </row>
    <row r="12352" spans="1:1" ht="18.75" x14ac:dyDescent="0.25">
      <c r="A12352" s="6"/>
    </row>
    <row r="12353" spans="1:1" ht="18.75" x14ac:dyDescent="0.25">
      <c r="A12353" s="6"/>
    </row>
    <row r="12354" spans="1:1" ht="18.75" x14ac:dyDescent="0.25">
      <c r="A12354" s="6"/>
    </row>
    <row r="12355" spans="1:1" ht="18.75" x14ac:dyDescent="0.25">
      <c r="A12355" s="6"/>
    </row>
    <row r="12356" spans="1:1" ht="18.75" x14ac:dyDescent="0.25">
      <c r="A12356" s="6"/>
    </row>
    <row r="12357" spans="1:1" ht="18.75" x14ac:dyDescent="0.25">
      <c r="A12357" s="6"/>
    </row>
    <row r="12358" spans="1:1" ht="18.75" x14ac:dyDescent="0.25">
      <c r="A12358" s="6"/>
    </row>
    <row r="12359" spans="1:1" ht="18.75" x14ac:dyDescent="0.25">
      <c r="A12359" s="6"/>
    </row>
    <row r="12360" spans="1:1" ht="18.75" x14ac:dyDescent="0.25">
      <c r="A12360" s="6"/>
    </row>
    <row r="12361" spans="1:1" ht="18.75" x14ac:dyDescent="0.25">
      <c r="A12361" s="6"/>
    </row>
    <row r="12362" spans="1:1" ht="18.75" x14ac:dyDescent="0.25">
      <c r="A12362" s="6"/>
    </row>
    <row r="12363" spans="1:1" ht="18.75" x14ac:dyDescent="0.25">
      <c r="A12363" s="6"/>
    </row>
    <row r="12364" spans="1:1" ht="18.75" x14ac:dyDescent="0.25">
      <c r="A12364" s="6"/>
    </row>
    <row r="12365" spans="1:1" ht="18.75" x14ac:dyDescent="0.25">
      <c r="A12365" s="6"/>
    </row>
    <row r="12366" spans="1:1" ht="18.75" x14ac:dyDescent="0.25">
      <c r="A12366" s="6"/>
    </row>
    <row r="12367" spans="1:1" ht="18.75" x14ac:dyDescent="0.25">
      <c r="A12367" s="6"/>
    </row>
    <row r="12368" spans="1:1" ht="18.75" x14ac:dyDescent="0.25">
      <c r="A12368" s="6"/>
    </row>
    <row r="12369" spans="1:1" ht="18.75" x14ac:dyDescent="0.25">
      <c r="A12369" s="6"/>
    </row>
    <row r="12370" spans="1:1" ht="18.75" x14ac:dyDescent="0.25">
      <c r="A12370" s="6"/>
    </row>
    <row r="12371" spans="1:1" ht="18.75" x14ac:dyDescent="0.25">
      <c r="A12371" s="6"/>
    </row>
    <row r="12372" spans="1:1" ht="18.75" x14ac:dyDescent="0.25">
      <c r="A12372" s="6"/>
    </row>
    <row r="12373" spans="1:1" ht="18.75" x14ac:dyDescent="0.25">
      <c r="A12373" s="6"/>
    </row>
    <row r="12374" spans="1:1" ht="18.75" x14ac:dyDescent="0.25">
      <c r="A12374" s="6"/>
    </row>
    <row r="12375" spans="1:1" ht="18.75" x14ac:dyDescent="0.25">
      <c r="A12375" s="6"/>
    </row>
    <row r="12376" spans="1:1" ht="18.75" x14ac:dyDescent="0.25">
      <c r="A12376" s="6"/>
    </row>
    <row r="12377" spans="1:1" ht="18.75" x14ac:dyDescent="0.25">
      <c r="A12377" s="6"/>
    </row>
    <row r="12378" spans="1:1" ht="18.75" x14ac:dyDescent="0.25">
      <c r="A12378" s="6"/>
    </row>
    <row r="12379" spans="1:1" ht="18.75" x14ac:dyDescent="0.25">
      <c r="A12379" s="6"/>
    </row>
    <row r="12380" spans="1:1" ht="18.75" x14ac:dyDescent="0.25">
      <c r="A12380" s="6"/>
    </row>
    <row r="12381" spans="1:1" ht="18.75" x14ac:dyDescent="0.25">
      <c r="A12381" s="6"/>
    </row>
    <row r="12382" spans="1:1" ht="18.75" x14ac:dyDescent="0.25">
      <c r="A12382" s="6"/>
    </row>
    <row r="12383" spans="1:1" ht="18.75" x14ac:dyDescent="0.25">
      <c r="A12383" s="6"/>
    </row>
    <row r="12384" spans="1:1" ht="18.75" x14ac:dyDescent="0.25">
      <c r="A12384" s="6"/>
    </row>
    <row r="12385" spans="1:1" ht="18.75" x14ac:dyDescent="0.25">
      <c r="A12385" s="6"/>
    </row>
    <row r="12386" spans="1:1" ht="18.75" x14ac:dyDescent="0.25">
      <c r="A12386" s="6"/>
    </row>
    <row r="12387" spans="1:1" ht="18.75" x14ac:dyDescent="0.25">
      <c r="A12387" s="6"/>
    </row>
    <row r="12388" spans="1:1" ht="18.75" x14ac:dyDescent="0.25">
      <c r="A12388" s="6"/>
    </row>
    <row r="12389" spans="1:1" ht="18.75" x14ac:dyDescent="0.25">
      <c r="A12389" s="6"/>
    </row>
    <row r="12390" spans="1:1" ht="18.75" x14ac:dyDescent="0.25">
      <c r="A12390" s="6"/>
    </row>
    <row r="12391" spans="1:1" ht="18.75" x14ac:dyDescent="0.25">
      <c r="A12391" s="6"/>
    </row>
    <row r="12392" spans="1:1" ht="18.75" x14ac:dyDescent="0.25">
      <c r="A12392" s="6"/>
    </row>
    <row r="12393" spans="1:1" ht="18.75" x14ac:dyDescent="0.25">
      <c r="A12393" s="6"/>
    </row>
    <row r="12394" spans="1:1" ht="18.75" x14ac:dyDescent="0.25">
      <c r="A12394" s="6"/>
    </row>
    <row r="12395" spans="1:1" ht="18.75" x14ac:dyDescent="0.25">
      <c r="A12395" s="6"/>
    </row>
    <row r="12396" spans="1:1" ht="18.75" x14ac:dyDescent="0.25">
      <c r="A12396" s="6"/>
    </row>
    <row r="12397" spans="1:1" ht="18.75" x14ac:dyDescent="0.25">
      <c r="A12397" s="6"/>
    </row>
    <row r="12398" spans="1:1" ht="18.75" x14ac:dyDescent="0.25">
      <c r="A12398" s="6"/>
    </row>
    <row r="12399" spans="1:1" ht="18.75" x14ac:dyDescent="0.25">
      <c r="A12399" s="6"/>
    </row>
    <row r="12400" spans="1:1" ht="18.75" x14ac:dyDescent="0.25">
      <c r="A12400" s="6"/>
    </row>
    <row r="12401" spans="1:1" ht="18.75" x14ac:dyDescent="0.25">
      <c r="A12401" s="6"/>
    </row>
    <row r="12402" spans="1:1" ht="18.75" x14ac:dyDescent="0.25">
      <c r="A12402" s="6"/>
    </row>
    <row r="12403" spans="1:1" ht="18.75" x14ac:dyDescent="0.25">
      <c r="A12403" s="6"/>
    </row>
    <row r="12404" spans="1:1" ht="18.75" x14ac:dyDescent="0.25">
      <c r="A12404" s="6"/>
    </row>
    <row r="12405" spans="1:1" ht="18.75" x14ac:dyDescent="0.25">
      <c r="A12405" s="6"/>
    </row>
    <row r="12406" spans="1:1" ht="18.75" x14ac:dyDescent="0.25">
      <c r="A12406" s="6"/>
    </row>
    <row r="12407" spans="1:1" ht="18.75" x14ac:dyDescent="0.25">
      <c r="A12407" s="6"/>
    </row>
    <row r="12408" spans="1:1" ht="18.75" x14ac:dyDescent="0.25">
      <c r="A12408" s="6"/>
    </row>
    <row r="12409" spans="1:1" ht="18.75" x14ac:dyDescent="0.25">
      <c r="A12409" s="6"/>
    </row>
    <row r="12410" spans="1:1" ht="18.75" x14ac:dyDescent="0.25">
      <c r="A12410" s="6"/>
    </row>
    <row r="12411" spans="1:1" ht="18.75" x14ac:dyDescent="0.25">
      <c r="A12411" s="6"/>
    </row>
    <row r="12412" spans="1:1" ht="18.75" x14ac:dyDescent="0.25">
      <c r="A12412" s="6"/>
    </row>
    <row r="12413" spans="1:1" ht="18.75" x14ac:dyDescent="0.25">
      <c r="A12413" s="6"/>
    </row>
    <row r="12414" spans="1:1" ht="18.75" x14ac:dyDescent="0.25">
      <c r="A12414" s="6"/>
    </row>
    <row r="12415" spans="1:1" ht="18.75" x14ac:dyDescent="0.25">
      <c r="A12415" s="6"/>
    </row>
    <row r="12416" spans="1:1" ht="18.75" x14ac:dyDescent="0.25">
      <c r="A12416" s="6"/>
    </row>
    <row r="12417" spans="1:1" ht="18.75" x14ac:dyDescent="0.25">
      <c r="A12417" s="6"/>
    </row>
    <row r="12418" spans="1:1" ht="18.75" x14ac:dyDescent="0.25">
      <c r="A12418" s="6"/>
    </row>
    <row r="12419" spans="1:1" ht="18.75" x14ac:dyDescent="0.25">
      <c r="A12419" s="6"/>
    </row>
    <row r="12420" spans="1:1" ht="18.75" x14ac:dyDescent="0.25">
      <c r="A12420" s="6"/>
    </row>
    <row r="12421" spans="1:1" ht="18.75" x14ac:dyDescent="0.25">
      <c r="A12421" s="6"/>
    </row>
    <row r="12422" spans="1:1" ht="18.75" x14ac:dyDescent="0.25">
      <c r="A12422" s="6"/>
    </row>
    <row r="12423" spans="1:1" ht="18.75" x14ac:dyDescent="0.25">
      <c r="A12423" s="6"/>
    </row>
    <row r="12424" spans="1:1" ht="18.75" x14ac:dyDescent="0.25">
      <c r="A12424" s="6"/>
    </row>
    <row r="12425" spans="1:1" ht="18.75" x14ac:dyDescent="0.25">
      <c r="A12425" s="6"/>
    </row>
    <row r="12426" spans="1:1" ht="18.75" x14ac:dyDescent="0.25">
      <c r="A12426" s="6"/>
    </row>
    <row r="12427" spans="1:1" ht="18.75" x14ac:dyDescent="0.25">
      <c r="A12427" s="6"/>
    </row>
    <row r="12428" spans="1:1" ht="18.75" x14ac:dyDescent="0.25">
      <c r="A12428" s="6"/>
    </row>
    <row r="12429" spans="1:1" ht="18.75" x14ac:dyDescent="0.25">
      <c r="A12429" s="6"/>
    </row>
    <row r="12430" spans="1:1" ht="18.75" x14ac:dyDescent="0.25">
      <c r="A12430" s="6"/>
    </row>
    <row r="12431" spans="1:1" ht="18.75" x14ac:dyDescent="0.25">
      <c r="A12431" s="6"/>
    </row>
    <row r="12432" spans="1:1" ht="18.75" x14ac:dyDescent="0.25">
      <c r="A12432" s="6"/>
    </row>
    <row r="12433" spans="1:1" ht="18.75" x14ac:dyDescent="0.25">
      <c r="A12433" s="6"/>
    </row>
    <row r="12434" spans="1:1" ht="18.75" x14ac:dyDescent="0.25">
      <c r="A12434" s="6"/>
    </row>
    <row r="12435" spans="1:1" ht="18.75" x14ac:dyDescent="0.25">
      <c r="A12435" s="6"/>
    </row>
    <row r="12436" spans="1:1" ht="18.75" x14ac:dyDescent="0.25">
      <c r="A12436" s="6"/>
    </row>
    <row r="12437" spans="1:1" ht="18.75" x14ac:dyDescent="0.25">
      <c r="A12437" s="6"/>
    </row>
    <row r="12438" spans="1:1" ht="18.75" x14ac:dyDescent="0.25">
      <c r="A12438" s="6"/>
    </row>
    <row r="12439" spans="1:1" ht="18.75" x14ac:dyDescent="0.25">
      <c r="A12439" s="6"/>
    </row>
    <row r="12440" spans="1:1" ht="18.75" x14ac:dyDescent="0.25">
      <c r="A12440" s="6"/>
    </row>
    <row r="12441" spans="1:1" ht="18.75" x14ac:dyDescent="0.25">
      <c r="A12441" s="6"/>
    </row>
    <row r="12442" spans="1:1" ht="18.75" x14ac:dyDescent="0.25">
      <c r="A12442" s="6"/>
    </row>
    <row r="12443" spans="1:1" ht="18.75" x14ac:dyDescent="0.25">
      <c r="A12443" s="6"/>
    </row>
    <row r="12444" spans="1:1" ht="18.75" x14ac:dyDescent="0.25">
      <c r="A12444" s="6"/>
    </row>
    <row r="12445" spans="1:1" ht="18.75" x14ac:dyDescent="0.25">
      <c r="A12445" s="6"/>
    </row>
    <row r="12446" spans="1:1" ht="18.75" x14ac:dyDescent="0.25">
      <c r="A12446" s="6"/>
    </row>
    <row r="12447" spans="1:1" ht="18.75" x14ac:dyDescent="0.25">
      <c r="A12447" s="6"/>
    </row>
    <row r="12448" spans="1:1" ht="18.75" x14ac:dyDescent="0.25">
      <c r="A12448" s="6"/>
    </row>
    <row r="12449" spans="1:1" ht="18.75" x14ac:dyDescent="0.25">
      <c r="A12449" s="6"/>
    </row>
    <row r="12450" spans="1:1" ht="18.75" x14ac:dyDescent="0.25">
      <c r="A12450" s="6"/>
    </row>
    <row r="12451" spans="1:1" ht="18.75" x14ac:dyDescent="0.25">
      <c r="A12451" s="6"/>
    </row>
    <row r="12452" spans="1:1" ht="18.75" x14ac:dyDescent="0.25">
      <c r="A12452" s="6"/>
    </row>
    <row r="12453" spans="1:1" ht="18.75" x14ac:dyDescent="0.25">
      <c r="A12453" s="6"/>
    </row>
    <row r="12454" spans="1:1" ht="18.75" x14ac:dyDescent="0.25">
      <c r="A12454" s="6"/>
    </row>
    <row r="12455" spans="1:1" ht="18.75" x14ac:dyDescent="0.25">
      <c r="A12455" s="6"/>
    </row>
    <row r="12456" spans="1:1" ht="18.75" x14ac:dyDescent="0.25">
      <c r="A12456" s="6"/>
    </row>
    <row r="12457" spans="1:1" ht="18.75" x14ac:dyDescent="0.25">
      <c r="A12457" s="6"/>
    </row>
    <row r="12458" spans="1:1" ht="18.75" x14ac:dyDescent="0.25">
      <c r="A12458" s="6"/>
    </row>
    <row r="12459" spans="1:1" ht="18.75" x14ac:dyDescent="0.25">
      <c r="A12459" s="6"/>
    </row>
    <row r="12460" spans="1:1" ht="18.75" x14ac:dyDescent="0.25">
      <c r="A12460" s="6"/>
    </row>
    <row r="12461" spans="1:1" ht="18.75" x14ac:dyDescent="0.25">
      <c r="A12461" s="6"/>
    </row>
    <row r="12462" spans="1:1" ht="18.75" x14ac:dyDescent="0.25">
      <c r="A12462" s="6"/>
    </row>
    <row r="12463" spans="1:1" ht="18.75" x14ac:dyDescent="0.25">
      <c r="A12463" s="6"/>
    </row>
    <row r="12464" spans="1:1" ht="18.75" x14ac:dyDescent="0.25">
      <c r="A12464" s="6"/>
    </row>
    <row r="12465" spans="1:1" ht="18.75" x14ac:dyDescent="0.25">
      <c r="A12465" s="6"/>
    </row>
    <row r="12466" spans="1:1" ht="18.75" x14ac:dyDescent="0.25">
      <c r="A12466" s="6"/>
    </row>
    <row r="12467" spans="1:1" ht="18.75" x14ac:dyDescent="0.25">
      <c r="A12467" s="6"/>
    </row>
    <row r="12468" spans="1:1" ht="18.75" x14ac:dyDescent="0.25">
      <c r="A12468" s="6"/>
    </row>
    <row r="12469" spans="1:1" ht="18.75" x14ac:dyDescent="0.25">
      <c r="A12469" s="6"/>
    </row>
    <row r="12470" spans="1:1" ht="18.75" x14ac:dyDescent="0.25">
      <c r="A12470" s="6"/>
    </row>
    <row r="12471" spans="1:1" ht="18.75" x14ac:dyDescent="0.25">
      <c r="A12471" s="6"/>
    </row>
    <row r="12472" spans="1:1" ht="18.75" x14ac:dyDescent="0.25">
      <c r="A12472" s="6"/>
    </row>
    <row r="12473" spans="1:1" ht="18.75" x14ac:dyDescent="0.25">
      <c r="A12473" s="6"/>
    </row>
    <row r="12474" spans="1:1" ht="18.75" x14ac:dyDescent="0.25">
      <c r="A12474" s="6"/>
    </row>
    <row r="12475" spans="1:1" ht="18.75" x14ac:dyDescent="0.25">
      <c r="A12475" s="6"/>
    </row>
    <row r="12476" spans="1:1" ht="18.75" x14ac:dyDescent="0.25">
      <c r="A12476" s="6"/>
    </row>
    <row r="12477" spans="1:1" ht="18.75" x14ac:dyDescent="0.25">
      <c r="A12477" s="6"/>
    </row>
    <row r="12478" spans="1:1" ht="18.75" x14ac:dyDescent="0.25">
      <c r="A12478" s="6"/>
    </row>
    <row r="12479" spans="1:1" ht="18.75" x14ac:dyDescent="0.25">
      <c r="A12479" s="6"/>
    </row>
    <row r="12480" spans="1:1" ht="18.75" x14ac:dyDescent="0.25">
      <c r="A12480" s="6"/>
    </row>
    <row r="12481" spans="1:1" ht="18.75" x14ac:dyDescent="0.25">
      <c r="A12481" s="6"/>
    </row>
    <row r="12482" spans="1:1" ht="18.75" x14ac:dyDescent="0.25">
      <c r="A12482" s="6"/>
    </row>
    <row r="12483" spans="1:1" ht="18.75" x14ac:dyDescent="0.25">
      <c r="A12483" s="6"/>
    </row>
    <row r="12484" spans="1:1" ht="18.75" x14ac:dyDescent="0.25">
      <c r="A12484" s="6"/>
    </row>
    <row r="12485" spans="1:1" ht="18.75" x14ac:dyDescent="0.25">
      <c r="A12485" s="6"/>
    </row>
    <row r="12486" spans="1:1" ht="18.75" x14ac:dyDescent="0.25">
      <c r="A12486" s="6"/>
    </row>
    <row r="12487" spans="1:1" ht="18.75" x14ac:dyDescent="0.25">
      <c r="A12487" s="6"/>
    </row>
    <row r="12488" spans="1:1" ht="18.75" x14ac:dyDescent="0.25">
      <c r="A12488" s="6"/>
    </row>
    <row r="12489" spans="1:1" ht="18.75" x14ac:dyDescent="0.25">
      <c r="A12489" s="6"/>
    </row>
    <row r="12490" spans="1:1" ht="18.75" x14ac:dyDescent="0.25">
      <c r="A12490" s="6"/>
    </row>
    <row r="12491" spans="1:1" ht="18.75" x14ac:dyDescent="0.25">
      <c r="A12491" s="6"/>
    </row>
    <row r="12492" spans="1:1" ht="18.75" x14ac:dyDescent="0.25">
      <c r="A12492" s="6"/>
    </row>
    <row r="12493" spans="1:1" ht="18.75" x14ac:dyDescent="0.25">
      <c r="A12493" s="6"/>
    </row>
    <row r="12494" spans="1:1" ht="18.75" x14ac:dyDescent="0.25">
      <c r="A12494" s="6"/>
    </row>
    <row r="12495" spans="1:1" ht="18.75" x14ac:dyDescent="0.25">
      <c r="A12495" s="6"/>
    </row>
    <row r="12496" spans="1:1" ht="18.75" x14ac:dyDescent="0.25">
      <c r="A12496" s="6"/>
    </row>
    <row r="12497" spans="1:1" ht="18.75" x14ac:dyDescent="0.25">
      <c r="A12497" s="6"/>
    </row>
    <row r="12498" spans="1:1" ht="18.75" x14ac:dyDescent="0.25">
      <c r="A12498" s="6"/>
    </row>
    <row r="12499" spans="1:1" ht="18.75" x14ac:dyDescent="0.25">
      <c r="A12499" s="6"/>
    </row>
    <row r="12500" spans="1:1" ht="18.75" x14ac:dyDescent="0.25">
      <c r="A12500" s="6"/>
    </row>
    <row r="12501" spans="1:1" ht="18.75" x14ac:dyDescent="0.25">
      <c r="A12501" s="6"/>
    </row>
    <row r="12502" spans="1:1" ht="18.75" x14ac:dyDescent="0.25">
      <c r="A12502" s="6"/>
    </row>
    <row r="12503" spans="1:1" ht="18.75" x14ac:dyDescent="0.25">
      <c r="A12503" s="6"/>
    </row>
    <row r="12504" spans="1:1" ht="18.75" x14ac:dyDescent="0.25">
      <c r="A12504" s="6"/>
    </row>
    <row r="12505" spans="1:1" ht="18.75" x14ac:dyDescent="0.25">
      <c r="A12505" s="6"/>
    </row>
    <row r="12506" spans="1:1" ht="18.75" x14ac:dyDescent="0.25">
      <c r="A12506" s="6"/>
    </row>
    <row r="12507" spans="1:1" ht="18.75" x14ac:dyDescent="0.25">
      <c r="A12507" s="6"/>
    </row>
    <row r="12508" spans="1:1" ht="18.75" x14ac:dyDescent="0.25">
      <c r="A12508" s="6"/>
    </row>
    <row r="12509" spans="1:1" ht="18.75" x14ac:dyDescent="0.25">
      <c r="A12509" s="6"/>
    </row>
    <row r="12510" spans="1:1" ht="18.75" x14ac:dyDescent="0.25">
      <c r="A12510" s="6"/>
    </row>
    <row r="12511" spans="1:1" ht="18.75" x14ac:dyDescent="0.25">
      <c r="A12511" s="6"/>
    </row>
    <row r="12512" spans="1:1" ht="18.75" x14ac:dyDescent="0.25">
      <c r="A12512" s="6"/>
    </row>
    <row r="12513" spans="1:1" ht="18.75" x14ac:dyDescent="0.25">
      <c r="A12513" s="6"/>
    </row>
    <row r="12514" spans="1:1" ht="18.75" x14ac:dyDescent="0.25">
      <c r="A12514" s="6"/>
    </row>
    <row r="12515" spans="1:1" ht="18.75" x14ac:dyDescent="0.25">
      <c r="A12515" s="6"/>
    </row>
    <row r="12516" spans="1:1" ht="18.75" x14ac:dyDescent="0.25">
      <c r="A12516" s="6"/>
    </row>
    <row r="12517" spans="1:1" ht="18.75" x14ac:dyDescent="0.25">
      <c r="A12517" s="6"/>
    </row>
    <row r="12518" spans="1:1" ht="18.75" x14ac:dyDescent="0.25">
      <c r="A12518" s="6"/>
    </row>
    <row r="12519" spans="1:1" ht="18.75" x14ac:dyDescent="0.25">
      <c r="A12519" s="6"/>
    </row>
    <row r="12520" spans="1:1" ht="18.75" x14ac:dyDescent="0.25">
      <c r="A12520" s="6"/>
    </row>
    <row r="12521" spans="1:1" ht="18.75" x14ac:dyDescent="0.25">
      <c r="A12521" s="6"/>
    </row>
    <row r="12522" spans="1:1" ht="18.75" x14ac:dyDescent="0.25">
      <c r="A12522" s="6"/>
    </row>
    <row r="12523" spans="1:1" ht="18.75" x14ac:dyDescent="0.25">
      <c r="A12523" s="6"/>
    </row>
    <row r="12524" spans="1:1" ht="18.75" x14ac:dyDescent="0.25">
      <c r="A12524" s="6"/>
    </row>
    <row r="12525" spans="1:1" ht="18.75" x14ac:dyDescent="0.25">
      <c r="A12525" s="6"/>
    </row>
    <row r="12526" spans="1:1" ht="18.75" x14ac:dyDescent="0.25">
      <c r="A12526" s="6"/>
    </row>
    <row r="12527" spans="1:1" ht="18.75" x14ac:dyDescent="0.25">
      <c r="A12527" s="6"/>
    </row>
    <row r="12528" spans="1:1" ht="18.75" x14ac:dyDescent="0.25">
      <c r="A12528" s="6"/>
    </row>
    <row r="12529" spans="1:1" ht="18.75" x14ac:dyDescent="0.25">
      <c r="A12529" s="6"/>
    </row>
    <row r="12530" spans="1:1" ht="18.75" x14ac:dyDescent="0.25">
      <c r="A12530" s="6"/>
    </row>
    <row r="12531" spans="1:1" ht="18.75" x14ac:dyDescent="0.25">
      <c r="A12531" s="6"/>
    </row>
    <row r="12532" spans="1:1" ht="18.75" x14ac:dyDescent="0.25">
      <c r="A12532" s="6"/>
    </row>
    <row r="12533" spans="1:1" ht="18.75" x14ac:dyDescent="0.25">
      <c r="A12533" s="6"/>
    </row>
    <row r="12534" spans="1:1" ht="18.75" x14ac:dyDescent="0.25">
      <c r="A12534" s="6"/>
    </row>
    <row r="12535" spans="1:1" ht="18.75" x14ac:dyDescent="0.25">
      <c r="A12535" s="6"/>
    </row>
    <row r="12536" spans="1:1" ht="18.75" x14ac:dyDescent="0.25">
      <c r="A12536" s="6"/>
    </row>
    <row r="12537" spans="1:1" ht="18.75" x14ac:dyDescent="0.25">
      <c r="A12537" s="6"/>
    </row>
    <row r="12538" spans="1:1" ht="18.75" x14ac:dyDescent="0.25">
      <c r="A12538" s="6"/>
    </row>
    <row r="12539" spans="1:1" ht="18.75" x14ac:dyDescent="0.25">
      <c r="A12539" s="6"/>
    </row>
    <row r="12540" spans="1:1" ht="18.75" x14ac:dyDescent="0.25">
      <c r="A12540" s="6"/>
    </row>
    <row r="12541" spans="1:1" ht="18.75" x14ac:dyDescent="0.25">
      <c r="A12541" s="6"/>
    </row>
    <row r="12542" spans="1:1" ht="18.75" x14ac:dyDescent="0.25">
      <c r="A12542" s="6"/>
    </row>
    <row r="12543" spans="1:1" ht="18.75" x14ac:dyDescent="0.25">
      <c r="A12543" s="6"/>
    </row>
    <row r="12544" spans="1:1" ht="18.75" x14ac:dyDescent="0.25">
      <c r="A12544" s="6"/>
    </row>
    <row r="12545" spans="1:1" ht="18.75" x14ac:dyDescent="0.25">
      <c r="A12545" s="6"/>
    </row>
    <row r="12546" spans="1:1" ht="18.75" x14ac:dyDescent="0.25">
      <c r="A12546" s="6"/>
    </row>
    <row r="12547" spans="1:1" ht="18.75" x14ac:dyDescent="0.25">
      <c r="A12547" s="6"/>
    </row>
    <row r="12548" spans="1:1" ht="18.75" x14ac:dyDescent="0.25">
      <c r="A12548" s="6"/>
    </row>
    <row r="12549" spans="1:1" ht="18.75" x14ac:dyDescent="0.25">
      <c r="A12549" s="6"/>
    </row>
    <row r="12550" spans="1:1" ht="18.75" x14ac:dyDescent="0.25">
      <c r="A12550" s="6"/>
    </row>
    <row r="12551" spans="1:1" ht="18.75" x14ac:dyDescent="0.25">
      <c r="A12551" s="6"/>
    </row>
    <row r="12552" spans="1:1" ht="18.75" x14ac:dyDescent="0.25">
      <c r="A12552" s="6"/>
    </row>
    <row r="12553" spans="1:1" ht="18.75" x14ac:dyDescent="0.25">
      <c r="A12553" s="6"/>
    </row>
    <row r="12554" spans="1:1" ht="18.75" x14ac:dyDescent="0.25">
      <c r="A12554" s="6"/>
    </row>
    <row r="12555" spans="1:1" ht="18.75" x14ac:dyDescent="0.25">
      <c r="A12555" s="6"/>
    </row>
    <row r="12556" spans="1:1" ht="18.75" x14ac:dyDescent="0.25">
      <c r="A12556" s="6"/>
    </row>
    <row r="12557" spans="1:1" ht="18.75" x14ac:dyDescent="0.25">
      <c r="A12557" s="6"/>
    </row>
    <row r="12558" spans="1:1" ht="18.75" x14ac:dyDescent="0.25">
      <c r="A12558" s="6"/>
    </row>
    <row r="12559" spans="1:1" ht="18.75" x14ac:dyDescent="0.25">
      <c r="A12559" s="6"/>
    </row>
    <row r="12560" spans="1:1" ht="18.75" x14ac:dyDescent="0.25">
      <c r="A12560" s="6"/>
    </row>
    <row r="12561" spans="1:1" ht="18.75" x14ac:dyDescent="0.25">
      <c r="A12561" s="6"/>
    </row>
    <row r="12562" spans="1:1" ht="18.75" x14ac:dyDescent="0.25">
      <c r="A12562" s="6"/>
    </row>
    <row r="12563" spans="1:1" ht="18.75" x14ac:dyDescent="0.25">
      <c r="A12563" s="6"/>
    </row>
    <row r="12564" spans="1:1" ht="18.75" x14ac:dyDescent="0.25">
      <c r="A12564" s="6"/>
    </row>
    <row r="12565" spans="1:1" ht="18.75" x14ac:dyDescent="0.25">
      <c r="A12565" s="6"/>
    </row>
    <row r="12566" spans="1:1" ht="18.75" x14ac:dyDescent="0.25">
      <c r="A12566" s="6"/>
    </row>
    <row r="12567" spans="1:1" ht="18.75" x14ac:dyDescent="0.25">
      <c r="A12567" s="6"/>
    </row>
    <row r="12568" spans="1:1" ht="18.75" x14ac:dyDescent="0.25">
      <c r="A12568" s="6"/>
    </row>
    <row r="12569" spans="1:1" ht="18.75" x14ac:dyDescent="0.25">
      <c r="A12569" s="6"/>
    </row>
    <row r="12570" spans="1:1" ht="18.75" x14ac:dyDescent="0.25">
      <c r="A12570" s="6"/>
    </row>
    <row r="12571" spans="1:1" ht="18.75" x14ac:dyDescent="0.25">
      <c r="A12571" s="6"/>
    </row>
    <row r="12572" spans="1:1" ht="18.75" x14ac:dyDescent="0.25">
      <c r="A12572" s="6"/>
    </row>
    <row r="12573" spans="1:1" ht="18.75" x14ac:dyDescent="0.25">
      <c r="A12573" s="6"/>
    </row>
    <row r="12574" spans="1:1" ht="18.75" x14ac:dyDescent="0.25">
      <c r="A12574" s="6"/>
    </row>
    <row r="12575" spans="1:1" ht="18.75" x14ac:dyDescent="0.25">
      <c r="A12575" s="6"/>
    </row>
    <row r="12576" spans="1:1" ht="18.75" x14ac:dyDescent="0.25">
      <c r="A12576" s="6"/>
    </row>
    <row r="12577" spans="1:1" ht="18.75" x14ac:dyDescent="0.25">
      <c r="A12577" s="6"/>
    </row>
    <row r="12578" spans="1:1" ht="18.75" x14ac:dyDescent="0.25">
      <c r="A12578" s="6"/>
    </row>
    <row r="12579" spans="1:1" ht="18.75" x14ac:dyDescent="0.25">
      <c r="A12579" s="6"/>
    </row>
    <row r="12580" spans="1:1" ht="18.75" x14ac:dyDescent="0.25">
      <c r="A12580" s="6"/>
    </row>
    <row r="12581" spans="1:1" ht="18.75" x14ac:dyDescent="0.25">
      <c r="A12581" s="6"/>
    </row>
    <row r="12582" spans="1:1" ht="18.75" x14ac:dyDescent="0.25">
      <c r="A12582" s="6"/>
    </row>
    <row r="12583" spans="1:1" ht="18.75" x14ac:dyDescent="0.25">
      <c r="A12583" s="6"/>
    </row>
    <row r="12584" spans="1:1" ht="18.75" x14ac:dyDescent="0.25">
      <c r="A12584" s="6"/>
    </row>
    <row r="12585" spans="1:1" ht="18.75" x14ac:dyDescent="0.25">
      <c r="A12585" s="6"/>
    </row>
    <row r="12586" spans="1:1" ht="18.75" x14ac:dyDescent="0.25">
      <c r="A12586" s="6"/>
    </row>
    <row r="12587" spans="1:1" ht="18.75" x14ac:dyDescent="0.25">
      <c r="A12587" s="6"/>
    </row>
    <row r="12588" spans="1:1" ht="18.75" x14ac:dyDescent="0.25">
      <c r="A12588" s="6"/>
    </row>
    <row r="12589" spans="1:1" ht="18.75" x14ac:dyDescent="0.25">
      <c r="A12589" s="6"/>
    </row>
    <row r="12590" spans="1:1" ht="18.75" x14ac:dyDescent="0.25">
      <c r="A12590" s="6"/>
    </row>
    <row r="12591" spans="1:1" ht="18.75" x14ac:dyDescent="0.25">
      <c r="A12591" s="6"/>
    </row>
    <row r="12592" spans="1:1" ht="18.75" x14ac:dyDescent="0.25">
      <c r="A12592" s="6"/>
    </row>
    <row r="12593" spans="1:1" ht="18.75" x14ac:dyDescent="0.25">
      <c r="A12593" s="6"/>
    </row>
    <row r="12594" spans="1:1" ht="18.75" x14ac:dyDescent="0.25">
      <c r="A12594" s="6"/>
    </row>
    <row r="12595" spans="1:1" ht="18.75" x14ac:dyDescent="0.25">
      <c r="A12595" s="6"/>
    </row>
    <row r="12596" spans="1:1" ht="18.75" x14ac:dyDescent="0.25">
      <c r="A12596" s="6"/>
    </row>
    <row r="12597" spans="1:1" ht="18.75" x14ac:dyDescent="0.25">
      <c r="A12597" s="6"/>
    </row>
    <row r="12598" spans="1:1" ht="18.75" x14ac:dyDescent="0.25">
      <c r="A12598" s="6"/>
    </row>
    <row r="12599" spans="1:1" ht="18.75" x14ac:dyDescent="0.25">
      <c r="A12599" s="6"/>
    </row>
    <row r="12600" spans="1:1" ht="18.75" x14ac:dyDescent="0.25">
      <c r="A12600" s="6"/>
    </row>
    <row r="12601" spans="1:1" ht="18.75" x14ac:dyDescent="0.25">
      <c r="A12601" s="6"/>
    </row>
    <row r="12602" spans="1:1" ht="18.75" x14ac:dyDescent="0.25">
      <c r="A12602" s="6"/>
    </row>
    <row r="12603" spans="1:1" ht="18.75" x14ac:dyDescent="0.25">
      <c r="A12603" s="6"/>
    </row>
    <row r="12604" spans="1:1" ht="18.75" x14ac:dyDescent="0.25">
      <c r="A12604" s="6"/>
    </row>
    <row r="12605" spans="1:1" ht="18.75" x14ac:dyDescent="0.25">
      <c r="A12605" s="6"/>
    </row>
    <row r="12606" spans="1:1" ht="18.75" x14ac:dyDescent="0.25">
      <c r="A12606" s="6"/>
    </row>
    <row r="12607" spans="1:1" ht="18.75" x14ac:dyDescent="0.25">
      <c r="A12607" s="6"/>
    </row>
    <row r="12608" spans="1:1" ht="18.75" x14ac:dyDescent="0.25">
      <c r="A12608" s="6"/>
    </row>
    <row r="12609" spans="1:1" ht="18.75" x14ac:dyDescent="0.25">
      <c r="A12609" s="6"/>
    </row>
    <row r="12610" spans="1:1" ht="18.75" x14ac:dyDescent="0.25">
      <c r="A12610" s="6"/>
    </row>
    <row r="12611" spans="1:1" ht="18.75" x14ac:dyDescent="0.25">
      <c r="A12611" s="6"/>
    </row>
    <row r="12612" spans="1:1" ht="18.75" x14ac:dyDescent="0.25">
      <c r="A12612" s="6"/>
    </row>
    <row r="12613" spans="1:1" ht="18.75" x14ac:dyDescent="0.25">
      <c r="A12613" s="6"/>
    </row>
    <row r="12614" spans="1:1" ht="18.75" x14ac:dyDescent="0.25">
      <c r="A12614" s="6"/>
    </row>
    <row r="12615" spans="1:1" ht="18.75" x14ac:dyDescent="0.25">
      <c r="A12615" s="6"/>
    </row>
    <row r="12616" spans="1:1" ht="18.75" x14ac:dyDescent="0.25">
      <c r="A12616" s="6"/>
    </row>
    <row r="12617" spans="1:1" ht="18.75" x14ac:dyDescent="0.25">
      <c r="A12617" s="6"/>
    </row>
    <row r="12618" spans="1:1" ht="18.75" x14ac:dyDescent="0.25">
      <c r="A12618" s="6"/>
    </row>
    <row r="12619" spans="1:1" ht="18.75" x14ac:dyDescent="0.25">
      <c r="A12619" s="6"/>
    </row>
    <row r="12620" spans="1:1" ht="18.75" x14ac:dyDescent="0.25">
      <c r="A12620" s="6"/>
    </row>
    <row r="12621" spans="1:1" ht="18.75" x14ac:dyDescent="0.25">
      <c r="A12621" s="6"/>
    </row>
    <row r="12622" spans="1:1" ht="18.75" x14ac:dyDescent="0.25">
      <c r="A12622" s="6"/>
    </row>
    <row r="12623" spans="1:1" ht="18.75" x14ac:dyDescent="0.25">
      <c r="A12623" s="6"/>
    </row>
    <row r="12624" spans="1:1" ht="18.75" x14ac:dyDescent="0.25">
      <c r="A12624" s="6"/>
    </row>
    <row r="12625" spans="1:1" ht="18.75" x14ac:dyDescent="0.25">
      <c r="A12625" s="6"/>
    </row>
    <row r="12626" spans="1:1" ht="18.75" x14ac:dyDescent="0.25">
      <c r="A12626" s="6"/>
    </row>
    <row r="12627" spans="1:1" ht="18.75" x14ac:dyDescent="0.25">
      <c r="A12627" s="6"/>
    </row>
    <row r="12628" spans="1:1" ht="18.75" x14ac:dyDescent="0.25">
      <c r="A12628" s="6"/>
    </row>
    <row r="12629" spans="1:1" ht="18.75" x14ac:dyDescent="0.25">
      <c r="A12629" s="6"/>
    </row>
    <row r="12630" spans="1:1" ht="18.75" x14ac:dyDescent="0.25">
      <c r="A12630" s="6"/>
    </row>
    <row r="12631" spans="1:1" ht="18.75" x14ac:dyDescent="0.25">
      <c r="A12631" s="6"/>
    </row>
    <row r="12632" spans="1:1" ht="18.75" x14ac:dyDescent="0.25">
      <c r="A12632" s="6"/>
    </row>
    <row r="12633" spans="1:1" ht="18.75" x14ac:dyDescent="0.25">
      <c r="A12633" s="6"/>
    </row>
    <row r="12634" spans="1:1" ht="18.75" x14ac:dyDescent="0.25">
      <c r="A12634" s="6"/>
    </row>
    <row r="12635" spans="1:1" ht="18.75" x14ac:dyDescent="0.25">
      <c r="A12635" s="6"/>
    </row>
    <row r="12636" spans="1:1" ht="18.75" x14ac:dyDescent="0.25">
      <c r="A12636" s="6"/>
    </row>
    <row r="12637" spans="1:1" ht="18.75" x14ac:dyDescent="0.25">
      <c r="A12637" s="6"/>
    </row>
    <row r="12638" spans="1:1" ht="18.75" x14ac:dyDescent="0.25">
      <c r="A12638" s="6"/>
    </row>
    <row r="12639" spans="1:1" ht="18.75" x14ac:dyDescent="0.25">
      <c r="A12639" s="6"/>
    </row>
    <row r="12640" spans="1:1" ht="18.75" x14ac:dyDescent="0.25">
      <c r="A12640" s="6"/>
    </row>
    <row r="12641" spans="1:1" ht="18.75" x14ac:dyDescent="0.25">
      <c r="A12641" s="6"/>
    </row>
    <row r="12642" spans="1:1" ht="18.75" x14ac:dyDescent="0.25">
      <c r="A12642" s="6"/>
    </row>
    <row r="12643" spans="1:1" ht="18.75" x14ac:dyDescent="0.25">
      <c r="A12643" s="6"/>
    </row>
    <row r="12644" spans="1:1" ht="18.75" x14ac:dyDescent="0.25">
      <c r="A12644" s="6"/>
    </row>
    <row r="12645" spans="1:1" ht="18.75" x14ac:dyDescent="0.25">
      <c r="A12645" s="6"/>
    </row>
    <row r="12646" spans="1:1" ht="18.75" x14ac:dyDescent="0.25">
      <c r="A12646" s="6"/>
    </row>
    <row r="12647" spans="1:1" ht="18.75" x14ac:dyDescent="0.25">
      <c r="A12647" s="6"/>
    </row>
    <row r="12648" spans="1:1" ht="18.75" x14ac:dyDescent="0.25">
      <c r="A12648" s="6"/>
    </row>
    <row r="12649" spans="1:1" ht="18.75" x14ac:dyDescent="0.25">
      <c r="A12649" s="6"/>
    </row>
    <row r="12650" spans="1:1" ht="18.75" x14ac:dyDescent="0.25">
      <c r="A12650" s="6"/>
    </row>
    <row r="12651" spans="1:1" ht="18.75" x14ac:dyDescent="0.25">
      <c r="A12651" s="6"/>
    </row>
    <row r="12652" spans="1:1" ht="18.75" x14ac:dyDescent="0.25">
      <c r="A12652" s="6"/>
    </row>
    <row r="12653" spans="1:1" ht="18.75" x14ac:dyDescent="0.25">
      <c r="A12653" s="6"/>
    </row>
    <row r="12654" spans="1:1" ht="18.75" x14ac:dyDescent="0.25">
      <c r="A12654" s="6"/>
    </row>
    <row r="12655" spans="1:1" ht="18.75" x14ac:dyDescent="0.25">
      <c r="A12655" s="6"/>
    </row>
    <row r="12656" spans="1:1" ht="18.75" x14ac:dyDescent="0.25">
      <c r="A12656" s="6"/>
    </row>
    <row r="12657" spans="1:1" ht="18.75" x14ac:dyDescent="0.25">
      <c r="A12657" s="6"/>
    </row>
    <row r="12658" spans="1:1" ht="18.75" x14ac:dyDescent="0.25">
      <c r="A12658" s="6"/>
    </row>
    <row r="12659" spans="1:1" ht="18.75" x14ac:dyDescent="0.25">
      <c r="A12659" s="6"/>
    </row>
    <row r="12660" spans="1:1" ht="18.75" x14ac:dyDescent="0.25">
      <c r="A12660" s="6"/>
    </row>
    <row r="12661" spans="1:1" ht="18.75" x14ac:dyDescent="0.25">
      <c r="A12661" s="6"/>
    </row>
    <row r="12662" spans="1:1" ht="18.75" x14ac:dyDescent="0.25">
      <c r="A12662" s="6"/>
    </row>
    <row r="12663" spans="1:1" ht="18.75" x14ac:dyDescent="0.25">
      <c r="A12663" s="6"/>
    </row>
    <row r="12664" spans="1:1" ht="18.75" x14ac:dyDescent="0.25">
      <c r="A12664" s="6"/>
    </row>
    <row r="12665" spans="1:1" ht="18.75" x14ac:dyDescent="0.25">
      <c r="A12665" s="6"/>
    </row>
    <row r="12666" spans="1:1" ht="18.75" x14ac:dyDescent="0.25">
      <c r="A12666" s="6"/>
    </row>
    <row r="12667" spans="1:1" ht="18.75" x14ac:dyDescent="0.25">
      <c r="A12667" s="6"/>
    </row>
    <row r="12668" spans="1:1" ht="18.75" x14ac:dyDescent="0.25">
      <c r="A12668" s="6"/>
    </row>
    <row r="12669" spans="1:1" ht="18.75" x14ac:dyDescent="0.25">
      <c r="A12669" s="6"/>
    </row>
    <row r="12670" spans="1:1" ht="18.75" x14ac:dyDescent="0.25">
      <c r="A12670" s="6"/>
    </row>
    <row r="12671" spans="1:1" ht="18.75" x14ac:dyDescent="0.25">
      <c r="A12671" s="6"/>
    </row>
    <row r="12672" spans="1:1" ht="18.75" x14ac:dyDescent="0.25">
      <c r="A12672" s="6"/>
    </row>
    <row r="12673" spans="1:1" ht="18.75" x14ac:dyDescent="0.25">
      <c r="A12673" s="6"/>
    </row>
    <row r="12674" spans="1:1" ht="18.75" x14ac:dyDescent="0.25">
      <c r="A12674" s="6"/>
    </row>
    <row r="12675" spans="1:1" ht="18.75" x14ac:dyDescent="0.25">
      <c r="A12675" s="6"/>
    </row>
    <row r="12676" spans="1:1" ht="18.75" x14ac:dyDescent="0.25">
      <c r="A12676" s="6"/>
    </row>
    <row r="12677" spans="1:1" ht="18.75" x14ac:dyDescent="0.25">
      <c r="A12677" s="6"/>
    </row>
    <row r="12678" spans="1:1" ht="18.75" x14ac:dyDescent="0.25">
      <c r="A12678" s="6"/>
    </row>
    <row r="12679" spans="1:1" ht="18.75" x14ac:dyDescent="0.25">
      <c r="A12679" s="6"/>
    </row>
    <row r="12680" spans="1:1" ht="18.75" x14ac:dyDescent="0.25">
      <c r="A12680" s="6"/>
    </row>
    <row r="12681" spans="1:1" ht="18.75" x14ac:dyDescent="0.25">
      <c r="A12681" s="6"/>
    </row>
    <row r="12682" spans="1:1" ht="18.75" x14ac:dyDescent="0.25">
      <c r="A12682" s="6"/>
    </row>
    <row r="12683" spans="1:1" ht="18.75" x14ac:dyDescent="0.25">
      <c r="A12683" s="6"/>
    </row>
    <row r="12684" spans="1:1" ht="18.75" x14ac:dyDescent="0.25">
      <c r="A12684" s="6"/>
    </row>
    <row r="12685" spans="1:1" ht="18.75" x14ac:dyDescent="0.25">
      <c r="A12685" s="6"/>
    </row>
    <row r="12686" spans="1:1" ht="18.75" x14ac:dyDescent="0.25">
      <c r="A12686" s="6"/>
    </row>
    <row r="12687" spans="1:1" ht="18.75" x14ac:dyDescent="0.25">
      <c r="A12687" s="6"/>
    </row>
    <row r="12688" spans="1:1" ht="18.75" x14ac:dyDescent="0.25">
      <c r="A12688" s="6"/>
    </row>
    <row r="12689" spans="1:1" ht="18.75" x14ac:dyDescent="0.25">
      <c r="A12689" s="6"/>
    </row>
    <row r="12690" spans="1:1" ht="18.75" x14ac:dyDescent="0.25">
      <c r="A12690" s="6"/>
    </row>
    <row r="12691" spans="1:1" ht="18.75" x14ac:dyDescent="0.25">
      <c r="A12691" s="6"/>
    </row>
    <row r="12692" spans="1:1" ht="18.75" x14ac:dyDescent="0.25">
      <c r="A12692" s="6"/>
    </row>
    <row r="12693" spans="1:1" ht="18.75" x14ac:dyDescent="0.25">
      <c r="A12693" s="6"/>
    </row>
    <row r="12694" spans="1:1" ht="18.75" x14ac:dyDescent="0.25">
      <c r="A12694" s="6"/>
    </row>
    <row r="12695" spans="1:1" ht="18.75" x14ac:dyDescent="0.25">
      <c r="A12695" s="6"/>
    </row>
    <row r="12696" spans="1:1" ht="18.75" x14ac:dyDescent="0.25">
      <c r="A12696" s="6"/>
    </row>
    <row r="12697" spans="1:1" ht="18.75" x14ac:dyDescent="0.25">
      <c r="A12697" s="6"/>
    </row>
    <row r="12698" spans="1:1" ht="18.75" x14ac:dyDescent="0.25">
      <c r="A12698" s="6"/>
    </row>
    <row r="12699" spans="1:1" ht="18.75" x14ac:dyDescent="0.25">
      <c r="A12699" s="6"/>
    </row>
    <row r="12700" spans="1:1" ht="18.75" x14ac:dyDescent="0.25">
      <c r="A12700" s="6"/>
    </row>
    <row r="12701" spans="1:1" ht="18.75" x14ac:dyDescent="0.25">
      <c r="A12701" s="6"/>
    </row>
    <row r="12702" spans="1:1" ht="18.75" x14ac:dyDescent="0.25">
      <c r="A12702" s="6"/>
    </row>
    <row r="12703" spans="1:1" ht="18.75" x14ac:dyDescent="0.25">
      <c r="A12703" s="6"/>
    </row>
    <row r="12704" spans="1:1" ht="18.75" x14ac:dyDescent="0.25">
      <c r="A12704" s="6"/>
    </row>
    <row r="12705" spans="1:1" ht="18.75" x14ac:dyDescent="0.25">
      <c r="A12705" s="6"/>
    </row>
    <row r="12706" spans="1:1" ht="18.75" x14ac:dyDescent="0.25">
      <c r="A12706" s="6"/>
    </row>
    <row r="12707" spans="1:1" ht="18.75" x14ac:dyDescent="0.25">
      <c r="A12707" s="6"/>
    </row>
    <row r="12708" spans="1:1" ht="18.75" x14ac:dyDescent="0.25">
      <c r="A12708" s="6"/>
    </row>
    <row r="12709" spans="1:1" ht="18.75" x14ac:dyDescent="0.25">
      <c r="A12709" s="6"/>
    </row>
    <row r="12710" spans="1:1" ht="18.75" x14ac:dyDescent="0.25">
      <c r="A12710" s="6"/>
    </row>
    <row r="12711" spans="1:1" ht="18.75" x14ac:dyDescent="0.25">
      <c r="A12711" s="6"/>
    </row>
    <row r="12712" spans="1:1" ht="18.75" x14ac:dyDescent="0.25">
      <c r="A12712" s="6"/>
    </row>
    <row r="12713" spans="1:1" ht="18.75" x14ac:dyDescent="0.25">
      <c r="A12713" s="6"/>
    </row>
    <row r="12714" spans="1:1" ht="18.75" x14ac:dyDescent="0.25">
      <c r="A12714" s="6"/>
    </row>
    <row r="12715" spans="1:1" ht="18.75" x14ac:dyDescent="0.25">
      <c r="A12715" s="6"/>
    </row>
    <row r="12716" spans="1:1" ht="18.75" x14ac:dyDescent="0.25">
      <c r="A12716" s="6"/>
    </row>
    <row r="12717" spans="1:1" ht="18.75" x14ac:dyDescent="0.25">
      <c r="A12717" s="6"/>
    </row>
    <row r="12718" spans="1:1" ht="18.75" x14ac:dyDescent="0.25">
      <c r="A12718" s="6"/>
    </row>
    <row r="12719" spans="1:1" ht="18.75" x14ac:dyDescent="0.25">
      <c r="A12719" s="6"/>
    </row>
    <row r="12720" spans="1:1" ht="18.75" x14ac:dyDescent="0.25">
      <c r="A12720" s="6"/>
    </row>
    <row r="12721" spans="1:1" ht="18.75" x14ac:dyDescent="0.25">
      <c r="A12721" s="6"/>
    </row>
    <row r="12722" spans="1:1" ht="18.75" x14ac:dyDescent="0.25">
      <c r="A12722" s="6"/>
    </row>
    <row r="12723" spans="1:1" ht="18.75" x14ac:dyDescent="0.25">
      <c r="A12723" s="6"/>
    </row>
    <row r="12724" spans="1:1" ht="18.75" x14ac:dyDescent="0.25">
      <c r="A12724" s="6"/>
    </row>
    <row r="12725" spans="1:1" ht="18.75" x14ac:dyDescent="0.25">
      <c r="A12725" s="6"/>
    </row>
    <row r="12726" spans="1:1" ht="18.75" x14ac:dyDescent="0.25">
      <c r="A12726" s="6"/>
    </row>
    <row r="12727" spans="1:1" ht="18.75" x14ac:dyDescent="0.25">
      <c r="A12727" s="6"/>
    </row>
    <row r="12728" spans="1:1" ht="18.75" x14ac:dyDescent="0.25">
      <c r="A12728" s="6"/>
    </row>
    <row r="12729" spans="1:1" ht="18.75" x14ac:dyDescent="0.25">
      <c r="A12729" s="6"/>
    </row>
    <row r="12730" spans="1:1" ht="18.75" x14ac:dyDescent="0.25">
      <c r="A12730" s="6"/>
    </row>
    <row r="12731" spans="1:1" ht="18.75" x14ac:dyDescent="0.25">
      <c r="A12731" s="6"/>
    </row>
    <row r="12732" spans="1:1" ht="18.75" x14ac:dyDescent="0.25">
      <c r="A12732" s="6"/>
    </row>
    <row r="12733" spans="1:1" ht="18.75" x14ac:dyDescent="0.25">
      <c r="A12733" s="6"/>
    </row>
    <row r="12734" spans="1:1" ht="18.75" x14ac:dyDescent="0.25">
      <c r="A12734" s="6"/>
    </row>
    <row r="12735" spans="1:1" ht="18.75" x14ac:dyDescent="0.25">
      <c r="A12735" s="6"/>
    </row>
    <row r="12736" spans="1:1" ht="18.75" x14ac:dyDescent="0.25">
      <c r="A12736" s="6"/>
    </row>
    <row r="12737" spans="1:1" ht="18.75" x14ac:dyDescent="0.25">
      <c r="A12737" s="6"/>
    </row>
    <row r="12738" spans="1:1" ht="18.75" x14ac:dyDescent="0.25">
      <c r="A12738" s="6"/>
    </row>
    <row r="12739" spans="1:1" ht="18.75" x14ac:dyDescent="0.25">
      <c r="A12739" s="6"/>
    </row>
    <row r="12740" spans="1:1" ht="18.75" x14ac:dyDescent="0.25">
      <c r="A12740" s="6"/>
    </row>
    <row r="12741" spans="1:1" ht="18.75" x14ac:dyDescent="0.25">
      <c r="A12741" s="6"/>
    </row>
    <row r="12742" spans="1:1" ht="18.75" x14ac:dyDescent="0.25">
      <c r="A12742" s="6"/>
    </row>
    <row r="12743" spans="1:1" ht="18.75" x14ac:dyDescent="0.25">
      <c r="A12743" s="6"/>
    </row>
    <row r="12744" spans="1:1" ht="18.75" x14ac:dyDescent="0.25">
      <c r="A12744" s="6"/>
    </row>
    <row r="12745" spans="1:1" ht="18.75" x14ac:dyDescent="0.25">
      <c r="A12745" s="6"/>
    </row>
    <row r="12746" spans="1:1" ht="18.75" x14ac:dyDescent="0.25">
      <c r="A12746" s="6"/>
    </row>
    <row r="12747" spans="1:1" ht="18.75" x14ac:dyDescent="0.25">
      <c r="A12747" s="6"/>
    </row>
    <row r="12748" spans="1:1" ht="18.75" x14ac:dyDescent="0.25">
      <c r="A12748" s="6"/>
    </row>
    <row r="12749" spans="1:1" ht="18.75" x14ac:dyDescent="0.25">
      <c r="A12749" s="6"/>
    </row>
    <row r="12750" spans="1:1" ht="18.75" x14ac:dyDescent="0.25">
      <c r="A12750" s="6"/>
    </row>
    <row r="12751" spans="1:1" ht="18.75" x14ac:dyDescent="0.25">
      <c r="A12751" s="6"/>
    </row>
    <row r="12752" spans="1:1" ht="18.75" x14ac:dyDescent="0.25">
      <c r="A12752" s="6"/>
    </row>
    <row r="12753" spans="1:1" ht="18.75" x14ac:dyDescent="0.25">
      <c r="A12753" s="6"/>
    </row>
    <row r="12754" spans="1:1" ht="18.75" x14ac:dyDescent="0.25">
      <c r="A12754" s="6"/>
    </row>
    <row r="12755" spans="1:1" ht="18.75" x14ac:dyDescent="0.25">
      <c r="A12755" s="6"/>
    </row>
    <row r="12756" spans="1:1" ht="18.75" x14ac:dyDescent="0.25">
      <c r="A12756" s="6"/>
    </row>
    <row r="12757" spans="1:1" ht="18.75" x14ac:dyDescent="0.25">
      <c r="A12757" s="6"/>
    </row>
    <row r="12758" spans="1:1" ht="18.75" x14ac:dyDescent="0.25">
      <c r="A12758" s="6"/>
    </row>
    <row r="12759" spans="1:1" ht="18.75" x14ac:dyDescent="0.25">
      <c r="A12759" s="6"/>
    </row>
    <row r="12760" spans="1:1" ht="18.75" x14ac:dyDescent="0.25">
      <c r="A12760" s="6"/>
    </row>
    <row r="12761" spans="1:1" ht="18.75" x14ac:dyDescent="0.25">
      <c r="A12761" s="6"/>
    </row>
    <row r="12762" spans="1:1" ht="18.75" x14ac:dyDescent="0.25">
      <c r="A12762" s="6"/>
    </row>
    <row r="12763" spans="1:1" ht="18.75" x14ac:dyDescent="0.25">
      <c r="A12763" s="6"/>
    </row>
    <row r="12764" spans="1:1" ht="18.75" x14ac:dyDescent="0.25">
      <c r="A12764" s="6"/>
    </row>
    <row r="12765" spans="1:1" ht="18.75" x14ac:dyDescent="0.25">
      <c r="A12765" s="6"/>
    </row>
    <row r="12766" spans="1:1" ht="18.75" x14ac:dyDescent="0.25">
      <c r="A12766" s="6"/>
    </row>
    <row r="12767" spans="1:1" ht="18.75" x14ac:dyDescent="0.25">
      <c r="A12767" s="6"/>
    </row>
    <row r="12768" spans="1:1" ht="18.75" x14ac:dyDescent="0.25">
      <c r="A12768" s="6"/>
    </row>
    <row r="12769" spans="1:1" ht="18.75" x14ac:dyDescent="0.25">
      <c r="A12769" s="6"/>
    </row>
    <row r="12770" spans="1:1" ht="18.75" x14ac:dyDescent="0.25">
      <c r="A12770" s="6"/>
    </row>
    <row r="12771" spans="1:1" ht="18.75" x14ac:dyDescent="0.25">
      <c r="A12771" s="6"/>
    </row>
    <row r="12772" spans="1:1" ht="18.75" x14ac:dyDescent="0.25">
      <c r="A12772" s="6"/>
    </row>
    <row r="12773" spans="1:1" ht="18.75" x14ac:dyDescent="0.25">
      <c r="A12773" s="6"/>
    </row>
    <row r="12774" spans="1:1" ht="18.75" x14ac:dyDescent="0.25">
      <c r="A12774" s="6"/>
    </row>
    <row r="12775" spans="1:1" ht="18.75" x14ac:dyDescent="0.25">
      <c r="A12775" s="6"/>
    </row>
    <row r="12776" spans="1:1" ht="18.75" x14ac:dyDescent="0.25">
      <c r="A12776" s="6"/>
    </row>
    <row r="12777" spans="1:1" ht="18.75" x14ac:dyDescent="0.25">
      <c r="A12777" s="6"/>
    </row>
    <row r="12778" spans="1:1" ht="18.75" x14ac:dyDescent="0.25">
      <c r="A12778" s="6"/>
    </row>
    <row r="12779" spans="1:1" ht="18.75" x14ac:dyDescent="0.25">
      <c r="A12779" s="6"/>
    </row>
    <row r="12780" spans="1:1" ht="18.75" x14ac:dyDescent="0.25">
      <c r="A12780" s="6"/>
    </row>
    <row r="12781" spans="1:1" ht="18.75" x14ac:dyDescent="0.25">
      <c r="A12781" s="6"/>
    </row>
    <row r="12782" spans="1:1" ht="18.75" x14ac:dyDescent="0.25">
      <c r="A12782" s="6"/>
    </row>
    <row r="12783" spans="1:1" ht="18.75" x14ac:dyDescent="0.25">
      <c r="A12783" s="6"/>
    </row>
    <row r="12784" spans="1:1" ht="18.75" x14ac:dyDescent="0.25">
      <c r="A12784" s="6"/>
    </row>
    <row r="12785" spans="1:1" ht="18.75" x14ac:dyDescent="0.25">
      <c r="A12785" s="6"/>
    </row>
    <row r="12786" spans="1:1" ht="18.75" x14ac:dyDescent="0.25">
      <c r="A12786" s="6"/>
    </row>
    <row r="12787" spans="1:1" ht="18.75" x14ac:dyDescent="0.25">
      <c r="A12787" s="6"/>
    </row>
    <row r="12788" spans="1:1" ht="18.75" x14ac:dyDescent="0.25">
      <c r="A12788" s="6"/>
    </row>
    <row r="12789" spans="1:1" ht="18.75" x14ac:dyDescent="0.25">
      <c r="A12789" s="6"/>
    </row>
    <row r="12790" spans="1:1" ht="18.75" x14ac:dyDescent="0.25">
      <c r="A12790" s="6"/>
    </row>
    <row r="12791" spans="1:1" ht="18.75" x14ac:dyDescent="0.25">
      <c r="A12791" s="6"/>
    </row>
    <row r="12792" spans="1:1" ht="18.75" x14ac:dyDescent="0.25">
      <c r="A12792" s="6"/>
    </row>
    <row r="12793" spans="1:1" ht="18.75" x14ac:dyDescent="0.25">
      <c r="A12793" s="6"/>
    </row>
    <row r="12794" spans="1:1" ht="18.75" x14ac:dyDescent="0.25">
      <c r="A12794" s="6"/>
    </row>
    <row r="12795" spans="1:1" ht="18.75" x14ac:dyDescent="0.25">
      <c r="A12795" s="6"/>
    </row>
    <row r="12796" spans="1:1" ht="18.75" x14ac:dyDescent="0.25">
      <c r="A12796" s="6"/>
    </row>
    <row r="12797" spans="1:1" ht="18.75" x14ac:dyDescent="0.25">
      <c r="A12797" s="6"/>
    </row>
    <row r="12798" spans="1:1" ht="18.75" x14ac:dyDescent="0.25">
      <c r="A12798" s="6"/>
    </row>
    <row r="12799" spans="1:1" ht="18.75" x14ac:dyDescent="0.25">
      <c r="A12799" s="6"/>
    </row>
    <row r="12800" spans="1:1" ht="18.75" x14ac:dyDescent="0.25">
      <c r="A12800" s="6"/>
    </row>
    <row r="12801" spans="1:1" ht="18.75" x14ac:dyDescent="0.25">
      <c r="A12801" s="6"/>
    </row>
    <row r="12802" spans="1:1" ht="18.75" x14ac:dyDescent="0.25">
      <c r="A12802" s="6"/>
    </row>
    <row r="12803" spans="1:1" ht="18.75" x14ac:dyDescent="0.25">
      <c r="A12803" s="6"/>
    </row>
    <row r="12804" spans="1:1" ht="18.75" x14ac:dyDescent="0.25">
      <c r="A12804" s="6"/>
    </row>
    <row r="12805" spans="1:1" ht="18.75" x14ac:dyDescent="0.25">
      <c r="A12805" s="6"/>
    </row>
    <row r="12806" spans="1:1" ht="18.75" x14ac:dyDescent="0.25">
      <c r="A12806" s="6"/>
    </row>
    <row r="12807" spans="1:1" ht="18.75" x14ac:dyDescent="0.25">
      <c r="A12807" s="6"/>
    </row>
    <row r="12808" spans="1:1" ht="18.75" x14ac:dyDescent="0.25">
      <c r="A12808" s="6"/>
    </row>
    <row r="12809" spans="1:1" ht="18.75" x14ac:dyDescent="0.25">
      <c r="A12809" s="6"/>
    </row>
    <row r="12810" spans="1:1" ht="18.75" x14ac:dyDescent="0.25">
      <c r="A12810" s="6"/>
    </row>
    <row r="12811" spans="1:1" ht="18.75" x14ac:dyDescent="0.25">
      <c r="A12811" s="6"/>
    </row>
    <row r="12812" spans="1:1" ht="18.75" x14ac:dyDescent="0.25">
      <c r="A12812" s="6"/>
    </row>
    <row r="12813" spans="1:1" ht="18.75" x14ac:dyDescent="0.25">
      <c r="A12813" s="6"/>
    </row>
    <row r="12814" spans="1:1" ht="18.75" x14ac:dyDescent="0.25">
      <c r="A12814" s="6"/>
    </row>
    <row r="12815" spans="1:1" ht="18.75" x14ac:dyDescent="0.25">
      <c r="A12815" s="6"/>
    </row>
    <row r="12816" spans="1:1" ht="18.75" x14ac:dyDescent="0.25">
      <c r="A12816" s="6"/>
    </row>
    <row r="12817" spans="1:1" ht="18.75" x14ac:dyDescent="0.25">
      <c r="A12817" s="6"/>
    </row>
    <row r="12818" spans="1:1" ht="18.75" x14ac:dyDescent="0.25">
      <c r="A12818" s="6"/>
    </row>
    <row r="12819" spans="1:1" ht="18.75" x14ac:dyDescent="0.25">
      <c r="A12819" s="6"/>
    </row>
    <row r="12820" spans="1:1" ht="18.75" x14ac:dyDescent="0.25">
      <c r="A12820" s="6"/>
    </row>
    <row r="12821" spans="1:1" ht="18.75" x14ac:dyDescent="0.25">
      <c r="A12821" s="6"/>
    </row>
    <row r="12822" spans="1:1" ht="18.75" x14ac:dyDescent="0.25">
      <c r="A12822" s="6"/>
    </row>
    <row r="12823" spans="1:1" ht="18.75" x14ac:dyDescent="0.25">
      <c r="A12823" s="6"/>
    </row>
    <row r="12824" spans="1:1" ht="18.75" x14ac:dyDescent="0.25">
      <c r="A12824" s="6"/>
    </row>
    <row r="12825" spans="1:1" ht="18.75" x14ac:dyDescent="0.25">
      <c r="A12825" s="6"/>
    </row>
    <row r="12826" spans="1:1" ht="18.75" x14ac:dyDescent="0.25">
      <c r="A12826" s="6"/>
    </row>
    <row r="12827" spans="1:1" ht="18.75" x14ac:dyDescent="0.25">
      <c r="A12827" s="6"/>
    </row>
    <row r="12828" spans="1:1" ht="18.75" x14ac:dyDescent="0.25">
      <c r="A12828" s="6"/>
    </row>
    <row r="12829" spans="1:1" ht="18.75" x14ac:dyDescent="0.25">
      <c r="A12829" s="6"/>
    </row>
    <row r="12830" spans="1:1" ht="18.75" x14ac:dyDescent="0.25">
      <c r="A12830" s="6"/>
    </row>
    <row r="12831" spans="1:1" ht="18.75" x14ac:dyDescent="0.25">
      <c r="A12831" s="6"/>
    </row>
    <row r="12832" spans="1:1" ht="18.75" x14ac:dyDescent="0.25">
      <c r="A12832" s="6"/>
    </row>
    <row r="12833" spans="1:1" ht="18.75" x14ac:dyDescent="0.25">
      <c r="A12833" s="6"/>
    </row>
    <row r="12834" spans="1:1" ht="18.75" x14ac:dyDescent="0.25">
      <c r="A12834" s="6"/>
    </row>
    <row r="12835" spans="1:1" ht="18.75" x14ac:dyDescent="0.25">
      <c r="A12835" s="6"/>
    </row>
    <row r="12836" spans="1:1" ht="18.75" x14ac:dyDescent="0.25">
      <c r="A12836" s="6"/>
    </row>
    <row r="12837" spans="1:1" ht="18.75" x14ac:dyDescent="0.25">
      <c r="A12837" s="6"/>
    </row>
    <row r="12838" spans="1:1" ht="18.75" x14ac:dyDescent="0.25">
      <c r="A12838" s="6"/>
    </row>
    <row r="12839" spans="1:1" ht="18.75" x14ac:dyDescent="0.25">
      <c r="A12839" s="6"/>
    </row>
    <row r="12840" spans="1:1" ht="18.75" x14ac:dyDescent="0.25">
      <c r="A12840" s="6"/>
    </row>
    <row r="12841" spans="1:1" ht="18.75" x14ac:dyDescent="0.25">
      <c r="A12841" s="6"/>
    </row>
    <row r="12842" spans="1:1" ht="18.75" x14ac:dyDescent="0.25">
      <c r="A12842" s="6"/>
    </row>
    <row r="12843" spans="1:1" ht="18.75" x14ac:dyDescent="0.25">
      <c r="A12843" s="6"/>
    </row>
    <row r="12844" spans="1:1" ht="18.75" x14ac:dyDescent="0.25">
      <c r="A12844" s="6"/>
    </row>
    <row r="12845" spans="1:1" ht="18.75" x14ac:dyDescent="0.25">
      <c r="A12845" s="6"/>
    </row>
    <row r="12846" spans="1:1" ht="18.75" x14ac:dyDescent="0.25">
      <c r="A12846" s="6"/>
    </row>
    <row r="12847" spans="1:1" ht="18.75" x14ac:dyDescent="0.25">
      <c r="A12847" s="6"/>
    </row>
    <row r="12848" spans="1:1" ht="18.75" x14ac:dyDescent="0.25">
      <c r="A12848" s="6"/>
    </row>
    <row r="12849" spans="1:1" ht="18.75" x14ac:dyDescent="0.25">
      <c r="A12849" s="6"/>
    </row>
    <row r="12850" spans="1:1" ht="18.75" x14ac:dyDescent="0.25">
      <c r="A12850" s="6"/>
    </row>
    <row r="12851" spans="1:1" ht="18.75" x14ac:dyDescent="0.25">
      <c r="A12851" s="6"/>
    </row>
    <row r="12852" spans="1:1" ht="18.75" x14ac:dyDescent="0.25">
      <c r="A12852" s="6"/>
    </row>
    <row r="12853" spans="1:1" ht="18.75" x14ac:dyDescent="0.25">
      <c r="A12853" s="6"/>
    </row>
    <row r="12854" spans="1:1" ht="18.75" x14ac:dyDescent="0.25">
      <c r="A12854" s="6"/>
    </row>
    <row r="12855" spans="1:1" ht="18.75" x14ac:dyDescent="0.25">
      <c r="A12855" s="6"/>
    </row>
    <row r="12856" spans="1:1" ht="18.75" x14ac:dyDescent="0.25">
      <c r="A12856" s="6"/>
    </row>
    <row r="12857" spans="1:1" ht="18.75" x14ac:dyDescent="0.25">
      <c r="A12857" s="6"/>
    </row>
    <row r="12858" spans="1:1" ht="18.75" x14ac:dyDescent="0.25">
      <c r="A12858" s="6"/>
    </row>
    <row r="12859" spans="1:1" ht="18.75" x14ac:dyDescent="0.25">
      <c r="A12859" s="6"/>
    </row>
    <row r="12860" spans="1:1" ht="18.75" x14ac:dyDescent="0.25">
      <c r="A12860" s="6"/>
    </row>
    <row r="12861" spans="1:1" ht="18.75" x14ac:dyDescent="0.25">
      <c r="A12861" s="6"/>
    </row>
    <row r="12862" spans="1:1" ht="18.75" x14ac:dyDescent="0.25">
      <c r="A12862" s="6"/>
    </row>
    <row r="12863" spans="1:1" ht="18.75" x14ac:dyDescent="0.25">
      <c r="A12863" s="6"/>
    </row>
    <row r="12864" spans="1:1" ht="18.75" x14ac:dyDescent="0.25">
      <c r="A12864" s="6"/>
    </row>
    <row r="12865" spans="1:1" ht="18.75" x14ac:dyDescent="0.25">
      <c r="A12865" s="6"/>
    </row>
    <row r="12866" spans="1:1" ht="18.75" x14ac:dyDescent="0.25">
      <c r="A12866" s="6"/>
    </row>
    <row r="12867" spans="1:1" ht="18.75" x14ac:dyDescent="0.25">
      <c r="A12867" s="6"/>
    </row>
    <row r="12868" spans="1:1" ht="18.75" x14ac:dyDescent="0.25">
      <c r="A12868" s="6"/>
    </row>
    <row r="12869" spans="1:1" ht="18.75" x14ac:dyDescent="0.25">
      <c r="A12869" s="6"/>
    </row>
    <row r="12870" spans="1:1" ht="18.75" x14ac:dyDescent="0.25">
      <c r="A12870" s="6"/>
    </row>
    <row r="12871" spans="1:1" ht="18.75" x14ac:dyDescent="0.25">
      <c r="A12871" s="6"/>
    </row>
    <row r="12872" spans="1:1" ht="18.75" x14ac:dyDescent="0.25">
      <c r="A12872" s="6"/>
    </row>
    <row r="12873" spans="1:1" ht="18.75" x14ac:dyDescent="0.25">
      <c r="A12873" s="6"/>
    </row>
    <row r="12874" spans="1:1" ht="18.75" x14ac:dyDescent="0.25">
      <c r="A12874" s="6"/>
    </row>
    <row r="12875" spans="1:1" ht="18.75" x14ac:dyDescent="0.25">
      <c r="A12875" s="6"/>
    </row>
    <row r="12876" spans="1:1" ht="18.75" x14ac:dyDescent="0.25">
      <c r="A12876" s="6"/>
    </row>
    <row r="12877" spans="1:1" ht="18.75" x14ac:dyDescent="0.25">
      <c r="A12877" s="6"/>
    </row>
    <row r="12878" spans="1:1" ht="18.75" x14ac:dyDescent="0.25">
      <c r="A12878" s="6"/>
    </row>
    <row r="12879" spans="1:1" ht="18.75" x14ac:dyDescent="0.25">
      <c r="A12879" s="6"/>
    </row>
    <row r="12880" spans="1:1" ht="18.75" x14ac:dyDescent="0.25">
      <c r="A12880" s="6"/>
    </row>
    <row r="12881" spans="1:1" ht="18.75" x14ac:dyDescent="0.25">
      <c r="A12881" s="6"/>
    </row>
    <row r="12882" spans="1:1" ht="18.75" x14ac:dyDescent="0.25">
      <c r="A12882" s="6"/>
    </row>
    <row r="12883" spans="1:1" ht="18.75" x14ac:dyDescent="0.25">
      <c r="A12883" s="6"/>
    </row>
    <row r="12884" spans="1:1" ht="18.75" x14ac:dyDescent="0.25">
      <c r="A12884" s="6"/>
    </row>
    <row r="12885" spans="1:1" ht="18.75" x14ac:dyDescent="0.25">
      <c r="A12885" s="6"/>
    </row>
    <row r="12886" spans="1:1" ht="18.75" x14ac:dyDescent="0.25">
      <c r="A12886" s="6"/>
    </row>
    <row r="12887" spans="1:1" ht="18.75" x14ac:dyDescent="0.25">
      <c r="A12887" s="6"/>
    </row>
    <row r="12888" spans="1:1" ht="18.75" x14ac:dyDescent="0.25">
      <c r="A12888" s="6"/>
    </row>
    <row r="12889" spans="1:1" ht="18.75" x14ac:dyDescent="0.25">
      <c r="A12889" s="6"/>
    </row>
    <row r="12890" spans="1:1" ht="18.75" x14ac:dyDescent="0.25">
      <c r="A12890" s="6"/>
    </row>
    <row r="12891" spans="1:1" ht="18.75" x14ac:dyDescent="0.25">
      <c r="A12891" s="6"/>
    </row>
    <row r="12892" spans="1:1" ht="18.75" x14ac:dyDescent="0.25">
      <c r="A12892" s="6"/>
    </row>
    <row r="12893" spans="1:1" ht="18.75" x14ac:dyDescent="0.25">
      <c r="A12893" s="6"/>
    </row>
    <row r="12894" spans="1:1" ht="18.75" x14ac:dyDescent="0.25">
      <c r="A12894" s="6"/>
    </row>
    <row r="12895" spans="1:1" ht="18.75" x14ac:dyDescent="0.25">
      <c r="A12895" s="6"/>
    </row>
    <row r="12896" spans="1:1" ht="18.75" x14ac:dyDescent="0.25">
      <c r="A12896" s="6"/>
    </row>
    <row r="12897" spans="1:1" ht="18.75" x14ac:dyDescent="0.25">
      <c r="A12897" s="6"/>
    </row>
    <row r="12898" spans="1:1" ht="18.75" x14ac:dyDescent="0.25">
      <c r="A12898" s="6"/>
    </row>
    <row r="12899" spans="1:1" ht="18.75" x14ac:dyDescent="0.25">
      <c r="A12899" s="6"/>
    </row>
    <row r="12900" spans="1:1" ht="18.75" x14ac:dyDescent="0.25">
      <c r="A12900" s="6"/>
    </row>
    <row r="12901" spans="1:1" ht="18.75" x14ac:dyDescent="0.25">
      <c r="A12901" s="6"/>
    </row>
    <row r="12902" spans="1:1" ht="18.75" x14ac:dyDescent="0.25">
      <c r="A12902" s="6"/>
    </row>
    <row r="12903" spans="1:1" ht="18.75" x14ac:dyDescent="0.25">
      <c r="A12903" s="6"/>
    </row>
    <row r="12904" spans="1:1" ht="18.75" x14ac:dyDescent="0.25">
      <c r="A12904" s="6"/>
    </row>
    <row r="12905" spans="1:1" ht="18.75" x14ac:dyDescent="0.25">
      <c r="A12905" s="6"/>
    </row>
    <row r="12906" spans="1:1" ht="18.75" x14ac:dyDescent="0.25">
      <c r="A12906" s="6"/>
    </row>
    <row r="12907" spans="1:1" ht="18.75" x14ac:dyDescent="0.25">
      <c r="A12907" s="6"/>
    </row>
    <row r="12908" spans="1:1" ht="18.75" x14ac:dyDescent="0.25">
      <c r="A12908" s="6"/>
    </row>
    <row r="12909" spans="1:1" ht="18.75" x14ac:dyDescent="0.25">
      <c r="A12909" s="6"/>
    </row>
    <row r="12910" spans="1:1" ht="18.75" x14ac:dyDescent="0.25">
      <c r="A12910" s="6"/>
    </row>
    <row r="12911" spans="1:1" ht="18.75" x14ac:dyDescent="0.25">
      <c r="A12911" s="6"/>
    </row>
    <row r="12912" spans="1:1" ht="18.75" x14ac:dyDescent="0.25">
      <c r="A12912" s="6"/>
    </row>
    <row r="12913" spans="1:1" ht="18.75" x14ac:dyDescent="0.25">
      <c r="A12913" s="6"/>
    </row>
    <row r="12914" spans="1:1" ht="18.75" x14ac:dyDescent="0.25">
      <c r="A12914" s="6"/>
    </row>
    <row r="12915" spans="1:1" ht="18.75" x14ac:dyDescent="0.25">
      <c r="A12915" s="6"/>
    </row>
    <row r="12916" spans="1:1" ht="18.75" x14ac:dyDescent="0.25">
      <c r="A12916" s="6"/>
    </row>
    <row r="12917" spans="1:1" ht="18.75" x14ac:dyDescent="0.25">
      <c r="A12917" s="6"/>
    </row>
    <row r="12918" spans="1:1" ht="18.75" x14ac:dyDescent="0.25">
      <c r="A12918" s="6"/>
    </row>
    <row r="12919" spans="1:1" ht="18.75" x14ac:dyDescent="0.25">
      <c r="A12919" s="6"/>
    </row>
    <row r="12920" spans="1:1" ht="18.75" x14ac:dyDescent="0.25">
      <c r="A12920" s="6"/>
    </row>
    <row r="12921" spans="1:1" ht="18.75" x14ac:dyDescent="0.25">
      <c r="A12921" s="6"/>
    </row>
    <row r="12922" spans="1:1" ht="18.75" x14ac:dyDescent="0.25">
      <c r="A12922" s="6"/>
    </row>
    <row r="12923" spans="1:1" ht="18.75" x14ac:dyDescent="0.25">
      <c r="A12923" s="6"/>
    </row>
    <row r="12924" spans="1:1" ht="18.75" x14ac:dyDescent="0.25">
      <c r="A12924" s="6"/>
    </row>
    <row r="12925" spans="1:1" ht="18.75" x14ac:dyDescent="0.25">
      <c r="A12925" s="6"/>
    </row>
    <row r="12926" spans="1:1" ht="18.75" x14ac:dyDescent="0.25">
      <c r="A12926" s="6"/>
    </row>
    <row r="12927" spans="1:1" ht="18.75" x14ac:dyDescent="0.25">
      <c r="A12927" s="6"/>
    </row>
    <row r="12928" spans="1:1" ht="18.75" x14ac:dyDescent="0.25">
      <c r="A12928" s="6"/>
    </row>
    <row r="12929" spans="1:1" ht="18.75" x14ac:dyDescent="0.25">
      <c r="A12929" s="6"/>
    </row>
    <row r="12930" spans="1:1" ht="18.75" x14ac:dyDescent="0.25">
      <c r="A12930" s="6"/>
    </row>
    <row r="12931" spans="1:1" ht="18.75" x14ac:dyDescent="0.25">
      <c r="A12931" s="6"/>
    </row>
    <row r="12932" spans="1:1" ht="18.75" x14ac:dyDescent="0.25">
      <c r="A12932" s="6"/>
    </row>
    <row r="12933" spans="1:1" ht="18.75" x14ac:dyDescent="0.25">
      <c r="A12933" s="6"/>
    </row>
    <row r="12934" spans="1:1" ht="18.75" x14ac:dyDescent="0.25">
      <c r="A12934" s="6"/>
    </row>
    <row r="12935" spans="1:1" ht="18.75" x14ac:dyDescent="0.25">
      <c r="A12935" s="6"/>
    </row>
    <row r="12936" spans="1:1" ht="18.75" x14ac:dyDescent="0.25">
      <c r="A12936" s="6"/>
    </row>
    <row r="12937" spans="1:1" ht="18.75" x14ac:dyDescent="0.25">
      <c r="A12937" s="6"/>
    </row>
    <row r="12938" spans="1:1" ht="18.75" x14ac:dyDescent="0.25">
      <c r="A12938" s="6"/>
    </row>
    <row r="12939" spans="1:1" ht="18.75" x14ac:dyDescent="0.25">
      <c r="A12939" s="6"/>
    </row>
    <row r="12940" spans="1:1" ht="18.75" x14ac:dyDescent="0.25">
      <c r="A12940" s="6"/>
    </row>
    <row r="12941" spans="1:1" ht="18.75" x14ac:dyDescent="0.25">
      <c r="A12941" s="6"/>
    </row>
    <row r="12942" spans="1:1" ht="18.75" x14ac:dyDescent="0.25">
      <c r="A12942" s="6"/>
    </row>
    <row r="12943" spans="1:1" ht="18.75" x14ac:dyDescent="0.25">
      <c r="A12943" s="6"/>
    </row>
    <row r="12944" spans="1:1" ht="18.75" x14ac:dyDescent="0.25">
      <c r="A12944" s="6"/>
    </row>
    <row r="12945" spans="1:1" ht="18.75" x14ac:dyDescent="0.25">
      <c r="A12945" s="6"/>
    </row>
    <row r="12946" spans="1:1" ht="18.75" x14ac:dyDescent="0.25">
      <c r="A12946" s="6"/>
    </row>
    <row r="12947" spans="1:1" ht="18.75" x14ac:dyDescent="0.25">
      <c r="A12947" s="6"/>
    </row>
    <row r="12948" spans="1:1" ht="18.75" x14ac:dyDescent="0.25">
      <c r="A12948" s="6"/>
    </row>
    <row r="12949" spans="1:1" ht="18.75" x14ac:dyDescent="0.25">
      <c r="A12949" s="6"/>
    </row>
    <row r="12950" spans="1:1" ht="18.75" x14ac:dyDescent="0.25">
      <c r="A12950" s="6"/>
    </row>
    <row r="12951" spans="1:1" ht="18.75" x14ac:dyDescent="0.25">
      <c r="A12951" s="6"/>
    </row>
    <row r="12952" spans="1:1" ht="18.75" x14ac:dyDescent="0.25">
      <c r="A12952" s="6"/>
    </row>
    <row r="12953" spans="1:1" ht="18.75" x14ac:dyDescent="0.25">
      <c r="A12953" s="6"/>
    </row>
    <row r="12954" spans="1:1" ht="18.75" x14ac:dyDescent="0.25">
      <c r="A12954" s="6"/>
    </row>
    <row r="12955" spans="1:1" ht="18.75" x14ac:dyDescent="0.25">
      <c r="A12955" s="6"/>
    </row>
    <row r="12956" spans="1:1" ht="18.75" x14ac:dyDescent="0.25">
      <c r="A12956" s="6"/>
    </row>
    <row r="12957" spans="1:1" ht="18.75" x14ac:dyDescent="0.25">
      <c r="A12957" s="6"/>
    </row>
    <row r="12958" spans="1:1" ht="18.75" x14ac:dyDescent="0.25">
      <c r="A12958" s="6"/>
    </row>
    <row r="12959" spans="1:1" ht="18.75" x14ac:dyDescent="0.25">
      <c r="A12959" s="6"/>
    </row>
    <row r="12960" spans="1:1" ht="18.75" x14ac:dyDescent="0.25">
      <c r="A12960" s="6"/>
    </row>
    <row r="12961" spans="1:1" ht="18.75" x14ac:dyDescent="0.25">
      <c r="A12961" s="6"/>
    </row>
    <row r="12962" spans="1:1" ht="18.75" x14ac:dyDescent="0.25">
      <c r="A12962" s="6"/>
    </row>
    <row r="12963" spans="1:1" ht="18.75" x14ac:dyDescent="0.25">
      <c r="A12963" s="6"/>
    </row>
    <row r="12964" spans="1:1" ht="18.75" x14ac:dyDescent="0.25">
      <c r="A12964" s="6"/>
    </row>
    <row r="12965" spans="1:1" ht="18.75" x14ac:dyDescent="0.25">
      <c r="A12965" s="6"/>
    </row>
    <row r="12966" spans="1:1" ht="18.75" x14ac:dyDescent="0.25">
      <c r="A12966" s="6"/>
    </row>
    <row r="12967" spans="1:1" ht="18.75" x14ac:dyDescent="0.25">
      <c r="A12967" s="6"/>
    </row>
    <row r="12968" spans="1:1" ht="18.75" x14ac:dyDescent="0.25">
      <c r="A12968" s="6"/>
    </row>
    <row r="12969" spans="1:1" ht="18.75" x14ac:dyDescent="0.25">
      <c r="A12969" s="6"/>
    </row>
    <row r="12970" spans="1:1" ht="18.75" x14ac:dyDescent="0.25">
      <c r="A12970" s="6"/>
    </row>
    <row r="12971" spans="1:1" ht="18.75" x14ac:dyDescent="0.25">
      <c r="A12971" s="6"/>
    </row>
    <row r="12972" spans="1:1" ht="18.75" x14ac:dyDescent="0.25">
      <c r="A12972" s="6"/>
    </row>
    <row r="12973" spans="1:1" ht="18.75" x14ac:dyDescent="0.25">
      <c r="A12973" s="6"/>
    </row>
    <row r="12974" spans="1:1" ht="18.75" x14ac:dyDescent="0.25">
      <c r="A12974" s="6"/>
    </row>
    <row r="12975" spans="1:1" ht="18.75" x14ac:dyDescent="0.25">
      <c r="A12975" s="6"/>
    </row>
    <row r="12976" spans="1:1" ht="18.75" x14ac:dyDescent="0.25">
      <c r="A12976" s="6"/>
    </row>
    <row r="12977" spans="1:1" ht="18.75" x14ac:dyDescent="0.25">
      <c r="A12977" s="6"/>
    </row>
    <row r="12978" spans="1:1" ht="18.75" x14ac:dyDescent="0.25">
      <c r="A12978" s="6"/>
    </row>
    <row r="12979" spans="1:1" ht="18.75" x14ac:dyDescent="0.25">
      <c r="A12979" s="6"/>
    </row>
    <row r="12980" spans="1:1" ht="18.75" x14ac:dyDescent="0.25">
      <c r="A12980" s="6"/>
    </row>
    <row r="12981" spans="1:1" ht="18.75" x14ac:dyDescent="0.25">
      <c r="A12981" s="6"/>
    </row>
    <row r="12982" spans="1:1" ht="18.75" x14ac:dyDescent="0.25">
      <c r="A12982" s="6"/>
    </row>
    <row r="12983" spans="1:1" ht="18.75" x14ac:dyDescent="0.25">
      <c r="A12983" s="6"/>
    </row>
    <row r="12984" spans="1:1" ht="18.75" x14ac:dyDescent="0.25">
      <c r="A12984" s="6"/>
    </row>
    <row r="12985" spans="1:1" ht="18.75" x14ac:dyDescent="0.25">
      <c r="A12985" s="6"/>
    </row>
    <row r="12986" spans="1:1" ht="18.75" x14ac:dyDescent="0.25">
      <c r="A12986" s="6"/>
    </row>
    <row r="12987" spans="1:1" ht="18.75" x14ac:dyDescent="0.25">
      <c r="A12987" s="6"/>
    </row>
    <row r="12988" spans="1:1" ht="18.75" x14ac:dyDescent="0.25">
      <c r="A12988" s="6"/>
    </row>
    <row r="12989" spans="1:1" ht="18.75" x14ac:dyDescent="0.25">
      <c r="A12989" s="6"/>
    </row>
    <row r="12990" spans="1:1" ht="18.75" x14ac:dyDescent="0.25">
      <c r="A12990" s="6"/>
    </row>
    <row r="12991" spans="1:1" ht="18.75" x14ac:dyDescent="0.25">
      <c r="A12991" s="6"/>
    </row>
    <row r="12992" spans="1:1" ht="18.75" x14ac:dyDescent="0.25">
      <c r="A12992" s="6"/>
    </row>
    <row r="12993" spans="1:1" ht="18.75" x14ac:dyDescent="0.25">
      <c r="A12993" s="6"/>
    </row>
    <row r="12994" spans="1:1" ht="18.75" x14ac:dyDescent="0.25">
      <c r="A12994" s="6"/>
    </row>
    <row r="12995" spans="1:1" ht="18.75" x14ac:dyDescent="0.25">
      <c r="A12995" s="6"/>
    </row>
    <row r="12996" spans="1:1" ht="18.75" x14ac:dyDescent="0.25">
      <c r="A12996" s="6"/>
    </row>
    <row r="12997" spans="1:1" ht="18.75" x14ac:dyDescent="0.25">
      <c r="A12997" s="6"/>
    </row>
    <row r="12998" spans="1:1" ht="18.75" x14ac:dyDescent="0.25">
      <c r="A12998" s="6"/>
    </row>
    <row r="12999" spans="1:1" ht="18.75" x14ac:dyDescent="0.25">
      <c r="A12999" s="6"/>
    </row>
    <row r="13000" spans="1:1" ht="18.75" x14ac:dyDescent="0.25">
      <c r="A13000" s="6"/>
    </row>
    <row r="13001" spans="1:1" ht="18.75" x14ac:dyDescent="0.25">
      <c r="A13001" s="6"/>
    </row>
    <row r="13002" spans="1:1" ht="18.75" x14ac:dyDescent="0.25">
      <c r="A13002" s="6"/>
    </row>
    <row r="13003" spans="1:1" ht="18.75" x14ac:dyDescent="0.25">
      <c r="A13003" s="6"/>
    </row>
    <row r="13004" spans="1:1" ht="18.75" x14ac:dyDescent="0.25">
      <c r="A13004" s="6"/>
    </row>
    <row r="13005" spans="1:1" ht="18.75" x14ac:dyDescent="0.25">
      <c r="A13005" s="6"/>
    </row>
    <row r="13006" spans="1:1" ht="18.75" x14ac:dyDescent="0.25">
      <c r="A13006" s="6"/>
    </row>
    <row r="13007" spans="1:1" ht="18.75" x14ac:dyDescent="0.25">
      <c r="A13007" s="6"/>
    </row>
    <row r="13008" spans="1:1" ht="18.75" x14ac:dyDescent="0.25">
      <c r="A13008" s="6"/>
    </row>
    <row r="13009" spans="1:1" ht="18.75" x14ac:dyDescent="0.25">
      <c r="A13009" s="6"/>
    </row>
    <row r="13010" spans="1:1" ht="18.75" x14ac:dyDescent="0.25">
      <c r="A13010" s="6"/>
    </row>
    <row r="13011" spans="1:1" ht="18.75" x14ac:dyDescent="0.25">
      <c r="A13011" s="6"/>
    </row>
    <row r="13012" spans="1:1" ht="18.75" x14ac:dyDescent="0.25">
      <c r="A13012" s="6"/>
    </row>
    <row r="13013" spans="1:1" ht="18.75" x14ac:dyDescent="0.25">
      <c r="A13013" s="6"/>
    </row>
    <row r="13014" spans="1:1" ht="18.75" x14ac:dyDescent="0.25">
      <c r="A13014" s="6"/>
    </row>
    <row r="13015" spans="1:1" ht="18.75" x14ac:dyDescent="0.25">
      <c r="A13015" s="6"/>
    </row>
    <row r="13016" spans="1:1" ht="18.75" x14ac:dyDescent="0.25">
      <c r="A13016" s="6"/>
    </row>
    <row r="13017" spans="1:1" ht="18.75" x14ac:dyDescent="0.25">
      <c r="A13017" s="6"/>
    </row>
    <row r="13018" spans="1:1" ht="18.75" x14ac:dyDescent="0.25">
      <c r="A13018" s="6"/>
    </row>
    <row r="13019" spans="1:1" ht="18.75" x14ac:dyDescent="0.25">
      <c r="A13019" s="6"/>
    </row>
    <row r="13020" spans="1:1" ht="18.75" x14ac:dyDescent="0.25">
      <c r="A13020" s="6"/>
    </row>
    <row r="13021" spans="1:1" ht="18.75" x14ac:dyDescent="0.25">
      <c r="A13021" s="6"/>
    </row>
    <row r="13022" spans="1:1" ht="18.75" x14ac:dyDescent="0.25">
      <c r="A13022" s="6"/>
    </row>
    <row r="13023" spans="1:1" ht="18.75" x14ac:dyDescent="0.25">
      <c r="A13023" s="6"/>
    </row>
    <row r="13024" spans="1:1" ht="18.75" x14ac:dyDescent="0.25">
      <c r="A13024" s="6"/>
    </row>
    <row r="13025" spans="1:1" ht="18.75" x14ac:dyDescent="0.25">
      <c r="A13025" s="6"/>
    </row>
    <row r="13026" spans="1:1" ht="18.75" x14ac:dyDescent="0.25">
      <c r="A13026" s="6"/>
    </row>
    <row r="13027" spans="1:1" ht="18.75" x14ac:dyDescent="0.25">
      <c r="A13027" s="6"/>
    </row>
    <row r="13028" spans="1:1" ht="18.75" x14ac:dyDescent="0.25">
      <c r="A13028" s="6"/>
    </row>
    <row r="13029" spans="1:1" ht="18.75" x14ac:dyDescent="0.25">
      <c r="A13029" s="6"/>
    </row>
    <row r="13030" spans="1:1" ht="18.75" x14ac:dyDescent="0.25">
      <c r="A13030" s="6"/>
    </row>
    <row r="13031" spans="1:1" ht="18.75" x14ac:dyDescent="0.25">
      <c r="A13031" s="6"/>
    </row>
    <row r="13032" spans="1:1" ht="18.75" x14ac:dyDescent="0.25">
      <c r="A13032" s="6"/>
    </row>
    <row r="13033" spans="1:1" ht="18.75" x14ac:dyDescent="0.25">
      <c r="A13033" s="6"/>
    </row>
    <row r="13034" spans="1:1" ht="18.75" x14ac:dyDescent="0.25">
      <c r="A13034" s="6"/>
    </row>
    <row r="13035" spans="1:1" ht="18.75" x14ac:dyDescent="0.25">
      <c r="A13035" s="6"/>
    </row>
    <row r="13036" spans="1:1" ht="18.75" x14ac:dyDescent="0.25">
      <c r="A13036" s="6"/>
    </row>
    <row r="13037" spans="1:1" ht="18.75" x14ac:dyDescent="0.25">
      <c r="A13037" s="6"/>
    </row>
    <row r="13038" spans="1:1" ht="18.75" x14ac:dyDescent="0.25">
      <c r="A13038" s="6"/>
    </row>
    <row r="13039" spans="1:1" ht="18.75" x14ac:dyDescent="0.25">
      <c r="A13039" s="6"/>
    </row>
    <row r="13040" spans="1:1" ht="18.75" x14ac:dyDescent="0.25">
      <c r="A13040" s="6"/>
    </row>
    <row r="13041" spans="1:1" ht="18.75" x14ac:dyDescent="0.25">
      <c r="A13041" s="6"/>
    </row>
    <row r="13042" spans="1:1" ht="18.75" x14ac:dyDescent="0.25">
      <c r="A13042" s="6"/>
    </row>
    <row r="13043" spans="1:1" ht="18.75" x14ac:dyDescent="0.25">
      <c r="A13043" s="6"/>
    </row>
    <row r="13044" spans="1:1" ht="18.75" x14ac:dyDescent="0.25">
      <c r="A13044" s="6"/>
    </row>
    <row r="13045" spans="1:1" ht="18.75" x14ac:dyDescent="0.25">
      <c r="A13045" s="6"/>
    </row>
    <row r="13046" spans="1:1" ht="18.75" x14ac:dyDescent="0.25">
      <c r="A13046" s="6"/>
    </row>
    <row r="13047" spans="1:1" ht="18.75" x14ac:dyDescent="0.25">
      <c r="A13047" s="6"/>
    </row>
    <row r="13048" spans="1:1" ht="18.75" x14ac:dyDescent="0.25">
      <c r="A13048" s="6"/>
    </row>
    <row r="13049" spans="1:1" ht="18.75" x14ac:dyDescent="0.25">
      <c r="A13049" s="6"/>
    </row>
    <row r="13050" spans="1:1" ht="18.75" x14ac:dyDescent="0.25">
      <c r="A13050" s="6"/>
    </row>
    <row r="13051" spans="1:1" ht="18.75" x14ac:dyDescent="0.25">
      <c r="A13051" s="6"/>
    </row>
    <row r="13052" spans="1:1" ht="18.75" x14ac:dyDescent="0.25">
      <c r="A13052" s="6"/>
    </row>
    <row r="13053" spans="1:1" ht="18.75" x14ac:dyDescent="0.25">
      <c r="A13053" s="6"/>
    </row>
    <row r="13054" spans="1:1" ht="18.75" x14ac:dyDescent="0.25">
      <c r="A13054" s="6"/>
    </row>
    <row r="13055" spans="1:1" ht="18.75" x14ac:dyDescent="0.25">
      <c r="A13055" s="6"/>
    </row>
    <row r="13056" spans="1:1" ht="18.75" x14ac:dyDescent="0.25">
      <c r="A13056" s="6"/>
    </row>
    <row r="13057" spans="1:1" ht="18.75" x14ac:dyDescent="0.25">
      <c r="A13057" s="6"/>
    </row>
    <row r="13058" spans="1:1" ht="18.75" x14ac:dyDescent="0.25">
      <c r="A13058" s="6"/>
    </row>
    <row r="13059" spans="1:1" ht="18.75" x14ac:dyDescent="0.25">
      <c r="A13059" s="6"/>
    </row>
    <row r="13060" spans="1:1" ht="18.75" x14ac:dyDescent="0.25">
      <c r="A13060" s="6"/>
    </row>
    <row r="13061" spans="1:1" ht="18.75" x14ac:dyDescent="0.25">
      <c r="A13061" s="6"/>
    </row>
    <row r="13062" spans="1:1" ht="18.75" x14ac:dyDescent="0.25">
      <c r="A13062" s="6"/>
    </row>
    <row r="13063" spans="1:1" ht="18.75" x14ac:dyDescent="0.25">
      <c r="A13063" s="6"/>
    </row>
    <row r="13064" spans="1:1" ht="18.75" x14ac:dyDescent="0.25">
      <c r="A13064" s="6"/>
    </row>
    <row r="13065" spans="1:1" ht="18.75" x14ac:dyDescent="0.25">
      <c r="A13065" s="6"/>
    </row>
    <row r="13066" spans="1:1" ht="18.75" x14ac:dyDescent="0.25">
      <c r="A13066" s="6"/>
    </row>
    <row r="13067" spans="1:1" ht="18.75" x14ac:dyDescent="0.25">
      <c r="A13067" s="6"/>
    </row>
    <row r="13068" spans="1:1" ht="18.75" x14ac:dyDescent="0.25">
      <c r="A13068" s="6"/>
    </row>
    <row r="13069" spans="1:1" ht="18.75" x14ac:dyDescent="0.25">
      <c r="A13069" s="6"/>
    </row>
    <row r="13070" spans="1:1" ht="18.75" x14ac:dyDescent="0.25">
      <c r="A13070" s="6"/>
    </row>
    <row r="13071" spans="1:1" ht="18.75" x14ac:dyDescent="0.25">
      <c r="A13071" s="6"/>
    </row>
    <row r="13072" spans="1:1" ht="18.75" x14ac:dyDescent="0.25">
      <c r="A13072" s="6"/>
    </row>
    <row r="13073" spans="1:1" ht="18.75" x14ac:dyDescent="0.25">
      <c r="A13073" s="6"/>
    </row>
    <row r="13074" spans="1:1" ht="18.75" x14ac:dyDescent="0.25">
      <c r="A13074" s="6"/>
    </row>
    <row r="13075" spans="1:1" ht="18.75" x14ac:dyDescent="0.25">
      <c r="A13075" s="6"/>
    </row>
    <row r="13076" spans="1:1" ht="18.75" x14ac:dyDescent="0.25">
      <c r="A13076" s="6"/>
    </row>
    <row r="13077" spans="1:1" ht="18.75" x14ac:dyDescent="0.25">
      <c r="A13077" s="6"/>
    </row>
    <row r="13078" spans="1:1" ht="18.75" x14ac:dyDescent="0.25">
      <c r="A13078" s="6"/>
    </row>
    <row r="13079" spans="1:1" ht="18.75" x14ac:dyDescent="0.25">
      <c r="A13079" s="6"/>
    </row>
    <row r="13080" spans="1:1" ht="18.75" x14ac:dyDescent="0.25">
      <c r="A13080" s="6"/>
    </row>
    <row r="13081" spans="1:1" ht="18.75" x14ac:dyDescent="0.25">
      <c r="A13081" s="6"/>
    </row>
    <row r="13082" spans="1:1" ht="18.75" x14ac:dyDescent="0.25">
      <c r="A13082" s="6"/>
    </row>
    <row r="13083" spans="1:1" ht="18.75" x14ac:dyDescent="0.25">
      <c r="A13083" s="6"/>
    </row>
    <row r="13084" spans="1:1" ht="18.75" x14ac:dyDescent="0.25">
      <c r="A13084" s="6"/>
    </row>
    <row r="13085" spans="1:1" ht="18.75" x14ac:dyDescent="0.25">
      <c r="A13085" s="6"/>
    </row>
    <row r="13086" spans="1:1" ht="18.75" x14ac:dyDescent="0.25">
      <c r="A13086" s="6"/>
    </row>
    <row r="13087" spans="1:1" ht="18.75" x14ac:dyDescent="0.25">
      <c r="A13087" s="6"/>
    </row>
    <row r="13088" spans="1:1" ht="18.75" x14ac:dyDescent="0.25">
      <c r="A13088" s="6"/>
    </row>
    <row r="13089" spans="1:1" ht="18.75" x14ac:dyDescent="0.25">
      <c r="A13089" s="6"/>
    </row>
    <row r="13090" spans="1:1" ht="18.75" x14ac:dyDescent="0.25">
      <c r="A13090" s="6"/>
    </row>
    <row r="13091" spans="1:1" ht="18.75" x14ac:dyDescent="0.25">
      <c r="A13091" s="6"/>
    </row>
    <row r="13092" spans="1:1" ht="18.75" x14ac:dyDescent="0.25">
      <c r="A13092" s="6"/>
    </row>
    <row r="13093" spans="1:1" ht="18.75" x14ac:dyDescent="0.25">
      <c r="A13093" s="6"/>
    </row>
    <row r="13094" spans="1:1" ht="18.75" x14ac:dyDescent="0.25">
      <c r="A13094" s="6"/>
    </row>
    <row r="13095" spans="1:1" ht="18.75" x14ac:dyDescent="0.25">
      <c r="A13095" s="6"/>
    </row>
    <row r="13096" spans="1:1" ht="18.75" x14ac:dyDescent="0.25">
      <c r="A13096" s="6"/>
    </row>
    <row r="13097" spans="1:1" ht="18.75" x14ac:dyDescent="0.25">
      <c r="A13097" s="6"/>
    </row>
    <row r="13098" spans="1:1" ht="18.75" x14ac:dyDescent="0.25">
      <c r="A13098" s="6"/>
    </row>
    <row r="13099" spans="1:1" ht="18.75" x14ac:dyDescent="0.25">
      <c r="A13099" s="6"/>
    </row>
    <row r="13100" spans="1:1" ht="18.75" x14ac:dyDescent="0.25">
      <c r="A13100" s="6"/>
    </row>
    <row r="13101" spans="1:1" ht="18.75" x14ac:dyDescent="0.25">
      <c r="A13101" s="6"/>
    </row>
    <row r="13102" spans="1:1" ht="18.75" x14ac:dyDescent="0.25">
      <c r="A13102" s="6"/>
    </row>
    <row r="13103" spans="1:1" ht="18.75" x14ac:dyDescent="0.25">
      <c r="A13103" s="6"/>
    </row>
    <row r="13104" spans="1:1" ht="18.75" x14ac:dyDescent="0.25">
      <c r="A13104" s="6"/>
    </row>
    <row r="13105" spans="1:1" ht="18.75" x14ac:dyDescent="0.25">
      <c r="A13105" s="6"/>
    </row>
    <row r="13106" spans="1:1" ht="18.75" x14ac:dyDescent="0.25">
      <c r="A13106" s="6"/>
    </row>
    <row r="13107" spans="1:1" ht="18.75" x14ac:dyDescent="0.25">
      <c r="A13107" s="6"/>
    </row>
    <row r="13108" spans="1:1" ht="18.75" x14ac:dyDescent="0.25">
      <c r="A13108" s="6"/>
    </row>
    <row r="13109" spans="1:1" ht="18.75" x14ac:dyDescent="0.25">
      <c r="A13109" s="6"/>
    </row>
    <row r="13110" spans="1:1" ht="18.75" x14ac:dyDescent="0.25">
      <c r="A13110" s="6"/>
    </row>
    <row r="13111" spans="1:1" ht="18.75" x14ac:dyDescent="0.25">
      <c r="A13111" s="6"/>
    </row>
    <row r="13112" spans="1:1" ht="18.75" x14ac:dyDescent="0.25">
      <c r="A13112" s="6"/>
    </row>
    <row r="13113" spans="1:1" ht="18.75" x14ac:dyDescent="0.25">
      <c r="A13113" s="6"/>
    </row>
    <row r="13114" spans="1:1" ht="18.75" x14ac:dyDescent="0.25">
      <c r="A13114" s="6"/>
    </row>
    <row r="13115" spans="1:1" ht="18.75" x14ac:dyDescent="0.25">
      <c r="A13115" s="6"/>
    </row>
    <row r="13116" spans="1:1" ht="18.75" x14ac:dyDescent="0.25">
      <c r="A13116" s="6"/>
    </row>
    <row r="13117" spans="1:1" ht="18.75" x14ac:dyDescent="0.25">
      <c r="A13117" s="6"/>
    </row>
    <row r="13118" spans="1:1" ht="18.75" x14ac:dyDescent="0.25">
      <c r="A13118" s="6"/>
    </row>
    <row r="13119" spans="1:1" ht="18.75" x14ac:dyDescent="0.25">
      <c r="A13119" s="6"/>
    </row>
    <row r="13120" spans="1:1" ht="18.75" x14ac:dyDescent="0.25">
      <c r="A13120" s="6"/>
    </row>
    <row r="13121" spans="1:1" ht="18.75" x14ac:dyDescent="0.25">
      <c r="A13121" s="6"/>
    </row>
    <row r="13122" spans="1:1" ht="18.75" x14ac:dyDescent="0.25">
      <c r="A13122" s="6"/>
    </row>
    <row r="13123" spans="1:1" ht="18.75" x14ac:dyDescent="0.25">
      <c r="A13123" s="6"/>
    </row>
    <row r="13124" spans="1:1" ht="18.75" x14ac:dyDescent="0.25">
      <c r="A13124" s="6"/>
    </row>
    <row r="13125" spans="1:1" ht="18.75" x14ac:dyDescent="0.25">
      <c r="A13125" s="6"/>
    </row>
    <row r="13126" spans="1:1" ht="18.75" x14ac:dyDescent="0.25">
      <c r="A13126" s="6"/>
    </row>
    <row r="13127" spans="1:1" ht="18.75" x14ac:dyDescent="0.25">
      <c r="A13127" s="6"/>
    </row>
    <row r="13128" spans="1:1" ht="18.75" x14ac:dyDescent="0.25">
      <c r="A13128" s="6"/>
    </row>
    <row r="13129" spans="1:1" ht="18.75" x14ac:dyDescent="0.25">
      <c r="A13129" s="6"/>
    </row>
    <row r="13130" spans="1:1" ht="18.75" x14ac:dyDescent="0.25">
      <c r="A13130" s="6"/>
    </row>
    <row r="13131" spans="1:1" ht="18.75" x14ac:dyDescent="0.25">
      <c r="A13131" s="6"/>
    </row>
    <row r="13132" spans="1:1" ht="18.75" x14ac:dyDescent="0.25">
      <c r="A13132" s="6"/>
    </row>
    <row r="13133" spans="1:1" ht="18.75" x14ac:dyDescent="0.25">
      <c r="A13133" s="6"/>
    </row>
    <row r="13134" spans="1:1" ht="18.75" x14ac:dyDescent="0.25">
      <c r="A13134" s="6"/>
    </row>
    <row r="13135" spans="1:1" ht="18.75" x14ac:dyDescent="0.25">
      <c r="A13135" s="6"/>
    </row>
    <row r="13136" spans="1:1" ht="18.75" x14ac:dyDescent="0.25">
      <c r="A13136" s="6"/>
    </row>
    <row r="13137" spans="1:1" ht="18.75" x14ac:dyDescent="0.25">
      <c r="A13137" s="6"/>
    </row>
    <row r="13138" spans="1:1" ht="18.75" x14ac:dyDescent="0.25">
      <c r="A13138" s="6"/>
    </row>
    <row r="13139" spans="1:1" ht="18.75" x14ac:dyDescent="0.25">
      <c r="A13139" s="6"/>
    </row>
    <row r="13140" spans="1:1" ht="18.75" x14ac:dyDescent="0.25">
      <c r="A13140" s="6"/>
    </row>
    <row r="13141" spans="1:1" ht="18.75" x14ac:dyDescent="0.25">
      <c r="A13141" s="6"/>
    </row>
    <row r="13142" spans="1:1" ht="18.75" x14ac:dyDescent="0.25">
      <c r="A13142" s="6"/>
    </row>
    <row r="13143" spans="1:1" ht="18.75" x14ac:dyDescent="0.25">
      <c r="A13143" s="6"/>
    </row>
    <row r="13144" spans="1:1" ht="18.75" x14ac:dyDescent="0.25">
      <c r="A13144" s="6"/>
    </row>
    <row r="13145" spans="1:1" ht="18.75" x14ac:dyDescent="0.25">
      <c r="A13145" s="6"/>
    </row>
    <row r="13146" spans="1:1" ht="18.75" x14ac:dyDescent="0.25">
      <c r="A13146" s="6"/>
    </row>
    <row r="13147" spans="1:1" ht="18.75" x14ac:dyDescent="0.25">
      <c r="A13147" s="6"/>
    </row>
    <row r="13148" spans="1:1" ht="18.75" x14ac:dyDescent="0.25">
      <c r="A13148" s="6"/>
    </row>
    <row r="13149" spans="1:1" ht="18.75" x14ac:dyDescent="0.25">
      <c r="A13149" s="6"/>
    </row>
    <row r="13150" spans="1:1" ht="18.75" x14ac:dyDescent="0.25">
      <c r="A13150" s="6"/>
    </row>
    <row r="13151" spans="1:1" ht="18.75" x14ac:dyDescent="0.25">
      <c r="A13151" s="6"/>
    </row>
    <row r="13152" spans="1:1" ht="18.75" x14ac:dyDescent="0.25">
      <c r="A13152" s="6"/>
    </row>
    <row r="13153" spans="1:1" ht="18.75" x14ac:dyDescent="0.25">
      <c r="A13153" s="6"/>
    </row>
    <row r="13154" spans="1:1" ht="18.75" x14ac:dyDescent="0.25">
      <c r="A13154" s="6"/>
    </row>
    <row r="13155" spans="1:1" ht="18.75" x14ac:dyDescent="0.25">
      <c r="A13155" s="6"/>
    </row>
    <row r="13156" spans="1:1" ht="18.75" x14ac:dyDescent="0.25">
      <c r="A13156" s="6"/>
    </row>
    <row r="13157" spans="1:1" ht="18.75" x14ac:dyDescent="0.25">
      <c r="A13157" s="6"/>
    </row>
    <row r="13158" spans="1:1" ht="18.75" x14ac:dyDescent="0.25">
      <c r="A13158" s="6"/>
    </row>
    <row r="13159" spans="1:1" ht="18.75" x14ac:dyDescent="0.25">
      <c r="A13159" s="6"/>
    </row>
    <row r="13160" spans="1:1" ht="18.75" x14ac:dyDescent="0.25">
      <c r="A13160" s="6"/>
    </row>
    <row r="13161" spans="1:1" ht="18.75" x14ac:dyDescent="0.25">
      <c r="A13161" s="6"/>
    </row>
    <row r="13162" spans="1:1" ht="18.75" x14ac:dyDescent="0.25">
      <c r="A13162" s="6"/>
    </row>
    <row r="13163" spans="1:1" ht="18.75" x14ac:dyDescent="0.25">
      <c r="A13163" s="6"/>
    </row>
    <row r="13164" spans="1:1" ht="18.75" x14ac:dyDescent="0.25">
      <c r="A13164" s="6"/>
    </row>
    <row r="13165" spans="1:1" ht="18.75" x14ac:dyDescent="0.25">
      <c r="A13165" s="6"/>
    </row>
    <row r="13166" spans="1:1" ht="18.75" x14ac:dyDescent="0.25">
      <c r="A13166" s="6"/>
    </row>
    <row r="13167" spans="1:1" ht="18.75" x14ac:dyDescent="0.25">
      <c r="A13167" s="6"/>
    </row>
    <row r="13168" spans="1:1" ht="18.75" x14ac:dyDescent="0.25">
      <c r="A13168" s="6"/>
    </row>
    <row r="13169" spans="1:1" ht="18.75" x14ac:dyDescent="0.25">
      <c r="A13169" s="6"/>
    </row>
    <row r="13170" spans="1:1" ht="18.75" x14ac:dyDescent="0.25">
      <c r="A13170" s="6"/>
    </row>
    <row r="13171" spans="1:1" ht="18.75" x14ac:dyDescent="0.25">
      <c r="A13171" s="6"/>
    </row>
    <row r="13172" spans="1:1" ht="18.75" x14ac:dyDescent="0.25">
      <c r="A13172" s="6"/>
    </row>
    <row r="13173" spans="1:1" ht="18.75" x14ac:dyDescent="0.25">
      <c r="A13173" s="6"/>
    </row>
    <row r="13174" spans="1:1" ht="18.75" x14ac:dyDescent="0.25">
      <c r="A13174" s="6"/>
    </row>
    <row r="13175" spans="1:1" ht="18.75" x14ac:dyDescent="0.25">
      <c r="A13175" s="6"/>
    </row>
    <row r="13176" spans="1:1" ht="18.75" x14ac:dyDescent="0.25">
      <c r="A13176" s="6"/>
    </row>
    <row r="13177" spans="1:1" ht="18.75" x14ac:dyDescent="0.25">
      <c r="A13177" s="6"/>
    </row>
    <row r="13178" spans="1:1" ht="18.75" x14ac:dyDescent="0.25">
      <c r="A13178" s="6"/>
    </row>
    <row r="13179" spans="1:1" ht="18.75" x14ac:dyDescent="0.25">
      <c r="A13179" s="6"/>
    </row>
    <row r="13180" spans="1:1" ht="18.75" x14ac:dyDescent="0.25">
      <c r="A13180" s="6"/>
    </row>
    <row r="13181" spans="1:1" ht="18.75" x14ac:dyDescent="0.25">
      <c r="A13181" s="6"/>
    </row>
    <row r="13182" spans="1:1" ht="18.75" x14ac:dyDescent="0.25">
      <c r="A13182" s="6"/>
    </row>
    <row r="13183" spans="1:1" ht="18.75" x14ac:dyDescent="0.25">
      <c r="A13183" s="6"/>
    </row>
    <row r="13184" spans="1:1" ht="18.75" x14ac:dyDescent="0.25">
      <c r="A13184" s="6"/>
    </row>
    <row r="13185" spans="1:1" ht="18.75" x14ac:dyDescent="0.25">
      <c r="A13185" s="6"/>
    </row>
    <row r="13186" spans="1:1" ht="18.75" x14ac:dyDescent="0.25">
      <c r="A13186" s="6"/>
    </row>
    <row r="13187" spans="1:1" ht="18.75" x14ac:dyDescent="0.25">
      <c r="A13187" s="6"/>
    </row>
    <row r="13188" spans="1:1" ht="18.75" x14ac:dyDescent="0.25">
      <c r="A13188" s="6"/>
    </row>
    <row r="13189" spans="1:1" ht="18.75" x14ac:dyDescent="0.25">
      <c r="A13189" s="6"/>
    </row>
    <row r="13190" spans="1:1" ht="18.75" x14ac:dyDescent="0.25">
      <c r="A13190" s="6"/>
    </row>
    <row r="13191" spans="1:1" ht="18.75" x14ac:dyDescent="0.25">
      <c r="A13191" s="6"/>
    </row>
    <row r="13192" spans="1:1" ht="18.75" x14ac:dyDescent="0.25">
      <c r="A13192" s="6"/>
    </row>
    <row r="13193" spans="1:1" ht="18.75" x14ac:dyDescent="0.25">
      <c r="A13193" s="6"/>
    </row>
    <row r="13194" spans="1:1" ht="18.75" x14ac:dyDescent="0.25">
      <c r="A13194" s="6"/>
    </row>
    <row r="13195" spans="1:1" ht="18.75" x14ac:dyDescent="0.25">
      <c r="A13195" s="6"/>
    </row>
    <row r="13196" spans="1:1" ht="18.75" x14ac:dyDescent="0.25">
      <c r="A13196" s="6"/>
    </row>
    <row r="13197" spans="1:1" ht="18.75" x14ac:dyDescent="0.25">
      <c r="A13197" s="6"/>
    </row>
    <row r="13198" spans="1:1" ht="18.75" x14ac:dyDescent="0.25">
      <c r="A13198" s="6"/>
    </row>
    <row r="13199" spans="1:1" ht="18.75" x14ac:dyDescent="0.25">
      <c r="A13199" s="6"/>
    </row>
    <row r="13200" spans="1:1" ht="18.75" x14ac:dyDescent="0.25">
      <c r="A13200" s="6"/>
    </row>
    <row r="13201" spans="1:1" ht="18.75" x14ac:dyDescent="0.25">
      <c r="A13201" s="6"/>
    </row>
    <row r="13202" spans="1:1" ht="18.75" x14ac:dyDescent="0.25">
      <c r="A13202" s="6"/>
    </row>
    <row r="13203" spans="1:1" ht="18.75" x14ac:dyDescent="0.25">
      <c r="A13203" s="6"/>
    </row>
    <row r="13204" spans="1:1" ht="18.75" x14ac:dyDescent="0.25">
      <c r="A13204" s="6"/>
    </row>
    <row r="13205" spans="1:1" ht="18.75" x14ac:dyDescent="0.25">
      <c r="A13205" s="6"/>
    </row>
    <row r="13206" spans="1:1" ht="18.75" x14ac:dyDescent="0.25">
      <c r="A13206" s="6"/>
    </row>
    <row r="13207" spans="1:1" ht="18.75" x14ac:dyDescent="0.25">
      <c r="A13207" s="6"/>
    </row>
    <row r="13208" spans="1:1" ht="18.75" x14ac:dyDescent="0.25">
      <c r="A13208" s="6"/>
    </row>
    <row r="13209" spans="1:1" ht="18.75" x14ac:dyDescent="0.25">
      <c r="A13209" s="6"/>
    </row>
    <row r="13210" spans="1:1" ht="18.75" x14ac:dyDescent="0.25">
      <c r="A13210" s="6"/>
    </row>
    <row r="13211" spans="1:1" ht="18.75" x14ac:dyDescent="0.25">
      <c r="A13211" s="6"/>
    </row>
    <row r="13212" spans="1:1" ht="18.75" x14ac:dyDescent="0.25">
      <c r="A13212" s="6"/>
    </row>
    <row r="13213" spans="1:1" ht="18.75" x14ac:dyDescent="0.25">
      <c r="A13213" s="6"/>
    </row>
    <row r="13214" spans="1:1" ht="18.75" x14ac:dyDescent="0.25">
      <c r="A13214" s="6"/>
    </row>
    <row r="13215" spans="1:1" ht="18.75" x14ac:dyDescent="0.25">
      <c r="A13215" s="6"/>
    </row>
    <row r="13216" spans="1:1" ht="18.75" x14ac:dyDescent="0.25">
      <c r="A13216" s="6"/>
    </row>
    <row r="13217" spans="1:1" ht="18.75" x14ac:dyDescent="0.25">
      <c r="A13217" s="6"/>
    </row>
    <row r="13218" spans="1:1" ht="18.75" x14ac:dyDescent="0.25">
      <c r="A13218" s="6"/>
    </row>
    <row r="13219" spans="1:1" ht="18.75" x14ac:dyDescent="0.25">
      <c r="A13219" s="6"/>
    </row>
    <row r="13220" spans="1:1" ht="18.75" x14ac:dyDescent="0.25">
      <c r="A13220" s="6"/>
    </row>
    <row r="13221" spans="1:1" ht="18.75" x14ac:dyDescent="0.25">
      <c r="A13221" s="6"/>
    </row>
    <row r="13222" spans="1:1" ht="18.75" x14ac:dyDescent="0.25">
      <c r="A13222" s="6"/>
    </row>
    <row r="13223" spans="1:1" ht="18.75" x14ac:dyDescent="0.25">
      <c r="A13223" s="6"/>
    </row>
    <row r="13224" spans="1:1" ht="18.75" x14ac:dyDescent="0.25">
      <c r="A13224" s="6"/>
    </row>
    <row r="13225" spans="1:1" ht="18.75" x14ac:dyDescent="0.25">
      <c r="A13225" s="6"/>
    </row>
    <row r="13226" spans="1:1" ht="18.75" x14ac:dyDescent="0.25">
      <c r="A13226" s="6"/>
    </row>
    <row r="13227" spans="1:1" ht="18.75" x14ac:dyDescent="0.25">
      <c r="A13227" s="6"/>
    </row>
    <row r="13228" spans="1:1" ht="18.75" x14ac:dyDescent="0.25">
      <c r="A13228" s="6"/>
    </row>
    <row r="13229" spans="1:1" ht="18.75" x14ac:dyDescent="0.25">
      <c r="A13229" s="6"/>
    </row>
    <row r="13230" spans="1:1" ht="18.75" x14ac:dyDescent="0.25">
      <c r="A13230" s="6"/>
    </row>
    <row r="13231" spans="1:1" ht="18.75" x14ac:dyDescent="0.25">
      <c r="A13231" s="6"/>
    </row>
    <row r="13232" spans="1:1" ht="18.75" x14ac:dyDescent="0.25">
      <c r="A13232" s="6"/>
    </row>
    <row r="13233" spans="1:1" ht="18.75" x14ac:dyDescent="0.25">
      <c r="A13233" s="6"/>
    </row>
    <row r="13234" spans="1:1" ht="18.75" x14ac:dyDescent="0.25">
      <c r="A13234" s="6"/>
    </row>
    <row r="13235" spans="1:1" ht="18.75" x14ac:dyDescent="0.25">
      <c r="A13235" s="6"/>
    </row>
    <row r="13236" spans="1:1" ht="18.75" x14ac:dyDescent="0.25">
      <c r="A13236" s="6"/>
    </row>
    <row r="13237" spans="1:1" ht="18.75" x14ac:dyDescent="0.25">
      <c r="A13237" s="6"/>
    </row>
    <row r="13238" spans="1:1" ht="18.75" x14ac:dyDescent="0.25">
      <c r="A13238" s="6"/>
    </row>
    <row r="13239" spans="1:1" ht="18.75" x14ac:dyDescent="0.25">
      <c r="A13239" s="6"/>
    </row>
    <row r="13240" spans="1:1" ht="18.75" x14ac:dyDescent="0.25">
      <c r="A13240" s="6"/>
    </row>
    <row r="13241" spans="1:1" ht="18.75" x14ac:dyDescent="0.25">
      <c r="A13241" s="6"/>
    </row>
    <row r="13242" spans="1:1" ht="18.75" x14ac:dyDescent="0.25">
      <c r="A13242" s="6"/>
    </row>
    <row r="13243" spans="1:1" ht="18.75" x14ac:dyDescent="0.25">
      <c r="A13243" s="6"/>
    </row>
    <row r="13244" spans="1:1" ht="18.75" x14ac:dyDescent="0.25">
      <c r="A13244" s="6"/>
    </row>
    <row r="13245" spans="1:1" ht="18.75" x14ac:dyDescent="0.25">
      <c r="A13245" s="6"/>
    </row>
    <row r="13246" spans="1:1" ht="18.75" x14ac:dyDescent="0.25">
      <c r="A13246" s="6"/>
    </row>
    <row r="13247" spans="1:1" ht="18.75" x14ac:dyDescent="0.25">
      <c r="A13247" s="6"/>
    </row>
    <row r="13248" spans="1:1" ht="18.75" x14ac:dyDescent="0.25">
      <c r="A13248" s="6"/>
    </row>
    <row r="13249" spans="1:1" ht="18.75" x14ac:dyDescent="0.25">
      <c r="A13249" s="6"/>
    </row>
    <row r="13250" spans="1:1" ht="18.75" x14ac:dyDescent="0.25">
      <c r="A13250" s="6"/>
    </row>
    <row r="13251" spans="1:1" ht="18.75" x14ac:dyDescent="0.25">
      <c r="A13251" s="6"/>
    </row>
    <row r="13252" spans="1:1" ht="18.75" x14ac:dyDescent="0.25">
      <c r="A13252" s="6"/>
    </row>
    <row r="13253" spans="1:1" ht="18.75" x14ac:dyDescent="0.25">
      <c r="A13253" s="6"/>
    </row>
    <row r="13254" spans="1:1" ht="18.75" x14ac:dyDescent="0.25">
      <c r="A13254" s="6"/>
    </row>
    <row r="13255" spans="1:1" ht="18.75" x14ac:dyDescent="0.25">
      <c r="A13255" s="6"/>
    </row>
    <row r="13256" spans="1:1" ht="18.75" x14ac:dyDescent="0.25">
      <c r="A13256" s="6"/>
    </row>
    <row r="13257" spans="1:1" ht="18.75" x14ac:dyDescent="0.25">
      <c r="A13257" s="6"/>
    </row>
    <row r="13258" spans="1:1" ht="18.75" x14ac:dyDescent="0.25">
      <c r="A13258" s="6"/>
    </row>
    <row r="13259" spans="1:1" ht="18.75" x14ac:dyDescent="0.25">
      <c r="A13259" s="6"/>
    </row>
    <row r="13260" spans="1:1" ht="18.75" x14ac:dyDescent="0.25">
      <c r="A13260" s="6"/>
    </row>
    <row r="13261" spans="1:1" ht="18.75" x14ac:dyDescent="0.25">
      <c r="A13261" s="6"/>
    </row>
    <row r="13262" spans="1:1" ht="18.75" x14ac:dyDescent="0.25">
      <c r="A13262" s="6"/>
    </row>
    <row r="13263" spans="1:1" ht="18.75" x14ac:dyDescent="0.25">
      <c r="A13263" s="6"/>
    </row>
    <row r="13264" spans="1:1" ht="18.75" x14ac:dyDescent="0.25">
      <c r="A13264" s="6"/>
    </row>
    <row r="13265" spans="1:1" ht="18.75" x14ac:dyDescent="0.25">
      <c r="A13265" s="6"/>
    </row>
    <row r="13266" spans="1:1" ht="18.75" x14ac:dyDescent="0.25">
      <c r="A13266" s="6"/>
    </row>
    <row r="13267" spans="1:1" ht="18.75" x14ac:dyDescent="0.25">
      <c r="A13267" s="6"/>
    </row>
    <row r="13268" spans="1:1" ht="18.75" x14ac:dyDescent="0.25">
      <c r="A13268" s="6"/>
    </row>
    <row r="13269" spans="1:1" ht="18.75" x14ac:dyDescent="0.25">
      <c r="A13269" s="6"/>
    </row>
    <row r="13270" spans="1:1" ht="18.75" x14ac:dyDescent="0.25">
      <c r="A13270" s="6"/>
    </row>
    <row r="13271" spans="1:1" ht="18.75" x14ac:dyDescent="0.25">
      <c r="A13271" s="6"/>
    </row>
    <row r="13272" spans="1:1" ht="18.75" x14ac:dyDescent="0.25">
      <c r="A13272" s="6"/>
    </row>
    <row r="13273" spans="1:1" ht="18.75" x14ac:dyDescent="0.25">
      <c r="A13273" s="6"/>
    </row>
    <row r="13274" spans="1:1" ht="18.75" x14ac:dyDescent="0.25">
      <c r="A13274" s="6"/>
    </row>
    <row r="13275" spans="1:1" ht="18.75" x14ac:dyDescent="0.25">
      <c r="A13275" s="6"/>
    </row>
    <row r="13276" spans="1:1" ht="18.75" x14ac:dyDescent="0.25">
      <c r="A13276" s="6"/>
    </row>
    <row r="13277" spans="1:1" ht="18.75" x14ac:dyDescent="0.25">
      <c r="A13277" s="6"/>
    </row>
    <row r="13278" spans="1:1" ht="18.75" x14ac:dyDescent="0.25">
      <c r="A13278" s="6"/>
    </row>
    <row r="13279" spans="1:1" ht="18.75" x14ac:dyDescent="0.25">
      <c r="A13279" s="6"/>
    </row>
    <row r="13280" spans="1:1" ht="18.75" x14ac:dyDescent="0.25">
      <c r="A13280" s="6"/>
    </row>
    <row r="13281" spans="1:1" ht="18.75" x14ac:dyDescent="0.25">
      <c r="A13281" s="6"/>
    </row>
    <row r="13282" spans="1:1" ht="18.75" x14ac:dyDescent="0.25">
      <c r="A13282" s="6"/>
    </row>
    <row r="13283" spans="1:1" ht="18.75" x14ac:dyDescent="0.25">
      <c r="A13283" s="6"/>
    </row>
    <row r="13284" spans="1:1" ht="18.75" x14ac:dyDescent="0.25">
      <c r="A13284" s="6"/>
    </row>
    <row r="13285" spans="1:1" ht="18.75" x14ac:dyDescent="0.25">
      <c r="A13285" s="6"/>
    </row>
    <row r="13286" spans="1:1" ht="18.75" x14ac:dyDescent="0.25">
      <c r="A13286" s="6"/>
    </row>
    <row r="13287" spans="1:1" ht="18.75" x14ac:dyDescent="0.25">
      <c r="A13287" s="6"/>
    </row>
    <row r="13288" spans="1:1" ht="18.75" x14ac:dyDescent="0.25">
      <c r="A13288" s="6"/>
    </row>
    <row r="13289" spans="1:1" ht="18.75" x14ac:dyDescent="0.25">
      <c r="A13289" s="6"/>
    </row>
    <row r="13290" spans="1:1" ht="18.75" x14ac:dyDescent="0.25">
      <c r="A13290" s="6"/>
    </row>
    <row r="13291" spans="1:1" ht="18.75" x14ac:dyDescent="0.25">
      <c r="A13291" s="6"/>
    </row>
    <row r="13292" spans="1:1" ht="18.75" x14ac:dyDescent="0.25">
      <c r="A13292" s="6"/>
    </row>
    <row r="13293" spans="1:1" ht="18.75" x14ac:dyDescent="0.25">
      <c r="A13293" s="6"/>
    </row>
    <row r="13294" spans="1:1" ht="18.75" x14ac:dyDescent="0.25">
      <c r="A13294" s="6"/>
    </row>
    <row r="13295" spans="1:1" ht="18.75" x14ac:dyDescent="0.25">
      <c r="A13295" s="6"/>
    </row>
    <row r="13296" spans="1:1" ht="18.75" x14ac:dyDescent="0.25">
      <c r="A13296" s="6"/>
    </row>
    <row r="13297" spans="1:1" ht="18.75" x14ac:dyDescent="0.25">
      <c r="A13297" s="6"/>
    </row>
    <row r="13298" spans="1:1" ht="18.75" x14ac:dyDescent="0.25">
      <c r="A13298" s="6"/>
    </row>
    <row r="13299" spans="1:1" ht="18.75" x14ac:dyDescent="0.25">
      <c r="A13299" s="6"/>
    </row>
    <row r="13300" spans="1:1" ht="18.75" x14ac:dyDescent="0.25">
      <c r="A13300" s="6"/>
    </row>
    <row r="13301" spans="1:1" ht="18.75" x14ac:dyDescent="0.25">
      <c r="A13301" s="6"/>
    </row>
    <row r="13302" spans="1:1" ht="18.75" x14ac:dyDescent="0.25">
      <c r="A13302" s="6"/>
    </row>
    <row r="13303" spans="1:1" ht="18.75" x14ac:dyDescent="0.25">
      <c r="A13303" s="6"/>
    </row>
    <row r="13304" spans="1:1" ht="18.75" x14ac:dyDescent="0.25">
      <c r="A13304" s="6"/>
    </row>
    <row r="13305" spans="1:1" ht="18.75" x14ac:dyDescent="0.25">
      <c r="A13305" s="6"/>
    </row>
    <row r="13306" spans="1:1" ht="18.75" x14ac:dyDescent="0.25">
      <c r="A13306" s="6"/>
    </row>
    <row r="13307" spans="1:1" ht="18.75" x14ac:dyDescent="0.25">
      <c r="A13307" s="6"/>
    </row>
    <row r="13308" spans="1:1" ht="18.75" x14ac:dyDescent="0.25">
      <c r="A13308" s="6"/>
    </row>
    <row r="13309" spans="1:1" ht="18.75" x14ac:dyDescent="0.25">
      <c r="A13309" s="6"/>
    </row>
    <row r="13310" spans="1:1" ht="18.75" x14ac:dyDescent="0.25">
      <c r="A13310" s="6"/>
    </row>
    <row r="13311" spans="1:1" ht="18.75" x14ac:dyDescent="0.25">
      <c r="A13311" s="6"/>
    </row>
    <row r="13312" spans="1:1" ht="18.75" x14ac:dyDescent="0.25">
      <c r="A13312" s="6"/>
    </row>
    <row r="13313" spans="1:1" ht="18.75" x14ac:dyDescent="0.25">
      <c r="A13313" s="6"/>
    </row>
    <row r="13314" spans="1:1" ht="18.75" x14ac:dyDescent="0.25">
      <c r="A13314" s="6"/>
    </row>
    <row r="13315" spans="1:1" ht="18.75" x14ac:dyDescent="0.25">
      <c r="A13315" s="6"/>
    </row>
    <row r="13316" spans="1:1" ht="18.75" x14ac:dyDescent="0.25">
      <c r="A13316" s="6"/>
    </row>
    <row r="13317" spans="1:1" ht="18.75" x14ac:dyDescent="0.25">
      <c r="A13317" s="6"/>
    </row>
    <row r="13318" spans="1:1" ht="18.75" x14ac:dyDescent="0.25">
      <c r="A13318" s="6"/>
    </row>
    <row r="13319" spans="1:1" ht="18.75" x14ac:dyDescent="0.25">
      <c r="A13319" s="6"/>
    </row>
    <row r="13320" spans="1:1" ht="18.75" x14ac:dyDescent="0.25">
      <c r="A13320" s="6"/>
    </row>
    <row r="13321" spans="1:1" ht="18.75" x14ac:dyDescent="0.25">
      <c r="A13321" s="6"/>
    </row>
    <row r="13322" spans="1:1" ht="18.75" x14ac:dyDescent="0.25">
      <c r="A13322" s="6"/>
    </row>
    <row r="13323" spans="1:1" ht="18.75" x14ac:dyDescent="0.25">
      <c r="A13323" s="6"/>
    </row>
    <row r="13324" spans="1:1" ht="18.75" x14ac:dyDescent="0.25">
      <c r="A13324" s="6"/>
    </row>
    <row r="13325" spans="1:1" ht="18.75" x14ac:dyDescent="0.25">
      <c r="A13325" s="6"/>
    </row>
    <row r="13326" spans="1:1" ht="18.75" x14ac:dyDescent="0.25">
      <c r="A13326" s="6"/>
    </row>
    <row r="13327" spans="1:1" ht="18.75" x14ac:dyDescent="0.25">
      <c r="A13327" s="6"/>
    </row>
    <row r="13328" spans="1:1" ht="18.75" x14ac:dyDescent="0.25">
      <c r="A13328" s="6"/>
    </row>
    <row r="13329" spans="1:1" ht="18.75" x14ac:dyDescent="0.25">
      <c r="A13329" s="6"/>
    </row>
    <row r="13330" spans="1:1" ht="18.75" x14ac:dyDescent="0.25">
      <c r="A13330" s="6"/>
    </row>
    <row r="13331" spans="1:1" ht="18.75" x14ac:dyDescent="0.25">
      <c r="A13331" s="6"/>
    </row>
    <row r="13332" spans="1:1" ht="18.75" x14ac:dyDescent="0.25">
      <c r="A13332" s="6"/>
    </row>
    <row r="13333" spans="1:1" ht="18.75" x14ac:dyDescent="0.25">
      <c r="A13333" s="6"/>
    </row>
    <row r="13334" spans="1:1" ht="18.75" x14ac:dyDescent="0.25">
      <c r="A13334" s="6"/>
    </row>
    <row r="13335" spans="1:1" ht="18.75" x14ac:dyDescent="0.25">
      <c r="A13335" s="6"/>
    </row>
    <row r="13336" spans="1:1" ht="18.75" x14ac:dyDescent="0.25">
      <c r="A13336" s="6"/>
    </row>
    <row r="13337" spans="1:1" ht="18.75" x14ac:dyDescent="0.25">
      <c r="A13337" s="6"/>
    </row>
    <row r="13338" spans="1:1" ht="18.75" x14ac:dyDescent="0.25">
      <c r="A13338" s="6"/>
    </row>
    <row r="13339" spans="1:1" ht="18.75" x14ac:dyDescent="0.25">
      <c r="A13339" s="6"/>
    </row>
    <row r="13340" spans="1:1" ht="18.75" x14ac:dyDescent="0.25">
      <c r="A13340" s="6"/>
    </row>
    <row r="13341" spans="1:1" ht="18.75" x14ac:dyDescent="0.25">
      <c r="A13341" s="6"/>
    </row>
    <row r="13342" spans="1:1" ht="18.75" x14ac:dyDescent="0.25">
      <c r="A13342" s="6"/>
    </row>
    <row r="13343" spans="1:1" ht="18.75" x14ac:dyDescent="0.25">
      <c r="A13343" s="6"/>
    </row>
    <row r="13344" spans="1:1" ht="18.75" x14ac:dyDescent="0.25">
      <c r="A13344" s="6"/>
    </row>
    <row r="13345" spans="1:1" ht="18.75" x14ac:dyDescent="0.25">
      <c r="A13345" s="6"/>
    </row>
    <row r="13346" spans="1:1" ht="18.75" x14ac:dyDescent="0.25">
      <c r="A13346" s="6"/>
    </row>
    <row r="13347" spans="1:1" ht="18.75" x14ac:dyDescent="0.25">
      <c r="A13347" s="6"/>
    </row>
    <row r="13348" spans="1:1" ht="18.75" x14ac:dyDescent="0.25">
      <c r="A13348" s="6"/>
    </row>
    <row r="13349" spans="1:1" ht="18.75" x14ac:dyDescent="0.25">
      <c r="A13349" s="6"/>
    </row>
    <row r="13350" spans="1:1" ht="18.75" x14ac:dyDescent="0.25">
      <c r="A13350" s="6"/>
    </row>
    <row r="13351" spans="1:1" ht="18.75" x14ac:dyDescent="0.25">
      <c r="A13351" s="6"/>
    </row>
    <row r="13352" spans="1:1" ht="18.75" x14ac:dyDescent="0.25">
      <c r="A13352" s="6"/>
    </row>
    <row r="13353" spans="1:1" ht="18.75" x14ac:dyDescent="0.25">
      <c r="A13353" s="6"/>
    </row>
    <row r="13354" spans="1:1" ht="18.75" x14ac:dyDescent="0.25">
      <c r="A13354" s="6"/>
    </row>
    <row r="13355" spans="1:1" ht="18.75" x14ac:dyDescent="0.25">
      <c r="A13355" s="6"/>
    </row>
    <row r="13356" spans="1:1" ht="18.75" x14ac:dyDescent="0.25">
      <c r="A13356" s="6"/>
    </row>
    <row r="13357" spans="1:1" ht="18.75" x14ac:dyDescent="0.25">
      <c r="A13357" s="6"/>
    </row>
    <row r="13358" spans="1:1" ht="18.75" x14ac:dyDescent="0.25">
      <c r="A13358" s="6"/>
    </row>
    <row r="13359" spans="1:1" ht="18.75" x14ac:dyDescent="0.25">
      <c r="A13359" s="6"/>
    </row>
    <row r="13360" spans="1:1" ht="18.75" x14ac:dyDescent="0.25">
      <c r="A13360" s="6"/>
    </row>
    <row r="13361" spans="1:1" ht="18.75" x14ac:dyDescent="0.25">
      <c r="A13361" s="6"/>
    </row>
    <row r="13362" spans="1:1" ht="18.75" x14ac:dyDescent="0.25">
      <c r="A13362" s="6"/>
    </row>
    <row r="13363" spans="1:1" ht="18.75" x14ac:dyDescent="0.25">
      <c r="A13363" s="6"/>
    </row>
    <row r="13364" spans="1:1" ht="18.75" x14ac:dyDescent="0.25">
      <c r="A13364" s="6"/>
    </row>
    <row r="13365" spans="1:1" ht="18.75" x14ac:dyDescent="0.25">
      <c r="A13365" s="6"/>
    </row>
    <row r="13366" spans="1:1" ht="18.75" x14ac:dyDescent="0.25">
      <c r="A13366" s="6"/>
    </row>
    <row r="13367" spans="1:1" ht="18.75" x14ac:dyDescent="0.25">
      <c r="A13367" s="6"/>
    </row>
    <row r="13368" spans="1:1" ht="18.75" x14ac:dyDescent="0.25">
      <c r="A13368" s="6"/>
    </row>
    <row r="13369" spans="1:1" ht="18.75" x14ac:dyDescent="0.25">
      <c r="A13369" s="6"/>
    </row>
    <row r="13370" spans="1:1" ht="18.75" x14ac:dyDescent="0.25">
      <c r="A13370" s="6"/>
    </row>
    <row r="13371" spans="1:1" ht="18.75" x14ac:dyDescent="0.25">
      <c r="A13371" s="6"/>
    </row>
    <row r="13372" spans="1:1" ht="18.75" x14ac:dyDescent="0.25">
      <c r="A13372" s="6"/>
    </row>
    <row r="13373" spans="1:1" ht="18.75" x14ac:dyDescent="0.25">
      <c r="A13373" s="6"/>
    </row>
    <row r="13374" spans="1:1" ht="18.75" x14ac:dyDescent="0.25">
      <c r="A13374" s="6"/>
    </row>
    <row r="13375" spans="1:1" ht="18.75" x14ac:dyDescent="0.25">
      <c r="A13375" s="6"/>
    </row>
    <row r="13376" spans="1:1" ht="18.75" x14ac:dyDescent="0.25">
      <c r="A13376" s="6"/>
    </row>
    <row r="13377" spans="1:1" ht="18.75" x14ac:dyDescent="0.25">
      <c r="A13377" s="6"/>
    </row>
    <row r="13378" spans="1:1" ht="18.75" x14ac:dyDescent="0.25">
      <c r="A13378" s="6"/>
    </row>
    <row r="13379" spans="1:1" ht="18.75" x14ac:dyDescent="0.25">
      <c r="A13379" s="6"/>
    </row>
    <row r="13380" spans="1:1" ht="18.75" x14ac:dyDescent="0.25">
      <c r="A13380" s="6"/>
    </row>
    <row r="13381" spans="1:1" ht="18.75" x14ac:dyDescent="0.25">
      <c r="A13381" s="6"/>
    </row>
    <row r="13382" spans="1:1" ht="18.75" x14ac:dyDescent="0.25">
      <c r="A13382" s="6"/>
    </row>
    <row r="13383" spans="1:1" ht="18.75" x14ac:dyDescent="0.25">
      <c r="A13383" s="6"/>
    </row>
    <row r="13384" spans="1:1" ht="18.75" x14ac:dyDescent="0.25">
      <c r="A13384" s="6"/>
    </row>
    <row r="13385" spans="1:1" ht="18.75" x14ac:dyDescent="0.25">
      <c r="A13385" s="6"/>
    </row>
    <row r="13386" spans="1:1" ht="18.75" x14ac:dyDescent="0.25">
      <c r="A13386" s="6"/>
    </row>
    <row r="13387" spans="1:1" ht="18.75" x14ac:dyDescent="0.25">
      <c r="A13387" s="6"/>
    </row>
    <row r="13388" spans="1:1" ht="18.75" x14ac:dyDescent="0.25">
      <c r="A13388" s="6"/>
    </row>
    <row r="13389" spans="1:1" ht="18.75" x14ac:dyDescent="0.25">
      <c r="A13389" s="6"/>
    </row>
    <row r="13390" spans="1:1" ht="18.75" x14ac:dyDescent="0.25">
      <c r="A13390" s="6"/>
    </row>
    <row r="13391" spans="1:1" ht="18.75" x14ac:dyDescent="0.25">
      <c r="A13391" s="6"/>
    </row>
    <row r="13392" spans="1:1" ht="18.75" x14ac:dyDescent="0.25">
      <c r="A13392" s="6"/>
    </row>
    <row r="13393" spans="1:1" ht="18.75" x14ac:dyDescent="0.25">
      <c r="A13393" s="6"/>
    </row>
    <row r="13394" spans="1:1" ht="18.75" x14ac:dyDescent="0.25">
      <c r="A13394" s="6"/>
    </row>
    <row r="13395" spans="1:1" ht="18.75" x14ac:dyDescent="0.25">
      <c r="A13395" s="6"/>
    </row>
    <row r="13396" spans="1:1" ht="18.75" x14ac:dyDescent="0.25">
      <c r="A13396" s="6"/>
    </row>
    <row r="13397" spans="1:1" ht="18.75" x14ac:dyDescent="0.25">
      <c r="A13397" s="6"/>
    </row>
    <row r="13398" spans="1:1" ht="18.75" x14ac:dyDescent="0.25">
      <c r="A13398" s="6"/>
    </row>
    <row r="13399" spans="1:1" ht="18.75" x14ac:dyDescent="0.25">
      <c r="A13399" s="6"/>
    </row>
    <row r="13400" spans="1:1" ht="18.75" x14ac:dyDescent="0.25">
      <c r="A13400" s="6"/>
    </row>
    <row r="13401" spans="1:1" ht="18.75" x14ac:dyDescent="0.25">
      <c r="A13401" s="6"/>
    </row>
    <row r="13402" spans="1:1" ht="18.75" x14ac:dyDescent="0.25">
      <c r="A13402" s="6"/>
    </row>
    <row r="13403" spans="1:1" ht="18.75" x14ac:dyDescent="0.25">
      <c r="A13403" s="6"/>
    </row>
    <row r="13404" spans="1:1" ht="18.75" x14ac:dyDescent="0.25">
      <c r="A13404" s="6"/>
    </row>
    <row r="13405" spans="1:1" ht="18.75" x14ac:dyDescent="0.25">
      <c r="A13405" s="6"/>
    </row>
    <row r="13406" spans="1:1" ht="18.75" x14ac:dyDescent="0.25">
      <c r="A13406" s="6"/>
    </row>
    <row r="13407" spans="1:1" ht="18.75" x14ac:dyDescent="0.25">
      <c r="A13407" s="6"/>
    </row>
    <row r="13408" spans="1:1" ht="18.75" x14ac:dyDescent="0.25">
      <c r="A13408" s="6"/>
    </row>
    <row r="13409" spans="1:1" ht="18.75" x14ac:dyDescent="0.25">
      <c r="A13409" s="6"/>
    </row>
    <row r="13410" spans="1:1" ht="18.75" x14ac:dyDescent="0.25">
      <c r="A13410" s="6"/>
    </row>
    <row r="13411" spans="1:1" ht="18.75" x14ac:dyDescent="0.25">
      <c r="A13411" s="6"/>
    </row>
    <row r="13412" spans="1:1" ht="18.75" x14ac:dyDescent="0.25">
      <c r="A13412" s="6"/>
    </row>
    <row r="13413" spans="1:1" ht="18.75" x14ac:dyDescent="0.25">
      <c r="A13413" s="6"/>
    </row>
    <row r="13414" spans="1:1" ht="18.75" x14ac:dyDescent="0.25">
      <c r="A13414" s="6"/>
    </row>
    <row r="13415" spans="1:1" ht="18.75" x14ac:dyDescent="0.25">
      <c r="A13415" s="6"/>
    </row>
    <row r="13416" spans="1:1" ht="18.75" x14ac:dyDescent="0.25">
      <c r="A13416" s="6"/>
    </row>
    <row r="13417" spans="1:1" ht="18.75" x14ac:dyDescent="0.25">
      <c r="A13417" s="6"/>
    </row>
    <row r="13418" spans="1:1" ht="18.75" x14ac:dyDescent="0.25">
      <c r="A13418" s="6"/>
    </row>
    <row r="13419" spans="1:1" ht="18.75" x14ac:dyDescent="0.25">
      <c r="A13419" s="6"/>
    </row>
    <row r="13420" spans="1:1" ht="18.75" x14ac:dyDescent="0.25">
      <c r="A13420" s="6"/>
    </row>
    <row r="13421" spans="1:1" ht="18.75" x14ac:dyDescent="0.25">
      <c r="A13421" s="6"/>
    </row>
    <row r="13422" spans="1:1" ht="18.75" x14ac:dyDescent="0.25">
      <c r="A13422" s="6"/>
    </row>
    <row r="13423" spans="1:1" ht="18.75" x14ac:dyDescent="0.25">
      <c r="A13423" s="6"/>
    </row>
    <row r="13424" spans="1:1" ht="18.75" x14ac:dyDescent="0.25">
      <c r="A13424" s="6"/>
    </row>
    <row r="13425" spans="1:1" ht="18.75" x14ac:dyDescent="0.25">
      <c r="A13425" s="6"/>
    </row>
    <row r="13426" spans="1:1" ht="18.75" x14ac:dyDescent="0.25">
      <c r="A13426" s="6"/>
    </row>
    <row r="13427" spans="1:1" ht="18.75" x14ac:dyDescent="0.25">
      <c r="A13427" s="6"/>
    </row>
    <row r="13428" spans="1:1" ht="18.75" x14ac:dyDescent="0.25">
      <c r="A13428" s="6"/>
    </row>
    <row r="13429" spans="1:1" ht="18.75" x14ac:dyDescent="0.25">
      <c r="A13429" s="6"/>
    </row>
    <row r="13430" spans="1:1" ht="18.75" x14ac:dyDescent="0.25">
      <c r="A13430" s="6"/>
    </row>
    <row r="13431" spans="1:1" ht="18.75" x14ac:dyDescent="0.25">
      <c r="A13431" s="6"/>
    </row>
    <row r="13432" spans="1:1" ht="18.75" x14ac:dyDescent="0.25">
      <c r="A13432" s="6"/>
    </row>
    <row r="13433" spans="1:1" ht="18.75" x14ac:dyDescent="0.25">
      <c r="A13433" s="6"/>
    </row>
    <row r="13434" spans="1:1" ht="18.75" x14ac:dyDescent="0.25">
      <c r="A13434" s="6"/>
    </row>
    <row r="13435" spans="1:1" ht="18.75" x14ac:dyDescent="0.25">
      <c r="A13435" s="6"/>
    </row>
    <row r="13436" spans="1:1" ht="18.75" x14ac:dyDescent="0.25">
      <c r="A13436" s="6"/>
    </row>
    <row r="13437" spans="1:1" ht="18.75" x14ac:dyDescent="0.25">
      <c r="A13437" s="6"/>
    </row>
    <row r="13438" spans="1:1" ht="18.75" x14ac:dyDescent="0.25">
      <c r="A13438" s="6"/>
    </row>
    <row r="13439" spans="1:1" ht="18.75" x14ac:dyDescent="0.25">
      <c r="A13439" s="6"/>
    </row>
    <row r="13440" spans="1:1" ht="18.75" x14ac:dyDescent="0.25">
      <c r="A13440" s="6"/>
    </row>
    <row r="13441" spans="1:1" ht="18.75" x14ac:dyDescent="0.25">
      <c r="A13441" s="6"/>
    </row>
    <row r="13442" spans="1:1" ht="18.75" x14ac:dyDescent="0.25">
      <c r="A13442" s="6"/>
    </row>
    <row r="13443" spans="1:1" ht="18.75" x14ac:dyDescent="0.25">
      <c r="A13443" s="6"/>
    </row>
    <row r="13444" spans="1:1" ht="18.75" x14ac:dyDescent="0.25">
      <c r="A13444" s="6"/>
    </row>
    <row r="13445" spans="1:1" ht="18.75" x14ac:dyDescent="0.25">
      <c r="A13445" s="6"/>
    </row>
    <row r="13446" spans="1:1" ht="18.75" x14ac:dyDescent="0.25">
      <c r="A13446" s="6"/>
    </row>
    <row r="13447" spans="1:1" ht="18.75" x14ac:dyDescent="0.25">
      <c r="A13447" s="6"/>
    </row>
    <row r="13448" spans="1:1" ht="18.75" x14ac:dyDescent="0.25">
      <c r="A13448" s="6"/>
    </row>
    <row r="13449" spans="1:1" ht="18.75" x14ac:dyDescent="0.25">
      <c r="A13449" s="6"/>
    </row>
    <row r="13450" spans="1:1" ht="18.75" x14ac:dyDescent="0.25">
      <c r="A13450" s="6"/>
    </row>
    <row r="13451" spans="1:1" ht="18.75" x14ac:dyDescent="0.25">
      <c r="A13451" s="6"/>
    </row>
    <row r="13452" spans="1:1" ht="18.75" x14ac:dyDescent="0.25">
      <c r="A13452" s="6"/>
    </row>
    <row r="13453" spans="1:1" ht="18.75" x14ac:dyDescent="0.25">
      <c r="A13453" s="6"/>
    </row>
    <row r="13454" spans="1:1" ht="18.75" x14ac:dyDescent="0.25">
      <c r="A13454" s="6"/>
    </row>
    <row r="13455" spans="1:1" ht="18.75" x14ac:dyDescent="0.25">
      <c r="A13455" s="6"/>
    </row>
    <row r="13456" spans="1:1" ht="18.75" x14ac:dyDescent="0.25">
      <c r="A13456" s="6"/>
    </row>
    <row r="13457" spans="1:1" ht="18.75" x14ac:dyDescent="0.25">
      <c r="A13457" s="6"/>
    </row>
    <row r="13458" spans="1:1" ht="18.75" x14ac:dyDescent="0.25">
      <c r="A13458" s="6"/>
    </row>
    <row r="13459" spans="1:1" ht="18.75" x14ac:dyDescent="0.25">
      <c r="A13459" s="6"/>
    </row>
    <row r="13460" spans="1:1" ht="18.75" x14ac:dyDescent="0.25">
      <c r="A13460" s="6"/>
    </row>
    <row r="13461" spans="1:1" ht="18.75" x14ac:dyDescent="0.25">
      <c r="A13461" s="6"/>
    </row>
    <row r="13462" spans="1:1" ht="18.75" x14ac:dyDescent="0.25">
      <c r="A13462" s="6"/>
    </row>
    <row r="13463" spans="1:1" ht="18.75" x14ac:dyDescent="0.25">
      <c r="A13463" s="6"/>
    </row>
    <row r="13464" spans="1:1" ht="18.75" x14ac:dyDescent="0.25">
      <c r="A13464" s="6"/>
    </row>
    <row r="13465" spans="1:1" ht="18.75" x14ac:dyDescent="0.25">
      <c r="A13465" s="6"/>
    </row>
    <row r="13466" spans="1:1" ht="18.75" x14ac:dyDescent="0.25">
      <c r="A13466" s="6"/>
    </row>
    <row r="13467" spans="1:1" ht="18.75" x14ac:dyDescent="0.25">
      <c r="A13467" s="6"/>
    </row>
    <row r="13468" spans="1:1" ht="18.75" x14ac:dyDescent="0.25">
      <c r="A13468" s="6"/>
    </row>
    <row r="13469" spans="1:1" ht="18.75" x14ac:dyDescent="0.25">
      <c r="A13469" s="6"/>
    </row>
    <row r="13470" spans="1:1" ht="18.75" x14ac:dyDescent="0.25">
      <c r="A13470" s="6"/>
    </row>
    <row r="13471" spans="1:1" ht="18.75" x14ac:dyDescent="0.25">
      <c r="A13471" s="6"/>
    </row>
    <row r="13472" spans="1:1" ht="18.75" x14ac:dyDescent="0.25">
      <c r="A13472" s="6"/>
    </row>
    <row r="13473" spans="1:1" ht="18.75" x14ac:dyDescent="0.25">
      <c r="A13473" s="6"/>
    </row>
    <row r="13474" spans="1:1" ht="18.75" x14ac:dyDescent="0.25">
      <c r="A13474" s="6"/>
    </row>
    <row r="13475" spans="1:1" ht="18.75" x14ac:dyDescent="0.25">
      <c r="A13475" s="6"/>
    </row>
    <row r="13476" spans="1:1" ht="18.75" x14ac:dyDescent="0.25">
      <c r="A13476" s="6"/>
    </row>
    <row r="13477" spans="1:1" ht="18.75" x14ac:dyDescent="0.25">
      <c r="A13477" s="6"/>
    </row>
    <row r="13478" spans="1:1" ht="18.75" x14ac:dyDescent="0.25">
      <c r="A13478" s="6"/>
    </row>
    <row r="13479" spans="1:1" ht="18.75" x14ac:dyDescent="0.25">
      <c r="A13479" s="6"/>
    </row>
    <row r="13480" spans="1:1" ht="18.75" x14ac:dyDescent="0.25">
      <c r="A13480" s="6"/>
    </row>
    <row r="13481" spans="1:1" ht="18.75" x14ac:dyDescent="0.25">
      <c r="A13481" s="6"/>
    </row>
    <row r="13482" spans="1:1" ht="18.75" x14ac:dyDescent="0.25">
      <c r="A13482" s="6"/>
    </row>
    <row r="13483" spans="1:1" ht="18.75" x14ac:dyDescent="0.25">
      <c r="A13483" s="6"/>
    </row>
    <row r="13484" spans="1:1" ht="18.75" x14ac:dyDescent="0.25">
      <c r="A13484" s="6"/>
    </row>
    <row r="13485" spans="1:1" ht="18.75" x14ac:dyDescent="0.25">
      <c r="A13485" s="6"/>
    </row>
    <row r="13486" spans="1:1" ht="18.75" x14ac:dyDescent="0.25">
      <c r="A13486" s="6"/>
    </row>
    <row r="13487" spans="1:1" ht="18.75" x14ac:dyDescent="0.25">
      <c r="A13487" s="6"/>
    </row>
    <row r="13488" spans="1:1" ht="18.75" x14ac:dyDescent="0.25">
      <c r="A13488" s="6"/>
    </row>
    <row r="13489" spans="1:1" ht="18.75" x14ac:dyDescent="0.25">
      <c r="A13489" s="6"/>
    </row>
    <row r="13490" spans="1:1" ht="18.75" x14ac:dyDescent="0.25">
      <c r="A13490" s="6"/>
    </row>
    <row r="13491" spans="1:1" ht="18.75" x14ac:dyDescent="0.25">
      <c r="A13491" s="6"/>
    </row>
    <row r="13492" spans="1:1" ht="18.75" x14ac:dyDescent="0.25">
      <c r="A13492" s="6"/>
    </row>
    <row r="13493" spans="1:1" ht="18.75" x14ac:dyDescent="0.25">
      <c r="A13493" s="6"/>
    </row>
    <row r="13494" spans="1:1" ht="18.75" x14ac:dyDescent="0.25">
      <c r="A13494" s="6"/>
    </row>
    <row r="13495" spans="1:1" ht="18.75" x14ac:dyDescent="0.25">
      <c r="A13495" s="6"/>
    </row>
    <row r="13496" spans="1:1" ht="18.75" x14ac:dyDescent="0.25">
      <c r="A13496" s="6"/>
    </row>
    <row r="13497" spans="1:1" ht="18.75" x14ac:dyDescent="0.25">
      <c r="A13497" s="6"/>
    </row>
    <row r="13498" spans="1:1" ht="18.75" x14ac:dyDescent="0.25">
      <c r="A13498" s="6"/>
    </row>
    <row r="13499" spans="1:1" ht="18.75" x14ac:dyDescent="0.25">
      <c r="A13499" s="6"/>
    </row>
    <row r="13500" spans="1:1" ht="18.75" x14ac:dyDescent="0.25">
      <c r="A13500" s="6"/>
    </row>
    <row r="13501" spans="1:1" ht="18.75" x14ac:dyDescent="0.25">
      <c r="A13501" s="6"/>
    </row>
    <row r="13502" spans="1:1" ht="18.75" x14ac:dyDescent="0.25">
      <c r="A13502" s="6"/>
    </row>
    <row r="13503" spans="1:1" ht="18.75" x14ac:dyDescent="0.25">
      <c r="A13503" s="6"/>
    </row>
    <row r="13504" spans="1:1" ht="18.75" x14ac:dyDescent="0.25">
      <c r="A13504" s="6"/>
    </row>
    <row r="13505" spans="1:1" ht="18.75" x14ac:dyDescent="0.25">
      <c r="A13505" s="6"/>
    </row>
    <row r="13506" spans="1:1" ht="18.75" x14ac:dyDescent="0.25">
      <c r="A13506" s="6"/>
    </row>
    <row r="13507" spans="1:1" ht="18.75" x14ac:dyDescent="0.25">
      <c r="A13507" s="6"/>
    </row>
    <row r="13508" spans="1:1" ht="18.75" x14ac:dyDescent="0.25">
      <c r="A13508" s="6"/>
    </row>
    <row r="13509" spans="1:1" ht="18.75" x14ac:dyDescent="0.25">
      <c r="A13509" s="6"/>
    </row>
    <row r="13510" spans="1:1" ht="18.75" x14ac:dyDescent="0.25">
      <c r="A13510" s="6"/>
    </row>
    <row r="13511" spans="1:1" ht="18.75" x14ac:dyDescent="0.25">
      <c r="A13511" s="6"/>
    </row>
    <row r="13512" spans="1:1" ht="18.75" x14ac:dyDescent="0.25">
      <c r="A13512" s="6"/>
    </row>
    <row r="13513" spans="1:1" ht="18.75" x14ac:dyDescent="0.25">
      <c r="A13513" s="6"/>
    </row>
    <row r="13514" spans="1:1" ht="18.75" x14ac:dyDescent="0.25">
      <c r="A13514" s="6"/>
    </row>
    <row r="13515" spans="1:1" ht="18.75" x14ac:dyDescent="0.25">
      <c r="A13515" s="6"/>
    </row>
    <row r="13516" spans="1:1" ht="18.75" x14ac:dyDescent="0.25">
      <c r="A13516" s="6"/>
    </row>
    <row r="13517" spans="1:1" ht="18.75" x14ac:dyDescent="0.25">
      <c r="A13517" s="6"/>
    </row>
    <row r="13518" spans="1:1" ht="18.75" x14ac:dyDescent="0.25">
      <c r="A13518" s="6"/>
    </row>
    <row r="13519" spans="1:1" ht="18.75" x14ac:dyDescent="0.25">
      <c r="A13519" s="6"/>
    </row>
    <row r="13520" spans="1:1" ht="18.75" x14ac:dyDescent="0.25">
      <c r="A13520" s="6"/>
    </row>
    <row r="13521" spans="1:1" ht="18.75" x14ac:dyDescent="0.25">
      <c r="A13521" s="6"/>
    </row>
    <row r="13522" spans="1:1" ht="18.75" x14ac:dyDescent="0.25">
      <c r="A13522" s="6"/>
    </row>
    <row r="13523" spans="1:1" ht="18.75" x14ac:dyDescent="0.25">
      <c r="A13523" s="6"/>
    </row>
    <row r="13524" spans="1:1" ht="18.75" x14ac:dyDescent="0.25">
      <c r="A13524" s="6"/>
    </row>
    <row r="13525" spans="1:1" ht="18.75" x14ac:dyDescent="0.25">
      <c r="A13525" s="6"/>
    </row>
    <row r="13526" spans="1:1" ht="18.75" x14ac:dyDescent="0.25">
      <c r="A13526" s="6"/>
    </row>
    <row r="13527" spans="1:1" ht="18.75" x14ac:dyDescent="0.25">
      <c r="A13527" s="6"/>
    </row>
    <row r="13528" spans="1:1" ht="18.75" x14ac:dyDescent="0.25">
      <c r="A13528" s="6"/>
    </row>
    <row r="13529" spans="1:1" ht="18.75" x14ac:dyDescent="0.25">
      <c r="A13529" s="6"/>
    </row>
    <row r="13530" spans="1:1" ht="18.75" x14ac:dyDescent="0.25">
      <c r="A13530" s="6"/>
    </row>
    <row r="13531" spans="1:1" ht="18.75" x14ac:dyDescent="0.25">
      <c r="A13531" s="6"/>
    </row>
    <row r="13532" spans="1:1" ht="18.75" x14ac:dyDescent="0.25">
      <c r="A13532" s="6"/>
    </row>
    <row r="13533" spans="1:1" ht="18.75" x14ac:dyDescent="0.25">
      <c r="A13533" s="6"/>
    </row>
    <row r="13534" spans="1:1" ht="18.75" x14ac:dyDescent="0.25">
      <c r="A13534" s="6"/>
    </row>
    <row r="13535" spans="1:1" ht="18.75" x14ac:dyDescent="0.25">
      <c r="A13535" s="6"/>
    </row>
    <row r="13536" spans="1:1" ht="18.75" x14ac:dyDescent="0.25">
      <c r="A13536" s="6"/>
    </row>
    <row r="13537" spans="1:1" ht="18.75" x14ac:dyDescent="0.25">
      <c r="A13537" s="6"/>
    </row>
    <row r="13538" spans="1:1" ht="18.75" x14ac:dyDescent="0.25">
      <c r="A13538" s="6"/>
    </row>
    <row r="13539" spans="1:1" ht="18.75" x14ac:dyDescent="0.25">
      <c r="A13539" s="6"/>
    </row>
    <row r="13540" spans="1:1" ht="18.75" x14ac:dyDescent="0.25">
      <c r="A13540" s="6"/>
    </row>
    <row r="13541" spans="1:1" ht="18.75" x14ac:dyDescent="0.25">
      <c r="A13541" s="6"/>
    </row>
    <row r="13542" spans="1:1" ht="18.75" x14ac:dyDescent="0.25">
      <c r="A13542" s="6"/>
    </row>
    <row r="13543" spans="1:1" ht="18.75" x14ac:dyDescent="0.25">
      <c r="A13543" s="6"/>
    </row>
    <row r="13544" spans="1:1" ht="18.75" x14ac:dyDescent="0.25">
      <c r="A13544" s="6"/>
    </row>
    <row r="13545" spans="1:1" ht="18.75" x14ac:dyDescent="0.25">
      <c r="A13545" s="6"/>
    </row>
    <row r="13546" spans="1:1" ht="18.75" x14ac:dyDescent="0.25">
      <c r="A13546" s="6"/>
    </row>
    <row r="13547" spans="1:1" ht="18.75" x14ac:dyDescent="0.25">
      <c r="A13547" s="6"/>
    </row>
    <row r="13548" spans="1:1" ht="18.75" x14ac:dyDescent="0.25">
      <c r="A13548" s="6"/>
    </row>
    <row r="13549" spans="1:1" ht="18.75" x14ac:dyDescent="0.25">
      <c r="A13549" s="6"/>
    </row>
    <row r="13550" spans="1:1" ht="18.75" x14ac:dyDescent="0.25">
      <c r="A13550" s="6"/>
    </row>
    <row r="13551" spans="1:1" ht="18.75" x14ac:dyDescent="0.25">
      <c r="A13551" s="6"/>
    </row>
    <row r="13552" spans="1:1" ht="18.75" x14ac:dyDescent="0.25">
      <c r="A13552" s="6"/>
    </row>
    <row r="13553" spans="1:1" ht="18.75" x14ac:dyDescent="0.25">
      <c r="A13553" s="6"/>
    </row>
    <row r="13554" spans="1:1" ht="18.75" x14ac:dyDescent="0.25">
      <c r="A13554" s="6"/>
    </row>
    <row r="13555" spans="1:1" ht="18.75" x14ac:dyDescent="0.25">
      <c r="A13555" s="6"/>
    </row>
    <row r="13556" spans="1:1" ht="18.75" x14ac:dyDescent="0.25">
      <c r="A13556" s="6"/>
    </row>
    <row r="13557" spans="1:1" ht="18.75" x14ac:dyDescent="0.25">
      <c r="A13557" s="6"/>
    </row>
    <row r="13558" spans="1:1" ht="18.75" x14ac:dyDescent="0.25">
      <c r="A13558" s="6"/>
    </row>
    <row r="13559" spans="1:1" ht="18.75" x14ac:dyDescent="0.25">
      <c r="A13559" s="6"/>
    </row>
    <row r="13560" spans="1:1" ht="18.75" x14ac:dyDescent="0.25">
      <c r="A13560" s="6"/>
    </row>
    <row r="13561" spans="1:1" ht="18.75" x14ac:dyDescent="0.25">
      <c r="A13561" s="6"/>
    </row>
    <row r="13562" spans="1:1" ht="18.75" x14ac:dyDescent="0.25">
      <c r="A13562" s="6"/>
    </row>
    <row r="13563" spans="1:1" ht="18.75" x14ac:dyDescent="0.25">
      <c r="A13563" s="6"/>
    </row>
    <row r="13564" spans="1:1" ht="18.75" x14ac:dyDescent="0.25">
      <c r="A13564" s="6"/>
    </row>
    <row r="13565" spans="1:1" ht="18.75" x14ac:dyDescent="0.25">
      <c r="A13565" s="6"/>
    </row>
    <row r="13566" spans="1:1" ht="18.75" x14ac:dyDescent="0.25">
      <c r="A13566" s="6"/>
    </row>
    <row r="13567" spans="1:1" ht="18.75" x14ac:dyDescent="0.25">
      <c r="A13567" s="6"/>
    </row>
    <row r="13568" spans="1:1" ht="18.75" x14ac:dyDescent="0.25">
      <c r="A13568" s="6"/>
    </row>
    <row r="13569" spans="1:1" ht="18.75" x14ac:dyDescent="0.25">
      <c r="A13569" s="6"/>
    </row>
    <row r="13570" spans="1:1" ht="18.75" x14ac:dyDescent="0.25">
      <c r="A13570" s="6"/>
    </row>
    <row r="13571" spans="1:1" ht="18.75" x14ac:dyDescent="0.25">
      <c r="A13571" s="6"/>
    </row>
    <row r="13572" spans="1:1" ht="18.75" x14ac:dyDescent="0.25">
      <c r="A13572" s="6"/>
    </row>
    <row r="13573" spans="1:1" ht="18.75" x14ac:dyDescent="0.25">
      <c r="A13573" s="6"/>
    </row>
    <row r="13574" spans="1:1" ht="18.75" x14ac:dyDescent="0.25">
      <c r="A13574" s="6"/>
    </row>
    <row r="13575" spans="1:1" ht="18.75" x14ac:dyDescent="0.25">
      <c r="A13575" s="6"/>
    </row>
    <row r="13576" spans="1:1" ht="18.75" x14ac:dyDescent="0.25">
      <c r="A13576" s="6"/>
    </row>
    <row r="13577" spans="1:1" ht="18.75" x14ac:dyDescent="0.25">
      <c r="A13577" s="6"/>
    </row>
    <row r="13578" spans="1:1" ht="18.75" x14ac:dyDescent="0.25">
      <c r="A13578" s="6"/>
    </row>
    <row r="13579" spans="1:1" ht="18.75" x14ac:dyDescent="0.25">
      <c r="A13579" s="6"/>
    </row>
    <row r="13580" spans="1:1" ht="18.75" x14ac:dyDescent="0.25">
      <c r="A13580" s="6"/>
    </row>
    <row r="13581" spans="1:1" ht="18.75" x14ac:dyDescent="0.25">
      <c r="A13581" s="6"/>
    </row>
    <row r="13582" spans="1:1" ht="18.75" x14ac:dyDescent="0.25">
      <c r="A13582" s="6"/>
    </row>
    <row r="13583" spans="1:1" ht="18.75" x14ac:dyDescent="0.25">
      <c r="A13583" s="6"/>
    </row>
    <row r="13584" spans="1:1" ht="18.75" x14ac:dyDescent="0.25">
      <c r="A13584" s="6"/>
    </row>
    <row r="13585" spans="1:1" ht="18.75" x14ac:dyDescent="0.25">
      <c r="A13585" s="6"/>
    </row>
    <row r="13586" spans="1:1" ht="18.75" x14ac:dyDescent="0.25">
      <c r="A13586" s="6"/>
    </row>
    <row r="13587" spans="1:1" ht="18.75" x14ac:dyDescent="0.25">
      <c r="A13587" s="6"/>
    </row>
    <row r="13588" spans="1:1" ht="18.75" x14ac:dyDescent="0.25">
      <c r="A13588" s="6"/>
    </row>
    <row r="13589" spans="1:1" ht="18.75" x14ac:dyDescent="0.25">
      <c r="A13589" s="6"/>
    </row>
    <row r="13590" spans="1:1" ht="18.75" x14ac:dyDescent="0.25">
      <c r="A13590" s="6"/>
    </row>
    <row r="13591" spans="1:1" ht="18.75" x14ac:dyDescent="0.25">
      <c r="A13591" s="6"/>
    </row>
    <row r="13592" spans="1:1" ht="18.75" x14ac:dyDescent="0.25">
      <c r="A13592" s="6"/>
    </row>
    <row r="13593" spans="1:1" ht="18.75" x14ac:dyDescent="0.25">
      <c r="A13593" s="6"/>
    </row>
    <row r="13594" spans="1:1" ht="18.75" x14ac:dyDescent="0.25">
      <c r="A13594" s="6"/>
    </row>
    <row r="13595" spans="1:1" ht="18.75" x14ac:dyDescent="0.25">
      <c r="A13595" s="6"/>
    </row>
    <row r="13596" spans="1:1" ht="18.75" x14ac:dyDescent="0.25">
      <c r="A13596" s="6"/>
    </row>
    <row r="13597" spans="1:1" ht="18.75" x14ac:dyDescent="0.25">
      <c r="A13597" s="6"/>
    </row>
    <row r="13598" spans="1:1" ht="18.75" x14ac:dyDescent="0.25">
      <c r="A13598" s="6"/>
    </row>
    <row r="13599" spans="1:1" ht="18.75" x14ac:dyDescent="0.25">
      <c r="A13599" s="6"/>
    </row>
    <row r="13600" spans="1:1" ht="18.75" x14ac:dyDescent="0.25">
      <c r="A13600" s="6"/>
    </row>
    <row r="13601" spans="1:1" ht="18.75" x14ac:dyDescent="0.25">
      <c r="A13601" s="6"/>
    </row>
    <row r="13602" spans="1:1" ht="18.75" x14ac:dyDescent="0.25">
      <c r="A13602" s="6"/>
    </row>
    <row r="13603" spans="1:1" ht="18.75" x14ac:dyDescent="0.25">
      <c r="A13603" s="6"/>
    </row>
    <row r="13604" spans="1:1" ht="18.75" x14ac:dyDescent="0.25">
      <c r="A13604" s="6"/>
    </row>
    <row r="13605" spans="1:1" ht="18.75" x14ac:dyDescent="0.25">
      <c r="A13605" s="6"/>
    </row>
    <row r="13606" spans="1:1" ht="18.75" x14ac:dyDescent="0.25">
      <c r="A13606" s="6"/>
    </row>
    <row r="13607" spans="1:1" ht="18.75" x14ac:dyDescent="0.25">
      <c r="A13607" s="6"/>
    </row>
    <row r="13608" spans="1:1" ht="18.75" x14ac:dyDescent="0.25">
      <c r="A13608" s="6"/>
    </row>
    <row r="13609" spans="1:1" ht="18.75" x14ac:dyDescent="0.25">
      <c r="A13609" s="6"/>
    </row>
    <row r="13610" spans="1:1" ht="18.75" x14ac:dyDescent="0.25">
      <c r="A13610" s="6"/>
    </row>
    <row r="13611" spans="1:1" ht="18.75" x14ac:dyDescent="0.25">
      <c r="A13611" s="6"/>
    </row>
    <row r="13612" spans="1:1" ht="18.75" x14ac:dyDescent="0.25">
      <c r="A13612" s="6"/>
    </row>
    <row r="13613" spans="1:1" ht="18.75" x14ac:dyDescent="0.25">
      <c r="A13613" s="6"/>
    </row>
    <row r="13614" spans="1:1" ht="18.75" x14ac:dyDescent="0.25">
      <c r="A13614" s="6"/>
    </row>
    <row r="13615" spans="1:1" ht="18.75" x14ac:dyDescent="0.25">
      <c r="A13615" s="6"/>
    </row>
    <row r="13616" spans="1:1" ht="18.75" x14ac:dyDescent="0.25">
      <c r="A13616" s="6"/>
    </row>
    <row r="13617" spans="1:1" ht="18.75" x14ac:dyDescent="0.25">
      <c r="A13617" s="6"/>
    </row>
    <row r="13618" spans="1:1" ht="18.75" x14ac:dyDescent="0.25">
      <c r="A13618" s="6"/>
    </row>
    <row r="13619" spans="1:1" ht="18.75" x14ac:dyDescent="0.25">
      <c r="A13619" s="6"/>
    </row>
    <row r="13620" spans="1:1" ht="18.75" x14ac:dyDescent="0.25">
      <c r="A13620" s="6"/>
    </row>
    <row r="13621" spans="1:1" ht="18.75" x14ac:dyDescent="0.25">
      <c r="A13621" s="6"/>
    </row>
    <row r="13622" spans="1:1" ht="18.75" x14ac:dyDescent="0.25">
      <c r="A13622" s="6"/>
    </row>
    <row r="13623" spans="1:1" ht="18.75" x14ac:dyDescent="0.25">
      <c r="A13623" s="6"/>
    </row>
    <row r="13624" spans="1:1" ht="18.75" x14ac:dyDescent="0.25">
      <c r="A13624" s="6"/>
    </row>
    <row r="13625" spans="1:1" ht="18.75" x14ac:dyDescent="0.25">
      <c r="A13625" s="6"/>
    </row>
    <row r="13626" spans="1:1" ht="18.75" x14ac:dyDescent="0.25">
      <c r="A13626" s="6"/>
    </row>
    <row r="13627" spans="1:1" ht="18.75" x14ac:dyDescent="0.25">
      <c r="A13627" s="6"/>
    </row>
    <row r="13628" spans="1:1" ht="18.75" x14ac:dyDescent="0.25">
      <c r="A13628" s="6"/>
    </row>
    <row r="13629" spans="1:1" ht="18.75" x14ac:dyDescent="0.25">
      <c r="A13629" s="6"/>
    </row>
    <row r="13630" spans="1:1" ht="18.75" x14ac:dyDescent="0.25">
      <c r="A13630" s="6"/>
    </row>
    <row r="13631" spans="1:1" ht="18.75" x14ac:dyDescent="0.25">
      <c r="A13631" s="6"/>
    </row>
    <row r="13632" spans="1:1" ht="18.75" x14ac:dyDescent="0.25">
      <c r="A13632" s="6"/>
    </row>
    <row r="13633" spans="1:1" ht="18.75" x14ac:dyDescent="0.25">
      <c r="A13633" s="6"/>
    </row>
    <row r="13634" spans="1:1" ht="18.75" x14ac:dyDescent="0.25">
      <c r="A13634" s="6"/>
    </row>
    <row r="13635" spans="1:1" ht="18.75" x14ac:dyDescent="0.25">
      <c r="A13635" s="6"/>
    </row>
    <row r="13636" spans="1:1" ht="18.75" x14ac:dyDescent="0.25">
      <c r="A13636" s="6"/>
    </row>
    <row r="13637" spans="1:1" ht="18.75" x14ac:dyDescent="0.25">
      <c r="A13637" s="6"/>
    </row>
    <row r="13638" spans="1:1" ht="18.75" x14ac:dyDescent="0.25">
      <c r="A13638" s="6"/>
    </row>
    <row r="13639" spans="1:1" ht="18.75" x14ac:dyDescent="0.25">
      <c r="A13639" s="6"/>
    </row>
    <row r="13640" spans="1:1" ht="18.75" x14ac:dyDescent="0.25">
      <c r="A13640" s="6"/>
    </row>
    <row r="13641" spans="1:1" ht="18.75" x14ac:dyDescent="0.25">
      <c r="A13641" s="6"/>
    </row>
    <row r="13642" spans="1:1" ht="18.75" x14ac:dyDescent="0.25">
      <c r="A13642" s="6"/>
    </row>
    <row r="13643" spans="1:1" ht="18.75" x14ac:dyDescent="0.25">
      <c r="A13643" s="6"/>
    </row>
    <row r="13644" spans="1:1" ht="18.75" x14ac:dyDescent="0.25">
      <c r="A13644" s="6"/>
    </row>
    <row r="13645" spans="1:1" ht="18.75" x14ac:dyDescent="0.25">
      <c r="A13645" s="6"/>
    </row>
    <row r="13646" spans="1:1" ht="18.75" x14ac:dyDescent="0.25">
      <c r="A13646" s="6"/>
    </row>
    <row r="13647" spans="1:1" ht="18.75" x14ac:dyDescent="0.25">
      <c r="A13647" s="6"/>
    </row>
    <row r="13648" spans="1:1" ht="18.75" x14ac:dyDescent="0.25">
      <c r="A13648" s="6"/>
    </row>
    <row r="13649" spans="1:1" ht="18.75" x14ac:dyDescent="0.25">
      <c r="A13649" s="6"/>
    </row>
    <row r="13650" spans="1:1" ht="18.75" x14ac:dyDescent="0.25">
      <c r="A13650" s="6"/>
    </row>
    <row r="13651" spans="1:1" ht="18.75" x14ac:dyDescent="0.25">
      <c r="A13651" s="6"/>
    </row>
    <row r="13652" spans="1:1" ht="18.75" x14ac:dyDescent="0.25">
      <c r="A13652" s="6"/>
    </row>
    <row r="13653" spans="1:1" ht="18.75" x14ac:dyDescent="0.25">
      <c r="A13653" s="6"/>
    </row>
    <row r="13654" spans="1:1" ht="18.75" x14ac:dyDescent="0.25">
      <c r="A13654" s="6"/>
    </row>
    <row r="13655" spans="1:1" ht="18.75" x14ac:dyDescent="0.25">
      <c r="A13655" s="6"/>
    </row>
    <row r="13656" spans="1:1" ht="18.75" x14ac:dyDescent="0.25">
      <c r="A13656" s="6"/>
    </row>
    <row r="13657" spans="1:1" ht="18.75" x14ac:dyDescent="0.25">
      <c r="A13657" s="6"/>
    </row>
    <row r="13658" spans="1:1" ht="18.75" x14ac:dyDescent="0.25">
      <c r="A13658" s="6"/>
    </row>
    <row r="13659" spans="1:1" ht="18.75" x14ac:dyDescent="0.25">
      <c r="A13659" s="6"/>
    </row>
    <row r="13660" spans="1:1" ht="18.75" x14ac:dyDescent="0.25">
      <c r="A13660" s="6"/>
    </row>
    <row r="13661" spans="1:1" ht="18.75" x14ac:dyDescent="0.25">
      <c r="A13661" s="6"/>
    </row>
    <row r="13662" spans="1:1" ht="18.75" x14ac:dyDescent="0.25">
      <c r="A13662" s="6"/>
    </row>
    <row r="13663" spans="1:1" ht="18.75" x14ac:dyDescent="0.25">
      <c r="A13663" s="6"/>
    </row>
    <row r="13664" spans="1:1" ht="18.75" x14ac:dyDescent="0.25">
      <c r="A13664" s="6"/>
    </row>
    <row r="13665" spans="1:1" ht="18.75" x14ac:dyDescent="0.25">
      <c r="A13665" s="6"/>
    </row>
    <row r="13666" spans="1:1" ht="18.75" x14ac:dyDescent="0.25">
      <c r="A13666" s="6"/>
    </row>
    <row r="13667" spans="1:1" ht="18.75" x14ac:dyDescent="0.25">
      <c r="A13667" s="6"/>
    </row>
    <row r="13668" spans="1:1" ht="18.75" x14ac:dyDescent="0.25">
      <c r="A13668" s="6"/>
    </row>
    <row r="13669" spans="1:1" ht="18.75" x14ac:dyDescent="0.25">
      <c r="A13669" s="6"/>
    </row>
    <row r="13670" spans="1:1" ht="18.75" x14ac:dyDescent="0.25">
      <c r="A13670" s="6"/>
    </row>
    <row r="13671" spans="1:1" ht="18.75" x14ac:dyDescent="0.25">
      <c r="A13671" s="6"/>
    </row>
    <row r="13672" spans="1:1" ht="18.75" x14ac:dyDescent="0.25">
      <c r="A13672" s="6"/>
    </row>
    <row r="13673" spans="1:1" ht="18.75" x14ac:dyDescent="0.25">
      <c r="A13673" s="6"/>
    </row>
    <row r="13674" spans="1:1" ht="18.75" x14ac:dyDescent="0.25">
      <c r="A13674" s="6"/>
    </row>
    <row r="13675" spans="1:1" ht="18.75" x14ac:dyDescent="0.25">
      <c r="A13675" s="6"/>
    </row>
    <row r="13676" spans="1:1" ht="18.75" x14ac:dyDescent="0.25">
      <c r="A13676" s="6"/>
    </row>
    <row r="13677" spans="1:1" ht="18.75" x14ac:dyDescent="0.25">
      <c r="A13677" s="6"/>
    </row>
    <row r="13678" spans="1:1" ht="18.75" x14ac:dyDescent="0.25">
      <c r="A13678" s="6"/>
    </row>
    <row r="13679" spans="1:1" ht="18.75" x14ac:dyDescent="0.25">
      <c r="A13679" s="6"/>
    </row>
    <row r="13680" spans="1:1" ht="18.75" x14ac:dyDescent="0.25">
      <c r="A13680" s="6"/>
    </row>
    <row r="13681" spans="1:1" ht="18.75" x14ac:dyDescent="0.25">
      <c r="A13681" s="6"/>
    </row>
    <row r="13682" spans="1:1" ht="18.75" x14ac:dyDescent="0.25">
      <c r="A13682" s="6"/>
    </row>
    <row r="13683" spans="1:1" ht="18.75" x14ac:dyDescent="0.25">
      <c r="A13683" s="6"/>
    </row>
    <row r="13684" spans="1:1" ht="18.75" x14ac:dyDescent="0.25">
      <c r="A13684" s="6"/>
    </row>
    <row r="13685" spans="1:1" ht="18.75" x14ac:dyDescent="0.25">
      <c r="A13685" s="6"/>
    </row>
    <row r="13686" spans="1:1" ht="18.75" x14ac:dyDescent="0.25">
      <c r="A13686" s="6"/>
    </row>
    <row r="13687" spans="1:1" ht="18.75" x14ac:dyDescent="0.25">
      <c r="A13687" s="6"/>
    </row>
    <row r="13688" spans="1:1" ht="18.75" x14ac:dyDescent="0.25">
      <c r="A13688" s="6"/>
    </row>
    <row r="13689" spans="1:1" ht="18.75" x14ac:dyDescent="0.25">
      <c r="A13689" s="6"/>
    </row>
    <row r="13690" spans="1:1" ht="18.75" x14ac:dyDescent="0.25">
      <c r="A13690" s="6"/>
    </row>
    <row r="13691" spans="1:1" ht="18.75" x14ac:dyDescent="0.25">
      <c r="A13691" s="6"/>
    </row>
    <row r="13692" spans="1:1" ht="18.75" x14ac:dyDescent="0.25">
      <c r="A13692" s="6"/>
    </row>
    <row r="13693" spans="1:1" ht="18.75" x14ac:dyDescent="0.25">
      <c r="A13693" s="6"/>
    </row>
    <row r="13694" spans="1:1" ht="18.75" x14ac:dyDescent="0.25">
      <c r="A13694" s="6"/>
    </row>
    <row r="13695" spans="1:1" ht="18.75" x14ac:dyDescent="0.25">
      <c r="A13695" s="6"/>
    </row>
    <row r="13696" spans="1:1" ht="18.75" x14ac:dyDescent="0.25">
      <c r="A13696" s="6"/>
    </row>
    <row r="13697" spans="1:1" ht="18.75" x14ac:dyDescent="0.25">
      <c r="A13697" s="6"/>
    </row>
    <row r="13698" spans="1:1" ht="18.75" x14ac:dyDescent="0.25">
      <c r="A13698" s="6"/>
    </row>
    <row r="13699" spans="1:1" ht="18.75" x14ac:dyDescent="0.25">
      <c r="A13699" s="6"/>
    </row>
    <row r="13700" spans="1:1" ht="18.75" x14ac:dyDescent="0.25">
      <c r="A13700" s="6"/>
    </row>
    <row r="13701" spans="1:1" ht="18.75" x14ac:dyDescent="0.25">
      <c r="A13701" s="6"/>
    </row>
    <row r="13702" spans="1:1" ht="18.75" x14ac:dyDescent="0.25">
      <c r="A13702" s="6"/>
    </row>
    <row r="13703" spans="1:1" ht="18.75" x14ac:dyDescent="0.25">
      <c r="A13703" s="6"/>
    </row>
    <row r="13704" spans="1:1" ht="18.75" x14ac:dyDescent="0.25">
      <c r="A13704" s="6"/>
    </row>
    <row r="13705" spans="1:1" ht="18.75" x14ac:dyDescent="0.25">
      <c r="A13705" s="6"/>
    </row>
    <row r="13706" spans="1:1" ht="18.75" x14ac:dyDescent="0.25">
      <c r="A13706" s="6"/>
    </row>
    <row r="13707" spans="1:1" ht="18.75" x14ac:dyDescent="0.25">
      <c r="A13707" s="6"/>
    </row>
    <row r="13708" spans="1:1" ht="18.75" x14ac:dyDescent="0.25">
      <c r="A13708" s="6"/>
    </row>
    <row r="13709" spans="1:1" ht="18.75" x14ac:dyDescent="0.25">
      <c r="A13709" s="6"/>
    </row>
    <row r="13710" spans="1:1" ht="18.75" x14ac:dyDescent="0.25">
      <c r="A13710" s="6"/>
    </row>
    <row r="13711" spans="1:1" ht="18.75" x14ac:dyDescent="0.25">
      <c r="A13711" s="6"/>
    </row>
    <row r="13712" spans="1:1" ht="18.75" x14ac:dyDescent="0.25">
      <c r="A13712" s="6"/>
    </row>
    <row r="13713" spans="1:1" ht="18.75" x14ac:dyDescent="0.25">
      <c r="A13713" s="6"/>
    </row>
    <row r="13714" spans="1:1" ht="18.75" x14ac:dyDescent="0.25">
      <c r="A13714" s="6"/>
    </row>
    <row r="13715" spans="1:1" ht="18.75" x14ac:dyDescent="0.25">
      <c r="A13715" s="6"/>
    </row>
    <row r="13716" spans="1:1" ht="18.75" x14ac:dyDescent="0.25">
      <c r="A13716" s="6"/>
    </row>
    <row r="13717" spans="1:1" ht="18.75" x14ac:dyDescent="0.25">
      <c r="A13717" s="6"/>
    </row>
    <row r="13718" spans="1:1" ht="18.75" x14ac:dyDescent="0.25">
      <c r="A13718" s="6"/>
    </row>
    <row r="13719" spans="1:1" ht="18.75" x14ac:dyDescent="0.25">
      <c r="A13719" s="6"/>
    </row>
    <row r="13720" spans="1:1" ht="18.75" x14ac:dyDescent="0.25">
      <c r="A13720" s="6"/>
    </row>
    <row r="13721" spans="1:1" ht="18.75" x14ac:dyDescent="0.25">
      <c r="A13721" s="6"/>
    </row>
    <row r="13722" spans="1:1" ht="18.75" x14ac:dyDescent="0.25">
      <c r="A13722" s="6"/>
    </row>
    <row r="13723" spans="1:1" ht="18.75" x14ac:dyDescent="0.25">
      <c r="A13723" s="6"/>
    </row>
    <row r="13724" spans="1:1" ht="18.75" x14ac:dyDescent="0.25">
      <c r="A13724" s="6"/>
    </row>
    <row r="13725" spans="1:1" ht="18.75" x14ac:dyDescent="0.25">
      <c r="A13725" s="6"/>
    </row>
    <row r="13726" spans="1:1" ht="18.75" x14ac:dyDescent="0.25">
      <c r="A13726" s="6"/>
    </row>
    <row r="13727" spans="1:1" ht="18.75" x14ac:dyDescent="0.25">
      <c r="A13727" s="6"/>
    </row>
    <row r="13728" spans="1:1" ht="18.75" x14ac:dyDescent="0.25">
      <c r="A13728" s="6"/>
    </row>
    <row r="13729" spans="1:1" ht="18.75" x14ac:dyDescent="0.25">
      <c r="A13729" s="6"/>
    </row>
    <row r="13730" spans="1:1" ht="18.75" x14ac:dyDescent="0.25">
      <c r="A13730" s="6"/>
    </row>
    <row r="13731" spans="1:1" ht="18.75" x14ac:dyDescent="0.25">
      <c r="A13731" s="6"/>
    </row>
    <row r="13732" spans="1:1" ht="18.75" x14ac:dyDescent="0.25">
      <c r="A13732" s="6"/>
    </row>
    <row r="13733" spans="1:1" ht="18.75" x14ac:dyDescent="0.25">
      <c r="A13733" s="6"/>
    </row>
    <row r="13734" spans="1:1" ht="18.75" x14ac:dyDescent="0.25">
      <c r="A13734" s="6"/>
    </row>
    <row r="13735" spans="1:1" ht="18.75" x14ac:dyDescent="0.25">
      <c r="A13735" s="6"/>
    </row>
    <row r="13736" spans="1:1" ht="18.75" x14ac:dyDescent="0.25">
      <c r="A13736" s="6"/>
    </row>
    <row r="13737" spans="1:1" ht="18.75" x14ac:dyDescent="0.25">
      <c r="A13737" s="6"/>
    </row>
    <row r="13738" spans="1:1" ht="18.75" x14ac:dyDescent="0.25">
      <c r="A13738" s="6"/>
    </row>
    <row r="13739" spans="1:1" ht="18.75" x14ac:dyDescent="0.25">
      <c r="A13739" s="6"/>
    </row>
    <row r="13740" spans="1:1" ht="18.75" x14ac:dyDescent="0.25">
      <c r="A13740" s="6"/>
    </row>
    <row r="13741" spans="1:1" ht="18.75" x14ac:dyDescent="0.25">
      <c r="A13741" s="6"/>
    </row>
    <row r="13742" spans="1:1" ht="18.75" x14ac:dyDescent="0.25">
      <c r="A13742" s="6"/>
    </row>
    <row r="13743" spans="1:1" ht="18.75" x14ac:dyDescent="0.25">
      <c r="A13743" s="6"/>
    </row>
    <row r="13744" spans="1:1" ht="18.75" x14ac:dyDescent="0.25">
      <c r="A13744" s="6"/>
    </row>
    <row r="13745" spans="1:1" ht="18.75" x14ac:dyDescent="0.25">
      <c r="A13745" s="6"/>
    </row>
    <row r="13746" spans="1:1" ht="18.75" x14ac:dyDescent="0.25">
      <c r="A13746" s="6"/>
    </row>
    <row r="13747" spans="1:1" ht="18.75" x14ac:dyDescent="0.25">
      <c r="A13747" s="6"/>
    </row>
    <row r="13748" spans="1:1" ht="18.75" x14ac:dyDescent="0.25">
      <c r="A13748" s="6"/>
    </row>
    <row r="13749" spans="1:1" ht="18.75" x14ac:dyDescent="0.25">
      <c r="A13749" s="6"/>
    </row>
    <row r="13750" spans="1:1" ht="18.75" x14ac:dyDescent="0.25">
      <c r="A13750" s="6"/>
    </row>
    <row r="13751" spans="1:1" ht="18.75" x14ac:dyDescent="0.25">
      <c r="A13751" s="6"/>
    </row>
    <row r="13752" spans="1:1" ht="18.75" x14ac:dyDescent="0.25">
      <c r="A13752" s="6"/>
    </row>
    <row r="13753" spans="1:1" ht="18.75" x14ac:dyDescent="0.25">
      <c r="A13753" s="6"/>
    </row>
    <row r="13754" spans="1:1" ht="18.75" x14ac:dyDescent="0.25">
      <c r="A13754" s="6"/>
    </row>
    <row r="13755" spans="1:1" ht="18.75" x14ac:dyDescent="0.25">
      <c r="A13755" s="6"/>
    </row>
    <row r="13756" spans="1:1" ht="18.75" x14ac:dyDescent="0.25">
      <c r="A13756" s="6"/>
    </row>
    <row r="13757" spans="1:1" ht="18.75" x14ac:dyDescent="0.25">
      <c r="A13757" s="6"/>
    </row>
    <row r="13758" spans="1:1" ht="18.75" x14ac:dyDescent="0.25">
      <c r="A13758" s="6"/>
    </row>
    <row r="13759" spans="1:1" ht="18.75" x14ac:dyDescent="0.25">
      <c r="A13759" s="6"/>
    </row>
    <row r="13760" spans="1:1" ht="18.75" x14ac:dyDescent="0.25">
      <c r="A13760" s="6"/>
    </row>
    <row r="13761" spans="1:1" ht="18.75" x14ac:dyDescent="0.25">
      <c r="A13761" s="6"/>
    </row>
    <row r="13762" spans="1:1" ht="18.75" x14ac:dyDescent="0.25">
      <c r="A13762" s="6"/>
    </row>
    <row r="13763" spans="1:1" ht="18.75" x14ac:dyDescent="0.25">
      <c r="A13763" s="6"/>
    </row>
    <row r="13764" spans="1:1" ht="18.75" x14ac:dyDescent="0.25">
      <c r="A13764" s="6"/>
    </row>
    <row r="13765" spans="1:1" ht="18.75" x14ac:dyDescent="0.25">
      <c r="A13765" s="6"/>
    </row>
    <row r="13766" spans="1:1" ht="18.75" x14ac:dyDescent="0.25">
      <c r="A13766" s="6"/>
    </row>
    <row r="13767" spans="1:1" ht="18.75" x14ac:dyDescent="0.25">
      <c r="A13767" s="6"/>
    </row>
    <row r="13768" spans="1:1" ht="18.75" x14ac:dyDescent="0.25">
      <c r="A13768" s="6"/>
    </row>
    <row r="13769" spans="1:1" ht="18.75" x14ac:dyDescent="0.25">
      <c r="A13769" s="6"/>
    </row>
    <row r="13770" spans="1:1" ht="18.75" x14ac:dyDescent="0.25">
      <c r="A13770" s="6"/>
    </row>
    <row r="13771" spans="1:1" ht="18.75" x14ac:dyDescent="0.25">
      <c r="A13771" s="6"/>
    </row>
    <row r="13772" spans="1:1" ht="18.75" x14ac:dyDescent="0.25">
      <c r="A13772" s="6"/>
    </row>
    <row r="13773" spans="1:1" ht="18.75" x14ac:dyDescent="0.25">
      <c r="A13773" s="6"/>
    </row>
    <row r="13774" spans="1:1" ht="18.75" x14ac:dyDescent="0.25">
      <c r="A13774" s="6"/>
    </row>
    <row r="13775" spans="1:1" ht="18.75" x14ac:dyDescent="0.25">
      <c r="A13775" s="6"/>
    </row>
    <row r="13776" spans="1:1" ht="18.75" x14ac:dyDescent="0.25">
      <c r="A13776" s="6"/>
    </row>
    <row r="13777" spans="1:1" ht="18.75" x14ac:dyDescent="0.25">
      <c r="A13777" s="6"/>
    </row>
    <row r="13778" spans="1:1" ht="18.75" x14ac:dyDescent="0.25">
      <c r="A13778" s="6"/>
    </row>
    <row r="13779" spans="1:1" ht="18.75" x14ac:dyDescent="0.25">
      <c r="A13779" s="6"/>
    </row>
    <row r="13780" spans="1:1" ht="18.75" x14ac:dyDescent="0.25">
      <c r="A13780" s="6"/>
    </row>
    <row r="13781" spans="1:1" ht="18.75" x14ac:dyDescent="0.25">
      <c r="A13781" s="6"/>
    </row>
    <row r="13782" spans="1:1" ht="18.75" x14ac:dyDescent="0.25">
      <c r="A13782" s="6"/>
    </row>
    <row r="13783" spans="1:1" ht="18.75" x14ac:dyDescent="0.25">
      <c r="A13783" s="6"/>
    </row>
    <row r="13784" spans="1:1" ht="18.75" x14ac:dyDescent="0.25">
      <c r="A13784" s="6"/>
    </row>
    <row r="13785" spans="1:1" ht="18.75" x14ac:dyDescent="0.25">
      <c r="A13785" s="6"/>
    </row>
    <row r="13786" spans="1:1" ht="18.75" x14ac:dyDescent="0.25">
      <c r="A13786" s="6"/>
    </row>
    <row r="13787" spans="1:1" ht="18.75" x14ac:dyDescent="0.25">
      <c r="A13787" s="6"/>
    </row>
    <row r="13788" spans="1:1" ht="18.75" x14ac:dyDescent="0.25">
      <c r="A13788" s="6"/>
    </row>
    <row r="13789" spans="1:1" ht="18.75" x14ac:dyDescent="0.25">
      <c r="A13789" s="6"/>
    </row>
    <row r="13790" spans="1:1" ht="18.75" x14ac:dyDescent="0.25">
      <c r="A13790" s="6"/>
    </row>
    <row r="13791" spans="1:1" ht="18.75" x14ac:dyDescent="0.25">
      <c r="A13791" s="6"/>
    </row>
    <row r="13792" spans="1:1" ht="18.75" x14ac:dyDescent="0.25">
      <c r="A13792" s="6"/>
    </row>
    <row r="13793" spans="1:1" ht="18.75" x14ac:dyDescent="0.25">
      <c r="A13793" s="6"/>
    </row>
    <row r="13794" spans="1:1" ht="18.75" x14ac:dyDescent="0.25">
      <c r="A13794" s="6"/>
    </row>
    <row r="13795" spans="1:1" ht="18.75" x14ac:dyDescent="0.25">
      <c r="A13795" s="6"/>
    </row>
    <row r="13796" spans="1:1" ht="18.75" x14ac:dyDescent="0.25">
      <c r="A13796" s="6"/>
    </row>
    <row r="13797" spans="1:1" ht="18.75" x14ac:dyDescent="0.25">
      <c r="A13797" s="6"/>
    </row>
    <row r="13798" spans="1:1" ht="18.75" x14ac:dyDescent="0.25">
      <c r="A13798" s="6"/>
    </row>
    <row r="13799" spans="1:1" ht="18.75" x14ac:dyDescent="0.25">
      <c r="A13799" s="6"/>
    </row>
    <row r="13800" spans="1:1" ht="18.75" x14ac:dyDescent="0.25">
      <c r="A13800" s="6"/>
    </row>
    <row r="13801" spans="1:1" ht="18.75" x14ac:dyDescent="0.25">
      <c r="A13801" s="6"/>
    </row>
    <row r="13802" spans="1:1" ht="18.75" x14ac:dyDescent="0.25">
      <c r="A13802" s="6"/>
    </row>
    <row r="13803" spans="1:1" ht="18.75" x14ac:dyDescent="0.25">
      <c r="A13803" s="6"/>
    </row>
    <row r="13804" spans="1:1" ht="18.75" x14ac:dyDescent="0.25">
      <c r="A13804" s="6"/>
    </row>
    <row r="13805" spans="1:1" ht="18.75" x14ac:dyDescent="0.25">
      <c r="A13805" s="6"/>
    </row>
    <row r="13806" spans="1:1" ht="18.75" x14ac:dyDescent="0.25">
      <c r="A13806" s="6"/>
    </row>
    <row r="13807" spans="1:1" ht="18.75" x14ac:dyDescent="0.25">
      <c r="A13807" s="6"/>
    </row>
    <row r="13808" spans="1:1" ht="18.75" x14ac:dyDescent="0.25">
      <c r="A13808" s="6"/>
    </row>
    <row r="13809" spans="1:1" ht="18.75" x14ac:dyDescent="0.25">
      <c r="A13809" s="6"/>
    </row>
    <row r="13810" spans="1:1" ht="18.75" x14ac:dyDescent="0.25">
      <c r="A13810" s="6"/>
    </row>
    <row r="13811" spans="1:1" ht="18.75" x14ac:dyDescent="0.25">
      <c r="A13811" s="6"/>
    </row>
    <row r="13812" spans="1:1" ht="18.75" x14ac:dyDescent="0.25">
      <c r="A13812" s="6"/>
    </row>
    <row r="13813" spans="1:1" ht="18.75" x14ac:dyDescent="0.25">
      <c r="A13813" s="6"/>
    </row>
    <row r="13814" spans="1:1" ht="18.75" x14ac:dyDescent="0.25">
      <c r="A13814" s="6"/>
    </row>
    <row r="13815" spans="1:1" ht="18.75" x14ac:dyDescent="0.25">
      <c r="A13815" s="6"/>
    </row>
    <row r="13816" spans="1:1" ht="18.75" x14ac:dyDescent="0.25">
      <c r="A13816" s="6"/>
    </row>
    <row r="13817" spans="1:1" ht="18.75" x14ac:dyDescent="0.25">
      <c r="A13817" s="6"/>
    </row>
    <row r="13818" spans="1:1" ht="18.75" x14ac:dyDescent="0.25">
      <c r="A13818" s="6"/>
    </row>
    <row r="13819" spans="1:1" ht="18.75" x14ac:dyDescent="0.25">
      <c r="A13819" s="6"/>
    </row>
    <row r="13820" spans="1:1" ht="18.75" x14ac:dyDescent="0.25">
      <c r="A13820" s="6"/>
    </row>
    <row r="13821" spans="1:1" ht="18.75" x14ac:dyDescent="0.25">
      <c r="A13821" s="6"/>
    </row>
    <row r="13822" spans="1:1" ht="18.75" x14ac:dyDescent="0.25">
      <c r="A13822" s="6"/>
    </row>
    <row r="13823" spans="1:1" ht="18.75" x14ac:dyDescent="0.25">
      <c r="A13823" s="6"/>
    </row>
    <row r="13824" spans="1:1" ht="18.75" x14ac:dyDescent="0.25">
      <c r="A13824" s="6"/>
    </row>
    <row r="13825" spans="1:1" ht="18.75" x14ac:dyDescent="0.25">
      <c r="A13825" s="6"/>
    </row>
    <row r="13826" spans="1:1" ht="18.75" x14ac:dyDescent="0.25">
      <c r="A13826" s="6"/>
    </row>
    <row r="13827" spans="1:1" ht="18.75" x14ac:dyDescent="0.25">
      <c r="A13827" s="6"/>
    </row>
    <row r="13828" spans="1:1" ht="18.75" x14ac:dyDescent="0.25">
      <c r="A13828" s="6"/>
    </row>
    <row r="13829" spans="1:1" ht="18.75" x14ac:dyDescent="0.25">
      <c r="A13829" s="6"/>
    </row>
    <row r="13830" spans="1:1" ht="18.75" x14ac:dyDescent="0.25">
      <c r="A13830" s="6"/>
    </row>
    <row r="13831" spans="1:1" ht="18.75" x14ac:dyDescent="0.25">
      <c r="A13831" s="6"/>
    </row>
    <row r="13832" spans="1:1" ht="18.75" x14ac:dyDescent="0.25">
      <c r="A13832" s="6"/>
    </row>
    <row r="13833" spans="1:1" ht="18.75" x14ac:dyDescent="0.25">
      <c r="A13833" s="6"/>
    </row>
    <row r="13834" spans="1:1" ht="18.75" x14ac:dyDescent="0.25">
      <c r="A13834" s="6"/>
    </row>
    <row r="13835" spans="1:1" ht="18.75" x14ac:dyDescent="0.25">
      <c r="A13835" s="6"/>
    </row>
    <row r="13836" spans="1:1" ht="18.75" x14ac:dyDescent="0.25">
      <c r="A13836" s="6"/>
    </row>
    <row r="13837" spans="1:1" ht="18.75" x14ac:dyDescent="0.25">
      <c r="A13837" s="6"/>
    </row>
    <row r="13838" spans="1:1" ht="18.75" x14ac:dyDescent="0.25">
      <c r="A13838" s="6"/>
    </row>
    <row r="13839" spans="1:1" ht="18.75" x14ac:dyDescent="0.25">
      <c r="A13839" s="6"/>
    </row>
    <row r="13840" spans="1:1" ht="18.75" x14ac:dyDescent="0.25">
      <c r="A13840" s="6"/>
    </row>
    <row r="13841" spans="1:1" ht="18.75" x14ac:dyDescent="0.25">
      <c r="A13841" s="6"/>
    </row>
    <row r="13842" spans="1:1" ht="18.75" x14ac:dyDescent="0.25">
      <c r="A13842" s="6"/>
    </row>
    <row r="13843" spans="1:1" ht="18.75" x14ac:dyDescent="0.25">
      <c r="A13843" s="6"/>
    </row>
    <row r="13844" spans="1:1" ht="18.75" x14ac:dyDescent="0.25">
      <c r="A13844" s="6"/>
    </row>
    <row r="13845" spans="1:1" ht="18.75" x14ac:dyDescent="0.25">
      <c r="A13845" s="6"/>
    </row>
    <row r="13846" spans="1:1" ht="18.75" x14ac:dyDescent="0.25">
      <c r="A13846" s="6"/>
    </row>
    <row r="13847" spans="1:1" ht="18.75" x14ac:dyDescent="0.25">
      <c r="A13847" s="6"/>
    </row>
    <row r="13848" spans="1:1" ht="18.75" x14ac:dyDescent="0.25">
      <c r="A13848" s="6"/>
    </row>
    <row r="13849" spans="1:1" ht="18.75" x14ac:dyDescent="0.25">
      <c r="A13849" s="6"/>
    </row>
    <row r="13850" spans="1:1" ht="18.75" x14ac:dyDescent="0.25">
      <c r="A13850" s="6"/>
    </row>
    <row r="13851" spans="1:1" ht="18.75" x14ac:dyDescent="0.25">
      <c r="A13851" s="6"/>
    </row>
    <row r="13852" spans="1:1" ht="18.75" x14ac:dyDescent="0.25">
      <c r="A13852" s="6"/>
    </row>
    <row r="13853" spans="1:1" ht="18.75" x14ac:dyDescent="0.25">
      <c r="A13853" s="6"/>
    </row>
    <row r="13854" spans="1:1" ht="18.75" x14ac:dyDescent="0.25">
      <c r="A13854" s="6"/>
    </row>
    <row r="13855" spans="1:1" ht="18.75" x14ac:dyDescent="0.25">
      <c r="A13855" s="6"/>
    </row>
    <row r="13856" spans="1:1" ht="18.75" x14ac:dyDescent="0.25">
      <c r="A13856" s="6"/>
    </row>
    <row r="13857" spans="1:1" ht="18.75" x14ac:dyDescent="0.25">
      <c r="A13857" s="6"/>
    </row>
    <row r="13858" spans="1:1" ht="18.75" x14ac:dyDescent="0.25">
      <c r="A13858" s="6"/>
    </row>
    <row r="13859" spans="1:1" ht="18.75" x14ac:dyDescent="0.25">
      <c r="A13859" s="6"/>
    </row>
    <row r="13860" spans="1:1" ht="18.75" x14ac:dyDescent="0.25">
      <c r="A13860" s="6"/>
    </row>
    <row r="13861" spans="1:1" ht="18.75" x14ac:dyDescent="0.25">
      <c r="A13861" s="6"/>
    </row>
    <row r="13862" spans="1:1" ht="18.75" x14ac:dyDescent="0.25">
      <c r="A13862" s="6"/>
    </row>
    <row r="13863" spans="1:1" ht="18.75" x14ac:dyDescent="0.25">
      <c r="A13863" s="6"/>
    </row>
    <row r="13864" spans="1:1" ht="18.75" x14ac:dyDescent="0.25">
      <c r="A13864" s="6"/>
    </row>
    <row r="13865" spans="1:1" ht="18.75" x14ac:dyDescent="0.25">
      <c r="A13865" s="6"/>
    </row>
    <row r="13866" spans="1:1" ht="18.75" x14ac:dyDescent="0.25">
      <c r="A13866" s="6"/>
    </row>
    <row r="13867" spans="1:1" ht="18.75" x14ac:dyDescent="0.25">
      <c r="A13867" s="6"/>
    </row>
    <row r="13868" spans="1:1" ht="18.75" x14ac:dyDescent="0.25">
      <c r="A13868" s="6"/>
    </row>
    <row r="13869" spans="1:1" ht="18.75" x14ac:dyDescent="0.25">
      <c r="A13869" s="6"/>
    </row>
    <row r="13870" spans="1:1" ht="18.75" x14ac:dyDescent="0.25">
      <c r="A13870" s="6"/>
    </row>
    <row r="13871" spans="1:1" ht="18.75" x14ac:dyDescent="0.25">
      <c r="A13871" s="6"/>
    </row>
    <row r="13872" spans="1:1" ht="18.75" x14ac:dyDescent="0.25">
      <c r="A13872" s="6"/>
    </row>
    <row r="13873" spans="1:1" ht="18.75" x14ac:dyDescent="0.25">
      <c r="A13873" s="6"/>
    </row>
    <row r="13874" spans="1:1" ht="18.75" x14ac:dyDescent="0.25">
      <c r="A13874" s="6"/>
    </row>
    <row r="13875" spans="1:1" ht="18.75" x14ac:dyDescent="0.25">
      <c r="A13875" s="6"/>
    </row>
    <row r="13876" spans="1:1" ht="18.75" x14ac:dyDescent="0.25">
      <c r="A13876" s="6"/>
    </row>
    <row r="13877" spans="1:1" ht="18.75" x14ac:dyDescent="0.25">
      <c r="A13877" s="6"/>
    </row>
    <row r="13878" spans="1:1" ht="18.75" x14ac:dyDescent="0.25">
      <c r="A13878" s="6"/>
    </row>
    <row r="13879" spans="1:1" ht="18.75" x14ac:dyDescent="0.25">
      <c r="A13879" s="6"/>
    </row>
    <row r="13880" spans="1:1" ht="18.75" x14ac:dyDescent="0.25">
      <c r="A13880" s="6"/>
    </row>
    <row r="13881" spans="1:1" ht="18.75" x14ac:dyDescent="0.25">
      <c r="A13881" s="6"/>
    </row>
    <row r="13882" spans="1:1" ht="18.75" x14ac:dyDescent="0.25">
      <c r="A13882" s="6"/>
    </row>
    <row r="13883" spans="1:1" ht="18.75" x14ac:dyDescent="0.25">
      <c r="A13883" s="6"/>
    </row>
    <row r="13884" spans="1:1" ht="18.75" x14ac:dyDescent="0.25">
      <c r="A13884" s="6"/>
    </row>
    <row r="13885" spans="1:1" ht="18.75" x14ac:dyDescent="0.25">
      <c r="A13885" s="6"/>
    </row>
    <row r="13886" spans="1:1" ht="18.75" x14ac:dyDescent="0.25">
      <c r="A13886" s="6"/>
    </row>
    <row r="13887" spans="1:1" ht="18.75" x14ac:dyDescent="0.25">
      <c r="A13887" s="6"/>
    </row>
    <row r="13888" spans="1:1" ht="18.75" x14ac:dyDescent="0.25">
      <c r="A13888" s="6"/>
    </row>
    <row r="13889" spans="1:1" ht="18.75" x14ac:dyDescent="0.25">
      <c r="A13889" s="6"/>
    </row>
    <row r="13890" spans="1:1" ht="18.75" x14ac:dyDescent="0.25">
      <c r="A13890" s="6"/>
    </row>
    <row r="13891" spans="1:1" ht="18.75" x14ac:dyDescent="0.25">
      <c r="A13891" s="6"/>
    </row>
    <row r="13892" spans="1:1" ht="18.75" x14ac:dyDescent="0.25">
      <c r="A13892" s="6"/>
    </row>
    <row r="13893" spans="1:1" ht="18.75" x14ac:dyDescent="0.25">
      <c r="A13893" s="6"/>
    </row>
    <row r="13894" spans="1:1" ht="18.75" x14ac:dyDescent="0.25">
      <c r="A13894" s="6"/>
    </row>
    <row r="13895" spans="1:1" ht="18.75" x14ac:dyDescent="0.25">
      <c r="A13895" s="6"/>
    </row>
    <row r="13896" spans="1:1" ht="18.75" x14ac:dyDescent="0.25">
      <c r="A13896" s="6"/>
    </row>
    <row r="13897" spans="1:1" ht="18.75" x14ac:dyDescent="0.25">
      <c r="A13897" s="6"/>
    </row>
    <row r="13898" spans="1:1" ht="18.75" x14ac:dyDescent="0.25">
      <c r="A13898" s="6"/>
    </row>
    <row r="13899" spans="1:1" ht="18.75" x14ac:dyDescent="0.25">
      <c r="A13899" s="6"/>
    </row>
    <row r="13900" spans="1:1" ht="18.75" x14ac:dyDescent="0.25">
      <c r="A13900" s="6"/>
    </row>
    <row r="13901" spans="1:1" ht="18.75" x14ac:dyDescent="0.25">
      <c r="A13901" s="6"/>
    </row>
    <row r="13902" spans="1:1" ht="18.75" x14ac:dyDescent="0.25">
      <c r="A13902" s="6"/>
    </row>
    <row r="13903" spans="1:1" ht="18.75" x14ac:dyDescent="0.25">
      <c r="A13903" s="6"/>
    </row>
    <row r="13904" spans="1:1" ht="18.75" x14ac:dyDescent="0.25">
      <c r="A13904" s="6"/>
    </row>
    <row r="13905" spans="1:1" ht="18.75" x14ac:dyDescent="0.25">
      <c r="A13905" s="6"/>
    </row>
    <row r="13906" spans="1:1" ht="18.75" x14ac:dyDescent="0.25">
      <c r="A13906" s="6"/>
    </row>
    <row r="13907" spans="1:1" ht="18.75" x14ac:dyDescent="0.25">
      <c r="A13907" s="6"/>
    </row>
    <row r="13908" spans="1:1" ht="18.75" x14ac:dyDescent="0.25">
      <c r="A13908" s="6"/>
    </row>
    <row r="13909" spans="1:1" ht="18.75" x14ac:dyDescent="0.25">
      <c r="A13909" s="6"/>
    </row>
    <row r="13910" spans="1:1" ht="18.75" x14ac:dyDescent="0.25">
      <c r="A13910" s="6"/>
    </row>
    <row r="13911" spans="1:1" ht="18.75" x14ac:dyDescent="0.25">
      <c r="A13911" s="6"/>
    </row>
    <row r="13912" spans="1:1" ht="18.75" x14ac:dyDescent="0.25">
      <c r="A13912" s="6"/>
    </row>
    <row r="13913" spans="1:1" ht="18.75" x14ac:dyDescent="0.25">
      <c r="A13913" s="6"/>
    </row>
    <row r="13914" spans="1:1" ht="18.75" x14ac:dyDescent="0.25">
      <c r="A13914" s="6"/>
    </row>
    <row r="13915" spans="1:1" ht="18.75" x14ac:dyDescent="0.25">
      <c r="A13915" s="6"/>
    </row>
    <row r="13916" spans="1:1" ht="18.75" x14ac:dyDescent="0.25">
      <c r="A13916" s="6"/>
    </row>
    <row r="13917" spans="1:1" ht="18.75" x14ac:dyDescent="0.25">
      <c r="A13917" s="6"/>
    </row>
    <row r="13918" spans="1:1" ht="18.75" x14ac:dyDescent="0.25">
      <c r="A13918" s="6"/>
    </row>
    <row r="13919" spans="1:1" ht="18.75" x14ac:dyDescent="0.25">
      <c r="A13919" s="6"/>
    </row>
    <row r="13920" spans="1:1" ht="18.75" x14ac:dyDescent="0.25">
      <c r="A13920" s="6"/>
    </row>
    <row r="13921" spans="1:1" ht="18.75" x14ac:dyDescent="0.25">
      <c r="A13921" s="6"/>
    </row>
    <row r="13922" spans="1:1" ht="18.75" x14ac:dyDescent="0.25">
      <c r="A13922" s="6"/>
    </row>
    <row r="13923" spans="1:1" ht="18.75" x14ac:dyDescent="0.25">
      <c r="A13923" s="6"/>
    </row>
    <row r="13924" spans="1:1" ht="18.75" x14ac:dyDescent="0.25">
      <c r="A13924" s="6"/>
    </row>
    <row r="13925" spans="1:1" ht="18.75" x14ac:dyDescent="0.25">
      <c r="A13925" s="6"/>
    </row>
    <row r="13926" spans="1:1" ht="18.75" x14ac:dyDescent="0.25">
      <c r="A13926" s="6"/>
    </row>
    <row r="13927" spans="1:1" ht="18.75" x14ac:dyDescent="0.25">
      <c r="A13927" s="6"/>
    </row>
    <row r="13928" spans="1:1" ht="18.75" x14ac:dyDescent="0.25">
      <c r="A13928" s="6"/>
    </row>
    <row r="13929" spans="1:1" ht="18.75" x14ac:dyDescent="0.25">
      <c r="A13929" s="6"/>
    </row>
    <row r="13930" spans="1:1" ht="18.75" x14ac:dyDescent="0.25">
      <c r="A13930" s="6"/>
    </row>
    <row r="13931" spans="1:1" ht="18.75" x14ac:dyDescent="0.25">
      <c r="A13931" s="6"/>
    </row>
    <row r="13932" spans="1:1" ht="18.75" x14ac:dyDescent="0.25">
      <c r="A13932" s="6"/>
    </row>
    <row r="13933" spans="1:1" ht="18.75" x14ac:dyDescent="0.25">
      <c r="A13933" s="6"/>
    </row>
    <row r="13934" spans="1:1" ht="18.75" x14ac:dyDescent="0.25">
      <c r="A13934" s="6"/>
    </row>
    <row r="13935" spans="1:1" ht="18.75" x14ac:dyDescent="0.25">
      <c r="A13935" s="6"/>
    </row>
    <row r="13936" spans="1:1" ht="18.75" x14ac:dyDescent="0.25">
      <c r="A13936" s="6"/>
    </row>
    <row r="13937" spans="1:1" ht="18.75" x14ac:dyDescent="0.25">
      <c r="A13937" s="6"/>
    </row>
    <row r="13938" spans="1:1" ht="18.75" x14ac:dyDescent="0.25">
      <c r="A13938" s="6"/>
    </row>
    <row r="13939" spans="1:1" ht="18.75" x14ac:dyDescent="0.25">
      <c r="A13939" s="6"/>
    </row>
    <row r="13940" spans="1:1" ht="18.75" x14ac:dyDescent="0.25">
      <c r="A13940" s="6"/>
    </row>
    <row r="13941" spans="1:1" ht="18.75" x14ac:dyDescent="0.25">
      <c r="A13941" s="6"/>
    </row>
    <row r="13942" spans="1:1" ht="18.75" x14ac:dyDescent="0.25">
      <c r="A13942" s="6"/>
    </row>
    <row r="13943" spans="1:1" ht="18.75" x14ac:dyDescent="0.25">
      <c r="A13943" s="6"/>
    </row>
    <row r="13944" spans="1:1" ht="18.75" x14ac:dyDescent="0.25">
      <c r="A13944" s="6"/>
    </row>
    <row r="13945" spans="1:1" ht="18.75" x14ac:dyDescent="0.25">
      <c r="A13945" s="6"/>
    </row>
    <row r="13946" spans="1:1" ht="18.75" x14ac:dyDescent="0.25">
      <c r="A13946" s="6"/>
    </row>
    <row r="13947" spans="1:1" ht="18.75" x14ac:dyDescent="0.25">
      <c r="A13947" s="6"/>
    </row>
    <row r="13948" spans="1:1" ht="18.75" x14ac:dyDescent="0.25">
      <c r="A13948" s="6"/>
    </row>
    <row r="13949" spans="1:1" ht="18.75" x14ac:dyDescent="0.25">
      <c r="A13949" s="6"/>
    </row>
    <row r="13950" spans="1:1" ht="18.75" x14ac:dyDescent="0.25">
      <c r="A13950" s="6"/>
    </row>
    <row r="13951" spans="1:1" ht="18.75" x14ac:dyDescent="0.25">
      <c r="A13951" s="6"/>
    </row>
    <row r="13952" spans="1:1" ht="18.75" x14ac:dyDescent="0.25">
      <c r="A13952" s="6"/>
    </row>
    <row r="13953" spans="1:1" ht="18.75" x14ac:dyDescent="0.25">
      <c r="A13953" s="6"/>
    </row>
    <row r="13954" spans="1:1" ht="18.75" x14ac:dyDescent="0.25">
      <c r="A13954" s="6"/>
    </row>
    <row r="13955" spans="1:1" ht="18.75" x14ac:dyDescent="0.25">
      <c r="A13955" s="6"/>
    </row>
    <row r="13956" spans="1:1" ht="18.75" x14ac:dyDescent="0.25">
      <c r="A13956" s="6"/>
    </row>
    <row r="13957" spans="1:1" ht="18.75" x14ac:dyDescent="0.25">
      <c r="A13957" s="6"/>
    </row>
    <row r="13958" spans="1:1" ht="18.75" x14ac:dyDescent="0.25">
      <c r="A13958" s="6"/>
    </row>
    <row r="13959" spans="1:1" ht="18.75" x14ac:dyDescent="0.25">
      <c r="A13959" s="6"/>
    </row>
    <row r="13960" spans="1:1" ht="18.75" x14ac:dyDescent="0.25">
      <c r="A13960" s="6"/>
    </row>
    <row r="13961" spans="1:1" ht="18.75" x14ac:dyDescent="0.25">
      <c r="A13961" s="6"/>
    </row>
    <row r="13962" spans="1:1" ht="18.75" x14ac:dyDescent="0.25">
      <c r="A13962" s="6"/>
    </row>
    <row r="13963" spans="1:1" ht="18.75" x14ac:dyDescent="0.25">
      <c r="A13963" s="6"/>
    </row>
    <row r="13964" spans="1:1" ht="18.75" x14ac:dyDescent="0.25">
      <c r="A13964" s="6"/>
    </row>
    <row r="13965" spans="1:1" ht="18.75" x14ac:dyDescent="0.25">
      <c r="A13965" s="6"/>
    </row>
    <row r="13966" spans="1:1" ht="18.75" x14ac:dyDescent="0.25">
      <c r="A13966" s="6"/>
    </row>
    <row r="13967" spans="1:1" ht="18.75" x14ac:dyDescent="0.25">
      <c r="A13967" s="6"/>
    </row>
    <row r="13968" spans="1:1" ht="18.75" x14ac:dyDescent="0.25">
      <c r="A13968" s="6"/>
    </row>
    <row r="13969" spans="1:1" ht="18.75" x14ac:dyDescent="0.25">
      <c r="A13969" s="6"/>
    </row>
    <row r="13970" spans="1:1" ht="18.75" x14ac:dyDescent="0.25">
      <c r="A13970" s="6"/>
    </row>
    <row r="13971" spans="1:1" ht="18.75" x14ac:dyDescent="0.25">
      <c r="A13971" s="6"/>
    </row>
    <row r="13972" spans="1:1" ht="18.75" x14ac:dyDescent="0.25">
      <c r="A13972" s="6"/>
    </row>
    <row r="13973" spans="1:1" ht="18.75" x14ac:dyDescent="0.25">
      <c r="A13973" s="6"/>
    </row>
    <row r="13974" spans="1:1" ht="18.75" x14ac:dyDescent="0.25">
      <c r="A13974" s="6"/>
    </row>
    <row r="13975" spans="1:1" ht="18.75" x14ac:dyDescent="0.25">
      <c r="A13975" s="6"/>
    </row>
    <row r="13976" spans="1:1" ht="18.75" x14ac:dyDescent="0.25">
      <c r="A13976" s="6"/>
    </row>
    <row r="13977" spans="1:1" ht="18.75" x14ac:dyDescent="0.25">
      <c r="A13977" s="6"/>
    </row>
    <row r="13978" spans="1:1" ht="18.75" x14ac:dyDescent="0.25">
      <c r="A13978" s="6"/>
    </row>
    <row r="13979" spans="1:1" ht="18.75" x14ac:dyDescent="0.25">
      <c r="A13979" s="6"/>
    </row>
    <row r="13980" spans="1:1" ht="18.75" x14ac:dyDescent="0.25">
      <c r="A13980" s="6"/>
    </row>
    <row r="13981" spans="1:1" ht="18.75" x14ac:dyDescent="0.25">
      <c r="A13981" s="6"/>
    </row>
    <row r="13982" spans="1:1" ht="18.75" x14ac:dyDescent="0.25">
      <c r="A13982" s="6"/>
    </row>
    <row r="13983" spans="1:1" ht="18.75" x14ac:dyDescent="0.25">
      <c r="A13983" s="6"/>
    </row>
    <row r="13984" spans="1:1" ht="18.75" x14ac:dyDescent="0.25">
      <c r="A13984" s="6"/>
    </row>
    <row r="13985" spans="1:1" ht="18.75" x14ac:dyDescent="0.25">
      <c r="A13985" s="6"/>
    </row>
    <row r="13986" spans="1:1" ht="18.75" x14ac:dyDescent="0.25">
      <c r="A13986" s="6"/>
    </row>
    <row r="13987" spans="1:1" ht="18.75" x14ac:dyDescent="0.25">
      <c r="A13987" s="6"/>
    </row>
    <row r="13988" spans="1:1" ht="18.75" x14ac:dyDescent="0.25">
      <c r="A13988" s="6"/>
    </row>
    <row r="13989" spans="1:1" ht="18.75" x14ac:dyDescent="0.25">
      <c r="A13989" s="6"/>
    </row>
    <row r="13990" spans="1:1" ht="18.75" x14ac:dyDescent="0.25">
      <c r="A13990" s="6"/>
    </row>
    <row r="13991" spans="1:1" ht="18.75" x14ac:dyDescent="0.25">
      <c r="A13991" s="6"/>
    </row>
    <row r="13992" spans="1:1" ht="18.75" x14ac:dyDescent="0.25">
      <c r="A13992" s="6"/>
    </row>
    <row r="13993" spans="1:1" ht="18.75" x14ac:dyDescent="0.25">
      <c r="A13993" s="6"/>
    </row>
    <row r="13994" spans="1:1" ht="18.75" x14ac:dyDescent="0.25">
      <c r="A13994" s="6"/>
    </row>
    <row r="13995" spans="1:1" ht="18.75" x14ac:dyDescent="0.25">
      <c r="A13995" s="6"/>
    </row>
    <row r="13996" spans="1:1" ht="18.75" x14ac:dyDescent="0.25">
      <c r="A13996" s="6"/>
    </row>
    <row r="13997" spans="1:1" ht="18.75" x14ac:dyDescent="0.25">
      <c r="A13997" s="6"/>
    </row>
    <row r="13998" spans="1:1" ht="18.75" x14ac:dyDescent="0.25">
      <c r="A13998" s="6"/>
    </row>
    <row r="13999" spans="1:1" ht="18.75" x14ac:dyDescent="0.25">
      <c r="A13999" s="6"/>
    </row>
    <row r="14000" spans="1:1" ht="18.75" x14ac:dyDescent="0.25">
      <c r="A14000" s="6"/>
    </row>
    <row r="14001" spans="1:1" ht="18.75" x14ac:dyDescent="0.25">
      <c r="A14001" s="6"/>
    </row>
    <row r="14002" spans="1:1" ht="18.75" x14ac:dyDescent="0.25">
      <c r="A14002" s="6"/>
    </row>
    <row r="14003" spans="1:1" ht="18.75" x14ac:dyDescent="0.25">
      <c r="A14003" s="6"/>
    </row>
    <row r="14004" spans="1:1" ht="18.75" x14ac:dyDescent="0.25">
      <c r="A14004" s="6"/>
    </row>
    <row r="14005" spans="1:1" ht="18.75" x14ac:dyDescent="0.25">
      <c r="A14005" s="6"/>
    </row>
    <row r="14006" spans="1:1" ht="18.75" x14ac:dyDescent="0.25">
      <c r="A14006" s="6"/>
    </row>
    <row r="14007" spans="1:1" ht="18.75" x14ac:dyDescent="0.25">
      <c r="A14007" s="6"/>
    </row>
    <row r="14008" spans="1:1" ht="18.75" x14ac:dyDescent="0.25">
      <c r="A14008" s="6"/>
    </row>
    <row r="14009" spans="1:1" ht="18.75" x14ac:dyDescent="0.25">
      <c r="A14009" s="6"/>
    </row>
    <row r="14010" spans="1:1" ht="18.75" x14ac:dyDescent="0.25">
      <c r="A14010" s="6"/>
    </row>
    <row r="14011" spans="1:1" ht="18.75" x14ac:dyDescent="0.25">
      <c r="A14011" s="6"/>
    </row>
    <row r="14012" spans="1:1" ht="18.75" x14ac:dyDescent="0.25">
      <c r="A14012" s="6"/>
    </row>
    <row r="14013" spans="1:1" ht="18.75" x14ac:dyDescent="0.25">
      <c r="A14013" s="6"/>
    </row>
    <row r="14014" spans="1:1" ht="18.75" x14ac:dyDescent="0.25">
      <c r="A14014" s="6"/>
    </row>
    <row r="14015" spans="1:1" ht="18.75" x14ac:dyDescent="0.25">
      <c r="A14015" s="6"/>
    </row>
    <row r="14016" spans="1:1" ht="18.75" x14ac:dyDescent="0.25">
      <c r="A14016" s="6"/>
    </row>
    <row r="14017" spans="1:1" ht="18.75" x14ac:dyDescent="0.25">
      <c r="A14017" s="6"/>
    </row>
    <row r="14018" spans="1:1" ht="18.75" x14ac:dyDescent="0.25">
      <c r="A14018" s="6"/>
    </row>
    <row r="14019" spans="1:1" ht="18.75" x14ac:dyDescent="0.25">
      <c r="A14019" s="6"/>
    </row>
    <row r="14020" spans="1:1" ht="18.75" x14ac:dyDescent="0.25">
      <c r="A14020" s="6"/>
    </row>
    <row r="14021" spans="1:1" ht="18.75" x14ac:dyDescent="0.25">
      <c r="A14021" s="6"/>
    </row>
    <row r="14022" spans="1:1" ht="18.75" x14ac:dyDescent="0.25">
      <c r="A14022" s="6"/>
    </row>
    <row r="14023" spans="1:1" ht="18.75" x14ac:dyDescent="0.25">
      <c r="A14023" s="6"/>
    </row>
    <row r="14024" spans="1:1" ht="18.75" x14ac:dyDescent="0.25">
      <c r="A14024" s="6"/>
    </row>
    <row r="14025" spans="1:1" ht="18.75" x14ac:dyDescent="0.25">
      <c r="A14025" s="6"/>
    </row>
    <row r="14026" spans="1:1" ht="18.75" x14ac:dyDescent="0.25">
      <c r="A14026" s="6"/>
    </row>
    <row r="14027" spans="1:1" ht="18.75" x14ac:dyDescent="0.25">
      <c r="A14027" s="6"/>
    </row>
    <row r="14028" spans="1:1" ht="18.75" x14ac:dyDescent="0.25">
      <c r="A14028" s="6"/>
    </row>
    <row r="14029" spans="1:1" ht="18.75" x14ac:dyDescent="0.25">
      <c r="A14029" s="6"/>
    </row>
    <row r="14030" spans="1:1" ht="18.75" x14ac:dyDescent="0.25">
      <c r="A14030" s="6"/>
    </row>
    <row r="14031" spans="1:1" ht="18.75" x14ac:dyDescent="0.25">
      <c r="A14031" s="6"/>
    </row>
    <row r="14032" spans="1:1" ht="18.75" x14ac:dyDescent="0.25">
      <c r="A14032" s="6"/>
    </row>
    <row r="14033" spans="1:1" ht="18.75" x14ac:dyDescent="0.25">
      <c r="A14033" s="6"/>
    </row>
    <row r="14034" spans="1:1" ht="18.75" x14ac:dyDescent="0.25">
      <c r="A14034" s="6"/>
    </row>
    <row r="14035" spans="1:1" ht="18.75" x14ac:dyDescent="0.25">
      <c r="A14035" s="6"/>
    </row>
    <row r="14036" spans="1:1" ht="18.75" x14ac:dyDescent="0.25">
      <c r="A14036" s="6"/>
    </row>
    <row r="14037" spans="1:1" ht="18.75" x14ac:dyDescent="0.25">
      <c r="A14037" s="6"/>
    </row>
    <row r="14038" spans="1:1" ht="18.75" x14ac:dyDescent="0.25">
      <c r="A14038" s="6"/>
    </row>
    <row r="14039" spans="1:1" ht="18.75" x14ac:dyDescent="0.25">
      <c r="A14039" s="6"/>
    </row>
    <row r="14040" spans="1:1" ht="18.75" x14ac:dyDescent="0.25">
      <c r="A14040" s="6"/>
    </row>
    <row r="14041" spans="1:1" ht="18.75" x14ac:dyDescent="0.25">
      <c r="A14041" s="6"/>
    </row>
    <row r="14042" spans="1:1" ht="18.75" x14ac:dyDescent="0.25">
      <c r="A14042" s="6"/>
    </row>
    <row r="14043" spans="1:1" ht="18.75" x14ac:dyDescent="0.25">
      <c r="A14043" s="6"/>
    </row>
    <row r="14044" spans="1:1" ht="18.75" x14ac:dyDescent="0.25">
      <c r="A14044" s="6"/>
    </row>
    <row r="14045" spans="1:1" ht="18.75" x14ac:dyDescent="0.25">
      <c r="A14045" s="6"/>
    </row>
    <row r="14046" spans="1:1" ht="18.75" x14ac:dyDescent="0.25">
      <c r="A14046" s="6"/>
    </row>
    <row r="14047" spans="1:1" ht="18.75" x14ac:dyDescent="0.25">
      <c r="A14047" s="6"/>
    </row>
    <row r="14048" spans="1:1" ht="18.75" x14ac:dyDescent="0.25">
      <c r="A14048" s="6"/>
    </row>
    <row r="14049" spans="1:1" ht="18.75" x14ac:dyDescent="0.25">
      <c r="A14049" s="6"/>
    </row>
    <row r="14050" spans="1:1" ht="18.75" x14ac:dyDescent="0.25">
      <c r="A14050" s="6"/>
    </row>
    <row r="14051" spans="1:1" ht="18.75" x14ac:dyDescent="0.25">
      <c r="A14051" s="6"/>
    </row>
    <row r="14052" spans="1:1" ht="18.75" x14ac:dyDescent="0.25">
      <c r="A14052" s="6"/>
    </row>
    <row r="14053" spans="1:1" ht="18.75" x14ac:dyDescent="0.25">
      <c r="A14053" s="6"/>
    </row>
    <row r="14054" spans="1:1" ht="18.75" x14ac:dyDescent="0.25">
      <c r="A14054" s="6"/>
    </row>
    <row r="14055" spans="1:1" ht="18.75" x14ac:dyDescent="0.25">
      <c r="A14055" s="6"/>
    </row>
    <row r="14056" spans="1:1" ht="18.75" x14ac:dyDescent="0.25">
      <c r="A14056" s="6"/>
    </row>
    <row r="14057" spans="1:1" ht="18.75" x14ac:dyDescent="0.25">
      <c r="A14057" s="6"/>
    </row>
    <row r="14058" spans="1:1" ht="18.75" x14ac:dyDescent="0.25">
      <c r="A14058" s="6"/>
    </row>
    <row r="14059" spans="1:1" ht="18.75" x14ac:dyDescent="0.25">
      <c r="A14059" s="6"/>
    </row>
    <row r="14060" spans="1:1" ht="18.75" x14ac:dyDescent="0.25">
      <c r="A14060" s="6"/>
    </row>
    <row r="14061" spans="1:1" ht="18.75" x14ac:dyDescent="0.25">
      <c r="A14061" s="6"/>
    </row>
    <row r="14062" spans="1:1" ht="18.75" x14ac:dyDescent="0.25">
      <c r="A14062" s="6"/>
    </row>
    <row r="14063" spans="1:1" ht="18.75" x14ac:dyDescent="0.25">
      <c r="A14063" s="6"/>
    </row>
    <row r="14064" spans="1:1" ht="18.75" x14ac:dyDescent="0.25">
      <c r="A14064" s="6"/>
    </row>
    <row r="14065" spans="1:1" ht="18.75" x14ac:dyDescent="0.25">
      <c r="A14065" s="6"/>
    </row>
    <row r="14066" spans="1:1" ht="18.75" x14ac:dyDescent="0.25">
      <c r="A14066" s="6"/>
    </row>
    <row r="14067" spans="1:1" ht="18.75" x14ac:dyDescent="0.25">
      <c r="A14067" s="6"/>
    </row>
    <row r="14068" spans="1:1" ht="18.75" x14ac:dyDescent="0.25">
      <c r="A14068" s="6"/>
    </row>
    <row r="14069" spans="1:1" ht="18.75" x14ac:dyDescent="0.25">
      <c r="A14069" s="6"/>
    </row>
    <row r="14070" spans="1:1" ht="18.75" x14ac:dyDescent="0.25">
      <c r="A14070" s="6"/>
    </row>
    <row r="14071" spans="1:1" ht="18.75" x14ac:dyDescent="0.25">
      <c r="A14071" s="6"/>
    </row>
    <row r="14072" spans="1:1" ht="18.75" x14ac:dyDescent="0.25">
      <c r="A14072" s="6"/>
    </row>
    <row r="14073" spans="1:1" ht="18.75" x14ac:dyDescent="0.25">
      <c r="A14073" s="6"/>
    </row>
    <row r="14074" spans="1:1" ht="18.75" x14ac:dyDescent="0.25">
      <c r="A14074" s="6"/>
    </row>
    <row r="14075" spans="1:1" ht="18.75" x14ac:dyDescent="0.25">
      <c r="A14075" s="6"/>
    </row>
    <row r="14076" spans="1:1" ht="18.75" x14ac:dyDescent="0.25">
      <c r="A14076" s="6"/>
    </row>
    <row r="14077" spans="1:1" ht="18.75" x14ac:dyDescent="0.25">
      <c r="A14077" s="6"/>
    </row>
    <row r="14078" spans="1:1" ht="18.75" x14ac:dyDescent="0.25">
      <c r="A14078" s="6"/>
    </row>
    <row r="14079" spans="1:1" ht="18.75" x14ac:dyDescent="0.25">
      <c r="A14079" s="6"/>
    </row>
    <row r="14080" spans="1:1" ht="18.75" x14ac:dyDescent="0.25">
      <c r="A14080" s="6"/>
    </row>
    <row r="14081" spans="1:1" ht="18.75" x14ac:dyDescent="0.25">
      <c r="A14081" s="6"/>
    </row>
    <row r="14082" spans="1:1" ht="18.75" x14ac:dyDescent="0.25">
      <c r="A14082" s="6"/>
    </row>
    <row r="14083" spans="1:1" ht="18.75" x14ac:dyDescent="0.25">
      <c r="A14083" s="6"/>
    </row>
    <row r="14084" spans="1:1" ht="18.75" x14ac:dyDescent="0.25">
      <c r="A14084" s="6"/>
    </row>
    <row r="14085" spans="1:1" ht="18.75" x14ac:dyDescent="0.25">
      <c r="A14085" s="6"/>
    </row>
    <row r="14086" spans="1:1" ht="18.75" x14ac:dyDescent="0.25">
      <c r="A14086" s="6"/>
    </row>
    <row r="14087" spans="1:1" ht="18.75" x14ac:dyDescent="0.25">
      <c r="A14087" s="6"/>
    </row>
    <row r="14088" spans="1:1" ht="18.75" x14ac:dyDescent="0.25">
      <c r="A14088" s="6"/>
    </row>
    <row r="14089" spans="1:1" ht="18.75" x14ac:dyDescent="0.25">
      <c r="A14089" s="6"/>
    </row>
    <row r="14090" spans="1:1" ht="18.75" x14ac:dyDescent="0.25">
      <c r="A14090" s="6"/>
    </row>
    <row r="14091" spans="1:1" ht="18.75" x14ac:dyDescent="0.25">
      <c r="A14091" s="6"/>
    </row>
    <row r="14092" spans="1:1" ht="18.75" x14ac:dyDescent="0.25">
      <c r="A14092" s="6"/>
    </row>
    <row r="14093" spans="1:1" ht="18.75" x14ac:dyDescent="0.25">
      <c r="A14093" s="6"/>
    </row>
    <row r="14094" spans="1:1" ht="18.75" x14ac:dyDescent="0.25">
      <c r="A14094" s="6"/>
    </row>
    <row r="14095" spans="1:1" ht="18.75" x14ac:dyDescent="0.25">
      <c r="A14095" s="6"/>
    </row>
    <row r="14096" spans="1:1" ht="18.75" x14ac:dyDescent="0.25">
      <c r="A14096" s="6"/>
    </row>
    <row r="14097" spans="1:1" ht="18.75" x14ac:dyDescent="0.25">
      <c r="A14097" s="6"/>
    </row>
    <row r="14098" spans="1:1" ht="18.75" x14ac:dyDescent="0.25">
      <c r="A14098" s="6"/>
    </row>
    <row r="14099" spans="1:1" ht="18.75" x14ac:dyDescent="0.25">
      <c r="A14099" s="6"/>
    </row>
    <row r="14100" spans="1:1" ht="18.75" x14ac:dyDescent="0.25">
      <c r="A14100" s="6"/>
    </row>
    <row r="14101" spans="1:1" ht="18.75" x14ac:dyDescent="0.25">
      <c r="A14101" s="6"/>
    </row>
    <row r="14102" spans="1:1" ht="18.75" x14ac:dyDescent="0.25">
      <c r="A14102" s="6"/>
    </row>
    <row r="14103" spans="1:1" ht="18.75" x14ac:dyDescent="0.25">
      <c r="A14103" s="6"/>
    </row>
    <row r="14104" spans="1:1" ht="18.75" x14ac:dyDescent="0.25">
      <c r="A14104" s="6"/>
    </row>
    <row r="14105" spans="1:1" ht="18.75" x14ac:dyDescent="0.25">
      <c r="A14105" s="6"/>
    </row>
    <row r="14106" spans="1:1" ht="18.75" x14ac:dyDescent="0.25">
      <c r="A14106" s="6"/>
    </row>
    <row r="14107" spans="1:1" ht="18.75" x14ac:dyDescent="0.25">
      <c r="A14107" s="6"/>
    </row>
    <row r="14108" spans="1:1" ht="18.75" x14ac:dyDescent="0.25">
      <c r="A14108" s="6"/>
    </row>
    <row r="14109" spans="1:1" ht="18.75" x14ac:dyDescent="0.25">
      <c r="A14109" s="6"/>
    </row>
    <row r="14110" spans="1:1" ht="18.75" x14ac:dyDescent="0.25">
      <c r="A14110" s="6"/>
    </row>
    <row r="14111" spans="1:1" ht="18.75" x14ac:dyDescent="0.25">
      <c r="A14111" s="6"/>
    </row>
    <row r="14112" spans="1:1" ht="18.75" x14ac:dyDescent="0.25">
      <c r="A14112" s="6"/>
    </row>
    <row r="14113" spans="1:1" ht="18.75" x14ac:dyDescent="0.25">
      <c r="A14113" s="6"/>
    </row>
    <row r="14114" spans="1:1" ht="18.75" x14ac:dyDescent="0.25">
      <c r="A14114" s="6"/>
    </row>
    <row r="14115" spans="1:1" ht="18.75" x14ac:dyDescent="0.25">
      <c r="A14115" s="6"/>
    </row>
    <row r="14116" spans="1:1" ht="18.75" x14ac:dyDescent="0.25">
      <c r="A14116" s="6"/>
    </row>
    <row r="14117" spans="1:1" ht="18.75" x14ac:dyDescent="0.25">
      <c r="A14117" s="6"/>
    </row>
    <row r="14118" spans="1:1" ht="18.75" x14ac:dyDescent="0.25">
      <c r="A14118" s="6"/>
    </row>
    <row r="14119" spans="1:1" ht="18.75" x14ac:dyDescent="0.25">
      <c r="A14119" s="6"/>
    </row>
    <row r="14120" spans="1:1" ht="18.75" x14ac:dyDescent="0.25">
      <c r="A14120" s="6"/>
    </row>
    <row r="14121" spans="1:1" ht="18.75" x14ac:dyDescent="0.25">
      <c r="A14121" s="6"/>
    </row>
    <row r="14122" spans="1:1" ht="18.75" x14ac:dyDescent="0.25">
      <c r="A14122" s="6"/>
    </row>
    <row r="14123" spans="1:1" ht="18.75" x14ac:dyDescent="0.25">
      <c r="A14123" s="6"/>
    </row>
    <row r="14124" spans="1:1" ht="18.75" x14ac:dyDescent="0.25">
      <c r="A14124" s="6"/>
    </row>
    <row r="14125" spans="1:1" ht="18.75" x14ac:dyDescent="0.25">
      <c r="A14125" s="6"/>
    </row>
    <row r="14126" spans="1:1" ht="18.75" x14ac:dyDescent="0.25">
      <c r="A14126" s="6"/>
    </row>
    <row r="14127" spans="1:1" ht="18.75" x14ac:dyDescent="0.25">
      <c r="A14127" s="6"/>
    </row>
    <row r="14128" spans="1:1" ht="18.75" x14ac:dyDescent="0.25">
      <c r="A14128" s="6"/>
    </row>
    <row r="14129" spans="1:1" ht="18.75" x14ac:dyDescent="0.25">
      <c r="A14129" s="6"/>
    </row>
    <row r="14130" spans="1:1" ht="18.75" x14ac:dyDescent="0.25">
      <c r="A14130" s="6"/>
    </row>
    <row r="14131" spans="1:1" ht="18.75" x14ac:dyDescent="0.25">
      <c r="A14131" s="6"/>
    </row>
    <row r="14132" spans="1:1" ht="18.75" x14ac:dyDescent="0.25">
      <c r="A14132" s="6"/>
    </row>
    <row r="14133" spans="1:1" ht="18.75" x14ac:dyDescent="0.25">
      <c r="A14133" s="6"/>
    </row>
    <row r="14134" spans="1:1" ht="18.75" x14ac:dyDescent="0.25">
      <c r="A14134" s="6"/>
    </row>
    <row r="14135" spans="1:1" ht="18.75" x14ac:dyDescent="0.25">
      <c r="A14135" s="6"/>
    </row>
    <row r="14136" spans="1:1" ht="18.75" x14ac:dyDescent="0.25">
      <c r="A14136" s="6"/>
    </row>
    <row r="14137" spans="1:1" ht="18.75" x14ac:dyDescent="0.25">
      <c r="A14137" s="6"/>
    </row>
    <row r="14138" spans="1:1" ht="18.75" x14ac:dyDescent="0.25">
      <c r="A14138" s="6"/>
    </row>
    <row r="14139" spans="1:1" ht="18.75" x14ac:dyDescent="0.25">
      <c r="A14139" s="6"/>
    </row>
    <row r="14140" spans="1:1" ht="18.75" x14ac:dyDescent="0.25">
      <c r="A14140" s="6"/>
    </row>
    <row r="14141" spans="1:1" ht="18.75" x14ac:dyDescent="0.25">
      <c r="A14141" s="6"/>
    </row>
    <row r="14142" spans="1:1" ht="18.75" x14ac:dyDescent="0.25">
      <c r="A14142" s="6"/>
    </row>
    <row r="14143" spans="1:1" ht="18.75" x14ac:dyDescent="0.25">
      <c r="A14143" s="6"/>
    </row>
    <row r="14144" spans="1:1" ht="18.75" x14ac:dyDescent="0.25">
      <c r="A14144" s="6"/>
    </row>
    <row r="14145" spans="1:1" ht="18.75" x14ac:dyDescent="0.25">
      <c r="A14145" s="6"/>
    </row>
    <row r="14146" spans="1:1" ht="18.75" x14ac:dyDescent="0.25">
      <c r="A14146" s="6"/>
    </row>
    <row r="14147" spans="1:1" ht="18.75" x14ac:dyDescent="0.25">
      <c r="A14147" s="6"/>
    </row>
    <row r="14148" spans="1:1" ht="18.75" x14ac:dyDescent="0.25">
      <c r="A14148" s="6"/>
    </row>
    <row r="14149" spans="1:1" ht="18.75" x14ac:dyDescent="0.25">
      <c r="A14149" s="6"/>
    </row>
    <row r="14150" spans="1:1" ht="18.75" x14ac:dyDescent="0.25">
      <c r="A14150" s="6"/>
    </row>
    <row r="14151" spans="1:1" ht="18.75" x14ac:dyDescent="0.25">
      <c r="A14151" s="6"/>
    </row>
    <row r="14152" spans="1:1" ht="18.75" x14ac:dyDescent="0.25">
      <c r="A14152" s="6"/>
    </row>
    <row r="14153" spans="1:1" ht="18.75" x14ac:dyDescent="0.25">
      <c r="A14153" s="6"/>
    </row>
    <row r="14154" spans="1:1" ht="18.75" x14ac:dyDescent="0.25">
      <c r="A14154" s="6"/>
    </row>
    <row r="14155" spans="1:1" ht="18.75" x14ac:dyDescent="0.25">
      <c r="A14155" s="6"/>
    </row>
    <row r="14156" spans="1:1" ht="18.75" x14ac:dyDescent="0.25">
      <c r="A14156" s="6"/>
    </row>
    <row r="14157" spans="1:1" ht="18.75" x14ac:dyDescent="0.25">
      <c r="A14157" s="6"/>
    </row>
    <row r="14158" spans="1:1" ht="18.75" x14ac:dyDescent="0.25">
      <c r="A14158" s="6"/>
    </row>
    <row r="14159" spans="1:1" ht="18.75" x14ac:dyDescent="0.25">
      <c r="A14159" s="6"/>
    </row>
    <row r="14160" spans="1:1" ht="18.75" x14ac:dyDescent="0.25">
      <c r="A14160" s="6"/>
    </row>
    <row r="14161" spans="1:1" ht="18.75" x14ac:dyDescent="0.25">
      <c r="A14161" s="6"/>
    </row>
    <row r="14162" spans="1:1" ht="18.75" x14ac:dyDescent="0.25">
      <c r="A14162" s="6"/>
    </row>
    <row r="14163" spans="1:1" ht="18.75" x14ac:dyDescent="0.25">
      <c r="A14163" s="6"/>
    </row>
    <row r="14164" spans="1:1" ht="18.75" x14ac:dyDescent="0.25">
      <c r="A14164" s="6"/>
    </row>
    <row r="14165" spans="1:1" ht="18.75" x14ac:dyDescent="0.25">
      <c r="A14165" s="6"/>
    </row>
    <row r="14166" spans="1:1" ht="18.75" x14ac:dyDescent="0.25">
      <c r="A14166" s="6"/>
    </row>
    <row r="14167" spans="1:1" ht="18.75" x14ac:dyDescent="0.25">
      <c r="A14167" s="6"/>
    </row>
    <row r="14168" spans="1:1" ht="18.75" x14ac:dyDescent="0.25">
      <c r="A14168" s="6"/>
    </row>
    <row r="14169" spans="1:1" ht="18.75" x14ac:dyDescent="0.25">
      <c r="A14169" s="6"/>
    </row>
    <row r="14170" spans="1:1" ht="18.75" x14ac:dyDescent="0.25">
      <c r="A14170" s="6"/>
    </row>
    <row r="14171" spans="1:1" ht="18.75" x14ac:dyDescent="0.25">
      <c r="A14171" s="6"/>
    </row>
    <row r="14172" spans="1:1" ht="18.75" x14ac:dyDescent="0.25">
      <c r="A14172" s="6"/>
    </row>
    <row r="14173" spans="1:1" ht="18.75" x14ac:dyDescent="0.25">
      <c r="A14173" s="6"/>
    </row>
    <row r="14174" spans="1:1" ht="18.75" x14ac:dyDescent="0.25">
      <c r="A14174" s="6"/>
    </row>
    <row r="14175" spans="1:1" ht="18.75" x14ac:dyDescent="0.25">
      <c r="A14175" s="6"/>
    </row>
    <row r="14176" spans="1:1" ht="18.75" x14ac:dyDescent="0.25">
      <c r="A14176" s="6"/>
    </row>
    <row r="14177" spans="1:1" ht="18.75" x14ac:dyDescent="0.25">
      <c r="A14177" s="6"/>
    </row>
    <row r="14178" spans="1:1" ht="18.75" x14ac:dyDescent="0.25">
      <c r="A14178" s="6"/>
    </row>
    <row r="14179" spans="1:1" ht="18.75" x14ac:dyDescent="0.25">
      <c r="A14179" s="6"/>
    </row>
    <row r="14180" spans="1:1" ht="18.75" x14ac:dyDescent="0.25">
      <c r="A14180" s="6"/>
    </row>
    <row r="14181" spans="1:1" ht="18.75" x14ac:dyDescent="0.25">
      <c r="A14181" s="6"/>
    </row>
    <row r="14182" spans="1:1" ht="18.75" x14ac:dyDescent="0.25">
      <c r="A14182" s="6"/>
    </row>
    <row r="14183" spans="1:1" ht="18.75" x14ac:dyDescent="0.25">
      <c r="A14183" s="6"/>
    </row>
    <row r="14184" spans="1:1" ht="18.75" x14ac:dyDescent="0.25">
      <c r="A14184" s="6"/>
    </row>
    <row r="14185" spans="1:1" ht="18.75" x14ac:dyDescent="0.25">
      <c r="A14185" s="6"/>
    </row>
    <row r="14186" spans="1:1" ht="18.75" x14ac:dyDescent="0.25">
      <c r="A14186" s="6"/>
    </row>
    <row r="14187" spans="1:1" ht="18.75" x14ac:dyDescent="0.25">
      <c r="A14187" s="6"/>
    </row>
    <row r="14188" spans="1:1" ht="18.75" x14ac:dyDescent="0.25">
      <c r="A14188" s="6"/>
    </row>
    <row r="14189" spans="1:1" ht="18.75" x14ac:dyDescent="0.25">
      <c r="A14189" s="6"/>
    </row>
    <row r="14190" spans="1:1" ht="18.75" x14ac:dyDescent="0.25">
      <c r="A14190" s="6"/>
    </row>
    <row r="14191" spans="1:1" ht="18.75" x14ac:dyDescent="0.25">
      <c r="A14191" s="6"/>
    </row>
    <row r="14192" spans="1:1" ht="18.75" x14ac:dyDescent="0.25">
      <c r="A14192" s="6"/>
    </row>
    <row r="14193" spans="1:1" ht="18.75" x14ac:dyDescent="0.25">
      <c r="A14193" s="6"/>
    </row>
    <row r="14194" spans="1:1" ht="18.75" x14ac:dyDescent="0.25">
      <c r="A14194" s="6"/>
    </row>
    <row r="14195" spans="1:1" ht="18.75" x14ac:dyDescent="0.25">
      <c r="A14195" s="6"/>
    </row>
    <row r="14196" spans="1:1" ht="18.75" x14ac:dyDescent="0.25">
      <c r="A14196" s="6"/>
    </row>
    <row r="14197" spans="1:1" ht="18.75" x14ac:dyDescent="0.25">
      <c r="A14197" s="6"/>
    </row>
    <row r="14198" spans="1:1" ht="18.75" x14ac:dyDescent="0.25">
      <c r="A14198" s="6"/>
    </row>
    <row r="14199" spans="1:1" ht="18.75" x14ac:dyDescent="0.25">
      <c r="A14199" s="6"/>
    </row>
    <row r="14200" spans="1:1" ht="18.75" x14ac:dyDescent="0.25">
      <c r="A14200" s="6"/>
    </row>
    <row r="14201" spans="1:1" ht="18.75" x14ac:dyDescent="0.25">
      <c r="A14201" s="6"/>
    </row>
    <row r="14202" spans="1:1" ht="18.75" x14ac:dyDescent="0.25">
      <c r="A14202" s="6"/>
    </row>
    <row r="14203" spans="1:1" ht="18.75" x14ac:dyDescent="0.25">
      <c r="A14203" s="6"/>
    </row>
    <row r="14204" spans="1:1" ht="18.75" x14ac:dyDescent="0.25">
      <c r="A14204" s="6"/>
    </row>
    <row r="14205" spans="1:1" ht="18.75" x14ac:dyDescent="0.25">
      <c r="A14205" s="6"/>
    </row>
    <row r="14206" spans="1:1" ht="18.75" x14ac:dyDescent="0.25">
      <c r="A14206" s="6"/>
    </row>
    <row r="14207" spans="1:1" ht="18.75" x14ac:dyDescent="0.25">
      <c r="A14207" s="6"/>
    </row>
    <row r="14208" spans="1:1" ht="18.75" x14ac:dyDescent="0.25">
      <c r="A14208" s="6"/>
    </row>
    <row r="14209" spans="1:1" ht="18.75" x14ac:dyDescent="0.25">
      <c r="A14209" s="6"/>
    </row>
    <row r="14210" spans="1:1" ht="18.75" x14ac:dyDescent="0.25">
      <c r="A14210" s="6"/>
    </row>
    <row r="14211" spans="1:1" ht="18.75" x14ac:dyDescent="0.25">
      <c r="A14211" s="6"/>
    </row>
    <row r="14212" spans="1:1" ht="18.75" x14ac:dyDescent="0.25">
      <c r="A14212" s="6"/>
    </row>
    <row r="14213" spans="1:1" ht="18.75" x14ac:dyDescent="0.25">
      <c r="A14213" s="6"/>
    </row>
    <row r="14214" spans="1:1" ht="18.75" x14ac:dyDescent="0.25">
      <c r="A14214" s="6"/>
    </row>
    <row r="14215" spans="1:1" ht="18.75" x14ac:dyDescent="0.25">
      <c r="A14215" s="6"/>
    </row>
    <row r="14216" spans="1:1" ht="18.75" x14ac:dyDescent="0.25">
      <c r="A14216" s="6"/>
    </row>
    <row r="14217" spans="1:1" ht="18.75" x14ac:dyDescent="0.25">
      <c r="A14217" s="6"/>
    </row>
    <row r="14218" spans="1:1" ht="18.75" x14ac:dyDescent="0.25">
      <c r="A14218" s="6"/>
    </row>
    <row r="14219" spans="1:1" ht="18.75" x14ac:dyDescent="0.25">
      <c r="A14219" s="6"/>
    </row>
    <row r="14220" spans="1:1" ht="18.75" x14ac:dyDescent="0.25">
      <c r="A14220" s="6"/>
    </row>
    <row r="14221" spans="1:1" ht="18.75" x14ac:dyDescent="0.25">
      <c r="A14221" s="6"/>
    </row>
    <row r="14222" spans="1:1" ht="18.75" x14ac:dyDescent="0.25">
      <c r="A14222" s="6"/>
    </row>
    <row r="14223" spans="1:1" ht="18.75" x14ac:dyDescent="0.25">
      <c r="A14223" s="6"/>
    </row>
    <row r="14224" spans="1:1" ht="18.75" x14ac:dyDescent="0.25">
      <c r="A14224" s="6"/>
    </row>
    <row r="14225" spans="1:1" ht="18.75" x14ac:dyDescent="0.25">
      <c r="A14225" s="6"/>
    </row>
    <row r="14226" spans="1:1" ht="18.75" x14ac:dyDescent="0.25">
      <c r="A14226" s="6"/>
    </row>
    <row r="14227" spans="1:1" ht="18.75" x14ac:dyDescent="0.25">
      <c r="A14227" s="6"/>
    </row>
    <row r="14228" spans="1:1" ht="18.75" x14ac:dyDescent="0.25">
      <c r="A14228" s="6"/>
    </row>
    <row r="14229" spans="1:1" ht="18.75" x14ac:dyDescent="0.25">
      <c r="A14229" s="6"/>
    </row>
    <row r="14230" spans="1:1" ht="18.75" x14ac:dyDescent="0.25">
      <c r="A14230" s="6"/>
    </row>
    <row r="14231" spans="1:1" ht="18.75" x14ac:dyDescent="0.25">
      <c r="A14231" s="6"/>
    </row>
    <row r="14232" spans="1:1" ht="18.75" x14ac:dyDescent="0.25">
      <c r="A14232" s="6"/>
    </row>
    <row r="14233" spans="1:1" ht="18.75" x14ac:dyDescent="0.25">
      <c r="A14233" s="6"/>
    </row>
    <row r="14234" spans="1:1" ht="18.75" x14ac:dyDescent="0.25">
      <c r="A14234" s="6"/>
    </row>
    <row r="14235" spans="1:1" ht="18.75" x14ac:dyDescent="0.25">
      <c r="A14235" s="6"/>
    </row>
    <row r="14236" spans="1:1" ht="18.75" x14ac:dyDescent="0.25">
      <c r="A14236" s="6"/>
    </row>
    <row r="14237" spans="1:1" ht="18.75" x14ac:dyDescent="0.25">
      <c r="A14237" s="6"/>
    </row>
    <row r="14238" spans="1:1" ht="18.75" x14ac:dyDescent="0.25">
      <c r="A14238" s="6"/>
    </row>
    <row r="14239" spans="1:1" ht="18.75" x14ac:dyDescent="0.25">
      <c r="A14239" s="6"/>
    </row>
    <row r="14240" spans="1:1" ht="18.75" x14ac:dyDescent="0.25">
      <c r="A14240" s="6"/>
    </row>
    <row r="14241" spans="1:1" ht="18.75" x14ac:dyDescent="0.25">
      <c r="A14241" s="6"/>
    </row>
    <row r="14242" spans="1:1" ht="18.75" x14ac:dyDescent="0.25">
      <c r="A14242" s="6"/>
    </row>
    <row r="14243" spans="1:1" ht="18.75" x14ac:dyDescent="0.25">
      <c r="A14243" s="6"/>
    </row>
    <row r="14244" spans="1:1" ht="18.75" x14ac:dyDescent="0.25">
      <c r="A14244" s="6"/>
    </row>
    <row r="14245" spans="1:1" ht="18.75" x14ac:dyDescent="0.25">
      <c r="A14245" s="6"/>
    </row>
    <row r="14246" spans="1:1" ht="18.75" x14ac:dyDescent="0.25">
      <c r="A14246" s="6"/>
    </row>
    <row r="14247" spans="1:1" ht="18.75" x14ac:dyDescent="0.25">
      <c r="A14247" s="6"/>
    </row>
    <row r="14248" spans="1:1" ht="18.75" x14ac:dyDescent="0.25">
      <c r="A14248" s="6"/>
    </row>
    <row r="14249" spans="1:1" ht="18.75" x14ac:dyDescent="0.25">
      <c r="A14249" s="6"/>
    </row>
    <row r="14250" spans="1:1" ht="18.75" x14ac:dyDescent="0.25">
      <c r="A14250" s="6"/>
    </row>
    <row r="14251" spans="1:1" ht="18.75" x14ac:dyDescent="0.25">
      <c r="A14251" s="6"/>
    </row>
    <row r="14252" spans="1:1" ht="18.75" x14ac:dyDescent="0.25">
      <c r="A14252" s="6"/>
    </row>
    <row r="14253" spans="1:1" ht="18.75" x14ac:dyDescent="0.25">
      <c r="A14253" s="6"/>
    </row>
    <row r="14254" spans="1:1" ht="18.75" x14ac:dyDescent="0.25">
      <c r="A14254" s="6"/>
    </row>
    <row r="14255" spans="1:1" ht="18.75" x14ac:dyDescent="0.25">
      <c r="A14255" s="6"/>
    </row>
    <row r="14256" spans="1:1" ht="18.75" x14ac:dyDescent="0.25">
      <c r="A14256" s="6"/>
    </row>
    <row r="14257" spans="1:1" ht="18.75" x14ac:dyDescent="0.25">
      <c r="A14257" s="6"/>
    </row>
    <row r="14258" spans="1:1" ht="18.75" x14ac:dyDescent="0.25">
      <c r="A14258" s="6"/>
    </row>
    <row r="14259" spans="1:1" ht="18.75" x14ac:dyDescent="0.25">
      <c r="A14259" s="6"/>
    </row>
    <row r="14260" spans="1:1" ht="18.75" x14ac:dyDescent="0.25">
      <c r="A14260" s="6"/>
    </row>
    <row r="14261" spans="1:1" ht="18.75" x14ac:dyDescent="0.25">
      <c r="A14261" s="6"/>
    </row>
    <row r="14262" spans="1:1" ht="18.75" x14ac:dyDescent="0.25">
      <c r="A14262" s="6"/>
    </row>
    <row r="14263" spans="1:1" ht="18.75" x14ac:dyDescent="0.25">
      <c r="A14263" s="6"/>
    </row>
    <row r="14264" spans="1:1" ht="18.75" x14ac:dyDescent="0.25">
      <c r="A14264" s="6"/>
    </row>
    <row r="14265" spans="1:1" ht="18.75" x14ac:dyDescent="0.25">
      <c r="A14265" s="6"/>
    </row>
    <row r="14266" spans="1:1" ht="18.75" x14ac:dyDescent="0.25">
      <c r="A14266" s="6"/>
    </row>
    <row r="14267" spans="1:1" ht="18.75" x14ac:dyDescent="0.25">
      <c r="A14267" s="6"/>
    </row>
    <row r="14268" spans="1:1" ht="18.75" x14ac:dyDescent="0.25">
      <c r="A14268" s="6"/>
    </row>
    <row r="14269" spans="1:1" ht="18.75" x14ac:dyDescent="0.25">
      <c r="A14269" s="6"/>
    </row>
    <row r="14270" spans="1:1" ht="18.75" x14ac:dyDescent="0.25">
      <c r="A14270" s="6"/>
    </row>
    <row r="14271" spans="1:1" ht="18.75" x14ac:dyDescent="0.25">
      <c r="A14271" s="6"/>
    </row>
    <row r="14272" spans="1:1" ht="18.75" x14ac:dyDescent="0.25">
      <c r="A14272" s="6"/>
    </row>
    <row r="14273" spans="1:1" ht="18.75" x14ac:dyDescent="0.25">
      <c r="A14273" s="6"/>
    </row>
    <row r="14274" spans="1:1" ht="18.75" x14ac:dyDescent="0.25">
      <c r="A14274" s="6"/>
    </row>
    <row r="14275" spans="1:1" ht="18.75" x14ac:dyDescent="0.25">
      <c r="A14275" s="6"/>
    </row>
    <row r="14276" spans="1:1" ht="18.75" x14ac:dyDescent="0.25">
      <c r="A14276" s="6"/>
    </row>
    <row r="14277" spans="1:1" ht="18.75" x14ac:dyDescent="0.25">
      <c r="A14277" s="6"/>
    </row>
    <row r="14278" spans="1:1" ht="18.75" x14ac:dyDescent="0.25">
      <c r="A14278" s="6"/>
    </row>
    <row r="14279" spans="1:1" ht="18.75" x14ac:dyDescent="0.25">
      <c r="A14279" s="6"/>
    </row>
    <row r="14280" spans="1:1" ht="18.75" x14ac:dyDescent="0.25">
      <c r="A14280" s="6"/>
    </row>
    <row r="14281" spans="1:1" ht="18.75" x14ac:dyDescent="0.25">
      <c r="A14281" s="6"/>
    </row>
    <row r="14282" spans="1:1" ht="18.75" x14ac:dyDescent="0.25">
      <c r="A14282" s="6"/>
    </row>
    <row r="14283" spans="1:1" ht="18.75" x14ac:dyDescent="0.25">
      <c r="A14283" s="6"/>
    </row>
    <row r="14284" spans="1:1" ht="18.75" x14ac:dyDescent="0.25">
      <c r="A14284" s="6"/>
    </row>
    <row r="14285" spans="1:1" ht="18.75" x14ac:dyDescent="0.25">
      <c r="A14285" s="6"/>
    </row>
    <row r="14286" spans="1:1" ht="18.75" x14ac:dyDescent="0.25">
      <c r="A14286" s="6"/>
    </row>
    <row r="14287" spans="1:1" ht="18.75" x14ac:dyDescent="0.25">
      <c r="A14287" s="6"/>
    </row>
    <row r="14288" spans="1:1" ht="18.75" x14ac:dyDescent="0.25">
      <c r="A14288" s="6"/>
    </row>
    <row r="14289" spans="1:1" ht="18.75" x14ac:dyDescent="0.25">
      <c r="A14289" s="6"/>
    </row>
    <row r="14290" spans="1:1" ht="18.75" x14ac:dyDescent="0.25">
      <c r="A14290" s="6"/>
    </row>
    <row r="14291" spans="1:1" ht="18.75" x14ac:dyDescent="0.25">
      <c r="A14291" s="6"/>
    </row>
    <row r="14292" spans="1:1" ht="18.75" x14ac:dyDescent="0.25">
      <c r="A14292" s="6"/>
    </row>
    <row r="14293" spans="1:1" ht="18.75" x14ac:dyDescent="0.25">
      <c r="A14293" s="6"/>
    </row>
    <row r="14294" spans="1:1" ht="18.75" x14ac:dyDescent="0.25">
      <c r="A14294" s="6"/>
    </row>
    <row r="14295" spans="1:1" ht="18.75" x14ac:dyDescent="0.25">
      <c r="A14295" s="6"/>
    </row>
    <row r="14296" spans="1:1" ht="18.75" x14ac:dyDescent="0.25">
      <c r="A14296" s="6"/>
    </row>
    <row r="14297" spans="1:1" ht="18.75" x14ac:dyDescent="0.25">
      <c r="A14297" s="6"/>
    </row>
    <row r="14298" spans="1:1" ht="18.75" x14ac:dyDescent="0.25">
      <c r="A14298" s="6"/>
    </row>
    <row r="14299" spans="1:1" ht="18.75" x14ac:dyDescent="0.25">
      <c r="A14299" s="6"/>
    </row>
    <row r="14300" spans="1:1" ht="18.75" x14ac:dyDescent="0.25">
      <c r="A14300" s="6"/>
    </row>
    <row r="14301" spans="1:1" ht="18.75" x14ac:dyDescent="0.25">
      <c r="A14301" s="6"/>
    </row>
    <row r="14302" spans="1:1" ht="18.75" x14ac:dyDescent="0.25">
      <c r="A14302" s="6"/>
    </row>
    <row r="14303" spans="1:1" ht="18.75" x14ac:dyDescent="0.25">
      <c r="A14303" s="6"/>
    </row>
    <row r="14304" spans="1:1" ht="18.75" x14ac:dyDescent="0.25">
      <c r="A14304" s="6"/>
    </row>
    <row r="14305" spans="1:1" ht="18.75" x14ac:dyDescent="0.25">
      <c r="A14305" s="6"/>
    </row>
    <row r="14306" spans="1:1" ht="18.75" x14ac:dyDescent="0.25">
      <c r="A14306" s="6"/>
    </row>
    <row r="14307" spans="1:1" ht="18.75" x14ac:dyDescent="0.25">
      <c r="A14307" s="6"/>
    </row>
    <row r="14308" spans="1:1" ht="18.75" x14ac:dyDescent="0.25">
      <c r="A14308" s="6"/>
    </row>
    <row r="14309" spans="1:1" ht="18.75" x14ac:dyDescent="0.25">
      <c r="A14309" s="6"/>
    </row>
    <row r="14310" spans="1:1" ht="18.75" x14ac:dyDescent="0.25">
      <c r="A14310" s="6"/>
    </row>
    <row r="14311" spans="1:1" ht="18.75" x14ac:dyDescent="0.25">
      <c r="A14311" s="6"/>
    </row>
    <row r="14312" spans="1:1" ht="18.75" x14ac:dyDescent="0.25">
      <c r="A14312" s="6"/>
    </row>
    <row r="14313" spans="1:1" ht="18.75" x14ac:dyDescent="0.25">
      <c r="A14313" s="6"/>
    </row>
    <row r="14314" spans="1:1" ht="18.75" x14ac:dyDescent="0.25">
      <c r="A14314" s="6"/>
    </row>
    <row r="14315" spans="1:1" ht="18.75" x14ac:dyDescent="0.25">
      <c r="A14315" s="6"/>
    </row>
    <row r="14316" spans="1:1" ht="18.75" x14ac:dyDescent="0.25">
      <c r="A14316" s="6"/>
    </row>
    <row r="14317" spans="1:1" ht="18.75" x14ac:dyDescent="0.25">
      <c r="A14317" s="6"/>
    </row>
    <row r="14318" spans="1:1" ht="18.75" x14ac:dyDescent="0.25">
      <c r="A14318" s="6"/>
    </row>
    <row r="14319" spans="1:1" ht="18.75" x14ac:dyDescent="0.25">
      <c r="A14319" s="6"/>
    </row>
    <row r="14320" spans="1:1" ht="18.75" x14ac:dyDescent="0.25">
      <c r="A14320" s="6"/>
    </row>
    <row r="14321" spans="1:1" ht="18.75" x14ac:dyDescent="0.25">
      <c r="A14321" s="6"/>
    </row>
    <row r="14322" spans="1:1" ht="18.75" x14ac:dyDescent="0.25">
      <c r="A14322" s="6"/>
    </row>
    <row r="14323" spans="1:1" ht="18.75" x14ac:dyDescent="0.25">
      <c r="A14323" s="6"/>
    </row>
    <row r="14324" spans="1:1" ht="18.75" x14ac:dyDescent="0.25">
      <c r="A14324" s="6"/>
    </row>
    <row r="14325" spans="1:1" ht="18.75" x14ac:dyDescent="0.25">
      <c r="A14325" s="6"/>
    </row>
    <row r="14326" spans="1:1" ht="18.75" x14ac:dyDescent="0.25">
      <c r="A14326" s="6"/>
    </row>
    <row r="14327" spans="1:1" ht="18.75" x14ac:dyDescent="0.25">
      <c r="A14327" s="6"/>
    </row>
    <row r="14328" spans="1:1" ht="18.75" x14ac:dyDescent="0.25">
      <c r="A14328" s="6"/>
    </row>
    <row r="14329" spans="1:1" ht="18.75" x14ac:dyDescent="0.25">
      <c r="A14329" s="6"/>
    </row>
    <row r="14330" spans="1:1" ht="18.75" x14ac:dyDescent="0.25">
      <c r="A14330" s="6"/>
    </row>
    <row r="14331" spans="1:1" ht="18.75" x14ac:dyDescent="0.25">
      <c r="A14331" s="6"/>
    </row>
    <row r="14332" spans="1:1" ht="18.75" x14ac:dyDescent="0.25">
      <c r="A14332" s="6"/>
    </row>
    <row r="14333" spans="1:1" ht="18.75" x14ac:dyDescent="0.25">
      <c r="A14333" s="6"/>
    </row>
    <row r="14334" spans="1:1" ht="18.75" x14ac:dyDescent="0.25">
      <c r="A14334" s="6"/>
    </row>
    <row r="14335" spans="1:1" ht="18.75" x14ac:dyDescent="0.25">
      <c r="A14335" s="6"/>
    </row>
    <row r="14336" spans="1:1" ht="18.75" x14ac:dyDescent="0.25">
      <c r="A14336" s="6"/>
    </row>
    <row r="14337" spans="1:1" ht="18.75" x14ac:dyDescent="0.25">
      <c r="A14337" s="6"/>
    </row>
    <row r="14338" spans="1:1" ht="18.75" x14ac:dyDescent="0.25">
      <c r="A14338" s="6"/>
    </row>
    <row r="14339" spans="1:1" ht="18.75" x14ac:dyDescent="0.25">
      <c r="A14339" s="6"/>
    </row>
    <row r="14340" spans="1:1" ht="18.75" x14ac:dyDescent="0.25">
      <c r="A14340" s="6"/>
    </row>
    <row r="14341" spans="1:1" ht="18.75" x14ac:dyDescent="0.25">
      <c r="A14341" s="6"/>
    </row>
    <row r="14342" spans="1:1" ht="18.75" x14ac:dyDescent="0.25">
      <c r="A14342" s="6"/>
    </row>
    <row r="14343" spans="1:1" ht="18.75" x14ac:dyDescent="0.25">
      <c r="A14343" s="6"/>
    </row>
    <row r="14344" spans="1:1" ht="18.75" x14ac:dyDescent="0.25">
      <c r="A14344" s="6"/>
    </row>
    <row r="14345" spans="1:1" ht="18.75" x14ac:dyDescent="0.25">
      <c r="A14345" s="6"/>
    </row>
    <row r="14346" spans="1:1" ht="18.75" x14ac:dyDescent="0.25">
      <c r="A14346" s="6"/>
    </row>
    <row r="14347" spans="1:1" ht="18.75" x14ac:dyDescent="0.25">
      <c r="A14347" s="6"/>
    </row>
    <row r="14348" spans="1:1" ht="18.75" x14ac:dyDescent="0.25">
      <c r="A14348" s="6"/>
    </row>
    <row r="14349" spans="1:1" ht="18.75" x14ac:dyDescent="0.25">
      <c r="A14349" s="6"/>
    </row>
    <row r="14350" spans="1:1" ht="18.75" x14ac:dyDescent="0.25">
      <c r="A14350" s="6"/>
    </row>
    <row r="14351" spans="1:1" ht="18.75" x14ac:dyDescent="0.25">
      <c r="A14351" s="6"/>
    </row>
    <row r="14352" spans="1:1" ht="18.75" x14ac:dyDescent="0.25">
      <c r="A14352" s="6"/>
    </row>
    <row r="14353" spans="1:1" ht="18.75" x14ac:dyDescent="0.25">
      <c r="A14353" s="6"/>
    </row>
    <row r="14354" spans="1:1" ht="18.75" x14ac:dyDescent="0.25">
      <c r="A14354" s="6"/>
    </row>
    <row r="14355" spans="1:1" ht="18.75" x14ac:dyDescent="0.25">
      <c r="A14355" s="6"/>
    </row>
    <row r="14356" spans="1:1" ht="18.75" x14ac:dyDescent="0.25">
      <c r="A14356" s="6"/>
    </row>
    <row r="14357" spans="1:1" ht="18.75" x14ac:dyDescent="0.25">
      <c r="A14357" s="6"/>
    </row>
    <row r="14358" spans="1:1" ht="18.75" x14ac:dyDescent="0.25">
      <c r="A14358" s="6"/>
    </row>
    <row r="14359" spans="1:1" ht="18.75" x14ac:dyDescent="0.25">
      <c r="A14359" s="6"/>
    </row>
    <row r="14360" spans="1:1" ht="18.75" x14ac:dyDescent="0.25">
      <c r="A14360" s="6"/>
    </row>
    <row r="14361" spans="1:1" ht="18.75" x14ac:dyDescent="0.25">
      <c r="A14361" s="6"/>
    </row>
    <row r="14362" spans="1:1" ht="18.75" x14ac:dyDescent="0.25">
      <c r="A14362" s="6"/>
    </row>
    <row r="14363" spans="1:1" ht="18.75" x14ac:dyDescent="0.25">
      <c r="A14363" s="6"/>
    </row>
    <row r="14364" spans="1:1" ht="18.75" x14ac:dyDescent="0.25">
      <c r="A14364" s="6"/>
    </row>
    <row r="14365" spans="1:1" ht="18.75" x14ac:dyDescent="0.25">
      <c r="A14365" s="6"/>
    </row>
    <row r="14366" spans="1:1" ht="18.75" x14ac:dyDescent="0.25">
      <c r="A14366" s="6"/>
    </row>
    <row r="14367" spans="1:1" ht="18.75" x14ac:dyDescent="0.25">
      <c r="A14367" s="6"/>
    </row>
    <row r="14368" spans="1:1" ht="18.75" x14ac:dyDescent="0.25">
      <c r="A14368" s="6"/>
    </row>
    <row r="14369" spans="1:1" ht="18.75" x14ac:dyDescent="0.25">
      <c r="A14369" s="6"/>
    </row>
    <row r="14370" spans="1:1" ht="18.75" x14ac:dyDescent="0.25">
      <c r="A14370" s="6"/>
    </row>
    <row r="14371" spans="1:1" ht="18.75" x14ac:dyDescent="0.25">
      <c r="A14371" s="6"/>
    </row>
    <row r="14372" spans="1:1" ht="18.75" x14ac:dyDescent="0.25">
      <c r="A14372" s="6"/>
    </row>
    <row r="14373" spans="1:1" ht="18.75" x14ac:dyDescent="0.25">
      <c r="A14373" s="6"/>
    </row>
    <row r="14374" spans="1:1" ht="18.75" x14ac:dyDescent="0.25">
      <c r="A14374" s="6"/>
    </row>
    <row r="14375" spans="1:1" ht="18.75" x14ac:dyDescent="0.25">
      <c r="A14375" s="6"/>
    </row>
    <row r="14376" spans="1:1" ht="18.75" x14ac:dyDescent="0.25">
      <c r="A14376" s="6"/>
    </row>
    <row r="14377" spans="1:1" ht="18.75" x14ac:dyDescent="0.25">
      <c r="A14377" s="6"/>
    </row>
    <row r="14378" spans="1:1" ht="18.75" x14ac:dyDescent="0.25">
      <c r="A14378" s="6"/>
    </row>
    <row r="14379" spans="1:1" ht="18.75" x14ac:dyDescent="0.25">
      <c r="A14379" s="6"/>
    </row>
    <row r="14380" spans="1:1" ht="18.75" x14ac:dyDescent="0.25">
      <c r="A14380" s="6"/>
    </row>
    <row r="14381" spans="1:1" ht="18.75" x14ac:dyDescent="0.25">
      <c r="A14381" s="6"/>
    </row>
    <row r="14382" spans="1:1" ht="18.75" x14ac:dyDescent="0.25">
      <c r="A14382" s="6"/>
    </row>
    <row r="14383" spans="1:1" ht="18.75" x14ac:dyDescent="0.25">
      <c r="A14383" s="6"/>
    </row>
    <row r="14384" spans="1:1" ht="18.75" x14ac:dyDescent="0.25">
      <c r="A14384" s="6"/>
    </row>
    <row r="14385" spans="1:1" ht="18.75" x14ac:dyDescent="0.25">
      <c r="A14385" s="6"/>
    </row>
    <row r="14386" spans="1:1" ht="18.75" x14ac:dyDescent="0.25">
      <c r="A14386" s="6"/>
    </row>
    <row r="14387" spans="1:1" ht="18.75" x14ac:dyDescent="0.25">
      <c r="A14387" s="6"/>
    </row>
    <row r="14388" spans="1:1" ht="18.75" x14ac:dyDescent="0.25">
      <c r="A14388" s="6"/>
    </row>
    <row r="14389" spans="1:1" ht="18.75" x14ac:dyDescent="0.25">
      <c r="A14389" s="6"/>
    </row>
    <row r="14390" spans="1:1" ht="18.75" x14ac:dyDescent="0.25">
      <c r="A14390" s="6"/>
    </row>
    <row r="14391" spans="1:1" ht="18.75" x14ac:dyDescent="0.25">
      <c r="A14391" s="6"/>
    </row>
    <row r="14392" spans="1:1" ht="18.75" x14ac:dyDescent="0.25">
      <c r="A14392" s="6"/>
    </row>
    <row r="14393" spans="1:1" ht="18.75" x14ac:dyDescent="0.25">
      <c r="A14393" s="6"/>
    </row>
    <row r="14394" spans="1:1" ht="18.75" x14ac:dyDescent="0.25">
      <c r="A14394" s="6"/>
    </row>
    <row r="14395" spans="1:1" ht="18.75" x14ac:dyDescent="0.25">
      <c r="A14395" s="6"/>
    </row>
    <row r="14396" spans="1:1" ht="18.75" x14ac:dyDescent="0.25">
      <c r="A14396" s="6"/>
    </row>
    <row r="14397" spans="1:1" ht="18.75" x14ac:dyDescent="0.25">
      <c r="A14397" s="6"/>
    </row>
    <row r="14398" spans="1:1" ht="18.75" x14ac:dyDescent="0.25">
      <c r="A14398" s="6"/>
    </row>
    <row r="14399" spans="1:1" ht="18.75" x14ac:dyDescent="0.25">
      <c r="A14399" s="6"/>
    </row>
    <row r="14400" spans="1:1" ht="18.75" x14ac:dyDescent="0.25">
      <c r="A14400" s="6"/>
    </row>
    <row r="14401" spans="1:1" ht="18.75" x14ac:dyDescent="0.25">
      <c r="A14401" s="6"/>
    </row>
    <row r="14402" spans="1:1" ht="18.75" x14ac:dyDescent="0.25">
      <c r="A14402" s="6"/>
    </row>
    <row r="14403" spans="1:1" ht="18.75" x14ac:dyDescent="0.25">
      <c r="A14403" s="6"/>
    </row>
    <row r="14404" spans="1:1" ht="18.75" x14ac:dyDescent="0.25">
      <c r="A14404" s="6"/>
    </row>
    <row r="14405" spans="1:1" ht="18.75" x14ac:dyDescent="0.25">
      <c r="A14405" s="6"/>
    </row>
    <row r="14406" spans="1:1" ht="18.75" x14ac:dyDescent="0.25">
      <c r="A14406" s="6"/>
    </row>
    <row r="14407" spans="1:1" ht="18.75" x14ac:dyDescent="0.25">
      <c r="A14407" s="6"/>
    </row>
    <row r="14408" spans="1:1" ht="18.75" x14ac:dyDescent="0.25">
      <c r="A14408" s="6"/>
    </row>
    <row r="14409" spans="1:1" ht="18.75" x14ac:dyDescent="0.25">
      <c r="A14409" s="6"/>
    </row>
    <row r="14410" spans="1:1" ht="18.75" x14ac:dyDescent="0.25">
      <c r="A14410" s="6"/>
    </row>
    <row r="14411" spans="1:1" ht="18.75" x14ac:dyDescent="0.25">
      <c r="A14411" s="6"/>
    </row>
    <row r="14412" spans="1:1" ht="18.75" x14ac:dyDescent="0.25">
      <c r="A14412" s="6"/>
    </row>
    <row r="14413" spans="1:1" ht="18.75" x14ac:dyDescent="0.25">
      <c r="A14413" s="6"/>
    </row>
    <row r="14414" spans="1:1" ht="18.75" x14ac:dyDescent="0.25">
      <c r="A14414" s="6"/>
    </row>
    <row r="14415" spans="1:1" ht="18.75" x14ac:dyDescent="0.25">
      <c r="A14415" s="6"/>
    </row>
    <row r="14416" spans="1:1" ht="18.75" x14ac:dyDescent="0.25">
      <c r="A14416" s="6"/>
    </row>
    <row r="14417" spans="1:1" ht="18.75" x14ac:dyDescent="0.25">
      <c r="A14417" s="6"/>
    </row>
    <row r="14418" spans="1:1" ht="18.75" x14ac:dyDescent="0.25">
      <c r="A14418" s="6"/>
    </row>
    <row r="14419" spans="1:1" ht="18.75" x14ac:dyDescent="0.25">
      <c r="A14419" s="6"/>
    </row>
    <row r="14420" spans="1:1" ht="18.75" x14ac:dyDescent="0.25">
      <c r="A14420" s="6"/>
    </row>
    <row r="14421" spans="1:1" ht="18.75" x14ac:dyDescent="0.25">
      <c r="A14421" s="6"/>
    </row>
    <row r="14422" spans="1:1" ht="18.75" x14ac:dyDescent="0.25">
      <c r="A14422" s="6"/>
    </row>
    <row r="14423" spans="1:1" ht="18.75" x14ac:dyDescent="0.25">
      <c r="A14423" s="6"/>
    </row>
    <row r="14424" spans="1:1" ht="18.75" x14ac:dyDescent="0.25">
      <c r="A14424" s="6"/>
    </row>
    <row r="14425" spans="1:1" ht="18.75" x14ac:dyDescent="0.25">
      <c r="A14425" s="6"/>
    </row>
    <row r="14426" spans="1:1" ht="18.75" x14ac:dyDescent="0.25">
      <c r="A14426" s="6"/>
    </row>
    <row r="14427" spans="1:1" ht="18.75" x14ac:dyDescent="0.25">
      <c r="A14427" s="6"/>
    </row>
    <row r="14428" spans="1:1" ht="18.75" x14ac:dyDescent="0.25">
      <c r="A14428" s="6"/>
    </row>
    <row r="14429" spans="1:1" ht="18.75" x14ac:dyDescent="0.25">
      <c r="A14429" s="6"/>
    </row>
    <row r="14430" spans="1:1" ht="18.75" x14ac:dyDescent="0.25">
      <c r="A14430" s="6"/>
    </row>
    <row r="14431" spans="1:1" ht="18.75" x14ac:dyDescent="0.25">
      <c r="A14431" s="6"/>
    </row>
    <row r="14432" spans="1:1" ht="18.75" x14ac:dyDescent="0.25">
      <c r="A14432" s="6"/>
    </row>
    <row r="14433" spans="1:1" ht="18.75" x14ac:dyDescent="0.25">
      <c r="A14433" s="6"/>
    </row>
    <row r="14434" spans="1:1" ht="18.75" x14ac:dyDescent="0.25">
      <c r="A14434" s="6"/>
    </row>
    <row r="14435" spans="1:1" ht="18.75" x14ac:dyDescent="0.25">
      <c r="A14435" s="6"/>
    </row>
    <row r="14436" spans="1:1" ht="18.75" x14ac:dyDescent="0.25">
      <c r="A14436" s="6"/>
    </row>
    <row r="14437" spans="1:1" ht="18.75" x14ac:dyDescent="0.25">
      <c r="A14437" s="6"/>
    </row>
    <row r="14438" spans="1:1" ht="18.75" x14ac:dyDescent="0.25">
      <c r="A14438" s="6"/>
    </row>
    <row r="14439" spans="1:1" ht="18.75" x14ac:dyDescent="0.25">
      <c r="A14439" s="6"/>
    </row>
    <row r="14440" spans="1:1" ht="18.75" x14ac:dyDescent="0.25">
      <c r="A14440" s="6"/>
    </row>
    <row r="14441" spans="1:1" ht="18.75" x14ac:dyDescent="0.25">
      <c r="A14441" s="6"/>
    </row>
    <row r="14442" spans="1:1" ht="18.75" x14ac:dyDescent="0.25">
      <c r="A14442" s="6"/>
    </row>
    <row r="14443" spans="1:1" ht="18.75" x14ac:dyDescent="0.25">
      <c r="A14443" s="6"/>
    </row>
    <row r="14444" spans="1:1" ht="18.75" x14ac:dyDescent="0.25">
      <c r="A14444" s="6"/>
    </row>
    <row r="14445" spans="1:1" ht="18.75" x14ac:dyDescent="0.25">
      <c r="A14445" s="6"/>
    </row>
    <row r="14446" spans="1:1" ht="18.75" x14ac:dyDescent="0.25">
      <c r="A14446" s="6"/>
    </row>
    <row r="14447" spans="1:1" ht="18.75" x14ac:dyDescent="0.25">
      <c r="A14447" s="6"/>
    </row>
    <row r="14448" spans="1:1" ht="18.75" x14ac:dyDescent="0.25">
      <c r="A14448" s="6"/>
    </row>
    <row r="14449" spans="1:1" ht="18.75" x14ac:dyDescent="0.25">
      <c r="A14449" s="6"/>
    </row>
    <row r="14450" spans="1:1" ht="18.75" x14ac:dyDescent="0.25">
      <c r="A14450" s="6"/>
    </row>
    <row r="14451" spans="1:1" ht="18.75" x14ac:dyDescent="0.25">
      <c r="A14451" s="6"/>
    </row>
    <row r="14452" spans="1:1" ht="18.75" x14ac:dyDescent="0.25">
      <c r="A14452" s="6"/>
    </row>
    <row r="14453" spans="1:1" ht="18.75" x14ac:dyDescent="0.25">
      <c r="A14453" s="6"/>
    </row>
    <row r="14454" spans="1:1" ht="18.75" x14ac:dyDescent="0.25">
      <c r="A14454" s="6"/>
    </row>
    <row r="14455" spans="1:1" ht="18.75" x14ac:dyDescent="0.25">
      <c r="A14455" s="6"/>
    </row>
    <row r="14456" spans="1:1" ht="18.75" x14ac:dyDescent="0.25">
      <c r="A14456" s="6"/>
    </row>
    <row r="14457" spans="1:1" ht="18.75" x14ac:dyDescent="0.25">
      <c r="A14457" s="6"/>
    </row>
    <row r="14458" spans="1:1" ht="18.75" x14ac:dyDescent="0.25">
      <c r="A14458" s="6"/>
    </row>
    <row r="14459" spans="1:1" ht="18.75" x14ac:dyDescent="0.25">
      <c r="A14459" s="6"/>
    </row>
    <row r="14460" spans="1:1" ht="18.75" x14ac:dyDescent="0.25">
      <c r="A14460" s="6"/>
    </row>
    <row r="14461" spans="1:1" ht="18.75" x14ac:dyDescent="0.25">
      <c r="A14461" s="6"/>
    </row>
    <row r="14462" spans="1:1" ht="18.75" x14ac:dyDescent="0.25">
      <c r="A14462" s="6"/>
    </row>
    <row r="14463" spans="1:1" ht="18.75" x14ac:dyDescent="0.25">
      <c r="A14463" s="6"/>
    </row>
    <row r="14464" spans="1:1" ht="18.75" x14ac:dyDescent="0.25">
      <c r="A14464" s="6"/>
    </row>
    <row r="14465" spans="1:1" ht="18.75" x14ac:dyDescent="0.25">
      <c r="A14465" s="6"/>
    </row>
    <row r="14466" spans="1:1" ht="18.75" x14ac:dyDescent="0.25">
      <c r="A14466" s="6"/>
    </row>
    <row r="14467" spans="1:1" ht="18.75" x14ac:dyDescent="0.25">
      <c r="A14467" s="6"/>
    </row>
    <row r="14468" spans="1:1" ht="18.75" x14ac:dyDescent="0.25">
      <c r="A14468" s="6"/>
    </row>
    <row r="14469" spans="1:1" ht="18.75" x14ac:dyDescent="0.25">
      <c r="A14469" s="6"/>
    </row>
    <row r="14470" spans="1:1" ht="18.75" x14ac:dyDescent="0.25">
      <c r="A14470" s="6"/>
    </row>
    <row r="14471" spans="1:1" ht="18.75" x14ac:dyDescent="0.25">
      <c r="A14471" s="6"/>
    </row>
    <row r="14472" spans="1:1" ht="18.75" x14ac:dyDescent="0.25">
      <c r="A14472" s="6"/>
    </row>
    <row r="14473" spans="1:1" ht="18.75" x14ac:dyDescent="0.25">
      <c r="A14473" s="6"/>
    </row>
    <row r="14474" spans="1:1" ht="18.75" x14ac:dyDescent="0.25">
      <c r="A14474" s="6"/>
    </row>
    <row r="14475" spans="1:1" ht="18.75" x14ac:dyDescent="0.25">
      <c r="A14475" s="6"/>
    </row>
    <row r="14476" spans="1:1" ht="18.75" x14ac:dyDescent="0.25">
      <c r="A14476" s="6"/>
    </row>
    <row r="14477" spans="1:1" ht="18.75" x14ac:dyDescent="0.25">
      <c r="A14477" s="6"/>
    </row>
    <row r="14478" spans="1:1" ht="18.75" x14ac:dyDescent="0.25">
      <c r="A14478" s="6"/>
    </row>
    <row r="14479" spans="1:1" ht="18.75" x14ac:dyDescent="0.25">
      <c r="A14479" s="6"/>
    </row>
    <row r="14480" spans="1:1" ht="18.75" x14ac:dyDescent="0.25">
      <c r="A14480" s="6"/>
    </row>
    <row r="14481" spans="1:1" ht="18.75" x14ac:dyDescent="0.25">
      <c r="A14481" s="6"/>
    </row>
    <row r="14482" spans="1:1" ht="18.75" x14ac:dyDescent="0.25">
      <c r="A14482" s="6"/>
    </row>
    <row r="14483" spans="1:1" ht="18.75" x14ac:dyDescent="0.25">
      <c r="A14483" s="6"/>
    </row>
    <row r="14484" spans="1:1" ht="18.75" x14ac:dyDescent="0.25">
      <c r="A14484" s="6"/>
    </row>
    <row r="14485" spans="1:1" ht="18.75" x14ac:dyDescent="0.25">
      <c r="A14485" s="6"/>
    </row>
    <row r="14486" spans="1:1" ht="18.75" x14ac:dyDescent="0.25">
      <c r="A14486" s="6"/>
    </row>
    <row r="14487" spans="1:1" ht="18.75" x14ac:dyDescent="0.25">
      <c r="A14487" s="6"/>
    </row>
    <row r="14488" spans="1:1" ht="18.75" x14ac:dyDescent="0.25">
      <c r="A14488" s="6"/>
    </row>
    <row r="14489" spans="1:1" ht="18.75" x14ac:dyDescent="0.25">
      <c r="A14489" s="6"/>
    </row>
    <row r="14490" spans="1:1" ht="18.75" x14ac:dyDescent="0.25">
      <c r="A14490" s="6"/>
    </row>
    <row r="14491" spans="1:1" ht="18.75" x14ac:dyDescent="0.25">
      <c r="A14491" s="6"/>
    </row>
    <row r="14492" spans="1:1" ht="18.75" x14ac:dyDescent="0.25">
      <c r="A14492" s="6"/>
    </row>
    <row r="14493" spans="1:1" ht="18.75" x14ac:dyDescent="0.25">
      <c r="A14493" s="6"/>
    </row>
    <row r="14494" spans="1:1" ht="18.75" x14ac:dyDescent="0.25">
      <c r="A14494" s="6"/>
    </row>
    <row r="14495" spans="1:1" ht="18.75" x14ac:dyDescent="0.25">
      <c r="A14495" s="6"/>
    </row>
    <row r="14496" spans="1:1" ht="18.75" x14ac:dyDescent="0.25">
      <c r="A14496" s="6"/>
    </row>
    <row r="14497" spans="1:1" ht="18.75" x14ac:dyDescent="0.25">
      <c r="A14497" s="6"/>
    </row>
    <row r="14498" spans="1:1" ht="18.75" x14ac:dyDescent="0.25">
      <c r="A14498" s="6"/>
    </row>
    <row r="14499" spans="1:1" ht="18.75" x14ac:dyDescent="0.25">
      <c r="A14499" s="6"/>
    </row>
    <row r="14500" spans="1:1" ht="18.75" x14ac:dyDescent="0.25">
      <c r="A14500" s="6"/>
    </row>
    <row r="14501" spans="1:1" ht="18.75" x14ac:dyDescent="0.25">
      <c r="A14501" s="6"/>
    </row>
    <row r="14502" spans="1:1" ht="18.75" x14ac:dyDescent="0.25">
      <c r="A14502" s="6"/>
    </row>
    <row r="14503" spans="1:1" ht="18.75" x14ac:dyDescent="0.25">
      <c r="A14503" s="6"/>
    </row>
    <row r="14504" spans="1:1" ht="18.75" x14ac:dyDescent="0.25">
      <c r="A14504" s="6"/>
    </row>
    <row r="14505" spans="1:1" ht="18.75" x14ac:dyDescent="0.25">
      <c r="A14505" s="6"/>
    </row>
    <row r="14506" spans="1:1" ht="18.75" x14ac:dyDescent="0.25">
      <c r="A14506" s="6"/>
    </row>
    <row r="14507" spans="1:1" ht="18.75" x14ac:dyDescent="0.25">
      <c r="A14507" s="6"/>
    </row>
    <row r="14508" spans="1:1" ht="18.75" x14ac:dyDescent="0.25">
      <c r="A14508" s="6"/>
    </row>
    <row r="14509" spans="1:1" ht="18.75" x14ac:dyDescent="0.25">
      <c r="A14509" s="6"/>
    </row>
    <row r="14510" spans="1:1" ht="18.75" x14ac:dyDescent="0.25">
      <c r="A14510" s="6"/>
    </row>
    <row r="14511" spans="1:1" ht="18.75" x14ac:dyDescent="0.25">
      <c r="A14511" s="6"/>
    </row>
    <row r="14512" spans="1:1" ht="18.75" x14ac:dyDescent="0.25">
      <c r="A14512" s="6"/>
    </row>
    <row r="14513" spans="1:1" ht="18.75" x14ac:dyDescent="0.25">
      <c r="A14513" s="6"/>
    </row>
    <row r="14514" spans="1:1" ht="18.75" x14ac:dyDescent="0.25">
      <c r="A14514" s="6"/>
    </row>
    <row r="14515" spans="1:1" ht="18.75" x14ac:dyDescent="0.25">
      <c r="A14515" s="6"/>
    </row>
    <row r="14516" spans="1:1" ht="18.75" x14ac:dyDescent="0.25">
      <c r="A14516" s="6"/>
    </row>
    <row r="14517" spans="1:1" ht="18.75" x14ac:dyDescent="0.25">
      <c r="A14517" s="6"/>
    </row>
    <row r="14518" spans="1:1" ht="18.75" x14ac:dyDescent="0.25">
      <c r="A14518" s="6"/>
    </row>
    <row r="14519" spans="1:1" ht="18.75" x14ac:dyDescent="0.25">
      <c r="A14519" s="6"/>
    </row>
    <row r="14520" spans="1:1" ht="18.75" x14ac:dyDescent="0.25">
      <c r="A14520" s="6"/>
    </row>
    <row r="14521" spans="1:1" ht="18.75" x14ac:dyDescent="0.25">
      <c r="A14521" s="6"/>
    </row>
    <row r="14522" spans="1:1" ht="18.75" x14ac:dyDescent="0.25">
      <c r="A14522" s="6"/>
    </row>
    <row r="14523" spans="1:1" ht="18.75" x14ac:dyDescent="0.25">
      <c r="A14523" s="6"/>
    </row>
    <row r="14524" spans="1:1" ht="18.75" x14ac:dyDescent="0.25">
      <c r="A14524" s="6"/>
    </row>
    <row r="14525" spans="1:1" ht="18.75" x14ac:dyDescent="0.25">
      <c r="A14525" s="6"/>
    </row>
    <row r="14526" spans="1:1" ht="18.75" x14ac:dyDescent="0.25">
      <c r="A14526" s="6"/>
    </row>
    <row r="14527" spans="1:1" ht="18.75" x14ac:dyDescent="0.25">
      <c r="A14527" s="6"/>
    </row>
    <row r="14528" spans="1:1" ht="18.75" x14ac:dyDescent="0.25">
      <c r="A14528" s="6"/>
    </row>
    <row r="14529" spans="1:1" ht="18.75" x14ac:dyDescent="0.25">
      <c r="A14529" s="6"/>
    </row>
    <row r="14530" spans="1:1" ht="18.75" x14ac:dyDescent="0.25">
      <c r="A14530" s="6"/>
    </row>
    <row r="14531" spans="1:1" ht="18.75" x14ac:dyDescent="0.25">
      <c r="A14531" s="6"/>
    </row>
    <row r="14532" spans="1:1" ht="18.75" x14ac:dyDescent="0.25">
      <c r="A14532" s="6"/>
    </row>
    <row r="14533" spans="1:1" ht="18.75" x14ac:dyDescent="0.25">
      <c r="A14533" s="6"/>
    </row>
    <row r="14534" spans="1:1" ht="18.75" x14ac:dyDescent="0.25">
      <c r="A14534" s="6"/>
    </row>
    <row r="14535" spans="1:1" ht="18.75" x14ac:dyDescent="0.25">
      <c r="A14535" s="6"/>
    </row>
    <row r="14536" spans="1:1" ht="18.75" x14ac:dyDescent="0.25">
      <c r="A14536" s="6"/>
    </row>
    <row r="14537" spans="1:1" ht="18.75" x14ac:dyDescent="0.25">
      <c r="A14537" s="6"/>
    </row>
    <row r="14538" spans="1:1" ht="18.75" x14ac:dyDescent="0.25">
      <c r="A14538" s="6"/>
    </row>
    <row r="14539" spans="1:1" ht="18.75" x14ac:dyDescent="0.25">
      <c r="A14539" s="6"/>
    </row>
    <row r="14540" spans="1:1" ht="18.75" x14ac:dyDescent="0.25">
      <c r="A14540" s="6"/>
    </row>
    <row r="14541" spans="1:1" ht="18.75" x14ac:dyDescent="0.25">
      <c r="A14541" s="6"/>
    </row>
    <row r="14542" spans="1:1" ht="18.75" x14ac:dyDescent="0.25">
      <c r="A14542" s="6"/>
    </row>
    <row r="14543" spans="1:1" ht="18.75" x14ac:dyDescent="0.25">
      <c r="A14543" s="6"/>
    </row>
    <row r="14544" spans="1:1" ht="18.75" x14ac:dyDescent="0.25">
      <c r="A14544" s="6"/>
    </row>
    <row r="14545" spans="1:1" ht="18.75" x14ac:dyDescent="0.25">
      <c r="A14545" s="6"/>
    </row>
    <row r="14546" spans="1:1" ht="18.75" x14ac:dyDescent="0.25">
      <c r="A14546" s="6"/>
    </row>
    <row r="14547" spans="1:1" ht="18.75" x14ac:dyDescent="0.25">
      <c r="A14547" s="6"/>
    </row>
    <row r="14548" spans="1:1" ht="18.75" x14ac:dyDescent="0.25">
      <c r="A14548" s="6"/>
    </row>
    <row r="14549" spans="1:1" ht="18.75" x14ac:dyDescent="0.25">
      <c r="A14549" s="6"/>
    </row>
    <row r="14550" spans="1:1" ht="18.75" x14ac:dyDescent="0.25">
      <c r="A14550" s="6"/>
    </row>
    <row r="14551" spans="1:1" ht="18.75" x14ac:dyDescent="0.25">
      <c r="A14551" s="6"/>
    </row>
    <row r="14552" spans="1:1" ht="18.75" x14ac:dyDescent="0.25">
      <c r="A14552" s="6"/>
    </row>
    <row r="14553" spans="1:1" ht="18.75" x14ac:dyDescent="0.25">
      <c r="A14553" s="6"/>
    </row>
    <row r="14554" spans="1:1" ht="18.75" x14ac:dyDescent="0.25">
      <c r="A14554" s="6"/>
    </row>
    <row r="14555" spans="1:1" ht="18.75" x14ac:dyDescent="0.25">
      <c r="A14555" s="6"/>
    </row>
    <row r="14556" spans="1:1" ht="18.75" x14ac:dyDescent="0.25">
      <c r="A14556" s="6"/>
    </row>
    <row r="14557" spans="1:1" ht="18.75" x14ac:dyDescent="0.25">
      <c r="A14557" s="6"/>
    </row>
    <row r="14558" spans="1:1" ht="18.75" x14ac:dyDescent="0.25">
      <c r="A14558" s="6"/>
    </row>
    <row r="14559" spans="1:1" ht="18.75" x14ac:dyDescent="0.25">
      <c r="A14559" s="6"/>
    </row>
    <row r="14560" spans="1:1" ht="18.75" x14ac:dyDescent="0.25">
      <c r="A14560" s="6"/>
    </row>
    <row r="14561" spans="1:1" ht="18.75" x14ac:dyDescent="0.25">
      <c r="A14561" s="6"/>
    </row>
    <row r="14562" spans="1:1" ht="18.75" x14ac:dyDescent="0.25">
      <c r="A14562" s="6"/>
    </row>
    <row r="14563" spans="1:1" ht="18.75" x14ac:dyDescent="0.25">
      <c r="A14563" s="6"/>
    </row>
    <row r="14564" spans="1:1" ht="18.75" x14ac:dyDescent="0.25">
      <c r="A14564" s="6"/>
    </row>
    <row r="14565" spans="1:1" ht="18.75" x14ac:dyDescent="0.25">
      <c r="A14565" s="6"/>
    </row>
    <row r="14566" spans="1:1" ht="18.75" x14ac:dyDescent="0.25">
      <c r="A14566" s="6"/>
    </row>
    <row r="14567" spans="1:1" ht="18.75" x14ac:dyDescent="0.25">
      <c r="A14567" s="6"/>
    </row>
    <row r="14568" spans="1:1" ht="18.75" x14ac:dyDescent="0.25">
      <c r="A14568" s="6"/>
    </row>
    <row r="14569" spans="1:1" ht="18.75" x14ac:dyDescent="0.25">
      <c r="A14569" s="6"/>
    </row>
    <row r="14570" spans="1:1" ht="18.75" x14ac:dyDescent="0.25">
      <c r="A14570" s="6"/>
    </row>
    <row r="14571" spans="1:1" ht="18.75" x14ac:dyDescent="0.25">
      <c r="A14571" s="6"/>
    </row>
    <row r="14572" spans="1:1" ht="18.75" x14ac:dyDescent="0.25">
      <c r="A14572" s="6"/>
    </row>
    <row r="14573" spans="1:1" ht="18.75" x14ac:dyDescent="0.25">
      <c r="A14573" s="6"/>
    </row>
    <row r="14574" spans="1:1" ht="18.75" x14ac:dyDescent="0.25">
      <c r="A14574" s="6"/>
    </row>
    <row r="14575" spans="1:1" ht="18.75" x14ac:dyDescent="0.25">
      <c r="A14575" s="6"/>
    </row>
    <row r="14576" spans="1:1" ht="18.75" x14ac:dyDescent="0.25">
      <c r="A14576" s="6"/>
    </row>
    <row r="14577" spans="1:1" ht="18.75" x14ac:dyDescent="0.25">
      <c r="A14577" s="6"/>
    </row>
    <row r="14578" spans="1:1" ht="18.75" x14ac:dyDescent="0.25">
      <c r="A14578" s="6"/>
    </row>
    <row r="14579" spans="1:1" ht="18.75" x14ac:dyDescent="0.25">
      <c r="A14579" s="6"/>
    </row>
    <row r="14580" spans="1:1" ht="18.75" x14ac:dyDescent="0.25">
      <c r="A14580" s="6"/>
    </row>
    <row r="14581" spans="1:1" ht="18.75" x14ac:dyDescent="0.25">
      <c r="A14581" s="6"/>
    </row>
    <row r="14582" spans="1:1" ht="18.75" x14ac:dyDescent="0.25">
      <c r="A14582" s="6"/>
    </row>
    <row r="14583" spans="1:1" ht="18.75" x14ac:dyDescent="0.25">
      <c r="A14583" s="6"/>
    </row>
    <row r="14584" spans="1:1" ht="18.75" x14ac:dyDescent="0.25">
      <c r="A14584" s="6"/>
    </row>
    <row r="14585" spans="1:1" ht="18.75" x14ac:dyDescent="0.25">
      <c r="A14585" s="6"/>
    </row>
    <row r="14586" spans="1:1" ht="18.75" x14ac:dyDescent="0.25">
      <c r="A14586" s="6"/>
    </row>
    <row r="14587" spans="1:1" ht="18.75" x14ac:dyDescent="0.25">
      <c r="A14587" s="6"/>
    </row>
    <row r="14588" spans="1:1" ht="18.75" x14ac:dyDescent="0.25">
      <c r="A14588" s="6"/>
    </row>
    <row r="14589" spans="1:1" ht="18.75" x14ac:dyDescent="0.25">
      <c r="A14589" s="6"/>
    </row>
    <row r="14590" spans="1:1" ht="18.75" x14ac:dyDescent="0.25">
      <c r="A14590" s="6"/>
    </row>
    <row r="14591" spans="1:1" ht="18.75" x14ac:dyDescent="0.25">
      <c r="A14591" s="6"/>
    </row>
    <row r="14592" spans="1:1" ht="18.75" x14ac:dyDescent="0.25">
      <c r="A14592" s="6"/>
    </row>
    <row r="14593" spans="1:1" ht="18.75" x14ac:dyDescent="0.25">
      <c r="A14593" s="6"/>
    </row>
    <row r="14594" spans="1:1" ht="18.75" x14ac:dyDescent="0.25">
      <c r="A14594" s="6"/>
    </row>
    <row r="14595" spans="1:1" ht="18.75" x14ac:dyDescent="0.25">
      <c r="A14595" s="6"/>
    </row>
    <row r="14596" spans="1:1" ht="18.75" x14ac:dyDescent="0.25">
      <c r="A14596" s="6"/>
    </row>
    <row r="14597" spans="1:1" ht="18.75" x14ac:dyDescent="0.25">
      <c r="A14597" s="6"/>
    </row>
    <row r="14598" spans="1:1" ht="18.75" x14ac:dyDescent="0.25">
      <c r="A14598" s="6"/>
    </row>
    <row r="14599" spans="1:1" ht="18.75" x14ac:dyDescent="0.25">
      <c r="A14599" s="6"/>
    </row>
    <row r="14600" spans="1:1" ht="18.75" x14ac:dyDescent="0.25">
      <c r="A14600" s="6"/>
    </row>
    <row r="14601" spans="1:1" ht="18.75" x14ac:dyDescent="0.25">
      <c r="A14601" s="6"/>
    </row>
    <row r="14602" spans="1:1" ht="18.75" x14ac:dyDescent="0.25">
      <c r="A14602" s="6"/>
    </row>
    <row r="14603" spans="1:1" ht="18.75" x14ac:dyDescent="0.25">
      <c r="A14603" s="6"/>
    </row>
    <row r="14604" spans="1:1" ht="18.75" x14ac:dyDescent="0.25">
      <c r="A14604" s="6"/>
    </row>
    <row r="14605" spans="1:1" ht="18.75" x14ac:dyDescent="0.25">
      <c r="A14605" s="6"/>
    </row>
    <row r="14606" spans="1:1" ht="18.75" x14ac:dyDescent="0.25">
      <c r="A14606" s="6"/>
    </row>
    <row r="14607" spans="1:1" ht="18.75" x14ac:dyDescent="0.25">
      <c r="A14607" s="6"/>
    </row>
    <row r="14608" spans="1:1" ht="18.75" x14ac:dyDescent="0.25">
      <c r="A14608" s="6"/>
    </row>
    <row r="14609" spans="1:1" ht="18.75" x14ac:dyDescent="0.25">
      <c r="A14609" s="6"/>
    </row>
    <row r="14610" spans="1:1" ht="18.75" x14ac:dyDescent="0.25">
      <c r="A14610" s="6"/>
    </row>
    <row r="14611" spans="1:1" ht="18.75" x14ac:dyDescent="0.25">
      <c r="A14611" s="6"/>
    </row>
    <row r="14612" spans="1:1" ht="18.75" x14ac:dyDescent="0.25">
      <c r="A14612" s="6"/>
    </row>
    <row r="14613" spans="1:1" ht="18.75" x14ac:dyDescent="0.25">
      <c r="A14613" s="6"/>
    </row>
    <row r="14614" spans="1:1" ht="18.75" x14ac:dyDescent="0.25">
      <c r="A14614" s="6"/>
    </row>
    <row r="14615" spans="1:1" ht="18.75" x14ac:dyDescent="0.25">
      <c r="A14615" s="6"/>
    </row>
    <row r="14616" spans="1:1" ht="18.75" x14ac:dyDescent="0.25">
      <c r="A14616" s="6"/>
    </row>
    <row r="14617" spans="1:1" ht="18.75" x14ac:dyDescent="0.25">
      <c r="A14617" s="6"/>
    </row>
    <row r="14618" spans="1:1" ht="18.75" x14ac:dyDescent="0.25">
      <c r="A14618" s="6"/>
    </row>
    <row r="14619" spans="1:1" ht="18.75" x14ac:dyDescent="0.25">
      <c r="A14619" s="6"/>
    </row>
    <row r="14620" spans="1:1" ht="18.75" x14ac:dyDescent="0.25">
      <c r="A14620" s="6"/>
    </row>
    <row r="14621" spans="1:1" ht="18.75" x14ac:dyDescent="0.25">
      <c r="A14621" s="6"/>
    </row>
    <row r="14622" spans="1:1" ht="18.75" x14ac:dyDescent="0.25">
      <c r="A14622" s="6"/>
    </row>
    <row r="14623" spans="1:1" ht="18.75" x14ac:dyDescent="0.25">
      <c r="A14623" s="6"/>
    </row>
    <row r="14624" spans="1:1" ht="18.75" x14ac:dyDescent="0.25">
      <c r="A14624" s="6"/>
    </row>
    <row r="14625" spans="1:1" ht="18.75" x14ac:dyDescent="0.25">
      <c r="A14625" s="6"/>
    </row>
    <row r="14626" spans="1:1" ht="18.75" x14ac:dyDescent="0.25">
      <c r="A14626" s="6"/>
    </row>
    <row r="14627" spans="1:1" ht="18.75" x14ac:dyDescent="0.25">
      <c r="A14627" s="6"/>
    </row>
    <row r="14628" spans="1:1" ht="18.75" x14ac:dyDescent="0.25">
      <c r="A14628" s="6"/>
    </row>
    <row r="14629" spans="1:1" ht="18.75" x14ac:dyDescent="0.25">
      <c r="A14629" s="6"/>
    </row>
    <row r="14630" spans="1:1" ht="18.75" x14ac:dyDescent="0.25">
      <c r="A14630" s="6"/>
    </row>
    <row r="14631" spans="1:1" ht="18.75" x14ac:dyDescent="0.25">
      <c r="A14631" s="6"/>
    </row>
    <row r="14632" spans="1:1" ht="18.75" x14ac:dyDescent="0.25">
      <c r="A14632" s="6"/>
    </row>
    <row r="14633" spans="1:1" ht="18.75" x14ac:dyDescent="0.25">
      <c r="A14633" s="6"/>
    </row>
    <row r="14634" spans="1:1" ht="18.75" x14ac:dyDescent="0.25">
      <c r="A14634" s="6"/>
    </row>
    <row r="14635" spans="1:1" ht="18.75" x14ac:dyDescent="0.25">
      <c r="A14635" s="6"/>
    </row>
    <row r="14636" spans="1:1" ht="18.75" x14ac:dyDescent="0.25">
      <c r="A14636" s="6"/>
    </row>
    <row r="14637" spans="1:1" ht="18.75" x14ac:dyDescent="0.25">
      <c r="A14637" s="6"/>
    </row>
    <row r="14638" spans="1:1" ht="18.75" x14ac:dyDescent="0.25">
      <c r="A14638" s="6"/>
    </row>
    <row r="14639" spans="1:1" ht="18.75" x14ac:dyDescent="0.25">
      <c r="A14639" s="6"/>
    </row>
    <row r="14640" spans="1:1" ht="18.75" x14ac:dyDescent="0.25">
      <c r="A14640" s="6"/>
    </row>
    <row r="14641" spans="1:1" ht="18.75" x14ac:dyDescent="0.25">
      <c r="A14641" s="6"/>
    </row>
    <row r="14642" spans="1:1" ht="18.75" x14ac:dyDescent="0.25">
      <c r="A14642" s="6"/>
    </row>
    <row r="14643" spans="1:1" ht="18.75" x14ac:dyDescent="0.25">
      <c r="A14643" s="6"/>
    </row>
    <row r="14644" spans="1:1" ht="18.75" x14ac:dyDescent="0.25">
      <c r="A14644" s="6"/>
    </row>
    <row r="14645" spans="1:1" ht="18.75" x14ac:dyDescent="0.25">
      <c r="A14645" s="6"/>
    </row>
    <row r="14646" spans="1:1" ht="18.75" x14ac:dyDescent="0.25">
      <c r="A14646" s="6"/>
    </row>
    <row r="14647" spans="1:1" ht="18.75" x14ac:dyDescent="0.25">
      <c r="A14647" s="6"/>
    </row>
    <row r="14648" spans="1:1" ht="18.75" x14ac:dyDescent="0.25">
      <c r="A14648" s="6"/>
    </row>
    <row r="14649" spans="1:1" ht="18.75" x14ac:dyDescent="0.25">
      <c r="A14649" s="6"/>
    </row>
    <row r="14650" spans="1:1" ht="18.75" x14ac:dyDescent="0.25">
      <c r="A14650" s="6"/>
    </row>
    <row r="14651" spans="1:1" ht="18.75" x14ac:dyDescent="0.25">
      <c r="A14651" s="6"/>
    </row>
    <row r="14652" spans="1:1" ht="18.75" x14ac:dyDescent="0.25">
      <c r="A14652" s="6"/>
    </row>
    <row r="14653" spans="1:1" ht="18.75" x14ac:dyDescent="0.25">
      <c r="A14653" s="6"/>
    </row>
    <row r="14654" spans="1:1" ht="18.75" x14ac:dyDescent="0.25">
      <c r="A14654" s="6"/>
    </row>
    <row r="14655" spans="1:1" ht="18.75" x14ac:dyDescent="0.25">
      <c r="A14655" s="6"/>
    </row>
    <row r="14656" spans="1:1" ht="18.75" x14ac:dyDescent="0.25">
      <c r="A14656" s="6"/>
    </row>
    <row r="14657" spans="1:1" ht="18.75" x14ac:dyDescent="0.25">
      <c r="A14657" s="6"/>
    </row>
    <row r="14658" spans="1:1" ht="18.75" x14ac:dyDescent="0.25">
      <c r="A14658" s="6"/>
    </row>
    <row r="14659" spans="1:1" ht="18.75" x14ac:dyDescent="0.25">
      <c r="A14659" s="6"/>
    </row>
    <row r="14660" spans="1:1" ht="18.75" x14ac:dyDescent="0.25">
      <c r="A14660" s="6"/>
    </row>
    <row r="14661" spans="1:1" ht="18.75" x14ac:dyDescent="0.25">
      <c r="A14661" s="6"/>
    </row>
    <row r="14662" spans="1:1" ht="18.75" x14ac:dyDescent="0.25">
      <c r="A14662" s="6"/>
    </row>
    <row r="14663" spans="1:1" ht="18.75" x14ac:dyDescent="0.25">
      <c r="A14663" s="6"/>
    </row>
    <row r="14664" spans="1:1" ht="18.75" x14ac:dyDescent="0.25">
      <c r="A14664" s="6"/>
    </row>
    <row r="14665" spans="1:1" ht="18.75" x14ac:dyDescent="0.25">
      <c r="A14665" s="6"/>
    </row>
    <row r="14666" spans="1:1" ht="18.75" x14ac:dyDescent="0.25">
      <c r="A14666" s="6"/>
    </row>
    <row r="14667" spans="1:1" ht="18.75" x14ac:dyDescent="0.25">
      <c r="A14667" s="6"/>
    </row>
    <row r="14668" spans="1:1" ht="18.75" x14ac:dyDescent="0.25">
      <c r="A14668" s="6"/>
    </row>
    <row r="14669" spans="1:1" ht="18.75" x14ac:dyDescent="0.25">
      <c r="A14669" s="6"/>
    </row>
    <row r="14670" spans="1:1" ht="18.75" x14ac:dyDescent="0.25">
      <c r="A14670" s="6"/>
    </row>
    <row r="14671" spans="1:1" ht="18.75" x14ac:dyDescent="0.25">
      <c r="A14671" s="6"/>
    </row>
    <row r="14672" spans="1:1" ht="18.75" x14ac:dyDescent="0.25">
      <c r="A14672" s="6"/>
    </row>
    <row r="14673" spans="1:1" ht="18.75" x14ac:dyDescent="0.25">
      <c r="A14673" s="6"/>
    </row>
    <row r="14674" spans="1:1" ht="18.75" x14ac:dyDescent="0.25">
      <c r="A14674" s="6"/>
    </row>
    <row r="14675" spans="1:1" ht="18.75" x14ac:dyDescent="0.25">
      <c r="A14675" s="6"/>
    </row>
    <row r="14676" spans="1:1" ht="18.75" x14ac:dyDescent="0.25">
      <c r="A14676" s="6"/>
    </row>
    <row r="14677" spans="1:1" ht="18.75" x14ac:dyDescent="0.25">
      <c r="A14677" s="6"/>
    </row>
    <row r="14678" spans="1:1" ht="18.75" x14ac:dyDescent="0.25">
      <c r="A14678" s="6"/>
    </row>
    <row r="14679" spans="1:1" ht="18.75" x14ac:dyDescent="0.25">
      <c r="A14679" s="6"/>
    </row>
    <row r="14680" spans="1:1" ht="18.75" x14ac:dyDescent="0.25">
      <c r="A14680" s="6"/>
    </row>
    <row r="14681" spans="1:1" ht="18.75" x14ac:dyDescent="0.25">
      <c r="A14681" s="6"/>
    </row>
    <row r="14682" spans="1:1" ht="18.75" x14ac:dyDescent="0.25">
      <c r="A14682" s="6"/>
    </row>
    <row r="14683" spans="1:1" ht="18.75" x14ac:dyDescent="0.25">
      <c r="A14683" s="6"/>
    </row>
    <row r="14684" spans="1:1" ht="18.75" x14ac:dyDescent="0.25">
      <c r="A14684" s="6"/>
    </row>
    <row r="14685" spans="1:1" ht="18.75" x14ac:dyDescent="0.25">
      <c r="A14685" s="6"/>
    </row>
    <row r="14686" spans="1:1" ht="18.75" x14ac:dyDescent="0.25">
      <c r="A14686" s="6"/>
    </row>
    <row r="14687" spans="1:1" ht="18.75" x14ac:dyDescent="0.25">
      <c r="A14687" s="6"/>
    </row>
    <row r="14688" spans="1:1" ht="18.75" x14ac:dyDescent="0.25">
      <c r="A14688" s="6"/>
    </row>
    <row r="14689" spans="1:1" ht="18.75" x14ac:dyDescent="0.25">
      <c r="A14689" s="6"/>
    </row>
    <row r="14690" spans="1:1" ht="18.75" x14ac:dyDescent="0.25">
      <c r="A14690" s="6"/>
    </row>
    <row r="14691" spans="1:1" ht="18.75" x14ac:dyDescent="0.25">
      <c r="A14691" s="6"/>
    </row>
    <row r="14692" spans="1:1" ht="18.75" x14ac:dyDescent="0.25">
      <c r="A14692" s="6"/>
    </row>
    <row r="14693" spans="1:1" ht="18.75" x14ac:dyDescent="0.25">
      <c r="A14693" s="6"/>
    </row>
    <row r="14694" spans="1:1" ht="18.75" x14ac:dyDescent="0.25">
      <c r="A14694" s="6"/>
    </row>
    <row r="14695" spans="1:1" ht="18.75" x14ac:dyDescent="0.25">
      <c r="A14695" s="6"/>
    </row>
    <row r="14696" spans="1:1" ht="18.75" x14ac:dyDescent="0.25">
      <c r="A14696" s="6"/>
    </row>
    <row r="14697" spans="1:1" ht="18.75" x14ac:dyDescent="0.25">
      <c r="A14697" s="6"/>
    </row>
    <row r="14698" spans="1:1" ht="18.75" x14ac:dyDescent="0.25">
      <c r="A14698" s="6"/>
    </row>
    <row r="14699" spans="1:1" ht="18.75" x14ac:dyDescent="0.25">
      <c r="A14699" s="6"/>
    </row>
    <row r="14700" spans="1:1" ht="18.75" x14ac:dyDescent="0.25">
      <c r="A14700" s="6"/>
    </row>
    <row r="14701" spans="1:1" ht="18.75" x14ac:dyDescent="0.25">
      <c r="A14701" s="6"/>
    </row>
    <row r="14702" spans="1:1" ht="18.75" x14ac:dyDescent="0.25">
      <c r="A14702" s="6"/>
    </row>
    <row r="14703" spans="1:1" ht="18.75" x14ac:dyDescent="0.25">
      <c r="A14703" s="6"/>
    </row>
    <row r="14704" spans="1:1" ht="18.75" x14ac:dyDescent="0.25">
      <c r="A14704" s="6"/>
    </row>
    <row r="14705" spans="1:1" ht="18.75" x14ac:dyDescent="0.25">
      <c r="A14705" s="6"/>
    </row>
    <row r="14706" spans="1:1" ht="18.75" x14ac:dyDescent="0.25">
      <c r="A14706" s="6"/>
    </row>
    <row r="14707" spans="1:1" ht="18.75" x14ac:dyDescent="0.25">
      <c r="A14707" s="6"/>
    </row>
    <row r="14708" spans="1:1" ht="18.75" x14ac:dyDescent="0.25">
      <c r="A14708" s="6"/>
    </row>
    <row r="14709" spans="1:1" ht="18.75" x14ac:dyDescent="0.25">
      <c r="A14709" s="6"/>
    </row>
    <row r="14710" spans="1:1" ht="18.75" x14ac:dyDescent="0.25">
      <c r="A14710" s="6"/>
    </row>
    <row r="14711" spans="1:1" ht="18.75" x14ac:dyDescent="0.25">
      <c r="A14711" s="6"/>
    </row>
    <row r="14712" spans="1:1" ht="18.75" x14ac:dyDescent="0.25">
      <c r="A14712" s="6"/>
    </row>
    <row r="14713" spans="1:1" ht="18.75" x14ac:dyDescent="0.25">
      <c r="A14713" s="6"/>
    </row>
    <row r="14714" spans="1:1" ht="18.75" x14ac:dyDescent="0.25">
      <c r="A14714" s="6"/>
    </row>
    <row r="14715" spans="1:1" ht="18.75" x14ac:dyDescent="0.25">
      <c r="A14715" s="6"/>
    </row>
    <row r="14716" spans="1:1" ht="18.75" x14ac:dyDescent="0.25">
      <c r="A14716" s="6"/>
    </row>
    <row r="14717" spans="1:1" ht="18.75" x14ac:dyDescent="0.25">
      <c r="A14717" s="6"/>
    </row>
    <row r="14718" spans="1:1" ht="18.75" x14ac:dyDescent="0.25">
      <c r="A14718" s="6"/>
    </row>
    <row r="14719" spans="1:1" ht="18.75" x14ac:dyDescent="0.25">
      <c r="A14719" s="6"/>
    </row>
    <row r="14720" spans="1:1" ht="18.75" x14ac:dyDescent="0.25">
      <c r="A14720" s="6"/>
    </row>
    <row r="14721" spans="1:1" ht="18.75" x14ac:dyDescent="0.25">
      <c r="A14721" s="6"/>
    </row>
    <row r="14722" spans="1:1" ht="18.75" x14ac:dyDescent="0.25">
      <c r="A14722" s="6"/>
    </row>
    <row r="14723" spans="1:1" ht="18.75" x14ac:dyDescent="0.25">
      <c r="A14723" s="6"/>
    </row>
    <row r="14724" spans="1:1" ht="18.75" x14ac:dyDescent="0.25">
      <c r="A14724" s="6"/>
    </row>
    <row r="14725" spans="1:1" ht="18.75" x14ac:dyDescent="0.25">
      <c r="A14725" s="6"/>
    </row>
    <row r="14726" spans="1:1" ht="18.75" x14ac:dyDescent="0.25">
      <c r="A14726" s="6"/>
    </row>
    <row r="14727" spans="1:1" ht="18.75" x14ac:dyDescent="0.25">
      <c r="A14727" s="6"/>
    </row>
    <row r="14728" spans="1:1" ht="18.75" x14ac:dyDescent="0.25">
      <c r="A14728" s="6"/>
    </row>
    <row r="14729" spans="1:1" ht="18.75" x14ac:dyDescent="0.25">
      <c r="A14729" s="6"/>
    </row>
    <row r="14730" spans="1:1" ht="18.75" x14ac:dyDescent="0.25">
      <c r="A14730" s="6"/>
    </row>
    <row r="14731" spans="1:1" ht="18.75" x14ac:dyDescent="0.25">
      <c r="A14731" s="6"/>
    </row>
    <row r="14732" spans="1:1" ht="18.75" x14ac:dyDescent="0.25">
      <c r="A14732" s="6"/>
    </row>
    <row r="14733" spans="1:1" ht="18.75" x14ac:dyDescent="0.25">
      <c r="A14733" s="6"/>
    </row>
    <row r="14734" spans="1:1" ht="18.75" x14ac:dyDescent="0.25">
      <c r="A14734" s="6"/>
    </row>
    <row r="14735" spans="1:1" ht="18.75" x14ac:dyDescent="0.25">
      <c r="A14735" s="6"/>
    </row>
    <row r="14736" spans="1:1" ht="18.75" x14ac:dyDescent="0.25">
      <c r="A14736" s="6"/>
    </row>
    <row r="14737" spans="1:1" ht="18.75" x14ac:dyDescent="0.25">
      <c r="A14737" s="6"/>
    </row>
    <row r="14738" spans="1:1" ht="18.75" x14ac:dyDescent="0.25">
      <c r="A14738" s="6"/>
    </row>
    <row r="14739" spans="1:1" ht="18.75" x14ac:dyDescent="0.25">
      <c r="A14739" s="6"/>
    </row>
    <row r="14740" spans="1:1" ht="18.75" x14ac:dyDescent="0.25">
      <c r="A14740" s="6"/>
    </row>
    <row r="14741" spans="1:1" ht="18.75" x14ac:dyDescent="0.25">
      <c r="A14741" s="6"/>
    </row>
    <row r="14742" spans="1:1" ht="18.75" x14ac:dyDescent="0.25">
      <c r="A14742" s="6"/>
    </row>
    <row r="14743" spans="1:1" ht="18.75" x14ac:dyDescent="0.25">
      <c r="A14743" s="6"/>
    </row>
    <row r="14744" spans="1:1" ht="18.75" x14ac:dyDescent="0.25">
      <c r="A14744" s="6"/>
    </row>
    <row r="14745" spans="1:1" ht="18.75" x14ac:dyDescent="0.25">
      <c r="A14745" s="6"/>
    </row>
    <row r="14746" spans="1:1" ht="18.75" x14ac:dyDescent="0.25">
      <c r="A14746" s="6"/>
    </row>
    <row r="14747" spans="1:1" ht="18.75" x14ac:dyDescent="0.25">
      <c r="A14747" s="6"/>
    </row>
    <row r="14748" spans="1:1" ht="18.75" x14ac:dyDescent="0.25">
      <c r="A14748" s="6"/>
    </row>
    <row r="14749" spans="1:1" ht="18.75" x14ac:dyDescent="0.25">
      <c r="A14749" s="6"/>
    </row>
    <row r="14750" spans="1:1" ht="18.75" x14ac:dyDescent="0.25">
      <c r="A14750" s="6"/>
    </row>
    <row r="14751" spans="1:1" ht="18.75" x14ac:dyDescent="0.25">
      <c r="A14751" s="6"/>
    </row>
    <row r="14752" spans="1:1" ht="18.75" x14ac:dyDescent="0.25">
      <c r="A14752" s="6"/>
    </row>
    <row r="14753" spans="1:1" ht="18.75" x14ac:dyDescent="0.25">
      <c r="A14753" s="6"/>
    </row>
    <row r="14754" spans="1:1" ht="18.75" x14ac:dyDescent="0.25">
      <c r="A14754" s="6"/>
    </row>
    <row r="14755" spans="1:1" ht="18.75" x14ac:dyDescent="0.25">
      <c r="A14755" s="6"/>
    </row>
    <row r="14756" spans="1:1" ht="18.75" x14ac:dyDescent="0.25">
      <c r="A14756" s="6"/>
    </row>
    <row r="14757" spans="1:1" ht="18.75" x14ac:dyDescent="0.25">
      <c r="A14757" s="6"/>
    </row>
    <row r="14758" spans="1:1" ht="18.75" x14ac:dyDescent="0.25">
      <c r="A14758" s="6"/>
    </row>
    <row r="14759" spans="1:1" ht="18.75" x14ac:dyDescent="0.25">
      <c r="A14759" s="6"/>
    </row>
    <row r="14760" spans="1:1" ht="18.75" x14ac:dyDescent="0.25">
      <c r="A14760" s="6"/>
    </row>
    <row r="14761" spans="1:1" ht="18.75" x14ac:dyDescent="0.25">
      <c r="A14761" s="6"/>
    </row>
    <row r="14762" spans="1:1" ht="18.75" x14ac:dyDescent="0.25">
      <c r="A14762" s="6"/>
    </row>
    <row r="14763" spans="1:1" ht="18.75" x14ac:dyDescent="0.25">
      <c r="A14763" s="6"/>
    </row>
    <row r="14764" spans="1:1" ht="18.75" x14ac:dyDescent="0.25">
      <c r="A14764" s="6"/>
    </row>
    <row r="14765" spans="1:1" ht="18.75" x14ac:dyDescent="0.25">
      <c r="A14765" s="6"/>
    </row>
    <row r="14766" spans="1:1" ht="18.75" x14ac:dyDescent="0.25">
      <c r="A14766" s="6"/>
    </row>
    <row r="14767" spans="1:1" ht="18.75" x14ac:dyDescent="0.25">
      <c r="A14767" s="6"/>
    </row>
    <row r="14768" spans="1:1" ht="18.75" x14ac:dyDescent="0.25">
      <c r="A14768" s="6"/>
    </row>
    <row r="14769" spans="1:1" ht="18.75" x14ac:dyDescent="0.25">
      <c r="A14769" s="6"/>
    </row>
    <row r="14770" spans="1:1" ht="18.75" x14ac:dyDescent="0.25">
      <c r="A14770" s="6"/>
    </row>
    <row r="14771" spans="1:1" ht="18.75" x14ac:dyDescent="0.25">
      <c r="A14771" s="6"/>
    </row>
    <row r="14772" spans="1:1" ht="18.75" x14ac:dyDescent="0.25">
      <c r="A14772" s="6"/>
    </row>
    <row r="14773" spans="1:1" ht="18.75" x14ac:dyDescent="0.25">
      <c r="A14773" s="6"/>
    </row>
    <row r="14774" spans="1:1" ht="18.75" x14ac:dyDescent="0.25">
      <c r="A14774" s="6"/>
    </row>
    <row r="14775" spans="1:1" ht="18.75" x14ac:dyDescent="0.25">
      <c r="A14775" s="6"/>
    </row>
    <row r="14776" spans="1:1" ht="18.75" x14ac:dyDescent="0.25">
      <c r="A14776" s="6"/>
    </row>
    <row r="14777" spans="1:1" ht="18.75" x14ac:dyDescent="0.25">
      <c r="A14777" s="6"/>
    </row>
    <row r="14778" spans="1:1" ht="18.75" x14ac:dyDescent="0.25">
      <c r="A14778" s="6"/>
    </row>
    <row r="14779" spans="1:1" ht="18.75" x14ac:dyDescent="0.25">
      <c r="A14779" s="6"/>
    </row>
    <row r="14780" spans="1:1" ht="18.75" x14ac:dyDescent="0.25">
      <c r="A14780" s="6"/>
    </row>
    <row r="14781" spans="1:1" ht="18.75" x14ac:dyDescent="0.25">
      <c r="A14781" s="6"/>
    </row>
    <row r="14782" spans="1:1" ht="18.75" x14ac:dyDescent="0.25">
      <c r="A14782" s="6"/>
    </row>
    <row r="14783" spans="1:1" ht="18.75" x14ac:dyDescent="0.25">
      <c r="A14783" s="6"/>
    </row>
    <row r="14784" spans="1:1" ht="18.75" x14ac:dyDescent="0.25">
      <c r="A14784" s="6"/>
    </row>
    <row r="14785" spans="1:1" ht="18.75" x14ac:dyDescent="0.25">
      <c r="A14785" s="6"/>
    </row>
    <row r="14786" spans="1:1" ht="18.75" x14ac:dyDescent="0.25">
      <c r="A14786" s="6"/>
    </row>
    <row r="14787" spans="1:1" ht="18.75" x14ac:dyDescent="0.25">
      <c r="A14787" s="6"/>
    </row>
    <row r="14788" spans="1:1" ht="18.75" x14ac:dyDescent="0.25">
      <c r="A14788" s="6"/>
    </row>
    <row r="14789" spans="1:1" ht="18.75" x14ac:dyDescent="0.25">
      <c r="A14789" s="6"/>
    </row>
    <row r="14790" spans="1:1" ht="18.75" x14ac:dyDescent="0.25">
      <c r="A14790" s="6"/>
    </row>
    <row r="14791" spans="1:1" ht="18.75" x14ac:dyDescent="0.25">
      <c r="A14791" s="6"/>
    </row>
    <row r="14792" spans="1:1" ht="18.75" x14ac:dyDescent="0.25">
      <c r="A14792" s="6"/>
    </row>
    <row r="14793" spans="1:1" ht="18.75" x14ac:dyDescent="0.25">
      <c r="A14793" s="6"/>
    </row>
    <row r="14794" spans="1:1" ht="18.75" x14ac:dyDescent="0.25">
      <c r="A14794" s="6"/>
    </row>
    <row r="14795" spans="1:1" ht="18.75" x14ac:dyDescent="0.25">
      <c r="A14795" s="6"/>
    </row>
    <row r="14796" spans="1:1" ht="18.75" x14ac:dyDescent="0.25">
      <c r="A14796" s="6"/>
    </row>
    <row r="14797" spans="1:1" ht="18.75" x14ac:dyDescent="0.25">
      <c r="A14797" s="6"/>
    </row>
    <row r="14798" spans="1:1" ht="18.75" x14ac:dyDescent="0.25">
      <c r="A14798" s="6"/>
    </row>
    <row r="14799" spans="1:1" ht="18.75" x14ac:dyDescent="0.25">
      <c r="A14799" s="6"/>
    </row>
    <row r="14800" spans="1:1" ht="18.75" x14ac:dyDescent="0.25">
      <c r="A14800" s="6"/>
    </row>
    <row r="14801" spans="1:1" ht="18.75" x14ac:dyDescent="0.25">
      <c r="A14801" s="6"/>
    </row>
    <row r="14802" spans="1:1" ht="18.75" x14ac:dyDescent="0.25">
      <c r="A14802" s="6"/>
    </row>
    <row r="14803" spans="1:1" ht="18.75" x14ac:dyDescent="0.25">
      <c r="A14803" s="6"/>
    </row>
    <row r="14804" spans="1:1" ht="18.75" x14ac:dyDescent="0.25">
      <c r="A14804" s="6"/>
    </row>
    <row r="14805" spans="1:1" ht="18.75" x14ac:dyDescent="0.25">
      <c r="A14805" s="6"/>
    </row>
    <row r="14806" spans="1:1" ht="18.75" x14ac:dyDescent="0.25">
      <c r="A14806" s="6"/>
    </row>
    <row r="14807" spans="1:1" ht="18.75" x14ac:dyDescent="0.25">
      <c r="A14807" s="6"/>
    </row>
    <row r="14808" spans="1:1" ht="18.75" x14ac:dyDescent="0.25">
      <c r="A14808" s="6"/>
    </row>
    <row r="14809" spans="1:1" ht="18.75" x14ac:dyDescent="0.25">
      <c r="A14809" s="6"/>
    </row>
    <row r="14810" spans="1:1" ht="18.75" x14ac:dyDescent="0.25">
      <c r="A14810" s="6"/>
    </row>
    <row r="14811" spans="1:1" ht="18.75" x14ac:dyDescent="0.25">
      <c r="A14811" s="6"/>
    </row>
    <row r="14812" spans="1:1" ht="18.75" x14ac:dyDescent="0.25">
      <c r="A14812" s="6"/>
    </row>
    <row r="14813" spans="1:1" ht="18.75" x14ac:dyDescent="0.25">
      <c r="A14813" s="6"/>
    </row>
    <row r="14814" spans="1:1" ht="18.75" x14ac:dyDescent="0.25">
      <c r="A14814" s="6"/>
    </row>
    <row r="14815" spans="1:1" ht="18.75" x14ac:dyDescent="0.25">
      <c r="A14815" s="6"/>
    </row>
    <row r="14816" spans="1:1" ht="18.75" x14ac:dyDescent="0.25">
      <c r="A14816" s="6"/>
    </row>
    <row r="14817" spans="1:1" ht="18.75" x14ac:dyDescent="0.25">
      <c r="A14817" s="6"/>
    </row>
    <row r="14818" spans="1:1" ht="18.75" x14ac:dyDescent="0.25">
      <c r="A14818" s="6"/>
    </row>
    <row r="14819" spans="1:1" ht="18.75" x14ac:dyDescent="0.25">
      <c r="A14819" s="6"/>
    </row>
    <row r="14820" spans="1:1" ht="18.75" x14ac:dyDescent="0.25">
      <c r="A14820" s="6"/>
    </row>
    <row r="14821" spans="1:1" ht="18.75" x14ac:dyDescent="0.25">
      <c r="A14821" s="6"/>
    </row>
    <row r="14822" spans="1:1" ht="18.75" x14ac:dyDescent="0.25">
      <c r="A14822" s="6"/>
    </row>
    <row r="14823" spans="1:1" ht="18.75" x14ac:dyDescent="0.25">
      <c r="A14823" s="6"/>
    </row>
    <row r="14824" spans="1:1" ht="18.75" x14ac:dyDescent="0.25">
      <c r="A14824" s="6"/>
    </row>
    <row r="14825" spans="1:1" ht="18.75" x14ac:dyDescent="0.25">
      <c r="A14825" s="6"/>
    </row>
    <row r="14826" spans="1:1" ht="18.75" x14ac:dyDescent="0.25">
      <c r="A14826" s="6"/>
    </row>
    <row r="14827" spans="1:1" ht="18.75" x14ac:dyDescent="0.25">
      <c r="A14827" s="6"/>
    </row>
    <row r="14828" spans="1:1" ht="18.75" x14ac:dyDescent="0.25">
      <c r="A14828" s="6"/>
    </row>
    <row r="14829" spans="1:1" ht="18.75" x14ac:dyDescent="0.25">
      <c r="A14829" s="6"/>
    </row>
    <row r="14830" spans="1:1" ht="18.75" x14ac:dyDescent="0.25">
      <c r="A14830" s="6"/>
    </row>
    <row r="14831" spans="1:1" ht="18.75" x14ac:dyDescent="0.25">
      <c r="A14831" s="6"/>
    </row>
    <row r="14832" spans="1:1" ht="18.75" x14ac:dyDescent="0.25">
      <c r="A14832" s="6"/>
    </row>
    <row r="14833" spans="1:1" ht="18.75" x14ac:dyDescent="0.25">
      <c r="A14833" s="6"/>
    </row>
    <row r="14834" spans="1:1" ht="18.75" x14ac:dyDescent="0.25">
      <c r="A14834" s="6"/>
    </row>
    <row r="14835" spans="1:1" ht="18.75" x14ac:dyDescent="0.25">
      <c r="A14835" s="6"/>
    </row>
    <row r="14836" spans="1:1" ht="18.75" x14ac:dyDescent="0.25">
      <c r="A14836" s="6"/>
    </row>
    <row r="14837" spans="1:1" ht="18.75" x14ac:dyDescent="0.25">
      <c r="A14837" s="6"/>
    </row>
    <row r="14838" spans="1:1" ht="18.75" x14ac:dyDescent="0.25">
      <c r="A14838" s="6"/>
    </row>
    <row r="14839" spans="1:1" ht="18.75" x14ac:dyDescent="0.25">
      <c r="A14839" s="6"/>
    </row>
    <row r="14840" spans="1:1" ht="18.75" x14ac:dyDescent="0.25">
      <c r="A14840" s="6"/>
    </row>
    <row r="14841" spans="1:1" ht="18.75" x14ac:dyDescent="0.25">
      <c r="A14841" s="6"/>
    </row>
    <row r="14842" spans="1:1" ht="18.75" x14ac:dyDescent="0.25">
      <c r="A14842" s="6"/>
    </row>
    <row r="14843" spans="1:1" ht="18.75" x14ac:dyDescent="0.25">
      <c r="A14843" s="6"/>
    </row>
    <row r="14844" spans="1:1" ht="18.75" x14ac:dyDescent="0.25">
      <c r="A14844" s="6"/>
    </row>
    <row r="14845" spans="1:1" ht="18.75" x14ac:dyDescent="0.25">
      <c r="A14845" s="6"/>
    </row>
    <row r="14846" spans="1:1" ht="18.75" x14ac:dyDescent="0.25">
      <c r="A14846" s="6"/>
    </row>
    <row r="14847" spans="1:1" ht="18.75" x14ac:dyDescent="0.25">
      <c r="A14847" s="6"/>
    </row>
    <row r="14848" spans="1:1" ht="18.75" x14ac:dyDescent="0.25">
      <c r="A14848" s="6"/>
    </row>
    <row r="14849" spans="1:1" ht="18.75" x14ac:dyDescent="0.25">
      <c r="A14849" s="6"/>
    </row>
    <row r="14850" spans="1:1" ht="18.75" x14ac:dyDescent="0.25">
      <c r="A14850" s="6"/>
    </row>
    <row r="14851" spans="1:1" ht="18.75" x14ac:dyDescent="0.25">
      <c r="A14851" s="6"/>
    </row>
    <row r="14852" spans="1:1" ht="18.75" x14ac:dyDescent="0.25">
      <c r="A14852" s="6"/>
    </row>
    <row r="14853" spans="1:1" ht="18.75" x14ac:dyDescent="0.25">
      <c r="A14853" s="6"/>
    </row>
    <row r="14854" spans="1:1" ht="18.75" x14ac:dyDescent="0.25">
      <c r="A14854" s="6"/>
    </row>
    <row r="14855" spans="1:1" ht="18.75" x14ac:dyDescent="0.25">
      <c r="A14855" s="6"/>
    </row>
    <row r="14856" spans="1:1" ht="18.75" x14ac:dyDescent="0.25">
      <c r="A14856" s="6"/>
    </row>
    <row r="14857" spans="1:1" ht="18.75" x14ac:dyDescent="0.25">
      <c r="A14857" s="6"/>
    </row>
    <row r="14858" spans="1:1" ht="18.75" x14ac:dyDescent="0.25">
      <c r="A14858" s="6"/>
    </row>
    <row r="14859" spans="1:1" ht="18.75" x14ac:dyDescent="0.25">
      <c r="A14859" s="6"/>
    </row>
    <row r="14860" spans="1:1" ht="18.75" x14ac:dyDescent="0.25">
      <c r="A14860" s="6"/>
    </row>
    <row r="14861" spans="1:1" ht="18.75" x14ac:dyDescent="0.25">
      <c r="A14861" s="6"/>
    </row>
    <row r="14862" spans="1:1" ht="18.75" x14ac:dyDescent="0.25">
      <c r="A14862" s="6"/>
    </row>
    <row r="14863" spans="1:1" ht="18.75" x14ac:dyDescent="0.25">
      <c r="A14863" s="6"/>
    </row>
    <row r="14864" spans="1:1" ht="18.75" x14ac:dyDescent="0.25">
      <c r="A14864" s="6"/>
    </row>
    <row r="14865" spans="1:1" ht="18.75" x14ac:dyDescent="0.25">
      <c r="A14865" s="6"/>
    </row>
    <row r="14866" spans="1:1" ht="18.75" x14ac:dyDescent="0.25">
      <c r="A14866" s="6"/>
    </row>
    <row r="14867" spans="1:1" ht="18.75" x14ac:dyDescent="0.25">
      <c r="A14867" s="6"/>
    </row>
    <row r="14868" spans="1:1" ht="18.75" x14ac:dyDescent="0.25">
      <c r="A14868" s="6"/>
    </row>
    <row r="14869" spans="1:1" ht="18.75" x14ac:dyDescent="0.25">
      <c r="A14869" s="6"/>
    </row>
    <row r="14870" spans="1:1" ht="18.75" x14ac:dyDescent="0.25">
      <c r="A14870" s="6"/>
    </row>
    <row r="14871" spans="1:1" ht="18.75" x14ac:dyDescent="0.25">
      <c r="A14871" s="6"/>
    </row>
    <row r="14872" spans="1:1" ht="18.75" x14ac:dyDescent="0.25">
      <c r="A14872" s="6"/>
    </row>
    <row r="14873" spans="1:1" ht="18.75" x14ac:dyDescent="0.25">
      <c r="A14873" s="6"/>
    </row>
    <row r="14874" spans="1:1" ht="18.75" x14ac:dyDescent="0.25">
      <c r="A14874" s="6"/>
    </row>
    <row r="14875" spans="1:1" ht="18.75" x14ac:dyDescent="0.25">
      <c r="A14875" s="6"/>
    </row>
    <row r="14876" spans="1:1" ht="18.75" x14ac:dyDescent="0.25">
      <c r="A14876" s="6"/>
    </row>
    <row r="14877" spans="1:1" ht="18.75" x14ac:dyDescent="0.25">
      <c r="A14877" s="6"/>
    </row>
    <row r="14878" spans="1:1" ht="18.75" x14ac:dyDescent="0.25">
      <c r="A14878" s="6"/>
    </row>
    <row r="14879" spans="1:1" ht="18.75" x14ac:dyDescent="0.25">
      <c r="A14879" s="6"/>
    </row>
    <row r="14880" spans="1:1" ht="18.75" x14ac:dyDescent="0.25">
      <c r="A14880" s="6"/>
    </row>
    <row r="14881" spans="1:1" ht="18.75" x14ac:dyDescent="0.25">
      <c r="A14881" s="6"/>
    </row>
    <row r="14882" spans="1:1" ht="18.75" x14ac:dyDescent="0.25">
      <c r="A14882" s="6"/>
    </row>
    <row r="14883" spans="1:1" ht="18.75" x14ac:dyDescent="0.25">
      <c r="A14883" s="6"/>
    </row>
    <row r="14884" spans="1:1" ht="18.75" x14ac:dyDescent="0.25">
      <c r="A14884" s="6"/>
    </row>
    <row r="14885" spans="1:1" ht="18.75" x14ac:dyDescent="0.25">
      <c r="A14885" s="6"/>
    </row>
    <row r="14886" spans="1:1" ht="18.75" x14ac:dyDescent="0.25">
      <c r="A14886" s="6"/>
    </row>
    <row r="14887" spans="1:1" ht="18.75" x14ac:dyDescent="0.25">
      <c r="A14887" s="6"/>
    </row>
    <row r="14888" spans="1:1" ht="18.75" x14ac:dyDescent="0.25">
      <c r="A14888" s="6"/>
    </row>
    <row r="14889" spans="1:1" ht="18.75" x14ac:dyDescent="0.25">
      <c r="A14889" s="6"/>
    </row>
    <row r="14890" spans="1:1" ht="18.75" x14ac:dyDescent="0.25">
      <c r="A14890" s="6"/>
    </row>
    <row r="14891" spans="1:1" ht="18.75" x14ac:dyDescent="0.25">
      <c r="A14891" s="6"/>
    </row>
    <row r="14892" spans="1:1" ht="18.75" x14ac:dyDescent="0.25">
      <c r="A14892" s="6"/>
    </row>
    <row r="14893" spans="1:1" ht="18.75" x14ac:dyDescent="0.25">
      <c r="A14893" s="6"/>
    </row>
    <row r="14894" spans="1:1" ht="18.75" x14ac:dyDescent="0.25">
      <c r="A14894" s="6"/>
    </row>
    <row r="14895" spans="1:1" ht="18.75" x14ac:dyDescent="0.25">
      <c r="A14895" s="6"/>
    </row>
    <row r="14896" spans="1:1" ht="18.75" x14ac:dyDescent="0.25">
      <c r="A14896" s="6"/>
    </row>
    <row r="14897" spans="1:1" ht="18.75" x14ac:dyDescent="0.25">
      <c r="A14897" s="6"/>
    </row>
    <row r="14898" spans="1:1" ht="18.75" x14ac:dyDescent="0.25">
      <c r="A14898" s="6"/>
    </row>
    <row r="14899" spans="1:1" ht="18.75" x14ac:dyDescent="0.25">
      <c r="A14899" s="6"/>
    </row>
    <row r="14900" spans="1:1" ht="18.75" x14ac:dyDescent="0.25">
      <c r="A14900" s="6"/>
    </row>
    <row r="14901" spans="1:1" ht="18.75" x14ac:dyDescent="0.25">
      <c r="A14901" s="6"/>
    </row>
    <row r="14902" spans="1:1" ht="18.75" x14ac:dyDescent="0.25">
      <c r="A14902" s="6"/>
    </row>
    <row r="14903" spans="1:1" ht="18.75" x14ac:dyDescent="0.25">
      <c r="A14903" s="6"/>
    </row>
    <row r="14904" spans="1:1" ht="18.75" x14ac:dyDescent="0.25">
      <c r="A14904" s="6"/>
    </row>
    <row r="14905" spans="1:1" ht="18.75" x14ac:dyDescent="0.25">
      <c r="A14905" s="6"/>
    </row>
    <row r="14906" spans="1:1" ht="18.75" x14ac:dyDescent="0.25">
      <c r="A14906" s="6"/>
    </row>
    <row r="14907" spans="1:1" ht="18.75" x14ac:dyDescent="0.25">
      <c r="A14907" s="6"/>
    </row>
    <row r="14908" spans="1:1" ht="18.75" x14ac:dyDescent="0.25">
      <c r="A14908" s="6"/>
    </row>
    <row r="14909" spans="1:1" ht="18.75" x14ac:dyDescent="0.25">
      <c r="A14909" s="6"/>
    </row>
    <row r="14910" spans="1:1" ht="18.75" x14ac:dyDescent="0.25">
      <c r="A14910" s="6"/>
    </row>
    <row r="14911" spans="1:1" ht="18.75" x14ac:dyDescent="0.25">
      <c r="A14911" s="6"/>
    </row>
    <row r="14912" spans="1:1" ht="18.75" x14ac:dyDescent="0.25">
      <c r="A14912" s="6"/>
    </row>
    <row r="14913" spans="1:1" ht="18.75" x14ac:dyDescent="0.25">
      <c r="A14913" s="6"/>
    </row>
    <row r="14914" spans="1:1" ht="18.75" x14ac:dyDescent="0.25">
      <c r="A14914" s="6"/>
    </row>
    <row r="14915" spans="1:1" ht="18.75" x14ac:dyDescent="0.25">
      <c r="A14915" s="6"/>
    </row>
    <row r="14916" spans="1:1" ht="18.75" x14ac:dyDescent="0.25">
      <c r="A14916" s="6"/>
    </row>
    <row r="14917" spans="1:1" ht="18.75" x14ac:dyDescent="0.25">
      <c r="A14917" s="6"/>
    </row>
    <row r="14918" spans="1:1" ht="18.75" x14ac:dyDescent="0.25">
      <c r="A14918" s="6"/>
    </row>
    <row r="14919" spans="1:1" ht="18.75" x14ac:dyDescent="0.25">
      <c r="A14919" s="6"/>
    </row>
    <row r="14920" spans="1:1" ht="18.75" x14ac:dyDescent="0.25">
      <c r="A14920" s="6"/>
    </row>
    <row r="14921" spans="1:1" ht="18.75" x14ac:dyDescent="0.25">
      <c r="A14921" s="6"/>
    </row>
    <row r="14922" spans="1:1" ht="18.75" x14ac:dyDescent="0.25">
      <c r="A14922" s="6"/>
    </row>
    <row r="14923" spans="1:1" ht="18.75" x14ac:dyDescent="0.25">
      <c r="A14923" s="6"/>
    </row>
    <row r="14924" spans="1:1" ht="18.75" x14ac:dyDescent="0.25">
      <c r="A14924" s="6"/>
    </row>
    <row r="14925" spans="1:1" ht="18.75" x14ac:dyDescent="0.25">
      <c r="A14925" s="6"/>
    </row>
    <row r="14926" spans="1:1" ht="18.75" x14ac:dyDescent="0.25">
      <c r="A14926" s="6"/>
    </row>
    <row r="14927" spans="1:1" ht="18.75" x14ac:dyDescent="0.25">
      <c r="A14927" s="6"/>
    </row>
    <row r="14928" spans="1:1" ht="18.75" x14ac:dyDescent="0.25">
      <c r="A14928" s="6"/>
    </row>
    <row r="14929" spans="1:1" ht="18.75" x14ac:dyDescent="0.25">
      <c r="A14929" s="6"/>
    </row>
    <row r="14930" spans="1:1" ht="18.75" x14ac:dyDescent="0.25">
      <c r="A14930" s="6"/>
    </row>
    <row r="14931" spans="1:1" ht="18.75" x14ac:dyDescent="0.25">
      <c r="A14931" s="6"/>
    </row>
    <row r="14932" spans="1:1" ht="18.75" x14ac:dyDescent="0.25">
      <c r="A14932" s="6"/>
    </row>
    <row r="14933" spans="1:1" ht="18.75" x14ac:dyDescent="0.25">
      <c r="A14933" s="6"/>
    </row>
    <row r="14934" spans="1:1" ht="18.75" x14ac:dyDescent="0.25">
      <c r="A14934" s="6"/>
    </row>
    <row r="14935" spans="1:1" ht="18.75" x14ac:dyDescent="0.25">
      <c r="A14935" s="6"/>
    </row>
    <row r="14936" spans="1:1" ht="18.75" x14ac:dyDescent="0.25">
      <c r="A14936" s="6"/>
    </row>
    <row r="14937" spans="1:1" ht="18.75" x14ac:dyDescent="0.25">
      <c r="A14937" s="6"/>
    </row>
    <row r="14938" spans="1:1" ht="18.75" x14ac:dyDescent="0.25">
      <c r="A14938" s="6"/>
    </row>
    <row r="14939" spans="1:1" ht="18.75" x14ac:dyDescent="0.25">
      <c r="A14939" s="6"/>
    </row>
    <row r="14940" spans="1:1" ht="18.75" x14ac:dyDescent="0.25">
      <c r="A14940" s="6"/>
    </row>
    <row r="14941" spans="1:1" ht="18.75" x14ac:dyDescent="0.25">
      <c r="A14941" s="6"/>
    </row>
    <row r="14942" spans="1:1" ht="18.75" x14ac:dyDescent="0.25">
      <c r="A14942" s="6"/>
    </row>
    <row r="14943" spans="1:1" ht="18.75" x14ac:dyDescent="0.25">
      <c r="A14943" s="6"/>
    </row>
    <row r="14944" spans="1:1" ht="18.75" x14ac:dyDescent="0.25">
      <c r="A14944" s="6"/>
    </row>
    <row r="14945" spans="1:1" ht="18.75" x14ac:dyDescent="0.25">
      <c r="A14945" s="6"/>
    </row>
    <row r="14946" spans="1:1" ht="18.75" x14ac:dyDescent="0.25">
      <c r="A14946" s="6"/>
    </row>
    <row r="14947" spans="1:1" ht="18.75" x14ac:dyDescent="0.25">
      <c r="A14947" s="6"/>
    </row>
    <row r="14948" spans="1:1" ht="18.75" x14ac:dyDescent="0.25">
      <c r="A14948" s="6"/>
    </row>
    <row r="14949" spans="1:1" ht="18.75" x14ac:dyDescent="0.25">
      <c r="A14949" s="6"/>
    </row>
    <row r="14950" spans="1:1" ht="18.75" x14ac:dyDescent="0.25">
      <c r="A14950" s="6"/>
    </row>
    <row r="14951" spans="1:1" ht="18.75" x14ac:dyDescent="0.25">
      <c r="A14951" s="6"/>
    </row>
    <row r="14952" spans="1:1" ht="18.75" x14ac:dyDescent="0.25">
      <c r="A14952" s="6"/>
    </row>
    <row r="14953" spans="1:1" ht="18.75" x14ac:dyDescent="0.25">
      <c r="A14953" s="6"/>
    </row>
    <row r="14954" spans="1:1" ht="18.75" x14ac:dyDescent="0.25">
      <c r="A14954" s="6"/>
    </row>
    <row r="14955" spans="1:1" ht="18.75" x14ac:dyDescent="0.25">
      <c r="A14955" s="6"/>
    </row>
    <row r="14956" spans="1:1" ht="18.75" x14ac:dyDescent="0.25">
      <c r="A14956" s="6"/>
    </row>
    <row r="14957" spans="1:1" ht="18.75" x14ac:dyDescent="0.25">
      <c r="A14957" s="6"/>
    </row>
    <row r="14958" spans="1:1" ht="18.75" x14ac:dyDescent="0.25">
      <c r="A14958" s="6"/>
    </row>
    <row r="14959" spans="1:1" ht="18.75" x14ac:dyDescent="0.25">
      <c r="A14959" s="6"/>
    </row>
    <row r="14960" spans="1:1" ht="18.75" x14ac:dyDescent="0.25">
      <c r="A14960" s="6"/>
    </row>
    <row r="14961" spans="1:1" ht="18.75" x14ac:dyDescent="0.25">
      <c r="A14961" s="6"/>
    </row>
    <row r="14962" spans="1:1" ht="18.75" x14ac:dyDescent="0.25">
      <c r="A14962" s="6"/>
    </row>
    <row r="14963" spans="1:1" ht="18.75" x14ac:dyDescent="0.25">
      <c r="A14963" s="6"/>
    </row>
    <row r="14964" spans="1:1" ht="18.75" x14ac:dyDescent="0.25">
      <c r="A14964" s="6"/>
    </row>
    <row r="14965" spans="1:1" ht="18.75" x14ac:dyDescent="0.25">
      <c r="A14965" s="6"/>
    </row>
    <row r="14966" spans="1:1" ht="18.75" x14ac:dyDescent="0.25">
      <c r="A14966" s="6"/>
    </row>
    <row r="14967" spans="1:1" ht="18.75" x14ac:dyDescent="0.25">
      <c r="A14967" s="6"/>
    </row>
    <row r="14968" spans="1:1" ht="18.75" x14ac:dyDescent="0.25">
      <c r="A14968" s="6"/>
    </row>
    <row r="14969" spans="1:1" ht="18.75" x14ac:dyDescent="0.25">
      <c r="A14969" s="6"/>
    </row>
    <row r="14970" spans="1:1" ht="18.75" x14ac:dyDescent="0.25">
      <c r="A14970" s="6"/>
    </row>
    <row r="14971" spans="1:1" ht="18.75" x14ac:dyDescent="0.25">
      <c r="A14971" s="6"/>
    </row>
    <row r="14972" spans="1:1" ht="18.75" x14ac:dyDescent="0.25">
      <c r="A14972" s="6"/>
    </row>
    <row r="14973" spans="1:1" ht="18.75" x14ac:dyDescent="0.25">
      <c r="A14973" s="6"/>
    </row>
    <row r="14974" spans="1:1" ht="18.75" x14ac:dyDescent="0.25">
      <c r="A14974" s="6"/>
    </row>
    <row r="14975" spans="1:1" ht="18.75" x14ac:dyDescent="0.25">
      <c r="A14975" s="6"/>
    </row>
    <row r="14976" spans="1:1" ht="18.75" x14ac:dyDescent="0.25">
      <c r="A14976" s="6"/>
    </row>
    <row r="14977" spans="1:1" ht="18.75" x14ac:dyDescent="0.25">
      <c r="A14977" s="6"/>
    </row>
    <row r="14978" spans="1:1" ht="18.75" x14ac:dyDescent="0.25">
      <c r="A14978" s="6"/>
    </row>
    <row r="14979" spans="1:1" ht="18.75" x14ac:dyDescent="0.25">
      <c r="A14979" s="6"/>
    </row>
    <row r="14980" spans="1:1" ht="18.75" x14ac:dyDescent="0.25">
      <c r="A14980" s="6"/>
    </row>
    <row r="14981" spans="1:1" ht="18.75" x14ac:dyDescent="0.25">
      <c r="A14981" s="6"/>
    </row>
    <row r="14982" spans="1:1" ht="18.75" x14ac:dyDescent="0.25">
      <c r="A14982" s="6"/>
    </row>
    <row r="14983" spans="1:1" ht="18.75" x14ac:dyDescent="0.25">
      <c r="A14983" s="6"/>
    </row>
    <row r="14984" spans="1:1" ht="18.75" x14ac:dyDescent="0.25">
      <c r="A14984" s="6"/>
    </row>
    <row r="14985" spans="1:1" ht="18.75" x14ac:dyDescent="0.25">
      <c r="A14985" s="6"/>
    </row>
    <row r="14986" spans="1:1" ht="18.75" x14ac:dyDescent="0.25">
      <c r="A14986" s="6"/>
    </row>
    <row r="14987" spans="1:1" ht="18.75" x14ac:dyDescent="0.25">
      <c r="A14987" s="6"/>
    </row>
    <row r="14988" spans="1:1" ht="18.75" x14ac:dyDescent="0.25">
      <c r="A14988" s="6"/>
    </row>
    <row r="14989" spans="1:1" ht="18.75" x14ac:dyDescent="0.25">
      <c r="A14989" s="6"/>
    </row>
    <row r="14990" spans="1:1" ht="18.75" x14ac:dyDescent="0.25">
      <c r="A14990" s="6"/>
    </row>
    <row r="14991" spans="1:1" ht="18.75" x14ac:dyDescent="0.25">
      <c r="A14991" s="6"/>
    </row>
    <row r="14992" spans="1:1" ht="18.75" x14ac:dyDescent="0.25">
      <c r="A14992" s="6"/>
    </row>
    <row r="14993" spans="1:1" ht="18.75" x14ac:dyDescent="0.25">
      <c r="A14993" s="6"/>
    </row>
    <row r="14994" spans="1:1" ht="18.75" x14ac:dyDescent="0.25">
      <c r="A14994" s="6"/>
    </row>
    <row r="14995" spans="1:1" ht="18.75" x14ac:dyDescent="0.25">
      <c r="A14995" s="6"/>
    </row>
    <row r="14996" spans="1:1" ht="18.75" x14ac:dyDescent="0.25">
      <c r="A14996" s="6"/>
    </row>
    <row r="14997" spans="1:1" ht="18.75" x14ac:dyDescent="0.25">
      <c r="A14997" s="6"/>
    </row>
    <row r="14998" spans="1:1" ht="18.75" x14ac:dyDescent="0.25">
      <c r="A14998" s="6"/>
    </row>
    <row r="14999" spans="1:1" ht="18.75" x14ac:dyDescent="0.25">
      <c r="A14999" s="6"/>
    </row>
    <row r="15000" spans="1:1" ht="18.75" x14ac:dyDescent="0.25">
      <c r="A15000" s="6"/>
    </row>
    <row r="15001" spans="1:1" ht="18.75" x14ac:dyDescent="0.25">
      <c r="A15001" s="6"/>
    </row>
    <row r="15002" spans="1:1" ht="18.75" x14ac:dyDescent="0.25">
      <c r="A15002" s="6"/>
    </row>
    <row r="15003" spans="1:1" ht="18.75" x14ac:dyDescent="0.25">
      <c r="A15003" s="6"/>
    </row>
    <row r="15004" spans="1:1" ht="18.75" x14ac:dyDescent="0.25">
      <c r="A15004" s="6"/>
    </row>
    <row r="15005" spans="1:1" ht="18.75" x14ac:dyDescent="0.25">
      <c r="A15005" s="6"/>
    </row>
    <row r="15006" spans="1:1" ht="18.75" x14ac:dyDescent="0.25">
      <c r="A15006" s="6"/>
    </row>
    <row r="15007" spans="1:1" ht="18.75" x14ac:dyDescent="0.25">
      <c r="A15007" s="6"/>
    </row>
    <row r="15008" spans="1:1" ht="18.75" x14ac:dyDescent="0.25">
      <c r="A15008" s="6"/>
    </row>
    <row r="15009" spans="1:1" ht="18.75" x14ac:dyDescent="0.25">
      <c r="A15009" s="6"/>
    </row>
    <row r="15010" spans="1:1" ht="18.75" x14ac:dyDescent="0.25">
      <c r="A15010" s="6"/>
    </row>
    <row r="15011" spans="1:1" ht="18.75" x14ac:dyDescent="0.25">
      <c r="A15011" s="6"/>
    </row>
    <row r="15012" spans="1:1" ht="18.75" x14ac:dyDescent="0.25">
      <c r="A15012" s="6"/>
    </row>
    <row r="15013" spans="1:1" ht="18.75" x14ac:dyDescent="0.25">
      <c r="A15013" s="6"/>
    </row>
    <row r="15014" spans="1:1" ht="18.75" x14ac:dyDescent="0.25">
      <c r="A15014" s="6"/>
    </row>
    <row r="15015" spans="1:1" ht="18.75" x14ac:dyDescent="0.25">
      <c r="A15015" s="6"/>
    </row>
    <row r="15016" spans="1:1" ht="18.75" x14ac:dyDescent="0.25">
      <c r="A15016" s="6"/>
    </row>
    <row r="15017" spans="1:1" ht="18.75" x14ac:dyDescent="0.25">
      <c r="A15017" s="6"/>
    </row>
    <row r="15018" spans="1:1" ht="18.75" x14ac:dyDescent="0.25">
      <c r="A15018" s="6"/>
    </row>
    <row r="15019" spans="1:1" ht="18.75" x14ac:dyDescent="0.25">
      <c r="A15019" s="6"/>
    </row>
    <row r="15020" spans="1:1" ht="18.75" x14ac:dyDescent="0.25">
      <c r="A15020" s="6"/>
    </row>
    <row r="15021" spans="1:1" ht="18.75" x14ac:dyDescent="0.25">
      <c r="A15021" s="6"/>
    </row>
    <row r="15022" spans="1:1" ht="18.75" x14ac:dyDescent="0.25">
      <c r="A15022" s="6"/>
    </row>
    <row r="15023" spans="1:1" ht="18.75" x14ac:dyDescent="0.25">
      <c r="A15023" s="6"/>
    </row>
    <row r="15024" spans="1:1" ht="18.75" x14ac:dyDescent="0.25">
      <c r="A15024" s="6"/>
    </row>
    <row r="15025" spans="1:1" ht="18.75" x14ac:dyDescent="0.25">
      <c r="A15025" s="6"/>
    </row>
    <row r="15026" spans="1:1" ht="18.75" x14ac:dyDescent="0.25">
      <c r="A15026" s="6"/>
    </row>
    <row r="15027" spans="1:1" ht="18.75" x14ac:dyDescent="0.25">
      <c r="A15027" s="6"/>
    </row>
    <row r="15028" spans="1:1" ht="18.75" x14ac:dyDescent="0.25">
      <c r="A15028" s="6"/>
    </row>
    <row r="15029" spans="1:1" ht="18.75" x14ac:dyDescent="0.25">
      <c r="A15029" s="6"/>
    </row>
    <row r="15030" spans="1:1" ht="18.75" x14ac:dyDescent="0.25">
      <c r="A15030" s="6"/>
    </row>
    <row r="15031" spans="1:1" ht="18.75" x14ac:dyDescent="0.25">
      <c r="A15031" s="6"/>
    </row>
    <row r="15032" spans="1:1" ht="18.75" x14ac:dyDescent="0.25">
      <c r="A15032" s="6"/>
    </row>
    <row r="15033" spans="1:1" ht="18.75" x14ac:dyDescent="0.25">
      <c r="A15033" s="6"/>
    </row>
    <row r="15034" spans="1:1" ht="18.75" x14ac:dyDescent="0.25">
      <c r="A15034" s="6"/>
    </row>
    <row r="15035" spans="1:1" ht="18.75" x14ac:dyDescent="0.25">
      <c r="A15035" s="6"/>
    </row>
    <row r="15036" spans="1:1" ht="18.75" x14ac:dyDescent="0.25">
      <c r="A15036" s="6"/>
    </row>
    <row r="15037" spans="1:1" ht="18.75" x14ac:dyDescent="0.25">
      <c r="A15037" s="6"/>
    </row>
    <row r="15038" spans="1:1" ht="18.75" x14ac:dyDescent="0.25">
      <c r="A15038" s="6"/>
    </row>
    <row r="15039" spans="1:1" ht="18.75" x14ac:dyDescent="0.25">
      <c r="A15039" s="6"/>
    </row>
    <row r="15040" spans="1:1" ht="18.75" x14ac:dyDescent="0.25">
      <c r="A15040" s="6"/>
    </row>
    <row r="15041" spans="1:1" ht="18.75" x14ac:dyDescent="0.25">
      <c r="A15041" s="6"/>
    </row>
    <row r="15042" spans="1:1" ht="18.75" x14ac:dyDescent="0.25">
      <c r="A15042" s="6"/>
    </row>
    <row r="15043" spans="1:1" ht="18.75" x14ac:dyDescent="0.25">
      <c r="A15043" s="6"/>
    </row>
    <row r="15044" spans="1:1" ht="18.75" x14ac:dyDescent="0.25">
      <c r="A15044" s="6"/>
    </row>
    <row r="15045" spans="1:1" ht="18.75" x14ac:dyDescent="0.25">
      <c r="A15045" s="6"/>
    </row>
    <row r="15046" spans="1:1" ht="18.75" x14ac:dyDescent="0.25">
      <c r="A15046" s="6"/>
    </row>
    <row r="15047" spans="1:1" ht="18.75" x14ac:dyDescent="0.25">
      <c r="A15047" s="6"/>
    </row>
    <row r="15048" spans="1:1" ht="18.75" x14ac:dyDescent="0.25">
      <c r="A15048" s="6"/>
    </row>
    <row r="15049" spans="1:1" ht="18.75" x14ac:dyDescent="0.25">
      <c r="A15049" s="6"/>
    </row>
    <row r="15050" spans="1:1" ht="18.75" x14ac:dyDescent="0.25">
      <c r="A15050" s="6"/>
    </row>
    <row r="15051" spans="1:1" ht="18.75" x14ac:dyDescent="0.25">
      <c r="A15051" s="6"/>
    </row>
    <row r="15052" spans="1:1" ht="18.75" x14ac:dyDescent="0.25">
      <c r="A15052" s="6"/>
    </row>
    <row r="15053" spans="1:1" ht="18.75" x14ac:dyDescent="0.25">
      <c r="A15053" s="6"/>
    </row>
    <row r="15054" spans="1:1" ht="18.75" x14ac:dyDescent="0.25">
      <c r="A15054" s="6"/>
    </row>
    <row r="15055" spans="1:1" ht="18.75" x14ac:dyDescent="0.25">
      <c r="A15055" s="6"/>
    </row>
    <row r="15056" spans="1:1" ht="18.75" x14ac:dyDescent="0.25">
      <c r="A15056" s="6"/>
    </row>
    <row r="15057" spans="1:1" ht="18.75" x14ac:dyDescent="0.25">
      <c r="A15057" s="6"/>
    </row>
    <row r="15058" spans="1:1" ht="18.75" x14ac:dyDescent="0.25">
      <c r="A15058" s="6"/>
    </row>
    <row r="15059" spans="1:1" ht="18.75" x14ac:dyDescent="0.25">
      <c r="A15059" s="6"/>
    </row>
    <row r="15060" spans="1:1" ht="18.75" x14ac:dyDescent="0.25">
      <c r="A15060" s="6"/>
    </row>
    <row r="15061" spans="1:1" ht="18.75" x14ac:dyDescent="0.25">
      <c r="A15061" s="6"/>
    </row>
    <row r="15062" spans="1:1" ht="18.75" x14ac:dyDescent="0.25">
      <c r="A15062" s="6"/>
    </row>
    <row r="15063" spans="1:1" ht="18.75" x14ac:dyDescent="0.25">
      <c r="A15063" s="6"/>
    </row>
    <row r="15064" spans="1:1" ht="18.75" x14ac:dyDescent="0.25">
      <c r="A15064" s="6"/>
    </row>
    <row r="15065" spans="1:1" ht="18.75" x14ac:dyDescent="0.25">
      <c r="A15065" s="6"/>
    </row>
    <row r="15066" spans="1:1" ht="18.75" x14ac:dyDescent="0.25">
      <c r="A15066" s="6"/>
    </row>
    <row r="15067" spans="1:1" ht="18.75" x14ac:dyDescent="0.25">
      <c r="A15067" s="6"/>
    </row>
    <row r="15068" spans="1:1" ht="18.75" x14ac:dyDescent="0.25">
      <c r="A15068" s="6"/>
    </row>
    <row r="15069" spans="1:1" ht="18.75" x14ac:dyDescent="0.25">
      <c r="A15069" s="6"/>
    </row>
    <row r="15070" spans="1:1" ht="18.75" x14ac:dyDescent="0.25">
      <c r="A15070" s="6"/>
    </row>
    <row r="15071" spans="1:1" ht="18.75" x14ac:dyDescent="0.25">
      <c r="A15071" s="6"/>
    </row>
    <row r="15072" spans="1:1" ht="18.75" x14ac:dyDescent="0.25">
      <c r="A15072" s="6"/>
    </row>
    <row r="15073" spans="1:1" ht="18.75" x14ac:dyDescent="0.25">
      <c r="A15073" s="6"/>
    </row>
    <row r="15074" spans="1:1" ht="18.75" x14ac:dyDescent="0.25">
      <c r="A15074" s="6"/>
    </row>
    <row r="15075" spans="1:1" ht="18.75" x14ac:dyDescent="0.25">
      <c r="A15075" s="6"/>
    </row>
    <row r="15076" spans="1:1" ht="18.75" x14ac:dyDescent="0.25">
      <c r="A15076" s="6"/>
    </row>
    <row r="15077" spans="1:1" ht="18.75" x14ac:dyDescent="0.25">
      <c r="A15077" s="6"/>
    </row>
    <row r="15078" spans="1:1" ht="18.75" x14ac:dyDescent="0.25">
      <c r="A15078" s="6"/>
    </row>
    <row r="15079" spans="1:1" ht="18.75" x14ac:dyDescent="0.25">
      <c r="A15079" s="6"/>
    </row>
    <row r="15080" spans="1:1" ht="18.75" x14ac:dyDescent="0.25">
      <c r="A15080" s="6"/>
    </row>
    <row r="15081" spans="1:1" ht="18.75" x14ac:dyDescent="0.25">
      <c r="A15081" s="6"/>
    </row>
    <row r="15082" spans="1:1" ht="18.75" x14ac:dyDescent="0.25">
      <c r="A15082" s="6"/>
    </row>
    <row r="15083" spans="1:1" ht="18.75" x14ac:dyDescent="0.25">
      <c r="A15083" s="6"/>
    </row>
    <row r="15084" spans="1:1" ht="18.75" x14ac:dyDescent="0.25">
      <c r="A15084" s="6"/>
    </row>
    <row r="15085" spans="1:1" ht="18.75" x14ac:dyDescent="0.25">
      <c r="A15085" s="6"/>
    </row>
    <row r="15086" spans="1:1" ht="18.75" x14ac:dyDescent="0.25">
      <c r="A15086" s="6"/>
    </row>
    <row r="15087" spans="1:1" ht="18.75" x14ac:dyDescent="0.25">
      <c r="A15087" s="6"/>
    </row>
    <row r="15088" spans="1:1" ht="18.75" x14ac:dyDescent="0.25">
      <c r="A15088" s="6"/>
    </row>
    <row r="15089" spans="1:1" ht="18.75" x14ac:dyDescent="0.25">
      <c r="A15089" s="6"/>
    </row>
    <row r="15090" spans="1:1" ht="18.75" x14ac:dyDescent="0.25">
      <c r="A15090" s="6"/>
    </row>
    <row r="15091" spans="1:1" ht="18.75" x14ac:dyDescent="0.25">
      <c r="A15091" s="6"/>
    </row>
    <row r="15092" spans="1:1" ht="18.75" x14ac:dyDescent="0.25">
      <c r="A15092" s="6"/>
    </row>
    <row r="15093" spans="1:1" ht="18.75" x14ac:dyDescent="0.25">
      <c r="A15093" s="6"/>
    </row>
    <row r="15094" spans="1:1" ht="18.75" x14ac:dyDescent="0.25">
      <c r="A15094" s="6"/>
    </row>
    <row r="15095" spans="1:1" ht="18.75" x14ac:dyDescent="0.25">
      <c r="A15095" s="6"/>
    </row>
    <row r="15096" spans="1:1" ht="18.75" x14ac:dyDescent="0.25">
      <c r="A15096" s="6"/>
    </row>
    <row r="15097" spans="1:1" ht="18.75" x14ac:dyDescent="0.25">
      <c r="A15097" s="6"/>
    </row>
    <row r="15098" spans="1:1" ht="18.75" x14ac:dyDescent="0.25">
      <c r="A15098" s="6"/>
    </row>
    <row r="15099" spans="1:1" ht="18.75" x14ac:dyDescent="0.25">
      <c r="A15099" s="6"/>
    </row>
    <row r="15100" spans="1:1" ht="18.75" x14ac:dyDescent="0.25">
      <c r="A15100" s="6"/>
    </row>
    <row r="15101" spans="1:1" ht="18.75" x14ac:dyDescent="0.25">
      <c r="A15101" s="6"/>
    </row>
    <row r="15102" spans="1:1" ht="18.75" x14ac:dyDescent="0.25">
      <c r="A15102" s="6"/>
    </row>
    <row r="15103" spans="1:1" ht="18.75" x14ac:dyDescent="0.25">
      <c r="A15103" s="6"/>
    </row>
    <row r="15104" spans="1:1" ht="18.75" x14ac:dyDescent="0.25">
      <c r="A15104" s="6"/>
    </row>
    <row r="15105" spans="1:1" ht="18.75" x14ac:dyDescent="0.25">
      <c r="A15105" s="6"/>
    </row>
    <row r="15106" spans="1:1" ht="18.75" x14ac:dyDescent="0.25">
      <c r="A15106" s="6"/>
    </row>
    <row r="15107" spans="1:1" ht="18.75" x14ac:dyDescent="0.25">
      <c r="A15107" s="6"/>
    </row>
    <row r="15108" spans="1:1" ht="18.75" x14ac:dyDescent="0.25">
      <c r="A15108" s="6"/>
    </row>
    <row r="15109" spans="1:1" ht="18.75" x14ac:dyDescent="0.25">
      <c r="A15109" s="6"/>
    </row>
    <row r="15110" spans="1:1" ht="18.75" x14ac:dyDescent="0.25">
      <c r="A15110" s="6"/>
    </row>
    <row r="15111" spans="1:1" ht="18.75" x14ac:dyDescent="0.25">
      <c r="A15111" s="6"/>
    </row>
    <row r="15112" spans="1:1" ht="18.75" x14ac:dyDescent="0.25">
      <c r="A15112" s="6"/>
    </row>
    <row r="15113" spans="1:1" ht="18.75" x14ac:dyDescent="0.25">
      <c r="A15113" s="6"/>
    </row>
    <row r="15114" spans="1:1" ht="18.75" x14ac:dyDescent="0.25">
      <c r="A15114" s="6"/>
    </row>
    <row r="15115" spans="1:1" ht="18.75" x14ac:dyDescent="0.25">
      <c r="A15115" s="6"/>
    </row>
    <row r="15116" spans="1:1" ht="18.75" x14ac:dyDescent="0.25">
      <c r="A15116" s="6"/>
    </row>
    <row r="15117" spans="1:1" ht="18.75" x14ac:dyDescent="0.25">
      <c r="A15117" s="6"/>
    </row>
    <row r="15118" spans="1:1" ht="18.75" x14ac:dyDescent="0.25">
      <c r="A15118" s="6"/>
    </row>
    <row r="15119" spans="1:1" ht="18.75" x14ac:dyDescent="0.25">
      <c r="A15119" s="6"/>
    </row>
    <row r="15120" spans="1:1" ht="18.75" x14ac:dyDescent="0.25">
      <c r="A15120" s="6"/>
    </row>
    <row r="15121" spans="1:1" ht="18.75" x14ac:dyDescent="0.25">
      <c r="A15121" s="6"/>
    </row>
    <row r="15122" spans="1:1" ht="18.75" x14ac:dyDescent="0.25">
      <c r="A15122" s="6"/>
    </row>
    <row r="15123" spans="1:1" ht="18.75" x14ac:dyDescent="0.25">
      <c r="A15123" s="6"/>
    </row>
    <row r="15124" spans="1:1" ht="18.75" x14ac:dyDescent="0.25">
      <c r="A15124" s="6"/>
    </row>
    <row r="15125" spans="1:1" ht="18.75" x14ac:dyDescent="0.25">
      <c r="A15125" s="6"/>
    </row>
    <row r="15126" spans="1:1" ht="18.75" x14ac:dyDescent="0.25">
      <c r="A15126" s="6"/>
    </row>
    <row r="15127" spans="1:1" ht="18.75" x14ac:dyDescent="0.25">
      <c r="A15127" s="6"/>
    </row>
    <row r="15128" spans="1:1" ht="18.75" x14ac:dyDescent="0.25">
      <c r="A15128" s="6"/>
    </row>
    <row r="15129" spans="1:1" ht="18.75" x14ac:dyDescent="0.25">
      <c r="A15129" s="6"/>
    </row>
    <row r="15130" spans="1:1" ht="18.75" x14ac:dyDescent="0.25">
      <c r="A15130" s="6"/>
    </row>
    <row r="15131" spans="1:1" ht="18.75" x14ac:dyDescent="0.25">
      <c r="A15131" s="6"/>
    </row>
    <row r="15132" spans="1:1" ht="18.75" x14ac:dyDescent="0.25">
      <c r="A15132" s="6"/>
    </row>
    <row r="15133" spans="1:1" ht="18.75" x14ac:dyDescent="0.25">
      <c r="A15133" s="6"/>
    </row>
    <row r="15134" spans="1:1" ht="18.75" x14ac:dyDescent="0.25">
      <c r="A15134" s="6"/>
    </row>
    <row r="15135" spans="1:1" ht="18.75" x14ac:dyDescent="0.25">
      <c r="A15135" s="6"/>
    </row>
    <row r="15136" spans="1:1" ht="18.75" x14ac:dyDescent="0.25">
      <c r="A15136" s="6"/>
    </row>
    <row r="15137" spans="1:1" ht="18.75" x14ac:dyDescent="0.25">
      <c r="A15137" s="6"/>
    </row>
    <row r="15138" spans="1:1" ht="18.75" x14ac:dyDescent="0.25">
      <c r="A15138" s="6"/>
    </row>
    <row r="15139" spans="1:1" ht="18.75" x14ac:dyDescent="0.25">
      <c r="A15139" s="6"/>
    </row>
    <row r="15140" spans="1:1" ht="18.75" x14ac:dyDescent="0.25">
      <c r="A15140" s="6"/>
    </row>
    <row r="15141" spans="1:1" ht="18.75" x14ac:dyDescent="0.25">
      <c r="A15141" s="6"/>
    </row>
    <row r="15142" spans="1:1" ht="18.75" x14ac:dyDescent="0.25">
      <c r="A15142" s="6"/>
    </row>
    <row r="15143" spans="1:1" ht="18.75" x14ac:dyDescent="0.25">
      <c r="A15143" s="6"/>
    </row>
    <row r="15144" spans="1:1" ht="18.75" x14ac:dyDescent="0.25">
      <c r="A15144" s="6"/>
    </row>
    <row r="15145" spans="1:1" ht="18.75" x14ac:dyDescent="0.25">
      <c r="A15145" s="6"/>
    </row>
    <row r="15146" spans="1:1" ht="18.75" x14ac:dyDescent="0.25">
      <c r="A15146" s="6"/>
    </row>
    <row r="15147" spans="1:1" ht="18.75" x14ac:dyDescent="0.25">
      <c r="A15147" s="6"/>
    </row>
    <row r="15148" spans="1:1" ht="18.75" x14ac:dyDescent="0.25">
      <c r="A15148" s="6"/>
    </row>
    <row r="15149" spans="1:1" ht="18.75" x14ac:dyDescent="0.25">
      <c r="A15149" s="6"/>
    </row>
    <row r="15150" spans="1:1" ht="18.75" x14ac:dyDescent="0.25">
      <c r="A15150" s="6"/>
    </row>
    <row r="15151" spans="1:1" ht="18.75" x14ac:dyDescent="0.25">
      <c r="A15151" s="6"/>
    </row>
    <row r="15152" spans="1:1" ht="18.75" x14ac:dyDescent="0.25">
      <c r="A15152" s="6"/>
    </row>
    <row r="15153" spans="1:1" ht="18.75" x14ac:dyDescent="0.25">
      <c r="A15153" s="6"/>
    </row>
    <row r="15154" spans="1:1" ht="18.75" x14ac:dyDescent="0.25">
      <c r="A15154" s="6"/>
    </row>
    <row r="15155" spans="1:1" ht="18.75" x14ac:dyDescent="0.25">
      <c r="A15155" s="6"/>
    </row>
    <row r="15156" spans="1:1" ht="18.75" x14ac:dyDescent="0.25">
      <c r="A15156" s="6"/>
    </row>
    <row r="15157" spans="1:1" ht="18.75" x14ac:dyDescent="0.25">
      <c r="A15157" s="6"/>
    </row>
    <row r="15158" spans="1:1" ht="18.75" x14ac:dyDescent="0.25">
      <c r="A15158" s="6"/>
    </row>
    <row r="15159" spans="1:1" ht="18.75" x14ac:dyDescent="0.25">
      <c r="A15159" s="6"/>
    </row>
    <row r="15160" spans="1:1" ht="18.75" x14ac:dyDescent="0.25">
      <c r="A15160" s="6"/>
    </row>
    <row r="15161" spans="1:1" ht="18.75" x14ac:dyDescent="0.25">
      <c r="A15161" s="6"/>
    </row>
    <row r="15162" spans="1:1" ht="18.75" x14ac:dyDescent="0.25">
      <c r="A15162" s="6"/>
    </row>
    <row r="15163" spans="1:1" ht="18.75" x14ac:dyDescent="0.25">
      <c r="A15163" s="6"/>
    </row>
    <row r="15164" spans="1:1" ht="18.75" x14ac:dyDescent="0.25">
      <c r="A15164" s="6"/>
    </row>
    <row r="15165" spans="1:1" ht="18.75" x14ac:dyDescent="0.25">
      <c r="A15165" s="6"/>
    </row>
    <row r="15166" spans="1:1" ht="18.75" x14ac:dyDescent="0.25">
      <c r="A15166" s="6"/>
    </row>
    <row r="15167" spans="1:1" ht="18.75" x14ac:dyDescent="0.25">
      <c r="A15167" s="6"/>
    </row>
    <row r="15168" spans="1:1" ht="18.75" x14ac:dyDescent="0.25">
      <c r="A15168" s="6"/>
    </row>
    <row r="15169" spans="1:1" ht="18.75" x14ac:dyDescent="0.25">
      <c r="A15169" s="6"/>
    </row>
    <row r="15170" spans="1:1" ht="18.75" x14ac:dyDescent="0.25">
      <c r="A15170" s="6"/>
    </row>
    <row r="15171" spans="1:1" ht="18.75" x14ac:dyDescent="0.25">
      <c r="A15171" s="6"/>
    </row>
    <row r="15172" spans="1:1" ht="18.75" x14ac:dyDescent="0.25">
      <c r="A15172" s="6"/>
    </row>
    <row r="15173" spans="1:1" ht="18.75" x14ac:dyDescent="0.25">
      <c r="A15173" s="6"/>
    </row>
    <row r="15174" spans="1:1" ht="18.75" x14ac:dyDescent="0.25">
      <c r="A15174" s="6"/>
    </row>
    <row r="15175" spans="1:1" ht="18.75" x14ac:dyDescent="0.25">
      <c r="A15175" s="6"/>
    </row>
    <row r="15176" spans="1:1" ht="18.75" x14ac:dyDescent="0.25">
      <c r="A15176" s="6"/>
    </row>
    <row r="15177" spans="1:1" ht="18.75" x14ac:dyDescent="0.25">
      <c r="A15177" s="6"/>
    </row>
    <row r="15178" spans="1:1" ht="18.75" x14ac:dyDescent="0.25">
      <c r="A15178" s="6"/>
    </row>
    <row r="15179" spans="1:1" ht="18.75" x14ac:dyDescent="0.25">
      <c r="A15179" s="6"/>
    </row>
    <row r="15180" spans="1:1" ht="18.75" x14ac:dyDescent="0.25">
      <c r="A15180" s="6"/>
    </row>
    <row r="15181" spans="1:1" ht="18.75" x14ac:dyDescent="0.25">
      <c r="A15181" s="6"/>
    </row>
    <row r="15182" spans="1:1" ht="18.75" x14ac:dyDescent="0.25">
      <c r="A15182" s="6"/>
    </row>
    <row r="15183" spans="1:1" ht="18.75" x14ac:dyDescent="0.25">
      <c r="A15183" s="6"/>
    </row>
    <row r="15184" spans="1:1" ht="18.75" x14ac:dyDescent="0.25">
      <c r="A15184" s="6"/>
    </row>
    <row r="15185" spans="1:1" ht="18.75" x14ac:dyDescent="0.25">
      <c r="A15185" s="6"/>
    </row>
    <row r="15186" spans="1:1" ht="18.75" x14ac:dyDescent="0.25">
      <c r="A15186" s="6"/>
    </row>
    <row r="15187" spans="1:1" ht="18.75" x14ac:dyDescent="0.25">
      <c r="A15187" s="6"/>
    </row>
    <row r="15188" spans="1:1" ht="18.75" x14ac:dyDescent="0.25">
      <c r="A15188" s="6"/>
    </row>
    <row r="15189" spans="1:1" ht="18.75" x14ac:dyDescent="0.25">
      <c r="A15189" s="6"/>
    </row>
    <row r="15190" spans="1:1" ht="18.75" x14ac:dyDescent="0.25">
      <c r="A15190" s="6"/>
    </row>
    <row r="15191" spans="1:1" ht="18.75" x14ac:dyDescent="0.25">
      <c r="A15191" s="6"/>
    </row>
    <row r="15192" spans="1:1" ht="18.75" x14ac:dyDescent="0.25">
      <c r="A15192" s="6"/>
    </row>
    <row r="15193" spans="1:1" ht="18.75" x14ac:dyDescent="0.25">
      <c r="A15193" s="6"/>
    </row>
    <row r="15194" spans="1:1" ht="18.75" x14ac:dyDescent="0.25">
      <c r="A15194" s="6"/>
    </row>
    <row r="15195" spans="1:1" ht="18.75" x14ac:dyDescent="0.25">
      <c r="A15195" s="6"/>
    </row>
    <row r="15196" spans="1:1" ht="18.75" x14ac:dyDescent="0.25">
      <c r="A15196" s="6"/>
    </row>
    <row r="15197" spans="1:1" ht="18.75" x14ac:dyDescent="0.25">
      <c r="A15197" s="6"/>
    </row>
    <row r="15198" spans="1:1" ht="18.75" x14ac:dyDescent="0.25">
      <c r="A15198" s="6"/>
    </row>
    <row r="15199" spans="1:1" ht="18.75" x14ac:dyDescent="0.25">
      <c r="A15199" s="6"/>
    </row>
    <row r="15200" spans="1:1" ht="18.75" x14ac:dyDescent="0.25">
      <c r="A15200" s="6"/>
    </row>
    <row r="15201" spans="1:1" ht="18.75" x14ac:dyDescent="0.25">
      <c r="A15201" s="6"/>
    </row>
    <row r="15202" spans="1:1" ht="18.75" x14ac:dyDescent="0.25">
      <c r="A15202" s="6"/>
    </row>
    <row r="15203" spans="1:1" ht="18.75" x14ac:dyDescent="0.25">
      <c r="A15203" s="6"/>
    </row>
    <row r="15204" spans="1:1" ht="18.75" x14ac:dyDescent="0.25">
      <c r="A15204" s="6"/>
    </row>
    <row r="15205" spans="1:1" ht="18.75" x14ac:dyDescent="0.25">
      <c r="A15205" s="6"/>
    </row>
    <row r="15206" spans="1:1" ht="18.75" x14ac:dyDescent="0.25">
      <c r="A15206" s="6"/>
    </row>
    <row r="15207" spans="1:1" ht="18.75" x14ac:dyDescent="0.25">
      <c r="A15207" s="6"/>
    </row>
    <row r="15208" spans="1:1" ht="18.75" x14ac:dyDescent="0.25">
      <c r="A15208" s="6"/>
    </row>
    <row r="15209" spans="1:1" ht="18.75" x14ac:dyDescent="0.25">
      <c r="A15209" s="6"/>
    </row>
    <row r="15210" spans="1:1" ht="18.75" x14ac:dyDescent="0.25">
      <c r="A15210" s="6"/>
    </row>
    <row r="15211" spans="1:1" ht="18.75" x14ac:dyDescent="0.25">
      <c r="A15211" s="6"/>
    </row>
    <row r="15212" spans="1:1" ht="18.75" x14ac:dyDescent="0.25">
      <c r="A15212" s="6"/>
    </row>
    <row r="15213" spans="1:1" ht="18.75" x14ac:dyDescent="0.25">
      <c r="A15213" s="6"/>
    </row>
    <row r="15214" spans="1:1" ht="18.75" x14ac:dyDescent="0.25">
      <c r="A15214" s="6"/>
    </row>
    <row r="15215" spans="1:1" ht="18.75" x14ac:dyDescent="0.25">
      <c r="A15215" s="6"/>
    </row>
    <row r="15216" spans="1:1" ht="18.75" x14ac:dyDescent="0.25">
      <c r="A15216" s="6"/>
    </row>
    <row r="15217" spans="1:1" ht="18.75" x14ac:dyDescent="0.25">
      <c r="A15217" s="6"/>
    </row>
    <row r="15218" spans="1:1" ht="18.75" x14ac:dyDescent="0.25">
      <c r="A15218" s="6"/>
    </row>
    <row r="15219" spans="1:1" ht="18.75" x14ac:dyDescent="0.25">
      <c r="A15219" s="6"/>
    </row>
    <row r="15220" spans="1:1" ht="18.75" x14ac:dyDescent="0.25">
      <c r="A15220" s="6"/>
    </row>
    <row r="15221" spans="1:1" ht="18.75" x14ac:dyDescent="0.25">
      <c r="A15221" s="6"/>
    </row>
    <row r="15222" spans="1:1" ht="18.75" x14ac:dyDescent="0.25">
      <c r="A15222" s="6"/>
    </row>
    <row r="15223" spans="1:1" ht="18.75" x14ac:dyDescent="0.25">
      <c r="A15223" s="6"/>
    </row>
    <row r="15224" spans="1:1" ht="18.75" x14ac:dyDescent="0.25">
      <c r="A15224" s="6"/>
    </row>
    <row r="15225" spans="1:1" ht="18.75" x14ac:dyDescent="0.25">
      <c r="A15225" s="6"/>
    </row>
    <row r="15226" spans="1:1" ht="18.75" x14ac:dyDescent="0.25">
      <c r="A15226" s="6"/>
    </row>
    <row r="15227" spans="1:1" ht="18.75" x14ac:dyDescent="0.25">
      <c r="A15227" s="6"/>
    </row>
    <row r="15228" spans="1:1" ht="18.75" x14ac:dyDescent="0.25">
      <c r="A15228" s="6"/>
    </row>
    <row r="15229" spans="1:1" ht="18.75" x14ac:dyDescent="0.25">
      <c r="A15229" s="6"/>
    </row>
    <row r="15230" spans="1:1" ht="18.75" x14ac:dyDescent="0.25">
      <c r="A15230" s="6"/>
    </row>
    <row r="15231" spans="1:1" ht="18.75" x14ac:dyDescent="0.25">
      <c r="A15231" s="6"/>
    </row>
    <row r="15232" spans="1:1" ht="18.75" x14ac:dyDescent="0.25">
      <c r="A15232" s="6"/>
    </row>
    <row r="15233" spans="1:1" ht="18.75" x14ac:dyDescent="0.25">
      <c r="A15233" s="6"/>
    </row>
    <row r="15234" spans="1:1" ht="18.75" x14ac:dyDescent="0.25">
      <c r="A15234" s="6"/>
    </row>
    <row r="15235" spans="1:1" ht="18.75" x14ac:dyDescent="0.25">
      <c r="A15235" s="6"/>
    </row>
    <row r="15236" spans="1:1" ht="18.75" x14ac:dyDescent="0.25">
      <c r="A15236" s="6"/>
    </row>
    <row r="15237" spans="1:1" ht="18.75" x14ac:dyDescent="0.25">
      <c r="A15237" s="6"/>
    </row>
    <row r="15238" spans="1:1" ht="18.75" x14ac:dyDescent="0.25">
      <c r="A15238" s="6"/>
    </row>
    <row r="15239" spans="1:1" ht="18.75" x14ac:dyDescent="0.25">
      <c r="A15239" s="6"/>
    </row>
    <row r="15240" spans="1:1" ht="18.75" x14ac:dyDescent="0.25">
      <c r="A15240" s="6"/>
    </row>
    <row r="15241" spans="1:1" ht="18.75" x14ac:dyDescent="0.25">
      <c r="A15241" s="6"/>
    </row>
    <row r="15242" spans="1:1" ht="18.75" x14ac:dyDescent="0.25">
      <c r="A15242" s="6"/>
    </row>
    <row r="15243" spans="1:1" ht="18.75" x14ac:dyDescent="0.25">
      <c r="A15243" s="6"/>
    </row>
    <row r="15244" spans="1:1" ht="18.75" x14ac:dyDescent="0.25">
      <c r="A15244" s="6"/>
    </row>
    <row r="15245" spans="1:1" ht="18.75" x14ac:dyDescent="0.25">
      <c r="A15245" s="6"/>
    </row>
    <row r="15246" spans="1:1" ht="18.75" x14ac:dyDescent="0.25">
      <c r="A15246" s="6"/>
    </row>
    <row r="15247" spans="1:1" ht="18.75" x14ac:dyDescent="0.25">
      <c r="A15247" s="6"/>
    </row>
    <row r="15248" spans="1:1" ht="18.75" x14ac:dyDescent="0.25">
      <c r="A15248" s="6"/>
    </row>
    <row r="15249" spans="1:1" ht="18.75" x14ac:dyDescent="0.25">
      <c r="A15249" s="6"/>
    </row>
    <row r="15250" spans="1:1" ht="18.75" x14ac:dyDescent="0.25">
      <c r="A15250" s="6"/>
    </row>
    <row r="15251" spans="1:1" ht="18.75" x14ac:dyDescent="0.25">
      <c r="A15251" s="6"/>
    </row>
    <row r="15252" spans="1:1" ht="18.75" x14ac:dyDescent="0.25">
      <c r="A15252" s="6"/>
    </row>
    <row r="15253" spans="1:1" ht="18.75" x14ac:dyDescent="0.25">
      <c r="A15253" s="6"/>
    </row>
    <row r="15254" spans="1:1" ht="18.75" x14ac:dyDescent="0.25">
      <c r="A15254" s="6"/>
    </row>
    <row r="15255" spans="1:1" ht="18.75" x14ac:dyDescent="0.25">
      <c r="A15255" s="6"/>
    </row>
    <row r="15256" spans="1:1" ht="18.75" x14ac:dyDescent="0.25">
      <c r="A15256" s="6"/>
    </row>
    <row r="15257" spans="1:1" ht="18.75" x14ac:dyDescent="0.25">
      <c r="A15257" s="6"/>
    </row>
    <row r="15258" spans="1:1" ht="18.75" x14ac:dyDescent="0.25">
      <c r="A15258" s="6"/>
    </row>
    <row r="15259" spans="1:1" ht="18.75" x14ac:dyDescent="0.25">
      <c r="A15259" s="6"/>
    </row>
    <row r="15260" spans="1:1" ht="18.75" x14ac:dyDescent="0.25">
      <c r="A15260" s="6"/>
    </row>
    <row r="15261" spans="1:1" ht="18.75" x14ac:dyDescent="0.25">
      <c r="A15261" s="6"/>
    </row>
    <row r="15262" spans="1:1" ht="18.75" x14ac:dyDescent="0.25">
      <c r="A15262" s="6"/>
    </row>
    <row r="15263" spans="1:1" ht="18.75" x14ac:dyDescent="0.25">
      <c r="A15263" s="6"/>
    </row>
    <row r="15264" spans="1:1" ht="18.75" x14ac:dyDescent="0.25">
      <c r="A15264" s="6"/>
    </row>
    <row r="15265" spans="1:1" ht="18.75" x14ac:dyDescent="0.25">
      <c r="A15265" s="6"/>
    </row>
    <row r="15266" spans="1:1" ht="18.75" x14ac:dyDescent="0.25">
      <c r="A15266" s="6"/>
    </row>
    <row r="15267" spans="1:1" ht="18.75" x14ac:dyDescent="0.25">
      <c r="A15267" s="6"/>
    </row>
    <row r="15268" spans="1:1" ht="18.75" x14ac:dyDescent="0.25">
      <c r="A15268" s="6"/>
    </row>
    <row r="15269" spans="1:1" ht="18.75" x14ac:dyDescent="0.25">
      <c r="A15269" s="6"/>
    </row>
    <row r="15270" spans="1:1" ht="18.75" x14ac:dyDescent="0.25">
      <c r="A15270" s="6"/>
    </row>
    <row r="15271" spans="1:1" ht="18.75" x14ac:dyDescent="0.25">
      <c r="A15271" s="6"/>
    </row>
    <row r="15272" spans="1:1" ht="18.75" x14ac:dyDescent="0.25">
      <c r="A15272" s="6"/>
    </row>
    <row r="15273" spans="1:1" ht="18.75" x14ac:dyDescent="0.25">
      <c r="A15273" s="6"/>
    </row>
    <row r="15274" spans="1:1" ht="18.75" x14ac:dyDescent="0.25">
      <c r="A15274" s="6"/>
    </row>
    <row r="15275" spans="1:1" ht="18.75" x14ac:dyDescent="0.25">
      <c r="A15275" s="6"/>
    </row>
    <row r="15276" spans="1:1" ht="18.75" x14ac:dyDescent="0.25">
      <c r="A15276" s="6"/>
    </row>
    <row r="15277" spans="1:1" ht="18.75" x14ac:dyDescent="0.25">
      <c r="A15277" s="6"/>
    </row>
    <row r="15278" spans="1:1" ht="18.75" x14ac:dyDescent="0.25">
      <c r="A15278" s="6"/>
    </row>
    <row r="15279" spans="1:1" ht="18.75" x14ac:dyDescent="0.25">
      <c r="A15279" s="6"/>
    </row>
    <row r="15280" spans="1:1" ht="18.75" x14ac:dyDescent="0.25">
      <c r="A15280" s="6"/>
    </row>
    <row r="15281" spans="1:1" ht="18.75" x14ac:dyDescent="0.25">
      <c r="A15281" s="6"/>
    </row>
    <row r="15282" spans="1:1" ht="18.75" x14ac:dyDescent="0.25">
      <c r="A15282" s="6"/>
    </row>
    <row r="15283" spans="1:1" ht="18.75" x14ac:dyDescent="0.25">
      <c r="A15283" s="6"/>
    </row>
    <row r="15284" spans="1:1" ht="18.75" x14ac:dyDescent="0.25">
      <c r="A15284" s="6"/>
    </row>
    <row r="15285" spans="1:1" ht="18.75" x14ac:dyDescent="0.25">
      <c r="A15285" s="6"/>
    </row>
    <row r="15286" spans="1:1" ht="18.75" x14ac:dyDescent="0.25">
      <c r="A15286" s="6"/>
    </row>
    <row r="15287" spans="1:1" ht="18.75" x14ac:dyDescent="0.25">
      <c r="A15287" s="6"/>
    </row>
    <row r="15288" spans="1:1" ht="18.75" x14ac:dyDescent="0.25">
      <c r="A15288" s="6"/>
    </row>
    <row r="15289" spans="1:1" ht="18.75" x14ac:dyDescent="0.25">
      <c r="A15289" s="6"/>
    </row>
    <row r="15290" spans="1:1" ht="18.75" x14ac:dyDescent="0.25">
      <c r="A15290" s="6"/>
    </row>
    <row r="15291" spans="1:1" ht="18.75" x14ac:dyDescent="0.25">
      <c r="A15291" s="6"/>
    </row>
    <row r="15292" spans="1:1" ht="18.75" x14ac:dyDescent="0.25">
      <c r="A15292" s="6"/>
    </row>
    <row r="15293" spans="1:1" ht="18.75" x14ac:dyDescent="0.25">
      <c r="A15293" s="6"/>
    </row>
    <row r="15294" spans="1:1" ht="18.75" x14ac:dyDescent="0.25">
      <c r="A15294" s="6"/>
    </row>
    <row r="15295" spans="1:1" ht="18.75" x14ac:dyDescent="0.25">
      <c r="A15295" s="6"/>
    </row>
    <row r="15296" spans="1:1" ht="18.75" x14ac:dyDescent="0.25">
      <c r="A15296" s="6"/>
    </row>
    <row r="15297" spans="1:1" ht="18.75" x14ac:dyDescent="0.25">
      <c r="A15297" s="6"/>
    </row>
    <row r="15298" spans="1:1" ht="18.75" x14ac:dyDescent="0.25">
      <c r="A15298" s="6"/>
    </row>
    <row r="15299" spans="1:1" ht="18.75" x14ac:dyDescent="0.25">
      <c r="A15299" s="6"/>
    </row>
    <row r="15300" spans="1:1" ht="18.75" x14ac:dyDescent="0.25">
      <c r="A15300" s="6"/>
    </row>
    <row r="15301" spans="1:1" ht="18.75" x14ac:dyDescent="0.25">
      <c r="A15301" s="6"/>
    </row>
    <row r="15302" spans="1:1" ht="18.75" x14ac:dyDescent="0.25">
      <c r="A15302" s="6"/>
    </row>
    <row r="15303" spans="1:1" ht="18.75" x14ac:dyDescent="0.25">
      <c r="A15303" s="6"/>
    </row>
    <row r="15304" spans="1:1" ht="18.75" x14ac:dyDescent="0.25">
      <c r="A15304" s="6"/>
    </row>
    <row r="15305" spans="1:1" ht="18.75" x14ac:dyDescent="0.25">
      <c r="A15305" s="6"/>
    </row>
    <row r="15306" spans="1:1" ht="18.75" x14ac:dyDescent="0.25">
      <c r="A15306" s="6"/>
    </row>
    <row r="15307" spans="1:1" ht="18.75" x14ac:dyDescent="0.25">
      <c r="A15307" s="6"/>
    </row>
    <row r="15308" spans="1:1" ht="18.75" x14ac:dyDescent="0.25">
      <c r="A15308" s="6"/>
    </row>
    <row r="15309" spans="1:1" ht="18.75" x14ac:dyDescent="0.25">
      <c r="A15309" s="6"/>
    </row>
    <row r="15310" spans="1:1" ht="18.75" x14ac:dyDescent="0.25">
      <c r="A15310" s="6"/>
    </row>
    <row r="15311" spans="1:1" ht="18.75" x14ac:dyDescent="0.25">
      <c r="A15311" s="6"/>
    </row>
    <row r="15312" spans="1:1" ht="18.75" x14ac:dyDescent="0.25">
      <c r="A15312" s="6"/>
    </row>
    <row r="15313" spans="1:1" ht="18.75" x14ac:dyDescent="0.25">
      <c r="A15313" s="6"/>
    </row>
    <row r="15314" spans="1:1" ht="18.75" x14ac:dyDescent="0.25">
      <c r="A15314" s="6"/>
    </row>
    <row r="15315" spans="1:1" ht="18.75" x14ac:dyDescent="0.25">
      <c r="A15315" s="6"/>
    </row>
    <row r="15316" spans="1:1" ht="18.75" x14ac:dyDescent="0.25">
      <c r="A15316" s="6"/>
    </row>
    <row r="15317" spans="1:1" ht="18.75" x14ac:dyDescent="0.25">
      <c r="A15317" s="6"/>
    </row>
    <row r="15318" spans="1:1" ht="18.75" x14ac:dyDescent="0.25">
      <c r="A15318" s="6"/>
    </row>
    <row r="15319" spans="1:1" ht="18.75" x14ac:dyDescent="0.25">
      <c r="A15319" s="6"/>
    </row>
    <row r="15320" spans="1:1" ht="18.75" x14ac:dyDescent="0.25">
      <c r="A15320" s="6"/>
    </row>
    <row r="15321" spans="1:1" ht="18.75" x14ac:dyDescent="0.25">
      <c r="A15321" s="6"/>
    </row>
    <row r="15322" spans="1:1" ht="18.75" x14ac:dyDescent="0.25">
      <c r="A15322" s="6"/>
    </row>
    <row r="15323" spans="1:1" ht="18.75" x14ac:dyDescent="0.25">
      <c r="A15323" s="6"/>
    </row>
    <row r="15324" spans="1:1" ht="18.75" x14ac:dyDescent="0.25">
      <c r="A15324" s="6"/>
    </row>
    <row r="15325" spans="1:1" ht="18.75" x14ac:dyDescent="0.25">
      <c r="A15325" s="6"/>
    </row>
    <row r="15326" spans="1:1" ht="18.75" x14ac:dyDescent="0.25">
      <c r="A15326" s="6"/>
    </row>
    <row r="15327" spans="1:1" ht="18.75" x14ac:dyDescent="0.25">
      <c r="A15327" s="6"/>
    </row>
    <row r="15328" spans="1:1" ht="18.75" x14ac:dyDescent="0.25">
      <c r="A15328" s="6"/>
    </row>
    <row r="15329" spans="1:1" ht="18.75" x14ac:dyDescent="0.25">
      <c r="A15329" s="6"/>
    </row>
    <row r="15330" spans="1:1" ht="18.75" x14ac:dyDescent="0.25">
      <c r="A15330" s="6"/>
    </row>
    <row r="15331" spans="1:1" ht="18.75" x14ac:dyDescent="0.25">
      <c r="A15331" s="6"/>
    </row>
    <row r="15332" spans="1:1" ht="18.75" x14ac:dyDescent="0.25">
      <c r="A15332" s="6"/>
    </row>
    <row r="15333" spans="1:1" ht="18.75" x14ac:dyDescent="0.25">
      <c r="A15333" s="6"/>
    </row>
    <row r="15334" spans="1:1" ht="18.75" x14ac:dyDescent="0.25">
      <c r="A15334" s="6"/>
    </row>
    <row r="15335" spans="1:1" ht="18.75" x14ac:dyDescent="0.25">
      <c r="A15335" s="6"/>
    </row>
    <row r="15336" spans="1:1" ht="18.75" x14ac:dyDescent="0.25">
      <c r="A15336" s="6"/>
    </row>
    <row r="15337" spans="1:1" ht="18.75" x14ac:dyDescent="0.25">
      <c r="A15337" s="6"/>
    </row>
    <row r="15338" spans="1:1" ht="18.75" x14ac:dyDescent="0.25">
      <c r="A15338" s="6"/>
    </row>
    <row r="15339" spans="1:1" ht="18.75" x14ac:dyDescent="0.25">
      <c r="A15339" s="6"/>
    </row>
    <row r="15340" spans="1:1" ht="18.75" x14ac:dyDescent="0.25">
      <c r="A15340" s="6"/>
    </row>
    <row r="15341" spans="1:1" ht="18.75" x14ac:dyDescent="0.25">
      <c r="A15341" s="6"/>
    </row>
    <row r="15342" spans="1:1" ht="18.75" x14ac:dyDescent="0.25">
      <c r="A15342" s="6"/>
    </row>
    <row r="15343" spans="1:1" ht="18.75" x14ac:dyDescent="0.25">
      <c r="A15343" s="6"/>
    </row>
    <row r="15344" spans="1:1" ht="18.75" x14ac:dyDescent="0.25">
      <c r="A15344" s="6"/>
    </row>
    <row r="15345" spans="1:1" ht="18.75" x14ac:dyDescent="0.25">
      <c r="A15345" s="6"/>
    </row>
    <row r="15346" spans="1:1" ht="18.75" x14ac:dyDescent="0.25">
      <c r="A15346" s="6"/>
    </row>
    <row r="15347" spans="1:1" ht="18.75" x14ac:dyDescent="0.25">
      <c r="A15347" s="6"/>
    </row>
    <row r="15348" spans="1:1" ht="18.75" x14ac:dyDescent="0.25">
      <c r="A15348" s="6"/>
    </row>
    <row r="15349" spans="1:1" ht="18.75" x14ac:dyDescent="0.25">
      <c r="A15349" s="6"/>
    </row>
    <row r="15350" spans="1:1" ht="18.75" x14ac:dyDescent="0.25">
      <c r="A15350" s="6"/>
    </row>
    <row r="15351" spans="1:1" ht="18.75" x14ac:dyDescent="0.25">
      <c r="A15351" s="6"/>
    </row>
    <row r="15352" spans="1:1" ht="18.75" x14ac:dyDescent="0.25">
      <c r="A15352" s="6"/>
    </row>
    <row r="15353" spans="1:1" ht="18.75" x14ac:dyDescent="0.25">
      <c r="A15353" s="6"/>
    </row>
    <row r="15354" spans="1:1" ht="18.75" x14ac:dyDescent="0.25">
      <c r="A15354" s="6"/>
    </row>
    <row r="15355" spans="1:1" ht="18.75" x14ac:dyDescent="0.25">
      <c r="A15355" s="6"/>
    </row>
    <row r="15356" spans="1:1" ht="18.75" x14ac:dyDescent="0.25">
      <c r="A15356" s="6"/>
    </row>
    <row r="15357" spans="1:1" ht="18.75" x14ac:dyDescent="0.25">
      <c r="A15357" s="6"/>
    </row>
    <row r="15358" spans="1:1" ht="18.75" x14ac:dyDescent="0.25">
      <c r="A15358" s="6"/>
    </row>
    <row r="15359" spans="1:1" ht="18.75" x14ac:dyDescent="0.25">
      <c r="A15359" s="6"/>
    </row>
    <row r="15360" spans="1:1" ht="18.75" x14ac:dyDescent="0.25">
      <c r="A15360" s="6"/>
    </row>
    <row r="15361" spans="1:1" ht="18.75" x14ac:dyDescent="0.25">
      <c r="A15361" s="6"/>
    </row>
    <row r="15362" spans="1:1" ht="18.75" x14ac:dyDescent="0.25">
      <c r="A15362" s="6"/>
    </row>
    <row r="15363" spans="1:1" ht="18.75" x14ac:dyDescent="0.25">
      <c r="A15363" s="6"/>
    </row>
    <row r="15364" spans="1:1" ht="18.75" x14ac:dyDescent="0.25">
      <c r="A15364" s="6"/>
    </row>
    <row r="15365" spans="1:1" ht="18.75" x14ac:dyDescent="0.25">
      <c r="A15365" s="6"/>
    </row>
    <row r="15366" spans="1:1" ht="18.75" x14ac:dyDescent="0.25">
      <c r="A15366" s="6"/>
    </row>
    <row r="15367" spans="1:1" ht="18.75" x14ac:dyDescent="0.25">
      <c r="A15367" s="6"/>
    </row>
    <row r="15368" spans="1:1" ht="18.75" x14ac:dyDescent="0.25">
      <c r="A15368" s="6"/>
    </row>
    <row r="15369" spans="1:1" ht="18.75" x14ac:dyDescent="0.25">
      <c r="A15369" s="6"/>
    </row>
    <row r="15370" spans="1:1" ht="18.75" x14ac:dyDescent="0.25">
      <c r="A15370" s="6"/>
    </row>
    <row r="15371" spans="1:1" ht="18.75" x14ac:dyDescent="0.25">
      <c r="A15371" s="6"/>
    </row>
    <row r="15372" spans="1:1" ht="18.75" x14ac:dyDescent="0.25">
      <c r="A15372" s="6"/>
    </row>
    <row r="15373" spans="1:1" ht="18.75" x14ac:dyDescent="0.25">
      <c r="A15373" s="6"/>
    </row>
    <row r="15374" spans="1:1" ht="18.75" x14ac:dyDescent="0.25">
      <c r="A15374" s="6"/>
    </row>
    <row r="15375" spans="1:1" ht="18.75" x14ac:dyDescent="0.25">
      <c r="A15375" s="6"/>
    </row>
    <row r="15376" spans="1:1" ht="18.75" x14ac:dyDescent="0.25">
      <c r="A15376" s="6"/>
    </row>
    <row r="15377" spans="1:1" ht="18.75" x14ac:dyDescent="0.25">
      <c r="A15377" s="6"/>
    </row>
    <row r="15378" spans="1:1" ht="18.75" x14ac:dyDescent="0.25">
      <c r="A15378" s="6"/>
    </row>
    <row r="15379" spans="1:1" ht="18.75" x14ac:dyDescent="0.25">
      <c r="A15379" s="6"/>
    </row>
    <row r="15380" spans="1:1" ht="18.75" x14ac:dyDescent="0.25">
      <c r="A15380" s="6"/>
    </row>
    <row r="15381" spans="1:1" ht="18.75" x14ac:dyDescent="0.25">
      <c r="A15381" s="6"/>
    </row>
    <row r="15382" spans="1:1" ht="18.75" x14ac:dyDescent="0.25">
      <c r="A15382" s="6"/>
    </row>
    <row r="15383" spans="1:1" ht="18.75" x14ac:dyDescent="0.25">
      <c r="A15383" s="6"/>
    </row>
    <row r="15384" spans="1:1" ht="18.75" x14ac:dyDescent="0.25">
      <c r="A15384" s="6"/>
    </row>
    <row r="15385" spans="1:1" ht="18.75" x14ac:dyDescent="0.25">
      <c r="A15385" s="6"/>
    </row>
    <row r="15386" spans="1:1" ht="18.75" x14ac:dyDescent="0.25">
      <c r="A15386" s="6"/>
    </row>
    <row r="15387" spans="1:1" ht="18.75" x14ac:dyDescent="0.25">
      <c r="A15387" s="6"/>
    </row>
    <row r="15388" spans="1:1" ht="18.75" x14ac:dyDescent="0.25">
      <c r="A15388" s="6"/>
    </row>
    <row r="15389" spans="1:1" ht="18.75" x14ac:dyDescent="0.25">
      <c r="A15389" s="6"/>
    </row>
    <row r="15390" spans="1:1" ht="18.75" x14ac:dyDescent="0.25">
      <c r="A15390" s="6"/>
    </row>
    <row r="15391" spans="1:1" ht="18.75" x14ac:dyDescent="0.25">
      <c r="A15391" s="6"/>
    </row>
    <row r="15392" spans="1:1" ht="18.75" x14ac:dyDescent="0.25">
      <c r="A15392" s="6"/>
    </row>
    <row r="15393" spans="1:1" ht="18.75" x14ac:dyDescent="0.25">
      <c r="A15393" s="6"/>
    </row>
    <row r="15394" spans="1:1" ht="18.75" x14ac:dyDescent="0.25">
      <c r="A15394" s="6"/>
    </row>
    <row r="15395" spans="1:1" ht="18.75" x14ac:dyDescent="0.25">
      <c r="A15395" s="6"/>
    </row>
    <row r="15396" spans="1:1" ht="18.75" x14ac:dyDescent="0.25">
      <c r="A15396" s="6"/>
    </row>
    <row r="15397" spans="1:1" ht="18.75" x14ac:dyDescent="0.25">
      <c r="A15397" s="6"/>
    </row>
    <row r="15398" spans="1:1" ht="18.75" x14ac:dyDescent="0.25">
      <c r="A15398" s="6"/>
    </row>
    <row r="15399" spans="1:1" ht="18.75" x14ac:dyDescent="0.25">
      <c r="A15399" s="6"/>
    </row>
    <row r="15400" spans="1:1" ht="18.75" x14ac:dyDescent="0.25">
      <c r="A15400" s="6"/>
    </row>
    <row r="15401" spans="1:1" ht="18.75" x14ac:dyDescent="0.25">
      <c r="A15401" s="6"/>
    </row>
    <row r="15402" spans="1:1" ht="18.75" x14ac:dyDescent="0.25">
      <c r="A15402" s="6"/>
    </row>
    <row r="15403" spans="1:1" ht="18.75" x14ac:dyDescent="0.25">
      <c r="A15403" s="6"/>
    </row>
    <row r="15404" spans="1:1" ht="18.75" x14ac:dyDescent="0.25">
      <c r="A15404" s="6"/>
    </row>
    <row r="15405" spans="1:1" ht="18.75" x14ac:dyDescent="0.25">
      <c r="A15405" s="6"/>
    </row>
    <row r="15406" spans="1:1" ht="18.75" x14ac:dyDescent="0.25">
      <c r="A15406" s="6"/>
    </row>
    <row r="15407" spans="1:1" ht="18.75" x14ac:dyDescent="0.25">
      <c r="A15407" s="6"/>
    </row>
    <row r="15408" spans="1:1" ht="18.75" x14ac:dyDescent="0.25">
      <c r="A15408" s="6"/>
    </row>
    <row r="15409" spans="1:1" ht="18.75" x14ac:dyDescent="0.25">
      <c r="A15409" s="6"/>
    </row>
    <row r="15410" spans="1:1" ht="18.75" x14ac:dyDescent="0.25">
      <c r="A15410" s="6"/>
    </row>
    <row r="15411" spans="1:1" ht="18.75" x14ac:dyDescent="0.25">
      <c r="A15411" s="6"/>
    </row>
    <row r="15412" spans="1:1" ht="18.75" x14ac:dyDescent="0.25">
      <c r="A15412" s="6"/>
    </row>
    <row r="15413" spans="1:1" ht="18.75" x14ac:dyDescent="0.25">
      <c r="A15413" s="6"/>
    </row>
    <row r="15414" spans="1:1" ht="18.75" x14ac:dyDescent="0.25">
      <c r="A15414" s="6"/>
    </row>
    <row r="15415" spans="1:1" ht="18.75" x14ac:dyDescent="0.25">
      <c r="A15415" s="6"/>
    </row>
    <row r="15416" spans="1:1" ht="18.75" x14ac:dyDescent="0.25">
      <c r="A15416" s="6"/>
    </row>
    <row r="15417" spans="1:1" ht="18.75" x14ac:dyDescent="0.25">
      <c r="A15417" s="6"/>
    </row>
    <row r="15418" spans="1:1" ht="18.75" x14ac:dyDescent="0.25">
      <c r="A15418" s="6"/>
    </row>
    <row r="15419" spans="1:1" ht="18.75" x14ac:dyDescent="0.25">
      <c r="A15419" s="6"/>
    </row>
    <row r="15420" spans="1:1" ht="18.75" x14ac:dyDescent="0.25">
      <c r="A15420" s="6"/>
    </row>
    <row r="15421" spans="1:1" ht="18.75" x14ac:dyDescent="0.25">
      <c r="A15421" s="6"/>
    </row>
    <row r="15422" spans="1:1" ht="18.75" x14ac:dyDescent="0.25">
      <c r="A15422" s="6"/>
    </row>
    <row r="15423" spans="1:1" ht="18.75" x14ac:dyDescent="0.25">
      <c r="A15423" s="6"/>
    </row>
    <row r="15424" spans="1:1" ht="18.75" x14ac:dyDescent="0.25">
      <c r="A15424" s="6"/>
    </row>
    <row r="15425" spans="1:1" ht="18.75" x14ac:dyDescent="0.25">
      <c r="A15425" s="6"/>
    </row>
    <row r="15426" spans="1:1" ht="18.75" x14ac:dyDescent="0.25">
      <c r="A15426" s="6"/>
    </row>
    <row r="15427" spans="1:1" ht="18.75" x14ac:dyDescent="0.25">
      <c r="A15427" s="6"/>
    </row>
    <row r="15428" spans="1:1" ht="18.75" x14ac:dyDescent="0.25">
      <c r="A15428" s="6"/>
    </row>
    <row r="15429" spans="1:1" ht="18.75" x14ac:dyDescent="0.25">
      <c r="A15429" s="6"/>
    </row>
    <row r="15430" spans="1:1" ht="18.75" x14ac:dyDescent="0.25">
      <c r="A15430" s="6"/>
    </row>
    <row r="15431" spans="1:1" ht="18.75" x14ac:dyDescent="0.25">
      <c r="A15431" s="6"/>
    </row>
    <row r="15432" spans="1:1" ht="18.75" x14ac:dyDescent="0.25">
      <c r="A15432" s="6"/>
    </row>
    <row r="15433" spans="1:1" ht="18.75" x14ac:dyDescent="0.25">
      <c r="A15433" s="6"/>
    </row>
    <row r="15434" spans="1:1" ht="18.75" x14ac:dyDescent="0.25">
      <c r="A15434" s="6"/>
    </row>
    <row r="15435" spans="1:1" ht="18.75" x14ac:dyDescent="0.25">
      <c r="A15435" s="6"/>
    </row>
    <row r="15436" spans="1:1" ht="18.75" x14ac:dyDescent="0.25">
      <c r="A15436" s="6"/>
    </row>
    <row r="15437" spans="1:1" ht="18.75" x14ac:dyDescent="0.25">
      <c r="A15437" s="6"/>
    </row>
    <row r="15438" spans="1:1" ht="18.75" x14ac:dyDescent="0.25">
      <c r="A15438" s="6"/>
    </row>
    <row r="15439" spans="1:1" ht="18.75" x14ac:dyDescent="0.25">
      <c r="A15439" s="6"/>
    </row>
    <row r="15440" spans="1:1" ht="18.75" x14ac:dyDescent="0.25">
      <c r="A15440" s="6"/>
    </row>
    <row r="15441" spans="1:1" ht="18.75" x14ac:dyDescent="0.25">
      <c r="A15441" s="6"/>
    </row>
    <row r="15442" spans="1:1" ht="18.75" x14ac:dyDescent="0.25">
      <c r="A15442" s="6"/>
    </row>
    <row r="15443" spans="1:1" ht="18.75" x14ac:dyDescent="0.25">
      <c r="A15443" s="6"/>
    </row>
    <row r="15444" spans="1:1" ht="18.75" x14ac:dyDescent="0.25">
      <c r="A15444" s="6"/>
    </row>
    <row r="15445" spans="1:1" ht="18.75" x14ac:dyDescent="0.25">
      <c r="A15445" s="6"/>
    </row>
    <row r="15446" spans="1:1" ht="18.75" x14ac:dyDescent="0.25">
      <c r="A15446" s="6"/>
    </row>
    <row r="15447" spans="1:1" ht="18.75" x14ac:dyDescent="0.25">
      <c r="A15447" s="6"/>
    </row>
    <row r="15448" spans="1:1" ht="18.75" x14ac:dyDescent="0.25">
      <c r="A15448" s="6"/>
    </row>
    <row r="15449" spans="1:1" ht="18.75" x14ac:dyDescent="0.25">
      <c r="A15449" s="6"/>
    </row>
    <row r="15450" spans="1:1" ht="18.75" x14ac:dyDescent="0.25">
      <c r="A15450" s="6"/>
    </row>
    <row r="15451" spans="1:1" ht="18.75" x14ac:dyDescent="0.25">
      <c r="A15451" s="6"/>
    </row>
    <row r="15452" spans="1:1" ht="18.75" x14ac:dyDescent="0.25">
      <c r="A15452" s="6"/>
    </row>
    <row r="15453" spans="1:1" ht="18.75" x14ac:dyDescent="0.25">
      <c r="A15453" s="6"/>
    </row>
    <row r="15454" spans="1:1" ht="18.75" x14ac:dyDescent="0.25">
      <c r="A15454" s="6"/>
    </row>
    <row r="15455" spans="1:1" ht="18.75" x14ac:dyDescent="0.25">
      <c r="A15455" s="6"/>
    </row>
    <row r="15456" spans="1:1" ht="18.75" x14ac:dyDescent="0.25">
      <c r="A15456" s="6"/>
    </row>
    <row r="15457" spans="1:1" ht="18.75" x14ac:dyDescent="0.25">
      <c r="A15457" s="6"/>
    </row>
    <row r="15458" spans="1:1" ht="18.75" x14ac:dyDescent="0.25">
      <c r="A15458" s="6"/>
    </row>
    <row r="15459" spans="1:1" ht="18.75" x14ac:dyDescent="0.25">
      <c r="A15459" s="6"/>
    </row>
    <row r="15460" spans="1:1" ht="18.75" x14ac:dyDescent="0.25">
      <c r="A15460" s="6"/>
    </row>
    <row r="15461" spans="1:1" ht="18.75" x14ac:dyDescent="0.25">
      <c r="A15461" s="6"/>
    </row>
    <row r="15462" spans="1:1" ht="18.75" x14ac:dyDescent="0.25">
      <c r="A15462" s="6"/>
    </row>
    <row r="15463" spans="1:1" ht="18.75" x14ac:dyDescent="0.25">
      <c r="A15463" s="6"/>
    </row>
    <row r="15464" spans="1:1" ht="18.75" x14ac:dyDescent="0.25">
      <c r="A15464" s="6"/>
    </row>
    <row r="15465" spans="1:1" ht="18.75" x14ac:dyDescent="0.25">
      <c r="A15465" s="6"/>
    </row>
    <row r="15466" spans="1:1" ht="18.75" x14ac:dyDescent="0.25">
      <c r="A15466" s="6"/>
    </row>
    <row r="15467" spans="1:1" ht="18.75" x14ac:dyDescent="0.25">
      <c r="A15467" s="6"/>
    </row>
    <row r="15468" spans="1:1" ht="18.75" x14ac:dyDescent="0.25">
      <c r="A15468" s="6"/>
    </row>
    <row r="15469" spans="1:1" ht="18.75" x14ac:dyDescent="0.25">
      <c r="A15469" s="6"/>
    </row>
    <row r="15470" spans="1:1" ht="18.75" x14ac:dyDescent="0.25">
      <c r="A15470" s="6"/>
    </row>
    <row r="15471" spans="1:1" ht="18.75" x14ac:dyDescent="0.25">
      <c r="A15471" s="6"/>
    </row>
    <row r="15472" spans="1:1" ht="18.75" x14ac:dyDescent="0.25">
      <c r="A15472" s="6"/>
    </row>
    <row r="15473" spans="1:1" ht="18.75" x14ac:dyDescent="0.25">
      <c r="A15473" s="6"/>
    </row>
    <row r="15474" spans="1:1" ht="18.75" x14ac:dyDescent="0.25">
      <c r="A15474" s="6"/>
    </row>
    <row r="15475" spans="1:1" ht="18.75" x14ac:dyDescent="0.25">
      <c r="A15475" s="6"/>
    </row>
    <row r="15476" spans="1:1" ht="18.75" x14ac:dyDescent="0.25">
      <c r="A15476" s="6"/>
    </row>
    <row r="15477" spans="1:1" ht="18.75" x14ac:dyDescent="0.25">
      <c r="A15477" s="6"/>
    </row>
    <row r="15478" spans="1:1" ht="18.75" x14ac:dyDescent="0.25">
      <c r="A15478" s="6"/>
    </row>
    <row r="15479" spans="1:1" ht="18.75" x14ac:dyDescent="0.25">
      <c r="A15479" s="6"/>
    </row>
    <row r="15480" spans="1:1" ht="18.75" x14ac:dyDescent="0.25">
      <c r="A15480" s="6"/>
    </row>
    <row r="15481" spans="1:1" ht="18.75" x14ac:dyDescent="0.25">
      <c r="A15481" s="6"/>
    </row>
    <row r="15482" spans="1:1" ht="18.75" x14ac:dyDescent="0.25">
      <c r="A15482" s="6"/>
    </row>
    <row r="15483" spans="1:1" ht="18.75" x14ac:dyDescent="0.25">
      <c r="A15483" s="6"/>
    </row>
    <row r="15484" spans="1:1" ht="18.75" x14ac:dyDescent="0.25">
      <c r="A15484" s="6"/>
    </row>
    <row r="15485" spans="1:1" ht="18.75" x14ac:dyDescent="0.25">
      <c r="A15485" s="6"/>
    </row>
    <row r="15486" spans="1:1" ht="18.75" x14ac:dyDescent="0.25">
      <c r="A15486" s="6"/>
    </row>
    <row r="15487" spans="1:1" ht="18.75" x14ac:dyDescent="0.25">
      <c r="A15487" s="6"/>
    </row>
    <row r="15488" spans="1:1" ht="18.75" x14ac:dyDescent="0.25">
      <c r="A15488" s="6"/>
    </row>
    <row r="15489" spans="1:1" ht="18.75" x14ac:dyDescent="0.25">
      <c r="A15489" s="6"/>
    </row>
    <row r="15490" spans="1:1" ht="18.75" x14ac:dyDescent="0.25">
      <c r="A15490" s="6"/>
    </row>
    <row r="15491" spans="1:1" ht="18.75" x14ac:dyDescent="0.25">
      <c r="A15491" s="6"/>
    </row>
    <row r="15492" spans="1:1" ht="18.75" x14ac:dyDescent="0.25">
      <c r="A15492" s="6"/>
    </row>
    <row r="15493" spans="1:1" ht="18.75" x14ac:dyDescent="0.25">
      <c r="A15493" s="6"/>
    </row>
    <row r="15494" spans="1:1" ht="18.75" x14ac:dyDescent="0.25">
      <c r="A15494" s="6"/>
    </row>
    <row r="15495" spans="1:1" ht="18.75" x14ac:dyDescent="0.25">
      <c r="A15495" s="6"/>
    </row>
    <row r="15496" spans="1:1" ht="18.75" x14ac:dyDescent="0.25">
      <c r="A15496" s="6"/>
    </row>
    <row r="15497" spans="1:1" ht="18.75" x14ac:dyDescent="0.25">
      <c r="A15497" s="6"/>
    </row>
    <row r="15498" spans="1:1" ht="18.75" x14ac:dyDescent="0.25">
      <c r="A15498" s="6"/>
    </row>
    <row r="15499" spans="1:1" ht="18.75" x14ac:dyDescent="0.25">
      <c r="A15499" s="6"/>
    </row>
    <row r="15500" spans="1:1" ht="18.75" x14ac:dyDescent="0.25">
      <c r="A15500" s="6"/>
    </row>
    <row r="15501" spans="1:1" ht="18.75" x14ac:dyDescent="0.25">
      <c r="A15501" s="6"/>
    </row>
    <row r="15502" spans="1:1" ht="18.75" x14ac:dyDescent="0.25">
      <c r="A15502" s="6"/>
    </row>
    <row r="15503" spans="1:1" ht="18.75" x14ac:dyDescent="0.25">
      <c r="A15503" s="6"/>
    </row>
    <row r="15504" spans="1:1" ht="18.75" x14ac:dyDescent="0.25">
      <c r="A15504" s="6"/>
    </row>
    <row r="15505" spans="1:1" ht="18.75" x14ac:dyDescent="0.25">
      <c r="A15505" s="6"/>
    </row>
    <row r="15506" spans="1:1" ht="18.75" x14ac:dyDescent="0.25">
      <c r="A15506" s="6"/>
    </row>
    <row r="15507" spans="1:1" ht="18.75" x14ac:dyDescent="0.25">
      <c r="A15507" s="6"/>
    </row>
    <row r="15508" spans="1:1" ht="18.75" x14ac:dyDescent="0.25">
      <c r="A15508" s="6"/>
    </row>
    <row r="15509" spans="1:1" ht="18.75" x14ac:dyDescent="0.25">
      <c r="A15509" s="6"/>
    </row>
    <row r="15510" spans="1:1" ht="18.75" x14ac:dyDescent="0.25">
      <c r="A15510" s="6"/>
    </row>
    <row r="15511" spans="1:1" ht="18.75" x14ac:dyDescent="0.25">
      <c r="A15511" s="6"/>
    </row>
    <row r="15512" spans="1:1" ht="18.75" x14ac:dyDescent="0.25">
      <c r="A15512" s="6"/>
    </row>
    <row r="15513" spans="1:1" ht="18.75" x14ac:dyDescent="0.25">
      <c r="A15513" s="6"/>
    </row>
    <row r="15514" spans="1:1" ht="18.75" x14ac:dyDescent="0.25">
      <c r="A15514" s="6"/>
    </row>
    <row r="15515" spans="1:1" ht="18.75" x14ac:dyDescent="0.25">
      <c r="A15515" s="6"/>
    </row>
    <row r="15516" spans="1:1" ht="18.75" x14ac:dyDescent="0.25">
      <c r="A15516" s="6"/>
    </row>
    <row r="15517" spans="1:1" ht="18.75" x14ac:dyDescent="0.25">
      <c r="A15517" s="6"/>
    </row>
    <row r="15518" spans="1:1" ht="18.75" x14ac:dyDescent="0.25">
      <c r="A15518" s="6"/>
    </row>
    <row r="15519" spans="1:1" ht="18.75" x14ac:dyDescent="0.25">
      <c r="A15519" s="6"/>
    </row>
    <row r="15520" spans="1:1" ht="18.75" x14ac:dyDescent="0.25">
      <c r="A15520" s="6"/>
    </row>
    <row r="15521" spans="1:1" ht="18.75" x14ac:dyDescent="0.25">
      <c r="A15521" s="6"/>
    </row>
    <row r="15522" spans="1:1" ht="18.75" x14ac:dyDescent="0.25">
      <c r="A15522" s="6"/>
    </row>
    <row r="15523" spans="1:1" ht="18.75" x14ac:dyDescent="0.25">
      <c r="A15523" s="6"/>
    </row>
    <row r="15524" spans="1:1" ht="18.75" x14ac:dyDescent="0.25">
      <c r="A15524" s="6"/>
    </row>
    <row r="15525" spans="1:1" ht="18.75" x14ac:dyDescent="0.25">
      <c r="A15525" s="6"/>
    </row>
    <row r="15526" spans="1:1" ht="18.75" x14ac:dyDescent="0.25">
      <c r="A15526" s="6"/>
    </row>
    <row r="15527" spans="1:1" ht="18.75" x14ac:dyDescent="0.25">
      <c r="A15527" s="6"/>
    </row>
    <row r="15528" spans="1:1" ht="18.75" x14ac:dyDescent="0.25">
      <c r="A15528" s="6"/>
    </row>
    <row r="15529" spans="1:1" ht="18.75" x14ac:dyDescent="0.25">
      <c r="A15529" s="6"/>
    </row>
    <row r="15530" spans="1:1" ht="18.75" x14ac:dyDescent="0.25">
      <c r="A15530" s="6"/>
    </row>
    <row r="15531" spans="1:1" ht="18.75" x14ac:dyDescent="0.25">
      <c r="A15531" s="6"/>
    </row>
    <row r="15532" spans="1:1" ht="18.75" x14ac:dyDescent="0.25">
      <c r="A15532" s="6"/>
    </row>
    <row r="15533" spans="1:1" ht="18.75" x14ac:dyDescent="0.25">
      <c r="A15533" s="6"/>
    </row>
    <row r="15534" spans="1:1" ht="18.75" x14ac:dyDescent="0.25">
      <c r="A15534" s="6"/>
    </row>
    <row r="15535" spans="1:1" ht="18.75" x14ac:dyDescent="0.25">
      <c r="A15535" s="6"/>
    </row>
    <row r="15536" spans="1:1" ht="18.75" x14ac:dyDescent="0.25">
      <c r="A15536" s="6"/>
    </row>
    <row r="15537" spans="1:1" ht="18.75" x14ac:dyDescent="0.25">
      <c r="A15537" s="6"/>
    </row>
    <row r="15538" spans="1:1" ht="18.75" x14ac:dyDescent="0.25">
      <c r="A15538" s="6"/>
    </row>
    <row r="15539" spans="1:1" ht="18.75" x14ac:dyDescent="0.25">
      <c r="A15539" s="6"/>
    </row>
    <row r="15540" spans="1:1" ht="18.75" x14ac:dyDescent="0.25">
      <c r="A15540" s="6"/>
    </row>
    <row r="15541" spans="1:1" ht="18.75" x14ac:dyDescent="0.25">
      <c r="A15541" s="6"/>
    </row>
    <row r="15542" spans="1:1" ht="18.75" x14ac:dyDescent="0.25">
      <c r="A15542" s="6"/>
    </row>
    <row r="15543" spans="1:1" ht="18.75" x14ac:dyDescent="0.25">
      <c r="A15543" s="6"/>
    </row>
    <row r="15544" spans="1:1" ht="18.75" x14ac:dyDescent="0.25">
      <c r="A15544" s="6"/>
    </row>
    <row r="15545" spans="1:1" ht="18.75" x14ac:dyDescent="0.25">
      <c r="A15545" s="6"/>
    </row>
    <row r="15546" spans="1:1" ht="18.75" x14ac:dyDescent="0.25">
      <c r="A15546" s="6"/>
    </row>
    <row r="15547" spans="1:1" ht="18.75" x14ac:dyDescent="0.25">
      <c r="A15547" s="6"/>
    </row>
    <row r="15548" spans="1:1" ht="18.75" x14ac:dyDescent="0.25">
      <c r="A15548" s="6"/>
    </row>
    <row r="15549" spans="1:1" ht="18.75" x14ac:dyDescent="0.25">
      <c r="A15549" s="6"/>
    </row>
    <row r="15550" spans="1:1" ht="18.75" x14ac:dyDescent="0.25">
      <c r="A15550" s="6"/>
    </row>
    <row r="15551" spans="1:1" ht="18.75" x14ac:dyDescent="0.25">
      <c r="A15551" s="6"/>
    </row>
    <row r="15552" spans="1:1" ht="18.75" x14ac:dyDescent="0.25">
      <c r="A15552" s="6"/>
    </row>
    <row r="15553" spans="1:1" ht="18.75" x14ac:dyDescent="0.25">
      <c r="A15553" s="6"/>
    </row>
    <row r="15554" spans="1:1" ht="18.75" x14ac:dyDescent="0.25">
      <c r="A15554" s="6"/>
    </row>
    <row r="15555" spans="1:1" ht="18.75" x14ac:dyDescent="0.25">
      <c r="A15555" s="6"/>
    </row>
    <row r="15556" spans="1:1" ht="18.75" x14ac:dyDescent="0.25">
      <c r="A15556" s="6"/>
    </row>
    <row r="15557" spans="1:1" ht="18.75" x14ac:dyDescent="0.25">
      <c r="A15557" s="6"/>
    </row>
    <row r="15558" spans="1:1" ht="18.75" x14ac:dyDescent="0.25">
      <c r="A15558" s="6"/>
    </row>
    <row r="15559" spans="1:1" ht="18.75" x14ac:dyDescent="0.25">
      <c r="A15559" s="6"/>
    </row>
    <row r="15560" spans="1:1" ht="18.75" x14ac:dyDescent="0.25">
      <c r="A15560" s="6"/>
    </row>
    <row r="15561" spans="1:1" ht="18.75" x14ac:dyDescent="0.25">
      <c r="A15561" s="6"/>
    </row>
    <row r="15562" spans="1:1" ht="18.75" x14ac:dyDescent="0.25">
      <c r="A15562" s="6"/>
    </row>
    <row r="15563" spans="1:1" ht="18.75" x14ac:dyDescent="0.25">
      <c r="A15563" s="6"/>
    </row>
    <row r="15564" spans="1:1" ht="18.75" x14ac:dyDescent="0.25">
      <c r="A15564" s="6"/>
    </row>
    <row r="15565" spans="1:1" ht="18.75" x14ac:dyDescent="0.25">
      <c r="A15565" s="6"/>
    </row>
    <row r="15566" spans="1:1" ht="18.75" x14ac:dyDescent="0.25">
      <c r="A15566" s="6"/>
    </row>
    <row r="15567" spans="1:1" ht="18.75" x14ac:dyDescent="0.25">
      <c r="A15567" s="6"/>
    </row>
    <row r="15568" spans="1:1" ht="18.75" x14ac:dyDescent="0.25">
      <c r="A15568" s="6"/>
    </row>
    <row r="15569" spans="1:1" ht="18.75" x14ac:dyDescent="0.25">
      <c r="A15569" s="6"/>
    </row>
    <row r="15570" spans="1:1" ht="18.75" x14ac:dyDescent="0.25">
      <c r="A15570" s="6"/>
    </row>
    <row r="15571" spans="1:1" ht="18.75" x14ac:dyDescent="0.25">
      <c r="A15571" s="6"/>
    </row>
    <row r="15572" spans="1:1" ht="18.75" x14ac:dyDescent="0.25">
      <c r="A15572" s="6"/>
    </row>
    <row r="15573" spans="1:1" ht="18.75" x14ac:dyDescent="0.25">
      <c r="A15573" s="6"/>
    </row>
    <row r="15574" spans="1:1" ht="18.75" x14ac:dyDescent="0.25">
      <c r="A15574" s="6"/>
    </row>
    <row r="15575" spans="1:1" ht="18.75" x14ac:dyDescent="0.25">
      <c r="A15575" s="6"/>
    </row>
    <row r="15576" spans="1:1" ht="18.75" x14ac:dyDescent="0.25">
      <c r="A15576" s="6"/>
    </row>
    <row r="15577" spans="1:1" ht="18.75" x14ac:dyDescent="0.25">
      <c r="A15577" s="6"/>
    </row>
    <row r="15578" spans="1:1" ht="18.75" x14ac:dyDescent="0.25">
      <c r="A15578" s="6"/>
    </row>
    <row r="15579" spans="1:1" ht="18.75" x14ac:dyDescent="0.25">
      <c r="A15579" s="6"/>
    </row>
    <row r="15580" spans="1:1" ht="18.75" x14ac:dyDescent="0.25">
      <c r="A15580" s="6"/>
    </row>
    <row r="15581" spans="1:1" ht="18.75" x14ac:dyDescent="0.25">
      <c r="A15581" s="6"/>
    </row>
    <row r="15582" spans="1:1" ht="18.75" x14ac:dyDescent="0.25">
      <c r="A15582" s="6"/>
    </row>
    <row r="15583" spans="1:1" ht="18.75" x14ac:dyDescent="0.25">
      <c r="A15583" s="6"/>
    </row>
    <row r="15584" spans="1:1" ht="18.75" x14ac:dyDescent="0.25">
      <c r="A15584" s="6"/>
    </row>
    <row r="15585" spans="1:1" ht="18.75" x14ac:dyDescent="0.25">
      <c r="A15585" s="6"/>
    </row>
    <row r="15586" spans="1:1" ht="18.75" x14ac:dyDescent="0.25">
      <c r="A15586" s="6"/>
    </row>
    <row r="15587" spans="1:1" ht="18.75" x14ac:dyDescent="0.25">
      <c r="A15587" s="6"/>
    </row>
    <row r="15588" spans="1:1" ht="18.75" x14ac:dyDescent="0.25">
      <c r="A15588" s="6"/>
    </row>
    <row r="15589" spans="1:1" ht="18.75" x14ac:dyDescent="0.25">
      <c r="A15589" s="6"/>
    </row>
    <row r="15590" spans="1:1" ht="18.75" x14ac:dyDescent="0.25">
      <c r="A15590" s="6"/>
    </row>
    <row r="15591" spans="1:1" ht="18.75" x14ac:dyDescent="0.25">
      <c r="A15591" s="6"/>
    </row>
    <row r="15592" spans="1:1" ht="18.75" x14ac:dyDescent="0.25">
      <c r="A15592" s="6"/>
    </row>
    <row r="15593" spans="1:1" ht="18.75" x14ac:dyDescent="0.25">
      <c r="A15593" s="6"/>
    </row>
    <row r="15594" spans="1:1" ht="18.75" x14ac:dyDescent="0.25">
      <c r="A15594" s="6"/>
    </row>
    <row r="15595" spans="1:1" ht="18.75" x14ac:dyDescent="0.25">
      <c r="A15595" s="6"/>
    </row>
    <row r="15596" spans="1:1" ht="18.75" x14ac:dyDescent="0.25">
      <c r="A15596" s="6"/>
    </row>
    <row r="15597" spans="1:1" ht="18.75" x14ac:dyDescent="0.25">
      <c r="A15597" s="6"/>
    </row>
    <row r="15598" spans="1:1" ht="18.75" x14ac:dyDescent="0.25">
      <c r="A15598" s="6"/>
    </row>
    <row r="15599" spans="1:1" ht="18.75" x14ac:dyDescent="0.25">
      <c r="A15599" s="6"/>
    </row>
    <row r="15600" spans="1:1" ht="18.75" x14ac:dyDescent="0.25">
      <c r="A15600" s="6"/>
    </row>
    <row r="15601" spans="1:1" ht="18.75" x14ac:dyDescent="0.25">
      <c r="A15601" s="6"/>
    </row>
    <row r="15602" spans="1:1" ht="18.75" x14ac:dyDescent="0.25">
      <c r="A15602" s="6"/>
    </row>
    <row r="15603" spans="1:1" ht="18.75" x14ac:dyDescent="0.25">
      <c r="A15603" s="6"/>
    </row>
    <row r="15604" spans="1:1" ht="18.75" x14ac:dyDescent="0.25">
      <c r="A15604" s="6"/>
    </row>
    <row r="15605" spans="1:1" ht="18.75" x14ac:dyDescent="0.25">
      <c r="A15605" s="6"/>
    </row>
    <row r="15606" spans="1:1" ht="18.75" x14ac:dyDescent="0.25">
      <c r="A15606" s="6"/>
    </row>
    <row r="15607" spans="1:1" ht="18.75" x14ac:dyDescent="0.25">
      <c r="A15607" s="6"/>
    </row>
    <row r="15608" spans="1:1" ht="18.75" x14ac:dyDescent="0.25">
      <c r="A15608" s="6"/>
    </row>
    <row r="15609" spans="1:1" ht="18.75" x14ac:dyDescent="0.25">
      <c r="A15609" s="6"/>
    </row>
    <row r="15610" spans="1:1" ht="18.75" x14ac:dyDescent="0.25">
      <c r="A15610" s="6"/>
    </row>
    <row r="15611" spans="1:1" ht="18.75" x14ac:dyDescent="0.25">
      <c r="A15611" s="6"/>
    </row>
    <row r="15612" spans="1:1" ht="18.75" x14ac:dyDescent="0.25">
      <c r="A15612" s="6"/>
    </row>
    <row r="15613" spans="1:1" ht="18.75" x14ac:dyDescent="0.25">
      <c r="A15613" s="6"/>
    </row>
    <row r="15614" spans="1:1" ht="18.75" x14ac:dyDescent="0.25">
      <c r="A15614" s="6"/>
    </row>
    <row r="15615" spans="1:1" ht="18.75" x14ac:dyDescent="0.25">
      <c r="A15615" s="6"/>
    </row>
    <row r="15616" spans="1:1" ht="18.75" x14ac:dyDescent="0.25">
      <c r="A15616" s="6"/>
    </row>
    <row r="15617" spans="1:1" ht="18.75" x14ac:dyDescent="0.25">
      <c r="A15617" s="6"/>
    </row>
    <row r="15618" spans="1:1" ht="18.75" x14ac:dyDescent="0.25">
      <c r="A15618" s="6"/>
    </row>
    <row r="15619" spans="1:1" ht="18.75" x14ac:dyDescent="0.25">
      <c r="A15619" s="6"/>
    </row>
    <row r="15620" spans="1:1" ht="18.75" x14ac:dyDescent="0.25">
      <c r="A15620" s="6"/>
    </row>
    <row r="15621" spans="1:1" ht="18.75" x14ac:dyDescent="0.25">
      <c r="A15621" s="6"/>
    </row>
    <row r="15622" spans="1:1" ht="18.75" x14ac:dyDescent="0.25">
      <c r="A15622" s="6"/>
    </row>
    <row r="15623" spans="1:1" ht="18.75" x14ac:dyDescent="0.25">
      <c r="A15623" s="6"/>
    </row>
    <row r="15624" spans="1:1" ht="18.75" x14ac:dyDescent="0.25">
      <c r="A15624" s="6"/>
    </row>
    <row r="15625" spans="1:1" ht="18.75" x14ac:dyDescent="0.25">
      <c r="A15625" s="6"/>
    </row>
    <row r="15626" spans="1:1" ht="18.75" x14ac:dyDescent="0.25">
      <c r="A15626" s="6"/>
    </row>
    <row r="15627" spans="1:1" ht="18.75" x14ac:dyDescent="0.25">
      <c r="A15627" s="6"/>
    </row>
    <row r="15628" spans="1:1" ht="18.75" x14ac:dyDescent="0.25">
      <c r="A15628" s="6"/>
    </row>
    <row r="15629" spans="1:1" ht="18.75" x14ac:dyDescent="0.25">
      <c r="A15629" s="6"/>
    </row>
    <row r="15630" spans="1:1" ht="18.75" x14ac:dyDescent="0.25">
      <c r="A15630" s="6"/>
    </row>
    <row r="15631" spans="1:1" ht="18.75" x14ac:dyDescent="0.25">
      <c r="A15631" s="6"/>
    </row>
    <row r="15632" spans="1:1" ht="18.75" x14ac:dyDescent="0.25">
      <c r="A15632" s="6"/>
    </row>
    <row r="15633" spans="1:1" ht="18.75" x14ac:dyDescent="0.25">
      <c r="A15633" s="6"/>
    </row>
    <row r="15634" spans="1:1" ht="18.75" x14ac:dyDescent="0.25">
      <c r="A15634" s="6"/>
    </row>
    <row r="15635" spans="1:1" ht="18.75" x14ac:dyDescent="0.25">
      <c r="A15635" s="6"/>
    </row>
    <row r="15636" spans="1:1" ht="18.75" x14ac:dyDescent="0.25">
      <c r="A15636" s="6"/>
    </row>
    <row r="15637" spans="1:1" ht="18.75" x14ac:dyDescent="0.25">
      <c r="A15637" s="6"/>
    </row>
    <row r="15638" spans="1:1" ht="18.75" x14ac:dyDescent="0.25">
      <c r="A15638" s="6"/>
    </row>
    <row r="15639" spans="1:1" ht="18.75" x14ac:dyDescent="0.25">
      <c r="A15639" s="6"/>
    </row>
    <row r="15640" spans="1:1" ht="18.75" x14ac:dyDescent="0.25">
      <c r="A15640" s="6"/>
    </row>
    <row r="15641" spans="1:1" ht="18.75" x14ac:dyDescent="0.25">
      <c r="A15641" s="6"/>
    </row>
    <row r="15642" spans="1:1" ht="18.75" x14ac:dyDescent="0.25">
      <c r="A15642" s="6"/>
    </row>
    <row r="15643" spans="1:1" ht="18.75" x14ac:dyDescent="0.25">
      <c r="A15643" s="6"/>
    </row>
    <row r="15644" spans="1:1" ht="18.75" x14ac:dyDescent="0.25">
      <c r="A15644" s="6"/>
    </row>
    <row r="15645" spans="1:1" ht="18.75" x14ac:dyDescent="0.25">
      <c r="A15645" s="6"/>
    </row>
    <row r="15646" spans="1:1" ht="18.75" x14ac:dyDescent="0.25">
      <c r="A15646" s="6"/>
    </row>
    <row r="15647" spans="1:1" ht="18.75" x14ac:dyDescent="0.25">
      <c r="A15647" s="6"/>
    </row>
    <row r="15648" spans="1:1" ht="18.75" x14ac:dyDescent="0.25">
      <c r="A15648" s="6"/>
    </row>
    <row r="15649" spans="1:1" ht="18.75" x14ac:dyDescent="0.25">
      <c r="A15649" s="6"/>
    </row>
    <row r="15650" spans="1:1" ht="18.75" x14ac:dyDescent="0.25">
      <c r="A15650" s="6"/>
    </row>
    <row r="15651" spans="1:1" ht="18.75" x14ac:dyDescent="0.25">
      <c r="A15651" s="6"/>
    </row>
    <row r="15652" spans="1:1" ht="18.75" x14ac:dyDescent="0.25">
      <c r="A15652" s="6"/>
    </row>
    <row r="15653" spans="1:1" ht="18.75" x14ac:dyDescent="0.25">
      <c r="A15653" s="6"/>
    </row>
    <row r="15654" spans="1:1" ht="18.75" x14ac:dyDescent="0.25">
      <c r="A15654" s="6"/>
    </row>
    <row r="15655" spans="1:1" ht="18.75" x14ac:dyDescent="0.25">
      <c r="A15655" s="6"/>
    </row>
    <row r="15656" spans="1:1" ht="18.75" x14ac:dyDescent="0.25">
      <c r="A15656" s="6"/>
    </row>
    <row r="15657" spans="1:1" ht="18.75" x14ac:dyDescent="0.25">
      <c r="A15657" s="6"/>
    </row>
    <row r="15658" spans="1:1" ht="18.75" x14ac:dyDescent="0.25">
      <c r="A15658" s="6"/>
    </row>
    <row r="15659" spans="1:1" ht="18.75" x14ac:dyDescent="0.25">
      <c r="A15659" s="6"/>
    </row>
    <row r="15660" spans="1:1" ht="18.75" x14ac:dyDescent="0.25">
      <c r="A15660" s="6"/>
    </row>
    <row r="15661" spans="1:1" ht="18.75" x14ac:dyDescent="0.25">
      <c r="A15661" s="6"/>
    </row>
    <row r="15662" spans="1:1" ht="18.75" x14ac:dyDescent="0.25">
      <c r="A15662" s="6"/>
    </row>
    <row r="15663" spans="1:1" ht="18.75" x14ac:dyDescent="0.25">
      <c r="A15663" s="6"/>
    </row>
    <row r="15664" spans="1:1" ht="18.75" x14ac:dyDescent="0.25">
      <c r="A15664" s="6"/>
    </row>
    <row r="15665" spans="1:1" ht="18.75" x14ac:dyDescent="0.25">
      <c r="A15665" s="6"/>
    </row>
    <row r="15666" spans="1:1" ht="18.75" x14ac:dyDescent="0.25">
      <c r="A15666" s="6"/>
    </row>
    <row r="15667" spans="1:1" ht="18.75" x14ac:dyDescent="0.25">
      <c r="A15667" s="6"/>
    </row>
    <row r="15668" spans="1:1" ht="18.75" x14ac:dyDescent="0.25">
      <c r="A15668" s="6"/>
    </row>
    <row r="15669" spans="1:1" ht="18.75" x14ac:dyDescent="0.25">
      <c r="A15669" s="6"/>
    </row>
    <row r="15670" spans="1:1" ht="18.75" x14ac:dyDescent="0.25">
      <c r="A15670" s="6"/>
    </row>
    <row r="15671" spans="1:1" ht="18.75" x14ac:dyDescent="0.25">
      <c r="A15671" s="6"/>
    </row>
    <row r="15672" spans="1:1" ht="18.75" x14ac:dyDescent="0.25">
      <c r="A15672" s="6"/>
    </row>
    <row r="15673" spans="1:1" ht="18.75" x14ac:dyDescent="0.25">
      <c r="A15673" s="6"/>
    </row>
    <row r="15674" spans="1:1" ht="18.75" x14ac:dyDescent="0.25">
      <c r="A15674" s="6"/>
    </row>
    <row r="15675" spans="1:1" ht="18.75" x14ac:dyDescent="0.25">
      <c r="A15675" s="6"/>
    </row>
    <row r="15676" spans="1:1" ht="18.75" x14ac:dyDescent="0.25">
      <c r="A15676" s="6"/>
    </row>
    <row r="15677" spans="1:1" ht="18.75" x14ac:dyDescent="0.25">
      <c r="A15677" s="6"/>
    </row>
    <row r="15678" spans="1:1" ht="18.75" x14ac:dyDescent="0.25">
      <c r="A15678" s="6"/>
    </row>
    <row r="15679" spans="1:1" ht="18.75" x14ac:dyDescent="0.25">
      <c r="A15679" s="6"/>
    </row>
    <row r="15680" spans="1:1" ht="18.75" x14ac:dyDescent="0.25">
      <c r="A15680" s="6"/>
    </row>
    <row r="15681" spans="1:1" ht="18.75" x14ac:dyDescent="0.25">
      <c r="A15681" s="6"/>
    </row>
    <row r="15682" spans="1:1" ht="18.75" x14ac:dyDescent="0.25">
      <c r="A15682" s="6"/>
    </row>
    <row r="15683" spans="1:1" ht="18.75" x14ac:dyDescent="0.25">
      <c r="A15683" s="6"/>
    </row>
    <row r="15684" spans="1:1" ht="18.75" x14ac:dyDescent="0.25">
      <c r="A15684" s="6"/>
    </row>
    <row r="15685" spans="1:1" ht="18.75" x14ac:dyDescent="0.25">
      <c r="A15685" s="6"/>
    </row>
    <row r="15686" spans="1:1" ht="18.75" x14ac:dyDescent="0.25">
      <c r="A15686" s="6"/>
    </row>
    <row r="15687" spans="1:1" ht="18.75" x14ac:dyDescent="0.25">
      <c r="A15687" s="6"/>
    </row>
    <row r="15688" spans="1:1" ht="18.75" x14ac:dyDescent="0.25">
      <c r="A15688" s="6"/>
    </row>
    <row r="15689" spans="1:1" ht="18.75" x14ac:dyDescent="0.25">
      <c r="A15689" s="6"/>
    </row>
    <row r="15690" spans="1:1" ht="18.75" x14ac:dyDescent="0.25">
      <c r="A15690" s="6"/>
    </row>
    <row r="15691" spans="1:1" ht="18.75" x14ac:dyDescent="0.25">
      <c r="A15691" s="6"/>
    </row>
    <row r="15692" spans="1:1" ht="18.75" x14ac:dyDescent="0.25">
      <c r="A15692" s="6"/>
    </row>
    <row r="15693" spans="1:1" ht="18.75" x14ac:dyDescent="0.25">
      <c r="A15693" s="6"/>
    </row>
    <row r="15694" spans="1:1" ht="18.75" x14ac:dyDescent="0.25">
      <c r="A15694" s="6"/>
    </row>
    <row r="15695" spans="1:1" ht="18.75" x14ac:dyDescent="0.25">
      <c r="A15695" s="6"/>
    </row>
    <row r="15696" spans="1:1" ht="18.75" x14ac:dyDescent="0.25">
      <c r="A15696" s="6"/>
    </row>
    <row r="15697" spans="1:1" ht="18.75" x14ac:dyDescent="0.25">
      <c r="A15697" s="6"/>
    </row>
    <row r="15698" spans="1:1" ht="18.75" x14ac:dyDescent="0.25">
      <c r="A15698" s="6"/>
    </row>
    <row r="15699" spans="1:1" ht="18.75" x14ac:dyDescent="0.25">
      <c r="A15699" s="6"/>
    </row>
    <row r="15700" spans="1:1" ht="18.75" x14ac:dyDescent="0.25">
      <c r="A15700" s="6"/>
    </row>
    <row r="15701" spans="1:1" ht="18.75" x14ac:dyDescent="0.25">
      <c r="A15701" s="6"/>
    </row>
    <row r="15702" spans="1:1" ht="18.75" x14ac:dyDescent="0.25">
      <c r="A15702" s="6"/>
    </row>
    <row r="15703" spans="1:1" ht="18.75" x14ac:dyDescent="0.25">
      <c r="A15703" s="6"/>
    </row>
    <row r="15704" spans="1:1" ht="18.75" x14ac:dyDescent="0.25">
      <c r="A15704" s="6"/>
    </row>
    <row r="15705" spans="1:1" ht="18.75" x14ac:dyDescent="0.25">
      <c r="A15705" s="6"/>
    </row>
    <row r="15706" spans="1:1" ht="18.75" x14ac:dyDescent="0.25">
      <c r="A15706" s="6"/>
    </row>
    <row r="15707" spans="1:1" ht="18.75" x14ac:dyDescent="0.25">
      <c r="A15707" s="6"/>
    </row>
    <row r="15708" spans="1:1" ht="18.75" x14ac:dyDescent="0.25">
      <c r="A15708" s="6"/>
    </row>
    <row r="15709" spans="1:1" ht="18.75" x14ac:dyDescent="0.25">
      <c r="A15709" s="6"/>
    </row>
    <row r="15710" spans="1:1" ht="18.75" x14ac:dyDescent="0.25">
      <c r="A15710" s="6"/>
    </row>
    <row r="15711" spans="1:1" ht="18.75" x14ac:dyDescent="0.25">
      <c r="A15711" s="6"/>
    </row>
    <row r="15712" spans="1:1" ht="18.75" x14ac:dyDescent="0.25">
      <c r="A15712" s="6"/>
    </row>
    <row r="15713" spans="1:1" ht="18.75" x14ac:dyDescent="0.25">
      <c r="A15713" s="6"/>
    </row>
    <row r="15714" spans="1:1" ht="18.75" x14ac:dyDescent="0.25">
      <c r="A15714" s="6"/>
    </row>
    <row r="15715" spans="1:1" ht="18.75" x14ac:dyDescent="0.25">
      <c r="A15715" s="6"/>
    </row>
    <row r="15716" spans="1:1" ht="18.75" x14ac:dyDescent="0.25">
      <c r="A15716" s="6"/>
    </row>
    <row r="15717" spans="1:1" ht="18.75" x14ac:dyDescent="0.25">
      <c r="A15717" s="6"/>
    </row>
    <row r="15718" spans="1:1" ht="18.75" x14ac:dyDescent="0.25">
      <c r="A15718" s="6"/>
    </row>
    <row r="15719" spans="1:1" ht="18.75" x14ac:dyDescent="0.25">
      <c r="A15719" s="6"/>
    </row>
    <row r="15720" spans="1:1" ht="18.75" x14ac:dyDescent="0.25">
      <c r="A15720" s="6"/>
    </row>
    <row r="15721" spans="1:1" ht="18.75" x14ac:dyDescent="0.25">
      <c r="A15721" s="6"/>
    </row>
    <row r="15722" spans="1:1" ht="18.75" x14ac:dyDescent="0.25">
      <c r="A15722" s="6"/>
    </row>
    <row r="15723" spans="1:1" ht="18.75" x14ac:dyDescent="0.25">
      <c r="A15723" s="6"/>
    </row>
    <row r="15724" spans="1:1" ht="18.75" x14ac:dyDescent="0.25">
      <c r="A15724" s="6"/>
    </row>
    <row r="15725" spans="1:1" ht="18.75" x14ac:dyDescent="0.25">
      <c r="A15725" s="6"/>
    </row>
    <row r="15726" spans="1:1" ht="18.75" x14ac:dyDescent="0.25">
      <c r="A15726" s="6"/>
    </row>
    <row r="15727" spans="1:1" ht="18.75" x14ac:dyDescent="0.25">
      <c r="A15727" s="6"/>
    </row>
    <row r="15728" spans="1:1" ht="18.75" x14ac:dyDescent="0.25">
      <c r="A15728" s="6"/>
    </row>
    <row r="15729" spans="1:1" ht="18.75" x14ac:dyDescent="0.25">
      <c r="A15729" s="6"/>
    </row>
    <row r="15730" spans="1:1" ht="18.75" x14ac:dyDescent="0.25">
      <c r="A15730" s="6"/>
    </row>
    <row r="15731" spans="1:1" ht="18.75" x14ac:dyDescent="0.25">
      <c r="A15731" s="6"/>
    </row>
    <row r="15732" spans="1:1" ht="18.75" x14ac:dyDescent="0.25">
      <c r="A15732" s="6"/>
    </row>
    <row r="15733" spans="1:1" ht="18.75" x14ac:dyDescent="0.25">
      <c r="A15733" s="6"/>
    </row>
    <row r="15734" spans="1:1" ht="18.75" x14ac:dyDescent="0.25">
      <c r="A15734" s="6"/>
    </row>
    <row r="15735" spans="1:1" ht="18.75" x14ac:dyDescent="0.25">
      <c r="A15735" s="6"/>
    </row>
    <row r="15736" spans="1:1" ht="18.75" x14ac:dyDescent="0.25">
      <c r="A15736" s="6"/>
    </row>
    <row r="15737" spans="1:1" ht="18.75" x14ac:dyDescent="0.25">
      <c r="A15737" s="6"/>
    </row>
    <row r="15738" spans="1:1" ht="18.75" x14ac:dyDescent="0.25">
      <c r="A15738" s="6"/>
    </row>
    <row r="15739" spans="1:1" ht="18.75" x14ac:dyDescent="0.25">
      <c r="A15739" s="6"/>
    </row>
    <row r="15740" spans="1:1" ht="18.75" x14ac:dyDescent="0.25">
      <c r="A15740" s="6"/>
    </row>
    <row r="15741" spans="1:1" ht="18.75" x14ac:dyDescent="0.25">
      <c r="A15741" s="6"/>
    </row>
    <row r="15742" spans="1:1" ht="18.75" x14ac:dyDescent="0.25">
      <c r="A15742" s="6"/>
    </row>
    <row r="15743" spans="1:1" ht="18.75" x14ac:dyDescent="0.25">
      <c r="A15743" s="6"/>
    </row>
    <row r="15744" spans="1:1" ht="18.75" x14ac:dyDescent="0.25">
      <c r="A15744" s="6"/>
    </row>
    <row r="15745" spans="1:1" ht="18.75" x14ac:dyDescent="0.25">
      <c r="A15745" s="6"/>
    </row>
    <row r="15746" spans="1:1" ht="18.75" x14ac:dyDescent="0.25">
      <c r="A15746" s="6"/>
    </row>
    <row r="15747" spans="1:1" ht="18.75" x14ac:dyDescent="0.25">
      <c r="A15747" s="6"/>
    </row>
    <row r="15748" spans="1:1" ht="18.75" x14ac:dyDescent="0.25">
      <c r="A15748" s="6"/>
    </row>
    <row r="15749" spans="1:1" ht="18.75" x14ac:dyDescent="0.25">
      <c r="A15749" s="6"/>
    </row>
    <row r="15750" spans="1:1" ht="18.75" x14ac:dyDescent="0.25">
      <c r="A15750" s="6"/>
    </row>
    <row r="15751" spans="1:1" ht="18.75" x14ac:dyDescent="0.25">
      <c r="A15751" s="6"/>
    </row>
    <row r="15752" spans="1:1" ht="18.75" x14ac:dyDescent="0.25">
      <c r="A15752" s="6"/>
    </row>
    <row r="15753" spans="1:1" ht="18.75" x14ac:dyDescent="0.25">
      <c r="A15753" s="6"/>
    </row>
    <row r="15754" spans="1:1" ht="18.75" x14ac:dyDescent="0.25">
      <c r="A15754" s="6"/>
    </row>
    <row r="15755" spans="1:1" ht="18.75" x14ac:dyDescent="0.25">
      <c r="A15755" s="6"/>
    </row>
    <row r="15756" spans="1:1" ht="18.75" x14ac:dyDescent="0.25">
      <c r="A15756" s="6"/>
    </row>
    <row r="15757" spans="1:1" ht="18.75" x14ac:dyDescent="0.25">
      <c r="A15757" s="6"/>
    </row>
    <row r="15758" spans="1:1" ht="18.75" x14ac:dyDescent="0.25">
      <c r="A15758" s="6"/>
    </row>
    <row r="15759" spans="1:1" ht="18.75" x14ac:dyDescent="0.25">
      <c r="A15759" s="6"/>
    </row>
    <row r="15760" spans="1:1" ht="18.75" x14ac:dyDescent="0.25">
      <c r="A15760" s="6"/>
    </row>
    <row r="15761" spans="1:1" ht="18.75" x14ac:dyDescent="0.25">
      <c r="A15761" s="6"/>
    </row>
    <row r="15762" spans="1:1" ht="18.75" x14ac:dyDescent="0.25">
      <c r="A15762" s="6"/>
    </row>
    <row r="15763" spans="1:1" ht="18.75" x14ac:dyDescent="0.25">
      <c r="A15763" s="6"/>
    </row>
    <row r="15764" spans="1:1" ht="18.75" x14ac:dyDescent="0.25">
      <c r="A15764" s="6"/>
    </row>
    <row r="15765" spans="1:1" ht="18.75" x14ac:dyDescent="0.25">
      <c r="A15765" s="6"/>
    </row>
    <row r="15766" spans="1:1" ht="18.75" x14ac:dyDescent="0.25">
      <c r="A15766" s="6"/>
    </row>
    <row r="15767" spans="1:1" ht="18.75" x14ac:dyDescent="0.25">
      <c r="A15767" s="6"/>
    </row>
    <row r="15768" spans="1:1" ht="18.75" x14ac:dyDescent="0.25">
      <c r="A15768" s="6"/>
    </row>
    <row r="15769" spans="1:1" ht="18.75" x14ac:dyDescent="0.25">
      <c r="A15769" s="6"/>
    </row>
    <row r="15770" spans="1:1" ht="18.75" x14ac:dyDescent="0.25">
      <c r="A15770" s="6"/>
    </row>
    <row r="15771" spans="1:1" ht="18.75" x14ac:dyDescent="0.25">
      <c r="A15771" s="6"/>
    </row>
    <row r="15772" spans="1:1" ht="18.75" x14ac:dyDescent="0.25">
      <c r="A15772" s="6"/>
    </row>
    <row r="15773" spans="1:1" ht="18.75" x14ac:dyDescent="0.25">
      <c r="A15773" s="6"/>
    </row>
    <row r="15774" spans="1:1" ht="18.75" x14ac:dyDescent="0.25">
      <c r="A15774" s="6"/>
    </row>
    <row r="15775" spans="1:1" ht="18.75" x14ac:dyDescent="0.25">
      <c r="A15775" s="6"/>
    </row>
    <row r="15776" spans="1:1" ht="18.75" x14ac:dyDescent="0.25">
      <c r="A15776" s="6"/>
    </row>
    <row r="15777" spans="1:1" ht="18.75" x14ac:dyDescent="0.25">
      <c r="A15777" s="6"/>
    </row>
    <row r="15778" spans="1:1" ht="18.75" x14ac:dyDescent="0.25">
      <c r="A15778" s="6"/>
    </row>
    <row r="15779" spans="1:1" ht="18.75" x14ac:dyDescent="0.25">
      <c r="A15779" s="6"/>
    </row>
    <row r="15780" spans="1:1" ht="18.75" x14ac:dyDescent="0.25">
      <c r="A15780" s="6"/>
    </row>
    <row r="15781" spans="1:1" ht="18.75" x14ac:dyDescent="0.25">
      <c r="A15781" s="6"/>
    </row>
    <row r="15782" spans="1:1" ht="18.75" x14ac:dyDescent="0.25">
      <c r="A15782" s="6"/>
    </row>
    <row r="15783" spans="1:1" ht="18.75" x14ac:dyDescent="0.25">
      <c r="A15783" s="6"/>
    </row>
    <row r="15784" spans="1:1" ht="18.75" x14ac:dyDescent="0.25">
      <c r="A15784" s="6"/>
    </row>
    <row r="15785" spans="1:1" ht="18.75" x14ac:dyDescent="0.25">
      <c r="A15785" s="6"/>
    </row>
    <row r="15786" spans="1:1" ht="18.75" x14ac:dyDescent="0.25">
      <c r="A15786" s="6"/>
    </row>
    <row r="15787" spans="1:1" ht="18.75" x14ac:dyDescent="0.25">
      <c r="A15787" s="6"/>
    </row>
    <row r="15788" spans="1:1" ht="18.75" x14ac:dyDescent="0.25">
      <c r="A15788" s="6"/>
    </row>
    <row r="15789" spans="1:1" ht="18.75" x14ac:dyDescent="0.25">
      <c r="A15789" s="6"/>
    </row>
    <row r="15790" spans="1:1" ht="18.75" x14ac:dyDescent="0.25">
      <c r="A15790" s="6"/>
    </row>
    <row r="15791" spans="1:1" ht="18.75" x14ac:dyDescent="0.25">
      <c r="A15791" s="6"/>
    </row>
    <row r="15792" spans="1:1" ht="18.75" x14ac:dyDescent="0.25">
      <c r="A15792" s="6"/>
    </row>
    <row r="15793" spans="1:1" ht="18.75" x14ac:dyDescent="0.25">
      <c r="A15793" s="6"/>
    </row>
    <row r="15794" spans="1:1" ht="18.75" x14ac:dyDescent="0.25">
      <c r="A15794" s="6"/>
    </row>
    <row r="15795" spans="1:1" ht="18.75" x14ac:dyDescent="0.25">
      <c r="A15795" s="6"/>
    </row>
    <row r="15796" spans="1:1" ht="18.75" x14ac:dyDescent="0.25">
      <c r="A15796" s="6"/>
    </row>
    <row r="15797" spans="1:1" ht="18.75" x14ac:dyDescent="0.25">
      <c r="A15797" s="6"/>
    </row>
    <row r="15798" spans="1:1" ht="18.75" x14ac:dyDescent="0.25">
      <c r="A15798" s="6"/>
    </row>
    <row r="15799" spans="1:1" ht="18.75" x14ac:dyDescent="0.25">
      <c r="A15799" s="6"/>
    </row>
    <row r="15800" spans="1:1" ht="18.75" x14ac:dyDescent="0.25">
      <c r="A15800" s="6"/>
    </row>
    <row r="15801" spans="1:1" ht="18.75" x14ac:dyDescent="0.25">
      <c r="A15801" s="6"/>
    </row>
    <row r="15802" spans="1:1" ht="18.75" x14ac:dyDescent="0.25">
      <c r="A15802" s="6"/>
    </row>
    <row r="15803" spans="1:1" ht="18.75" x14ac:dyDescent="0.25">
      <c r="A15803" s="6"/>
    </row>
    <row r="15804" spans="1:1" ht="18.75" x14ac:dyDescent="0.25">
      <c r="A15804" s="6"/>
    </row>
    <row r="15805" spans="1:1" ht="18.75" x14ac:dyDescent="0.25">
      <c r="A15805" s="6"/>
    </row>
    <row r="15806" spans="1:1" ht="18.75" x14ac:dyDescent="0.25">
      <c r="A15806" s="6"/>
    </row>
    <row r="15807" spans="1:1" ht="18.75" x14ac:dyDescent="0.25">
      <c r="A15807" s="6"/>
    </row>
    <row r="15808" spans="1:1" ht="18.75" x14ac:dyDescent="0.25">
      <c r="A15808" s="6"/>
    </row>
    <row r="15809" spans="1:1" ht="18.75" x14ac:dyDescent="0.25">
      <c r="A15809" s="6"/>
    </row>
    <row r="15810" spans="1:1" ht="18.75" x14ac:dyDescent="0.25">
      <c r="A15810" s="6"/>
    </row>
    <row r="15811" spans="1:1" ht="18.75" x14ac:dyDescent="0.25">
      <c r="A15811" s="6"/>
    </row>
    <row r="15812" spans="1:1" ht="18.75" x14ac:dyDescent="0.25">
      <c r="A15812" s="6"/>
    </row>
    <row r="15813" spans="1:1" ht="18.75" x14ac:dyDescent="0.25">
      <c r="A15813" s="6"/>
    </row>
    <row r="15814" spans="1:1" ht="18.75" x14ac:dyDescent="0.25">
      <c r="A15814" s="6"/>
    </row>
    <row r="15815" spans="1:1" ht="18.75" x14ac:dyDescent="0.25">
      <c r="A15815" s="6"/>
    </row>
    <row r="15816" spans="1:1" ht="18.75" x14ac:dyDescent="0.25">
      <c r="A15816" s="6"/>
    </row>
    <row r="15817" spans="1:1" ht="18.75" x14ac:dyDescent="0.25">
      <c r="A15817" s="6"/>
    </row>
    <row r="15818" spans="1:1" ht="18.75" x14ac:dyDescent="0.25">
      <c r="A15818" s="6"/>
    </row>
    <row r="15819" spans="1:1" ht="18.75" x14ac:dyDescent="0.25">
      <c r="A15819" s="6"/>
    </row>
    <row r="15820" spans="1:1" ht="18.75" x14ac:dyDescent="0.25">
      <c r="A15820" s="6"/>
    </row>
    <row r="15821" spans="1:1" ht="18.75" x14ac:dyDescent="0.25">
      <c r="A15821" s="6"/>
    </row>
    <row r="15822" spans="1:1" ht="18.75" x14ac:dyDescent="0.25">
      <c r="A15822" s="6"/>
    </row>
    <row r="15823" spans="1:1" ht="18.75" x14ac:dyDescent="0.25">
      <c r="A15823" s="6"/>
    </row>
    <row r="15824" spans="1:1" ht="18.75" x14ac:dyDescent="0.25">
      <c r="A15824" s="6"/>
    </row>
    <row r="15825" spans="1:1" ht="18.75" x14ac:dyDescent="0.25">
      <c r="A15825" s="6"/>
    </row>
    <row r="15826" spans="1:1" ht="18.75" x14ac:dyDescent="0.25">
      <c r="A15826" s="6"/>
    </row>
    <row r="15827" spans="1:1" ht="18.75" x14ac:dyDescent="0.25">
      <c r="A15827" s="6"/>
    </row>
    <row r="15828" spans="1:1" ht="18.75" x14ac:dyDescent="0.25">
      <c r="A15828" s="6"/>
    </row>
    <row r="15829" spans="1:1" ht="18.75" x14ac:dyDescent="0.25">
      <c r="A15829" s="6"/>
    </row>
    <row r="15830" spans="1:1" ht="18.75" x14ac:dyDescent="0.25">
      <c r="A15830" s="6"/>
    </row>
    <row r="15831" spans="1:1" ht="18.75" x14ac:dyDescent="0.25">
      <c r="A15831" s="6"/>
    </row>
    <row r="15832" spans="1:1" ht="18.75" x14ac:dyDescent="0.25">
      <c r="A15832" s="6"/>
    </row>
    <row r="15833" spans="1:1" ht="18.75" x14ac:dyDescent="0.25">
      <c r="A15833" s="6"/>
    </row>
    <row r="15834" spans="1:1" ht="18.75" x14ac:dyDescent="0.25">
      <c r="A15834" s="6"/>
    </row>
    <row r="15835" spans="1:1" ht="18.75" x14ac:dyDescent="0.25">
      <c r="A15835" s="6"/>
    </row>
    <row r="15836" spans="1:1" ht="18.75" x14ac:dyDescent="0.25">
      <c r="A15836" s="6"/>
    </row>
    <row r="15837" spans="1:1" ht="18.75" x14ac:dyDescent="0.25">
      <c r="A15837" s="6"/>
    </row>
    <row r="15838" spans="1:1" ht="18.75" x14ac:dyDescent="0.25">
      <c r="A15838" s="6"/>
    </row>
    <row r="15839" spans="1:1" ht="18.75" x14ac:dyDescent="0.25">
      <c r="A15839" s="6"/>
    </row>
    <row r="15840" spans="1:1" ht="18.75" x14ac:dyDescent="0.25">
      <c r="A15840" s="6"/>
    </row>
    <row r="15841" spans="1:1" ht="18.75" x14ac:dyDescent="0.25">
      <c r="A15841" s="6"/>
    </row>
    <row r="15842" spans="1:1" ht="18.75" x14ac:dyDescent="0.25">
      <c r="A15842" s="6"/>
    </row>
    <row r="15843" spans="1:1" ht="18.75" x14ac:dyDescent="0.25">
      <c r="A15843" s="6"/>
    </row>
    <row r="15844" spans="1:1" ht="18.75" x14ac:dyDescent="0.25">
      <c r="A15844" s="6"/>
    </row>
    <row r="15845" spans="1:1" ht="18.75" x14ac:dyDescent="0.25">
      <c r="A15845" s="6"/>
    </row>
    <row r="15846" spans="1:1" ht="18.75" x14ac:dyDescent="0.25">
      <c r="A15846" s="6"/>
    </row>
    <row r="15847" spans="1:1" ht="18.75" x14ac:dyDescent="0.25">
      <c r="A15847" s="6"/>
    </row>
    <row r="15848" spans="1:1" ht="18.75" x14ac:dyDescent="0.25">
      <c r="A15848" s="6"/>
    </row>
    <row r="15849" spans="1:1" ht="18.75" x14ac:dyDescent="0.25">
      <c r="A15849" s="6"/>
    </row>
    <row r="15850" spans="1:1" ht="18.75" x14ac:dyDescent="0.25">
      <c r="A15850" s="6"/>
    </row>
    <row r="15851" spans="1:1" ht="18.75" x14ac:dyDescent="0.25">
      <c r="A15851" s="6"/>
    </row>
    <row r="15852" spans="1:1" ht="18.75" x14ac:dyDescent="0.25">
      <c r="A15852" s="6"/>
    </row>
    <row r="15853" spans="1:1" ht="18.75" x14ac:dyDescent="0.25">
      <c r="A15853" s="6"/>
    </row>
    <row r="15854" spans="1:1" ht="18.75" x14ac:dyDescent="0.25">
      <c r="A15854" s="6"/>
    </row>
    <row r="15855" spans="1:1" ht="18.75" x14ac:dyDescent="0.25">
      <c r="A15855" s="6"/>
    </row>
    <row r="15856" spans="1:1" ht="18.75" x14ac:dyDescent="0.25">
      <c r="A15856" s="6"/>
    </row>
    <row r="15857" spans="1:1" ht="18.75" x14ac:dyDescent="0.25">
      <c r="A15857" s="6"/>
    </row>
    <row r="15858" spans="1:1" ht="18.75" x14ac:dyDescent="0.25">
      <c r="A15858" s="6"/>
    </row>
    <row r="15859" spans="1:1" ht="18.75" x14ac:dyDescent="0.25">
      <c r="A15859" s="6"/>
    </row>
    <row r="15860" spans="1:1" ht="18.75" x14ac:dyDescent="0.25">
      <c r="A15860" s="6"/>
    </row>
    <row r="15861" spans="1:1" ht="18.75" x14ac:dyDescent="0.25">
      <c r="A15861" s="6"/>
    </row>
    <row r="15862" spans="1:1" ht="18.75" x14ac:dyDescent="0.25">
      <c r="A15862" s="6"/>
    </row>
    <row r="15863" spans="1:1" ht="18.75" x14ac:dyDescent="0.25">
      <c r="A15863" s="6"/>
    </row>
    <row r="15864" spans="1:1" ht="18.75" x14ac:dyDescent="0.25">
      <c r="A15864" s="6"/>
    </row>
    <row r="15865" spans="1:1" ht="18.75" x14ac:dyDescent="0.25">
      <c r="A15865" s="6"/>
    </row>
    <row r="15866" spans="1:1" ht="18.75" x14ac:dyDescent="0.25">
      <c r="A15866" s="6"/>
    </row>
    <row r="15867" spans="1:1" ht="18.75" x14ac:dyDescent="0.25">
      <c r="A15867" s="6"/>
    </row>
    <row r="15868" spans="1:1" ht="18.75" x14ac:dyDescent="0.25">
      <c r="A15868" s="6"/>
    </row>
    <row r="15869" spans="1:1" ht="18.75" x14ac:dyDescent="0.25">
      <c r="A15869" s="6"/>
    </row>
    <row r="15870" spans="1:1" ht="18.75" x14ac:dyDescent="0.25">
      <c r="A15870" s="6"/>
    </row>
    <row r="15871" spans="1:1" ht="18.75" x14ac:dyDescent="0.25">
      <c r="A15871" s="6"/>
    </row>
    <row r="15872" spans="1:1" ht="18.75" x14ac:dyDescent="0.25">
      <c r="A15872" s="6"/>
    </row>
    <row r="15873" spans="1:1" ht="18.75" x14ac:dyDescent="0.25">
      <c r="A15873" s="6"/>
    </row>
    <row r="15874" spans="1:1" ht="18.75" x14ac:dyDescent="0.25">
      <c r="A15874" s="6"/>
    </row>
    <row r="15875" spans="1:1" ht="18.75" x14ac:dyDescent="0.25">
      <c r="A15875" s="6"/>
    </row>
    <row r="15876" spans="1:1" ht="18.75" x14ac:dyDescent="0.25">
      <c r="A15876" s="6"/>
    </row>
    <row r="15877" spans="1:1" ht="18.75" x14ac:dyDescent="0.25">
      <c r="A15877" s="6"/>
    </row>
    <row r="15878" spans="1:1" ht="18.75" x14ac:dyDescent="0.25">
      <c r="A15878" s="6"/>
    </row>
    <row r="15879" spans="1:1" ht="18.75" x14ac:dyDescent="0.25">
      <c r="A15879" s="6"/>
    </row>
    <row r="15880" spans="1:1" ht="18.75" x14ac:dyDescent="0.25">
      <c r="A15880" s="6"/>
    </row>
    <row r="15881" spans="1:1" ht="18.75" x14ac:dyDescent="0.25">
      <c r="A15881" s="6"/>
    </row>
    <row r="15882" spans="1:1" ht="18.75" x14ac:dyDescent="0.25">
      <c r="A15882" s="6"/>
    </row>
    <row r="15883" spans="1:1" ht="18.75" x14ac:dyDescent="0.25">
      <c r="A15883" s="6"/>
    </row>
    <row r="15884" spans="1:1" ht="18.75" x14ac:dyDescent="0.25">
      <c r="A15884" s="6"/>
    </row>
    <row r="15885" spans="1:1" ht="18.75" x14ac:dyDescent="0.25">
      <c r="A15885" s="6"/>
    </row>
    <row r="15886" spans="1:1" ht="18.75" x14ac:dyDescent="0.25">
      <c r="A15886" s="6"/>
    </row>
    <row r="15887" spans="1:1" ht="18.75" x14ac:dyDescent="0.25">
      <c r="A15887" s="6"/>
    </row>
    <row r="15888" spans="1:1" ht="18.75" x14ac:dyDescent="0.25">
      <c r="A15888" s="6"/>
    </row>
    <row r="15889" spans="1:1" ht="18.75" x14ac:dyDescent="0.25">
      <c r="A15889" s="6"/>
    </row>
    <row r="15890" spans="1:1" ht="18.75" x14ac:dyDescent="0.25">
      <c r="A15890" s="6"/>
    </row>
    <row r="15891" spans="1:1" ht="18.75" x14ac:dyDescent="0.25">
      <c r="A15891" s="6"/>
    </row>
    <row r="15892" spans="1:1" ht="18.75" x14ac:dyDescent="0.25">
      <c r="A15892" s="6"/>
    </row>
    <row r="15893" spans="1:1" ht="18.75" x14ac:dyDescent="0.25">
      <c r="A15893" s="6"/>
    </row>
    <row r="15894" spans="1:1" ht="18.75" x14ac:dyDescent="0.25">
      <c r="A15894" s="6"/>
    </row>
    <row r="15895" spans="1:1" ht="18.75" x14ac:dyDescent="0.25">
      <c r="A15895" s="6"/>
    </row>
    <row r="15896" spans="1:1" ht="18.75" x14ac:dyDescent="0.25">
      <c r="A15896" s="6"/>
    </row>
    <row r="15897" spans="1:1" ht="18.75" x14ac:dyDescent="0.25">
      <c r="A15897" s="6"/>
    </row>
    <row r="15898" spans="1:1" ht="18.75" x14ac:dyDescent="0.25">
      <c r="A15898" s="6"/>
    </row>
    <row r="15899" spans="1:1" ht="18.75" x14ac:dyDescent="0.25">
      <c r="A15899" s="6"/>
    </row>
    <row r="15900" spans="1:1" ht="18.75" x14ac:dyDescent="0.25">
      <c r="A15900" s="6"/>
    </row>
    <row r="15901" spans="1:1" ht="18.75" x14ac:dyDescent="0.25">
      <c r="A15901" s="6"/>
    </row>
    <row r="15902" spans="1:1" ht="18.75" x14ac:dyDescent="0.25">
      <c r="A15902" s="6"/>
    </row>
    <row r="15903" spans="1:1" ht="18.75" x14ac:dyDescent="0.25">
      <c r="A15903" s="6"/>
    </row>
    <row r="15904" spans="1:1" ht="18.75" x14ac:dyDescent="0.25">
      <c r="A15904" s="6"/>
    </row>
    <row r="15905" spans="1:1" ht="18.75" x14ac:dyDescent="0.25">
      <c r="A15905" s="6"/>
    </row>
    <row r="15906" spans="1:1" ht="18.75" x14ac:dyDescent="0.25">
      <c r="A15906" s="6"/>
    </row>
    <row r="15907" spans="1:1" ht="18.75" x14ac:dyDescent="0.25">
      <c r="A15907" s="6"/>
    </row>
    <row r="15908" spans="1:1" ht="18.75" x14ac:dyDescent="0.25">
      <c r="A15908" s="6"/>
    </row>
    <row r="15909" spans="1:1" ht="18.75" x14ac:dyDescent="0.25">
      <c r="A15909" s="6"/>
    </row>
    <row r="15910" spans="1:1" ht="18.75" x14ac:dyDescent="0.25">
      <c r="A15910" s="6"/>
    </row>
    <row r="15911" spans="1:1" ht="18.75" x14ac:dyDescent="0.25">
      <c r="A15911" s="6"/>
    </row>
    <row r="15912" spans="1:1" ht="18.75" x14ac:dyDescent="0.25">
      <c r="A15912" s="6"/>
    </row>
    <row r="15913" spans="1:1" ht="18.75" x14ac:dyDescent="0.25">
      <c r="A15913" s="6"/>
    </row>
    <row r="15914" spans="1:1" ht="18.75" x14ac:dyDescent="0.25">
      <c r="A15914" s="6"/>
    </row>
    <row r="15915" spans="1:1" ht="18.75" x14ac:dyDescent="0.25">
      <c r="A15915" s="6"/>
    </row>
    <row r="15916" spans="1:1" ht="18.75" x14ac:dyDescent="0.25">
      <c r="A15916" s="6"/>
    </row>
    <row r="15917" spans="1:1" ht="18.75" x14ac:dyDescent="0.25">
      <c r="A15917" s="6"/>
    </row>
    <row r="15918" spans="1:1" ht="18.75" x14ac:dyDescent="0.25">
      <c r="A15918" s="6"/>
    </row>
    <row r="15919" spans="1:1" ht="18.75" x14ac:dyDescent="0.25">
      <c r="A15919" s="6"/>
    </row>
    <row r="15920" spans="1:1" ht="18.75" x14ac:dyDescent="0.25">
      <c r="A15920" s="6"/>
    </row>
    <row r="15921" spans="1:1" ht="18.75" x14ac:dyDescent="0.25">
      <c r="A15921" s="6"/>
    </row>
    <row r="15922" spans="1:1" ht="18.75" x14ac:dyDescent="0.25">
      <c r="A15922" s="6"/>
    </row>
    <row r="15923" spans="1:1" ht="18.75" x14ac:dyDescent="0.25">
      <c r="A15923" s="6"/>
    </row>
    <row r="15924" spans="1:1" ht="18.75" x14ac:dyDescent="0.25">
      <c r="A15924" s="6"/>
    </row>
    <row r="15925" spans="1:1" ht="18.75" x14ac:dyDescent="0.25">
      <c r="A15925" s="6"/>
    </row>
    <row r="15926" spans="1:1" ht="18.75" x14ac:dyDescent="0.25">
      <c r="A15926" s="6"/>
    </row>
    <row r="15927" spans="1:1" ht="18.75" x14ac:dyDescent="0.25">
      <c r="A15927" s="6"/>
    </row>
    <row r="15928" spans="1:1" ht="18.75" x14ac:dyDescent="0.25">
      <c r="A15928" s="6"/>
    </row>
    <row r="15929" spans="1:1" ht="18.75" x14ac:dyDescent="0.25">
      <c r="A15929" s="6"/>
    </row>
    <row r="15930" spans="1:1" ht="18.75" x14ac:dyDescent="0.25">
      <c r="A15930" s="6"/>
    </row>
    <row r="15931" spans="1:1" ht="18.75" x14ac:dyDescent="0.25">
      <c r="A15931" s="6"/>
    </row>
    <row r="15932" spans="1:1" ht="18.75" x14ac:dyDescent="0.25">
      <c r="A15932" s="6"/>
    </row>
    <row r="15933" spans="1:1" ht="18.75" x14ac:dyDescent="0.25">
      <c r="A15933" s="6"/>
    </row>
    <row r="15934" spans="1:1" ht="18.75" x14ac:dyDescent="0.25">
      <c r="A15934" s="6"/>
    </row>
    <row r="15935" spans="1:1" ht="18.75" x14ac:dyDescent="0.25">
      <c r="A15935" s="6"/>
    </row>
    <row r="15936" spans="1:1" ht="18.75" x14ac:dyDescent="0.25">
      <c r="A15936" s="6"/>
    </row>
    <row r="15937" spans="1:1" ht="18.75" x14ac:dyDescent="0.25">
      <c r="A15937" s="6"/>
    </row>
    <row r="15938" spans="1:1" ht="18.75" x14ac:dyDescent="0.25">
      <c r="A15938" s="6"/>
    </row>
    <row r="15939" spans="1:1" ht="18.75" x14ac:dyDescent="0.25">
      <c r="A15939" s="6"/>
    </row>
    <row r="15940" spans="1:1" ht="18.75" x14ac:dyDescent="0.25">
      <c r="A15940" s="6"/>
    </row>
    <row r="15941" spans="1:1" ht="18.75" x14ac:dyDescent="0.25">
      <c r="A15941" s="6"/>
    </row>
    <row r="15942" spans="1:1" ht="18.75" x14ac:dyDescent="0.25">
      <c r="A15942" s="6"/>
    </row>
    <row r="15943" spans="1:1" ht="18.75" x14ac:dyDescent="0.25">
      <c r="A15943" s="6"/>
    </row>
    <row r="15944" spans="1:1" ht="18.75" x14ac:dyDescent="0.25">
      <c r="A15944" s="6"/>
    </row>
    <row r="15945" spans="1:1" ht="18.75" x14ac:dyDescent="0.25">
      <c r="A15945" s="6"/>
    </row>
    <row r="15946" spans="1:1" ht="18.75" x14ac:dyDescent="0.25">
      <c r="A15946" s="6"/>
    </row>
    <row r="15947" spans="1:1" ht="18.75" x14ac:dyDescent="0.25">
      <c r="A15947" s="6"/>
    </row>
    <row r="15948" spans="1:1" ht="18.75" x14ac:dyDescent="0.25">
      <c r="A15948" s="6"/>
    </row>
    <row r="15949" spans="1:1" ht="18.75" x14ac:dyDescent="0.25">
      <c r="A15949" s="6"/>
    </row>
    <row r="15950" spans="1:1" ht="18.75" x14ac:dyDescent="0.25">
      <c r="A15950" s="6"/>
    </row>
    <row r="15951" spans="1:1" ht="18.75" x14ac:dyDescent="0.25">
      <c r="A15951" s="6"/>
    </row>
    <row r="15952" spans="1:1" ht="18.75" x14ac:dyDescent="0.25">
      <c r="A15952" s="6"/>
    </row>
    <row r="15953" spans="1:1" ht="18.75" x14ac:dyDescent="0.25">
      <c r="A15953" s="6"/>
    </row>
    <row r="15954" spans="1:1" ht="18.75" x14ac:dyDescent="0.25">
      <c r="A15954" s="6"/>
    </row>
    <row r="15955" spans="1:1" ht="18.75" x14ac:dyDescent="0.25">
      <c r="A15955" s="6"/>
    </row>
    <row r="15956" spans="1:1" ht="18.75" x14ac:dyDescent="0.25">
      <c r="A15956" s="6"/>
    </row>
    <row r="15957" spans="1:1" ht="18.75" x14ac:dyDescent="0.25">
      <c r="A15957" s="6"/>
    </row>
    <row r="15958" spans="1:1" ht="18.75" x14ac:dyDescent="0.25">
      <c r="A15958" s="6"/>
    </row>
    <row r="15959" spans="1:1" ht="18.75" x14ac:dyDescent="0.25">
      <c r="A15959" s="6"/>
    </row>
    <row r="15960" spans="1:1" ht="18.75" x14ac:dyDescent="0.25">
      <c r="A15960" s="6"/>
    </row>
    <row r="15961" spans="1:1" ht="18.75" x14ac:dyDescent="0.25">
      <c r="A15961" s="6"/>
    </row>
    <row r="15962" spans="1:1" ht="18.75" x14ac:dyDescent="0.25">
      <c r="A15962" s="6"/>
    </row>
    <row r="15963" spans="1:1" ht="18.75" x14ac:dyDescent="0.25">
      <c r="A15963" s="6"/>
    </row>
    <row r="15964" spans="1:1" ht="18.75" x14ac:dyDescent="0.25">
      <c r="A15964" s="6"/>
    </row>
    <row r="15965" spans="1:1" ht="18.75" x14ac:dyDescent="0.25">
      <c r="A15965" s="6"/>
    </row>
    <row r="15966" spans="1:1" ht="18.75" x14ac:dyDescent="0.25">
      <c r="A15966" s="6"/>
    </row>
    <row r="15967" spans="1:1" ht="18.75" x14ac:dyDescent="0.25">
      <c r="A15967" s="6"/>
    </row>
    <row r="15968" spans="1:1" ht="18.75" x14ac:dyDescent="0.25">
      <c r="A15968" s="6"/>
    </row>
    <row r="15969" spans="1:1" ht="18.75" x14ac:dyDescent="0.25">
      <c r="A15969" s="6"/>
    </row>
    <row r="15970" spans="1:1" ht="18.75" x14ac:dyDescent="0.25">
      <c r="A15970" s="6"/>
    </row>
    <row r="15971" spans="1:1" ht="18.75" x14ac:dyDescent="0.25">
      <c r="A15971" s="6"/>
    </row>
    <row r="15972" spans="1:1" ht="18.75" x14ac:dyDescent="0.25">
      <c r="A15972" s="6"/>
    </row>
    <row r="15973" spans="1:1" ht="18.75" x14ac:dyDescent="0.25">
      <c r="A15973" s="6"/>
    </row>
    <row r="15974" spans="1:1" ht="18.75" x14ac:dyDescent="0.25">
      <c r="A15974" s="6"/>
    </row>
    <row r="15975" spans="1:1" ht="18.75" x14ac:dyDescent="0.25">
      <c r="A15975" s="6"/>
    </row>
    <row r="15976" spans="1:1" ht="18.75" x14ac:dyDescent="0.25">
      <c r="A15976" s="6"/>
    </row>
    <row r="15977" spans="1:1" ht="18.75" x14ac:dyDescent="0.25">
      <c r="A15977" s="6"/>
    </row>
    <row r="15978" spans="1:1" ht="18.75" x14ac:dyDescent="0.25">
      <c r="A15978" s="6"/>
    </row>
    <row r="15979" spans="1:1" ht="18.75" x14ac:dyDescent="0.25">
      <c r="A15979" s="6"/>
    </row>
    <row r="15980" spans="1:1" ht="18.75" x14ac:dyDescent="0.25">
      <c r="A15980" s="6"/>
    </row>
    <row r="15981" spans="1:1" ht="18.75" x14ac:dyDescent="0.25">
      <c r="A15981" s="6"/>
    </row>
    <row r="15982" spans="1:1" ht="18.75" x14ac:dyDescent="0.25">
      <c r="A15982" s="6"/>
    </row>
    <row r="15983" spans="1:1" ht="18.75" x14ac:dyDescent="0.25">
      <c r="A15983" s="6"/>
    </row>
    <row r="15984" spans="1:1" ht="18.75" x14ac:dyDescent="0.25">
      <c r="A15984" s="6"/>
    </row>
    <row r="15985" spans="1:1" ht="18.75" x14ac:dyDescent="0.25">
      <c r="A15985" s="6"/>
    </row>
    <row r="15986" spans="1:1" ht="18.75" x14ac:dyDescent="0.25">
      <c r="A15986" s="6"/>
    </row>
    <row r="15987" spans="1:1" ht="18.75" x14ac:dyDescent="0.25">
      <c r="A15987" s="6"/>
    </row>
    <row r="15988" spans="1:1" ht="18.75" x14ac:dyDescent="0.25">
      <c r="A15988" s="6"/>
    </row>
    <row r="15989" spans="1:1" ht="18.75" x14ac:dyDescent="0.25">
      <c r="A15989" s="6"/>
    </row>
    <row r="15990" spans="1:1" ht="18.75" x14ac:dyDescent="0.25">
      <c r="A15990" s="6"/>
    </row>
    <row r="15991" spans="1:1" ht="18.75" x14ac:dyDescent="0.25">
      <c r="A15991" s="6"/>
    </row>
    <row r="15992" spans="1:1" ht="18.75" x14ac:dyDescent="0.25">
      <c r="A15992" s="6"/>
    </row>
    <row r="15993" spans="1:1" ht="18.75" x14ac:dyDescent="0.25">
      <c r="A15993" s="6"/>
    </row>
    <row r="15994" spans="1:1" ht="18.75" x14ac:dyDescent="0.25">
      <c r="A15994" s="6"/>
    </row>
    <row r="15995" spans="1:1" ht="18.75" x14ac:dyDescent="0.25">
      <c r="A15995" s="6"/>
    </row>
    <row r="15996" spans="1:1" ht="18.75" x14ac:dyDescent="0.25">
      <c r="A15996" s="6"/>
    </row>
    <row r="15997" spans="1:1" ht="18.75" x14ac:dyDescent="0.25">
      <c r="A15997" s="6"/>
    </row>
    <row r="15998" spans="1:1" ht="18.75" x14ac:dyDescent="0.25">
      <c r="A15998" s="6"/>
    </row>
    <row r="15999" spans="1:1" ht="18.75" x14ac:dyDescent="0.25">
      <c r="A15999" s="6"/>
    </row>
    <row r="16000" spans="1:1" ht="18.75" x14ac:dyDescent="0.25">
      <c r="A16000" s="6"/>
    </row>
    <row r="16001" spans="1:1" ht="18.75" x14ac:dyDescent="0.25">
      <c r="A16001" s="6"/>
    </row>
    <row r="16002" spans="1:1" ht="18.75" x14ac:dyDescent="0.25">
      <c r="A16002" s="6"/>
    </row>
    <row r="16003" spans="1:1" ht="18.75" x14ac:dyDescent="0.25">
      <c r="A16003" s="6"/>
    </row>
    <row r="16004" spans="1:1" ht="18.75" x14ac:dyDescent="0.25">
      <c r="A16004" s="6"/>
    </row>
    <row r="16005" spans="1:1" ht="18.75" x14ac:dyDescent="0.25">
      <c r="A16005" s="6"/>
    </row>
    <row r="16006" spans="1:1" ht="18.75" x14ac:dyDescent="0.25">
      <c r="A16006" s="6"/>
    </row>
    <row r="16007" spans="1:1" ht="18.75" x14ac:dyDescent="0.25">
      <c r="A16007" s="6"/>
    </row>
    <row r="16008" spans="1:1" ht="18.75" x14ac:dyDescent="0.25">
      <c r="A16008" s="6"/>
    </row>
    <row r="16009" spans="1:1" ht="18.75" x14ac:dyDescent="0.25">
      <c r="A16009" s="6"/>
    </row>
    <row r="16010" spans="1:1" ht="18.75" x14ac:dyDescent="0.25">
      <c r="A16010" s="6"/>
    </row>
    <row r="16011" spans="1:1" ht="18.75" x14ac:dyDescent="0.25">
      <c r="A16011" s="6"/>
    </row>
    <row r="16012" spans="1:1" ht="18.75" x14ac:dyDescent="0.25">
      <c r="A16012" s="6"/>
    </row>
    <row r="16013" spans="1:1" ht="18.75" x14ac:dyDescent="0.25">
      <c r="A16013" s="6"/>
    </row>
    <row r="16014" spans="1:1" ht="18.75" x14ac:dyDescent="0.25">
      <c r="A16014" s="6"/>
    </row>
    <row r="16015" spans="1:1" ht="18.75" x14ac:dyDescent="0.25">
      <c r="A16015" s="6"/>
    </row>
    <row r="16016" spans="1:1" ht="18.75" x14ac:dyDescent="0.25">
      <c r="A16016" s="6"/>
    </row>
    <row r="16017" spans="1:1" ht="18.75" x14ac:dyDescent="0.25">
      <c r="A16017" s="6"/>
    </row>
    <row r="16018" spans="1:1" ht="18.75" x14ac:dyDescent="0.25">
      <c r="A16018" s="6"/>
    </row>
    <row r="16019" spans="1:1" ht="18.75" x14ac:dyDescent="0.25">
      <c r="A16019" s="6"/>
    </row>
    <row r="16020" spans="1:1" ht="18.75" x14ac:dyDescent="0.25">
      <c r="A16020" s="6"/>
    </row>
    <row r="16021" spans="1:1" ht="18.75" x14ac:dyDescent="0.25">
      <c r="A16021" s="6"/>
    </row>
    <row r="16022" spans="1:1" ht="18.75" x14ac:dyDescent="0.25">
      <c r="A16022" s="6"/>
    </row>
    <row r="16023" spans="1:1" ht="18.75" x14ac:dyDescent="0.25">
      <c r="A16023" s="6"/>
    </row>
    <row r="16024" spans="1:1" ht="18.75" x14ac:dyDescent="0.25">
      <c r="A16024" s="6"/>
    </row>
    <row r="16025" spans="1:1" ht="18.75" x14ac:dyDescent="0.25">
      <c r="A16025" s="6"/>
    </row>
    <row r="16026" spans="1:1" ht="18.75" x14ac:dyDescent="0.25">
      <c r="A16026" s="6"/>
    </row>
    <row r="16027" spans="1:1" ht="18.75" x14ac:dyDescent="0.25">
      <c r="A16027" s="6"/>
    </row>
    <row r="16028" spans="1:1" ht="18.75" x14ac:dyDescent="0.25">
      <c r="A16028" s="6"/>
    </row>
    <row r="16029" spans="1:1" ht="18.75" x14ac:dyDescent="0.25">
      <c r="A16029" s="6"/>
    </row>
    <row r="16030" spans="1:1" ht="18.75" x14ac:dyDescent="0.25">
      <c r="A16030" s="6"/>
    </row>
    <row r="16031" spans="1:1" ht="18.75" x14ac:dyDescent="0.25">
      <c r="A16031" s="6"/>
    </row>
    <row r="16032" spans="1:1" ht="18.75" x14ac:dyDescent="0.25">
      <c r="A16032" s="6"/>
    </row>
    <row r="16033" spans="1:1" ht="18.75" x14ac:dyDescent="0.25">
      <c r="A16033" s="6"/>
    </row>
    <row r="16034" spans="1:1" ht="18.75" x14ac:dyDescent="0.25">
      <c r="A16034" s="6"/>
    </row>
    <row r="16035" spans="1:1" ht="18.75" x14ac:dyDescent="0.25">
      <c r="A16035" s="6"/>
    </row>
    <row r="16036" spans="1:1" ht="18.75" x14ac:dyDescent="0.25">
      <c r="A16036" s="6"/>
    </row>
    <row r="16037" spans="1:1" ht="18.75" x14ac:dyDescent="0.25">
      <c r="A16037" s="6"/>
    </row>
    <row r="16038" spans="1:1" ht="18.75" x14ac:dyDescent="0.25">
      <c r="A16038" s="6"/>
    </row>
    <row r="16039" spans="1:1" ht="18.75" x14ac:dyDescent="0.25">
      <c r="A16039" s="6"/>
    </row>
    <row r="16040" spans="1:1" ht="18.75" x14ac:dyDescent="0.25">
      <c r="A16040" s="6"/>
    </row>
    <row r="16041" spans="1:1" ht="18.75" x14ac:dyDescent="0.25">
      <c r="A16041" s="6"/>
    </row>
    <row r="16042" spans="1:1" ht="18.75" x14ac:dyDescent="0.25">
      <c r="A16042" s="6"/>
    </row>
    <row r="16043" spans="1:1" ht="18.75" x14ac:dyDescent="0.25">
      <c r="A16043" s="6"/>
    </row>
    <row r="16044" spans="1:1" ht="18.75" x14ac:dyDescent="0.25">
      <c r="A16044" s="6"/>
    </row>
    <row r="16045" spans="1:1" ht="18.75" x14ac:dyDescent="0.25">
      <c r="A16045" s="6"/>
    </row>
    <row r="16046" spans="1:1" ht="18.75" x14ac:dyDescent="0.25">
      <c r="A16046" s="6"/>
    </row>
    <row r="16047" spans="1:1" ht="18.75" x14ac:dyDescent="0.25">
      <c r="A16047" s="6"/>
    </row>
    <row r="16048" spans="1:1" ht="18.75" x14ac:dyDescent="0.25">
      <c r="A16048" s="6"/>
    </row>
    <row r="16049" spans="1:1" ht="18.75" x14ac:dyDescent="0.25">
      <c r="A16049" s="6"/>
    </row>
    <row r="16050" spans="1:1" ht="18.75" x14ac:dyDescent="0.25">
      <c r="A16050" s="6"/>
    </row>
    <row r="16051" spans="1:1" ht="18.75" x14ac:dyDescent="0.25">
      <c r="A16051" s="6"/>
    </row>
    <row r="16052" spans="1:1" ht="18.75" x14ac:dyDescent="0.25">
      <c r="A16052" s="6"/>
    </row>
    <row r="16053" spans="1:1" ht="18.75" x14ac:dyDescent="0.25">
      <c r="A16053" s="6"/>
    </row>
    <row r="16054" spans="1:1" ht="18.75" x14ac:dyDescent="0.25">
      <c r="A16054" s="6"/>
    </row>
    <row r="16055" spans="1:1" ht="18.75" x14ac:dyDescent="0.25">
      <c r="A16055" s="6"/>
    </row>
    <row r="16056" spans="1:1" ht="18.75" x14ac:dyDescent="0.25">
      <c r="A16056" s="6"/>
    </row>
    <row r="16057" spans="1:1" ht="18.75" x14ac:dyDescent="0.25">
      <c r="A16057" s="6"/>
    </row>
    <row r="16058" spans="1:1" ht="18.75" x14ac:dyDescent="0.25">
      <c r="A16058" s="6"/>
    </row>
    <row r="16059" spans="1:1" ht="18.75" x14ac:dyDescent="0.25">
      <c r="A16059" s="6"/>
    </row>
    <row r="16060" spans="1:1" ht="18.75" x14ac:dyDescent="0.25">
      <c r="A16060" s="6"/>
    </row>
    <row r="16061" spans="1:1" ht="18.75" x14ac:dyDescent="0.25">
      <c r="A16061" s="6"/>
    </row>
    <row r="16062" spans="1:1" ht="18.75" x14ac:dyDescent="0.25">
      <c r="A16062" s="6"/>
    </row>
    <row r="16063" spans="1:1" ht="18.75" x14ac:dyDescent="0.25">
      <c r="A16063" s="6"/>
    </row>
    <row r="16064" spans="1:1" ht="18.75" x14ac:dyDescent="0.25">
      <c r="A16064" s="6"/>
    </row>
    <row r="16065" spans="1:1" ht="18.75" x14ac:dyDescent="0.25">
      <c r="A16065" s="6"/>
    </row>
    <row r="16066" spans="1:1" ht="18.75" x14ac:dyDescent="0.25">
      <c r="A16066" s="6"/>
    </row>
    <row r="16067" spans="1:1" ht="18.75" x14ac:dyDescent="0.25">
      <c r="A16067" s="6"/>
    </row>
    <row r="16068" spans="1:1" ht="18.75" x14ac:dyDescent="0.25">
      <c r="A16068" s="6"/>
    </row>
    <row r="16069" spans="1:1" ht="18.75" x14ac:dyDescent="0.25">
      <c r="A16069" s="6"/>
    </row>
    <row r="16070" spans="1:1" ht="18.75" x14ac:dyDescent="0.25">
      <c r="A16070" s="6"/>
    </row>
    <row r="16071" spans="1:1" ht="18.75" x14ac:dyDescent="0.25">
      <c r="A16071" s="6"/>
    </row>
    <row r="16072" spans="1:1" ht="18.75" x14ac:dyDescent="0.25">
      <c r="A16072" s="6"/>
    </row>
    <row r="16073" spans="1:1" ht="18.75" x14ac:dyDescent="0.25">
      <c r="A16073" s="6"/>
    </row>
    <row r="16074" spans="1:1" ht="18.75" x14ac:dyDescent="0.25">
      <c r="A16074" s="6"/>
    </row>
    <row r="16075" spans="1:1" ht="18.75" x14ac:dyDescent="0.25">
      <c r="A16075" s="6"/>
    </row>
    <row r="16076" spans="1:1" ht="18.75" x14ac:dyDescent="0.25">
      <c r="A16076" s="6"/>
    </row>
    <row r="16077" spans="1:1" ht="18.75" x14ac:dyDescent="0.25">
      <c r="A16077" s="6"/>
    </row>
    <row r="16078" spans="1:1" ht="18.75" x14ac:dyDescent="0.25">
      <c r="A16078" s="6"/>
    </row>
    <row r="16079" spans="1:1" ht="18.75" x14ac:dyDescent="0.25">
      <c r="A16079" s="6"/>
    </row>
    <row r="16080" spans="1:1" ht="18.75" x14ac:dyDescent="0.25">
      <c r="A16080" s="6"/>
    </row>
    <row r="16081" spans="1:1" ht="18.75" x14ac:dyDescent="0.25">
      <c r="A16081" s="6"/>
    </row>
    <row r="16082" spans="1:1" ht="18.75" x14ac:dyDescent="0.25">
      <c r="A16082" s="6"/>
    </row>
    <row r="16083" spans="1:1" ht="18.75" x14ac:dyDescent="0.25">
      <c r="A16083" s="6"/>
    </row>
    <row r="16084" spans="1:1" ht="18.75" x14ac:dyDescent="0.25">
      <c r="A16084" s="6"/>
    </row>
    <row r="16085" spans="1:1" ht="18.75" x14ac:dyDescent="0.25">
      <c r="A16085" s="6"/>
    </row>
    <row r="16086" spans="1:1" ht="18.75" x14ac:dyDescent="0.25">
      <c r="A16086" s="6"/>
    </row>
    <row r="16087" spans="1:1" ht="18.75" x14ac:dyDescent="0.25">
      <c r="A16087" s="6"/>
    </row>
    <row r="16088" spans="1:1" ht="18.75" x14ac:dyDescent="0.25">
      <c r="A16088" s="6"/>
    </row>
    <row r="16089" spans="1:1" ht="18.75" x14ac:dyDescent="0.25">
      <c r="A16089" s="6"/>
    </row>
    <row r="16090" spans="1:1" ht="18.75" x14ac:dyDescent="0.25">
      <c r="A16090" s="6"/>
    </row>
    <row r="16091" spans="1:1" ht="18.75" x14ac:dyDescent="0.25">
      <c r="A16091" s="6"/>
    </row>
    <row r="16092" spans="1:1" ht="18.75" x14ac:dyDescent="0.25">
      <c r="A16092" s="6"/>
    </row>
    <row r="16093" spans="1:1" ht="18.75" x14ac:dyDescent="0.25">
      <c r="A16093" s="6"/>
    </row>
    <row r="16094" spans="1:1" ht="18.75" x14ac:dyDescent="0.25">
      <c r="A16094" s="6"/>
    </row>
    <row r="16095" spans="1:1" ht="18.75" x14ac:dyDescent="0.25">
      <c r="A16095" s="6"/>
    </row>
    <row r="16096" spans="1:1" ht="18.75" x14ac:dyDescent="0.25">
      <c r="A16096" s="6"/>
    </row>
    <row r="16097" spans="1:1" ht="18.75" x14ac:dyDescent="0.25">
      <c r="A16097" s="6"/>
    </row>
    <row r="16098" spans="1:1" ht="18.75" x14ac:dyDescent="0.25">
      <c r="A16098" s="6"/>
    </row>
    <row r="16099" spans="1:1" ht="18.75" x14ac:dyDescent="0.25">
      <c r="A16099" s="6"/>
    </row>
    <row r="16100" spans="1:1" ht="18.75" x14ac:dyDescent="0.25">
      <c r="A16100" s="6"/>
    </row>
    <row r="16101" spans="1:1" ht="18.75" x14ac:dyDescent="0.25">
      <c r="A16101" s="6"/>
    </row>
    <row r="16102" spans="1:1" ht="18.75" x14ac:dyDescent="0.25">
      <c r="A16102" s="6"/>
    </row>
    <row r="16103" spans="1:1" ht="18.75" x14ac:dyDescent="0.25">
      <c r="A16103" s="6"/>
    </row>
    <row r="16104" spans="1:1" ht="18.75" x14ac:dyDescent="0.25">
      <c r="A16104" s="6"/>
    </row>
    <row r="16105" spans="1:1" ht="18.75" x14ac:dyDescent="0.25">
      <c r="A16105" s="6"/>
    </row>
    <row r="16106" spans="1:1" ht="18.75" x14ac:dyDescent="0.25">
      <c r="A16106" s="6"/>
    </row>
    <row r="16107" spans="1:1" ht="18.75" x14ac:dyDescent="0.25">
      <c r="A16107" s="6"/>
    </row>
    <row r="16108" spans="1:1" ht="18.75" x14ac:dyDescent="0.25">
      <c r="A16108" s="6"/>
    </row>
    <row r="16109" spans="1:1" ht="18.75" x14ac:dyDescent="0.25">
      <c r="A16109" s="6"/>
    </row>
    <row r="16110" spans="1:1" ht="18.75" x14ac:dyDescent="0.25">
      <c r="A16110" s="6"/>
    </row>
    <row r="16111" spans="1:1" ht="18.75" x14ac:dyDescent="0.25">
      <c r="A16111" s="6"/>
    </row>
    <row r="16112" spans="1:1" ht="18.75" x14ac:dyDescent="0.25">
      <c r="A16112" s="6"/>
    </row>
    <row r="16113" spans="1:1" ht="18.75" x14ac:dyDescent="0.25">
      <c r="A16113" s="6"/>
    </row>
    <row r="16114" spans="1:1" ht="18.75" x14ac:dyDescent="0.25">
      <c r="A16114" s="6"/>
    </row>
    <row r="16115" spans="1:1" ht="18.75" x14ac:dyDescent="0.25">
      <c r="A16115" s="6"/>
    </row>
    <row r="16116" spans="1:1" ht="18.75" x14ac:dyDescent="0.25">
      <c r="A16116" s="6"/>
    </row>
    <row r="16117" spans="1:1" ht="18.75" x14ac:dyDescent="0.25">
      <c r="A16117" s="6"/>
    </row>
    <row r="16118" spans="1:1" ht="18.75" x14ac:dyDescent="0.25">
      <c r="A16118" s="6"/>
    </row>
    <row r="16119" spans="1:1" ht="18.75" x14ac:dyDescent="0.25">
      <c r="A16119" s="6"/>
    </row>
    <row r="16120" spans="1:1" ht="18.75" x14ac:dyDescent="0.25">
      <c r="A16120" s="6"/>
    </row>
    <row r="16121" spans="1:1" ht="18.75" x14ac:dyDescent="0.25">
      <c r="A16121" s="6"/>
    </row>
    <row r="16122" spans="1:1" ht="18.75" x14ac:dyDescent="0.25">
      <c r="A16122" s="6"/>
    </row>
    <row r="16123" spans="1:1" ht="18.75" x14ac:dyDescent="0.25">
      <c r="A16123" s="6"/>
    </row>
    <row r="16124" spans="1:1" ht="18.75" x14ac:dyDescent="0.25">
      <c r="A16124" s="6"/>
    </row>
    <row r="16125" spans="1:1" ht="18.75" x14ac:dyDescent="0.25">
      <c r="A16125" s="6"/>
    </row>
    <row r="16126" spans="1:1" ht="18.75" x14ac:dyDescent="0.25">
      <c r="A16126" s="6"/>
    </row>
    <row r="16127" spans="1:1" ht="18.75" x14ac:dyDescent="0.25">
      <c r="A16127" s="6"/>
    </row>
    <row r="16128" spans="1:1" ht="18.75" x14ac:dyDescent="0.25">
      <c r="A16128" s="6"/>
    </row>
    <row r="16129" spans="1:1" ht="18.75" x14ac:dyDescent="0.25">
      <c r="A16129" s="6"/>
    </row>
    <row r="16130" spans="1:1" ht="18.75" x14ac:dyDescent="0.25">
      <c r="A16130" s="6"/>
    </row>
    <row r="16131" spans="1:1" ht="18.75" x14ac:dyDescent="0.25">
      <c r="A16131" s="6"/>
    </row>
    <row r="16132" spans="1:1" ht="18.75" x14ac:dyDescent="0.25">
      <c r="A16132" s="6"/>
    </row>
    <row r="16133" spans="1:1" ht="18.75" x14ac:dyDescent="0.25">
      <c r="A16133" s="6"/>
    </row>
    <row r="16134" spans="1:1" ht="18.75" x14ac:dyDescent="0.25">
      <c r="A16134" s="6"/>
    </row>
    <row r="16135" spans="1:1" ht="18.75" x14ac:dyDescent="0.25">
      <c r="A16135" s="6"/>
    </row>
    <row r="16136" spans="1:1" ht="18.75" x14ac:dyDescent="0.25">
      <c r="A16136" s="6"/>
    </row>
    <row r="16137" spans="1:1" ht="18.75" x14ac:dyDescent="0.25">
      <c r="A16137" s="6"/>
    </row>
    <row r="16138" spans="1:1" ht="18.75" x14ac:dyDescent="0.25">
      <c r="A16138" s="6"/>
    </row>
    <row r="16139" spans="1:1" ht="18.75" x14ac:dyDescent="0.25">
      <c r="A16139" s="6"/>
    </row>
    <row r="16140" spans="1:1" ht="18.75" x14ac:dyDescent="0.25">
      <c r="A16140" s="6"/>
    </row>
    <row r="16141" spans="1:1" ht="18.75" x14ac:dyDescent="0.25">
      <c r="A16141" s="6"/>
    </row>
    <row r="16142" spans="1:1" ht="18.75" x14ac:dyDescent="0.25">
      <c r="A16142" s="6"/>
    </row>
    <row r="16143" spans="1:1" ht="18.75" x14ac:dyDescent="0.25">
      <c r="A16143" s="6"/>
    </row>
    <row r="16144" spans="1:1" ht="18.75" x14ac:dyDescent="0.25">
      <c r="A16144" s="6"/>
    </row>
    <row r="16145" spans="1:1" ht="18.75" x14ac:dyDescent="0.25">
      <c r="A16145" s="6"/>
    </row>
    <row r="16146" spans="1:1" ht="18.75" x14ac:dyDescent="0.25">
      <c r="A16146" s="6"/>
    </row>
    <row r="16147" spans="1:1" ht="18.75" x14ac:dyDescent="0.25">
      <c r="A16147" s="6"/>
    </row>
    <row r="16148" spans="1:1" ht="18.75" x14ac:dyDescent="0.25">
      <c r="A16148" s="6"/>
    </row>
    <row r="16149" spans="1:1" ht="18.75" x14ac:dyDescent="0.25">
      <c r="A16149" s="6"/>
    </row>
    <row r="16150" spans="1:1" ht="18.75" x14ac:dyDescent="0.25">
      <c r="A16150" s="6"/>
    </row>
    <row r="16151" spans="1:1" ht="18.75" x14ac:dyDescent="0.25">
      <c r="A16151" s="6"/>
    </row>
    <row r="16152" spans="1:1" ht="18.75" x14ac:dyDescent="0.25">
      <c r="A16152" s="6"/>
    </row>
    <row r="16153" spans="1:1" ht="18.75" x14ac:dyDescent="0.25">
      <c r="A16153" s="6"/>
    </row>
    <row r="16154" spans="1:1" ht="18.75" x14ac:dyDescent="0.25">
      <c r="A16154" s="6"/>
    </row>
    <row r="16155" spans="1:1" ht="18.75" x14ac:dyDescent="0.25">
      <c r="A16155" s="6"/>
    </row>
    <row r="16156" spans="1:1" ht="18.75" x14ac:dyDescent="0.25">
      <c r="A16156" s="6"/>
    </row>
    <row r="16157" spans="1:1" ht="18.75" x14ac:dyDescent="0.25">
      <c r="A16157" s="6"/>
    </row>
    <row r="16158" spans="1:1" ht="18.75" x14ac:dyDescent="0.25">
      <c r="A16158" s="6"/>
    </row>
    <row r="16159" spans="1:1" ht="18.75" x14ac:dyDescent="0.25">
      <c r="A16159" s="6"/>
    </row>
    <row r="16160" spans="1:1" ht="18.75" x14ac:dyDescent="0.25">
      <c r="A16160" s="6"/>
    </row>
    <row r="16161" spans="1:1" ht="18.75" x14ac:dyDescent="0.25">
      <c r="A16161" s="6"/>
    </row>
    <row r="16162" spans="1:1" ht="18.75" x14ac:dyDescent="0.25">
      <c r="A16162" s="6"/>
    </row>
    <row r="16163" spans="1:1" ht="18.75" x14ac:dyDescent="0.25">
      <c r="A16163" s="6"/>
    </row>
    <row r="16164" spans="1:1" ht="18.75" x14ac:dyDescent="0.25">
      <c r="A16164" s="6"/>
    </row>
    <row r="16165" spans="1:1" ht="18.75" x14ac:dyDescent="0.25">
      <c r="A16165" s="6"/>
    </row>
    <row r="16166" spans="1:1" ht="18.75" x14ac:dyDescent="0.25">
      <c r="A16166" s="6"/>
    </row>
    <row r="16167" spans="1:1" ht="18.75" x14ac:dyDescent="0.25">
      <c r="A16167" s="6"/>
    </row>
    <row r="16168" spans="1:1" ht="18.75" x14ac:dyDescent="0.25">
      <c r="A16168" s="6"/>
    </row>
    <row r="16169" spans="1:1" ht="18.75" x14ac:dyDescent="0.25">
      <c r="A16169" s="6"/>
    </row>
    <row r="16170" spans="1:1" ht="18.75" x14ac:dyDescent="0.25">
      <c r="A16170" s="6"/>
    </row>
    <row r="16171" spans="1:1" ht="18.75" x14ac:dyDescent="0.25">
      <c r="A16171" s="6"/>
    </row>
    <row r="16172" spans="1:1" ht="18.75" x14ac:dyDescent="0.25">
      <c r="A16172" s="6"/>
    </row>
    <row r="16173" spans="1:1" ht="18.75" x14ac:dyDescent="0.25">
      <c r="A16173" s="6"/>
    </row>
    <row r="16174" spans="1:1" ht="18.75" x14ac:dyDescent="0.25">
      <c r="A16174" s="6"/>
    </row>
    <row r="16175" spans="1:1" ht="18.75" x14ac:dyDescent="0.25">
      <c r="A16175" s="6"/>
    </row>
    <row r="16176" spans="1:1" ht="18.75" x14ac:dyDescent="0.25">
      <c r="A16176" s="6"/>
    </row>
    <row r="16177" spans="1:1" ht="18.75" x14ac:dyDescent="0.25">
      <c r="A16177" s="6"/>
    </row>
    <row r="16178" spans="1:1" ht="18.75" x14ac:dyDescent="0.25">
      <c r="A16178" s="6"/>
    </row>
    <row r="16179" spans="1:1" ht="18.75" x14ac:dyDescent="0.25">
      <c r="A16179" s="6"/>
    </row>
    <row r="16180" spans="1:1" ht="18.75" x14ac:dyDescent="0.25">
      <c r="A16180" s="6"/>
    </row>
    <row r="16181" spans="1:1" ht="18.75" x14ac:dyDescent="0.25">
      <c r="A16181" s="6"/>
    </row>
    <row r="16182" spans="1:1" ht="18.75" x14ac:dyDescent="0.25">
      <c r="A16182" s="6"/>
    </row>
    <row r="16183" spans="1:1" ht="18.75" x14ac:dyDescent="0.25">
      <c r="A16183" s="6"/>
    </row>
    <row r="16184" spans="1:1" ht="18.75" x14ac:dyDescent="0.25">
      <c r="A16184" s="6"/>
    </row>
    <row r="16185" spans="1:1" ht="18.75" x14ac:dyDescent="0.25">
      <c r="A16185" s="6"/>
    </row>
    <row r="16186" spans="1:1" ht="18.75" x14ac:dyDescent="0.25">
      <c r="A16186" s="6"/>
    </row>
    <row r="16187" spans="1:1" ht="18.75" x14ac:dyDescent="0.25">
      <c r="A16187" s="6"/>
    </row>
    <row r="16188" spans="1:1" ht="18.75" x14ac:dyDescent="0.25">
      <c r="A16188" s="6"/>
    </row>
    <row r="16189" spans="1:1" ht="18.75" x14ac:dyDescent="0.25">
      <c r="A16189" s="6"/>
    </row>
    <row r="16190" spans="1:1" ht="18.75" x14ac:dyDescent="0.25">
      <c r="A16190" s="6"/>
    </row>
    <row r="16191" spans="1:1" ht="18.75" x14ac:dyDescent="0.25">
      <c r="A16191" s="6"/>
    </row>
    <row r="16192" spans="1:1" ht="18.75" x14ac:dyDescent="0.25">
      <c r="A16192" s="6"/>
    </row>
    <row r="16193" spans="1:1" ht="18.75" x14ac:dyDescent="0.25">
      <c r="A16193" s="6"/>
    </row>
    <row r="16194" spans="1:1" ht="18.75" x14ac:dyDescent="0.25">
      <c r="A16194" s="6"/>
    </row>
    <row r="16195" spans="1:1" ht="18.75" x14ac:dyDescent="0.25">
      <c r="A16195" s="6"/>
    </row>
    <row r="16196" spans="1:1" ht="18.75" x14ac:dyDescent="0.25">
      <c r="A16196" s="6"/>
    </row>
    <row r="16197" spans="1:1" ht="18.75" x14ac:dyDescent="0.25">
      <c r="A16197" s="6"/>
    </row>
    <row r="16198" spans="1:1" ht="18.75" x14ac:dyDescent="0.25">
      <c r="A16198" s="6"/>
    </row>
    <row r="16199" spans="1:1" ht="18.75" x14ac:dyDescent="0.25">
      <c r="A16199" s="6"/>
    </row>
    <row r="16200" spans="1:1" ht="18.75" x14ac:dyDescent="0.25">
      <c r="A16200" s="6"/>
    </row>
    <row r="16201" spans="1:1" ht="18.75" x14ac:dyDescent="0.25">
      <c r="A16201" s="6"/>
    </row>
    <row r="16202" spans="1:1" ht="18.75" x14ac:dyDescent="0.25">
      <c r="A16202" s="6"/>
    </row>
    <row r="16203" spans="1:1" ht="18.75" x14ac:dyDescent="0.25">
      <c r="A16203" s="6"/>
    </row>
    <row r="16204" spans="1:1" ht="18.75" x14ac:dyDescent="0.25">
      <c r="A16204" s="6"/>
    </row>
    <row r="16205" spans="1:1" ht="18.75" x14ac:dyDescent="0.25">
      <c r="A16205" s="6"/>
    </row>
    <row r="16206" spans="1:1" ht="18.75" x14ac:dyDescent="0.25">
      <c r="A16206" s="6"/>
    </row>
    <row r="16207" spans="1:1" ht="18.75" x14ac:dyDescent="0.25">
      <c r="A16207" s="6"/>
    </row>
    <row r="16208" spans="1:1" ht="18.75" x14ac:dyDescent="0.25">
      <c r="A16208" s="6"/>
    </row>
    <row r="16209" spans="1:1" ht="18.75" x14ac:dyDescent="0.25">
      <c r="A16209" s="6"/>
    </row>
    <row r="16210" spans="1:1" ht="18.75" x14ac:dyDescent="0.25">
      <c r="A16210" s="6"/>
    </row>
    <row r="16211" spans="1:1" ht="18.75" x14ac:dyDescent="0.25">
      <c r="A16211" s="6"/>
    </row>
    <row r="16212" spans="1:1" ht="18.75" x14ac:dyDescent="0.25">
      <c r="A16212" s="6"/>
    </row>
    <row r="16213" spans="1:1" ht="18.75" x14ac:dyDescent="0.25">
      <c r="A16213" s="6"/>
    </row>
    <row r="16214" spans="1:1" ht="18.75" x14ac:dyDescent="0.25">
      <c r="A16214" s="6"/>
    </row>
    <row r="16215" spans="1:1" ht="18.75" x14ac:dyDescent="0.25">
      <c r="A16215" s="6"/>
    </row>
    <row r="16216" spans="1:1" ht="18.75" x14ac:dyDescent="0.25">
      <c r="A16216" s="6"/>
    </row>
    <row r="16217" spans="1:1" ht="18.75" x14ac:dyDescent="0.25">
      <c r="A16217" s="6"/>
    </row>
    <row r="16218" spans="1:1" ht="18.75" x14ac:dyDescent="0.25">
      <c r="A16218" s="6"/>
    </row>
    <row r="16219" spans="1:1" ht="18.75" x14ac:dyDescent="0.25">
      <c r="A16219" s="6"/>
    </row>
    <row r="16220" spans="1:1" ht="18.75" x14ac:dyDescent="0.25">
      <c r="A16220" s="6"/>
    </row>
    <row r="16221" spans="1:1" ht="18.75" x14ac:dyDescent="0.25">
      <c r="A16221" s="6"/>
    </row>
    <row r="16222" spans="1:1" ht="18.75" x14ac:dyDescent="0.25">
      <c r="A16222" s="6"/>
    </row>
    <row r="16223" spans="1:1" ht="18.75" x14ac:dyDescent="0.25">
      <c r="A16223" s="6"/>
    </row>
    <row r="16224" spans="1:1" ht="18.75" x14ac:dyDescent="0.25">
      <c r="A16224" s="6"/>
    </row>
    <row r="16225" spans="1:1" ht="18.75" x14ac:dyDescent="0.25">
      <c r="A16225" s="6"/>
    </row>
    <row r="16226" spans="1:1" ht="18.75" x14ac:dyDescent="0.25">
      <c r="A16226" s="6"/>
    </row>
    <row r="16227" spans="1:1" ht="18.75" x14ac:dyDescent="0.25">
      <c r="A16227" s="6"/>
    </row>
    <row r="16228" spans="1:1" ht="18.75" x14ac:dyDescent="0.25">
      <c r="A16228" s="6"/>
    </row>
    <row r="16229" spans="1:1" ht="18.75" x14ac:dyDescent="0.25">
      <c r="A16229" s="6"/>
    </row>
    <row r="16230" spans="1:1" ht="18.75" x14ac:dyDescent="0.25">
      <c r="A16230" s="6"/>
    </row>
    <row r="16231" spans="1:1" ht="18.75" x14ac:dyDescent="0.25">
      <c r="A16231" s="6"/>
    </row>
    <row r="16232" spans="1:1" ht="18.75" x14ac:dyDescent="0.25">
      <c r="A16232" s="6"/>
    </row>
    <row r="16233" spans="1:1" ht="18.75" x14ac:dyDescent="0.25">
      <c r="A16233" s="6"/>
    </row>
    <row r="16234" spans="1:1" ht="18.75" x14ac:dyDescent="0.25">
      <c r="A16234" s="6"/>
    </row>
    <row r="16235" spans="1:1" ht="18.75" x14ac:dyDescent="0.25">
      <c r="A16235" s="6"/>
    </row>
    <row r="16236" spans="1:1" ht="18.75" x14ac:dyDescent="0.25">
      <c r="A16236" s="6"/>
    </row>
    <row r="16237" spans="1:1" ht="18.75" x14ac:dyDescent="0.25">
      <c r="A16237" s="6"/>
    </row>
    <row r="16238" spans="1:1" ht="18.75" x14ac:dyDescent="0.25">
      <c r="A16238" s="6"/>
    </row>
    <row r="16239" spans="1:1" ht="18.75" x14ac:dyDescent="0.25">
      <c r="A16239" s="6"/>
    </row>
    <row r="16240" spans="1:1" ht="18.75" x14ac:dyDescent="0.25">
      <c r="A16240" s="6"/>
    </row>
    <row r="16241" spans="1:1" ht="18.75" x14ac:dyDescent="0.25">
      <c r="A16241" s="6"/>
    </row>
    <row r="16242" spans="1:1" ht="18.75" x14ac:dyDescent="0.25">
      <c r="A16242" s="6"/>
    </row>
    <row r="16243" spans="1:1" ht="18.75" x14ac:dyDescent="0.25">
      <c r="A16243" s="6"/>
    </row>
    <row r="16244" spans="1:1" ht="18.75" x14ac:dyDescent="0.25">
      <c r="A16244" s="6"/>
    </row>
    <row r="16245" spans="1:1" ht="18.75" x14ac:dyDescent="0.25">
      <c r="A16245" s="6"/>
    </row>
    <row r="16246" spans="1:1" ht="18.75" x14ac:dyDescent="0.25">
      <c r="A16246" s="6"/>
    </row>
    <row r="16247" spans="1:1" ht="18.75" x14ac:dyDescent="0.25">
      <c r="A16247" s="6"/>
    </row>
    <row r="16248" spans="1:1" ht="18.75" x14ac:dyDescent="0.25">
      <c r="A16248" s="6"/>
    </row>
    <row r="16249" spans="1:1" ht="18.75" x14ac:dyDescent="0.25">
      <c r="A16249" s="6"/>
    </row>
    <row r="16250" spans="1:1" ht="18.75" x14ac:dyDescent="0.25">
      <c r="A16250" s="6"/>
    </row>
    <row r="16251" spans="1:1" ht="18.75" x14ac:dyDescent="0.25">
      <c r="A16251" s="6"/>
    </row>
    <row r="16252" spans="1:1" ht="18.75" x14ac:dyDescent="0.25">
      <c r="A16252" s="6"/>
    </row>
    <row r="16253" spans="1:1" ht="18.75" x14ac:dyDescent="0.25">
      <c r="A16253" s="6"/>
    </row>
    <row r="16254" spans="1:1" ht="18.75" x14ac:dyDescent="0.25">
      <c r="A16254" s="6"/>
    </row>
    <row r="16255" spans="1:1" ht="18.75" x14ac:dyDescent="0.25">
      <c r="A16255" s="6"/>
    </row>
    <row r="16256" spans="1:1" ht="18.75" x14ac:dyDescent="0.25">
      <c r="A16256" s="6"/>
    </row>
    <row r="16257" spans="1:1" ht="18.75" x14ac:dyDescent="0.25">
      <c r="A16257" s="6"/>
    </row>
    <row r="16258" spans="1:1" ht="18.75" x14ac:dyDescent="0.25">
      <c r="A16258" s="6"/>
    </row>
    <row r="16259" spans="1:1" ht="18.75" x14ac:dyDescent="0.25">
      <c r="A16259" s="6"/>
    </row>
    <row r="16260" spans="1:1" ht="18.75" x14ac:dyDescent="0.25">
      <c r="A16260" s="6"/>
    </row>
    <row r="16261" spans="1:1" ht="18.75" x14ac:dyDescent="0.25">
      <c r="A16261" s="6"/>
    </row>
    <row r="16262" spans="1:1" ht="18.75" x14ac:dyDescent="0.25">
      <c r="A16262" s="6"/>
    </row>
    <row r="16263" spans="1:1" ht="18.75" x14ac:dyDescent="0.25">
      <c r="A16263" s="6"/>
    </row>
    <row r="16264" spans="1:1" ht="18.75" x14ac:dyDescent="0.25">
      <c r="A16264" s="6"/>
    </row>
    <row r="16265" spans="1:1" ht="18.75" x14ac:dyDescent="0.25">
      <c r="A16265" s="6"/>
    </row>
    <row r="16266" spans="1:1" ht="18.75" x14ac:dyDescent="0.25">
      <c r="A16266" s="6"/>
    </row>
    <row r="16267" spans="1:1" ht="18.75" x14ac:dyDescent="0.25">
      <c r="A16267" s="6"/>
    </row>
    <row r="16268" spans="1:1" ht="18.75" x14ac:dyDescent="0.25">
      <c r="A16268" s="6"/>
    </row>
    <row r="16269" spans="1:1" ht="18.75" x14ac:dyDescent="0.25">
      <c r="A16269" s="6"/>
    </row>
    <row r="16270" spans="1:1" ht="18.75" x14ac:dyDescent="0.25">
      <c r="A16270" s="6"/>
    </row>
    <row r="16271" spans="1:1" ht="18.75" x14ac:dyDescent="0.25">
      <c r="A16271" s="6"/>
    </row>
    <row r="16272" spans="1:1" ht="18.75" x14ac:dyDescent="0.25">
      <c r="A16272" s="6"/>
    </row>
    <row r="16273" spans="1:1" ht="18.75" x14ac:dyDescent="0.25">
      <c r="A16273" s="6"/>
    </row>
    <row r="16274" spans="1:1" ht="18.75" x14ac:dyDescent="0.25">
      <c r="A16274" s="6"/>
    </row>
    <row r="16275" spans="1:1" ht="18.75" x14ac:dyDescent="0.25">
      <c r="A16275" s="6"/>
    </row>
    <row r="16276" spans="1:1" ht="18.75" x14ac:dyDescent="0.25">
      <c r="A16276" s="6"/>
    </row>
    <row r="16277" spans="1:1" ht="18.75" x14ac:dyDescent="0.25">
      <c r="A16277" s="6"/>
    </row>
    <row r="16278" spans="1:1" ht="18.75" x14ac:dyDescent="0.25">
      <c r="A16278" s="6"/>
    </row>
    <row r="16279" spans="1:1" ht="18.75" x14ac:dyDescent="0.25">
      <c r="A16279" s="6"/>
    </row>
    <row r="16280" spans="1:1" ht="18.75" x14ac:dyDescent="0.25">
      <c r="A16280" s="6"/>
    </row>
    <row r="16281" spans="1:1" ht="18.75" x14ac:dyDescent="0.25">
      <c r="A16281" s="6"/>
    </row>
    <row r="16282" spans="1:1" ht="18.75" x14ac:dyDescent="0.25">
      <c r="A16282" s="6"/>
    </row>
    <row r="16283" spans="1:1" ht="18.75" x14ac:dyDescent="0.25">
      <c r="A16283" s="6"/>
    </row>
    <row r="16284" spans="1:1" ht="18.75" x14ac:dyDescent="0.25">
      <c r="A16284" s="6"/>
    </row>
    <row r="16285" spans="1:1" ht="18.75" x14ac:dyDescent="0.25">
      <c r="A16285" s="6"/>
    </row>
    <row r="16286" spans="1:1" ht="18.75" x14ac:dyDescent="0.25">
      <c r="A16286" s="6"/>
    </row>
    <row r="16287" spans="1:1" ht="18.75" x14ac:dyDescent="0.25">
      <c r="A16287" s="6"/>
    </row>
    <row r="16288" spans="1:1" ht="18.75" x14ac:dyDescent="0.25">
      <c r="A16288" s="6"/>
    </row>
    <row r="16289" spans="1:1" ht="18.75" x14ac:dyDescent="0.25">
      <c r="A16289" s="6"/>
    </row>
    <row r="16290" spans="1:1" ht="18.75" x14ac:dyDescent="0.25">
      <c r="A16290" s="6"/>
    </row>
    <row r="16291" spans="1:1" ht="18.75" x14ac:dyDescent="0.25">
      <c r="A16291" s="6"/>
    </row>
    <row r="16292" spans="1:1" ht="18.75" x14ac:dyDescent="0.25">
      <c r="A16292" s="6"/>
    </row>
    <row r="16293" spans="1:1" ht="18.75" x14ac:dyDescent="0.25">
      <c r="A16293" s="6"/>
    </row>
    <row r="16294" spans="1:1" ht="18.75" x14ac:dyDescent="0.25">
      <c r="A16294" s="6"/>
    </row>
    <row r="16295" spans="1:1" ht="18.75" x14ac:dyDescent="0.25">
      <c r="A16295" s="6"/>
    </row>
    <row r="16296" spans="1:1" ht="18.75" x14ac:dyDescent="0.25">
      <c r="A16296" s="6"/>
    </row>
    <row r="16297" spans="1:1" ht="18.75" x14ac:dyDescent="0.25">
      <c r="A16297" s="6"/>
    </row>
    <row r="16298" spans="1:1" ht="18.75" x14ac:dyDescent="0.25">
      <c r="A16298" s="6"/>
    </row>
    <row r="16299" spans="1:1" ht="18.75" x14ac:dyDescent="0.25">
      <c r="A16299" s="6"/>
    </row>
    <row r="16300" spans="1:1" ht="18.75" x14ac:dyDescent="0.25">
      <c r="A16300" s="6"/>
    </row>
    <row r="16301" spans="1:1" ht="18.75" x14ac:dyDescent="0.25">
      <c r="A16301" s="6"/>
    </row>
    <row r="16302" spans="1:1" ht="18.75" x14ac:dyDescent="0.25">
      <c r="A16302" s="6"/>
    </row>
    <row r="16303" spans="1:1" ht="18.75" x14ac:dyDescent="0.25">
      <c r="A16303" s="6"/>
    </row>
    <row r="16304" spans="1:1" ht="18.75" x14ac:dyDescent="0.25">
      <c r="A16304" s="6"/>
    </row>
    <row r="16305" spans="1:1" ht="18.75" x14ac:dyDescent="0.25">
      <c r="A16305" s="6"/>
    </row>
    <row r="16306" spans="1:1" ht="18.75" x14ac:dyDescent="0.25">
      <c r="A16306" s="6"/>
    </row>
    <row r="16307" spans="1:1" ht="18.75" x14ac:dyDescent="0.25">
      <c r="A16307" s="6"/>
    </row>
    <row r="16308" spans="1:1" ht="18.75" x14ac:dyDescent="0.25">
      <c r="A16308" s="6"/>
    </row>
    <row r="16309" spans="1:1" ht="18.75" x14ac:dyDescent="0.25">
      <c r="A16309" s="6"/>
    </row>
    <row r="16310" spans="1:1" ht="18.75" x14ac:dyDescent="0.25">
      <c r="A16310" s="6"/>
    </row>
    <row r="16311" spans="1:1" ht="18.75" x14ac:dyDescent="0.25">
      <c r="A16311" s="6"/>
    </row>
    <row r="16312" spans="1:1" ht="18.75" x14ac:dyDescent="0.25">
      <c r="A16312" s="6"/>
    </row>
    <row r="16313" spans="1:1" ht="18.75" x14ac:dyDescent="0.25">
      <c r="A16313" s="6"/>
    </row>
    <row r="16314" spans="1:1" ht="18.75" x14ac:dyDescent="0.25">
      <c r="A16314" s="6"/>
    </row>
    <row r="16315" spans="1:1" ht="18.75" x14ac:dyDescent="0.25">
      <c r="A16315" s="6"/>
    </row>
    <row r="16316" spans="1:1" ht="18.75" x14ac:dyDescent="0.25">
      <c r="A16316" s="6"/>
    </row>
    <row r="16317" spans="1:1" ht="18.75" x14ac:dyDescent="0.25">
      <c r="A16317" s="6"/>
    </row>
    <row r="16318" spans="1:1" ht="18.75" x14ac:dyDescent="0.25">
      <c r="A16318" s="6"/>
    </row>
    <row r="16319" spans="1:1" ht="18.75" x14ac:dyDescent="0.25">
      <c r="A16319" s="6"/>
    </row>
    <row r="16320" spans="1:1" ht="18.75" x14ac:dyDescent="0.25">
      <c r="A16320" s="6"/>
    </row>
    <row r="16321" spans="1:1" ht="18.75" x14ac:dyDescent="0.25">
      <c r="A16321" s="6"/>
    </row>
    <row r="16322" spans="1:1" ht="18.75" x14ac:dyDescent="0.25">
      <c r="A16322" s="6"/>
    </row>
    <row r="16323" spans="1:1" ht="18.75" x14ac:dyDescent="0.25">
      <c r="A16323" s="6"/>
    </row>
    <row r="16324" spans="1:1" ht="18.75" x14ac:dyDescent="0.25">
      <c r="A16324" s="6"/>
    </row>
    <row r="16325" spans="1:1" ht="18.75" x14ac:dyDescent="0.25">
      <c r="A16325" s="6"/>
    </row>
    <row r="16326" spans="1:1" ht="18.75" x14ac:dyDescent="0.25">
      <c r="A16326" s="6"/>
    </row>
    <row r="16327" spans="1:1" ht="18.75" x14ac:dyDescent="0.25">
      <c r="A16327" s="6"/>
    </row>
    <row r="16328" spans="1:1" ht="18.75" x14ac:dyDescent="0.25">
      <c r="A16328" s="6"/>
    </row>
    <row r="16329" spans="1:1" ht="18.75" x14ac:dyDescent="0.25">
      <c r="A16329" s="6"/>
    </row>
    <row r="16330" spans="1:1" ht="18.75" x14ac:dyDescent="0.25">
      <c r="A16330" s="6"/>
    </row>
    <row r="16331" spans="1:1" ht="18.75" x14ac:dyDescent="0.25">
      <c r="A16331" s="6"/>
    </row>
    <row r="16332" spans="1:1" ht="18.75" x14ac:dyDescent="0.25">
      <c r="A16332" s="6"/>
    </row>
    <row r="16333" spans="1:1" ht="18.75" x14ac:dyDescent="0.25">
      <c r="A16333" s="6"/>
    </row>
    <row r="16334" spans="1:1" ht="18.75" x14ac:dyDescent="0.25">
      <c r="A16334" s="6"/>
    </row>
    <row r="16335" spans="1:1" ht="18.75" x14ac:dyDescent="0.25">
      <c r="A16335" s="6"/>
    </row>
    <row r="16336" spans="1:1" ht="18.75" x14ac:dyDescent="0.25">
      <c r="A16336" s="6"/>
    </row>
    <row r="16337" spans="1:1" ht="18.75" x14ac:dyDescent="0.25">
      <c r="A16337" s="6"/>
    </row>
    <row r="16338" spans="1:1" ht="18.75" x14ac:dyDescent="0.25">
      <c r="A16338" s="6"/>
    </row>
    <row r="16339" spans="1:1" ht="18.75" x14ac:dyDescent="0.25">
      <c r="A16339" s="6"/>
    </row>
    <row r="16340" spans="1:1" ht="18.75" x14ac:dyDescent="0.25">
      <c r="A16340" s="6"/>
    </row>
    <row r="16341" spans="1:1" ht="18.75" x14ac:dyDescent="0.25">
      <c r="A16341" s="6"/>
    </row>
    <row r="16342" spans="1:1" ht="18.75" x14ac:dyDescent="0.25">
      <c r="A16342" s="6"/>
    </row>
    <row r="16343" spans="1:1" ht="18.75" x14ac:dyDescent="0.25">
      <c r="A16343" s="6"/>
    </row>
    <row r="16344" spans="1:1" ht="18.75" x14ac:dyDescent="0.25">
      <c r="A16344" s="6"/>
    </row>
    <row r="16345" spans="1:1" ht="18.75" x14ac:dyDescent="0.25">
      <c r="A16345" s="6"/>
    </row>
    <row r="16346" spans="1:1" ht="18.75" x14ac:dyDescent="0.25">
      <c r="A16346" s="6"/>
    </row>
    <row r="16347" spans="1:1" ht="18.75" x14ac:dyDescent="0.25">
      <c r="A16347" s="6"/>
    </row>
    <row r="16348" spans="1:1" ht="18.75" x14ac:dyDescent="0.25">
      <c r="A16348" s="6"/>
    </row>
    <row r="16349" spans="1:1" ht="18.75" x14ac:dyDescent="0.25">
      <c r="A16349" s="6"/>
    </row>
    <row r="16350" spans="1:1" ht="18.75" x14ac:dyDescent="0.25">
      <c r="A16350" s="6"/>
    </row>
    <row r="16351" spans="1:1" ht="18.75" x14ac:dyDescent="0.25">
      <c r="A16351" s="6"/>
    </row>
    <row r="16352" spans="1:1" ht="18.75" x14ac:dyDescent="0.25">
      <c r="A16352" s="6"/>
    </row>
    <row r="16353" spans="1:1" ht="18.75" x14ac:dyDescent="0.25">
      <c r="A16353" s="6"/>
    </row>
    <row r="16354" spans="1:1" ht="18.75" x14ac:dyDescent="0.25">
      <c r="A16354" s="6"/>
    </row>
    <row r="16355" spans="1:1" ht="18.75" x14ac:dyDescent="0.25">
      <c r="A16355" s="6"/>
    </row>
    <row r="16356" spans="1:1" ht="18.75" x14ac:dyDescent="0.25">
      <c r="A16356" s="6"/>
    </row>
    <row r="16357" spans="1:1" ht="18.75" x14ac:dyDescent="0.25">
      <c r="A16357" s="6"/>
    </row>
    <row r="16358" spans="1:1" ht="18.75" x14ac:dyDescent="0.25">
      <c r="A16358" s="6"/>
    </row>
    <row r="16359" spans="1:1" ht="18.75" x14ac:dyDescent="0.25">
      <c r="A16359" s="6"/>
    </row>
    <row r="16360" spans="1:1" ht="18.75" x14ac:dyDescent="0.25">
      <c r="A16360" s="6"/>
    </row>
    <row r="16361" spans="1:1" ht="18.75" x14ac:dyDescent="0.25">
      <c r="A16361" s="6"/>
    </row>
    <row r="16362" spans="1:1" ht="18.75" x14ac:dyDescent="0.25">
      <c r="A16362" s="6"/>
    </row>
    <row r="16363" spans="1:1" ht="18.75" x14ac:dyDescent="0.25">
      <c r="A16363" s="6"/>
    </row>
    <row r="16364" spans="1:1" ht="18.75" x14ac:dyDescent="0.25">
      <c r="A16364" s="6"/>
    </row>
    <row r="16365" spans="1:1" ht="18.75" x14ac:dyDescent="0.25">
      <c r="A16365" s="6"/>
    </row>
    <row r="16366" spans="1:1" ht="18.75" x14ac:dyDescent="0.25">
      <c r="A16366" s="6"/>
    </row>
    <row r="16367" spans="1:1" ht="18.75" x14ac:dyDescent="0.25">
      <c r="A16367" s="6"/>
    </row>
    <row r="16368" spans="1:1" ht="18.75" x14ac:dyDescent="0.25">
      <c r="A16368" s="6"/>
    </row>
    <row r="16369" spans="1:1" ht="18.75" x14ac:dyDescent="0.25">
      <c r="A16369" s="6"/>
    </row>
    <row r="16370" spans="1:1" ht="18.75" x14ac:dyDescent="0.25">
      <c r="A16370" s="6"/>
    </row>
    <row r="16371" spans="1:1" ht="18.75" x14ac:dyDescent="0.25">
      <c r="A16371" s="6"/>
    </row>
    <row r="16372" spans="1:1" ht="18.75" x14ac:dyDescent="0.25">
      <c r="A16372" s="6"/>
    </row>
    <row r="16373" spans="1:1" ht="18.75" x14ac:dyDescent="0.25">
      <c r="A16373" s="6"/>
    </row>
    <row r="16374" spans="1:1" ht="18.75" x14ac:dyDescent="0.25">
      <c r="A16374" s="6"/>
    </row>
    <row r="16375" spans="1:1" ht="18.75" x14ac:dyDescent="0.25">
      <c r="A16375" s="6"/>
    </row>
    <row r="16376" spans="1:1" ht="18.75" x14ac:dyDescent="0.25">
      <c r="A16376" s="6"/>
    </row>
    <row r="16377" spans="1:1" ht="18.75" x14ac:dyDescent="0.25">
      <c r="A16377" s="6"/>
    </row>
    <row r="16378" spans="1:1" ht="18.75" x14ac:dyDescent="0.25">
      <c r="A16378" s="6"/>
    </row>
    <row r="16379" spans="1:1" ht="18.75" x14ac:dyDescent="0.25">
      <c r="A16379" s="6"/>
    </row>
    <row r="16380" spans="1:1" ht="18.75" x14ac:dyDescent="0.25">
      <c r="A16380" s="6"/>
    </row>
    <row r="16381" spans="1:1" ht="18.75" x14ac:dyDescent="0.25">
      <c r="A16381" s="6"/>
    </row>
    <row r="16382" spans="1:1" ht="18.75" x14ac:dyDescent="0.25">
      <c r="A16382" s="6"/>
    </row>
    <row r="16383" spans="1:1" ht="18.75" x14ac:dyDescent="0.25">
      <c r="A16383" s="6"/>
    </row>
    <row r="16384" spans="1:1" ht="18.75" x14ac:dyDescent="0.25">
      <c r="A16384" s="6"/>
    </row>
    <row r="16385" spans="1:1" ht="18.75" x14ac:dyDescent="0.25">
      <c r="A16385"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58A32-6733-4464-92B3-CD63598372DE}">
  <dimension ref="A1:E25"/>
  <sheetViews>
    <sheetView topLeftCell="A2" workbookViewId="0">
      <selection activeCell="C2" sqref="C2:C25"/>
    </sheetView>
  </sheetViews>
  <sheetFormatPr baseColWidth="10" defaultRowHeight="15" x14ac:dyDescent="0.25"/>
  <cols>
    <col min="2" max="2" width="22.5703125" customWidth="1"/>
  </cols>
  <sheetData>
    <row r="1" spans="1:5" ht="120.75" customHeight="1" x14ac:dyDescent="0.25">
      <c r="A1" s="3" t="s">
        <v>2</v>
      </c>
      <c r="B1" s="3" t="s">
        <v>3</v>
      </c>
      <c r="C1" s="3" t="s">
        <v>23477</v>
      </c>
      <c r="D1" s="16" t="s">
        <v>23478</v>
      </c>
      <c r="E1" s="16"/>
    </row>
    <row r="2" spans="1:5" x14ac:dyDescent="0.25">
      <c r="A2">
        <v>846</v>
      </c>
      <c r="B2" t="s">
        <v>23476</v>
      </c>
      <c r="C2">
        <v>9623</v>
      </c>
      <c r="D2" t="s">
        <v>23479</v>
      </c>
    </row>
    <row r="3" spans="1:5" x14ac:dyDescent="0.25">
      <c r="A3">
        <v>42</v>
      </c>
      <c r="B3" t="s">
        <v>18</v>
      </c>
      <c r="C3">
        <v>9430</v>
      </c>
      <c r="D3" t="s">
        <v>23479</v>
      </c>
    </row>
    <row r="4" spans="1:5" x14ac:dyDescent="0.25">
      <c r="A4">
        <v>64</v>
      </c>
      <c r="B4" t="s">
        <v>29</v>
      </c>
      <c r="C4">
        <v>9432</v>
      </c>
      <c r="D4" t="s">
        <v>23479</v>
      </c>
    </row>
    <row r="5" spans="1:5" x14ac:dyDescent="0.25">
      <c r="A5">
        <v>41</v>
      </c>
      <c r="B5" t="s">
        <v>44</v>
      </c>
      <c r="C5">
        <v>9429</v>
      </c>
      <c r="D5" t="s">
        <v>23479</v>
      </c>
    </row>
    <row r="6" spans="1:5" x14ac:dyDescent="0.25">
      <c r="A6">
        <v>518</v>
      </c>
      <c r="B6" t="s">
        <v>61</v>
      </c>
      <c r="C6">
        <v>5019</v>
      </c>
      <c r="D6" t="s">
        <v>23479</v>
      </c>
    </row>
    <row r="7" spans="1:5" x14ac:dyDescent="0.25">
      <c r="A7">
        <v>882</v>
      </c>
      <c r="B7" t="s">
        <v>101</v>
      </c>
      <c r="C7">
        <v>10785</v>
      </c>
      <c r="D7" t="s">
        <v>23479</v>
      </c>
    </row>
    <row r="8" spans="1:5" x14ac:dyDescent="0.25">
      <c r="A8">
        <v>625</v>
      </c>
      <c r="B8" t="s">
        <v>159</v>
      </c>
      <c r="C8">
        <v>6872</v>
      </c>
      <c r="D8" t="s">
        <v>23479</v>
      </c>
    </row>
    <row r="9" spans="1:5" x14ac:dyDescent="0.25">
      <c r="A9">
        <v>812</v>
      </c>
      <c r="B9" t="s">
        <v>221</v>
      </c>
      <c r="C9">
        <v>9312</v>
      </c>
      <c r="D9" t="s">
        <v>23479</v>
      </c>
    </row>
    <row r="10" spans="1:5" x14ac:dyDescent="0.25">
      <c r="A10">
        <v>208</v>
      </c>
      <c r="B10" t="s">
        <v>304</v>
      </c>
      <c r="C10">
        <v>9435</v>
      </c>
      <c r="D10" t="s">
        <v>23479</v>
      </c>
    </row>
    <row r="11" spans="1:5" x14ac:dyDescent="0.25">
      <c r="A11">
        <v>65</v>
      </c>
      <c r="B11" t="s">
        <v>442</v>
      </c>
      <c r="C11">
        <v>9433</v>
      </c>
      <c r="D11" t="s">
        <v>23479</v>
      </c>
    </row>
    <row r="12" spans="1:5" x14ac:dyDescent="0.25">
      <c r="A12">
        <v>40</v>
      </c>
      <c r="B12" t="s">
        <v>617</v>
      </c>
      <c r="C12">
        <v>9428</v>
      </c>
      <c r="D12" t="s">
        <v>23479</v>
      </c>
    </row>
    <row r="13" spans="1:5" x14ac:dyDescent="0.25">
      <c r="A13">
        <v>300</v>
      </c>
      <c r="B13" t="s">
        <v>784</v>
      </c>
      <c r="C13">
        <v>4897</v>
      </c>
      <c r="D13" t="s">
        <v>23479</v>
      </c>
    </row>
    <row r="14" spans="1:5" x14ac:dyDescent="0.25">
      <c r="A14">
        <v>478</v>
      </c>
      <c r="B14" t="s">
        <v>928</v>
      </c>
      <c r="C14">
        <v>4994</v>
      </c>
      <c r="D14" t="s">
        <v>23479</v>
      </c>
    </row>
    <row r="15" spans="1:5" x14ac:dyDescent="0.25">
      <c r="A15">
        <v>147</v>
      </c>
      <c r="B15" t="s">
        <v>1035</v>
      </c>
      <c r="C15">
        <v>8934</v>
      </c>
      <c r="D15" t="s">
        <v>23479</v>
      </c>
    </row>
    <row r="16" spans="1:5" x14ac:dyDescent="0.25">
      <c r="A16">
        <v>39</v>
      </c>
      <c r="B16" t="s">
        <v>1201</v>
      </c>
      <c r="C16">
        <v>8913</v>
      </c>
      <c r="D16" t="s">
        <v>23479</v>
      </c>
    </row>
    <row r="17" spans="1:4" x14ac:dyDescent="0.25">
      <c r="A17">
        <v>43</v>
      </c>
      <c r="B17" t="s">
        <v>1388</v>
      </c>
      <c r="C17">
        <v>9431</v>
      </c>
      <c r="D17" t="s">
        <v>23479</v>
      </c>
    </row>
    <row r="18" spans="1:4" x14ac:dyDescent="0.25">
      <c r="A18">
        <v>451</v>
      </c>
      <c r="B18" t="s">
        <v>1801</v>
      </c>
      <c r="C18">
        <v>8922</v>
      </c>
      <c r="D18" t="s">
        <v>23479</v>
      </c>
    </row>
    <row r="19" spans="1:4" x14ac:dyDescent="0.25">
      <c r="A19">
        <v>508</v>
      </c>
      <c r="B19" t="s">
        <v>2321</v>
      </c>
      <c r="C19">
        <v>5012</v>
      </c>
      <c r="D19" t="s">
        <v>23479</v>
      </c>
    </row>
    <row r="20" spans="1:4" x14ac:dyDescent="0.25">
      <c r="A20">
        <v>853</v>
      </c>
      <c r="B20" t="s">
        <v>2935</v>
      </c>
      <c r="C20">
        <v>9736</v>
      </c>
      <c r="D20" t="s">
        <v>23479</v>
      </c>
    </row>
    <row r="21" spans="1:4" x14ac:dyDescent="0.25">
      <c r="A21">
        <v>25</v>
      </c>
      <c r="B21" t="s">
        <v>4290</v>
      </c>
      <c r="C21">
        <v>9427</v>
      </c>
      <c r="D21" t="s">
        <v>23479</v>
      </c>
    </row>
    <row r="22" spans="1:4" x14ac:dyDescent="0.25">
      <c r="A22">
        <v>15</v>
      </c>
      <c r="B22" t="s">
        <v>5814</v>
      </c>
      <c r="C22">
        <v>4723</v>
      </c>
      <c r="D22" t="s">
        <v>23479</v>
      </c>
    </row>
    <row r="23" spans="1:4" x14ac:dyDescent="0.25">
      <c r="A23">
        <v>49</v>
      </c>
      <c r="B23" t="s">
        <v>8701</v>
      </c>
      <c r="C23">
        <v>8917</v>
      </c>
      <c r="D23" t="s">
        <v>23479</v>
      </c>
    </row>
    <row r="24" spans="1:4" x14ac:dyDescent="0.25">
      <c r="A24">
        <v>144</v>
      </c>
      <c r="B24" t="s">
        <v>13345</v>
      </c>
      <c r="C24">
        <v>4820</v>
      </c>
      <c r="D24" t="s">
        <v>23479</v>
      </c>
    </row>
    <row r="25" spans="1:4" x14ac:dyDescent="0.25">
      <c r="A25">
        <v>47</v>
      </c>
      <c r="B25" t="s">
        <v>16854</v>
      </c>
      <c r="C25">
        <v>5897</v>
      </c>
      <c r="D25" t="s">
        <v>23479</v>
      </c>
    </row>
  </sheetData>
  <mergeCells count="1">
    <mergeCell ref="D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061"/>
  <sheetViews>
    <sheetView tabSelected="1" workbookViewId="0">
      <pane ySplit="1" topLeftCell="A794" activePane="bottomLeft" state="frozen"/>
      <selection pane="bottomLeft" activeCell="N5" sqref="N5"/>
    </sheetView>
  </sheetViews>
  <sheetFormatPr baseColWidth="10" defaultColWidth="9.140625" defaultRowHeight="15" x14ac:dyDescent="0.25"/>
  <cols>
    <col min="1" max="1" width="10.85546875" style="1" customWidth="1"/>
    <col min="2" max="2" width="11.140625" customWidth="1"/>
    <col min="3" max="3" width="4.85546875" customWidth="1"/>
    <col min="4" max="4" width="26.85546875" customWidth="1"/>
    <col min="5" max="5" width="6.28515625" customWidth="1"/>
    <col min="6" max="6" width="22" customWidth="1"/>
    <col min="7" max="7" width="4.5703125" customWidth="1"/>
    <col min="8" max="8" width="12.140625" customWidth="1"/>
    <col min="9" max="9" width="7.140625" customWidth="1"/>
    <col min="10" max="10" width="20.7109375" customWidth="1"/>
    <col min="11" max="13" width="4.85546875" customWidth="1"/>
    <col min="14" max="14" width="26.42578125" customWidth="1"/>
    <col min="15" max="15" width="7.85546875" customWidth="1"/>
    <col min="16" max="16" width="49.5703125" style="2" customWidth="1"/>
    <col min="17" max="17" width="44.140625" customWidth="1"/>
    <col min="19" max="19" width="8.42578125" customWidth="1"/>
    <col min="20" max="20" width="29" customWidth="1"/>
  </cols>
  <sheetData>
    <row r="1" spans="1:20" s="4" customFormat="1" ht="140.25" customHeight="1" x14ac:dyDescent="0.25">
      <c r="A1" s="3" t="s">
        <v>0</v>
      </c>
      <c r="B1" s="3" t="s">
        <v>1</v>
      </c>
      <c r="C1" s="3" t="s">
        <v>2</v>
      </c>
      <c r="D1" s="3" t="s">
        <v>3</v>
      </c>
      <c r="E1" s="3" t="s">
        <v>23477</v>
      </c>
      <c r="F1" s="3" t="s">
        <v>23478</v>
      </c>
      <c r="G1" s="3" t="s">
        <v>4</v>
      </c>
      <c r="H1" s="3" t="s">
        <v>5</v>
      </c>
      <c r="I1" s="3" t="s">
        <v>6</v>
      </c>
      <c r="J1" s="3" t="s">
        <v>7</v>
      </c>
      <c r="K1" s="3" t="s">
        <v>8</v>
      </c>
      <c r="L1" s="3" t="s">
        <v>9</v>
      </c>
      <c r="M1" s="3" t="s">
        <v>10</v>
      </c>
      <c r="N1" s="3" t="s">
        <v>11</v>
      </c>
      <c r="O1" s="3" t="s">
        <v>12</v>
      </c>
      <c r="P1" s="3" t="s">
        <v>13</v>
      </c>
      <c r="Q1" s="3" t="s">
        <v>14</v>
      </c>
      <c r="R1" s="3" t="s">
        <v>15</v>
      </c>
      <c r="S1" s="3" t="s">
        <v>16</v>
      </c>
      <c r="T1" s="3" t="s">
        <v>17</v>
      </c>
    </row>
    <row r="2" spans="1:20" x14ac:dyDescent="0.25">
      <c r="A2" s="1" t="str">
        <f>HYPERLINK("https://vegkart.atlas.vegvesen.no/#/@-9463.2,6648921.7,18/hva:hva%5B0%5D%5Bfilter%5D%5B0%5D%5Boperator%5D=%21%3D&amp;hva%5B0%5D%5Bfilter%5D%5B0%5D%5Btype_id%5D=9430&amp;hva%5B0%5D%5Bfilter%5D%5B0%5D%5Bverdi%5D=&amp;hva%5B0%5D%5Bid%5D=42/når:2022-03-05", "Vegkart")</f>
        <v>Vegkart</v>
      </c>
      <c r="B2">
        <v>1015101889</v>
      </c>
      <c r="C2">
        <v>42</v>
      </c>
      <c r="D2" t="s">
        <v>18</v>
      </c>
      <c r="E2">
        <v>9430</v>
      </c>
      <c r="F2" t="s">
        <v>23479</v>
      </c>
      <c r="G2">
        <v>1</v>
      </c>
      <c r="H2" t="s">
        <v>19</v>
      </c>
      <c r="J2" t="s">
        <v>20</v>
      </c>
      <c r="K2" t="s">
        <v>21</v>
      </c>
      <c r="L2" t="s">
        <v>22</v>
      </c>
      <c r="M2" t="s">
        <v>23</v>
      </c>
      <c r="N2" t="s">
        <v>24</v>
      </c>
      <c r="O2" t="s">
        <v>25</v>
      </c>
      <c r="P2" s="2" t="s">
        <v>26</v>
      </c>
      <c r="Q2" t="s">
        <v>27</v>
      </c>
      <c r="R2">
        <v>36.770000000000003</v>
      </c>
      <c r="S2">
        <v>36.770000000000003</v>
      </c>
      <c r="T2" t="s">
        <v>28</v>
      </c>
    </row>
    <row r="3" spans="1:20" x14ac:dyDescent="0.25">
      <c r="A3" s="1" t="str">
        <f>HYPERLINK("https://vegkart.atlas.vegvesen.no/#/@156289.3,7035911.0,18/hva:hva%5B0%5D%5Bfilter%5D%5B0%5D%5Boperator%5D=%21%3D&amp;hva%5B0%5D%5Bfilter%5D%5B0%5D%5Btype_id%5D=9432&amp;hva%5B0%5D%5Bfilter%5D%5B0%5D%5Bverdi%5D=&amp;hva%5B0%5D%5Bid%5D=64/når:2024-03-13", "Vegkart")</f>
        <v>Vegkart</v>
      </c>
      <c r="B3">
        <v>449265503</v>
      </c>
      <c r="C3">
        <v>64</v>
      </c>
      <c r="D3" t="s">
        <v>29</v>
      </c>
      <c r="E3">
        <v>9432</v>
      </c>
      <c r="F3" t="s">
        <v>23479</v>
      </c>
      <c r="G3">
        <v>3</v>
      </c>
      <c r="H3" t="s">
        <v>30</v>
      </c>
      <c r="J3" t="s">
        <v>31</v>
      </c>
      <c r="K3" t="s">
        <v>32</v>
      </c>
      <c r="L3" t="s">
        <v>33</v>
      </c>
      <c r="M3" t="s">
        <v>34</v>
      </c>
      <c r="N3" t="s">
        <v>35</v>
      </c>
      <c r="O3" t="s">
        <v>36</v>
      </c>
      <c r="P3" s="2" t="s">
        <v>37</v>
      </c>
      <c r="Q3" t="s">
        <v>38</v>
      </c>
      <c r="R3">
        <v>7.35</v>
      </c>
      <c r="S3">
        <v>44.46</v>
      </c>
      <c r="T3" t="s">
        <v>39</v>
      </c>
    </row>
    <row r="4" spans="1:20" x14ac:dyDescent="0.25">
      <c r="A4" s="1" t="str">
        <f>HYPERLINK("https://vegkart.atlas.vegvesen.no/#/@171504.6,6989686.6,18/hva:hva%5B0%5D%5Bfilter%5D%5B0%5D%5Boperator%5D=%21%3D&amp;hva%5B0%5D%5Bfilter%5D%5B0%5D%5Btype_id%5D=9432&amp;hva%5B0%5D%5Bfilter%5D%5B0%5D%5Bverdi%5D=&amp;hva%5B0%5D%5Bid%5D=64/når:2024-03-13", "Vegkart")</f>
        <v>Vegkart</v>
      </c>
      <c r="B4">
        <v>449703711</v>
      </c>
      <c r="C4">
        <v>64</v>
      </c>
      <c r="D4" t="s">
        <v>29</v>
      </c>
      <c r="E4">
        <v>9432</v>
      </c>
      <c r="F4" t="s">
        <v>23479</v>
      </c>
      <c r="G4">
        <v>3</v>
      </c>
      <c r="H4" t="s">
        <v>30</v>
      </c>
      <c r="J4" t="s">
        <v>31</v>
      </c>
      <c r="K4" t="s">
        <v>32</v>
      </c>
      <c r="L4" t="s">
        <v>33</v>
      </c>
      <c r="M4" t="s">
        <v>40</v>
      </c>
      <c r="N4" t="s">
        <v>41</v>
      </c>
      <c r="O4" t="s">
        <v>42</v>
      </c>
      <c r="P4" s="2" t="s">
        <v>37</v>
      </c>
      <c r="Q4" t="s">
        <v>38</v>
      </c>
      <c r="R4">
        <v>7.32</v>
      </c>
      <c r="S4">
        <v>44.78</v>
      </c>
      <c r="T4" t="s">
        <v>43</v>
      </c>
    </row>
    <row r="5" spans="1:20" x14ac:dyDescent="0.25">
      <c r="A5" s="1" t="str">
        <f>HYPERLINK("https://vegkart.atlas.vegvesen.no/#/@83361.3,6934574.6,18/hva:hva%5B0%5D%5Bfilter%5D%5B0%5D%5Boperator%5D=%21%3D&amp;hva%5B0%5D%5Bfilter%5D%5B0%5D%5Btype_id%5D=9429&amp;hva%5B0%5D%5Bfilter%5D%5B0%5D%5Bverdi%5D=&amp;hva%5B0%5D%5Bid%5D=41/når:2019-12-06", "Vegkart")</f>
        <v>Vegkart</v>
      </c>
      <c r="B5">
        <v>687754518</v>
      </c>
      <c r="C5">
        <v>41</v>
      </c>
      <c r="D5" t="s">
        <v>44</v>
      </c>
      <c r="E5">
        <v>9429</v>
      </c>
      <c r="F5" t="s">
        <v>23479</v>
      </c>
      <c r="G5">
        <v>2</v>
      </c>
      <c r="H5" t="s">
        <v>45</v>
      </c>
      <c r="J5" t="s">
        <v>46</v>
      </c>
      <c r="K5" t="s">
        <v>32</v>
      </c>
      <c r="L5" t="s">
        <v>33</v>
      </c>
      <c r="M5" t="s">
        <v>47</v>
      </c>
      <c r="N5" t="s">
        <v>48</v>
      </c>
      <c r="O5" t="s">
        <v>49</v>
      </c>
      <c r="P5" s="2" t="s">
        <v>26</v>
      </c>
      <c r="Q5" t="s">
        <v>50</v>
      </c>
      <c r="R5">
        <v>2.92</v>
      </c>
      <c r="S5">
        <v>2.92</v>
      </c>
      <c r="T5" t="s">
        <v>51</v>
      </c>
    </row>
    <row r="6" spans="1:20" x14ac:dyDescent="0.25">
      <c r="A6" s="1" t="str">
        <f>HYPERLINK("https://vegkart.atlas.vegvesen.no/#/@368135.3,7286998.0,18/hva:hva%5B0%5D%5Bfilter%5D%5B0%5D%5Boperator%5D=%21%3D&amp;hva%5B0%5D%5Bfilter%5D%5B0%5D%5Btype_id%5D=9429&amp;hva%5B0%5D%5Bfilter%5D%5B0%5D%5Bverdi%5D=&amp;hva%5B0%5D%5Bid%5D=41/når:2024-06-24", "Vegkart")</f>
        <v>Vegkart</v>
      </c>
      <c r="B6">
        <v>1019306012</v>
      </c>
      <c r="C6">
        <v>41</v>
      </c>
      <c r="D6" t="s">
        <v>44</v>
      </c>
      <c r="E6">
        <v>9429</v>
      </c>
      <c r="F6" t="s">
        <v>23479</v>
      </c>
      <c r="G6">
        <v>1</v>
      </c>
      <c r="H6" t="s">
        <v>52</v>
      </c>
      <c r="J6" t="s">
        <v>46</v>
      </c>
      <c r="K6" t="s">
        <v>53</v>
      </c>
      <c r="L6" t="s">
        <v>33</v>
      </c>
      <c r="M6" t="s">
        <v>54</v>
      </c>
      <c r="N6" t="s">
        <v>55</v>
      </c>
      <c r="O6" t="s">
        <v>56</v>
      </c>
      <c r="P6" s="2" t="s">
        <v>37</v>
      </c>
      <c r="Q6" t="s">
        <v>38</v>
      </c>
      <c r="R6">
        <v>0</v>
      </c>
      <c r="S6">
        <v>195.3</v>
      </c>
      <c r="T6" t="s">
        <v>57</v>
      </c>
    </row>
    <row r="7" spans="1:20" x14ac:dyDescent="0.25">
      <c r="A7" s="1" t="str">
        <f>HYPERLINK("https://vegkart.atlas.vegvesen.no/#/@368128.0,7286992.8,18/hva:hva%5B0%5D%5Bfilter%5D%5B0%5D%5Boperator%5D=%21%3D&amp;hva%5B0%5D%5Bfilter%5D%5B0%5D%5Btype_id%5D=9429&amp;hva%5B0%5D%5Bfilter%5D%5B0%5D%5Bverdi%5D=&amp;hva%5B0%5D%5Bid%5D=41/når:2024-06-24", "Vegkart")</f>
        <v>Vegkart</v>
      </c>
      <c r="B7">
        <v>1019306013</v>
      </c>
      <c r="C7">
        <v>41</v>
      </c>
      <c r="D7" t="s">
        <v>44</v>
      </c>
      <c r="E7">
        <v>9429</v>
      </c>
      <c r="F7" t="s">
        <v>23479</v>
      </c>
      <c r="G7">
        <v>1</v>
      </c>
      <c r="H7" t="s">
        <v>52</v>
      </c>
      <c r="J7" t="s">
        <v>46</v>
      </c>
      <c r="K7" t="s">
        <v>53</v>
      </c>
      <c r="L7" t="s">
        <v>33</v>
      </c>
      <c r="M7" t="s">
        <v>54</v>
      </c>
      <c r="N7" t="s">
        <v>58</v>
      </c>
      <c r="O7" t="s">
        <v>59</v>
      </c>
      <c r="P7" s="2" t="s">
        <v>37</v>
      </c>
      <c r="Q7" t="s">
        <v>38</v>
      </c>
      <c r="R7">
        <v>0</v>
      </c>
      <c r="S7">
        <v>205.78</v>
      </c>
      <c r="T7" t="s">
        <v>60</v>
      </c>
    </row>
    <row r="8" spans="1:20" x14ac:dyDescent="0.25">
      <c r="A8" s="1" t="str">
        <f>HYPERLINK("https://vegkart.atlas.vegvesen.no/#/@72337.6,6821564.4,18/hva:hva%5B0%5D%5Bfilter%5D%5B0%5D%5Boperator%5D=%21%3D&amp;hva%5B0%5D%5Bfilter%5D%5B0%5D%5Btype_id%5D=5019&amp;hva%5B0%5D%5Bfilter%5D%5B0%5D%5Bverdi%5D=&amp;hva%5B0%5D%5Bid%5D=518/når:", "Vegkart")</f>
        <v>Vegkart</v>
      </c>
      <c r="B8">
        <v>79076930</v>
      </c>
      <c r="C8">
        <v>518</v>
      </c>
      <c r="D8" t="s">
        <v>61</v>
      </c>
      <c r="E8">
        <v>5019</v>
      </c>
      <c r="F8" t="s">
        <v>23479</v>
      </c>
      <c r="G8">
        <v>2</v>
      </c>
      <c r="H8" t="s">
        <v>62</v>
      </c>
      <c r="J8" t="s">
        <v>63</v>
      </c>
      <c r="K8" t="s">
        <v>21</v>
      </c>
      <c r="L8" t="s">
        <v>33</v>
      </c>
      <c r="M8" t="s">
        <v>64</v>
      </c>
      <c r="N8" t="s">
        <v>65</v>
      </c>
      <c r="O8" t="s">
        <v>66</v>
      </c>
      <c r="P8" s="2" t="s">
        <v>67</v>
      </c>
      <c r="Q8" t="s">
        <v>68</v>
      </c>
      <c r="R8">
        <v>275.58</v>
      </c>
      <c r="S8">
        <v>275.74</v>
      </c>
      <c r="T8" t="s">
        <v>69</v>
      </c>
    </row>
    <row r="9" spans="1:20" x14ac:dyDescent="0.25">
      <c r="A9" s="1" t="str">
        <f>HYPERLINK("https://vegkart.atlas.vegvesen.no/#/@101359.3,6993586.2,18/hva:hva%5B0%5D%5Bfilter%5D%5B0%5D%5Boperator%5D=%21%3D&amp;hva%5B0%5D%5Bfilter%5D%5B0%5D%5Btype_id%5D=5019&amp;hva%5B0%5D%5Bfilter%5D%5B0%5D%5Bverdi%5D=&amp;hva%5B0%5D%5Bid%5D=518/når:", "Vegkart")</f>
        <v>Vegkart</v>
      </c>
      <c r="B9">
        <v>725520181</v>
      </c>
      <c r="C9">
        <v>518</v>
      </c>
      <c r="D9" t="s">
        <v>61</v>
      </c>
      <c r="E9">
        <v>5019</v>
      </c>
      <c r="F9" t="s">
        <v>23479</v>
      </c>
      <c r="G9">
        <v>1</v>
      </c>
      <c r="H9" t="s">
        <v>70</v>
      </c>
      <c r="J9" t="s">
        <v>71</v>
      </c>
      <c r="K9" t="s">
        <v>32</v>
      </c>
      <c r="L9" t="s">
        <v>33</v>
      </c>
      <c r="M9" t="s">
        <v>72</v>
      </c>
      <c r="N9" t="s">
        <v>73</v>
      </c>
      <c r="O9" t="s">
        <v>74</v>
      </c>
      <c r="P9" s="2" t="s">
        <v>67</v>
      </c>
      <c r="Q9" t="s">
        <v>68</v>
      </c>
      <c r="R9">
        <v>31.51</v>
      </c>
      <c r="S9">
        <v>54.02</v>
      </c>
      <c r="T9" t="s">
        <v>75</v>
      </c>
    </row>
    <row r="10" spans="1:20" x14ac:dyDescent="0.25">
      <c r="A10" s="1" t="str">
        <f>HYPERLINK("https://vegkart.atlas.vegvesen.no/#/@101385.5,6993584.6,18/hva:hva%5B0%5D%5Bfilter%5D%5B0%5D%5Boperator%5D=%21%3D&amp;hva%5B0%5D%5Bfilter%5D%5B0%5D%5Btype_id%5D=5019&amp;hva%5B0%5D%5Bfilter%5D%5B0%5D%5Bverdi%5D=&amp;hva%5B0%5D%5Bid%5D=518/når:", "Vegkart")</f>
        <v>Vegkart</v>
      </c>
      <c r="B10">
        <v>725520182</v>
      </c>
      <c r="C10">
        <v>518</v>
      </c>
      <c r="D10" t="s">
        <v>61</v>
      </c>
      <c r="E10">
        <v>5019</v>
      </c>
      <c r="F10" t="s">
        <v>23479</v>
      </c>
      <c r="G10">
        <v>1</v>
      </c>
      <c r="H10" t="s">
        <v>70</v>
      </c>
      <c r="J10" t="s">
        <v>71</v>
      </c>
      <c r="K10" t="s">
        <v>32</v>
      </c>
      <c r="L10" t="s">
        <v>33</v>
      </c>
      <c r="M10" t="s">
        <v>72</v>
      </c>
      <c r="N10" t="s">
        <v>76</v>
      </c>
      <c r="O10" t="s">
        <v>77</v>
      </c>
      <c r="P10" s="2" t="s">
        <v>67</v>
      </c>
      <c r="Q10" t="s">
        <v>68</v>
      </c>
      <c r="R10">
        <v>31.4</v>
      </c>
      <c r="S10">
        <v>61.81</v>
      </c>
      <c r="T10" t="s">
        <v>78</v>
      </c>
    </row>
    <row r="11" spans="1:20" x14ac:dyDescent="0.25">
      <c r="A11" s="1" t="str">
        <f>HYPERLINK("https://vegkart.atlas.vegvesen.no/#/@-35746.8,6649600.8,18/hva:hva%5B0%5D%5Bfilter%5D%5B0%5D%5Boperator%5D=%21%3D&amp;hva%5B0%5D%5Bfilter%5D%5B0%5D%5Btype_id%5D=5019&amp;hva%5B0%5D%5Bfilter%5D%5B0%5D%5Bverdi%5D=&amp;hva%5B0%5D%5Bid%5D=518/når:", "Vegkart")</f>
        <v>Vegkart</v>
      </c>
      <c r="B11">
        <v>861508510</v>
      </c>
      <c r="C11">
        <v>518</v>
      </c>
      <c r="D11" t="s">
        <v>61</v>
      </c>
      <c r="E11">
        <v>5019</v>
      </c>
      <c r="F11" t="s">
        <v>23479</v>
      </c>
      <c r="G11">
        <v>1</v>
      </c>
      <c r="H11" t="s">
        <v>79</v>
      </c>
      <c r="J11" t="s">
        <v>71</v>
      </c>
      <c r="K11" t="s">
        <v>21</v>
      </c>
      <c r="L11" t="s">
        <v>80</v>
      </c>
      <c r="M11" t="s">
        <v>81</v>
      </c>
      <c r="N11" t="s">
        <v>82</v>
      </c>
      <c r="O11" t="s">
        <v>83</v>
      </c>
      <c r="P11" s="2" t="s">
        <v>67</v>
      </c>
      <c r="Q11" t="s">
        <v>68</v>
      </c>
      <c r="R11">
        <v>175.48</v>
      </c>
      <c r="S11">
        <v>182.16</v>
      </c>
      <c r="T11" t="s">
        <v>84</v>
      </c>
    </row>
    <row r="12" spans="1:20" x14ac:dyDescent="0.25">
      <c r="A12" s="1" t="str">
        <f>HYPERLINK("https://vegkart.atlas.vegvesen.no/#/@123907.8,6484683.7,18/hva:hva%5B0%5D%5Bfilter%5D%5B0%5D%5Boperator%5D=%21%3D&amp;hva%5B0%5D%5Bfilter%5D%5B0%5D%5Btype_id%5D=5019&amp;hva%5B0%5D%5Bfilter%5D%5B0%5D%5Bverdi%5D=&amp;hva%5B0%5D%5Bid%5D=518/når:", "Vegkart")</f>
        <v>Vegkart</v>
      </c>
      <c r="B12">
        <v>1022267102</v>
      </c>
      <c r="C12">
        <v>518</v>
      </c>
      <c r="D12" t="s">
        <v>61</v>
      </c>
      <c r="E12">
        <v>5019</v>
      </c>
      <c r="F12" t="s">
        <v>23479</v>
      </c>
      <c r="G12">
        <v>1</v>
      </c>
      <c r="H12" t="s">
        <v>85</v>
      </c>
      <c r="J12" t="s">
        <v>71</v>
      </c>
      <c r="K12" t="s">
        <v>86</v>
      </c>
      <c r="L12" t="s">
        <v>80</v>
      </c>
      <c r="M12" t="s">
        <v>53</v>
      </c>
      <c r="N12" t="s">
        <v>87</v>
      </c>
      <c r="O12" t="s">
        <v>88</v>
      </c>
      <c r="P12" s="2" t="s">
        <v>37</v>
      </c>
      <c r="Q12" t="s">
        <v>38</v>
      </c>
      <c r="R12">
        <v>0</v>
      </c>
      <c r="S12">
        <v>20.11</v>
      </c>
      <c r="T12" t="s">
        <v>89</v>
      </c>
    </row>
    <row r="13" spans="1:20" x14ac:dyDescent="0.25">
      <c r="A13" s="1" t="str">
        <f>HYPERLINK("https://vegkart.atlas.vegvesen.no/#/@123856.8,6484718.4,18/hva:hva%5B0%5D%5Bfilter%5D%5B0%5D%5Boperator%5D=%21%3D&amp;hva%5B0%5D%5Bfilter%5D%5B0%5D%5Btype_id%5D=5019&amp;hva%5B0%5D%5Bfilter%5D%5B0%5D%5Bverdi%5D=&amp;hva%5B0%5D%5Bid%5D=518/når:", "Vegkart")</f>
        <v>Vegkart</v>
      </c>
      <c r="B13">
        <v>1022267103</v>
      </c>
      <c r="C13">
        <v>518</v>
      </c>
      <c r="D13" t="s">
        <v>61</v>
      </c>
      <c r="E13">
        <v>5019</v>
      </c>
      <c r="F13" t="s">
        <v>23479</v>
      </c>
      <c r="G13">
        <v>1</v>
      </c>
      <c r="H13" t="s">
        <v>85</v>
      </c>
      <c r="J13" t="s">
        <v>71</v>
      </c>
      <c r="K13" t="s">
        <v>86</v>
      </c>
      <c r="L13" t="s">
        <v>80</v>
      </c>
      <c r="M13" t="s">
        <v>53</v>
      </c>
      <c r="N13" t="s">
        <v>90</v>
      </c>
      <c r="O13" t="s">
        <v>91</v>
      </c>
      <c r="P13" s="2" t="s">
        <v>37</v>
      </c>
      <c r="Q13" t="s">
        <v>38</v>
      </c>
      <c r="R13">
        <v>0</v>
      </c>
      <c r="S13">
        <v>18.72</v>
      </c>
      <c r="T13" t="s">
        <v>92</v>
      </c>
    </row>
    <row r="14" spans="1:20" x14ac:dyDescent="0.25">
      <c r="A14" s="1" t="str">
        <f>HYPERLINK("https://vegkart.atlas.vegvesen.no/#/@123895.5,6484695.8,18/hva:hva%5B0%5D%5Bfilter%5D%5B0%5D%5Boperator%5D=%21%3D&amp;hva%5B0%5D%5Bfilter%5D%5B0%5D%5Btype_id%5D=5019&amp;hva%5B0%5D%5Bfilter%5D%5B0%5D%5Bverdi%5D=&amp;hva%5B0%5D%5Bid%5D=518/når:", "Vegkart")</f>
        <v>Vegkart</v>
      </c>
      <c r="B14">
        <v>1022267104</v>
      </c>
      <c r="C14">
        <v>518</v>
      </c>
      <c r="D14" t="s">
        <v>61</v>
      </c>
      <c r="E14">
        <v>5019</v>
      </c>
      <c r="F14" t="s">
        <v>23479</v>
      </c>
      <c r="G14">
        <v>1</v>
      </c>
      <c r="H14" t="s">
        <v>85</v>
      </c>
      <c r="J14" t="s">
        <v>71</v>
      </c>
      <c r="K14" t="s">
        <v>86</v>
      </c>
      <c r="L14" t="s">
        <v>80</v>
      </c>
      <c r="M14" t="s">
        <v>53</v>
      </c>
      <c r="N14" t="s">
        <v>93</v>
      </c>
      <c r="O14" t="s">
        <v>94</v>
      </c>
      <c r="P14" s="2" t="s">
        <v>37</v>
      </c>
      <c r="Q14" t="s">
        <v>38</v>
      </c>
      <c r="R14">
        <v>0</v>
      </c>
      <c r="S14">
        <v>15.08</v>
      </c>
      <c r="T14" t="s">
        <v>95</v>
      </c>
    </row>
    <row r="15" spans="1:20" x14ac:dyDescent="0.25">
      <c r="A15" s="1" t="str">
        <f>HYPERLINK("https://vegkart.atlas.vegvesen.no/#/@-49663.7,6738379.8,18/hva:hva%5B0%5D%5Bfilter%5D%5B0%5D%5Boperator%5D=%21%3D&amp;hva%5B0%5D%5Bfilter%5D%5B0%5D%5Btype_id%5D=5019&amp;hva%5B0%5D%5Bfilter%5D%5B0%5D%5Bverdi%5D=&amp;hva%5B0%5D%5Bid%5D=518/når:", "Vegkart")</f>
        <v>Vegkart</v>
      </c>
      <c r="B15">
        <v>1022495880</v>
      </c>
      <c r="C15">
        <v>518</v>
      </c>
      <c r="D15" t="s">
        <v>61</v>
      </c>
      <c r="E15">
        <v>5019</v>
      </c>
      <c r="F15" t="s">
        <v>23479</v>
      </c>
      <c r="G15">
        <v>1</v>
      </c>
      <c r="H15" t="s">
        <v>96</v>
      </c>
      <c r="J15" t="s">
        <v>71</v>
      </c>
      <c r="K15" t="s">
        <v>21</v>
      </c>
      <c r="L15" t="s">
        <v>33</v>
      </c>
      <c r="M15" t="s">
        <v>97</v>
      </c>
      <c r="N15" t="s">
        <v>98</v>
      </c>
      <c r="O15" t="s">
        <v>99</v>
      </c>
      <c r="P15" s="2" t="s">
        <v>67</v>
      </c>
      <c r="Q15" t="s">
        <v>68</v>
      </c>
      <c r="R15">
        <v>69.45</v>
      </c>
      <c r="S15">
        <v>69.47</v>
      </c>
      <c r="T15" t="s">
        <v>100</v>
      </c>
    </row>
    <row r="16" spans="1:20" x14ac:dyDescent="0.25">
      <c r="A16" s="1" t="str">
        <f>HYPERLINK("https://vegkart.atlas.vegvesen.no/#/@272152.5,6582080.7,18/hva:hva%5B0%5D%5Bfilter%5D%5B0%5D%5Boperator%5D=%21%3D&amp;hva%5B0%5D%5Bfilter%5D%5B0%5D%5Btype_id%5D=10785&amp;hva%5B0%5D%5Bfilter%5D%5B0%5D%5Bverdi%5D=&amp;hva%5B0%5D%5Bid%5D=882/når:", "Vegkart")</f>
        <v>Vegkart</v>
      </c>
      <c r="B16">
        <v>981117505</v>
      </c>
      <c r="C16">
        <v>882</v>
      </c>
      <c r="D16" t="s">
        <v>101</v>
      </c>
      <c r="E16">
        <v>10785</v>
      </c>
      <c r="F16" t="s">
        <v>23479</v>
      </c>
      <c r="G16">
        <v>1</v>
      </c>
      <c r="H16" t="s">
        <v>102</v>
      </c>
      <c r="J16" t="s">
        <v>103</v>
      </c>
      <c r="K16" t="s">
        <v>104</v>
      </c>
      <c r="L16" t="s">
        <v>80</v>
      </c>
      <c r="M16" t="s">
        <v>105</v>
      </c>
      <c r="N16" t="s">
        <v>106</v>
      </c>
      <c r="O16" t="s">
        <v>107</v>
      </c>
      <c r="P16" s="2" t="s">
        <v>26</v>
      </c>
      <c r="Q16" t="s">
        <v>27</v>
      </c>
      <c r="R16">
        <v>12</v>
      </c>
      <c r="S16">
        <v>12</v>
      </c>
      <c r="T16" t="s">
        <v>108</v>
      </c>
    </row>
    <row r="17" spans="1:20" x14ac:dyDescent="0.25">
      <c r="A17" s="1" t="str">
        <f>HYPERLINK("https://vegkart.atlas.vegvesen.no/#/@272136.4,6582082.9,18/hva:hva%5B0%5D%5Bfilter%5D%5B0%5D%5Boperator%5D=%21%3D&amp;hva%5B0%5D%5Bfilter%5D%5B0%5D%5Btype_id%5D=10785&amp;hva%5B0%5D%5Bfilter%5D%5B0%5D%5Bverdi%5D=&amp;hva%5B0%5D%5Bid%5D=882/når:", "Vegkart")</f>
        <v>Vegkart</v>
      </c>
      <c r="B17">
        <v>981117512</v>
      </c>
      <c r="C17">
        <v>882</v>
      </c>
      <c r="D17" t="s">
        <v>101</v>
      </c>
      <c r="E17">
        <v>10785</v>
      </c>
      <c r="F17" t="s">
        <v>23479</v>
      </c>
      <c r="G17">
        <v>1</v>
      </c>
      <c r="H17" t="s">
        <v>102</v>
      </c>
      <c r="J17" t="s">
        <v>103</v>
      </c>
      <c r="K17" t="s">
        <v>104</v>
      </c>
      <c r="L17" t="s">
        <v>80</v>
      </c>
      <c r="M17" t="s">
        <v>105</v>
      </c>
      <c r="N17" t="s">
        <v>109</v>
      </c>
      <c r="O17" t="s">
        <v>110</v>
      </c>
      <c r="P17" s="2" t="s">
        <v>26</v>
      </c>
      <c r="Q17" t="s">
        <v>27</v>
      </c>
      <c r="R17">
        <v>13.84</v>
      </c>
      <c r="S17">
        <v>13.84</v>
      </c>
      <c r="T17" t="s">
        <v>111</v>
      </c>
    </row>
    <row r="18" spans="1:20" x14ac:dyDescent="0.25">
      <c r="A18" s="1" t="str">
        <f>HYPERLINK("https://vegkart.atlas.vegvesen.no/#/@47430.2,6802214.1,18/hva:hva%5B0%5D%5Bfilter%5D%5B0%5D%5Boperator%5D=%21%3D&amp;hva%5B0%5D%5Bfilter%5D%5B0%5D%5Btype_id%5D=10785&amp;hva%5B0%5D%5Bfilter%5D%5B0%5D%5Bverdi%5D=&amp;hva%5B0%5D%5Bid%5D=882/når:", "Vegkart")</f>
        <v>Vegkart</v>
      </c>
      <c r="B18">
        <v>1010853649</v>
      </c>
      <c r="C18">
        <v>882</v>
      </c>
      <c r="D18" t="s">
        <v>101</v>
      </c>
      <c r="E18">
        <v>10785</v>
      </c>
      <c r="F18" t="s">
        <v>23479</v>
      </c>
      <c r="G18">
        <v>1</v>
      </c>
      <c r="H18" t="s">
        <v>112</v>
      </c>
      <c r="J18" t="s">
        <v>103</v>
      </c>
      <c r="K18" t="s">
        <v>21</v>
      </c>
      <c r="L18" t="s">
        <v>113</v>
      </c>
      <c r="M18" t="s">
        <v>114</v>
      </c>
      <c r="N18" t="s">
        <v>115</v>
      </c>
      <c r="O18" t="s">
        <v>116</v>
      </c>
      <c r="P18" s="2" t="s">
        <v>26</v>
      </c>
      <c r="Q18" t="s">
        <v>27</v>
      </c>
      <c r="R18">
        <v>22.93</v>
      </c>
      <c r="S18">
        <v>22.93</v>
      </c>
      <c r="T18" t="s">
        <v>117</v>
      </c>
    </row>
    <row r="19" spans="1:20" x14ac:dyDescent="0.25">
      <c r="A19" s="1" t="str">
        <f>HYPERLINK("https://vegkart.atlas.vegvesen.no/#/@48337.9,6804937.6,18/hva:hva%5B0%5D%5Bfilter%5D%5B0%5D%5Boperator%5D=%21%3D&amp;hva%5B0%5D%5Bfilter%5D%5B0%5D%5Btype_id%5D=10785&amp;hva%5B0%5D%5Bfilter%5D%5B0%5D%5Bverdi%5D=&amp;hva%5B0%5D%5Bid%5D=882/når:", "Vegkart")</f>
        <v>Vegkart</v>
      </c>
      <c r="B19">
        <v>1010853650</v>
      </c>
      <c r="C19">
        <v>882</v>
      </c>
      <c r="D19" t="s">
        <v>101</v>
      </c>
      <c r="E19">
        <v>10785</v>
      </c>
      <c r="F19" t="s">
        <v>23479</v>
      </c>
      <c r="G19">
        <v>1</v>
      </c>
      <c r="H19" t="s">
        <v>112</v>
      </c>
      <c r="J19" t="s">
        <v>103</v>
      </c>
      <c r="K19" t="s">
        <v>21</v>
      </c>
      <c r="L19" t="s">
        <v>113</v>
      </c>
      <c r="M19" t="s">
        <v>114</v>
      </c>
      <c r="N19" t="s">
        <v>118</v>
      </c>
      <c r="O19" t="s">
        <v>119</v>
      </c>
      <c r="P19" s="2" t="s">
        <v>26</v>
      </c>
      <c r="Q19" t="s">
        <v>27</v>
      </c>
      <c r="R19">
        <v>6.53</v>
      </c>
      <c r="S19">
        <v>6.53</v>
      </c>
      <c r="T19" t="s">
        <v>120</v>
      </c>
    </row>
    <row r="20" spans="1:20" x14ac:dyDescent="0.25">
      <c r="A20" s="1" t="str">
        <f>HYPERLINK("https://vegkart.atlas.vegvesen.no/#/@47421.4,6802197.9,18/hva:hva%5B0%5D%5Bfilter%5D%5B0%5D%5Boperator%5D=%21%3D&amp;hva%5B0%5D%5Bfilter%5D%5B0%5D%5Btype_id%5D=10785&amp;hva%5B0%5D%5Bfilter%5D%5B0%5D%5Bverdi%5D=&amp;hva%5B0%5D%5Bid%5D=882/når:", "Vegkart")</f>
        <v>Vegkart</v>
      </c>
      <c r="B20">
        <v>1010853651</v>
      </c>
      <c r="C20">
        <v>882</v>
      </c>
      <c r="D20" t="s">
        <v>101</v>
      </c>
      <c r="E20">
        <v>10785</v>
      </c>
      <c r="F20" t="s">
        <v>23479</v>
      </c>
      <c r="G20">
        <v>1</v>
      </c>
      <c r="H20" t="s">
        <v>112</v>
      </c>
      <c r="J20" t="s">
        <v>103</v>
      </c>
      <c r="K20" t="s">
        <v>21</v>
      </c>
      <c r="L20" t="s">
        <v>113</v>
      </c>
      <c r="M20" t="s">
        <v>114</v>
      </c>
      <c r="N20" t="s">
        <v>121</v>
      </c>
      <c r="O20" t="s">
        <v>122</v>
      </c>
      <c r="P20" s="2" t="s">
        <v>26</v>
      </c>
      <c r="Q20" t="s">
        <v>27</v>
      </c>
      <c r="R20">
        <v>6.47</v>
      </c>
      <c r="S20">
        <v>6.47</v>
      </c>
      <c r="T20" t="s">
        <v>123</v>
      </c>
    </row>
    <row r="21" spans="1:20" x14ac:dyDescent="0.25">
      <c r="A21" s="1" t="str">
        <f>HYPERLINK("https://vegkart.atlas.vegvesen.no/#/@8144.1,6837525.7,18/hva:hva%5B0%5D%5Bfilter%5D%5B0%5D%5Boperator%5D=%21%3D&amp;hva%5B0%5D%5Bfilter%5D%5B0%5D%5Btype_id%5D=10785&amp;hva%5B0%5D%5Bfilter%5D%5B0%5D%5Bverdi%5D=&amp;hva%5B0%5D%5Bid%5D=882/når:", "Vegkart")</f>
        <v>Vegkart</v>
      </c>
      <c r="B21">
        <v>1016184662</v>
      </c>
      <c r="C21">
        <v>882</v>
      </c>
      <c r="D21" t="s">
        <v>101</v>
      </c>
      <c r="E21">
        <v>10785</v>
      </c>
      <c r="F21" t="s">
        <v>23479</v>
      </c>
      <c r="G21">
        <v>1</v>
      </c>
      <c r="H21" t="s">
        <v>124</v>
      </c>
      <c r="J21" t="s">
        <v>103</v>
      </c>
      <c r="K21" t="s">
        <v>21</v>
      </c>
      <c r="L21" t="s">
        <v>80</v>
      </c>
      <c r="M21" t="s">
        <v>81</v>
      </c>
      <c r="N21" t="s">
        <v>125</v>
      </c>
      <c r="O21" t="s">
        <v>126</v>
      </c>
      <c r="P21" s="2" t="s">
        <v>26</v>
      </c>
      <c r="Q21" t="s">
        <v>27</v>
      </c>
      <c r="R21">
        <v>67.5</v>
      </c>
      <c r="S21">
        <v>69.25</v>
      </c>
      <c r="T21" t="s">
        <v>127</v>
      </c>
    </row>
    <row r="22" spans="1:20" x14ac:dyDescent="0.25">
      <c r="A22" s="1" t="str">
        <f>HYPERLINK("https://vegkart.atlas.vegvesen.no/#/@9781.0,6840141.5,18/hva:hva%5B0%5D%5Bfilter%5D%5B0%5D%5Boperator%5D=%21%3D&amp;hva%5B0%5D%5Bfilter%5D%5B0%5D%5Btype_id%5D=10785&amp;hva%5B0%5D%5Bfilter%5D%5B0%5D%5Bverdi%5D=&amp;hva%5B0%5D%5Bid%5D=882/når:", "Vegkart")</f>
        <v>Vegkart</v>
      </c>
      <c r="B22">
        <v>1016184663</v>
      </c>
      <c r="C22">
        <v>882</v>
      </c>
      <c r="D22" t="s">
        <v>101</v>
      </c>
      <c r="E22">
        <v>10785</v>
      </c>
      <c r="F22" t="s">
        <v>23479</v>
      </c>
      <c r="G22">
        <v>1</v>
      </c>
      <c r="H22" t="s">
        <v>124</v>
      </c>
      <c r="J22" t="s">
        <v>103</v>
      </c>
      <c r="K22" t="s">
        <v>21</v>
      </c>
      <c r="L22" t="s">
        <v>80</v>
      </c>
      <c r="M22" t="s">
        <v>81</v>
      </c>
      <c r="N22" t="s">
        <v>128</v>
      </c>
      <c r="O22" t="s">
        <v>129</v>
      </c>
      <c r="P22" s="2" t="s">
        <v>26</v>
      </c>
      <c r="Q22" t="s">
        <v>27</v>
      </c>
      <c r="R22">
        <v>39.979999999999997</v>
      </c>
      <c r="S22">
        <v>40.200000000000003</v>
      </c>
      <c r="T22" t="s">
        <v>130</v>
      </c>
    </row>
    <row r="23" spans="1:20" x14ac:dyDescent="0.25">
      <c r="A23" s="1" t="str">
        <f>HYPERLINK("https://vegkart.atlas.vegvesen.no/#/@290093.2,6695005.5,18/hva:hva%5B0%5D%5Bfilter%5D%5B0%5D%5Boperator%5D=%21%3D&amp;hva%5B0%5D%5Bfilter%5D%5B0%5D%5Btype_id%5D=10785&amp;hva%5B0%5D%5Bfilter%5D%5B0%5D%5Bverdi%5D=&amp;hva%5B0%5D%5Bid%5D=882/når:", "Vegkart")</f>
        <v>Vegkart</v>
      </c>
      <c r="B23">
        <v>1016438596</v>
      </c>
      <c r="C23">
        <v>882</v>
      </c>
      <c r="D23" t="s">
        <v>101</v>
      </c>
      <c r="E23">
        <v>10785</v>
      </c>
      <c r="F23" t="s">
        <v>23479</v>
      </c>
      <c r="G23">
        <v>1</v>
      </c>
      <c r="H23" t="s">
        <v>131</v>
      </c>
      <c r="J23" t="s">
        <v>103</v>
      </c>
      <c r="K23" t="s">
        <v>132</v>
      </c>
      <c r="L23" t="s">
        <v>80</v>
      </c>
      <c r="M23" t="s">
        <v>105</v>
      </c>
      <c r="N23" t="s">
        <v>133</v>
      </c>
      <c r="O23" t="s">
        <v>134</v>
      </c>
      <c r="P23" s="2" t="s">
        <v>26</v>
      </c>
      <c r="Q23" t="s">
        <v>27</v>
      </c>
      <c r="R23">
        <v>4.03</v>
      </c>
      <c r="S23">
        <v>4.03</v>
      </c>
      <c r="T23" t="s">
        <v>135</v>
      </c>
    </row>
    <row r="24" spans="1:20" x14ac:dyDescent="0.25">
      <c r="A24" s="1" t="str">
        <f>HYPERLINK("https://vegkart.atlas.vegvesen.no/#/@232805.6,6834872.7,18/hva:hva%5B0%5D%5Bfilter%5D%5B0%5D%5Boperator%5D=%21%3D&amp;hva%5B0%5D%5Bfilter%5D%5B0%5D%5Btype_id%5D=10785&amp;hva%5B0%5D%5Bfilter%5D%5B0%5D%5Bverdi%5D=&amp;hva%5B0%5D%5Bid%5D=882/når:", "Vegkart")</f>
        <v>Vegkart</v>
      </c>
      <c r="B24">
        <v>1016438823</v>
      </c>
      <c r="C24">
        <v>882</v>
      </c>
      <c r="D24" t="s">
        <v>101</v>
      </c>
      <c r="E24">
        <v>10785</v>
      </c>
      <c r="F24" t="s">
        <v>23479</v>
      </c>
      <c r="G24">
        <v>1</v>
      </c>
      <c r="H24" t="s">
        <v>131</v>
      </c>
      <c r="J24" t="s">
        <v>103</v>
      </c>
      <c r="K24" t="s">
        <v>136</v>
      </c>
      <c r="L24" t="s">
        <v>80</v>
      </c>
      <c r="M24" t="s">
        <v>105</v>
      </c>
      <c r="N24" t="s">
        <v>137</v>
      </c>
      <c r="O24" t="s">
        <v>138</v>
      </c>
      <c r="P24" s="2" t="s">
        <v>26</v>
      </c>
      <c r="Q24" t="s">
        <v>27</v>
      </c>
      <c r="R24">
        <v>4475.38</v>
      </c>
      <c r="S24">
        <v>4475.38</v>
      </c>
      <c r="T24" t="s">
        <v>139</v>
      </c>
    </row>
    <row r="25" spans="1:20" x14ac:dyDescent="0.25">
      <c r="A25" s="1" t="str">
        <f>HYPERLINK("https://vegkart.atlas.vegvesen.no/#/@249660.8,6804146.5,18/hva:hva%5B0%5D%5Bfilter%5D%5B0%5D%5Boperator%5D=%21%3D&amp;hva%5B0%5D%5Bfilter%5D%5B0%5D%5Btype_id%5D=10785&amp;hva%5B0%5D%5Bfilter%5D%5B0%5D%5Bverdi%5D=&amp;hva%5B0%5D%5Bid%5D=882/når:", "Vegkart")</f>
        <v>Vegkart</v>
      </c>
      <c r="B25">
        <v>1016438879</v>
      </c>
      <c r="C25">
        <v>882</v>
      </c>
      <c r="D25" t="s">
        <v>101</v>
      </c>
      <c r="E25">
        <v>10785</v>
      </c>
      <c r="F25" t="s">
        <v>23479</v>
      </c>
      <c r="G25">
        <v>1</v>
      </c>
      <c r="H25" t="s">
        <v>131</v>
      </c>
      <c r="J25" t="s">
        <v>103</v>
      </c>
      <c r="K25" t="s">
        <v>136</v>
      </c>
      <c r="L25" t="s">
        <v>80</v>
      </c>
      <c r="M25" t="s">
        <v>105</v>
      </c>
      <c r="N25" t="s">
        <v>140</v>
      </c>
      <c r="O25" t="s">
        <v>141</v>
      </c>
      <c r="P25" s="2" t="s">
        <v>26</v>
      </c>
      <c r="Q25" t="s">
        <v>27</v>
      </c>
      <c r="R25">
        <v>3810.93</v>
      </c>
      <c r="S25">
        <v>3810.93</v>
      </c>
      <c r="T25" t="s">
        <v>142</v>
      </c>
    </row>
    <row r="26" spans="1:20" x14ac:dyDescent="0.25">
      <c r="A26" s="1" t="str">
        <f>HYPERLINK("https://vegkart.atlas.vegvesen.no/#/@273450.3,6649654.1,18/hva:hva%5B0%5D%5Bfilter%5D%5B0%5D%5Boperator%5D=%21%3D&amp;hva%5B0%5D%5Bfilter%5D%5B0%5D%5Btype_id%5D=10785&amp;hva%5B0%5D%5Bfilter%5D%5B0%5D%5Bverdi%5D=&amp;hva%5B0%5D%5Bid%5D=882/når:", "Vegkart")</f>
        <v>Vegkart</v>
      </c>
      <c r="B26">
        <v>1017384007</v>
      </c>
      <c r="C26">
        <v>882</v>
      </c>
      <c r="D26" t="s">
        <v>101</v>
      </c>
      <c r="E26">
        <v>10785</v>
      </c>
      <c r="F26" t="s">
        <v>23479</v>
      </c>
      <c r="G26">
        <v>1</v>
      </c>
      <c r="H26" t="s">
        <v>143</v>
      </c>
      <c r="J26" t="s">
        <v>103</v>
      </c>
      <c r="K26" t="s">
        <v>132</v>
      </c>
      <c r="L26" t="s">
        <v>33</v>
      </c>
      <c r="M26" t="s">
        <v>144</v>
      </c>
      <c r="N26" t="s">
        <v>145</v>
      </c>
      <c r="O26" t="s">
        <v>146</v>
      </c>
      <c r="P26" s="2" t="s">
        <v>26</v>
      </c>
      <c r="Q26" t="s">
        <v>27</v>
      </c>
      <c r="R26">
        <v>37.11</v>
      </c>
      <c r="S26">
        <v>37.11</v>
      </c>
      <c r="T26" t="s">
        <v>147</v>
      </c>
    </row>
    <row r="27" spans="1:20" x14ac:dyDescent="0.25">
      <c r="A27" s="1" t="str">
        <f>HYPERLINK("https://vegkart.atlas.vegvesen.no/#/@273447.8,6649949.7,18/hva:hva%5B0%5D%5Bfilter%5D%5B0%5D%5Boperator%5D=%21%3D&amp;hva%5B0%5D%5Bfilter%5D%5B0%5D%5Btype_id%5D=10785&amp;hva%5B0%5D%5Bfilter%5D%5B0%5D%5Bverdi%5D=&amp;hva%5B0%5D%5Bid%5D=882/når:", "Vegkart")</f>
        <v>Vegkart</v>
      </c>
      <c r="B27">
        <v>1017384008</v>
      </c>
      <c r="C27">
        <v>882</v>
      </c>
      <c r="D27" t="s">
        <v>101</v>
      </c>
      <c r="E27">
        <v>10785</v>
      </c>
      <c r="F27" t="s">
        <v>23479</v>
      </c>
      <c r="G27">
        <v>1</v>
      </c>
      <c r="H27" t="s">
        <v>143</v>
      </c>
      <c r="J27" t="s">
        <v>103</v>
      </c>
      <c r="K27" t="s">
        <v>132</v>
      </c>
      <c r="L27" t="s">
        <v>33</v>
      </c>
      <c r="M27" t="s">
        <v>144</v>
      </c>
      <c r="N27" t="s">
        <v>148</v>
      </c>
      <c r="O27" t="s">
        <v>149</v>
      </c>
      <c r="P27" s="2" t="s">
        <v>26</v>
      </c>
      <c r="Q27" t="s">
        <v>27</v>
      </c>
      <c r="R27">
        <v>32.83</v>
      </c>
      <c r="S27">
        <v>32.83</v>
      </c>
      <c r="T27" t="s">
        <v>150</v>
      </c>
    </row>
    <row r="28" spans="1:20" x14ac:dyDescent="0.25">
      <c r="A28" s="1" t="str">
        <f>HYPERLINK("https://vegkart.atlas.vegvesen.no/#/@13244.0,6756505.1,18/hva:hva%5B0%5D%5Bfilter%5D%5B0%5D%5Boperator%5D=%21%3D&amp;hva%5B0%5D%5Bfilter%5D%5B0%5D%5Btype_id%5D=10785&amp;hva%5B0%5D%5Bfilter%5D%5B0%5D%5Bverdi%5D=&amp;hva%5B0%5D%5Bid%5D=882/når:", "Vegkart")</f>
        <v>Vegkart</v>
      </c>
      <c r="B28">
        <v>1018093565</v>
      </c>
      <c r="C28">
        <v>882</v>
      </c>
      <c r="D28" t="s">
        <v>101</v>
      </c>
      <c r="E28">
        <v>10785</v>
      </c>
      <c r="F28" t="s">
        <v>23479</v>
      </c>
      <c r="G28">
        <v>1</v>
      </c>
      <c r="H28" t="s">
        <v>151</v>
      </c>
      <c r="J28" t="s">
        <v>103</v>
      </c>
      <c r="K28" t="s">
        <v>21</v>
      </c>
      <c r="L28" t="s">
        <v>80</v>
      </c>
      <c r="M28" t="s">
        <v>152</v>
      </c>
      <c r="N28" t="s">
        <v>153</v>
      </c>
      <c r="O28" t="s">
        <v>154</v>
      </c>
      <c r="P28" s="2" t="s">
        <v>26</v>
      </c>
      <c r="Q28" t="s">
        <v>27</v>
      </c>
      <c r="R28">
        <v>123.71</v>
      </c>
      <c r="S28">
        <v>123.84</v>
      </c>
      <c r="T28" t="s">
        <v>155</v>
      </c>
    </row>
    <row r="29" spans="1:20" x14ac:dyDescent="0.25">
      <c r="A29" s="1" t="str">
        <f>HYPERLINK("https://vegkart.atlas.vegvesen.no/#/@12857.4,6756627.7,18/hva:hva%5B0%5D%5Bfilter%5D%5B0%5D%5Boperator%5D=%21%3D&amp;hva%5B0%5D%5Bfilter%5D%5B0%5D%5Btype_id%5D=10785&amp;hva%5B0%5D%5Bfilter%5D%5B0%5D%5Bverdi%5D=&amp;hva%5B0%5D%5Bid%5D=882/når:", "Vegkart")</f>
        <v>Vegkart</v>
      </c>
      <c r="B29">
        <v>1018093566</v>
      </c>
      <c r="C29">
        <v>882</v>
      </c>
      <c r="D29" t="s">
        <v>101</v>
      </c>
      <c r="E29">
        <v>10785</v>
      </c>
      <c r="F29" t="s">
        <v>23479</v>
      </c>
      <c r="G29">
        <v>1</v>
      </c>
      <c r="H29" t="s">
        <v>151</v>
      </c>
      <c r="J29" t="s">
        <v>103</v>
      </c>
      <c r="K29" t="s">
        <v>21</v>
      </c>
      <c r="L29" t="s">
        <v>80</v>
      </c>
      <c r="M29" t="s">
        <v>152</v>
      </c>
      <c r="N29" t="s">
        <v>156</v>
      </c>
      <c r="O29" t="s">
        <v>157</v>
      </c>
      <c r="P29" s="2" t="s">
        <v>26</v>
      </c>
      <c r="Q29" t="s">
        <v>27</v>
      </c>
      <c r="R29">
        <v>645.71</v>
      </c>
      <c r="S29">
        <v>654.22</v>
      </c>
      <c r="T29" t="s">
        <v>158</v>
      </c>
    </row>
    <row r="30" spans="1:20" x14ac:dyDescent="0.25">
      <c r="A30" s="1" t="str">
        <f>HYPERLINK("https://vegkart.atlas.vegvesen.no/#/@149266.5,6972507.5,18/hva:hva%5B0%5D%5Bfilter%5D%5B0%5D%5Boperator%5D=%21%3D&amp;hva%5B0%5D%5Bfilter%5D%5B0%5D%5Btype_id%5D=6872&amp;hva%5B0%5D%5Bfilter%5D%5B0%5D%5Bverdi%5D=&amp;hva%5B0%5D%5Bid%5D=625/når:2024-07-19", "Vegkart")</f>
        <v>Vegkart</v>
      </c>
      <c r="B30">
        <v>159836113</v>
      </c>
      <c r="C30">
        <v>625</v>
      </c>
      <c r="D30" t="s">
        <v>159</v>
      </c>
      <c r="E30">
        <v>6872</v>
      </c>
      <c r="F30" t="s">
        <v>23479</v>
      </c>
      <c r="G30">
        <v>2</v>
      </c>
      <c r="H30" t="s">
        <v>160</v>
      </c>
      <c r="J30" t="s">
        <v>161</v>
      </c>
      <c r="K30" t="s">
        <v>32</v>
      </c>
      <c r="L30" t="s">
        <v>33</v>
      </c>
      <c r="M30" t="s">
        <v>162</v>
      </c>
      <c r="N30" t="s">
        <v>163</v>
      </c>
      <c r="O30" t="s">
        <v>164</v>
      </c>
      <c r="P30" s="2" t="s">
        <v>165</v>
      </c>
      <c r="Q30" t="s">
        <v>166</v>
      </c>
      <c r="R30">
        <v>25.93</v>
      </c>
      <c r="S30">
        <v>34.950000000000003</v>
      </c>
      <c r="T30" t="s">
        <v>167</v>
      </c>
    </row>
    <row r="31" spans="1:20" x14ac:dyDescent="0.25">
      <c r="A31" s="1" t="str">
        <f>HYPERLINK("https://vegkart.atlas.vegvesen.no/#/@90298.9,6962270.8,18/hva:hva%5B0%5D%5Bfilter%5D%5B0%5D%5Boperator%5D=%21%3D&amp;hva%5B0%5D%5Bfilter%5D%5B0%5D%5Btype_id%5D=6872&amp;hva%5B0%5D%5Bfilter%5D%5B0%5D%5Bverdi%5D=&amp;hva%5B0%5D%5Bid%5D=625/når:2024-07-19", "Vegkart")</f>
        <v>Vegkart</v>
      </c>
      <c r="B31">
        <v>480857520</v>
      </c>
      <c r="C31">
        <v>625</v>
      </c>
      <c r="D31" t="s">
        <v>159</v>
      </c>
      <c r="E31">
        <v>6872</v>
      </c>
      <c r="F31" t="s">
        <v>23479</v>
      </c>
      <c r="G31">
        <v>3</v>
      </c>
      <c r="H31" t="s">
        <v>160</v>
      </c>
      <c r="J31" t="s">
        <v>161</v>
      </c>
      <c r="K31" t="s">
        <v>32</v>
      </c>
      <c r="L31" t="s">
        <v>80</v>
      </c>
      <c r="M31" t="s">
        <v>81</v>
      </c>
      <c r="N31" t="s">
        <v>168</v>
      </c>
      <c r="O31" t="s">
        <v>169</v>
      </c>
      <c r="P31" s="2" t="s">
        <v>165</v>
      </c>
      <c r="Q31" t="s">
        <v>166</v>
      </c>
      <c r="R31">
        <v>5.16</v>
      </c>
      <c r="S31">
        <v>269.64999999999998</v>
      </c>
      <c r="T31" t="s">
        <v>167</v>
      </c>
    </row>
    <row r="32" spans="1:20" x14ac:dyDescent="0.25">
      <c r="A32" s="1" t="str">
        <f>HYPERLINK("https://vegkart.atlas.vegvesen.no/#/@-4413.3,6546488.8,18/hva:hva%5B0%5D%5Bfilter%5D%5B0%5D%5Boperator%5D=%21%3D&amp;hva%5B0%5D%5Bfilter%5D%5B0%5D%5Btype_id%5D=6872&amp;hva%5B0%5D%5Bfilter%5D%5B0%5D%5Bverdi%5D=&amp;hva%5B0%5D%5Bid%5D=625/når:2024-07-19", "Vegkart")</f>
        <v>Vegkart</v>
      </c>
      <c r="B32">
        <v>667792096</v>
      </c>
      <c r="C32">
        <v>625</v>
      </c>
      <c r="D32" t="s">
        <v>159</v>
      </c>
      <c r="E32">
        <v>6872</v>
      </c>
      <c r="F32" t="s">
        <v>23479</v>
      </c>
      <c r="G32">
        <v>3</v>
      </c>
      <c r="H32" t="s">
        <v>160</v>
      </c>
      <c r="J32" t="s">
        <v>161</v>
      </c>
      <c r="K32" t="s">
        <v>170</v>
      </c>
      <c r="L32" t="s">
        <v>33</v>
      </c>
      <c r="M32" t="s">
        <v>171</v>
      </c>
      <c r="N32" t="s">
        <v>172</v>
      </c>
      <c r="O32" t="s">
        <v>173</v>
      </c>
      <c r="P32" s="2" t="s">
        <v>165</v>
      </c>
      <c r="Q32" t="s">
        <v>166</v>
      </c>
      <c r="R32">
        <v>201.32</v>
      </c>
      <c r="S32">
        <v>204</v>
      </c>
      <c r="T32" t="s">
        <v>167</v>
      </c>
    </row>
    <row r="33" spans="1:20" x14ac:dyDescent="0.25">
      <c r="A33" s="1" t="str">
        <f>HYPERLINK("https://vegkart.atlas.vegvesen.no/#/@-6777.4,6501423.3,18/hva:hva%5B0%5D%5Bfilter%5D%5B0%5D%5Boperator%5D=%21%3D&amp;hva%5B0%5D%5Bfilter%5D%5B0%5D%5Btype_id%5D=6872&amp;hva%5B0%5D%5Bfilter%5D%5B0%5D%5Bverdi%5D=&amp;hva%5B0%5D%5Bid%5D=625/når:2024-07-19", "Vegkart")</f>
        <v>Vegkart</v>
      </c>
      <c r="B33">
        <v>667792097</v>
      </c>
      <c r="C33">
        <v>625</v>
      </c>
      <c r="D33" t="s">
        <v>159</v>
      </c>
      <c r="E33">
        <v>6872</v>
      </c>
      <c r="F33" t="s">
        <v>23479</v>
      </c>
      <c r="G33">
        <v>4</v>
      </c>
      <c r="H33" t="s">
        <v>160</v>
      </c>
      <c r="J33" t="s">
        <v>161</v>
      </c>
      <c r="K33" t="s">
        <v>170</v>
      </c>
      <c r="L33" t="s">
        <v>33</v>
      </c>
      <c r="M33" t="s">
        <v>174</v>
      </c>
      <c r="N33" t="s">
        <v>175</v>
      </c>
      <c r="O33" t="s">
        <v>176</v>
      </c>
      <c r="P33" s="2" t="s">
        <v>165</v>
      </c>
      <c r="Q33" t="s">
        <v>166</v>
      </c>
      <c r="R33">
        <v>119.75</v>
      </c>
      <c r="S33">
        <v>120.22</v>
      </c>
      <c r="T33" t="s">
        <v>167</v>
      </c>
    </row>
    <row r="34" spans="1:20" x14ac:dyDescent="0.25">
      <c r="A34" s="1" t="str">
        <f>HYPERLINK("https://vegkart.atlas.vegvesen.no/#/@11129.4,6508396.9,18/hva:hva%5B0%5D%5Bfilter%5D%5B0%5D%5Boperator%5D=%21%3D&amp;hva%5B0%5D%5Bfilter%5D%5B0%5D%5Btype_id%5D=6872&amp;hva%5B0%5D%5Bfilter%5D%5B0%5D%5Bverdi%5D=&amp;hva%5B0%5D%5Bid%5D=625/når:2024-07-19", "Vegkart")</f>
        <v>Vegkart</v>
      </c>
      <c r="B34">
        <v>672834897</v>
      </c>
      <c r="C34">
        <v>625</v>
      </c>
      <c r="D34" t="s">
        <v>159</v>
      </c>
      <c r="E34">
        <v>6872</v>
      </c>
      <c r="F34" t="s">
        <v>23479</v>
      </c>
      <c r="G34">
        <v>4</v>
      </c>
      <c r="H34" t="s">
        <v>160</v>
      </c>
      <c r="J34" t="s">
        <v>161</v>
      </c>
      <c r="K34" t="s">
        <v>170</v>
      </c>
      <c r="L34" t="s">
        <v>80</v>
      </c>
      <c r="M34" t="s">
        <v>81</v>
      </c>
      <c r="N34" t="s">
        <v>177</v>
      </c>
      <c r="O34" t="s">
        <v>178</v>
      </c>
      <c r="P34" s="2" t="s">
        <v>165</v>
      </c>
      <c r="Q34" t="s">
        <v>166</v>
      </c>
      <c r="R34">
        <v>22.31</v>
      </c>
      <c r="S34">
        <v>22.31</v>
      </c>
      <c r="T34" t="s">
        <v>167</v>
      </c>
    </row>
    <row r="35" spans="1:20" x14ac:dyDescent="0.25">
      <c r="A35" s="1" t="str">
        <f>HYPERLINK("https://vegkart.atlas.vegvesen.no/#/@666103.2,7715335.4,18/hva:hva%5B0%5D%5Bfilter%5D%5B0%5D%5Boperator%5D=%21%3D&amp;hva%5B0%5D%5Bfilter%5D%5B0%5D%5Btype_id%5D=6872&amp;hva%5B0%5D%5Bfilter%5D%5B0%5D%5Bverdi%5D=&amp;hva%5B0%5D%5Bid%5D=625/når:2024-07-19", "Vegkart")</f>
        <v>Vegkart</v>
      </c>
      <c r="B35">
        <v>813433056</v>
      </c>
      <c r="C35">
        <v>625</v>
      </c>
      <c r="D35" t="s">
        <v>159</v>
      </c>
      <c r="E35">
        <v>6872</v>
      </c>
      <c r="F35" t="s">
        <v>23479</v>
      </c>
      <c r="G35">
        <v>2</v>
      </c>
      <c r="H35" t="s">
        <v>160</v>
      </c>
      <c r="J35" t="s">
        <v>161</v>
      </c>
      <c r="K35" t="s">
        <v>179</v>
      </c>
      <c r="L35" t="s">
        <v>80</v>
      </c>
      <c r="M35" t="s">
        <v>180</v>
      </c>
      <c r="N35" t="s">
        <v>181</v>
      </c>
      <c r="O35" t="s">
        <v>182</v>
      </c>
      <c r="P35" s="2" t="s">
        <v>165</v>
      </c>
      <c r="Q35" t="s">
        <v>166</v>
      </c>
      <c r="R35">
        <v>4.37</v>
      </c>
      <c r="S35">
        <v>498.25</v>
      </c>
      <c r="T35" t="s">
        <v>167</v>
      </c>
    </row>
    <row r="36" spans="1:20" x14ac:dyDescent="0.25">
      <c r="A36" s="1" t="str">
        <f>HYPERLINK("https://vegkart.atlas.vegvesen.no/#/@79286.7,6894909.7,18/hva:hva%5B0%5D%5Bfilter%5D%5B0%5D%5Boperator%5D=%21%3D&amp;hva%5B0%5D%5Bfilter%5D%5B0%5D%5Btype_id%5D=6872&amp;hva%5B0%5D%5Bfilter%5D%5B0%5D%5Bverdi%5D=&amp;hva%5B0%5D%5Bid%5D=625/når:2024-07-19", "Vegkart")</f>
        <v>Vegkart</v>
      </c>
      <c r="B36">
        <v>908167241</v>
      </c>
      <c r="C36">
        <v>625</v>
      </c>
      <c r="D36" t="s">
        <v>159</v>
      </c>
      <c r="E36">
        <v>6872</v>
      </c>
      <c r="F36" t="s">
        <v>23479</v>
      </c>
      <c r="G36">
        <v>2</v>
      </c>
      <c r="H36" t="s">
        <v>160</v>
      </c>
      <c r="J36" t="s">
        <v>161</v>
      </c>
      <c r="K36" t="s">
        <v>21</v>
      </c>
      <c r="L36" t="s">
        <v>33</v>
      </c>
      <c r="M36" t="s">
        <v>183</v>
      </c>
      <c r="N36" t="s">
        <v>184</v>
      </c>
      <c r="O36" t="s">
        <v>185</v>
      </c>
      <c r="P36" s="2" t="s">
        <v>165</v>
      </c>
      <c r="Q36" t="s">
        <v>166</v>
      </c>
      <c r="R36">
        <v>5.1100000000000003</v>
      </c>
      <c r="S36">
        <v>5.1100000000000003</v>
      </c>
      <c r="T36" t="s">
        <v>167</v>
      </c>
    </row>
    <row r="37" spans="1:20" x14ac:dyDescent="0.25">
      <c r="A37" s="1" t="str">
        <f>HYPERLINK("https://vegkart.atlas.vegvesen.no/#/@53936.9,6774780.8,18/hva:hva%5B0%5D%5Bfilter%5D%5B0%5D%5Boperator%5D=%21%3D&amp;hva%5B0%5D%5Bfilter%5D%5B0%5D%5Btype_id%5D=6872&amp;hva%5B0%5D%5Bfilter%5D%5B0%5D%5Bverdi%5D=&amp;hva%5B0%5D%5Bid%5D=625/når:2024-07-19", "Vegkart")</f>
        <v>Vegkart</v>
      </c>
      <c r="B37">
        <v>1015358415</v>
      </c>
      <c r="C37">
        <v>625</v>
      </c>
      <c r="D37" t="s">
        <v>159</v>
      </c>
      <c r="E37">
        <v>6872</v>
      </c>
      <c r="F37" t="s">
        <v>23479</v>
      </c>
      <c r="G37">
        <v>2</v>
      </c>
      <c r="H37" t="s">
        <v>160</v>
      </c>
      <c r="J37" t="s">
        <v>186</v>
      </c>
      <c r="K37" t="s">
        <v>21</v>
      </c>
      <c r="L37" t="s">
        <v>80</v>
      </c>
      <c r="M37" t="s">
        <v>152</v>
      </c>
      <c r="N37" t="s">
        <v>187</v>
      </c>
      <c r="O37" t="s">
        <v>188</v>
      </c>
      <c r="P37" s="2" t="s">
        <v>165</v>
      </c>
      <c r="Q37" t="s">
        <v>166</v>
      </c>
      <c r="R37">
        <v>6.06</v>
      </c>
      <c r="S37">
        <v>504.7</v>
      </c>
      <c r="T37" t="s">
        <v>167</v>
      </c>
    </row>
    <row r="38" spans="1:20" x14ac:dyDescent="0.25">
      <c r="A38" s="1" t="str">
        <f>HYPERLINK("https://vegkart.atlas.vegvesen.no/#/@-7143.6,6511634.7,18/hva:hva%5B0%5D%5Bfilter%5D%5B0%5D%5Boperator%5D=%21%3D&amp;hva%5B0%5D%5Bfilter%5D%5B0%5D%5Btype_id%5D=6872&amp;hva%5B0%5D%5Bfilter%5D%5B0%5D%5Bverdi%5D=&amp;hva%5B0%5D%5Bid%5D=625/når:2024-07-19", "Vegkart")</f>
        <v>Vegkart</v>
      </c>
      <c r="B38">
        <v>1017595117</v>
      </c>
      <c r="C38">
        <v>625</v>
      </c>
      <c r="D38" t="s">
        <v>159</v>
      </c>
      <c r="E38">
        <v>6872</v>
      </c>
      <c r="F38" t="s">
        <v>23479</v>
      </c>
      <c r="G38">
        <v>2</v>
      </c>
      <c r="H38" t="s">
        <v>160</v>
      </c>
      <c r="J38" t="s">
        <v>186</v>
      </c>
      <c r="K38" t="s">
        <v>170</v>
      </c>
      <c r="L38" t="s">
        <v>33</v>
      </c>
      <c r="M38" t="s">
        <v>189</v>
      </c>
      <c r="N38" t="s">
        <v>190</v>
      </c>
      <c r="O38" t="s">
        <v>191</v>
      </c>
      <c r="P38" s="2" t="s">
        <v>165</v>
      </c>
      <c r="Q38" t="s">
        <v>166</v>
      </c>
      <c r="R38">
        <v>18.309999999999999</v>
      </c>
      <c r="S38">
        <v>18.309999999999999</v>
      </c>
      <c r="T38" t="s">
        <v>167</v>
      </c>
    </row>
    <row r="39" spans="1:20" x14ac:dyDescent="0.25">
      <c r="A39" s="1" t="str">
        <f>HYPERLINK("https://vegkart.atlas.vegvesen.no/#/@260814.1,7033772.3,18/hva:hva%5B0%5D%5Bfilter%5D%5B0%5D%5Boperator%5D=%21%3D&amp;hva%5B0%5D%5Bfilter%5D%5B0%5D%5Btype_id%5D=6872&amp;hva%5B0%5D%5Bfilter%5D%5B0%5D%5Bverdi%5D=&amp;hva%5B0%5D%5Bid%5D=625/når:2024-07-19", "Vegkart")</f>
        <v>Vegkart</v>
      </c>
      <c r="B39">
        <v>1017630739</v>
      </c>
      <c r="C39">
        <v>625</v>
      </c>
      <c r="D39" t="s">
        <v>159</v>
      </c>
      <c r="E39">
        <v>6872</v>
      </c>
      <c r="F39" t="s">
        <v>23479</v>
      </c>
      <c r="G39">
        <v>2</v>
      </c>
      <c r="H39" t="s">
        <v>160</v>
      </c>
      <c r="J39" t="s">
        <v>186</v>
      </c>
      <c r="K39" t="s">
        <v>192</v>
      </c>
      <c r="L39" t="s">
        <v>33</v>
      </c>
      <c r="M39" t="s">
        <v>193</v>
      </c>
      <c r="N39" t="s">
        <v>194</v>
      </c>
      <c r="O39" t="s">
        <v>195</v>
      </c>
      <c r="P39" s="2" t="s">
        <v>165</v>
      </c>
      <c r="Q39" t="s">
        <v>166</v>
      </c>
      <c r="R39">
        <v>257.26</v>
      </c>
      <c r="S39">
        <v>260.45999999999998</v>
      </c>
      <c r="T39" t="s">
        <v>167</v>
      </c>
    </row>
    <row r="40" spans="1:20" x14ac:dyDescent="0.25">
      <c r="A40" s="1" t="str">
        <f>HYPERLINK("https://vegkart.atlas.vegvesen.no/#/@126691.9,6552361.8,18/hva:hva%5B0%5D%5Bfilter%5D%5B0%5D%5Boperator%5D=%21%3D&amp;hva%5B0%5D%5Bfilter%5D%5B0%5D%5Btype_id%5D=6872&amp;hva%5B0%5D%5Bfilter%5D%5B0%5D%5Bverdi%5D=&amp;hva%5B0%5D%5Bid%5D=625/når:2024-09-19", "Vegkart")</f>
        <v>Vegkart</v>
      </c>
      <c r="B40">
        <v>1019852632</v>
      </c>
      <c r="C40">
        <v>625</v>
      </c>
      <c r="D40" t="s">
        <v>159</v>
      </c>
      <c r="E40">
        <v>6872</v>
      </c>
      <c r="F40" t="s">
        <v>23479</v>
      </c>
      <c r="G40">
        <v>1</v>
      </c>
      <c r="H40" t="s">
        <v>196</v>
      </c>
      <c r="J40" t="s">
        <v>186</v>
      </c>
      <c r="K40" t="s">
        <v>197</v>
      </c>
      <c r="L40" t="s">
        <v>113</v>
      </c>
      <c r="M40" t="s">
        <v>198</v>
      </c>
      <c r="N40" t="s">
        <v>199</v>
      </c>
      <c r="O40" t="s">
        <v>200</v>
      </c>
      <c r="P40" s="2" t="s">
        <v>67</v>
      </c>
      <c r="Q40" t="s">
        <v>68</v>
      </c>
      <c r="R40">
        <v>52.5</v>
      </c>
      <c r="S40">
        <v>52.5</v>
      </c>
      <c r="T40" t="s">
        <v>201</v>
      </c>
    </row>
    <row r="41" spans="1:20" x14ac:dyDescent="0.25">
      <c r="A41" s="1" t="str">
        <f>HYPERLINK("https://vegkart.atlas.vegvesen.no/#/@260978.2,7068393.7,18/hva:hva%5B0%5D%5Bfilter%5D%5B0%5D%5Boperator%5D=%21%3D&amp;hva%5B0%5D%5Bfilter%5D%5B0%5D%5Btype_id%5D=6872&amp;hva%5B0%5D%5Bfilter%5D%5B0%5D%5Bverdi%5D=&amp;hva%5B0%5D%5Bid%5D=625/når:2024-12-17", "Vegkart")</f>
        <v>Vegkart</v>
      </c>
      <c r="B41">
        <v>1021390404</v>
      </c>
      <c r="C41">
        <v>625</v>
      </c>
      <c r="D41" t="s">
        <v>159</v>
      </c>
      <c r="E41">
        <v>6872</v>
      </c>
      <c r="F41" t="s">
        <v>23479</v>
      </c>
      <c r="G41">
        <v>1</v>
      </c>
      <c r="H41" t="s">
        <v>202</v>
      </c>
      <c r="J41" t="s">
        <v>186</v>
      </c>
      <c r="K41" t="s">
        <v>192</v>
      </c>
      <c r="L41" t="s">
        <v>33</v>
      </c>
      <c r="M41" t="s">
        <v>203</v>
      </c>
      <c r="N41" t="s">
        <v>204</v>
      </c>
      <c r="O41" t="s">
        <v>205</v>
      </c>
      <c r="P41" s="2" t="s">
        <v>67</v>
      </c>
      <c r="Q41" t="s">
        <v>68</v>
      </c>
      <c r="R41">
        <v>16.059999999999999</v>
      </c>
      <c r="S41">
        <v>16.059999999999999</v>
      </c>
      <c r="T41" t="s">
        <v>206</v>
      </c>
    </row>
    <row r="42" spans="1:20" x14ac:dyDescent="0.25">
      <c r="A42" s="1" t="str">
        <f>HYPERLINK("https://vegkart.atlas.vegvesen.no/#/@271203.7,7126497.5,18/hva:hva%5B0%5D%5Bfilter%5D%5B0%5D%5Boperator%5D=%21%3D&amp;hva%5B0%5D%5Bfilter%5D%5B0%5D%5Btype_id%5D=6872&amp;hva%5B0%5D%5Bfilter%5D%5B0%5D%5Bverdi%5D=&amp;hva%5B0%5D%5Bid%5D=625/når:2024-12-17", "Vegkart")</f>
        <v>Vegkart</v>
      </c>
      <c r="B42">
        <v>1021390423</v>
      </c>
      <c r="C42">
        <v>625</v>
      </c>
      <c r="D42" t="s">
        <v>159</v>
      </c>
      <c r="E42">
        <v>6872</v>
      </c>
      <c r="F42" t="s">
        <v>23479</v>
      </c>
      <c r="G42">
        <v>1</v>
      </c>
      <c r="H42" t="s">
        <v>202</v>
      </c>
      <c r="J42" t="s">
        <v>186</v>
      </c>
      <c r="K42" t="s">
        <v>192</v>
      </c>
      <c r="L42" t="s">
        <v>33</v>
      </c>
      <c r="M42" t="s">
        <v>207</v>
      </c>
      <c r="N42" t="s">
        <v>208</v>
      </c>
      <c r="O42" t="s">
        <v>209</v>
      </c>
      <c r="P42" s="2" t="s">
        <v>67</v>
      </c>
      <c r="Q42" t="s">
        <v>68</v>
      </c>
      <c r="R42">
        <v>29.87</v>
      </c>
      <c r="S42">
        <v>30.57</v>
      </c>
      <c r="T42" t="s">
        <v>210</v>
      </c>
    </row>
    <row r="43" spans="1:20" x14ac:dyDescent="0.25">
      <c r="A43" s="1" t="str">
        <f>HYPERLINK("https://vegkart.atlas.vegvesen.no/#/@74528.5,6601667.3,18/hva:hva%5B0%5D%5Bfilter%5D%5B0%5D%5Boperator%5D=%21%3D&amp;hva%5B0%5D%5Bfilter%5D%5B0%5D%5Btype_id%5D=6872&amp;hva%5B0%5D%5Bfilter%5D%5B0%5D%5Bverdi%5D=&amp;hva%5B0%5D%5Bid%5D=625/når:2025-01-24", "Vegkart")</f>
        <v>Vegkart</v>
      </c>
      <c r="B43">
        <v>1022003898</v>
      </c>
      <c r="C43">
        <v>625</v>
      </c>
      <c r="D43" t="s">
        <v>159</v>
      </c>
      <c r="E43">
        <v>6872</v>
      </c>
      <c r="F43" t="s">
        <v>23479</v>
      </c>
      <c r="G43">
        <v>1</v>
      </c>
      <c r="H43" t="s">
        <v>211</v>
      </c>
      <c r="J43" t="s">
        <v>186</v>
      </c>
      <c r="K43" t="s">
        <v>86</v>
      </c>
      <c r="L43" t="s">
        <v>33</v>
      </c>
      <c r="M43" t="s">
        <v>212</v>
      </c>
      <c r="N43" t="s">
        <v>213</v>
      </c>
      <c r="O43" t="s">
        <v>214</v>
      </c>
      <c r="P43" s="2" t="s">
        <v>67</v>
      </c>
      <c r="Q43" t="s">
        <v>68</v>
      </c>
      <c r="R43">
        <v>355.78</v>
      </c>
      <c r="S43">
        <v>370.45</v>
      </c>
      <c r="T43" t="s">
        <v>215</v>
      </c>
    </row>
    <row r="44" spans="1:20" x14ac:dyDescent="0.25">
      <c r="A44" s="1" t="str">
        <f>HYPERLINK("https://vegkart.atlas.vegvesen.no/#/@114013.5,6563783.0,18/hva:hva%5B0%5D%5Bfilter%5D%5B0%5D%5Boperator%5D=%21%3D&amp;hva%5B0%5D%5Bfilter%5D%5B0%5D%5Btype_id%5D=6872&amp;hva%5B0%5D%5Bfilter%5D%5B0%5D%5Bverdi%5D=&amp;hva%5B0%5D%5Bid%5D=625/når:2025-08-19", "Vegkart")</f>
        <v>Vegkart</v>
      </c>
      <c r="B44">
        <v>1025166083</v>
      </c>
      <c r="C44">
        <v>625</v>
      </c>
      <c r="D44" t="s">
        <v>159</v>
      </c>
      <c r="E44">
        <v>6872</v>
      </c>
      <c r="F44" t="s">
        <v>23479</v>
      </c>
      <c r="G44">
        <v>1</v>
      </c>
      <c r="H44" t="s">
        <v>216</v>
      </c>
      <c r="J44" t="s">
        <v>186</v>
      </c>
      <c r="K44" t="s">
        <v>197</v>
      </c>
      <c r="L44" t="s">
        <v>33</v>
      </c>
      <c r="M44" t="s">
        <v>217</v>
      </c>
      <c r="N44" t="s">
        <v>218</v>
      </c>
      <c r="O44" t="s">
        <v>219</v>
      </c>
      <c r="P44" s="2" t="s">
        <v>67</v>
      </c>
      <c r="Q44" t="s">
        <v>68</v>
      </c>
      <c r="R44">
        <v>73.239999999999995</v>
      </c>
      <c r="S44">
        <v>73.25</v>
      </c>
      <c r="T44" t="s">
        <v>220</v>
      </c>
    </row>
    <row r="45" spans="1:20" x14ac:dyDescent="0.25">
      <c r="A45" s="1" t="str">
        <f>HYPERLINK("https://vegkart.atlas.vegvesen.no/#/@270539.1,7042048.0,18/hva:hva%5B0%5D%5Bfilter%5D%5B0%5D%5Boperator%5D=%21%3D&amp;hva%5B0%5D%5Bfilter%5D%5B0%5D%5Btype_id%5D=9312&amp;hva%5B0%5D%5Bfilter%5D%5B0%5D%5Bverdi%5D=&amp;hva%5B0%5D%5Bid%5D=812/når:2017-01-12", "Vegkart")</f>
        <v>Vegkart</v>
      </c>
      <c r="B45">
        <v>760869135</v>
      </c>
      <c r="C45">
        <v>812</v>
      </c>
      <c r="D45" t="s">
        <v>221</v>
      </c>
      <c r="E45">
        <v>9312</v>
      </c>
      <c r="F45" t="s">
        <v>23479</v>
      </c>
      <c r="G45">
        <v>1</v>
      </c>
      <c r="H45" t="s">
        <v>222</v>
      </c>
      <c r="J45" t="s">
        <v>223</v>
      </c>
      <c r="K45" t="s">
        <v>192</v>
      </c>
      <c r="L45" t="s">
        <v>22</v>
      </c>
      <c r="M45" t="s">
        <v>224</v>
      </c>
      <c r="N45" t="s">
        <v>225</v>
      </c>
      <c r="O45" t="s">
        <v>226</v>
      </c>
      <c r="P45" s="2" t="s">
        <v>67</v>
      </c>
      <c r="Q45" t="s">
        <v>68</v>
      </c>
      <c r="R45">
        <v>120.47</v>
      </c>
      <c r="S45">
        <v>120.48</v>
      </c>
      <c r="T45" t="s">
        <v>227</v>
      </c>
    </row>
    <row r="46" spans="1:20" x14ac:dyDescent="0.25">
      <c r="A46" s="1" t="str">
        <f>HYPERLINK("https://vegkart.atlas.vegvesen.no/#/@33093.5,6752494.5,18/hva:hva%5B0%5D%5Bfilter%5D%5B0%5D%5Boperator%5D=%21%3D&amp;hva%5B0%5D%5Bfilter%5D%5B0%5D%5Btype_id%5D=9312&amp;hva%5B0%5D%5Bfilter%5D%5B0%5D%5Bverdi%5D=&amp;hva%5B0%5D%5Bid%5D=812/når:2019-06-05", "Vegkart")</f>
        <v>Vegkart</v>
      </c>
      <c r="B46">
        <v>932131139</v>
      </c>
      <c r="C46">
        <v>812</v>
      </c>
      <c r="D46" t="s">
        <v>221</v>
      </c>
      <c r="E46">
        <v>9312</v>
      </c>
      <c r="F46" t="s">
        <v>23479</v>
      </c>
      <c r="G46">
        <v>1</v>
      </c>
      <c r="H46" t="s">
        <v>228</v>
      </c>
      <c r="J46" t="s">
        <v>229</v>
      </c>
      <c r="K46" t="s">
        <v>21</v>
      </c>
      <c r="L46" t="s">
        <v>33</v>
      </c>
      <c r="M46" t="s">
        <v>230</v>
      </c>
      <c r="N46" t="s">
        <v>231</v>
      </c>
      <c r="O46" t="s">
        <v>232</v>
      </c>
      <c r="P46" s="2" t="s">
        <v>67</v>
      </c>
      <c r="Q46" t="s">
        <v>68</v>
      </c>
      <c r="R46">
        <v>3.18</v>
      </c>
      <c r="S46">
        <v>3.18</v>
      </c>
      <c r="T46" t="s">
        <v>233</v>
      </c>
    </row>
    <row r="47" spans="1:20" x14ac:dyDescent="0.25">
      <c r="A47" s="1" t="str">
        <f>HYPERLINK("https://vegkart.atlas.vegvesen.no/#/@268721.4,7037843.8,18/hva:hva%5B0%5D%5Bfilter%5D%5B0%5D%5Boperator%5D=%21%3D&amp;hva%5B0%5D%5Bfilter%5D%5B0%5D%5Btype_id%5D=9312&amp;hva%5B0%5D%5Bfilter%5D%5B0%5D%5Bverdi%5D=&amp;hva%5B0%5D%5Bid%5D=812/når:2019-11-04", "Vegkart")</f>
        <v>Vegkart</v>
      </c>
      <c r="B47">
        <v>996419802</v>
      </c>
      <c r="C47">
        <v>812</v>
      </c>
      <c r="D47" t="s">
        <v>221</v>
      </c>
      <c r="E47">
        <v>9312</v>
      </c>
      <c r="F47" t="s">
        <v>23479</v>
      </c>
      <c r="G47">
        <v>1</v>
      </c>
      <c r="H47" t="s">
        <v>234</v>
      </c>
      <c r="J47" t="s">
        <v>229</v>
      </c>
      <c r="K47" t="s">
        <v>192</v>
      </c>
      <c r="L47" t="s">
        <v>22</v>
      </c>
      <c r="M47" t="s">
        <v>235</v>
      </c>
      <c r="N47" t="s">
        <v>236</v>
      </c>
      <c r="O47" t="s">
        <v>237</v>
      </c>
      <c r="P47" s="2" t="s">
        <v>67</v>
      </c>
      <c r="Q47" t="s">
        <v>68</v>
      </c>
      <c r="R47">
        <v>40.119999999999997</v>
      </c>
      <c r="S47">
        <v>40.119999999999997</v>
      </c>
      <c r="T47" t="s">
        <v>238</v>
      </c>
    </row>
    <row r="48" spans="1:20" x14ac:dyDescent="0.25">
      <c r="A48" s="1" t="str">
        <f>HYPERLINK("https://vegkart.atlas.vegvesen.no/#/@268668.8,7037866.7,18/hva:hva%5B0%5D%5Bfilter%5D%5B0%5D%5Boperator%5D=%21%3D&amp;hva%5B0%5D%5Bfilter%5D%5B0%5D%5Btype_id%5D=9312&amp;hva%5B0%5D%5Bfilter%5D%5B0%5D%5Bverdi%5D=&amp;hva%5B0%5D%5Bid%5D=812/når:2019-11-04", "Vegkart")</f>
        <v>Vegkart</v>
      </c>
      <c r="B48">
        <v>996419803</v>
      </c>
      <c r="C48">
        <v>812</v>
      </c>
      <c r="D48" t="s">
        <v>221</v>
      </c>
      <c r="E48">
        <v>9312</v>
      </c>
      <c r="F48" t="s">
        <v>23479</v>
      </c>
      <c r="G48">
        <v>1</v>
      </c>
      <c r="H48" t="s">
        <v>234</v>
      </c>
      <c r="J48" t="s">
        <v>229</v>
      </c>
      <c r="K48" t="s">
        <v>192</v>
      </c>
      <c r="L48" t="s">
        <v>22</v>
      </c>
      <c r="M48" t="s">
        <v>235</v>
      </c>
      <c r="N48" t="s">
        <v>239</v>
      </c>
      <c r="O48" t="s">
        <v>240</v>
      </c>
      <c r="P48" s="2" t="s">
        <v>67</v>
      </c>
      <c r="Q48" t="s">
        <v>68</v>
      </c>
      <c r="R48">
        <v>40.1</v>
      </c>
      <c r="S48">
        <v>40.1</v>
      </c>
      <c r="T48" t="s">
        <v>241</v>
      </c>
    </row>
    <row r="49" spans="1:20" x14ac:dyDescent="0.25">
      <c r="A49" s="1" t="str">
        <f>HYPERLINK("https://vegkart.atlas.vegvesen.no/#/@272613.5,7039292.4,18/hva:hva%5B0%5D%5Bfilter%5D%5B0%5D%5Boperator%5D=%21%3D&amp;hva%5B0%5D%5Bfilter%5D%5B0%5D%5Btype_id%5D=9312&amp;hva%5B0%5D%5Bfilter%5D%5B0%5D%5Bverdi%5D=&amp;hva%5B0%5D%5Bid%5D=812/når:2019-11-06", "Vegkart")</f>
        <v>Vegkart</v>
      </c>
      <c r="B49">
        <v>997048459</v>
      </c>
      <c r="C49">
        <v>812</v>
      </c>
      <c r="D49" t="s">
        <v>221</v>
      </c>
      <c r="E49">
        <v>9312</v>
      </c>
      <c r="F49" t="s">
        <v>23479</v>
      </c>
      <c r="G49">
        <v>1</v>
      </c>
      <c r="H49" t="s">
        <v>242</v>
      </c>
      <c r="J49" t="s">
        <v>229</v>
      </c>
      <c r="K49" t="s">
        <v>192</v>
      </c>
      <c r="L49" t="s">
        <v>22</v>
      </c>
      <c r="M49" t="s">
        <v>243</v>
      </c>
      <c r="N49" t="s">
        <v>244</v>
      </c>
      <c r="O49" t="s">
        <v>245</v>
      </c>
      <c r="P49" s="2" t="s">
        <v>67</v>
      </c>
      <c r="Q49" t="s">
        <v>68</v>
      </c>
      <c r="R49">
        <v>41.71</v>
      </c>
      <c r="S49">
        <v>41.71</v>
      </c>
      <c r="T49" t="s">
        <v>246</v>
      </c>
    </row>
    <row r="50" spans="1:20" x14ac:dyDescent="0.25">
      <c r="A50" s="1" t="str">
        <f>HYPERLINK("https://vegkart.atlas.vegvesen.no/#/@272630.0,7039293.2,18/hva:hva%5B0%5D%5Bfilter%5D%5B0%5D%5Boperator%5D=%21%3D&amp;hva%5B0%5D%5Bfilter%5D%5B0%5D%5Btype_id%5D=9312&amp;hva%5B0%5D%5Bfilter%5D%5B0%5D%5Bverdi%5D=&amp;hva%5B0%5D%5Bid%5D=812/når:2019-11-06", "Vegkart")</f>
        <v>Vegkart</v>
      </c>
      <c r="B50">
        <v>997048460</v>
      </c>
      <c r="C50">
        <v>812</v>
      </c>
      <c r="D50" t="s">
        <v>221</v>
      </c>
      <c r="E50">
        <v>9312</v>
      </c>
      <c r="F50" t="s">
        <v>23479</v>
      </c>
      <c r="G50">
        <v>1</v>
      </c>
      <c r="H50" t="s">
        <v>242</v>
      </c>
      <c r="J50" t="s">
        <v>229</v>
      </c>
      <c r="K50" t="s">
        <v>192</v>
      </c>
      <c r="L50" t="s">
        <v>22</v>
      </c>
      <c r="M50" t="s">
        <v>243</v>
      </c>
      <c r="N50" t="s">
        <v>247</v>
      </c>
      <c r="O50" t="s">
        <v>248</v>
      </c>
      <c r="P50" s="2" t="s">
        <v>67</v>
      </c>
      <c r="Q50" t="s">
        <v>68</v>
      </c>
      <c r="R50">
        <v>43.69</v>
      </c>
      <c r="S50">
        <v>43.69</v>
      </c>
      <c r="T50" t="s">
        <v>249</v>
      </c>
    </row>
    <row r="51" spans="1:20" x14ac:dyDescent="0.25">
      <c r="A51" s="1" t="str">
        <f>HYPERLINK("https://vegkart.atlas.vegvesen.no/#/@271257.7,7042110.2,18/hva:hva%5B0%5D%5Bfilter%5D%5B0%5D%5Boperator%5D=%21%3D&amp;hva%5B0%5D%5Bfilter%5D%5B0%5D%5Btype_id%5D=9312&amp;hva%5B0%5D%5Bfilter%5D%5B0%5D%5Bverdi%5D=&amp;hva%5B0%5D%5Bid%5D=812/når:2021-04-08", "Vegkart")</f>
        <v>Vegkart</v>
      </c>
      <c r="B51">
        <v>1013454726</v>
      </c>
      <c r="C51">
        <v>812</v>
      </c>
      <c r="D51" t="s">
        <v>221</v>
      </c>
      <c r="E51">
        <v>9312</v>
      </c>
      <c r="F51" t="s">
        <v>23479</v>
      </c>
      <c r="G51">
        <v>1</v>
      </c>
      <c r="H51" t="s">
        <v>250</v>
      </c>
      <c r="J51" t="s">
        <v>229</v>
      </c>
      <c r="K51" t="s">
        <v>192</v>
      </c>
      <c r="L51" t="s">
        <v>22</v>
      </c>
      <c r="M51" t="s">
        <v>251</v>
      </c>
      <c r="N51" t="s">
        <v>252</v>
      </c>
      <c r="O51" t="s">
        <v>253</v>
      </c>
      <c r="P51" s="2" t="s">
        <v>67</v>
      </c>
      <c r="Q51" t="s">
        <v>68</v>
      </c>
      <c r="R51">
        <v>2.89</v>
      </c>
      <c r="S51">
        <v>2.89</v>
      </c>
      <c r="T51" t="s">
        <v>254</v>
      </c>
    </row>
    <row r="52" spans="1:20" x14ac:dyDescent="0.25">
      <c r="A52" s="1" t="str">
        <f>HYPERLINK("https://vegkart.atlas.vegvesen.no/#/@286349.3,6746028.5,18/hva:hva%5B0%5D%5Bfilter%5D%5B0%5D%5Boperator%5D=%21%3D&amp;hva%5B0%5D%5Bfilter%5D%5B0%5D%5Btype_id%5D=9312&amp;hva%5B0%5D%5Bfilter%5D%5B0%5D%5Bverdi%5D=&amp;hva%5B0%5D%5Bid%5D=812/når:2023-06-06", "Vegkart")</f>
        <v>Vegkart</v>
      </c>
      <c r="B52">
        <v>1017723613</v>
      </c>
      <c r="C52">
        <v>812</v>
      </c>
      <c r="D52" t="s">
        <v>221</v>
      </c>
      <c r="E52">
        <v>9312</v>
      </c>
      <c r="F52" t="s">
        <v>23479</v>
      </c>
      <c r="G52">
        <v>1</v>
      </c>
      <c r="H52" t="s">
        <v>255</v>
      </c>
      <c r="J52" t="s">
        <v>229</v>
      </c>
      <c r="K52" t="s">
        <v>136</v>
      </c>
      <c r="L52" t="s">
        <v>22</v>
      </c>
      <c r="M52" t="s">
        <v>256</v>
      </c>
      <c r="N52" t="s">
        <v>257</v>
      </c>
      <c r="O52" t="s">
        <v>258</v>
      </c>
      <c r="P52" s="2" t="s">
        <v>67</v>
      </c>
      <c r="Q52" t="s">
        <v>68</v>
      </c>
      <c r="R52">
        <v>69.58</v>
      </c>
      <c r="S52">
        <v>69.64</v>
      </c>
      <c r="T52" t="s">
        <v>259</v>
      </c>
    </row>
    <row r="53" spans="1:20" x14ac:dyDescent="0.25">
      <c r="A53" s="1" t="str">
        <f>HYPERLINK("https://vegkart.atlas.vegvesen.no/#/@290823.2,6696109.6,18/hva:hva%5B0%5D%5Bfilter%5D%5B0%5D%5Boperator%5D=%21%3D&amp;hva%5B0%5D%5Bfilter%5D%5B0%5D%5Btype_id%5D=9312&amp;hva%5B0%5D%5Bfilter%5D%5B0%5D%5Bverdi%5D=&amp;hva%5B0%5D%5Bid%5D=812/når:2024-05-21", "Vegkart")</f>
        <v>Vegkart</v>
      </c>
      <c r="B53">
        <v>1019170516</v>
      </c>
      <c r="C53">
        <v>812</v>
      </c>
      <c r="D53" t="s">
        <v>221</v>
      </c>
      <c r="E53">
        <v>9312</v>
      </c>
      <c r="F53" t="s">
        <v>23479</v>
      </c>
      <c r="G53">
        <v>1</v>
      </c>
      <c r="H53" t="s">
        <v>260</v>
      </c>
      <c r="J53" t="s">
        <v>229</v>
      </c>
      <c r="K53" t="s">
        <v>132</v>
      </c>
      <c r="L53" t="s">
        <v>80</v>
      </c>
      <c r="M53" t="s">
        <v>105</v>
      </c>
      <c r="N53" t="s">
        <v>261</v>
      </c>
      <c r="O53" t="s">
        <v>262</v>
      </c>
      <c r="P53" s="2" t="s">
        <v>67</v>
      </c>
      <c r="Q53" t="s">
        <v>68</v>
      </c>
      <c r="R53">
        <v>56.54</v>
      </c>
      <c r="S53">
        <v>56.54</v>
      </c>
      <c r="T53" t="s">
        <v>263</v>
      </c>
    </row>
    <row r="54" spans="1:20" x14ac:dyDescent="0.25">
      <c r="A54" s="1" t="str">
        <f>HYPERLINK("https://vegkart.atlas.vegvesen.no/#/@293308.1,6711311.1,18/hva:hva%5B0%5D%5Bfilter%5D%5B0%5D%5Boperator%5D=%21%3D&amp;hva%5B0%5D%5Bfilter%5D%5B0%5D%5Btype_id%5D=9312&amp;hva%5B0%5D%5Bfilter%5D%5B0%5D%5Bverdi%5D=&amp;hva%5B0%5D%5Bid%5D=812/når:2024-05-21", "Vegkart")</f>
        <v>Vegkart</v>
      </c>
      <c r="B54">
        <v>1019170521</v>
      </c>
      <c r="C54">
        <v>812</v>
      </c>
      <c r="D54" t="s">
        <v>221</v>
      </c>
      <c r="E54">
        <v>9312</v>
      </c>
      <c r="F54" t="s">
        <v>23479</v>
      </c>
      <c r="G54">
        <v>1</v>
      </c>
      <c r="H54" t="s">
        <v>260</v>
      </c>
      <c r="J54" t="s">
        <v>229</v>
      </c>
      <c r="K54" t="s">
        <v>132</v>
      </c>
      <c r="L54" t="s">
        <v>80</v>
      </c>
      <c r="M54" t="s">
        <v>105</v>
      </c>
      <c r="N54" t="s">
        <v>264</v>
      </c>
      <c r="O54" t="s">
        <v>265</v>
      </c>
      <c r="P54" s="2" t="s">
        <v>67</v>
      </c>
      <c r="Q54" t="s">
        <v>68</v>
      </c>
      <c r="R54">
        <v>29.13</v>
      </c>
      <c r="S54">
        <v>29.13</v>
      </c>
      <c r="T54" t="s">
        <v>266</v>
      </c>
    </row>
    <row r="55" spans="1:20" x14ac:dyDescent="0.25">
      <c r="A55" s="1" t="str">
        <f>HYPERLINK("https://vegkart.atlas.vegvesen.no/#/@293518.8,6708856.5,18/hva:hva%5B0%5D%5Bfilter%5D%5B0%5D%5Boperator%5D=%21%3D&amp;hva%5B0%5D%5Bfilter%5D%5B0%5D%5Btype_id%5D=9312&amp;hva%5B0%5D%5Bfilter%5D%5B0%5D%5Bverdi%5D=&amp;hva%5B0%5D%5Bid%5D=812/når:2024-05-22", "Vegkart")</f>
        <v>Vegkart</v>
      </c>
      <c r="B55">
        <v>1019173294</v>
      </c>
      <c r="C55">
        <v>812</v>
      </c>
      <c r="D55" t="s">
        <v>221</v>
      </c>
      <c r="E55">
        <v>9312</v>
      </c>
      <c r="F55" t="s">
        <v>23479</v>
      </c>
      <c r="G55">
        <v>1</v>
      </c>
      <c r="H55" t="s">
        <v>267</v>
      </c>
      <c r="J55" t="s">
        <v>229</v>
      </c>
      <c r="K55" t="s">
        <v>132</v>
      </c>
      <c r="L55" t="s">
        <v>80</v>
      </c>
      <c r="M55" t="s">
        <v>105</v>
      </c>
      <c r="N55" t="s">
        <v>268</v>
      </c>
      <c r="O55" t="s">
        <v>269</v>
      </c>
      <c r="P55" s="2" t="s">
        <v>67</v>
      </c>
      <c r="Q55" t="s">
        <v>68</v>
      </c>
      <c r="R55">
        <v>32.950000000000003</v>
      </c>
      <c r="S55">
        <v>32.950000000000003</v>
      </c>
      <c r="T55" t="s">
        <v>270</v>
      </c>
    </row>
    <row r="56" spans="1:20" x14ac:dyDescent="0.25">
      <c r="A56" s="1" t="str">
        <f>HYPERLINK("https://vegkart.atlas.vegvesen.no/#/@293500.9,6708804.3,18/hva:hva%5B0%5D%5Bfilter%5D%5B0%5D%5Boperator%5D=%21%3D&amp;hva%5B0%5D%5Bfilter%5D%5B0%5D%5Btype_id%5D=9312&amp;hva%5B0%5D%5Bfilter%5D%5B0%5D%5Bverdi%5D=&amp;hva%5B0%5D%5Bid%5D=812/når:2024-05-22", "Vegkart")</f>
        <v>Vegkart</v>
      </c>
      <c r="B56">
        <v>1019173295</v>
      </c>
      <c r="C56">
        <v>812</v>
      </c>
      <c r="D56" t="s">
        <v>221</v>
      </c>
      <c r="E56">
        <v>9312</v>
      </c>
      <c r="F56" t="s">
        <v>23479</v>
      </c>
      <c r="G56">
        <v>1</v>
      </c>
      <c r="H56" t="s">
        <v>267</v>
      </c>
      <c r="J56" t="s">
        <v>229</v>
      </c>
      <c r="K56" t="s">
        <v>132</v>
      </c>
      <c r="L56" t="s">
        <v>80</v>
      </c>
      <c r="M56" t="s">
        <v>105</v>
      </c>
      <c r="N56" t="s">
        <v>271</v>
      </c>
      <c r="O56" t="s">
        <v>272</v>
      </c>
      <c r="P56" s="2" t="s">
        <v>67</v>
      </c>
      <c r="Q56" t="s">
        <v>68</v>
      </c>
      <c r="R56">
        <v>22.27</v>
      </c>
      <c r="S56">
        <v>22.27</v>
      </c>
      <c r="T56" t="s">
        <v>273</v>
      </c>
    </row>
    <row r="57" spans="1:20" x14ac:dyDescent="0.25">
      <c r="A57" s="1" t="str">
        <f>HYPERLINK("https://vegkart.atlas.vegvesen.no/#/@293294.5,6711347.1,18/hva:hva%5B0%5D%5Bfilter%5D%5B0%5D%5Boperator%5D=%21%3D&amp;hva%5B0%5D%5Bfilter%5D%5B0%5D%5Btype_id%5D=9312&amp;hva%5B0%5D%5Bfilter%5D%5B0%5D%5Bverdi%5D=&amp;hva%5B0%5D%5Bid%5D=812/når:2024-05-22", "Vegkart")</f>
        <v>Vegkart</v>
      </c>
      <c r="B57">
        <v>1019173298</v>
      </c>
      <c r="C57">
        <v>812</v>
      </c>
      <c r="D57" t="s">
        <v>221</v>
      </c>
      <c r="E57">
        <v>9312</v>
      </c>
      <c r="F57" t="s">
        <v>23479</v>
      </c>
      <c r="G57">
        <v>1</v>
      </c>
      <c r="H57" t="s">
        <v>267</v>
      </c>
      <c r="J57" t="s">
        <v>229</v>
      </c>
      <c r="K57" t="s">
        <v>132</v>
      </c>
      <c r="L57" t="s">
        <v>80</v>
      </c>
      <c r="M57" t="s">
        <v>105</v>
      </c>
      <c r="N57" t="s">
        <v>274</v>
      </c>
      <c r="O57" t="s">
        <v>275</v>
      </c>
      <c r="P57" s="2" t="s">
        <v>67</v>
      </c>
      <c r="Q57" t="s">
        <v>68</v>
      </c>
      <c r="R57">
        <v>19.54</v>
      </c>
      <c r="S57">
        <v>19.54</v>
      </c>
      <c r="T57" t="s">
        <v>276</v>
      </c>
    </row>
    <row r="58" spans="1:20" x14ac:dyDescent="0.25">
      <c r="A58" s="1" t="str">
        <f>HYPERLINK("https://vegkart.atlas.vegvesen.no/#/@17586.5,6844222.9,18/hva:hva%5B0%5D%5Bfilter%5D%5B0%5D%5Boperator%5D=%21%3D&amp;hva%5B0%5D%5Bfilter%5D%5B0%5D%5Btype_id%5D=9312&amp;hva%5B0%5D%5Bfilter%5D%5B0%5D%5Bverdi%5D=&amp;hva%5B0%5D%5Bid%5D=812/når:2024-12-12", "Vegkart")</f>
        <v>Vegkart</v>
      </c>
      <c r="B58">
        <v>1021364061</v>
      </c>
      <c r="C58">
        <v>812</v>
      </c>
      <c r="D58" t="s">
        <v>221</v>
      </c>
      <c r="E58">
        <v>9312</v>
      </c>
      <c r="F58" t="s">
        <v>23479</v>
      </c>
      <c r="G58">
        <v>1</v>
      </c>
      <c r="H58" t="s">
        <v>277</v>
      </c>
      <c r="J58" t="s">
        <v>229</v>
      </c>
      <c r="K58" t="s">
        <v>21</v>
      </c>
      <c r="L58" t="s">
        <v>80</v>
      </c>
      <c r="M58" t="s">
        <v>81</v>
      </c>
      <c r="N58" t="s">
        <v>278</v>
      </c>
      <c r="O58" t="s">
        <v>279</v>
      </c>
      <c r="P58" s="2" t="s">
        <v>67</v>
      </c>
      <c r="Q58" t="s">
        <v>68</v>
      </c>
      <c r="R58">
        <v>6.04</v>
      </c>
      <c r="S58">
        <v>6.04</v>
      </c>
      <c r="T58" t="s">
        <v>280</v>
      </c>
    </row>
    <row r="59" spans="1:20" x14ac:dyDescent="0.25">
      <c r="A59" s="1" t="str">
        <f>HYPERLINK("https://vegkart.atlas.vegvesen.no/#/@237745.2,6580424.1,18/hva:hva%5B0%5D%5Bfilter%5D%5B0%5D%5Boperator%5D=%21%3D&amp;hva%5B0%5D%5Bfilter%5D%5B0%5D%5Btype_id%5D=9312&amp;hva%5B0%5D%5Bfilter%5D%5B0%5D%5Bverdi%5D=&amp;hva%5B0%5D%5Bid%5D=812/når:2025-06-02", "Vegkart")</f>
        <v>Vegkart</v>
      </c>
      <c r="B59">
        <v>1023833090</v>
      </c>
      <c r="C59">
        <v>812</v>
      </c>
      <c r="D59" t="s">
        <v>221</v>
      </c>
      <c r="E59">
        <v>9312</v>
      </c>
      <c r="F59" t="s">
        <v>23479</v>
      </c>
      <c r="G59">
        <v>1</v>
      </c>
      <c r="H59" t="s">
        <v>281</v>
      </c>
      <c r="J59" t="s">
        <v>229</v>
      </c>
      <c r="K59" t="s">
        <v>81</v>
      </c>
      <c r="L59" t="s">
        <v>33</v>
      </c>
      <c r="M59" t="s">
        <v>282</v>
      </c>
      <c r="N59" t="s">
        <v>283</v>
      </c>
      <c r="O59" t="s">
        <v>284</v>
      </c>
      <c r="P59" s="2" t="s">
        <v>67</v>
      </c>
      <c r="Q59" t="s">
        <v>68</v>
      </c>
      <c r="R59">
        <v>184.49</v>
      </c>
      <c r="S59">
        <v>184.63</v>
      </c>
      <c r="T59" t="s">
        <v>285</v>
      </c>
    </row>
    <row r="60" spans="1:20" x14ac:dyDescent="0.25">
      <c r="A60" s="1" t="str">
        <f>HYPERLINK("https://vegkart.atlas.vegvesen.no/#/@280008.0,6651185.7,18/hva:hva%5B0%5D%5Bfilter%5D%5B0%5D%5Boperator%5D=%21%3D&amp;hva%5B0%5D%5Bfilter%5D%5B0%5D%5Btype_id%5D=9312&amp;hva%5B0%5D%5Bfilter%5D%5B0%5D%5Bverdi%5D=&amp;hva%5B0%5D%5Bid%5D=812/når:2025-10-21", "Vegkart")</f>
        <v>Vegkart</v>
      </c>
      <c r="B60">
        <v>1025414685</v>
      </c>
      <c r="C60">
        <v>812</v>
      </c>
      <c r="D60" t="s">
        <v>221</v>
      </c>
      <c r="E60">
        <v>9312</v>
      </c>
      <c r="F60" t="s">
        <v>23479</v>
      </c>
      <c r="G60">
        <v>1</v>
      </c>
      <c r="H60" t="s">
        <v>286</v>
      </c>
      <c r="J60" t="s">
        <v>287</v>
      </c>
      <c r="K60" t="s">
        <v>132</v>
      </c>
      <c r="L60" t="s">
        <v>33</v>
      </c>
      <c r="M60" t="s">
        <v>288</v>
      </c>
      <c r="N60" t="s">
        <v>289</v>
      </c>
      <c r="O60" t="s">
        <v>290</v>
      </c>
      <c r="P60" s="2" t="s">
        <v>67</v>
      </c>
      <c r="Q60" t="s">
        <v>68</v>
      </c>
      <c r="R60">
        <v>3.64</v>
      </c>
      <c r="S60">
        <v>3.64</v>
      </c>
      <c r="T60" t="s">
        <v>291</v>
      </c>
    </row>
    <row r="61" spans="1:20" x14ac:dyDescent="0.25">
      <c r="A61" s="1" t="str">
        <f>HYPERLINK("https://vegkart.atlas.vegvesen.no/#/@241478.0,6640570.3,18/hva:hva%5B0%5D%5Bfilter%5D%5B0%5D%5Boperator%5D=%21%3D&amp;hva%5B0%5D%5Bfilter%5D%5B0%5D%5Btype_id%5D=9312&amp;hva%5B0%5D%5Bfilter%5D%5B0%5D%5Bverdi%5D=&amp;hva%5B0%5D%5Bid%5D=812/når:2025-10-21", "Vegkart")</f>
        <v>Vegkart</v>
      </c>
      <c r="B61">
        <v>1025414791</v>
      </c>
      <c r="C61">
        <v>812</v>
      </c>
      <c r="D61" t="s">
        <v>221</v>
      </c>
      <c r="E61">
        <v>9312</v>
      </c>
      <c r="F61" t="s">
        <v>23479</v>
      </c>
      <c r="G61">
        <v>1</v>
      </c>
      <c r="H61" t="s">
        <v>286</v>
      </c>
      <c r="J61" t="s">
        <v>229</v>
      </c>
      <c r="K61" t="s">
        <v>132</v>
      </c>
      <c r="L61" t="s">
        <v>33</v>
      </c>
      <c r="M61" t="s">
        <v>292</v>
      </c>
      <c r="N61" t="s">
        <v>293</v>
      </c>
      <c r="O61" t="s">
        <v>294</v>
      </c>
      <c r="P61" s="2" t="s">
        <v>67</v>
      </c>
      <c r="Q61" t="s">
        <v>68</v>
      </c>
      <c r="R61">
        <v>4.8899999999999997</v>
      </c>
      <c r="S61">
        <v>4.8899999999999997</v>
      </c>
      <c r="T61" t="s">
        <v>295</v>
      </c>
    </row>
    <row r="62" spans="1:20" x14ac:dyDescent="0.25">
      <c r="A62" s="1" t="str">
        <f>HYPERLINK("https://vegkart.atlas.vegvesen.no/#/@273023.0,6649866.9,18/hva:hva%5B0%5D%5Bfilter%5D%5B0%5D%5Boperator%5D=%21%3D&amp;hva%5B0%5D%5Bfilter%5D%5B0%5D%5Btype_id%5D=9312&amp;hva%5B0%5D%5Bfilter%5D%5B0%5D%5Bverdi%5D=&amp;hva%5B0%5D%5Bid%5D=812/når:2025-10-21", "Vegkart")</f>
        <v>Vegkart</v>
      </c>
      <c r="B62">
        <v>1025414793</v>
      </c>
      <c r="C62">
        <v>812</v>
      </c>
      <c r="D62" t="s">
        <v>221</v>
      </c>
      <c r="E62">
        <v>9312</v>
      </c>
      <c r="F62" t="s">
        <v>23479</v>
      </c>
      <c r="G62">
        <v>1</v>
      </c>
      <c r="H62" t="s">
        <v>286</v>
      </c>
      <c r="J62" t="s">
        <v>229</v>
      </c>
      <c r="K62" t="s">
        <v>132</v>
      </c>
      <c r="L62" t="s">
        <v>33</v>
      </c>
      <c r="M62" t="s">
        <v>296</v>
      </c>
      <c r="N62" t="s">
        <v>297</v>
      </c>
      <c r="O62" t="s">
        <v>298</v>
      </c>
      <c r="P62" s="2" t="s">
        <v>67</v>
      </c>
      <c r="Q62" t="s">
        <v>68</v>
      </c>
      <c r="R62">
        <v>6.84</v>
      </c>
      <c r="S62">
        <v>6.84</v>
      </c>
      <c r="T62" t="s">
        <v>299</v>
      </c>
    </row>
    <row r="63" spans="1:20" x14ac:dyDescent="0.25">
      <c r="A63" s="1" t="str">
        <f>HYPERLINK("https://vegkart.atlas.vegvesen.no/#/@301044.7,6673939.3,18/hva:hva%5B0%5D%5Bfilter%5D%5B0%5D%5Boperator%5D=%21%3D&amp;hva%5B0%5D%5Bfilter%5D%5B0%5D%5Btype_id%5D=9312&amp;hva%5B0%5D%5Bfilter%5D%5B0%5D%5Bverdi%5D=&amp;hva%5B0%5D%5Bid%5D=812/når:2025-10-21", "Vegkart")</f>
        <v>Vegkart</v>
      </c>
      <c r="B63">
        <v>1025414794</v>
      </c>
      <c r="C63">
        <v>812</v>
      </c>
      <c r="D63" t="s">
        <v>221</v>
      </c>
      <c r="E63">
        <v>9312</v>
      </c>
      <c r="F63" t="s">
        <v>23479</v>
      </c>
      <c r="G63">
        <v>1</v>
      </c>
      <c r="H63" t="s">
        <v>286</v>
      </c>
      <c r="J63" t="s">
        <v>229</v>
      </c>
      <c r="K63" t="s">
        <v>132</v>
      </c>
      <c r="L63" t="s">
        <v>33</v>
      </c>
      <c r="M63" t="s">
        <v>300</v>
      </c>
      <c r="N63" t="s">
        <v>301</v>
      </c>
      <c r="O63" t="s">
        <v>302</v>
      </c>
      <c r="P63" s="2" t="s">
        <v>67</v>
      </c>
      <c r="Q63" t="s">
        <v>68</v>
      </c>
      <c r="R63">
        <v>3.44</v>
      </c>
      <c r="S63">
        <v>3.44</v>
      </c>
      <c r="T63" t="s">
        <v>303</v>
      </c>
    </row>
    <row r="64" spans="1:20" x14ac:dyDescent="0.25">
      <c r="A64" s="1" t="str">
        <f>HYPERLINK("https://vegkart.atlas.vegvesen.no/#/@218744.4,6689291.4,18/hva:hva%5B0%5D%5Bfilter%5D%5B0%5D%5Boperator%5D=%21%3D&amp;hva%5B0%5D%5Bfilter%5D%5B0%5D%5Btype_id%5D=9435&amp;hva%5B0%5D%5Bfilter%5D%5B0%5D%5Bverdi%5D=&amp;hva%5B0%5D%5Bid%5D=208/når:2020-03-06", "Vegkart")</f>
        <v>Vegkart</v>
      </c>
      <c r="B64">
        <v>489565601</v>
      </c>
      <c r="C64">
        <v>208</v>
      </c>
      <c r="D64" t="s">
        <v>304</v>
      </c>
      <c r="E64">
        <v>9435</v>
      </c>
      <c r="F64" t="s">
        <v>23479</v>
      </c>
      <c r="G64">
        <v>2</v>
      </c>
      <c r="H64" t="s">
        <v>305</v>
      </c>
      <c r="J64" t="s">
        <v>306</v>
      </c>
      <c r="K64" t="s">
        <v>307</v>
      </c>
      <c r="L64" t="s">
        <v>113</v>
      </c>
      <c r="M64" t="s">
        <v>308</v>
      </c>
      <c r="N64" t="s">
        <v>309</v>
      </c>
      <c r="O64" t="s">
        <v>310</v>
      </c>
      <c r="P64" s="2" t="s">
        <v>165</v>
      </c>
      <c r="Q64" t="s">
        <v>311</v>
      </c>
      <c r="R64">
        <v>5.6</v>
      </c>
      <c r="S64">
        <v>5.6</v>
      </c>
      <c r="T64" t="s">
        <v>167</v>
      </c>
    </row>
    <row r="65" spans="1:20" x14ac:dyDescent="0.25">
      <c r="A65" s="1" t="str">
        <f>HYPERLINK("https://vegkart.atlas.vegvesen.no/#/@218749.4,6689285.6,18/hva:hva%5B0%5D%5Bfilter%5D%5B0%5D%5Boperator%5D=%21%3D&amp;hva%5B0%5D%5Bfilter%5D%5B0%5D%5Btype_id%5D=9435&amp;hva%5B0%5D%5Bfilter%5D%5B0%5D%5Bverdi%5D=&amp;hva%5B0%5D%5Bid%5D=208/når:2020-03-06", "Vegkart")</f>
        <v>Vegkart</v>
      </c>
      <c r="B65">
        <v>489565602</v>
      </c>
      <c r="C65">
        <v>208</v>
      </c>
      <c r="D65" t="s">
        <v>304</v>
      </c>
      <c r="E65">
        <v>9435</v>
      </c>
      <c r="F65" t="s">
        <v>23479</v>
      </c>
      <c r="G65">
        <v>2</v>
      </c>
      <c r="H65" t="s">
        <v>305</v>
      </c>
      <c r="J65" t="s">
        <v>306</v>
      </c>
      <c r="K65" t="s">
        <v>307</v>
      </c>
      <c r="L65" t="s">
        <v>113</v>
      </c>
      <c r="M65" t="s">
        <v>308</v>
      </c>
      <c r="N65" t="s">
        <v>312</v>
      </c>
      <c r="O65" t="s">
        <v>313</v>
      </c>
      <c r="P65" s="2" t="s">
        <v>165</v>
      </c>
      <c r="Q65" t="s">
        <v>311</v>
      </c>
      <c r="R65">
        <v>6.7</v>
      </c>
      <c r="S65">
        <v>6.7</v>
      </c>
      <c r="T65" t="s">
        <v>167</v>
      </c>
    </row>
    <row r="66" spans="1:20" x14ac:dyDescent="0.25">
      <c r="A66" s="1" t="str">
        <f>HYPERLINK("https://vegkart.atlas.vegvesen.no/#/@237192.1,6660974.7,18/hva:hva%5B0%5D%5Bfilter%5D%5B0%5D%5Boperator%5D=%21%3D&amp;hva%5B0%5D%5Bfilter%5D%5B0%5D%5Btype_id%5D=9435&amp;hva%5B0%5D%5Bfilter%5D%5B0%5D%5Bverdi%5D=&amp;hva%5B0%5D%5Bid%5D=208/når:2018-07-02", "Vegkart")</f>
        <v>Vegkart</v>
      </c>
      <c r="B66">
        <v>589756941</v>
      </c>
      <c r="C66">
        <v>208</v>
      </c>
      <c r="D66" t="s">
        <v>304</v>
      </c>
      <c r="E66">
        <v>9435</v>
      </c>
      <c r="F66" t="s">
        <v>23479</v>
      </c>
      <c r="G66">
        <v>2</v>
      </c>
      <c r="H66" t="s">
        <v>314</v>
      </c>
      <c r="J66" t="s">
        <v>306</v>
      </c>
      <c r="K66" t="s">
        <v>307</v>
      </c>
      <c r="L66" t="s">
        <v>80</v>
      </c>
      <c r="M66" t="s">
        <v>152</v>
      </c>
      <c r="N66" t="s">
        <v>315</v>
      </c>
      <c r="O66" t="s">
        <v>316</v>
      </c>
      <c r="P66" s="2" t="s">
        <v>26</v>
      </c>
      <c r="Q66" t="s">
        <v>27</v>
      </c>
      <c r="R66">
        <v>7.17</v>
      </c>
      <c r="S66">
        <v>7.17</v>
      </c>
      <c r="T66" t="s">
        <v>317</v>
      </c>
    </row>
    <row r="67" spans="1:20" x14ac:dyDescent="0.25">
      <c r="A67" s="1" t="str">
        <f>HYPERLINK("https://vegkart.atlas.vegvesen.no/#/@237164.9,6661000.3,18/hva:hva%5B0%5D%5Bfilter%5D%5B0%5D%5Boperator%5D=%21%3D&amp;hva%5B0%5D%5Bfilter%5D%5B0%5D%5Btype_id%5D=9435&amp;hva%5B0%5D%5Bfilter%5D%5B0%5D%5Bverdi%5D=&amp;hva%5B0%5D%5Bid%5D=208/når:2018-07-02", "Vegkart")</f>
        <v>Vegkart</v>
      </c>
      <c r="B67">
        <v>589756942</v>
      </c>
      <c r="C67">
        <v>208</v>
      </c>
      <c r="D67" t="s">
        <v>304</v>
      </c>
      <c r="E67">
        <v>9435</v>
      </c>
      <c r="F67" t="s">
        <v>23479</v>
      </c>
      <c r="G67">
        <v>2</v>
      </c>
      <c r="H67" t="s">
        <v>314</v>
      </c>
      <c r="J67" t="s">
        <v>306</v>
      </c>
      <c r="K67" t="s">
        <v>307</v>
      </c>
      <c r="L67" t="s">
        <v>80</v>
      </c>
      <c r="M67" t="s">
        <v>152</v>
      </c>
      <c r="N67" t="s">
        <v>318</v>
      </c>
      <c r="O67" t="s">
        <v>319</v>
      </c>
      <c r="P67" s="2" t="s">
        <v>26</v>
      </c>
      <c r="Q67" t="s">
        <v>27</v>
      </c>
      <c r="R67">
        <v>11.61</v>
      </c>
      <c r="S67">
        <v>11.61</v>
      </c>
      <c r="T67" t="s">
        <v>320</v>
      </c>
    </row>
    <row r="68" spans="1:20" x14ac:dyDescent="0.25">
      <c r="A68" s="1" t="str">
        <f>HYPERLINK("https://vegkart.atlas.vegvesen.no/#/@237173.8,6660991.9,18/hva:hva%5B0%5D%5Bfilter%5D%5B0%5D%5Boperator%5D=%21%3D&amp;hva%5B0%5D%5Bfilter%5D%5B0%5D%5Btype_id%5D=9435&amp;hva%5B0%5D%5Bfilter%5D%5B0%5D%5Bverdi%5D=&amp;hva%5B0%5D%5Bid%5D=208/når:2018-07-02", "Vegkart")</f>
        <v>Vegkart</v>
      </c>
      <c r="B68">
        <v>589756943</v>
      </c>
      <c r="C68">
        <v>208</v>
      </c>
      <c r="D68" t="s">
        <v>304</v>
      </c>
      <c r="E68">
        <v>9435</v>
      </c>
      <c r="F68" t="s">
        <v>23479</v>
      </c>
      <c r="G68">
        <v>2</v>
      </c>
      <c r="H68" t="s">
        <v>314</v>
      </c>
      <c r="J68" t="s">
        <v>306</v>
      </c>
      <c r="K68" t="s">
        <v>307</v>
      </c>
      <c r="L68" t="s">
        <v>80</v>
      </c>
      <c r="M68" t="s">
        <v>152</v>
      </c>
      <c r="N68" t="s">
        <v>321</v>
      </c>
      <c r="O68" t="s">
        <v>322</v>
      </c>
      <c r="P68" s="2" t="s">
        <v>26</v>
      </c>
      <c r="Q68" t="s">
        <v>27</v>
      </c>
      <c r="R68">
        <v>11.63</v>
      </c>
      <c r="S68">
        <v>11.63</v>
      </c>
      <c r="T68" t="s">
        <v>323</v>
      </c>
    </row>
    <row r="69" spans="1:20" x14ac:dyDescent="0.25">
      <c r="A69" s="1" t="str">
        <f>HYPERLINK("https://vegkart.atlas.vegvesen.no/#/@237182.6,6660983.5,18/hva:hva%5B0%5D%5Bfilter%5D%5B0%5D%5Boperator%5D=%21%3D&amp;hva%5B0%5D%5Bfilter%5D%5B0%5D%5Btype_id%5D=9435&amp;hva%5B0%5D%5Bfilter%5D%5B0%5D%5Bverdi%5D=&amp;hva%5B0%5D%5Bid%5D=208/når:2018-07-02", "Vegkart")</f>
        <v>Vegkart</v>
      </c>
      <c r="B69">
        <v>589756944</v>
      </c>
      <c r="C69">
        <v>208</v>
      </c>
      <c r="D69" t="s">
        <v>304</v>
      </c>
      <c r="E69">
        <v>9435</v>
      </c>
      <c r="F69" t="s">
        <v>23479</v>
      </c>
      <c r="G69">
        <v>2</v>
      </c>
      <c r="H69" t="s">
        <v>314</v>
      </c>
      <c r="J69" t="s">
        <v>306</v>
      </c>
      <c r="K69" t="s">
        <v>307</v>
      </c>
      <c r="L69" t="s">
        <v>80</v>
      </c>
      <c r="M69" t="s">
        <v>152</v>
      </c>
      <c r="N69" t="s">
        <v>324</v>
      </c>
      <c r="O69" t="s">
        <v>325</v>
      </c>
      <c r="P69" s="2" t="s">
        <v>26</v>
      </c>
      <c r="Q69" t="s">
        <v>27</v>
      </c>
      <c r="R69">
        <v>11.6</v>
      </c>
      <c r="S69">
        <v>11.6</v>
      </c>
      <c r="T69" t="s">
        <v>326</v>
      </c>
    </row>
    <row r="70" spans="1:20" x14ac:dyDescent="0.25">
      <c r="A70" s="1" t="str">
        <f>HYPERLINK("https://vegkart.atlas.vegvesen.no/#/@237184.7,6660985.7,18/hva:hva%5B0%5D%5Bfilter%5D%5B0%5D%5Boperator%5D=%21%3D&amp;hva%5B0%5D%5Bfilter%5D%5B0%5D%5Btype_id%5D=9435&amp;hva%5B0%5D%5Bfilter%5D%5B0%5D%5Bverdi%5D=&amp;hva%5B0%5D%5Bid%5D=208/når:2018-07-02", "Vegkart")</f>
        <v>Vegkart</v>
      </c>
      <c r="B70">
        <v>589756945</v>
      </c>
      <c r="C70">
        <v>208</v>
      </c>
      <c r="D70" t="s">
        <v>304</v>
      </c>
      <c r="E70">
        <v>9435</v>
      </c>
      <c r="F70" t="s">
        <v>23479</v>
      </c>
      <c r="G70">
        <v>2</v>
      </c>
      <c r="H70" t="s">
        <v>314</v>
      </c>
      <c r="J70" t="s">
        <v>306</v>
      </c>
      <c r="K70" t="s">
        <v>307</v>
      </c>
      <c r="L70" t="s">
        <v>80</v>
      </c>
      <c r="M70" t="s">
        <v>152</v>
      </c>
      <c r="N70" t="s">
        <v>327</v>
      </c>
      <c r="O70" t="s">
        <v>328</v>
      </c>
      <c r="P70" s="2" t="s">
        <v>26</v>
      </c>
      <c r="Q70" t="s">
        <v>27</v>
      </c>
      <c r="R70">
        <v>11.6</v>
      </c>
      <c r="S70">
        <v>11.6</v>
      </c>
      <c r="T70" t="s">
        <v>329</v>
      </c>
    </row>
    <row r="71" spans="1:20" x14ac:dyDescent="0.25">
      <c r="A71" s="1" t="str">
        <f>HYPERLINK("https://vegkart.atlas.vegvesen.no/#/@237175.8,6660994.2,18/hva:hva%5B0%5D%5Bfilter%5D%5B0%5D%5Boperator%5D=%21%3D&amp;hva%5B0%5D%5Bfilter%5D%5B0%5D%5Btype_id%5D=9435&amp;hva%5B0%5D%5Bfilter%5D%5B0%5D%5Bverdi%5D=&amp;hva%5B0%5D%5Bid%5D=208/når:2018-07-02", "Vegkart")</f>
        <v>Vegkart</v>
      </c>
      <c r="B71">
        <v>589756946</v>
      </c>
      <c r="C71">
        <v>208</v>
      </c>
      <c r="D71" t="s">
        <v>304</v>
      </c>
      <c r="E71">
        <v>9435</v>
      </c>
      <c r="F71" t="s">
        <v>23479</v>
      </c>
      <c r="G71">
        <v>2</v>
      </c>
      <c r="H71" t="s">
        <v>314</v>
      </c>
      <c r="J71" t="s">
        <v>306</v>
      </c>
      <c r="K71" t="s">
        <v>307</v>
      </c>
      <c r="L71" t="s">
        <v>80</v>
      </c>
      <c r="M71" t="s">
        <v>152</v>
      </c>
      <c r="N71" t="s">
        <v>321</v>
      </c>
      <c r="O71" t="s">
        <v>330</v>
      </c>
      <c r="P71" s="2" t="s">
        <v>26</v>
      </c>
      <c r="Q71" t="s">
        <v>27</v>
      </c>
      <c r="R71">
        <v>11.6</v>
      </c>
      <c r="S71">
        <v>11.6</v>
      </c>
      <c r="T71" t="s">
        <v>331</v>
      </c>
    </row>
    <row r="72" spans="1:20" x14ac:dyDescent="0.25">
      <c r="A72" s="1" t="str">
        <f>HYPERLINK("https://vegkart.atlas.vegvesen.no/#/@237166.9,6661002.6,18/hva:hva%5B0%5D%5Bfilter%5D%5B0%5D%5Boperator%5D=%21%3D&amp;hva%5B0%5D%5Bfilter%5D%5B0%5D%5Btype_id%5D=9435&amp;hva%5B0%5D%5Bfilter%5D%5B0%5D%5Bverdi%5D=&amp;hva%5B0%5D%5Bid%5D=208/når:2018-07-02", "Vegkart")</f>
        <v>Vegkart</v>
      </c>
      <c r="B72">
        <v>589756947</v>
      </c>
      <c r="C72">
        <v>208</v>
      </c>
      <c r="D72" t="s">
        <v>304</v>
      </c>
      <c r="E72">
        <v>9435</v>
      </c>
      <c r="F72" t="s">
        <v>23479</v>
      </c>
      <c r="G72">
        <v>2</v>
      </c>
      <c r="H72" t="s">
        <v>314</v>
      </c>
      <c r="J72" t="s">
        <v>306</v>
      </c>
      <c r="K72" t="s">
        <v>307</v>
      </c>
      <c r="L72" t="s">
        <v>80</v>
      </c>
      <c r="M72" t="s">
        <v>152</v>
      </c>
      <c r="N72" t="s">
        <v>318</v>
      </c>
      <c r="O72" t="s">
        <v>332</v>
      </c>
      <c r="P72" s="2" t="s">
        <v>26</v>
      </c>
      <c r="Q72" t="s">
        <v>27</v>
      </c>
      <c r="R72">
        <v>11.6</v>
      </c>
      <c r="S72">
        <v>11.6</v>
      </c>
      <c r="T72" t="s">
        <v>333</v>
      </c>
    </row>
    <row r="73" spans="1:20" x14ac:dyDescent="0.25">
      <c r="A73" s="1" t="str">
        <f>HYPERLINK("https://vegkart.atlas.vegvesen.no/#/@258676.2,6652179.3,18/hva:hva%5B0%5D%5Bfilter%5D%5B0%5D%5Boperator%5D=%21%3D&amp;hva%5B0%5D%5Bfilter%5D%5B0%5D%5Btype_id%5D=9435&amp;hva%5B0%5D%5Bfilter%5D%5B0%5D%5Bverdi%5D=&amp;hva%5B0%5D%5Bid%5D=208/når:2023-11-13", "Vegkart")</f>
        <v>Vegkart</v>
      </c>
      <c r="B73">
        <v>687498648</v>
      </c>
      <c r="C73">
        <v>208</v>
      </c>
      <c r="D73" t="s">
        <v>304</v>
      </c>
      <c r="E73">
        <v>9435</v>
      </c>
      <c r="F73" t="s">
        <v>23479</v>
      </c>
      <c r="G73">
        <v>2</v>
      </c>
      <c r="H73" t="s">
        <v>334</v>
      </c>
      <c r="J73" t="s">
        <v>306</v>
      </c>
      <c r="K73" t="s">
        <v>335</v>
      </c>
      <c r="L73" t="s">
        <v>113</v>
      </c>
      <c r="M73" t="s">
        <v>336</v>
      </c>
      <c r="N73" t="s">
        <v>337</v>
      </c>
      <c r="O73" t="s">
        <v>338</v>
      </c>
      <c r="P73" s="2" t="s">
        <v>37</v>
      </c>
      <c r="Q73" t="s">
        <v>38</v>
      </c>
      <c r="R73">
        <v>0</v>
      </c>
      <c r="S73">
        <v>14.74</v>
      </c>
      <c r="T73" t="s">
        <v>339</v>
      </c>
    </row>
    <row r="74" spans="1:20" x14ac:dyDescent="0.25">
      <c r="A74" s="1" t="str">
        <f>HYPERLINK("https://vegkart.atlas.vegvesen.no/#/@258688.8,6652180.7,18/hva:hva%5B0%5D%5Bfilter%5D%5B0%5D%5Boperator%5D=%21%3D&amp;hva%5B0%5D%5Bfilter%5D%5B0%5D%5Btype_id%5D=9435&amp;hva%5B0%5D%5Bfilter%5D%5B0%5D%5Bverdi%5D=&amp;hva%5B0%5D%5Bid%5D=208/når:2023-11-13", "Vegkart")</f>
        <v>Vegkart</v>
      </c>
      <c r="B74">
        <v>687498649</v>
      </c>
      <c r="C74">
        <v>208</v>
      </c>
      <c r="D74" t="s">
        <v>304</v>
      </c>
      <c r="E74">
        <v>9435</v>
      </c>
      <c r="F74" t="s">
        <v>23479</v>
      </c>
      <c r="G74">
        <v>2</v>
      </c>
      <c r="H74" t="s">
        <v>334</v>
      </c>
      <c r="J74" t="s">
        <v>306</v>
      </c>
      <c r="K74" t="s">
        <v>335</v>
      </c>
      <c r="L74" t="s">
        <v>113</v>
      </c>
      <c r="M74" t="s">
        <v>336</v>
      </c>
      <c r="N74" t="s">
        <v>337</v>
      </c>
      <c r="O74" t="s">
        <v>340</v>
      </c>
      <c r="P74" s="2" t="s">
        <v>37</v>
      </c>
      <c r="Q74" t="s">
        <v>38</v>
      </c>
      <c r="R74">
        <v>0</v>
      </c>
      <c r="S74">
        <v>32.81</v>
      </c>
      <c r="T74" t="s">
        <v>341</v>
      </c>
    </row>
    <row r="75" spans="1:20" x14ac:dyDescent="0.25">
      <c r="A75" s="1" t="str">
        <f>HYPERLINK("https://vegkart.atlas.vegvesen.no/#/@258687.1,6652183.6,18/hva:hva%5B0%5D%5Bfilter%5D%5B0%5D%5Boperator%5D=%21%3D&amp;hva%5B0%5D%5Bfilter%5D%5B0%5D%5Btype_id%5D=9435&amp;hva%5B0%5D%5Bfilter%5D%5B0%5D%5Bverdi%5D=&amp;hva%5B0%5D%5Bid%5D=208/når:2023-11-13", "Vegkart")</f>
        <v>Vegkart</v>
      </c>
      <c r="B75">
        <v>687498650</v>
      </c>
      <c r="C75">
        <v>208</v>
      </c>
      <c r="D75" t="s">
        <v>304</v>
      </c>
      <c r="E75">
        <v>9435</v>
      </c>
      <c r="F75" t="s">
        <v>23479</v>
      </c>
      <c r="G75">
        <v>2</v>
      </c>
      <c r="H75" t="s">
        <v>334</v>
      </c>
      <c r="J75" t="s">
        <v>306</v>
      </c>
      <c r="K75" t="s">
        <v>335</v>
      </c>
      <c r="L75" t="s">
        <v>113</v>
      </c>
      <c r="M75" t="s">
        <v>336</v>
      </c>
      <c r="N75" t="s">
        <v>337</v>
      </c>
      <c r="O75" t="s">
        <v>342</v>
      </c>
      <c r="P75" s="2" t="s">
        <v>37</v>
      </c>
      <c r="Q75" t="s">
        <v>38</v>
      </c>
      <c r="R75">
        <v>0</v>
      </c>
      <c r="S75">
        <v>32.82</v>
      </c>
      <c r="T75" t="s">
        <v>343</v>
      </c>
    </row>
    <row r="76" spans="1:20" x14ac:dyDescent="0.25">
      <c r="A76" s="1" t="str">
        <f>HYPERLINK("https://vegkart.atlas.vegvesen.no/#/@259877.7,6652926.1,18/hva:hva%5B0%5D%5Bfilter%5D%5B0%5D%5Boperator%5D=%21%3D&amp;hva%5B0%5D%5Bfilter%5D%5B0%5D%5Btype_id%5D=9435&amp;hva%5B0%5D%5Bfilter%5D%5B0%5D%5Bverdi%5D=&amp;hva%5B0%5D%5Bid%5D=208/når:2017-01-01", "Vegkart")</f>
        <v>Vegkart</v>
      </c>
      <c r="B76">
        <v>765752743</v>
      </c>
      <c r="C76">
        <v>208</v>
      </c>
      <c r="D76" t="s">
        <v>304</v>
      </c>
      <c r="E76">
        <v>9435</v>
      </c>
      <c r="F76" t="s">
        <v>23479</v>
      </c>
      <c r="G76">
        <v>1</v>
      </c>
      <c r="H76" t="s">
        <v>344</v>
      </c>
      <c r="J76" t="s">
        <v>306</v>
      </c>
      <c r="K76" t="s">
        <v>335</v>
      </c>
      <c r="L76" t="s">
        <v>113</v>
      </c>
      <c r="M76" t="s">
        <v>336</v>
      </c>
      <c r="N76" t="s">
        <v>345</v>
      </c>
      <c r="O76" t="s">
        <v>346</v>
      </c>
      <c r="P76" s="2" t="s">
        <v>37</v>
      </c>
      <c r="Q76" t="s">
        <v>38</v>
      </c>
      <c r="R76">
        <v>0</v>
      </c>
      <c r="S76">
        <v>10.77</v>
      </c>
      <c r="T76" t="s">
        <v>347</v>
      </c>
    </row>
    <row r="77" spans="1:20" x14ac:dyDescent="0.25">
      <c r="A77" s="1" t="str">
        <f>HYPERLINK("https://vegkart.atlas.vegvesen.no/#/@260358.6,6653219.3,18/hva:hva%5B0%5D%5Bfilter%5D%5B0%5D%5Boperator%5D=%21%3D&amp;hva%5B0%5D%5Bfilter%5D%5B0%5D%5Btype_id%5D=9435&amp;hva%5B0%5D%5Bfilter%5D%5B0%5D%5Bverdi%5D=&amp;hva%5B0%5D%5Bid%5D=208/når:2017-01-01", "Vegkart")</f>
        <v>Vegkart</v>
      </c>
      <c r="B77">
        <v>765752744</v>
      </c>
      <c r="C77">
        <v>208</v>
      </c>
      <c r="D77" t="s">
        <v>304</v>
      </c>
      <c r="E77">
        <v>9435</v>
      </c>
      <c r="F77" t="s">
        <v>23479</v>
      </c>
      <c r="G77">
        <v>1</v>
      </c>
      <c r="H77" t="s">
        <v>344</v>
      </c>
      <c r="J77" t="s">
        <v>306</v>
      </c>
      <c r="K77" t="s">
        <v>335</v>
      </c>
      <c r="L77" t="s">
        <v>113</v>
      </c>
      <c r="M77" t="s">
        <v>336</v>
      </c>
      <c r="N77" t="s">
        <v>348</v>
      </c>
      <c r="O77" t="s">
        <v>349</v>
      </c>
      <c r="P77" s="2" t="s">
        <v>37</v>
      </c>
      <c r="Q77" t="s">
        <v>38</v>
      </c>
      <c r="R77">
        <v>0</v>
      </c>
      <c r="S77">
        <v>18.09</v>
      </c>
      <c r="T77" t="s">
        <v>350</v>
      </c>
    </row>
    <row r="78" spans="1:20" x14ac:dyDescent="0.25">
      <c r="A78" s="1" t="str">
        <f>HYPERLINK("https://vegkart.atlas.vegvesen.no/#/@260155.1,6653093.3,18/hva:hva%5B0%5D%5Bfilter%5D%5B0%5D%5Boperator%5D=%21%3D&amp;hva%5B0%5D%5Bfilter%5D%5B0%5D%5Btype_id%5D=9435&amp;hva%5B0%5D%5Bfilter%5D%5B0%5D%5Bverdi%5D=&amp;hva%5B0%5D%5Bid%5D=208/når:2017-01-01", "Vegkart")</f>
        <v>Vegkart</v>
      </c>
      <c r="B78">
        <v>765752745</v>
      </c>
      <c r="C78">
        <v>208</v>
      </c>
      <c r="D78" t="s">
        <v>304</v>
      </c>
      <c r="E78">
        <v>9435</v>
      </c>
      <c r="F78" t="s">
        <v>23479</v>
      </c>
      <c r="G78">
        <v>1</v>
      </c>
      <c r="H78" t="s">
        <v>344</v>
      </c>
      <c r="J78" t="s">
        <v>306</v>
      </c>
      <c r="K78" t="s">
        <v>335</v>
      </c>
      <c r="L78" t="s">
        <v>113</v>
      </c>
      <c r="M78" t="s">
        <v>336</v>
      </c>
      <c r="N78" t="s">
        <v>351</v>
      </c>
      <c r="O78" t="s">
        <v>352</v>
      </c>
      <c r="P78" s="2" t="s">
        <v>37</v>
      </c>
      <c r="Q78" t="s">
        <v>38</v>
      </c>
      <c r="R78">
        <v>0</v>
      </c>
      <c r="S78">
        <v>23.13</v>
      </c>
      <c r="T78" t="s">
        <v>353</v>
      </c>
    </row>
    <row r="79" spans="1:20" x14ac:dyDescent="0.25">
      <c r="A79" s="1" t="str">
        <f>HYPERLINK("https://vegkart.atlas.vegvesen.no/#/@262463.1,6653699.5,18/hva:hva%5B0%5D%5Bfilter%5D%5B0%5D%5Boperator%5D=%21%3D&amp;hva%5B0%5D%5Bfilter%5D%5B0%5D%5Btype_id%5D=9435&amp;hva%5B0%5D%5Bfilter%5D%5B0%5D%5Bverdi%5D=&amp;hva%5B0%5D%5Bid%5D=208/når:2023-11-13", "Vegkart")</f>
        <v>Vegkart</v>
      </c>
      <c r="B79">
        <v>847756636</v>
      </c>
      <c r="C79">
        <v>208</v>
      </c>
      <c r="D79" t="s">
        <v>304</v>
      </c>
      <c r="E79">
        <v>9435</v>
      </c>
      <c r="F79" t="s">
        <v>23479</v>
      </c>
      <c r="G79">
        <v>2</v>
      </c>
      <c r="H79" t="s">
        <v>334</v>
      </c>
      <c r="J79" t="s">
        <v>306</v>
      </c>
      <c r="K79" t="s">
        <v>335</v>
      </c>
      <c r="L79" t="s">
        <v>113</v>
      </c>
      <c r="M79" t="s">
        <v>336</v>
      </c>
      <c r="N79" t="s">
        <v>354</v>
      </c>
      <c r="O79" t="s">
        <v>355</v>
      </c>
      <c r="P79" s="2" t="s">
        <v>37</v>
      </c>
      <c r="Q79" t="s">
        <v>38</v>
      </c>
      <c r="R79">
        <v>0</v>
      </c>
      <c r="S79">
        <v>53.9</v>
      </c>
      <c r="T79" t="s">
        <v>356</v>
      </c>
    </row>
    <row r="80" spans="1:20" x14ac:dyDescent="0.25">
      <c r="A80" s="1" t="str">
        <f>HYPERLINK("https://vegkart.atlas.vegvesen.no/#/@262462.9,6653702.4,18/hva:hva%5B0%5D%5Bfilter%5D%5B0%5D%5Boperator%5D=%21%3D&amp;hva%5B0%5D%5Bfilter%5D%5B0%5D%5Btype_id%5D=9435&amp;hva%5B0%5D%5Bfilter%5D%5B0%5D%5Bverdi%5D=&amp;hva%5B0%5D%5Bid%5D=208/når:2023-11-13", "Vegkart")</f>
        <v>Vegkart</v>
      </c>
      <c r="B80">
        <v>847756637</v>
      </c>
      <c r="C80">
        <v>208</v>
      </c>
      <c r="D80" t="s">
        <v>304</v>
      </c>
      <c r="E80">
        <v>9435</v>
      </c>
      <c r="F80" t="s">
        <v>23479</v>
      </c>
      <c r="G80">
        <v>2</v>
      </c>
      <c r="H80" t="s">
        <v>334</v>
      </c>
      <c r="J80" t="s">
        <v>306</v>
      </c>
      <c r="K80" t="s">
        <v>335</v>
      </c>
      <c r="L80" t="s">
        <v>113</v>
      </c>
      <c r="M80" t="s">
        <v>336</v>
      </c>
      <c r="N80" t="s">
        <v>357</v>
      </c>
      <c r="O80" t="s">
        <v>358</v>
      </c>
      <c r="P80" s="2" t="s">
        <v>37</v>
      </c>
      <c r="Q80" t="s">
        <v>38</v>
      </c>
      <c r="R80">
        <v>0</v>
      </c>
      <c r="S80">
        <v>54.69</v>
      </c>
      <c r="T80" t="s">
        <v>359</v>
      </c>
    </row>
    <row r="81" spans="1:20" x14ac:dyDescent="0.25">
      <c r="A81" s="1" t="str">
        <f>HYPERLINK("https://vegkart.atlas.vegvesen.no/#/@260670.4,6649146.3,18/hva:hva%5B0%5D%5Bfilter%5D%5B0%5D%5Boperator%5D=%21%3D&amp;hva%5B0%5D%5Bfilter%5D%5B0%5D%5Btype_id%5D=9435&amp;hva%5B0%5D%5Bfilter%5D%5B0%5D%5Bverdi%5D=&amp;hva%5B0%5D%5Bid%5D=208/når:2020-09-17", "Vegkart")</f>
        <v>Vegkart</v>
      </c>
      <c r="B81">
        <v>1009251864</v>
      </c>
      <c r="C81">
        <v>208</v>
      </c>
      <c r="D81" t="s">
        <v>304</v>
      </c>
      <c r="E81">
        <v>9435</v>
      </c>
      <c r="F81" t="s">
        <v>23479</v>
      </c>
      <c r="G81">
        <v>1</v>
      </c>
      <c r="H81" t="s">
        <v>360</v>
      </c>
      <c r="J81" t="s">
        <v>361</v>
      </c>
      <c r="K81" t="s">
        <v>335</v>
      </c>
      <c r="L81" t="s">
        <v>80</v>
      </c>
      <c r="M81" t="s">
        <v>53</v>
      </c>
      <c r="N81" t="s">
        <v>362</v>
      </c>
      <c r="O81" t="s">
        <v>363</v>
      </c>
      <c r="P81" s="2" t="s">
        <v>37</v>
      </c>
      <c r="Q81" t="s">
        <v>38</v>
      </c>
      <c r="R81">
        <v>0</v>
      </c>
      <c r="S81">
        <v>92.04</v>
      </c>
      <c r="T81" t="s">
        <v>364</v>
      </c>
    </row>
    <row r="82" spans="1:20" x14ac:dyDescent="0.25">
      <c r="A82" s="1" t="str">
        <f>HYPERLINK("https://vegkart.atlas.vegvesen.no/#/@260669.0,6649149.3,18/hva:hva%5B0%5D%5Bfilter%5D%5B0%5D%5Boperator%5D=%21%3D&amp;hva%5B0%5D%5Bfilter%5D%5B0%5D%5Btype_id%5D=9435&amp;hva%5B0%5D%5Bfilter%5D%5B0%5D%5Bverdi%5D=&amp;hva%5B0%5D%5Bid%5D=208/når:2020-09-17", "Vegkart")</f>
        <v>Vegkart</v>
      </c>
      <c r="B82">
        <v>1009251865</v>
      </c>
      <c r="C82">
        <v>208</v>
      </c>
      <c r="D82" t="s">
        <v>304</v>
      </c>
      <c r="E82">
        <v>9435</v>
      </c>
      <c r="F82" t="s">
        <v>23479</v>
      </c>
      <c r="G82">
        <v>1</v>
      </c>
      <c r="H82" t="s">
        <v>360</v>
      </c>
      <c r="J82" t="s">
        <v>361</v>
      </c>
      <c r="K82" t="s">
        <v>335</v>
      </c>
      <c r="L82" t="s">
        <v>80</v>
      </c>
      <c r="M82" t="s">
        <v>53</v>
      </c>
      <c r="N82" t="s">
        <v>362</v>
      </c>
      <c r="O82" t="s">
        <v>365</v>
      </c>
      <c r="P82" s="2" t="s">
        <v>37</v>
      </c>
      <c r="Q82" t="s">
        <v>38</v>
      </c>
      <c r="R82">
        <v>0</v>
      </c>
      <c r="S82">
        <v>92.29</v>
      </c>
      <c r="T82" t="s">
        <v>366</v>
      </c>
    </row>
    <row r="83" spans="1:20" x14ac:dyDescent="0.25">
      <c r="A83" s="1" t="str">
        <f>HYPERLINK("https://vegkart.atlas.vegvesen.no/#/@47430.2,6802214.1,18/hva:hva%5B0%5D%5Bfilter%5D%5B0%5D%5Boperator%5D=%21%3D&amp;hva%5B0%5D%5Bfilter%5D%5B0%5D%5Btype_id%5D=9435&amp;hva%5B0%5D%5Bfilter%5D%5B0%5D%5Bverdi%5D=&amp;hva%5B0%5D%5Bid%5D=208/når:2020-10-12", "Vegkart")</f>
        <v>Vegkart</v>
      </c>
      <c r="B83">
        <v>1009956620</v>
      </c>
      <c r="C83">
        <v>208</v>
      </c>
      <c r="D83" t="s">
        <v>304</v>
      </c>
      <c r="E83">
        <v>9435</v>
      </c>
      <c r="F83" t="s">
        <v>23479</v>
      </c>
      <c r="G83">
        <v>1</v>
      </c>
      <c r="H83" t="s">
        <v>367</v>
      </c>
      <c r="J83" t="s">
        <v>361</v>
      </c>
      <c r="K83" t="s">
        <v>21</v>
      </c>
      <c r="L83" t="s">
        <v>113</v>
      </c>
      <c r="M83" t="s">
        <v>114</v>
      </c>
      <c r="N83" t="s">
        <v>115</v>
      </c>
      <c r="O83" t="s">
        <v>368</v>
      </c>
      <c r="P83" s="2" t="s">
        <v>26</v>
      </c>
      <c r="Q83" t="s">
        <v>27</v>
      </c>
      <c r="R83">
        <v>22.93</v>
      </c>
      <c r="S83">
        <v>22.93</v>
      </c>
      <c r="T83" t="s">
        <v>369</v>
      </c>
    </row>
    <row r="84" spans="1:20" x14ac:dyDescent="0.25">
      <c r="A84" s="1" t="str">
        <f>HYPERLINK("https://vegkart.atlas.vegvesen.no/#/@48388.9,6805086.7,18/hva:hva%5B0%5D%5Bfilter%5D%5B0%5D%5Boperator%5D=%21%3D&amp;hva%5B0%5D%5Bfilter%5D%5B0%5D%5Btype_id%5D=9435&amp;hva%5B0%5D%5Bfilter%5D%5B0%5D%5Bverdi%5D=&amp;hva%5B0%5D%5Bid%5D=208/når:2020-10-27", "Vegkart")</f>
        <v>Vegkart</v>
      </c>
      <c r="B84">
        <v>1010852269</v>
      </c>
      <c r="C84">
        <v>208</v>
      </c>
      <c r="D84" t="s">
        <v>304</v>
      </c>
      <c r="E84">
        <v>9435</v>
      </c>
      <c r="F84" t="s">
        <v>23479</v>
      </c>
      <c r="G84">
        <v>1</v>
      </c>
      <c r="H84" t="s">
        <v>112</v>
      </c>
      <c r="J84" t="s">
        <v>361</v>
      </c>
      <c r="K84" t="s">
        <v>21</v>
      </c>
      <c r="L84" t="s">
        <v>370</v>
      </c>
      <c r="M84" t="s">
        <v>371</v>
      </c>
      <c r="N84" t="s">
        <v>372</v>
      </c>
      <c r="O84" t="s">
        <v>373</v>
      </c>
      <c r="P84" s="2" t="s">
        <v>26</v>
      </c>
      <c r="Q84" t="s">
        <v>27</v>
      </c>
      <c r="R84">
        <v>2.2599999999999998</v>
      </c>
      <c r="S84">
        <v>2.2599999999999998</v>
      </c>
      <c r="T84" t="s">
        <v>374</v>
      </c>
    </row>
    <row r="85" spans="1:20" x14ac:dyDescent="0.25">
      <c r="A85" s="1" t="str">
        <f>HYPERLINK("https://vegkart.atlas.vegvesen.no/#/@9425.9,6640734.0,18/hva:hva%5B0%5D%5Bfilter%5D%5B0%5D%5Boperator%5D=%21%3D&amp;hva%5B0%5D%5Bfilter%5D%5B0%5D%5Btype_id%5D=9435&amp;hva%5B0%5D%5Bfilter%5D%5B0%5D%5Bverdi%5D=&amp;hva%5B0%5D%5Bid%5D=208/når:2021-09-10", "Vegkart")</f>
        <v>Vegkart</v>
      </c>
      <c r="B85">
        <v>1013992567</v>
      </c>
      <c r="C85">
        <v>208</v>
      </c>
      <c r="D85" t="s">
        <v>304</v>
      </c>
      <c r="E85">
        <v>9435</v>
      </c>
      <c r="F85" t="s">
        <v>23479</v>
      </c>
      <c r="G85">
        <v>1</v>
      </c>
      <c r="H85" t="s">
        <v>375</v>
      </c>
      <c r="J85" t="s">
        <v>361</v>
      </c>
      <c r="K85" t="s">
        <v>170</v>
      </c>
      <c r="L85" t="s">
        <v>33</v>
      </c>
      <c r="M85" t="s">
        <v>376</v>
      </c>
      <c r="N85" t="s">
        <v>377</v>
      </c>
      <c r="O85" t="s">
        <v>378</v>
      </c>
      <c r="P85" s="2" t="s">
        <v>37</v>
      </c>
      <c r="Q85" t="s">
        <v>38</v>
      </c>
      <c r="R85">
        <v>0.09</v>
      </c>
      <c r="S85">
        <v>5.3</v>
      </c>
      <c r="T85" t="s">
        <v>379</v>
      </c>
    </row>
    <row r="86" spans="1:20" x14ac:dyDescent="0.25">
      <c r="A86" s="1" t="str">
        <f>HYPERLINK("https://vegkart.atlas.vegvesen.no/#/@-33585.7,6574121.7,18/hva:hva%5B0%5D%5Bfilter%5D%5B0%5D%5Boperator%5D=%21%3D&amp;hva%5B0%5D%5Bfilter%5D%5B0%5D%5Btype_id%5D=9435&amp;hva%5B0%5D%5Bfilter%5D%5B0%5D%5Bverdi%5D=&amp;hva%5B0%5D%5Bid%5D=208/når:2022-09-16", "Vegkart")</f>
        <v>Vegkart</v>
      </c>
      <c r="B86">
        <v>1016332826</v>
      </c>
      <c r="C86">
        <v>208</v>
      </c>
      <c r="D86" t="s">
        <v>304</v>
      </c>
      <c r="E86">
        <v>9435</v>
      </c>
      <c r="F86" t="s">
        <v>23479</v>
      </c>
      <c r="G86">
        <v>1</v>
      </c>
      <c r="H86" t="s">
        <v>380</v>
      </c>
      <c r="J86" t="s">
        <v>361</v>
      </c>
      <c r="K86" t="s">
        <v>170</v>
      </c>
      <c r="L86" t="s">
        <v>33</v>
      </c>
      <c r="M86" t="s">
        <v>381</v>
      </c>
      <c r="N86" t="s">
        <v>382</v>
      </c>
      <c r="O86" t="s">
        <v>383</v>
      </c>
      <c r="P86" s="2" t="s">
        <v>26</v>
      </c>
      <c r="Q86" t="s">
        <v>27</v>
      </c>
      <c r="R86">
        <v>21.62</v>
      </c>
      <c r="S86">
        <v>25.66</v>
      </c>
      <c r="T86" t="s">
        <v>384</v>
      </c>
    </row>
    <row r="87" spans="1:20" x14ac:dyDescent="0.25">
      <c r="A87" s="1" t="str">
        <f>HYPERLINK("https://vegkart.atlas.vegvesen.no/#/@-33876.2,6756697.7,18/hva:hva%5B0%5D%5Bfilter%5D%5B0%5D%5Boperator%5D=%21%3D&amp;hva%5B0%5D%5Bfilter%5D%5B0%5D%5Btype_id%5D=9435&amp;hva%5B0%5D%5Bfilter%5D%5B0%5D%5Bverdi%5D=&amp;hva%5B0%5D%5Bid%5D=208/når:2024-06-12", "Vegkart")</f>
        <v>Vegkart</v>
      </c>
      <c r="B87">
        <v>1019245730</v>
      </c>
      <c r="C87">
        <v>208</v>
      </c>
      <c r="D87" t="s">
        <v>304</v>
      </c>
      <c r="E87">
        <v>9435</v>
      </c>
      <c r="F87" t="s">
        <v>23479</v>
      </c>
      <c r="G87">
        <v>1</v>
      </c>
      <c r="H87" t="s">
        <v>385</v>
      </c>
      <c r="J87" t="s">
        <v>361</v>
      </c>
      <c r="K87" t="s">
        <v>21</v>
      </c>
      <c r="L87" t="s">
        <v>33</v>
      </c>
      <c r="M87" t="s">
        <v>386</v>
      </c>
      <c r="N87" t="s">
        <v>387</v>
      </c>
      <c r="O87" t="s">
        <v>388</v>
      </c>
      <c r="P87" s="2" t="s">
        <v>37</v>
      </c>
      <c r="Q87" t="s">
        <v>38</v>
      </c>
      <c r="R87">
        <v>0</v>
      </c>
      <c r="S87">
        <v>19.190000000000001</v>
      </c>
      <c r="T87" t="s">
        <v>389</v>
      </c>
    </row>
    <row r="88" spans="1:20" x14ac:dyDescent="0.25">
      <c r="A88" s="1" t="str">
        <f>HYPERLINK("https://vegkart.atlas.vegvesen.no/#/@-42807.2,6563518.3,18/hva:hva%5B0%5D%5Bfilter%5D%5B0%5D%5Boperator%5D=%21%3D&amp;hva%5B0%5D%5Bfilter%5D%5B0%5D%5Btype_id%5D=9435&amp;hva%5B0%5D%5Bfilter%5D%5B0%5D%5Bverdi%5D=&amp;hva%5B0%5D%5Bid%5D=208/når:2024-10-15", "Vegkart")</f>
        <v>Vegkart</v>
      </c>
      <c r="B88">
        <v>1020020021</v>
      </c>
      <c r="C88">
        <v>208</v>
      </c>
      <c r="D88" t="s">
        <v>304</v>
      </c>
      <c r="E88">
        <v>9435</v>
      </c>
      <c r="F88" t="s">
        <v>23479</v>
      </c>
      <c r="G88">
        <v>1</v>
      </c>
      <c r="H88" t="s">
        <v>390</v>
      </c>
      <c r="J88" t="s">
        <v>391</v>
      </c>
      <c r="K88" t="s">
        <v>170</v>
      </c>
      <c r="L88" t="s">
        <v>33</v>
      </c>
      <c r="M88" t="s">
        <v>392</v>
      </c>
      <c r="N88" t="s">
        <v>393</v>
      </c>
      <c r="O88" t="s">
        <v>394</v>
      </c>
      <c r="P88" s="2" t="s">
        <v>26</v>
      </c>
      <c r="Q88" t="s">
        <v>27</v>
      </c>
      <c r="R88">
        <v>22.77</v>
      </c>
      <c r="S88">
        <v>22.78</v>
      </c>
      <c r="T88" t="s">
        <v>395</v>
      </c>
    </row>
    <row r="89" spans="1:20" x14ac:dyDescent="0.25">
      <c r="A89" s="1" t="str">
        <f>HYPERLINK("https://vegkart.atlas.vegvesen.no/#/@-42807.0,6563520.5,18/hva:hva%5B0%5D%5Bfilter%5D%5B0%5D%5Boperator%5D=%21%3D&amp;hva%5B0%5D%5Bfilter%5D%5B0%5D%5Btype_id%5D=9435&amp;hva%5B0%5D%5Bfilter%5D%5B0%5D%5Bverdi%5D=&amp;hva%5B0%5D%5Bid%5D=208/når:2024-10-15", "Vegkart")</f>
        <v>Vegkart</v>
      </c>
      <c r="B89">
        <v>1020020022</v>
      </c>
      <c r="C89">
        <v>208</v>
      </c>
      <c r="D89" t="s">
        <v>304</v>
      </c>
      <c r="E89">
        <v>9435</v>
      </c>
      <c r="F89" t="s">
        <v>23479</v>
      </c>
      <c r="G89">
        <v>1</v>
      </c>
      <c r="H89" t="s">
        <v>390</v>
      </c>
      <c r="J89" t="s">
        <v>391</v>
      </c>
      <c r="K89" t="s">
        <v>170</v>
      </c>
      <c r="L89" t="s">
        <v>33</v>
      </c>
      <c r="M89" t="s">
        <v>392</v>
      </c>
      <c r="N89" t="s">
        <v>393</v>
      </c>
      <c r="O89" t="s">
        <v>396</v>
      </c>
      <c r="P89" s="2" t="s">
        <v>26</v>
      </c>
      <c r="Q89" t="s">
        <v>27</v>
      </c>
      <c r="R89">
        <v>22.82</v>
      </c>
      <c r="S89">
        <v>22.84</v>
      </c>
      <c r="T89" t="s">
        <v>397</v>
      </c>
    </row>
    <row r="90" spans="1:20" x14ac:dyDescent="0.25">
      <c r="A90" s="1" t="str">
        <f>HYPERLINK("https://vegkart.atlas.vegvesen.no/#/@132927.9,6498841.1,18/hva:hva%5B0%5D%5Bfilter%5D%5B0%5D%5Boperator%5D=%21%3D&amp;hva%5B0%5D%5Bfilter%5D%5B0%5D%5Btype_id%5D=9435&amp;hva%5B0%5D%5Bfilter%5D%5B0%5D%5Bverdi%5D=&amp;hva%5B0%5D%5Bid%5D=208/når:2025-01-24", "Vegkart")</f>
        <v>Vegkart</v>
      </c>
      <c r="B90">
        <v>1022005293</v>
      </c>
      <c r="C90">
        <v>208</v>
      </c>
      <c r="D90" t="s">
        <v>304</v>
      </c>
      <c r="E90">
        <v>9435</v>
      </c>
      <c r="F90" t="s">
        <v>23479</v>
      </c>
      <c r="G90">
        <v>1</v>
      </c>
      <c r="H90" t="s">
        <v>211</v>
      </c>
      <c r="J90" t="s">
        <v>391</v>
      </c>
      <c r="K90" t="s">
        <v>86</v>
      </c>
      <c r="L90" t="s">
        <v>370</v>
      </c>
      <c r="M90" t="s">
        <v>398</v>
      </c>
      <c r="N90" t="s">
        <v>399</v>
      </c>
      <c r="O90" t="s">
        <v>400</v>
      </c>
      <c r="P90" s="2" t="s">
        <v>37</v>
      </c>
      <c r="Q90" t="s">
        <v>38</v>
      </c>
      <c r="R90">
        <v>0</v>
      </c>
      <c r="S90">
        <v>162.81</v>
      </c>
      <c r="T90" t="s">
        <v>401</v>
      </c>
    </row>
    <row r="91" spans="1:20" x14ac:dyDescent="0.25">
      <c r="A91" s="1" t="str">
        <f>HYPERLINK("https://vegkart.atlas.vegvesen.no/#/@274349.6,6758528.9,18/hva:hva%5B0%5D%5Bfilter%5D%5B0%5D%5Boperator%5D=%21%3D&amp;hva%5B0%5D%5Bfilter%5D%5B0%5D%5Btype_id%5D=9435&amp;hva%5B0%5D%5Bfilter%5D%5B0%5D%5Bverdi%5D=&amp;hva%5B0%5D%5Bid%5D=208/når:2025-08-21", "Vegkart")</f>
        <v>Vegkart</v>
      </c>
      <c r="B91">
        <v>1025187415</v>
      </c>
      <c r="C91">
        <v>208</v>
      </c>
      <c r="D91" t="s">
        <v>304</v>
      </c>
      <c r="E91">
        <v>9435</v>
      </c>
      <c r="F91" t="s">
        <v>23479</v>
      </c>
      <c r="G91">
        <v>1</v>
      </c>
      <c r="H91" t="s">
        <v>402</v>
      </c>
      <c r="J91" t="s">
        <v>391</v>
      </c>
      <c r="K91" t="s">
        <v>136</v>
      </c>
      <c r="L91" t="s">
        <v>80</v>
      </c>
      <c r="M91" t="s">
        <v>105</v>
      </c>
      <c r="N91" t="s">
        <v>403</v>
      </c>
      <c r="O91" t="s">
        <v>404</v>
      </c>
      <c r="P91" s="2" t="s">
        <v>37</v>
      </c>
      <c r="Q91" t="s">
        <v>38</v>
      </c>
      <c r="R91">
        <v>0</v>
      </c>
      <c r="S91">
        <v>97.02</v>
      </c>
      <c r="T91" t="s">
        <v>405</v>
      </c>
    </row>
    <row r="92" spans="1:20" x14ac:dyDescent="0.25">
      <c r="A92" s="1" t="str">
        <f>HYPERLINK("https://vegkart.atlas.vegvesen.no/#/@274338.9,6758559.3,18/hva:hva%5B0%5D%5Bfilter%5D%5B0%5D%5Boperator%5D=%21%3D&amp;hva%5B0%5D%5Bfilter%5D%5B0%5D%5Btype_id%5D=9435&amp;hva%5B0%5D%5Bfilter%5D%5B0%5D%5Bverdi%5D=&amp;hva%5B0%5D%5Bid%5D=208/når:2025-08-21", "Vegkart")</f>
        <v>Vegkart</v>
      </c>
      <c r="B92">
        <v>1025187416</v>
      </c>
      <c r="C92">
        <v>208</v>
      </c>
      <c r="D92" t="s">
        <v>304</v>
      </c>
      <c r="E92">
        <v>9435</v>
      </c>
      <c r="F92" t="s">
        <v>23479</v>
      </c>
      <c r="G92">
        <v>1</v>
      </c>
      <c r="H92" t="s">
        <v>402</v>
      </c>
      <c r="J92" t="s">
        <v>391</v>
      </c>
      <c r="K92" t="s">
        <v>136</v>
      </c>
      <c r="L92" t="s">
        <v>80</v>
      </c>
      <c r="M92" t="s">
        <v>105</v>
      </c>
      <c r="N92" t="s">
        <v>406</v>
      </c>
      <c r="O92" t="s">
        <v>407</v>
      </c>
      <c r="P92" s="2" t="s">
        <v>37</v>
      </c>
      <c r="Q92" t="s">
        <v>38</v>
      </c>
      <c r="R92">
        <v>0</v>
      </c>
      <c r="S92">
        <v>58.03</v>
      </c>
      <c r="T92" t="s">
        <v>408</v>
      </c>
    </row>
    <row r="93" spans="1:20" x14ac:dyDescent="0.25">
      <c r="A93" s="1" t="str">
        <f>HYPERLINK("https://vegkart.atlas.vegvesen.no/#/@274381.2,6758502.8,18/hva:hva%5B0%5D%5Bfilter%5D%5B0%5D%5Boperator%5D=%21%3D&amp;hva%5B0%5D%5Bfilter%5D%5B0%5D%5Btype_id%5D=9435&amp;hva%5B0%5D%5Bfilter%5D%5B0%5D%5Bverdi%5D=&amp;hva%5B0%5D%5Bid%5D=208/når:2025-08-21", "Vegkart")</f>
        <v>Vegkart</v>
      </c>
      <c r="B93">
        <v>1025187417</v>
      </c>
      <c r="C93">
        <v>208</v>
      </c>
      <c r="D93" t="s">
        <v>304</v>
      </c>
      <c r="E93">
        <v>9435</v>
      </c>
      <c r="F93" t="s">
        <v>23479</v>
      </c>
      <c r="G93">
        <v>1</v>
      </c>
      <c r="H93" t="s">
        <v>402</v>
      </c>
      <c r="J93" t="s">
        <v>391</v>
      </c>
      <c r="K93" t="s">
        <v>136</v>
      </c>
      <c r="L93" t="s">
        <v>80</v>
      </c>
      <c r="M93" t="s">
        <v>105</v>
      </c>
      <c r="N93" t="s">
        <v>409</v>
      </c>
      <c r="O93" t="s">
        <v>410</v>
      </c>
      <c r="P93" s="2" t="s">
        <v>37</v>
      </c>
      <c r="Q93" t="s">
        <v>38</v>
      </c>
      <c r="R93">
        <v>0</v>
      </c>
      <c r="S93">
        <v>112.03</v>
      </c>
      <c r="T93" t="s">
        <v>411</v>
      </c>
    </row>
    <row r="94" spans="1:20" x14ac:dyDescent="0.25">
      <c r="A94" s="1" t="str">
        <f>HYPERLINK("https://vegkart.atlas.vegvesen.no/#/@-33491.6,6568003.5,18/hva:hva%5B0%5D%5Bfilter%5D%5B0%5D%5Boperator%5D=%21%3D&amp;hva%5B0%5D%5Bfilter%5D%5B0%5D%5Btype_id%5D=9435&amp;hva%5B0%5D%5Bfilter%5D%5B0%5D%5Bverdi%5D=&amp;hva%5B0%5D%5Bid%5D=208/når:2025-12-08", "Vegkart")</f>
        <v>Vegkart</v>
      </c>
      <c r="B94">
        <v>1025969724</v>
      </c>
      <c r="C94">
        <v>208</v>
      </c>
      <c r="D94" t="s">
        <v>304</v>
      </c>
      <c r="E94">
        <v>9435</v>
      </c>
      <c r="F94" t="s">
        <v>23479</v>
      </c>
      <c r="G94">
        <v>1</v>
      </c>
      <c r="H94" t="s">
        <v>412</v>
      </c>
      <c r="J94" t="s">
        <v>413</v>
      </c>
      <c r="K94" t="s">
        <v>170</v>
      </c>
      <c r="L94" t="s">
        <v>33</v>
      </c>
      <c r="M94" t="s">
        <v>414</v>
      </c>
      <c r="N94" t="s">
        <v>415</v>
      </c>
      <c r="O94" t="s">
        <v>416</v>
      </c>
      <c r="P94" s="2" t="s">
        <v>26</v>
      </c>
      <c r="Q94" t="s">
        <v>27</v>
      </c>
      <c r="R94">
        <v>49.78</v>
      </c>
      <c r="S94">
        <v>49.78</v>
      </c>
      <c r="T94" t="s">
        <v>417</v>
      </c>
    </row>
    <row r="95" spans="1:20" x14ac:dyDescent="0.25">
      <c r="A95" s="1" t="str">
        <f>HYPERLINK("https://vegkart.atlas.vegvesen.no/#/@-33423.6,6567925.4,18/hva:hva%5B0%5D%5Bfilter%5D%5B0%5D%5Boperator%5D=%21%3D&amp;hva%5B0%5D%5Bfilter%5D%5B0%5D%5Btype_id%5D=9435&amp;hva%5B0%5D%5Bfilter%5D%5B0%5D%5Bverdi%5D=&amp;hva%5B0%5D%5Bid%5D=208/når:2025-12-08", "Vegkart")</f>
        <v>Vegkart</v>
      </c>
      <c r="B95">
        <v>1025969725</v>
      </c>
      <c r="C95">
        <v>208</v>
      </c>
      <c r="D95" t="s">
        <v>304</v>
      </c>
      <c r="E95">
        <v>9435</v>
      </c>
      <c r="F95" t="s">
        <v>23479</v>
      </c>
      <c r="G95">
        <v>1</v>
      </c>
      <c r="H95" t="s">
        <v>412</v>
      </c>
      <c r="J95" t="s">
        <v>413</v>
      </c>
      <c r="K95" t="s">
        <v>170</v>
      </c>
      <c r="L95" t="s">
        <v>33</v>
      </c>
      <c r="M95" t="s">
        <v>414</v>
      </c>
      <c r="N95" t="s">
        <v>418</v>
      </c>
      <c r="O95" t="s">
        <v>419</v>
      </c>
      <c r="P95" s="2" t="s">
        <v>26</v>
      </c>
      <c r="Q95" t="s">
        <v>27</v>
      </c>
      <c r="R95">
        <v>39.14</v>
      </c>
      <c r="S95">
        <v>39.14</v>
      </c>
      <c r="T95" t="s">
        <v>420</v>
      </c>
    </row>
    <row r="96" spans="1:20" x14ac:dyDescent="0.25">
      <c r="A96" s="1" t="str">
        <f>HYPERLINK("https://vegkart.atlas.vegvesen.no/#/@-33489.6,6568005.5,18/hva:hva%5B0%5D%5Bfilter%5D%5B0%5D%5Boperator%5D=%21%3D&amp;hva%5B0%5D%5Bfilter%5D%5B0%5D%5Btype_id%5D=9435&amp;hva%5B0%5D%5Bfilter%5D%5B0%5D%5Bverdi%5D=&amp;hva%5B0%5D%5Bid%5D=208/når:2025-12-08", "Vegkart")</f>
        <v>Vegkart</v>
      </c>
      <c r="B96">
        <v>1025969726</v>
      </c>
      <c r="C96">
        <v>208</v>
      </c>
      <c r="D96" t="s">
        <v>304</v>
      </c>
      <c r="E96">
        <v>9435</v>
      </c>
      <c r="F96" t="s">
        <v>23479</v>
      </c>
      <c r="G96">
        <v>1</v>
      </c>
      <c r="H96" t="s">
        <v>412</v>
      </c>
      <c r="J96" t="s">
        <v>413</v>
      </c>
      <c r="K96" t="s">
        <v>170</v>
      </c>
      <c r="L96" t="s">
        <v>33</v>
      </c>
      <c r="M96" t="s">
        <v>414</v>
      </c>
      <c r="N96" t="s">
        <v>421</v>
      </c>
      <c r="O96" t="s">
        <v>422</v>
      </c>
      <c r="P96" s="2" t="s">
        <v>26</v>
      </c>
      <c r="Q96" t="s">
        <v>27</v>
      </c>
      <c r="R96">
        <v>49.86</v>
      </c>
      <c r="S96">
        <v>49.87</v>
      </c>
      <c r="T96" t="s">
        <v>423</v>
      </c>
    </row>
    <row r="97" spans="1:20" x14ac:dyDescent="0.25">
      <c r="A97" s="1" t="str">
        <f>HYPERLINK("https://vegkart.atlas.vegvesen.no/#/@-33325.9,6567793.9,18/hva:hva%5B0%5D%5Bfilter%5D%5B0%5D%5Boperator%5D=%21%3D&amp;hva%5B0%5D%5Bfilter%5D%5B0%5D%5Btype_id%5D=9435&amp;hva%5B0%5D%5Bfilter%5D%5B0%5D%5Bverdi%5D=&amp;hva%5B0%5D%5Bid%5D=208/når:2025-12-08", "Vegkart")</f>
        <v>Vegkart</v>
      </c>
      <c r="B97">
        <v>1025969727</v>
      </c>
      <c r="C97">
        <v>208</v>
      </c>
      <c r="D97" t="s">
        <v>304</v>
      </c>
      <c r="E97">
        <v>9435</v>
      </c>
      <c r="F97" t="s">
        <v>23479</v>
      </c>
      <c r="G97">
        <v>1</v>
      </c>
      <c r="H97" t="s">
        <v>412</v>
      </c>
      <c r="J97" t="s">
        <v>413</v>
      </c>
      <c r="K97" t="s">
        <v>170</v>
      </c>
      <c r="L97" t="s">
        <v>33</v>
      </c>
      <c r="M97" t="s">
        <v>414</v>
      </c>
      <c r="N97" t="s">
        <v>424</v>
      </c>
      <c r="O97" t="s">
        <v>425</v>
      </c>
      <c r="P97" s="2" t="s">
        <v>26</v>
      </c>
      <c r="Q97" t="s">
        <v>27</v>
      </c>
      <c r="R97">
        <v>26.64</v>
      </c>
      <c r="S97">
        <v>26.64</v>
      </c>
      <c r="T97" t="s">
        <v>426</v>
      </c>
    </row>
    <row r="98" spans="1:20" x14ac:dyDescent="0.25">
      <c r="A98" s="1" t="str">
        <f>HYPERLINK("https://vegkart.atlas.vegvesen.no/#/@-33299.1,6567760.3,18/hva:hva%5B0%5D%5Bfilter%5D%5B0%5D%5Boperator%5D=%21%3D&amp;hva%5B0%5D%5Bfilter%5D%5B0%5D%5Btype_id%5D=9435&amp;hva%5B0%5D%5Bfilter%5D%5B0%5D%5Bverdi%5D=&amp;hva%5B0%5D%5Bid%5D=208/når:2025-12-08", "Vegkart")</f>
        <v>Vegkart</v>
      </c>
      <c r="B98">
        <v>1025969728</v>
      </c>
      <c r="C98">
        <v>208</v>
      </c>
      <c r="D98" t="s">
        <v>304</v>
      </c>
      <c r="E98">
        <v>9435</v>
      </c>
      <c r="F98" t="s">
        <v>23479</v>
      </c>
      <c r="G98">
        <v>1</v>
      </c>
      <c r="H98" t="s">
        <v>412</v>
      </c>
      <c r="J98" t="s">
        <v>413</v>
      </c>
      <c r="K98" t="s">
        <v>170</v>
      </c>
      <c r="L98" t="s">
        <v>33</v>
      </c>
      <c r="M98" t="s">
        <v>414</v>
      </c>
      <c r="N98" t="s">
        <v>427</v>
      </c>
      <c r="O98" t="s">
        <v>428</v>
      </c>
      <c r="P98" s="2" t="s">
        <v>26</v>
      </c>
      <c r="Q98" t="s">
        <v>27</v>
      </c>
      <c r="R98">
        <v>32.65</v>
      </c>
      <c r="S98">
        <v>32.65</v>
      </c>
      <c r="T98" t="s">
        <v>429</v>
      </c>
    </row>
    <row r="99" spans="1:20" x14ac:dyDescent="0.25">
      <c r="A99" s="1" t="str">
        <f>HYPERLINK("https://vegkart.atlas.vegvesen.no/#/@-33495.2,6567999.1,18/hva:hva%5B0%5D%5Bfilter%5D%5B0%5D%5Boperator%5D=%21%3D&amp;hva%5B0%5D%5Bfilter%5D%5B0%5D%5Btype_id%5D=9435&amp;hva%5B0%5D%5Bfilter%5D%5B0%5D%5Bverdi%5D=&amp;hva%5B0%5D%5Bid%5D=208/når:2025-12-08", "Vegkart")</f>
        <v>Vegkart</v>
      </c>
      <c r="B99">
        <v>1025969729</v>
      </c>
      <c r="C99">
        <v>208</v>
      </c>
      <c r="D99" t="s">
        <v>304</v>
      </c>
      <c r="E99">
        <v>9435</v>
      </c>
      <c r="F99" t="s">
        <v>23479</v>
      </c>
      <c r="G99">
        <v>1</v>
      </c>
      <c r="H99" t="s">
        <v>412</v>
      </c>
      <c r="J99" t="s">
        <v>413</v>
      </c>
      <c r="K99" t="s">
        <v>170</v>
      </c>
      <c r="L99" t="s">
        <v>33</v>
      </c>
      <c r="M99" t="s">
        <v>414</v>
      </c>
      <c r="N99" t="s">
        <v>430</v>
      </c>
      <c r="O99" t="s">
        <v>431</v>
      </c>
      <c r="P99" s="2" t="s">
        <v>26</v>
      </c>
      <c r="Q99" t="s">
        <v>27</v>
      </c>
      <c r="R99">
        <v>48.61</v>
      </c>
      <c r="S99">
        <v>48.61</v>
      </c>
      <c r="T99" t="s">
        <v>432</v>
      </c>
    </row>
    <row r="100" spans="1:20" x14ac:dyDescent="0.25">
      <c r="A100" s="1" t="str">
        <f>HYPERLINK("https://vegkart.atlas.vegvesen.no/#/@-33517.5,6568021.3,18/hva:hva%5B0%5D%5Bfilter%5D%5B0%5D%5Boperator%5D=%21%3D&amp;hva%5B0%5D%5Bfilter%5D%5B0%5D%5Btype_id%5D=9435&amp;hva%5B0%5D%5Bfilter%5D%5B0%5D%5Bverdi%5D=&amp;hva%5B0%5D%5Bid%5D=208/når:2025-12-08", "Vegkart")</f>
        <v>Vegkart</v>
      </c>
      <c r="B100">
        <v>1025969731</v>
      </c>
      <c r="C100">
        <v>208</v>
      </c>
      <c r="D100" t="s">
        <v>304</v>
      </c>
      <c r="E100">
        <v>9435</v>
      </c>
      <c r="F100" t="s">
        <v>23479</v>
      </c>
      <c r="G100">
        <v>1</v>
      </c>
      <c r="H100" t="s">
        <v>412</v>
      </c>
      <c r="J100" t="s">
        <v>413</v>
      </c>
      <c r="K100" t="s">
        <v>170</v>
      </c>
      <c r="L100" t="s">
        <v>33</v>
      </c>
      <c r="M100" t="s">
        <v>414</v>
      </c>
      <c r="N100" t="s">
        <v>433</v>
      </c>
      <c r="O100" t="s">
        <v>434</v>
      </c>
      <c r="P100" s="2" t="s">
        <v>26</v>
      </c>
      <c r="Q100" t="s">
        <v>27</v>
      </c>
      <c r="R100">
        <v>14.35</v>
      </c>
      <c r="S100">
        <v>14.35</v>
      </c>
      <c r="T100" t="s">
        <v>435</v>
      </c>
    </row>
    <row r="101" spans="1:20" x14ac:dyDescent="0.25">
      <c r="A101" s="1" t="str">
        <f>HYPERLINK("https://vegkart.atlas.vegvesen.no/#/@-33401.3,6567919.4,18/hva:hva%5B0%5D%5Bfilter%5D%5B0%5D%5Boperator%5D=%21%3D&amp;hva%5B0%5D%5Bfilter%5D%5B0%5D%5Btype_id%5D=9435&amp;hva%5B0%5D%5Bfilter%5D%5B0%5D%5Bverdi%5D=&amp;hva%5B0%5D%5Bid%5D=208/når:2025-12-08", "Vegkart")</f>
        <v>Vegkart</v>
      </c>
      <c r="B101">
        <v>1025969732</v>
      </c>
      <c r="C101">
        <v>208</v>
      </c>
      <c r="D101" t="s">
        <v>304</v>
      </c>
      <c r="E101">
        <v>9435</v>
      </c>
      <c r="F101" t="s">
        <v>23479</v>
      </c>
      <c r="G101">
        <v>1</v>
      </c>
      <c r="H101" t="s">
        <v>412</v>
      </c>
      <c r="J101" t="s">
        <v>413</v>
      </c>
      <c r="K101" t="s">
        <v>170</v>
      </c>
      <c r="L101" t="s">
        <v>33</v>
      </c>
      <c r="M101" t="s">
        <v>414</v>
      </c>
      <c r="N101" t="s">
        <v>436</v>
      </c>
      <c r="O101" t="s">
        <v>437</v>
      </c>
      <c r="P101" s="2" t="s">
        <v>26</v>
      </c>
      <c r="Q101" t="s">
        <v>27</v>
      </c>
      <c r="R101">
        <v>105.15</v>
      </c>
      <c r="S101">
        <v>105.15</v>
      </c>
      <c r="T101" t="s">
        <v>438</v>
      </c>
    </row>
    <row r="102" spans="1:20" x14ac:dyDescent="0.25">
      <c r="A102" s="1" t="str">
        <f>HYPERLINK("https://vegkart.atlas.vegvesen.no/#/@-33293.1,6567819.6,18/hva:hva%5B0%5D%5Bfilter%5D%5B0%5D%5Boperator%5D=%21%3D&amp;hva%5B0%5D%5Bfilter%5D%5B0%5D%5Btype_id%5D=9435&amp;hva%5B0%5D%5Bfilter%5D%5B0%5D%5Bverdi%5D=&amp;hva%5B0%5D%5Bid%5D=208/når:2025-12-08", "Vegkart")</f>
        <v>Vegkart</v>
      </c>
      <c r="B102">
        <v>1025969733</v>
      </c>
      <c r="C102">
        <v>208</v>
      </c>
      <c r="D102" t="s">
        <v>304</v>
      </c>
      <c r="E102">
        <v>9435</v>
      </c>
      <c r="F102" t="s">
        <v>23479</v>
      </c>
      <c r="G102">
        <v>1</v>
      </c>
      <c r="H102" t="s">
        <v>412</v>
      </c>
      <c r="J102" t="s">
        <v>413</v>
      </c>
      <c r="K102" t="s">
        <v>170</v>
      </c>
      <c r="L102" t="s">
        <v>33</v>
      </c>
      <c r="M102" t="s">
        <v>414</v>
      </c>
      <c r="N102" t="s">
        <v>439</v>
      </c>
      <c r="O102" t="s">
        <v>440</v>
      </c>
      <c r="P102" s="2" t="s">
        <v>26</v>
      </c>
      <c r="Q102" t="s">
        <v>27</v>
      </c>
      <c r="R102">
        <v>27.2</v>
      </c>
      <c r="S102">
        <v>27.2</v>
      </c>
      <c r="T102" t="s">
        <v>441</v>
      </c>
    </row>
    <row r="103" spans="1:20" x14ac:dyDescent="0.25">
      <c r="A103" s="1" t="str">
        <f>HYPERLINK("https://vegkart.atlas.vegvesen.no/#/@139017.4,6714744.5,18/hva:hva%5B0%5D%5Bfilter%5D%5B0%5D%5Boperator%5D=%21%3D&amp;hva%5B0%5D%5Bfilter%5D%5B0%5D%5Btype_id%5D=9433&amp;hva%5B0%5D%5Bfilter%5D%5B0%5D%5Bverdi%5D=&amp;hva%5B0%5D%5Bid%5D=65/når:2025-01-07", "Vegkart")</f>
        <v>Vegkart</v>
      </c>
      <c r="B103">
        <v>81576277</v>
      </c>
      <c r="C103">
        <v>65</v>
      </c>
      <c r="D103" t="s">
        <v>442</v>
      </c>
      <c r="E103">
        <v>9433</v>
      </c>
      <c r="F103" t="s">
        <v>23479</v>
      </c>
      <c r="G103">
        <v>4</v>
      </c>
      <c r="H103" t="s">
        <v>443</v>
      </c>
      <c r="J103" t="s">
        <v>444</v>
      </c>
      <c r="K103" t="s">
        <v>307</v>
      </c>
      <c r="L103" t="s">
        <v>33</v>
      </c>
      <c r="M103" t="s">
        <v>197</v>
      </c>
      <c r="N103" t="s">
        <v>445</v>
      </c>
      <c r="O103" t="s">
        <v>446</v>
      </c>
      <c r="P103" s="2" t="s">
        <v>37</v>
      </c>
      <c r="Q103" t="s">
        <v>38</v>
      </c>
      <c r="R103">
        <v>0.37</v>
      </c>
      <c r="S103">
        <v>27.13</v>
      </c>
      <c r="T103" t="s">
        <v>447</v>
      </c>
    </row>
    <row r="104" spans="1:20" x14ac:dyDescent="0.25">
      <c r="A104" s="1" t="str">
        <f>HYPERLINK("https://vegkart.atlas.vegvesen.no/#/@808668.0,7778744.5,18/hva:hva%5B0%5D%5Bfilter%5D%5B0%5D%5Boperator%5D=%21%3D&amp;hva%5B0%5D%5Bfilter%5D%5B0%5D%5Btype_id%5D=9433&amp;hva%5B0%5D%5Bfilter%5D%5B0%5D%5Bverdi%5D=&amp;hva%5B0%5D%5Bid%5D=65/når:2023-10-30", "Vegkart")</f>
        <v>Vegkart</v>
      </c>
      <c r="B104">
        <v>490859955</v>
      </c>
      <c r="C104">
        <v>65</v>
      </c>
      <c r="D104" t="s">
        <v>442</v>
      </c>
      <c r="E104">
        <v>9433</v>
      </c>
      <c r="F104" t="s">
        <v>23479</v>
      </c>
      <c r="G104">
        <v>2</v>
      </c>
      <c r="H104" t="s">
        <v>448</v>
      </c>
      <c r="J104" t="s">
        <v>449</v>
      </c>
      <c r="K104" t="s">
        <v>450</v>
      </c>
      <c r="L104" t="s">
        <v>80</v>
      </c>
      <c r="M104" t="s">
        <v>105</v>
      </c>
      <c r="N104" t="s">
        <v>451</v>
      </c>
      <c r="O104" t="s">
        <v>452</v>
      </c>
      <c r="P104" s="2" t="s">
        <v>26</v>
      </c>
      <c r="Q104" t="s">
        <v>27</v>
      </c>
      <c r="R104">
        <v>5.5</v>
      </c>
      <c r="S104">
        <v>5.5</v>
      </c>
      <c r="T104" t="s">
        <v>453</v>
      </c>
    </row>
    <row r="105" spans="1:20" x14ac:dyDescent="0.25">
      <c r="A105" s="1" t="str">
        <f>HYPERLINK("https://vegkart.atlas.vegvesen.no/#/@808240.8,7778867.4,18/hva:hva%5B0%5D%5Bfilter%5D%5B0%5D%5Boperator%5D=%21%3D&amp;hva%5B0%5D%5Bfilter%5D%5B0%5D%5Btype_id%5D=9433&amp;hva%5B0%5D%5Bfilter%5D%5B0%5D%5Bverdi%5D=&amp;hva%5B0%5D%5Bid%5D=65/når:2023-10-30", "Vegkart")</f>
        <v>Vegkart</v>
      </c>
      <c r="B105">
        <v>490859957</v>
      </c>
      <c r="C105">
        <v>65</v>
      </c>
      <c r="D105" t="s">
        <v>442</v>
      </c>
      <c r="E105">
        <v>9433</v>
      </c>
      <c r="F105" t="s">
        <v>23479</v>
      </c>
      <c r="G105">
        <v>2</v>
      </c>
      <c r="H105" t="s">
        <v>448</v>
      </c>
      <c r="J105" t="s">
        <v>449</v>
      </c>
      <c r="K105" t="s">
        <v>450</v>
      </c>
      <c r="L105" t="s">
        <v>80</v>
      </c>
      <c r="M105" t="s">
        <v>105</v>
      </c>
      <c r="N105" t="s">
        <v>454</v>
      </c>
      <c r="O105" t="s">
        <v>455</v>
      </c>
      <c r="P105" s="2" t="s">
        <v>26</v>
      </c>
      <c r="Q105" t="s">
        <v>27</v>
      </c>
      <c r="R105">
        <v>5.6</v>
      </c>
      <c r="S105">
        <v>5.6</v>
      </c>
      <c r="T105" t="s">
        <v>456</v>
      </c>
    </row>
    <row r="106" spans="1:20" x14ac:dyDescent="0.25">
      <c r="A106" s="1" t="str">
        <f>HYPERLINK("https://vegkart.atlas.vegvesen.no/#/@62189.8,6951184.0,18/hva:hva%5B0%5D%5Bfilter%5D%5B0%5D%5Boperator%5D=%21%3D&amp;hva%5B0%5D%5Bfilter%5D%5B0%5D%5Btype_id%5D=9433&amp;hva%5B0%5D%5Bfilter%5D%5B0%5D%5Bverdi%5D=&amp;hva%5B0%5D%5Bid%5D=65/når:2019-12-02", "Vegkart")</f>
        <v>Vegkart</v>
      </c>
      <c r="B106">
        <v>589444088</v>
      </c>
      <c r="C106">
        <v>65</v>
      </c>
      <c r="D106" t="s">
        <v>442</v>
      </c>
      <c r="E106">
        <v>9433</v>
      </c>
      <c r="F106" t="s">
        <v>23479</v>
      </c>
      <c r="G106">
        <v>3</v>
      </c>
      <c r="H106" t="s">
        <v>457</v>
      </c>
      <c r="J106" t="s">
        <v>449</v>
      </c>
      <c r="K106" t="s">
        <v>32</v>
      </c>
      <c r="L106" t="s">
        <v>33</v>
      </c>
      <c r="M106" t="s">
        <v>47</v>
      </c>
      <c r="N106" t="s">
        <v>458</v>
      </c>
      <c r="O106" t="s">
        <v>459</v>
      </c>
      <c r="P106" s="2" t="s">
        <v>37</v>
      </c>
      <c r="Q106" t="s">
        <v>38</v>
      </c>
      <c r="R106">
        <v>0</v>
      </c>
      <c r="S106">
        <v>13.69</v>
      </c>
      <c r="T106" t="s">
        <v>460</v>
      </c>
    </row>
    <row r="107" spans="1:20" x14ac:dyDescent="0.25">
      <c r="A107" s="1" t="str">
        <f>HYPERLINK("https://vegkart.atlas.vegvesen.no/#/@540802.5,7590028.7,18/hva:hva%5B0%5D%5Bfilter%5D%5B0%5D%5Boperator%5D=%21%3D&amp;hva%5B0%5D%5Bfilter%5D%5B0%5D%5Btype_id%5D=9433&amp;hva%5B0%5D%5Bfilter%5D%5B0%5D%5Bverdi%5D=&amp;hva%5B0%5D%5Bid%5D=65/når:2024-02-05", "Vegkart")</f>
        <v>Vegkart</v>
      </c>
      <c r="B107">
        <v>728274019</v>
      </c>
      <c r="C107">
        <v>65</v>
      </c>
      <c r="D107" t="s">
        <v>442</v>
      </c>
      <c r="E107">
        <v>9433</v>
      </c>
      <c r="F107" t="s">
        <v>23479</v>
      </c>
      <c r="G107">
        <v>2</v>
      </c>
      <c r="H107" t="s">
        <v>461</v>
      </c>
      <c r="J107" t="s">
        <v>462</v>
      </c>
      <c r="K107" t="s">
        <v>53</v>
      </c>
      <c r="L107" t="s">
        <v>113</v>
      </c>
      <c r="M107" t="s">
        <v>463</v>
      </c>
      <c r="N107" t="s">
        <v>464</v>
      </c>
      <c r="O107" t="s">
        <v>465</v>
      </c>
      <c r="P107" s="2" t="s">
        <v>37</v>
      </c>
      <c r="Q107" t="s">
        <v>38</v>
      </c>
      <c r="R107">
        <v>0</v>
      </c>
      <c r="S107">
        <v>15.47</v>
      </c>
      <c r="T107" t="s">
        <v>466</v>
      </c>
    </row>
    <row r="108" spans="1:20" x14ac:dyDescent="0.25">
      <c r="A108" s="1" t="str">
        <f>HYPERLINK("https://vegkart.atlas.vegvesen.no/#/@540807.3,7590020.8,18/hva:hva%5B0%5D%5Bfilter%5D%5B0%5D%5Boperator%5D=%21%3D&amp;hva%5B0%5D%5Bfilter%5D%5B0%5D%5Btype_id%5D=9433&amp;hva%5B0%5D%5Bfilter%5D%5B0%5D%5Bverdi%5D=&amp;hva%5B0%5D%5Bid%5D=65/når:2024-02-05", "Vegkart")</f>
        <v>Vegkart</v>
      </c>
      <c r="B108">
        <v>728274020</v>
      </c>
      <c r="C108">
        <v>65</v>
      </c>
      <c r="D108" t="s">
        <v>442</v>
      </c>
      <c r="E108">
        <v>9433</v>
      </c>
      <c r="F108" t="s">
        <v>23479</v>
      </c>
      <c r="G108">
        <v>2</v>
      </c>
      <c r="H108" t="s">
        <v>461</v>
      </c>
      <c r="J108" t="s">
        <v>462</v>
      </c>
      <c r="K108" t="s">
        <v>53</v>
      </c>
      <c r="L108" t="s">
        <v>113</v>
      </c>
      <c r="M108" t="s">
        <v>463</v>
      </c>
      <c r="N108" t="s">
        <v>464</v>
      </c>
      <c r="O108" t="s">
        <v>467</v>
      </c>
      <c r="P108" s="2" t="s">
        <v>37</v>
      </c>
      <c r="Q108" t="s">
        <v>38</v>
      </c>
      <c r="R108">
        <v>0</v>
      </c>
      <c r="S108">
        <v>15.26</v>
      </c>
      <c r="T108" t="s">
        <v>468</v>
      </c>
    </row>
    <row r="109" spans="1:20" x14ac:dyDescent="0.25">
      <c r="A109" s="1" t="str">
        <f>HYPERLINK("https://vegkart.atlas.vegvesen.no/#/@540808.0,7590031.5,18/hva:hva%5B0%5D%5Bfilter%5D%5B0%5D%5Boperator%5D=%21%3D&amp;hva%5B0%5D%5Bfilter%5D%5B0%5D%5Btype_id%5D=9433&amp;hva%5B0%5D%5Bfilter%5D%5B0%5D%5Bverdi%5D=&amp;hva%5B0%5D%5Bid%5D=65/når:2024-02-05", "Vegkart")</f>
        <v>Vegkart</v>
      </c>
      <c r="B109">
        <v>728274023</v>
      </c>
      <c r="C109">
        <v>65</v>
      </c>
      <c r="D109" t="s">
        <v>442</v>
      </c>
      <c r="E109">
        <v>9433</v>
      </c>
      <c r="F109" t="s">
        <v>23479</v>
      </c>
      <c r="G109">
        <v>2</v>
      </c>
      <c r="H109" t="s">
        <v>461</v>
      </c>
      <c r="J109" t="s">
        <v>462</v>
      </c>
      <c r="K109" t="s">
        <v>53</v>
      </c>
      <c r="L109" t="s">
        <v>113</v>
      </c>
      <c r="M109" t="s">
        <v>463</v>
      </c>
      <c r="N109" t="s">
        <v>469</v>
      </c>
      <c r="O109" t="s">
        <v>470</v>
      </c>
      <c r="P109" s="2" t="s">
        <v>37</v>
      </c>
      <c r="Q109" t="s">
        <v>38</v>
      </c>
      <c r="R109">
        <v>0.11</v>
      </c>
      <c r="S109">
        <v>12.57</v>
      </c>
      <c r="T109" t="s">
        <v>471</v>
      </c>
    </row>
    <row r="110" spans="1:20" x14ac:dyDescent="0.25">
      <c r="A110" s="1" t="str">
        <f>HYPERLINK("https://vegkart.atlas.vegvesen.no/#/@382589.9,7302472.7,18/hva:hva%5B0%5D%5Bfilter%5D%5B0%5D%5Boperator%5D=%21%3D&amp;hva%5B0%5D%5Bfilter%5D%5B0%5D%5Btype_id%5D=9433&amp;hva%5B0%5D%5Bfilter%5D%5B0%5D%5Bverdi%5D=&amp;hva%5B0%5D%5Bid%5D=65/når:2016-10-01", "Vegkart")</f>
        <v>Vegkart</v>
      </c>
      <c r="B110">
        <v>791216739</v>
      </c>
      <c r="C110">
        <v>65</v>
      </c>
      <c r="D110" t="s">
        <v>442</v>
      </c>
      <c r="E110">
        <v>9433</v>
      </c>
      <c r="F110" t="s">
        <v>23479</v>
      </c>
      <c r="G110">
        <v>1</v>
      </c>
      <c r="H110" t="s">
        <v>472</v>
      </c>
      <c r="J110" t="s">
        <v>462</v>
      </c>
      <c r="K110" t="s">
        <v>53</v>
      </c>
      <c r="L110" t="s">
        <v>33</v>
      </c>
      <c r="M110" t="s">
        <v>473</v>
      </c>
      <c r="N110" t="s">
        <v>474</v>
      </c>
      <c r="O110" t="s">
        <v>475</v>
      </c>
      <c r="P110" s="2" t="s">
        <v>37</v>
      </c>
      <c r="Q110" t="s">
        <v>38</v>
      </c>
      <c r="R110">
        <v>0.05</v>
      </c>
      <c r="S110">
        <v>14.18</v>
      </c>
      <c r="T110" t="s">
        <v>476</v>
      </c>
    </row>
    <row r="111" spans="1:20" x14ac:dyDescent="0.25">
      <c r="A111" s="1" t="str">
        <f>HYPERLINK("https://vegkart.atlas.vegvesen.no/#/@413345.7,7338311.9,18/hva:hva%5B0%5D%5Bfilter%5D%5B0%5D%5Boperator%5D=%21%3D&amp;hva%5B0%5D%5Bfilter%5D%5B0%5D%5Btype_id%5D=9433&amp;hva%5B0%5D%5Bfilter%5D%5B0%5D%5Bverdi%5D=&amp;hva%5B0%5D%5Bid%5D=65/når:2017-11-09", "Vegkart")</f>
        <v>Vegkart</v>
      </c>
      <c r="B111">
        <v>843572192</v>
      </c>
      <c r="C111">
        <v>65</v>
      </c>
      <c r="D111" t="s">
        <v>442</v>
      </c>
      <c r="E111">
        <v>9433</v>
      </c>
      <c r="F111" t="s">
        <v>23479</v>
      </c>
      <c r="G111">
        <v>1</v>
      </c>
      <c r="H111" t="s">
        <v>477</v>
      </c>
      <c r="J111" t="s">
        <v>462</v>
      </c>
      <c r="K111" t="s">
        <v>53</v>
      </c>
      <c r="L111" t="s">
        <v>33</v>
      </c>
      <c r="M111" t="s">
        <v>473</v>
      </c>
      <c r="N111" t="s">
        <v>478</v>
      </c>
      <c r="O111" t="s">
        <v>479</v>
      </c>
      <c r="P111" s="2" t="s">
        <v>37</v>
      </c>
      <c r="Q111" t="s">
        <v>38</v>
      </c>
      <c r="R111">
        <v>0.04</v>
      </c>
      <c r="S111">
        <v>14.38</v>
      </c>
      <c r="T111" t="s">
        <v>480</v>
      </c>
    </row>
    <row r="112" spans="1:20" x14ac:dyDescent="0.25">
      <c r="A112" s="1" t="str">
        <f>HYPERLINK("https://vegkart.atlas.vegvesen.no/#/@375586.6,7276161.7,18/hva:hva%5B0%5D%5Bfilter%5D%5B0%5D%5Boperator%5D=%21%3D&amp;hva%5B0%5D%5Bfilter%5D%5B0%5D%5Btype_id%5D=9433&amp;hva%5B0%5D%5Bfilter%5D%5B0%5D%5Bverdi%5D=&amp;hva%5B0%5D%5Bid%5D=65/når:2017-11-09", "Vegkart")</f>
        <v>Vegkart</v>
      </c>
      <c r="B112">
        <v>843572198</v>
      </c>
      <c r="C112">
        <v>65</v>
      </c>
      <c r="D112" t="s">
        <v>442</v>
      </c>
      <c r="E112">
        <v>9433</v>
      </c>
      <c r="F112" t="s">
        <v>23479</v>
      </c>
      <c r="G112">
        <v>1</v>
      </c>
      <c r="H112" t="s">
        <v>477</v>
      </c>
      <c r="J112" t="s">
        <v>462</v>
      </c>
      <c r="K112" t="s">
        <v>53</v>
      </c>
      <c r="L112" t="s">
        <v>33</v>
      </c>
      <c r="M112" t="s">
        <v>473</v>
      </c>
      <c r="N112" t="s">
        <v>481</v>
      </c>
      <c r="O112" t="s">
        <v>482</v>
      </c>
      <c r="P112" s="2" t="s">
        <v>37</v>
      </c>
      <c r="Q112" t="s">
        <v>38</v>
      </c>
      <c r="R112">
        <v>0</v>
      </c>
      <c r="S112">
        <v>13.73</v>
      </c>
      <c r="T112" t="s">
        <v>483</v>
      </c>
    </row>
    <row r="113" spans="1:20" x14ac:dyDescent="0.25">
      <c r="A113" s="1" t="str">
        <f>HYPERLINK("https://vegkart.atlas.vegvesen.no/#/@28775.3,6751245.3,18/hva:hva%5B0%5D%5Bfilter%5D%5B0%5D%5Boperator%5D=%21%3D&amp;hva%5B0%5D%5Bfilter%5D%5B0%5D%5Btype_id%5D=9433&amp;hva%5B0%5D%5Bfilter%5D%5B0%5D%5Bverdi%5D=&amp;hva%5B0%5D%5Bid%5D=65/når:2018-07-27", "Vegkart")</f>
        <v>Vegkart</v>
      </c>
      <c r="B113">
        <v>864787788</v>
      </c>
      <c r="C113">
        <v>65</v>
      </c>
      <c r="D113" t="s">
        <v>442</v>
      </c>
      <c r="E113">
        <v>9433</v>
      </c>
      <c r="F113" t="s">
        <v>23479</v>
      </c>
      <c r="G113">
        <v>3</v>
      </c>
      <c r="H113" t="s">
        <v>484</v>
      </c>
      <c r="J113" t="s">
        <v>485</v>
      </c>
      <c r="K113" t="s">
        <v>21</v>
      </c>
      <c r="L113" t="s">
        <v>80</v>
      </c>
      <c r="M113" t="s">
        <v>152</v>
      </c>
      <c r="N113" t="s">
        <v>486</v>
      </c>
      <c r="O113" t="s">
        <v>487</v>
      </c>
      <c r="P113" s="2" t="s">
        <v>37</v>
      </c>
      <c r="Q113" t="s">
        <v>38</v>
      </c>
      <c r="R113">
        <v>0.02</v>
      </c>
      <c r="S113">
        <v>36.979999999999997</v>
      </c>
      <c r="T113" t="s">
        <v>488</v>
      </c>
    </row>
    <row r="114" spans="1:20" x14ac:dyDescent="0.25">
      <c r="A114" s="1" t="str">
        <f>HYPERLINK("https://vegkart.atlas.vegvesen.no/#/@28789.8,6751228.2,18/hva:hva%5B0%5D%5Bfilter%5D%5B0%5D%5Boperator%5D=%21%3D&amp;hva%5B0%5D%5Bfilter%5D%5B0%5D%5Btype_id%5D=9433&amp;hva%5B0%5D%5Bfilter%5D%5B0%5D%5Bverdi%5D=&amp;hva%5B0%5D%5Bid%5D=65/når:2019-02-07", "Vegkart")</f>
        <v>Vegkart</v>
      </c>
      <c r="B114">
        <v>864787789</v>
      </c>
      <c r="C114">
        <v>65</v>
      </c>
      <c r="D114" t="s">
        <v>442</v>
      </c>
      <c r="E114">
        <v>9433</v>
      </c>
      <c r="F114" t="s">
        <v>23479</v>
      </c>
      <c r="G114">
        <v>6</v>
      </c>
      <c r="H114" t="s">
        <v>489</v>
      </c>
      <c r="J114" t="s">
        <v>485</v>
      </c>
      <c r="K114" t="s">
        <v>21</v>
      </c>
      <c r="L114" t="s">
        <v>80</v>
      </c>
      <c r="M114" t="s">
        <v>152</v>
      </c>
      <c r="N114" t="s">
        <v>486</v>
      </c>
      <c r="O114" t="s">
        <v>490</v>
      </c>
      <c r="P114" s="2" t="s">
        <v>37</v>
      </c>
      <c r="Q114" t="s">
        <v>38</v>
      </c>
      <c r="R114">
        <v>7.0000000000000007E-2</v>
      </c>
      <c r="S114">
        <v>23.67</v>
      </c>
      <c r="T114" t="s">
        <v>491</v>
      </c>
    </row>
    <row r="115" spans="1:20" x14ac:dyDescent="0.25">
      <c r="A115" s="1" t="str">
        <f>HYPERLINK("https://vegkart.atlas.vegvesen.no/#/@195169.2,6563352.8,18/hva:hva%5B0%5D%5Bfilter%5D%5B0%5D%5Boperator%5D=%21%3D&amp;hva%5B0%5D%5Bfilter%5D%5B0%5D%5Btype_id%5D=9433&amp;hva%5B0%5D%5Bfilter%5D%5B0%5D%5Bverdi%5D=&amp;hva%5B0%5D%5Bid%5D=65/når:2021-10-18", "Vegkart")</f>
        <v>Vegkart</v>
      </c>
      <c r="B115">
        <v>1014121105</v>
      </c>
      <c r="C115">
        <v>65</v>
      </c>
      <c r="D115" t="s">
        <v>442</v>
      </c>
      <c r="E115">
        <v>9433</v>
      </c>
      <c r="F115" t="s">
        <v>23479</v>
      </c>
      <c r="G115">
        <v>1</v>
      </c>
      <c r="H115" t="s">
        <v>492</v>
      </c>
      <c r="J115" t="s">
        <v>493</v>
      </c>
      <c r="K115" t="s">
        <v>197</v>
      </c>
      <c r="L115" t="s">
        <v>80</v>
      </c>
      <c r="M115" t="s">
        <v>53</v>
      </c>
      <c r="N115" t="s">
        <v>494</v>
      </c>
      <c r="O115" t="s">
        <v>495</v>
      </c>
      <c r="P115" s="2" t="s">
        <v>37</v>
      </c>
      <c r="Q115" t="s">
        <v>38</v>
      </c>
      <c r="R115">
        <v>0</v>
      </c>
      <c r="S115">
        <v>51.45</v>
      </c>
      <c r="T115" t="s">
        <v>496</v>
      </c>
    </row>
    <row r="116" spans="1:20" x14ac:dyDescent="0.25">
      <c r="A116" s="1" t="str">
        <f>HYPERLINK("https://vegkart.atlas.vegvesen.no/#/@178156.2,6539535.1,18/hva:hva%5B0%5D%5Bfilter%5D%5B0%5D%5Boperator%5D=%21%3D&amp;hva%5B0%5D%5Bfilter%5D%5B0%5D%5Btype_id%5D=9433&amp;hva%5B0%5D%5Bfilter%5D%5B0%5D%5Bverdi%5D=&amp;hva%5B0%5D%5Bid%5D=65/når:2022-07-08", "Vegkart")</f>
        <v>Vegkart</v>
      </c>
      <c r="B116">
        <v>1015972182</v>
      </c>
      <c r="C116">
        <v>65</v>
      </c>
      <c r="D116" t="s">
        <v>442</v>
      </c>
      <c r="E116">
        <v>9433</v>
      </c>
      <c r="F116" t="s">
        <v>23479</v>
      </c>
      <c r="G116">
        <v>1</v>
      </c>
      <c r="H116" t="s">
        <v>497</v>
      </c>
      <c r="J116" t="s">
        <v>498</v>
      </c>
      <c r="K116" t="s">
        <v>197</v>
      </c>
      <c r="L116" t="s">
        <v>33</v>
      </c>
      <c r="M116" t="s">
        <v>499</v>
      </c>
      <c r="N116" t="s">
        <v>500</v>
      </c>
      <c r="O116" t="s">
        <v>501</v>
      </c>
      <c r="P116" s="2" t="s">
        <v>26</v>
      </c>
      <c r="Q116" t="s">
        <v>27</v>
      </c>
      <c r="R116">
        <v>9</v>
      </c>
      <c r="S116">
        <v>9</v>
      </c>
      <c r="T116" t="s">
        <v>502</v>
      </c>
    </row>
    <row r="117" spans="1:20" x14ac:dyDescent="0.25">
      <c r="A117" s="1" t="str">
        <f>HYPERLINK("https://vegkart.atlas.vegvesen.no/#/@177034.5,6539720.7,18/hva:hva%5B0%5D%5Bfilter%5D%5B0%5D%5Boperator%5D=%21%3D&amp;hva%5B0%5D%5Bfilter%5D%5B0%5D%5Btype_id%5D=9433&amp;hva%5B0%5D%5Bfilter%5D%5B0%5D%5Bverdi%5D=&amp;hva%5B0%5D%5Bid%5D=65/når:2022-07-08", "Vegkart")</f>
        <v>Vegkart</v>
      </c>
      <c r="B117">
        <v>1015972185</v>
      </c>
      <c r="C117">
        <v>65</v>
      </c>
      <c r="D117" t="s">
        <v>442</v>
      </c>
      <c r="E117">
        <v>9433</v>
      </c>
      <c r="F117" t="s">
        <v>23479</v>
      </c>
      <c r="G117">
        <v>1</v>
      </c>
      <c r="H117" t="s">
        <v>497</v>
      </c>
      <c r="J117" t="s">
        <v>498</v>
      </c>
      <c r="K117" t="s">
        <v>197</v>
      </c>
      <c r="L117" t="s">
        <v>33</v>
      </c>
      <c r="M117" t="s">
        <v>499</v>
      </c>
      <c r="N117" t="s">
        <v>503</v>
      </c>
      <c r="O117" t="s">
        <v>504</v>
      </c>
      <c r="P117" s="2" t="s">
        <v>26</v>
      </c>
      <c r="Q117" t="s">
        <v>27</v>
      </c>
      <c r="R117">
        <v>1.89</v>
      </c>
      <c r="S117">
        <v>1.89</v>
      </c>
      <c r="T117" t="s">
        <v>505</v>
      </c>
    </row>
    <row r="118" spans="1:20" x14ac:dyDescent="0.25">
      <c r="A118" s="1" t="str">
        <f>HYPERLINK("https://vegkart.atlas.vegvesen.no/#/@66182.6,6828519.6,18/hva:hva%5B0%5D%5Bfilter%5D%5B0%5D%5Boperator%5D=%21%3D&amp;hva%5B0%5D%5Bfilter%5D%5B0%5D%5Btype_id%5D=9433&amp;hva%5B0%5D%5Bfilter%5D%5B0%5D%5Bverdi%5D=&amp;hva%5B0%5D%5Bid%5D=65/når:2023-08-11", "Vegkart")</f>
        <v>Vegkart</v>
      </c>
      <c r="B118">
        <v>1017873170</v>
      </c>
      <c r="C118">
        <v>65</v>
      </c>
      <c r="D118" t="s">
        <v>442</v>
      </c>
      <c r="E118">
        <v>9433</v>
      </c>
      <c r="F118" t="s">
        <v>23479</v>
      </c>
      <c r="G118">
        <v>1</v>
      </c>
      <c r="H118" t="s">
        <v>506</v>
      </c>
      <c r="J118" t="s">
        <v>498</v>
      </c>
      <c r="K118" t="s">
        <v>21</v>
      </c>
      <c r="L118" t="s">
        <v>113</v>
      </c>
      <c r="M118" t="s">
        <v>507</v>
      </c>
      <c r="N118" t="s">
        <v>508</v>
      </c>
      <c r="O118" t="s">
        <v>509</v>
      </c>
      <c r="P118" s="2" t="s">
        <v>37</v>
      </c>
      <c r="Q118" t="s">
        <v>38</v>
      </c>
      <c r="R118">
        <v>0</v>
      </c>
      <c r="S118">
        <v>30.94</v>
      </c>
      <c r="T118" t="s">
        <v>510</v>
      </c>
    </row>
    <row r="119" spans="1:20" x14ac:dyDescent="0.25">
      <c r="A119" s="1" t="str">
        <f>HYPERLINK("https://vegkart.atlas.vegvesen.no/#/@-51398.5,6616014.5,18/hva:hva%5B0%5D%5Bfilter%5D%5B0%5D%5Boperator%5D=%21%3D&amp;hva%5B0%5D%5Bfilter%5D%5B0%5D%5Btype_id%5D=9433&amp;hva%5B0%5D%5Bfilter%5D%5B0%5D%5Bverdi%5D=&amp;hva%5B0%5D%5Bid%5D=65/når:2023-10-16", "Vegkart")</f>
        <v>Vegkart</v>
      </c>
      <c r="B119">
        <v>1018084078</v>
      </c>
      <c r="C119">
        <v>65</v>
      </c>
      <c r="D119" t="s">
        <v>442</v>
      </c>
      <c r="E119">
        <v>9433</v>
      </c>
      <c r="F119" t="s">
        <v>23479</v>
      </c>
      <c r="G119">
        <v>1</v>
      </c>
      <c r="H119" t="s">
        <v>511</v>
      </c>
      <c r="J119" t="s">
        <v>498</v>
      </c>
      <c r="K119" t="s">
        <v>170</v>
      </c>
      <c r="L119" t="s">
        <v>33</v>
      </c>
      <c r="M119" t="s">
        <v>512</v>
      </c>
      <c r="N119" t="s">
        <v>513</v>
      </c>
      <c r="O119" t="s">
        <v>514</v>
      </c>
      <c r="P119" s="2" t="s">
        <v>37</v>
      </c>
      <c r="Q119" t="s">
        <v>38</v>
      </c>
      <c r="R119">
        <v>0</v>
      </c>
      <c r="S119">
        <v>41.59</v>
      </c>
      <c r="T119" t="s">
        <v>515</v>
      </c>
    </row>
    <row r="120" spans="1:20" x14ac:dyDescent="0.25">
      <c r="A120" s="1" t="str">
        <f>HYPERLINK("https://vegkart.atlas.vegvesen.no/#/@114576.3,6817837.0,18/hva:hva%5B0%5D%5Bfilter%5D%5B0%5D%5Boperator%5D=%21%3D&amp;hva%5B0%5D%5Bfilter%5D%5B0%5D%5Btype_id%5D=9433&amp;hva%5B0%5D%5Bfilter%5D%5B0%5D%5Bverdi%5D=&amp;hva%5B0%5D%5Bid%5D=65/når:2024-02-15", "Vegkart")</f>
        <v>Vegkart</v>
      </c>
      <c r="B120">
        <v>1018116659</v>
      </c>
      <c r="C120">
        <v>65</v>
      </c>
      <c r="D120" t="s">
        <v>442</v>
      </c>
      <c r="E120">
        <v>9433</v>
      </c>
      <c r="F120" t="s">
        <v>23479</v>
      </c>
      <c r="G120">
        <v>2</v>
      </c>
      <c r="H120" t="s">
        <v>516</v>
      </c>
      <c r="J120" t="s">
        <v>498</v>
      </c>
      <c r="K120" t="s">
        <v>21</v>
      </c>
      <c r="L120" t="s">
        <v>33</v>
      </c>
      <c r="M120" t="s">
        <v>517</v>
      </c>
      <c r="N120" t="s">
        <v>518</v>
      </c>
      <c r="O120" t="s">
        <v>519</v>
      </c>
      <c r="P120" s="2" t="s">
        <v>37</v>
      </c>
      <c r="Q120" t="s">
        <v>38</v>
      </c>
      <c r="R120">
        <v>0.13</v>
      </c>
      <c r="S120">
        <v>18.2</v>
      </c>
      <c r="T120" t="s">
        <v>520</v>
      </c>
    </row>
    <row r="121" spans="1:20" x14ac:dyDescent="0.25">
      <c r="A121" s="1" t="str">
        <f>HYPERLINK("https://vegkart.atlas.vegvesen.no/#/@428604.6,7555412.7,18/hva:hva%5B0%5D%5Bfilter%5D%5B0%5D%5Boperator%5D=%21%3D&amp;hva%5B0%5D%5Bfilter%5D%5B0%5D%5Btype_id%5D=9433&amp;hva%5B0%5D%5Bfilter%5D%5B0%5D%5Bverdi%5D=&amp;hva%5B0%5D%5Bid%5D=65/når:2024-03-19", "Vegkart")</f>
        <v>Vegkart</v>
      </c>
      <c r="B121">
        <v>1018230475</v>
      </c>
      <c r="C121">
        <v>65</v>
      </c>
      <c r="D121" t="s">
        <v>442</v>
      </c>
      <c r="E121">
        <v>9433</v>
      </c>
      <c r="F121" t="s">
        <v>23479</v>
      </c>
      <c r="G121">
        <v>3</v>
      </c>
      <c r="H121" t="s">
        <v>521</v>
      </c>
      <c r="J121" t="s">
        <v>498</v>
      </c>
      <c r="K121" t="s">
        <v>53</v>
      </c>
      <c r="L121" t="s">
        <v>80</v>
      </c>
      <c r="M121" t="s">
        <v>522</v>
      </c>
      <c r="N121" t="s">
        <v>523</v>
      </c>
      <c r="O121" t="s">
        <v>524</v>
      </c>
      <c r="P121" s="2" t="s">
        <v>37</v>
      </c>
      <c r="Q121" t="s">
        <v>38</v>
      </c>
      <c r="R121">
        <v>0</v>
      </c>
      <c r="S121">
        <v>35.33</v>
      </c>
      <c r="T121" t="s">
        <v>525</v>
      </c>
    </row>
    <row r="122" spans="1:20" x14ac:dyDescent="0.25">
      <c r="A122" s="1" t="str">
        <f>HYPERLINK("https://vegkart.atlas.vegvesen.no/#/@595232.1,7714340.9,18/hva:hva%5B0%5D%5Bfilter%5D%5B0%5D%5Boperator%5D=%21%3D&amp;hva%5B0%5D%5Bfilter%5D%5B0%5D%5Btype_id%5D=9433&amp;hva%5B0%5D%5Bfilter%5D%5B0%5D%5Bverdi%5D=&amp;hva%5B0%5D%5Bid%5D=65/når:2024-01-04", "Vegkart")</f>
        <v>Vegkart</v>
      </c>
      <c r="B122">
        <v>1018345490</v>
      </c>
      <c r="C122">
        <v>65</v>
      </c>
      <c r="D122" t="s">
        <v>442</v>
      </c>
      <c r="E122">
        <v>9433</v>
      </c>
      <c r="F122" t="s">
        <v>23479</v>
      </c>
      <c r="G122">
        <v>1</v>
      </c>
      <c r="H122" t="s">
        <v>526</v>
      </c>
      <c r="J122" t="s">
        <v>498</v>
      </c>
      <c r="K122" t="s">
        <v>179</v>
      </c>
      <c r="L122" t="s">
        <v>33</v>
      </c>
      <c r="M122" t="s">
        <v>527</v>
      </c>
      <c r="N122" t="s">
        <v>528</v>
      </c>
      <c r="O122" t="s">
        <v>529</v>
      </c>
      <c r="P122" s="2" t="s">
        <v>37</v>
      </c>
      <c r="Q122" t="s">
        <v>38</v>
      </c>
      <c r="R122">
        <v>0</v>
      </c>
      <c r="S122">
        <v>34.369999999999997</v>
      </c>
      <c r="T122" t="s">
        <v>530</v>
      </c>
    </row>
    <row r="123" spans="1:20" x14ac:dyDescent="0.25">
      <c r="A123" s="1" t="str">
        <f>HYPERLINK("https://vegkart.atlas.vegvesen.no/#/@73792.4,6800639.6,18/hva:hva%5B0%5D%5Bfilter%5D%5B0%5D%5Boperator%5D=%21%3D&amp;hva%5B0%5D%5Bfilter%5D%5B0%5D%5Btype_id%5D=9433&amp;hva%5B0%5D%5Bfilter%5D%5B0%5D%5Bverdi%5D=&amp;hva%5B0%5D%5Bid%5D=65/når:2024-01-16", "Vegkart")</f>
        <v>Vegkart</v>
      </c>
      <c r="B123">
        <v>1018467457</v>
      </c>
      <c r="C123">
        <v>65</v>
      </c>
      <c r="D123" t="s">
        <v>442</v>
      </c>
      <c r="E123">
        <v>9433</v>
      </c>
      <c r="F123" t="s">
        <v>23479</v>
      </c>
      <c r="G123">
        <v>1</v>
      </c>
      <c r="H123" t="s">
        <v>531</v>
      </c>
      <c r="J123" t="s">
        <v>498</v>
      </c>
      <c r="K123" t="s">
        <v>21</v>
      </c>
      <c r="L123" t="s">
        <v>370</v>
      </c>
      <c r="M123" t="s">
        <v>532</v>
      </c>
      <c r="N123" t="s">
        <v>533</v>
      </c>
      <c r="O123" t="s">
        <v>534</v>
      </c>
      <c r="P123" s="2" t="s">
        <v>37</v>
      </c>
      <c r="Q123" t="s">
        <v>38</v>
      </c>
      <c r="R123">
        <v>0.04</v>
      </c>
      <c r="S123">
        <v>11.27</v>
      </c>
      <c r="T123" t="s">
        <v>535</v>
      </c>
    </row>
    <row r="124" spans="1:20" x14ac:dyDescent="0.25">
      <c r="A124" s="1" t="str">
        <f>HYPERLINK("https://vegkart.atlas.vegvesen.no/#/@7998.2,6837313.1,18/hva:hva%5B0%5D%5Bfilter%5D%5B0%5D%5Boperator%5D=%21%3D&amp;hva%5B0%5D%5Bfilter%5D%5B0%5D%5Btype_id%5D=9433&amp;hva%5B0%5D%5Bfilter%5D%5B0%5D%5Bverdi%5D=&amp;hva%5B0%5D%5Bid%5D=65/når:2024-03-01", "Vegkart")</f>
        <v>Vegkart</v>
      </c>
      <c r="B124">
        <v>1018976864</v>
      </c>
      <c r="C124">
        <v>65</v>
      </c>
      <c r="D124" t="s">
        <v>442</v>
      </c>
      <c r="E124">
        <v>9433</v>
      </c>
      <c r="F124" t="s">
        <v>23479</v>
      </c>
      <c r="G124">
        <v>1</v>
      </c>
      <c r="H124" t="s">
        <v>536</v>
      </c>
      <c r="J124" t="s">
        <v>537</v>
      </c>
      <c r="K124" t="s">
        <v>21</v>
      </c>
      <c r="L124" t="s">
        <v>80</v>
      </c>
      <c r="M124" t="s">
        <v>81</v>
      </c>
      <c r="N124" t="s">
        <v>538</v>
      </c>
      <c r="O124" t="s">
        <v>539</v>
      </c>
      <c r="P124" s="2" t="s">
        <v>37</v>
      </c>
      <c r="Q124" t="s">
        <v>38</v>
      </c>
      <c r="R124">
        <v>0</v>
      </c>
      <c r="S124">
        <v>53.53</v>
      </c>
      <c r="T124" t="s">
        <v>540</v>
      </c>
    </row>
    <row r="125" spans="1:20" x14ac:dyDescent="0.25">
      <c r="A125" s="1" t="str">
        <f>HYPERLINK("https://vegkart.atlas.vegvesen.no/#/@725753.9,7768894.6,18/hva:hva%5B0%5D%5Bfilter%5D%5B0%5D%5Boperator%5D=%21%3D&amp;hva%5B0%5D%5Bfilter%5D%5B0%5D%5Btype_id%5D=9433&amp;hva%5B0%5D%5Bfilter%5D%5B0%5D%5Bverdi%5D=&amp;hva%5B0%5D%5Bid%5D=65/når:2024-04-17", "Vegkart")</f>
        <v>Vegkart</v>
      </c>
      <c r="B125">
        <v>1019037543</v>
      </c>
      <c r="C125">
        <v>65</v>
      </c>
      <c r="D125" t="s">
        <v>442</v>
      </c>
      <c r="E125">
        <v>9433</v>
      </c>
      <c r="F125" t="s">
        <v>23479</v>
      </c>
      <c r="G125">
        <v>3</v>
      </c>
      <c r="H125" t="s">
        <v>541</v>
      </c>
      <c r="J125" t="s">
        <v>537</v>
      </c>
      <c r="K125" t="s">
        <v>179</v>
      </c>
      <c r="L125" t="s">
        <v>33</v>
      </c>
      <c r="M125" t="s">
        <v>542</v>
      </c>
      <c r="N125" t="s">
        <v>543</v>
      </c>
      <c r="O125" t="s">
        <v>544</v>
      </c>
      <c r="P125" s="2" t="s">
        <v>37</v>
      </c>
      <c r="Q125" t="s">
        <v>38</v>
      </c>
      <c r="R125">
        <v>0</v>
      </c>
      <c r="S125">
        <v>49.5</v>
      </c>
      <c r="T125" t="s">
        <v>545</v>
      </c>
    </row>
    <row r="126" spans="1:20" x14ac:dyDescent="0.25">
      <c r="A126" s="1" t="str">
        <f>HYPERLINK("https://vegkart.atlas.vegvesen.no/#/@725989.4,7769725.9,18/hva:hva%5B0%5D%5Bfilter%5D%5B0%5D%5Boperator%5D=%21%3D&amp;hva%5B0%5D%5Bfilter%5D%5B0%5D%5Btype_id%5D=9433&amp;hva%5B0%5D%5Bfilter%5D%5B0%5D%5Bverdi%5D=&amp;hva%5B0%5D%5Bid%5D=65/når:2024-04-17", "Vegkart")</f>
        <v>Vegkart</v>
      </c>
      <c r="B126">
        <v>1019037544</v>
      </c>
      <c r="C126">
        <v>65</v>
      </c>
      <c r="D126" t="s">
        <v>442</v>
      </c>
      <c r="E126">
        <v>9433</v>
      </c>
      <c r="F126" t="s">
        <v>23479</v>
      </c>
      <c r="G126">
        <v>3</v>
      </c>
      <c r="H126" t="s">
        <v>541</v>
      </c>
      <c r="J126" t="s">
        <v>537</v>
      </c>
      <c r="K126" t="s">
        <v>179</v>
      </c>
      <c r="L126" t="s">
        <v>33</v>
      </c>
      <c r="M126" t="s">
        <v>542</v>
      </c>
      <c r="N126" t="s">
        <v>546</v>
      </c>
      <c r="O126" t="s">
        <v>547</v>
      </c>
      <c r="P126" s="2" t="s">
        <v>37</v>
      </c>
      <c r="Q126" t="s">
        <v>38</v>
      </c>
      <c r="R126">
        <v>0</v>
      </c>
      <c r="S126">
        <v>45.63</v>
      </c>
      <c r="T126" t="s">
        <v>548</v>
      </c>
    </row>
    <row r="127" spans="1:20" x14ac:dyDescent="0.25">
      <c r="A127" s="1" t="str">
        <f>HYPERLINK("https://vegkart.atlas.vegvesen.no/#/@726464.7,7768680.4,18/hva:hva%5B0%5D%5Bfilter%5D%5B0%5D%5Boperator%5D=%21%3D&amp;hva%5B0%5D%5Bfilter%5D%5B0%5D%5Btype_id%5D=9433&amp;hva%5B0%5D%5Bfilter%5D%5B0%5D%5Bverdi%5D=&amp;hva%5B0%5D%5Bid%5D=65/når:2024-04-17", "Vegkart")</f>
        <v>Vegkart</v>
      </c>
      <c r="B127">
        <v>1019037545</v>
      </c>
      <c r="C127">
        <v>65</v>
      </c>
      <c r="D127" t="s">
        <v>442</v>
      </c>
      <c r="E127">
        <v>9433</v>
      </c>
      <c r="F127" t="s">
        <v>23479</v>
      </c>
      <c r="G127">
        <v>3</v>
      </c>
      <c r="H127" t="s">
        <v>541</v>
      </c>
      <c r="J127" t="s">
        <v>537</v>
      </c>
      <c r="K127" t="s">
        <v>179</v>
      </c>
      <c r="L127" t="s">
        <v>33</v>
      </c>
      <c r="M127" t="s">
        <v>542</v>
      </c>
      <c r="N127" t="s">
        <v>549</v>
      </c>
      <c r="O127" t="s">
        <v>550</v>
      </c>
      <c r="P127" s="2" t="s">
        <v>37</v>
      </c>
      <c r="Q127" t="s">
        <v>38</v>
      </c>
      <c r="R127">
        <v>0</v>
      </c>
      <c r="S127">
        <v>47.41</v>
      </c>
      <c r="T127" t="s">
        <v>551</v>
      </c>
    </row>
    <row r="128" spans="1:20" x14ac:dyDescent="0.25">
      <c r="A128" s="1" t="str">
        <f>HYPERLINK("https://vegkart.atlas.vegvesen.no/#/@209280.8,6747992.1,18/hva:hva%5B0%5D%5Bfilter%5D%5B0%5D%5Boperator%5D=%21%3D&amp;hva%5B0%5D%5Bfilter%5D%5B0%5D%5Btype_id%5D=9433&amp;hva%5B0%5D%5Bfilter%5D%5B0%5D%5Bverdi%5D=&amp;hva%5B0%5D%5Bid%5D=65/når:2024-04-04", "Vegkart")</f>
        <v>Vegkart</v>
      </c>
      <c r="B128">
        <v>1019037582</v>
      </c>
      <c r="C128">
        <v>65</v>
      </c>
      <c r="D128" t="s">
        <v>442</v>
      </c>
      <c r="E128">
        <v>9433</v>
      </c>
      <c r="F128" t="s">
        <v>23479</v>
      </c>
      <c r="G128">
        <v>1</v>
      </c>
      <c r="H128" t="s">
        <v>552</v>
      </c>
      <c r="J128" t="s">
        <v>537</v>
      </c>
      <c r="K128" t="s">
        <v>136</v>
      </c>
      <c r="L128" t="s">
        <v>33</v>
      </c>
      <c r="M128" t="s">
        <v>553</v>
      </c>
      <c r="N128" t="s">
        <v>554</v>
      </c>
      <c r="O128" t="s">
        <v>555</v>
      </c>
      <c r="P128" s="2" t="s">
        <v>37</v>
      </c>
      <c r="Q128" t="s">
        <v>38</v>
      </c>
      <c r="R128">
        <v>9.3699999999999992</v>
      </c>
      <c r="S128">
        <v>11.91</v>
      </c>
      <c r="T128" t="s">
        <v>556</v>
      </c>
    </row>
    <row r="129" spans="1:20" x14ac:dyDescent="0.25">
      <c r="A129" s="1" t="str">
        <f>HYPERLINK("https://vegkart.atlas.vegvesen.no/#/@-34645.9,6729904.9,18/hva:hva%5B0%5D%5Bfilter%5D%5B0%5D%5Boperator%5D=%21%3D&amp;hva%5B0%5D%5Bfilter%5D%5B0%5D%5Btype_id%5D=9433&amp;hva%5B0%5D%5Bfilter%5D%5B0%5D%5Bverdi%5D=&amp;hva%5B0%5D%5Bid%5D=65/når:2024-04-12", "Vegkart")</f>
        <v>Vegkart</v>
      </c>
      <c r="B129">
        <v>1019050726</v>
      </c>
      <c r="C129">
        <v>65</v>
      </c>
      <c r="D129" t="s">
        <v>442</v>
      </c>
      <c r="E129">
        <v>9433</v>
      </c>
      <c r="F129" t="s">
        <v>23479</v>
      </c>
      <c r="G129">
        <v>1</v>
      </c>
      <c r="H129" t="s">
        <v>557</v>
      </c>
      <c r="J129" t="s">
        <v>537</v>
      </c>
      <c r="K129" t="s">
        <v>21</v>
      </c>
      <c r="L129" t="s">
        <v>33</v>
      </c>
      <c r="M129" t="s">
        <v>558</v>
      </c>
      <c r="N129" t="s">
        <v>559</v>
      </c>
      <c r="O129" t="s">
        <v>560</v>
      </c>
      <c r="P129" s="2" t="s">
        <v>37</v>
      </c>
      <c r="Q129" t="s">
        <v>38</v>
      </c>
      <c r="R129">
        <v>0</v>
      </c>
      <c r="S129">
        <v>29.5</v>
      </c>
      <c r="T129" t="s">
        <v>561</v>
      </c>
    </row>
    <row r="130" spans="1:20" x14ac:dyDescent="0.25">
      <c r="A130" s="1" t="str">
        <f>HYPERLINK("https://vegkart.atlas.vegvesen.no/#/@-30838.7,6731959.1,18/hva:hva%5B0%5D%5Bfilter%5D%5B0%5D%5Boperator%5D=%21%3D&amp;hva%5B0%5D%5Bfilter%5D%5B0%5D%5Btype_id%5D=9433&amp;hva%5B0%5D%5Bfilter%5D%5B0%5D%5Bverdi%5D=&amp;hva%5B0%5D%5Bid%5D=65/når:2025-03-06", "Vegkart")</f>
        <v>Vegkart</v>
      </c>
      <c r="B130">
        <v>1021173542</v>
      </c>
      <c r="C130">
        <v>65</v>
      </c>
      <c r="D130" t="s">
        <v>442</v>
      </c>
      <c r="E130">
        <v>9433</v>
      </c>
      <c r="F130" t="s">
        <v>23479</v>
      </c>
      <c r="G130">
        <v>2</v>
      </c>
      <c r="H130" t="s">
        <v>562</v>
      </c>
      <c r="J130" t="s">
        <v>537</v>
      </c>
      <c r="K130" t="s">
        <v>21</v>
      </c>
      <c r="L130" t="s">
        <v>80</v>
      </c>
      <c r="M130" t="s">
        <v>81</v>
      </c>
      <c r="N130" t="s">
        <v>563</v>
      </c>
      <c r="O130" t="s">
        <v>564</v>
      </c>
      <c r="P130" s="2" t="s">
        <v>37</v>
      </c>
      <c r="Q130" t="s">
        <v>38</v>
      </c>
      <c r="R130">
        <v>0</v>
      </c>
      <c r="S130">
        <v>22.68</v>
      </c>
      <c r="T130" t="s">
        <v>565</v>
      </c>
    </row>
    <row r="131" spans="1:20" x14ac:dyDescent="0.25">
      <c r="A131" s="1" t="str">
        <f>HYPERLINK("https://vegkart.atlas.vegvesen.no/#/@-30841.1,6731954.9,18/hva:hva%5B0%5D%5Bfilter%5D%5B0%5D%5Boperator%5D=%21%3D&amp;hva%5B0%5D%5Bfilter%5D%5B0%5D%5Btype_id%5D=9433&amp;hva%5B0%5D%5Bfilter%5D%5B0%5D%5Bverdi%5D=&amp;hva%5B0%5D%5Bid%5D=65/når:2024-11-14", "Vegkart")</f>
        <v>Vegkart</v>
      </c>
      <c r="B131">
        <v>1021173543</v>
      </c>
      <c r="C131">
        <v>65</v>
      </c>
      <c r="D131" t="s">
        <v>442</v>
      </c>
      <c r="E131">
        <v>9433</v>
      </c>
      <c r="F131" t="s">
        <v>23479</v>
      </c>
      <c r="G131">
        <v>1</v>
      </c>
      <c r="H131" t="s">
        <v>566</v>
      </c>
      <c r="J131" t="s">
        <v>537</v>
      </c>
      <c r="K131" t="s">
        <v>21</v>
      </c>
      <c r="L131" t="s">
        <v>80</v>
      </c>
      <c r="M131" t="s">
        <v>81</v>
      </c>
      <c r="N131" t="s">
        <v>567</v>
      </c>
      <c r="O131" t="s">
        <v>568</v>
      </c>
      <c r="P131" s="2" t="s">
        <v>37</v>
      </c>
      <c r="Q131" t="s">
        <v>38</v>
      </c>
      <c r="R131">
        <v>0</v>
      </c>
      <c r="S131">
        <v>16.350000000000001</v>
      </c>
      <c r="T131" t="s">
        <v>569</v>
      </c>
    </row>
    <row r="132" spans="1:20" x14ac:dyDescent="0.25">
      <c r="A132" s="1" t="str">
        <f>HYPERLINK("https://vegkart.atlas.vegvesen.no/#/@230025.2,6633411.6,18/hva:hva%5B0%5D%5Bfilter%5D%5B0%5D%5Boperator%5D=%21%3D&amp;hva%5B0%5D%5Bfilter%5D%5B0%5D%5Btype_id%5D=9433&amp;hva%5B0%5D%5Bfilter%5D%5B0%5D%5Bverdi%5D=&amp;hva%5B0%5D%5Bid%5D=65/når:2024-11-15", "Vegkart")</f>
        <v>Vegkart</v>
      </c>
      <c r="B132">
        <v>1021185102</v>
      </c>
      <c r="C132">
        <v>65</v>
      </c>
      <c r="D132" t="s">
        <v>442</v>
      </c>
      <c r="E132">
        <v>9433</v>
      </c>
      <c r="F132" t="s">
        <v>23479</v>
      </c>
      <c r="G132">
        <v>1</v>
      </c>
      <c r="H132" t="s">
        <v>570</v>
      </c>
      <c r="J132" t="s">
        <v>537</v>
      </c>
      <c r="K132" t="s">
        <v>307</v>
      </c>
      <c r="L132" t="s">
        <v>33</v>
      </c>
      <c r="M132" t="s">
        <v>571</v>
      </c>
      <c r="N132" t="s">
        <v>572</v>
      </c>
      <c r="O132" t="s">
        <v>573</v>
      </c>
      <c r="P132" s="2" t="s">
        <v>37</v>
      </c>
      <c r="Q132" t="s">
        <v>38</v>
      </c>
      <c r="R132">
        <v>0</v>
      </c>
      <c r="S132">
        <v>39.49</v>
      </c>
      <c r="T132" t="s">
        <v>574</v>
      </c>
    </row>
    <row r="133" spans="1:20" x14ac:dyDescent="0.25">
      <c r="A133" s="1" t="str">
        <f>HYPERLINK("https://vegkart.atlas.vegvesen.no/#/@229868.0,6633084.8,18/hva:hva%5B0%5D%5Bfilter%5D%5B0%5D%5Boperator%5D=%21%3D&amp;hva%5B0%5D%5Bfilter%5D%5B0%5D%5Btype_id%5D=9433&amp;hva%5B0%5D%5Bfilter%5D%5B0%5D%5Bverdi%5D=&amp;hva%5B0%5D%5Bid%5D=65/når:2024-11-15", "Vegkart")</f>
        <v>Vegkart</v>
      </c>
      <c r="B133">
        <v>1021185103</v>
      </c>
      <c r="C133">
        <v>65</v>
      </c>
      <c r="D133" t="s">
        <v>442</v>
      </c>
      <c r="E133">
        <v>9433</v>
      </c>
      <c r="F133" t="s">
        <v>23479</v>
      </c>
      <c r="G133">
        <v>1</v>
      </c>
      <c r="H133" t="s">
        <v>570</v>
      </c>
      <c r="J133" t="s">
        <v>537</v>
      </c>
      <c r="K133" t="s">
        <v>307</v>
      </c>
      <c r="L133" t="s">
        <v>33</v>
      </c>
      <c r="M133" t="s">
        <v>571</v>
      </c>
      <c r="N133" t="s">
        <v>575</v>
      </c>
      <c r="O133" t="s">
        <v>576</v>
      </c>
      <c r="P133" s="2" t="s">
        <v>37</v>
      </c>
      <c r="Q133" t="s">
        <v>38</v>
      </c>
      <c r="R133">
        <v>0</v>
      </c>
      <c r="S133">
        <v>13.2</v>
      </c>
      <c r="T133" t="s">
        <v>577</v>
      </c>
    </row>
    <row r="134" spans="1:20" x14ac:dyDescent="0.25">
      <c r="A134" s="1" t="str">
        <f>HYPERLINK("https://vegkart.atlas.vegvesen.no/#/@230775.4,6633434.1,18/hva:hva%5B0%5D%5Bfilter%5D%5B0%5D%5Boperator%5D=%21%3D&amp;hva%5B0%5D%5Bfilter%5D%5B0%5D%5Btype_id%5D=9433&amp;hva%5B0%5D%5Bfilter%5D%5B0%5D%5Bverdi%5D=&amp;hva%5B0%5D%5Bid%5D=65/når:2024-11-15", "Vegkart")</f>
        <v>Vegkart</v>
      </c>
      <c r="B134">
        <v>1021185104</v>
      </c>
      <c r="C134">
        <v>65</v>
      </c>
      <c r="D134" t="s">
        <v>442</v>
      </c>
      <c r="E134">
        <v>9433</v>
      </c>
      <c r="F134" t="s">
        <v>23479</v>
      </c>
      <c r="G134">
        <v>1</v>
      </c>
      <c r="H134" t="s">
        <v>570</v>
      </c>
      <c r="J134" t="s">
        <v>537</v>
      </c>
      <c r="K134" t="s">
        <v>307</v>
      </c>
      <c r="L134" t="s">
        <v>33</v>
      </c>
      <c r="M134" t="s">
        <v>571</v>
      </c>
      <c r="N134" t="s">
        <v>578</v>
      </c>
      <c r="O134" t="s">
        <v>579</v>
      </c>
      <c r="P134" s="2" t="s">
        <v>37</v>
      </c>
      <c r="Q134" t="s">
        <v>38</v>
      </c>
      <c r="R134">
        <v>0</v>
      </c>
      <c r="S134">
        <v>38.409999999999997</v>
      </c>
      <c r="T134" t="s">
        <v>580</v>
      </c>
    </row>
    <row r="135" spans="1:20" x14ac:dyDescent="0.25">
      <c r="A135" s="1" t="str">
        <f>HYPERLINK("https://vegkart.atlas.vegvesen.no/#/@231487.7,6633033.9,18/hva:hva%5B0%5D%5Bfilter%5D%5B0%5D%5Boperator%5D=%21%3D&amp;hva%5B0%5D%5Bfilter%5D%5B0%5D%5Btype_id%5D=9433&amp;hva%5B0%5D%5Bfilter%5D%5B0%5D%5Bverdi%5D=&amp;hva%5B0%5D%5Bid%5D=65/når:2024-11-15", "Vegkart")</f>
        <v>Vegkart</v>
      </c>
      <c r="B135">
        <v>1021185107</v>
      </c>
      <c r="C135">
        <v>65</v>
      </c>
      <c r="D135" t="s">
        <v>442</v>
      </c>
      <c r="E135">
        <v>9433</v>
      </c>
      <c r="F135" t="s">
        <v>23479</v>
      </c>
      <c r="G135">
        <v>1</v>
      </c>
      <c r="H135" t="s">
        <v>570</v>
      </c>
      <c r="J135" t="s">
        <v>537</v>
      </c>
      <c r="K135" t="s">
        <v>307</v>
      </c>
      <c r="L135" t="s">
        <v>33</v>
      </c>
      <c r="M135" t="s">
        <v>571</v>
      </c>
      <c r="N135" t="s">
        <v>581</v>
      </c>
      <c r="O135" t="s">
        <v>582</v>
      </c>
      <c r="P135" s="2" t="s">
        <v>37</v>
      </c>
      <c r="Q135" t="s">
        <v>38</v>
      </c>
      <c r="R135">
        <v>0</v>
      </c>
      <c r="S135">
        <v>39.46</v>
      </c>
      <c r="T135" t="s">
        <v>583</v>
      </c>
    </row>
    <row r="136" spans="1:20" x14ac:dyDescent="0.25">
      <c r="A136" s="1" t="str">
        <f>HYPERLINK("https://vegkart.atlas.vegvesen.no/#/@-4844.9,6841837.1,18/hva:hva%5B0%5D%5Bfilter%5D%5B0%5D%5Boperator%5D=%21%3D&amp;hva%5B0%5D%5Bfilter%5D%5B0%5D%5Btype_id%5D=9433&amp;hva%5B0%5D%5Bfilter%5D%5B0%5D%5Bverdi%5D=&amp;hva%5B0%5D%5Bid%5D=65/når:2025-02-12", "Vegkart")</f>
        <v>Vegkart</v>
      </c>
      <c r="B136">
        <v>1022125436</v>
      </c>
      <c r="C136">
        <v>65</v>
      </c>
      <c r="D136" t="s">
        <v>442</v>
      </c>
      <c r="E136">
        <v>9433</v>
      </c>
      <c r="F136" t="s">
        <v>23479</v>
      </c>
      <c r="G136">
        <v>1</v>
      </c>
      <c r="H136" t="s">
        <v>584</v>
      </c>
      <c r="J136" t="s">
        <v>537</v>
      </c>
      <c r="K136" t="s">
        <v>21</v>
      </c>
      <c r="L136" t="s">
        <v>33</v>
      </c>
      <c r="M136" t="s">
        <v>585</v>
      </c>
      <c r="N136" t="s">
        <v>586</v>
      </c>
      <c r="O136" t="s">
        <v>587</v>
      </c>
      <c r="P136" s="2" t="s">
        <v>37</v>
      </c>
      <c r="Q136" t="s">
        <v>38</v>
      </c>
      <c r="R136">
        <v>0.02</v>
      </c>
      <c r="S136">
        <v>17.62</v>
      </c>
      <c r="T136" t="s">
        <v>588</v>
      </c>
    </row>
    <row r="137" spans="1:20" x14ac:dyDescent="0.25">
      <c r="A137" s="1" t="str">
        <f>HYPERLINK("https://vegkart.atlas.vegvesen.no/#/@86621.0,6459928.7,18/hva:hva%5B0%5D%5Bfilter%5D%5B0%5D%5Boperator%5D=%21%3D&amp;hva%5B0%5D%5Bfilter%5D%5B0%5D%5Btype_id%5D=9433&amp;hva%5B0%5D%5Bfilter%5D%5B0%5D%5Bverdi%5D=&amp;hva%5B0%5D%5Bid%5D=65/når:2025-03-06", "Vegkart")</f>
        <v>Vegkart</v>
      </c>
      <c r="B137">
        <v>1022291804</v>
      </c>
      <c r="C137">
        <v>65</v>
      </c>
      <c r="D137" t="s">
        <v>442</v>
      </c>
      <c r="E137">
        <v>9433</v>
      </c>
      <c r="F137" t="s">
        <v>23479</v>
      </c>
      <c r="G137">
        <v>1</v>
      </c>
      <c r="H137" t="s">
        <v>562</v>
      </c>
      <c r="J137" t="s">
        <v>537</v>
      </c>
      <c r="K137" t="s">
        <v>86</v>
      </c>
      <c r="L137" t="s">
        <v>33</v>
      </c>
      <c r="M137" t="s">
        <v>589</v>
      </c>
      <c r="N137" t="s">
        <v>590</v>
      </c>
      <c r="O137" t="s">
        <v>591</v>
      </c>
      <c r="P137" s="2" t="s">
        <v>37</v>
      </c>
      <c r="Q137" t="s">
        <v>38</v>
      </c>
      <c r="R137">
        <v>0</v>
      </c>
      <c r="S137">
        <v>14.66</v>
      </c>
      <c r="T137" t="s">
        <v>592</v>
      </c>
    </row>
    <row r="138" spans="1:20" x14ac:dyDescent="0.25">
      <c r="A138" s="1" t="str">
        <f>HYPERLINK("https://vegkart.atlas.vegvesen.no/#/@722498.0,7780094.1,18/hva:hva%5B0%5D%5Bfilter%5D%5B0%5D%5Boperator%5D=%21%3D&amp;hva%5B0%5D%5Bfilter%5D%5B0%5D%5Btype_id%5D=9433&amp;hva%5B0%5D%5Bfilter%5D%5B0%5D%5Bverdi%5D=&amp;hva%5B0%5D%5Bid%5D=65/når:2025-03-19", "Vegkart")</f>
        <v>Vegkart</v>
      </c>
      <c r="B138">
        <v>1022339048</v>
      </c>
      <c r="C138">
        <v>65</v>
      </c>
      <c r="D138" t="s">
        <v>442</v>
      </c>
      <c r="E138">
        <v>9433</v>
      </c>
      <c r="F138" t="s">
        <v>23479</v>
      </c>
      <c r="G138">
        <v>1</v>
      </c>
      <c r="H138" t="s">
        <v>593</v>
      </c>
      <c r="J138" t="s">
        <v>537</v>
      </c>
      <c r="K138" t="s">
        <v>179</v>
      </c>
      <c r="L138" t="s">
        <v>33</v>
      </c>
      <c r="M138" t="s">
        <v>594</v>
      </c>
      <c r="N138" t="s">
        <v>595</v>
      </c>
      <c r="O138" t="s">
        <v>596</v>
      </c>
      <c r="P138" s="2" t="s">
        <v>37</v>
      </c>
      <c r="Q138" t="s">
        <v>38</v>
      </c>
      <c r="R138">
        <v>0</v>
      </c>
      <c r="S138">
        <v>16.07</v>
      </c>
      <c r="T138" t="s">
        <v>597</v>
      </c>
    </row>
    <row r="139" spans="1:20" x14ac:dyDescent="0.25">
      <c r="A139" s="1" t="str">
        <f>HYPERLINK("https://vegkart.atlas.vegvesen.no/#/@-12308.8,6842396.5,18/hva:hva%5B0%5D%5Bfilter%5D%5B0%5D%5Boperator%5D=%21%3D&amp;hva%5B0%5D%5Bfilter%5D%5B0%5D%5Btype_id%5D=9433&amp;hva%5B0%5D%5Bfilter%5D%5B0%5D%5Bverdi%5D=&amp;hva%5B0%5D%5Bid%5D=65/når:2025-06-24", "Vegkart")</f>
        <v>Vegkart</v>
      </c>
      <c r="B139">
        <v>1024525762</v>
      </c>
      <c r="C139">
        <v>65</v>
      </c>
      <c r="D139" t="s">
        <v>442</v>
      </c>
      <c r="E139">
        <v>9433</v>
      </c>
      <c r="F139" t="s">
        <v>23479</v>
      </c>
      <c r="G139">
        <v>1</v>
      </c>
      <c r="H139" t="s">
        <v>598</v>
      </c>
      <c r="J139" t="s">
        <v>537</v>
      </c>
      <c r="K139" t="s">
        <v>21</v>
      </c>
      <c r="L139" t="s">
        <v>33</v>
      </c>
      <c r="M139" t="s">
        <v>599</v>
      </c>
      <c r="N139" t="s">
        <v>600</v>
      </c>
      <c r="O139" t="s">
        <v>601</v>
      </c>
      <c r="P139" s="2" t="s">
        <v>37</v>
      </c>
      <c r="Q139" t="s">
        <v>38</v>
      </c>
      <c r="R139">
        <v>0.05</v>
      </c>
      <c r="S139">
        <v>32.74</v>
      </c>
      <c r="T139" t="s">
        <v>602</v>
      </c>
    </row>
    <row r="140" spans="1:20" x14ac:dyDescent="0.25">
      <c r="A140" s="1" t="str">
        <f>HYPERLINK("https://vegkart.atlas.vegvesen.no/#/@47246.6,6831400.0,18/hva:hva%5B0%5D%5Bfilter%5D%5B0%5D%5Boperator%5D=%21%3D&amp;hva%5B0%5D%5Bfilter%5D%5B0%5D%5Btype_id%5D=9433&amp;hva%5B0%5D%5Bfilter%5D%5B0%5D%5Bverdi%5D=&amp;hva%5B0%5D%5Bid%5D=65/når:2025-08-26", "Vegkart")</f>
        <v>Vegkart</v>
      </c>
      <c r="B140">
        <v>1025201755</v>
      </c>
      <c r="C140">
        <v>65</v>
      </c>
      <c r="D140" t="s">
        <v>442</v>
      </c>
      <c r="E140">
        <v>9433</v>
      </c>
      <c r="F140" t="s">
        <v>23479</v>
      </c>
      <c r="G140">
        <v>1</v>
      </c>
      <c r="H140" t="s">
        <v>603</v>
      </c>
      <c r="J140" t="s">
        <v>537</v>
      </c>
      <c r="K140" t="s">
        <v>21</v>
      </c>
      <c r="L140" t="s">
        <v>33</v>
      </c>
      <c r="M140" t="s">
        <v>604</v>
      </c>
      <c r="N140" t="s">
        <v>605</v>
      </c>
      <c r="O140" t="s">
        <v>606</v>
      </c>
      <c r="P140" s="2" t="s">
        <v>37</v>
      </c>
      <c r="Q140" t="s">
        <v>38</v>
      </c>
      <c r="R140">
        <v>0.11</v>
      </c>
      <c r="S140">
        <v>11.5</v>
      </c>
      <c r="T140" t="s">
        <v>607</v>
      </c>
    </row>
    <row r="141" spans="1:20" x14ac:dyDescent="0.25">
      <c r="A141" s="1" t="str">
        <f>HYPERLINK("https://vegkart.atlas.vegvesen.no/#/@-19311.5,6738179.6,18/hva:hva%5B0%5D%5Bfilter%5D%5B0%5D%5Boperator%5D=%21%3D&amp;hva%5B0%5D%5Bfilter%5D%5B0%5D%5Btype_id%5D=9433&amp;hva%5B0%5D%5Bfilter%5D%5B0%5D%5Bverdi%5D=&amp;hva%5B0%5D%5Bid%5D=65/når:2025-12-15", "Vegkart")</f>
        <v>Vegkart</v>
      </c>
      <c r="B141">
        <v>1026061359</v>
      </c>
      <c r="C141">
        <v>65</v>
      </c>
      <c r="D141" t="s">
        <v>442</v>
      </c>
      <c r="E141">
        <v>9433</v>
      </c>
      <c r="F141" t="s">
        <v>23479</v>
      </c>
      <c r="G141">
        <v>1</v>
      </c>
      <c r="H141" t="s">
        <v>608</v>
      </c>
      <c r="J141" t="s">
        <v>609</v>
      </c>
      <c r="K141" t="s">
        <v>21</v>
      </c>
      <c r="L141" t="s">
        <v>33</v>
      </c>
      <c r="M141" t="s">
        <v>610</v>
      </c>
      <c r="N141" t="s">
        <v>611</v>
      </c>
      <c r="O141" t="s">
        <v>612</v>
      </c>
      <c r="P141" s="2" t="s">
        <v>37</v>
      </c>
      <c r="Q141" t="s">
        <v>38</v>
      </c>
      <c r="R141">
        <v>0</v>
      </c>
      <c r="S141">
        <v>48.94</v>
      </c>
      <c r="T141" t="s">
        <v>613</v>
      </c>
    </row>
    <row r="142" spans="1:20" x14ac:dyDescent="0.25">
      <c r="A142" s="1" t="str">
        <f>HYPERLINK("https://vegkart.atlas.vegvesen.no/#/@-19757.2,6736887.2,18/hva:hva%5B0%5D%5Bfilter%5D%5B0%5D%5Boperator%5D=%21%3D&amp;hva%5B0%5D%5Bfilter%5D%5B0%5D%5Btype_id%5D=9433&amp;hva%5B0%5D%5Bfilter%5D%5B0%5D%5Bverdi%5D=&amp;hva%5B0%5D%5Bid%5D=65/når:2025-12-15", "Vegkart")</f>
        <v>Vegkart</v>
      </c>
      <c r="B142">
        <v>1026061360</v>
      </c>
      <c r="C142">
        <v>65</v>
      </c>
      <c r="D142" t="s">
        <v>442</v>
      </c>
      <c r="E142">
        <v>9433</v>
      </c>
      <c r="F142" t="s">
        <v>23479</v>
      </c>
      <c r="G142">
        <v>1</v>
      </c>
      <c r="H142" t="s">
        <v>608</v>
      </c>
      <c r="J142" t="s">
        <v>609</v>
      </c>
      <c r="K142" t="s">
        <v>21</v>
      </c>
      <c r="L142" t="s">
        <v>33</v>
      </c>
      <c r="M142" t="s">
        <v>610</v>
      </c>
      <c r="N142" t="s">
        <v>614</v>
      </c>
      <c r="O142" t="s">
        <v>615</v>
      </c>
      <c r="P142" s="2" t="s">
        <v>37</v>
      </c>
      <c r="Q142" t="s">
        <v>38</v>
      </c>
      <c r="R142">
        <v>0</v>
      </c>
      <c r="S142">
        <v>58.14</v>
      </c>
      <c r="T142" t="s">
        <v>616</v>
      </c>
    </row>
    <row r="143" spans="1:20" x14ac:dyDescent="0.25">
      <c r="A143" s="1" t="str">
        <f>HYPERLINK("https://vegkart.atlas.vegvesen.no/#/@893937.6,7918073.5,18/hva:hva%5B0%5D%5Bfilter%5D%5B0%5D%5Boperator%5D=%21%3D&amp;hva%5B0%5D%5Bfilter%5D%5B0%5D%5Btype_id%5D=9428&amp;hva%5B0%5D%5Bfilter%5D%5B0%5D%5Bverdi%5D=&amp;hva%5B0%5D%5Bid%5D=40/når:2015-06-30", "Vegkart")</f>
        <v>Vegkart</v>
      </c>
      <c r="B143">
        <v>92719546</v>
      </c>
      <c r="C143">
        <v>40</v>
      </c>
      <c r="D143" t="s">
        <v>617</v>
      </c>
      <c r="E143">
        <v>9428</v>
      </c>
      <c r="F143" t="s">
        <v>23479</v>
      </c>
      <c r="G143">
        <v>2</v>
      </c>
      <c r="H143" t="s">
        <v>618</v>
      </c>
      <c r="J143" t="s">
        <v>619</v>
      </c>
      <c r="K143" t="s">
        <v>450</v>
      </c>
      <c r="L143" t="s">
        <v>33</v>
      </c>
      <c r="M143" t="s">
        <v>620</v>
      </c>
      <c r="N143" t="s">
        <v>621</v>
      </c>
      <c r="O143" t="s">
        <v>622</v>
      </c>
      <c r="P143" s="2" t="s">
        <v>37</v>
      </c>
      <c r="Q143" t="s">
        <v>38</v>
      </c>
      <c r="R143">
        <v>6.57</v>
      </c>
      <c r="S143">
        <v>71.849999999999994</v>
      </c>
      <c r="T143" t="s">
        <v>623</v>
      </c>
    </row>
    <row r="144" spans="1:20" x14ac:dyDescent="0.25">
      <c r="A144" s="1" t="str">
        <f>HYPERLINK("https://vegkart.atlas.vegvesen.no/#/@146494.0,6685129.8,18/hva:hva%5B0%5D%5Bfilter%5D%5B0%5D%5Boperator%5D=%21%3D&amp;hva%5B0%5D%5Bfilter%5D%5B0%5D%5Btype_id%5D=9428&amp;hva%5B0%5D%5Bfilter%5D%5B0%5D%5Bverdi%5D=&amp;hva%5B0%5D%5Bid%5D=40/når:2022-07-12", "Vegkart")</f>
        <v>Vegkart</v>
      </c>
      <c r="B144">
        <v>101483267</v>
      </c>
      <c r="C144">
        <v>40</v>
      </c>
      <c r="D144" t="s">
        <v>617</v>
      </c>
      <c r="E144">
        <v>9428</v>
      </c>
      <c r="F144" t="s">
        <v>23479</v>
      </c>
      <c r="G144">
        <v>3</v>
      </c>
      <c r="H144" t="s">
        <v>624</v>
      </c>
      <c r="J144" t="s">
        <v>619</v>
      </c>
      <c r="K144" t="s">
        <v>197</v>
      </c>
      <c r="L144" t="s">
        <v>33</v>
      </c>
      <c r="M144" t="s">
        <v>625</v>
      </c>
      <c r="N144" t="s">
        <v>626</v>
      </c>
      <c r="O144" t="s">
        <v>627</v>
      </c>
      <c r="P144" s="2" t="s">
        <v>165</v>
      </c>
      <c r="Q144" t="s">
        <v>311</v>
      </c>
      <c r="R144">
        <v>14.99</v>
      </c>
      <c r="S144">
        <v>14.99</v>
      </c>
      <c r="T144" t="s">
        <v>167</v>
      </c>
    </row>
    <row r="145" spans="1:20" x14ac:dyDescent="0.25">
      <c r="A145" s="1" t="str">
        <f>HYPERLINK("https://vegkart.atlas.vegvesen.no/#/@147761.5,6683578.7,18/hva:hva%5B0%5D%5Bfilter%5D%5B0%5D%5Boperator%5D=%21%3D&amp;hva%5B0%5D%5Bfilter%5D%5B0%5D%5Btype_id%5D=9428&amp;hva%5B0%5D%5Bfilter%5D%5B0%5D%5Bverdi%5D=&amp;hva%5B0%5D%5Bid%5D=40/når:2022-07-12", "Vegkart")</f>
        <v>Vegkart</v>
      </c>
      <c r="B145">
        <v>101483279</v>
      </c>
      <c r="C145">
        <v>40</v>
      </c>
      <c r="D145" t="s">
        <v>617</v>
      </c>
      <c r="E145">
        <v>9428</v>
      </c>
      <c r="F145" t="s">
        <v>23479</v>
      </c>
      <c r="G145">
        <v>3</v>
      </c>
      <c r="H145" t="s">
        <v>624</v>
      </c>
      <c r="J145" t="s">
        <v>619</v>
      </c>
      <c r="K145" t="s">
        <v>197</v>
      </c>
      <c r="L145" t="s">
        <v>33</v>
      </c>
      <c r="M145" t="s">
        <v>625</v>
      </c>
      <c r="N145" t="s">
        <v>628</v>
      </c>
      <c r="O145" t="s">
        <v>629</v>
      </c>
      <c r="P145" s="2" t="s">
        <v>165</v>
      </c>
      <c r="Q145" t="s">
        <v>311</v>
      </c>
      <c r="R145">
        <v>26.02</v>
      </c>
      <c r="S145">
        <v>26.02</v>
      </c>
      <c r="T145" t="s">
        <v>167</v>
      </c>
    </row>
    <row r="146" spans="1:20" x14ac:dyDescent="0.25">
      <c r="A146" s="1" t="str">
        <f>HYPERLINK("https://vegkart.atlas.vegvesen.no/#/@832085.3,7901948.9,18/hva:hva%5B0%5D%5Bfilter%5D%5B0%5D%5Boperator%5D=%21%3D&amp;hva%5B0%5D%5Bfilter%5D%5B0%5D%5Btype_id%5D=9428&amp;hva%5B0%5D%5Bfilter%5D%5B0%5D%5Bverdi%5D=&amp;hva%5B0%5D%5Bid%5D=40/når:2015-07-14", "Vegkart")</f>
        <v>Vegkart</v>
      </c>
      <c r="B146">
        <v>262046758</v>
      </c>
      <c r="C146">
        <v>40</v>
      </c>
      <c r="D146" t="s">
        <v>617</v>
      </c>
      <c r="E146">
        <v>9428</v>
      </c>
      <c r="F146" t="s">
        <v>23479</v>
      </c>
      <c r="G146">
        <v>2</v>
      </c>
      <c r="H146" t="s">
        <v>630</v>
      </c>
      <c r="J146" t="s">
        <v>631</v>
      </c>
      <c r="K146" t="s">
        <v>450</v>
      </c>
      <c r="L146" t="s">
        <v>33</v>
      </c>
      <c r="M146" t="s">
        <v>632</v>
      </c>
      <c r="N146" t="s">
        <v>633</v>
      </c>
      <c r="O146" t="s">
        <v>634</v>
      </c>
      <c r="P146" s="2" t="s">
        <v>37</v>
      </c>
      <c r="Q146" t="s">
        <v>38</v>
      </c>
      <c r="R146">
        <v>6.33</v>
      </c>
      <c r="S146">
        <v>49.43</v>
      </c>
      <c r="T146" t="s">
        <v>635</v>
      </c>
    </row>
    <row r="147" spans="1:20" x14ac:dyDescent="0.25">
      <c r="A147" s="1" t="str">
        <f>HYPERLINK("https://vegkart.atlas.vegvesen.no/#/@142975.2,6509729.2,18/hva:hva%5B0%5D%5Bfilter%5D%5B0%5D%5Boperator%5D=%21%3D&amp;hva%5B0%5D%5Bfilter%5D%5B0%5D%5Btype_id%5D=9428&amp;hva%5B0%5D%5Bfilter%5D%5B0%5D%5Bverdi%5D=&amp;hva%5B0%5D%5Bid%5D=40/når:2014-06-27", "Vegkart")</f>
        <v>Vegkart</v>
      </c>
      <c r="B147">
        <v>579114375</v>
      </c>
      <c r="C147">
        <v>40</v>
      </c>
      <c r="D147" t="s">
        <v>617</v>
      </c>
      <c r="E147">
        <v>9428</v>
      </c>
      <c r="F147" t="s">
        <v>23479</v>
      </c>
      <c r="G147">
        <v>1</v>
      </c>
      <c r="H147" t="s">
        <v>636</v>
      </c>
      <c r="J147" t="s">
        <v>637</v>
      </c>
      <c r="K147" t="s">
        <v>86</v>
      </c>
      <c r="L147" t="s">
        <v>33</v>
      </c>
      <c r="M147" t="s">
        <v>638</v>
      </c>
      <c r="N147" t="s">
        <v>639</v>
      </c>
      <c r="O147" t="s">
        <v>640</v>
      </c>
      <c r="P147" s="2" t="s">
        <v>165</v>
      </c>
      <c r="Q147" t="s">
        <v>641</v>
      </c>
      <c r="R147">
        <v>0</v>
      </c>
      <c r="S147">
        <v>245.81</v>
      </c>
      <c r="T147" t="s">
        <v>167</v>
      </c>
    </row>
    <row r="148" spans="1:20" x14ac:dyDescent="0.25">
      <c r="A148" s="1" t="str">
        <f>HYPERLINK("https://vegkart.atlas.vegvesen.no/#/@822153.1,7901640.6,18/hva:hva%5B0%5D%5Bfilter%5D%5B0%5D%5Boperator%5D=%21%3D&amp;hva%5B0%5D%5Bfilter%5D%5B0%5D%5Btype_id%5D=9428&amp;hva%5B0%5D%5Bfilter%5D%5B0%5D%5Bverdi%5D=&amp;hva%5B0%5D%5Bid%5D=40/når:2015-07-14", "Vegkart")</f>
        <v>Vegkart</v>
      </c>
      <c r="B148">
        <v>612740642</v>
      </c>
      <c r="C148">
        <v>40</v>
      </c>
      <c r="D148" t="s">
        <v>617</v>
      </c>
      <c r="E148">
        <v>9428</v>
      </c>
      <c r="F148" t="s">
        <v>23479</v>
      </c>
      <c r="G148">
        <v>1</v>
      </c>
      <c r="H148" t="s">
        <v>630</v>
      </c>
      <c r="J148" t="s">
        <v>637</v>
      </c>
      <c r="K148" t="s">
        <v>450</v>
      </c>
      <c r="L148" t="s">
        <v>33</v>
      </c>
      <c r="M148" t="s">
        <v>632</v>
      </c>
      <c r="N148" t="s">
        <v>642</v>
      </c>
      <c r="O148" t="s">
        <v>643</v>
      </c>
      <c r="P148" s="2" t="s">
        <v>165</v>
      </c>
      <c r="Q148" t="s">
        <v>641</v>
      </c>
      <c r="R148">
        <v>8.0399999999999991</v>
      </c>
      <c r="S148">
        <v>74.11</v>
      </c>
      <c r="T148" t="s">
        <v>167</v>
      </c>
    </row>
    <row r="149" spans="1:20" x14ac:dyDescent="0.25">
      <c r="A149" s="1" t="str">
        <f>HYPERLINK("https://vegkart.atlas.vegvesen.no/#/@4482.9,6658899.2,18/hva:hva%5B0%5D%5Bfilter%5D%5B0%5D%5Boperator%5D=%21%3D&amp;hva%5B0%5D%5Bfilter%5D%5B0%5D%5Btype_id%5D=9428&amp;hva%5B0%5D%5Bfilter%5D%5B0%5D%5Bverdi%5D=&amp;hva%5B0%5D%5Bid%5D=40/når:2021-07-19", "Vegkart")</f>
        <v>Vegkart</v>
      </c>
      <c r="B149">
        <v>1013823171</v>
      </c>
      <c r="C149">
        <v>40</v>
      </c>
      <c r="D149" t="s">
        <v>617</v>
      </c>
      <c r="E149">
        <v>9428</v>
      </c>
      <c r="F149" t="s">
        <v>23479</v>
      </c>
      <c r="G149">
        <v>1</v>
      </c>
      <c r="H149" t="s">
        <v>644</v>
      </c>
      <c r="J149" t="s">
        <v>637</v>
      </c>
      <c r="K149" t="s">
        <v>21</v>
      </c>
      <c r="L149" t="s">
        <v>80</v>
      </c>
      <c r="M149" t="s">
        <v>645</v>
      </c>
      <c r="N149" t="s">
        <v>646</v>
      </c>
      <c r="O149" t="s">
        <v>647</v>
      </c>
      <c r="P149" s="2" t="s">
        <v>26</v>
      </c>
      <c r="Q149" t="s">
        <v>50</v>
      </c>
      <c r="R149">
        <v>16.04</v>
      </c>
      <c r="S149">
        <v>16.04</v>
      </c>
      <c r="T149" t="s">
        <v>648</v>
      </c>
    </row>
    <row r="150" spans="1:20" x14ac:dyDescent="0.25">
      <c r="A150" s="1" t="str">
        <f>HYPERLINK("https://vegkart.atlas.vegvesen.no/#/@5606.7,6659734.4,18/hva:hva%5B0%5D%5Bfilter%5D%5B0%5D%5Boperator%5D=%21%3D&amp;hva%5B0%5D%5Bfilter%5D%5B0%5D%5Btype_id%5D=9428&amp;hva%5B0%5D%5Bfilter%5D%5B0%5D%5Bverdi%5D=&amp;hva%5B0%5D%5Bid%5D=40/når:2021-07-19", "Vegkart")</f>
        <v>Vegkart</v>
      </c>
      <c r="B150">
        <v>1013823172</v>
      </c>
      <c r="C150">
        <v>40</v>
      </c>
      <c r="D150" t="s">
        <v>617</v>
      </c>
      <c r="E150">
        <v>9428</v>
      </c>
      <c r="F150" t="s">
        <v>23479</v>
      </c>
      <c r="G150">
        <v>1</v>
      </c>
      <c r="H150" t="s">
        <v>644</v>
      </c>
      <c r="J150" t="s">
        <v>637</v>
      </c>
      <c r="K150" t="s">
        <v>21</v>
      </c>
      <c r="L150" t="s">
        <v>80</v>
      </c>
      <c r="M150" t="s">
        <v>645</v>
      </c>
      <c r="N150" t="s">
        <v>649</v>
      </c>
      <c r="O150" t="s">
        <v>650</v>
      </c>
      <c r="P150" s="2" t="s">
        <v>26</v>
      </c>
      <c r="Q150" t="s">
        <v>50</v>
      </c>
      <c r="R150">
        <v>15.8</v>
      </c>
      <c r="S150">
        <v>15.8</v>
      </c>
      <c r="T150" t="s">
        <v>651</v>
      </c>
    </row>
    <row r="151" spans="1:20" x14ac:dyDescent="0.25">
      <c r="A151" s="1" t="str">
        <f>HYPERLINK("https://vegkart.atlas.vegvesen.no/#/@6783.8,6660788.8,18/hva:hva%5B0%5D%5Bfilter%5D%5B0%5D%5Boperator%5D=%21%3D&amp;hva%5B0%5D%5Bfilter%5D%5B0%5D%5Btype_id%5D=9428&amp;hva%5B0%5D%5Bfilter%5D%5B0%5D%5Bverdi%5D=&amp;hva%5B0%5D%5Bid%5D=40/når:2021-07-19", "Vegkart")</f>
        <v>Vegkart</v>
      </c>
      <c r="B151">
        <v>1013823174</v>
      </c>
      <c r="C151">
        <v>40</v>
      </c>
      <c r="D151" t="s">
        <v>617</v>
      </c>
      <c r="E151">
        <v>9428</v>
      </c>
      <c r="F151" t="s">
        <v>23479</v>
      </c>
      <c r="G151">
        <v>1</v>
      </c>
      <c r="H151" t="s">
        <v>644</v>
      </c>
      <c r="J151" t="s">
        <v>637</v>
      </c>
      <c r="K151" t="s">
        <v>21</v>
      </c>
      <c r="L151" t="s">
        <v>80</v>
      </c>
      <c r="M151" t="s">
        <v>645</v>
      </c>
      <c r="N151" t="s">
        <v>652</v>
      </c>
      <c r="O151" t="s">
        <v>653</v>
      </c>
      <c r="P151" s="2" t="s">
        <v>26</v>
      </c>
      <c r="Q151" t="s">
        <v>50</v>
      </c>
      <c r="R151">
        <v>16.3</v>
      </c>
      <c r="S151">
        <v>16.3</v>
      </c>
      <c r="T151" t="s">
        <v>654</v>
      </c>
    </row>
    <row r="152" spans="1:20" x14ac:dyDescent="0.25">
      <c r="A152" s="1" t="str">
        <f>HYPERLINK("https://vegkart.atlas.vegvesen.no/#/@223958.9,6590467.8,18/hva:hva%5B0%5D%5Bfilter%5D%5B0%5D%5Boperator%5D=%21%3D&amp;hva%5B0%5D%5Bfilter%5D%5B0%5D%5Btype_id%5D=9428&amp;hva%5B0%5D%5Bfilter%5D%5B0%5D%5Bverdi%5D=&amp;hva%5B0%5D%5Bid%5D=40/når:2023-09-28", "Vegkart")</f>
        <v>Vegkart</v>
      </c>
      <c r="B152">
        <v>1018012283</v>
      </c>
      <c r="C152">
        <v>40</v>
      </c>
      <c r="D152" t="s">
        <v>617</v>
      </c>
      <c r="E152">
        <v>9428</v>
      </c>
      <c r="F152" t="s">
        <v>23479</v>
      </c>
      <c r="G152">
        <v>1</v>
      </c>
      <c r="H152" t="s">
        <v>655</v>
      </c>
      <c r="J152" t="s">
        <v>656</v>
      </c>
      <c r="K152" t="s">
        <v>81</v>
      </c>
      <c r="L152" t="s">
        <v>22</v>
      </c>
      <c r="M152" t="s">
        <v>657</v>
      </c>
      <c r="N152" t="s">
        <v>658</v>
      </c>
      <c r="O152" t="s">
        <v>659</v>
      </c>
      <c r="P152" s="2" t="s">
        <v>37</v>
      </c>
      <c r="Q152" t="s">
        <v>38</v>
      </c>
      <c r="R152">
        <v>0</v>
      </c>
      <c r="S152">
        <v>76.06</v>
      </c>
      <c r="T152" t="s">
        <v>660</v>
      </c>
    </row>
    <row r="153" spans="1:20" x14ac:dyDescent="0.25">
      <c r="A153" s="1" t="str">
        <f>HYPERLINK("https://vegkart.atlas.vegvesen.no/#/@267603.3,6673137.0,18/hva:hva%5B0%5D%5Bfilter%5D%5B0%5D%5Boperator%5D=%21%3D&amp;hva%5B0%5D%5Bfilter%5D%5B0%5D%5Btype_id%5D=9428&amp;hva%5B0%5D%5Bfilter%5D%5B0%5D%5Bverdi%5D=&amp;hva%5B0%5D%5Bid%5D=40/når:2024-05-21", "Vegkart")</f>
        <v>Vegkart</v>
      </c>
      <c r="B153">
        <v>1019172026</v>
      </c>
      <c r="C153">
        <v>40</v>
      </c>
      <c r="D153" t="s">
        <v>617</v>
      </c>
      <c r="E153">
        <v>9428</v>
      </c>
      <c r="F153" t="s">
        <v>23479</v>
      </c>
      <c r="G153">
        <v>1</v>
      </c>
      <c r="H153" t="s">
        <v>260</v>
      </c>
      <c r="J153" t="s">
        <v>656</v>
      </c>
      <c r="K153" t="s">
        <v>132</v>
      </c>
      <c r="L153" t="s">
        <v>22</v>
      </c>
      <c r="M153" t="s">
        <v>661</v>
      </c>
      <c r="N153" t="s">
        <v>662</v>
      </c>
      <c r="O153" t="s">
        <v>663</v>
      </c>
      <c r="P153" s="2" t="s">
        <v>37</v>
      </c>
      <c r="Q153" t="s">
        <v>38</v>
      </c>
      <c r="R153">
        <v>0.47</v>
      </c>
      <c r="S153">
        <v>54.47</v>
      </c>
      <c r="T153" t="s">
        <v>664</v>
      </c>
    </row>
    <row r="154" spans="1:20" x14ac:dyDescent="0.25">
      <c r="A154" s="1" t="str">
        <f>HYPERLINK("https://vegkart.atlas.vegvesen.no/#/@79611.4,6500537.9,18/hva:hva%5B0%5D%5Bfilter%5D%5B0%5D%5Boperator%5D=%21%3D&amp;hva%5B0%5D%5Bfilter%5D%5B0%5D%5Btype_id%5D=9428&amp;hva%5B0%5D%5Bfilter%5D%5B0%5D%5Bverdi%5D=&amp;hva%5B0%5D%5Bid%5D=40/når:2024-08-28", "Vegkart")</f>
        <v>Vegkart</v>
      </c>
      <c r="B154">
        <v>1019733147</v>
      </c>
      <c r="C154">
        <v>40</v>
      </c>
      <c r="D154" t="s">
        <v>617</v>
      </c>
      <c r="E154">
        <v>9428</v>
      </c>
      <c r="F154" t="s">
        <v>23479</v>
      </c>
      <c r="G154">
        <v>1</v>
      </c>
      <c r="H154" t="s">
        <v>665</v>
      </c>
      <c r="J154" t="s">
        <v>666</v>
      </c>
      <c r="K154" t="s">
        <v>86</v>
      </c>
      <c r="L154" t="s">
        <v>113</v>
      </c>
      <c r="M154" t="s">
        <v>667</v>
      </c>
      <c r="N154" t="s">
        <v>668</v>
      </c>
      <c r="O154" t="s">
        <v>669</v>
      </c>
      <c r="P154" s="2" t="s">
        <v>37</v>
      </c>
      <c r="Q154" t="s">
        <v>38</v>
      </c>
      <c r="R154">
        <v>0</v>
      </c>
      <c r="S154">
        <v>150.41</v>
      </c>
      <c r="T154" t="s">
        <v>670</v>
      </c>
    </row>
    <row r="155" spans="1:20" x14ac:dyDescent="0.25">
      <c r="A155" s="1" t="str">
        <f>HYPERLINK("https://vegkart.atlas.vegvesen.no/#/@270302.7,7039918.0,18/hva:hva%5B0%5D%5Bfilter%5D%5B0%5D%5Boperator%5D=%21%3D&amp;hva%5B0%5D%5Bfilter%5D%5B0%5D%5Btype_id%5D=9428&amp;hva%5B0%5D%5Bfilter%5D%5B0%5D%5Bverdi%5D=&amp;hva%5B0%5D%5Bid%5D=40/når:2024-09-10", "Vegkart")</f>
        <v>Vegkart</v>
      </c>
      <c r="B155">
        <v>1019783974</v>
      </c>
      <c r="C155">
        <v>40</v>
      </c>
      <c r="D155" t="s">
        <v>617</v>
      </c>
      <c r="E155">
        <v>9428</v>
      </c>
      <c r="F155" t="s">
        <v>23479</v>
      </c>
      <c r="G155">
        <v>1</v>
      </c>
      <c r="H155" t="s">
        <v>671</v>
      </c>
      <c r="J155" t="s">
        <v>656</v>
      </c>
      <c r="K155" t="s">
        <v>192</v>
      </c>
      <c r="L155" t="s">
        <v>22</v>
      </c>
      <c r="M155" t="s">
        <v>672</v>
      </c>
      <c r="N155" t="s">
        <v>673</v>
      </c>
      <c r="O155" t="s">
        <v>674</v>
      </c>
      <c r="P155" s="2" t="s">
        <v>37</v>
      </c>
      <c r="Q155" t="s">
        <v>38</v>
      </c>
      <c r="R155">
        <v>0</v>
      </c>
      <c r="S155">
        <v>91.55</v>
      </c>
      <c r="T155" t="s">
        <v>675</v>
      </c>
    </row>
    <row r="156" spans="1:20" x14ac:dyDescent="0.25">
      <c r="A156" s="1" t="str">
        <f>HYPERLINK("https://vegkart.atlas.vegvesen.no/#/@79490.2,6777593.9,18/hva:hva%5B0%5D%5Bfilter%5D%5B0%5D%5Boperator%5D=%21%3D&amp;hva%5B0%5D%5Bfilter%5D%5B0%5D%5Btype_id%5D=9428&amp;hva%5B0%5D%5Bfilter%5D%5B0%5D%5Bverdi%5D=&amp;hva%5B0%5D%5Bid%5D=40/når:2024-09-20", "Vegkart")</f>
        <v>Vegkart</v>
      </c>
      <c r="B156">
        <v>1019868678</v>
      </c>
      <c r="C156">
        <v>40</v>
      </c>
      <c r="D156" t="s">
        <v>617</v>
      </c>
      <c r="E156">
        <v>9428</v>
      </c>
      <c r="F156" t="s">
        <v>23479</v>
      </c>
      <c r="G156">
        <v>1</v>
      </c>
      <c r="H156" t="s">
        <v>676</v>
      </c>
      <c r="J156" t="s">
        <v>656</v>
      </c>
      <c r="K156" t="s">
        <v>21</v>
      </c>
      <c r="L156" t="s">
        <v>80</v>
      </c>
      <c r="M156" t="s">
        <v>152</v>
      </c>
      <c r="N156" t="s">
        <v>677</v>
      </c>
      <c r="O156" t="s">
        <v>678</v>
      </c>
      <c r="P156" s="2" t="s">
        <v>26</v>
      </c>
      <c r="Q156" t="s">
        <v>50</v>
      </c>
      <c r="R156">
        <v>10.99</v>
      </c>
      <c r="S156">
        <v>10.99</v>
      </c>
      <c r="T156" t="s">
        <v>679</v>
      </c>
    </row>
    <row r="157" spans="1:20" x14ac:dyDescent="0.25">
      <c r="A157" s="1" t="str">
        <f>HYPERLINK("https://vegkart.atlas.vegvesen.no/#/@90390.5,6785479.2,18/hva:hva%5B0%5D%5Bfilter%5D%5B0%5D%5Boperator%5D=%21%3D&amp;hva%5B0%5D%5Bfilter%5D%5B0%5D%5Btype_id%5D=9428&amp;hva%5B0%5D%5Bfilter%5D%5B0%5D%5Bverdi%5D=&amp;hva%5B0%5D%5Bid%5D=40/når:2024-09-20", "Vegkart")</f>
        <v>Vegkart</v>
      </c>
      <c r="B157">
        <v>1019868681</v>
      </c>
      <c r="C157">
        <v>40</v>
      </c>
      <c r="D157" t="s">
        <v>617</v>
      </c>
      <c r="E157">
        <v>9428</v>
      </c>
      <c r="F157" t="s">
        <v>23479</v>
      </c>
      <c r="G157">
        <v>1</v>
      </c>
      <c r="H157" t="s">
        <v>676</v>
      </c>
      <c r="J157" t="s">
        <v>656</v>
      </c>
      <c r="K157" t="s">
        <v>21</v>
      </c>
      <c r="L157" t="s">
        <v>80</v>
      </c>
      <c r="M157" t="s">
        <v>152</v>
      </c>
      <c r="N157" t="s">
        <v>680</v>
      </c>
      <c r="O157" t="s">
        <v>681</v>
      </c>
      <c r="P157" s="2" t="s">
        <v>26</v>
      </c>
      <c r="Q157" t="s">
        <v>50</v>
      </c>
      <c r="R157">
        <v>11</v>
      </c>
      <c r="S157">
        <v>11</v>
      </c>
      <c r="T157" t="s">
        <v>682</v>
      </c>
    </row>
    <row r="158" spans="1:20" x14ac:dyDescent="0.25">
      <c r="A158" s="1" t="str">
        <f>HYPERLINK("https://vegkart.atlas.vegvesen.no/#/@49373.3,6736601.9,18/hva:hva%5B0%5D%5Bfilter%5D%5B0%5D%5Boperator%5D=%21%3D&amp;hva%5B0%5D%5Bfilter%5D%5B0%5D%5Btype_id%5D=9428&amp;hva%5B0%5D%5Bfilter%5D%5B0%5D%5Bverdi%5D=&amp;hva%5B0%5D%5Bid%5D=40/når:2025-10-15", "Vegkart")</f>
        <v>Vegkart</v>
      </c>
      <c r="B158">
        <v>1019868682</v>
      </c>
      <c r="C158">
        <v>40</v>
      </c>
      <c r="D158" t="s">
        <v>617</v>
      </c>
      <c r="E158">
        <v>9428</v>
      </c>
      <c r="F158" t="s">
        <v>23479</v>
      </c>
      <c r="G158">
        <v>2</v>
      </c>
      <c r="H158" t="s">
        <v>683</v>
      </c>
      <c r="J158" t="s">
        <v>684</v>
      </c>
      <c r="K158" t="s">
        <v>21</v>
      </c>
      <c r="L158" t="s">
        <v>113</v>
      </c>
      <c r="M158" t="s">
        <v>114</v>
      </c>
      <c r="N158" t="s">
        <v>685</v>
      </c>
      <c r="O158" t="s">
        <v>686</v>
      </c>
      <c r="P158" s="2" t="s">
        <v>26</v>
      </c>
      <c r="Q158" t="s">
        <v>50</v>
      </c>
      <c r="R158">
        <v>50</v>
      </c>
      <c r="S158">
        <v>50</v>
      </c>
      <c r="T158" t="s">
        <v>687</v>
      </c>
    </row>
    <row r="159" spans="1:20" x14ac:dyDescent="0.25">
      <c r="A159" s="1" t="str">
        <f>HYPERLINK("https://vegkart.atlas.vegvesen.no/#/@121922.4,6793030.1,18/hva:hva%5B0%5D%5Bfilter%5D%5B0%5D%5Boperator%5D=%21%3D&amp;hva%5B0%5D%5Bfilter%5D%5B0%5D%5Btype_id%5D=9428&amp;hva%5B0%5D%5Bfilter%5D%5B0%5D%5Bverdi%5D=&amp;hva%5B0%5D%5Bid%5D=40/når:2024-09-20", "Vegkart")</f>
        <v>Vegkart</v>
      </c>
      <c r="B159">
        <v>1019868684</v>
      </c>
      <c r="C159">
        <v>40</v>
      </c>
      <c r="D159" t="s">
        <v>617</v>
      </c>
      <c r="E159">
        <v>9428</v>
      </c>
      <c r="F159" t="s">
        <v>23479</v>
      </c>
      <c r="G159">
        <v>1</v>
      </c>
      <c r="H159" t="s">
        <v>676</v>
      </c>
      <c r="J159" t="s">
        <v>656</v>
      </c>
      <c r="K159" t="s">
        <v>21</v>
      </c>
      <c r="L159" t="s">
        <v>80</v>
      </c>
      <c r="M159" t="s">
        <v>152</v>
      </c>
      <c r="N159" t="s">
        <v>688</v>
      </c>
      <c r="O159" t="s">
        <v>689</v>
      </c>
      <c r="P159" s="2" t="s">
        <v>26</v>
      </c>
      <c r="Q159" t="s">
        <v>50</v>
      </c>
      <c r="R159">
        <v>61.92</v>
      </c>
      <c r="S159">
        <v>61.92</v>
      </c>
      <c r="T159" t="s">
        <v>690</v>
      </c>
    </row>
    <row r="160" spans="1:20" x14ac:dyDescent="0.25">
      <c r="A160" s="1" t="str">
        <f>HYPERLINK("https://vegkart.atlas.vegvesen.no/#/@80724.9,6778415.3,18/hva:hva%5B0%5D%5Bfilter%5D%5B0%5D%5Boperator%5D=%21%3D&amp;hva%5B0%5D%5Bfilter%5D%5B0%5D%5Btype_id%5D=9428&amp;hva%5B0%5D%5Bfilter%5D%5B0%5D%5Bverdi%5D=&amp;hva%5B0%5D%5Bid%5D=40/når:2024-09-20", "Vegkart")</f>
        <v>Vegkart</v>
      </c>
      <c r="B160">
        <v>1019868690</v>
      </c>
      <c r="C160">
        <v>40</v>
      </c>
      <c r="D160" t="s">
        <v>617</v>
      </c>
      <c r="E160">
        <v>9428</v>
      </c>
      <c r="F160" t="s">
        <v>23479</v>
      </c>
      <c r="G160">
        <v>1</v>
      </c>
      <c r="H160" t="s">
        <v>676</v>
      </c>
      <c r="J160" t="s">
        <v>656</v>
      </c>
      <c r="K160" t="s">
        <v>21</v>
      </c>
      <c r="L160" t="s">
        <v>80</v>
      </c>
      <c r="M160" t="s">
        <v>152</v>
      </c>
      <c r="N160" t="s">
        <v>691</v>
      </c>
      <c r="O160" t="s">
        <v>692</v>
      </c>
      <c r="P160" s="2" t="s">
        <v>26</v>
      </c>
      <c r="Q160" t="s">
        <v>50</v>
      </c>
      <c r="R160">
        <v>10.99</v>
      </c>
      <c r="S160">
        <v>10.99</v>
      </c>
      <c r="T160" t="s">
        <v>693</v>
      </c>
    </row>
    <row r="161" spans="1:20" x14ac:dyDescent="0.25">
      <c r="A161" s="1" t="str">
        <f>HYPERLINK("https://vegkart.atlas.vegvesen.no/#/@91477.8,6786512.0,18/hva:hva%5B0%5D%5Bfilter%5D%5B0%5D%5Boperator%5D=%21%3D&amp;hva%5B0%5D%5Bfilter%5D%5B0%5D%5Btype_id%5D=9428&amp;hva%5B0%5D%5Bfilter%5D%5B0%5D%5Bverdi%5D=&amp;hva%5B0%5D%5Bid%5D=40/når:2024-09-20", "Vegkart")</f>
        <v>Vegkart</v>
      </c>
      <c r="B161">
        <v>1019868692</v>
      </c>
      <c r="C161">
        <v>40</v>
      </c>
      <c r="D161" t="s">
        <v>617</v>
      </c>
      <c r="E161">
        <v>9428</v>
      </c>
      <c r="F161" t="s">
        <v>23479</v>
      </c>
      <c r="G161">
        <v>1</v>
      </c>
      <c r="H161" t="s">
        <v>676</v>
      </c>
      <c r="J161" t="s">
        <v>666</v>
      </c>
      <c r="K161" t="s">
        <v>21</v>
      </c>
      <c r="L161" t="s">
        <v>80</v>
      </c>
      <c r="M161" t="s">
        <v>152</v>
      </c>
      <c r="N161" t="s">
        <v>694</v>
      </c>
      <c r="O161" t="s">
        <v>695</v>
      </c>
      <c r="P161" s="2" t="s">
        <v>26</v>
      </c>
      <c r="Q161" t="s">
        <v>50</v>
      </c>
      <c r="R161">
        <v>11</v>
      </c>
      <c r="S161">
        <v>11</v>
      </c>
      <c r="T161" t="s">
        <v>696</v>
      </c>
    </row>
    <row r="162" spans="1:20" x14ac:dyDescent="0.25">
      <c r="A162" s="1" t="str">
        <f>HYPERLINK("https://vegkart.atlas.vegvesen.no/#/@94414.1,6790530.3,18/hva:hva%5B0%5D%5Bfilter%5D%5B0%5D%5Boperator%5D=%21%3D&amp;hva%5B0%5D%5Bfilter%5D%5B0%5D%5Btype_id%5D=9428&amp;hva%5B0%5D%5Bfilter%5D%5B0%5D%5Bverdi%5D=&amp;hva%5B0%5D%5Bid%5D=40/når:2024-09-20", "Vegkart")</f>
        <v>Vegkart</v>
      </c>
      <c r="B162">
        <v>1019868695</v>
      </c>
      <c r="C162">
        <v>40</v>
      </c>
      <c r="D162" t="s">
        <v>617</v>
      </c>
      <c r="E162">
        <v>9428</v>
      </c>
      <c r="F162" t="s">
        <v>23479</v>
      </c>
      <c r="G162">
        <v>1</v>
      </c>
      <c r="H162" t="s">
        <v>676</v>
      </c>
      <c r="J162" t="s">
        <v>656</v>
      </c>
      <c r="K162" t="s">
        <v>21</v>
      </c>
      <c r="L162" t="s">
        <v>80</v>
      </c>
      <c r="M162" t="s">
        <v>152</v>
      </c>
      <c r="N162" t="s">
        <v>697</v>
      </c>
      <c r="O162" t="s">
        <v>698</v>
      </c>
      <c r="P162" s="2" t="s">
        <v>26</v>
      </c>
      <c r="Q162" t="s">
        <v>50</v>
      </c>
      <c r="R162">
        <v>11</v>
      </c>
      <c r="S162">
        <v>11</v>
      </c>
      <c r="T162" t="s">
        <v>699</v>
      </c>
    </row>
    <row r="163" spans="1:20" x14ac:dyDescent="0.25">
      <c r="A163" s="1" t="str">
        <f>HYPERLINK("https://vegkart.atlas.vegvesen.no/#/@-45602.2,6623006.9,18/hva:hva%5B0%5D%5Bfilter%5D%5B0%5D%5Boperator%5D=%21%3D&amp;hva%5B0%5D%5Bfilter%5D%5B0%5D%5Btype_id%5D=9428&amp;hva%5B0%5D%5Bfilter%5D%5B0%5D%5Bverdi%5D=&amp;hva%5B0%5D%5Bid%5D=40/når:2025-08-01", "Vegkart")</f>
        <v>Vegkart</v>
      </c>
      <c r="B163">
        <v>1025130355</v>
      </c>
      <c r="C163">
        <v>40</v>
      </c>
      <c r="D163" t="s">
        <v>617</v>
      </c>
      <c r="E163">
        <v>9428</v>
      </c>
      <c r="F163" t="s">
        <v>23479</v>
      </c>
      <c r="G163">
        <v>1</v>
      </c>
      <c r="H163" t="s">
        <v>700</v>
      </c>
      <c r="J163" t="s">
        <v>701</v>
      </c>
      <c r="K163" t="s">
        <v>170</v>
      </c>
      <c r="L163" t="s">
        <v>22</v>
      </c>
      <c r="M163" t="s">
        <v>702</v>
      </c>
      <c r="N163" t="s">
        <v>703</v>
      </c>
      <c r="O163" t="s">
        <v>704</v>
      </c>
      <c r="P163" s="2" t="s">
        <v>165</v>
      </c>
      <c r="Q163" t="s">
        <v>311</v>
      </c>
      <c r="R163">
        <v>48.43</v>
      </c>
      <c r="S163">
        <v>82.21</v>
      </c>
      <c r="T163" t="s">
        <v>167</v>
      </c>
    </row>
    <row r="164" spans="1:20" x14ac:dyDescent="0.25">
      <c r="A164" s="1" t="str">
        <f>HYPERLINK("https://vegkart.atlas.vegvesen.no/#/@-55622.0,6597552.6,18/hva:hva%5B0%5D%5Bfilter%5D%5B0%5D%5Boperator%5D=%21%3D&amp;hva%5B0%5D%5Bfilter%5D%5B0%5D%5Btype_id%5D=9428&amp;hva%5B0%5D%5Bfilter%5D%5B0%5D%5Bverdi%5D=&amp;hva%5B0%5D%5Bid%5D=40/når:2025-08-01", "Vegkart")</f>
        <v>Vegkart</v>
      </c>
      <c r="B164">
        <v>1025130370</v>
      </c>
      <c r="C164">
        <v>40</v>
      </c>
      <c r="D164" t="s">
        <v>617</v>
      </c>
      <c r="E164">
        <v>9428</v>
      </c>
      <c r="F164" t="s">
        <v>23479</v>
      </c>
      <c r="G164">
        <v>1</v>
      </c>
      <c r="H164" t="s">
        <v>700</v>
      </c>
      <c r="J164" t="s">
        <v>701</v>
      </c>
      <c r="K164" t="s">
        <v>170</v>
      </c>
      <c r="L164" t="s">
        <v>22</v>
      </c>
      <c r="M164" t="s">
        <v>705</v>
      </c>
      <c r="N164" t="s">
        <v>706</v>
      </c>
      <c r="O164" t="s">
        <v>707</v>
      </c>
      <c r="P164" s="2" t="s">
        <v>37</v>
      </c>
      <c r="Q164" t="s">
        <v>38</v>
      </c>
      <c r="R164">
        <v>3.51</v>
      </c>
      <c r="S164">
        <v>92.52</v>
      </c>
      <c r="T164" t="s">
        <v>708</v>
      </c>
    </row>
    <row r="165" spans="1:20" x14ac:dyDescent="0.25">
      <c r="A165" s="1" t="str">
        <f>HYPERLINK("https://vegkart.atlas.vegvesen.no/#/@-56766.3,6596743.1,18/hva:hva%5B0%5D%5Bfilter%5D%5B0%5D%5Boperator%5D=%21%3D&amp;hva%5B0%5D%5Bfilter%5D%5B0%5D%5Btype_id%5D=9428&amp;hva%5B0%5D%5Bfilter%5D%5B0%5D%5Bverdi%5D=&amp;hva%5B0%5D%5Bid%5D=40/når:2025-08-01", "Vegkart")</f>
        <v>Vegkart</v>
      </c>
      <c r="B165">
        <v>1025130374</v>
      </c>
      <c r="C165">
        <v>40</v>
      </c>
      <c r="D165" t="s">
        <v>617</v>
      </c>
      <c r="E165">
        <v>9428</v>
      </c>
      <c r="F165" t="s">
        <v>23479</v>
      </c>
      <c r="G165">
        <v>1</v>
      </c>
      <c r="H165" t="s">
        <v>700</v>
      </c>
      <c r="J165" t="s">
        <v>701</v>
      </c>
      <c r="K165" t="s">
        <v>170</v>
      </c>
      <c r="L165" t="s">
        <v>22</v>
      </c>
      <c r="M165" t="s">
        <v>709</v>
      </c>
      <c r="N165" t="s">
        <v>710</v>
      </c>
      <c r="O165" t="s">
        <v>711</v>
      </c>
      <c r="P165" s="2" t="s">
        <v>37</v>
      </c>
      <c r="Q165" t="s">
        <v>38</v>
      </c>
      <c r="R165">
        <v>4.4800000000000004</v>
      </c>
      <c r="S165">
        <v>49.83</v>
      </c>
      <c r="T165" t="s">
        <v>712</v>
      </c>
    </row>
    <row r="166" spans="1:20" x14ac:dyDescent="0.25">
      <c r="A166" s="1" t="str">
        <f>HYPERLINK("https://vegkart.atlas.vegvesen.no/#/@-56249.2,6597988.3,18/hva:hva%5B0%5D%5Bfilter%5D%5B0%5D%5Boperator%5D=%21%3D&amp;hva%5B0%5D%5Bfilter%5D%5B0%5D%5Btype_id%5D=9428&amp;hva%5B0%5D%5Bfilter%5D%5B0%5D%5Bverdi%5D=&amp;hva%5B0%5D%5Bid%5D=40/når:2025-08-01", "Vegkart")</f>
        <v>Vegkart</v>
      </c>
      <c r="B166">
        <v>1025130399</v>
      </c>
      <c r="C166">
        <v>40</v>
      </c>
      <c r="D166" t="s">
        <v>617</v>
      </c>
      <c r="E166">
        <v>9428</v>
      </c>
      <c r="F166" t="s">
        <v>23479</v>
      </c>
      <c r="G166">
        <v>1</v>
      </c>
      <c r="H166" t="s">
        <v>700</v>
      </c>
      <c r="J166" t="s">
        <v>701</v>
      </c>
      <c r="K166" t="s">
        <v>170</v>
      </c>
      <c r="L166" t="s">
        <v>22</v>
      </c>
      <c r="M166" t="s">
        <v>713</v>
      </c>
      <c r="N166" t="s">
        <v>714</v>
      </c>
      <c r="O166" t="s">
        <v>715</v>
      </c>
      <c r="P166" s="2" t="s">
        <v>37</v>
      </c>
      <c r="Q166" t="s">
        <v>38</v>
      </c>
      <c r="R166">
        <v>4.8600000000000003</v>
      </c>
      <c r="S166">
        <v>67.930000000000007</v>
      </c>
      <c r="T166" t="s">
        <v>716</v>
      </c>
    </row>
    <row r="167" spans="1:20" x14ac:dyDescent="0.25">
      <c r="A167" s="1" t="str">
        <f>HYPERLINK("https://vegkart.atlas.vegvesen.no/#/@-57319.2,6609855.0,18/hva:hva%5B0%5D%5Bfilter%5D%5B0%5D%5Boperator%5D=%21%3D&amp;hva%5B0%5D%5Bfilter%5D%5B0%5D%5Btype_id%5D=9428&amp;hva%5B0%5D%5Bfilter%5D%5B0%5D%5Bverdi%5D=&amp;hva%5B0%5D%5Bid%5D=40/når:2025-08-01", "Vegkart")</f>
        <v>Vegkart</v>
      </c>
      <c r="B167">
        <v>1025130538</v>
      </c>
      <c r="C167">
        <v>40</v>
      </c>
      <c r="D167" t="s">
        <v>617</v>
      </c>
      <c r="E167">
        <v>9428</v>
      </c>
      <c r="F167" t="s">
        <v>23479</v>
      </c>
      <c r="G167">
        <v>1</v>
      </c>
      <c r="H167" t="s">
        <v>700</v>
      </c>
      <c r="J167" t="s">
        <v>701</v>
      </c>
      <c r="K167" t="s">
        <v>170</v>
      </c>
      <c r="L167" t="s">
        <v>22</v>
      </c>
      <c r="M167" t="s">
        <v>717</v>
      </c>
      <c r="N167" t="s">
        <v>718</v>
      </c>
      <c r="O167" t="s">
        <v>719</v>
      </c>
      <c r="P167" s="2" t="s">
        <v>37</v>
      </c>
      <c r="Q167" t="s">
        <v>38</v>
      </c>
      <c r="R167">
        <v>4.53</v>
      </c>
      <c r="S167">
        <v>103.56</v>
      </c>
      <c r="T167" t="s">
        <v>720</v>
      </c>
    </row>
    <row r="168" spans="1:20" x14ac:dyDescent="0.25">
      <c r="A168" s="1" t="str">
        <f>HYPERLINK("https://vegkart.atlas.vegvesen.no/#/@-57741.5,6609585.2,18/hva:hva%5B0%5D%5Bfilter%5D%5B0%5D%5Boperator%5D=%21%3D&amp;hva%5B0%5D%5Bfilter%5D%5B0%5D%5Btype_id%5D=9428&amp;hva%5B0%5D%5Bfilter%5D%5B0%5D%5Bverdi%5D=&amp;hva%5B0%5D%5Bid%5D=40/når:2025-08-01", "Vegkart")</f>
        <v>Vegkart</v>
      </c>
      <c r="B168">
        <v>1025130562</v>
      </c>
      <c r="C168">
        <v>40</v>
      </c>
      <c r="D168" t="s">
        <v>617</v>
      </c>
      <c r="E168">
        <v>9428</v>
      </c>
      <c r="F168" t="s">
        <v>23479</v>
      </c>
      <c r="G168">
        <v>1</v>
      </c>
      <c r="H168" t="s">
        <v>700</v>
      </c>
      <c r="J168" t="s">
        <v>701</v>
      </c>
      <c r="K168" t="s">
        <v>170</v>
      </c>
      <c r="L168" t="s">
        <v>22</v>
      </c>
      <c r="M168" t="s">
        <v>721</v>
      </c>
      <c r="N168" t="s">
        <v>722</v>
      </c>
      <c r="O168" t="s">
        <v>723</v>
      </c>
      <c r="P168" s="2" t="s">
        <v>37</v>
      </c>
      <c r="Q168" t="s">
        <v>38</v>
      </c>
      <c r="R168">
        <v>2.82</v>
      </c>
      <c r="S168">
        <v>82.11</v>
      </c>
      <c r="T168" t="s">
        <v>724</v>
      </c>
    </row>
    <row r="169" spans="1:20" x14ac:dyDescent="0.25">
      <c r="A169" s="1" t="str">
        <f>HYPERLINK("https://vegkart.atlas.vegvesen.no/#/@-54730.6,6612651.5,18/hva:hva%5B0%5D%5Bfilter%5D%5B0%5D%5Boperator%5D=%21%3D&amp;hva%5B0%5D%5Bfilter%5D%5B0%5D%5Btype_id%5D=9428&amp;hva%5B0%5D%5Bfilter%5D%5B0%5D%5Bverdi%5D=&amp;hva%5B0%5D%5Bid%5D=40/når:2025-08-01", "Vegkart")</f>
        <v>Vegkart</v>
      </c>
      <c r="B169">
        <v>1025130637</v>
      </c>
      <c r="C169">
        <v>40</v>
      </c>
      <c r="D169" t="s">
        <v>617</v>
      </c>
      <c r="E169">
        <v>9428</v>
      </c>
      <c r="F169" t="s">
        <v>23479</v>
      </c>
      <c r="G169">
        <v>1</v>
      </c>
      <c r="H169" t="s">
        <v>700</v>
      </c>
      <c r="J169" t="s">
        <v>701</v>
      </c>
      <c r="K169" t="s">
        <v>170</v>
      </c>
      <c r="L169" t="s">
        <v>22</v>
      </c>
      <c r="M169" t="s">
        <v>144</v>
      </c>
      <c r="N169" t="s">
        <v>725</v>
      </c>
      <c r="O169" t="s">
        <v>726</v>
      </c>
      <c r="P169" s="2" t="s">
        <v>37</v>
      </c>
      <c r="Q169" t="s">
        <v>38</v>
      </c>
      <c r="R169">
        <v>2.4700000000000002</v>
      </c>
      <c r="S169">
        <v>93.75</v>
      </c>
      <c r="T169" t="s">
        <v>727</v>
      </c>
    </row>
    <row r="170" spans="1:20" x14ac:dyDescent="0.25">
      <c r="A170" s="1" t="str">
        <f>HYPERLINK("https://vegkart.atlas.vegvesen.no/#/@-51822.6,6611687.3,18/hva:hva%5B0%5D%5Bfilter%5D%5B0%5D%5Boperator%5D=%21%3D&amp;hva%5B0%5D%5Bfilter%5D%5B0%5D%5Btype_id%5D=9428&amp;hva%5B0%5D%5Bfilter%5D%5B0%5D%5Bverdi%5D=&amp;hva%5B0%5D%5Bid%5D=40/når:2025-08-01", "Vegkart")</f>
        <v>Vegkart</v>
      </c>
      <c r="B170">
        <v>1025130652</v>
      </c>
      <c r="C170">
        <v>40</v>
      </c>
      <c r="D170" t="s">
        <v>617</v>
      </c>
      <c r="E170">
        <v>9428</v>
      </c>
      <c r="F170" t="s">
        <v>23479</v>
      </c>
      <c r="G170">
        <v>1</v>
      </c>
      <c r="H170" t="s">
        <v>700</v>
      </c>
      <c r="J170" t="s">
        <v>701</v>
      </c>
      <c r="K170" t="s">
        <v>170</v>
      </c>
      <c r="L170" t="s">
        <v>22</v>
      </c>
      <c r="M170" t="s">
        <v>728</v>
      </c>
      <c r="N170" t="s">
        <v>729</v>
      </c>
      <c r="O170" t="s">
        <v>730</v>
      </c>
      <c r="P170" s="2" t="s">
        <v>37</v>
      </c>
      <c r="Q170" t="s">
        <v>38</v>
      </c>
      <c r="R170">
        <v>5.84</v>
      </c>
      <c r="S170">
        <v>144.51</v>
      </c>
      <c r="T170" t="s">
        <v>731</v>
      </c>
    </row>
    <row r="171" spans="1:20" x14ac:dyDescent="0.25">
      <c r="A171" s="1" t="str">
        <f>HYPERLINK("https://vegkart.atlas.vegvesen.no/#/@-50718.1,6610737.1,18/hva:hva%5B0%5D%5Bfilter%5D%5B0%5D%5Boperator%5D=%21%3D&amp;hva%5B0%5D%5Bfilter%5D%5B0%5D%5Btype_id%5D=9428&amp;hva%5B0%5D%5Bfilter%5D%5B0%5D%5Bverdi%5D=&amp;hva%5B0%5D%5Bid%5D=40/når:2025-08-01", "Vegkart")</f>
        <v>Vegkart</v>
      </c>
      <c r="B171">
        <v>1025130693</v>
      </c>
      <c r="C171">
        <v>40</v>
      </c>
      <c r="D171" t="s">
        <v>617</v>
      </c>
      <c r="E171">
        <v>9428</v>
      </c>
      <c r="F171" t="s">
        <v>23479</v>
      </c>
      <c r="G171">
        <v>1</v>
      </c>
      <c r="H171" t="s">
        <v>700</v>
      </c>
      <c r="J171" t="s">
        <v>701</v>
      </c>
      <c r="K171" t="s">
        <v>170</v>
      </c>
      <c r="L171" t="s">
        <v>22</v>
      </c>
      <c r="M171" t="s">
        <v>732</v>
      </c>
      <c r="N171" t="s">
        <v>733</v>
      </c>
      <c r="O171" t="s">
        <v>734</v>
      </c>
      <c r="P171" s="2" t="s">
        <v>37</v>
      </c>
      <c r="Q171" t="s">
        <v>38</v>
      </c>
      <c r="R171">
        <v>3.57</v>
      </c>
      <c r="S171">
        <v>257</v>
      </c>
      <c r="T171" t="s">
        <v>735</v>
      </c>
    </row>
    <row r="172" spans="1:20" x14ac:dyDescent="0.25">
      <c r="A172" s="1" t="str">
        <f>HYPERLINK("https://vegkart.atlas.vegvesen.no/#/@-50671.1,6611052.1,18/hva:hva%5B0%5D%5Bfilter%5D%5B0%5D%5Boperator%5D=%21%3D&amp;hva%5B0%5D%5Bfilter%5D%5B0%5D%5Btype_id%5D=9428&amp;hva%5B0%5D%5Bfilter%5D%5B0%5D%5Bverdi%5D=&amp;hva%5B0%5D%5Bid%5D=40/når:2025-08-01", "Vegkart")</f>
        <v>Vegkart</v>
      </c>
      <c r="B172">
        <v>1025130866</v>
      </c>
      <c r="C172">
        <v>40</v>
      </c>
      <c r="D172" t="s">
        <v>617</v>
      </c>
      <c r="E172">
        <v>9428</v>
      </c>
      <c r="F172" t="s">
        <v>23479</v>
      </c>
      <c r="G172">
        <v>1</v>
      </c>
      <c r="H172" t="s">
        <v>700</v>
      </c>
      <c r="J172" t="s">
        <v>701</v>
      </c>
      <c r="K172" t="s">
        <v>170</v>
      </c>
      <c r="L172" t="s">
        <v>22</v>
      </c>
      <c r="M172" t="s">
        <v>736</v>
      </c>
      <c r="N172" t="s">
        <v>737</v>
      </c>
      <c r="O172" t="s">
        <v>738</v>
      </c>
      <c r="P172" s="2" t="s">
        <v>37</v>
      </c>
      <c r="Q172" t="s">
        <v>38</v>
      </c>
      <c r="R172">
        <v>2.6</v>
      </c>
      <c r="S172">
        <v>170.2</v>
      </c>
      <c r="T172" t="s">
        <v>739</v>
      </c>
    </row>
    <row r="173" spans="1:20" x14ac:dyDescent="0.25">
      <c r="A173" s="1" t="str">
        <f>HYPERLINK("https://vegkart.atlas.vegvesen.no/#/@-51625.9,6612469.2,18/hva:hva%5B0%5D%5Bfilter%5D%5B0%5D%5Boperator%5D=%21%3D&amp;hva%5B0%5D%5Bfilter%5D%5B0%5D%5Btype_id%5D=9428&amp;hva%5B0%5D%5Bfilter%5D%5B0%5D%5Bverdi%5D=&amp;hva%5B0%5D%5Bid%5D=40/når:2025-08-01", "Vegkart")</f>
        <v>Vegkart</v>
      </c>
      <c r="B173">
        <v>1025130898</v>
      </c>
      <c r="C173">
        <v>40</v>
      </c>
      <c r="D173" t="s">
        <v>617</v>
      </c>
      <c r="E173">
        <v>9428</v>
      </c>
      <c r="F173" t="s">
        <v>23479</v>
      </c>
      <c r="G173">
        <v>1</v>
      </c>
      <c r="H173" t="s">
        <v>700</v>
      </c>
      <c r="J173" t="s">
        <v>701</v>
      </c>
      <c r="K173" t="s">
        <v>170</v>
      </c>
      <c r="L173" t="s">
        <v>22</v>
      </c>
      <c r="M173" t="s">
        <v>740</v>
      </c>
      <c r="N173" t="s">
        <v>741</v>
      </c>
      <c r="O173" t="s">
        <v>742</v>
      </c>
      <c r="P173" s="2" t="s">
        <v>37</v>
      </c>
      <c r="Q173" t="s">
        <v>38</v>
      </c>
      <c r="R173">
        <v>1.63</v>
      </c>
      <c r="S173">
        <v>49.97</v>
      </c>
      <c r="T173" t="s">
        <v>743</v>
      </c>
    </row>
    <row r="174" spans="1:20" x14ac:dyDescent="0.25">
      <c r="A174" s="1" t="str">
        <f>HYPERLINK("https://vegkart.atlas.vegvesen.no/#/@-51778.0,6612478.1,18/hva:hva%5B0%5D%5Bfilter%5D%5B0%5D%5Boperator%5D=%21%3D&amp;hva%5B0%5D%5Bfilter%5D%5B0%5D%5Btype_id%5D=9428&amp;hva%5B0%5D%5Bfilter%5D%5B0%5D%5Bverdi%5D=&amp;hva%5B0%5D%5Bid%5D=40/når:2025-08-01", "Vegkart")</f>
        <v>Vegkart</v>
      </c>
      <c r="B174">
        <v>1025130899</v>
      </c>
      <c r="C174">
        <v>40</v>
      </c>
      <c r="D174" t="s">
        <v>617</v>
      </c>
      <c r="E174">
        <v>9428</v>
      </c>
      <c r="F174" t="s">
        <v>23479</v>
      </c>
      <c r="G174">
        <v>1</v>
      </c>
      <c r="H174" t="s">
        <v>700</v>
      </c>
      <c r="J174" t="s">
        <v>701</v>
      </c>
      <c r="K174" t="s">
        <v>170</v>
      </c>
      <c r="L174" t="s">
        <v>22</v>
      </c>
      <c r="M174" t="s">
        <v>740</v>
      </c>
      <c r="N174" t="s">
        <v>744</v>
      </c>
      <c r="O174" t="s">
        <v>745</v>
      </c>
      <c r="P174" s="2" t="s">
        <v>165</v>
      </c>
      <c r="Q174" t="s">
        <v>311</v>
      </c>
      <c r="R174">
        <v>80.290000000000006</v>
      </c>
      <c r="S174">
        <v>93.25</v>
      </c>
      <c r="T174" t="s">
        <v>167</v>
      </c>
    </row>
    <row r="175" spans="1:20" x14ac:dyDescent="0.25">
      <c r="A175" s="1" t="str">
        <f>HYPERLINK("https://vegkart.atlas.vegvesen.no/#/@-51494.3,6618935.1,18/hva:hva%5B0%5D%5Bfilter%5D%5B0%5D%5Boperator%5D=%21%3D&amp;hva%5B0%5D%5Bfilter%5D%5B0%5D%5Btype_id%5D=9428&amp;hva%5B0%5D%5Bfilter%5D%5B0%5D%5Bverdi%5D=&amp;hva%5B0%5D%5Bid%5D=40/når:2025-08-01", "Vegkart")</f>
        <v>Vegkart</v>
      </c>
      <c r="B175">
        <v>1025130924</v>
      </c>
      <c r="C175">
        <v>40</v>
      </c>
      <c r="D175" t="s">
        <v>617</v>
      </c>
      <c r="E175">
        <v>9428</v>
      </c>
      <c r="F175" t="s">
        <v>23479</v>
      </c>
      <c r="G175">
        <v>1</v>
      </c>
      <c r="H175" t="s">
        <v>700</v>
      </c>
      <c r="J175" t="s">
        <v>701</v>
      </c>
      <c r="K175" t="s">
        <v>170</v>
      </c>
      <c r="L175" t="s">
        <v>370</v>
      </c>
      <c r="M175" t="s">
        <v>292</v>
      </c>
      <c r="N175" t="s">
        <v>746</v>
      </c>
      <c r="O175" t="s">
        <v>747</v>
      </c>
      <c r="P175" s="2" t="s">
        <v>37</v>
      </c>
      <c r="Q175" t="s">
        <v>38</v>
      </c>
      <c r="R175">
        <v>2.82</v>
      </c>
      <c r="S175">
        <v>79.760000000000005</v>
      </c>
      <c r="T175" t="s">
        <v>748</v>
      </c>
    </row>
    <row r="176" spans="1:20" x14ac:dyDescent="0.25">
      <c r="A176" s="1" t="str">
        <f>HYPERLINK("https://vegkart.atlas.vegvesen.no/#/@-51346.5,6619055.7,18/hva:hva%5B0%5D%5Bfilter%5D%5B0%5D%5Boperator%5D=%21%3D&amp;hva%5B0%5D%5Bfilter%5D%5B0%5D%5Btype_id%5D=9428&amp;hva%5B0%5D%5Bfilter%5D%5B0%5D%5Bverdi%5D=&amp;hva%5B0%5D%5Bid%5D=40/når:2025-08-01", "Vegkart")</f>
        <v>Vegkart</v>
      </c>
      <c r="B176">
        <v>1025130958</v>
      </c>
      <c r="C176">
        <v>40</v>
      </c>
      <c r="D176" t="s">
        <v>617</v>
      </c>
      <c r="E176">
        <v>9428</v>
      </c>
      <c r="F176" t="s">
        <v>23479</v>
      </c>
      <c r="G176">
        <v>1</v>
      </c>
      <c r="H176" t="s">
        <v>700</v>
      </c>
      <c r="J176" t="s">
        <v>701</v>
      </c>
      <c r="K176" t="s">
        <v>170</v>
      </c>
      <c r="L176" t="s">
        <v>370</v>
      </c>
      <c r="M176" t="s">
        <v>749</v>
      </c>
      <c r="N176" t="s">
        <v>750</v>
      </c>
      <c r="O176" t="s">
        <v>751</v>
      </c>
      <c r="P176" s="2" t="s">
        <v>37</v>
      </c>
      <c r="Q176" t="s">
        <v>38</v>
      </c>
      <c r="R176">
        <v>3.37</v>
      </c>
      <c r="S176">
        <v>70.42</v>
      </c>
      <c r="T176" t="s">
        <v>752</v>
      </c>
    </row>
    <row r="177" spans="1:20" x14ac:dyDescent="0.25">
      <c r="A177" s="1" t="str">
        <f>HYPERLINK("https://vegkart.atlas.vegvesen.no/#/@-51257.1,6619020.2,18/hva:hva%5B0%5D%5Bfilter%5D%5B0%5D%5Boperator%5D=%21%3D&amp;hva%5B0%5D%5Bfilter%5D%5B0%5D%5Btype_id%5D=9428&amp;hva%5B0%5D%5Bfilter%5D%5B0%5D%5Bverdi%5D=&amp;hva%5B0%5D%5Bid%5D=40/når:2025-08-01", "Vegkart")</f>
        <v>Vegkart</v>
      </c>
      <c r="B177">
        <v>1025130960</v>
      </c>
      <c r="C177">
        <v>40</v>
      </c>
      <c r="D177" t="s">
        <v>617</v>
      </c>
      <c r="E177">
        <v>9428</v>
      </c>
      <c r="F177" t="s">
        <v>23479</v>
      </c>
      <c r="G177">
        <v>1</v>
      </c>
      <c r="H177" t="s">
        <v>700</v>
      </c>
      <c r="J177" t="s">
        <v>701</v>
      </c>
      <c r="K177" t="s">
        <v>170</v>
      </c>
      <c r="L177" t="s">
        <v>370</v>
      </c>
      <c r="M177" t="s">
        <v>753</v>
      </c>
      <c r="N177" t="s">
        <v>754</v>
      </c>
      <c r="O177" t="s">
        <v>755</v>
      </c>
      <c r="P177" s="2" t="s">
        <v>37</v>
      </c>
      <c r="Q177" t="s">
        <v>38</v>
      </c>
      <c r="R177">
        <v>2.75</v>
      </c>
      <c r="S177">
        <v>100.8</v>
      </c>
      <c r="T177" t="s">
        <v>756</v>
      </c>
    </row>
    <row r="178" spans="1:20" x14ac:dyDescent="0.25">
      <c r="A178" s="1" t="str">
        <f>HYPERLINK("https://vegkart.atlas.vegvesen.no/#/@-51220.4,6618913.9,18/hva:hva%5B0%5D%5Bfilter%5D%5B0%5D%5Boperator%5D=%21%3D&amp;hva%5B0%5D%5Bfilter%5D%5B0%5D%5Btype_id%5D=9428&amp;hva%5B0%5D%5Bfilter%5D%5B0%5D%5Bverdi%5D=&amp;hva%5B0%5D%5Bid%5D=40/når:2025-08-01", "Vegkart")</f>
        <v>Vegkart</v>
      </c>
      <c r="B178">
        <v>1025130963</v>
      </c>
      <c r="C178">
        <v>40</v>
      </c>
      <c r="D178" t="s">
        <v>617</v>
      </c>
      <c r="E178">
        <v>9428</v>
      </c>
      <c r="F178" t="s">
        <v>23479</v>
      </c>
      <c r="G178">
        <v>1</v>
      </c>
      <c r="H178" t="s">
        <v>700</v>
      </c>
      <c r="J178" t="s">
        <v>701</v>
      </c>
      <c r="K178" t="s">
        <v>170</v>
      </c>
      <c r="L178" t="s">
        <v>370</v>
      </c>
      <c r="M178" t="s">
        <v>753</v>
      </c>
      <c r="N178" t="s">
        <v>757</v>
      </c>
      <c r="O178" t="s">
        <v>758</v>
      </c>
      <c r="P178" s="2" t="s">
        <v>37</v>
      </c>
      <c r="Q178" t="s">
        <v>38</v>
      </c>
      <c r="R178">
        <v>1.56</v>
      </c>
      <c r="S178">
        <v>91.43</v>
      </c>
      <c r="T178" t="s">
        <v>759</v>
      </c>
    </row>
    <row r="179" spans="1:20" x14ac:dyDescent="0.25">
      <c r="A179" s="1" t="str">
        <f>HYPERLINK("https://vegkart.atlas.vegvesen.no/#/@-51155.6,6619013.1,18/hva:hva%5B0%5D%5Bfilter%5D%5B0%5D%5Boperator%5D=%21%3D&amp;hva%5B0%5D%5Bfilter%5D%5B0%5D%5Btype_id%5D=9428&amp;hva%5B0%5D%5Bfilter%5D%5B0%5D%5Bverdi%5D=&amp;hva%5B0%5D%5Bid%5D=40/når:2025-08-01", "Vegkart")</f>
        <v>Vegkart</v>
      </c>
      <c r="B179">
        <v>1025130964</v>
      </c>
      <c r="C179">
        <v>40</v>
      </c>
      <c r="D179" t="s">
        <v>617</v>
      </c>
      <c r="E179">
        <v>9428</v>
      </c>
      <c r="F179" t="s">
        <v>23479</v>
      </c>
      <c r="G179">
        <v>1</v>
      </c>
      <c r="H179" t="s">
        <v>700</v>
      </c>
      <c r="J179" t="s">
        <v>701</v>
      </c>
      <c r="K179" t="s">
        <v>170</v>
      </c>
      <c r="L179" t="s">
        <v>370</v>
      </c>
      <c r="M179" t="s">
        <v>753</v>
      </c>
      <c r="N179" t="s">
        <v>760</v>
      </c>
      <c r="O179" t="s">
        <v>761</v>
      </c>
      <c r="P179" s="2" t="s">
        <v>37</v>
      </c>
      <c r="Q179" t="s">
        <v>38</v>
      </c>
      <c r="R179">
        <v>3.02</v>
      </c>
      <c r="S179">
        <v>91.32</v>
      </c>
      <c r="T179" t="s">
        <v>762</v>
      </c>
    </row>
    <row r="180" spans="1:20" x14ac:dyDescent="0.25">
      <c r="A180" s="1" t="str">
        <f>HYPERLINK("https://vegkart.atlas.vegvesen.no/#/@-51128.1,6618922.6,18/hva:hva%5B0%5D%5Bfilter%5D%5B0%5D%5Boperator%5D=%21%3D&amp;hva%5B0%5D%5Bfilter%5D%5B0%5D%5Btype_id%5D=9428&amp;hva%5B0%5D%5Bfilter%5D%5B0%5D%5Bverdi%5D=&amp;hva%5B0%5D%5Bid%5D=40/når:2025-08-01", "Vegkart")</f>
        <v>Vegkart</v>
      </c>
      <c r="B180">
        <v>1025130965</v>
      </c>
      <c r="C180">
        <v>40</v>
      </c>
      <c r="D180" t="s">
        <v>617</v>
      </c>
      <c r="E180">
        <v>9428</v>
      </c>
      <c r="F180" t="s">
        <v>23479</v>
      </c>
      <c r="G180">
        <v>1</v>
      </c>
      <c r="H180" t="s">
        <v>700</v>
      </c>
      <c r="J180" t="s">
        <v>701</v>
      </c>
      <c r="K180" t="s">
        <v>170</v>
      </c>
      <c r="L180" t="s">
        <v>370</v>
      </c>
      <c r="M180" t="s">
        <v>753</v>
      </c>
      <c r="N180" t="s">
        <v>763</v>
      </c>
      <c r="O180" t="s">
        <v>764</v>
      </c>
      <c r="P180" s="2" t="s">
        <v>37</v>
      </c>
      <c r="Q180" t="s">
        <v>38</v>
      </c>
      <c r="R180">
        <v>4.45</v>
      </c>
      <c r="S180">
        <v>91.16</v>
      </c>
      <c r="T180" t="s">
        <v>765</v>
      </c>
    </row>
    <row r="181" spans="1:20" x14ac:dyDescent="0.25">
      <c r="A181" s="1" t="str">
        <f>HYPERLINK("https://vegkart.atlas.vegvesen.no/#/@-51068.6,6619030.8,18/hva:hva%5B0%5D%5Bfilter%5D%5B0%5D%5Boperator%5D=%21%3D&amp;hva%5B0%5D%5Bfilter%5D%5B0%5D%5Btype_id%5D=9428&amp;hva%5B0%5D%5Bfilter%5D%5B0%5D%5Bverdi%5D=&amp;hva%5B0%5D%5Bid%5D=40/når:2025-08-01", "Vegkart")</f>
        <v>Vegkart</v>
      </c>
      <c r="B181">
        <v>1025130966</v>
      </c>
      <c r="C181">
        <v>40</v>
      </c>
      <c r="D181" t="s">
        <v>617</v>
      </c>
      <c r="E181">
        <v>9428</v>
      </c>
      <c r="F181" t="s">
        <v>23479</v>
      </c>
      <c r="G181">
        <v>1</v>
      </c>
      <c r="H181" t="s">
        <v>700</v>
      </c>
      <c r="J181" t="s">
        <v>701</v>
      </c>
      <c r="K181" t="s">
        <v>170</v>
      </c>
      <c r="L181" t="s">
        <v>370</v>
      </c>
      <c r="M181" t="s">
        <v>766</v>
      </c>
      <c r="N181" t="s">
        <v>767</v>
      </c>
      <c r="O181" t="s">
        <v>768</v>
      </c>
      <c r="P181" s="2" t="s">
        <v>37</v>
      </c>
      <c r="Q181" t="s">
        <v>38</v>
      </c>
      <c r="R181">
        <v>1.52</v>
      </c>
      <c r="S181">
        <v>113.94</v>
      </c>
      <c r="T181" t="s">
        <v>769</v>
      </c>
    </row>
    <row r="182" spans="1:20" x14ac:dyDescent="0.25">
      <c r="A182" s="1" t="str">
        <f>HYPERLINK("https://vegkart.atlas.vegvesen.no/#/@-51037.6,6619153.4,18/hva:hva%5B0%5D%5Bfilter%5D%5B0%5D%5Boperator%5D=%21%3D&amp;hva%5B0%5D%5Bfilter%5D%5B0%5D%5Btype_id%5D=9428&amp;hva%5B0%5D%5Bfilter%5D%5B0%5D%5Bverdi%5D=&amp;hva%5B0%5D%5Bid%5D=40/når:2025-08-01", "Vegkart")</f>
        <v>Vegkart</v>
      </c>
      <c r="B182">
        <v>1025130967</v>
      </c>
      <c r="C182">
        <v>40</v>
      </c>
      <c r="D182" t="s">
        <v>617</v>
      </c>
      <c r="E182">
        <v>9428</v>
      </c>
      <c r="F182" t="s">
        <v>23479</v>
      </c>
      <c r="G182">
        <v>1</v>
      </c>
      <c r="H182" t="s">
        <v>700</v>
      </c>
      <c r="J182" t="s">
        <v>701</v>
      </c>
      <c r="K182" t="s">
        <v>170</v>
      </c>
      <c r="L182" t="s">
        <v>370</v>
      </c>
      <c r="M182" t="s">
        <v>770</v>
      </c>
      <c r="N182" t="s">
        <v>771</v>
      </c>
      <c r="O182" t="s">
        <v>772</v>
      </c>
      <c r="P182" s="2" t="s">
        <v>37</v>
      </c>
      <c r="Q182" t="s">
        <v>38</v>
      </c>
      <c r="R182">
        <v>8.4600000000000009</v>
      </c>
      <c r="S182">
        <v>70.459999999999994</v>
      </c>
      <c r="T182" t="s">
        <v>773</v>
      </c>
    </row>
    <row r="183" spans="1:20" x14ac:dyDescent="0.25">
      <c r="A183" s="1" t="str">
        <f>HYPERLINK("https://vegkart.atlas.vegvesen.no/#/@-51270.3,6619108.9,18/hva:hva%5B0%5D%5Bfilter%5D%5B0%5D%5Boperator%5D=%21%3D&amp;hva%5B0%5D%5Bfilter%5D%5B0%5D%5Btype_id%5D=9428&amp;hva%5B0%5D%5Bfilter%5D%5B0%5D%5Bverdi%5D=&amp;hva%5B0%5D%5Bid%5D=40/når:2025-08-01", "Vegkart")</f>
        <v>Vegkart</v>
      </c>
      <c r="B183">
        <v>1025130970</v>
      </c>
      <c r="C183">
        <v>40</v>
      </c>
      <c r="D183" t="s">
        <v>617</v>
      </c>
      <c r="E183">
        <v>9428</v>
      </c>
      <c r="F183" t="s">
        <v>23479</v>
      </c>
      <c r="G183">
        <v>1</v>
      </c>
      <c r="H183" t="s">
        <v>700</v>
      </c>
      <c r="J183" t="s">
        <v>701</v>
      </c>
      <c r="K183" t="s">
        <v>170</v>
      </c>
      <c r="L183" t="s">
        <v>370</v>
      </c>
      <c r="M183" t="s">
        <v>774</v>
      </c>
      <c r="N183" t="s">
        <v>775</v>
      </c>
      <c r="O183" t="s">
        <v>776</v>
      </c>
      <c r="P183" s="2" t="s">
        <v>37</v>
      </c>
      <c r="Q183" t="s">
        <v>38</v>
      </c>
      <c r="R183">
        <v>4.16</v>
      </c>
      <c r="S183">
        <v>70.349999999999994</v>
      </c>
      <c r="T183" t="s">
        <v>777</v>
      </c>
    </row>
    <row r="184" spans="1:20" x14ac:dyDescent="0.25">
      <c r="A184" s="1" t="str">
        <f>HYPERLINK("https://vegkart.atlas.vegvesen.no/#/@267288.9,6651851.0,18/hva:hva%5B0%5D%5Bfilter%5D%5B0%5D%5Boperator%5D=%21%3D&amp;hva%5B0%5D%5Bfilter%5D%5B0%5D%5Btype_id%5D=9428&amp;hva%5B0%5D%5Bfilter%5D%5B0%5D%5Bverdi%5D=&amp;hva%5B0%5D%5Bid%5D=40/når:2025-11-26", "Vegkart")</f>
        <v>Vegkart</v>
      </c>
      <c r="B184">
        <v>1025850573</v>
      </c>
      <c r="C184">
        <v>40</v>
      </c>
      <c r="D184" t="s">
        <v>617</v>
      </c>
      <c r="E184">
        <v>9428</v>
      </c>
      <c r="F184" t="s">
        <v>23479</v>
      </c>
      <c r="G184">
        <v>1</v>
      </c>
      <c r="H184" t="s">
        <v>778</v>
      </c>
      <c r="J184" t="s">
        <v>779</v>
      </c>
      <c r="K184" t="s">
        <v>335</v>
      </c>
      <c r="L184" t="s">
        <v>22</v>
      </c>
      <c r="M184" t="s">
        <v>780</v>
      </c>
      <c r="N184" t="s">
        <v>781</v>
      </c>
      <c r="O184" t="s">
        <v>782</v>
      </c>
      <c r="P184" s="2" t="s">
        <v>26</v>
      </c>
      <c r="Q184" t="s">
        <v>50</v>
      </c>
      <c r="R184">
        <v>22.37</v>
      </c>
      <c r="S184">
        <v>30.04</v>
      </c>
      <c r="T184" t="s">
        <v>783</v>
      </c>
    </row>
    <row r="185" spans="1:20" x14ac:dyDescent="0.25">
      <c r="A185" s="1" t="str">
        <f>HYPERLINK("https://vegkart.atlas.vegvesen.no/#/@264096.9,6624293.3,18/hva:hva%5B0%5D%5Bfilter%5D%5B0%5D%5Boperator%5D=%21%3D&amp;hva%5B0%5D%5Bfilter%5D%5B0%5D%5Btype_id%5D=4897&amp;hva%5B0%5D%5Bfilter%5D%5B0%5D%5Bverdi%5D=&amp;hva%5B0%5D%5Bid%5D=300/når:2024-11-05", "Vegkart")</f>
        <v>Vegkart</v>
      </c>
      <c r="B185">
        <v>558310416</v>
      </c>
      <c r="C185">
        <v>300</v>
      </c>
      <c r="D185" t="s">
        <v>784</v>
      </c>
      <c r="E185">
        <v>4897</v>
      </c>
      <c r="F185" t="s">
        <v>23479</v>
      </c>
      <c r="G185">
        <v>2</v>
      </c>
      <c r="H185" t="s">
        <v>785</v>
      </c>
      <c r="J185" t="s">
        <v>786</v>
      </c>
      <c r="K185" t="s">
        <v>132</v>
      </c>
      <c r="L185" t="s">
        <v>80</v>
      </c>
      <c r="M185" t="s">
        <v>53</v>
      </c>
      <c r="N185" t="s">
        <v>787</v>
      </c>
      <c r="O185" t="s">
        <v>788</v>
      </c>
      <c r="P185" s="2" t="s">
        <v>165</v>
      </c>
      <c r="Q185" t="s">
        <v>641</v>
      </c>
      <c r="R185">
        <v>0</v>
      </c>
      <c r="S185">
        <v>655.66</v>
      </c>
      <c r="T185" t="s">
        <v>167</v>
      </c>
    </row>
    <row r="186" spans="1:20" x14ac:dyDescent="0.25">
      <c r="A186" s="1" t="str">
        <f>HYPERLINK("https://vegkart.atlas.vegvesen.no/#/@266560.0,6634685.4,18/hva:hva%5B0%5D%5Bfilter%5D%5B0%5D%5Boperator%5D=%21%3D&amp;hva%5B0%5D%5Bfilter%5D%5B0%5D%5Btype_id%5D=4897&amp;hva%5B0%5D%5Bfilter%5D%5B0%5D%5Bverdi%5D=&amp;hva%5B0%5D%5Bid%5D=300/når:2024-11-05", "Vegkart")</f>
        <v>Vegkart</v>
      </c>
      <c r="B186">
        <v>574490888</v>
      </c>
      <c r="C186">
        <v>300</v>
      </c>
      <c r="D186" t="s">
        <v>784</v>
      </c>
      <c r="E186">
        <v>4897</v>
      </c>
      <c r="F186" t="s">
        <v>23479</v>
      </c>
      <c r="G186">
        <v>2</v>
      </c>
      <c r="H186" t="s">
        <v>785</v>
      </c>
      <c r="J186" t="s">
        <v>786</v>
      </c>
      <c r="K186" t="s">
        <v>132</v>
      </c>
      <c r="L186" t="s">
        <v>80</v>
      </c>
      <c r="M186" t="s">
        <v>105</v>
      </c>
      <c r="N186" t="s">
        <v>789</v>
      </c>
      <c r="O186" t="s">
        <v>790</v>
      </c>
      <c r="P186" s="2" t="s">
        <v>165</v>
      </c>
      <c r="Q186" t="s">
        <v>641</v>
      </c>
      <c r="R186">
        <v>0</v>
      </c>
      <c r="S186">
        <v>241.88</v>
      </c>
      <c r="T186" t="s">
        <v>167</v>
      </c>
    </row>
    <row r="187" spans="1:20" x14ac:dyDescent="0.25">
      <c r="A187" s="1" t="str">
        <f>HYPERLINK("https://vegkart.atlas.vegvesen.no/#/@266686.0,6636084.2,18/hva:hva%5B0%5D%5Bfilter%5D%5B0%5D%5Boperator%5D=%21%3D&amp;hva%5B0%5D%5Bfilter%5D%5B0%5D%5Btype_id%5D=4897&amp;hva%5B0%5D%5Bfilter%5D%5B0%5D%5Bverdi%5D=&amp;hva%5B0%5D%5Bid%5D=300/når:2024-11-05", "Vegkart")</f>
        <v>Vegkart</v>
      </c>
      <c r="B187">
        <v>574495953</v>
      </c>
      <c r="C187">
        <v>300</v>
      </c>
      <c r="D187" t="s">
        <v>784</v>
      </c>
      <c r="E187">
        <v>4897</v>
      </c>
      <c r="F187" t="s">
        <v>23479</v>
      </c>
      <c r="G187">
        <v>2</v>
      </c>
      <c r="H187" t="s">
        <v>785</v>
      </c>
      <c r="J187" t="s">
        <v>786</v>
      </c>
      <c r="K187" t="s">
        <v>132</v>
      </c>
      <c r="L187" t="s">
        <v>80</v>
      </c>
      <c r="M187" t="s">
        <v>105</v>
      </c>
      <c r="N187" t="s">
        <v>791</v>
      </c>
      <c r="O187" t="s">
        <v>792</v>
      </c>
      <c r="P187" s="2" t="s">
        <v>165</v>
      </c>
      <c r="Q187" t="s">
        <v>641</v>
      </c>
      <c r="R187">
        <v>0</v>
      </c>
      <c r="S187">
        <v>414.54</v>
      </c>
      <c r="T187" t="s">
        <v>167</v>
      </c>
    </row>
    <row r="188" spans="1:20" x14ac:dyDescent="0.25">
      <c r="A188" s="1" t="str">
        <f>HYPERLINK("https://vegkart.atlas.vegvesen.no/#/@-32405.9,6767524.3,18/hva:hva%5B0%5D%5Bfilter%5D%5B0%5D%5Boperator%5D=%21%3D&amp;hva%5B0%5D%5Bfilter%5D%5B0%5D%5Btype_id%5D=4897&amp;hva%5B0%5D%5Bfilter%5D%5B0%5D%5Bverdi%5D=&amp;hva%5B0%5D%5Bid%5D=300/når:2017-01-31", "Vegkart")</f>
        <v>Vegkart</v>
      </c>
      <c r="B188">
        <v>761707537</v>
      </c>
      <c r="C188">
        <v>300</v>
      </c>
      <c r="D188" t="s">
        <v>784</v>
      </c>
      <c r="E188">
        <v>4897</v>
      </c>
      <c r="F188" t="s">
        <v>23479</v>
      </c>
      <c r="G188">
        <v>1</v>
      </c>
      <c r="H188" t="s">
        <v>793</v>
      </c>
      <c r="J188" t="s">
        <v>794</v>
      </c>
      <c r="K188" t="s">
        <v>21</v>
      </c>
      <c r="L188" t="s">
        <v>33</v>
      </c>
      <c r="M188" t="s">
        <v>795</v>
      </c>
      <c r="N188" t="s">
        <v>796</v>
      </c>
      <c r="O188" t="s">
        <v>797</v>
      </c>
      <c r="P188" s="2" t="s">
        <v>67</v>
      </c>
      <c r="Q188" t="s">
        <v>68</v>
      </c>
      <c r="R188">
        <v>12.64</v>
      </c>
      <c r="S188">
        <v>100.44</v>
      </c>
      <c r="T188" t="s">
        <v>798</v>
      </c>
    </row>
    <row r="189" spans="1:20" x14ac:dyDescent="0.25">
      <c r="A189" s="1" t="str">
        <f>HYPERLINK("https://vegkart.atlas.vegvesen.no/#/@262889.9,6653776.9,18/hva:hva%5B0%5D%5Bfilter%5D%5B0%5D%5Boperator%5D=%21%3D&amp;hva%5B0%5D%5Bfilter%5D%5B0%5D%5Btype_id%5D=4897&amp;hva%5B0%5D%5Bfilter%5D%5B0%5D%5Bverdi%5D=&amp;hva%5B0%5D%5Bid%5D=300/når:2013-07-01", "Vegkart")</f>
        <v>Vegkart</v>
      </c>
      <c r="B189">
        <v>763841937</v>
      </c>
      <c r="C189">
        <v>300</v>
      </c>
      <c r="D189" t="s">
        <v>784</v>
      </c>
      <c r="E189">
        <v>4897</v>
      </c>
      <c r="F189" t="s">
        <v>23479</v>
      </c>
      <c r="G189">
        <v>1</v>
      </c>
      <c r="H189" t="s">
        <v>799</v>
      </c>
      <c r="J189" t="s">
        <v>794</v>
      </c>
      <c r="K189" t="s">
        <v>335</v>
      </c>
      <c r="L189" t="s">
        <v>113</v>
      </c>
      <c r="M189" t="s">
        <v>336</v>
      </c>
      <c r="N189" t="s">
        <v>800</v>
      </c>
      <c r="O189" t="s">
        <v>801</v>
      </c>
      <c r="P189" s="2" t="s">
        <v>165</v>
      </c>
      <c r="Q189" t="s">
        <v>641</v>
      </c>
      <c r="R189">
        <v>0</v>
      </c>
      <c r="S189">
        <v>66.09</v>
      </c>
      <c r="T189" t="s">
        <v>167</v>
      </c>
    </row>
    <row r="190" spans="1:20" x14ac:dyDescent="0.25">
      <c r="A190" s="1" t="str">
        <f>HYPERLINK("https://vegkart.atlas.vegvesen.no/#/@-19781.0,6582714.5,18/hva:hva%5B0%5D%5Bfilter%5D%5B0%5D%5Boperator%5D=%21%3D&amp;hva%5B0%5D%5Bfilter%5D%5B0%5D%5Btype_id%5D=4897&amp;hva%5B0%5D%5Bfilter%5D%5B0%5D%5Bverdi%5D=&amp;hva%5B0%5D%5Bid%5D=300/når:2020-10-28", "Vegkart")</f>
        <v>Vegkart</v>
      </c>
      <c r="B190">
        <v>1010860948</v>
      </c>
      <c r="C190">
        <v>300</v>
      </c>
      <c r="D190" t="s">
        <v>784</v>
      </c>
      <c r="E190">
        <v>4897</v>
      </c>
      <c r="F190" t="s">
        <v>23479</v>
      </c>
      <c r="G190">
        <v>1</v>
      </c>
      <c r="H190" t="s">
        <v>802</v>
      </c>
      <c r="J190" t="s">
        <v>803</v>
      </c>
      <c r="K190" t="s">
        <v>170</v>
      </c>
      <c r="L190" t="s">
        <v>33</v>
      </c>
      <c r="M190" t="s">
        <v>804</v>
      </c>
      <c r="N190" t="s">
        <v>805</v>
      </c>
      <c r="O190" t="s">
        <v>806</v>
      </c>
      <c r="P190" s="2" t="s">
        <v>67</v>
      </c>
      <c r="Q190" t="s">
        <v>68</v>
      </c>
      <c r="R190">
        <v>203.27</v>
      </c>
      <c r="S190">
        <v>203.27</v>
      </c>
      <c r="T190" t="s">
        <v>807</v>
      </c>
    </row>
    <row r="191" spans="1:20" x14ac:dyDescent="0.25">
      <c r="A191" s="1" t="str">
        <f>HYPERLINK("https://vegkart.atlas.vegvesen.no/#/@-39405.4,6632763.9,18/hva:hva%5B0%5D%5Bfilter%5D%5B0%5D%5Boperator%5D=%21%3D&amp;hva%5B0%5D%5Bfilter%5D%5B0%5D%5Btype_id%5D=4897&amp;hva%5B0%5D%5Bfilter%5D%5B0%5D%5Bverdi%5D=&amp;hva%5B0%5D%5Bid%5D=300/når:2022-05-02", "Vegkart")</f>
        <v>Vegkart</v>
      </c>
      <c r="B191">
        <v>1015414615</v>
      </c>
      <c r="C191">
        <v>300</v>
      </c>
      <c r="D191" t="s">
        <v>784</v>
      </c>
      <c r="E191">
        <v>4897</v>
      </c>
      <c r="F191" t="s">
        <v>23479</v>
      </c>
      <c r="G191">
        <v>1</v>
      </c>
      <c r="H191" t="s">
        <v>808</v>
      </c>
      <c r="J191" t="s">
        <v>809</v>
      </c>
      <c r="K191" t="s">
        <v>170</v>
      </c>
      <c r="L191" t="s">
        <v>80</v>
      </c>
      <c r="M191" t="s">
        <v>81</v>
      </c>
      <c r="N191" t="s">
        <v>810</v>
      </c>
      <c r="O191" t="s">
        <v>811</v>
      </c>
      <c r="P191" s="2" t="s">
        <v>67</v>
      </c>
      <c r="Q191" t="s">
        <v>68</v>
      </c>
      <c r="R191">
        <v>161.31</v>
      </c>
      <c r="S191">
        <v>164.14</v>
      </c>
      <c r="T191" t="s">
        <v>812</v>
      </c>
    </row>
    <row r="192" spans="1:20" x14ac:dyDescent="0.25">
      <c r="A192" s="1" t="str">
        <f>HYPERLINK("https://vegkart.atlas.vegvesen.no/#/@-40068.8,6633570.8,18/hva:hva%5B0%5D%5Bfilter%5D%5B0%5D%5Boperator%5D=%21%3D&amp;hva%5B0%5D%5Bfilter%5D%5B0%5D%5Btype_id%5D=4897&amp;hva%5B0%5D%5Bfilter%5D%5B0%5D%5Bverdi%5D=&amp;hva%5B0%5D%5Bid%5D=300/når:2022-05-02", "Vegkart")</f>
        <v>Vegkart</v>
      </c>
      <c r="B192">
        <v>1015414616</v>
      </c>
      <c r="C192">
        <v>300</v>
      </c>
      <c r="D192" t="s">
        <v>784</v>
      </c>
      <c r="E192">
        <v>4897</v>
      </c>
      <c r="F192" t="s">
        <v>23479</v>
      </c>
      <c r="G192">
        <v>1</v>
      </c>
      <c r="H192" t="s">
        <v>808</v>
      </c>
      <c r="J192" t="s">
        <v>809</v>
      </c>
      <c r="K192" t="s">
        <v>170</v>
      </c>
      <c r="L192" t="s">
        <v>80</v>
      </c>
      <c r="M192" t="s">
        <v>81</v>
      </c>
      <c r="N192" t="s">
        <v>813</v>
      </c>
      <c r="O192" t="s">
        <v>814</v>
      </c>
      <c r="P192" s="2" t="s">
        <v>67</v>
      </c>
      <c r="Q192" t="s">
        <v>68</v>
      </c>
      <c r="R192">
        <v>961.47</v>
      </c>
      <c r="S192">
        <v>983.39</v>
      </c>
      <c r="T192" t="s">
        <v>815</v>
      </c>
    </row>
    <row r="193" spans="1:20" x14ac:dyDescent="0.25">
      <c r="A193" s="1" t="str">
        <f>HYPERLINK("https://vegkart.atlas.vegvesen.no/#/@-39378.9,6631727.1,18/hva:hva%5B0%5D%5Bfilter%5D%5B0%5D%5Boperator%5D=%21%3D&amp;hva%5B0%5D%5Bfilter%5D%5B0%5D%5Btype_id%5D=4897&amp;hva%5B0%5D%5Bfilter%5D%5B0%5D%5Bverdi%5D=&amp;hva%5B0%5D%5Bid%5D=300/når:2022-05-02", "Vegkart")</f>
        <v>Vegkart</v>
      </c>
      <c r="B193">
        <v>1015414617</v>
      </c>
      <c r="C193">
        <v>300</v>
      </c>
      <c r="D193" t="s">
        <v>784</v>
      </c>
      <c r="E193">
        <v>4897</v>
      </c>
      <c r="F193" t="s">
        <v>23479</v>
      </c>
      <c r="G193">
        <v>1</v>
      </c>
      <c r="H193" t="s">
        <v>808</v>
      </c>
      <c r="J193" t="s">
        <v>809</v>
      </c>
      <c r="K193" t="s">
        <v>170</v>
      </c>
      <c r="L193" t="s">
        <v>80</v>
      </c>
      <c r="M193" t="s">
        <v>81</v>
      </c>
      <c r="N193" t="s">
        <v>816</v>
      </c>
      <c r="O193" t="s">
        <v>817</v>
      </c>
      <c r="P193" s="2" t="s">
        <v>67</v>
      </c>
      <c r="Q193" t="s">
        <v>68</v>
      </c>
      <c r="R193">
        <v>133.69</v>
      </c>
      <c r="S193">
        <v>133.79</v>
      </c>
      <c r="T193" t="s">
        <v>818</v>
      </c>
    </row>
    <row r="194" spans="1:20" x14ac:dyDescent="0.25">
      <c r="A194" s="1" t="str">
        <f>HYPERLINK("https://vegkart.atlas.vegvesen.no/#/@-39409.4,6631518.5,18/hva:hva%5B0%5D%5Bfilter%5D%5B0%5D%5Boperator%5D=%21%3D&amp;hva%5B0%5D%5Bfilter%5D%5B0%5D%5Btype_id%5D=4897&amp;hva%5B0%5D%5Bfilter%5D%5B0%5D%5Bverdi%5D=&amp;hva%5B0%5D%5Bid%5D=300/når:2022-05-02", "Vegkart")</f>
        <v>Vegkart</v>
      </c>
      <c r="B194">
        <v>1015414618</v>
      </c>
      <c r="C194">
        <v>300</v>
      </c>
      <c r="D194" t="s">
        <v>784</v>
      </c>
      <c r="E194">
        <v>4897</v>
      </c>
      <c r="F194" t="s">
        <v>23479</v>
      </c>
      <c r="G194">
        <v>1</v>
      </c>
      <c r="H194" t="s">
        <v>808</v>
      </c>
      <c r="J194" t="s">
        <v>809</v>
      </c>
      <c r="K194" t="s">
        <v>170</v>
      </c>
      <c r="L194" t="s">
        <v>80</v>
      </c>
      <c r="M194" t="s">
        <v>81</v>
      </c>
      <c r="N194" t="s">
        <v>819</v>
      </c>
      <c r="O194" t="s">
        <v>820</v>
      </c>
      <c r="P194" s="2" t="s">
        <v>67</v>
      </c>
      <c r="Q194" t="s">
        <v>68</v>
      </c>
      <c r="R194">
        <v>277.27999999999997</v>
      </c>
      <c r="S194">
        <v>285.45</v>
      </c>
      <c r="T194" t="s">
        <v>821</v>
      </c>
    </row>
    <row r="195" spans="1:20" x14ac:dyDescent="0.25">
      <c r="A195" s="1" t="str">
        <f>HYPERLINK("https://vegkart.atlas.vegvesen.no/#/@-39382.0,6631439.5,18/hva:hva%5B0%5D%5Bfilter%5D%5B0%5D%5Boperator%5D=%21%3D&amp;hva%5B0%5D%5Bfilter%5D%5B0%5D%5Btype_id%5D=4897&amp;hva%5B0%5D%5Bfilter%5D%5B0%5D%5Bverdi%5D=&amp;hva%5B0%5D%5Bid%5D=300/når:2022-05-02", "Vegkart")</f>
        <v>Vegkart</v>
      </c>
      <c r="B195">
        <v>1015414619</v>
      </c>
      <c r="C195">
        <v>300</v>
      </c>
      <c r="D195" t="s">
        <v>784</v>
      </c>
      <c r="E195">
        <v>4897</v>
      </c>
      <c r="F195" t="s">
        <v>23479</v>
      </c>
      <c r="G195">
        <v>1</v>
      </c>
      <c r="H195" t="s">
        <v>808</v>
      </c>
      <c r="J195" t="s">
        <v>809</v>
      </c>
      <c r="K195" t="s">
        <v>170</v>
      </c>
      <c r="L195" t="s">
        <v>80</v>
      </c>
      <c r="M195" t="s">
        <v>81</v>
      </c>
      <c r="N195" t="s">
        <v>822</v>
      </c>
      <c r="O195" t="s">
        <v>823</v>
      </c>
      <c r="P195" s="2" t="s">
        <v>67</v>
      </c>
      <c r="Q195" t="s">
        <v>68</v>
      </c>
      <c r="R195">
        <v>101.29</v>
      </c>
      <c r="S195">
        <v>101.35</v>
      </c>
      <c r="T195" t="s">
        <v>824</v>
      </c>
    </row>
    <row r="196" spans="1:20" x14ac:dyDescent="0.25">
      <c r="A196" s="1" t="str">
        <f>HYPERLINK("https://vegkart.atlas.vegvesen.no/#/@-39401.3,6631571.6,18/hva:hva%5B0%5D%5Bfilter%5D%5B0%5D%5Boperator%5D=%21%3D&amp;hva%5B0%5D%5Bfilter%5D%5B0%5D%5Btype_id%5D=4897&amp;hva%5B0%5D%5Bfilter%5D%5B0%5D%5Bverdi%5D=&amp;hva%5B0%5D%5Bid%5D=300/når:2022-05-02", "Vegkart")</f>
        <v>Vegkart</v>
      </c>
      <c r="B196">
        <v>1015414620</v>
      </c>
      <c r="C196">
        <v>300</v>
      </c>
      <c r="D196" t="s">
        <v>784</v>
      </c>
      <c r="E196">
        <v>4897</v>
      </c>
      <c r="F196" t="s">
        <v>23479</v>
      </c>
      <c r="G196">
        <v>1</v>
      </c>
      <c r="H196" t="s">
        <v>808</v>
      </c>
      <c r="J196" t="s">
        <v>809</v>
      </c>
      <c r="K196" t="s">
        <v>170</v>
      </c>
      <c r="L196" t="s">
        <v>80</v>
      </c>
      <c r="M196" t="s">
        <v>81</v>
      </c>
      <c r="N196" t="s">
        <v>825</v>
      </c>
      <c r="O196" t="s">
        <v>826</v>
      </c>
      <c r="P196" s="2" t="s">
        <v>67</v>
      </c>
      <c r="Q196" t="s">
        <v>68</v>
      </c>
      <c r="R196">
        <v>165.76</v>
      </c>
      <c r="S196">
        <v>167.63</v>
      </c>
      <c r="T196" t="s">
        <v>827</v>
      </c>
    </row>
    <row r="197" spans="1:20" x14ac:dyDescent="0.25">
      <c r="A197" s="1" t="str">
        <f>HYPERLINK("https://vegkart.atlas.vegvesen.no/#/@-39272.9,6631990.5,18/hva:hva%5B0%5D%5Bfilter%5D%5B0%5D%5Boperator%5D=%21%3D&amp;hva%5B0%5D%5Bfilter%5D%5B0%5D%5Btype_id%5D=4897&amp;hva%5B0%5D%5Bfilter%5D%5B0%5D%5Bverdi%5D=&amp;hva%5B0%5D%5Bid%5D=300/når:2022-05-02", "Vegkart")</f>
        <v>Vegkart</v>
      </c>
      <c r="B197">
        <v>1015414621</v>
      </c>
      <c r="C197">
        <v>300</v>
      </c>
      <c r="D197" t="s">
        <v>784</v>
      </c>
      <c r="E197">
        <v>4897</v>
      </c>
      <c r="F197" t="s">
        <v>23479</v>
      </c>
      <c r="G197">
        <v>1</v>
      </c>
      <c r="H197" t="s">
        <v>808</v>
      </c>
      <c r="J197" t="s">
        <v>809</v>
      </c>
      <c r="K197" t="s">
        <v>170</v>
      </c>
      <c r="L197" t="s">
        <v>80</v>
      </c>
      <c r="M197" t="s">
        <v>81</v>
      </c>
      <c r="N197" t="s">
        <v>828</v>
      </c>
      <c r="O197" t="s">
        <v>829</v>
      </c>
      <c r="P197" s="2" t="s">
        <v>67</v>
      </c>
      <c r="Q197" t="s">
        <v>68</v>
      </c>
      <c r="R197">
        <v>707.27</v>
      </c>
      <c r="S197">
        <v>720.22</v>
      </c>
      <c r="T197" t="s">
        <v>830</v>
      </c>
    </row>
    <row r="198" spans="1:20" x14ac:dyDescent="0.25">
      <c r="A198" s="1" t="str">
        <f>HYPERLINK("https://vegkart.atlas.vegvesen.no/#/@-39283.4,6632615.4,18/hva:hva%5B0%5D%5Bfilter%5D%5B0%5D%5Boperator%5D=%21%3D&amp;hva%5B0%5D%5Bfilter%5D%5B0%5D%5Btype_id%5D=4897&amp;hva%5B0%5D%5Bfilter%5D%5B0%5D%5Bverdi%5D=&amp;hva%5B0%5D%5Bid%5D=300/når:2022-05-02", "Vegkart")</f>
        <v>Vegkart</v>
      </c>
      <c r="B198">
        <v>1015414622</v>
      </c>
      <c r="C198">
        <v>300</v>
      </c>
      <c r="D198" t="s">
        <v>784</v>
      </c>
      <c r="E198">
        <v>4897</v>
      </c>
      <c r="F198" t="s">
        <v>23479</v>
      </c>
      <c r="G198">
        <v>1</v>
      </c>
      <c r="H198" t="s">
        <v>808</v>
      </c>
      <c r="J198" t="s">
        <v>809</v>
      </c>
      <c r="K198" t="s">
        <v>170</v>
      </c>
      <c r="L198" t="s">
        <v>80</v>
      </c>
      <c r="M198" t="s">
        <v>81</v>
      </c>
      <c r="N198" t="s">
        <v>831</v>
      </c>
      <c r="O198" t="s">
        <v>832</v>
      </c>
      <c r="P198" s="2" t="s">
        <v>67</v>
      </c>
      <c r="Q198" t="s">
        <v>68</v>
      </c>
      <c r="R198">
        <v>224.6</v>
      </c>
      <c r="S198">
        <v>225.9</v>
      </c>
      <c r="T198" t="s">
        <v>833</v>
      </c>
    </row>
    <row r="199" spans="1:20" x14ac:dyDescent="0.25">
      <c r="A199" s="1" t="str">
        <f>HYPERLINK("https://vegkart.atlas.vegvesen.no/#/@-39413.4,6632790.1,18/hva:hva%5B0%5D%5Bfilter%5D%5B0%5D%5Boperator%5D=%21%3D&amp;hva%5B0%5D%5Bfilter%5D%5B0%5D%5Btype_id%5D=4897&amp;hva%5B0%5D%5Bfilter%5D%5B0%5D%5Bverdi%5D=&amp;hva%5B0%5D%5Bid%5D=300/når:2022-05-02", "Vegkart")</f>
        <v>Vegkart</v>
      </c>
      <c r="B199">
        <v>1015414623</v>
      </c>
      <c r="C199">
        <v>300</v>
      </c>
      <c r="D199" t="s">
        <v>784</v>
      </c>
      <c r="E199">
        <v>4897</v>
      </c>
      <c r="F199" t="s">
        <v>23479</v>
      </c>
      <c r="G199">
        <v>1</v>
      </c>
      <c r="H199" t="s">
        <v>808</v>
      </c>
      <c r="J199" t="s">
        <v>809</v>
      </c>
      <c r="K199" t="s">
        <v>170</v>
      </c>
      <c r="L199" t="s">
        <v>80</v>
      </c>
      <c r="M199" t="s">
        <v>81</v>
      </c>
      <c r="N199" t="s">
        <v>834</v>
      </c>
      <c r="O199" t="s">
        <v>835</v>
      </c>
      <c r="P199" s="2" t="s">
        <v>67</v>
      </c>
      <c r="Q199" t="s">
        <v>68</v>
      </c>
      <c r="R199">
        <v>202.67</v>
      </c>
      <c r="S199">
        <v>203.36</v>
      </c>
      <c r="T199" t="s">
        <v>836</v>
      </c>
    </row>
    <row r="200" spans="1:20" x14ac:dyDescent="0.25">
      <c r="A200" s="1" t="str">
        <f>HYPERLINK("https://vegkart.atlas.vegvesen.no/#/@-39695.3,6632987.9,18/hva:hva%5B0%5D%5Bfilter%5D%5B0%5D%5Boperator%5D=%21%3D&amp;hva%5B0%5D%5Bfilter%5D%5B0%5D%5Btype_id%5D=4897&amp;hva%5B0%5D%5Bfilter%5D%5B0%5D%5Bverdi%5D=&amp;hva%5B0%5D%5Bid%5D=300/når:2022-05-02", "Vegkart")</f>
        <v>Vegkart</v>
      </c>
      <c r="B200">
        <v>1015414624</v>
      </c>
      <c r="C200">
        <v>300</v>
      </c>
      <c r="D200" t="s">
        <v>784</v>
      </c>
      <c r="E200">
        <v>4897</v>
      </c>
      <c r="F200" t="s">
        <v>23479</v>
      </c>
      <c r="G200">
        <v>1</v>
      </c>
      <c r="H200" t="s">
        <v>808</v>
      </c>
      <c r="J200" t="s">
        <v>809</v>
      </c>
      <c r="K200" t="s">
        <v>170</v>
      </c>
      <c r="L200" t="s">
        <v>80</v>
      </c>
      <c r="M200" t="s">
        <v>81</v>
      </c>
      <c r="N200" t="s">
        <v>837</v>
      </c>
      <c r="O200" t="s">
        <v>838</v>
      </c>
      <c r="P200" s="2" t="s">
        <v>67</v>
      </c>
      <c r="Q200" t="s">
        <v>68</v>
      </c>
      <c r="R200">
        <v>488.31</v>
      </c>
      <c r="S200">
        <v>489.86</v>
      </c>
      <c r="T200" t="s">
        <v>839</v>
      </c>
    </row>
    <row r="201" spans="1:20" x14ac:dyDescent="0.25">
      <c r="A201" s="1" t="str">
        <f>HYPERLINK("https://vegkart.atlas.vegvesen.no/#/@-39739.4,6632999.7,18/hva:hva%5B0%5D%5Bfilter%5D%5B0%5D%5Boperator%5D=%21%3D&amp;hva%5B0%5D%5Bfilter%5D%5B0%5D%5Btype_id%5D=4897&amp;hva%5B0%5D%5Bfilter%5D%5B0%5D%5Bverdi%5D=&amp;hva%5B0%5D%5Bid%5D=300/når:2022-05-02", "Vegkart")</f>
        <v>Vegkart</v>
      </c>
      <c r="B201">
        <v>1015414625</v>
      </c>
      <c r="C201">
        <v>300</v>
      </c>
      <c r="D201" t="s">
        <v>784</v>
      </c>
      <c r="E201">
        <v>4897</v>
      </c>
      <c r="F201" t="s">
        <v>23479</v>
      </c>
      <c r="G201">
        <v>1</v>
      </c>
      <c r="H201" t="s">
        <v>808</v>
      </c>
      <c r="J201" t="s">
        <v>809</v>
      </c>
      <c r="K201" t="s">
        <v>170</v>
      </c>
      <c r="L201" t="s">
        <v>80</v>
      </c>
      <c r="M201" t="s">
        <v>81</v>
      </c>
      <c r="N201" t="s">
        <v>840</v>
      </c>
      <c r="O201" t="s">
        <v>841</v>
      </c>
      <c r="P201" s="2" t="s">
        <v>67</v>
      </c>
      <c r="Q201" t="s">
        <v>68</v>
      </c>
      <c r="R201">
        <v>648.41</v>
      </c>
      <c r="S201">
        <v>654.29</v>
      </c>
      <c r="T201" t="s">
        <v>842</v>
      </c>
    </row>
    <row r="202" spans="1:20" x14ac:dyDescent="0.25">
      <c r="A202" s="1" t="str">
        <f>HYPERLINK("https://vegkart.atlas.vegvesen.no/#/@-40001.9,6633225.5,18/hva:hva%5B0%5D%5Bfilter%5D%5B0%5D%5Boperator%5D=%21%3D&amp;hva%5B0%5D%5Bfilter%5D%5B0%5D%5Btype_id%5D=4897&amp;hva%5B0%5D%5Bfilter%5D%5B0%5D%5Bverdi%5D=&amp;hva%5B0%5D%5Bid%5D=300/når:2022-05-02", "Vegkart")</f>
        <v>Vegkart</v>
      </c>
      <c r="B202">
        <v>1015414626</v>
      </c>
      <c r="C202">
        <v>300</v>
      </c>
      <c r="D202" t="s">
        <v>784</v>
      </c>
      <c r="E202">
        <v>4897</v>
      </c>
      <c r="F202" t="s">
        <v>23479</v>
      </c>
      <c r="G202">
        <v>1</v>
      </c>
      <c r="H202" t="s">
        <v>808</v>
      </c>
      <c r="J202" t="s">
        <v>809</v>
      </c>
      <c r="K202" t="s">
        <v>170</v>
      </c>
      <c r="L202" t="s">
        <v>80</v>
      </c>
      <c r="M202" t="s">
        <v>81</v>
      </c>
      <c r="N202" t="s">
        <v>843</v>
      </c>
      <c r="O202" t="s">
        <v>844</v>
      </c>
      <c r="P202" s="2" t="s">
        <v>67</v>
      </c>
      <c r="Q202" t="s">
        <v>68</v>
      </c>
      <c r="R202">
        <v>49.38</v>
      </c>
      <c r="S202">
        <v>49.38</v>
      </c>
      <c r="T202" t="s">
        <v>845</v>
      </c>
    </row>
    <row r="203" spans="1:20" x14ac:dyDescent="0.25">
      <c r="A203" s="1" t="str">
        <f>HYPERLINK("https://vegkart.atlas.vegvesen.no/#/@-40069.1,6633511.3,18/hva:hva%5B0%5D%5Bfilter%5D%5B0%5D%5Boperator%5D=%21%3D&amp;hva%5B0%5D%5Bfilter%5D%5B0%5D%5Btype_id%5D=4897&amp;hva%5B0%5D%5Bfilter%5D%5B0%5D%5Bverdi%5D=&amp;hva%5B0%5D%5Bid%5D=300/når:2022-05-02", "Vegkart")</f>
        <v>Vegkart</v>
      </c>
      <c r="B203">
        <v>1015414627</v>
      </c>
      <c r="C203">
        <v>300</v>
      </c>
      <c r="D203" t="s">
        <v>784</v>
      </c>
      <c r="E203">
        <v>4897</v>
      </c>
      <c r="F203" t="s">
        <v>23479</v>
      </c>
      <c r="G203">
        <v>1</v>
      </c>
      <c r="H203" t="s">
        <v>808</v>
      </c>
      <c r="J203" t="s">
        <v>809</v>
      </c>
      <c r="K203" t="s">
        <v>170</v>
      </c>
      <c r="L203" t="s">
        <v>80</v>
      </c>
      <c r="M203" t="s">
        <v>81</v>
      </c>
      <c r="N203" t="s">
        <v>846</v>
      </c>
      <c r="O203" t="s">
        <v>847</v>
      </c>
      <c r="P203" s="2" t="s">
        <v>67</v>
      </c>
      <c r="Q203" t="s">
        <v>68</v>
      </c>
      <c r="R203">
        <v>529.79999999999995</v>
      </c>
      <c r="S203">
        <v>533.83000000000004</v>
      </c>
      <c r="T203" t="s">
        <v>848</v>
      </c>
    </row>
    <row r="204" spans="1:20" x14ac:dyDescent="0.25">
      <c r="A204" s="1" t="str">
        <f>HYPERLINK("https://vegkart.atlas.vegvesen.no/#/@-39325.1,6632659.6,18/hva:hva%5B0%5D%5Bfilter%5D%5B0%5D%5Boperator%5D=%21%3D&amp;hva%5B0%5D%5Bfilter%5D%5B0%5D%5Btype_id%5D=4897&amp;hva%5B0%5D%5Bfilter%5D%5B0%5D%5Bverdi%5D=&amp;hva%5B0%5D%5Bid%5D=300/når:2022-05-02", "Vegkart")</f>
        <v>Vegkart</v>
      </c>
      <c r="B204">
        <v>1015414628</v>
      </c>
      <c r="C204">
        <v>300</v>
      </c>
      <c r="D204" t="s">
        <v>784</v>
      </c>
      <c r="E204">
        <v>4897</v>
      </c>
      <c r="F204" t="s">
        <v>23479</v>
      </c>
      <c r="G204">
        <v>1</v>
      </c>
      <c r="H204" t="s">
        <v>808</v>
      </c>
      <c r="J204" t="s">
        <v>809</v>
      </c>
      <c r="K204" t="s">
        <v>170</v>
      </c>
      <c r="L204" t="s">
        <v>80</v>
      </c>
      <c r="M204" t="s">
        <v>81</v>
      </c>
      <c r="N204" t="s">
        <v>849</v>
      </c>
      <c r="O204" t="s">
        <v>850</v>
      </c>
      <c r="P204" s="2" t="s">
        <v>67</v>
      </c>
      <c r="Q204" t="s">
        <v>68</v>
      </c>
      <c r="R204">
        <v>101.78</v>
      </c>
      <c r="S204">
        <v>102.5</v>
      </c>
      <c r="T204" t="s">
        <v>851</v>
      </c>
    </row>
    <row r="205" spans="1:20" x14ac:dyDescent="0.25">
      <c r="A205" s="1" t="str">
        <f>HYPERLINK("https://vegkart.atlas.vegvesen.no/#/@-39249.2,6632504.7,18/hva:hva%5B0%5D%5Bfilter%5D%5B0%5D%5Boperator%5D=%21%3D&amp;hva%5B0%5D%5Bfilter%5D%5B0%5D%5Btype_id%5D=4897&amp;hva%5B0%5D%5Bfilter%5D%5B0%5D%5Bverdi%5D=&amp;hva%5B0%5D%5Bid%5D=300/når:2022-05-02", "Vegkart")</f>
        <v>Vegkart</v>
      </c>
      <c r="B205">
        <v>1015414629</v>
      </c>
      <c r="C205">
        <v>300</v>
      </c>
      <c r="D205" t="s">
        <v>784</v>
      </c>
      <c r="E205">
        <v>4897</v>
      </c>
      <c r="F205" t="s">
        <v>23479</v>
      </c>
      <c r="G205">
        <v>1</v>
      </c>
      <c r="H205" t="s">
        <v>808</v>
      </c>
      <c r="J205" t="s">
        <v>809</v>
      </c>
      <c r="K205" t="s">
        <v>170</v>
      </c>
      <c r="L205" t="s">
        <v>80</v>
      </c>
      <c r="M205" t="s">
        <v>81</v>
      </c>
      <c r="N205" t="s">
        <v>852</v>
      </c>
      <c r="O205" t="s">
        <v>853</v>
      </c>
      <c r="P205" s="2" t="s">
        <v>67</v>
      </c>
      <c r="Q205" t="s">
        <v>68</v>
      </c>
      <c r="R205">
        <v>228.23</v>
      </c>
      <c r="S205">
        <v>228.69</v>
      </c>
      <c r="T205" t="s">
        <v>854</v>
      </c>
    </row>
    <row r="206" spans="1:20" x14ac:dyDescent="0.25">
      <c r="A206" s="1" t="str">
        <f>HYPERLINK("https://vegkart.atlas.vegvesen.no/#/@-40185.8,6633894.6,18/hva:hva%5B0%5D%5Bfilter%5D%5B0%5D%5Boperator%5D=%21%3D&amp;hva%5B0%5D%5Bfilter%5D%5B0%5D%5Btype_id%5D=4897&amp;hva%5B0%5D%5Bfilter%5D%5B0%5D%5Bverdi%5D=&amp;hva%5B0%5D%5Bid%5D=300/når:2022-05-02", "Vegkart")</f>
        <v>Vegkart</v>
      </c>
      <c r="B206">
        <v>1015414630</v>
      </c>
      <c r="C206">
        <v>300</v>
      </c>
      <c r="D206" t="s">
        <v>784</v>
      </c>
      <c r="E206">
        <v>4897</v>
      </c>
      <c r="F206" t="s">
        <v>23479</v>
      </c>
      <c r="G206">
        <v>1</v>
      </c>
      <c r="H206" t="s">
        <v>808</v>
      </c>
      <c r="J206" t="s">
        <v>809</v>
      </c>
      <c r="K206" t="s">
        <v>170</v>
      </c>
      <c r="L206" t="s">
        <v>80</v>
      </c>
      <c r="M206" t="s">
        <v>81</v>
      </c>
      <c r="N206" t="s">
        <v>855</v>
      </c>
      <c r="O206" t="s">
        <v>856</v>
      </c>
      <c r="P206" s="2" t="s">
        <v>67</v>
      </c>
      <c r="Q206" t="s">
        <v>68</v>
      </c>
      <c r="R206">
        <v>278.27</v>
      </c>
      <c r="S206">
        <v>279.77</v>
      </c>
      <c r="T206" t="s">
        <v>857</v>
      </c>
    </row>
    <row r="207" spans="1:20" x14ac:dyDescent="0.25">
      <c r="A207" s="1" t="str">
        <f>HYPERLINK("https://vegkart.atlas.vegvesen.no/#/@-39331.7,6631839.3,18/hva:hva%5B0%5D%5Bfilter%5D%5B0%5D%5Boperator%5D=%21%3D&amp;hva%5B0%5D%5Bfilter%5D%5B0%5D%5Btype_id%5D=4897&amp;hva%5B0%5D%5Bfilter%5D%5B0%5D%5Bverdi%5D=&amp;hva%5B0%5D%5Bid%5D=300/når:2022-05-02", "Vegkart")</f>
        <v>Vegkart</v>
      </c>
      <c r="B207">
        <v>1015414631</v>
      </c>
      <c r="C207">
        <v>300</v>
      </c>
      <c r="D207" t="s">
        <v>784</v>
      </c>
      <c r="E207">
        <v>4897</v>
      </c>
      <c r="F207" t="s">
        <v>23479</v>
      </c>
      <c r="G207">
        <v>1</v>
      </c>
      <c r="H207" t="s">
        <v>808</v>
      </c>
      <c r="J207" t="s">
        <v>809</v>
      </c>
      <c r="K207" t="s">
        <v>170</v>
      </c>
      <c r="L207" t="s">
        <v>80</v>
      </c>
      <c r="M207" t="s">
        <v>81</v>
      </c>
      <c r="N207" t="s">
        <v>858</v>
      </c>
      <c r="O207" t="s">
        <v>859</v>
      </c>
      <c r="P207" s="2" t="s">
        <v>67</v>
      </c>
      <c r="Q207" t="s">
        <v>68</v>
      </c>
      <c r="R207">
        <v>110.7</v>
      </c>
      <c r="S207">
        <v>111.05</v>
      </c>
      <c r="T207" t="s">
        <v>860</v>
      </c>
    </row>
    <row r="208" spans="1:20" x14ac:dyDescent="0.25">
      <c r="A208" s="1" t="str">
        <f>HYPERLINK("https://vegkart.atlas.vegvesen.no/#/@-39309.0,6631941.2,18/hva:hva%5B0%5D%5Bfilter%5D%5B0%5D%5Boperator%5D=%21%3D&amp;hva%5B0%5D%5Bfilter%5D%5B0%5D%5Btype_id%5D=4897&amp;hva%5B0%5D%5Bfilter%5D%5B0%5D%5Bverdi%5D=&amp;hva%5B0%5D%5Bid%5D=300/når:2022-05-02", "Vegkart")</f>
        <v>Vegkart</v>
      </c>
      <c r="B208">
        <v>1015414632</v>
      </c>
      <c r="C208">
        <v>300</v>
      </c>
      <c r="D208" t="s">
        <v>784</v>
      </c>
      <c r="E208">
        <v>4897</v>
      </c>
      <c r="F208" t="s">
        <v>23479</v>
      </c>
      <c r="G208">
        <v>1</v>
      </c>
      <c r="H208" t="s">
        <v>808</v>
      </c>
      <c r="J208" t="s">
        <v>809</v>
      </c>
      <c r="K208" t="s">
        <v>170</v>
      </c>
      <c r="L208" t="s">
        <v>80</v>
      </c>
      <c r="M208" t="s">
        <v>81</v>
      </c>
      <c r="N208" t="s">
        <v>861</v>
      </c>
      <c r="O208" t="s">
        <v>862</v>
      </c>
      <c r="P208" s="2" t="s">
        <v>67</v>
      </c>
      <c r="Q208" t="s">
        <v>68</v>
      </c>
      <c r="R208">
        <v>96.6</v>
      </c>
      <c r="S208">
        <v>96.74</v>
      </c>
      <c r="T208" t="s">
        <v>863</v>
      </c>
    </row>
    <row r="209" spans="1:20" x14ac:dyDescent="0.25">
      <c r="A209" s="1" t="str">
        <f>HYPERLINK("https://vegkart.atlas.vegvesen.no/#/@-39187.5,6632354.2,18/hva:hva%5B0%5D%5Bfilter%5D%5B0%5D%5Boperator%5D=%21%3D&amp;hva%5B0%5D%5Bfilter%5D%5B0%5D%5Btype_id%5D=4897&amp;hva%5B0%5D%5Bfilter%5D%5B0%5D%5Bverdi%5D=&amp;hva%5B0%5D%5Bid%5D=300/når:2022-05-02", "Vegkart")</f>
        <v>Vegkart</v>
      </c>
      <c r="B209">
        <v>1015414633</v>
      </c>
      <c r="C209">
        <v>300</v>
      </c>
      <c r="D209" t="s">
        <v>784</v>
      </c>
      <c r="E209">
        <v>4897</v>
      </c>
      <c r="F209" t="s">
        <v>23479</v>
      </c>
      <c r="G209">
        <v>1</v>
      </c>
      <c r="H209" t="s">
        <v>808</v>
      </c>
      <c r="J209" t="s">
        <v>809</v>
      </c>
      <c r="K209" t="s">
        <v>170</v>
      </c>
      <c r="L209" t="s">
        <v>80</v>
      </c>
      <c r="M209" t="s">
        <v>81</v>
      </c>
      <c r="N209" t="s">
        <v>864</v>
      </c>
      <c r="O209" t="s">
        <v>865</v>
      </c>
      <c r="P209" s="2" t="s">
        <v>67</v>
      </c>
      <c r="Q209" t="s">
        <v>68</v>
      </c>
      <c r="R209">
        <v>86.75</v>
      </c>
      <c r="S209">
        <v>87.25</v>
      </c>
      <c r="T209" t="s">
        <v>866</v>
      </c>
    </row>
    <row r="210" spans="1:20" x14ac:dyDescent="0.25">
      <c r="A210" s="1" t="str">
        <f>HYPERLINK("https://vegkart.atlas.vegvesen.no/#/@-39245.0,6632152.5,18/hva:hva%5B0%5D%5Bfilter%5D%5B0%5D%5Boperator%5D=%21%3D&amp;hva%5B0%5D%5Bfilter%5D%5B0%5D%5Btype_id%5D=4897&amp;hva%5B0%5D%5Bfilter%5D%5B0%5D%5Bverdi%5D=&amp;hva%5B0%5D%5Bid%5D=300/når:2022-05-02", "Vegkart")</f>
        <v>Vegkart</v>
      </c>
      <c r="B210">
        <v>1015414634</v>
      </c>
      <c r="C210">
        <v>300</v>
      </c>
      <c r="D210" t="s">
        <v>784</v>
      </c>
      <c r="E210">
        <v>4897</v>
      </c>
      <c r="F210" t="s">
        <v>23479</v>
      </c>
      <c r="G210">
        <v>1</v>
      </c>
      <c r="H210" t="s">
        <v>808</v>
      </c>
      <c r="J210" t="s">
        <v>809</v>
      </c>
      <c r="K210" t="s">
        <v>170</v>
      </c>
      <c r="L210" t="s">
        <v>80</v>
      </c>
      <c r="M210" t="s">
        <v>81</v>
      </c>
      <c r="N210" t="s">
        <v>867</v>
      </c>
      <c r="O210" t="s">
        <v>868</v>
      </c>
      <c r="P210" s="2" t="s">
        <v>67</v>
      </c>
      <c r="Q210" t="s">
        <v>68</v>
      </c>
      <c r="R210">
        <v>328.99</v>
      </c>
      <c r="S210">
        <v>334.44</v>
      </c>
      <c r="T210" t="s">
        <v>869</v>
      </c>
    </row>
    <row r="211" spans="1:20" x14ac:dyDescent="0.25">
      <c r="A211" s="1" t="str">
        <f>HYPERLINK("https://vegkart.atlas.vegvesen.no/#/@-39194.2,6632422.6,18/hva:hva%5B0%5D%5Bfilter%5D%5B0%5D%5Boperator%5D=%21%3D&amp;hva%5B0%5D%5Bfilter%5D%5B0%5D%5Btype_id%5D=4897&amp;hva%5B0%5D%5Bfilter%5D%5B0%5D%5Bverdi%5D=&amp;hva%5B0%5D%5Bid%5D=300/når:2022-05-02", "Vegkart")</f>
        <v>Vegkart</v>
      </c>
      <c r="B211">
        <v>1015414635</v>
      </c>
      <c r="C211">
        <v>300</v>
      </c>
      <c r="D211" t="s">
        <v>784</v>
      </c>
      <c r="E211">
        <v>4897</v>
      </c>
      <c r="F211" t="s">
        <v>23479</v>
      </c>
      <c r="G211">
        <v>1</v>
      </c>
      <c r="H211" t="s">
        <v>808</v>
      </c>
      <c r="J211" t="s">
        <v>809</v>
      </c>
      <c r="K211" t="s">
        <v>170</v>
      </c>
      <c r="L211" t="s">
        <v>80</v>
      </c>
      <c r="M211" t="s">
        <v>81</v>
      </c>
      <c r="N211" t="s">
        <v>870</v>
      </c>
      <c r="O211" t="s">
        <v>871</v>
      </c>
      <c r="P211" s="2" t="s">
        <v>67</v>
      </c>
      <c r="Q211" t="s">
        <v>68</v>
      </c>
      <c r="R211">
        <v>180.4</v>
      </c>
      <c r="S211">
        <v>181.68</v>
      </c>
      <c r="T211" t="s">
        <v>872</v>
      </c>
    </row>
    <row r="212" spans="1:20" x14ac:dyDescent="0.25">
      <c r="A212" s="1" t="str">
        <f>HYPERLINK("https://vegkart.atlas.vegvesen.no/#/@-34119.9,6574607.0,18/hva:hva%5B0%5D%5Bfilter%5D%5B0%5D%5Boperator%5D=%21%3D&amp;hva%5B0%5D%5Bfilter%5D%5B0%5D%5Btype_id%5D=4897&amp;hva%5B0%5D%5Bfilter%5D%5B0%5D%5Bverdi%5D=&amp;hva%5B0%5D%5Bid%5D=300/når:2022-09-16", "Vegkart")</f>
        <v>Vegkart</v>
      </c>
      <c r="B212">
        <v>1016333552</v>
      </c>
      <c r="C212">
        <v>300</v>
      </c>
      <c r="D212" t="s">
        <v>784</v>
      </c>
      <c r="E212">
        <v>4897</v>
      </c>
      <c r="F212" t="s">
        <v>23479</v>
      </c>
      <c r="G212">
        <v>1</v>
      </c>
      <c r="H212" t="s">
        <v>380</v>
      </c>
      <c r="J212" t="s">
        <v>809</v>
      </c>
      <c r="K212" t="s">
        <v>170</v>
      </c>
      <c r="L212" t="s">
        <v>33</v>
      </c>
      <c r="M212" t="s">
        <v>381</v>
      </c>
      <c r="N212" t="s">
        <v>873</v>
      </c>
      <c r="O212" t="s">
        <v>874</v>
      </c>
      <c r="P212" s="2" t="s">
        <v>37</v>
      </c>
      <c r="Q212" t="s">
        <v>38</v>
      </c>
      <c r="R212">
        <v>2.25</v>
      </c>
      <c r="S212">
        <v>70.75</v>
      </c>
      <c r="T212" t="s">
        <v>875</v>
      </c>
    </row>
    <row r="213" spans="1:20" x14ac:dyDescent="0.25">
      <c r="A213" s="1" t="str">
        <f>HYPERLINK("https://vegkart.atlas.vegvesen.no/#/@-34088.2,6574598.5,18/hva:hva%5B0%5D%5Bfilter%5D%5B0%5D%5Boperator%5D=%21%3D&amp;hva%5B0%5D%5Bfilter%5D%5B0%5D%5Btype_id%5D=4897&amp;hva%5B0%5D%5Bfilter%5D%5B0%5D%5Bverdi%5D=&amp;hva%5B0%5D%5Bid%5D=300/når:2022-09-16", "Vegkart")</f>
        <v>Vegkart</v>
      </c>
      <c r="B213">
        <v>1016333553</v>
      </c>
      <c r="C213">
        <v>300</v>
      </c>
      <c r="D213" t="s">
        <v>784</v>
      </c>
      <c r="E213">
        <v>4897</v>
      </c>
      <c r="F213" t="s">
        <v>23479</v>
      </c>
      <c r="G213">
        <v>1</v>
      </c>
      <c r="H213" t="s">
        <v>380</v>
      </c>
      <c r="J213" t="s">
        <v>809</v>
      </c>
      <c r="K213" t="s">
        <v>170</v>
      </c>
      <c r="L213" t="s">
        <v>33</v>
      </c>
      <c r="M213" t="s">
        <v>381</v>
      </c>
      <c r="N213" t="s">
        <v>876</v>
      </c>
      <c r="O213" t="s">
        <v>877</v>
      </c>
      <c r="P213" s="2" t="s">
        <v>37</v>
      </c>
      <c r="Q213" t="s">
        <v>38</v>
      </c>
      <c r="R213">
        <v>3.37</v>
      </c>
      <c r="S213">
        <v>52.08</v>
      </c>
      <c r="T213" t="s">
        <v>878</v>
      </c>
    </row>
    <row r="214" spans="1:20" x14ac:dyDescent="0.25">
      <c r="A214" s="1" t="str">
        <f>HYPERLINK("https://vegkart.atlas.vegvesen.no/#/@-33991.3,6574555.4,18/hva:hva%5B0%5D%5Bfilter%5D%5B0%5D%5Boperator%5D=%21%3D&amp;hva%5B0%5D%5Bfilter%5D%5B0%5D%5Btype_id%5D=4897&amp;hva%5B0%5D%5Bfilter%5D%5B0%5D%5Bverdi%5D=&amp;hva%5B0%5D%5Bid%5D=300/når:2022-09-16", "Vegkart")</f>
        <v>Vegkart</v>
      </c>
      <c r="B214">
        <v>1016333554</v>
      </c>
      <c r="C214">
        <v>300</v>
      </c>
      <c r="D214" t="s">
        <v>784</v>
      </c>
      <c r="E214">
        <v>4897</v>
      </c>
      <c r="F214" t="s">
        <v>23479</v>
      </c>
      <c r="G214">
        <v>1</v>
      </c>
      <c r="H214" t="s">
        <v>380</v>
      </c>
      <c r="J214" t="s">
        <v>809</v>
      </c>
      <c r="K214" t="s">
        <v>170</v>
      </c>
      <c r="L214" t="s">
        <v>33</v>
      </c>
      <c r="M214" t="s">
        <v>381</v>
      </c>
      <c r="N214" t="s">
        <v>879</v>
      </c>
      <c r="O214" t="s">
        <v>880</v>
      </c>
      <c r="P214" s="2" t="s">
        <v>37</v>
      </c>
      <c r="Q214" t="s">
        <v>38</v>
      </c>
      <c r="R214">
        <v>8.1</v>
      </c>
      <c r="S214">
        <v>34.28</v>
      </c>
      <c r="T214" t="s">
        <v>881</v>
      </c>
    </row>
    <row r="215" spans="1:20" x14ac:dyDescent="0.25">
      <c r="A215" s="1" t="str">
        <f>HYPERLINK("https://vegkart.atlas.vegvesen.no/#/@-34016.2,6574599.8,18/hva:hva%5B0%5D%5Bfilter%5D%5B0%5D%5Boperator%5D=%21%3D&amp;hva%5B0%5D%5Bfilter%5D%5B0%5D%5Btype_id%5D=4897&amp;hva%5B0%5D%5Bfilter%5D%5B0%5D%5Bverdi%5D=&amp;hva%5B0%5D%5Bid%5D=300/når:2022-09-16", "Vegkart")</f>
        <v>Vegkart</v>
      </c>
      <c r="B215">
        <v>1016333556</v>
      </c>
      <c r="C215">
        <v>300</v>
      </c>
      <c r="D215" t="s">
        <v>784</v>
      </c>
      <c r="E215">
        <v>4897</v>
      </c>
      <c r="F215" t="s">
        <v>23479</v>
      </c>
      <c r="G215">
        <v>1</v>
      </c>
      <c r="H215" t="s">
        <v>380</v>
      </c>
      <c r="J215" t="s">
        <v>809</v>
      </c>
      <c r="K215" t="s">
        <v>170</v>
      </c>
      <c r="L215" t="s">
        <v>33</v>
      </c>
      <c r="M215" t="s">
        <v>381</v>
      </c>
      <c r="N215" t="s">
        <v>882</v>
      </c>
      <c r="O215" t="s">
        <v>883</v>
      </c>
      <c r="P215" s="2" t="s">
        <v>37</v>
      </c>
      <c r="Q215" t="s">
        <v>38</v>
      </c>
      <c r="R215">
        <v>2.89</v>
      </c>
      <c r="S215">
        <v>202.55</v>
      </c>
      <c r="T215" t="s">
        <v>884</v>
      </c>
    </row>
    <row r="216" spans="1:20" x14ac:dyDescent="0.25">
      <c r="A216" s="1" t="str">
        <f>HYPERLINK("https://vegkart.atlas.vegvesen.no/#/@2348.4,6618993.4,18/hva:hva%5B0%5D%5Bfilter%5D%5B0%5D%5Boperator%5D=%21%3D&amp;hva%5B0%5D%5Bfilter%5D%5B0%5D%5Btype_id%5D=4897&amp;hva%5B0%5D%5Bfilter%5D%5B0%5D%5Bverdi%5D=&amp;hva%5B0%5D%5Bid%5D=300/når:2022-09-26", "Vegkart")</f>
        <v>Vegkart</v>
      </c>
      <c r="B216">
        <v>1016359565</v>
      </c>
      <c r="C216">
        <v>300</v>
      </c>
      <c r="D216" t="s">
        <v>784</v>
      </c>
      <c r="E216">
        <v>4897</v>
      </c>
      <c r="F216" t="s">
        <v>23479</v>
      </c>
      <c r="G216">
        <v>1</v>
      </c>
      <c r="H216" t="s">
        <v>885</v>
      </c>
      <c r="J216" t="s">
        <v>809</v>
      </c>
      <c r="K216" t="s">
        <v>170</v>
      </c>
      <c r="L216" t="s">
        <v>113</v>
      </c>
      <c r="M216" t="s">
        <v>114</v>
      </c>
      <c r="N216" t="s">
        <v>886</v>
      </c>
      <c r="O216" t="s">
        <v>887</v>
      </c>
      <c r="P216" s="2" t="s">
        <v>67</v>
      </c>
      <c r="Q216" t="s">
        <v>68</v>
      </c>
      <c r="R216">
        <v>1476.14</v>
      </c>
      <c r="S216">
        <v>1552.34</v>
      </c>
      <c r="T216" t="s">
        <v>888</v>
      </c>
    </row>
    <row r="217" spans="1:20" x14ac:dyDescent="0.25">
      <c r="A217" s="1" t="str">
        <f>HYPERLINK("https://vegkart.atlas.vegvesen.no/#/@99002.4,6720521.5,18/hva:hva%5B0%5D%5Bfilter%5D%5B0%5D%5Boperator%5D=%21%3D&amp;hva%5B0%5D%5Bfilter%5D%5B0%5D%5Btype_id%5D=4897&amp;hva%5B0%5D%5Bfilter%5D%5B0%5D%5Bverdi%5D=&amp;hva%5B0%5D%5Bid%5D=300/når:2022-10-18", "Vegkart")</f>
        <v>Vegkart</v>
      </c>
      <c r="B217">
        <v>1016437809</v>
      </c>
      <c r="C217">
        <v>300</v>
      </c>
      <c r="D217" t="s">
        <v>784</v>
      </c>
      <c r="E217">
        <v>4897</v>
      </c>
      <c r="F217" t="s">
        <v>23479</v>
      </c>
      <c r="G217">
        <v>1</v>
      </c>
      <c r="H217" t="s">
        <v>131</v>
      </c>
      <c r="J217" t="s">
        <v>809</v>
      </c>
      <c r="K217" t="s">
        <v>889</v>
      </c>
      <c r="L217" t="s">
        <v>113</v>
      </c>
      <c r="M217" t="s">
        <v>308</v>
      </c>
      <c r="N217" t="s">
        <v>890</v>
      </c>
      <c r="O217" t="s">
        <v>891</v>
      </c>
      <c r="P217" s="2" t="s">
        <v>67</v>
      </c>
      <c r="Q217" t="s">
        <v>68</v>
      </c>
      <c r="R217">
        <v>15391.32</v>
      </c>
      <c r="S217">
        <v>17703.419999999998</v>
      </c>
      <c r="T217" t="s">
        <v>892</v>
      </c>
    </row>
    <row r="218" spans="1:20" x14ac:dyDescent="0.25">
      <c r="A218" s="1" t="str">
        <f>HYPERLINK("https://vegkart.atlas.vegvesen.no/#/@37311.7,6783187.5,18/hva:hva%5B0%5D%5Bfilter%5D%5B0%5D%5Boperator%5D=%21%3D&amp;hva%5B0%5D%5Bfilter%5D%5B0%5D%5Btype_id%5D=4897&amp;hva%5B0%5D%5Bfilter%5D%5B0%5D%5Bverdi%5D=&amp;hva%5B0%5D%5Bid%5D=300/når:2022-10-18", "Vegkart")</f>
        <v>Vegkart</v>
      </c>
      <c r="B218">
        <v>1016438257</v>
      </c>
      <c r="C218">
        <v>300</v>
      </c>
      <c r="D218" t="s">
        <v>784</v>
      </c>
      <c r="E218">
        <v>4897</v>
      </c>
      <c r="F218" t="s">
        <v>23479</v>
      </c>
      <c r="G218">
        <v>1</v>
      </c>
      <c r="H218" t="s">
        <v>131</v>
      </c>
      <c r="J218" t="s">
        <v>809</v>
      </c>
      <c r="K218" t="s">
        <v>21</v>
      </c>
      <c r="L218" t="s">
        <v>113</v>
      </c>
      <c r="M218" t="s">
        <v>114</v>
      </c>
      <c r="N218" t="s">
        <v>893</v>
      </c>
      <c r="O218" t="s">
        <v>894</v>
      </c>
      <c r="P218" s="2" t="s">
        <v>67</v>
      </c>
      <c r="Q218" t="s">
        <v>68</v>
      </c>
      <c r="R218">
        <v>2923.97</v>
      </c>
      <c r="S218">
        <v>3718.39</v>
      </c>
      <c r="T218" t="s">
        <v>895</v>
      </c>
    </row>
    <row r="219" spans="1:20" x14ac:dyDescent="0.25">
      <c r="A219" s="1" t="str">
        <f>HYPERLINK("https://vegkart.atlas.vegvesen.no/#/@131218.2,6602432.0,18/hva:hva%5B0%5D%5Bfilter%5D%5B0%5D%5Boperator%5D=%21%3D&amp;hva%5B0%5D%5Bfilter%5D%5B0%5D%5Btype_id%5D=4897&amp;hva%5B0%5D%5Bfilter%5D%5B0%5D%5Bverdi%5D=&amp;hva%5B0%5D%5Bid%5D=300/når:2023-08-16", "Vegkart")</f>
        <v>Vegkart</v>
      </c>
      <c r="B219">
        <v>1017884969</v>
      </c>
      <c r="C219">
        <v>300</v>
      </c>
      <c r="D219" t="s">
        <v>784</v>
      </c>
      <c r="E219">
        <v>4897</v>
      </c>
      <c r="F219" t="s">
        <v>23479</v>
      </c>
      <c r="G219">
        <v>1</v>
      </c>
      <c r="H219" t="s">
        <v>896</v>
      </c>
      <c r="J219" t="s">
        <v>897</v>
      </c>
      <c r="K219" t="s">
        <v>197</v>
      </c>
      <c r="L219" t="s">
        <v>113</v>
      </c>
      <c r="M219" t="s">
        <v>198</v>
      </c>
      <c r="N219" t="s">
        <v>898</v>
      </c>
      <c r="O219" t="s">
        <v>899</v>
      </c>
      <c r="P219" s="2" t="s">
        <v>67</v>
      </c>
      <c r="Q219" t="s">
        <v>68</v>
      </c>
      <c r="R219">
        <v>51.24</v>
      </c>
      <c r="S219">
        <v>51.24</v>
      </c>
      <c r="T219" t="s">
        <v>900</v>
      </c>
    </row>
    <row r="220" spans="1:20" x14ac:dyDescent="0.25">
      <c r="A220" s="1" t="str">
        <f>HYPERLINK("https://vegkart.atlas.vegvesen.no/#/@131389.1,6602231.5,18/hva:hva%5B0%5D%5Bfilter%5D%5B0%5D%5Boperator%5D=%21%3D&amp;hva%5B0%5D%5Bfilter%5D%5B0%5D%5Btype_id%5D=4897&amp;hva%5B0%5D%5Bfilter%5D%5B0%5D%5Bverdi%5D=&amp;hva%5B0%5D%5Bid%5D=300/når:2023-08-16", "Vegkart")</f>
        <v>Vegkart</v>
      </c>
      <c r="B220">
        <v>1017884972</v>
      </c>
      <c r="C220">
        <v>300</v>
      </c>
      <c r="D220" t="s">
        <v>784</v>
      </c>
      <c r="E220">
        <v>4897</v>
      </c>
      <c r="F220" t="s">
        <v>23479</v>
      </c>
      <c r="G220">
        <v>1</v>
      </c>
      <c r="H220" t="s">
        <v>896</v>
      </c>
      <c r="J220" t="s">
        <v>897</v>
      </c>
      <c r="K220" t="s">
        <v>197</v>
      </c>
      <c r="L220" t="s">
        <v>113</v>
      </c>
      <c r="M220" t="s">
        <v>198</v>
      </c>
      <c r="N220" t="s">
        <v>901</v>
      </c>
      <c r="O220" t="s">
        <v>902</v>
      </c>
      <c r="P220" s="2" t="s">
        <v>67</v>
      </c>
      <c r="Q220" t="s">
        <v>68</v>
      </c>
      <c r="R220">
        <v>26.77</v>
      </c>
      <c r="S220">
        <v>26.77</v>
      </c>
      <c r="T220" t="s">
        <v>903</v>
      </c>
    </row>
    <row r="221" spans="1:20" x14ac:dyDescent="0.25">
      <c r="A221" s="1" t="str">
        <f>HYPERLINK("https://vegkart.atlas.vegvesen.no/#/@-47450.0,6622353.3,18/hva:hva%5B0%5D%5Bfilter%5D%5B0%5D%5Boperator%5D=%21%3D&amp;hva%5B0%5D%5Bfilter%5D%5B0%5D%5Btype_id%5D=4897&amp;hva%5B0%5D%5Bfilter%5D%5B0%5D%5Bverdi%5D=&amp;hva%5B0%5D%5Bid%5D=300/når:2024-04-03", "Vegkart")</f>
        <v>Vegkart</v>
      </c>
      <c r="B221">
        <v>1019032926</v>
      </c>
      <c r="C221">
        <v>300</v>
      </c>
      <c r="D221" t="s">
        <v>784</v>
      </c>
      <c r="E221">
        <v>4897</v>
      </c>
      <c r="F221" t="s">
        <v>23479</v>
      </c>
      <c r="G221">
        <v>1</v>
      </c>
      <c r="H221" t="s">
        <v>904</v>
      </c>
      <c r="J221" t="s">
        <v>897</v>
      </c>
      <c r="K221" t="s">
        <v>170</v>
      </c>
      <c r="L221" t="s">
        <v>33</v>
      </c>
      <c r="M221" t="s">
        <v>905</v>
      </c>
      <c r="N221" t="s">
        <v>906</v>
      </c>
      <c r="O221" t="s">
        <v>907</v>
      </c>
      <c r="P221" s="2" t="s">
        <v>37</v>
      </c>
      <c r="Q221" t="s">
        <v>38</v>
      </c>
      <c r="R221">
        <v>0</v>
      </c>
      <c r="S221">
        <v>9.5399999999999991</v>
      </c>
      <c r="T221" t="s">
        <v>908</v>
      </c>
    </row>
    <row r="222" spans="1:20" x14ac:dyDescent="0.25">
      <c r="A222" s="1" t="str">
        <f>HYPERLINK("https://vegkart.atlas.vegvesen.no/#/@-47455.2,6622374.6,18/hva:hva%5B0%5D%5Bfilter%5D%5B0%5D%5Boperator%5D=%21%3D&amp;hva%5B0%5D%5Bfilter%5D%5B0%5D%5Btype_id%5D=4897&amp;hva%5B0%5D%5Bfilter%5D%5B0%5D%5Bverdi%5D=&amp;hva%5B0%5D%5Bid%5D=300/når:2024-04-03", "Vegkart")</f>
        <v>Vegkart</v>
      </c>
      <c r="B222">
        <v>1019032929</v>
      </c>
      <c r="C222">
        <v>300</v>
      </c>
      <c r="D222" t="s">
        <v>784</v>
      </c>
      <c r="E222">
        <v>4897</v>
      </c>
      <c r="F222" t="s">
        <v>23479</v>
      </c>
      <c r="G222">
        <v>1</v>
      </c>
      <c r="H222" t="s">
        <v>904</v>
      </c>
      <c r="J222" t="s">
        <v>897</v>
      </c>
      <c r="K222" t="s">
        <v>170</v>
      </c>
      <c r="L222" t="s">
        <v>33</v>
      </c>
      <c r="M222" t="s">
        <v>905</v>
      </c>
      <c r="N222" t="s">
        <v>909</v>
      </c>
      <c r="O222" t="s">
        <v>910</v>
      </c>
      <c r="P222" s="2" t="s">
        <v>37</v>
      </c>
      <c r="Q222" t="s">
        <v>38</v>
      </c>
      <c r="R222">
        <v>0</v>
      </c>
      <c r="S222">
        <v>39.119999999999997</v>
      </c>
      <c r="T222" t="s">
        <v>911</v>
      </c>
    </row>
    <row r="223" spans="1:20" x14ac:dyDescent="0.25">
      <c r="A223" s="1" t="str">
        <f>HYPERLINK("https://vegkart.atlas.vegvesen.no/#/@47759.7,6798700.8,18/hva:hva%5B0%5D%5Bfilter%5D%5B0%5D%5Boperator%5D=%21%3D&amp;hva%5B0%5D%5Bfilter%5D%5B0%5D%5Btype_id%5D=4897&amp;hva%5B0%5D%5Bfilter%5D%5B0%5D%5Bverdi%5D=&amp;hva%5B0%5D%5Bid%5D=300/når:2024-07-31", "Vegkart")</f>
        <v>Vegkart</v>
      </c>
      <c r="B223">
        <v>1019542236</v>
      </c>
      <c r="C223">
        <v>300</v>
      </c>
      <c r="D223" t="s">
        <v>784</v>
      </c>
      <c r="E223">
        <v>4897</v>
      </c>
      <c r="F223" t="s">
        <v>23479</v>
      </c>
      <c r="G223">
        <v>1</v>
      </c>
      <c r="H223" t="s">
        <v>912</v>
      </c>
      <c r="J223" t="s">
        <v>897</v>
      </c>
      <c r="K223" t="s">
        <v>21</v>
      </c>
      <c r="L223" t="s">
        <v>22</v>
      </c>
      <c r="M223" t="s">
        <v>913</v>
      </c>
      <c r="N223" t="s">
        <v>914</v>
      </c>
      <c r="O223" t="s">
        <v>915</v>
      </c>
      <c r="P223" s="2" t="s">
        <v>37</v>
      </c>
      <c r="Q223" t="s">
        <v>38</v>
      </c>
      <c r="R223">
        <v>0.01</v>
      </c>
      <c r="S223">
        <v>441.35</v>
      </c>
      <c r="T223" t="s">
        <v>916</v>
      </c>
    </row>
    <row r="224" spans="1:20" x14ac:dyDescent="0.25">
      <c r="A224" s="1" t="str">
        <f>HYPERLINK("https://vegkart.atlas.vegvesen.no/#/@47699.1,6798977.2,18/hva:hva%5B0%5D%5Bfilter%5D%5B0%5D%5Boperator%5D=%21%3D&amp;hva%5B0%5D%5Bfilter%5D%5B0%5D%5Btype_id%5D=4897&amp;hva%5B0%5D%5Bfilter%5D%5B0%5D%5Bverdi%5D=&amp;hva%5B0%5D%5Bid%5D=300/når:2024-07-31", "Vegkart")</f>
        <v>Vegkart</v>
      </c>
      <c r="B224">
        <v>1019542237</v>
      </c>
      <c r="C224">
        <v>300</v>
      </c>
      <c r="D224" t="s">
        <v>784</v>
      </c>
      <c r="E224">
        <v>4897</v>
      </c>
      <c r="F224" t="s">
        <v>23479</v>
      </c>
      <c r="G224">
        <v>1</v>
      </c>
      <c r="H224" t="s">
        <v>912</v>
      </c>
      <c r="J224" t="s">
        <v>897</v>
      </c>
      <c r="K224" t="s">
        <v>21</v>
      </c>
      <c r="L224" t="s">
        <v>22</v>
      </c>
      <c r="M224" t="s">
        <v>913</v>
      </c>
      <c r="N224" t="s">
        <v>917</v>
      </c>
      <c r="O224" t="s">
        <v>918</v>
      </c>
      <c r="P224" s="2" t="s">
        <v>37</v>
      </c>
      <c r="Q224" t="s">
        <v>38</v>
      </c>
      <c r="R224">
        <v>0</v>
      </c>
      <c r="S224">
        <v>1527.08</v>
      </c>
      <c r="T224" t="s">
        <v>919</v>
      </c>
    </row>
    <row r="225" spans="1:20" x14ac:dyDescent="0.25">
      <c r="A225" s="1" t="str">
        <f>HYPERLINK("https://vegkart.atlas.vegvesen.no/#/@15349.0,6613095.5,18/hva:hva%5B0%5D%5Bfilter%5D%5B0%5D%5Boperator%5D=%21%3D&amp;hva%5B0%5D%5Bfilter%5D%5B0%5D%5Btype_id%5D=4897&amp;hva%5B0%5D%5Bfilter%5D%5B0%5D%5Bverdi%5D=&amp;hva%5B0%5D%5Bid%5D=300/når:2025-01-20", "Vegkart")</f>
        <v>Vegkart</v>
      </c>
      <c r="B225">
        <v>1021981199</v>
      </c>
      <c r="C225">
        <v>300</v>
      </c>
      <c r="D225" t="s">
        <v>784</v>
      </c>
      <c r="E225">
        <v>4897</v>
      </c>
      <c r="F225" t="s">
        <v>23479</v>
      </c>
      <c r="G225">
        <v>1</v>
      </c>
      <c r="H225" t="s">
        <v>920</v>
      </c>
      <c r="J225" t="s">
        <v>897</v>
      </c>
      <c r="K225" t="s">
        <v>170</v>
      </c>
      <c r="L225" t="s">
        <v>33</v>
      </c>
      <c r="M225" t="s">
        <v>921</v>
      </c>
      <c r="N225" t="s">
        <v>922</v>
      </c>
      <c r="O225" t="s">
        <v>923</v>
      </c>
      <c r="P225" s="2" t="s">
        <v>37</v>
      </c>
      <c r="Q225" t="s">
        <v>38</v>
      </c>
      <c r="R225">
        <v>0</v>
      </c>
      <c r="S225">
        <v>123.72</v>
      </c>
      <c r="T225" t="s">
        <v>924</v>
      </c>
    </row>
    <row r="226" spans="1:20" x14ac:dyDescent="0.25">
      <c r="A226" s="1" t="str">
        <f>HYPERLINK("https://vegkart.atlas.vegvesen.no/#/@14679.5,6613270.6,18/hva:hva%5B0%5D%5Bfilter%5D%5B0%5D%5Boperator%5D=%21%3D&amp;hva%5B0%5D%5Bfilter%5D%5B0%5D%5Btype_id%5D=4897&amp;hva%5B0%5D%5Bfilter%5D%5B0%5D%5Bverdi%5D=&amp;hva%5B0%5D%5Bid%5D=300/når:2025-01-20", "Vegkart")</f>
        <v>Vegkart</v>
      </c>
      <c r="B226">
        <v>1021981200</v>
      </c>
      <c r="C226">
        <v>300</v>
      </c>
      <c r="D226" t="s">
        <v>784</v>
      </c>
      <c r="E226">
        <v>4897</v>
      </c>
      <c r="F226" t="s">
        <v>23479</v>
      </c>
      <c r="G226">
        <v>1</v>
      </c>
      <c r="H226" t="s">
        <v>920</v>
      </c>
      <c r="J226" t="s">
        <v>897</v>
      </c>
      <c r="K226" t="s">
        <v>170</v>
      </c>
      <c r="L226" t="s">
        <v>33</v>
      </c>
      <c r="M226" t="s">
        <v>921</v>
      </c>
      <c r="N226" t="s">
        <v>925</v>
      </c>
      <c r="O226" t="s">
        <v>926</v>
      </c>
      <c r="P226" s="2" t="s">
        <v>37</v>
      </c>
      <c r="Q226" t="s">
        <v>38</v>
      </c>
      <c r="R226">
        <v>0</v>
      </c>
      <c r="S226">
        <v>84.97</v>
      </c>
      <c r="T226" t="s">
        <v>927</v>
      </c>
    </row>
    <row r="227" spans="1:20" x14ac:dyDescent="0.25">
      <c r="A227" s="1" t="str">
        <f>HYPERLINK("https://vegkart.atlas.vegvesen.no/#/@267884.8,6570571.6,18/hva:hva%5B0%5D%5Bfilter%5D%5B0%5D%5Boperator%5D=%21%3D&amp;hva%5B0%5D%5Bfilter%5D%5B0%5D%5Btype_id%5D=4994&amp;hva%5B0%5D%5Bfilter%5D%5B0%5D%5Bverdi%5D=&amp;hva%5B0%5D%5Bid%5D=478/når:2011-08-16", "Vegkart")</f>
        <v>Vegkart</v>
      </c>
      <c r="B227">
        <v>355890354</v>
      </c>
      <c r="C227">
        <v>478</v>
      </c>
      <c r="D227" t="s">
        <v>928</v>
      </c>
      <c r="E227">
        <v>4994</v>
      </c>
      <c r="F227" t="s">
        <v>23479</v>
      </c>
      <c r="G227">
        <v>1</v>
      </c>
      <c r="H227" t="s">
        <v>929</v>
      </c>
      <c r="J227" t="s">
        <v>930</v>
      </c>
      <c r="K227" t="s">
        <v>104</v>
      </c>
      <c r="L227" t="s">
        <v>33</v>
      </c>
      <c r="M227" t="s">
        <v>931</v>
      </c>
      <c r="N227" t="s">
        <v>932</v>
      </c>
      <c r="O227" t="s">
        <v>933</v>
      </c>
      <c r="P227" s="2" t="s">
        <v>26</v>
      </c>
      <c r="Q227" t="s">
        <v>27</v>
      </c>
      <c r="R227">
        <v>0.5</v>
      </c>
      <c r="S227">
        <v>0.5</v>
      </c>
      <c r="T227" t="s">
        <v>934</v>
      </c>
    </row>
    <row r="228" spans="1:20" x14ac:dyDescent="0.25">
      <c r="A228" s="1" t="str">
        <f>HYPERLINK("https://vegkart.atlas.vegvesen.no/#/@267883.4,6570568.1,18/hva:hva%5B0%5D%5Bfilter%5D%5B0%5D%5Boperator%5D=%21%3D&amp;hva%5B0%5D%5Bfilter%5D%5B0%5D%5Btype_id%5D=4994&amp;hva%5B0%5D%5Bfilter%5D%5B0%5D%5Bverdi%5D=&amp;hva%5B0%5D%5Bid%5D=478/når:2011-08-16", "Vegkart")</f>
        <v>Vegkart</v>
      </c>
      <c r="B228">
        <v>355890355</v>
      </c>
      <c r="C228">
        <v>478</v>
      </c>
      <c r="D228" t="s">
        <v>928</v>
      </c>
      <c r="E228">
        <v>4994</v>
      </c>
      <c r="F228" t="s">
        <v>23479</v>
      </c>
      <c r="G228">
        <v>1</v>
      </c>
      <c r="H228" t="s">
        <v>929</v>
      </c>
      <c r="J228" t="s">
        <v>930</v>
      </c>
      <c r="K228" t="s">
        <v>104</v>
      </c>
      <c r="L228" t="s">
        <v>33</v>
      </c>
      <c r="M228" t="s">
        <v>931</v>
      </c>
      <c r="N228" t="s">
        <v>935</v>
      </c>
      <c r="O228" t="s">
        <v>936</v>
      </c>
      <c r="P228" s="2" t="s">
        <v>26</v>
      </c>
      <c r="Q228" t="s">
        <v>27</v>
      </c>
      <c r="R228">
        <v>0.57999999999999996</v>
      </c>
      <c r="S228">
        <v>0.57999999999999996</v>
      </c>
      <c r="T228" t="s">
        <v>937</v>
      </c>
    </row>
    <row r="229" spans="1:20" x14ac:dyDescent="0.25">
      <c r="A229" s="1" t="str">
        <f>HYPERLINK("https://vegkart.atlas.vegvesen.no/#/@267880.5,6570563.8,18/hva:hva%5B0%5D%5Bfilter%5D%5B0%5D%5Boperator%5D=%21%3D&amp;hva%5B0%5D%5Bfilter%5D%5B0%5D%5Btype_id%5D=4994&amp;hva%5B0%5D%5Bfilter%5D%5B0%5D%5Bverdi%5D=&amp;hva%5B0%5D%5Bid%5D=478/når:2011-08-16", "Vegkart")</f>
        <v>Vegkart</v>
      </c>
      <c r="B229">
        <v>355890356</v>
      </c>
      <c r="C229">
        <v>478</v>
      </c>
      <c r="D229" t="s">
        <v>928</v>
      </c>
      <c r="E229">
        <v>4994</v>
      </c>
      <c r="F229" t="s">
        <v>23479</v>
      </c>
      <c r="G229">
        <v>1</v>
      </c>
      <c r="H229" t="s">
        <v>929</v>
      </c>
      <c r="J229" t="s">
        <v>930</v>
      </c>
      <c r="K229" t="s">
        <v>104</v>
      </c>
      <c r="L229" t="s">
        <v>33</v>
      </c>
      <c r="M229" t="s">
        <v>931</v>
      </c>
      <c r="N229" t="s">
        <v>938</v>
      </c>
      <c r="O229" t="s">
        <v>939</v>
      </c>
      <c r="P229" s="2" t="s">
        <v>26</v>
      </c>
      <c r="Q229" t="s">
        <v>27</v>
      </c>
      <c r="R229">
        <v>0.43</v>
      </c>
      <c r="S229">
        <v>0.43</v>
      </c>
      <c r="T229" t="s">
        <v>940</v>
      </c>
    </row>
    <row r="230" spans="1:20" x14ac:dyDescent="0.25">
      <c r="A230" s="1" t="str">
        <f>HYPERLINK("https://vegkart.atlas.vegvesen.no/#/@267878.3,6570560.5,18/hva:hva%5B0%5D%5Bfilter%5D%5B0%5D%5Boperator%5D=%21%3D&amp;hva%5B0%5D%5Bfilter%5D%5B0%5D%5Btype_id%5D=4994&amp;hva%5B0%5D%5Bfilter%5D%5B0%5D%5Bverdi%5D=&amp;hva%5B0%5D%5Bid%5D=478/når:2011-08-16", "Vegkart")</f>
        <v>Vegkart</v>
      </c>
      <c r="B230">
        <v>355890357</v>
      </c>
      <c r="C230">
        <v>478</v>
      </c>
      <c r="D230" t="s">
        <v>928</v>
      </c>
      <c r="E230">
        <v>4994</v>
      </c>
      <c r="F230" t="s">
        <v>23479</v>
      </c>
      <c r="G230">
        <v>1</v>
      </c>
      <c r="H230" t="s">
        <v>929</v>
      </c>
      <c r="J230" t="s">
        <v>930</v>
      </c>
      <c r="K230" t="s">
        <v>104</v>
      </c>
      <c r="L230" t="s">
        <v>33</v>
      </c>
      <c r="M230" t="s">
        <v>931</v>
      </c>
      <c r="N230" t="s">
        <v>941</v>
      </c>
      <c r="O230" t="s">
        <v>942</v>
      </c>
      <c r="P230" s="2" t="s">
        <v>26</v>
      </c>
      <c r="Q230" t="s">
        <v>27</v>
      </c>
      <c r="R230">
        <v>0.6</v>
      </c>
      <c r="S230">
        <v>0.6</v>
      </c>
      <c r="T230" t="s">
        <v>943</v>
      </c>
    </row>
    <row r="231" spans="1:20" x14ac:dyDescent="0.25">
      <c r="A231" s="1" t="str">
        <f>HYPERLINK("https://vegkart.atlas.vegvesen.no/#/@267876.9,6570557.3,18/hva:hva%5B0%5D%5Bfilter%5D%5B0%5D%5Boperator%5D=%21%3D&amp;hva%5B0%5D%5Bfilter%5D%5B0%5D%5Btype_id%5D=4994&amp;hva%5B0%5D%5Bfilter%5D%5B0%5D%5Bverdi%5D=&amp;hva%5B0%5D%5Bid%5D=478/når:2011-08-16", "Vegkart")</f>
        <v>Vegkart</v>
      </c>
      <c r="B231">
        <v>355890358</v>
      </c>
      <c r="C231">
        <v>478</v>
      </c>
      <c r="D231" t="s">
        <v>928</v>
      </c>
      <c r="E231">
        <v>4994</v>
      </c>
      <c r="F231" t="s">
        <v>23479</v>
      </c>
      <c r="G231">
        <v>1</v>
      </c>
      <c r="H231" t="s">
        <v>929</v>
      </c>
      <c r="J231" t="s">
        <v>930</v>
      </c>
      <c r="K231" t="s">
        <v>104</v>
      </c>
      <c r="L231" t="s">
        <v>33</v>
      </c>
      <c r="M231" t="s">
        <v>931</v>
      </c>
      <c r="N231" t="s">
        <v>944</v>
      </c>
      <c r="O231" t="s">
        <v>945</v>
      </c>
      <c r="P231" s="2" t="s">
        <v>26</v>
      </c>
      <c r="Q231" t="s">
        <v>27</v>
      </c>
      <c r="R231">
        <v>0.69</v>
      </c>
      <c r="S231">
        <v>0.69</v>
      </c>
      <c r="T231" t="s">
        <v>946</v>
      </c>
    </row>
    <row r="232" spans="1:20" x14ac:dyDescent="0.25">
      <c r="A232" s="1" t="str">
        <f>HYPERLINK("https://vegkart.atlas.vegvesen.no/#/@267528.5,6571000.4,18/hva:hva%5B0%5D%5Bfilter%5D%5B0%5D%5Boperator%5D=%21%3D&amp;hva%5B0%5D%5Bfilter%5D%5B0%5D%5Btype_id%5D=4994&amp;hva%5B0%5D%5Bfilter%5D%5B0%5D%5Bverdi%5D=&amp;hva%5B0%5D%5Bid%5D=478/når:2011-08-16", "Vegkart")</f>
        <v>Vegkart</v>
      </c>
      <c r="B232">
        <v>355890359</v>
      </c>
      <c r="C232">
        <v>478</v>
      </c>
      <c r="D232" t="s">
        <v>928</v>
      </c>
      <c r="E232">
        <v>4994</v>
      </c>
      <c r="F232" t="s">
        <v>23479</v>
      </c>
      <c r="G232">
        <v>1</v>
      </c>
      <c r="H232" t="s">
        <v>929</v>
      </c>
      <c r="J232" t="s">
        <v>930</v>
      </c>
      <c r="K232" t="s">
        <v>104</v>
      </c>
      <c r="L232" t="s">
        <v>33</v>
      </c>
      <c r="M232" t="s">
        <v>931</v>
      </c>
      <c r="N232" t="s">
        <v>947</v>
      </c>
      <c r="O232" t="s">
        <v>948</v>
      </c>
      <c r="P232" s="2" t="s">
        <v>26</v>
      </c>
      <c r="Q232" t="s">
        <v>27</v>
      </c>
      <c r="R232">
        <v>1.74</v>
      </c>
      <c r="S232">
        <v>1.74</v>
      </c>
      <c r="T232" t="s">
        <v>949</v>
      </c>
    </row>
    <row r="233" spans="1:20" x14ac:dyDescent="0.25">
      <c r="A233" s="1" t="str">
        <f>HYPERLINK("https://vegkart.atlas.vegvesen.no/#/@267525.3,6570997.9,18/hva:hva%5B0%5D%5Bfilter%5D%5B0%5D%5Boperator%5D=%21%3D&amp;hva%5B0%5D%5Bfilter%5D%5B0%5D%5Btype_id%5D=4994&amp;hva%5B0%5D%5Bfilter%5D%5B0%5D%5Bverdi%5D=&amp;hva%5B0%5D%5Bid%5D=478/når:2011-08-16", "Vegkart")</f>
        <v>Vegkart</v>
      </c>
      <c r="B233">
        <v>355890360</v>
      </c>
      <c r="C233">
        <v>478</v>
      </c>
      <c r="D233" t="s">
        <v>928</v>
      </c>
      <c r="E233">
        <v>4994</v>
      </c>
      <c r="F233" t="s">
        <v>23479</v>
      </c>
      <c r="G233">
        <v>1</v>
      </c>
      <c r="H233" t="s">
        <v>929</v>
      </c>
      <c r="J233" t="s">
        <v>930</v>
      </c>
      <c r="K233" t="s">
        <v>104</v>
      </c>
      <c r="L233" t="s">
        <v>33</v>
      </c>
      <c r="M233" t="s">
        <v>931</v>
      </c>
      <c r="N233" t="s">
        <v>950</v>
      </c>
      <c r="O233" t="s">
        <v>951</v>
      </c>
      <c r="P233" s="2" t="s">
        <v>26</v>
      </c>
      <c r="Q233" t="s">
        <v>27</v>
      </c>
      <c r="R233">
        <v>1.32</v>
      </c>
      <c r="S233">
        <v>1.32</v>
      </c>
      <c r="T233" t="s">
        <v>952</v>
      </c>
    </row>
    <row r="234" spans="1:20" x14ac:dyDescent="0.25">
      <c r="A234" s="1" t="str">
        <f>HYPERLINK("https://vegkart.atlas.vegvesen.no/#/@267521.4,6570994.7,18/hva:hva%5B0%5D%5Bfilter%5D%5B0%5D%5Boperator%5D=%21%3D&amp;hva%5B0%5D%5Bfilter%5D%5B0%5D%5Btype_id%5D=4994&amp;hva%5B0%5D%5Bfilter%5D%5B0%5D%5Bverdi%5D=&amp;hva%5B0%5D%5Bid%5D=478/når:2011-08-16", "Vegkart")</f>
        <v>Vegkart</v>
      </c>
      <c r="B234">
        <v>355890361</v>
      </c>
      <c r="C234">
        <v>478</v>
      </c>
      <c r="D234" t="s">
        <v>928</v>
      </c>
      <c r="E234">
        <v>4994</v>
      </c>
      <c r="F234" t="s">
        <v>23479</v>
      </c>
      <c r="G234">
        <v>1</v>
      </c>
      <c r="H234" t="s">
        <v>929</v>
      </c>
      <c r="J234" t="s">
        <v>930</v>
      </c>
      <c r="K234" t="s">
        <v>104</v>
      </c>
      <c r="L234" t="s">
        <v>33</v>
      </c>
      <c r="M234" t="s">
        <v>931</v>
      </c>
      <c r="N234" t="s">
        <v>953</v>
      </c>
      <c r="O234" t="s">
        <v>954</v>
      </c>
      <c r="P234" s="2" t="s">
        <v>26</v>
      </c>
      <c r="Q234" t="s">
        <v>27</v>
      </c>
      <c r="R234">
        <v>1.03</v>
      </c>
      <c r="S234">
        <v>1.03</v>
      </c>
      <c r="T234" t="s">
        <v>955</v>
      </c>
    </row>
    <row r="235" spans="1:20" x14ac:dyDescent="0.25">
      <c r="A235" s="1" t="str">
        <f>HYPERLINK("https://vegkart.atlas.vegvesen.no/#/@267516.6,6570992.3,18/hva:hva%5B0%5D%5Bfilter%5D%5B0%5D%5Boperator%5D=%21%3D&amp;hva%5B0%5D%5Bfilter%5D%5B0%5D%5Btype_id%5D=4994&amp;hva%5B0%5D%5Bfilter%5D%5B0%5D%5Bverdi%5D=&amp;hva%5B0%5D%5Bid%5D=478/når:2011-08-16", "Vegkart")</f>
        <v>Vegkart</v>
      </c>
      <c r="B235">
        <v>355890362</v>
      </c>
      <c r="C235">
        <v>478</v>
      </c>
      <c r="D235" t="s">
        <v>928</v>
      </c>
      <c r="E235">
        <v>4994</v>
      </c>
      <c r="F235" t="s">
        <v>23479</v>
      </c>
      <c r="G235">
        <v>1</v>
      </c>
      <c r="H235" t="s">
        <v>929</v>
      </c>
      <c r="J235" t="s">
        <v>930</v>
      </c>
      <c r="K235" t="s">
        <v>104</v>
      </c>
      <c r="L235" t="s">
        <v>33</v>
      </c>
      <c r="M235" t="s">
        <v>931</v>
      </c>
      <c r="N235" t="s">
        <v>956</v>
      </c>
      <c r="O235" t="s">
        <v>957</v>
      </c>
      <c r="P235" s="2" t="s">
        <v>26</v>
      </c>
      <c r="Q235" t="s">
        <v>27</v>
      </c>
      <c r="R235">
        <v>1.1100000000000001</v>
      </c>
      <c r="S235">
        <v>1.1100000000000001</v>
      </c>
      <c r="T235" t="s">
        <v>958</v>
      </c>
    </row>
    <row r="236" spans="1:20" x14ac:dyDescent="0.25">
      <c r="A236" s="1" t="str">
        <f>HYPERLINK("https://vegkart.atlas.vegvesen.no/#/@267510.0,6570990.8,18/hva:hva%5B0%5D%5Bfilter%5D%5B0%5D%5Boperator%5D=%21%3D&amp;hva%5B0%5D%5Bfilter%5D%5B0%5D%5Btype_id%5D=4994&amp;hva%5B0%5D%5Bfilter%5D%5B0%5D%5Bverdi%5D=&amp;hva%5B0%5D%5Bid%5D=478/når:2011-08-16", "Vegkart")</f>
        <v>Vegkart</v>
      </c>
      <c r="B236">
        <v>355890363</v>
      </c>
      <c r="C236">
        <v>478</v>
      </c>
      <c r="D236" t="s">
        <v>928</v>
      </c>
      <c r="E236">
        <v>4994</v>
      </c>
      <c r="F236" t="s">
        <v>23479</v>
      </c>
      <c r="G236">
        <v>1</v>
      </c>
      <c r="H236" t="s">
        <v>929</v>
      </c>
      <c r="J236" t="s">
        <v>930</v>
      </c>
      <c r="K236" t="s">
        <v>104</v>
      </c>
      <c r="L236" t="s">
        <v>33</v>
      </c>
      <c r="M236" t="s">
        <v>931</v>
      </c>
      <c r="N236" t="s">
        <v>959</v>
      </c>
      <c r="O236" t="s">
        <v>960</v>
      </c>
      <c r="P236" s="2" t="s">
        <v>26</v>
      </c>
      <c r="Q236" t="s">
        <v>27</v>
      </c>
      <c r="R236">
        <v>0.86</v>
      </c>
      <c r="S236">
        <v>0.86</v>
      </c>
      <c r="T236" t="s">
        <v>961</v>
      </c>
    </row>
    <row r="237" spans="1:20" x14ac:dyDescent="0.25">
      <c r="A237" s="1" t="str">
        <f>HYPERLINK("https://vegkart.atlas.vegvesen.no/#/@15067.0,6707447.0,18/hva:hva%5B0%5D%5Bfilter%5D%5B0%5D%5Boperator%5D=%21%3D&amp;hva%5B0%5D%5Bfilter%5D%5B0%5D%5Btype_id%5D=4994&amp;hva%5B0%5D%5Bfilter%5D%5B0%5D%5Bverdi%5D=&amp;hva%5B0%5D%5Bid%5D=478/når:2013-01-11", "Vegkart")</f>
        <v>Vegkart</v>
      </c>
      <c r="B237">
        <v>375033457</v>
      </c>
      <c r="C237">
        <v>478</v>
      </c>
      <c r="D237" t="s">
        <v>928</v>
      </c>
      <c r="E237">
        <v>4994</v>
      </c>
      <c r="F237" t="s">
        <v>23479</v>
      </c>
      <c r="G237">
        <v>1</v>
      </c>
      <c r="H237" t="s">
        <v>962</v>
      </c>
      <c r="J237" t="s">
        <v>930</v>
      </c>
      <c r="K237" t="s">
        <v>21</v>
      </c>
      <c r="L237" t="s">
        <v>33</v>
      </c>
      <c r="M237" t="s">
        <v>963</v>
      </c>
      <c r="N237" t="s">
        <v>964</v>
      </c>
      <c r="O237" t="s">
        <v>965</v>
      </c>
      <c r="P237" s="2" t="s">
        <v>26</v>
      </c>
      <c r="Q237" t="s">
        <v>27</v>
      </c>
      <c r="R237">
        <v>2.75</v>
      </c>
      <c r="S237">
        <v>2.75</v>
      </c>
      <c r="T237" t="s">
        <v>966</v>
      </c>
    </row>
    <row r="238" spans="1:20" x14ac:dyDescent="0.25">
      <c r="A238" s="1" t="str">
        <f>HYPERLINK("https://vegkart.atlas.vegvesen.no/#/@16935.2,6699324.6,18/hva:hva%5B0%5D%5Bfilter%5D%5B0%5D%5Boperator%5D=%21%3D&amp;hva%5B0%5D%5Bfilter%5D%5B0%5D%5Btype_id%5D=4994&amp;hva%5B0%5D%5Bfilter%5D%5B0%5D%5Bverdi%5D=&amp;hva%5B0%5D%5Bid%5D=478/når:2013-01-11", "Vegkart")</f>
        <v>Vegkart</v>
      </c>
      <c r="B238">
        <v>375033458</v>
      </c>
      <c r="C238">
        <v>478</v>
      </c>
      <c r="D238" t="s">
        <v>928</v>
      </c>
      <c r="E238">
        <v>4994</v>
      </c>
      <c r="F238" t="s">
        <v>23479</v>
      </c>
      <c r="G238">
        <v>1</v>
      </c>
      <c r="H238" t="s">
        <v>962</v>
      </c>
      <c r="J238" t="s">
        <v>930</v>
      </c>
      <c r="K238" t="s">
        <v>21</v>
      </c>
      <c r="L238" t="s">
        <v>33</v>
      </c>
      <c r="M238" t="s">
        <v>963</v>
      </c>
      <c r="N238" t="s">
        <v>967</v>
      </c>
      <c r="O238" t="s">
        <v>968</v>
      </c>
      <c r="P238" s="2" t="s">
        <v>26</v>
      </c>
      <c r="Q238" t="s">
        <v>27</v>
      </c>
      <c r="R238">
        <v>6.02</v>
      </c>
      <c r="S238">
        <v>6.02</v>
      </c>
      <c r="T238" t="s">
        <v>969</v>
      </c>
    </row>
    <row r="239" spans="1:20" x14ac:dyDescent="0.25">
      <c r="A239" s="1" t="str">
        <f>HYPERLINK("https://vegkart.atlas.vegvesen.no/#/@18324.2,6701285.2,18/hva:hva%5B0%5D%5Bfilter%5D%5B0%5D%5Boperator%5D=%21%3D&amp;hva%5B0%5D%5Bfilter%5D%5B0%5D%5Btype_id%5D=4994&amp;hva%5B0%5D%5Bfilter%5D%5B0%5D%5Bverdi%5D=&amp;hva%5B0%5D%5Bid%5D=478/når:2013-01-11", "Vegkart")</f>
        <v>Vegkart</v>
      </c>
      <c r="B239">
        <v>375033459</v>
      </c>
      <c r="C239">
        <v>478</v>
      </c>
      <c r="D239" t="s">
        <v>928</v>
      </c>
      <c r="E239">
        <v>4994</v>
      </c>
      <c r="F239" t="s">
        <v>23479</v>
      </c>
      <c r="G239">
        <v>1</v>
      </c>
      <c r="H239" t="s">
        <v>962</v>
      </c>
      <c r="J239" t="s">
        <v>930</v>
      </c>
      <c r="K239" t="s">
        <v>21</v>
      </c>
      <c r="L239" t="s">
        <v>33</v>
      </c>
      <c r="M239" t="s">
        <v>963</v>
      </c>
      <c r="N239" t="s">
        <v>970</v>
      </c>
      <c r="O239" t="s">
        <v>971</v>
      </c>
      <c r="P239" s="2" t="s">
        <v>26</v>
      </c>
      <c r="Q239" t="s">
        <v>27</v>
      </c>
      <c r="R239">
        <v>2.84</v>
      </c>
      <c r="S239">
        <v>2.84</v>
      </c>
      <c r="T239" t="s">
        <v>972</v>
      </c>
    </row>
    <row r="240" spans="1:20" x14ac:dyDescent="0.25">
      <c r="A240" s="1" t="str">
        <f>HYPERLINK("https://vegkart.atlas.vegvesen.no/#/@18081.0,6702258.0,18/hva:hva%5B0%5D%5Bfilter%5D%5B0%5D%5Boperator%5D=%21%3D&amp;hva%5B0%5D%5Bfilter%5D%5B0%5D%5Btype_id%5D=4994&amp;hva%5B0%5D%5Bfilter%5D%5B0%5D%5Bverdi%5D=&amp;hva%5B0%5D%5Bid%5D=478/når:2013-01-11", "Vegkart")</f>
        <v>Vegkart</v>
      </c>
      <c r="B240">
        <v>375033460</v>
      </c>
      <c r="C240">
        <v>478</v>
      </c>
      <c r="D240" t="s">
        <v>928</v>
      </c>
      <c r="E240">
        <v>4994</v>
      </c>
      <c r="F240" t="s">
        <v>23479</v>
      </c>
      <c r="G240">
        <v>1</v>
      </c>
      <c r="H240" t="s">
        <v>962</v>
      </c>
      <c r="J240" t="s">
        <v>930</v>
      </c>
      <c r="K240" t="s">
        <v>21</v>
      </c>
      <c r="L240" t="s">
        <v>33</v>
      </c>
      <c r="M240" t="s">
        <v>963</v>
      </c>
      <c r="N240" t="s">
        <v>973</v>
      </c>
      <c r="O240" t="s">
        <v>974</v>
      </c>
      <c r="P240" s="2" t="s">
        <v>26</v>
      </c>
      <c r="Q240" t="s">
        <v>27</v>
      </c>
      <c r="R240">
        <v>6.02</v>
      </c>
      <c r="S240">
        <v>6.02</v>
      </c>
      <c r="T240" t="s">
        <v>975</v>
      </c>
    </row>
    <row r="241" spans="1:20" x14ac:dyDescent="0.25">
      <c r="A241" s="1" t="str">
        <f>HYPERLINK("https://vegkart.atlas.vegvesen.no/#/@17451.9,6703622.2,18/hva:hva%5B0%5D%5Bfilter%5D%5B0%5D%5Boperator%5D=%21%3D&amp;hva%5B0%5D%5Bfilter%5D%5B0%5D%5Btype_id%5D=4994&amp;hva%5B0%5D%5Bfilter%5D%5B0%5D%5Bverdi%5D=&amp;hva%5B0%5D%5Bid%5D=478/når:2013-01-11", "Vegkart")</f>
        <v>Vegkart</v>
      </c>
      <c r="B241">
        <v>375033461</v>
      </c>
      <c r="C241">
        <v>478</v>
      </c>
      <c r="D241" t="s">
        <v>928</v>
      </c>
      <c r="E241">
        <v>4994</v>
      </c>
      <c r="F241" t="s">
        <v>23479</v>
      </c>
      <c r="G241">
        <v>1</v>
      </c>
      <c r="H241" t="s">
        <v>962</v>
      </c>
      <c r="J241" t="s">
        <v>930</v>
      </c>
      <c r="K241" t="s">
        <v>21</v>
      </c>
      <c r="L241" t="s">
        <v>33</v>
      </c>
      <c r="M241" t="s">
        <v>963</v>
      </c>
      <c r="N241" t="s">
        <v>976</v>
      </c>
      <c r="O241" t="s">
        <v>977</v>
      </c>
      <c r="P241" s="2" t="s">
        <v>26</v>
      </c>
      <c r="Q241" t="s">
        <v>27</v>
      </c>
      <c r="R241">
        <v>1.1000000000000001</v>
      </c>
      <c r="S241">
        <v>1.1000000000000001</v>
      </c>
      <c r="T241" t="s">
        <v>978</v>
      </c>
    </row>
    <row r="242" spans="1:20" x14ac:dyDescent="0.25">
      <c r="A242" s="1" t="str">
        <f>HYPERLINK("https://vegkart.atlas.vegvesen.no/#/@16728.7,6704942.1,18/hva:hva%5B0%5D%5Bfilter%5D%5B0%5D%5Boperator%5D=%21%3D&amp;hva%5B0%5D%5Bfilter%5D%5B0%5D%5Btype_id%5D=4994&amp;hva%5B0%5D%5Bfilter%5D%5B0%5D%5Bverdi%5D=&amp;hva%5B0%5D%5Bid%5D=478/når:2013-01-11", "Vegkart")</f>
        <v>Vegkart</v>
      </c>
      <c r="B242">
        <v>375033462</v>
      </c>
      <c r="C242">
        <v>478</v>
      </c>
      <c r="D242" t="s">
        <v>928</v>
      </c>
      <c r="E242">
        <v>4994</v>
      </c>
      <c r="F242" t="s">
        <v>23479</v>
      </c>
      <c r="G242">
        <v>1</v>
      </c>
      <c r="H242" t="s">
        <v>962</v>
      </c>
      <c r="J242" t="s">
        <v>930</v>
      </c>
      <c r="K242" t="s">
        <v>21</v>
      </c>
      <c r="L242" t="s">
        <v>33</v>
      </c>
      <c r="M242" t="s">
        <v>963</v>
      </c>
      <c r="N242" t="s">
        <v>979</v>
      </c>
      <c r="O242" t="s">
        <v>980</v>
      </c>
      <c r="P242" s="2" t="s">
        <v>26</v>
      </c>
      <c r="Q242" t="s">
        <v>27</v>
      </c>
      <c r="R242">
        <v>6.03</v>
      </c>
      <c r="S242">
        <v>6.03</v>
      </c>
      <c r="T242" t="s">
        <v>981</v>
      </c>
    </row>
    <row r="243" spans="1:20" x14ac:dyDescent="0.25">
      <c r="A243" s="1" t="str">
        <f>HYPERLINK("https://vegkart.atlas.vegvesen.no/#/@15851.3,6706164.9,18/hva:hva%5B0%5D%5Bfilter%5D%5B0%5D%5Boperator%5D=%21%3D&amp;hva%5B0%5D%5Bfilter%5D%5B0%5D%5Btype_id%5D=4994&amp;hva%5B0%5D%5Bfilter%5D%5B0%5D%5Bverdi%5D=&amp;hva%5B0%5D%5Bid%5D=478/når:2013-01-11", "Vegkart")</f>
        <v>Vegkart</v>
      </c>
      <c r="B243">
        <v>375033463</v>
      </c>
      <c r="C243">
        <v>478</v>
      </c>
      <c r="D243" t="s">
        <v>928</v>
      </c>
      <c r="E243">
        <v>4994</v>
      </c>
      <c r="F243" t="s">
        <v>23479</v>
      </c>
      <c r="G243">
        <v>1</v>
      </c>
      <c r="H243" t="s">
        <v>962</v>
      </c>
      <c r="J243" t="s">
        <v>930</v>
      </c>
      <c r="K243" t="s">
        <v>21</v>
      </c>
      <c r="L243" t="s">
        <v>33</v>
      </c>
      <c r="M243" t="s">
        <v>963</v>
      </c>
      <c r="N243" t="s">
        <v>982</v>
      </c>
      <c r="O243" t="s">
        <v>983</v>
      </c>
      <c r="P243" s="2" t="s">
        <v>26</v>
      </c>
      <c r="Q243" t="s">
        <v>27</v>
      </c>
      <c r="R243">
        <v>2.77</v>
      </c>
      <c r="S243">
        <v>2.77</v>
      </c>
      <c r="T243" t="s">
        <v>984</v>
      </c>
    </row>
    <row r="244" spans="1:20" x14ac:dyDescent="0.25">
      <c r="A244" s="1" t="str">
        <f>HYPERLINK("https://vegkart.atlas.vegvesen.no/#/@14024.6,6709668.2,18/hva:hva%5B0%5D%5Bfilter%5D%5B0%5D%5Boperator%5D=%21%3D&amp;hva%5B0%5D%5Bfilter%5D%5B0%5D%5Btype_id%5D=4994&amp;hva%5B0%5D%5Bfilter%5D%5B0%5D%5Bverdi%5D=&amp;hva%5B0%5D%5Bid%5D=478/når:2013-01-11", "Vegkart")</f>
        <v>Vegkart</v>
      </c>
      <c r="B244">
        <v>375033464</v>
      </c>
      <c r="C244">
        <v>478</v>
      </c>
      <c r="D244" t="s">
        <v>928</v>
      </c>
      <c r="E244">
        <v>4994</v>
      </c>
      <c r="F244" t="s">
        <v>23479</v>
      </c>
      <c r="G244">
        <v>1</v>
      </c>
      <c r="H244" t="s">
        <v>962</v>
      </c>
      <c r="J244" t="s">
        <v>930</v>
      </c>
      <c r="K244" t="s">
        <v>21</v>
      </c>
      <c r="L244" t="s">
        <v>33</v>
      </c>
      <c r="M244" t="s">
        <v>963</v>
      </c>
      <c r="N244" t="s">
        <v>985</v>
      </c>
      <c r="O244" t="s">
        <v>986</v>
      </c>
      <c r="P244" s="2" t="s">
        <v>26</v>
      </c>
      <c r="Q244" t="s">
        <v>27</v>
      </c>
      <c r="R244">
        <v>2.79</v>
      </c>
      <c r="S244">
        <v>2.79</v>
      </c>
      <c r="T244" t="s">
        <v>987</v>
      </c>
    </row>
    <row r="245" spans="1:20" x14ac:dyDescent="0.25">
      <c r="A245" s="1" t="str">
        <f>HYPERLINK("https://vegkart.atlas.vegvesen.no/#/@14170.7,6711158.4,18/hva:hva%5B0%5D%5Bfilter%5D%5B0%5D%5Boperator%5D=%21%3D&amp;hva%5B0%5D%5Bfilter%5D%5B0%5D%5Btype_id%5D=4994&amp;hva%5B0%5D%5Bfilter%5D%5B0%5D%5Bverdi%5D=&amp;hva%5B0%5D%5Bid%5D=478/når:2021-04-14", "Vegkart")</f>
        <v>Vegkart</v>
      </c>
      <c r="B245">
        <v>375033465</v>
      </c>
      <c r="C245">
        <v>478</v>
      </c>
      <c r="D245" t="s">
        <v>928</v>
      </c>
      <c r="E245">
        <v>4994</v>
      </c>
      <c r="F245" t="s">
        <v>23479</v>
      </c>
      <c r="G245">
        <v>2</v>
      </c>
      <c r="H245" t="s">
        <v>988</v>
      </c>
      <c r="J245" t="s">
        <v>930</v>
      </c>
      <c r="K245" t="s">
        <v>21</v>
      </c>
      <c r="L245" t="s">
        <v>33</v>
      </c>
      <c r="M245" t="s">
        <v>963</v>
      </c>
      <c r="N245" t="s">
        <v>989</v>
      </c>
      <c r="O245" t="s">
        <v>990</v>
      </c>
      <c r="P245" s="2" t="s">
        <v>165</v>
      </c>
      <c r="Q245" t="s">
        <v>311</v>
      </c>
      <c r="R245">
        <v>1.89</v>
      </c>
      <c r="S245">
        <v>1.89</v>
      </c>
      <c r="T245" t="s">
        <v>167</v>
      </c>
    </row>
    <row r="246" spans="1:20" x14ac:dyDescent="0.25">
      <c r="A246" s="1" t="str">
        <f>HYPERLINK("https://vegkart.atlas.vegvesen.no/#/@14362.8,6708776.2,18/hva:hva%5B0%5D%5Bfilter%5D%5B0%5D%5Boperator%5D=%21%3D&amp;hva%5B0%5D%5Bfilter%5D%5B0%5D%5Btype_id%5D=4994&amp;hva%5B0%5D%5Bfilter%5D%5B0%5D%5Bverdi%5D=&amp;hva%5B0%5D%5Bid%5D=478/når:2013-01-11", "Vegkart")</f>
        <v>Vegkart</v>
      </c>
      <c r="B246">
        <v>375033466</v>
      </c>
      <c r="C246">
        <v>478</v>
      </c>
      <c r="D246" t="s">
        <v>928</v>
      </c>
      <c r="E246">
        <v>4994</v>
      </c>
      <c r="F246" t="s">
        <v>23479</v>
      </c>
      <c r="G246">
        <v>1</v>
      </c>
      <c r="H246" t="s">
        <v>962</v>
      </c>
      <c r="J246" t="s">
        <v>930</v>
      </c>
      <c r="K246" t="s">
        <v>21</v>
      </c>
      <c r="L246" t="s">
        <v>33</v>
      </c>
      <c r="M246" t="s">
        <v>963</v>
      </c>
      <c r="N246" t="s">
        <v>991</v>
      </c>
      <c r="O246" t="s">
        <v>992</v>
      </c>
      <c r="P246" s="2" t="s">
        <v>26</v>
      </c>
      <c r="Q246" t="s">
        <v>27</v>
      </c>
      <c r="R246">
        <v>6.02</v>
      </c>
      <c r="S246">
        <v>6.02</v>
      </c>
      <c r="T246" t="s">
        <v>993</v>
      </c>
    </row>
    <row r="247" spans="1:20" x14ac:dyDescent="0.25">
      <c r="A247" s="1" t="str">
        <f>HYPERLINK("https://vegkart.atlas.vegvesen.no/#/@42062.7,6915873.9,18/hva:hva%5B0%5D%5Bfilter%5D%5B0%5D%5Boperator%5D=%21%3D&amp;hva%5B0%5D%5Bfilter%5D%5B0%5D%5Btype_id%5D=4994&amp;hva%5B0%5D%5Bfilter%5D%5B0%5D%5Bverdi%5D=&amp;hva%5B0%5D%5Bid%5D=478/når:2015-03-23", "Vegkart")</f>
        <v>Vegkart</v>
      </c>
      <c r="B247">
        <v>554120325</v>
      </c>
      <c r="C247">
        <v>478</v>
      </c>
      <c r="D247" t="s">
        <v>928</v>
      </c>
      <c r="E247">
        <v>4994</v>
      </c>
      <c r="F247" t="s">
        <v>23479</v>
      </c>
      <c r="G247">
        <v>2</v>
      </c>
      <c r="H247" t="s">
        <v>994</v>
      </c>
      <c r="J247" t="s">
        <v>930</v>
      </c>
      <c r="K247" t="s">
        <v>32</v>
      </c>
      <c r="L247" t="s">
        <v>80</v>
      </c>
      <c r="M247" t="s">
        <v>81</v>
      </c>
      <c r="N247" t="s">
        <v>995</v>
      </c>
      <c r="O247" t="s">
        <v>996</v>
      </c>
      <c r="P247" s="2" t="s">
        <v>26</v>
      </c>
      <c r="Q247" t="s">
        <v>27</v>
      </c>
      <c r="R247">
        <v>9.68</v>
      </c>
      <c r="S247">
        <v>9.68</v>
      </c>
      <c r="T247" t="s">
        <v>997</v>
      </c>
    </row>
    <row r="248" spans="1:20" x14ac:dyDescent="0.25">
      <c r="A248" s="1" t="str">
        <f>HYPERLINK("https://vegkart.atlas.vegvesen.no/#/@38638.8,6917469.1,18/hva:hva%5B0%5D%5Bfilter%5D%5B0%5D%5Boperator%5D=%21%3D&amp;hva%5B0%5D%5Bfilter%5D%5B0%5D%5Btype_id%5D=4994&amp;hva%5B0%5D%5Bfilter%5D%5B0%5D%5Bverdi%5D=&amp;hva%5B0%5D%5Bid%5D=478/når:2015-03-23", "Vegkart")</f>
        <v>Vegkart</v>
      </c>
      <c r="B248">
        <v>554120326</v>
      </c>
      <c r="C248">
        <v>478</v>
      </c>
      <c r="D248" t="s">
        <v>928</v>
      </c>
      <c r="E248">
        <v>4994</v>
      </c>
      <c r="F248" t="s">
        <v>23479</v>
      </c>
      <c r="G248">
        <v>2</v>
      </c>
      <c r="H248" t="s">
        <v>994</v>
      </c>
      <c r="J248" t="s">
        <v>930</v>
      </c>
      <c r="K248" t="s">
        <v>32</v>
      </c>
      <c r="L248" t="s">
        <v>80</v>
      </c>
      <c r="M248" t="s">
        <v>81</v>
      </c>
      <c r="N248" t="s">
        <v>998</v>
      </c>
      <c r="O248" t="s">
        <v>999</v>
      </c>
      <c r="P248" s="2" t="s">
        <v>26</v>
      </c>
      <c r="Q248" t="s">
        <v>27</v>
      </c>
      <c r="R248">
        <v>9.8000000000000007</v>
      </c>
      <c r="S248">
        <v>9.8000000000000007</v>
      </c>
      <c r="T248" t="s">
        <v>1000</v>
      </c>
    </row>
    <row r="249" spans="1:20" x14ac:dyDescent="0.25">
      <c r="A249" s="1" t="str">
        <f>HYPERLINK("https://vegkart.atlas.vegvesen.no/#/@170454.9,6966671.0,18/hva:hva%5B0%5D%5Bfilter%5D%5B0%5D%5Boperator%5D=%21%3D&amp;hva%5B0%5D%5Bfilter%5D%5B0%5D%5Btype_id%5D=4994&amp;hva%5B0%5D%5Bfilter%5D%5B0%5D%5Bverdi%5D=&amp;hva%5B0%5D%5Bid%5D=478/når:2014-06-11", "Vegkart")</f>
        <v>Vegkart</v>
      </c>
      <c r="B249">
        <v>564997215</v>
      </c>
      <c r="C249">
        <v>478</v>
      </c>
      <c r="D249" t="s">
        <v>928</v>
      </c>
      <c r="E249">
        <v>4994</v>
      </c>
      <c r="F249" t="s">
        <v>23479</v>
      </c>
      <c r="G249">
        <v>1</v>
      </c>
      <c r="H249" t="s">
        <v>1001</v>
      </c>
      <c r="J249" t="s">
        <v>930</v>
      </c>
      <c r="K249" t="s">
        <v>32</v>
      </c>
      <c r="L249" t="s">
        <v>113</v>
      </c>
      <c r="M249" t="s">
        <v>1002</v>
      </c>
      <c r="N249" t="s">
        <v>1003</v>
      </c>
      <c r="O249" t="s">
        <v>1004</v>
      </c>
      <c r="P249" s="2" t="s">
        <v>26</v>
      </c>
      <c r="Q249" t="s">
        <v>27</v>
      </c>
      <c r="R249">
        <v>9.2899999999999991</v>
      </c>
      <c r="S249">
        <v>9.2899999999999991</v>
      </c>
      <c r="T249" t="s">
        <v>1005</v>
      </c>
    </row>
    <row r="250" spans="1:20" x14ac:dyDescent="0.25">
      <c r="A250" s="1" t="str">
        <f>HYPERLINK("https://vegkart.atlas.vegvesen.no/#/@170080.5,6974006.9,18/hva:hva%5B0%5D%5Bfilter%5D%5B0%5D%5Boperator%5D=%21%3D&amp;hva%5B0%5D%5Bfilter%5D%5B0%5D%5Btype_id%5D=4994&amp;hva%5B0%5D%5Bfilter%5D%5B0%5D%5Bverdi%5D=&amp;hva%5B0%5D%5Bid%5D=478/når:2014-06-11", "Vegkart")</f>
        <v>Vegkart</v>
      </c>
      <c r="B250">
        <v>564997216</v>
      </c>
      <c r="C250">
        <v>478</v>
      </c>
      <c r="D250" t="s">
        <v>928</v>
      </c>
      <c r="E250">
        <v>4994</v>
      </c>
      <c r="F250" t="s">
        <v>23479</v>
      </c>
      <c r="G250">
        <v>1</v>
      </c>
      <c r="H250" t="s">
        <v>1001</v>
      </c>
      <c r="J250" t="s">
        <v>930</v>
      </c>
      <c r="K250" t="s">
        <v>32</v>
      </c>
      <c r="L250" t="s">
        <v>113</v>
      </c>
      <c r="M250" t="s">
        <v>1002</v>
      </c>
      <c r="N250" t="s">
        <v>1006</v>
      </c>
      <c r="O250" t="s">
        <v>1007</v>
      </c>
      <c r="P250" s="2" t="s">
        <v>26</v>
      </c>
      <c r="Q250" t="s">
        <v>27</v>
      </c>
      <c r="R250">
        <v>7.47</v>
      </c>
      <c r="S250">
        <v>7.47</v>
      </c>
      <c r="T250" t="s">
        <v>1008</v>
      </c>
    </row>
    <row r="251" spans="1:20" x14ac:dyDescent="0.25">
      <c r="A251" s="1" t="str">
        <f>HYPERLINK("https://vegkart.atlas.vegvesen.no/#/@-12969.6,6737967.9,18/hva:hva%5B0%5D%5Bfilter%5D%5B0%5D%5Boperator%5D=%21%3D&amp;hva%5B0%5D%5Bfilter%5D%5B0%5D%5Btype_id%5D=4994&amp;hva%5B0%5D%5Bfilter%5D%5B0%5D%5Bverdi%5D=&amp;hva%5B0%5D%5Bid%5D=478/når:2014-09-01", "Vegkart")</f>
        <v>Vegkart</v>
      </c>
      <c r="B251">
        <v>571514025</v>
      </c>
      <c r="C251">
        <v>478</v>
      </c>
      <c r="D251" t="s">
        <v>928</v>
      </c>
      <c r="E251">
        <v>4994</v>
      </c>
      <c r="F251" t="s">
        <v>23479</v>
      </c>
      <c r="G251">
        <v>1</v>
      </c>
      <c r="H251" t="s">
        <v>1009</v>
      </c>
      <c r="J251" t="s">
        <v>930</v>
      </c>
      <c r="K251" t="s">
        <v>21</v>
      </c>
      <c r="L251" t="s">
        <v>80</v>
      </c>
      <c r="M251" t="s">
        <v>152</v>
      </c>
      <c r="N251" t="s">
        <v>1010</v>
      </c>
      <c r="O251" t="s">
        <v>1011</v>
      </c>
      <c r="P251" s="2" t="s">
        <v>165</v>
      </c>
      <c r="Q251" t="s">
        <v>1012</v>
      </c>
      <c r="R251">
        <v>2754.28</v>
      </c>
      <c r="S251">
        <v>2771.6</v>
      </c>
      <c r="T251" t="s">
        <v>167</v>
      </c>
    </row>
    <row r="252" spans="1:20" x14ac:dyDescent="0.25">
      <c r="A252" s="1" t="str">
        <f>HYPERLINK("https://vegkart.atlas.vegvesen.no/#/@11432.4,6664842.9,18/hva:hva%5B0%5D%5Bfilter%5D%5B0%5D%5Boperator%5D=%21%3D&amp;hva%5B0%5D%5Bfilter%5D%5B0%5D%5Btype_id%5D=4994&amp;hva%5B0%5D%5Bfilter%5D%5B0%5D%5Bverdi%5D=&amp;hva%5B0%5D%5Bid%5D=478/når:2014-09-01", "Vegkart")</f>
        <v>Vegkart</v>
      </c>
      <c r="B252">
        <v>572031519</v>
      </c>
      <c r="C252">
        <v>478</v>
      </c>
      <c r="D252" t="s">
        <v>928</v>
      </c>
      <c r="E252">
        <v>4994</v>
      </c>
      <c r="F252" t="s">
        <v>23479</v>
      </c>
      <c r="G252">
        <v>1</v>
      </c>
      <c r="H252" t="s">
        <v>1009</v>
      </c>
      <c r="J252" t="s">
        <v>930</v>
      </c>
      <c r="K252" t="s">
        <v>21</v>
      </c>
      <c r="L252" t="s">
        <v>80</v>
      </c>
      <c r="M252" t="s">
        <v>645</v>
      </c>
      <c r="N252" t="s">
        <v>1013</v>
      </c>
      <c r="O252" t="s">
        <v>1014</v>
      </c>
      <c r="P252" s="2" t="s">
        <v>165</v>
      </c>
      <c r="Q252" t="s">
        <v>1012</v>
      </c>
      <c r="R252">
        <v>812.96</v>
      </c>
      <c r="S252">
        <v>820.84</v>
      </c>
      <c r="T252" t="s">
        <v>167</v>
      </c>
    </row>
    <row r="253" spans="1:20" x14ac:dyDescent="0.25">
      <c r="A253" s="1" t="str">
        <f>HYPERLINK("https://vegkart.atlas.vegvesen.no/#/@15044.1,6665725.0,18/hva:hva%5B0%5D%5Bfilter%5D%5B0%5D%5Boperator%5D=%21%3D&amp;hva%5B0%5D%5Bfilter%5D%5B0%5D%5Btype_id%5D=4994&amp;hva%5B0%5D%5Bfilter%5D%5B0%5D%5Bverdi%5D=&amp;hva%5B0%5D%5Bid%5D=478/når:2023-03-02", "Vegkart")</f>
        <v>Vegkart</v>
      </c>
      <c r="B253">
        <v>572058734</v>
      </c>
      <c r="C253">
        <v>478</v>
      </c>
      <c r="D253" t="s">
        <v>928</v>
      </c>
      <c r="E253">
        <v>4994</v>
      </c>
      <c r="F253" t="s">
        <v>23479</v>
      </c>
      <c r="G253">
        <v>2</v>
      </c>
      <c r="H253" t="s">
        <v>1015</v>
      </c>
      <c r="J253" t="s">
        <v>930</v>
      </c>
      <c r="K253" t="s">
        <v>21</v>
      </c>
      <c r="L253" t="s">
        <v>80</v>
      </c>
      <c r="M253" t="s">
        <v>645</v>
      </c>
      <c r="N253" t="s">
        <v>1016</v>
      </c>
      <c r="O253" t="s">
        <v>1017</v>
      </c>
      <c r="P253" s="2" t="s">
        <v>165</v>
      </c>
      <c r="Q253" t="s">
        <v>1012</v>
      </c>
      <c r="R253">
        <v>694.13</v>
      </c>
      <c r="S253">
        <v>734.88</v>
      </c>
      <c r="T253" t="s">
        <v>167</v>
      </c>
    </row>
    <row r="254" spans="1:20" x14ac:dyDescent="0.25">
      <c r="A254" s="1" t="str">
        <f>HYPERLINK("https://vegkart.atlas.vegvesen.no/#/@17686.3,6668166.1,18/hva:hva%5B0%5D%5Bfilter%5D%5B0%5D%5Boperator%5D=%21%3D&amp;hva%5B0%5D%5Bfilter%5D%5B0%5D%5Btype_id%5D=4994&amp;hva%5B0%5D%5Bfilter%5D%5B0%5D%5Bverdi%5D=&amp;hva%5B0%5D%5Bid%5D=478/når:2014-09-01", "Vegkart")</f>
        <v>Vegkart</v>
      </c>
      <c r="B254">
        <v>572159071</v>
      </c>
      <c r="C254">
        <v>478</v>
      </c>
      <c r="D254" t="s">
        <v>928</v>
      </c>
      <c r="E254">
        <v>4994</v>
      </c>
      <c r="F254" t="s">
        <v>23479</v>
      </c>
      <c r="G254">
        <v>1</v>
      </c>
      <c r="H254" t="s">
        <v>1009</v>
      </c>
      <c r="J254" t="s">
        <v>930</v>
      </c>
      <c r="K254" t="s">
        <v>21</v>
      </c>
      <c r="L254" t="s">
        <v>80</v>
      </c>
      <c r="M254" t="s">
        <v>645</v>
      </c>
      <c r="N254" t="s">
        <v>1018</v>
      </c>
      <c r="O254" t="s">
        <v>1019</v>
      </c>
      <c r="P254" s="2" t="s">
        <v>165</v>
      </c>
      <c r="Q254" t="s">
        <v>1012</v>
      </c>
      <c r="R254">
        <v>1470.61</v>
      </c>
      <c r="S254">
        <v>1522.72</v>
      </c>
      <c r="T254" t="s">
        <v>167</v>
      </c>
    </row>
    <row r="255" spans="1:20" x14ac:dyDescent="0.25">
      <c r="A255" s="1" t="str">
        <f>HYPERLINK("https://vegkart.atlas.vegvesen.no/#/@-31492.7,6575710.5,18/hva:hva%5B0%5D%5Bfilter%5D%5B0%5D%5Boperator%5D=%21%3D&amp;hva%5B0%5D%5Bfilter%5D%5B0%5D%5Btype_id%5D=4994&amp;hva%5B0%5D%5Bfilter%5D%5B0%5D%5Bverdi%5D=&amp;hva%5B0%5D%5Bid%5D=478/når:2020-04-01", "Vegkart")</f>
        <v>Vegkart</v>
      </c>
      <c r="B255">
        <v>1007633137</v>
      </c>
      <c r="C255">
        <v>478</v>
      </c>
      <c r="D255" t="s">
        <v>928</v>
      </c>
      <c r="E255">
        <v>4994</v>
      </c>
      <c r="F255" t="s">
        <v>23479</v>
      </c>
      <c r="G255">
        <v>1</v>
      </c>
      <c r="H255" t="s">
        <v>1020</v>
      </c>
      <c r="J255" t="s">
        <v>1021</v>
      </c>
      <c r="K255" t="s">
        <v>170</v>
      </c>
      <c r="L255" t="s">
        <v>113</v>
      </c>
      <c r="M255" t="s">
        <v>114</v>
      </c>
      <c r="N255" t="s">
        <v>1022</v>
      </c>
      <c r="O255" t="s">
        <v>1023</v>
      </c>
      <c r="P255" s="2" t="s">
        <v>165</v>
      </c>
      <c r="Q255" t="s">
        <v>1012</v>
      </c>
      <c r="R255">
        <v>535.32000000000005</v>
      </c>
      <c r="S255">
        <v>568.01</v>
      </c>
      <c r="T255" t="s">
        <v>167</v>
      </c>
    </row>
    <row r="256" spans="1:20" x14ac:dyDescent="0.25">
      <c r="A256" s="1" t="str">
        <f>HYPERLINK("https://vegkart.atlas.vegvesen.no/#/@-31365.4,6575389.8,18/hva:hva%5B0%5D%5Bfilter%5D%5B0%5D%5Boperator%5D=%21%3D&amp;hva%5B0%5D%5Bfilter%5D%5B0%5D%5Btype_id%5D=4994&amp;hva%5B0%5D%5Bfilter%5D%5B0%5D%5Bverdi%5D=&amp;hva%5B0%5D%5Bid%5D=478/når:2020-04-01", "Vegkart")</f>
        <v>Vegkart</v>
      </c>
      <c r="B256">
        <v>1007633138</v>
      </c>
      <c r="C256">
        <v>478</v>
      </c>
      <c r="D256" t="s">
        <v>928</v>
      </c>
      <c r="E256">
        <v>4994</v>
      </c>
      <c r="F256" t="s">
        <v>23479</v>
      </c>
      <c r="G256">
        <v>1</v>
      </c>
      <c r="H256" t="s">
        <v>1020</v>
      </c>
      <c r="J256" t="s">
        <v>1021</v>
      </c>
      <c r="K256" t="s">
        <v>170</v>
      </c>
      <c r="L256" t="s">
        <v>113</v>
      </c>
      <c r="M256" t="s">
        <v>114</v>
      </c>
      <c r="N256" t="s">
        <v>1024</v>
      </c>
      <c r="O256" t="s">
        <v>1025</v>
      </c>
      <c r="P256" s="2" t="s">
        <v>165</v>
      </c>
      <c r="Q256" t="s">
        <v>1012</v>
      </c>
      <c r="R256">
        <v>166.65</v>
      </c>
      <c r="S256">
        <v>167.38</v>
      </c>
      <c r="T256" t="s">
        <v>167</v>
      </c>
    </row>
    <row r="257" spans="1:20" x14ac:dyDescent="0.25">
      <c r="A257" s="1" t="str">
        <f>HYPERLINK("https://vegkart.atlas.vegvesen.no/#/@-31260.0,6575049.2,18/hva:hva%5B0%5D%5Bfilter%5D%5B0%5D%5Boperator%5D=%21%3D&amp;hva%5B0%5D%5Bfilter%5D%5B0%5D%5Btype_id%5D=4994&amp;hva%5B0%5D%5Bfilter%5D%5B0%5D%5Bverdi%5D=&amp;hva%5B0%5D%5Bid%5D=478/når:2020-04-01", "Vegkart")</f>
        <v>Vegkart</v>
      </c>
      <c r="B257">
        <v>1007633139</v>
      </c>
      <c r="C257">
        <v>478</v>
      </c>
      <c r="D257" t="s">
        <v>928</v>
      </c>
      <c r="E257">
        <v>4994</v>
      </c>
      <c r="F257" t="s">
        <v>23479</v>
      </c>
      <c r="G257">
        <v>1</v>
      </c>
      <c r="H257" t="s">
        <v>1020</v>
      </c>
      <c r="J257" t="s">
        <v>1021</v>
      </c>
      <c r="K257" t="s">
        <v>170</v>
      </c>
      <c r="L257" t="s">
        <v>113</v>
      </c>
      <c r="M257" t="s">
        <v>114</v>
      </c>
      <c r="N257" t="s">
        <v>1026</v>
      </c>
      <c r="O257" t="s">
        <v>1027</v>
      </c>
      <c r="P257" s="2" t="s">
        <v>165</v>
      </c>
      <c r="Q257" t="s">
        <v>1012</v>
      </c>
      <c r="R257">
        <v>4137.76</v>
      </c>
      <c r="S257">
        <v>4808.68</v>
      </c>
      <c r="T257" t="s">
        <v>167</v>
      </c>
    </row>
    <row r="258" spans="1:20" x14ac:dyDescent="0.25">
      <c r="A258" s="1" t="str">
        <f>HYPERLINK("https://vegkart.atlas.vegvesen.no/#/@-31492.3,6575551.6,18/hva:hva%5B0%5D%5Bfilter%5D%5B0%5D%5Boperator%5D=%21%3D&amp;hva%5B0%5D%5Bfilter%5D%5B0%5D%5Btype_id%5D=4994&amp;hva%5B0%5D%5Bfilter%5D%5B0%5D%5Bverdi%5D=&amp;hva%5B0%5D%5Bid%5D=478/når:2020-04-01", "Vegkart")</f>
        <v>Vegkart</v>
      </c>
      <c r="B258">
        <v>1007633140</v>
      </c>
      <c r="C258">
        <v>478</v>
      </c>
      <c r="D258" t="s">
        <v>928</v>
      </c>
      <c r="E258">
        <v>4994</v>
      </c>
      <c r="F258" t="s">
        <v>23479</v>
      </c>
      <c r="G258">
        <v>1</v>
      </c>
      <c r="H258" t="s">
        <v>1020</v>
      </c>
      <c r="J258" t="s">
        <v>1021</v>
      </c>
      <c r="K258" t="s">
        <v>170</v>
      </c>
      <c r="L258" t="s">
        <v>113</v>
      </c>
      <c r="M258" t="s">
        <v>114</v>
      </c>
      <c r="N258" t="s">
        <v>1028</v>
      </c>
      <c r="O258" t="s">
        <v>1029</v>
      </c>
      <c r="P258" s="2" t="s">
        <v>165</v>
      </c>
      <c r="Q258" t="s">
        <v>1012</v>
      </c>
      <c r="R258">
        <v>817.26</v>
      </c>
      <c r="S258">
        <v>820.21</v>
      </c>
      <c r="T258" t="s">
        <v>167</v>
      </c>
    </row>
    <row r="259" spans="1:20" x14ac:dyDescent="0.25">
      <c r="A259" s="1" t="str">
        <f>HYPERLINK("https://vegkart.atlas.vegvesen.no/#/@48263.5,6804176.2,18/hva:hva%5B0%5D%5Bfilter%5D%5B0%5D%5Boperator%5D=%21%3D&amp;hva%5B0%5D%5Bfilter%5D%5B0%5D%5Btype_id%5D=4994&amp;hva%5B0%5D%5Bfilter%5D%5B0%5D%5Bverdi%5D=&amp;hva%5B0%5D%5Bid%5D=478/når:2020-10-27", "Vegkart")</f>
        <v>Vegkart</v>
      </c>
      <c r="B259">
        <v>1010852607</v>
      </c>
      <c r="C259">
        <v>478</v>
      </c>
      <c r="D259" t="s">
        <v>928</v>
      </c>
      <c r="E259">
        <v>4994</v>
      </c>
      <c r="F259" t="s">
        <v>23479</v>
      </c>
      <c r="G259">
        <v>1</v>
      </c>
      <c r="H259" t="s">
        <v>112</v>
      </c>
      <c r="J259" t="s">
        <v>1030</v>
      </c>
      <c r="K259" t="s">
        <v>21</v>
      </c>
      <c r="L259" t="s">
        <v>113</v>
      </c>
      <c r="M259" t="s">
        <v>114</v>
      </c>
      <c r="N259" t="s">
        <v>1031</v>
      </c>
      <c r="O259" t="s">
        <v>1032</v>
      </c>
      <c r="P259" s="2" t="s">
        <v>165</v>
      </c>
      <c r="Q259" t="s">
        <v>1012</v>
      </c>
      <c r="R259">
        <v>0</v>
      </c>
      <c r="S259">
        <v>59.81</v>
      </c>
      <c r="T259" t="s">
        <v>167</v>
      </c>
    </row>
    <row r="260" spans="1:20" x14ac:dyDescent="0.25">
      <c r="A260" s="1" t="str">
        <f>HYPERLINK("https://vegkart.atlas.vegvesen.no/#/@48077.6,6803248.0,18/hva:hva%5B0%5D%5Bfilter%5D%5B0%5D%5Boperator%5D=%21%3D&amp;hva%5B0%5D%5Bfilter%5D%5B0%5D%5Btype_id%5D=4994&amp;hva%5B0%5D%5Bfilter%5D%5B0%5D%5Bverdi%5D=&amp;hva%5B0%5D%5Bid%5D=478/når:2020-10-27", "Vegkart")</f>
        <v>Vegkart</v>
      </c>
      <c r="B260">
        <v>1010852608</v>
      </c>
      <c r="C260">
        <v>478</v>
      </c>
      <c r="D260" t="s">
        <v>928</v>
      </c>
      <c r="E260">
        <v>4994</v>
      </c>
      <c r="F260" t="s">
        <v>23479</v>
      </c>
      <c r="G260">
        <v>1</v>
      </c>
      <c r="H260" t="s">
        <v>112</v>
      </c>
      <c r="J260" t="s">
        <v>1030</v>
      </c>
      <c r="K260" t="s">
        <v>21</v>
      </c>
      <c r="L260" t="s">
        <v>113</v>
      </c>
      <c r="M260" t="s">
        <v>114</v>
      </c>
      <c r="N260" t="s">
        <v>1033</v>
      </c>
      <c r="O260" t="s">
        <v>1034</v>
      </c>
      <c r="P260" s="2" t="s">
        <v>165</v>
      </c>
      <c r="Q260" t="s">
        <v>1012</v>
      </c>
      <c r="R260">
        <v>0</v>
      </c>
      <c r="S260">
        <v>59.81</v>
      </c>
      <c r="T260" t="s">
        <v>167</v>
      </c>
    </row>
    <row r="261" spans="1:20" x14ac:dyDescent="0.25">
      <c r="A261" s="1" t="str">
        <f>HYPERLINK("https://vegkart.atlas.vegvesen.no/#/@48263.5,6804176.2,18/hva:hva%5B0%5D%5Bfilter%5D%5B0%5D%5Boperator%5D=%21%3D&amp;hva%5B0%5D%5Bfilter%5D%5B0%5D%5Btype_id%5D=4994&amp;hva%5B0%5D%5Bfilter%5D%5B0%5D%5Bverdi%5D=&amp;hva%5B0%5D%5Bid%5D=478/når:2020-10-27", "Vegkart")</f>
        <v>Vegkart</v>
      </c>
      <c r="B261">
        <v>1010852610</v>
      </c>
      <c r="C261">
        <v>478</v>
      </c>
      <c r="D261" t="s">
        <v>928</v>
      </c>
      <c r="E261">
        <v>4994</v>
      </c>
      <c r="F261" t="s">
        <v>23479</v>
      </c>
      <c r="G261">
        <v>1</v>
      </c>
      <c r="H261" t="s">
        <v>112</v>
      </c>
      <c r="J261" t="s">
        <v>1030</v>
      </c>
      <c r="K261" t="s">
        <v>21</v>
      </c>
      <c r="L261" t="s">
        <v>113</v>
      </c>
      <c r="M261" t="s">
        <v>114</v>
      </c>
      <c r="N261" t="s">
        <v>1031</v>
      </c>
      <c r="O261" t="s">
        <v>1032</v>
      </c>
      <c r="P261" s="2" t="s">
        <v>165</v>
      </c>
      <c r="Q261" t="s">
        <v>1012</v>
      </c>
      <c r="R261">
        <v>0</v>
      </c>
      <c r="S261">
        <v>59.81</v>
      </c>
      <c r="T261" t="s">
        <v>167</v>
      </c>
    </row>
    <row r="262" spans="1:20" x14ac:dyDescent="0.25">
      <c r="A262" s="1" t="str">
        <f>HYPERLINK("https://vegkart.atlas.vegvesen.no/#/@48077.6,6803248.0,18/hva:hva%5B0%5D%5Bfilter%5D%5B0%5D%5Boperator%5D=%21%3D&amp;hva%5B0%5D%5Bfilter%5D%5B0%5D%5Btype_id%5D=4994&amp;hva%5B0%5D%5Bfilter%5D%5B0%5D%5Bverdi%5D=&amp;hva%5B0%5D%5Bid%5D=478/når:2020-10-27", "Vegkart")</f>
        <v>Vegkart</v>
      </c>
      <c r="B262">
        <v>1010852611</v>
      </c>
      <c r="C262">
        <v>478</v>
      </c>
      <c r="D262" t="s">
        <v>928</v>
      </c>
      <c r="E262">
        <v>4994</v>
      </c>
      <c r="F262" t="s">
        <v>23479</v>
      </c>
      <c r="G262">
        <v>1</v>
      </c>
      <c r="H262" t="s">
        <v>112</v>
      </c>
      <c r="J262" t="s">
        <v>1030</v>
      </c>
      <c r="K262" t="s">
        <v>21</v>
      </c>
      <c r="L262" t="s">
        <v>113</v>
      </c>
      <c r="M262" t="s">
        <v>114</v>
      </c>
      <c r="N262" t="s">
        <v>1033</v>
      </c>
      <c r="O262" t="s">
        <v>1034</v>
      </c>
      <c r="P262" s="2" t="s">
        <v>165</v>
      </c>
      <c r="Q262" t="s">
        <v>1012</v>
      </c>
      <c r="R262">
        <v>0</v>
      </c>
      <c r="S262">
        <v>59.81</v>
      </c>
      <c r="T262" t="s">
        <v>167</v>
      </c>
    </row>
    <row r="263" spans="1:20" x14ac:dyDescent="0.25">
      <c r="A263" s="1" t="str">
        <f>HYPERLINK("https://vegkart.atlas.vegvesen.no/#/@48263.5,6804176.2,18/hva:hva%5B0%5D%5Bfilter%5D%5B0%5D%5Boperator%5D=%21%3D&amp;hva%5B0%5D%5Bfilter%5D%5B0%5D%5Btype_id%5D=4994&amp;hva%5B0%5D%5Bfilter%5D%5B0%5D%5Bverdi%5D=&amp;hva%5B0%5D%5Bid%5D=478/når:2020-10-27", "Vegkart")</f>
        <v>Vegkart</v>
      </c>
      <c r="B263">
        <v>1010852613</v>
      </c>
      <c r="C263">
        <v>478</v>
      </c>
      <c r="D263" t="s">
        <v>928</v>
      </c>
      <c r="E263">
        <v>4994</v>
      </c>
      <c r="F263" t="s">
        <v>23479</v>
      </c>
      <c r="G263">
        <v>1</v>
      </c>
      <c r="H263" t="s">
        <v>112</v>
      </c>
      <c r="J263" t="s">
        <v>1030</v>
      </c>
      <c r="K263" t="s">
        <v>21</v>
      </c>
      <c r="L263" t="s">
        <v>113</v>
      </c>
      <c r="M263" t="s">
        <v>114</v>
      </c>
      <c r="N263" t="s">
        <v>1031</v>
      </c>
      <c r="O263" t="s">
        <v>1032</v>
      </c>
      <c r="P263" s="2" t="s">
        <v>165</v>
      </c>
      <c r="Q263" t="s">
        <v>1012</v>
      </c>
      <c r="R263">
        <v>0</v>
      </c>
      <c r="S263">
        <v>59.81</v>
      </c>
      <c r="T263" t="s">
        <v>167</v>
      </c>
    </row>
    <row r="264" spans="1:20" x14ac:dyDescent="0.25">
      <c r="A264" s="1" t="str">
        <f>HYPERLINK("https://vegkart.atlas.vegvesen.no/#/@48263.5,6804176.2,18/hva:hva%5B0%5D%5Bfilter%5D%5B0%5D%5Boperator%5D=%21%3D&amp;hva%5B0%5D%5Bfilter%5D%5B0%5D%5Btype_id%5D=4994&amp;hva%5B0%5D%5Bfilter%5D%5B0%5D%5Bverdi%5D=&amp;hva%5B0%5D%5Bid%5D=478/når:2020-10-27", "Vegkart")</f>
        <v>Vegkart</v>
      </c>
      <c r="B264">
        <v>1010852614</v>
      </c>
      <c r="C264">
        <v>478</v>
      </c>
      <c r="D264" t="s">
        <v>928</v>
      </c>
      <c r="E264">
        <v>4994</v>
      </c>
      <c r="F264" t="s">
        <v>23479</v>
      </c>
      <c r="G264">
        <v>1</v>
      </c>
      <c r="H264" t="s">
        <v>112</v>
      </c>
      <c r="J264" t="s">
        <v>1030</v>
      </c>
      <c r="K264" t="s">
        <v>21</v>
      </c>
      <c r="L264" t="s">
        <v>113</v>
      </c>
      <c r="M264" t="s">
        <v>114</v>
      </c>
      <c r="N264" t="s">
        <v>1031</v>
      </c>
      <c r="O264" t="s">
        <v>1032</v>
      </c>
      <c r="P264" s="2" t="s">
        <v>165</v>
      </c>
      <c r="Q264" t="s">
        <v>1012</v>
      </c>
      <c r="R264">
        <v>0</v>
      </c>
      <c r="S264">
        <v>59.81</v>
      </c>
      <c r="T264" t="s">
        <v>167</v>
      </c>
    </row>
    <row r="265" spans="1:20" x14ac:dyDescent="0.25">
      <c r="A265" s="1" t="str">
        <f>HYPERLINK("https://vegkart.atlas.vegvesen.no/#/@48077.6,6803248.0,18/hva:hva%5B0%5D%5Bfilter%5D%5B0%5D%5Boperator%5D=%21%3D&amp;hva%5B0%5D%5Bfilter%5D%5B0%5D%5Btype_id%5D=4994&amp;hva%5B0%5D%5Bfilter%5D%5B0%5D%5Bverdi%5D=&amp;hva%5B0%5D%5Bid%5D=478/når:2020-10-27", "Vegkart")</f>
        <v>Vegkart</v>
      </c>
      <c r="B265">
        <v>1010852615</v>
      </c>
      <c r="C265">
        <v>478</v>
      </c>
      <c r="D265" t="s">
        <v>928</v>
      </c>
      <c r="E265">
        <v>4994</v>
      </c>
      <c r="F265" t="s">
        <v>23479</v>
      </c>
      <c r="G265">
        <v>1</v>
      </c>
      <c r="H265" t="s">
        <v>112</v>
      </c>
      <c r="J265" t="s">
        <v>1030</v>
      </c>
      <c r="K265" t="s">
        <v>21</v>
      </c>
      <c r="L265" t="s">
        <v>113</v>
      </c>
      <c r="M265" t="s">
        <v>114</v>
      </c>
      <c r="N265" t="s">
        <v>1033</v>
      </c>
      <c r="O265" t="s">
        <v>1034</v>
      </c>
      <c r="P265" s="2" t="s">
        <v>165</v>
      </c>
      <c r="Q265" t="s">
        <v>1012</v>
      </c>
      <c r="R265">
        <v>0</v>
      </c>
      <c r="S265">
        <v>59.81</v>
      </c>
      <c r="T265" t="s">
        <v>167</v>
      </c>
    </row>
    <row r="266" spans="1:20" x14ac:dyDescent="0.25">
      <c r="A266" s="1" t="str">
        <f>HYPERLINK("https://vegkart.atlas.vegvesen.no/#/@48077.6,6803248.0,18/hva:hva%5B0%5D%5Bfilter%5D%5B0%5D%5Boperator%5D=%21%3D&amp;hva%5B0%5D%5Bfilter%5D%5B0%5D%5Btype_id%5D=4994&amp;hva%5B0%5D%5Bfilter%5D%5B0%5D%5Bverdi%5D=&amp;hva%5B0%5D%5Bid%5D=478/når:2020-10-27", "Vegkart")</f>
        <v>Vegkart</v>
      </c>
      <c r="B266">
        <v>1010852616</v>
      </c>
      <c r="C266">
        <v>478</v>
      </c>
      <c r="D266" t="s">
        <v>928</v>
      </c>
      <c r="E266">
        <v>4994</v>
      </c>
      <c r="F266" t="s">
        <v>23479</v>
      </c>
      <c r="G266">
        <v>1</v>
      </c>
      <c r="H266" t="s">
        <v>112</v>
      </c>
      <c r="J266" t="s">
        <v>1030</v>
      </c>
      <c r="K266" t="s">
        <v>21</v>
      </c>
      <c r="L266" t="s">
        <v>113</v>
      </c>
      <c r="M266" t="s">
        <v>114</v>
      </c>
      <c r="N266" t="s">
        <v>1033</v>
      </c>
      <c r="O266" t="s">
        <v>1034</v>
      </c>
      <c r="P266" s="2" t="s">
        <v>165</v>
      </c>
      <c r="Q266" t="s">
        <v>1012</v>
      </c>
      <c r="R266">
        <v>0</v>
      </c>
      <c r="S266">
        <v>59.81</v>
      </c>
      <c r="T266" t="s">
        <v>167</v>
      </c>
    </row>
    <row r="267" spans="1:20" x14ac:dyDescent="0.25">
      <c r="A267" s="1" t="str">
        <f>HYPERLINK("https://vegkart.atlas.vegvesen.no/#/@48263.5,6804176.2,18/hva:hva%5B0%5D%5Bfilter%5D%5B0%5D%5Boperator%5D=%21%3D&amp;hva%5B0%5D%5Bfilter%5D%5B0%5D%5Btype_id%5D=4994&amp;hva%5B0%5D%5Bfilter%5D%5B0%5D%5Bverdi%5D=&amp;hva%5B0%5D%5Bid%5D=478/når:2020-10-27", "Vegkart")</f>
        <v>Vegkart</v>
      </c>
      <c r="B267">
        <v>1010852620</v>
      </c>
      <c r="C267">
        <v>478</v>
      </c>
      <c r="D267" t="s">
        <v>928</v>
      </c>
      <c r="E267">
        <v>4994</v>
      </c>
      <c r="F267" t="s">
        <v>23479</v>
      </c>
      <c r="G267">
        <v>1</v>
      </c>
      <c r="H267" t="s">
        <v>112</v>
      </c>
      <c r="J267" t="s">
        <v>1030</v>
      </c>
      <c r="K267" t="s">
        <v>21</v>
      </c>
      <c r="L267" t="s">
        <v>113</v>
      </c>
      <c r="M267" t="s">
        <v>114</v>
      </c>
      <c r="N267" t="s">
        <v>1031</v>
      </c>
      <c r="O267" t="s">
        <v>1032</v>
      </c>
      <c r="P267" s="2" t="s">
        <v>165</v>
      </c>
      <c r="Q267" t="s">
        <v>1012</v>
      </c>
      <c r="R267">
        <v>0</v>
      </c>
      <c r="S267">
        <v>59.81</v>
      </c>
      <c r="T267" t="s">
        <v>167</v>
      </c>
    </row>
    <row r="268" spans="1:20" x14ac:dyDescent="0.25">
      <c r="A268" s="1" t="str">
        <f>HYPERLINK("https://vegkart.atlas.vegvesen.no/#/@48077.6,6803248.0,18/hva:hva%5B0%5D%5Bfilter%5D%5B0%5D%5Boperator%5D=%21%3D&amp;hva%5B0%5D%5Bfilter%5D%5B0%5D%5Btype_id%5D=4994&amp;hva%5B0%5D%5Bfilter%5D%5B0%5D%5Bverdi%5D=&amp;hva%5B0%5D%5Bid%5D=478/når:2020-10-27", "Vegkart")</f>
        <v>Vegkart</v>
      </c>
      <c r="B268">
        <v>1010852621</v>
      </c>
      <c r="C268">
        <v>478</v>
      </c>
      <c r="D268" t="s">
        <v>928</v>
      </c>
      <c r="E268">
        <v>4994</v>
      </c>
      <c r="F268" t="s">
        <v>23479</v>
      </c>
      <c r="G268">
        <v>1</v>
      </c>
      <c r="H268" t="s">
        <v>112</v>
      </c>
      <c r="J268" t="s">
        <v>1030</v>
      </c>
      <c r="K268" t="s">
        <v>21</v>
      </c>
      <c r="L268" t="s">
        <v>113</v>
      </c>
      <c r="M268" t="s">
        <v>114</v>
      </c>
      <c r="N268" t="s">
        <v>1033</v>
      </c>
      <c r="O268" t="s">
        <v>1034</v>
      </c>
      <c r="P268" s="2" t="s">
        <v>165</v>
      </c>
      <c r="Q268" t="s">
        <v>1012</v>
      </c>
      <c r="R268">
        <v>0</v>
      </c>
      <c r="S268">
        <v>59.81</v>
      </c>
      <c r="T268" t="s">
        <v>167</v>
      </c>
    </row>
    <row r="269" spans="1:20" x14ac:dyDescent="0.25">
      <c r="A269" s="1" t="str">
        <f>HYPERLINK("https://vegkart.atlas.vegvesen.no/#/@48263.5,6804176.2,18/hva:hva%5B0%5D%5Bfilter%5D%5B0%5D%5Boperator%5D=%21%3D&amp;hva%5B0%5D%5Bfilter%5D%5B0%5D%5Btype_id%5D=4994&amp;hva%5B0%5D%5Bfilter%5D%5B0%5D%5Bverdi%5D=&amp;hva%5B0%5D%5Bid%5D=478/når:2020-10-27", "Vegkart")</f>
        <v>Vegkart</v>
      </c>
      <c r="B269">
        <v>1010852623</v>
      </c>
      <c r="C269">
        <v>478</v>
      </c>
      <c r="D269" t="s">
        <v>928</v>
      </c>
      <c r="E269">
        <v>4994</v>
      </c>
      <c r="F269" t="s">
        <v>23479</v>
      </c>
      <c r="G269">
        <v>1</v>
      </c>
      <c r="H269" t="s">
        <v>112</v>
      </c>
      <c r="J269" t="s">
        <v>1030</v>
      </c>
      <c r="K269" t="s">
        <v>21</v>
      </c>
      <c r="L269" t="s">
        <v>113</v>
      </c>
      <c r="M269" t="s">
        <v>114</v>
      </c>
      <c r="N269" t="s">
        <v>1031</v>
      </c>
      <c r="O269" t="s">
        <v>1032</v>
      </c>
      <c r="P269" s="2" t="s">
        <v>165</v>
      </c>
      <c r="Q269" t="s">
        <v>1012</v>
      </c>
      <c r="R269">
        <v>0</v>
      </c>
      <c r="S269">
        <v>59.81</v>
      </c>
      <c r="T269" t="s">
        <v>167</v>
      </c>
    </row>
    <row r="270" spans="1:20" x14ac:dyDescent="0.25">
      <c r="A270" s="1" t="str">
        <f>HYPERLINK("https://vegkart.atlas.vegvesen.no/#/@48077.6,6803248.0,18/hva:hva%5B0%5D%5Bfilter%5D%5B0%5D%5Boperator%5D=%21%3D&amp;hva%5B0%5D%5Bfilter%5D%5B0%5D%5Btype_id%5D=4994&amp;hva%5B0%5D%5Bfilter%5D%5B0%5D%5Bverdi%5D=&amp;hva%5B0%5D%5Bid%5D=478/når:2020-10-27", "Vegkart")</f>
        <v>Vegkart</v>
      </c>
      <c r="B270">
        <v>1010852624</v>
      </c>
      <c r="C270">
        <v>478</v>
      </c>
      <c r="D270" t="s">
        <v>928</v>
      </c>
      <c r="E270">
        <v>4994</v>
      </c>
      <c r="F270" t="s">
        <v>23479</v>
      </c>
      <c r="G270">
        <v>1</v>
      </c>
      <c r="H270" t="s">
        <v>112</v>
      </c>
      <c r="J270" t="s">
        <v>1030</v>
      </c>
      <c r="K270" t="s">
        <v>21</v>
      </c>
      <c r="L270" t="s">
        <v>113</v>
      </c>
      <c r="M270" t="s">
        <v>114</v>
      </c>
      <c r="N270" t="s">
        <v>1033</v>
      </c>
      <c r="O270" t="s">
        <v>1034</v>
      </c>
      <c r="P270" s="2" t="s">
        <v>165</v>
      </c>
      <c r="Q270" t="s">
        <v>1012</v>
      </c>
      <c r="R270">
        <v>0</v>
      </c>
      <c r="S270">
        <v>59.81</v>
      </c>
      <c r="T270" t="s">
        <v>167</v>
      </c>
    </row>
    <row r="271" spans="1:20" x14ac:dyDescent="0.25">
      <c r="A271" s="1" t="str">
        <f>HYPERLINK("https://vegkart.atlas.vegvesen.no/#/@48263.5,6804176.2,18/hva:hva%5B0%5D%5Bfilter%5D%5B0%5D%5Boperator%5D=%21%3D&amp;hva%5B0%5D%5Bfilter%5D%5B0%5D%5Btype_id%5D=4994&amp;hva%5B0%5D%5Bfilter%5D%5B0%5D%5Bverdi%5D=&amp;hva%5B0%5D%5Bid%5D=478/når:2020-10-27", "Vegkart")</f>
        <v>Vegkart</v>
      </c>
      <c r="B271">
        <v>1010852626</v>
      </c>
      <c r="C271">
        <v>478</v>
      </c>
      <c r="D271" t="s">
        <v>928</v>
      </c>
      <c r="E271">
        <v>4994</v>
      </c>
      <c r="F271" t="s">
        <v>23479</v>
      </c>
      <c r="G271">
        <v>1</v>
      </c>
      <c r="H271" t="s">
        <v>112</v>
      </c>
      <c r="J271" t="s">
        <v>1030</v>
      </c>
      <c r="K271" t="s">
        <v>21</v>
      </c>
      <c r="L271" t="s">
        <v>113</v>
      </c>
      <c r="M271" t="s">
        <v>114</v>
      </c>
      <c r="N271" t="s">
        <v>1031</v>
      </c>
      <c r="O271" t="s">
        <v>1032</v>
      </c>
      <c r="P271" s="2" t="s">
        <v>165</v>
      </c>
      <c r="Q271" t="s">
        <v>1012</v>
      </c>
      <c r="R271">
        <v>0</v>
      </c>
      <c r="S271">
        <v>59.81</v>
      </c>
      <c r="T271" t="s">
        <v>167</v>
      </c>
    </row>
    <row r="272" spans="1:20" x14ac:dyDescent="0.25">
      <c r="A272" s="1" t="str">
        <f>HYPERLINK("https://vegkart.atlas.vegvesen.no/#/@48077.6,6803248.0,18/hva:hva%5B0%5D%5Bfilter%5D%5B0%5D%5Boperator%5D=%21%3D&amp;hva%5B0%5D%5Bfilter%5D%5B0%5D%5Btype_id%5D=4994&amp;hva%5B0%5D%5Bfilter%5D%5B0%5D%5Bverdi%5D=&amp;hva%5B0%5D%5Bid%5D=478/når:2020-10-27", "Vegkart")</f>
        <v>Vegkart</v>
      </c>
      <c r="B272">
        <v>1010852627</v>
      </c>
      <c r="C272">
        <v>478</v>
      </c>
      <c r="D272" t="s">
        <v>928</v>
      </c>
      <c r="E272">
        <v>4994</v>
      </c>
      <c r="F272" t="s">
        <v>23479</v>
      </c>
      <c r="G272">
        <v>1</v>
      </c>
      <c r="H272" t="s">
        <v>112</v>
      </c>
      <c r="J272" t="s">
        <v>1030</v>
      </c>
      <c r="K272" t="s">
        <v>21</v>
      </c>
      <c r="L272" t="s">
        <v>113</v>
      </c>
      <c r="M272" t="s">
        <v>114</v>
      </c>
      <c r="N272" t="s">
        <v>1033</v>
      </c>
      <c r="O272" t="s">
        <v>1034</v>
      </c>
      <c r="P272" s="2" t="s">
        <v>165</v>
      </c>
      <c r="Q272" t="s">
        <v>1012</v>
      </c>
      <c r="R272">
        <v>0</v>
      </c>
      <c r="S272">
        <v>59.81</v>
      </c>
      <c r="T272" t="s">
        <v>167</v>
      </c>
    </row>
    <row r="273" spans="1:20" x14ac:dyDescent="0.25">
      <c r="A273" s="1" t="str">
        <f>HYPERLINK("https://vegkart.atlas.vegvesen.no/#/@260085.5,6689577.4,18/hva:hva%5B0%5D%5Bfilter%5D%5B0%5D%5Boperator%5D=%21%3D&amp;hva%5B0%5D%5Bfilter%5D%5B0%5D%5Btype_id%5D=8934&amp;hva%5B0%5D%5Bfilter%5D%5B0%5D%5Bverdi%5D=&amp;hva%5B0%5D%5Bid%5D=147/når:2015-11-10", "Vegkart")</f>
        <v>Vegkart</v>
      </c>
      <c r="B273">
        <v>272110633</v>
      </c>
      <c r="C273">
        <v>147</v>
      </c>
      <c r="D273" t="s">
        <v>1035</v>
      </c>
      <c r="E273">
        <v>8934</v>
      </c>
      <c r="F273" t="s">
        <v>23479</v>
      </c>
      <c r="G273">
        <v>2</v>
      </c>
      <c r="H273" t="s">
        <v>1036</v>
      </c>
      <c r="J273" t="s">
        <v>1037</v>
      </c>
      <c r="K273" t="s">
        <v>132</v>
      </c>
      <c r="L273" t="s">
        <v>80</v>
      </c>
      <c r="M273" t="s">
        <v>152</v>
      </c>
      <c r="N273" t="s">
        <v>1038</v>
      </c>
      <c r="O273" t="s">
        <v>1039</v>
      </c>
      <c r="P273" s="2" t="s">
        <v>67</v>
      </c>
      <c r="Q273" t="s">
        <v>68</v>
      </c>
      <c r="R273">
        <v>9.99</v>
      </c>
      <c r="S273">
        <v>9.99</v>
      </c>
      <c r="T273" t="s">
        <v>1040</v>
      </c>
    </row>
    <row r="274" spans="1:20" x14ac:dyDescent="0.25">
      <c r="A274" s="1" t="str">
        <f>HYPERLINK("https://vegkart.atlas.vegvesen.no/#/@85836.7,6465478.2,18/hva:hva%5B0%5D%5Bfilter%5D%5B0%5D%5Boperator%5D=%21%3D&amp;hva%5B0%5D%5Bfilter%5D%5B0%5D%5Btype_id%5D=8934&amp;hva%5B0%5D%5Bfilter%5D%5B0%5D%5Bverdi%5D=&amp;hva%5B0%5D%5Bid%5D=147/når:2012-11-23", "Vegkart")</f>
        <v>Vegkart</v>
      </c>
      <c r="B274">
        <v>369976438</v>
      </c>
      <c r="C274">
        <v>147</v>
      </c>
      <c r="D274" t="s">
        <v>1035</v>
      </c>
      <c r="E274">
        <v>8934</v>
      </c>
      <c r="F274" t="s">
        <v>23479</v>
      </c>
      <c r="G274">
        <v>1</v>
      </c>
      <c r="H274" t="s">
        <v>1041</v>
      </c>
      <c r="J274" t="s">
        <v>1037</v>
      </c>
      <c r="K274" t="s">
        <v>86</v>
      </c>
      <c r="L274" t="s">
        <v>33</v>
      </c>
      <c r="M274" t="s">
        <v>1042</v>
      </c>
      <c r="N274" t="s">
        <v>1043</v>
      </c>
      <c r="O274" t="s">
        <v>1044</v>
      </c>
      <c r="P274" s="2" t="s">
        <v>37</v>
      </c>
      <c r="Q274" t="s">
        <v>38</v>
      </c>
      <c r="R274">
        <v>0</v>
      </c>
      <c r="S274">
        <v>168.92</v>
      </c>
      <c r="T274" t="s">
        <v>1045</v>
      </c>
    </row>
    <row r="275" spans="1:20" x14ac:dyDescent="0.25">
      <c r="A275" s="1" t="str">
        <f>HYPERLINK("https://vegkart.atlas.vegvesen.no/#/@-50165.4,6615544.2,18/hva:hva%5B0%5D%5Bfilter%5D%5B0%5D%5Boperator%5D=%21%3D&amp;hva%5B0%5D%5Bfilter%5D%5B0%5D%5Btype_id%5D=8934&amp;hva%5B0%5D%5Bfilter%5D%5B0%5D%5Bverdi%5D=&amp;hva%5B0%5D%5Bid%5D=147/når:2013-06-28", "Vegkart")</f>
        <v>Vegkart</v>
      </c>
      <c r="B275">
        <v>435719726</v>
      </c>
      <c r="C275">
        <v>147</v>
      </c>
      <c r="D275" t="s">
        <v>1035</v>
      </c>
      <c r="E275">
        <v>8934</v>
      </c>
      <c r="F275" t="s">
        <v>23479</v>
      </c>
      <c r="G275">
        <v>1</v>
      </c>
      <c r="H275" t="s">
        <v>1046</v>
      </c>
      <c r="J275" t="s">
        <v>1037</v>
      </c>
      <c r="K275" t="s">
        <v>170</v>
      </c>
      <c r="L275" t="s">
        <v>33</v>
      </c>
      <c r="M275" t="s">
        <v>1047</v>
      </c>
      <c r="N275" t="s">
        <v>1048</v>
      </c>
      <c r="O275" t="s">
        <v>1049</v>
      </c>
      <c r="P275" s="2" t="s">
        <v>37</v>
      </c>
      <c r="Q275" t="s">
        <v>38</v>
      </c>
      <c r="R275">
        <v>8.77</v>
      </c>
      <c r="S275">
        <v>38.74</v>
      </c>
      <c r="T275" t="s">
        <v>1050</v>
      </c>
    </row>
    <row r="276" spans="1:20" x14ac:dyDescent="0.25">
      <c r="A276" s="1" t="str">
        <f>HYPERLINK("https://vegkart.atlas.vegvesen.no/#/@-49865.7,6615367.2,18/hva:hva%5B0%5D%5Bfilter%5D%5B0%5D%5Boperator%5D=%21%3D&amp;hva%5B0%5D%5Bfilter%5D%5B0%5D%5Btype_id%5D=8934&amp;hva%5B0%5D%5Bfilter%5D%5B0%5D%5Bverdi%5D=&amp;hva%5B0%5D%5Bid%5D=147/når:2013-06-28", "Vegkart")</f>
        <v>Vegkart</v>
      </c>
      <c r="B276">
        <v>435719727</v>
      </c>
      <c r="C276">
        <v>147</v>
      </c>
      <c r="D276" t="s">
        <v>1035</v>
      </c>
      <c r="E276">
        <v>8934</v>
      </c>
      <c r="F276" t="s">
        <v>23479</v>
      </c>
      <c r="G276">
        <v>1</v>
      </c>
      <c r="H276" t="s">
        <v>1046</v>
      </c>
      <c r="J276" t="s">
        <v>1037</v>
      </c>
      <c r="K276" t="s">
        <v>170</v>
      </c>
      <c r="L276" t="s">
        <v>33</v>
      </c>
      <c r="M276" t="s">
        <v>1047</v>
      </c>
      <c r="N276" t="s">
        <v>1051</v>
      </c>
      <c r="O276" t="s">
        <v>1052</v>
      </c>
      <c r="P276" s="2" t="s">
        <v>37</v>
      </c>
      <c r="Q276" t="s">
        <v>38</v>
      </c>
      <c r="R276">
        <v>3.83</v>
      </c>
      <c r="S276">
        <v>9.4700000000000006</v>
      </c>
      <c r="T276" t="s">
        <v>1053</v>
      </c>
    </row>
    <row r="277" spans="1:20" x14ac:dyDescent="0.25">
      <c r="A277" s="1" t="str">
        <f>HYPERLINK("https://vegkart.atlas.vegvesen.no/#/@-49519.1,6615230.4,18/hva:hva%5B0%5D%5Bfilter%5D%5B0%5D%5Boperator%5D=%21%3D&amp;hva%5B0%5D%5Bfilter%5D%5B0%5D%5Btype_id%5D=8934&amp;hva%5B0%5D%5Bfilter%5D%5B0%5D%5Bverdi%5D=&amp;hva%5B0%5D%5Bid%5D=147/når:2013-06-28", "Vegkart")</f>
        <v>Vegkart</v>
      </c>
      <c r="B277">
        <v>435719728</v>
      </c>
      <c r="C277">
        <v>147</v>
      </c>
      <c r="D277" t="s">
        <v>1035</v>
      </c>
      <c r="E277">
        <v>8934</v>
      </c>
      <c r="F277" t="s">
        <v>23479</v>
      </c>
      <c r="G277">
        <v>1</v>
      </c>
      <c r="H277" t="s">
        <v>1046</v>
      </c>
      <c r="J277" t="s">
        <v>1037</v>
      </c>
      <c r="K277" t="s">
        <v>170</v>
      </c>
      <c r="L277" t="s">
        <v>33</v>
      </c>
      <c r="M277" t="s">
        <v>1047</v>
      </c>
      <c r="N277" t="s">
        <v>1054</v>
      </c>
      <c r="O277" t="s">
        <v>1055</v>
      </c>
      <c r="P277" s="2" t="s">
        <v>37</v>
      </c>
      <c r="Q277" t="s">
        <v>38</v>
      </c>
      <c r="R277">
        <v>3.83</v>
      </c>
      <c r="S277">
        <v>9.48</v>
      </c>
      <c r="T277" t="s">
        <v>1056</v>
      </c>
    </row>
    <row r="278" spans="1:20" x14ac:dyDescent="0.25">
      <c r="A278" s="1" t="str">
        <f>HYPERLINK("https://vegkart.atlas.vegvesen.no/#/@-49184.2,6615218.4,18/hva:hva%5B0%5D%5Bfilter%5D%5B0%5D%5Boperator%5D=%21%3D&amp;hva%5B0%5D%5Bfilter%5D%5B0%5D%5Btype_id%5D=8934&amp;hva%5B0%5D%5Bfilter%5D%5B0%5D%5Bverdi%5D=&amp;hva%5B0%5D%5Bid%5D=147/når:2013-06-28", "Vegkart")</f>
        <v>Vegkart</v>
      </c>
      <c r="B278">
        <v>435719729</v>
      </c>
      <c r="C278">
        <v>147</v>
      </c>
      <c r="D278" t="s">
        <v>1035</v>
      </c>
      <c r="E278">
        <v>8934</v>
      </c>
      <c r="F278" t="s">
        <v>23479</v>
      </c>
      <c r="G278">
        <v>1</v>
      </c>
      <c r="H278" t="s">
        <v>1046</v>
      </c>
      <c r="J278" t="s">
        <v>1037</v>
      </c>
      <c r="K278" t="s">
        <v>170</v>
      </c>
      <c r="L278" t="s">
        <v>33</v>
      </c>
      <c r="M278" t="s">
        <v>1047</v>
      </c>
      <c r="N278" t="s">
        <v>1057</v>
      </c>
      <c r="O278" t="s">
        <v>1058</v>
      </c>
      <c r="P278" s="2" t="s">
        <v>67</v>
      </c>
      <c r="Q278" t="s">
        <v>68</v>
      </c>
      <c r="R278">
        <v>12.53</v>
      </c>
      <c r="S278">
        <v>161.52000000000001</v>
      </c>
      <c r="T278" t="s">
        <v>1059</v>
      </c>
    </row>
    <row r="279" spans="1:20" x14ac:dyDescent="0.25">
      <c r="A279" s="1" t="str">
        <f>HYPERLINK("https://vegkart.atlas.vegvesen.no/#/@-48102.8,6614939.5,18/hva:hva%5B0%5D%5Bfilter%5D%5B0%5D%5Boperator%5D=%21%3D&amp;hva%5B0%5D%5Bfilter%5D%5B0%5D%5Btype_id%5D=8934&amp;hva%5B0%5D%5Bfilter%5D%5B0%5D%5Bverdi%5D=&amp;hva%5B0%5D%5Bid%5D=147/når:2013-06-28", "Vegkart")</f>
        <v>Vegkart</v>
      </c>
      <c r="B279">
        <v>435719730</v>
      </c>
      <c r="C279">
        <v>147</v>
      </c>
      <c r="D279" t="s">
        <v>1035</v>
      </c>
      <c r="E279">
        <v>8934</v>
      </c>
      <c r="F279" t="s">
        <v>23479</v>
      </c>
      <c r="G279">
        <v>1</v>
      </c>
      <c r="H279" t="s">
        <v>1046</v>
      </c>
      <c r="J279" t="s">
        <v>1037</v>
      </c>
      <c r="K279" t="s">
        <v>170</v>
      </c>
      <c r="L279" t="s">
        <v>33</v>
      </c>
      <c r="M279" t="s">
        <v>1047</v>
      </c>
      <c r="N279" t="s">
        <v>1060</v>
      </c>
      <c r="O279" t="s">
        <v>1061</v>
      </c>
      <c r="P279" s="2" t="s">
        <v>37</v>
      </c>
      <c r="Q279" t="s">
        <v>38</v>
      </c>
      <c r="R279">
        <v>9.74</v>
      </c>
      <c r="S279">
        <v>25.62</v>
      </c>
      <c r="T279" t="s">
        <v>1062</v>
      </c>
    </row>
    <row r="280" spans="1:20" x14ac:dyDescent="0.25">
      <c r="A280" s="1" t="str">
        <f>HYPERLINK("https://vegkart.atlas.vegvesen.no/#/@-50717.4,6615985.6,18/hva:hva%5B0%5D%5Bfilter%5D%5B0%5D%5Boperator%5D=%21%3D&amp;hva%5B0%5D%5Bfilter%5D%5B0%5D%5Btype_id%5D=8934&amp;hva%5B0%5D%5Bfilter%5D%5B0%5D%5Bverdi%5D=&amp;hva%5B0%5D%5Bid%5D=147/når:2013-06-28", "Vegkart")</f>
        <v>Vegkart</v>
      </c>
      <c r="B280">
        <v>435719731</v>
      </c>
      <c r="C280">
        <v>147</v>
      </c>
      <c r="D280" t="s">
        <v>1035</v>
      </c>
      <c r="E280">
        <v>8934</v>
      </c>
      <c r="F280" t="s">
        <v>23479</v>
      </c>
      <c r="G280">
        <v>1</v>
      </c>
      <c r="H280" t="s">
        <v>1046</v>
      </c>
      <c r="J280" t="s">
        <v>1037</v>
      </c>
      <c r="K280" t="s">
        <v>170</v>
      </c>
      <c r="L280" t="s">
        <v>33</v>
      </c>
      <c r="M280" t="s">
        <v>1047</v>
      </c>
      <c r="N280" t="s">
        <v>1063</v>
      </c>
      <c r="O280" t="s">
        <v>1064</v>
      </c>
      <c r="P280" s="2" t="s">
        <v>37</v>
      </c>
      <c r="Q280" t="s">
        <v>38</v>
      </c>
      <c r="R280">
        <v>3.85</v>
      </c>
      <c r="S280">
        <v>9.4600000000000009</v>
      </c>
      <c r="T280" t="s">
        <v>1065</v>
      </c>
    </row>
    <row r="281" spans="1:20" x14ac:dyDescent="0.25">
      <c r="A281" s="1" t="str">
        <f>HYPERLINK("https://vegkart.atlas.vegvesen.no/#/@-50416.9,6615800.1,18/hva:hva%5B0%5D%5Bfilter%5D%5B0%5D%5Boperator%5D=%21%3D&amp;hva%5B0%5D%5Bfilter%5D%5B0%5D%5Btype_id%5D=8934&amp;hva%5B0%5D%5Bfilter%5D%5B0%5D%5Bverdi%5D=&amp;hva%5B0%5D%5Bid%5D=147/når:2013-06-28", "Vegkart")</f>
        <v>Vegkart</v>
      </c>
      <c r="B281">
        <v>435719732</v>
      </c>
      <c r="C281">
        <v>147</v>
      </c>
      <c r="D281" t="s">
        <v>1035</v>
      </c>
      <c r="E281">
        <v>8934</v>
      </c>
      <c r="F281" t="s">
        <v>23479</v>
      </c>
      <c r="G281">
        <v>1</v>
      </c>
      <c r="H281" t="s">
        <v>1046</v>
      </c>
      <c r="J281" t="s">
        <v>1037</v>
      </c>
      <c r="K281" t="s">
        <v>170</v>
      </c>
      <c r="L281" t="s">
        <v>33</v>
      </c>
      <c r="M281" t="s">
        <v>1047</v>
      </c>
      <c r="N281" t="s">
        <v>1066</v>
      </c>
      <c r="O281" t="s">
        <v>1067</v>
      </c>
      <c r="P281" s="2" t="s">
        <v>37</v>
      </c>
      <c r="Q281" t="s">
        <v>38</v>
      </c>
      <c r="R281">
        <v>3.84</v>
      </c>
      <c r="S281">
        <v>9.49</v>
      </c>
      <c r="T281" t="s">
        <v>1068</v>
      </c>
    </row>
    <row r="282" spans="1:20" x14ac:dyDescent="0.25">
      <c r="A282" s="1" t="str">
        <f>HYPERLINK("https://vegkart.atlas.vegvesen.no/#/@-50410.3,6615795.3,18/hva:hva%5B0%5D%5Bfilter%5D%5B0%5D%5Boperator%5D=%21%3D&amp;hva%5B0%5D%5Bfilter%5D%5B0%5D%5Btype_id%5D=8934&amp;hva%5B0%5D%5Bfilter%5D%5B0%5D%5Bverdi%5D=&amp;hva%5B0%5D%5Bid%5D=147/når:2013-06-28", "Vegkart")</f>
        <v>Vegkart</v>
      </c>
      <c r="B282">
        <v>435719733</v>
      </c>
      <c r="C282">
        <v>147</v>
      </c>
      <c r="D282" t="s">
        <v>1035</v>
      </c>
      <c r="E282">
        <v>8934</v>
      </c>
      <c r="F282" t="s">
        <v>23479</v>
      </c>
      <c r="G282">
        <v>1</v>
      </c>
      <c r="H282" t="s">
        <v>1046</v>
      </c>
      <c r="J282" t="s">
        <v>1037</v>
      </c>
      <c r="K282" t="s">
        <v>170</v>
      </c>
      <c r="L282" t="s">
        <v>33</v>
      </c>
      <c r="M282" t="s">
        <v>1047</v>
      </c>
      <c r="N282" t="s">
        <v>1069</v>
      </c>
      <c r="O282" t="s">
        <v>1070</v>
      </c>
      <c r="P282" s="2" t="s">
        <v>37</v>
      </c>
      <c r="Q282" t="s">
        <v>38</v>
      </c>
      <c r="R282">
        <v>4.01</v>
      </c>
      <c r="S282">
        <v>12.19</v>
      </c>
      <c r="T282" t="s">
        <v>1071</v>
      </c>
    </row>
    <row r="283" spans="1:20" x14ac:dyDescent="0.25">
      <c r="A283" s="1" t="str">
        <f>HYPERLINK("https://vegkart.atlas.vegvesen.no/#/@-48821.0,6615143.6,18/hva:hva%5B0%5D%5Bfilter%5D%5B0%5D%5Boperator%5D=%21%3D&amp;hva%5B0%5D%5Bfilter%5D%5B0%5D%5Btype_id%5D=8934&amp;hva%5B0%5D%5Bfilter%5D%5B0%5D%5Bverdi%5D=&amp;hva%5B0%5D%5Bid%5D=147/når:2013-06-28", "Vegkart")</f>
        <v>Vegkart</v>
      </c>
      <c r="B283">
        <v>435719734</v>
      </c>
      <c r="C283">
        <v>147</v>
      </c>
      <c r="D283" t="s">
        <v>1035</v>
      </c>
      <c r="E283">
        <v>8934</v>
      </c>
      <c r="F283" t="s">
        <v>23479</v>
      </c>
      <c r="G283">
        <v>1</v>
      </c>
      <c r="H283" t="s">
        <v>1046</v>
      </c>
      <c r="J283" t="s">
        <v>1037</v>
      </c>
      <c r="K283" t="s">
        <v>170</v>
      </c>
      <c r="L283" t="s">
        <v>33</v>
      </c>
      <c r="M283" t="s">
        <v>1047</v>
      </c>
      <c r="N283" t="s">
        <v>1072</v>
      </c>
      <c r="O283" t="s">
        <v>1073</v>
      </c>
      <c r="P283" s="2" t="s">
        <v>37</v>
      </c>
      <c r="Q283" t="s">
        <v>38</v>
      </c>
      <c r="R283">
        <v>7.85</v>
      </c>
      <c r="S283">
        <v>15.62</v>
      </c>
      <c r="T283" t="s">
        <v>1074</v>
      </c>
    </row>
    <row r="284" spans="1:20" x14ac:dyDescent="0.25">
      <c r="A284" s="1" t="str">
        <f>HYPERLINK("https://vegkart.atlas.vegvesen.no/#/@-48454.8,6615062.4,18/hva:hva%5B0%5D%5Bfilter%5D%5B0%5D%5Boperator%5D=%21%3D&amp;hva%5B0%5D%5Bfilter%5D%5B0%5D%5Btype_id%5D=8934&amp;hva%5B0%5D%5Bfilter%5D%5B0%5D%5Bverdi%5D=&amp;hva%5B0%5D%5Bid%5D=147/når:2013-06-28", "Vegkart")</f>
        <v>Vegkart</v>
      </c>
      <c r="B284">
        <v>435719735</v>
      </c>
      <c r="C284">
        <v>147</v>
      </c>
      <c r="D284" t="s">
        <v>1035</v>
      </c>
      <c r="E284">
        <v>8934</v>
      </c>
      <c r="F284" t="s">
        <v>23479</v>
      </c>
      <c r="G284">
        <v>1</v>
      </c>
      <c r="H284" t="s">
        <v>1046</v>
      </c>
      <c r="J284" t="s">
        <v>1037</v>
      </c>
      <c r="K284" t="s">
        <v>170</v>
      </c>
      <c r="L284" t="s">
        <v>33</v>
      </c>
      <c r="M284" t="s">
        <v>1047</v>
      </c>
      <c r="N284" t="s">
        <v>1075</v>
      </c>
      <c r="O284" t="s">
        <v>1076</v>
      </c>
      <c r="P284" s="2" t="s">
        <v>37</v>
      </c>
      <c r="Q284" t="s">
        <v>38</v>
      </c>
      <c r="R284">
        <v>3.82</v>
      </c>
      <c r="S284">
        <v>9.4499999999999993</v>
      </c>
      <c r="T284" t="s">
        <v>1077</v>
      </c>
    </row>
    <row r="285" spans="1:20" x14ac:dyDescent="0.25">
      <c r="A285" s="1" t="str">
        <f>HYPERLINK("https://vegkart.atlas.vegvesen.no/#/@-47734.6,6614881.6,18/hva:hva%5B0%5D%5Bfilter%5D%5B0%5D%5Boperator%5D=%21%3D&amp;hva%5B0%5D%5Bfilter%5D%5B0%5D%5Btype_id%5D=8934&amp;hva%5B0%5D%5Bfilter%5D%5B0%5D%5Bverdi%5D=&amp;hva%5B0%5D%5Bid%5D=147/når:2013-06-28", "Vegkart")</f>
        <v>Vegkart</v>
      </c>
      <c r="B285">
        <v>435719736</v>
      </c>
      <c r="C285">
        <v>147</v>
      </c>
      <c r="D285" t="s">
        <v>1035</v>
      </c>
      <c r="E285">
        <v>8934</v>
      </c>
      <c r="F285" t="s">
        <v>23479</v>
      </c>
      <c r="G285">
        <v>1</v>
      </c>
      <c r="H285" t="s">
        <v>1046</v>
      </c>
      <c r="J285" t="s">
        <v>1037</v>
      </c>
      <c r="K285" t="s">
        <v>170</v>
      </c>
      <c r="L285" t="s">
        <v>33</v>
      </c>
      <c r="M285" t="s">
        <v>1047</v>
      </c>
      <c r="N285" t="s">
        <v>1078</v>
      </c>
      <c r="O285" t="s">
        <v>1079</v>
      </c>
      <c r="P285" s="2" t="s">
        <v>37</v>
      </c>
      <c r="Q285" t="s">
        <v>38</v>
      </c>
      <c r="R285">
        <v>3.81</v>
      </c>
      <c r="S285">
        <v>9.43</v>
      </c>
      <c r="T285" t="s">
        <v>1080</v>
      </c>
    </row>
    <row r="286" spans="1:20" x14ac:dyDescent="0.25">
      <c r="A286" s="1" t="str">
        <f>HYPERLINK("https://vegkart.atlas.vegvesen.no/#/@-47066.4,6614470.2,18/hva:hva%5B0%5D%5Bfilter%5D%5B0%5D%5Boperator%5D=%21%3D&amp;hva%5B0%5D%5Bfilter%5D%5B0%5D%5Btype_id%5D=8934&amp;hva%5B0%5D%5Bfilter%5D%5B0%5D%5Bverdi%5D=&amp;hva%5B0%5D%5Bid%5D=147/når:2013-06-28", "Vegkart")</f>
        <v>Vegkart</v>
      </c>
      <c r="B286">
        <v>435719738</v>
      </c>
      <c r="C286">
        <v>147</v>
      </c>
      <c r="D286" t="s">
        <v>1035</v>
      </c>
      <c r="E286">
        <v>8934</v>
      </c>
      <c r="F286" t="s">
        <v>23479</v>
      </c>
      <c r="G286">
        <v>1</v>
      </c>
      <c r="H286" t="s">
        <v>1046</v>
      </c>
      <c r="J286" t="s">
        <v>1037</v>
      </c>
      <c r="K286" t="s">
        <v>170</v>
      </c>
      <c r="L286" t="s">
        <v>33</v>
      </c>
      <c r="M286" t="s">
        <v>1047</v>
      </c>
      <c r="N286" t="s">
        <v>1081</v>
      </c>
      <c r="O286" t="s">
        <v>1082</v>
      </c>
      <c r="P286" s="2" t="s">
        <v>37</v>
      </c>
      <c r="Q286" t="s">
        <v>38</v>
      </c>
      <c r="R286">
        <v>3.83</v>
      </c>
      <c r="S286">
        <v>9.4499999999999993</v>
      </c>
      <c r="T286" t="s">
        <v>1083</v>
      </c>
    </row>
    <row r="287" spans="1:20" x14ac:dyDescent="0.25">
      <c r="A287" s="1" t="str">
        <f>HYPERLINK("https://vegkart.atlas.vegvesen.no/#/@-46740.3,6614241.9,18/hva:hva%5B0%5D%5Bfilter%5D%5B0%5D%5Boperator%5D=%21%3D&amp;hva%5B0%5D%5Bfilter%5D%5B0%5D%5Btype_id%5D=8934&amp;hva%5B0%5D%5Bfilter%5D%5B0%5D%5Bverdi%5D=&amp;hva%5B0%5D%5Bid%5D=147/når:2013-06-28", "Vegkart")</f>
        <v>Vegkart</v>
      </c>
      <c r="B287">
        <v>435719739</v>
      </c>
      <c r="C287">
        <v>147</v>
      </c>
      <c r="D287" t="s">
        <v>1035</v>
      </c>
      <c r="E287">
        <v>8934</v>
      </c>
      <c r="F287" t="s">
        <v>23479</v>
      </c>
      <c r="G287">
        <v>1</v>
      </c>
      <c r="H287" t="s">
        <v>1046</v>
      </c>
      <c r="J287" t="s">
        <v>1037</v>
      </c>
      <c r="K287" t="s">
        <v>170</v>
      </c>
      <c r="L287" t="s">
        <v>33</v>
      </c>
      <c r="M287" t="s">
        <v>1047</v>
      </c>
      <c r="N287" t="s">
        <v>1084</v>
      </c>
      <c r="O287" t="s">
        <v>1085</v>
      </c>
      <c r="P287" s="2" t="s">
        <v>37</v>
      </c>
      <c r="Q287" t="s">
        <v>38</v>
      </c>
      <c r="R287">
        <v>7.63</v>
      </c>
      <c r="S287">
        <v>10.36</v>
      </c>
      <c r="T287" t="s">
        <v>1086</v>
      </c>
    </row>
    <row r="288" spans="1:20" x14ac:dyDescent="0.25">
      <c r="A288" s="1" t="str">
        <f>HYPERLINK("https://vegkart.atlas.vegvesen.no/#/@-45589.1,6614012.5,18/hva:hva%5B0%5D%5Bfilter%5D%5B0%5D%5Boperator%5D=%21%3D&amp;hva%5B0%5D%5Bfilter%5D%5B0%5D%5Btype_id%5D=8934&amp;hva%5B0%5D%5Bfilter%5D%5B0%5D%5Bverdi%5D=&amp;hva%5B0%5D%5Bid%5D=147/når:2013-06-28", "Vegkart")</f>
        <v>Vegkart</v>
      </c>
      <c r="B288">
        <v>435719740</v>
      </c>
      <c r="C288">
        <v>147</v>
      </c>
      <c r="D288" t="s">
        <v>1035</v>
      </c>
      <c r="E288">
        <v>8934</v>
      </c>
      <c r="F288" t="s">
        <v>23479</v>
      </c>
      <c r="G288">
        <v>1</v>
      </c>
      <c r="H288" t="s">
        <v>1046</v>
      </c>
      <c r="J288" t="s">
        <v>1037</v>
      </c>
      <c r="K288" t="s">
        <v>170</v>
      </c>
      <c r="L288" t="s">
        <v>33</v>
      </c>
      <c r="M288" t="s">
        <v>1047</v>
      </c>
      <c r="N288" t="s">
        <v>1087</v>
      </c>
      <c r="O288" t="s">
        <v>1088</v>
      </c>
      <c r="P288" s="2" t="s">
        <v>37</v>
      </c>
      <c r="Q288" t="s">
        <v>38</v>
      </c>
      <c r="R288">
        <v>7.23</v>
      </c>
      <c r="S288">
        <v>13.36</v>
      </c>
      <c r="T288" t="s">
        <v>1089</v>
      </c>
    </row>
    <row r="289" spans="1:20" x14ac:dyDescent="0.25">
      <c r="A289" s="1" t="str">
        <f>HYPERLINK("https://vegkart.atlas.vegvesen.no/#/@-46345.9,6614078.4,18/hva:hva%5B0%5D%5Bfilter%5D%5B0%5D%5Boperator%5D=%21%3D&amp;hva%5B0%5D%5Bfilter%5D%5B0%5D%5Btype_id%5D=8934&amp;hva%5B0%5D%5Bfilter%5D%5B0%5D%5Bverdi%5D=&amp;hva%5B0%5D%5Bid%5D=147/når:2013-06-28", "Vegkart")</f>
        <v>Vegkart</v>
      </c>
      <c r="B289">
        <v>435719741</v>
      </c>
      <c r="C289">
        <v>147</v>
      </c>
      <c r="D289" t="s">
        <v>1035</v>
      </c>
      <c r="E289">
        <v>8934</v>
      </c>
      <c r="F289" t="s">
        <v>23479</v>
      </c>
      <c r="G289">
        <v>1</v>
      </c>
      <c r="H289" t="s">
        <v>1046</v>
      </c>
      <c r="J289" t="s">
        <v>1037</v>
      </c>
      <c r="K289" t="s">
        <v>170</v>
      </c>
      <c r="L289" t="s">
        <v>33</v>
      </c>
      <c r="M289" t="s">
        <v>1047</v>
      </c>
      <c r="N289" t="s">
        <v>1090</v>
      </c>
      <c r="O289" t="s">
        <v>1091</v>
      </c>
      <c r="P289" s="2" t="s">
        <v>37</v>
      </c>
      <c r="Q289" t="s">
        <v>38</v>
      </c>
      <c r="R289">
        <v>3.72</v>
      </c>
      <c r="S289">
        <v>9.08</v>
      </c>
      <c r="T289" t="s">
        <v>1092</v>
      </c>
    </row>
    <row r="290" spans="1:20" x14ac:dyDescent="0.25">
      <c r="A290" s="1" t="str">
        <f>HYPERLINK("https://vegkart.atlas.vegvesen.no/#/@-44883.9,6614028.5,18/hva:hva%5B0%5D%5Bfilter%5D%5B0%5D%5Boperator%5D=%21%3D&amp;hva%5B0%5D%5Bfilter%5D%5B0%5D%5Btype_id%5D=8934&amp;hva%5B0%5D%5Bfilter%5D%5B0%5D%5Bverdi%5D=&amp;hva%5B0%5D%5Bid%5D=147/når:2013-06-28", "Vegkart")</f>
        <v>Vegkart</v>
      </c>
      <c r="B290">
        <v>435719742</v>
      </c>
      <c r="C290">
        <v>147</v>
      </c>
      <c r="D290" t="s">
        <v>1035</v>
      </c>
      <c r="E290">
        <v>8934</v>
      </c>
      <c r="F290" t="s">
        <v>23479</v>
      </c>
      <c r="G290">
        <v>1</v>
      </c>
      <c r="H290" t="s">
        <v>1046</v>
      </c>
      <c r="J290" t="s">
        <v>1037</v>
      </c>
      <c r="K290" t="s">
        <v>170</v>
      </c>
      <c r="L290" t="s">
        <v>33</v>
      </c>
      <c r="M290" t="s">
        <v>1047</v>
      </c>
      <c r="N290" t="s">
        <v>1093</v>
      </c>
      <c r="O290" t="s">
        <v>1094</v>
      </c>
      <c r="P290" s="2" t="s">
        <v>37</v>
      </c>
      <c r="Q290" t="s">
        <v>38</v>
      </c>
      <c r="R290">
        <v>9.57</v>
      </c>
      <c r="S290">
        <v>25.58</v>
      </c>
      <c r="T290" t="s">
        <v>1095</v>
      </c>
    </row>
    <row r="291" spans="1:20" x14ac:dyDescent="0.25">
      <c r="A291" s="1" t="str">
        <f>HYPERLINK("https://vegkart.atlas.vegvesen.no/#/@-45935.6,6614072.4,18/hva:hva%5B0%5D%5Bfilter%5D%5B0%5D%5Boperator%5D=%21%3D&amp;hva%5B0%5D%5Bfilter%5D%5B0%5D%5Btype_id%5D=8934&amp;hva%5B0%5D%5Bfilter%5D%5B0%5D%5Bverdi%5D=&amp;hva%5B0%5D%5Bid%5D=147/når:2013-06-28", "Vegkart")</f>
        <v>Vegkart</v>
      </c>
      <c r="B291">
        <v>435719743</v>
      </c>
      <c r="C291">
        <v>147</v>
      </c>
      <c r="D291" t="s">
        <v>1035</v>
      </c>
      <c r="E291">
        <v>8934</v>
      </c>
      <c r="F291" t="s">
        <v>23479</v>
      </c>
      <c r="G291">
        <v>1</v>
      </c>
      <c r="H291" t="s">
        <v>1046</v>
      </c>
      <c r="J291" t="s">
        <v>1037</v>
      </c>
      <c r="K291" t="s">
        <v>170</v>
      </c>
      <c r="L291" t="s">
        <v>33</v>
      </c>
      <c r="M291" t="s">
        <v>1047</v>
      </c>
      <c r="N291" t="s">
        <v>1096</v>
      </c>
      <c r="O291" t="s">
        <v>1097</v>
      </c>
      <c r="P291" s="2" t="s">
        <v>67</v>
      </c>
      <c r="Q291" t="s">
        <v>68</v>
      </c>
      <c r="R291">
        <v>12.94</v>
      </c>
      <c r="S291">
        <v>166.84</v>
      </c>
      <c r="T291" t="s">
        <v>1098</v>
      </c>
    </row>
    <row r="292" spans="1:20" x14ac:dyDescent="0.25">
      <c r="A292" s="1" t="str">
        <f>HYPERLINK("https://vegkart.atlas.vegvesen.no/#/@-44181.3,6614050.5,18/hva:hva%5B0%5D%5Bfilter%5D%5B0%5D%5Boperator%5D=%21%3D&amp;hva%5B0%5D%5Bfilter%5D%5B0%5D%5Btype_id%5D=8934&amp;hva%5B0%5D%5Bfilter%5D%5B0%5D%5Bverdi%5D=&amp;hva%5B0%5D%5Bid%5D=147/når:2013-06-28", "Vegkart")</f>
        <v>Vegkart</v>
      </c>
      <c r="B292">
        <v>435719744</v>
      </c>
      <c r="C292">
        <v>147</v>
      </c>
      <c r="D292" t="s">
        <v>1035</v>
      </c>
      <c r="E292">
        <v>8934</v>
      </c>
      <c r="F292" t="s">
        <v>23479</v>
      </c>
      <c r="G292">
        <v>1</v>
      </c>
      <c r="H292" t="s">
        <v>1046</v>
      </c>
      <c r="J292" t="s">
        <v>1037</v>
      </c>
      <c r="K292" t="s">
        <v>170</v>
      </c>
      <c r="L292" t="s">
        <v>33</v>
      </c>
      <c r="M292" t="s">
        <v>1047</v>
      </c>
      <c r="N292" t="s">
        <v>1099</v>
      </c>
      <c r="O292" t="s">
        <v>1100</v>
      </c>
      <c r="P292" s="2" t="s">
        <v>37</v>
      </c>
      <c r="Q292" t="s">
        <v>38</v>
      </c>
      <c r="R292">
        <v>3.71</v>
      </c>
      <c r="S292">
        <v>9.14</v>
      </c>
      <c r="T292" t="s">
        <v>1101</v>
      </c>
    </row>
    <row r="293" spans="1:20" x14ac:dyDescent="0.25">
      <c r="A293" s="1" t="str">
        <f>HYPERLINK("https://vegkart.atlas.vegvesen.no/#/@-45235.8,6614045.0,18/hva:hva%5B0%5D%5Bfilter%5D%5B0%5D%5Boperator%5D=%21%3D&amp;hva%5B0%5D%5Bfilter%5D%5B0%5D%5Btype_id%5D=8934&amp;hva%5B0%5D%5Bfilter%5D%5B0%5D%5Bverdi%5D=&amp;hva%5B0%5D%5Bid%5D=147/når:2013-06-28", "Vegkart")</f>
        <v>Vegkart</v>
      </c>
      <c r="B293">
        <v>435719745</v>
      </c>
      <c r="C293">
        <v>147</v>
      </c>
      <c r="D293" t="s">
        <v>1035</v>
      </c>
      <c r="E293">
        <v>8934</v>
      </c>
      <c r="F293" t="s">
        <v>23479</v>
      </c>
      <c r="G293">
        <v>1</v>
      </c>
      <c r="H293" t="s">
        <v>1046</v>
      </c>
      <c r="J293" t="s">
        <v>1037</v>
      </c>
      <c r="K293" t="s">
        <v>170</v>
      </c>
      <c r="L293" t="s">
        <v>33</v>
      </c>
      <c r="M293" t="s">
        <v>1047</v>
      </c>
      <c r="N293" t="s">
        <v>1102</v>
      </c>
      <c r="O293" t="s">
        <v>1103</v>
      </c>
      <c r="P293" s="2" t="s">
        <v>67</v>
      </c>
      <c r="Q293" t="s">
        <v>68</v>
      </c>
      <c r="R293">
        <v>10.11</v>
      </c>
      <c r="S293">
        <v>11.91</v>
      </c>
      <c r="T293" t="s">
        <v>1104</v>
      </c>
    </row>
    <row r="294" spans="1:20" x14ac:dyDescent="0.25">
      <c r="A294" s="1" t="str">
        <f>HYPERLINK("https://vegkart.atlas.vegvesen.no/#/@-44533.4,6614063.6,18/hva:hva%5B0%5D%5Bfilter%5D%5B0%5D%5Boperator%5D=%21%3D&amp;hva%5B0%5D%5Bfilter%5D%5B0%5D%5Btype_id%5D=8934&amp;hva%5B0%5D%5Bfilter%5D%5B0%5D%5Bverdi%5D=&amp;hva%5B0%5D%5Bid%5D=147/når:2013-06-28", "Vegkart")</f>
        <v>Vegkart</v>
      </c>
      <c r="B294">
        <v>435719746</v>
      </c>
      <c r="C294">
        <v>147</v>
      </c>
      <c r="D294" t="s">
        <v>1035</v>
      </c>
      <c r="E294">
        <v>8934</v>
      </c>
      <c r="F294" t="s">
        <v>23479</v>
      </c>
      <c r="G294">
        <v>1</v>
      </c>
      <c r="H294" t="s">
        <v>1046</v>
      </c>
      <c r="J294" t="s">
        <v>1037</v>
      </c>
      <c r="K294" t="s">
        <v>170</v>
      </c>
      <c r="L294" t="s">
        <v>33</v>
      </c>
      <c r="M294" t="s">
        <v>1047</v>
      </c>
      <c r="N294" t="s">
        <v>1105</v>
      </c>
      <c r="O294" t="s">
        <v>1106</v>
      </c>
      <c r="P294" s="2" t="s">
        <v>37</v>
      </c>
      <c r="Q294" t="s">
        <v>38</v>
      </c>
      <c r="R294">
        <v>9.11</v>
      </c>
      <c r="S294">
        <v>11.19</v>
      </c>
      <c r="T294" t="s">
        <v>1107</v>
      </c>
    </row>
    <row r="295" spans="1:20" x14ac:dyDescent="0.25">
      <c r="A295" s="1" t="str">
        <f>HYPERLINK("https://vegkart.atlas.vegvesen.no/#/@-47271.7,6614922.7,18/hva:hva%5B0%5D%5Bfilter%5D%5B0%5D%5Boperator%5D=%21%3D&amp;hva%5B0%5D%5Bfilter%5D%5B0%5D%5Btype_id%5D=8934&amp;hva%5B0%5D%5Bfilter%5D%5B0%5D%5Bverdi%5D=&amp;hva%5B0%5D%5Bid%5D=147/når:2013-06-28", "Vegkart")</f>
        <v>Vegkart</v>
      </c>
      <c r="B295">
        <v>435719747</v>
      </c>
      <c r="C295">
        <v>147</v>
      </c>
      <c r="D295" t="s">
        <v>1035</v>
      </c>
      <c r="E295">
        <v>8934</v>
      </c>
      <c r="F295" t="s">
        <v>23479</v>
      </c>
      <c r="G295">
        <v>1</v>
      </c>
      <c r="H295" t="s">
        <v>1046</v>
      </c>
      <c r="J295" t="s">
        <v>1037</v>
      </c>
      <c r="K295" t="s">
        <v>170</v>
      </c>
      <c r="L295" t="s">
        <v>33</v>
      </c>
      <c r="M295" t="s">
        <v>1108</v>
      </c>
      <c r="N295" t="s">
        <v>1109</v>
      </c>
      <c r="O295" t="s">
        <v>1110</v>
      </c>
      <c r="P295" s="2" t="s">
        <v>37</v>
      </c>
      <c r="Q295" t="s">
        <v>38</v>
      </c>
      <c r="R295">
        <v>3.13</v>
      </c>
      <c r="S295">
        <v>8.75</v>
      </c>
      <c r="T295" t="s">
        <v>1111</v>
      </c>
    </row>
    <row r="296" spans="1:20" x14ac:dyDescent="0.25">
      <c r="A296" s="1" t="str">
        <f>HYPERLINK("https://vegkart.atlas.vegvesen.no/#/@-47040.4,6615107.8,18/hva:hva%5B0%5D%5Bfilter%5D%5B0%5D%5Boperator%5D=%21%3D&amp;hva%5B0%5D%5Bfilter%5D%5B0%5D%5Btype_id%5D=8934&amp;hva%5B0%5D%5Bfilter%5D%5B0%5D%5Bverdi%5D=&amp;hva%5B0%5D%5Bid%5D=147/når:2013-06-28", "Vegkart")</f>
        <v>Vegkart</v>
      </c>
      <c r="B296">
        <v>435719748</v>
      </c>
      <c r="C296">
        <v>147</v>
      </c>
      <c r="D296" t="s">
        <v>1035</v>
      </c>
      <c r="E296">
        <v>8934</v>
      </c>
      <c r="F296" t="s">
        <v>23479</v>
      </c>
      <c r="G296">
        <v>1</v>
      </c>
      <c r="H296" t="s">
        <v>1046</v>
      </c>
      <c r="J296" t="s">
        <v>1037</v>
      </c>
      <c r="K296" t="s">
        <v>170</v>
      </c>
      <c r="L296" t="s">
        <v>33</v>
      </c>
      <c r="M296" t="s">
        <v>1108</v>
      </c>
      <c r="N296" t="s">
        <v>1112</v>
      </c>
      <c r="O296" t="s">
        <v>1113</v>
      </c>
      <c r="P296" s="2" t="s">
        <v>37</v>
      </c>
      <c r="Q296" t="s">
        <v>38</v>
      </c>
      <c r="R296">
        <v>3.04</v>
      </c>
      <c r="S296">
        <v>8.76</v>
      </c>
      <c r="T296" t="s">
        <v>1114</v>
      </c>
    </row>
    <row r="297" spans="1:20" x14ac:dyDescent="0.25">
      <c r="A297" s="1" t="str">
        <f>HYPERLINK("https://vegkart.atlas.vegvesen.no/#/@-46821.8,6615375.8,18/hva:hva%5B0%5D%5Bfilter%5D%5B0%5D%5Boperator%5D=%21%3D&amp;hva%5B0%5D%5Bfilter%5D%5B0%5D%5Btype_id%5D=8934&amp;hva%5B0%5D%5Bfilter%5D%5B0%5D%5Bverdi%5D=&amp;hva%5B0%5D%5Bid%5D=147/når:2013-06-28", "Vegkart")</f>
        <v>Vegkart</v>
      </c>
      <c r="B297">
        <v>435719749</v>
      </c>
      <c r="C297">
        <v>147</v>
      </c>
      <c r="D297" t="s">
        <v>1035</v>
      </c>
      <c r="E297">
        <v>8934</v>
      </c>
      <c r="F297" t="s">
        <v>23479</v>
      </c>
      <c r="G297">
        <v>1</v>
      </c>
      <c r="H297" t="s">
        <v>1046</v>
      </c>
      <c r="J297" t="s">
        <v>1037</v>
      </c>
      <c r="K297" t="s">
        <v>170</v>
      </c>
      <c r="L297" t="s">
        <v>33</v>
      </c>
      <c r="M297" t="s">
        <v>1108</v>
      </c>
      <c r="N297" t="s">
        <v>1115</v>
      </c>
      <c r="O297" t="s">
        <v>1116</v>
      </c>
      <c r="P297" s="2" t="s">
        <v>37</v>
      </c>
      <c r="Q297" t="s">
        <v>38</v>
      </c>
      <c r="R297">
        <v>2.95</v>
      </c>
      <c r="S297">
        <v>8.77</v>
      </c>
      <c r="T297" t="s">
        <v>1117</v>
      </c>
    </row>
    <row r="298" spans="1:20" x14ac:dyDescent="0.25">
      <c r="A298" s="1" t="str">
        <f>HYPERLINK("https://vegkart.atlas.vegvesen.no/#/@30872.7,6752644.8,18/hva:hva%5B0%5D%5Bfilter%5D%5B0%5D%5Boperator%5D=%21%3D&amp;hva%5B0%5D%5Bfilter%5D%5B0%5D%5Btype_id%5D=8934&amp;hva%5B0%5D%5Bfilter%5D%5B0%5D%5Bverdi%5D=&amp;hva%5B0%5D%5Bid%5D=147/når:2013-10-14", "Vegkart")</f>
        <v>Vegkart</v>
      </c>
      <c r="B298">
        <v>469497161</v>
      </c>
      <c r="C298">
        <v>147</v>
      </c>
      <c r="D298" t="s">
        <v>1035</v>
      </c>
      <c r="E298">
        <v>8934</v>
      </c>
      <c r="F298" t="s">
        <v>23479</v>
      </c>
      <c r="G298">
        <v>1</v>
      </c>
      <c r="H298" t="s">
        <v>1118</v>
      </c>
      <c r="J298" t="s">
        <v>1037</v>
      </c>
      <c r="K298" t="s">
        <v>21</v>
      </c>
      <c r="L298" t="s">
        <v>80</v>
      </c>
      <c r="M298" t="s">
        <v>152</v>
      </c>
      <c r="N298" t="s">
        <v>1119</v>
      </c>
      <c r="O298" t="s">
        <v>1120</v>
      </c>
      <c r="P298" s="2" t="s">
        <v>67</v>
      </c>
      <c r="Q298" t="s">
        <v>68</v>
      </c>
      <c r="R298">
        <v>3.01</v>
      </c>
      <c r="S298">
        <v>3.01</v>
      </c>
      <c r="T298" t="s">
        <v>1121</v>
      </c>
    </row>
    <row r="299" spans="1:20" x14ac:dyDescent="0.25">
      <c r="A299" s="1" t="str">
        <f>HYPERLINK("https://vegkart.atlas.vegvesen.no/#/@31174.5,6752827.7,18/hva:hva%5B0%5D%5Bfilter%5D%5B0%5D%5Boperator%5D=%21%3D&amp;hva%5B0%5D%5Bfilter%5D%5B0%5D%5Btype_id%5D=8934&amp;hva%5B0%5D%5Bfilter%5D%5B0%5D%5Bverdi%5D=&amp;hva%5B0%5D%5Bid%5D=147/når:2013-10-14", "Vegkart")</f>
        <v>Vegkart</v>
      </c>
      <c r="B299">
        <v>469497162</v>
      </c>
      <c r="C299">
        <v>147</v>
      </c>
      <c r="D299" t="s">
        <v>1035</v>
      </c>
      <c r="E299">
        <v>8934</v>
      </c>
      <c r="F299" t="s">
        <v>23479</v>
      </c>
      <c r="G299">
        <v>1</v>
      </c>
      <c r="H299" t="s">
        <v>1118</v>
      </c>
      <c r="J299" t="s">
        <v>1037</v>
      </c>
      <c r="K299" t="s">
        <v>21</v>
      </c>
      <c r="L299" t="s">
        <v>80</v>
      </c>
      <c r="M299" t="s">
        <v>152</v>
      </c>
      <c r="N299" t="s">
        <v>1122</v>
      </c>
      <c r="O299" t="s">
        <v>1123</v>
      </c>
      <c r="P299" s="2" t="s">
        <v>67</v>
      </c>
      <c r="Q299" t="s">
        <v>68</v>
      </c>
      <c r="R299">
        <v>3.01</v>
      </c>
      <c r="S299">
        <v>3.01</v>
      </c>
      <c r="T299" t="s">
        <v>1124</v>
      </c>
    </row>
    <row r="300" spans="1:20" x14ac:dyDescent="0.25">
      <c r="A300" s="1" t="str">
        <f>HYPERLINK("https://vegkart.atlas.vegvesen.no/#/@31449.2,6753050.0,18/hva:hva%5B0%5D%5Bfilter%5D%5B0%5D%5Boperator%5D=%21%3D&amp;hva%5B0%5D%5Bfilter%5D%5B0%5D%5Btype_id%5D=8934&amp;hva%5B0%5D%5Bfilter%5D%5B0%5D%5Bverdi%5D=&amp;hva%5B0%5D%5Bid%5D=147/når:2013-10-14", "Vegkart")</f>
        <v>Vegkart</v>
      </c>
      <c r="B300">
        <v>469497163</v>
      </c>
      <c r="C300">
        <v>147</v>
      </c>
      <c r="D300" t="s">
        <v>1035</v>
      </c>
      <c r="E300">
        <v>8934</v>
      </c>
      <c r="F300" t="s">
        <v>23479</v>
      </c>
      <c r="G300">
        <v>1</v>
      </c>
      <c r="H300" t="s">
        <v>1118</v>
      </c>
      <c r="J300" t="s">
        <v>1037</v>
      </c>
      <c r="K300" t="s">
        <v>21</v>
      </c>
      <c r="L300" t="s">
        <v>80</v>
      </c>
      <c r="M300" t="s">
        <v>152</v>
      </c>
      <c r="N300" t="s">
        <v>1125</v>
      </c>
      <c r="O300" t="s">
        <v>1126</v>
      </c>
      <c r="P300" s="2" t="s">
        <v>67</v>
      </c>
      <c r="Q300" t="s">
        <v>68</v>
      </c>
      <c r="R300">
        <v>15.75</v>
      </c>
      <c r="S300">
        <v>15.75</v>
      </c>
      <c r="T300" t="s">
        <v>1127</v>
      </c>
    </row>
    <row r="301" spans="1:20" x14ac:dyDescent="0.25">
      <c r="A301" s="1" t="str">
        <f>HYPERLINK("https://vegkart.atlas.vegvesen.no/#/@31754.6,6753227.4,18/hva:hva%5B0%5D%5Bfilter%5D%5B0%5D%5Boperator%5D=%21%3D&amp;hva%5B0%5D%5Bfilter%5D%5B0%5D%5Btype_id%5D=8934&amp;hva%5B0%5D%5Bfilter%5D%5B0%5D%5Bverdi%5D=&amp;hva%5B0%5D%5Bid%5D=147/når:2013-10-14", "Vegkart")</f>
        <v>Vegkart</v>
      </c>
      <c r="B301">
        <v>469497164</v>
      </c>
      <c r="C301">
        <v>147</v>
      </c>
      <c r="D301" t="s">
        <v>1035</v>
      </c>
      <c r="E301">
        <v>8934</v>
      </c>
      <c r="F301" t="s">
        <v>23479</v>
      </c>
      <c r="G301">
        <v>1</v>
      </c>
      <c r="H301" t="s">
        <v>1118</v>
      </c>
      <c r="J301" t="s">
        <v>1037</v>
      </c>
      <c r="K301" t="s">
        <v>21</v>
      </c>
      <c r="L301" t="s">
        <v>80</v>
      </c>
      <c r="M301" t="s">
        <v>152</v>
      </c>
      <c r="N301" t="s">
        <v>1128</v>
      </c>
      <c r="O301" t="s">
        <v>1129</v>
      </c>
      <c r="P301" s="2" t="s">
        <v>67</v>
      </c>
      <c r="Q301" t="s">
        <v>68</v>
      </c>
      <c r="R301">
        <v>3</v>
      </c>
      <c r="S301">
        <v>3</v>
      </c>
      <c r="T301" t="s">
        <v>1130</v>
      </c>
    </row>
    <row r="302" spans="1:20" x14ac:dyDescent="0.25">
      <c r="A302" s="1" t="str">
        <f>HYPERLINK("https://vegkart.atlas.vegvesen.no/#/@32038.9,6753440.3,18/hva:hva%5B0%5D%5Bfilter%5D%5B0%5D%5Boperator%5D=%21%3D&amp;hva%5B0%5D%5Bfilter%5D%5B0%5D%5Btype_id%5D=8934&amp;hva%5B0%5D%5Bfilter%5D%5B0%5D%5Bverdi%5D=&amp;hva%5B0%5D%5Bid%5D=147/når:2013-10-14", "Vegkart")</f>
        <v>Vegkart</v>
      </c>
      <c r="B302">
        <v>469497165</v>
      </c>
      <c r="C302">
        <v>147</v>
      </c>
      <c r="D302" t="s">
        <v>1035</v>
      </c>
      <c r="E302">
        <v>8934</v>
      </c>
      <c r="F302" t="s">
        <v>23479</v>
      </c>
      <c r="G302">
        <v>1</v>
      </c>
      <c r="H302" t="s">
        <v>1118</v>
      </c>
      <c r="J302" t="s">
        <v>1037</v>
      </c>
      <c r="K302" t="s">
        <v>21</v>
      </c>
      <c r="L302" t="s">
        <v>80</v>
      </c>
      <c r="M302" t="s">
        <v>152</v>
      </c>
      <c r="N302" t="s">
        <v>1131</v>
      </c>
      <c r="O302" t="s">
        <v>1132</v>
      </c>
      <c r="P302" s="2" t="s">
        <v>67</v>
      </c>
      <c r="Q302" t="s">
        <v>68</v>
      </c>
      <c r="R302">
        <v>16.21</v>
      </c>
      <c r="S302">
        <v>16.21</v>
      </c>
      <c r="T302" t="s">
        <v>1133</v>
      </c>
    </row>
    <row r="303" spans="1:20" x14ac:dyDescent="0.25">
      <c r="A303" s="1" t="str">
        <f>HYPERLINK("https://vegkart.atlas.vegvesen.no/#/@56439.4,6735893.8,18/hva:hva%5B0%5D%5Bfilter%5D%5B0%5D%5Boperator%5D=%21%3D&amp;hva%5B0%5D%5Bfilter%5D%5B0%5D%5Btype_id%5D=8934&amp;hva%5B0%5D%5Bfilter%5D%5B0%5D%5Bverdi%5D=&amp;hva%5B0%5D%5Bid%5D=147/når:2013-12-05", "Vegkart")</f>
        <v>Vegkart</v>
      </c>
      <c r="B303">
        <v>480238174</v>
      </c>
      <c r="C303">
        <v>147</v>
      </c>
      <c r="D303" t="s">
        <v>1035</v>
      </c>
      <c r="E303">
        <v>8934</v>
      </c>
      <c r="F303" t="s">
        <v>23479</v>
      </c>
      <c r="G303">
        <v>1</v>
      </c>
      <c r="H303" t="s">
        <v>1134</v>
      </c>
      <c r="J303" t="s">
        <v>1037</v>
      </c>
      <c r="K303" t="s">
        <v>21</v>
      </c>
      <c r="L303" t="s">
        <v>33</v>
      </c>
      <c r="M303" t="s">
        <v>1135</v>
      </c>
      <c r="N303" t="s">
        <v>1136</v>
      </c>
      <c r="O303" t="s">
        <v>1137</v>
      </c>
      <c r="P303" s="2" t="s">
        <v>67</v>
      </c>
      <c r="Q303" t="s">
        <v>68</v>
      </c>
      <c r="R303">
        <v>0.64</v>
      </c>
      <c r="S303">
        <v>0.64</v>
      </c>
      <c r="T303" t="s">
        <v>1138</v>
      </c>
    </row>
    <row r="304" spans="1:20" x14ac:dyDescent="0.25">
      <c r="A304" s="1" t="str">
        <f>HYPERLINK("https://vegkart.atlas.vegvesen.no/#/@259845.3,6690111.7,18/hva:hva%5B0%5D%5Bfilter%5D%5B0%5D%5Boperator%5D=%21%3D&amp;hva%5B0%5D%5Bfilter%5D%5B0%5D%5Btype_id%5D=8934&amp;hva%5B0%5D%5Bfilter%5D%5B0%5D%5Bverdi%5D=&amp;hva%5B0%5D%5Bid%5D=147/når:2015-09-09", "Vegkart")</f>
        <v>Vegkart</v>
      </c>
      <c r="B304">
        <v>634077028</v>
      </c>
      <c r="C304">
        <v>147</v>
      </c>
      <c r="D304" t="s">
        <v>1035</v>
      </c>
      <c r="E304">
        <v>8934</v>
      </c>
      <c r="F304" t="s">
        <v>23479</v>
      </c>
      <c r="G304">
        <v>1</v>
      </c>
      <c r="H304" t="s">
        <v>1139</v>
      </c>
      <c r="J304" t="s">
        <v>1037</v>
      </c>
      <c r="K304" t="s">
        <v>132</v>
      </c>
      <c r="L304" t="s">
        <v>80</v>
      </c>
      <c r="M304" t="s">
        <v>152</v>
      </c>
      <c r="N304" t="s">
        <v>1140</v>
      </c>
      <c r="O304" t="s">
        <v>1141</v>
      </c>
      <c r="P304" s="2" t="s">
        <v>67</v>
      </c>
      <c r="Q304" t="s">
        <v>68</v>
      </c>
      <c r="R304">
        <v>9.8699999999999992</v>
      </c>
      <c r="S304">
        <v>9.8699999999999992</v>
      </c>
      <c r="T304" t="s">
        <v>1142</v>
      </c>
    </row>
    <row r="305" spans="1:20" x14ac:dyDescent="0.25">
      <c r="A305" s="1" t="str">
        <f>HYPERLINK("https://vegkart.atlas.vegvesen.no/#/@259947.4,6689814.5,18/hva:hva%5B0%5D%5Bfilter%5D%5B0%5D%5Boperator%5D=%21%3D&amp;hva%5B0%5D%5Bfilter%5D%5B0%5D%5Btype_id%5D=8934&amp;hva%5B0%5D%5Bfilter%5D%5B0%5D%5Bverdi%5D=&amp;hva%5B0%5D%5Bid%5D=147/når:2015-11-10", "Vegkart")</f>
        <v>Vegkart</v>
      </c>
      <c r="B305">
        <v>634077041</v>
      </c>
      <c r="C305">
        <v>147</v>
      </c>
      <c r="D305" t="s">
        <v>1035</v>
      </c>
      <c r="E305">
        <v>8934</v>
      </c>
      <c r="F305" t="s">
        <v>23479</v>
      </c>
      <c r="G305">
        <v>2</v>
      </c>
      <c r="H305" t="s">
        <v>1036</v>
      </c>
      <c r="J305" t="s">
        <v>1037</v>
      </c>
      <c r="K305" t="s">
        <v>132</v>
      </c>
      <c r="L305" t="s">
        <v>80</v>
      </c>
      <c r="M305" t="s">
        <v>152</v>
      </c>
      <c r="N305" t="s">
        <v>1143</v>
      </c>
      <c r="O305" t="s">
        <v>1144</v>
      </c>
      <c r="P305" s="2" t="s">
        <v>67</v>
      </c>
      <c r="Q305" t="s">
        <v>68</v>
      </c>
      <c r="R305">
        <v>19.7</v>
      </c>
      <c r="S305">
        <v>19.7</v>
      </c>
      <c r="T305" t="s">
        <v>1145</v>
      </c>
    </row>
    <row r="306" spans="1:20" x14ac:dyDescent="0.25">
      <c r="A306" s="1" t="str">
        <f>HYPERLINK("https://vegkart.atlas.vegvesen.no/#/@249302.9,6647607.4,18/hva:hva%5B0%5D%5Bfilter%5D%5B0%5D%5Boperator%5D=%21%3D&amp;hva%5B0%5D%5Bfilter%5D%5B0%5D%5Btype_id%5D=8934&amp;hva%5B0%5D%5Bfilter%5D%5B0%5D%5Bverdi%5D=&amp;hva%5B0%5D%5Bid%5D=147/når:2019-09-10", "Vegkart")</f>
        <v>Vegkart</v>
      </c>
      <c r="B306">
        <v>973556876</v>
      </c>
      <c r="C306">
        <v>147</v>
      </c>
      <c r="D306" t="s">
        <v>1035</v>
      </c>
      <c r="E306">
        <v>8934</v>
      </c>
      <c r="F306" t="s">
        <v>23479</v>
      </c>
      <c r="G306">
        <v>1</v>
      </c>
      <c r="H306" t="s">
        <v>1146</v>
      </c>
      <c r="J306" t="s">
        <v>1037</v>
      </c>
      <c r="K306" t="s">
        <v>132</v>
      </c>
      <c r="L306" t="s">
        <v>80</v>
      </c>
      <c r="M306" t="s">
        <v>152</v>
      </c>
      <c r="N306" t="s">
        <v>1147</v>
      </c>
      <c r="O306" t="s">
        <v>1148</v>
      </c>
      <c r="P306" s="2" t="s">
        <v>67</v>
      </c>
      <c r="Q306" t="s">
        <v>68</v>
      </c>
      <c r="R306">
        <v>143.06</v>
      </c>
      <c r="S306">
        <v>143.41</v>
      </c>
      <c r="T306" t="s">
        <v>1149</v>
      </c>
    </row>
    <row r="307" spans="1:20" x14ac:dyDescent="0.25">
      <c r="A307" s="1" t="str">
        <f>HYPERLINK("https://vegkart.atlas.vegvesen.no/#/@248698.7,6647867.1,18/hva:hva%5B0%5D%5Bfilter%5D%5B0%5D%5Boperator%5D=%21%3D&amp;hva%5B0%5D%5Bfilter%5D%5B0%5D%5Btype_id%5D=8934&amp;hva%5B0%5D%5Bfilter%5D%5B0%5D%5Bverdi%5D=&amp;hva%5B0%5D%5Bid%5D=147/når:2019-09-24", "Vegkart")</f>
        <v>Vegkart</v>
      </c>
      <c r="B307">
        <v>978593749</v>
      </c>
      <c r="C307">
        <v>147</v>
      </c>
      <c r="D307" t="s">
        <v>1035</v>
      </c>
      <c r="E307">
        <v>8934</v>
      </c>
      <c r="F307" t="s">
        <v>23479</v>
      </c>
      <c r="G307">
        <v>1</v>
      </c>
      <c r="H307" t="s">
        <v>1150</v>
      </c>
      <c r="J307" t="s">
        <v>1037</v>
      </c>
      <c r="K307" t="s">
        <v>132</v>
      </c>
      <c r="L307" t="s">
        <v>80</v>
      </c>
      <c r="M307" t="s">
        <v>152</v>
      </c>
      <c r="N307" t="s">
        <v>1151</v>
      </c>
      <c r="O307" t="s">
        <v>1152</v>
      </c>
      <c r="P307" s="2" t="s">
        <v>67</v>
      </c>
      <c r="Q307" t="s">
        <v>68</v>
      </c>
      <c r="R307">
        <v>100.42</v>
      </c>
      <c r="S307">
        <v>100.42</v>
      </c>
      <c r="T307" t="s">
        <v>1153</v>
      </c>
    </row>
    <row r="308" spans="1:20" x14ac:dyDescent="0.25">
      <c r="A308" s="1" t="str">
        <f>HYPERLINK("https://vegkart.atlas.vegvesen.no/#/@248630.0,6647936.4,18/hva:hva%5B0%5D%5Bfilter%5D%5B0%5D%5Boperator%5D=%21%3D&amp;hva%5B0%5D%5Bfilter%5D%5B0%5D%5Btype_id%5D=8934&amp;hva%5B0%5D%5Bfilter%5D%5B0%5D%5Bverdi%5D=&amp;hva%5B0%5D%5Bid%5D=147/når:2019-09-24", "Vegkart")</f>
        <v>Vegkart</v>
      </c>
      <c r="B308">
        <v>978593750</v>
      </c>
      <c r="C308">
        <v>147</v>
      </c>
      <c r="D308" t="s">
        <v>1035</v>
      </c>
      <c r="E308">
        <v>8934</v>
      </c>
      <c r="F308" t="s">
        <v>23479</v>
      </c>
      <c r="G308">
        <v>1</v>
      </c>
      <c r="H308" t="s">
        <v>1150</v>
      </c>
      <c r="J308" t="s">
        <v>1037</v>
      </c>
      <c r="K308" t="s">
        <v>132</v>
      </c>
      <c r="L308" t="s">
        <v>80</v>
      </c>
      <c r="M308" t="s">
        <v>152</v>
      </c>
      <c r="N308" t="s">
        <v>1154</v>
      </c>
      <c r="O308" t="s">
        <v>1155</v>
      </c>
      <c r="P308" s="2" t="s">
        <v>67</v>
      </c>
      <c r="Q308" t="s">
        <v>68</v>
      </c>
      <c r="R308">
        <v>102</v>
      </c>
      <c r="S308">
        <v>102.01</v>
      </c>
      <c r="T308" t="s">
        <v>1156</v>
      </c>
    </row>
    <row r="309" spans="1:20" x14ac:dyDescent="0.25">
      <c r="A309" s="1" t="str">
        <f>HYPERLINK("https://vegkart.atlas.vegvesen.no/#/@248951.4,6647702.3,18/hva:hva%5B0%5D%5Bfilter%5D%5B0%5D%5Boperator%5D=%21%3D&amp;hva%5B0%5D%5Bfilter%5D%5B0%5D%5Btype_id%5D=8934&amp;hva%5B0%5D%5Bfilter%5D%5B0%5D%5Bverdi%5D=&amp;hva%5B0%5D%5Bid%5D=147/når:2019-09-24", "Vegkart")</f>
        <v>Vegkart</v>
      </c>
      <c r="B309">
        <v>978593751</v>
      </c>
      <c r="C309">
        <v>147</v>
      </c>
      <c r="D309" t="s">
        <v>1035</v>
      </c>
      <c r="E309">
        <v>8934</v>
      </c>
      <c r="F309" t="s">
        <v>23479</v>
      </c>
      <c r="G309">
        <v>1</v>
      </c>
      <c r="H309" t="s">
        <v>1150</v>
      </c>
      <c r="J309" t="s">
        <v>1037</v>
      </c>
      <c r="K309" t="s">
        <v>132</v>
      </c>
      <c r="L309" t="s">
        <v>80</v>
      </c>
      <c r="M309" t="s">
        <v>152</v>
      </c>
      <c r="N309" t="s">
        <v>1157</v>
      </c>
      <c r="O309" t="s">
        <v>1158</v>
      </c>
      <c r="P309" s="2" t="s">
        <v>67</v>
      </c>
      <c r="Q309" t="s">
        <v>68</v>
      </c>
      <c r="R309">
        <v>250.1</v>
      </c>
      <c r="S309">
        <v>285.36</v>
      </c>
      <c r="T309" t="s">
        <v>1159</v>
      </c>
    </row>
    <row r="310" spans="1:20" x14ac:dyDescent="0.25">
      <c r="A310" s="1" t="str">
        <f>HYPERLINK("https://vegkart.atlas.vegvesen.no/#/@-32384.2,6572288.3,18/hva:hva%5B0%5D%5Bfilter%5D%5B0%5D%5Boperator%5D=%21%3D&amp;hva%5B0%5D%5Bfilter%5D%5B0%5D%5Btype_id%5D=8934&amp;hva%5B0%5D%5Bfilter%5D%5B0%5D%5Bverdi%5D=&amp;hva%5B0%5D%5Bid%5D=147/når:2020-04-02", "Vegkart")</f>
        <v>Vegkart</v>
      </c>
      <c r="B310">
        <v>1007645157</v>
      </c>
      <c r="C310">
        <v>147</v>
      </c>
      <c r="D310" t="s">
        <v>1035</v>
      </c>
      <c r="E310">
        <v>8934</v>
      </c>
      <c r="F310" t="s">
        <v>23479</v>
      </c>
      <c r="G310">
        <v>1</v>
      </c>
      <c r="H310" t="s">
        <v>1160</v>
      </c>
      <c r="J310" t="s">
        <v>1161</v>
      </c>
      <c r="K310" t="s">
        <v>170</v>
      </c>
      <c r="L310" t="s">
        <v>80</v>
      </c>
      <c r="M310" t="s">
        <v>81</v>
      </c>
      <c r="N310" t="s">
        <v>1162</v>
      </c>
      <c r="O310" t="s">
        <v>1163</v>
      </c>
      <c r="P310" s="2" t="s">
        <v>67</v>
      </c>
      <c r="Q310" t="s">
        <v>68</v>
      </c>
      <c r="R310">
        <v>34.64</v>
      </c>
      <c r="S310">
        <v>34.64</v>
      </c>
      <c r="T310" t="s">
        <v>1164</v>
      </c>
    </row>
    <row r="311" spans="1:20" x14ac:dyDescent="0.25">
      <c r="A311" s="1" t="str">
        <f>HYPERLINK("https://vegkart.atlas.vegvesen.no/#/@-32504.2,6572269.6,18/hva:hva%5B0%5D%5Bfilter%5D%5B0%5D%5Boperator%5D=%21%3D&amp;hva%5B0%5D%5Bfilter%5D%5B0%5D%5Btype_id%5D=8934&amp;hva%5B0%5D%5Bfilter%5D%5B0%5D%5Bverdi%5D=&amp;hva%5B0%5D%5Bid%5D=147/når:2020-04-02", "Vegkart")</f>
        <v>Vegkart</v>
      </c>
      <c r="B311">
        <v>1007645158</v>
      </c>
      <c r="C311">
        <v>147</v>
      </c>
      <c r="D311" t="s">
        <v>1035</v>
      </c>
      <c r="E311">
        <v>8934</v>
      </c>
      <c r="F311" t="s">
        <v>23479</v>
      </c>
      <c r="G311">
        <v>1</v>
      </c>
      <c r="H311" t="s">
        <v>1160</v>
      </c>
      <c r="J311" t="s">
        <v>1161</v>
      </c>
      <c r="K311" t="s">
        <v>170</v>
      </c>
      <c r="L311" t="s">
        <v>80</v>
      </c>
      <c r="M311" t="s">
        <v>81</v>
      </c>
      <c r="N311" t="s">
        <v>1165</v>
      </c>
      <c r="O311" t="s">
        <v>1166</v>
      </c>
      <c r="P311" s="2" t="s">
        <v>67</v>
      </c>
      <c r="Q311" t="s">
        <v>68</v>
      </c>
      <c r="R311">
        <v>164.97</v>
      </c>
      <c r="S311">
        <v>208.79</v>
      </c>
      <c r="T311" t="s">
        <v>1167</v>
      </c>
    </row>
    <row r="312" spans="1:20" x14ac:dyDescent="0.25">
      <c r="A312" s="1" t="str">
        <f>HYPERLINK("https://vegkart.atlas.vegvesen.no/#/@264315.1,6648402.5,18/hva:hva%5B0%5D%5Bfilter%5D%5B0%5D%5Boperator%5D=%21%3D&amp;hva%5B0%5D%5Bfilter%5D%5B0%5D%5Btype_id%5D=8934&amp;hva%5B0%5D%5Bfilter%5D%5B0%5D%5Bverdi%5D=&amp;hva%5B0%5D%5Bid%5D=147/når:2021-10-13", "Vegkart")</f>
        <v>Vegkart</v>
      </c>
      <c r="B312">
        <v>1014089048</v>
      </c>
      <c r="C312">
        <v>147</v>
      </c>
      <c r="D312" t="s">
        <v>1035</v>
      </c>
      <c r="E312">
        <v>8934</v>
      </c>
      <c r="F312" t="s">
        <v>23479</v>
      </c>
      <c r="G312">
        <v>1</v>
      </c>
      <c r="H312" t="s">
        <v>1168</v>
      </c>
      <c r="J312" t="s">
        <v>1161</v>
      </c>
      <c r="K312" t="s">
        <v>335</v>
      </c>
      <c r="L312" t="s">
        <v>80</v>
      </c>
      <c r="M312" t="s">
        <v>105</v>
      </c>
      <c r="N312" t="s">
        <v>1169</v>
      </c>
      <c r="O312" t="s">
        <v>1170</v>
      </c>
      <c r="P312" s="2" t="s">
        <v>67</v>
      </c>
      <c r="Q312" t="s">
        <v>68</v>
      </c>
      <c r="R312">
        <v>12.87</v>
      </c>
      <c r="S312">
        <v>12.87</v>
      </c>
      <c r="T312" t="s">
        <v>1171</v>
      </c>
    </row>
    <row r="313" spans="1:20" x14ac:dyDescent="0.25">
      <c r="A313" s="1" t="str">
        <f>HYPERLINK("https://vegkart.atlas.vegvesen.no/#/@264340.2,6648416.8,18/hva:hva%5B0%5D%5Bfilter%5D%5B0%5D%5Boperator%5D=%21%3D&amp;hva%5B0%5D%5Bfilter%5D%5B0%5D%5Btype_id%5D=8934&amp;hva%5B0%5D%5Bfilter%5D%5B0%5D%5Bverdi%5D=&amp;hva%5B0%5D%5Bid%5D=147/når:2021-10-13", "Vegkart")</f>
        <v>Vegkart</v>
      </c>
      <c r="B313">
        <v>1014089049</v>
      </c>
      <c r="C313">
        <v>147</v>
      </c>
      <c r="D313" t="s">
        <v>1035</v>
      </c>
      <c r="E313">
        <v>8934</v>
      </c>
      <c r="F313" t="s">
        <v>23479</v>
      </c>
      <c r="G313">
        <v>1</v>
      </c>
      <c r="H313" t="s">
        <v>1168</v>
      </c>
      <c r="J313" t="s">
        <v>1161</v>
      </c>
      <c r="K313" t="s">
        <v>335</v>
      </c>
      <c r="L313" t="s">
        <v>80</v>
      </c>
      <c r="M313" t="s">
        <v>105</v>
      </c>
      <c r="N313" t="s">
        <v>1172</v>
      </c>
      <c r="O313" t="s">
        <v>1173</v>
      </c>
      <c r="P313" s="2" t="s">
        <v>67</v>
      </c>
      <c r="Q313" t="s">
        <v>68</v>
      </c>
      <c r="R313">
        <v>45.35</v>
      </c>
      <c r="S313">
        <v>45.45</v>
      </c>
      <c r="T313" t="s">
        <v>1174</v>
      </c>
    </row>
    <row r="314" spans="1:20" x14ac:dyDescent="0.25">
      <c r="A314" s="1" t="str">
        <f>HYPERLINK("https://vegkart.atlas.vegvesen.no/#/@-30819.1,6572622.2,18/hva:hva%5B0%5D%5Bfilter%5D%5B0%5D%5Boperator%5D=%21%3D&amp;hva%5B0%5D%5Bfilter%5D%5B0%5D%5Btype_id%5D=8934&amp;hva%5B0%5D%5Bfilter%5D%5B0%5D%5Bverdi%5D=&amp;hva%5B0%5D%5Bid%5D=147/når:2022-05-11", "Vegkart")</f>
        <v>Vegkart</v>
      </c>
      <c r="B314">
        <v>1015470263</v>
      </c>
      <c r="C314">
        <v>147</v>
      </c>
      <c r="D314" t="s">
        <v>1035</v>
      </c>
      <c r="E314">
        <v>8934</v>
      </c>
      <c r="F314" t="s">
        <v>23479</v>
      </c>
      <c r="G314">
        <v>1</v>
      </c>
      <c r="H314" t="s">
        <v>1175</v>
      </c>
      <c r="J314" t="s">
        <v>1161</v>
      </c>
      <c r="K314" t="s">
        <v>170</v>
      </c>
      <c r="L314" t="s">
        <v>33</v>
      </c>
      <c r="M314" t="s">
        <v>1176</v>
      </c>
      <c r="N314" t="s">
        <v>1177</v>
      </c>
      <c r="O314" t="s">
        <v>1178</v>
      </c>
      <c r="P314" s="2" t="s">
        <v>67</v>
      </c>
      <c r="Q314" t="s">
        <v>68</v>
      </c>
      <c r="R314">
        <v>13.53</v>
      </c>
      <c r="S314">
        <v>13.53</v>
      </c>
      <c r="T314" t="s">
        <v>1179</v>
      </c>
    </row>
    <row r="315" spans="1:20" x14ac:dyDescent="0.25">
      <c r="A315" s="1" t="str">
        <f>HYPERLINK("https://vegkart.atlas.vegvesen.no/#/@589694.1,7633428.8,18/hva:hva%5B0%5D%5Bfilter%5D%5B0%5D%5Boperator%5D=%21%3D&amp;hva%5B0%5D%5Bfilter%5D%5B0%5D%5Btype_id%5D=8934&amp;hva%5B0%5D%5Bfilter%5D%5B0%5D%5Bverdi%5D=&amp;hva%5B0%5D%5Bid%5D=147/når:2023-03-23", "Vegkart")</f>
        <v>Vegkart</v>
      </c>
      <c r="B315">
        <v>1017521827</v>
      </c>
      <c r="C315">
        <v>147</v>
      </c>
      <c r="D315" t="s">
        <v>1035</v>
      </c>
      <c r="E315">
        <v>8934</v>
      </c>
      <c r="F315" t="s">
        <v>23479</v>
      </c>
      <c r="G315">
        <v>1</v>
      </c>
      <c r="H315" t="s">
        <v>1180</v>
      </c>
      <c r="J315" t="s">
        <v>1161</v>
      </c>
      <c r="K315" t="s">
        <v>179</v>
      </c>
      <c r="L315" t="s">
        <v>33</v>
      </c>
      <c r="M315" t="s">
        <v>1181</v>
      </c>
      <c r="N315" t="s">
        <v>1182</v>
      </c>
      <c r="O315" t="s">
        <v>1183</v>
      </c>
      <c r="P315" s="2" t="s">
        <v>37</v>
      </c>
      <c r="Q315" t="s">
        <v>38</v>
      </c>
      <c r="R315">
        <v>0</v>
      </c>
      <c r="S315">
        <v>77.05</v>
      </c>
      <c r="T315" t="s">
        <v>1184</v>
      </c>
    </row>
    <row r="316" spans="1:20" x14ac:dyDescent="0.25">
      <c r="A316" s="1" t="str">
        <f>HYPERLINK("https://vegkart.atlas.vegvesen.no/#/@588944.3,7632906.6,18/hva:hva%5B0%5D%5Bfilter%5D%5B0%5D%5Boperator%5D=%21%3D&amp;hva%5B0%5D%5Bfilter%5D%5B0%5D%5Btype_id%5D=8934&amp;hva%5B0%5D%5Bfilter%5D%5B0%5D%5Bverdi%5D=&amp;hva%5B0%5D%5Bid%5D=147/når:2023-03-23", "Vegkart")</f>
        <v>Vegkart</v>
      </c>
      <c r="B316">
        <v>1017521828</v>
      </c>
      <c r="C316">
        <v>147</v>
      </c>
      <c r="D316" t="s">
        <v>1035</v>
      </c>
      <c r="E316">
        <v>8934</v>
      </c>
      <c r="F316" t="s">
        <v>23479</v>
      </c>
      <c r="G316">
        <v>1</v>
      </c>
      <c r="H316" t="s">
        <v>1180</v>
      </c>
      <c r="J316" t="s">
        <v>1161</v>
      </c>
      <c r="K316" t="s">
        <v>179</v>
      </c>
      <c r="L316" t="s">
        <v>33</v>
      </c>
      <c r="M316" t="s">
        <v>1181</v>
      </c>
      <c r="N316" t="s">
        <v>1185</v>
      </c>
      <c r="O316" t="s">
        <v>1186</v>
      </c>
      <c r="P316" s="2" t="s">
        <v>37</v>
      </c>
      <c r="Q316" t="s">
        <v>38</v>
      </c>
      <c r="R316">
        <v>0</v>
      </c>
      <c r="S316">
        <v>73.22</v>
      </c>
      <c r="T316" t="s">
        <v>1187</v>
      </c>
    </row>
    <row r="317" spans="1:20" x14ac:dyDescent="0.25">
      <c r="A317" s="1" t="str">
        <f>HYPERLINK("https://vegkart.atlas.vegvesen.no/#/@725780.8,7768921.0,18/hva:hva%5B0%5D%5Bfilter%5D%5B0%5D%5Boperator%5D=%21%3D&amp;hva%5B0%5D%5Bfilter%5D%5B0%5D%5Btype_id%5D=8934&amp;hva%5B0%5D%5Bfilter%5D%5B0%5D%5Bverdi%5D=&amp;hva%5B0%5D%5Bid%5D=147/når:2024-04-04", "Vegkart")</f>
        <v>Vegkart</v>
      </c>
      <c r="B317">
        <v>1019037680</v>
      </c>
      <c r="C317">
        <v>147</v>
      </c>
      <c r="D317" t="s">
        <v>1035</v>
      </c>
      <c r="E317">
        <v>8934</v>
      </c>
      <c r="F317" t="s">
        <v>23479</v>
      </c>
      <c r="G317">
        <v>1</v>
      </c>
      <c r="H317" t="s">
        <v>552</v>
      </c>
      <c r="J317" t="s">
        <v>1161</v>
      </c>
      <c r="K317" t="s">
        <v>179</v>
      </c>
      <c r="L317" t="s">
        <v>33</v>
      </c>
      <c r="M317" t="s">
        <v>542</v>
      </c>
      <c r="N317" t="s">
        <v>1188</v>
      </c>
      <c r="O317" t="s">
        <v>1189</v>
      </c>
      <c r="P317" s="2" t="s">
        <v>37</v>
      </c>
      <c r="Q317" t="s">
        <v>38</v>
      </c>
      <c r="R317">
        <v>0</v>
      </c>
      <c r="S317">
        <v>111.08</v>
      </c>
      <c r="T317" t="s">
        <v>1190</v>
      </c>
    </row>
    <row r="318" spans="1:20" x14ac:dyDescent="0.25">
      <c r="A318" s="1" t="str">
        <f>HYPERLINK("https://vegkart.atlas.vegvesen.no/#/@107970.9,6811092.4,18/hva:hva%5B0%5D%5Bfilter%5D%5B0%5D%5Boperator%5D=%21%3D&amp;hva%5B0%5D%5Bfilter%5D%5B0%5D%5Btype_id%5D=8934&amp;hva%5B0%5D%5Bfilter%5D%5B0%5D%5Bverdi%5D=&amp;hva%5B0%5D%5Bid%5D=147/når:2024-04-30", "Vegkart")</f>
        <v>Vegkart</v>
      </c>
      <c r="B318">
        <v>1019095730</v>
      </c>
      <c r="C318">
        <v>147</v>
      </c>
      <c r="D318" t="s">
        <v>1035</v>
      </c>
      <c r="E318">
        <v>8934</v>
      </c>
      <c r="F318" t="s">
        <v>23479</v>
      </c>
      <c r="G318">
        <v>1</v>
      </c>
      <c r="H318" t="s">
        <v>1191</v>
      </c>
      <c r="J318" t="s">
        <v>1161</v>
      </c>
      <c r="K318" t="s">
        <v>21</v>
      </c>
      <c r="L318" t="s">
        <v>33</v>
      </c>
      <c r="M318" t="s">
        <v>1192</v>
      </c>
      <c r="N318" t="s">
        <v>1193</v>
      </c>
      <c r="O318" t="s">
        <v>1194</v>
      </c>
      <c r="P318" s="2" t="s">
        <v>37</v>
      </c>
      <c r="Q318" t="s">
        <v>38</v>
      </c>
      <c r="R318">
        <v>0</v>
      </c>
      <c r="S318">
        <v>80.78</v>
      </c>
      <c r="T318" t="s">
        <v>1195</v>
      </c>
    </row>
    <row r="319" spans="1:20" x14ac:dyDescent="0.25">
      <c r="A319" s="1" t="str">
        <f>HYPERLINK("https://vegkart.atlas.vegvesen.no/#/@107015.4,6811392.9,18/hva:hva%5B0%5D%5Bfilter%5D%5B0%5D%5Boperator%5D=%21%3D&amp;hva%5B0%5D%5Bfilter%5D%5B0%5D%5Btype_id%5D=8934&amp;hva%5B0%5D%5Bfilter%5D%5B0%5D%5Bverdi%5D=&amp;hva%5B0%5D%5Bid%5D=147/når:2024-04-30", "Vegkart")</f>
        <v>Vegkart</v>
      </c>
      <c r="B319">
        <v>1019095732</v>
      </c>
      <c r="C319">
        <v>147</v>
      </c>
      <c r="D319" t="s">
        <v>1035</v>
      </c>
      <c r="E319">
        <v>8934</v>
      </c>
      <c r="F319" t="s">
        <v>23479</v>
      </c>
      <c r="G319">
        <v>1</v>
      </c>
      <c r="H319" t="s">
        <v>1191</v>
      </c>
      <c r="J319" t="s">
        <v>1161</v>
      </c>
      <c r="K319" t="s">
        <v>21</v>
      </c>
      <c r="L319" t="s">
        <v>33</v>
      </c>
      <c r="M319" t="s">
        <v>1192</v>
      </c>
      <c r="N319" t="s">
        <v>1196</v>
      </c>
      <c r="O319" t="s">
        <v>1197</v>
      </c>
      <c r="P319" s="2" t="s">
        <v>37</v>
      </c>
      <c r="Q319" t="s">
        <v>38</v>
      </c>
      <c r="R319">
        <v>0</v>
      </c>
      <c r="S319">
        <v>80.94</v>
      </c>
      <c r="T319" t="s">
        <v>1198</v>
      </c>
    </row>
    <row r="320" spans="1:20" x14ac:dyDescent="0.25">
      <c r="A320" s="1" t="str">
        <f>HYPERLINK("https://vegkart.atlas.vegvesen.no/#/@107015.4,6811392.9,18/hva:hva%5B0%5D%5Bfilter%5D%5B0%5D%5Boperator%5D=%21%3D&amp;hva%5B0%5D%5Bfilter%5D%5B0%5D%5Btype_id%5D=8934&amp;hva%5B0%5D%5Bfilter%5D%5B0%5D%5Bverdi%5D=&amp;hva%5B0%5D%5Bid%5D=147/når:2024-04-30", "Vegkart")</f>
        <v>Vegkart</v>
      </c>
      <c r="B320">
        <v>1019095734</v>
      </c>
      <c r="C320">
        <v>147</v>
      </c>
      <c r="D320" t="s">
        <v>1035</v>
      </c>
      <c r="E320">
        <v>8934</v>
      </c>
      <c r="F320" t="s">
        <v>23479</v>
      </c>
      <c r="G320">
        <v>1</v>
      </c>
      <c r="H320" t="s">
        <v>1191</v>
      </c>
      <c r="J320" t="s">
        <v>1161</v>
      </c>
      <c r="K320" t="s">
        <v>21</v>
      </c>
      <c r="L320" t="s">
        <v>33</v>
      </c>
      <c r="M320" t="s">
        <v>1192</v>
      </c>
      <c r="N320" t="s">
        <v>1196</v>
      </c>
      <c r="O320" t="s">
        <v>1197</v>
      </c>
      <c r="P320" s="2" t="s">
        <v>37</v>
      </c>
      <c r="Q320" t="s">
        <v>38</v>
      </c>
      <c r="R320">
        <v>0</v>
      </c>
      <c r="S320">
        <v>80.94</v>
      </c>
      <c r="T320" t="s">
        <v>1198</v>
      </c>
    </row>
    <row r="321" spans="1:20" x14ac:dyDescent="0.25">
      <c r="A321" s="1" t="str">
        <f>HYPERLINK("https://vegkart.atlas.vegvesen.no/#/@107970.9,6811092.4,18/hva:hva%5B0%5D%5Bfilter%5D%5B0%5D%5Boperator%5D=%21%3D&amp;hva%5B0%5D%5Bfilter%5D%5B0%5D%5Btype_id%5D=8934&amp;hva%5B0%5D%5Bfilter%5D%5B0%5D%5Bverdi%5D=&amp;hva%5B0%5D%5Bid%5D=147/når:2024-04-30", "Vegkart")</f>
        <v>Vegkart</v>
      </c>
      <c r="B321">
        <v>1019095735</v>
      </c>
      <c r="C321">
        <v>147</v>
      </c>
      <c r="D321" t="s">
        <v>1035</v>
      </c>
      <c r="E321">
        <v>8934</v>
      </c>
      <c r="F321" t="s">
        <v>23479</v>
      </c>
      <c r="G321">
        <v>1</v>
      </c>
      <c r="H321" t="s">
        <v>1191</v>
      </c>
      <c r="J321" t="s">
        <v>1161</v>
      </c>
      <c r="K321" t="s">
        <v>21</v>
      </c>
      <c r="L321" t="s">
        <v>33</v>
      </c>
      <c r="M321" t="s">
        <v>1192</v>
      </c>
      <c r="N321" t="s">
        <v>1193</v>
      </c>
      <c r="O321" t="s">
        <v>1194</v>
      </c>
      <c r="P321" s="2" t="s">
        <v>37</v>
      </c>
      <c r="Q321" t="s">
        <v>38</v>
      </c>
      <c r="R321">
        <v>0</v>
      </c>
      <c r="S321">
        <v>80.78</v>
      </c>
      <c r="T321" t="s">
        <v>1195</v>
      </c>
    </row>
    <row r="322" spans="1:20" x14ac:dyDescent="0.25">
      <c r="A322" s="1" t="str">
        <f>HYPERLINK("https://vegkart.atlas.vegvesen.no/#/@15832.9,6706203.8,18/hva:hva%5B0%5D%5Bfilter%5D%5B0%5D%5Boperator%5D=%21%3D&amp;hva%5B0%5D%5Bfilter%5D%5B0%5D%5Btype_id%5D=8934&amp;hva%5B0%5D%5Bfilter%5D%5B0%5D%5Bverdi%5D=&amp;hva%5B0%5D%5Bid%5D=147/når:2024-07-19", "Vegkart")</f>
        <v>Vegkart</v>
      </c>
      <c r="B322">
        <v>1019518016</v>
      </c>
      <c r="C322">
        <v>147</v>
      </c>
      <c r="D322" t="s">
        <v>1035</v>
      </c>
      <c r="E322">
        <v>8934</v>
      </c>
      <c r="F322" t="s">
        <v>23479</v>
      </c>
      <c r="G322">
        <v>1</v>
      </c>
      <c r="H322" t="s">
        <v>160</v>
      </c>
      <c r="J322" t="s">
        <v>1161</v>
      </c>
      <c r="K322" t="s">
        <v>21</v>
      </c>
      <c r="L322" t="s">
        <v>33</v>
      </c>
      <c r="M322" t="s">
        <v>963</v>
      </c>
      <c r="N322" t="s">
        <v>1199</v>
      </c>
      <c r="O322" t="s">
        <v>1200</v>
      </c>
      <c r="P322" s="2" t="s">
        <v>165</v>
      </c>
      <c r="Q322" t="s">
        <v>166</v>
      </c>
      <c r="R322">
        <v>7.22</v>
      </c>
      <c r="S322">
        <v>7.22</v>
      </c>
      <c r="T322" t="s">
        <v>167</v>
      </c>
    </row>
    <row r="323" spans="1:20" x14ac:dyDescent="0.25">
      <c r="A323" s="1" t="str">
        <f>HYPERLINK("https://vegkart.atlas.vegvesen.no/#/@91861.3,6920619.1,18/hva:hva%5B0%5D%5Bfilter%5D%5B0%5D%5Boperator%5D=%21%3D&amp;hva%5B0%5D%5Bfilter%5D%5B0%5D%5Btype_id%5D=8913&amp;hva%5B0%5D%5Bfilter%5D%5B0%5D%5Bverdi%5D=&amp;hva%5B0%5D%5Bid%5D=39/når:2021-02-12", "Vegkart")</f>
        <v>Vegkart</v>
      </c>
      <c r="B323">
        <v>80792042</v>
      </c>
      <c r="C323">
        <v>39</v>
      </c>
      <c r="D323" t="s">
        <v>1201</v>
      </c>
      <c r="E323">
        <v>8913</v>
      </c>
      <c r="F323" t="s">
        <v>23479</v>
      </c>
      <c r="G323">
        <v>13</v>
      </c>
      <c r="H323" t="s">
        <v>1202</v>
      </c>
      <c r="J323" t="s">
        <v>631</v>
      </c>
      <c r="K323" t="s">
        <v>32</v>
      </c>
      <c r="L323" t="s">
        <v>33</v>
      </c>
      <c r="M323" t="s">
        <v>1203</v>
      </c>
      <c r="N323" t="s">
        <v>1204</v>
      </c>
      <c r="O323" t="s">
        <v>1205</v>
      </c>
      <c r="P323" s="2" t="s">
        <v>165</v>
      </c>
      <c r="Q323" t="s">
        <v>166</v>
      </c>
      <c r="R323">
        <v>11.39</v>
      </c>
      <c r="S323">
        <v>285.91000000000003</v>
      </c>
      <c r="T323" t="s">
        <v>167</v>
      </c>
    </row>
    <row r="324" spans="1:20" x14ac:dyDescent="0.25">
      <c r="A324" s="1" t="str">
        <f>HYPERLINK("https://vegkart.atlas.vegvesen.no/#/@93219.0,6913878.3,18/hva:hva%5B0%5D%5Bfilter%5D%5B0%5D%5Boperator%5D=%21%3D&amp;hva%5B0%5D%5Bfilter%5D%5B0%5D%5Btype_id%5D=8913&amp;hva%5B0%5D%5Bfilter%5D%5B0%5D%5Bverdi%5D=&amp;hva%5B0%5D%5Bid%5D=39/når:2021-02-12", "Vegkart")</f>
        <v>Vegkart</v>
      </c>
      <c r="B324">
        <v>81140417</v>
      </c>
      <c r="C324">
        <v>39</v>
      </c>
      <c r="D324" t="s">
        <v>1201</v>
      </c>
      <c r="E324">
        <v>8913</v>
      </c>
      <c r="F324" t="s">
        <v>23479</v>
      </c>
      <c r="G324">
        <v>14</v>
      </c>
      <c r="H324" t="s">
        <v>1202</v>
      </c>
      <c r="J324" t="s">
        <v>631</v>
      </c>
      <c r="K324" t="s">
        <v>32</v>
      </c>
      <c r="L324" t="s">
        <v>33</v>
      </c>
      <c r="M324" t="s">
        <v>1203</v>
      </c>
      <c r="N324" t="s">
        <v>1206</v>
      </c>
      <c r="O324" t="s">
        <v>1207</v>
      </c>
      <c r="P324" s="2" t="s">
        <v>37</v>
      </c>
      <c r="Q324" t="s">
        <v>1208</v>
      </c>
      <c r="R324">
        <v>4.3099999999999996</v>
      </c>
      <c r="S324">
        <v>357.85</v>
      </c>
      <c r="T324" t="s">
        <v>1209</v>
      </c>
    </row>
    <row r="325" spans="1:20" x14ac:dyDescent="0.25">
      <c r="A325" s="1" t="str">
        <f>HYPERLINK("https://vegkart.atlas.vegvesen.no/#/@245087.0,6852992.0,18/hva:hva%5B0%5D%5Bfilter%5D%5B0%5D%5Boperator%5D=%21%3D&amp;hva%5B0%5D%5Bfilter%5D%5B0%5D%5Btype_id%5D=8913&amp;hva%5B0%5D%5Bfilter%5D%5B0%5D%5Bverdi%5D=&amp;hva%5B0%5D%5Bid%5D=39/når:2022-11-17", "Vegkart")</f>
        <v>Vegkart</v>
      </c>
      <c r="B325">
        <v>91027709</v>
      </c>
      <c r="C325">
        <v>39</v>
      </c>
      <c r="D325" t="s">
        <v>1201</v>
      </c>
      <c r="E325">
        <v>8913</v>
      </c>
      <c r="F325" t="s">
        <v>23479</v>
      </c>
      <c r="G325">
        <v>3</v>
      </c>
      <c r="H325" t="s">
        <v>1210</v>
      </c>
      <c r="J325" t="s">
        <v>1211</v>
      </c>
      <c r="K325" t="s">
        <v>136</v>
      </c>
      <c r="L325" t="s">
        <v>33</v>
      </c>
      <c r="M325" t="s">
        <v>1212</v>
      </c>
      <c r="N325" t="s">
        <v>1213</v>
      </c>
      <c r="O325" t="s">
        <v>1214</v>
      </c>
      <c r="P325" s="2" t="s">
        <v>165</v>
      </c>
      <c r="Q325" t="s">
        <v>1012</v>
      </c>
      <c r="R325">
        <v>93.3</v>
      </c>
      <c r="S325">
        <v>93.4</v>
      </c>
      <c r="T325" t="s">
        <v>167</v>
      </c>
    </row>
    <row r="326" spans="1:20" x14ac:dyDescent="0.25">
      <c r="A326" s="1" t="str">
        <f>HYPERLINK("https://vegkart.atlas.vegvesen.no/#/@183018.4,6902404.7,18/hva:hva%5B0%5D%5Bfilter%5D%5B0%5D%5Boperator%5D=%21%3D&amp;hva%5B0%5D%5Bfilter%5D%5B0%5D%5Btype_id%5D=8913&amp;hva%5B0%5D%5Bfilter%5D%5B0%5D%5Bverdi%5D=&amp;hva%5B0%5D%5Bid%5D=39/når:2024-08-08", "Vegkart")</f>
        <v>Vegkart</v>
      </c>
      <c r="B326">
        <v>91028889</v>
      </c>
      <c r="C326">
        <v>39</v>
      </c>
      <c r="D326" t="s">
        <v>1201</v>
      </c>
      <c r="E326">
        <v>8913</v>
      </c>
      <c r="F326" t="s">
        <v>23479</v>
      </c>
      <c r="G326">
        <v>4</v>
      </c>
      <c r="H326" t="s">
        <v>1215</v>
      </c>
      <c r="J326" t="s">
        <v>1216</v>
      </c>
      <c r="K326" t="s">
        <v>136</v>
      </c>
      <c r="L326" t="s">
        <v>80</v>
      </c>
      <c r="M326" t="s">
        <v>1217</v>
      </c>
      <c r="N326" t="s">
        <v>1218</v>
      </c>
      <c r="O326" t="s">
        <v>1219</v>
      </c>
      <c r="P326" s="2" t="s">
        <v>165</v>
      </c>
      <c r="Q326" t="s">
        <v>166</v>
      </c>
      <c r="R326">
        <v>94.77</v>
      </c>
      <c r="S326">
        <v>104.62</v>
      </c>
      <c r="T326" t="s">
        <v>167</v>
      </c>
    </row>
    <row r="327" spans="1:20" x14ac:dyDescent="0.25">
      <c r="A327" s="1" t="str">
        <f>HYPERLINK("https://vegkart.atlas.vegvesen.no/#/@184039.1,6851070.4,18/hva:hva%5B0%5D%5Bfilter%5D%5B0%5D%5Boperator%5D=%21%3D&amp;hva%5B0%5D%5Bfilter%5D%5B0%5D%5Btype_id%5D=8913&amp;hva%5B0%5D%5Bfilter%5D%5B0%5D%5Bverdi%5D=&amp;hva%5B0%5D%5Bid%5D=39/når:2022-05-05", "Vegkart")</f>
        <v>Vegkart</v>
      </c>
      <c r="B327">
        <v>91145199</v>
      </c>
      <c r="C327">
        <v>39</v>
      </c>
      <c r="D327" t="s">
        <v>1201</v>
      </c>
      <c r="E327">
        <v>8913</v>
      </c>
      <c r="F327" t="s">
        <v>23479</v>
      </c>
      <c r="G327">
        <v>5</v>
      </c>
      <c r="H327" t="s">
        <v>1220</v>
      </c>
      <c r="J327" t="s">
        <v>1221</v>
      </c>
      <c r="K327" t="s">
        <v>136</v>
      </c>
      <c r="L327" t="s">
        <v>33</v>
      </c>
      <c r="M327" t="s">
        <v>1222</v>
      </c>
      <c r="N327" t="s">
        <v>1223</v>
      </c>
      <c r="O327" t="s">
        <v>1224</v>
      </c>
      <c r="P327" s="2" t="s">
        <v>165</v>
      </c>
      <c r="Q327" t="s">
        <v>1012</v>
      </c>
      <c r="R327">
        <v>29.39</v>
      </c>
      <c r="S327">
        <v>44.08</v>
      </c>
      <c r="T327" t="s">
        <v>167</v>
      </c>
    </row>
    <row r="328" spans="1:20" x14ac:dyDescent="0.25">
      <c r="A328" s="1" t="str">
        <f>HYPERLINK("https://vegkart.atlas.vegvesen.no/#/@208264.4,6851678.1,18/hva:hva%5B0%5D%5Bfilter%5D%5B0%5D%5Boperator%5D=%21%3D&amp;hva%5B0%5D%5Bfilter%5D%5B0%5D%5Btype_id%5D=8913&amp;hva%5B0%5D%5Bfilter%5D%5B0%5D%5Bverdi%5D=&amp;hva%5B0%5D%5Bid%5D=39/når:2018-06-04", "Vegkart")</f>
        <v>Vegkart</v>
      </c>
      <c r="B328">
        <v>91203678</v>
      </c>
      <c r="C328">
        <v>39</v>
      </c>
      <c r="D328" t="s">
        <v>1201</v>
      </c>
      <c r="E328">
        <v>8913</v>
      </c>
      <c r="F328" t="s">
        <v>23479</v>
      </c>
      <c r="G328">
        <v>3</v>
      </c>
      <c r="H328" t="s">
        <v>1225</v>
      </c>
      <c r="J328" t="s">
        <v>1226</v>
      </c>
      <c r="K328" t="s">
        <v>136</v>
      </c>
      <c r="L328" t="s">
        <v>33</v>
      </c>
      <c r="M328" t="s">
        <v>1227</v>
      </c>
      <c r="N328" t="s">
        <v>1228</v>
      </c>
      <c r="O328" t="s">
        <v>1229</v>
      </c>
      <c r="P328" s="2" t="s">
        <v>165</v>
      </c>
      <c r="Q328" t="s">
        <v>1012</v>
      </c>
      <c r="R328">
        <v>127.67</v>
      </c>
      <c r="S328">
        <v>151.27000000000001</v>
      </c>
      <c r="T328" t="s">
        <v>167</v>
      </c>
    </row>
    <row r="329" spans="1:20" x14ac:dyDescent="0.25">
      <c r="A329" s="1" t="str">
        <f>HYPERLINK("https://vegkart.atlas.vegvesen.no/#/@618825.7,7726634.9,18/hva:hva%5B0%5D%5Bfilter%5D%5B0%5D%5Boperator%5D=%21%3D&amp;hva%5B0%5D%5Bfilter%5D%5B0%5D%5Btype_id%5D=8913&amp;hva%5B0%5D%5Bfilter%5D%5B0%5D%5Bverdi%5D=&amp;hva%5B0%5D%5Bid%5D=39/når:2025-10-28", "Vegkart")</f>
        <v>Vegkart</v>
      </c>
      <c r="B329">
        <v>91541993</v>
      </c>
      <c r="C329">
        <v>39</v>
      </c>
      <c r="D329" t="s">
        <v>1201</v>
      </c>
      <c r="E329">
        <v>8913</v>
      </c>
      <c r="F329" t="s">
        <v>23479</v>
      </c>
      <c r="G329">
        <v>4</v>
      </c>
      <c r="H329" t="s">
        <v>1230</v>
      </c>
      <c r="J329" t="s">
        <v>1231</v>
      </c>
      <c r="K329" t="s">
        <v>179</v>
      </c>
      <c r="L329" t="s">
        <v>33</v>
      </c>
      <c r="M329" t="s">
        <v>1232</v>
      </c>
      <c r="N329" t="s">
        <v>1233</v>
      </c>
      <c r="O329" t="s">
        <v>1234</v>
      </c>
      <c r="P329" s="2" t="s">
        <v>165</v>
      </c>
      <c r="Q329" t="s">
        <v>166</v>
      </c>
      <c r="R329">
        <v>0.15</v>
      </c>
      <c r="S329">
        <v>254.02</v>
      </c>
      <c r="T329" t="s">
        <v>167</v>
      </c>
    </row>
    <row r="330" spans="1:20" x14ac:dyDescent="0.25">
      <c r="A330" s="1" t="str">
        <f>HYPERLINK("https://vegkart.atlas.vegvesen.no/#/@596951.2,7625954.9,18/hva:hva%5B0%5D%5Bfilter%5D%5B0%5D%5Boperator%5D=%21%3D&amp;hva%5B0%5D%5Bfilter%5D%5B0%5D%5Btype_id%5D=8913&amp;hva%5B0%5D%5Bfilter%5D%5B0%5D%5Bverdi%5D=&amp;hva%5B0%5D%5Bid%5D=39/når:2025-10-28", "Vegkart")</f>
        <v>Vegkart</v>
      </c>
      <c r="B330">
        <v>91601423</v>
      </c>
      <c r="C330">
        <v>39</v>
      </c>
      <c r="D330" t="s">
        <v>1201</v>
      </c>
      <c r="E330">
        <v>8913</v>
      </c>
      <c r="F330" t="s">
        <v>23479</v>
      </c>
      <c r="G330">
        <v>6</v>
      </c>
      <c r="H330" t="s">
        <v>1230</v>
      </c>
      <c r="J330" t="s">
        <v>1235</v>
      </c>
      <c r="K330" t="s">
        <v>179</v>
      </c>
      <c r="L330" t="s">
        <v>33</v>
      </c>
      <c r="M330" t="s">
        <v>1236</v>
      </c>
      <c r="N330" t="s">
        <v>1237</v>
      </c>
      <c r="O330" t="s">
        <v>1238</v>
      </c>
      <c r="P330" s="2" t="s">
        <v>165</v>
      </c>
      <c r="Q330" t="s">
        <v>166</v>
      </c>
      <c r="R330">
        <v>0.13</v>
      </c>
      <c r="S330">
        <v>281.54000000000002</v>
      </c>
      <c r="T330" t="s">
        <v>167</v>
      </c>
    </row>
    <row r="331" spans="1:20" x14ac:dyDescent="0.25">
      <c r="A331" s="1" t="str">
        <f>HYPERLINK("https://vegkart.atlas.vegvesen.no/#/@656680.8,7693746.5,18/hva:hva%5B0%5D%5Bfilter%5D%5B0%5D%5Boperator%5D=%21%3D&amp;hva%5B0%5D%5Bfilter%5D%5B0%5D%5Btype_id%5D=8913&amp;hva%5B0%5D%5Bfilter%5D%5B0%5D%5Bverdi%5D=&amp;hva%5B0%5D%5Bid%5D=39/når:2025-01-30", "Vegkart")</f>
        <v>Vegkart</v>
      </c>
      <c r="B331">
        <v>91619662</v>
      </c>
      <c r="C331">
        <v>39</v>
      </c>
      <c r="D331" t="s">
        <v>1201</v>
      </c>
      <c r="E331">
        <v>8913</v>
      </c>
      <c r="F331" t="s">
        <v>23479</v>
      </c>
      <c r="G331">
        <v>3</v>
      </c>
      <c r="H331" t="s">
        <v>1239</v>
      </c>
      <c r="J331" t="s">
        <v>1216</v>
      </c>
      <c r="K331" t="s">
        <v>179</v>
      </c>
      <c r="L331" t="s">
        <v>33</v>
      </c>
      <c r="M331" t="s">
        <v>1240</v>
      </c>
      <c r="N331" t="s">
        <v>1241</v>
      </c>
      <c r="O331" t="s">
        <v>1242</v>
      </c>
      <c r="P331" s="2" t="s">
        <v>165</v>
      </c>
      <c r="Q331" t="s">
        <v>166</v>
      </c>
      <c r="R331">
        <v>0.32</v>
      </c>
      <c r="S331">
        <v>213.54</v>
      </c>
      <c r="T331" t="s">
        <v>167</v>
      </c>
    </row>
    <row r="332" spans="1:20" x14ac:dyDescent="0.25">
      <c r="A332" s="1" t="str">
        <f>HYPERLINK("https://vegkart.atlas.vegvesen.no/#/@593644.0,7709592.0,18/hva:hva%5B0%5D%5Bfilter%5D%5B0%5D%5Boperator%5D=%21%3D&amp;hva%5B0%5D%5Bfilter%5D%5B0%5D%5Btype_id%5D=8913&amp;hva%5B0%5D%5Bfilter%5D%5B0%5D%5Bverdi%5D=&amp;hva%5B0%5D%5Bid%5D=39/når:2013-06-24", "Vegkart")</f>
        <v>Vegkart</v>
      </c>
      <c r="B332">
        <v>91622843</v>
      </c>
      <c r="C332">
        <v>39</v>
      </c>
      <c r="D332" t="s">
        <v>1201</v>
      </c>
      <c r="E332">
        <v>8913</v>
      </c>
      <c r="F332" t="s">
        <v>23479</v>
      </c>
      <c r="G332">
        <v>4</v>
      </c>
      <c r="H332" t="s">
        <v>1243</v>
      </c>
      <c r="J332" t="s">
        <v>1216</v>
      </c>
      <c r="K332" t="s">
        <v>179</v>
      </c>
      <c r="L332" t="s">
        <v>33</v>
      </c>
      <c r="M332" t="s">
        <v>1244</v>
      </c>
      <c r="N332" t="s">
        <v>1245</v>
      </c>
      <c r="O332" t="s">
        <v>1246</v>
      </c>
      <c r="P332" s="2" t="s">
        <v>37</v>
      </c>
      <c r="Q332" t="s">
        <v>1208</v>
      </c>
      <c r="R332">
        <v>0.12</v>
      </c>
      <c r="S332">
        <v>226.51</v>
      </c>
      <c r="T332" t="s">
        <v>1247</v>
      </c>
    </row>
    <row r="333" spans="1:20" x14ac:dyDescent="0.25">
      <c r="A333" s="1" t="str">
        <f>HYPERLINK("https://vegkart.atlas.vegvesen.no/#/@598206.3,7703536.1,18/hva:hva%5B0%5D%5Bfilter%5D%5B0%5D%5Boperator%5D=%21%3D&amp;hva%5B0%5D%5Bfilter%5D%5B0%5D%5Btype_id%5D=8913&amp;hva%5B0%5D%5Bfilter%5D%5B0%5D%5Bverdi%5D=&amp;hva%5B0%5D%5Bid%5D=39/når:2025-02-02", "Vegkart")</f>
        <v>Vegkart</v>
      </c>
      <c r="B333">
        <v>91623244</v>
      </c>
      <c r="C333">
        <v>39</v>
      </c>
      <c r="D333" t="s">
        <v>1201</v>
      </c>
      <c r="E333">
        <v>8913</v>
      </c>
      <c r="F333" t="s">
        <v>23479</v>
      </c>
      <c r="G333">
        <v>4</v>
      </c>
      <c r="H333" t="s">
        <v>1248</v>
      </c>
      <c r="J333" t="s">
        <v>1249</v>
      </c>
      <c r="K333" t="s">
        <v>179</v>
      </c>
      <c r="L333" t="s">
        <v>33</v>
      </c>
      <c r="M333" t="s">
        <v>1244</v>
      </c>
      <c r="N333" t="s">
        <v>1250</v>
      </c>
      <c r="O333" t="s">
        <v>1251</v>
      </c>
      <c r="P333" s="2" t="s">
        <v>165</v>
      </c>
      <c r="Q333" t="s">
        <v>166</v>
      </c>
      <c r="R333">
        <v>0.14000000000000001</v>
      </c>
      <c r="S333">
        <v>167.8</v>
      </c>
      <c r="T333" t="s">
        <v>167</v>
      </c>
    </row>
    <row r="334" spans="1:20" x14ac:dyDescent="0.25">
      <c r="A334" s="1" t="str">
        <f>HYPERLINK("https://vegkart.atlas.vegvesen.no/#/@602339.1,7666198.3,18/hva:hva%5B0%5D%5Bfilter%5D%5B0%5D%5Boperator%5D=%21%3D&amp;hva%5B0%5D%5Bfilter%5D%5B0%5D%5Btype_id%5D=8913&amp;hva%5B0%5D%5Bfilter%5D%5B0%5D%5Bverdi%5D=&amp;hva%5B0%5D%5Bid%5D=39/når:2025-10-28", "Vegkart")</f>
        <v>Vegkart</v>
      </c>
      <c r="B334">
        <v>91657240</v>
      </c>
      <c r="C334">
        <v>39</v>
      </c>
      <c r="D334" t="s">
        <v>1201</v>
      </c>
      <c r="E334">
        <v>8913</v>
      </c>
      <c r="F334" t="s">
        <v>23479</v>
      </c>
      <c r="G334">
        <v>3</v>
      </c>
      <c r="H334" t="s">
        <v>1230</v>
      </c>
      <c r="J334" t="s">
        <v>1249</v>
      </c>
      <c r="K334" t="s">
        <v>179</v>
      </c>
      <c r="L334" t="s">
        <v>33</v>
      </c>
      <c r="M334" t="s">
        <v>1252</v>
      </c>
      <c r="N334" t="s">
        <v>1253</v>
      </c>
      <c r="O334" t="s">
        <v>1254</v>
      </c>
      <c r="P334" s="2" t="s">
        <v>165</v>
      </c>
      <c r="Q334" t="s">
        <v>166</v>
      </c>
      <c r="R334">
        <v>0.28999999999999998</v>
      </c>
      <c r="S334">
        <v>206.33</v>
      </c>
      <c r="T334" t="s">
        <v>167</v>
      </c>
    </row>
    <row r="335" spans="1:20" x14ac:dyDescent="0.25">
      <c r="A335" s="1" t="str">
        <f>HYPERLINK("https://vegkart.atlas.vegvesen.no/#/@599023.1,7644525.2,18/hva:hva%5B0%5D%5Bfilter%5D%5B0%5D%5Boperator%5D=%21%3D&amp;hva%5B0%5D%5Bfilter%5D%5B0%5D%5Btype_id%5D=8913&amp;hva%5B0%5D%5Bfilter%5D%5B0%5D%5Bverdi%5D=&amp;hva%5B0%5D%5Bid%5D=39/når:2025-02-02", "Vegkart")</f>
        <v>Vegkart</v>
      </c>
      <c r="B335">
        <v>91664863</v>
      </c>
      <c r="C335">
        <v>39</v>
      </c>
      <c r="D335" t="s">
        <v>1201</v>
      </c>
      <c r="E335">
        <v>8913</v>
      </c>
      <c r="F335" t="s">
        <v>23479</v>
      </c>
      <c r="G335">
        <v>6</v>
      </c>
      <c r="H335" t="s">
        <v>1248</v>
      </c>
      <c r="J335" t="s">
        <v>1216</v>
      </c>
      <c r="K335" t="s">
        <v>179</v>
      </c>
      <c r="L335" t="s">
        <v>33</v>
      </c>
      <c r="M335" t="s">
        <v>1181</v>
      </c>
      <c r="N335" t="s">
        <v>1255</v>
      </c>
      <c r="O335" t="s">
        <v>1256</v>
      </c>
      <c r="P335" s="2" t="s">
        <v>165</v>
      </c>
      <c r="Q335" t="s">
        <v>166</v>
      </c>
      <c r="R335">
        <v>0.2</v>
      </c>
      <c r="S335">
        <v>199.31</v>
      </c>
      <c r="T335" t="s">
        <v>167</v>
      </c>
    </row>
    <row r="336" spans="1:20" x14ac:dyDescent="0.25">
      <c r="A336" s="1" t="str">
        <f>HYPERLINK("https://vegkart.atlas.vegvesen.no/#/@622282.9,7676917.6,18/hva:hva%5B0%5D%5Bfilter%5D%5B0%5D%5Boperator%5D=%21%3D&amp;hva%5B0%5D%5Bfilter%5D%5B0%5D%5Btype_id%5D=8913&amp;hva%5B0%5D%5Bfilter%5D%5B0%5D%5Bverdi%5D=&amp;hva%5B0%5D%5Bid%5D=39/når:2025-01-30", "Vegkart")</f>
        <v>Vegkart</v>
      </c>
      <c r="B336">
        <v>91680174</v>
      </c>
      <c r="C336">
        <v>39</v>
      </c>
      <c r="D336" t="s">
        <v>1201</v>
      </c>
      <c r="E336">
        <v>8913</v>
      </c>
      <c r="F336" t="s">
        <v>23479</v>
      </c>
      <c r="G336">
        <v>4</v>
      </c>
      <c r="H336" t="s">
        <v>1239</v>
      </c>
      <c r="J336" t="s">
        <v>1249</v>
      </c>
      <c r="K336" t="s">
        <v>179</v>
      </c>
      <c r="L336" t="s">
        <v>33</v>
      </c>
      <c r="M336" t="s">
        <v>1257</v>
      </c>
      <c r="N336" t="s">
        <v>1258</v>
      </c>
      <c r="O336" t="s">
        <v>1259</v>
      </c>
      <c r="P336" s="2" t="s">
        <v>165</v>
      </c>
      <c r="Q336" t="s">
        <v>166</v>
      </c>
      <c r="R336">
        <v>0.45</v>
      </c>
      <c r="S336">
        <v>255.26</v>
      </c>
      <c r="T336" t="s">
        <v>167</v>
      </c>
    </row>
    <row r="337" spans="1:20" x14ac:dyDescent="0.25">
      <c r="A337" s="1" t="str">
        <f>HYPERLINK("https://vegkart.atlas.vegvesen.no/#/@724764.7,7777415.9,18/hva:hva%5B0%5D%5Bfilter%5D%5B0%5D%5Boperator%5D=%21%3D&amp;hva%5B0%5D%5Bfilter%5D%5B0%5D%5Btype_id%5D=8913&amp;hva%5B0%5D%5Bfilter%5D%5B0%5D%5Bverdi%5D=&amp;hva%5B0%5D%5Bid%5D=39/når:2025-01-30", "Vegkart")</f>
        <v>Vegkart</v>
      </c>
      <c r="B337">
        <v>91796740</v>
      </c>
      <c r="C337">
        <v>39</v>
      </c>
      <c r="D337" t="s">
        <v>1201</v>
      </c>
      <c r="E337">
        <v>8913</v>
      </c>
      <c r="F337" t="s">
        <v>23479</v>
      </c>
      <c r="G337">
        <v>3</v>
      </c>
      <c r="H337" t="s">
        <v>1239</v>
      </c>
      <c r="J337" t="s">
        <v>1249</v>
      </c>
      <c r="K337" t="s">
        <v>179</v>
      </c>
      <c r="L337" t="s">
        <v>33</v>
      </c>
      <c r="M337" t="s">
        <v>594</v>
      </c>
      <c r="N337" t="s">
        <v>1260</v>
      </c>
      <c r="O337" t="s">
        <v>1261</v>
      </c>
      <c r="P337" s="2" t="s">
        <v>165</v>
      </c>
      <c r="Q337" t="s">
        <v>166</v>
      </c>
      <c r="R337">
        <v>0.13</v>
      </c>
      <c r="S337">
        <v>322.33</v>
      </c>
      <c r="T337" t="s">
        <v>167</v>
      </c>
    </row>
    <row r="338" spans="1:20" x14ac:dyDescent="0.25">
      <c r="A338" s="1" t="str">
        <f>HYPERLINK("https://vegkart.atlas.vegvesen.no/#/@742431.0,7742069.6,18/hva:hva%5B0%5D%5Bfilter%5D%5B0%5D%5Boperator%5D=%21%3D&amp;hva%5B0%5D%5Bfilter%5D%5B0%5D%5Btype_id%5D=8913&amp;hva%5B0%5D%5Bfilter%5D%5B0%5D%5Bverdi%5D=&amp;hva%5B0%5D%5Bid%5D=39/når:2025-01-30", "Vegkart")</f>
        <v>Vegkart</v>
      </c>
      <c r="B338">
        <v>91804081</v>
      </c>
      <c r="C338">
        <v>39</v>
      </c>
      <c r="D338" t="s">
        <v>1201</v>
      </c>
      <c r="E338">
        <v>8913</v>
      </c>
      <c r="F338" t="s">
        <v>23479</v>
      </c>
      <c r="G338">
        <v>4</v>
      </c>
      <c r="H338" t="s">
        <v>1239</v>
      </c>
      <c r="J338" t="s">
        <v>1216</v>
      </c>
      <c r="K338" t="s">
        <v>179</v>
      </c>
      <c r="L338" t="s">
        <v>33</v>
      </c>
      <c r="M338" t="s">
        <v>1262</v>
      </c>
      <c r="N338" t="s">
        <v>1263</v>
      </c>
      <c r="O338" t="s">
        <v>1264</v>
      </c>
      <c r="P338" s="2" t="s">
        <v>165</v>
      </c>
      <c r="Q338" t="s">
        <v>166</v>
      </c>
      <c r="R338">
        <v>0.35</v>
      </c>
      <c r="S338">
        <v>353.05</v>
      </c>
      <c r="T338" t="s">
        <v>167</v>
      </c>
    </row>
    <row r="339" spans="1:20" x14ac:dyDescent="0.25">
      <c r="A339" s="1" t="str">
        <f>HYPERLINK("https://vegkart.atlas.vegvesen.no/#/@976694.9,7935909.0,18/hva:hva%5B0%5D%5Bfilter%5D%5B0%5D%5Boperator%5D=%21%3D&amp;hva%5B0%5D%5Bfilter%5D%5B0%5D%5Btype_id%5D=8913&amp;hva%5B0%5D%5Bfilter%5D%5B0%5D%5Bverdi%5D=&amp;hva%5B0%5D%5Bid%5D=39/når:2009-08-26", "Vegkart")</f>
        <v>Vegkart</v>
      </c>
      <c r="B339">
        <v>92731025</v>
      </c>
      <c r="C339">
        <v>39</v>
      </c>
      <c r="D339" t="s">
        <v>1201</v>
      </c>
      <c r="E339">
        <v>8913</v>
      </c>
      <c r="F339" t="s">
        <v>23479</v>
      </c>
      <c r="G339">
        <v>3</v>
      </c>
      <c r="H339" t="s">
        <v>1265</v>
      </c>
      <c r="J339" t="s">
        <v>1266</v>
      </c>
      <c r="K339" t="s">
        <v>450</v>
      </c>
      <c r="L339" t="s">
        <v>33</v>
      </c>
      <c r="M339" t="s">
        <v>1267</v>
      </c>
      <c r="N339" t="s">
        <v>1268</v>
      </c>
      <c r="O339" t="s">
        <v>1269</v>
      </c>
      <c r="P339" s="2" t="s">
        <v>165</v>
      </c>
      <c r="Q339" t="s">
        <v>166</v>
      </c>
      <c r="R339">
        <v>0.16</v>
      </c>
      <c r="S339">
        <v>107.72</v>
      </c>
      <c r="T339" t="s">
        <v>167</v>
      </c>
    </row>
    <row r="340" spans="1:20" x14ac:dyDescent="0.25">
      <c r="A340" s="1" t="str">
        <f>HYPERLINK("https://vegkart.atlas.vegvesen.no/#/@952851.4,7877385.3,18/hva:hva%5B0%5D%5Bfilter%5D%5B0%5D%5Boperator%5D=%21%3D&amp;hva%5B0%5D%5Bfilter%5D%5B0%5D%5Btype_id%5D=8913&amp;hva%5B0%5D%5Bfilter%5D%5B0%5D%5Bverdi%5D=&amp;hva%5B0%5D%5Bid%5D=39/når:2024-12-05", "Vegkart")</f>
        <v>Vegkart</v>
      </c>
      <c r="B340">
        <v>92732852</v>
      </c>
      <c r="C340">
        <v>39</v>
      </c>
      <c r="D340" t="s">
        <v>1201</v>
      </c>
      <c r="E340">
        <v>8913</v>
      </c>
      <c r="F340" t="s">
        <v>23479</v>
      </c>
      <c r="G340">
        <v>6</v>
      </c>
      <c r="H340" t="s">
        <v>1270</v>
      </c>
      <c r="J340" t="s">
        <v>1266</v>
      </c>
      <c r="K340" t="s">
        <v>450</v>
      </c>
      <c r="L340" t="s">
        <v>33</v>
      </c>
      <c r="M340" t="s">
        <v>1271</v>
      </c>
      <c r="N340" t="s">
        <v>1272</v>
      </c>
      <c r="O340" t="s">
        <v>1273</v>
      </c>
      <c r="P340" s="2" t="s">
        <v>165</v>
      </c>
      <c r="Q340" t="s">
        <v>166</v>
      </c>
      <c r="R340">
        <v>0.32</v>
      </c>
      <c r="S340">
        <v>191.41</v>
      </c>
      <c r="T340" t="s">
        <v>167</v>
      </c>
    </row>
    <row r="341" spans="1:20" x14ac:dyDescent="0.25">
      <c r="A341" s="1" t="str">
        <f>HYPERLINK("https://vegkart.atlas.vegvesen.no/#/@1038675.1,7898239.3,18/hva:hva%5B0%5D%5Bfilter%5D%5B0%5D%5Boperator%5D=%21%3D&amp;hva%5B0%5D%5Bfilter%5D%5B0%5D%5Btype_id%5D=8913&amp;hva%5B0%5D%5Bfilter%5D%5B0%5D%5Bverdi%5D=&amp;hva%5B0%5D%5Bid%5D=39/når:2024-12-02", "Vegkart")</f>
        <v>Vegkart</v>
      </c>
      <c r="B341">
        <v>92761380</v>
      </c>
      <c r="C341">
        <v>39</v>
      </c>
      <c r="D341" t="s">
        <v>1201</v>
      </c>
      <c r="E341">
        <v>8913</v>
      </c>
      <c r="F341" t="s">
        <v>23479</v>
      </c>
      <c r="G341">
        <v>2</v>
      </c>
      <c r="H341" t="s">
        <v>1274</v>
      </c>
      <c r="J341" t="s">
        <v>1266</v>
      </c>
      <c r="K341" t="s">
        <v>450</v>
      </c>
      <c r="L341" t="s">
        <v>33</v>
      </c>
      <c r="M341" t="s">
        <v>1275</v>
      </c>
      <c r="N341" t="s">
        <v>1276</v>
      </c>
      <c r="O341" t="s">
        <v>1277</v>
      </c>
      <c r="P341" s="2" t="s">
        <v>165</v>
      </c>
      <c r="Q341" t="s">
        <v>166</v>
      </c>
      <c r="R341">
        <v>0.11</v>
      </c>
      <c r="S341">
        <v>156.36000000000001</v>
      </c>
      <c r="T341" t="s">
        <v>167</v>
      </c>
    </row>
    <row r="342" spans="1:20" x14ac:dyDescent="0.25">
      <c r="A342" s="1" t="str">
        <f>HYPERLINK("https://vegkart.atlas.vegvesen.no/#/@991688.1,7853856.0,18/hva:hva%5B0%5D%5Bfilter%5D%5B0%5D%5Boperator%5D=%21%3D&amp;hva%5B0%5D%5Bfilter%5D%5B0%5D%5Btype_id%5D=8913&amp;hva%5B0%5D%5Bfilter%5D%5B0%5D%5Bverdi%5D=&amp;hva%5B0%5D%5Bid%5D=39/når:2024-12-02", "Vegkart")</f>
        <v>Vegkart</v>
      </c>
      <c r="B342">
        <v>92761414</v>
      </c>
      <c r="C342">
        <v>39</v>
      </c>
      <c r="D342" t="s">
        <v>1201</v>
      </c>
      <c r="E342">
        <v>8913</v>
      </c>
      <c r="F342" t="s">
        <v>23479</v>
      </c>
      <c r="G342">
        <v>2</v>
      </c>
      <c r="H342" t="s">
        <v>1274</v>
      </c>
      <c r="J342" t="s">
        <v>1266</v>
      </c>
      <c r="K342" t="s">
        <v>450</v>
      </c>
      <c r="L342" t="s">
        <v>33</v>
      </c>
      <c r="M342" t="s">
        <v>1278</v>
      </c>
      <c r="N342" t="s">
        <v>1279</v>
      </c>
      <c r="O342" t="s">
        <v>1280</v>
      </c>
      <c r="P342" s="2" t="s">
        <v>165</v>
      </c>
      <c r="Q342" t="s">
        <v>166</v>
      </c>
      <c r="R342">
        <v>0.42</v>
      </c>
      <c r="S342">
        <v>154.65</v>
      </c>
      <c r="T342" t="s">
        <v>167</v>
      </c>
    </row>
    <row r="343" spans="1:20" x14ac:dyDescent="0.25">
      <c r="A343" s="1" t="str">
        <f>HYPERLINK("https://vegkart.atlas.vegvesen.no/#/@851889.9,7883757.7,18/hva:hva%5B0%5D%5Bfilter%5D%5B0%5D%5Boperator%5D=%21%3D&amp;hva%5B0%5D%5Bfilter%5D%5B0%5D%5Btype_id%5D=8913&amp;hva%5B0%5D%5Bfilter%5D%5B0%5D%5Bverdi%5D=&amp;hva%5B0%5D%5Bid%5D=39/når:2024-12-09", "Vegkart")</f>
        <v>Vegkart</v>
      </c>
      <c r="B343">
        <v>92773437</v>
      </c>
      <c r="C343">
        <v>39</v>
      </c>
      <c r="D343" t="s">
        <v>1201</v>
      </c>
      <c r="E343">
        <v>8913</v>
      </c>
      <c r="F343" t="s">
        <v>23479</v>
      </c>
      <c r="G343">
        <v>3</v>
      </c>
      <c r="H343" t="s">
        <v>1281</v>
      </c>
      <c r="J343" t="s">
        <v>1266</v>
      </c>
      <c r="K343" t="s">
        <v>450</v>
      </c>
      <c r="L343" t="s">
        <v>33</v>
      </c>
      <c r="M343" t="s">
        <v>1282</v>
      </c>
      <c r="N343" t="s">
        <v>1283</v>
      </c>
      <c r="O343" t="s">
        <v>1284</v>
      </c>
      <c r="P343" s="2" t="s">
        <v>165</v>
      </c>
      <c r="Q343" t="s">
        <v>166</v>
      </c>
      <c r="R343">
        <v>0</v>
      </c>
      <c r="S343">
        <v>212.01</v>
      </c>
      <c r="T343" t="s">
        <v>167</v>
      </c>
    </row>
    <row r="344" spans="1:20" x14ac:dyDescent="0.25">
      <c r="A344" s="1" t="str">
        <f>HYPERLINK("https://vegkart.atlas.vegvesen.no/#/@953202.1,7919496.2,18/hva:hva%5B0%5D%5Bfilter%5D%5B0%5D%5Boperator%5D=%21%3D&amp;hva%5B0%5D%5Bfilter%5D%5B0%5D%5Btype_id%5D=8913&amp;hva%5B0%5D%5Bfilter%5D%5B0%5D%5Bverdi%5D=&amp;hva%5B0%5D%5Bid%5D=39/når:2024-12-05", "Vegkart")</f>
        <v>Vegkart</v>
      </c>
      <c r="B344">
        <v>92773516</v>
      </c>
      <c r="C344">
        <v>39</v>
      </c>
      <c r="D344" t="s">
        <v>1201</v>
      </c>
      <c r="E344">
        <v>8913</v>
      </c>
      <c r="F344" t="s">
        <v>23479</v>
      </c>
      <c r="G344">
        <v>7</v>
      </c>
      <c r="H344" t="s">
        <v>1270</v>
      </c>
      <c r="J344" t="s">
        <v>1266</v>
      </c>
      <c r="K344" t="s">
        <v>450</v>
      </c>
      <c r="L344" t="s">
        <v>33</v>
      </c>
      <c r="M344" t="s">
        <v>1285</v>
      </c>
      <c r="N344" t="s">
        <v>1286</v>
      </c>
      <c r="O344" t="s">
        <v>1287</v>
      </c>
      <c r="P344" s="2" t="s">
        <v>165</v>
      </c>
      <c r="Q344" t="s">
        <v>166</v>
      </c>
      <c r="R344">
        <v>0.3</v>
      </c>
      <c r="S344">
        <v>114.65</v>
      </c>
      <c r="T344" t="s">
        <v>167</v>
      </c>
    </row>
    <row r="345" spans="1:20" x14ac:dyDescent="0.25">
      <c r="A345" s="1" t="str">
        <f>HYPERLINK("https://vegkart.atlas.vegvesen.no/#/@897512.0,7839011.4,18/hva:hva%5B0%5D%5Bfilter%5D%5B0%5D%5Boperator%5D=%21%3D&amp;hva%5B0%5D%5Bfilter%5D%5B0%5D%5Btype_id%5D=8913&amp;hva%5B0%5D%5Bfilter%5D%5B0%5D%5Bverdi%5D=&amp;hva%5B0%5D%5Bid%5D=39/når:2024-12-05", "Vegkart")</f>
        <v>Vegkart</v>
      </c>
      <c r="B345">
        <v>92774649</v>
      </c>
      <c r="C345">
        <v>39</v>
      </c>
      <c r="D345" t="s">
        <v>1201</v>
      </c>
      <c r="E345">
        <v>8913</v>
      </c>
      <c r="F345" t="s">
        <v>23479</v>
      </c>
      <c r="G345">
        <v>3</v>
      </c>
      <c r="H345" t="s">
        <v>1270</v>
      </c>
      <c r="J345" t="s">
        <v>1266</v>
      </c>
      <c r="K345" t="s">
        <v>450</v>
      </c>
      <c r="L345" t="s">
        <v>33</v>
      </c>
      <c r="M345" t="s">
        <v>1278</v>
      </c>
      <c r="N345" t="s">
        <v>1288</v>
      </c>
      <c r="O345" t="s">
        <v>1289</v>
      </c>
      <c r="P345" s="2" t="s">
        <v>165</v>
      </c>
      <c r="Q345" t="s">
        <v>166</v>
      </c>
      <c r="R345">
        <v>0.32</v>
      </c>
      <c r="S345">
        <v>290.69</v>
      </c>
      <c r="T345" t="s">
        <v>167</v>
      </c>
    </row>
    <row r="346" spans="1:20" x14ac:dyDescent="0.25">
      <c r="A346" s="1" t="str">
        <f>HYPERLINK("https://vegkart.atlas.vegvesen.no/#/@1018433.0,7893907.5,18/hva:hva%5B0%5D%5Bfilter%5D%5B0%5D%5Boperator%5D=%21%3D&amp;hva%5B0%5D%5Bfilter%5D%5B0%5D%5Btype_id%5D=8913&amp;hva%5B0%5D%5Bfilter%5D%5B0%5D%5Bverdi%5D=&amp;hva%5B0%5D%5Bid%5D=39/når:2024-12-02", "Vegkart")</f>
        <v>Vegkart</v>
      </c>
      <c r="B346">
        <v>92796934</v>
      </c>
      <c r="C346">
        <v>39</v>
      </c>
      <c r="D346" t="s">
        <v>1201</v>
      </c>
      <c r="E346">
        <v>8913</v>
      </c>
      <c r="F346" t="s">
        <v>23479</v>
      </c>
      <c r="G346">
        <v>7</v>
      </c>
      <c r="H346" t="s">
        <v>1274</v>
      </c>
      <c r="J346" t="s">
        <v>1266</v>
      </c>
      <c r="K346" t="s">
        <v>450</v>
      </c>
      <c r="L346" t="s">
        <v>33</v>
      </c>
      <c r="M346" t="s">
        <v>1290</v>
      </c>
      <c r="N346" t="s">
        <v>1291</v>
      </c>
      <c r="O346" t="s">
        <v>1292</v>
      </c>
      <c r="P346" s="2" t="s">
        <v>165</v>
      </c>
      <c r="Q346" t="s">
        <v>166</v>
      </c>
      <c r="R346">
        <v>0.33</v>
      </c>
      <c r="S346">
        <v>154.66999999999999</v>
      </c>
      <c r="T346" t="s">
        <v>167</v>
      </c>
    </row>
    <row r="347" spans="1:20" x14ac:dyDescent="0.25">
      <c r="A347" s="1" t="str">
        <f>HYPERLINK("https://vegkart.atlas.vegvesen.no/#/@1018938.6,7889582.9,18/hva:hva%5B0%5D%5Bfilter%5D%5B0%5D%5Boperator%5D=%21%3D&amp;hva%5B0%5D%5Bfilter%5D%5B0%5D%5Btype_id%5D=8913&amp;hva%5B0%5D%5Bfilter%5D%5B0%5D%5Bverdi%5D=&amp;hva%5B0%5D%5Bid%5D=39/når:2024-12-02", "Vegkart")</f>
        <v>Vegkart</v>
      </c>
      <c r="B347">
        <v>92797066</v>
      </c>
      <c r="C347">
        <v>39</v>
      </c>
      <c r="D347" t="s">
        <v>1201</v>
      </c>
      <c r="E347">
        <v>8913</v>
      </c>
      <c r="F347" t="s">
        <v>23479</v>
      </c>
      <c r="G347">
        <v>6</v>
      </c>
      <c r="H347" t="s">
        <v>1274</v>
      </c>
      <c r="J347" t="s">
        <v>1266</v>
      </c>
      <c r="K347" t="s">
        <v>450</v>
      </c>
      <c r="L347" t="s">
        <v>33</v>
      </c>
      <c r="M347" t="s">
        <v>1290</v>
      </c>
      <c r="N347" t="s">
        <v>1293</v>
      </c>
      <c r="O347" t="s">
        <v>1294</v>
      </c>
      <c r="P347" s="2" t="s">
        <v>165</v>
      </c>
      <c r="Q347" t="s">
        <v>166</v>
      </c>
      <c r="R347">
        <v>0.16</v>
      </c>
      <c r="S347">
        <v>172.55</v>
      </c>
      <c r="T347" t="s">
        <v>167</v>
      </c>
    </row>
    <row r="348" spans="1:20" x14ac:dyDescent="0.25">
      <c r="A348" s="1" t="str">
        <f>HYPERLINK("https://vegkart.atlas.vegvesen.no/#/@1019704.5,7883624.1,18/hva:hva%5B0%5D%5Bfilter%5D%5B0%5D%5Boperator%5D=%21%3D&amp;hva%5B0%5D%5Bfilter%5D%5B0%5D%5Btype_id%5D=8913&amp;hva%5B0%5D%5Bfilter%5D%5B0%5D%5Bverdi%5D=&amp;hva%5B0%5D%5Bid%5D=39/når:2024-12-02", "Vegkart")</f>
        <v>Vegkart</v>
      </c>
      <c r="B348">
        <v>92797187</v>
      </c>
      <c r="C348">
        <v>39</v>
      </c>
      <c r="D348" t="s">
        <v>1201</v>
      </c>
      <c r="E348">
        <v>8913</v>
      </c>
      <c r="F348" t="s">
        <v>23479</v>
      </c>
      <c r="G348">
        <v>4</v>
      </c>
      <c r="H348" t="s">
        <v>1274</v>
      </c>
      <c r="J348" t="s">
        <v>1266</v>
      </c>
      <c r="K348" t="s">
        <v>450</v>
      </c>
      <c r="L348" t="s">
        <v>33</v>
      </c>
      <c r="M348" t="s">
        <v>1290</v>
      </c>
      <c r="N348" t="s">
        <v>1295</v>
      </c>
      <c r="O348" t="s">
        <v>1296</v>
      </c>
      <c r="P348" s="2" t="s">
        <v>165</v>
      </c>
      <c r="Q348" t="s">
        <v>166</v>
      </c>
      <c r="R348">
        <v>0.18</v>
      </c>
      <c r="S348">
        <v>156.12</v>
      </c>
      <c r="T348" t="s">
        <v>167</v>
      </c>
    </row>
    <row r="349" spans="1:20" x14ac:dyDescent="0.25">
      <c r="A349" s="1" t="str">
        <f>HYPERLINK("https://vegkart.atlas.vegvesen.no/#/@1014947.8,7878307.8,18/hva:hva%5B0%5D%5Bfilter%5D%5B0%5D%5Boperator%5D=%21%3D&amp;hva%5B0%5D%5Bfilter%5D%5B0%5D%5Btype_id%5D=8913&amp;hva%5B0%5D%5Bfilter%5D%5B0%5D%5Bverdi%5D=&amp;hva%5B0%5D%5Bid%5D=39/når:2017-10-17", "Vegkart")</f>
        <v>Vegkart</v>
      </c>
      <c r="B349">
        <v>92797330</v>
      </c>
      <c r="C349">
        <v>39</v>
      </c>
      <c r="D349" t="s">
        <v>1201</v>
      </c>
      <c r="E349">
        <v>8913</v>
      </c>
      <c r="F349" t="s">
        <v>23479</v>
      </c>
      <c r="G349">
        <v>4</v>
      </c>
      <c r="H349" t="s">
        <v>1297</v>
      </c>
      <c r="J349" t="s">
        <v>1266</v>
      </c>
      <c r="K349" t="s">
        <v>450</v>
      </c>
      <c r="L349" t="s">
        <v>33</v>
      </c>
      <c r="M349" t="s">
        <v>1290</v>
      </c>
      <c r="N349" t="s">
        <v>1298</v>
      </c>
      <c r="O349" t="s">
        <v>1299</v>
      </c>
      <c r="P349" s="2" t="s">
        <v>165</v>
      </c>
      <c r="Q349" t="s">
        <v>166</v>
      </c>
      <c r="R349">
        <v>0</v>
      </c>
      <c r="S349">
        <v>224.18</v>
      </c>
      <c r="T349" t="s">
        <v>167</v>
      </c>
    </row>
    <row r="350" spans="1:20" x14ac:dyDescent="0.25">
      <c r="A350" s="1" t="str">
        <f>HYPERLINK("https://vegkart.atlas.vegvesen.no/#/@850073.7,7904545.9,18/hva:hva%5B0%5D%5Bfilter%5D%5B0%5D%5Boperator%5D=%21%3D&amp;hva%5B0%5D%5Bfilter%5D%5B0%5D%5Btype_id%5D=8913&amp;hva%5B0%5D%5Bfilter%5D%5B0%5D%5Bverdi%5D=&amp;hva%5B0%5D%5Bid%5D=39/når:2024-12-09", "Vegkart")</f>
        <v>Vegkart</v>
      </c>
      <c r="B350">
        <v>92799240</v>
      </c>
      <c r="C350">
        <v>39</v>
      </c>
      <c r="D350" t="s">
        <v>1201</v>
      </c>
      <c r="E350">
        <v>8913</v>
      </c>
      <c r="F350" t="s">
        <v>23479</v>
      </c>
      <c r="G350">
        <v>6</v>
      </c>
      <c r="H350" t="s">
        <v>1281</v>
      </c>
      <c r="J350" t="s">
        <v>1266</v>
      </c>
      <c r="K350" t="s">
        <v>450</v>
      </c>
      <c r="L350" t="s">
        <v>33</v>
      </c>
      <c r="M350" t="s">
        <v>1282</v>
      </c>
      <c r="N350" t="s">
        <v>1300</v>
      </c>
      <c r="O350" t="s">
        <v>1301</v>
      </c>
      <c r="P350" s="2" t="s">
        <v>165</v>
      </c>
      <c r="Q350" t="s">
        <v>166</v>
      </c>
      <c r="R350">
        <v>0.33</v>
      </c>
      <c r="S350">
        <v>163.13</v>
      </c>
      <c r="T350" t="s">
        <v>167</v>
      </c>
    </row>
    <row r="351" spans="1:20" x14ac:dyDescent="0.25">
      <c r="A351" s="1" t="str">
        <f>HYPERLINK("https://vegkart.atlas.vegvesen.no/#/@962234.0,7912436.9,18/hva:hva%5B0%5D%5Bfilter%5D%5B0%5D%5Boperator%5D=%21%3D&amp;hva%5B0%5D%5Bfilter%5D%5B0%5D%5Btype_id%5D=8913&amp;hva%5B0%5D%5Bfilter%5D%5B0%5D%5Bverdi%5D=&amp;hva%5B0%5D%5Bid%5D=39/når:2024-12-05", "Vegkart")</f>
        <v>Vegkart</v>
      </c>
      <c r="B351">
        <v>92802816</v>
      </c>
      <c r="C351">
        <v>39</v>
      </c>
      <c r="D351" t="s">
        <v>1201</v>
      </c>
      <c r="E351">
        <v>8913</v>
      </c>
      <c r="F351" t="s">
        <v>23479</v>
      </c>
      <c r="G351">
        <v>5</v>
      </c>
      <c r="H351" t="s">
        <v>1270</v>
      </c>
      <c r="J351" t="s">
        <v>1266</v>
      </c>
      <c r="K351" t="s">
        <v>450</v>
      </c>
      <c r="L351" t="s">
        <v>33</v>
      </c>
      <c r="M351" t="s">
        <v>1271</v>
      </c>
      <c r="N351" t="s">
        <v>1302</v>
      </c>
      <c r="O351" t="s">
        <v>1303</v>
      </c>
      <c r="P351" s="2" t="s">
        <v>165</v>
      </c>
      <c r="Q351" t="s">
        <v>166</v>
      </c>
      <c r="R351">
        <v>0.3</v>
      </c>
      <c r="S351">
        <v>147.6</v>
      </c>
      <c r="T351" t="s">
        <v>167</v>
      </c>
    </row>
    <row r="352" spans="1:20" x14ac:dyDescent="0.25">
      <c r="A352" s="1" t="str">
        <f>HYPERLINK("https://vegkart.atlas.vegvesen.no/#/@933620.1,7850159.6,18/hva:hva%5B0%5D%5Bfilter%5D%5B0%5D%5Boperator%5D=%21%3D&amp;hva%5B0%5D%5Bfilter%5D%5B0%5D%5Btype_id%5D=8913&amp;hva%5B0%5D%5Bfilter%5D%5B0%5D%5Bverdi%5D=&amp;hva%5B0%5D%5Bid%5D=39/når:2024-12-05", "Vegkart")</f>
        <v>Vegkart</v>
      </c>
      <c r="B352">
        <v>92823051</v>
      </c>
      <c r="C352">
        <v>39</v>
      </c>
      <c r="D352" t="s">
        <v>1201</v>
      </c>
      <c r="E352">
        <v>8913</v>
      </c>
      <c r="F352" t="s">
        <v>23479</v>
      </c>
      <c r="G352">
        <v>4</v>
      </c>
      <c r="H352" t="s">
        <v>1270</v>
      </c>
      <c r="J352" t="s">
        <v>1266</v>
      </c>
      <c r="K352" t="s">
        <v>450</v>
      </c>
      <c r="L352" t="s">
        <v>33</v>
      </c>
      <c r="M352" t="s">
        <v>1278</v>
      </c>
      <c r="N352" t="s">
        <v>1304</v>
      </c>
      <c r="O352" t="s">
        <v>1305</v>
      </c>
      <c r="P352" s="2" t="s">
        <v>165</v>
      </c>
      <c r="Q352" t="s">
        <v>166</v>
      </c>
      <c r="R352">
        <v>0.38</v>
      </c>
      <c r="S352">
        <v>150.91</v>
      </c>
      <c r="T352" t="s">
        <v>167</v>
      </c>
    </row>
    <row r="353" spans="1:20" x14ac:dyDescent="0.25">
      <c r="A353" s="1" t="str">
        <f>HYPERLINK("https://vegkart.atlas.vegvesen.no/#/@901148.9,7842298.1,18/hva:hva%5B0%5D%5Bfilter%5D%5B0%5D%5Boperator%5D=%21%3D&amp;hva%5B0%5D%5Bfilter%5D%5B0%5D%5Btype_id%5D=8913&amp;hva%5B0%5D%5Bfilter%5D%5B0%5D%5Bverdi%5D=&amp;hva%5B0%5D%5Bid%5D=39/når:2024-12-05", "Vegkart")</f>
        <v>Vegkart</v>
      </c>
      <c r="B353">
        <v>92823671</v>
      </c>
      <c r="C353">
        <v>39</v>
      </c>
      <c r="D353" t="s">
        <v>1201</v>
      </c>
      <c r="E353">
        <v>8913</v>
      </c>
      <c r="F353" t="s">
        <v>23479</v>
      </c>
      <c r="G353">
        <v>5</v>
      </c>
      <c r="H353" t="s">
        <v>1270</v>
      </c>
      <c r="J353" t="s">
        <v>1266</v>
      </c>
      <c r="K353" t="s">
        <v>450</v>
      </c>
      <c r="L353" t="s">
        <v>33</v>
      </c>
      <c r="M353" t="s">
        <v>1278</v>
      </c>
      <c r="N353" t="s">
        <v>1306</v>
      </c>
      <c r="O353" t="s">
        <v>1307</v>
      </c>
      <c r="P353" s="2" t="s">
        <v>165</v>
      </c>
      <c r="Q353" t="s">
        <v>166</v>
      </c>
      <c r="R353">
        <v>0.48</v>
      </c>
      <c r="S353">
        <v>199.6</v>
      </c>
      <c r="T353" t="s">
        <v>167</v>
      </c>
    </row>
    <row r="354" spans="1:20" x14ac:dyDescent="0.25">
      <c r="A354" s="1" t="str">
        <f>HYPERLINK("https://vegkart.atlas.vegvesen.no/#/@887389.2,7813404.5,18/hva:hva%5B0%5D%5Bfilter%5D%5B0%5D%5Boperator%5D=%21%3D&amp;hva%5B0%5D%5Bfilter%5D%5B0%5D%5Btype_id%5D=8913&amp;hva%5B0%5D%5Bfilter%5D%5B0%5D%5Bverdi%5D=&amp;hva%5B0%5D%5Bid%5D=39/når:2024-12-05", "Vegkart")</f>
        <v>Vegkart</v>
      </c>
      <c r="B354">
        <v>92825070</v>
      </c>
      <c r="C354">
        <v>39</v>
      </c>
      <c r="D354" t="s">
        <v>1201</v>
      </c>
      <c r="E354">
        <v>8913</v>
      </c>
      <c r="F354" t="s">
        <v>23479</v>
      </c>
      <c r="G354">
        <v>4</v>
      </c>
      <c r="H354" t="s">
        <v>1270</v>
      </c>
      <c r="J354" t="s">
        <v>1266</v>
      </c>
      <c r="K354" t="s">
        <v>450</v>
      </c>
      <c r="L354" t="s">
        <v>33</v>
      </c>
      <c r="M354" t="s">
        <v>1278</v>
      </c>
      <c r="N354" t="s">
        <v>1308</v>
      </c>
      <c r="O354" t="s">
        <v>1309</v>
      </c>
      <c r="P354" s="2" t="s">
        <v>165</v>
      </c>
      <c r="Q354" t="s">
        <v>166</v>
      </c>
      <c r="R354">
        <v>0.15</v>
      </c>
      <c r="S354">
        <v>156.13999999999999</v>
      </c>
      <c r="T354" t="s">
        <v>167</v>
      </c>
    </row>
    <row r="355" spans="1:20" x14ac:dyDescent="0.25">
      <c r="A355" s="1" t="str">
        <f>HYPERLINK("https://vegkart.atlas.vegvesen.no/#/@79747.9,6645285.4,18/hva:hva%5B0%5D%5Bfilter%5D%5B0%5D%5Boperator%5D=%21%3D&amp;hva%5B0%5D%5Bfilter%5D%5B0%5D%5Btype_id%5D=8913&amp;hva%5B0%5D%5Bfilter%5D%5B0%5D%5Bverdi%5D=&amp;hva%5B0%5D%5Bid%5D=39/når:2024-10-24", "Vegkart")</f>
        <v>Vegkart</v>
      </c>
      <c r="B355">
        <v>101490219</v>
      </c>
      <c r="C355">
        <v>39</v>
      </c>
      <c r="D355" t="s">
        <v>1201</v>
      </c>
      <c r="E355">
        <v>8913</v>
      </c>
      <c r="F355" t="s">
        <v>23479</v>
      </c>
      <c r="G355">
        <v>6</v>
      </c>
      <c r="H355" t="s">
        <v>1310</v>
      </c>
      <c r="J355" t="s">
        <v>1311</v>
      </c>
      <c r="K355" t="s">
        <v>197</v>
      </c>
      <c r="L355" t="s">
        <v>80</v>
      </c>
      <c r="M355" t="s">
        <v>645</v>
      </c>
      <c r="N355" t="s">
        <v>1312</v>
      </c>
      <c r="O355" t="s">
        <v>1313</v>
      </c>
      <c r="P355" s="2" t="s">
        <v>165</v>
      </c>
      <c r="Q355" t="s">
        <v>166</v>
      </c>
      <c r="R355">
        <v>141</v>
      </c>
      <c r="S355">
        <v>144.28</v>
      </c>
      <c r="T355" t="s">
        <v>167</v>
      </c>
    </row>
    <row r="356" spans="1:20" x14ac:dyDescent="0.25">
      <c r="A356" s="1" t="str">
        <f>HYPERLINK("https://vegkart.atlas.vegvesen.no/#/@95125.2,6634337.7,18/hva:hva%5B0%5D%5Bfilter%5D%5B0%5D%5Boperator%5D=%21%3D&amp;hva%5B0%5D%5Bfilter%5D%5B0%5D%5Btype_id%5D=8913&amp;hva%5B0%5D%5Bfilter%5D%5B0%5D%5Bverdi%5D=&amp;hva%5B0%5D%5Bid%5D=39/når:2024-10-24", "Vegkart")</f>
        <v>Vegkart</v>
      </c>
      <c r="B356">
        <v>101518134</v>
      </c>
      <c r="C356">
        <v>39</v>
      </c>
      <c r="D356" t="s">
        <v>1201</v>
      </c>
      <c r="E356">
        <v>8913</v>
      </c>
      <c r="F356" t="s">
        <v>23479</v>
      </c>
      <c r="G356">
        <v>9</v>
      </c>
      <c r="H356" t="s">
        <v>1310</v>
      </c>
      <c r="J356" t="s">
        <v>1311</v>
      </c>
      <c r="K356" t="s">
        <v>197</v>
      </c>
      <c r="L356" t="s">
        <v>80</v>
      </c>
      <c r="M356" t="s">
        <v>645</v>
      </c>
      <c r="N356" t="s">
        <v>1314</v>
      </c>
      <c r="O356" t="s">
        <v>1315</v>
      </c>
      <c r="P356" s="2" t="s">
        <v>165</v>
      </c>
      <c r="Q356" t="s">
        <v>166</v>
      </c>
      <c r="R356">
        <v>111.73</v>
      </c>
      <c r="S356">
        <v>117.66</v>
      </c>
      <c r="T356" t="s">
        <v>167</v>
      </c>
    </row>
    <row r="357" spans="1:20" x14ac:dyDescent="0.25">
      <c r="A357" s="1" t="str">
        <f>HYPERLINK("https://vegkart.atlas.vegvesen.no/#/@126900.1,6612164.5,18/hva:hva%5B0%5D%5Bfilter%5D%5B0%5D%5Boperator%5D=%21%3D&amp;hva%5B0%5D%5Bfilter%5D%5B0%5D%5Btype_id%5D=8913&amp;hva%5B0%5D%5Bfilter%5D%5B0%5D%5Bverdi%5D=&amp;hva%5B0%5D%5Bid%5D=39/når:2025-11-26", "Vegkart")</f>
        <v>Vegkart</v>
      </c>
      <c r="B357">
        <v>101518142</v>
      </c>
      <c r="C357">
        <v>39</v>
      </c>
      <c r="D357" t="s">
        <v>1201</v>
      </c>
      <c r="E357">
        <v>8913</v>
      </c>
      <c r="F357" t="s">
        <v>23479</v>
      </c>
      <c r="G357">
        <v>11</v>
      </c>
      <c r="H357" t="s">
        <v>778</v>
      </c>
      <c r="J357" t="s">
        <v>1316</v>
      </c>
      <c r="K357" t="s">
        <v>197</v>
      </c>
      <c r="L357" t="s">
        <v>80</v>
      </c>
      <c r="M357" t="s">
        <v>645</v>
      </c>
      <c r="N357" t="s">
        <v>1317</v>
      </c>
      <c r="O357" t="s">
        <v>1318</v>
      </c>
      <c r="P357" s="2" t="s">
        <v>165</v>
      </c>
      <c r="Q357" t="s">
        <v>166</v>
      </c>
      <c r="R357">
        <v>103.44</v>
      </c>
      <c r="S357">
        <v>105.42</v>
      </c>
      <c r="T357" t="s">
        <v>167</v>
      </c>
    </row>
    <row r="358" spans="1:20" x14ac:dyDescent="0.25">
      <c r="A358" s="1" t="str">
        <f>HYPERLINK("https://vegkart.atlas.vegvesen.no/#/@126997.9,6612177.8,18/hva:hva%5B0%5D%5Bfilter%5D%5B0%5D%5Boperator%5D=%21%3D&amp;hva%5B0%5D%5Bfilter%5D%5B0%5D%5Btype_id%5D=8913&amp;hva%5B0%5D%5Bfilter%5D%5B0%5D%5Bverdi%5D=&amp;hva%5B0%5D%5Bid%5D=39/når:2025-11-27", "Vegkart")</f>
        <v>Vegkart</v>
      </c>
      <c r="B358">
        <v>101518150</v>
      </c>
      <c r="C358">
        <v>39</v>
      </c>
      <c r="D358" t="s">
        <v>1201</v>
      </c>
      <c r="E358">
        <v>8913</v>
      </c>
      <c r="F358" t="s">
        <v>23479</v>
      </c>
      <c r="G358">
        <v>11</v>
      </c>
      <c r="H358" t="s">
        <v>1319</v>
      </c>
      <c r="J358" t="s">
        <v>1320</v>
      </c>
      <c r="K358" t="s">
        <v>197</v>
      </c>
      <c r="L358" t="s">
        <v>80</v>
      </c>
      <c r="M358" t="s">
        <v>645</v>
      </c>
      <c r="N358" t="s">
        <v>1321</v>
      </c>
      <c r="O358" t="s">
        <v>1322</v>
      </c>
      <c r="P358" s="2" t="s">
        <v>165</v>
      </c>
      <c r="Q358" t="s">
        <v>166</v>
      </c>
      <c r="R358">
        <v>112.86</v>
      </c>
      <c r="S358">
        <v>121.47</v>
      </c>
      <c r="T358" t="s">
        <v>167</v>
      </c>
    </row>
    <row r="359" spans="1:20" x14ac:dyDescent="0.25">
      <c r="A359" s="1" t="str">
        <f>HYPERLINK("https://vegkart.atlas.vegvesen.no/#/@112413.1,6618777.6,18/hva:hva%5B0%5D%5Bfilter%5D%5B0%5D%5Boperator%5D=%21%3D&amp;hva%5B0%5D%5Bfilter%5D%5B0%5D%5Btype_id%5D=8913&amp;hva%5B0%5D%5Bfilter%5D%5B0%5D%5Bverdi%5D=&amp;hva%5B0%5D%5Bid%5D=39/når:2024-10-24", "Vegkart")</f>
        <v>Vegkart</v>
      </c>
      <c r="B359">
        <v>101518155</v>
      </c>
      <c r="C359">
        <v>39</v>
      </c>
      <c r="D359" t="s">
        <v>1201</v>
      </c>
      <c r="E359">
        <v>8913</v>
      </c>
      <c r="F359" t="s">
        <v>23479</v>
      </c>
      <c r="G359">
        <v>7</v>
      </c>
      <c r="H359" t="s">
        <v>1310</v>
      </c>
      <c r="J359" t="s">
        <v>1311</v>
      </c>
      <c r="K359" t="s">
        <v>197</v>
      </c>
      <c r="L359" t="s">
        <v>80</v>
      </c>
      <c r="M359" t="s">
        <v>645</v>
      </c>
      <c r="N359" t="s">
        <v>1323</v>
      </c>
      <c r="O359" t="s">
        <v>1324</v>
      </c>
      <c r="P359" s="2" t="s">
        <v>165</v>
      </c>
      <c r="Q359" t="s">
        <v>166</v>
      </c>
      <c r="R359">
        <v>52.57</v>
      </c>
      <c r="S359">
        <v>57.38</v>
      </c>
      <c r="T359" t="s">
        <v>167</v>
      </c>
    </row>
    <row r="360" spans="1:20" x14ac:dyDescent="0.25">
      <c r="A360" s="1" t="str">
        <f>HYPERLINK("https://vegkart.atlas.vegvesen.no/#/@101799.7,6625358.2,18/hva:hva%5B0%5D%5Bfilter%5D%5B0%5D%5Boperator%5D=%21%3D&amp;hva%5B0%5D%5Bfilter%5D%5B0%5D%5Btype_id%5D=8913&amp;hva%5B0%5D%5Bfilter%5D%5B0%5D%5Bverdi%5D=&amp;hva%5B0%5D%5Bid%5D=39/når:2024-10-24", "Vegkart")</f>
        <v>Vegkart</v>
      </c>
      <c r="B360">
        <v>101518159</v>
      </c>
      <c r="C360">
        <v>39</v>
      </c>
      <c r="D360" t="s">
        <v>1201</v>
      </c>
      <c r="E360">
        <v>8913</v>
      </c>
      <c r="F360" t="s">
        <v>23479</v>
      </c>
      <c r="G360">
        <v>6</v>
      </c>
      <c r="H360" t="s">
        <v>1310</v>
      </c>
      <c r="J360" t="s">
        <v>1311</v>
      </c>
      <c r="K360" t="s">
        <v>197</v>
      </c>
      <c r="L360" t="s">
        <v>80</v>
      </c>
      <c r="M360" t="s">
        <v>645</v>
      </c>
      <c r="N360" t="s">
        <v>1325</v>
      </c>
      <c r="O360" t="s">
        <v>1326</v>
      </c>
      <c r="P360" s="2" t="s">
        <v>165</v>
      </c>
      <c r="Q360" t="s">
        <v>166</v>
      </c>
      <c r="R360">
        <v>56.97</v>
      </c>
      <c r="S360">
        <v>64.599999999999994</v>
      </c>
      <c r="T360" t="s">
        <v>167</v>
      </c>
    </row>
    <row r="361" spans="1:20" x14ac:dyDescent="0.25">
      <c r="A361" s="1" t="str">
        <f>HYPERLINK("https://vegkart.atlas.vegvesen.no/#/@61718.6,6659321.1,18/hva:hva%5B0%5D%5Bfilter%5D%5B0%5D%5Boperator%5D=%21%3D&amp;hva%5B0%5D%5Bfilter%5D%5B0%5D%5Btype_id%5D=8913&amp;hva%5B0%5D%5Bfilter%5D%5B0%5D%5Bverdi%5D=&amp;hva%5B0%5D%5Bid%5D=39/når:2024-10-24", "Vegkart")</f>
        <v>Vegkart</v>
      </c>
      <c r="B361">
        <v>101528662</v>
      </c>
      <c r="C361">
        <v>39</v>
      </c>
      <c r="D361" t="s">
        <v>1201</v>
      </c>
      <c r="E361">
        <v>8913</v>
      </c>
      <c r="F361" t="s">
        <v>23479</v>
      </c>
      <c r="G361">
        <v>8</v>
      </c>
      <c r="H361" t="s">
        <v>1310</v>
      </c>
      <c r="J361" t="s">
        <v>1311</v>
      </c>
      <c r="K361" t="s">
        <v>197</v>
      </c>
      <c r="L361" t="s">
        <v>80</v>
      </c>
      <c r="M361" t="s">
        <v>645</v>
      </c>
      <c r="N361" t="s">
        <v>1327</v>
      </c>
      <c r="O361" t="s">
        <v>1328</v>
      </c>
      <c r="P361" s="2" t="s">
        <v>165</v>
      </c>
      <c r="Q361" t="s">
        <v>166</v>
      </c>
      <c r="R361">
        <v>69.86</v>
      </c>
      <c r="S361">
        <v>82.02</v>
      </c>
      <c r="T361" t="s">
        <v>167</v>
      </c>
    </row>
    <row r="362" spans="1:20" x14ac:dyDescent="0.25">
      <c r="A362" s="1" t="str">
        <f>HYPERLINK("https://vegkart.atlas.vegvesen.no/#/@591210.3,7710436.3,18/hva:hva%5B0%5D%5Bfilter%5D%5B0%5D%5Boperator%5D=%21%3D&amp;hva%5B0%5D%5Bfilter%5D%5B0%5D%5Btype_id%5D=8913&amp;hva%5B0%5D%5Bfilter%5D%5B0%5D%5Bverdi%5D=&amp;hva%5B0%5D%5Bid%5D=39/når:2025-01-30", "Vegkart")</f>
        <v>Vegkart</v>
      </c>
      <c r="B362">
        <v>144968506</v>
      </c>
      <c r="C362">
        <v>39</v>
      </c>
      <c r="D362" t="s">
        <v>1201</v>
      </c>
      <c r="E362">
        <v>8913</v>
      </c>
      <c r="F362" t="s">
        <v>23479</v>
      </c>
      <c r="G362">
        <v>3</v>
      </c>
      <c r="H362" t="s">
        <v>1239</v>
      </c>
      <c r="J362" t="s">
        <v>1311</v>
      </c>
      <c r="K362" t="s">
        <v>179</v>
      </c>
      <c r="L362" t="s">
        <v>33</v>
      </c>
      <c r="M362" t="s">
        <v>1244</v>
      </c>
      <c r="N362" t="s">
        <v>1329</v>
      </c>
      <c r="O362" t="s">
        <v>1330</v>
      </c>
      <c r="P362" s="2" t="s">
        <v>165</v>
      </c>
      <c r="Q362" t="s">
        <v>166</v>
      </c>
      <c r="R362">
        <v>0.63</v>
      </c>
      <c r="S362">
        <v>377.15</v>
      </c>
      <c r="T362" t="s">
        <v>167</v>
      </c>
    </row>
    <row r="363" spans="1:20" x14ac:dyDescent="0.25">
      <c r="A363" s="1" t="str">
        <f>HYPERLINK("https://vegkart.atlas.vegvesen.no/#/@888083.1,7818601.4,18/hva:hva%5B0%5D%5Bfilter%5D%5B0%5D%5Boperator%5D=%21%3D&amp;hva%5B0%5D%5Bfilter%5D%5B0%5D%5Btype_id%5D=8913&amp;hva%5B0%5D%5Bfilter%5D%5B0%5D%5Bverdi%5D=&amp;hva%5B0%5D%5Bid%5D=39/når:2024-12-05", "Vegkart")</f>
        <v>Vegkart</v>
      </c>
      <c r="B363">
        <v>212479364</v>
      </c>
      <c r="C363">
        <v>39</v>
      </c>
      <c r="D363" t="s">
        <v>1201</v>
      </c>
      <c r="E363">
        <v>8913</v>
      </c>
      <c r="F363" t="s">
        <v>23479</v>
      </c>
      <c r="G363">
        <v>4</v>
      </c>
      <c r="H363" t="s">
        <v>1270</v>
      </c>
      <c r="J363" t="s">
        <v>1266</v>
      </c>
      <c r="K363" t="s">
        <v>450</v>
      </c>
      <c r="L363" t="s">
        <v>33</v>
      </c>
      <c r="M363" t="s">
        <v>1278</v>
      </c>
      <c r="N363" t="s">
        <v>1331</v>
      </c>
      <c r="O363" t="s">
        <v>1332</v>
      </c>
      <c r="P363" s="2" t="s">
        <v>165</v>
      </c>
      <c r="Q363" t="s">
        <v>166</v>
      </c>
      <c r="R363">
        <v>0.33</v>
      </c>
      <c r="S363">
        <v>201.41</v>
      </c>
      <c r="T363" t="s">
        <v>167</v>
      </c>
    </row>
    <row r="364" spans="1:20" x14ac:dyDescent="0.25">
      <c r="A364" s="1" t="str">
        <f>HYPERLINK("https://vegkart.atlas.vegvesen.no/#/@963855.7,7903999.5,18/hva:hva%5B0%5D%5Bfilter%5D%5B0%5D%5Boperator%5D=%21%3D&amp;hva%5B0%5D%5Bfilter%5D%5B0%5D%5Btype_id%5D=8913&amp;hva%5B0%5D%5Bfilter%5D%5B0%5D%5Bverdi%5D=&amp;hva%5B0%5D%5Bid%5D=39/når:2024-12-05", "Vegkart")</f>
        <v>Vegkart</v>
      </c>
      <c r="B364">
        <v>219124830</v>
      </c>
      <c r="C364">
        <v>39</v>
      </c>
      <c r="D364" t="s">
        <v>1201</v>
      </c>
      <c r="E364">
        <v>8913</v>
      </c>
      <c r="F364" t="s">
        <v>23479</v>
      </c>
      <c r="G364">
        <v>3</v>
      </c>
      <c r="H364" t="s">
        <v>1270</v>
      </c>
      <c r="J364" t="s">
        <v>1266</v>
      </c>
      <c r="K364" t="s">
        <v>450</v>
      </c>
      <c r="L364" t="s">
        <v>33</v>
      </c>
      <c r="M364" t="s">
        <v>1271</v>
      </c>
      <c r="N364" t="s">
        <v>1333</v>
      </c>
      <c r="O364" t="s">
        <v>1334</v>
      </c>
      <c r="P364" s="2" t="s">
        <v>165</v>
      </c>
      <c r="Q364" t="s">
        <v>166</v>
      </c>
      <c r="R364">
        <v>0.53</v>
      </c>
      <c r="S364">
        <v>178.27</v>
      </c>
      <c r="T364" t="s">
        <v>167</v>
      </c>
    </row>
    <row r="365" spans="1:20" x14ac:dyDescent="0.25">
      <c r="A365" s="1" t="str">
        <f>HYPERLINK("https://vegkart.atlas.vegvesen.no/#/@851523.2,7881608.3,18/hva:hva%5B0%5D%5Bfilter%5D%5B0%5D%5Boperator%5D=%21%3D&amp;hva%5B0%5D%5Bfilter%5D%5B0%5D%5Btype_id%5D=8913&amp;hva%5B0%5D%5Bfilter%5D%5B0%5D%5Bverdi%5D=&amp;hva%5B0%5D%5Bid%5D=39/når:2024-12-09", "Vegkart")</f>
        <v>Vegkart</v>
      </c>
      <c r="B365">
        <v>262046469</v>
      </c>
      <c r="C365">
        <v>39</v>
      </c>
      <c r="D365" t="s">
        <v>1201</v>
      </c>
      <c r="E365">
        <v>8913</v>
      </c>
      <c r="F365" t="s">
        <v>23479</v>
      </c>
      <c r="G365">
        <v>4</v>
      </c>
      <c r="H365" t="s">
        <v>1281</v>
      </c>
      <c r="J365" t="s">
        <v>1266</v>
      </c>
      <c r="K365" t="s">
        <v>450</v>
      </c>
      <c r="L365" t="s">
        <v>33</v>
      </c>
      <c r="M365" t="s">
        <v>1282</v>
      </c>
      <c r="N365" t="s">
        <v>1335</v>
      </c>
      <c r="O365" t="s">
        <v>1336</v>
      </c>
      <c r="P365" s="2" t="s">
        <v>165</v>
      </c>
      <c r="Q365" t="s">
        <v>166</v>
      </c>
      <c r="R365">
        <v>0.13</v>
      </c>
      <c r="S365">
        <v>209.12</v>
      </c>
      <c r="T365" t="s">
        <v>167</v>
      </c>
    </row>
    <row r="366" spans="1:20" x14ac:dyDescent="0.25">
      <c r="A366" s="1" t="str">
        <f>HYPERLINK("https://vegkart.atlas.vegvesen.no/#/@668951.6,7756816.7,18/hva:hva%5B0%5D%5Bfilter%5D%5B0%5D%5Boperator%5D=%21%3D&amp;hva%5B0%5D%5Bfilter%5D%5B0%5D%5Btype_id%5D=8913&amp;hva%5B0%5D%5Bfilter%5D%5B0%5D%5Bverdi%5D=&amp;hva%5B0%5D%5Bid%5D=39/når:2015-05-28", "Vegkart")</f>
        <v>Vegkart</v>
      </c>
      <c r="B366">
        <v>598117828</v>
      </c>
      <c r="C366">
        <v>39</v>
      </c>
      <c r="D366" t="s">
        <v>1201</v>
      </c>
      <c r="E366">
        <v>8913</v>
      </c>
      <c r="F366" t="s">
        <v>23479</v>
      </c>
      <c r="G366">
        <v>1</v>
      </c>
      <c r="H366" t="s">
        <v>1337</v>
      </c>
      <c r="J366" t="s">
        <v>1338</v>
      </c>
      <c r="K366" t="s">
        <v>179</v>
      </c>
      <c r="L366" t="s">
        <v>33</v>
      </c>
      <c r="M366" t="s">
        <v>1339</v>
      </c>
      <c r="N366" t="s">
        <v>1340</v>
      </c>
      <c r="O366" t="s">
        <v>1341</v>
      </c>
      <c r="P366" s="2" t="s">
        <v>37</v>
      </c>
      <c r="Q366" t="s">
        <v>1208</v>
      </c>
      <c r="R366">
        <v>0.25</v>
      </c>
      <c r="S366">
        <v>210.54</v>
      </c>
      <c r="T366" t="s">
        <v>1342</v>
      </c>
    </row>
    <row r="367" spans="1:20" x14ac:dyDescent="0.25">
      <c r="A367" s="1" t="str">
        <f>HYPERLINK("https://vegkart.atlas.vegvesen.no/#/@849401.3,7895660.8,18/hva:hva%5B0%5D%5Bfilter%5D%5B0%5D%5Boperator%5D=%21%3D&amp;hva%5B0%5D%5Bfilter%5D%5B0%5D%5Btype_id%5D=8913&amp;hva%5B0%5D%5Bfilter%5D%5B0%5D%5Bverdi%5D=&amp;hva%5B0%5D%5Bid%5D=39/når:2024-12-09", "Vegkart")</f>
        <v>Vegkart</v>
      </c>
      <c r="B367">
        <v>613289065</v>
      </c>
      <c r="C367">
        <v>39</v>
      </c>
      <c r="D367" t="s">
        <v>1201</v>
      </c>
      <c r="E367">
        <v>8913</v>
      </c>
      <c r="F367" t="s">
        <v>23479</v>
      </c>
      <c r="G367">
        <v>3</v>
      </c>
      <c r="H367" t="s">
        <v>1281</v>
      </c>
      <c r="J367" t="s">
        <v>1266</v>
      </c>
      <c r="K367" t="s">
        <v>450</v>
      </c>
      <c r="L367" t="s">
        <v>33</v>
      </c>
      <c r="M367" t="s">
        <v>1282</v>
      </c>
      <c r="N367" t="s">
        <v>1343</v>
      </c>
      <c r="O367" t="s">
        <v>1344</v>
      </c>
      <c r="P367" s="2" t="s">
        <v>165</v>
      </c>
      <c r="Q367" t="s">
        <v>166</v>
      </c>
      <c r="R367">
        <v>0.16</v>
      </c>
      <c r="S367">
        <v>395.3</v>
      </c>
      <c r="T367" t="s">
        <v>167</v>
      </c>
    </row>
    <row r="368" spans="1:20" x14ac:dyDescent="0.25">
      <c r="A368" s="1" t="str">
        <f>HYPERLINK("https://vegkart.atlas.vegvesen.no/#/@-48812.0,6718803.8,18/hva:hva%5B0%5D%5Bfilter%5D%5B0%5D%5Boperator%5D=%21%3D&amp;hva%5B0%5D%5Bfilter%5D%5B0%5D%5Btype_id%5D=8913&amp;hva%5B0%5D%5Bfilter%5D%5B0%5D%5Bverdi%5D=&amp;hva%5B0%5D%5Bid%5D=39/når:2017-09-28", "Vegkart")</f>
        <v>Vegkart</v>
      </c>
      <c r="B368">
        <v>725429581</v>
      </c>
      <c r="C368">
        <v>39</v>
      </c>
      <c r="D368" t="s">
        <v>1201</v>
      </c>
      <c r="E368">
        <v>8913</v>
      </c>
      <c r="F368" t="s">
        <v>23479</v>
      </c>
      <c r="G368">
        <v>2</v>
      </c>
      <c r="H368" t="s">
        <v>1345</v>
      </c>
      <c r="J368" t="s">
        <v>1338</v>
      </c>
      <c r="K368" t="s">
        <v>21</v>
      </c>
      <c r="L368" t="s">
        <v>33</v>
      </c>
      <c r="M368" t="s">
        <v>1346</v>
      </c>
      <c r="N368" t="s">
        <v>1347</v>
      </c>
      <c r="O368" t="s">
        <v>1348</v>
      </c>
      <c r="P368" s="2" t="s">
        <v>165</v>
      </c>
      <c r="Q368" t="s">
        <v>1012</v>
      </c>
      <c r="R368">
        <v>61.97</v>
      </c>
      <c r="S368">
        <v>80.67</v>
      </c>
      <c r="T368" t="s">
        <v>167</v>
      </c>
    </row>
    <row r="369" spans="1:20" x14ac:dyDescent="0.25">
      <c r="A369" s="1" t="str">
        <f>HYPERLINK("https://vegkart.atlas.vegvesen.no/#/@29798.7,6687044.2,18/hva:hva%5B0%5D%5Bfilter%5D%5B0%5D%5Boperator%5D=%21%3D&amp;hva%5B0%5D%5Bfilter%5D%5B0%5D%5Btype_id%5D=8913&amp;hva%5B0%5D%5Bfilter%5D%5B0%5D%5Bverdi%5D=&amp;hva%5B0%5D%5Bid%5D=39/når:2016-10-10", "Vegkart")</f>
        <v>Vegkart</v>
      </c>
      <c r="B369">
        <v>744480561</v>
      </c>
      <c r="C369">
        <v>39</v>
      </c>
      <c r="D369" t="s">
        <v>1201</v>
      </c>
      <c r="E369">
        <v>8913</v>
      </c>
      <c r="F369" t="s">
        <v>23479</v>
      </c>
      <c r="G369">
        <v>1</v>
      </c>
      <c r="H369" t="s">
        <v>1349</v>
      </c>
      <c r="J369" t="s">
        <v>1350</v>
      </c>
      <c r="K369" t="s">
        <v>21</v>
      </c>
      <c r="L369" t="s">
        <v>22</v>
      </c>
      <c r="M369" t="s">
        <v>1351</v>
      </c>
      <c r="N369" t="s">
        <v>1352</v>
      </c>
      <c r="O369" t="s">
        <v>1353</v>
      </c>
      <c r="P369" s="2" t="s">
        <v>165</v>
      </c>
      <c r="Q369" t="s">
        <v>1012</v>
      </c>
      <c r="R369">
        <v>4.8099999999999996</v>
      </c>
      <c r="S369">
        <v>4.8099999999999996</v>
      </c>
      <c r="T369" t="s">
        <v>167</v>
      </c>
    </row>
    <row r="370" spans="1:20" x14ac:dyDescent="0.25">
      <c r="A370" s="1" t="str">
        <f>HYPERLINK("https://vegkart.atlas.vegvesen.no/#/@30172.8,6689357.7,18/hva:hva%5B0%5D%5Bfilter%5D%5B0%5D%5Boperator%5D=%21%3D&amp;hva%5B0%5D%5Bfilter%5D%5B0%5D%5Btype_id%5D=8913&amp;hva%5B0%5D%5Bfilter%5D%5B0%5D%5Bverdi%5D=&amp;hva%5B0%5D%5Bid%5D=39/når:2016-10-17", "Vegkart")</f>
        <v>Vegkart</v>
      </c>
      <c r="B370">
        <v>745220135</v>
      </c>
      <c r="C370">
        <v>39</v>
      </c>
      <c r="D370" t="s">
        <v>1201</v>
      </c>
      <c r="E370">
        <v>8913</v>
      </c>
      <c r="F370" t="s">
        <v>23479</v>
      </c>
      <c r="G370">
        <v>1</v>
      </c>
      <c r="H370" t="s">
        <v>1354</v>
      </c>
      <c r="J370" t="s">
        <v>1350</v>
      </c>
      <c r="K370" t="s">
        <v>21</v>
      </c>
      <c r="L370" t="s">
        <v>22</v>
      </c>
      <c r="M370" t="s">
        <v>1355</v>
      </c>
      <c r="N370" t="s">
        <v>1356</v>
      </c>
      <c r="O370" t="s">
        <v>1357</v>
      </c>
      <c r="P370" s="2" t="s">
        <v>165</v>
      </c>
      <c r="Q370" t="s">
        <v>1012</v>
      </c>
      <c r="R370">
        <v>5.54</v>
      </c>
      <c r="S370">
        <v>5.54</v>
      </c>
      <c r="T370" t="s">
        <v>167</v>
      </c>
    </row>
    <row r="371" spans="1:20" x14ac:dyDescent="0.25">
      <c r="A371" s="1" t="str">
        <f>HYPERLINK("https://vegkart.atlas.vegvesen.no/#/@-39116.6,6581895.3,18/hva:hva%5B0%5D%5Bfilter%5D%5B0%5D%5Boperator%5D=%21%3D&amp;hva%5B0%5D%5Bfilter%5D%5B0%5D%5Btype_id%5D=8913&amp;hva%5B0%5D%5Bfilter%5D%5B0%5D%5Bverdi%5D=&amp;hva%5B0%5D%5Bid%5D=39/når:2017-03-20", "Vegkart")</f>
        <v>Vegkart</v>
      </c>
      <c r="B371">
        <v>764742562</v>
      </c>
      <c r="C371">
        <v>39</v>
      </c>
      <c r="D371" t="s">
        <v>1201</v>
      </c>
      <c r="E371">
        <v>8913</v>
      </c>
      <c r="F371" t="s">
        <v>23479</v>
      </c>
      <c r="G371">
        <v>1</v>
      </c>
      <c r="H371" t="s">
        <v>1358</v>
      </c>
      <c r="J371" t="s">
        <v>1338</v>
      </c>
      <c r="K371" t="s">
        <v>170</v>
      </c>
      <c r="L371" t="s">
        <v>22</v>
      </c>
      <c r="M371" t="s">
        <v>1359</v>
      </c>
      <c r="N371" t="s">
        <v>1360</v>
      </c>
      <c r="O371" t="s">
        <v>1361</v>
      </c>
      <c r="P371" s="2" t="s">
        <v>37</v>
      </c>
      <c r="Q371" t="s">
        <v>1208</v>
      </c>
      <c r="R371">
        <v>6.21</v>
      </c>
      <c r="S371">
        <v>239.25</v>
      </c>
      <c r="T371" t="s">
        <v>1362</v>
      </c>
    </row>
    <row r="372" spans="1:20" x14ac:dyDescent="0.25">
      <c r="A372" s="1" t="str">
        <f>HYPERLINK("https://vegkart.atlas.vegvesen.no/#/@858782.4,7862976.8,18/hva:hva%5B0%5D%5Bfilter%5D%5B0%5D%5Boperator%5D=%21%3D&amp;hva%5B0%5D%5Bfilter%5D%5B0%5D%5Btype_id%5D=8913&amp;hva%5B0%5D%5Bfilter%5D%5B0%5D%5Bverdi%5D=&amp;hva%5B0%5D%5Bid%5D=39/når:2024-12-09", "Vegkart")</f>
        <v>Vegkart</v>
      </c>
      <c r="B372">
        <v>847893693</v>
      </c>
      <c r="C372">
        <v>39</v>
      </c>
      <c r="D372" t="s">
        <v>1201</v>
      </c>
      <c r="E372">
        <v>8913</v>
      </c>
      <c r="F372" t="s">
        <v>23479</v>
      </c>
      <c r="G372">
        <v>2</v>
      </c>
      <c r="H372" t="s">
        <v>1281</v>
      </c>
      <c r="J372" t="s">
        <v>1266</v>
      </c>
      <c r="K372" t="s">
        <v>450</v>
      </c>
      <c r="L372" t="s">
        <v>33</v>
      </c>
      <c r="M372" t="s">
        <v>1282</v>
      </c>
      <c r="N372" t="s">
        <v>1363</v>
      </c>
      <c r="O372" t="s">
        <v>1364</v>
      </c>
      <c r="P372" s="2" t="s">
        <v>165</v>
      </c>
      <c r="Q372" t="s">
        <v>166</v>
      </c>
      <c r="R372">
        <v>0</v>
      </c>
      <c r="S372">
        <v>340.8</v>
      </c>
      <c r="T372" t="s">
        <v>167</v>
      </c>
    </row>
    <row r="373" spans="1:20" x14ac:dyDescent="0.25">
      <c r="A373" s="1" t="str">
        <f>HYPERLINK("https://vegkart.atlas.vegvesen.no/#/@855687.9,7871731.8,18/hva:hva%5B0%5D%5Bfilter%5D%5B0%5D%5Boperator%5D=%21%3D&amp;hva%5B0%5D%5Bfilter%5D%5B0%5D%5Btype_id%5D=8913&amp;hva%5B0%5D%5Bfilter%5D%5B0%5D%5Bverdi%5D=&amp;hva%5B0%5D%5Bid%5D=39/når:2025-09-02", "Vegkart")</f>
        <v>Vegkart</v>
      </c>
      <c r="B373">
        <v>904727774</v>
      </c>
      <c r="C373">
        <v>39</v>
      </c>
      <c r="D373" t="s">
        <v>1201</v>
      </c>
      <c r="E373">
        <v>8913</v>
      </c>
      <c r="F373" t="s">
        <v>23479</v>
      </c>
      <c r="G373">
        <v>3</v>
      </c>
      <c r="H373" t="s">
        <v>1365</v>
      </c>
      <c r="J373" t="s">
        <v>1266</v>
      </c>
      <c r="K373" t="s">
        <v>450</v>
      </c>
      <c r="L373" t="s">
        <v>33</v>
      </c>
      <c r="M373" t="s">
        <v>1282</v>
      </c>
      <c r="N373" t="s">
        <v>1366</v>
      </c>
      <c r="O373" t="s">
        <v>1367</v>
      </c>
      <c r="P373" s="2" t="s">
        <v>165</v>
      </c>
      <c r="Q373" t="s">
        <v>166</v>
      </c>
      <c r="R373">
        <v>0</v>
      </c>
      <c r="S373">
        <v>322.24</v>
      </c>
      <c r="T373" t="s">
        <v>167</v>
      </c>
    </row>
    <row r="374" spans="1:20" x14ac:dyDescent="0.25">
      <c r="A374" s="1" t="str">
        <f>HYPERLINK("https://vegkart.atlas.vegvesen.no/#/@146229.8,6965835.2,18/hva:hva%5B0%5D%5Bfilter%5D%5B0%5D%5Boperator%5D=%21%3D&amp;hva%5B0%5D%5Bfilter%5D%5B0%5D%5Btype_id%5D=8913&amp;hva%5B0%5D%5Bfilter%5D%5B0%5D%5Bverdi%5D=&amp;hva%5B0%5D%5Bid%5D=39/når:2021-02-12", "Vegkart")</f>
        <v>Vegkart</v>
      </c>
      <c r="B374">
        <v>933673552</v>
      </c>
      <c r="C374">
        <v>39</v>
      </c>
      <c r="D374" t="s">
        <v>1201</v>
      </c>
      <c r="E374">
        <v>8913</v>
      </c>
      <c r="F374" t="s">
        <v>23479</v>
      </c>
      <c r="G374">
        <v>3</v>
      </c>
      <c r="H374" t="s">
        <v>1202</v>
      </c>
      <c r="J374" t="s">
        <v>1338</v>
      </c>
      <c r="K374" t="s">
        <v>32</v>
      </c>
      <c r="L374" t="s">
        <v>33</v>
      </c>
      <c r="M374" t="s">
        <v>162</v>
      </c>
      <c r="N374" t="s">
        <v>1368</v>
      </c>
      <c r="O374" t="s">
        <v>1369</v>
      </c>
      <c r="P374" s="2" t="s">
        <v>165</v>
      </c>
      <c r="Q374" t="s">
        <v>1012</v>
      </c>
      <c r="R374">
        <v>87.11</v>
      </c>
      <c r="S374">
        <v>87.96</v>
      </c>
      <c r="T374" t="s">
        <v>167</v>
      </c>
    </row>
    <row r="375" spans="1:20" x14ac:dyDescent="0.25">
      <c r="A375" s="1" t="str">
        <f>HYPERLINK("https://vegkart.atlas.vegvesen.no/#/@-3232.4,6619792.8,18/hva:hva%5B0%5D%5Bfilter%5D%5B0%5D%5Boperator%5D=%21%3D&amp;hva%5B0%5D%5Bfilter%5D%5B0%5D%5Btype_id%5D=8913&amp;hva%5B0%5D%5Bfilter%5D%5B0%5D%5Bverdi%5D=&amp;hva%5B0%5D%5Bid%5D=39/når:2024-12-06", "Vegkart")</f>
        <v>Vegkart</v>
      </c>
      <c r="B375">
        <v>1014459106</v>
      </c>
      <c r="C375">
        <v>39</v>
      </c>
      <c r="D375" t="s">
        <v>1201</v>
      </c>
      <c r="E375">
        <v>8913</v>
      </c>
      <c r="F375" t="s">
        <v>23479</v>
      </c>
      <c r="G375">
        <v>2</v>
      </c>
      <c r="H375" t="s">
        <v>1370</v>
      </c>
      <c r="J375" t="s">
        <v>1338</v>
      </c>
      <c r="K375" t="s">
        <v>170</v>
      </c>
      <c r="L375" t="s">
        <v>33</v>
      </c>
      <c r="M375" t="s">
        <v>21</v>
      </c>
      <c r="N375" t="s">
        <v>1371</v>
      </c>
      <c r="O375" t="s">
        <v>1372</v>
      </c>
      <c r="P375" s="2" t="s">
        <v>165</v>
      </c>
      <c r="Q375" t="s">
        <v>166</v>
      </c>
      <c r="R375">
        <v>47.7</v>
      </c>
      <c r="S375">
        <v>47.7</v>
      </c>
      <c r="T375" t="s">
        <v>167</v>
      </c>
    </row>
    <row r="376" spans="1:20" x14ac:dyDescent="0.25">
      <c r="A376" s="1" t="str">
        <f>HYPERLINK("https://vegkart.atlas.vegvesen.no/#/@15977.0,6833443.9,18/hva:hva%5B0%5D%5Bfilter%5D%5B0%5D%5Boperator%5D=%21%3D&amp;hva%5B0%5D%5Bfilter%5D%5B0%5D%5Btype_id%5D=8913&amp;hva%5B0%5D%5Bfilter%5D%5B0%5D%5Bverdi%5D=&amp;hva%5B0%5D%5Bid%5D=39/når:2023-06-08", "Vegkart")</f>
        <v>Vegkart</v>
      </c>
      <c r="B376">
        <v>1017725254</v>
      </c>
      <c r="C376">
        <v>39</v>
      </c>
      <c r="D376" t="s">
        <v>1201</v>
      </c>
      <c r="E376">
        <v>8913</v>
      </c>
      <c r="F376" t="s">
        <v>23479</v>
      </c>
      <c r="G376">
        <v>1</v>
      </c>
      <c r="H376" t="s">
        <v>1373</v>
      </c>
      <c r="J376" t="s">
        <v>1374</v>
      </c>
      <c r="K376" t="s">
        <v>21</v>
      </c>
      <c r="L376" t="s">
        <v>33</v>
      </c>
      <c r="M376" t="s">
        <v>1375</v>
      </c>
      <c r="N376" t="s">
        <v>1376</v>
      </c>
      <c r="O376" t="s">
        <v>1377</v>
      </c>
      <c r="P376" s="2" t="s">
        <v>37</v>
      </c>
      <c r="Q376" t="s">
        <v>1208</v>
      </c>
      <c r="R376">
        <v>0</v>
      </c>
      <c r="S376">
        <v>52.32</v>
      </c>
      <c r="T376" t="s">
        <v>1378</v>
      </c>
    </row>
    <row r="377" spans="1:20" x14ac:dyDescent="0.25">
      <c r="A377" s="1" t="str">
        <f>HYPERLINK("https://vegkart.atlas.vegvesen.no/#/@29857.5,6730202.1,18/hva:hva%5B0%5D%5Bfilter%5D%5B0%5D%5Boperator%5D=%21%3D&amp;hva%5B0%5D%5Bfilter%5D%5B0%5D%5Btype_id%5D=8913&amp;hva%5B0%5D%5Bfilter%5D%5B0%5D%5Bverdi%5D=&amp;hva%5B0%5D%5Bid%5D=39/når:2025-10-29", "Vegkart")</f>
        <v>Vegkart</v>
      </c>
      <c r="B377">
        <v>1017733986</v>
      </c>
      <c r="C377">
        <v>39</v>
      </c>
      <c r="D377" t="s">
        <v>1201</v>
      </c>
      <c r="E377">
        <v>8913</v>
      </c>
      <c r="F377" t="s">
        <v>23479</v>
      </c>
      <c r="G377">
        <v>4</v>
      </c>
      <c r="H377" t="s">
        <v>1379</v>
      </c>
      <c r="J377" t="s">
        <v>1374</v>
      </c>
      <c r="K377" t="s">
        <v>21</v>
      </c>
      <c r="L377" t="s">
        <v>33</v>
      </c>
      <c r="M377" t="s">
        <v>1380</v>
      </c>
      <c r="N377" t="s">
        <v>1381</v>
      </c>
      <c r="O377" t="s">
        <v>1382</v>
      </c>
      <c r="P377" s="2" t="s">
        <v>37</v>
      </c>
      <c r="Q377" t="s">
        <v>1208</v>
      </c>
      <c r="R377">
        <v>0</v>
      </c>
      <c r="S377">
        <v>250.5</v>
      </c>
      <c r="T377" t="s">
        <v>1383</v>
      </c>
    </row>
    <row r="378" spans="1:20" x14ac:dyDescent="0.25">
      <c r="A378" s="1" t="str">
        <f>HYPERLINK("https://vegkart.atlas.vegvesen.no/#/@-37298.1,6686320.8,18/hva:hva%5B0%5D%5Bfilter%5D%5B0%5D%5Boperator%5D=%21%3D&amp;hva%5B0%5D%5Bfilter%5D%5B0%5D%5Btype_id%5D=8913&amp;hva%5B0%5D%5Bfilter%5D%5B0%5D%5Bverdi%5D=&amp;hva%5B0%5D%5Bid%5D=39/når:2023-10-25", "Vegkart")</f>
        <v>Vegkart</v>
      </c>
      <c r="B378">
        <v>1018109593</v>
      </c>
      <c r="C378">
        <v>39</v>
      </c>
      <c r="D378" t="s">
        <v>1201</v>
      </c>
      <c r="E378">
        <v>8913</v>
      </c>
      <c r="F378" t="s">
        <v>23479</v>
      </c>
      <c r="G378">
        <v>1</v>
      </c>
      <c r="H378" t="s">
        <v>1384</v>
      </c>
      <c r="J378" t="s">
        <v>1374</v>
      </c>
      <c r="K378" t="s">
        <v>21</v>
      </c>
      <c r="L378" t="s">
        <v>80</v>
      </c>
      <c r="M378" t="s">
        <v>81</v>
      </c>
      <c r="N378" t="s">
        <v>1385</v>
      </c>
      <c r="O378" t="s">
        <v>1386</v>
      </c>
      <c r="P378" s="2" t="s">
        <v>37</v>
      </c>
      <c r="Q378" t="s">
        <v>1208</v>
      </c>
      <c r="R378">
        <v>0</v>
      </c>
      <c r="S378">
        <v>31.47</v>
      </c>
      <c r="T378" t="s">
        <v>1387</v>
      </c>
    </row>
    <row r="379" spans="1:20" x14ac:dyDescent="0.25">
      <c r="A379" s="1" t="str">
        <f>HYPERLINK("https://vegkart.atlas.vegvesen.no/#/@-50017.2,6741124.7,18/hva:hva%5B0%5D%5Bfilter%5D%5B0%5D%5Boperator%5D=%21%3D&amp;hva%5B0%5D%5Bfilter%5D%5B0%5D%5Btype_id%5D=9431&amp;hva%5B0%5D%5Bfilter%5D%5B0%5D%5Bverdi%5D=&amp;hva%5B0%5D%5Bid%5D=43/når:2011-11-29", "Vegkart")</f>
        <v>Vegkart</v>
      </c>
      <c r="B379">
        <v>119140856</v>
      </c>
      <c r="C379">
        <v>43</v>
      </c>
      <c r="D379" t="s">
        <v>1388</v>
      </c>
      <c r="E379">
        <v>9431</v>
      </c>
      <c r="F379" t="s">
        <v>23479</v>
      </c>
      <c r="G379">
        <v>2</v>
      </c>
      <c r="H379" t="s">
        <v>1389</v>
      </c>
      <c r="J379" t="s">
        <v>1390</v>
      </c>
      <c r="K379" t="s">
        <v>21</v>
      </c>
      <c r="L379" t="s">
        <v>33</v>
      </c>
      <c r="M379" t="s">
        <v>1391</v>
      </c>
      <c r="N379" t="s">
        <v>1392</v>
      </c>
      <c r="O379" t="s">
        <v>1393</v>
      </c>
      <c r="P379" s="2" t="s">
        <v>37</v>
      </c>
      <c r="Q379" t="s">
        <v>1208</v>
      </c>
      <c r="R379">
        <v>10.28</v>
      </c>
      <c r="S379">
        <v>126.42</v>
      </c>
      <c r="T379" t="s">
        <v>1394</v>
      </c>
    </row>
    <row r="380" spans="1:20" x14ac:dyDescent="0.25">
      <c r="A380" s="1" t="str">
        <f>HYPERLINK("https://vegkart.atlas.vegvesen.no/#/@-51320.1,6749148.3,18/hva:hva%5B0%5D%5Bfilter%5D%5B0%5D%5Boperator%5D=%21%3D&amp;hva%5B0%5D%5Bfilter%5D%5B0%5D%5Btype_id%5D=9431&amp;hva%5B0%5D%5Bfilter%5D%5B0%5D%5Bverdi%5D=&amp;hva%5B0%5D%5Bid%5D=43/når:2011-11-29", "Vegkart")</f>
        <v>Vegkart</v>
      </c>
      <c r="B380">
        <v>119140857</v>
      </c>
      <c r="C380">
        <v>43</v>
      </c>
      <c r="D380" t="s">
        <v>1388</v>
      </c>
      <c r="E380">
        <v>9431</v>
      </c>
      <c r="F380" t="s">
        <v>23479</v>
      </c>
      <c r="G380">
        <v>2</v>
      </c>
      <c r="H380" t="s">
        <v>1389</v>
      </c>
      <c r="J380" t="s">
        <v>1390</v>
      </c>
      <c r="K380" t="s">
        <v>21</v>
      </c>
      <c r="L380" t="s">
        <v>33</v>
      </c>
      <c r="M380" t="s">
        <v>1391</v>
      </c>
      <c r="N380" t="s">
        <v>1395</v>
      </c>
      <c r="O380" t="s">
        <v>1396</v>
      </c>
      <c r="P380" s="2" t="s">
        <v>37</v>
      </c>
      <c r="Q380" t="s">
        <v>1208</v>
      </c>
      <c r="R380">
        <v>12.9</v>
      </c>
      <c r="S380">
        <v>309.22000000000003</v>
      </c>
      <c r="T380" t="s">
        <v>1397</v>
      </c>
    </row>
    <row r="381" spans="1:20" x14ac:dyDescent="0.25">
      <c r="A381" s="1" t="str">
        <f>HYPERLINK("https://vegkart.atlas.vegvesen.no/#/@-41990.9,6725461.1,18/hva:hva%5B0%5D%5Bfilter%5D%5B0%5D%5Boperator%5D=%21%3D&amp;hva%5B0%5D%5Bfilter%5D%5B0%5D%5Btype_id%5D=9431&amp;hva%5B0%5D%5Bfilter%5D%5B0%5D%5Bverdi%5D=&amp;hva%5B0%5D%5Bid%5D=43/når:2011-11-29", "Vegkart")</f>
        <v>Vegkart</v>
      </c>
      <c r="B381">
        <v>119140859</v>
      </c>
      <c r="C381">
        <v>43</v>
      </c>
      <c r="D381" t="s">
        <v>1388</v>
      </c>
      <c r="E381">
        <v>9431</v>
      </c>
      <c r="F381" t="s">
        <v>23479</v>
      </c>
      <c r="G381">
        <v>2</v>
      </c>
      <c r="H381" t="s">
        <v>1389</v>
      </c>
      <c r="J381" t="s">
        <v>1390</v>
      </c>
      <c r="K381" t="s">
        <v>21</v>
      </c>
      <c r="L381" t="s">
        <v>33</v>
      </c>
      <c r="M381" t="s">
        <v>1398</v>
      </c>
      <c r="N381" t="s">
        <v>1399</v>
      </c>
      <c r="O381" t="s">
        <v>1400</v>
      </c>
      <c r="P381" s="2" t="s">
        <v>37</v>
      </c>
      <c r="Q381" t="s">
        <v>1208</v>
      </c>
      <c r="R381">
        <v>7.47</v>
      </c>
      <c r="S381">
        <v>168.29</v>
      </c>
      <c r="T381" t="s">
        <v>1401</v>
      </c>
    </row>
    <row r="382" spans="1:20" x14ac:dyDescent="0.25">
      <c r="A382" s="1" t="str">
        <f>HYPERLINK("https://vegkart.atlas.vegvesen.no/#/@230764.2,6631790.6,18/hva:hva%5B0%5D%5Bfilter%5D%5B0%5D%5Boperator%5D=%21%3D&amp;hva%5B0%5D%5Bfilter%5D%5B0%5D%5Btype_id%5D=9431&amp;hva%5B0%5D%5Bfilter%5D%5B0%5D%5Bverdi%5D=&amp;hva%5B0%5D%5Bid%5D=43/når:2019-03-22", "Vegkart")</f>
        <v>Vegkart</v>
      </c>
      <c r="B382">
        <v>218219696</v>
      </c>
      <c r="C382">
        <v>43</v>
      </c>
      <c r="D382" t="s">
        <v>1388</v>
      </c>
      <c r="E382">
        <v>9431</v>
      </c>
      <c r="F382" t="s">
        <v>23479</v>
      </c>
      <c r="G382">
        <v>2</v>
      </c>
      <c r="H382" t="s">
        <v>1402</v>
      </c>
      <c r="J382" t="s">
        <v>1311</v>
      </c>
      <c r="K382" t="s">
        <v>307</v>
      </c>
      <c r="L382" t="s">
        <v>33</v>
      </c>
      <c r="M382" t="s">
        <v>1403</v>
      </c>
      <c r="N382" t="s">
        <v>1404</v>
      </c>
      <c r="O382" t="s">
        <v>1405</v>
      </c>
      <c r="P382" s="2" t="s">
        <v>165</v>
      </c>
      <c r="Q382" t="s">
        <v>311</v>
      </c>
      <c r="R382">
        <v>37.450000000000003</v>
      </c>
      <c r="S382">
        <v>37.450000000000003</v>
      </c>
      <c r="T382" t="s">
        <v>167</v>
      </c>
    </row>
    <row r="383" spans="1:20" x14ac:dyDescent="0.25">
      <c r="A383" s="1" t="str">
        <f>HYPERLINK("https://vegkart.atlas.vegvesen.no/#/@-38381.1,6732920.5,18/hva:hva%5B0%5D%5Bfilter%5D%5B0%5D%5Boperator%5D=%21%3D&amp;hva%5B0%5D%5Bfilter%5D%5B0%5D%5Btype_id%5D=9431&amp;hva%5B0%5D%5Bfilter%5D%5B0%5D%5Bverdi%5D=&amp;hva%5B0%5D%5Bid%5D=43/når:2015-07-14", "Vegkart")</f>
        <v>Vegkart</v>
      </c>
      <c r="B383">
        <v>300389962</v>
      </c>
      <c r="C383">
        <v>43</v>
      </c>
      <c r="D383" t="s">
        <v>1388</v>
      </c>
      <c r="E383">
        <v>9431</v>
      </c>
      <c r="F383" t="s">
        <v>23479</v>
      </c>
      <c r="G383">
        <v>3</v>
      </c>
      <c r="H383" t="s">
        <v>630</v>
      </c>
      <c r="J383" t="s">
        <v>1311</v>
      </c>
      <c r="K383" t="s">
        <v>21</v>
      </c>
      <c r="L383" t="s">
        <v>33</v>
      </c>
      <c r="M383" t="s">
        <v>1406</v>
      </c>
      <c r="N383" t="s">
        <v>1407</v>
      </c>
      <c r="O383" t="s">
        <v>1408</v>
      </c>
      <c r="P383" s="2" t="s">
        <v>37</v>
      </c>
      <c r="Q383" t="s">
        <v>1208</v>
      </c>
      <c r="R383">
        <v>6.12</v>
      </c>
      <c r="S383">
        <v>187.12</v>
      </c>
      <c r="T383" t="s">
        <v>1409</v>
      </c>
    </row>
    <row r="384" spans="1:20" x14ac:dyDescent="0.25">
      <c r="A384" s="1" t="str">
        <f>HYPERLINK("https://vegkart.atlas.vegvesen.no/#/@-38439.0,6733085.5,18/hva:hva%5B0%5D%5Bfilter%5D%5B0%5D%5Boperator%5D=%21%3D&amp;hva%5B0%5D%5Bfilter%5D%5B0%5D%5Btype_id%5D=9431&amp;hva%5B0%5D%5Bfilter%5D%5B0%5D%5Bverdi%5D=&amp;hva%5B0%5D%5Bid%5D=43/når:2017-09-27", "Vegkart")</f>
        <v>Vegkart</v>
      </c>
      <c r="B384">
        <v>373699611</v>
      </c>
      <c r="C384">
        <v>43</v>
      </c>
      <c r="D384" t="s">
        <v>1388</v>
      </c>
      <c r="E384">
        <v>9431</v>
      </c>
      <c r="F384" t="s">
        <v>23479</v>
      </c>
      <c r="G384">
        <v>2</v>
      </c>
      <c r="H384" t="s">
        <v>1410</v>
      </c>
      <c r="J384" t="s">
        <v>1311</v>
      </c>
      <c r="K384" t="s">
        <v>21</v>
      </c>
      <c r="L384" t="s">
        <v>33</v>
      </c>
      <c r="M384" t="s">
        <v>1406</v>
      </c>
      <c r="N384" t="s">
        <v>1411</v>
      </c>
      <c r="O384" t="s">
        <v>1412</v>
      </c>
      <c r="P384" s="2" t="s">
        <v>37</v>
      </c>
      <c r="Q384" t="s">
        <v>1208</v>
      </c>
      <c r="R384">
        <v>6.23</v>
      </c>
      <c r="S384">
        <v>243.21</v>
      </c>
      <c r="T384" t="s">
        <v>1413</v>
      </c>
    </row>
    <row r="385" spans="1:20" x14ac:dyDescent="0.25">
      <c r="A385" s="1" t="str">
        <f>HYPERLINK("https://vegkart.atlas.vegvesen.no/#/@-24305.6,6745954.2,18/hva:hva%5B0%5D%5Bfilter%5D%5B0%5D%5Boperator%5D=%21%3D&amp;hva%5B0%5D%5Bfilter%5D%5B0%5D%5Btype_id%5D=9431&amp;hva%5B0%5D%5Bfilter%5D%5B0%5D%5Bverdi%5D=&amp;hva%5B0%5D%5Bid%5D=43/når:2013-07-12", "Vegkart")</f>
        <v>Vegkart</v>
      </c>
      <c r="B385">
        <v>469974266</v>
      </c>
      <c r="C385">
        <v>43</v>
      </c>
      <c r="D385" t="s">
        <v>1388</v>
      </c>
      <c r="E385">
        <v>9431</v>
      </c>
      <c r="F385" t="s">
        <v>23479</v>
      </c>
      <c r="G385">
        <v>1</v>
      </c>
      <c r="H385" t="s">
        <v>1414</v>
      </c>
      <c r="J385" t="s">
        <v>1311</v>
      </c>
      <c r="K385" t="s">
        <v>21</v>
      </c>
      <c r="L385" t="s">
        <v>33</v>
      </c>
      <c r="M385" t="s">
        <v>1415</v>
      </c>
      <c r="N385" t="s">
        <v>1416</v>
      </c>
      <c r="O385" t="s">
        <v>1417</v>
      </c>
      <c r="P385" s="2" t="s">
        <v>165</v>
      </c>
      <c r="Q385" t="s">
        <v>641</v>
      </c>
      <c r="R385">
        <v>0</v>
      </c>
      <c r="S385">
        <v>94.94</v>
      </c>
      <c r="T385" t="s">
        <v>167</v>
      </c>
    </row>
    <row r="386" spans="1:20" x14ac:dyDescent="0.25">
      <c r="A386" s="1" t="str">
        <f>HYPERLINK("https://vegkart.atlas.vegvesen.no/#/@267668.4,7032914.4,18/hva:hva%5B0%5D%5Bfilter%5D%5B0%5D%5Boperator%5D=%21%3D&amp;hva%5B0%5D%5Bfilter%5D%5B0%5D%5Btype_id%5D=9431&amp;hva%5B0%5D%5Bfilter%5D%5B0%5D%5Bverdi%5D=&amp;hva%5B0%5D%5Bid%5D=43/når:2020-07-05", "Vegkart")</f>
        <v>Vegkart</v>
      </c>
      <c r="B386">
        <v>488754724</v>
      </c>
      <c r="C386">
        <v>43</v>
      </c>
      <c r="D386" t="s">
        <v>1388</v>
      </c>
      <c r="E386">
        <v>9431</v>
      </c>
      <c r="F386" t="s">
        <v>23479</v>
      </c>
      <c r="G386">
        <v>2</v>
      </c>
      <c r="H386" t="s">
        <v>1418</v>
      </c>
      <c r="J386" t="s">
        <v>1311</v>
      </c>
      <c r="K386" t="s">
        <v>192</v>
      </c>
      <c r="L386" t="s">
        <v>33</v>
      </c>
      <c r="M386" t="s">
        <v>1419</v>
      </c>
      <c r="N386" t="s">
        <v>1420</v>
      </c>
      <c r="O386" t="s">
        <v>1421</v>
      </c>
      <c r="P386" s="2" t="s">
        <v>165</v>
      </c>
      <c r="Q386" t="s">
        <v>311</v>
      </c>
      <c r="R386">
        <v>40.64</v>
      </c>
      <c r="S386">
        <v>41.33</v>
      </c>
      <c r="T386" t="s">
        <v>167</v>
      </c>
    </row>
    <row r="387" spans="1:20" x14ac:dyDescent="0.25">
      <c r="A387" s="1" t="str">
        <f>HYPERLINK("https://vegkart.atlas.vegvesen.no/#/@248621.2,6806049.9,18/hva:hva%5B0%5D%5Bfilter%5D%5B0%5D%5Boperator%5D=%21%3D&amp;hva%5B0%5D%5Bfilter%5D%5B0%5D%5Btype_id%5D=9431&amp;hva%5B0%5D%5Bfilter%5D%5B0%5D%5Bverdi%5D=&amp;hva%5B0%5D%5Bid%5D=43/når:2012-12-12", "Vegkart")</f>
        <v>Vegkart</v>
      </c>
      <c r="B387">
        <v>553364418</v>
      </c>
      <c r="C387">
        <v>43</v>
      </c>
      <c r="D387" t="s">
        <v>1388</v>
      </c>
      <c r="E387">
        <v>9431</v>
      </c>
      <c r="F387" t="s">
        <v>23479</v>
      </c>
      <c r="G387">
        <v>1</v>
      </c>
      <c r="H387" t="s">
        <v>1422</v>
      </c>
      <c r="J387" t="s">
        <v>1311</v>
      </c>
      <c r="K387" t="s">
        <v>136</v>
      </c>
      <c r="L387" t="s">
        <v>80</v>
      </c>
      <c r="M387" t="s">
        <v>105</v>
      </c>
      <c r="N387" t="s">
        <v>1423</v>
      </c>
      <c r="O387" t="s">
        <v>1424</v>
      </c>
      <c r="P387" s="2" t="s">
        <v>26</v>
      </c>
      <c r="Q387" t="s">
        <v>50</v>
      </c>
      <c r="R387">
        <v>20.399999999999999</v>
      </c>
      <c r="S387">
        <v>127.47</v>
      </c>
      <c r="T387" t="s">
        <v>1425</v>
      </c>
    </row>
    <row r="388" spans="1:20" x14ac:dyDescent="0.25">
      <c r="A388" s="1" t="str">
        <f>HYPERLINK("https://vegkart.atlas.vegvesen.no/#/@254230.4,6800701.9,18/hva:hva%5B0%5D%5Bfilter%5D%5B0%5D%5Boperator%5D=%21%3D&amp;hva%5B0%5D%5Bfilter%5D%5B0%5D%5Btype_id%5D=9431&amp;hva%5B0%5D%5Bfilter%5D%5B0%5D%5Bverdi%5D=&amp;hva%5B0%5D%5Bid%5D=43/når:2012-12-12", "Vegkart")</f>
        <v>Vegkart</v>
      </c>
      <c r="B388">
        <v>553413181</v>
      </c>
      <c r="C388">
        <v>43</v>
      </c>
      <c r="D388" t="s">
        <v>1388</v>
      </c>
      <c r="E388">
        <v>9431</v>
      </c>
      <c r="F388" t="s">
        <v>23479</v>
      </c>
      <c r="G388">
        <v>1</v>
      </c>
      <c r="H388" t="s">
        <v>1422</v>
      </c>
      <c r="J388" t="s">
        <v>1311</v>
      </c>
      <c r="K388" t="s">
        <v>136</v>
      </c>
      <c r="L388" t="s">
        <v>80</v>
      </c>
      <c r="M388" t="s">
        <v>105</v>
      </c>
      <c r="N388" t="s">
        <v>1426</v>
      </c>
      <c r="O388" t="s">
        <v>1427</v>
      </c>
      <c r="P388" s="2" t="s">
        <v>37</v>
      </c>
      <c r="Q388" t="s">
        <v>1208</v>
      </c>
      <c r="R388">
        <v>5.78</v>
      </c>
      <c r="S388">
        <v>84.87</v>
      </c>
      <c r="T388" t="s">
        <v>1428</v>
      </c>
    </row>
    <row r="389" spans="1:20" x14ac:dyDescent="0.25">
      <c r="A389" s="1" t="str">
        <f>HYPERLINK("https://vegkart.atlas.vegvesen.no/#/@120274.8,6791485.8,18/hva:hva%5B0%5D%5Bfilter%5D%5B0%5D%5Boperator%5D=%21%3D&amp;hva%5B0%5D%5Bfilter%5D%5B0%5D%5Btype_id%5D=9431&amp;hva%5B0%5D%5Bfilter%5D%5B0%5D%5Bverdi%5D=&amp;hva%5B0%5D%5Bid%5D=43/når:2015-02-11", "Vegkart")</f>
        <v>Vegkart</v>
      </c>
      <c r="B389">
        <v>587592714</v>
      </c>
      <c r="C389">
        <v>43</v>
      </c>
      <c r="D389" t="s">
        <v>1388</v>
      </c>
      <c r="E389">
        <v>9431</v>
      </c>
      <c r="F389" t="s">
        <v>23479</v>
      </c>
      <c r="G389">
        <v>1</v>
      </c>
      <c r="H389" t="s">
        <v>1429</v>
      </c>
      <c r="J389" t="s">
        <v>1430</v>
      </c>
      <c r="K389" t="s">
        <v>21</v>
      </c>
      <c r="L389" t="s">
        <v>80</v>
      </c>
      <c r="M389" t="s">
        <v>152</v>
      </c>
      <c r="N389" t="s">
        <v>1431</v>
      </c>
      <c r="O389" t="s">
        <v>1432</v>
      </c>
      <c r="P389" s="2" t="s">
        <v>37</v>
      </c>
      <c r="Q389" t="s">
        <v>1208</v>
      </c>
      <c r="R389">
        <v>14.1</v>
      </c>
      <c r="S389">
        <v>319.16000000000003</v>
      </c>
      <c r="T389" t="s">
        <v>1433</v>
      </c>
    </row>
    <row r="390" spans="1:20" x14ac:dyDescent="0.25">
      <c r="A390" s="1" t="str">
        <f>HYPERLINK("https://vegkart.atlas.vegvesen.no/#/@120293.6,6791436.0,18/hva:hva%5B0%5D%5Bfilter%5D%5B0%5D%5Boperator%5D=%21%3D&amp;hva%5B0%5D%5Bfilter%5D%5B0%5D%5Btype_id%5D=9431&amp;hva%5B0%5D%5Bfilter%5D%5B0%5D%5Bverdi%5D=&amp;hva%5B0%5D%5Bid%5D=43/når:2015-02-11", "Vegkart")</f>
        <v>Vegkart</v>
      </c>
      <c r="B390">
        <v>587592715</v>
      </c>
      <c r="C390">
        <v>43</v>
      </c>
      <c r="D390" t="s">
        <v>1388</v>
      </c>
      <c r="E390">
        <v>9431</v>
      </c>
      <c r="F390" t="s">
        <v>23479</v>
      </c>
      <c r="G390">
        <v>1</v>
      </c>
      <c r="H390" t="s">
        <v>1429</v>
      </c>
      <c r="J390" t="s">
        <v>1430</v>
      </c>
      <c r="K390" t="s">
        <v>21</v>
      </c>
      <c r="L390" t="s">
        <v>80</v>
      </c>
      <c r="M390" t="s">
        <v>152</v>
      </c>
      <c r="N390" t="s">
        <v>1434</v>
      </c>
      <c r="O390" t="s">
        <v>1435</v>
      </c>
      <c r="P390" s="2" t="s">
        <v>37</v>
      </c>
      <c r="Q390" t="s">
        <v>1208</v>
      </c>
      <c r="R390">
        <v>13.82</v>
      </c>
      <c r="S390">
        <v>222.52</v>
      </c>
      <c r="T390" t="s">
        <v>1436</v>
      </c>
    </row>
    <row r="391" spans="1:20" x14ac:dyDescent="0.25">
      <c r="A391" s="1" t="str">
        <f>HYPERLINK("https://vegkart.atlas.vegvesen.no/#/@293923.6,6716211.8,18/hva:hva%5B0%5D%5Bfilter%5D%5B0%5D%5Boperator%5D=%21%3D&amp;hva%5B0%5D%5Bfilter%5D%5B0%5D%5Btype_id%5D=9431&amp;hva%5B0%5D%5Bfilter%5D%5B0%5D%5Bverdi%5D=&amp;hva%5B0%5D%5Bid%5D=43/når:2023-07-07", "Vegkart")</f>
        <v>Vegkart</v>
      </c>
      <c r="B391">
        <v>590913764</v>
      </c>
      <c r="C391">
        <v>43</v>
      </c>
      <c r="D391" t="s">
        <v>1388</v>
      </c>
      <c r="E391">
        <v>9431</v>
      </c>
      <c r="F391" t="s">
        <v>23479</v>
      </c>
      <c r="G391">
        <v>2</v>
      </c>
      <c r="H391" t="s">
        <v>1437</v>
      </c>
      <c r="J391" t="s">
        <v>1430</v>
      </c>
      <c r="K391" t="s">
        <v>136</v>
      </c>
      <c r="L391" t="s">
        <v>80</v>
      </c>
      <c r="M391" t="s">
        <v>105</v>
      </c>
      <c r="N391" t="s">
        <v>1438</v>
      </c>
      <c r="O391" t="s">
        <v>1439</v>
      </c>
      <c r="P391" s="2" t="s">
        <v>26</v>
      </c>
      <c r="Q391" t="s">
        <v>50</v>
      </c>
      <c r="R391">
        <v>5.17</v>
      </c>
      <c r="S391">
        <v>5.17</v>
      </c>
      <c r="T391" t="s">
        <v>1440</v>
      </c>
    </row>
    <row r="392" spans="1:20" x14ac:dyDescent="0.25">
      <c r="A392" s="1" t="str">
        <f>HYPERLINK("https://vegkart.atlas.vegvesen.no/#/@293928.7,6716254.4,18/hva:hva%5B0%5D%5Bfilter%5D%5B0%5D%5Boperator%5D=%21%3D&amp;hva%5B0%5D%5Bfilter%5D%5B0%5D%5Btype_id%5D=9431&amp;hva%5B0%5D%5Bfilter%5D%5B0%5D%5Bverdi%5D=&amp;hva%5B0%5D%5Bid%5D=43/når:2023-07-07", "Vegkart")</f>
        <v>Vegkart</v>
      </c>
      <c r="B392">
        <v>590913765</v>
      </c>
      <c r="C392">
        <v>43</v>
      </c>
      <c r="D392" t="s">
        <v>1388</v>
      </c>
      <c r="E392">
        <v>9431</v>
      </c>
      <c r="F392" t="s">
        <v>23479</v>
      </c>
      <c r="G392">
        <v>2</v>
      </c>
      <c r="H392" t="s">
        <v>1437</v>
      </c>
      <c r="J392" t="s">
        <v>1430</v>
      </c>
      <c r="K392" t="s">
        <v>136</v>
      </c>
      <c r="L392" t="s">
        <v>80</v>
      </c>
      <c r="M392" t="s">
        <v>105</v>
      </c>
      <c r="N392" t="s">
        <v>1441</v>
      </c>
      <c r="O392" t="s">
        <v>1442</v>
      </c>
      <c r="P392" s="2" t="s">
        <v>26</v>
      </c>
      <c r="Q392" t="s">
        <v>50</v>
      </c>
      <c r="R392">
        <v>42.43</v>
      </c>
      <c r="S392">
        <v>42.43</v>
      </c>
      <c r="T392" t="s">
        <v>1443</v>
      </c>
    </row>
    <row r="393" spans="1:20" x14ac:dyDescent="0.25">
      <c r="A393" s="1" t="str">
        <f>HYPERLINK("https://vegkart.atlas.vegvesen.no/#/@293999.0,6717222.8,18/hva:hva%5B0%5D%5Bfilter%5D%5B0%5D%5Boperator%5D=%21%3D&amp;hva%5B0%5D%5Bfilter%5D%5B0%5D%5Btype_id%5D=9431&amp;hva%5B0%5D%5Bfilter%5D%5B0%5D%5Bverdi%5D=&amp;hva%5B0%5D%5Bid%5D=43/når:2023-07-07", "Vegkart")</f>
        <v>Vegkart</v>
      </c>
      <c r="B393">
        <v>590913766</v>
      </c>
      <c r="C393">
        <v>43</v>
      </c>
      <c r="D393" t="s">
        <v>1388</v>
      </c>
      <c r="E393">
        <v>9431</v>
      </c>
      <c r="F393" t="s">
        <v>23479</v>
      </c>
      <c r="G393">
        <v>2</v>
      </c>
      <c r="H393" t="s">
        <v>1437</v>
      </c>
      <c r="J393" t="s">
        <v>1430</v>
      </c>
      <c r="K393" t="s">
        <v>136</v>
      </c>
      <c r="L393" t="s">
        <v>80</v>
      </c>
      <c r="M393" t="s">
        <v>105</v>
      </c>
      <c r="N393" t="s">
        <v>1444</v>
      </c>
      <c r="O393" t="s">
        <v>1445</v>
      </c>
      <c r="P393" s="2" t="s">
        <v>26</v>
      </c>
      <c r="Q393" t="s">
        <v>50</v>
      </c>
      <c r="R393">
        <v>76.37</v>
      </c>
      <c r="S393">
        <v>76.37</v>
      </c>
      <c r="T393" t="s">
        <v>1446</v>
      </c>
    </row>
    <row r="394" spans="1:20" x14ac:dyDescent="0.25">
      <c r="A394" s="1" t="str">
        <f>HYPERLINK("https://vegkart.atlas.vegvesen.no/#/@486352.4,7483850.3,18/hva:hva%5B0%5D%5Bfilter%5D%5B0%5D%5Boperator%5D=%21%3D&amp;hva%5B0%5D%5Bfilter%5D%5B0%5D%5Btype_id%5D=9431&amp;hva%5B0%5D%5Bfilter%5D%5B0%5D%5Bverdi%5D=&amp;hva%5B0%5D%5Bid%5D=43/når:2015-05-05", "Vegkart")</f>
        <v>Vegkart</v>
      </c>
      <c r="B394">
        <v>593521548</v>
      </c>
      <c r="C394">
        <v>43</v>
      </c>
      <c r="D394" t="s">
        <v>1388</v>
      </c>
      <c r="E394">
        <v>9431</v>
      </c>
      <c r="F394" t="s">
        <v>23479</v>
      </c>
      <c r="G394">
        <v>1</v>
      </c>
      <c r="H394" t="s">
        <v>1447</v>
      </c>
      <c r="J394" t="s">
        <v>1430</v>
      </c>
      <c r="K394" t="s">
        <v>53</v>
      </c>
      <c r="L394" t="s">
        <v>33</v>
      </c>
      <c r="M394" t="s">
        <v>1448</v>
      </c>
      <c r="N394" t="s">
        <v>1449</v>
      </c>
      <c r="O394" t="s">
        <v>1450</v>
      </c>
      <c r="P394" s="2" t="s">
        <v>26</v>
      </c>
      <c r="Q394" t="s">
        <v>50</v>
      </c>
      <c r="R394">
        <v>45.05</v>
      </c>
      <c r="S394">
        <v>92.34</v>
      </c>
      <c r="T394" t="s">
        <v>1451</v>
      </c>
    </row>
    <row r="395" spans="1:20" x14ac:dyDescent="0.25">
      <c r="A395" s="1" t="str">
        <f>HYPERLINK("https://vegkart.atlas.vegvesen.no/#/@117496.3,6840055.2,18/hva:hva%5B0%5D%5Bfilter%5D%5B0%5D%5Boperator%5D=%21%3D&amp;hva%5B0%5D%5Bfilter%5D%5B0%5D%5Btype_id%5D=9431&amp;hva%5B0%5D%5Bfilter%5D%5B0%5D%5Bverdi%5D=&amp;hva%5B0%5D%5Bid%5D=43/når:2015-08-12", "Vegkart")</f>
        <v>Vegkart</v>
      </c>
      <c r="B395">
        <v>595499794</v>
      </c>
      <c r="C395">
        <v>43</v>
      </c>
      <c r="D395" t="s">
        <v>1388</v>
      </c>
      <c r="E395">
        <v>9431</v>
      </c>
      <c r="F395" t="s">
        <v>23479</v>
      </c>
      <c r="G395">
        <v>2</v>
      </c>
      <c r="H395" t="s">
        <v>1452</v>
      </c>
      <c r="J395" t="s">
        <v>1430</v>
      </c>
      <c r="K395" t="s">
        <v>21</v>
      </c>
      <c r="L395" t="s">
        <v>33</v>
      </c>
      <c r="M395" t="s">
        <v>179</v>
      </c>
      <c r="N395" t="s">
        <v>1453</v>
      </c>
      <c r="O395" t="s">
        <v>1454</v>
      </c>
      <c r="P395" s="2" t="s">
        <v>37</v>
      </c>
      <c r="Q395" t="s">
        <v>1208</v>
      </c>
      <c r="R395">
        <v>10.53</v>
      </c>
      <c r="S395">
        <v>181.33</v>
      </c>
      <c r="T395" t="s">
        <v>1455</v>
      </c>
    </row>
    <row r="396" spans="1:20" x14ac:dyDescent="0.25">
      <c r="A396" s="1" t="str">
        <f>HYPERLINK("https://vegkart.atlas.vegvesen.no/#/@111287.7,6839758.6,18/hva:hva%5B0%5D%5Bfilter%5D%5B0%5D%5Boperator%5D=%21%3D&amp;hva%5B0%5D%5Bfilter%5D%5B0%5D%5Btype_id%5D=9431&amp;hva%5B0%5D%5Bfilter%5D%5B0%5D%5Bverdi%5D=&amp;hva%5B0%5D%5Bid%5D=43/når:2015-08-12", "Vegkart")</f>
        <v>Vegkart</v>
      </c>
      <c r="B396">
        <v>595499797</v>
      </c>
      <c r="C396">
        <v>43</v>
      </c>
      <c r="D396" t="s">
        <v>1388</v>
      </c>
      <c r="E396">
        <v>9431</v>
      </c>
      <c r="F396" t="s">
        <v>23479</v>
      </c>
      <c r="G396">
        <v>2</v>
      </c>
      <c r="H396" t="s">
        <v>1452</v>
      </c>
      <c r="J396" t="s">
        <v>1430</v>
      </c>
      <c r="K396" t="s">
        <v>21</v>
      </c>
      <c r="L396" t="s">
        <v>33</v>
      </c>
      <c r="M396" t="s">
        <v>179</v>
      </c>
      <c r="N396" t="s">
        <v>1456</v>
      </c>
      <c r="O396" t="s">
        <v>1457</v>
      </c>
      <c r="P396" s="2" t="s">
        <v>37</v>
      </c>
      <c r="Q396" t="s">
        <v>1208</v>
      </c>
      <c r="R396">
        <v>3.19</v>
      </c>
      <c r="S396">
        <v>111.2</v>
      </c>
      <c r="T396" t="s">
        <v>1458</v>
      </c>
    </row>
    <row r="397" spans="1:20" x14ac:dyDescent="0.25">
      <c r="A397" s="1" t="str">
        <f>HYPERLINK("https://vegkart.atlas.vegvesen.no/#/@109084.6,6838907.2,18/hva:hva%5B0%5D%5Bfilter%5D%5B0%5D%5Boperator%5D=%21%3D&amp;hva%5B0%5D%5Bfilter%5D%5B0%5D%5Btype_id%5D=9431&amp;hva%5B0%5D%5Bfilter%5D%5B0%5D%5Bverdi%5D=&amp;hva%5B0%5D%5Bid%5D=43/når:2015-08-12", "Vegkart")</f>
        <v>Vegkart</v>
      </c>
      <c r="B397">
        <v>595499798</v>
      </c>
      <c r="C397">
        <v>43</v>
      </c>
      <c r="D397" t="s">
        <v>1388</v>
      </c>
      <c r="E397">
        <v>9431</v>
      </c>
      <c r="F397" t="s">
        <v>23479</v>
      </c>
      <c r="G397">
        <v>2</v>
      </c>
      <c r="H397" t="s">
        <v>1452</v>
      </c>
      <c r="J397" t="s">
        <v>1430</v>
      </c>
      <c r="K397" t="s">
        <v>21</v>
      </c>
      <c r="L397" t="s">
        <v>33</v>
      </c>
      <c r="M397" t="s">
        <v>179</v>
      </c>
      <c r="N397" t="s">
        <v>1459</v>
      </c>
      <c r="O397" t="s">
        <v>1460</v>
      </c>
      <c r="P397" s="2" t="s">
        <v>37</v>
      </c>
      <c r="Q397" t="s">
        <v>1208</v>
      </c>
      <c r="R397">
        <v>13.91</v>
      </c>
      <c r="S397">
        <v>131.02000000000001</v>
      </c>
      <c r="T397" t="s">
        <v>1461</v>
      </c>
    </row>
    <row r="398" spans="1:20" x14ac:dyDescent="0.25">
      <c r="A398" s="1" t="str">
        <f>HYPERLINK("https://vegkart.atlas.vegvesen.no/#/@-10727.6,6728476.1,18/hva:hva%5B0%5D%5Bfilter%5D%5B0%5D%5Boperator%5D=%21%3D&amp;hva%5B0%5D%5Bfilter%5D%5B0%5D%5Btype_id%5D=9431&amp;hva%5B0%5D%5Bfilter%5D%5B0%5D%5Bverdi%5D=&amp;hva%5B0%5D%5Bid%5D=43/når:2015-10-01", "Vegkart")</f>
        <v>Vegkart</v>
      </c>
      <c r="B398">
        <v>636516763</v>
      </c>
      <c r="C398">
        <v>43</v>
      </c>
      <c r="D398" t="s">
        <v>1388</v>
      </c>
      <c r="E398">
        <v>9431</v>
      </c>
      <c r="F398" t="s">
        <v>23479</v>
      </c>
      <c r="G398">
        <v>1</v>
      </c>
      <c r="H398" t="s">
        <v>1462</v>
      </c>
      <c r="J398" t="s">
        <v>1430</v>
      </c>
      <c r="K398" t="s">
        <v>21</v>
      </c>
      <c r="L398" t="s">
        <v>22</v>
      </c>
      <c r="M398" t="s">
        <v>1463</v>
      </c>
      <c r="N398" t="s">
        <v>1464</v>
      </c>
      <c r="O398" t="s">
        <v>1465</v>
      </c>
      <c r="P398" s="2" t="s">
        <v>37</v>
      </c>
      <c r="Q398" t="s">
        <v>1208</v>
      </c>
      <c r="R398">
        <v>6.67</v>
      </c>
      <c r="S398">
        <v>101.41</v>
      </c>
      <c r="T398" t="s">
        <v>1466</v>
      </c>
    </row>
    <row r="399" spans="1:20" x14ac:dyDescent="0.25">
      <c r="A399" s="1" t="str">
        <f>HYPERLINK("https://vegkart.atlas.vegvesen.no/#/@-30408.9,6634085.9,18/hva:hva%5B0%5D%5Bfilter%5D%5B0%5D%5Boperator%5D=%21%3D&amp;hva%5B0%5D%5Bfilter%5D%5B0%5D%5Btype_id%5D=9431&amp;hva%5B0%5D%5Bfilter%5D%5B0%5D%5Bverdi%5D=&amp;hva%5B0%5D%5Bid%5D=43/når:2016-02-11", "Vegkart")</f>
        <v>Vegkart</v>
      </c>
      <c r="B399">
        <v>667829801</v>
      </c>
      <c r="C399">
        <v>43</v>
      </c>
      <c r="D399" t="s">
        <v>1388</v>
      </c>
      <c r="E399">
        <v>9431</v>
      </c>
      <c r="F399" t="s">
        <v>23479</v>
      </c>
      <c r="G399">
        <v>1</v>
      </c>
      <c r="H399" t="s">
        <v>1467</v>
      </c>
      <c r="J399" t="s">
        <v>1430</v>
      </c>
      <c r="K399" t="s">
        <v>170</v>
      </c>
      <c r="L399" t="s">
        <v>80</v>
      </c>
      <c r="M399" t="s">
        <v>645</v>
      </c>
      <c r="N399" t="s">
        <v>1468</v>
      </c>
      <c r="O399" t="s">
        <v>1469</v>
      </c>
      <c r="P399" s="2" t="s">
        <v>37</v>
      </c>
      <c r="Q399" t="s">
        <v>1208</v>
      </c>
      <c r="R399">
        <v>6.15</v>
      </c>
      <c r="S399">
        <v>118.25</v>
      </c>
      <c r="T399" t="s">
        <v>1470</v>
      </c>
    </row>
    <row r="400" spans="1:20" x14ac:dyDescent="0.25">
      <c r="A400" s="1" t="str">
        <f>HYPERLINK("https://vegkart.atlas.vegvesen.no/#/@-29490.6,6634636.4,18/hva:hva%5B0%5D%5Bfilter%5D%5B0%5D%5Boperator%5D=%21%3D&amp;hva%5B0%5D%5Bfilter%5D%5B0%5D%5Btype_id%5D=9431&amp;hva%5B0%5D%5Bfilter%5D%5B0%5D%5Bverdi%5D=&amp;hva%5B0%5D%5Bid%5D=43/når:2016-02-11", "Vegkart")</f>
        <v>Vegkart</v>
      </c>
      <c r="B400">
        <v>667829802</v>
      </c>
      <c r="C400">
        <v>43</v>
      </c>
      <c r="D400" t="s">
        <v>1388</v>
      </c>
      <c r="E400">
        <v>9431</v>
      </c>
      <c r="F400" t="s">
        <v>23479</v>
      </c>
      <c r="G400">
        <v>1</v>
      </c>
      <c r="H400" t="s">
        <v>1467</v>
      </c>
      <c r="J400" t="s">
        <v>1430</v>
      </c>
      <c r="K400" t="s">
        <v>170</v>
      </c>
      <c r="L400" t="s">
        <v>33</v>
      </c>
      <c r="M400" t="s">
        <v>1471</v>
      </c>
      <c r="N400" t="s">
        <v>1472</v>
      </c>
      <c r="O400" t="s">
        <v>1473</v>
      </c>
      <c r="P400" s="2" t="s">
        <v>37</v>
      </c>
      <c r="Q400" t="s">
        <v>1208</v>
      </c>
      <c r="R400">
        <v>9.6</v>
      </c>
      <c r="S400">
        <v>19.36</v>
      </c>
      <c r="T400" t="s">
        <v>1474</v>
      </c>
    </row>
    <row r="401" spans="1:20" x14ac:dyDescent="0.25">
      <c r="A401" s="1" t="str">
        <f>HYPERLINK("https://vegkart.atlas.vegvesen.no/#/@243897.7,6594834.5,18/hva:hva%5B0%5D%5Bfilter%5D%5B0%5D%5Boperator%5D=%21%3D&amp;hva%5B0%5D%5Bfilter%5D%5B0%5D%5Btype_id%5D=9431&amp;hva%5B0%5D%5Bfilter%5D%5B0%5D%5Bverdi%5D=&amp;hva%5B0%5D%5Bid%5D=43/når:2016-03-21", "Vegkart")</f>
        <v>Vegkart</v>
      </c>
      <c r="B401">
        <v>672172613</v>
      </c>
      <c r="C401">
        <v>43</v>
      </c>
      <c r="D401" t="s">
        <v>1388</v>
      </c>
      <c r="E401">
        <v>9431</v>
      </c>
      <c r="F401" t="s">
        <v>23479</v>
      </c>
      <c r="G401">
        <v>1</v>
      </c>
      <c r="H401" t="s">
        <v>1475</v>
      </c>
      <c r="J401" t="s">
        <v>1430</v>
      </c>
      <c r="K401" t="s">
        <v>81</v>
      </c>
      <c r="L401" t="s">
        <v>22</v>
      </c>
      <c r="M401" t="s">
        <v>1476</v>
      </c>
      <c r="N401" t="s">
        <v>1477</v>
      </c>
      <c r="O401" t="s">
        <v>1478</v>
      </c>
      <c r="P401" s="2" t="s">
        <v>37</v>
      </c>
      <c r="Q401" t="s">
        <v>1208</v>
      </c>
      <c r="R401">
        <v>8.8000000000000007</v>
      </c>
      <c r="S401">
        <v>133.88</v>
      </c>
      <c r="T401" t="s">
        <v>1479</v>
      </c>
    </row>
    <row r="402" spans="1:20" x14ac:dyDescent="0.25">
      <c r="A402" s="1" t="str">
        <f>HYPERLINK("https://vegkart.atlas.vegvesen.no/#/@243849.1,6594914.5,18/hva:hva%5B0%5D%5Bfilter%5D%5B0%5D%5Boperator%5D=%21%3D&amp;hva%5B0%5D%5Bfilter%5D%5B0%5D%5Btype_id%5D=9431&amp;hva%5B0%5D%5Bfilter%5D%5B0%5D%5Bverdi%5D=&amp;hva%5B0%5D%5Bid%5D=43/når:2016-12-07", "Vegkart")</f>
        <v>Vegkart</v>
      </c>
      <c r="B402">
        <v>672172614</v>
      </c>
      <c r="C402">
        <v>43</v>
      </c>
      <c r="D402" t="s">
        <v>1388</v>
      </c>
      <c r="E402">
        <v>9431</v>
      </c>
      <c r="F402" t="s">
        <v>23479</v>
      </c>
      <c r="G402">
        <v>2</v>
      </c>
      <c r="H402" t="s">
        <v>1480</v>
      </c>
      <c r="J402" t="s">
        <v>1430</v>
      </c>
      <c r="K402" t="s">
        <v>81</v>
      </c>
      <c r="L402" t="s">
        <v>22</v>
      </c>
      <c r="M402" t="s">
        <v>1481</v>
      </c>
      <c r="N402" t="s">
        <v>1482</v>
      </c>
      <c r="O402" t="s">
        <v>1483</v>
      </c>
      <c r="P402" s="2" t="s">
        <v>37</v>
      </c>
      <c r="Q402" t="s">
        <v>1208</v>
      </c>
      <c r="R402">
        <v>5.63</v>
      </c>
      <c r="S402">
        <v>98.35</v>
      </c>
      <c r="T402" t="s">
        <v>1484</v>
      </c>
    </row>
    <row r="403" spans="1:20" x14ac:dyDescent="0.25">
      <c r="A403" s="1" t="str">
        <f>HYPERLINK("https://vegkart.atlas.vegvesen.no/#/@243785.4,6594951.8,18/hva:hva%5B0%5D%5Bfilter%5D%5B0%5D%5Boperator%5D=%21%3D&amp;hva%5B0%5D%5Bfilter%5D%5B0%5D%5Btype_id%5D=9431&amp;hva%5B0%5D%5Bfilter%5D%5B0%5D%5Bverdi%5D=&amp;hva%5B0%5D%5Bid%5D=43/når:2016-03-21", "Vegkart")</f>
        <v>Vegkart</v>
      </c>
      <c r="B403">
        <v>672172615</v>
      </c>
      <c r="C403">
        <v>43</v>
      </c>
      <c r="D403" t="s">
        <v>1388</v>
      </c>
      <c r="E403">
        <v>9431</v>
      </c>
      <c r="F403" t="s">
        <v>23479</v>
      </c>
      <c r="G403">
        <v>1</v>
      </c>
      <c r="H403" t="s">
        <v>1475</v>
      </c>
      <c r="J403" t="s">
        <v>1430</v>
      </c>
      <c r="K403" t="s">
        <v>81</v>
      </c>
      <c r="L403" t="s">
        <v>22</v>
      </c>
      <c r="M403" t="s">
        <v>1485</v>
      </c>
      <c r="N403" t="s">
        <v>1486</v>
      </c>
      <c r="O403" t="s">
        <v>1487</v>
      </c>
      <c r="P403" s="2" t="s">
        <v>37</v>
      </c>
      <c r="Q403" t="s">
        <v>1208</v>
      </c>
      <c r="R403">
        <v>8.9700000000000006</v>
      </c>
      <c r="S403">
        <v>55.66</v>
      </c>
      <c r="T403" t="s">
        <v>1488</v>
      </c>
    </row>
    <row r="404" spans="1:20" x14ac:dyDescent="0.25">
      <c r="A404" s="1" t="str">
        <f>HYPERLINK("https://vegkart.atlas.vegvesen.no/#/@243603.6,6594977.0,18/hva:hva%5B0%5D%5Bfilter%5D%5B0%5D%5Boperator%5D=%21%3D&amp;hva%5B0%5D%5Bfilter%5D%5B0%5D%5Btype_id%5D=9431&amp;hva%5B0%5D%5Bfilter%5D%5B0%5D%5Bverdi%5D=&amp;hva%5B0%5D%5Bid%5D=43/når:2022-11-21", "Vegkart")</f>
        <v>Vegkart</v>
      </c>
      <c r="B404">
        <v>672172616</v>
      </c>
      <c r="C404">
        <v>43</v>
      </c>
      <c r="D404" t="s">
        <v>1388</v>
      </c>
      <c r="E404">
        <v>9431</v>
      </c>
      <c r="F404" t="s">
        <v>23479</v>
      </c>
      <c r="G404">
        <v>3</v>
      </c>
      <c r="H404" t="s">
        <v>1489</v>
      </c>
      <c r="J404" t="s">
        <v>1430</v>
      </c>
      <c r="K404" t="s">
        <v>81</v>
      </c>
      <c r="L404" t="s">
        <v>22</v>
      </c>
      <c r="M404" t="s">
        <v>1490</v>
      </c>
      <c r="N404" t="s">
        <v>1491</v>
      </c>
      <c r="O404" t="s">
        <v>1492</v>
      </c>
      <c r="P404" s="2" t="s">
        <v>165</v>
      </c>
      <c r="Q404" t="s">
        <v>311</v>
      </c>
      <c r="R404">
        <v>21.27</v>
      </c>
      <c r="S404">
        <v>101.66</v>
      </c>
      <c r="T404" t="s">
        <v>167</v>
      </c>
    </row>
    <row r="405" spans="1:20" x14ac:dyDescent="0.25">
      <c r="A405" s="1" t="str">
        <f>HYPERLINK("https://vegkart.atlas.vegvesen.no/#/@243793.1,6595170.6,18/hva:hva%5B0%5D%5Bfilter%5D%5B0%5D%5Boperator%5D=%21%3D&amp;hva%5B0%5D%5Bfilter%5D%5B0%5D%5Btype_id%5D=9431&amp;hva%5B0%5D%5Bfilter%5D%5B0%5D%5Bverdi%5D=&amp;hva%5B0%5D%5Bid%5D=43/når:2017-06-28", "Vegkart")</f>
        <v>Vegkart</v>
      </c>
      <c r="B405">
        <v>672180724</v>
      </c>
      <c r="C405">
        <v>43</v>
      </c>
      <c r="D405" t="s">
        <v>1388</v>
      </c>
      <c r="E405">
        <v>9431</v>
      </c>
      <c r="F405" t="s">
        <v>23479</v>
      </c>
      <c r="G405">
        <v>3</v>
      </c>
      <c r="H405" t="s">
        <v>1493</v>
      </c>
      <c r="J405" t="s">
        <v>1430</v>
      </c>
      <c r="K405" t="s">
        <v>81</v>
      </c>
      <c r="L405" t="s">
        <v>22</v>
      </c>
      <c r="M405" t="s">
        <v>1494</v>
      </c>
      <c r="N405" t="s">
        <v>1495</v>
      </c>
      <c r="O405" t="s">
        <v>1496</v>
      </c>
      <c r="P405" s="2" t="s">
        <v>37</v>
      </c>
      <c r="Q405" t="s">
        <v>1208</v>
      </c>
      <c r="R405">
        <v>6.28</v>
      </c>
      <c r="S405">
        <v>136.44999999999999</v>
      </c>
      <c r="T405" t="s">
        <v>1497</v>
      </c>
    </row>
    <row r="406" spans="1:20" x14ac:dyDescent="0.25">
      <c r="A406" s="1" t="str">
        <f>HYPERLINK("https://vegkart.atlas.vegvesen.no/#/@243597.3,6595172.1,18/hva:hva%5B0%5D%5Bfilter%5D%5B0%5D%5Boperator%5D=%21%3D&amp;hva%5B0%5D%5Bfilter%5D%5B0%5D%5Btype_id%5D=9431&amp;hva%5B0%5D%5Bfilter%5D%5B0%5D%5Bverdi%5D=&amp;hva%5B0%5D%5Bid%5D=43/når:2016-12-07", "Vegkart")</f>
        <v>Vegkart</v>
      </c>
      <c r="B406">
        <v>672180725</v>
      </c>
      <c r="C406">
        <v>43</v>
      </c>
      <c r="D406" t="s">
        <v>1388</v>
      </c>
      <c r="E406">
        <v>9431</v>
      </c>
      <c r="F406" t="s">
        <v>23479</v>
      </c>
      <c r="G406">
        <v>2</v>
      </c>
      <c r="H406" t="s">
        <v>1480</v>
      </c>
      <c r="J406" t="s">
        <v>1430</v>
      </c>
      <c r="K406" t="s">
        <v>81</v>
      </c>
      <c r="L406" t="s">
        <v>22</v>
      </c>
      <c r="M406" t="s">
        <v>1498</v>
      </c>
      <c r="N406" t="s">
        <v>1499</v>
      </c>
      <c r="O406" t="s">
        <v>1500</v>
      </c>
      <c r="P406" s="2" t="s">
        <v>37</v>
      </c>
      <c r="Q406" t="s">
        <v>1208</v>
      </c>
      <c r="R406">
        <v>11.47</v>
      </c>
      <c r="S406">
        <v>126.75</v>
      </c>
      <c r="T406" t="s">
        <v>1501</v>
      </c>
    </row>
    <row r="407" spans="1:20" x14ac:dyDescent="0.25">
      <c r="A407" s="1" t="str">
        <f>HYPERLINK("https://vegkart.atlas.vegvesen.no/#/@244091.2,6594848.8,18/hva:hva%5B0%5D%5Bfilter%5D%5B0%5D%5Boperator%5D=%21%3D&amp;hva%5B0%5D%5Bfilter%5D%5B0%5D%5Btype_id%5D=9431&amp;hva%5B0%5D%5Bfilter%5D%5B0%5D%5Bverdi%5D=&amp;hva%5B0%5D%5Bid%5D=43/når:2016-03-21", "Vegkart")</f>
        <v>Vegkart</v>
      </c>
      <c r="B407">
        <v>672180731</v>
      </c>
      <c r="C407">
        <v>43</v>
      </c>
      <c r="D407" t="s">
        <v>1388</v>
      </c>
      <c r="E407">
        <v>9431</v>
      </c>
      <c r="F407" t="s">
        <v>23479</v>
      </c>
      <c r="G407">
        <v>1</v>
      </c>
      <c r="H407" t="s">
        <v>1475</v>
      </c>
      <c r="J407" t="s">
        <v>1430</v>
      </c>
      <c r="K407" t="s">
        <v>81</v>
      </c>
      <c r="L407" t="s">
        <v>370</v>
      </c>
      <c r="M407" t="s">
        <v>1502</v>
      </c>
      <c r="N407" t="s">
        <v>1503</v>
      </c>
      <c r="O407" t="s">
        <v>1504</v>
      </c>
      <c r="P407" s="2" t="s">
        <v>26</v>
      </c>
      <c r="Q407" t="s">
        <v>50</v>
      </c>
      <c r="R407">
        <v>20.27</v>
      </c>
      <c r="S407">
        <v>534.25</v>
      </c>
      <c r="T407" t="s">
        <v>1505</v>
      </c>
    </row>
    <row r="408" spans="1:20" x14ac:dyDescent="0.25">
      <c r="A408" s="1" t="str">
        <f>HYPERLINK("https://vegkart.atlas.vegvesen.no/#/@244073.6,6594986.7,18/hva:hva%5B0%5D%5Bfilter%5D%5B0%5D%5Boperator%5D=%21%3D&amp;hva%5B0%5D%5Bfilter%5D%5B0%5D%5Btype_id%5D=9431&amp;hva%5B0%5D%5Bfilter%5D%5B0%5D%5Bverdi%5D=&amp;hva%5B0%5D%5Bid%5D=43/når:2022-11-21", "Vegkart")</f>
        <v>Vegkart</v>
      </c>
      <c r="B408">
        <v>672180734</v>
      </c>
      <c r="C408">
        <v>43</v>
      </c>
      <c r="D408" t="s">
        <v>1388</v>
      </c>
      <c r="E408">
        <v>9431</v>
      </c>
      <c r="F408" t="s">
        <v>23479</v>
      </c>
      <c r="G408">
        <v>3</v>
      </c>
      <c r="H408" t="s">
        <v>1489</v>
      </c>
      <c r="J408" t="s">
        <v>1430</v>
      </c>
      <c r="K408" t="s">
        <v>81</v>
      </c>
      <c r="L408" t="s">
        <v>370</v>
      </c>
      <c r="M408" t="s">
        <v>1506</v>
      </c>
      <c r="N408" t="s">
        <v>1507</v>
      </c>
      <c r="O408" t="s">
        <v>1508</v>
      </c>
      <c r="P408" s="2" t="s">
        <v>37</v>
      </c>
      <c r="Q408" t="s">
        <v>1208</v>
      </c>
      <c r="R408">
        <v>6.82</v>
      </c>
      <c r="S408">
        <v>165.5</v>
      </c>
      <c r="T408" t="s">
        <v>1509</v>
      </c>
    </row>
    <row r="409" spans="1:20" x14ac:dyDescent="0.25">
      <c r="A409" s="1" t="str">
        <f>HYPERLINK("https://vegkart.atlas.vegvesen.no/#/@244121.0,6595004.1,18/hva:hva%5B0%5D%5Bfilter%5D%5B0%5D%5Boperator%5D=%21%3D&amp;hva%5B0%5D%5Bfilter%5D%5B0%5D%5Btype_id%5D=9431&amp;hva%5B0%5D%5Bfilter%5D%5B0%5D%5Bverdi%5D=&amp;hva%5B0%5D%5Bid%5D=43/når:2016-12-05", "Vegkart")</f>
        <v>Vegkart</v>
      </c>
      <c r="B409">
        <v>672180735</v>
      </c>
      <c r="C409">
        <v>43</v>
      </c>
      <c r="D409" t="s">
        <v>1388</v>
      </c>
      <c r="E409">
        <v>9431</v>
      </c>
      <c r="F409" t="s">
        <v>23479</v>
      </c>
      <c r="G409">
        <v>2</v>
      </c>
      <c r="H409" t="s">
        <v>1510</v>
      </c>
      <c r="J409" t="s">
        <v>1430</v>
      </c>
      <c r="K409" t="s">
        <v>81</v>
      </c>
      <c r="L409" t="s">
        <v>370</v>
      </c>
      <c r="M409" t="s">
        <v>1506</v>
      </c>
      <c r="N409" t="s">
        <v>1511</v>
      </c>
      <c r="O409" t="s">
        <v>1512</v>
      </c>
      <c r="P409" s="2" t="s">
        <v>37</v>
      </c>
      <c r="Q409" t="s">
        <v>1208</v>
      </c>
      <c r="R409">
        <v>6.82</v>
      </c>
      <c r="S409">
        <v>229.78</v>
      </c>
      <c r="T409" t="s">
        <v>1513</v>
      </c>
    </row>
    <row r="410" spans="1:20" x14ac:dyDescent="0.25">
      <c r="A410" s="1" t="str">
        <f>HYPERLINK("https://vegkart.atlas.vegvesen.no/#/@243768.2,6594981.5,18/hva:hva%5B0%5D%5Bfilter%5D%5B0%5D%5Boperator%5D=%21%3D&amp;hva%5B0%5D%5Bfilter%5D%5B0%5D%5Btype_id%5D=9431&amp;hva%5B0%5D%5Bfilter%5D%5B0%5D%5Bverdi%5D=&amp;hva%5B0%5D%5Bid%5D=43/når:2016-12-07", "Vegkart")</f>
        <v>Vegkart</v>
      </c>
      <c r="B410">
        <v>672192839</v>
      </c>
      <c r="C410">
        <v>43</v>
      </c>
      <c r="D410" t="s">
        <v>1388</v>
      </c>
      <c r="E410">
        <v>9431</v>
      </c>
      <c r="F410" t="s">
        <v>23479</v>
      </c>
      <c r="G410">
        <v>2</v>
      </c>
      <c r="H410" t="s">
        <v>1480</v>
      </c>
      <c r="J410" t="s">
        <v>1430</v>
      </c>
      <c r="K410" t="s">
        <v>81</v>
      </c>
      <c r="L410" t="s">
        <v>22</v>
      </c>
      <c r="M410" t="s">
        <v>1481</v>
      </c>
      <c r="N410" t="s">
        <v>1514</v>
      </c>
      <c r="O410" t="s">
        <v>1515</v>
      </c>
      <c r="P410" s="2" t="s">
        <v>37</v>
      </c>
      <c r="Q410" t="s">
        <v>1208</v>
      </c>
      <c r="R410">
        <v>8.75</v>
      </c>
      <c r="S410">
        <v>85.25</v>
      </c>
      <c r="T410" t="s">
        <v>1516</v>
      </c>
    </row>
    <row r="411" spans="1:20" x14ac:dyDescent="0.25">
      <c r="A411" s="1" t="str">
        <f>HYPERLINK("https://vegkart.atlas.vegvesen.no/#/@243625.5,6595056.8,18/hva:hva%5B0%5D%5Bfilter%5D%5B0%5D%5Boperator%5D=%21%3D&amp;hva%5B0%5D%5Bfilter%5D%5B0%5D%5Btype_id%5D=9431&amp;hva%5B0%5D%5Bfilter%5D%5B0%5D%5Bverdi%5D=&amp;hva%5B0%5D%5Bid%5D=43/når:2016-03-22", "Vegkart")</f>
        <v>Vegkart</v>
      </c>
      <c r="B411">
        <v>672192846</v>
      </c>
      <c r="C411">
        <v>43</v>
      </c>
      <c r="D411" t="s">
        <v>1388</v>
      </c>
      <c r="E411">
        <v>9431</v>
      </c>
      <c r="F411" t="s">
        <v>23479</v>
      </c>
      <c r="G411">
        <v>1</v>
      </c>
      <c r="H411" t="s">
        <v>1517</v>
      </c>
      <c r="J411" t="s">
        <v>1430</v>
      </c>
      <c r="K411" t="s">
        <v>81</v>
      </c>
      <c r="L411" t="s">
        <v>22</v>
      </c>
      <c r="M411" t="s">
        <v>1518</v>
      </c>
      <c r="N411" t="s">
        <v>1519</v>
      </c>
      <c r="O411" t="s">
        <v>1520</v>
      </c>
      <c r="P411" s="2" t="s">
        <v>37</v>
      </c>
      <c r="Q411" t="s">
        <v>1208</v>
      </c>
      <c r="R411">
        <v>6.89</v>
      </c>
      <c r="S411">
        <v>133.87</v>
      </c>
      <c r="T411" t="s">
        <v>1521</v>
      </c>
    </row>
    <row r="412" spans="1:20" x14ac:dyDescent="0.25">
      <c r="A412" s="1" t="str">
        <f>HYPERLINK("https://vegkart.atlas.vegvesen.no/#/@243575.7,6594933.1,18/hva:hva%5B0%5D%5Bfilter%5D%5B0%5D%5Boperator%5D=%21%3D&amp;hva%5B0%5D%5Bfilter%5D%5B0%5D%5Btype_id%5D=9431&amp;hva%5B0%5D%5Bfilter%5D%5B0%5D%5Bverdi%5D=&amp;hva%5B0%5D%5Bid%5D=43/når:2016-03-22", "Vegkart")</f>
        <v>Vegkart</v>
      </c>
      <c r="B412">
        <v>672192847</v>
      </c>
      <c r="C412">
        <v>43</v>
      </c>
      <c r="D412" t="s">
        <v>1388</v>
      </c>
      <c r="E412">
        <v>9431</v>
      </c>
      <c r="F412" t="s">
        <v>23479</v>
      </c>
      <c r="G412">
        <v>1</v>
      </c>
      <c r="H412" t="s">
        <v>1517</v>
      </c>
      <c r="J412" t="s">
        <v>1430</v>
      </c>
      <c r="K412" t="s">
        <v>81</v>
      </c>
      <c r="L412" t="s">
        <v>22</v>
      </c>
      <c r="M412" t="s">
        <v>1522</v>
      </c>
      <c r="N412" t="s">
        <v>1523</v>
      </c>
      <c r="O412" t="s">
        <v>1524</v>
      </c>
      <c r="P412" s="2" t="s">
        <v>37</v>
      </c>
      <c r="Q412" t="s">
        <v>1208</v>
      </c>
      <c r="R412">
        <v>2.96</v>
      </c>
      <c r="S412">
        <v>73.53</v>
      </c>
      <c r="T412" t="s">
        <v>1525</v>
      </c>
    </row>
    <row r="413" spans="1:20" x14ac:dyDescent="0.25">
      <c r="A413" s="1" t="str">
        <f>HYPERLINK("https://vegkart.atlas.vegvesen.no/#/@243652.9,6594731.8,18/hva:hva%5B0%5D%5Bfilter%5D%5B0%5D%5Boperator%5D=%21%3D&amp;hva%5B0%5D%5Bfilter%5D%5B0%5D%5Btype_id%5D=9431&amp;hva%5B0%5D%5Bfilter%5D%5B0%5D%5Bverdi%5D=&amp;hva%5B0%5D%5Bid%5D=43/når:2016-03-22", "Vegkart")</f>
        <v>Vegkart</v>
      </c>
      <c r="B413">
        <v>672192853</v>
      </c>
      <c r="C413">
        <v>43</v>
      </c>
      <c r="D413" t="s">
        <v>1388</v>
      </c>
      <c r="E413">
        <v>9431</v>
      </c>
      <c r="F413" t="s">
        <v>23479</v>
      </c>
      <c r="G413">
        <v>1</v>
      </c>
      <c r="H413" t="s">
        <v>1517</v>
      </c>
      <c r="J413" t="s">
        <v>1430</v>
      </c>
      <c r="K413" t="s">
        <v>81</v>
      </c>
      <c r="L413" t="s">
        <v>22</v>
      </c>
      <c r="M413" t="s">
        <v>1526</v>
      </c>
      <c r="N413" t="s">
        <v>1527</v>
      </c>
      <c r="O413" t="s">
        <v>1528</v>
      </c>
      <c r="P413" s="2" t="s">
        <v>37</v>
      </c>
      <c r="Q413" t="s">
        <v>1208</v>
      </c>
      <c r="R413">
        <v>6.62</v>
      </c>
      <c r="S413">
        <v>84.51</v>
      </c>
      <c r="T413" t="s">
        <v>1529</v>
      </c>
    </row>
    <row r="414" spans="1:20" x14ac:dyDescent="0.25">
      <c r="A414" s="1" t="str">
        <f>HYPERLINK("https://vegkart.atlas.vegvesen.no/#/@273686.2,7026748.7,18/hva:hva%5B0%5D%5Bfilter%5D%5B0%5D%5Boperator%5D=%21%3D&amp;hva%5B0%5D%5Bfilter%5D%5B0%5D%5Btype_id%5D=9431&amp;hva%5B0%5D%5Bfilter%5D%5B0%5D%5Bverdi%5D=&amp;hva%5B0%5D%5Bid%5D=43/når:2016-05-13", "Vegkart")</f>
        <v>Vegkart</v>
      </c>
      <c r="B414">
        <v>680029372</v>
      </c>
      <c r="C414">
        <v>43</v>
      </c>
      <c r="D414" t="s">
        <v>1388</v>
      </c>
      <c r="E414">
        <v>9431</v>
      </c>
      <c r="F414" t="s">
        <v>23479</v>
      </c>
      <c r="G414">
        <v>1</v>
      </c>
      <c r="H414" t="s">
        <v>1530</v>
      </c>
      <c r="J414" t="s">
        <v>1430</v>
      </c>
      <c r="K414" t="s">
        <v>192</v>
      </c>
      <c r="L414" t="s">
        <v>33</v>
      </c>
      <c r="M414" t="s">
        <v>1531</v>
      </c>
      <c r="N414" t="s">
        <v>1532</v>
      </c>
      <c r="O414" t="s">
        <v>1533</v>
      </c>
      <c r="P414" s="2" t="s">
        <v>37</v>
      </c>
      <c r="Q414" t="s">
        <v>1208</v>
      </c>
      <c r="R414">
        <v>17.3</v>
      </c>
      <c r="S414">
        <v>18.46</v>
      </c>
      <c r="T414" t="s">
        <v>1534</v>
      </c>
    </row>
    <row r="415" spans="1:20" x14ac:dyDescent="0.25">
      <c r="A415" s="1" t="str">
        <f>HYPERLINK("https://vegkart.atlas.vegvesen.no/#/@30290.4,6688851.1,18/hva:hva%5B0%5D%5Bfilter%5D%5B0%5D%5Boperator%5D=%21%3D&amp;hva%5B0%5D%5Bfilter%5D%5B0%5D%5Btype_id%5D=9431&amp;hva%5B0%5D%5Bfilter%5D%5B0%5D%5Bverdi%5D=&amp;hva%5B0%5D%5Bid%5D=43/når:2016-06-17", "Vegkart")</f>
        <v>Vegkart</v>
      </c>
      <c r="B415">
        <v>704181940</v>
      </c>
      <c r="C415">
        <v>43</v>
      </c>
      <c r="D415" t="s">
        <v>1388</v>
      </c>
      <c r="E415">
        <v>9431</v>
      </c>
      <c r="F415" t="s">
        <v>23479</v>
      </c>
      <c r="G415">
        <v>1</v>
      </c>
      <c r="H415" t="s">
        <v>1535</v>
      </c>
      <c r="J415" t="s">
        <v>1430</v>
      </c>
      <c r="K415" t="s">
        <v>21</v>
      </c>
      <c r="L415" t="s">
        <v>113</v>
      </c>
      <c r="M415" t="s">
        <v>114</v>
      </c>
      <c r="N415" t="s">
        <v>1536</v>
      </c>
      <c r="O415" t="s">
        <v>1537</v>
      </c>
      <c r="P415" s="2" t="s">
        <v>26</v>
      </c>
      <c r="Q415" t="s">
        <v>50</v>
      </c>
      <c r="R415">
        <v>39.81</v>
      </c>
      <c r="S415">
        <v>39.81</v>
      </c>
      <c r="T415" t="s">
        <v>1538</v>
      </c>
    </row>
    <row r="416" spans="1:20" x14ac:dyDescent="0.25">
      <c r="A416" s="1" t="str">
        <f>HYPERLINK("https://vegkart.atlas.vegvesen.no/#/@30308.4,6688755.4,18/hva:hva%5B0%5D%5Bfilter%5D%5B0%5D%5Boperator%5D=%21%3D&amp;hva%5B0%5D%5Bfilter%5D%5B0%5D%5Btype_id%5D=9431&amp;hva%5B0%5D%5Bfilter%5D%5B0%5D%5Bverdi%5D=&amp;hva%5B0%5D%5Bid%5D=43/når:2016-06-17", "Vegkart")</f>
        <v>Vegkart</v>
      </c>
      <c r="B416">
        <v>704181941</v>
      </c>
      <c r="C416">
        <v>43</v>
      </c>
      <c r="D416" t="s">
        <v>1388</v>
      </c>
      <c r="E416">
        <v>9431</v>
      </c>
      <c r="F416" t="s">
        <v>23479</v>
      </c>
      <c r="G416">
        <v>1</v>
      </c>
      <c r="H416" t="s">
        <v>1535</v>
      </c>
      <c r="J416" t="s">
        <v>1430</v>
      </c>
      <c r="K416" t="s">
        <v>21</v>
      </c>
      <c r="L416" t="s">
        <v>113</v>
      </c>
      <c r="M416" t="s">
        <v>114</v>
      </c>
      <c r="N416" t="s">
        <v>1539</v>
      </c>
      <c r="O416" t="s">
        <v>1540</v>
      </c>
      <c r="P416" s="2" t="s">
        <v>26</v>
      </c>
      <c r="Q416" t="s">
        <v>50</v>
      </c>
      <c r="R416">
        <v>130.68</v>
      </c>
      <c r="S416">
        <v>131.84</v>
      </c>
      <c r="T416" t="s">
        <v>1541</v>
      </c>
    </row>
    <row r="417" spans="1:20" x14ac:dyDescent="0.25">
      <c r="A417" s="1" t="str">
        <f>HYPERLINK("https://vegkart.atlas.vegvesen.no/#/@122054.5,6946168.6,18/hva:hva%5B0%5D%5Bfilter%5D%5B0%5D%5Boperator%5D=%21%3D&amp;hva%5B0%5D%5Bfilter%5D%5B0%5D%5Btype_id%5D=9431&amp;hva%5B0%5D%5Bfilter%5D%5B0%5D%5Bverdi%5D=&amp;hva%5B0%5D%5Bid%5D=43/når:2021-02-12", "Vegkart")</f>
        <v>Vegkart</v>
      </c>
      <c r="B417">
        <v>721265517</v>
      </c>
      <c r="C417">
        <v>43</v>
      </c>
      <c r="D417" t="s">
        <v>1388</v>
      </c>
      <c r="E417">
        <v>9431</v>
      </c>
      <c r="F417" t="s">
        <v>23479</v>
      </c>
      <c r="G417">
        <v>4</v>
      </c>
      <c r="H417" t="s">
        <v>1202</v>
      </c>
      <c r="J417" t="s">
        <v>1542</v>
      </c>
      <c r="K417" t="s">
        <v>32</v>
      </c>
      <c r="L417" t="s">
        <v>33</v>
      </c>
      <c r="M417" t="s">
        <v>1203</v>
      </c>
      <c r="N417" t="s">
        <v>1543</v>
      </c>
      <c r="O417" t="s">
        <v>1544</v>
      </c>
      <c r="P417" s="2" t="s">
        <v>165</v>
      </c>
      <c r="Q417" t="s">
        <v>641</v>
      </c>
      <c r="R417">
        <v>1.34</v>
      </c>
      <c r="S417">
        <v>396.14</v>
      </c>
      <c r="T417" t="s">
        <v>167</v>
      </c>
    </row>
    <row r="418" spans="1:20" x14ac:dyDescent="0.25">
      <c r="A418" s="1" t="str">
        <f>HYPERLINK("https://vegkart.atlas.vegvesen.no/#/@270950.5,7041878.8,18/hva:hva%5B0%5D%5Bfilter%5D%5B0%5D%5Boperator%5D=%21%3D&amp;hva%5B0%5D%5Bfilter%5D%5B0%5D%5Btype_id%5D=9431&amp;hva%5B0%5D%5Bfilter%5D%5B0%5D%5Bverdi%5D=&amp;hva%5B0%5D%5Bid%5D=43/når:2016-09-26", "Vegkart")</f>
        <v>Vegkart</v>
      </c>
      <c r="B418">
        <v>739385879</v>
      </c>
      <c r="C418">
        <v>43</v>
      </c>
      <c r="D418" t="s">
        <v>1388</v>
      </c>
      <c r="E418">
        <v>9431</v>
      </c>
      <c r="F418" t="s">
        <v>23479</v>
      </c>
      <c r="G418">
        <v>1</v>
      </c>
      <c r="H418" t="s">
        <v>1545</v>
      </c>
      <c r="J418" t="s">
        <v>1430</v>
      </c>
      <c r="K418" t="s">
        <v>192</v>
      </c>
      <c r="L418" t="s">
        <v>22</v>
      </c>
      <c r="M418" t="s">
        <v>1546</v>
      </c>
      <c r="N418" t="s">
        <v>1547</v>
      </c>
      <c r="O418" t="s">
        <v>1548</v>
      </c>
      <c r="P418" s="2" t="s">
        <v>26</v>
      </c>
      <c r="Q418" t="s">
        <v>50</v>
      </c>
      <c r="R418">
        <v>105.08</v>
      </c>
      <c r="S418">
        <v>105.77</v>
      </c>
      <c r="T418" t="s">
        <v>1549</v>
      </c>
    </row>
    <row r="419" spans="1:20" x14ac:dyDescent="0.25">
      <c r="A419" s="1" t="str">
        <f>HYPERLINK("https://vegkart.atlas.vegvesen.no/#/@122006.2,6946059.6,18/hva:hva%5B0%5D%5Bfilter%5D%5B0%5D%5Boperator%5D=%21%3D&amp;hva%5B0%5D%5Bfilter%5D%5B0%5D%5Btype_id%5D=9431&amp;hva%5B0%5D%5Bfilter%5D%5B0%5D%5Bverdi%5D=&amp;hva%5B0%5D%5Bid%5D=43/når:2021-02-12", "Vegkart")</f>
        <v>Vegkart</v>
      </c>
      <c r="B419">
        <v>739743168</v>
      </c>
      <c r="C419">
        <v>43</v>
      </c>
      <c r="D419" t="s">
        <v>1388</v>
      </c>
      <c r="E419">
        <v>9431</v>
      </c>
      <c r="F419" t="s">
        <v>23479</v>
      </c>
      <c r="G419">
        <v>4</v>
      </c>
      <c r="H419" t="s">
        <v>1202</v>
      </c>
      <c r="J419" t="s">
        <v>1550</v>
      </c>
      <c r="K419" t="s">
        <v>32</v>
      </c>
      <c r="L419" t="s">
        <v>33</v>
      </c>
      <c r="M419" t="s">
        <v>1203</v>
      </c>
      <c r="N419" t="s">
        <v>1551</v>
      </c>
      <c r="O419" t="s">
        <v>1552</v>
      </c>
      <c r="P419" s="2" t="s">
        <v>37</v>
      </c>
      <c r="Q419" t="s">
        <v>1208</v>
      </c>
      <c r="R419">
        <v>7.41</v>
      </c>
      <c r="S419">
        <v>184.17</v>
      </c>
      <c r="T419" t="s">
        <v>1553</v>
      </c>
    </row>
    <row r="420" spans="1:20" x14ac:dyDescent="0.25">
      <c r="A420" s="1" t="str">
        <f>HYPERLINK("https://vegkart.atlas.vegvesen.no/#/@68351.3,6956978.3,18/hva:hva%5B0%5D%5Bfilter%5D%5B0%5D%5Boperator%5D=%21%3D&amp;hva%5B0%5D%5Bfilter%5D%5B0%5D%5Btype_id%5D=9431&amp;hva%5B0%5D%5Bfilter%5D%5B0%5D%5Bverdi%5D=&amp;hva%5B0%5D%5Bid%5D=43/når:2016-10-12", "Vegkart")</f>
        <v>Vegkart</v>
      </c>
      <c r="B420">
        <v>745009988</v>
      </c>
      <c r="C420">
        <v>43</v>
      </c>
      <c r="D420" t="s">
        <v>1388</v>
      </c>
      <c r="E420">
        <v>9431</v>
      </c>
      <c r="F420" t="s">
        <v>23479</v>
      </c>
      <c r="G420">
        <v>1</v>
      </c>
      <c r="H420" t="s">
        <v>1554</v>
      </c>
      <c r="J420" t="s">
        <v>1430</v>
      </c>
      <c r="K420" t="s">
        <v>32</v>
      </c>
      <c r="L420" t="s">
        <v>370</v>
      </c>
      <c r="M420" t="s">
        <v>1555</v>
      </c>
      <c r="N420" t="s">
        <v>1556</v>
      </c>
      <c r="O420" t="s">
        <v>1557</v>
      </c>
      <c r="P420" s="2" t="s">
        <v>26</v>
      </c>
      <c r="Q420" t="s">
        <v>50</v>
      </c>
      <c r="R420">
        <v>47.05</v>
      </c>
      <c r="S420">
        <v>60.24</v>
      </c>
      <c r="T420" t="s">
        <v>1558</v>
      </c>
    </row>
    <row r="421" spans="1:20" x14ac:dyDescent="0.25">
      <c r="A421" s="1" t="str">
        <f>HYPERLINK("https://vegkart.atlas.vegvesen.no/#/@68313.4,6956990.3,18/hva:hva%5B0%5D%5Bfilter%5D%5B0%5D%5Boperator%5D=%21%3D&amp;hva%5B0%5D%5Bfilter%5D%5B0%5D%5Btype_id%5D=9431&amp;hva%5B0%5D%5Bfilter%5D%5B0%5D%5Bverdi%5D=&amp;hva%5B0%5D%5Bid%5D=43/når:2016-10-12", "Vegkart")</f>
        <v>Vegkart</v>
      </c>
      <c r="B421">
        <v>745009989</v>
      </c>
      <c r="C421">
        <v>43</v>
      </c>
      <c r="D421" t="s">
        <v>1388</v>
      </c>
      <c r="E421">
        <v>9431</v>
      </c>
      <c r="F421" t="s">
        <v>23479</v>
      </c>
      <c r="G421">
        <v>1</v>
      </c>
      <c r="H421" t="s">
        <v>1554</v>
      </c>
      <c r="J421" t="s">
        <v>1430</v>
      </c>
      <c r="K421" t="s">
        <v>32</v>
      </c>
      <c r="L421" t="s">
        <v>370</v>
      </c>
      <c r="M421" t="s">
        <v>1555</v>
      </c>
      <c r="N421" t="s">
        <v>1559</v>
      </c>
      <c r="O421" t="s">
        <v>1560</v>
      </c>
      <c r="P421" s="2" t="s">
        <v>37</v>
      </c>
      <c r="Q421" t="s">
        <v>1208</v>
      </c>
      <c r="R421">
        <v>7.54</v>
      </c>
      <c r="S421">
        <v>84.22</v>
      </c>
      <c r="T421" t="s">
        <v>1561</v>
      </c>
    </row>
    <row r="422" spans="1:20" x14ac:dyDescent="0.25">
      <c r="A422" s="1" t="str">
        <f>HYPERLINK("https://vegkart.atlas.vegvesen.no/#/@315750.3,7133189.2,18/hva:hva%5B0%5D%5Bfilter%5D%5B0%5D%5Boperator%5D=%21%3D&amp;hva%5B0%5D%5Bfilter%5D%5B0%5D%5Btype_id%5D=9431&amp;hva%5B0%5D%5Bfilter%5D%5B0%5D%5Bverdi%5D=&amp;hva%5B0%5D%5Bid%5D=43/når:2020-08-21", "Vegkart")</f>
        <v>Vegkart</v>
      </c>
      <c r="B422">
        <v>759041984</v>
      </c>
      <c r="C422">
        <v>43</v>
      </c>
      <c r="D422" t="s">
        <v>1388</v>
      </c>
      <c r="E422">
        <v>9431</v>
      </c>
      <c r="F422" t="s">
        <v>23479</v>
      </c>
      <c r="G422">
        <v>3</v>
      </c>
      <c r="H422" t="s">
        <v>1562</v>
      </c>
      <c r="J422" t="s">
        <v>1563</v>
      </c>
      <c r="K422" t="s">
        <v>192</v>
      </c>
      <c r="L422" t="s">
        <v>33</v>
      </c>
      <c r="M422" t="s">
        <v>473</v>
      </c>
      <c r="N422" t="s">
        <v>1564</v>
      </c>
      <c r="O422" t="s">
        <v>1565</v>
      </c>
      <c r="P422" s="2" t="s">
        <v>37</v>
      </c>
      <c r="Q422" t="s">
        <v>1208</v>
      </c>
      <c r="R422">
        <v>12</v>
      </c>
      <c r="S422">
        <v>72.489999999999995</v>
      </c>
      <c r="T422" t="s">
        <v>1566</v>
      </c>
    </row>
    <row r="423" spans="1:20" x14ac:dyDescent="0.25">
      <c r="A423" s="1" t="str">
        <f>HYPERLINK("https://vegkart.atlas.vegvesen.no/#/@-32900.5,6751289.8,18/hva:hva%5B0%5D%5Bfilter%5D%5B0%5D%5Boperator%5D=%21%3D&amp;hva%5B0%5D%5Bfilter%5D%5B0%5D%5Btype_id%5D=9431&amp;hva%5B0%5D%5Bfilter%5D%5B0%5D%5Bverdi%5D=&amp;hva%5B0%5D%5Bid%5D=43/når:2020-03-27", "Vegkart")</f>
        <v>Vegkart</v>
      </c>
      <c r="B423">
        <v>760600500</v>
      </c>
      <c r="C423">
        <v>43</v>
      </c>
      <c r="D423" t="s">
        <v>1388</v>
      </c>
      <c r="E423">
        <v>9431</v>
      </c>
      <c r="F423" t="s">
        <v>23479</v>
      </c>
      <c r="G423">
        <v>2</v>
      </c>
      <c r="H423" t="s">
        <v>1567</v>
      </c>
      <c r="J423" t="s">
        <v>1563</v>
      </c>
      <c r="K423" t="s">
        <v>21</v>
      </c>
      <c r="L423" t="s">
        <v>80</v>
      </c>
      <c r="M423" t="s">
        <v>81</v>
      </c>
      <c r="N423" t="s">
        <v>1568</v>
      </c>
      <c r="O423" t="s">
        <v>1569</v>
      </c>
      <c r="P423" s="2" t="s">
        <v>165</v>
      </c>
      <c r="Q423" t="s">
        <v>641</v>
      </c>
      <c r="R423">
        <v>0</v>
      </c>
      <c r="S423">
        <v>341.4</v>
      </c>
      <c r="T423" t="s">
        <v>167</v>
      </c>
    </row>
    <row r="424" spans="1:20" x14ac:dyDescent="0.25">
      <c r="A424" s="1" t="str">
        <f>HYPERLINK("https://vegkart.atlas.vegvesen.no/#/@1079177.4,7802849.1,18/hva:hva%5B0%5D%5Bfilter%5D%5B0%5D%5Boperator%5D=%21%3D&amp;hva%5B0%5D%5Bfilter%5D%5B0%5D%5Btype_id%5D=9431&amp;hva%5B0%5D%5Bfilter%5D%5B0%5D%5Bverdi%5D=&amp;hva%5B0%5D%5Bid%5D=43/når:2017-01-26", "Vegkart")</f>
        <v>Vegkart</v>
      </c>
      <c r="B424">
        <v>761438925</v>
      </c>
      <c r="C424">
        <v>43</v>
      </c>
      <c r="D424" t="s">
        <v>1388</v>
      </c>
      <c r="E424">
        <v>9431</v>
      </c>
      <c r="F424" t="s">
        <v>23479</v>
      </c>
      <c r="G424">
        <v>1</v>
      </c>
      <c r="H424" t="s">
        <v>1570</v>
      </c>
      <c r="J424" t="s">
        <v>1563</v>
      </c>
      <c r="K424" t="s">
        <v>450</v>
      </c>
      <c r="L424" t="s">
        <v>80</v>
      </c>
      <c r="M424" t="s">
        <v>1571</v>
      </c>
      <c r="N424" t="s">
        <v>1572</v>
      </c>
      <c r="O424" t="s">
        <v>1573</v>
      </c>
      <c r="P424" s="2" t="s">
        <v>37</v>
      </c>
      <c r="Q424" t="s">
        <v>1208</v>
      </c>
      <c r="R424">
        <v>14</v>
      </c>
      <c r="S424">
        <v>98.74</v>
      </c>
      <c r="T424" t="s">
        <v>1574</v>
      </c>
    </row>
    <row r="425" spans="1:20" x14ac:dyDescent="0.25">
      <c r="A425" s="1" t="str">
        <f>HYPERLINK("https://vegkart.atlas.vegvesen.no/#/@255807.7,6697590.5,18/hva:hva%5B0%5D%5Bfilter%5D%5B0%5D%5Boperator%5D=%21%3D&amp;hva%5B0%5D%5Bfilter%5D%5B0%5D%5Btype_id%5D=9431&amp;hva%5B0%5D%5Bfilter%5D%5B0%5D%5Bverdi%5D=&amp;hva%5B0%5D%5Bid%5D=43/når:2023-08-11", "Vegkart")</f>
        <v>Vegkart</v>
      </c>
      <c r="B425">
        <v>765900941</v>
      </c>
      <c r="C425">
        <v>43</v>
      </c>
      <c r="D425" t="s">
        <v>1388</v>
      </c>
      <c r="E425">
        <v>9431</v>
      </c>
      <c r="F425" t="s">
        <v>23479</v>
      </c>
      <c r="G425">
        <v>2</v>
      </c>
      <c r="H425" t="s">
        <v>506</v>
      </c>
      <c r="J425" t="s">
        <v>1563</v>
      </c>
      <c r="K425" t="s">
        <v>136</v>
      </c>
      <c r="L425" t="s">
        <v>113</v>
      </c>
      <c r="M425" t="s">
        <v>1575</v>
      </c>
      <c r="N425" t="s">
        <v>1576</v>
      </c>
      <c r="O425" t="s">
        <v>1577</v>
      </c>
      <c r="P425" s="2" t="s">
        <v>26</v>
      </c>
      <c r="Q425" t="s">
        <v>50</v>
      </c>
      <c r="R425">
        <v>55.01</v>
      </c>
      <c r="S425">
        <v>67.33</v>
      </c>
      <c r="T425" t="s">
        <v>1578</v>
      </c>
    </row>
    <row r="426" spans="1:20" x14ac:dyDescent="0.25">
      <c r="A426" s="1" t="str">
        <f>HYPERLINK("https://vegkart.atlas.vegvesen.no/#/@255821.4,6697530.0,18/hva:hva%5B0%5D%5Bfilter%5D%5B0%5D%5Boperator%5D=%21%3D&amp;hva%5B0%5D%5Bfilter%5D%5B0%5D%5Btype_id%5D=9431&amp;hva%5B0%5D%5Bfilter%5D%5B0%5D%5Bverdi%5D=&amp;hva%5B0%5D%5Bid%5D=43/når:2023-08-11", "Vegkart")</f>
        <v>Vegkart</v>
      </c>
      <c r="B426">
        <v>765900942</v>
      </c>
      <c r="C426">
        <v>43</v>
      </c>
      <c r="D426" t="s">
        <v>1388</v>
      </c>
      <c r="E426">
        <v>9431</v>
      </c>
      <c r="F426" t="s">
        <v>23479</v>
      </c>
      <c r="G426">
        <v>2</v>
      </c>
      <c r="H426" t="s">
        <v>506</v>
      </c>
      <c r="J426" t="s">
        <v>1563</v>
      </c>
      <c r="K426" t="s">
        <v>136</v>
      </c>
      <c r="L426" t="s">
        <v>113</v>
      </c>
      <c r="M426" t="s">
        <v>1575</v>
      </c>
      <c r="N426" t="s">
        <v>1579</v>
      </c>
      <c r="O426" t="s">
        <v>1580</v>
      </c>
      <c r="P426" s="2" t="s">
        <v>26</v>
      </c>
      <c r="Q426" t="s">
        <v>50</v>
      </c>
      <c r="R426">
        <v>58.35</v>
      </c>
      <c r="S426">
        <v>62.06</v>
      </c>
      <c r="T426" t="s">
        <v>1581</v>
      </c>
    </row>
    <row r="427" spans="1:20" x14ac:dyDescent="0.25">
      <c r="A427" s="1" t="str">
        <f>HYPERLINK("https://vegkart.atlas.vegvesen.no/#/@-41262.7,6700491.6,18/hva:hva%5B0%5D%5Bfilter%5D%5B0%5D%5Boperator%5D=%21%3D&amp;hva%5B0%5D%5Bfilter%5D%5B0%5D%5Btype_id%5D=9431&amp;hva%5B0%5D%5Bfilter%5D%5B0%5D%5Bverdi%5D=&amp;hva%5B0%5D%5Bid%5D=43/når:2017-04-07", "Vegkart")</f>
        <v>Vegkart</v>
      </c>
      <c r="B427">
        <v>766022979</v>
      </c>
      <c r="C427">
        <v>43</v>
      </c>
      <c r="D427" t="s">
        <v>1388</v>
      </c>
      <c r="E427">
        <v>9431</v>
      </c>
      <c r="F427" t="s">
        <v>23479</v>
      </c>
      <c r="G427">
        <v>1</v>
      </c>
      <c r="H427" t="s">
        <v>1582</v>
      </c>
      <c r="J427" t="s">
        <v>1563</v>
      </c>
      <c r="K427" t="s">
        <v>21</v>
      </c>
      <c r="L427" t="s">
        <v>22</v>
      </c>
      <c r="M427" t="s">
        <v>1583</v>
      </c>
      <c r="N427" t="s">
        <v>1584</v>
      </c>
      <c r="O427" t="s">
        <v>1585</v>
      </c>
      <c r="P427" s="2" t="s">
        <v>37</v>
      </c>
      <c r="Q427" t="s">
        <v>1208</v>
      </c>
      <c r="R427">
        <v>13.25</v>
      </c>
      <c r="S427">
        <v>172.48</v>
      </c>
      <c r="T427" t="s">
        <v>1586</v>
      </c>
    </row>
    <row r="428" spans="1:20" x14ac:dyDescent="0.25">
      <c r="A428" s="1" t="str">
        <f>HYPERLINK("https://vegkart.atlas.vegvesen.no/#/@-26862.6,6778751.8,18/hva:hva%5B0%5D%5Bfilter%5D%5B0%5D%5Boperator%5D=%21%3D&amp;hva%5B0%5D%5Bfilter%5D%5B0%5D%5Btype_id%5D=9431&amp;hva%5B0%5D%5Bfilter%5D%5B0%5D%5Bverdi%5D=&amp;hva%5B0%5D%5Bid%5D=43/når:2017-06-06", "Vegkart")</f>
        <v>Vegkart</v>
      </c>
      <c r="B428">
        <v>787928393</v>
      </c>
      <c r="C428">
        <v>43</v>
      </c>
      <c r="D428" t="s">
        <v>1388</v>
      </c>
      <c r="E428">
        <v>9431</v>
      </c>
      <c r="F428" t="s">
        <v>23479</v>
      </c>
      <c r="G428">
        <v>1</v>
      </c>
      <c r="H428" t="s">
        <v>1587</v>
      </c>
      <c r="J428" t="s">
        <v>1563</v>
      </c>
      <c r="K428" t="s">
        <v>21</v>
      </c>
      <c r="L428" t="s">
        <v>22</v>
      </c>
      <c r="M428" t="s">
        <v>1588</v>
      </c>
      <c r="N428" t="s">
        <v>1589</v>
      </c>
      <c r="O428" t="s">
        <v>1590</v>
      </c>
      <c r="P428" s="2" t="s">
        <v>37</v>
      </c>
      <c r="Q428" t="s">
        <v>1208</v>
      </c>
      <c r="R428">
        <v>4.83</v>
      </c>
      <c r="S428">
        <v>99.13</v>
      </c>
      <c r="T428" t="s">
        <v>1591</v>
      </c>
    </row>
    <row r="429" spans="1:20" x14ac:dyDescent="0.25">
      <c r="A429" s="1" t="str">
        <f>HYPERLINK("https://vegkart.atlas.vegvesen.no/#/@266636.9,6762295.3,18/hva:hva%5B0%5D%5Bfilter%5D%5B0%5D%5Boperator%5D=%21%3D&amp;hva%5B0%5D%5Bfilter%5D%5B0%5D%5Btype_id%5D=9431&amp;hva%5B0%5D%5Bfilter%5D%5B0%5D%5Bverdi%5D=&amp;hva%5B0%5D%5Bid%5D=43/når:2017-11-09", "Vegkart")</f>
        <v>Vegkart</v>
      </c>
      <c r="B429">
        <v>843497384</v>
      </c>
      <c r="C429">
        <v>43</v>
      </c>
      <c r="D429" t="s">
        <v>1388</v>
      </c>
      <c r="E429">
        <v>9431</v>
      </c>
      <c r="F429" t="s">
        <v>23479</v>
      </c>
      <c r="G429">
        <v>1</v>
      </c>
      <c r="H429" t="s">
        <v>477</v>
      </c>
      <c r="J429" t="s">
        <v>1563</v>
      </c>
      <c r="K429" t="s">
        <v>136</v>
      </c>
      <c r="L429" t="s">
        <v>22</v>
      </c>
      <c r="M429" t="s">
        <v>1592</v>
      </c>
      <c r="N429" t="s">
        <v>1593</v>
      </c>
      <c r="O429" t="s">
        <v>1594</v>
      </c>
      <c r="P429" s="2" t="s">
        <v>26</v>
      </c>
      <c r="Q429" t="s">
        <v>50</v>
      </c>
      <c r="R429">
        <v>73.59</v>
      </c>
      <c r="S429">
        <v>138.04</v>
      </c>
      <c r="T429" t="s">
        <v>1595</v>
      </c>
    </row>
    <row r="430" spans="1:20" x14ac:dyDescent="0.25">
      <c r="A430" s="1" t="str">
        <f>HYPERLINK("https://vegkart.atlas.vegvesen.no/#/@266887.2,6762325.1,18/hva:hva%5B0%5D%5Bfilter%5D%5B0%5D%5Boperator%5D=%21%3D&amp;hva%5B0%5D%5Bfilter%5D%5B0%5D%5Btype_id%5D=9431&amp;hva%5B0%5D%5Bfilter%5D%5B0%5D%5Bverdi%5D=&amp;hva%5B0%5D%5Bid%5D=43/når:2017-11-09", "Vegkart")</f>
        <v>Vegkart</v>
      </c>
      <c r="B430">
        <v>843497385</v>
      </c>
      <c r="C430">
        <v>43</v>
      </c>
      <c r="D430" t="s">
        <v>1388</v>
      </c>
      <c r="E430">
        <v>9431</v>
      </c>
      <c r="F430" t="s">
        <v>23479</v>
      </c>
      <c r="G430">
        <v>1</v>
      </c>
      <c r="H430" t="s">
        <v>477</v>
      </c>
      <c r="J430" t="s">
        <v>1563</v>
      </c>
      <c r="K430" t="s">
        <v>136</v>
      </c>
      <c r="L430" t="s">
        <v>22</v>
      </c>
      <c r="M430" t="s">
        <v>1596</v>
      </c>
      <c r="N430" t="s">
        <v>1597</v>
      </c>
      <c r="O430" t="s">
        <v>1598</v>
      </c>
      <c r="P430" s="2" t="s">
        <v>37</v>
      </c>
      <c r="Q430" t="s">
        <v>1208</v>
      </c>
      <c r="R430">
        <v>8.49</v>
      </c>
      <c r="S430">
        <v>212.85</v>
      </c>
      <c r="T430" t="s">
        <v>1599</v>
      </c>
    </row>
    <row r="431" spans="1:20" x14ac:dyDescent="0.25">
      <c r="A431" s="1" t="str">
        <f>HYPERLINK("https://vegkart.atlas.vegvesen.no/#/@-46714.3,6669206.5,18/hva:hva%5B0%5D%5Bfilter%5D%5B0%5D%5Boperator%5D=%21%3D&amp;hva%5B0%5D%5Bfilter%5D%5B0%5D%5Btype_id%5D=9431&amp;hva%5B0%5D%5Bfilter%5D%5B0%5D%5Bverdi%5D=&amp;hva%5B0%5D%5Bid%5D=43/når:2017-12-06", "Vegkart")</f>
        <v>Vegkart</v>
      </c>
      <c r="B431">
        <v>844694056</v>
      </c>
      <c r="C431">
        <v>43</v>
      </c>
      <c r="D431" t="s">
        <v>1388</v>
      </c>
      <c r="E431">
        <v>9431</v>
      </c>
      <c r="F431" t="s">
        <v>23479</v>
      </c>
      <c r="G431">
        <v>1</v>
      </c>
      <c r="H431" t="s">
        <v>1600</v>
      </c>
      <c r="J431" t="s">
        <v>1563</v>
      </c>
      <c r="K431" t="s">
        <v>21</v>
      </c>
      <c r="L431" t="s">
        <v>33</v>
      </c>
      <c r="M431" t="s">
        <v>1601</v>
      </c>
      <c r="N431" t="s">
        <v>1602</v>
      </c>
      <c r="O431" t="s">
        <v>1603</v>
      </c>
      <c r="P431" s="2" t="s">
        <v>165</v>
      </c>
      <c r="Q431" t="s">
        <v>641</v>
      </c>
      <c r="R431">
        <v>0</v>
      </c>
      <c r="S431">
        <v>432.89</v>
      </c>
      <c r="T431" t="s">
        <v>167</v>
      </c>
    </row>
    <row r="432" spans="1:20" x14ac:dyDescent="0.25">
      <c r="A432" s="1" t="str">
        <f>HYPERLINK("https://vegkart.atlas.vegvesen.no/#/@852682.5,7842607.5,18/hva:hva%5B0%5D%5Bfilter%5D%5B0%5D%5Boperator%5D=%21%3D&amp;hva%5B0%5D%5Bfilter%5D%5B0%5D%5Btype_id%5D=9431&amp;hva%5B0%5D%5Bfilter%5D%5B0%5D%5Bverdi%5D=&amp;hva%5B0%5D%5Bid%5D=43/når:2017-12-18", "Vegkart")</f>
        <v>Vegkart</v>
      </c>
      <c r="B432">
        <v>844974768</v>
      </c>
      <c r="C432">
        <v>43</v>
      </c>
      <c r="D432" t="s">
        <v>1388</v>
      </c>
      <c r="E432">
        <v>9431</v>
      </c>
      <c r="F432" t="s">
        <v>23479</v>
      </c>
      <c r="G432">
        <v>1</v>
      </c>
      <c r="H432" t="s">
        <v>1604</v>
      </c>
      <c r="J432" t="s">
        <v>1563</v>
      </c>
      <c r="K432" t="s">
        <v>450</v>
      </c>
      <c r="L432" t="s">
        <v>113</v>
      </c>
      <c r="M432" t="s">
        <v>1605</v>
      </c>
      <c r="N432" t="s">
        <v>1606</v>
      </c>
      <c r="O432" t="s">
        <v>1607</v>
      </c>
      <c r="P432" s="2" t="s">
        <v>37</v>
      </c>
      <c r="Q432" t="s">
        <v>1208</v>
      </c>
      <c r="R432">
        <v>7.82</v>
      </c>
      <c r="S432">
        <v>73.78</v>
      </c>
      <c r="T432" t="s">
        <v>1608</v>
      </c>
    </row>
    <row r="433" spans="1:20" x14ac:dyDescent="0.25">
      <c r="A433" s="1" t="str">
        <f>HYPERLINK("https://vegkart.atlas.vegvesen.no/#/@852489.5,7842680.9,18/hva:hva%5B0%5D%5Bfilter%5D%5B0%5D%5Boperator%5D=%21%3D&amp;hva%5B0%5D%5Bfilter%5D%5B0%5D%5Btype_id%5D=9431&amp;hva%5B0%5D%5Bfilter%5D%5B0%5D%5Bverdi%5D=&amp;hva%5B0%5D%5Bid%5D=43/når:2017-12-18", "Vegkart")</f>
        <v>Vegkart</v>
      </c>
      <c r="B433">
        <v>844974769</v>
      </c>
      <c r="C433">
        <v>43</v>
      </c>
      <c r="D433" t="s">
        <v>1388</v>
      </c>
      <c r="E433">
        <v>9431</v>
      </c>
      <c r="F433" t="s">
        <v>23479</v>
      </c>
      <c r="G433">
        <v>1</v>
      </c>
      <c r="H433" t="s">
        <v>1604</v>
      </c>
      <c r="J433" t="s">
        <v>1563</v>
      </c>
      <c r="K433" t="s">
        <v>450</v>
      </c>
      <c r="L433" t="s">
        <v>113</v>
      </c>
      <c r="M433" t="s">
        <v>1605</v>
      </c>
      <c r="N433" t="s">
        <v>1609</v>
      </c>
      <c r="O433" t="s">
        <v>1610</v>
      </c>
      <c r="P433" s="2" t="s">
        <v>37</v>
      </c>
      <c r="Q433" t="s">
        <v>1208</v>
      </c>
      <c r="R433">
        <v>12.57</v>
      </c>
      <c r="S433">
        <v>83.64</v>
      </c>
      <c r="T433" t="s">
        <v>1611</v>
      </c>
    </row>
    <row r="434" spans="1:20" x14ac:dyDescent="0.25">
      <c r="A434" s="1" t="str">
        <f>HYPERLINK("https://vegkart.atlas.vegvesen.no/#/@304675.3,6782996.3,18/hva:hva%5B0%5D%5Bfilter%5D%5B0%5D%5Boperator%5D=%21%3D&amp;hva%5B0%5D%5Bfilter%5D%5B0%5D%5Btype_id%5D=9431&amp;hva%5B0%5D%5Bfilter%5D%5B0%5D%5Bverdi%5D=&amp;hva%5B0%5D%5Bid%5D=43/når:2018-07-19", "Vegkart")</f>
        <v>Vegkart</v>
      </c>
      <c r="B434">
        <v>847332993</v>
      </c>
      <c r="C434">
        <v>43</v>
      </c>
      <c r="D434" t="s">
        <v>1388</v>
      </c>
      <c r="E434">
        <v>9431</v>
      </c>
      <c r="F434" t="s">
        <v>23479</v>
      </c>
      <c r="G434">
        <v>3</v>
      </c>
      <c r="H434" t="s">
        <v>1612</v>
      </c>
      <c r="J434" t="s">
        <v>1563</v>
      </c>
      <c r="K434" t="s">
        <v>136</v>
      </c>
      <c r="L434" t="s">
        <v>33</v>
      </c>
      <c r="M434" t="s">
        <v>1613</v>
      </c>
      <c r="N434" t="s">
        <v>1614</v>
      </c>
      <c r="O434" t="s">
        <v>1615</v>
      </c>
      <c r="P434" s="2" t="s">
        <v>37</v>
      </c>
      <c r="Q434" t="s">
        <v>1208</v>
      </c>
      <c r="R434">
        <v>11.14</v>
      </c>
      <c r="S434">
        <v>48.32</v>
      </c>
      <c r="T434" t="s">
        <v>1616</v>
      </c>
    </row>
    <row r="435" spans="1:20" x14ac:dyDescent="0.25">
      <c r="A435" s="1" t="str">
        <f>HYPERLINK("https://vegkart.atlas.vegvesen.no/#/@304671.7,6782985.0,18/hva:hva%5B0%5D%5Bfilter%5D%5B0%5D%5Boperator%5D=%21%3D&amp;hva%5B0%5D%5Bfilter%5D%5B0%5D%5Btype_id%5D=9431&amp;hva%5B0%5D%5Bfilter%5D%5B0%5D%5Bverdi%5D=&amp;hva%5B0%5D%5Bid%5D=43/når:2018-06-25", "Vegkart")</f>
        <v>Vegkart</v>
      </c>
      <c r="B435">
        <v>847332994</v>
      </c>
      <c r="C435">
        <v>43</v>
      </c>
      <c r="D435" t="s">
        <v>1388</v>
      </c>
      <c r="E435">
        <v>9431</v>
      </c>
      <c r="F435" t="s">
        <v>23479</v>
      </c>
      <c r="G435">
        <v>2</v>
      </c>
      <c r="H435" t="s">
        <v>1617</v>
      </c>
      <c r="J435" t="s">
        <v>1563</v>
      </c>
      <c r="K435" t="s">
        <v>136</v>
      </c>
      <c r="L435" t="s">
        <v>33</v>
      </c>
      <c r="M435" t="s">
        <v>1613</v>
      </c>
      <c r="N435" t="s">
        <v>1618</v>
      </c>
      <c r="O435" t="s">
        <v>1619</v>
      </c>
      <c r="P435" s="2" t="s">
        <v>37</v>
      </c>
      <c r="Q435" t="s">
        <v>1208</v>
      </c>
      <c r="R435">
        <v>12.77</v>
      </c>
      <c r="S435">
        <v>19.28</v>
      </c>
      <c r="T435" t="s">
        <v>1620</v>
      </c>
    </row>
    <row r="436" spans="1:20" x14ac:dyDescent="0.25">
      <c r="A436" s="1" t="str">
        <f>HYPERLINK("https://vegkart.atlas.vegvesen.no/#/@258534.2,6632090.1,18/hva:hva%5B0%5D%5Bfilter%5D%5B0%5D%5Boperator%5D=%21%3D&amp;hva%5B0%5D%5Bfilter%5D%5B0%5D%5Btype_id%5D=9431&amp;hva%5B0%5D%5Bfilter%5D%5B0%5D%5Bverdi%5D=&amp;hva%5B0%5D%5Bid%5D=43/når:2018-03-01", "Vegkart")</f>
        <v>Vegkart</v>
      </c>
      <c r="B436">
        <v>848369971</v>
      </c>
      <c r="C436">
        <v>43</v>
      </c>
      <c r="D436" t="s">
        <v>1388</v>
      </c>
      <c r="E436">
        <v>9431</v>
      </c>
      <c r="F436" t="s">
        <v>23479</v>
      </c>
      <c r="G436">
        <v>1</v>
      </c>
      <c r="H436" t="s">
        <v>1621</v>
      </c>
      <c r="J436" t="s">
        <v>1563</v>
      </c>
      <c r="K436" t="s">
        <v>132</v>
      </c>
      <c r="L436" t="s">
        <v>33</v>
      </c>
      <c r="M436" t="s">
        <v>1622</v>
      </c>
      <c r="N436" t="s">
        <v>1623</v>
      </c>
      <c r="O436" t="s">
        <v>1624</v>
      </c>
      <c r="P436" s="2" t="s">
        <v>26</v>
      </c>
      <c r="Q436" t="s">
        <v>50</v>
      </c>
      <c r="R436">
        <v>35.369999999999997</v>
      </c>
      <c r="S436">
        <v>56.74</v>
      </c>
      <c r="T436" t="s">
        <v>1625</v>
      </c>
    </row>
    <row r="437" spans="1:20" x14ac:dyDescent="0.25">
      <c r="A437" s="1" t="str">
        <f>HYPERLINK("https://vegkart.atlas.vegvesen.no/#/@243966.9,6822980.6,18/hva:hva%5B0%5D%5Bfilter%5D%5B0%5D%5Boperator%5D=%21%3D&amp;hva%5B0%5D%5Bfilter%5D%5B0%5D%5Btype_id%5D=9431&amp;hva%5B0%5D%5Bfilter%5D%5B0%5D%5Bverdi%5D=&amp;hva%5B0%5D%5Bid%5D=43/når:2018-04-19", "Vegkart")</f>
        <v>Vegkart</v>
      </c>
      <c r="B437">
        <v>851265633</v>
      </c>
      <c r="C437">
        <v>43</v>
      </c>
      <c r="D437" t="s">
        <v>1388</v>
      </c>
      <c r="E437">
        <v>9431</v>
      </c>
      <c r="F437" t="s">
        <v>23479</v>
      </c>
      <c r="G437">
        <v>1</v>
      </c>
      <c r="H437" t="s">
        <v>1626</v>
      </c>
      <c r="J437" t="s">
        <v>1563</v>
      </c>
      <c r="K437" t="s">
        <v>136</v>
      </c>
      <c r="L437" t="s">
        <v>33</v>
      </c>
      <c r="M437" t="s">
        <v>1627</v>
      </c>
      <c r="N437" t="s">
        <v>1628</v>
      </c>
      <c r="O437" t="s">
        <v>1629</v>
      </c>
      <c r="P437" s="2" t="s">
        <v>26</v>
      </c>
      <c r="Q437" t="s">
        <v>50</v>
      </c>
      <c r="R437">
        <v>50.66</v>
      </c>
      <c r="S437">
        <v>52.65</v>
      </c>
      <c r="T437" t="s">
        <v>1630</v>
      </c>
    </row>
    <row r="438" spans="1:20" x14ac:dyDescent="0.25">
      <c r="A438" s="1" t="str">
        <f>HYPERLINK("https://vegkart.atlas.vegvesen.no/#/@244045.5,6822979.4,18/hva:hva%5B0%5D%5Bfilter%5D%5B0%5D%5Boperator%5D=%21%3D&amp;hva%5B0%5D%5Bfilter%5D%5B0%5D%5Btype_id%5D=9431&amp;hva%5B0%5D%5Bfilter%5D%5B0%5D%5Bverdi%5D=&amp;hva%5B0%5D%5Bid%5D=43/når:2018-04-19", "Vegkart")</f>
        <v>Vegkart</v>
      </c>
      <c r="B438">
        <v>851265634</v>
      </c>
      <c r="C438">
        <v>43</v>
      </c>
      <c r="D438" t="s">
        <v>1388</v>
      </c>
      <c r="E438">
        <v>9431</v>
      </c>
      <c r="F438" t="s">
        <v>23479</v>
      </c>
      <c r="G438">
        <v>1</v>
      </c>
      <c r="H438" t="s">
        <v>1626</v>
      </c>
      <c r="J438" t="s">
        <v>1563</v>
      </c>
      <c r="K438" t="s">
        <v>136</v>
      </c>
      <c r="L438" t="s">
        <v>33</v>
      </c>
      <c r="M438" t="s">
        <v>1631</v>
      </c>
      <c r="N438" t="s">
        <v>1632</v>
      </c>
      <c r="O438" t="s">
        <v>1633</v>
      </c>
      <c r="P438" s="2" t="s">
        <v>26</v>
      </c>
      <c r="Q438" t="s">
        <v>50</v>
      </c>
      <c r="R438">
        <v>20.8</v>
      </c>
      <c r="S438">
        <v>29.47</v>
      </c>
      <c r="T438" t="s">
        <v>1634</v>
      </c>
    </row>
    <row r="439" spans="1:20" x14ac:dyDescent="0.25">
      <c r="A439" s="1" t="str">
        <f>HYPERLINK("https://vegkart.atlas.vegvesen.no/#/@243932.9,6823047.7,18/hva:hva%5B0%5D%5Bfilter%5D%5B0%5D%5Boperator%5D=%21%3D&amp;hva%5B0%5D%5Bfilter%5D%5B0%5D%5Btype_id%5D=9431&amp;hva%5B0%5D%5Bfilter%5D%5B0%5D%5Bverdi%5D=&amp;hva%5B0%5D%5Bid%5D=43/når:2018-04-19", "Vegkart")</f>
        <v>Vegkart</v>
      </c>
      <c r="B439">
        <v>851265638</v>
      </c>
      <c r="C439">
        <v>43</v>
      </c>
      <c r="D439" t="s">
        <v>1388</v>
      </c>
      <c r="E439">
        <v>9431</v>
      </c>
      <c r="F439" t="s">
        <v>23479</v>
      </c>
      <c r="G439">
        <v>1</v>
      </c>
      <c r="H439" t="s">
        <v>1626</v>
      </c>
      <c r="J439" t="s">
        <v>1563</v>
      </c>
      <c r="K439" t="s">
        <v>136</v>
      </c>
      <c r="L439" t="s">
        <v>33</v>
      </c>
      <c r="M439" t="s">
        <v>1627</v>
      </c>
      <c r="N439" t="s">
        <v>1635</v>
      </c>
      <c r="O439" t="s">
        <v>1636</v>
      </c>
      <c r="P439" s="2" t="s">
        <v>26</v>
      </c>
      <c r="Q439" t="s">
        <v>50</v>
      </c>
      <c r="R439">
        <v>48.18</v>
      </c>
      <c r="S439">
        <v>49.81</v>
      </c>
      <c r="T439" t="s">
        <v>1637</v>
      </c>
    </row>
    <row r="440" spans="1:20" x14ac:dyDescent="0.25">
      <c r="A440" s="1" t="str">
        <f>HYPERLINK("https://vegkart.atlas.vegvesen.no/#/@243891.7,6595080.5,18/hva:hva%5B0%5D%5Bfilter%5D%5B0%5D%5Boperator%5D=%21%3D&amp;hva%5B0%5D%5Bfilter%5D%5B0%5D%5Btype_id%5D=9431&amp;hva%5B0%5D%5Bfilter%5D%5B0%5D%5Bverdi%5D=&amp;hva%5B0%5D%5Bid%5D=43/når:2018-05-29", "Vegkart")</f>
        <v>Vegkart</v>
      </c>
      <c r="B440">
        <v>861092369</v>
      </c>
      <c r="C440">
        <v>43</v>
      </c>
      <c r="D440" t="s">
        <v>1388</v>
      </c>
      <c r="E440">
        <v>9431</v>
      </c>
      <c r="F440" t="s">
        <v>23479</v>
      </c>
      <c r="G440">
        <v>1</v>
      </c>
      <c r="H440" t="s">
        <v>1638</v>
      </c>
      <c r="J440" t="s">
        <v>1563</v>
      </c>
      <c r="K440" t="s">
        <v>81</v>
      </c>
      <c r="L440" t="s">
        <v>22</v>
      </c>
      <c r="M440" t="s">
        <v>1485</v>
      </c>
      <c r="N440" t="s">
        <v>1639</v>
      </c>
      <c r="O440" t="s">
        <v>1640</v>
      </c>
      <c r="P440" s="2" t="s">
        <v>165</v>
      </c>
      <c r="Q440" t="s">
        <v>311</v>
      </c>
      <c r="R440">
        <v>35.369999999999997</v>
      </c>
      <c r="S440">
        <v>35.369999999999997</v>
      </c>
      <c r="T440" t="s">
        <v>167</v>
      </c>
    </row>
    <row r="441" spans="1:20" x14ac:dyDescent="0.25">
      <c r="A441" s="1" t="str">
        <f>HYPERLINK("https://vegkart.atlas.vegvesen.no/#/@169237.8,6745025.5,18/hva:hva%5B0%5D%5Bfilter%5D%5B0%5D%5Boperator%5D=%21%3D&amp;hva%5B0%5D%5Bfilter%5D%5B0%5D%5Btype_id%5D=9431&amp;hva%5B0%5D%5Bfilter%5D%5B0%5D%5Bverdi%5D=&amp;hva%5B0%5D%5Bid%5D=43/når:2018-06-26", "Vegkart")</f>
        <v>Vegkart</v>
      </c>
      <c r="B441">
        <v>871411727</v>
      </c>
      <c r="C441">
        <v>43</v>
      </c>
      <c r="D441" t="s">
        <v>1388</v>
      </c>
      <c r="E441">
        <v>9431</v>
      </c>
      <c r="F441" t="s">
        <v>23479</v>
      </c>
      <c r="G441">
        <v>1</v>
      </c>
      <c r="H441" t="s">
        <v>1641</v>
      </c>
      <c r="J441" t="s">
        <v>1563</v>
      </c>
      <c r="K441" t="s">
        <v>307</v>
      </c>
      <c r="L441" t="s">
        <v>33</v>
      </c>
      <c r="M441" t="s">
        <v>1222</v>
      </c>
      <c r="N441" t="s">
        <v>1642</v>
      </c>
      <c r="O441" t="s">
        <v>1643</v>
      </c>
      <c r="P441" s="2" t="s">
        <v>26</v>
      </c>
      <c r="Q441" t="s">
        <v>50</v>
      </c>
      <c r="R441">
        <v>21.39</v>
      </c>
      <c r="S441">
        <v>46.85</v>
      </c>
      <c r="T441" t="s">
        <v>1644</v>
      </c>
    </row>
    <row r="442" spans="1:20" x14ac:dyDescent="0.25">
      <c r="A442" s="1" t="str">
        <f>HYPERLINK("https://vegkart.atlas.vegvesen.no/#/@42697.1,6745895.9,18/hva:hva%5B0%5D%5Bfilter%5D%5B0%5D%5Boperator%5D=%21%3D&amp;hva%5B0%5D%5Bfilter%5D%5B0%5D%5Btype_id%5D=9431&amp;hva%5B0%5D%5Bfilter%5D%5B0%5D%5Bverdi%5D=&amp;hva%5B0%5D%5Bid%5D=43/når:2019-02-06", "Vegkart")</f>
        <v>Vegkart</v>
      </c>
      <c r="B442">
        <v>900473700</v>
      </c>
      <c r="C442">
        <v>43</v>
      </c>
      <c r="D442" t="s">
        <v>1388</v>
      </c>
      <c r="E442">
        <v>9431</v>
      </c>
      <c r="F442" t="s">
        <v>23479</v>
      </c>
      <c r="G442">
        <v>2</v>
      </c>
      <c r="H442" t="s">
        <v>1645</v>
      </c>
      <c r="J442" t="s">
        <v>1563</v>
      </c>
      <c r="K442" t="s">
        <v>21</v>
      </c>
      <c r="L442" t="s">
        <v>113</v>
      </c>
      <c r="M442" t="s">
        <v>114</v>
      </c>
      <c r="N442" t="s">
        <v>1646</v>
      </c>
      <c r="O442" t="s">
        <v>1647</v>
      </c>
      <c r="P442" s="2" t="s">
        <v>37</v>
      </c>
      <c r="Q442" t="s">
        <v>1208</v>
      </c>
      <c r="R442">
        <v>6.03</v>
      </c>
      <c r="S442">
        <v>12.1</v>
      </c>
      <c r="T442" t="s">
        <v>1648</v>
      </c>
    </row>
    <row r="443" spans="1:20" x14ac:dyDescent="0.25">
      <c r="A443" s="1" t="str">
        <f>HYPERLINK("https://vegkart.atlas.vegvesen.no/#/@-1760.9,6681475.5,18/hva:hva%5B0%5D%5Bfilter%5D%5B0%5D%5Boperator%5D=%21%3D&amp;hva%5B0%5D%5Bfilter%5D%5B0%5D%5Btype_id%5D=9431&amp;hva%5B0%5D%5Bfilter%5D%5B0%5D%5Bverdi%5D=&amp;hva%5B0%5D%5Bid%5D=43/når:2018-11-19", "Vegkart")</f>
        <v>Vegkart</v>
      </c>
      <c r="B443">
        <v>911063614</v>
      </c>
      <c r="C443">
        <v>43</v>
      </c>
      <c r="D443" t="s">
        <v>1388</v>
      </c>
      <c r="E443">
        <v>9431</v>
      </c>
      <c r="F443" t="s">
        <v>23479</v>
      </c>
      <c r="G443">
        <v>1</v>
      </c>
      <c r="H443" t="s">
        <v>1649</v>
      </c>
      <c r="J443" t="s">
        <v>1563</v>
      </c>
      <c r="K443" t="s">
        <v>21</v>
      </c>
      <c r="L443" t="s">
        <v>33</v>
      </c>
      <c r="M443" t="s">
        <v>1650</v>
      </c>
      <c r="N443" t="s">
        <v>1651</v>
      </c>
      <c r="O443" t="s">
        <v>1652</v>
      </c>
      <c r="P443" s="2" t="s">
        <v>26</v>
      </c>
      <c r="Q443" t="s">
        <v>50</v>
      </c>
      <c r="R443">
        <v>32.07</v>
      </c>
      <c r="S443">
        <v>47.32</v>
      </c>
      <c r="T443" t="s">
        <v>1653</v>
      </c>
    </row>
    <row r="444" spans="1:20" x14ac:dyDescent="0.25">
      <c r="A444" s="1" t="str">
        <f>HYPERLINK("https://vegkart.atlas.vegvesen.no/#/@283230.7,6651185.4,18/hva:hva%5B0%5D%5Bfilter%5D%5B0%5D%5Boperator%5D=%21%3D&amp;hva%5B0%5D%5Bfilter%5D%5B0%5D%5Btype_id%5D=9431&amp;hva%5B0%5D%5Bfilter%5D%5B0%5D%5Bverdi%5D=&amp;hva%5B0%5D%5Bid%5D=43/når:2018-11-20", "Vegkart")</f>
        <v>Vegkart</v>
      </c>
      <c r="B444">
        <v>911145304</v>
      </c>
      <c r="C444">
        <v>43</v>
      </c>
      <c r="D444" t="s">
        <v>1388</v>
      </c>
      <c r="E444">
        <v>9431</v>
      </c>
      <c r="F444" t="s">
        <v>23479</v>
      </c>
      <c r="G444">
        <v>1</v>
      </c>
      <c r="H444" t="s">
        <v>1654</v>
      </c>
      <c r="J444" t="s">
        <v>1563</v>
      </c>
      <c r="K444" t="s">
        <v>132</v>
      </c>
      <c r="L444" t="s">
        <v>22</v>
      </c>
      <c r="M444" t="s">
        <v>1655</v>
      </c>
      <c r="N444" t="s">
        <v>1656</v>
      </c>
      <c r="O444" t="s">
        <v>1657</v>
      </c>
      <c r="P444" s="2" t="s">
        <v>37</v>
      </c>
      <c r="Q444" t="s">
        <v>1208</v>
      </c>
      <c r="R444">
        <v>4.38</v>
      </c>
      <c r="S444">
        <v>193.72</v>
      </c>
      <c r="T444" t="s">
        <v>1658</v>
      </c>
    </row>
    <row r="445" spans="1:20" x14ac:dyDescent="0.25">
      <c r="A445" s="1" t="str">
        <f>HYPERLINK("https://vegkart.atlas.vegvesen.no/#/@282836.5,6651756.3,18/hva:hva%5B0%5D%5Bfilter%5D%5B0%5D%5Boperator%5D=%21%3D&amp;hva%5B0%5D%5Bfilter%5D%5B0%5D%5Btype_id%5D=9431&amp;hva%5B0%5D%5Bfilter%5D%5B0%5D%5Bverdi%5D=&amp;hva%5B0%5D%5Bid%5D=43/når:2025-06-06", "Vegkart")</f>
        <v>Vegkart</v>
      </c>
      <c r="B445">
        <v>911145305</v>
      </c>
      <c r="C445">
        <v>43</v>
      </c>
      <c r="D445" t="s">
        <v>1388</v>
      </c>
      <c r="E445">
        <v>9431</v>
      </c>
      <c r="F445" t="s">
        <v>23479</v>
      </c>
      <c r="G445">
        <v>2</v>
      </c>
      <c r="H445" t="s">
        <v>1659</v>
      </c>
      <c r="J445" t="s">
        <v>1563</v>
      </c>
      <c r="K445" t="s">
        <v>132</v>
      </c>
      <c r="L445" t="s">
        <v>370</v>
      </c>
      <c r="M445" t="s">
        <v>1660</v>
      </c>
      <c r="N445" t="s">
        <v>1661</v>
      </c>
      <c r="O445" t="s">
        <v>1662</v>
      </c>
      <c r="P445" s="2" t="s">
        <v>26</v>
      </c>
      <c r="Q445" t="s">
        <v>50</v>
      </c>
      <c r="R445">
        <v>47.77</v>
      </c>
      <c r="S445">
        <v>48.22</v>
      </c>
      <c r="T445" t="s">
        <v>1663</v>
      </c>
    </row>
    <row r="446" spans="1:20" x14ac:dyDescent="0.25">
      <c r="A446" s="1" t="str">
        <f>HYPERLINK("https://vegkart.atlas.vegvesen.no/#/@282832.0,6651753.4,18/hva:hva%5B0%5D%5Bfilter%5D%5B0%5D%5Boperator%5D=%21%3D&amp;hva%5B0%5D%5Bfilter%5D%5B0%5D%5Btype_id%5D=9431&amp;hva%5B0%5D%5Bfilter%5D%5B0%5D%5Bverdi%5D=&amp;hva%5B0%5D%5Bid%5D=43/når:2025-06-06", "Vegkart")</f>
        <v>Vegkart</v>
      </c>
      <c r="B446">
        <v>911145306</v>
      </c>
      <c r="C446">
        <v>43</v>
      </c>
      <c r="D446" t="s">
        <v>1388</v>
      </c>
      <c r="E446">
        <v>9431</v>
      </c>
      <c r="F446" t="s">
        <v>23479</v>
      </c>
      <c r="G446">
        <v>2</v>
      </c>
      <c r="H446" t="s">
        <v>1659</v>
      </c>
      <c r="J446" t="s">
        <v>1563</v>
      </c>
      <c r="K446" t="s">
        <v>132</v>
      </c>
      <c r="L446" t="s">
        <v>370</v>
      </c>
      <c r="M446" t="s">
        <v>1660</v>
      </c>
      <c r="N446" t="s">
        <v>1664</v>
      </c>
      <c r="O446" t="s">
        <v>1665</v>
      </c>
      <c r="P446" s="2" t="s">
        <v>26</v>
      </c>
      <c r="Q446" t="s">
        <v>50</v>
      </c>
      <c r="R446">
        <v>52.35</v>
      </c>
      <c r="S446">
        <v>53.72</v>
      </c>
      <c r="T446" t="s">
        <v>1666</v>
      </c>
    </row>
    <row r="447" spans="1:20" x14ac:dyDescent="0.25">
      <c r="A447" s="1" t="str">
        <f>HYPERLINK("https://vegkart.atlas.vegvesen.no/#/@282329.8,6652302.3,18/hva:hva%5B0%5D%5Bfilter%5D%5B0%5D%5Boperator%5D=%21%3D&amp;hva%5B0%5D%5Bfilter%5D%5B0%5D%5Btype_id%5D=9431&amp;hva%5B0%5D%5Bfilter%5D%5B0%5D%5Bverdi%5D=&amp;hva%5B0%5D%5Bid%5D=43/når:2025-06-06", "Vegkart")</f>
        <v>Vegkart</v>
      </c>
      <c r="B447">
        <v>911145307</v>
      </c>
      <c r="C447">
        <v>43</v>
      </c>
      <c r="D447" t="s">
        <v>1388</v>
      </c>
      <c r="E447">
        <v>9431</v>
      </c>
      <c r="F447" t="s">
        <v>23479</v>
      </c>
      <c r="G447">
        <v>2</v>
      </c>
      <c r="H447" t="s">
        <v>1659</v>
      </c>
      <c r="J447" t="s">
        <v>1563</v>
      </c>
      <c r="K447" t="s">
        <v>132</v>
      </c>
      <c r="L447" t="s">
        <v>370</v>
      </c>
      <c r="M447" t="s">
        <v>1667</v>
      </c>
      <c r="N447" t="s">
        <v>1668</v>
      </c>
      <c r="O447" t="s">
        <v>1669</v>
      </c>
      <c r="P447" s="2" t="s">
        <v>37</v>
      </c>
      <c r="Q447" t="s">
        <v>1208</v>
      </c>
      <c r="R447">
        <v>6.42</v>
      </c>
      <c r="S447">
        <v>98.89</v>
      </c>
      <c r="T447" t="s">
        <v>1670</v>
      </c>
    </row>
    <row r="448" spans="1:20" x14ac:dyDescent="0.25">
      <c r="A448" s="1" t="str">
        <f>HYPERLINK("https://vegkart.atlas.vegvesen.no/#/@77792.6,6813973.5,18/hva:hva%5B0%5D%5Bfilter%5D%5B0%5D%5Boperator%5D=%21%3D&amp;hva%5B0%5D%5Bfilter%5D%5B0%5D%5Btype_id%5D=9431&amp;hva%5B0%5D%5Bfilter%5D%5B0%5D%5Bverdi%5D=&amp;hva%5B0%5D%5Bid%5D=43/når:2018-11-22", "Vegkart")</f>
        <v>Vegkart</v>
      </c>
      <c r="B448">
        <v>911689005</v>
      </c>
      <c r="C448">
        <v>43</v>
      </c>
      <c r="D448" t="s">
        <v>1388</v>
      </c>
      <c r="E448">
        <v>9431</v>
      </c>
      <c r="F448" t="s">
        <v>23479</v>
      </c>
      <c r="G448">
        <v>1</v>
      </c>
      <c r="H448" t="s">
        <v>1671</v>
      </c>
      <c r="J448" t="s">
        <v>1563</v>
      </c>
      <c r="K448" t="s">
        <v>21</v>
      </c>
      <c r="L448" t="s">
        <v>22</v>
      </c>
      <c r="M448" t="s">
        <v>1672</v>
      </c>
      <c r="N448" t="s">
        <v>1673</v>
      </c>
      <c r="O448" t="s">
        <v>1674</v>
      </c>
      <c r="P448" s="2" t="s">
        <v>165</v>
      </c>
      <c r="Q448" t="s">
        <v>641</v>
      </c>
      <c r="R448">
        <v>10.210000000000001</v>
      </c>
      <c r="S448">
        <v>222.21</v>
      </c>
      <c r="T448" t="s">
        <v>167</v>
      </c>
    </row>
    <row r="449" spans="1:20" x14ac:dyDescent="0.25">
      <c r="A449" s="1" t="str">
        <f>HYPERLINK("https://vegkart.atlas.vegvesen.no/#/@270428.1,7040124.6,18/hva:hva%5B0%5D%5Bfilter%5D%5B0%5D%5Boperator%5D=%21%3D&amp;hva%5B0%5D%5Bfilter%5D%5B0%5D%5Btype_id%5D=9431&amp;hva%5B0%5D%5Bfilter%5D%5B0%5D%5Bverdi%5D=&amp;hva%5B0%5D%5Bid%5D=43/når:2019-03-01", "Vegkart")</f>
        <v>Vegkart</v>
      </c>
      <c r="B449">
        <v>917271555</v>
      </c>
      <c r="C449">
        <v>43</v>
      </c>
      <c r="D449" t="s">
        <v>1388</v>
      </c>
      <c r="E449">
        <v>9431</v>
      </c>
      <c r="F449" t="s">
        <v>23479</v>
      </c>
      <c r="G449">
        <v>1</v>
      </c>
      <c r="H449" t="s">
        <v>1675</v>
      </c>
      <c r="J449" t="s">
        <v>1563</v>
      </c>
      <c r="K449" t="s">
        <v>192</v>
      </c>
      <c r="L449" t="s">
        <v>22</v>
      </c>
      <c r="M449" t="s">
        <v>1676</v>
      </c>
      <c r="N449" t="s">
        <v>1677</v>
      </c>
      <c r="O449" t="s">
        <v>1678</v>
      </c>
      <c r="P449" s="2" t="s">
        <v>26</v>
      </c>
      <c r="Q449" t="s">
        <v>50</v>
      </c>
      <c r="R449">
        <v>45.1</v>
      </c>
      <c r="S449">
        <v>46.14</v>
      </c>
      <c r="T449" t="s">
        <v>1679</v>
      </c>
    </row>
    <row r="450" spans="1:20" x14ac:dyDescent="0.25">
      <c r="A450" s="1" t="str">
        <f>HYPERLINK("https://vegkart.atlas.vegvesen.no/#/@269726.4,7041295.7,18/hva:hva%5B0%5D%5Bfilter%5D%5B0%5D%5Boperator%5D=%21%3D&amp;hva%5B0%5D%5Bfilter%5D%5B0%5D%5Btype_id%5D=9431&amp;hva%5B0%5D%5Bfilter%5D%5B0%5D%5Bverdi%5D=&amp;hva%5B0%5D%5Bid%5D=43/når:2019-12-11", "Vegkart")</f>
        <v>Vegkart</v>
      </c>
      <c r="B450">
        <v>1005603871</v>
      </c>
      <c r="C450">
        <v>43</v>
      </c>
      <c r="D450" t="s">
        <v>1388</v>
      </c>
      <c r="E450">
        <v>9431</v>
      </c>
      <c r="F450" t="s">
        <v>23479</v>
      </c>
      <c r="G450">
        <v>1</v>
      </c>
      <c r="H450" t="s">
        <v>1680</v>
      </c>
      <c r="J450" t="s">
        <v>1681</v>
      </c>
      <c r="K450" t="s">
        <v>192</v>
      </c>
      <c r="L450" t="s">
        <v>370</v>
      </c>
      <c r="M450" t="s">
        <v>1682</v>
      </c>
      <c r="N450" t="s">
        <v>1683</v>
      </c>
      <c r="O450" t="s">
        <v>1684</v>
      </c>
      <c r="P450" s="2" t="s">
        <v>26</v>
      </c>
      <c r="Q450" t="s">
        <v>50</v>
      </c>
      <c r="R450">
        <v>44.59</v>
      </c>
      <c r="S450">
        <v>47.17</v>
      </c>
      <c r="T450" t="s">
        <v>1685</v>
      </c>
    </row>
    <row r="451" spans="1:20" x14ac:dyDescent="0.25">
      <c r="A451" s="1" t="str">
        <f>HYPERLINK("https://vegkart.atlas.vegvesen.no/#/@269742.8,7041233.8,18/hva:hva%5B0%5D%5Bfilter%5D%5B0%5D%5Boperator%5D=%21%3D&amp;hva%5B0%5D%5Bfilter%5D%5B0%5D%5Btype_id%5D=9431&amp;hva%5B0%5D%5Bfilter%5D%5B0%5D%5Bverdi%5D=&amp;hva%5B0%5D%5Bid%5D=43/når:2019-12-11", "Vegkart")</f>
        <v>Vegkart</v>
      </c>
      <c r="B451">
        <v>1005603872</v>
      </c>
      <c r="C451">
        <v>43</v>
      </c>
      <c r="D451" t="s">
        <v>1388</v>
      </c>
      <c r="E451">
        <v>9431</v>
      </c>
      <c r="F451" t="s">
        <v>23479</v>
      </c>
      <c r="G451">
        <v>1</v>
      </c>
      <c r="H451" t="s">
        <v>1680</v>
      </c>
      <c r="J451" t="s">
        <v>1681</v>
      </c>
      <c r="K451" t="s">
        <v>192</v>
      </c>
      <c r="L451" t="s">
        <v>22</v>
      </c>
      <c r="M451" t="s">
        <v>1686</v>
      </c>
      <c r="N451" t="s">
        <v>1687</v>
      </c>
      <c r="O451" t="s">
        <v>1688</v>
      </c>
      <c r="P451" s="2" t="s">
        <v>26</v>
      </c>
      <c r="Q451" t="s">
        <v>50</v>
      </c>
      <c r="R451">
        <v>54.39</v>
      </c>
      <c r="S451">
        <v>58.42</v>
      </c>
      <c r="T451" t="s">
        <v>1689</v>
      </c>
    </row>
    <row r="452" spans="1:20" x14ac:dyDescent="0.25">
      <c r="A452" s="1" t="str">
        <f>HYPERLINK("https://vegkart.atlas.vegvesen.no/#/@243428.2,6595798.4,18/hva:hva%5B0%5D%5Bfilter%5D%5B0%5D%5Boperator%5D=%21%3D&amp;hva%5B0%5D%5Bfilter%5D%5B0%5D%5Btype_id%5D=9431&amp;hva%5B0%5D%5Bfilter%5D%5B0%5D%5Bverdi%5D=&amp;hva%5B0%5D%5Bid%5D=43/når:2022-11-21", "Vegkart")</f>
        <v>Vegkart</v>
      </c>
      <c r="B452">
        <v>1016558204</v>
      </c>
      <c r="C452">
        <v>43</v>
      </c>
      <c r="D452" t="s">
        <v>1388</v>
      </c>
      <c r="E452">
        <v>9431</v>
      </c>
      <c r="F452" t="s">
        <v>23479</v>
      </c>
      <c r="G452">
        <v>1</v>
      </c>
      <c r="H452" t="s">
        <v>1489</v>
      </c>
      <c r="J452" t="s">
        <v>1690</v>
      </c>
      <c r="K452" t="s">
        <v>81</v>
      </c>
      <c r="L452" t="s">
        <v>22</v>
      </c>
      <c r="M452" t="s">
        <v>1691</v>
      </c>
      <c r="N452" t="s">
        <v>1692</v>
      </c>
      <c r="O452" t="s">
        <v>1693</v>
      </c>
      <c r="P452" s="2" t="s">
        <v>26</v>
      </c>
      <c r="Q452" t="s">
        <v>50</v>
      </c>
      <c r="R452">
        <v>27.87</v>
      </c>
      <c r="S452">
        <v>27.87</v>
      </c>
      <c r="T452" t="s">
        <v>1694</v>
      </c>
    </row>
    <row r="453" spans="1:20" x14ac:dyDescent="0.25">
      <c r="A453" s="1" t="str">
        <f>HYPERLINK("https://vegkart.atlas.vegvesen.no/#/@243487.0,6595838.9,18/hva:hva%5B0%5D%5Bfilter%5D%5B0%5D%5Boperator%5D=%21%3D&amp;hva%5B0%5D%5Bfilter%5D%5B0%5D%5Btype_id%5D=9431&amp;hva%5B0%5D%5Bfilter%5D%5B0%5D%5Bverdi%5D=&amp;hva%5B0%5D%5Bid%5D=43/når:2022-11-21", "Vegkart")</f>
        <v>Vegkart</v>
      </c>
      <c r="B453">
        <v>1016558208</v>
      </c>
      <c r="C453">
        <v>43</v>
      </c>
      <c r="D453" t="s">
        <v>1388</v>
      </c>
      <c r="E453">
        <v>9431</v>
      </c>
      <c r="F453" t="s">
        <v>23479</v>
      </c>
      <c r="G453">
        <v>1</v>
      </c>
      <c r="H453" t="s">
        <v>1489</v>
      </c>
      <c r="J453" t="s">
        <v>1690</v>
      </c>
      <c r="K453" t="s">
        <v>81</v>
      </c>
      <c r="L453" t="s">
        <v>22</v>
      </c>
      <c r="M453" t="s">
        <v>1691</v>
      </c>
      <c r="N453" t="s">
        <v>1695</v>
      </c>
      <c r="O453" t="s">
        <v>1696</v>
      </c>
      <c r="P453" s="2" t="s">
        <v>26</v>
      </c>
      <c r="Q453" t="s">
        <v>50</v>
      </c>
      <c r="R453">
        <v>67.540000000000006</v>
      </c>
      <c r="S453">
        <v>67.540000000000006</v>
      </c>
      <c r="T453" t="s">
        <v>1697</v>
      </c>
    </row>
    <row r="454" spans="1:20" x14ac:dyDescent="0.25">
      <c r="A454" s="1" t="str">
        <f>HYPERLINK("https://vegkart.atlas.vegvesen.no/#/@243465.8,6595750.4,18/hva:hva%5B0%5D%5Bfilter%5D%5B0%5D%5Boperator%5D=%21%3D&amp;hva%5B0%5D%5Bfilter%5D%5B0%5D%5Btype_id%5D=9431&amp;hva%5B0%5D%5Bfilter%5D%5B0%5D%5Bverdi%5D=&amp;hva%5B0%5D%5Bid%5D=43/når:2022-11-21", "Vegkart")</f>
        <v>Vegkart</v>
      </c>
      <c r="B454">
        <v>1016558209</v>
      </c>
      <c r="C454">
        <v>43</v>
      </c>
      <c r="D454" t="s">
        <v>1388</v>
      </c>
      <c r="E454">
        <v>9431</v>
      </c>
      <c r="F454" t="s">
        <v>23479</v>
      </c>
      <c r="G454">
        <v>1</v>
      </c>
      <c r="H454" t="s">
        <v>1489</v>
      </c>
      <c r="J454" t="s">
        <v>1690</v>
      </c>
      <c r="K454" t="s">
        <v>81</v>
      </c>
      <c r="L454" t="s">
        <v>22</v>
      </c>
      <c r="M454" t="s">
        <v>1691</v>
      </c>
      <c r="N454" t="s">
        <v>1698</v>
      </c>
      <c r="O454" t="s">
        <v>1699</v>
      </c>
      <c r="P454" s="2" t="s">
        <v>26</v>
      </c>
      <c r="Q454" t="s">
        <v>50</v>
      </c>
      <c r="R454">
        <v>30.29</v>
      </c>
      <c r="S454">
        <v>30.29</v>
      </c>
      <c r="T454" t="s">
        <v>1700</v>
      </c>
    </row>
    <row r="455" spans="1:20" x14ac:dyDescent="0.25">
      <c r="A455" s="1" t="str">
        <f>HYPERLINK("https://vegkart.atlas.vegvesen.no/#/@244244.5,6596293.9,18/hva:hva%5B0%5D%5Bfilter%5D%5B0%5D%5Boperator%5D=%21%3D&amp;hva%5B0%5D%5Bfilter%5D%5B0%5D%5Btype_id%5D=9431&amp;hva%5B0%5D%5Bfilter%5D%5B0%5D%5Bverdi%5D=&amp;hva%5B0%5D%5Bid%5D=43/når:2022-11-21", "Vegkart")</f>
        <v>Vegkart</v>
      </c>
      <c r="B455">
        <v>1016558225</v>
      </c>
      <c r="C455">
        <v>43</v>
      </c>
      <c r="D455" t="s">
        <v>1388</v>
      </c>
      <c r="E455">
        <v>9431</v>
      </c>
      <c r="F455" t="s">
        <v>23479</v>
      </c>
      <c r="G455">
        <v>1</v>
      </c>
      <c r="H455" t="s">
        <v>1489</v>
      </c>
      <c r="J455" t="s">
        <v>1690</v>
      </c>
      <c r="K455" t="s">
        <v>81</v>
      </c>
      <c r="L455" t="s">
        <v>22</v>
      </c>
      <c r="M455" t="s">
        <v>1701</v>
      </c>
      <c r="N455" t="s">
        <v>1702</v>
      </c>
      <c r="O455" t="s">
        <v>1703</v>
      </c>
      <c r="P455" s="2" t="s">
        <v>26</v>
      </c>
      <c r="Q455" t="s">
        <v>50</v>
      </c>
      <c r="R455">
        <v>63.74</v>
      </c>
      <c r="S455">
        <v>63.74</v>
      </c>
      <c r="T455" t="s">
        <v>1704</v>
      </c>
    </row>
    <row r="456" spans="1:20" x14ac:dyDescent="0.25">
      <c r="A456" s="1" t="str">
        <f>HYPERLINK("https://vegkart.atlas.vegvesen.no/#/@244331.8,6596291.0,18/hva:hva%5B0%5D%5Bfilter%5D%5B0%5D%5Boperator%5D=%21%3D&amp;hva%5B0%5D%5Bfilter%5D%5B0%5D%5Btype_id%5D=9431&amp;hva%5B0%5D%5Bfilter%5D%5B0%5D%5Bverdi%5D=&amp;hva%5B0%5D%5Bid%5D=43/når:2022-11-21", "Vegkart")</f>
        <v>Vegkart</v>
      </c>
      <c r="B456">
        <v>1016558226</v>
      </c>
      <c r="C456">
        <v>43</v>
      </c>
      <c r="D456" t="s">
        <v>1388</v>
      </c>
      <c r="E456">
        <v>9431</v>
      </c>
      <c r="F456" t="s">
        <v>23479</v>
      </c>
      <c r="G456">
        <v>1</v>
      </c>
      <c r="H456" t="s">
        <v>1489</v>
      </c>
      <c r="J456" t="s">
        <v>1690</v>
      </c>
      <c r="K456" t="s">
        <v>81</v>
      </c>
      <c r="L456" t="s">
        <v>22</v>
      </c>
      <c r="M456" t="s">
        <v>1701</v>
      </c>
      <c r="N456" t="s">
        <v>1705</v>
      </c>
      <c r="O456" t="s">
        <v>1706</v>
      </c>
      <c r="P456" s="2" t="s">
        <v>26</v>
      </c>
      <c r="Q456" t="s">
        <v>50</v>
      </c>
      <c r="R456">
        <v>67.67</v>
      </c>
      <c r="S456">
        <v>67.67</v>
      </c>
      <c r="T456" t="s">
        <v>1707</v>
      </c>
    </row>
    <row r="457" spans="1:20" x14ac:dyDescent="0.25">
      <c r="A457" s="1" t="str">
        <f>HYPERLINK("https://vegkart.atlas.vegvesen.no/#/@300440.4,6634704.2,18/hva:hva%5B0%5D%5Bfilter%5D%5B0%5D%5Boperator%5D=%21%3D&amp;hva%5B0%5D%5Bfilter%5D%5B0%5D%5Btype_id%5D=9431&amp;hva%5B0%5D%5Bfilter%5D%5B0%5D%5Bverdi%5D=&amp;hva%5B0%5D%5Bid%5D=43/når:2025-06-06", "Vegkart")</f>
        <v>Vegkart</v>
      </c>
      <c r="B457">
        <v>1017171040</v>
      </c>
      <c r="C457">
        <v>43</v>
      </c>
      <c r="D457" t="s">
        <v>1388</v>
      </c>
      <c r="E457">
        <v>9431</v>
      </c>
      <c r="F457" t="s">
        <v>23479</v>
      </c>
      <c r="G457">
        <v>2</v>
      </c>
      <c r="H457" t="s">
        <v>1659</v>
      </c>
      <c r="J457" t="s">
        <v>1690</v>
      </c>
      <c r="K457" t="s">
        <v>132</v>
      </c>
      <c r="L457" t="s">
        <v>33</v>
      </c>
      <c r="M457" t="s">
        <v>1708</v>
      </c>
      <c r="N457" t="s">
        <v>1709</v>
      </c>
      <c r="O457" t="s">
        <v>1710</v>
      </c>
      <c r="P457" s="2" t="s">
        <v>165</v>
      </c>
      <c r="Q457" t="s">
        <v>641</v>
      </c>
      <c r="R457">
        <v>0</v>
      </c>
      <c r="S457">
        <v>102.49</v>
      </c>
      <c r="T457" t="s">
        <v>167</v>
      </c>
    </row>
    <row r="458" spans="1:20" x14ac:dyDescent="0.25">
      <c r="A458" s="1" t="str">
        <f>HYPERLINK("https://vegkart.atlas.vegvesen.no/#/@242349.3,6587593.7,18/hva:hva%5B0%5D%5Bfilter%5D%5B0%5D%5Boperator%5D=%21%3D&amp;hva%5B0%5D%5Bfilter%5D%5B0%5D%5Btype_id%5D=9431&amp;hva%5B0%5D%5Bfilter%5D%5B0%5D%5Bverdi%5D=&amp;hva%5B0%5D%5Bid%5D=43/når:2023-02-01", "Vegkart")</f>
        <v>Vegkart</v>
      </c>
      <c r="B458">
        <v>1017271789</v>
      </c>
      <c r="C458">
        <v>43</v>
      </c>
      <c r="D458" t="s">
        <v>1388</v>
      </c>
      <c r="E458">
        <v>9431</v>
      </c>
      <c r="F458" t="s">
        <v>23479</v>
      </c>
      <c r="G458">
        <v>1</v>
      </c>
      <c r="H458" t="s">
        <v>1711</v>
      </c>
      <c r="J458" t="s">
        <v>1690</v>
      </c>
      <c r="K458" t="s">
        <v>81</v>
      </c>
      <c r="L458" t="s">
        <v>22</v>
      </c>
      <c r="M458" t="s">
        <v>1712</v>
      </c>
      <c r="N458" t="s">
        <v>1713</v>
      </c>
      <c r="O458" t="s">
        <v>1714</v>
      </c>
      <c r="P458" s="2" t="s">
        <v>37</v>
      </c>
      <c r="Q458" t="s">
        <v>1208</v>
      </c>
      <c r="R458">
        <v>7.94</v>
      </c>
      <c r="S458">
        <v>133.4</v>
      </c>
      <c r="T458" t="s">
        <v>1715</v>
      </c>
    </row>
    <row r="459" spans="1:20" x14ac:dyDescent="0.25">
      <c r="A459" s="1" t="str">
        <f>HYPERLINK("https://vegkart.atlas.vegvesen.no/#/@242582.2,6587723.4,18/hva:hva%5B0%5D%5Bfilter%5D%5B0%5D%5Boperator%5D=%21%3D&amp;hva%5B0%5D%5Bfilter%5D%5B0%5D%5Btype_id%5D=9431&amp;hva%5B0%5D%5Bfilter%5D%5B0%5D%5Bverdi%5D=&amp;hva%5B0%5D%5Bid%5D=43/når:2023-02-01", "Vegkart")</f>
        <v>Vegkart</v>
      </c>
      <c r="B459">
        <v>1017271796</v>
      </c>
      <c r="C459">
        <v>43</v>
      </c>
      <c r="D459" t="s">
        <v>1388</v>
      </c>
      <c r="E459">
        <v>9431</v>
      </c>
      <c r="F459" t="s">
        <v>23479</v>
      </c>
      <c r="G459">
        <v>1</v>
      </c>
      <c r="H459" t="s">
        <v>1711</v>
      </c>
      <c r="J459" t="s">
        <v>1690</v>
      </c>
      <c r="K459" t="s">
        <v>81</v>
      </c>
      <c r="L459" t="s">
        <v>22</v>
      </c>
      <c r="M459" t="s">
        <v>1716</v>
      </c>
      <c r="N459" t="s">
        <v>1717</v>
      </c>
      <c r="O459" t="s">
        <v>1718</v>
      </c>
      <c r="P459" s="2" t="s">
        <v>37</v>
      </c>
      <c r="Q459" t="s">
        <v>1208</v>
      </c>
      <c r="R459">
        <v>17.57</v>
      </c>
      <c r="S459">
        <v>194.47</v>
      </c>
      <c r="T459" t="s">
        <v>1719</v>
      </c>
    </row>
    <row r="460" spans="1:20" x14ac:dyDescent="0.25">
      <c r="A460" s="1" t="str">
        <f>HYPERLINK("https://vegkart.atlas.vegvesen.no/#/@236969.3,6646954.6,18/hva:hva%5B0%5D%5Bfilter%5D%5B0%5D%5Boperator%5D=%21%3D&amp;hva%5B0%5D%5Bfilter%5D%5B0%5D%5Btype_id%5D=9431&amp;hva%5B0%5D%5Bfilter%5D%5B0%5D%5Bverdi%5D=&amp;hva%5B0%5D%5Bid%5D=43/når:2023-05-16", "Vegkart")</f>
        <v>Vegkart</v>
      </c>
      <c r="B460">
        <v>1017652973</v>
      </c>
      <c r="C460">
        <v>43</v>
      </c>
      <c r="D460" t="s">
        <v>1388</v>
      </c>
      <c r="E460">
        <v>9431</v>
      </c>
      <c r="F460" t="s">
        <v>23479</v>
      </c>
      <c r="G460">
        <v>1</v>
      </c>
      <c r="H460" t="s">
        <v>1720</v>
      </c>
      <c r="J460" t="s">
        <v>1690</v>
      </c>
      <c r="K460" t="s">
        <v>307</v>
      </c>
      <c r="L460" t="s">
        <v>22</v>
      </c>
      <c r="M460" t="s">
        <v>1721</v>
      </c>
      <c r="N460" t="s">
        <v>1722</v>
      </c>
      <c r="O460" t="s">
        <v>1723</v>
      </c>
      <c r="P460" s="2" t="s">
        <v>37</v>
      </c>
      <c r="Q460" t="s">
        <v>1208</v>
      </c>
      <c r="R460">
        <v>0</v>
      </c>
      <c r="S460">
        <v>23.81</v>
      </c>
      <c r="T460" t="s">
        <v>1724</v>
      </c>
    </row>
    <row r="461" spans="1:20" x14ac:dyDescent="0.25">
      <c r="A461" s="1" t="str">
        <f>HYPERLINK("https://vegkart.atlas.vegvesen.no/#/@236995.8,6647044.4,18/hva:hva%5B0%5D%5Bfilter%5D%5B0%5D%5Boperator%5D=%21%3D&amp;hva%5B0%5D%5Bfilter%5D%5B0%5D%5Btype_id%5D=9431&amp;hva%5B0%5D%5Bfilter%5D%5B0%5D%5Bverdi%5D=&amp;hva%5B0%5D%5Bid%5D=43/når:2023-05-16", "Vegkart")</f>
        <v>Vegkart</v>
      </c>
      <c r="B461">
        <v>1017652974</v>
      </c>
      <c r="C461">
        <v>43</v>
      </c>
      <c r="D461" t="s">
        <v>1388</v>
      </c>
      <c r="E461">
        <v>9431</v>
      </c>
      <c r="F461" t="s">
        <v>23479</v>
      </c>
      <c r="G461">
        <v>1</v>
      </c>
      <c r="H461" t="s">
        <v>1720</v>
      </c>
      <c r="J461" t="s">
        <v>1690</v>
      </c>
      <c r="K461" t="s">
        <v>307</v>
      </c>
      <c r="L461" t="s">
        <v>22</v>
      </c>
      <c r="M461" t="s">
        <v>1721</v>
      </c>
      <c r="N461" t="s">
        <v>1725</v>
      </c>
      <c r="O461" t="s">
        <v>1726</v>
      </c>
      <c r="P461" s="2" t="s">
        <v>37</v>
      </c>
      <c r="Q461" t="s">
        <v>1208</v>
      </c>
      <c r="R461">
        <v>0</v>
      </c>
      <c r="S461">
        <v>188.62</v>
      </c>
      <c r="T461" t="s">
        <v>1727</v>
      </c>
    </row>
    <row r="462" spans="1:20" x14ac:dyDescent="0.25">
      <c r="A462" s="1" t="str">
        <f>HYPERLINK("https://vegkart.atlas.vegvesen.no/#/@428577.5,7555433.4,18/hva:hva%5B0%5D%5Bfilter%5D%5B0%5D%5Boperator%5D=%21%3D&amp;hva%5B0%5D%5Bfilter%5D%5B0%5D%5Btype_id%5D=9431&amp;hva%5B0%5D%5Bfilter%5D%5B0%5D%5Bverdi%5D=&amp;hva%5B0%5D%5Bid%5D=43/når:2024-01-03", "Vegkart")</f>
        <v>Vegkart</v>
      </c>
      <c r="B462">
        <v>1018344646</v>
      </c>
      <c r="C462">
        <v>43</v>
      </c>
      <c r="D462" t="s">
        <v>1388</v>
      </c>
      <c r="E462">
        <v>9431</v>
      </c>
      <c r="F462" t="s">
        <v>23479</v>
      </c>
      <c r="G462">
        <v>1</v>
      </c>
      <c r="H462" t="s">
        <v>1728</v>
      </c>
      <c r="J462" t="s">
        <v>1690</v>
      </c>
      <c r="K462" t="s">
        <v>53</v>
      </c>
      <c r="L462" t="s">
        <v>80</v>
      </c>
      <c r="M462" t="s">
        <v>522</v>
      </c>
      <c r="N462" t="s">
        <v>1729</v>
      </c>
      <c r="O462" t="s">
        <v>1730</v>
      </c>
      <c r="P462" s="2" t="s">
        <v>37</v>
      </c>
      <c r="Q462" t="s">
        <v>1208</v>
      </c>
      <c r="R462">
        <v>0</v>
      </c>
      <c r="S462">
        <v>62.55</v>
      </c>
      <c r="T462" t="s">
        <v>1731</v>
      </c>
    </row>
    <row r="463" spans="1:20" x14ac:dyDescent="0.25">
      <c r="A463" s="1" t="str">
        <f>HYPERLINK("https://vegkart.atlas.vegvesen.no/#/@428564.7,7555412.9,18/hva:hva%5B0%5D%5Bfilter%5D%5B0%5D%5Boperator%5D=%21%3D&amp;hva%5B0%5D%5Bfilter%5D%5B0%5D%5Btype_id%5D=9431&amp;hva%5B0%5D%5Bfilter%5D%5B0%5D%5Bverdi%5D=&amp;hva%5B0%5D%5Bid%5D=43/når:2024-01-03", "Vegkart")</f>
        <v>Vegkart</v>
      </c>
      <c r="B463">
        <v>1018344647</v>
      </c>
      <c r="C463">
        <v>43</v>
      </c>
      <c r="D463" t="s">
        <v>1388</v>
      </c>
      <c r="E463">
        <v>9431</v>
      </c>
      <c r="F463" t="s">
        <v>23479</v>
      </c>
      <c r="G463">
        <v>1</v>
      </c>
      <c r="H463" t="s">
        <v>1728</v>
      </c>
      <c r="J463" t="s">
        <v>1732</v>
      </c>
      <c r="K463" t="s">
        <v>53</v>
      </c>
      <c r="L463" t="s">
        <v>80</v>
      </c>
      <c r="M463" t="s">
        <v>522</v>
      </c>
      <c r="N463" t="s">
        <v>1733</v>
      </c>
      <c r="O463" t="s">
        <v>1734</v>
      </c>
      <c r="P463" s="2" t="s">
        <v>37</v>
      </c>
      <c r="Q463" t="s">
        <v>1208</v>
      </c>
      <c r="R463">
        <v>0</v>
      </c>
      <c r="S463">
        <v>207.15</v>
      </c>
      <c r="T463" t="s">
        <v>1735</v>
      </c>
    </row>
    <row r="464" spans="1:20" x14ac:dyDescent="0.25">
      <c r="A464" s="1" t="str">
        <f>HYPERLINK("https://vegkart.atlas.vegvesen.no/#/@428536.9,7555437.1,18/hva:hva%5B0%5D%5Bfilter%5D%5B0%5D%5Boperator%5D=%21%3D&amp;hva%5B0%5D%5Bfilter%5D%5B0%5D%5Btype_id%5D=9431&amp;hva%5B0%5D%5Bfilter%5D%5B0%5D%5Bverdi%5D=&amp;hva%5B0%5D%5Bid%5D=43/når:2024-01-03", "Vegkart")</f>
        <v>Vegkart</v>
      </c>
      <c r="B464">
        <v>1018344648</v>
      </c>
      <c r="C464">
        <v>43</v>
      </c>
      <c r="D464" t="s">
        <v>1388</v>
      </c>
      <c r="E464">
        <v>9431</v>
      </c>
      <c r="F464" t="s">
        <v>23479</v>
      </c>
      <c r="G464">
        <v>1</v>
      </c>
      <c r="H464" t="s">
        <v>1728</v>
      </c>
      <c r="J464" t="s">
        <v>1690</v>
      </c>
      <c r="K464" t="s">
        <v>53</v>
      </c>
      <c r="L464" t="s">
        <v>80</v>
      </c>
      <c r="M464" t="s">
        <v>522</v>
      </c>
      <c r="N464" t="s">
        <v>1736</v>
      </c>
      <c r="O464" t="s">
        <v>1737</v>
      </c>
      <c r="P464" s="2" t="s">
        <v>37</v>
      </c>
      <c r="Q464" t="s">
        <v>1208</v>
      </c>
      <c r="R464">
        <v>0</v>
      </c>
      <c r="S464">
        <v>49.22</v>
      </c>
      <c r="T464" t="s">
        <v>1738</v>
      </c>
    </row>
    <row r="465" spans="1:20" x14ac:dyDescent="0.25">
      <c r="A465" s="1" t="str">
        <f>HYPERLINK("https://vegkart.atlas.vegvesen.no/#/@595204.4,7714347.5,18/hva:hva%5B0%5D%5Bfilter%5D%5B0%5D%5Boperator%5D=%21%3D&amp;hva%5B0%5D%5Bfilter%5D%5B0%5D%5Btype_id%5D=9431&amp;hva%5B0%5D%5Bfilter%5D%5B0%5D%5Bverdi%5D=&amp;hva%5B0%5D%5Bid%5D=43/når:2024-01-04", "Vegkart")</f>
        <v>Vegkart</v>
      </c>
      <c r="B465">
        <v>1018345437</v>
      </c>
      <c r="C465">
        <v>43</v>
      </c>
      <c r="D465" t="s">
        <v>1388</v>
      </c>
      <c r="E465">
        <v>9431</v>
      </c>
      <c r="F465" t="s">
        <v>23479</v>
      </c>
      <c r="G465">
        <v>1</v>
      </c>
      <c r="H465" t="s">
        <v>526</v>
      </c>
      <c r="J465" t="s">
        <v>1739</v>
      </c>
      <c r="K465" t="s">
        <v>179</v>
      </c>
      <c r="L465" t="s">
        <v>33</v>
      </c>
      <c r="M465" t="s">
        <v>527</v>
      </c>
      <c r="N465" t="s">
        <v>1740</v>
      </c>
      <c r="O465" t="s">
        <v>1741</v>
      </c>
      <c r="P465" s="2" t="s">
        <v>37</v>
      </c>
      <c r="Q465" t="s">
        <v>1208</v>
      </c>
      <c r="R465">
        <v>13.42</v>
      </c>
      <c r="S465">
        <v>29.29</v>
      </c>
      <c r="T465" t="s">
        <v>1742</v>
      </c>
    </row>
    <row r="466" spans="1:20" x14ac:dyDescent="0.25">
      <c r="A466" s="1" t="str">
        <f>HYPERLINK("https://vegkart.atlas.vegvesen.no/#/@272910.9,6656820.0,18/hva:hva%5B0%5D%5Bfilter%5D%5B0%5D%5Boperator%5D=%21%3D&amp;hva%5B0%5D%5Bfilter%5D%5B0%5D%5Btype_id%5D=9431&amp;hva%5B0%5D%5Bfilter%5D%5B0%5D%5Bverdi%5D=&amp;hva%5B0%5D%5Bid%5D=43/når:2024-02-21", "Vegkart")</f>
        <v>Vegkart</v>
      </c>
      <c r="B466">
        <v>1018850483</v>
      </c>
      <c r="C466">
        <v>43</v>
      </c>
      <c r="D466" t="s">
        <v>1388</v>
      </c>
      <c r="E466">
        <v>9431</v>
      </c>
      <c r="F466" t="s">
        <v>23479</v>
      </c>
      <c r="G466">
        <v>1</v>
      </c>
      <c r="H466" t="s">
        <v>1743</v>
      </c>
      <c r="J466" t="s">
        <v>1690</v>
      </c>
      <c r="K466" t="s">
        <v>132</v>
      </c>
      <c r="L466" t="s">
        <v>113</v>
      </c>
      <c r="M466" t="s">
        <v>1575</v>
      </c>
      <c r="N466" t="s">
        <v>1744</v>
      </c>
      <c r="O466" t="s">
        <v>1745</v>
      </c>
      <c r="P466" s="2" t="s">
        <v>37</v>
      </c>
      <c r="Q466" t="s">
        <v>1208</v>
      </c>
      <c r="R466">
        <v>0</v>
      </c>
      <c r="S466">
        <v>286.94</v>
      </c>
      <c r="T466" t="s">
        <v>1746</v>
      </c>
    </row>
    <row r="467" spans="1:20" x14ac:dyDescent="0.25">
      <c r="A467" s="1" t="str">
        <f>HYPERLINK("https://vegkart.atlas.vegvesen.no/#/@556502.7,7553979.9,18/hva:hva%5B0%5D%5Bfilter%5D%5B0%5D%5Boperator%5D=%21%3D&amp;hva%5B0%5D%5Bfilter%5D%5B0%5D%5Btype_id%5D=9431&amp;hva%5B0%5D%5Bfilter%5D%5B0%5D%5Bverdi%5D=&amp;hva%5B0%5D%5Bid%5D=43/når:2024-04-09", "Vegkart")</f>
        <v>Vegkart</v>
      </c>
      <c r="B467">
        <v>1019045483</v>
      </c>
      <c r="C467">
        <v>43</v>
      </c>
      <c r="D467" t="s">
        <v>1388</v>
      </c>
      <c r="E467">
        <v>9431</v>
      </c>
      <c r="F467" t="s">
        <v>23479</v>
      </c>
      <c r="G467">
        <v>1</v>
      </c>
      <c r="H467" t="s">
        <v>1747</v>
      </c>
      <c r="J467" t="s">
        <v>1690</v>
      </c>
      <c r="K467" t="s">
        <v>53</v>
      </c>
      <c r="L467" t="s">
        <v>33</v>
      </c>
      <c r="M467" t="s">
        <v>1748</v>
      </c>
      <c r="N467" t="s">
        <v>1749</v>
      </c>
      <c r="O467" t="s">
        <v>1750</v>
      </c>
      <c r="P467" s="2" t="s">
        <v>37</v>
      </c>
      <c r="Q467" t="s">
        <v>1208</v>
      </c>
      <c r="R467">
        <v>0</v>
      </c>
      <c r="S467">
        <v>135.27000000000001</v>
      </c>
      <c r="T467" t="s">
        <v>1751</v>
      </c>
    </row>
    <row r="468" spans="1:20" x14ac:dyDescent="0.25">
      <c r="A468" s="1" t="str">
        <f>HYPERLINK("https://vegkart.atlas.vegvesen.no/#/@-46594.9,6727264.9,18/hva:hva%5B0%5D%5Bfilter%5D%5B0%5D%5Boperator%5D=%21%3D&amp;hva%5B0%5D%5Bfilter%5D%5B0%5D%5Btype_id%5D=9431&amp;hva%5B0%5D%5Bfilter%5D%5B0%5D%5Bverdi%5D=&amp;hva%5B0%5D%5Bid%5D=43/når:2024-09-19", "Vegkart")</f>
        <v>Vegkart</v>
      </c>
      <c r="B468">
        <v>1019853881</v>
      </c>
      <c r="C468">
        <v>43</v>
      </c>
      <c r="D468" t="s">
        <v>1388</v>
      </c>
      <c r="E468">
        <v>9431</v>
      </c>
      <c r="F468" t="s">
        <v>23479</v>
      </c>
      <c r="G468">
        <v>1</v>
      </c>
      <c r="H468" t="s">
        <v>196</v>
      </c>
      <c r="J468" t="s">
        <v>1752</v>
      </c>
      <c r="K468" t="s">
        <v>21</v>
      </c>
      <c r="L468" t="s">
        <v>33</v>
      </c>
      <c r="M468" t="s">
        <v>1346</v>
      </c>
      <c r="N468" t="s">
        <v>1753</v>
      </c>
      <c r="O468" t="s">
        <v>1754</v>
      </c>
      <c r="P468" s="2" t="s">
        <v>37</v>
      </c>
      <c r="Q468" t="s">
        <v>1208</v>
      </c>
      <c r="R468">
        <v>0</v>
      </c>
      <c r="S468">
        <v>402.07</v>
      </c>
      <c r="T468" t="s">
        <v>1755</v>
      </c>
    </row>
    <row r="469" spans="1:20" x14ac:dyDescent="0.25">
      <c r="A469" s="1" t="str">
        <f>HYPERLINK("https://vegkart.atlas.vegvesen.no/#/@87567.2,6458616.8,18/hva:hva%5B0%5D%5Bfilter%5D%5B0%5D%5Boperator%5D=%21%3D&amp;hva%5B0%5D%5Bfilter%5D%5B0%5D%5Btype_id%5D=9431&amp;hva%5B0%5D%5Bfilter%5D%5B0%5D%5Bverdi%5D=&amp;hva%5B0%5D%5Bid%5D=43/når:2025-02-12", "Vegkart")</f>
        <v>Vegkart</v>
      </c>
      <c r="B469">
        <v>1022125483</v>
      </c>
      <c r="C469">
        <v>43</v>
      </c>
      <c r="D469" t="s">
        <v>1388</v>
      </c>
      <c r="E469">
        <v>9431</v>
      </c>
      <c r="F469" t="s">
        <v>23479</v>
      </c>
      <c r="G469">
        <v>1</v>
      </c>
      <c r="H469" t="s">
        <v>584</v>
      </c>
      <c r="J469" t="s">
        <v>1752</v>
      </c>
      <c r="K469" t="s">
        <v>86</v>
      </c>
      <c r="L469" t="s">
        <v>22</v>
      </c>
      <c r="M469" t="s">
        <v>1756</v>
      </c>
      <c r="N469" t="s">
        <v>1757</v>
      </c>
      <c r="O469" t="s">
        <v>1758</v>
      </c>
      <c r="P469" s="2" t="s">
        <v>37</v>
      </c>
      <c r="Q469" t="s">
        <v>1208</v>
      </c>
      <c r="R469">
        <v>0</v>
      </c>
      <c r="S469">
        <v>100.47</v>
      </c>
      <c r="T469" t="s">
        <v>1759</v>
      </c>
    </row>
    <row r="470" spans="1:20" x14ac:dyDescent="0.25">
      <c r="A470" s="1" t="str">
        <f>HYPERLINK("https://vegkart.atlas.vegvesen.no/#/@263709.9,6649286.6,18/hva:hva%5B0%5D%5Bfilter%5D%5B0%5D%5Boperator%5D=%21%3D&amp;hva%5B0%5D%5Bfilter%5D%5B0%5D%5Btype_id%5D=9431&amp;hva%5B0%5D%5Bfilter%5D%5B0%5D%5Bverdi%5D=&amp;hva%5B0%5D%5Bid%5D=43/når:2025-02-14", "Vegkart")</f>
        <v>Vegkart</v>
      </c>
      <c r="B470">
        <v>1022149755</v>
      </c>
      <c r="C470">
        <v>43</v>
      </c>
      <c r="D470" t="s">
        <v>1388</v>
      </c>
      <c r="E470">
        <v>9431</v>
      </c>
      <c r="F470" t="s">
        <v>23479</v>
      </c>
      <c r="G470">
        <v>1</v>
      </c>
      <c r="H470" t="s">
        <v>1760</v>
      </c>
      <c r="J470" t="s">
        <v>1732</v>
      </c>
      <c r="K470" t="s">
        <v>335</v>
      </c>
      <c r="L470" t="s">
        <v>22</v>
      </c>
      <c r="M470" t="s">
        <v>1761</v>
      </c>
      <c r="N470" t="s">
        <v>1762</v>
      </c>
      <c r="O470" t="s">
        <v>1763</v>
      </c>
      <c r="P470" s="2" t="s">
        <v>26</v>
      </c>
      <c r="Q470" t="s">
        <v>50</v>
      </c>
      <c r="R470">
        <v>39.5</v>
      </c>
      <c r="S470">
        <v>39.5</v>
      </c>
      <c r="T470" t="s">
        <v>1764</v>
      </c>
    </row>
    <row r="471" spans="1:20" x14ac:dyDescent="0.25">
      <c r="A471" s="1" t="str">
        <f>HYPERLINK("https://vegkart.atlas.vegvesen.no/#/@263866.1,6649090.3,18/hva:hva%5B0%5D%5Bfilter%5D%5B0%5D%5Boperator%5D=%21%3D&amp;hva%5B0%5D%5Bfilter%5D%5B0%5D%5Btype_id%5D=9431&amp;hva%5B0%5D%5Bfilter%5D%5B0%5D%5Bverdi%5D=&amp;hva%5B0%5D%5Bid%5D=43/når:2025-02-14", "Vegkart")</f>
        <v>Vegkart</v>
      </c>
      <c r="B471">
        <v>1022149756</v>
      </c>
      <c r="C471">
        <v>43</v>
      </c>
      <c r="D471" t="s">
        <v>1388</v>
      </c>
      <c r="E471">
        <v>9431</v>
      </c>
      <c r="F471" t="s">
        <v>23479</v>
      </c>
      <c r="G471">
        <v>1</v>
      </c>
      <c r="H471" t="s">
        <v>1760</v>
      </c>
      <c r="J471" t="s">
        <v>1752</v>
      </c>
      <c r="K471" t="s">
        <v>335</v>
      </c>
      <c r="L471" t="s">
        <v>22</v>
      </c>
      <c r="M471" t="s">
        <v>1761</v>
      </c>
      <c r="N471" t="s">
        <v>1765</v>
      </c>
      <c r="O471" t="s">
        <v>1766</v>
      </c>
      <c r="P471" s="2" t="s">
        <v>26</v>
      </c>
      <c r="Q471" t="s">
        <v>50</v>
      </c>
      <c r="R471">
        <v>32.94</v>
      </c>
      <c r="S471">
        <v>32.94</v>
      </c>
      <c r="T471" t="s">
        <v>1767</v>
      </c>
    </row>
    <row r="472" spans="1:20" x14ac:dyDescent="0.25">
      <c r="A472" s="1" t="str">
        <f>HYPERLINK("https://vegkart.atlas.vegvesen.no/#/@263689.6,6649617.9,18/hva:hva%5B0%5D%5Bfilter%5D%5B0%5D%5Boperator%5D=%21%3D&amp;hva%5B0%5D%5Bfilter%5D%5B0%5D%5Btype_id%5D=9431&amp;hva%5B0%5D%5Bfilter%5D%5B0%5D%5Bverdi%5D=&amp;hva%5B0%5D%5Bid%5D=43/når:2025-02-14", "Vegkart")</f>
        <v>Vegkart</v>
      </c>
      <c r="B472">
        <v>1022149757</v>
      </c>
      <c r="C472">
        <v>43</v>
      </c>
      <c r="D472" t="s">
        <v>1388</v>
      </c>
      <c r="E472">
        <v>9431</v>
      </c>
      <c r="F472" t="s">
        <v>23479</v>
      </c>
      <c r="G472">
        <v>1</v>
      </c>
      <c r="H472" t="s">
        <v>1760</v>
      </c>
      <c r="J472" t="s">
        <v>1752</v>
      </c>
      <c r="K472" t="s">
        <v>335</v>
      </c>
      <c r="L472" t="s">
        <v>22</v>
      </c>
      <c r="M472" t="s">
        <v>1761</v>
      </c>
      <c r="N472" t="s">
        <v>1768</v>
      </c>
      <c r="O472" t="s">
        <v>1769</v>
      </c>
      <c r="P472" s="2" t="s">
        <v>26</v>
      </c>
      <c r="Q472" t="s">
        <v>50</v>
      </c>
      <c r="R472">
        <v>68.150000000000006</v>
      </c>
      <c r="S472">
        <v>68.150000000000006</v>
      </c>
      <c r="T472" t="s">
        <v>1770</v>
      </c>
    </row>
    <row r="473" spans="1:20" x14ac:dyDescent="0.25">
      <c r="A473" s="1" t="str">
        <f>HYPERLINK("https://vegkart.atlas.vegvesen.no/#/@-12090.1,6904311.3,18/hva:hva%5B0%5D%5Bfilter%5D%5B0%5D%5Boperator%5D=%21%3D&amp;hva%5B0%5D%5Bfilter%5D%5B0%5D%5Btype_id%5D=9431&amp;hva%5B0%5D%5Bfilter%5D%5B0%5D%5Bverdi%5D=&amp;hva%5B0%5D%5Bid%5D=43/når:2025-02-25", "Vegkart")</f>
        <v>Vegkart</v>
      </c>
      <c r="B473">
        <v>1022260931</v>
      </c>
      <c r="C473">
        <v>43</v>
      </c>
      <c r="D473" t="s">
        <v>1388</v>
      </c>
      <c r="E473">
        <v>9431</v>
      </c>
      <c r="F473" t="s">
        <v>23479</v>
      </c>
      <c r="G473">
        <v>1</v>
      </c>
      <c r="H473" t="s">
        <v>1771</v>
      </c>
      <c r="J473" t="s">
        <v>1752</v>
      </c>
      <c r="K473" t="s">
        <v>21</v>
      </c>
      <c r="L473" t="s">
        <v>33</v>
      </c>
      <c r="M473" t="s">
        <v>1772</v>
      </c>
      <c r="N473" t="s">
        <v>1773</v>
      </c>
      <c r="O473" t="s">
        <v>1774</v>
      </c>
      <c r="P473" s="2" t="s">
        <v>165</v>
      </c>
      <c r="Q473" t="s">
        <v>641</v>
      </c>
      <c r="R473">
        <v>15.76</v>
      </c>
      <c r="S473">
        <v>67.83</v>
      </c>
      <c r="T473" t="s">
        <v>167</v>
      </c>
    </row>
    <row r="474" spans="1:20" x14ac:dyDescent="0.25">
      <c r="A474" s="1" t="str">
        <f>HYPERLINK("https://vegkart.atlas.vegvesen.no/#/@36477.6,6645986.6,18/hva:hva%5B0%5D%5Bfilter%5D%5B0%5D%5Boperator%5D=%21%3D&amp;hva%5B0%5D%5Bfilter%5D%5B0%5D%5Btype_id%5D=9431&amp;hva%5B0%5D%5Bfilter%5D%5B0%5D%5Bverdi%5D=&amp;hva%5B0%5D%5Bid%5D=43/når:2025-03-17", "Vegkart")</f>
        <v>Vegkart</v>
      </c>
      <c r="B474">
        <v>1022327740</v>
      </c>
      <c r="C474">
        <v>43</v>
      </c>
      <c r="D474" t="s">
        <v>1388</v>
      </c>
      <c r="E474">
        <v>9431</v>
      </c>
      <c r="F474" t="s">
        <v>23479</v>
      </c>
      <c r="G474">
        <v>1</v>
      </c>
      <c r="H474" t="s">
        <v>1775</v>
      </c>
      <c r="J474" t="s">
        <v>1776</v>
      </c>
      <c r="K474" t="s">
        <v>170</v>
      </c>
      <c r="L474" t="s">
        <v>113</v>
      </c>
      <c r="M474" t="s">
        <v>114</v>
      </c>
      <c r="N474" t="s">
        <v>1777</v>
      </c>
      <c r="O474" t="s">
        <v>1778</v>
      </c>
      <c r="P474" s="2" t="s">
        <v>26</v>
      </c>
      <c r="Q474" t="s">
        <v>50</v>
      </c>
      <c r="R474">
        <v>35.090000000000003</v>
      </c>
      <c r="S474">
        <v>35.090000000000003</v>
      </c>
      <c r="T474" t="s">
        <v>1779</v>
      </c>
    </row>
    <row r="475" spans="1:20" x14ac:dyDescent="0.25">
      <c r="A475" s="1" t="str">
        <f>HYPERLINK("https://vegkart.atlas.vegvesen.no/#/@36473.3,6645980.5,18/hva:hva%5B0%5D%5Bfilter%5D%5B0%5D%5Boperator%5D=%21%3D&amp;hva%5B0%5D%5Bfilter%5D%5B0%5D%5Btype_id%5D=9431&amp;hva%5B0%5D%5Bfilter%5D%5B0%5D%5Bverdi%5D=&amp;hva%5B0%5D%5Bid%5D=43/når:2025-03-17", "Vegkart")</f>
        <v>Vegkart</v>
      </c>
      <c r="B475">
        <v>1022327741</v>
      </c>
      <c r="C475">
        <v>43</v>
      </c>
      <c r="D475" t="s">
        <v>1388</v>
      </c>
      <c r="E475">
        <v>9431</v>
      </c>
      <c r="F475" t="s">
        <v>23479</v>
      </c>
      <c r="G475">
        <v>1</v>
      </c>
      <c r="H475" t="s">
        <v>1775</v>
      </c>
      <c r="J475" t="s">
        <v>1752</v>
      </c>
      <c r="K475" t="s">
        <v>170</v>
      </c>
      <c r="L475" t="s">
        <v>113</v>
      </c>
      <c r="M475" t="s">
        <v>114</v>
      </c>
      <c r="N475" t="s">
        <v>1780</v>
      </c>
      <c r="O475" t="s">
        <v>1781</v>
      </c>
      <c r="P475" s="2" t="s">
        <v>26</v>
      </c>
      <c r="Q475" t="s">
        <v>50</v>
      </c>
      <c r="R475">
        <v>23.95</v>
      </c>
      <c r="S475">
        <v>23.96</v>
      </c>
      <c r="T475" t="s">
        <v>1782</v>
      </c>
    </row>
    <row r="476" spans="1:20" x14ac:dyDescent="0.25">
      <c r="A476" s="1" t="str">
        <f>HYPERLINK("https://vegkart.atlas.vegvesen.no/#/@36480.0,6645988.3,18/hva:hva%5B0%5D%5Bfilter%5D%5B0%5D%5Boperator%5D=%21%3D&amp;hva%5B0%5D%5Bfilter%5D%5B0%5D%5Btype_id%5D=9431&amp;hva%5B0%5D%5Bfilter%5D%5B0%5D%5Bverdi%5D=&amp;hva%5B0%5D%5Bid%5D=43/når:2025-03-17", "Vegkart")</f>
        <v>Vegkart</v>
      </c>
      <c r="B476">
        <v>1022327742</v>
      </c>
      <c r="C476">
        <v>43</v>
      </c>
      <c r="D476" t="s">
        <v>1388</v>
      </c>
      <c r="E476">
        <v>9431</v>
      </c>
      <c r="F476" t="s">
        <v>23479</v>
      </c>
      <c r="G476">
        <v>1</v>
      </c>
      <c r="H476" t="s">
        <v>1775</v>
      </c>
      <c r="J476" t="s">
        <v>1752</v>
      </c>
      <c r="K476" t="s">
        <v>170</v>
      </c>
      <c r="L476" t="s">
        <v>113</v>
      </c>
      <c r="M476" t="s">
        <v>114</v>
      </c>
      <c r="N476" t="s">
        <v>1783</v>
      </c>
      <c r="O476" t="s">
        <v>1784</v>
      </c>
      <c r="P476" s="2" t="s">
        <v>26</v>
      </c>
      <c r="Q476" t="s">
        <v>50</v>
      </c>
      <c r="R476">
        <v>35.090000000000003</v>
      </c>
      <c r="S476">
        <v>38.43</v>
      </c>
      <c r="T476" t="s">
        <v>1785</v>
      </c>
    </row>
    <row r="477" spans="1:20" x14ac:dyDescent="0.25">
      <c r="A477" s="1" t="str">
        <f>HYPERLINK("https://vegkart.atlas.vegvesen.no/#/@36469.7,6645978.1,18/hva:hva%5B0%5D%5Bfilter%5D%5B0%5D%5Boperator%5D=%21%3D&amp;hva%5B0%5D%5Bfilter%5D%5B0%5D%5Btype_id%5D=9431&amp;hva%5B0%5D%5Bfilter%5D%5B0%5D%5Bverdi%5D=&amp;hva%5B0%5D%5Bid%5D=43/når:2025-03-17", "Vegkart")</f>
        <v>Vegkart</v>
      </c>
      <c r="B477">
        <v>1022327743</v>
      </c>
      <c r="C477">
        <v>43</v>
      </c>
      <c r="D477" t="s">
        <v>1388</v>
      </c>
      <c r="E477">
        <v>9431</v>
      </c>
      <c r="F477" t="s">
        <v>23479</v>
      </c>
      <c r="G477">
        <v>1</v>
      </c>
      <c r="H477" t="s">
        <v>1775</v>
      </c>
      <c r="J477" t="s">
        <v>1752</v>
      </c>
      <c r="K477" t="s">
        <v>170</v>
      </c>
      <c r="L477" t="s">
        <v>113</v>
      </c>
      <c r="M477" t="s">
        <v>114</v>
      </c>
      <c r="N477" t="s">
        <v>1780</v>
      </c>
      <c r="O477" t="s">
        <v>1786</v>
      </c>
      <c r="P477" s="2" t="s">
        <v>26</v>
      </c>
      <c r="Q477" t="s">
        <v>50</v>
      </c>
      <c r="R477">
        <v>23.95</v>
      </c>
      <c r="S477">
        <v>33.15</v>
      </c>
      <c r="T477" t="s">
        <v>1787</v>
      </c>
    </row>
    <row r="478" spans="1:20" x14ac:dyDescent="0.25">
      <c r="A478" s="1" t="str">
        <f>HYPERLINK("https://vegkart.atlas.vegvesen.no/#/@277075.5,6652169.6,18/hva:hva%5B0%5D%5Bfilter%5D%5B0%5D%5Boperator%5D=%21%3D&amp;hva%5B0%5D%5Bfilter%5D%5B0%5D%5Btype_id%5D=9431&amp;hva%5B0%5D%5Bfilter%5D%5B0%5D%5Bverdi%5D=&amp;hva%5B0%5D%5Bid%5D=43/når:2025-06-12", "Vegkart")</f>
        <v>Vegkart</v>
      </c>
      <c r="B478">
        <v>1024474153</v>
      </c>
      <c r="C478">
        <v>43</v>
      </c>
      <c r="D478" t="s">
        <v>1388</v>
      </c>
      <c r="E478">
        <v>9431</v>
      </c>
      <c r="F478" t="s">
        <v>23479</v>
      </c>
      <c r="G478">
        <v>1</v>
      </c>
      <c r="H478" t="s">
        <v>1788</v>
      </c>
      <c r="J478" t="s">
        <v>1752</v>
      </c>
      <c r="K478" t="s">
        <v>132</v>
      </c>
      <c r="L478" t="s">
        <v>33</v>
      </c>
      <c r="M478" t="s">
        <v>1789</v>
      </c>
      <c r="N478" t="s">
        <v>1790</v>
      </c>
      <c r="O478" t="s">
        <v>1791</v>
      </c>
      <c r="P478" s="2" t="s">
        <v>26</v>
      </c>
      <c r="Q478" t="s">
        <v>50</v>
      </c>
      <c r="R478">
        <v>125.35</v>
      </c>
      <c r="S478">
        <v>125.35</v>
      </c>
      <c r="T478" t="s">
        <v>1792</v>
      </c>
    </row>
    <row r="479" spans="1:20" x14ac:dyDescent="0.25">
      <c r="A479" s="1" t="str">
        <f>HYPERLINK("https://vegkart.atlas.vegvesen.no/#/@277087.1,6652168.6,18/hva:hva%5B0%5D%5Bfilter%5D%5B0%5D%5Boperator%5D=%21%3D&amp;hva%5B0%5D%5Bfilter%5D%5B0%5D%5Btype_id%5D=9431&amp;hva%5B0%5D%5Bfilter%5D%5B0%5D%5Bverdi%5D=&amp;hva%5B0%5D%5Bid%5D=43/når:2025-06-12", "Vegkart")</f>
        <v>Vegkart</v>
      </c>
      <c r="B479">
        <v>1024474154</v>
      </c>
      <c r="C479">
        <v>43</v>
      </c>
      <c r="D479" t="s">
        <v>1388</v>
      </c>
      <c r="E479">
        <v>9431</v>
      </c>
      <c r="F479" t="s">
        <v>23479</v>
      </c>
      <c r="G479">
        <v>1</v>
      </c>
      <c r="H479" t="s">
        <v>1788</v>
      </c>
      <c r="J479" t="s">
        <v>1752</v>
      </c>
      <c r="K479" t="s">
        <v>132</v>
      </c>
      <c r="L479" t="s">
        <v>33</v>
      </c>
      <c r="M479" t="s">
        <v>1789</v>
      </c>
      <c r="N479" t="s">
        <v>1793</v>
      </c>
      <c r="O479" t="s">
        <v>1794</v>
      </c>
      <c r="P479" s="2" t="s">
        <v>26</v>
      </c>
      <c r="Q479" t="s">
        <v>50</v>
      </c>
      <c r="R479">
        <v>55.55</v>
      </c>
      <c r="S479">
        <v>55.55</v>
      </c>
      <c r="T479" t="s">
        <v>1795</v>
      </c>
    </row>
    <row r="480" spans="1:20" x14ac:dyDescent="0.25">
      <c r="A480" s="1" t="str">
        <f>HYPERLINK("https://vegkart.atlas.vegvesen.no/#/@278913.0,6756178.8,18/hva:hva%5B0%5D%5Bfilter%5D%5B0%5D%5Boperator%5D=%21%3D&amp;hva%5B0%5D%5Bfilter%5D%5B0%5D%5Btype_id%5D=9431&amp;hva%5B0%5D%5Bfilter%5D%5B0%5D%5Bverdi%5D=&amp;hva%5B0%5D%5Bid%5D=43/når:2025-09-05", "Vegkart")</f>
        <v>Vegkart</v>
      </c>
      <c r="B480">
        <v>1025226156</v>
      </c>
      <c r="C480">
        <v>43</v>
      </c>
      <c r="D480" t="s">
        <v>1388</v>
      </c>
      <c r="E480">
        <v>9431</v>
      </c>
      <c r="F480" t="s">
        <v>23479</v>
      </c>
      <c r="G480">
        <v>1</v>
      </c>
      <c r="H480" t="s">
        <v>1796</v>
      </c>
      <c r="J480" t="s">
        <v>1797</v>
      </c>
      <c r="K480" t="s">
        <v>136</v>
      </c>
      <c r="L480" t="s">
        <v>80</v>
      </c>
      <c r="M480" t="s">
        <v>105</v>
      </c>
      <c r="N480" t="s">
        <v>1798</v>
      </c>
      <c r="O480" t="s">
        <v>1799</v>
      </c>
      <c r="P480" s="2" t="s">
        <v>37</v>
      </c>
      <c r="Q480" t="s">
        <v>1208</v>
      </c>
      <c r="R480">
        <v>0</v>
      </c>
      <c r="S480">
        <v>113.41</v>
      </c>
      <c r="T480" t="s">
        <v>1800</v>
      </c>
    </row>
    <row r="481" spans="1:20" x14ac:dyDescent="0.25">
      <c r="A481" s="1" t="str">
        <f>HYPERLINK("https://vegkart.atlas.vegvesen.no/#/@240165.5,6575099.1,18/hva:hva%5B0%5D%5Bfilter%5D%5B0%5D%5Boperator%5D=%21%3D&amp;hva%5B0%5D%5Bfilter%5D%5B0%5D%5Btype_id%5D=8922&amp;hva%5B0%5D%5Bfilter%5D%5B0%5D%5Bverdi%5D=&amp;hva%5B0%5D%5Bid%5D=451/når:2022-11-04", "Vegkart")</f>
        <v>Vegkart</v>
      </c>
      <c r="B481">
        <v>87612260</v>
      </c>
      <c r="C481">
        <v>451</v>
      </c>
      <c r="D481" t="s">
        <v>1801</v>
      </c>
      <c r="E481">
        <v>8922</v>
      </c>
      <c r="F481" t="s">
        <v>23479</v>
      </c>
      <c r="G481">
        <v>4</v>
      </c>
      <c r="H481" t="s">
        <v>1802</v>
      </c>
      <c r="J481" t="s">
        <v>1803</v>
      </c>
      <c r="K481" t="s">
        <v>81</v>
      </c>
      <c r="L481" t="s">
        <v>33</v>
      </c>
      <c r="M481" t="s">
        <v>1804</v>
      </c>
      <c r="N481" t="s">
        <v>1805</v>
      </c>
      <c r="O481" t="s">
        <v>1806</v>
      </c>
      <c r="P481" s="2" t="s">
        <v>26</v>
      </c>
      <c r="Q481" t="s">
        <v>50</v>
      </c>
      <c r="R481">
        <v>1.53</v>
      </c>
      <c r="S481">
        <v>1.53</v>
      </c>
      <c r="T481" t="s">
        <v>1807</v>
      </c>
    </row>
    <row r="482" spans="1:20" x14ac:dyDescent="0.25">
      <c r="A482" s="1" t="str">
        <f>HYPERLINK("https://vegkart.atlas.vegvesen.no/#/@231611.2,6613970.1,18/hva:hva%5B0%5D%5Bfilter%5D%5B0%5D%5Boperator%5D=%21%3D&amp;hva%5B0%5D%5Bfilter%5D%5B0%5D%5Btype_id%5D=8922&amp;hva%5B0%5D%5Bfilter%5D%5B0%5D%5Bverdi%5D=&amp;hva%5B0%5D%5Bid%5D=451/når:2022-11-04", "Vegkart")</f>
        <v>Vegkart</v>
      </c>
      <c r="B482">
        <v>87612360</v>
      </c>
      <c r="C482">
        <v>451</v>
      </c>
      <c r="D482" t="s">
        <v>1801</v>
      </c>
      <c r="E482">
        <v>8922</v>
      </c>
      <c r="F482" t="s">
        <v>23479</v>
      </c>
      <c r="G482">
        <v>5</v>
      </c>
      <c r="H482" t="s">
        <v>1802</v>
      </c>
      <c r="J482" t="s">
        <v>1803</v>
      </c>
      <c r="K482" t="s">
        <v>81</v>
      </c>
      <c r="L482" t="s">
        <v>33</v>
      </c>
      <c r="M482" t="s">
        <v>1808</v>
      </c>
      <c r="N482" t="s">
        <v>1809</v>
      </c>
      <c r="O482" t="s">
        <v>1810</v>
      </c>
      <c r="P482" s="2" t="s">
        <v>26</v>
      </c>
      <c r="Q482" t="s">
        <v>50</v>
      </c>
      <c r="R482">
        <v>1.32</v>
      </c>
      <c r="S482">
        <v>1.32</v>
      </c>
      <c r="T482" t="s">
        <v>1811</v>
      </c>
    </row>
    <row r="483" spans="1:20" x14ac:dyDescent="0.25">
      <c r="A483" s="1" t="str">
        <f>HYPERLINK("https://vegkart.atlas.vegvesen.no/#/@217190.3,6555378.8,18/hva:hva%5B0%5D%5Bfilter%5D%5B0%5D%5Boperator%5D=%21%3D&amp;hva%5B0%5D%5Bfilter%5D%5B0%5D%5Btype_id%5D=8922&amp;hva%5B0%5D%5Bfilter%5D%5B0%5D%5Bverdi%5D=&amp;hva%5B0%5D%5Bid%5D=451/når:2022-11-04", "Vegkart")</f>
        <v>Vegkart</v>
      </c>
      <c r="B483">
        <v>159552033</v>
      </c>
      <c r="C483">
        <v>451</v>
      </c>
      <c r="D483" t="s">
        <v>1801</v>
      </c>
      <c r="E483">
        <v>8922</v>
      </c>
      <c r="F483" t="s">
        <v>23479</v>
      </c>
      <c r="G483">
        <v>4</v>
      </c>
      <c r="H483" t="s">
        <v>1802</v>
      </c>
      <c r="J483" t="s">
        <v>1803</v>
      </c>
      <c r="K483" t="s">
        <v>81</v>
      </c>
      <c r="L483" t="s">
        <v>33</v>
      </c>
      <c r="M483" t="s">
        <v>1812</v>
      </c>
      <c r="N483" t="s">
        <v>1813</v>
      </c>
      <c r="O483" t="s">
        <v>1814</v>
      </c>
      <c r="P483" s="2" t="s">
        <v>26</v>
      </c>
      <c r="Q483" t="s">
        <v>50</v>
      </c>
      <c r="R483">
        <v>0.9</v>
      </c>
      <c r="S483">
        <v>0.9</v>
      </c>
      <c r="T483" t="s">
        <v>1815</v>
      </c>
    </row>
    <row r="484" spans="1:20" x14ac:dyDescent="0.25">
      <c r="A484" s="1" t="str">
        <f>HYPERLINK("https://vegkart.atlas.vegvesen.no/#/@217363.0,6555423.5,18/hva:hva%5B0%5D%5Bfilter%5D%5B0%5D%5Boperator%5D=%21%3D&amp;hva%5B0%5D%5Bfilter%5D%5B0%5D%5Btype_id%5D=8922&amp;hva%5B0%5D%5Bfilter%5D%5B0%5D%5Bverdi%5D=&amp;hva%5B0%5D%5Bid%5D=451/når:2022-11-04", "Vegkart")</f>
        <v>Vegkart</v>
      </c>
      <c r="B484">
        <v>159552042</v>
      </c>
      <c r="C484">
        <v>451</v>
      </c>
      <c r="D484" t="s">
        <v>1801</v>
      </c>
      <c r="E484">
        <v>8922</v>
      </c>
      <c r="F484" t="s">
        <v>23479</v>
      </c>
      <c r="G484">
        <v>3</v>
      </c>
      <c r="H484" t="s">
        <v>1802</v>
      </c>
      <c r="J484" t="s">
        <v>1803</v>
      </c>
      <c r="K484" t="s">
        <v>81</v>
      </c>
      <c r="L484" t="s">
        <v>33</v>
      </c>
      <c r="M484" t="s">
        <v>1812</v>
      </c>
      <c r="N484" t="s">
        <v>1816</v>
      </c>
      <c r="O484" t="s">
        <v>1817</v>
      </c>
      <c r="P484" s="2" t="s">
        <v>26</v>
      </c>
      <c r="Q484" t="s">
        <v>50</v>
      </c>
      <c r="R484">
        <v>1.5</v>
      </c>
      <c r="S484">
        <v>1.5</v>
      </c>
      <c r="T484" t="s">
        <v>1818</v>
      </c>
    </row>
    <row r="485" spans="1:20" x14ac:dyDescent="0.25">
      <c r="A485" s="1" t="str">
        <f>HYPERLINK("https://vegkart.atlas.vegvesen.no/#/@217448.5,6555432.2,18/hva:hva%5B0%5D%5Bfilter%5D%5B0%5D%5Boperator%5D=%21%3D&amp;hva%5B0%5D%5Bfilter%5D%5B0%5D%5Btype_id%5D=8922&amp;hva%5B0%5D%5Bfilter%5D%5B0%5D%5Bverdi%5D=&amp;hva%5B0%5D%5Bid%5D=451/når:2022-11-04", "Vegkart")</f>
        <v>Vegkart</v>
      </c>
      <c r="B485">
        <v>159552045</v>
      </c>
      <c r="C485">
        <v>451</v>
      </c>
      <c r="D485" t="s">
        <v>1801</v>
      </c>
      <c r="E485">
        <v>8922</v>
      </c>
      <c r="F485" t="s">
        <v>23479</v>
      </c>
      <c r="G485">
        <v>4</v>
      </c>
      <c r="H485" t="s">
        <v>1802</v>
      </c>
      <c r="J485" t="s">
        <v>1803</v>
      </c>
      <c r="K485" t="s">
        <v>81</v>
      </c>
      <c r="L485" t="s">
        <v>33</v>
      </c>
      <c r="M485" t="s">
        <v>1812</v>
      </c>
      <c r="N485" t="s">
        <v>1819</v>
      </c>
      <c r="O485" t="s">
        <v>1820</v>
      </c>
      <c r="P485" s="2" t="s">
        <v>26</v>
      </c>
      <c r="Q485" t="s">
        <v>50</v>
      </c>
      <c r="R485">
        <v>2.15</v>
      </c>
      <c r="S485">
        <v>2.15</v>
      </c>
      <c r="T485" t="s">
        <v>1821</v>
      </c>
    </row>
    <row r="486" spans="1:20" x14ac:dyDescent="0.25">
      <c r="A486" s="1" t="str">
        <f>HYPERLINK("https://vegkart.atlas.vegvesen.no/#/@218255.0,6555834.1,18/hva:hva%5B0%5D%5Bfilter%5D%5B0%5D%5Boperator%5D=%21%3D&amp;hva%5B0%5D%5Bfilter%5D%5B0%5D%5Btype_id%5D=8922&amp;hva%5B0%5D%5Bfilter%5D%5B0%5D%5Bverdi%5D=&amp;hva%5B0%5D%5Bid%5D=451/når:2022-11-04", "Vegkart")</f>
        <v>Vegkart</v>
      </c>
      <c r="B486">
        <v>159552083</v>
      </c>
      <c r="C486">
        <v>451</v>
      </c>
      <c r="D486" t="s">
        <v>1801</v>
      </c>
      <c r="E486">
        <v>8922</v>
      </c>
      <c r="F486" t="s">
        <v>23479</v>
      </c>
      <c r="G486">
        <v>4</v>
      </c>
      <c r="H486" t="s">
        <v>1802</v>
      </c>
      <c r="J486" t="s">
        <v>1803</v>
      </c>
      <c r="K486" t="s">
        <v>81</v>
      </c>
      <c r="L486" t="s">
        <v>33</v>
      </c>
      <c r="M486" t="s">
        <v>1812</v>
      </c>
      <c r="N486" t="s">
        <v>1822</v>
      </c>
      <c r="O486" t="s">
        <v>1823</v>
      </c>
      <c r="P486" s="2" t="s">
        <v>26</v>
      </c>
      <c r="Q486" t="s">
        <v>50</v>
      </c>
      <c r="R486">
        <v>2.35</v>
      </c>
      <c r="S486">
        <v>2.35</v>
      </c>
      <c r="T486" t="s">
        <v>1824</v>
      </c>
    </row>
    <row r="487" spans="1:20" x14ac:dyDescent="0.25">
      <c r="A487" s="1" t="str">
        <f>HYPERLINK("https://vegkart.atlas.vegvesen.no/#/@218493.8,6556024.5,18/hva:hva%5B0%5D%5Bfilter%5D%5B0%5D%5Boperator%5D=%21%3D&amp;hva%5B0%5D%5Bfilter%5D%5B0%5D%5Btype_id%5D=8922&amp;hva%5B0%5D%5Bfilter%5D%5B0%5D%5Bverdi%5D=&amp;hva%5B0%5D%5Bid%5D=451/når:2022-11-04", "Vegkart")</f>
        <v>Vegkart</v>
      </c>
      <c r="B487">
        <v>159552088</v>
      </c>
      <c r="C487">
        <v>451</v>
      </c>
      <c r="D487" t="s">
        <v>1801</v>
      </c>
      <c r="E487">
        <v>8922</v>
      </c>
      <c r="F487" t="s">
        <v>23479</v>
      </c>
      <c r="G487">
        <v>4</v>
      </c>
      <c r="H487" t="s">
        <v>1802</v>
      </c>
      <c r="J487" t="s">
        <v>1803</v>
      </c>
      <c r="K487" t="s">
        <v>81</v>
      </c>
      <c r="L487" t="s">
        <v>33</v>
      </c>
      <c r="M487" t="s">
        <v>1812</v>
      </c>
      <c r="N487" t="s">
        <v>1825</v>
      </c>
      <c r="O487" t="s">
        <v>1826</v>
      </c>
      <c r="P487" s="2" t="s">
        <v>26</v>
      </c>
      <c r="Q487" t="s">
        <v>50</v>
      </c>
      <c r="R487">
        <v>1.53</v>
      </c>
      <c r="S487">
        <v>1.53</v>
      </c>
      <c r="T487" t="s">
        <v>1827</v>
      </c>
    </row>
    <row r="488" spans="1:20" x14ac:dyDescent="0.25">
      <c r="A488" s="1" t="str">
        <f>HYPERLINK("https://vegkart.atlas.vegvesen.no/#/@218549.3,6556066.0,18/hva:hva%5B0%5D%5Bfilter%5D%5B0%5D%5Boperator%5D=%21%3D&amp;hva%5B0%5D%5Bfilter%5D%5B0%5D%5Btype_id%5D=8922&amp;hva%5B0%5D%5Bfilter%5D%5B0%5D%5Bverdi%5D=&amp;hva%5B0%5D%5Bid%5D=451/når:2022-11-04", "Vegkart")</f>
        <v>Vegkart</v>
      </c>
      <c r="B488">
        <v>159552091</v>
      </c>
      <c r="C488">
        <v>451</v>
      </c>
      <c r="D488" t="s">
        <v>1801</v>
      </c>
      <c r="E488">
        <v>8922</v>
      </c>
      <c r="F488" t="s">
        <v>23479</v>
      </c>
      <c r="G488">
        <v>4</v>
      </c>
      <c r="H488" t="s">
        <v>1802</v>
      </c>
      <c r="J488" t="s">
        <v>1803</v>
      </c>
      <c r="K488" t="s">
        <v>81</v>
      </c>
      <c r="L488" t="s">
        <v>33</v>
      </c>
      <c r="M488" t="s">
        <v>1812</v>
      </c>
      <c r="N488" t="s">
        <v>1828</v>
      </c>
      <c r="O488" t="s">
        <v>1829</v>
      </c>
      <c r="P488" s="2" t="s">
        <v>26</v>
      </c>
      <c r="Q488" t="s">
        <v>50</v>
      </c>
      <c r="R488">
        <v>1.64</v>
      </c>
      <c r="S488">
        <v>1.64</v>
      </c>
      <c r="T488" t="s">
        <v>1830</v>
      </c>
    </row>
    <row r="489" spans="1:20" x14ac:dyDescent="0.25">
      <c r="A489" s="1" t="str">
        <f>HYPERLINK("https://vegkart.atlas.vegvesen.no/#/@218779.6,6556156.0,18/hva:hva%5B0%5D%5Bfilter%5D%5B0%5D%5Boperator%5D=%21%3D&amp;hva%5B0%5D%5Bfilter%5D%5B0%5D%5Btype_id%5D=8922&amp;hva%5B0%5D%5Bfilter%5D%5B0%5D%5Bverdi%5D=&amp;hva%5B0%5D%5Bid%5D=451/når:2022-11-04", "Vegkart")</f>
        <v>Vegkart</v>
      </c>
      <c r="B489">
        <v>159553285</v>
      </c>
      <c r="C489">
        <v>451</v>
      </c>
      <c r="D489" t="s">
        <v>1801</v>
      </c>
      <c r="E489">
        <v>8922</v>
      </c>
      <c r="F489" t="s">
        <v>23479</v>
      </c>
      <c r="G489">
        <v>3</v>
      </c>
      <c r="H489" t="s">
        <v>1802</v>
      </c>
      <c r="J489" t="s">
        <v>1803</v>
      </c>
      <c r="K489" t="s">
        <v>81</v>
      </c>
      <c r="L489" t="s">
        <v>33</v>
      </c>
      <c r="M489" t="s">
        <v>1812</v>
      </c>
      <c r="N489" t="s">
        <v>1831</v>
      </c>
      <c r="O489" t="s">
        <v>1832</v>
      </c>
      <c r="P489" s="2" t="s">
        <v>26</v>
      </c>
      <c r="Q489" t="s">
        <v>50</v>
      </c>
      <c r="R489">
        <v>2.1</v>
      </c>
      <c r="S489">
        <v>2.1</v>
      </c>
      <c r="T489" t="s">
        <v>1833</v>
      </c>
    </row>
    <row r="490" spans="1:20" x14ac:dyDescent="0.25">
      <c r="A490" s="1" t="str">
        <f>HYPERLINK("https://vegkart.atlas.vegvesen.no/#/@220007.5,6556373.4,18/hva:hva%5B0%5D%5Bfilter%5D%5B0%5D%5Boperator%5D=%21%3D&amp;hva%5B0%5D%5Bfilter%5D%5B0%5D%5Btype_id%5D=8922&amp;hva%5B0%5D%5Bfilter%5D%5B0%5D%5Bverdi%5D=&amp;hva%5B0%5D%5Bid%5D=451/når:2022-11-04", "Vegkart")</f>
        <v>Vegkart</v>
      </c>
      <c r="B490">
        <v>159553314</v>
      </c>
      <c r="C490">
        <v>451</v>
      </c>
      <c r="D490" t="s">
        <v>1801</v>
      </c>
      <c r="E490">
        <v>8922</v>
      </c>
      <c r="F490" t="s">
        <v>23479</v>
      </c>
      <c r="G490">
        <v>3</v>
      </c>
      <c r="H490" t="s">
        <v>1802</v>
      </c>
      <c r="J490" t="s">
        <v>1803</v>
      </c>
      <c r="K490" t="s">
        <v>81</v>
      </c>
      <c r="L490" t="s">
        <v>33</v>
      </c>
      <c r="M490" t="s">
        <v>1812</v>
      </c>
      <c r="N490" t="s">
        <v>1834</v>
      </c>
      <c r="O490" t="s">
        <v>1835</v>
      </c>
      <c r="P490" s="2" t="s">
        <v>26</v>
      </c>
      <c r="Q490" t="s">
        <v>50</v>
      </c>
      <c r="R490">
        <v>1.37</v>
      </c>
      <c r="S490">
        <v>1.37</v>
      </c>
      <c r="T490" t="s">
        <v>1836</v>
      </c>
    </row>
    <row r="491" spans="1:20" x14ac:dyDescent="0.25">
      <c r="A491" s="1" t="str">
        <f>HYPERLINK("https://vegkart.atlas.vegvesen.no/#/@221102.9,6556874.3,18/hva:hva%5B0%5D%5Bfilter%5D%5B0%5D%5Boperator%5D=%21%3D&amp;hva%5B0%5D%5Bfilter%5D%5B0%5D%5Btype_id%5D=8922&amp;hva%5B0%5D%5Bfilter%5D%5B0%5D%5Bverdi%5D=&amp;hva%5B0%5D%5Bid%5D=451/når:2022-11-04", "Vegkart")</f>
        <v>Vegkart</v>
      </c>
      <c r="B491">
        <v>159553368</v>
      </c>
      <c r="C491">
        <v>451</v>
      </c>
      <c r="D491" t="s">
        <v>1801</v>
      </c>
      <c r="E491">
        <v>8922</v>
      </c>
      <c r="F491" t="s">
        <v>23479</v>
      </c>
      <c r="G491">
        <v>4</v>
      </c>
      <c r="H491" t="s">
        <v>1802</v>
      </c>
      <c r="J491" t="s">
        <v>1803</v>
      </c>
      <c r="K491" t="s">
        <v>81</v>
      </c>
      <c r="L491" t="s">
        <v>33</v>
      </c>
      <c r="M491" t="s">
        <v>1812</v>
      </c>
      <c r="N491" t="s">
        <v>1837</v>
      </c>
      <c r="O491" t="s">
        <v>1838</v>
      </c>
      <c r="P491" s="2" t="s">
        <v>26</v>
      </c>
      <c r="Q491" t="s">
        <v>50</v>
      </c>
      <c r="R491">
        <v>1.33</v>
      </c>
      <c r="S491">
        <v>1.33</v>
      </c>
      <c r="T491" t="s">
        <v>1839</v>
      </c>
    </row>
    <row r="492" spans="1:20" x14ac:dyDescent="0.25">
      <c r="A492" s="1" t="str">
        <f>HYPERLINK("https://vegkart.atlas.vegvesen.no/#/@221178.3,6556882.1,18/hva:hva%5B0%5D%5Bfilter%5D%5B0%5D%5Boperator%5D=%21%3D&amp;hva%5B0%5D%5Bfilter%5D%5B0%5D%5Btype_id%5D=8922&amp;hva%5B0%5D%5Bfilter%5D%5B0%5D%5Bverdi%5D=&amp;hva%5B0%5D%5Bid%5D=451/når:2022-11-04", "Vegkart")</f>
        <v>Vegkart</v>
      </c>
      <c r="B492">
        <v>159553372</v>
      </c>
      <c r="C492">
        <v>451</v>
      </c>
      <c r="D492" t="s">
        <v>1801</v>
      </c>
      <c r="E492">
        <v>8922</v>
      </c>
      <c r="F492" t="s">
        <v>23479</v>
      </c>
      <c r="G492">
        <v>4</v>
      </c>
      <c r="H492" t="s">
        <v>1802</v>
      </c>
      <c r="J492" t="s">
        <v>1803</v>
      </c>
      <c r="K492" t="s">
        <v>81</v>
      </c>
      <c r="L492" t="s">
        <v>33</v>
      </c>
      <c r="M492" t="s">
        <v>1812</v>
      </c>
      <c r="N492" t="s">
        <v>1840</v>
      </c>
      <c r="O492" t="s">
        <v>1841</v>
      </c>
      <c r="P492" s="2" t="s">
        <v>26</v>
      </c>
      <c r="Q492" t="s">
        <v>50</v>
      </c>
      <c r="R492">
        <v>1.08</v>
      </c>
      <c r="S492">
        <v>1.08</v>
      </c>
      <c r="T492" t="s">
        <v>1842</v>
      </c>
    </row>
    <row r="493" spans="1:20" x14ac:dyDescent="0.25">
      <c r="A493" s="1" t="str">
        <f>HYPERLINK("https://vegkart.atlas.vegvesen.no/#/@221605.7,6557082.9,18/hva:hva%5B0%5D%5Bfilter%5D%5B0%5D%5Boperator%5D=%21%3D&amp;hva%5B0%5D%5Bfilter%5D%5B0%5D%5Btype_id%5D=8922&amp;hva%5B0%5D%5Bfilter%5D%5B0%5D%5Bverdi%5D=&amp;hva%5B0%5D%5Bid%5D=451/når:2022-11-04", "Vegkart")</f>
        <v>Vegkart</v>
      </c>
      <c r="B493">
        <v>159553385</v>
      </c>
      <c r="C493">
        <v>451</v>
      </c>
      <c r="D493" t="s">
        <v>1801</v>
      </c>
      <c r="E493">
        <v>8922</v>
      </c>
      <c r="F493" t="s">
        <v>23479</v>
      </c>
      <c r="G493">
        <v>4</v>
      </c>
      <c r="H493" t="s">
        <v>1802</v>
      </c>
      <c r="J493" t="s">
        <v>1803</v>
      </c>
      <c r="K493" t="s">
        <v>81</v>
      </c>
      <c r="L493" t="s">
        <v>33</v>
      </c>
      <c r="M493" t="s">
        <v>1812</v>
      </c>
      <c r="N493" t="s">
        <v>1843</v>
      </c>
      <c r="O493" t="s">
        <v>1844</v>
      </c>
      <c r="P493" s="2" t="s">
        <v>26</v>
      </c>
      <c r="Q493" t="s">
        <v>50</v>
      </c>
      <c r="R493">
        <v>1.63</v>
      </c>
      <c r="S493">
        <v>1.63</v>
      </c>
      <c r="T493" t="s">
        <v>1845</v>
      </c>
    </row>
    <row r="494" spans="1:20" x14ac:dyDescent="0.25">
      <c r="A494" s="1" t="str">
        <f>HYPERLINK("https://vegkart.atlas.vegvesen.no/#/@221962.0,6557156.1,18/hva:hva%5B0%5D%5Bfilter%5D%5B0%5D%5Boperator%5D=%21%3D&amp;hva%5B0%5D%5Bfilter%5D%5B0%5D%5Btype_id%5D=8922&amp;hva%5B0%5D%5Bfilter%5D%5B0%5D%5Bverdi%5D=&amp;hva%5B0%5D%5Bid%5D=451/når:2022-11-04", "Vegkart")</f>
        <v>Vegkart</v>
      </c>
      <c r="B494">
        <v>159553391</v>
      </c>
      <c r="C494">
        <v>451</v>
      </c>
      <c r="D494" t="s">
        <v>1801</v>
      </c>
      <c r="E494">
        <v>8922</v>
      </c>
      <c r="F494" t="s">
        <v>23479</v>
      </c>
      <c r="G494">
        <v>4</v>
      </c>
      <c r="H494" t="s">
        <v>1802</v>
      </c>
      <c r="J494" t="s">
        <v>1803</v>
      </c>
      <c r="K494" t="s">
        <v>81</v>
      </c>
      <c r="L494" t="s">
        <v>33</v>
      </c>
      <c r="M494" t="s">
        <v>1812</v>
      </c>
      <c r="N494" t="s">
        <v>1846</v>
      </c>
      <c r="O494" t="s">
        <v>1847</v>
      </c>
      <c r="P494" s="2" t="s">
        <v>26</v>
      </c>
      <c r="Q494" t="s">
        <v>50</v>
      </c>
      <c r="R494">
        <v>1.08</v>
      </c>
      <c r="S494">
        <v>1.08</v>
      </c>
      <c r="T494" t="s">
        <v>1848</v>
      </c>
    </row>
    <row r="495" spans="1:20" x14ac:dyDescent="0.25">
      <c r="A495" s="1" t="str">
        <f>HYPERLINK("https://vegkart.atlas.vegvesen.no/#/@222044.3,6557152.2,18/hva:hva%5B0%5D%5Bfilter%5D%5B0%5D%5Boperator%5D=%21%3D&amp;hva%5B0%5D%5Bfilter%5D%5B0%5D%5Btype_id%5D=8922&amp;hva%5B0%5D%5Bfilter%5D%5B0%5D%5Bverdi%5D=&amp;hva%5B0%5D%5Bid%5D=451/når:2022-11-04", "Vegkart")</f>
        <v>Vegkart</v>
      </c>
      <c r="B495">
        <v>159553396</v>
      </c>
      <c r="C495">
        <v>451</v>
      </c>
      <c r="D495" t="s">
        <v>1801</v>
      </c>
      <c r="E495">
        <v>8922</v>
      </c>
      <c r="F495" t="s">
        <v>23479</v>
      </c>
      <c r="G495">
        <v>4</v>
      </c>
      <c r="H495" t="s">
        <v>1802</v>
      </c>
      <c r="J495" t="s">
        <v>1803</v>
      </c>
      <c r="K495" t="s">
        <v>81</v>
      </c>
      <c r="L495" t="s">
        <v>33</v>
      </c>
      <c r="M495" t="s">
        <v>1812</v>
      </c>
      <c r="N495" t="s">
        <v>1849</v>
      </c>
      <c r="O495" t="s">
        <v>1850</v>
      </c>
      <c r="P495" s="2" t="s">
        <v>26</v>
      </c>
      <c r="Q495" t="s">
        <v>50</v>
      </c>
      <c r="R495">
        <v>1.43</v>
      </c>
      <c r="S495">
        <v>1.43</v>
      </c>
      <c r="T495" t="s">
        <v>1851</v>
      </c>
    </row>
    <row r="496" spans="1:20" x14ac:dyDescent="0.25">
      <c r="A496" s="1" t="str">
        <f>HYPERLINK("https://vegkart.atlas.vegvesen.no/#/@222253.9,6557179.8,18/hva:hva%5B0%5D%5Bfilter%5D%5B0%5D%5Boperator%5D=%21%3D&amp;hva%5B0%5D%5Bfilter%5D%5B0%5D%5Btype_id%5D=8922&amp;hva%5B0%5D%5Bfilter%5D%5B0%5D%5Bverdi%5D=&amp;hva%5B0%5D%5Bid%5D=451/når:2022-11-04", "Vegkart")</f>
        <v>Vegkart</v>
      </c>
      <c r="B496">
        <v>159553418</v>
      </c>
      <c r="C496">
        <v>451</v>
      </c>
      <c r="D496" t="s">
        <v>1801</v>
      </c>
      <c r="E496">
        <v>8922</v>
      </c>
      <c r="F496" t="s">
        <v>23479</v>
      </c>
      <c r="G496">
        <v>4</v>
      </c>
      <c r="H496" t="s">
        <v>1802</v>
      </c>
      <c r="J496" t="s">
        <v>1803</v>
      </c>
      <c r="K496" t="s">
        <v>81</v>
      </c>
      <c r="L496" t="s">
        <v>33</v>
      </c>
      <c r="M496" t="s">
        <v>1812</v>
      </c>
      <c r="N496" t="s">
        <v>1852</v>
      </c>
      <c r="O496" t="s">
        <v>1853</v>
      </c>
      <c r="P496" s="2" t="s">
        <v>26</v>
      </c>
      <c r="Q496" t="s">
        <v>50</v>
      </c>
      <c r="R496">
        <v>1.07</v>
      </c>
      <c r="S496">
        <v>1.07</v>
      </c>
      <c r="T496" t="s">
        <v>1854</v>
      </c>
    </row>
    <row r="497" spans="1:20" x14ac:dyDescent="0.25">
      <c r="A497" s="1" t="str">
        <f>HYPERLINK("https://vegkart.atlas.vegvesen.no/#/@222256.6,6557158.5,18/hva:hva%5B0%5D%5Bfilter%5D%5B0%5D%5Boperator%5D=%21%3D&amp;hva%5B0%5D%5Bfilter%5D%5B0%5D%5Btype_id%5D=8922&amp;hva%5B0%5D%5Bfilter%5D%5B0%5D%5Bverdi%5D=&amp;hva%5B0%5D%5Bid%5D=451/når:2022-11-04", "Vegkart")</f>
        <v>Vegkart</v>
      </c>
      <c r="B497">
        <v>159553419</v>
      </c>
      <c r="C497">
        <v>451</v>
      </c>
      <c r="D497" t="s">
        <v>1801</v>
      </c>
      <c r="E497">
        <v>8922</v>
      </c>
      <c r="F497" t="s">
        <v>23479</v>
      </c>
      <c r="G497">
        <v>3</v>
      </c>
      <c r="H497" t="s">
        <v>1802</v>
      </c>
      <c r="J497" t="s">
        <v>1803</v>
      </c>
      <c r="K497" t="s">
        <v>81</v>
      </c>
      <c r="L497" t="s">
        <v>33</v>
      </c>
      <c r="M497" t="s">
        <v>1812</v>
      </c>
      <c r="N497" t="s">
        <v>1855</v>
      </c>
      <c r="O497" t="s">
        <v>1856</v>
      </c>
      <c r="P497" s="2" t="s">
        <v>26</v>
      </c>
      <c r="Q497" t="s">
        <v>50</v>
      </c>
      <c r="R497">
        <v>1.0900000000000001</v>
      </c>
      <c r="S497">
        <v>1.0900000000000001</v>
      </c>
      <c r="T497" t="s">
        <v>1857</v>
      </c>
    </row>
    <row r="498" spans="1:20" x14ac:dyDescent="0.25">
      <c r="A498" s="1" t="str">
        <f>HYPERLINK("https://vegkart.atlas.vegvesen.no/#/@222657.9,6557238.2,18/hva:hva%5B0%5D%5Bfilter%5D%5B0%5D%5Boperator%5D=%21%3D&amp;hva%5B0%5D%5Bfilter%5D%5B0%5D%5Btype_id%5D=8922&amp;hva%5B0%5D%5Bfilter%5D%5B0%5D%5Bverdi%5D=&amp;hva%5B0%5D%5Bid%5D=451/når:2022-11-04", "Vegkart")</f>
        <v>Vegkart</v>
      </c>
      <c r="B498">
        <v>159558749</v>
      </c>
      <c r="C498">
        <v>451</v>
      </c>
      <c r="D498" t="s">
        <v>1801</v>
      </c>
      <c r="E498">
        <v>8922</v>
      </c>
      <c r="F498" t="s">
        <v>23479</v>
      </c>
      <c r="G498">
        <v>3</v>
      </c>
      <c r="H498" t="s">
        <v>1802</v>
      </c>
      <c r="J498" t="s">
        <v>1803</v>
      </c>
      <c r="K498" t="s">
        <v>81</v>
      </c>
      <c r="L498" t="s">
        <v>33</v>
      </c>
      <c r="M498" t="s">
        <v>1812</v>
      </c>
      <c r="N498" t="s">
        <v>1858</v>
      </c>
      <c r="O498" t="s">
        <v>1859</v>
      </c>
      <c r="P498" s="2" t="s">
        <v>26</v>
      </c>
      <c r="Q498" t="s">
        <v>50</v>
      </c>
      <c r="R498">
        <v>1.2</v>
      </c>
      <c r="S498">
        <v>1.2</v>
      </c>
      <c r="T498" t="s">
        <v>1860</v>
      </c>
    </row>
    <row r="499" spans="1:20" x14ac:dyDescent="0.25">
      <c r="A499" s="1" t="str">
        <f>HYPERLINK("https://vegkart.atlas.vegvesen.no/#/@223859.5,6557021.3,18/hva:hva%5B0%5D%5Bfilter%5D%5B0%5D%5Boperator%5D=%21%3D&amp;hva%5B0%5D%5Bfilter%5D%5B0%5D%5Btype_id%5D=8922&amp;hva%5B0%5D%5Bfilter%5D%5B0%5D%5Bverdi%5D=&amp;hva%5B0%5D%5Bid%5D=451/når:2022-11-04", "Vegkart")</f>
        <v>Vegkart</v>
      </c>
      <c r="B499">
        <v>159558760</v>
      </c>
      <c r="C499">
        <v>451</v>
      </c>
      <c r="D499" t="s">
        <v>1801</v>
      </c>
      <c r="E499">
        <v>8922</v>
      </c>
      <c r="F499" t="s">
        <v>23479</v>
      </c>
      <c r="G499">
        <v>3</v>
      </c>
      <c r="H499" t="s">
        <v>1802</v>
      </c>
      <c r="J499" t="s">
        <v>1803</v>
      </c>
      <c r="K499" t="s">
        <v>81</v>
      </c>
      <c r="L499" t="s">
        <v>33</v>
      </c>
      <c r="M499" t="s">
        <v>1812</v>
      </c>
      <c r="N499" t="s">
        <v>1861</v>
      </c>
      <c r="O499" t="s">
        <v>1862</v>
      </c>
      <c r="P499" s="2" t="s">
        <v>26</v>
      </c>
      <c r="Q499" t="s">
        <v>50</v>
      </c>
      <c r="R499">
        <v>1.1299999999999999</v>
      </c>
      <c r="S499">
        <v>1.1299999999999999</v>
      </c>
      <c r="T499" t="s">
        <v>1863</v>
      </c>
    </row>
    <row r="500" spans="1:20" x14ac:dyDescent="0.25">
      <c r="A500" s="1" t="str">
        <f>HYPERLINK("https://vegkart.atlas.vegvesen.no/#/@224577.4,6557593.4,18/hva:hva%5B0%5D%5Bfilter%5D%5B0%5D%5Boperator%5D=%21%3D&amp;hva%5B0%5D%5Bfilter%5D%5B0%5D%5Btype_id%5D=8922&amp;hva%5B0%5D%5Bfilter%5D%5B0%5D%5Bverdi%5D=&amp;hva%5B0%5D%5Bid%5D=451/når:2023-12-18", "Vegkart")</f>
        <v>Vegkart</v>
      </c>
      <c r="B500">
        <v>159558775</v>
      </c>
      <c r="C500">
        <v>451</v>
      </c>
      <c r="D500" t="s">
        <v>1801</v>
      </c>
      <c r="E500">
        <v>8922</v>
      </c>
      <c r="F500" t="s">
        <v>23479</v>
      </c>
      <c r="G500">
        <v>4</v>
      </c>
      <c r="H500" t="s">
        <v>1864</v>
      </c>
      <c r="J500" t="s">
        <v>1803</v>
      </c>
      <c r="K500" t="s">
        <v>81</v>
      </c>
      <c r="L500" t="s">
        <v>33</v>
      </c>
      <c r="M500" t="s">
        <v>1812</v>
      </c>
      <c r="N500" t="s">
        <v>1865</v>
      </c>
      <c r="O500" t="s">
        <v>1866</v>
      </c>
      <c r="P500" s="2" t="s">
        <v>26</v>
      </c>
      <c r="Q500" t="s">
        <v>50</v>
      </c>
      <c r="R500">
        <v>1.63</v>
      </c>
      <c r="S500">
        <v>1.63</v>
      </c>
      <c r="T500" t="s">
        <v>1867</v>
      </c>
    </row>
    <row r="501" spans="1:20" x14ac:dyDescent="0.25">
      <c r="A501" s="1" t="str">
        <f>HYPERLINK("https://vegkart.atlas.vegvesen.no/#/@224672.8,6557713.3,18/hva:hva%5B0%5D%5Bfilter%5D%5B0%5D%5Boperator%5D=%21%3D&amp;hva%5B0%5D%5Bfilter%5D%5B0%5D%5Btype_id%5D=8922&amp;hva%5B0%5D%5Bfilter%5D%5B0%5D%5Bverdi%5D=&amp;hva%5B0%5D%5Bid%5D=451/når:2022-11-04", "Vegkart")</f>
        <v>Vegkart</v>
      </c>
      <c r="B501">
        <v>159559300</v>
      </c>
      <c r="C501">
        <v>451</v>
      </c>
      <c r="D501" t="s">
        <v>1801</v>
      </c>
      <c r="E501">
        <v>8922</v>
      </c>
      <c r="F501" t="s">
        <v>23479</v>
      </c>
      <c r="G501">
        <v>4</v>
      </c>
      <c r="H501" t="s">
        <v>1802</v>
      </c>
      <c r="J501" t="s">
        <v>1803</v>
      </c>
      <c r="K501" t="s">
        <v>81</v>
      </c>
      <c r="L501" t="s">
        <v>33</v>
      </c>
      <c r="M501" t="s">
        <v>1812</v>
      </c>
      <c r="N501" t="s">
        <v>1868</v>
      </c>
      <c r="O501" t="s">
        <v>1869</v>
      </c>
      <c r="P501" s="2" t="s">
        <v>26</v>
      </c>
      <c r="Q501" t="s">
        <v>50</v>
      </c>
      <c r="R501">
        <v>1.52</v>
      </c>
      <c r="S501">
        <v>1.52</v>
      </c>
      <c r="T501" t="s">
        <v>1870</v>
      </c>
    </row>
    <row r="502" spans="1:20" x14ac:dyDescent="0.25">
      <c r="A502" s="1" t="str">
        <f>HYPERLINK("https://vegkart.atlas.vegvesen.no/#/@224852.8,6557998.8,18/hva:hva%5B0%5D%5Bfilter%5D%5B0%5D%5Boperator%5D=%21%3D&amp;hva%5B0%5D%5Bfilter%5D%5B0%5D%5Btype_id%5D=8922&amp;hva%5B0%5D%5Bfilter%5D%5B0%5D%5Bverdi%5D=&amp;hva%5B0%5D%5Bid%5D=451/når:2022-11-04", "Vegkart")</f>
        <v>Vegkart</v>
      </c>
      <c r="B502">
        <v>159559308</v>
      </c>
      <c r="C502">
        <v>451</v>
      </c>
      <c r="D502" t="s">
        <v>1801</v>
      </c>
      <c r="E502">
        <v>8922</v>
      </c>
      <c r="F502" t="s">
        <v>23479</v>
      </c>
      <c r="G502">
        <v>4</v>
      </c>
      <c r="H502" t="s">
        <v>1802</v>
      </c>
      <c r="J502" t="s">
        <v>1803</v>
      </c>
      <c r="K502" t="s">
        <v>81</v>
      </c>
      <c r="L502" t="s">
        <v>33</v>
      </c>
      <c r="M502" t="s">
        <v>1812</v>
      </c>
      <c r="N502" t="s">
        <v>1871</v>
      </c>
      <c r="O502" t="s">
        <v>1872</v>
      </c>
      <c r="P502" s="2" t="s">
        <v>26</v>
      </c>
      <c r="Q502" t="s">
        <v>50</v>
      </c>
      <c r="R502">
        <v>0.89</v>
      </c>
      <c r="S502">
        <v>0.89</v>
      </c>
      <c r="T502" t="s">
        <v>1873</v>
      </c>
    </row>
    <row r="503" spans="1:20" x14ac:dyDescent="0.25">
      <c r="A503" s="1" t="str">
        <f>HYPERLINK("https://vegkart.atlas.vegvesen.no/#/@224944.6,6558010.2,18/hva:hva%5B0%5D%5Bfilter%5D%5B0%5D%5Boperator%5D=%21%3D&amp;hva%5B0%5D%5Bfilter%5D%5B0%5D%5Btype_id%5D=8922&amp;hva%5B0%5D%5Bfilter%5D%5B0%5D%5Bverdi%5D=&amp;hva%5B0%5D%5Bid%5D=451/når:2024-01-23", "Vegkart")</f>
        <v>Vegkart</v>
      </c>
      <c r="B503">
        <v>159559317</v>
      </c>
      <c r="C503">
        <v>451</v>
      </c>
      <c r="D503" t="s">
        <v>1801</v>
      </c>
      <c r="E503">
        <v>8922</v>
      </c>
      <c r="F503" t="s">
        <v>23479</v>
      </c>
      <c r="G503">
        <v>5</v>
      </c>
      <c r="H503" t="s">
        <v>1874</v>
      </c>
      <c r="J503" t="s">
        <v>1803</v>
      </c>
      <c r="K503" t="s">
        <v>81</v>
      </c>
      <c r="L503" t="s">
        <v>33</v>
      </c>
      <c r="M503" t="s">
        <v>1812</v>
      </c>
      <c r="N503" t="s">
        <v>1875</v>
      </c>
      <c r="O503" t="s">
        <v>1876</v>
      </c>
      <c r="P503" s="2" t="s">
        <v>26</v>
      </c>
      <c r="Q503" t="s">
        <v>50</v>
      </c>
      <c r="R503">
        <v>1.24</v>
      </c>
      <c r="S503">
        <v>1.24</v>
      </c>
      <c r="T503" t="s">
        <v>1877</v>
      </c>
    </row>
    <row r="504" spans="1:20" x14ac:dyDescent="0.25">
      <c r="A504" s="1" t="str">
        <f>HYPERLINK("https://vegkart.atlas.vegvesen.no/#/@225069.6,6558519.8,18/hva:hva%5B0%5D%5Bfilter%5D%5B0%5D%5Boperator%5D=%21%3D&amp;hva%5B0%5D%5Bfilter%5D%5B0%5D%5Btype_id%5D=8922&amp;hva%5B0%5D%5Bfilter%5D%5B0%5D%5Bverdi%5D=&amp;hva%5B0%5D%5Bid%5D=451/når:2024-01-23", "Vegkart")</f>
        <v>Vegkart</v>
      </c>
      <c r="B504">
        <v>159559334</v>
      </c>
      <c r="C504">
        <v>451</v>
      </c>
      <c r="D504" t="s">
        <v>1801</v>
      </c>
      <c r="E504">
        <v>8922</v>
      </c>
      <c r="F504" t="s">
        <v>23479</v>
      </c>
      <c r="G504">
        <v>5</v>
      </c>
      <c r="H504" t="s">
        <v>1874</v>
      </c>
      <c r="J504" t="s">
        <v>1803</v>
      </c>
      <c r="K504" t="s">
        <v>81</v>
      </c>
      <c r="L504" t="s">
        <v>33</v>
      </c>
      <c r="M504" t="s">
        <v>1812</v>
      </c>
      <c r="N504" t="s">
        <v>1878</v>
      </c>
      <c r="O504" t="s">
        <v>1879</v>
      </c>
      <c r="P504" s="2" t="s">
        <v>26</v>
      </c>
      <c r="Q504" t="s">
        <v>50</v>
      </c>
      <c r="R504">
        <v>2.0499999999999998</v>
      </c>
      <c r="S504">
        <v>2.0499999999999998</v>
      </c>
      <c r="T504" t="s">
        <v>1880</v>
      </c>
    </row>
    <row r="505" spans="1:20" x14ac:dyDescent="0.25">
      <c r="A505" s="1" t="str">
        <f>HYPERLINK("https://vegkart.atlas.vegvesen.no/#/@226052.2,6560577.9,18/hva:hva%5B0%5D%5Bfilter%5D%5B0%5D%5Boperator%5D=%21%3D&amp;hva%5B0%5D%5Bfilter%5D%5B0%5D%5Btype_id%5D=8922&amp;hva%5B0%5D%5Bfilter%5D%5B0%5D%5Bverdi%5D=&amp;hva%5B0%5D%5Bid%5D=451/når:2024-02-15", "Vegkart")</f>
        <v>Vegkart</v>
      </c>
      <c r="B505">
        <v>159559373</v>
      </c>
      <c r="C505">
        <v>451</v>
      </c>
      <c r="D505" t="s">
        <v>1801</v>
      </c>
      <c r="E505">
        <v>8922</v>
      </c>
      <c r="F505" t="s">
        <v>23479</v>
      </c>
      <c r="G505">
        <v>5</v>
      </c>
      <c r="H505" t="s">
        <v>516</v>
      </c>
      <c r="J505" t="s">
        <v>1803</v>
      </c>
      <c r="K505" t="s">
        <v>81</v>
      </c>
      <c r="L505" t="s">
        <v>33</v>
      </c>
      <c r="M505" t="s">
        <v>1812</v>
      </c>
      <c r="N505" t="s">
        <v>1881</v>
      </c>
      <c r="O505" t="s">
        <v>1882</v>
      </c>
      <c r="P505" s="2" t="s">
        <v>26</v>
      </c>
      <c r="Q505" t="s">
        <v>50</v>
      </c>
      <c r="R505">
        <v>0.94</v>
      </c>
      <c r="S505">
        <v>0.94</v>
      </c>
      <c r="T505" t="s">
        <v>1883</v>
      </c>
    </row>
    <row r="506" spans="1:20" x14ac:dyDescent="0.25">
      <c r="A506" s="1" t="str">
        <f>HYPERLINK("https://vegkart.atlas.vegvesen.no/#/@230894.3,6575683.8,18/hva:hva%5B0%5D%5Bfilter%5D%5B0%5D%5Boperator%5D=%21%3D&amp;hva%5B0%5D%5Bfilter%5D%5B0%5D%5Btype_id%5D=8922&amp;hva%5B0%5D%5Bfilter%5D%5B0%5D%5Bverdi%5D=&amp;hva%5B0%5D%5Bid%5D=451/når:2022-11-04", "Vegkart")</f>
        <v>Vegkart</v>
      </c>
      <c r="B506">
        <v>159572262</v>
      </c>
      <c r="C506">
        <v>451</v>
      </c>
      <c r="D506" t="s">
        <v>1801</v>
      </c>
      <c r="E506">
        <v>8922</v>
      </c>
      <c r="F506" t="s">
        <v>23479</v>
      </c>
      <c r="G506">
        <v>3</v>
      </c>
      <c r="H506" t="s">
        <v>1802</v>
      </c>
      <c r="J506" t="s">
        <v>1803</v>
      </c>
      <c r="K506" t="s">
        <v>81</v>
      </c>
      <c r="L506" t="s">
        <v>33</v>
      </c>
      <c r="M506" t="s">
        <v>1884</v>
      </c>
      <c r="N506" t="s">
        <v>1885</v>
      </c>
      <c r="O506" t="s">
        <v>1886</v>
      </c>
      <c r="P506" s="2" t="s">
        <v>26</v>
      </c>
      <c r="Q506" t="s">
        <v>50</v>
      </c>
      <c r="R506">
        <v>2.3199999999999998</v>
      </c>
      <c r="S506">
        <v>2.3199999999999998</v>
      </c>
      <c r="T506" t="s">
        <v>1887</v>
      </c>
    </row>
    <row r="507" spans="1:20" x14ac:dyDescent="0.25">
      <c r="A507" s="1" t="str">
        <f>HYPERLINK("https://vegkart.atlas.vegvesen.no/#/@232352.0,6572069.8,18/hva:hva%5B0%5D%5Bfilter%5D%5B0%5D%5Boperator%5D=%21%3D&amp;hva%5B0%5D%5Bfilter%5D%5B0%5D%5Btype_id%5D=8922&amp;hva%5B0%5D%5Bfilter%5D%5B0%5D%5Bverdi%5D=&amp;hva%5B0%5D%5Bid%5D=451/når:2024-08-02", "Vegkart")</f>
        <v>Vegkart</v>
      </c>
      <c r="B507">
        <v>159612883</v>
      </c>
      <c r="C507">
        <v>451</v>
      </c>
      <c r="D507" t="s">
        <v>1801</v>
      </c>
      <c r="E507">
        <v>8922</v>
      </c>
      <c r="F507" t="s">
        <v>23479</v>
      </c>
      <c r="G507">
        <v>4</v>
      </c>
      <c r="H507" t="s">
        <v>1888</v>
      </c>
      <c r="J507" t="s">
        <v>1803</v>
      </c>
      <c r="K507" t="s">
        <v>81</v>
      </c>
      <c r="L507" t="s">
        <v>33</v>
      </c>
      <c r="M507" t="s">
        <v>1812</v>
      </c>
      <c r="N507" t="s">
        <v>1889</v>
      </c>
      <c r="O507" t="s">
        <v>1890</v>
      </c>
      <c r="P507" s="2" t="s">
        <v>26</v>
      </c>
      <c r="Q507" t="s">
        <v>50</v>
      </c>
      <c r="R507">
        <v>4.2699999999999996</v>
      </c>
      <c r="S507">
        <v>4.2699999999999996</v>
      </c>
      <c r="T507" t="s">
        <v>1891</v>
      </c>
    </row>
    <row r="508" spans="1:20" x14ac:dyDescent="0.25">
      <c r="A508" s="1" t="str">
        <f>HYPERLINK("https://vegkart.atlas.vegvesen.no/#/@204826.9,6548357.5,18/hva:hva%5B0%5D%5Bfilter%5D%5B0%5D%5Boperator%5D=%21%3D&amp;hva%5B0%5D%5Bfilter%5D%5B0%5D%5Btype_id%5D=8922&amp;hva%5B0%5D%5Bfilter%5D%5B0%5D%5Bverdi%5D=&amp;hva%5B0%5D%5Bid%5D=451/når:2022-11-04", "Vegkart")</f>
        <v>Vegkart</v>
      </c>
      <c r="B508">
        <v>168807700</v>
      </c>
      <c r="C508">
        <v>451</v>
      </c>
      <c r="D508" t="s">
        <v>1801</v>
      </c>
      <c r="E508">
        <v>8922</v>
      </c>
      <c r="F508" t="s">
        <v>23479</v>
      </c>
      <c r="G508">
        <v>4</v>
      </c>
      <c r="H508" t="s">
        <v>1802</v>
      </c>
      <c r="J508" t="s">
        <v>1803</v>
      </c>
      <c r="K508" t="s">
        <v>81</v>
      </c>
      <c r="L508" t="s">
        <v>33</v>
      </c>
      <c r="M508" t="s">
        <v>1892</v>
      </c>
      <c r="N508" t="s">
        <v>1893</v>
      </c>
      <c r="O508" t="s">
        <v>1894</v>
      </c>
      <c r="P508" s="2" t="s">
        <v>26</v>
      </c>
      <c r="Q508" t="s">
        <v>50</v>
      </c>
      <c r="R508">
        <v>5.57</v>
      </c>
      <c r="S508">
        <v>5.57</v>
      </c>
      <c r="T508" t="s">
        <v>1895</v>
      </c>
    </row>
    <row r="509" spans="1:20" x14ac:dyDescent="0.25">
      <c r="A509" s="1" t="str">
        <f>HYPERLINK("https://vegkart.atlas.vegvesen.no/#/@90613.5,6468339.2,18/hva:hva%5B0%5D%5Bfilter%5D%5B0%5D%5Boperator%5D=%21%3D&amp;hva%5B0%5D%5Bfilter%5D%5B0%5D%5Btype_id%5D=8922&amp;hva%5B0%5D%5Bfilter%5D%5B0%5D%5Bverdi%5D=&amp;hva%5B0%5D%5Bid%5D=451/når:2024-11-29", "Vegkart")</f>
        <v>Vegkart</v>
      </c>
      <c r="B509">
        <v>191365938</v>
      </c>
      <c r="C509">
        <v>451</v>
      </c>
      <c r="D509" t="s">
        <v>1801</v>
      </c>
      <c r="E509">
        <v>8922</v>
      </c>
      <c r="F509" t="s">
        <v>23479</v>
      </c>
      <c r="G509">
        <v>4</v>
      </c>
      <c r="H509" t="s">
        <v>1896</v>
      </c>
      <c r="J509" t="s">
        <v>1803</v>
      </c>
      <c r="K509" t="s">
        <v>86</v>
      </c>
      <c r="L509" t="s">
        <v>80</v>
      </c>
      <c r="M509" t="s">
        <v>53</v>
      </c>
      <c r="N509" t="s">
        <v>1897</v>
      </c>
      <c r="O509" t="s">
        <v>1898</v>
      </c>
      <c r="P509" s="2" t="s">
        <v>165</v>
      </c>
      <c r="Q509" t="s">
        <v>166</v>
      </c>
      <c r="R509">
        <v>0</v>
      </c>
      <c r="S509">
        <v>23.4</v>
      </c>
      <c r="T509" t="s">
        <v>167</v>
      </c>
    </row>
    <row r="510" spans="1:20" x14ac:dyDescent="0.25">
      <c r="A510" s="1" t="str">
        <f>HYPERLINK("https://vegkart.atlas.vegvesen.no/#/@193460.0,6572517.0,18/hva:hva%5B0%5D%5Bfilter%5D%5B0%5D%5Boperator%5D=%21%3D&amp;hva%5B0%5D%5Bfilter%5D%5B0%5D%5Btype_id%5D=8922&amp;hva%5B0%5D%5Bfilter%5D%5B0%5D%5Bverdi%5D=&amp;hva%5B0%5D%5Bid%5D=451/når:2022-11-04", "Vegkart")</f>
        <v>Vegkart</v>
      </c>
      <c r="B510">
        <v>212644712</v>
      </c>
      <c r="C510">
        <v>451</v>
      </c>
      <c r="D510" t="s">
        <v>1801</v>
      </c>
      <c r="E510">
        <v>8922</v>
      </c>
      <c r="F510" t="s">
        <v>23479</v>
      </c>
      <c r="G510">
        <v>4</v>
      </c>
      <c r="H510" t="s">
        <v>1802</v>
      </c>
      <c r="J510" t="s">
        <v>1803</v>
      </c>
      <c r="K510" t="s">
        <v>197</v>
      </c>
      <c r="L510" t="s">
        <v>33</v>
      </c>
      <c r="M510" t="s">
        <v>132</v>
      </c>
      <c r="N510" t="s">
        <v>1899</v>
      </c>
      <c r="O510" t="s">
        <v>1900</v>
      </c>
      <c r="P510" s="2" t="s">
        <v>26</v>
      </c>
      <c r="Q510" t="s">
        <v>50</v>
      </c>
      <c r="R510">
        <v>0.69</v>
      </c>
      <c r="S510">
        <v>0.69</v>
      </c>
      <c r="T510" t="s">
        <v>1901</v>
      </c>
    </row>
    <row r="511" spans="1:20" x14ac:dyDescent="0.25">
      <c r="A511" s="1" t="str">
        <f>HYPERLINK("https://vegkart.atlas.vegvesen.no/#/@191052.4,6574014.1,18/hva:hva%5B0%5D%5Bfilter%5D%5B0%5D%5Boperator%5D=%21%3D&amp;hva%5B0%5D%5Bfilter%5D%5B0%5D%5Btype_id%5D=8922&amp;hva%5B0%5D%5Bfilter%5D%5B0%5D%5Bverdi%5D=&amp;hva%5B0%5D%5Bid%5D=451/når:2022-11-04", "Vegkart")</f>
        <v>Vegkart</v>
      </c>
      <c r="B511">
        <v>212644713</v>
      </c>
      <c r="C511">
        <v>451</v>
      </c>
      <c r="D511" t="s">
        <v>1801</v>
      </c>
      <c r="E511">
        <v>8922</v>
      </c>
      <c r="F511" t="s">
        <v>23479</v>
      </c>
      <c r="G511">
        <v>4</v>
      </c>
      <c r="H511" t="s">
        <v>1802</v>
      </c>
      <c r="J511" t="s">
        <v>1803</v>
      </c>
      <c r="K511" t="s">
        <v>197</v>
      </c>
      <c r="L511" t="s">
        <v>33</v>
      </c>
      <c r="M511" t="s">
        <v>1902</v>
      </c>
      <c r="N511" t="s">
        <v>1903</v>
      </c>
      <c r="O511" t="s">
        <v>1904</v>
      </c>
      <c r="P511" s="2" t="s">
        <v>26</v>
      </c>
      <c r="Q511" t="s">
        <v>50</v>
      </c>
      <c r="R511">
        <v>0.97</v>
      </c>
      <c r="S511">
        <v>0.97</v>
      </c>
      <c r="T511" t="s">
        <v>1905</v>
      </c>
    </row>
    <row r="512" spans="1:20" x14ac:dyDescent="0.25">
      <c r="A512" s="1" t="str">
        <f>HYPERLINK("https://vegkart.atlas.vegvesen.no/#/@221180.2,6606055.6,18/hva:hva%5B0%5D%5Bfilter%5D%5B0%5D%5Boperator%5D=%21%3D&amp;hva%5B0%5D%5Bfilter%5D%5B0%5D%5Btype_id%5D=8922&amp;hva%5B0%5D%5Bfilter%5D%5B0%5D%5Bverdi%5D=&amp;hva%5B0%5D%5Bid%5D=451/når:2022-11-04", "Vegkart")</f>
        <v>Vegkart</v>
      </c>
      <c r="B512">
        <v>250667712</v>
      </c>
      <c r="C512">
        <v>451</v>
      </c>
      <c r="D512" t="s">
        <v>1801</v>
      </c>
      <c r="E512">
        <v>8922</v>
      </c>
      <c r="F512" t="s">
        <v>23479</v>
      </c>
      <c r="G512">
        <v>5</v>
      </c>
      <c r="H512" t="s">
        <v>1802</v>
      </c>
      <c r="J512" t="s">
        <v>1803</v>
      </c>
      <c r="K512" t="s">
        <v>81</v>
      </c>
      <c r="L512" t="s">
        <v>33</v>
      </c>
      <c r="M512" t="s">
        <v>132</v>
      </c>
      <c r="N512" t="s">
        <v>1906</v>
      </c>
      <c r="O512" t="s">
        <v>1907</v>
      </c>
      <c r="P512" s="2" t="s">
        <v>26</v>
      </c>
      <c r="Q512" t="s">
        <v>50</v>
      </c>
      <c r="R512">
        <v>1.1100000000000001</v>
      </c>
      <c r="S512">
        <v>1.1100000000000001</v>
      </c>
      <c r="T512" t="s">
        <v>1908</v>
      </c>
    </row>
    <row r="513" spans="1:20" x14ac:dyDescent="0.25">
      <c r="A513" s="1" t="str">
        <f>HYPERLINK("https://vegkart.atlas.vegvesen.no/#/@242066.5,6597139.2,18/hva:hva%5B0%5D%5Bfilter%5D%5B0%5D%5Boperator%5D=%21%3D&amp;hva%5B0%5D%5Bfilter%5D%5B0%5D%5Btype_id%5D=8922&amp;hva%5B0%5D%5Bfilter%5D%5B0%5D%5Bverdi%5D=&amp;hva%5B0%5D%5Bid%5D=451/når:2022-11-04", "Vegkart")</f>
        <v>Vegkart</v>
      </c>
      <c r="B513">
        <v>279259962</v>
      </c>
      <c r="C513">
        <v>451</v>
      </c>
      <c r="D513" t="s">
        <v>1801</v>
      </c>
      <c r="E513">
        <v>8922</v>
      </c>
      <c r="F513" t="s">
        <v>23479</v>
      </c>
      <c r="G513">
        <v>3</v>
      </c>
      <c r="H513" t="s">
        <v>1802</v>
      </c>
      <c r="J513" t="s">
        <v>1803</v>
      </c>
      <c r="K513" t="s">
        <v>81</v>
      </c>
      <c r="L513" t="s">
        <v>33</v>
      </c>
      <c r="M513" t="s">
        <v>1909</v>
      </c>
      <c r="N513" t="s">
        <v>1910</v>
      </c>
      <c r="O513" t="s">
        <v>1911</v>
      </c>
      <c r="P513" s="2" t="s">
        <v>26</v>
      </c>
      <c r="Q513" t="s">
        <v>50</v>
      </c>
      <c r="R513">
        <v>11.76</v>
      </c>
      <c r="S513">
        <v>11.76</v>
      </c>
      <c r="T513" t="s">
        <v>1912</v>
      </c>
    </row>
    <row r="514" spans="1:20" x14ac:dyDescent="0.25">
      <c r="A514" s="1" t="str">
        <f>HYPERLINK("https://vegkart.atlas.vegvesen.no/#/@240481.1,6575212.2,18/hva:hva%5B0%5D%5Bfilter%5D%5B0%5D%5Boperator%5D=%21%3D&amp;hva%5B0%5D%5Bfilter%5D%5B0%5D%5Btype_id%5D=8922&amp;hva%5B0%5D%5Bfilter%5D%5B0%5D%5Bverdi%5D=&amp;hva%5B0%5D%5Bid%5D=451/når:2022-11-04", "Vegkart")</f>
        <v>Vegkart</v>
      </c>
      <c r="B514">
        <v>284718214</v>
      </c>
      <c r="C514">
        <v>451</v>
      </c>
      <c r="D514" t="s">
        <v>1801</v>
      </c>
      <c r="E514">
        <v>8922</v>
      </c>
      <c r="F514" t="s">
        <v>23479</v>
      </c>
      <c r="G514">
        <v>4</v>
      </c>
      <c r="H514" t="s">
        <v>1802</v>
      </c>
      <c r="J514" t="s">
        <v>1803</v>
      </c>
      <c r="K514" t="s">
        <v>81</v>
      </c>
      <c r="L514" t="s">
        <v>33</v>
      </c>
      <c r="M514" t="s">
        <v>1804</v>
      </c>
      <c r="N514" t="s">
        <v>1913</v>
      </c>
      <c r="O514" t="s">
        <v>1914</v>
      </c>
      <c r="P514" s="2" t="s">
        <v>26</v>
      </c>
      <c r="Q514" t="s">
        <v>50</v>
      </c>
      <c r="R514">
        <v>1.1200000000000001</v>
      </c>
      <c r="S514">
        <v>1.1200000000000001</v>
      </c>
      <c r="T514" t="s">
        <v>1915</v>
      </c>
    </row>
    <row r="515" spans="1:20" x14ac:dyDescent="0.25">
      <c r="A515" s="1" t="str">
        <f>HYPERLINK("https://vegkart.atlas.vegvesen.no/#/@241337.4,6579348.9,18/hva:hva%5B0%5D%5Bfilter%5D%5B0%5D%5Boperator%5D=%21%3D&amp;hva%5B0%5D%5Bfilter%5D%5B0%5D%5Btype_id%5D=8922&amp;hva%5B0%5D%5Bfilter%5D%5B0%5D%5Bverdi%5D=&amp;hva%5B0%5D%5Bid%5D=451/når:2022-11-04", "Vegkart")</f>
        <v>Vegkart</v>
      </c>
      <c r="B515">
        <v>286279044</v>
      </c>
      <c r="C515">
        <v>451</v>
      </c>
      <c r="D515" t="s">
        <v>1801</v>
      </c>
      <c r="E515">
        <v>8922</v>
      </c>
      <c r="F515" t="s">
        <v>23479</v>
      </c>
      <c r="G515">
        <v>3</v>
      </c>
      <c r="H515" t="s">
        <v>1802</v>
      </c>
      <c r="J515" t="s">
        <v>1803</v>
      </c>
      <c r="K515" t="s">
        <v>81</v>
      </c>
      <c r="L515" t="s">
        <v>33</v>
      </c>
      <c r="M515" t="s">
        <v>1916</v>
      </c>
      <c r="N515" t="s">
        <v>1917</v>
      </c>
      <c r="O515" t="s">
        <v>1918</v>
      </c>
      <c r="P515" s="2" t="s">
        <v>26</v>
      </c>
      <c r="Q515" t="s">
        <v>50</v>
      </c>
      <c r="R515">
        <v>3.1</v>
      </c>
      <c r="S515">
        <v>3.1</v>
      </c>
      <c r="T515" t="s">
        <v>1919</v>
      </c>
    </row>
    <row r="516" spans="1:20" x14ac:dyDescent="0.25">
      <c r="A516" s="1" t="str">
        <f>HYPERLINK("https://vegkart.atlas.vegvesen.no/#/@242045.6,6579136.1,18/hva:hva%5B0%5D%5Bfilter%5D%5B0%5D%5Boperator%5D=%21%3D&amp;hva%5B0%5D%5Bfilter%5D%5B0%5D%5Btype_id%5D=8922&amp;hva%5B0%5D%5Bfilter%5D%5B0%5D%5Bverdi%5D=&amp;hva%5B0%5D%5Bid%5D=451/når:2022-11-04", "Vegkart")</f>
        <v>Vegkart</v>
      </c>
      <c r="B516">
        <v>286279133</v>
      </c>
      <c r="C516">
        <v>451</v>
      </c>
      <c r="D516" t="s">
        <v>1801</v>
      </c>
      <c r="E516">
        <v>8922</v>
      </c>
      <c r="F516" t="s">
        <v>23479</v>
      </c>
      <c r="G516">
        <v>4</v>
      </c>
      <c r="H516" t="s">
        <v>1802</v>
      </c>
      <c r="J516" t="s">
        <v>1803</v>
      </c>
      <c r="K516" t="s">
        <v>81</v>
      </c>
      <c r="L516" t="s">
        <v>33</v>
      </c>
      <c r="M516" t="s">
        <v>1916</v>
      </c>
      <c r="N516" t="s">
        <v>1920</v>
      </c>
      <c r="O516" t="s">
        <v>1921</v>
      </c>
      <c r="P516" s="2" t="s">
        <v>26</v>
      </c>
      <c r="Q516" t="s">
        <v>50</v>
      </c>
      <c r="R516">
        <v>1.53</v>
      </c>
      <c r="S516">
        <v>1.53</v>
      </c>
      <c r="T516" t="s">
        <v>1922</v>
      </c>
    </row>
    <row r="517" spans="1:20" x14ac:dyDescent="0.25">
      <c r="A517" s="1" t="str">
        <f>HYPERLINK("https://vegkart.atlas.vegvesen.no/#/@242326.1,6579051.6,18/hva:hva%5B0%5D%5Bfilter%5D%5B0%5D%5Boperator%5D=%21%3D&amp;hva%5B0%5D%5Bfilter%5D%5B0%5D%5Btype_id%5D=8922&amp;hva%5B0%5D%5Bfilter%5D%5B0%5D%5Bverdi%5D=&amp;hva%5B0%5D%5Bid%5D=451/når:2022-11-04", "Vegkart")</f>
        <v>Vegkart</v>
      </c>
      <c r="B517">
        <v>286279168</v>
      </c>
      <c r="C517">
        <v>451</v>
      </c>
      <c r="D517" t="s">
        <v>1801</v>
      </c>
      <c r="E517">
        <v>8922</v>
      </c>
      <c r="F517" t="s">
        <v>23479</v>
      </c>
      <c r="G517">
        <v>4</v>
      </c>
      <c r="H517" t="s">
        <v>1802</v>
      </c>
      <c r="J517" t="s">
        <v>1803</v>
      </c>
      <c r="K517" t="s">
        <v>81</v>
      </c>
      <c r="L517" t="s">
        <v>33</v>
      </c>
      <c r="M517" t="s">
        <v>1916</v>
      </c>
      <c r="N517" t="s">
        <v>1923</v>
      </c>
      <c r="O517" t="s">
        <v>1924</v>
      </c>
      <c r="P517" s="2" t="s">
        <v>26</v>
      </c>
      <c r="Q517" t="s">
        <v>50</v>
      </c>
      <c r="R517">
        <v>4.47</v>
      </c>
      <c r="S517">
        <v>4.47</v>
      </c>
      <c r="T517" t="s">
        <v>1925</v>
      </c>
    </row>
    <row r="518" spans="1:20" x14ac:dyDescent="0.25">
      <c r="A518" s="1" t="str">
        <f>HYPERLINK("https://vegkart.atlas.vegvesen.no/#/@239150.6,6575608.6,18/hva:hva%5B0%5D%5Bfilter%5D%5B0%5D%5Boperator%5D=%21%3D&amp;hva%5B0%5D%5Bfilter%5D%5B0%5D%5Btype_id%5D=8922&amp;hva%5B0%5D%5Bfilter%5D%5B0%5D%5Bverdi%5D=&amp;hva%5B0%5D%5Bid%5D=451/når:2022-11-04", "Vegkart")</f>
        <v>Vegkart</v>
      </c>
      <c r="B518">
        <v>287277398</v>
      </c>
      <c r="C518">
        <v>451</v>
      </c>
      <c r="D518" t="s">
        <v>1801</v>
      </c>
      <c r="E518">
        <v>8922</v>
      </c>
      <c r="F518" t="s">
        <v>23479</v>
      </c>
      <c r="G518">
        <v>4</v>
      </c>
      <c r="H518" t="s">
        <v>1802</v>
      </c>
      <c r="J518" t="s">
        <v>1803</v>
      </c>
      <c r="K518" t="s">
        <v>81</v>
      </c>
      <c r="L518" t="s">
        <v>33</v>
      </c>
      <c r="M518" t="s">
        <v>1926</v>
      </c>
      <c r="N518" t="s">
        <v>1927</v>
      </c>
      <c r="O518" t="s">
        <v>1928</v>
      </c>
      <c r="P518" s="2" t="s">
        <v>26</v>
      </c>
      <c r="Q518" t="s">
        <v>50</v>
      </c>
      <c r="R518">
        <v>1.94</v>
      </c>
      <c r="S518">
        <v>1.94</v>
      </c>
      <c r="T518" t="s">
        <v>1929</v>
      </c>
    </row>
    <row r="519" spans="1:20" x14ac:dyDescent="0.25">
      <c r="A519" s="1" t="str">
        <f>HYPERLINK("https://vegkart.atlas.vegvesen.no/#/@240119.1,6571451.1,18/hva:hva%5B0%5D%5Bfilter%5D%5B0%5D%5Boperator%5D=%21%3D&amp;hva%5B0%5D%5Bfilter%5D%5B0%5D%5Btype_id%5D=8922&amp;hva%5B0%5D%5Bfilter%5D%5B0%5D%5Bverdi%5D=&amp;hva%5B0%5D%5Bid%5D=451/når:2022-11-04", "Vegkart")</f>
        <v>Vegkart</v>
      </c>
      <c r="B519">
        <v>287277600</v>
      </c>
      <c r="C519">
        <v>451</v>
      </c>
      <c r="D519" t="s">
        <v>1801</v>
      </c>
      <c r="E519">
        <v>8922</v>
      </c>
      <c r="F519" t="s">
        <v>23479</v>
      </c>
      <c r="G519">
        <v>4</v>
      </c>
      <c r="H519" t="s">
        <v>1802</v>
      </c>
      <c r="J519" t="s">
        <v>1803</v>
      </c>
      <c r="K519" t="s">
        <v>81</v>
      </c>
      <c r="L519" t="s">
        <v>33</v>
      </c>
      <c r="M519" t="s">
        <v>1926</v>
      </c>
      <c r="N519" t="s">
        <v>1930</v>
      </c>
      <c r="O519" t="s">
        <v>1931</v>
      </c>
      <c r="P519" s="2" t="s">
        <v>26</v>
      </c>
      <c r="Q519" t="s">
        <v>50</v>
      </c>
      <c r="R519">
        <v>1.17</v>
      </c>
      <c r="S519">
        <v>1.17</v>
      </c>
      <c r="T519" t="s">
        <v>1932</v>
      </c>
    </row>
    <row r="520" spans="1:20" x14ac:dyDescent="0.25">
      <c r="A520" s="1" t="str">
        <f>HYPERLINK("https://vegkart.atlas.vegvesen.no/#/@240317.5,6570771.4,18/hva:hva%5B0%5D%5Bfilter%5D%5B0%5D%5Boperator%5D=%21%3D&amp;hva%5B0%5D%5Bfilter%5D%5B0%5D%5Btype_id%5D=8922&amp;hva%5B0%5D%5Bfilter%5D%5B0%5D%5Bverdi%5D=&amp;hva%5B0%5D%5Bid%5D=451/når:2022-11-04", "Vegkart")</f>
        <v>Vegkart</v>
      </c>
      <c r="B520">
        <v>287277622</v>
      </c>
      <c r="C520">
        <v>451</v>
      </c>
      <c r="D520" t="s">
        <v>1801</v>
      </c>
      <c r="E520">
        <v>8922</v>
      </c>
      <c r="F520" t="s">
        <v>23479</v>
      </c>
      <c r="G520">
        <v>3</v>
      </c>
      <c r="H520" t="s">
        <v>1802</v>
      </c>
      <c r="J520" t="s">
        <v>1803</v>
      </c>
      <c r="K520" t="s">
        <v>81</v>
      </c>
      <c r="L520" t="s">
        <v>33</v>
      </c>
      <c r="M520" t="s">
        <v>1926</v>
      </c>
      <c r="N520" t="s">
        <v>1933</v>
      </c>
      <c r="O520" t="s">
        <v>1934</v>
      </c>
      <c r="P520" s="2" t="s">
        <v>26</v>
      </c>
      <c r="Q520" t="s">
        <v>50</v>
      </c>
      <c r="R520">
        <v>1.6</v>
      </c>
      <c r="S520">
        <v>1.6</v>
      </c>
      <c r="T520" t="s">
        <v>1935</v>
      </c>
    </row>
    <row r="521" spans="1:20" x14ac:dyDescent="0.25">
      <c r="A521" s="1" t="str">
        <f>HYPERLINK("https://vegkart.atlas.vegvesen.no/#/@236338.8,6562010.2,18/hva:hva%5B0%5D%5Bfilter%5D%5B0%5D%5Boperator%5D=%21%3D&amp;hva%5B0%5D%5Bfilter%5D%5B0%5D%5Btype_id%5D=8922&amp;hva%5B0%5D%5Bfilter%5D%5B0%5D%5Bverdi%5D=&amp;hva%5B0%5D%5Bid%5D=451/når:2022-11-04", "Vegkart")</f>
        <v>Vegkart</v>
      </c>
      <c r="B521">
        <v>287483396</v>
      </c>
      <c r="C521">
        <v>451</v>
      </c>
      <c r="D521" t="s">
        <v>1801</v>
      </c>
      <c r="E521">
        <v>8922</v>
      </c>
      <c r="F521" t="s">
        <v>23479</v>
      </c>
      <c r="G521">
        <v>4</v>
      </c>
      <c r="H521" t="s">
        <v>1802</v>
      </c>
      <c r="J521" t="s">
        <v>1803</v>
      </c>
      <c r="K521" t="s">
        <v>81</v>
      </c>
      <c r="L521" t="s">
        <v>33</v>
      </c>
      <c r="M521" t="s">
        <v>1936</v>
      </c>
      <c r="N521" t="s">
        <v>1937</v>
      </c>
      <c r="O521" t="s">
        <v>1938</v>
      </c>
      <c r="P521" s="2" t="s">
        <v>26</v>
      </c>
      <c r="Q521" t="s">
        <v>50</v>
      </c>
      <c r="R521">
        <v>1.81</v>
      </c>
      <c r="S521">
        <v>1.81</v>
      </c>
      <c r="T521" t="s">
        <v>1939</v>
      </c>
    </row>
    <row r="522" spans="1:20" x14ac:dyDescent="0.25">
      <c r="A522" s="1" t="str">
        <f>HYPERLINK("https://vegkart.atlas.vegvesen.no/#/@236568.2,6568937.2,18/hva:hva%5B0%5D%5Bfilter%5D%5B0%5D%5Boperator%5D=%21%3D&amp;hva%5B0%5D%5Bfilter%5D%5B0%5D%5Btype_id%5D=8922&amp;hva%5B0%5D%5Bfilter%5D%5B0%5D%5Bverdi%5D=&amp;hva%5B0%5D%5Bid%5D=451/når:2022-11-04", "Vegkart")</f>
        <v>Vegkart</v>
      </c>
      <c r="B522">
        <v>287644959</v>
      </c>
      <c r="C522">
        <v>451</v>
      </c>
      <c r="D522" t="s">
        <v>1801</v>
      </c>
      <c r="E522">
        <v>8922</v>
      </c>
      <c r="F522" t="s">
        <v>23479</v>
      </c>
      <c r="G522">
        <v>4</v>
      </c>
      <c r="H522" t="s">
        <v>1802</v>
      </c>
      <c r="J522" t="s">
        <v>1803</v>
      </c>
      <c r="K522" t="s">
        <v>81</v>
      </c>
      <c r="L522" t="s">
        <v>33</v>
      </c>
      <c r="M522" t="s">
        <v>1940</v>
      </c>
      <c r="N522" t="s">
        <v>1941</v>
      </c>
      <c r="O522" t="s">
        <v>1942</v>
      </c>
      <c r="P522" s="2" t="s">
        <v>26</v>
      </c>
      <c r="Q522" t="s">
        <v>50</v>
      </c>
      <c r="R522">
        <v>1.45</v>
      </c>
      <c r="S522">
        <v>1.45</v>
      </c>
      <c r="T522" t="s">
        <v>1943</v>
      </c>
    </row>
    <row r="523" spans="1:20" x14ac:dyDescent="0.25">
      <c r="A523" s="1" t="str">
        <f>HYPERLINK("https://vegkart.atlas.vegvesen.no/#/@240900.1,6579495.0,18/hva:hva%5B0%5D%5Bfilter%5D%5B0%5D%5Boperator%5D=%21%3D&amp;hva%5B0%5D%5Bfilter%5D%5B0%5D%5Btype_id%5D=8922&amp;hva%5B0%5D%5Bfilter%5D%5B0%5D%5Bverdi%5D=&amp;hva%5B0%5D%5Bid%5D=451/når:2022-11-04", "Vegkart")</f>
        <v>Vegkart</v>
      </c>
      <c r="B523">
        <v>287889343</v>
      </c>
      <c r="C523">
        <v>451</v>
      </c>
      <c r="D523" t="s">
        <v>1801</v>
      </c>
      <c r="E523">
        <v>8922</v>
      </c>
      <c r="F523" t="s">
        <v>23479</v>
      </c>
      <c r="G523">
        <v>4</v>
      </c>
      <c r="H523" t="s">
        <v>1802</v>
      </c>
      <c r="J523" t="s">
        <v>1803</v>
      </c>
      <c r="K523" t="s">
        <v>81</v>
      </c>
      <c r="L523" t="s">
        <v>33</v>
      </c>
      <c r="M523" t="s">
        <v>1944</v>
      </c>
      <c r="N523" t="s">
        <v>1945</v>
      </c>
      <c r="O523" t="s">
        <v>1946</v>
      </c>
      <c r="P523" s="2" t="s">
        <v>26</v>
      </c>
      <c r="Q523" t="s">
        <v>50</v>
      </c>
      <c r="R523">
        <v>3.2</v>
      </c>
      <c r="S523">
        <v>3.2</v>
      </c>
      <c r="T523" t="s">
        <v>1947</v>
      </c>
    </row>
    <row r="524" spans="1:20" x14ac:dyDescent="0.25">
      <c r="A524" s="1" t="str">
        <f>HYPERLINK("https://vegkart.atlas.vegvesen.no/#/@197093.3,6555581.0,18/hva:hva%5B0%5D%5Bfilter%5D%5B0%5D%5Boperator%5D=%21%3D&amp;hva%5B0%5D%5Bfilter%5D%5B0%5D%5Btype_id%5D=8922&amp;hva%5B0%5D%5Bfilter%5D%5B0%5D%5Bverdi%5D=&amp;hva%5B0%5D%5Bid%5D=451/når:2022-11-04", "Vegkart")</f>
        <v>Vegkart</v>
      </c>
      <c r="B524">
        <v>376560253</v>
      </c>
      <c r="C524">
        <v>451</v>
      </c>
      <c r="D524" t="s">
        <v>1801</v>
      </c>
      <c r="E524">
        <v>8922</v>
      </c>
      <c r="F524" t="s">
        <v>23479</v>
      </c>
      <c r="G524">
        <v>4</v>
      </c>
      <c r="H524" t="s">
        <v>1802</v>
      </c>
      <c r="J524" t="s">
        <v>1803</v>
      </c>
      <c r="K524" t="s">
        <v>197</v>
      </c>
      <c r="L524" t="s">
        <v>33</v>
      </c>
      <c r="M524" t="s">
        <v>1948</v>
      </c>
      <c r="N524" t="s">
        <v>1949</v>
      </c>
      <c r="O524" t="s">
        <v>1950</v>
      </c>
      <c r="P524" s="2" t="s">
        <v>26</v>
      </c>
      <c r="Q524" t="s">
        <v>50</v>
      </c>
      <c r="R524">
        <v>2.02</v>
      </c>
      <c r="S524">
        <v>2.02</v>
      </c>
      <c r="T524" t="s">
        <v>1951</v>
      </c>
    </row>
    <row r="525" spans="1:20" x14ac:dyDescent="0.25">
      <c r="A525" s="1" t="str">
        <f>HYPERLINK("https://vegkart.atlas.vegvesen.no/#/@194644.7,6569596.5,18/hva:hva%5B0%5D%5Bfilter%5D%5B0%5D%5Boperator%5D=%21%3D&amp;hva%5B0%5D%5Bfilter%5D%5B0%5D%5Btype_id%5D=8922&amp;hva%5B0%5D%5Bfilter%5D%5B0%5D%5Bverdi%5D=&amp;hva%5B0%5D%5Bid%5D=451/når:2022-11-04", "Vegkart")</f>
        <v>Vegkart</v>
      </c>
      <c r="B525">
        <v>377099314</v>
      </c>
      <c r="C525">
        <v>451</v>
      </c>
      <c r="D525" t="s">
        <v>1801</v>
      </c>
      <c r="E525">
        <v>8922</v>
      </c>
      <c r="F525" t="s">
        <v>23479</v>
      </c>
      <c r="G525">
        <v>3</v>
      </c>
      <c r="H525" t="s">
        <v>1802</v>
      </c>
      <c r="J525" t="s">
        <v>1803</v>
      </c>
      <c r="K525" t="s">
        <v>197</v>
      </c>
      <c r="L525" t="s">
        <v>33</v>
      </c>
      <c r="M525" t="s">
        <v>132</v>
      </c>
      <c r="N525" t="s">
        <v>1952</v>
      </c>
      <c r="O525" t="s">
        <v>1953</v>
      </c>
      <c r="P525" s="2" t="s">
        <v>26</v>
      </c>
      <c r="Q525" t="s">
        <v>50</v>
      </c>
      <c r="R525">
        <v>0.7</v>
      </c>
      <c r="S525">
        <v>0.7</v>
      </c>
      <c r="T525" t="s">
        <v>1954</v>
      </c>
    </row>
    <row r="526" spans="1:20" x14ac:dyDescent="0.25">
      <c r="A526" s="1" t="str">
        <f>HYPERLINK("https://vegkart.atlas.vegvesen.no/#/@194676.8,6569358.6,18/hva:hva%5B0%5D%5Bfilter%5D%5B0%5D%5Boperator%5D=%21%3D&amp;hva%5B0%5D%5Bfilter%5D%5B0%5D%5Btype_id%5D=8922&amp;hva%5B0%5D%5Bfilter%5D%5B0%5D%5Bverdi%5D=&amp;hva%5B0%5D%5Bid%5D=451/når:2022-11-04", "Vegkart")</f>
        <v>Vegkart</v>
      </c>
      <c r="B526">
        <v>377099327</v>
      </c>
      <c r="C526">
        <v>451</v>
      </c>
      <c r="D526" t="s">
        <v>1801</v>
      </c>
      <c r="E526">
        <v>8922</v>
      </c>
      <c r="F526" t="s">
        <v>23479</v>
      </c>
      <c r="G526">
        <v>3</v>
      </c>
      <c r="H526" t="s">
        <v>1802</v>
      </c>
      <c r="J526" t="s">
        <v>1803</v>
      </c>
      <c r="K526" t="s">
        <v>197</v>
      </c>
      <c r="L526" t="s">
        <v>33</v>
      </c>
      <c r="M526" t="s">
        <v>132</v>
      </c>
      <c r="N526" t="s">
        <v>1955</v>
      </c>
      <c r="O526" t="s">
        <v>1956</v>
      </c>
      <c r="P526" s="2" t="s">
        <v>26</v>
      </c>
      <c r="Q526" t="s">
        <v>50</v>
      </c>
      <c r="R526">
        <v>0.74</v>
      </c>
      <c r="S526">
        <v>0.74</v>
      </c>
      <c r="T526" t="s">
        <v>1957</v>
      </c>
    </row>
    <row r="527" spans="1:20" x14ac:dyDescent="0.25">
      <c r="A527" s="1" t="str">
        <f>HYPERLINK("https://vegkart.atlas.vegvesen.no/#/@214184.5,6555305.3,18/hva:hva%5B0%5D%5Bfilter%5D%5B0%5D%5Boperator%5D=%21%3D&amp;hva%5B0%5D%5Bfilter%5D%5B0%5D%5Btype_id%5D=8922&amp;hva%5B0%5D%5Bfilter%5D%5B0%5D%5Bverdi%5D=&amp;hva%5B0%5D%5Bid%5D=451/når:2022-11-04", "Vegkart")</f>
        <v>Vegkart</v>
      </c>
      <c r="B527">
        <v>398916256</v>
      </c>
      <c r="C527">
        <v>451</v>
      </c>
      <c r="D527" t="s">
        <v>1801</v>
      </c>
      <c r="E527">
        <v>8922</v>
      </c>
      <c r="F527" t="s">
        <v>23479</v>
      </c>
      <c r="G527">
        <v>3</v>
      </c>
      <c r="H527" t="s">
        <v>1802</v>
      </c>
      <c r="J527" t="s">
        <v>1803</v>
      </c>
      <c r="K527" t="s">
        <v>81</v>
      </c>
      <c r="L527" t="s">
        <v>33</v>
      </c>
      <c r="M527" t="s">
        <v>1958</v>
      </c>
      <c r="N527" t="s">
        <v>1959</v>
      </c>
      <c r="O527" t="s">
        <v>1960</v>
      </c>
      <c r="P527" s="2" t="s">
        <v>26</v>
      </c>
      <c r="Q527" t="s">
        <v>50</v>
      </c>
      <c r="R527">
        <v>1.5</v>
      </c>
      <c r="S527">
        <v>1.5</v>
      </c>
      <c r="T527" t="s">
        <v>1961</v>
      </c>
    </row>
    <row r="528" spans="1:20" x14ac:dyDescent="0.25">
      <c r="A528" s="1" t="str">
        <f>HYPERLINK("https://vegkart.atlas.vegvesen.no/#/@235219.3,6577312.0,18/hva:hva%5B0%5D%5Bfilter%5D%5B0%5D%5Boperator%5D=%21%3D&amp;hva%5B0%5D%5Bfilter%5D%5B0%5D%5Btype_id%5D=8922&amp;hva%5B0%5D%5Bfilter%5D%5B0%5D%5Bverdi%5D=&amp;hva%5B0%5D%5Bid%5D=451/når:2022-11-04", "Vegkart")</f>
        <v>Vegkart</v>
      </c>
      <c r="B528">
        <v>415565050</v>
      </c>
      <c r="C528">
        <v>451</v>
      </c>
      <c r="D528" t="s">
        <v>1801</v>
      </c>
      <c r="E528">
        <v>8922</v>
      </c>
      <c r="F528" t="s">
        <v>23479</v>
      </c>
      <c r="G528">
        <v>3</v>
      </c>
      <c r="H528" t="s">
        <v>1802</v>
      </c>
      <c r="J528" t="s">
        <v>1803</v>
      </c>
      <c r="K528" t="s">
        <v>81</v>
      </c>
      <c r="L528" t="s">
        <v>33</v>
      </c>
      <c r="M528" t="s">
        <v>1812</v>
      </c>
      <c r="N528" t="s">
        <v>1962</v>
      </c>
      <c r="O528" t="s">
        <v>1963</v>
      </c>
      <c r="P528" s="2" t="s">
        <v>26</v>
      </c>
      <c r="Q528" t="s">
        <v>50</v>
      </c>
      <c r="R528">
        <v>1.51</v>
      </c>
      <c r="S528">
        <v>1.51</v>
      </c>
      <c r="T528" t="s">
        <v>1964</v>
      </c>
    </row>
    <row r="529" spans="1:20" x14ac:dyDescent="0.25">
      <c r="A529" s="1" t="str">
        <f>HYPERLINK("https://vegkart.atlas.vegvesen.no/#/@217136.7,6555380.0,18/hva:hva%5B0%5D%5Bfilter%5D%5B0%5D%5Boperator%5D=%21%3D&amp;hva%5B0%5D%5Bfilter%5D%5B0%5D%5Btype_id%5D=8922&amp;hva%5B0%5D%5Bfilter%5D%5B0%5D%5Bverdi%5D=&amp;hva%5B0%5D%5Bid%5D=451/når:2022-11-04", "Vegkart")</f>
        <v>Vegkart</v>
      </c>
      <c r="B529">
        <v>416977241</v>
      </c>
      <c r="C529">
        <v>451</v>
      </c>
      <c r="D529" t="s">
        <v>1801</v>
      </c>
      <c r="E529">
        <v>8922</v>
      </c>
      <c r="F529" t="s">
        <v>23479</v>
      </c>
      <c r="G529">
        <v>3</v>
      </c>
      <c r="H529" t="s">
        <v>1802</v>
      </c>
      <c r="J529" t="s">
        <v>1803</v>
      </c>
      <c r="K529" t="s">
        <v>81</v>
      </c>
      <c r="L529" t="s">
        <v>33</v>
      </c>
      <c r="M529" t="s">
        <v>1812</v>
      </c>
      <c r="N529" t="s">
        <v>1965</v>
      </c>
      <c r="O529" t="s">
        <v>1966</v>
      </c>
      <c r="P529" s="2" t="s">
        <v>26</v>
      </c>
      <c r="Q529" t="s">
        <v>50</v>
      </c>
      <c r="R529">
        <v>2.29</v>
      </c>
      <c r="S529">
        <v>2.29</v>
      </c>
      <c r="T529" t="s">
        <v>1967</v>
      </c>
    </row>
    <row r="530" spans="1:20" x14ac:dyDescent="0.25">
      <c r="A530" s="1" t="str">
        <f>HYPERLINK("https://vegkart.atlas.vegvesen.no/#/@218093.7,6555869.6,18/hva:hva%5B0%5D%5Bfilter%5D%5B0%5D%5Boperator%5D=%21%3D&amp;hva%5B0%5D%5Bfilter%5D%5B0%5D%5Btype_id%5D=8922&amp;hva%5B0%5D%5Bfilter%5D%5B0%5D%5Bverdi%5D=&amp;hva%5B0%5D%5Bid%5D=451/når:2022-11-04", "Vegkart")</f>
        <v>Vegkart</v>
      </c>
      <c r="B530">
        <v>416977264</v>
      </c>
      <c r="C530">
        <v>451</v>
      </c>
      <c r="D530" t="s">
        <v>1801</v>
      </c>
      <c r="E530">
        <v>8922</v>
      </c>
      <c r="F530" t="s">
        <v>23479</v>
      </c>
      <c r="G530">
        <v>3</v>
      </c>
      <c r="H530" t="s">
        <v>1802</v>
      </c>
      <c r="J530" t="s">
        <v>1803</v>
      </c>
      <c r="K530" t="s">
        <v>81</v>
      </c>
      <c r="L530" t="s">
        <v>33</v>
      </c>
      <c r="M530" t="s">
        <v>1812</v>
      </c>
      <c r="N530" t="s">
        <v>1968</v>
      </c>
      <c r="O530" t="s">
        <v>1969</v>
      </c>
      <c r="P530" s="2" t="s">
        <v>26</v>
      </c>
      <c r="Q530" t="s">
        <v>50</v>
      </c>
      <c r="R530">
        <v>1</v>
      </c>
      <c r="S530">
        <v>1</v>
      </c>
      <c r="T530" t="s">
        <v>1970</v>
      </c>
    </row>
    <row r="531" spans="1:20" x14ac:dyDescent="0.25">
      <c r="A531" s="1" t="str">
        <f>HYPERLINK("https://vegkart.atlas.vegvesen.no/#/@219437.5,6556299.7,18/hva:hva%5B0%5D%5Bfilter%5D%5B0%5D%5Boperator%5D=%21%3D&amp;hva%5B0%5D%5Bfilter%5D%5B0%5D%5Btype_id%5D=8922&amp;hva%5B0%5D%5Bfilter%5D%5B0%5D%5Bverdi%5D=&amp;hva%5B0%5D%5Bid%5D=451/når:2022-11-04", "Vegkart")</f>
        <v>Vegkart</v>
      </c>
      <c r="B531">
        <v>417446922</v>
      </c>
      <c r="C531">
        <v>451</v>
      </c>
      <c r="D531" t="s">
        <v>1801</v>
      </c>
      <c r="E531">
        <v>8922</v>
      </c>
      <c r="F531" t="s">
        <v>23479</v>
      </c>
      <c r="G531">
        <v>3</v>
      </c>
      <c r="H531" t="s">
        <v>1802</v>
      </c>
      <c r="J531" t="s">
        <v>1803</v>
      </c>
      <c r="K531" t="s">
        <v>81</v>
      </c>
      <c r="L531" t="s">
        <v>33</v>
      </c>
      <c r="M531" t="s">
        <v>1812</v>
      </c>
      <c r="N531" t="s">
        <v>1971</v>
      </c>
      <c r="O531" t="s">
        <v>1972</v>
      </c>
      <c r="P531" s="2" t="s">
        <v>26</v>
      </c>
      <c r="Q531" t="s">
        <v>50</v>
      </c>
      <c r="R531">
        <v>0.99</v>
      </c>
      <c r="S531">
        <v>0.99</v>
      </c>
      <c r="T531" t="s">
        <v>1973</v>
      </c>
    </row>
    <row r="532" spans="1:20" x14ac:dyDescent="0.25">
      <c r="A532" s="1" t="str">
        <f>HYPERLINK("https://vegkart.atlas.vegvesen.no/#/@195657.9,6566976.2,18/hva:hva%5B0%5D%5Bfilter%5D%5B0%5D%5Boperator%5D=%21%3D&amp;hva%5B0%5D%5Bfilter%5D%5B0%5D%5Btype_id%5D=8922&amp;hva%5B0%5D%5Bfilter%5D%5B0%5D%5Bverdi%5D=&amp;hva%5B0%5D%5Bid%5D=451/når:2022-07-06", "Vegkart")</f>
        <v>Vegkart</v>
      </c>
      <c r="B532">
        <v>440350851</v>
      </c>
      <c r="C532">
        <v>451</v>
      </c>
      <c r="D532" t="s">
        <v>1801</v>
      </c>
      <c r="E532">
        <v>8922</v>
      </c>
      <c r="F532" t="s">
        <v>23479</v>
      </c>
      <c r="G532">
        <v>3</v>
      </c>
      <c r="H532" t="s">
        <v>1974</v>
      </c>
      <c r="J532" t="s">
        <v>1803</v>
      </c>
      <c r="K532" t="s">
        <v>197</v>
      </c>
      <c r="L532" t="s">
        <v>33</v>
      </c>
      <c r="M532" t="s">
        <v>132</v>
      </c>
      <c r="N532" t="s">
        <v>1975</v>
      </c>
      <c r="O532" t="s">
        <v>1976</v>
      </c>
      <c r="P532" s="2" t="s">
        <v>26</v>
      </c>
      <c r="Q532" t="s">
        <v>50</v>
      </c>
      <c r="R532">
        <v>0.99</v>
      </c>
      <c r="S532">
        <v>0.99</v>
      </c>
      <c r="T532" t="s">
        <v>1977</v>
      </c>
    </row>
    <row r="533" spans="1:20" x14ac:dyDescent="0.25">
      <c r="A533" s="1" t="str">
        <f>HYPERLINK("https://vegkart.atlas.vegvesen.no/#/@196307.0,6555654.4,18/hva:hva%5B0%5D%5Bfilter%5D%5B0%5D%5Boperator%5D=%21%3D&amp;hva%5B0%5D%5Bfilter%5D%5B0%5D%5Btype_id%5D=8922&amp;hva%5B0%5D%5Bfilter%5D%5B0%5D%5Bverdi%5D=&amp;hva%5B0%5D%5Bid%5D=451/når:2022-11-04", "Vegkart")</f>
        <v>Vegkart</v>
      </c>
      <c r="B533">
        <v>456110907</v>
      </c>
      <c r="C533">
        <v>451</v>
      </c>
      <c r="D533" t="s">
        <v>1801</v>
      </c>
      <c r="E533">
        <v>8922</v>
      </c>
      <c r="F533" t="s">
        <v>23479</v>
      </c>
      <c r="G533">
        <v>3</v>
      </c>
      <c r="H533" t="s">
        <v>1802</v>
      </c>
      <c r="J533" t="s">
        <v>1803</v>
      </c>
      <c r="K533" t="s">
        <v>197</v>
      </c>
      <c r="L533" t="s">
        <v>33</v>
      </c>
      <c r="M533" t="s">
        <v>1978</v>
      </c>
      <c r="N533" t="s">
        <v>1979</v>
      </c>
      <c r="O533" t="s">
        <v>1980</v>
      </c>
      <c r="P533" s="2" t="s">
        <v>26</v>
      </c>
      <c r="Q533" t="s">
        <v>50</v>
      </c>
      <c r="R533">
        <v>1.46</v>
      </c>
      <c r="S533">
        <v>1.46</v>
      </c>
      <c r="T533" t="s">
        <v>1981</v>
      </c>
    </row>
    <row r="534" spans="1:20" x14ac:dyDescent="0.25">
      <c r="A534" s="1" t="str">
        <f>HYPERLINK("https://vegkart.atlas.vegvesen.no/#/@196268.0,6555549.5,18/hva:hva%5B0%5D%5Bfilter%5D%5B0%5D%5Boperator%5D=%21%3D&amp;hva%5B0%5D%5Bfilter%5D%5B0%5D%5Btype_id%5D=8922&amp;hva%5B0%5D%5Bfilter%5D%5B0%5D%5Bverdi%5D=&amp;hva%5B0%5D%5Bid%5D=451/når:2022-07-26", "Vegkart")</f>
        <v>Vegkart</v>
      </c>
      <c r="B534">
        <v>456110914</v>
      </c>
      <c r="C534">
        <v>451</v>
      </c>
      <c r="D534" t="s">
        <v>1801</v>
      </c>
      <c r="E534">
        <v>8922</v>
      </c>
      <c r="F534" t="s">
        <v>23479</v>
      </c>
      <c r="G534">
        <v>4</v>
      </c>
      <c r="H534" t="s">
        <v>1982</v>
      </c>
      <c r="J534" t="s">
        <v>1803</v>
      </c>
      <c r="K534" t="s">
        <v>197</v>
      </c>
      <c r="L534" t="s">
        <v>33</v>
      </c>
      <c r="M534" t="s">
        <v>1978</v>
      </c>
      <c r="N534" t="s">
        <v>1983</v>
      </c>
      <c r="O534" t="s">
        <v>1984</v>
      </c>
      <c r="P534" s="2" t="s">
        <v>165</v>
      </c>
      <c r="Q534" t="s">
        <v>311</v>
      </c>
      <c r="R534">
        <v>1.33</v>
      </c>
      <c r="S534">
        <v>1.33</v>
      </c>
      <c r="T534" t="s">
        <v>167</v>
      </c>
    </row>
    <row r="535" spans="1:20" x14ac:dyDescent="0.25">
      <c r="A535" s="1" t="str">
        <f>HYPERLINK("https://vegkart.atlas.vegvesen.no/#/@197468.7,6553546.9,18/hva:hva%5B0%5D%5Bfilter%5D%5B0%5D%5Boperator%5D=%21%3D&amp;hva%5B0%5D%5Bfilter%5D%5B0%5D%5Btype_id%5D=8922&amp;hva%5B0%5D%5Bfilter%5D%5B0%5D%5Bverdi%5D=&amp;hva%5B0%5D%5Bid%5D=451/når:2022-07-26", "Vegkart")</f>
        <v>Vegkart</v>
      </c>
      <c r="B535">
        <v>456126699</v>
      </c>
      <c r="C535">
        <v>451</v>
      </c>
      <c r="D535" t="s">
        <v>1801</v>
      </c>
      <c r="E535">
        <v>8922</v>
      </c>
      <c r="F535" t="s">
        <v>23479</v>
      </c>
      <c r="G535">
        <v>3</v>
      </c>
      <c r="H535" t="s">
        <v>1982</v>
      </c>
      <c r="J535" t="s">
        <v>1803</v>
      </c>
      <c r="K535" t="s">
        <v>197</v>
      </c>
      <c r="L535" t="s">
        <v>33</v>
      </c>
      <c r="M535" t="s">
        <v>1978</v>
      </c>
      <c r="N535" t="s">
        <v>1985</v>
      </c>
      <c r="O535" t="s">
        <v>1986</v>
      </c>
      <c r="P535" s="2" t="s">
        <v>165</v>
      </c>
      <c r="Q535" t="s">
        <v>311</v>
      </c>
      <c r="R535">
        <v>1.32</v>
      </c>
      <c r="S535">
        <v>1.32</v>
      </c>
      <c r="T535" t="s">
        <v>167</v>
      </c>
    </row>
    <row r="536" spans="1:20" x14ac:dyDescent="0.25">
      <c r="A536" s="1" t="str">
        <f>HYPERLINK("https://vegkart.atlas.vegvesen.no/#/@197803.2,6552728.4,18/hva:hva%5B0%5D%5Bfilter%5D%5B0%5D%5Boperator%5D=%21%3D&amp;hva%5B0%5D%5Bfilter%5D%5B0%5D%5Btype_id%5D=8922&amp;hva%5B0%5D%5Bfilter%5D%5B0%5D%5Bverdi%5D=&amp;hva%5B0%5D%5Bid%5D=451/når:2022-07-27", "Vegkart")</f>
        <v>Vegkart</v>
      </c>
      <c r="B536">
        <v>456126734</v>
      </c>
      <c r="C536">
        <v>451</v>
      </c>
      <c r="D536" t="s">
        <v>1801</v>
      </c>
      <c r="E536">
        <v>8922</v>
      </c>
      <c r="F536" t="s">
        <v>23479</v>
      </c>
      <c r="G536">
        <v>4</v>
      </c>
      <c r="H536" t="s">
        <v>1987</v>
      </c>
      <c r="J536" t="s">
        <v>1803</v>
      </c>
      <c r="K536" t="s">
        <v>197</v>
      </c>
      <c r="L536" t="s">
        <v>33</v>
      </c>
      <c r="M536" t="s">
        <v>1978</v>
      </c>
      <c r="N536" t="s">
        <v>1988</v>
      </c>
      <c r="O536" t="s">
        <v>1989</v>
      </c>
      <c r="P536" s="2" t="s">
        <v>165</v>
      </c>
      <c r="Q536" t="s">
        <v>311</v>
      </c>
      <c r="R536">
        <v>1.32</v>
      </c>
      <c r="S536">
        <v>1.32</v>
      </c>
      <c r="T536" t="s">
        <v>167</v>
      </c>
    </row>
    <row r="537" spans="1:20" x14ac:dyDescent="0.25">
      <c r="A537" s="1" t="str">
        <f>HYPERLINK("https://vegkart.atlas.vegvesen.no/#/@197782.9,6552600.5,18/hva:hva%5B0%5D%5Bfilter%5D%5B0%5D%5Boperator%5D=%21%3D&amp;hva%5B0%5D%5Bfilter%5D%5B0%5D%5Btype_id%5D=8922&amp;hva%5B0%5D%5Bfilter%5D%5B0%5D%5Bverdi%5D=&amp;hva%5B0%5D%5Bid%5D=451/når:2022-07-27", "Vegkart")</f>
        <v>Vegkart</v>
      </c>
      <c r="B537">
        <v>456126746</v>
      </c>
      <c r="C537">
        <v>451</v>
      </c>
      <c r="D537" t="s">
        <v>1801</v>
      </c>
      <c r="E537">
        <v>8922</v>
      </c>
      <c r="F537" t="s">
        <v>23479</v>
      </c>
      <c r="G537">
        <v>3</v>
      </c>
      <c r="H537" t="s">
        <v>1987</v>
      </c>
      <c r="J537" t="s">
        <v>1803</v>
      </c>
      <c r="K537" t="s">
        <v>197</v>
      </c>
      <c r="L537" t="s">
        <v>33</v>
      </c>
      <c r="M537" t="s">
        <v>1978</v>
      </c>
      <c r="N537" t="s">
        <v>1990</v>
      </c>
      <c r="O537" t="s">
        <v>1991</v>
      </c>
      <c r="P537" s="2" t="s">
        <v>165</v>
      </c>
      <c r="Q537" t="s">
        <v>311</v>
      </c>
      <c r="R537">
        <v>1.29</v>
      </c>
      <c r="S537">
        <v>1.29</v>
      </c>
      <c r="T537" t="s">
        <v>167</v>
      </c>
    </row>
    <row r="538" spans="1:20" x14ac:dyDescent="0.25">
      <c r="A538" s="1" t="str">
        <f>HYPERLINK("https://vegkart.atlas.vegvesen.no/#/@197956.0,6552378.0,18/hva:hva%5B0%5D%5Bfilter%5D%5B0%5D%5Boperator%5D=%21%3D&amp;hva%5B0%5D%5Bfilter%5D%5B0%5D%5Btype_id%5D=8922&amp;hva%5B0%5D%5Bfilter%5D%5B0%5D%5Bverdi%5D=&amp;hva%5B0%5D%5Bid%5D=451/når:2022-07-27", "Vegkart")</f>
        <v>Vegkart</v>
      </c>
      <c r="B538">
        <v>456126760</v>
      </c>
      <c r="C538">
        <v>451</v>
      </c>
      <c r="D538" t="s">
        <v>1801</v>
      </c>
      <c r="E538">
        <v>8922</v>
      </c>
      <c r="F538" t="s">
        <v>23479</v>
      </c>
      <c r="G538">
        <v>3</v>
      </c>
      <c r="H538" t="s">
        <v>1987</v>
      </c>
      <c r="J538" t="s">
        <v>1803</v>
      </c>
      <c r="K538" t="s">
        <v>197</v>
      </c>
      <c r="L538" t="s">
        <v>33</v>
      </c>
      <c r="M538" t="s">
        <v>1978</v>
      </c>
      <c r="N538" t="s">
        <v>1992</v>
      </c>
      <c r="O538" t="s">
        <v>1993</v>
      </c>
      <c r="P538" s="2" t="s">
        <v>165</v>
      </c>
      <c r="Q538" t="s">
        <v>311</v>
      </c>
      <c r="R538">
        <v>1.27</v>
      </c>
      <c r="S538">
        <v>1.27</v>
      </c>
      <c r="T538" t="s">
        <v>167</v>
      </c>
    </row>
    <row r="539" spans="1:20" x14ac:dyDescent="0.25">
      <c r="A539" s="1" t="str">
        <f>HYPERLINK("https://vegkart.atlas.vegvesen.no/#/@192062.1,6574358.8,18/hva:hva%5B0%5D%5Bfilter%5D%5B0%5D%5Boperator%5D=%21%3D&amp;hva%5B0%5D%5Bfilter%5D%5B0%5D%5Btype_id%5D=8922&amp;hva%5B0%5D%5Bfilter%5D%5B0%5D%5Bverdi%5D=&amp;hva%5B0%5D%5Bid%5D=451/når:2022-11-04", "Vegkart")</f>
        <v>Vegkart</v>
      </c>
      <c r="B539">
        <v>536489890</v>
      </c>
      <c r="C539">
        <v>451</v>
      </c>
      <c r="D539" t="s">
        <v>1801</v>
      </c>
      <c r="E539">
        <v>8922</v>
      </c>
      <c r="F539" t="s">
        <v>23479</v>
      </c>
      <c r="G539">
        <v>3</v>
      </c>
      <c r="H539" t="s">
        <v>1802</v>
      </c>
      <c r="J539" t="s">
        <v>1803</v>
      </c>
      <c r="K539" t="s">
        <v>197</v>
      </c>
      <c r="L539" t="s">
        <v>33</v>
      </c>
      <c r="M539" t="s">
        <v>1994</v>
      </c>
      <c r="N539" t="s">
        <v>1995</v>
      </c>
      <c r="O539" t="s">
        <v>1996</v>
      </c>
      <c r="P539" s="2" t="s">
        <v>26</v>
      </c>
      <c r="Q539" t="s">
        <v>50</v>
      </c>
      <c r="R539">
        <v>0.97</v>
      </c>
      <c r="S539">
        <v>0.97</v>
      </c>
      <c r="T539" t="s">
        <v>1997</v>
      </c>
    </row>
    <row r="540" spans="1:20" x14ac:dyDescent="0.25">
      <c r="A540" s="1" t="str">
        <f>HYPERLINK("https://vegkart.atlas.vegvesen.no/#/@196478.9,6554813.1,18/hva:hva%5B0%5D%5Bfilter%5D%5B0%5D%5Boperator%5D=%21%3D&amp;hva%5B0%5D%5Bfilter%5D%5B0%5D%5Btype_id%5D=8922&amp;hva%5B0%5D%5Bfilter%5D%5B0%5D%5Bverdi%5D=&amp;hva%5B0%5D%5Bid%5D=451/når:2022-07-26", "Vegkart")</f>
        <v>Vegkart</v>
      </c>
      <c r="B540">
        <v>555384811</v>
      </c>
      <c r="C540">
        <v>451</v>
      </c>
      <c r="D540" t="s">
        <v>1801</v>
      </c>
      <c r="E540">
        <v>8922</v>
      </c>
      <c r="F540" t="s">
        <v>23479</v>
      </c>
      <c r="G540">
        <v>3</v>
      </c>
      <c r="H540" t="s">
        <v>1982</v>
      </c>
      <c r="J540" t="s">
        <v>1803</v>
      </c>
      <c r="K540" t="s">
        <v>197</v>
      </c>
      <c r="L540" t="s">
        <v>33</v>
      </c>
      <c r="M540" t="s">
        <v>1978</v>
      </c>
      <c r="N540" t="s">
        <v>1998</v>
      </c>
      <c r="O540" t="s">
        <v>1999</v>
      </c>
      <c r="P540" s="2" t="s">
        <v>26</v>
      </c>
      <c r="Q540" t="s">
        <v>50</v>
      </c>
      <c r="R540">
        <v>1.26</v>
      </c>
      <c r="S540">
        <v>1.26</v>
      </c>
      <c r="T540" t="s">
        <v>2000</v>
      </c>
    </row>
    <row r="541" spans="1:20" x14ac:dyDescent="0.25">
      <c r="A541" s="1" t="str">
        <f>HYPERLINK("https://vegkart.atlas.vegvesen.no/#/@196834.9,6554752.6,18/hva:hva%5B0%5D%5Bfilter%5D%5B0%5D%5Boperator%5D=%21%3D&amp;hva%5B0%5D%5Bfilter%5D%5B0%5D%5Btype_id%5D=8922&amp;hva%5B0%5D%5Bfilter%5D%5B0%5D%5Bverdi%5D=&amp;hva%5B0%5D%5Bid%5D=451/når:2022-07-26", "Vegkart")</f>
        <v>Vegkart</v>
      </c>
      <c r="B541">
        <v>556282555</v>
      </c>
      <c r="C541">
        <v>451</v>
      </c>
      <c r="D541" t="s">
        <v>1801</v>
      </c>
      <c r="E541">
        <v>8922</v>
      </c>
      <c r="F541" t="s">
        <v>23479</v>
      </c>
      <c r="G541">
        <v>4</v>
      </c>
      <c r="H541" t="s">
        <v>1982</v>
      </c>
      <c r="J541" t="s">
        <v>1803</v>
      </c>
      <c r="K541" t="s">
        <v>197</v>
      </c>
      <c r="L541" t="s">
        <v>33</v>
      </c>
      <c r="M541" t="s">
        <v>1978</v>
      </c>
      <c r="N541" t="s">
        <v>2001</v>
      </c>
      <c r="O541" t="s">
        <v>2002</v>
      </c>
      <c r="P541" s="2" t="s">
        <v>165</v>
      </c>
      <c r="Q541" t="s">
        <v>311</v>
      </c>
      <c r="R541">
        <v>1.29</v>
      </c>
      <c r="S541">
        <v>1.29</v>
      </c>
      <c r="T541" t="s">
        <v>167</v>
      </c>
    </row>
    <row r="542" spans="1:20" x14ac:dyDescent="0.25">
      <c r="A542" s="1" t="str">
        <f>HYPERLINK("https://vegkart.atlas.vegvesen.no/#/@196757.0,6554769.3,18/hva:hva%5B0%5D%5Bfilter%5D%5B0%5D%5Boperator%5D=%21%3D&amp;hva%5B0%5D%5Bfilter%5D%5B0%5D%5Btype_id%5D=8922&amp;hva%5B0%5D%5Bfilter%5D%5B0%5D%5Bverdi%5D=&amp;hva%5B0%5D%5Bid%5D=451/når:2022-07-26", "Vegkart")</f>
        <v>Vegkart</v>
      </c>
      <c r="B542">
        <v>556282556</v>
      </c>
      <c r="C542">
        <v>451</v>
      </c>
      <c r="D542" t="s">
        <v>1801</v>
      </c>
      <c r="E542">
        <v>8922</v>
      </c>
      <c r="F542" t="s">
        <v>23479</v>
      </c>
      <c r="G542">
        <v>4</v>
      </c>
      <c r="H542" t="s">
        <v>1982</v>
      </c>
      <c r="J542" t="s">
        <v>1803</v>
      </c>
      <c r="K542" t="s">
        <v>197</v>
      </c>
      <c r="L542" t="s">
        <v>33</v>
      </c>
      <c r="M542" t="s">
        <v>1978</v>
      </c>
      <c r="N542" t="s">
        <v>2003</v>
      </c>
      <c r="O542" t="s">
        <v>2004</v>
      </c>
      <c r="P542" s="2" t="s">
        <v>165</v>
      </c>
      <c r="Q542" t="s">
        <v>311</v>
      </c>
      <c r="R542">
        <v>1.27</v>
      </c>
      <c r="S542">
        <v>1.27</v>
      </c>
      <c r="T542" t="s">
        <v>167</v>
      </c>
    </row>
    <row r="543" spans="1:20" x14ac:dyDescent="0.25">
      <c r="A543" s="1" t="str">
        <f>HYPERLINK("https://vegkart.atlas.vegvesen.no/#/@197268.9,6553855.5,18/hva:hva%5B0%5D%5Bfilter%5D%5B0%5D%5Boperator%5D=%21%3D&amp;hva%5B0%5D%5Bfilter%5D%5B0%5D%5Btype_id%5D=8922&amp;hva%5B0%5D%5Bfilter%5D%5B0%5D%5Bverdi%5D=&amp;hva%5B0%5D%5Bid%5D=451/når:2022-07-26", "Vegkart")</f>
        <v>Vegkart</v>
      </c>
      <c r="B543">
        <v>563424656</v>
      </c>
      <c r="C543">
        <v>451</v>
      </c>
      <c r="D543" t="s">
        <v>1801</v>
      </c>
      <c r="E543">
        <v>8922</v>
      </c>
      <c r="F543" t="s">
        <v>23479</v>
      </c>
      <c r="G543">
        <v>3</v>
      </c>
      <c r="H543" t="s">
        <v>1982</v>
      </c>
      <c r="J543" t="s">
        <v>1803</v>
      </c>
      <c r="K543" t="s">
        <v>197</v>
      </c>
      <c r="L543" t="s">
        <v>33</v>
      </c>
      <c r="M543" t="s">
        <v>1978</v>
      </c>
      <c r="N543" t="s">
        <v>2005</v>
      </c>
      <c r="O543" t="s">
        <v>2006</v>
      </c>
      <c r="P543" s="2" t="s">
        <v>26</v>
      </c>
      <c r="Q543" t="s">
        <v>50</v>
      </c>
      <c r="R543">
        <v>1.32</v>
      </c>
      <c r="S543">
        <v>1.32</v>
      </c>
      <c r="T543" t="s">
        <v>2007</v>
      </c>
    </row>
    <row r="544" spans="1:20" x14ac:dyDescent="0.25">
      <c r="A544" s="1" t="str">
        <f>HYPERLINK("https://vegkart.atlas.vegvesen.no/#/@197381.2,6553746.0,18/hva:hva%5B0%5D%5Bfilter%5D%5B0%5D%5Boperator%5D=%21%3D&amp;hva%5B0%5D%5Bfilter%5D%5B0%5D%5Btype_id%5D=8922&amp;hva%5B0%5D%5Bfilter%5D%5B0%5D%5Bverdi%5D=&amp;hva%5B0%5D%5Bid%5D=451/når:2022-11-04", "Vegkart")</f>
        <v>Vegkart</v>
      </c>
      <c r="B544">
        <v>563424657</v>
      </c>
      <c r="C544">
        <v>451</v>
      </c>
      <c r="D544" t="s">
        <v>1801</v>
      </c>
      <c r="E544">
        <v>8922</v>
      </c>
      <c r="F544" t="s">
        <v>23479</v>
      </c>
      <c r="G544">
        <v>3</v>
      </c>
      <c r="H544" t="s">
        <v>1802</v>
      </c>
      <c r="J544" t="s">
        <v>1803</v>
      </c>
      <c r="K544" t="s">
        <v>197</v>
      </c>
      <c r="L544" t="s">
        <v>33</v>
      </c>
      <c r="M544" t="s">
        <v>1978</v>
      </c>
      <c r="N544" t="s">
        <v>2008</v>
      </c>
      <c r="O544" t="s">
        <v>2009</v>
      </c>
      <c r="P544" s="2" t="s">
        <v>26</v>
      </c>
      <c r="Q544" t="s">
        <v>50</v>
      </c>
      <c r="R544">
        <v>1.26</v>
      </c>
      <c r="S544">
        <v>1.26</v>
      </c>
      <c r="T544" t="s">
        <v>2010</v>
      </c>
    </row>
    <row r="545" spans="1:20" x14ac:dyDescent="0.25">
      <c r="A545" s="1" t="str">
        <f>HYPERLINK("https://vegkart.atlas.vegvesen.no/#/@195735.6,6559322.4,18/hva:hva%5B0%5D%5Bfilter%5D%5B0%5D%5Boperator%5D=%21%3D&amp;hva%5B0%5D%5Bfilter%5D%5B0%5D%5Btype_id%5D=8922&amp;hva%5B0%5D%5Bfilter%5D%5B0%5D%5Bverdi%5D=&amp;hva%5B0%5D%5Bid%5D=451/når:2013-10-23", "Vegkart")</f>
        <v>Vegkart</v>
      </c>
      <c r="B545">
        <v>565123479</v>
      </c>
      <c r="C545">
        <v>451</v>
      </c>
      <c r="D545" t="s">
        <v>1801</v>
      </c>
      <c r="E545">
        <v>8922</v>
      </c>
      <c r="F545" t="s">
        <v>23479</v>
      </c>
      <c r="G545">
        <v>1</v>
      </c>
      <c r="H545" t="s">
        <v>2011</v>
      </c>
      <c r="J545" t="s">
        <v>1803</v>
      </c>
      <c r="K545" t="s">
        <v>197</v>
      </c>
      <c r="L545" t="s">
        <v>113</v>
      </c>
      <c r="M545" t="s">
        <v>2012</v>
      </c>
      <c r="N545" t="s">
        <v>2013</v>
      </c>
      <c r="O545" t="s">
        <v>2014</v>
      </c>
      <c r="P545" s="2" t="s">
        <v>26</v>
      </c>
      <c r="Q545" t="s">
        <v>50</v>
      </c>
      <c r="R545">
        <v>1.27</v>
      </c>
      <c r="S545">
        <v>1.27</v>
      </c>
      <c r="T545" t="s">
        <v>2015</v>
      </c>
    </row>
    <row r="546" spans="1:20" x14ac:dyDescent="0.25">
      <c r="A546" s="1" t="str">
        <f>HYPERLINK("https://vegkart.atlas.vegvesen.no/#/@195705.7,6559286.5,18/hva:hva%5B0%5D%5Bfilter%5D%5B0%5D%5Boperator%5D=%21%3D&amp;hva%5B0%5D%5Bfilter%5D%5B0%5D%5Btype_id%5D=8922&amp;hva%5B0%5D%5Bfilter%5D%5B0%5D%5Bverdi%5D=&amp;hva%5B0%5D%5Bid%5D=451/når:2013-10-23", "Vegkart")</f>
        <v>Vegkart</v>
      </c>
      <c r="B546">
        <v>565123480</v>
      </c>
      <c r="C546">
        <v>451</v>
      </c>
      <c r="D546" t="s">
        <v>1801</v>
      </c>
      <c r="E546">
        <v>8922</v>
      </c>
      <c r="F546" t="s">
        <v>23479</v>
      </c>
      <c r="G546">
        <v>1</v>
      </c>
      <c r="H546" t="s">
        <v>2011</v>
      </c>
      <c r="J546" t="s">
        <v>1803</v>
      </c>
      <c r="K546" t="s">
        <v>197</v>
      </c>
      <c r="L546" t="s">
        <v>113</v>
      </c>
      <c r="M546" t="s">
        <v>2012</v>
      </c>
      <c r="N546" t="s">
        <v>2016</v>
      </c>
      <c r="O546" t="s">
        <v>2017</v>
      </c>
      <c r="P546" s="2" t="s">
        <v>26</v>
      </c>
      <c r="Q546" t="s">
        <v>50</v>
      </c>
      <c r="R546">
        <v>1.25</v>
      </c>
      <c r="S546">
        <v>1.25</v>
      </c>
      <c r="T546" t="s">
        <v>2018</v>
      </c>
    </row>
    <row r="547" spans="1:20" x14ac:dyDescent="0.25">
      <c r="A547" s="1" t="str">
        <f>HYPERLINK("https://vegkart.atlas.vegvesen.no/#/@195945.6,6562304.2,18/hva:hva%5B0%5D%5Bfilter%5D%5B0%5D%5Boperator%5D=%21%3D&amp;hva%5B0%5D%5Bfilter%5D%5B0%5D%5Btype_id%5D=8922&amp;hva%5B0%5D%5Bfilter%5D%5B0%5D%5Bverdi%5D=&amp;hva%5B0%5D%5Bid%5D=451/når:2022-09-08", "Vegkart")</f>
        <v>Vegkart</v>
      </c>
      <c r="B547">
        <v>565274039</v>
      </c>
      <c r="C547">
        <v>451</v>
      </c>
      <c r="D547" t="s">
        <v>1801</v>
      </c>
      <c r="E547">
        <v>8922</v>
      </c>
      <c r="F547" t="s">
        <v>23479</v>
      </c>
      <c r="G547">
        <v>3</v>
      </c>
      <c r="H547" t="s">
        <v>2019</v>
      </c>
      <c r="J547" t="s">
        <v>1803</v>
      </c>
      <c r="K547" t="s">
        <v>197</v>
      </c>
      <c r="L547" t="s">
        <v>33</v>
      </c>
      <c r="M547" t="s">
        <v>2012</v>
      </c>
      <c r="N547" t="s">
        <v>2020</v>
      </c>
      <c r="O547" t="s">
        <v>2021</v>
      </c>
      <c r="P547" s="2" t="s">
        <v>26</v>
      </c>
      <c r="Q547" t="s">
        <v>50</v>
      </c>
      <c r="R547">
        <v>1.21</v>
      </c>
      <c r="S547">
        <v>1.21</v>
      </c>
      <c r="T547" t="s">
        <v>2022</v>
      </c>
    </row>
    <row r="548" spans="1:20" x14ac:dyDescent="0.25">
      <c r="A548" s="1" t="str">
        <f>HYPERLINK("https://vegkart.atlas.vegvesen.no/#/@107104.2,6474664.6,18/hva:hva%5B0%5D%5Bfilter%5D%5B0%5D%5Boperator%5D=%21%3D&amp;hva%5B0%5D%5Bfilter%5D%5B0%5D%5Btype_id%5D=8922&amp;hva%5B0%5D%5Bfilter%5D%5B0%5D%5Bverdi%5D=&amp;hva%5B0%5D%5Bid%5D=451/når:2014-06-12", "Vegkart")</f>
        <v>Vegkart</v>
      </c>
      <c r="B548">
        <v>568968327</v>
      </c>
      <c r="C548">
        <v>451</v>
      </c>
      <c r="D548" t="s">
        <v>1801</v>
      </c>
      <c r="E548">
        <v>8922</v>
      </c>
      <c r="F548" t="s">
        <v>23479</v>
      </c>
      <c r="G548">
        <v>1</v>
      </c>
      <c r="H548" t="s">
        <v>2023</v>
      </c>
      <c r="J548" t="s">
        <v>1803</v>
      </c>
      <c r="K548" t="s">
        <v>86</v>
      </c>
      <c r="L548" t="s">
        <v>80</v>
      </c>
      <c r="M548" t="s">
        <v>53</v>
      </c>
      <c r="N548" t="s">
        <v>2024</v>
      </c>
      <c r="O548" t="s">
        <v>2025</v>
      </c>
      <c r="P548" s="2" t="s">
        <v>26</v>
      </c>
      <c r="Q548" t="s">
        <v>50</v>
      </c>
      <c r="R548">
        <v>4.5199999999999996</v>
      </c>
      <c r="S548">
        <v>4.5199999999999996</v>
      </c>
      <c r="T548" t="s">
        <v>2026</v>
      </c>
    </row>
    <row r="549" spans="1:20" x14ac:dyDescent="0.25">
      <c r="A549" s="1" t="str">
        <f>HYPERLINK("https://vegkart.atlas.vegvesen.no/#/@141242.1,6499682.2,18/hva:hva%5B0%5D%5Bfilter%5D%5B0%5D%5Boperator%5D=%21%3D&amp;hva%5B0%5D%5Bfilter%5D%5B0%5D%5Btype_id%5D=8922&amp;hva%5B0%5D%5Bfilter%5D%5B0%5D%5Bverdi%5D=&amp;hva%5B0%5D%5Bid%5D=451/når:2015-02-06", "Vegkart")</f>
        <v>Vegkart</v>
      </c>
      <c r="B549">
        <v>587522051</v>
      </c>
      <c r="C549">
        <v>451</v>
      </c>
      <c r="D549" t="s">
        <v>1801</v>
      </c>
      <c r="E549">
        <v>8922</v>
      </c>
      <c r="F549" t="s">
        <v>23479</v>
      </c>
      <c r="G549">
        <v>1</v>
      </c>
      <c r="H549" t="s">
        <v>2027</v>
      </c>
      <c r="J549" t="s">
        <v>1803</v>
      </c>
      <c r="K549" t="s">
        <v>86</v>
      </c>
      <c r="L549" t="s">
        <v>33</v>
      </c>
      <c r="M549" t="s">
        <v>2028</v>
      </c>
      <c r="N549" t="s">
        <v>2029</v>
      </c>
      <c r="O549" t="s">
        <v>2030</v>
      </c>
      <c r="P549" s="2" t="s">
        <v>26</v>
      </c>
      <c r="Q549" t="s">
        <v>50</v>
      </c>
      <c r="R549">
        <v>2.73</v>
      </c>
      <c r="S549">
        <v>2.73</v>
      </c>
      <c r="T549" t="s">
        <v>2031</v>
      </c>
    </row>
    <row r="550" spans="1:20" x14ac:dyDescent="0.25">
      <c r="A550" s="1" t="str">
        <f>HYPERLINK("https://vegkart.atlas.vegvesen.no/#/@83410.6,6466772.2,18/hva:hva%5B0%5D%5Bfilter%5D%5B0%5D%5Boperator%5D=%21%3D&amp;hva%5B0%5D%5Bfilter%5D%5B0%5D%5Btype_id%5D=8922&amp;hva%5B0%5D%5Bfilter%5D%5B0%5D%5Bverdi%5D=&amp;hva%5B0%5D%5Bid%5D=451/når:2024-11-29", "Vegkart")</f>
        <v>Vegkart</v>
      </c>
      <c r="B550">
        <v>588423036</v>
      </c>
      <c r="C550">
        <v>451</v>
      </c>
      <c r="D550" t="s">
        <v>1801</v>
      </c>
      <c r="E550">
        <v>8922</v>
      </c>
      <c r="F550" t="s">
        <v>23479</v>
      </c>
      <c r="G550">
        <v>3</v>
      </c>
      <c r="H550" t="s">
        <v>1896</v>
      </c>
      <c r="J550" t="s">
        <v>1803</v>
      </c>
      <c r="K550" t="s">
        <v>86</v>
      </c>
      <c r="L550" t="s">
        <v>80</v>
      </c>
      <c r="M550" t="s">
        <v>81</v>
      </c>
      <c r="N550" t="s">
        <v>2032</v>
      </c>
      <c r="O550" t="s">
        <v>2033</v>
      </c>
      <c r="P550" s="2" t="s">
        <v>165</v>
      </c>
      <c r="Q550" t="s">
        <v>166</v>
      </c>
      <c r="R550">
        <v>0</v>
      </c>
      <c r="S550">
        <v>18.579999999999998</v>
      </c>
      <c r="T550" t="s">
        <v>167</v>
      </c>
    </row>
    <row r="551" spans="1:20" x14ac:dyDescent="0.25">
      <c r="A551" s="1" t="str">
        <f>HYPERLINK("https://vegkart.atlas.vegvesen.no/#/@-58393.4,6606495.1,18/hva:hva%5B0%5D%5Bfilter%5D%5B0%5D%5Boperator%5D=%21%3D&amp;hva%5B0%5D%5Bfilter%5D%5B0%5D%5Btype_id%5D=8922&amp;hva%5B0%5D%5Bfilter%5D%5B0%5D%5Bverdi%5D=&amp;hva%5B0%5D%5Bid%5D=451/når:2015-04-10", "Vegkart")</f>
        <v>Vegkart</v>
      </c>
      <c r="B551">
        <v>590899915</v>
      </c>
      <c r="C551">
        <v>451</v>
      </c>
      <c r="D551" t="s">
        <v>1801</v>
      </c>
      <c r="E551">
        <v>8922</v>
      </c>
      <c r="F551" t="s">
        <v>23479</v>
      </c>
      <c r="G551">
        <v>1</v>
      </c>
      <c r="H551" t="s">
        <v>2034</v>
      </c>
      <c r="J551" t="s">
        <v>1803</v>
      </c>
      <c r="K551" t="s">
        <v>170</v>
      </c>
      <c r="L551" t="s">
        <v>33</v>
      </c>
      <c r="M551" t="s">
        <v>512</v>
      </c>
      <c r="N551" t="s">
        <v>2035</v>
      </c>
      <c r="O551" t="s">
        <v>2036</v>
      </c>
      <c r="P551" s="2" t="s">
        <v>26</v>
      </c>
      <c r="Q551" t="s">
        <v>50</v>
      </c>
      <c r="R551">
        <v>2.77</v>
      </c>
      <c r="S551">
        <v>2.77</v>
      </c>
      <c r="T551" t="s">
        <v>2037</v>
      </c>
    </row>
    <row r="552" spans="1:20" x14ac:dyDescent="0.25">
      <c r="A552" s="1" t="str">
        <f>HYPERLINK("https://vegkart.atlas.vegvesen.no/#/@192851.1,6574511.1,18/hva:hva%5B0%5D%5Bfilter%5D%5B0%5D%5Boperator%5D=%21%3D&amp;hva%5B0%5D%5Bfilter%5D%5B0%5D%5Btype_id%5D=8922&amp;hva%5B0%5D%5Bfilter%5D%5B0%5D%5Bverdi%5D=&amp;hva%5B0%5D%5Bid%5D=451/når:2022-11-04", "Vegkart")</f>
        <v>Vegkart</v>
      </c>
      <c r="B552">
        <v>591336591</v>
      </c>
      <c r="C552">
        <v>451</v>
      </c>
      <c r="D552" t="s">
        <v>1801</v>
      </c>
      <c r="E552">
        <v>8922</v>
      </c>
      <c r="F552" t="s">
        <v>23479</v>
      </c>
      <c r="G552">
        <v>3</v>
      </c>
      <c r="H552" t="s">
        <v>1802</v>
      </c>
      <c r="J552" t="s">
        <v>1803</v>
      </c>
      <c r="K552" t="s">
        <v>197</v>
      </c>
      <c r="L552" t="s">
        <v>33</v>
      </c>
      <c r="M552" t="s">
        <v>132</v>
      </c>
      <c r="N552" t="s">
        <v>2038</v>
      </c>
      <c r="O552" t="s">
        <v>2039</v>
      </c>
      <c r="P552" s="2" t="s">
        <v>26</v>
      </c>
      <c r="Q552" t="s">
        <v>50</v>
      </c>
      <c r="R552">
        <v>0.72</v>
      </c>
      <c r="S552">
        <v>0.72</v>
      </c>
      <c r="T552" t="s">
        <v>2040</v>
      </c>
    </row>
    <row r="553" spans="1:20" x14ac:dyDescent="0.25">
      <c r="A553" s="1" t="str">
        <f>HYPERLINK("https://vegkart.atlas.vegvesen.no/#/@191533.3,6574207.1,18/hva:hva%5B0%5D%5Bfilter%5D%5B0%5D%5Boperator%5D=%21%3D&amp;hva%5B0%5D%5Bfilter%5D%5B0%5D%5Btype_id%5D=8922&amp;hva%5B0%5D%5Bfilter%5D%5B0%5D%5Bverdi%5D=&amp;hva%5B0%5D%5Bid%5D=451/når:2022-11-04", "Vegkart")</f>
        <v>Vegkart</v>
      </c>
      <c r="B553">
        <v>592366319</v>
      </c>
      <c r="C553">
        <v>451</v>
      </c>
      <c r="D553" t="s">
        <v>1801</v>
      </c>
      <c r="E553">
        <v>8922</v>
      </c>
      <c r="F553" t="s">
        <v>23479</v>
      </c>
      <c r="G553">
        <v>3</v>
      </c>
      <c r="H553" t="s">
        <v>1802</v>
      </c>
      <c r="J553" t="s">
        <v>1803</v>
      </c>
      <c r="K553" t="s">
        <v>197</v>
      </c>
      <c r="L553" t="s">
        <v>33</v>
      </c>
      <c r="M553" t="s">
        <v>1994</v>
      </c>
      <c r="N553" t="s">
        <v>2041</v>
      </c>
      <c r="O553" t="s">
        <v>2042</v>
      </c>
      <c r="P553" s="2" t="s">
        <v>26</v>
      </c>
      <c r="Q553" t="s">
        <v>50</v>
      </c>
      <c r="R553">
        <v>1.1399999999999999</v>
      </c>
      <c r="S553">
        <v>1.1399999999999999</v>
      </c>
      <c r="T553" t="s">
        <v>2043</v>
      </c>
    </row>
    <row r="554" spans="1:20" x14ac:dyDescent="0.25">
      <c r="A554" s="1" t="str">
        <f>HYPERLINK("https://vegkart.atlas.vegvesen.no/#/@191474.8,6574218.0,18/hva:hva%5B0%5D%5Bfilter%5D%5B0%5D%5Boperator%5D=%21%3D&amp;hva%5B0%5D%5Bfilter%5D%5B0%5D%5Btype_id%5D=8922&amp;hva%5B0%5D%5Bfilter%5D%5B0%5D%5Bverdi%5D=&amp;hva%5B0%5D%5Bid%5D=451/når:2022-11-04", "Vegkart")</f>
        <v>Vegkart</v>
      </c>
      <c r="B554">
        <v>592366322</v>
      </c>
      <c r="C554">
        <v>451</v>
      </c>
      <c r="D554" t="s">
        <v>1801</v>
      </c>
      <c r="E554">
        <v>8922</v>
      </c>
      <c r="F554" t="s">
        <v>23479</v>
      </c>
      <c r="G554">
        <v>3</v>
      </c>
      <c r="H554" t="s">
        <v>1802</v>
      </c>
      <c r="J554" t="s">
        <v>1803</v>
      </c>
      <c r="K554" t="s">
        <v>197</v>
      </c>
      <c r="L554" t="s">
        <v>33</v>
      </c>
      <c r="M554" t="s">
        <v>1994</v>
      </c>
      <c r="N554" t="s">
        <v>2044</v>
      </c>
      <c r="O554" t="s">
        <v>2045</v>
      </c>
      <c r="P554" s="2" t="s">
        <v>26</v>
      </c>
      <c r="Q554" t="s">
        <v>50</v>
      </c>
      <c r="R554">
        <v>1.6</v>
      </c>
      <c r="S554">
        <v>1.6</v>
      </c>
      <c r="T554" t="s">
        <v>2046</v>
      </c>
    </row>
    <row r="555" spans="1:20" x14ac:dyDescent="0.25">
      <c r="A555" s="1" t="str">
        <f>HYPERLINK("https://vegkart.atlas.vegvesen.no/#/@89790.6,6468008.4,18/hva:hva%5B0%5D%5Bfilter%5D%5B0%5D%5Boperator%5D=%21%3D&amp;hva%5B0%5D%5Bfilter%5D%5B0%5D%5Btype_id%5D=8922&amp;hva%5B0%5D%5Bfilter%5D%5B0%5D%5Bverdi%5D=&amp;hva%5B0%5D%5Bid%5D=451/når:2015-09-21", "Vegkart")</f>
        <v>Vegkart</v>
      </c>
      <c r="B555">
        <v>634638041</v>
      </c>
      <c r="C555">
        <v>451</v>
      </c>
      <c r="D555" t="s">
        <v>1801</v>
      </c>
      <c r="E555">
        <v>8922</v>
      </c>
      <c r="F555" t="s">
        <v>23479</v>
      </c>
      <c r="G555">
        <v>1</v>
      </c>
      <c r="H555" t="s">
        <v>2047</v>
      </c>
      <c r="J555" t="s">
        <v>1803</v>
      </c>
      <c r="K555" t="s">
        <v>86</v>
      </c>
      <c r="L555" t="s">
        <v>80</v>
      </c>
      <c r="M555" t="s">
        <v>53</v>
      </c>
      <c r="N555" t="s">
        <v>2048</v>
      </c>
      <c r="O555" t="s">
        <v>2049</v>
      </c>
      <c r="P555" s="2" t="s">
        <v>26</v>
      </c>
      <c r="Q555" t="s">
        <v>50</v>
      </c>
      <c r="R555">
        <v>6.52</v>
      </c>
      <c r="S555">
        <v>6.52</v>
      </c>
      <c r="T555" t="s">
        <v>2050</v>
      </c>
    </row>
    <row r="556" spans="1:20" x14ac:dyDescent="0.25">
      <c r="A556" s="1" t="str">
        <f>HYPERLINK("https://vegkart.atlas.vegvesen.no/#/@239219.3,6581606.5,18/hva:hva%5B0%5D%5Bfilter%5D%5B0%5D%5Boperator%5D=%21%3D&amp;hva%5B0%5D%5Bfilter%5D%5B0%5D%5Btype_id%5D=8922&amp;hva%5B0%5D%5Bfilter%5D%5B0%5D%5Bverdi%5D=&amp;hva%5B0%5D%5Bid%5D=451/når:2024-10-11", "Vegkart")</f>
        <v>Vegkart</v>
      </c>
      <c r="B556">
        <v>667833353</v>
      </c>
      <c r="C556">
        <v>451</v>
      </c>
      <c r="D556" t="s">
        <v>1801</v>
      </c>
      <c r="E556">
        <v>8922</v>
      </c>
      <c r="F556" t="s">
        <v>23479</v>
      </c>
      <c r="G556">
        <v>4</v>
      </c>
      <c r="H556" t="s">
        <v>2051</v>
      </c>
      <c r="J556" t="s">
        <v>2052</v>
      </c>
      <c r="K556" t="s">
        <v>81</v>
      </c>
      <c r="L556" t="s">
        <v>33</v>
      </c>
      <c r="M556" t="s">
        <v>2053</v>
      </c>
      <c r="N556" t="s">
        <v>2054</v>
      </c>
      <c r="O556" t="s">
        <v>2055</v>
      </c>
      <c r="P556" s="2" t="s">
        <v>165</v>
      </c>
      <c r="Q556" t="s">
        <v>311</v>
      </c>
      <c r="R556">
        <v>7.7</v>
      </c>
      <c r="S556">
        <v>7.7</v>
      </c>
      <c r="T556" t="s">
        <v>167</v>
      </c>
    </row>
    <row r="557" spans="1:20" x14ac:dyDescent="0.25">
      <c r="A557" s="1" t="str">
        <f>HYPERLINK("https://vegkart.atlas.vegvesen.no/#/@243686.5,6595001.6,18/hva:hva%5B0%5D%5Bfilter%5D%5B0%5D%5Boperator%5D=%21%3D&amp;hva%5B0%5D%5Bfilter%5D%5B0%5D%5Btype_id%5D=8922&amp;hva%5B0%5D%5Bfilter%5D%5B0%5D%5Bverdi%5D=&amp;hva%5B0%5D%5Bid%5D=451/når:2022-11-04", "Vegkart")</f>
        <v>Vegkart</v>
      </c>
      <c r="B557">
        <v>671925560</v>
      </c>
      <c r="C557">
        <v>451</v>
      </c>
      <c r="D557" t="s">
        <v>1801</v>
      </c>
      <c r="E557">
        <v>8922</v>
      </c>
      <c r="F557" t="s">
        <v>23479</v>
      </c>
      <c r="G557">
        <v>3</v>
      </c>
      <c r="H557" t="s">
        <v>1802</v>
      </c>
      <c r="J557" t="s">
        <v>2052</v>
      </c>
      <c r="K557" t="s">
        <v>81</v>
      </c>
      <c r="L557" t="s">
        <v>22</v>
      </c>
      <c r="M557" t="s">
        <v>2056</v>
      </c>
      <c r="N557" t="s">
        <v>2057</v>
      </c>
      <c r="O557" t="s">
        <v>2058</v>
      </c>
      <c r="P557" s="2" t="s">
        <v>26</v>
      </c>
      <c r="Q557" t="s">
        <v>50</v>
      </c>
      <c r="R557">
        <v>2.42</v>
      </c>
      <c r="S557">
        <v>2.42</v>
      </c>
      <c r="T557" t="s">
        <v>2059</v>
      </c>
    </row>
    <row r="558" spans="1:20" x14ac:dyDescent="0.25">
      <c r="A558" s="1" t="str">
        <f>HYPERLINK("https://vegkart.atlas.vegvesen.no/#/@243583.7,6594712.1,18/hva:hva%5B0%5D%5Bfilter%5D%5B0%5D%5Boperator%5D=%21%3D&amp;hva%5B0%5D%5Bfilter%5D%5B0%5D%5Btype_id%5D=8922&amp;hva%5B0%5D%5Bfilter%5D%5B0%5D%5Bverdi%5D=&amp;hva%5B0%5D%5Bid%5D=451/når:2022-11-04", "Vegkart")</f>
        <v>Vegkart</v>
      </c>
      <c r="B558">
        <v>671925566</v>
      </c>
      <c r="C558">
        <v>451</v>
      </c>
      <c r="D558" t="s">
        <v>1801</v>
      </c>
      <c r="E558">
        <v>8922</v>
      </c>
      <c r="F558" t="s">
        <v>23479</v>
      </c>
      <c r="G558">
        <v>3</v>
      </c>
      <c r="H558" t="s">
        <v>1802</v>
      </c>
      <c r="J558" t="s">
        <v>2052</v>
      </c>
      <c r="K558" t="s">
        <v>81</v>
      </c>
      <c r="L558" t="s">
        <v>22</v>
      </c>
      <c r="M558" t="s">
        <v>2056</v>
      </c>
      <c r="N558" t="s">
        <v>2060</v>
      </c>
      <c r="O558" t="s">
        <v>2061</v>
      </c>
      <c r="P558" s="2" t="s">
        <v>26</v>
      </c>
      <c r="Q558" t="s">
        <v>50</v>
      </c>
      <c r="R558">
        <v>3.28</v>
      </c>
      <c r="S558">
        <v>3.28</v>
      </c>
      <c r="T558" t="s">
        <v>2062</v>
      </c>
    </row>
    <row r="559" spans="1:20" x14ac:dyDescent="0.25">
      <c r="A559" s="1" t="str">
        <f>HYPERLINK("https://vegkart.atlas.vegvesen.no/#/@243535.7,6594648.8,18/hva:hva%5B0%5D%5Bfilter%5D%5B0%5D%5Boperator%5D=%21%3D&amp;hva%5B0%5D%5Bfilter%5D%5B0%5D%5Btype_id%5D=8922&amp;hva%5B0%5D%5Bfilter%5D%5B0%5D%5Bverdi%5D=&amp;hva%5B0%5D%5Bid%5D=451/når:2022-11-04", "Vegkart")</f>
        <v>Vegkart</v>
      </c>
      <c r="B559">
        <v>671925567</v>
      </c>
      <c r="C559">
        <v>451</v>
      </c>
      <c r="D559" t="s">
        <v>1801</v>
      </c>
      <c r="E559">
        <v>8922</v>
      </c>
      <c r="F559" t="s">
        <v>23479</v>
      </c>
      <c r="G559">
        <v>3</v>
      </c>
      <c r="H559" t="s">
        <v>1802</v>
      </c>
      <c r="J559" t="s">
        <v>2052</v>
      </c>
      <c r="K559" t="s">
        <v>81</v>
      </c>
      <c r="L559" t="s">
        <v>22</v>
      </c>
      <c r="M559" t="s">
        <v>2056</v>
      </c>
      <c r="N559" t="s">
        <v>2063</v>
      </c>
      <c r="O559" t="s">
        <v>2064</v>
      </c>
      <c r="P559" s="2" t="s">
        <v>26</v>
      </c>
      <c r="Q559" t="s">
        <v>50</v>
      </c>
      <c r="R559">
        <v>1.55</v>
      </c>
      <c r="S559">
        <v>1.55</v>
      </c>
      <c r="T559" t="s">
        <v>2065</v>
      </c>
    </row>
    <row r="560" spans="1:20" x14ac:dyDescent="0.25">
      <c r="A560" s="1" t="str">
        <f>HYPERLINK("https://vegkart.atlas.vegvesen.no/#/@237262.2,6575932.1,18/hva:hva%5B0%5D%5Bfilter%5D%5B0%5D%5Boperator%5D=%21%3D&amp;hva%5B0%5D%5Bfilter%5D%5B0%5D%5Btype_id%5D=8922&amp;hva%5B0%5D%5Bfilter%5D%5B0%5D%5Bverdi%5D=&amp;hva%5B0%5D%5Bid%5D=451/når:2022-11-04", "Vegkart")</f>
        <v>Vegkart</v>
      </c>
      <c r="B560">
        <v>672611653</v>
      </c>
      <c r="C560">
        <v>451</v>
      </c>
      <c r="D560" t="s">
        <v>1801</v>
      </c>
      <c r="E560">
        <v>8922</v>
      </c>
      <c r="F560" t="s">
        <v>23479</v>
      </c>
      <c r="G560">
        <v>3</v>
      </c>
      <c r="H560" t="s">
        <v>1802</v>
      </c>
      <c r="J560" t="s">
        <v>2052</v>
      </c>
      <c r="K560" t="s">
        <v>81</v>
      </c>
      <c r="L560" t="s">
        <v>33</v>
      </c>
      <c r="M560" t="s">
        <v>2066</v>
      </c>
      <c r="N560" t="s">
        <v>2067</v>
      </c>
      <c r="O560" t="s">
        <v>2068</v>
      </c>
      <c r="P560" s="2" t="s">
        <v>26</v>
      </c>
      <c r="Q560" t="s">
        <v>50</v>
      </c>
      <c r="R560">
        <v>1.39</v>
      </c>
      <c r="S560">
        <v>1.39</v>
      </c>
      <c r="T560" t="s">
        <v>2069</v>
      </c>
    </row>
    <row r="561" spans="1:20" x14ac:dyDescent="0.25">
      <c r="A561" s="1" t="str">
        <f>HYPERLINK("https://vegkart.atlas.vegvesen.no/#/@238166.5,6576098.1,18/hva:hva%5B0%5D%5Bfilter%5D%5B0%5D%5Boperator%5D=%21%3D&amp;hva%5B0%5D%5Bfilter%5D%5B0%5D%5Btype_id%5D=8922&amp;hva%5B0%5D%5Bfilter%5D%5B0%5D%5Bverdi%5D=&amp;hva%5B0%5D%5Bid%5D=451/når:2022-11-04", "Vegkart")</f>
        <v>Vegkart</v>
      </c>
      <c r="B561">
        <v>672692019</v>
      </c>
      <c r="C561">
        <v>451</v>
      </c>
      <c r="D561" t="s">
        <v>1801</v>
      </c>
      <c r="E561">
        <v>8922</v>
      </c>
      <c r="F561" t="s">
        <v>23479</v>
      </c>
      <c r="G561">
        <v>3</v>
      </c>
      <c r="H561" t="s">
        <v>1802</v>
      </c>
      <c r="J561" t="s">
        <v>2052</v>
      </c>
      <c r="K561" t="s">
        <v>81</v>
      </c>
      <c r="L561" t="s">
        <v>33</v>
      </c>
      <c r="M561" t="s">
        <v>1940</v>
      </c>
      <c r="N561" t="s">
        <v>2070</v>
      </c>
      <c r="O561" t="s">
        <v>2071</v>
      </c>
      <c r="P561" s="2" t="s">
        <v>26</v>
      </c>
      <c r="Q561" t="s">
        <v>50</v>
      </c>
      <c r="R561">
        <v>1.66</v>
      </c>
      <c r="S561">
        <v>1.66</v>
      </c>
      <c r="T561" t="s">
        <v>2072</v>
      </c>
    </row>
    <row r="562" spans="1:20" x14ac:dyDescent="0.25">
      <c r="A562" s="1" t="str">
        <f>HYPERLINK("https://vegkart.atlas.vegvesen.no/#/@238060.1,6574890.9,18/hva:hva%5B0%5D%5Bfilter%5D%5B0%5D%5Boperator%5D=%21%3D&amp;hva%5B0%5D%5Bfilter%5D%5B0%5D%5Btype_id%5D=8922&amp;hva%5B0%5D%5Bfilter%5D%5B0%5D%5Bverdi%5D=&amp;hva%5B0%5D%5Bid%5D=451/når:2022-11-04", "Vegkart")</f>
        <v>Vegkart</v>
      </c>
      <c r="B562">
        <v>675302072</v>
      </c>
      <c r="C562">
        <v>451</v>
      </c>
      <c r="D562" t="s">
        <v>1801</v>
      </c>
      <c r="E562">
        <v>8922</v>
      </c>
      <c r="F562" t="s">
        <v>23479</v>
      </c>
      <c r="G562">
        <v>3</v>
      </c>
      <c r="H562" t="s">
        <v>1802</v>
      </c>
      <c r="J562" t="s">
        <v>2052</v>
      </c>
      <c r="K562" t="s">
        <v>81</v>
      </c>
      <c r="L562" t="s">
        <v>33</v>
      </c>
      <c r="M562" t="s">
        <v>1940</v>
      </c>
      <c r="N562" t="s">
        <v>2073</v>
      </c>
      <c r="O562" t="s">
        <v>2074</v>
      </c>
      <c r="P562" s="2" t="s">
        <v>26</v>
      </c>
      <c r="Q562" t="s">
        <v>50</v>
      </c>
      <c r="R562">
        <v>1</v>
      </c>
      <c r="S562">
        <v>1</v>
      </c>
      <c r="T562" t="s">
        <v>2075</v>
      </c>
    </row>
    <row r="563" spans="1:20" x14ac:dyDescent="0.25">
      <c r="A563" s="1" t="str">
        <f>HYPERLINK("https://vegkart.atlas.vegvesen.no/#/@253714.9,6596241.5,18/hva:hva%5B0%5D%5Bfilter%5D%5B0%5D%5Boperator%5D=%21%3D&amp;hva%5B0%5D%5Bfilter%5D%5B0%5D%5Btype_id%5D=8922&amp;hva%5B0%5D%5Bfilter%5D%5B0%5D%5Bverdi%5D=&amp;hva%5B0%5D%5Bid%5D=451/når:2016-08-15", "Vegkart")</f>
        <v>Vegkart</v>
      </c>
      <c r="B563">
        <v>724268103</v>
      </c>
      <c r="C563">
        <v>451</v>
      </c>
      <c r="D563" t="s">
        <v>1801</v>
      </c>
      <c r="E563">
        <v>8922</v>
      </c>
      <c r="F563" t="s">
        <v>23479</v>
      </c>
      <c r="G563">
        <v>1</v>
      </c>
      <c r="H563" t="s">
        <v>2076</v>
      </c>
      <c r="J563" t="s">
        <v>2052</v>
      </c>
      <c r="K563" t="s">
        <v>104</v>
      </c>
      <c r="L563" t="s">
        <v>22</v>
      </c>
      <c r="M563" t="s">
        <v>2077</v>
      </c>
      <c r="N563" t="s">
        <v>2078</v>
      </c>
      <c r="O563" t="s">
        <v>2079</v>
      </c>
      <c r="P563" s="2" t="s">
        <v>165</v>
      </c>
      <c r="Q563" t="s">
        <v>311</v>
      </c>
      <c r="R563">
        <v>50.82</v>
      </c>
      <c r="S563">
        <v>50.82</v>
      </c>
      <c r="T563" t="s">
        <v>167</v>
      </c>
    </row>
    <row r="564" spans="1:20" x14ac:dyDescent="0.25">
      <c r="A564" s="1" t="str">
        <f>HYPERLINK("https://vegkart.atlas.vegvesen.no/#/@254350.7,6595700.9,18/hva:hva%5B0%5D%5Bfilter%5D%5B0%5D%5Boperator%5D=%21%3D&amp;hva%5B0%5D%5Bfilter%5D%5B0%5D%5Btype_id%5D=8922&amp;hva%5B0%5D%5Bfilter%5D%5B0%5D%5Bverdi%5D=&amp;hva%5B0%5D%5Bid%5D=451/når:2016-08-15", "Vegkart")</f>
        <v>Vegkart</v>
      </c>
      <c r="B564">
        <v>724268109</v>
      </c>
      <c r="C564">
        <v>451</v>
      </c>
      <c r="D564" t="s">
        <v>1801</v>
      </c>
      <c r="E564">
        <v>8922</v>
      </c>
      <c r="F564" t="s">
        <v>23479</v>
      </c>
      <c r="G564">
        <v>1</v>
      </c>
      <c r="H564" t="s">
        <v>2076</v>
      </c>
      <c r="J564" t="s">
        <v>2052</v>
      </c>
      <c r="K564" t="s">
        <v>104</v>
      </c>
      <c r="L564" t="s">
        <v>22</v>
      </c>
      <c r="M564" t="s">
        <v>2080</v>
      </c>
      <c r="N564" t="s">
        <v>2081</v>
      </c>
      <c r="O564" t="s">
        <v>2082</v>
      </c>
      <c r="P564" s="2" t="s">
        <v>165</v>
      </c>
      <c r="Q564" t="s">
        <v>311</v>
      </c>
      <c r="R564">
        <v>37.97</v>
      </c>
      <c r="S564">
        <v>37.97</v>
      </c>
      <c r="T564" t="s">
        <v>167</v>
      </c>
    </row>
    <row r="565" spans="1:20" x14ac:dyDescent="0.25">
      <c r="A565" s="1" t="str">
        <f>HYPERLINK("https://vegkart.atlas.vegvesen.no/#/@268287.3,6570986.1,18/hva:hva%5B0%5D%5Bfilter%5D%5B0%5D%5Boperator%5D=%21%3D&amp;hva%5B0%5D%5Bfilter%5D%5B0%5D%5Btype_id%5D=8922&amp;hva%5B0%5D%5Bfilter%5D%5B0%5D%5Bverdi%5D=&amp;hva%5B0%5D%5Bid%5D=451/når:2016-08-15", "Vegkart")</f>
        <v>Vegkart</v>
      </c>
      <c r="B565">
        <v>724341432</v>
      </c>
      <c r="C565">
        <v>451</v>
      </c>
      <c r="D565" t="s">
        <v>1801</v>
      </c>
      <c r="E565">
        <v>8922</v>
      </c>
      <c r="F565" t="s">
        <v>23479</v>
      </c>
      <c r="G565">
        <v>1</v>
      </c>
      <c r="H565" t="s">
        <v>2076</v>
      </c>
      <c r="J565" t="s">
        <v>2052</v>
      </c>
      <c r="K565" t="s">
        <v>104</v>
      </c>
      <c r="L565" t="s">
        <v>22</v>
      </c>
      <c r="M565" t="s">
        <v>2083</v>
      </c>
      <c r="N565" t="s">
        <v>2084</v>
      </c>
      <c r="O565" t="s">
        <v>2085</v>
      </c>
      <c r="P565" s="2" t="s">
        <v>165</v>
      </c>
      <c r="Q565" t="s">
        <v>311</v>
      </c>
      <c r="R565">
        <v>22.11</v>
      </c>
      <c r="S565">
        <v>22.11</v>
      </c>
      <c r="T565" t="s">
        <v>167</v>
      </c>
    </row>
    <row r="566" spans="1:20" x14ac:dyDescent="0.25">
      <c r="A566" s="1" t="str">
        <f>HYPERLINK("https://vegkart.atlas.vegvesen.no/#/@192138.1,6576872.4,18/hva:hva%5B0%5D%5Bfilter%5D%5B0%5D%5Boperator%5D=%21%3D&amp;hva%5B0%5D%5Bfilter%5D%5B0%5D%5Btype_id%5D=8922&amp;hva%5B0%5D%5Bfilter%5D%5B0%5D%5Bverdi%5D=&amp;hva%5B0%5D%5Bid%5D=451/når:2022-07-06", "Vegkart")</f>
        <v>Vegkart</v>
      </c>
      <c r="B566">
        <v>801680774</v>
      </c>
      <c r="C566">
        <v>451</v>
      </c>
      <c r="D566" t="s">
        <v>1801</v>
      </c>
      <c r="E566">
        <v>8922</v>
      </c>
      <c r="F566" t="s">
        <v>23479</v>
      </c>
      <c r="G566">
        <v>2</v>
      </c>
      <c r="H566" t="s">
        <v>1974</v>
      </c>
      <c r="J566" t="s">
        <v>2052</v>
      </c>
      <c r="K566" t="s">
        <v>197</v>
      </c>
      <c r="L566" t="s">
        <v>33</v>
      </c>
      <c r="M566" t="s">
        <v>132</v>
      </c>
      <c r="N566" t="s">
        <v>2086</v>
      </c>
      <c r="O566" t="s">
        <v>2087</v>
      </c>
      <c r="P566" s="2" t="s">
        <v>37</v>
      </c>
      <c r="Q566" t="s">
        <v>1208</v>
      </c>
      <c r="R566">
        <v>16.43</v>
      </c>
      <c r="S566">
        <v>22.11</v>
      </c>
      <c r="T566" t="s">
        <v>2088</v>
      </c>
    </row>
    <row r="567" spans="1:20" x14ac:dyDescent="0.25">
      <c r="A567" s="1" t="str">
        <f>HYPERLINK("https://vegkart.atlas.vegvesen.no/#/@192110.0,6576907.8,18/hva:hva%5B0%5D%5Bfilter%5D%5B0%5D%5Boperator%5D=%21%3D&amp;hva%5B0%5D%5Bfilter%5D%5B0%5D%5Btype_id%5D=8922&amp;hva%5B0%5D%5Bfilter%5D%5B0%5D%5Bverdi%5D=&amp;hva%5B0%5D%5Bid%5D=451/når:2022-07-06", "Vegkart")</f>
        <v>Vegkart</v>
      </c>
      <c r="B567">
        <v>801680776</v>
      </c>
      <c r="C567">
        <v>451</v>
      </c>
      <c r="D567" t="s">
        <v>1801</v>
      </c>
      <c r="E567">
        <v>8922</v>
      </c>
      <c r="F567" t="s">
        <v>23479</v>
      </c>
      <c r="G567">
        <v>2</v>
      </c>
      <c r="H567" t="s">
        <v>1974</v>
      </c>
      <c r="J567" t="s">
        <v>2052</v>
      </c>
      <c r="K567" t="s">
        <v>197</v>
      </c>
      <c r="L567" t="s">
        <v>33</v>
      </c>
      <c r="M567" t="s">
        <v>132</v>
      </c>
      <c r="N567" t="s">
        <v>2089</v>
      </c>
      <c r="O567" t="s">
        <v>2090</v>
      </c>
      <c r="P567" s="2" t="s">
        <v>26</v>
      </c>
      <c r="Q567" t="s">
        <v>50</v>
      </c>
      <c r="R567">
        <v>8.98</v>
      </c>
      <c r="S567">
        <v>8.98</v>
      </c>
      <c r="T567" t="s">
        <v>2091</v>
      </c>
    </row>
    <row r="568" spans="1:20" x14ac:dyDescent="0.25">
      <c r="A568" s="1" t="str">
        <f>HYPERLINK("https://vegkart.atlas.vegvesen.no/#/@226328.2,6569681.3,18/hva:hva%5B0%5D%5Bfilter%5D%5B0%5D%5Boperator%5D=%21%3D&amp;hva%5B0%5D%5Bfilter%5D%5B0%5D%5Btype_id%5D=8922&amp;hva%5B0%5D%5Bfilter%5D%5B0%5D%5Bverdi%5D=&amp;hva%5B0%5D%5Bid%5D=451/når:2022-12-16", "Vegkart")</f>
        <v>Vegkart</v>
      </c>
      <c r="B568">
        <v>816053077</v>
      </c>
      <c r="C568">
        <v>451</v>
      </c>
      <c r="D568" t="s">
        <v>1801</v>
      </c>
      <c r="E568">
        <v>8922</v>
      </c>
      <c r="F568" t="s">
        <v>23479</v>
      </c>
      <c r="G568">
        <v>2</v>
      </c>
      <c r="H568" t="s">
        <v>2092</v>
      </c>
      <c r="J568" t="s">
        <v>2052</v>
      </c>
      <c r="K568" t="s">
        <v>81</v>
      </c>
      <c r="L568" t="s">
        <v>80</v>
      </c>
      <c r="M568" t="s">
        <v>53</v>
      </c>
      <c r="N568" t="s">
        <v>2093</v>
      </c>
      <c r="O568" t="s">
        <v>2094</v>
      </c>
      <c r="P568" s="2" t="s">
        <v>26</v>
      </c>
      <c r="Q568" t="s">
        <v>50</v>
      </c>
      <c r="R568">
        <v>4.97</v>
      </c>
      <c r="S568">
        <v>4.97</v>
      </c>
      <c r="T568" t="s">
        <v>2095</v>
      </c>
    </row>
    <row r="569" spans="1:20" x14ac:dyDescent="0.25">
      <c r="A569" s="1" t="str">
        <f>HYPERLINK("https://vegkart.atlas.vegvesen.no/#/@307477.1,6644044.7,18/hva:hva%5B0%5D%5Bfilter%5D%5B0%5D%5Boperator%5D=%21%3D&amp;hva%5B0%5D%5Bfilter%5D%5B0%5D%5Btype_id%5D=8922&amp;hva%5B0%5D%5Bfilter%5D%5B0%5D%5Bverdi%5D=&amp;hva%5B0%5D%5Bid%5D=451/når:2017-10-27", "Vegkart")</f>
        <v>Vegkart</v>
      </c>
      <c r="B569">
        <v>844166214</v>
      </c>
      <c r="C569">
        <v>451</v>
      </c>
      <c r="D569" t="s">
        <v>1801</v>
      </c>
      <c r="E569">
        <v>8922</v>
      </c>
      <c r="F569" t="s">
        <v>23479</v>
      </c>
      <c r="G569">
        <v>1</v>
      </c>
      <c r="H569" t="s">
        <v>2096</v>
      </c>
      <c r="J569" t="s">
        <v>2052</v>
      </c>
      <c r="K569" t="s">
        <v>132</v>
      </c>
      <c r="L569" t="s">
        <v>33</v>
      </c>
      <c r="M569" t="s">
        <v>2097</v>
      </c>
      <c r="N569" t="s">
        <v>2098</v>
      </c>
      <c r="O569" t="s">
        <v>2099</v>
      </c>
      <c r="P569" s="2" t="s">
        <v>26</v>
      </c>
      <c r="Q569" t="s">
        <v>50</v>
      </c>
      <c r="R569">
        <v>7.18</v>
      </c>
      <c r="S569">
        <v>7.18</v>
      </c>
      <c r="T569" t="s">
        <v>2100</v>
      </c>
    </row>
    <row r="570" spans="1:20" x14ac:dyDescent="0.25">
      <c r="A570" s="1" t="str">
        <f>HYPERLINK("https://vegkart.atlas.vegvesen.no/#/@236810.4,6679225.2,18/hva:hva%5B0%5D%5Bfilter%5D%5B0%5D%5Boperator%5D=%21%3D&amp;hva%5B0%5D%5Bfilter%5D%5B0%5D%5Btype_id%5D=8922&amp;hva%5B0%5D%5Bfilter%5D%5B0%5D%5Bverdi%5D=&amp;hva%5B0%5D%5Bid%5D=451/når:2018-01-04", "Vegkart")</f>
        <v>Vegkart</v>
      </c>
      <c r="B570">
        <v>845242400</v>
      </c>
      <c r="C570">
        <v>451</v>
      </c>
      <c r="D570" t="s">
        <v>1801</v>
      </c>
      <c r="E570">
        <v>8922</v>
      </c>
      <c r="F570" t="s">
        <v>23479</v>
      </c>
      <c r="G570">
        <v>2</v>
      </c>
      <c r="H570" t="s">
        <v>2101</v>
      </c>
      <c r="J570" t="s">
        <v>2052</v>
      </c>
      <c r="K570" t="s">
        <v>307</v>
      </c>
      <c r="L570" t="s">
        <v>33</v>
      </c>
      <c r="M570" t="s">
        <v>2102</v>
      </c>
      <c r="N570" t="s">
        <v>2103</v>
      </c>
      <c r="O570" t="s">
        <v>2104</v>
      </c>
      <c r="P570" s="2" t="s">
        <v>26</v>
      </c>
      <c r="Q570" t="s">
        <v>50</v>
      </c>
      <c r="R570">
        <v>2.5499999999999998</v>
      </c>
      <c r="S570">
        <v>2.56</v>
      </c>
      <c r="T570" t="s">
        <v>2105</v>
      </c>
    </row>
    <row r="571" spans="1:20" x14ac:dyDescent="0.25">
      <c r="A571" s="1" t="str">
        <f>HYPERLINK("https://vegkart.atlas.vegvesen.no/#/@236815.2,6679226.2,18/hva:hva%5B0%5D%5Bfilter%5D%5B0%5D%5Boperator%5D=%21%3D&amp;hva%5B0%5D%5Bfilter%5D%5B0%5D%5Btype_id%5D=8922&amp;hva%5B0%5D%5Bfilter%5D%5B0%5D%5Bverdi%5D=&amp;hva%5B0%5D%5Bid%5D=451/når:2018-01-04", "Vegkart")</f>
        <v>Vegkart</v>
      </c>
      <c r="B571">
        <v>845242401</v>
      </c>
      <c r="C571">
        <v>451</v>
      </c>
      <c r="D571" t="s">
        <v>1801</v>
      </c>
      <c r="E571">
        <v>8922</v>
      </c>
      <c r="F571" t="s">
        <v>23479</v>
      </c>
      <c r="G571">
        <v>2</v>
      </c>
      <c r="H571" t="s">
        <v>2101</v>
      </c>
      <c r="J571" t="s">
        <v>2052</v>
      </c>
      <c r="K571" t="s">
        <v>307</v>
      </c>
      <c r="L571" t="s">
        <v>33</v>
      </c>
      <c r="M571" t="s">
        <v>2102</v>
      </c>
      <c r="N571" t="s">
        <v>2103</v>
      </c>
      <c r="O571" t="s">
        <v>2106</v>
      </c>
      <c r="P571" s="2" t="s">
        <v>26</v>
      </c>
      <c r="Q571" t="s">
        <v>50</v>
      </c>
      <c r="R571">
        <v>2.52</v>
      </c>
      <c r="S571">
        <v>2.52</v>
      </c>
      <c r="T571" t="s">
        <v>2107</v>
      </c>
    </row>
    <row r="572" spans="1:20" x14ac:dyDescent="0.25">
      <c r="A572" s="1" t="str">
        <f>HYPERLINK("https://vegkart.atlas.vegvesen.no/#/@79837.9,6480559.1,18/hva:hva%5B0%5D%5Bfilter%5D%5B0%5D%5Boperator%5D=%21%3D&amp;hva%5B0%5D%5Bfilter%5D%5B0%5D%5Btype_id%5D=8922&amp;hva%5B0%5D%5Bfilter%5D%5B0%5D%5Bverdi%5D=&amp;hva%5B0%5D%5Bid%5D=451/når:2024-11-29", "Vegkart")</f>
        <v>Vegkart</v>
      </c>
      <c r="B572">
        <v>859792277</v>
      </c>
      <c r="C572">
        <v>451</v>
      </c>
      <c r="D572" t="s">
        <v>1801</v>
      </c>
      <c r="E572">
        <v>8922</v>
      </c>
      <c r="F572" t="s">
        <v>23479</v>
      </c>
      <c r="G572">
        <v>4</v>
      </c>
      <c r="H572" t="s">
        <v>1896</v>
      </c>
      <c r="J572" t="s">
        <v>2052</v>
      </c>
      <c r="K572" t="s">
        <v>86</v>
      </c>
      <c r="L572" t="s">
        <v>113</v>
      </c>
      <c r="M572" t="s">
        <v>667</v>
      </c>
      <c r="N572" t="s">
        <v>2108</v>
      </c>
      <c r="O572" t="s">
        <v>2109</v>
      </c>
      <c r="P572" s="2" t="s">
        <v>165</v>
      </c>
      <c r="Q572" t="s">
        <v>311</v>
      </c>
      <c r="R572">
        <v>3.86</v>
      </c>
      <c r="S572">
        <v>3.86</v>
      </c>
      <c r="T572" t="s">
        <v>167</v>
      </c>
    </row>
    <row r="573" spans="1:20" x14ac:dyDescent="0.25">
      <c r="A573" s="1" t="str">
        <f>HYPERLINK("https://vegkart.atlas.vegvesen.no/#/@271357.7,7042477.3,18/hva:hva%5B0%5D%5Bfilter%5D%5B0%5D%5Boperator%5D=%21%3D&amp;hva%5B0%5D%5Bfilter%5D%5B0%5D%5Btype_id%5D=8922&amp;hva%5B0%5D%5Bfilter%5D%5B0%5D%5Bverdi%5D=&amp;hva%5B0%5D%5Bid%5D=451/når:2018-05-28", "Vegkart")</f>
        <v>Vegkart</v>
      </c>
      <c r="B573">
        <v>860884051</v>
      </c>
      <c r="C573">
        <v>451</v>
      </c>
      <c r="D573" t="s">
        <v>1801</v>
      </c>
      <c r="E573">
        <v>8922</v>
      </c>
      <c r="F573" t="s">
        <v>23479</v>
      </c>
      <c r="G573">
        <v>1</v>
      </c>
      <c r="H573" t="s">
        <v>2110</v>
      </c>
      <c r="J573" t="s">
        <v>2052</v>
      </c>
      <c r="K573" t="s">
        <v>192</v>
      </c>
      <c r="L573" t="s">
        <v>33</v>
      </c>
      <c r="M573" t="s">
        <v>2111</v>
      </c>
      <c r="N573" t="s">
        <v>2112</v>
      </c>
      <c r="O573" t="s">
        <v>2113</v>
      </c>
      <c r="P573" s="2" t="s">
        <v>26</v>
      </c>
      <c r="Q573" t="s">
        <v>50</v>
      </c>
      <c r="R573">
        <v>0.56999999999999995</v>
      </c>
      <c r="S573">
        <v>0.56999999999999995</v>
      </c>
      <c r="T573" t="s">
        <v>2114</v>
      </c>
    </row>
    <row r="574" spans="1:20" x14ac:dyDescent="0.25">
      <c r="A574" s="1" t="str">
        <f>HYPERLINK("https://vegkart.atlas.vegvesen.no/#/@271336.5,7042461.1,18/hva:hva%5B0%5D%5Bfilter%5D%5B0%5D%5Boperator%5D=%21%3D&amp;hva%5B0%5D%5Bfilter%5D%5B0%5D%5Btype_id%5D=8922&amp;hva%5B0%5D%5Bfilter%5D%5B0%5D%5Bverdi%5D=&amp;hva%5B0%5D%5Bid%5D=451/når:2020-08-07", "Vegkart")</f>
        <v>Vegkart</v>
      </c>
      <c r="B574">
        <v>860884056</v>
      </c>
      <c r="C574">
        <v>451</v>
      </c>
      <c r="D574" t="s">
        <v>1801</v>
      </c>
      <c r="E574">
        <v>8922</v>
      </c>
      <c r="F574" t="s">
        <v>23479</v>
      </c>
      <c r="G574">
        <v>2</v>
      </c>
      <c r="H574" t="s">
        <v>2115</v>
      </c>
      <c r="J574" t="s">
        <v>2052</v>
      </c>
      <c r="K574" t="s">
        <v>192</v>
      </c>
      <c r="L574" t="s">
        <v>33</v>
      </c>
      <c r="M574" t="s">
        <v>2111</v>
      </c>
      <c r="N574" t="s">
        <v>2116</v>
      </c>
      <c r="O574" t="s">
        <v>2117</v>
      </c>
      <c r="P574" s="2" t="s">
        <v>26</v>
      </c>
      <c r="Q574" t="s">
        <v>50</v>
      </c>
      <c r="R574">
        <v>0.56999999999999995</v>
      </c>
      <c r="S574">
        <v>0.56999999999999995</v>
      </c>
      <c r="T574" t="s">
        <v>2118</v>
      </c>
    </row>
    <row r="575" spans="1:20" x14ac:dyDescent="0.25">
      <c r="A575" s="1" t="str">
        <f>HYPERLINK("https://vegkart.atlas.vegvesen.no/#/@37178.2,6751289.8,18/hva:hva%5B0%5D%5Bfilter%5D%5B0%5D%5Boperator%5D=%21%3D&amp;hva%5B0%5D%5Bfilter%5D%5B0%5D%5Btype_id%5D=8922&amp;hva%5B0%5D%5Bfilter%5D%5B0%5D%5Bverdi%5D=&amp;hva%5B0%5D%5Bid%5D=451/når:2018-06-12", "Vegkart")</f>
        <v>Vegkart</v>
      </c>
      <c r="B575">
        <v>866443609</v>
      </c>
      <c r="C575">
        <v>451</v>
      </c>
      <c r="D575" t="s">
        <v>1801</v>
      </c>
      <c r="E575">
        <v>8922</v>
      </c>
      <c r="F575" t="s">
        <v>23479</v>
      </c>
      <c r="G575">
        <v>2</v>
      </c>
      <c r="H575" t="s">
        <v>2119</v>
      </c>
      <c r="J575" t="s">
        <v>2052</v>
      </c>
      <c r="K575" t="s">
        <v>21</v>
      </c>
      <c r="L575" t="s">
        <v>113</v>
      </c>
      <c r="M575" t="s">
        <v>114</v>
      </c>
      <c r="N575" t="s">
        <v>2120</v>
      </c>
      <c r="O575" t="s">
        <v>2121</v>
      </c>
      <c r="P575" s="2" t="s">
        <v>165</v>
      </c>
      <c r="Q575" t="s">
        <v>311</v>
      </c>
      <c r="R575">
        <v>3.8</v>
      </c>
      <c r="S575">
        <v>3.8</v>
      </c>
      <c r="T575" t="s">
        <v>167</v>
      </c>
    </row>
    <row r="576" spans="1:20" x14ac:dyDescent="0.25">
      <c r="A576" s="1" t="str">
        <f>HYPERLINK("https://vegkart.atlas.vegvesen.no/#/@214030.7,6645005.1,18/hva:hva%5B0%5D%5Bfilter%5D%5B0%5D%5Boperator%5D=%21%3D&amp;hva%5B0%5D%5Bfilter%5D%5B0%5D%5Btype_id%5D=8922&amp;hva%5B0%5D%5Bfilter%5D%5B0%5D%5Bverdi%5D=&amp;hva%5B0%5D%5Bid%5D=451/når:2018-09-25", "Vegkart")</f>
        <v>Vegkart</v>
      </c>
      <c r="B576">
        <v>905809421</v>
      </c>
      <c r="C576">
        <v>451</v>
      </c>
      <c r="D576" t="s">
        <v>1801</v>
      </c>
      <c r="E576">
        <v>8922</v>
      </c>
      <c r="F576" t="s">
        <v>23479</v>
      </c>
      <c r="G576">
        <v>1</v>
      </c>
      <c r="H576" t="s">
        <v>2122</v>
      </c>
      <c r="J576" t="s">
        <v>2052</v>
      </c>
      <c r="K576" t="s">
        <v>307</v>
      </c>
      <c r="L576" t="s">
        <v>33</v>
      </c>
      <c r="M576" t="s">
        <v>2123</v>
      </c>
      <c r="N576" t="s">
        <v>2124</v>
      </c>
      <c r="O576" t="s">
        <v>2125</v>
      </c>
      <c r="P576" s="2" t="s">
        <v>165</v>
      </c>
      <c r="Q576" t="s">
        <v>311</v>
      </c>
      <c r="R576">
        <v>3.32</v>
      </c>
      <c r="S576">
        <v>3.32</v>
      </c>
      <c r="T576" t="s">
        <v>167</v>
      </c>
    </row>
    <row r="577" spans="1:20" x14ac:dyDescent="0.25">
      <c r="A577" s="1" t="str">
        <f>HYPERLINK("https://vegkart.atlas.vegvesen.no/#/@197332.4,6555328.3,18/hva:hva%5B0%5D%5Bfilter%5D%5B0%5D%5Boperator%5D=%21%3D&amp;hva%5B0%5D%5Bfilter%5D%5B0%5D%5Btype_id%5D=8922&amp;hva%5B0%5D%5Bfilter%5D%5B0%5D%5Bverdi%5D=&amp;hva%5B0%5D%5Bid%5D=451/når:2022-07-27", "Vegkart")</f>
        <v>Vegkart</v>
      </c>
      <c r="B577">
        <v>919421690</v>
      </c>
      <c r="C577">
        <v>451</v>
      </c>
      <c r="D577" t="s">
        <v>1801</v>
      </c>
      <c r="E577">
        <v>8922</v>
      </c>
      <c r="F577" t="s">
        <v>23479</v>
      </c>
      <c r="G577">
        <v>3</v>
      </c>
      <c r="H577" t="s">
        <v>1987</v>
      </c>
      <c r="J577" t="s">
        <v>2126</v>
      </c>
      <c r="K577" t="s">
        <v>197</v>
      </c>
      <c r="L577" t="s">
        <v>33</v>
      </c>
      <c r="M577" t="s">
        <v>1948</v>
      </c>
      <c r="N577" t="s">
        <v>2127</v>
      </c>
      <c r="O577" t="s">
        <v>2128</v>
      </c>
      <c r="P577" s="2" t="s">
        <v>165</v>
      </c>
      <c r="Q577" t="s">
        <v>311</v>
      </c>
      <c r="R577">
        <v>1.28</v>
      </c>
      <c r="S577">
        <v>1.28</v>
      </c>
      <c r="T577" t="s">
        <v>167</v>
      </c>
    </row>
    <row r="578" spans="1:20" x14ac:dyDescent="0.25">
      <c r="A578" s="1" t="str">
        <f>HYPERLINK("https://vegkart.atlas.vegvesen.no/#/@197344.4,6555286.9,18/hva:hva%5B0%5D%5Bfilter%5D%5B0%5D%5Boperator%5D=%21%3D&amp;hva%5B0%5D%5Bfilter%5D%5B0%5D%5Btype_id%5D=8922&amp;hva%5B0%5D%5Bfilter%5D%5B0%5D%5Bverdi%5D=&amp;hva%5B0%5D%5Bid%5D=451/når:2022-07-27", "Vegkart")</f>
        <v>Vegkart</v>
      </c>
      <c r="B578">
        <v>919421697</v>
      </c>
      <c r="C578">
        <v>451</v>
      </c>
      <c r="D578" t="s">
        <v>1801</v>
      </c>
      <c r="E578">
        <v>8922</v>
      </c>
      <c r="F578" t="s">
        <v>23479</v>
      </c>
      <c r="G578">
        <v>3</v>
      </c>
      <c r="H578" t="s">
        <v>1987</v>
      </c>
      <c r="J578" t="s">
        <v>2126</v>
      </c>
      <c r="K578" t="s">
        <v>197</v>
      </c>
      <c r="L578" t="s">
        <v>33</v>
      </c>
      <c r="M578" t="s">
        <v>1948</v>
      </c>
      <c r="N578" t="s">
        <v>2129</v>
      </c>
      <c r="O578" t="s">
        <v>2130</v>
      </c>
      <c r="P578" s="2" t="s">
        <v>165</v>
      </c>
      <c r="Q578" t="s">
        <v>311</v>
      </c>
      <c r="R578">
        <v>1.31</v>
      </c>
      <c r="S578">
        <v>1.31</v>
      </c>
      <c r="T578" t="s">
        <v>167</v>
      </c>
    </row>
    <row r="579" spans="1:20" x14ac:dyDescent="0.25">
      <c r="A579" s="1" t="str">
        <f>HYPERLINK("https://vegkart.atlas.vegvesen.no/#/@-31604.9,6734351.3,18/hva:hva%5B0%5D%5Bfilter%5D%5B0%5D%5Boperator%5D=%21%3D&amp;hva%5B0%5D%5Bfilter%5D%5B0%5D%5Btype_id%5D=8922&amp;hva%5B0%5D%5Bfilter%5D%5B0%5D%5Bverdi%5D=&amp;hva%5B0%5D%5Bid%5D=451/når:2019-05-02", "Vegkart")</f>
        <v>Vegkart</v>
      </c>
      <c r="B579">
        <v>920624952</v>
      </c>
      <c r="C579">
        <v>451</v>
      </c>
      <c r="D579" t="s">
        <v>1801</v>
      </c>
      <c r="E579">
        <v>8922</v>
      </c>
      <c r="F579" t="s">
        <v>23479</v>
      </c>
      <c r="G579">
        <v>1</v>
      </c>
      <c r="H579" t="s">
        <v>2131</v>
      </c>
      <c r="J579" t="s">
        <v>2126</v>
      </c>
      <c r="K579" t="s">
        <v>21</v>
      </c>
      <c r="L579" t="s">
        <v>22</v>
      </c>
      <c r="M579" t="s">
        <v>2132</v>
      </c>
      <c r="N579" t="s">
        <v>2133</v>
      </c>
      <c r="O579" t="s">
        <v>2134</v>
      </c>
      <c r="P579" s="2" t="s">
        <v>165</v>
      </c>
      <c r="Q579" t="s">
        <v>311</v>
      </c>
      <c r="R579">
        <v>6.43</v>
      </c>
      <c r="S579">
        <v>6.43</v>
      </c>
      <c r="T579" t="s">
        <v>167</v>
      </c>
    </row>
    <row r="580" spans="1:20" x14ac:dyDescent="0.25">
      <c r="A580" s="1" t="str">
        <f>HYPERLINK("https://vegkart.atlas.vegvesen.no/#/@-31595.1,6734321.5,18/hva:hva%5B0%5D%5Bfilter%5D%5B0%5D%5Boperator%5D=%21%3D&amp;hva%5B0%5D%5Bfilter%5D%5B0%5D%5Btype_id%5D=8922&amp;hva%5B0%5D%5Bfilter%5D%5B0%5D%5Bverdi%5D=&amp;hva%5B0%5D%5Bid%5D=451/når:2019-05-02", "Vegkart")</f>
        <v>Vegkart</v>
      </c>
      <c r="B580">
        <v>920624953</v>
      </c>
      <c r="C580">
        <v>451</v>
      </c>
      <c r="D580" t="s">
        <v>1801</v>
      </c>
      <c r="E580">
        <v>8922</v>
      </c>
      <c r="F580" t="s">
        <v>23479</v>
      </c>
      <c r="G580">
        <v>1</v>
      </c>
      <c r="H580" t="s">
        <v>2131</v>
      </c>
      <c r="J580" t="s">
        <v>2126</v>
      </c>
      <c r="K580" t="s">
        <v>21</v>
      </c>
      <c r="L580" t="s">
        <v>22</v>
      </c>
      <c r="M580" t="s">
        <v>2132</v>
      </c>
      <c r="N580" t="s">
        <v>2135</v>
      </c>
      <c r="O580" t="s">
        <v>2136</v>
      </c>
      <c r="P580" s="2" t="s">
        <v>165</v>
      </c>
      <c r="Q580" t="s">
        <v>311</v>
      </c>
      <c r="R580">
        <v>7.71</v>
      </c>
      <c r="S580">
        <v>7.71</v>
      </c>
      <c r="T580" t="s">
        <v>167</v>
      </c>
    </row>
    <row r="581" spans="1:20" x14ac:dyDescent="0.25">
      <c r="A581" s="1" t="str">
        <f>HYPERLINK("https://vegkart.atlas.vegvesen.no/#/@-31612.1,6734368.3,18/hva:hva%5B0%5D%5Bfilter%5D%5B0%5D%5Boperator%5D=%21%3D&amp;hva%5B0%5D%5Bfilter%5D%5B0%5D%5Btype_id%5D=8922&amp;hva%5B0%5D%5Bfilter%5D%5B0%5D%5Bverdi%5D=&amp;hva%5B0%5D%5Bid%5D=451/når:2019-05-02", "Vegkart")</f>
        <v>Vegkart</v>
      </c>
      <c r="B581">
        <v>920624954</v>
      </c>
      <c r="C581">
        <v>451</v>
      </c>
      <c r="D581" t="s">
        <v>1801</v>
      </c>
      <c r="E581">
        <v>8922</v>
      </c>
      <c r="F581" t="s">
        <v>23479</v>
      </c>
      <c r="G581">
        <v>1</v>
      </c>
      <c r="H581" t="s">
        <v>2131</v>
      </c>
      <c r="J581" t="s">
        <v>2126</v>
      </c>
      <c r="K581" t="s">
        <v>21</v>
      </c>
      <c r="L581" t="s">
        <v>22</v>
      </c>
      <c r="M581" t="s">
        <v>2132</v>
      </c>
      <c r="N581" t="s">
        <v>2137</v>
      </c>
      <c r="O581" t="s">
        <v>2138</v>
      </c>
      <c r="P581" s="2" t="s">
        <v>165</v>
      </c>
      <c r="Q581" t="s">
        <v>311</v>
      </c>
      <c r="R581">
        <v>3.46</v>
      </c>
      <c r="S581">
        <v>3.46</v>
      </c>
      <c r="T581" t="s">
        <v>167</v>
      </c>
    </row>
    <row r="582" spans="1:20" x14ac:dyDescent="0.25">
      <c r="A582" s="1" t="str">
        <f>HYPERLINK("https://vegkart.atlas.vegvesen.no/#/@191739.5,6551302.4,18/hva:hva%5B0%5D%5Bfilter%5D%5B0%5D%5Boperator%5D=%21%3D&amp;hva%5B0%5D%5Bfilter%5D%5B0%5D%5Btype_id%5D=8922&amp;hva%5B0%5D%5Bfilter%5D%5B0%5D%5Bverdi%5D=&amp;hva%5B0%5D%5Bid%5D=451/når:2022-07-13", "Vegkart")</f>
        <v>Vegkart</v>
      </c>
      <c r="B582">
        <v>953018787</v>
      </c>
      <c r="C582">
        <v>451</v>
      </c>
      <c r="D582" t="s">
        <v>1801</v>
      </c>
      <c r="E582">
        <v>8922</v>
      </c>
      <c r="F582" t="s">
        <v>23479</v>
      </c>
      <c r="G582">
        <v>3</v>
      </c>
      <c r="H582" t="s">
        <v>2139</v>
      </c>
      <c r="J582" t="s">
        <v>2126</v>
      </c>
      <c r="K582" t="s">
        <v>197</v>
      </c>
      <c r="L582" t="s">
        <v>33</v>
      </c>
      <c r="M582" t="s">
        <v>2140</v>
      </c>
      <c r="N582" t="s">
        <v>2141</v>
      </c>
      <c r="O582" t="s">
        <v>2142</v>
      </c>
      <c r="P582" s="2" t="s">
        <v>165</v>
      </c>
      <c r="Q582" t="s">
        <v>311</v>
      </c>
      <c r="R582">
        <v>1.24</v>
      </c>
      <c r="S582">
        <v>1.24</v>
      </c>
      <c r="T582" t="s">
        <v>167</v>
      </c>
    </row>
    <row r="583" spans="1:20" x14ac:dyDescent="0.25">
      <c r="A583" s="1" t="str">
        <f>HYPERLINK("https://vegkart.atlas.vegvesen.no/#/@196399.8,6556636.5,18/hva:hva%5B0%5D%5Bfilter%5D%5B0%5D%5Boperator%5D=%21%3D&amp;hva%5B0%5D%5Bfilter%5D%5B0%5D%5Btype_id%5D=8922&amp;hva%5B0%5D%5Bfilter%5D%5B0%5D%5Bverdi%5D=&amp;hva%5B0%5D%5Bid%5D=451/når:2022-07-27", "Vegkart")</f>
        <v>Vegkart</v>
      </c>
      <c r="B583">
        <v>980539541</v>
      </c>
      <c r="C583">
        <v>451</v>
      </c>
      <c r="D583" t="s">
        <v>1801</v>
      </c>
      <c r="E583">
        <v>8922</v>
      </c>
      <c r="F583" t="s">
        <v>23479</v>
      </c>
      <c r="G583">
        <v>3</v>
      </c>
      <c r="H583" t="s">
        <v>1987</v>
      </c>
      <c r="J583" t="s">
        <v>2126</v>
      </c>
      <c r="K583" t="s">
        <v>197</v>
      </c>
      <c r="L583" t="s">
        <v>33</v>
      </c>
      <c r="M583" t="s">
        <v>1948</v>
      </c>
      <c r="N583" t="s">
        <v>2143</v>
      </c>
      <c r="O583" t="s">
        <v>2144</v>
      </c>
      <c r="P583" s="2" t="s">
        <v>165</v>
      </c>
      <c r="Q583" t="s">
        <v>311</v>
      </c>
      <c r="R583">
        <v>1.26</v>
      </c>
      <c r="S583">
        <v>1.26</v>
      </c>
      <c r="T583" t="s">
        <v>167</v>
      </c>
    </row>
    <row r="584" spans="1:20" x14ac:dyDescent="0.25">
      <c r="A584" s="1" t="str">
        <f>HYPERLINK("https://vegkart.atlas.vegvesen.no/#/@243932.0,6822889.4,18/hva:hva%5B0%5D%5Bfilter%5D%5B0%5D%5Boperator%5D=%21%3D&amp;hva%5B0%5D%5Bfilter%5D%5B0%5D%5Btype_id%5D=8922&amp;hva%5B0%5D%5Bfilter%5D%5B0%5D%5Bverdi%5D=&amp;hva%5B0%5D%5Bid%5D=451/når:2019-12-20", "Vegkart")</f>
        <v>Vegkart</v>
      </c>
      <c r="B584">
        <v>1006194318</v>
      </c>
      <c r="C584">
        <v>451</v>
      </c>
      <c r="D584" t="s">
        <v>1801</v>
      </c>
      <c r="E584">
        <v>8922</v>
      </c>
      <c r="F584" t="s">
        <v>23479</v>
      </c>
      <c r="G584">
        <v>1</v>
      </c>
      <c r="H584" t="s">
        <v>2145</v>
      </c>
      <c r="J584" t="s">
        <v>2126</v>
      </c>
      <c r="K584" t="s">
        <v>136</v>
      </c>
      <c r="L584" t="s">
        <v>33</v>
      </c>
      <c r="M584" t="s">
        <v>1627</v>
      </c>
      <c r="N584" t="s">
        <v>2146</v>
      </c>
      <c r="O584" t="s">
        <v>2147</v>
      </c>
      <c r="P584" s="2" t="s">
        <v>26</v>
      </c>
      <c r="Q584" t="s">
        <v>50</v>
      </c>
      <c r="R584">
        <v>8.39</v>
      </c>
      <c r="S584">
        <v>10.86</v>
      </c>
      <c r="T584" t="s">
        <v>2148</v>
      </c>
    </row>
    <row r="585" spans="1:20" x14ac:dyDescent="0.25">
      <c r="A585" s="1" t="str">
        <f>HYPERLINK("https://vegkart.atlas.vegvesen.no/#/@93989.1,6468023.6,18/hva:hva%5B0%5D%5Bfilter%5D%5B0%5D%5Boperator%5D=%21%3D&amp;hva%5B0%5D%5Bfilter%5D%5B0%5D%5Btype_id%5D=8922&amp;hva%5B0%5D%5Bfilter%5D%5B0%5D%5Bverdi%5D=&amp;hva%5B0%5D%5Bid%5D=451/når:2024-11-29", "Vegkart")</f>
        <v>Vegkart</v>
      </c>
      <c r="B585">
        <v>1010898808</v>
      </c>
      <c r="C585">
        <v>451</v>
      </c>
      <c r="D585" t="s">
        <v>1801</v>
      </c>
      <c r="E585">
        <v>8922</v>
      </c>
      <c r="F585" t="s">
        <v>23479</v>
      </c>
      <c r="G585">
        <v>3</v>
      </c>
      <c r="H585" t="s">
        <v>1896</v>
      </c>
      <c r="J585" t="s">
        <v>2126</v>
      </c>
      <c r="K585" t="s">
        <v>86</v>
      </c>
      <c r="L585" t="s">
        <v>80</v>
      </c>
      <c r="M585" t="s">
        <v>53</v>
      </c>
      <c r="N585" t="s">
        <v>2149</v>
      </c>
      <c r="O585" t="s">
        <v>2150</v>
      </c>
      <c r="P585" s="2" t="s">
        <v>165</v>
      </c>
      <c r="Q585" t="s">
        <v>166</v>
      </c>
      <c r="R585">
        <v>0</v>
      </c>
      <c r="S585">
        <v>12.71</v>
      </c>
      <c r="T585" t="s">
        <v>167</v>
      </c>
    </row>
    <row r="586" spans="1:20" x14ac:dyDescent="0.25">
      <c r="A586" s="1" t="str">
        <f>HYPERLINK("https://vegkart.atlas.vegvesen.no/#/@93796.1,6467936.2,18/hva:hva%5B0%5D%5Bfilter%5D%5B0%5D%5Boperator%5D=%21%3D&amp;hva%5B0%5D%5Bfilter%5D%5B0%5D%5Btype_id%5D=8922&amp;hva%5B0%5D%5Bfilter%5D%5B0%5D%5Bverdi%5D=&amp;hva%5B0%5D%5Bid%5D=451/når:2024-11-29", "Vegkart")</f>
        <v>Vegkart</v>
      </c>
      <c r="B586">
        <v>1010898809</v>
      </c>
      <c r="C586">
        <v>451</v>
      </c>
      <c r="D586" t="s">
        <v>1801</v>
      </c>
      <c r="E586">
        <v>8922</v>
      </c>
      <c r="F586" t="s">
        <v>23479</v>
      </c>
      <c r="G586">
        <v>3</v>
      </c>
      <c r="H586" t="s">
        <v>1896</v>
      </c>
      <c r="J586" t="s">
        <v>2126</v>
      </c>
      <c r="K586" t="s">
        <v>86</v>
      </c>
      <c r="L586" t="s">
        <v>80</v>
      </c>
      <c r="M586" t="s">
        <v>53</v>
      </c>
      <c r="N586" t="s">
        <v>2151</v>
      </c>
      <c r="O586" t="s">
        <v>2152</v>
      </c>
      <c r="P586" s="2" t="s">
        <v>165</v>
      </c>
      <c r="Q586" t="s">
        <v>166</v>
      </c>
      <c r="R586">
        <v>0</v>
      </c>
      <c r="S586">
        <v>18.3</v>
      </c>
      <c r="T586" t="s">
        <v>167</v>
      </c>
    </row>
    <row r="587" spans="1:20" x14ac:dyDescent="0.25">
      <c r="A587" s="1" t="str">
        <f>HYPERLINK("https://vegkart.atlas.vegvesen.no/#/@-34336.2,6572359.5,18/hva:hva%5B0%5D%5Bfilter%5D%5B0%5D%5Boperator%5D=%21%3D&amp;hva%5B0%5D%5Bfilter%5D%5B0%5D%5Btype_id%5D=8922&amp;hva%5B0%5D%5Bfilter%5D%5B0%5D%5Bverdi%5D=&amp;hva%5B0%5D%5Bid%5D=451/når:2021-01-25", "Vegkart")</f>
        <v>Vegkart</v>
      </c>
      <c r="B587">
        <v>1013280919</v>
      </c>
      <c r="C587">
        <v>451</v>
      </c>
      <c r="D587" t="s">
        <v>1801</v>
      </c>
      <c r="E587">
        <v>8922</v>
      </c>
      <c r="F587" t="s">
        <v>23479</v>
      </c>
      <c r="G587">
        <v>1</v>
      </c>
      <c r="H587" t="s">
        <v>2153</v>
      </c>
      <c r="J587" t="s">
        <v>2126</v>
      </c>
      <c r="K587" t="s">
        <v>170</v>
      </c>
      <c r="L587" t="s">
        <v>22</v>
      </c>
      <c r="M587" t="s">
        <v>2154</v>
      </c>
      <c r="N587" t="s">
        <v>2155</v>
      </c>
      <c r="O587" t="s">
        <v>2156</v>
      </c>
      <c r="P587" s="2" t="s">
        <v>165</v>
      </c>
      <c r="Q587" t="s">
        <v>311</v>
      </c>
      <c r="R587">
        <v>15.23</v>
      </c>
      <c r="S587">
        <v>15.23</v>
      </c>
      <c r="T587" t="s">
        <v>167</v>
      </c>
    </row>
    <row r="588" spans="1:20" x14ac:dyDescent="0.25">
      <c r="A588" s="1" t="str">
        <f>HYPERLINK("https://vegkart.atlas.vegvesen.no/#/@-30827.7,6572367.4,18/hva:hva%5B0%5D%5Bfilter%5D%5B0%5D%5Boperator%5D=%21%3D&amp;hva%5B0%5D%5Bfilter%5D%5B0%5D%5Btype_id%5D=8922&amp;hva%5B0%5D%5Bfilter%5D%5B0%5D%5Bverdi%5D=&amp;hva%5B0%5D%5Bid%5D=451/når:2021-01-26", "Vegkart")</f>
        <v>Vegkart</v>
      </c>
      <c r="B588">
        <v>1013283181</v>
      </c>
      <c r="C588">
        <v>451</v>
      </c>
      <c r="D588" t="s">
        <v>1801</v>
      </c>
      <c r="E588">
        <v>8922</v>
      </c>
      <c r="F588" t="s">
        <v>23479</v>
      </c>
      <c r="G588">
        <v>1</v>
      </c>
      <c r="H588" t="s">
        <v>2157</v>
      </c>
      <c r="J588" t="s">
        <v>2126</v>
      </c>
      <c r="K588" t="s">
        <v>170</v>
      </c>
      <c r="L588" t="s">
        <v>22</v>
      </c>
      <c r="M588" t="s">
        <v>2158</v>
      </c>
      <c r="N588" t="s">
        <v>2159</v>
      </c>
      <c r="O588" t="s">
        <v>2160</v>
      </c>
      <c r="P588" s="2" t="s">
        <v>165</v>
      </c>
      <c r="Q588" t="s">
        <v>311</v>
      </c>
      <c r="R588">
        <v>5.81</v>
      </c>
      <c r="S588">
        <v>5.81</v>
      </c>
      <c r="T588" t="s">
        <v>167</v>
      </c>
    </row>
    <row r="589" spans="1:20" x14ac:dyDescent="0.25">
      <c r="A589" s="1" t="str">
        <f>HYPERLINK("https://vegkart.atlas.vegvesen.no/#/@234009.2,6995000.6,18/hva:hva%5B0%5D%5Bfilter%5D%5B0%5D%5Boperator%5D=%21%3D&amp;hva%5B0%5D%5Bfilter%5D%5B0%5D%5Btype_id%5D=8922&amp;hva%5B0%5D%5Bfilter%5D%5B0%5D%5Bverdi%5D=&amp;hva%5B0%5D%5Bid%5D=451/når:2021-04-28", "Vegkart")</f>
        <v>Vegkart</v>
      </c>
      <c r="B589">
        <v>1013515189</v>
      </c>
      <c r="C589">
        <v>451</v>
      </c>
      <c r="D589" t="s">
        <v>1801</v>
      </c>
      <c r="E589">
        <v>8922</v>
      </c>
      <c r="F589" t="s">
        <v>23479</v>
      </c>
      <c r="G589">
        <v>1</v>
      </c>
      <c r="H589" t="s">
        <v>2161</v>
      </c>
      <c r="J589" t="s">
        <v>2126</v>
      </c>
      <c r="K589" t="s">
        <v>192</v>
      </c>
      <c r="L589" t="s">
        <v>33</v>
      </c>
      <c r="M589" t="s">
        <v>2162</v>
      </c>
      <c r="N589" t="s">
        <v>2163</v>
      </c>
      <c r="O589" t="s">
        <v>2164</v>
      </c>
      <c r="P589" s="2" t="s">
        <v>26</v>
      </c>
      <c r="Q589" t="s">
        <v>50</v>
      </c>
      <c r="R589">
        <v>4.63</v>
      </c>
      <c r="S589">
        <v>4.63</v>
      </c>
      <c r="T589" t="s">
        <v>2165</v>
      </c>
    </row>
    <row r="590" spans="1:20" x14ac:dyDescent="0.25">
      <c r="A590" s="1" t="str">
        <f>HYPERLINK("https://vegkart.atlas.vegvesen.no/#/@-34684.7,6570225.7,18/hva:hva%5B0%5D%5Bfilter%5D%5B0%5D%5Boperator%5D=%21%3D&amp;hva%5B0%5D%5Bfilter%5D%5B0%5D%5Btype_id%5D=8922&amp;hva%5B0%5D%5Bfilter%5D%5B0%5D%5Bverdi%5D=&amp;hva%5B0%5D%5Bid%5D=451/når:2021-08-03", "Vegkart")</f>
        <v>Vegkart</v>
      </c>
      <c r="B590">
        <v>1013890447</v>
      </c>
      <c r="C590">
        <v>451</v>
      </c>
      <c r="D590" t="s">
        <v>1801</v>
      </c>
      <c r="E590">
        <v>8922</v>
      </c>
      <c r="F590" t="s">
        <v>23479</v>
      </c>
      <c r="G590">
        <v>1</v>
      </c>
      <c r="H590" t="s">
        <v>2166</v>
      </c>
      <c r="J590" t="s">
        <v>2126</v>
      </c>
      <c r="K590" t="s">
        <v>170</v>
      </c>
      <c r="L590" t="s">
        <v>22</v>
      </c>
      <c r="M590" t="s">
        <v>2167</v>
      </c>
      <c r="N590" t="s">
        <v>2168</v>
      </c>
      <c r="O590" t="s">
        <v>2169</v>
      </c>
      <c r="P590" s="2" t="s">
        <v>26</v>
      </c>
      <c r="Q590" t="s">
        <v>50</v>
      </c>
      <c r="R590">
        <v>1.25</v>
      </c>
      <c r="S590">
        <v>1.25</v>
      </c>
      <c r="T590" t="s">
        <v>2170</v>
      </c>
    </row>
    <row r="591" spans="1:20" x14ac:dyDescent="0.25">
      <c r="A591" s="1" t="str">
        <f>HYPERLINK("https://vegkart.atlas.vegvesen.no/#/@-40791.5,6625788.1,18/hva:hva%5B0%5D%5Bfilter%5D%5B0%5D%5Boperator%5D=%21%3D&amp;hva%5B0%5D%5Bfilter%5D%5B0%5D%5Btype_id%5D=8922&amp;hva%5B0%5D%5Bfilter%5D%5B0%5D%5Bverdi%5D=&amp;hva%5B0%5D%5Bid%5D=451/når:2022-01-27", "Vegkart")</f>
        <v>Vegkart</v>
      </c>
      <c r="B591">
        <v>1014002144</v>
      </c>
      <c r="C591">
        <v>451</v>
      </c>
      <c r="D591" t="s">
        <v>1801</v>
      </c>
      <c r="E591">
        <v>8922</v>
      </c>
      <c r="F591" t="s">
        <v>23479</v>
      </c>
      <c r="G591">
        <v>2</v>
      </c>
      <c r="H591" t="s">
        <v>2171</v>
      </c>
      <c r="J591" t="s">
        <v>2126</v>
      </c>
      <c r="K591" t="s">
        <v>170</v>
      </c>
      <c r="L591" t="s">
        <v>33</v>
      </c>
      <c r="M591" t="s">
        <v>2172</v>
      </c>
      <c r="N591" t="s">
        <v>2173</v>
      </c>
      <c r="O591" t="s">
        <v>2174</v>
      </c>
      <c r="P591" s="2" t="s">
        <v>26</v>
      </c>
      <c r="Q591" t="s">
        <v>50</v>
      </c>
      <c r="R591">
        <v>6.22</v>
      </c>
      <c r="S591">
        <v>6.22</v>
      </c>
      <c r="T591" t="s">
        <v>2175</v>
      </c>
    </row>
    <row r="592" spans="1:20" x14ac:dyDescent="0.25">
      <c r="A592" s="1" t="str">
        <f>HYPERLINK("https://vegkart.atlas.vegvesen.no/#/@-40791.4,6625789.6,18/hva:hva%5B0%5D%5Bfilter%5D%5B0%5D%5Boperator%5D=%21%3D&amp;hva%5B0%5D%5Bfilter%5D%5B0%5D%5Btype_id%5D=8922&amp;hva%5B0%5D%5Bfilter%5D%5B0%5D%5Bverdi%5D=&amp;hva%5B0%5D%5Bid%5D=451/når:2022-01-27", "Vegkart")</f>
        <v>Vegkart</v>
      </c>
      <c r="B592">
        <v>1014002183</v>
      </c>
      <c r="C592">
        <v>451</v>
      </c>
      <c r="D592" t="s">
        <v>1801</v>
      </c>
      <c r="E592">
        <v>8922</v>
      </c>
      <c r="F592" t="s">
        <v>23479</v>
      </c>
      <c r="G592">
        <v>2</v>
      </c>
      <c r="H592" t="s">
        <v>2171</v>
      </c>
      <c r="J592" t="s">
        <v>2126</v>
      </c>
      <c r="K592" t="s">
        <v>170</v>
      </c>
      <c r="L592" t="s">
        <v>33</v>
      </c>
      <c r="M592" t="s">
        <v>2172</v>
      </c>
      <c r="N592" t="s">
        <v>2176</v>
      </c>
      <c r="O592" t="s">
        <v>2177</v>
      </c>
      <c r="P592" s="2" t="s">
        <v>26</v>
      </c>
      <c r="Q592" t="s">
        <v>50</v>
      </c>
      <c r="R592">
        <v>6.21</v>
      </c>
      <c r="S592">
        <v>6.21</v>
      </c>
      <c r="T592" t="s">
        <v>2178</v>
      </c>
    </row>
    <row r="593" spans="1:20" x14ac:dyDescent="0.25">
      <c r="A593" s="1" t="str">
        <f>HYPERLINK("https://vegkart.atlas.vegvesen.no/#/@-50804.7,6626874.0,18/hva:hva%5B0%5D%5Bfilter%5D%5B0%5D%5Boperator%5D=%21%3D&amp;hva%5B0%5D%5Bfilter%5D%5B0%5D%5Btype_id%5D=8922&amp;hva%5B0%5D%5Bfilter%5D%5B0%5D%5Bverdi%5D=&amp;hva%5B0%5D%5Bid%5D=451/når:2022-02-03", "Vegkart")</f>
        <v>Vegkart</v>
      </c>
      <c r="B593">
        <v>1014908634</v>
      </c>
      <c r="C593">
        <v>451</v>
      </c>
      <c r="D593" t="s">
        <v>1801</v>
      </c>
      <c r="E593">
        <v>8922</v>
      </c>
      <c r="F593" t="s">
        <v>23479</v>
      </c>
      <c r="G593">
        <v>1</v>
      </c>
      <c r="H593" t="s">
        <v>2179</v>
      </c>
      <c r="J593" t="s">
        <v>2126</v>
      </c>
      <c r="K593" t="s">
        <v>170</v>
      </c>
      <c r="L593" t="s">
        <v>33</v>
      </c>
      <c r="M593" t="s">
        <v>2180</v>
      </c>
      <c r="N593" t="s">
        <v>2181</v>
      </c>
      <c r="O593" t="s">
        <v>2182</v>
      </c>
      <c r="P593" s="2" t="s">
        <v>26</v>
      </c>
      <c r="Q593" t="s">
        <v>50</v>
      </c>
      <c r="R593">
        <v>2.17</v>
      </c>
      <c r="S593">
        <v>2.17</v>
      </c>
      <c r="T593" t="s">
        <v>2183</v>
      </c>
    </row>
    <row r="594" spans="1:20" x14ac:dyDescent="0.25">
      <c r="A594" s="1" t="str">
        <f>HYPERLINK("https://vegkart.atlas.vegvesen.no/#/@-50806.1,6626876.9,18/hva:hva%5B0%5D%5Bfilter%5D%5B0%5D%5Boperator%5D=%21%3D&amp;hva%5B0%5D%5Bfilter%5D%5B0%5D%5Btype_id%5D=8922&amp;hva%5B0%5D%5Bfilter%5D%5B0%5D%5Bverdi%5D=&amp;hva%5B0%5D%5Bid%5D=451/når:2022-02-03", "Vegkart")</f>
        <v>Vegkart</v>
      </c>
      <c r="B594">
        <v>1014909243</v>
      </c>
      <c r="C594">
        <v>451</v>
      </c>
      <c r="D594" t="s">
        <v>1801</v>
      </c>
      <c r="E594">
        <v>8922</v>
      </c>
      <c r="F594" t="s">
        <v>23479</v>
      </c>
      <c r="G594">
        <v>1</v>
      </c>
      <c r="H594" t="s">
        <v>2179</v>
      </c>
      <c r="J594" t="s">
        <v>2126</v>
      </c>
      <c r="K594" t="s">
        <v>170</v>
      </c>
      <c r="L594" t="s">
        <v>33</v>
      </c>
      <c r="M594" t="s">
        <v>2180</v>
      </c>
      <c r="N594" t="s">
        <v>2184</v>
      </c>
      <c r="O594" t="s">
        <v>2185</v>
      </c>
      <c r="P594" s="2" t="s">
        <v>26</v>
      </c>
      <c r="Q594" t="s">
        <v>50</v>
      </c>
      <c r="R594">
        <v>2.2999999999999998</v>
      </c>
      <c r="S594">
        <v>2.2999999999999998</v>
      </c>
      <c r="T594" t="s">
        <v>2186</v>
      </c>
    </row>
    <row r="595" spans="1:20" x14ac:dyDescent="0.25">
      <c r="A595" s="1" t="str">
        <f>HYPERLINK("https://vegkart.atlas.vegvesen.no/#/@-3102.4,6602705.6,18/hva:hva%5B0%5D%5Bfilter%5D%5B0%5D%5Boperator%5D=%21%3D&amp;hva%5B0%5D%5Bfilter%5D%5B0%5D%5Btype_id%5D=8922&amp;hva%5B0%5D%5Bfilter%5D%5B0%5D%5Bverdi%5D=&amp;hva%5B0%5D%5Bid%5D=451/når:2022-02-24", "Vegkart")</f>
        <v>Vegkart</v>
      </c>
      <c r="B595">
        <v>1015057247</v>
      </c>
      <c r="C595">
        <v>451</v>
      </c>
      <c r="D595" t="s">
        <v>1801</v>
      </c>
      <c r="E595">
        <v>8922</v>
      </c>
      <c r="F595" t="s">
        <v>23479</v>
      </c>
      <c r="G595">
        <v>1</v>
      </c>
      <c r="H595" t="s">
        <v>2187</v>
      </c>
      <c r="J595" t="s">
        <v>2126</v>
      </c>
      <c r="K595" t="s">
        <v>170</v>
      </c>
      <c r="L595" t="s">
        <v>113</v>
      </c>
      <c r="M595" t="s">
        <v>114</v>
      </c>
      <c r="N595" t="s">
        <v>2188</v>
      </c>
      <c r="O595" t="s">
        <v>2189</v>
      </c>
      <c r="P595" s="2" t="s">
        <v>26</v>
      </c>
      <c r="Q595" t="s">
        <v>50</v>
      </c>
      <c r="R595">
        <v>5.23</v>
      </c>
      <c r="S595">
        <v>5.23</v>
      </c>
      <c r="T595" t="s">
        <v>2190</v>
      </c>
    </row>
    <row r="596" spans="1:20" x14ac:dyDescent="0.25">
      <c r="A596" s="1" t="str">
        <f>HYPERLINK("https://vegkart.atlas.vegvesen.no/#/@-3175.5,6599495.6,18/hva:hva%5B0%5D%5Bfilter%5D%5B0%5D%5Boperator%5D=%21%3D&amp;hva%5B0%5D%5Bfilter%5D%5B0%5D%5Btype_id%5D=8922&amp;hva%5B0%5D%5Bfilter%5D%5B0%5D%5Bverdi%5D=&amp;hva%5B0%5D%5Bid%5D=451/når:2022-02-24", "Vegkart")</f>
        <v>Vegkart</v>
      </c>
      <c r="B596">
        <v>1015057250</v>
      </c>
      <c r="C596">
        <v>451</v>
      </c>
      <c r="D596" t="s">
        <v>1801</v>
      </c>
      <c r="E596">
        <v>8922</v>
      </c>
      <c r="F596" t="s">
        <v>23479</v>
      </c>
      <c r="G596">
        <v>1</v>
      </c>
      <c r="H596" t="s">
        <v>2187</v>
      </c>
      <c r="J596" t="s">
        <v>2126</v>
      </c>
      <c r="K596" t="s">
        <v>170</v>
      </c>
      <c r="L596" t="s">
        <v>113</v>
      </c>
      <c r="M596" t="s">
        <v>114</v>
      </c>
      <c r="N596" t="s">
        <v>2191</v>
      </c>
      <c r="O596" t="s">
        <v>2192</v>
      </c>
      <c r="P596" s="2" t="s">
        <v>26</v>
      </c>
      <c r="Q596" t="s">
        <v>50</v>
      </c>
      <c r="R596">
        <v>5.0999999999999996</v>
      </c>
      <c r="S596">
        <v>5.0999999999999996</v>
      </c>
      <c r="T596" t="s">
        <v>2193</v>
      </c>
    </row>
    <row r="597" spans="1:20" x14ac:dyDescent="0.25">
      <c r="A597" s="1" t="str">
        <f>HYPERLINK("https://vegkart.atlas.vegvesen.no/#/@261831.7,6649928.0,18/hva:hva%5B0%5D%5Bfilter%5D%5B0%5D%5Boperator%5D=%21%3D&amp;hva%5B0%5D%5Bfilter%5D%5B0%5D%5Btype_id%5D=8922&amp;hva%5B0%5D%5Bfilter%5D%5B0%5D%5Bverdi%5D=&amp;hva%5B0%5D%5Bid%5D=451/når:2022-05-05", "Vegkart")</f>
        <v>Vegkart</v>
      </c>
      <c r="B597">
        <v>1015426413</v>
      </c>
      <c r="C597">
        <v>451</v>
      </c>
      <c r="D597" t="s">
        <v>1801</v>
      </c>
      <c r="E597">
        <v>8922</v>
      </c>
      <c r="F597" t="s">
        <v>23479</v>
      </c>
      <c r="G597">
        <v>1</v>
      </c>
      <c r="H597" t="s">
        <v>1220</v>
      </c>
      <c r="J597" t="s">
        <v>2126</v>
      </c>
      <c r="K597" t="s">
        <v>335</v>
      </c>
      <c r="L597" t="s">
        <v>113</v>
      </c>
      <c r="M597" t="s">
        <v>2194</v>
      </c>
      <c r="N597" t="s">
        <v>2195</v>
      </c>
      <c r="O597" t="s">
        <v>2196</v>
      </c>
      <c r="P597" s="2" t="s">
        <v>26</v>
      </c>
      <c r="Q597" t="s">
        <v>50</v>
      </c>
      <c r="R597">
        <v>8.02</v>
      </c>
      <c r="S597">
        <v>8.02</v>
      </c>
      <c r="T597" t="s">
        <v>2197</v>
      </c>
    </row>
    <row r="598" spans="1:20" x14ac:dyDescent="0.25">
      <c r="A598" s="1" t="str">
        <f>HYPERLINK("https://vegkart.atlas.vegvesen.no/#/@261826.0,6649935.1,18/hva:hva%5B0%5D%5Bfilter%5D%5B0%5D%5Boperator%5D=%21%3D&amp;hva%5B0%5D%5Bfilter%5D%5B0%5D%5Btype_id%5D=8922&amp;hva%5B0%5D%5Bfilter%5D%5B0%5D%5Bverdi%5D=&amp;hva%5B0%5D%5Bid%5D=451/når:2022-05-05", "Vegkart")</f>
        <v>Vegkart</v>
      </c>
      <c r="B598">
        <v>1015426421</v>
      </c>
      <c r="C598">
        <v>451</v>
      </c>
      <c r="D598" t="s">
        <v>1801</v>
      </c>
      <c r="E598">
        <v>8922</v>
      </c>
      <c r="F598" t="s">
        <v>23479</v>
      </c>
      <c r="G598">
        <v>1</v>
      </c>
      <c r="H598" t="s">
        <v>1220</v>
      </c>
      <c r="J598" t="s">
        <v>2126</v>
      </c>
      <c r="K598" t="s">
        <v>335</v>
      </c>
      <c r="L598" t="s">
        <v>113</v>
      </c>
      <c r="M598" t="s">
        <v>2194</v>
      </c>
      <c r="N598" t="s">
        <v>2198</v>
      </c>
      <c r="O598" t="s">
        <v>2199</v>
      </c>
      <c r="P598" s="2" t="s">
        <v>26</v>
      </c>
      <c r="Q598" t="s">
        <v>50</v>
      </c>
      <c r="R598">
        <v>5.17</v>
      </c>
      <c r="S598">
        <v>5.17</v>
      </c>
      <c r="T598" t="s">
        <v>2200</v>
      </c>
    </row>
    <row r="599" spans="1:20" x14ac:dyDescent="0.25">
      <c r="A599" s="1" t="str">
        <f>HYPERLINK("https://vegkart.atlas.vegvesen.no/#/@261849.5,6649904.2,18/hva:hva%5B0%5D%5Bfilter%5D%5B0%5D%5Boperator%5D=%21%3D&amp;hva%5B0%5D%5Bfilter%5D%5B0%5D%5Btype_id%5D=8922&amp;hva%5B0%5D%5Bfilter%5D%5B0%5D%5Bverdi%5D=&amp;hva%5B0%5D%5Bid%5D=451/når:2022-05-05", "Vegkart")</f>
        <v>Vegkart</v>
      </c>
      <c r="B599">
        <v>1015426430</v>
      </c>
      <c r="C599">
        <v>451</v>
      </c>
      <c r="D599" t="s">
        <v>1801</v>
      </c>
      <c r="E599">
        <v>8922</v>
      </c>
      <c r="F599" t="s">
        <v>23479</v>
      </c>
      <c r="G599">
        <v>1</v>
      </c>
      <c r="H599" t="s">
        <v>1220</v>
      </c>
      <c r="J599" t="s">
        <v>2126</v>
      </c>
      <c r="K599" t="s">
        <v>335</v>
      </c>
      <c r="L599" t="s">
        <v>113</v>
      </c>
      <c r="M599" t="s">
        <v>2194</v>
      </c>
      <c r="N599" t="s">
        <v>2201</v>
      </c>
      <c r="O599" t="s">
        <v>2202</v>
      </c>
      <c r="P599" s="2" t="s">
        <v>26</v>
      </c>
      <c r="Q599" t="s">
        <v>50</v>
      </c>
      <c r="R599">
        <v>2.5499999999999998</v>
      </c>
      <c r="S599">
        <v>2.5499999999999998</v>
      </c>
      <c r="T599" t="s">
        <v>2203</v>
      </c>
    </row>
    <row r="600" spans="1:20" x14ac:dyDescent="0.25">
      <c r="A600" s="1" t="str">
        <f>HYPERLINK("https://vegkart.atlas.vegvesen.no/#/@258852.9,6590770.9,18/hva:hva%5B0%5D%5Bfilter%5D%5B0%5D%5Boperator%5D=%21%3D&amp;hva%5B0%5D%5Bfilter%5D%5B0%5D%5Btype_id%5D=8922&amp;hva%5B0%5D%5Bfilter%5D%5B0%5D%5Bverdi%5D=&amp;hva%5B0%5D%5Bid%5D=451/når:2022-05-19", "Vegkart")</f>
        <v>Vegkart</v>
      </c>
      <c r="B600">
        <v>1015511041</v>
      </c>
      <c r="C600">
        <v>451</v>
      </c>
      <c r="D600" t="s">
        <v>1801</v>
      </c>
      <c r="E600">
        <v>8922</v>
      </c>
      <c r="F600" t="s">
        <v>23479</v>
      </c>
      <c r="G600">
        <v>1</v>
      </c>
      <c r="H600" t="s">
        <v>2204</v>
      </c>
      <c r="J600" t="s">
        <v>2126</v>
      </c>
      <c r="K600" t="s">
        <v>104</v>
      </c>
      <c r="L600" t="s">
        <v>80</v>
      </c>
      <c r="M600" t="s">
        <v>105</v>
      </c>
      <c r="N600" t="s">
        <v>2205</v>
      </c>
      <c r="O600" t="s">
        <v>2206</v>
      </c>
      <c r="P600" s="2" t="s">
        <v>26</v>
      </c>
      <c r="Q600" t="s">
        <v>50</v>
      </c>
      <c r="R600">
        <v>4.46</v>
      </c>
      <c r="S600">
        <v>4.4800000000000004</v>
      </c>
      <c r="T600" t="s">
        <v>2207</v>
      </c>
    </row>
    <row r="601" spans="1:20" x14ac:dyDescent="0.25">
      <c r="A601" s="1" t="str">
        <f>HYPERLINK("https://vegkart.atlas.vegvesen.no/#/@196394.2,6556625.1,18/hva:hva%5B0%5D%5Bfilter%5D%5B0%5D%5Boperator%5D=%21%3D&amp;hva%5B0%5D%5Bfilter%5D%5B0%5D%5Btype_id%5D=8922&amp;hva%5B0%5D%5Bfilter%5D%5B0%5D%5Bverdi%5D=&amp;hva%5B0%5D%5Bid%5D=451/når:2022-07-27", "Vegkart")</f>
        <v>Vegkart</v>
      </c>
      <c r="B601">
        <v>1016024700</v>
      </c>
      <c r="C601">
        <v>451</v>
      </c>
      <c r="D601" t="s">
        <v>1801</v>
      </c>
      <c r="E601">
        <v>8922</v>
      </c>
      <c r="F601" t="s">
        <v>23479</v>
      </c>
      <c r="G601">
        <v>1</v>
      </c>
      <c r="H601" t="s">
        <v>1987</v>
      </c>
      <c r="J601" t="s">
        <v>2126</v>
      </c>
      <c r="K601" t="s">
        <v>197</v>
      </c>
      <c r="L601" t="s">
        <v>33</v>
      </c>
      <c r="M601" t="s">
        <v>1948</v>
      </c>
      <c r="N601" t="s">
        <v>2208</v>
      </c>
      <c r="O601" t="s">
        <v>2209</v>
      </c>
      <c r="P601" s="2" t="s">
        <v>165</v>
      </c>
      <c r="Q601" t="s">
        <v>311</v>
      </c>
      <c r="R601">
        <v>1.27</v>
      </c>
      <c r="S601">
        <v>1.27</v>
      </c>
      <c r="T601" t="s">
        <v>167</v>
      </c>
    </row>
    <row r="602" spans="1:20" x14ac:dyDescent="0.25">
      <c r="A602" s="1" t="str">
        <f>HYPERLINK("https://vegkart.atlas.vegvesen.no/#/@196145.3,6556769.3,18/hva:hva%5B0%5D%5Bfilter%5D%5B0%5D%5Boperator%5D=%21%3D&amp;hva%5B0%5D%5Bfilter%5D%5B0%5D%5Btype_id%5D=8922&amp;hva%5B0%5D%5Bfilter%5D%5B0%5D%5Bverdi%5D=&amp;hva%5B0%5D%5Bid%5D=451/når:2022-07-27", "Vegkart")</f>
        <v>Vegkart</v>
      </c>
      <c r="B602">
        <v>1016024708</v>
      </c>
      <c r="C602">
        <v>451</v>
      </c>
      <c r="D602" t="s">
        <v>1801</v>
      </c>
      <c r="E602">
        <v>8922</v>
      </c>
      <c r="F602" t="s">
        <v>23479</v>
      </c>
      <c r="G602">
        <v>1</v>
      </c>
      <c r="H602" t="s">
        <v>1987</v>
      </c>
      <c r="J602" t="s">
        <v>2126</v>
      </c>
      <c r="K602" t="s">
        <v>197</v>
      </c>
      <c r="L602" t="s">
        <v>33</v>
      </c>
      <c r="M602" t="s">
        <v>1948</v>
      </c>
      <c r="N602" t="s">
        <v>2210</v>
      </c>
      <c r="O602" t="s">
        <v>2211</v>
      </c>
      <c r="P602" s="2" t="s">
        <v>165</v>
      </c>
      <c r="Q602" t="s">
        <v>311</v>
      </c>
      <c r="R602">
        <v>1.28</v>
      </c>
      <c r="S602">
        <v>1.28</v>
      </c>
      <c r="T602" t="s">
        <v>167</v>
      </c>
    </row>
    <row r="603" spans="1:20" x14ac:dyDescent="0.25">
      <c r="A603" s="1" t="str">
        <f>HYPERLINK("https://vegkart.atlas.vegvesen.no/#/@237117.6,6596304.4,18/hva:hva%5B0%5D%5Bfilter%5D%5B0%5D%5Boperator%5D=%21%3D&amp;hva%5B0%5D%5Bfilter%5D%5B0%5D%5Btype_id%5D=8922&amp;hva%5B0%5D%5Bfilter%5D%5B0%5D%5Bverdi%5D=&amp;hva%5B0%5D%5Bid%5D=451/når:2022-12-13", "Vegkart")</f>
        <v>Vegkart</v>
      </c>
      <c r="B603">
        <v>1017123319</v>
      </c>
      <c r="C603">
        <v>451</v>
      </c>
      <c r="D603" t="s">
        <v>1801</v>
      </c>
      <c r="E603">
        <v>8922</v>
      </c>
      <c r="F603" t="s">
        <v>23479</v>
      </c>
      <c r="G603">
        <v>1</v>
      </c>
      <c r="H603" t="s">
        <v>2212</v>
      </c>
      <c r="J603" t="s">
        <v>2126</v>
      </c>
      <c r="K603" t="s">
        <v>81</v>
      </c>
      <c r="L603" t="s">
        <v>80</v>
      </c>
      <c r="M603" t="s">
        <v>53</v>
      </c>
      <c r="N603" t="s">
        <v>2213</v>
      </c>
      <c r="O603" t="s">
        <v>2214</v>
      </c>
      <c r="P603" s="2" t="s">
        <v>26</v>
      </c>
      <c r="Q603" t="s">
        <v>50</v>
      </c>
      <c r="R603">
        <v>3.27</v>
      </c>
      <c r="S603">
        <v>3.27</v>
      </c>
      <c r="T603" t="s">
        <v>2215</v>
      </c>
    </row>
    <row r="604" spans="1:20" x14ac:dyDescent="0.25">
      <c r="A604" s="1" t="str">
        <f>HYPERLINK("https://vegkart.atlas.vegvesen.no/#/@226376.3,6569711.0,18/hva:hva%5B0%5D%5Bfilter%5D%5B0%5D%5Boperator%5D=%21%3D&amp;hva%5B0%5D%5Bfilter%5D%5B0%5D%5Btype_id%5D=8922&amp;hva%5B0%5D%5Bfilter%5D%5B0%5D%5Bverdi%5D=&amp;hva%5B0%5D%5Bid%5D=451/når:2022-12-16", "Vegkart")</f>
        <v>Vegkart</v>
      </c>
      <c r="B604">
        <v>1017136506</v>
      </c>
      <c r="C604">
        <v>451</v>
      </c>
      <c r="D604" t="s">
        <v>1801</v>
      </c>
      <c r="E604">
        <v>8922</v>
      </c>
      <c r="F604" t="s">
        <v>23479</v>
      </c>
      <c r="G604">
        <v>1</v>
      </c>
      <c r="H604" t="s">
        <v>2092</v>
      </c>
      <c r="J604" t="s">
        <v>2126</v>
      </c>
      <c r="K604" t="s">
        <v>81</v>
      </c>
      <c r="L604" t="s">
        <v>80</v>
      </c>
      <c r="M604" t="s">
        <v>53</v>
      </c>
      <c r="N604" t="s">
        <v>2216</v>
      </c>
      <c r="O604" t="s">
        <v>2217</v>
      </c>
      <c r="P604" s="2" t="s">
        <v>26</v>
      </c>
      <c r="Q604" t="s">
        <v>50</v>
      </c>
      <c r="R604">
        <v>5.07</v>
      </c>
      <c r="S604">
        <v>5.07</v>
      </c>
      <c r="T604" t="s">
        <v>2218</v>
      </c>
    </row>
    <row r="605" spans="1:20" x14ac:dyDescent="0.25">
      <c r="A605" s="1" t="str">
        <f>HYPERLINK("https://vegkart.atlas.vegvesen.no/#/@267463.9,6652468.3,18/hva:hva%5B0%5D%5Bfilter%5D%5B0%5D%5Boperator%5D=%21%3D&amp;hva%5B0%5D%5Bfilter%5D%5B0%5D%5Btype_id%5D=8922&amp;hva%5B0%5D%5Bfilter%5D%5B0%5D%5Bverdi%5D=&amp;hva%5B0%5D%5Bid%5D=451/når:2023-01-25", "Vegkart")</f>
        <v>Vegkart</v>
      </c>
      <c r="B605">
        <v>1017210403</v>
      </c>
      <c r="C605">
        <v>451</v>
      </c>
      <c r="D605" t="s">
        <v>1801</v>
      </c>
      <c r="E605">
        <v>8922</v>
      </c>
      <c r="F605" t="s">
        <v>23479</v>
      </c>
      <c r="G605">
        <v>1</v>
      </c>
      <c r="H605" t="s">
        <v>2219</v>
      </c>
      <c r="J605" t="s">
        <v>2220</v>
      </c>
      <c r="K605" t="s">
        <v>335</v>
      </c>
      <c r="L605" t="s">
        <v>113</v>
      </c>
      <c r="M605" t="s">
        <v>1575</v>
      </c>
      <c r="N605" t="s">
        <v>2221</v>
      </c>
      <c r="O605" t="s">
        <v>2222</v>
      </c>
      <c r="P605" s="2" t="s">
        <v>26</v>
      </c>
      <c r="Q605" t="s">
        <v>50</v>
      </c>
      <c r="R605">
        <v>5.75</v>
      </c>
      <c r="S605">
        <v>5.75</v>
      </c>
      <c r="T605" t="s">
        <v>2223</v>
      </c>
    </row>
    <row r="606" spans="1:20" x14ac:dyDescent="0.25">
      <c r="A606" s="1" t="str">
        <f>HYPERLINK("https://vegkart.atlas.vegvesen.no/#/@300725.5,6748574.4,18/hva:hva%5B0%5D%5Bfilter%5D%5B0%5D%5Boperator%5D=%21%3D&amp;hva%5B0%5D%5Bfilter%5D%5B0%5D%5Btype_id%5D=8922&amp;hva%5B0%5D%5Bfilter%5D%5B0%5D%5Bverdi%5D=&amp;hva%5B0%5D%5Bid%5D=451/når:2023-02-17", "Vegkart")</f>
        <v>Vegkart</v>
      </c>
      <c r="B606">
        <v>1017335313</v>
      </c>
      <c r="C606">
        <v>451</v>
      </c>
      <c r="D606" t="s">
        <v>1801</v>
      </c>
      <c r="E606">
        <v>8922</v>
      </c>
      <c r="F606" t="s">
        <v>23479</v>
      </c>
      <c r="G606">
        <v>1</v>
      </c>
      <c r="H606" t="s">
        <v>2224</v>
      </c>
      <c r="J606" t="s">
        <v>2220</v>
      </c>
      <c r="K606" t="s">
        <v>136</v>
      </c>
      <c r="L606" t="s">
        <v>33</v>
      </c>
      <c r="M606" t="s">
        <v>2225</v>
      </c>
      <c r="N606" t="s">
        <v>2226</v>
      </c>
      <c r="O606" t="s">
        <v>2227</v>
      </c>
      <c r="P606" s="2" t="s">
        <v>37</v>
      </c>
      <c r="Q606" t="s">
        <v>1208</v>
      </c>
      <c r="R606">
        <v>0</v>
      </c>
      <c r="S606">
        <v>15.89</v>
      </c>
      <c r="T606" t="s">
        <v>2228</v>
      </c>
    </row>
    <row r="607" spans="1:20" x14ac:dyDescent="0.25">
      <c r="A607" s="1" t="str">
        <f>HYPERLINK("https://vegkart.atlas.vegvesen.no/#/@300807.6,6748533.9,18/hva:hva%5B0%5D%5Bfilter%5D%5B0%5D%5Boperator%5D=%21%3D&amp;hva%5B0%5D%5Bfilter%5D%5B0%5D%5Btype_id%5D=8922&amp;hva%5B0%5D%5Bfilter%5D%5B0%5D%5Bverdi%5D=&amp;hva%5B0%5D%5Bid%5D=451/når:2023-02-17", "Vegkart")</f>
        <v>Vegkart</v>
      </c>
      <c r="B607">
        <v>1017335315</v>
      </c>
      <c r="C607">
        <v>451</v>
      </c>
      <c r="D607" t="s">
        <v>1801</v>
      </c>
      <c r="E607">
        <v>8922</v>
      </c>
      <c r="F607" t="s">
        <v>23479</v>
      </c>
      <c r="G607">
        <v>1</v>
      </c>
      <c r="H607" t="s">
        <v>2224</v>
      </c>
      <c r="J607" t="s">
        <v>2220</v>
      </c>
      <c r="K607" t="s">
        <v>136</v>
      </c>
      <c r="L607" t="s">
        <v>33</v>
      </c>
      <c r="M607" t="s">
        <v>2225</v>
      </c>
      <c r="N607" t="s">
        <v>2229</v>
      </c>
      <c r="O607" t="s">
        <v>2230</v>
      </c>
      <c r="P607" s="2" t="s">
        <v>37</v>
      </c>
      <c r="Q607" t="s">
        <v>1208</v>
      </c>
      <c r="R607">
        <v>0</v>
      </c>
      <c r="S607">
        <v>15.89</v>
      </c>
      <c r="T607" t="s">
        <v>2231</v>
      </c>
    </row>
    <row r="608" spans="1:20" x14ac:dyDescent="0.25">
      <c r="A608" s="1" t="str">
        <f>HYPERLINK("https://vegkart.atlas.vegvesen.no/#/@264251.7,6652268.2,18/hva:hva%5B0%5D%5Bfilter%5D%5B0%5D%5Boperator%5D=%21%3D&amp;hva%5B0%5D%5Bfilter%5D%5B0%5D%5Btype_id%5D=8922&amp;hva%5B0%5D%5Bfilter%5D%5B0%5D%5Bverdi%5D=&amp;hva%5B0%5D%5Bid%5D=451/når:2023-03-29", "Vegkart")</f>
        <v>Vegkart</v>
      </c>
      <c r="B608">
        <v>1017392039</v>
      </c>
      <c r="C608">
        <v>451</v>
      </c>
      <c r="D608" t="s">
        <v>1801</v>
      </c>
      <c r="E608">
        <v>8922</v>
      </c>
      <c r="F608" t="s">
        <v>23479</v>
      </c>
      <c r="G608">
        <v>2</v>
      </c>
      <c r="H608" t="s">
        <v>2232</v>
      </c>
      <c r="J608" t="s">
        <v>2220</v>
      </c>
      <c r="K608" t="s">
        <v>335</v>
      </c>
      <c r="L608" t="s">
        <v>370</v>
      </c>
      <c r="M608" t="s">
        <v>2233</v>
      </c>
      <c r="N608" t="s">
        <v>2234</v>
      </c>
      <c r="O608" t="s">
        <v>2235</v>
      </c>
      <c r="P608" s="2" t="s">
        <v>37</v>
      </c>
      <c r="Q608" t="s">
        <v>1208</v>
      </c>
      <c r="R608">
        <v>0</v>
      </c>
      <c r="S608">
        <v>24.8</v>
      </c>
      <c r="T608" t="s">
        <v>2236</v>
      </c>
    </row>
    <row r="609" spans="1:20" x14ac:dyDescent="0.25">
      <c r="A609" s="1" t="str">
        <f>HYPERLINK("https://vegkart.atlas.vegvesen.no/#/@264254.2,6652252.9,18/hva:hva%5B0%5D%5Bfilter%5D%5B0%5D%5Boperator%5D=%21%3D&amp;hva%5B0%5D%5Bfilter%5D%5B0%5D%5Btype_id%5D=8922&amp;hva%5B0%5D%5Bfilter%5D%5B0%5D%5Bverdi%5D=&amp;hva%5B0%5D%5Bid%5D=451/når:2023-03-29", "Vegkart")</f>
        <v>Vegkart</v>
      </c>
      <c r="B609">
        <v>1017392040</v>
      </c>
      <c r="C609">
        <v>451</v>
      </c>
      <c r="D609" t="s">
        <v>1801</v>
      </c>
      <c r="E609">
        <v>8922</v>
      </c>
      <c r="F609" t="s">
        <v>23479</v>
      </c>
      <c r="G609">
        <v>2</v>
      </c>
      <c r="H609" t="s">
        <v>2232</v>
      </c>
      <c r="J609" t="s">
        <v>2220</v>
      </c>
      <c r="K609" t="s">
        <v>335</v>
      </c>
      <c r="L609" t="s">
        <v>370</v>
      </c>
      <c r="M609" t="s">
        <v>2233</v>
      </c>
      <c r="N609" t="s">
        <v>2237</v>
      </c>
      <c r="O609" t="s">
        <v>2238</v>
      </c>
      <c r="P609" s="2" t="s">
        <v>37</v>
      </c>
      <c r="Q609" t="s">
        <v>1208</v>
      </c>
      <c r="R609">
        <v>0</v>
      </c>
      <c r="S609">
        <v>13.87</v>
      </c>
      <c r="T609" t="s">
        <v>2239</v>
      </c>
    </row>
    <row r="610" spans="1:20" x14ac:dyDescent="0.25">
      <c r="A610" s="1" t="str">
        <f>HYPERLINK("https://vegkart.atlas.vegvesen.no/#/@264241.0,6652333.8,18/hva:hva%5B0%5D%5Bfilter%5D%5B0%5D%5Boperator%5D=%21%3D&amp;hva%5B0%5D%5Bfilter%5D%5B0%5D%5Btype_id%5D=8922&amp;hva%5B0%5D%5Bfilter%5D%5B0%5D%5Bverdi%5D=&amp;hva%5B0%5D%5Bid%5D=451/når:2023-03-29", "Vegkart")</f>
        <v>Vegkart</v>
      </c>
      <c r="B610">
        <v>1017392042</v>
      </c>
      <c r="C610">
        <v>451</v>
      </c>
      <c r="D610" t="s">
        <v>1801</v>
      </c>
      <c r="E610">
        <v>8922</v>
      </c>
      <c r="F610" t="s">
        <v>23479</v>
      </c>
      <c r="G610">
        <v>2</v>
      </c>
      <c r="H610" t="s">
        <v>2232</v>
      </c>
      <c r="J610" t="s">
        <v>2220</v>
      </c>
      <c r="K610" t="s">
        <v>335</v>
      </c>
      <c r="L610" t="s">
        <v>370</v>
      </c>
      <c r="M610" t="s">
        <v>2233</v>
      </c>
      <c r="N610" t="s">
        <v>2240</v>
      </c>
      <c r="O610" t="s">
        <v>2241</v>
      </c>
      <c r="P610" s="2" t="s">
        <v>37</v>
      </c>
      <c r="Q610" t="s">
        <v>1208</v>
      </c>
      <c r="R610">
        <v>0</v>
      </c>
      <c r="S610">
        <v>16.98</v>
      </c>
      <c r="T610" t="s">
        <v>2242</v>
      </c>
    </row>
    <row r="611" spans="1:20" x14ac:dyDescent="0.25">
      <c r="A611" s="1" t="str">
        <f>HYPERLINK("https://vegkart.atlas.vegvesen.no/#/@332128.6,6676562.3,18/hva:hva%5B0%5D%5Bfilter%5D%5B0%5D%5Boperator%5D=%21%3D&amp;hva%5B0%5D%5Bfilter%5D%5B0%5D%5Btype_id%5D=8922&amp;hva%5B0%5D%5Bfilter%5D%5B0%5D%5Bverdi%5D=&amp;hva%5B0%5D%5Bid%5D=451/når:2023-10-20", "Vegkart")</f>
        <v>Vegkart</v>
      </c>
      <c r="B611">
        <v>1018095741</v>
      </c>
      <c r="C611">
        <v>451</v>
      </c>
      <c r="D611" t="s">
        <v>1801</v>
      </c>
      <c r="E611">
        <v>8922</v>
      </c>
      <c r="F611" t="s">
        <v>23479</v>
      </c>
      <c r="G611">
        <v>1</v>
      </c>
      <c r="H611" t="s">
        <v>2243</v>
      </c>
      <c r="J611" t="s">
        <v>2220</v>
      </c>
      <c r="K611" t="s">
        <v>136</v>
      </c>
      <c r="L611" t="s">
        <v>22</v>
      </c>
      <c r="M611" t="s">
        <v>2244</v>
      </c>
      <c r="N611" t="s">
        <v>2245</v>
      </c>
      <c r="O611" t="s">
        <v>2246</v>
      </c>
      <c r="P611" s="2" t="s">
        <v>165</v>
      </c>
      <c r="Q611" t="s">
        <v>311</v>
      </c>
      <c r="R611">
        <v>3.73</v>
      </c>
      <c r="S611">
        <v>3.73</v>
      </c>
      <c r="T611" t="s">
        <v>167</v>
      </c>
    </row>
    <row r="612" spans="1:20" x14ac:dyDescent="0.25">
      <c r="A612" s="1" t="str">
        <f>HYPERLINK("https://vegkart.atlas.vegvesen.no/#/@332081.8,6676575.8,18/hva:hva%5B0%5D%5Bfilter%5D%5B0%5D%5Boperator%5D=%21%3D&amp;hva%5B0%5D%5Bfilter%5D%5B0%5D%5Btype_id%5D=8922&amp;hva%5B0%5D%5Bfilter%5D%5B0%5D%5Bverdi%5D=&amp;hva%5B0%5D%5Bid%5D=451/når:2023-10-20", "Vegkart")</f>
        <v>Vegkart</v>
      </c>
      <c r="B612">
        <v>1018095862</v>
      </c>
      <c r="C612">
        <v>451</v>
      </c>
      <c r="D612" t="s">
        <v>1801</v>
      </c>
      <c r="E612">
        <v>8922</v>
      </c>
      <c r="F612" t="s">
        <v>23479</v>
      </c>
      <c r="G612">
        <v>1</v>
      </c>
      <c r="H612" t="s">
        <v>2243</v>
      </c>
      <c r="J612" t="s">
        <v>2220</v>
      </c>
      <c r="K612" t="s">
        <v>136</v>
      </c>
      <c r="L612" t="s">
        <v>370</v>
      </c>
      <c r="M612" t="s">
        <v>2247</v>
      </c>
      <c r="N612" t="s">
        <v>2248</v>
      </c>
      <c r="O612" t="s">
        <v>2249</v>
      </c>
      <c r="P612" s="2" t="s">
        <v>26</v>
      </c>
      <c r="Q612" t="s">
        <v>50</v>
      </c>
      <c r="R612">
        <v>8.0299999999999994</v>
      </c>
      <c r="S612">
        <v>8.0299999999999994</v>
      </c>
      <c r="T612" t="s">
        <v>2250</v>
      </c>
    </row>
    <row r="613" spans="1:20" x14ac:dyDescent="0.25">
      <c r="A613" s="1" t="str">
        <f>HYPERLINK("https://vegkart.atlas.vegvesen.no/#/@428590.9,7555414.1,18/hva:hva%5B0%5D%5Bfilter%5D%5B0%5D%5Boperator%5D=%21%3D&amp;hva%5B0%5D%5Bfilter%5D%5B0%5D%5Btype_id%5D=8922&amp;hva%5B0%5D%5Bfilter%5D%5B0%5D%5Bverdi%5D=&amp;hva%5B0%5D%5Bid%5D=451/når:2023-11-23", "Vegkart")</f>
        <v>Vegkart</v>
      </c>
      <c r="B613">
        <v>1018230477</v>
      </c>
      <c r="C613">
        <v>451</v>
      </c>
      <c r="D613" t="s">
        <v>1801</v>
      </c>
      <c r="E613">
        <v>8922</v>
      </c>
      <c r="F613" t="s">
        <v>23479</v>
      </c>
      <c r="G613">
        <v>1</v>
      </c>
      <c r="H613" t="s">
        <v>2251</v>
      </c>
      <c r="J613" t="s">
        <v>2220</v>
      </c>
      <c r="K613" t="s">
        <v>53</v>
      </c>
      <c r="L613" t="s">
        <v>80</v>
      </c>
      <c r="M613" t="s">
        <v>522</v>
      </c>
      <c r="N613" t="s">
        <v>2252</v>
      </c>
      <c r="O613" t="s">
        <v>2253</v>
      </c>
      <c r="P613" s="2" t="s">
        <v>26</v>
      </c>
      <c r="Q613" t="s">
        <v>50</v>
      </c>
      <c r="R613">
        <v>2.4500000000000002</v>
      </c>
      <c r="S613">
        <v>2.4500000000000002</v>
      </c>
      <c r="T613" t="s">
        <v>2254</v>
      </c>
    </row>
    <row r="614" spans="1:20" x14ac:dyDescent="0.25">
      <c r="A614" s="1" t="str">
        <f>HYPERLINK("https://vegkart.atlas.vegvesen.no/#/@84656.6,6474660.7,18/hva:hva%5B0%5D%5Bfilter%5D%5B0%5D%5Boperator%5D=%21%3D&amp;hva%5B0%5D%5Bfilter%5D%5B0%5D%5Btype_id%5D=8922&amp;hva%5B0%5D%5Bfilter%5D%5B0%5D%5Bverdi%5D=&amp;hva%5B0%5D%5Bid%5D=451/når:2023-11-29", "Vegkart")</f>
        <v>Vegkart</v>
      </c>
      <c r="B614">
        <v>1018241311</v>
      </c>
      <c r="C614">
        <v>451</v>
      </c>
      <c r="D614" t="s">
        <v>1801</v>
      </c>
      <c r="E614">
        <v>8922</v>
      </c>
      <c r="F614" t="s">
        <v>23479</v>
      </c>
      <c r="G614">
        <v>1</v>
      </c>
      <c r="H614" t="s">
        <v>2255</v>
      </c>
      <c r="J614" t="s">
        <v>2220</v>
      </c>
      <c r="K614" t="s">
        <v>86</v>
      </c>
      <c r="L614" t="s">
        <v>113</v>
      </c>
      <c r="M614" t="s">
        <v>667</v>
      </c>
      <c r="N614" t="s">
        <v>2256</v>
      </c>
      <c r="O614" t="s">
        <v>2257</v>
      </c>
      <c r="P614" s="2" t="s">
        <v>37</v>
      </c>
      <c r="Q614" t="s">
        <v>1208</v>
      </c>
      <c r="R614">
        <v>0</v>
      </c>
      <c r="S614">
        <v>15.55</v>
      </c>
      <c r="T614" t="s">
        <v>2258</v>
      </c>
    </row>
    <row r="615" spans="1:20" x14ac:dyDescent="0.25">
      <c r="A615" s="1" t="str">
        <f>HYPERLINK("https://vegkart.atlas.vegvesen.no/#/@271840.6,6653249.0,18/hva:hva%5B0%5D%5Bfilter%5D%5B0%5D%5Boperator%5D=%21%3D&amp;hva%5B0%5D%5Bfilter%5D%5B0%5D%5Btype_id%5D=8922&amp;hva%5B0%5D%5Bfilter%5D%5B0%5D%5Bverdi%5D=&amp;hva%5B0%5D%5Bid%5D=451/når:2024-02-01", "Vegkart")</f>
        <v>Vegkart</v>
      </c>
      <c r="B615">
        <v>1018715419</v>
      </c>
      <c r="C615">
        <v>451</v>
      </c>
      <c r="D615" t="s">
        <v>1801</v>
      </c>
      <c r="E615">
        <v>8922</v>
      </c>
      <c r="F615" t="s">
        <v>23479</v>
      </c>
      <c r="G615">
        <v>1</v>
      </c>
      <c r="H615" t="s">
        <v>2259</v>
      </c>
      <c r="J615" t="s">
        <v>2220</v>
      </c>
      <c r="K615" t="s">
        <v>335</v>
      </c>
      <c r="L615" t="s">
        <v>113</v>
      </c>
      <c r="M615" t="s">
        <v>2260</v>
      </c>
      <c r="N615" t="s">
        <v>2261</v>
      </c>
      <c r="O615" t="s">
        <v>2262</v>
      </c>
      <c r="P615" s="2" t="s">
        <v>37</v>
      </c>
      <c r="Q615" t="s">
        <v>1208</v>
      </c>
      <c r="R615">
        <v>0</v>
      </c>
      <c r="S615">
        <v>9.93</v>
      </c>
      <c r="T615" t="s">
        <v>2263</v>
      </c>
    </row>
    <row r="616" spans="1:20" x14ac:dyDescent="0.25">
      <c r="A616" s="1" t="str">
        <f>HYPERLINK("https://vegkart.atlas.vegvesen.no/#/@269352.8,6652421.3,18/hva:hva%5B0%5D%5Bfilter%5D%5B0%5D%5Boperator%5D=%21%3D&amp;hva%5B0%5D%5Bfilter%5D%5B0%5D%5Btype_id%5D=8922&amp;hva%5B0%5D%5Bfilter%5D%5B0%5D%5Bverdi%5D=&amp;hva%5B0%5D%5Bid%5D=451/når:2024-02-01", "Vegkart")</f>
        <v>Vegkart</v>
      </c>
      <c r="B616">
        <v>1018715420</v>
      </c>
      <c r="C616">
        <v>451</v>
      </c>
      <c r="D616" t="s">
        <v>1801</v>
      </c>
      <c r="E616">
        <v>8922</v>
      </c>
      <c r="F616" t="s">
        <v>23479</v>
      </c>
      <c r="G616">
        <v>1</v>
      </c>
      <c r="H616" t="s">
        <v>2259</v>
      </c>
      <c r="J616" t="s">
        <v>2220</v>
      </c>
      <c r="K616" t="s">
        <v>335</v>
      </c>
      <c r="L616" t="s">
        <v>113</v>
      </c>
      <c r="M616" t="s">
        <v>2260</v>
      </c>
      <c r="N616" t="s">
        <v>2264</v>
      </c>
      <c r="O616" t="s">
        <v>2265</v>
      </c>
      <c r="P616" s="2" t="s">
        <v>37</v>
      </c>
      <c r="Q616" t="s">
        <v>1208</v>
      </c>
      <c r="R616">
        <v>0</v>
      </c>
      <c r="S616">
        <v>10.41</v>
      </c>
      <c r="T616" t="s">
        <v>2266</v>
      </c>
    </row>
    <row r="617" spans="1:20" x14ac:dyDescent="0.25">
      <c r="A617" s="1" t="str">
        <f>HYPERLINK("https://vegkart.atlas.vegvesen.no/#/@272927.2,6656879.3,18/hva:hva%5B0%5D%5Bfilter%5D%5B0%5D%5Boperator%5D=%21%3D&amp;hva%5B0%5D%5Bfilter%5D%5B0%5D%5Btype_id%5D=8922&amp;hva%5B0%5D%5Bfilter%5D%5B0%5D%5Bverdi%5D=&amp;hva%5B0%5D%5Bid%5D=451/når:2024-03-04", "Vegkart")</f>
        <v>Vegkart</v>
      </c>
      <c r="B617">
        <v>1018853581</v>
      </c>
      <c r="C617">
        <v>451</v>
      </c>
      <c r="D617" t="s">
        <v>1801</v>
      </c>
      <c r="E617">
        <v>8922</v>
      </c>
      <c r="F617" t="s">
        <v>23479</v>
      </c>
      <c r="G617">
        <v>2</v>
      </c>
      <c r="H617" t="s">
        <v>2267</v>
      </c>
      <c r="J617" t="s">
        <v>2220</v>
      </c>
      <c r="K617" t="s">
        <v>132</v>
      </c>
      <c r="L617" t="s">
        <v>113</v>
      </c>
      <c r="M617" t="s">
        <v>1575</v>
      </c>
      <c r="N617" t="s">
        <v>2268</v>
      </c>
      <c r="O617" t="s">
        <v>2269</v>
      </c>
      <c r="P617" s="2" t="s">
        <v>37</v>
      </c>
      <c r="Q617" t="s">
        <v>1208</v>
      </c>
      <c r="R617">
        <v>0</v>
      </c>
      <c r="S617">
        <v>9.01</v>
      </c>
      <c r="T617" t="s">
        <v>2270</v>
      </c>
    </row>
    <row r="618" spans="1:20" x14ac:dyDescent="0.25">
      <c r="A618" s="1" t="str">
        <f>HYPERLINK("https://vegkart.atlas.vegvesen.no/#/@272893.4,6656787.1,18/hva:hva%5B0%5D%5Bfilter%5D%5B0%5D%5Boperator%5D=%21%3D&amp;hva%5B0%5D%5Bfilter%5D%5B0%5D%5Btype_id%5D=8922&amp;hva%5B0%5D%5Bfilter%5D%5B0%5D%5Bverdi%5D=&amp;hva%5B0%5D%5Bid%5D=451/når:2024-02-21", "Vegkart")</f>
        <v>Vegkart</v>
      </c>
      <c r="B618">
        <v>1018853582</v>
      </c>
      <c r="C618">
        <v>451</v>
      </c>
      <c r="D618" t="s">
        <v>1801</v>
      </c>
      <c r="E618">
        <v>8922</v>
      </c>
      <c r="F618" t="s">
        <v>23479</v>
      </c>
      <c r="G618">
        <v>1</v>
      </c>
      <c r="H618" t="s">
        <v>1743</v>
      </c>
      <c r="J618" t="s">
        <v>2220</v>
      </c>
      <c r="K618" t="s">
        <v>132</v>
      </c>
      <c r="L618" t="s">
        <v>113</v>
      </c>
      <c r="M618" t="s">
        <v>1575</v>
      </c>
      <c r="N618" t="s">
        <v>2271</v>
      </c>
      <c r="O618" t="s">
        <v>2272</v>
      </c>
      <c r="P618" s="2" t="s">
        <v>37</v>
      </c>
      <c r="Q618" t="s">
        <v>1208</v>
      </c>
      <c r="R618">
        <v>0</v>
      </c>
      <c r="S618">
        <v>9</v>
      </c>
      <c r="T618" t="s">
        <v>2273</v>
      </c>
    </row>
    <row r="619" spans="1:20" x14ac:dyDescent="0.25">
      <c r="A619" s="1" t="str">
        <f>HYPERLINK("https://vegkart.atlas.vegvesen.no/#/@-23471.1,6515208.0,18/hva:hva%5B0%5D%5Bfilter%5D%5B0%5D%5Boperator%5D=%21%3D&amp;hva%5B0%5D%5Bfilter%5D%5B0%5D%5Btype_id%5D=8922&amp;hva%5B0%5D%5Bfilter%5D%5B0%5D%5Bverdi%5D=&amp;hva%5B0%5D%5Bid%5D=451/når:2024-05-29", "Vegkart")</f>
        <v>Vegkart</v>
      </c>
      <c r="B619">
        <v>1019190328</v>
      </c>
      <c r="C619">
        <v>451</v>
      </c>
      <c r="D619" t="s">
        <v>1801</v>
      </c>
      <c r="E619">
        <v>8922</v>
      </c>
      <c r="F619" t="s">
        <v>23479</v>
      </c>
      <c r="G619">
        <v>1</v>
      </c>
      <c r="H619" t="s">
        <v>2274</v>
      </c>
      <c r="J619" t="s">
        <v>2220</v>
      </c>
      <c r="K619" t="s">
        <v>170</v>
      </c>
      <c r="L619" t="s">
        <v>113</v>
      </c>
      <c r="M619" t="s">
        <v>2275</v>
      </c>
      <c r="N619" t="s">
        <v>2276</v>
      </c>
      <c r="O619" t="s">
        <v>2277</v>
      </c>
      <c r="P619" s="2" t="s">
        <v>37</v>
      </c>
      <c r="Q619" t="s">
        <v>1208</v>
      </c>
      <c r="R619">
        <v>0</v>
      </c>
      <c r="S619">
        <v>8.98</v>
      </c>
      <c r="T619" t="s">
        <v>2278</v>
      </c>
    </row>
    <row r="620" spans="1:20" x14ac:dyDescent="0.25">
      <c r="A620" s="1" t="str">
        <f>HYPERLINK("https://vegkart.atlas.vegvesen.no/#/@265998.0,6649090.2,18/hva:hva%5B0%5D%5Bfilter%5D%5B0%5D%5Boperator%5D=%21%3D&amp;hva%5B0%5D%5Bfilter%5D%5B0%5D%5Btype_id%5D=8922&amp;hva%5B0%5D%5Bfilter%5D%5B0%5D%5Bverdi%5D=&amp;hva%5B0%5D%5Bid%5D=451/når:2024-10-10", "Vegkart")</f>
        <v>Vegkart</v>
      </c>
      <c r="B620">
        <v>1019933417</v>
      </c>
      <c r="C620">
        <v>451</v>
      </c>
      <c r="D620" t="s">
        <v>1801</v>
      </c>
      <c r="E620">
        <v>8922</v>
      </c>
      <c r="F620" t="s">
        <v>23479</v>
      </c>
      <c r="G620">
        <v>1</v>
      </c>
      <c r="H620" t="s">
        <v>2279</v>
      </c>
      <c r="J620" t="s">
        <v>2220</v>
      </c>
      <c r="K620" t="s">
        <v>335</v>
      </c>
      <c r="L620" t="s">
        <v>22</v>
      </c>
      <c r="M620" t="s">
        <v>2280</v>
      </c>
      <c r="N620" t="s">
        <v>2281</v>
      </c>
      <c r="O620" t="s">
        <v>2282</v>
      </c>
      <c r="P620" s="2" t="s">
        <v>37</v>
      </c>
      <c r="Q620" t="s">
        <v>1208</v>
      </c>
      <c r="R620">
        <v>0</v>
      </c>
      <c r="S620">
        <v>32.76</v>
      </c>
      <c r="T620" t="s">
        <v>2283</v>
      </c>
    </row>
    <row r="621" spans="1:20" x14ac:dyDescent="0.25">
      <c r="A621" s="1" t="str">
        <f>HYPERLINK("https://vegkart.atlas.vegvesen.no/#/@134143.4,6497527.9,18/hva:hva%5B0%5D%5Bfilter%5D%5B0%5D%5Boperator%5D=%21%3D&amp;hva%5B0%5D%5Bfilter%5D%5B0%5D%5Btype_id%5D=8922&amp;hva%5B0%5D%5Bfilter%5D%5B0%5D%5Bverdi%5D=&amp;hva%5B0%5D%5Bid%5D=451/når:2024-12-19", "Vegkart")</f>
        <v>Vegkart</v>
      </c>
      <c r="B621">
        <v>1021399350</v>
      </c>
      <c r="C621">
        <v>451</v>
      </c>
      <c r="D621" t="s">
        <v>1801</v>
      </c>
      <c r="E621">
        <v>8922</v>
      </c>
      <c r="F621" t="s">
        <v>23479</v>
      </c>
      <c r="G621">
        <v>1</v>
      </c>
      <c r="H621" t="s">
        <v>2284</v>
      </c>
      <c r="J621" t="s">
        <v>2220</v>
      </c>
      <c r="K621" t="s">
        <v>86</v>
      </c>
      <c r="L621" t="s">
        <v>80</v>
      </c>
      <c r="M621" t="s">
        <v>53</v>
      </c>
      <c r="N621" t="s">
        <v>2285</v>
      </c>
      <c r="O621" t="s">
        <v>2286</v>
      </c>
      <c r="P621" s="2" t="s">
        <v>26</v>
      </c>
      <c r="Q621" t="s">
        <v>50</v>
      </c>
      <c r="R621">
        <v>1.48</v>
      </c>
      <c r="S621">
        <v>1.48</v>
      </c>
      <c r="T621" t="s">
        <v>2287</v>
      </c>
    </row>
    <row r="622" spans="1:20" x14ac:dyDescent="0.25">
      <c r="A622" s="1" t="str">
        <f>HYPERLINK("https://vegkart.atlas.vegvesen.no/#/@220751.0,6840464.9,18/hva:hva%5B0%5D%5Bfilter%5D%5B0%5D%5Boperator%5D=%21%3D&amp;hva%5B0%5D%5Bfilter%5D%5B0%5D%5Btype_id%5D=8922&amp;hva%5B0%5D%5Bfilter%5D%5B0%5D%5Bverdi%5D=&amp;hva%5B0%5D%5Bid%5D=451/når:2024-12-23", "Vegkart")</f>
        <v>Vegkart</v>
      </c>
      <c r="B622">
        <v>1021405079</v>
      </c>
      <c r="C622">
        <v>451</v>
      </c>
      <c r="D622" t="s">
        <v>1801</v>
      </c>
      <c r="E622">
        <v>8922</v>
      </c>
      <c r="F622" t="s">
        <v>23479</v>
      </c>
      <c r="G622">
        <v>1</v>
      </c>
      <c r="H622" t="s">
        <v>2288</v>
      </c>
      <c r="J622" t="s">
        <v>2220</v>
      </c>
      <c r="K622" t="s">
        <v>136</v>
      </c>
      <c r="L622" t="s">
        <v>22</v>
      </c>
      <c r="M622" t="s">
        <v>2289</v>
      </c>
      <c r="N622" t="s">
        <v>2290</v>
      </c>
      <c r="O622" t="s">
        <v>2291</v>
      </c>
      <c r="P622" s="2" t="s">
        <v>26</v>
      </c>
      <c r="Q622" t="s">
        <v>50</v>
      </c>
      <c r="R622">
        <v>12.96</v>
      </c>
      <c r="S622">
        <v>12.96</v>
      </c>
      <c r="T622" t="s">
        <v>2292</v>
      </c>
    </row>
    <row r="623" spans="1:20" x14ac:dyDescent="0.25">
      <c r="A623" s="1" t="str">
        <f>HYPERLINK("https://vegkart.atlas.vegvesen.no/#/@-32783.6,6573962.2,18/hva:hva%5B0%5D%5Bfilter%5D%5B0%5D%5Boperator%5D=%21%3D&amp;hva%5B0%5D%5Bfilter%5D%5B0%5D%5Btype_id%5D=8922&amp;hva%5B0%5D%5Bfilter%5D%5B0%5D%5Bverdi%5D=&amp;hva%5B0%5D%5Bid%5D=451/når:2025-05-08", "Vegkart")</f>
        <v>Vegkart</v>
      </c>
      <c r="B623">
        <v>1022530180</v>
      </c>
      <c r="C623">
        <v>451</v>
      </c>
      <c r="D623" t="s">
        <v>1801</v>
      </c>
      <c r="E623">
        <v>8922</v>
      </c>
      <c r="F623" t="s">
        <v>23479</v>
      </c>
      <c r="G623">
        <v>1</v>
      </c>
      <c r="H623" t="s">
        <v>2293</v>
      </c>
      <c r="J623" t="s">
        <v>2294</v>
      </c>
      <c r="K623" t="s">
        <v>170</v>
      </c>
      <c r="L623" t="s">
        <v>33</v>
      </c>
      <c r="M623" t="s">
        <v>2295</v>
      </c>
      <c r="N623" t="s">
        <v>2296</v>
      </c>
      <c r="O623" t="s">
        <v>2297</v>
      </c>
      <c r="P623" s="2" t="s">
        <v>26</v>
      </c>
      <c r="Q623" t="s">
        <v>50</v>
      </c>
      <c r="R623">
        <v>1.55</v>
      </c>
      <c r="S623">
        <v>1.55</v>
      </c>
      <c r="T623" t="s">
        <v>2298</v>
      </c>
    </row>
    <row r="624" spans="1:20" x14ac:dyDescent="0.25">
      <c r="A624" s="1" t="str">
        <f>HYPERLINK("https://vegkart.atlas.vegvesen.no/#/@279774.2,6756584.1,18/hva:hva%5B0%5D%5Bfilter%5D%5B0%5D%5Boperator%5D=%21%3D&amp;hva%5B0%5D%5Bfilter%5D%5B0%5D%5Btype_id%5D=8922&amp;hva%5B0%5D%5Bfilter%5D%5B0%5D%5Bverdi%5D=&amp;hva%5B0%5D%5Bid%5D=451/når:2025-05-22", "Vegkart")</f>
        <v>Vegkart</v>
      </c>
      <c r="B624">
        <v>1022812735</v>
      </c>
      <c r="C624">
        <v>451</v>
      </c>
      <c r="D624" t="s">
        <v>1801</v>
      </c>
      <c r="E624">
        <v>8922</v>
      </c>
      <c r="F624" t="s">
        <v>23479</v>
      </c>
      <c r="G624">
        <v>1</v>
      </c>
      <c r="H624" t="s">
        <v>2299</v>
      </c>
      <c r="J624" t="s">
        <v>2294</v>
      </c>
      <c r="K624" t="s">
        <v>136</v>
      </c>
      <c r="L624" t="s">
        <v>33</v>
      </c>
      <c r="M624" t="s">
        <v>2300</v>
      </c>
      <c r="N624" t="s">
        <v>2301</v>
      </c>
      <c r="O624" t="s">
        <v>2302</v>
      </c>
      <c r="P624" s="2" t="s">
        <v>37</v>
      </c>
      <c r="Q624" t="s">
        <v>1208</v>
      </c>
      <c r="R624">
        <v>0</v>
      </c>
      <c r="S624">
        <v>7.2</v>
      </c>
      <c r="T624" t="s">
        <v>2303</v>
      </c>
    </row>
    <row r="625" spans="1:20" x14ac:dyDescent="0.25">
      <c r="A625" s="1" t="str">
        <f>HYPERLINK("https://vegkart.atlas.vegvesen.no/#/@279777.8,6756581.7,18/hva:hva%5B0%5D%5Bfilter%5D%5B0%5D%5Boperator%5D=%21%3D&amp;hva%5B0%5D%5Bfilter%5D%5B0%5D%5Btype_id%5D=8922&amp;hva%5B0%5D%5Bfilter%5D%5B0%5D%5Bverdi%5D=&amp;hva%5B0%5D%5Bid%5D=451/når:2025-05-22", "Vegkart")</f>
        <v>Vegkart</v>
      </c>
      <c r="B625">
        <v>1022812736</v>
      </c>
      <c r="C625">
        <v>451</v>
      </c>
      <c r="D625" t="s">
        <v>1801</v>
      </c>
      <c r="E625">
        <v>8922</v>
      </c>
      <c r="F625" t="s">
        <v>23479</v>
      </c>
      <c r="G625">
        <v>1</v>
      </c>
      <c r="H625" t="s">
        <v>2299</v>
      </c>
      <c r="J625" t="s">
        <v>2294</v>
      </c>
      <c r="K625" t="s">
        <v>136</v>
      </c>
      <c r="L625" t="s">
        <v>33</v>
      </c>
      <c r="M625" t="s">
        <v>2300</v>
      </c>
      <c r="N625" t="s">
        <v>2304</v>
      </c>
      <c r="O625" t="s">
        <v>2305</v>
      </c>
      <c r="P625" s="2" t="s">
        <v>37</v>
      </c>
      <c r="Q625" t="s">
        <v>1208</v>
      </c>
      <c r="R625">
        <v>0</v>
      </c>
      <c r="S625">
        <v>6.88</v>
      </c>
      <c r="T625" t="s">
        <v>2306</v>
      </c>
    </row>
    <row r="626" spans="1:20" x14ac:dyDescent="0.25">
      <c r="A626" s="1" t="str">
        <f>HYPERLINK("https://vegkart.atlas.vegvesen.no/#/@279770.6,6756586.5,18/hva:hva%5B0%5D%5Bfilter%5D%5B0%5D%5Boperator%5D=%21%3D&amp;hva%5B0%5D%5Bfilter%5D%5B0%5D%5Btype_id%5D=8922&amp;hva%5B0%5D%5Bfilter%5D%5B0%5D%5Bverdi%5D=&amp;hva%5B0%5D%5Bid%5D=451/når:2025-05-22", "Vegkart")</f>
        <v>Vegkart</v>
      </c>
      <c r="B626">
        <v>1022812737</v>
      </c>
      <c r="C626">
        <v>451</v>
      </c>
      <c r="D626" t="s">
        <v>1801</v>
      </c>
      <c r="E626">
        <v>8922</v>
      </c>
      <c r="F626" t="s">
        <v>23479</v>
      </c>
      <c r="G626">
        <v>1</v>
      </c>
      <c r="H626" t="s">
        <v>2299</v>
      </c>
      <c r="J626" t="s">
        <v>2294</v>
      </c>
      <c r="K626" t="s">
        <v>136</v>
      </c>
      <c r="L626" t="s">
        <v>33</v>
      </c>
      <c r="M626" t="s">
        <v>2300</v>
      </c>
      <c r="N626" t="s">
        <v>2307</v>
      </c>
      <c r="O626" t="s">
        <v>2308</v>
      </c>
      <c r="P626" s="2" t="s">
        <v>37</v>
      </c>
      <c r="Q626" t="s">
        <v>1208</v>
      </c>
      <c r="R626">
        <v>0</v>
      </c>
      <c r="S626">
        <v>6.96</v>
      </c>
      <c r="T626" t="s">
        <v>2309</v>
      </c>
    </row>
    <row r="627" spans="1:20" x14ac:dyDescent="0.25">
      <c r="A627" s="1" t="str">
        <f>HYPERLINK("https://vegkart.atlas.vegvesen.no/#/@279772.8,6756612.0,18/hva:hva%5B0%5D%5Bfilter%5D%5B0%5D%5Boperator%5D=%21%3D&amp;hva%5B0%5D%5Bfilter%5D%5B0%5D%5Btype_id%5D=8922&amp;hva%5B0%5D%5Bfilter%5D%5B0%5D%5Bverdi%5D=&amp;hva%5B0%5D%5Bid%5D=451/når:2025-05-22", "Vegkart")</f>
        <v>Vegkart</v>
      </c>
      <c r="B627">
        <v>1022812738</v>
      </c>
      <c r="C627">
        <v>451</v>
      </c>
      <c r="D627" t="s">
        <v>1801</v>
      </c>
      <c r="E627">
        <v>8922</v>
      </c>
      <c r="F627" t="s">
        <v>23479</v>
      </c>
      <c r="G627">
        <v>1</v>
      </c>
      <c r="H627" t="s">
        <v>2299</v>
      </c>
      <c r="J627" t="s">
        <v>2294</v>
      </c>
      <c r="K627" t="s">
        <v>136</v>
      </c>
      <c r="L627" t="s">
        <v>33</v>
      </c>
      <c r="M627" t="s">
        <v>2300</v>
      </c>
      <c r="N627" t="s">
        <v>2310</v>
      </c>
      <c r="O627" t="s">
        <v>2311</v>
      </c>
      <c r="P627" s="2" t="s">
        <v>37</v>
      </c>
      <c r="Q627" t="s">
        <v>1208</v>
      </c>
      <c r="R627">
        <v>0</v>
      </c>
      <c r="S627">
        <v>7.06</v>
      </c>
      <c r="T627" t="s">
        <v>2312</v>
      </c>
    </row>
    <row r="628" spans="1:20" x14ac:dyDescent="0.25">
      <c r="A628" s="1" t="str">
        <f>HYPERLINK("https://vegkart.atlas.vegvesen.no/#/@261956.6,6649408.2,18/hva:hva%5B0%5D%5Bfilter%5D%5B0%5D%5Boperator%5D=%21%3D&amp;hva%5B0%5D%5Bfilter%5D%5B0%5D%5Btype_id%5D=8922&amp;hva%5B0%5D%5Bfilter%5D%5B0%5D%5Bverdi%5D=&amp;hva%5B0%5D%5Bid%5D=451/når:2025-09-29", "Vegkart")</f>
        <v>Vegkart</v>
      </c>
      <c r="B628">
        <v>1025297211</v>
      </c>
      <c r="C628">
        <v>451</v>
      </c>
      <c r="D628" t="s">
        <v>1801</v>
      </c>
      <c r="E628">
        <v>8922</v>
      </c>
      <c r="F628" t="s">
        <v>23479</v>
      </c>
      <c r="G628">
        <v>1</v>
      </c>
      <c r="H628" t="s">
        <v>2313</v>
      </c>
      <c r="J628" t="s">
        <v>2294</v>
      </c>
      <c r="K628" t="s">
        <v>335</v>
      </c>
      <c r="L628" t="s">
        <v>22</v>
      </c>
      <c r="M628" t="s">
        <v>2314</v>
      </c>
      <c r="N628" t="s">
        <v>2315</v>
      </c>
      <c r="O628" t="s">
        <v>2316</v>
      </c>
      <c r="P628" s="2" t="s">
        <v>37</v>
      </c>
      <c r="Q628" t="s">
        <v>1208</v>
      </c>
      <c r="R628">
        <v>0</v>
      </c>
      <c r="S628">
        <v>23.25</v>
      </c>
      <c r="T628" t="s">
        <v>2317</v>
      </c>
    </row>
    <row r="629" spans="1:20" x14ac:dyDescent="0.25">
      <c r="A629" s="1" t="str">
        <f>HYPERLINK("https://vegkart.atlas.vegvesen.no/#/@261905.0,6649338.2,18/hva:hva%5B0%5D%5Bfilter%5D%5B0%5D%5Boperator%5D=%21%3D&amp;hva%5B0%5D%5Bfilter%5D%5B0%5D%5Btype_id%5D=8922&amp;hva%5B0%5D%5Bfilter%5D%5B0%5D%5Bverdi%5D=&amp;hva%5B0%5D%5Bid%5D=451/når:2025-09-29", "Vegkart")</f>
        <v>Vegkart</v>
      </c>
      <c r="B629">
        <v>1025297212</v>
      </c>
      <c r="C629">
        <v>451</v>
      </c>
      <c r="D629" t="s">
        <v>1801</v>
      </c>
      <c r="E629">
        <v>8922</v>
      </c>
      <c r="F629" t="s">
        <v>23479</v>
      </c>
      <c r="G629">
        <v>1</v>
      </c>
      <c r="H629" t="s">
        <v>2313</v>
      </c>
      <c r="J629" t="s">
        <v>2294</v>
      </c>
      <c r="K629" t="s">
        <v>335</v>
      </c>
      <c r="L629" t="s">
        <v>22</v>
      </c>
      <c r="M629" t="s">
        <v>2314</v>
      </c>
      <c r="N629" t="s">
        <v>2318</v>
      </c>
      <c r="O629" t="s">
        <v>2319</v>
      </c>
      <c r="P629" s="2" t="s">
        <v>37</v>
      </c>
      <c r="Q629" t="s">
        <v>1208</v>
      </c>
      <c r="R629">
        <v>0</v>
      </c>
      <c r="S629">
        <v>16.309999999999999</v>
      </c>
      <c r="T629" t="s">
        <v>2320</v>
      </c>
    </row>
    <row r="630" spans="1:20" x14ac:dyDescent="0.25">
      <c r="A630" s="1" t="str">
        <f>HYPERLINK("https://vegkart.atlas.vegvesen.no/#/@144203.6,6977260.8,18/hva:hva%5B0%5D%5Bfilter%5D%5B0%5D%5Boperator%5D=%21%3D&amp;hva%5B0%5D%5Bfilter%5D%5B0%5D%5Btype_id%5D=5012&amp;hva%5B0%5D%5Bfilter%5D%5B0%5D%5Bverdi%5D=&amp;hva%5B0%5D%5Bid%5D=508/når:2021-10-12", "Vegkart")</f>
        <v>Vegkart</v>
      </c>
      <c r="B630">
        <v>80620524</v>
      </c>
      <c r="C630">
        <v>508</v>
      </c>
      <c r="D630" t="s">
        <v>2321</v>
      </c>
      <c r="E630">
        <v>5012</v>
      </c>
      <c r="F630" t="s">
        <v>23479</v>
      </c>
      <c r="G630">
        <v>5</v>
      </c>
      <c r="H630" t="s">
        <v>2322</v>
      </c>
      <c r="J630" t="s">
        <v>2323</v>
      </c>
      <c r="K630" t="s">
        <v>32</v>
      </c>
      <c r="L630" t="s">
        <v>33</v>
      </c>
      <c r="M630" t="s">
        <v>162</v>
      </c>
      <c r="N630" t="s">
        <v>2324</v>
      </c>
      <c r="O630" t="s">
        <v>2325</v>
      </c>
      <c r="P630" s="2" t="s">
        <v>67</v>
      </c>
      <c r="Q630" t="s">
        <v>68</v>
      </c>
      <c r="R630">
        <v>155.32</v>
      </c>
      <c r="S630">
        <v>157.26</v>
      </c>
      <c r="T630" t="s">
        <v>2326</v>
      </c>
    </row>
    <row r="631" spans="1:20" x14ac:dyDescent="0.25">
      <c r="A631" s="1" t="str">
        <f>HYPERLINK("https://vegkart.atlas.vegvesen.no/#/@333450.8,7114260.2,18/hva:hva%5B0%5D%5Bfilter%5D%5B0%5D%5Boperator%5D=%21%3D&amp;hva%5B0%5D%5Bfilter%5D%5B0%5D%5Btype_id%5D=5012&amp;hva%5B0%5D%5Bfilter%5D%5B0%5D%5Bverdi%5D=&amp;hva%5B0%5D%5Bid%5D=508/når:2024-09-02", "Vegkart")</f>
        <v>Vegkart</v>
      </c>
      <c r="B631">
        <v>87007991</v>
      </c>
      <c r="C631">
        <v>508</v>
      </c>
      <c r="D631" t="s">
        <v>2321</v>
      </c>
      <c r="E631">
        <v>5012</v>
      </c>
      <c r="F631" t="s">
        <v>23479</v>
      </c>
      <c r="G631">
        <v>6</v>
      </c>
      <c r="H631" t="s">
        <v>2327</v>
      </c>
      <c r="J631" t="s">
        <v>2328</v>
      </c>
      <c r="K631" t="s">
        <v>192</v>
      </c>
      <c r="L631" t="s">
        <v>80</v>
      </c>
      <c r="M631" t="s">
        <v>105</v>
      </c>
      <c r="N631" t="s">
        <v>2329</v>
      </c>
      <c r="O631" t="s">
        <v>2330</v>
      </c>
      <c r="P631" s="2" t="s">
        <v>165</v>
      </c>
      <c r="Q631" t="s">
        <v>641</v>
      </c>
      <c r="R631">
        <v>0</v>
      </c>
      <c r="S631">
        <v>9373.64</v>
      </c>
      <c r="T631" t="s">
        <v>167</v>
      </c>
    </row>
    <row r="632" spans="1:20" x14ac:dyDescent="0.25">
      <c r="A632" s="1" t="str">
        <f>HYPERLINK("https://vegkart.atlas.vegvesen.no/#/@328825.6,7108296.9,18/hva:hva%5B0%5D%5Bfilter%5D%5B0%5D%5Boperator%5D=%21%3D&amp;hva%5B0%5D%5Bfilter%5D%5B0%5D%5Btype_id%5D=5012&amp;hva%5B0%5D%5Bfilter%5D%5B0%5D%5Bverdi%5D=&amp;hva%5B0%5D%5Bid%5D=508/når:2024-09-02", "Vegkart")</f>
        <v>Vegkart</v>
      </c>
      <c r="B632">
        <v>87008352</v>
      </c>
      <c r="C632">
        <v>508</v>
      </c>
      <c r="D632" t="s">
        <v>2321</v>
      </c>
      <c r="E632">
        <v>5012</v>
      </c>
      <c r="F632" t="s">
        <v>23479</v>
      </c>
      <c r="G632">
        <v>9</v>
      </c>
      <c r="H632" t="s">
        <v>2327</v>
      </c>
      <c r="J632" t="s">
        <v>2328</v>
      </c>
      <c r="K632" t="s">
        <v>192</v>
      </c>
      <c r="L632" t="s">
        <v>80</v>
      </c>
      <c r="M632" t="s">
        <v>105</v>
      </c>
      <c r="N632" t="s">
        <v>2331</v>
      </c>
      <c r="O632" t="s">
        <v>2332</v>
      </c>
      <c r="P632" s="2" t="s">
        <v>67</v>
      </c>
      <c r="Q632" t="s">
        <v>68</v>
      </c>
      <c r="R632">
        <v>207.38</v>
      </c>
      <c r="S632">
        <v>210.22</v>
      </c>
      <c r="T632" t="s">
        <v>2333</v>
      </c>
    </row>
    <row r="633" spans="1:20" x14ac:dyDescent="0.25">
      <c r="A633" s="1" t="str">
        <f>HYPERLINK("https://vegkart.atlas.vegvesen.no/#/@359251.6,7125992.6,18/hva:hva%5B0%5D%5Bfilter%5D%5B0%5D%5Boperator%5D=%21%3D&amp;hva%5B0%5D%5Bfilter%5D%5B0%5D%5Btype_id%5D=5012&amp;hva%5B0%5D%5Bfilter%5D%5B0%5D%5Bverdi%5D=&amp;hva%5B0%5D%5Bid%5D=508/når:2024-09-02", "Vegkart")</f>
        <v>Vegkart</v>
      </c>
      <c r="B633">
        <v>87008397</v>
      </c>
      <c r="C633">
        <v>508</v>
      </c>
      <c r="D633" t="s">
        <v>2321</v>
      </c>
      <c r="E633">
        <v>5012</v>
      </c>
      <c r="F633" t="s">
        <v>23479</v>
      </c>
      <c r="G633">
        <v>10</v>
      </c>
      <c r="H633" t="s">
        <v>2327</v>
      </c>
      <c r="J633" t="s">
        <v>2328</v>
      </c>
      <c r="K633" t="s">
        <v>192</v>
      </c>
      <c r="L633" t="s">
        <v>80</v>
      </c>
      <c r="M633" t="s">
        <v>105</v>
      </c>
      <c r="N633" t="s">
        <v>2334</v>
      </c>
      <c r="O633" t="s">
        <v>2335</v>
      </c>
      <c r="P633" s="2" t="s">
        <v>67</v>
      </c>
      <c r="Q633" t="s">
        <v>68</v>
      </c>
      <c r="R633">
        <v>176.76</v>
      </c>
      <c r="S633">
        <v>180.94</v>
      </c>
      <c r="T633" t="s">
        <v>2336</v>
      </c>
    </row>
    <row r="634" spans="1:20" x14ac:dyDescent="0.25">
      <c r="A634" s="1" t="str">
        <f>HYPERLINK("https://vegkart.atlas.vegvesen.no/#/@347134.1,7120948.8,18/hva:hva%5B0%5D%5Bfilter%5D%5B0%5D%5Boperator%5D=%21%3D&amp;hva%5B0%5D%5Bfilter%5D%5B0%5D%5Btype_id%5D=5012&amp;hva%5B0%5D%5Bfilter%5D%5B0%5D%5Bverdi%5D=&amp;hva%5B0%5D%5Bid%5D=508/når:2024-09-02", "Vegkart")</f>
        <v>Vegkart</v>
      </c>
      <c r="B634">
        <v>87008401</v>
      </c>
      <c r="C634">
        <v>508</v>
      </c>
      <c r="D634" t="s">
        <v>2321</v>
      </c>
      <c r="E634">
        <v>5012</v>
      </c>
      <c r="F634" t="s">
        <v>23479</v>
      </c>
      <c r="G634">
        <v>6</v>
      </c>
      <c r="H634" t="s">
        <v>2327</v>
      </c>
      <c r="J634" t="s">
        <v>2328</v>
      </c>
      <c r="K634" t="s">
        <v>192</v>
      </c>
      <c r="L634" t="s">
        <v>80</v>
      </c>
      <c r="M634" t="s">
        <v>105</v>
      </c>
      <c r="N634" t="s">
        <v>2337</v>
      </c>
      <c r="O634" t="s">
        <v>2338</v>
      </c>
      <c r="P634" s="2" t="s">
        <v>67</v>
      </c>
      <c r="Q634" t="s">
        <v>68</v>
      </c>
      <c r="R634">
        <v>76.98</v>
      </c>
      <c r="S634">
        <v>82.93</v>
      </c>
      <c r="T634" t="s">
        <v>2339</v>
      </c>
    </row>
    <row r="635" spans="1:20" x14ac:dyDescent="0.25">
      <c r="A635" s="1" t="str">
        <f>HYPERLINK("https://vegkart.atlas.vegvesen.no/#/@330649.5,7112275.6,18/hva:hva%5B0%5D%5Bfilter%5D%5B0%5D%5Boperator%5D=%21%3D&amp;hva%5B0%5D%5Bfilter%5D%5B0%5D%5Btype_id%5D=5012&amp;hva%5B0%5D%5Bfilter%5D%5B0%5D%5Bverdi%5D=&amp;hva%5B0%5D%5Bid%5D=508/når:2024-09-02", "Vegkart")</f>
        <v>Vegkart</v>
      </c>
      <c r="B635">
        <v>87008410</v>
      </c>
      <c r="C635">
        <v>508</v>
      </c>
      <c r="D635" t="s">
        <v>2321</v>
      </c>
      <c r="E635">
        <v>5012</v>
      </c>
      <c r="F635" t="s">
        <v>23479</v>
      </c>
      <c r="G635">
        <v>9</v>
      </c>
      <c r="H635" t="s">
        <v>2327</v>
      </c>
      <c r="J635" t="s">
        <v>2328</v>
      </c>
      <c r="K635" t="s">
        <v>192</v>
      </c>
      <c r="L635" t="s">
        <v>80</v>
      </c>
      <c r="M635" t="s">
        <v>105</v>
      </c>
      <c r="N635" t="s">
        <v>2340</v>
      </c>
      <c r="O635" t="s">
        <v>2341</v>
      </c>
      <c r="P635" s="2" t="s">
        <v>67</v>
      </c>
      <c r="Q635" t="s">
        <v>68</v>
      </c>
      <c r="R635">
        <v>72.209999999999994</v>
      </c>
      <c r="S635">
        <v>94.48</v>
      </c>
      <c r="T635" t="s">
        <v>2342</v>
      </c>
    </row>
    <row r="636" spans="1:20" x14ac:dyDescent="0.25">
      <c r="A636" s="1" t="str">
        <f>HYPERLINK("https://vegkart.atlas.vegvesen.no/#/@328826.6,7107628.3,18/hva:hva%5B0%5D%5Bfilter%5D%5B0%5D%5Boperator%5D=%21%3D&amp;hva%5B0%5D%5Bfilter%5D%5B0%5D%5Btype_id%5D=5012&amp;hva%5B0%5D%5Bfilter%5D%5B0%5D%5Bverdi%5D=&amp;hva%5B0%5D%5Bid%5D=508/når:2024-09-02", "Vegkart")</f>
        <v>Vegkart</v>
      </c>
      <c r="B636">
        <v>87008418</v>
      </c>
      <c r="C636">
        <v>508</v>
      </c>
      <c r="D636" t="s">
        <v>2321</v>
      </c>
      <c r="E636">
        <v>5012</v>
      </c>
      <c r="F636" t="s">
        <v>23479</v>
      </c>
      <c r="G636">
        <v>12</v>
      </c>
      <c r="H636" t="s">
        <v>2327</v>
      </c>
      <c r="J636" t="s">
        <v>2328</v>
      </c>
      <c r="K636" t="s">
        <v>192</v>
      </c>
      <c r="L636" t="s">
        <v>80</v>
      </c>
      <c r="M636" t="s">
        <v>105</v>
      </c>
      <c r="N636" t="s">
        <v>2343</v>
      </c>
      <c r="O636" t="s">
        <v>2344</v>
      </c>
      <c r="P636" s="2" t="s">
        <v>67</v>
      </c>
      <c r="Q636" t="s">
        <v>68</v>
      </c>
      <c r="R636">
        <v>65.5</v>
      </c>
      <c r="S636">
        <v>70.81</v>
      </c>
      <c r="T636" t="s">
        <v>2345</v>
      </c>
    </row>
    <row r="637" spans="1:20" x14ac:dyDescent="0.25">
      <c r="A637" s="1" t="str">
        <f>HYPERLINK("https://vegkart.atlas.vegvesen.no/#/@325402.5,7091976.8,18/hva:hva%5B0%5D%5Bfilter%5D%5B0%5D%5Boperator%5D=%21%3D&amp;hva%5B0%5D%5Bfilter%5D%5B0%5D%5Btype_id%5D=5012&amp;hva%5B0%5D%5Bfilter%5D%5B0%5D%5Bverdi%5D=&amp;hva%5B0%5D%5Bid%5D=508/når:2024-09-02", "Vegkart")</f>
        <v>Vegkart</v>
      </c>
      <c r="B637">
        <v>87008420</v>
      </c>
      <c r="C637">
        <v>508</v>
      </c>
      <c r="D637" t="s">
        <v>2321</v>
      </c>
      <c r="E637">
        <v>5012</v>
      </c>
      <c r="F637" t="s">
        <v>23479</v>
      </c>
      <c r="G637">
        <v>6</v>
      </c>
      <c r="H637" t="s">
        <v>2327</v>
      </c>
      <c r="J637" t="s">
        <v>2328</v>
      </c>
      <c r="K637" t="s">
        <v>192</v>
      </c>
      <c r="L637" t="s">
        <v>80</v>
      </c>
      <c r="M637" t="s">
        <v>105</v>
      </c>
      <c r="N637" t="s">
        <v>2346</v>
      </c>
      <c r="O637" t="s">
        <v>2347</v>
      </c>
      <c r="P637" s="2" t="s">
        <v>67</v>
      </c>
      <c r="Q637" t="s">
        <v>68</v>
      </c>
      <c r="R637">
        <v>88.99</v>
      </c>
      <c r="S637">
        <v>97.66</v>
      </c>
      <c r="T637" t="s">
        <v>2348</v>
      </c>
    </row>
    <row r="638" spans="1:20" x14ac:dyDescent="0.25">
      <c r="A638" s="1" t="str">
        <f>HYPERLINK("https://vegkart.atlas.vegvesen.no/#/@405708.4,7192949.3,18/hva:hva%5B0%5D%5Bfilter%5D%5B0%5D%5Boperator%5D=%21%3D&amp;hva%5B0%5D%5Bfilter%5D%5B0%5D%5Btype_id%5D=5012&amp;hva%5B0%5D%5Bfilter%5D%5B0%5D%5Bverdi%5D=&amp;hva%5B0%5D%5Bid%5D=508/når:2024-09-02", "Vegkart")</f>
        <v>Vegkart</v>
      </c>
      <c r="B638">
        <v>87011489</v>
      </c>
      <c r="C638">
        <v>508</v>
      </c>
      <c r="D638" t="s">
        <v>2321</v>
      </c>
      <c r="E638">
        <v>5012</v>
      </c>
      <c r="F638" t="s">
        <v>23479</v>
      </c>
      <c r="G638">
        <v>4</v>
      </c>
      <c r="H638" t="s">
        <v>2327</v>
      </c>
      <c r="J638" t="s">
        <v>2328</v>
      </c>
      <c r="K638" t="s">
        <v>192</v>
      </c>
      <c r="L638" t="s">
        <v>80</v>
      </c>
      <c r="M638" t="s">
        <v>105</v>
      </c>
      <c r="N638" t="s">
        <v>2349</v>
      </c>
      <c r="O638" t="s">
        <v>2350</v>
      </c>
      <c r="P638" s="2" t="s">
        <v>67</v>
      </c>
      <c r="Q638" t="s">
        <v>68</v>
      </c>
      <c r="R638">
        <v>169.65</v>
      </c>
      <c r="S638">
        <v>170.02</v>
      </c>
      <c r="T638" t="s">
        <v>2351</v>
      </c>
    </row>
    <row r="639" spans="1:20" x14ac:dyDescent="0.25">
      <c r="A639" s="1" t="str">
        <f>HYPERLINK("https://vegkart.atlas.vegvesen.no/#/@376844.7,7159304.8,18/hva:hva%5B0%5D%5Bfilter%5D%5B0%5D%5Boperator%5D=%21%3D&amp;hva%5B0%5D%5Bfilter%5D%5B0%5D%5Btype_id%5D=5012&amp;hva%5B0%5D%5Bfilter%5D%5B0%5D%5Bverdi%5D=&amp;hva%5B0%5D%5Bid%5D=508/når:2024-09-02", "Vegkart")</f>
        <v>Vegkart</v>
      </c>
      <c r="B639">
        <v>87072023</v>
      </c>
      <c r="C639">
        <v>508</v>
      </c>
      <c r="D639" t="s">
        <v>2321</v>
      </c>
      <c r="E639">
        <v>5012</v>
      </c>
      <c r="F639" t="s">
        <v>23479</v>
      </c>
      <c r="G639">
        <v>7</v>
      </c>
      <c r="H639" t="s">
        <v>2327</v>
      </c>
      <c r="J639" t="s">
        <v>2328</v>
      </c>
      <c r="K639" t="s">
        <v>192</v>
      </c>
      <c r="L639" t="s">
        <v>80</v>
      </c>
      <c r="M639" t="s">
        <v>105</v>
      </c>
      <c r="N639" t="s">
        <v>2352</v>
      </c>
      <c r="O639" t="s">
        <v>2353</v>
      </c>
      <c r="P639" s="2" t="s">
        <v>67</v>
      </c>
      <c r="Q639" t="s">
        <v>68</v>
      </c>
      <c r="R639">
        <v>45.57</v>
      </c>
      <c r="S639">
        <v>45.86</v>
      </c>
      <c r="T639" t="s">
        <v>2354</v>
      </c>
    </row>
    <row r="640" spans="1:20" x14ac:dyDescent="0.25">
      <c r="A640" s="1" t="str">
        <f>HYPERLINK("https://vegkart.atlas.vegvesen.no/#/@370746.5,7151934.2,18/hva:hva%5B0%5D%5Bfilter%5D%5B0%5D%5Boperator%5D=%21%3D&amp;hva%5B0%5D%5Bfilter%5D%5B0%5D%5Btype_id%5D=5012&amp;hva%5B0%5D%5Bfilter%5D%5B0%5D%5Bverdi%5D=&amp;hva%5B0%5D%5Bid%5D=508/når:2024-09-02", "Vegkart")</f>
        <v>Vegkart</v>
      </c>
      <c r="B640">
        <v>87072095</v>
      </c>
      <c r="C640">
        <v>508</v>
      </c>
      <c r="D640" t="s">
        <v>2321</v>
      </c>
      <c r="E640">
        <v>5012</v>
      </c>
      <c r="F640" t="s">
        <v>23479</v>
      </c>
      <c r="G640">
        <v>4</v>
      </c>
      <c r="H640" t="s">
        <v>2327</v>
      </c>
      <c r="J640" t="s">
        <v>2328</v>
      </c>
      <c r="K640" t="s">
        <v>192</v>
      </c>
      <c r="L640" t="s">
        <v>80</v>
      </c>
      <c r="M640" t="s">
        <v>105</v>
      </c>
      <c r="N640" t="s">
        <v>2355</v>
      </c>
      <c r="O640" t="s">
        <v>2356</v>
      </c>
      <c r="P640" s="2" t="s">
        <v>67</v>
      </c>
      <c r="Q640" t="s">
        <v>68</v>
      </c>
      <c r="R640">
        <v>173.23</v>
      </c>
      <c r="S640">
        <v>175.31</v>
      </c>
      <c r="T640" t="s">
        <v>2357</v>
      </c>
    </row>
    <row r="641" spans="1:20" x14ac:dyDescent="0.25">
      <c r="A641" s="1" t="str">
        <f>HYPERLINK("https://vegkart.atlas.vegvesen.no/#/@370496.5,7151784.5,18/hva:hva%5B0%5D%5Bfilter%5D%5B0%5D%5Boperator%5D=%21%3D&amp;hva%5B0%5D%5Bfilter%5D%5B0%5D%5Btype_id%5D=5012&amp;hva%5B0%5D%5Bfilter%5D%5B0%5D%5Bverdi%5D=&amp;hva%5B0%5D%5Bid%5D=508/når:2024-09-02", "Vegkart")</f>
        <v>Vegkart</v>
      </c>
      <c r="B641">
        <v>87072100</v>
      </c>
      <c r="C641">
        <v>508</v>
      </c>
      <c r="D641" t="s">
        <v>2321</v>
      </c>
      <c r="E641">
        <v>5012</v>
      </c>
      <c r="F641" t="s">
        <v>23479</v>
      </c>
      <c r="G641">
        <v>8</v>
      </c>
      <c r="H641" t="s">
        <v>2327</v>
      </c>
      <c r="J641" t="s">
        <v>2328</v>
      </c>
      <c r="K641" t="s">
        <v>192</v>
      </c>
      <c r="L641" t="s">
        <v>80</v>
      </c>
      <c r="M641" t="s">
        <v>105</v>
      </c>
      <c r="N641" t="s">
        <v>2358</v>
      </c>
      <c r="O641" t="s">
        <v>2359</v>
      </c>
      <c r="P641" s="2" t="s">
        <v>67</v>
      </c>
      <c r="Q641" t="s">
        <v>68</v>
      </c>
      <c r="R641">
        <v>314.2</v>
      </c>
      <c r="S641">
        <v>314.33</v>
      </c>
      <c r="T641" t="s">
        <v>2360</v>
      </c>
    </row>
    <row r="642" spans="1:20" x14ac:dyDescent="0.25">
      <c r="A642" s="1" t="str">
        <f>HYPERLINK("https://vegkart.atlas.vegvesen.no/#/@370488.2,7151780.9,18/hva:hva%5B0%5D%5Bfilter%5D%5B0%5D%5Boperator%5D=%21%3D&amp;hva%5B0%5D%5Bfilter%5D%5B0%5D%5Btype_id%5D=5012&amp;hva%5B0%5D%5Bfilter%5D%5B0%5D%5Bverdi%5D=&amp;hva%5B0%5D%5Bid%5D=508/når:2024-09-02", "Vegkart")</f>
        <v>Vegkart</v>
      </c>
      <c r="B642">
        <v>87072110</v>
      </c>
      <c r="C642">
        <v>508</v>
      </c>
      <c r="D642" t="s">
        <v>2321</v>
      </c>
      <c r="E642">
        <v>5012</v>
      </c>
      <c r="F642" t="s">
        <v>23479</v>
      </c>
      <c r="G642">
        <v>6</v>
      </c>
      <c r="H642" t="s">
        <v>2327</v>
      </c>
      <c r="J642" t="s">
        <v>2328</v>
      </c>
      <c r="K642" t="s">
        <v>192</v>
      </c>
      <c r="L642" t="s">
        <v>80</v>
      </c>
      <c r="M642" t="s">
        <v>105</v>
      </c>
      <c r="N642" t="s">
        <v>2361</v>
      </c>
      <c r="O642" t="s">
        <v>2362</v>
      </c>
      <c r="P642" s="2" t="s">
        <v>67</v>
      </c>
      <c r="Q642" t="s">
        <v>68</v>
      </c>
      <c r="R642">
        <v>296.05</v>
      </c>
      <c r="S642">
        <v>296.14</v>
      </c>
      <c r="T642" t="s">
        <v>2363</v>
      </c>
    </row>
    <row r="643" spans="1:20" x14ac:dyDescent="0.25">
      <c r="A643" s="1" t="str">
        <f>HYPERLINK("https://vegkart.atlas.vegvesen.no/#/@371281.4,7137547.1,18/hva:hva%5B0%5D%5Bfilter%5D%5B0%5D%5Boperator%5D=%21%3D&amp;hva%5B0%5D%5Bfilter%5D%5B0%5D%5Btype_id%5D=5012&amp;hva%5B0%5D%5Bfilter%5D%5B0%5D%5Bverdi%5D=&amp;hva%5B0%5D%5Bid%5D=508/når:2024-09-02", "Vegkart")</f>
        <v>Vegkart</v>
      </c>
      <c r="B643">
        <v>87072187</v>
      </c>
      <c r="C643">
        <v>508</v>
      </c>
      <c r="D643" t="s">
        <v>2321</v>
      </c>
      <c r="E643">
        <v>5012</v>
      </c>
      <c r="F643" t="s">
        <v>23479</v>
      </c>
      <c r="G643">
        <v>7</v>
      </c>
      <c r="H643" t="s">
        <v>2327</v>
      </c>
      <c r="J643" t="s">
        <v>2328</v>
      </c>
      <c r="K643" t="s">
        <v>192</v>
      </c>
      <c r="L643" t="s">
        <v>80</v>
      </c>
      <c r="M643" t="s">
        <v>105</v>
      </c>
      <c r="N643" t="s">
        <v>2364</v>
      </c>
      <c r="O643" t="s">
        <v>2365</v>
      </c>
      <c r="P643" s="2" t="s">
        <v>67</v>
      </c>
      <c r="Q643" t="s">
        <v>68</v>
      </c>
      <c r="R643">
        <v>147.24</v>
      </c>
      <c r="S643">
        <v>156.93</v>
      </c>
      <c r="T643" t="s">
        <v>2366</v>
      </c>
    </row>
    <row r="644" spans="1:20" x14ac:dyDescent="0.25">
      <c r="A644" s="1" t="str">
        <f>HYPERLINK("https://vegkart.atlas.vegvesen.no/#/@313686.8,7070998.9,18/hva:hva%5B0%5D%5Bfilter%5D%5B0%5D%5Boperator%5D=%21%3D&amp;hva%5B0%5D%5Bfilter%5D%5B0%5D%5Btype_id%5D=5012&amp;hva%5B0%5D%5Bfilter%5D%5B0%5D%5Bverdi%5D=&amp;hva%5B0%5D%5Bid%5D=508/når:2024-09-02", "Vegkart")</f>
        <v>Vegkart</v>
      </c>
      <c r="B644">
        <v>87115891</v>
      </c>
      <c r="C644">
        <v>508</v>
      </c>
      <c r="D644" t="s">
        <v>2321</v>
      </c>
      <c r="E644">
        <v>5012</v>
      </c>
      <c r="F644" t="s">
        <v>23479</v>
      </c>
      <c r="G644">
        <v>6</v>
      </c>
      <c r="H644" t="s">
        <v>2327</v>
      </c>
      <c r="J644" t="s">
        <v>2328</v>
      </c>
      <c r="K644" t="s">
        <v>192</v>
      </c>
      <c r="L644" t="s">
        <v>80</v>
      </c>
      <c r="M644" t="s">
        <v>105</v>
      </c>
      <c r="N644" t="s">
        <v>2367</v>
      </c>
      <c r="O644" t="s">
        <v>2368</v>
      </c>
      <c r="P644" s="2" t="s">
        <v>67</v>
      </c>
      <c r="Q644" t="s">
        <v>68</v>
      </c>
      <c r="R644">
        <v>55.15</v>
      </c>
      <c r="S644">
        <v>55.15</v>
      </c>
      <c r="T644" t="s">
        <v>2369</v>
      </c>
    </row>
    <row r="645" spans="1:20" x14ac:dyDescent="0.25">
      <c r="A645" s="1" t="str">
        <f>HYPERLINK("https://vegkart.atlas.vegvesen.no/#/@295445.0,7042108.5,18/hva:hva%5B0%5D%5Bfilter%5D%5B0%5D%5Boperator%5D=%21%3D&amp;hva%5B0%5D%5Bfilter%5D%5B0%5D%5Btype_id%5D=5012&amp;hva%5B0%5D%5Bfilter%5D%5B0%5D%5Bverdi%5D=&amp;hva%5B0%5D%5Bid%5D=508/når:2025-10-20", "Vegkart")</f>
        <v>Vegkart</v>
      </c>
      <c r="B645">
        <v>87115917</v>
      </c>
      <c r="C645">
        <v>508</v>
      </c>
      <c r="D645" t="s">
        <v>2321</v>
      </c>
      <c r="E645">
        <v>5012</v>
      </c>
      <c r="F645" t="s">
        <v>23479</v>
      </c>
      <c r="G645">
        <v>10</v>
      </c>
      <c r="H645" t="s">
        <v>2370</v>
      </c>
      <c r="J645" t="s">
        <v>2371</v>
      </c>
      <c r="K645" t="s">
        <v>192</v>
      </c>
      <c r="L645" t="s">
        <v>80</v>
      </c>
      <c r="M645" t="s">
        <v>105</v>
      </c>
      <c r="N645" t="s">
        <v>2372</v>
      </c>
      <c r="O645" t="s">
        <v>2373</v>
      </c>
      <c r="P645" s="2" t="s">
        <v>67</v>
      </c>
      <c r="Q645" t="s">
        <v>68</v>
      </c>
      <c r="R645">
        <v>2166.67</v>
      </c>
      <c r="S645">
        <v>2381.62</v>
      </c>
      <c r="T645" t="s">
        <v>2374</v>
      </c>
    </row>
    <row r="646" spans="1:20" x14ac:dyDescent="0.25">
      <c r="A646" s="1" t="str">
        <f>HYPERLINK("https://vegkart.atlas.vegvesen.no/#/@216689.3,6555594.7,18/hva:hva%5B0%5D%5Bfilter%5D%5B0%5D%5Boperator%5D=%21%3D&amp;hva%5B0%5D%5Bfilter%5D%5B0%5D%5Btype_id%5D=5012&amp;hva%5B0%5D%5Bfilter%5D%5B0%5D%5Bverdi%5D=&amp;hva%5B0%5D%5Bid%5D=508/når:2024-10-23", "Vegkart")</f>
        <v>Vegkart</v>
      </c>
      <c r="B646">
        <v>87659728</v>
      </c>
      <c r="C646">
        <v>508</v>
      </c>
      <c r="D646" t="s">
        <v>2321</v>
      </c>
      <c r="E646">
        <v>5012</v>
      </c>
      <c r="F646" t="s">
        <v>23479</v>
      </c>
      <c r="G646">
        <v>3</v>
      </c>
      <c r="H646" t="s">
        <v>2375</v>
      </c>
      <c r="J646" t="s">
        <v>2371</v>
      </c>
      <c r="K646" t="s">
        <v>81</v>
      </c>
      <c r="L646" t="s">
        <v>113</v>
      </c>
      <c r="M646" t="s">
        <v>2376</v>
      </c>
      <c r="N646" t="s">
        <v>2377</v>
      </c>
      <c r="O646" t="s">
        <v>2378</v>
      </c>
      <c r="P646" s="2" t="s">
        <v>37</v>
      </c>
      <c r="Q646" t="s">
        <v>1208</v>
      </c>
      <c r="R646">
        <v>0</v>
      </c>
      <c r="S646">
        <v>73.87</v>
      </c>
      <c r="T646" t="s">
        <v>2379</v>
      </c>
    </row>
    <row r="647" spans="1:20" x14ac:dyDescent="0.25">
      <c r="A647" s="1" t="str">
        <f>HYPERLINK("https://vegkart.atlas.vegvesen.no/#/@217230.0,6559635.0,18/hva:hva%5B0%5D%5Bfilter%5D%5B0%5D%5Boperator%5D=%21%3D&amp;hva%5B0%5D%5Bfilter%5D%5B0%5D%5Btype_id%5D=5012&amp;hva%5B0%5D%5Bfilter%5D%5B0%5D%5Bverdi%5D=&amp;hva%5B0%5D%5Bid%5D=508/når:2024-10-23", "Vegkart")</f>
        <v>Vegkart</v>
      </c>
      <c r="B647">
        <v>87659972</v>
      </c>
      <c r="C647">
        <v>508</v>
      </c>
      <c r="D647" t="s">
        <v>2321</v>
      </c>
      <c r="E647">
        <v>5012</v>
      </c>
      <c r="F647" t="s">
        <v>23479</v>
      </c>
      <c r="G647">
        <v>3</v>
      </c>
      <c r="H647" t="s">
        <v>2375</v>
      </c>
      <c r="J647" t="s">
        <v>2371</v>
      </c>
      <c r="K647" t="s">
        <v>81</v>
      </c>
      <c r="L647" t="s">
        <v>113</v>
      </c>
      <c r="M647" t="s">
        <v>2376</v>
      </c>
      <c r="N647" t="s">
        <v>2380</v>
      </c>
      <c r="O647" t="s">
        <v>2381</v>
      </c>
      <c r="P647" s="2" t="s">
        <v>37</v>
      </c>
      <c r="Q647" t="s">
        <v>1208</v>
      </c>
      <c r="R647">
        <v>0</v>
      </c>
      <c r="S647">
        <v>86.12</v>
      </c>
      <c r="T647" t="s">
        <v>2382</v>
      </c>
    </row>
    <row r="648" spans="1:20" x14ac:dyDescent="0.25">
      <c r="A648" s="1" t="str">
        <f>HYPERLINK("https://vegkart.atlas.vegvesen.no/#/@242423.4,6591683.5,18/hva:hva%5B0%5D%5Bfilter%5D%5B0%5D%5Boperator%5D=%21%3D&amp;hva%5B0%5D%5Bfilter%5D%5B0%5D%5Btype_id%5D=5012&amp;hva%5B0%5D%5Bfilter%5D%5B0%5D%5Bverdi%5D=&amp;hva%5B0%5D%5Bid%5D=508/når:2024-10-23", "Vegkart")</f>
        <v>Vegkart</v>
      </c>
      <c r="B648">
        <v>87660145</v>
      </c>
      <c r="C648">
        <v>508</v>
      </c>
      <c r="D648" t="s">
        <v>2321</v>
      </c>
      <c r="E648">
        <v>5012</v>
      </c>
      <c r="F648" t="s">
        <v>23479</v>
      </c>
      <c r="G648">
        <v>4</v>
      </c>
      <c r="H648" t="s">
        <v>2375</v>
      </c>
      <c r="J648" t="s">
        <v>2371</v>
      </c>
      <c r="K648" t="s">
        <v>81</v>
      </c>
      <c r="L648" t="s">
        <v>113</v>
      </c>
      <c r="M648" t="s">
        <v>2383</v>
      </c>
      <c r="N648" t="s">
        <v>2384</v>
      </c>
      <c r="O648" t="s">
        <v>2385</v>
      </c>
      <c r="P648" s="2" t="s">
        <v>37</v>
      </c>
      <c r="Q648" t="s">
        <v>1208</v>
      </c>
      <c r="R648">
        <v>1.06</v>
      </c>
      <c r="S648">
        <v>91.91</v>
      </c>
      <c r="T648" t="s">
        <v>2386</v>
      </c>
    </row>
    <row r="649" spans="1:20" x14ac:dyDescent="0.25">
      <c r="A649" s="1" t="str">
        <f>HYPERLINK("https://vegkart.atlas.vegvesen.no/#/@232295.7,6602147.1,18/hva:hva%5B0%5D%5Bfilter%5D%5B0%5D%5Boperator%5D=%21%3D&amp;hva%5B0%5D%5Bfilter%5D%5B0%5D%5Btype_id%5D=5012&amp;hva%5B0%5D%5Bfilter%5D%5B0%5D%5Bverdi%5D=&amp;hva%5B0%5D%5Bid%5D=508/når:2015-06-24", "Vegkart")</f>
        <v>Vegkart</v>
      </c>
      <c r="B649">
        <v>87758742</v>
      </c>
      <c r="C649">
        <v>508</v>
      </c>
      <c r="D649" t="s">
        <v>2321</v>
      </c>
      <c r="E649">
        <v>5012</v>
      </c>
      <c r="F649" t="s">
        <v>23479</v>
      </c>
      <c r="G649">
        <v>3</v>
      </c>
      <c r="H649" t="s">
        <v>2387</v>
      </c>
      <c r="J649" t="s">
        <v>2371</v>
      </c>
      <c r="K649" t="s">
        <v>81</v>
      </c>
      <c r="L649" t="s">
        <v>80</v>
      </c>
      <c r="M649" t="s">
        <v>53</v>
      </c>
      <c r="N649" t="s">
        <v>2388</v>
      </c>
      <c r="O649" t="s">
        <v>2389</v>
      </c>
      <c r="P649" s="2" t="s">
        <v>165</v>
      </c>
      <c r="Q649" t="s">
        <v>641</v>
      </c>
      <c r="R649">
        <v>0</v>
      </c>
      <c r="S649">
        <v>204.83</v>
      </c>
      <c r="T649" t="s">
        <v>167</v>
      </c>
    </row>
    <row r="650" spans="1:20" x14ac:dyDescent="0.25">
      <c r="A650" s="1" t="str">
        <f>HYPERLINK("https://vegkart.atlas.vegvesen.no/#/@226363.2,6569844.9,18/hva:hva%5B0%5D%5Bfilter%5D%5B0%5D%5Boperator%5D=%21%3D&amp;hva%5B0%5D%5Bfilter%5D%5B0%5D%5Btype_id%5D=5012&amp;hva%5B0%5D%5Bfilter%5D%5B0%5D%5Bverdi%5D=&amp;hva%5B0%5D%5Bid%5D=508/når:2008-11-27", "Vegkart")</f>
        <v>Vegkart</v>
      </c>
      <c r="B650">
        <v>87766790</v>
      </c>
      <c r="C650">
        <v>508</v>
      </c>
      <c r="D650" t="s">
        <v>2321</v>
      </c>
      <c r="E650">
        <v>5012</v>
      </c>
      <c r="F650" t="s">
        <v>23479</v>
      </c>
      <c r="G650">
        <v>3</v>
      </c>
      <c r="H650" t="s">
        <v>2390</v>
      </c>
      <c r="J650" t="s">
        <v>2371</v>
      </c>
      <c r="K650" t="s">
        <v>81</v>
      </c>
      <c r="L650" t="s">
        <v>80</v>
      </c>
      <c r="M650" t="s">
        <v>53</v>
      </c>
      <c r="N650" t="s">
        <v>2391</v>
      </c>
      <c r="O650" t="s">
        <v>2392</v>
      </c>
      <c r="P650" s="2" t="s">
        <v>67</v>
      </c>
      <c r="Q650" t="s">
        <v>68</v>
      </c>
      <c r="R650">
        <v>98.23</v>
      </c>
      <c r="S650">
        <v>138.66</v>
      </c>
      <c r="T650" t="s">
        <v>2393</v>
      </c>
    </row>
    <row r="651" spans="1:20" x14ac:dyDescent="0.25">
      <c r="A651" s="1" t="str">
        <f>HYPERLINK("https://vegkart.atlas.vegvesen.no/#/@242449.5,6591689.6,18/hva:hva%5B0%5D%5Bfilter%5D%5B0%5D%5Boperator%5D=%21%3D&amp;hva%5B0%5D%5Bfilter%5D%5B0%5D%5Btype_id%5D=5012&amp;hva%5B0%5D%5Bfilter%5D%5B0%5D%5Bverdi%5D=&amp;hva%5B0%5D%5Bid%5D=508/når:2024-10-23", "Vegkart")</f>
        <v>Vegkart</v>
      </c>
      <c r="B651">
        <v>87799383</v>
      </c>
      <c r="C651">
        <v>508</v>
      </c>
      <c r="D651" t="s">
        <v>2321</v>
      </c>
      <c r="E651">
        <v>5012</v>
      </c>
      <c r="F651" t="s">
        <v>23479</v>
      </c>
      <c r="G651">
        <v>5</v>
      </c>
      <c r="H651" t="s">
        <v>2375</v>
      </c>
      <c r="J651" t="s">
        <v>2371</v>
      </c>
      <c r="K651" t="s">
        <v>81</v>
      </c>
      <c r="L651" t="s">
        <v>113</v>
      </c>
      <c r="M651" t="s">
        <v>2383</v>
      </c>
      <c r="N651" t="s">
        <v>2394</v>
      </c>
      <c r="O651" t="s">
        <v>2395</v>
      </c>
      <c r="P651" s="2" t="s">
        <v>67</v>
      </c>
      <c r="Q651" t="s">
        <v>68</v>
      </c>
      <c r="R651">
        <v>23.77</v>
      </c>
      <c r="S651">
        <v>23.78</v>
      </c>
      <c r="T651" t="s">
        <v>2396</v>
      </c>
    </row>
    <row r="652" spans="1:20" x14ac:dyDescent="0.25">
      <c r="A652" s="1" t="str">
        <f>HYPERLINK("https://vegkart.atlas.vegvesen.no/#/@242494.5,6591704.5,18/hva:hva%5B0%5D%5Bfilter%5D%5B0%5D%5Boperator%5D=%21%3D&amp;hva%5B0%5D%5Bfilter%5D%5B0%5D%5Btype_id%5D=5012&amp;hva%5B0%5D%5Bfilter%5D%5B0%5D%5Bverdi%5D=&amp;hva%5B0%5D%5Bid%5D=508/når:2024-10-23", "Vegkart")</f>
        <v>Vegkart</v>
      </c>
      <c r="B652">
        <v>87799386</v>
      </c>
      <c r="C652">
        <v>508</v>
      </c>
      <c r="D652" t="s">
        <v>2321</v>
      </c>
      <c r="E652">
        <v>5012</v>
      </c>
      <c r="F652" t="s">
        <v>23479</v>
      </c>
      <c r="G652">
        <v>3</v>
      </c>
      <c r="H652" t="s">
        <v>2375</v>
      </c>
      <c r="J652" t="s">
        <v>2371</v>
      </c>
      <c r="K652" t="s">
        <v>81</v>
      </c>
      <c r="L652" t="s">
        <v>113</v>
      </c>
      <c r="M652" t="s">
        <v>2383</v>
      </c>
      <c r="N652" t="s">
        <v>2397</v>
      </c>
      <c r="O652" t="s">
        <v>2398</v>
      </c>
      <c r="P652" s="2" t="s">
        <v>67</v>
      </c>
      <c r="Q652" t="s">
        <v>68</v>
      </c>
      <c r="R652">
        <v>118.03</v>
      </c>
      <c r="S652">
        <v>118.89</v>
      </c>
      <c r="T652" t="s">
        <v>2399</v>
      </c>
    </row>
    <row r="653" spans="1:20" x14ac:dyDescent="0.25">
      <c r="A653" s="1" t="str">
        <f>HYPERLINK("https://vegkart.atlas.vegvesen.no/#/@242460.1,6591692.1,18/hva:hva%5B0%5D%5Bfilter%5D%5B0%5D%5Boperator%5D=%21%3D&amp;hva%5B0%5D%5Bfilter%5D%5B0%5D%5Btype_id%5D=5012&amp;hva%5B0%5D%5Bfilter%5D%5B0%5D%5Bverdi%5D=&amp;hva%5B0%5D%5Bid%5D=508/når:2024-10-23", "Vegkart")</f>
        <v>Vegkart</v>
      </c>
      <c r="B653">
        <v>87799389</v>
      </c>
      <c r="C653">
        <v>508</v>
      </c>
      <c r="D653" t="s">
        <v>2321</v>
      </c>
      <c r="E653">
        <v>5012</v>
      </c>
      <c r="F653" t="s">
        <v>23479</v>
      </c>
      <c r="G653">
        <v>5</v>
      </c>
      <c r="H653" t="s">
        <v>2375</v>
      </c>
      <c r="J653" t="s">
        <v>2371</v>
      </c>
      <c r="K653" t="s">
        <v>81</v>
      </c>
      <c r="L653" t="s">
        <v>113</v>
      </c>
      <c r="M653" t="s">
        <v>2383</v>
      </c>
      <c r="N653" t="s">
        <v>2400</v>
      </c>
      <c r="O653" t="s">
        <v>2401</v>
      </c>
      <c r="P653" s="2" t="s">
        <v>67</v>
      </c>
      <c r="Q653" t="s">
        <v>68</v>
      </c>
      <c r="R653">
        <v>45.49</v>
      </c>
      <c r="S653">
        <v>45.57</v>
      </c>
      <c r="T653" t="s">
        <v>2402</v>
      </c>
    </row>
    <row r="654" spans="1:20" x14ac:dyDescent="0.25">
      <c r="A654" s="1" t="str">
        <f>HYPERLINK("https://vegkart.atlas.vegvesen.no/#/@242520.8,6591718.8,18/hva:hva%5B0%5D%5Bfilter%5D%5B0%5D%5Boperator%5D=%21%3D&amp;hva%5B0%5D%5Bfilter%5D%5B0%5D%5Btype_id%5D=5012&amp;hva%5B0%5D%5Bfilter%5D%5B0%5D%5Bverdi%5D=&amp;hva%5B0%5D%5Bid%5D=508/når:2024-10-23", "Vegkart")</f>
        <v>Vegkart</v>
      </c>
      <c r="B654">
        <v>87799394</v>
      </c>
      <c r="C654">
        <v>508</v>
      </c>
      <c r="D654" t="s">
        <v>2321</v>
      </c>
      <c r="E654">
        <v>5012</v>
      </c>
      <c r="F654" t="s">
        <v>23479</v>
      </c>
      <c r="G654">
        <v>4</v>
      </c>
      <c r="H654" t="s">
        <v>2375</v>
      </c>
      <c r="J654" t="s">
        <v>2371</v>
      </c>
      <c r="K654" t="s">
        <v>81</v>
      </c>
      <c r="L654" t="s">
        <v>113</v>
      </c>
      <c r="M654" t="s">
        <v>2383</v>
      </c>
      <c r="N654" t="s">
        <v>2403</v>
      </c>
      <c r="O654" t="s">
        <v>2404</v>
      </c>
      <c r="P654" s="2" t="s">
        <v>67</v>
      </c>
      <c r="Q654" t="s">
        <v>68</v>
      </c>
      <c r="R654">
        <v>176.57</v>
      </c>
      <c r="S654">
        <v>179.32</v>
      </c>
      <c r="T654" t="s">
        <v>2405</v>
      </c>
    </row>
    <row r="655" spans="1:20" x14ac:dyDescent="0.25">
      <c r="A655" s="1" t="str">
        <f>HYPERLINK("https://vegkart.atlas.vegvesen.no/#/@242810.9,6592127.2,18/hva:hva%5B0%5D%5Bfilter%5D%5B0%5D%5Boperator%5D=%21%3D&amp;hva%5B0%5D%5Bfilter%5D%5B0%5D%5Btype_id%5D=5012&amp;hva%5B0%5D%5Bfilter%5D%5B0%5D%5Bverdi%5D=&amp;hva%5B0%5D%5Bid%5D=508/når:2024-10-23", "Vegkart")</f>
        <v>Vegkart</v>
      </c>
      <c r="B655">
        <v>87799397</v>
      </c>
      <c r="C655">
        <v>508</v>
      </c>
      <c r="D655" t="s">
        <v>2321</v>
      </c>
      <c r="E655">
        <v>5012</v>
      </c>
      <c r="F655" t="s">
        <v>23479</v>
      </c>
      <c r="G655">
        <v>3</v>
      </c>
      <c r="H655" t="s">
        <v>2375</v>
      </c>
      <c r="J655" t="s">
        <v>2371</v>
      </c>
      <c r="K655" t="s">
        <v>81</v>
      </c>
      <c r="L655" t="s">
        <v>113</v>
      </c>
      <c r="M655" t="s">
        <v>2383</v>
      </c>
      <c r="N655" t="s">
        <v>2406</v>
      </c>
      <c r="O655" t="s">
        <v>2407</v>
      </c>
      <c r="P655" s="2" t="s">
        <v>67</v>
      </c>
      <c r="Q655" t="s">
        <v>68</v>
      </c>
      <c r="R655">
        <v>195.42</v>
      </c>
      <c r="S655">
        <v>195.47</v>
      </c>
      <c r="T655" t="s">
        <v>2408</v>
      </c>
    </row>
    <row r="656" spans="1:20" x14ac:dyDescent="0.25">
      <c r="A656" s="1" t="str">
        <f>HYPERLINK("https://vegkart.atlas.vegvesen.no/#/@242805.2,6592114.4,18/hva:hva%5B0%5D%5Bfilter%5D%5B0%5D%5Boperator%5D=%21%3D&amp;hva%5B0%5D%5Bfilter%5D%5B0%5D%5Btype_id%5D=5012&amp;hva%5B0%5D%5Bfilter%5D%5B0%5D%5Bverdi%5D=&amp;hva%5B0%5D%5Bid%5D=508/når:2024-10-23", "Vegkart")</f>
        <v>Vegkart</v>
      </c>
      <c r="B656">
        <v>87799401</v>
      </c>
      <c r="C656">
        <v>508</v>
      </c>
      <c r="D656" t="s">
        <v>2321</v>
      </c>
      <c r="E656">
        <v>5012</v>
      </c>
      <c r="F656" t="s">
        <v>23479</v>
      </c>
      <c r="G656">
        <v>4</v>
      </c>
      <c r="H656" t="s">
        <v>2375</v>
      </c>
      <c r="J656" t="s">
        <v>2371</v>
      </c>
      <c r="K656" t="s">
        <v>81</v>
      </c>
      <c r="L656" t="s">
        <v>113</v>
      </c>
      <c r="M656" t="s">
        <v>2383</v>
      </c>
      <c r="N656" t="s">
        <v>2409</v>
      </c>
      <c r="O656" t="s">
        <v>2410</v>
      </c>
      <c r="P656" s="2" t="s">
        <v>67</v>
      </c>
      <c r="Q656" t="s">
        <v>68</v>
      </c>
      <c r="R656">
        <v>223.46</v>
      </c>
      <c r="S656">
        <v>223.55</v>
      </c>
      <c r="T656" t="s">
        <v>2411</v>
      </c>
    </row>
    <row r="657" spans="1:20" x14ac:dyDescent="0.25">
      <c r="A657" s="1" t="str">
        <f>HYPERLINK("https://vegkart.atlas.vegvesen.no/#/@242904.0,6592433.1,18/hva:hva%5B0%5D%5Bfilter%5D%5B0%5D%5Boperator%5D=%21%3D&amp;hva%5B0%5D%5Bfilter%5D%5B0%5D%5Btype_id%5D=5012&amp;hva%5B0%5D%5Bfilter%5D%5B0%5D%5Bverdi%5D=&amp;hva%5B0%5D%5Bid%5D=508/når:2024-10-23", "Vegkart")</f>
        <v>Vegkart</v>
      </c>
      <c r="B657">
        <v>87799408</v>
      </c>
      <c r="C657">
        <v>508</v>
      </c>
      <c r="D657" t="s">
        <v>2321</v>
      </c>
      <c r="E657">
        <v>5012</v>
      </c>
      <c r="F657" t="s">
        <v>23479</v>
      </c>
      <c r="G657">
        <v>4</v>
      </c>
      <c r="H657" t="s">
        <v>2375</v>
      </c>
      <c r="J657" t="s">
        <v>2371</v>
      </c>
      <c r="K657" t="s">
        <v>81</v>
      </c>
      <c r="L657" t="s">
        <v>113</v>
      </c>
      <c r="M657" t="s">
        <v>2383</v>
      </c>
      <c r="N657" t="s">
        <v>2412</v>
      </c>
      <c r="O657" t="s">
        <v>2413</v>
      </c>
      <c r="P657" s="2" t="s">
        <v>67</v>
      </c>
      <c r="Q657" t="s">
        <v>68</v>
      </c>
      <c r="R657">
        <v>185.32</v>
      </c>
      <c r="S657">
        <v>185.36</v>
      </c>
      <c r="T657" t="s">
        <v>2414</v>
      </c>
    </row>
    <row r="658" spans="1:20" x14ac:dyDescent="0.25">
      <c r="A658" s="1" t="str">
        <f>HYPERLINK("https://vegkart.atlas.vegvesen.no/#/@242874.8,6592306.2,18/hva:hva%5B0%5D%5Bfilter%5D%5B0%5D%5Boperator%5D=%21%3D&amp;hva%5B0%5D%5Bfilter%5D%5B0%5D%5Btype_id%5D=5012&amp;hva%5B0%5D%5Bfilter%5D%5B0%5D%5Bverdi%5D=&amp;hva%5B0%5D%5Bid%5D=508/når:2024-10-23", "Vegkart")</f>
        <v>Vegkart</v>
      </c>
      <c r="B658">
        <v>87799413</v>
      </c>
      <c r="C658">
        <v>508</v>
      </c>
      <c r="D658" t="s">
        <v>2321</v>
      </c>
      <c r="E658">
        <v>5012</v>
      </c>
      <c r="F658" t="s">
        <v>23479</v>
      </c>
      <c r="G658">
        <v>4</v>
      </c>
      <c r="H658" t="s">
        <v>2375</v>
      </c>
      <c r="J658" t="s">
        <v>2371</v>
      </c>
      <c r="K658" t="s">
        <v>81</v>
      </c>
      <c r="L658" t="s">
        <v>113</v>
      </c>
      <c r="M658" t="s">
        <v>2383</v>
      </c>
      <c r="N658" t="s">
        <v>2415</v>
      </c>
      <c r="O658" t="s">
        <v>2416</v>
      </c>
      <c r="P658" s="2" t="s">
        <v>67</v>
      </c>
      <c r="Q658" t="s">
        <v>68</v>
      </c>
      <c r="R658">
        <v>185.06</v>
      </c>
      <c r="S658">
        <v>185.25</v>
      </c>
      <c r="T658" t="s">
        <v>2417</v>
      </c>
    </row>
    <row r="659" spans="1:20" x14ac:dyDescent="0.25">
      <c r="A659" s="1" t="str">
        <f>HYPERLINK("https://vegkart.atlas.vegvesen.no/#/@243483.1,6593648.5,18/hva:hva%5B0%5D%5Bfilter%5D%5B0%5D%5Boperator%5D=%21%3D&amp;hva%5B0%5D%5Bfilter%5D%5B0%5D%5Btype_id%5D=5012&amp;hva%5B0%5D%5Bfilter%5D%5B0%5D%5Bverdi%5D=&amp;hva%5B0%5D%5Bid%5D=508/når:2024-10-23", "Vegkart")</f>
        <v>Vegkart</v>
      </c>
      <c r="B659">
        <v>87799428</v>
      </c>
      <c r="C659">
        <v>508</v>
      </c>
      <c r="D659" t="s">
        <v>2321</v>
      </c>
      <c r="E659">
        <v>5012</v>
      </c>
      <c r="F659" t="s">
        <v>23479</v>
      </c>
      <c r="G659">
        <v>2</v>
      </c>
      <c r="H659" t="s">
        <v>2375</v>
      </c>
      <c r="J659" t="s">
        <v>2371</v>
      </c>
      <c r="K659" t="s">
        <v>81</v>
      </c>
      <c r="L659" t="s">
        <v>113</v>
      </c>
      <c r="M659" t="s">
        <v>2383</v>
      </c>
      <c r="N659" t="s">
        <v>2418</v>
      </c>
      <c r="O659" t="s">
        <v>2419</v>
      </c>
      <c r="P659" s="2" t="s">
        <v>67</v>
      </c>
      <c r="Q659" t="s">
        <v>68</v>
      </c>
      <c r="R659">
        <v>42.91</v>
      </c>
      <c r="S659">
        <v>42.91</v>
      </c>
      <c r="T659" t="s">
        <v>2420</v>
      </c>
    </row>
    <row r="660" spans="1:20" x14ac:dyDescent="0.25">
      <c r="A660" s="1" t="str">
        <f>HYPERLINK("https://vegkart.atlas.vegvesen.no/#/@243560.3,6593785.2,18/hva:hva%5B0%5D%5Bfilter%5D%5B0%5D%5Boperator%5D=%21%3D&amp;hva%5B0%5D%5Bfilter%5D%5B0%5D%5Btype_id%5D=5012&amp;hva%5B0%5D%5Bfilter%5D%5B0%5D%5Bverdi%5D=&amp;hva%5B0%5D%5Bid%5D=508/når:2024-10-23", "Vegkart")</f>
        <v>Vegkart</v>
      </c>
      <c r="B660">
        <v>87799432</v>
      </c>
      <c r="C660">
        <v>508</v>
      </c>
      <c r="D660" t="s">
        <v>2321</v>
      </c>
      <c r="E660">
        <v>5012</v>
      </c>
      <c r="F660" t="s">
        <v>23479</v>
      </c>
      <c r="G660">
        <v>4</v>
      </c>
      <c r="H660" t="s">
        <v>2375</v>
      </c>
      <c r="J660" t="s">
        <v>2371</v>
      </c>
      <c r="K660" t="s">
        <v>81</v>
      </c>
      <c r="L660" t="s">
        <v>113</v>
      </c>
      <c r="M660" t="s">
        <v>2383</v>
      </c>
      <c r="N660" t="s">
        <v>2421</v>
      </c>
      <c r="O660" t="s">
        <v>2422</v>
      </c>
      <c r="P660" s="2" t="s">
        <v>67</v>
      </c>
      <c r="Q660" t="s">
        <v>68</v>
      </c>
      <c r="R660">
        <v>271.11</v>
      </c>
      <c r="S660">
        <v>272.29000000000002</v>
      </c>
      <c r="T660" t="s">
        <v>2423</v>
      </c>
    </row>
    <row r="661" spans="1:20" x14ac:dyDescent="0.25">
      <c r="A661" s="1" t="str">
        <f>HYPERLINK("https://vegkart.atlas.vegvesen.no/#/@242373.6,6591668.3,18/hva:hva%5B0%5D%5Bfilter%5D%5B0%5D%5Boperator%5D=%21%3D&amp;hva%5B0%5D%5Bfilter%5D%5B0%5D%5Btype_id%5D=5012&amp;hva%5B0%5D%5Bfilter%5D%5B0%5D%5Bverdi%5D=&amp;hva%5B0%5D%5Bid%5D=508/når:2024-10-23", "Vegkart")</f>
        <v>Vegkart</v>
      </c>
      <c r="B661">
        <v>87799470</v>
      </c>
      <c r="C661">
        <v>508</v>
      </c>
      <c r="D661" t="s">
        <v>2321</v>
      </c>
      <c r="E661">
        <v>5012</v>
      </c>
      <c r="F661" t="s">
        <v>23479</v>
      </c>
      <c r="G661">
        <v>3</v>
      </c>
      <c r="H661" t="s">
        <v>2375</v>
      </c>
      <c r="J661" t="s">
        <v>2371</v>
      </c>
      <c r="K661" t="s">
        <v>81</v>
      </c>
      <c r="L661" t="s">
        <v>113</v>
      </c>
      <c r="M661" t="s">
        <v>2383</v>
      </c>
      <c r="N661" t="s">
        <v>2424</v>
      </c>
      <c r="O661" t="s">
        <v>2425</v>
      </c>
      <c r="P661" s="2" t="s">
        <v>67</v>
      </c>
      <c r="Q661" t="s">
        <v>68</v>
      </c>
      <c r="R661">
        <v>56.61</v>
      </c>
      <c r="S661">
        <v>57.59</v>
      </c>
      <c r="T661" t="s">
        <v>2426</v>
      </c>
    </row>
    <row r="662" spans="1:20" x14ac:dyDescent="0.25">
      <c r="A662" s="1" t="str">
        <f>HYPERLINK("https://vegkart.atlas.vegvesen.no/#/@242373.6,6591668.3,18/hva:hva%5B0%5D%5Bfilter%5D%5B0%5D%5Boperator%5D=%21%3D&amp;hva%5B0%5D%5Bfilter%5D%5B0%5D%5Btype_id%5D=5012&amp;hva%5B0%5D%5Bfilter%5D%5B0%5D%5Bverdi%5D=&amp;hva%5B0%5D%5Bid%5D=508/når:2024-10-23", "Vegkart")</f>
        <v>Vegkart</v>
      </c>
      <c r="B662">
        <v>87799477</v>
      </c>
      <c r="C662">
        <v>508</v>
      </c>
      <c r="D662" t="s">
        <v>2321</v>
      </c>
      <c r="E662">
        <v>5012</v>
      </c>
      <c r="F662" t="s">
        <v>23479</v>
      </c>
      <c r="G662">
        <v>3</v>
      </c>
      <c r="H662" t="s">
        <v>2375</v>
      </c>
      <c r="J662" t="s">
        <v>2371</v>
      </c>
      <c r="K662" t="s">
        <v>81</v>
      </c>
      <c r="L662" t="s">
        <v>113</v>
      </c>
      <c r="M662" t="s">
        <v>2383</v>
      </c>
      <c r="N662" t="s">
        <v>2424</v>
      </c>
      <c r="O662" t="s">
        <v>2425</v>
      </c>
      <c r="P662" s="2" t="s">
        <v>67</v>
      </c>
      <c r="Q662" t="s">
        <v>68</v>
      </c>
      <c r="R662">
        <v>56.61</v>
      </c>
      <c r="S662">
        <v>57.59</v>
      </c>
      <c r="T662" t="s">
        <v>2426</v>
      </c>
    </row>
    <row r="663" spans="1:20" x14ac:dyDescent="0.25">
      <c r="A663" s="1" t="str">
        <f>HYPERLINK("https://vegkart.atlas.vegvesen.no/#/@175621.5,6616140.4,18/hva:hva%5B0%5D%5Bfilter%5D%5B0%5D%5Boperator%5D=%21%3D&amp;hva%5B0%5D%5Bfilter%5D%5B0%5D%5Btype_id%5D=5012&amp;hva%5B0%5D%5Bfilter%5D%5B0%5D%5Bverdi%5D=&amp;hva%5B0%5D%5Bid%5D=508/når:2024-10-23", "Vegkart")</f>
        <v>Vegkart</v>
      </c>
      <c r="B663">
        <v>101571159</v>
      </c>
      <c r="C663">
        <v>508</v>
      </c>
      <c r="D663" t="s">
        <v>2321</v>
      </c>
      <c r="E663">
        <v>5012</v>
      </c>
      <c r="F663" t="s">
        <v>23479</v>
      </c>
      <c r="G663">
        <v>3</v>
      </c>
      <c r="H663" t="s">
        <v>2375</v>
      </c>
      <c r="J663" t="s">
        <v>2427</v>
      </c>
      <c r="K663" t="s">
        <v>197</v>
      </c>
      <c r="L663" t="s">
        <v>80</v>
      </c>
      <c r="M663" t="s">
        <v>645</v>
      </c>
      <c r="N663" t="s">
        <v>2428</v>
      </c>
      <c r="O663" t="s">
        <v>2429</v>
      </c>
      <c r="P663" s="2" t="s">
        <v>165</v>
      </c>
      <c r="Q663" t="s">
        <v>166</v>
      </c>
      <c r="R663">
        <v>65.75</v>
      </c>
      <c r="S663">
        <v>66.77</v>
      </c>
      <c r="T663" t="s">
        <v>167</v>
      </c>
    </row>
    <row r="664" spans="1:20" x14ac:dyDescent="0.25">
      <c r="A664" s="1" t="str">
        <f>HYPERLINK("https://vegkart.atlas.vegvesen.no/#/@175654.2,6616132.0,18/hva:hva%5B0%5D%5Bfilter%5D%5B0%5D%5Boperator%5D=%21%3D&amp;hva%5B0%5D%5Bfilter%5D%5B0%5D%5Btype_id%5D=5012&amp;hva%5B0%5D%5Bfilter%5D%5B0%5D%5Bverdi%5D=&amp;hva%5B0%5D%5Bid%5D=508/når:2024-10-23", "Vegkart")</f>
        <v>Vegkart</v>
      </c>
      <c r="B664">
        <v>101571161</v>
      </c>
      <c r="C664">
        <v>508</v>
      </c>
      <c r="D664" t="s">
        <v>2321</v>
      </c>
      <c r="E664">
        <v>5012</v>
      </c>
      <c r="F664" t="s">
        <v>23479</v>
      </c>
      <c r="G664">
        <v>4</v>
      </c>
      <c r="H664" t="s">
        <v>2375</v>
      </c>
      <c r="J664" t="s">
        <v>2427</v>
      </c>
      <c r="K664" t="s">
        <v>197</v>
      </c>
      <c r="L664" t="s">
        <v>80</v>
      </c>
      <c r="M664" t="s">
        <v>645</v>
      </c>
      <c r="N664" t="s">
        <v>2430</v>
      </c>
      <c r="O664" t="s">
        <v>2431</v>
      </c>
      <c r="P664" s="2" t="s">
        <v>165</v>
      </c>
      <c r="Q664" t="s">
        <v>166</v>
      </c>
      <c r="R664">
        <v>135.63</v>
      </c>
      <c r="S664">
        <v>139.86000000000001</v>
      </c>
      <c r="T664" t="s">
        <v>167</v>
      </c>
    </row>
    <row r="665" spans="1:20" x14ac:dyDescent="0.25">
      <c r="A665" s="1" t="str">
        <f>HYPERLINK("https://vegkart.atlas.vegvesen.no/#/@293731.7,7049111.6,18/hva:hva%5B0%5D%5Bfilter%5D%5B0%5D%5Boperator%5D=%21%3D&amp;hva%5B0%5D%5Bfilter%5D%5B0%5D%5Btype_id%5D=5012&amp;hva%5B0%5D%5Bfilter%5D%5B0%5D%5Bverdi%5D=&amp;hva%5B0%5D%5Bid%5D=508/når:2024-09-02", "Vegkart")</f>
        <v>Vegkart</v>
      </c>
      <c r="B665">
        <v>171172104</v>
      </c>
      <c r="C665">
        <v>508</v>
      </c>
      <c r="D665" t="s">
        <v>2321</v>
      </c>
      <c r="E665">
        <v>5012</v>
      </c>
      <c r="F665" t="s">
        <v>23479</v>
      </c>
      <c r="G665">
        <v>3</v>
      </c>
      <c r="H665" t="s">
        <v>2327</v>
      </c>
      <c r="J665" t="s">
        <v>2432</v>
      </c>
      <c r="K665" t="s">
        <v>192</v>
      </c>
      <c r="L665" t="s">
        <v>80</v>
      </c>
      <c r="M665" t="s">
        <v>105</v>
      </c>
      <c r="N665" t="s">
        <v>2433</v>
      </c>
      <c r="O665" t="s">
        <v>2434</v>
      </c>
      <c r="P665" s="2" t="s">
        <v>67</v>
      </c>
      <c r="Q665" t="s">
        <v>68</v>
      </c>
      <c r="R665">
        <v>24.54</v>
      </c>
      <c r="S665">
        <v>24.55</v>
      </c>
      <c r="T665" t="s">
        <v>2435</v>
      </c>
    </row>
    <row r="666" spans="1:20" x14ac:dyDescent="0.25">
      <c r="A666" s="1" t="str">
        <f>HYPERLINK("https://vegkart.atlas.vegvesen.no/#/@348059.7,7029855.5,18/hva:hva%5B0%5D%5Bfilter%5D%5B0%5D%5Boperator%5D=%21%3D&amp;hva%5B0%5D%5Bfilter%5D%5B0%5D%5Btype_id%5D=5012&amp;hva%5B0%5D%5Bfilter%5D%5B0%5D%5Bverdi%5D=&amp;hva%5B0%5D%5Bid%5D=508/når:2024-09-02", "Vegkart")</f>
        <v>Vegkart</v>
      </c>
      <c r="B666">
        <v>187539023</v>
      </c>
      <c r="C666">
        <v>508</v>
      </c>
      <c r="D666" t="s">
        <v>2321</v>
      </c>
      <c r="E666">
        <v>5012</v>
      </c>
      <c r="F666" t="s">
        <v>23479</v>
      </c>
      <c r="G666">
        <v>6</v>
      </c>
      <c r="H666" t="s">
        <v>2327</v>
      </c>
      <c r="J666" t="s">
        <v>2432</v>
      </c>
      <c r="K666" t="s">
        <v>192</v>
      </c>
      <c r="L666" t="s">
        <v>80</v>
      </c>
      <c r="M666" t="s">
        <v>2436</v>
      </c>
      <c r="N666" t="s">
        <v>2437</v>
      </c>
      <c r="O666" t="s">
        <v>2438</v>
      </c>
      <c r="P666" s="2" t="s">
        <v>67</v>
      </c>
      <c r="Q666" t="s">
        <v>68</v>
      </c>
      <c r="R666">
        <v>124.01</v>
      </c>
      <c r="S666">
        <v>156.97999999999999</v>
      </c>
      <c r="T666" t="s">
        <v>2439</v>
      </c>
    </row>
    <row r="667" spans="1:20" x14ac:dyDescent="0.25">
      <c r="A667" s="1" t="str">
        <f>HYPERLINK("https://vegkart.atlas.vegvesen.no/#/@337334.8,7036070.3,18/hva:hva%5B0%5D%5Bfilter%5D%5B0%5D%5Boperator%5D=%21%3D&amp;hva%5B0%5D%5Bfilter%5D%5B0%5D%5Btype_id%5D=5012&amp;hva%5B0%5D%5Bfilter%5D%5B0%5D%5Bverdi%5D=&amp;hva%5B0%5D%5Bid%5D=508/når:2025-09-23", "Vegkart")</f>
        <v>Vegkart</v>
      </c>
      <c r="B667">
        <v>187539037</v>
      </c>
      <c r="C667">
        <v>508</v>
      </c>
      <c r="D667" t="s">
        <v>2321</v>
      </c>
      <c r="E667">
        <v>5012</v>
      </c>
      <c r="F667" t="s">
        <v>23479</v>
      </c>
      <c r="G667">
        <v>4</v>
      </c>
      <c r="H667" t="s">
        <v>2440</v>
      </c>
      <c r="J667" t="s">
        <v>2432</v>
      </c>
      <c r="K667" t="s">
        <v>192</v>
      </c>
      <c r="L667" t="s">
        <v>80</v>
      </c>
      <c r="M667" t="s">
        <v>2436</v>
      </c>
      <c r="N667" t="s">
        <v>2441</v>
      </c>
      <c r="O667" t="s">
        <v>2442</v>
      </c>
      <c r="P667" s="2" t="s">
        <v>67</v>
      </c>
      <c r="Q667" t="s">
        <v>68</v>
      </c>
      <c r="R667">
        <v>747.45</v>
      </c>
      <c r="S667">
        <v>804.75</v>
      </c>
      <c r="T667" t="s">
        <v>2443</v>
      </c>
    </row>
    <row r="668" spans="1:20" x14ac:dyDescent="0.25">
      <c r="A668" s="1" t="str">
        <f>HYPERLINK("https://vegkart.atlas.vegvesen.no/#/@337209.5,7036365.2,18/hva:hva%5B0%5D%5Bfilter%5D%5B0%5D%5Boperator%5D=%21%3D&amp;hva%5B0%5D%5Bfilter%5D%5B0%5D%5Btype_id%5D=5012&amp;hva%5B0%5D%5Bfilter%5D%5B0%5D%5Bverdi%5D=&amp;hva%5B0%5D%5Bid%5D=508/når:2024-09-02", "Vegkart")</f>
        <v>Vegkart</v>
      </c>
      <c r="B668">
        <v>187539042</v>
      </c>
      <c r="C668">
        <v>508</v>
      </c>
      <c r="D668" t="s">
        <v>2321</v>
      </c>
      <c r="E668">
        <v>5012</v>
      </c>
      <c r="F668" t="s">
        <v>23479</v>
      </c>
      <c r="G668">
        <v>3</v>
      </c>
      <c r="H668" t="s">
        <v>2327</v>
      </c>
      <c r="J668" t="s">
        <v>2432</v>
      </c>
      <c r="K668" t="s">
        <v>192</v>
      </c>
      <c r="L668" t="s">
        <v>80</v>
      </c>
      <c r="M668" t="s">
        <v>2436</v>
      </c>
      <c r="N668" t="s">
        <v>2444</v>
      </c>
      <c r="O668" t="s">
        <v>2445</v>
      </c>
      <c r="P668" s="2" t="s">
        <v>67</v>
      </c>
      <c r="Q668" t="s">
        <v>68</v>
      </c>
      <c r="R668">
        <v>1173.6199999999999</v>
      </c>
      <c r="S668">
        <v>1232.42</v>
      </c>
      <c r="T668" t="s">
        <v>2446</v>
      </c>
    </row>
    <row r="669" spans="1:20" x14ac:dyDescent="0.25">
      <c r="A669" s="1" t="str">
        <f>HYPERLINK("https://vegkart.atlas.vegvesen.no/#/@321717.7,7074839.6,18/hva:hva%5B0%5D%5Bfilter%5D%5B0%5D%5Boperator%5D=%21%3D&amp;hva%5B0%5D%5Bfilter%5D%5B0%5D%5Btype_id%5D=5012&amp;hva%5B0%5D%5Bfilter%5D%5B0%5D%5Bverdi%5D=&amp;hva%5B0%5D%5Bid%5D=508/når:2024-09-02", "Vegkart")</f>
        <v>Vegkart</v>
      </c>
      <c r="B669">
        <v>191645782</v>
      </c>
      <c r="C669">
        <v>508</v>
      </c>
      <c r="D669" t="s">
        <v>2321</v>
      </c>
      <c r="E669">
        <v>5012</v>
      </c>
      <c r="F669" t="s">
        <v>23479</v>
      </c>
      <c r="G669">
        <v>8</v>
      </c>
      <c r="H669" t="s">
        <v>2327</v>
      </c>
      <c r="J669" t="s">
        <v>2432</v>
      </c>
      <c r="K669" t="s">
        <v>192</v>
      </c>
      <c r="L669" t="s">
        <v>80</v>
      </c>
      <c r="M669" t="s">
        <v>105</v>
      </c>
      <c r="N669" t="s">
        <v>2447</v>
      </c>
      <c r="O669" t="s">
        <v>2448</v>
      </c>
      <c r="P669" s="2" t="s">
        <v>67</v>
      </c>
      <c r="Q669" t="s">
        <v>68</v>
      </c>
      <c r="R669">
        <v>231.01</v>
      </c>
      <c r="S669">
        <v>232.13</v>
      </c>
      <c r="T669" t="s">
        <v>2449</v>
      </c>
    </row>
    <row r="670" spans="1:20" x14ac:dyDescent="0.25">
      <c r="A670" s="1" t="str">
        <f>HYPERLINK("https://vegkart.atlas.vegvesen.no/#/@310517.6,7042345.4,18/hva:hva%5B0%5D%5Bfilter%5D%5B0%5D%5Boperator%5D=%21%3D&amp;hva%5B0%5D%5Bfilter%5D%5B0%5D%5Btype_id%5D=5012&amp;hva%5B0%5D%5Bfilter%5D%5B0%5D%5Bverdi%5D=&amp;hva%5B0%5D%5Bid%5D=508/når:2025-09-18", "Vegkart")</f>
        <v>Vegkart</v>
      </c>
      <c r="B670">
        <v>197968631</v>
      </c>
      <c r="C670">
        <v>508</v>
      </c>
      <c r="D670" t="s">
        <v>2321</v>
      </c>
      <c r="E670">
        <v>5012</v>
      </c>
      <c r="F670" t="s">
        <v>23479</v>
      </c>
      <c r="G670">
        <v>5</v>
      </c>
      <c r="H670" t="s">
        <v>2450</v>
      </c>
      <c r="J670" t="s">
        <v>2432</v>
      </c>
      <c r="K670" t="s">
        <v>192</v>
      </c>
      <c r="L670" t="s">
        <v>80</v>
      </c>
      <c r="M670" t="s">
        <v>2436</v>
      </c>
      <c r="N670" t="s">
        <v>2451</v>
      </c>
      <c r="O670" t="s">
        <v>2452</v>
      </c>
      <c r="P670" s="2" t="s">
        <v>67</v>
      </c>
      <c r="Q670" t="s">
        <v>68</v>
      </c>
      <c r="R670">
        <v>126.24</v>
      </c>
      <c r="S670">
        <v>127.59</v>
      </c>
      <c r="T670" t="s">
        <v>2453</v>
      </c>
    </row>
    <row r="671" spans="1:20" x14ac:dyDescent="0.25">
      <c r="A671" s="1" t="str">
        <f>HYPERLINK("https://vegkart.atlas.vegvesen.no/#/@322695.3,7041538.0,18/hva:hva%5B0%5D%5Bfilter%5D%5B0%5D%5Boperator%5D=%21%3D&amp;hva%5B0%5D%5Bfilter%5D%5B0%5D%5Btype_id%5D=5012&amp;hva%5B0%5D%5Bfilter%5D%5B0%5D%5Bverdi%5D=&amp;hva%5B0%5D%5Bid%5D=508/når:2024-09-02", "Vegkart")</f>
        <v>Vegkart</v>
      </c>
      <c r="B671">
        <v>197968638</v>
      </c>
      <c r="C671">
        <v>508</v>
      </c>
      <c r="D671" t="s">
        <v>2321</v>
      </c>
      <c r="E671">
        <v>5012</v>
      </c>
      <c r="F671" t="s">
        <v>23479</v>
      </c>
      <c r="G671">
        <v>4</v>
      </c>
      <c r="H671" t="s">
        <v>2327</v>
      </c>
      <c r="J671" t="s">
        <v>2432</v>
      </c>
      <c r="K671" t="s">
        <v>192</v>
      </c>
      <c r="L671" t="s">
        <v>80</v>
      </c>
      <c r="M671" t="s">
        <v>2436</v>
      </c>
      <c r="N671" t="s">
        <v>2454</v>
      </c>
      <c r="O671" t="s">
        <v>2455</v>
      </c>
      <c r="P671" s="2" t="s">
        <v>67</v>
      </c>
      <c r="Q671" t="s">
        <v>68</v>
      </c>
      <c r="R671">
        <v>217.79</v>
      </c>
      <c r="S671">
        <v>219.66</v>
      </c>
      <c r="T671" t="s">
        <v>2456</v>
      </c>
    </row>
    <row r="672" spans="1:20" x14ac:dyDescent="0.25">
      <c r="A672" s="1" t="str">
        <f>HYPERLINK("https://vegkart.atlas.vegvesen.no/#/@327776.1,7041472.2,18/hva:hva%5B0%5D%5Bfilter%5D%5B0%5D%5Boperator%5D=%21%3D&amp;hva%5B0%5D%5Bfilter%5D%5B0%5D%5Btype_id%5D=5012&amp;hva%5B0%5D%5Bfilter%5D%5B0%5D%5Bverdi%5D=&amp;hva%5B0%5D%5Bid%5D=508/når:2024-09-02", "Vegkart")</f>
        <v>Vegkart</v>
      </c>
      <c r="B672">
        <v>197968640</v>
      </c>
      <c r="C672">
        <v>508</v>
      </c>
      <c r="D672" t="s">
        <v>2321</v>
      </c>
      <c r="E672">
        <v>5012</v>
      </c>
      <c r="F672" t="s">
        <v>23479</v>
      </c>
      <c r="G672">
        <v>4</v>
      </c>
      <c r="H672" t="s">
        <v>2327</v>
      </c>
      <c r="J672" t="s">
        <v>2432</v>
      </c>
      <c r="K672" t="s">
        <v>192</v>
      </c>
      <c r="L672" t="s">
        <v>80</v>
      </c>
      <c r="M672" t="s">
        <v>2436</v>
      </c>
      <c r="N672" t="s">
        <v>2457</v>
      </c>
      <c r="O672" t="s">
        <v>2458</v>
      </c>
      <c r="P672" s="2" t="s">
        <v>67</v>
      </c>
      <c r="Q672" t="s">
        <v>68</v>
      </c>
      <c r="R672">
        <v>108.36</v>
      </c>
      <c r="S672">
        <v>109.14</v>
      </c>
      <c r="T672" t="s">
        <v>2459</v>
      </c>
    </row>
    <row r="673" spans="1:20" x14ac:dyDescent="0.25">
      <c r="A673" s="1" t="str">
        <f>HYPERLINK("https://vegkart.atlas.vegvesen.no/#/@297357.5,7044121.3,18/hva:hva%5B0%5D%5Bfilter%5D%5B0%5D%5Boperator%5D=%21%3D&amp;hva%5B0%5D%5Bfilter%5D%5B0%5D%5Btype_id%5D=5012&amp;hva%5B0%5D%5Bfilter%5D%5B0%5D%5Bverdi%5D=&amp;hva%5B0%5D%5Bid%5D=508/når:2024-09-02", "Vegkart")</f>
        <v>Vegkart</v>
      </c>
      <c r="B673">
        <v>197968644</v>
      </c>
      <c r="C673">
        <v>508</v>
      </c>
      <c r="D673" t="s">
        <v>2321</v>
      </c>
      <c r="E673">
        <v>5012</v>
      </c>
      <c r="F673" t="s">
        <v>23479</v>
      </c>
      <c r="G673">
        <v>7</v>
      </c>
      <c r="H673" t="s">
        <v>2327</v>
      </c>
      <c r="J673" t="s">
        <v>2432</v>
      </c>
      <c r="K673" t="s">
        <v>192</v>
      </c>
      <c r="L673" t="s">
        <v>80</v>
      </c>
      <c r="M673" t="s">
        <v>2436</v>
      </c>
      <c r="N673" t="s">
        <v>2460</v>
      </c>
      <c r="O673" t="s">
        <v>2461</v>
      </c>
      <c r="P673" s="2" t="s">
        <v>165</v>
      </c>
      <c r="Q673" t="s">
        <v>641</v>
      </c>
      <c r="R673">
        <v>259.63</v>
      </c>
      <c r="S673">
        <v>1679</v>
      </c>
      <c r="T673" t="s">
        <v>167</v>
      </c>
    </row>
    <row r="674" spans="1:20" x14ac:dyDescent="0.25">
      <c r="A674" s="1" t="str">
        <f>HYPERLINK("https://vegkart.atlas.vegvesen.no/#/@303670.8,7058018.4,18/hva:hva%5B0%5D%5Bfilter%5D%5B0%5D%5Boperator%5D=%21%3D&amp;hva%5B0%5D%5Bfilter%5D%5B0%5D%5Btype_id%5D=5012&amp;hva%5B0%5D%5Bfilter%5D%5B0%5D%5Bverdi%5D=&amp;hva%5B0%5D%5Bid%5D=508/når:2024-09-02", "Vegkart")</f>
        <v>Vegkart</v>
      </c>
      <c r="B674">
        <v>197987237</v>
      </c>
      <c r="C674">
        <v>508</v>
      </c>
      <c r="D674" t="s">
        <v>2321</v>
      </c>
      <c r="E674">
        <v>5012</v>
      </c>
      <c r="F674" t="s">
        <v>23479</v>
      </c>
      <c r="G674">
        <v>2</v>
      </c>
      <c r="H674" t="s">
        <v>2327</v>
      </c>
      <c r="J674" t="s">
        <v>2432</v>
      </c>
      <c r="K674" t="s">
        <v>192</v>
      </c>
      <c r="L674" t="s">
        <v>80</v>
      </c>
      <c r="M674" t="s">
        <v>105</v>
      </c>
      <c r="N674" t="s">
        <v>2462</v>
      </c>
      <c r="O674" t="s">
        <v>2463</v>
      </c>
      <c r="P674" s="2" t="s">
        <v>67</v>
      </c>
      <c r="Q674" t="s">
        <v>68</v>
      </c>
      <c r="R674">
        <v>31.99</v>
      </c>
      <c r="S674">
        <v>31.99</v>
      </c>
      <c r="T674" t="s">
        <v>2464</v>
      </c>
    </row>
    <row r="675" spans="1:20" x14ac:dyDescent="0.25">
      <c r="A675" s="1" t="str">
        <f>HYPERLINK("https://vegkart.atlas.vegvesen.no/#/@304167.4,7059587.8,18/hva:hva%5B0%5D%5Bfilter%5D%5B0%5D%5Boperator%5D=%21%3D&amp;hva%5B0%5D%5Bfilter%5D%5B0%5D%5Btype_id%5D=5012&amp;hva%5B0%5D%5Bfilter%5D%5B0%5D%5Bverdi%5D=&amp;hva%5B0%5D%5Bid%5D=508/når:2024-09-02", "Vegkart")</f>
        <v>Vegkart</v>
      </c>
      <c r="B675">
        <v>197987242</v>
      </c>
      <c r="C675">
        <v>508</v>
      </c>
      <c r="D675" t="s">
        <v>2321</v>
      </c>
      <c r="E675">
        <v>5012</v>
      </c>
      <c r="F675" t="s">
        <v>23479</v>
      </c>
      <c r="G675">
        <v>8</v>
      </c>
      <c r="H675" t="s">
        <v>2327</v>
      </c>
      <c r="J675" t="s">
        <v>2432</v>
      </c>
      <c r="K675" t="s">
        <v>192</v>
      </c>
      <c r="L675" t="s">
        <v>80</v>
      </c>
      <c r="M675" t="s">
        <v>105</v>
      </c>
      <c r="N675" t="s">
        <v>2465</v>
      </c>
      <c r="O675" t="s">
        <v>2466</v>
      </c>
      <c r="P675" s="2" t="s">
        <v>67</v>
      </c>
      <c r="Q675" t="s">
        <v>68</v>
      </c>
      <c r="R675">
        <v>975.78</v>
      </c>
      <c r="S675">
        <v>997.88</v>
      </c>
      <c r="T675" t="s">
        <v>2467</v>
      </c>
    </row>
    <row r="676" spans="1:20" x14ac:dyDescent="0.25">
      <c r="A676" s="1" t="str">
        <f>HYPERLINK("https://vegkart.atlas.vegvesen.no/#/@-35589.2,6752460.2,18/hva:hva%5B0%5D%5Bfilter%5D%5B0%5D%5Boperator%5D=%21%3D&amp;hva%5B0%5D%5Bfilter%5D%5B0%5D%5Btype_id%5D=5012&amp;hva%5B0%5D%5Bfilter%5D%5B0%5D%5Bverdi%5D=&amp;hva%5B0%5D%5Bid%5D=508/når:2008-01-01", "Vegkart")</f>
        <v>Vegkart</v>
      </c>
      <c r="B676">
        <v>207316780</v>
      </c>
      <c r="C676">
        <v>508</v>
      </c>
      <c r="D676" t="s">
        <v>2321</v>
      </c>
      <c r="E676">
        <v>5012</v>
      </c>
      <c r="F676" t="s">
        <v>23479</v>
      </c>
      <c r="G676">
        <v>1</v>
      </c>
      <c r="H676" t="s">
        <v>2468</v>
      </c>
      <c r="J676" t="s">
        <v>2432</v>
      </c>
      <c r="K676" t="s">
        <v>21</v>
      </c>
      <c r="L676" t="s">
        <v>33</v>
      </c>
      <c r="M676" t="s">
        <v>2469</v>
      </c>
      <c r="N676" t="s">
        <v>2470</v>
      </c>
      <c r="O676" t="s">
        <v>2471</v>
      </c>
      <c r="P676" s="2" t="s">
        <v>37</v>
      </c>
      <c r="Q676" t="s">
        <v>1208</v>
      </c>
      <c r="R676">
        <v>2.09</v>
      </c>
      <c r="S676">
        <v>120.48</v>
      </c>
      <c r="T676" t="s">
        <v>2472</v>
      </c>
    </row>
    <row r="677" spans="1:20" x14ac:dyDescent="0.25">
      <c r="A677" s="1" t="str">
        <f>HYPERLINK("https://vegkart.atlas.vegvesen.no/#/@-44041.9,6756064.3,18/hva:hva%5B0%5D%5Bfilter%5D%5B0%5D%5Boperator%5D=%21%3D&amp;hva%5B0%5D%5Bfilter%5D%5B0%5D%5Btype_id%5D=5012&amp;hva%5B0%5D%5Bfilter%5D%5B0%5D%5Bverdi%5D=&amp;hva%5B0%5D%5Bid%5D=508/når:2008-01-01", "Vegkart")</f>
        <v>Vegkart</v>
      </c>
      <c r="B677">
        <v>207316784</v>
      </c>
      <c r="C677">
        <v>508</v>
      </c>
      <c r="D677" t="s">
        <v>2321</v>
      </c>
      <c r="E677">
        <v>5012</v>
      </c>
      <c r="F677" t="s">
        <v>23479</v>
      </c>
      <c r="G677">
        <v>1</v>
      </c>
      <c r="H677" t="s">
        <v>2468</v>
      </c>
      <c r="J677" t="s">
        <v>2432</v>
      </c>
      <c r="K677" t="s">
        <v>21</v>
      </c>
      <c r="L677" t="s">
        <v>2473</v>
      </c>
      <c r="M677" t="s">
        <v>2474</v>
      </c>
      <c r="N677" t="s">
        <v>2475</v>
      </c>
      <c r="O677" t="s">
        <v>2476</v>
      </c>
      <c r="P677" s="2" t="s">
        <v>37</v>
      </c>
      <c r="Q677" t="s">
        <v>1208</v>
      </c>
      <c r="R677">
        <v>2.14</v>
      </c>
      <c r="S677">
        <v>67.06</v>
      </c>
      <c r="T677" t="s">
        <v>2477</v>
      </c>
    </row>
    <row r="678" spans="1:20" x14ac:dyDescent="0.25">
      <c r="A678" s="1" t="str">
        <f>HYPERLINK("https://vegkart.atlas.vegvesen.no/#/@-26708.7,6755066.1,18/hva:hva%5B0%5D%5Bfilter%5D%5B0%5D%5Boperator%5D=%21%3D&amp;hva%5B0%5D%5Bfilter%5D%5B0%5D%5Btype_id%5D=5012&amp;hva%5B0%5D%5Bfilter%5D%5B0%5D%5Bverdi%5D=&amp;hva%5B0%5D%5Bid%5D=508/når:2025-02-28", "Vegkart")</f>
        <v>Vegkart</v>
      </c>
      <c r="B678">
        <v>207322932</v>
      </c>
      <c r="C678">
        <v>508</v>
      </c>
      <c r="D678" t="s">
        <v>2321</v>
      </c>
      <c r="E678">
        <v>5012</v>
      </c>
      <c r="F678" t="s">
        <v>23479</v>
      </c>
      <c r="G678">
        <v>5</v>
      </c>
      <c r="H678" t="s">
        <v>2478</v>
      </c>
      <c r="J678" t="s">
        <v>2432</v>
      </c>
      <c r="K678" t="s">
        <v>21</v>
      </c>
      <c r="L678" t="s">
        <v>80</v>
      </c>
      <c r="M678" t="s">
        <v>81</v>
      </c>
      <c r="N678" t="s">
        <v>2479</v>
      </c>
      <c r="O678" t="s">
        <v>2480</v>
      </c>
      <c r="P678" s="2" t="s">
        <v>165</v>
      </c>
      <c r="Q678" t="s">
        <v>166</v>
      </c>
      <c r="R678">
        <v>2.11</v>
      </c>
      <c r="S678">
        <v>257.33999999999997</v>
      </c>
      <c r="T678" t="s">
        <v>167</v>
      </c>
    </row>
    <row r="679" spans="1:20" x14ac:dyDescent="0.25">
      <c r="A679" s="1" t="str">
        <f>HYPERLINK("https://vegkart.atlas.vegvesen.no/#/@-31828.9,6751616.4,18/hva:hva%5B0%5D%5Bfilter%5D%5B0%5D%5Boperator%5D=%21%3D&amp;hva%5B0%5D%5Bfilter%5D%5B0%5D%5Btype_id%5D=5012&amp;hva%5B0%5D%5Bfilter%5D%5B0%5D%5Bverdi%5D=&amp;hva%5B0%5D%5Bid%5D=508/når:2024-07-31", "Vegkart")</f>
        <v>Vegkart</v>
      </c>
      <c r="B679">
        <v>208958820</v>
      </c>
      <c r="C679">
        <v>508</v>
      </c>
      <c r="D679" t="s">
        <v>2321</v>
      </c>
      <c r="E679">
        <v>5012</v>
      </c>
      <c r="F679" t="s">
        <v>23479</v>
      </c>
      <c r="G679">
        <v>2</v>
      </c>
      <c r="H679" t="s">
        <v>912</v>
      </c>
      <c r="J679" t="s">
        <v>2432</v>
      </c>
      <c r="K679" t="s">
        <v>21</v>
      </c>
      <c r="L679" t="s">
        <v>33</v>
      </c>
      <c r="M679" t="s">
        <v>795</v>
      </c>
      <c r="N679" t="s">
        <v>2481</v>
      </c>
      <c r="O679" t="s">
        <v>2482</v>
      </c>
      <c r="P679" s="2" t="s">
        <v>37</v>
      </c>
      <c r="Q679" t="s">
        <v>1208</v>
      </c>
      <c r="R679">
        <v>2.09</v>
      </c>
      <c r="S679">
        <v>1201.31</v>
      </c>
      <c r="T679" t="s">
        <v>2483</v>
      </c>
    </row>
    <row r="680" spans="1:20" x14ac:dyDescent="0.25">
      <c r="A680" s="1" t="str">
        <f>HYPERLINK("https://vegkart.atlas.vegvesen.no/#/@371291.4,7133168.9,18/hva:hva%5B0%5D%5Bfilter%5D%5B0%5D%5Boperator%5D=%21%3D&amp;hva%5B0%5D%5Bfilter%5D%5B0%5D%5Btype_id%5D=5012&amp;hva%5B0%5D%5Bfilter%5D%5B0%5D%5Bverdi%5D=&amp;hva%5B0%5D%5Bid%5D=508/når:2024-09-02", "Vegkart")</f>
        <v>Vegkart</v>
      </c>
      <c r="B680">
        <v>238671424</v>
      </c>
      <c r="C680">
        <v>508</v>
      </c>
      <c r="D680" t="s">
        <v>2321</v>
      </c>
      <c r="E680">
        <v>5012</v>
      </c>
      <c r="F680" t="s">
        <v>23479</v>
      </c>
      <c r="G680">
        <v>7</v>
      </c>
      <c r="H680" t="s">
        <v>2327</v>
      </c>
      <c r="J680" t="s">
        <v>2484</v>
      </c>
      <c r="K680" t="s">
        <v>192</v>
      </c>
      <c r="L680" t="s">
        <v>80</v>
      </c>
      <c r="M680" t="s">
        <v>105</v>
      </c>
      <c r="N680" t="s">
        <v>2485</v>
      </c>
      <c r="O680" t="s">
        <v>2486</v>
      </c>
      <c r="P680" s="2" t="s">
        <v>37</v>
      </c>
      <c r="Q680" t="s">
        <v>1208</v>
      </c>
      <c r="R680">
        <v>9.82</v>
      </c>
      <c r="S680">
        <v>191.95</v>
      </c>
      <c r="T680" t="s">
        <v>2487</v>
      </c>
    </row>
    <row r="681" spans="1:20" x14ac:dyDescent="0.25">
      <c r="A681" s="1" t="str">
        <f>HYPERLINK("https://vegkart.atlas.vegvesen.no/#/@395054.2,7178377.9,18/hva:hva%5B0%5D%5Bfilter%5D%5B0%5D%5Boperator%5D=%21%3D&amp;hva%5B0%5D%5Bfilter%5D%5B0%5D%5Btype_id%5D=5012&amp;hva%5B0%5D%5Bfilter%5D%5B0%5D%5Bverdi%5D=&amp;hva%5B0%5D%5Bid%5D=508/når:2025-01-09", "Vegkart")</f>
        <v>Vegkart</v>
      </c>
      <c r="B681">
        <v>238671430</v>
      </c>
      <c r="C681">
        <v>508</v>
      </c>
      <c r="D681" t="s">
        <v>2321</v>
      </c>
      <c r="E681">
        <v>5012</v>
      </c>
      <c r="F681" t="s">
        <v>23479</v>
      </c>
      <c r="G681">
        <v>9</v>
      </c>
      <c r="H681" t="s">
        <v>2488</v>
      </c>
      <c r="J681" t="s">
        <v>2484</v>
      </c>
      <c r="K681" t="s">
        <v>192</v>
      </c>
      <c r="L681" t="s">
        <v>80</v>
      </c>
      <c r="M681" t="s">
        <v>105</v>
      </c>
      <c r="N681" t="s">
        <v>2489</v>
      </c>
      <c r="O681" t="s">
        <v>2490</v>
      </c>
      <c r="P681" s="2" t="s">
        <v>67</v>
      </c>
      <c r="Q681" t="s">
        <v>68</v>
      </c>
      <c r="R681">
        <v>66.58</v>
      </c>
      <c r="S681">
        <v>137.29</v>
      </c>
      <c r="T681" t="s">
        <v>2491</v>
      </c>
    </row>
    <row r="682" spans="1:20" x14ac:dyDescent="0.25">
      <c r="A682" s="1" t="str">
        <f>HYPERLINK("https://vegkart.atlas.vegvesen.no/#/@412980.2,7201760.7,18/hva:hva%5B0%5D%5Bfilter%5D%5B0%5D%5Boperator%5D=%21%3D&amp;hva%5B0%5D%5Bfilter%5D%5B0%5D%5Btype_id%5D=5012&amp;hva%5B0%5D%5Bfilter%5D%5B0%5D%5Bverdi%5D=&amp;hva%5B0%5D%5Bid%5D=508/når:2024-09-02", "Vegkart")</f>
        <v>Vegkart</v>
      </c>
      <c r="B682">
        <v>239118468</v>
      </c>
      <c r="C682">
        <v>508</v>
      </c>
      <c r="D682" t="s">
        <v>2321</v>
      </c>
      <c r="E682">
        <v>5012</v>
      </c>
      <c r="F682" t="s">
        <v>23479</v>
      </c>
      <c r="G682">
        <v>7</v>
      </c>
      <c r="H682" t="s">
        <v>2327</v>
      </c>
      <c r="J682" t="s">
        <v>2484</v>
      </c>
      <c r="K682" t="s">
        <v>192</v>
      </c>
      <c r="L682" t="s">
        <v>80</v>
      </c>
      <c r="M682" t="s">
        <v>105</v>
      </c>
      <c r="N682" t="s">
        <v>2492</v>
      </c>
      <c r="O682" t="s">
        <v>2493</v>
      </c>
      <c r="P682" s="2" t="s">
        <v>67</v>
      </c>
      <c r="Q682" t="s">
        <v>68</v>
      </c>
      <c r="R682">
        <v>531.36</v>
      </c>
      <c r="S682">
        <v>531.4</v>
      </c>
      <c r="T682" t="s">
        <v>2494</v>
      </c>
    </row>
    <row r="683" spans="1:20" x14ac:dyDescent="0.25">
      <c r="A683" s="1" t="str">
        <f>HYPERLINK("https://vegkart.atlas.vegvesen.no/#/@326051.2,7076810.4,18/hva:hva%5B0%5D%5Bfilter%5D%5B0%5D%5Boperator%5D=%21%3D&amp;hva%5B0%5D%5Bfilter%5D%5B0%5D%5Btype_id%5D=5012&amp;hva%5B0%5D%5Bfilter%5D%5B0%5D%5Bverdi%5D=&amp;hva%5B0%5D%5Bid%5D=508/når:2024-09-02", "Vegkart")</f>
        <v>Vegkart</v>
      </c>
      <c r="B683">
        <v>240551702</v>
      </c>
      <c r="C683">
        <v>508</v>
      </c>
      <c r="D683" t="s">
        <v>2321</v>
      </c>
      <c r="E683">
        <v>5012</v>
      </c>
      <c r="F683" t="s">
        <v>23479</v>
      </c>
      <c r="G683">
        <v>8</v>
      </c>
      <c r="H683" t="s">
        <v>2327</v>
      </c>
      <c r="J683" t="s">
        <v>2484</v>
      </c>
      <c r="K683" t="s">
        <v>192</v>
      </c>
      <c r="L683" t="s">
        <v>80</v>
      </c>
      <c r="M683" t="s">
        <v>105</v>
      </c>
      <c r="N683" t="s">
        <v>2495</v>
      </c>
      <c r="O683" t="s">
        <v>2496</v>
      </c>
      <c r="P683" s="2" t="s">
        <v>67</v>
      </c>
      <c r="Q683" t="s">
        <v>68</v>
      </c>
      <c r="R683">
        <v>953.44</v>
      </c>
      <c r="S683">
        <v>968.49</v>
      </c>
      <c r="T683" t="s">
        <v>2497</v>
      </c>
    </row>
    <row r="684" spans="1:20" x14ac:dyDescent="0.25">
      <c r="A684" s="1" t="str">
        <f>HYPERLINK("https://vegkart.atlas.vegvesen.no/#/@335908.4,7115778.1,18/hva:hva%5B0%5D%5Bfilter%5D%5B0%5D%5Boperator%5D=%21%3D&amp;hva%5B0%5D%5Bfilter%5D%5B0%5D%5Btype_id%5D=5012&amp;hva%5B0%5D%5Bfilter%5D%5B0%5D%5Bverdi%5D=&amp;hva%5B0%5D%5Bid%5D=508/når:2024-09-02", "Vegkart")</f>
        <v>Vegkart</v>
      </c>
      <c r="B684">
        <v>240580989</v>
      </c>
      <c r="C684">
        <v>508</v>
      </c>
      <c r="D684" t="s">
        <v>2321</v>
      </c>
      <c r="E684">
        <v>5012</v>
      </c>
      <c r="F684" t="s">
        <v>23479</v>
      </c>
      <c r="G684">
        <v>6</v>
      </c>
      <c r="H684" t="s">
        <v>2327</v>
      </c>
      <c r="J684" t="s">
        <v>2484</v>
      </c>
      <c r="K684" t="s">
        <v>192</v>
      </c>
      <c r="L684" t="s">
        <v>80</v>
      </c>
      <c r="M684" t="s">
        <v>105</v>
      </c>
      <c r="N684" t="s">
        <v>2498</v>
      </c>
      <c r="O684" t="s">
        <v>2499</v>
      </c>
      <c r="P684" s="2" t="s">
        <v>37</v>
      </c>
      <c r="Q684" t="s">
        <v>1208</v>
      </c>
      <c r="R684">
        <v>0</v>
      </c>
      <c r="S684">
        <v>75.89</v>
      </c>
      <c r="T684" t="s">
        <v>2500</v>
      </c>
    </row>
    <row r="685" spans="1:20" x14ac:dyDescent="0.25">
      <c r="A685" s="1" t="str">
        <f>HYPERLINK("https://vegkart.atlas.vegvesen.no/#/@337435.7,7115825.7,18/hva:hva%5B0%5D%5Bfilter%5D%5B0%5D%5Boperator%5D=%21%3D&amp;hva%5B0%5D%5Bfilter%5D%5B0%5D%5Btype_id%5D=5012&amp;hva%5B0%5D%5Bfilter%5D%5B0%5D%5Bverdi%5D=&amp;hva%5B0%5D%5Bid%5D=508/når:2024-09-02", "Vegkart")</f>
        <v>Vegkart</v>
      </c>
      <c r="B685">
        <v>240580995</v>
      </c>
      <c r="C685">
        <v>508</v>
      </c>
      <c r="D685" t="s">
        <v>2321</v>
      </c>
      <c r="E685">
        <v>5012</v>
      </c>
      <c r="F685" t="s">
        <v>23479</v>
      </c>
      <c r="G685">
        <v>7</v>
      </c>
      <c r="H685" t="s">
        <v>2327</v>
      </c>
      <c r="J685" t="s">
        <v>2484</v>
      </c>
      <c r="K685" t="s">
        <v>192</v>
      </c>
      <c r="L685" t="s">
        <v>80</v>
      </c>
      <c r="M685" t="s">
        <v>105</v>
      </c>
      <c r="N685" t="s">
        <v>2501</v>
      </c>
      <c r="O685" t="s">
        <v>2502</v>
      </c>
      <c r="P685" s="2" t="s">
        <v>37</v>
      </c>
      <c r="Q685" t="s">
        <v>1208</v>
      </c>
      <c r="R685">
        <v>0</v>
      </c>
      <c r="S685">
        <v>58.78</v>
      </c>
      <c r="T685" t="s">
        <v>2503</v>
      </c>
    </row>
    <row r="686" spans="1:20" x14ac:dyDescent="0.25">
      <c r="A686" s="1" t="str">
        <f>HYPERLINK("https://vegkart.atlas.vegvesen.no/#/@323145.6,7086426.8,18/hva:hva%5B0%5D%5Bfilter%5D%5B0%5D%5Boperator%5D=%21%3D&amp;hva%5B0%5D%5Bfilter%5D%5B0%5D%5Btype_id%5D=5012&amp;hva%5B0%5D%5Bfilter%5D%5B0%5D%5Bverdi%5D=&amp;hva%5B0%5D%5Bid%5D=508/når:2024-09-02", "Vegkart")</f>
        <v>Vegkart</v>
      </c>
      <c r="B686">
        <v>245623796</v>
      </c>
      <c r="C686">
        <v>508</v>
      </c>
      <c r="D686" t="s">
        <v>2321</v>
      </c>
      <c r="E686">
        <v>5012</v>
      </c>
      <c r="F686" t="s">
        <v>23479</v>
      </c>
      <c r="G686">
        <v>9</v>
      </c>
      <c r="H686" t="s">
        <v>2327</v>
      </c>
      <c r="J686" t="s">
        <v>2484</v>
      </c>
      <c r="K686" t="s">
        <v>192</v>
      </c>
      <c r="L686" t="s">
        <v>80</v>
      </c>
      <c r="M686" t="s">
        <v>105</v>
      </c>
      <c r="N686" t="s">
        <v>2504</v>
      </c>
      <c r="O686" t="s">
        <v>2505</v>
      </c>
      <c r="P686" s="2" t="s">
        <v>67</v>
      </c>
      <c r="Q686" t="s">
        <v>68</v>
      </c>
      <c r="R686">
        <v>1003.42</v>
      </c>
      <c r="S686">
        <v>1022.17</v>
      </c>
      <c r="T686" t="s">
        <v>2506</v>
      </c>
    </row>
    <row r="687" spans="1:20" x14ac:dyDescent="0.25">
      <c r="A687" s="1" t="str">
        <f>HYPERLINK("https://vegkart.atlas.vegvesen.no/#/@325757.4,7078076.5,18/hva:hva%5B0%5D%5Bfilter%5D%5B0%5D%5Boperator%5D=%21%3D&amp;hva%5B0%5D%5Bfilter%5D%5B0%5D%5Btype_id%5D=5012&amp;hva%5B0%5D%5Bfilter%5D%5B0%5D%5Bverdi%5D=&amp;hva%5B0%5D%5Bid%5D=508/når:2024-09-02", "Vegkart")</f>
        <v>Vegkart</v>
      </c>
      <c r="B687">
        <v>246137562</v>
      </c>
      <c r="C687">
        <v>508</v>
      </c>
      <c r="D687" t="s">
        <v>2321</v>
      </c>
      <c r="E687">
        <v>5012</v>
      </c>
      <c r="F687" t="s">
        <v>23479</v>
      </c>
      <c r="G687">
        <v>13</v>
      </c>
      <c r="H687" t="s">
        <v>2327</v>
      </c>
      <c r="J687" t="s">
        <v>2484</v>
      </c>
      <c r="K687" t="s">
        <v>192</v>
      </c>
      <c r="L687" t="s">
        <v>80</v>
      </c>
      <c r="M687" t="s">
        <v>105</v>
      </c>
      <c r="N687" t="s">
        <v>2507</v>
      </c>
      <c r="O687" t="s">
        <v>2508</v>
      </c>
      <c r="P687" s="2" t="s">
        <v>67</v>
      </c>
      <c r="Q687" t="s">
        <v>68</v>
      </c>
      <c r="R687">
        <v>1713.74</v>
      </c>
      <c r="S687">
        <v>1743.86</v>
      </c>
      <c r="T687" t="s">
        <v>2509</v>
      </c>
    </row>
    <row r="688" spans="1:20" x14ac:dyDescent="0.25">
      <c r="A688" s="1" t="str">
        <f>HYPERLINK("https://vegkart.atlas.vegvesen.no/#/@397406.1,7181442.1,18/hva:hva%5B0%5D%5Bfilter%5D%5B0%5D%5Boperator%5D=%21%3D&amp;hva%5B0%5D%5Bfilter%5D%5B0%5D%5Btype_id%5D=5012&amp;hva%5B0%5D%5Bfilter%5D%5B0%5D%5Bverdi%5D=&amp;hva%5B0%5D%5Bid%5D=508/når:2024-09-02", "Vegkart")</f>
        <v>Vegkart</v>
      </c>
      <c r="B688">
        <v>246245710</v>
      </c>
      <c r="C688">
        <v>508</v>
      </c>
      <c r="D688" t="s">
        <v>2321</v>
      </c>
      <c r="E688">
        <v>5012</v>
      </c>
      <c r="F688" t="s">
        <v>23479</v>
      </c>
      <c r="G688">
        <v>4</v>
      </c>
      <c r="H688" t="s">
        <v>2327</v>
      </c>
      <c r="J688" t="s">
        <v>2484</v>
      </c>
      <c r="K688" t="s">
        <v>192</v>
      </c>
      <c r="L688" t="s">
        <v>80</v>
      </c>
      <c r="M688" t="s">
        <v>105</v>
      </c>
      <c r="N688" t="s">
        <v>2510</v>
      </c>
      <c r="O688" t="s">
        <v>2511</v>
      </c>
      <c r="P688" s="2" t="s">
        <v>67</v>
      </c>
      <c r="Q688" t="s">
        <v>68</v>
      </c>
      <c r="R688">
        <v>116.95</v>
      </c>
      <c r="S688">
        <v>117.04</v>
      </c>
      <c r="T688" t="s">
        <v>2512</v>
      </c>
    </row>
    <row r="689" spans="1:20" x14ac:dyDescent="0.25">
      <c r="A689" s="1" t="str">
        <f>HYPERLINK("https://vegkart.atlas.vegvesen.no/#/@325382.7,7099981.4,18/hva:hva%5B0%5D%5Bfilter%5D%5B0%5D%5Boperator%5D=%21%3D&amp;hva%5B0%5D%5Bfilter%5D%5B0%5D%5Btype_id%5D=5012&amp;hva%5B0%5D%5Bfilter%5D%5B0%5D%5Bverdi%5D=&amp;hva%5B0%5D%5Bid%5D=508/når:2024-09-02", "Vegkart")</f>
        <v>Vegkart</v>
      </c>
      <c r="B689">
        <v>255939816</v>
      </c>
      <c r="C689">
        <v>508</v>
      </c>
      <c r="D689" t="s">
        <v>2321</v>
      </c>
      <c r="E689">
        <v>5012</v>
      </c>
      <c r="F689" t="s">
        <v>23479</v>
      </c>
      <c r="G689">
        <v>6</v>
      </c>
      <c r="H689" t="s">
        <v>2327</v>
      </c>
      <c r="J689" t="s">
        <v>2484</v>
      </c>
      <c r="K689" t="s">
        <v>192</v>
      </c>
      <c r="L689" t="s">
        <v>80</v>
      </c>
      <c r="M689" t="s">
        <v>105</v>
      </c>
      <c r="N689" t="s">
        <v>2513</v>
      </c>
      <c r="O689" t="s">
        <v>2514</v>
      </c>
      <c r="P689" s="2" t="s">
        <v>67</v>
      </c>
      <c r="Q689" t="s">
        <v>68</v>
      </c>
      <c r="R689">
        <v>132.81</v>
      </c>
      <c r="S689">
        <v>132.91999999999999</v>
      </c>
      <c r="T689" t="s">
        <v>2515</v>
      </c>
    </row>
    <row r="690" spans="1:20" x14ac:dyDescent="0.25">
      <c r="A690" s="1" t="str">
        <f>HYPERLINK("https://vegkart.atlas.vegvesen.no/#/@327313.2,7101457.1,18/hva:hva%5B0%5D%5Bfilter%5D%5B0%5D%5Boperator%5D=%21%3D&amp;hva%5B0%5D%5Bfilter%5D%5B0%5D%5Btype_id%5D=5012&amp;hva%5B0%5D%5Bfilter%5D%5B0%5D%5Bverdi%5D=&amp;hva%5B0%5D%5Bid%5D=508/når:2024-09-02", "Vegkart")</f>
        <v>Vegkart</v>
      </c>
      <c r="B690">
        <v>255939820</v>
      </c>
      <c r="C690">
        <v>508</v>
      </c>
      <c r="D690" t="s">
        <v>2321</v>
      </c>
      <c r="E690">
        <v>5012</v>
      </c>
      <c r="F690" t="s">
        <v>23479</v>
      </c>
      <c r="G690">
        <v>4</v>
      </c>
      <c r="H690" t="s">
        <v>2327</v>
      </c>
      <c r="J690" t="s">
        <v>2484</v>
      </c>
      <c r="K690" t="s">
        <v>192</v>
      </c>
      <c r="L690" t="s">
        <v>80</v>
      </c>
      <c r="M690" t="s">
        <v>105</v>
      </c>
      <c r="N690" t="s">
        <v>2516</v>
      </c>
      <c r="O690" t="s">
        <v>2517</v>
      </c>
      <c r="P690" s="2" t="s">
        <v>26</v>
      </c>
      <c r="Q690" t="s">
        <v>50</v>
      </c>
      <c r="R690">
        <v>9.9700000000000006</v>
      </c>
      <c r="S690">
        <v>9.9700000000000006</v>
      </c>
      <c r="T690" t="s">
        <v>2518</v>
      </c>
    </row>
    <row r="691" spans="1:20" x14ac:dyDescent="0.25">
      <c r="A691" s="1" t="str">
        <f>HYPERLINK("https://vegkart.atlas.vegvesen.no/#/@327347.7,7101454.1,18/hva:hva%5B0%5D%5Bfilter%5D%5B0%5D%5Boperator%5D=%21%3D&amp;hva%5B0%5D%5Bfilter%5D%5B0%5D%5Btype_id%5D=5012&amp;hva%5B0%5D%5Bfilter%5D%5B0%5D%5Bverdi%5D=&amp;hva%5B0%5D%5Bid%5D=508/når:2024-09-02", "Vegkart")</f>
        <v>Vegkart</v>
      </c>
      <c r="B691">
        <v>255939822</v>
      </c>
      <c r="C691">
        <v>508</v>
      </c>
      <c r="D691" t="s">
        <v>2321</v>
      </c>
      <c r="E691">
        <v>5012</v>
      </c>
      <c r="F691" t="s">
        <v>23479</v>
      </c>
      <c r="G691">
        <v>5</v>
      </c>
      <c r="H691" t="s">
        <v>2327</v>
      </c>
      <c r="J691" t="s">
        <v>2484</v>
      </c>
      <c r="K691" t="s">
        <v>192</v>
      </c>
      <c r="L691" t="s">
        <v>80</v>
      </c>
      <c r="M691" t="s">
        <v>105</v>
      </c>
      <c r="N691" t="s">
        <v>2519</v>
      </c>
      <c r="O691" t="s">
        <v>2520</v>
      </c>
      <c r="P691" s="2" t="s">
        <v>67</v>
      </c>
      <c r="Q691" t="s">
        <v>68</v>
      </c>
      <c r="R691">
        <v>108.21</v>
      </c>
      <c r="S691">
        <v>108.7</v>
      </c>
      <c r="T691" t="s">
        <v>2521</v>
      </c>
    </row>
    <row r="692" spans="1:20" x14ac:dyDescent="0.25">
      <c r="A692" s="1" t="str">
        <f>HYPERLINK("https://vegkart.atlas.vegvesen.no/#/@329734.2,7109301.8,18/hva:hva%5B0%5D%5Bfilter%5D%5B0%5D%5Boperator%5D=%21%3D&amp;hva%5B0%5D%5Bfilter%5D%5B0%5D%5Btype_id%5D=5012&amp;hva%5B0%5D%5Bfilter%5D%5B0%5D%5Bverdi%5D=&amp;hva%5B0%5D%5Bid%5D=508/når:2024-09-02", "Vegkart")</f>
        <v>Vegkart</v>
      </c>
      <c r="B692">
        <v>266786882</v>
      </c>
      <c r="C692">
        <v>508</v>
      </c>
      <c r="D692" t="s">
        <v>2321</v>
      </c>
      <c r="E692">
        <v>5012</v>
      </c>
      <c r="F692" t="s">
        <v>23479</v>
      </c>
      <c r="G692">
        <v>4</v>
      </c>
      <c r="H692" t="s">
        <v>2327</v>
      </c>
      <c r="J692" t="s">
        <v>2484</v>
      </c>
      <c r="K692" t="s">
        <v>192</v>
      </c>
      <c r="L692" t="s">
        <v>80</v>
      </c>
      <c r="M692" t="s">
        <v>105</v>
      </c>
      <c r="N692" t="s">
        <v>2522</v>
      </c>
      <c r="O692" t="s">
        <v>2523</v>
      </c>
      <c r="P692" s="2" t="s">
        <v>67</v>
      </c>
      <c r="Q692" t="s">
        <v>68</v>
      </c>
      <c r="R692">
        <v>960.56</v>
      </c>
      <c r="S692">
        <v>979.25</v>
      </c>
      <c r="T692" t="s">
        <v>2524</v>
      </c>
    </row>
    <row r="693" spans="1:20" x14ac:dyDescent="0.25">
      <c r="A693" s="1" t="str">
        <f>HYPERLINK("https://vegkart.atlas.vegvesen.no/#/@116731.4,6939023.5,18/hva:hva%5B0%5D%5Bfilter%5D%5B0%5D%5Boperator%5D=%21%3D&amp;hva%5B0%5D%5Bfilter%5D%5B0%5D%5Btype_id%5D=5012&amp;hva%5B0%5D%5Bfilter%5D%5B0%5D%5Bverdi%5D=&amp;hva%5B0%5D%5Bid%5D=508/når:2021-10-12", "Vegkart")</f>
        <v>Vegkart</v>
      </c>
      <c r="B693">
        <v>266949962</v>
      </c>
      <c r="C693">
        <v>508</v>
      </c>
      <c r="D693" t="s">
        <v>2321</v>
      </c>
      <c r="E693">
        <v>5012</v>
      </c>
      <c r="F693" t="s">
        <v>23479</v>
      </c>
      <c r="G693">
        <v>4</v>
      </c>
      <c r="H693" t="s">
        <v>2322</v>
      </c>
      <c r="J693" t="s">
        <v>2484</v>
      </c>
      <c r="K693" t="s">
        <v>32</v>
      </c>
      <c r="L693" t="s">
        <v>33</v>
      </c>
      <c r="M693" t="s">
        <v>1203</v>
      </c>
      <c r="N693" t="s">
        <v>2525</v>
      </c>
      <c r="O693" t="s">
        <v>2526</v>
      </c>
      <c r="P693" s="2" t="s">
        <v>67</v>
      </c>
      <c r="Q693" t="s">
        <v>68</v>
      </c>
      <c r="R693">
        <v>60.05</v>
      </c>
      <c r="S693">
        <v>60.09</v>
      </c>
      <c r="T693" t="s">
        <v>2527</v>
      </c>
    </row>
    <row r="694" spans="1:20" x14ac:dyDescent="0.25">
      <c r="A694" s="1" t="str">
        <f>HYPERLINK("https://vegkart.atlas.vegvesen.no/#/@116512.6,6970347.3,18/hva:hva%5B0%5D%5Bfilter%5D%5B0%5D%5Boperator%5D=%21%3D&amp;hva%5B0%5D%5Bfilter%5D%5B0%5D%5Btype_id%5D=5012&amp;hva%5B0%5D%5Bfilter%5D%5B0%5D%5Bverdi%5D=&amp;hva%5B0%5D%5Bid%5D=508/når:2022-03-31", "Vegkart")</f>
        <v>Vegkart</v>
      </c>
      <c r="B694">
        <v>347284646</v>
      </c>
      <c r="C694">
        <v>508</v>
      </c>
      <c r="D694" t="s">
        <v>2321</v>
      </c>
      <c r="E694">
        <v>5012</v>
      </c>
      <c r="F694" t="s">
        <v>23479</v>
      </c>
      <c r="G694">
        <v>2</v>
      </c>
      <c r="H694" t="s">
        <v>2528</v>
      </c>
      <c r="J694" t="s">
        <v>2484</v>
      </c>
      <c r="K694" t="s">
        <v>32</v>
      </c>
      <c r="L694" t="s">
        <v>33</v>
      </c>
      <c r="M694" t="s">
        <v>2529</v>
      </c>
      <c r="N694" t="s">
        <v>2530</v>
      </c>
      <c r="O694" t="s">
        <v>2531</v>
      </c>
      <c r="P694" s="2" t="s">
        <v>67</v>
      </c>
      <c r="Q694" t="s">
        <v>68</v>
      </c>
      <c r="R694">
        <v>281.64999999999998</v>
      </c>
      <c r="S694">
        <v>291.77999999999997</v>
      </c>
      <c r="T694" t="s">
        <v>2532</v>
      </c>
    </row>
    <row r="695" spans="1:20" x14ac:dyDescent="0.25">
      <c r="A695" s="1" t="str">
        <f>HYPERLINK("https://vegkart.atlas.vegvesen.no/#/@316039.2,7042060.4,18/hva:hva%5B0%5D%5Bfilter%5D%5B0%5D%5Boperator%5D=%21%3D&amp;hva%5B0%5D%5Bfilter%5D%5B0%5D%5Btype_id%5D=5012&amp;hva%5B0%5D%5Bfilter%5D%5B0%5D%5Bverdi%5D=&amp;hva%5B0%5D%5Bid%5D=508/når:2024-09-02", "Vegkart")</f>
        <v>Vegkart</v>
      </c>
      <c r="B695">
        <v>347748829</v>
      </c>
      <c r="C695">
        <v>508</v>
      </c>
      <c r="D695" t="s">
        <v>2321</v>
      </c>
      <c r="E695">
        <v>5012</v>
      </c>
      <c r="F695" t="s">
        <v>23479</v>
      </c>
      <c r="G695">
        <v>2</v>
      </c>
      <c r="H695" t="s">
        <v>2327</v>
      </c>
      <c r="J695" t="s">
        <v>2484</v>
      </c>
      <c r="K695" t="s">
        <v>192</v>
      </c>
      <c r="L695" t="s">
        <v>80</v>
      </c>
      <c r="M695" t="s">
        <v>2436</v>
      </c>
      <c r="N695" t="s">
        <v>2533</v>
      </c>
      <c r="O695" t="s">
        <v>2534</v>
      </c>
      <c r="P695" s="2" t="s">
        <v>67</v>
      </c>
      <c r="Q695" t="s">
        <v>68</v>
      </c>
      <c r="R695">
        <v>73.83</v>
      </c>
      <c r="S695">
        <v>73.83</v>
      </c>
      <c r="T695" t="s">
        <v>2535</v>
      </c>
    </row>
    <row r="696" spans="1:20" x14ac:dyDescent="0.25">
      <c r="A696" s="1" t="str">
        <f>HYPERLINK("https://vegkart.atlas.vegvesen.no/#/@315572.7,7071865.4,18/hva:hva%5B0%5D%5Bfilter%5D%5B0%5D%5Boperator%5D=%21%3D&amp;hva%5B0%5D%5Bfilter%5D%5B0%5D%5Btype_id%5D=5012&amp;hva%5B0%5D%5Bfilter%5D%5B0%5D%5Bverdi%5D=&amp;hva%5B0%5D%5Bid%5D=508/når:2024-09-02", "Vegkart")</f>
        <v>Vegkart</v>
      </c>
      <c r="B696">
        <v>348158783</v>
      </c>
      <c r="C696">
        <v>508</v>
      </c>
      <c r="D696" t="s">
        <v>2321</v>
      </c>
      <c r="E696">
        <v>5012</v>
      </c>
      <c r="F696" t="s">
        <v>23479</v>
      </c>
      <c r="G696">
        <v>3</v>
      </c>
      <c r="H696" t="s">
        <v>2327</v>
      </c>
      <c r="J696" t="s">
        <v>2484</v>
      </c>
      <c r="K696" t="s">
        <v>192</v>
      </c>
      <c r="L696" t="s">
        <v>80</v>
      </c>
      <c r="M696" t="s">
        <v>105</v>
      </c>
      <c r="N696" t="s">
        <v>2536</v>
      </c>
      <c r="O696" t="s">
        <v>2537</v>
      </c>
      <c r="P696" s="2" t="s">
        <v>67</v>
      </c>
      <c r="Q696" t="s">
        <v>68</v>
      </c>
      <c r="R696">
        <v>311.18</v>
      </c>
      <c r="S696">
        <v>311.69</v>
      </c>
      <c r="T696" t="s">
        <v>2538</v>
      </c>
    </row>
    <row r="697" spans="1:20" x14ac:dyDescent="0.25">
      <c r="A697" s="1" t="str">
        <f>HYPERLINK("https://vegkart.atlas.vegvesen.no/#/@148768.4,6949645.3,18/hva:hva%5B0%5D%5Bfilter%5D%5B0%5D%5Boperator%5D=%21%3D&amp;hva%5B0%5D%5Bfilter%5D%5B0%5D%5Btype_id%5D=5012&amp;hva%5B0%5D%5Bfilter%5D%5B0%5D%5Bverdi%5D=&amp;hva%5B0%5D%5Bid%5D=508/når:2021-10-12", "Vegkart")</f>
        <v>Vegkart</v>
      </c>
      <c r="B697">
        <v>348174292</v>
      </c>
      <c r="C697">
        <v>508</v>
      </c>
      <c r="D697" t="s">
        <v>2321</v>
      </c>
      <c r="E697">
        <v>5012</v>
      </c>
      <c r="F697" t="s">
        <v>23479</v>
      </c>
      <c r="G697">
        <v>4</v>
      </c>
      <c r="H697" t="s">
        <v>2322</v>
      </c>
      <c r="J697" t="s">
        <v>2484</v>
      </c>
      <c r="K697" t="s">
        <v>32</v>
      </c>
      <c r="L697" t="s">
        <v>33</v>
      </c>
      <c r="M697" t="s">
        <v>2539</v>
      </c>
      <c r="N697" t="s">
        <v>2540</v>
      </c>
      <c r="O697" t="s">
        <v>2541</v>
      </c>
      <c r="P697" s="2" t="s">
        <v>67</v>
      </c>
      <c r="Q697" t="s">
        <v>68</v>
      </c>
      <c r="R697">
        <v>99.25</v>
      </c>
      <c r="S697">
        <v>99.77</v>
      </c>
      <c r="T697" t="s">
        <v>2542</v>
      </c>
    </row>
    <row r="698" spans="1:20" x14ac:dyDescent="0.25">
      <c r="A698" s="1" t="str">
        <f>HYPERLINK("https://vegkart.atlas.vegvesen.no/#/@296027.1,7045030.8,18/hva:hva%5B0%5D%5Bfilter%5D%5B0%5D%5Boperator%5D=%21%3D&amp;hva%5B0%5D%5Bfilter%5D%5B0%5D%5Btype_id%5D=5012&amp;hva%5B0%5D%5Bfilter%5D%5B0%5D%5Bverdi%5D=&amp;hva%5B0%5D%5Bid%5D=508/når:2024-09-02", "Vegkart")</f>
        <v>Vegkart</v>
      </c>
      <c r="B698">
        <v>348316603</v>
      </c>
      <c r="C698">
        <v>508</v>
      </c>
      <c r="D698" t="s">
        <v>2321</v>
      </c>
      <c r="E698">
        <v>5012</v>
      </c>
      <c r="F698" t="s">
        <v>23479</v>
      </c>
      <c r="G698">
        <v>4</v>
      </c>
      <c r="H698" t="s">
        <v>2327</v>
      </c>
      <c r="J698" t="s">
        <v>2484</v>
      </c>
      <c r="K698" t="s">
        <v>192</v>
      </c>
      <c r="L698" t="s">
        <v>80</v>
      </c>
      <c r="M698" t="s">
        <v>105</v>
      </c>
      <c r="N698" t="s">
        <v>2543</v>
      </c>
      <c r="O698" t="s">
        <v>2544</v>
      </c>
      <c r="P698" s="2" t="s">
        <v>37</v>
      </c>
      <c r="Q698" t="s">
        <v>1208</v>
      </c>
      <c r="R698">
        <v>6.95</v>
      </c>
      <c r="S698">
        <v>139.4</v>
      </c>
      <c r="T698" t="s">
        <v>2545</v>
      </c>
    </row>
    <row r="699" spans="1:20" x14ac:dyDescent="0.25">
      <c r="A699" s="1" t="str">
        <f>HYPERLINK("https://vegkart.atlas.vegvesen.no/#/@296183.9,7044591.5,18/hva:hva%5B0%5D%5Bfilter%5D%5B0%5D%5Boperator%5D=%21%3D&amp;hva%5B0%5D%5Bfilter%5D%5B0%5D%5Btype_id%5D=5012&amp;hva%5B0%5D%5Bfilter%5D%5B0%5D%5Bverdi%5D=&amp;hva%5B0%5D%5Bid%5D=508/når:2024-09-02", "Vegkart")</f>
        <v>Vegkart</v>
      </c>
      <c r="B699">
        <v>348316604</v>
      </c>
      <c r="C699">
        <v>508</v>
      </c>
      <c r="D699" t="s">
        <v>2321</v>
      </c>
      <c r="E699">
        <v>5012</v>
      </c>
      <c r="F699" t="s">
        <v>23479</v>
      </c>
      <c r="G699">
        <v>7</v>
      </c>
      <c r="H699" t="s">
        <v>2327</v>
      </c>
      <c r="J699" t="s">
        <v>2484</v>
      </c>
      <c r="K699" t="s">
        <v>192</v>
      </c>
      <c r="L699" t="s">
        <v>80</v>
      </c>
      <c r="M699" t="s">
        <v>105</v>
      </c>
      <c r="N699" t="s">
        <v>2546</v>
      </c>
      <c r="O699" t="s">
        <v>2547</v>
      </c>
      <c r="P699" s="2" t="s">
        <v>165</v>
      </c>
      <c r="Q699" t="s">
        <v>641</v>
      </c>
      <c r="R699">
        <v>0</v>
      </c>
      <c r="S699">
        <v>2773.2</v>
      </c>
      <c r="T699" t="s">
        <v>167</v>
      </c>
    </row>
    <row r="700" spans="1:20" x14ac:dyDescent="0.25">
      <c r="A700" s="1" t="str">
        <f>HYPERLINK("https://vegkart.atlas.vegvesen.no/#/@296327.4,7044116.0,18/hva:hva%5B0%5D%5Bfilter%5D%5B0%5D%5Boperator%5D=%21%3D&amp;hva%5B0%5D%5Bfilter%5D%5B0%5D%5Btype_id%5D=5012&amp;hva%5B0%5D%5Bfilter%5D%5B0%5D%5Bverdi%5D=&amp;hva%5B0%5D%5Bid%5D=508/når:2025-10-20", "Vegkart")</f>
        <v>Vegkart</v>
      </c>
      <c r="B700">
        <v>348316606</v>
      </c>
      <c r="C700">
        <v>508</v>
      </c>
      <c r="D700" t="s">
        <v>2321</v>
      </c>
      <c r="E700">
        <v>5012</v>
      </c>
      <c r="F700" t="s">
        <v>23479</v>
      </c>
      <c r="G700">
        <v>6</v>
      </c>
      <c r="H700" t="s">
        <v>2370</v>
      </c>
      <c r="J700" t="s">
        <v>2548</v>
      </c>
      <c r="K700" t="s">
        <v>192</v>
      </c>
      <c r="L700" t="s">
        <v>80</v>
      </c>
      <c r="M700" t="s">
        <v>105</v>
      </c>
      <c r="N700" t="s">
        <v>2549</v>
      </c>
      <c r="O700" t="s">
        <v>2550</v>
      </c>
      <c r="P700" s="2" t="s">
        <v>37</v>
      </c>
      <c r="Q700" t="s">
        <v>1208</v>
      </c>
      <c r="R700">
        <v>5.95</v>
      </c>
      <c r="S700">
        <v>139.82</v>
      </c>
      <c r="T700" t="s">
        <v>2551</v>
      </c>
    </row>
    <row r="701" spans="1:20" x14ac:dyDescent="0.25">
      <c r="A701" s="1" t="str">
        <f>HYPERLINK("https://vegkart.atlas.vegvesen.no/#/@296348.4,7043844.2,18/hva:hva%5B0%5D%5Bfilter%5D%5B0%5D%5Boperator%5D=%21%3D&amp;hva%5B0%5D%5Bfilter%5D%5B0%5D%5Btype_id%5D=5012&amp;hva%5B0%5D%5Bfilter%5D%5B0%5D%5Bverdi%5D=&amp;hva%5B0%5D%5Bid%5D=508/når:2024-09-02", "Vegkart")</f>
        <v>Vegkart</v>
      </c>
      <c r="B701">
        <v>348316607</v>
      </c>
      <c r="C701">
        <v>508</v>
      </c>
      <c r="D701" t="s">
        <v>2321</v>
      </c>
      <c r="E701">
        <v>5012</v>
      </c>
      <c r="F701" t="s">
        <v>23479</v>
      </c>
      <c r="G701">
        <v>7</v>
      </c>
      <c r="H701" t="s">
        <v>2327</v>
      </c>
      <c r="J701" t="s">
        <v>2548</v>
      </c>
      <c r="K701" t="s">
        <v>192</v>
      </c>
      <c r="L701" t="s">
        <v>80</v>
      </c>
      <c r="M701" t="s">
        <v>105</v>
      </c>
      <c r="N701" t="s">
        <v>2552</v>
      </c>
      <c r="O701" t="s">
        <v>2553</v>
      </c>
      <c r="P701" s="2" t="s">
        <v>37</v>
      </c>
      <c r="Q701" t="s">
        <v>1208</v>
      </c>
      <c r="R701">
        <v>0</v>
      </c>
      <c r="S701">
        <v>967.53</v>
      </c>
      <c r="T701" t="s">
        <v>2554</v>
      </c>
    </row>
    <row r="702" spans="1:20" x14ac:dyDescent="0.25">
      <c r="A702" s="1" t="str">
        <f>HYPERLINK("https://vegkart.atlas.vegvesen.no/#/@296176.4,7043135.0,18/hva:hva%5B0%5D%5Bfilter%5D%5B0%5D%5Boperator%5D=%21%3D&amp;hva%5B0%5D%5Bfilter%5D%5B0%5D%5Btype_id%5D=5012&amp;hva%5B0%5D%5Bfilter%5D%5B0%5D%5Bverdi%5D=&amp;hva%5B0%5D%5Bid%5D=508/når:2024-09-02", "Vegkart")</f>
        <v>Vegkart</v>
      </c>
      <c r="B702">
        <v>348316608</v>
      </c>
      <c r="C702">
        <v>508</v>
      </c>
      <c r="D702" t="s">
        <v>2321</v>
      </c>
      <c r="E702">
        <v>5012</v>
      </c>
      <c r="F702" t="s">
        <v>23479</v>
      </c>
      <c r="G702">
        <v>5</v>
      </c>
      <c r="H702" t="s">
        <v>2327</v>
      </c>
      <c r="J702" t="s">
        <v>2548</v>
      </c>
      <c r="K702" t="s">
        <v>192</v>
      </c>
      <c r="L702" t="s">
        <v>80</v>
      </c>
      <c r="M702" t="s">
        <v>105</v>
      </c>
      <c r="N702" t="s">
        <v>2555</v>
      </c>
      <c r="O702" t="s">
        <v>2556</v>
      </c>
      <c r="P702" s="2" t="s">
        <v>67</v>
      </c>
      <c r="Q702" t="s">
        <v>68</v>
      </c>
      <c r="R702">
        <v>925.85</v>
      </c>
      <c r="S702">
        <v>947.98</v>
      </c>
      <c r="T702" t="s">
        <v>2557</v>
      </c>
    </row>
    <row r="703" spans="1:20" x14ac:dyDescent="0.25">
      <c r="A703" s="1" t="str">
        <f>HYPERLINK("https://vegkart.atlas.vegvesen.no/#/@296682.1,7044118.8,18/hva:hva%5B0%5D%5Bfilter%5D%5B0%5D%5Boperator%5D=%21%3D&amp;hva%5B0%5D%5Bfilter%5D%5B0%5D%5Btype_id%5D=5012&amp;hva%5B0%5D%5Bfilter%5D%5B0%5D%5Bverdi%5D=&amp;hva%5B0%5D%5Bid%5D=508/når:2024-09-02", "Vegkart")</f>
        <v>Vegkart</v>
      </c>
      <c r="B703">
        <v>349721892</v>
      </c>
      <c r="C703">
        <v>508</v>
      </c>
      <c r="D703" t="s">
        <v>2321</v>
      </c>
      <c r="E703">
        <v>5012</v>
      </c>
      <c r="F703" t="s">
        <v>23479</v>
      </c>
      <c r="G703">
        <v>4</v>
      </c>
      <c r="H703" t="s">
        <v>2327</v>
      </c>
      <c r="J703" t="s">
        <v>2548</v>
      </c>
      <c r="K703" t="s">
        <v>192</v>
      </c>
      <c r="L703" t="s">
        <v>80</v>
      </c>
      <c r="M703" t="s">
        <v>2436</v>
      </c>
      <c r="N703" t="s">
        <v>2558</v>
      </c>
      <c r="O703" t="s">
        <v>2559</v>
      </c>
      <c r="P703" s="2" t="s">
        <v>165</v>
      </c>
      <c r="Q703" t="s">
        <v>641</v>
      </c>
      <c r="R703">
        <v>383.77</v>
      </c>
      <c r="S703">
        <v>1317.71</v>
      </c>
      <c r="T703" t="s">
        <v>167</v>
      </c>
    </row>
    <row r="704" spans="1:20" x14ac:dyDescent="0.25">
      <c r="A704" s="1" t="str">
        <f>HYPERLINK("https://vegkart.atlas.vegvesen.no/#/@260116.6,7004776.1,18/hva:hva%5B0%5D%5Bfilter%5D%5B0%5D%5Boperator%5D=%21%3D&amp;hva%5B0%5D%5Bfilter%5D%5B0%5D%5Btype_id%5D=5012&amp;hva%5B0%5D%5Bfilter%5D%5B0%5D%5Bverdi%5D=&amp;hva%5B0%5D%5Bid%5D=508/når:2024-09-02", "Vegkart")</f>
        <v>Vegkart</v>
      </c>
      <c r="B704">
        <v>355556120</v>
      </c>
      <c r="C704">
        <v>508</v>
      </c>
      <c r="D704" t="s">
        <v>2321</v>
      </c>
      <c r="E704">
        <v>5012</v>
      </c>
      <c r="F704" t="s">
        <v>23479</v>
      </c>
      <c r="G704">
        <v>5</v>
      </c>
      <c r="H704" t="s">
        <v>2327</v>
      </c>
      <c r="J704" t="s">
        <v>2548</v>
      </c>
      <c r="K704" t="s">
        <v>192</v>
      </c>
      <c r="L704" t="s">
        <v>80</v>
      </c>
      <c r="M704" t="s">
        <v>105</v>
      </c>
      <c r="N704" t="s">
        <v>2560</v>
      </c>
      <c r="O704" t="s">
        <v>2561</v>
      </c>
      <c r="P704" s="2" t="s">
        <v>67</v>
      </c>
      <c r="Q704" t="s">
        <v>68</v>
      </c>
      <c r="R704">
        <v>81.98</v>
      </c>
      <c r="S704">
        <v>82.01</v>
      </c>
      <c r="T704" t="s">
        <v>2562</v>
      </c>
    </row>
    <row r="705" spans="1:20" x14ac:dyDescent="0.25">
      <c r="A705" s="1" t="str">
        <f>HYPERLINK("https://vegkart.atlas.vegvesen.no/#/@221574.6,6922688.0,18/hva:hva%5B0%5D%5Bfilter%5D%5B0%5D%5Boperator%5D=%21%3D&amp;hva%5B0%5D%5Bfilter%5D%5B0%5D%5Btype_id%5D=5012&amp;hva%5B0%5D%5Bfilter%5D%5B0%5D%5Bverdi%5D=&amp;hva%5B0%5D%5Bid%5D=508/når:2024-09-02", "Vegkart")</f>
        <v>Vegkart</v>
      </c>
      <c r="B705">
        <v>355572694</v>
      </c>
      <c r="C705">
        <v>508</v>
      </c>
      <c r="D705" t="s">
        <v>2321</v>
      </c>
      <c r="E705">
        <v>5012</v>
      </c>
      <c r="F705" t="s">
        <v>23479</v>
      </c>
      <c r="G705">
        <v>7</v>
      </c>
      <c r="H705" t="s">
        <v>2327</v>
      </c>
      <c r="J705" t="s">
        <v>2548</v>
      </c>
      <c r="K705" t="s">
        <v>192</v>
      </c>
      <c r="L705" t="s">
        <v>80</v>
      </c>
      <c r="M705" t="s">
        <v>105</v>
      </c>
      <c r="N705" t="s">
        <v>2563</v>
      </c>
      <c r="O705" t="s">
        <v>2564</v>
      </c>
      <c r="P705" s="2" t="s">
        <v>67</v>
      </c>
      <c r="Q705" t="s">
        <v>68</v>
      </c>
      <c r="R705">
        <v>26.88</v>
      </c>
      <c r="S705">
        <v>132.97</v>
      </c>
      <c r="T705" t="s">
        <v>2565</v>
      </c>
    </row>
    <row r="706" spans="1:20" x14ac:dyDescent="0.25">
      <c r="A706" s="1" t="str">
        <f>HYPERLINK("https://vegkart.atlas.vegvesen.no/#/@260665.0,6997602.4,18/hva:hva%5B0%5D%5Bfilter%5D%5B0%5D%5Boperator%5D=%21%3D&amp;hva%5B0%5D%5Bfilter%5D%5B0%5D%5Btype_id%5D=5012&amp;hva%5B0%5D%5Bfilter%5D%5B0%5D%5Bverdi%5D=&amp;hva%5B0%5D%5Bid%5D=508/når:2024-09-02", "Vegkart")</f>
        <v>Vegkart</v>
      </c>
      <c r="B706">
        <v>355799516</v>
      </c>
      <c r="C706">
        <v>508</v>
      </c>
      <c r="D706" t="s">
        <v>2321</v>
      </c>
      <c r="E706">
        <v>5012</v>
      </c>
      <c r="F706" t="s">
        <v>23479</v>
      </c>
      <c r="G706">
        <v>5</v>
      </c>
      <c r="H706" t="s">
        <v>2327</v>
      </c>
      <c r="J706" t="s">
        <v>2548</v>
      </c>
      <c r="K706" t="s">
        <v>192</v>
      </c>
      <c r="L706" t="s">
        <v>80</v>
      </c>
      <c r="M706" t="s">
        <v>105</v>
      </c>
      <c r="N706" t="s">
        <v>2566</v>
      </c>
      <c r="O706" t="s">
        <v>2567</v>
      </c>
      <c r="P706" s="2" t="s">
        <v>67</v>
      </c>
      <c r="Q706" t="s">
        <v>68</v>
      </c>
      <c r="R706">
        <v>273.02</v>
      </c>
      <c r="S706">
        <v>274.23</v>
      </c>
      <c r="T706" t="s">
        <v>2568</v>
      </c>
    </row>
    <row r="707" spans="1:20" x14ac:dyDescent="0.25">
      <c r="A707" s="1" t="str">
        <f>HYPERLINK("https://vegkart.atlas.vegvesen.no/#/@296508.5,7044114.2,18/hva:hva%5B0%5D%5Bfilter%5D%5B0%5D%5Boperator%5D=%21%3D&amp;hva%5B0%5D%5Bfilter%5D%5B0%5D%5Btype_id%5D=5012&amp;hva%5B0%5D%5Bfilter%5D%5B0%5D%5Bverdi%5D=&amp;hva%5B0%5D%5Bid%5D=508/når:2024-09-02", "Vegkart")</f>
        <v>Vegkart</v>
      </c>
      <c r="B707">
        <v>424874348</v>
      </c>
      <c r="C707">
        <v>508</v>
      </c>
      <c r="D707" t="s">
        <v>2321</v>
      </c>
      <c r="E707">
        <v>5012</v>
      </c>
      <c r="F707" t="s">
        <v>23479</v>
      </c>
      <c r="G707">
        <v>8</v>
      </c>
      <c r="H707" t="s">
        <v>2327</v>
      </c>
      <c r="J707" t="s">
        <v>2548</v>
      </c>
      <c r="K707" t="s">
        <v>192</v>
      </c>
      <c r="L707" t="s">
        <v>80</v>
      </c>
      <c r="M707" t="s">
        <v>2436</v>
      </c>
      <c r="N707" t="s">
        <v>2569</v>
      </c>
      <c r="O707" t="s">
        <v>2570</v>
      </c>
      <c r="P707" s="2" t="s">
        <v>37</v>
      </c>
      <c r="Q707" t="s">
        <v>1208</v>
      </c>
      <c r="R707">
        <v>17.03</v>
      </c>
      <c r="S707">
        <v>85.73</v>
      </c>
      <c r="T707" t="s">
        <v>2571</v>
      </c>
    </row>
    <row r="708" spans="1:20" x14ac:dyDescent="0.25">
      <c r="A708" s="1" t="str">
        <f>HYPERLINK("https://vegkart.atlas.vegvesen.no/#/@275706.7,7041054.8,18/hva:hva%5B0%5D%5Bfilter%5D%5B0%5D%5Boperator%5D=%21%3D&amp;hva%5B0%5D%5Bfilter%5D%5B0%5D%5Btype_id%5D=5012&amp;hva%5B0%5D%5Bfilter%5D%5B0%5D%5Bverdi%5D=&amp;hva%5B0%5D%5Bid%5D=508/når:2024-09-04", "Vegkart")</f>
        <v>Vegkart</v>
      </c>
      <c r="B708">
        <v>587703568</v>
      </c>
      <c r="C708">
        <v>508</v>
      </c>
      <c r="D708" t="s">
        <v>2321</v>
      </c>
      <c r="E708">
        <v>5012</v>
      </c>
      <c r="F708" t="s">
        <v>23479</v>
      </c>
      <c r="G708">
        <v>5</v>
      </c>
      <c r="H708" t="s">
        <v>2572</v>
      </c>
      <c r="J708" t="s">
        <v>2548</v>
      </c>
      <c r="K708" t="s">
        <v>192</v>
      </c>
      <c r="L708" t="s">
        <v>33</v>
      </c>
      <c r="M708" t="s">
        <v>2573</v>
      </c>
      <c r="N708" t="s">
        <v>2574</v>
      </c>
      <c r="O708" t="s">
        <v>2575</v>
      </c>
      <c r="P708" s="2" t="s">
        <v>67</v>
      </c>
      <c r="Q708" t="s">
        <v>68</v>
      </c>
      <c r="R708">
        <v>1510.81</v>
      </c>
      <c r="S708">
        <v>1520.03</v>
      </c>
      <c r="T708" t="s">
        <v>2576</v>
      </c>
    </row>
    <row r="709" spans="1:20" x14ac:dyDescent="0.25">
      <c r="A709" s="1" t="str">
        <f>HYPERLINK("https://vegkart.atlas.vegvesen.no/#/@269923.6,7038137.0,18/hva:hva%5B0%5D%5Bfilter%5D%5B0%5D%5Boperator%5D=%21%3D&amp;hva%5B0%5D%5Bfilter%5D%5B0%5D%5Btype_id%5D=5012&amp;hva%5B0%5D%5Bfilter%5D%5B0%5D%5Bverdi%5D=&amp;hva%5B0%5D%5Bid%5D=508/når:2024-09-04", "Vegkart")</f>
        <v>Vegkart</v>
      </c>
      <c r="B709">
        <v>588032698</v>
      </c>
      <c r="C709">
        <v>508</v>
      </c>
      <c r="D709" t="s">
        <v>2321</v>
      </c>
      <c r="E709">
        <v>5012</v>
      </c>
      <c r="F709" t="s">
        <v>23479</v>
      </c>
      <c r="G709">
        <v>7</v>
      </c>
      <c r="H709" t="s">
        <v>2572</v>
      </c>
      <c r="J709" t="s">
        <v>2548</v>
      </c>
      <c r="K709" t="s">
        <v>192</v>
      </c>
      <c r="L709" t="s">
        <v>113</v>
      </c>
      <c r="M709" t="s">
        <v>2577</v>
      </c>
      <c r="N709" t="s">
        <v>2578</v>
      </c>
      <c r="O709" t="s">
        <v>2579</v>
      </c>
      <c r="P709" s="2" t="s">
        <v>26</v>
      </c>
      <c r="Q709" t="s">
        <v>50</v>
      </c>
      <c r="R709">
        <v>15.86</v>
      </c>
      <c r="S709">
        <v>15.86</v>
      </c>
      <c r="T709" t="s">
        <v>2580</v>
      </c>
    </row>
    <row r="710" spans="1:20" x14ac:dyDescent="0.25">
      <c r="A710" s="1" t="str">
        <f>HYPERLINK("https://vegkart.atlas.vegvesen.no/#/@74385.2,6956266.3,18/hva:hva%5B0%5D%5Bfilter%5D%5B0%5D%5Boperator%5D=%21%3D&amp;hva%5B0%5D%5Bfilter%5D%5B0%5D%5Btype_id%5D=5012&amp;hva%5B0%5D%5Bfilter%5D%5B0%5D%5Bverdi%5D=&amp;hva%5B0%5D%5Bid%5D=508/når:2024-08-26", "Vegkart")</f>
        <v>Vegkart</v>
      </c>
      <c r="B710">
        <v>589774862</v>
      </c>
      <c r="C710">
        <v>508</v>
      </c>
      <c r="D710" t="s">
        <v>2321</v>
      </c>
      <c r="E710">
        <v>5012</v>
      </c>
      <c r="F710" t="s">
        <v>23479</v>
      </c>
      <c r="G710">
        <v>2</v>
      </c>
      <c r="H710" t="s">
        <v>2581</v>
      </c>
      <c r="J710" t="s">
        <v>2548</v>
      </c>
      <c r="K710" t="s">
        <v>32</v>
      </c>
      <c r="L710" t="s">
        <v>33</v>
      </c>
      <c r="M710" t="s">
        <v>2582</v>
      </c>
      <c r="N710" t="s">
        <v>2583</v>
      </c>
      <c r="O710" t="s">
        <v>2584</v>
      </c>
      <c r="P710" s="2" t="s">
        <v>67</v>
      </c>
      <c r="Q710" t="s">
        <v>68</v>
      </c>
      <c r="R710">
        <v>22.6</v>
      </c>
      <c r="S710">
        <v>22.69</v>
      </c>
      <c r="T710" t="s">
        <v>2585</v>
      </c>
    </row>
    <row r="711" spans="1:20" x14ac:dyDescent="0.25">
      <c r="A711" s="1" t="str">
        <f>HYPERLINK("https://vegkart.atlas.vegvesen.no/#/@397926.0,7182166.9,18/hva:hva%5B0%5D%5Bfilter%5D%5B0%5D%5Boperator%5D=%21%3D&amp;hva%5B0%5D%5Bfilter%5D%5B0%5D%5Btype_id%5D=5012&amp;hva%5B0%5D%5Bfilter%5D%5B0%5D%5Bverdi%5D=&amp;hva%5B0%5D%5Bid%5D=508/når:2024-09-02", "Vegkart")</f>
        <v>Vegkart</v>
      </c>
      <c r="B711">
        <v>591461817</v>
      </c>
      <c r="C711">
        <v>508</v>
      </c>
      <c r="D711" t="s">
        <v>2321</v>
      </c>
      <c r="E711">
        <v>5012</v>
      </c>
      <c r="F711" t="s">
        <v>23479</v>
      </c>
      <c r="G711">
        <v>3</v>
      </c>
      <c r="H711" t="s">
        <v>2327</v>
      </c>
      <c r="J711" t="s">
        <v>2548</v>
      </c>
      <c r="K711" t="s">
        <v>192</v>
      </c>
      <c r="L711" t="s">
        <v>80</v>
      </c>
      <c r="M711" t="s">
        <v>105</v>
      </c>
      <c r="N711" t="s">
        <v>2586</v>
      </c>
      <c r="O711" t="s">
        <v>2587</v>
      </c>
      <c r="P711" s="2" t="s">
        <v>67</v>
      </c>
      <c r="Q711" t="s">
        <v>68</v>
      </c>
      <c r="R711">
        <v>35.729999999999997</v>
      </c>
      <c r="S711">
        <v>35.74</v>
      </c>
      <c r="T711" t="s">
        <v>2588</v>
      </c>
    </row>
    <row r="712" spans="1:20" x14ac:dyDescent="0.25">
      <c r="A712" s="1" t="str">
        <f>HYPERLINK("https://vegkart.atlas.vegvesen.no/#/@295495.4,7046078.2,18/hva:hva%5B0%5D%5Bfilter%5D%5B0%5D%5Boperator%5D=%21%3D&amp;hva%5B0%5D%5Bfilter%5D%5B0%5D%5Btype_id%5D=5012&amp;hva%5B0%5D%5Bfilter%5D%5B0%5D%5Bverdi%5D=&amp;hva%5B0%5D%5Bid%5D=508/når:2025-10-20", "Vegkart")</f>
        <v>Vegkart</v>
      </c>
      <c r="B712">
        <v>592546999</v>
      </c>
      <c r="C712">
        <v>508</v>
      </c>
      <c r="D712" t="s">
        <v>2321</v>
      </c>
      <c r="E712">
        <v>5012</v>
      </c>
      <c r="F712" t="s">
        <v>23479</v>
      </c>
      <c r="G712">
        <v>12</v>
      </c>
      <c r="H712" t="s">
        <v>2370</v>
      </c>
      <c r="J712" t="s">
        <v>2548</v>
      </c>
      <c r="K712" t="s">
        <v>192</v>
      </c>
      <c r="L712" t="s">
        <v>80</v>
      </c>
      <c r="M712" t="s">
        <v>105</v>
      </c>
      <c r="N712" t="s">
        <v>2589</v>
      </c>
      <c r="O712" t="s">
        <v>2590</v>
      </c>
      <c r="P712" s="2" t="s">
        <v>165</v>
      </c>
      <c r="Q712" t="s">
        <v>641</v>
      </c>
      <c r="R712">
        <v>729.56</v>
      </c>
      <c r="S712">
        <v>4102.67</v>
      </c>
      <c r="T712" t="s">
        <v>167</v>
      </c>
    </row>
    <row r="713" spans="1:20" x14ac:dyDescent="0.25">
      <c r="A713" s="1" t="str">
        <f>HYPERLINK("https://vegkart.atlas.vegvesen.no/#/@269012.4,7042041.0,18/hva:hva%5B0%5D%5Bfilter%5D%5B0%5D%5Boperator%5D=%21%3D&amp;hva%5B0%5D%5Bfilter%5D%5B0%5D%5Btype_id%5D=5012&amp;hva%5B0%5D%5Bfilter%5D%5B0%5D%5Bverdi%5D=&amp;hva%5B0%5D%5Bid%5D=508/når:2024-09-03", "Vegkart")</f>
        <v>Vegkart</v>
      </c>
      <c r="B713">
        <v>592568195</v>
      </c>
      <c r="C713">
        <v>508</v>
      </c>
      <c r="D713" t="s">
        <v>2321</v>
      </c>
      <c r="E713">
        <v>5012</v>
      </c>
      <c r="F713" t="s">
        <v>23479</v>
      </c>
      <c r="G713">
        <v>7</v>
      </c>
      <c r="H713" t="s">
        <v>2591</v>
      </c>
      <c r="J713" t="s">
        <v>2548</v>
      </c>
      <c r="K713" t="s">
        <v>192</v>
      </c>
      <c r="L713" t="s">
        <v>113</v>
      </c>
      <c r="M713" t="s">
        <v>2577</v>
      </c>
      <c r="N713" t="s">
        <v>2592</v>
      </c>
      <c r="O713" t="s">
        <v>2593</v>
      </c>
      <c r="P713" s="2" t="s">
        <v>67</v>
      </c>
      <c r="Q713" t="s">
        <v>68</v>
      </c>
      <c r="R713">
        <v>265.08999999999997</v>
      </c>
      <c r="S713">
        <v>270.27</v>
      </c>
      <c r="T713" t="s">
        <v>2594</v>
      </c>
    </row>
    <row r="714" spans="1:20" x14ac:dyDescent="0.25">
      <c r="A714" s="1" t="str">
        <f>HYPERLINK("https://vegkart.atlas.vegvesen.no/#/@283774.1,7040421.8,18/hva:hva%5B0%5D%5Bfilter%5D%5B0%5D%5Boperator%5D=%21%3D&amp;hva%5B0%5D%5Bfilter%5D%5B0%5D%5Btype_id%5D=5012&amp;hva%5B0%5D%5Bfilter%5D%5B0%5D%5Bverdi%5D=&amp;hva%5B0%5D%5Bid%5D=508/når:2024-09-02", "Vegkart")</f>
        <v>Vegkart</v>
      </c>
      <c r="B714">
        <v>593031690</v>
      </c>
      <c r="C714">
        <v>508</v>
      </c>
      <c r="D714" t="s">
        <v>2321</v>
      </c>
      <c r="E714">
        <v>5012</v>
      </c>
      <c r="F714" t="s">
        <v>23479</v>
      </c>
      <c r="G714">
        <v>3</v>
      </c>
      <c r="H714" t="s">
        <v>2327</v>
      </c>
      <c r="J714" t="s">
        <v>2548</v>
      </c>
      <c r="K714" t="s">
        <v>192</v>
      </c>
      <c r="L714" t="s">
        <v>80</v>
      </c>
      <c r="M714" t="s">
        <v>105</v>
      </c>
      <c r="N714" t="s">
        <v>2595</v>
      </c>
      <c r="O714" t="s">
        <v>2596</v>
      </c>
      <c r="P714" s="2" t="s">
        <v>67</v>
      </c>
      <c r="Q714" t="s">
        <v>68</v>
      </c>
      <c r="R714">
        <v>471.37</v>
      </c>
      <c r="S714">
        <v>473.45</v>
      </c>
      <c r="T714" t="s">
        <v>2597</v>
      </c>
    </row>
    <row r="715" spans="1:20" x14ac:dyDescent="0.25">
      <c r="A715" s="1" t="str">
        <f>HYPERLINK("https://vegkart.atlas.vegvesen.no/#/@281970.3,7040120.2,18/hva:hva%5B0%5D%5Bfilter%5D%5B0%5D%5Boperator%5D=%21%3D&amp;hva%5B0%5D%5Bfilter%5D%5B0%5D%5Btype_id%5D=5012&amp;hva%5B0%5D%5Bfilter%5D%5B0%5D%5Bverdi%5D=&amp;hva%5B0%5D%5Bid%5D=508/når:2024-09-02", "Vegkart")</f>
        <v>Vegkart</v>
      </c>
      <c r="B715">
        <v>593031729</v>
      </c>
      <c r="C715">
        <v>508</v>
      </c>
      <c r="D715" t="s">
        <v>2321</v>
      </c>
      <c r="E715">
        <v>5012</v>
      </c>
      <c r="F715" t="s">
        <v>23479</v>
      </c>
      <c r="G715">
        <v>3</v>
      </c>
      <c r="H715" t="s">
        <v>2327</v>
      </c>
      <c r="J715" t="s">
        <v>2548</v>
      </c>
      <c r="K715" t="s">
        <v>192</v>
      </c>
      <c r="L715" t="s">
        <v>80</v>
      </c>
      <c r="M715" t="s">
        <v>105</v>
      </c>
      <c r="N715" t="s">
        <v>2598</v>
      </c>
      <c r="O715" t="s">
        <v>2599</v>
      </c>
      <c r="P715" s="2" t="s">
        <v>67</v>
      </c>
      <c r="Q715" t="s">
        <v>68</v>
      </c>
      <c r="R715">
        <v>1111.7</v>
      </c>
      <c r="S715">
        <v>1135.29</v>
      </c>
      <c r="T715" t="s">
        <v>2600</v>
      </c>
    </row>
    <row r="716" spans="1:20" x14ac:dyDescent="0.25">
      <c r="A716" s="1" t="str">
        <f>HYPERLINK("https://vegkart.atlas.vegvesen.no/#/@269051.2,7035005.2,18/hva:hva%5B0%5D%5Bfilter%5D%5B0%5D%5Boperator%5D=%21%3D&amp;hva%5B0%5D%5Bfilter%5D%5B0%5D%5Btype_id%5D=5012&amp;hva%5B0%5D%5Bfilter%5D%5B0%5D%5Bverdi%5D=&amp;hva%5B0%5D%5Bid%5D=508/når:2024-09-02", "Vegkart")</f>
        <v>Vegkart</v>
      </c>
      <c r="B716">
        <v>594207874</v>
      </c>
      <c r="C716">
        <v>508</v>
      </c>
      <c r="D716" t="s">
        <v>2321</v>
      </c>
      <c r="E716">
        <v>5012</v>
      </c>
      <c r="F716" t="s">
        <v>23479</v>
      </c>
      <c r="G716">
        <v>4</v>
      </c>
      <c r="H716" t="s">
        <v>2327</v>
      </c>
      <c r="J716" t="s">
        <v>2548</v>
      </c>
      <c r="K716" t="s">
        <v>192</v>
      </c>
      <c r="L716" t="s">
        <v>80</v>
      </c>
      <c r="M716" t="s">
        <v>105</v>
      </c>
      <c r="N716" t="s">
        <v>2601</v>
      </c>
      <c r="O716" t="s">
        <v>2602</v>
      </c>
      <c r="P716" s="2" t="s">
        <v>67</v>
      </c>
      <c r="Q716" t="s">
        <v>68</v>
      </c>
      <c r="R716">
        <v>338.45</v>
      </c>
      <c r="S716">
        <v>339.56</v>
      </c>
      <c r="T716" t="s">
        <v>2603</v>
      </c>
    </row>
    <row r="717" spans="1:20" x14ac:dyDescent="0.25">
      <c r="A717" s="1" t="str">
        <f>HYPERLINK("https://vegkart.atlas.vegvesen.no/#/@285350.6,7040527.6,18/hva:hva%5B0%5D%5Bfilter%5D%5B0%5D%5Boperator%5D=%21%3D&amp;hva%5B0%5D%5Bfilter%5D%5B0%5D%5Btype_id%5D=5012&amp;hva%5B0%5D%5Bfilter%5D%5B0%5D%5Bverdi%5D=&amp;hva%5B0%5D%5Bid%5D=508/når:2024-09-02", "Vegkart")</f>
        <v>Vegkart</v>
      </c>
      <c r="B717">
        <v>594215830</v>
      </c>
      <c r="C717">
        <v>508</v>
      </c>
      <c r="D717" t="s">
        <v>2321</v>
      </c>
      <c r="E717">
        <v>5012</v>
      </c>
      <c r="F717" t="s">
        <v>23479</v>
      </c>
      <c r="G717">
        <v>3</v>
      </c>
      <c r="H717" t="s">
        <v>2327</v>
      </c>
      <c r="J717" t="s">
        <v>2548</v>
      </c>
      <c r="K717" t="s">
        <v>192</v>
      </c>
      <c r="L717" t="s">
        <v>80</v>
      </c>
      <c r="M717" t="s">
        <v>105</v>
      </c>
      <c r="N717" t="s">
        <v>2604</v>
      </c>
      <c r="O717" t="s">
        <v>2605</v>
      </c>
      <c r="P717" s="2" t="s">
        <v>165</v>
      </c>
      <c r="Q717" t="s">
        <v>641</v>
      </c>
      <c r="R717">
        <v>0</v>
      </c>
      <c r="S717">
        <v>2622.72</v>
      </c>
      <c r="T717" t="s">
        <v>167</v>
      </c>
    </row>
    <row r="718" spans="1:20" x14ac:dyDescent="0.25">
      <c r="A718" s="1" t="str">
        <f>HYPERLINK("https://vegkart.atlas.vegvesen.no/#/@269495.9,7037478.2,18/hva:hva%5B0%5D%5Bfilter%5D%5B0%5D%5Boperator%5D=%21%3D&amp;hva%5B0%5D%5Bfilter%5D%5B0%5D%5Btype_id%5D=5012&amp;hva%5B0%5D%5Bfilter%5D%5B0%5D%5Bverdi%5D=&amp;hva%5B0%5D%5Bid%5D=508/når:2024-09-02", "Vegkart")</f>
        <v>Vegkart</v>
      </c>
      <c r="B718">
        <v>594361511</v>
      </c>
      <c r="C718">
        <v>508</v>
      </c>
      <c r="D718" t="s">
        <v>2321</v>
      </c>
      <c r="E718">
        <v>5012</v>
      </c>
      <c r="F718" t="s">
        <v>23479</v>
      </c>
      <c r="G718">
        <v>4</v>
      </c>
      <c r="H718" t="s">
        <v>2327</v>
      </c>
      <c r="J718" t="s">
        <v>2548</v>
      </c>
      <c r="K718" t="s">
        <v>192</v>
      </c>
      <c r="L718" t="s">
        <v>80</v>
      </c>
      <c r="M718" t="s">
        <v>105</v>
      </c>
      <c r="N718" t="s">
        <v>2606</v>
      </c>
      <c r="O718" t="s">
        <v>2607</v>
      </c>
      <c r="P718" s="2" t="s">
        <v>67</v>
      </c>
      <c r="Q718" t="s">
        <v>68</v>
      </c>
      <c r="R718">
        <v>287.16000000000003</v>
      </c>
      <c r="S718">
        <v>297.75</v>
      </c>
      <c r="T718" t="s">
        <v>2608</v>
      </c>
    </row>
    <row r="719" spans="1:20" x14ac:dyDescent="0.25">
      <c r="A719" s="1" t="str">
        <f>HYPERLINK("https://vegkart.atlas.vegvesen.no/#/@269016.3,7035675.3,18/hva:hva%5B0%5D%5Bfilter%5D%5B0%5D%5Boperator%5D=%21%3D&amp;hva%5B0%5D%5Bfilter%5D%5B0%5D%5Btype_id%5D=5012&amp;hva%5B0%5D%5Bfilter%5D%5B0%5D%5Bverdi%5D=&amp;hva%5B0%5D%5Bid%5D=508/når:2024-09-02", "Vegkart")</f>
        <v>Vegkart</v>
      </c>
      <c r="B719">
        <v>594937232</v>
      </c>
      <c r="C719">
        <v>508</v>
      </c>
      <c r="D719" t="s">
        <v>2321</v>
      </c>
      <c r="E719">
        <v>5012</v>
      </c>
      <c r="F719" t="s">
        <v>23479</v>
      </c>
      <c r="G719">
        <v>3</v>
      </c>
      <c r="H719" t="s">
        <v>2327</v>
      </c>
      <c r="J719" t="s">
        <v>2548</v>
      </c>
      <c r="K719" t="s">
        <v>192</v>
      </c>
      <c r="L719" t="s">
        <v>80</v>
      </c>
      <c r="M719" t="s">
        <v>105</v>
      </c>
      <c r="N719" t="s">
        <v>2609</v>
      </c>
      <c r="O719" t="s">
        <v>2610</v>
      </c>
      <c r="P719" s="2" t="s">
        <v>67</v>
      </c>
      <c r="Q719" t="s">
        <v>68</v>
      </c>
      <c r="R719">
        <v>78.87</v>
      </c>
      <c r="S719">
        <v>78.88</v>
      </c>
      <c r="T719" t="s">
        <v>2611</v>
      </c>
    </row>
    <row r="720" spans="1:20" x14ac:dyDescent="0.25">
      <c r="A720" s="1" t="str">
        <f>HYPERLINK("https://vegkart.atlas.vegvesen.no/#/@291492.2,7038502.4,18/hva:hva%5B0%5D%5Bfilter%5D%5B0%5D%5Boperator%5D=%21%3D&amp;hva%5B0%5D%5Bfilter%5D%5B0%5D%5Btype_id%5D=5012&amp;hva%5B0%5D%5Bfilter%5D%5B0%5D%5Bverdi%5D=&amp;hva%5B0%5D%5Bid%5D=508/når:2024-09-02", "Vegkart")</f>
        <v>Vegkart</v>
      </c>
      <c r="B720">
        <v>595272340</v>
      </c>
      <c r="C720">
        <v>508</v>
      </c>
      <c r="D720" t="s">
        <v>2321</v>
      </c>
      <c r="E720">
        <v>5012</v>
      </c>
      <c r="F720" t="s">
        <v>23479</v>
      </c>
      <c r="G720">
        <v>6</v>
      </c>
      <c r="H720" t="s">
        <v>2327</v>
      </c>
      <c r="J720" t="s">
        <v>2548</v>
      </c>
      <c r="K720" t="s">
        <v>192</v>
      </c>
      <c r="L720" t="s">
        <v>80</v>
      </c>
      <c r="M720" t="s">
        <v>105</v>
      </c>
      <c r="N720" t="s">
        <v>2612</v>
      </c>
      <c r="O720" t="s">
        <v>2613</v>
      </c>
      <c r="P720" s="2" t="s">
        <v>67</v>
      </c>
      <c r="Q720" t="s">
        <v>68</v>
      </c>
      <c r="R720">
        <v>876.01</v>
      </c>
      <c r="S720">
        <v>883.04</v>
      </c>
      <c r="T720" t="s">
        <v>2614</v>
      </c>
    </row>
    <row r="721" spans="1:20" x14ac:dyDescent="0.25">
      <c r="A721" s="1" t="str">
        <f>HYPERLINK("https://vegkart.atlas.vegvesen.no/#/@286896.6,7039945.9,18/hva:hva%5B0%5D%5Bfilter%5D%5B0%5D%5Boperator%5D=%21%3D&amp;hva%5B0%5D%5Bfilter%5D%5B0%5D%5Btype_id%5D=5012&amp;hva%5B0%5D%5Bfilter%5D%5B0%5D%5Bverdi%5D=&amp;hva%5B0%5D%5Bid%5D=508/når:2024-09-02", "Vegkart")</f>
        <v>Vegkart</v>
      </c>
      <c r="B721">
        <v>597126447</v>
      </c>
      <c r="C721">
        <v>508</v>
      </c>
      <c r="D721" t="s">
        <v>2321</v>
      </c>
      <c r="E721">
        <v>5012</v>
      </c>
      <c r="F721" t="s">
        <v>23479</v>
      </c>
      <c r="G721">
        <v>6</v>
      </c>
      <c r="H721" t="s">
        <v>2327</v>
      </c>
      <c r="J721" t="s">
        <v>2548</v>
      </c>
      <c r="K721" t="s">
        <v>192</v>
      </c>
      <c r="L721" t="s">
        <v>80</v>
      </c>
      <c r="M721" t="s">
        <v>105</v>
      </c>
      <c r="N721" t="s">
        <v>2615</v>
      </c>
      <c r="O721" t="s">
        <v>2616</v>
      </c>
      <c r="P721" s="2" t="s">
        <v>67</v>
      </c>
      <c r="Q721" t="s">
        <v>68</v>
      </c>
      <c r="R721">
        <v>393.18</v>
      </c>
      <c r="S721">
        <v>400.53</v>
      </c>
      <c r="T721" t="s">
        <v>2617</v>
      </c>
    </row>
    <row r="722" spans="1:20" x14ac:dyDescent="0.25">
      <c r="A722" s="1" t="str">
        <f>HYPERLINK("https://vegkart.atlas.vegvesen.no/#/@172876.6,6586383.4,18/hva:hva%5B0%5D%5Bfilter%5D%5B0%5D%5Boperator%5D=%21%3D&amp;hva%5B0%5D%5Bfilter%5D%5B0%5D%5Btype_id%5D=5012&amp;hva%5B0%5D%5Bfilter%5D%5B0%5D%5Bverdi%5D=&amp;hva%5B0%5D%5Bid%5D=508/når:2024-10-23", "Vegkart")</f>
        <v>Vegkart</v>
      </c>
      <c r="B722">
        <v>620337612</v>
      </c>
      <c r="C722">
        <v>508</v>
      </c>
      <c r="D722" t="s">
        <v>2321</v>
      </c>
      <c r="E722">
        <v>5012</v>
      </c>
      <c r="F722" t="s">
        <v>23479</v>
      </c>
      <c r="G722">
        <v>3</v>
      </c>
      <c r="H722" t="s">
        <v>2375</v>
      </c>
      <c r="J722" t="s">
        <v>2548</v>
      </c>
      <c r="K722" t="s">
        <v>197</v>
      </c>
      <c r="L722" t="s">
        <v>113</v>
      </c>
      <c r="M722" t="s">
        <v>2618</v>
      </c>
      <c r="N722" t="s">
        <v>2619</v>
      </c>
      <c r="O722" t="s">
        <v>2620</v>
      </c>
      <c r="P722" s="2" t="s">
        <v>67</v>
      </c>
      <c r="Q722" t="s">
        <v>68</v>
      </c>
      <c r="R722">
        <v>550.26</v>
      </c>
      <c r="S722">
        <v>565.33000000000004</v>
      </c>
      <c r="T722" t="s">
        <v>2621</v>
      </c>
    </row>
    <row r="723" spans="1:20" x14ac:dyDescent="0.25">
      <c r="A723" s="1" t="str">
        <f>HYPERLINK("https://vegkart.atlas.vegvesen.no/#/@178555.3,6582130.7,18/hva:hva%5B0%5D%5Bfilter%5D%5B0%5D%5Boperator%5D=%21%3D&amp;hva%5B0%5D%5Bfilter%5D%5B0%5D%5Btype_id%5D=5012&amp;hva%5B0%5D%5Bfilter%5D%5B0%5D%5Bverdi%5D=&amp;hva%5B0%5D%5Bid%5D=508/når:2024-10-23", "Vegkart")</f>
        <v>Vegkart</v>
      </c>
      <c r="B723">
        <v>620337614</v>
      </c>
      <c r="C723">
        <v>508</v>
      </c>
      <c r="D723" t="s">
        <v>2321</v>
      </c>
      <c r="E723">
        <v>5012</v>
      </c>
      <c r="F723" t="s">
        <v>23479</v>
      </c>
      <c r="G723">
        <v>2</v>
      </c>
      <c r="H723" t="s">
        <v>2375</v>
      </c>
      <c r="J723" t="s">
        <v>2548</v>
      </c>
      <c r="K723" t="s">
        <v>197</v>
      </c>
      <c r="L723" t="s">
        <v>113</v>
      </c>
      <c r="M723" t="s">
        <v>2618</v>
      </c>
      <c r="N723" t="s">
        <v>2622</v>
      </c>
      <c r="O723" t="s">
        <v>2623</v>
      </c>
      <c r="P723" s="2" t="s">
        <v>67</v>
      </c>
      <c r="Q723" t="s">
        <v>68</v>
      </c>
      <c r="R723">
        <v>62.69</v>
      </c>
      <c r="S723">
        <v>62.76</v>
      </c>
      <c r="T723" t="s">
        <v>2624</v>
      </c>
    </row>
    <row r="724" spans="1:20" x14ac:dyDescent="0.25">
      <c r="A724" s="1" t="str">
        <f>HYPERLINK("https://vegkart.atlas.vegvesen.no/#/@178715.4,6581601.9,18/hva:hva%5B0%5D%5Bfilter%5D%5B0%5D%5Boperator%5D=%21%3D&amp;hva%5B0%5D%5Bfilter%5D%5B0%5D%5Btype_id%5D=5012&amp;hva%5B0%5D%5Bfilter%5D%5B0%5D%5Bverdi%5D=&amp;hva%5B0%5D%5Bid%5D=508/når:2024-10-23", "Vegkart")</f>
        <v>Vegkart</v>
      </c>
      <c r="B724">
        <v>620337615</v>
      </c>
      <c r="C724">
        <v>508</v>
      </c>
      <c r="D724" t="s">
        <v>2321</v>
      </c>
      <c r="E724">
        <v>5012</v>
      </c>
      <c r="F724" t="s">
        <v>23479</v>
      </c>
      <c r="G724">
        <v>2</v>
      </c>
      <c r="H724" t="s">
        <v>2375</v>
      </c>
      <c r="J724" t="s">
        <v>2548</v>
      </c>
      <c r="K724" t="s">
        <v>197</v>
      </c>
      <c r="L724" t="s">
        <v>113</v>
      </c>
      <c r="M724" t="s">
        <v>2618</v>
      </c>
      <c r="N724" t="s">
        <v>2625</v>
      </c>
      <c r="O724" t="s">
        <v>2626</v>
      </c>
      <c r="P724" s="2" t="s">
        <v>67</v>
      </c>
      <c r="Q724" t="s">
        <v>68</v>
      </c>
      <c r="R724">
        <v>69.81</v>
      </c>
      <c r="S724">
        <v>69.819999999999993</v>
      </c>
      <c r="T724" t="s">
        <v>2627</v>
      </c>
    </row>
    <row r="725" spans="1:20" x14ac:dyDescent="0.25">
      <c r="A725" s="1" t="str">
        <f>HYPERLINK("https://vegkart.atlas.vegvesen.no/#/@181503.8,6576859.9,18/hva:hva%5B0%5D%5Bfilter%5D%5B0%5D%5Boperator%5D=%21%3D&amp;hva%5B0%5D%5Bfilter%5D%5B0%5D%5Btype_id%5D=5012&amp;hva%5B0%5D%5Bfilter%5D%5B0%5D%5Bverdi%5D=&amp;hva%5B0%5D%5Bid%5D=508/når:2024-10-23", "Vegkart")</f>
        <v>Vegkart</v>
      </c>
      <c r="B725">
        <v>620337616</v>
      </c>
      <c r="C725">
        <v>508</v>
      </c>
      <c r="D725" t="s">
        <v>2321</v>
      </c>
      <c r="E725">
        <v>5012</v>
      </c>
      <c r="F725" t="s">
        <v>23479</v>
      </c>
      <c r="G725">
        <v>3</v>
      </c>
      <c r="H725" t="s">
        <v>2375</v>
      </c>
      <c r="J725" t="s">
        <v>2548</v>
      </c>
      <c r="K725" t="s">
        <v>197</v>
      </c>
      <c r="L725" t="s">
        <v>2628</v>
      </c>
      <c r="M725" t="s">
        <v>2629</v>
      </c>
      <c r="N725" t="s">
        <v>2630</v>
      </c>
      <c r="O725" t="s">
        <v>2631</v>
      </c>
      <c r="P725" s="2" t="s">
        <v>67</v>
      </c>
      <c r="Q725" t="s">
        <v>68</v>
      </c>
      <c r="R725">
        <v>85.78</v>
      </c>
      <c r="S725">
        <v>86.39</v>
      </c>
      <c r="T725" t="s">
        <v>2632</v>
      </c>
    </row>
    <row r="726" spans="1:20" x14ac:dyDescent="0.25">
      <c r="A726" s="1" t="str">
        <f>HYPERLINK("https://vegkart.atlas.vegvesen.no/#/@193214.3,6568890.6,18/hva:hva%5B0%5D%5Bfilter%5D%5B0%5D%5Boperator%5D=%21%3D&amp;hva%5B0%5D%5Bfilter%5D%5B0%5D%5Btype_id%5D=5012&amp;hva%5B0%5D%5Bfilter%5D%5B0%5D%5Bverdi%5D=&amp;hva%5B0%5D%5Bid%5D=508/når:2024-10-23", "Vegkart")</f>
        <v>Vegkart</v>
      </c>
      <c r="B726">
        <v>629954186</v>
      </c>
      <c r="C726">
        <v>508</v>
      </c>
      <c r="D726" t="s">
        <v>2321</v>
      </c>
      <c r="E726">
        <v>5012</v>
      </c>
      <c r="F726" t="s">
        <v>23479</v>
      </c>
      <c r="G726">
        <v>3</v>
      </c>
      <c r="H726" t="s">
        <v>2375</v>
      </c>
      <c r="J726" t="s">
        <v>2548</v>
      </c>
      <c r="K726" t="s">
        <v>197</v>
      </c>
      <c r="L726" t="s">
        <v>113</v>
      </c>
      <c r="M726" t="s">
        <v>2618</v>
      </c>
      <c r="N726" t="s">
        <v>2633</v>
      </c>
      <c r="O726" t="s">
        <v>2634</v>
      </c>
      <c r="P726" s="2" t="s">
        <v>165</v>
      </c>
      <c r="Q726" t="s">
        <v>641</v>
      </c>
      <c r="R726">
        <v>216.06</v>
      </c>
      <c r="S726">
        <v>324.57</v>
      </c>
      <c r="T726" t="s">
        <v>167</v>
      </c>
    </row>
    <row r="727" spans="1:20" x14ac:dyDescent="0.25">
      <c r="A727" s="1" t="str">
        <f>HYPERLINK("https://vegkart.atlas.vegvesen.no/#/@193540.5,6569404.6,18/hva:hva%5B0%5D%5Bfilter%5D%5B0%5D%5Boperator%5D=%21%3D&amp;hva%5B0%5D%5Bfilter%5D%5B0%5D%5Btype_id%5D=5012&amp;hva%5B0%5D%5Bfilter%5D%5B0%5D%5Bverdi%5D=&amp;hva%5B0%5D%5Bid%5D=508/når:2024-10-23", "Vegkart")</f>
        <v>Vegkart</v>
      </c>
      <c r="B727">
        <v>629954187</v>
      </c>
      <c r="C727">
        <v>508</v>
      </c>
      <c r="D727" t="s">
        <v>2321</v>
      </c>
      <c r="E727">
        <v>5012</v>
      </c>
      <c r="F727" t="s">
        <v>23479</v>
      </c>
      <c r="G727">
        <v>2</v>
      </c>
      <c r="H727" t="s">
        <v>2375</v>
      </c>
      <c r="J727" t="s">
        <v>2548</v>
      </c>
      <c r="K727" t="s">
        <v>197</v>
      </c>
      <c r="L727" t="s">
        <v>113</v>
      </c>
      <c r="M727" t="s">
        <v>2618</v>
      </c>
      <c r="N727" t="s">
        <v>2635</v>
      </c>
      <c r="O727" t="s">
        <v>2636</v>
      </c>
      <c r="P727" s="2" t="s">
        <v>165</v>
      </c>
      <c r="Q727" t="s">
        <v>641</v>
      </c>
      <c r="R727">
        <v>27.33</v>
      </c>
      <c r="S727">
        <v>367.82</v>
      </c>
      <c r="T727" t="s">
        <v>167</v>
      </c>
    </row>
    <row r="728" spans="1:20" x14ac:dyDescent="0.25">
      <c r="A728" s="1" t="str">
        <f>HYPERLINK("https://vegkart.atlas.vegvesen.no/#/@193408.0,6570710.8,18/hva:hva%5B0%5D%5Bfilter%5D%5B0%5D%5Boperator%5D=%21%3D&amp;hva%5B0%5D%5Bfilter%5D%5B0%5D%5Btype_id%5D=5012&amp;hva%5B0%5D%5Bfilter%5D%5B0%5D%5Bverdi%5D=&amp;hva%5B0%5D%5Bid%5D=508/når:2024-10-23", "Vegkart")</f>
        <v>Vegkart</v>
      </c>
      <c r="B728">
        <v>631751976</v>
      </c>
      <c r="C728">
        <v>508</v>
      </c>
      <c r="D728" t="s">
        <v>2321</v>
      </c>
      <c r="E728">
        <v>5012</v>
      </c>
      <c r="F728" t="s">
        <v>23479</v>
      </c>
      <c r="G728">
        <v>3</v>
      </c>
      <c r="H728" t="s">
        <v>2375</v>
      </c>
      <c r="J728" t="s">
        <v>2548</v>
      </c>
      <c r="K728" t="s">
        <v>197</v>
      </c>
      <c r="L728" t="s">
        <v>113</v>
      </c>
      <c r="M728" t="s">
        <v>2618</v>
      </c>
      <c r="N728" t="s">
        <v>2637</v>
      </c>
      <c r="O728" t="s">
        <v>2638</v>
      </c>
      <c r="P728" s="2" t="s">
        <v>67</v>
      </c>
      <c r="Q728" t="s">
        <v>68</v>
      </c>
      <c r="R728">
        <v>217.79</v>
      </c>
      <c r="S728">
        <v>217.84</v>
      </c>
      <c r="T728" t="s">
        <v>2639</v>
      </c>
    </row>
    <row r="729" spans="1:20" x14ac:dyDescent="0.25">
      <c r="A729" s="1" t="str">
        <f>HYPERLINK("https://vegkart.atlas.vegvesen.no/#/@193310.7,6571755.3,18/hva:hva%5B0%5D%5Bfilter%5D%5B0%5D%5Boperator%5D=%21%3D&amp;hva%5B0%5D%5Bfilter%5D%5B0%5D%5Btype_id%5D=5012&amp;hva%5B0%5D%5Bfilter%5D%5B0%5D%5Bverdi%5D=&amp;hva%5B0%5D%5Bid%5D=508/når:2024-10-23", "Vegkart")</f>
        <v>Vegkart</v>
      </c>
      <c r="B729">
        <v>631751978</v>
      </c>
      <c r="C729">
        <v>508</v>
      </c>
      <c r="D729" t="s">
        <v>2321</v>
      </c>
      <c r="E729">
        <v>5012</v>
      </c>
      <c r="F729" t="s">
        <v>23479</v>
      </c>
      <c r="G729">
        <v>4</v>
      </c>
      <c r="H729" t="s">
        <v>2375</v>
      </c>
      <c r="J729" t="s">
        <v>2548</v>
      </c>
      <c r="K729" t="s">
        <v>197</v>
      </c>
      <c r="L729" t="s">
        <v>2628</v>
      </c>
      <c r="M729" t="s">
        <v>2640</v>
      </c>
      <c r="N729" t="s">
        <v>2641</v>
      </c>
      <c r="O729" t="s">
        <v>2642</v>
      </c>
      <c r="P729" s="2" t="s">
        <v>165</v>
      </c>
      <c r="Q729" t="s">
        <v>641</v>
      </c>
      <c r="R729">
        <v>41.61</v>
      </c>
      <c r="S729">
        <v>639.35</v>
      </c>
      <c r="T729" t="s">
        <v>167</v>
      </c>
    </row>
    <row r="730" spans="1:20" x14ac:dyDescent="0.25">
      <c r="A730" s="1" t="str">
        <f>HYPERLINK("https://vegkart.atlas.vegvesen.no/#/@192458.1,6573086.7,18/hva:hva%5B0%5D%5Bfilter%5D%5B0%5D%5Boperator%5D=%21%3D&amp;hva%5B0%5D%5Bfilter%5D%5B0%5D%5Btype_id%5D=5012&amp;hva%5B0%5D%5Bfilter%5D%5B0%5D%5Bverdi%5D=&amp;hva%5B0%5D%5Bid%5D=508/når:2024-10-23", "Vegkart")</f>
        <v>Vegkart</v>
      </c>
      <c r="B730">
        <v>631751982</v>
      </c>
      <c r="C730">
        <v>508</v>
      </c>
      <c r="D730" t="s">
        <v>2321</v>
      </c>
      <c r="E730">
        <v>5012</v>
      </c>
      <c r="F730" t="s">
        <v>23479</v>
      </c>
      <c r="G730">
        <v>6</v>
      </c>
      <c r="H730" t="s">
        <v>2375</v>
      </c>
      <c r="J730" t="s">
        <v>2548</v>
      </c>
      <c r="K730" t="s">
        <v>197</v>
      </c>
      <c r="L730" t="s">
        <v>113</v>
      </c>
      <c r="M730" t="s">
        <v>2618</v>
      </c>
      <c r="N730" t="s">
        <v>2643</v>
      </c>
      <c r="O730" t="s">
        <v>2644</v>
      </c>
      <c r="P730" s="2" t="s">
        <v>165</v>
      </c>
      <c r="Q730" t="s">
        <v>641</v>
      </c>
      <c r="R730">
        <v>26.23</v>
      </c>
      <c r="S730">
        <v>977.51</v>
      </c>
      <c r="T730" t="s">
        <v>167</v>
      </c>
    </row>
    <row r="731" spans="1:20" x14ac:dyDescent="0.25">
      <c r="A731" s="1" t="str">
        <f>HYPERLINK("https://vegkart.atlas.vegvesen.no/#/@193016.1,6572130.2,18/hva:hva%5B0%5D%5Bfilter%5D%5B0%5D%5Boperator%5D=%21%3D&amp;hva%5B0%5D%5Bfilter%5D%5B0%5D%5Btype_id%5D=5012&amp;hva%5B0%5D%5Bfilter%5D%5B0%5D%5Bverdi%5D=&amp;hva%5B0%5D%5Bid%5D=508/når:2024-10-23", "Vegkart")</f>
        <v>Vegkart</v>
      </c>
      <c r="B731">
        <v>631751990</v>
      </c>
      <c r="C731">
        <v>508</v>
      </c>
      <c r="D731" t="s">
        <v>2321</v>
      </c>
      <c r="E731">
        <v>5012</v>
      </c>
      <c r="F731" t="s">
        <v>23479</v>
      </c>
      <c r="G731">
        <v>3</v>
      </c>
      <c r="H731" t="s">
        <v>2375</v>
      </c>
      <c r="J731" t="s">
        <v>2548</v>
      </c>
      <c r="K731" t="s">
        <v>197</v>
      </c>
      <c r="L731" t="s">
        <v>113</v>
      </c>
      <c r="M731" t="s">
        <v>2618</v>
      </c>
      <c r="N731" t="s">
        <v>2645</v>
      </c>
      <c r="O731" t="s">
        <v>2646</v>
      </c>
      <c r="P731" s="2" t="s">
        <v>67</v>
      </c>
      <c r="Q731" t="s">
        <v>68</v>
      </c>
      <c r="R731">
        <v>69.650000000000006</v>
      </c>
      <c r="S731">
        <v>69.650000000000006</v>
      </c>
      <c r="T731" t="s">
        <v>2647</v>
      </c>
    </row>
    <row r="732" spans="1:20" x14ac:dyDescent="0.25">
      <c r="A732" s="1" t="str">
        <f>HYPERLINK("https://vegkart.atlas.vegvesen.no/#/@191703.5,6573458.1,18/hva:hva%5B0%5D%5Bfilter%5D%5B0%5D%5Boperator%5D=%21%3D&amp;hva%5B0%5D%5Bfilter%5D%5B0%5D%5Btype_id%5D=5012&amp;hva%5B0%5D%5Bfilter%5D%5B0%5D%5Bverdi%5D=&amp;hva%5B0%5D%5Bid%5D=508/når:2024-10-23", "Vegkart")</f>
        <v>Vegkart</v>
      </c>
      <c r="B732">
        <v>631751993</v>
      </c>
      <c r="C732">
        <v>508</v>
      </c>
      <c r="D732" t="s">
        <v>2321</v>
      </c>
      <c r="E732">
        <v>5012</v>
      </c>
      <c r="F732" t="s">
        <v>23479</v>
      </c>
      <c r="G732">
        <v>2</v>
      </c>
      <c r="H732" t="s">
        <v>2375</v>
      </c>
      <c r="J732" t="s">
        <v>2548</v>
      </c>
      <c r="K732" t="s">
        <v>197</v>
      </c>
      <c r="L732" t="s">
        <v>113</v>
      </c>
      <c r="M732" t="s">
        <v>2618</v>
      </c>
      <c r="N732" t="s">
        <v>2648</v>
      </c>
      <c r="O732" t="s">
        <v>2649</v>
      </c>
      <c r="P732" s="2" t="s">
        <v>165</v>
      </c>
      <c r="Q732" t="s">
        <v>641</v>
      </c>
      <c r="R732">
        <v>21.28</v>
      </c>
      <c r="S732">
        <v>4016.48</v>
      </c>
      <c r="T732" t="s">
        <v>167</v>
      </c>
    </row>
    <row r="733" spans="1:20" x14ac:dyDescent="0.25">
      <c r="A733" s="1" t="str">
        <f>HYPERLINK("https://vegkart.atlas.vegvesen.no/#/@191134.6,6573874.7,18/hva:hva%5B0%5D%5Bfilter%5D%5B0%5D%5Boperator%5D=%21%3D&amp;hva%5B0%5D%5Bfilter%5D%5B0%5D%5Btype_id%5D=5012&amp;hva%5B0%5D%5Bfilter%5D%5B0%5D%5Bverdi%5D=&amp;hva%5B0%5D%5Bid%5D=508/når:2024-10-23", "Vegkart")</f>
        <v>Vegkart</v>
      </c>
      <c r="B733">
        <v>631751994</v>
      </c>
      <c r="C733">
        <v>508</v>
      </c>
      <c r="D733" t="s">
        <v>2321</v>
      </c>
      <c r="E733">
        <v>5012</v>
      </c>
      <c r="F733" t="s">
        <v>23479</v>
      </c>
      <c r="G733">
        <v>5</v>
      </c>
      <c r="H733" t="s">
        <v>2375</v>
      </c>
      <c r="J733" t="s">
        <v>2548</v>
      </c>
      <c r="K733" t="s">
        <v>197</v>
      </c>
      <c r="L733" t="s">
        <v>2628</v>
      </c>
      <c r="M733" t="s">
        <v>2650</v>
      </c>
      <c r="N733" t="s">
        <v>2651</v>
      </c>
      <c r="O733" t="s">
        <v>2652</v>
      </c>
      <c r="P733" s="2" t="s">
        <v>165</v>
      </c>
      <c r="Q733" t="s">
        <v>641</v>
      </c>
      <c r="R733">
        <v>189.73</v>
      </c>
      <c r="S733">
        <v>841.73</v>
      </c>
      <c r="T733" t="s">
        <v>167</v>
      </c>
    </row>
    <row r="734" spans="1:20" x14ac:dyDescent="0.25">
      <c r="A734" s="1" t="str">
        <f>HYPERLINK("https://vegkart.atlas.vegvesen.no/#/@411923.0,7202013.7,18/hva:hva%5B0%5D%5Bfilter%5D%5B0%5D%5Boperator%5D=%21%3D&amp;hva%5B0%5D%5Bfilter%5D%5B0%5D%5Btype_id%5D=5012&amp;hva%5B0%5D%5Bfilter%5D%5B0%5D%5Bverdi%5D=&amp;hva%5B0%5D%5Bid%5D=508/når:2024-09-02", "Vegkart")</f>
        <v>Vegkart</v>
      </c>
      <c r="B734">
        <v>636484824</v>
      </c>
      <c r="C734">
        <v>508</v>
      </c>
      <c r="D734" t="s">
        <v>2321</v>
      </c>
      <c r="E734">
        <v>5012</v>
      </c>
      <c r="F734" t="s">
        <v>23479</v>
      </c>
      <c r="G734">
        <v>4</v>
      </c>
      <c r="H734" t="s">
        <v>2327</v>
      </c>
      <c r="J734" t="s">
        <v>2548</v>
      </c>
      <c r="K734" t="s">
        <v>192</v>
      </c>
      <c r="L734" t="s">
        <v>80</v>
      </c>
      <c r="M734" t="s">
        <v>105</v>
      </c>
      <c r="N734" t="s">
        <v>2653</v>
      </c>
      <c r="O734" t="s">
        <v>2654</v>
      </c>
      <c r="P734" s="2" t="s">
        <v>37</v>
      </c>
      <c r="Q734" t="s">
        <v>1208</v>
      </c>
      <c r="R734">
        <v>16.27</v>
      </c>
      <c r="S734">
        <v>107.52</v>
      </c>
      <c r="T734" t="s">
        <v>2655</v>
      </c>
    </row>
    <row r="735" spans="1:20" x14ac:dyDescent="0.25">
      <c r="A735" s="1" t="str">
        <f>HYPERLINK("https://vegkart.atlas.vegvesen.no/#/@193967.7,6565237.5,18/hva:hva%5B0%5D%5Bfilter%5D%5B0%5D%5Boperator%5D=%21%3D&amp;hva%5B0%5D%5Bfilter%5D%5B0%5D%5Btype_id%5D=5012&amp;hva%5B0%5D%5Bfilter%5D%5B0%5D%5Bverdi%5D=&amp;hva%5B0%5D%5Bid%5D=508/når:2024-10-23", "Vegkart")</f>
        <v>Vegkart</v>
      </c>
      <c r="B735">
        <v>657481232</v>
      </c>
      <c r="C735">
        <v>508</v>
      </c>
      <c r="D735" t="s">
        <v>2321</v>
      </c>
      <c r="E735">
        <v>5012</v>
      </c>
      <c r="F735" t="s">
        <v>23479</v>
      </c>
      <c r="G735">
        <v>2</v>
      </c>
      <c r="H735" t="s">
        <v>2375</v>
      </c>
      <c r="J735" t="s">
        <v>2656</v>
      </c>
      <c r="K735" t="s">
        <v>197</v>
      </c>
      <c r="L735" t="s">
        <v>113</v>
      </c>
      <c r="M735" t="s">
        <v>2618</v>
      </c>
      <c r="N735" t="s">
        <v>2657</v>
      </c>
      <c r="O735" t="s">
        <v>2658</v>
      </c>
      <c r="P735" s="2" t="s">
        <v>67</v>
      </c>
      <c r="Q735" t="s">
        <v>68</v>
      </c>
      <c r="R735">
        <v>302.01</v>
      </c>
      <c r="S735">
        <v>302.24</v>
      </c>
      <c r="T735" t="s">
        <v>2659</v>
      </c>
    </row>
    <row r="736" spans="1:20" x14ac:dyDescent="0.25">
      <c r="A736" s="1" t="str">
        <f>HYPERLINK("https://vegkart.atlas.vegvesen.no/#/@227493.2,6951425.3,18/hva:hva%5B0%5D%5Bfilter%5D%5B0%5D%5Boperator%5D=%21%3D&amp;hva%5B0%5D%5Bfilter%5D%5B0%5D%5Btype_id%5D=5012&amp;hva%5B0%5D%5Bfilter%5D%5B0%5D%5Bverdi%5D=&amp;hva%5B0%5D%5Bid%5D=508/når:2025-12-10", "Vegkart")</f>
        <v>Vegkart</v>
      </c>
      <c r="B736">
        <v>674437201</v>
      </c>
      <c r="C736">
        <v>508</v>
      </c>
      <c r="D736" t="s">
        <v>2321</v>
      </c>
      <c r="E736">
        <v>5012</v>
      </c>
      <c r="F736" t="s">
        <v>23479</v>
      </c>
      <c r="G736">
        <v>8</v>
      </c>
      <c r="H736" t="s">
        <v>2660</v>
      </c>
      <c r="J736" t="s">
        <v>2661</v>
      </c>
      <c r="K736" t="s">
        <v>192</v>
      </c>
      <c r="L736" t="s">
        <v>80</v>
      </c>
      <c r="M736" t="s">
        <v>105</v>
      </c>
      <c r="N736" t="s">
        <v>2662</v>
      </c>
      <c r="O736" t="s">
        <v>2663</v>
      </c>
      <c r="P736" s="2" t="s">
        <v>67</v>
      </c>
      <c r="Q736" t="s">
        <v>68</v>
      </c>
      <c r="R736">
        <v>264.35000000000002</v>
      </c>
      <c r="S736">
        <v>264.55</v>
      </c>
      <c r="T736" t="s">
        <v>2664</v>
      </c>
    </row>
    <row r="737" spans="1:20" x14ac:dyDescent="0.25">
      <c r="A737" s="1" t="str">
        <f>HYPERLINK("https://vegkart.atlas.vegvesen.no/#/@-11021.9,6812487.1,18/hva:hva%5B0%5D%5Bfilter%5D%5B0%5D%5Boperator%5D=%21%3D&amp;hva%5B0%5D%5Bfilter%5D%5B0%5D%5Btype_id%5D=5012&amp;hva%5B0%5D%5Bfilter%5D%5B0%5D%5Bverdi%5D=&amp;hva%5B0%5D%5Bid%5D=508/når:2016-11-07", "Vegkart")</f>
        <v>Vegkart</v>
      </c>
      <c r="B737">
        <v>693557277</v>
      </c>
      <c r="C737">
        <v>508</v>
      </c>
      <c r="D737" t="s">
        <v>2321</v>
      </c>
      <c r="E737">
        <v>5012</v>
      </c>
      <c r="F737" t="s">
        <v>23479</v>
      </c>
      <c r="G737">
        <v>2</v>
      </c>
      <c r="H737" t="s">
        <v>2665</v>
      </c>
      <c r="J737" t="s">
        <v>2656</v>
      </c>
      <c r="K737" t="s">
        <v>21</v>
      </c>
      <c r="L737" t="s">
        <v>33</v>
      </c>
      <c r="M737" t="s">
        <v>2666</v>
      </c>
      <c r="N737" t="s">
        <v>2667</v>
      </c>
      <c r="O737" t="s">
        <v>2668</v>
      </c>
      <c r="P737" s="2" t="s">
        <v>67</v>
      </c>
      <c r="Q737" t="s">
        <v>68</v>
      </c>
      <c r="R737">
        <v>45.51</v>
      </c>
      <c r="S737">
        <v>45.99</v>
      </c>
      <c r="T737" t="s">
        <v>2669</v>
      </c>
    </row>
    <row r="738" spans="1:20" x14ac:dyDescent="0.25">
      <c r="A738" s="1" t="str">
        <f>HYPERLINK("https://vegkart.atlas.vegvesen.no/#/@268603.1,7034444.5,18/hva:hva%5B0%5D%5Bfilter%5D%5B0%5D%5Boperator%5D=%21%3D&amp;hva%5B0%5D%5Bfilter%5D%5B0%5D%5Btype_id%5D=5012&amp;hva%5B0%5D%5Bfilter%5D%5B0%5D%5Bverdi%5D=&amp;hva%5B0%5D%5Bid%5D=508/når:2025-04-23", "Vegkart")</f>
        <v>Vegkart</v>
      </c>
      <c r="B738">
        <v>745098004</v>
      </c>
      <c r="C738">
        <v>508</v>
      </c>
      <c r="D738" t="s">
        <v>2321</v>
      </c>
      <c r="E738">
        <v>5012</v>
      </c>
      <c r="F738" t="s">
        <v>23479</v>
      </c>
      <c r="G738">
        <v>6</v>
      </c>
      <c r="H738" t="s">
        <v>2670</v>
      </c>
      <c r="J738" t="s">
        <v>2656</v>
      </c>
      <c r="K738" t="s">
        <v>192</v>
      </c>
      <c r="L738" t="s">
        <v>33</v>
      </c>
      <c r="M738" t="s">
        <v>2671</v>
      </c>
      <c r="N738" t="s">
        <v>2672</v>
      </c>
      <c r="O738" t="s">
        <v>2673</v>
      </c>
      <c r="P738" s="2" t="s">
        <v>67</v>
      </c>
      <c r="Q738" t="s">
        <v>68</v>
      </c>
      <c r="R738">
        <v>801.85</v>
      </c>
      <c r="S738">
        <v>985.02</v>
      </c>
      <c r="T738" t="s">
        <v>2674</v>
      </c>
    </row>
    <row r="739" spans="1:20" x14ac:dyDescent="0.25">
      <c r="A739" s="1" t="str">
        <f>HYPERLINK("https://vegkart.atlas.vegvesen.no/#/@170581.1,6965794.4,18/hva:hva%5B0%5D%5Bfilter%5D%5B0%5D%5Boperator%5D=%21%3D&amp;hva%5B0%5D%5Bfilter%5D%5B0%5D%5Btype_id%5D=5012&amp;hva%5B0%5D%5Bfilter%5D%5B0%5D%5Bverdi%5D=&amp;hva%5B0%5D%5Bid%5D=508/når:2021-10-21", "Vegkart")</f>
        <v>Vegkart</v>
      </c>
      <c r="B739">
        <v>763598839</v>
      </c>
      <c r="C739">
        <v>508</v>
      </c>
      <c r="D739" t="s">
        <v>2321</v>
      </c>
      <c r="E739">
        <v>5012</v>
      </c>
      <c r="F739" t="s">
        <v>23479</v>
      </c>
      <c r="G739">
        <v>2</v>
      </c>
      <c r="H739" t="s">
        <v>2675</v>
      </c>
      <c r="J739" t="s">
        <v>2656</v>
      </c>
      <c r="K739" t="s">
        <v>32</v>
      </c>
      <c r="L739" t="s">
        <v>33</v>
      </c>
      <c r="M739" t="s">
        <v>2676</v>
      </c>
      <c r="N739" t="s">
        <v>2677</v>
      </c>
      <c r="O739" t="s">
        <v>2678</v>
      </c>
      <c r="P739" s="2" t="s">
        <v>67</v>
      </c>
      <c r="Q739" t="s">
        <v>68</v>
      </c>
      <c r="R739">
        <v>313.18</v>
      </c>
      <c r="S739">
        <v>314.3</v>
      </c>
      <c r="T739" t="s">
        <v>2679</v>
      </c>
    </row>
    <row r="740" spans="1:20" x14ac:dyDescent="0.25">
      <c r="A740" s="1" t="str">
        <f>HYPERLINK("https://vegkart.atlas.vegvesen.no/#/@147565.7,6963349.2,18/hva:hva%5B0%5D%5Bfilter%5D%5B0%5D%5Boperator%5D=%21%3D&amp;hva%5B0%5D%5Bfilter%5D%5B0%5D%5Btype_id%5D=5012&amp;hva%5B0%5D%5Bfilter%5D%5B0%5D%5Bverdi%5D=&amp;hva%5B0%5D%5Bid%5D=508/når:2021-10-12", "Vegkart")</f>
        <v>Vegkart</v>
      </c>
      <c r="B740">
        <v>837838196</v>
      </c>
      <c r="C740">
        <v>508</v>
      </c>
      <c r="D740" t="s">
        <v>2321</v>
      </c>
      <c r="E740">
        <v>5012</v>
      </c>
      <c r="F740" t="s">
        <v>23479</v>
      </c>
      <c r="G740">
        <v>2</v>
      </c>
      <c r="H740" t="s">
        <v>2322</v>
      </c>
      <c r="J740" t="s">
        <v>2656</v>
      </c>
      <c r="K740" t="s">
        <v>32</v>
      </c>
      <c r="L740" t="s">
        <v>33</v>
      </c>
      <c r="M740" t="s">
        <v>2539</v>
      </c>
      <c r="N740" t="s">
        <v>2680</v>
      </c>
      <c r="O740" t="s">
        <v>2681</v>
      </c>
      <c r="P740" s="2" t="s">
        <v>67</v>
      </c>
      <c r="Q740" t="s">
        <v>68</v>
      </c>
      <c r="R740">
        <v>39</v>
      </c>
      <c r="S740">
        <v>39</v>
      </c>
      <c r="T740" t="s">
        <v>2682</v>
      </c>
    </row>
    <row r="741" spans="1:20" x14ac:dyDescent="0.25">
      <c r="A741" s="1" t="str">
        <f>HYPERLINK("https://vegkart.atlas.vegvesen.no/#/@122767.3,6947295.0,18/hva:hva%5B0%5D%5Bfilter%5D%5B0%5D%5Boperator%5D=%21%3D&amp;hva%5B0%5D%5Bfilter%5D%5B0%5D%5Btype_id%5D=5012&amp;hva%5B0%5D%5Bfilter%5D%5B0%5D%5Bverdi%5D=&amp;hva%5B0%5D%5Bid%5D=508/når:2021-10-12", "Vegkart")</f>
        <v>Vegkart</v>
      </c>
      <c r="B741">
        <v>838005538</v>
      </c>
      <c r="C741">
        <v>508</v>
      </c>
      <c r="D741" t="s">
        <v>2321</v>
      </c>
      <c r="E741">
        <v>5012</v>
      </c>
      <c r="F741" t="s">
        <v>23479</v>
      </c>
      <c r="G741">
        <v>3</v>
      </c>
      <c r="H741" t="s">
        <v>2322</v>
      </c>
      <c r="J741" t="s">
        <v>2656</v>
      </c>
      <c r="K741" t="s">
        <v>32</v>
      </c>
      <c r="L741" t="s">
        <v>33</v>
      </c>
      <c r="M741" t="s">
        <v>1203</v>
      </c>
      <c r="N741" t="s">
        <v>2683</v>
      </c>
      <c r="O741" t="s">
        <v>2684</v>
      </c>
      <c r="P741" s="2" t="s">
        <v>67</v>
      </c>
      <c r="Q741" t="s">
        <v>68</v>
      </c>
      <c r="R741">
        <v>129.72999999999999</v>
      </c>
      <c r="S741">
        <v>129.88</v>
      </c>
      <c r="T741" t="s">
        <v>2685</v>
      </c>
    </row>
    <row r="742" spans="1:20" x14ac:dyDescent="0.25">
      <c r="A742" s="1" t="str">
        <f>HYPERLINK("https://vegkart.atlas.vegvesen.no/#/@95293.7,6962917.1,18/hva:hva%5B0%5D%5Bfilter%5D%5B0%5D%5Boperator%5D=%21%3D&amp;hva%5B0%5D%5Bfilter%5D%5B0%5D%5Btype_id%5D=5012&amp;hva%5B0%5D%5Bfilter%5D%5B0%5D%5Bverdi%5D=&amp;hva%5B0%5D%5Bid%5D=508/når:2017-12-22", "Vegkart")</f>
        <v>Vegkart</v>
      </c>
      <c r="B742">
        <v>845149411</v>
      </c>
      <c r="C742">
        <v>508</v>
      </c>
      <c r="D742" t="s">
        <v>2321</v>
      </c>
      <c r="E742">
        <v>5012</v>
      </c>
      <c r="F742" t="s">
        <v>23479</v>
      </c>
      <c r="G742">
        <v>1</v>
      </c>
      <c r="H742" t="s">
        <v>2686</v>
      </c>
      <c r="J742" t="s">
        <v>2656</v>
      </c>
      <c r="K742" t="s">
        <v>32</v>
      </c>
      <c r="L742" t="s">
        <v>33</v>
      </c>
      <c r="M742" t="s">
        <v>2687</v>
      </c>
      <c r="N742" t="s">
        <v>2688</v>
      </c>
      <c r="O742" t="s">
        <v>2689</v>
      </c>
      <c r="P742" s="2" t="s">
        <v>67</v>
      </c>
      <c r="Q742" t="s">
        <v>68</v>
      </c>
      <c r="R742">
        <v>250.23</v>
      </c>
      <c r="S742">
        <v>250.98</v>
      </c>
      <c r="T742" t="s">
        <v>2690</v>
      </c>
    </row>
    <row r="743" spans="1:20" x14ac:dyDescent="0.25">
      <c r="A743" s="1" t="str">
        <f>HYPERLINK("https://vegkart.atlas.vegvesen.no/#/@95027.8,6964437.3,18/hva:hva%5B0%5D%5Bfilter%5D%5B0%5D%5Boperator%5D=%21%3D&amp;hva%5B0%5D%5Bfilter%5D%5B0%5D%5Btype_id%5D=5012&amp;hva%5B0%5D%5Bfilter%5D%5B0%5D%5Bverdi%5D=&amp;hva%5B0%5D%5Bid%5D=508/når:2017-12-28", "Vegkart")</f>
        <v>Vegkart</v>
      </c>
      <c r="B743">
        <v>845178066</v>
      </c>
      <c r="C743">
        <v>508</v>
      </c>
      <c r="D743" t="s">
        <v>2321</v>
      </c>
      <c r="E743">
        <v>5012</v>
      </c>
      <c r="F743" t="s">
        <v>23479</v>
      </c>
      <c r="G743">
        <v>1</v>
      </c>
      <c r="H743" t="s">
        <v>2691</v>
      </c>
      <c r="J743" t="s">
        <v>2656</v>
      </c>
      <c r="K743" t="s">
        <v>32</v>
      </c>
      <c r="L743" t="s">
        <v>33</v>
      </c>
      <c r="M743" t="s">
        <v>2687</v>
      </c>
      <c r="N743" t="s">
        <v>2692</v>
      </c>
      <c r="O743" t="s">
        <v>2693</v>
      </c>
      <c r="P743" s="2" t="s">
        <v>67</v>
      </c>
      <c r="Q743" t="s">
        <v>68</v>
      </c>
      <c r="R743">
        <v>46.43</v>
      </c>
      <c r="S743">
        <v>49.7</v>
      </c>
      <c r="T743" t="s">
        <v>2694</v>
      </c>
    </row>
    <row r="744" spans="1:20" x14ac:dyDescent="0.25">
      <c r="A744" s="1" t="str">
        <f>HYPERLINK("https://vegkart.atlas.vegvesen.no/#/@243499.8,6593640.0,18/hva:hva%5B0%5D%5Bfilter%5D%5B0%5D%5Boperator%5D=%21%3D&amp;hva%5B0%5D%5Bfilter%5D%5B0%5D%5Btype_id%5D=5012&amp;hva%5B0%5D%5Bfilter%5D%5B0%5D%5Bverdi%5D=&amp;hva%5B0%5D%5Bid%5D=508/når:2018-04-09", "Vegkart")</f>
        <v>Vegkart</v>
      </c>
      <c r="B744">
        <v>850441864</v>
      </c>
      <c r="C744">
        <v>508</v>
      </c>
      <c r="D744" t="s">
        <v>2321</v>
      </c>
      <c r="E744">
        <v>5012</v>
      </c>
      <c r="F744" t="s">
        <v>23479</v>
      </c>
      <c r="G744">
        <v>1</v>
      </c>
      <c r="H744" t="s">
        <v>2695</v>
      </c>
      <c r="J744" t="s">
        <v>2696</v>
      </c>
      <c r="K744" t="s">
        <v>81</v>
      </c>
      <c r="L744" t="s">
        <v>22</v>
      </c>
      <c r="M744" t="s">
        <v>2697</v>
      </c>
      <c r="N744" t="s">
        <v>2698</v>
      </c>
      <c r="O744" t="s">
        <v>2699</v>
      </c>
      <c r="P744" s="2" t="s">
        <v>67</v>
      </c>
      <c r="Q744" t="s">
        <v>68</v>
      </c>
      <c r="R744">
        <v>79.319999999999993</v>
      </c>
      <c r="S744">
        <v>79.349999999999994</v>
      </c>
      <c r="T744" t="s">
        <v>2700</v>
      </c>
    </row>
    <row r="745" spans="1:20" x14ac:dyDescent="0.25">
      <c r="A745" s="1" t="str">
        <f>HYPERLINK("https://vegkart.atlas.vegvesen.no/#/@176574.5,6617891.1,18/hva:hva%5B0%5D%5Bfilter%5D%5B0%5D%5Boperator%5D=%21%3D&amp;hva%5B0%5D%5Bfilter%5D%5B0%5D%5Btype_id%5D=5012&amp;hva%5B0%5D%5Bfilter%5D%5B0%5D%5Bverdi%5D=&amp;hva%5B0%5D%5Bid%5D=508/når:2020-09-14", "Vegkart")</f>
        <v>Vegkart</v>
      </c>
      <c r="B745">
        <v>890021907</v>
      </c>
      <c r="C745">
        <v>508</v>
      </c>
      <c r="D745" t="s">
        <v>2321</v>
      </c>
      <c r="E745">
        <v>5012</v>
      </c>
      <c r="F745" t="s">
        <v>23479</v>
      </c>
      <c r="G745">
        <v>2</v>
      </c>
      <c r="H745" t="s">
        <v>2701</v>
      </c>
      <c r="J745" t="s">
        <v>2656</v>
      </c>
      <c r="K745" t="s">
        <v>197</v>
      </c>
      <c r="L745" t="s">
        <v>33</v>
      </c>
      <c r="M745" t="s">
        <v>2702</v>
      </c>
      <c r="N745" t="s">
        <v>2703</v>
      </c>
      <c r="O745" t="s">
        <v>2704</v>
      </c>
      <c r="P745" s="2" t="s">
        <v>37</v>
      </c>
      <c r="Q745" t="s">
        <v>1208</v>
      </c>
      <c r="R745">
        <v>2.63</v>
      </c>
      <c r="S745">
        <v>2013.58</v>
      </c>
      <c r="T745" t="s">
        <v>2705</v>
      </c>
    </row>
    <row r="746" spans="1:20" x14ac:dyDescent="0.25">
      <c r="A746" s="1" t="str">
        <f>HYPERLINK("https://vegkart.atlas.vegvesen.no/#/@170849.3,6593014.6,18/hva:hva%5B0%5D%5Bfilter%5D%5B0%5D%5Boperator%5D=%21%3D&amp;hva%5B0%5D%5Bfilter%5D%5B0%5D%5Btype_id%5D=5012&amp;hva%5B0%5D%5Bfilter%5D%5B0%5D%5Bverdi%5D=&amp;hva%5B0%5D%5Bid%5D=508/når:2024-10-23", "Vegkart")</f>
        <v>Vegkart</v>
      </c>
      <c r="B746">
        <v>919551831</v>
      </c>
      <c r="C746">
        <v>508</v>
      </c>
      <c r="D746" t="s">
        <v>2321</v>
      </c>
      <c r="E746">
        <v>5012</v>
      </c>
      <c r="F746" t="s">
        <v>23479</v>
      </c>
      <c r="G746">
        <v>3</v>
      </c>
      <c r="H746" t="s">
        <v>2375</v>
      </c>
      <c r="J746" t="s">
        <v>2656</v>
      </c>
      <c r="K746" t="s">
        <v>197</v>
      </c>
      <c r="L746" t="s">
        <v>113</v>
      </c>
      <c r="M746" t="s">
        <v>2618</v>
      </c>
      <c r="N746" t="s">
        <v>2706</v>
      </c>
      <c r="O746" t="s">
        <v>2707</v>
      </c>
      <c r="P746" s="2" t="s">
        <v>67</v>
      </c>
      <c r="Q746" t="s">
        <v>68</v>
      </c>
      <c r="R746">
        <v>78.790000000000006</v>
      </c>
      <c r="S746">
        <v>79.010000000000005</v>
      </c>
      <c r="T746" t="s">
        <v>2708</v>
      </c>
    </row>
    <row r="747" spans="1:20" x14ac:dyDescent="0.25">
      <c r="A747" s="1" t="str">
        <f>HYPERLINK("https://vegkart.atlas.vegvesen.no/#/@-24037.2,6640722.3,18/hva:hva%5B0%5D%5Bfilter%5D%5B0%5D%5Boperator%5D=%21%3D&amp;hva%5B0%5D%5Bfilter%5D%5B0%5D%5Btype_id%5D=5012&amp;hva%5B0%5D%5Bfilter%5D%5B0%5D%5Bverdi%5D=&amp;hva%5B0%5D%5Bid%5D=508/når:2025-11-30", "Vegkart")</f>
        <v>Vegkart</v>
      </c>
      <c r="B747">
        <v>920510033</v>
      </c>
      <c r="C747">
        <v>508</v>
      </c>
      <c r="D747" t="s">
        <v>2321</v>
      </c>
      <c r="E747">
        <v>5012</v>
      </c>
      <c r="F747" t="s">
        <v>23479</v>
      </c>
      <c r="G747">
        <v>4</v>
      </c>
      <c r="H747" t="s">
        <v>2709</v>
      </c>
      <c r="J747" t="s">
        <v>2710</v>
      </c>
      <c r="K747" t="s">
        <v>170</v>
      </c>
      <c r="L747" t="s">
        <v>80</v>
      </c>
      <c r="M747" t="s">
        <v>645</v>
      </c>
      <c r="N747" t="s">
        <v>2711</v>
      </c>
      <c r="O747" t="s">
        <v>2712</v>
      </c>
      <c r="P747" s="2" t="s">
        <v>67</v>
      </c>
      <c r="Q747" t="s">
        <v>68</v>
      </c>
      <c r="R747">
        <v>186.07</v>
      </c>
      <c r="S747">
        <v>187.96</v>
      </c>
      <c r="T747" t="s">
        <v>2713</v>
      </c>
    </row>
    <row r="748" spans="1:20" x14ac:dyDescent="0.25">
      <c r="A748" s="1" t="str">
        <f>HYPERLINK("https://vegkart.atlas.vegvesen.no/#/@320016.2,7074593.1,18/hva:hva%5B0%5D%5Bfilter%5D%5B0%5D%5Boperator%5D=%21%3D&amp;hva%5B0%5D%5Bfilter%5D%5B0%5D%5Btype_id%5D=5012&amp;hva%5B0%5D%5Bfilter%5D%5B0%5D%5Bverdi%5D=&amp;hva%5B0%5D%5Bid%5D=508/når:2024-09-02", "Vegkart")</f>
        <v>Vegkart</v>
      </c>
      <c r="B748">
        <v>964687611</v>
      </c>
      <c r="C748">
        <v>508</v>
      </c>
      <c r="D748" t="s">
        <v>2321</v>
      </c>
      <c r="E748">
        <v>5012</v>
      </c>
      <c r="F748" t="s">
        <v>23479</v>
      </c>
      <c r="G748">
        <v>3</v>
      </c>
      <c r="H748" t="s">
        <v>2327</v>
      </c>
      <c r="J748" t="s">
        <v>2714</v>
      </c>
      <c r="K748" t="s">
        <v>192</v>
      </c>
      <c r="L748" t="s">
        <v>33</v>
      </c>
      <c r="M748" t="s">
        <v>2715</v>
      </c>
      <c r="N748" t="s">
        <v>2716</v>
      </c>
      <c r="O748" t="s">
        <v>2717</v>
      </c>
      <c r="P748" s="2" t="s">
        <v>67</v>
      </c>
      <c r="Q748" t="s">
        <v>68</v>
      </c>
      <c r="R748">
        <v>3179.67</v>
      </c>
      <c r="S748">
        <v>3188.41</v>
      </c>
      <c r="T748" t="s">
        <v>2718</v>
      </c>
    </row>
    <row r="749" spans="1:20" x14ac:dyDescent="0.25">
      <c r="A749" s="1" t="str">
        <f>HYPERLINK("https://vegkart.atlas.vegvesen.no/#/@310408.2,7069941.2,18/hva:hva%5B0%5D%5Bfilter%5D%5B0%5D%5Boperator%5D=%21%3D&amp;hva%5B0%5D%5Bfilter%5D%5B0%5D%5Btype_id%5D=5012&amp;hva%5B0%5D%5Bfilter%5D%5B0%5D%5Bverdi%5D=&amp;hva%5B0%5D%5Bid%5D=508/når:2024-09-02", "Vegkart")</f>
        <v>Vegkart</v>
      </c>
      <c r="B749">
        <v>966510258</v>
      </c>
      <c r="C749">
        <v>508</v>
      </c>
      <c r="D749" t="s">
        <v>2321</v>
      </c>
      <c r="E749">
        <v>5012</v>
      </c>
      <c r="F749" t="s">
        <v>23479</v>
      </c>
      <c r="G749">
        <v>2</v>
      </c>
      <c r="H749" t="s">
        <v>2327</v>
      </c>
      <c r="J749" t="s">
        <v>2714</v>
      </c>
      <c r="K749" t="s">
        <v>192</v>
      </c>
      <c r="L749" t="s">
        <v>33</v>
      </c>
      <c r="M749" t="s">
        <v>2719</v>
      </c>
      <c r="N749" t="s">
        <v>2720</v>
      </c>
      <c r="O749" t="s">
        <v>2721</v>
      </c>
      <c r="P749" s="2" t="s">
        <v>26</v>
      </c>
      <c r="Q749" t="s">
        <v>50</v>
      </c>
      <c r="R749">
        <v>18.059999999999999</v>
      </c>
      <c r="S749">
        <v>18.059999999999999</v>
      </c>
      <c r="T749" t="s">
        <v>2722</v>
      </c>
    </row>
    <row r="750" spans="1:20" x14ac:dyDescent="0.25">
      <c r="A750" s="1" t="str">
        <f>HYPERLINK("https://vegkart.atlas.vegvesen.no/#/@264852.4,7030183.6,18/hva:hva%5B0%5D%5Bfilter%5D%5B0%5D%5Boperator%5D=%21%3D&amp;hva%5B0%5D%5Bfilter%5D%5B0%5D%5Btype_id%5D=5012&amp;hva%5B0%5D%5Bfilter%5D%5B0%5D%5Bverdi%5D=&amp;hva%5B0%5D%5Bid%5D=508/når:2024-09-02", "Vegkart")</f>
        <v>Vegkart</v>
      </c>
      <c r="B750">
        <v>983340423</v>
      </c>
      <c r="C750">
        <v>508</v>
      </c>
      <c r="D750" t="s">
        <v>2321</v>
      </c>
      <c r="E750">
        <v>5012</v>
      </c>
      <c r="F750" t="s">
        <v>23479</v>
      </c>
      <c r="G750">
        <v>2</v>
      </c>
      <c r="H750" t="s">
        <v>2327</v>
      </c>
      <c r="J750" t="s">
        <v>2714</v>
      </c>
      <c r="K750" t="s">
        <v>192</v>
      </c>
      <c r="L750" t="s">
        <v>80</v>
      </c>
      <c r="M750" t="s">
        <v>81</v>
      </c>
      <c r="N750" t="s">
        <v>2723</v>
      </c>
      <c r="O750" t="s">
        <v>2724</v>
      </c>
      <c r="P750" s="2" t="s">
        <v>37</v>
      </c>
      <c r="Q750" t="s">
        <v>1208</v>
      </c>
      <c r="R750">
        <v>2.5299999999999998</v>
      </c>
      <c r="S750">
        <v>86.61</v>
      </c>
      <c r="T750" t="s">
        <v>2725</v>
      </c>
    </row>
    <row r="751" spans="1:20" x14ac:dyDescent="0.25">
      <c r="A751" s="1" t="str">
        <f>HYPERLINK("https://vegkart.atlas.vegvesen.no/#/@268743.2,7034186.1,18/hva:hva%5B0%5D%5Bfilter%5D%5B0%5D%5Boperator%5D=%21%3D&amp;hva%5B0%5D%5Bfilter%5D%5B0%5D%5Btype_id%5D=5012&amp;hva%5B0%5D%5Bfilter%5D%5B0%5D%5Bverdi%5D=&amp;hva%5B0%5D%5Bid%5D=508/når:2024-09-02", "Vegkart")</f>
        <v>Vegkart</v>
      </c>
      <c r="B751">
        <v>983340436</v>
      </c>
      <c r="C751">
        <v>508</v>
      </c>
      <c r="D751" t="s">
        <v>2321</v>
      </c>
      <c r="E751">
        <v>5012</v>
      </c>
      <c r="F751" t="s">
        <v>23479</v>
      </c>
      <c r="G751">
        <v>8</v>
      </c>
      <c r="H751" t="s">
        <v>2327</v>
      </c>
      <c r="J751" t="s">
        <v>2714</v>
      </c>
      <c r="K751" t="s">
        <v>192</v>
      </c>
      <c r="L751" t="s">
        <v>80</v>
      </c>
      <c r="M751" t="s">
        <v>105</v>
      </c>
      <c r="N751" t="s">
        <v>2726</v>
      </c>
      <c r="O751" t="s">
        <v>2727</v>
      </c>
      <c r="P751" s="2" t="s">
        <v>37</v>
      </c>
      <c r="Q751" t="s">
        <v>1208</v>
      </c>
      <c r="R751">
        <v>0</v>
      </c>
      <c r="S751">
        <v>2805.25</v>
      </c>
      <c r="T751" t="s">
        <v>2728</v>
      </c>
    </row>
    <row r="752" spans="1:20" x14ac:dyDescent="0.25">
      <c r="A752" s="1" t="str">
        <f>HYPERLINK("https://vegkart.atlas.vegvesen.no/#/@261951.4,6998155.7,18/hva:hva%5B0%5D%5Bfilter%5D%5B0%5D%5Boperator%5D=%21%3D&amp;hva%5B0%5D%5Bfilter%5D%5B0%5D%5Btype_id%5D=5012&amp;hva%5B0%5D%5Bfilter%5D%5B0%5D%5Bverdi%5D=&amp;hva%5B0%5D%5Bid%5D=508/når:2024-09-02", "Vegkart")</f>
        <v>Vegkart</v>
      </c>
      <c r="B752">
        <v>984062134</v>
      </c>
      <c r="C752">
        <v>508</v>
      </c>
      <c r="D752" t="s">
        <v>2321</v>
      </c>
      <c r="E752">
        <v>5012</v>
      </c>
      <c r="F752" t="s">
        <v>23479</v>
      </c>
      <c r="G752">
        <v>3</v>
      </c>
      <c r="H752" t="s">
        <v>2327</v>
      </c>
      <c r="J752" t="s">
        <v>2714</v>
      </c>
      <c r="K752" t="s">
        <v>192</v>
      </c>
      <c r="L752" t="s">
        <v>80</v>
      </c>
      <c r="M752" t="s">
        <v>105</v>
      </c>
      <c r="N752" t="s">
        <v>2729</v>
      </c>
      <c r="O752" t="s">
        <v>2730</v>
      </c>
      <c r="P752" s="2" t="s">
        <v>67</v>
      </c>
      <c r="Q752" t="s">
        <v>68</v>
      </c>
      <c r="R752">
        <v>218.8</v>
      </c>
      <c r="S752">
        <v>218.99</v>
      </c>
      <c r="T752" t="s">
        <v>2731</v>
      </c>
    </row>
    <row r="753" spans="1:20" x14ac:dyDescent="0.25">
      <c r="A753" s="1" t="str">
        <f>HYPERLINK("https://vegkart.atlas.vegvesen.no/#/@262474.6,7011236.6,18/hva:hva%5B0%5D%5Bfilter%5D%5B0%5D%5Boperator%5D=%21%3D&amp;hva%5B0%5D%5Bfilter%5D%5B0%5D%5Btype_id%5D=5012&amp;hva%5B0%5D%5Bfilter%5D%5B0%5D%5Bverdi%5D=&amp;hva%5B0%5D%5Bid%5D=508/når:2024-09-02", "Vegkart")</f>
        <v>Vegkart</v>
      </c>
      <c r="B753">
        <v>984062184</v>
      </c>
      <c r="C753">
        <v>508</v>
      </c>
      <c r="D753" t="s">
        <v>2321</v>
      </c>
      <c r="E753">
        <v>5012</v>
      </c>
      <c r="F753" t="s">
        <v>23479</v>
      </c>
      <c r="G753">
        <v>2</v>
      </c>
      <c r="H753" t="s">
        <v>2327</v>
      </c>
      <c r="J753" t="s">
        <v>2714</v>
      </c>
      <c r="K753" t="s">
        <v>192</v>
      </c>
      <c r="L753" t="s">
        <v>80</v>
      </c>
      <c r="M753" t="s">
        <v>105</v>
      </c>
      <c r="N753" t="s">
        <v>2732</v>
      </c>
      <c r="O753" t="s">
        <v>2733</v>
      </c>
      <c r="P753" s="2" t="s">
        <v>67</v>
      </c>
      <c r="Q753" t="s">
        <v>68</v>
      </c>
      <c r="R753">
        <v>750.39</v>
      </c>
      <c r="S753">
        <v>764.66</v>
      </c>
      <c r="T753" t="s">
        <v>2734</v>
      </c>
    </row>
    <row r="754" spans="1:20" x14ac:dyDescent="0.25">
      <c r="A754" s="1" t="str">
        <f>HYPERLINK("https://vegkart.atlas.vegvesen.no/#/@288254.2,7039343.6,18/hva:hva%5B0%5D%5Bfilter%5D%5B0%5D%5Boperator%5D=%21%3D&amp;hva%5B0%5D%5Bfilter%5D%5B0%5D%5Btype_id%5D=5012&amp;hva%5B0%5D%5Bfilter%5D%5B0%5D%5Bverdi%5D=&amp;hva%5B0%5D%5Bid%5D=508/når:2024-09-02", "Vegkart")</f>
        <v>Vegkart</v>
      </c>
      <c r="B754">
        <v>984231466</v>
      </c>
      <c r="C754">
        <v>508</v>
      </c>
      <c r="D754" t="s">
        <v>2321</v>
      </c>
      <c r="E754">
        <v>5012</v>
      </c>
      <c r="F754" t="s">
        <v>23479</v>
      </c>
      <c r="G754">
        <v>3</v>
      </c>
      <c r="H754" t="s">
        <v>2327</v>
      </c>
      <c r="J754" t="s">
        <v>2714</v>
      </c>
      <c r="K754" t="s">
        <v>192</v>
      </c>
      <c r="L754" t="s">
        <v>80</v>
      </c>
      <c r="M754" t="s">
        <v>105</v>
      </c>
      <c r="N754" t="s">
        <v>2735</v>
      </c>
      <c r="O754" t="s">
        <v>2736</v>
      </c>
      <c r="P754" s="2" t="s">
        <v>67</v>
      </c>
      <c r="Q754" t="s">
        <v>68</v>
      </c>
      <c r="R754">
        <v>254.84</v>
      </c>
      <c r="S754">
        <v>254.93</v>
      </c>
      <c r="T754" t="s">
        <v>2737</v>
      </c>
    </row>
    <row r="755" spans="1:20" x14ac:dyDescent="0.25">
      <c r="A755" s="1" t="str">
        <f>HYPERLINK("https://vegkart.atlas.vegvesen.no/#/@313491.5,7040642.2,18/hva:hva%5B0%5D%5Bfilter%5D%5B0%5D%5Boperator%5D=%21%3D&amp;hva%5B0%5D%5Bfilter%5D%5B0%5D%5Btype_id%5D=5012&amp;hva%5B0%5D%5Bfilter%5D%5B0%5D%5Bverdi%5D=&amp;hva%5B0%5D%5Bid%5D=508/når:2024-09-02", "Vegkart")</f>
        <v>Vegkart</v>
      </c>
      <c r="B755">
        <v>984231469</v>
      </c>
      <c r="C755">
        <v>508</v>
      </c>
      <c r="D755" t="s">
        <v>2321</v>
      </c>
      <c r="E755">
        <v>5012</v>
      </c>
      <c r="F755" t="s">
        <v>23479</v>
      </c>
      <c r="G755">
        <v>2</v>
      </c>
      <c r="H755" t="s">
        <v>2327</v>
      </c>
      <c r="J755" t="s">
        <v>2714</v>
      </c>
      <c r="K755" t="s">
        <v>192</v>
      </c>
      <c r="L755" t="s">
        <v>80</v>
      </c>
      <c r="M755" t="s">
        <v>2436</v>
      </c>
      <c r="N755" t="s">
        <v>2738</v>
      </c>
      <c r="O755" t="s">
        <v>2739</v>
      </c>
      <c r="P755" s="2" t="s">
        <v>67</v>
      </c>
      <c r="Q755" t="s">
        <v>68</v>
      </c>
      <c r="R755">
        <v>37.08</v>
      </c>
      <c r="S755">
        <v>37.08</v>
      </c>
      <c r="T755" t="s">
        <v>2740</v>
      </c>
    </row>
    <row r="756" spans="1:20" x14ac:dyDescent="0.25">
      <c r="A756" s="1" t="str">
        <f>HYPERLINK("https://vegkart.atlas.vegvesen.no/#/@304898.3,7060259.1,18/hva:hva%5B0%5D%5Bfilter%5D%5B0%5D%5Boperator%5D=%21%3D&amp;hva%5B0%5D%5Bfilter%5D%5B0%5D%5Btype_id%5D=5012&amp;hva%5B0%5D%5Bfilter%5D%5B0%5D%5Bverdi%5D=&amp;hva%5B0%5D%5Bid%5D=508/når:2024-09-02", "Vegkart")</f>
        <v>Vegkart</v>
      </c>
      <c r="B756">
        <v>984231482</v>
      </c>
      <c r="C756">
        <v>508</v>
      </c>
      <c r="D756" t="s">
        <v>2321</v>
      </c>
      <c r="E756">
        <v>5012</v>
      </c>
      <c r="F756" t="s">
        <v>23479</v>
      </c>
      <c r="G756">
        <v>2</v>
      </c>
      <c r="H756" t="s">
        <v>2327</v>
      </c>
      <c r="J756" t="s">
        <v>2714</v>
      </c>
      <c r="K756" t="s">
        <v>192</v>
      </c>
      <c r="L756" t="s">
        <v>80</v>
      </c>
      <c r="M756" t="s">
        <v>105</v>
      </c>
      <c r="N756" t="s">
        <v>2741</v>
      </c>
      <c r="O756" t="s">
        <v>2742</v>
      </c>
      <c r="P756" s="2" t="s">
        <v>165</v>
      </c>
      <c r="Q756" t="s">
        <v>641</v>
      </c>
      <c r="R756">
        <v>0</v>
      </c>
      <c r="S756">
        <v>1973.55</v>
      </c>
      <c r="T756" t="s">
        <v>167</v>
      </c>
    </row>
    <row r="757" spans="1:20" x14ac:dyDescent="0.25">
      <c r="A757" s="1" t="str">
        <f>HYPERLINK("https://vegkart.atlas.vegvesen.no/#/@299619.4,7043552.0,18/hva:hva%5B0%5D%5Bfilter%5D%5B0%5D%5Boperator%5D=%21%3D&amp;hva%5B0%5D%5Bfilter%5D%5B0%5D%5Btype_id%5D=5012&amp;hva%5B0%5D%5Bfilter%5D%5B0%5D%5Bverdi%5D=&amp;hva%5B0%5D%5Bid%5D=508/når:2024-09-02", "Vegkart")</f>
        <v>Vegkart</v>
      </c>
      <c r="B757">
        <v>984231483</v>
      </c>
      <c r="C757">
        <v>508</v>
      </c>
      <c r="D757" t="s">
        <v>2321</v>
      </c>
      <c r="E757">
        <v>5012</v>
      </c>
      <c r="F757" t="s">
        <v>23479</v>
      </c>
      <c r="G757">
        <v>2</v>
      </c>
      <c r="H757" t="s">
        <v>2327</v>
      </c>
      <c r="J757" t="s">
        <v>2714</v>
      </c>
      <c r="K757" t="s">
        <v>192</v>
      </c>
      <c r="L757" t="s">
        <v>80</v>
      </c>
      <c r="M757" t="s">
        <v>2436</v>
      </c>
      <c r="N757" t="s">
        <v>2743</v>
      </c>
      <c r="O757" t="s">
        <v>2744</v>
      </c>
      <c r="P757" s="2" t="s">
        <v>67</v>
      </c>
      <c r="Q757" t="s">
        <v>68</v>
      </c>
      <c r="R757">
        <v>29.94</v>
      </c>
      <c r="S757">
        <v>29.95</v>
      </c>
      <c r="T757" t="s">
        <v>2745</v>
      </c>
    </row>
    <row r="758" spans="1:20" x14ac:dyDescent="0.25">
      <c r="A758" s="1" t="str">
        <f>HYPERLINK("https://vegkart.atlas.vegvesen.no/#/@301404.2,7043172.9,18/hva:hva%5B0%5D%5Bfilter%5D%5B0%5D%5Boperator%5D=%21%3D&amp;hva%5B0%5D%5Bfilter%5D%5B0%5D%5Btype_id%5D=5012&amp;hva%5B0%5D%5Bfilter%5D%5B0%5D%5Bverdi%5D=&amp;hva%5B0%5D%5Bid%5D=508/når:2024-09-02", "Vegkart")</f>
        <v>Vegkart</v>
      </c>
      <c r="B758">
        <v>984231484</v>
      </c>
      <c r="C758">
        <v>508</v>
      </c>
      <c r="D758" t="s">
        <v>2321</v>
      </c>
      <c r="E758">
        <v>5012</v>
      </c>
      <c r="F758" t="s">
        <v>23479</v>
      </c>
      <c r="G758">
        <v>2</v>
      </c>
      <c r="H758" t="s">
        <v>2327</v>
      </c>
      <c r="J758" t="s">
        <v>2714</v>
      </c>
      <c r="K758" t="s">
        <v>192</v>
      </c>
      <c r="L758" t="s">
        <v>80</v>
      </c>
      <c r="M758" t="s">
        <v>2436</v>
      </c>
      <c r="N758" t="s">
        <v>2746</v>
      </c>
      <c r="O758" t="s">
        <v>2747</v>
      </c>
      <c r="P758" s="2" t="s">
        <v>67</v>
      </c>
      <c r="Q758" t="s">
        <v>68</v>
      </c>
      <c r="R758">
        <v>515.46</v>
      </c>
      <c r="S758">
        <v>526.77</v>
      </c>
      <c r="T758" t="s">
        <v>2748</v>
      </c>
    </row>
    <row r="759" spans="1:20" x14ac:dyDescent="0.25">
      <c r="A759" s="1" t="str">
        <f>HYPERLINK("https://vegkart.atlas.vegvesen.no/#/@318405.0,7042252.4,18/hva:hva%5B0%5D%5Bfilter%5D%5B0%5D%5Boperator%5D=%21%3D&amp;hva%5B0%5D%5Bfilter%5D%5B0%5D%5Btype_id%5D=5012&amp;hva%5B0%5D%5Bfilter%5D%5B0%5D%5Bverdi%5D=&amp;hva%5B0%5D%5Bid%5D=508/når:2024-09-02", "Vegkart")</f>
        <v>Vegkart</v>
      </c>
      <c r="B759">
        <v>984231487</v>
      </c>
      <c r="C759">
        <v>508</v>
      </c>
      <c r="D759" t="s">
        <v>2321</v>
      </c>
      <c r="E759">
        <v>5012</v>
      </c>
      <c r="F759" t="s">
        <v>23479</v>
      </c>
      <c r="G759">
        <v>2</v>
      </c>
      <c r="H759" t="s">
        <v>2327</v>
      </c>
      <c r="J759" t="s">
        <v>2714</v>
      </c>
      <c r="K759" t="s">
        <v>192</v>
      </c>
      <c r="L759" t="s">
        <v>80</v>
      </c>
      <c r="M759" t="s">
        <v>2436</v>
      </c>
      <c r="N759" t="s">
        <v>2749</v>
      </c>
      <c r="O759" t="s">
        <v>2750</v>
      </c>
      <c r="P759" s="2" t="s">
        <v>67</v>
      </c>
      <c r="Q759" t="s">
        <v>68</v>
      </c>
      <c r="R759">
        <v>37.979999999999997</v>
      </c>
      <c r="S759">
        <v>38.020000000000003</v>
      </c>
      <c r="T759" t="s">
        <v>2751</v>
      </c>
    </row>
    <row r="760" spans="1:20" x14ac:dyDescent="0.25">
      <c r="A760" s="1" t="str">
        <f>HYPERLINK("https://vegkart.atlas.vegvesen.no/#/@260853.1,7009650.9,18/hva:hva%5B0%5D%5Bfilter%5D%5B0%5D%5Boperator%5D=%21%3D&amp;hva%5B0%5D%5Bfilter%5D%5B0%5D%5Btype_id%5D=5012&amp;hva%5B0%5D%5Bfilter%5D%5B0%5D%5Bverdi%5D=&amp;hva%5B0%5D%5Bid%5D=508/når:2024-09-02", "Vegkart")</f>
        <v>Vegkart</v>
      </c>
      <c r="B760">
        <v>984231488</v>
      </c>
      <c r="C760">
        <v>508</v>
      </c>
      <c r="D760" t="s">
        <v>2321</v>
      </c>
      <c r="E760">
        <v>5012</v>
      </c>
      <c r="F760" t="s">
        <v>23479</v>
      </c>
      <c r="G760">
        <v>3</v>
      </c>
      <c r="H760" t="s">
        <v>2327</v>
      </c>
      <c r="J760" t="s">
        <v>2714</v>
      </c>
      <c r="K760" t="s">
        <v>192</v>
      </c>
      <c r="L760" t="s">
        <v>80</v>
      </c>
      <c r="M760" t="s">
        <v>105</v>
      </c>
      <c r="N760" t="s">
        <v>2752</v>
      </c>
      <c r="O760" t="s">
        <v>2753</v>
      </c>
      <c r="P760" s="2" t="s">
        <v>67</v>
      </c>
      <c r="Q760" t="s">
        <v>68</v>
      </c>
      <c r="R760">
        <v>129.99</v>
      </c>
      <c r="S760">
        <v>130.16</v>
      </c>
      <c r="T760" t="s">
        <v>2754</v>
      </c>
    </row>
    <row r="761" spans="1:20" x14ac:dyDescent="0.25">
      <c r="A761" s="1" t="str">
        <f>HYPERLINK("https://vegkart.atlas.vegvesen.no/#/@246036.8,6975896.4,18/hva:hva%5B0%5D%5Bfilter%5D%5B0%5D%5Boperator%5D=%21%3D&amp;hva%5B0%5D%5Bfilter%5D%5B0%5D%5Btype_id%5D=5012&amp;hva%5B0%5D%5Bfilter%5D%5B0%5D%5Bverdi%5D=&amp;hva%5B0%5D%5Bid%5D=508/når:2024-09-02", "Vegkart")</f>
        <v>Vegkart</v>
      </c>
      <c r="B761">
        <v>984231494</v>
      </c>
      <c r="C761">
        <v>508</v>
      </c>
      <c r="D761" t="s">
        <v>2321</v>
      </c>
      <c r="E761">
        <v>5012</v>
      </c>
      <c r="F761" t="s">
        <v>23479</v>
      </c>
      <c r="G761">
        <v>4</v>
      </c>
      <c r="H761" t="s">
        <v>2327</v>
      </c>
      <c r="J761" t="s">
        <v>2714</v>
      </c>
      <c r="K761" t="s">
        <v>192</v>
      </c>
      <c r="L761" t="s">
        <v>80</v>
      </c>
      <c r="M761" t="s">
        <v>105</v>
      </c>
      <c r="N761" t="s">
        <v>2755</v>
      </c>
      <c r="O761" t="s">
        <v>2756</v>
      </c>
      <c r="P761" s="2" t="s">
        <v>67</v>
      </c>
      <c r="Q761" t="s">
        <v>68</v>
      </c>
      <c r="R761">
        <v>1701.81</v>
      </c>
      <c r="S761">
        <v>1869.07</v>
      </c>
      <c r="T761" t="s">
        <v>2757</v>
      </c>
    </row>
    <row r="762" spans="1:20" x14ac:dyDescent="0.25">
      <c r="A762" s="1" t="str">
        <f>HYPERLINK("https://vegkart.atlas.vegvesen.no/#/@305909.1,7043361.0,18/hva:hva%5B0%5D%5Bfilter%5D%5B0%5D%5Boperator%5D=%21%3D&amp;hva%5B0%5D%5Bfilter%5D%5B0%5D%5Btype_id%5D=5012&amp;hva%5B0%5D%5Bfilter%5D%5B0%5D%5Bverdi%5D=&amp;hva%5B0%5D%5Bid%5D=508/når:2024-09-02", "Vegkart")</f>
        <v>Vegkart</v>
      </c>
      <c r="B762">
        <v>984569752</v>
      </c>
      <c r="C762">
        <v>508</v>
      </c>
      <c r="D762" t="s">
        <v>2321</v>
      </c>
      <c r="E762">
        <v>5012</v>
      </c>
      <c r="F762" t="s">
        <v>23479</v>
      </c>
      <c r="G762">
        <v>2</v>
      </c>
      <c r="H762" t="s">
        <v>2327</v>
      </c>
      <c r="J762" t="s">
        <v>2714</v>
      </c>
      <c r="K762" t="s">
        <v>192</v>
      </c>
      <c r="L762" t="s">
        <v>80</v>
      </c>
      <c r="M762" t="s">
        <v>2436</v>
      </c>
      <c r="N762" t="s">
        <v>2758</v>
      </c>
      <c r="O762" t="s">
        <v>2759</v>
      </c>
      <c r="P762" s="2" t="s">
        <v>165</v>
      </c>
      <c r="Q762" t="s">
        <v>641</v>
      </c>
      <c r="R762">
        <v>2859.3</v>
      </c>
      <c r="S762">
        <v>9517.59</v>
      </c>
      <c r="T762" t="s">
        <v>167</v>
      </c>
    </row>
    <row r="763" spans="1:20" x14ac:dyDescent="0.25">
      <c r="A763" s="1" t="str">
        <f>HYPERLINK("https://vegkart.atlas.vegvesen.no/#/@261525.5,7002053.7,18/hva:hva%5B0%5D%5Bfilter%5D%5B0%5D%5Boperator%5D=%21%3D&amp;hva%5B0%5D%5Bfilter%5D%5B0%5D%5Btype_id%5D=5012&amp;hva%5B0%5D%5Bfilter%5D%5B0%5D%5Bverdi%5D=&amp;hva%5B0%5D%5Bid%5D=508/når:2024-09-02", "Vegkart")</f>
        <v>Vegkart</v>
      </c>
      <c r="B763">
        <v>989671557</v>
      </c>
      <c r="C763">
        <v>508</v>
      </c>
      <c r="D763" t="s">
        <v>2321</v>
      </c>
      <c r="E763">
        <v>5012</v>
      </c>
      <c r="F763" t="s">
        <v>23479</v>
      </c>
      <c r="G763">
        <v>2</v>
      </c>
      <c r="H763" t="s">
        <v>2327</v>
      </c>
      <c r="J763" t="s">
        <v>2714</v>
      </c>
      <c r="K763" t="s">
        <v>192</v>
      </c>
      <c r="L763" t="s">
        <v>80</v>
      </c>
      <c r="M763" t="s">
        <v>105</v>
      </c>
      <c r="N763" t="s">
        <v>2760</v>
      </c>
      <c r="O763" t="s">
        <v>2761</v>
      </c>
      <c r="P763" s="2" t="s">
        <v>165</v>
      </c>
      <c r="Q763" t="s">
        <v>641</v>
      </c>
      <c r="R763">
        <v>0</v>
      </c>
      <c r="S763">
        <v>2311.1799999999998</v>
      </c>
      <c r="T763" t="s">
        <v>167</v>
      </c>
    </row>
    <row r="764" spans="1:20" x14ac:dyDescent="0.25">
      <c r="A764" s="1" t="str">
        <f>HYPERLINK("https://vegkart.atlas.vegvesen.no/#/@263964.4,7015786.9,18/hva:hva%5B0%5D%5Bfilter%5D%5B0%5D%5Boperator%5D=%21%3D&amp;hva%5B0%5D%5Bfilter%5D%5B0%5D%5Btype_id%5D=5012&amp;hva%5B0%5D%5Bfilter%5D%5B0%5D%5Bverdi%5D=&amp;hva%5B0%5D%5Bid%5D=508/når:2024-09-02", "Vegkart")</f>
        <v>Vegkart</v>
      </c>
      <c r="B764">
        <v>989671558</v>
      </c>
      <c r="C764">
        <v>508</v>
      </c>
      <c r="D764" t="s">
        <v>2321</v>
      </c>
      <c r="E764">
        <v>5012</v>
      </c>
      <c r="F764" t="s">
        <v>23479</v>
      </c>
      <c r="G764">
        <v>2</v>
      </c>
      <c r="H764" t="s">
        <v>2327</v>
      </c>
      <c r="J764" t="s">
        <v>2714</v>
      </c>
      <c r="K764" t="s">
        <v>192</v>
      </c>
      <c r="L764" t="s">
        <v>80</v>
      </c>
      <c r="M764" t="s">
        <v>105</v>
      </c>
      <c r="N764" t="s">
        <v>2762</v>
      </c>
      <c r="O764" t="s">
        <v>2763</v>
      </c>
      <c r="P764" s="2" t="s">
        <v>67</v>
      </c>
      <c r="Q764" t="s">
        <v>68</v>
      </c>
      <c r="R764">
        <v>1622.91</v>
      </c>
      <c r="S764">
        <v>1640.92</v>
      </c>
      <c r="T764" t="s">
        <v>2764</v>
      </c>
    </row>
    <row r="765" spans="1:20" x14ac:dyDescent="0.25">
      <c r="A765" s="1" t="str">
        <f>HYPERLINK("https://vegkart.atlas.vegvesen.no/#/@263822.5,7018669.5,18/hva:hva%5B0%5D%5Bfilter%5D%5B0%5D%5Boperator%5D=%21%3D&amp;hva%5B0%5D%5Bfilter%5D%5B0%5D%5Btype_id%5D=5012&amp;hva%5B0%5D%5Bfilter%5D%5B0%5D%5Bverdi%5D=&amp;hva%5B0%5D%5Bid%5D=508/når:2024-09-02", "Vegkart")</f>
        <v>Vegkart</v>
      </c>
      <c r="B765">
        <v>989671559</v>
      </c>
      <c r="C765">
        <v>508</v>
      </c>
      <c r="D765" t="s">
        <v>2321</v>
      </c>
      <c r="E765">
        <v>5012</v>
      </c>
      <c r="F765" t="s">
        <v>23479</v>
      </c>
      <c r="G765">
        <v>7</v>
      </c>
      <c r="H765" t="s">
        <v>2327</v>
      </c>
      <c r="J765" t="s">
        <v>2714</v>
      </c>
      <c r="K765" t="s">
        <v>192</v>
      </c>
      <c r="L765" t="s">
        <v>80</v>
      </c>
      <c r="M765" t="s">
        <v>105</v>
      </c>
      <c r="N765" t="s">
        <v>2765</v>
      </c>
      <c r="O765" t="s">
        <v>2766</v>
      </c>
      <c r="P765" s="2" t="s">
        <v>165</v>
      </c>
      <c r="Q765" t="s">
        <v>641</v>
      </c>
      <c r="R765">
        <v>0</v>
      </c>
      <c r="S765">
        <v>3236.6</v>
      </c>
      <c r="T765" t="s">
        <v>167</v>
      </c>
    </row>
    <row r="766" spans="1:20" x14ac:dyDescent="0.25">
      <c r="A766" s="1" t="str">
        <f>HYPERLINK("https://vegkart.atlas.vegvesen.no/#/@263582.4,7027321.6,18/hva:hva%5B0%5D%5Bfilter%5D%5B0%5D%5Boperator%5D=%21%3D&amp;hva%5B0%5D%5Bfilter%5D%5B0%5D%5Btype_id%5D=5012&amp;hva%5B0%5D%5Bfilter%5D%5B0%5D%5Bverdi%5D=&amp;hva%5B0%5D%5Bid%5D=508/når:2024-09-02", "Vegkart")</f>
        <v>Vegkart</v>
      </c>
      <c r="B766">
        <v>989671560</v>
      </c>
      <c r="C766">
        <v>508</v>
      </c>
      <c r="D766" t="s">
        <v>2321</v>
      </c>
      <c r="E766">
        <v>5012</v>
      </c>
      <c r="F766" t="s">
        <v>23479</v>
      </c>
      <c r="G766">
        <v>2</v>
      </c>
      <c r="H766" t="s">
        <v>2327</v>
      </c>
      <c r="J766" t="s">
        <v>2714</v>
      </c>
      <c r="K766" t="s">
        <v>192</v>
      </c>
      <c r="L766" t="s">
        <v>80</v>
      </c>
      <c r="M766" t="s">
        <v>105</v>
      </c>
      <c r="N766" t="s">
        <v>2767</v>
      </c>
      <c r="O766" t="s">
        <v>2768</v>
      </c>
      <c r="P766" s="2" t="s">
        <v>67</v>
      </c>
      <c r="Q766" t="s">
        <v>68</v>
      </c>
      <c r="R766">
        <v>480.22</v>
      </c>
      <c r="S766">
        <v>480.92</v>
      </c>
      <c r="T766" t="s">
        <v>2769</v>
      </c>
    </row>
    <row r="767" spans="1:20" x14ac:dyDescent="0.25">
      <c r="A767" s="1" t="str">
        <f>HYPERLINK("https://vegkart.atlas.vegvesen.no/#/@267384.6,7030823.7,18/hva:hva%5B0%5D%5Bfilter%5D%5B0%5D%5Boperator%5D=%21%3D&amp;hva%5B0%5D%5Bfilter%5D%5B0%5D%5Btype_id%5D=5012&amp;hva%5B0%5D%5Bfilter%5D%5B0%5D%5Bverdi%5D=&amp;hva%5B0%5D%5Bid%5D=508/når:2024-09-02", "Vegkart")</f>
        <v>Vegkart</v>
      </c>
      <c r="B767">
        <v>993184222</v>
      </c>
      <c r="C767">
        <v>508</v>
      </c>
      <c r="D767" t="s">
        <v>2321</v>
      </c>
      <c r="E767">
        <v>5012</v>
      </c>
      <c r="F767" t="s">
        <v>23479</v>
      </c>
      <c r="G767">
        <v>2</v>
      </c>
      <c r="H767" t="s">
        <v>2327</v>
      </c>
      <c r="J767" t="s">
        <v>2714</v>
      </c>
      <c r="K767" t="s">
        <v>192</v>
      </c>
      <c r="L767" t="s">
        <v>80</v>
      </c>
      <c r="M767" t="s">
        <v>105</v>
      </c>
      <c r="N767" t="s">
        <v>2770</v>
      </c>
      <c r="O767" t="s">
        <v>2771</v>
      </c>
      <c r="P767" s="2" t="s">
        <v>37</v>
      </c>
      <c r="Q767" t="s">
        <v>1208</v>
      </c>
      <c r="R767">
        <v>0</v>
      </c>
      <c r="S767">
        <v>1961.64</v>
      </c>
      <c r="T767" t="s">
        <v>2772</v>
      </c>
    </row>
    <row r="768" spans="1:20" x14ac:dyDescent="0.25">
      <c r="A768" s="1" t="str">
        <f>HYPERLINK("https://vegkart.atlas.vegvesen.no/#/@268207.8,7032320.7,18/hva:hva%5B0%5D%5Bfilter%5D%5B0%5D%5Boperator%5D=%21%3D&amp;hva%5B0%5D%5Bfilter%5D%5B0%5D%5Btype_id%5D=5012&amp;hva%5B0%5D%5Bfilter%5D%5B0%5D%5Bverdi%5D=&amp;hva%5B0%5D%5Bid%5D=508/når:2024-09-02", "Vegkart")</f>
        <v>Vegkart</v>
      </c>
      <c r="B768">
        <v>993184297</v>
      </c>
      <c r="C768">
        <v>508</v>
      </c>
      <c r="D768" t="s">
        <v>2321</v>
      </c>
      <c r="E768">
        <v>5012</v>
      </c>
      <c r="F768" t="s">
        <v>23479</v>
      </c>
      <c r="G768">
        <v>3</v>
      </c>
      <c r="H768" t="s">
        <v>2327</v>
      </c>
      <c r="J768" t="s">
        <v>2714</v>
      </c>
      <c r="K768" t="s">
        <v>192</v>
      </c>
      <c r="L768" t="s">
        <v>80</v>
      </c>
      <c r="M768" t="s">
        <v>105</v>
      </c>
      <c r="N768" t="s">
        <v>2773</v>
      </c>
      <c r="O768" t="s">
        <v>2774</v>
      </c>
      <c r="P768" s="2" t="s">
        <v>67</v>
      </c>
      <c r="Q768" t="s">
        <v>68</v>
      </c>
      <c r="R768">
        <v>2413.65</v>
      </c>
      <c r="S768">
        <v>2462.08</v>
      </c>
      <c r="T768" t="s">
        <v>2775</v>
      </c>
    </row>
    <row r="769" spans="1:20" x14ac:dyDescent="0.25">
      <c r="A769" s="1" t="str">
        <f>HYPERLINK("https://vegkart.atlas.vegvesen.no/#/@269085.3,7035327.8,18/hva:hva%5B0%5D%5Bfilter%5D%5B0%5D%5Boperator%5D=%21%3D&amp;hva%5B0%5D%5Bfilter%5D%5B0%5D%5Btype_id%5D=5012&amp;hva%5B0%5D%5Bfilter%5D%5B0%5D%5Bverdi%5D=&amp;hva%5B0%5D%5Bid%5D=508/når:2024-09-02", "Vegkart")</f>
        <v>Vegkart</v>
      </c>
      <c r="B769">
        <v>993666242</v>
      </c>
      <c r="C769">
        <v>508</v>
      </c>
      <c r="D769" t="s">
        <v>2321</v>
      </c>
      <c r="E769">
        <v>5012</v>
      </c>
      <c r="F769" t="s">
        <v>23479</v>
      </c>
      <c r="G769">
        <v>3</v>
      </c>
      <c r="H769" t="s">
        <v>2327</v>
      </c>
      <c r="J769" t="s">
        <v>2714</v>
      </c>
      <c r="K769" t="s">
        <v>192</v>
      </c>
      <c r="L769" t="s">
        <v>80</v>
      </c>
      <c r="M769" t="s">
        <v>105</v>
      </c>
      <c r="N769" t="s">
        <v>2776</v>
      </c>
      <c r="O769" t="s">
        <v>2777</v>
      </c>
      <c r="P769" s="2" t="s">
        <v>67</v>
      </c>
      <c r="Q769" t="s">
        <v>68</v>
      </c>
      <c r="R769">
        <v>301.60000000000002</v>
      </c>
      <c r="S769">
        <v>302.79000000000002</v>
      </c>
      <c r="T769" t="s">
        <v>2778</v>
      </c>
    </row>
    <row r="770" spans="1:20" x14ac:dyDescent="0.25">
      <c r="A770" s="1" t="str">
        <f>HYPERLINK("https://vegkart.atlas.vegvesen.no/#/@267513.5,7030901.9,18/hva:hva%5B0%5D%5Bfilter%5D%5B0%5D%5Boperator%5D=%21%3D&amp;hva%5B0%5D%5Bfilter%5D%5B0%5D%5Btype_id%5D=5012&amp;hva%5B0%5D%5Bfilter%5D%5B0%5D%5Bverdi%5D=&amp;hva%5B0%5D%5Bid%5D=508/når:2024-09-02", "Vegkart")</f>
        <v>Vegkart</v>
      </c>
      <c r="B770">
        <v>996468663</v>
      </c>
      <c r="C770">
        <v>508</v>
      </c>
      <c r="D770" t="s">
        <v>2321</v>
      </c>
      <c r="E770">
        <v>5012</v>
      </c>
      <c r="F770" t="s">
        <v>23479</v>
      </c>
      <c r="G770">
        <v>4</v>
      </c>
      <c r="H770" t="s">
        <v>2327</v>
      </c>
      <c r="J770" t="s">
        <v>2714</v>
      </c>
      <c r="K770" t="s">
        <v>192</v>
      </c>
      <c r="L770" t="s">
        <v>80</v>
      </c>
      <c r="M770" t="s">
        <v>105</v>
      </c>
      <c r="N770" t="s">
        <v>2779</v>
      </c>
      <c r="O770" t="s">
        <v>2780</v>
      </c>
      <c r="P770" s="2" t="s">
        <v>67</v>
      </c>
      <c r="Q770" t="s">
        <v>68</v>
      </c>
      <c r="R770">
        <v>145.55000000000001</v>
      </c>
      <c r="S770">
        <v>145.62</v>
      </c>
      <c r="T770" t="s">
        <v>2781</v>
      </c>
    </row>
    <row r="771" spans="1:20" x14ac:dyDescent="0.25">
      <c r="A771" s="1" t="str">
        <f>HYPERLINK("https://vegkart.atlas.vegvesen.no/#/@340594.8,7116466.3,18/hva:hva%5B0%5D%5Bfilter%5D%5B0%5D%5Boperator%5D=%21%3D&amp;hva%5B0%5D%5Bfilter%5D%5B0%5D%5Btype_id%5D=5012&amp;hva%5B0%5D%5Bfilter%5D%5B0%5D%5Bverdi%5D=&amp;hva%5B0%5D%5Bid%5D=508/når:2024-09-02", "Vegkart")</f>
        <v>Vegkart</v>
      </c>
      <c r="B771">
        <v>1005771130</v>
      </c>
      <c r="C771">
        <v>508</v>
      </c>
      <c r="D771" t="s">
        <v>2321</v>
      </c>
      <c r="E771">
        <v>5012</v>
      </c>
      <c r="F771" t="s">
        <v>23479</v>
      </c>
      <c r="G771">
        <v>2</v>
      </c>
      <c r="H771" t="s">
        <v>2327</v>
      </c>
      <c r="J771" t="s">
        <v>2714</v>
      </c>
      <c r="K771" t="s">
        <v>192</v>
      </c>
      <c r="L771" t="s">
        <v>80</v>
      </c>
      <c r="M771" t="s">
        <v>105</v>
      </c>
      <c r="N771" t="s">
        <v>2782</v>
      </c>
      <c r="O771" t="s">
        <v>2783</v>
      </c>
      <c r="P771" s="2" t="s">
        <v>165</v>
      </c>
      <c r="Q771" t="s">
        <v>641</v>
      </c>
      <c r="R771">
        <v>0</v>
      </c>
      <c r="S771">
        <v>3112.03</v>
      </c>
      <c r="T771" t="s">
        <v>167</v>
      </c>
    </row>
    <row r="772" spans="1:20" x14ac:dyDescent="0.25">
      <c r="A772" s="1" t="str">
        <f>HYPERLINK("https://vegkart.atlas.vegvesen.no/#/@325137.4,7092823.8,18/hva:hva%5B0%5D%5Bfilter%5D%5B0%5D%5Boperator%5D=%21%3D&amp;hva%5B0%5D%5Bfilter%5D%5B0%5D%5Btype_id%5D=5012&amp;hva%5B0%5D%5Bfilter%5D%5B0%5D%5Bverdi%5D=&amp;hva%5B0%5D%5Bid%5D=508/når:2024-09-02", "Vegkart")</f>
        <v>Vegkart</v>
      </c>
      <c r="B772">
        <v>1005775279</v>
      </c>
      <c r="C772">
        <v>508</v>
      </c>
      <c r="D772" t="s">
        <v>2321</v>
      </c>
      <c r="E772">
        <v>5012</v>
      </c>
      <c r="F772" t="s">
        <v>23479</v>
      </c>
      <c r="G772">
        <v>2</v>
      </c>
      <c r="H772" t="s">
        <v>2327</v>
      </c>
      <c r="J772" t="s">
        <v>2714</v>
      </c>
      <c r="K772" t="s">
        <v>192</v>
      </c>
      <c r="L772" t="s">
        <v>80</v>
      </c>
      <c r="M772" t="s">
        <v>105</v>
      </c>
      <c r="N772" t="s">
        <v>2784</v>
      </c>
      <c r="O772" t="s">
        <v>2785</v>
      </c>
      <c r="P772" s="2" t="s">
        <v>67</v>
      </c>
      <c r="Q772" t="s">
        <v>68</v>
      </c>
      <c r="R772">
        <v>1126.45</v>
      </c>
      <c r="S772">
        <v>1149.98</v>
      </c>
      <c r="T772" t="s">
        <v>2786</v>
      </c>
    </row>
    <row r="773" spans="1:20" x14ac:dyDescent="0.25">
      <c r="A773" s="1" t="str">
        <f>HYPERLINK("https://vegkart.atlas.vegvesen.no/#/@264763.0,7029926.7,18/hva:hva%5B0%5D%5Bfilter%5D%5B0%5D%5Boperator%5D=%21%3D&amp;hva%5B0%5D%5Bfilter%5D%5B0%5D%5Btype_id%5D=5012&amp;hva%5B0%5D%5Bfilter%5D%5B0%5D%5Bverdi%5D=&amp;hva%5B0%5D%5Bid%5D=508/når:2024-09-02", "Vegkart")</f>
        <v>Vegkart</v>
      </c>
      <c r="B773">
        <v>1008753769</v>
      </c>
      <c r="C773">
        <v>508</v>
      </c>
      <c r="D773" t="s">
        <v>2321</v>
      </c>
      <c r="E773">
        <v>5012</v>
      </c>
      <c r="F773" t="s">
        <v>23479</v>
      </c>
      <c r="G773">
        <v>2</v>
      </c>
      <c r="H773" t="s">
        <v>2327</v>
      </c>
      <c r="J773" t="s">
        <v>2714</v>
      </c>
      <c r="K773" t="s">
        <v>192</v>
      </c>
      <c r="L773" t="s">
        <v>80</v>
      </c>
      <c r="M773" t="s">
        <v>105</v>
      </c>
      <c r="N773" t="s">
        <v>2787</v>
      </c>
      <c r="O773" t="s">
        <v>2788</v>
      </c>
      <c r="P773" s="2" t="s">
        <v>67</v>
      </c>
      <c r="Q773" t="s">
        <v>68</v>
      </c>
      <c r="R773">
        <v>70.739999999999995</v>
      </c>
      <c r="S773">
        <v>70.84</v>
      </c>
      <c r="T773" t="s">
        <v>2789</v>
      </c>
    </row>
    <row r="774" spans="1:20" x14ac:dyDescent="0.25">
      <c r="A774" s="1" t="str">
        <f>HYPERLINK("https://vegkart.atlas.vegvesen.no/#/@266012.3,7030408.8,18/hva:hva%5B0%5D%5Bfilter%5D%5B0%5D%5Boperator%5D=%21%3D&amp;hva%5B0%5D%5Bfilter%5D%5B0%5D%5Btype_id%5D=5012&amp;hva%5B0%5D%5Bfilter%5D%5B0%5D%5Bverdi%5D=&amp;hva%5B0%5D%5Bid%5D=508/når:2024-09-02", "Vegkart")</f>
        <v>Vegkart</v>
      </c>
      <c r="B774">
        <v>1008753770</v>
      </c>
      <c r="C774">
        <v>508</v>
      </c>
      <c r="D774" t="s">
        <v>2321</v>
      </c>
      <c r="E774">
        <v>5012</v>
      </c>
      <c r="F774" t="s">
        <v>23479</v>
      </c>
      <c r="G774">
        <v>2</v>
      </c>
      <c r="H774" t="s">
        <v>2327</v>
      </c>
      <c r="J774" t="s">
        <v>2714</v>
      </c>
      <c r="K774" t="s">
        <v>192</v>
      </c>
      <c r="L774" t="s">
        <v>80</v>
      </c>
      <c r="M774" t="s">
        <v>105</v>
      </c>
      <c r="N774" t="s">
        <v>2790</v>
      </c>
      <c r="O774" t="s">
        <v>2791</v>
      </c>
      <c r="P774" s="2" t="s">
        <v>67</v>
      </c>
      <c r="Q774" t="s">
        <v>68</v>
      </c>
      <c r="R774">
        <v>88.9</v>
      </c>
      <c r="S774">
        <v>88.93</v>
      </c>
      <c r="T774" t="s">
        <v>2792</v>
      </c>
    </row>
    <row r="775" spans="1:20" x14ac:dyDescent="0.25">
      <c r="A775" s="1" t="str">
        <f>HYPERLINK("https://vegkart.atlas.vegvesen.no/#/@267321.9,7030648.1,18/hva:hva%5B0%5D%5Bfilter%5D%5B0%5D%5Boperator%5D=%21%3D&amp;hva%5B0%5D%5Bfilter%5D%5B0%5D%5Btype_id%5D=5012&amp;hva%5B0%5D%5Bfilter%5D%5B0%5D%5Bverdi%5D=&amp;hva%5B0%5D%5Bid%5D=508/når:2024-09-02", "Vegkart")</f>
        <v>Vegkart</v>
      </c>
      <c r="B775">
        <v>1008753771</v>
      </c>
      <c r="C775">
        <v>508</v>
      </c>
      <c r="D775" t="s">
        <v>2321</v>
      </c>
      <c r="E775">
        <v>5012</v>
      </c>
      <c r="F775" t="s">
        <v>23479</v>
      </c>
      <c r="G775">
        <v>2</v>
      </c>
      <c r="H775" t="s">
        <v>2327</v>
      </c>
      <c r="J775" t="s">
        <v>2714</v>
      </c>
      <c r="K775" t="s">
        <v>192</v>
      </c>
      <c r="L775" t="s">
        <v>80</v>
      </c>
      <c r="M775" t="s">
        <v>105</v>
      </c>
      <c r="N775" t="s">
        <v>2793</v>
      </c>
      <c r="O775" t="s">
        <v>2794</v>
      </c>
      <c r="P775" s="2" t="s">
        <v>37</v>
      </c>
      <c r="Q775" t="s">
        <v>1208</v>
      </c>
      <c r="R775">
        <v>0</v>
      </c>
      <c r="S775">
        <v>158.65</v>
      </c>
      <c r="T775" t="s">
        <v>2795</v>
      </c>
    </row>
    <row r="776" spans="1:20" x14ac:dyDescent="0.25">
      <c r="A776" s="1" t="str">
        <f>HYPERLINK("https://vegkart.atlas.vegvesen.no/#/@379807.3,7161928.6,18/hva:hva%5B0%5D%5Bfilter%5D%5B0%5D%5Boperator%5D=%21%3D&amp;hva%5B0%5D%5Bfilter%5D%5B0%5D%5Btype_id%5D=5012&amp;hva%5B0%5D%5Bfilter%5D%5B0%5D%5Bverdi%5D=&amp;hva%5B0%5D%5Bid%5D=508/når:2024-09-02", "Vegkart")</f>
        <v>Vegkart</v>
      </c>
      <c r="B776">
        <v>1008853828</v>
      </c>
      <c r="C776">
        <v>508</v>
      </c>
      <c r="D776" t="s">
        <v>2321</v>
      </c>
      <c r="E776">
        <v>5012</v>
      </c>
      <c r="F776" t="s">
        <v>23479</v>
      </c>
      <c r="G776">
        <v>6</v>
      </c>
      <c r="H776" t="s">
        <v>2327</v>
      </c>
      <c r="J776" t="s">
        <v>2714</v>
      </c>
      <c r="K776" t="s">
        <v>192</v>
      </c>
      <c r="L776" t="s">
        <v>80</v>
      </c>
      <c r="M776" t="s">
        <v>105</v>
      </c>
      <c r="N776" t="s">
        <v>2796</v>
      </c>
      <c r="O776" t="s">
        <v>2797</v>
      </c>
      <c r="P776" s="2" t="s">
        <v>67</v>
      </c>
      <c r="Q776" t="s">
        <v>68</v>
      </c>
      <c r="R776">
        <v>1179.29</v>
      </c>
      <c r="S776">
        <v>1200.94</v>
      </c>
      <c r="T776" t="s">
        <v>2798</v>
      </c>
    </row>
    <row r="777" spans="1:20" x14ac:dyDescent="0.25">
      <c r="A777" s="1" t="str">
        <f>HYPERLINK("https://vegkart.atlas.vegvesen.no/#/@461867.0,7284093.7,18/hva:hva%5B0%5D%5Bfilter%5D%5B0%5D%5Boperator%5D=%21%3D&amp;hva%5B0%5D%5Bfilter%5D%5B0%5D%5Btype_id%5D=5012&amp;hva%5B0%5D%5Bfilter%5D%5B0%5D%5Bverdi%5D=&amp;hva%5B0%5D%5Bid%5D=508/når:2024-10-17", "Vegkart")</f>
        <v>Vegkart</v>
      </c>
      <c r="B777">
        <v>1008914666</v>
      </c>
      <c r="C777">
        <v>508</v>
      </c>
      <c r="D777" t="s">
        <v>2321</v>
      </c>
      <c r="E777">
        <v>5012</v>
      </c>
      <c r="F777" t="s">
        <v>23479</v>
      </c>
      <c r="G777">
        <v>3</v>
      </c>
      <c r="H777" t="s">
        <v>2799</v>
      </c>
      <c r="J777" t="s">
        <v>2714</v>
      </c>
      <c r="K777" t="s">
        <v>53</v>
      </c>
      <c r="L777" t="s">
        <v>113</v>
      </c>
      <c r="M777" t="s">
        <v>2800</v>
      </c>
      <c r="N777" t="s">
        <v>2801</v>
      </c>
      <c r="O777" t="s">
        <v>2802</v>
      </c>
      <c r="P777" s="2" t="s">
        <v>37</v>
      </c>
      <c r="Q777" t="s">
        <v>1208</v>
      </c>
      <c r="R777">
        <v>0</v>
      </c>
      <c r="S777">
        <v>136.47</v>
      </c>
      <c r="T777" t="s">
        <v>2803</v>
      </c>
    </row>
    <row r="778" spans="1:20" x14ac:dyDescent="0.25">
      <c r="A778" s="1" t="str">
        <f>HYPERLINK("https://vegkart.atlas.vegvesen.no/#/@264221.1,7028824.3,18/hva:hva%5B0%5D%5Bfilter%5D%5B0%5D%5Boperator%5D=%21%3D&amp;hva%5B0%5D%5Bfilter%5D%5B0%5D%5Btype_id%5D=5012&amp;hva%5B0%5D%5Bfilter%5D%5B0%5D%5Bverdi%5D=&amp;hva%5B0%5D%5Bid%5D=508/når:2024-09-02", "Vegkart")</f>
        <v>Vegkart</v>
      </c>
      <c r="B778">
        <v>1008947801</v>
      </c>
      <c r="C778">
        <v>508</v>
      </c>
      <c r="D778" t="s">
        <v>2321</v>
      </c>
      <c r="E778">
        <v>5012</v>
      </c>
      <c r="F778" t="s">
        <v>23479</v>
      </c>
      <c r="G778">
        <v>2</v>
      </c>
      <c r="H778" t="s">
        <v>2327</v>
      </c>
      <c r="J778" t="s">
        <v>2714</v>
      </c>
      <c r="K778" t="s">
        <v>192</v>
      </c>
      <c r="L778" t="s">
        <v>80</v>
      </c>
      <c r="M778" t="s">
        <v>105</v>
      </c>
      <c r="N778" t="s">
        <v>2804</v>
      </c>
      <c r="O778" t="s">
        <v>2805</v>
      </c>
      <c r="P778" s="2" t="s">
        <v>165</v>
      </c>
      <c r="Q778" t="s">
        <v>641</v>
      </c>
      <c r="R778">
        <v>1330.64</v>
      </c>
      <c r="S778">
        <v>4676.49</v>
      </c>
      <c r="T778" t="s">
        <v>167</v>
      </c>
    </row>
    <row r="779" spans="1:20" x14ac:dyDescent="0.25">
      <c r="A779" s="1" t="str">
        <f>HYPERLINK("https://vegkart.atlas.vegvesen.no/#/@264769.7,7030045.4,18/hva:hva%5B0%5D%5Bfilter%5D%5B0%5D%5Boperator%5D=%21%3D&amp;hva%5B0%5D%5Bfilter%5D%5B0%5D%5Btype_id%5D=5012&amp;hva%5B0%5D%5Bfilter%5D%5B0%5D%5Bverdi%5D=&amp;hva%5B0%5D%5Bid%5D=508/når:2024-09-02", "Vegkart")</f>
        <v>Vegkart</v>
      </c>
      <c r="B779">
        <v>1008947803</v>
      </c>
      <c r="C779">
        <v>508</v>
      </c>
      <c r="D779" t="s">
        <v>2321</v>
      </c>
      <c r="E779">
        <v>5012</v>
      </c>
      <c r="F779" t="s">
        <v>23479</v>
      </c>
      <c r="G779">
        <v>2</v>
      </c>
      <c r="H779" t="s">
        <v>2327</v>
      </c>
      <c r="J779" t="s">
        <v>2714</v>
      </c>
      <c r="K779" t="s">
        <v>192</v>
      </c>
      <c r="L779" t="s">
        <v>80</v>
      </c>
      <c r="M779" t="s">
        <v>105</v>
      </c>
      <c r="N779" t="s">
        <v>2806</v>
      </c>
      <c r="O779" t="s">
        <v>2807</v>
      </c>
      <c r="P779" s="2" t="s">
        <v>26</v>
      </c>
      <c r="Q779" t="s">
        <v>50</v>
      </c>
      <c r="R779">
        <v>5.0199999999999996</v>
      </c>
      <c r="S779">
        <v>5.05</v>
      </c>
      <c r="T779" t="s">
        <v>2808</v>
      </c>
    </row>
    <row r="780" spans="1:20" x14ac:dyDescent="0.25">
      <c r="A780" s="1" t="str">
        <f>HYPERLINK("https://vegkart.atlas.vegvesen.no/#/@265708.4,7030188.6,18/hva:hva%5B0%5D%5Bfilter%5D%5B0%5D%5Boperator%5D=%21%3D&amp;hva%5B0%5D%5Bfilter%5D%5B0%5D%5Btype_id%5D=5012&amp;hva%5B0%5D%5Bfilter%5D%5B0%5D%5Bverdi%5D=&amp;hva%5B0%5D%5Bid%5D=508/når:2024-09-02", "Vegkart")</f>
        <v>Vegkart</v>
      </c>
      <c r="B780">
        <v>1008947804</v>
      </c>
      <c r="C780">
        <v>508</v>
      </c>
      <c r="D780" t="s">
        <v>2321</v>
      </c>
      <c r="E780">
        <v>5012</v>
      </c>
      <c r="F780" t="s">
        <v>23479</v>
      </c>
      <c r="G780">
        <v>2</v>
      </c>
      <c r="H780" t="s">
        <v>2327</v>
      </c>
      <c r="J780" t="s">
        <v>2714</v>
      </c>
      <c r="K780" t="s">
        <v>192</v>
      </c>
      <c r="L780" t="s">
        <v>80</v>
      </c>
      <c r="M780" t="s">
        <v>105</v>
      </c>
      <c r="N780" t="s">
        <v>2809</v>
      </c>
      <c r="O780" t="s">
        <v>2810</v>
      </c>
      <c r="P780" s="2" t="s">
        <v>67</v>
      </c>
      <c r="Q780" t="s">
        <v>68</v>
      </c>
      <c r="R780">
        <v>2533.06</v>
      </c>
      <c r="S780">
        <v>2635.74</v>
      </c>
      <c r="T780" t="s">
        <v>2811</v>
      </c>
    </row>
    <row r="781" spans="1:20" x14ac:dyDescent="0.25">
      <c r="A781" s="1" t="str">
        <f>HYPERLINK("https://vegkart.atlas.vegvesen.no/#/@264671.2,7030261.9,18/hva:hva%5B0%5D%5Bfilter%5D%5B0%5D%5Boperator%5D=%21%3D&amp;hva%5B0%5D%5Bfilter%5D%5B0%5D%5Btype_id%5D=5012&amp;hva%5B0%5D%5Bfilter%5D%5B0%5D%5Bverdi%5D=&amp;hva%5B0%5D%5Bid%5D=508/når:2024-09-02", "Vegkart")</f>
        <v>Vegkart</v>
      </c>
      <c r="B781">
        <v>1008947838</v>
      </c>
      <c r="C781">
        <v>508</v>
      </c>
      <c r="D781" t="s">
        <v>2321</v>
      </c>
      <c r="E781">
        <v>5012</v>
      </c>
      <c r="F781" t="s">
        <v>23479</v>
      </c>
      <c r="G781">
        <v>2</v>
      </c>
      <c r="H781" t="s">
        <v>2327</v>
      </c>
      <c r="J781" t="s">
        <v>2714</v>
      </c>
      <c r="K781" t="s">
        <v>192</v>
      </c>
      <c r="L781" t="s">
        <v>80</v>
      </c>
      <c r="M781" t="s">
        <v>81</v>
      </c>
      <c r="N781" t="s">
        <v>2812</v>
      </c>
      <c r="O781" t="s">
        <v>2813</v>
      </c>
      <c r="P781" s="2" t="s">
        <v>67</v>
      </c>
      <c r="Q781" t="s">
        <v>68</v>
      </c>
      <c r="R781">
        <v>309.19</v>
      </c>
      <c r="S781">
        <v>323.57</v>
      </c>
      <c r="T781" t="s">
        <v>2814</v>
      </c>
    </row>
    <row r="782" spans="1:20" x14ac:dyDescent="0.25">
      <c r="A782" s="1" t="str">
        <f>HYPERLINK("https://vegkart.atlas.vegvesen.no/#/@264807.4,7030160.4,18/hva:hva%5B0%5D%5Bfilter%5D%5B0%5D%5Boperator%5D=%21%3D&amp;hva%5B0%5D%5Bfilter%5D%5B0%5D%5Btype_id%5D=5012&amp;hva%5B0%5D%5Bfilter%5D%5B0%5D%5Bverdi%5D=&amp;hva%5B0%5D%5Bid%5D=508/når:2024-09-02", "Vegkart")</f>
        <v>Vegkart</v>
      </c>
      <c r="B782">
        <v>1008947840</v>
      </c>
      <c r="C782">
        <v>508</v>
      </c>
      <c r="D782" t="s">
        <v>2321</v>
      </c>
      <c r="E782">
        <v>5012</v>
      </c>
      <c r="F782" t="s">
        <v>23479</v>
      </c>
      <c r="G782">
        <v>2</v>
      </c>
      <c r="H782" t="s">
        <v>2327</v>
      </c>
      <c r="J782" t="s">
        <v>2714</v>
      </c>
      <c r="K782" t="s">
        <v>192</v>
      </c>
      <c r="L782" t="s">
        <v>80</v>
      </c>
      <c r="M782" t="s">
        <v>105</v>
      </c>
      <c r="N782" t="s">
        <v>2815</v>
      </c>
      <c r="O782" t="s">
        <v>2816</v>
      </c>
      <c r="P782" s="2" t="s">
        <v>67</v>
      </c>
      <c r="Q782" t="s">
        <v>68</v>
      </c>
      <c r="R782">
        <v>82.62</v>
      </c>
      <c r="S782">
        <v>83.65</v>
      </c>
      <c r="T782" t="s">
        <v>2817</v>
      </c>
    </row>
    <row r="783" spans="1:20" x14ac:dyDescent="0.25">
      <c r="A783" s="1" t="str">
        <f>HYPERLINK("https://vegkart.atlas.vegvesen.no/#/@264773.7,7030083.3,18/hva:hva%5B0%5D%5Bfilter%5D%5B0%5D%5Boperator%5D=%21%3D&amp;hva%5B0%5D%5Bfilter%5D%5B0%5D%5Btype_id%5D=5012&amp;hva%5B0%5D%5Bfilter%5D%5B0%5D%5Bverdi%5D=&amp;hva%5B0%5D%5Bid%5D=508/når:2024-09-02", "Vegkart")</f>
        <v>Vegkart</v>
      </c>
      <c r="B783">
        <v>1008947841</v>
      </c>
      <c r="C783">
        <v>508</v>
      </c>
      <c r="D783" t="s">
        <v>2321</v>
      </c>
      <c r="E783">
        <v>5012</v>
      </c>
      <c r="F783" t="s">
        <v>23479</v>
      </c>
      <c r="G783">
        <v>2</v>
      </c>
      <c r="H783" t="s">
        <v>2327</v>
      </c>
      <c r="J783" t="s">
        <v>2714</v>
      </c>
      <c r="K783" t="s">
        <v>192</v>
      </c>
      <c r="L783" t="s">
        <v>80</v>
      </c>
      <c r="M783" t="s">
        <v>105</v>
      </c>
      <c r="N783" t="s">
        <v>2818</v>
      </c>
      <c r="O783" t="s">
        <v>2819</v>
      </c>
      <c r="P783" s="2" t="s">
        <v>67</v>
      </c>
      <c r="Q783" t="s">
        <v>68</v>
      </c>
      <c r="R783">
        <v>50.41</v>
      </c>
      <c r="S783">
        <v>50.84</v>
      </c>
      <c r="T783" t="s">
        <v>2820</v>
      </c>
    </row>
    <row r="784" spans="1:20" x14ac:dyDescent="0.25">
      <c r="A784" s="1" t="str">
        <f>HYPERLINK("https://vegkart.atlas.vegvesen.no/#/@264824.7,7030113.6,18/hva:hva%5B0%5D%5Bfilter%5D%5B0%5D%5Boperator%5D=%21%3D&amp;hva%5B0%5D%5Bfilter%5D%5B0%5D%5Btype_id%5D=5012&amp;hva%5B0%5D%5Bfilter%5D%5B0%5D%5Bverdi%5D=&amp;hva%5B0%5D%5Bid%5D=508/når:2024-09-02", "Vegkart")</f>
        <v>Vegkart</v>
      </c>
      <c r="B784">
        <v>1008947842</v>
      </c>
      <c r="C784">
        <v>508</v>
      </c>
      <c r="D784" t="s">
        <v>2321</v>
      </c>
      <c r="E784">
        <v>5012</v>
      </c>
      <c r="F784" t="s">
        <v>23479</v>
      </c>
      <c r="G784">
        <v>2</v>
      </c>
      <c r="H784" t="s">
        <v>2327</v>
      </c>
      <c r="J784" t="s">
        <v>2714</v>
      </c>
      <c r="K784" t="s">
        <v>192</v>
      </c>
      <c r="L784" t="s">
        <v>80</v>
      </c>
      <c r="M784" t="s">
        <v>105</v>
      </c>
      <c r="N784" t="s">
        <v>2821</v>
      </c>
      <c r="O784" t="s">
        <v>2822</v>
      </c>
      <c r="P784" s="2" t="s">
        <v>67</v>
      </c>
      <c r="Q784" t="s">
        <v>68</v>
      </c>
      <c r="R784">
        <v>91.81</v>
      </c>
      <c r="S784">
        <v>104.03</v>
      </c>
      <c r="T784" t="s">
        <v>2823</v>
      </c>
    </row>
    <row r="785" spans="1:20" x14ac:dyDescent="0.25">
      <c r="A785" s="1" t="str">
        <f>HYPERLINK("https://vegkart.atlas.vegvesen.no/#/@82538.9,6809233.8,18/hva:hva%5B0%5D%5Bfilter%5D%5B0%5D%5Boperator%5D=%21%3D&amp;hva%5B0%5D%5Bfilter%5D%5B0%5D%5Btype_id%5D=5012&amp;hva%5B0%5D%5Bfilter%5D%5B0%5D%5Bverdi%5D=&amp;hva%5B0%5D%5Bid%5D=508/når:2023-03-21", "Vegkart")</f>
        <v>Vegkart</v>
      </c>
      <c r="B785">
        <v>1008952778</v>
      </c>
      <c r="C785">
        <v>508</v>
      </c>
      <c r="D785" t="s">
        <v>2321</v>
      </c>
      <c r="E785">
        <v>5012</v>
      </c>
      <c r="F785" t="s">
        <v>23479</v>
      </c>
      <c r="G785">
        <v>3</v>
      </c>
      <c r="H785" t="s">
        <v>2824</v>
      </c>
      <c r="J785" t="s">
        <v>2714</v>
      </c>
      <c r="K785" t="s">
        <v>21</v>
      </c>
      <c r="L785" t="s">
        <v>113</v>
      </c>
      <c r="M785" t="s">
        <v>507</v>
      </c>
      <c r="N785" t="s">
        <v>2825</v>
      </c>
      <c r="O785" t="s">
        <v>2826</v>
      </c>
      <c r="P785" s="2" t="s">
        <v>67</v>
      </c>
      <c r="Q785" t="s">
        <v>68</v>
      </c>
      <c r="R785">
        <v>642.04999999999995</v>
      </c>
      <c r="S785">
        <v>649.99</v>
      </c>
      <c r="T785" t="s">
        <v>2827</v>
      </c>
    </row>
    <row r="786" spans="1:20" x14ac:dyDescent="0.25">
      <c r="A786" s="1" t="str">
        <f>HYPERLINK("https://vegkart.atlas.vegvesen.no/#/@77745.3,6813951.7,18/hva:hva%5B0%5D%5Bfilter%5D%5B0%5D%5Boperator%5D=%21%3D&amp;hva%5B0%5D%5Bfilter%5D%5B0%5D%5Btype_id%5D=5012&amp;hva%5B0%5D%5Bfilter%5D%5B0%5D%5Bverdi%5D=&amp;hva%5B0%5D%5Bid%5D=508/når:2022-02-15", "Vegkart")</f>
        <v>Vegkart</v>
      </c>
      <c r="B786">
        <v>1008988448</v>
      </c>
      <c r="C786">
        <v>508</v>
      </c>
      <c r="D786" t="s">
        <v>2321</v>
      </c>
      <c r="E786">
        <v>5012</v>
      </c>
      <c r="F786" t="s">
        <v>23479</v>
      </c>
      <c r="G786">
        <v>2</v>
      </c>
      <c r="H786" t="s">
        <v>2828</v>
      </c>
      <c r="J786" t="s">
        <v>2714</v>
      </c>
      <c r="K786" t="s">
        <v>21</v>
      </c>
      <c r="L786" t="s">
        <v>113</v>
      </c>
      <c r="M786" t="s">
        <v>507</v>
      </c>
      <c r="N786" t="s">
        <v>2829</v>
      </c>
      <c r="O786" t="s">
        <v>2830</v>
      </c>
      <c r="P786" s="2" t="s">
        <v>67</v>
      </c>
      <c r="Q786" t="s">
        <v>68</v>
      </c>
      <c r="R786">
        <v>61.44</v>
      </c>
      <c r="S786">
        <v>63.81</v>
      </c>
      <c r="T786" t="s">
        <v>2831</v>
      </c>
    </row>
    <row r="787" spans="1:20" x14ac:dyDescent="0.25">
      <c r="A787" s="1" t="str">
        <f>HYPERLINK("https://vegkart.atlas.vegvesen.no/#/@453482.7,7275282.2,18/hva:hva%5B0%5D%5Bfilter%5D%5B0%5D%5Boperator%5D=%21%3D&amp;hva%5B0%5D%5Bfilter%5D%5B0%5D%5Btype_id%5D=5012&amp;hva%5B0%5D%5Bfilter%5D%5B0%5D%5Bverdi%5D=&amp;hva%5B0%5D%5Bid%5D=508/når:2024-10-17", "Vegkart")</f>
        <v>Vegkart</v>
      </c>
      <c r="B787">
        <v>1009176405</v>
      </c>
      <c r="C787">
        <v>508</v>
      </c>
      <c r="D787" t="s">
        <v>2321</v>
      </c>
      <c r="E787">
        <v>5012</v>
      </c>
      <c r="F787" t="s">
        <v>23479</v>
      </c>
      <c r="G787">
        <v>4</v>
      </c>
      <c r="H787" t="s">
        <v>2799</v>
      </c>
      <c r="J787" t="s">
        <v>2714</v>
      </c>
      <c r="K787" t="s">
        <v>53</v>
      </c>
      <c r="L787" t="s">
        <v>113</v>
      </c>
      <c r="M787" t="s">
        <v>2800</v>
      </c>
      <c r="N787" t="s">
        <v>2832</v>
      </c>
      <c r="O787" t="s">
        <v>2833</v>
      </c>
      <c r="P787" s="2" t="s">
        <v>37</v>
      </c>
      <c r="Q787" t="s">
        <v>1208</v>
      </c>
      <c r="R787">
        <v>5.86</v>
      </c>
      <c r="S787">
        <v>71.739999999999995</v>
      </c>
      <c r="T787" t="s">
        <v>2834</v>
      </c>
    </row>
    <row r="788" spans="1:20" x14ac:dyDescent="0.25">
      <c r="A788" s="1" t="str">
        <f>HYPERLINK("https://vegkart.atlas.vegvesen.no/#/@325806.3,7076257.7,18/hva:hva%5B0%5D%5Bfilter%5D%5B0%5D%5Boperator%5D=%21%3D&amp;hva%5B0%5D%5Bfilter%5D%5B0%5D%5Btype_id%5D=5012&amp;hva%5B0%5D%5Bfilter%5D%5B0%5D%5Bverdi%5D=&amp;hva%5B0%5D%5Bid%5D=508/når:2024-09-02", "Vegkart")</f>
        <v>Vegkart</v>
      </c>
      <c r="B788">
        <v>1010892952</v>
      </c>
      <c r="C788">
        <v>508</v>
      </c>
      <c r="D788" t="s">
        <v>2321</v>
      </c>
      <c r="E788">
        <v>5012</v>
      </c>
      <c r="F788" t="s">
        <v>23479</v>
      </c>
      <c r="G788">
        <v>2</v>
      </c>
      <c r="H788" t="s">
        <v>2327</v>
      </c>
      <c r="J788" t="s">
        <v>2714</v>
      </c>
      <c r="K788" t="s">
        <v>192</v>
      </c>
      <c r="L788" t="s">
        <v>80</v>
      </c>
      <c r="M788" t="s">
        <v>105</v>
      </c>
      <c r="N788" t="s">
        <v>2835</v>
      </c>
      <c r="O788" t="s">
        <v>2836</v>
      </c>
      <c r="P788" s="2" t="s">
        <v>67</v>
      </c>
      <c r="Q788" t="s">
        <v>68</v>
      </c>
      <c r="R788">
        <v>211.4</v>
      </c>
      <c r="S788">
        <v>211.98</v>
      </c>
      <c r="T788" t="s">
        <v>2837</v>
      </c>
    </row>
    <row r="789" spans="1:20" x14ac:dyDescent="0.25">
      <c r="A789" s="1" t="str">
        <f>HYPERLINK("https://vegkart.atlas.vegvesen.no/#/@149544.4,6971462.8,18/hva:hva%5B0%5D%5Bfilter%5D%5B0%5D%5Boperator%5D=%21%3D&amp;hva%5B0%5D%5Bfilter%5D%5B0%5D%5Btype_id%5D=5012&amp;hva%5B0%5D%5Bfilter%5D%5B0%5D%5Bverdi%5D=&amp;hva%5B0%5D%5Bid%5D=508/når:2021-02-12", "Vegkart")</f>
        <v>Vegkart</v>
      </c>
      <c r="B789">
        <v>1013319399</v>
      </c>
      <c r="C789">
        <v>508</v>
      </c>
      <c r="D789" t="s">
        <v>2321</v>
      </c>
      <c r="E789">
        <v>5012</v>
      </c>
      <c r="F789" t="s">
        <v>23479</v>
      </c>
      <c r="G789">
        <v>1</v>
      </c>
      <c r="H789" t="s">
        <v>1202</v>
      </c>
      <c r="J789" t="s">
        <v>2714</v>
      </c>
      <c r="K789" t="s">
        <v>32</v>
      </c>
      <c r="L789" t="s">
        <v>33</v>
      </c>
      <c r="M789" t="s">
        <v>162</v>
      </c>
      <c r="N789" t="s">
        <v>2838</v>
      </c>
      <c r="O789" t="s">
        <v>2839</v>
      </c>
      <c r="P789" s="2" t="s">
        <v>67</v>
      </c>
      <c r="Q789" t="s">
        <v>68</v>
      </c>
      <c r="R789">
        <v>55.59</v>
      </c>
      <c r="S789">
        <v>55.59</v>
      </c>
      <c r="T789" t="s">
        <v>2840</v>
      </c>
    </row>
    <row r="790" spans="1:20" x14ac:dyDescent="0.25">
      <c r="A790" s="1" t="str">
        <f>HYPERLINK("https://vegkart.atlas.vegvesen.no/#/@328810.5,7102314.0,18/hva:hva%5B0%5D%5Bfilter%5D%5B0%5D%5Boperator%5D=%21%3D&amp;hva%5B0%5D%5Bfilter%5D%5B0%5D%5Btype_id%5D=5012&amp;hva%5B0%5D%5Bfilter%5D%5B0%5D%5Bverdi%5D=&amp;hva%5B0%5D%5Bid%5D=508/når:2024-09-02", "Vegkart")</f>
        <v>Vegkart</v>
      </c>
      <c r="B790">
        <v>1013336525</v>
      </c>
      <c r="C790">
        <v>508</v>
      </c>
      <c r="D790" t="s">
        <v>2321</v>
      </c>
      <c r="E790">
        <v>5012</v>
      </c>
      <c r="F790" t="s">
        <v>23479</v>
      </c>
      <c r="G790">
        <v>2</v>
      </c>
      <c r="H790" t="s">
        <v>2327</v>
      </c>
      <c r="J790" t="s">
        <v>2714</v>
      </c>
      <c r="K790" t="s">
        <v>192</v>
      </c>
      <c r="L790" t="s">
        <v>80</v>
      </c>
      <c r="M790" t="s">
        <v>105</v>
      </c>
      <c r="N790" t="s">
        <v>2841</v>
      </c>
      <c r="O790" t="s">
        <v>2842</v>
      </c>
      <c r="P790" s="2" t="s">
        <v>165</v>
      </c>
      <c r="Q790" t="s">
        <v>641</v>
      </c>
      <c r="R790">
        <v>38.51</v>
      </c>
      <c r="S790">
        <v>235.79</v>
      </c>
      <c r="T790" t="s">
        <v>167</v>
      </c>
    </row>
    <row r="791" spans="1:20" x14ac:dyDescent="0.25">
      <c r="A791" s="1" t="str">
        <f>HYPERLINK("https://vegkart.atlas.vegvesen.no/#/@328907.0,7102453.6,18/hva:hva%5B0%5D%5Bfilter%5D%5B0%5D%5Boperator%5D=%21%3D&amp;hva%5B0%5D%5Bfilter%5D%5B0%5D%5Btype_id%5D=5012&amp;hva%5B0%5D%5Bfilter%5D%5B0%5D%5Bverdi%5D=&amp;hva%5B0%5D%5Bid%5D=508/når:2024-09-02", "Vegkart")</f>
        <v>Vegkart</v>
      </c>
      <c r="B791">
        <v>1013336528</v>
      </c>
      <c r="C791">
        <v>508</v>
      </c>
      <c r="D791" t="s">
        <v>2321</v>
      </c>
      <c r="E791">
        <v>5012</v>
      </c>
      <c r="F791" t="s">
        <v>23479</v>
      </c>
      <c r="G791">
        <v>3</v>
      </c>
      <c r="H791" t="s">
        <v>2327</v>
      </c>
      <c r="J791" t="s">
        <v>2714</v>
      </c>
      <c r="K791" t="s">
        <v>192</v>
      </c>
      <c r="L791" t="s">
        <v>80</v>
      </c>
      <c r="M791" t="s">
        <v>105</v>
      </c>
      <c r="N791" t="s">
        <v>2843</v>
      </c>
      <c r="O791" t="s">
        <v>2844</v>
      </c>
      <c r="P791" s="2" t="s">
        <v>67</v>
      </c>
      <c r="Q791" t="s">
        <v>68</v>
      </c>
      <c r="R791">
        <v>110.02</v>
      </c>
      <c r="S791">
        <v>110.88</v>
      </c>
      <c r="T791" t="s">
        <v>2845</v>
      </c>
    </row>
    <row r="792" spans="1:20" x14ac:dyDescent="0.25">
      <c r="A792" s="1" t="str">
        <f>HYPERLINK("https://vegkart.atlas.vegvesen.no/#/@326832.4,7101086.8,18/hva:hva%5B0%5D%5Bfilter%5D%5B0%5D%5Boperator%5D=%21%3D&amp;hva%5B0%5D%5Bfilter%5D%5B0%5D%5Btype_id%5D=5012&amp;hva%5B0%5D%5Bfilter%5D%5B0%5D%5Bverdi%5D=&amp;hva%5B0%5D%5Bid%5D=508/når:2024-09-02", "Vegkart")</f>
        <v>Vegkart</v>
      </c>
      <c r="B792">
        <v>1013337051</v>
      </c>
      <c r="C792">
        <v>508</v>
      </c>
      <c r="D792" t="s">
        <v>2321</v>
      </c>
      <c r="E792">
        <v>5012</v>
      </c>
      <c r="F792" t="s">
        <v>23479</v>
      </c>
      <c r="G792">
        <v>2</v>
      </c>
      <c r="H792" t="s">
        <v>2327</v>
      </c>
      <c r="J792" t="s">
        <v>2714</v>
      </c>
      <c r="K792" t="s">
        <v>192</v>
      </c>
      <c r="L792" t="s">
        <v>80</v>
      </c>
      <c r="M792" t="s">
        <v>105</v>
      </c>
      <c r="N792" t="s">
        <v>2846</v>
      </c>
      <c r="O792" t="s">
        <v>2847</v>
      </c>
      <c r="P792" s="2" t="s">
        <v>67</v>
      </c>
      <c r="Q792" t="s">
        <v>68</v>
      </c>
      <c r="R792">
        <v>239.21</v>
      </c>
      <c r="S792">
        <v>241.94</v>
      </c>
      <c r="T792" t="s">
        <v>2848</v>
      </c>
    </row>
    <row r="793" spans="1:20" x14ac:dyDescent="0.25">
      <c r="A793" s="1" t="str">
        <f>HYPERLINK("https://vegkart.atlas.vegvesen.no/#/@325053.9,7099400.7,18/hva:hva%5B0%5D%5Bfilter%5D%5B0%5D%5Boperator%5D=%21%3D&amp;hva%5B0%5D%5Bfilter%5D%5B0%5D%5Btype_id%5D=5012&amp;hva%5B0%5D%5Bfilter%5D%5B0%5D%5Bverdi%5D=&amp;hva%5B0%5D%5Bid%5D=508/når:2024-09-02", "Vegkart")</f>
        <v>Vegkart</v>
      </c>
      <c r="B793">
        <v>1013337055</v>
      </c>
      <c r="C793">
        <v>508</v>
      </c>
      <c r="D793" t="s">
        <v>2321</v>
      </c>
      <c r="E793">
        <v>5012</v>
      </c>
      <c r="F793" t="s">
        <v>23479</v>
      </c>
      <c r="G793">
        <v>3</v>
      </c>
      <c r="H793" t="s">
        <v>2327</v>
      </c>
      <c r="J793" t="s">
        <v>2714</v>
      </c>
      <c r="K793" t="s">
        <v>192</v>
      </c>
      <c r="L793" t="s">
        <v>80</v>
      </c>
      <c r="M793" t="s">
        <v>105</v>
      </c>
      <c r="N793" t="s">
        <v>2849</v>
      </c>
      <c r="O793" t="s">
        <v>2850</v>
      </c>
      <c r="P793" s="2" t="s">
        <v>37</v>
      </c>
      <c r="Q793" t="s">
        <v>1208</v>
      </c>
      <c r="R793">
        <v>0</v>
      </c>
      <c r="S793">
        <v>722.8</v>
      </c>
      <c r="T793" t="s">
        <v>2851</v>
      </c>
    </row>
    <row r="794" spans="1:20" x14ac:dyDescent="0.25">
      <c r="A794" s="1" t="str">
        <f>HYPERLINK("https://vegkart.atlas.vegvesen.no/#/@324585.2,7098455.5,18/hva:hva%5B0%5D%5Bfilter%5D%5B0%5D%5Boperator%5D=%21%3D&amp;hva%5B0%5D%5Bfilter%5D%5B0%5D%5Btype_id%5D=5012&amp;hva%5B0%5D%5Bfilter%5D%5B0%5D%5Bverdi%5D=&amp;hva%5B0%5D%5Bid%5D=508/når:2024-09-02", "Vegkart")</f>
        <v>Vegkart</v>
      </c>
      <c r="B794">
        <v>1013337201</v>
      </c>
      <c r="C794">
        <v>508</v>
      </c>
      <c r="D794" t="s">
        <v>2321</v>
      </c>
      <c r="E794">
        <v>5012</v>
      </c>
      <c r="F794" t="s">
        <v>23479</v>
      </c>
      <c r="G794">
        <v>5</v>
      </c>
      <c r="H794" t="s">
        <v>2327</v>
      </c>
      <c r="J794" t="s">
        <v>2714</v>
      </c>
      <c r="K794" t="s">
        <v>192</v>
      </c>
      <c r="L794" t="s">
        <v>80</v>
      </c>
      <c r="M794" t="s">
        <v>105</v>
      </c>
      <c r="N794" t="s">
        <v>2852</v>
      </c>
      <c r="O794" t="s">
        <v>2853</v>
      </c>
      <c r="P794" s="2" t="s">
        <v>67</v>
      </c>
      <c r="Q794" t="s">
        <v>68</v>
      </c>
      <c r="R794">
        <v>472.64</v>
      </c>
      <c r="S794">
        <v>473.61</v>
      </c>
      <c r="T794" t="s">
        <v>2854</v>
      </c>
    </row>
    <row r="795" spans="1:20" x14ac:dyDescent="0.25">
      <c r="A795" s="1" t="str">
        <f>HYPERLINK("https://vegkart.atlas.vegvesen.no/#/@264811.6,7030122.3,18/hva:hva%5B0%5D%5Bfilter%5D%5B0%5D%5Boperator%5D=%21%3D&amp;hva%5B0%5D%5Bfilter%5D%5B0%5D%5Btype_id%5D=5012&amp;hva%5B0%5D%5Bfilter%5D%5B0%5D%5Bverdi%5D=&amp;hva%5B0%5D%5Bid%5D=508/når:2024-09-02", "Vegkart")</f>
        <v>Vegkart</v>
      </c>
      <c r="B795">
        <v>1013458140</v>
      </c>
      <c r="C795">
        <v>508</v>
      </c>
      <c r="D795" t="s">
        <v>2321</v>
      </c>
      <c r="E795">
        <v>5012</v>
      </c>
      <c r="F795" t="s">
        <v>23479</v>
      </c>
      <c r="G795">
        <v>2</v>
      </c>
      <c r="H795" t="s">
        <v>2327</v>
      </c>
      <c r="J795" t="s">
        <v>2855</v>
      </c>
      <c r="K795" t="s">
        <v>192</v>
      </c>
      <c r="L795" t="s">
        <v>80</v>
      </c>
      <c r="M795" t="s">
        <v>105</v>
      </c>
      <c r="N795" t="s">
        <v>2856</v>
      </c>
      <c r="O795" t="s">
        <v>2857</v>
      </c>
      <c r="P795" s="2" t="s">
        <v>67</v>
      </c>
      <c r="Q795" t="s">
        <v>68</v>
      </c>
      <c r="R795">
        <v>106.32</v>
      </c>
      <c r="S795">
        <v>106.41</v>
      </c>
      <c r="T795" t="s">
        <v>2858</v>
      </c>
    </row>
    <row r="796" spans="1:20" x14ac:dyDescent="0.25">
      <c r="A796" s="1" t="str">
        <f>HYPERLINK("https://vegkart.atlas.vegvesen.no/#/@76432.9,6813784.4,18/hva:hva%5B0%5D%5Bfilter%5D%5B0%5D%5Boperator%5D=%21%3D&amp;hva%5B0%5D%5Bfilter%5D%5B0%5D%5Btype_id%5D=5012&amp;hva%5B0%5D%5Bfilter%5D%5B0%5D%5Bverdi%5D=&amp;hva%5B0%5D%5Bid%5D=508/når:2021-07-01", "Vegkart")</f>
        <v>Vegkart</v>
      </c>
      <c r="B796">
        <v>1013719075</v>
      </c>
      <c r="C796">
        <v>508</v>
      </c>
      <c r="D796" t="s">
        <v>2321</v>
      </c>
      <c r="E796">
        <v>5012</v>
      </c>
      <c r="F796" t="s">
        <v>23479</v>
      </c>
      <c r="G796">
        <v>2</v>
      </c>
      <c r="H796" t="s">
        <v>2859</v>
      </c>
      <c r="J796" t="s">
        <v>2855</v>
      </c>
      <c r="K796" t="s">
        <v>21</v>
      </c>
      <c r="L796" t="s">
        <v>113</v>
      </c>
      <c r="M796" t="s">
        <v>114</v>
      </c>
      <c r="N796" t="s">
        <v>2860</v>
      </c>
      <c r="O796" t="s">
        <v>2861</v>
      </c>
      <c r="P796" s="2" t="s">
        <v>67</v>
      </c>
      <c r="Q796" t="s">
        <v>68</v>
      </c>
      <c r="R796">
        <v>383.76</v>
      </c>
      <c r="S796">
        <v>398.26</v>
      </c>
      <c r="T796" t="s">
        <v>2862</v>
      </c>
    </row>
    <row r="797" spans="1:20" x14ac:dyDescent="0.25">
      <c r="A797" s="1" t="str">
        <f>HYPERLINK("https://vegkart.atlas.vegvesen.no/#/@169702.3,6965298.5,18/hva:hva%5B0%5D%5Bfilter%5D%5B0%5D%5Boperator%5D=%21%3D&amp;hva%5B0%5D%5Bfilter%5D%5B0%5D%5Btype_id%5D=5012&amp;hva%5B0%5D%5Bfilter%5D%5B0%5D%5Bverdi%5D=&amp;hva%5B0%5D%5Bid%5D=508/når:2025-11-14", "Vegkart")</f>
        <v>Vegkart</v>
      </c>
      <c r="B797">
        <v>1014130502</v>
      </c>
      <c r="C797">
        <v>508</v>
      </c>
      <c r="D797" t="s">
        <v>2321</v>
      </c>
      <c r="E797">
        <v>5012</v>
      </c>
      <c r="F797" t="s">
        <v>23479</v>
      </c>
      <c r="G797">
        <v>2</v>
      </c>
      <c r="H797" t="s">
        <v>2863</v>
      </c>
      <c r="J797" t="s">
        <v>2855</v>
      </c>
      <c r="K797" t="s">
        <v>32</v>
      </c>
      <c r="L797" t="s">
        <v>33</v>
      </c>
      <c r="M797" t="s">
        <v>2676</v>
      </c>
      <c r="N797" t="s">
        <v>2864</v>
      </c>
      <c r="O797" t="s">
        <v>2865</v>
      </c>
      <c r="P797" s="2" t="s">
        <v>67</v>
      </c>
      <c r="Q797" t="s">
        <v>68</v>
      </c>
      <c r="R797">
        <v>1368.47</v>
      </c>
      <c r="S797">
        <v>1485.27</v>
      </c>
      <c r="T797" t="s">
        <v>2866</v>
      </c>
    </row>
    <row r="798" spans="1:20" x14ac:dyDescent="0.25">
      <c r="A798" s="1" t="str">
        <f>HYPERLINK("https://vegkart.atlas.vegvesen.no/#/@227557.3,6951659.0,18/hva:hva%5B0%5D%5Bfilter%5D%5B0%5D%5Boperator%5D=%21%3D&amp;hva%5B0%5D%5Bfilter%5D%5B0%5D%5Btype_id%5D=5012&amp;hva%5B0%5D%5Bfilter%5D%5B0%5D%5Bverdi%5D=&amp;hva%5B0%5D%5Bid%5D=508/når:2021-11-19", "Vegkart")</f>
        <v>Vegkart</v>
      </c>
      <c r="B798">
        <v>1014165275</v>
      </c>
      <c r="C798">
        <v>508</v>
      </c>
      <c r="D798" t="s">
        <v>2321</v>
      </c>
      <c r="E798">
        <v>5012</v>
      </c>
      <c r="F798" t="s">
        <v>23479</v>
      </c>
      <c r="G798">
        <v>2</v>
      </c>
      <c r="H798" t="s">
        <v>2867</v>
      </c>
      <c r="J798" t="s">
        <v>2855</v>
      </c>
      <c r="K798" t="s">
        <v>192</v>
      </c>
      <c r="L798" t="s">
        <v>113</v>
      </c>
      <c r="M798" t="s">
        <v>1002</v>
      </c>
      <c r="N798" t="s">
        <v>2868</v>
      </c>
      <c r="O798" t="s">
        <v>2869</v>
      </c>
      <c r="P798" s="2" t="s">
        <v>67</v>
      </c>
      <c r="Q798" t="s">
        <v>68</v>
      </c>
      <c r="R798">
        <v>63.9</v>
      </c>
      <c r="S798">
        <v>63.9</v>
      </c>
      <c r="T798" t="s">
        <v>2870</v>
      </c>
    </row>
    <row r="799" spans="1:20" x14ac:dyDescent="0.25">
      <c r="A799" s="1" t="str">
        <f>HYPERLINK("https://vegkart.atlas.vegvesen.no/#/@95022.8,6964379.2,18/hva:hva%5B0%5D%5Bfilter%5D%5B0%5D%5Boperator%5D=%21%3D&amp;hva%5B0%5D%5Bfilter%5D%5B0%5D%5Btype_id%5D=5012&amp;hva%5B0%5D%5Bfilter%5D%5B0%5D%5Bverdi%5D=&amp;hva%5B0%5D%5Bid%5D=508/når:2017-12-28", "Vegkart")</f>
        <v>Vegkart</v>
      </c>
      <c r="B799">
        <v>1016020475</v>
      </c>
      <c r="C799">
        <v>508</v>
      </c>
      <c r="D799" t="s">
        <v>2321</v>
      </c>
      <c r="E799">
        <v>5012</v>
      </c>
      <c r="F799" t="s">
        <v>23479</v>
      </c>
      <c r="G799">
        <v>1</v>
      </c>
      <c r="H799" t="s">
        <v>2691</v>
      </c>
      <c r="J799" t="s">
        <v>2871</v>
      </c>
      <c r="K799" t="s">
        <v>32</v>
      </c>
      <c r="L799" t="s">
        <v>33</v>
      </c>
      <c r="M799" t="s">
        <v>2687</v>
      </c>
      <c r="N799" t="s">
        <v>2872</v>
      </c>
      <c r="O799" t="s">
        <v>2873</v>
      </c>
      <c r="P799" s="2" t="s">
        <v>67</v>
      </c>
      <c r="Q799" t="s">
        <v>68</v>
      </c>
      <c r="R799">
        <v>43.62</v>
      </c>
      <c r="S799">
        <v>43.64</v>
      </c>
      <c r="T799" t="s">
        <v>2874</v>
      </c>
    </row>
    <row r="800" spans="1:20" x14ac:dyDescent="0.25">
      <c r="A800" s="1" t="str">
        <f>HYPERLINK("https://vegkart.atlas.vegvesen.no/#/@128185.0,6958391.8,18/hva:hva%5B0%5D%5Bfilter%5D%5B0%5D%5Boperator%5D=%21%3D&amp;hva%5B0%5D%5Bfilter%5D%5B0%5D%5Btype_id%5D=5012&amp;hva%5B0%5D%5Bfilter%5D%5B0%5D%5Bverdi%5D=&amp;hva%5B0%5D%5Bid%5D=508/når:2022-07-26", "Vegkart")</f>
        <v>Vegkart</v>
      </c>
      <c r="B800">
        <v>1016020476</v>
      </c>
      <c r="C800">
        <v>508</v>
      </c>
      <c r="D800" t="s">
        <v>2321</v>
      </c>
      <c r="E800">
        <v>5012</v>
      </c>
      <c r="F800" t="s">
        <v>23479</v>
      </c>
      <c r="G800">
        <v>1</v>
      </c>
      <c r="H800" t="s">
        <v>1982</v>
      </c>
      <c r="J800" t="s">
        <v>2871</v>
      </c>
      <c r="K800" t="s">
        <v>32</v>
      </c>
      <c r="L800" t="s">
        <v>33</v>
      </c>
      <c r="M800" t="s">
        <v>2529</v>
      </c>
      <c r="N800" t="s">
        <v>2875</v>
      </c>
      <c r="O800" t="s">
        <v>2876</v>
      </c>
      <c r="P800" s="2" t="s">
        <v>67</v>
      </c>
      <c r="Q800" t="s">
        <v>68</v>
      </c>
      <c r="R800">
        <v>181.09</v>
      </c>
      <c r="S800">
        <v>181.3</v>
      </c>
      <c r="T800" t="s">
        <v>2877</v>
      </c>
    </row>
    <row r="801" spans="1:20" x14ac:dyDescent="0.25">
      <c r="A801" s="1" t="str">
        <f>HYPERLINK("https://vegkart.atlas.vegvesen.no/#/@-20614.0,6747863.2,18/hva:hva%5B0%5D%5Bfilter%5D%5B0%5D%5Boperator%5D=%21%3D&amp;hva%5B0%5D%5Bfilter%5D%5B0%5D%5Btype_id%5D=5012&amp;hva%5B0%5D%5Bfilter%5D%5B0%5D%5Bverdi%5D=&amp;hva%5B0%5D%5Bid%5D=508/når:2023-06-22", "Vegkart")</f>
        <v>Vegkart</v>
      </c>
      <c r="B801">
        <v>1017748831</v>
      </c>
      <c r="C801">
        <v>508</v>
      </c>
      <c r="D801" t="s">
        <v>2321</v>
      </c>
      <c r="E801">
        <v>5012</v>
      </c>
      <c r="F801" t="s">
        <v>23479</v>
      </c>
      <c r="G801">
        <v>1</v>
      </c>
      <c r="H801" t="s">
        <v>2878</v>
      </c>
      <c r="J801" t="s">
        <v>2871</v>
      </c>
      <c r="K801" t="s">
        <v>21</v>
      </c>
      <c r="L801" t="s">
        <v>33</v>
      </c>
      <c r="M801" t="s">
        <v>1415</v>
      </c>
      <c r="N801" t="s">
        <v>2879</v>
      </c>
      <c r="O801" t="s">
        <v>2880</v>
      </c>
      <c r="P801" s="2" t="s">
        <v>37</v>
      </c>
      <c r="Q801" t="s">
        <v>1208</v>
      </c>
      <c r="R801">
        <v>0.04</v>
      </c>
      <c r="S801">
        <v>45</v>
      </c>
      <c r="T801" t="s">
        <v>2881</v>
      </c>
    </row>
    <row r="802" spans="1:20" x14ac:dyDescent="0.25">
      <c r="A802" s="1" t="str">
        <f>HYPERLINK("https://vegkart.atlas.vegvesen.no/#/@30399.4,6851630.8,18/hva:hva%5B0%5D%5Bfilter%5D%5B0%5D%5Boperator%5D=%21%3D&amp;hva%5B0%5D%5Bfilter%5D%5B0%5D%5Btype_id%5D=5012&amp;hva%5B0%5D%5Bfilter%5D%5B0%5D%5Bverdi%5D=&amp;hva%5B0%5D%5Bid%5D=508/når:2023-06-24", "Vegkart")</f>
        <v>Vegkart</v>
      </c>
      <c r="B802">
        <v>1017768423</v>
      </c>
      <c r="C802">
        <v>508</v>
      </c>
      <c r="D802" t="s">
        <v>2321</v>
      </c>
      <c r="E802">
        <v>5012</v>
      </c>
      <c r="F802" t="s">
        <v>23479</v>
      </c>
      <c r="G802">
        <v>1</v>
      </c>
      <c r="H802" t="s">
        <v>2882</v>
      </c>
      <c r="J802" t="s">
        <v>2871</v>
      </c>
      <c r="K802" t="s">
        <v>21</v>
      </c>
      <c r="L802" t="s">
        <v>80</v>
      </c>
      <c r="M802" t="s">
        <v>81</v>
      </c>
      <c r="N802" t="s">
        <v>2883</v>
      </c>
      <c r="O802" t="s">
        <v>2884</v>
      </c>
      <c r="P802" s="2" t="s">
        <v>37</v>
      </c>
      <c r="Q802" t="s">
        <v>1208</v>
      </c>
      <c r="R802">
        <v>0</v>
      </c>
      <c r="S802">
        <v>402.84</v>
      </c>
      <c r="T802" t="s">
        <v>2885</v>
      </c>
    </row>
    <row r="803" spans="1:20" x14ac:dyDescent="0.25">
      <c r="A803" s="1" t="str">
        <f>HYPERLINK("https://vegkart.atlas.vegvesen.no/#/@236465.0,6663773.6,18/hva:hva%5B0%5D%5Bfilter%5D%5B0%5D%5Boperator%5D=%21%3D&amp;hva%5B0%5D%5Bfilter%5D%5B0%5D%5Btype_id%5D=5012&amp;hva%5B0%5D%5Bfilter%5D%5B0%5D%5Bverdi%5D=&amp;hva%5B0%5D%5Bid%5D=508/når:2023-07-16", "Vegkart")</f>
        <v>Vegkart</v>
      </c>
      <c r="B803">
        <v>1017836359</v>
      </c>
      <c r="C803">
        <v>508</v>
      </c>
      <c r="D803" t="s">
        <v>2321</v>
      </c>
      <c r="E803">
        <v>5012</v>
      </c>
      <c r="F803" t="s">
        <v>23479</v>
      </c>
      <c r="G803">
        <v>1</v>
      </c>
      <c r="H803" t="s">
        <v>2886</v>
      </c>
      <c r="J803" t="s">
        <v>2871</v>
      </c>
      <c r="K803" t="s">
        <v>307</v>
      </c>
      <c r="L803" t="s">
        <v>80</v>
      </c>
      <c r="M803" t="s">
        <v>152</v>
      </c>
      <c r="N803" t="s">
        <v>2887</v>
      </c>
      <c r="O803" t="s">
        <v>2888</v>
      </c>
      <c r="P803" s="2" t="s">
        <v>67</v>
      </c>
      <c r="Q803" t="s">
        <v>68</v>
      </c>
      <c r="R803">
        <v>122.56</v>
      </c>
      <c r="S803">
        <v>122.56</v>
      </c>
      <c r="T803" t="s">
        <v>2889</v>
      </c>
    </row>
    <row r="804" spans="1:20" x14ac:dyDescent="0.25">
      <c r="A804" s="1" t="str">
        <f>HYPERLINK("https://vegkart.atlas.vegvesen.no/#/@258707.3,6650204.7,18/hva:hva%5B0%5D%5Bfilter%5D%5B0%5D%5Boperator%5D=%21%3D&amp;hva%5B0%5D%5Bfilter%5D%5B0%5D%5Btype_id%5D=5012&amp;hva%5B0%5D%5Bfilter%5D%5B0%5D%5Bverdi%5D=&amp;hva%5B0%5D%5Bid%5D=508/når:2023-12-04", "Vegkart")</f>
        <v>Vegkart</v>
      </c>
      <c r="B804">
        <v>1018250595</v>
      </c>
      <c r="C804">
        <v>508</v>
      </c>
      <c r="D804" t="s">
        <v>2321</v>
      </c>
      <c r="E804">
        <v>5012</v>
      </c>
      <c r="F804" t="s">
        <v>23479</v>
      </c>
      <c r="G804">
        <v>1</v>
      </c>
      <c r="H804" t="s">
        <v>2890</v>
      </c>
      <c r="J804" t="s">
        <v>2871</v>
      </c>
      <c r="K804" t="s">
        <v>335</v>
      </c>
      <c r="L804" t="s">
        <v>80</v>
      </c>
      <c r="M804" t="s">
        <v>53</v>
      </c>
      <c r="N804" t="s">
        <v>2891</v>
      </c>
      <c r="O804" t="s">
        <v>2892</v>
      </c>
      <c r="P804" s="2" t="s">
        <v>37</v>
      </c>
      <c r="Q804" t="s">
        <v>1208</v>
      </c>
      <c r="R804">
        <v>0.05</v>
      </c>
      <c r="S804">
        <v>216.04</v>
      </c>
      <c r="T804" t="s">
        <v>2893</v>
      </c>
    </row>
    <row r="805" spans="1:20" x14ac:dyDescent="0.25">
      <c r="A805" s="1" t="str">
        <f>HYPERLINK("https://vegkart.atlas.vegvesen.no/#/@26500.5,6899218.1,18/hva:hva%5B0%5D%5Bfilter%5D%5B0%5D%5Boperator%5D=%21%3D&amp;hva%5B0%5D%5Bfilter%5D%5B0%5D%5Btype_id%5D=5012&amp;hva%5B0%5D%5Bfilter%5D%5B0%5D%5Bverdi%5D=&amp;hva%5B0%5D%5Bid%5D=508/når:2024-02-29", "Vegkart")</f>
        <v>Vegkart</v>
      </c>
      <c r="B805">
        <v>1018954784</v>
      </c>
      <c r="C805">
        <v>508</v>
      </c>
      <c r="D805" t="s">
        <v>2321</v>
      </c>
      <c r="E805">
        <v>5012</v>
      </c>
      <c r="F805" t="s">
        <v>23479</v>
      </c>
      <c r="G805">
        <v>1</v>
      </c>
      <c r="H805" t="s">
        <v>2894</v>
      </c>
      <c r="J805" t="s">
        <v>2895</v>
      </c>
      <c r="K805" t="s">
        <v>21</v>
      </c>
      <c r="L805" t="s">
        <v>33</v>
      </c>
      <c r="M805" t="s">
        <v>1772</v>
      </c>
      <c r="N805" t="s">
        <v>2896</v>
      </c>
      <c r="O805" t="s">
        <v>2897</v>
      </c>
      <c r="P805" s="2" t="s">
        <v>165</v>
      </c>
      <c r="Q805" t="s">
        <v>166</v>
      </c>
      <c r="R805">
        <v>10.53</v>
      </c>
      <c r="S805">
        <v>10.53</v>
      </c>
      <c r="T805" t="s">
        <v>167</v>
      </c>
    </row>
    <row r="806" spans="1:20" x14ac:dyDescent="0.25">
      <c r="A806" s="1" t="str">
        <f>HYPERLINK("https://vegkart.atlas.vegvesen.no/#/@65398.5,6904104.9,18/hva:hva%5B0%5D%5Bfilter%5D%5B0%5D%5Boperator%5D=%21%3D&amp;hva%5B0%5D%5Bfilter%5D%5B0%5D%5Btype_id%5D=5012&amp;hva%5B0%5D%5Bfilter%5D%5B0%5D%5Bverdi%5D=&amp;hva%5B0%5D%5Bid%5D=508/når:2024-03-04", "Vegkart")</f>
        <v>Vegkart</v>
      </c>
      <c r="B806">
        <v>1018981427</v>
      </c>
      <c r="C806">
        <v>508</v>
      </c>
      <c r="D806" t="s">
        <v>2321</v>
      </c>
      <c r="E806">
        <v>5012</v>
      </c>
      <c r="F806" t="s">
        <v>23479</v>
      </c>
      <c r="G806">
        <v>1</v>
      </c>
      <c r="H806" t="s">
        <v>2267</v>
      </c>
      <c r="J806" t="s">
        <v>2895</v>
      </c>
      <c r="K806" t="s">
        <v>32</v>
      </c>
      <c r="L806" t="s">
        <v>33</v>
      </c>
      <c r="M806" t="s">
        <v>47</v>
      </c>
      <c r="N806" t="s">
        <v>2898</v>
      </c>
      <c r="O806" t="s">
        <v>2899</v>
      </c>
      <c r="P806" s="2" t="s">
        <v>67</v>
      </c>
      <c r="Q806" t="s">
        <v>68</v>
      </c>
      <c r="R806">
        <v>84.51</v>
      </c>
      <c r="S806">
        <v>84.67</v>
      </c>
      <c r="T806" t="s">
        <v>2900</v>
      </c>
    </row>
    <row r="807" spans="1:20" x14ac:dyDescent="0.25">
      <c r="A807" s="1" t="str">
        <f>HYPERLINK("https://vegkart.atlas.vegvesen.no/#/@175581.1,6616169.6,18/hva:hva%5B0%5D%5Bfilter%5D%5B0%5D%5Boperator%5D=%21%3D&amp;hva%5B0%5D%5Bfilter%5D%5B0%5D%5Btype_id%5D=5012&amp;hva%5B0%5D%5Bfilter%5D%5B0%5D%5Bverdi%5D=&amp;hva%5B0%5D%5Bid%5D=508/når:2024-10-24", "Vegkart")</f>
        <v>Vegkart</v>
      </c>
      <c r="B807">
        <v>1021013349</v>
      </c>
      <c r="C807">
        <v>508</v>
      </c>
      <c r="D807" t="s">
        <v>2321</v>
      </c>
      <c r="E807">
        <v>5012</v>
      </c>
      <c r="F807" t="s">
        <v>23479</v>
      </c>
      <c r="G807">
        <v>1</v>
      </c>
      <c r="H807" t="s">
        <v>1310</v>
      </c>
      <c r="J807" t="s">
        <v>2895</v>
      </c>
      <c r="K807" t="s">
        <v>197</v>
      </c>
      <c r="L807" t="s">
        <v>80</v>
      </c>
      <c r="M807" t="s">
        <v>645</v>
      </c>
      <c r="N807" t="s">
        <v>2901</v>
      </c>
      <c r="O807" t="s">
        <v>2902</v>
      </c>
      <c r="P807" s="2" t="s">
        <v>37</v>
      </c>
      <c r="Q807" t="s">
        <v>1208</v>
      </c>
      <c r="R807">
        <v>0</v>
      </c>
      <c r="S807">
        <v>92.31</v>
      </c>
      <c r="T807" t="s">
        <v>2903</v>
      </c>
    </row>
    <row r="808" spans="1:20" x14ac:dyDescent="0.25">
      <c r="A808" s="1" t="str">
        <f>HYPERLINK("https://vegkart.atlas.vegvesen.no/#/@277623.9,6575514.7,18/hva:hva%5B0%5D%5Bfilter%5D%5B0%5D%5Boperator%5D=%21%3D&amp;hva%5B0%5D%5Bfilter%5D%5B0%5D%5Btype_id%5D=5012&amp;hva%5B0%5D%5Bfilter%5D%5B0%5D%5Bverdi%5D=&amp;hva%5B0%5D%5Bid%5D=508/når:2024-11-12", "Vegkart")</f>
        <v>Vegkart</v>
      </c>
      <c r="B808">
        <v>1021154046</v>
      </c>
      <c r="C808">
        <v>508</v>
      </c>
      <c r="D808" t="s">
        <v>2321</v>
      </c>
      <c r="E808">
        <v>5012</v>
      </c>
      <c r="F808" t="s">
        <v>23479</v>
      </c>
      <c r="G808">
        <v>1</v>
      </c>
      <c r="H808" t="s">
        <v>2904</v>
      </c>
      <c r="J808" t="s">
        <v>2895</v>
      </c>
      <c r="K808" t="s">
        <v>104</v>
      </c>
      <c r="L808" t="s">
        <v>80</v>
      </c>
      <c r="M808" t="s">
        <v>105</v>
      </c>
      <c r="N808" t="s">
        <v>2905</v>
      </c>
      <c r="O808" t="s">
        <v>2906</v>
      </c>
      <c r="P808" s="2" t="s">
        <v>37</v>
      </c>
      <c r="Q808" t="s">
        <v>1208</v>
      </c>
      <c r="R808">
        <v>0</v>
      </c>
      <c r="S808">
        <v>2879.4</v>
      </c>
      <c r="T808" t="s">
        <v>2907</v>
      </c>
    </row>
    <row r="809" spans="1:20" x14ac:dyDescent="0.25">
      <c r="A809" s="1" t="str">
        <f>HYPERLINK("https://vegkart.atlas.vegvesen.no/#/@-36998.0,6736816.8,18/hva:hva%5B0%5D%5Bfilter%5D%5B0%5D%5Boperator%5D=%21%3D&amp;hva%5B0%5D%5Bfilter%5D%5B0%5D%5Btype_id%5D=5012&amp;hva%5B0%5D%5Bfilter%5D%5B0%5D%5Bverdi%5D=&amp;hva%5B0%5D%5Bid%5D=508/når:2025-02-25", "Vegkart")</f>
        <v>Vegkart</v>
      </c>
      <c r="B809">
        <v>1022260984</v>
      </c>
      <c r="C809">
        <v>508</v>
      </c>
      <c r="D809" t="s">
        <v>2321</v>
      </c>
      <c r="E809">
        <v>5012</v>
      </c>
      <c r="F809" t="s">
        <v>23479</v>
      </c>
      <c r="G809">
        <v>1</v>
      </c>
      <c r="H809" t="s">
        <v>1771</v>
      </c>
      <c r="J809" t="s">
        <v>2895</v>
      </c>
      <c r="K809" t="s">
        <v>21</v>
      </c>
      <c r="L809" t="s">
        <v>370</v>
      </c>
      <c r="M809" t="s">
        <v>2908</v>
      </c>
      <c r="N809" t="s">
        <v>2909</v>
      </c>
      <c r="O809" t="s">
        <v>2910</v>
      </c>
      <c r="P809" s="2" t="s">
        <v>37</v>
      </c>
      <c r="Q809" t="s">
        <v>1208</v>
      </c>
      <c r="R809">
        <v>2.16</v>
      </c>
      <c r="S809">
        <v>199.15</v>
      </c>
      <c r="T809" t="s">
        <v>2911</v>
      </c>
    </row>
    <row r="810" spans="1:20" x14ac:dyDescent="0.25">
      <c r="A810" s="1" t="str">
        <f>HYPERLINK("https://vegkart.atlas.vegvesen.no/#/@-37040.8,6736842.3,18/hva:hva%5B0%5D%5Bfilter%5D%5B0%5D%5Boperator%5D=%21%3D&amp;hva%5B0%5D%5Bfilter%5D%5B0%5D%5Btype_id%5D=5012&amp;hva%5B0%5D%5Bfilter%5D%5B0%5D%5Bverdi%5D=&amp;hva%5B0%5D%5Bid%5D=508/når:2025-02-25", "Vegkart")</f>
        <v>Vegkart</v>
      </c>
      <c r="B810">
        <v>1022261004</v>
      </c>
      <c r="C810">
        <v>508</v>
      </c>
      <c r="D810" t="s">
        <v>2321</v>
      </c>
      <c r="E810">
        <v>5012</v>
      </c>
      <c r="F810" t="s">
        <v>23479</v>
      </c>
      <c r="G810">
        <v>1</v>
      </c>
      <c r="H810" t="s">
        <v>1771</v>
      </c>
      <c r="J810" t="s">
        <v>2895</v>
      </c>
      <c r="K810" t="s">
        <v>21</v>
      </c>
      <c r="L810" t="s">
        <v>370</v>
      </c>
      <c r="M810" t="s">
        <v>2912</v>
      </c>
      <c r="N810" t="s">
        <v>2913</v>
      </c>
      <c r="O810" t="s">
        <v>2914</v>
      </c>
      <c r="P810" s="2" t="s">
        <v>37</v>
      </c>
      <c r="Q810" t="s">
        <v>1208</v>
      </c>
      <c r="R810">
        <v>1.63</v>
      </c>
      <c r="S810">
        <v>180.57</v>
      </c>
      <c r="T810" t="s">
        <v>2915</v>
      </c>
    </row>
    <row r="811" spans="1:20" x14ac:dyDescent="0.25">
      <c r="A811" s="1" t="str">
        <f>HYPERLINK("https://vegkart.atlas.vegvesen.no/#/@56893.4,6457103.8,18/hva:hva%5B0%5D%5Bfilter%5D%5B0%5D%5Boperator%5D=%21%3D&amp;hva%5B0%5D%5Bfilter%5D%5B0%5D%5Btype_id%5D=5012&amp;hva%5B0%5D%5Bfilter%5D%5B0%5D%5Bverdi%5D=&amp;hva%5B0%5D%5Bid%5D=508/når:2025-07-08", "Vegkart")</f>
        <v>Vegkart</v>
      </c>
      <c r="B811">
        <v>1024575747</v>
      </c>
      <c r="C811">
        <v>508</v>
      </c>
      <c r="D811" t="s">
        <v>2321</v>
      </c>
      <c r="E811">
        <v>5012</v>
      </c>
      <c r="F811" t="s">
        <v>23479</v>
      </c>
      <c r="G811">
        <v>1</v>
      </c>
      <c r="H811" t="s">
        <v>2916</v>
      </c>
      <c r="J811" t="s">
        <v>2895</v>
      </c>
      <c r="K811" t="s">
        <v>86</v>
      </c>
      <c r="L811" t="s">
        <v>80</v>
      </c>
      <c r="M811" t="s">
        <v>81</v>
      </c>
      <c r="N811" t="s">
        <v>2917</v>
      </c>
      <c r="O811" t="s">
        <v>2918</v>
      </c>
      <c r="P811" s="2" t="s">
        <v>37</v>
      </c>
      <c r="Q811" t="s">
        <v>1208</v>
      </c>
      <c r="R811">
        <v>0</v>
      </c>
      <c r="S811">
        <v>60.05</v>
      </c>
      <c r="T811" t="s">
        <v>2919</v>
      </c>
    </row>
    <row r="812" spans="1:20" x14ac:dyDescent="0.25">
      <c r="A812" s="1" t="str">
        <f>HYPERLINK("https://vegkart.atlas.vegvesen.no/#/@313495.8,6752150.0,18/hva:hva%5B0%5D%5Bfilter%5D%5B0%5D%5Boperator%5D=%21%3D&amp;hva%5B0%5D%5Bfilter%5D%5B0%5D%5Btype_id%5D=5012&amp;hva%5B0%5D%5Bfilter%5D%5B0%5D%5Bverdi%5D=&amp;hva%5B0%5D%5Bid%5D=508/når:2025-09-30", "Vegkart")</f>
        <v>Vegkart</v>
      </c>
      <c r="B812">
        <v>1025298353</v>
      </c>
      <c r="C812">
        <v>508</v>
      </c>
      <c r="D812" t="s">
        <v>2321</v>
      </c>
      <c r="E812">
        <v>5012</v>
      </c>
      <c r="F812" t="s">
        <v>23479</v>
      </c>
      <c r="G812">
        <v>1</v>
      </c>
      <c r="H812" t="s">
        <v>2920</v>
      </c>
      <c r="J812" t="s">
        <v>2895</v>
      </c>
      <c r="K812" t="s">
        <v>136</v>
      </c>
      <c r="L812" t="s">
        <v>113</v>
      </c>
      <c r="M812" t="s">
        <v>2921</v>
      </c>
      <c r="N812" t="s">
        <v>2922</v>
      </c>
      <c r="O812" t="s">
        <v>2923</v>
      </c>
      <c r="P812" s="2" t="s">
        <v>67</v>
      </c>
      <c r="Q812" t="s">
        <v>68</v>
      </c>
      <c r="R812">
        <v>438.31</v>
      </c>
      <c r="S812">
        <v>438.75</v>
      </c>
      <c r="T812" t="s">
        <v>2924</v>
      </c>
    </row>
    <row r="813" spans="1:20" x14ac:dyDescent="0.25">
      <c r="A813" s="1" t="str">
        <f>HYPERLINK("https://vegkart.atlas.vegvesen.no/#/@-58627.3,6609620.0,18/hva:hva%5B0%5D%5Bfilter%5D%5B0%5D%5Boperator%5D=%21%3D&amp;hva%5B0%5D%5Bfilter%5D%5B0%5D%5Btype_id%5D=5012&amp;hva%5B0%5D%5Bfilter%5D%5B0%5D%5Bverdi%5D=&amp;hva%5B0%5D%5Bid%5D=508/når:2025-11-19", "Vegkart")</f>
        <v>Vegkart</v>
      </c>
      <c r="B813">
        <v>1025729542</v>
      </c>
      <c r="C813">
        <v>508</v>
      </c>
      <c r="D813" t="s">
        <v>2321</v>
      </c>
      <c r="E813">
        <v>5012</v>
      </c>
      <c r="F813" t="s">
        <v>23479</v>
      </c>
      <c r="G813">
        <v>1</v>
      </c>
      <c r="H813" t="s">
        <v>2925</v>
      </c>
      <c r="J813" t="s">
        <v>2895</v>
      </c>
      <c r="K813" t="s">
        <v>170</v>
      </c>
      <c r="L813" t="s">
        <v>22</v>
      </c>
      <c r="M813" t="s">
        <v>2926</v>
      </c>
      <c r="N813" t="s">
        <v>2927</v>
      </c>
      <c r="O813" t="s">
        <v>2928</v>
      </c>
      <c r="P813" s="2" t="s">
        <v>26</v>
      </c>
      <c r="Q813" t="s">
        <v>50</v>
      </c>
      <c r="R813">
        <v>12.56</v>
      </c>
      <c r="S813">
        <v>12.56</v>
      </c>
      <c r="T813" t="s">
        <v>2929</v>
      </c>
    </row>
    <row r="814" spans="1:20" x14ac:dyDescent="0.25">
      <c r="A814" s="1" t="str">
        <f>HYPERLINK("https://vegkart.atlas.vegvesen.no/#/@-51197.9,6611575.4,18/hva:hva%5B0%5D%5Bfilter%5D%5B0%5D%5Boperator%5D=%21%3D&amp;hva%5B0%5D%5Bfilter%5D%5B0%5D%5Btype_id%5D=5012&amp;hva%5B0%5D%5Bfilter%5D%5B0%5D%5Bverdi%5D=&amp;hva%5B0%5D%5Bid%5D=508/når:2025-11-20", "Vegkart")</f>
        <v>Vegkart</v>
      </c>
      <c r="B814">
        <v>1025732074</v>
      </c>
      <c r="C814">
        <v>508</v>
      </c>
      <c r="D814" t="s">
        <v>2321</v>
      </c>
      <c r="E814">
        <v>5012</v>
      </c>
      <c r="F814" t="s">
        <v>23479</v>
      </c>
      <c r="G814">
        <v>1</v>
      </c>
      <c r="H814" t="s">
        <v>2930</v>
      </c>
      <c r="J814" t="s">
        <v>2895</v>
      </c>
      <c r="K814" t="s">
        <v>170</v>
      </c>
      <c r="L814" t="s">
        <v>22</v>
      </c>
      <c r="M814" t="s">
        <v>2931</v>
      </c>
      <c r="N814" t="s">
        <v>2932</v>
      </c>
      <c r="O814" t="s">
        <v>2933</v>
      </c>
      <c r="P814" s="2" t="s">
        <v>26</v>
      </c>
      <c r="Q814" t="s">
        <v>50</v>
      </c>
      <c r="R814">
        <v>12.56</v>
      </c>
      <c r="S814">
        <v>12.56</v>
      </c>
      <c r="T814" t="s">
        <v>2934</v>
      </c>
    </row>
    <row r="815" spans="1:20" x14ac:dyDescent="0.25">
      <c r="A815" s="1" t="str">
        <f>HYPERLINK("https://vegkart.atlas.vegvesen.no/#/@248220.4,6806534.0,18/hva:hva%5B0%5D%5Bfilter%5D%5B0%5D%5Boperator%5D=%21%3D&amp;hva%5B0%5D%5Bfilter%5D%5B0%5D%5Btype_id%5D=9736&amp;hva%5B0%5D%5Bfilter%5D%5B0%5D%5Bverdi%5D=&amp;hva%5B0%5D%5Bid%5D=853/når:2014-06-01", "Vegkart")</f>
        <v>Vegkart</v>
      </c>
      <c r="B815">
        <v>572958961</v>
      </c>
      <c r="C815">
        <v>853</v>
      </c>
      <c r="D815" t="s">
        <v>2935</v>
      </c>
      <c r="E815">
        <v>9736</v>
      </c>
      <c r="F815" t="s">
        <v>23479</v>
      </c>
      <c r="G815">
        <v>1</v>
      </c>
      <c r="H815" t="s">
        <v>2936</v>
      </c>
      <c r="J815" t="s">
        <v>2937</v>
      </c>
      <c r="K815" t="s">
        <v>136</v>
      </c>
      <c r="L815" t="s">
        <v>33</v>
      </c>
      <c r="M815" t="s">
        <v>2938</v>
      </c>
      <c r="N815" t="s">
        <v>2939</v>
      </c>
      <c r="O815" t="s">
        <v>2940</v>
      </c>
      <c r="P815" s="2" t="s">
        <v>26</v>
      </c>
      <c r="Q815" t="s">
        <v>50</v>
      </c>
      <c r="R815">
        <v>0</v>
      </c>
      <c r="S815">
        <v>4.9800000000000004</v>
      </c>
      <c r="T815" t="s">
        <v>2941</v>
      </c>
    </row>
    <row r="816" spans="1:20" x14ac:dyDescent="0.25">
      <c r="A816" s="1" t="str">
        <f>HYPERLINK("https://vegkart.atlas.vegvesen.no/#/@248242.7,6806499.1,18/hva:hva%5B0%5D%5Bfilter%5D%5B0%5D%5Boperator%5D=%21%3D&amp;hva%5B0%5D%5Bfilter%5D%5B0%5D%5Btype_id%5D=9736&amp;hva%5B0%5D%5Bfilter%5D%5B0%5D%5Bverdi%5D=&amp;hva%5B0%5D%5Bid%5D=853/når:2014-06-01", "Vegkart")</f>
        <v>Vegkart</v>
      </c>
      <c r="B816">
        <v>572958962</v>
      </c>
      <c r="C816">
        <v>853</v>
      </c>
      <c r="D816" t="s">
        <v>2935</v>
      </c>
      <c r="E816">
        <v>9736</v>
      </c>
      <c r="F816" t="s">
        <v>23479</v>
      </c>
      <c r="G816">
        <v>1</v>
      </c>
      <c r="H816" t="s">
        <v>2936</v>
      </c>
      <c r="J816" t="s">
        <v>2937</v>
      </c>
      <c r="K816" t="s">
        <v>136</v>
      </c>
      <c r="L816" t="s">
        <v>33</v>
      </c>
      <c r="M816" t="s">
        <v>2938</v>
      </c>
      <c r="N816" t="s">
        <v>2942</v>
      </c>
      <c r="O816" t="s">
        <v>2943</v>
      </c>
      <c r="P816" s="2" t="s">
        <v>26</v>
      </c>
      <c r="Q816" t="s">
        <v>50</v>
      </c>
      <c r="R816">
        <v>0</v>
      </c>
      <c r="S816">
        <v>4.96</v>
      </c>
      <c r="T816" t="s">
        <v>2944</v>
      </c>
    </row>
    <row r="817" spans="1:20" x14ac:dyDescent="0.25">
      <c r="A817" s="1" t="str">
        <f>HYPERLINK("https://vegkart.atlas.vegvesen.no/#/@248230.8,6806545.2,18/hva:hva%5B0%5D%5Bfilter%5D%5B0%5D%5Boperator%5D=%21%3D&amp;hva%5B0%5D%5Bfilter%5D%5B0%5D%5Btype_id%5D=9736&amp;hva%5B0%5D%5Bfilter%5D%5B0%5D%5Bverdi%5D=&amp;hva%5B0%5D%5Bid%5D=853/når:2014-06-01", "Vegkart")</f>
        <v>Vegkart</v>
      </c>
      <c r="B817">
        <v>572958963</v>
      </c>
      <c r="C817">
        <v>853</v>
      </c>
      <c r="D817" t="s">
        <v>2935</v>
      </c>
      <c r="E817">
        <v>9736</v>
      </c>
      <c r="F817" t="s">
        <v>23479</v>
      </c>
      <c r="G817">
        <v>1</v>
      </c>
      <c r="H817" t="s">
        <v>2936</v>
      </c>
      <c r="J817" t="s">
        <v>2937</v>
      </c>
      <c r="K817" t="s">
        <v>136</v>
      </c>
      <c r="L817" t="s">
        <v>33</v>
      </c>
      <c r="M817" t="s">
        <v>2938</v>
      </c>
      <c r="N817" t="s">
        <v>2945</v>
      </c>
      <c r="O817" t="s">
        <v>2946</v>
      </c>
      <c r="P817" s="2" t="s">
        <v>26</v>
      </c>
      <c r="Q817" t="s">
        <v>50</v>
      </c>
      <c r="R817">
        <v>0</v>
      </c>
      <c r="S817">
        <v>4.93</v>
      </c>
      <c r="T817" t="s">
        <v>2947</v>
      </c>
    </row>
    <row r="818" spans="1:20" x14ac:dyDescent="0.25">
      <c r="A818" s="1" t="str">
        <f>HYPERLINK("https://vegkart.atlas.vegvesen.no/#/@248242.8,6806588.9,18/hva:hva%5B0%5D%5Bfilter%5D%5B0%5D%5Boperator%5D=%21%3D&amp;hva%5B0%5D%5Bfilter%5D%5B0%5D%5Btype_id%5D=9736&amp;hva%5B0%5D%5Bfilter%5D%5B0%5D%5Bverdi%5D=&amp;hva%5B0%5D%5Bid%5D=853/når:2014-06-01", "Vegkart")</f>
        <v>Vegkart</v>
      </c>
      <c r="B818">
        <v>572958964</v>
      </c>
      <c r="C818">
        <v>853</v>
      </c>
      <c r="D818" t="s">
        <v>2935</v>
      </c>
      <c r="E818">
        <v>9736</v>
      </c>
      <c r="F818" t="s">
        <v>23479</v>
      </c>
      <c r="G818">
        <v>1</v>
      </c>
      <c r="H818" t="s">
        <v>2936</v>
      </c>
      <c r="J818" t="s">
        <v>2937</v>
      </c>
      <c r="K818" t="s">
        <v>136</v>
      </c>
      <c r="L818" t="s">
        <v>33</v>
      </c>
      <c r="M818" t="s">
        <v>2948</v>
      </c>
      <c r="N818" t="s">
        <v>2949</v>
      </c>
      <c r="O818" t="s">
        <v>2950</v>
      </c>
      <c r="P818" s="2" t="s">
        <v>26</v>
      </c>
      <c r="Q818" t="s">
        <v>50</v>
      </c>
      <c r="R818">
        <v>1.1299999999999999</v>
      </c>
      <c r="S818">
        <v>8.59</v>
      </c>
      <c r="T818" t="s">
        <v>2951</v>
      </c>
    </row>
    <row r="819" spans="1:20" x14ac:dyDescent="0.25">
      <c r="A819" s="1" t="str">
        <f>HYPERLINK("https://vegkart.atlas.vegvesen.no/#/@248284.0,6806589.9,18/hva:hva%5B0%5D%5Bfilter%5D%5B0%5D%5Boperator%5D=%21%3D&amp;hva%5B0%5D%5Bfilter%5D%5B0%5D%5Btype_id%5D=9736&amp;hva%5B0%5D%5Bfilter%5D%5B0%5D%5Bverdi%5D=&amp;hva%5B0%5D%5Bid%5D=853/når:2014-06-01", "Vegkart")</f>
        <v>Vegkart</v>
      </c>
      <c r="B819">
        <v>572958965</v>
      </c>
      <c r="C819">
        <v>853</v>
      </c>
      <c r="D819" t="s">
        <v>2935</v>
      </c>
      <c r="E819">
        <v>9736</v>
      </c>
      <c r="F819" t="s">
        <v>23479</v>
      </c>
      <c r="G819">
        <v>1</v>
      </c>
      <c r="H819" t="s">
        <v>2936</v>
      </c>
      <c r="J819" t="s">
        <v>2937</v>
      </c>
      <c r="K819" t="s">
        <v>136</v>
      </c>
      <c r="L819" t="s">
        <v>33</v>
      </c>
      <c r="M819" t="s">
        <v>2938</v>
      </c>
      <c r="N819" t="s">
        <v>2952</v>
      </c>
      <c r="O819" t="s">
        <v>2953</v>
      </c>
      <c r="P819" s="2" t="s">
        <v>26</v>
      </c>
      <c r="Q819" t="s">
        <v>50</v>
      </c>
      <c r="R819">
        <v>0</v>
      </c>
      <c r="S819">
        <v>6.25</v>
      </c>
      <c r="T819" t="s">
        <v>2954</v>
      </c>
    </row>
    <row r="820" spans="1:20" x14ac:dyDescent="0.25">
      <c r="A820" s="1" t="str">
        <f>HYPERLINK("https://vegkart.atlas.vegvesen.no/#/@248285.1,6806587.4,18/hva:hva%5B0%5D%5Bfilter%5D%5B0%5D%5Boperator%5D=%21%3D&amp;hva%5B0%5D%5Bfilter%5D%5B0%5D%5Btype_id%5D=9736&amp;hva%5B0%5D%5Bfilter%5D%5B0%5D%5Bverdi%5D=&amp;hva%5B0%5D%5Bid%5D=853/når:2014-06-01", "Vegkart")</f>
        <v>Vegkart</v>
      </c>
      <c r="B820">
        <v>572958966</v>
      </c>
      <c r="C820">
        <v>853</v>
      </c>
      <c r="D820" t="s">
        <v>2935</v>
      </c>
      <c r="E820">
        <v>9736</v>
      </c>
      <c r="F820" t="s">
        <v>23479</v>
      </c>
      <c r="G820">
        <v>1</v>
      </c>
      <c r="H820" t="s">
        <v>2936</v>
      </c>
      <c r="J820" t="s">
        <v>2937</v>
      </c>
      <c r="K820" t="s">
        <v>136</v>
      </c>
      <c r="L820" t="s">
        <v>33</v>
      </c>
      <c r="M820" t="s">
        <v>2938</v>
      </c>
      <c r="N820" t="s">
        <v>2955</v>
      </c>
      <c r="O820" t="s">
        <v>2956</v>
      </c>
      <c r="P820" s="2" t="s">
        <v>26</v>
      </c>
      <c r="Q820" t="s">
        <v>50</v>
      </c>
      <c r="R820">
        <v>0</v>
      </c>
      <c r="S820">
        <v>6.2</v>
      </c>
      <c r="T820" t="s">
        <v>2957</v>
      </c>
    </row>
    <row r="821" spans="1:20" x14ac:dyDescent="0.25">
      <c r="A821" s="1" t="str">
        <f>HYPERLINK("https://vegkart.atlas.vegvesen.no/#/@248184.2,6806335.7,18/hva:hva%5B0%5D%5Bfilter%5D%5B0%5D%5Boperator%5D=%21%3D&amp;hva%5B0%5D%5Bfilter%5D%5B0%5D%5Btype_id%5D=9736&amp;hva%5B0%5D%5Bfilter%5D%5B0%5D%5Bverdi%5D=&amp;hva%5B0%5D%5Bid%5D=853/når:2014-06-01", "Vegkart")</f>
        <v>Vegkart</v>
      </c>
      <c r="B821">
        <v>572958967</v>
      </c>
      <c r="C821">
        <v>853</v>
      </c>
      <c r="D821" t="s">
        <v>2935</v>
      </c>
      <c r="E821">
        <v>9736</v>
      </c>
      <c r="F821" t="s">
        <v>23479</v>
      </c>
      <c r="G821">
        <v>1</v>
      </c>
      <c r="H821" t="s">
        <v>2936</v>
      </c>
      <c r="J821" t="s">
        <v>2937</v>
      </c>
      <c r="K821" t="s">
        <v>136</v>
      </c>
      <c r="L821" t="s">
        <v>33</v>
      </c>
      <c r="M821" t="s">
        <v>2938</v>
      </c>
      <c r="N821" t="s">
        <v>2958</v>
      </c>
      <c r="O821" t="s">
        <v>2959</v>
      </c>
      <c r="P821" s="2" t="s">
        <v>26</v>
      </c>
      <c r="Q821" t="s">
        <v>50</v>
      </c>
      <c r="R821">
        <v>0</v>
      </c>
      <c r="S821">
        <v>4.83</v>
      </c>
      <c r="T821" t="s">
        <v>2960</v>
      </c>
    </row>
    <row r="822" spans="1:20" x14ac:dyDescent="0.25">
      <c r="A822" s="1" t="str">
        <f>HYPERLINK("https://vegkart.atlas.vegvesen.no/#/@248259.8,6806430.9,18/hva:hva%5B0%5D%5Bfilter%5D%5B0%5D%5Boperator%5D=%21%3D&amp;hva%5B0%5D%5Bfilter%5D%5B0%5D%5Btype_id%5D=9736&amp;hva%5B0%5D%5Bfilter%5D%5B0%5D%5Bverdi%5D=&amp;hva%5B0%5D%5Bid%5D=853/når:2014-06-01", "Vegkart")</f>
        <v>Vegkart</v>
      </c>
      <c r="B822">
        <v>572958968</v>
      </c>
      <c r="C822">
        <v>853</v>
      </c>
      <c r="D822" t="s">
        <v>2935</v>
      </c>
      <c r="E822">
        <v>9736</v>
      </c>
      <c r="F822" t="s">
        <v>23479</v>
      </c>
      <c r="G822">
        <v>1</v>
      </c>
      <c r="H822" t="s">
        <v>2936</v>
      </c>
      <c r="J822" t="s">
        <v>2937</v>
      </c>
      <c r="K822" t="s">
        <v>136</v>
      </c>
      <c r="L822" t="s">
        <v>33</v>
      </c>
      <c r="M822" t="s">
        <v>2938</v>
      </c>
      <c r="N822" t="s">
        <v>2961</v>
      </c>
      <c r="O822" t="s">
        <v>2962</v>
      </c>
      <c r="P822" s="2" t="s">
        <v>26</v>
      </c>
      <c r="Q822" t="s">
        <v>50</v>
      </c>
      <c r="R822">
        <v>0</v>
      </c>
      <c r="S822">
        <v>4.78</v>
      </c>
      <c r="T822" t="s">
        <v>2963</v>
      </c>
    </row>
    <row r="823" spans="1:20" x14ac:dyDescent="0.25">
      <c r="A823" s="1" t="str">
        <f>HYPERLINK("https://vegkart.atlas.vegvesen.no/#/@-29007.3,6743352.7,18/hva:hva%5B0%5D%5Bfilter%5D%5B0%5D%5Boperator%5D=%21%3D&amp;hva%5B0%5D%5Bfilter%5D%5B0%5D%5Btype_id%5D=9736&amp;hva%5B0%5D%5Bfilter%5D%5B0%5D%5Bverdi%5D=&amp;hva%5B0%5D%5Bid%5D=853/når:2014-09-01", "Vegkart")</f>
        <v>Vegkart</v>
      </c>
      <c r="B823">
        <v>578382481</v>
      </c>
      <c r="C823">
        <v>853</v>
      </c>
      <c r="D823" t="s">
        <v>2935</v>
      </c>
      <c r="E823">
        <v>9736</v>
      </c>
      <c r="F823" t="s">
        <v>23479</v>
      </c>
      <c r="G823">
        <v>1</v>
      </c>
      <c r="H823" t="s">
        <v>1009</v>
      </c>
      <c r="J823" t="s">
        <v>2964</v>
      </c>
      <c r="K823" t="s">
        <v>21</v>
      </c>
      <c r="L823" t="s">
        <v>80</v>
      </c>
      <c r="M823" t="s">
        <v>81</v>
      </c>
      <c r="N823" t="s">
        <v>2965</v>
      </c>
      <c r="O823" t="s">
        <v>2966</v>
      </c>
      <c r="P823" s="2" t="s">
        <v>26</v>
      </c>
      <c r="Q823" t="s">
        <v>50</v>
      </c>
      <c r="R823">
        <v>0.06</v>
      </c>
      <c r="S823">
        <v>4.96</v>
      </c>
      <c r="T823" t="s">
        <v>2967</v>
      </c>
    </row>
    <row r="824" spans="1:20" x14ac:dyDescent="0.25">
      <c r="A824" s="1" t="str">
        <f>HYPERLINK("https://vegkart.atlas.vegvesen.no/#/@-28979.7,6743403.4,18/hva:hva%5B0%5D%5Bfilter%5D%5B0%5D%5Boperator%5D=%21%3D&amp;hva%5B0%5D%5Bfilter%5D%5B0%5D%5Btype_id%5D=9736&amp;hva%5B0%5D%5Bfilter%5D%5B0%5D%5Bverdi%5D=&amp;hva%5B0%5D%5Bid%5D=853/når:2014-09-01", "Vegkart")</f>
        <v>Vegkart</v>
      </c>
      <c r="B824">
        <v>578382482</v>
      </c>
      <c r="C824">
        <v>853</v>
      </c>
      <c r="D824" t="s">
        <v>2935</v>
      </c>
      <c r="E824">
        <v>9736</v>
      </c>
      <c r="F824" t="s">
        <v>23479</v>
      </c>
      <c r="G824">
        <v>1</v>
      </c>
      <c r="H824" t="s">
        <v>1009</v>
      </c>
      <c r="J824" t="s">
        <v>2964</v>
      </c>
      <c r="K824" t="s">
        <v>21</v>
      </c>
      <c r="L824" t="s">
        <v>33</v>
      </c>
      <c r="M824" t="s">
        <v>2968</v>
      </c>
      <c r="N824" t="s">
        <v>2969</v>
      </c>
      <c r="O824" t="s">
        <v>2970</v>
      </c>
      <c r="P824" s="2" t="s">
        <v>26</v>
      </c>
      <c r="Q824" t="s">
        <v>50</v>
      </c>
      <c r="R824">
        <v>0.01</v>
      </c>
      <c r="S824">
        <v>3.56</v>
      </c>
      <c r="T824" t="s">
        <v>2971</v>
      </c>
    </row>
    <row r="825" spans="1:20" x14ac:dyDescent="0.25">
      <c r="A825" s="1" t="str">
        <f>HYPERLINK("https://vegkart.atlas.vegvesen.no/#/@-29011.0,6743400.7,18/hva:hva%5B0%5D%5Bfilter%5D%5B0%5D%5Boperator%5D=%21%3D&amp;hva%5B0%5D%5Bfilter%5D%5B0%5D%5Btype_id%5D=9736&amp;hva%5B0%5D%5Bfilter%5D%5B0%5D%5Bverdi%5D=&amp;hva%5B0%5D%5Bid%5D=853/når:2014-09-01", "Vegkart")</f>
        <v>Vegkart</v>
      </c>
      <c r="B825">
        <v>578382483</v>
      </c>
      <c r="C825">
        <v>853</v>
      </c>
      <c r="D825" t="s">
        <v>2935</v>
      </c>
      <c r="E825">
        <v>9736</v>
      </c>
      <c r="F825" t="s">
        <v>23479</v>
      </c>
      <c r="G825">
        <v>1</v>
      </c>
      <c r="H825" t="s">
        <v>1009</v>
      </c>
      <c r="J825" t="s">
        <v>2964</v>
      </c>
      <c r="K825" t="s">
        <v>21</v>
      </c>
      <c r="L825" t="s">
        <v>80</v>
      </c>
      <c r="M825" t="s">
        <v>81</v>
      </c>
      <c r="N825" t="s">
        <v>2972</v>
      </c>
      <c r="O825" t="s">
        <v>2973</v>
      </c>
      <c r="P825" s="2" t="s">
        <v>26</v>
      </c>
      <c r="Q825" t="s">
        <v>50</v>
      </c>
      <c r="R825">
        <v>0.02</v>
      </c>
      <c r="S825">
        <v>5.0999999999999996</v>
      </c>
      <c r="T825" t="s">
        <v>2974</v>
      </c>
    </row>
    <row r="826" spans="1:20" x14ac:dyDescent="0.25">
      <c r="A826" s="1" t="str">
        <f>HYPERLINK("https://vegkart.atlas.vegvesen.no/#/@-29046.0,6743326.8,18/hva:hva%5B0%5D%5Bfilter%5D%5B0%5D%5Boperator%5D=%21%3D&amp;hva%5B0%5D%5Bfilter%5D%5B0%5D%5Btype_id%5D=9736&amp;hva%5B0%5D%5Bfilter%5D%5B0%5D%5Bverdi%5D=&amp;hva%5B0%5D%5Bid%5D=853/når:2014-09-01", "Vegkart")</f>
        <v>Vegkart</v>
      </c>
      <c r="B826">
        <v>578382484</v>
      </c>
      <c r="C826">
        <v>853</v>
      </c>
      <c r="D826" t="s">
        <v>2935</v>
      </c>
      <c r="E826">
        <v>9736</v>
      </c>
      <c r="F826" t="s">
        <v>23479</v>
      </c>
      <c r="G826">
        <v>1</v>
      </c>
      <c r="H826" t="s">
        <v>1009</v>
      </c>
      <c r="J826" t="s">
        <v>2964</v>
      </c>
      <c r="K826" t="s">
        <v>21</v>
      </c>
      <c r="L826" t="s">
        <v>80</v>
      </c>
      <c r="M826" t="s">
        <v>152</v>
      </c>
      <c r="N826" t="s">
        <v>2975</v>
      </c>
      <c r="O826" t="s">
        <v>2976</v>
      </c>
      <c r="P826" s="2" t="s">
        <v>26</v>
      </c>
      <c r="Q826" t="s">
        <v>50</v>
      </c>
      <c r="R826">
        <v>0</v>
      </c>
      <c r="S826">
        <v>5.15</v>
      </c>
      <c r="T826" t="s">
        <v>2977</v>
      </c>
    </row>
    <row r="827" spans="1:20" x14ac:dyDescent="0.25">
      <c r="A827" s="1" t="str">
        <f>HYPERLINK("https://vegkart.atlas.vegvesen.no/#/@-29003.4,6743352.9,18/hva:hva%5B0%5D%5Bfilter%5D%5B0%5D%5Boperator%5D=%21%3D&amp;hva%5B0%5D%5Bfilter%5D%5B0%5D%5Btype_id%5D=9736&amp;hva%5B0%5D%5Bfilter%5D%5B0%5D%5Bverdi%5D=&amp;hva%5B0%5D%5Bid%5D=853/når:2014-09-01", "Vegkart")</f>
        <v>Vegkart</v>
      </c>
      <c r="B827">
        <v>578382485</v>
      </c>
      <c r="C827">
        <v>853</v>
      </c>
      <c r="D827" t="s">
        <v>2935</v>
      </c>
      <c r="E827">
        <v>9736</v>
      </c>
      <c r="F827" t="s">
        <v>23479</v>
      </c>
      <c r="G827">
        <v>1</v>
      </c>
      <c r="H827" t="s">
        <v>1009</v>
      </c>
      <c r="J827" t="s">
        <v>2964</v>
      </c>
      <c r="K827" t="s">
        <v>21</v>
      </c>
      <c r="L827" t="s">
        <v>80</v>
      </c>
      <c r="M827" t="s">
        <v>81</v>
      </c>
      <c r="N827" t="s">
        <v>2978</v>
      </c>
      <c r="O827" t="s">
        <v>2979</v>
      </c>
      <c r="P827" s="2" t="s">
        <v>26</v>
      </c>
      <c r="Q827" t="s">
        <v>50</v>
      </c>
      <c r="R827">
        <v>0</v>
      </c>
      <c r="S827">
        <v>4.6399999999999997</v>
      </c>
      <c r="T827" t="s">
        <v>2980</v>
      </c>
    </row>
    <row r="828" spans="1:20" x14ac:dyDescent="0.25">
      <c r="A828" s="1" t="str">
        <f>HYPERLINK("https://vegkart.atlas.vegvesen.no/#/@-29091.9,6743367.8,18/hva:hva%5B0%5D%5Bfilter%5D%5B0%5D%5Boperator%5D=%21%3D&amp;hva%5B0%5D%5Bfilter%5D%5B0%5D%5Btype_id%5D=9736&amp;hva%5B0%5D%5Bfilter%5D%5B0%5D%5Bverdi%5D=&amp;hva%5B0%5D%5Bid%5D=853/når:2014-09-01", "Vegkart")</f>
        <v>Vegkart</v>
      </c>
      <c r="B828">
        <v>578382486</v>
      </c>
      <c r="C828">
        <v>853</v>
      </c>
      <c r="D828" t="s">
        <v>2935</v>
      </c>
      <c r="E828">
        <v>9736</v>
      </c>
      <c r="F828" t="s">
        <v>23479</v>
      </c>
      <c r="G828">
        <v>1</v>
      </c>
      <c r="H828" t="s">
        <v>1009</v>
      </c>
      <c r="J828" t="s">
        <v>2964</v>
      </c>
      <c r="K828" t="s">
        <v>21</v>
      </c>
      <c r="L828" t="s">
        <v>80</v>
      </c>
      <c r="M828" t="s">
        <v>81</v>
      </c>
      <c r="N828" t="s">
        <v>2981</v>
      </c>
      <c r="O828" t="s">
        <v>2982</v>
      </c>
      <c r="P828" s="2" t="s">
        <v>26</v>
      </c>
      <c r="Q828" t="s">
        <v>50</v>
      </c>
      <c r="R828">
        <v>0</v>
      </c>
      <c r="S828">
        <v>4.93</v>
      </c>
      <c r="T828" t="s">
        <v>2983</v>
      </c>
    </row>
    <row r="829" spans="1:20" x14ac:dyDescent="0.25">
      <c r="A829" s="1" t="str">
        <f>HYPERLINK("https://vegkart.atlas.vegvesen.no/#/@-28924.7,6743487.9,18/hva:hva%5B0%5D%5Bfilter%5D%5B0%5D%5Boperator%5D=%21%3D&amp;hva%5B0%5D%5Bfilter%5D%5B0%5D%5Btype_id%5D=9736&amp;hva%5B0%5D%5Bfilter%5D%5B0%5D%5Bverdi%5D=&amp;hva%5B0%5D%5Bid%5D=853/når:2022-05-09", "Vegkart")</f>
        <v>Vegkart</v>
      </c>
      <c r="B829">
        <v>578382487</v>
      </c>
      <c r="C829">
        <v>853</v>
      </c>
      <c r="D829" t="s">
        <v>2935</v>
      </c>
      <c r="E829">
        <v>9736</v>
      </c>
      <c r="F829" t="s">
        <v>23479</v>
      </c>
      <c r="G829">
        <v>2</v>
      </c>
      <c r="H829" t="s">
        <v>2984</v>
      </c>
      <c r="J829" t="s">
        <v>2964</v>
      </c>
      <c r="K829" t="s">
        <v>21</v>
      </c>
      <c r="L829" t="s">
        <v>80</v>
      </c>
      <c r="M829" t="s">
        <v>81</v>
      </c>
      <c r="N829" t="s">
        <v>2985</v>
      </c>
      <c r="O829" t="s">
        <v>2986</v>
      </c>
      <c r="P829" s="2" t="s">
        <v>26</v>
      </c>
      <c r="Q829" t="s">
        <v>50</v>
      </c>
      <c r="R829">
        <v>0</v>
      </c>
      <c r="S829">
        <v>4.96</v>
      </c>
      <c r="T829" t="s">
        <v>2987</v>
      </c>
    </row>
    <row r="830" spans="1:20" x14ac:dyDescent="0.25">
      <c r="A830" s="1" t="str">
        <f>HYPERLINK("https://vegkart.atlas.vegvesen.no/#/@-28879.0,6743466.4,18/hva:hva%5B0%5D%5Bfilter%5D%5B0%5D%5Boperator%5D=%21%3D&amp;hva%5B0%5D%5Bfilter%5D%5B0%5D%5Btype_id%5D=9736&amp;hva%5B0%5D%5Bfilter%5D%5B0%5D%5Bverdi%5D=&amp;hva%5B0%5D%5Bid%5D=853/når:2014-09-01", "Vegkart")</f>
        <v>Vegkart</v>
      </c>
      <c r="B830">
        <v>578382488</v>
      </c>
      <c r="C830">
        <v>853</v>
      </c>
      <c r="D830" t="s">
        <v>2935</v>
      </c>
      <c r="E830">
        <v>9736</v>
      </c>
      <c r="F830" t="s">
        <v>23479</v>
      </c>
      <c r="G830">
        <v>1</v>
      </c>
      <c r="H830" t="s">
        <v>1009</v>
      </c>
      <c r="J830" t="s">
        <v>2964</v>
      </c>
      <c r="K830" t="s">
        <v>21</v>
      </c>
      <c r="L830" t="s">
        <v>80</v>
      </c>
      <c r="M830" t="s">
        <v>81</v>
      </c>
      <c r="N830" t="s">
        <v>2988</v>
      </c>
      <c r="O830" t="s">
        <v>2989</v>
      </c>
      <c r="P830" s="2" t="s">
        <v>26</v>
      </c>
      <c r="Q830" t="s">
        <v>50</v>
      </c>
      <c r="R830">
        <v>0</v>
      </c>
      <c r="S830">
        <v>4.9400000000000004</v>
      </c>
      <c r="T830" t="s">
        <v>2990</v>
      </c>
    </row>
    <row r="831" spans="1:20" x14ac:dyDescent="0.25">
      <c r="A831" s="1" t="str">
        <f>HYPERLINK("https://vegkart.atlas.vegvesen.no/#/@-28907.4,6743451.9,18/hva:hva%5B0%5D%5Bfilter%5D%5B0%5D%5Boperator%5D=%21%3D&amp;hva%5B0%5D%5Bfilter%5D%5B0%5D%5Btype_id%5D=9736&amp;hva%5B0%5D%5Bfilter%5D%5B0%5D%5Bverdi%5D=&amp;hva%5B0%5D%5Bid%5D=853/når:2014-09-01", "Vegkart")</f>
        <v>Vegkart</v>
      </c>
      <c r="B831">
        <v>578382489</v>
      </c>
      <c r="C831">
        <v>853</v>
      </c>
      <c r="D831" t="s">
        <v>2935</v>
      </c>
      <c r="E831">
        <v>9736</v>
      </c>
      <c r="F831" t="s">
        <v>23479</v>
      </c>
      <c r="G831">
        <v>1</v>
      </c>
      <c r="H831" t="s">
        <v>1009</v>
      </c>
      <c r="J831" t="s">
        <v>2964</v>
      </c>
      <c r="K831" t="s">
        <v>21</v>
      </c>
      <c r="L831" t="s">
        <v>80</v>
      </c>
      <c r="M831" t="s">
        <v>81</v>
      </c>
      <c r="N831" t="s">
        <v>2991</v>
      </c>
      <c r="O831" t="s">
        <v>2992</v>
      </c>
      <c r="P831" s="2" t="s">
        <v>26</v>
      </c>
      <c r="Q831" t="s">
        <v>50</v>
      </c>
      <c r="R831">
        <v>0.02</v>
      </c>
      <c r="S831">
        <v>3.51</v>
      </c>
      <c r="T831" t="s">
        <v>2993</v>
      </c>
    </row>
    <row r="832" spans="1:20" x14ac:dyDescent="0.25">
      <c r="A832" s="1" t="str">
        <f>HYPERLINK("https://vegkart.atlas.vegvesen.no/#/@-28883.0,6743477.1,18/hva:hva%5B0%5D%5Bfilter%5D%5B0%5D%5Boperator%5D=%21%3D&amp;hva%5B0%5D%5Bfilter%5D%5B0%5D%5Btype_id%5D=9736&amp;hva%5B0%5D%5Bfilter%5D%5B0%5D%5Bverdi%5D=&amp;hva%5B0%5D%5Bid%5D=853/når:2014-09-01", "Vegkart")</f>
        <v>Vegkart</v>
      </c>
      <c r="B832">
        <v>578382490</v>
      </c>
      <c r="C832">
        <v>853</v>
      </c>
      <c r="D832" t="s">
        <v>2935</v>
      </c>
      <c r="E832">
        <v>9736</v>
      </c>
      <c r="F832" t="s">
        <v>23479</v>
      </c>
      <c r="G832">
        <v>1</v>
      </c>
      <c r="H832" t="s">
        <v>1009</v>
      </c>
      <c r="J832" t="s">
        <v>2964</v>
      </c>
      <c r="K832" t="s">
        <v>21</v>
      </c>
      <c r="L832" t="s">
        <v>80</v>
      </c>
      <c r="M832" t="s">
        <v>81</v>
      </c>
      <c r="N832" t="s">
        <v>2994</v>
      </c>
      <c r="O832" t="s">
        <v>2995</v>
      </c>
      <c r="P832" s="2" t="s">
        <v>26</v>
      </c>
      <c r="Q832" t="s">
        <v>50</v>
      </c>
      <c r="R832">
        <v>0.01</v>
      </c>
      <c r="S832">
        <v>4.87</v>
      </c>
      <c r="T832" t="s">
        <v>2996</v>
      </c>
    </row>
    <row r="833" spans="1:20" x14ac:dyDescent="0.25">
      <c r="A833" s="1" t="str">
        <f>HYPERLINK("https://vegkart.atlas.vegvesen.no/#/@-28888.1,6743488.9,18/hva:hva%5B0%5D%5Bfilter%5D%5B0%5D%5Boperator%5D=%21%3D&amp;hva%5B0%5D%5Bfilter%5D%5B0%5D%5Btype_id%5D=9736&amp;hva%5B0%5D%5Bfilter%5D%5B0%5D%5Bverdi%5D=&amp;hva%5B0%5D%5Bid%5D=853/når:2014-09-01", "Vegkart")</f>
        <v>Vegkart</v>
      </c>
      <c r="B833">
        <v>578382491</v>
      </c>
      <c r="C833">
        <v>853</v>
      </c>
      <c r="D833" t="s">
        <v>2935</v>
      </c>
      <c r="E833">
        <v>9736</v>
      </c>
      <c r="F833" t="s">
        <v>23479</v>
      </c>
      <c r="G833">
        <v>1</v>
      </c>
      <c r="H833" t="s">
        <v>1009</v>
      </c>
      <c r="J833" t="s">
        <v>2964</v>
      </c>
      <c r="K833" t="s">
        <v>21</v>
      </c>
      <c r="L833" t="s">
        <v>80</v>
      </c>
      <c r="M833" t="s">
        <v>81</v>
      </c>
      <c r="N833" t="s">
        <v>2997</v>
      </c>
      <c r="O833" t="s">
        <v>2998</v>
      </c>
      <c r="P833" s="2" t="s">
        <v>26</v>
      </c>
      <c r="Q833" t="s">
        <v>50</v>
      </c>
      <c r="R833">
        <v>0.02</v>
      </c>
      <c r="S833">
        <v>4.95</v>
      </c>
      <c r="T833" t="s">
        <v>2999</v>
      </c>
    </row>
    <row r="834" spans="1:20" x14ac:dyDescent="0.25">
      <c r="A834" s="1" t="str">
        <f>HYPERLINK("https://vegkart.atlas.vegvesen.no/#/@-28881.5,6743487.4,18/hva:hva%5B0%5D%5Bfilter%5D%5B0%5D%5Boperator%5D=%21%3D&amp;hva%5B0%5D%5Bfilter%5D%5B0%5D%5Btype_id%5D=9736&amp;hva%5B0%5D%5Bfilter%5D%5B0%5D%5Bverdi%5D=&amp;hva%5B0%5D%5Bid%5D=853/når:2014-09-01", "Vegkart")</f>
        <v>Vegkart</v>
      </c>
      <c r="B834">
        <v>578382492</v>
      </c>
      <c r="C834">
        <v>853</v>
      </c>
      <c r="D834" t="s">
        <v>2935</v>
      </c>
      <c r="E834">
        <v>9736</v>
      </c>
      <c r="F834" t="s">
        <v>23479</v>
      </c>
      <c r="G834">
        <v>1</v>
      </c>
      <c r="H834" t="s">
        <v>1009</v>
      </c>
      <c r="J834" t="s">
        <v>2964</v>
      </c>
      <c r="K834" t="s">
        <v>21</v>
      </c>
      <c r="L834" t="s">
        <v>80</v>
      </c>
      <c r="M834" t="s">
        <v>81</v>
      </c>
      <c r="N834" t="s">
        <v>3000</v>
      </c>
      <c r="O834" t="s">
        <v>3001</v>
      </c>
      <c r="P834" s="2" t="s">
        <v>26</v>
      </c>
      <c r="Q834" t="s">
        <v>50</v>
      </c>
      <c r="R834">
        <v>0</v>
      </c>
      <c r="S834">
        <v>4.41</v>
      </c>
      <c r="T834" t="s">
        <v>3002</v>
      </c>
    </row>
    <row r="835" spans="1:20" x14ac:dyDescent="0.25">
      <c r="A835" s="1" t="str">
        <f>HYPERLINK("https://vegkart.atlas.vegvesen.no/#/@-28538.7,6743596.5,18/hva:hva%5B0%5D%5Bfilter%5D%5B0%5D%5Boperator%5D=%21%3D&amp;hva%5B0%5D%5Bfilter%5D%5B0%5D%5Btype_id%5D=9736&amp;hva%5B0%5D%5Bfilter%5D%5B0%5D%5Bverdi%5D=&amp;hva%5B0%5D%5Bid%5D=853/når:2014-09-01", "Vegkart")</f>
        <v>Vegkart</v>
      </c>
      <c r="B835">
        <v>578382493</v>
      </c>
      <c r="C835">
        <v>853</v>
      </c>
      <c r="D835" t="s">
        <v>2935</v>
      </c>
      <c r="E835">
        <v>9736</v>
      </c>
      <c r="F835" t="s">
        <v>23479</v>
      </c>
      <c r="G835">
        <v>1</v>
      </c>
      <c r="H835" t="s">
        <v>1009</v>
      </c>
      <c r="J835" t="s">
        <v>2964</v>
      </c>
      <c r="K835" t="s">
        <v>21</v>
      </c>
      <c r="L835" t="s">
        <v>80</v>
      </c>
      <c r="M835" t="s">
        <v>81</v>
      </c>
      <c r="N835" t="s">
        <v>3003</v>
      </c>
      <c r="O835" t="s">
        <v>3004</v>
      </c>
      <c r="P835" s="2" t="s">
        <v>26</v>
      </c>
      <c r="Q835" t="s">
        <v>50</v>
      </c>
      <c r="R835">
        <v>0</v>
      </c>
      <c r="S835">
        <v>4.88</v>
      </c>
      <c r="T835" t="s">
        <v>3005</v>
      </c>
    </row>
    <row r="836" spans="1:20" x14ac:dyDescent="0.25">
      <c r="A836" s="1" t="str">
        <f>HYPERLINK("https://vegkart.atlas.vegvesen.no/#/@-28205.3,6743650.1,18/hva:hva%5B0%5D%5Bfilter%5D%5B0%5D%5Boperator%5D=%21%3D&amp;hva%5B0%5D%5Bfilter%5D%5B0%5D%5Btype_id%5D=9736&amp;hva%5B0%5D%5Bfilter%5D%5B0%5D%5Bverdi%5D=&amp;hva%5B0%5D%5Bid%5D=853/når:2014-09-01", "Vegkart")</f>
        <v>Vegkart</v>
      </c>
      <c r="B836">
        <v>578382494</v>
      </c>
      <c r="C836">
        <v>853</v>
      </c>
      <c r="D836" t="s">
        <v>2935</v>
      </c>
      <c r="E836">
        <v>9736</v>
      </c>
      <c r="F836" t="s">
        <v>23479</v>
      </c>
      <c r="G836">
        <v>1</v>
      </c>
      <c r="H836" t="s">
        <v>1009</v>
      </c>
      <c r="J836" t="s">
        <v>2964</v>
      </c>
      <c r="K836" t="s">
        <v>21</v>
      </c>
      <c r="L836" t="s">
        <v>80</v>
      </c>
      <c r="M836" t="s">
        <v>81</v>
      </c>
      <c r="N836" t="s">
        <v>3006</v>
      </c>
      <c r="O836" t="s">
        <v>3007</v>
      </c>
      <c r="P836" s="2" t="s">
        <v>26</v>
      </c>
      <c r="Q836" t="s">
        <v>50</v>
      </c>
      <c r="R836">
        <v>0.06</v>
      </c>
      <c r="S836">
        <v>4.83</v>
      </c>
      <c r="T836" t="s">
        <v>3008</v>
      </c>
    </row>
    <row r="837" spans="1:20" x14ac:dyDescent="0.25">
      <c r="A837" s="1" t="str">
        <f>HYPERLINK("https://vegkart.atlas.vegvesen.no/#/@-28255.2,6743673.9,18/hva:hva%5B0%5D%5Bfilter%5D%5B0%5D%5Boperator%5D=%21%3D&amp;hva%5B0%5D%5Bfilter%5D%5B0%5D%5Btype_id%5D=9736&amp;hva%5B0%5D%5Bfilter%5D%5B0%5D%5Bverdi%5D=&amp;hva%5B0%5D%5Bid%5D=853/når:2014-09-01", "Vegkart")</f>
        <v>Vegkart</v>
      </c>
      <c r="B837">
        <v>578382495</v>
      </c>
      <c r="C837">
        <v>853</v>
      </c>
      <c r="D837" t="s">
        <v>2935</v>
      </c>
      <c r="E837">
        <v>9736</v>
      </c>
      <c r="F837" t="s">
        <v>23479</v>
      </c>
      <c r="G837">
        <v>1</v>
      </c>
      <c r="H837" t="s">
        <v>1009</v>
      </c>
      <c r="J837" t="s">
        <v>2964</v>
      </c>
      <c r="K837" t="s">
        <v>21</v>
      </c>
      <c r="L837" t="s">
        <v>80</v>
      </c>
      <c r="M837" t="s">
        <v>81</v>
      </c>
      <c r="N837" t="s">
        <v>3009</v>
      </c>
      <c r="O837" t="s">
        <v>3010</v>
      </c>
      <c r="P837" s="2" t="s">
        <v>26</v>
      </c>
      <c r="Q837" t="s">
        <v>50</v>
      </c>
      <c r="R837">
        <v>0.05</v>
      </c>
      <c r="S837">
        <v>3.44</v>
      </c>
      <c r="T837" t="s">
        <v>3011</v>
      </c>
    </row>
    <row r="838" spans="1:20" x14ac:dyDescent="0.25">
      <c r="A838" s="1" t="str">
        <f>HYPERLINK("https://vegkart.atlas.vegvesen.no/#/@-28230.7,6743667.2,18/hva:hva%5B0%5D%5Bfilter%5D%5B0%5D%5Boperator%5D=%21%3D&amp;hva%5B0%5D%5Bfilter%5D%5B0%5D%5Btype_id%5D=9736&amp;hva%5B0%5D%5Bfilter%5D%5B0%5D%5Bverdi%5D=&amp;hva%5B0%5D%5Bid%5D=853/når:2014-09-01", "Vegkart")</f>
        <v>Vegkart</v>
      </c>
      <c r="B838">
        <v>578382496</v>
      </c>
      <c r="C838">
        <v>853</v>
      </c>
      <c r="D838" t="s">
        <v>2935</v>
      </c>
      <c r="E838">
        <v>9736</v>
      </c>
      <c r="F838" t="s">
        <v>23479</v>
      </c>
      <c r="G838">
        <v>1</v>
      </c>
      <c r="H838" t="s">
        <v>1009</v>
      </c>
      <c r="J838" t="s">
        <v>2964</v>
      </c>
      <c r="K838" t="s">
        <v>21</v>
      </c>
      <c r="L838" t="s">
        <v>80</v>
      </c>
      <c r="M838" t="s">
        <v>81</v>
      </c>
      <c r="N838" t="s">
        <v>3012</v>
      </c>
      <c r="O838" t="s">
        <v>3013</v>
      </c>
      <c r="P838" s="2" t="s">
        <v>26</v>
      </c>
      <c r="Q838" t="s">
        <v>50</v>
      </c>
      <c r="R838">
        <v>0</v>
      </c>
      <c r="S838">
        <v>5.03</v>
      </c>
      <c r="T838" t="s">
        <v>3014</v>
      </c>
    </row>
    <row r="839" spans="1:20" x14ac:dyDescent="0.25">
      <c r="A839" s="1" t="str">
        <f>HYPERLINK("https://vegkart.atlas.vegvesen.no/#/@-28222.3,6743665.2,18/hva:hva%5B0%5D%5Bfilter%5D%5B0%5D%5Boperator%5D=%21%3D&amp;hva%5B0%5D%5Bfilter%5D%5B0%5D%5Btype_id%5D=9736&amp;hva%5B0%5D%5Bfilter%5D%5B0%5D%5Bverdi%5D=&amp;hva%5B0%5D%5Bid%5D=853/når:2014-09-01", "Vegkart")</f>
        <v>Vegkart</v>
      </c>
      <c r="B839">
        <v>578382497</v>
      </c>
      <c r="C839">
        <v>853</v>
      </c>
      <c r="D839" t="s">
        <v>2935</v>
      </c>
      <c r="E839">
        <v>9736</v>
      </c>
      <c r="F839" t="s">
        <v>23479</v>
      </c>
      <c r="G839">
        <v>1</v>
      </c>
      <c r="H839" t="s">
        <v>1009</v>
      </c>
      <c r="J839" t="s">
        <v>2964</v>
      </c>
      <c r="K839" t="s">
        <v>21</v>
      </c>
      <c r="L839" t="s">
        <v>80</v>
      </c>
      <c r="M839" t="s">
        <v>81</v>
      </c>
      <c r="N839" t="s">
        <v>3015</v>
      </c>
      <c r="O839" t="s">
        <v>3016</v>
      </c>
      <c r="P839" s="2" t="s">
        <v>26</v>
      </c>
      <c r="Q839" t="s">
        <v>50</v>
      </c>
      <c r="R839">
        <v>0.06</v>
      </c>
      <c r="S839">
        <v>4.92</v>
      </c>
      <c r="T839" t="s">
        <v>3017</v>
      </c>
    </row>
    <row r="840" spans="1:20" x14ac:dyDescent="0.25">
      <c r="A840" s="1" t="str">
        <f>HYPERLINK("https://vegkart.atlas.vegvesen.no/#/@-28298.9,6743661.5,18/hva:hva%5B0%5D%5Bfilter%5D%5B0%5D%5Boperator%5D=%21%3D&amp;hva%5B0%5D%5Bfilter%5D%5B0%5D%5Btype_id%5D=9736&amp;hva%5B0%5D%5Bfilter%5D%5B0%5D%5Bverdi%5D=&amp;hva%5B0%5D%5Bid%5D=853/når:2014-09-01", "Vegkart")</f>
        <v>Vegkart</v>
      </c>
      <c r="B840">
        <v>578382498</v>
      </c>
      <c r="C840">
        <v>853</v>
      </c>
      <c r="D840" t="s">
        <v>2935</v>
      </c>
      <c r="E840">
        <v>9736</v>
      </c>
      <c r="F840" t="s">
        <v>23479</v>
      </c>
      <c r="G840">
        <v>1</v>
      </c>
      <c r="H840" t="s">
        <v>1009</v>
      </c>
      <c r="J840" t="s">
        <v>2964</v>
      </c>
      <c r="K840" t="s">
        <v>21</v>
      </c>
      <c r="L840" t="s">
        <v>80</v>
      </c>
      <c r="M840" t="s">
        <v>81</v>
      </c>
      <c r="N840" t="s">
        <v>3018</v>
      </c>
      <c r="O840" t="s">
        <v>3019</v>
      </c>
      <c r="P840" s="2" t="s">
        <v>26</v>
      </c>
      <c r="Q840" t="s">
        <v>50</v>
      </c>
      <c r="R840">
        <v>0</v>
      </c>
      <c r="S840">
        <v>4.9000000000000004</v>
      </c>
      <c r="T840" t="s">
        <v>3020</v>
      </c>
    </row>
    <row r="841" spans="1:20" x14ac:dyDescent="0.25">
      <c r="A841" s="1" t="str">
        <f>HYPERLINK("https://vegkart.atlas.vegvesen.no/#/@-28226.1,6743646.2,18/hva:hva%5B0%5D%5Bfilter%5D%5B0%5D%5Boperator%5D=%21%3D&amp;hva%5B0%5D%5Bfilter%5D%5B0%5D%5Btype_id%5D=9736&amp;hva%5B0%5D%5Bfilter%5D%5B0%5D%5Bverdi%5D=&amp;hva%5B0%5D%5Bid%5D=853/når:2014-09-01", "Vegkart")</f>
        <v>Vegkart</v>
      </c>
      <c r="B841">
        <v>578382499</v>
      </c>
      <c r="C841">
        <v>853</v>
      </c>
      <c r="D841" t="s">
        <v>2935</v>
      </c>
      <c r="E841">
        <v>9736</v>
      </c>
      <c r="F841" t="s">
        <v>23479</v>
      </c>
      <c r="G841">
        <v>1</v>
      </c>
      <c r="H841" t="s">
        <v>1009</v>
      </c>
      <c r="J841" t="s">
        <v>2964</v>
      </c>
      <c r="K841" t="s">
        <v>21</v>
      </c>
      <c r="L841" t="s">
        <v>80</v>
      </c>
      <c r="M841" t="s">
        <v>81</v>
      </c>
      <c r="N841" t="s">
        <v>3021</v>
      </c>
      <c r="O841" t="s">
        <v>3022</v>
      </c>
      <c r="P841" s="2" t="s">
        <v>26</v>
      </c>
      <c r="Q841" t="s">
        <v>50</v>
      </c>
      <c r="R841">
        <v>0</v>
      </c>
      <c r="S841">
        <v>4.72</v>
      </c>
      <c r="T841" t="s">
        <v>3023</v>
      </c>
    </row>
    <row r="842" spans="1:20" x14ac:dyDescent="0.25">
      <c r="A842" s="1" t="str">
        <f>HYPERLINK("https://vegkart.atlas.vegvesen.no/#/@-27946.7,6743808.6,18/hva:hva%5B0%5D%5Bfilter%5D%5B0%5D%5Boperator%5D=%21%3D&amp;hva%5B0%5D%5Bfilter%5D%5B0%5D%5Btype_id%5D=9736&amp;hva%5B0%5D%5Bfilter%5D%5B0%5D%5Bverdi%5D=&amp;hva%5B0%5D%5Bid%5D=853/når:2014-09-01", "Vegkart")</f>
        <v>Vegkart</v>
      </c>
      <c r="B842">
        <v>578382500</v>
      </c>
      <c r="C842">
        <v>853</v>
      </c>
      <c r="D842" t="s">
        <v>2935</v>
      </c>
      <c r="E842">
        <v>9736</v>
      </c>
      <c r="F842" t="s">
        <v>23479</v>
      </c>
      <c r="G842">
        <v>1</v>
      </c>
      <c r="H842" t="s">
        <v>1009</v>
      </c>
      <c r="J842" t="s">
        <v>2964</v>
      </c>
      <c r="K842" t="s">
        <v>21</v>
      </c>
      <c r="L842" t="s">
        <v>80</v>
      </c>
      <c r="M842" t="s">
        <v>81</v>
      </c>
      <c r="N842" t="s">
        <v>3024</v>
      </c>
      <c r="O842" t="s">
        <v>3025</v>
      </c>
      <c r="P842" s="2" t="s">
        <v>26</v>
      </c>
      <c r="Q842" t="s">
        <v>50</v>
      </c>
      <c r="R842">
        <v>0.05</v>
      </c>
      <c r="S842">
        <v>4.82</v>
      </c>
      <c r="T842" t="s">
        <v>3026</v>
      </c>
    </row>
    <row r="843" spans="1:20" x14ac:dyDescent="0.25">
      <c r="A843" s="1" t="str">
        <f>HYPERLINK("https://vegkart.atlas.vegvesen.no/#/@-27991.5,6743776.8,18/hva:hva%5B0%5D%5Bfilter%5D%5B0%5D%5Boperator%5D=%21%3D&amp;hva%5B0%5D%5Bfilter%5D%5B0%5D%5Btype_id%5D=9736&amp;hva%5B0%5D%5Bfilter%5D%5B0%5D%5Bverdi%5D=&amp;hva%5B0%5D%5Bid%5D=853/når:2014-09-01", "Vegkart")</f>
        <v>Vegkart</v>
      </c>
      <c r="B843">
        <v>578382501</v>
      </c>
      <c r="C843">
        <v>853</v>
      </c>
      <c r="D843" t="s">
        <v>2935</v>
      </c>
      <c r="E843">
        <v>9736</v>
      </c>
      <c r="F843" t="s">
        <v>23479</v>
      </c>
      <c r="G843">
        <v>1</v>
      </c>
      <c r="H843" t="s">
        <v>1009</v>
      </c>
      <c r="J843" t="s">
        <v>2964</v>
      </c>
      <c r="K843" t="s">
        <v>21</v>
      </c>
      <c r="L843" t="s">
        <v>80</v>
      </c>
      <c r="M843" t="s">
        <v>81</v>
      </c>
      <c r="N843" t="s">
        <v>3027</v>
      </c>
      <c r="O843" t="s">
        <v>3028</v>
      </c>
      <c r="P843" s="2" t="s">
        <v>26</v>
      </c>
      <c r="Q843" t="s">
        <v>50</v>
      </c>
      <c r="R843">
        <v>0.03</v>
      </c>
      <c r="S843">
        <v>3.5</v>
      </c>
      <c r="T843" t="s">
        <v>3029</v>
      </c>
    </row>
    <row r="844" spans="1:20" x14ac:dyDescent="0.25">
      <c r="A844" s="1" t="str">
        <f>HYPERLINK("https://vegkart.atlas.vegvesen.no/#/@-28032.2,6743744.7,18/hva:hva%5B0%5D%5Bfilter%5D%5B0%5D%5Boperator%5D=%21%3D&amp;hva%5B0%5D%5Bfilter%5D%5B0%5D%5Btype_id%5D=9736&amp;hva%5B0%5D%5Bfilter%5D%5B0%5D%5Bverdi%5D=&amp;hva%5B0%5D%5Bid%5D=853/når:2014-09-01", "Vegkart")</f>
        <v>Vegkart</v>
      </c>
      <c r="B844">
        <v>578382502</v>
      </c>
      <c r="C844">
        <v>853</v>
      </c>
      <c r="D844" t="s">
        <v>2935</v>
      </c>
      <c r="E844">
        <v>9736</v>
      </c>
      <c r="F844" t="s">
        <v>23479</v>
      </c>
      <c r="G844">
        <v>1</v>
      </c>
      <c r="H844" t="s">
        <v>1009</v>
      </c>
      <c r="J844" t="s">
        <v>2964</v>
      </c>
      <c r="K844" t="s">
        <v>21</v>
      </c>
      <c r="L844" t="s">
        <v>80</v>
      </c>
      <c r="M844" t="s">
        <v>81</v>
      </c>
      <c r="N844" t="s">
        <v>3030</v>
      </c>
      <c r="O844" t="s">
        <v>3031</v>
      </c>
      <c r="P844" s="2" t="s">
        <v>26</v>
      </c>
      <c r="Q844" t="s">
        <v>50</v>
      </c>
      <c r="R844">
        <v>0</v>
      </c>
      <c r="S844">
        <v>3.49</v>
      </c>
      <c r="T844" t="s">
        <v>3032</v>
      </c>
    </row>
    <row r="845" spans="1:20" x14ac:dyDescent="0.25">
      <c r="A845" s="1" t="str">
        <f>HYPERLINK("https://vegkart.atlas.vegvesen.no/#/@-27714.7,6744036.5,18/hva:hva%5B0%5D%5Bfilter%5D%5B0%5D%5Boperator%5D=%21%3D&amp;hva%5B0%5D%5Bfilter%5D%5B0%5D%5Btype_id%5D=9736&amp;hva%5B0%5D%5Bfilter%5D%5B0%5D%5Bverdi%5D=&amp;hva%5B0%5D%5Bid%5D=853/når:2014-09-01", "Vegkart")</f>
        <v>Vegkart</v>
      </c>
      <c r="B845">
        <v>578382503</v>
      </c>
      <c r="C845">
        <v>853</v>
      </c>
      <c r="D845" t="s">
        <v>2935</v>
      </c>
      <c r="E845">
        <v>9736</v>
      </c>
      <c r="F845" t="s">
        <v>23479</v>
      </c>
      <c r="G845">
        <v>1</v>
      </c>
      <c r="H845" t="s">
        <v>1009</v>
      </c>
      <c r="J845" t="s">
        <v>2964</v>
      </c>
      <c r="K845" t="s">
        <v>21</v>
      </c>
      <c r="L845" t="s">
        <v>80</v>
      </c>
      <c r="M845" t="s">
        <v>81</v>
      </c>
      <c r="N845" t="s">
        <v>3033</v>
      </c>
      <c r="O845" t="s">
        <v>3034</v>
      </c>
      <c r="P845" s="2" t="s">
        <v>26</v>
      </c>
      <c r="Q845" t="s">
        <v>50</v>
      </c>
      <c r="R845">
        <v>0</v>
      </c>
      <c r="S845">
        <v>4.4000000000000004</v>
      </c>
      <c r="T845" t="s">
        <v>3035</v>
      </c>
    </row>
    <row r="846" spans="1:20" x14ac:dyDescent="0.25">
      <c r="A846" s="1" t="str">
        <f>HYPERLINK("https://vegkart.atlas.vegvesen.no/#/@-27715.8,6744048.6,18/hva:hva%5B0%5D%5Bfilter%5D%5B0%5D%5Boperator%5D=%21%3D&amp;hva%5B0%5D%5Bfilter%5D%5B0%5D%5Btype_id%5D=9736&amp;hva%5B0%5D%5Bfilter%5D%5B0%5D%5Bverdi%5D=&amp;hva%5B0%5D%5Bid%5D=853/når:2014-09-01", "Vegkart")</f>
        <v>Vegkart</v>
      </c>
      <c r="B846">
        <v>578382504</v>
      </c>
      <c r="C846">
        <v>853</v>
      </c>
      <c r="D846" t="s">
        <v>2935</v>
      </c>
      <c r="E846">
        <v>9736</v>
      </c>
      <c r="F846" t="s">
        <v>23479</v>
      </c>
      <c r="G846">
        <v>1</v>
      </c>
      <c r="H846" t="s">
        <v>1009</v>
      </c>
      <c r="J846" t="s">
        <v>2964</v>
      </c>
      <c r="K846" t="s">
        <v>21</v>
      </c>
      <c r="L846" t="s">
        <v>80</v>
      </c>
      <c r="M846" t="s">
        <v>81</v>
      </c>
      <c r="N846" t="s">
        <v>3036</v>
      </c>
      <c r="O846" t="s">
        <v>3037</v>
      </c>
      <c r="P846" s="2" t="s">
        <v>26</v>
      </c>
      <c r="Q846" t="s">
        <v>50</v>
      </c>
      <c r="R846">
        <v>0</v>
      </c>
      <c r="S846">
        <v>4.45</v>
      </c>
      <c r="T846" t="s">
        <v>3038</v>
      </c>
    </row>
    <row r="847" spans="1:20" x14ac:dyDescent="0.25">
      <c r="A847" s="1" t="str">
        <f>HYPERLINK("https://vegkart.atlas.vegvesen.no/#/@-27633.5,6744177.2,18/hva:hva%5B0%5D%5Bfilter%5D%5B0%5D%5Boperator%5D=%21%3D&amp;hva%5B0%5D%5Bfilter%5D%5B0%5D%5Btype_id%5D=9736&amp;hva%5B0%5D%5Bfilter%5D%5B0%5D%5Bverdi%5D=&amp;hva%5B0%5D%5Bid%5D=853/når:2014-09-01", "Vegkart")</f>
        <v>Vegkart</v>
      </c>
      <c r="B847">
        <v>578382505</v>
      </c>
      <c r="C847">
        <v>853</v>
      </c>
      <c r="D847" t="s">
        <v>2935</v>
      </c>
      <c r="E847">
        <v>9736</v>
      </c>
      <c r="F847" t="s">
        <v>23479</v>
      </c>
      <c r="G847">
        <v>1</v>
      </c>
      <c r="H847" t="s">
        <v>1009</v>
      </c>
      <c r="J847" t="s">
        <v>2964</v>
      </c>
      <c r="K847" t="s">
        <v>21</v>
      </c>
      <c r="L847" t="s">
        <v>80</v>
      </c>
      <c r="M847" t="s">
        <v>81</v>
      </c>
      <c r="N847" t="s">
        <v>3039</v>
      </c>
      <c r="O847" t="s">
        <v>3040</v>
      </c>
      <c r="P847" s="2" t="s">
        <v>26</v>
      </c>
      <c r="Q847" t="s">
        <v>50</v>
      </c>
      <c r="R847">
        <v>0</v>
      </c>
      <c r="S847">
        <v>4.55</v>
      </c>
      <c r="T847" t="s">
        <v>3041</v>
      </c>
    </row>
    <row r="848" spans="1:20" x14ac:dyDescent="0.25">
      <c r="A848" s="1" t="str">
        <f>HYPERLINK("https://vegkart.atlas.vegvesen.no/#/@-27896.1,6743843.0,18/hva:hva%5B0%5D%5Bfilter%5D%5B0%5D%5Boperator%5D=%21%3D&amp;hva%5B0%5D%5Bfilter%5D%5B0%5D%5Btype_id%5D=9736&amp;hva%5B0%5D%5Bfilter%5D%5B0%5D%5Bverdi%5D=&amp;hva%5B0%5D%5Bid%5D=853/når:2014-09-01", "Vegkart")</f>
        <v>Vegkart</v>
      </c>
      <c r="B848">
        <v>578382506</v>
      </c>
      <c r="C848">
        <v>853</v>
      </c>
      <c r="D848" t="s">
        <v>2935</v>
      </c>
      <c r="E848">
        <v>9736</v>
      </c>
      <c r="F848" t="s">
        <v>23479</v>
      </c>
      <c r="G848">
        <v>1</v>
      </c>
      <c r="H848" t="s">
        <v>1009</v>
      </c>
      <c r="J848" t="s">
        <v>2964</v>
      </c>
      <c r="K848" t="s">
        <v>21</v>
      </c>
      <c r="L848" t="s">
        <v>80</v>
      </c>
      <c r="M848" t="s">
        <v>81</v>
      </c>
      <c r="N848" t="s">
        <v>3042</v>
      </c>
      <c r="O848" t="s">
        <v>3043</v>
      </c>
      <c r="P848" s="2" t="s">
        <v>26</v>
      </c>
      <c r="Q848" t="s">
        <v>50</v>
      </c>
      <c r="R848">
        <v>0.05</v>
      </c>
      <c r="S848">
        <v>5.0199999999999996</v>
      </c>
      <c r="T848" t="s">
        <v>3044</v>
      </c>
    </row>
    <row r="849" spans="1:20" x14ac:dyDescent="0.25">
      <c r="A849" s="1" t="str">
        <f>HYPERLINK("https://vegkart.atlas.vegvesen.no/#/@-27793.1,6743927.6,18/hva:hva%5B0%5D%5Bfilter%5D%5B0%5D%5Boperator%5D=%21%3D&amp;hva%5B0%5D%5Bfilter%5D%5B0%5D%5Btype_id%5D=9736&amp;hva%5B0%5D%5Bfilter%5D%5B0%5D%5Bverdi%5D=&amp;hva%5B0%5D%5Bid%5D=853/når:2014-09-01", "Vegkart")</f>
        <v>Vegkart</v>
      </c>
      <c r="B849">
        <v>578382507</v>
      </c>
      <c r="C849">
        <v>853</v>
      </c>
      <c r="D849" t="s">
        <v>2935</v>
      </c>
      <c r="E849">
        <v>9736</v>
      </c>
      <c r="F849" t="s">
        <v>23479</v>
      </c>
      <c r="G849">
        <v>1</v>
      </c>
      <c r="H849" t="s">
        <v>1009</v>
      </c>
      <c r="J849" t="s">
        <v>2964</v>
      </c>
      <c r="K849" t="s">
        <v>21</v>
      </c>
      <c r="L849" t="s">
        <v>80</v>
      </c>
      <c r="M849" t="s">
        <v>81</v>
      </c>
      <c r="N849" t="s">
        <v>3045</v>
      </c>
      <c r="O849" t="s">
        <v>3046</v>
      </c>
      <c r="P849" s="2" t="s">
        <v>26</v>
      </c>
      <c r="Q849" t="s">
        <v>50</v>
      </c>
      <c r="R849">
        <v>0.01</v>
      </c>
      <c r="S849">
        <v>4.91</v>
      </c>
      <c r="T849" t="s">
        <v>3047</v>
      </c>
    </row>
    <row r="850" spans="1:20" x14ac:dyDescent="0.25">
      <c r="A850" s="1" t="str">
        <f>HYPERLINK("https://vegkart.atlas.vegvesen.no/#/@-27779.1,6743945.4,18/hva:hva%5B0%5D%5Bfilter%5D%5B0%5D%5Boperator%5D=%21%3D&amp;hva%5B0%5D%5Bfilter%5D%5B0%5D%5Btype_id%5D=9736&amp;hva%5B0%5D%5Bfilter%5D%5B0%5D%5Bverdi%5D=&amp;hva%5B0%5D%5Bid%5D=853/når:2014-09-01", "Vegkart")</f>
        <v>Vegkart</v>
      </c>
      <c r="B850">
        <v>578382508</v>
      </c>
      <c r="C850">
        <v>853</v>
      </c>
      <c r="D850" t="s">
        <v>2935</v>
      </c>
      <c r="E850">
        <v>9736</v>
      </c>
      <c r="F850" t="s">
        <v>23479</v>
      </c>
      <c r="G850">
        <v>1</v>
      </c>
      <c r="H850" t="s">
        <v>1009</v>
      </c>
      <c r="J850" t="s">
        <v>2964</v>
      </c>
      <c r="K850" t="s">
        <v>21</v>
      </c>
      <c r="L850" t="s">
        <v>80</v>
      </c>
      <c r="M850" t="s">
        <v>81</v>
      </c>
      <c r="N850" t="s">
        <v>3048</v>
      </c>
      <c r="O850" t="s">
        <v>3049</v>
      </c>
      <c r="P850" s="2" t="s">
        <v>26</v>
      </c>
      <c r="Q850" t="s">
        <v>50</v>
      </c>
      <c r="R850">
        <v>0.01</v>
      </c>
      <c r="S850">
        <v>3.47</v>
      </c>
      <c r="T850" t="s">
        <v>3050</v>
      </c>
    </row>
    <row r="851" spans="1:20" x14ac:dyDescent="0.25">
      <c r="A851" s="1" t="str">
        <f>HYPERLINK("https://vegkart.atlas.vegvesen.no/#/@-29304.7,6743475.4,18/hva:hva%5B0%5D%5Bfilter%5D%5B0%5D%5Boperator%5D=%21%3D&amp;hva%5B0%5D%5Bfilter%5D%5B0%5D%5Btype_id%5D=9736&amp;hva%5B0%5D%5Bfilter%5D%5B0%5D%5Bverdi%5D=&amp;hva%5B0%5D%5Bid%5D=853/når:2022-05-09", "Vegkart")</f>
        <v>Vegkart</v>
      </c>
      <c r="B851">
        <v>578382509</v>
      </c>
      <c r="C851">
        <v>853</v>
      </c>
      <c r="D851" t="s">
        <v>2935</v>
      </c>
      <c r="E851">
        <v>9736</v>
      </c>
      <c r="F851" t="s">
        <v>23479</v>
      </c>
      <c r="G851">
        <v>2</v>
      </c>
      <c r="H851" t="s">
        <v>2984</v>
      </c>
      <c r="J851" t="s">
        <v>2964</v>
      </c>
      <c r="K851" t="s">
        <v>21</v>
      </c>
      <c r="L851" t="s">
        <v>80</v>
      </c>
      <c r="M851" t="s">
        <v>81</v>
      </c>
      <c r="N851" t="s">
        <v>3051</v>
      </c>
      <c r="O851" t="s">
        <v>3052</v>
      </c>
      <c r="P851" s="2" t="s">
        <v>26</v>
      </c>
      <c r="Q851" t="s">
        <v>50</v>
      </c>
      <c r="R851">
        <v>0</v>
      </c>
      <c r="S851">
        <v>4.9000000000000004</v>
      </c>
      <c r="T851" t="s">
        <v>3053</v>
      </c>
    </row>
    <row r="852" spans="1:20" x14ac:dyDescent="0.25">
      <c r="A852" s="1" t="str">
        <f>HYPERLINK("https://vegkart.atlas.vegvesen.no/#/@-29223.8,6743438.1,18/hva:hva%5B0%5D%5Bfilter%5D%5B0%5D%5Boperator%5D=%21%3D&amp;hva%5B0%5D%5Bfilter%5D%5B0%5D%5Btype_id%5D=9736&amp;hva%5B0%5D%5Bfilter%5D%5B0%5D%5Bverdi%5D=&amp;hva%5B0%5D%5Bid%5D=853/når:2022-05-09", "Vegkart")</f>
        <v>Vegkart</v>
      </c>
      <c r="B852">
        <v>578382510</v>
      </c>
      <c r="C852">
        <v>853</v>
      </c>
      <c r="D852" t="s">
        <v>2935</v>
      </c>
      <c r="E852">
        <v>9736</v>
      </c>
      <c r="F852" t="s">
        <v>23479</v>
      </c>
      <c r="G852">
        <v>2</v>
      </c>
      <c r="H852" t="s">
        <v>2984</v>
      </c>
      <c r="J852" t="s">
        <v>2964</v>
      </c>
      <c r="K852" t="s">
        <v>21</v>
      </c>
      <c r="L852" t="s">
        <v>80</v>
      </c>
      <c r="M852" t="s">
        <v>81</v>
      </c>
      <c r="N852" t="s">
        <v>3054</v>
      </c>
      <c r="O852" t="s">
        <v>3055</v>
      </c>
      <c r="P852" s="2" t="s">
        <v>26</v>
      </c>
      <c r="Q852" t="s">
        <v>50</v>
      </c>
      <c r="R852">
        <v>0</v>
      </c>
      <c r="S852">
        <v>4.95</v>
      </c>
      <c r="T852" t="s">
        <v>3056</v>
      </c>
    </row>
    <row r="853" spans="1:20" x14ac:dyDescent="0.25">
      <c r="A853" s="1" t="str">
        <f>HYPERLINK("https://vegkart.atlas.vegvesen.no/#/@-29314.7,6743459.2,18/hva:hva%5B0%5D%5Bfilter%5D%5B0%5D%5Boperator%5D=%21%3D&amp;hva%5B0%5D%5Bfilter%5D%5B0%5D%5Btype_id%5D=9736&amp;hva%5B0%5D%5Bfilter%5D%5B0%5D%5Bverdi%5D=&amp;hva%5B0%5D%5Bid%5D=853/når:2014-09-01", "Vegkart")</f>
        <v>Vegkart</v>
      </c>
      <c r="B853">
        <v>578382511</v>
      </c>
      <c r="C853">
        <v>853</v>
      </c>
      <c r="D853" t="s">
        <v>2935</v>
      </c>
      <c r="E853">
        <v>9736</v>
      </c>
      <c r="F853" t="s">
        <v>23479</v>
      </c>
      <c r="G853">
        <v>1</v>
      </c>
      <c r="H853" t="s">
        <v>1009</v>
      </c>
      <c r="J853" t="s">
        <v>2964</v>
      </c>
      <c r="K853" t="s">
        <v>21</v>
      </c>
      <c r="L853" t="s">
        <v>80</v>
      </c>
      <c r="M853" t="s">
        <v>81</v>
      </c>
      <c r="N853" t="s">
        <v>3057</v>
      </c>
      <c r="O853" t="s">
        <v>3058</v>
      </c>
      <c r="P853" s="2" t="s">
        <v>26</v>
      </c>
      <c r="Q853" t="s">
        <v>50</v>
      </c>
      <c r="R853">
        <v>0</v>
      </c>
      <c r="S853">
        <v>3.49</v>
      </c>
      <c r="T853" t="s">
        <v>3059</v>
      </c>
    </row>
    <row r="854" spans="1:20" x14ac:dyDescent="0.25">
      <c r="A854" s="1" t="str">
        <f>HYPERLINK("https://vegkart.atlas.vegvesen.no/#/@-28233.1,6743677.3,18/hva:hva%5B0%5D%5Bfilter%5D%5B0%5D%5Boperator%5D=%21%3D&amp;hva%5B0%5D%5Bfilter%5D%5B0%5D%5Btype_id%5D=9736&amp;hva%5B0%5D%5Bfilter%5D%5B0%5D%5Bverdi%5D=&amp;hva%5B0%5D%5Bid%5D=853/når:2014-09-01", "Vegkart")</f>
        <v>Vegkart</v>
      </c>
      <c r="B854">
        <v>578382512</v>
      </c>
      <c r="C854">
        <v>853</v>
      </c>
      <c r="D854" t="s">
        <v>2935</v>
      </c>
      <c r="E854">
        <v>9736</v>
      </c>
      <c r="F854" t="s">
        <v>23479</v>
      </c>
      <c r="G854">
        <v>1</v>
      </c>
      <c r="H854" t="s">
        <v>1009</v>
      </c>
      <c r="J854" t="s">
        <v>2964</v>
      </c>
      <c r="K854" t="s">
        <v>21</v>
      </c>
      <c r="L854" t="s">
        <v>80</v>
      </c>
      <c r="M854" t="s">
        <v>81</v>
      </c>
      <c r="N854" t="s">
        <v>3012</v>
      </c>
      <c r="O854" t="s">
        <v>3060</v>
      </c>
      <c r="P854" s="2" t="s">
        <v>26</v>
      </c>
      <c r="Q854" t="s">
        <v>50</v>
      </c>
      <c r="R854">
        <v>0</v>
      </c>
      <c r="S854">
        <v>4.91</v>
      </c>
      <c r="T854" t="s">
        <v>3061</v>
      </c>
    </row>
    <row r="855" spans="1:20" x14ac:dyDescent="0.25">
      <c r="A855" s="1" t="str">
        <f>HYPERLINK("https://vegkart.atlas.vegvesen.no/#/@-28164.4,6743681.0,18/hva:hva%5B0%5D%5Bfilter%5D%5B0%5D%5Boperator%5D=%21%3D&amp;hva%5B0%5D%5Bfilter%5D%5B0%5D%5Btype_id%5D=9736&amp;hva%5B0%5D%5Bfilter%5D%5B0%5D%5Bverdi%5D=&amp;hva%5B0%5D%5Bid%5D=853/når:2014-09-01", "Vegkart")</f>
        <v>Vegkart</v>
      </c>
      <c r="B855">
        <v>578382513</v>
      </c>
      <c r="C855">
        <v>853</v>
      </c>
      <c r="D855" t="s">
        <v>2935</v>
      </c>
      <c r="E855">
        <v>9736</v>
      </c>
      <c r="F855" t="s">
        <v>23479</v>
      </c>
      <c r="G855">
        <v>1</v>
      </c>
      <c r="H855" t="s">
        <v>1009</v>
      </c>
      <c r="J855" t="s">
        <v>2964</v>
      </c>
      <c r="K855" t="s">
        <v>21</v>
      </c>
      <c r="L855" t="s">
        <v>80</v>
      </c>
      <c r="M855" t="s">
        <v>81</v>
      </c>
      <c r="N855" t="s">
        <v>3062</v>
      </c>
      <c r="O855" t="s">
        <v>3063</v>
      </c>
      <c r="P855" s="2" t="s">
        <v>26</v>
      </c>
      <c r="Q855" t="s">
        <v>50</v>
      </c>
      <c r="R855">
        <v>0</v>
      </c>
      <c r="S855">
        <v>4.92</v>
      </c>
      <c r="T855" t="s">
        <v>3064</v>
      </c>
    </row>
    <row r="856" spans="1:20" x14ac:dyDescent="0.25">
      <c r="A856" s="1" t="str">
        <f>HYPERLINK("https://vegkart.atlas.vegvesen.no/#/@-28078.6,6743716.0,18/hva:hva%5B0%5D%5Bfilter%5D%5B0%5D%5Boperator%5D=%21%3D&amp;hva%5B0%5D%5Bfilter%5D%5B0%5D%5Btype_id%5D=9736&amp;hva%5B0%5D%5Bfilter%5D%5B0%5D%5Bverdi%5D=&amp;hva%5B0%5D%5Bid%5D=853/når:2014-09-01", "Vegkart")</f>
        <v>Vegkart</v>
      </c>
      <c r="B856">
        <v>578382514</v>
      </c>
      <c r="C856">
        <v>853</v>
      </c>
      <c r="D856" t="s">
        <v>2935</v>
      </c>
      <c r="E856">
        <v>9736</v>
      </c>
      <c r="F856" t="s">
        <v>23479</v>
      </c>
      <c r="G856">
        <v>1</v>
      </c>
      <c r="H856" t="s">
        <v>1009</v>
      </c>
      <c r="J856" t="s">
        <v>2964</v>
      </c>
      <c r="K856" t="s">
        <v>21</v>
      </c>
      <c r="L856" t="s">
        <v>80</v>
      </c>
      <c r="M856" t="s">
        <v>81</v>
      </c>
      <c r="N856" t="s">
        <v>3065</v>
      </c>
      <c r="O856" t="s">
        <v>3066</v>
      </c>
      <c r="P856" s="2" t="s">
        <v>26</v>
      </c>
      <c r="Q856" t="s">
        <v>50</v>
      </c>
      <c r="R856">
        <v>0</v>
      </c>
      <c r="S856">
        <v>3.51</v>
      </c>
      <c r="T856" t="s">
        <v>3067</v>
      </c>
    </row>
    <row r="857" spans="1:20" x14ac:dyDescent="0.25">
      <c r="A857" s="1" t="str">
        <f>HYPERLINK("https://vegkart.atlas.vegvesen.no/#/@-28168.1,6743663.1,18/hva:hva%5B0%5D%5Bfilter%5D%5B0%5D%5Boperator%5D=%21%3D&amp;hva%5B0%5D%5Bfilter%5D%5B0%5D%5Btype_id%5D=9736&amp;hva%5B0%5D%5Bfilter%5D%5B0%5D%5Bverdi%5D=&amp;hva%5B0%5D%5Bid%5D=853/når:2014-09-01", "Vegkart")</f>
        <v>Vegkart</v>
      </c>
      <c r="B857">
        <v>578382515</v>
      </c>
      <c r="C857">
        <v>853</v>
      </c>
      <c r="D857" t="s">
        <v>2935</v>
      </c>
      <c r="E857">
        <v>9736</v>
      </c>
      <c r="F857" t="s">
        <v>23479</v>
      </c>
      <c r="G857">
        <v>1</v>
      </c>
      <c r="H857" t="s">
        <v>1009</v>
      </c>
      <c r="J857" t="s">
        <v>2964</v>
      </c>
      <c r="K857" t="s">
        <v>21</v>
      </c>
      <c r="L857" t="s">
        <v>80</v>
      </c>
      <c r="M857" t="s">
        <v>81</v>
      </c>
      <c r="N857" t="s">
        <v>3068</v>
      </c>
      <c r="O857" t="s">
        <v>3069</v>
      </c>
      <c r="P857" s="2" t="s">
        <v>26</v>
      </c>
      <c r="Q857" t="s">
        <v>50</v>
      </c>
      <c r="R857">
        <v>0</v>
      </c>
      <c r="S857">
        <v>3.26</v>
      </c>
      <c r="T857" t="s">
        <v>3070</v>
      </c>
    </row>
    <row r="858" spans="1:20" x14ac:dyDescent="0.25">
      <c r="A858" s="1" t="str">
        <f>HYPERLINK("https://vegkart.atlas.vegvesen.no/#/@-27664.6,6744126.3,18/hva:hva%5B0%5D%5Bfilter%5D%5B0%5D%5Boperator%5D=%21%3D&amp;hva%5B0%5D%5Bfilter%5D%5B0%5D%5Btype_id%5D=9736&amp;hva%5B0%5D%5Bfilter%5D%5B0%5D%5Bverdi%5D=&amp;hva%5B0%5D%5Bid%5D=853/når:2014-09-01", "Vegkart")</f>
        <v>Vegkart</v>
      </c>
      <c r="B858">
        <v>578382516</v>
      </c>
      <c r="C858">
        <v>853</v>
      </c>
      <c r="D858" t="s">
        <v>2935</v>
      </c>
      <c r="E858">
        <v>9736</v>
      </c>
      <c r="F858" t="s">
        <v>23479</v>
      </c>
      <c r="G858">
        <v>1</v>
      </c>
      <c r="H858" t="s">
        <v>1009</v>
      </c>
      <c r="J858" t="s">
        <v>2964</v>
      </c>
      <c r="K858" t="s">
        <v>21</v>
      </c>
      <c r="L858" t="s">
        <v>80</v>
      </c>
      <c r="M858" t="s">
        <v>81</v>
      </c>
      <c r="N858" t="s">
        <v>3071</v>
      </c>
      <c r="O858" t="s">
        <v>3072</v>
      </c>
      <c r="P858" s="2" t="s">
        <v>26</v>
      </c>
      <c r="Q858" t="s">
        <v>50</v>
      </c>
      <c r="R858">
        <v>0</v>
      </c>
      <c r="S858">
        <v>3.15</v>
      </c>
      <c r="T858" t="s">
        <v>3073</v>
      </c>
    </row>
    <row r="859" spans="1:20" x14ac:dyDescent="0.25">
      <c r="A859" s="1" t="str">
        <f>HYPERLINK("https://vegkart.atlas.vegvesen.no/#/@-27705.4,6744016.5,18/hva:hva%5B0%5D%5Bfilter%5D%5B0%5D%5Boperator%5D=%21%3D&amp;hva%5B0%5D%5Bfilter%5D%5B0%5D%5Btype_id%5D=9736&amp;hva%5B0%5D%5Bfilter%5D%5B0%5D%5Bverdi%5D=&amp;hva%5B0%5D%5Bid%5D=853/når:2014-09-01", "Vegkart")</f>
        <v>Vegkart</v>
      </c>
      <c r="B859">
        <v>578382517</v>
      </c>
      <c r="C859">
        <v>853</v>
      </c>
      <c r="D859" t="s">
        <v>2935</v>
      </c>
      <c r="E859">
        <v>9736</v>
      </c>
      <c r="F859" t="s">
        <v>23479</v>
      </c>
      <c r="G859">
        <v>1</v>
      </c>
      <c r="H859" t="s">
        <v>1009</v>
      </c>
      <c r="J859" t="s">
        <v>2964</v>
      </c>
      <c r="K859" t="s">
        <v>21</v>
      </c>
      <c r="L859" t="s">
        <v>80</v>
      </c>
      <c r="M859" t="s">
        <v>81</v>
      </c>
      <c r="N859" t="s">
        <v>3074</v>
      </c>
      <c r="O859" t="s">
        <v>3075</v>
      </c>
      <c r="P859" s="2" t="s">
        <v>26</v>
      </c>
      <c r="Q859" t="s">
        <v>50</v>
      </c>
      <c r="R859">
        <v>0</v>
      </c>
      <c r="S859">
        <v>3.22</v>
      </c>
      <c r="T859" t="s">
        <v>3076</v>
      </c>
    </row>
    <row r="860" spans="1:20" x14ac:dyDescent="0.25">
      <c r="A860" s="1" t="str">
        <f>HYPERLINK("https://vegkart.atlas.vegvesen.no/#/@-27638.3,6744167.9,18/hva:hva%5B0%5D%5Bfilter%5D%5B0%5D%5Boperator%5D=%21%3D&amp;hva%5B0%5D%5Bfilter%5D%5B0%5D%5Btype_id%5D=9736&amp;hva%5B0%5D%5Bfilter%5D%5B0%5D%5Bverdi%5D=&amp;hva%5B0%5D%5Bid%5D=853/når:2014-09-01", "Vegkart")</f>
        <v>Vegkart</v>
      </c>
      <c r="B860">
        <v>578382518</v>
      </c>
      <c r="C860">
        <v>853</v>
      </c>
      <c r="D860" t="s">
        <v>2935</v>
      </c>
      <c r="E860">
        <v>9736</v>
      </c>
      <c r="F860" t="s">
        <v>23479</v>
      </c>
      <c r="G860">
        <v>1</v>
      </c>
      <c r="H860" t="s">
        <v>1009</v>
      </c>
      <c r="J860" t="s">
        <v>2964</v>
      </c>
      <c r="K860" t="s">
        <v>21</v>
      </c>
      <c r="L860" t="s">
        <v>80</v>
      </c>
      <c r="M860" t="s">
        <v>81</v>
      </c>
      <c r="N860" t="s">
        <v>3077</v>
      </c>
      <c r="O860" t="s">
        <v>3078</v>
      </c>
      <c r="P860" s="2" t="s">
        <v>26</v>
      </c>
      <c r="Q860" t="s">
        <v>50</v>
      </c>
      <c r="R860">
        <v>0</v>
      </c>
      <c r="S860">
        <v>3.22</v>
      </c>
      <c r="T860" t="s">
        <v>3079</v>
      </c>
    </row>
    <row r="861" spans="1:20" x14ac:dyDescent="0.25">
      <c r="A861" s="1" t="str">
        <f>HYPERLINK("https://vegkart.atlas.vegvesen.no/#/@-27829.6,6743892.7,18/hva:hva%5B0%5D%5Bfilter%5D%5B0%5D%5Boperator%5D=%21%3D&amp;hva%5B0%5D%5Bfilter%5D%5B0%5D%5Btype_id%5D=9736&amp;hva%5B0%5D%5Bfilter%5D%5B0%5D%5Bverdi%5D=&amp;hva%5B0%5D%5Bid%5D=853/når:2014-09-01", "Vegkart")</f>
        <v>Vegkart</v>
      </c>
      <c r="B861">
        <v>578382519</v>
      </c>
      <c r="C861">
        <v>853</v>
      </c>
      <c r="D861" t="s">
        <v>2935</v>
      </c>
      <c r="E861">
        <v>9736</v>
      </c>
      <c r="F861" t="s">
        <v>23479</v>
      </c>
      <c r="G861">
        <v>1</v>
      </c>
      <c r="H861" t="s">
        <v>1009</v>
      </c>
      <c r="J861" t="s">
        <v>2964</v>
      </c>
      <c r="K861" t="s">
        <v>21</v>
      </c>
      <c r="L861" t="s">
        <v>80</v>
      </c>
      <c r="M861" t="s">
        <v>81</v>
      </c>
      <c r="N861" t="s">
        <v>3080</v>
      </c>
      <c r="O861" t="s">
        <v>3081</v>
      </c>
      <c r="P861" s="2" t="s">
        <v>26</v>
      </c>
      <c r="Q861" t="s">
        <v>50</v>
      </c>
      <c r="R861">
        <v>0</v>
      </c>
      <c r="S861">
        <v>3.44</v>
      </c>
      <c r="T861" t="s">
        <v>3082</v>
      </c>
    </row>
    <row r="862" spans="1:20" x14ac:dyDescent="0.25">
      <c r="A862" s="1" t="str">
        <f>HYPERLINK("https://vegkart.atlas.vegvesen.no/#/@-27861.1,6743867.8,18/hva:hva%5B0%5D%5Bfilter%5D%5B0%5D%5Boperator%5D=%21%3D&amp;hva%5B0%5D%5Bfilter%5D%5B0%5D%5Btype_id%5D=9736&amp;hva%5B0%5D%5Bfilter%5D%5B0%5D%5Bverdi%5D=&amp;hva%5B0%5D%5Bid%5D=853/når:2014-09-01", "Vegkart")</f>
        <v>Vegkart</v>
      </c>
      <c r="B862">
        <v>578382520</v>
      </c>
      <c r="C862">
        <v>853</v>
      </c>
      <c r="D862" t="s">
        <v>2935</v>
      </c>
      <c r="E862">
        <v>9736</v>
      </c>
      <c r="F862" t="s">
        <v>23479</v>
      </c>
      <c r="G862">
        <v>1</v>
      </c>
      <c r="H862" t="s">
        <v>1009</v>
      </c>
      <c r="J862" t="s">
        <v>2964</v>
      </c>
      <c r="K862" t="s">
        <v>21</v>
      </c>
      <c r="L862" t="s">
        <v>80</v>
      </c>
      <c r="M862" t="s">
        <v>81</v>
      </c>
      <c r="N862" t="s">
        <v>3083</v>
      </c>
      <c r="O862" t="s">
        <v>3084</v>
      </c>
      <c r="P862" s="2" t="s">
        <v>26</v>
      </c>
      <c r="Q862" t="s">
        <v>50</v>
      </c>
      <c r="R862">
        <v>0</v>
      </c>
      <c r="S862">
        <v>3.49</v>
      </c>
      <c r="T862" t="s">
        <v>3085</v>
      </c>
    </row>
    <row r="863" spans="1:20" x14ac:dyDescent="0.25">
      <c r="A863" s="1" t="str">
        <f>HYPERLINK("https://vegkart.atlas.vegvesen.no/#/@-27751.2,6743985.1,18/hva:hva%5B0%5D%5Bfilter%5D%5B0%5D%5Boperator%5D=%21%3D&amp;hva%5B0%5D%5Bfilter%5D%5B0%5D%5Btype_id%5D=9736&amp;hva%5B0%5D%5Bfilter%5D%5B0%5D%5Bverdi%5D=&amp;hva%5B0%5D%5Bid%5D=853/når:2014-09-01", "Vegkart")</f>
        <v>Vegkart</v>
      </c>
      <c r="B863">
        <v>578382521</v>
      </c>
      <c r="C863">
        <v>853</v>
      </c>
      <c r="D863" t="s">
        <v>2935</v>
      </c>
      <c r="E863">
        <v>9736</v>
      </c>
      <c r="F863" t="s">
        <v>23479</v>
      </c>
      <c r="G863">
        <v>1</v>
      </c>
      <c r="H863" t="s">
        <v>1009</v>
      </c>
      <c r="J863" t="s">
        <v>2964</v>
      </c>
      <c r="K863" t="s">
        <v>21</v>
      </c>
      <c r="L863" t="s">
        <v>80</v>
      </c>
      <c r="M863" t="s">
        <v>81</v>
      </c>
      <c r="N863" t="s">
        <v>3086</v>
      </c>
      <c r="O863" t="s">
        <v>3087</v>
      </c>
      <c r="P863" s="2" t="s">
        <v>26</v>
      </c>
      <c r="Q863" t="s">
        <v>50</v>
      </c>
      <c r="R863">
        <v>0</v>
      </c>
      <c r="S863">
        <v>3.15</v>
      </c>
      <c r="T863" t="s">
        <v>3088</v>
      </c>
    </row>
    <row r="864" spans="1:20" x14ac:dyDescent="0.25">
      <c r="A864" s="1" t="str">
        <f>HYPERLINK("https://vegkart.atlas.vegvesen.no/#/@-28891.5,6743498.8,18/hva:hva%5B0%5D%5Bfilter%5D%5B0%5D%5Boperator%5D=%21%3D&amp;hva%5B0%5D%5Bfilter%5D%5B0%5D%5Btype_id%5D=9736&amp;hva%5B0%5D%5Bfilter%5D%5B0%5D%5Bverdi%5D=&amp;hva%5B0%5D%5Bid%5D=853/når:2014-09-01", "Vegkart")</f>
        <v>Vegkart</v>
      </c>
      <c r="B864">
        <v>578382522</v>
      </c>
      <c r="C864">
        <v>853</v>
      </c>
      <c r="D864" t="s">
        <v>2935</v>
      </c>
      <c r="E864">
        <v>9736</v>
      </c>
      <c r="F864" t="s">
        <v>23479</v>
      </c>
      <c r="G864">
        <v>1</v>
      </c>
      <c r="H864" t="s">
        <v>1009</v>
      </c>
      <c r="J864" t="s">
        <v>2964</v>
      </c>
      <c r="K864" t="s">
        <v>21</v>
      </c>
      <c r="L864" t="s">
        <v>80</v>
      </c>
      <c r="M864" t="s">
        <v>81</v>
      </c>
      <c r="N864" t="s">
        <v>2997</v>
      </c>
      <c r="O864" t="s">
        <v>3089</v>
      </c>
      <c r="P864" s="2" t="s">
        <v>26</v>
      </c>
      <c r="Q864" t="s">
        <v>50</v>
      </c>
      <c r="R864">
        <v>0</v>
      </c>
      <c r="S864">
        <v>4.95</v>
      </c>
      <c r="T864" t="s">
        <v>3090</v>
      </c>
    </row>
    <row r="865" spans="1:20" x14ac:dyDescent="0.25">
      <c r="A865" s="1" t="str">
        <f>HYPERLINK("https://vegkart.atlas.vegvesen.no/#/@-29317.5,6743445.4,18/hva:hva%5B0%5D%5Bfilter%5D%5B0%5D%5Boperator%5D=%21%3D&amp;hva%5B0%5D%5Bfilter%5D%5B0%5D%5Btype_id%5D=9736&amp;hva%5B0%5D%5Bfilter%5D%5B0%5D%5Bverdi%5D=&amp;hva%5B0%5D%5Bid%5D=853/når:2022-11-04", "Vegkart")</f>
        <v>Vegkart</v>
      </c>
      <c r="B865">
        <v>578382523</v>
      </c>
      <c r="C865">
        <v>853</v>
      </c>
      <c r="D865" t="s">
        <v>2935</v>
      </c>
      <c r="E865">
        <v>9736</v>
      </c>
      <c r="F865" t="s">
        <v>23479</v>
      </c>
      <c r="G865">
        <v>2</v>
      </c>
      <c r="H865" t="s">
        <v>1802</v>
      </c>
      <c r="J865" t="s">
        <v>2964</v>
      </c>
      <c r="K865" t="s">
        <v>21</v>
      </c>
      <c r="L865" t="s">
        <v>33</v>
      </c>
      <c r="M865" t="s">
        <v>3091</v>
      </c>
      <c r="N865" t="s">
        <v>3092</v>
      </c>
      <c r="O865" t="s">
        <v>3093</v>
      </c>
      <c r="P865" s="2" t="s">
        <v>26</v>
      </c>
      <c r="Q865" t="s">
        <v>50</v>
      </c>
      <c r="R865">
        <v>0</v>
      </c>
      <c r="S865">
        <v>2.97</v>
      </c>
      <c r="T865" t="s">
        <v>3094</v>
      </c>
    </row>
    <row r="866" spans="1:20" x14ac:dyDescent="0.25">
      <c r="A866" s="1" t="str">
        <f>HYPERLINK("https://vegkart.atlas.vegvesen.no/#/@-29325.2,6743433.4,18/hva:hva%5B0%5D%5Bfilter%5D%5B0%5D%5Boperator%5D=%21%3D&amp;hva%5B0%5D%5Bfilter%5D%5B0%5D%5Btype_id%5D=9736&amp;hva%5B0%5D%5Bfilter%5D%5B0%5D%5Bverdi%5D=&amp;hva%5B0%5D%5Bid%5D=853/når:2022-11-04", "Vegkart")</f>
        <v>Vegkart</v>
      </c>
      <c r="B866">
        <v>578382524</v>
      </c>
      <c r="C866">
        <v>853</v>
      </c>
      <c r="D866" t="s">
        <v>2935</v>
      </c>
      <c r="E866">
        <v>9736</v>
      </c>
      <c r="F866" t="s">
        <v>23479</v>
      </c>
      <c r="G866">
        <v>2</v>
      </c>
      <c r="H866" t="s">
        <v>1802</v>
      </c>
      <c r="J866" t="s">
        <v>2964</v>
      </c>
      <c r="K866" t="s">
        <v>21</v>
      </c>
      <c r="L866" t="s">
        <v>33</v>
      </c>
      <c r="M866" t="s">
        <v>3091</v>
      </c>
      <c r="N866" t="s">
        <v>3095</v>
      </c>
      <c r="O866" t="s">
        <v>3096</v>
      </c>
      <c r="P866" s="2" t="s">
        <v>26</v>
      </c>
      <c r="Q866" t="s">
        <v>50</v>
      </c>
      <c r="R866">
        <v>0.27</v>
      </c>
      <c r="S866">
        <v>0.31</v>
      </c>
      <c r="T866" t="s">
        <v>3097</v>
      </c>
    </row>
    <row r="867" spans="1:20" x14ac:dyDescent="0.25">
      <c r="A867" s="1" t="str">
        <f>HYPERLINK("https://vegkart.atlas.vegvesen.no/#/@-29325.4,6743433.5,18/hva:hva%5B0%5D%5Bfilter%5D%5B0%5D%5Boperator%5D=%21%3D&amp;hva%5B0%5D%5Bfilter%5D%5B0%5D%5Btype_id%5D=9736&amp;hva%5B0%5D%5Bfilter%5D%5B0%5D%5Bverdi%5D=&amp;hva%5B0%5D%5Bid%5D=853/når:2022-11-04", "Vegkart")</f>
        <v>Vegkart</v>
      </c>
      <c r="B867">
        <v>578382525</v>
      </c>
      <c r="C867">
        <v>853</v>
      </c>
      <c r="D867" t="s">
        <v>2935</v>
      </c>
      <c r="E867">
        <v>9736</v>
      </c>
      <c r="F867" t="s">
        <v>23479</v>
      </c>
      <c r="G867">
        <v>2</v>
      </c>
      <c r="H867" t="s">
        <v>1802</v>
      </c>
      <c r="J867" t="s">
        <v>2964</v>
      </c>
      <c r="K867" t="s">
        <v>21</v>
      </c>
      <c r="L867" t="s">
        <v>33</v>
      </c>
      <c r="M867" t="s">
        <v>3091</v>
      </c>
      <c r="N867" t="s">
        <v>3095</v>
      </c>
      <c r="O867" t="s">
        <v>3098</v>
      </c>
      <c r="P867" s="2" t="s">
        <v>26</v>
      </c>
      <c r="Q867" t="s">
        <v>50</v>
      </c>
      <c r="R867">
        <v>0.27</v>
      </c>
      <c r="S867">
        <v>0.31</v>
      </c>
      <c r="T867" t="s">
        <v>3099</v>
      </c>
    </row>
    <row r="868" spans="1:20" x14ac:dyDescent="0.25">
      <c r="A868" s="1" t="str">
        <f>HYPERLINK("https://vegkart.atlas.vegvesen.no/#/@-29325.2,6743433.6,18/hva:hva%5B0%5D%5Bfilter%5D%5B0%5D%5Boperator%5D=%21%3D&amp;hva%5B0%5D%5Bfilter%5D%5B0%5D%5Btype_id%5D=9736&amp;hva%5B0%5D%5Bfilter%5D%5B0%5D%5Bverdi%5D=&amp;hva%5B0%5D%5Bid%5D=853/når:2022-11-04", "Vegkart")</f>
        <v>Vegkart</v>
      </c>
      <c r="B868">
        <v>578382526</v>
      </c>
      <c r="C868">
        <v>853</v>
      </c>
      <c r="D868" t="s">
        <v>2935</v>
      </c>
      <c r="E868">
        <v>9736</v>
      </c>
      <c r="F868" t="s">
        <v>23479</v>
      </c>
      <c r="G868">
        <v>2</v>
      </c>
      <c r="H868" t="s">
        <v>1802</v>
      </c>
      <c r="J868" t="s">
        <v>2964</v>
      </c>
      <c r="K868" t="s">
        <v>21</v>
      </c>
      <c r="L868" t="s">
        <v>33</v>
      </c>
      <c r="M868" t="s">
        <v>3091</v>
      </c>
      <c r="N868" t="s">
        <v>3095</v>
      </c>
      <c r="O868" t="s">
        <v>3100</v>
      </c>
      <c r="P868" s="2" t="s">
        <v>26</v>
      </c>
      <c r="Q868" t="s">
        <v>50</v>
      </c>
      <c r="R868">
        <v>0.28999999999999998</v>
      </c>
      <c r="S868">
        <v>0.33</v>
      </c>
      <c r="T868" t="s">
        <v>3101</v>
      </c>
    </row>
    <row r="869" spans="1:20" x14ac:dyDescent="0.25">
      <c r="A869" s="1" t="str">
        <f>HYPERLINK("https://vegkart.atlas.vegvesen.no/#/@-28279.6,6743665.4,18/hva:hva%5B0%5D%5Bfilter%5D%5B0%5D%5Boperator%5D=%21%3D&amp;hva%5B0%5D%5Bfilter%5D%5B0%5D%5Btype_id%5D=9736&amp;hva%5B0%5D%5Bfilter%5D%5B0%5D%5Bverdi%5D=&amp;hva%5B0%5D%5Bid%5D=853/når:2014-09-01", "Vegkart")</f>
        <v>Vegkart</v>
      </c>
      <c r="B869">
        <v>578382527</v>
      </c>
      <c r="C869">
        <v>853</v>
      </c>
      <c r="D869" t="s">
        <v>2935</v>
      </c>
      <c r="E869">
        <v>9736</v>
      </c>
      <c r="F869" t="s">
        <v>23479</v>
      </c>
      <c r="G869">
        <v>1</v>
      </c>
      <c r="H869" t="s">
        <v>1009</v>
      </c>
      <c r="J869" t="s">
        <v>2964</v>
      </c>
      <c r="K869" t="s">
        <v>21</v>
      </c>
      <c r="L869" t="s">
        <v>80</v>
      </c>
      <c r="M869" t="s">
        <v>81</v>
      </c>
      <c r="N869" t="s">
        <v>3102</v>
      </c>
      <c r="O869" t="s">
        <v>3103</v>
      </c>
      <c r="P869" s="2" t="s">
        <v>26</v>
      </c>
      <c r="Q869" t="s">
        <v>50</v>
      </c>
      <c r="R869">
        <v>0.27</v>
      </c>
      <c r="S869">
        <v>0.32</v>
      </c>
      <c r="T869" t="s">
        <v>3104</v>
      </c>
    </row>
    <row r="870" spans="1:20" x14ac:dyDescent="0.25">
      <c r="A870" s="1" t="str">
        <f>HYPERLINK("https://vegkart.atlas.vegvesen.no/#/@-28279.7,6743665.5,18/hva:hva%5B0%5D%5Bfilter%5D%5B0%5D%5Boperator%5D=%21%3D&amp;hva%5B0%5D%5Bfilter%5D%5B0%5D%5Btype_id%5D=9736&amp;hva%5B0%5D%5Bfilter%5D%5B0%5D%5Bverdi%5D=&amp;hva%5B0%5D%5Bid%5D=853/når:2014-09-01", "Vegkart")</f>
        <v>Vegkart</v>
      </c>
      <c r="B870">
        <v>578382528</v>
      </c>
      <c r="C870">
        <v>853</v>
      </c>
      <c r="D870" t="s">
        <v>2935</v>
      </c>
      <c r="E870">
        <v>9736</v>
      </c>
      <c r="F870" t="s">
        <v>23479</v>
      </c>
      <c r="G870">
        <v>1</v>
      </c>
      <c r="H870" t="s">
        <v>1009</v>
      </c>
      <c r="J870" t="s">
        <v>2964</v>
      </c>
      <c r="K870" t="s">
        <v>21</v>
      </c>
      <c r="L870" t="s">
        <v>80</v>
      </c>
      <c r="M870" t="s">
        <v>81</v>
      </c>
      <c r="N870" t="s">
        <v>3102</v>
      </c>
      <c r="O870" t="s">
        <v>3105</v>
      </c>
      <c r="P870" s="2" t="s">
        <v>26</v>
      </c>
      <c r="Q870" t="s">
        <v>50</v>
      </c>
      <c r="R870">
        <v>0.27</v>
      </c>
      <c r="S870">
        <v>0.32</v>
      </c>
      <c r="T870" t="s">
        <v>3106</v>
      </c>
    </row>
    <row r="871" spans="1:20" x14ac:dyDescent="0.25">
      <c r="A871" s="1" t="str">
        <f>HYPERLINK("https://vegkart.atlas.vegvesen.no/#/@-28279.6,6743665.6,18/hva:hva%5B0%5D%5Bfilter%5D%5B0%5D%5Boperator%5D=%21%3D&amp;hva%5B0%5D%5Bfilter%5D%5B0%5D%5Btype_id%5D=9736&amp;hva%5B0%5D%5Bfilter%5D%5B0%5D%5Bverdi%5D=&amp;hva%5B0%5D%5Bid%5D=853/når:2014-09-01", "Vegkart")</f>
        <v>Vegkart</v>
      </c>
      <c r="B871">
        <v>578382529</v>
      </c>
      <c r="C871">
        <v>853</v>
      </c>
      <c r="D871" t="s">
        <v>2935</v>
      </c>
      <c r="E871">
        <v>9736</v>
      </c>
      <c r="F871" t="s">
        <v>23479</v>
      </c>
      <c r="G871">
        <v>1</v>
      </c>
      <c r="H871" t="s">
        <v>1009</v>
      </c>
      <c r="J871" t="s">
        <v>2964</v>
      </c>
      <c r="K871" t="s">
        <v>21</v>
      </c>
      <c r="L871" t="s">
        <v>80</v>
      </c>
      <c r="M871" t="s">
        <v>81</v>
      </c>
      <c r="N871" t="s">
        <v>3102</v>
      </c>
      <c r="O871" t="s">
        <v>3107</v>
      </c>
      <c r="P871" s="2" t="s">
        <v>26</v>
      </c>
      <c r="Q871" t="s">
        <v>50</v>
      </c>
      <c r="R871">
        <v>0.26</v>
      </c>
      <c r="S871">
        <v>0.28999999999999998</v>
      </c>
      <c r="T871" t="s">
        <v>3108</v>
      </c>
    </row>
    <row r="872" spans="1:20" x14ac:dyDescent="0.25">
      <c r="A872" s="1" t="str">
        <f>HYPERLINK("https://vegkart.atlas.vegvesen.no/#/@-27955.6,6743809.5,18/hva:hva%5B0%5D%5Bfilter%5D%5B0%5D%5Boperator%5D=%21%3D&amp;hva%5B0%5D%5Bfilter%5D%5B0%5D%5Btype_id%5D=9736&amp;hva%5B0%5D%5Bfilter%5D%5B0%5D%5Bverdi%5D=&amp;hva%5B0%5D%5Bid%5D=853/når:2014-09-01", "Vegkart")</f>
        <v>Vegkart</v>
      </c>
      <c r="B872">
        <v>578382530</v>
      </c>
      <c r="C872">
        <v>853</v>
      </c>
      <c r="D872" t="s">
        <v>2935</v>
      </c>
      <c r="E872">
        <v>9736</v>
      </c>
      <c r="F872" t="s">
        <v>23479</v>
      </c>
      <c r="G872">
        <v>1</v>
      </c>
      <c r="H872" t="s">
        <v>1009</v>
      </c>
      <c r="J872" t="s">
        <v>2964</v>
      </c>
      <c r="K872" t="s">
        <v>21</v>
      </c>
      <c r="L872" t="s">
        <v>80</v>
      </c>
      <c r="M872" t="s">
        <v>81</v>
      </c>
      <c r="N872" t="s">
        <v>3109</v>
      </c>
      <c r="O872" t="s">
        <v>3110</v>
      </c>
      <c r="P872" s="2" t="s">
        <v>26</v>
      </c>
      <c r="Q872" t="s">
        <v>50</v>
      </c>
      <c r="R872">
        <v>0.28000000000000003</v>
      </c>
      <c r="S872">
        <v>0.33</v>
      </c>
      <c r="T872" t="s">
        <v>3111</v>
      </c>
    </row>
    <row r="873" spans="1:20" x14ac:dyDescent="0.25">
      <c r="A873" s="1" t="str">
        <f>HYPERLINK("https://vegkart.atlas.vegvesen.no/#/@-27955.7,6743809.6,18/hva:hva%5B0%5D%5Bfilter%5D%5B0%5D%5Boperator%5D=%21%3D&amp;hva%5B0%5D%5Bfilter%5D%5B0%5D%5Btype_id%5D=9736&amp;hva%5B0%5D%5Bfilter%5D%5B0%5D%5Bverdi%5D=&amp;hva%5B0%5D%5Bid%5D=853/når:2014-09-01", "Vegkart")</f>
        <v>Vegkart</v>
      </c>
      <c r="B873">
        <v>578382531</v>
      </c>
      <c r="C873">
        <v>853</v>
      </c>
      <c r="D873" t="s">
        <v>2935</v>
      </c>
      <c r="E873">
        <v>9736</v>
      </c>
      <c r="F873" t="s">
        <v>23479</v>
      </c>
      <c r="G873">
        <v>1</v>
      </c>
      <c r="H873" t="s">
        <v>1009</v>
      </c>
      <c r="J873" t="s">
        <v>2964</v>
      </c>
      <c r="K873" t="s">
        <v>21</v>
      </c>
      <c r="L873" t="s">
        <v>80</v>
      </c>
      <c r="M873" t="s">
        <v>81</v>
      </c>
      <c r="N873" t="s">
        <v>3109</v>
      </c>
      <c r="O873" t="s">
        <v>3112</v>
      </c>
      <c r="P873" s="2" t="s">
        <v>26</v>
      </c>
      <c r="Q873" t="s">
        <v>50</v>
      </c>
      <c r="R873">
        <v>0.27</v>
      </c>
      <c r="S873">
        <v>0.31</v>
      </c>
      <c r="T873" t="s">
        <v>3113</v>
      </c>
    </row>
    <row r="874" spans="1:20" x14ac:dyDescent="0.25">
      <c r="A874" s="1" t="str">
        <f>HYPERLINK("https://vegkart.atlas.vegvesen.no/#/@-27955.5,6743809.7,18/hva:hva%5B0%5D%5Bfilter%5D%5B0%5D%5Boperator%5D=%21%3D&amp;hva%5B0%5D%5Bfilter%5D%5B0%5D%5Btype_id%5D=9736&amp;hva%5B0%5D%5Bfilter%5D%5B0%5D%5Bverdi%5D=&amp;hva%5B0%5D%5Bid%5D=853/når:2014-09-01", "Vegkart")</f>
        <v>Vegkart</v>
      </c>
      <c r="B874">
        <v>578382532</v>
      </c>
      <c r="C874">
        <v>853</v>
      </c>
      <c r="D874" t="s">
        <v>2935</v>
      </c>
      <c r="E874">
        <v>9736</v>
      </c>
      <c r="F874" t="s">
        <v>23479</v>
      </c>
      <c r="G874">
        <v>1</v>
      </c>
      <c r="H874" t="s">
        <v>1009</v>
      </c>
      <c r="J874" t="s">
        <v>2964</v>
      </c>
      <c r="K874" t="s">
        <v>21</v>
      </c>
      <c r="L874" t="s">
        <v>80</v>
      </c>
      <c r="M874" t="s">
        <v>81</v>
      </c>
      <c r="N874" t="s">
        <v>3109</v>
      </c>
      <c r="O874" t="s">
        <v>3114</v>
      </c>
      <c r="P874" s="2" t="s">
        <v>26</v>
      </c>
      <c r="Q874" t="s">
        <v>50</v>
      </c>
      <c r="R874">
        <v>0.28000000000000003</v>
      </c>
      <c r="S874">
        <v>0.32</v>
      </c>
      <c r="T874" t="s">
        <v>3115</v>
      </c>
    </row>
    <row r="875" spans="1:20" x14ac:dyDescent="0.25">
      <c r="A875" s="1" t="str">
        <f>HYPERLINK("https://vegkart.atlas.vegvesen.no/#/@-27947.2,6743820.1,18/hva:hva%5B0%5D%5Bfilter%5D%5B0%5D%5Boperator%5D=%21%3D&amp;hva%5B0%5D%5Bfilter%5D%5B0%5D%5Btype_id%5D=9736&amp;hva%5B0%5D%5Bfilter%5D%5B0%5D%5Bverdi%5D=&amp;hva%5B0%5D%5Bid%5D=853/når:2014-09-01", "Vegkart")</f>
        <v>Vegkart</v>
      </c>
      <c r="B875">
        <v>578382533</v>
      </c>
      <c r="C875">
        <v>853</v>
      </c>
      <c r="D875" t="s">
        <v>2935</v>
      </c>
      <c r="E875">
        <v>9736</v>
      </c>
      <c r="F875" t="s">
        <v>23479</v>
      </c>
      <c r="G875">
        <v>1</v>
      </c>
      <c r="H875" t="s">
        <v>1009</v>
      </c>
      <c r="J875" t="s">
        <v>2964</v>
      </c>
      <c r="K875" t="s">
        <v>21</v>
      </c>
      <c r="L875" t="s">
        <v>80</v>
      </c>
      <c r="M875" t="s">
        <v>81</v>
      </c>
      <c r="N875" t="s">
        <v>3116</v>
      </c>
      <c r="O875" t="s">
        <v>3117</v>
      </c>
      <c r="P875" s="2" t="s">
        <v>26</v>
      </c>
      <c r="Q875" t="s">
        <v>50</v>
      </c>
      <c r="R875">
        <v>0.28000000000000003</v>
      </c>
      <c r="S875">
        <v>0.32</v>
      </c>
      <c r="T875" t="s">
        <v>3118</v>
      </c>
    </row>
    <row r="876" spans="1:20" x14ac:dyDescent="0.25">
      <c r="A876" s="1" t="str">
        <f>HYPERLINK("https://vegkart.atlas.vegvesen.no/#/@-27947.3,6743820.2,18/hva:hva%5B0%5D%5Bfilter%5D%5B0%5D%5Boperator%5D=%21%3D&amp;hva%5B0%5D%5Bfilter%5D%5B0%5D%5Btype_id%5D=9736&amp;hva%5B0%5D%5Bfilter%5D%5B0%5D%5Bverdi%5D=&amp;hva%5B0%5D%5Bid%5D=853/når:2014-09-01", "Vegkart")</f>
        <v>Vegkart</v>
      </c>
      <c r="B876">
        <v>578382534</v>
      </c>
      <c r="C876">
        <v>853</v>
      </c>
      <c r="D876" t="s">
        <v>2935</v>
      </c>
      <c r="E876">
        <v>9736</v>
      </c>
      <c r="F876" t="s">
        <v>23479</v>
      </c>
      <c r="G876">
        <v>1</v>
      </c>
      <c r="H876" t="s">
        <v>1009</v>
      </c>
      <c r="J876" t="s">
        <v>2964</v>
      </c>
      <c r="K876" t="s">
        <v>21</v>
      </c>
      <c r="L876" t="s">
        <v>80</v>
      </c>
      <c r="M876" t="s">
        <v>81</v>
      </c>
      <c r="N876" t="s">
        <v>3119</v>
      </c>
      <c r="O876" t="s">
        <v>3120</v>
      </c>
      <c r="P876" s="2" t="s">
        <v>26</v>
      </c>
      <c r="Q876" t="s">
        <v>50</v>
      </c>
      <c r="R876">
        <v>0.27</v>
      </c>
      <c r="S876">
        <v>0.31</v>
      </c>
      <c r="T876" t="s">
        <v>3121</v>
      </c>
    </row>
    <row r="877" spans="1:20" x14ac:dyDescent="0.25">
      <c r="A877" s="1" t="str">
        <f>HYPERLINK("https://vegkart.atlas.vegvesen.no/#/@-27947.1,6743820.3,18/hva:hva%5B0%5D%5Bfilter%5D%5B0%5D%5Boperator%5D=%21%3D&amp;hva%5B0%5D%5Bfilter%5D%5B0%5D%5Btype_id%5D=9736&amp;hva%5B0%5D%5Bfilter%5D%5B0%5D%5Bverdi%5D=&amp;hva%5B0%5D%5Bid%5D=853/når:2014-09-01", "Vegkart")</f>
        <v>Vegkart</v>
      </c>
      <c r="B877">
        <v>578382535</v>
      </c>
      <c r="C877">
        <v>853</v>
      </c>
      <c r="D877" t="s">
        <v>2935</v>
      </c>
      <c r="E877">
        <v>9736</v>
      </c>
      <c r="F877" t="s">
        <v>23479</v>
      </c>
      <c r="G877">
        <v>1</v>
      </c>
      <c r="H877" t="s">
        <v>1009</v>
      </c>
      <c r="J877" t="s">
        <v>2964</v>
      </c>
      <c r="K877" t="s">
        <v>21</v>
      </c>
      <c r="L877" t="s">
        <v>80</v>
      </c>
      <c r="M877" t="s">
        <v>81</v>
      </c>
      <c r="N877" t="s">
        <v>3116</v>
      </c>
      <c r="O877" t="s">
        <v>3122</v>
      </c>
      <c r="P877" s="2" t="s">
        <v>26</v>
      </c>
      <c r="Q877" t="s">
        <v>50</v>
      </c>
      <c r="R877">
        <v>0.27</v>
      </c>
      <c r="S877">
        <v>0.3</v>
      </c>
      <c r="T877" t="s">
        <v>3123</v>
      </c>
    </row>
    <row r="878" spans="1:20" x14ac:dyDescent="0.25">
      <c r="A878" s="1" t="str">
        <f>HYPERLINK("https://vegkart.atlas.vegvesen.no/#/@-27950.8,6743825.5,18/hva:hva%5B0%5D%5Bfilter%5D%5B0%5D%5Boperator%5D=%21%3D&amp;hva%5B0%5D%5Bfilter%5D%5B0%5D%5Btype_id%5D=9736&amp;hva%5B0%5D%5Bfilter%5D%5B0%5D%5Bverdi%5D=&amp;hva%5B0%5D%5Bid%5D=853/når:2014-09-01", "Vegkart")</f>
        <v>Vegkart</v>
      </c>
      <c r="B878">
        <v>578382536</v>
      </c>
      <c r="C878">
        <v>853</v>
      </c>
      <c r="D878" t="s">
        <v>2935</v>
      </c>
      <c r="E878">
        <v>9736</v>
      </c>
      <c r="F878" t="s">
        <v>23479</v>
      </c>
      <c r="G878">
        <v>1</v>
      </c>
      <c r="H878" t="s">
        <v>1009</v>
      </c>
      <c r="J878" t="s">
        <v>2964</v>
      </c>
      <c r="K878" t="s">
        <v>21</v>
      </c>
      <c r="L878" t="s">
        <v>33</v>
      </c>
      <c r="M878" t="s">
        <v>2968</v>
      </c>
      <c r="N878" t="s">
        <v>3124</v>
      </c>
      <c r="O878" t="s">
        <v>3125</v>
      </c>
      <c r="P878" s="2" t="s">
        <v>26</v>
      </c>
      <c r="Q878" t="s">
        <v>50</v>
      </c>
      <c r="R878">
        <v>0.27</v>
      </c>
      <c r="S878">
        <v>0.32</v>
      </c>
      <c r="T878" t="s">
        <v>3126</v>
      </c>
    </row>
    <row r="879" spans="1:20" x14ac:dyDescent="0.25">
      <c r="A879" s="1" t="str">
        <f>HYPERLINK("https://vegkart.atlas.vegvesen.no/#/@-27951.0,6743825.6,18/hva:hva%5B0%5D%5Bfilter%5D%5B0%5D%5Boperator%5D=%21%3D&amp;hva%5B0%5D%5Bfilter%5D%5B0%5D%5Btype_id%5D=9736&amp;hva%5B0%5D%5Bfilter%5D%5B0%5D%5Bverdi%5D=&amp;hva%5B0%5D%5Bid%5D=853/når:2014-09-01", "Vegkart")</f>
        <v>Vegkart</v>
      </c>
      <c r="B879">
        <v>578382537</v>
      </c>
      <c r="C879">
        <v>853</v>
      </c>
      <c r="D879" t="s">
        <v>2935</v>
      </c>
      <c r="E879">
        <v>9736</v>
      </c>
      <c r="F879" t="s">
        <v>23479</v>
      </c>
      <c r="G879">
        <v>1</v>
      </c>
      <c r="H879" t="s">
        <v>1009</v>
      </c>
      <c r="J879" t="s">
        <v>2964</v>
      </c>
      <c r="K879" t="s">
        <v>21</v>
      </c>
      <c r="L879" t="s">
        <v>33</v>
      </c>
      <c r="M879" t="s">
        <v>2968</v>
      </c>
      <c r="N879" t="s">
        <v>3124</v>
      </c>
      <c r="O879" t="s">
        <v>3127</v>
      </c>
      <c r="P879" s="2" t="s">
        <v>26</v>
      </c>
      <c r="Q879" t="s">
        <v>50</v>
      </c>
      <c r="R879">
        <v>0.27</v>
      </c>
      <c r="S879">
        <v>0.31</v>
      </c>
      <c r="T879" t="s">
        <v>3128</v>
      </c>
    </row>
    <row r="880" spans="1:20" x14ac:dyDescent="0.25">
      <c r="A880" s="1" t="str">
        <f>HYPERLINK("https://vegkart.atlas.vegvesen.no/#/@-27950.8,6743825.7,18/hva:hva%5B0%5D%5Bfilter%5D%5B0%5D%5Boperator%5D=%21%3D&amp;hva%5B0%5D%5Bfilter%5D%5B0%5D%5Btype_id%5D=9736&amp;hva%5B0%5D%5Bfilter%5D%5B0%5D%5Bverdi%5D=&amp;hva%5B0%5D%5Bid%5D=853/når:2014-09-01", "Vegkart")</f>
        <v>Vegkart</v>
      </c>
      <c r="B880">
        <v>578382538</v>
      </c>
      <c r="C880">
        <v>853</v>
      </c>
      <c r="D880" t="s">
        <v>2935</v>
      </c>
      <c r="E880">
        <v>9736</v>
      </c>
      <c r="F880" t="s">
        <v>23479</v>
      </c>
      <c r="G880">
        <v>1</v>
      </c>
      <c r="H880" t="s">
        <v>1009</v>
      </c>
      <c r="J880" t="s">
        <v>2964</v>
      </c>
      <c r="K880" t="s">
        <v>21</v>
      </c>
      <c r="L880" t="s">
        <v>33</v>
      </c>
      <c r="M880" t="s">
        <v>2968</v>
      </c>
      <c r="N880" t="s">
        <v>3124</v>
      </c>
      <c r="O880" t="s">
        <v>3129</v>
      </c>
      <c r="P880" s="2" t="s">
        <v>26</v>
      </c>
      <c r="Q880" t="s">
        <v>50</v>
      </c>
      <c r="R880">
        <v>0.28000000000000003</v>
      </c>
      <c r="S880">
        <v>0.32</v>
      </c>
      <c r="T880" t="s">
        <v>3130</v>
      </c>
    </row>
    <row r="881" spans="1:20" x14ac:dyDescent="0.25">
      <c r="A881" s="1" t="str">
        <f>HYPERLINK("https://vegkart.atlas.vegvesen.no/#/@-27937.9,6743799.6,18/hva:hva%5B0%5D%5Bfilter%5D%5B0%5D%5Boperator%5D=%21%3D&amp;hva%5B0%5D%5Bfilter%5D%5B0%5D%5Btype_id%5D=9736&amp;hva%5B0%5D%5Bfilter%5D%5B0%5D%5Bverdi%5D=&amp;hva%5B0%5D%5Bid%5D=853/når:2014-09-01", "Vegkart")</f>
        <v>Vegkart</v>
      </c>
      <c r="B881">
        <v>578382539</v>
      </c>
      <c r="C881">
        <v>853</v>
      </c>
      <c r="D881" t="s">
        <v>2935</v>
      </c>
      <c r="E881">
        <v>9736</v>
      </c>
      <c r="F881" t="s">
        <v>23479</v>
      </c>
      <c r="G881">
        <v>1</v>
      </c>
      <c r="H881" t="s">
        <v>1009</v>
      </c>
      <c r="J881" t="s">
        <v>2964</v>
      </c>
      <c r="K881" t="s">
        <v>21</v>
      </c>
      <c r="L881" t="s">
        <v>80</v>
      </c>
      <c r="M881" t="s">
        <v>81</v>
      </c>
      <c r="N881" t="s">
        <v>3131</v>
      </c>
      <c r="O881" t="s">
        <v>3132</v>
      </c>
      <c r="P881" s="2" t="s">
        <v>26</v>
      </c>
      <c r="Q881" t="s">
        <v>50</v>
      </c>
      <c r="R881">
        <v>0.26</v>
      </c>
      <c r="S881">
        <v>0.3</v>
      </c>
      <c r="T881" t="s">
        <v>3133</v>
      </c>
    </row>
    <row r="882" spans="1:20" x14ac:dyDescent="0.25">
      <c r="A882" s="1" t="str">
        <f>HYPERLINK("https://vegkart.atlas.vegvesen.no/#/@-27938.0,6743799.7,18/hva:hva%5B0%5D%5Bfilter%5D%5B0%5D%5Boperator%5D=%21%3D&amp;hva%5B0%5D%5Bfilter%5D%5B0%5D%5Btype_id%5D=9736&amp;hva%5B0%5D%5Bfilter%5D%5B0%5D%5Bverdi%5D=&amp;hva%5B0%5D%5Bid%5D=853/når:2014-09-01", "Vegkart")</f>
        <v>Vegkart</v>
      </c>
      <c r="B882">
        <v>578382540</v>
      </c>
      <c r="C882">
        <v>853</v>
      </c>
      <c r="D882" t="s">
        <v>2935</v>
      </c>
      <c r="E882">
        <v>9736</v>
      </c>
      <c r="F882" t="s">
        <v>23479</v>
      </c>
      <c r="G882">
        <v>1</v>
      </c>
      <c r="H882" t="s">
        <v>1009</v>
      </c>
      <c r="J882" t="s">
        <v>2964</v>
      </c>
      <c r="K882" t="s">
        <v>21</v>
      </c>
      <c r="L882" t="s">
        <v>80</v>
      </c>
      <c r="M882" t="s">
        <v>81</v>
      </c>
      <c r="N882" t="s">
        <v>3131</v>
      </c>
      <c r="O882" t="s">
        <v>3134</v>
      </c>
      <c r="P882" s="2" t="s">
        <v>26</v>
      </c>
      <c r="Q882" t="s">
        <v>50</v>
      </c>
      <c r="R882">
        <v>0.27</v>
      </c>
      <c r="S882">
        <v>0.31</v>
      </c>
      <c r="T882" t="s">
        <v>3135</v>
      </c>
    </row>
    <row r="883" spans="1:20" x14ac:dyDescent="0.25">
      <c r="A883" s="1" t="str">
        <f>HYPERLINK("https://vegkart.atlas.vegvesen.no/#/@-27937.8,6743799.8,18/hva:hva%5B0%5D%5Bfilter%5D%5B0%5D%5Boperator%5D=%21%3D&amp;hva%5B0%5D%5Bfilter%5D%5B0%5D%5Btype_id%5D=9736&amp;hva%5B0%5D%5Bfilter%5D%5B0%5D%5Bverdi%5D=&amp;hva%5B0%5D%5Bid%5D=853/når:2014-09-01", "Vegkart")</f>
        <v>Vegkart</v>
      </c>
      <c r="B883">
        <v>578382541</v>
      </c>
      <c r="C883">
        <v>853</v>
      </c>
      <c r="D883" t="s">
        <v>2935</v>
      </c>
      <c r="E883">
        <v>9736</v>
      </c>
      <c r="F883" t="s">
        <v>23479</v>
      </c>
      <c r="G883">
        <v>1</v>
      </c>
      <c r="H883" t="s">
        <v>1009</v>
      </c>
      <c r="J883" t="s">
        <v>2964</v>
      </c>
      <c r="K883" t="s">
        <v>21</v>
      </c>
      <c r="L883" t="s">
        <v>80</v>
      </c>
      <c r="M883" t="s">
        <v>81</v>
      </c>
      <c r="N883" t="s">
        <v>3131</v>
      </c>
      <c r="O883" t="s">
        <v>3136</v>
      </c>
      <c r="P883" s="2" t="s">
        <v>26</v>
      </c>
      <c r="Q883" t="s">
        <v>50</v>
      </c>
      <c r="R883">
        <v>0.27</v>
      </c>
      <c r="S883">
        <v>0.32</v>
      </c>
      <c r="T883" t="s">
        <v>3137</v>
      </c>
    </row>
    <row r="884" spans="1:20" x14ac:dyDescent="0.25">
      <c r="A884" s="1" t="str">
        <f>HYPERLINK("https://vegkart.atlas.vegvesen.no/#/@-28893.5,6743486.1,18/hva:hva%5B0%5D%5Bfilter%5D%5B0%5D%5Boperator%5D=%21%3D&amp;hva%5B0%5D%5Bfilter%5D%5B0%5D%5Btype_id%5D=9736&amp;hva%5B0%5D%5Bfilter%5D%5B0%5D%5Bverdi%5D=&amp;hva%5B0%5D%5Bid%5D=853/når:2014-09-01", "Vegkart")</f>
        <v>Vegkart</v>
      </c>
      <c r="B884">
        <v>578382542</v>
      </c>
      <c r="C884">
        <v>853</v>
      </c>
      <c r="D884" t="s">
        <v>2935</v>
      </c>
      <c r="E884">
        <v>9736</v>
      </c>
      <c r="F884" t="s">
        <v>23479</v>
      </c>
      <c r="G884">
        <v>1</v>
      </c>
      <c r="H884" t="s">
        <v>1009</v>
      </c>
      <c r="J884" t="s">
        <v>2964</v>
      </c>
      <c r="K884" t="s">
        <v>21</v>
      </c>
      <c r="L884" t="s">
        <v>80</v>
      </c>
      <c r="M884" t="s">
        <v>81</v>
      </c>
      <c r="N884" t="s">
        <v>3138</v>
      </c>
      <c r="O884" t="s">
        <v>3139</v>
      </c>
      <c r="P884" s="2" t="s">
        <v>26</v>
      </c>
      <c r="Q884" t="s">
        <v>50</v>
      </c>
      <c r="R884">
        <v>0.26</v>
      </c>
      <c r="S884">
        <v>0.3</v>
      </c>
      <c r="T884" t="s">
        <v>3140</v>
      </c>
    </row>
    <row r="885" spans="1:20" x14ac:dyDescent="0.25">
      <c r="A885" s="1" t="str">
        <f>HYPERLINK("https://vegkart.atlas.vegvesen.no/#/@-28893.7,6743486.2,18/hva:hva%5B0%5D%5Bfilter%5D%5B0%5D%5Boperator%5D=%21%3D&amp;hva%5B0%5D%5Bfilter%5D%5B0%5D%5Btype_id%5D=9736&amp;hva%5B0%5D%5Bfilter%5D%5B0%5D%5Bverdi%5D=&amp;hva%5B0%5D%5Bid%5D=853/når:2014-09-01", "Vegkart")</f>
        <v>Vegkart</v>
      </c>
      <c r="B885">
        <v>578382543</v>
      </c>
      <c r="C885">
        <v>853</v>
      </c>
      <c r="D885" t="s">
        <v>2935</v>
      </c>
      <c r="E885">
        <v>9736</v>
      </c>
      <c r="F885" t="s">
        <v>23479</v>
      </c>
      <c r="G885">
        <v>1</v>
      </c>
      <c r="H885" t="s">
        <v>1009</v>
      </c>
      <c r="J885" t="s">
        <v>2964</v>
      </c>
      <c r="K885" t="s">
        <v>21</v>
      </c>
      <c r="L885" t="s">
        <v>80</v>
      </c>
      <c r="M885" t="s">
        <v>81</v>
      </c>
      <c r="N885" t="s">
        <v>3138</v>
      </c>
      <c r="O885" t="s">
        <v>3141</v>
      </c>
      <c r="P885" s="2" t="s">
        <v>26</v>
      </c>
      <c r="Q885" t="s">
        <v>50</v>
      </c>
      <c r="R885">
        <v>0.27</v>
      </c>
      <c r="S885">
        <v>0.32</v>
      </c>
      <c r="T885" t="s">
        <v>3142</v>
      </c>
    </row>
    <row r="886" spans="1:20" x14ac:dyDescent="0.25">
      <c r="A886" s="1" t="str">
        <f>HYPERLINK("https://vegkart.atlas.vegvesen.no/#/@-28893.5,6743486.3,18/hva:hva%5B0%5D%5Bfilter%5D%5B0%5D%5Boperator%5D=%21%3D&amp;hva%5B0%5D%5Bfilter%5D%5B0%5D%5Btype_id%5D=9736&amp;hva%5B0%5D%5Bfilter%5D%5B0%5D%5Bverdi%5D=&amp;hva%5B0%5D%5Bid%5D=853/når:2014-09-01", "Vegkart")</f>
        <v>Vegkart</v>
      </c>
      <c r="B886">
        <v>578382544</v>
      </c>
      <c r="C886">
        <v>853</v>
      </c>
      <c r="D886" t="s">
        <v>2935</v>
      </c>
      <c r="E886">
        <v>9736</v>
      </c>
      <c r="F886" t="s">
        <v>23479</v>
      </c>
      <c r="G886">
        <v>1</v>
      </c>
      <c r="H886" t="s">
        <v>1009</v>
      </c>
      <c r="J886" t="s">
        <v>2964</v>
      </c>
      <c r="K886" t="s">
        <v>21</v>
      </c>
      <c r="L886" t="s">
        <v>80</v>
      </c>
      <c r="M886" t="s">
        <v>81</v>
      </c>
      <c r="N886" t="s">
        <v>3138</v>
      </c>
      <c r="O886" t="s">
        <v>3143</v>
      </c>
      <c r="P886" s="2" t="s">
        <v>26</v>
      </c>
      <c r="Q886" t="s">
        <v>50</v>
      </c>
      <c r="R886">
        <v>0.26</v>
      </c>
      <c r="S886">
        <v>0.31</v>
      </c>
      <c r="T886" t="s">
        <v>3144</v>
      </c>
    </row>
    <row r="887" spans="1:20" x14ac:dyDescent="0.25">
      <c r="A887" s="1" t="str">
        <f>HYPERLINK("https://vegkart.atlas.vegvesen.no/#/@-28881.3,6743464.5,18/hva:hva%5B0%5D%5Bfilter%5D%5B0%5D%5Boperator%5D=%21%3D&amp;hva%5B0%5D%5Bfilter%5D%5B0%5D%5Btype_id%5D=9736&amp;hva%5B0%5D%5Bfilter%5D%5B0%5D%5Bverdi%5D=&amp;hva%5B0%5D%5Bid%5D=853/når:2014-09-01", "Vegkart")</f>
        <v>Vegkart</v>
      </c>
      <c r="B887">
        <v>578382545</v>
      </c>
      <c r="C887">
        <v>853</v>
      </c>
      <c r="D887" t="s">
        <v>2935</v>
      </c>
      <c r="E887">
        <v>9736</v>
      </c>
      <c r="F887" t="s">
        <v>23479</v>
      </c>
      <c r="G887">
        <v>1</v>
      </c>
      <c r="H887" t="s">
        <v>1009</v>
      </c>
      <c r="J887" t="s">
        <v>2964</v>
      </c>
      <c r="K887" t="s">
        <v>21</v>
      </c>
      <c r="L887" t="s">
        <v>80</v>
      </c>
      <c r="M887" t="s">
        <v>81</v>
      </c>
      <c r="N887" t="s">
        <v>3145</v>
      </c>
      <c r="O887" t="s">
        <v>3146</v>
      </c>
      <c r="P887" s="2" t="s">
        <v>26</v>
      </c>
      <c r="Q887" t="s">
        <v>50</v>
      </c>
      <c r="R887">
        <v>0.26</v>
      </c>
      <c r="S887">
        <v>0.31</v>
      </c>
      <c r="T887" t="s">
        <v>3147</v>
      </c>
    </row>
    <row r="888" spans="1:20" x14ac:dyDescent="0.25">
      <c r="A888" s="1" t="str">
        <f>HYPERLINK("https://vegkart.atlas.vegvesen.no/#/@-28881.5,6743464.6,18/hva:hva%5B0%5D%5Bfilter%5D%5B0%5D%5Boperator%5D=%21%3D&amp;hva%5B0%5D%5Bfilter%5D%5B0%5D%5Btype_id%5D=9736&amp;hva%5B0%5D%5Bfilter%5D%5B0%5D%5Bverdi%5D=&amp;hva%5B0%5D%5Bid%5D=853/når:2014-09-01", "Vegkart")</f>
        <v>Vegkart</v>
      </c>
      <c r="B888">
        <v>578382546</v>
      </c>
      <c r="C888">
        <v>853</v>
      </c>
      <c r="D888" t="s">
        <v>2935</v>
      </c>
      <c r="E888">
        <v>9736</v>
      </c>
      <c r="F888" t="s">
        <v>23479</v>
      </c>
      <c r="G888">
        <v>1</v>
      </c>
      <c r="H888" t="s">
        <v>1009</v>
      </c>
      <c r="J888" t="s">
        <v>2964</v>
      </c>
      <c r="K888" t="s">
        <v>21</v>
      </c>
      <c r="L888" t="s">
        <v>80</v>
      </c>
      <c r="M888" t="s">
        <v>81</v>
      </c>
      <c r="N888" t="s">
        <v>3145</v>
      </c>
      <c r="O888" t="s">
        <v>3148</v>
      </c>
      <c r="P888" s="2" t="s">
        <v>26</v>
      </c>
      <c r="Q888" t="s">
        <v>50</v>
      </c>
      <c r="R888">
        <v>0.27</v>
      </c>
      <c r="S888">
        <v>0.32</v>
      </c>
      <c r="T888" t="s">
        <v>3149</v>
      </c>
    </row>
    <row r="889" spans="1:20" x14ac:dyDescent="0.25">
      <c r="A889" s="1" t="str">
        <f>HYPERLINK("https://vegkart.atlas.vegvesen.no/#/@-28881.3,6743464.7,18/hva:hva%5B0%5D%5Bfilter%5D%5B0%5D%5Boperator%5D=%21%3D&amp;hva%5B0%5D%5Bfilter%5D%5B0%5D%5Btype_id%5D=9736&amp;hva%5B0%5D%5Bfilter%5D%5B0%5D%5Bverdi%5D=&amp;hva%5B0%5D%5Bid%5D=853/når:2014-09-01", "Vegkart")</f>
        <v>Vegkart</v>
      </c>
      <c r="B889">
        <v>578382547</v>
      </c>
      <c r="C889">
        <v>853</v>
      </c>
      <c r="D889" t="s">
        <v>2935</v>
      </c>
      <c r="E889">
        <v>9736</v>
      </c>
      <c r="F889" t="s">
        <v>23479</v>
      </c>
      <c r="G889">
        <v>1</v>
      </c>
      <c r="H889" t="s">
        <v>1009</v>
      </c>
      <c r="J889" t="s">
        <v>2964</v>
      </c>
      <c r="K889" t="s">
        <v>21</v>
      </c>
      <c r="L889" t="s">
        <v>80</v>
      </c>
      <c r="M889" t="s">
        <v>81</v>
      </c>
      <c r="N889" t="s">
        <v>3145</v>
      </c>
      <c r="O889" t="s">
        <v>3150</v>
      </c>
      <c r="P889" s="2" t="s">
        <v>26</v>
      </c>
      <c r="Q889" t="s">
        <v>50</v>
      </c>
      <c r="R889">
        <v>0.26</v>
      </c>
      <c r="S889">
        <v>0.31</v>
      </c>
      <c r="T889" t="s">
        <v>3151</v>
      </c>
    </row>
    <row r="890" spans="1:20" x14ac:dyDescent="0.25">
      <c r="A890" s="1" t="str">
        <f>HYPERLINK("https://vegkart.atlas.vegvesen.no/#/@-29013.9,6743402.9,18/hva:hva%5B0%5D%5Bfilter%5D%5B0%5D%5Boperator%5D=%21%3D&amp;hva%5B0%5D%5Bfilter%5D%5B0%5D%5Btype_id%5D=9736&amp;hva%5B0%5D%5Bfilter%5D%5B0%5D%5Bverdi%5D=&amp;hva%5B0%5D%5Bid%5D=853/når:2014-09-01", "Vegkart")</f>
        <v>Vegkart</v>
      </c>
      <c r="B890">
        <v>578382548</v>
      </c>
      <c r="C890">
        <v>853</v>
      </c>
      <c r="D890" t="s">
        <v>2935</v>
      </c>
      <c r="E890">
        <v>9736</v>
      </c>
      <c r="F890" t="s">
        <v>23479</v>
      </c>
      <c r="G890">
        <v>1</v>
      </c>
      <c r="H890" t="s">
        <v>1009</v>
      </c>
      <c r="J890" t="s">
        <v>2964</v>
      </c>
      <c r="K890" t="s">
        <v>21</v>
      </c>
      <c r="L890" t="s">
        <v>80</v>
      </c>
      <c r="M890" t="s">
        <v>81</v>
      </c>
      <c r="N890" t="s">
        <v>3152</v>
      </c>
      <c r="O890" t="s">
        <v>3153</v>
      </c>
      <c r="P890" s="2" t="s">
        <v>26</v>
      </c>
      <c r="Q890" t="s">
        <v>50</v>
      </c>
      <c r="R890">
        <v>0.28000000000000003</v>
      </c>
      <c r="S890">
        <v>0.31</v>
      </c>
      <c r="T890" t="s">
        <v>3154</v>
      </c>
    </row>
    <row r="891" spans="1:20" x14ac:dyDescent="0.25">
      <c r="A891" s="1" t="str">
        <f>HYPERLINK("https://vegkart.atlas.vegvesen.no/#/@-29014.0,6743403.0,18/hva:hva%5B0%5D%5Bfilter%5D%5B0%5D%5Boperator%5D=%21%3D&amp;hva%5B0%5D%5Bfilter%5D%5B0%5D%5Btype_id%5D=9736&amp;hva%5B0%5D%5Bfilter%5D%5B0%5D%5Bverdi%5D=&amp;hva%5B0%5D%5Bid%5D=853/når:2014-09-01", "Vegkart")</f>
        <v>Vegkart</v>
      </c>
      <c r="B891">
        <v>578382549</v>
      </c>
      <c r="C891">
        <v>853</v>
      </c>
      <c r="D891" t="s">
        <v>2935</v>
      </c>
      <c r="E891">
        <v>9736</v>
      </c>
      <c r="F891" t="s">
        <v>23479</v>
      </c>
      <c r="G891">
        <v>1</v>
      </c>
      <c r="H891" t="s">
        <v>1009</v>
      </c>
      <c r="J891" t="s">
        <v>2964</v>
      </c>
      <c r="K891" t="s">
        <v>21</v>
      </c>
      <c r="L891" t="s">
        <v>80</v>
      </c>
      <c r="M891" t="s">
        <v>81</v>
      </c>
      <c r="N891" t="s">
        <v>3152</v>
      </c>
      <c r="O891" t="s">
        <v>3155</v>
      </c>
      <c r="P891" s="2" t="s">
        <v>26</v>
      </c>
      <c r="Q891" t="s">
        <v>50</v>
      </c>
      <c r="R891">
        <v>0.27</v>
      </c>
      <c r="S891">
        <v>0.31</v>
      </c>
      <c r="T891" t="s">
        <v>3156</v>
      </c>
    </row>
    <row r="892" spans="1:20" x14ac:dyDescent="0.25">
      <c r="A892" s="1" t="str">
        <f>HYPERLINK("https://vegkart.atlas.vegvesen.no/#/@-29013.9,6743403.1,18/hva:hva%5B0%5D%5Bfilter%5D%5B0%5D%5Boperator%5D=%21%3D&amp;hva%5B0%5D%5Bfilter%5D%5B0%5D%5Btype_id%5D=9736&amp;hva%5B0%5D%5Bfilter%5D%5B0%5D%5Bverdi%5D=&amp;hva%5B0%5D%5Bid%5D=853/når:2014-09-01", "Vegkart")</f>
        <v>Vegkart</v>
      </c>
      <c r="B892">
        <v>578382550</v>
      </c>
      <c r="C892">
        <v>853</v>
      </c>
      <c r="D892" t="s">
        <v>2935</v>
      </c>
      <c r="E892">
        <v>9736</v>
      </c>
      <c r="F892" t="s">
        <v>23479</v>
      </c>
      <c r="G892">
        <v>1</v>
      </c>
      <c r="H892" t="s">
        <v>1009</v>
      </c>
      <c r="J892" t="s">
        <v>2964</v>
      </c>
      <c r="K892" t="s">
        <v>21</v>
      </c>
      <c r="L892" t="s">
        <v>80</v>
      </c>
      <c r="M892" t="s">
        <v>81</v>
      </c>
      <c r="N892" t="s">
        <v>3152</v>
      </c>
      <c r="O892" t="s">
        <v>3157</v>
      </c>
      <c r="P892" s="2" t="s">
        <v>26</v>
      </c>
      <c r="Q892" t="s">
        <v>50</v>
      </c>
      <c r="R892">
        <v>0.27</v>
      </c>
      <c r="S892">
        <v>0.31</v>
      </c>
      <c r="T892" t="s">
        <v>3158</v>
      </c>
    </row>
    <row r="893" spans="1:20" x14ac:dyDescent="0.25">
      <c r="A893" s="1" t="str">
        <f>HYPERLINK("https://vegkart.atlas.vegvesen.no/#/@-27941.7,6743811.8,18/hva:hva%5B0%5D%5Bfilter%5D%5B0%5D%5Boperator%5D=%21%3D&amp;hva%5B0%5D%5Bfilter%5D%5B0%5D%5Btype_id%5D=9736&amp;hva%5B0%5D%5Bfilter%5D%5B0%5D%5Bverdi%5D=&amp;hva%5B0%5D%5Bid%5D=853/når:2014-09-01", "Vegkart")</f>
        <v>Vegkart</v>
      </c>
      <c r="B893">
        <v>578382551</v>
      </c>
      <c r="C893">
        <v>853</v>
      </c>
      <c r="D893" t="s">
        <v>2935</v>
      </c>
      <c r="E893">
        <v>9736</v>
      </c>
      <c r="F893" t="s">
        <v>23479</v>
      </c>
      <c r="G893">
        <v>1</v>
      </c>
      <c r="H893" t="s">
        <v>1009</v>
      </c>
      <c r="J893" t="s">
        <v>2964</v>
      </c>
      <c r="K893" t="s">
        <v>21</v>
      </c>
      <c r="L893" t="s">
        <v>80</v>
      </c>
      <c r="M893" t="s">
        <v>81</v>
      </c>
      <c r="N893" t="s">
        <v>3159</v>
      </c>
      <c r="O893" t="s">
        <v>3160</v>
      </c>
      <c r="P893" s="2" t="s">
        <v>26</v>
      </c>
      <c r="Q893" t="s">
        <v>50</v>
      </c>
      <c r="R893">
        <v>0.13</v>
      </c>
      <c r="S893">
        <v>0.15</v>
      </c>
      <c r="T893" t="s">
        <v>3161</v>
      </c>
    </row>
    <row r="894" spans="1:20" x14ac:dyDescent="0.25">
      <c r="A894" s="1" t="str">
        <f>HYPERLINK("https://vegkart.atlas.vegvesen.no/#/@-27941.8,6743811.9,18/hva:hva%5B0%5D%5Bfilter%5D%5B0%5D%5Boperator%5D=%21%3D&amp;hva%5B0%5D%5Bfilter%5D%5B0%5D%5Btype_id%5D=9736&amp;hva%5B0%5D%5Bfilter%5D%5B0%5D%5Bverdi%5D=&amp;hva%5B0%5D%5Bid%5D=853/når:2014-09-01", "Vegkart")</f>
        <v>Vegkart</v>
      </c>
      <c r="B894">
        <v>578382552</v>
      </c>
      <c r="C894">
        <v>853</v>
      </c>
      <c r="D894" t="s">
        <v>2935</v>
      </c>
      <c r="E894">
        <v>9736</v>
      </c>
      <c r="F894" t="s">
        <v>23479</v>
      </c>
      <c r="G894">
        <v>1</v>
      </c>
      <c r="H894" t="s">
        <v>1009</v>
      </c>
      <c r="J894" t="s">
        <v>2964</v>
      </c>
      <c r="K894" t="s">
        <v>21</v>
      </c>
      <c r="L894" t="s">
        <v>80</v>
      </c>
      <c r="M894" t="s">
        <v>81</v>
      </c>
      <c r="N894" t="s">
        <v>3159</v>
      </c>
      <c r="O894" t="s">
        <v>3162</v>
      </c>
      <c r="P894" s="2" t="s">
        <v>26</v>
      </c>
      <c r="Q894" t="s">
        <v>50</v>
      </c>
      <c r="R894">
        <v>0.13</v>
      </c>
      <c r="S894">
        <v>0.16</v>
      </c>
      <c r="T894" t="s">
        <v>3163</v>
      </c>
    </row>
    <row r="895" spans="1:20" x14ac:dyDescent="0.25">
      <c r="A895" s="1" t="str">
        <f>HYPERLINK("https://vegkart.atlas.vegvesen.no/#/@-27941.7,6743811.9,18/hva:hva%5B0%5D%5Bfilter%5D%5B0%5D%5Boperator%5D=%21%3D&amp;hva%5B0%5D%5Bfilter%5D%5B0%5D%5Btype_id%5D=9736&amp;hva%5B0%5D%5Bfilter%5D%5B0%5D%5Bverdi%5D=&amp;hva%5B0%5D%5Bid%5D=853/når:2014-09-01", "Vegkart")</f>
        <v>Vegkart</v>
      </c>
      <c r="B895">
        <v>578382553</v>
      </c>
      <c r="C895">
        <v>853</v>
      </c>
      <c r="D895" t="s">
        <v>2935</v>
      </c>
      <c r="E895">
        <v>9736</v>
      </c>
      <c r="F895" t="s">
        <v>23479</v>
      </c>
      <c r="G895">
        <v>1</v>
      </c>
      <c r="H895" t="s">
        <v>1009</v>
      </c>
      <c r="J895" t="s">
        <v>2964</v>
      </c>
      <c r="K895" t="s">
        <v>21</v>
      </c>
      <c r="L895" t="s">
        <v>80</v>
      </c>
      <c r="M895" t="s">
        <v>81</v>
      </c>
      <c r="N895" t="s">
        <v>3159</v>
      </c>
      <c r="O895" t="s">
        <v>3164</v>
      </c>
      <c r="P895" s="2" t="s">
        <v>26</v>
      </c>
      <c r="Q895" t="s">
        <v>50</v>
      </c>
      <c r="R895">
        <v>0.12</v>
      </c>
      <c r="S895">
        <v>0.14000000000000001</v>
      </c>
      <c r="T895" t="s">
        <v>3165</v>
      </c>
    </row>
    <row r="896" spans="1:20" x14ac:dyDescent="0.25">
      <c r="A896" s="1" t="str">
        <f>HYPERLINK("https://vegkart.atlas.vegvesen.no/#/@-27983.8,6743780.7,18/hva:hva%5B0%5D%5Bfilter%5D%5B0%5D%5Boperator%5D=%21%3D&amp;hva%5B0%5D%5Bfilter%5D%5B0%5D%5Btype_id%5D=9736&amp;hva%5B0%5D%5Bfilter%5D%5B0%5D%5Bverdi%5D=&amp;hva%5B0%5D%5Bid%5D=853/når:2014-09-01", "Vegkart")</f>
        <v>Vegkart</v>
      </c>
      <c r="B896">
        <v>578382554</v>
      </c>
      <c r="C896">
        <v>853</v>
      </c>
      <c r="D896" t="s">
        <v>2935</v>
      </c>
      <c r="E896">
        <v>9736</v>
      </c>
      <c r="F896" t="s">
        <v>23479</v>
      </c>
      <c r="G896">
        <v>1</v>
      </c>
      <c r="H896" t="s">
        <v>1009</v>
      </c>
      <c r="J896" t="s">
        <v>2964</v>
      </c>
      <c r="K896" t="s">
        <v>21</v>
      </c>
      <c r="L896" t="s">
        <v>80</v>
      </c>
      <c r="M896" t="s">
        <v>81</v>
      </c>
      <c r="N896" t="s">
        <v>3166</v>
      </c>
      <c r="O896" t="s">
        <v>3167</v>
      </c>
      <c r="P896" s="2" t="s">
        <v>26</v>
      </c>
      <c r="Q896" t="s">
        <v>50</v>
      </c>
      <c r="R896">
        <v>0.12</v>
      </c>
      <c r="S896">
        <v>0.14000000000000001</v>
      </c>
      <c r="T896" t="s">
        <v>3168</v>
      </c>
    </row>
    <row r="897" spans="1:20" x14ac:dyDescent="0.25">
      <c r="A897" s="1" t="str">
        <f>HYPERLINK("https://vegkart.atlas.vegvesen.no/#/@-27983.9,6743780.8,18/hva:hva%5B0%5D%5Bfilter%5D%5B0%5D%5Boperator%5D=%21%3D&amp;hva%5B0%5D%5Bfilter%5D%5B0%5D%5Btype_id%5D=9736&amp;hva%5B0%5D%5Bfilter%5D%5B0%5D%5Bverdi%5D=&amp;hva%5B0%5D%5Bid%5D=853/når:2014-09-01", "Vegkart")</f>
        <v>Vegkart</v>
      </c>
      <c r="B897">
        <v>578382555</v>
      </c>
      <c r="C897">
        <v>853</v>
      </c>
      <c r="D897" t="s">
        <v>2935</v>
      </c>
      <c r="E897">
        <v>9736</v>
      </c>
      <c r="F897" t="s">
        <v>23479</v>
      </c>
      <c r="G897">
        <v>1</v>
      </c>
      <c r="H897" t="s">
        <v>1009</v>
      </c>
      <c r="J897" t="s">
        <v>2964</v>
      </c>
      <c r="K897" t="s">
        <v>21</v>
      </c>
      <c r="L897" t="s">
        <v>80</v>
      </c>
      <c r="M897" t="s">
        <v>81</v>
      </c>
      <c r="N897" t="s">
        <v>3166</v>
      </c>
      <c r="O897" t="s">
        <v>3169</v>
      </c>
      <c r="P897" s="2" t="s">
        <v>26</v>
      </c>
      <c r="Q897" t="s">
        <v>50</v>
      </c>
      <c r="R897">
        <v>0.13</v>
      </c>
      <c r="S897">
        <v>0.16</v>
      </c>
      <c r="T897" t="s">
        <v>3170</v>
      </c>
    </row>
    <row r="898" spans="1:20" x14ac:dyDescent="0.25">
      <c r="A898" s="1" t="str">
        <f>HYPERLINK("https://vegkart.atlas.vegvesen.no/#/@-27983.8,6743780.8,18/hva:hva%5B0%5D%5Bfilter%5D%5B0%5D%5Boperator%5D=%21%3D&amp;hva%5B0%5D%5Bfilter%5D%5B0%5D%5Btype_id%5D=9736&amp;hva%5B0%5D%5Bfilter%5D%5B0%5D%5Bverdi%5D=&amp;hva%5B0%5D%5Bid%5D=853/når:2014-09-01", "Vegkart")</f>
        <v>Vegkart</v>
      </c>
      <c r="B898">
        <v>578382556</v>
      </c>
      <c r="C898">
        <v>853</v>
      </c>
      <c r="D898" t="s">
        <v>2935</v>
      </c>
      <c r="E898">
        <v>9736</v>
      </c>
      <c r="F898" t="s">
        <v>23479</v>
      </c>
      <c r="G898">
        <v>1</v>
      </c>
      <c r="H898" t="s">
        <v>1009</v>
      </c>
      <c r="J898" t="s">
        <v>2964</v>
      </c>
      <c r="K898" t="s">
        <v>21</v>
      </c>
      <c r="L898" t="s">
        <v>80</v>
      </c>
      <c r="M898" t="s">
        <v>81</v>
      </c>
      <c r="N898" t="s">
        <v>3166</v>
      </c>
      <c r="O898" t="s">
        <v>3171</v>
      </c>
      <c r="P898" s="2" t="s">
        <v>26</v>
      </c>
      <c r="Q898" t="s">
        <v>50</v>
      </c>
      <c r="R898">
        <v>0.13</v>
      </c>
      <c r="S898">
        <v>0.15</v>
      </c>
      <c r="T898" t="s">
        <v>3172</v>
      </c>
    </row>
    <row r="899" spans="1:20" x14ac:dyDescent="0.25">
      <c r="A899" s="1" t="str">
        <f>HYPERLINK("https://vegkart.atlas.vegvesen.no/#/@-27937.1,6743825.3,18/hva:hva%5B0%5D%5Bfilter%5D%5B0%5D%5Boperator%5D=%21%3D&amp;hva%5B0%5D%5Bfilter%5D%5B0%5D%5Btype_id%5D=9736&amp;hva%5B0%5D%5Bfilter%5D%5B0%5D%5Bverdi%5D=&amp;hva%5B0%5D%5Bid%5D=853/når:2014-09-01", "Vegkart")</f>
        <v>Vegkart</v>
      </c>
      <c r="B899">
        <v>578382557</v>
      </c>
      <c r="C899">
        <v>853</v>
      </c>
      <c r="D899" t="s">
        <v>2935</v>
      </c>
      <c r="E899">
        <v>9736</v>
      </c>
      <c r="F899" t="s">
        <v>23479</v>
      </c>
      <c r="G899">
        <v>1</v>
      </c>
      <c r="H899" t="s">
        <v>1009</v>
      </c>
      <c r="J899" t="s">
        <v>2964</v>
      </c>
      <c r="K899" t="s">
        <v>21</v>
      </c>
      <c r="L899" t="s">
        <v>33</v>
      </c>
      <c r="M899" t="s">
        <v>2968</v>
      </c>
      <c r="N899" t="s">
        <v>3173</v>
      </c>
      <c r="O899" t="s">
        <v>3174</v>
      </c>
      <c r="P899" s="2" t="s">
        <v>26</v>
      </c>
      <c r="Q899" t="s">
        <v>50</v>
      </c>
      <c r="R899">
        <v>0.12</v>
      </c>
      <c r="S899">
        <v>0.14000000000000001</v>
      </c>
      <c r="T899" t="s">
        <v>3175</v>
      </c>
    </row>
    <row r="900" spans="1:20" x14ac:dyDescent="0.25">
      <c r="A900" s="1" t="str">
        <f>HYPERLINK("https://vegkart.atlas.vegvesen.no/#/@-27937.1,6743825.3,18/hva:hva%5B0%5D%5Bfilter%5D%5B0%5D%5Boperator%5D=%21%3D&amp;hva%5B0%5D%5Bfilter%5D%5B0%5D%5Btype_id%5D=9736&amp;hva%5B0%5D%5Bfilter%5D%5B0%5D%5Bverdi%5D=&amp;hva%5B0%5D%5Bid%5D=853/når:2014-09-01", "Vegkart")</f>
        <v>Vegkart</v>
      </c>
      <c r="B900">
        <v>578382558</v>
      </c>
      <c r="C900">
        <v>853</v>
      </c>
      <c r="D900" t="s">
        <v>2935</v>
      </c>
      <c r="E900">
        <v>9736</v>
      </c>
      <c r="F900" t="s">
        <v>23479</v>
      </c>
      <c r="G900">
        <v>1</v>
      </c>
      <c r="H900" t="s">
        <v>1009</v>
      </c>
      <c r="J900" t="s">
        <v>2964</v>
      </c>
      <c r="K900" t="s">
        <v>21</v>
      </c>
      <c r="L900" t="s">
        <v>33</v>
      </c>
      <c r="M900" t="s">
        <v>2968</v>
      </c>
      <c r="N900" t="s">
        <v>3173</v>
      </c>
      <c r="O900" t="s">
        <v>3176</v>
      </c>
      <c r="P900" s="2" t="s">
        <v>26</v>
      </c>
      <c r="Q900" t="s">
        <v>50</v>
      </c>
      <c r="R900">
        <v>0.12</v>
      </c>
      <c r="S900">
        <v>0.15</v>
      </c>
      <c r="T900" t="s">
        <v>3177</v>
      </c>
    </row>
    <row r="901" spans="1:20" x14ac:dyDescent="0.25">
      <c r="A901" s="1" t="str">
        <f>HYPERLINK("https://vegkart.atlas.vegvesen.no/#/@-27937.1,6743825.4,18/hva:hva%5B0%5D%5Bfilter%5D%5B0%5D%5Boperator%5D=%21%3D&amp;hva%5B0%5D%5Bfilter%5D%5B0%5D%5Btype_id%5D=9736&amp;hva%5B0%5D%5Bfilter%5D%5B0%5D%5Bverdi%5D=&amp;hva%5B0%5D%5Bid%5D=853/når:2014-09-01", "Vegkart")</f>
        <v>Vegkart</v>
      </c>
      <c r="B901">
        <v>578382559</v>
      </c>
      <c r="C901">
        <v>853</v>
      </c>
      <c r="D901" t="s">
        <v>2935</v>
      </c>
      <c r="E901">
        <v>9736</v>
      </c>
      <c r="F901" t="s">
        <v>23479</v>
      </c>
      <c r="G901">
        <v>1</v>
      </c>
      <c r="H901" t="s">
        <v>1009</v>
      </c>
      <c r="J901" t="s">
        <v>2964</v>
      </c>
      <c r="K901" t="s">
        <v>21</v>
      </c>
      <c r="L901" t="s">
        <v>33</v>
      </c>
      <c r="M901" t="s">
        <v>2968</v>
      </c>
      <c r="N901" t="s">
        <v>3173</v>
      </c>
      <c r="O901" t="s">
        <v>3178</v>
      </c>
      <c r="P901" s="2" t="s">
        <v>26</v>
      </c>
      <c r="Q901" t="s">
        <v>50</v>
      </c>
      <c r="R901">
        <v>0.12</v>
      </c>
      <c r="S901">
        <v>0.14000000000000001</v>
      </c>
      <c r="T901" t="s">
        <v>3179</v>
      </c>
    </row>
    <row r="902" spans="1:20" x14ac:dyDescent="0.25">
      <c r="A902" s="1" t="str">
        <f>HYPERLINK("https://vegkart.atlas.vegvesen.no/#/@-27939.0,6743828.2,18/hva:hva%5B0%5D%5Bfilter%5D%5B0%5D%5Boperator%5D=%21%3D&amp;hva%5B0%5D%5Bfilter%5D%5B0%5D%5Btype_id%5D=9736&amp;hva%5B0%5D%5Bfilter%5D%5B0%5D%5Bverdi%5D=&amp;hva%5B0%5D%5Bid%5D=853/når:2014-09-01", "Vegkart")</f>
        <v>Vegkart</v>
      </c>
      <c r="B902">
        <v>578382560</v>
      </c>
      <c r="C902">
        <v>853</v>
      </c>
      <c r="D902" t="s">
        <v>2935</v>
      </c>
      <c r="E902">
        <v>9736</v>
      </c>
      <c r="F902" t="s">
        <v>23479</v>
      </c>
      <c r="G902">
        <v>1</v>
      </c>
      <c r="H902" t="s">
        <v>1009</v>
      </c>
      <c r="J902" t="s">
        <v>2964</v>
      </c>
      <c r="K902" t="s">
        <v>21</v>
      </c>
      <c r="L902" t="s">
        <v>33</v>
      </c>
      <c r="M902" t="s">
        <v>2968</v>
      </c>
      <c r="N902" t="s">
        <v>3180</v>
      </c>
      <c r="O902" t="s">
        <v>3181</v>
      </c>
      <c r="P902" s="2" t="s">
        <v>26</v>
      </c>
      <c r="Q902" t="s">
        <v>50</v>
      </c>
      <c r="R902">
        <v>0.13</v>
      </c>
      <c r="S902">
        <v>0.16</v>
      </c>
      <c r="T902" t="s">
        <v>3182</v>
      </c>
    </row>
    <row r="903" spans="1:20" x14ac:dyDescent="0.25">
      <c r="A903" s="1" t="str">
        <f>HYPERLINK("https://vegkart.atlas.vegvesen.no/#/@-27939.1,6743828.3,18/hva:hva%5B0%5D%5Bfilter%5D%5B0%5D%5Boperator%5D=%21%3D&amp;hva%5B0%5D%5Bfilter%5D%5B0%5D%5Btype_id%5D=9736&amp;hva%5B0%5D%5Bfilter%5D%5B0%5D%5Bverdi%5D=&amp;hva%5B0%5D%5Bid%5D=853/når:2014-09-01", "Vegkart")</f>
        <v>Vegkart</v>
      </c>
      <c r="B903">
        <v>578382561</v>
      </c>
      <c r="C903">
        <v>853</v>
      </c>
      <c r="D903" t="s">
        <v>2935</v>
      </c>
      <c r="E903">
        <v>9736</v>
      </c>
      <c r="F903" t="s">
        <v>23479</v>
      </c>
      <c r="G903">
        <v>1</v>
      </c>
      <c r="H903" t="s">
        <v>1009</v>
      </c>
      <c r="J903" t="s">
        <v>2964</v>
      </c>
      <c r="K903" t="s">
        <v>21</v>
      </c>
      <c r="L903" t="s">
        <v>33</v>
      </c>
      <c r="M903" t="s">
        <v>2968</v>
      </c>
      <c r="N903" t="s">
        <v>3180</v>
      </c>
      <c r="O903" t="s">
        <v>3183</v>
      </c>
      <c r="P903" s="2" t="s">
        <v>26</v>
      </c>
      <c r="Q903" t="s">
        <v>50</v>
      </c>
      <c r="R903">
        <v>0.13</v>
      </c>
      <c r="S903">
        <v>0.15</v>
      </c>
      <c r="T903" t="s">
        <v>3184</v>
      </c>
    </row>
    <row r="904" spans="1:20" x14ac:dyDescent="0.25">
      <c r="A904" s="1" t="str">
        <f>HYPERLINK("https://vegkart.atlas.vegvesen.no/#/@-27939.0,6743828.3,18/hva:hva%5B0%5D%5Bfilter%5D%5B0%5D%5Boperator%5D=%21%3D&amp;hva%5B0%5D%5Bfilter%5D%5B0%5D%5Btype_id%5D=9736&amp;hva%5B0%5D%5Bfilter%5D%5B0%5D%5Bverdi%5D=&amp;hva%5B0%5D%5Bid%5D=853/når:2014-09-01", "Vegkart")</f>
        <v>Vegkart</v>
      </c>
      <c r="B904">
        <v>578382562</v>
      </c>
      <c r="C904">
        <v>853</v>
      </c>
      <c r="D904" t="s">
        <v>2935</v>
      </c>
      <c r="E904">
        <v>9736</v>
      </c>
      <c r="F904" t="s">
        <v>23479</v>
      </c>
      <c r="G904">
        <v>1</v>
      </c>
      <c r="H904" t="s">
        <v>1009</v>
      </c>
      <c r="J904" t="s">
        <v>2964</v>
      </c>
      <c r="K904" t="s">
        <v>21</v>
      </c>
      <c r="L904" t="s">
        <v>33</v>
      </c>
      <c r="M904" t="s">
        <v>2968</v>
      </c>
      <c r="N904" t="s">
        <v>3180</v>
      </c>
      <c r="O904" t="s">
        <v>3185</v>
      </c>
      <c r="P904" s="2" t="s">
        <v>26</v>
      </c>
      <c r="Q904" t="s">
        <v>50</v>
      </c>
      <c r="R904">
        <v>0.13</v>
      </c>
      <c r="S904">
        <v>0.14000000000000001</v>
      </c>
      <c r="T904" t="s">
        <v>3186</v>
      </c>
    </row>
    <row r="905" spans="1:20" x14ac:dyDescent="0.25">
      <c r="A905" s="1" t="str">
        <f>HYPERLINK("https://vegkart.atlas.vegvesen.no/#/@-27884.3,6743864.2,18/hva:hva%5B0%5D%5Bfilter%5D%5B0%5D%5Boperator%5D=%21%3D&amp;hva%5B0%5D%5Bfilter%5D%5B0%5D%5Btype_id%5D=9736&amp;hva%5B0%5D%5Bfilter%5D%5B0%5D%5Bverdi%5D=&amp;hva%5B0%5D%5Bid%5D=853/når:2014-09-01", "Vegkart")</f>
        <v>Vegkart</v>
      </c>
      <c r="B905">
        <v>578382563</v>
      </c>
      <c r="C905">
        <v>853</v>
      </c>
      <c r="D905" t="s">
        <v>2935</v>
      </c>
      <c r="E905">
        <v>9736</v>
      </c>
      <c r="F905" t="s">
        <v>23479</v>
      </c>
      <c r="G905">
        <v>1</v>
      </c>
      <c r="H905" t="s">
        <v>1009</v>
      </c>
      <c r="J905" t="s">
        <v>2964</v>
      </c>
      <c r="K905" t="s">
        <v>21</v>
      </c>
      <c r="L905" t="s">
        <v>80</v>
      </c>
      <c r="M905" t="s">
        <v>81</v>
      </c>
      <c r="N905" t="s">
        <v>3187</v>
      </c>
      <c r="O905" t="s">
        <v>3188</v>
      </c>
      <c r="P905" s="2" t="s">
        <v>26</v>
      </c>
      <c r="Q905" t="s">
        <v>50</v>
      </c>
      <c r="R905">
        <v>0.13</v>
      </c>
      <c r="S905">
        <v>0.15</v>
      </c>
      <c r="T905" t="s">
        <v>3189</v>
      </c>
    </row>
    <row r="906" spans="1:20" x14ac:dyDescent="0.25">
      <c r="A906" s="1" t="str">
        <f>HYPERLINK("https://vegkart.atlas.vegvesen.no/#/@-27884.4,6743864.2,18/hva:hva%5B0%5D%5Bfilter%5D%5B0%5D%5Boperator%5D=%21%3D&amp;hva%5B0%5D%5Bfilter%5D%5B0%5D%5Btype_id%5D=9736&amp;hva%5B0%5D%5Bfilter%5D%5B0%5D%5Bverdi%5D=&amp;hva%5B0%5D%5Bid%5D=853/når:2014-09-01", "Vegkart")</f>
        <v>Vegkart</v>
      </c>
      <c r="B906">
        <v>578382564</v>
      </c>
      <c r="C906">
        <v>853</v>
      </c>
      <c r="D906" t="s">
        <v>2935</v>
      </c>
      <c r="E906">
        <v>9736</v>
      </c>
      <c r="F906" t="s">
        <v>23479</v>
      </c>
      <c r="G906">
        <v>1</v>
      </c>
      <c r="H906" t="s">
        <v>1009</v>
      </c>
      <c r="J906" t="s">
        <v>2964</v>
      </c>
      <c r="K906" t="s">
        <v>21</v>
      </c>
      <c r="L906" t="s">
        <v>80</v>
      </c>
      <c r="M906" t="s">
        <v>81</v>
      </c>
      <c r="N906" t="s">
        <v>3187</v>
      </c>
      <c r="O906" t="s">
        <v>3190</v>
      </c>
      <c r="P906" s="2" t="s">
        <v>26</v>
      </c>
      <c r="Q906" t="s">
        <v>50</v>
      </c>
      <c r="R906">
        <v>0.12</v>
      </c>
      <c r="S906">
        <v>0.14000000000000001</v>
      </c>
      <c r="T906" t="s">
        <v>3191</v>
      </c>
    </row>
    <row r="907" spans="1:20" x14ac:dyDescent="0.25">
      <c r="A907" s="1" t="str">
        <f>HYPERLINK("https://vegkart.atlas.vegvesen.no/#/@-27884.3,6743864.3,18/hva:hva%5B0%5D%5Bfilter%5D%5B0%5D%5Boperator%5D=%21%3D&amp;hva%5B0%5D%5Bfilter%5D%5B0%5D%5Btype_id%5D=9736&amp;hva%5B0%5D%5Bfilter%5D%5B0%5D%5Bverdi%5D=&amp;hva%5B0%5D%5Bid%5D=853/når:2014-09-01", "Vegkart")</f>
        <v>Vegkart</v>
      </c>
      <c r="B907">
        <v>578382565</v>
      </c>
      <c r="C907">
        <v>853</v>
      </c>
      <c r="D907" t="s">
        <v>2935</v>
      </c>
      <c r="E907">
        <v>9736</v>
      </c>
      <c r="F907" t="s">
        <v>23479</v>
      </c>
      <c r="G907">
        <v>1</v>
      </c>
      <c r="H907" t="s">
        <v>1009</v>
      </c>
      <c r="J907" t="s">
        <v>2964</v>
      </c>
      <c r="K907" t="s">
        <v>21</v>
      </c>
      <c r="L907" t="s">
        <v>80</v>
      </c>
      <c r="M907" t="s">
        <v>81</v>
      </c>
      <c r="N907" t="s">
        <v>3187</v>
      </c>
      <c r="O907" t="s">
        <v>3192</v>
      </c>
      <c r="P907" s="2" t="s">
        <v>26</v>
      </c>
      <c r="Q907" t="s">
        <v>50</v>
      </c>
      <c r="R907">
        <v>0.13</v>
      </c>
      <c r="S907">
        <v>0.15</v>
      </c>
      <c r="T907" t="s">
        <v>3193</v>
      </c>
    </row>
    <row r="908" spans="1:20" x14ac:dyDescent="0.25">
      <c r="A908" s="1" t="str">
        <f>HYPERLINK("https://vegkart.atlas.vegvesen.no/#/@-27884.3,6743864.2,18/hva:hva%5B0%5D%5Bfilter%5D%5B0%5D%5Boperator%5D=%21%3D&amp;hva%5B0%5D%5Bfilter%5D%5B0%5D%5Btype_id%5D=9736&amp;hva%5B0%5D%5Bfilter%5D%5B0%5D%5Bverdi%5D=&amp;hva%5B0%5D%5Bid%5D=853/når:2014-09-01", "Vegkart")</f>
        <v>Vegkart</v>
      </c>
      <c r="B908">
        <v>578382566</v>
      </c>
      <c r="C908">
        <v>853</v>
      </c>
      <c r="D908" t="s">
        <v>2935</v>
      </c>
      <c r="E908">
        <v>9736</v>
      </c>
      <c r="F908" t="s">
        <v>23479</v>
      </c>
      <c r="G908">
        <v>1</v>
      </c>
      <c r="H908" t="s">
        <v>1009</v>
      </c>
      <c r="J908" t="s">
        <v>2964</v>
      </c>
      <c r="K908" t="s">
        <v>21</v>
      </c>
      <c r="L908" t="s">
        <v>80</v>
      </c>
      <c r="M908" t="s">
        <v>81</v>
      </c>
      <c r="N908" t="s">
        <v>3187</v>
      </c>
      <c r="O908" t="s">
        <v>3188</v>
      </c>
      <c r="P908" s="2" t="s">
        <v>26</v>
      </c>
      <c r="Q908" t="s">
        <v>50</v>
      </c>
      <c r="R908">
        <v>0.13</v>
      </c>
      <c r="S908">
        <v>0.15</v>
      </c>
      <c r="T908" t="s">
        <v>3189</v>
      </c>
    </row>
    <row r="909" spans="1:20" x14ac:dyDescent="0.25">
      <c r="A909" s="1" t="str">
        <f>HYPERLINK("https://vegkart.atlas.vegvesen.no/#/@-27884.4,6743864.2,18/hva:hva%5B0%5D%5Bfilter%5D%5B0%5D%5Boperator%5D=%21%3D&amp;hva%5B0%5D%5Bfilter%5D%5B0%5D%5Btype_id%5D=9736&amp;hva%5B0%5D%5Bfilter%5D%5B0%5D%5Bverdi%5D=&amp;hva%5B0%5D%5Bid%5D=853/når:2014-09-01", "Vegkart")</f>
        <v>Vegkart</v>
      </c>
      <c r="B909">
        <v>578382567</v>
      </c>
      <c r="C909">
        <v>853</v>
      </c>
      <c r="D909" t="s">
        <v>2935</v>
      </c>
      <c r="E909">
        <v>9736</v>
      </c>
      <c r="F909" t="s">
        <v>23479</v>
      </c>
      <c r="G909">
        <v>1</v>
      </c>
      <c r="H909" t="s">
        <v>1009</v>
      </c>
      <c r="J909" t="s">
        <v>2964</v>
      </c>
      <c r="K909" t="s">
        <v>21</v>
      </c>
      <c r="L909" t="s">
        <v>80</v>
      </c>
      <c r="M909" t="s">
        <v>81</v>
      </c>
      <c r="N909" t="s">
        <v>3187</v>
      </c>
      <c r="O909" t="s">
        <v>3190</v>
      </c>
      <c r="P909" s="2" t="s">
        <v>26</v>
      </c>
      <c r="Q909" t="s">
        <v>50</v>
      </c>
      <c r="R909">
        <v>0.12</v>
      </c>
      <c r="S909">
        <v>0.14000000000000001</v>
      </c>
      <c r="T909" t="s">
        <v>3191</v>
      </c>
    </row>
    <row r="910" spans="1:20" x14ac:dyDescent="0.25">
      <c r="A910" s="1" t="str">
        <f>HYPERLINK("https://vegkart.atlas.vegvesen.no/#/@-27884.3,6743864.3,18/hva:hva%5B0%5D%5Bfilter%5D%5B0%5D%5Boperator%5D=%21%3D&amp;hva%5B0%5D%5Bfilter%5D%5B0%5D%5Btype_id%5D=9736&amp;hva%5B0%5D%5Bfilter%5D%5B0%5D%5Bverdi%5D=&amp;hva%5B0%5D%5Bid%5D=853/når:2014-09-01", "Vegkart")</f>
        <v>Vegkart</v>
      </c>
      <c r="B910">
        <v>578382568</v>
      </c>
      <c r="C910">
        <v>853</v>
      </c>
      <c r="D910" t="s">
        <v>2935</v>
      </c>
      <c r="E910">
        <v>9736</v>
      </c>
      <c r="F910" t="s">
        <v>23479</v>
      </c>
      <c r="G910">
        <v>1</v>
      </c>
      <c r="H910" t="s">
        <v>1009</v>
      </c>
      <c r="J910" t="s">
        <v>2964</v>
      </c>
      <c r="K910" t="s">
        <v>21</v>
      </c>
      <c r="L910" t="s">
        <v>80</v>
      </c>
      <c r="M910" t="s">
        <v>81</v>
      </c>
      <c r="N910" t="s">
        <v>3187</v>
      </c>
      <c r="O910" t="s">
        <v>3192</v>
      </c>
      <c r="P910" s="2" t="s">
        <v>26</v>
      </c>
      <c r="Q910" t="s">
        <v>50</v>
      </c>
      <c r="R910">
        <v>0.13</v>
      </c>
      <c r="S910">
        <v>0.15</v>
      </c>
      <c r="T910" t="s">
        <v>3193</v>
      </c>
    </row>
    <row r="911" spans="1:20" x14ac:dyDescent="0.25">
      <c r="A911" s="1" t="str">
        <f>HYPERLINK("https://vegkart.atlas.vegvesen.no/#/@-27825.2,6743898.2,18/hva:hva%5B0%5D%5Bfilter%5D%5B0%5D%5Boperator%5D=%21%3D&amp;hva%5B0%5D%5Bfilter%5D%5B0%5D%5Btype_id%5D=9736&amp;hva%5B0%5D%5Bfilter%5D%5B0%5D%5Bverdi%5D=&amp;hva%5B0%5D%5Bid%5D=853/når:2014-09-01", "Vegkart")</f>
        <v>Vegkart</v>
      </c>
      <c r="B911">
        <v>578382569</v>
      </c>
      <c r="C911">
        <v>853</v>
      </c>
      <c r="D911" t="s">
        <v>2935</v>
      </c>
      <c r="E911">
        <v>9736</v>
      </c>
      <c r="F911" t="s">
        <v>23479</v>
      </c>
      <c r="G911">
        <v>1</v>
      </c>
      <c r="H911" t="s">
        <v>1009</v>
      </c>
      <c r="J911" t="s">
        <v>2964</v>
      </c>
      <c r="K911" t="s">
        <v>21</v>
      </c>
      <c r="L911" t="s">
        <v>80</v>
      </c>
      <c r="M911" t="s">
        <v>81</v>
      </c>
      <c r="N911" t="s">
        <v>3194</v>
      </c>
      <c r="O911" t="s">
        <v>3195</v>
      </c>
      <c r="P911" s="2" t="s">
        <v>26</v>
      </c>
      <c r="Q911" t="s">
        <v>50</v>
      </c>
      <c r="R911">
        <v>0.12</v>
      </c>
      <c r="S911">
        <v>0.13</v>
      </c>
      <c r="T911" t="s">
        <v>3196</v>
      </c>
    </row>
    <row r="912" spans="1:20" x14ac:dyDescent="0.25">
      <c r="A912" s="1" t="str">
        <f>HYPERLINK("https://vegkart.atlas.vegvesen.no/#/@-27825.3,6743898.2,18/hva:hva%5B0%5D%5Bfilter%5D%5B0%5D%5Boperator%5D=%21%3D&amp;hva%5B0%5D%5Bfilter%5D%5B0%5D%5Btype_id%5D=9736&amp;hva%5B0%5D%5Bfilter%5D%5B0%5D%5Bverdi%5D=&amp;hva%5B0%5D%5Bid%5D=853/når:2014-09-01", "Vegkart")</f>
        <v>Vegkart</v>
      </c>
      <c r="B912">
        <v>578382570</v>
      </c>
      <c r="C912">
        <v>853</v>
      </c>
      <c r="D912" t="s">
        <v>2935</v>
      </c>
      <c r="E912">
        <v>9736</v>
      </c>
      <c r="F912" t="s">
        <v>23479</v>
      </c>
      <c r="G912">
        <v>1</v>
      </c>
      <c r="H912" t="s">
        <v>1009</v>
      </c>
      <c r="J912" t="s">
        <v>2964</v>
      </c>
      <c r="K912" t="s">
        <v>21</v>
      </c>
      <c r="L912" t="s">
        <v>80</v>
      </c>
      <c r="M912" t="s">
        <v>81</v>
      </c>
      <c r="N912" t="s">
        <v>3194</v>
      </c>
      <c r="O912" t="s">
        <v>3197</v>
      </c>
      <c r="P912" s="2" t="s">
        <v>26</v>
      </c>
      <c r="Q912" t="s">
        <v>50</v>
      </c>
      <c r="R912">
        <v>0.13</v>
      </c>
      <c r="S912">
        <v>0.16</v>
      </c>
      <c r="T912" t="s">
        <v>3198</v>
      </c>
    </row>
    <row r="913" spans="1:20" x14ac:dyDescent="0.25">
      <c r="A913" s="1" t="str">
        <f>HYPERLINK("https://vegkart.atlas.vegvesen.no/#/@-27825.2,6743898.3,18/hva:hva%5B0%5D%5Bfilter%5D%5B0%5D%5Boperator%5D=%21%3D&amp;hva%5B0%5D%5Bfilter%5D%5B0%5D%5Btype_id%5D=9736&amp;hva%5B0%5D%5Bfilter%5D%5B0%5D%5Bverdi%5D=&amp;hva%5B0%5D%5Bid%5D=853/når:2014-09-01", "Vegkart")</f>
        <v>Vegkart</v>
      </c>
      <c r="B913">
        <v>578382571</v>
      </c>
      <c r="C913">
        <v>853</v>
      </c>
      <c r="D913" t="s">
        <v>2935</v>
      </c>
      <c r="E913">
        <v>9736</v>
      </c>
      <c r="F913" t="s">
        <v>23479</v>
      </c>
      <c r="G913">
        <v>1</v>
      </c>
      <c r="H913" t="s">
        <v>1009</v>
      </c>
      <c r="J913" t="s">
        <v>2964</v>
      </c>
      <c r="K913" t="s">
        <v>21</v>
      </c>
      <c r="L913" t="s">
        <v>80</v>
      </c>
      <c r="M913" t="s">
        <v>81</v>
      </c>
      <c r="N913" t="s">
        <v>3194</v>
      </c>
      <c r="O913" t="s">
        <v>3199</v>
      </c>
      <c r="P913" s="2" t="s">
        <v>26</v>
      </c>
      <c r="Q913" t="s">
        <v>50</v>
      </c>
      <c r="R913">
        <v>0.13</v>
      </c>
      <c r="S913">
        <v>0.16</v>
      </c>
      <c r="T913" t="s">
        <v>3200</v>
      </c>
    </row>
    <row r="914" spans="1:20" x14ac:dyDescent="0.25">
      <c r="A914" s="1" t="str">
        <f>HYPERLINK("https://vegkart.atlas.vegvesen.no/#/@-27718.2,6744029.2,18/hva:hva%5B0%5D%5Bfilter%5D%5B0%5D%5Boperator%5D=%21%3D&amp;hva%5B0%5D%5Bfilter%5D%5B0%5D%5Btype_id%5D=9736&amp;hva%5B0%5D%5Bfilter%5D%5B0%5D%5Bverdi%5D=&amp;hva%5B0%5D%5Bid%5D=853/når:2014-09-01", "Vegkart")</f>
        <v>Vegkart</v>
      </c>
      <c r="B914">
        <v>578382572</v>
      </c>
      <c r="C914">
        <v>853</v>
      </c>
      <c r="D914" t="s">
        <v>2935</v>
      </c>
      <c r="E914">
        <v>9736</v>
      </c>
      <c r="F914" t="s">
        <v>23479</v>
      </c>
      <c r="G914">
        <v>1</v>
      </c>
      <c r="H914" t="s">
        <v>1009</v>
      </c>
      <c r="J914" t="s">
        <v>2964</v>
      </c>
      <c r="K914" t="s">
        <v>21</v>
      </c>
      <c r="L914" t="s">
        <v>80</v>
      </c>
      <c r="M914" t="s">
        <v>81</v>
      </c>
      <c r="N914" t="s">
        <v>3201</v>
      </c>
      <c r="O914" t="s">
        <v>3202</v>
      </c>
      <c r="P914" s="2" t="s">
        <v>26</v>
      </c>
      <c r="Q914" t="s">
        <v>50</v>
      </c>
      <c r="R914">
        <v>0.12</v>
      </c>
      <c r="S914">
        <v>0.14000000000000001</v>
      </c>
      <c r="T914" t="s">
        <v>3203</v>
      </c>
    </row>
    <row r="915" spans="1:20" x14ac:dyDescent="0.25">
      <c r="A915" s="1" t="str">
        <f>HYPERLINK("https://vegkart.atlas.vegvesen.no/#/@-27718.3,6744029.3,18/hva:hva%5B0%5D%5Bfilter%5D%5B0%5D%5Boperator%5D=%21%3D&amp;hva%5B0%5D%5Bfilter%5D%5B0%5D%5Btype_id%5D=9736&amp;hva%5B0%5D%5Bfilter%5D%5B0%5D%5Bverdi%5D=&amp;hva%5B0%5D%5Bid%5D=853/når:2014-09-01", "Vegkart")</f>
        <v>Vegkart</v>
      </c>
      <c r="B915">
        <v>578382573</v>
      </c>
      <c r="C915">
        <v>853</v>
      </c>
      <c r="D915" t="s">
        <v>2935</v>
      </c>
      <c r="E915">
        <v>9736</v>
      </c>
      <c r="F915" t="s">
        <v>23479</v>
      </c>
      <c r="G915">
        <v>1</v>
      </c>
      <c r="H915" t="s">
        <v>1009</v>
      </c>
      <c r="J915" t="s">
        <v>2964</v>
      </c>
      <c r="K915" t="s">
        <v>21</v>
      </c>
      <c r="L915" t="s">
        <v>80</v>
      </c>
      <c r="M915" t="s">
        <v>81</v>
      </c>
      <c r="N915" t="s">
        <v>3201</v>
      </c>
      <c r="O915" t="s">
        <v>3204</v>
      </c>
      <c r="P915" s="2" t="s">
        <v>26</v>
      </c>
      <c r="Q915" t="s">
        <v>50</v>
      </c>
      <c r="R915">
        <v>0.13</v>
      </c>
      <c r="S915">
        <v>0.16</v>
      </c>
      <c r="T915" t="s">
        <v>3205</v>
      </c>
    </row>
    <row r="916" spans="1:20" x14ac:dyDescent="0.25">
      <c r="A916" s="1" t="str">
        <f>HYPERLINK("https://vegkart.atlas.vegvesen.no/#/@-27718.2,6744029.3,18/hva:hva%5B0%5D%5Bfilter%5D%5B0%5D%5Boperator%5D=%21%3D&amp;hva%5B0%5D%5Bfilter%5D%5B0%5D%5Btype_id%5D=9736&amp;hva%5B0%5D%5Bfilter%5D%5B0%5D%5Bverdi%5D=&amp;hva%5B0%5D%5Bid%5D=853/når:2014-09-01", "Vegkart")</f>
        <v>Vegkart</v>
      </c>
      <c r="B916">
        <v>578382574</v>
      </c>
      <c r="C916">
        <v>853</v>
      </c>
      <c r="D916" t="s">
        <v>2935</v>
      </c>
      <c r="E916">
        <v>9736</v>
      </c>
      <c r="F916" t="s">
        <v>23479</v>
      </c>
      <c r="G916">
        <v>1</v>
      </c>
      <c r="H916" t="s">
        <v>1009</v>
      </c>
      <c r="J916" t="s">
        <v>2964</v>
      </c>
      <c r="K916" t="s">
        <v>21</v>
      </c>
      <c r="L916" t="s">
        <v>80</v>
      </c>
      <c r="M916" t="s">
        <v>81</v>
      </c>
      <c r="N916" t="s">
        <v>3206</v>
      </c>
      <c r="O916" t="s">
        <v>3207</v>
      </c>
      <c r="P916" s="2" t="s">
        <v>26</v>
      </c>
      <c r="Q916" t="s">
        <v>50</v>
      </c>
      <c r="R916">
        <v>0.13</v>
      </c>
      <c r="S916">
        <v>0.15</v>
      </c>
      <c r="T916" t="s">
        <v>3208</v>
      </c>
    </row>
    <row r="917" spans="1:20" x14ac:dyDescent="0.25">
      <c r="A917" s="1" t="str">
        <f>HYPERLINK("https://vegkart.atlas.vegvesen.no/#/@-27694.2,6744065.3,18/hva:hva%5B0%5D%5Bfilter%5D%5B0%5D%5Boperator%5D=%21%3D&amp;hva%5B0%5D%5Bfilter%5D%5B0%5D%5Btype_id%5D=9736&amp;hva%5B0%5D%5Bfilter%5D%5B0%5D%5Bverdi%5D=&amp;hva%5B0%5D%5Bid%5D=853/når:2014-09-01", "Vegkart")</f>
        <v>Vegkart</v>
      </c>
      <c r="B917">
        <v>578382575</v>
      </c>
      <c r="C917">
        <v>853</v>
      </c>
      <c r="D917" t="s">
        <v>2935</v>
      </c>
      <c r="E917">
        <v>9736</v>
      </c>
      <c r="F917" t="s">
        <v>23479</v>
      </c>
      <c r="G917">
        <v>1</v>
      </c>
      <c r="H917" t="s">
        <v>1009</v>
      </c>
      <c r="J917" t="s">
        <v>2964</v>
      </c>
      <c r="K917" t="s">
        <v>21</v>
      </c>
      <c r="L917" t="s">
        <v>80</v>
      </c>
      <c r="M917" t="s">
        <v>81</v>
      </c>
      <c r="N917" t="s">
        <v>3209</v>
      </c>
      <c r="O917" t="s">
        <v>3210</v>
      </c>
      <c r="P917" s="2" t="s">
        <v>26</v>
      </c>
      <c r="Q917" t="s">
        <v>50</v>
      </c>
      <c r="R917">
        <v>0.14000000000000001</v>
      </c>
      <c r="S917">
        <v>0.16</v>
      </c>
      <c r="T917" t="s">
        <v>3211</v>
      </c>
    </row>
    <row r="918" spans="1:20" x14ac:dyDescent="0.25">
      <c r="A918" s="1" t="str">
        <f>HYPERLINK("https://vegkart.atlas.vegvesen.no/#/@-27694.3,6744065.3,18/hva:hva%5B0%5D%5Bfilter%5D%5B0%5D%5Boperator%5D=%21%3D&amp;hva%5B0%5D%5Bfilter%5D%5B0%5D%5Btype_id%5D=9736&amp;hva%5B0%5D%5Bfilter%5D%5B0%5D%5Bverdi%5D=&amp;hva%5B0%5D%5Bid%5D=853/når:2014-09-01", "Vegkart")</f>
        <v>Vegkart</v>
      </c>
      <c r="B918">
        <v>578382576</v>
      </c>
      <c r="C918">
        <v>853</v>
      </c>
      <c r="D918" t="s">
        <v>2935</v>
      </c>
      <c r="E918">
        <v>9736</v>
      </c>
      <c r="F918" t="s">
        <v>23479</v>
      </c>
      <c r="G918">
        <v>1</v>
      </c>
      <c r="H918" t="s">
        <v>1009</v>
      </c>
      <c r="J918" t="s">
        <v>2964</v>
      </c>
      <c r="K918" t="s">
        <v>21</v>
      </c>
      <c r="L918" t="s">
        <v>80</v>
      </c>
      <c r="M918" t="s">
        <v>81</v>
      </c>
      <c r="N918" t="s">
        <v>3209</v>
      </c>
      <c r="O918" t="s">
        <v>3212</v>
      </c>
      <c r="P918" s="2" t="s">
        <v>26</v>
      </c>
      <c r="Q918" t="s">
        <v>50</v>
      </c>
      <c r="R918">
        <v>0.13</v>
      </c>
      <c r="S918">
        <v>0.14000000000000001</v>
      </c>
      <c r="T918" t="s">
        <v>3213</v>
      </c>
    </row>
    <row r="919" spans="1:20" x14ac:dyDescent="0.25">
      <c r="A919" s="1" t="str">
        <f>HYPERLINK("https://vegkart.atlas.vegvesen.no/#/@-27694.2,6744065.4,18/hva:hva%5B0%5D%5Bfilter%5D%5B0%5D%5Boperator%5D=%21%3D&amp;hva%5B0%5D%5Bfilter%5D%5B0%5D%5Btype_id%5D=9736&amp;hva%5B0%5D%5Bfilter%5D%5B0%5D%5Bverdi%5D=&amp;hva%5B0%5D%5Bid%5D=853/når:2014-09-01", "Vegkart")</f>
        <v>Vegkart</v>
      </c>
      <c r="B919">
        <v>578382577</v>
      </c>
      <c r="C919">
        <v>853</v>
      </c>
      <c r="D919" t="s">
        <v>2935</v>
      </c>
      <c r="E919">
        <v>9736</v>
      </c>
      <c r="F919" t="s">
        <v>23479</v>
      </c>
      <c r="G919">
        <v>1</v>
      </c>
      <c r="H919" t="s">
        <v>1009</v>
      </c>
      <c r="J919" t="s">
        <v>2964</v>
      </c>
      <c r="K919" t="s">
        <v>21</v>
      </c>
      <c r="L919" t="s">
        <v>80</v>
      </c>
      <c r="M919" t="s">
        <v>81</v>
      </c>
      <c r="N919" t="s">
        <v>3209</v>
      </c>
      <c r="O919" t="s">
        <v>3214</v>
      </c>
      <c r="P919" s="2" t="s">
        <v>26</v>
      </c>
      <c r="Q919" t="s">
        <v>50</v>
      </c>
      <c r="R919">
        <v>0.14000000000000001</v>
      </c>
      <c r="S919">
        <v>0.16</v>
      </c>
      <c r="T919" t="s">
        <v>3215</v>
      </c>
    </row>
    <row r="920" spans="1:20" x14ac:dyDescent="0.25">
      <c r="A920" s="1" t="str">
        <f>HYPERLINK("https://vegkart.atlas.vegvesen.no/#/@-27665.7,6744108.9,18/hva:hva%5B0%5D%5Bfilter%5D%5B0%5D%5Boperator%5D=%21%3D&amp;hva%5B0%5D%5Bfilter%5D%5B0%5D%5Btype_id%5D=9736&amp;hva%5B0%5D%5Bfilter%5D%5B0%5D%5Bverdi%5D=&amp;hva%5B0%5D%5Bid%5D=853/når:2014-09-01", "Vegkart")</f>
        <v>Vegkart</v>
      </c>
      <c r="B920">
        <v>578382578</v>
      </c>
      <c r="C920">
        <v>853</v>
      </c>
      <c r="D920" t="s">
        <v>2935</v>
      </c>
      <c r="E920">
        <v>9736</v>
      </c>
      <c r="F920" t="s">
        <v>23479</v>
      </c>
      <c r="G920">
        <v>1</v>
      </c>
      <c r="H920" t="s">
        <v>1009</v>
      </c>
      <c r="J920" t="s">
        <v>2964</v>
      </c>
      <c r="K920" t="s">
        <v>21</v>
      </c>
      <c r="L920" t="s">
        <v>80</v>
      </c>
      <c r="M920" t="s">
        <v>81</v>
      </c>
      <c r="N920" t="s">
        <v>3216</v>
      </c>
      <c r="O920" t="s">
        <v>3217</v>
      </c>
      <c r="P920" s="2" t="s">
        <v>26</v>
      </c>
      <c r="Q920" t="s">
        <v>50</v>
      </c>
      <c r="R920">
        <v>0.13</v>
      </c>
      <c r="S920">
        <v>0.15</v>
      </c>
      <c r="T920" t="s">
        <v>3218</v>
      </c>
    </row>
    <row r="921" spans="1:20" x14ac:dyDescent="0.25">
      <c r="A921" s="1" t="str">
        <f>HYPERLINK("https://vegkart.atlas.vegvesen.no/#/@-27665.8,6744108.9,18/hva:hva%5B0%5D%5Bfilter%5D%5B0%5D%5Boperator%5D=%21%3D&amp;hva%5B0%5D%5Bfilter%5D%5B0%5D%5Btype_id%5D=9736&amp;hva%5B0%5D%5Bfilter%5D%5B0%5D%5Bverdi%5D=&amp;hva%5B0%5D%5Bid%5D=853/når:2014-09-01", "Vegkart")</f>
        <v>Vegkart</v>
      </c>
      <c r="B921">
        <v>578382579</v>
      </c>
      <c r="C921">
        <v>853</v>
      </c>
      <c r="D921" t="s">
        <v>2935</v>
      </c>
      <c r="E921">
        <v>9736</v>
      </c>
      <c r="F921" t="s">
        <v>23479</v>
      </c>
      <c r="G921">
        <v>1</v>
      </c>
      <c r="H921" t="s">
        <v>1009</v>
      </c>
      <c r="J921" t="s">
        <v>2964</v>
      </c>
      <c r="K921" t="s">
        <v>21</v>
      </c>
      <c r="L921" t="s">
        <v>80</v>
      </c>
      <c r="M921" t="s">
        <v>81</v>
      </c>
      <c r="N921" t="s">
        <v>3216</v>
      </c>
      <c r="O921" t="s">
        <v>3219</v>
      </c>
      <c r="P921" s="2" t="s">
        <v>26</v>
      </c>
      <c r="Q921" t="s">
        <v>50</v>
      </c>
      <c r="R921">
        <v>0.13</v>
      </c>
      <c r="S921">
        <v>0.15</v>
      </c>
      <c r="T921" t="s">
        <v>3220</v>
      </c>
    </row>
    <row r="922" spans="1:20" x14ac:dyDescent="0.25">
      <c r="A922" s="1" t="str">
        <f>HYPERLINK("https://vegkart.atlas.vegvesen.no/#/@-27665.7,6744109.0,18/hva:hva%5B0%5D%5Bfilter%5D%5B0%5D%5Boperator%5D=%21%3D&amp;hva%5B0%5D%5Bfilter%5D%5B0%5D%5Btype_id%5D=9736&amp;hva%5B0%5D%5Bfilter%5D%5B0%5D%5Bverdi%5D=&amp;hva%5B0%5D%5Bid%5D=853/når:2014-09-01", "Vegkart")</f>
        <v>Vegkart</v>
      </c>
      <c r="B922">
        <v>578382580</v>
      </c>
      <c r="C922">
        <v>853</v>
      </c>
      <c r="D922" t="s">
        <v>2935</v>
      </c>
      <c r="E922">
        <v>9736</v>
      </c>
      <c r="F922" t="s">
        <v>23479</v>
      </c>
      <c r="G922">
        <v>1</v>
      </c>
      <c r="H922" t="s">
        <v>1009</v>
      </c>
      <c r="J922" t="s">
        <v>2964</v>
      </c>
      <c r="K922" t="s">
        <v>21</v>
      </c>
      <c r="L922" t="s">
        <v>80</v>
      </c>
      <c r="M922" t="s">
        <v>81</v>
      </c>
      <c r="N922" t="s">
        <v>3216</v>
      </c>
      <c r="O922" t="s">
        <v>3221</v>
      </c>
      <c r="P922" s="2" t="s">
        <v>26</v>
      </c>
      <c r="Q922" t="s">
        <v>50</v>
      </c>
      <c r="R922">
        <v>0.14000000000000001</v>
      </c>
      <c r="S922">
        <v>0.16</v>
      </c>
      <c r="T922" t="s">
        <v>3222</v>
      </c>
    </row>
    <row r="923" spans="1:20" x14ac:dyDescent="0.25">
      <c r="A923" s="1" t="str">
        <f>HYPERLINK("https://vegkart.atlas.vegvesen.no/#/@-28853.9,6743487.5,18/hva:hva%5B0%5D%5Bfilter%5D%5B0%5D%5Boperator%5D=%21%3D&amp;hva%5B0%5D%5Bfilter%5D%5B0%5D%5Btype_id%5D=9736&amp;hva%5B0%5D%5Bfilter%5D%5B0%5D%5Bverdi%5D=&amp;hva%5B0%5D%5Bid%5D=853/når:2014-09-01", "Vegkart")</f>
        <v>Vegkart</v>
      </c>
      <c r="B923">
        <v>578382581</v>
      </c>
      <c r="C923">
        <v>853</v>
      </c>
      <c r="D923" t="s">
        <v>2935</v>
      </c>
      <c r="E923">
        <v>9736</v>
      </c>
      <c r="F923" t="s">
        <v>23479</v>
      </c>
      <c r="G923">
        <v>1</v>
      </c>
      <c r="H923" t="s">
        <v>1009</v>
      </c>
      <c r="J923" t="s">
        <v>2964</v>
      </c>
      <c r="K923" t="s">
        <v>21</v>
      </c>
      <c r="L923" t="s">
        <v>80</v>
      </c>
      <c r="M923" t="s">
        <v>81</v>
      </c>
      <c r="N923" t="s">
        <v>3223</v>
      </c>
      <c r="O923" t="s">
        <v>3224</v>
      </c>
      <c r="P923" s="2" t="s">
        <v>26</v>
      </c>
      <c r="Q923" t="s">
        <v>50</v>
      </c>
      <c r="R923">
        <v>0.13</v>
      </c>
      <c r="S923">
        <v>0.14000000000000001</v>
      </c>
      <c r="T923" t="s">
        <v>3225</v>
      </c>
    </row>
    <row r="924" spans="1:20" x14ac:dyDescent="0.25">
      <c r="A924" s="1" t="str">
        <f>HYPERLINK("https://vegkart.atlas.vegvesen.no/#/@-28853.9,6743487.5,18/hva:hva%5B0%5D%5Bfilter%5D%5B0%5D%5Boperator%5D=%21%3D&amp;hva%5B0%5D%5Bfilter%5D%5B0%5D%5Btype_id%5D=9736&amp;hva%5B0%5D%5Bfilter%5D%5B0%5D%5Bverdi%5D=&amp;hva%5B0%5D%5Bid%5D=853/når:2014-09-01", "Vegkart")</f>
        <v>Vegkart</v>
      </c>
      <c r="B924">
        <v>578382582</v>
      </c>
      <c r="C924">
        <v>853</v>
      </c>
      <c r="D924" t="s">
        <v>2935</v>
      </c>
      <c r="E924">
        <v>9736</v>
      </c>
      <c r="F924" t="s">
        <v>23479</v>
      </c>
      <c r="G924">
        <v>1</v>
      </c>
      <c r="H924" t="s">
        <v>1009</v>
      </c>
      <c r="J924" t="s">
        <v>2964</v>
      </c>
      <c r="K924" t="s">
        <v>21</v>
      </c>
      <c r="L924" t="s">
        <v>80</v>
      </c>
      <c r="M924" t="s">
        <v>81</v>
      </c>
      <c r="N924" t="s">
        <v>3223</v>
      </c>
      <c r="O924" t="s">
        <v>3226</v>
      </c>
      <c r="P924" s="2" t="s">
        <v>26</v>
      </c>
      <c r="Q924" t="s">
        <v>50</v>
      </c>
      <c r="R924">
        <v>0.13</v>
      </c>
      <c r="S924">
        <v>0.15</v>
      </c>
      <c r="T924" t="s">
        <v>3227</v>
      </c>
    </row>
    <row r="925" spans="1:20" x14ac:dyDescent="0.25">
      <c r="A925" s="1" t="str">
        <f>HYPERLINK("https://vegkart.atlas.vegvesen.no/#/@-28853.8,6743487.6,18/hva:hva%5B0%5D%5Bfilter%5D%5B0%5D%5Boperator%5D=%21%3D&amp;hva%5B0%5D%5Bfilter%5D%5B0%5D%5Btype_id%5D=9736&amp;hva%5B0%5D%5Bfilter%5D%5B0%5D%5Bverdi%5D=&amp;hva%5B0%5D%5Bid%5D=853/når:2014-09-01", "Vegkart")</f>
        <v>Vegkart</v>
      </c>
      <c r="B925">
        <v>578382583</v>
      </c>
      <c r="C925">
        <v>853</v>
      </c>
      <c r="D925" t="s">
        <v>2935</v>
      </c>
      <c r="E925">
        <v>9736</v>
      </c>
      <c r="F925" t="s">
        <v>23479</v>
      </c>
      <c r="G925">
        <v>1</v>
      </c>
      <c r="H925" t="s">
        <v>1009</v>
      </c>
      <c r="J925" t="s">
        <v>2964</v>
      </c>
      <c r="K925" t="s">
        <v>21</v>
      </c>
      <c r="L925" t="s">
        <v>80</v>
      </c>
      <c r="M925" t="s">
        <v>81</v>
      </c>
      <c r="N925" t="s">
        <v>3223</v>
      </c>
      <c r="O925" t="s">
        <v>3228</v>
      </c>
      <c r="P925" s="2" t="s">
        <v>26</v>
      </c>
      <c r="Q925" t="s">
        <v>50</v>
      </c>
      <c r="R925">
        <v>0.14000000000000001</v>
      </c>
      <c r="S925">
        <v>0.17</v>
      </c>
      <c r="T925" t="s">
        <v>3229</v>
      </c>
    </row>
    <row r="926" spans="1:20" x14ac:dyDescent="0.25">
      <c r="A926" s="1" t="str">
        <f>HYPERLINK("https://vegkart.atlas.vegvesen.no/#/@-29304.1,6743461.0,18/hva:hva%5B0%5D%5Bfilter%5D%5B0%5D%5Boperator%5D=%21%3D&amp;hva%5B0%5D%5Bfilter%5D%5B0%5D%5Btype_id%5D=9736&amp;hva%5B0%5D%5Bfilter%5D%5B0%5D%5Bverdi%5D=&amp;hva%5B0%5D%5Bid%5D=853/når:2014-09-01", "Vegkart")</f>
        <v>Vegkart</v>
      </c>
      <c r="B926">
        <v>578382584</v>
      </c>
      <c r="C926">
        <v>853</v>
      </c>
      <c r="D926" t="s">
        <v>2935</v>
      </c>
      <c r="E926">
        <v>9736</v>
      </c>
      <c r="F926" t="s">
        <v>23479</v>
      </c>
      <c r="G926">
        <v>1</v>
      </c>
      <c r="H926" t="s">
        <v>1009</v>
      </c>
      <c r="J926" t="s">
        <v>2964</v>
      </c>
      <c r="K926" t="s">
        <v>21</v>
      </c>
      <c r="L926" t="s">
        <v>80</v>
      </c>
      <c r="M926" t="s">
        <v>81</v>
      </c>
      <c r="N926" t="s">
        <v>3230</v>
      </c>
      <c r="O926" t="s">
        <v>3231</v>
      </c>
      <c r="P926" s="2" t="s">
        <v>26</v>
      </c>
      <c r="Q926" t="s">
        <v>50</v>
      </c>
      <c r="R926">
        <v>0.13</v>
      </c>
      <c r="S926">
        <v>0.15</v>
      </c>
      <c r="T926" t="s">
        <v>3232</v>
      </c>
    </row>
    <row r="927" spans="1:20" x14ac:dyDescent="0.25">
      <c r="A927" s="1" t="str">
        <f>HYPERLINK("https://vegkart.atlas.vegvesen.no/#/@-29304.2,6743461.1,18/hva:hva%5B0%5D%5Bfilter%5D%5B0%5D%5Boperator%5D=%21%3D&amp;hva%5B0%5D%5Bfilter%5D%5B0%5D%5Btype_id%5D=9736&amp;hva%5B0%5D%5Bfilter%5D%5B0%5D%5Bverdi%5D=&amp;hva%5B0%5D%5Bid%5D=853/når:2022-05-09", "Vegkart")</f>
        <v>Vegkart</v>
      </c>
      <c r="B927">
        <v>578382585</v>
      </c>
      <c r="C927">
        <v>853</v>
      </c>
      <c r="D927" t="s">
        <v>2935</v>
      </c>
      <c r="E927">
        <v>9736</v>
      </c>
      <c r="F927" t="s">
        <v>23479</v>
      </c>
      <c r="G927">
        <v>2</v>
      </c>
      <c r="H927" t="s">
        <v>2984</v>
      </c>
      <c r="J927" t="s">
        <v>2964</v>
      </c>
      <c r="K927" t="s">
        <v>21</v>
      </c>
      <c r="L927" t="s">
        <v>80</v>
      </c>
      <c r="M927" t="s">
        <v>81</v>
      </c>
      <c r="N927" t="s">
        <v>3230</v>
      </c>
      <c r="O927" t="s">
        <v>3233</v>
      </c>
      <c r="P927" s="2" t="s">
        <v>26</v>
      </c>
      <c r="Q927" t="s">
        <v>50</v>
      </c>
      <c r="R927">
        <v>0.13</v>
      </c>
      <c r="S927">
        <v>0.16</v>
      </c>
      <c r="T927" t="s">
        <v>3234</v>
      </c>
    </row>
    <row r="928" spans="1:20" x14ac:dyDescent="0.25">
      <c r="A928" s="1" t="str">
        <f>HYPERLINK("https://vegkart.atlas.vegvesen.no/#/@-29304.1,6743461.1,18/hva:hva%5B0%5D%5Bfilter%5D%5B0%5D%5Boperator%5D=%21%3D&amp;hva%5B0%5D%5Bfilter%5D%5B0%5D%5Btype_id%5D=9736&amp;hva%5B0%5D%5Bfilter%5D%5B0%5D%5Bverdi%5D=&amp;hva%5B0%5D%5Bid%5D=853/når:2014-09-01", "Vegkart")</f>
        <v>Vegkart</v>
      </c>
      <c r="B928">
        <v>578382586</v>
      </c>
      <c r="C928">
        <v>853</v>
      </c>
      <c r="D928" t="s">
        <v>2935</v>
      </c>
      <c r="E928">
        <v>9736</v>
      </c>
      <c r="F928" t="s">
        <v>23479</v>
      </c>
      <c r="G928">
        <v>1</v>
      </c>
      <c r="H928" t="s">
        <v>1009</v>
      </c>
      <c r="J928" t="s">
        <v>2964</v>
      </c>
      <c r="K928" t="s">
        <v>21</v>
      </c>
      <c r="L928" t="s">
        <v>80</v>
      </c>
      <c r="M928" t="s">
        <v>81</v>
      </c>
      <c r="N928" t="s">
        <v>3230</v>
      </c>
      <c r="O928" t="s">
        <v>3235</v>
      </c>
      <c r="P928" s="2" t="s">
        <v>26</v>
      </c>
      <c r="Q928" t="s">
        <v>50</v>
      </c>
      <c r="R928">
        <v>0.12</v>
      </c>
      <c r="S928">
        <v>0.14000000000000001</v>
      </c>
      <c r="T928" t="s">
        <v>3236</v>
      </c>
    </row>
    <row r="929" spans="1:20" x14ac:dyDescent="0.25">
      <c r="A929" s="1" t="str">
        <f>HYPERLINK("https://vegkart.atlas.vegvesen.no/#/@-29312.3,6743458.1,18/hva:hva%5B0%5D%5Bfilter%5D%5B0%5D%5Boperator%5D=%21%3D&amp;hva%5B0%5D%5Bfilter%5D%5B0%5D%5Btype_id%5D=9736&amp;hva%5B0%5D%5Bfilter%5D%5B0%5D%5Bverdi%5D=&amp;hva%5B0%5D%5Bid%5D=853/når:2014-09-01", "Vegkart")</f>
        <v>Vegkart</v>
      </c>
      <c r="B929">
        <v>578382587</v>
      </c>
      <c r="C929">
        <v>853</v>
      </c>
      <c r="D929" t="s">
        <v>2935</v>
      </c>
      <c r="E929">
        <v>9736</v>
      </c>
      <c r="F929" t="s">
        <v>23479</v>
      </c>
      <c r="G929">
        <v>1</v>
      </c>
      <c r="H929" t="s">
        <v>1009</v>
      </c>
      <c r="J929" t="s">
        <v>2964</v>
      </c>
      <c r="K929" t="s">
        <v>21</v>
      </c>
      <c r="L929" t="s">
        <v>80</v>
      </c>
      <c r="M929" t="s">
        <v>81</v>
      </c>
      <c r="N929" t="s">
        <v>3237</v>
      </c>
      <c r="O929" t="s">
        <v>3238</v>
      </c>
      <c r="P929" s="2" t="s">
        <v>26</v>
      </c>
      <c r="Q929" t="s">
        <v>50</v>
      </c>
      <c r="R929">
        <v>0.13</v>
      </c>
      <c r="S929">
        <v>0.16</v>
      </c>
      <c r="T929" t="s">
        <v>3239</v>
      </c>
    </row>
    <row r="930" spans="1:20" x14ac:dyDescent="0.25">
      <c r="A930" s="1" t="str">
        <f>HYPERLINK("https://vegkart.atlas.vegvesen.no/#/@-29312.4,6743458.2,18/hva:hva%5B0%5D%5Bfilter%5D%5B0%5D%5Boperator%5D=%21%3D&amp;hva%5B0%5D%5Bfilter%5D%5B0%5D%5Btype_id%5D=9736&amp;hva%5B0%5D%5Bfilter%5D%5B0%5D%5Bverdi%5D=&amp;hva%5B0%5D%5Bid%5D=853/når:2014-09-01", "Vegkart")</f>
        <v>Vegkart</v>
      </c>
      <c r="B930">
        <v>578382588</v>
      </c>
      <c r="C930">
        <v>853</v>
      </c>
      <c r="D930" t="s">
        <v>2935</v>
      </c>
      <c r="E930">
        <v>9736</v>
      </c>
      <c r="F930" t="s">
        <v>23479</v>
      </c>
      <c r="G930">
        <v>1</v>
      </c>
      <c r="H930" t="s">
        <v>1009</v>
      </c>
      <c r="J930" t="s">
        <v>2964</v>
      </c>
      <c r="K930" t="s">
        <v>21</v>
      </c>
      <c r="L930" t="s">
        <v>80</v>
      </c>
      <c r="M930" t="s">
        <v>81</v>
      </c>
      <c r="N930" t="s">
        <v>3237</v>
      </c>
      <c r="O930" t="s">
        <v>3240</v>
      </c>
      <c r="P930" s="2" t="s">
        <v>26</v>
      </c>
      <c r="Q930" t="s">
        <v>50</v>
      </c>
      <c r="R930">
        <v>0.13</v>
      </c>
      <c r="S930">
        <v>0.15</v>
      </c>
      <c r="T930" t="s">
        <v>3241</v>
      </c>
    </row>
    <row r="931" spans="1:20" x14ac:dyDescent="0.25">
      <c r="A931" s="1" t="str">
        <f>HYPERLINK("https://vegkart.atlas.vegvesen.no/#/@-29312.3,6743458.2,18/hva:hva%5B0%5D%5Bfilter%5D%5B0%5D%5Boperator%5D=%21%3D&amp;hva%5B0%5D%5Bfilter%5D%5B0%5D%5Btype_id%5D=9736&amp;hva%5B0%5D%5Bfilter%5D%5B0%5D%5Bverdi%5D=&amp;hva%5B0%5D%5Bid%5D=853/når:2014-09-01", "Vegkart")</f>
        <v>Vegkart</v>
      </c>
      <c r="B931">
        <v>578382589</v>
      </c>
      <c r="C931">
        <v>853</v>
      </c>
      <c r="D931" t="s">
        <v>2935</v>
      </c>
      <c r="E931">
        <v>9736</v>
      </c>
      <c r="F931" t="s">
        <v>23479</v>
      </c>
      <c r="G931">
        <v>1</v>
      </c>
      <c r="H931" t="s">
        <v>1009</v>
      </c>
      <c r="J931" t="s">
        <v>2964</v>
      </c>
      <c r="K931" t="s">
        <v>21</v>
      </c>
      <c r="L931" t="s">
        <v>80</v>
      </c>
      <c r="M931" t="s">
        <v>81</v>
      </c>
      <c r="N931" t="s">
        <v>3237</v>
      </c>
      <c r="O931" t="s">
        <v>3242</v>
      </c>
      <c r="P931" s="2" t="s">
        <v>26</v>
      </c>
      <c r="Q931" t="s">
        <v>50</v>
      </c>
      <c r="R931">
        <v>0.13</v>
      </c>
      <c r="S931">
        <v>0.14000000000000001</v>
      </c>
      <c r="T931" t="s">
        <v>3243</v>
      </c>
    </row>
    <row r="932" spans="1:20" x14ac:dyDescent="0.25">
      <c r="A932" s="1" t="str">
        <f>HYPERLINK("https://vegkart.atlas.vegvesen.no/#/@-29307.6,6743454.8,18/hva:hva%5B0%5D%5Bfilter%5D%5B0%5D%5Boperator%5D=%21%3D&amp;hva%5B0%5D%5Bfilter%5D%5B0%5D%5Btype_id%5D=9736&amp;hva%5B0%5D%5Bfilter%5D%5B0%5D%5Bverdi%5D=&amp;hva%5B0%5D%5Bid%5D=853/når:2014-09-01", "Vegkart")</f>
        <v>Vegkart</v>
      </c>
      <c r="B932">
        <v>578382590</v>
      </c>
      <c r="C932">
        <v>853</v>
      </c>
      <c r="D932" t="s">
        <v>2935</v>
      </c>
      <c r="E932">
        <v>9736</v>
      </c>
      <c r="F932" t="s">
        <v>23479</v>
      </c>
      <c r="G932">
        <v>1</v>
      </c>
      <c r="H932" t="s">
        <v>1009</v>
      </c>
      <c r="J932" t="s">
        <v>2964</v>
      </c>
      <c r="K932" t="s">
        <v>21</v>
      </c>
      <c r="L932" t="s">
        <v>80</v>
      </c>
      <c r="M932" t="s">
        <v>81</v>
      </c>
      <c r="N932" t="s">
        <v>3230</v>
      </c>
      <c r="O932" t="s">
        <v>3244</v>
      </c>
      <c r="P932" s="2" t="s">
        <v>26</v>
      </c>
      <c r="Q932" t="s">
        <v>50</v>
      </c>
      <c r="R932">
        <v>0.13</v>
      </c>
      <c r="S932">
        <v>0.15</v>
      </c>
      <c r="T932" t="s">
        <v>3245</v>
      </c>
    </row>
    <row r="933" spans="1:20" x14ac:dyDescent="0.25">
      <c r="A933" s="1" t="str">
        <f>HYPERLINK("https://vegkart.atlas.vegvesen.no/#/@-29307.6,6743454.8,18/hva:hva%5B0%5D%5Bfilter%5D%5B0%5D%5Boperator%5D=%21%3D&amp;hva%5B0%5D%5Bfilter%5D%5B0%5D%5Btype_id%5D=9736&amp;hva%5B0%5D%5Bfilter%5D%5B0%5D%5Bverdi%5D=&amp;hva%5B0%5D%5Bid%5D=853/når:2014-09-01", "Vegkart")</f>
        <v>Vegkart</v>
      </c>
      <c r="B933">
        <v>578382591</v>
      </c>
      <c r="C933">
        <v>853</v>
      </c>
      <c r="D933" t="s">
        <v>2935</v>
      </c>
      <c r="E933">
        <v>9736</v>
      </c>
      <c r="F933" t="s">
        <v>23479</v>
      </c>
      <c r="G933">
        <v>1</v>
      </c>
      <c r="H933" t="s">
        <v>1009</v>
      </c>
      <c r="J933" t="s">
        <v>2964</v>
      </c>
      <c r="K933" t="s">
        <v>21</v>
      </c>
      <c r="L933" t="s">
        <v>80</v>
      </c>
      <c r="M933" t="s">
        <v>81</v>
      </c>
      <c r="N933" t="s">
        <v>3230</v>
      </c>
      <c r="O933" t="s">
        <v>3246</v>
      </c>
      <c r="P933" s="2" t="s">
        <v>26</v>
      </c>
      <c r="Q933" t="s">
        <v>50</v>
      </c>
      <c r="R933">
        <v>0.12</v>
      </c>
      <c r="S933">
        <v>0.14000000000000001</v>
      </c>
      <c r="T933" t="s">
        <v>3247</v>
      </c>
    </row>
    <row r="934" spans="1:20" x14ac:dyDescent="0.25">
      <c r="A934" s="1" t="str">
        <f>HYPERLINK("https://vegkart.atlas.vegvesen.no/#/@-29307.5,6743454.8,18/hva:hva%5B0%5D%5Bfilter%5D%5B0%5D%5Boperator%5D=%21%3D&amp;hva%5B0%5D%5Bfilter%5D%5B0%5D%5Btype_id%5D=9736&amp;hva%5B0%5D%5Bfilter%5D%5B0%5D%5Bverdi%5D=&amp;hva%5B0%5D%5Bid%5D=853/når:2014-09-01", "Vegkart")</f>
        <v>Vegkart</v>
      </c>
      <c r="B934">
        <v>578382592</v>
      </c>
      <c r="C934">
        <v>853</v>
      </c>
      <c r="D934" t="s">
        <v>2935</v>
      </c>
      <c r="E934">
        <v>9736</v>
      </c>
      <c r="F934" t="s">
        <v>23479</v>
      </c>
      <c r="G934">
        <v>1</v>
      </c>
      <c r="H934" t="s">
        <v>1009</v>
      </c>
      <c r="J934" t="s">
        <v>2964</v>
      </c>
      <c r="K934" t="s">
        <v>21</v>
      </c>
      <c r="L934" t="s">
        <v>80</v>
      </c>
      <c r="M934" t="s">
        <v>81</v>
      </c>
      <c r="N934" t="s">
        <v>3230</v>
      </c>
      <c r="O934" t="s">
        <v>3248</v>
      </c>
      <c r="P934" s="2" t="s">
        <v>26</v>
      </c>
      <c r="Q934" t="s">
        <v>50</v>
      </c>
      <c r="R934">
        <v>0.13</v>
      </c>
      <c r="S934">
        <v>0.15</v>
      </c>
      <c r="T934" t="s">
        <v>3249</v>
      </c>
    </row>
    <row r="935" spans="1:20" x14ac:dyDescent="0.25">
      <c r="A935" s="1" t="str">
        <f>HYPERLINK("https://vegkart.atlas.vegvesen.no/#/@-28183.1,6743668.2,18/hva:hva%5B0%5D%5Bfilter%5D%5B0%5D%5Boperator%5D=%21%3D&amp;hva%5B0%5D%5Bfilter%5D%5B0%5D%5Btype_id%5D=9736&amp;hva%5B0%5D%5Bfilter%5D%5B0%5D%5Bverdi%5D=&amp;hva%5B0%5D%5Bid%5D=853/når:2014-09-01", "Vegkart")</f>
        <v>Vegkart</v>
      </c>
      <c r="B935">
        <v>578382593</v>
      </c>
      <c r="C935">
        <v>853</v>
      </c>
      <c r="D935" t="s">
        <v>2935</v>
      </c>
      <c r="E935">
        <v>9736</v>
      </c>
      <c r="F935" t="s">
        <v>23479</v>
      </c>
      <c r="G935">
        <v>1</v>
      </c>
      <c r="H935" t="s">
        <v>1009</v>
      </c>
      <c r="J935" t="s">
        <v>2964</v>
      </c>
      <c r="K935" t="s">
        <v>21</v>
      </c>
      <c r="L935" t="s">
        <v>80</v>
      </c>
      <c r="M935" t="s">
        <v>81</v>
      </c>
      <c r="N935" t="s">
        <v>3250</v>
      </c>
      <c r="O935" t="s">
        <v>3251</v>
      </c>
      <c r="P935" s="2" t="s">
        <v>26</v>
      </c>
      <c r="Q935" t="s">
        <v>50</v>
      </c>
      <c r="R935">
        <v>0.12</v>
      </c>
      <c r="S935">
        <v>0.13</v>
      </c>
      <c r="T935" t="s">
        <v>3252</v>
      </c>
    </row>
    <row r="936" spans="1:20" x14ac:dyDescent="0.25">
      <c r="A936" s="1" t="str">
        <f>HYPERLINK("https://vegkart.atlas.vegvesen.no/#/@-28183.1,6743668.3,18/hva:hva%5B0%5D%5Bfilter%5D%5B0%5D%5Boperator%5D=%21%3D&amp;hva%5B0%5D%5Bfilter%5D%5B0%5D%5Btype_id%5D=9736&amp;hva%5B0%5D%5Bfilter%5D%5B0%5D%5Bverdi%5D=&amp;hva%5B0%5D%5Bid%5D=853/når:2014-09-01", "Vegkart")</f>
        <v>Vegkart</v>
      </c>
      <c r="B936">
        <v>578382594</v>
      </c>
      <c r="C936">
        <v>853</v>
      </c>
      <c r="D936" t="s">
        <v>2935</v>
      </c>
      <c r="E936">
        <v>9736</v>
      </c>
      <c r="F936" t="s">
        <v>23479</v>
      </c>
      <c r="G936">
        <v>1</v>
      </c>
      <c r="H936" t="s">
        <v>1009</v>
      </c>
      <c r="J936" t="s">
        <v>2964</v>
      </c>
      <c r="K936" t="s">
        <v>21</v>
      </c>
      <c r="L936" t="s">
        <v>80</v>
      </c>
      <c r="M936" t="s">
        <v>81</v>
      </c>
      <c r="N936" t="s">
        <v>3250</v>
      </c>
      <c r="O936" t="s">
        <v>3253</v>
      </c>
      <c r="P936" s="2" t="s">
        <v>26</v>
      </c>
      <c r="Q936" t="s">
        <v>50</v>
      </c>
      <c r="R936">
        <v>0.12</v>
      </c>
      <c r="S936">
        <v>0.15</v>
      </c>
      <c r="T936" t="s">
        <v>3254</v>
      </c>
    </row>
    <row r="937" spans="1:20" x14ac:dyDescent="0.25">
      <c r="A937" s="1" t="str">
        <f>HYPERLINK("https://vegkart.atlas.vegvesen.no/#/@-28183.0,6743668.3,18/hva:hva%5B0%5D%5Bfilter%5D%5B0%5D%5Boperator%5D=%21%3D&amp;hva%5B0%5D%5Bfilter%5D%5B0%5D%5Btype_id%5D=9736&amp;hva%5B0%5D%5Bfilter%5D%5B0%5D%5Bverdi%5D=&amp;hva%5B0%5D%5Bid%5D=853/når:2014-09-01", "Vegkart")</f>
        <v>Vegkart</v>
      </c>
      <c r="B937">
        <v>578382595</v>
      </c>
      <c r="C937">
        <v>853</v>
      </c>
      <c r="D937" t="s">
        <v>2935</v>
      </c>
      <c r="E937">
        <v>9736</v>
      </c>
      <c r="F937" t="s">
        <v>23479</v>
      </c>
      <c r="G937">
        <v>1</v>
      </c>
      <c r="H937" t="s">
        <v>1009</v>
      </c>
      <c r="J937" t="s">
        <v>2964</v>
      </c>
      <c r="K937" t="s">
        <v>21</v>
      </c>
      <c r="L937" t="s">
        <v>80</v>
      </c>
      <c r="M937" t="s">
        <v>81</v>
      </c>
      <c r="N937" t="s">
        <v>3250</v>
      </c>
      <c r="O937" t="s">
        <v>3255</v>
      </c>
      <c r="P937" s="2" t="s">
        <v>26</v>
      </c>
      <c r="Q937" t="s">
        <v>50</v>
      </c>
      <c r="R937">
        <v>0.12</v>
      </c>
      <c r="S937">
        <v>0.15</v>
      </c>
      <c r="T937" t="s">
        <v>3256</v>
      </c>
    </row>
    <row r="938" spans="1:20" x14ac:dyDescent="0.25">
      <c r="A938" s="1" t="str">
        <f>HYPERLINK("https://vegkart.atlas.vegvesen.no/#/@-28084.3,6743710.0,18/hva:hva%5B0%5D%5Bfilter%5D%5B0%5D%5Boperator%5D=%21%3D&amp;hva%5B0%5D%5Bfilter%5D%5B0%5D%5Btype_id%5D=9736&amp;hva%5B0%5D%5Bfilter%5D%5B0%5D%5Bverdi%5D=&amp;hva%5B0%5D%5Bid%5D=853/når:2014-09-01", "Vegkart")</f>
        <v>Vegkart</v>
      </c>
      <c r="B938">
        <v>578382596</v>
      </c>
      <c r="C938">
        <v>853</v>
      </c>
      <c r="D938" t="s">
        <v>2935</v>
      </c>
      <c r="E938">
        <v>9736</v>
      </c>
      <c r="F938" t="s">
        <v>23479</v>
      </c>
      <c r="G938">
        <v>1</v>
      </c>
      <c r="H938" t="s">
        <v>1009</v>
      </c>
      <c r="J938" t="s">
        <v>2964</v>
      </c>
      <c r="K938" t="s">
        <v>21</v>
      </c>
      <c r="L938" t="s">
        <v>80</v>
      </c>
      <c r="M938" t="s">
        <v>81</v>
      </c>
      <c r="N938" t="s">
        <v>3257</v>
      </c>
      <c r="O938" t="s">
        <v>3258</v>
      </c>
      <c r="P938" s="2" t="s">
        <v>26</v>
      </c>
      <c r="Q938" t="s">
        <v>50</v>
      </c>
      <c r="R938">
        <v>0.13</v>
      </c>
      <c r="S938">
        <v>0.16</v>
      </c>
      <c r="T938" t="s">
        <v>3259</v>
      </c>
    </row>
    <row r="939" spans="1:20" x14ac:dyDescent="0.25">
      <c r="A939" s="1" t="str">
        <f>HYPERLINK("https://vegkart.atlas.vegvesen.no/#/@-28084.4,6743710.0,18/hva:hva%5B0%5D%5Bfilter%5D%5B0%5D%5Boperator%5D=%21%3D&amp;hva%5B0%5D%5Bfilter%5D%5B0%5D%5Btype_id%5D=9736&amp;hva%5B0%5D%5Bfilter%5D%5B0%5D%5Bverdi%5D=&amp;hva%5B0%5D%5Bid%5D=853/når:2014-09-01", "Vegkart")</f>
        <v>Vegkart</v>
      </c>
      <c r="B939">
        <v>578382597</v>
      </c>
      <c r="C939">
        <v>853</v>
      </c>
      <c r="D939" t="s">
        <v>2935</v>
      </c>
      <c r="E939">
        <v>9736</v>
      </c>
      <c r="F939" t="s">
        <v>23479</v>
      </c>
      <c r="G939">
        <v>1</v>
      </c>
      <c r="H939" t="s">
        <v>1009</v>
      </c>
      <c r="J939" t="s">
        <v>2964</v>
      </c>
      <c r="K939" t="s">
        <v>21</v>
      </c>
      <c r="L939" t="s">
        <v>80</v>
      </c>
      <c r="M939" t="s">
        <v>81</v>
      </c>
      <c r="N939" t="s">
        <v>3257</v>
      </c>
      <c r="O939" t="s">
        <v>3260</v>
      </c>
      <c r="P939" s="2" t="s">
        <v>26</v>
      </c>
      <c r="Q939" t="s">
        <v>50</v>
      </c>
      <c r="R939">
        <v>0.13</v>
      </c>
      <c r="S939">
        <v>0.15</v>
      </c>
      <c r="T939" t="s">
        <v>3261</v>
      </c>
    </row>
    <row r="940" spans="1:20" x14ac:dyDescent="0.25">
      <c r="A940" s="1" t="str">
        <f>HYPERLINK("https://vegkart.atlas.vegvesen.no/#/@-28084.3,6743710.1,18/hva:hva%5B0%5D%5Bfilter%5D%5B0%5D%5Boperator%5D=%21%3D&amp;hva%5B0%5D%5Bfilter%5D%5B0%5D%5Btype_id%5D=9736&amp;hva%5B0%5D%5Bfilter%5D%5B0%5D%5Bverdi%5D=&amp;hva%5B0%5D%5Bid%5D=853/når:2014-09-01", "Vegkart")</f>
        <v>Vegkart</v>
      </c>
      <c r="B940">
        <v>578382598</v>
      </c>
      <c r="C940">
        <v>853</v>
      </c>
      <c r="D940" t="s">
        <v>2935</v>
      </c>
      <c r="E940">
        <v>9736</v>
      </c>
      <c r="F940" t="s">
        <v>23479</v>
      </c>
      <c r="G940">
        <v>1</v>
      </c>
      <c r="H940" t="s">
        <v>1009</v>
      </c>
      <c r="J940" t="s">
        <v>2964</v>
      </c>
      <c r="K940" t="s">
        <v>21</v>
      </c>
      <c r="L940" t="s">
        <v>80</v>
      </c>
      <c r="M940" t="s">
        <v>81</v>
      </c>
      <c r="N940" t="s">
        <v>3257</v>
      </c>
      <c r="O940" t="s">
        <v>3262</v>
      </c>
      <c r="P940" s="2" t="s">
        <v>26</v>
      </c>
      <c r="Q940" t="s">
        <v>50</v>
      </c>
      <c r="R940">
        <v>0.12</v>
      </c>
      <c r="S940">
        <v>0.14000000000000001</v>
      </c>
      <c r="T940" t="s">
        <v>3263</v>
      </c>
    </row>
    <row r="941" spans="1:20" x14ac:dyDescent="0.25">
      <c r="A941" s="1" t="str">
        <f>HYPERLINK("https://vegkart.atlas.vegvesen.no/#/@-28035.2,6743740.0,18/hva:hva%5B0%5D%5Bfilter%5D%5B0%5D%5Boperator%5D=%21%3D&amp;hva%5B0%5D%5Bfilter%5D%5B0%5D%5Btype_id%5D=9736&amp;hva%5B0%5D%5Bfilter%5D%5B0%5D%5Bverdi%5D=&amp;hva%5B0%5D%5Bid%5D=853/når:2014-09-01", "Vegkart")</f>
        <v>Vegkart</v>
      </c>
      <c r="B941">
        <v>578382599</v>
      </c>
      <c r="C941">
        <v>853</v>
      </c>
      <c r="D941" t="s">
        <v>2935</v>
      </c>
      <c r="E941">
        <v>9736</v>
      </c>
      <c r="F941" t="s">
        <v>23479</v>
      </c>
      <c r="G941">
        <v>1</v>
      </c>
      <c r="H941" t="s">
        <v>1009</v>
      </c>
      <c r="J941" t="s">
        <v>2964</v>
      </c>
      <c r="K941" t="s">
        <v>21</v>
      </c>
      <c r="L941" t="s">
        <v>80</v>
      </c>
      <c r="M941" t="s">
        <v>81</v>
      </c>
      <c r="N941" t="s">
        <v>3264</v>
      </c>
      <c r="O941" t="s">
        <v>3265</v>
      </c>
      <c r="P941" s="2" t="s">
        <v>26</v>
      </c>
      <c r="Q941" t="s">
        <v>50</v>
      </c>
      <c r="R941">
        <v>0.13</v>
      </c>
      <c r="S941">
        <v>0.14000000000000001</v>
      </c>
      <c r="T941" t="s">
        <v>3266</v>
      </c>
    </row>
    <row r="942" spans="1:20" x14ac:dyDescent="0.25">
      <c r="A942" s="1" t="str">
        <f>HYPERLINK("https://vegkart.atlas.vegvesen.no/#/@-28035.2,6743740.0,18/hva:hva%5B0%5D%5Bfilter%5D%5B0%5D%5Boperator%5D=%21%3D&amp;hva%5B0%5D%5Bfilter%5D%5B0%5D%5Btype_id%5D=9736&amp;hva%5B0%5D%5Bfilter%5D%5B0%5D%5Bverdi%5D=&amp;hva%5B0%5D%5Bid%5D=853/når:2014-09-01", "Vegkart")</f>
        <v>Vegkart</v>
      </c>
      <c r="B942">
        <v>578382600</v>
      </c>
      <c r="C942">
        <v>853</v>
      </c>
      <c r="D942" t="s">
        <v>2935</v>
      </c>
      <c r="E942">
        <v>9736</v>
      </c>
      <c r="F942" t="s">
        <v>23479</v>
      </c>
      <c r="G942">
        <v>1</v>
      </c>
      <c r="H942" t="s">
        <v>1009</v>
      </c>
      <c r="J942" t="s">
        <v>2964</v>
      </c>
      <c r="K942" t="s">
        <v>21</v>
      </c>
      <c r="L942" t="s">
        <v>80</v>
      </c>
      <c r="M942" t="s">
        <v>81</v>
      </c>
      <c r="N942" t="s">
        <v>3264</v>
      </c>
      <c r="O942" t="s">
        <v>3267</v>
      </c>
      <c r="P942" s="2" t="s">
        <v>26</v>
      </c>
      <c r="Q942" t="s">
        <v>50</v>
      </c>
      <c r="R942">
        <v>0.13</v>
      </c>
      <c r="S942">
        <v>0.15</v>
      </c>
      <c r="T942" t="s">
        <v>3268</v>
      </c>
    </row>
    <row r="943" spans="1:20" x14ac:dyDescent="0.25">
      <c r="A943" s="1" t="str">
        <f>HYPERLINK("https://vegkart.atlas.vegvesen.no/#/@-28035.1,6743740.0,18/hva:hva%5B0%5D%5Bfilter%5D%5B0%5D%5Boperator%5D=%21%3D&amp;hva%5B0%5D%5Bfilter%5D%5B0%5D%5Btype_id%5D=9736&amp;hva%5B0%5D%5Bfilter%5D%5B0%5D%5Bverdi%5D=&amp;hva%5B0%5D%5Bid%5D=853/når:2014-09-01", "Vegkart")</f>
        <v>Vegkart</v>
      </c>
      <c r="B943">
        <v>578382601</v>
      </c>
      <c r="C943">
        <v>853</v>
      </c>
      <c r="D943" t="s">
        <v>2935</v>
      </c>
      <c r="E943">
        <v>9736</v>
      </c>
      <c r="F943" t="s">
        <v>23479</v>
      </c>
      <c r="G943">
        <v>1</v>
      </c>
      <c r="H943" t="s">
        <v>1009</v>
      </c>
      <c r="J943" t="s">
        <v>2964</v>
      </c>
      <c r="K943" t="s">
        <v>21</v>
      </c>
      <c r="L943" t="s">
        <v>80</v>
      </c>
      <c r="M943" t="s">
        <v>81</v>
      </c>
      <c r="N943" t="s">
        <v>3264</v>
      </c>
      <c r="O943" t="s">
        <v>3269</v>
      </c>
      <c r="P943" s="2" t="s">
        <v>26</v>
      </c>
      <c r="Q943" t="s">
        <v>50</v>
      </c>
      <c r="R943">
        <v>0.14000000000000001</v>
      </c>
      <c r="S943">
        <v>0.16</v>
      </c>
      <c r="T943" t="s">
        <v>3270</v>
      </c>
    </row>
    <row r="944" spans="1:20" x14ac:dyDescent="0.25">
      <c r="A944" s="1" t="str">
        <f>HYPERLINK("https://vegkart.atlas.vegvesen.no/#/@-28001.6,6743766.6,18/hva:hva%5B0%5D%5Bfilter%5D%5B0%5D%5Boperator%5D=%21%3D&amp;hva%5B0%5D%5Bfilter%5D%5B0%5D%5Btype_id%5D=9736&amp;hva%5B0%5D%5Bfilter%5D%5B0%5D%5Bverdi%5D=&amp;hva%5B0%5D%5Bid%5D=853/når:2014-09-01", "Vegkart")</f>
        <v>Vegkart</v>
      </c>
      <c r="B944">
        <v>578382602</v>
      </c>
      <c r="C944">
        <v>853</v>
      </c>
      <c r="D944" t="s">
        <v>2935</v>
      </c>
      <c r="E944">
        <v>9736</v>
      </c>
      <c r="F944" t="s">
        <v>23479</v>
      </c>
      <c r="G944">
        <v>1</v>
      </c>
      <c r="H944" t="s">
        <v>1009</v>
      </c>
      <c r="J944" t="s">
        <v>2964</v>
      </c>
      <c r="K944" t="s">
        <v>21</v>
      </c>
      <c r="L944" t="s">
        <v>80</v>
      </c>
      <c r="M944" t="s">
        <v>81</v>
      </c>
      <c r="N944" t="s">
        <v>3271</v>
      </c>
      <c r="O944" t="s">
        <v>3272</v>
      </c>
      <c r="P944" s="2" t="s">
        <v>26</v>
      </c>
      <c r="Q944" t="s">
        <v>50</v>
      </c>
      <c r="R944">
        <v>0.14000000000000001</v>
      </c>
      <c r="S944">
        <v>0.17</v>
      </c>
      <c r="T944" t="s">
        <v>3273</v>
      </c>
    </row>
    <row r="945" spans="1:20" x14ac:dyDescent="0.25">
      <c r="A945" s="1" t="str">
        <f>HYPERLINK("https://vegkart.atlas.vegvesen.no/#/@-28001.7,6743766.6,18/hva:hva%5B0%5D%5Bfilter%5D%5B0%5D%5Boperator%5D=%21%3D&amp;hva%5B0%5D%5Bfilter%5D%5B0%5D%5Btype_id%5D=9736&amp;hva%5B0%5D%5Bfilter%5D%5B0%5D%5Bverdi%5D=&amp;hva%5B0%5D%5Bid%5D=853/når:2014-09-01", "Vegkart")</f>
        <v>Vegkart</v>
      </c>
      <c r="B945">
        <v>578382603</v>
      </c>
      <c r="C945">
        <v>853</v>
      </c>
      <c r="D945" t="s">
        <v>2935</v>
      </c>
      <c r="E945">
        <v>9736</v>
      </c>
      <c r="F945" t="s">
        <v>23479</v>
      </c>
      <c r="G945">
        <v>1</v>
      </c>
      <c r="H945" t="s">
        <v>1009</v>
      </c>
      <c r="J945" t="s">
        <v>2964</v>
      </c>
      <c r="K945" t="s">
        <v>21</v>
      </c>
      <c r="L945" t="s">
        <v>80</v>
      </c>
      <c r="M945" t="s">
        <v>81</v>
      </c>
      <c r="N945" t="s">
        <v>3271</v>
      </c>
      <c r="O945" t="s">
        <v>3274</v>
      </c>
      <c r="P945" s="2" t="s">
        <v>26</v>
      </c>
      <c r="Q945" t="s">
        <v>50</v>
      </c>
      <c r="R945">
        <v>0.13</v>
      </c>
      <c r="S945">
        <v>0.14000000000000001</v>
      </c>
      <c r="T945" t="s">
        <v>3275</v>
      </c>
    </row>
    <row r="946" spans="1:20" x14ac:dyDescent="0.25">
      <c r="A946" s="1" t="str">
        <f>HYPERLINK("https://vegkart.atlas.vegvesen.no/#/@-28001.6,6743766.7,18/hva:hva%5B0%5D%5Bfilter%5D%5B0%5D%5Boperator%5D=%21%3D&amp;hva%5B0%5D%5Bfilter%5D%5B0%5D%5Btype_id%5D=9736&amp;hva%5B0%5D%5Bfilter%5D%5B0%5D%5Bverdi%5D=&amp;hva%5B0%5D%5Bid%5D=853/når:2014-09-01", "Vegkart")</f>
        <v>Vegkart</v>
      </c>
      <c r="B946">
        <v>578382604</v>
      </c>
      <c r="C946">
        <v>853</v>
      </c>
      <c r="D946" t="s">
        <v>2935</v>
      </c>
      <c r="E946">
        <v>9736</v>
      </c>
      <c r="F946" t="s">
        <v>23479</v>
      </c>
      <c r="G946">
        <v>1</v>
      </c>
      <c r="H946" t="s">
        <v>1009</v>
      </c>
      <c r="J946" t="s">
        <v>2964</v>
      </c>
      <c r="K946" t="s">
        <v>21</v>
      </c>
      <c r="L946" t="s">
        <v>80</v>
      </c>
      <c r="M946" t="s">
        <v>81</v>
      </c>
      <c r="N946" t="s">
        <v>3271</v>
      </c>
      <c r="O946" t="s">
        <v>3276</v>
      </c>
      <c r="P946" s="2" t="s">
        <v>26</v>
      </c>
      <c r="Q946" t="s">
        <v>50</v>
      </c>
      <c r="R946">
        <v>0.13</v>
      </c>
      <c r="S946">
        <v>0.15</v>
      </c>
      <c r="T946" t="s">
        <v>3277</v>
      </c>
    </row>
    <row r="947" spans="1:20" x14ac:dyDescent="0.25">
      <c r="A947" s="1" t="str">
        <f>HYPERLINK("https://vegkart.atlas.vegvesen.no/#/@-28269.5,6743658.9,18/hva:hva%5B0%5D%5Bfilter%5D%5B0%5D%5Boperator%5D=%21%3D&amp;hva%5B0%5D%5Bfilter%5D%5B0%5D%5Btype_id%5D=9736&amp;hva%5B0%5D%5Bfilter%5D%5B0%5D%5Bverdi%5D=&amp;hva%5B0%5D%5Bid%5D=853/når:2014-09-01", "Vegkart")</f>
        <v>Vegkart</v>
      </c>
      <c r="B947">
        <v>578382605</v>
      </c>
      <c r="C947">
        <v>853</v>
      </c>
      <c r="D947" t="s">
        <v>2935</v>
      </c>
      <c r="E947">
        <v>9736</v>
      </c>
      <c r="F947" t="s">
        <v>23479</v>
      </c>
      <c r="G947">
        <v>1</v>
      </c>
      <c r="H947" t="s">
        <v>1009</v>
      </c>
      <c r="J947" t="s">
        <v>2964</v>
      </c>
      <c r="K947" t="s">
        <v>21</v>
      </c>
      <c r="L947" t="s">
        <v>80</v>
      </c>
      <c r="M947" t="s">
        <v>81</v>
      </c>
      <c r="N947" t="s">
        <v>3278</v>
      </c>
      <c r="O947" t="s">
        <v>3279</v>
      </c>
      <c r="P947" s="2" t="s">
        <v>26</v>
      </c>
      <c r="Q947" t="s">
        <v>50</v>
      </c>
      <c r="R947">
        <v>0.14000000000000001</v>
      </c>
      <c r="S947">
        <v>0.16</v>
      </c>
      <c r="T947" t="s">
        <v>3280</v>
      </c>
    </row>
    <row r="948" spans="1:20" x14ac:dyDescent="0.25">
      <c r="A948" s="1" t="str">
        <f>HYPERLINK("https://vegkart.atlas.vegvesen.no/#/@-28269.6,6743659.0,18/hva:hva%5B0%5D%5Bfilter%5D%5B0%5D%5Boperator%5D=%21%3D&amp;hva%5B0%5D%5Bfilter%5D%5B0%5D%5Btype_id%5D=9736&amp;hva%5B0%5D%5Bfilter%5D%5B0%5D%5Bverdi%5D=&amp;hva%5B0%5D%5Bid%5D=853/når:2014-09-01", "Vegkart")</f>
        <v>Vegkart</v>
      </c>
      <c r="B948">
        <v>578382606</v>
      </c>
      <c r="C948">
        <v>853</v>
      </c>
      <c r="D948" t="s">
        <v>2935</v>
      </c>
      <c r="E948">
        <v>9736</v>
      </c>
      <c r="F948" t="s">
        <v>23479</v>
      </c>
      <c r="G948">
        <v>1</v>
      </c>
      <c r="H948" t="s">
        <v>1009</v>
      </c>
      <c r="J948" t="s">
        <v>2964</v>
      </c>
      <c r="K948" t="s">
        <v>21</v>
      </c>
      <c r="L948" t="s">
        <v>80</v>
      </c>
      <c r="M948" t="s">
        <v>81</v>
      </c>
      <c r="N948" t="s">
        <v>3278</v>
      </c>
      <c r="O948" t="s">
        <v>3281</v>
      </c>
      <c r="P948" s="2" t="s">
        <v>26</v>
      </c>
      <c r="Q948" t="s">
        <v>50</v>
      </c>
      <c r="R948">
        <v>0.12</v>
      </c>
      <c r="S948">
        <v>0.14000000000000001</v>
      </c>
      <c r="T948" t="s">
        <v>3282</v>
      </c>
    </row>
    <row r="949" spans="1:20" x14ac:dyDescent="0.25">
      <c r="A949" s="1" t="str">
        <f>HYPERLINK("https://vegkart.atlas.vegvesen.no/#/@-28269.5,6743659.0,18/hva:hva%5B0%5D%5Bfilter%5D%5B0%5D%5Boperator%5D=%21%3D&amp;hva%5B0%5D%5Bfilter%5D%5B0%5D%5Btype_id%5D=9736&amp;hva%5B0%5D%5Bfilter%5D%5B0%5D%5Bverdi%5D=&amp;hva%5B0%5D%5Bid%5D=853/når:2014-09-01", "Vegkart")</f>
        <v>Vegkart</v>
      </c>
      <c r="B949">
        <v>578382607</v>
      </c>
      <c r="C949">
        <v>853</v>
      </c>
      <c r="D949" t="s">
        <v>2935</v>
      </c>
      <c r="E949">
        <v>9736</v>
      </c>
      <c r="F949" t="s">
        <v>23479</v>
      </c>
      <c r="G949">
        <v>1</v>
      </c>
      <c r="H949" t="s">
        <v>1009</v>
      </c>
      <c r="J949" t="s">
        <v>2964</v>
      </c>
      <c r="K949" t="s">
        <v>21</v>
      </c>
      <c r="L949" t="s">
        <v>80</v>
      </c>
      <c r="M949" t="s">
        <v>81</v>
      </c>
      <c r="N949" t="s">
        <v>3278</v>
      </c>
      <c r="O949" t="s">
        <v>3283</v>
      </c>
      <c r="P949" s="2" t="s">
        <v>26</v>
      </c>
      <c r="Q949" t="s">
        <v>50</v>
      </c>
      <c r="R949">
        <v>0.13</v>
      </c>
      <c r="S949">
        <v>0.15</v>
      </c>
      <c r="T949" t="s">
        <v>3284</v>
      </c>
    </row>
    <row r="950" spans="1:20" x14ac:dyDescent="0.25">
      <c r="A950" s="1" t="str">
        <f>HYPERLINK("https://vegkart.atlas.vegvesen.no/#/@-28862.1,6743474.8,18/hva:hva%5B0%5D%5Bfilter%5D%5B0%5D%5Boperator%5D=%21%3D&amp;hva%5B0%5D%5Bfilter%5D%5B0%5D%5Btype_id%5D=9736&amp;hva%5B0%5D%5Bfilter%5D%5B0%5D%5Bverdi%5D=&amp;hva%5B0%5D%5Bid%5D=853/når:2014-09-01", "Vegkart")</f>
        <v>Vegkart</v>
      </c>
      <c r="B950">
        <v>578382608</v>
      </c>
      <c r="C950">
        <v>853</v>
      </c>
      <c r="D950" t="s">
        <v>2935</v>
      </c>
      <c r="E950">
        <v>9736</v>
      </c>
      <c r="F950" t="s">
        <v>23479</v>
      </c>
      <c r="G950">
        <v>1</v>
      </c>
      <c r="H950" t="s">
        <v>1009</v>
      </c>
      <c r="J950" t="s">
        <v>2964</v>
      </c>
      <c r="K950" t="s">
        <v>21</v>
      </c>
      <c r="L950" t="s">
        <v>80</v>
      </c>
      <c r="M950" t="s">
        <v>81</v>
      </c>
      <c r="N950" t="s">
        <v>3285</v>
      </c>
      <c r="O950" t="s">
        <v>3286</v>
      </c>
      <c r="P950" s="2" t="s">
        <v>26</v>
      </c>
      <c r="Q950" t="s">
        <v>50</v>
      </c>
      <c r="R950">
        <v>1.29</v>
      </c>
      <c r="S950">
        <v>1.5</v>
      </c>
      <c r="T950" t="s">
        <v>3287</v>
      </c>
    </row>
    <row r="951" spans="1:20" x14ac:dyDescent="0.25">
      <c r="A951" s="1" t="str">
        <f>HYPERLINK("https://vegkart.atlas.vegvesen.no/#/@-28863.0,6743475.4,18/hva:hva%5B0%5D%5Bfilter%5D%5B0%5D%5Boperator%5D=%21%3D&amp;hva%5B0%5D%5Bfilter%5D%5B0%5D%5Btype_id%5D=9736&amp;hva%5B0%5D%5Bfilter%5D%5B0%5D%5Bverdi%5D=&amp;hva%5B0%5D%5Bid%5D=853/når:2014-09-01", "Vegkart")</f>
        <v>Vegkart</v>
      </c>
      <c r="B951">
        <v>578382609</v>
      </c>
      <c r="C951">
        <v>853</v>
      </c>
      <c r="D951" t="s">
        <v>2935</v>
      </c>
      <c r="E951">
        <v>9736</v>
      </c>
      <c r="F951" t="s">
        <v>23479</v>
      </c>
      <c r="G951">
        <v>1</v>
      </c>
      <c r="H951" t="s">
        <v>1009</v>
      </c>
      <c r="J951" t="s">
        <v>2964</v>
      </c>
      <c r="K951" t="s">
        <v>21</v>
      </c>
      <c r="L951" t="s">
        <v>80</v>
      </c>
      <c r="M951" t="s">
        <v>81</v>
      </c>
      <c r="N951" t="s">
        <v>3285</v>
      </c>
      <c r="O951" t="s">
        <v>3288</v>
      </c>
      <c r="P951" s="2" t="s">
        <v>26</v>
      </c>
      <c r="Q951" t="s">
        <v>50</v>
      </c>
      <c r="R951">
        <v>1.3</v>
      </c>
      <c r="S951">
        <v>1.52</v>
      </c>
      <c r="T951" t="s">
        <v>3289</v>
      </c>
    </row>
    <row r="952" spans="1:20" x14ac:dyDescent="0.25">
      <c r="A952" s="1" t="str">
        <f>HYPERLINK("https://vegkart.atlas.vegvesen.no/#/@-28862.0,6743475.8,18/hva:hva%5B0%5D%5Bfilter%5D%5B0%5D%5Boperator%5D=%21%3D&amp;hva%5B0%5D%5Bfilter%5D%5B0%5D%5Btype_id%5D=9736&amp;hva%5B0%5D%5Bfilter%5D%5B0%5D%5Bverdi%5D=&amp;hva%5B0%5D%5Bid%5D=853/når:2014-09-01", "Vegkart")</f>
        <v>Vegkart</v>
      </c>
      <c r="B952">
        <v>578382610</v>
      </c>
      <c r="C952">
        <v>853</v>
      </c>
      <c r="D952" t="s">
        <v>2935</v>
      </c>
      <c r="E952">
        <v>9736</v>
      </c>
      <c r="F952" t="s">
        <v>23479</v>
      </c>
      <c r="G952">
        <v>1</v>
      </c>
      <c r="H952" t="s">
        <v>1009</v>
      </c>
      <c r="J952" t="s">
        <v>2964</v>
      </c>
      <c r="K952" t="s">
        <v>21</v>
      </c>
      <c r="L952" t="s">
        <v>80</v>
      </c>
      <c r="M952" t="s">
        <v>81</v>
      </c>
      <c r="N952" t="s">
        <v>3290</v>
      </c>
      <c r="O952" t="s">
        <v>3291</v>
      </c>
      <c r="P952" s="2" t="s">
        <v>26</v>
      </c>
      <c r="Q952" t="s">
        <v>50</v>
      </c>
      <c r="R952">
        <v>1.29</v>
      </c>
      <c r="S952">
        <v>1.51</v>
      </c>
      <c r="T952" t="s">
        <v>3292</v>
      </c>
    </row>
    <row r="953" spans="1:20" x14ac:dyDescent="0.25">
      <c r="A953" s="1" t="str">
        <f>HYPERLINK("https://vegkart.atlas.vegvesen.no/#/@-27594.2,6744041.6,18/hva:hva%5B0%5D%5Bfilter%5D%5B0%5D%5Boperator%5D=%21%3D&amp;hva%5B0%5D%5Bfilter%5D%5B0%5D%5Btype_id%5D=9736&amp;hva%5B0%5D%5Bfilter%5D%5B0%5D%5Bverdi%5D=&amp;hva%5B0%5D%5Bid%5D=853/når:2014-09-01", "Vegkart")</f>
        <v>Vegkart</v>
      </c>
      <c r="B953">
        <v>578382655</v>
      </c>
      <c r="C953">
        <v>853</v>
      </c>
      <c r="D953" t="s">
        <v>2935</v>
      </c>
      <c r="E953">
        <v>9736</v>
      </c>
      <c r="F953" t="s">
        <v>23479</v>
      </c>
      <c r="G953">
        <v>1</v>
      </c>
      <c r="H953" t="s">
        <v>1009</v>
      </c>
      <c r="J953" t="s">
        <v>2964</v>
      </c>
      <c r="K953" t="s">
        <v>21</v>
      </c>
      <c r="L953" t="s">
        <v>80</v>
      </c>
      <c r="M953" t="s">
        <v>81</v>
      </c>
      <c r="N953" t="s">
        <v>3293</v>
      </c>
      <c r="O953" t="s">
        <v>3294</v>
      </c>
      <c r="P953" s="2" t="s">
        <v>26</v>
      </c>
      <c r="Q953" t="s">
        <v>50</v>
      </c>
      <c r="R953">
        <v>0</v>
      </c>
      <c r="S953">
        <v>3.43</v>
      </c>
      <c r="T953" t="s">
        <v>3295</v>
      </c>
    </row>
    <row r="954" spans="1:20" x14ac:dyDescent="0.25">
      <c r="A954" s="1" t="str">
        <f>HYPERLINK("https://vegkart.atlas.vegvesen.no/#/@211903.9,6633688.9,18/hva:hva%5B0%5D%5Bfilter%5D%5B0%5D%5Boperator%5D=%21%3D&amp;hva%5B0%5D%5Bfilter%5D%5B0%5D%5Btype_id%5D=9736&amp;hva%5B0%5D%5Bfilter%5D%5B0%5D%5Bverdi%5D=&amp;hva%5B0%5D%5Bid%5D=853/når:2023-02-22", "Vegkart")</f>
        <v>Vegkart</v>
      </c>
      <c r="B954">
        <v>579009577</v>
      </c>
      <c r="C954">
        <v>853</v>
      </c>
      <c r="D954" t="s">
        <v>2935</v>
      </c>
      <c r="E954">
        <v>9736</v>
      </c>
      <c r="F954" t="s">
        <v>23479</v>
      </c>
      <c r="G954">
        <v>2</v>
      </c>
      <c r="H954" t="s">
        <v>3296</v>
      </c>
      <c r="J954" t="s">
        <v>3297</v>
      </c>
      <c r="K954" t="s">
        <v>307</v>
      </c>
      <c r="L954" t="s">
        <v>33</v>
      </c>
      <c r="M954" t="s">
        <v>3298</v>
      </c>
      <c r="N954" t="s">
        <v>3299</v>
      </c>
      <c r="O954" t="s">
        <v>3300</v>
      </c>
      <c r="P954" s="2" t="s">
        <v>26</v>
      </c>
      <c r="Q954" t="s">
        <v>50</v>
      </c>
      <c r="R954">
        <v>0</v>
      </c>
      <c r="S954">
        <v>3.29</v>
      </c>
      <c r="T954" t="s">
        <v>3301</v>
      </c>
    </row>
    <row r="955" spans="1:20" x14ac:dyDescent="0.25">
      <c r="A955" s="1" t="str">
        <f>HYPERLINK("https://vegkart.atlas.vegvesen.no/#/@211961.5,6633758.0,18/hva:hva%5B0%5D%5Bfilter%5D%5B0%5D%5Boperator%5D=%21%3D&amp;hva%5B0%5D%5Bfilter%5D%5B0%5D%5Btype_id%5D=9736&amp;hva%5B0%5D%5Bfilter%5D%5B0%5D%5Bverdi%5D=&amp;hva%5B0%5D%5Bid%5D=853/når:2023-02-22", "Vegkart")</f>
        <v>Vegkart</v>
      </c>
      <c r="B955">
        <v>579009578</v>
      </c>
      <c r="C955">
        <v>853</v>
      </c>
      <c r="D955" t="s">
        <v>2935</v>
      </c>
      <c r="E955">
        <v>9736</v>
      </c>
      <c r="F955" t="s">
        <v>23479</v>
      </c>
      <c r="G955">
        <v>2</v>
      </c>
      <c r="H955" t="s">
        <v>3296</v>
      </c>
      <c r="J955" t="s">
        <v>3297</v>
      </c>
      <c r="K955" t="s">
        <v>307</v>
      </c>
      <c r="L955" t="s">
        <v>33</v>
      </c>
      <c r="M955" t="s">
        <v>3298</v>
      </c>
      <c r="N955" t="s">
        <v>3302</v>
      </c>
      <c r="O955" t="s">
        <v>3303</v>
      </c>
      <c r="P955" s="2" t="s">
        <v>26</v>
      </c>
      <c r="Q955" t="s">
        <v>50</v>
      </c>
      <c r="R955">
        <v>0</v>
      </c>
      <c r="S955">
        <v>4.9000000000000004</v>
      </c>
      <c r="T955" t="s">
        <v>3304</v>
      </c>
    </row>
    <row r="956" spans="1:20" x14ac:dyDescent="0.25">
      <c r="A956" s="1" t="str">
        <f>HYPERLINK("https://vegkart.atlas.vegvesen.no/#/@211912.2,6633324.9,18/hva:hva%5B0%5D%5Bfilter%5D%5B0%5D%5Boperator%5D=%21%3D&amp;hva%5B0%5D%5Bfilter%5D%5B0%5D%5Btype_id%5D=9736&amp;hva%5B0%5D%5Bfilter%5D%5B0%5D%5Bverdi%5D=&amp;hva%5B0%5D%5Bid%5D=853/når:2023-02-22", "Vegkart")</f>
        <v>Vegkart</v>
      </c>
      <c r="B956">
        <v>579009579</v>
      </c>
      <c r="C956">
        <v>853</v>
      </c>
      <c r="D956" t="s">
        <v>2935</v>
      </c>
      <c r="E956">
        <v>9736</v>
      </c>
      <c r="F956" t="s">
        <v>23479</v>
      </c>
      <c r="G956">
        <v>3</v>
      </c>
      <c r="H956" t="s">
        <v>3296</v>
      </c>
      <c r="J956" t="s">
        <v>3297</v>
      </c>
      <c r="K956" t="s">
        <v>307</v>
      </c>
      <c r="L956" t="s">
        <v>33</v>
      </c>
      <c r="M956" t="s">
        <v>3298</v>
      </c>
      <c r="N956" t="s">
        <v>3305</v>
      </c>
      <c r="O956" t="s">
        <v>3306</v>
      </c>
      <c r="P956" s="2" t="s">
        <v>165</v>
      </c>
      <c r="Q956" t="s">
        <v>311</v>
      </c>
      <c r="R956">
        <v>0</v>
      </c>
      <c r="S956">
        <v>3.33</v>
      </c>
      <c r="T956" t="s">
        <v>167</v>
      </c>
    </row>
    <row r="957" spans="1:20" x14ac:dyDescent="0.25">
      <c r="A957" s="1" t="str">
        <f>HYPERLINK("https://vegkart.atlas.vegvesen.no/#/@211904.2,6633367.8,18/hva:hva%5B0%5D%5Bfilter%5D%5B0%5D%5Boperator%5D=%21%3D&amp;hva%5B0%5D%5Bfilter%5D%5B0%5D%5Btype_id%5D=9736&amp;hva%5B0%5D%5Bfilter%5D%5B0%5D%5Bverdi%5D=&amp;hva%5B0%5D%5Bid%5D=853/når:2023-02-22", "Vegkart")</f>
        <v>Vegkart</v>
      </c>
      <c r="B957">
        <v>579009580</v>
      </c>
      <c r="C957">
        <v>853</v>
      </c>
      <c r="D957" t="s">
        <v>2935</v>
      </c>
      <c r="E957">
        <v>9736</v>
      </c>
      <c r="F957" t="s">
        <v>23479</v>
      </c>
      <c r="G957">
        <v>3</v>
      </c>
      <c r="H957" t="s">
        <v>3296</v>
      </c>
      <c r="J957" t="s">
        <v>3297</v>
      </c>
      <c r="K957" t="s">
        <v>307</v>
      </c>
      <c r="L957" t="s">
        <v>33</v>
      </c>
      <c r="M957" t="s">
        <v>3298</v>
      </c>
      <c r="N957" t="s">
        <v>3307</v>
      </c>
      <c r="O957" t="s">
        <v>3308</v>
      </c>
      <c r="P957" s="2" t="s">
        <v>165</v>
      </c>
      <c r="Q957" t="s">
        <v>311</v>
      </c>
      <c r="R957">
        <v>0</v>
      </c>
      <c r="S957">
        <v>3.44</v>
      </c>
      <c r="T957" t="s">
        <v>167</v>
      </c>
    </row>
    <row r="958" spans="1:20" x14ac:dyDescent="0.25">
      <c r="A958" s="1" t="str">
        <f>HYPERLINK("https://vegkart.atlas.vegvesen.no/#/@211878.5,6633284.2,18/hva:hva%5B0%5D%5Bfilter%5D%5B0%5D%5Boperator%5D=%21%3D&amp;hva%5B0%5D%5Bfilter%5D%5B0%5D%5Btype_id%5D=9736&amp;hva%5B0%5D%5Bfilter%5D%5B0%5D%5Bverdi%5D=&amp;hva%5B0%5D%5Bid%5D=853/når:2023-02-22", "Vegkart")</f>
        <v>Vegkart</v>
      </c>
      <c r="B958">
        <v>579009581</v>
      </c>
      <c r="C958">
        <v>853</v>
      </c>
      <c r="D958" t="s">
        <v>2935</v>
      </c>
      <c r="E958">
        <v>9736</v>
      </c>
      <c r="F958" t="s">
        <v>23479</v>
      </c>
      <c r="G958">
        <v>3</v>
      </c>
      <c r="H958" t="s">
        <v>3296</v>
      </c>
      <c r="J958" t="s">
        <v>3297</v>
      </c>
      <c r="K958" t="s">
        <v>307</v>
      </c>
      <c r="L958" t="s">
        <v>33</v>
      </c>
      <c r="M958" t="s">
        <v>3298</v>
      </c>
      <c r="N958" t="s">
        <v>3309</v>
      </c>
      <c r="O958" t="s">
        <v>3310</v>
      </c>
      <c r="P958" s="2" t="s">
        <v>165</v>
      </c>
      <c r="Q958" t="s">
        <v>311</v>
      </c>
      <c r="R958">
        <v>0</v>
      </c>
      <c r="S958">
        <v>3.32</v>
      </c>
      <c r="T958" t="s">
        <v>167</v>
      </c>
    </row>
    <row r="959" spans="1:20" x14ac:dyDescent="0.25">
      <c r="A959" s="1" t="str">
        <f>HYPERLINK("https://vegkart.atlas.vegvesen.no/#/@13684.8,6723494.8,18/hva:hva%5B0%5D%5Bfilter%5D%5B0%5D%5Boperator%5D=%21%3D&amp;hva%5B0%5D%5Bfilter%5D%5B0%5D%5Btype_id%5D=9736&amp;hva%5B0%5D%5Bfilter%5D%5B0%5D%5Bverdi%5D=&amp;hva%5B0%5D%5Bid%5D=853/når:2015-02-18", "Vegkart")</f>
        <v>Vegkart</v>
      </c>
      <c r="B959">
        <v>588548805</v>
      </c>
      <c r="C959">
        <v>853</v>
      </c>
      <c r="D959" t="s">
        <v>2935</v>
      </c>
      <c r="E959">
        <v>9736</v>
      </c>
      <c r="F959" t="s">
        <v>23479</v>
      </c>
      <c r="G959">
        <v>1</v>
      </c>
      <c r="H959" t="s">
        <v>3311</v>
      </c>
      <c r="J959" t="s">
        <v>3312</v>
      </c>
      <c r="K959" t="s">
        <v>21</v>
      </c>
      <c r="L959" t="s">
        <v>33</v>
      </c>
      <c r="M959" t="s">
        <v>963</v>
      </c>
      <c r="N959" t="s">
        <v>3313</v>
      </c>
      <c r="O959" t="s">
        <v>3314</v>
      </c>
      <c r="P959" s="2" t="s">
        <v>26</v>
      </c>
      <c r="Q959" t="s">
        <v>50</v>
      </c>
      <c r="R959">
        <v>0</v>
      </c>
      <c r="S959">
        <v>4.49</v>
      </c>
      <c r="T959" t="s">
        <v>3315</v>
      </c>
    </row>
    <row r="960" spans="1:20" x14ac:dyDescent="0.25">
      <c r="A960" s="1" t="str">
        <f>HYPERLINK("https://vegkart.atlas.vegvesen.no/#/@13683.4,6723496.6,18/hva:hva%5B0%5D%5Bfilter%5D%5B0%5D%5Boperator%5D=%21%3D&amp;hva%5B0%5D%5Bfilter%5D%5B0%5D%5Btype_id%5D=9736&amp;hva%5B0%5D%5Bfilter%5D%5B0%5D%5Bverdi%5D=&amp;hva%5B0%5D%5Bid%5D=853/når:2015-02-18", "Vegkart")</f>
        <v>Vegkart</v>
      </c>
      <c r="B960">
        <v>588548806</v>
      </c>
      <c r="C960">
        <v>853</v>
      </c>
      <c r="D960" t="s">
        <v>2935</v>
      </c>
      <c r="E960">
        <v>9736</v>
      </c>
      <c r="F960" t="s">
        <v>23479</v>
      </c>
      <c r="G960">
        <v>1</v>
      </c>
      <c r="H960" t="s">
        <v>3311</v>
      </c>
      <c r="J960" t="s">
        <v>3312</v>
      </c>
      <c r="K960" t="s">
        <v>21</v>
      </c>
      <c r="L960" t="s">
        <v>33</v>
      </c>
      <c r="M960" t="s">
        <v>963</v>
      </c>
      <c r="N960" t="s">
        <v>3316</v>
      </c>
      <c r="O960" t="s">
        <v>3317</v>
      </c>
      <c r="P960" s="2" t="s">
        <v>26</v>
      </c>
      <c r="Q960" t="s">
        <v>50</v>
      </c>
      <c r="R960">
        <v>0</v>
      </c>
      <c r="S960">
        <v>4.51</v>
      </c>
      <c r="T960" t="s">
        <v>3318</v>
      </c>
    </row>
    <row r="961" spans="1:20" x14ac:dyDescent="0.25">
      <c r="A961" s="1" t="str">
        <f>HYPERLINK("https://vegkart.atlas.vegvesen.no/#/@13682.1,6723498.2,18/hva:hva%5B0%5D%5Bfilter%5D%5B0%5D%5Boperator%5D=%21%3D&amp;hva%5B0%5D%5Bfilter%5D%5B0%5D%5Btype_id%5D=9736&amp;hva%5B0%5D%5Bfilter%5D%5B0%5D%5Bverdi%5D=&amp;hva%5B0%5D%5Bid%5D=853/når:2015-02-18", "Vegkart")</f>
        <v>Vegkart</v>
      </c>
      <c r="B961">
        <v>588548807</v>
      </c>
      <c r="C961">
        <v>853</v>
      </c>
      <c r="D961" t="s">
        <v>2935</v>
      </c>
      <c r="E961">
        <v>9736</v>
      </c>
      <c r="F961" t="s">
        <v>23479</v>
      </c>
      <c r="G961">
        <v>1</v>
      </c>
      <c r="H961" t="s">
        <v>3311</v>
      </c>
      <c r="J961" t="s">
        <v>3312</v>
      </c>
      <c r="K961" t="s">
        <v>21</v>
      </c>
      <c r="L961" t="s">
        <v>33</v>
      </c>
      <c r="M961" t="s">
        <v>963</v>
      </c>
      <c r="N961" t="s">
        <v>3319</v>
      </c>
      <c r="O961" t="s">
        <v>3320</v>
      </c>
      <c r="P961" s="2" t="s">
        <v>26</v>
      </c>
      <c r="Q961" t="s">
        <v>50</v>
      </c>
      <c r="R961">
        <v>0</v>
      </c>
      <c r="S961">
        <v>4.49</v>
      </c>
      <c r="T961" t="s">
        <v>3321</v>
      </c>
    </row>
    <row r="962" spans="1:20" x14ac:dyDescent="0.25">
      <c r="A962" s="1" t="str">
        <f>HYPERLINK("https://vegkart.atlas.vegvesen.no/#/@13506.9,6723839.5,18/hva:hva%5B0%5D%5Bfilter%5D%5B0%5D%5Boperator%5D=%21%3D&amp;hva%5B0%5D%5Bfilter%5D%5B0%5D%5Btype_id%5D=9736&amp;hva%5B0%5D%5Bfilter%5D%5B0%5D%5Bverdi%5D=&amp;hva%5B0%5D%5Bid%5D=853/når:2015-02-18", "Vegkart")</f>
        <v>Vegkart</v>
      </c>
      <c r="B962">
        <v>588548808</v>
      </c>
      <c r="C962">
        <v>853</v>
      </c>
      <c r="D962" t="s">
        <v>2935</v>
      </c>
      <c r="E962">
        <v>9736</v>
      </c>
      <c r="F962" t="s">
        <v>23479</v>
      </c>
      <c r="G962">
        <v>1</v>
      </c>
      <c r="H962" t="s">
        <v>3311</v>
      </c>
      <c r="J962" t="s">
        <v>3312</v>
      </c>
      <c r="K962" t="s">
        <v>21</v>
      </c>
      <c r="L962" t="s">
        <v>33</v>
      </c>
      <c r="M962" t="s">
        <v>963</v>
      </c>
      <c r="N962" t="s">
        <v>3322</v>
      </c>
      <c r="O962" t="s">
        <v>3323</v>
      </c>
      <c r="P962" s="2" t="s">
        <v>26</v>
      </c>
      <c r="Q962" t="s">
        <v>50</v>
      </c>
      <c r="R962">
        <v>0</v>
      </c>
      <c r="S962">
        <v>4.49</v>
      </c>
      <c r="T962" t="s">
        <v>3324</v>
      </c>
    </row>
    <row r="963" spans="1:20" x14ac:dyDescent="0.25">
      <c r="A963" s="1" t="str">
        <f>HYPERLINK("https://vegkart.atlas.vegvesen.no/#/@13505.0,6723840.8,18/hva:hva%5B0%5D%5Bfilter%5D%5B0%5D%5Boperator%5D=%21%3D&amp;hva%5B0%5D%5Bfilter%5D%5B0%5D%5Btype_id%5D=9736&amp;hva%5B0%5D%5Bfilter%5D%5B0%5D%5Bverdi%5D=&amp;hva%5B0%5D%5Bid%5D=853/når:2015-02-18", "Vegkart")</f>
        <v>Vegkart</v>
      </c>
      <c r="B963">
        <v>588548809</v>
      </c>
      <c r="C963">
        <v>853</v>
      </c>
      <c r="D963" t="s">
        <v>2935</v>
      </c>
      <c r="E963">
        <v>9736</v>
      </c>
      <c r="F963" t="s">
        <v>23479</v>
      </c>
      <c r="G963">
        <v>1</v>
      </c>
      <c r="H963" t="s">
        <v>3311</v>
      </c>
      <c r="J963" t="s">
        <v>3312</v>
      </c>
      <c r="K963" t="s">
        <v>21</v>
      </c>
      <c r="L963" t="s">
        <v>33</v>
      </c>
      <c r="M963" t="s">
        <v>963</v>
      </c>
      <c r="N963" t="s">
        <v>3325</v>
      </c>
      <c r="O963" t="s">
        <v>3326</v>
      </c>
      <c r="P963" s="2" t="s">
        <v>26</v>
      </c>
      <c r="Q963" t="s">
        <v>50</v>
      </c>
      <c r="R963">
        <v>0</v>
      </c>
      <c r="S963">
        <v>4.59</v>
      </c>
      <c r="T963" t="s">
        <v>3327</v>
      </c>
    </row>
    <row r="964" spans="1:20" x14ac:dyDescent="0.25">
      <c r="A964" s="1" t="str">
        <f>HYPERLINK("https://vegkart.atlas.vegvesen.no/#/@13463.5,6723909.7,18/hva:hva%5B0%5D%5Bfilter%5D%5B0%5D%5Boperator%5D=%21%3D&amp;hva%5B0%5D%5Bfilter%5D%5B0%5D%5Btype_id%5D=9736&amp;hva%5B0%5D%5Bfilter%5D%5B0%5D%5Bverdi%5D=&amp;hva%5B0%5D%5Bid%5D=853/når:2015-02-18", "Vegkart")</f>
        <v>Vegkart</v>
      </c>
      <c r="B964">
        <v>588548810</v>
      </c>
      <c r="C964">
        <v>853</v>
      </c>
      <c r="D964" t="s">
        <v>2935</v>
      </c>
      <c r="E964">
        <v>9736</v>
      </c>
      <c r="F964" t="s">
        <v>23479</v>
      </c>
      <c r="G964">
        <v>1</v>
      </c>
      <c r="H964" t="s">
        <v>3311</v>
      </c>
      <c r="J964" t="s">
        <v>3312</v>
      </c>
      <c r="K964" t="s">
        <v>21</v>
      </c>
      <c r="L964" t="s">
        <v>33</v>
      </c>
      <c r="M964" t="s">
        <v>963</v>
      </c>
      <c r="N964" t="s">
        <v>3328</v>
      </c>
      <c r="O964" t="s">
        <v>3329</v>
      </c>
      <c r="P964" s="2" t="s">
        <v>26</v>
      </c>
      <c r="Q964" t="s">
        <v>50</v>
      </c>
      <c r="R964">
        <v>0</v>
      </c>
      <c r="S964">
        <v>4.4800000000000004</v>
      </c>
      <c r="T964" t="s">
        <v>3330</v>
      </c>
    </row>
    <row r="965" spans="1:20" x14ac:dyDescent="0.25">
      <c r="A965" s="1" t="str">
        <f>HYPERLINK("https://vegkart.atlas.vegvesen.no/#/@13252.0,6724358.9,18/hva:hva%5B0%5D%5Bfilter%5D%5B0%5D%5Boperator%5D=%21%3D&amp;hva%5B0%5D%5Bfilter%5D%5B0%5D%5Btype_id%5D=9736&amp;hva%5B0%5D%5Bfilter%5D%5B0%5D%5Bverdi%5D=&amp;hva%5B0%5D%5Bid%5D=853/når:2015-02-18", "Vegkart")</f>
        <v>Vegkart</v>
      </c>
      <c r="B965">
        <v>588548811</v>
      </c>
      <c r="C965">
        <v>853</v>
      </c>
      <c r="D965" t="s">
        <v>2935</v>
      </c>
      <c r="E965">
        <v>9736</v>
      </c>
      <c r="F965" t="s">
        <v>23479</v>
      </c>
      <c r="G965">
        <v>1</v>
      </c>
      <c r="H965" t="s">
        <v>3311</v>
      </c>
      <c r="J965" t="s">
        <v>3312</v>
      </c>
      <c r="K965" t="s">
        <v>21</v>
      </c>
      <c r="L965" t="s">
        <v>33</v>
      </c>
      <c r="M965" t="s">
        <v>963</v>
      </c>
      <c r="N965" t="s">
        <v>3331</v>
      </c>
      <c r="O965" t="s">
        <v>3332</v>
      </c>
      <c r="P965" s="2" t="s">
        <v>26</v>
      </c>
      <c r="Q965" t="s">
        <v>50</v>
      </c>
      <c r="R965">
        <v>0</v>
      </c>
      <c r="S965">
        <v>4.67</v>
      </c>
      <c r="T965" t="s">
        <v>3333</v>
      </c>
    </row>
    <row r="966" spans="1:20" x14ac:dyDescent="0.25">
      <c r="A966" s="1" t="str">
        <f>HYPERLINK("https://vegkart.atlas.vegvesen.no/#/@13251.7,6724361.0,18/hva:hva%5B0%5D%5Bfilter%5D%5B0%5D%5Boperator%5D=%21%3D&amp;hva%5B0%5D%5Bfilter%5D%5B0%5D%5Btype_id%5D=9736&amp;hva%5B0%5D%5Bfilter%5D%5B0%5D%5Bverdi%5D=&amp;hva%5B0%5D%5Bid%5D=853/når:2015-02-18", "Vegkart")</f>
        <v>Vegkart</v>
      </c>
      <c r="B966">
        <v>588548812</v>
      </c>
      <c r="C966">
        <v>853</v>
      </c>
      <c r="D966" t="s">
        <v>2935</v>
      </c>
      <c r="E966">
        <v>9736</v>
      </c>
      <c r="F966" t="s">
        <v>23479</v>
      </c>
      <c r="G966">
        <v>1</v>
      </c>
      <c r="H966" t="s">
        <v>3311</v>
      </c>
      <c r="J966" t="s">
        <v>3312</v>
      </c>
      <c r="K966" t="s">
        <v>21</v>
      </c>
      <c r="L966" t="s">
        <v>33</v>
      </c>
      <c r="M966" t="s">
        <v>963</v>
      </c>
      <c r="N966" t="s">
        <v>3334</v>
      </c>
      <c r="O966" t="s">
        <v>3335</v>
      </c>
      <c r="P966" s="2" t="s">
        <v>26</v>
      </c>
      <c r="Q966" t="s">
        <v>50</v>
      </c>
      <c r="R966">
        <v>0</v>
      </c>
      <c r="S966">
        <v>4.58</v>
      </c>
      <c r="T966" t="s">
        <v>3336</v>
      </c>
    </row>
    <row r="967" spans="1:20" x14ac:dyDescent="0.25">
      <c r="A967" s="1" t="str">
        <f>HYPERLINK("https://vegkart.atlas.vegvesen.no/#/@13251.4,6724363.1,18/hva:hva%5B0%5D%5Bfilter%5D%5B0%5D%5Boperator%5D=%21%3D&amp;hva%5B0%5D%5Bfilter%5D%5B0%5D%5Btype_id%5D=9736&amp;hva%5B0%5D%5Bfilter%5D%5B0%5D%5Bverdi%5D=&amp;hva%5B0%5D%5Bid%5D=853/når:2015-02-18", "Vegkart")</f>
        <v>Vegkart</v>
      </c>
      <c r="B967">
        <v>588548813</v>
      </c>
      <c r="C967">
        <v>853</v>
      </c>
      <c r="D967" t="s">
        <v>2935</v>
      </c>
      <c r="E967">
        <v>9736</v>
      </c>
      <c r="F967" t="s">
        <v>23479</v>
      </c>
      <c r="G967">
        <v>1</v>
      </c>
      <c r="H967" t="s">
        <v>3311</v>
      </c>
      <c r="J967" t="s">
        <v>3312</v>
      </c>
      <c r="K967" t="s">
        <v>21</v>
      </c>
      <c r="L967" t="s">
        <v>33</v>
      </c>
      <c r="M967" t="s">
        <v>963</v>
      </c>
      <c r="N967" t="s">
        <v>3337</v>
      </c>
      <c r="O967" t="s">
        <v>3338</v>
      </c>
      <c r="P967" s="2" t="s">
        <v>26</v>
      </c>
      <c r="Q967" t="s">
        <v>50</v>
      </c>
      <c r="R967">
        <v>0</v>
      </c>
      <c r="S967">
        <v>4.55</v>
      </c>
      <c r="T967" t="s">
        <v>3339</v>
      </c>
    </row>
    <row r="968" spans="1:20" x14ac:dyDescent="0.25">
      <c r="A968" s="1" t="str">
        <f>HYPERLINK("https://vegkart.atlas.vegvesen.no/#/@13035.1,6724628.8,18/hva:hva%5B0%5D%5Bfilter%5D%5B0%5D%5Boperator%5D=%21%3D&amp;hva%5B0%5D%5Bfilter%5D%5B0%5D%5Btype_id%5D=9736&amp;hva%5B0%5D%5Bfilter%5D%5B0%5D%5Bverdi%5D=&amp;hva%5B0%5D%5Bid%5D=853/når:2015-02-18", "Vegkart")</f>
        <v>Vegkart</v>
      </c>
      <c r="B968">
        <v>588548814</v>
      </c>
      <c r="C968">
        <v>853</v>
      </c>
      <c r="D968" t="s">
        <v>2935</v>
      </c>
      <c r="E968">
        <v>9736</v>
      </c>
      <c r="F968" t="s">
        <v>23479</v>
      </c>
      <c r="G968">
        <v>1</v>
      </c>
      <c r="H968" t="s">
        <v>3311</v>
      </c>
      <c r="J968" t="s">
        <v>3312</v>
      </c>
      <c r="K968" t="s">
        <v>21</v>
      </c>
      <c r="L968" t="s">
        <v>33</v>
      </c>
      <c r="M968" t="s">
        <v>963</v>
      </c>
      <c r="N968" t="s">
        <v>3340</v>
      </c>
      <c r="O968" t="s">
        <v>3341</v>
      </c>
      <c r="P968" s="2" t="s">
        <v>26</v>
      </c>
      <c r="Q968" t="s">
        <v>50</v>
      </c>
      <c r="R968">
        <v>0</v>
      </c>
      <c r="S968">
        <v>5.63</v>
      </c>
      <c r="T968" t="s">
        <v>3342</v>
      </c>
    </row>
    <row r="969" spans="1:20" x14ac:dyDescent="0.25">
      <c r="A969" s="1" t="str">
        <f>HYPERLINK("https://vegkart.atlas.vegvesen.no/#/@13039.3,6724624.0,18/hva:hva%5B0%5D%5Bfilter%5D%5B0%5D%5Boperator%5D=%21%3D&amp;hva%5B0%5D%5Bfilter%5D%5B0%5D%5Btype_id%5D=9736&amp;hva%5B0%5D%5Bfilter%5D%5B0%5D%5Bverdi%5D=&amp;hva%5B0%5D%5Bid%5D=853/når:2015-02-18", "Vegkart")</f>
        <v>Vegkart</v>
      </c>
      <c r="B969">
        <v>588548815</v>
      </c>
      <c r="C969">
        <v>853</v>
      </c>
      <c r="D969" t="s">
        <v>2935</v>
      </c>
      <c r="E969">
        <v>9736</v>
      </c>
      <c r="F969" t="s">
        <v>23479</v>
      </c>
      <c r="G969">
        <v>1</v>
      </c>
      <c r="H969" t="s">
        <v>3311</v>
      </c>
      <c r="J969" t="s">
        <v>3312</v>
      </c>
      <c r="K969" t="s">
        <v>21</v>
      </c>
      <c r="L969" t="s">
        <v>33</v>
      </c>
      <c r="M969" t="s">
        <v>963</v>
      </c>
      <c r="N969" t="s">
        <v>3343</v>
      </c>
      <c r="O969" t="s">
        <v>3344</v>
      </c>
      <c r="P969" s="2" t="s">
        <v>26</v>
      </c>
      <c r="Q969" t="s">
        <v>50</v>
      </c>
      <c r="R969">
        <v>0</v>
      </c>
      <c r="S969">
        <v>5.56</v>
      </c>
      <c r="T969" t="s">
        <v>3345</v>
      </c>
    </row>
    <row r="970" spans="1:20" x14ac:dyDescent="0.25">
      <c r="A970" s="1" t="str">
        <f>HYPERLINK("https://vegkart.atlas.vegvesen.no/#/@13042.5,6724618.1,18/hva:hva%5B0%5D%5Bfilter%5D%5B0%5D%5Boperator%5D=%21%3D&amp;hva%5B0%5D%5Bfilter%5D%5B0%5D%5Btype_id%5D=9736&amp;hva%5B0%5D%5Bfilter%5D%5B0%5D%5Bverdi%5D=&amp;hva%5B0%5D%5Bid%5D=853/når:2015-02-18", "Vegkart")</f>
        <v>Vegkart</v>
      </c>
      <c r="B970">
        <v>588548816</v>
      </c>
      <c r="C970">
        <v>853</v>
      </c>
      <c r="D970" t="s">
        <v>2935</v>
      </c>
      <c r="E970">
        <v>9736</v>
      </c>
      <c r="F970" t="s">
        <v>23479</v>
      </c>
      <c r="G970">
        <v>1</v>
      </c>
      <c r="H970" t="s">
        <v>3311</v>
      </c>
      <c r="J970" t="s">
        <v>3312</v>
      </c>
      <c r="K970" t="s">
        <v>21</v>
      </c>
      <c r="L970" t="s">
        <v>33</v>
      </c>
      <c r="M970" t="s">
        <v>963</v>
      </c>
      <c r="N970" t="s">
        <v>3346</v>
      </c>
      <c r="O970" t="s">
        <v>3347</v>
      </c>
      <c r="P970" s="2" t="s">
        <v>26</v>
      </c>
      <c r="Q970" t="s">
        <v>50</v>
      </c>
      <c r="R970">
        <v>0</v>
      </c>
      <c r="S970">
        <v>5.0599999999999996</v>
      </c>
      <c r="T970" t="s">
        <v>3348</v>
      </c>
    </row>
    <row r="971" spans="1:20" x14ac:dyDescent="0.25">
      <c r="A971" s="1" t="str">
        <f>HYPERLINK("https://vegkart.atlas.vegvesen.no/#/@13849.6,6723073.9,18/hva:hva%5B0%5D%5Bfilter%5D%5B0%5D%5Boperator%5D=%21%3D&amp;hva%5B0%5D%5Bfilter%5D%5B0%5D%5Btype_id%5D=9736&amp;hva%5B0%5D%5Bfilter%5D%5B0%5D%5Bverdi%5D=&amp;hva%5B0%5D%5Bid%5D=853/når:2015-02-18", "Vegkart")</f>
        <v>Vegkart</v>
      </c>
      <c r="B971">
        <v>588548869</v>
      </c>
      <c r="C971">
        <v>853</v>
      </c>
      <c r="D971" t="s">
        <v>2935</v>
      </c>
      <c r="E971">
        <v>9736</v>
      </c>
      <c r="F971" t="s">
        <v>23479</v>
      </c>
      <c r="G971">
        <v>1</v>
      </c>
      <c r="H971" t="s">
        <v>3311</v>
      </c>
      <c r="J971" t="s">
        <v>3312</v>
      </c>
      <c r="K971" t="s">
        <v>21</v>
      </c>
      <c r="L971" t="s">
        <v>33</v>
      </c>
      <c r="M971" t="s">
        <v>963</v>
      </c>
      <c r="N971" t="s">
        <v>3349</v>
      </c>
      <c r="O971" t="s">
        <v>3350</v>
      </c>
      <c r="P971" s="2" t="s">
        <v>26</v>
      </c>
      <c r="Q971" t="s">
        <v>50</v>
      </c>
      <c r="R971">
        <v>0</v>
      </c>
      <c r="S971">
        <v>4.5599999999999996</v>
      </c>
      <c r="T971" t="s">
        <v>3351</v>
      </c>
    </row>
    <row r="972" spans="1:20" x14ac:dyDescent="0.25">
      <c r="A972" s="1" t="str">
        <f>HYPERLINK("https://vegkart.atlas.vegvesen.no/#/@17795.5,6844204.7,18/hva:hva%5B0%5D%5Bfilter%5D%5B0%5D%5Boperator%5D=%21%3D&amp;hva%5B0%5D%5Bfilter%5D%5B0%5D%5Btype_id%5D=9736&amp;hva%5B0%5D%5Bfilter%5D%5B0%5D%5Bverdi%5D=&amp;hva%5B0%5D%5Bid%5D=853/når:2015-11-16", "Vegkart")</f>
        <v>Vegkart</v>
      </c>
      <c r="B972">
        <v>645407210</v>
      </c>
      <c r="C972">
        <v>853</v>
      </c>
      <c r="D972" t="s">
        <v>2935</v>
      </c>
      <c r="E972">
        <v>9736</v>
      </c>
      <c r="F972" t="s">
        <v>23479</v>
      </c>
      <c r="G972">
        <v>1</v>
      </c>
      <c r="H972" t="s">
        <v>3352</v>
      </c>
      <c r="J972" t="s">
        <v>3353</v>
      </c>
      <c r="K972" t="s">
        <v>21</v>
      </c>
      <c r="L972" t="s">
        <v>80</v>
      </c>
      <c r="M972" t="s">
        <v>81</v>
      </c>
      <c r="N972" t="s">
        <v>3354</v>
      </c>
      <c r="O972" t="s">
        <v>3355</v>
      </c>
      <c r="P972" s="2" t="s">
        <v>26</v>
      </c>
      <c r="Q972" t="s">
        <v>50</v>
      </c>
      <c r="R972">
        <v>0</v>
      </c>
      <c r="S972">
        <v>4.84</v>
      </c>
      <c r="T972" t="s">
        <v>3356</v>
      </c>
    </row>
    <row r="973" spans="1:20" x14ac:dyDescent="0.25">
      <c r="A973" s="1" t="str">
        <f>HYPERLINK("https://vegkart.atlas.vegvesen.no/#/@17626.2,6844199.5,18/hva:hva%5B0%5D%5Bfilter%5D%5B0%5D%5Boperator%5D=%21%3D&amp;hva%5B0%5D%5Bfilter%5D%5B0%5D%5Btype_id%5D=9736&amp;hva%5B0%5D%5Bfilter%5D%5B0%5D%5Bverdi%5D=&amp;hva%5B0%5D%5Bid%5D=853/når:2015-11-16", "Vegkart")</f>
        <v>Vegkart</v>
      </c>
      <c r="B973">
        <v>645407212</v>
      </c>
      <c r="C973">
        <v>853</v>
      </c>
      <c r="D973" t="s">
        <v>2935</v>
      </c>
      <c r="E973">
        <v>9736</v>
      </c>
      <c r="F973" t="s">
        <v>23479</v>
      </c>
      <c r="G973">
        <v>1</v>
      </c>
      <c r="H973" t="s">
        <v>3352</v>
      </c>
      <c r="J973" t="s">
        <v>3353</v>
      </c>
      <c r="K973" t="s">
        <v>21</v>
      </c>
      <c r="L973" t="s">
        <v>80</v>
      </c>
      <c r="M973" t="s">
        <v>81</v>
      </c>
      <c r="N973" t="s">
        <v>3357</v>
      </c>
      <c r="O973" t="s">
        <v>3358</v>
      </c>
      <c r="P973" s="2" t="s">
        <v>26</v>
      </c>
      <c r="Q973" t="s">
        <v>50</v>
      </c>
      <c r="R973">
        <v>0</v>
      </c>
      <c r="S973">
        <v>4.88</v>
      </c>
      <c r="T973" t="s">
        <v>3359</v>
      </c>
    </row>
    <row r="974" spans="1:20" x14ac:dyDescent="0.25">
      <c r="A974" s="1" t="str">
        <f>HYPERLINK("https://vegkart.atlas.vegvesen.no/#/@17512.3,6844267.3,18/hva:hva%5B0%5D%5Bfilter%5D%5B0%5D%5Boperator%5D=%21%3D&amp;hva%5B0%5D%5Bfilter%5D%5B0%5D%5Btype_id%5D=9736&amp;hva%5B0%5D%5Bfilter%5D%5B0%5D%5Bverdi%5D=&amp;hva%5B0%5D%5Bid%5D=853/når:2015-11-16", "Vegkart")</f>
        <v>Vegkart</v>
      </c>
      <c r="B974">
        <v>645407213</v>
      </c>
      <c r="C974">
        <v>853</v>
      </c>
      <c r="D974" t="s">
        <v>2935</v>
      </c>
      <c r="E974">
        <v>9736</v>
      </c>
      <c r="F974" t="s">
        <v>23479</v>
      </c>
      <c r="G974">
        <v>1</v>
      </c>
      <c r="H974" t="s">
        <v>3352</v>
      </c>
      <c r="J974" t="s">
        <v>3353</v>
      </c>
      <c r="K974" t="s">
        <v>21</v>
      </c>
      <c r="L974" t="s">
        <v>80</v>
      </c>
      <c r="M974" t="s">
        <v>81</v>
      </c>
      <c r="N974" t="s">
        <v>3360</v>
      </c>
      <c r="O974" t="s">
        <v>3361</v>
      </c>
      <c r="P974" s="2" t="s">
        <v>165</v>
      </c>
      <c r="Q974" t="s">
        <v>311</v>
      </c>
      <c r="R974">
        <v>0</v>
      </c>
      <c r="S974">
        <v>4.16</v>
      </c>
      <c r="T974" t="s">
        <v>167</v>
      </c>
    </row>
    <row r="975" spans="1:20" x14ac:dyDescent="0.25">
      <c r="A975" s="1" t="str">
        <f>HYPERLINK("https://vegkart.atlas.vegvesen.no/#/@129826.2,6780262.9,18/hva:hva%5B0%5D%5Bfilter%5D%5B0%5D%5Boperator%5D=%21%3D&amp;hva%5B0%5D%5Bfilter%5D%5B0%5D%5Btype_id%5D=9736&amp;hva%5B0%5D%5Bfilter%5D%5B0%5D%5Bverdi%5D=&amp;hva%5B0%5D%5Bid%5D=853/når:2015-11-27", "Vegkart")</f>
        <v>Vegkart</v>
      </c>
      <c r="B975">
        <v>646590918</v>
      </c>
      <c r="C975">
        <v>853</v>
      </c>
      <c r="D975" t="s">
        <v>2935</v>
      </c>
      <c r="E975">
        <v>9736</v>
      </c>
      <c r="F975" t="s">
        <v>23479</v>
      </c>
      <c r="G975">
        <v>1</v>
      </c>
      <c r="H975" t="s">
        <v>3362</v>
      </c>
      <c r="J975" t="s">
        <v>3353</v>
      </c>
      <c r="K975" t="s">
        <v>21</v>
      </c>
      <c r="L975" t="s">
        <v>113</v>
      </c>
      <c r="M975" t="s">
        <v>3363</v>
      </c>
      <c r="N975" t="s">
        <v>3364</v>
      </c>
      <c r="O975" t="s">
        <v>3365</v>
      </c>
      <c r="P975" s="2" t="s">
        <v>26</v>
      </c>
      <c r="Q975" t="s">
        <v>50</v>
      </c>
      <c r="R975">
        <v>0</v>
      </c>
      <c r="S975">
        <v>4.83</v>
      </c>
      <c r="T975" t="s">
        <v>3366</v>
      </c>
    </row>
    <row r="976" spans="1:20" x14ac:dyDescent="0.25">
      <c r="A976" s="1" t="str">
        <f>HYPERLINK("https://vegkart.atlas.vegvesen.no/#/@129756.3,6780495.9,18/hva:hva%5B0%5D%5Bfilter%5D%5B0%5D%5Boperator%5D=%21%3D&amp;hva%5B0%5D%5Bfilter%5D%5B0%5D%5Btype_id%5D=9736&amp;hva%5B0%5D%5Bfilter%5D%5B0%5D%5Bverdi%5D=&amp;hva%5B0%5D%5Bid%5D=853/når:2015-11-27", "Vegkart")</f>
        <v>Vegkart</v>
      </c>
      <c r="B976">
        <v>646590919</v>
      </c>
      <c r="C976">
        <v>853</v>
      </c>
      <c r="D976" t="s">
        <v>2935</v>
      </c>
      <c r="E976">
        <v>9736</v>
      </c>
      <c r="F976" t="s">
        <v>23479</v>
      </c>
      <c r="G976">
        <v>1</v>
      </c>
      <c r="H976" t="s">
        <v>3362</v>
      </c>
      <c r="J976" t="s">
        <v>3353</v>
      </c>
      <c r="K976" t="s">
        <v>21</v>
      </c>
      <c r="L976" t="s">
        <v>113</v>
      </c>
      <c r="M976" t="s">
        <v>3363</v>
      </c>
      <c r="N976" t="s">
        <v>3367</v>
      </c>
      <c r="O976" t="s">
        <v>3368</v>
      </c>
      <c r="P976" s="2" t="s">
        <v>26</v>
      </c>
      <c r="Q976" t="s">
        <v>50</v>
      </c>
      <c r="R976">
        <v>0</v>
      </c>
      <c r="S976">
        <v>4.76</v>
      </c>
      <c r="T976" t="s">
        <v>3369</v>
      </c>
    </row>
    <row r="977" spans="1:20" x14ac:dyDescent="0.25">
      <c r="A977" s="1" t="str">
        <f>HYPERLINK("https://vegkart.atlas.vegvesen.no/#/@129658.7,6780727.0,18/hva:hva%5B0%5D%5Bfilter%5D%5B0%5D%5Boperator%5D=%21%3D&amp;hva%5B0%5D%5Bfilter%5D%5B0%5D%5Btype_id%5D=9736&amp;hva%5B0%5D%5Bfilter%5D%5B0%5D%5Bverdi%5D=&amp;hva%5B0%5D%5Bid%5D=853/når:2015-11-27", "Vegkart")</f>
        <v>Vegkart</v>
      </c>
      <c r="B977">
        <v>646590920</v>
      </c>
      <c r="C977">
        <v>853</v>
      </c>
      <c r="D977" t="s">
        <v>2935</v>
      </c>
      <c r="E977">
        <v>9736</v>
      </c>
      <c r="F977" t="s">
        <v>23479</v>
      </c>
      <c r="G977">
        <v>1</v>
      </c>
      <c r="H977" t="s">
        <v>3362</v>
      </c>
      <c r="J977" t="s">
        <v>3353</v>
      </c>
      <c r="K977" t="s">
        <v>21</v>
      </c>
      <c r="L977" t="s">
        <v>113</v>
      </c>
      <c r="M977" t="s">
        <v>3363</v>
      </c>
      <c r="N977" t="s">
        <v>3370</v>
      </c>
      <c r="O977" t="s">
        <v>3371</v>
      </c>
      <c r="P977" s="2" t="s">
        <v>26</v>
      </c>
      <c r="Q977" t="s">
        <v>50</v>
      </c>
      <c r="R977">
        <v>0</v>
      </c>
      <c r="S977">
        <v>4.68</v>
      </c>
      <c r="T977" t="s">
        <v>3372</v>
      </c>
    </row>
    <row r="978" spans="1:20" x14ac:dyDescent="0.25">
      <c r="A978" s="1" t="str">
        <f>HYPERLINK("https://vegkart.atlas.vegvesen.no/#/@129560.7,6780957.2,18/hva:hva%5B0%5D%5Bfilter%5D%5B0%5D%5Boperator%5D=%21%3D&amp;hva%5B0%5D%5Bfilter%5D%5B0%5D%5Btype_id%5D=9736&amp;hva%5B0%5D%5Bfilter%5D%5B0%5D%5Bverdi%5D=&amp;hva%5B0%5D%5Bid%5D=853/når:2015-11-27", "Vegkart")</f>
        <v>Vegkart</v>
      </c>
      <c r="B978">
        <v>646590921</v>
      </c>
      <c r="C978">
        <v>853</v>
      </c>
      <c r="D978" t="s">
        <v>2935</v>
      </c>
      <c r="E978">
        <v>9736</v>
      </c>
      <c r="F978" t="s">
        <v>23479</v>
      </c>
      <c r="G978">
        <v>1</v>
      </c>
      <c r="H978" t="s">
        <v>3362</v>
      </c>
      <c r="J978" t="s">
        <v>3353</v>
      </c>
      <c r="K978" t="s">
        <v>21</v>
      </c>
      <c r="L978" t="s">
        <v>113</v>
      </c>
      <c r="M978" t="s">
        <v>3363</v>
      </c>
      <c r="N978" t="s">
        <v>3373</v>
      </c>
      <c r="O978" t="s">
        <v>3374</v>
      </c>
      <c r="P978" s="2" t="s">
        <v>26</v>
      </c>
      <c r="Q978" t="s">
        <v>50</v>
      </c>
      <c r="R978">
        <v>0</v>
      </c>
      <c r="S978">
        <v>4.7</v>
      </c>
      <c r="T978" t="s">
        <v>3375</v>
      </c>
    </row>
    <row r="979" spans="1:20" x14ac:dyDescent="0.25">
      <c r="A979" s="1" t="str">
        <f>HYPERLINK("https://vegkart.atlas.vegvesen.no/#/@129448.0,6781220.5,18/hva:hva%5B0%5D%5Bfilter%5D%5B0%5D%5Boperator%5D=%21%3D&amp;hva%5B0%5D%5Bfilter%5D%5B0%5D%5Btype_id%5D=9736&amp;hva%5B0%5D%5Bfilter%5D%5B0%5D%5Bverdi%5D=&amp;hva%5B0%5D%5Bid%5D=853/når:2015-11-27", "Vegkart")</f>
        <v>Vegkart</v>
      </c>
      <c r="B979">
        <v>646590922</v>
      </c>
      <c r="C979">
        <v>853</v>
      </c>
      <c r="D979" t="s">
        <v>2935</v>
      </c>
      <c r="E979">
        <v>9736</v>
      </c>
      <c r="F979" t="s">
        <v>23479</v>
      </c>
      <c r="G979">
        <v>1</v>
      </c>
      <c r="H979" t="s">
        <v>3362</v>
      </c>
      <c r="J979" t="s">
        <v>3353</v>
      </c>
      <c r="K979" t="s">
        <v>21</v>
      </c>
      <c r="L979" t="s">
        <v>113</v>
      </c>
      <c r="M979" t="s">
        <v>3363</v>
      </c>
      <c r="N979" t="s">
        <v>3376</v>
      </c>
      <c r="O979" t="s">
        <v>3377</v>
      </c>
      <c r="P979" s="2" t="s">
        <v>26</v>
      </c>
      <c r="Q979" t="s">
        <v>50</v>
      </c>
      <c r="R979">
        <v>0</v>
      </c>
      <c r="S979">
        <v>4.88</v>
      </c>
      <c r="T979" t="s">
        <v>3378</v>
      </c>
    </row>
    <row r="980" spans="1:20" x14ac:dyDescent="0.25">
      <c r="A980" s="1" t="str">
        <f>HYPERLINK("https://vegkart.atlas.vegvesen.no/#/@129368.9,6781413.7,18/hva:hva%5B0%5D%5Bfilter%5D%5B0%5D%5Boperator%5D=%21%3D&amp;hva%5B0%5D%5Bfilter%5D%5B0%5D%5Btype_id%5D=9736&amp;hva%5B0%5D%5Bfilter%5D%5B0%5D%5Bverdi%5D=&amp;hva%5B0%5D%5Bid%5D=853/når:2015-11-27", "Vegkart")</f>
        <v>Vegkart</v>
      </c>
      <c r="B980">
        <v>646590923</v>
      </c>
      <c r="C980">
        <v>853</v>
      </c>
      <c r="D980" t="s">
        <v>2935</v>
      </c>
      <c r="E980">
        <v>9736</v>
      </c>
      <c r="F980" t="s">
        <v>23479</v>
      </c>
      <c r="G980">
        <v>1</v>
      </c>
      <c r="H980" t="s">
        <v>3362</v>
      </c>
      <c r="J980" t="s">
        <v>3353</v>
      </c>
      <c r="K980" t="s">
        <v>21</v>
      </c>
      <c r="L980" t="s">
        <v>113</v>
      </c>
      <c r="M980" t="s">
        <v>3363</v>
      </c>
      <c r="N980" t="s">
        <v>3379</v>
      </c>
      <c r="O980" t="s">
        <v>3380</v>
      </c>
      <c r="P980" s="2" t="s">
        <v>26</v>
      </c>
      <c r="Q980" t="s">
        <v>50</v>
      </c>
      <c r="R980">
        <v>0</v>
      </c>
      <c r="S980">
        <v>4.57</v>
      </c>
      <c r="T980" t="s">
        <v>3381</v>
      </c>
    </row>
    <row r="981" spans="1:20" x14ac:dyDescent="0.25">
      <c r="A981" s="1" t="str">
        <f>HYPERLINK("https://vegkart.atlas.vegvesen.no/#/@129320.0,6781665.2,18/hva:hva%5B0%5D%5Bfilter%5D%5B0%5D%5Boperator%5D=%21%3D&amp;hva%5B0%5D%5Bfilter%5D%5B0%5D%5Btype_id%5D=9736&amp;hva%5B0%5D%5Bfilter%5D%5B0%5D%5Bverdi%5D=&amp;hva%5B0%5D%5Bid%5D=853/når:2015-11-27", "Vegkart")</f>
        <v>Vegkart</v>
      </c>
      <c r="B981">
        <v>646590924</v>
      </c>
      <c r="C981">
        <v>853</v>
      </c>
      <c r="D981" t="s">
        <v>2935</v>
      </c>
      <c r="E981">
        <v>9736</v>
      </c>
      <c r="F981" t="s">
        <v>23479</v>
      </c>
      <c r="G981">
        <v>1</v>
      </c>
      <c r="H981" t="s">
        <v>3362</v>
      </c>
      <c r="J981" t="s">
        <v>3353</v>
      </c>
      <c r="K981" t="s">
        <v>21</v>
      </c>
      <c r="L981" t="s">
        <v>113</v>
      </c>
      <c r="M981" t="s">
        <v>3363</v>
      </c>
      <c r="N981" t="s">
        <v>3382</v>
      </c>
      <c r="O981" t="s">
        <v>3383</v>
      </c>
      <c r="P981" s="2" t="s">
        <v>26</v>
      </c>
      <c r="Q981" t="s">
        <v>50</v>
      </c>
      <c r="R981">
        <v>0</v>
      </c>
      <c r="S981">
        <v>4.6500000000000004</v>
      </c>
      <c r="T981" t="s">
        <v>3384</v>
      </c>
    </row>
    <row r="982" spans="1:20" x14ac:dyDescent="0.25">
      <c r="A982" s="1" t="str">
        <f>HYPERLINK("https://vegkart.atlas.vegvesen.no/#/@129258.8,6781904.4,18/hva:hva%5B0%5D%5Bfilter%5D%5B0%5D%5Boperator%5D=%21%3D&amp;hva%5B0%5D%5Bfilter%5D%5B0%5D%5Btype_id%5D=9736&amp;hva%5B0%5D%5Bfilter%5D%5B0%5D%5Bverdi%5D=&amp;hva%5B0%5D%5Bid%5D=853/når:2015-11-27", "Vegkart")</f>
        <v>Vegkart</v>
      </c>
      <c r="B982">
        <v>646590925</v>
      </c>
      <c r="C982">
        <v>853</v>
      </c>
      <c r="D982" t="s">
        <v>2935</v>
      </c>
      <c r="E982">
        <v>9736</v>
      </c>
      <c r="F982" t="s">
        <v>23479</v>
      </c>
      <c r="G982">
        <v>1</v>
      </c>
      <c r="H982" t="s">
        <v>3362</v>
      </c>
      <c r="J982" t="s">
        <v>3353</v>
      </c>
      <c r="K982" t="s">
        <v>21</v>
      </c>
      <c r="L982" t="s">
        <v>113</v>
      </c>
      <c r="M982" t="s">
        <v>3363</v>
      </c>
      <c r="N982" t="s">
        <v>3385</v>
      </c>
      <c r="O982" t="s">
        <v>3386</v>
      </c>
      <c r="P982" s="2" t="s">
        <v>26</v>
      </c>
      <c r="Q982" t="s">
        <v>50</v>
      </c>
      <c r="R982">
        <v>0</v>
      </c>
      <c r="S982">
        <v>4.78</v>
      </c>
      <c r="T982" t="s">
        <v>3387</v>
      </c>
    </row>
    <row r="983" spans="1:20" x14ac:dyDescent="0.25">
      <c r="A983" s="1" t="str">
        <f>HYPERLINK("https://vegkart.atlas.vegvesen.no/#/@129147.9,6782132.6,18/hva:hva%5B0%5D%5Bfilter%5D%5B0%5D%5Boperator%5D=%21%3D&amp;hva%5B0%5D%5Bfilter%5D%5B0%5D%5Btype_id%5D=9736&amp;hva%5B0%5D%5Bfilter%5D%5B0%5D%5Bverdi%5D=&amp;hva%5B0%5D%5Bid%5D=853/når:2015-11-27", "Vegkart")</f>
        <v>Vegkart</v>
      </c>
      <c r="B983">
        <v>646590926</v>
      </c>
      <c r="C983">
        <v>853</v>
      </c>
      <c r="D983" t="s">
        <v>2935</v>
      </c>
      <c r="E983">
        <v>9736</v>
      </c>
      <c r="F983" t="s">
        <v>23479</v>
      </c>
      <c r="G983">
        <v>1</v>
      </c>
      <c r="H983" t="s">
        <v>3362</v>
      </c>
      <c r="J983" t="s">
        <v>3353</v>
      </c>
      <c r="K983" t="s">
        <v>21</v>
      </c>
      <c r="L983" t="s">
        <v>113</v>
      </c>
      <c r="M983" t="s">
        <v>3363</v>
      </c>
      <c r="N983" t="s">
        <v>3388</v>
      </c>
      <c r="O983" t="s">
        <v>3389</v>
      </c>
      <c r="P983" s="2" t="s">
        <v>26</v>
      </c>
      <c r="Q983" t="s">
        <v>50</v>
      </c>
      <c r="R983">
        <v>0</v>
      </c>
      <c r="S983">
        <v>4.68</v>
      </c>
      <c r="T983" t="s">
        <v>3390</v>
      </c>
    </row>
    <row r="984" spans="1:20" x14ac:dyDescent="0.25">
      <c r="A984" s="1" t="str">
        <f>HYPERLINK("https://vegkart.atlas.vegvesen.no/#/@129035.0,6782353.6,18/hva:hva%5B0%5D%5Bfilter%5D%5B0%5D%5Boperator%5D=%21%3D&amp;hva%5B0%5D%5Bfilter%5D%5B0%5D%5Btype_id%5D=9736&amp;hva%5B0%5D%5Bfilter%5D%5B0%5D%5Bverdi%5D=&amp;hva%5B0%5D%5Bid%5D=853/når:2015-11-27", "Vegkart")</f>
        <v>Vegkart</v>
      </c>
      <c r="B984">
        <v>646590927</v>
      </c>
      <c r="C984">
        <v>853</v>
      </c>
      <c r="D984" t="s">
        <v>2935</v>
      </c>
      <c r="E984">
        <v>9736</v>
      </c>
      <c r="F984" t="s">
        <v>23479</v>
      </c>
      <c r="G984">
        <v>1</v>
      </c>
      <c r="H984" t="s">
        <v>3362</v>
      </c>
      <c r="J984" t="s">
        <v>3353</v>
      </c>
      <c r="K984" t="s">
        <v>21</v>
      </c>
      <c r="L984" t="s">
        <v>113</v>
      </c>
      <c r="M984" t="s">
        <v>3363</v>
      </c>
      <c r="N984" t="s">
        <v>3391</v>
      </c>
      <c r="O984" t="s">
        <v>3392</v>
      </c>
      <c r="P984" s="2" t="s">
        <v>26</v>
      </c>
      <c r="Q984" t="s">
        <v>50</v>
      </c>
      <c r="R984">
        <v>0</v>
      </c>
      <c r="S984">
        <v>4.7</v>
      </c>
      <c r="T984" t="s">
        <v>3393</v>
      </c>
    </row>
    <row r="985" spans="1:20" x14ac:dyDescent="0.25">
      <c r="A985" s="1" t="str">
        <f>HYPERLINK("https://vegkart.atlas.vegvesen.no/#/@128842.8,6782507.5,18/hva:hva%5B0%5D%5Bfilter%5D%5B0%5D%5Boperator%5D=%21%3D&amp;hva%5B0%5D%5Bfilter%5D%5B0%5D%5Btype_id%5D=9736&amp;hva%5B0%5D%5Bfilter%5D%5B0%5D%5Bverdi%5D=&amp;hva%5B0%5D%5Bid%5D=853/når:2015-11-27", "Vegkart")</f>
        <v>Vegkart</v>
      </c>
      <c r="B985">
        <v>646590928</v>
      </c>
      <c r="C985">
        <v>853</v>
      </c>
      <c r="D985" t="s">
        <v>2935</v>
      </c>
      <c r="E985">
        <v>9736</v>
      </c>
      <c r="F985" t="s">
        <v>23479</v>
      </c>
      <c r="G985">
        <v>1</v>
      </c>
      <c r="H985" t="s">
        <v>3362</v>
      </c>
      <c r="J985" t="s">
        <v>3353</v>
      </c>
      <c r="K985" t="s">
        <v>21</v>
      </c>
      <c r="L985" t="s">
        <v>113</v>
      </c>
      <c r="M985" t="s">
        <v>3363</v>
      </c>
      <c r="N985" t="s">
        <v>3394</v>
      </c>
      <c r="O985" t="s">
        <v>3395</v>
      </c>
      <c r="P985" s="2" t="s">
        <v>26</v>
      </c>
      <c r="Q985" t="s">
        <v>50</v>
      </c>
      <c r="R985">
        <v>0</v>
      </c>
      <c r="S985">
        <v>4.5199999999999996</v>
      </c>
      <c r="T985" t="s">
        <v>3396</v>
      </c>
    </row>
    <row r="986" spans="1:20" x14ac:dyDescent="0.25">
      <c r="A986" s="1" t="str">
        <f>HYPERLINK("https://vegkart.atlas.vegvesen.no/#/@128623.8,6782633.6,18/hva:hva%5B0%5D%5Bfilter%5D%5B0%5D%5Boperator%5D=%21%3D&amp;hva%5B0%5D%5Bfilter%5D%5B0%5D%5Btype_id%5D=9736&amp;hva%5B0%5D%5Bfilter%5D%5B0%5D%5Bverdi%5D=&amp;hva%5B0%5D%5Bid%5D=853/når:2015-11-27", "Vegkart")</f>
        <v>Vegkart</v>
      </c>
      <c r="B986">
        <v>646590929</v>
      </c>
      <c r="C986">
        <v>853</v>
      </c>
      <c r="D986" t="s">
        <v>2935</v>
      </c>
      <c r="E986">
        <v>9736</v>
      </c>
      <c r="F986" t="s">
        <v>23479</v>
      </c>
      <c r="G986">
        <v>1</v>
      </c>
      <c r="H986" t="s">
        <v>3362</v>
      </c>
      <c r="J986" t="s">
        <v>3353</v>
      </c>
      <c r="K986" t="s">
        <v>21</v>
      </c>
      <c r="L986" t="s">
        <v>113</v>
      </c>
      <c r="M986" t="s">
        <v>3363</v>
      </c>
      <c r="N986" t="s">
        <v>3397</v>
      </c>
      <c r="O986" t="s">
        <v>3398</v>
      </c>
      <c r="P986" s="2" t="s">
        <v>26</v>
      </c>
      <c r="Q986" t="s">
        <v>50</v>
      </c>
      <c r="R986">
        <v>0</v>
      </c>
      <c r="S986">
        <v>5.15</v>
      </c>
      <c r="T986" t="s">
        <v>3399</v>
      </c>
    </row>
    <row r="987" spans="1:20" x14ac:dyDescent="0.25">
      <c r="A987" s="1" t="str">
        <f>HYPERLINK("https://vegkart.atlas.vegvesen.no/#/@128415.6,6782772.0,18/hva:hva%5B0%5D%5Bfilter%5D%5B0%5D%5Boperator%5D=%21%3D&amp;hva%5B0%5D%5Bfilter%5D%5B0%5D%5Btype_id%5D=9736&amp;hva%5B0%5D%5Bfilter%5D%5B0%5D%5Bverdi%5D=&amp;hva%5B0%5D%5Bid%5D=853/når:2015-11-27", "Vegkart")</f>
        <v>Vegkart</v>
      </c>
      <c r="B987">
        <v>646590930</v>
      </c>
      <c r="C987">
        <v>853</v>
      </c>
      <c r="D987" t="s">
        <v>2935</v>
      </c>
      <c r="E987">
        <v>9736</v>
      </c>
      <c r="F987" t="s">
        <v>23479</v>
      </c>
      <c r="G987">
        <v>1</v>
      </c>
      <c r="H987" t="s">
        <v>3362</v>
      </c>
      <c r="J987" t="s">
        <v>3353</v>
      </c>
      <c r="K987" t="s">
        <v>21</v>
      </c>
      <c r="L987" t="s">
        <v>113</v>
      </c>
      <c r="M987" t="s">
        <v>3363</v>
      </c>
      <c r="N987" t="s">
        <v>3400</v>
      </c>
      <c r="O987" t="s">
        <v>3401</v>
      </c>
      <c r="P987" s="2" t="s">
        <v>26</v>
      </c>
      <c r="Q987" t="s">
        <v>50</v>
      </c>
      <c r="R987">
        <v>0</v>
      </c>
      <c r="S987">
        <v>4.76</v>
      </c>
      <c r="T987" t="s">
        <v>3402</v>
      </c>
    </row>
    <row r="988" spans="1:20" x14ac:dyDescent="0.25">
      <c r="A988" s="1" t="str">
        <f>HYPERLINK("https://vegkart.atlas.vegvesen.no/#/@128240.0,6782950.5,18/hva:hva%5B0%5D%5Bfilter%5D%5B0%5D%5Boperator%5D=%21%3D&amp;hva%5B0%5D%5Bfilter%5D%5B0%5D%5Btype_id%5D=9736&amp;hva%5B0%5D%5Bfilter%5D%5B0%5D%5Bverdi%5D=&amp;hva%5B0%5D%5Bid%5D=853/når:2015-11-27", "Vegkart")</f>
        <v>Vegkart</v>
      </c>
      <c r="B988">
        <v>646590931</v>
      </c>
      <c r="C988">
        <v>853</v>
      </c>
      <c r="D988" t="s">
        <v>2935</v>
      </c>
      <c r="E988">
        <v>9736</v>
      </c>
      <c r="F988" t="s">
        <v>23479</v>
      </c>
      <c r="G988">
        <v>1</v>
      </c>
      <c r="H988" t="s">
        <v>3362</v>
      </c>
      <c r="J988" t="s">
        <v>3353</v>
      </c>
      <c r="K988" t="s">
        <v>21</v>
      </c>
      <c r="L988" t="s">
        <v>113</v>
      </c>
      <c r="M988" t="s">
        <v>3363</v>
      </c>
      <c r="N988" t="s">
        <v>3403</v>
      </c>
      <c r="O988" t="s">
        <v>3404</v>
      </c>
      <c r="P988" s="2" t="s">
        <v>26</v>
      </c>
      <c r="Q988" t="s">
        <v>50</v>
      </c>
      <c r="R988">
        <v>0</v>
      </c>
      <c r="S988">
        <v>4.51</v>
      </c>
      <c r="T988" t="s">
        <v>3405</v>
      </c>
    </row>
    <row r="989" spans="1:20" x14ac:dyDescent="0.25">
      <c r="A989" s="1" t="str">
        <f>HYPERLINK("https://vegkart.atlas.vegvesen.no/#/@128115.4,6783106.8,18/hva:hva%5B0%5D%5Bfilter%5D%5B0%5D%5Boperator%5D=%21%3D&amp;hva%5B0%5D%5Bfilter%5D%5B0%5D%5Btype_id%5D=9736&amp;hva%5B0%5D%5Bfilter%5D%5B0%5D%5Bverdi%5D=&amp;hva%5B0%5D%5Bid%5D=853/når:2015-11-27", "Vegkart")</f>
        <v>Vegkart</v>
      </c>
      <c r="B989">
        <v>646590932</v>
      </c>
      <c r="C989">
        <v>853</v>
      </c>
      <c r="D989" t="s">
        <v>2935</v>
      </c>
      <c r="E989">
        <v>9736</v>
      </c>
      <c r="F989" t="s">
        <v>23479</v>
      </c>
      <c r="G989">
        <v>1</v>
      </c>
      <c r="H989" t="s">
        <v>3362</v>
      </c>
      <c r="J989" t="s">
        <v>3353</v>
      </c>
      <c r="K989" t="s">
        <v>21</v>
      </c>
      <c r="L989" t="s">
        <v>113</v>
      </c>
      <c r="M989" t="s">
        <v>3363</v>
      </c>
      <c r="N989" t="s">
        <v>3406</v>
      </c>
      <c r="O989" t="s">
        <v>3407</v>
      </c>
      <c r="P989" s="2" t="s">
        <v>26</v>
      </c>
      <c r="Q989" t="s">
        <v>50</v>
      </c>
      <c r="R989">
        <v>0</v>
      </c>
      <c r="S989">
        <v>4.6500000000000004</v>
      </c>
      <c r="T989" t="s">
        <v>3408</v>
      </c>
    </row>
    <row r="990" spans="1:20" x14ac:dyDescent="0.25">
      <c r="A990" s="1" t="str">
        <f>HYPERLINK("https://vegkart.atlas.vegvesen.no/#/@173139.4,6674408.7,18/hva:hva%5B0%5D%5Bfilter%5D%5B0%5D%5Boperator%5D=%21%3D&amp;hva%5B0%5D%5Bfilter%5D%5B0%5D%5Btype_id%5D=9736&amp;hva%5B0%5D%5Bfilter%5D%5B0%5D%5Bverdi%5D=&amp;hva%5B0%5D%5Bid%5D=853/når:2022-10-04", "Vegkart")</f>
        <v>Vegkart</v>
      </c>
      <c r="B990">
        <v>655715656</v>
      </c>
      <c r="C990">
        <v>853</v>
      </c>
      <c r="D990" t="s">
        <v>2935</v>
      </c>
      <c r="E990">
        <v>9736</v>
      </c>
      <c r="F990" t="s">
        <v>23479</v>
      </c>
      <c r="G990">
        <v>2</v>
      </c>
      <c r="H990" t="s">
        <v>3409</v>
      </c>
      <c r="J990" t="s">
        <v>3353</v>
      </c>
      <c r="K990" t="s">
        <v>307</v>
      </c>
      <c r="L990" t="s">
        <v>33</v>
      </c>
      <c r="M990" t="s">
        <v>197</v>
      </c>
      <c r="N990" t="s">
        <v>3410</v>
      </c>
      <c r="O990" t="s">
        <v>3411</v>
      </c>
      <c r="P990" s="2" t="s">
        <v>26</v>
      </c>
      <c r="Q990" t="s">
        <v>50</v>
      </c>
      <c r="R990">
        <v>0</v>
      </c>
      <c r="S990">
        <v>4.5599999999999996</v>
      </c>
      <c r="T990" t="s">
        <v>3412</v>
      </c>
    </row>
    <row r="991" spans="1:20" x14ac:dyDescent="0.25">
      <c r="A991" s="1" t="str">
        <f>HYPERLINK("https://vegkart.atlas.vegvesen.no/#/@173147.3,6674374.8,18/hva:hva%5B0%5D%5Bfilter%5D%5B0%5D%5Boperator%5D=%21%3D&amp;hva%5B0%5D%5Bfilter%5D%5B0%5D%5Btype_id%5D=9736&amp;hva%5B0%5D%5Bfilter%5D%5B0%5D%5Bverdi%5D=&amp;hva%5B0%5D%5Bid%5D=853/når:2022-10-04", "Vegkart")</f>
        <v>Vegkart</v>
      </c>
      <c r="B991">
        <v>655715657</v>
      </c>
      <c r="C991">
        <v>853</v>
      </c>
      <c r="D991" t="s">
        <v>2935</v>
      </c>
      <c r="E991">
        <v>9736</v>
      </c>
      <c r="F991" t="s">
        <v>23479</v>
      </c>
      <c r="G991">
        <v>2</v>
      </c>
      <c r="H991" t="s">
        <v>3409</v>
      </c>
      <c r="J991" t="s">
        <v>3353</v>
      </c>
      <c r="K991" t="s">
        <v>307</v>
      </c>
      <c r="L991" t="s">
        <v>33</v>
      </c>
      <c r="M991" t="s">
        <v>197</v>
      </c>
      <c r="N991" t="s">
        <v>3413</v>
      </c>
      <c r="O991" t="s">
        <v>3414</v>
      </c>
      <c r="P991" s="2" t="s">
        <v>26</v>
      </c>
      <c r="Q991" t="s">
        <v>50</v>
      </c>
      <c r="R991">
        <v>0</v>
      </c>
      <c r="S991">
        <v>4.58</v>
      </c>
      <c r="T991" t="s">
        <v>3415</v>
      </c>
    </row>
    <row r="992" spans="1:20" x14ac:dyDescent="0.25">
      <c r="A992" s="1" t="str">
        <f>HYPERLINK("https://vegkart.atlas.vegvesen.no/#/@461845.5,7355658.9,18/hva:hva%5B0%5D%5Bfilter%5D%5B0%5D%5Boperator%5D=%21%3D&amp;hva%5B0%5D%5Bfilter%5D%5B0%5D%5Btype_id%5D=9736&amp;hva%5B0%5D%5Bfilter%5D%5B0%5D%5Bverdi%5D=&amp;hva%5B0%5D%5Bid%5D=853/når:2015-12-15", "Vegkart")</f>
        <v>Vegkart</v>
      </c>
      <c r="B992">
        <v>657109049</v>
      </c>
      <c r="C992">
        <v>853</v>
      </c>
      <c r="D992" t="s">
        <v>2935</v>
      </c>
      <c r="E992">
        <v>9736</v>
      </c>
      <c r="F992" t="s">
        <v>23479</v>
      </c>
      <c r="G992">
        <v>1</v>
      </c>
      <c r="H992" t="s">
        <v>3416</v>
      </c>
      <c r="J992" t="s">
        <v>3417</v>
      </c>
      <c r="K992" t="s">
        <v>53</v>
      </c>
      <c r="L992" t="s">
        <v>80</v>
      </c>
      <c r="M992" t="s">
        <v>3418</v>
      </c>
      <c r="N992" t="s">
        <v>3419</v>
      </c>
      <c r="O992" t="s">
        <v>3420</v>
      </c>
      <c r="P992" s="2" t="s">
        <v>26</v>
      </c>
      <c r="Q992" t="s">
        <v>50</v>
      </c>
      <c r="R992">
        <v>0</v>
      </c>
      <c r="S992">
        <v>4.84</v>
      </c>
      <c r="T992" t="s">
        <v>3421</v>
      </c>
    </row>
    <row r="993" spans="1:20" x14ac:dyDescent="0.25">
      <c r="A993" s="1" t="str">
        <f>HYPERLINK("https://vegkart.atlas.vegvesen.no/#/@461827.0,7355664.9,18/hva:hva%5B0%5D%5Bfilter%5D%5B0%5D%5Boperator%5D=%21%3D&amp;hva%5B0%5D%5Bfilter%5D%5B0%5D%5Btype_id%5D=9736&amp;hva%5B0%5D%5Bfilter%5D%5B0%5D%5Bverdi%5D=&amp;hva%5B0%5D%5Bid%5D=853/når:2015-12-15", "Vegkart")</f>
        <v>Vegkart</v>
      </c>
      <c r="B993">
        <v>657109050</v>
      </c>
      <c r="C993">
        <v>853</v>
      </c>
      <c r="D993" t="s">
        <v>2935</v>
      </c>
      <c r="E993">
        <v>9736</v>
      </c>
      <c r="F993" t="s">
        <v>23479</v>
      </c>
      <c r="G993">
        <v>1</v>
      </c>
      <c r="H993" t="s">
        <v>3416</v>
      </c>
      <c r="J993" t="s">
        <v>3417</v>
      </c>
      <c r="K993" t="s">
        <v>53</v>
      </c>
      <c r="L993" t="s">
        <v>80</v>
      </c>
      <c r="M993" t="s">
        <v>3418</v>
      </c>
      <c r="N993" t="s">
        <v>3422</v>
      </c>
      <c r="O993" t="s">
        <v>3423</v>
      </c>
      <c r="P993" s="2" t="s">
        <v>26</v>
      </c>
      <c r="Q993" t="s">
        <v>50</v>
      </c>
      <c r="R993">
        <v>0</v>
      </c>
      <c r="S993">
        <v>4.6900000000000004</v>
      </c>
      <c r="T993" t="s">
        <v>3424</v>
      </c>
    </row>
    <row r="994" spans="1:20" x14ac:dyDescent="0.25">
      <c r="A994" s="1" t="str">
        <f>HYPERLINK("https://vegkart.atlas.vegvesen.no/#/@461902.0,7355665.8,18/hva:hva%5B0%5D%5Bfilter%5D%5B0%5D%5Boperator%5D=%21%3D&amp;hva%5B0%5D%5Bfilter%5D%5B0%5D%5Btype_id%5D=9736&amp;hva%5B0%5D%5Bfilter%5D%5B0%5D%5Bverdi%5D=&amp;hva%5B0%5D%5Bid%5D=853/når:2015-12-15", "Vegkart")</f>
        <v>Vegkart</v>
      </c>
      <c r="B994">
        <v>657109051</v>
      </c>
      <c r="C994">
        <v>853</v>
      </c>
      <c r="D994" t="s">
        <v>2935</v>
      </c>
      <c r="E994">
        <v>9736</v>
      </c>
      <c r="F994" t="s">
        <v>23479</v>
      </c>
      <c r="G994">
        <v>1</v>
      </c>
      <c r="H994" t="s">
        <v>3416</v>
      </c>
      <c r="J994" t="s">
        <v>3417</v>
      </c>
      <c r="K994" t="s">
        <v>53</v>
      </c>
      <c r="L994" t="s">
        <v>80</v>
      </c>
      <c r="M994" t="s">
        <v>3418</v>
      </c>
      <c r="N994" t="s">
        <v>3425</v>
      </c>
      <c r="O994" t="s">
        <v>3426</v>
      </c>
      <c r="P994" s="2" t="s">
        <v>26</v>
      </c>
      <c r="Q994" t="s">
        <v>50</v>
      </c>
      <c r="R994">
        <v>0</v>
      </c>
      <c r="S994">
        <v>4.55</v>
      </c>
      <c r="T994" t="s">
        <v>3427</v>
      </c>
    </row>
    <row r="995" spans="1:20" x14ac:dyDescent="0.25">
      <c r="A995" s="1" t="str">
        <f>HYPERLINK("https://vegkart.atlas.vegvesen.no/#/@461902.4,7355683.8,18/hva:hva%5B0%5D%5Bfilter%5D%5B0%5D%5Boperator%5D=%21%3D&amp;hva%5B0%5D%5Bfilter%5D%5B0%5D%5Btype_id%5D=9736&amp;hva%5B0%5D%5Bfilter%5D%5B0%5D%5Bverdi%5D=&amp;hva%5B0%5D%5Bid%5D=853/når:2015-12-15", "Vegkart")</f>
        <v>Vegkart</v>
      </c>
      <c r="B995">
        <v>657109052</v>
      </c>
      <c r="C995">
        <v>853</v>
      </c>
      <c r="D995" t="s">
        <v>2935</v>
      </c>
      <c r="E995">
        <v>9736</v>
      </c>
      <c r="F995" t="s">
        <v>23479</v>
      </c>
      <c r="G995">
        <v>1</v>
      </c>
      <c r="H995" t="s">
        <v>3416</v>
      </c>
      <c r="J995" t="s">
        <v>3417</v>
      </c>
      <c r="K995" t="s">
        <v>53</v>
      </c>
      <c r="L995" t="s">
        <v>80</v>
      </c>
      <c r="M995" t="s">
        <v>3418</v>
      </c>
      <c r="N995" t="s">
        <v>3425</v>
      </c>
      <c r="O995" t="s">
        <v>3428</v>
      </c>
      <c r="P995" s="2" t="s">
        <v>26</v>
      </c>
      <c r="Q995" t="s">
        <v>50</v>
      </c>
      <c r="R995">
        <v>0</v>
      </c>
      <c r="S995">
        <v>4.9400000000000004</v>
      </c>
      <c r="T995" t="s">
        <v>3429</v>
      </c>
    </row>
    <row r="996" spans="1:20" x14ac:dyDescent="0.25">
      <c r="A996" s="1" t="str">
        <f>HYPERLINK("https://vegkart.atlas.vegvesen.no/#/@461876.9,7355698.8,18/hva:hva%5B0%5D%5Bfilter%5D%5B0%5D%5Boperator%5D=%21%3D&amp;hva%5B0%5D%5Bfilter%5D%5B0%5D%5Btype_id%5D=9736&amp;hva%5B0%5D%5Bfilter%5D%5B0%5D%5Bverdi%5D=&amp;hva%5B0%5D%5Bid%5D=853/når:2015-12-15", "Vegkart")</f>
        <v>Vegkart</v>
      </c>
      <c r="B996">
        <v>657109053</v>
      </c>
      <c r="C996">
        <v>853</v>
      </c>
      <c r="D996" t="s">
        <v>2935</v>
      </c>
      <c r="E996">
        <v>9736</v>
      </c>
      <c r="F996" t="s">
        <v>23479</v>
      </c>
      <c r="G996">
        <v>1</v>
      </c>
      <c r="H996" t="s">
        <v>3416</v>
      </c>
      <c r="J996" t="s">
        <v>3417</v>
      </c>
      <c r="K996" t="s">
        <v>53</v>
      </c>
      <c r="L996" t="s">
        <v>80</v>
      </c>
      <c r="M996" t="s">
        <v>3418</v>
      </c>
      <c r="N996" t="s">
        <v>3430</v>
      </c>
      <c r="O996" t="s">
        <v>3431</v>
      </c>
      <c r="P996" s="2" t="s">
        <v>26</v>
      </c>
      <c r="Q996" t="s">
        <v>50</v>
      </c>
      <c r="R996">
        <v>0</v>
      </c>
      <c r="S996">
        <v>4.78</v>
      </c>
      <c r="T996" t="s">
        <v>3432</v>
      </c>
    </row>
    <row r="997" spans="1:20" x14ac:dyDescent="0.25">
      <c r="A997" s="1" t="str">
        <f>HYPERLINK("https://vegkart.atlas.vegvesen.no/#/@461852.0,7355700.0,18/hva:hva%5B0%5D%5Bfilter%5D%5B0%5D%5Boperator%5D=%21%3D&amp;hva%5B0%5D%5Bfilter%5D%5B0%5D%5Btype_id%5D=9736&amp;hva%5B0%5D%5Bfilter%5D%5B0%5D%5Bverdi%5D=&amp;hva%5B0%5D%5Bid%5D=853/når:2015-12-15", "Vegkart")</f>
        <v>Vegkart</v>
      </c>
      <c r="B997">
        <v>657109054</v>
      </c>
      <c r="C997">
        <v>853</v>
      </c>
      <c r="D997" t="s">
        <v>2935</v>
      </c>
      <c r="E997">
        <v>9736</v>
      </c>
      <c r="F997" t="s">
        <v>23479</v>
      </c>
      <c r="G997">
        <v>1</v>
      </c>
      <c r="H997" t="s">
        <v>3416</v>
      </c>
      <c r="J997" t="s">
        <v>3417</v>
      </c>
      <c r="K997" t="s">
        <v>53</v>
      </c>
      <c r="L997" t="s">
        <v>80</v>
      </c>
      <c r="M997" t="s">
        <v>3418</v>
      </c>
      <c r="N997" t="s">
        <v>3433</v>
      </c>
      <c r="O997" t="s">
        <v>3434</v>
      </c>
      <c r="P997" s="2" t="s">
        <v>26</v>
      </c>
      <c r="Q997" t="s">
        <v>50</v>
      </c>
      <c r="R997">
        <v>0</v>
      </c>
      <c r="S997">
        <v>4.79</v>
      </c>
      <c r="T997" t="s">
        <v>3435</v>
      </c>
    </row>
    <row r="998" spans="1:20" x14ac:dyDescent="0.25">
      <c r="A998" s="1" t="str">
        <f>HYPERLINK("https://vegkart.atlas.vegvesen.no/#/@461831.2,7355687.0,18/hva:hva%5B0%5D%5Bfilter%5D%5B0%5D%5Boperator%5D=%21%3D&amp;hva%5B0%5D%5Bfilter%5D%5B0%5D%5Btype_id%5D=9736&amp;hva%5B0%5D%5Bfilter%5D%5B0%5D%5Bverdi%5D=&amp;hva%5B0%5D%5Bid%5D=853/når:2015-12-15", "Vegkart")</f>
        <v>Vegkart</v>
      </c>
      <c r="B998">
        <v>657109055</v>
      </c>
      <c r="C998">
        <v>853</v>
      </c>
      <c r="D998" t="s">
        <v>2935</v>
      </c>
      <c r="E998">
        <v>9736</v>
      </c>
      <c r="F998" t="s">
        <v>23479</v>
      </c>
      <c r="G998">
        <v>1</v>
      </c>
      <c r="H998" t="s">
        <v>3416</v>
      </c>
      <c r="J998" t="s">
        <v>3417</v>
      </c>
      <c r="K998" t="s">
        <v>53</v>
      </c>
      <c r="L998" t="s">
        <v>80</v>
      </c>
      <c r="M998" t="s">
        <v>3418</v>
      </c>
      <c r="N998" t="s">
        <v>3436</v>
      </c>
      <c r="O998" t="s">
        <v>3437</v>
      </c>
      <c r="P998" s="2" t="s">
        <v>26</v>
      </c>
      <c r="Q998" t="s">
        <v>50</v>
      </c>
      <c r="R998">
        <v>0</v>
      </c>
      <c r="S998">
        <v>4.75</v>
      </c>
      <c r="T998" t="s">
        <v>3438</v>
      </c>
    </row>
    <row r="999" spans="1:20" x14ac:dyDescent="0.25">
      <c r="A999" s="1" t="str">
        <f>HYPERLINK("https://vegkart.atlas.vegvesen.no/#/@266410.2,6625142.1,18/hva:hva%5B0%5D%5Bfilter%5D%5B0%5D%5Boperator%5D=%21%3D&amp;hva%5B0%5D%5Bfilter%5D%5B0%5D%5Btype_id%5D=9736&amp;hva%5B0%5D%5Bfilter%5D%5B0%5D%5Bverdi%5D=&amp;hva%5B0%5D%5Bid%5D=853/når:2015-11-02", "Vegkart")</f>
        <v>Vegkart</v>
      </c>
      <c r="B999">
        <v>673591829</v>
      </c>
      <c r="C999">
        <v>853</v>
      </c>
      <c r="D999" t="s">
        <v>2935</v>
      </c>
      <c r="E999">
        <v>9736</v>
      </c>
      <c r="F999" t="s">
        <v>23479</v>
      </c>
      <c r="G999">
        <v>1</v>
      </c>
      <c r="H999" t="s">
        <v>3439</v>
      </c>
      <c r="J999" t="s">
        <v>3440</v>
      </c>
      <c r="K999" t="s">
        <v>132</v>
      </c>
      <c r="L999" t="s">
        <v>22</v>
      </c>
      <c r="M999" t="s">
        <v>3441</v>
      </c>
      <c r="N999" t="s">
        <v>3442</v>
      </c>
      <c r="O999" t="s">
        <v>3443</v>
      </c>
      <c r="P999" s="2" t="s">
        <v>26</v>
      </c>
      <c r="Q999" t="s">
        <v>50</v>
      </c>
      <c r="R999">
        <v>0</v>
      </c>
      <c r="S999">
        <v>4.67</v>
      </c>
      <c r="T999" t="s">
        <v>3444</v>
      </c>
    </row>
    <row r="1000" spans="1:20" x14ac:dyDescent="0.25">
      <c r="A1000" s="1" t="str">
        <f>HYPERLINK("https://vegkart.atlas.vegvesen.no/#/@266449.8,6625097.9,18/hva:hva%5B0%5D%5Bfilter%5D%5B0%5D%5Boperator%5D=%21%3D&amp;hva%5B0%5D%5Bfilter%5D%5B0%5D%5Btype_id%5D=9736&amp;hva%5B0%5D%5Bfilter%5D%5B0%5D%5Bverdi%5D=&amp;hva%5B0%5D%5Bid%5D=853/når:2015-11-02", "Vegkart")</f>
        <v>Vegkart</v>
      </c>
      <c r="B1000">
        <v>673591830</v>
      </c>
      <c r="C1000">
        <v>853</v>
      </c>
      <c r="D1000" t="s">
        <v>2935</v>
      </c>
      <c r="E1000">
        <v>9736</v>
      </c>
      <c r="F1000" t="s">
        <v>23479</v>
      </c>
      <c r="G1000">
        <v>1</v>
      </c>
      <c r="H1000" t="s">
        <v>3439</v>
      </c>
      <c r="J1000" t="s">
        <v>3440</v>
      </c>
      <c r="K1000" t="s">
        <v>132</v>
      </c>
      <c r="L1000" t="s">
        <v>22</v>
      </c>
      <c r="M1000" t="s">
        <v>3441</v>
      </c>
      <c r="N1000" t="s">
        <v>3445</v>
      </c>
      <c r="O1000" t="s">
        <v>3446</v>
      </c>
      <c r="P1000" s="2" t="s">
        <v>26</v>
      </c>
      <c r="Q1000" t="s">
        <v>50</v>
      </c>
      <c r="R1000">
        <v>0</v>
      </c>
      <c r="S1000">
        <v>3.32</v>
      </c>
      <c r="T1000" t="s">
        <v>3447</v>
      </c>
    </row>
    <row r="1001" spans="1:20" x14ac:dyDescent="0.25">
      <c r="A1001" s="1" t="str">
        <f>HYPERLINK("https://vegkart.atlas.vegvesen.no/#/@266651.7,6624951.0,18/hva:hva%5B0%5D%5Bfilter%5D%5B0%5D%5Boperator%5D=%21%3D&amp;hva%5B0%5D%5Bfilter%5D%5B0%5D%5Btype_id%5D=9736&amp;hva%5B0%5D%5Bfilter%5D%5B0%5D%5Bverdi%5D=&amp;hva%5B0%5D%5Bid%5D=853/når:2015-11-02", "Vegkart")</f>
        <v>Vegkart</v>
      </c>
      <c r="B1001">
        <v>673591831</v>
      </c>
      <c r="C1001">
        <v>853</v>
      </c>
      <c r="D1001" t="s">
        <v>2935</v>
      </c>
      <c r="E1001">
        <v>9736</v>
      </c>
      <c r="F1001" t="s">
        <v>23479</v>
      </c>
      <c r="G1001">
        <v>1</v>
      </c>
      <c r="H1001" t="s">
        <v>3439</v>
      </c>
      <c r="J1001" t="s">
        <v>3440</v>
      </c>
      <c r="K1001" t="s">
        <v>132</v>
      </c>
      <c r="L1001" t="s">
        <v>22</v>
      </c>
      <c r="M1001" t="s">
        <v>3441</v>
      </c>
      <c r="N1001" t="s">
        <v>3448</v>
      </c>
      <c r="O1001" t="s">
        <v>3449</v>
      </c>
      <c r="P1001" s="2" t="s">
        <v>26</v>
      </c>
      <c r="Q1001" t="s">
        <v>50</v>
      </c>
      <c r="R1001">
        <v>0</v>
      </c>
      <c r="S1001">
        <v>3.27</v>
      </c>
      <c r="T1001" t="s">
        <v>3450</v>
      </c>
    </row>
    <row r="1002" spans="1:20" x14ac:dyDescent="0.25">
      <c r="A1002" s="1" t="str">
        <f>HYPERLINK("https://vegkart.atlas.vegvesen.no/#/@266881.6,6624850.0,18/hva:hva%5B0%5D%5Bfilter%5D%5B0%5D%5Boperator%5D=%21%3D&amp;hva%5B0%5D%5Bfilter%5D%5B0%5D%5Btype_id%5D=9736&amp;hva%5B0%5D%5Bfilter%5D%5B0%5D%5Bverdi%5D=&amp;hva%5B0%5D%5Bid%5D=853/når:2015-11-02", "Vegkart")</f>
        <v>Vegkart</v>
      </c>
      <c r="B1002">
        <v>673591832</v>
      </c>
      <c r="C1002">
        <v>853</v>
      </c>
      <c r="D1002" t="s">
        <v>2935</v>
      </c>
      <c r="E1002">
        <v>9736</v>
      </c>
      <c r="F1002" t="s">
        <v>23479</v>
      </c>
      <c r="G1002">
        <v>1</v>
      </c>
      <c r="H1002" t="s">
        <v>3439</v>
      </c>
      <c r="J1002" t="s">
        <v>3440</v>
      </c>
      <c r="K1002" t="s">
        <v>132</v>
      </c>
      <c r="L1002" t="s">
        <v>22</v>
      </c>
      <c r="M1002" t="s">
        <v>3451</v>
      </c>
      <c r="N1002" t="s">
        <v>3452</v>
      </c>
      <c r="O1002" t="s">
        <v>3453</v>
      </c>
      <c r="P1002" s="2" t="s">
        <v>26</v>
      </c>
      <c r="Q1002" t="s">
        <v>50</v>
      </c>
      <c r="R1002">
        <v>0</v>
      </c>
      <c r="S1002">
        <v>3.28</v>
      </c>
      <c r="T1002" t="s">
        <v>3454</v>
      </c>
    </row>
    <row r="1003" spans="1:20" x14ac:dyDescent="0.25">
      <c r="A1003" s="1" t="str">
        <f>HYPERLINK("https://vegkart.atlas.vegvesen.no/#/@267021.0,6624642.4,18/hva:hva%5B0%5D%5Bfilter%5D%5B0%5D%5Boperator%5D=%21%3D&amp;hva%5B0%5D%5Bfilter%5D%5B0%5D%5Btype_id%5D=9736&amp;hva%5B0%5D%5Bfilter%5D%5B0%5D%5Bverdi%5D=&amp;hva%5B0%5D%5Bid%5D=853/når:2015-11-02", "Vegkart")</f>
        <v>Vegkart</v>
      </c>
      <c r="B1003">
        <v>673591833</v>
      </c>
      <c r="C1003">
        <v>853</v>
      </c>
      <c r="D1003" t="s">
        <v>2935</v>
      </c>
      <c r="E1003">
        <v>9736</v>
      </c>
      <c r="F1003" t="s">
        <v>23479</v>
      </c>
      <c r="G1003">
        <v>1</v>
      </c>
      <c r="H1003" t="s">
        <v>3439</v>
      </c>
      <c r="J1003" t="s">
        <v>3440</v>
      </c>
      <c r="K1003" t="s">
        <v>132</v>
      </c>
      <c r="L1003" t="s">
        <v>22</v>
      </c>
      <c r="M1003" t="s">
        <v>3451</v>
      </c>
      <c r="N1003" t="s">
        <v>3455</v>
      </c>
      <c r="O1003" t="s">
        <v>3456</v>
      </c>
      <c r="P1003" s="2" t="s">
        <v>26</v>
      </c>
      <c r="Q1003" t="s">
        <v>50</v>
      </c>
      <c r="R1003">
        <v>0</v>
      </c>
      <c r="S1003">
        <v>3.14</v>
      </c>
      <c r="T1003" t="s">
        <v>3457</v>
      </c>
    </row>
    <row r="1004" spans="1:20" x14ac:dyDescent="0.25">
      <c r="A1004" s="1" t="str">
        <f>HYPERLINK("https://vegkart.atlas.vegvesen.no/#/@267108.0,6624417.0,18/hva:hva%5B0%5D%5Bfilter%5D%5B0%5D%5Boperator%5D=%21%3D&amp;hva%5B0%5D%5Bfilter%5D%5B0%5D%5Btype_id%5D=9736&amp;hva%5B0%5D%5Bfilter%5D%5B0%5D%5Bverdi%5D=&amp;hva%5B0%5D%5Bid%5D=853/når:2015-11-02", "Vegkart")</f>
        <v>Vegkart</v>
      </c>
      <c r="B1004">
        <v>673591834</v>
      </c>
      <c r="C1004">
        <v>853</v>
      </c>
      <c r="D1004" t="s">
        <v>2935</v>
      </c>
      <c r="E1004">
        <v>9736</v>
      </c>
      <c r="F1004" t="s">
        <v>23479</v>
      </c>
      <c r="G1004">
        <v>1</v>
      </c>
      <c r="H1004" t="s">
        <v>3439</v>
      </c>
      <c r="J1004" t="s">
        <v>3440</v>
      </c>
      <c r="K1004" t="s">
        <v>132</v>
      </c>
      <c r="L1004" t="s">
        <v>22</v>
      </c>
      <c r="M1004" t="s">
        <v>3451</v>
      </c>
      <c r="N1004" t="s">
        <v>3458</v>
      </c>
      <c r="O1004" t="s">
        <v>3459</v>
      </c>
      <c r="P1004" s="2" t="s">
        <v>26</v>
      </c>
      <c r="Q1004" t="s">
        <v>50</v>
      </c>
      <c r="R1004">
        <v>0</v>
      </c>
      <c r="S1004">
        <v>3.15</v>
      </c>
      <c r="T1004" t="s">
        <v>3460</v>
      </c>
    </row>
    <row r="1005" spans="1:20" x14ac:dyDescent="0.25">
      <c r="A1005" s="1" t="str">
        <f>HYPERLINK("https://vegkart.atlas.vegvesen.no/#/@267219.3,6624181.3,18/hva:hva%5B0%5D%5Bfilter%5D%5B0%5D%5Boperator%5D=%21%3D&amp;hva%5B0%5D%5Bfilter%5D%5B0%5D%5Btype_id%5D=9736&amp;hva%5B0%5D%5Bfilter%5D%5B0%5D%5Bverdi%5D=&amp;hva%5B0%5D%5Bid%5D=853/når:2015-11-02", "Vegkart")</f>
        <v>Vegkart</v>
      </c>
      <c r="B1005">
        <v>673591835</v>
      </c>
      <c r="C1005">
        <v>853</v>
      </c>
      <c r="D1005" t="s">
        <v>2935</v>
      </c>
      <c r="E1005">
        <v>9736</v>
      </c>
      <c r="F1005" t="s">
        <v>23479</v>
      </c>
      <c r="G1005">
        <v>1</v>
      </c>
      <c r="H1005" t="s">
        <v>3439</v>
      </c>
      <c r="J1005" t="s">
        <v>3440</v>
      </c>
      <c r="K1005" t="s">
        <v>132</v>
      </c>
      <c r="L1005" t="s">
        <v>370</v>
      </c>
      <c r="M1005" t="s">
        <v>3461</v>
      </c>
      <c r="N1005" t="s">
        <v>3462</v>
      </c>
      <c r="O1005" t="s">
        <v>3463</v>
      </c>
      <c r="P1005" s="2" t="s">
        <v>26</v>
      </c>
      <c r="Q1005" t="s">
        <v>50</v>
      </c>
      <c r="R1005">
        <v>0</v>
      </c>
      <c r="S1005">
        <v>3.24</v>
      </c>
      <c r="T1005" t="s">
        <v>3464</v>
      </c>
    </row>
    <row r="1006" spans="1:20" x14ac:dyDescent="0.25">
      <c r="A1006" s="1" t="str">
        <f>HYPERLINK("https://vegkart.atlas.vegvesen.no/#/@267269.9,6624083.7,18/hva:hva%5B0%5D%5Bfilter%5D%5B0%5D%5Boperator%5D=%21%3D&amp;hva%5B0%5D%5Bfilter%5D%5B0%5D%5Btype_id%5D=9736&amp;hva%5B0%5D%5Bfilter%5D%5B0%5D%5Bverdi%5D=&amp;hva%5B0%5D%5Bid%5D=853/når:2015-11-02", "Vegkart")</f>
        <v>Vegkart</v>
      </c>
      <c r="B1006">
        <v>673591836</v>
      </c>
      <c r="C1006">
        <v>853</v>
      </c>
      <c r="D1006" t="s">
        <v>2935</v>
      </c>
      <c r="E1006">
        <v>9736</v>
      </c>
      <c r="F1006" t="s">
        <v>23479</v>
      </c>
      <c r="G1006">
        <v>1</v>
      </c>
      <c r="H1006" t="s">
        <v>3439</v>
      </c>
      <c r="J1006" t="s">
        <v>3440</v>
      </c>
      <c r="K1006" t="s">
        <v>132</v>
      </c>
      <c r="L1006" t="s">
        <v>22</v>
      </c>
      <c r="M1006" t="s">
        <v>3451</v>
      </c>
      <c r="N1006" t="s">
        <v>3465</v>
      </c>
      <c r="O1006" t="s">
        <v>3466</v>
      </c>
      <c r="P1006" s="2" t="s">
        <v>26</v>
      </c>
      <c r="Q1006" t="s">
        <v>50</v>
      </c>
      <c r="R1006">
        <v>0</v>
      </c>
      <c r="S1006">
        <v>4.5599999999999996</v>
      </c>
      <c r="T1006" t="s">
        <v>3467</v>
      </c>
    </row>
    <row r="1007" spans="1:20" x14ac:dyDescent="0.25">
      <c r="A1007" s="1" t="str">
        <f>HYPERLINK("https://vegkart.atlas.vegvesen.no/#/@267437.9,6623794.5,18/hva:hva%5B0%5D%5Bfilter%5D%5B0%5D%5Boperator%5D=%21%3D&amp;hva%5B0%5D%5Bfilter%5D%5B0%5D%5Btype_id%5D=9736&amp;hva%5B0%5D%5Bfilter%5D%5B0%5D%5Bverdi%5D=&amp;hva%5B0%5D%5Bid%5D=853/når:2015-11-02", "Vegkart")</f>
        <v>Vegkart</v>
      </c>
      <c r="B1007">
        <v>673591837</v>
      </c>
      <c r="C1007">
        <v>853</v>
      </c>
      <c r="D1007" t="s">
        <v>2935</v>
      </c>
      <c r="E1007">
        <v>9736</v>
      </c>
      <c r="F1007" t="s">
        <v>23479</v>
      </c>
      <c r="G1007">
        <v>1</v>
      </c>
      <c r="H1007" t="s">
        <v>3439</v>
      </c>
      <c r="J1007" t="s">
        <v>3440</v>
      </c>
      <c r="K1007" t="s">
        <v>132</v>
      </c>
      <c r="L1007" t="s">
        <v>22</v>
      </c>
      <c r="M1007" t="s">
        <v>3451</v>
      </c>
      <c r="N1007" t="s">
        <v>3468</v>
      </c>
      <c r="O1007" t="s">
        <v>3469</v>
      </c>
      <c r="P1007" s="2" t="s">
        <v>26</v>
      </c>
      <c r="Q1007" t="s">
        <v>50</v>
      </c>
      <c r="R1007">
        <v>0</v>
      </c>
      <c r="S1007">
        <v>3.38</v>
      </c>
      <c r="T1007" t="s">
        <v>3470</v>
      </c>
    </row>
    <row r="1008" spans="1:20" x14ac:dyDescent="0.25">
      <c r="A1008" s="1" t="str">
        <f>HYPERLINK("https://vegkart.atlas.vegvesen.no/#/@267545.5,6623619.9,18/hva:hva%5B0%5D%5Bfilter%5D%5B0%5D%5Boperator%5D=%21%3D&amp;hva%5B0%5D%5Bfilter%5D%5B0%5D%5Btype_id%5D=9736&amp;hva%5B0%5D%5Bfilter%5D%5B0%5D%5Bverdi%5D=&amp;hva%5B0%5D%5Bid%5D=853/når:2015-11-02", "Vegkart")</f>
        <v>Vegkart</v>
      </c>
      <c r="B1008">
        <v>673591838</v>
      </c>
      <c r="C1008">
        <v>853</v>
      </c>
      <c r="D1008" t="s">
        <v>2935</v>
      </c>
      <c r="E1008">
        <v>9736</v>
      </c>
      <c r="F1008" t="s">
        <v>23479</v>
      </c>
      <c r="G1008">
        <v>1</v>
      </c>
      <c r="H1008" t="s">
        <v>3439</v>
      </c>
      <c r="J1008" t="s">
        <v>3440</v>
      </c>
      <c r="K1008" t="s">
        <v>132</v>
      </c>
      <c r="L1008" t="s">
        <v>22</v>
      </c>
      <c r="M1008" t="s">
        <v>3451</v>
      </c>
      <c r="N1008" t="s">
        <v>3471</v>
      </c>
      <c r="O1008" t="s">
        <v>3472</v>
      </c>
      <c r="P1008" s="2" t="s">
        <v>26</v>
      </c>
      <c r="Q1008" t="s">
        <v>50</v>
      </c>
      <c r="R1008">
        <v>0</v>
      </c>
      <c r="S1008">
        <v>3.17</v>
      </c>
      <c r="T1008" t="s">
        <v>3473</v>
      </c>
    </row>
    <row r="1009" spans="1:20" x14ac:dyDescent="0.25">
      <c r="A1009" s="1" t="str">
        <f>HYPERLINK("https://vegkart.atlas.vegvesen.no/#/@267845.7,6623391.0,18/hva:hva%5B0%5D%5Bfilter%5D%5B0%5D%5Boperator%5D=%21%3D&amp;hva%5B0%5D%5Bfilter%5D%5B0%5D%5Btype_id%5D=9736&amp;hva%5B0%5D%5Bfilter%5D%5B0%5D%5Bverdi%5D=&amp;hva%5B0%5D%5Bid%5D=853/når:2015-11-02", "Vegkart")</f>
        <v>Vegkart</v>
      </c>
      <c r="B1009">
        <v>673591839</v>
      </c>
      <c r="C1009">
        <v>853</v>
      </c>
      <c r="D1009" t="s">
        <v>2935</v>
      </c>
      <c r="E1009">
        <v>9736</v>
      </c>
      <c r="F1009" t="s">
        <v>23479</v>
      </c>
      <c r="G1009">
        <v>1</v>
      </c>
      <c r="H1009" t="s">
        <v>3439</v>
      </c>
      <c r="J1009" t="s">
        <v>3440</v>
      </c>
      <c r="K1009" t="s">
        <v>132</v>
      </c>
      <c r="L1009" t="s">
        <v>22</v>
      </c>
      <c r="M1009" t="s">
        <v>3451</v>
      </c>
      <c r="N1009" t="s">
        <v>3474</v>
      </c>
      <c r="O1009" t="s">
        <v>3475</v>
      </c>
      <c r="P1009" s="2" t="s">
        <v>26</v>
      </c>
      <c r="Q1009" t="s">
        <v>50</v>
      </c>
      <c r="R1009">
        <v>0</v>
      </c>
      <c r="S1009">
        <v>4.54</v>
      </c>
      <c r="T1009" t="s">
        <v>3476</v>
      </c>
    </row>
    <row r="1010" spans="1:20" x14ac:dyDescent="0.25">
      <c r="A1010" s="1" t="str">
        <f>HYPERLINK("https://vegkart.atlas.vegvesen.no/#/@267906.9,6623353.7,18/hva:hva%5B0%5D%5Bfilter%5D%5B0%5D%5Boperator%5D=%21%3D&amp;hva%5B0%5D%5Bfilter%5D%5B0%5D%5Btype_id%5D=9736&amp;hva%5B0%5D%5Bfilter%5D%5B0%5D%5Bverdi%5D=&amp;hva%5B0%5D%5Bid%5D=853/når:2015-11-02", "Vegkart")</f>
        <v>Vegkart</v>
      </c>
      <c r="B1010">
        <v>673591840</v>
      </c>
      <c r="C1010">
        <v>853</v>
      </c>
      <c r="D1010" t="s">
        <v>2935</v>
      </c>
      <c r="E1010">
        <v>9736</v>
      </c>
      <c r="F1010" t="s">
        <v>23479</v>
      </c>
      <c r="G1010">
        <v>1</v>
      </c>
      <c r="H1010" t="s">
        <v>3439</v>
      </c>
      <c r="J1010" t="s">
        <v>3477</v>
      </c>
      <c r="K1010" t="s">
        <v>132</v>
      </c>
      <c r="L1010" t="s">
        <v>22</v>
      </c>
      <c r="M1010" t="s">
        <v>3451</v>
      </c>
      <c r="N1010" t="s">
        <v>3478</v>
      </c>
      <c r="O1010" t="s">
        <v>3479</v>
      </c>
      <c r="P1010" s="2" t="s">
        <v>26</v>
      </c>
      <c r="Q1010" t="s">
        <v>50</v>
      </c>
      <c r="R1010">
        <v>0</v>
      </c>
      <c r="S1010">
        <v>3.3</v>
      </c>
      <c r="T1010" t="s">
        <v>3480</v>
      </c>
    </row>
    <row r="1011" spans="1:20" x14ac:dyDescent="0.25">
      <c r="A1011" s="1" t="str">
        <f>HYPERLINK("https://vegkart.atlas.vegvesen.no/#/@267738.1,6623460.2,18/hva:hva%5B0%5D%5Bfilter%5D%5B0%5D%5Boperator%5D=%21%3D&amp;hva%5B0%5D%5Bfilter%5D%5B0%5D%5Btype_id%5D=9736&amp;hva%5B0%5D%5Bfilter%5D%5B0%5D%5Bverdi%5D=&amp;hva%5B0%5D%5Bid%5D=853/når:2015-11-02", "Vegkart")</f>
        <v>Vegkart</v>
      </c>
      <c r="B1011">
        <v>673591841</v>
      </c>
      <c r="C1011">
        <v>853</v>
      </c>
      <c r="D1011" t="s">
        <v>2935</v>
      </c>
      <c r="E1011">
        <v>9736</v>
      </c>
      <c r="F1011" t="s">
        <v>23479</v>
      </c>
      <c r="G1011">
        <v>1</v>
      </c>
      <c r="H1011" t="s">
        <v>3439</v>
      </c>
      <c r="J1011" t="s">
        <v>3477</v>
      </c>
      <c r="K1011" t="s">
        <v>132</v>
      </c>
      <c r="L1011" t="s">
        <v>22</v>
      </c>
      <c r="M1011" t="s">
        <v>3451</v>
      </c>
      <c r="N1011" t="s">
        <v>3481</v>
      </c>
      <c r="O1011" t="s">
        <v>3482</v>
      </c>
      <c r="P1011" s="2" t="s">
        <v>26</v>
      </c>
      <c r="Q1011" t="s">
        <v>50</v>
      </c>
      <c r="R1011">
        <v>0</v>
      </c>
      <c r="S1011">
        <v>2.85</v>
      </c>
      <c r="T1011" t="s">
        <v>3483</v>
      </c>
    </row>
    <row r="1012" spans="1:20" x14ac:dyDescent="0.25">
      <c r="A1012" s="1" t="str">
        <f>HYPERLINK("https://vegkart.atlas.vegvesen.no/#/@129861.1,6731456.5,18/hva:hva%5B0%5D%5Bfilter%5D%5B0%5D%5Boperator%5D=%21%3D&amp;hva%5B0%5D%5Bfilter%5D%5B0%5D%5Btype_id%5D=9736&amp;hva%5B0%5D%5Bfilter%5D%5B0%5D%5Bverdi%5D=&amp;hva%5B0%5D%5Bid%5D=853/når:2016-12-14", "Vegkart")</f>
        <v>Vegkart</v>
      </c>
      <c r="B1012">
        <v>759817214</v>
      </c>
      <c r="C1012">
        <v>853</v>
      </c>
      <c r="D1012" t="s">
        <v>2935</v>
      </c>
      <c r="E1012">
        <v>9736</v>
      </c>
      <c r="F1012" t="s">
        <v>23479</v>
      </c>
      <c r="G1012">
        <v>1</v>
      </c>
      <c r="H1012" t="s">
        <v>3484</v>
      </c>
      <c r="J1012" t="s">
        <v>3485</v>
      </c>
      <c r="K1012" t="s">
        <v>307</v>
      </c>
      <c r="L1012" t="s">
        <v>113</v>
      </c>
      <c r="M1012" t="s">
        <v>308</v>
      </c>
      <c r="N1012" t="s">
        <v>3486</v>
      </c>
      <c r="O1012" t="s">
        <v>3487</v>
      </c>
      <c r="P1012" s="2" t="s">
        <v>26</v>
      </c>
      <c r="Q1012" t="s">
        <v>50</v>
      </c>
      <c r="R1012">
        <v>0</v>
      </c>
      <c r="S1012">
        <v>6.15</v>
      </c>
      <c r="T1012" t="s">
        <v>3488</v>
      </c>
    </row>
    <row r="1013" spans="1:20" x14ac:dyDescent="0.25">
      <c r="A1013" s="1" t="str">
        <f>HYPERLINK("https://vegkart.atlas.vegvesen.no/#/@129968.7,6731689.3,18/hva:hva%5B0%5D%5Bfilter%5D%5B0%5D%5Boperator%5D=%21%3D&amp;hva%5B0%5D%5Bfilter%5D%5B0%5D%5Btype_id%5D=9736&amp;hva%5B0%5D%5Bfilter%5D%5B0%5D%5Bverdi%5D=&amp;hva%5B0%5D%5Bid%5D=853/når:2019-01-10", "Vegkart")</f>
        <v>Vegkart</v>
      </c>
      <c r="B1013">
        <v>759817310</v>
      </c>
      <c r="C1013">
        <v>853</v>
      </c>
      <c r="D1013" t="s">
        <v>2935</v>
      </c>
      <c r="E1013">
        <v>9736</v>
      </c>
      <c r="F1013" t="s">
        <v>23479</v>
      </c>
      <c r="G1013">
        <v>2</v>
      </c>
      <c r="H1013" t="s">
        <v>3489</v>
      </c>
      <c r="J1013" t="s">
        <v>3485</v>
      </c>
      <c r="K1013" t="s">
        <v>307</v>
      </c>
      <c r="L1013" t="s">
        <v>113</v>
      </c>
      <c r="M1013" t="s">
        <v>308</v>
      </c>
      <c r="N1013" t="s">
        <v>3490</v>
      </c>
      <c r="O1013" t="s">
        <v>3491</v>
      </c>
      <c r="P1013" s="2" t="s">
        <v>165</v>
      </c>
      <c r="Q1013" t="s">
        <v>311</v>
      </c>
      <c r="R1013">
        <v>0</v>
      </c>
      <c r="S1013">
        <v>6.01</v>
      </c>
      <c r="T1013" t="s">
        <v>167</v>
      </c>
    </row>
    <row r="1014" spans="1:20" x14ac:dyDescent="0.25">
      <c r="A1014" s="1" t="str">
        <f>HYPERLINK("https://vegkart.atlas.vegvesen.no/#/@175001.6,6735953.8,18/hva:hva%5B0%5D%5Bfilter%5D%5B0%5D%5Boperator%5D=%21%3D&amp;hva%5B0%5D%5Bfilter%5D%5B0%5D%5Btype_id%5D=9736&amp;hva%5B0%5D%5Bfilter%5D%5B0%5D%5Bverdi%5D=&amp;hva%5B0%5D%5Bid%5D=853/når:2017-03-31", "Vegkart")</f>
        <v>Vegkart</v>
      </c>
      <c r="B1014">
        <v>765120912</v>
      </c>
      <c r="C1014">
        <v>853</v>
      </c>
      <c r="D1014" t="s">
        <v>2935</v>
      </c>
      <c r="E1014">
        <v>9736</v>
      </c>
      <c r="F1014" t="s">
        <v>23479</v>
      </c>
      <c r="G1014">
        <v>1</v>
      </c>
      <c r="H1014" t="s">
        <v>3492</v>
      </c>
      <c r="J1014" t="s">
        <v>3493</v>
      </c>
      <c r="K1014" t="s">
        <v>307</v>
      </c>
      <c r="L1014" t="s">
        <v>113</v>
      </c>
      <c r="M1014" t="s">
        <v>308</v>
      </c>
      <c r="N1014" t="s">
        <v>3494</v>
      </c>
      <c r="O1014" t="s">
        <v>3495</v>
      </c>
      <c r="P1014" s="2" t="s">
        <v>26</v>
      </c>
      <c r="Q1014" t="s">
        <v>50</v>
      </c>
      <c r="R1014">
        <v>0</v>
      </c>
      <c r="S1014">
        <v>5.23</v>
      </c>
      <c r="T1014" t="s">
        <v>3496</v>
      </c>
    </row>
    <row r="1015" spans="1:20" x14ac:dyDescent="0.25">
      <c r="A1015" s="1" t="str">
        <f>HYPERLINK("https://vegkart.atlas.vegvesen.no/#/@174999.8,6735987.9,18/hva:hva%5B0%5D%5Bfilter%5D%5B0%5D%5Boperator%5D=%21%3D&amp;hva%5B0%5D%5Bfilter%5D%5B0%5D%5Btype_id%5D=9736&amp;hva%5B0%5D%5Bfilter%5D%5B0%5D%5Bverdi%5D=&amp;hva%5B0%5D%5Bid%5D=853/når:2017-03-31", "Vegkart")</f>
        <v>Vegkart</v>
      </c>
      <c r="B1015">
        <v>765120913</v>
      </c>
      <c r="C1015">
        <v>853</v>
      </c>
      <c r="D1015" t="s">
        <v>2935</v>
      </c>
      <c r="E1015">
        <v>9736</v>
      </c>
      <c r="F1015" t="s">
        <v>23479</v>
      </c>
      <c r="G1015">
        <v>1</v>
      </c>
      <c r="H1015" t="s">
        <v>3492</v>
      </c>
      <c r="J1015" t="s">
        <v>3493</v>
      </c>
      <c r="K1015" t="s">
        <v>307</v>
      </c>
      <c r="L1015" t="s">
        <v>113</v>
      </c>
      <c r="M1015" t="s">
        <v>308</v>
      </c>
      <c r="N1015" t="s">
        <v>3497</v>
      </c>
      <c r="O1015" t="s">
        <v>3498</v>
      </c>
      <c r="P1015" s="2" t="s">
        <v>26</v>
      </c>
      <c r="Q1015" t="s">
        <v>50</v>
      </c>
      <c r="R1015">
        <v>0</v>
      </c>
      <c r="S1015">
        <v>5.23</v>
      </c>
      <c r="T1015" t="s">
        <v>3499</v>
      </c>
    </row>
    <row r="1016" spans="1:20" x14ac:dyDescent="0.25">
      <c r="A1016" s="1" t="str">
        <f>HYPERLINK("https://vegkart.atlas.vegvesen.no/#/@90988.1,6468274.7,18/hva:hva%5B0%5D%5Bfilter%5D%5B0%5D%5Boperator%5D=%21%3D&amp;hva%5B0%5D%5Bfilter%5D%5B0%5D%5Btype_id%5D=9736&amp;hva%5B0%5D%5Bfilter%5D%5B0%5D%5Bverdi%5D=&amp;hva%5B0%5D%5Bid%5D=853/når:2018-05-07", "Vegkart")</f>
        <v>Vegkart</v>
      </c>
      <c r="B1016">
        <v>854489104</v>
      </c>
      <c r="C1016">
        <v>853</v>
      </c>
      <c r="D1016" t="s">
        <v>2935</v>
      </c>
      <c r="E1016">
        <v>9736</v>
      </c>
      <c r="F1016" t="s">
        <v>23479</v>
      </c>
      <c r="G1016">
        <v>1</v>
      </c>
      <c r="H1016" t="s">
        <v>3500</v>
      </c>
      <c r="J1016" t="s">
        <v>3501</v>
      </c>
      <c r="K1016" t="s">
        <v>86</v>
      </c>
      <c r="L1016" t="s">
        <v>80</v>
      </c>
      <c r="M1016" t="s">
        <v>53</v>
      </c>
      <c r="N1016" t="s">
        <v>3502</v>
      </c>
      <c r="O1016" t="s">
        <v>3503</v>
      </c>
      <c r="P1016" s="2" t="s">
        <v>26</v>
      </c>
      <c r="Q1016" t="s">
        <v>50</v>
      </c>
      <c r="R1016">
        <v>0</v>
      </c>
      <c r="S1016">
        <v>4.9000000000000004</v>
      </c>
      <c r="T1016" t="s">
        <v>3504</v>
      </c>
    </row>
    <row r="1017" spans="1:20" x14ac:dyDescent="0.25">
      <c r="A1017" s="1" t="str">
        <f>HYPERLINK("https://vegkart.atlas.vegvesen.no/#/@268313.8,7039201.2,18/hva:hva%5B0%5D%5Bfilter%5D%5B0%5D%5Boperator%5D=%21%3D&amp;hva%5B0%5D%5Bfilter%5D%5B0%5D%5Btype_id%5D=9736&amp;hva%5B0%5D%5Bfilter%5D%5B0%5D%5Bverdi%5D=&amp;hva%5B0%5D%5Bid%5D=853/når:2018-12-03", "Vegkart")</f>
        <v>Vegkart</v>
      </c>
      <c r="B1017">
        <v>912801167</v>
      </c>
      <c r="C1017">
        <v>853</v>
      </c>
      <c r="D1017" t="s">
        <v>2935</v>
      </c>
      <c r="E1017">
        <v>9736</v>
      </c>
      <c r="F1017" t="s">
        <v>23479</v>
      </c>
      <c r="G1017">
        <v>1</v>
      </c>
      <c r="H1017" t="s">
        <v>3505</v>
      </c>
      <c r="J1017" t="s">
        <v>3506</v>
      </c>
      <c r="K1017" t="s">
        <v>192</v>
      </c>
      <c r="L1017" t="s">
        <v>22</v>
      </c>
      <c r="M1017" t="s">
        <v>3507</v>
      </c>
      <c r="N1017" t="s">
        <v>3508</v>
      </c>
      <c r="O1017" t="s">
        <v>3509</v>
      </c>
      <c r="P1017" s="2" t="s">
        <v>26</v>
      </c>
      <c r="Q1017" t="s">
        <v>50</v>
      </c>
      <c r="R1017">
        <v>0</v>
      </c>
      <c r="S1017">
        <v>4.9000000000000004</v>
      </c>
      <c r="T1017" t="s">
        <v>3510</v>
      </c>
    </row>
    <row r="1018" spans="1:20" x14ac:dyDescent="0.25">
      <c r="A1018" s="1" t="str">
        <f>HYPERLINK("https://vegkart.atlas.vegvesen.no/#/@259468.0,6615023.1,18/hva:hva%5B0%5D%5Bfilter%5D%5B0%5D%5Boperator%5D=%21%3D&amp;hva%5B0%5D%5Bfilter%5D%5B0%5D%5Btype_id%5D=9736&amp;hva%5B0%5D%5Bfilter%5D%5B0%5D%5Bverdi%5D=&amp;hva%5B0%5D%5Bid%5D=853/når:2019-01-17", "Vegkart")</f>
        <v>Vegkart</v>
      </c>
      <c r="B1018">
        <v>914817428</v>
      </c>
      <c r="C1018">
        <v>853</v>
      </c>
      <c r="D1018" t="s">
        <v>2935</v>
      </c>
      <c r="E1018">
        <v>9736</v>
      </c>
      <c r="F1018" t="s">
        <v>23479</v>
      </c>
      <c r="G1018">
        <v>1</v>
      </c>
      <c r="H1018" t="s">
        <v>3511</v>
      </c>
      <c r="J1018" t="s">
        <v>3512</v>
      </c>
      <c r="K1018" t="s">
        <v>132</v>
      </c>
      <c r="L1018" t="s">
        <v>80</v>
      </c>
      <c r="M1018" t="s">
        <v>105</v>
      </c>
      <c r="N1018" t="s">
        <v>3513</v>
      </c>
      <c r="O1018" t="s">
        <v>3514</v>
      </c>
      <c r="P1018" s="2" t="s">
        <v>165</v>
      </c>
      <c r="Q1018" t="s">
        <v>311</v>
      </c>
      <c r="R1018">
        <v>0.06</v>
      </c>
      <c r="S1018">
        <v>2.2000000000000002</v>
      </c>
      <c r="T1018" t="s">
        <v>167</v>
      </c>
    </row>
    <row r="1019" spans="1:20" x14ac:dyDescent="0.25">
      <c r="A1019" s="1" t="str">
        <f>HYPERLINK("https://vegkart.atlas.vegvesen.no/#/@259479.6,6615029.0,18/hva:hva%5B0%5D%5Bfilter%5D%5B0%5D%5Boperator%5D=%21%3D&amp;hva%5B0%5D%5Bfilter%5D%5B0%5D%5Btype_id%5D=9736&amp;hva%5B0%5D%5Bfilter%5D%5B0%5D%5Bverdi%5D=&amp;hva%5B0%5D%5Bid%5D=853/når:2019-01-17", "Vegkart")</f>
        <v>Vegkart</v>
      </c>
      <c r="B1019">
        <v>914817429</v>
      </c>
      <c r="C1019">
        <v>853</v>
      </c>
      <c r="D1019" t="s">
        <v>2935</v>
      </c>
      <c r="E1019">
        <v>9736</v>
      </c>
      <c r="F1019" t="s">
        <v>23479</v>
      </c>
      <c r="G1019">
        <v>1</v>
      </c>
      <c r="H1019" t="s">
        <v>3511</v>
      </c>
      <c r="J1019" t="s">
        <v>3512</v>
      </c>
      <c r="K1019" t="s">
        <v>132</v>
      </c>
      <c r="L1019" t="s">
        <v>80</v>
      </c>
      <c r="M1019" t="s">
        <v>105</v>
      </c>
      <c r="N1019" t="s">
        <v>3515</v>
      </c>
      <c r="O1019" t="s">
        <v>3516</v>
      </c>
      <c r="P1019" s="2" t="s">
        <v>165</v>
      </c>
      <c r="Q1019" t="s">
        <v>311</v>
      </c>
      <c r="R1019">
        <v>0.01</v>
      </c>
      <c r="S1019">
        <v>4.25</v>
      </c>
      <c r="T1019" t="s">
        <v>167</v>
      </c>
    </row>
    <row r="1020" spans="1:20" x14ac:dyDescent="0.25">
      <c r="A1020" s="1" t="str">
        <f>HYPERLINK("https://vegkart.atlas.vegvesen.no/#/@475473.0,7462627.4,18/hva:hva%5B0%5D%5Bfilter%5D%5B0%5D%5Boperator%5D=%21%3D&amp;hva%5B0%5D%5Bfilter%5D%5B0%5D%5Btype_id%5D=9736&amp;hva%5B0%5D%5Bfilter%5D%5B0%5D%5Bverdi%5D=&amp;hva%5B0%5D%5Bid%5D=853/når:2019-09-23", "Vegkart")</f>
        <v>Vegkart</v>
      </c>
      <c r="B1020">
        <v>978586543</v>
      </c>
      <c r="C1020">
        <v>853</v>
      </c>
      <c r="D1020" t="s">
        <v>2935</v>
      </c>
      <c r="E1020">
        <v>9736</v>
      </c>
      <c r="F1020" t="s">
        <v>23479</v>
      </c>
      <c r="G1020">
        <v>1</v>
      </c>
      <c r="H1020" t="s">
        <v>3517</v>
      </c>
      <c r="J1020" t="s">
        <v>3518</v>
      </c>
      <c r="K1020" t="s">
        <v>53</v>
      </c>
      <c r="L1020" t="s">
        <v>113</v>
      </c>
      <c r="M1020" t="s">
        <v>3519</v>
      </c>
      <c r="N1020" t="s">
        <v>3520</v>
      </c>
      <c r="O1020" t="s">
        <v>3521</v>
      </c>
      <c r="P1020" s="2" t="s">
        <v>26</v>
      </c>
      <c r="Q1020" t="s">
        <v>50</v>
      </c>
      <c r="R1020">
        <v>0</v>
      </c>
      <c r="S1020">
        <v>5.18</v>
      </c>
      <c r="T1020" t="s">
        <v>3522</v>
      </c>
    </row>
    <row r="1021" spans="1:20" x14ac:dyDescent="0.25">
      <c r="A1021" s="1" t="str">
        <f>HYPERLINK("https://vegkart.atlas.vegvesen.no/#/@475146.1,7462941.6,18/hva:hva%5B0%5D%5Bfilter%5D%5B0%5D%5Boperator%5D=%21%3D&amp;hva%5B0%5D%5Bfilter%5D%5B0%5D%5Btype_id%5D=9736&amp;hva%5B0%5D%5Bfilter%5D%5B0%5D%5Bverdi%5D=&amp;hva%5B0%5D%5Bid%5D=853/når:2019-09-23", "Vegkart")</f>
        <v>Vegkart</v>
      </c>
      <c r="B1021">
        <v>978586544</v>
      </c>
      <c r="C1021">
        <v>853</v>
      </c>
      <c r="D1021" t="s">
        <v>2935</v>
      </c>
      <c r="E1021">
        <v>9736</v>
      </c>
      <c r="F1021" t="s">
        <v>23479</v>
      </c>
      <c r="G1021">
        <v>1</v>
      </c>
      <c r="H1021" t="s">
        <v>3517</v>
      </c>
      <c r="J1021" t="s">
        <v>3518</v>
      </c>
      <c r="K1021" t="s">
        <v>53</v>
      </c>
      <c r="L1021" t="s">
        <v>22</v>
      </c>
      <c r="M1021" t="s">
        <v>3523</v>
      </c>
      <c r="N1021" t="s">
        <v>3524</v>
      </c>
      <c r="O1021" t="s">
        <v>3525</v>
      </c>
      <c r="P1021" s="2" t="s">
        <v>26</v>
      </c>
      <c r="Q1021" t="s">
        <v>50</v>
      </c>
      <c r="R1021">
        <v>0</v>
      </c>
      <c r="S1021">
        <v>5.03</v>
      </c>
      <c r="T1021" t="s">
        <v>3526</v>
      </c>
    </row>
    <row r="1022" spans="1:20" x14ac:dyDescent="0.25">
      <c r="A1022" s="1" t="str">
        <f>HYPERLINK("https://vegkart.atlas.vegvesen.no/#/@475554.9,7462476.7,18/hva:hva%5B0%5D%5Bfilter%5D%5B0%5D%5Boperator%5D=%21%3D&amp;hva%5B0%5D%5Bfilter%5D%5B0%5D%5Btype_id%5D=9736&amp;hva%5B0%5D%5Bfilter%5D%5B0%5D%5Bverdi%5D=&amp;hva%5B0%5D%5Bid%5D=853/når:2019-09-23", "Vegkart")</f>
        <v>Vegkart</v>
      </c>
      <c r="B1022">
        <v>978586545</v>
      </c>
      <c r="C1022">
        <v>853</v>
      </c>
      <c r="D1022" t="s">
        <v>2935</v>
      </c>
      <c r="E1022">
        <v>9736</v>
      </c>
      <c r="F1022" t="s">
        <v>23479</v>
      </c>
      <c r="G1022">
        <v>1</v>
      </c>
      <c r="H1022" t="s">
        <v>3517</v>
      </c>
      <c r="J1022" t="s">
        <v>3518</v>
      </c>
      <c r="K1022" t="s">
        <v>53</v>
      </c>
      <c r="L1022" t="s">
        <v>113</v>
      </c>
      <c r="M1022" t="s">
        <v>3519</v>
      </c>
      <c r="N1022" t="s">
        <v>3527</v>
      </c>
      <c r="O1022" t="s">
        <v>3528</v>
      </c>
      <c r="P1022" s="2" t="s">
        <v>26</v>
      </c>
      <c r="Q1022" t="s">
        <v>50</v>
      </c>
      <c r="R1022">
        <v>0</v>
      </c>
      <c r="S1022">
        <v>5.17</v>
      </c>
      <c r="T1022" t="s">
        <v>3529</v>
      </c>
    </row>
    <row r="1023" spans="1:20" x14ac:dyDescent="0.25">
      <c r="A1023" s="1" t="str">
        <f>HYPERLINK("https://vegkart.atlas.vegvesen.no/#/@475042.0,7462820.3,18/hva:hva%5B0%5D%5Bfilter%5D%5B0%5D%5Boperator%5D=%21%3D&amp;hva%5B0%5D%5Bfilter%5D%5B0%5D%5Btype_id%5D=9736&amp;hva%5B0%5D%5Bfilter%5D%5B0%5D%5Bverdi%5D=&amp;hva%5B0%5D%5Bid%5D=853/når:2019-09-23", "Vegkart")</f>
        <v>Vegkart</v>
      </c>
      <c r="B1023">
        <v>978586546</v>
      </c>
      <c r="C1023">
        <v>853</v>
      </c>
      <c r="D1023" t="s">
        <v>2935</v>
      </c>
      <c r="E1023">
        <v>9736</v>
      </c>
      <c r="F1023" t="s">
        <v>23479</v>
      </c>
      <c r="G1023">
        <v>1</v>
      </c>
      <c r="H1023" t="s">
        <v>3517</v>
      </c>
      <c r="J1023" t="s">
        <v>3518</v>
      </c>
      <c r="K1023" t="s">
        <v>53</v>
      </c>
      <c r="L1023" t="s">
        <v>113</v>
      </c>
      <c r="M1023" t="s">
        <v>3519</v>
      </c>
      <c r="N1023" t="s">
        <v>3530</v>
      </c>
      <c r="O1023" t="s">
        <v>3531</v>
      </c>
      <c r="P1023" s="2" t="s">
        <v>26</v>
      </c>
      <c r="Q1023" t="s">
        <v>50</v>
      </c>
      <c r="R1023">
        <v>0</v>
      </c>
      <c r="S1023">
        <v>5.04</v>
      </c>
      <c r="T1023" t="s">
        <v>3532</v>
      </c>
    </row>
    <row r="1024" spans="1:20" x14ac:dyDescent="0.25">
      <c r="A1024" s="1" t="str">
        <f>HYPERLINK("https://vegkart.atlas.vegvesen.no/#/@475137.1,7462839.1,18/hva:hva%5B0%5D%5Bfilter%5D%5B0%5D%5Boperator%5D=%21%3D&amp;hva%5B0%5D%5Bfilter%5D%5B0%5D%5Btype_id%5D=9736&amp;hva%5B0%5D%5Bfilter%5D%5B0%5D%5Bverdi%5D=&amp;hva%5B0%5D%5Bid%5D=853/når:2022-02-15", "Vegkart")</f>
        <v>Vegkart</v>
      </c>
      <c r="B1024">
        <v>978586547</v>
      </c>
      <c r="C1024">
        <v>853</v>
      </c>
      <c r="D1024" t="s">
        <v>2935</v>
      </c>
      <c r="E1024">
        <v>9736</v>
      </c>
      <c r="F1024" t="s">
        <v>23479</v>
      </c>
      <c r="G1024">
        <v>2</v>
      </c>
      <c r="H1024" t="s">
        <v>2828</v>
      </c>
      <c r="J1024" t="s">
        <v>3518</v>
      </c>
      <c r="K1024" t="s">
        <v>53</v>
      </c>
      <c r="L1024" t="s">
        <v>33</v>
      </c>
      <c r="M1024" t="s">
        <v>1448</v>
      </c>
      <c r="N1024" t="s">
        <v>3533</v>
      </c>
      <c r="O1024" t="s">
        <v>3534</v>
      </c>
      <c r="P1024" s="2" t="s">
        <v>26</v>
      </c>
      <c r="Q1024" t="s">
        <v>50</v>
      </c>
      <c r="R1024">
        <v>0</v>
      </c>
      <c r="S1024">
        <v>4.6399999999999997</v>
      </c>
      <c r="T1024" t="s">
        <v>3535</v>
      </c>
    </row>
    <row r="1025" spans="1:20" x14ac:dyDescent="0.25">
      <c r="A1025" s="1" t="str">
        <f>HYPERLINK("https://vegkart.atlas.vegvesen.no/#/@475645.2,7462580.2,18/hva:hva%5B0%5D%5Bfilter%5D%5B0%5D%5Boperator%5D=%21%3D&amp;hva%5B0%5D%5Bfilter%5D%5B0%5D%5Btype_id%5D=9736&amp;hva%5B0%5D%5Bfilter%5D%5B0%5D%5Bverdi%5D=&amp;hva%5B0%5D%5Bid%5D=853/når:2019-09-23", "Vegkart")</f>
        <v>Vegkart</v>
      </c>
      <c r="B1025">
        <v>978586548</v>
      </c>
      <c r="C1025">
        <v>853</v>
      </c>
      <c r="D1025" t="s">
        <v>2935</v>
      </c>
      <c r="E1025">
        <v>9736</v>
      </c>
      <c r="F1025" t="s">
        <v>23479</v>
      </c>
      <c r="G1025">
        <v>1</v>
      </c>
      <c r="H1025" t="s">
        <v>3517</v>
      </c>
      <c r="J1025" t="s">
        <v>3518</v>
      </c>
      <c r="K1025" t="s">
        <v>53</v>
      </c>
      <c r="L1025" t="s">
        <v>113</v>
      </c>
      <c r="M1025" t="s">
        <v>3519</v>
      </c>
      <c r="N1025" t="s">
        <v>3536</v>
      </c>
      <c r="O1025" t="s">
        <v>3537</v>
      </c>
      <c r="P1025" s="2" t="s">
        <v>26</v>
      </c>
      <c r="Q1025" t="s">
        <v>50</v>
      </c>
      <c r="R1025">
        <v>0</v>
      </c>
      <c r="S1025">
        <v>5.19</v>
      </c>
      <c r="T1025" t="s">
        <v>3538</v>
      </c>
    </row>
    <row r="1026" spans="1:20" x14ac:dyDescent="0.25">
      <c r="A1026" s="1" t="str">
        <f>HYPERLINK("https://vegkart.atlas.vegvesen.no/#/@475080.1,7462804.3,18/hva:hva%5B0%5D%5Bfilter%5D%5B0%5D%5Boperator%5D=%21%3D&amp;hva%5B0%5D%5Bfilter%5D%5B0%5D%5Btype_id%5D=9736&amp;hva%5B0%5D%5Bfilter%5D%5B0%5D%5Bverdi%5D=&amp;hva%5B0%5D%5Bid%5D=853/når:2019-09-23", "Vegkart")</f>
        <v>Vegkart</v>
      </c>
      <c r="B1026">
        <v>978586549</v>
      </c>
      <c r="C1026">
        <v>853</v>
      </c>
      <c r="D1026" t="s">
        <v>2935</v>
      </c>
      <c r="E1026">
        <v>9736</v>
      </c>
      <c r="F1026" t="s">
        <v>23479</v>
      </c>
      <c r="G1026">
        <v>1</v>
      </c>
      <c r="H1026" t="s">
        <v>3517</v>
      </c>
      <c r="J1026" t="s">
        <v>3518</v>
      </c>
      <c r="K1026" t="s">
        <v>53</v>
      </c>
      <c r="L1026" t="s">
        <v>113</v>
      </c>
      <c r="M1026" t="s">
        <v>3519</v>
      </c>
      <c r="N1026" t="s">
        <v>3539</v>
      </c>
      <c r="O1026" t="s">
        <v>3540</v>
      </c>
      <c r="P1026" s="2" t="s">
        <v>26</v>
      </c>
      <c r="Q1026" t="s">
        <v>50</v>
      </c>
      <c r="R1026">
        <v>0</v>
      </c>
      <c r="S1026">
        <v>6.39</v>
      </c>
      <c r="T1026" t="s">
        <v>3541</v>
      </c>
    </row>
    <row r="1027" spans="1:20" x14ac:dyDescent="0.25">
      <c r="A1027" s="1" t="str">
        <f>HYPERLINK("https://vegkart.atlas.vegvesen.no/#/@475153.1,7462906.3,18/hva:hva%5B0%5D%5Bfilter%5D%5B0%5D%5Boperator%5D=%21%3D&amp;hva%5B0%5D%5Bfilter%5D%5B0%5D%5Btype_id%5D=9736&amp;hva%5B0%5D%5Bfilter%5D%5B0%5D%5Bverdi%5D=&amp;hva%5B0%5D%5Bid%5D=853/når:2022-02-15", "Vegkart")</f>
        <v>Vegkart</v>
      </c>
      <c r="B1027">
        <v>978586550</v>
      </c>
      <c r="C1027">
        <v>853</v>
      </c>
      <c r="D1027" t="s">
        <v>2935</v>
      </c>
      <c r="E1027">
        <v>9736</v>
      </c>
      <c r="F1027" t="s">
        <v>23479</v>
      </c>
      <c r="G1027">
        <v>2</v>
      </c>
      <c r="H1027" t="s">
        <v>2828</v>
      </c>
      <c r="J1027" t="s">
        <v>3518</v>
      </c>
      <c r="K1027" t="s">
        <v>53</v>
      </c>
      <c r="L1027" t="s">
        <v>33</v>
      </c>
      <c r="M1027" t="s">
        <v>1448</v>
      </c>
      <c r="N1027" t="s">
        <v>3542</v>
      </c>
      <c r="O1027" t="s">
        <v>3543</v>
      </c>
      <c r="P1027" s="2" t="s">
        <v>26</v>
      </c>
      <c r="Q1027" t="s">
        <v>50</v>
      </c>
      <c r="R1027">
        <v>0</v>
      </c>
      <c r="S1027">
        <v>4.95</v>
      </c>
      <c r="T1027" t="s">
        <v>3544</v>
      </c>
    </row>
    <row r="1028" spans="1:20" x14ac:dyDescent="0.25">
      <c r="A1028" s="1" t="str">
        <f>HYPERLINK("https://vegkart.atlas.vegvesen.no/#/@475157.4,7463115.5,18/hva:hva%5B0%5D%5Bfilter%5D%5B0%5D%5Boperator%5D=%21%3D&amp;hva%5B0%5D%5Bfilter%5D%5B0%5D%5Btype_id%5D=9736&amp;hva%5B0%5D%5Bfilter%5D%5B0%5D%5Bverdi%5D=&amp;hva%5B0%5D%5Bid%5D=853/når:2022-02-15", "Vegkart")</f>
        <v>Vegkart</v>
      </c>
      <c r="B1028">
        <v>978586551</v>
      </c>
      <c r="C1028">
        <v>853</v>
      </c>
      <c r="D1028" t="s">
        <v>2935</v>
      </c>
      <c r="E1028">
        <v>9736</v>
      </c>
      <c r="F1028" t="s">
        <v>23479</v>
      </c>
      <c r="G1028">
        <v>2</v>
      </c>
      <c r="H1028" t="s">
        <v>2828</v>
      </c>
      <c r="J1028" t="s">
        <v>3518</v>
      </c>
      <c r="K1028" t="s">
        <v>53</v>
      </c>
      <c r="L1028" t="s">
        <v>33</v>
      </c>
      <c r="M1028" t="s">
        <v>1448</v>
      </c>
      <c r="N1028" t="s">
        <v>3545</v>
      </c>
      <c r="O1028" t="s">
        <v>3546</v>
      </c>
      <c r="P1028" s="2" t="s">
        <v>26</v>
      </c>
      <c r="Q1028" t="s">
        <v>50</v>
      </c>
      <c r="R1028">
        <v>0</v>
      </c>
      <c r="S1028">
        <v>4.8499999999999996</v>
      </c>
      <c r="T1028" t="s">
        <v>3547</v>
      </c>
    </row>
    <row r="1029" spans="1:20" x14ac:dyDescent="0.25">
      <c r="A1029" s="1" t="str">
        <f>HYPERLINK("https://vegkart.atlas.vegvesen.no/#/@475523.8,7462447.8,18/hva:hva%5B0%5D%5Bfilter%5D%5B0%5D%5Boperator%5D=%21%3D&amp;hva%5B0%5D%5Bfilter%5D%5B0%5D%5Btype_id%5D=9736&amp;hva%5B0%5D%5Bfilter%5D%5B0%5D%5Bverdi%5D=&amp;hva%5B0%5D%5Bid%5D=853/når:2019-09-23", "Vegkart")</f>
        <v>Vegkart</v>
      </c>
      <c r="B1029">
        <v>978586552</v>
      </c>
      <c r="C1029">
        <v>853</v>
      </c>
      <c r="D1029" t="s">
        <v>2935</v>
      </c>
      <c r="E1029">
        <v>9736</v>
      </c>
      <c r="F1029" t="s">
        <v>23479</v>
      </c>
      <c r="G1029">
        <v>1</v>
      </c>
      <c r="H1029" t="s">
        <v>3517</v>
      </c>
      <c r="J1029" t="s">
        <v>3518</v>
      </c>
      <c r="K1029" t="s">
        <v>53</v>
      </c>
      <c r="L1029" t="s">
        <v>113</v>
      </c>
      <c r="M1029" t="s">
        <v>3519</v>
      </c>
      <c r="N1029" t="s">
        <v>3548</v>
      </c>
      <c r="O1029" t="s">
        <v>3549</v>
      </c>
      <c r="P1029" s="2" t="s">
        <v>26</v>
      </c>
      <c r="Q1029" t="s">
        <v>50</v>
      </c>
      <c r="R1029">
        <v>0</v>
      </c>
      <c r="S1029">
        <v>5.18</v>
      </c>
      <c r="T1029" t="s">
        <v>3550</v>
      </c>
    </row>
    <row r="1030" spans="1:20" x14ac:dyDescent="0.25">
      <c r="A1030" s="1" t="str">
        <f>HYPERLINK("https://vegkart.atlas.vegvesen.no/#/@475683.5,7462568.4,18/hva:hva%5B0%5D%5Bfilter%5D%5B0%5D%5Boperator%5D=%21%3D&amp;hva%5B0%5D%5Bfilter%5D%5B0%5D%5Btype_id%5D=9736&amp;hva%5B0%5D%5Bfilter%5D%5B0%5D%5Bverdi%5D=&amp;hva%5B0%5D%5Bid%5D=853/når:2019-09-23", "Vegkart")</f>
        <v>Vegkart</v>
      </c>
      <c r="B1030">
        <v>978586553</v>
      </c>
      <c r="C1030">
        <v>853</v>
      </c>
      <c r="D1030" t="s">
        <v>2935</v>
      </c>
      <c r="E1030">
        <v>9736</v>
      </c>
      <c r="F1030" t="s">
        <v>23479</v>
      </c>
      <c r="G1030">
        <v>1</v>
      </c>
      <c r="H1030" t="s">
        <v>3517</v>
      </c>
      <c r="J1030" t="s">
        <v>3518</v>
      </c>
      <c r="K1030" t="s">
        <v>53</v>
      </c>
      <c r="L1030" t="s">
        <v>22</v>
      </c>
      <c r="M1030" t="s">
        <v>3551</v>
      </c>
      <c r="N1030" t="s">
        <v>3552</v>
      </c>
      <c r="O1030" t="s">
        <v>3553</v>
      </c>
      <c r="P1030" s="2" t="s">
        <v>26</v>
      </c>
      <c r="Q1030" t="s">
        <v>50</v>
      </c>
      <c r="R1030">
        <v>0</v>
      </c>
      <c r="S1030">
        <v>4.9800000000000004</v>
      </c>
      <c r="T1030" t="s">
        <v>3554</v>
      </c>
    </row>
    <row r="1031" spans="1:20" x14ac:dyDescent="0.25">
      <c r="A1031" s="1" t="str">
        <f>HYPERLINK("https://vegkart.atlas.vegvesen.no/#/@475611.4,7462532.8,18/hva:hva%5B0%5D%5Bfilter%5D%5B0%5D%5Boperator%5D=%21%3D&amp;hva%5B0%5D%5Bfilter%5D%5B0%5D%5Btype_id%5D=9736&amp;hva%5B0%5D%5Bfilter%5D%5B0%5D%5Bverdi%5D=&amp;hva%5B0%5D%5Bid%5D=853/når:2019-09-23", "Vegkart")</f>
        <v>Vegkart</v>
      </c>
      <c r="B1031">
        <v>978586554</v>
      </c>
      <c r="C1031">
        <v>853</v>
      </c>
      <c r="D1031" t="s">
        <v>2935</v>
      </c>
      <c r="E1031">
        <v>9736</v>
      </c>
      <c r="F1031" t="s">
        <v>23479</v>
      </c>
      <c r="G1031">
        <v>1</v>
      </c>
      <c r="H1031" t="s">
        <v>3517</v>
      </c>
      <c r="J1031" t="s">
        <v>3518</v>
      </c>
      <c r="K1031" t="s">
        <v>53</v>
      </c>
      <c r="L1031" t="s">
        <v>113</v>
      </c>
      <c r="M1031" t="s">
        <v>3519</v>
      </c>
      <c r="N1031" t="s">
        <v>3555</v>
      </c>
      <c r="O1031" t="s">
        <v>3556</v>
      </c>
      <c r="P1031" s="2" t="s">
        <v>26</v>
      </c>
      <c r="Q1031" t="s">
        <v>50</v>
      </c>
      <c r="R1031">
        <v>0</v>
      </c>
      <c r="S1031">
        <v>5.14</v>
      </c>
      <c r="T1031" t="s">
        <v>3557</v>
      </c>
    </row>
    <row r="1032" spans="1:20" x14ac:dyDescent="0.25">
      <c r="A1032" s="1" t="str">
        <f>HYPERLINK("https://vegkart.atlas.vegvesen.no/#/@475216.5,7462713.1,18/hva:hva%5B0%5D%5Bfilter%5D%5B0%5D%5Boperator%5D=%21%3D&amp;hva%5B0%5D%5Bfilter%5D%5B0%5D%5Btype_id%5D=9736&amp;hva%5B0%5D%5Bfilter%5D%5B0%5D%5Bverdi%5D=&amp;hva%5B0%5D%5Bid%5D=853/når:2019-09-23", "Vegkart")</f>
        <v>Vegkart</v>
      </c>
      <c r="B1032">
        <v>978586556</v>
      </c>
      <c r="C1032">
        <v>853</v>
      </c>
      <c r="D1032" t="s">
        <v>2935</v>
      </c>
      <c r="E1032">
        <v>9736</v>
      </c>
      <c r="F1032" t="s">
        <v>23479</v>
      </c>
      <c r="G1032">
        <v>1</v>
      </c>
      <c r="H1032" t="s">
        <v>3517</v>
      </c>
      <c r="J1032" t="s">
        <v>3518</v>
      </c>
      <c r="K1032" t="s">
        <v>53</v>
      </c>
      <c r="L1032" t="s">
        <v>113</v>
      </c>
      <c r="M1032" t="s">
        <v>3519</v>
      </c>
      <c r="N1032" t="s">
        <v>3558</v>
      </c>
      <c r="O1032" t="s">
        <v>3559</v>
      </c>
      <c r="P1032" s="2" t="s">
        <v>26</v>
      </c>
      <c r="Q1032" t="s">
        <v>50</v>
      </c>
      <c r="R1032">
        <v>0</v>
      </c>
      <c r="S1032">
        <v>5.19</v>
      </c>
      <c r="T1032" t="s">
        <v>3560</v>
      </c>
    </row>
    <row r="1033" spans="1:20" x14ac:dyDescent="0.25">
      <c r="A1033" s="1" t="str">
        <f>HYPERLINK("https://vegkart.atlas.vegvesen.no/#/@475680.0,7462536.1,18/hva:hva%5B0%5D%5Bfilter%5D%5B0%5D%5Boperator%5D=%21%3D&amp;hva%5B0%5D%5Bfilter%5D%5B0%5D%5Btype_id%5D=9736&amp;hva%5B0%5D%5Bfilter%5D%5B0%5D%5Bverdi%5D=&amp;hva%5B0%5D%5Bid%5D=853/når:2019-09-23", "Vegkart")</f>
        <v>Vegkart</v>
      </c>
      <c r="B1033">
        <v>978586557</v>
      </c>
      <c r="C1033">
        <v>853</v>
      </c>
      <c r="D1033" t="s">
        <v>2935</v>
      </c>
      <c r="E1033">
        <v>9736</v>
      </c>
      <c r="F1033" t="s">
        <v>23479</v>
      </c>
      <c r="G1033">
        <v>1</v>
      </c>
      <c r="H1033" t="s">
        <v>3517</v>
      </c>
      <c r="J1033" t="s">
        <v>3518</v>
      </c>
      <c r="K1033" t="s">
        <v>53</v>
      </c>
      <c r="L1033" t="s">
        <v>113</v>
      </c>
      <c r="M1033" t="s">
        <v>3519</v>
      </c>
      <c r="N1033" t="s">
        <v>3561</v>
      </c>
      <c r="O1033" t="s">
        <v>3562</v>
      </c>
      <c r="P1033" s="2" t="s">
        <v>26</v>
      </c>
      <c r="Q1033" t="s">
        <v>50</v>
      </c>
      <c r="R1033">
        <v>0</v>
      </c>
      <c r="S1033">
        <v>3.87</v>
      </c>
      <c r="T1033" t="s">
        <v>3563</v>
      </c>
    </row>
    <row r="1034" spans="1:20" x14ac:dyDescent="0.25">
      <c r="A1034" s="1" t="str">
        <f>HYPERLINK("https://vegkart.atlas.vegvesen.no/#/@475681.6,7462502.2,18/hva:hva%5B0%5D%5Bfilter%5D%5B0%5D%5Boperator%5D=%21%3D&amp;hva%5B0%5D%5Bfilter%5D%5B0%5D%5Btype_id%5D=9736&amp;hva%5B0%5D%5Bfilter%5D%5B0%5D%5Bverdi%5D=&amp;hva%5B0%5D%5Bid%5D=853/når:2019-09-23", "Vegkart")</f>
        <v>Vegkart</v>
      </c>
      <c r="B1034">
        <v>978586558</v>
      </c>
      <c r="C1034">
        <v>853</v>
      </c>
      <c r="D1034" t="s">
        <v>2935</v>
      </c>
      <c r="E1034">
        <v>9736</v>
      </c>
      <c r="F1034" t="s">
        <v>23479</v>
      </c>
      <c r="G1034">
        <v>1</v>
      </c>
      <c r="H1034" t="s">
        <v>3517</v>
      </c>
      <c r="J1034" t="s">
        <v>3518</v>
      </c>
      <c r="K1034" t="s">
        <v>53</v>
      </c>
      <c r="L1034" t="s">
        <v>113</v>
      </c>
      <c r="M1034" t="s">
        <v>3519</v>
      </c>
      <c r="N1034" t="s">
        <v>3564</v>
      </c>
      <c r="O1034" t="s">
        <v>3565</v>
      </c>
      <c r="P1034" s="2" t="s">
        <v>26</v>
      </c>
      <c r="Q1034" t="s">
        <v>50</v>
      </c>
      <c r="R1034">
        <v>0</v>
      </c>
      <c r="S1034">
        <v>5.13</v>
      </c>
      <c r="T1034" t="s">
        <v>3566</v>
      </c>
    </row>
    <row r="1035" spans="1:20" x14ac:dyDescent="0.25">
      <c r="A1035" s="1" t="str">
        <f>HYPERLINK("https://vegkart.atlas.vegvesen.no/#/@475622.8,7462465.1,18/hva:hva%5B0%5D%5Bfilter%5D%5B0%5D%5Boperator%5D=%21%3D&amp;hva%5B0%5D%5Bfilter%5D%5B0%5D%5Btype_id%5D=9736&amp;hva%5B0%5D%5Bfilter%5D%5B0%5D%5Bverdi%5D=&amp;hva%5B0%5D%5Bid%5D=853/når:2019-09-23", "Vegkart")</f>
        <v>Vegkart</v>
      </c>
      <c r="B1035">
        <v>978586561</v>
      </c>
      <c r="C1035">
        <v>853</v>
      </c>
      <c r="D1035" t="s">
        <v>2935</v>
      </c>
      <c r="E1035">
        <v>9736</v>
      </c>
      <c r="F1035" t="s">
        <v>23479</v>
      </c>
      <c r="G1035">
        <v>1</v>
      </c>
      <c r="H1035" t="s">
        <v>3517</v>
      </c>
      <c r="J1035" t="s">
        <v>3518</v>
      </c>
      <c r="K1035" t="s">
        <v>53</v>
      </c>
      <c r="L1035" t="s">
        <v>22</v>
      </c>
      <c r="M1035" t="s">
        <v>3551</v>
      </c>
      <c r="N1035" t="s">
        <v>3567</v>
      </c>
      <c r="O1035" t="s">
        <v>3568</v>
      </c>
      <c r="P1035" s="2" t="s">
        <v>26</v>
      </c>
      <c r="Q1035" t="s">
        <v>50</v>
      </c>
      <c r="R1035">
        <v>0</v>
      </c>
      <c r="S1035">
        <v>5</v>
      </c>
      <c r="T1035" t="s">
        <v>3569</v>
      </c>
    </row>
    <row r="1036" spans="1:20" x14ac:dyDescent="0.25">
      <c r="A1036" s="1" t="str">
        <f>HYPERLINK("https://vegkart.atlas.vegvesen.no/#/@475600.1,7462491.5,18/hva:hva%5B0%5D%5Bfilter%5D%5B0%5D%5Boperator%5D=%21%3D&amp;hva%5B0%5D%5Bfilter%5D%5B0%5D%5Btype_id%5D=9736&amp;hva%5B0%5D%5Bfilter%5D%5B0%5D%5Bverdi%5D=&amp;hva%5B0%5D%5Bid%5D=853/når:2019-09-23", "Vegkart")</f>
        <v>Vegkart</v>
      </c>
      <c r="B1036">
        <v>978586563</v>
      </c>
      <c r="C1036">
        <v>853</v>
      </c>
      <c r="D1036" t="s">
        <v>2935</v>
      </c>
      <c r="E1036">
        <v>9736</v>
      </c>
      <c r="F1036" t="s">
        <v>23479</v>
      </c>
      <c r="G1036">
        <v>1</v>
      </c>
      <c r="H1036" t="s">
        <v>3517</v>
      </c>
      <c r="J1036" t="s">
        <v>3518</v>
      </c>
      <c r="K1036" t="s">
        <v>53</v>
      </c>
      <c r="L1036" t="s">
        <v>113</v>
      </c>
      <c r="M1036" t="s">
        <v>3519</v>
      </c>
      <c r="N1036" t="s">
        <v>3570</v>
      </c>
      <c r="O1036" t="s">
        <v>3571</v>
      </c>
      <c r="P1036" s="2" t="s">
        <v>26</v>
      </c>
      <c r="Q1036" t="s">
        <v>50</v>
      </c>
      <c r="R1036">
        <v>0</v>
      </c>
      <c r="S1036">
        <v>5.19</v>
      </c>
      <c r="T1036" t="s">
        <v>3572</v>
      </c>
    </row>
    <row r="1037" spans="1:20" x14ac:dyDescent="0.25">
      <c r="A1037" s="1" t="str">
        <f>HYPERLINK("https://vegkart.atlas.vegvesen.no/#/@475141.8,7462902.1,18/hva:hva%5B0%5D%5Bfilter%5D%5B0%5D%5Boperator%5D=%21%3D&amp;hva%5B0%5D%5Bfilter%5D%5B0%5D%5Btype_id%5D=9736&amp;hva%5B0%5D%5Bfilter%5D%5B0%5D%5Bverdi%5D=&amp;hva%5B0%5D%5Bid%5D=853/når:2022-02-15", "Vegkart")</f>
        <v>Vegkart</v>
      </c>
      <c r="B1037">
        <v>978586564</v>
      </c>
      <c r="C1037">
        <v>853</v>
      </c>
      <c r="D1037" t="s">
        <v>2935</v>
      </c>
      <c r="E1037">
        <v>9736</v>
      </c>
      <c r="F1037" t="s">
        <v>23479</v>
      </c>
      <c r="G1037">
        <v>2</v>
      </c>
      <c r="H1037" t="s">
        <v>2828</v>
      </c>
      <c r="J1037" t="s">
        <v>3518</v>
      </c>
      <c r="K1037" t="s">
        <v>53</v>
      </c>
      <c r="L1037" t="s">
        <v>33</v>
      </c>
      <c r="M1037" t="s">
        <v>1448</v>
      </c>
      <c r="N1037" t="s">
        <v>3573</v>
      </c>
      <c r="O1037" t="s">
        <v>3574</v>
      </c>
      <c r="P1037" s="2" t="s">
        <v>26</v>
      </c>
      <c r="Q1037" t="s">
        <v>50</v>
      </c>
      <c r="R1037">
        <v>0</v>
      </c>
      <c r="S1037">
        <v>3.5</v>
      </c>
      <c r="T1037" t="s">
        <v>3575</v>
      </c>
    </row>
    <row r="1038" spans="1:20" x14ac:dyDescent="0.25">
      <c r="A1038" s="1" t="str">
        <f>HYPERLINK("https://vegkart.atlas.vegvesen.no/#/@475481.1,7462631.6,18/hva:hva%5B0%5D%5Bfilter%5D%5B0%5D%5Boperator%5D=%21%3D&amp;hva%5B0%5D%5Bfilter%5D%5B0%5D%5Btype_id%5D=9736&amp;hva%5B0%5D%5Bfilter%5D%5B0%5D%5Bverdi%5D=&amp;hva%5B0%5D%5Bid%5D=853/når:2019-09-23", "Vegkart")</f>
        <v>Vegkart</v>
      </c>
      <c r="B1038">
        <v>978586565</v>
      </c>
      <c r="C1038">
        <v>853</v>
      </c>
      <c r="D1038" t="s">
        <v>2935</v>
      </c>
      <c r="E1038">
        <v>9736</v>
      </c>
      <c r="F1038" t="s">
        <v>23479</v>
      </c>
      <c r="G1038">
        <v>1</v>
      </c>
      <c r="H1038" t="s">
        <v>3517</v>
      </c>
      <c r="J1038" t="s">
        <v>3518</v>
      </c>
      <c r="K1038" t="s">
        <v>53</v>
      </c>
      <c r="L1038" t="s">
        <v>113</v>
      </c>
      <c r="M1038" t="s">
        <v>3519</v>
      </c>
      <c r="N1038" t="s">
        <v>3576</v>
      </c>
      <c r="O1038" t="s">
        <v>3577</v>
      </c>
      <c r="P1038" s="2" t="s">
        <v>26</v>
      </c>
      <c r="Q1038" t="s">
        <v>50</v>
      </c>
      <c r="R1038">
        <v>0</v>
      </c>
      <c r="S1038">
        <v>4.9400000000000004</v>
      </c>
      <c r="T1038" t="s">
        <v>3578</v>
      </c>
    </row>
    <row r="1039" spans="1:20" x14ac:dyDescent="0.25">
      <c r="A1039" s="1" t="str">
        <f>HYPERLINK("https://vegkart.atlas.vegvesen.no/#/@475547.0,7462498.3,18/hva:hva%5B0%5D%5Bfilter%5D%5B0%5D%5Boperator%5D=%21%3D&amp;hva%5B0%5D%5Bfilter%5D%5B0%5D%5Btype_id%5D=9736&amp;hva%5B0%5D%5Bfilter%5D%5B0%5D%5Bverdi%5D=&amp;hva%5B0%5D%5Bid%5D=853/når:2019-09-23", "Vegkart")</f>
        <v>Vegkart</v>
      </c>
      <c r="B1039">
        <v>978586566</v>
      </c>
      <c r="C1039">
        <v>853</v>
      </c>
      <c r="D1039" t="s">
        <v>2935</v>
      </c>
      <c r="E1039">
        <v>9736</v>
      </c>
      <c r="F1039" t="s">
        <v>23479</v>
      </c>
      <c r="G1039">
        <v>1</v>
      </c>
      <c r="H1039" t="s">
        <v>3517</v>
      </c>
      <c r="J1039" t="s">
        <v>3518</v>
      </c>
      <c r="K1039" t="s">
        <v>53</v>
      </c>
      <c r="L1039" t="s">
        <v>113</v>
      </c>
      <c r="M1039" t="s">
        <v>3519</v>
      </c>
      <c r="N1039" t="s">
        <v>3579</v>
      </c>
      <c r="O1039" t="s">
        <v>3580</v>
      </c>
      <c r="P1039" s="2" t="s">
        <v>26</v>
      </c>
      <c r="Q1039" t="s">
        <v>50</v>
      </c>
      <c r="R1039">
        <v>0</v>
      </c>
      <c r="S1039">
        <v>5.18</v>
      </c>
      <c r="T1039" t="s">
        <v>3581</v>
      </c>
    </row>
    <row r="1040" spans="1:20" x14ac:dyDescent="0.25">
      <c r="A1040" s="1" t="str">
        <f>HYPERLINK("https://vegkart.atlas.vegvesen.no/#/@475463.9,7462448.1,18/hva:hva%5B0%5D%5Bfilter%5D%5B0%5D%5Boperator%5D=%21%3D&amp;hva%5B0%5D%5Bfilter%5D%5B0%5D%5Btype_id%5D=9736&amp;hva%5B0%5D%5Bfilter%5D%5B0%5D%5Bverdi%5D=&amp;hva%5B0%5D%5Bid%5D=853/når:2019-09-23", "Vegkart")</f>
        <v>Vegkart</v>
      </c>
      <c r="B1040">
        <v>978586567</v>
      </c>
      <c r="C1040">
        <v>853</v>
      </c>
      <c r="D1040" t="s">
        <v>2935</v>
      </c>
      <c r="E1040">
        <v>9736</v>
      </c>
      <c r="F1040" t="s">
        <v>23479</v>
      </c>
      <c r="G1040">
        <v>1</v>
      </c>
      <c r="H1040" t="s">
        <v>3517</v>
      </c>
      <c r="J1040" t="s">
        <v>3518</v>
      </c>
      <c r="K1040" t="s">
        <v>53</v>
      </c>
      <c r="L1040" t="s">
        <v>113</v>
      </c>
      <c r="M1040" t="s">
        <v>3519</v>
      </c>
      <c r="N1040" t="s">
        <v>3582</v>
      </c>
      <c r="O1040" t="s">
        <v>3583</v>
      </c>
      <c r="P1040" s="2" t="s">
        <v>26</v>
      </c>
      <c r="Q1040" t="s">
        <v>50</v>
      </c>
      <c r="R1040">
        <v>0</v>
      </c>
      <c r="S1040">
        <v>6.37</v>
      </c>
      <c r="T1040" t="s">
        <v>3584</v>
      </c>
    </row>
    <row r="1041" spans="1:20" x14ac:dyDescent="0.25">
      <c r="A1041" s="1" t="str">
        <f>HYPERLINK("https://vegkart.atlas.vegvesen.no/#/@475081.8,7462804.6,18/hva:hva%5B0%5D%5Bfilter%5D%5B0%5D%5Boperator%5D=%21%3D&amp;hva%5B0%5D%5Bfilter%5D%5B0%5D%5Btype_id%5D=9736&amp;hva%5B0%5D%5Bfilter%5D%5B0%5D%5Bverdi%5D=&amp;hva%5B0%5D%5Bid%5D=853/når:2019-09-23", "Vegkart")</f>
        <v>Vegkart</v>
      </c>
      <c r="B1041">
        <v>978586568</v>
      </c>
      <c r="C1041">
        <v>853</v>
      </c>
      <c r="D1041" t="s">
        <v>2935</v>
      </c>
      <c r="E1041">
        <v>9736</v>
      </c>
      <c r="F1041" t="s">
        <v>23479</v>
      </c>
      <c r="G1041">
        <v>1</v>
      </c>
      <c r="H1041" t="s">
        <v>3517</v>
      </c>
      <c r="J1041" t="s">
        <v>3518</v>
      </c>
      <c r="K1041" t="s">
        <v>53</v>
      </c>
      <c r="L1041" t="s">
        <v>113</v>
      </c>
      <c r="M1041" t="s">
        <v>3519</v>
      </c>
      <c r="N1041" t="s">
        <v>3585</v>
      </c>
      <c r="O1041" t="s">
        <v>3586</v>
      </c>
      <c r="P1041" s="2" t="s">
        <v>26</v>
      </c>
      <c r="Q1041" t="s">
        <v>50</v>
      </c>
      <c r="R1041">
        <v>0</v>
      </c>
      <c r="S1041">
        <v>5.0599999999999996</v>
      </c>
      <c r="T1041" t="s">
        <v>3587</v>
      </c>
    </row>
    <row r="1042" spans="1:20" x14ac:dyDescent="0.25">
      <c r="A1042" s="1" t="str">
        <f>HYPERLINK("https://vegkart.atlas.vegvesen.no/#/@475521.8,7462565.7,18/hva:hva%5B0%5D%5Bfilter%5D%5B0%5D%5Boperator%5D=%21%3D&amp;hva%5B0%5D%5Bfilter%5D%5B0%5D%5Btype_id%5D=9736&amp;hva%5B0%5D%5Bfilter%5D%5B0%5D%5Bverdi%5D=&amp;hva%5B0%5D%5Bid%5D=853/når:2019-09-23", "Vegkart")</f>
        <v>Vegkart</v>
      </c>
      <c r="B1042">
        <v>978586570</v>
      </c>
      <c r="C1042">
        <v>853</v>
      </c>
      <c r="D1042" t="s">
        <v>2935</v>
      </c>
      <c r="E1042">
        <v>9736</v>
      </c>
      <c r="F1042" t="s">
        <v>23479</v>
      </c>
      <c r="G1042">
        <v>1</v>
      </c>
      <c r="H1042" t="s">
        <v>3517</v>
      </c>
      <c r="J1042" t="s">
        <v>3518</v>
      </c>
      <c r="K1042" t="s">
        <v>53</v>
      </c>
      <c r="L1042" t="s">
        <v>113</v>
      </c>
      <c r="M1042" t="s">
        <v>3519</v>
      </c>
      <c r="N1042" t="s">
        <v>3588</v>
      </c>
      <c r="O1042" t="s">
        <v>3589</v>
      </c>
      <c r="P1042" s="2" t="s">
        <v>26</v>
      </c>
      <c r="Q1042" t="s">
        <v>50</v>
      </c>
      <c r="R1042">
        <v>0</v>
      </c>
      <c r="S1042">
        <v>3.62</v>
      </c>
      <c r="T1042" t="s">
        <v>3590</v>
      </c>
    </row>
    <row r="1043" spans="1:20" x14ac:dyDescent="0.25">
      <c r="A1043" s="1" t="str">
        <f>HYPERLINK("https://vegkart.atlas.vegvesen.no/#/@475554.7,7462603.4,18/hva:hva%5B0%5D%5Bfilter%5D%5B0%5D%5Boperator%5D=%21%3D&amp;hva%5B0%5D%5Bfilter%5D%5B0%5D%5Btype_id%5D=9736&amp;hva%5B0%5D%5Bfilter%5D%5B0%5D%5Bverdi%5D=&amp;hva%5B0%5D%5Bid%5D=853/når:2019-09-23", "Vegkart")</f>
        <v>Vegkart</v>
      </c>
      <c r="B1043">
        <v>978586572</v>
      </c>
      <c r="C1043">
        <v>853</v>
      </c>
      <c r="D1043" t="s">
        <v>2935</v>
      </c>
      <c r="E1043">
        <v>9736</v>
      </c>
      <c r="F1043" t="s">
        <v>23479</v>
      </c>
      <c r="G1043">
        <v>1</v>
      </c>
      <c r="H1043" t="s">
        <v>3517</v>
      </c>
      <c r="J1043" t="s">
        <v>3518</v>
      </c>
      <c r="K1043" t="s">
        <v>53</v>
      </c>
      <c r="L1043" t="s">
        <v>113</v>
      </c>
      <c r="M1043" t="s">
        <v>3519</v>
      </c>
      <c r="N1043" t="s">
        <v>3591</v>
      </c>
      <c r="O1043" t="s">
        <v>3592</v>
      </c>
      <c r="P1043" s="2" t="s">
        <v>26</v>
      </c>
      <c r="Q1043" t="s">
        <v>50</v>
      </c>
      <c r="R1043">
        <v>0</v>
      </c>
      <c r="S1043">
        <v>4.87</v>
      </c>
      <c r="T1043" t="s">
        <v>3593</v>
      </c>
    </row>
    <row r="1044" spans="1:20" x14ac:dyDescent="0.25">
      <c r="A1044" s="1" t="str">
        <f>HYPERLINK("https://vegkart.atlas.vegvesen.no/#/@475479.4,7462586.8,18/hva:hva%5B0%5D%5Bfilter%5D%5B0%5D%5Boperator%5D=%21%3D&amp;hva%5B0%5D%5Bfilter%5D%5B0%5D%5Btype_id%5D=9736&amp;hva%5B0%5D%5Bfilter%5D%5B0%5D%5Bverdi%5D=&amp;hva%5B0%5D%5Bid%5D=853/når:2019-09-23", "Vegkart")</f>
        <v>Vegkart</v>
      </c>
      <c r="B1044">
        <v>978586573</v>
      </c>
      <c r="C1044">
        <v>853</v>
      </c>
      <c r="D1044" t="s">
        <v>2935</v>
      </c>
      <c r="E1044">
        <v>9736</v>
      </c>
      <c r="F1044" t="s">
        <v>23479</v>
      </c>
      <c r="G1044">
        <v>1</v>
      </c>
      <c r="H1044" t="s">
        <v>3517</v>
      </c>
      <c r="J1044" t="s">
        <v>3518</v>
      </c>
      <c r="K1044" t="s">
        <v>53</v>
      </c>
      <c r="L1044" t="s">
        <v>113</v>
      </c>
      <c r="M1044" t="s">
        <v>3519</v>
      </c>
      <c r="N1044" t="s">
        <v>3594</v>
      </c>
      <c r="O1044" t="s">
        <v>3595</v>
      </c>
      <c r="P1044" s="2" t="s">
        <v>26</v>
      </c>
      <c r="Q1044" t="s">
        <v>50</v>
      </c>
      <c r="R1044">
        <v>0</v>
      </c>
      <c r="S1044">
        <v>4.82</v>
      </c>
      <c r="T1044" t="s">
        <v>3596</v>
      </c>
    </row>
    <row r="1045" spans="1:20" x14ac:dyDescent="0.25">
      <c r="A1045" s="1" t="str">
        <f>HYPERLINK("https://vegkart.atlas.vegvesen.no/#/@475066.7,7462788.0,18/hva:hva%5B0%5D%5Bfilter%5D%5B0%5D%5Boperator%5D=%21%3D&amp;hva%5B0%5D%5Bfilter%5D%5B0%5D%5Btype_id%5D=9736&amp;hva%5B0%5D%5Bfilter%5D%5B0%5D%5Bverdi%5D=&amp;hva%5B0%5D%5Bid%5D=853/når:2019-09-23", "Vegkart")</f>
        <v>Vegkart</v>
      </c>
      <c r="B1045">
        <v>978586574</v>
      </c>
      <c r="C1045">
        <v>853</v>
      </c>
      <c r="D1045" t="s">
        <v>2935</v>
      </c>
      <c r="E1045">
        <v>9736</v>
      </c>
      <c r="F1045" t="s">
        <v>23479</v>
      </c>
      <c r="G1045">
        <v>1</v>
      </c>
      <c r="H1045" t="s">
        <v>3517</v>
      </c>
      <c r="J1045" t="s">
        <v>3518</v>
      </c>
      <c r="K1045" t="s">
        <v>53</v>
      </c>
      <c r="L1045" t="s">
        <v>113</v>
      </c>
      <c r="M1045" t="s">
        <v>3519</v>
      </c>
      <c r="N1045" t="s">
        <v>3597</v>
      </c>
      <c r="O1045" t="s">
        <v>3598</v>
      </c>
      <c r="P1045" s="2" t="s">
        <v>26</v>
      </c>
      <c r="Q1045" t="s">
        <v>50</v>
      </c>
      <c r="R1045">
        <v>0</v>
      </c>
      <c r="S1045">
        <v>4.83</v>
      </c>
      <c r="T1045" t="s">
        <v>3599</v>
      </c>
    </row>
    <row r="1046" spans="1:20" x14ac:dyDescent="0.25">
      <c r="A1046" s="1" t="str">
        <f>HYPERLINK("https://vegkart.atlas.vegvesen.no/#/@475468.4,7462597.7,18/hva:hva%5B0%5D%5Bfilter%5D%5B0%5D%5Boperator%5D=%21%3D&amp;hva%5B0%5D%5Bfilter%5D%5B0%5D%5Btype_id%5D=9736&amp;hva%5B0%5D%5Bfilter%5D%5B0%5D%5Bverdi%5D=&amp;hva%5B0%5D%5Bid%5D=853/når:2019-09-23", "Vegkart")</f>
        <v>Vegkart</v>
      </c>
      <c r="B1046">
        <v>978586575</v>
      </c>
      <c r="C1046">
        <v>853</v>
      </c>
      <c r="D1046" t="s">
        <v>2935</v>
      </c>
      <c r="E1046">
        <v>9736</v>
      </c>
      <c r="F1046" t="s">
        <v>23479</v>
      </c>
      <c r="G1046">
        <v>1</v>
      </c>
      <c r="H1046" t="s">
        <v>3517</v>
      </c>
      <c r="J1046" t="s">
        <v>3518</v>
      </c>
      <c r="K1046" t="s">
        <v>53</v>
      </c>
      <c r="L1046" t="s">
        <v>113</v>
      </c>
      <c r="M1046" t="s">
        <v>3519</v>
      </c>
      <c r="N1046" t="s">
        <v>3600</v>
      </c>
      <c r="O1046" t="s">
        <v>3601</v>
      </c>
      <c r="P1046" s="2" t="s">
        <v>26</v>
      </c>
      <c r="Q1046" t="s">
        <v>50</v>
      </c>
      <c r="R1046">
        <v>0</v>
      </c>
      <c r="S1046">
        <v>4.8899999999999997</v>
      </c>
      <c r="T1046" t="s">
        <v>3602</v>
      </c>
    </row>
    <row r="1047" spans="1:20" x14ac:dyDescent="0.25">
      <c r="A1047" s="1" t="str">
        <f>HYPERLINK("https://vegkart.atlas.vegvesen.no/#/@475113.4,7462840.0,18/hva:hva%5B0%5D%5Bfilter%5D%5B0%5D%5Boperator%5D=%21%3D&amp;hva%5B0%5D%5Bfilter%5D%5B0%5D%5Btype_id%5D=9736&amp;hva%5B0%5D%5Bfilter%5D%5B0%5D%5Bverdi%5D=&amp;hva%5B0%5D%5Bid%5D=853/når:2019-09-23", "Vegkart")</f>
        <v>Vegkart</v>
      </c>
      <c r="B1047">
        <v>978586576</v>
      </c>
      <c r="C1047">
        <v>853</v>
      </c>
      <c r="D1047" t="s">
        <v>2935</v>
      </c>
      <c r="E1047">
        <v>9736</v>
      </c>
      <c r="F1047" t="s">
        <v>23479</v>
      </c>
      <c r="G1047">
        <v>1</v>
      </c>
      <c r="H1047" t="s">
        <v>3517</v>
      </c>
      <c r="J1047" t="s">
        <v>3518</v>
      </c>
      <c r="K1047" t="s">
        <v>53</v>
      </c>
      <c r="L1047" t="s">
        <v>113</v>
      </c>
      <c r="M1047" t="s">
        <v>3519</v>
      </c>
      <c r="N1047" t="s">
        <v>3603</v>
      </c>
      <c r="O1047" t="s">
        <v>3604</v>
      </c>
      <c r="P1047" s="2" t="s">
        <v>26</v>
      </c>
      <c r="Q1047" t="s">
        <v>50</v>
      </c>
      <c r="R1047">
        <v>0</v>
      </c>
      <c r="S1047">
        <v>3.68</v>
      </c>
      <c r="T1047" t="s">
        <v>3605</v>
      </c>
    </row>
    <row r="1048" spans="1:20" x14ac:dyDescent="0.25">
      <c r="A1048" s="1" t="str">
        <f>HYPERLINK("https://vegkart.atlas.vegvesen.no/#/@475215.8,7462900.8,18/hva:hva%5B0%5D%5Bfilter%5D%5B0%5D%5Boperator%5D=%21%3D&amp;hva%5B0%5D%5Bfilter%5D%5B0%5D%5Btype_id%5D=9736&amp;hva%5B0%5D%5Bfilter%5D%5B0%5D%5Bverdi%5D=&amp;hva%5B0%5D%5Bid%5D=853/når:2019-09-23", "Vegkart")</f>
        <v>Vegkart</v>
      </c>
      <c r="B1048">
        <v>978586577</v>
      </c>
      <c r="C1048">
        <v>853</v>
      </c>
      <c r="D1048" t="s">
        <v>2935</v>
      </c>
      <c r="E1048">
        <v>9736</v>
      </c>
      <c r="F1048" t="s">
        <v>23479</v>
      </c>
      <c r="G1048">
        <v>1</v>
      </c>
      <c r="H1048" t="s">
        <v>3517</v>
      </c>
      <c r="J1048" t="s">
        <v>3518</v>
      </c>
      <c r="K1048" t="s">
        <v>53</v>
      </c>
      <c r="L1048" t="s">
        <v>22</v>
      </c>
      <c r="M1048" t="s">
        <v>3606</v>
      </c>
      <c r="N1048" t="s">
        <v>3607</v>
      </c>
      <c r="O1048" t="s">
        <v>3608</v>
      </c>
      <c r="P1048" s="2" t="s">
        <v>26</v>
      </c>
      <c r="Q1048" t="s">
        <v>50</v>
      </c>
      <c r="R1048">
        <v>0</v>
      </c>
      <c r="S1048">
        <v>4.9800000000000004</v>
      </c>
      <c r="T1048" t="s">
        <v>3609</v>
      </c>
    </row>
    <row r="1049" spans="1:20" x14ac:dyDescent="0.25">
      <c r="A1049" s="1" t="str">
        <f>HYPERLINK("https://vegkart.atlas.vegvesen.no/#/@475661.0,7462511.5,18/hva:hva%5B0%5D%5Bfilter%5D%5B0%5D%5Boperator%5D=%21%3D&amp;hva%5B0%5D%5Bfilter%5D%5B0%5D%5Btype_id%5D=9736&amp;hva%5B0%5D%5Bfilter%5D%5B0%5D%5Bverdi%5D=&amp;hva%5B0%5D%5Bid%5D=853/når:2019-09-23", "Vegkart")</f>
        <v>Vegkart</v>
      </c>
      <c r="B1049">
        <v>978586578</v>
      </c>
      <c r="C1049">
        <v>853</v>
      </c>
      <c r="D1049" t="s">
        <v>2935</v>
      </c>
      <c r="E1049">
        <v>9736</v>
      </c>
      <c r="F1049" t="s">
        <v>23479</v>
      </c>
      <c r="G1049">
        <v>1</v>
      </c>
      <c r="H1049" t="s">
        <v>3517</v>
      </c>
      <c r="J1049" t="s">
        <v>3518</v>
      </c>
      <c r="K1049" t="s">
        <v>53</v>
      </c>
      <c r="L1049" t="s">
        <v>22</v>
      </c>
      <c r="M1049" t="s">
        <v>3551</v>
      </c>
      <c r="N1049" t="s">
        <v>3610</v>
      </c>
      <c r="O1049" t="s">
        <v>3611</v>
      </c>
      <c r="P1049" s="2" t="s">
        <v>26</v>
      </c>
      <c r="Q1049" t="s">
        <v>50</v>
      </c>
      <c r="R1049">
        <v>0</v>
      </c>
      <c r="S1049">
        <v>5.1100000000000003</v>
      </c>
      <c r="T1049" t="s">
        <v>3612</v>
      </c>
    </row>
    <row r="1050" spans="1:20" x14ac:dyDescent="0.25">
      <c r="A1050" s="1" t="str">
        <f>HYPERLINK("https://vegkart.atlas.vegvesen.no/#/@475495.0,7462506.7,18/hva:hva%5B0%5D%5Bfilter%5D%5B0%5D%5Boperator%5D=%21%3D&amp;hva%5B0%5D%5Bfilter%5D%5B0%5D%5Btype_id%5D=9736&amp;hva%5B0%5D%5Bfilter%5D%5B0%5D%5Bverdi%5D=&amp;hva%5B0%5D%5Bid%5D=853/når:2019-09-23", "Vegkart")</f>
        <v>Vegkart</v>
      </c>
      <c r="B1050">
        <v>978586579</v>
      </c>
      <c r="C1050">
        <v>853</v>
      </c>
      <c r="D1050" t="s">
        <v>2935</v>
      </c>
      <c r="E1050">
        <v>9736</v>
      </c>
      <c r="F1050" t="s">
        <v>23479</v>
      </c>
      <c r="G1050">
        <v>1</v>
      </c>
      <c r="H1050" t="s">
        <v>3517</v>
      </c>
      <c r="J1050" t="s">
        <v>3518</v>
      </c>
      <c r="K1050" t="s">
        <v>53</v>
      </c>
      <c r="L1050" t="s">
        <v>113</v>
      </c>
      <c r="M1050" t="s">
        <v>3519</v>
      </c>
      <c r="N1050" t="s">
        <v>3613</v>
      </c>
      <c r="O1050" t="s">
        <v>3614</v>
      </c>
      <c r="P1050" s="2" t="s">
        <v>26</v>
      </c>
      <c r="Q1050" t="s">
        <v>50</v>
      </c>
      <c r="R1050">
        <v>0</v>
      </c>
      <c r="S1050">
        <v>6.39</v>
      </c>
      <c r="T1050" t="s">
        <v>3615</v>
      </c>
    </row>
    <row r="1051" spans="1:20" x14ac:dyDescent="0.25">
      <c r="A1051" s="1" t="str">
        <f>HYPERLINK("https://vegkart.atlas.vegvesen.no/#/@475295.0,7462677.6,18/hva:hva%5B0%5D%5Bfilter%5D%5B0%5D%5Boperator%5D=%21%3D&amp;hva%5B0%5D%5Bfilter%5D%5B0%5D%5Btype_id%5D=9736&amp;hva%5B0%5D%5Bfilter%5D%5B0%5D%5Bverdi%5D=&amp;hva%5B0%5D%5Bid%5D=853/når:2019-09-23", "Vegkart")</f>
        <v>Vegkart</v>
      </c>
      <c r="B1051">
        <v>978586580</v>
      </c>
      <c r="C1051">
        <v>853</v>
      </c>
      <c r="D1051" t="s">
        <v>2935</v>
      </c>
      <c r="E1051">
        <v>9736</v>
      </c>
      <c r="F1051" t="s">
        <v>23479</v>
      </c>
      <c r="G1051">
        <v>1</v>
      </c>
      <c r="H1051" t="s">
        <v>3517</v>
      </c>
      <c r="J1051" t="s">
        <v>3518</v>
      </c>
      <c r="K1051" t="s">
        <v>53</v>
      </c>
      <c r="L1051" t="s">
        <v>113</v>
      </c>
      <c r="M1051" t="s">
        <v>3519</v>
      </c>
      <c r="N1051" t="s">
        <v>3616</v>
      </c>
      <c r="O1051" t="s">
        <v>3617</v>
      </c>
      <c r="P1051" s="2" t="s">
        <v>26</v>
      </c>
      <c r="Q1051" t="s">
        <v>50</v>
      </c>
      <c r="R1051">
        <v>0</v>
      </c>
      <c r="S1051">
        <v>3.74</v>
      </c>
      <c r="T1051" t="s">
        <v>3618</v>
      </c>
    </row>
    <row r="1052" spans="1:20" x14ac:dyDescent="0.25">
      <c r="A1052" s="1" t="str">
        <f>HYPERLINK("https://vegkart.atlas.vegvesen.no/#/@475455.1,7462549.7,18/hva:hva%5B0%5D%5Bfilter%5D%5B0%5D%5Boperator%5D=%21%3D&amp;hva%5B0%5D%5Bfilter%5D%5B0%5D%5Btype_id%5D=9736&amp;hva%5B0%5D%5Bfilter%5D%5B0%5D%5Bverdi%5D=&amp;hva%5B0%5D%5Bid%5D=853/når:2019-09-23", "Vegkart")</f>
        <v>Vegkart</v>
      </c>
      <c r="B1052">
        <v>978586581</v>
      </c>
      <c r="C1052">
        <v>853</v>
      </c>
      <c r="D1052" t="s">
        <v>2935</v>
      </c>
      <c r="E1052">
        <v>9736</v>
      </c>
      <c r="F1052" t="s">
        <v>23479</v>
      </c>
      <c r="G1052">
        <v>1</v>
      </c>
      <c r="H1052" t="s">
        <v>3517</v>
      </c>
      <c r="J1052" t="s">
        <v>3518</v>
      </c>
      <c r="K1052" t="s">
        <v>53</v>
      </c>
      <c r="L1052" t="s">
        <v>113</v>
      </c>
      <c r="M1052" t="s">
        <v>3519</v>
      </c>
      <c r="N1052" t="s">
        <v>3619</v>
      </c>
      <c r="O1052" t="s">
        <v>3620</v>
      </c>
      <c r="P1052" s="2" t="s">
        <v>26</v>
      </c>
      <c r="Q1052" t="s">
        <v>50</v>
      </c>
      <c r="R1052">
        <v>0</v>
      </c>
      <c r="S1052">
        <v>6.37</v>
      </c>
      <c r="T1052" t="s">
        <v>3621</v>
      </c>
    </row>
    <row r="1053" spans="1:20" x14ac:dyDescent="0.25">
      <c r="A1053" s="1" t="str">
        <f>HYPERLINK("https://vegkart.atlas.vegvesen.no/#/@475652.3,7462522.5,18/hva:hva%5B0%5D%5Bfilter%5D%5B0%5D%5Boperator%5D=%21%3D&amp;hva%5B0%5D%5Bfilter%5D%5B0%5D%5Btype_id%5D=9736&amp;hva%5B0%5D%5Bfilter%5D%5B0%5D%5Bverdi%5D=&amp;hva%5B0%5D%5Bid%5D=853/når:2019-09-23", "Vegkart")</f>
        <v>Vegkart</v>
      </c>
      <c r="B1053">
        <v>978586583</v>
      </c>
      <c r="C1053">
        <v>853</v>
      </c>
      <c r="D1053" t="s">
        <v>2935</v>
      </c>
      <c r="E1053">
        <v>9736</v>
      </c>
      <c r="F1053" t="s">
        <v>23479</v>
      </c>
      <c r="G1053">
        <v>1</v>
      </c>
      <c r="H1053" t="s">
        <v>3517</v>
      </c>
      <c r="J1053" t="s">
        <v>3518</v>
      </c>
      <c r="K1053" t="s">
        <v>53</v>
      </c>
      <c r="L1053" t="s">
        <v>22</v>
      </c>
      <c r="M1053" t="s">
        <v>3551</v>
      </c>
      <c r="N1053" t="s">
        <v>3622</v>
      </c>
      <c r="O1053" t="s">
        <v>3623</v>
      </c>
      <c r="P1053" s="2" t="s">
        <v>26</v>
      </c>
      <c r="Q1053" t="s">
        <v>50</v>
      </c>
      <c r="R1053">
        <v>0</v>
      </c>
      <c r="S1053">
        <v>5.01</v>
      </c>
      <c r="T1053" t="s">
        <v>3624</v>
      </c>
    </row>
    <row r="1054" spans="1:20" x14ac:dyDescent="0.25">
      <c r="A1054" s="1" t="str">
        <f>HYPERLINK("https://vegkart.atlas.vegvesen.no/#/@475566.3,7462465.8,18/hva:hva%5B0%5D%5Bfilter%5D%5B0%5D%5Boperator%5D=%21%3D&amp;hva%5B0%5D%5Bfilter%5D%5B0%5D%5Btype_id%5D=9736&amp;hva%5B0%5D%5Bfilter%5D%5B0%5D%5Bverdi%5D=&amp;hva%5B0%5D%5Bid%5D=853/når:2019-09-23", "Vegkart")</f>
        <v>Vegkart</v>
      </c>
      <c r="B1054">
        <v>978586584</v>
      </c>
      <c r="C1054">
        <v>853</v>
      </c>
      <c r="D1054" t="s">
        <v>2935</v>
      </c>
      <c r="E1054">
        <v>9736</v>
      </c>
      <c r="F1054" t="s">
        <v>23479</v>
      </c>
      <c r="G1054">
        <v>1</v>
      </c>
      <c r="H1054" t="s">
        <v>3517</v>
      </c>
      <c r="J1054" t="s">
        <v>3518</v>
      </c>
      <c r="K1054" t="s">
        <v>53</v>
      </c>
      <c r="L1054" t="s">
        <v>113</v>
      </c>
      <c r="M1054" t="s">
        <v>3519</v>
      </c>
      <c r="N1054" t="s">
        <v>3625</v>
      </c>
      <c r="O1054" t="s">
        <v>3626</v>
      </c>
      <c r="P1054" s="2" t="s">
        <v>26</v>
      </c>
      <c r="Q1054" t="s">
        <v>50</v>
      </c>
      <c r="R1054">
        <v>0</v>
      </c>
      <c r="S1054">
        <v>5.0599999999999996</v>
      </c>
      <c r="T1054" t="s">
        <v>3627</v>
      </c>
    </row>
    <row r="1055" spans="1:20" x14ac:dyDescent="0.25">
      <c r="A1055" s="1" t="str">
        <f>HYPERLINK("https://vegkart.atlas.vegvesen.no/#/@475065.3,7462788.9,18/hva:hva%5B0%5D%5Bfilter%5D%5B0%5D%5Boperator%5D=%21%3D&amp;hva%5B0%5D%5Bfilter%5D%5B0%5D%5Btype_id%5D=9736&amp;hva%5B0%5D%5Bfilter%5D%5B0%5D%5Bverdi%5D=&amp;hva%5B0%5D%5Bid%5D=853/når:2019-09-23", "Vegkart")</f>
        <v>Vegkart</v>
      </c>
      <c r="B1055">
        <v>978586585</v>
      </c>
      <c r="C1055">
        <v>853</v>
      </c>
      <c r="D1055" t="s">
        <v>2935</v>
      </c>
      <c r="E1055">
        <v>9736</v>
      </c>
      <c r="F1055" t="s">
        <v>23479</v>
      </c>
      <c r="G1055">
        <v>1</v>
      </c>
      <c r="H1055" t="s">
        <v>3517</v>
      </c>
      <c r="J1055" t="s">
        <v>3518</v>
      </c>
      <c r="K1055" t="s">
        <v>53</v>
      </c>
      <c r="L1055" t="s">
        <v>113</v>
      </c>
      <c r="M1055" t="s">
        <v>3519</v>
      </c>
      <c r="N1055" t="s">
        <v>3628</v>
      </c>
      <c r="O1055" t="s">
        <v>3629</v>
      </c>
      <c r="P1055" s="2" t="s">
        <v>26</v>
      </c>
      <c r="Q1055" t="s">
        <v>50</v>
      </c>
      <c r="R1055">
        <v>0</v>
      </c>
      <c r="S1055">
        <v>4.9400000000000004</v>
      </c>
      <c r="T1055" t="s">
        <v>3630</v>
      </c>
    </row>
    <row r="1056" spans="1:20" x14ac:dyDescent="0.25">
      <c r="A1056" s="1" t="str">
        <f>HYPERLINK("https://vegkart.atlas.vegvesen.no/#/@475023.0,7462844.7,18/hva:hva%5B0%5D%5Bfilter%5D%5B0%5D%5Boperator%5D=%21%3D&amp;hva%5B0%5D%5Bfilter%5D%5B0%5D%5Btype_id%5D=9736&amp;hva%5B0%5D%5Bfilter%5D%5B0%5D%5Bverdi%5D=&amp;hva%5B0%5D%5Bid%5D=853/når:2019-09-23", "Vegkart")</f>
        <v>Vegkart</v>
      </c>
      <c r="B1056">
        <v>978586586</v>
      </c>
      <c r="C1056">
        <v>853</v>
      </c>
      <c r="D1056" t="s">
        <v>2935</v>
      </c>
      <c r="E1056">
        <v>9736</v>
      </c>
      <c r="F1056" t="s">
        <v>23479</v>
      </c>
      <c r="G1056">
        <v>1</v>
      </c>
      <c r="H1056" t="s">
        <v>3517</v>
      </c>
      <c r="J1056" t="s">
        <v>3518</v>
      </c>
      <c r="K1056" t="s">
        <v>53</v>
      </c>
      <c r="L1056" t="s">
        <v>22</v>
      </c>
      <c r="M1056" t="s">
        <v>3523</v>
      </c>
      <c r="N1056" t="s">
        <v>3631</v>
      </c>
      <c r="O1056" t="s">
        <v>3632</v>
      </c>
      <c r="P1056" s="2" t="s">
        <v>26</v>
      </c>
      <c r="Q1056" t="s">
        <v>50</v>
      </c>
      <c r="R1056">
        <v>0</v>
      </c>
      <c r="S1056">
        <v>4.93</v>
      </c>
      <c r="T1056" t="s">
        <v>3633</v>
      </c>
    </row>
    <row r="1057" spans="1:20" x14ac:dyDescent="0.25">
      <c r="A1057" s="1" t="str">
        <f>HYPERLINK("https://vegkart.atlas.vegvesen.no/#/@475626.6,7462412.5,18/hva:hva%5B0%5D%5Bfilter%5D%5B0%5D%5Boperator%5D=%21%3D&amp;hva%5B0%5D%5Bfilter%5D%5B0%5D%5Btype_id%5D=9736&amp;hva%5B0%5D%5Bfilter%5D%5B0%5D%5Bverdi%5D=&amp;hva%5B0%5D%5Bid%5D=853/når:2019-09-23", "Vegkart")</f>
        <v>Vegkart</v>
      </c>
      <c r="B1057">
        <v>978586588</v>
      </c>
      <c r="C1057">
        <v>853</v>
      </c>
      <c r="D1057" t="s">
        <v>2935</v>
      </c>
      <c r="E1057">
        <v>9736</v>
      </c>
      <c r="F1057" t="s">
        <v>23479</v>
      </c>
      <c r="G1057">
        <v>1</v>
      </c>
      <c r="H1057" t="s">
        <v>3517</v>
      </c>
      <c r="J1057" t="s">
        <v>3518</v>
      </c>
      <c r="K1057" t="s">
        <v>53</v>
      </c>
      <c r="L1057" t="s">
        <v>113</v>
      </c>
      <c r="M1057" t="s">
        <v>3519</v>
      </c>
      <c r="N1057" t="s">
        <v>3634</v>
      </c>
      <c r="O1057" t="s">
        <v>3635</v>
      </c>
      <c r="P1057" s="2" t="s">
        <v>26</v>
      </c>
      <c r="Q1057" t="s">
        <v>50</v>
      </c>
      <c r="R1057">
        <v>0</v>
      </c>
      <c r="S1057">
        <v>6.35</v>
      </c>
      <c r="T1057" t="s">
        <v>3636</v>
      </c>
    </row>
    <row r="1058" spans="1:20" x14ac:dyDescent="0.25">
      <c r="A1058" s="1" t="str">
        <f>HYPERLINK("https://vegkart.atlas.vegvesen.no/#/@475583.8,7462451.0,18/hva:hva%5B0%5D%5Bfilter%5D%5B0%5D%5Boperator%5D=%21%3D&amp;hva%5B0%5D%5Bfilter%5D%5B0%5D%5Btype_id%5D=9736&amp;hva%5B0%5D%5Bfilter%5D%5B0%5D%5Bverdi%5D=&amp;hva%5B0%5D%5Bid%5D=853/når:2019-09-23", "Vegkart")</f>
        <v>Vegkart</v>
      </c>
      <c r="B1058">
        <v>978586589</v>
      </c>
      <c r="C1058">
        <v>853</v>
      </c>
      <c r="D1058" t="s">
        <v>2935</v>
      </c>
      <c r="E1058">
        <v>9736</v>
      </c>
      <c r="F1058" t="s">
        <v>23479</v>
      </c>
      <c r="G1058">
        <v>1</v>
      </c>
      <c r="H1058" t="s">
        <v>3517</v>
      </c>
      <c r="J1058" t="s">
        <v>3518</v>
      </c>
      <c r="K1058" t="s">
        <v>53</v>
      </c>
      <c r="L1058" t="s">
        <v>113</v>
      </c>
      <c r="M1058" t="s">
        <v>3519</v>
      </c>
      <c r="N1058" t="s">
        <v>3637</v>
      </c>
      <c r="O1058" t="s">
        <v>3638</v>
      </c>
      <c r="P1058" s="2" t="s">
        <v>26</v>
      </c>
      <c r="Q1058" t="s">
        <v>50</v>
      </c>
      <c r="R1058">
        <v>0</v>
      </c>
      <c r="S1058">
        <v>5.17</v>
      </c>
      <c r="T1058" t="s">
        <v>3639</v>
      </c>
    </row>
    <row r="1059" spans="1:20" x14ac:dyDescent="0.25">
      <c r="A1059" s="1" t="str">
        <f>HYPERLINK("https://vegkart.atlas.vegvesen.no/#/@475566.2,7462458.6,18/hva:hva%5B0%5D%5Bfilter%5D%5B0%5D%5Boperator%5D=%21%3D&amp;hva%5B0%5D%5Bfilter%5D%5B0%5D%5Btype_id%5D=9736&amp;hva%5B0%5D%5Bfilter%5D%5B0%5D%5Bverdi%5D=&amp;hva%5B0%5D%5Bid%5D=853/når:2019-09-23", "Vegkart")</f>
        <v>Vegkart</v>
      </c>
      <c r="B1059">
        <v>978586590</v>
      </c>
      <c r="C1059">
        <v>853</v>
      </c>
      <c r="D1059" t="s">
        <v>2935</v>
      </c>
      <c r="E1059">
        <v>9736</v>
      </c>
      <c r="F1059" t="s">
        <v>23479</v>
      </c>
      <c r="G1059">
        <v>1</v>
      </c>
      <c r="H1059" t="s">
        <v>3517</v>
      </c>
      <c r="J1059" t="s">
        <v>3518</v>
      </c>
      <c r="K1059" t="s">
        <v>53</v>
      </c>
      <c r="L1059" t="s">
        <v>113</v>
      </c>
      <c r="M1059" t="s">
        <v>3519</v>
      </c>
      <c r="N1059" t="s">
        <v>3640</v>
      </c>
      <c r="O1059" t="s">
        <v>3641</v>
      </c>
      <c r="P1059" s="2" t="s">
        <v>26</v>
      </c>
      <c r="Q1059" t="s">
        <v>50</v>
      </c>
      <c r="R1059">
        <v>0</v>
      </c>
      <c r="S1059">
        <v>6.4</v>
      </c>
      <c r="T1059" t="s">
        <v>3642</v>
      </c>
    </row>
    <row r="1060" spans="1:20" x14ac:dyDescent="0.25">
      <c r="A1060" s="1" t="str">
        <f>HYPERLINK("https://vegkart.atlas.vegvesen.no/#/@475268.5,7462920.7,18/hva:hva%5B0%5D%5Bfilter%5D%5B0%5D%5Boperator%5D=%21%3D&amp;hva%5B0%5D%5Bfilter%5D%5B0%5D%5Btype_id%5D=9736&amp;hva%5B0%5D%5Bfilter%5D%5B0%5D%5Bverdi%5D=&amp;hva%5B0%5D%5Bid%5D=853/når:2019-09-23", "Vegkart")</f>
        <v>Vegkart</v>
      </c>
      <c r="B1060">
        <v>978586591</v>
      </c>
      <c r="C1060">
        <v>853</v>
      </c>
      <c r="D1060" t="s">
        <v>2935</v>
      </c>
      <c r="E1060">
        <v>9736</v>
      </c>
      <c r="F1060" t="s">
        <v>23479</v>
      </c>
      <c r="G1060">
        <v>1</v>
      </c>
      <c r="H1060" t="s">
        <v>3517</v>
      </c>
      <c r="J1060" t="s">
        <v>3518</v>
      </c>
      <c r="K1060" t="s">
        <v>53</v>
      </c>
      <c r="L1060" t="s">
        <v>22</v>
      </c>
      <c r="M1060" t="s">
        <v>3606</v>
      </c>
      <c r="N1060" t="s">
        <v>3643</v>
      </c>
      <c r="O1060" t="s">
        <v>3644</v>
      </c>
      <c r="P1060" s="2" t="s">
        <v>26</v>
      </c>
      <c r="Q1060" t="s">
        <v>50</v>
      </c>
      <c r="R1060">
        <v>0</v>
      </c>
      <c r="S1060">
        <v>4.97</v>
      </c>
      <c r="T1060" t="s">
        <v>3645</v>
      </c>
    </row>
    <row r="1061" spans="1:20" x14ac:dyDescent="0.25">
      <c r="A1061" s="1" t="str">
        <f>HYPERLINK("https://vegkart.atlas.vegvesen.no/#/@475675.5,7462538.3,18/hva:hva%5B0%5D%5Bfilter%5D%5B0%5D%5Boperator%5D=%21%3D&amp;hva%5B0%5D%5Bfilter%5D%5B0%5D%5Btype_id%5D=9736&amp;hva%5B0%5D%5Bfilter%5D%5B0%5D%5Bverdi%5D=&amp;hva%5B0%5D%5Bid%5D=853/når:2019-09-23", "Vegkart")</f>
        <v>Vegkart</v>
      </c>
      <c r="B1061">
        <v>978586593</v>
      </c>
      <c r="C1061">
        <v>853</v>
      </c>
      <c r="D1061" t="s">
        <v>2935</v>
      </c>
      <c r="E1061">
        <v>9736</v>
      </c>
      <c r="F1061" t="s">
        <v>23479</v>
      </c>
      <c r="G1061">
        <v>1</v>
      </c>
      <c r="H1061" t="s">
        <v>3517</v>
      </c>
      <c r="J1061" t="s">
        <v>3518</v>
      </c>
      <c r="K1061" t="s">
        <v>53</v>
      </c>
      <c r="L1061" t="s">
        <v>113</v>
      </c>
      <c r="M1061" t="s">
        <v>3519</v>
      </c>
      <c r="N1061" t="s">
        <v>3646</v>
      </c>
      <c r="O1061" t="s">
        <v>3647</v>
      </c>
      <c r="P1061" s="2" t="s">
        <v>26</v>
      </c>
      <c r="Q1061" t="s">
        <v>50</v>
      </c>
      <c r="R1061">
        <v>0</v>
      </c>
      <c r="S1061">
        <v>3.58</v>
      </c>
      <c r="T1061" t="s">
        <v>3648</v>
      </c>
    </row>
    <row r="1062" spans="1:20" x14ac:dyDescent="0.25">
      <c r="A1062" s="1" t="str">
        <f>HYPERLINK("https://vegkart.atlas.vegvesen.no/#/@475499.0,7462602.3,18/hva:hva%5B0%5D%5Bfilter%5D%5B0%5D%5Boperator%5D=%21%3D&amp;hva%5B0%5D%5Bfilter%5D%5B0%5D%5Btype_id%5D=9736&amp;hva%5B0%5D%5Bfilter%5D%5B0%5D%5Bverdi%5D=&amp;hva%5B0%5D%5Bid%5D=853/når:2019-09-23", "Vegkart")</f>
        <v>Vegkart</v>
      </c>
      <c r="B1062">
        <v>978586594</v>
      </c>
      <c r="C1062">
        <v>853</v>
      </c>
      <c r="D1062" t="s">
        <v>2935</v>
      </c>
      <c r="E1062">
        <v>9736</v>
      </c>
      <c r="F1062" t="s">
        <v>23479</v>
      </c>
      <c r="G1062">
        <v>1</v>
      </c>
      <c r="H1062" t="s">
        <v>3517</v>
      </c>
      <c r="J1062" t="s">
        <v>3518</v>
      </c>
      <c r="K1062" t="s">
        <v>53</v>
      </c>
      <c r="L1062" t="s">
        <v>113</v>
      </c>
      <c r="M1062" t="s">
        <v>3519</v>
      </c>
      <c r="N1062" t="s">
        <v>3649</v>
      </c>
      <c r="O1062" t="s">
        <v>3650</v>
      </c>
      <c r="P1062" s="2" t="s">
        <v>26</v>
      </c>
      <c r="Q1062" t="s">
        <v>50</v>
      </c>
      <c r="R1062">
        <v>0</v>
      </c>
      <c r="S1062">
        <v>5.19</v>
      </c>
      <c r="T1062" t="s">
        <v>3651</v>
      </c>
    </row>
    <row r="1063" spans="1:20" x14ac:dyDescent="0.25">
      <c r="A1063" s="1" t="str">
        <f>HYPERLINK("https://vegkart.atlas.vegvesen.no/#/@474971.6,7462758.9,18/hva:hva%5B0%5D%5Bfilter%5D%5B0%5D%5Boperator%5D=%21%3D&amp;hva%5B0%5D%5Bfilter%5D%5B0%5D%5Btype_id%5D=9736&amp;hva%5B0%5D%5Bfilter%5D%5B0%5D%5Bverdi%5D=&amp;hva%5B0%5D%5Bid%5D=853/når:2019-09-23", "Vegkart")</f>
        <v>Vegkart</v>
      </c>
      <c r="B1063">
        <v>978586595</v>
      </c>
      <c r="C1063">
        <v>853</v>
      </c>
      <c r="D1063" t="s">
        <v>2935</v>
      </c>
      <c r="E1063">
        <v>9736</v>
      </c>
      <c r="F1063" t="s">
        <v>23479</v>
      </c>
      <c r="G1063">
        <v>1</v>
      </c>
      <c r="H1063" t="s">
        <v>3517</v>
      </c>
      <c r="J1063" t="s">
        <v>3518</v>
      </c>
      <c r="K1063" t="s">
        <v>53</v>
      </c>
      <c r="L1063" t="s">
        <v>22</v>
      </c>
      <c r="M1063" t="s">
        <v>3523</v>
      </c>
      <c r="N1063" t="s">
        <v>3652</v>
      </c>
      <c r="O1063" t="s">
        <v>3653</v>
      </c>
      <c r="P1063" s="2" t="s">
        <v>26</v>
      </c>
      <c r="Q1063" t="s">
        <v>50</v>
      </c>
      <c r="R1063">
        <v>0</v>
      </c>
      <c r="S1063">
        <v>4.8899999999999997</v>
      </c>
      <c r="T1063" t="s">
        <v>3654</v>
      </c>
    </row>
    <row r="1064" spans="1:20" x14ac:dyDescent="0.25">
      <c r="A1064" s="1" t="str">
        <f>HYPERLINK("https://vegkart.atlas.vegvesen.no/#/@475532.2,7462573.7,18/hva:hva%5B0%5D%5Bfilter%5D%5B0%5D%5Boperator%5D=%21%3D&amp;hva%5B0%5D%5Bfilter%5D%5B0%5D%5Btype_id%5D=9736&amp;hva%5B0%5D%5Bfilter%5D%5B0%5D%5Bverdi%5D=&amp;hva%5B0%5D%5Bid%5D=853/når:2019-09-23", "Vegkart")</f>
        <v>Vegkart</v>
      </c>
      <c r="B1064">
        <v>978586598</v>
      </c>
      <c r="C1064">
        <v>853</v>
      </c>
      <c r="D1064" t="s">
        <v>2935</v>
      </c>
      <c r="E1064">
        <v>9736</v>
      </c>
      <c r="F1064" t="s">
        <v>23479</v>
      </c>
      <c r="G1064">
        <v>1</v>
      </c>
      <c r="H1064" t="s">
        <v>3517</v>
      </c>
      <c r="J1064" t="s">
        <v>3518</v>
      </c>
      <c r="K1064" t="s">
        <v>53</v>
      </c>
      <c r="L1064" t="s">
        <v>113</v>
      </c>
      <c r="M1064" t="s">
        <v>3519</v>
      </c>
      <c r="N1064" t="s">
        <v>3655</v>
      </c>
      <c r="O1064" t="s">
        <v>3656</v>
      </c>
      <c r="P1064" s="2" t="s">
        <v>26</v>
      </c>
      <c r="Q1064" t="s">
        <v>50</v>
      </c>
      <c r="R1064">
        <v>0</v>
      </c>
      <c r="S1064">
        <v>5.18</v>
      </c>
      <c r="T1064" t="s">
        <v>3657</v>
      </c>
    </row>
    <row r="1065" spans="1:20" x14ac:dyDescent="0.25">
      <c r="A1065" s="1" t="str">
        <f>HYPERLINK("https://vegkart.atlas.vegvesen.no/#/@475685.7,7462559.4,18/hva:hva%5B0%5D%5Bfilter%5D%5B0%5D%5Boperator%5D=%21%3D&amp;hva%5B0%5D%5Bfilter%5D%5B0%5D%5Btype_id%5D=9736&amp;hva%5B0%5D%5Bfilter%5D%5B0%5D%5Bverdi%5D=&amp;hva%5B0%5D%5Bid%5D=853/når:2019-09-23", "Vegkart")</f>
        <v>Vegkart</v>
      </c>
      <c r="B1065">
        <v>978586599</v>
      </c>
      <c r="C1065">
        <v>853</v>
      </c>
      <c r="D1065" t="s">
        <v>2935</v>
      </c>
      <c r="E1065">
        <v>9736</v>
      </c>
      <c r="F1065" t="s">
        <v>23479</v>
      </c>
      <c r="G1065">
        <v>1</v>
      </c>
      <c r="H1065" t="s">
        <v>3517</v>
      </c>
      <c r="J1065" t="s">
        <v>3518</v>
      </c>
      <c r="K1065" t="s">
        <v>53</v>
      </c>
      <c r="L1065" t="s">
        <v>113</v>
      </c>
      <c r="M1065" t="s">
        <v>3519</v>
      </c>
      <c r="N1065" t="s">
        <v>3658</v>
      </c>
      <c r="O1065" t="s">
        <v>3659</v>
      </c>
      <c r="P1065" s="2" t="s">
        <v>26</v>
      </c>
      <c r="Q1065" t="s">
        <v>50</v>
      </c>
      <c r="R1065">
        <v>0</v>
      </c>
      <c r="S1065">
        <v>3.54</v>
      </c>
      <c r="T1065" t="s">
        <v>3660</v>
      </c>
    </row>
    <row r="1066" spans="1:20" x14ac:dyDescent="0.25">
      <c r="A1066" s="1" t="str">
        <f>HYPERLINK("https://vegkart.atlas.vegvesen.no/#/@475589.6,7462485.0,18/hva:hva%5B0%5D%5Bfilter%5D%5B0%5D%5Boperator%5D=%21%3D&amp;hva%5B0%5D%5Bfilter%5D%5B0%5D%5Btype_id%5D=9736&amp;hva%5B0%5D%5Bfilter%5D%5B0%5D%5Bverdi%5D=&amp;hva%5B0%5D%5Bid%5D=853/når:2019-09-23", "Vegkart")</f>
        <v>Vegkart</v>
      </c>
      <c r="B1066">
        <v>978586600</v>
      </c>
      <c r="C1066">
        <v>853</v>
      </c>
      <c r="D1066" t="s">
        <v>2935</v>
      </c>
      <c r="E1066">
        <v>9736</v>
      </c>
      <c r="F1066" t="s">
        <v>23479</v>
      </c>
      <c r="G1066">
        <v>1</v>
      </c>
      <c r="H1066" t="s">
        <v>3517</v>
      </c>
      <c r="J1066" t="s">
        <v>3518</v>
      </c>
      <c r="K1066" t="s">
        <v>53</v>
      </c>
      <c r="L1066" t="s">
        <v>113</v>
      </c>
      <c r="M1066" t="s">
        <v>3519</v>
      </c>
      <c r="N1066" t="s">
        <v>3661</v>
      </c>
      <c r="O1066" t="s">
        <v>3662</v>
      </c>
      <c r="P1066" s="2" t="s">
        <v>26</v>
      </c>
      <c r="Q1066" t="s">
        <v>50</v>
      </c>
      <c r="R1066">
        <v>0</v>
      </c>
      <c r="S1066">
        <v>3.59</v>
      </c>
      <c r="T1066" t="s">
        <v>3663</v>
      </c>
    </row>
    <row r="1067" spans="1:20" x14ac:dyDescent="0.25">
      <c r="A1067" s="1" t="str">
        <f>HYPERLINK("https://vegkart.atlas.vegvesen.no/#/@475540.8,7462590.5,18/hva:hva%5B0%5D%5Bfilter%5D%5B0%5D%5Boperator%5D=%21%3D&amp;hva%5B0%5D%5Bfilter%5D%5B0%5D%5Btype_id%5D=9736&amp;hva%5B0%5D%5Bfilter%5D%5B0%5D%5Bverdi%5D=&amp;hva%5B0%5D%5Bid%5D=853/når:2019-09-23", "Vegkart")</f>
        <v>Vegkart</v>
      </c>
      <c r="B1067">
        <v>978586601</v>
      </c>
      <c r="C1067">
        <v>853</v>
      </c>
      <c r="D1067" t="s">
        <v>2935</v>
      </c>
      <c r="E1067">
        <v>9736</v>
      </c>
      <c r="F1067" t="s">
        <v>23479</v>
      </c>
      <c r="G1067">
        <v>1</v>
      </c>
      <c r="H1067" t="s">
        <v>3517</v>
      </c>
      <c r="J1067" t="s">
        <v>3518</v>
      </c>
      <c r="K1067" t="s">
        <v>53</v>
      </c>
      <c r="L1067" t="s">
        <v>113</v>
      </c>
      <c r="M1067" t="s">
        <v>3519</v>
      </c>
      <c r="N1067" t="s">
        <v>3664</v>
      </c>
      <c r="O1067" t="s">
        <v>3665</v>
      </c>
      <c r="P1067" s="2" t="s">
        <v>26</v>
      </c>
      <c r="Q1067" t="s">
        <v>50</v>
      </c>
      <c r="R1067">
        <v>0</v>
      </c>
      <c r="S1067">
        <v>3.61</v>
      </c>
      <c r="T1067" t="s">
        <v>3666</v>
      </c>
    </row>
    <row r="1068" spans="1:20" x14ac:dyDescent="0.25">
      <c r="A1068" s="1" t="str">
        <f>HYPERLINK("https://vegkart.atlas.vegvesen.no/#/@474997.9,7462811.6,18/hva:hva%5B0%5D%5Bfilter%5D%5B0%5D%5Boperator%5D=%21%3D&amp;hva%5B0%5D%5Bfilter%5D%5B0%5D%5Btype_id%5D=9736&amp;hva%5B0%5D%5Bfilter%5D%5B0%5D%5Bverdi%5D=&amp;hva%5B0%5D%5Bid%5D=853/når:2019-09-23", "Vegkart")</f>
        <v>Vegkart</v>
      </c>
      <c r="B1068">
        <v>978586603</v>
      </c>
      <c r="C1068">
        <v>853</v>
      </c>
      <c r="D1068" t="s">
        <v>2935</v>
      </c>
      <c r="E1068">
        <v>9736</v>
      </c>
      <c r="F1068" t="s">
        <v>23479</v>
      </c>
      <c r="G1068">
        <v>1</v>
      </c>
      <c r="H1068" t="s">
        <v>3517</v>
      </c>
      <c r="J1068" t="s">
        <v>3518</v>
      </c>
      <c r="K1068" t="s">
        <v>53</v>
      </c>
      <c r="L1068" t="s">
        <v>22</v>
      </c>
      <c r="M1068" t="s">
        <v>3523</v>
      </c>
      <c r="N1068" t="s">
        <v>3667</v>
      </c>
      <c r="O1068" t="s">
        <v>3668</v>
      </c>
      <c r="P1068" s="2" t="s">
        <v>26</v>
      </c>
      <c r="Q1068" t="s">
        <v>50</v>
      </c>
      <c r="R1068">
        <v>0</v>
      </c>
      <c r="S1068">
        <v>6.32</v>
      </c>
      <c r="T1068" t="s">
        <v>3669</v>
      </c>
    </row>
    <row r="1069" spans="1:20" x14ac:dyDescent="0.25">
      <c r="A1069" s="1" t="str">
        <f>HYPERLINK("https://vegkart.atlas.vegvesen.no/#/@474968.6,7462892.0,18/hva:hva%5B0%5D%5Bfilter%5D%5B0%5D%5Boperator%5D=%21%3D&amp;hva%5B0%5D%5Bfilter%5D%5B0%5D%5Btype_id%5D=9736&amp;hva%5B0%5D%5Bfilter%5D%5B0%5D%5Bverdi%5D=&amp;hva%5B0%5D%5Bid%5D=853/når:2019-09-23", "Vegkart")</f>
        <v>Vegkart</v>
      </c>
      <c r="B1069">
        <v>978586604</v>
      </c>
      <c r="C1069">
        <v>853</v>
      </c>
      <c r="D1069" t="s">
        <v>2935</v>
      </c>
      <c r="E1069">
        <v>9736</v>
      </c>
      <c r="F1069" t="s">
        <v>23479</v>
      </c>
      <c r="G1069">
        <v>1</v>
      </c>
      <c r="H1069" t="s">
        <v>3517</v>
      </c>
      <c r="J1069" t="s">
        <v>3518</v>
      </c>
      <c r="K1069" t="s">
        <v>53</v>
      </c>
      <c r="L1069" t="s">
        <v>113</v>
      </c>
      <c r="M1069" t="s">
        <v>3519</v>
      </c>
      <c r="N1069" t="s">
        <v>3670</v>
      </c>
      <c r="O1069" t="s">
        <v>3671</v>
      </c>
      <c r="P1069" s="2" t="s">
        <v>26</v>
      </c>
      <c r="Q1069" t="s">
        <v>50</v>
      </c>
      <c r="R1069">
        <v>0</v>
      </c>
      <c r="S1069">
        <v>5.13</v>
      </c>
      <c r="T1069" t="s">
        <v>3672</v>
      </c>
    </row>
    <row r="1070" spans="1:20" x14ac:dyDescent="0.25">
      <c r="A1070" s="1" t="str">
        <f>HYPERLINK("https://vegkart.atlas.vegvesen.no/#/@475430.5,7462613.4,18/hva:hva%5B0%5D%5Bfilter%5D%5B0%5D%5Boperator%5D=%21%3D&amp;hva%5B0%5D%5Bfilter%5D%5B0%5D%5Btype_id%5D=9736&amp;hva%5B0%5D%5Bfilter%5D%5B0%5D%5Bverdi%5D=&amp;hva%5B0%5D%5Bid%5D=853/når:2019-09-23", "Vegkart")</f>
        <v>Vegkart</v>
      </c>
      <c r="B1070">
        <v>978586605</v>
      </c>
      <c r="C1070">
        <v>853</v>
      </c>
      <c r="D1070" t="s">
        <v>2935</v>
      </c>
      <c r="E1070">
        <v>9736</v>
      </c>
      <c r="F1070" t="s">
        <v>23479</v>
      </c>
      <c r="G1070">
        <v>1</v>
      </c>
      <c r="H1070" t="s">
        <v>3517</v>
      </c>
      <c r="J1070" t="s">
        <v>3518</v>
      </c>
      <c r="K1070" t="s">
        <v>53</v>
      </c>
      <c r="L1070" t="s">
        <v>113</v>
      </c>
      <c r="M1070" t="s">
        <v>3519</v>
      </c>
      <c r="N1070" t="s">
        <v>3673</v>
      </c>
      <c r="O1070" t="s">
        <v>3674</v>
      </c>
      <c r="P1070" s="2" t="s">
        <v>26</v>
      </c>
      <c r="Q1070" t="s">
        <v>50</v>
      </c>
      <c r="R1070">
        <v>0</v>
      </c>
      <c r="S1070">
        <v>3.68</v>
      </c>
      <c r="T1070" t="s">
        <v>3675</v>
      </c>
    </row>
    <row r="1071" spans="1:20" x14ac:dyDescent="0.25">
      <c r="A1071" s="1" t="str">
        <f>HYPERLINK("https://vegkart.atlas.vegvesen.no/#/@475691.5,7462514.7,18/hva:hva%5B0%5D%5Bfilter%5D%5B0%5D%5Boperator%5D=%21%3D&amp;hva%5B0%5D%5Bfilter%5D%5B0%5D%5Btype_id%5D=9736&amp;hva%5B0%5D%5Bfilter%5D%5B0%5D%5Bverdi%5D=&amp;hva%5B0%5D%5Bid%5D=853/når:2019-09-23", "Vegkart")</f>
        <v>Vegkart</v>
      </c>
      <c r="B1071">
        <v>978586606</v>
      </c>
      <c r="C1071">
        <v>853</v>
      </c>
      <c r="D1071" t="s">
        <v>2935</v>
      </c>
      <c r="E1071">
        <v>9736</v>
      </c>
      <c r="F1071" t="s">
        <v>23479</v>
      </c>
      <c r="G1071">
        <v>1</v>
      </c>
      <c r="H1071" t="s">
        <v>3517</v>
      </c>
      <c r="J1071" t="s">
        <v>3518</v>
      </c>
      <c r="K1071" t="s">
        <v>53</v>
      </c>
      <c r="L1071" t="s">
        <v>113</v>
      </c>
      <c r="M1071" t="s">
        <v>3519</v>
      </c>
      <c r="N1071" t="s">
        <v>3676</v>
      </c>
      <c r="O1071" t="s">
        <v>3677</v>
      </c>
      <c r="P1071" s="2" t="s">
        <v>26</v>
      </c>
      <c r="Q1071" t="s">
        <v>50</v>
      </c>
      <c r="R1071">
        <v>0</v>
      </c>
      <c r="S1071">
        <v>5.28</v>
      </c>
      <c r="T1071" t="s">
        <v>3678</v>
      </c>
    </row>
    <row r="1072" spans="1:20" x14ac:dyDescent="0.25">
      <c r="A1072" s="1" t="str">
        <f>HYPERLINK("https://vegkart.atlas.vegvesen.no/#/@474967.0,7462890.1,18/hva:hva%5B0%5D%5Bfilter%5D%5B0%5D%5Boperator%5D=%21%3D&amp;hva%5B0%5D%5Bfilter%5D%5B0%5D%5Btype_id%5D=9736&amp;hva%5B0%5D%5Bfilter%5D%5B0%5D%5Bverdi%5D=&amp;hva%5B0%5D%5Bid%5D=853/når:2019-09-23", "Vegkart")</f>
        <v>Vegkart</v>
      </c>
      <c r="B1072">
        <v>978586608</v>
      </c>
      <c r="C1072">
        <v>853</v>
      </c>
      <c r="D1072" t="s">
        <v>2935</v>
      </c>
      <c r="E1072">
        <v>9736</v>
      </c>
      <c r="F1072" t="s">
        <v>23479</v>
      </c>
      <c r="G1072">
        <v>1</v>
      </c>
      <c r="H1072" t="s">
        <v>3517</v>
      </c>
      <c r="J1072" t="s">
        <v>3518</v>
      </c>
      <c r="K1072" t="s">
        <v>53</v>
      </c>
      <c r="L1072" t="s">
        <v>113</v>
      </c>
      <c r="M1072" t="s">
        <v>3519</v>
      </c>
      <c r="N1072" t="s">
        <v>3670</v>
      </c>
      <c r="O1072" t="s">
        <v>3679</v>
      </c>
      <c r="P1072" s="2" t="s">
        <v>26</v>
      </c>
      <c r="Q1072" t="s">
        <v>50</v>
      </c>
      <c r="R1072">
        <v>0</v>
      </c>
      <c r="S1072">
        <v>4.6399999999999997</v>
      </c>
      <c r="T1072" t="s">
        <v>3680</v>
      </c>
    </row>
    <row r="1073" spans="1:20" x14ac:dyDescent="0.25">
      <c r="A1073" s="1" t="str">
        <f>HYPERLINK("https://vegkart.atlas.vegvesen.no/#/@475698.6,7462555.3,18/hva:hva%5B0%5D%5Bfilter%5D%5B0%5D%5Boperator%5D=%21%3D&amp;hva%5B0%5D%5Bfilter%5D%5B0%5D%5Btype_id%5D=9736&amp;hva%5B0%5D%5Bfilter%5D%5B0%5D%5Bverdi%5D=&amp;hva%5B0%5D%5Bid%5D=853/når:2019-09-23", "Vegkart")</f>
        <v>Vegkart</v>
      </c>
      <c r="B1073">
        <v>978586609</v>
      </c>
      <c r="C1073">
        <v>853</v>
      </c>
      <c r="D1073" t="s">
        <v>2935</v>
      </c>
      <c r="E1073">
        <v>9736</v>
      </c>
      <c r="F1073" t="s">
        <v>23479</v>
      </c>
      <c r="G1073">
        <v>1</v>
      </c>
      <c r="H1073" t="s">
        <v>3517</v>
      </c>
      <c r="J1073" t="s">
        <v>3518</v>
      </c>
      <c r="K1073" t="s">
        <v>53</v>
      </c>
      <c r="L1073" t="s">
        <v>113</v>
      </c>
      <c r="M1073" t="s">
        <v>3519</v>
      </c>
      <c r="N1073" t="s">
        <v>3681</v>
      </c>
      <c r="O1073" t="s">
        <v>3682</v>
      </c>
      <c r="P1073" s="2" t="s">
        <v>26</v>
      </c>
      <c r="Q1073" t="s">
        <v>50</v>
      </c>
      <c r="R1073">
        <v>0</v>
      </c>
      <c r="S1073">
        <v>4.91</v>
      </c>
      <c r="T1073" t="s">
        <v>3683</v>
      </c>
    </row>
    <row r="1074" spans="1:20" x14ac:dyDescent="0.25">
      <c r="A1074" s="1" t="str">
        <f>HYPERLINK("https://vegkart.atlas.vegvesen.no/#/@475495.9,7462472.4,18/hva:hva%5B0%5D%5Bfilter%5D%5B0%5D%5Boperator%5D=%21%3D&amp;hva%5B0%5D%5Bfilter%5D%5B0%5D%5Btype_id%5D=9736&amp;hva%5B0%5D%5Bfilter%5D%5B0%5D%5Bverdi%5D=&amp;hva%5B0%5D%5Bid%5D=853/når:2019-09-23", "Vegkart")</f>
        <v>Vegkart</v>
      </c>
      <c r="B1074">
        <v>978586610</v>
      </c>
      <c r="C1074">
        <v>853</v>
      </c>
      <c r="D1074" t="s">
        <v>2935</v>
      </c>
      <c r="E1074">
        <v>9736</v>
      </c>
      <c r="F1074" t="s">
        <v>23479</v>
      </c>
      <c r="G1074">
        <v>1</v>
      </c>
      <c r="H1074" t="s">
        <v>3517</v>
      </c>
      <c r="J1074" t="s">
        <v>3518</v>
      </c>
      <c r="K1074" t="s">
        <v>53</v>
      </c>
      <c r="L1074" t="s">
        <v>113</v>
      </c>
      <c r="M1074" t="s">
        <v>3519</v>
      </c>
      <c r="N1074" t="s">
        <v>3684</v>
      </c>
      <c r="O1074" t="s">
        <v>3685</v>
      </c>
      <c r="P1074" s="2" t="s">
        <v>26</v>
      </c>
      <c r="Q1074" t="s">
        <v>50</v>
      </c>
      <c r="R1074">
        <v>0</v>
      </c>
      <c r="S1074">
        <v>5.01</v>
      </c>
      <c r="T1074" t="s">
        <v>3686</v>
      </c>
    </row>
    <row r="1075" spans="1:20" x14ac:dyDescent="0.25">
      <c r="A1075" s="1" t="str">
        <f>HYPERLINK("https://vegkart.atlas.vegvesen.no/#/@475135.3,7462806.2,18/hva:hva%5B0%5D%5Bfilter%5D%5B0%5D%5Boperator%5D=%21%3D&amp;hva%5B0%5D%5Bfilter%5D%5B0%5D%5Btype_id%5D=9736&amp;hva%5B0%5D%5Bfilter%5D%5B0%5D%5Bverdi%5D=&amp;hva%5B0%5D%5Bid%5D=853/når:2019-09-23", "Vegkart")</f>
        <v>Vegkart</v>
      </c>
      <c r="B1075">
        <v>978586611</v>
      </c>
      <c r="C1075">
        <v>853</v>
      </c>
      <c r="D1075" t="s">
        <v>2935</v>
      </c>
      <c r="E1075">
        <v>9736</v>
      </c>
      <c r="F1075" t="s">
        <v>23479</v>
      </c>
      <c r="G1075">
        <v>1</v>
      </c>
      <c r="H1075" t="s">
        <v>3517</v>
      </c>
      <c r="J1075" t="s">
        <v>3518</v>
      </c>
      <c r="K1075" t="s">
        <v>53</v>
      </c>
      <c r="L1075" t="s">
        <v>113</v>
      </c>
      <c r="M1075" t="s">
        <v>3519</v>
      </c>
      <c r="N1075" t="s">
        <v>3687</v>
      </c>
      <c r="O1075" t="s">
        <v>3688</v>
      </c>
      <c r="P1075" s="2" t="s">
        <v>26</v>
      </c>
      <c r="Q1075" t="s">
        <v>50</v>
      </c>
      <c r="R1075">
        <v>0</v>
      </c>
      <c r="S1075">
        <v>4.9800000000000004</v>
      </c>
      <c r="T1075" t="s">
        <v>3689</v>
      </c>
    </row>
    <row r="1076" spans="1:20" x14ac:dyDescent="0.25">
      <c r="A1076" s="1" t="str">
        <f>HYPERLINK("https://vegkart.atlas.vegvesen.no/#/@475141.5,7462912.3,18/hva:hva%5B0%5D%5Bfilter%5D%5B0%5D%5Boperator%5D=%21%3D&amp;hva%5B0%5D%5Bfilter%5D%5B0%5D%5Btype_id%5D=9736&amp;hva%5B0%5D%5Bfilter%5D%5B0%5D%5Bverdi%5D=&amp;hva%5B0%5D%5Bid%5D=853/når:2022-02-15", "Vegkart")</f>
        <v>Vegkart</v>
      </c>
      <c r="B1076">
        <v>978586612</v>
      </c>
      <c r="C1076">
        <v>853</v>
      </c>
      <c r="D1076" t="s">
        <v>2935</v>
      </c>
      <c r="E1076">
        <v>9736</v>
      </c>
      <c r="F1076" t="s">
        <v>23479</v>
      </c>
      <c r="G1076">
        <v>2</v>
      </c>
      <c r="H1076" t="s">
        <v>2828</v>
      </c>
      <c r="J1076" t="s">
        <v>3518</v>
      </c>
      <c r="K1076" t="s">
        <v>53</v>
      </c>
      <c r="L1076" t="s">
        <v>33</v>
      </c>
      <c r="M1076" t="s">
        <v>1448</v>
      </c>
      <c r="N1076" t="s">
        <v>3690</v>
      </c>
      <c r="O1076" t="s">
        <v>3691</v>
      </c>
      <c r="P1076" s="2" t="s">
        <v>26</v>
      </c>
      <c r="Q1076" t="s">
        <v>50</v>
      </c>
      <c r="R1076">
        <v>0</v>
      </c>
      <c r="S1076">
        <v>5.14</v>
      </c>
      <c r="T1076" t="s">
        <v>3692</v>
      </c>
    </row>
    <row r="1077" spans="1:20" x14ac:dyDescent="0.25">
      <c r="A1077" s="1" t="str">
        <f>HYPERLINK("https://vegkart.atlas.vegvesen.no/#/@475448.6,7462558.5,18/hva:hva%5B0%5D%5Bfilter%5D%5B0%5D%5Boperator%5D=%21%3D&amp;hva%5B0%5D%5Bfilter%5D%5B0%5D%5Btype_id%5D=9736&amp;hva%5B0%5D%5Bfilter%5D%5B0%5D%5Bverdi%5D=&amp;hva%5B0%5D%5Bid%5D=853/når:2019-09-23", "Vegkart")</f>
        <v>Vegkart</v>
      </c>
      <c r="B1077">
        <v>978586614</v>
      </c>
      <c r="C1077">
        <v>853</v>
      </c>
      <c r="D1077" t="s">
        <v>2935</v>
      </c>
      <c r="E1077">
        <v>9736</v>
      </c>
      <c r="F1077" t="s">
        <v>23479</v>
      </c>
      <c r="G1077">
        <v>1</v>
      </c>
      <c r="H1077" t="s">
        <v>3517</v>
      </c>
      <c r="J1077" t="s">
        <v>3693</v>
      </c>
      <c r="K1077" t="s">
        <v>53</v>
      </c>
      <c r="L1077" t="s">
        <v>113</v>
      </c>
      <c r="M1077" t="s">
        <v>3519</v>
      </c>
      <c r="N1077" t="s">
        <v>3694</v>
      </c>
      <c r="O1077" t="s">
        <v>3695</v>
      </c>
      <c r="P1077" s="2" t="s">
        <v>26</v>
      </c>
      <c r="Q1077" t="s">
        <v>50</v>
      </c>
      <c r="R1077">
        <v>0</v>
      </c>
      <c r="S1077">
        <v>4.9800000000000004</v>
      </c>
      <c r="T1077" t="s">
        <v>3696</v>
      </c>
    </row>
    <row r="1078" spans="1:20" x14ac:dyDescent="0.25">
      <c r="A1078" s="1" t="str">
        <f>HYPERLINK("https://vegkart.atlas.vegvesen.no/#/@474959.1,7462892.3,18/hva:hva%5B0%5D%5Bfilter%5D%5B0%5D%5Boperator%5D=%21%3D&amp;hva%5B0%5D%5Bfilter%5D%5B0%5D%5Btype_id%5D=9736&amp;hva%5B0%5D%5Bfilter%5D%5B0%5D%5Bverdi%5D=&amp;hva%5B0%5D%5Bid%5D=853/når:2019-09-23", "Vegkart")</f>
        <v>Vegkart</v>
      </c>
      <c r="B1078">
        <v>978586615</v>
      </c>
      <c r="C1078">
        <v>853</v>
      </c>
      <c r="D1078" t="s">
        <v>2935</v>
      </c>
      <c r="E1078">
        <v>9736</v>
      </c>
      <c r="F1078" t="s">
        <v>23479</v>
      </c>
      <c r="G1078">
        <v>1</v>
      </c>
      <c r="H1078" t="s">
        <v>3517</v>
      </c>
      <c r="J1078" t="s">
        <v>3693</v>
      </c>
      <c r="K1078" t="s">
        <v>53</v>
      </c>
      <c r="L1078" t="s">
        <v>113</v>
      </c>
      <c r="M1078" t="s">
        <v>3519</v>
      </c>
      <c r="N1078" t="s">
        <v>3697</v>
      </c>
      <c r="O1078" t="s">
        <v>3698</v>
      </c>
      <c r="P1078" s="2" t="s">
        <v>26</v>
      </c>
      <c r="Q1078" t="s">
        <v>50</v>
      </c>
      <c r="R1078">
        <v>0</v>
      </c>
      <c r="S1078">
        <v>3.69</v>
      </c>
      <c r="T1078" t="s">
        <v>3699</v>
      </c>
    </row>
    <row r="1079" spans="1:20" x14ac:dyDescent="0.25">
      <c r="A1079" s="1" t="str">
        <f>HYPERLINK("https://vegkart.atlas.vegvesen.no/#/@475707.9,7462585.8,18/hva:hva%5B0%5D%5Bfilter%5D%5B0%5D%5Boperator%5D=%21%3D&amp;hva%5B0%5D%5Bfilter%5D%5B0%5D%5Btype_id%5D=9736&amp;hva%5B0%5D%5Bfilter%5D%5B0%5D%5Bverdi%5D=&amp;hva%5B0%5D%5Bid%5D=853/når:2019-09-23", "Vegkart")</f>
        <v>Vegkart</v>
      </c>
      <c r="B1079">
        <v>978586616</v>
      </c>
      <c r="C1079">
        <v>853</v>
      </c>
      <c r="D1079" t="s">
        <v>2935</v>
      </c>
      <c r="E1079">
        <v>9736</v>
      </c>
      <c r="F1079" t="s">
        <v>23479</v>
      </c>
      <c r="G1079">
        <v>1</v>
      </c>
      <c r="H1079" t="s">
        <v>3517</v>
      </c>
      <c r="J1079" t="s">
        <v>3693</v>
      </c>
      <c r="K1079" t="s">
        <v>53</v>
      </c>
      <c r="L1079" t="s">
        <v>22</v>
      </c>
      <c r="M1079" t="s">
        <v>3551</v>
      </c>
      <c r="N1079" t="s">
        <v>3700</v>
      </c>
      <c r="O1079" t="s">
        <v>3701</v>
      </c>
      <c r="P1079" s="2" t="s">
        <v>26</v>
      </c>
      <c r="Q1079" t="s">
        <v>50</v>
      </c>
      <c r="R1079">
        <v>0</v>
      </c>
      <c r="S1079">
        <v>3.59</v>
      </c>
      <c r="T1079" t="s">
        <v>3702</v>
      </c>
    </row>
    <row r="1080" spans="1:20" x14ac:dyDescent="0.25">
      <c r="A1080" s="1" t="str">
        <f>HYPERLINK("https://vegkart.atlas.vegvesen.no/#/@475045.4,7462834.5,18/hva:hva%5B0%5D%5Bfilter%5D%5B0%5D%5Boperator%5D=%21%3D&amp;hva%5B0%5D%5Bfilter%5D%5B0%5D%5Btype_id%5D=9736&amp;hva%5B0%5D%5Bfilter%5D%5B0%5D%5Bverdi%5D=&amp;hva%5B0%5D%5Bid%5D=853/når:2019-09-23", "Vegkart")</f>
        <v>Vegkart</v>
      </c>
      <c r="B1080">
        <v>978586617</v>
      </c>
      <c r="C1080">
        <v>853</v>
      </c>
      <c r="D1080" t="s">
        <v>2935</v>
      </c>
      <c r="E1080">
        <v>9736</v>
      </c>
      <c r="F1080" t="s">
        <v>23479</v>
      </c>
      <c r="G1080">
        <v>1</v>
      </c>
      <c r="H1080" t="s">
        <v>3517</v>
      </c>
      <c r="J1080" t="s">
        <v>3693</v>
      </c>
      <c r="K1080" t="s">
        <v>53</v>
      </c>
      <c r="L1080" t="s">
        <v>113</v>
      </c>
      <c r="M1080" t="s">
        <v>3519</v>
      </c>
      <c r="N1080" t="s">
        <v>3703</v>
      </c>
      <c r="O1080" t="s">
        <v>3704</v>
      </c>
      <c r="P1080" s="2" t="s">
        <v>26</v>
      </c>
      <c r="Q1080" t="s">
        <v>50</v>
      </c>
      <c r="R1080">
        <v>0</v>
      </c>
      <c r="S1080">
        <v>4.93</v>
      </c>
      <c r="T1080" t="s">
        <v>3705</v>
      </c>
    </row>
    <row r="1081" spans="1:20" x14ac:dyDescent="0.25">
      <c r="A1081" s="1" t="str">
        <f>HYPERLINK("https://vegkart.atlas.vegvesen.no/#/@475633.8,7462467.3,18/hva:hva%5B0%5D%5Bfilter%5D%5B0%5D%5Boperator%5D=%21%3D&amp;hva%5B0%5D%5Bfilter%5D%5B0%5D%5Btype_id%5D=9736&amp;hva%5B0%5D%5Bfilter%5D%5B0%5D%5Bverdi%5D=&amp;hva%5B0%5D%5Bid%5D=853/når:2019-09-23", "Vegkart")</f>
        <v>Vegkart</v>
      </c>
      <c r="B1081">
        <v>978586618</v>
      </c>
      <c r="C1081">
        <v>853</v>
      </c>
      <c r="D1081" t="s">
        <v>2935</v>
      </c>
      <c r="E1081">
        <v>9736</v>
      </c>
      <c r="F1081" t="s">
        <v>23479</v>
      </c>
      <c r="G1081">
        <v>1</v>
      </c>
      <c r="H1081" t="s">
        <v>3517</v>
      </c>
      <c r="J1081" t="s">
        <v>3693</v>
      </c>
      <c r="K1081" t="s">
        <v>53</v>
      </c>
      <c r="L1081" t="s">
        <v>22</v>
      </c>
      <c r="M1081" t="s">
        <v>3551</v>
      </c>
      <c r="N1081" t="s">
        <v>3706</v>
      </c>
      <c r="O1081" t="s">
        <v>3707</v>
      </c>
      <c r="P1081" s="2" t="s">
        <v>26</v>
      </c>
      <c r="Q1081" t="s">
        <v>50</v>
      </c>
      <c r="R1081">
        <v>0</v>
      </c>
      <c r="S1081">
        <v>5.15</v>
      </c>
      <c r="T1081" t="s">
        <v>3708</v>
      </c>
    </row>
    <row r="1082" spans="1:20" x14ac:dyDescent="0.25">
      <c r="A1082" s="1" t="str">
        <f>HYPERLINK("https://vegkart.atlas.vegvesen.no/#/@475173.2,7462915.2,18/hva:hva%5B0%5D%5Bfilter%5D%5B0%5D%5Boperator%5D=%21%3D&amp;hva%5B0%5D%5Bfilter%5D%5B0%5D%5Btype_id%5D=9736&amp;hva%5B0%5D%5Bfilter%5D%5B0%5D%5Bverdi%5D=&amp;hva%5B0%5D%5Bid%5D=853/når:2022-02-15", "Vegkart")</f>
        <v>Vegkart</v>
      </c>
      <c r="B1082">
        <v>978586619</v>
      </c>
      <c r="C1082">
        <v>853</v>
      </c>
      <c r="D1082" t="s">
        <v>2935</v>
      </c>
      <c r="E1082">
        <v>9736</v>
      </c>
      <c r="F1082" t="s">
        <v>23479</v>
      </c>
      <c r="G1082">
        <v>2</v>
      </c>
      <c r="H1082" t="s">
        <v>2828</v>
      </c>
      <c r="J1082" t="s">
        <v>3693</v>
      </c>
      <c r="K1082" t="s">
        <v>53</v>
      </c>
      <c r="L1082" t="s">
        <v>33</v>
      </c>
      <c r="M1082" t="s">
        <v>1448</v>
      </c>
      <c r="N1082" t="s">
        <v>3709</v>
      </c>
      <c r="O1082" t="s">
        <v>3710</v>
      </c>
      <c r="P1082" s="2" t="s">
        <v>26</v>
      </c>
      <c r="Q1082" t="s">
        <v>50</v>
      </c>
      <c r="R1082">
        <v>0</v>
      </c>
      <c r="S1082">
        <v>4.8899999999999997</v>
      </c>
      <c r="T1082" t="s">
        <v>3711</v>
      </c>
    </row>
    <row r="1083" spans="1:20" x14ac:dyDescent="0.25">
      <c r="A1083" s="1" t="str">
        <f>HYPERLINK("https://vegkart.atlas.vegvesen.no/#/@475691.7,7462531.5,18/hva:hva%5B0%5D%5Bfilter%5D%5B0%5D%5Boperator%5D=%21%3D&amp;hva%5B0%5D%5Bfilter%5D%5B0%5D%5Btype_id%5D=9736&amp;hva%5B0%5D%5Bfilter%5D%5B0%5D%5Bverdi%5D=&amp;hva%5B0%5D%5Bid%5D=853/når:2019-09-23", "Vegkart")</f>
        <v>Vegkart</v>
      </c>
      <c r="B1083">
        <v>978586620</v>
      </c>
      <c r="C1083">
        <v>853</v>
      </c>
      <c r="D1083" t="s">
        <v>2935</v>
      </c>
      <c r="E1083">
        <v>9736</v>
      </c>
      <c r="F1083" t="s">
        <v>23479</v>
      </c>
      <c r="G1083">
        <v>1</v>
      </c>
      <c r="H1083" t="s">
        <v>3517</v>
      </c>
      <c r="J1083" t="s">
        <v>3693</v>
      </c>
      <c r="K1083" t="s">
        <v>53</v>
      </c>
      <c r="L1083" t="s">
        <v>113</v>
      </c>
      <c r="M1083" t="s">
        <v>3519</v>
      </c>
      <c r="N1083" t="s">
        <v>3712</v>
      </c>
      <c r="O1083" t="s">
        <v>3713</v>
      </c>
      <c r="P1083" s="2" t="s">
        <v>26</v>
      </c>
      <c r="Q1083" t="s">
        <v>50</v>
      </c>
      <c r="R1083">
        <v>0</v>
      </c>
      <c r="S1083">
        <v>4.8499999999999996</v>
      </c>
      <c r="T1083" t="s">
        <v>3714</v>
      </c>
    </row>
    <row r="1084" spans="1:20" x14ac:dyDescent="0.25">
      <c r="A1084" s="1" t="str">
        <f>HYPERLINK("https://vegkart.atlas.vegvesen.no/#/@475601.2,7462433.7,18/hva:hva%5B0%5D%5Bfilter%5D%5B0%5D%5Boperator%5D=%21%3D&amp;hva%5B0%5D%5Bfilter%5D%5B0%5D%5Btype_id%5D=9736&amp;hva%5B0%5D%5Bfilter%5D%5B0%5D%5Bverdi%5D=&amp;hva%5B0%5D%5Bid%5D=853/når:2019-09-23", "Vegkart")</f>
        <v>Vegkart</v>
      </c>
      <c r="B1084">
        <v>978586621</v>
      </c>
      <c r="C1084">
        <v>853</v>
      </c>
      <c r="D1084" t="s">
        <v>2935</v>
      </c>
      <c r="E1084">
        <v>9736</v>
      </c>
      <c r="F1084" t="s">
        <v>23479</v>
      </c>
      <c r="G1084">
        <v>1</v>
      </c>
      <c r="H1084" t="s">
        <v>3517</v>
      </c>
      <c r="J1084" t="s">
        <v>3693</v>
      </c>
      <c r="K1084" t="s">
        <v>53</v>
      </c>
      <c r="L1084" t="s">
        <v>22</v>
      </c>
      <c r="M1084" t="s">
        <v>3551</v>
      </c>
      <c r="N1084" t="s">
        <v>3715</v>
      </c>
      <c r="O1084" t="s">
        <v>3716</v>
      </c>
      <c r="P1084" s="2" t="s">
        <v>26</v>
      </c>
      <c r="Q1084" t="s">
        <v>50</v>
      </c>
      <c r="R1084">
        <v>0</v>
      </c>
      <c r="S1084">
        <v>5.13</v>
      </c>
      <c r="T1084" t="s">
        <v>3717</v>
      </c>
    </row>
    <row r="1085" spans="1:20" x14ac:dyDescent="0.25">
      <c r="A1085" s="1" t="str">
        <f>HYPERLINK("https://vegkart.atlas.vegvesen.no/#/@475577.3,7462502.2,18/hva:hva%5B0%5D%5Bfilter%5D%5B0%5D%5Boperator%5D=%21%3D&amp;hva%5B0%5D%5Bfilter%5D%5B0%5D%5Btype_id%5D=9736&amp;hva%5B0%5D%5Bfilter%5D%5B0%5D%5Bverdi%5D=&amp;hva%5B0%5D%5Bid%5D=853/når:2019-09-23", "Vegkart")</f>
        <v>Vegkart</v>
      </c>
      <c r="B1085">
        <v>978586622</v>
      </c>
      <c r="C1085">
        <v>853</v>
      </c>
      <c r="D1085" t="s">
        <v>2935</v>
      </c>
      <c r="E1085">
        <v>9736</v>
      </c>
      <c r="F1085" t="s">
        <v>23479</v>
      </c>
      <c r="G1085">
        <v>1</v>
      </c>
      <c r="H1085" t="s">
        <v>3517</v>
      </c>
      <c r="J1085" t="s">
        <v>3693</v>
      </c>
      <c r="K1085" t="s">
        <v>53</v>
      </c>
      <c r="L1085" t="s">
        <v>113</v>
      </c>
      <c r="M1085" t="s">
        <v>3519</v>
      </c>
      <c r="N1085" t="s">
        <v>3718</v>
      </c>
      <c r="O1085" t="s">
        <v>3719</v>
      </c>
      <c r="P1085" s="2" t="s">
        <v>26</v>
      </c>
      <c r="Q1085" t="s">
        <v>50</v>
      </c>
      <c r="R1085">
        <v>0</v>
      </c>
      <c r="S1085">
        <v>4.84</v>
      </c>
      <c r="T1085" t="s">
        <v>3720</v>
      </c>
    </row>
    <row r="1086" spans="1:20" x14ac:dyDescent="0.25">
      <c r="A1086" s="1" t="str">
        <f>HYPERLINK("https://vegkart.atlas.vegvesen.no/#/@475504.6,7462508.0,18/hva:hva%5B0%5D%5Bfilter%5D%5B0%5D%5Boperator%5D=%21%3D&amp;hva%5B0%5D%5Bfilter%5D%5B0%5D%5Btype_id%5D=9736&amp;hva%5B0%5D%5Bfilter%5D%5B0%5D%5Bverdi%5D=&amp;hva%5B0%5D%5Bid%5D=853/når:2019-09-23", "Vegkart")</f>
        <v>Vegkart</v>
      </c>
      <c r="B1086">
        <v>978586623</v>
      </c>
      <c r="C1086">
        <v>853</v>
      </c>
      <c r="D1086" t="s">
        <v>2935</v>
      </c>
      <c r="E1086">
        <v>9736</v>
      </c>
      <c r="F1086" t="s">
        <v>23479</v>
      </c>
      <c r="G1086">
        <v>1</v>
      </c>
      <c r="H1086" t="s">
        <v>3517</v>
      </c>
      <c r="J1086" t="s">
        <v>3693</v>
      </c>
      <c r="K1086" t="s">
        <v>53</v>
      </c>
      <c r="L1086" t="s">
        <v>113</v>
      </c>
      <c r="M1086" t="s">
        <v>3519</v>
      </c>
      <c r="N1086" t="s">
        <v>3721</v>
      </c>
      <c r="O1086" t="s">
        <v>3722</v>
      </c>
      <c r="P1086" s="2" t="s">
        <v>26</v>
      </c>
      <c r="Q1086" t="s">
        <v>50</v>
      </c>
      <c r="R1086">
        <v>0</v>
      </c>
      <c r="S1086">
        <v>5.17</v>
      </c>
      <c r="T1086" t="s">
        <v>3723</v>
      </c>
    </row>
    <row r="1087" spans="1:20" x14ac:dyDescent="0.25">
      <c r="A1087" s="1" t="str">
        <f>HYPERLINK("https://vegkart.atlas.vegvesen.no/#/@475502.8,7462529.6,18/hva:hva%5B0%5D%5Bfilter%5D%5B0%5D%5Boperator%5D=%21%3D&amp;hva%5B0%5D%5Bfilter%5D%5B0%5D%5Btype_id%5D=9736&amp;hva%5B0%5D%5Bfilter%5D%5B0%5D%5Bverdi%5D=&amp;hva%5B0%5D%5Bid%5D=853/når:2019-09-23", "Vegkart")</f>
        <v>Vegkart</v>
      </c>
      <c r="B1087">
        <v>978586624</v>
      </c>
      <c r="C1087">
        <v>853</v>
      </c>
      <c r="D1087" t="s">
        <v>2935</v>
      </c>
      <c r="E1087">
        <v>9736</v>
      </c>
      <c r="F1087" t="s">
        <v>23479</v>
      </c>
      <c r="G1087">
        <v>1</v>
      </c>
      <c r="H1087" t="s">
        <v>3517</v>
      </c>
      <c r="J1087" t="s">
        <v>3693</v>
      </c>
      <c r="K1087" t="s">
        <v>53</v>
      </c>
      <c r="L1087" t="s">
        <v>113</v>
      </c>
      <c r="M1087" t="s">
        <v>3519</v>
      </c>
      <c r="N1087" t="s">
        <v>3724</v>
      </c>
      <c r="O1087" t="s">
        <v>3725</v>
      </c>
      <c r="P1087" s="2" t="s">
        <v>26</v>
      </c>
      <c r="Q1087" t="s">
        <v>50</v>
      </c>
      <c r="R1087">
        <v>0</v>
      </c>
      <c r="S1087">
        <v>4.99</v>
      </c>
      <c r="T1087" t="s">
        <v>3726</v>
      </c>
    </row>
    <row r="1088" spans="1:20" x14ac:dyDescent="0.25">
      <c r="A1088" s="1" t="str">
        <f>HYPERLINK("https://vegkart.atlas.vegvesen.no/#/@475164.4,7462820.0,18/hva:hva%5B0%5D%5Bfilter%5D%5B0%5D%5Boperator%5D=%21%3D&amp;hva%5B0%5D%5Bfilter%5D%5B0%5D%5Btype_id%5D=9736&amp;hva%5B0%5D%5Bfilter%5D%5B0%5D%5Bverdi%5D=&amp;hva%5B0%5D%5Bid%5D=853/når:2022-02-15", "Vegkart")</f>
        <v>Vegkart</v>
      </c>
      <c r="B1088">
        <v>978586627</v>
      </c>
      <c r="C1088">
        <v>853</v>
      </c>
      <c r="D1088" t="s">
        <v>2935</v>
      </c>
      <c r="E1088">
        <v>9736</v>
      </c>
      <c r="F1088" t="s">
        <v>23479</v>
      </c>
      <c r="G1088">
        <v>2</v>
      </c>
      <c r="H1088" t="s">
        <v>2828</v>
      </c>
      <c r="J1088" t="s">
        <v>3693</v>
      </c>
      <c r="K1088" t="s">
        <v>53</v>
      </c>
      <c r="L1088" t="s">
        <v>33</v>
      </c>
      <c r="M1088" t="s">
        <v>1448</v>
      </c>
      <c r="N1088" t="s">
        <v>3727</v>
      </c>
      <c r="O1088" t="s">
        <v>3728</v>
      </c>
      <c r="P1088" s="2" t="s">
        <v>26</v>
      </c>
      <c r="Q1088" t="s">
        <v>50</v>
      </c>
      <c r="R1088">
        <v>0</v>
      </c>
      <c r="S1088">
        <v>4.91</v>
      </c>
      <c r="T1088" t="s">
        <v>3729</v>
      </c>
    </row>
    <row r="1089" spans="1:20" x14ac:dyDescent="0.25">
      <c r="A1089" s="1" t="str">
        <f>HYPERLINK("https://vegkart.atlas.vegvesen.no/#/@475032.3,7462820.2,18/hva:hva%5B0%5D%5Bfilter%5D%5B0%5D%5Boperator%5D=%21%3D&amp;hva%5B0%5D%5Bfilter%5D%5B0%5D%5Btype_id%5D=9736&amp;hva%5B0%5D%5Bfilter%5D%5B0%5D%5Bverdi%5D=&amp;hva%5B0%5D%5Bid%5D=853/når:2019-09-23", "Vegkart")</f>
        <v>Vegkart</v>
      </c>
      <c r="B1089">
        <v>978586628</v>
      </c>
      <c r="C1089">
        <v>853</v>
      </c>
      <c r="D1089" t="s">
        <v>2935</v>
      </c>
      <c r="E1089">
        <v>9736</v>
      </c>
      <c r="F1089" t="s">
        <v>23479</v>
      </c>
      <c r="G1089">
        <v>1</v>
      </c>
      <c r="H1089" t="s">
        <v>3517</v>
      </c>
      <c r="J1089" t="s">
        <v>3693</v>
      </c>
      <c r="K1089" t="s">
        <v>53</v>
      </c>
      <c r="L1089" t="s">
        <v>113</v>
      </c>
      <c r="M1089" t="s">
        <v>3519</v>
      </c>
      <c r="N1089" t="s">
        <v>3730</v>
      </c>
      <c r="O1089" t="s">
        <v>3731</v>
      </c>
      <c r="P1089" s="2" t="s">
        <v>26</v>
      </c>
      <c r="Q1089" t="s">
        <v>50</v>
      </c>
      <c r="R1089">
        <v>0</v>
      </c>
      <c r="S1089">
        <v>3.56</v>
      </c>
      <c r="T1089" t="s">
        <v>3732</v>
      </c>
    </row>
    <row r="1090" spans="1:20" x14ac:dyDescent="0.25">
      <c r="A1090" s="1" t="str">
        <f>HYPERLINK("https://vegkart.atlas.vegvesen.no/#/@475151.6,7463128.2,18/hva:hva%5B0%5D%5Bfilter%5D%5B0%5D%5Boperator%5D=%21%3D&amp;hva%5B0%5D%5Bfilter%5D%5B0%5D%5Btype_id%5D=9736&amp;hva%5B0%5D%5Bfilter%5D%5B0%5D%5Bverdi%5D=&amp;hva%5B0%5D%5Bid%5D=853/når:2022-02-15", "Vegkart")</f>
        <v>Vegkart</v>
      </c>
      <c r="B1090">
        <v>978586629</v>
      </c>
      <c r="C1090">
        <v>853</v>
      </c>
      <c r="D1090" t="s">
        <v>2935</v>
      </c>
      <c r="E1090">
        <v>9736</v>
      </c>
      <c r="F1090" t="s">
        <v>23479</v>
      </c>
      <c r="G1090">
        <v>2</v>
      </c>
      <c r="H1090" t="s">
        <v>2828</v>
      </c>
      <c r="J1090" t="s">
        <v>3693</v>
      </c>
      <c r="K1090" t="s">
        <v>53</v>
      </c>
      <c r="L1090" t="s">
        <v>33</v>
      </c>
      <c r="M1090" t="s">
        <v>1448</v>
      </c>
      <c r="N1090" t="s">
        <v>3733</v>
      </c>
      <c r="O1090" t="s">
        <v>3734</v>
      </c>
      <c r="P1090" s="2" t="s">
        <v>26</v>
      </c>
      <c r="Q1090" t="s">
        <v>50</v>
      </c>
      <c r="R1090">
        <v>0</v>
      </c>
      <c r="S1090">
        <v>3.96</v>
      </c>
      <c r="T1090" t="s">
        <v>3735</v>
      </c>
    </row>
    <row r="1091" spans="1:20" x14ac:dyDescent="0.25">
      <c r="A1091" s="1" t="str">
        <f>HYPERLINK("https://vegkart.atlas.vegvesen.no/#/@475070.7,7462867.9,18/hva:hva%5B0%5D%5Bfilter%5D%5B0%5D%5Boperator%5D=%21%3D&amp;hva%5B0%5D%5Bfilter%5D%5B0%5D%5Btype_id%5D=9736&amp;hva%5B0%5D%5Bfilter%5D%5B0%5D%5Bverdi%5D=&amp;hva%5B0%5D%5Bid%5D=853/når:2019-09-23", "Vegkart")</f>
        <v>Vegkart</v>
      </c>
      <c r="B1091">
        <v>978586630</v>
      </c>
      <c r="C1091">
        <v>853</v>
      </c>
      <c r="D1091" t="s">
        <v>2935</v>
      </c>
      <c r="E1091">
        <v>9736</v>
      </c>
      <c r="F1091" t="s">
        <v>23479</v>
      </c>
      <c r="G1091">
        <v>1</v>
      </c>
      <c r="H1091" t="s">
        <v>3517</v>
      </c>
      <c r="J1091" t="s">
        <v>3693</v>
      </c>
      <c r="K1091" t="s">
        <v>53</v>
      </c>
      <c r="L1091" t="s">
        <v>113</v>
      </c>
      <c r="M1091" t="s">
        <v>3519</v>
      </c>
      <c r="N1091" t="s">
        <v>3736</v>
      </c>
      <c r="O1091" t="s">
        <v>3737</v>
      </c>
      <c r="P1091" s="2" t="s">
        <v>26</v>
      </c>
      <c r="Q1091" t="s">
        <v>50</v>
      </c>
      <c r="R1091">
        <v>0</v>
      </c>
      <c r="S1091">
        <v>5.09</v>
      </c>
      <c r="T1091" t="s">
        <v>3738</v>
      </c>
    </row>
    <row r="1092" spans="1:20" x14ac:dyDescent="0.25">
      <c r="A1092" s="1" t="str">
        <f>HYPERLINK("https://vegkart.atlas.vegvesen.no/#/@140255.4,6655479.5,18/hva:hva%5B0%5D%5Bfilter%5D%5B0%5D%5Boperator%5D=%21%3D&amp;hva%5B0%5D%5Bfilter%5D%5B0%5D%5Btype_id%5D=9736&amp;hva%5B0%5D%5Bfilter%5D%5B0%5D%5Bverdi%5D=&amp;hva%5B0%5D%5Bid%5D=853/når:2022-07-21", "Vegkart")</f>
        <v>Vegkart</v>
      </c>
      <c r="B1092">
        <v>993183899</v>
      </c>
      <c r="C1092">
        <v>853</v>
      </c>
      <c r="D1092" t="s">
        <v>2935</v>
      </c>
      <c r="E1092">
        <v>9736</v>
      </c>
      <c r="F1092" t="s">
        <v>23479</v>
      </c>
      <c r="G1092">
        <v>3</v>
      </c>
      <c r="H1092" t="s">
        <v>3739</v>
      </c>
      <c r="J1092" t="s">
        <v>3740</v>
      </c>
      <c r="K1092" t="s">
        <v>197</v>
      </c>
      <c r="L1092" t="s">
        <v>33</v>
      </c>
      <c r="M1092" t="s">
        <v>3741</v>
      </c>
      <c r="N1092" t="s">
        <v>3742</v>
      </c>
      <c r="O1092" t="s">
        <v>3743</v>
      </c>
      <c r="P1092" s="2" t="s">
        <v>165</v>
      </c>
      <c r="Q1092" t="s">
        <v>311</v>
      </c>
      <c r="R1092">
        <v>0</v>
      </c>
      <c r="S1092">
        <v>4.68</v>
      </c>
      <c r="T1092" t="s">
        <v>167</v>
      </c>
    </row>
    <row r="1093" spans="1:20" x14ac:dyDescent="0.25">
      <c r="A1093" s="1" t="str">
        <f>HYPERLINK("https://vegkart.atlas.vegvesen.no/#/@140741.8,6655423.6,18/hva:hva%5B0%5D%5Bfilter%5D%5B0%5D%5Boperator%5D=%21%3D&amp;hva%5B0%5D%5Bfilter%5D%5B0%5D%5Btype_id%5D=9736&amp;hva%5B0%5D%5Bfilter%5D%5B0%5D%5Bverdi%5D=&amp;hva%5B0%5D%5Bid%5D=853/når:2022-07-21", "Vegkart")</f>
        <v>Vegkart</v>
      </c>
      <c r="B1093">
        <v>993183913</v>
      </c>
      <c r="C1093">
        <v>853</v>
      </c>
      <c r="D1093" t="s">
        <v>2935</v>
      </c>
      <c r="E1093">
        <v>9736</v>
      </c>
      <c r="F1093" t="s">
        <v>23479</v>
      </c>
      <c r="G1093">
        <v>3</v>
      </c>
      <c r="H1093" t="s">
        <v>3739</v>
      </c>
      <c r="J1093" t="s">
        <v>3740</v>
      </c>
      <c r="K1093" t="s">
        <v>197</v>
      </c>
      <c r="L1093" t="s">
        <v>33</v>
      </c>
      <c r="M1093" t="s">
        <v>3741</v>
      </c>
      <c r="N1093" t="s">
        <v>3744</v>
      </c>
      <c r="O1093" t="s">
        <v>3745</v>
      </c>
      <c r="P1093" s="2" t="s">
        <v>165</v>
      </c>
      <c r="Q1093" t="s">
        <v>311</v>
      </c>
      <c r="R1093">
        <v>0</v>
      </c>
      <c r="S1093">
        <v>4.68</v>
      </c>
      <c r="T1093" t="s">
        <v>167</v>
      </c>
    </row>
    <row r="1094" spans="1:20" x14ac:dyDescent="0.25">
      <c r="A1094" s="1" t="str">
        <f>HYPERLINK("https://vegkart.atlas.vegvesen.no/#/@140739.2,6655412.6,18/hva:hva%5B0%5D%5Bfilter%5D%5B0%5D%5Boperator%5D=%21%3D&amp;hva%5B0%5D%5Bfilter%5D%5B0%5D%5Btype_id%5D=9736&amp;hva%5B0%5D%5Bfilter%5D%5B0%5D%5Bverdi%5D=&amp;hva%5B0%5D%5Bid%5D=853/når:2022-07-21", "Vegkart")</f>
        <v>Vegkart</v>
      </c>
      <c r="B1094">
        <v>993183914</v>
      </c>
      <c r="C1094">
        <v>853</v>
      </c>
      <c r="D1094" t="s">
        <v>2935</v>
      </c>
      <c r="E1094">
        <v>9736</v>
      </c>
      <c r="F1094" t="s">
        <v>23479</v>
      </c>
      <c r="G1094">
        <v>3</v>
      </c>
      <c r="H1094" t="s">
        <v>3739</v>
      </c>
      <c r="J1094" t="s">
        <v>3740</v>
      </c>
      <c r="K1094" t="s">
        <v>197</v>
      </c>
      <c r="L1094" t="s">
        <v>33</v>
      </c>
      <c r="M1094" t="s">
        <v>3741</v>
      </c>
      <c r="N1094" t="s">
        <v>3746</v>
      </c>
      <c r="O1094" t="s">
        <v>3747</v>
      </c>
      <c r="P1094" s="2" t="s">
        <v>165</v>
      </c>
      <c r="Q1094" t="s">
        <v>311</v>
      </c>
      <c r="R1094">
        <v>0</v>
      </c>
      <c r="S1094">
        <v>4.51</v>
      </c>
      <c r="T1094" t="s">
        <v>167</v>
      </c>
    </row>
    <row r="1095" spans="1:20" x14ac:dyDescent="0.25">
      <c r="A1095" s="1" t="str">
        <f>HYPERLINK("https://vegkart.atlas.vegvesen.no/#/@140738.2,6655409.8,18/hva:hva%5B0%5D%5Bfilter%5D%5B0%5D%5Boperator%5D=%21%3D&amp;hva%5B0%5D%5Bfilter%5D%5B0%5D%5Btype_id%5D=9736&amp;hva%5B0%5D%5Bfilter%5D%5B0%5D%5Bverdi%5D=&amp;hva%5B0%5D%5Bid%5D=853/når:2022-07-21", "Vegkart")</f>
        <v>Vegkart</v>
      </c>
      <c r="B1095">
        <v>993183915</v>
      </c>
      <c r="C1095">
        <v>853</v>
      </c>
      <c r="D1095" t="s">
        <v>2935</v>
      </c>
      <c r="E1095">
        <v>9736</v>
      </c>
      <c r="F1095" t="s">
        <v>23479</v>
      </c>
      <c r="G1095">
        <v>3</v>
      </c>
      <c r="H1095" t="s">
        <v>3739</v>
      </c>
      <c r="J1095" t="s">
        <v>3740</v>
      </c>
      <c r="K1095" t="s">
        <v>197</v>
      </c>
      <c r="L1095" t="s">
        <v>33</v>
      </c>
      <c r="M1095" t="s">
        <v>3741</v>
      </c>
      <c r="N1095" t="s">
        <v>3748</v>
      </c>
      <c r="O1095" t="s">
        <v>3749</v>
      </c>
      <c r="P1095" s="2" t="s">
        <v>165</v>
      </c>
      <c r="Q1095" t="s">
        <v>311</v>
      </c>
      <c r="R1095">
        <v>0.09</v>
      </c>
      <c r="S1095">
        <v>3.82</v>
      </c>
      <c r="T1095" t="s">
        <v>167</v>
      </c>
    </row>
    <row r="1096" spans="1:20" x14ac:dyDescent="0.25">
      <c r="A1096" s="1" t="str">
        <f>HYPERLINK("https://vegkart.atlas.vegvesen.no/#/@140734.6,6655413.3,18/hva:hva%5B0%5D%5Bfilter%5D%5B0%5D%5Boperator%5D=%21%3D&amp;hva%5B0%5D%5Bfilter%5D%5B0%5D%5Btype_id%5D=9736&amp;hva%5B0%5D%5Bfilter%5D%5B0%5D%5Bverdi%5D=&amp;hva%5B0%5D%5Bid%5D=853/når:2022-07-21", "Vegkart")</f>
        <v>Vegkart</v>
      </c>
      <c r="B1096">
        <v>993183916</v>
      </c>
      <c r="C1096">
        <v>853</v>
      </c>
      <c r="D1096" t="s">
        <v>2935</v>
      </c>
      <c r="E1096">
        <v>9736</v>
      </c>
      <c r="F1096" t="s">
        <v>23479</v>
      </c>
      <c r="G1096">
        <v>3</v>
      </c>
      <c r="H1096" t="s">
        <v>3739</v>
      </c>
      <c r="J1096" t="s">
        <v>3740</v>
      </c>
      <c r="K1096" t="s">
        <v>197</v>
      </c>
      <c r="L1096" t="s">
        <v>33</v>
      </c>
      <c r="M1096" t="s">
        <v>3741</v>
      </c>
      <c r="N1096" t="s">
        <v>3750</v>
      </c>
      <c r="O1096" t="s">
        <v>3751</v>
      </c>
      <c r="P1096" s="2" t="s">
        <v>165</v>
      </c>
      <c r="Q1096" t="s">
        <v>311</v>
      </c>
      <c r="R1096">
        <v>0</v>
      </c>
      <c r="S1096">
        <v>3.77</v>
      </c>
      <c r="T1096" t="s">
        <v>167</v>
      </c>
    </row>
    <row r="1097" spans="1:20" x14ac:dyDescent="0.25">
      <c r="A1097" s="1" t="str">
        <f>HYPERLINK("https://vegkart.atlas.vegvesen.no/#/@140755.0,6655409.7,18/hva:hva%5B0%5D%5Bfilter%5D%5B0%5D%5Boperator%5D=%21%3D&amp;hva%5B0%5D%5Bfilter%5D%5B0%5D%5Btype_id%5D=9736&amp;hva%5B0%5D%5Bfilter%5D%5B0%5D%5Bverdi%5D=&amp;hva%5B0%5D%5Bid%5D=853/når:2022-07-21", "Vegkart")</f>
        <v>Vegkart</v>
      </c>
      <c r="B1097">
        <v>993183918</v>
      </c>
      <c r="C1097">
        <v>853</v>
      </c>
      <c r="D1097" t="s">
        <v>2935</v>
      </c>
      <c r="E1097">
        <v>9736</v>
      </c>
      <c r="F1097" t="s">
        <v>23479</v>
      </c>
      <c r="G1097">
        <v>3</v>
      </c>
      <c r="H1097" t="s">
        <v>3739</v>
      </c>
      <c r="J1097" t="s">
        <v>3740</v>
      </c>
      <c r="K1097" t="s">
        <v>197</v>
      </c>
      <c r="L1097" t="s">
        <v>33</v>
      </c>
      <c r="M1097" t="s">
        <v>3741</v>
      </c>
      <c r="N1097" t="s">
        <v>3752</v>
      </c>
      <c r="O1097" t="s">
        <v>3753</v>
      </c>
      <c r="P1097" s="2" t="s">
        <v>165</v>
      </c>
      <c r="Q1097" t="s">
        <v>311</v>
      </c>
      <c r="R1097">
        <v>0.22</v>
      </c>
      <c r="S1097">
        <v>5.79</v>
      </c>
      <c r="T1097" t="s">
        <v>167</v>
      </c>
    </row>
    <row r="1098" spans="1:20" x14ac:dyDescent="0.25">
      <c r="A1098" s="1" t="str">
        <f>HYPERLINK("https://vegkart.atlas.vegvesen.no/#/@140953.0,6655408.0,18/hva:hva%5B0%5D%5Bfilter%5D%5B0%5D%5Boperator%5D=%21%3D&amp;hva%5B0%5D%5Bfilter%5D%5B0%5D%5Btype_id%5D=9736&amp;hva%5B0%5D%5Bfilter%5D%5B0%5D%5Bverdi%5D=&amp;hva%5B0%5D%5Bid%5D=853/når:2022-07-21", "Vegkart")</f>
        <v>Vegkart</v>
      </c>
      <c r="B1098">
        <v>993183921</v>
      </c>
      <c r="C1098">
        <v>853</v>
      </c>
      <c r="D1098" t="s">
        <v>2935</v>
      </c>
      <c r="E1098">
        <v>9736</v>
      </c>
      <c r="F1098" t="s">
        <v>23479</v>
      </c>
      <c r="G1098">
        <v>3</v>
      </c>
      <c r="H1098" t="s">
        <v>3739</v>
      </c>
      <c r="J1098" t="s">
        <v>3740</v>
      </c>
      <c r="K1098" t="s">
        <v>197</v>
      </c>
      <c r="L1098" t="s">
        <v>33</v>
      </c>
      <c r="M1098" t="s">
        <v>3741</v>
      </c>
      <c r="N1098" t="s">
        <v>3754</v>
      </c>
      <c r="O1098" t="s">
        <v>3755</v>
      </c>
      <c r="P1098" s="2" t="s">
        <v>165</v>
      </c>
      <c r="Q1098" t="s">
        <v>311</v>
      </c>
      <c r="R1098">
        <v>1.87</v>
      </c>
      <c r="S1098">
        <v>9.23</v>
      </c>
      <c r="T1098" t="s">
        <v>167</v>
      </c>
    </row>
    <row r="1099" spans="1:20" x14ac:dyDescent="0.25">
      <c r="A1099" s="1" t="str">
        <f>HYPERLINK("https://vegkart.atlas.vegvesen.no/#/@140977.7,6655404.1,18/hva:hva%5B0%5D%5Bfilter%5D%5B0%5D%5Boperator%5D=%21%3D&amp;hva%5B0%5D%5Bfilter%5D%5B0%5D%5Btype_id%5D=9736&amp;hva%5B0%5D%5Bfilter%5D%5B0%5D%5Bverdi%5D=&amp;hva%5B0%5D%5Bid%5D=853/når:2022-07-21", "Vegkart")</f>
        <v>Vegkart</v>
      </c>
      <c r="B1099">
        <v>993183922</v>
      </c>
      <c r="C1099">
        <v>853</v>
      </c>
      <c r="D1099" t="s">
        <v>2935</v>
      </c>
      <c r="E1099">
        <v>9736</v>
      </c>
      <c r="F1099" t="s">
        <v>23479</v>
      </c>
      <c r="G1099">
        <v>3</v>
      </c>
      <c r="H1099" t="s">
        <v>3739</v>
      </c>
      <c r="J1099" t="s">
        <v>3740</v>
      </c>
      <c r="K1099" t="s">
        <v>197</v>
      </c>
      <c r="L1099" t="s">
        <v>33</v>
      </c>
      <c r="M1099" t="s">
        <v>3741</v>
      </c>
      <c r="N1099" t="s">
        <v>3756</v>
      </c>
      <c r="O1099" t="s">
        <v>3757</v>
      </c>
      <c r="P1099" s="2" t="s">
        <v>165</v>
      </c>
      <c r="Q1099" t="s">
        <v>311</v>
      </c>
      <c r="R1099">
        <v>0.18</v>
      </c>
      <c r="S1099">
        <v>2.79</v>
      </c>
      <c r="T1099" t="s">
        <v>167</v>
      </c>
    </row>
    <row r="1100" spans="1:20" x14ac:dyDescent="0.25">
      <c r="A1100" s="1" t="str">
        <f>HYPERLINK("https://vegkart.atlas.vegvesen.no/#/@141487.3,6655241.6,18/hva:hva%5B0%5D%5Bfilter%5D%5B0%5D%5Boperator%5D=%21%3D&amp;hva%5B0%5D%5Bfilter%5D%5B0%5D%5Btype_id%5D=9736&amp;hva%5B0%5D%5Bfilter%5D%5B0%5D%5Bverdi%5D=&amp;hva%5B0%5D%5Bid%5D=853/når:2022-07-21", "Vegkart")</f>
        <v>Vegkart</v>
      </c>
      <c r="B1100">
        <v>993183925</v>
      </c>
      <c r="C1100">
        <v>853</v>
      </c>
      <c r="D1100" t="s">
        <v>2935</v>
      </c>
      <c r="E1100">
        <v>9736</v>
      </c>
      <c r="F1100" t="s">
        <v>23479</v>
      </c>
      <c r="G1100">
        <v>3</v>
      </c>
      <c r="H1100" t="s">
        <v>3739</v>
      </c>
      <c r="J1100" t="s">
        <v>3740</v>
      </c>
      <c r="K1100" t="s">
        <v>197</v>
      </c>
      <c r="L1100" t="s">
        <v>33</v>
      </c>
      <c r="M1100" t="s">
        <v>3741</v>
      </c>
      <c r="N1100" t="s">
        <v>3758</v>
      </c>
      <c r="O1100" t="s">
        <v>3759</v>
      </c>
      <c r="P1100" s="2" t="s">
        <v>165</v>
      </c>
      <c r="Q1100" t="s">
        <v>311</v>
      </c>
      <c r="R1100">
        <v>0.1</v>
      </c>
      <c r="S1100">
        <v>4.26</v>
      </c>
      <c r="T1100" t="s">
        <v>167</v>
      </c>
    </row>
    <row r="1101" spans="1:20" x14ac:dyDescent="0.25">
      <c r="A1101" s="1" t="str">
        <f>HYPERLINK("https://vegkart.atlas.vegvesen.no/#/@141487.1,6655252.0,18/hva:hva%5B0%5D%5Bfilter%5D%5B0%5D%5Boperator%5D=%21%3D&amp;hva%5B0%5D%5Bfilter%5D%5B0%5D%5Btype_id%5D=9736&amp;hva%5B0%5D%5Bfilter%5D%5B0%5D%5Bverdi%5D=&amp;hva%5B0%5D%5Bid%5D=853/når:2022-07-21", "Vegkart")</f>
        <v>Vegkart</v>
      </c>
      <c r="B1101">
        <v>993183927</v>
      </c>
      <c r="C1101">
        <v>853</v>
      </c>
      <c r="D1101" t="s">
        <v>2935</v>
      </c>
      <c r="E1101">
        <v>9736</v>
      </c>
      <c r="F1101" t="s">
        <v>23479</v>
      </c>
      <c r="G1101">
        <v>3</v>
      </c>
      <c r="H1101" t="s">
        <v>3739</v>
      </c>
      <c r="J1101" t="s">
        <v>3740</v>
      </c>
      <c r="K1101" t="s">
        <v>197</v>
      </c>
      <c r="L1101" t="s">
        <v>33</v>
      </c>
      <c r="M1101" t="s">
        <v>3741</v>
      </c>
      <c r="N1101" t="s">
        <v>3758</v>
      </c>
      <c r="O1101" t="s">
        <v>3760</v>
      </c>
      <c r="P1101" s="2" t="s">
        <v>165</v>
      </c>
      <c r="Q1101" t="s">
        <v>311</v>
      </c>
      <c r="R1101">
        <v>0.2</v>
      </c>
      <c r="S1101">
        <v>4.0199999999999996</v>
      </c>
      <c r="T1101" t="s">
        <v>167</v>
      </c>
    </row>
    <row r="1102" spans="1:20" x14ac:dyDescent="0.25">
      <c r="A1102" s="1" t="str">
        <f>HYPERLINK("https://vegkart.atlas.vegvesen.no/#/@141569.3,6655246.9,18/hva:hva%5B0%5D%5Bfilter%5D%5B0%5D%5Boperator%5D=%21%3D&amp;hva%5B0%5D%5Bfilter%5D%5B0%5D%5Btype_id%5D=9736&amp;hva%5B0%5D%5Bfilter%5D%5B0%5D%5Bverdi%5D=&amp;hva%5B0%5D%5Bid%5D=853/når:2022-07-21", "Vegkart")</f>
        <v>Vegkart</v>
      </c>
      <c r="B1102">
        <v>993183935</v>
      </c>
      <c r="C1102">
        <v>853</v>
      </c>
      <c r="D1102" t="s">
        <v>2935</v>
      </c>
      <c r="E1102">
        <v>9736</v>
      </c>
      <c r="F1102" t="s">
        <v>23479</v>
      </c>
      <c r="G1102">
        <v>3</v>
      </c>
      <c r="H1102" t="s">
        <v>3739</v>
      </c>
      <c r="J1102" t="s">
        <v>3740</v>
      </c>
      <c r="K1102" t="s">
        <v>197</v>
      </c>
      <c r="L1102" t="s">
        <v>33</v>
      </c>
      <c r="M1102" t="s">
        <v>3741</v>
      </c>
      <c r="N1102" t="s">
        <v>3761</v>
      </c>
      <c r="O1102" t="s">
        <v>3762</v>
      </c>
      <c r="P1102" s="2" t="s">
        <v>165</v>
      </c>
      <c r="Q1102" t="s">
        <v>311</v>
      </c>
      <c r="R1102">
        <v>0</v>
      </c>
      <c r="S1102">
        <v>3.08</v>
      </c>
      <c r="T1102" t="s">
        <v>167</v>
      </c>
    </row>
    <row r="1103" spans="1:20" x14ac:dyDescent="0.25">
      <c r="A1103" s="1" t="str">
        <f>HYPERLINK("https://vegkart.atlas.vegvesen.no/#/@141567.9,6655257.8,18/hva:hva%5B0%5D%5Bfilter%5D%5B0%5D%5Boperator%5D=%21%3D&amp;hva%5B0%5D%5Bfilter%5D%5B0%5D%5Btype_id%5D=9736&amp;hva%5B0%5D%5Bfilter%5D%5B0%5D%5Bverdi%5D=&amp;hva%5B0%5D%5Bid%5D=853/når:2022-07-21", "Vegkart")</f>
        <v>Vegkart</v>
      </c>
      <c r="B1103">
        <v>993183936</v>
      </c>
      <c r="C1103">
        <v>853</v>
      </c>
      <c r="D1103" t="s">
        <v>2935</v>
      </c>
      <c r="E1103">
        <v>9736</v>
      </c>
      <c r="F1103" t="s">
        <v>23479</v>
      </c>
      <c r="G1103">
        <v>3</v>
      </c>
      <c r="H1103" t="s">
        <v>3739</v>
      </c>
      <c r="J1103" t="s">
        <v>3740</v>
      </c>
      <c r="K1103" t="s">
        <v>197</v>
      </c>
      <c r="L1103" t="s">
        <v>33</v>
      </c>
      <c r="M1103" t="s">
        <v>3741</v>
      </c>
      <c r="N1103" t="s">
        <v>3763</v>
      </c>
      <c r="O1103" t="s">
        <v>3764</v>
      </c>
      <c r="P1103" s="2" t="s">
        <v>165</v>
      </c>
      <c r="Q1103" t="s">
        <v>311</v>
      </c>
      <c r="R1103">
        <v>0</v>
      </c>
      <c r="S1103">
        <v>3.16</v>
      </c>
      <c r="T1103" t="s">
        <v>167</v>
      </c>
    </row>
    <row r="1104" spans="1:20" x14ac:dyDescent="0.25">
      <c r="A1104" s="1" t="str">
        <f>HYPERLINK("https://vegkart.atlas.vegvesen.no/#/@141659.6,6655277.6,18/hva:hva%5B0%5D%5Bfilter%5D%5B0%5D%5Boperator%5D=%21%3D&amp;hva%5B0%5D%5Bfilter%5D%5B0%5D%5Btype_id%5D=9736&amp;hva%5B0%5D%5Bfilter%5D%5B0%5D%5Bverdi%5D=&amp;hva%5B0%5D%5Bid%5D=853/når:2022-07-21", "Vegkart")</f>
        <v>Vegkart</v>
      </c>
      <c r="B1104">
        <v>993183940</v>
      </c>
      <c r="C1104">
        <v>853</v>
      </c>
      <c r="D1104" t="s">
        <v>2935</v>
      </c>
      <c r="E1104">
        <v>9736</v>
      </c>
      <c r="F1104" t="s">
        <v>23479</v>
      </c>
      <c r="G1104">
        <v>3</v>
      </c>
      <c r="H1104" t="s">
        <v>3739</v>
      </c>
      <c r="J1104" t="s">
        <v>3740</v>
      </c>
      <c r="K1104" t="s">
        <v>197</v>
      </c>
      <c r="L1104" t="s">
        <v>33</v>
      </c>
      <c r="M1104" t="s">
        <v>3741</v>
      </c>
      <c r="N1104" t="s">
        <v>3765</v>
      </c>
      <c r="O1104" t="s">
        <v>3766</v>
      </c>
      <c r="P1104" s="2" t="s">
        <v>165</v>
      </c>
      <c r="Q1104" t="s">
        <v>311</v>
      </c>
      <c r="R1104">
        <v>0.18</v>
      </c>
      <c r="S1104">
        <v>5.75</v>
      </c>
      <c r="T1104" t="s">
        <v>167</v>
      </c>
    </row>
    <row r="1105" spans="1:20" x14ac:dyDescent="0.25">
      <c r="A1105" s="1" t="str">
        <f>HYPERLINK("https://vegkart.atlas.vegvesen.no/#/@141809.9,6655269.2,18/hva:hva%5B0%5D%5Bfilter%5D%5B0%5D%5Boperator%5D=%21%3D&amp;hva%5B0%5D%5Bfilter%5D%5B0%5D%5Btype_id%5D=9736&amp;hva%5B0%5D%5Bfilter%5D%5B0%5D%5Bverdi%5D=&amp;hva%5B0%5D%5Bid%5D=853/når:2022-07-21", "Vegkart")</f>
        <v>Vegkart</v>
      </c>
      <c r="B1105">
        <v>993183946</v>
      </c>
      <c r="C1105">
        <v>853</v>
      </c>
      <c r="D1105" t="s">
        <v>2935</v>
      </c>
      <c r="E1105">
        <v>9736</v>
      </c>
      <c r="F1105" t="s">
        <v>23479</v>
      </c>
      <c r="G1105">
        <v>3</v>
      </c>
      <c r="H1105" t="s">
        <v>3739</v>
      </c>
      <c r="J1105" t="s">
        <v>3740</v>
      </c>
      <c r="K1105" t="s">
        <v>197</v>
      </c>
      <c r="L1105" t="s">
        <v>33</v>
      </c>
      <c r="M1105" t="s">
        <v>3741</v>
      </c>
      <c r="N1105" t="s">
        <v>3767</v>
      </c>
      <c r="O1105" t="s">
        <v>3768</v>
      </c>
      <c r="P1105" s="2" t="s">
        <v>165</v>
      </c>
      <c r="Q1105" t="s">
        <v>311</v>
      </c>
      <c r="R1105">
        <v>0.09</v>
      </c>
      <c r="S1105">
        <v>3.93</v>
      </c>
      <c r="T1105" t="s">
        <v>167</v>
      </c>
    </row>
    <row r="1106" spans="1:20" x14ac:dyDescent="0.25">
      <c r="A1106" s="1" t="str">
        <f>HYPERLINK("https://vegkart.atlas.vegvesen.no/#/@141949.6,6655284.4,18/hva:hva%5B0%5D%5Bfilter%5D%5B0%5D%5Boperator%5D=%21%3D&amp;hva%5B0%5D%5Bfilter%5D%5B0%5D%5Btype_id%5D=9736&amp;hva%5B0%5D%5Bfilter%5D%5B0%5D%5Bverdi%5D=&amp;hva%5B0%5D%5Bid%5D=853/når:2022-07-21", "Vegkart")</f>
        <v>Vegkart</v>
      </c>
      <c r="B1106">
        <v>993183957</v>
      </c>
      <c r="C1106">
        <v>853</v>
      </c>
      <c r="D1106" t="s">
        <v>2935</v>
      </c>
      <c r="E1106">
        <v>9736</v>
      </c>
      <c r="F1106" t="s">
        <v>23479</v>
      </c>
      <c r="G1106">
        <v>3</v>
      </c>
      <c r="H1106" t="s">
        <v>3739</v>
      </c>
      <c r="J1106" t="s">
        <v>3740</v>
      </c>
      <c r="K1106" t="s">
        <v>197</v>
      </c>
      <c r="L1106" t="s">
        <v>33</v>
      </c>
      <c r="M1106" t="s">
        <v>3741</v>
      </c>
      <c r="N1106" t="s">
        <v>3769</v>
      </c>
      <c r="O1106" t="s">
        <v>3770</v>
      </c>
      <c r="P1106" s="2" t="s">
        <v>165</v>
      </c>
      <c r="Q1106" t="s">
        <v>311</v>
      </c>
      <c r="R1106">
        <v>0.09</v>
      </c>
      <c r="S1106">
        <v>4.08</v>
      </c>
      <c r="T1106" t="s">
        <v>167</v>
      </c>
    </row>
    <row r="1107" spans="1:20" x14ac:dyDescent="0.25">
      <c r="A1107" s="1" t="str">
        <f>HYPERLINK("https://vegkart.atlas.vegvesen.no/#/@142037.9,6655289.1,18/hva:hva%5B0%5D%5Bfilter%5D%5B0%5D%5Boperator%5D=%21%3D&amp;hva%5B0%5D%5Bfilter%5D%5B0%5D%5Btype_id%5D=9736&amp;hva%5B0%5D%5Bfilter%5D%5B0%5D%5Bverdi%5D=&amp;hva%5B0%5D%5Bid%5D=853/når:2022-07-21", "Vegkart")</f>
        <v>Vegkart</v>
      </c>
      <c r="B1107">
        <v>993183961</v>
      </c>
      <c r="C1107">
        <v>853</v>
      </c>
      <c r="D1107" t="s">
        <v>2935</v>
      </c>
      <c r="E1107">
        <v>9736</v>
      </c>
      <c r="F1107" t="s">
        <v>23479</v>
      </c>
      <c r="G1107">
        <v>3</v>
      </c>
      <c r="H1107" t="s">
        <v>3739</v>
      </c>
      <c r="J1107" t="s">
        <v>3740</v>
      </c>
      <c r="K1107" t="s">
        <v>197</v>
      </c>
      <c r="L1107" t="s">
        <v>33</v>
      </c>
      <c r="M1107" t="s">
        <v>3741</v>
      </c>
      <c r="N1107" t="s">
        <v>3771</v>
      </c>
      <c r="O1107" t="s">
        <v>3772</v>
      </c>
      <c r="P1107" s="2" t="s">
        <v>165</v>
      </c>
      <c r="Q1107" t="s">
        <v>311</v>
      </c>
      <c r="R1107">
        <v>0</v>
      </c>
      <c r="S1107">
        <v>5.72</v>
      </c>
      <c r="T1107" t="s">
        <v>167</v>
      </c>
    </row>
    <row r="1108" spans="1:20" x14ac:dyDescent="0.25">
      <c r="A1108" s="1" t="str">
        <f>HYPERLINK("https://vegkart.atlas.vegvesen.no/#/@142166.8,6655276.4,18/hva:hva%5B0%5D%5Bfilter%5D%5B0%5D%5Boperator%5D=%21%3D&amp;hva%5B0%5D%5Bfilter%5D%5B0%5D%5Btype_id%5D=9736&amp;hva%5B0%5D%5Bfilter%5D%5B0%5D%5Bverdi%5D=&amp;hva%5B0%5D%5Bid%5D=853/når:2022-07-21", "Vegkart")</f>
        <v>Vegkart</v>
      </c>
      <c r="B1108">
        <v>993183963</v>
      </c>
      <c r="C1108">
        <v>853</v>
      </c>
      <c r="D1108" t="s">
        <v>2935</v>
      </c>
      <c r="E1108">
        <v>9736</v>
      </c>
      <c r="F1108" t="s">
        <v>23479</v>
      </c>
      <c r="G1108">
        <v>3</v>
      </c>
      <c r="H1108" t="s">
        <v>3739</v>
      </c>
      <c r="J1108" t="s">
        <v>3740</v>
      </c>
      <c r="K1108" t="s">
        <v>197</v>
      </c>
      <c r="L1108" t="s">
        <v>33</v>
      </c>
      <c r="M1108" t="s">
        <v>3741</v>
      </c>
      <c r="N1108" t="s">
        <v>3773</v>
      </c>
      <c r="O1108" t="s">
        <v>3774</v>
      </c>
      <c r="P1108" s="2" t="s">
        <v>165</v>
      </c>
      <c r="Q1108" t="s">
        <v>311</v>
      </c>
      <c r="R1108">
        <v>0.09</v>
      </c>
      <c r="S1108">
        <v>5.7</v>
      </c>
      <c r="T1108" t="s">
        <v>167</v>
      </c>
    </row>
    <row r="1109" spans="1:20" x14ac:dyDescent="0.25">
      <c r="A1109" s="1" t="str">
        <f>HYPERLINK("https://vegkart.atlas.vegvesen.no/#/@142275.6,6655273.7,18/hva:hva%5B0%5D%5Bfilter%5D%5B0%5D%5Boperator%5D=%21%3D&amp;hva%5B0%5D%5Bfilter%5D%5B0%5D%5Btype_id%5D=9736&amp;hva%5B0%5D%5Bfilter%5D%5B0%5D%5Bverdi%5D=&amp;hva%5B0%5D%5Bid%5D=853/når:2022-07-21", "Vegkart")</f>
        <v>Vegkart</v>
      </c>
      <c r="B1109">
        <v>993183964</v>
      </c>
      <c r="C1109">
        <v>853</v>
      </c>
      <c r="D1109" t="s">
        <v>2935</v>
      </c>
      <c r="E1109">
        <v>9736</v>
      </c>
      <c r="F1109" t="s">
        <v>23479</v>
      </c>
      <c r="G1109">
        <v>3</v>
      </c>
      <c r="H1109" t="s">
        <v>3739</v>
      </c>
      <c r="J1109" t="s">
        <v>3740</v>
      </c>
      <c r="K1109" t="s">
        <v>197</v>
      </c>
      <c r="L1109" t="s">
        <v>33</v>
      </c>
      <c r="M1109" t="s">
        <v>3741</v>
      </c>
      <c r="N1109" t="s">
        <v>3775</v>
      </c>
      <c r="O1109" t="s">
        <v>3776</v>
      </c>
      <c r="P1109" s="2" t="s">
        <v>165</v>
      </c>
      <c r="Q1109" t="s">
        <v>311</v>
      </c>
      <c r="R1109">
        <v>0</v>
      </c>
      <c r="S1109">
        <v>3.65</v>
      </c>
      <c r="T1109" t="s">
        <v>167</v>
      </c>
    </row>
    <row r="1110" spans="1:20" x14ac:dyDescent="0.25">
      <c r="A1110" s="1" t="str">
        <f>HYPERLINK("https://vegkart.atlas.vegvesen.no/#/@142403.9,6655281.4,18/hva:hva%5B0%5D%5Bfilter%5D%5B0%5D%5Boperator%5D=%21%3D&amp;hva%5B0%5D%5Bfilter%5D%5B0%5D%5Btype_id%5D=9736&amp;hva%5B0%5D%5Bfilter%5D%5B0%5D%5Bverdi%5D=&amp;hva%5B0%5D%5Bid%5D=853/når:2022-07-21", "Vegkart")</f>
        <v>Vegkart</v>
      </c>
      <c r="B1110">
        <v>993183965</v>
      </c>
      <c r="C1110">
        <v>853</v>
      </c>
      <c r="D1110" t="s">
        <v>2935</v>
      </c>
      <c r="E1110">
        <v>9736</v>
      </c>
      <c r="F1110" t="s">
        <v>23479</v>
      </c>
      <c r="G1110">
        <v>3</v>
      </c>
      <c r="H1110" t="s">
        <v>3739</v>
      </c>
      <c r="J1110" t="s">
        <v>3740</v>
      </c>
      <c r="K1110" t="s">
        <v>197</v>
      </c>
      <c r="L1110" t="s">
        <v>33</v>
      </c>
      <c r="M1110" t="s">
        <v>3741</v>
      </c>
      <c r="N1110" t="s">
        <v>3777</v>
      </c>
      <c r="O1110" t="s">
        <v>3778</v>
      </c>
      <c r="P1110" s="2" t="s">
        <v>165</v>
      </c>
      <c r="Q1110" t="s">
        <v>311</v>
      </c>
      <c r="R1110">
        <v>0.18</v>
      </c>
      <c r="S1110">
        <v>2.96</v>
      </c>
      <c r="T1110" t="s">
        <v>167</v>
      </c>
    </row>
    <row r="1111" spans="1:20" x14ac:dyDescent="0.25">
      <c r="A1111" s="1" t="str">
        <f>HYPERLINK("https://vegkart.atlas.vegvesen.no/#/@142424.8,6655260.3,18/hva:hva%5B0%5D%5Bfilter%5D%5B0%5D%5Boperator%5D=%21%3D&amp;hva%5B0%5D%5Bfilter%5D%5B0%5D%5Btype_id%5D=9736&amp;hva%5B0%5D%5Bfilter%5D%5B0%5D%5Bverdi%5D=&amp;hva%5B0%5D%5Bid%5D=853/når:2022-07-21", "Vegkart")</f>
        <v>Vegkart</v>
      </c>
      <c r="B1111">
        <v>993183966</v>
      </c>
      <c r="C1111">
        <v>853</v>
      </c>
      <c r="D1111" t="s">
        <v>2935</v>
      </c>
      <c r="E1111">
        <v>9736</v>
      </c>
      <c r="F1111" t="s">
        <v>23479</v>
      </c>
      <c r="G1111">
        <v>3</v>
      </c>
      <c r="H1111" t="s">
        <v>3739</v>
      </c>
      <c r="J1111" t="s">
        <v>3740</v>
      </c>
      <c r="K1111" t="s">
        <v>197</v>
      </c>
      <c r="L1111" t="s">
        <v>33</v>
      </c>
      <c r="M1111" t="s">
        <v>3741</v>
      </c>
      <c r="N1111" t="s">
        <v>3779</v>
      </c>
      <c r="O1111" t="s">
        <v>3780</v>
      </c>
      <c r="P1111" s="2" t="s">
        <v>165</v>
      </c>
      <c r="Q1111" t="s">
        <v>311</v>
      </c>
      <c r="R1111">
        <v>0</v>
      </c>
      <c r="S1111">
        <v>5.92</v>
      </c>
      <c r="T1111" t="s">
        <v>167</v>
      </c>
    </row>
    <row r="1112" spans="1:20" x14ac:dyDescent="0.25">
      <c r="A1112" s="1" t="str">
        <f>HYPERLINK("https://vegkart.atlas.vegvesen.no/#/@281551.8,6757881.9,18/hva:hva%5B0%5D%5Bfilter%5D%5B0%5D%5Boperator%5D=%21%3D&amp;hva%5B0%5D%5Bfilter%5D%5B0%5D%5Btype_id%5D=9736&amp;hva%5B0%5D%5Bfilter%5D%5B0%5D%5Bverdi%5D=&amp;hva%5B0%5D%5Bid%5D=853/når:2019-12-10", "Vegkart")</f>
        <v>Vegkart</v>
      </c>
      <c r="B1112">
        <v>1005601175</v>
      </c>
      <c r="C1112">
        <v>853</v>
      </c>
      <c r="D1112" t="s">
        <v>2935</v>
      </c>
      <c r="E1112">
        <v>9736</v>
      </c>
      <c r="F1112" t="s">
        <v>23479</v>
      </c>
      <c r="G1112">
        <v>1</v>
      </c>
      <c r="H1112" t="s">
        <v>3781</v>
      </c>
      <c r="J1112" t="s">
        <v>3782</v>
      </c>
      <c r="K1112" t="s">
        <v>136</v>
      </c>
      <c r="L1112" t="s">
        <v>33</v>
      </c>
      <c r="M1112" t="s">
        <v>3783</v>
      </c>
      <c r="N1112" t="s">
        <v>3784</v>
      </c>
      <c r="O1112" t="s">
        <v>3785</v>
      </c>
      <c r="P1112" s="2" t="s">
        <v>26</v>
      </c>
      <c r="Q1112" t="s">
        <v>50</v>
      </c>
      <c r="R1112">
        <v>0</v>
      </c>
      <c r="S1112">
        <v>4.91</v>
      </c>
      <c r="T1112" t="s">
        <v>3786</v>
      </c>
    </row>
    <row r="1113" spans="1:20" x14ac:dyDescent="0.25">
      <c r="A1113" s="1" t="str">
        <f>HYPERLINK("https://vegkart.atlas.vegvesen.no/#/@281969.0,6758515.6,18/hva:hva%5B0%5D%5Bfilter%5D%5B0%5D%5Boperator%5D=%21%3D&amp;hva%5B0%5D%5Bfilter%5D%5B0%5D%5Btype_id%5D=9736&amp;hva%5B0%5D%5Bfilter%5D%5B0%5D%5Bverdi%5D=&amp;hva%5B0%5D%5Bid%5D=853/når:2019-12-10", "Vegkart")</f>
        <v>Vegkart</v>
      </c>
      <c r="B1113">
        <v>1005601176</v>
      </c>
      <c r="C1113">
        <v>853</v>
      </c>
      <c r="D1113" t="s">
        <v>2935</v>
      </c>
      <c r="E1113">
        <v>9736</v>
      </c>
      <c r="F1113" t="s">
        <v>23479</v>
      </c>
      <c r="G1113">
        <v>1</v>
      </c>
      <c r="H1113" t="s">
        <v>3781</v>
      </c>
      <c r="J1113" t="s">
        <v>3782</v>
      </c>
      <c r="K1113" t="s">
        <v>136</v>
      </c>
      <c r="L1113" t="s">
        <v>33</v>
      </c>
      <c r="M1113" t="s">
        <v>3783</v>
      </c>
      <c r="N1113" t="s">
        <v>3787</v>
      </c>
      <c r="O1113" t="s">
        <v>3788</v>
      </c>
      <c r="P1113" s="2" t="s">
        <v>26</v>
      </c>
      <c r="Q1113" t="s">
        <v>50</v>
      </c>
      <c r="R1113">
        <v>0</v>
      </c>
      <c r="S1113">
        <v>4.9400000000000004</v>
      </c>
      <c r="T1113" t="s">
        <v>3789</v>
      </c>
    </row>
    <row r="1114" spans="1:20" x14ac:dyDescent="0.25">
      <c r="A1114" s="1" t="str">
        <f>HYPERLINK("https://vegkart.atlas.vegvesen.no/#/@456563.2,7354967.9,18/hva:hva%5B0%5D%5Bfilter%5D%5B0%5D%5Boperator%5D=%21%3D&amp;hva%5B0%5D%5Bfilter%5D%5B0%5D%5Btype_id%5D=9736&amp;hva%5B0%5D%5Bfilter%5D%5B0%5D%5Bverdi%5D=&amp;hva%5B0%5D%5Bid%5D=853/når:2020-02-06", "Vegkart")</f>
        <v>Vegkart</v>
      </c>
      <c r="B1114">
        <v>1006811469</v>
      </c>
      <c r="C1114">
        <v>853</v>
      </c>
      <c r="D1114" t="s">
        <v>2935</v>
      </c>
      <c r="E1114">
        <v>9736</v>
      </c>
      <c r="F1114" t="s">
        <v>23479</v>
      </c>
      <c r="G1114">
        <v>1</v>
      </c>
      <c r="H1114" t="s">
        <v>3790</v>
      </c>
      <c r="J1114" t="s">
        <v>3791</v>
      </c>
      <c r="K1114" t="s">
        <v>53</v>
      </c>
      <c r="L1114" t="s">
        <v>33</v>
      </c>
      <c r="M1114" t="s">
        <v>3792</v>
      </c>
      <c r="N1114" t="s">
        <v>3793</v>
      </c>
      <c r="O1114" t="s">
        <v>3794</v>
      </c>
      <c r="P1114" s="2" t="s">
        <v>26</v>
      </c>
      <c r="Q1114" t="s">
        <v>50</v>
      </c>
      <c r="R1114">
        <v>0</v>
      </c>
      <c r="S1114">
        <v>4.3899999999999997</v>
      </c>
      <c r="T1114" t="s">
        <v>3795</v>
      </c>
    </row>
    <row r="1115" spans="1:20" x14ac:dyDescent="0.25">
      <c r="A1115" s="1" t="str">
        <f>HYPERLINK("https://vegkart.atlas.vegvesen.no/#/@457231.4,7355388.7,18/hva:hva%5B0%5D%5Bfilter%5D%5B0%5D%5Boperator%5D=%21%3D&amp;hva%5B0%5D%5Bfilter%5D%5B0%5D%5Btype_id%5D=9736&amp;hva%5B0%5D%5Bfilter%5D%5B0%5D%5Bverdi%5D=&amp;hva%5B0%5D%5Bid%5D=853/når:2020-02-06", "Vegkart")</f>
        <v>Vegkart</v>
      </c>
      <c r="B1115">
        <v>1006811470</v>
      </c>
      <c r="C1115">
        <v>853</v>
      </c>
      <c r="D1115" t="s">
        <v>2935</v>
      </c>
      <c r="E1115">
        <v>9736</v>
      </c>
      <c r="F1115" t="s">
        <v>23479</v>
      </c>
      <c r="G1115">
        <v>1</v>
      </c>
      <c r="H1115" t="s">
        <v>3790</v>
      </c>
      <c r="J1115" t="s">
        <v>3791</v>
      </c>
      <c r="K1115" t="s">
        <v>53</v>
      </c>
      <c r="L1115" t="s">
        <v>33</v>
      </c>
      <c r="M1115" t="s">
        <v>3792</v>
      </c>
      <c r="N1115" t="s">
        <v>3796</v>
      </c>
      <c r="O1115" t="s">
        <v>3797</v>
      </c>
      <c r="P1115" s="2" t="s">
        <v>26</v>
      </c>
      <c r="Q1115" t="s">
        <v>50</v>
      </c>
      <c r="R1115">
        <v>0</v>
      </c>
      <c r="S1115">
        <v>4.5599999999999996</v>
      </c>
      <c r="T1115" t="s">
        <v>3798</v>
      </c>
    </row>
    <row r="1116" spans="1:20" x14ac:dyDescent="0.25">
      <c r="A1116" s="1" t="str">
        <f>HYPERLINK("https://vegkart.atlas.vegvesen.no/#/@457428.3,7355513.3,18/hva:hva%5B0%5D%5Bfilter%5D%5B0%5D%5Boperator%5D=%21%3D&amp;hva%5B0%5D%5Bfilter%5D%5B0%5D%5Btype_id%5D=9736&amp;hva%5B0%5D%5Bfilter%5D%5B0%5D%5Bverdi%5D=&amp;hva%5B0%5D%5Bid%5D=853/når:2020-02-06", "Vegkart")</f>
        <v>Vegkart</v>
      </c>
      <c r="B1116">
        <v>1006811471</v>
      </c>
      <c r="C1116">
        <v>853</v>
      </c>
      <c r="D1116" t="s">
        <v>2935</v>
      </c>
      <c r="E1116">
        <v>9736</v>
      </c>
      <c r="F1116" t="s">
        <v>23479</v>
      </c>
      <c r="G1116">
        <v>1</v>
      </c>
      <c r="H1116" t="s">
        <v>3790</v>
      </c>
      <c r="J1116" t="s">
        <v>3799</v>
      </c>
      <c r="K1116" t="s">
        <v>53</v>
      </c>
      <c r="L1116" t="s">
        <v>33</v>
      </c>
      <c r="M1116" t="s">
        <v>3792</v>
      </c>
      <c r="N1116" t="s">
        <v>3800</v>
      </c>
      <c r="O1116" t="s">
        <v>3801</v>
      </c>
      <c r="P1116" s="2" t="s">
        <v>26</v>
      </c>
      <c r="Q1116" t="s">
        <v>50</v>
      </c>
      <c r="R1116">
        <v>0</v>
      </c>
      <c r="S1116">
        <v>4.33</v>
      </c>
      <c r="T1116" t="s">
        <v>3802</v>
      </c>
    </row>
    <row r="1117" spans="1:20" x14ac:dyDescent="0.25">
      <c r="A1117" s="1" t="str">
        <f>HYPERLINK("https://vegkart.atlas.vegvesen.no/#/@456140.5,7354749.7,18/hva:hva%5B0%5D%5Bfilter%5D%5B0%5D%5Boperator%5D=%21%3D&amp;hva%5B0%5D%5Bfilter%5D%5B0%5D%5Btype_id%5D=9736&amp;hva%5B0%5D%5Bfilter%5D%5B0%5D%5Bverdi%5D=&amp;hva%5B0%5D%5Bid%5D=853/når:2020-02-06", "Vegkart")</f>
        <v>Vegkart</v>
      </c>
      <c r="B1117">
        <v>1006811472</v>
      </c>
      <c r="C1117">
        <v>853</v>
      </c>
      <c r="D1117" t="s">
        <v>2935</v>
      </c>
      <c r="E1117">
        <v>9736</v>
      </c>
      <c r="F1117" t="s">
        <v>23479</v>
      </c>
      <c r="G1117">
        <v>1</v>
      </c>
      <c r="H1117" t="s">
        <v>3790</v>
      </c>
      <c r="J1117" t="s">
        <v>3799</v>
      </c>
      <c r="K1117" t="s">
        <v>53</v>
      </c>
      <c r="L1117" t="s">
        <v>33</v>
      </c>
      <c r="M1117" t="s">
        <v>3792</v>
      </c>
      <c r="N1117" t="s">
        <v>3803</v>
      </c>
      <c r="O1117" t="s">
        <v>3804</v>
      </c>
      <c r="P1117" s="2" t="s">
        <v>26</v>
      </c>
      <c r="Q1117" t="s">
        <v>50</v>
      </c>
      <c r="R1117">
        <v>0</v>
      </c>
      <c r="S1117">
        <v>4.59</v>
      </c>
      <c r="T1117" t="s">
        <v>3805</v>
      </c>
    </row>
    <row r="1118" spans="1:20" x14ac:dyDescent="0.25">
      <c r="A1118" s="1" t="str">
        <f>HYPERLINK("https://vegkart.atlas.vegvesen.no/#/@456390.2,7354862.4,18/hva:hva%5B0%5D%5Bfilter%5D%5B0%5D%5Boperator%5D=%21%3D&amp;hva%5B0%5D%5Bfilter%5D%5B0%5D%5Btype_id%5D=9736&amp;hva%5B0%5D%5Bfilter%5D%5B0%5D%5Bverdi%5D=&amp;hva%5B0%5D%5Bid%5D=853/når:2020-02-06", "Vegkart")</f>
        <v>Vegkart</v>
      </c>
      <c r="B1118">
        <v>1006811473</v>
      </c>
      <c r="C1118">
        <v>853</v>
      </c>
      <c r="D1118" t="s">
        <v>2935</v>
      </c>
      <c r="E1118">
        <v>9736</v>
      </c>
      <c r="F1118" t="s">
        <v>23479</v>
      </c>
      <c r="G1118">
        <v>1</v>
      </c>
      <c r="H1118" t="s">
        <v>3790</v>
      </c>
      <c r="J1118" t="s">
        <v>3799</v>
      </c>
      <c r="K1118" t="s">
        <v>53</v>
      </c>
      <c r="L1118" t="s">
        <v>33</v>
      </c>
      <c r="M1118" t="s">
        <v>3792</v>
      </c>
      <c r="N1118" t="s">
        <v>3806</v>
      </c>
      <c r="O1118" t="s">
        <v>3807</v>
      </c>
      <c r="P1118" s="2" t="s">
        <v>26</v>
      </c>
      <c r="Q1118" t="s">
        <v>50</v>
      </c>
      <c r="R1118">
        <v>0</v>
      </c>
      <c r="S1118">
        <v>4.42</v>
      </c>
      <c r="T1118" t="s">
        <v>3808</v>
      </c>
    </row>
    <row r="1119" spans="1:20" x14ac:dyDescent="0.25">
      <c r="A1119" s="1" t="str">
        <f>HYPERLINK("https://vegkart.atlas.vegvesen.no/#/@455772.6,7354712.6,18/hva:hva%5B0%5D%5Bfilter%5D%5B0%5D%5Boperator%5D=%21%3D&amp;hva%5B0%5D%5Bfilter%5D%5B0%5D%5Btype_id%5D=9736&amp;hva%5B0%5D%5Bfilter%5D%5B0%5D%5Bverdi%5D=&amp;hva%5B0%5D%5Bid%5D=853/når:2020-02-06", "Vegkart")</f>
        <v>Vegkart</v>
      </c>
      <c r="B1119">
        <v>1006811474</v>
      </c>
      <c r="C1119">
        <v>853</v>
      </c>
      <c r="D1119" t="s">
        <v>2935</v>
      </c>
      <c r="E1119">
        <v>9736</v>
      </c>
      <c r="F1119" t="s">
        <v>23479</v>
      </c>
      <c r="G1119">
        <v>1</v>
      </c>
      <c r="H1119" t="s">
        <v>3790</v>
      </c>
      <c r="J1119" t="s">
        <v>3799</v>
      </c>
      <c r="K1119" t="s">
        <v>53</v>
      </c>
      <c r="L1119" t="s">
        <v>33</v>
      </c>
      <c r="M1119" t="s">
        <v>3792</v>
      </c>
      <c r="N1119" t="s">
        <v>3809</v>
      </c>
      <c r="O1119" t="s">
        <v>3810</v>
      </c>
      <c r="P1119" s="2" t="s">
        <v>26</v>
      </c>
      <c r="Q1119" t="s">
        <v>50</v>
      </c>
      <c r="R1119">
        <v>0</v>
      </c>
      <c r="S1119">
        <v>4.55</v>
      </c>
      <c r="T1119" t="s">
        <v>3811</v>
      </c>
    </row>
    <row r="1120" spans="1:20" x14ac:dyDescent="0.25">
      <c r="A1120" s="1" t="str">
        <f>HYPERLINK("https://vegkart.atlas.vegvesen.no/#/@455560.1,7354820.8,18/hva:hva%5B0%5D%5Bfilter%5D%5B0%5D%5Boperator%5D=%21%3D&amp;hva%5B0%5D%5Bfilter%5D%5B0%5D%5Btype_id%5D=9736&amp;hva%5B0%5D%5Bfilter%5D%5B0%5D%5Bverdi%5D=&amp;hva%5B0%5D%5Bid%5D=853/når:2020-02-06", "Vegkart")</f>
        <v>Vegkart</v>
      </c>
      <c r="B1120">
        <v>1006811475</v>
      </c>
      <c r="C1120">
        <v>853</v>
      </c>
      <c r="D1120" t="s">
        <v>2935</v>
      </c>
      <c r="E1120">
        <v>9736</v>
      </c>
      <c r="F1120" t="s">
        <v>23479</v>
      </c>
      <c r="G1120">
        <v>1</v>
      </c>
      <c r="H1120" t="s">
        <v>3790</v>
      </c>
      <c r="J1120" t="s">
        <v>3799</v>
      </c>
      <c r="K1120" t="s">
        <v>53</v>
      </c>
      <c r="L1120" t="s">
        <v>33</v>
      </c>
      <c r="M1120" t="s">
        <v>3792</v>
      </c>
      <c r="N1120" t="s">
        <v>3812</v>
      </c>
      <c r="O1120" t="s">
        <v>3813</v>
      </c>
      <c r="P1120" s="2" t="s">
        <v>26</v>
      </c>
      <c r="Q1120" t="s">
        <v>50</v>
      </c>
      <c r="R1120">
        <v>0</v>
      </c>
      <c r="S1120">
        <v>4.38</v>
      </c>
      <c r="T1120" t="s">
        <v>3814</v>
      </c>
    </row>
    <row r="1121" spans="1:20" x14ac:dyDescent="0.25">
      <c r="A1121" s="1" t="str">
        <f>HYPERLINK("https://vegkart.atlas.vegvesen.no/#/@456397.4,7354844.7,18/hva:hva%5B0%5D%5Bfilter%5D%5B0%5D%5Boperator%5D=%21%3D&amp;hva%5B0%5D%5Bfilter%5D%5B0%5D%5Btype_id%5D=9736&amp;hva%5B0%5D%5Bfilter%5D%5B0%5D%5Bverdi%5D=&amp;hva%5B0%5D%5Bid%5D=853/når:2020-02-06", "Vegkart")</f>
        <v>Vegkart</v>
      </c>
      <c r="B1121">
        <v>1006811476</v>
      </c>
      <c r="C1121">
        <v>853</v>
      </c>
      <c r="D1121" t="s">
        <v>2935</v>
      </c>
      <c r="E1121">
        <v>9736</v>
      </c>
      <c r="F1121" t="s">
        <v>23479</v>
      </c>
      <c r="G1121">
        <v>1</v>
      </c>
      <c r="H1121" t="s">
        <v>3790</v>
      </c>
      <c r="J1121" t="s">
        <v>3799</v>
      </c>
      <c r="K1121" t="s">
        <v>53</v>
      </c>
      <c r="L1121" t="s">
        <v>33</v>
      </c>
      <c r="M1121" t="s">
        <v>3792</v>
      </c>
      <c r="N1121" t="s">
        <v>3815</v>
      </c>
      <c r="O1121" t="s">
        <v>3816</v>
      </c>
      <c r="P1121" s="2" t="s">
        <v>26</v>
      </c>
      <c r="Q1121" t="s">
        <v>50</v>
      </c>
      <c r="R1121">
        <v>0</v>
      </c>
      <c r="S1121">
        <v>4.2699999999999996</v>
      </c>
      <c r="T1121" t="s">
        <v>3817</v>
      </c>
    </row>
    <row r="1122" spans="1:20" x14ac:dyDescent="0.25">
      <c r="A1122" s="1" t="str">
        <f>HYPERLINK("https://vegkart.atlas.vegvesen.no/#/@456791.2,7355130.3,18/hva:hva%5B0%5D%5Bfilter%5D%5B0%5D%5Boperator%5D=%21%3D&amp;hva%5B0%5D%5Bfilter%5D%5B0%5D%5Btype_id%5D=9736&amp;hva%5B0%5D%5Bfilter%5D%5B0%5D%5Bverdi%5D=&amp;hva%5B0%5D%5Bid%5D=853/når:2020-02-06", "Vegkart")</f>
        <v>Vegkart</v>
      </c>
      <c r="B1122">
        <v>1006811477</v>
      </c>
      <c r="C1122">
        <v>853</v>
      </c>
      <c r="D1122" t="s">
        <v>2935</v>
      </c>
      <c r="E1122">
        <v>9736</v>
      </c>
      <c r="F1122" t="s">
        <v>23479</v>
      </c>
      <c r="G1122">
        <v>1</v>
      </c>
      <c r="H1122" t="s">
        <v>3790</v>
      </c>
      <c r="J1122" t="s">
        <v>3799</v>
      </c>
      <c r="K1122" t="s">
        <v>53</v>
      </c>
      <c r="L1122" t="s">
        <v>33</v>
      </c>
      <c r="M1122" t="s">
        <v>3792</v>
      </c>
      <c r="N1122" t="s">
        <v>3818</v>
      </c>
      <c r="O1122" t="s">
        <v>3819</v>
      </c>
      <c r="P1122" s="2" t="s">
        <v>26</v>
      </c>
      <c r="Q1122" t="s">
        <v>50</v>
      </c>
      <c r="R1122">
        <v>0</v>
      </c>
      <c r="S1122">
        <v>5.01</v>
      </c>
      <c r="T1122" t="s">
        <v>3820</v>
      </c>
    </row>
    <row r="1123" spans="1:20" x14ac:dyDescent="0.25">
      <c r="A1123" s="1" t="str">
        <f>HYPERLINK("https://vegkart.atlas.vegvesen.no/#/@455181.6,7355005.0,18/hva:hva%5B0%5D%5Bfilter%5D%5B0%5D%5Boperator%5D=%21%3D&amp;hva%5B0%5D%5Bfilter%5D%5B0%5D%5Btype_id%5D=9736&amp;hva%5B0%5D%5Bfilter%5D%5B0%5D%5Bverdi%5D=&amp;hva%5B0%5D%5Bid%5D=853/når:2020-02-06", "Vegkart")</f>
        <v>Vegkart</v>
      </c>
      <c r="B1123">
        <v>1006811478</v>
      </c>
      <c r="C1123">
        <v>853</v>
      </c>
      <c r="D1123" t="s">
        <v>2935</v>
      </c>
      <c r="E1123">
        <v>9736</v>
      </c>
      <c r="F1123" t="s">
        <v>23479</v>
      </c>
      <c r="G1123">
        <v>1</v>
      </c>
      <c r="H1123" t="s">
        <v>3790</v>
      </c>
      <c r="J1123" t="s">
        <v>3799</v>
      </c>
      <c r="K1123" t="s">
        <v>53</v>
      </c>
      <c r="L1123" t="s">
        <v>33</v>
      </c>
      <c r="M1123" t="s">
        <v>3792</v>
      </c>
      <c r="N1123" t="s">
        <v>3821</v>
      </c>
      <c r="O1123" t="s">
        <v>3822</v>
      </c>
      <c r="P1123" s="2" t="s">
        <v>26</v>
      </c>
      <c r="Q1123" t="s">
        <v>50</v>
      </c>
      <c r="R1123">
        <v>0</v>
      </c>
      <c r="S1123">
        <v>4.3899999999999997</v>
      </c>
      <c r="T1123" t="s">
        <v>3823</v>
      </c>
    </row>
    <row r="1124" spans="1:20" x14ac:dyDescent="0.25">
      <c r="A1124" s="1" t="str">
        <f>HYPERLINK("https://vegkart.atlas.vegvesen.no/#/@456284.9,7354805.2,18/hva:hva%5B0%5D%5Bfilter%5D%5B0%5D%5Boperator%5D=%21%3D&amp;hva%5B0%5D%5Bfilter%5D%5B0%5D%5Btype_id%5D=9736&amp;hva%5B0%5D%5Bfilter%5D%5B0%5D%5Bverdi%5D=&amp;hva%5B0%5D%5Bid%5D=853/når:2020-02-06", "Vegkart")</f>
        <v>Vegkart</v>
      </c>
      <c r="B1124">
        <v>1006811479</v>
      </c>
      <c r="C1124">
        <v>853</v>
      </c>
      <c r="D1124" t="s">
        <v>2935</v>
      </c>
      <c r="E1124">
        <v>9736</v>
      </c>
      <c r="F1124" t="s">
        <v>23479</v>
      </c>
      <c r="G1124">
        <v>1</v>
      </c>
      <c r="H1124" t="s">
        <v>3790</v>
      </c>
      <c r="J1124" t="s">
        <v>3799</v>
      </c>
      <c r="K1124" t="s">
        <v>53</v>
      </c>
      <c r="L1124" t="s">
        <v>33</v>
      </c>
      <c r="M1124" t="s">
        <v>3792</v>
      </c>
      <c r="N1124" t="s">
        <v>3824</v>
      </c>
      <c r="O1124" t="s">
        <v>3825</v>
      </c>
      <c r="P1124" s="2" t="s">
        <v>26</v>
      </c>
      <c r="Q1124" t="s">
        <v>50</v>
      </c>
      <c r="R1124">
        <v>0</v>
      </c>
      <c r="S1124">
        <v>4.82</v>
      </c>
      <c r="T1124" t="s">
        <v>3826</v>
      </c>
    </row>
    <row r="1125" spans="1:20" x14ac:dyDescent="0.25">
      <c r="A1125" s="1" t="str">
        <f>HYPERLINK("https://vegkart.atlas.vegvesen.no/#/@455916.5,7354673.8,18/hva:hva%5B0%5D%5Bfilter%5D%5B0%5D%5Boperator%5D=%21%3D&amp;hva%5B0%5D%5Bfilter%5D%5B0%5D%5Btype_id%5D=9736&amp;hva%5B0%5D%5Bfilter%5D%5B0%5D%5Bverdi%5D=&amp;hva%5B0%5D%5Bid%5D=853/når:2020-02-06", "Vegkart")</f>
        <v>Vegkart</v>
      </c>
      <c r="B1125">
        <v>1006811480</v>
      </c>
      <c r="C1125">
        <v>853</v>
      </c>
      <c r="D1125" t="s">
        <v>2935</v>
      </c>
      <c r="E1125">
        <v>9736</v>
      </c>
      <c r="F1125" t="s">
        <v>23479</v>
      </c>
      <c r="G1125">
        <v>1</v>
      </c>
      <c r="H1125" t="s">
        <v>3790</v>
      </c>
      <c r="J1125" t="s">
        <v>3799</v>
      </c>
      <c r="K1125" t="s">
        <v>53</v>
      </c>
      <c r="L1125" t="s">
        <v>33</v>
      </c>
      <c r="M1125" t="s">
        <v>3792</v>
      </c>
      <c r="N1125" t="s">
        <v>3827</v>
      </c>
      <c r="O1125" t="s">
        <v>3828</v>
      </c>
      <c r="P1125" s="2" t="s">
        <v>26</v>
      </c>
      <c r="Q1125" t="s">
        <v>50</v>
      </c>
      <c r="R1125">
        <v>0</v>
      </c>
      <c r="S1125">
        <v>4.3899999999999997</v>
      </c>
      <c r="T1125" t="s">
        <v>3829</v>
      </c>
    </row>
    <row r="1126" spans="1:20" x14ac:dyDescent="0.25">
      <c r="A1126" s="1" t="str">
        <f>HYPERLINK("https://vegkart.atlas.vegvesen.no/#/@456983.0,7355269.6,18/hva:hva%5B0%5D%5Bfilter%5D%5B0%5D%5Boperator%5D=%21%3D&amp;hva%5B0%5D%5Bfilter%5D%5B0%5D%5Btype_id%5D=9736&amp;hva%5B0%5D%5Bfilter%5D%5B0%5D%5Bverdi%5D=&amp;hva%5B0%5D%5Bid%5D=853/når:2020-02-06", "Vegkart")</f>
        <v>Vegkart</v>
      </c>
      <c r="B1126">
        <v>1006811481</v>
      </c>
      <c r="C1126">
        <v>853</v>
      </c>
      <c r="D1126" t="s">
        <v>2935</v>
      </c>
      <c r="E1126">
        <v>9736</v>
      </c>
      <c r="F1126" t="s">
        <v>23479</v>
      </c>
      <c r="G1126">
        <v>1</v>
      </c>
      <c r="H1126" t="s">
        <v>3790</v>
      </c>
      <c r="J1126" t="s">
        <v>3799</v>
      </c>
      <c r="K1126" t="s">
        <v>53</v>
      </c>
      <c r="L1126" t="s">
        <v>33</v>
      </c>
      <c r="M1126" t="s">
        <v>3792</v>
      </c>
      <c r="N1126" t="s">
        <v>3830</v>
      </c>
      <c r="O1126" t="s">
        <v>3831</v>
      </c>
      <c r="P1126" s="2" t="s">
        <v>26</v>
      </c>
      <c r="Q1126" t="s">
        <v>50</v>
      </c>
      <c r="R1126">
        <v>0</v>
      </c>
      <c r="S1126">
        <v>4.58</v>
      </c>
      <c r="T1126" t="s">
        <v>3832</v>
      </c>
    </row>
    <row r="1127" spans="1:20" x14ac:dyDescent="0.25">
      <c r="A1127" s="1" t="str">
        <f>HYPERLINK("https://vegkart.atlas.vegvesen.no/#/@455062.9,7354994.9,18/hva:hva%5B0%5D%5Bfilter%5D%5B0%5D%5Boperator%5D=%21%3D&amp;hva%5B0%5D%5Bfilter%5D%5B0%5D%5Btype_id%5D=9736&amp;hva%5B0%5D%5Bfilter%5D%5B0%5D%5Bverdi%5D=&amp;hva%5B0%5D%5Bid%5D=853/når:2020-02-06", "Vegkart")</f>
        <v>Vegkart</v>
      </c>
      <c r="B1127">
        <v>1006811482</v>
      </c>
      <c r="C1127">
        <v>853</v>
      </c>
      <c r="D1127" t="s">
        <v>2935</v>
      </c>
      <c r="E1127">
        <v>9736</v>
      </c>
      <c r="F1127" t="s">
        <v>23479</v>
      </c>
      <c r="G1127">
        <v>1</v>
      </c>
      <c r="H1127" t="s">
        <v>3790</v>
      </c>
      <c r="J1127" t="s">
        <v>3799</v>
      </c>
      <c r="K1127" t="s">
        <v>53</v>
      </c>
      <c r="L1127" t="s">
        <v>33</v>
      </c>
      <c r="M1127" t="s">
        <v>3792</v>
      </c>
      <c r="N1127" t="s">
        <v>3833</v>
      </c>
      <c r="O1127" t="s">
        <v>3834</v>
      </c>
      <c r="P1127" s="2" t="s">
        <v>26</v>
      </c>
      <c r="Q1127" t="s">
        <v>50</v>
      </c>
      <c r="R1127">
        <v>0</v>
      </c>
      <c r="S1127">
        <v>4.21</v>
      </c>
      <c r="T1127" t="s">
        <v>3835</v>
      </c>
    </row>
    <row r="1128" spans="1:20" x14ac:dyDescent="0.25">
      <c r="A1128" s="1" t="str">
        <f>HYPERLINK("https://vegkart.atlas.vegvesen.no/#/@455358.8,7354925.7,18/hva:hva%5B0%5D%5Bfilter%5D%5B0%5D%5Boperator%5D=%21%3D&amp;hva%5B0%5D%5Bfilter%5D%5B0%5D%5Btype_id%5D=9736&amp;hva%5B0%5D%5Bfilter%5D%5B0%5D%5Bverdi%5D=&amp;hva%5B0%5D%5Bid%5D=853/når:2020-02-06", "Vegkart")</f>
        <v>Vegkart</v>
      </c>
      <c r="B1128">
        <v>1006811483</v>
      </c>
      <c r="C1128">
        <v>853</v>
      </c>
      <c r="D1128" t="s">
        <v>2935</v>
      </c>
      <c r="E1128">
        <v>9736</v>
      </c>
      <c r="F1128" t="s">
        <v>23479</v>
      </c>
      <c r="G1128">
        <v>1</v>
      </c>
      <c r="H1128" t="s">
        <v>3790</v>
      </c>
      <c r="J1128" t="s">
        <v>3799</v>
      </c>
      <c r="K1128" t="s">
        <v>53</v>
      </c>
      <c r="L1128" t="s">
        <v>33</v>
      </c>
      <c r="M1128" t="s">
        <v>3792</v>
      </c>
      <c r="N1128" t="s">
        <v>3836</v>
      </c>
      <c r="O1128" t="s">
        <v>3837</v>
      </c>
      <c r="P1128" s="2" t="s">
        <v>26</v>
      </c>
      <c r="Q1128" t="s">
        <v>50</v>
      </c>
      <c r="R1128">
        <v>0</v>
      </c>
      <c r="S1128">
        <v>4.47</v>
      </c>
      <c r="T1128" t="s">
        <v>3838</v>
      </c>
    </row>
    <row r="1129" spans="1:20" x14ac:dyDescent="0.25">
      <c r="A1129" s="1" t="str">
        <f>HYPERLINK("https://vegkart.atlas.vegvesen.no/#/@455766.0,7354695.3,18/hva:hva%5B0%5D%5Bfilter%5D%5B0%5D%5Boperator%5D=%21%3D&amp;hva%5B0%5D%5Bfilter%5D%5B0%5D%5Btype_id%5D=9736&amp;hva%5B0%5D%5Bfilter%5D%5B0%5D%5Bverdi%5D=&amp;hva%5B0%5D%5Bid%5D=853/når:2020-02-06", "Vegkart")</f>
        <v>Vegkart</v>
      </c>
      <c r="B1129">
        <v>1006811484</v>
      </c>
      <c r="C1129">
        <v>853</v>
      </c>
      <c r="D1129" t="s">
        <v>2935</v>
      </c>
      <c r="E1129">
        <v>9736</v>
      </c>
      <c r="F1129" t="s">
        <v>23479</v>
      </c>
      <c r="G1129">
        <v>1</v>
      </c>
      <c r="H1129" t="s">
        <v>3790</v>
      </c>
      <c r="J1129" t="s">
        <v>3799</v>
      </c>
      <c r="K1129" t="s">
        <v>53</v>
      </c>
      <c r="L1129" t="s">
        <v>33</v>
      </c>
      <c r="M1129" t="s">
        <v>3792</v>
      </c>
      <c r="N1129" t="s">
        <v>3809</v>
      </c>
      <c r="O1129" t="s">
        <v>3839</v>
      </c>
      <c r="P1129" s="2" t="s">
        <v>26</v>
      </c>
      <c r="Q1129" t="s">
        <v>50</v>
      </c>
      <c r="R1129">
        <v>0</v>
      </c>
      <c r="S1129">
        <v>4.6500000000000004</v>
      </c>
      <c r="T1129" t="s">
        <v>3840</v>
      </c>
    </row>
    <row r="1130" spans="1:20" x14ac:dyDescent="0.25">
      <c r="A1130" s="1" t="str">
        <f>HYPERLINK("https://vegkart.atlas.vegvesen.no/#/@462292.5,7356752.9,18/hva:hva%5B0%5D%5Bfilter%5D%5B0%5D%5Boperator%5D=%21%3D&amp;hva%5B0%5D%5Bfilter%5D%5B0%5D%5Btype_id%5D=9736&amp;hva%5B0%5D%5Bfilter%5D%5B0%5D%5Bverdi%5D=&amp;hva%5B0%5D%5Bid%5D=853/når:2020-04-29", "Vegkart")</f>
        <v>Vegkart</v>
      </c>
      <c r="B1130">
        <v>1008102890</v>
      </c>
      <c r="C1130">
        <v>853</v>
      </c>
      <c r="D1130" t="s">
        <v>2935</v>
      </c>
      <c r="E1130">
        <v>9736</v>
      </c>
      <c r="F1130" t="s">
        <v>23479</v>
      </c>
      <c r="G1130">
        <v>1</v>
      </c>
      <c r="H1130" t="s">
        <v>3841</v>
      </c>
      <c r="J1130" t="s">
        <v>3842</v>
      </c>
      <c r="K1130" t="s">
        <v>53</v>
      </c>
      <c r="L1130" t="s">
        <v>33</v>
      </c>
      <c r="M1130" t="s">
        <v>3792</v>
      </c>
      <c r="N1130" t="s">
        <v>3843</v>
      </c>
      <c r="O1130" t="s">
        <v>3844</v>
      </c>
      <c r="P1130" s="2" t="s">
        <v>26</v>
      </c>
      <c r="Q1130" t="s">
        <v>50</v>
      </c>
      <c r="R1130">
        <v>0</v>
      </c>
      <c r="S1130">
        <v>4.71</v>
      </c>
      <c r="T1130" t="s">
        <v>3845</v>
      </c>
    </row>
    <row r="1131" spans="1:20" x14ac:dyDescent="0.25">
      <c r="A1131" s="1" t="str">
        <f>HYPERLINK("https://vegkart.atlas.vegvesen.no/#/@462342.6,7356814.2,18/hva:hva%5B0%5D%5Bfilter%5D%5B0%5D%5Boperator%5D=%21%3D&amp;hva%5B0%5D%5Bfilter%5D%5B0%5D%5Btype_id%5D=9736&amp;hva%5B0%5D%5Bfilter%5D%5B0%5D%5Bverdi%5D=&amp;hva%5B0%5D%5Bid%5D=853/når:2022-02-15", "Vegkart")</f>
        <v>Vegkart</v>
      </c>
      <c r="B1131">
        <v>1008102891</v>
      </c>
      <c r="C1131">
        <v>853</v>
      </c>
      <c r="D1131" t="s">
        <v>2935</v>
      </c>
      <c r="E1131">
        <v>9736</v>
      </c>
      <c r="F1131" t="s">
        <v>23479</v>
      </c>
      <c r="G1131">
        <v>2</v>
      </c>
      <c r="H1131" t="s">
        <v>2828</v>
      </c>
      <c r="J1131" t="s">
        <v>3846</v>
      </c>
      <c r="K1131" t="s">
        <v>53</v>
      </c>
      <c r="L1131" t="s">
        <v>33</v>
      </c>
      <c r="M1131" t="s">
        <v>3792</v>
      </c>
      <c r="N1131" t="s">
        <v>3847</v>
      </c>
      <c r="O1131" t="s">
        <v>3848</v>
      </c>
      <c r="P1131" s="2" t="s">
        <v>26</v>
      </c>
      <c r="Q1131" t="s">
        <v>50</v>
      </c>
      <c r="R1131">
        <v>0</v>
      </c>
      <c r="S1131">
        <v>4.6100000000000003</v>
      </c>
      <c r="T1131" t="s">
        <v>3849</v>
      </c>
    </row>
    <row r="1132" spans="1:20" x14ac:dyDescent="0.25">
      <c r="A1132" s="1" t="str">
        <f>HYPERLINK("https://vegkart.atlas.vegvesen.no/#/@462360.7,7356803.9,18/hva:hva%5B0%5D%5Bfilter%5D%5B0%5D%5Boperator%5D=%21%3D&amp;hva%5B0%5D%5Bfilter%5D%5B0%5D%5Btype_id%5D=9736&amp;hva%5B0%5D%5Bfilter%5D%5B0%5D%5Bverdi%5D=&amp;hva%5B0%5D%5Bid%5D=853/når:2020-04-29", "Vegkart")</f>
        <v>Vegkart</v>
      </c>
      <c r="B1132">
        <v>1008102892</v>
      </c>
      <c r="C1132">
        <v>853</v>
      </c>
      <c r="D1132" t="s">
        <v>2935</v>
      </c>
      <c r="E1132">
        <v>9736</v>
      </c>
      <c r="F1132" t="s">
        <v>23479</v>
      </c>
      <c r="G1132">
        <v>1</v>
      </c>
      <c r="H1132" t="s">
        <v>3841</v>
      </c>
      <c r="J1132" t="s">
        <v>3846</v>
      </c>
      <c r="K1132" t="s">
        <v>53</v>
      </c>
      <c r="L1132" t="s">
        <v>33</v>
      </c>
      <c r="M1132" t="s">
        <v>3792</v>
      </c>
      <c r="N1132" t="s">
        <v>3850</v>
      </c>
      <c r="O1132" t="s">
        <v>3851</v>
      </c>
      <c r="P1132" s="2" t="s">
        <v>26</v>
      </c>
      <c r="Q1132" t="s">
        <v>50</v>
      </c>
      <c r="R1132">
        <v>0</v>
      </c>
      <c r="S1132">
        <v>4.8499999999999996</v>
      </c>
      <c r="T1132" t="s">
        <v>3852</v>
      </c>
    </row>
    <row r="1133" spans="1:20" x14ac:dyDescent="0.25">
      <c r="A1133" s="1" t="str">
        <f>HYPERLINK("https://vegkart.atlas.vegvesen.no/#/@462365.5,7356800.7,18/hva:hva%5B0%5D%5Bfilter%5D%5B0%5D%5Boperator%5D=%21%3D&amp;hva%5B0%5D%5Bfilter%5D%5B0%5D%5Btype_id%5D=9736&amp;hva%5B0%5D%5Bfilter%5D%5B0%5D%5Bverdi%5D=&amp;hva%5B0%5D%5Bid%5D=853/når:2022-02-15", "Vegkart")</f>
        <v>Vegkart</v>
      </c>
      <c r="B1133">
        <v>1008102893</v>
      </c>
      <c r="C1133">
        <v>853</v>
      </c>
      <c r="D1133" t="s">
        <v>2935</v>
      </c>
      <c r="E1133">
        <v>9736</v>
      </c>
      <c r="F1133" t="s">
        <v>23479</v>
      </c>
      <c r="G1133">
        <v>2</v>
      </c>
      <c r="H1133" t="s">
        <v>2828</v>
      </c>
      <c r="J1133" t="s">
        <v>3846</v>
      </c>
      <c r="K1133" t="s">
        <v>53</v>
      </c>
      <c r="L1133" t="s">
        <v>33</v>
      </c>
      <c r="M1133" t="s">
        <v>3792</v>
      </c>
      <c r="N1133" t="s">
        <v>3853</v>
      </c>
      <c r="O1133" t="s">
        <v>3854</v>
      </c>
      <c r="P1133" s="2" t="s">
        <v>26</v>
      </c>
      <c r="Q1133" t="s">
        <v>50</v>
      </c>
      <c r="R1133">
        <v>0</v>
      </c>
      <c r="S1133">
        <v>4.8600000000000003</v>
      </c>
      <c r="T1133" t="s">
        <v>3855</v>
      </c>
    </row>
    <row r="1134" spans="1:20" x14ac:dyDescent="0.25">
      <c r="A1134" s="1" t="str">
        <f>HYPERLINK("https://vegkart.atlas.vegvesen.no/#/@462405.4,7356854.4,18/hva:hva%5B0%5D%5Bfilter%5D%5B0%5D%5Boperator%5D=%21%3D&amp;hva%5B0%5D%5Bfilter%5D%5B0%5D%5Btype_id%5D=9736&amp;hva%5B0%5D%5Bfilter%5D%5B0%5D%5Bverdi%5D=&amp;hva%5B0%5D%5Bid%5D=853/når:2022-02-15", "Vegkart")</f>
        <v>Vegkart</v>
      </c>
      <c r="B1134">
        <v>1008102894</v>
      </c>
      <c r="C1134">
        <v>853</v>
      </c>
      <c r="D1134" t="s">
        <v>2935</v>
      </c>
      <c r="E1134">
        <v>9736</v>
      </c>
      <c r="F1134" t="s">
        <v>23479</v>
      </c>
      <c r="G1134">
        <v>2</v>
      </c>
      <c r="H1134" t="s">
        <v>2828</v>
      </c>
      <c r="J1134" t="s">
        <v>3846</v>
      </c>
      <c r="K1134" t="s">
        <v>53</v>
      </c>
      <c r="L1134" t="s">
        <v>33</v>
      </c>
      <c r="M1134" t="s">
        <v>3792</v>
      </c>
      <c r="N1134" t="s">
        <v>3856</v>
      </c>
      <c r="O1134" t="s">
        <v>3857</v>
      </c>
      <c r="P1134" s="2" t="s">
        <v>26</v>
      </c>
      <c r="Q1134" t="s">
        <v>50</v>
      </c>
      <c r="R1134">
        <v>0</v>
      </c>
      <c r="S1134">
        <v>4.83</v>
      </c>
      <c r="T1134" t="s">
        <v>3858</v>
      </c>
    </row>
    <row r="1135" spans="1:20" x14ac:dyDescent="0.25">
      <c r="A1135" s="1" t="str">
        <f>HYPERLINK("https://vegkart.atlas.vegvesen.no/#/@462299.5,7356956.2,18/hva:hva%5B0%5D%5Bfilter%5D%5B0%5D%5Boperator%5D=%21%3D&amp;hva%5B0%5D%5Bfilter%5D%5B0%5D%5Btype_id%5D=9736&amp;hva%5B0%5D%5Bfilter%5D%5B0%5D%5Bverdi%5D=&amp;hva%5B0%5D%5Bid%5D=853/når:2020-04-29", "Vegkart")</f>
        <v>Vegkart</v>
      </c>
      <c r="B1135">
        <v>1008102895</v>
      </c>
      <c r="C1135">
        <v>853</v>
      </c>
      <c r="D1135" t="s">
        <v>2935</v>
      </c>
      <c r="E1135">
        <v>9736</v>
      </c>
      <c r="F1135" t="s">
        <v>23479</v>
      </c>
      <c r="G1135">
        <v>1</v>
      </c>
      <c r="H1135" t="s">
        <v>3841</v>
      </c>
      <c r="J1135" t="s">
        <v>3846</v>
      </c>
      <c r="K1135" t="s">
        <v>53</v>
      </c>
      <c r="L1135" t="s">
        <v>22</v>
      </c>
      <c r="M1135" t="s">
        <v>3859</v>
      </c>
      <c r="N1135" t="s">
        <v>3860</v>
      </c>
      <c r="O1135" t="s">
        <v>3861</v>
      </c>
      <c r="P1135" s="2" t="s">
        <v>26</v>
      </c>
      <c r="Q1135" t="s">
        <v>50</v>
      </c>
      <c r="R1135">
        <v>0</v>
      </c>
      <c r="S1135">
        <v>4.63</v>
      </c>
      <c r="T1135" t="s">
        <v>3862</v>
      </c>
    </row>
    <row r="1136" spans="1:20" x14ac:dyDescent="0.25">
      <c r="A1136" s="1" t="str">
        <f>HYPERLINK("https://vegkart.atlas.vegvesen.no/#/@462439.7,7356948.2,18/hva:hva%5B0%5D%5Bfilter%5D%5B0%5D%5Boperator%5D=%21%3D&amp;hva%5B0%5D%5Bfilter%5D%5B0%5D%5Btype_id%5D=9736&amp;hva%5B0%5D%5Bfilter%5D%5B0%5D%5Bverdi%5D=&amp;hva%5B0%5D%5Bid%5D=853/når:2020-04-29", "Vegkart")</f>
        <v>Vegkart</v>
      </c>
      <c r="B1136">
        <v>1008102896</v>
      </c>
      <c r="C1136">
        <v>853</v>
      </c>
      <c r="D1136" t="s">
        <v>2935</v>
      </c>
      <c r="E1136">
        <v>9736</v>
      </c>
      <c r="F1136" t="s">
        <v>23479</v>
      </c>
      <c r="G1136">
        <v>1</v>
      </c>
      <c r="H1136" t="s">
        <v>3841</v>
      </c>
      <c r="J1136" t="s">
        <v>3846</v>
      </c>
      <c r="K1136" t="s">
        <v>53</v>
      </c>
      <c r="L1136" t="s">
        <v>33</v>
      </c>
      <c r="M1136" t="s">
        <v>3792</v>
      </c>
      <c r="N1136" t="s">
        <v>3863</v>
      </c>
      <c r="O1136" t="s">
        <v>3864</v>
      </c>
      <c r="P1136" s="2" t="s">
        <v>26</v>
      </c>
      <c r="Q1136" t="s">
        <v>50</v>
      </c>
      <c r="R1136">
        <v>0</v>
      </c>
      <c r="S1136">
        <v>4.8600000000000003</v>
      </c>
      <c r="T1136" t="s">
        <v>3865</v>
      </c>
    </row>
    <row r="1137" spans="1:20" x14ac:dyDescent="0.25">
      <c r="A1137" s="1" t="str">
        <f>HYPERLINK("https://vegkart.atlas.vegvesen.no/#/@462479.6,7356938.7,18/hva:hva%5B0%5D%5Bfilter%5D%5B0%5D%5Boperator%5D=%21%3D&amp;hva%5B0%5D%5Bfilter%5D%5B0%5D%5Btype_id%5D=9736&amp;hva%5B0%5D%5Bfilter%5D%5B0%5D%5Bverdi%5D=&amp;hva%5B0%5D%5Bid%5D=853/når:2020-04-29", "Vegkart")</f>
        <v>Vegkart</v>
      </c>
      <c r="B1137">
        <v>1008102897</v>
      </c>
      <c r="C1137">
        <v>853</v>
      </c>
      <c r="D1137" t="s">
        <v>2935</v>
      </c>
      <c r="E1137">
        <v>9736</v>
      </c>
      <c r="F1137" t="s">
        <v>23479</v>
      </c>
      <c r="G1137">
        <v>1</v>
      </c>
      <c r="H1137" t="s">
        <v>3841</v>
      </c>
      <c r="J1137" t="s">
        <v>3846</v>
      </c>
      <c r="K1137" t="s">
        <v>53</v>
      </c>
      <c r="L1137" t="s">
        <v>33</v>
      </c>
      <c r="M1137" t="s">
        <v>3792</v>
      </c>
      <c r="N1137" t="s">
        <v>3866</v>
      </c>
      <c r="O1137" t="s">
        <v>3867</v>
      </c>
      <c r="P1137" s="2" t="s">
        <v>26</v>
      </c>
      <c r="Q1137" t="s">
        <v>50</v>
      </c>
      <c r="R1137">
        <v>0</v>
      </c>
      <c r="S1137">
        <v>4.6399999999999997</v>
      </c>
      <c r="T1137" t="s">
        <v>3868</v>
      </c>
    </row>
    <row r="1138" spans="1:20" x14ac:dyDescent="0.25">
      <c r="A1138" s="1" t="str">
        <f>HYPERLINK("https://vegkart.atlas.vegvesen.no/#/@462374.0,7356864.8,18/hva:hva%5B0%5D%5Bfilter%5D%5B0%5D%5Boperator%5D=%21%3D&amp;hva%5B0%5D%5Bfilter%5D%5B0%5D%5Btype_id%5D=9736&amp;hva%5B0%5D%5Bfilter%5D%5B0%5D%5Bverdi%5D=&amp;hva%5B0%5D%5Bid%5D=853/når:2020-04-29", "Vegkart")</f>
        <v>Vegkart</v>
      </c>
      <c r="B1138">
        <v>1008102898</v>
      </c>
      <c r="C1138">
        <v>853</v>
      </c>
      <c r="D1138" t="s">
        <v>2935</v>
      </c>
      <c r="E1138">
        <v>9736</v>
      </c>
      <c r="F1138" t="s">
        <v>23479</v>
      </c>
      <c r="G1138">
        <v>1</v>
      </c>
      <c r="H1138" t="s">
        <v>3841</v>
      </c>
      <c r="J1138" t="s">
        <v>3846</v>
      </c>
      <c r="K1138" t="s">
        <v>53</v>
      </c>
      <c r="L1138" t="s">
        <v>33</v>
      </c>
      <c r="M1138" t="s">
        <v>3792</v>
      </c>
      <c r="N1138" t="s">
        <v>3869</v>
      </c>
      <c r="O1138" t="s">
        <v>3870</v>
      </c>
      <c r="P1138" s="2" t="s">
        <v>26</v>
      </c>
      <c r="Q1138" t="s">
        <v>50</v>
      </c>
      <c r="R1138">
        <v>0</v>
      </c>
      <c r="S1138">
        <v>4.58</v>
      </c>
      <c r="T1138" t="s">
        <v>3871</v>
      </c>
    </row>
    <row r="1139" spans="1:20" x14ac:dyDescent="0.25">
      <c r="A1139" s="1" t="str">
        <f>HYPERLINK("https://vegkart.atlas.vegvesen.no/#/@462306.1,7356585.8,18/hva:hva%5B0%5D%5Bfilter%5D%5B0%5D%5Boperator%5D=%21%3D&amp;hva%5B0%5D%5Bfilter%5D%5B0%5D%5Btype_id%5D=9736&amp;hva%5B0%5D%5Bfilter%5D%5B0%5D%5Bverdi%5D=&amp;hva%5B0%5D%5Bid%5D=853/når:2020-04-29", "Vegkart")</f>
        <v>Vegkart</v>
      </c>
      <c r="B1139">
        <v>1008102899</v>
      </c>
      <c r="C1139">
        <v>853</v>
      </c>
      <c r="D1139" t="s">
        <v>2935</v>
      </c>
      <c r="E1139">
        <v>9736</v>
      </c>
      <c r="F1139" t="s">
        <v>23479</v>
      </c>
      <c r="G1139">
        <v>1</v>
      </c>
      <c r="H1139" t="s">
        <v>3841</v>
      </c>
      <c r="J1139" t="s">
        <v>3846</v>
      </c>
      <c r="K1139" t="s">
        <v>53</v>
      </c>
      <c r="L1139" t="s">
        <v>33</v>
      </c>
      <c r="M1139" t="s">
        <v>3792</v>
      </c>
      <c r="N1139" t="s">
        <v>3872</v>
      </c>
      <c r="O1139" t="s">
        <v>3873</v>
      </c>
      <c r="P1139" s="2" t="s">
        <v>26</v>
      </c>
      <c r="Q1139" t="s">
        <v>50</v>
      </c>
      <c r="R1139">
        <v>0</v>
      </c>
      <c r="S1139">
        <v>4.82</v>
      </c>
      <c r="T1139" t="s">
        <v>3874</v>
      </c>
    </row>
    <row r="1140" spans="1:20" x14ac:dyDescent="0.25">
      <c r="A1140" s="1" t="str">
        <f>HYPERLINK("https://vegkart.atlas.vegvesen.no/#/@462322.2,7356689.0,18/hva:hva%5B0%5D%5Bfilter%5D%5B0%5D%5Boperator%5D=%21%3D&amp;hva%5B0%5D%5Bfilter%5D%5B0%5D%5Btype_id%5D=9736&amp;hva%5B0%5D%5Bfilter%5D%5B0%5D%5Bverdi%5D=&amp;hva%5B0%5D%5Bid%5D=853/når:2020-04-29", "Vegkart")</f>
        <v>Vegkart</v>
      </c>
      <c r="B1140">
        <v>1008102900</v>
      </c>
      <c r="C1140">
        <v>853</v>
      </c>
      <c r="D1140" t="s">
        <v>2935</v>
      </c>
      <c r="E1140">
        <v>9736</v>
      </c>
      <c r="F1140" t="s">
        <v>23479</v>
      </c>
      <c r="G1140">
        <v>1</v>
      </c>
      <c r="H1140" t="s">
        <v>3841</v>
      </c>
      <c r="J1140" t="s">
        <v>3846</v>
      </c>
      <c r="K1140" t="s">
        <v>53</v>
      </c>
      <c r="L1140" t="s">
        <v>33</v>
      </c>
      <c r="M1140" t="s">
        <v>3792</v>
      </c>
      <c r="N1140" t="s">
        <v>3875</v>
      </c>
      <c r="O1140" t="s">
        <v>3876</v>
      </c>
      <c r="P1140" s="2" t="s">
        <v>26</v>
      </c>
      <c r="Q1140" t="s">
        <v>50</v>
      </c>
      <c r="R1140">
        <v>0</v>
      </c>
      <c r="S1140">
        <v>4.87</v>
      </c>
      <c r="T1140" t="s">
        <v>3877</v>
      </c>
    </row>
    <row r="1141" spans="1:20" x14ac:dyDescent="0.25">
      <c r="A1141" s="1" t="str">
        <f>HYPERLINK("https://vegkart.atlas.vegvesen.no/#/@462341.2,7356715.1,18/hva:hva%5B0%5D%5Bfilter%5D%5B0%5D%5Boperator%5D=%21%3D&amp;hva%5B0%5D%5Bfilter%5D%5B0%5D%5Btype_id%5D=9736&amp;hva%5B0%5D%5Bfilter%5D%5B0%5D%5Bverdi%5D=&amp;hva%5B0%5D%5Bid%5D=853/når:2020-04-29", "Vegkart")</f>
        <v>Vegkart</v>
      </c>
      <c r="B1141">
        <v>1008102901</v>
      </c>
      <c r="C1141">
        <v>853</v>
      </c>
      <c r="D1141" t="s">
        <v>2935</v>
      </c>
      <c r="E1141">
        <v>9736</v>
      </c>
      <c r="F1141" t="s">
        <v>23479</v>
      </c>
      <c r="G1141">
        <v>1</v>
      </c>
      <c r="H1141" t="s">
        <v>3841</v>
      </c>
      <c r="J1141" t="s">
        <v>3846</v>
      </c>
      <c r="K1141" t="s">
        <v>53</v>
      </c>
      <c r="L1141" t="s">
        <v>33</v>
      </c>
      <c r="M1141" t="s">
        <v>3792</v>
      </c>
      <c r="N1141" t="s">
        <v>3878</v>
      </c>
      <c r="O1141" t="s">
        <v>3879</v>
      </c>
      <c r="P1141" s="2" t="s">
        <v>26</v>
      </c>
      <c r="Q1141" t="s">
        <v>50</v>
      </c>
      <c r="R1141">
        <v>0</v>
      </c>
      <c r="S1141">
        <v>4.88</v>
      </c>
      <c r="T1141" t="s">
        <v>3880</v>
      </c>
    </row>
    <row r="1142" spans="1:20" x14ac:dyDescent="0.25">
      <c r="A1142" s="1" t="str">
        <f>HYPERLINK("https://vegkart.atlas.vegvesen.no/#/@462346.5,7356736.9,18/hva:hva%5B0%5D%5Bfilter%5D%5B0%5D%5Boperator%5D=%21%3D&amp;hva%5B0%5D%5Bfilter%5D%5B0%5D%5Btype_id%5D=9736&amp;hva%5B0%5D%5Bfilter%5D%5B0%5D%5Bverdi%5D=&amp;hva%5B0%5D%5Bid%5D=853/når:2020-04-29", "Vegkart")</f>
        <v>Vegkart</v>
      </c>
      <c r="B1142">
        <v>1008102902</v>
      </c>
      <c r="C1142">
        <v>853</v>
      </c>
      <c r="D1142" t="s">
        <v>2935</v>
      </c>
      <c r="E1142">
        <v>9736</v>
      </c>
      <c r="F1142" t="s">
        <v>23479</v>
      </c>
      <c r="G1142">
        <v>1</v>
      </c>
      <c r="H1142" t="s">
        <v>3841</v>
      </c>
      <c r="J1142" t="s">
        <v>3846</v>
      </c>
      <c r="K1142" t="s">
        <v>53</v>
      </c>
      <c r="L1142" t="s">
        <v>33</v>
      </c>
      <c r="M1142" t="s">
        <v>3792</v>
      </c>
      <c r="N1142" t="s">
        <v>3881</v>
      </c>
      <c r="O1142" t="s">
        <v>3882</v>
      </c>
      <c r="P1142" s="2" t="s">
        <v>26</v>
      </c>
      <c r="Q1142" t="s">
        <v>50</v>
      </c>
      <c r="R1142">
        <v>0</v>
      </c>
      <c r="S1142">
        <v>4.82</v>
      </c>
      <c r="T1142" t="s">
        <v>3883</v>
      </c>
    </row>
    <row r="1143" spans="1:20" x14ac:dyDescent="0.25">
      <c r="A1143" s="1" t="str">
        <f>HYPERLINK("https://vegkart.atlas.vegvesen.no/#/@462288.8,7356732.1,18/hva:hva%5B0%5D%5Bfilter%5D%5B0%5D%5Boperator%5D=%21%3D&amp;hva%5B0%5D%5Bfilter%5D%5B0%5D%5Btype_id%5D=9736&amp;hva%5B0%5D%5Bfilter%5D%5B0%5D%5Bverdi%5D=&amp;hva%5B0%5D%5Bid%5D=853/når:2020-04-29", "Vegkart")</f>
        <v>Vegkart</v>
      </c>
      <c r="B1143">
        <v>1008102903</v>
      </c>
      <c r="C1143">
        <v>853</v>
      </c>
      <c r="D1143" t="s">
        <v>2935</v>
      </c>
      <c r="E1143">
        <v>9736</v>
      </c>
      <c r="F1143" t="s">
        <v>23479</v>
      </c>
      <c r="G1143">
        <v>1</v>
      </c>
      <c r="H1143" t="s">
        <v>3841</v>
      </c>
      <c r="J1143" t="s">
        <v>3846</v>
      </c>
      <c r="K1143" t="s">
        <v>53</v>
      </c>
      <c r="L1143" t="s">
        <v>33</v>
      </c>
      <c r="M1143" t="s">
        <v>3792</v>
      </c>
      <c r="N1143" t="s">
        <v>3884</v>
      </c>
      <c r="O1143" t="s">
        <v>3885</v>
      </c>
      <c r="P1143" s="2" t="s">
        <v>26</v>
      </c>
      <c r="Q1143" t="s">
        <v>50</v>
      </c>
      <c r="R1143">
        <v>0</v>
      </c>
      <c r="S1143">
        <v>4.95</v>
      </c>
      <c r="T1143" t="s">
        <v>3886</v>
      </c>
    </row>
    <row r="1144" spans="1:20" x14ac:dyDescent="0.25">
      <c r="A1144" s="1" t="str">
        <f>HYPERLINK("https://vegkart.atlas.vegvesen.no/#/@462487.6,7356926.7,18/hva:hva%5B0%5D%5Bfilter%5D%5B0%5D%5Boperator%5D=%21%3D&amp;hva%5B0%5D%5Bfilter%5D%5B0%5D%5Btype_id%5D=9736&amp;hva%5B0%5D%5Bfilter%5D%5B0%5D%5Bverdi%5D=&amp;hva%5B0%5D%5Bid%5D=853/når:2020-04-29", "Vegkart")</f>
        <v>Vegkart</v>
      </c>
      <c r="B1144">
        <v>1008102904</v>
      </c>
      <c r="C1144">
        <v>853</v>
      </c>
      <c r="D1144" t="s">
        <v>2935</v>
      </c>
      <c r="E1144">
        <v>9736</v>
      </c>
      <c r="F1144" t="s">
        <v>23479</v>
      </c>
      <c r="G1144">
        <v>1</v>
      </c>
      <c r="H1144" t="s">
        <v>3841</v>
      </c>
      <c r="J1144" t="s">
        <v>3846</v>
      </c>
      <c r="K1144" t="s">
        <v>53</v>
      </c>
      <c r="L1144" t="s">
        <v>33</v>
      </c>
      <c r="M1144" t="s">
        <v>3792</v>
      </c>
      <c r="N1144" t="s">
        <v>3866</v>
      </c>
      <c r="O1144" t="s">
        <v>3887</v>
      </c>
      <c r="P1144" s="2" t="s">
        <v>26</v>
      </c>
      <c r="Q1144" t="s">
        <v>50</v>
      </c>
      <c r="R1144">
        <v>0</v>
      </c>
      <c r="S1144">
        <v>4.99</v>
      </c>
      <c r="T1144" t="s">
        <v>3888</v>
      </c>
    </row>
    <row r="1145" spans="1:20" x14ac:dyDescent="0.25">
      <c r="A1145" s="1" t="str">
        <f>HYPERLINK("https://vegkart.atlas.vegvesen.no/#/@-33466.5,6739259.9,18/hva:hva%5B0%5D%5Bfilter%5D%5B0%5D%5Boperator%5D=%21%3D&amp;hva%5B0%5D%5Bfilter%5D%5B0%5D%5Btype_id%5D=9736&amp;hva%5B0%5D%5Bfilter%5D%5B0%5D%5Bverdi%5D=&amp;hva%5B0%5D%5Bid%5D=853/når:2022-11-04", "Vegkart")</f>
        <v>Vegkart</v>
      </c>
      <c r="B1145">
        <v>1008943922</v>
      </c>
      <c r="C1145">
        <v>853</v>
      </c>
      <c r="D1145" t="s">
        <v>2935</v>
      </c>
      <c r="E1145">
        <v>9736</v>
      </c>
      <c r="F1145" t="s">
        <v>23479</v>
      </c>
      <c r="G1145">
        <v>2</v>
      </c>
      <c r="H1145" t="s">
        <v>1802</v>
      </c>
      <c r="J1145" t="s">
        <v>3889</v>
      </c>
      <c r="K1145" t="s">
        <v>21</v>
      </c>
      <c r="L1145" t="s">
        <v>33</v>
      </c>
      <c r="M1145" t="s">
        <v>3091</v>
      </c>
      <c r="N1145" t="s">
        <v>3890</v>
      </c>
      <c r="O1145" t="s">
        <v>3891</v>
      </c>
      <c r="P1145" s="2" t="s">
        <v>165</v>
      </c>
      <c r="Q1145" t="s">
        <v>311</v>
      </c>
      <c r="R1145">
        <v>2.2200000000000002</v>
      </c>
      <c r="S1145">
        <v>3.87</v>
      </c>
      <c r="T1145" t="s">
        <v>167</v>
      </c>
    </row>
    <row r="1146" spans="1:20" x14ac:dyDescent="0.25">
      <c r="A1146" s="1" t="str">
        <f>HYPERLINK("https://vegkart.atlas.vegvesen.no/#/@-33306.6,6739640.1,18/hva:hva%5B0%5D%5Bfilter%5D%5B0%5D%5Boperator%5D=%21%3D&amp;hva%5B0%5D%5Bfilter%5D%5B0%5D%5Btype_id%5D=9736&amp;hva%5B0%5D%5Bfilter%5D%5B0%5D%5Bverdi%5D=&amp;hva%5B0%5D%5Bid%5D=853/når:2022-11-04", "Vegkart")</f>
        <v>Vegkart</v>
      </c>
      <c r="B1146">
        <v>1008943923</v>
      </c>
      <c r="C1146">
        <v>853</v>
      </c>
      <c r="D1146" t="s">
        <v>2935</v>
      </c>
      <c r="E1146">
        <v>9736</v>
      </c>
      <c r="F1146" t="s">
        <v>23479</v>
      </c>
      <c r="G1146">
        <v>2</v>
      </c>
      <c r="H1146" t="s">
        <v>1802</v>
      </c>
      <c r="J1146" t="s">
        <v>3889</v>
      </c>
      <c r="K1146" t="s">
        <v>21</v>
      </c>
      <c r="L1146" t="s">
        <v>33</v>
      </c>
      <c r="M1146" t="s">
        <v>3091</v>
      </c>
      <c r="N1146" t="s">
        <v>3892</v>
      </c>
      <c r="O1146" t="s">
        <v>3893</v>
      </c>
      <c r="P1146" s="2" t="s">
        <v>26</v>
      </c>
      <c r="Q1146" t="s">
        <v>50</v>
      </c>
      <c r="R1146">
        <v>0</v>
      </c>
      <c r="S1146">
        <v>6.09</v>
      </c>
      <c r="T1146" t="s">
        <v>3894</v>
      </c>
    </row>
    <row r="1147" spans="1:20" x14ac:dyDescent="0.25">
      <c r="A1147" s="1" t="str">
        <f>HYPERLINK("https://vegkart.atlas.vegvesen.no/#/@-33311.1,6739622.7,18/hva:hva%5B0%5D%5Bfilter%5D%5B0%5D%5Boperator%5D=%21%3D&amp;hva%5B0%5D%5Bfilter%5D%5B0%5D%5Btype_id%5D=9736&amp;hva%5B0%5D%5Bfilter%5D%5B0%5D%5Bverdi%5D=&amp;hva%5B0%5D%5Bid%5D=853/når:2022-11-04", "Vegkart")</f>
        <v>Vegkart</v>
      </c>
      <c r="B1147">
        <v>1008943924</v>
      </c>
      <c r="C1147">
        <v>853</v>
      </c>
      <c r="D1147" t="s">
        <v>2935</v>
      </c>
      <c r="E1147">
        <v>9736</v>
      </c>
      <c r="F1147" t="s">
        <v>23479</v>
      </c>
      <c r="G1147">
        <v>2</v>
      </c>
      <c r="H1147" t="s">
        <v>1802</v>
      </c>
      <c r="J1147" t="s">
        <v>3889</v>
      </c>
      <c r="K1147" t="s">
        <v>21</v>
      </c>
      <c r="L1147" t="s">
        <v>33</v>
      </c>
      <c r="M1147" t="s">
        <v>3091</v>
      </c>
      <c r="N1147" t="s">
        <v>3895</v>
      </c>
      <c r="O1147" t="s">
        <v>3896</v>
      </c>
      <c r="P1147" s="2" t="s">
        <v>26</v>
      </c>
      <c r="Q1147" t="s">
        <v>50</v>
      </c>
      <c r="R1147">
        <v>0</v>
      </c>
      <c r="S1147">
        <v>4.8899999999999997</v>
      </c>
      <c r="T1147" t="s">
        <v>3897</v>
      </c>
    </row>
    <row r="1148" spans="1:20" x14ac:dyDescent="0.25">
      <c r="A1148" s="1" t="str">
        <f>HYPERLINK("https://vegkart.atlas.vegvesen.no/#/@156275.6,7035922.4,18/hva:hva%5B0%5D%5Bfilter%5D%5B0%5D%5Boperator%5D=%21%3D&amp;hva%5B0%5D%5Bfilter%5D%5B0%5D%5Btype_id%5D=9736&amp;hva%5B0%5D%5Bfilter%5D%5B0%5D%5Bverdi%5D=&amp;hva%5B0%5D%5Bid%5D=853/når:2022-02-18", "Vegkart")</f>
        <v>Vegkart</v>
      </c>
      <c r="B1148">
        <v>1013532949</v>
      </c>
      <c r="C1148">
        <v>853</v>
      </c>
      <c r="D1148" t="s">
        <v>2935</v>
      </c>
      <c r="E1148">
        <v>9736</v>
      </c>
      <c r="F1148" t="s">
        <v>23479</v>
      </c>
      <c r="G1148">
        <v>2</v>
      </c>
      <c r="H1148" t="s">
        <v>3898</v>
      </c>
      <c r="J1148" t="s">
        <v>3899</v>
      </c>
      <c r="K1148" t="s">
        <v>32</v>
      </c>
      <c r="L1148" t="s">
        <v>33</v>
      </c>
      <c r="M1148" t="s">
        <v>34</v>
      </c>
      <c r="N1148" t="s">
        <v>3900</v>
      </c>
      <c r="O1148" t="s">
        <v>3901</v>
      </c>
      <c r="P1148" s="2" t="s">
        <v>26</v>
      </c>
      <c r="Q1148" t="s">
        <v>50</v>
      </c>
      <c r="R1148">
        <v>0</v>
      </c>
      <c r="S1148">
        <v>11.46</v>
      </c>
      <c r="T1148" t="s">
        <v>3902</v>
      </c>
    </row>
    <row r="1149" spans="1:20" x14ac:dyDescent="0.25">
      <c r="A1149" s="1" t="str">
        <f>HYPERLINK("https://vegkart.atlas.vegvesen.no/#/@-30142.2,6706484.6,18/hva:hva%5B0%5D%5Bfilter%5D%5B0%5D%5Boperator%5D=%21%3D&amp;hva%5B0%5D%5Bfilter%5D%5B0%5D%5Btype_id%5D=9736&amp;hva%5B0%5D%5Bfilter%5D%5B0%5D%5Bverdi%5D=&amp;hva%5B0%5D%5Bid%5D=853/når:2025-05-12", "Vegkart")</f>
        <v>Vegkart</v>
      </c>
      <c r="B1149">
        <v>1013714209</v>
      </c>
      <c r="C1149">
        <v>853</v>
      </c>
      <c r="D1149" t="s">
        <v>2935</v>
      </c>
      <c r="E1149">
        <v>9736</v>
      </c>
      <c r="F1149" t="s">
        <v>23479</v>
      </c>
      <c r="G1149">
        <v>2</v>
      </c>
      <c r="H1149" t="s">
        <v>3903</v>
      </c>
      <c r="J1149" t="s">
        <v>3904</v>
      </c>
      <c r="K1149" t="s">
        <v>21</v>
      </c>
      <c r="L1149" t="s">
        <v>80</v>
      </c>
      <c r="M1149" t="s">
        <v>81</v>
      </c>
      <c r="N1149" t="s">
        <v>3905</v>
      </c>
      <c r="O1149" t="s">
        <v>3906</v>
      </c>
      <c r="P1149" s="2" t="s">
        <v>165</v>
      </c>
      <c r="Q1149" t="s">
        <v>311</v>
      </c>
      <c r="R1149">
        <v>0.05</v>
      </c>
      <c r="S1149">
        <v>5.87</v>
      </c>
      <c r="T1149" t="s">
        <v>167</v>
      </c>
    </row>
    <row r="1150" spans="1:20" x14ac:dyDescent="0.25">
      <c r="A1150" s="1" t="str">
        <f>HYPERLINK("https://vegkart.atlas.vegvesen.no/#/@-23675.2,6842183.4,18/hva:hva%5B0%5D%5Bfilter%5D%5B0%5D%5Boperator%5D=%21%3D&amp;hva%5B0%5D%5Bfilter%5D%5B0%5D%5Btype_id%5D=9736&amp;hva%5B0%5D%5Bfilter%5D%5B0%5D%5Bverdi%5D=&amp;hva%5B0%5D%5Bid%5D=853/når:2021-07-08", "Vegkart")</f>
        <v>Vegkart</v>
      </c>
      <c r="B1150">
        <v>1013788210</v>
      </c>
      <c r="C1150">
        <v>853</v>
      </c>
      <c r="D1150" t="s">
        <v>2935</v>
      </c>
      <c r="E1150">
        <v>9736</v>
      </c>
      <c r="F1150" t="s">
        <v>23479</v>
      </c>
      <c r="G1150">
        <v>1</v>
      </c>
      <c r="H1150" t="s">
        <v>3907</v>
      </c>
      <c r="J1150" t="s">
        <v>3904</v>
      </c>
      <c r="K1150" t="s">
        <v>21</v>
      </c>
      <c r="L1150" t="s">
        <v>33</v>
      </c>
      <c r="M1150" t="s">
        <v>599</v>
      </c>
      <c r="N1150" t="s">
        <v>3908</v>
      </c>
      <c r="O1150" t="s">
        <v>3909</v>
      </c>
      <c r="P1150" s="2" t="s">
        <v>26</v>
      </c>
      <c r="Q1150" t="s">
        <v>50</v>
      </c>
      <c r="R1150">
        <v>0.05</v>
      </c>
      <c r="S1150">
        <v>0.05</v>
      </c>
      <c r="T1150" t="s">
        <v>3910</v>
      </c>
    </row>
    <row r="1151" spans="1:20" x14ac:dyDescent="0.25">
      <c r="A1151" s="1" t="str">
        <f>HYPERLINK("https://vegkart.atlas.vegvesen.no/#/@177868.9,6617768.1,18/hva:hva%5B0%5D%5Bfilter%5D%5B0%5D%5Boperator%5D=%21%3D&amp;hva%5B0%5D%5Bfilter%5D%5B0%5D%5Btype_id%5D=9736&amp;hva%5B0%5D%5Bfilter%5D%5B0%5D%5Bverdi%5D=&amp;hva%5B0%5D%5Bid%5D=853/når:2021-09-09", "Vegkart")</f>
        <v>Vegkart</v>
      </c>
      <c r="B1151">
        <v>1013985772</v>
      </c>
      <c r="C1151">
        <v>853</v>
      </c>
      <c r="D1151" t="s">
        <v>2935</v>
      </c>
      <c r="E1151">
        <v>9736</v>
      </c>
      <c r="F1151" t="s">
        <v>23479</v>
      </c>
      <c r="G1151">
        <v>1</v>
      </c>
      <c r="H1151" t="s">
        <v>3911</v>
      </c>
      <c r="J1151" t="s">
        <v>3912</v>
      </c>
      <c r="K1151" t="s">
        <v>197</v>
      </c>
      <c r="L1151" t="s">
        <v>22</v>
      </c>
      <c r="M1151" t="s">
        <v>3913</v>
      </c>
      <c r="N1151" t="s">
        <v>3914</v>
      </c>
      <c r="O1151" t="s">
        <v>3915</v>
      </c>
      <c r="P1151" s="2" t="s">
        <v>26</v>
      </c>
      <c r="Q1151" t="s">
        <v>50</v>
      </c>
      <c r="R1151">
        <v>0</v>
      </c>
      <c r="S1151">
        <v>4.78</v>
      </c>
      <c r="T1151" t="s">
        <v>3916</v>
      </c>
    </row>
    <row r="1152" spans="1:20" x14ac:dyDescent="0.25">
      <c r="A1152" s="1" t="str">
        <f>HYPERLINK("https://vegkart.atlas.vegvesen.no/#/@224826.9,6564418.7,18/hva:hva%5B0%5D%5Bfilter%5D%5B0%5D%5Boperator%5D=%21%3D&amp;hva%5B0%5D%5Bfilter%5D%5B0%5D%5Btype_id%5D=9736&amp;hva%5B0%5D%5Bfilter%5D%5B0%5D%5Bverdi%5D=&amp;hva%5B0%5D%5Bid%5D=853/når:2022-07-21", "Vegkart")</f>
        <v>Vegkart</v>
      </c>
      <c r="B1152">
        <v>1014048974</v>
      </c>
      <c r="C1152">
        <v>853</v>
      </c>
      <c r="D1152" t="s">
        <v>2935</v>
      </c>
      <c r="E1152">
        <v>9736</v>
      </c>
      <c r="F1152" t="s">
        <v>23479</v>
      </c>
      <c r="G1152">
        <v>3</v>
      </c>
      <c r="H1152" t="s">
        <v>3739</v>
      </c>
      <c r="J1152" t="s">
        <v>3912</v>
      </c>
      <c r="K1152" t="s">
        <v>81</v>
      </c>
      <c r="L1152" t="s">
        <v>33</v>
      </c>
      <c r="M1152" t="s">
        <v>3917</v>
      </c>
      <c r="N1152" t="s">
        <v>3918</v>
      </c>
      <c r="O1152" t="s">
        <v>3919</v>
      </c>
      <c r="P1152" s="2" t="s">
        <v>26</v>
      </c>
      <c r="Q1152" t="s">
        <v>50</v>
      </c>
      <c r="R1152">
        <v>0</v>
      </c>
      <c r="S1152">
        <v>4.8</v>
      </c>
      <c r="T1152" t="s">
        <v>3920</v>
      </c>
    </row>
    <row r="1153" spans="1:20" x14ac:dyDescent="0.25">
      <c r="A1153" s="1" t="str">
        <f>HYPERLINK("https://vegkart.atlas.vegvesen.no/#/@224832.5,6564434.5,18/hva:hva%5B0%5D%5Bfilter%5D%5B0%5D%5Boperator%5D=%21%3D&amp;hva%5B0%5D%5Bfilter%5D%5B0%5D%5Btype_id%5D=9736&amp;hva%5B0%5D%5Bfilter%5D%5B0%5D%5Bverdi%5D=&amp;hva%5B0%5D%5Bid%5D=853/når:2022-07-21", "Vegkart")</f>
        <v>Vegkart</v>
      </c>
      <c r="B1153">
        <v>1014048988</v>
      </c>
      <c r="C1153">
        <v>853</v>
      </c>
      <c r="D1153" t="s">
        <v>2935</v>
      </c>
      <c r="E1153">
        <v>9736</v>
      </c>
      <c r="F1153" t="s">
        <v>23479</v>
      </c>
      <c r="G1153">
        <v>3</v>
      </c>
      <c r="H1153" t="s">
        <v>3739</v>
      </c>
      <c r="J1153" t="s">
        <v>3912</v>
      </c>
      <c r="K1153" t="s">
        <v>81</v>
      </c>
      <c r="L1153" t="s">
        <v>33</v>
      </c>
      <c r="M1153" t="s">
        <v>3917</v>
      </c>
      <c r="N1153" t="s">
        <v>3918</v>
      </c>
      <c r="O1153" t="s">
        <v>3921</v>
      </c>
      <c r="P1153" s="2" t="s">
        <v>26</v>
      </c>
      <c r="Q1153" t="s">
        <v>50</v>
      </c>
      <c r="R1153">
        <v>0</v>
      </c>
      <c r="S1153">
        <v>4.75</v>
      </c>
      <c r="T1153" t="s">
        <v>3922</v>
      </c>
    </row>
    <row r="1154" spans="1:20" x14ac:dyDescent="0.25">
      <c r="A1154" s="1" t="str">
        <f>HYPERLINK("https://vegkart.atlas.vegvesen.no/#/@257505.8,6651436.5,18/hva:hva%5B0%5D%5Bfilter%5D%5B0%5D%5Boperator%5D=%21%3D&amp;hva%5B0%5D%5Bfilter%5D%5B0%5D%5Btype_id%5D=9736&amp;hva%5B0%5D%5Bfilter%5D%5B0%5D%5Bverdi%5D=&amp;hva%5B0%5D%5Bid%5D=853/når:2021-10-01", "Vegkart")</f>
        <v>Vegkart</v>
      </c>
      <c r="B1154">
        <v>1014062337</v>
      </c>
      <c r="C1154">
        <v>853</v>
      </c>
      <c r="D1154" t="s">
        <v>2935</v>
      </c>
      <c r="E1154">
        <v>9736</v>
      </c>
      <c r="F1154" t="s">
        <v>23479</v>
      </c>
      <c r="G1154">
        <v>1</v>
      </c>
      <c r="H1154" t="s">
        <v>3923</v>
      </c>
      <c r="J1154" t="s">
        <v>3912</v>
      </c>
      <c r="K1154" t="s">
        <v>335</v>
      </c>
      <c r="L1154" t="s">
        <v>113</v>
      </c>
      <c r="M1154" t="s">
        <v>336</v>
      </c>
      <c r="N1154" t="s">
        <v>3924</v>
      </c>
      <c r="O1154" t="s">
        <v>3925</v>
      </c>
      <c r="P1154" s="2" t="s">
        <v>26</v>
      </c>
      <c r="Q1154" t="s">
        <v>50</v>
      </c>
      <c r="R1154">
        <v>0</v>
      </c>
      <c r="S1154">
        <v>3.41</v>
      </c>
      <c r="T1154" t="s">
        <v>3926</v>
      </c>
    </row>
    <row r="1155" spans="1:20" x14ac:dyDescent="0.25">
      <c r="A1155" s="1" t="str">
        <f>HYPERLINK("https://vegkart.atlas.vegvesen.no/#/@269065.8,7036551.2,18/hva:hva%5B0%5D%5Bfilter%5D%5B0%5D%5Boperator%5D=%21%3D&amp;hva%5B0%5D%5Bfilter%5D%5B0%5D%5Btype_id%5D=9736&amp;hva%5B0%5D%5Bfilter%5D%5B0%5D%5Bverdi%5D=&amp;hva%5B0%5D%5Bid%5D=853/når:2021-10-12", "Vegkart")</f>
        <v>Vegkart</v>
      </c>
      <c r="B1155">
        <v>1014086730</v>
      </c>
      <c r="C1155">
        <v>853</v>
      </c>
      <c r="D1155" t="s">
        <v>2935</v>
      </c>
      <c r="E1155">
        <v>9736</v>
      </c>
      <c r="F1155" t="s">
        <v>23479</v>
      </c>
      <c r="G1155">
        <v>1</v>
      </c>
      <c r="H1155" t="s">
        <v>2322</v>
      </c>
      <c r="J1155" t="s">
        <v>3912</v>
      </c>
      <c r="K1155" t="s">
        <v>192</v>
      </c>
      <c r="L1155" t="s">
        <v>33</v>
      </c>
      <c r="M1155" t="s">
        <v>3927</v>
      </c>
      <c r="N1155" t="s">
        <v>3928</v>
      </c>
      <c r="O1155" t="s">
        <v>3929</v>
      </c>
      <c r="P1155" s="2" t="s">
        <v>26</v>
      </c>
      <c r="Q1155" t="s">
        <v>50</v>
      </c>
      <c r="R1155">
        <v>0</v>
      </c>
      <c r="S1155">
        <v>12.86</v>
      </c>
      <c r="T1155" t="s">
        <v>3930</v>
      </c>
    </row>
    <row r="1156" spans="1:20" x14ac:dyDescent="0.25">
      <c r="A1156" s="1" t="str">
        <f>HYPERLINK("https://vegkart.atlas.vegvesen.no/#/@268976.6,7036329.6,18/hva:hva%5B0%5D%5Bfilter%5D%5B0%5D%5Boperator%5D=%21%3D&amp;hva%5B0%5D%5Bfilter%5D%5B0%5D%5Btype_id%5D=9736&amp;hva%5B0%5D%5Bfilter%5D%5B0%5D%5Bverdi%5D=&amp;hva%5B0%5D%5Bid%5D=853/når:2021-10-12", "Vegkart")</f>
        <v>Vegkart</v>
      </c>
      <c r="B1156">
        <v>1014086731</v>
      </c>
      <c r="C1156">
        <v>853</v>
      </c>
      <c r="D1156" t="s">
        <v>2935</v>
      </c>
      <c r="E1156">
        <v>9736</v>
      </c>
      <c r="F1156" t="s">
        <v>23479</v>
      </c>
      <c r="G1156">
        <v>1</v>
      </c>
      <c r="H1156" t="s">
        <v>2322</v>
      </c>
      <c r="J1156" t="s">
        <v>3912</v>
      </c>
      <c r="K1156" t="s">
        <v>192</v>
      </c>
      <c r="L1156" t="s">
        <v>33</v>
      </c>
      <c r="M1156" t="s">
        <v>3927</v>
      </c>
      <c r="N1156" t="s">
        <v>3931</v>
      </c>
      <c r="O1156" t="s">
        <v>3932</v>
      </c>
      <c r="P1156" s="2" t="s">
        <v>26</v>
      </c>
      <c r="Q1156" t="s">
        <v>50</v>
      </c>
      <c r="R1156">
        <v>0</v>
      </c>
      <c r="S1156">
        <v>16.25</v>
      </c>
      <c r="T1156" t="s">
        <v>3933</v>
      </c>
    </row>
    <row r="1157" spans="1:20" x14ac:dyDescent="0.25">
      <c r="A1157" s="1" t="str">
        <f>HYPERLINK("https://vegkart.atlas.vegvesen.no/#/@269034.0,7036033.5,18/hva:hva%5B0%5D%5Bfilter%5D%5B0%5D%5Boperator%5D=%21%3D&amp;hva%5B0%5D%5Bfilter%5D%5B0%5D%5Btype_id%5D=9736&amp;hva%5B0%5D%5Bfilter%5D%5B0%5D%5Bverdi%5D=&amp;hva%5B0%5D%5Bid%5D=853/når:2021-10-12", "Vegkart")</f>
        <v>Vegkart</v>
      </c>
      <c r="B1157">
        <v>1014086732</v>
      </c>
      <c r="C1157">
        <v>853</v>
      </c>
      <c r="D1157" t="s">
        <v>2935</v>
      </c>
      <c r="E1157">
        <v>9736</v>
      </c>
      <c r="F1157" t="s">
        <v>23479</v>
      </c>
      <c r="G1157">
        <v>1</v>
      </c>
      <c r="H1157" t="s">
        <v>2322</v>
      </c>
      <c r="J1157" t="s">
        <v>3912</v>
      </c>
      <c r="K1157" t="s">
        <v>192</v>
      </c>
      <c r="L1157" t="s">
        <v>33</v>
      </c>
      <c r="M1157" t="s">
        <v>3927</v>
      </c>
      <c r="N1157" t="s">
        <v>3934</v>
      </c>
      <c r="O1157" t="s">
        <v>3935</v>
      </c>
      <c r="P1157" s="2" t="s">
        <v>26</v>
      </c>
      <c r="Q1157" t="s">
        <v>50</v>
      </c>
      <c r="R1157">
        <v>0</v>
      </c>
      <c r="S1157">
        <v>16.05</v>
      </c>
      <c r="T1157" t="s">
        <v>3936</v>
      </c>
    </row>
    <row r="1158" spans="1:20" x14ac:dyDescent="0.25">
      <c r="A1158" s="1" t="str">
        <f>HYPERLINK("https://vegkart.atlas.vegvesen.no/#/@269148.4,7035753.7,18/hva:hva%5B0%5D%5Bfilter%5D%5B0%5D%5Boperator%5D=%21%3D&amp;hva%5B0%5D%5Bfilter%5D%5B0%5D%5Btype_id%5D=9736&amp;hva%5B0%5D%5Bfilter%5D%5B0%5D%5Bverdi%5D=&amp;hva%5B0%5D%5Bid%5D=853/når:2021-10-12", "Vegkart")</f>
        <v>Vegkart</v>
      </c>
      <c r="B1158">
        <v>1014086735</v>
      </c>
      <c r="C1158">
        <v>853</v>
      </c>
      <c r="D1158" t="s">
        <v>2935</v>
      </c>
      <c r="E1158">
        <v>9736</v>
      </c>
      <c r="F1158" t="s">
        <v>23479</v>
      </c>
      <c r="G1158">
        <v>1</v>
      </c>
      <c r="H1158" t="s">
        <v>2322</v>
      </c>
      <c r="J1158" t="s">
        <v>3912</v>
      </c>
      <c r="K1158" t="s">
        <v>192</v>
      </c>
      <c r="L1158" t="s">
        <v>33</v>
      </c>
      <c r="M1158" t="s">
        <v>3927</v>
      </c>
      <c r="N1158" t="s">
        <v>3937</v>
      </c>
      <c r="O1158" t="s">
        <v>3938</v>
      </c>
      <c r="P1158" s="2" t="s">
        <v>26</v>
      </c>
      <c r="Q1158" t="s">
        <v>50</v>
      </c>
      <c r="R1158">
        <v>0</v>
      </c>
      <c r="S1158">
        <v>11.01</v>
      </c>
      <c r="T1158" t="s">
        <v>3939</v>
      </c>
    </row>
    <row r="1159" spans="1:20" x14ac:dyDescent="0.25">
      <c r="A1159" s="1" t="str">
        <f>HYPERLINK("https://vegkart.atlas.vegvesen.no/#/@-35687.6,6576432.5,18/hva:hva%5B0%5D%5Bfilter%5D%5B0%5D%5Boperator%5D=%21%3D&amp;hva%5B0%5D%5Bfilter%5D%5B0%5D%5Btype_id%5D=9736&amp;hva%5B0%5D%5Bfilter%5D%5B0%5D%5Bverdi%5D=&amp;hva%5B0%5D%5Bid%5D=853/når:2021-10-27", "Vegkart")</f>
        <v>Vegkart</v>
      </c>
      <c r="B1159">
        <v>1014139589</v>
      </c>
      <c r="C1159">
        <v>853</v>
      </c>
      <c r="D1159" t="s">
        <v>2935</v>
      </c>
      <c r="E1159">
        <v>9736</v>
      </c>
      <c r="F1159" t="s">
        <v>23479</v>
      </c>
      <c r="G1159">
        <v>1</v>
      </c>
      <c r="H1159" t="s">
        <v>3940</v>
      </c>
      <c r="J1159" t="s">
        <v>3941</v>
      </c>
      <c r="K1159" t="s">
        <v>170</v>
      </c>
      <c r="L1159" t="s">
        <v>80</v>
      </c>
      <c r="M1159" t="s">
        <v>81</v>
      </c>
      <c r="N1159" t="s">
        <v>3942</v>
      </c>
      <c r="O1159" t="s">
        <v>3943</v>
      </c>
      <c r="P1159" s="2" t="s">
        <v>26</v>
      </c>
      <c r="Q1159" t="s">
        <v>50</v>
      </c>
      <c r="R1159">
        <v>0</v>
      </c>
      <c r="S1159">
        <v>3.34</v>
      </c>
      <c r="T1159" t="s">
        <v>3944</v>
      </c>
    </row>
    <row r="1160" spans="1:20" x14ac:dyDescent="0.25">
      <c r="A1160" s="1" t="str">
        <f>HYPERLINK("https://vegkart.atlas.vegvesen.no/#/@-35465.1,6576315.0,18/hva:hva%5B0%5D%5Bfilter%5D%5B0%5D%5Boperator%5D=%21%3D&amp;hva%5B0%5D%5Bfilter%5D%5B0%5D%5Btype_id%5D=9736&amp;hva%5B0%5D%5Bfilter%5D%5B0%5D%5Bverdi%5D=&amp;hva%5B0%5D%5Bid%5D=853/når:2021-10-27", "Vegkart")</f>
        <v>Vegkart</v>
      </c>
      <c r="B1160">
        <v>1014139630</v>
      </c>
      <c r="C1160">
        <v>853</v>
      </c>
      <c r="D1160" t="s">
        <v>2935</v>
      </c>
      <c r="E1160">
        <v>9736</v>
      </c>
      <c r="F1160" t="s">
        <v>23479</v>
      </c>
      <c r="G1160">
        <v>1</v>
      </c>
      <c r="H1160" t="s">
        <v>3940</v>
      </c>
      <c r="J1160" t="s">
        <v>3941</v>
      </c>
      <c r="K1160" t="s">
        <v>170</v>
      </c>
      <c r="L1160" t="s">
        <v>80</v>
      </c>
      <c r="M1160" t="s">
        <v>81</v>
      </c>
      <c r="N1160" t="s">
        <v>3945</v>
      </c>
      <c r="O1160" t="s">
        <v>3946</v>
      </c>
      <c r="P1160" s="2" t="s">
        <v>26</v>
      </c>
      <c r="Q1160" t="s">
        <v>50</v>
      </c>
      <c r="R1160">
        <v>0</v>
      </c>
      <c r="S1160">
        <v>3.27</v>
      </c>
      <c r="T1160" t="s">
        <v>3947</v>
      </c>
    </row>
    <row r="1161" spans="1:20" x14ac:dyDescent="0.25">
      <c r="A1161" s="1" t="str">
        <f>HYPERLINK("https://vegkart.atlas.vegvesen.no/#/@228352.8,7068721.1,18/hva:hva%5B0%5D%5Bfilter%5D%5B0%5D%5Boperator%5D=%21%3D&amp;hva%5B0%5D%5Bfilter%5D%5B0%5D%5Btype_id%5D=9736&amp;hva%5B0%5D%5Bfilter%5D%5B0%5D%5Bverdi%5D=&amp;hva%5B0%5D%5Bid%5D=853/når:2021-12-02", "Vegkart")</f>
        <v>Vegkart</v>
      </c>
      <c r="B1161">
        <v>1014362621</v>
      </c>
      <c r="C1161">
        <v>853</v>
      </c>
      <c r="D1161" t="s">
        <v>2935</v>
      </c>
      <c r="E1161">
        <v>9736</v>
      </c>
      <c r="F1161" t="s">
        <v>23479</v>
      </c>
      <c r="G1161">
        <v>1</v>
      </c>
      <c r="H1161" t="s">
        <v>3948</v>
      </c>
      <c r="J1161" t="s">
        <v>3949</v>
      </c>
      <c r="K1161" t="s">
        <v>192</v>
      </c>
      <c r="L1161" t="s">
        <v>33</v>
      </c>
      <c r="M1161" t="s">
        <v>3950</v>
      </c>
      <c r="N1161" t="s">
        <v>3951</v>
      </c>
      <c r="O1161" t="s">
        <v>3952</v>
      </c>
      <c r="P1161" s="2" t="s">
        <v>26</v>
      </c>
      <c r="Q1161" t="s">
        <v>50</v>
      </c>
      <c r="R1161">
        <v>0</v>
      </c>
      <c r="S1161">
        <v>4.88</v>
      </c>
      <c r="T1161" t="s">
        <v>3953</v>
      </c>
    </row>
    <row r="1162" spans="1:20" x14ac:dyDescent="0.25">
      <c r="A1162" s="1" t="str">
        <f>HYPERLINK("https://vegkart.atlas.vegvesen.no/#/@228502.5,7068753.2,18/hva:hva%5B0%5D%5Bfilter%5D%5B0%5D%5Boperator%5D=%21%3D&amp;hva%5B0%5D%5Bfilter%5D%5B0%5D%5Btype_id%5D=9736&amp;hva%5B0%5D%5Bfilter%5D%5B0%5D%5Bverdi%5D=&amp;hva%5B0%5D%5Bid%5D=853/når:2021-12-02", "Vegkart")</f>
        <v>Vegkart</v>
      </c>
      <c r="B1162">
        <v>1014362622</v>
      </c>
      <c r="C1162">
        <v>853</v>
      </c>
      <c r="D1162" t="s">
        <v>2935</v>
      </c>
      <c r="E1162">
        <v>9736</v>
      </c>
      <c r="F1162" t="s">
        <v>23479</v>
      </c>
      <c r="G1162">
        <v>1</v>
      </c>
      <c r="H1162" t="s">
        <v>3948</v>
      </c>
      <c r="J1162" t="s">
        <v>3949</v>
      </c>
      <c r="K1162" t="s">
        <v>192</v>
      </c>
      <c r="L1162" t="s">
        <v>33</v>
      </c>
      <c r="M1162" t="s">
        <v>3950</v>
      </c>
      <c r="N1162" t="s">
        <v>3954</v>
      </c>
      <c r="O1162" t="s">
        <v>3955</v>
      </c>
      <c r="P1162" s="2" t="s">
        <v>26</v>
      </c>
      <c r="Q1162" t="s">
        <v>50</v>
      </c>
      <c r="R1162">
        <v>0</v>
      </c>
      <c r="S1162">
        <v>4.8899999999999997</v>
      </c>
      <c r="T1162" t="s">
        <v>3956</v>
      </c>
    </row>
    <row r="1163" spans="1:20" x14ac:dyDescent="0.25">
      <c r="A1163" s="1" t="str">
        <f>HYPERLINK("https://vegkart.atlas.vegvesen.no/#/@228753.2,7068810.4,18/hva:hva%5B0%5D%5Bfilter%5D%5B0%5D%5Boperator%5D=%21%3D&amp;hva%5B0%5D%5Bfilter%5D%5B0%5D%5Btype_id%5D=9736&amp;hva%5B0%5D%5Bfilter%5D%5B0%5D%5Bverdi%5D=&amp;hva%5B0%5D%5Bid%5D=853/når:2021-12-02", "Vegkart")</f>
        <v>Vegkart</v>
      </c>
      <c r="B1163">
        <v>1014362623</v>
      </c>
      <c r="C1163">
        <v>853</v>
      </c>
      <c r="D1163" t="s">
        <v>2935</v>
      </c>
      <c r="E1163">
        <v>9736</v>
      </c>
      <c r="F1163" t="s">
        <v>23479</v>
      </c>
      <c r="G1163">
        <v>1</v>
      </c>
      <c r="H1163" t="s">
        <v>3948</v>
      </c>
      <c r="J1163" t="s">
        <v>3949</v>
      </c>
      <c r="K1163" t="s">
        <v>192</v>
      </c>
      <c r="L1163" t="s">
        <v>33</v>
      </c>
      <c r="M1163" t="s">
        <v>3950</v>
      </c>
      <c r="N1163" t="s">
        <v>3957</v>
      </c>
      <c r="O1163" t="s">
        <v>3958</v>
      </c>
      <c r="P1163" s="2" t="s">
        <v>26</v>
      </c>
      <c r="Q1163" t="s">
        <v>50</v>
      </c>
      <c r="R1163">
        <v>0</v>
      </c>
      <c r="S1163">
        <v>4.93</v>
      </c>
      <c r="T1163" t="s">
        <v>3959</v>
      </c>
    </row>
    <row r="1164" spans="1:20" x14ac:dyDescent="0.25">
      <c r="A1164" s="1" t="str">
        <f>HYPERLINK("https://vegkart.atlas.vegvesen.no/#/@229168.9,7068911.5,18/hva:hva%5B0%5D%5Bfilter%5D%5B0%5D%5Boperator%5D=%21%3D&amp;hva%5B0%5D%5Bfilter%5D%5B0%5D%5Btype_id%5D=9736&amp;hva%5B0%5D%5Bfilter%5D%5B0%5D%5Bverdi%5D=&amp;hva%5B0%5D%5Bid%5D=853/når:2021-12-02", "Vegkart")</f>
        <v>Vegkart</v>
      </c>
      <c r="B1164">
        <v>1014362624</v>
      </c>
      <c r="C1164">
        <v>853</v>
      </c>
      <c r="D1164" t="s">
        <v>2935</v>
      </c>
      <c r="E1164">
        <v>9736</v>
      </c>
      <c r="F1164" t="s">
        <v>23479</v>
      </c>
      <c r="G1164">
        <v>1</v>
      </c>
      <c r="H1164" t="s">
        <v>3948</v>
      </c>
      <c r="J1164" t="s">
        <v>3949</v>
      </c>
      <c r="K1164" t="s">
        <v>192</v>
      </c>
      <c r="L1164" t="s">
        <v>33</v>
      </c>
      <c r="M1164" t="s">
        <v>3950</v>
      </c>
      <c r="N1164" t="s">
        <v>3960</v>
      </c>
      <c r="O1164" t="s">
        <v>3961</v>
      </c>
      <c r="P1164" s="2" t="s">
        <v>26</v>
      </c>
      <c r="Q1164" t="s">
        <v>50</v>
      </c>
      <c r="R1164">
        <v>0</v>
      </c>
      <c r="S1164">
        <v>4.8899999999999997</v>
      </c>
      <c r="T1164" t="s">
        <v>3962</v>
      </c>
    </row>
    <row r="1165" spans="1:20" x14ac:dyDescent="0.25">
      <c r="A1165" s="1" t="str">
        <f>HYPERLINK("https://vegkart.atlas.vegvesen.no/#/@230260.5,7069353.4,18/hva:hva%5B0%5D%5Bfilter%5D%5B0%5D%5Boperator%5D=%21%3D&amp;hva%5B0%5D%5Bfilter%5D%5B0%5D%5Btype_id%5D=9736&amp;hva%5B0%5D%5Bfilter%5D%5B0%5D%5Bverdi%5D=&amp;hva%5B0%5D%5Bid%5D=853/når:2021-12-02", "Vegkart")</f>
        <v>Vegkart</v>
      </c>
      <c r="B1165">
        <v>1014362625</v>
      </c>
      <c r="C1165">
        <v>853</v>
      </c>
      <c r="D1165" t="s">
        <v>2935</v>
      </c>
      <c r="E1165">
        <v>9736</v>
      </c>
      <c r="F1165" t="s">
        <v>23479</v>
      </c>
      <c r="G1165">
        <v>1</v>
      </c>
      <c r="H1165" t="s">
        <v>3948</v>
      </c>
      <c r="J1165" t="s">
        <v>3949</v>
      </c>
      <c r="K1165" t="s">
        <v>192</v>
      </c>
      <c r="L1165" t="s">
        <v>33</v>
      </c>
      <c r="M1165" t="s">
        <v>3950</v>
      </c>
      <c r="N1165" t="s">
        <v>3963</v>
      </c>
      <c r="O1165" t="s">
        <v>3964</v>
      </c>
      <c r="P1165" s="2" t="s">
        <v>26</v>
      </c>
      <c r="Q1165" t="s">
        <v>50</v>
      </c>
      <c r="R1165">
        <v>0</v>
      </c>
      <c r="S1165">
        <v>4.6500000000000004</v>
      </c>
      <c r="T1165" t="s">
        <v>3965</v>
      </c>
    </row>
    <row r="1166" spans="1:20" x14ac:dyDescent="0.25">
      <c r="A1166" s="1" t="str">
        <f>HYPERLINK("https://vegkart.atlas.vegvesen.no/#/@230473.1,7069673.2,18/hva:hva%5B0%5D%5Bfilter%5D%5B0%5D%5Boperator%5D=%21%3D&amp;hva%5B0%5D%5Bfilter%5D%5B0%5D%5Btype_id%5D=9736&amp;hva%5B0%5D%5Bfilter%5D%5B0%5D%5Bverdi%5D=&amp;hva%5B0%5D%5Bid%5D=853/når:2021-12-02", "Vegkart")</f>
        <v>Vegkart</v>
      </c>
      <c r="B1166">
        <v>1014362626</v>
      </c>
      <c r="C1166">
        <v>853</v>
      </c>
      <c r="D1166" t="s">
        <v>2935</v>
      </c>
      <c r="E1166">
        <v>9736</v>
      </c>
      <c r="F1166" t="s">
        <v>23479</v>
      </c>
      <c r="G1166">
        <v>1</v>
      </c>
      <c r="H1166" t="s">
        <v>3948</v>
      </c>
      <c r="J1166" t="s">
        <v>3949</v>
      </c>
      <c r="K1166" t="s">
        <v>192</v>
      </c>
      <c r="L1166" t="s">
        <v>33</v>
      </c>
      <c r="M1166" t="s">
        <v>3950</v>
      </c>
      <c r="N1166" t="s">
        <v>3966</v>
      </c>
      <c r="O1166" t="s">
        <v>3967</v>
      </c>
      <c r="P1166" s="2" t="s">
        <v>26</v>
      </c>
      <c r="Q1166" t="s">
        <v>50</v>
      </c>
      <c r="R1166">
        <v>0</v>
      </c>
      <c r="S1166">
        <v>4.9400000000000004</v>
      </c>
      <c r="T1166" t="s">
        <v>3968</v>
      </c>
    </row>
    <row r="1167" spans="1:20" x14ac:dyDescent="0.25">
      <c r="A1167" s="1" t="str">
        <f>HYPERLINK("https://vegkart.atlas.vegvesen.no/#/@-35915.7,6733145.5,18/hva:hva%5B0%5D%5Bfilter%5D%5B0%5D%5Boperator%5D=%21%3D&amp;hva%5B0%5D%5Bfilter%5D%5B0%5D%5Btype_id%5D=9736&amp;hva%5B0%5D%5Bfilter%5D%5B0%5D%5Bverdi%5D=&amp;hva%5B0%5D%5Bid%5D=853/når:2025-07-01", "Vegkart")</f>
        <v>Vegkart</v>
      </c>
      <c r="B1167">
        <v>1014890690</v>
      </c>
      <c r="C1167">
        <v>853</v>
      </c>
      <c r="D1167" t="s">
        <v>2935</v>
      </c>
      <c r="E1167">
        <v>9736</v>
      </c>
      <c r="F1167" t="s">
        <v>23479</v>
      </c>
      <c r="G1167">
        <v>2</v>
      </c>
      <c r="H1167" t="s">
        <v>3969</v>
      </c>
      <c r="J1167" t="s">
        <v>3970</v>
      </c>
      <c r="K1167" t="s">
        <v>21</v>
      </c>
      <c r="L1167" t="s">
        <v>113</v>
      </c>
      <c r="M1167" t="s">
        <v>3971</v>
      </c>
      <c r="N1167" t="s">
        <v>3972</v>
      </c>
      <c r="O1167" t="s">
        <v>3973</v>
      </c>
      <c r="P1167" s="2" t="s">
        <v>165</v>
      </c>
      <c r="Q1167" t="s">
        <v>311</v>
      </c>
      <c r="R1167">
        <v>0.85</v>
      </c>
      <c r="S1167">
        <v>5.78</v>
      </c>
      <c r="T1167" t="s">
        <v>167</v>
      </c>
    </row>
    <row r="1168" spans="1:20" x14ac:dyDescent="0.25">
      <c r="A1168" s="1" t="str">
        <f>HYPERLINK("https://vegkart.atlas.vegvesen.no/#/@273040.7,7041534.1,18/hva:hva%5B0%5D%5Bfilter%5D%5B0%5D%5Boperator%5D=%21%3D&amp;hva%5B0%5D%5Bfilter%5D%5B0%5D%5Btype_id%5D=9736&amp;hva%5B0%5D%5Bfilter%5D%5B0%5D%5Bverdi%5D=&amp;hva%5B0%5D%5Bid%5D=853/når:2022-02-15", "Vegkart")</f>
        <v>Vegkart</v>
      </c>
      <c r="B1168">
        <v>1015019725</v>
      </c>
      <c r="C1168">
        <v>853</v>
      </c>
      <c r="D1168" t="s">
        <v>2935</v>
      </c>
      <c r="E1168">
        <v>9736</v>
      </c>
      <c r="F1168" t="s">
        <v>23479</v>
      </c>
      <c r="G1168">
        <v>1</v>
      </c>
      <c r="H1168" t="s">
        <v>2828</v>
      </c>
      <c r="J1168" t="s">
        <v>3974</v>
      </c>
      <c r="K1168" t="s">
        <v>192</v>
      </c>
      <c r="L1168" t="s">
        <v>33</v>
      </c>
      <c r="M1168" t="s">
        <v>3975</v>
      </c>
      <c r="N1168" t="s">
        <v>3976</v>
      </c>
      <c r="O1168" t="s">
        <v>3977</v>
      </c>
      <c r="P1168" s="2" t="s">
        <v>26</v>
      </c>
      <c r="Q1168" t="s">
        <v>50</v>
      </c>
      <c r="R1168">
        <v>0</v>
      </c>
      <c r="S1168">
        <v>7.11</v>
      </c>
      <c r="T1168" t="s">
        <v>3978</v>
      </c>
    </row>
    <row r="1169" spans="1:20" x14ac:dyDescent="0.25">
      <c r="A1169" s="1" t="str">
        <f>HYPERLINK("https://vegkart.atlas.vegvesen.no/#/@243447.8,7080523.8,18/hva:hva%5B0%5D%5Bfilter%5D%5B0%5D%5Boperator%5D=%21%3D&amp;hva%5B0%5D%5Bfilter%5D%5B0%5D%5Btype_id%5D=9736&amp;hva%5B0%5D%5Bfilter%5D%5B0%5D%5Bverdi%5D=&amp;hva%5B0%5D%5Bid%5D=853/når:2022-02-15", "Vegkart")</f>
        <v>Vegkart</v>
      </c>
      <c r="B1169">
        <v>1015019765</v>
      </c>
      <c r="C1169">
        <v>853</v>
      </c>
      <c r="D1169" t="s">
        <v>2935</v>
      </c>
      <c r="E1169">
        <v>9736</v>
      </c>
      <c r="F1169" t="s">
        <v>23479</v>
      </c>
      <c r="G1169">
        <v>1</v>
      </c>
      <c r="H1169" t="s">
        <v>2828</v>
      </c>
      <c r="J1169" t="s">
        <v>3974</v>
      </c>
      <c r="K1169" t="s">
        <v>192</v>
      </c>
      <c r="L1169" t="s">
        <v>33</v>
      </c>
      <c r="M1169" t="s">
        <v>3979</v>
      </c>
      <c r="N1169" t="s">
        <v>3980</v>
      </c>
      <c r="O1169" t="s">
        <v>3981</v>
      </c>
      <c r="P1169" s="2" t="s">
        <v>26</v>
      </c>
      <c r="Q1169" t="s">
        <v>50</v>
      </c>
      <c r="R1169">
        <v>0</v>
      </c>
      <c r="S1169">
        <v>4.38</v>
      </c>
      <c r="T1169" t="s">
        <v>3982</v>
      </c>
    </row>
    <row r="1170" spans="1:20" x14ac:dyDescent="0.25">
      <c r="A1170" s="1" t="str">
        <f>HYPERLINK("https://vegkart.atlas.vegvesen.no/#/@258407.9,7035008.5,18/hva:hva%5B0%5D%5Bfilter%5D%5B0%5D%5Boperator%5D=%21%3D&amp;hva%5B0%5D%5Bfilter%5D%5B0%5D%5Btype_id%5D=9736&amp;hva%5B0%5D%5Bfilter%5D%5B0%5D%5Bverdi%5D=&amp;hva%5B0%5D%5Bid%5D=853/når:2022-02-25", "Vegkart")</f>
        <v>Vegkart</v>
      </c>
      <c r="B1170">
        <v>1015062959</v>
      </c>
      <c r="C1170">
        <v>853</v>
      </c>
      <c r="D1170" t="s">
        <v>2935</v>
      </c>
      <c r="E1170">
        <v>9736</v>
      </c>
      <c r="F1170" t="s">
        <v>23479</v>
      </c>
      <c r="G1170">
        <v>1</v>
      </c>
      <c r="H1170" t="s">
        <v>3983</v>
      </c>
      <c r="J1170" t="s">
        <v>3974</v>
      </c>
      <c r="K1170" t="s">
        <v>192</v>
      </c>
      <c r="L1170" t="s">
        <v>33</v>
      </c>
      <c r="M1170" t="s">
        <v>3984</v>
      </c>
      <c r="N1170" t="s">
        <v>3985</v>
      </c>
      <c r="O1170" t="s">
        <v>3986</v>
      </c>
      <c r="P1170" s="2" t="s">
        <v>26</v>
      </c>
      <c r="Q1170" t="s">
        <v>50</v>
      </c>
      <c r="R1170">
        <v>0</v>
      </c>
      <c r="S1170">
        <v>4.6900000000000004</v>
      </c>
      <c r="T1170" t="s">
        <v>3987</v>
      </c>
    </row>
    <row r="1171" spans="1:20" x14ac:dyDescent="0.25">
      <c r="A1171" s="1" t="str">
        <f>HYPERLINK("https://vegkart.atlas.vegvesen.no/#/@321304.4,7198357.9,18/hva:hva%5B0%5D%5Bfilter%5D%5B0%5D%5Boperator%5D=%21%3D&amp;hva%5B0%5D%5Bfilter%5D%5B0%5D%5Btype_id%5D=9736&amp;hva%5B0%5D%5Bfilter%5D%5B0%5D%5Bverdi%5D=&amp;hva%5B0%5D%5Bid%5D=853/når:2022-06-07", "Vegkart")</f>
        <v>Vegkart</v>
      </c>
      <c r="B1171">
        <v>1015582446</v>
      </c>
      <c r="C1171">
        <v>853</v>
      </c>
      <c r="D1171" t="s">
        <v>2935</v>
      </c>
      <c r="E1171">
        <v>9736</v>
      </c>
      <c r="F1171" t="s">
        <v>23479</v>
      </c>
      <c r="G1171">
        <v>1</v>
      </c>
      <c r="H1171" t="s">
        <v>3988</v>
      </c>
      <c r="J1171" t="s">
        <v>3989</v>
      </c>
      <c r="K1171" t="s">
        <v>192</v>
      </c>
      <c r="L1171" t="s">
        <v>33</v>
      </c>
      <c r="M1171" t="s">
        <v>3990</v>
      </c>
      <c r="N1171" t="s">
        <v>3991</v>
      </c>
      <c r="O1171" t="s">
        <v>3992</v>
      </c>
      <c r="P1171" s="2" t="s">
        <v>26</v>
      </c>
      <c r="Q1171" t="s">
        <v>50</v>
      </c>
      <c r="R1171">
        <v>0</v>
      </c>
      <c r="S1171">
        <v>4.6100000000000003</v>
      </c>
      <c r="T1171" t="s">
        <v>3993</v>
      </c>
    </row>
    <row r="1172" spans="1:20" x14ac:dyDescent="0.25">
      <c r="A1172" s="1" t="str">
        <f>HYPERLINK("https://vegkart.atlas.vegvesen.no/#/@313546.0,7071188.7,18/hva:hva%5B0%5D%5Bfilter%5D%5B0%5D%5Boperator%5D=%21%3D&amp;hva%5B0%5D%5Bfilter%5D%5B0%5D%5Btype_id%5D=9736&amp;hva%5B0%5D%5Bfilter%5D%5B0%5D%5Bverdi%5D=&amp;hva%5B0%5D%5Bid%5D=853/når:2022-08-17", "Vegkart")</f>
        <v>Vegkart</v>
      </c>
      <c r="B1172">
        <v>1016120951</v>
      </c>
      <c r="C1172">
        <v>853</v>
      </c>
      <c r="D1172" t="s">
        <v>2935</v>
      </c>
      <c r="E1172">
        <v>9736</v>
      </c>
      <c r="F1172" t="s">
        <v>23479</v>
      </c>
      <c r="G1172">
        <v>1</v>
      </c>
      <c r="H1172" t="s">
        <v>3994</v>
      </c>
      <c r="J1172" t="s">
        <v>3995</v>
      </c>
      <c r="K1172" t="s">
        <v>192</v>
      </c>
      <c r="L1172" t="s">
        <v>33</v>
      </c>
      <c r="M1172" t="s">
        <v>3996</v>
      </c>
      <c r="N1172" t="s">
        <v>3997</v>
      </c>
      <c r="O1172" t="s">
        <v>3998</v>
      </c>
      <c r="P1172" s="2" t="s">
        <v>26</v>
      </c>
      <c r="Q1172" t="s">
        <v>50</v>
      </c>
      <c r="R1172">
        <v>0.38</v>
      </c>
      <c r="S1172">
        <v>0.38</v>
      </c>
      <c r="T1172" t="s">
        <v>3999</v>
      </c>
    </row>
    <row r="1173" spans="1:20" x14ac:dyDescent="0.25">
      <c r="A1173" s="1" t="str">
        <f>HYPERLINK("https://vegkart.atlas.vegvesen.no/#/@276947.3,6652634.0,18/hva:hva%5B0%5D%5Bfilter%5D%5B0%5D%5Boperator%5D=%21%3D&amp;hva%5B0%5D%5Bfilter%5D%5B0%5D%5Btype_id%5D=9736&amp;hva%5B0%5D%5Bfilter%5D%5B0%5D%5Bverdi%5D=&amp;hva%5B0%5D%5Bid%5D=853/når:2024-03-19", "Vegkart")</f>
        <v>Vegkart</v>
      </c>
      <c r="B1173">
        <v>1016256753</v>
      </c>
      <c r="C1173">
        <v>853</v>
      </c>
      <c r="D1173" t="s">
        <v>2935</v>
      </c>
      <c r="E1173">
        <v>9736</v>
      </c>
      <c r="F1173" t="s">
        <v>23479</v>
      </c>
      <c r="G1173">
        <v>2</v>
      </c>
      <c r="H1173" t="s">
        <v>521</v>
      </c>
      <c r="J1173" t="s">
        <v>3995</v>
      </c>
      <c r="K1173" t="s">
        <v>132</v>
      </c>
      <c r="L1173" t="s">
        <v>33</v>
      </c>
      <c r="M1173" t="s">
        <v>4000</v>
      </c>
      <c r="N1173" t="s">
        <v>4001</v>
      </c>
      <c r="O1173" t="s">
        <v>4002</v>
      </c>
      <c r="P1173" s="2" t="s">
        <v>26</v>
      </c>
      <c r="Q1173" t="s">
        <v>50</v>
      </c>
      <c r="R1173">
        <v>0</v>
      </c>
      <c r="S1173">
        <v>5.04</v>
      </c>
      <c r="T1173" t="s">
        <v>4003</v>
      </c>
    </row>
    <row r="1174" spans="1:20" x14ac:dyDescent="0.25">
      <c r="A1174" s="1" t="str">
        <f>HYPERLINK("https://vegkart.atlas.vegvesen.no/#/@276937.5,6652624.8,18/hva:hva%5B0%5D%5Bfilter%5D%5B0%5D%5Boperator%5D=%21%3D&amp;hva%5B0%5D%5Bfilter%5D%5B0%5D%5Btype_id%5D=9736&amp;hva%5B0%5D%5Bfilter%5D%5B0%5D%5Bverdi%5D=&amp;hva%5B0%5D%5Bid%5D=853/når:2024-03-19", "Vegkart")</f>
        <v>Vegkart</v>
      </c>
      <c r="B1174">
        <v>1016256754</v>
      </c>
      <c r="C1174">
        <v>853</v>
      </c>
      <c r="D1174" t="s">
        <v>2935</v>
      </c>
      <c r="E1174">
        <v>9736</v>
      </c>
      <c r="F1174" t="s">
        <v>23479</v>
      </c>
      <c r="G1174">
        <v>2</v>
      </c>
      <c r="H1174" t="s">
        <v>521</v>
      </c>
      <c r="J1174" t="s">
        <v>3995</v>
      </c>
      <c r="K1174" t="s">
        <v>132</v>
      </c>
      <c r="L1174" t="s">
        <v>33</v>
      </c>
      <c r="M1174" t="s">
        <v>4000</v>
      </c>
      <c r="N1174" t="s">
        <v>4004</v>
      </c>
      <c r="O1174" t="s">
        <v>4005</v>
      </c>
      <c r="P1174" s="2" t="s">
        <v>26</v>
      </c>
      <c r="Q1174" t="s">
        <v>50</v>
      </c>
      <c r="R1174">
        <v>0</v>
      </c>
      <c r="S1174">
        <v>4.93</v>
      </c>
      <c r="T1174" t="s">
        <v>4006</v>
      </c>
    </row>
    <row r="1175" spans="1:20" x14ac:dyDescent="0.25">
      <c r="A1175" s="1" t="str">
        <f>HYPERLINK("https://vegkart.atlas.vegvesen.no/#/@276941.1,6652615.0,18/hva:hva%5B0%5D%5Bfilter%5D%5B0%5D%5Boperator%5D=%21%3D&amp;hva%5B0%5D%5Bfilter%5D%5B0%5D%5Btype_id%5D=9736&amp;hva%5B0%5D%5Bfilter%5D%5B0%5D%5Bverdi%5D=&amp;hva%5B0%5D%5Bid%5D=853/når:2025-10-22", "Vegkart")</f>
        <v>Vegkart</v>
      </c>
      <c r="B1175">
        <v>1016256755</v>
      </c>
      <c r="C1175">
        <v>853</v>
      </c>
      <c r="D1175" t="s">
        <v>2935</v>
      </c>
      <c r="E1175">
        <v>9736</v>
      </c>
      <c r="F1175" t="s">
        <v>23479</v>
      </c>
      <c r="G1175">
        <v>3</v>
      </c>
      <c r="H1175" t="s">
        <v>4007</v>
      </c>
      <c r="J1175" t="s">
        <v>3995</v>
      </c>
      <c r="K1175" t="s">
        <v>132</v>
      </c>
      <c r="L1175" t="s">
        <v>33</v>
      </c>
      <c r="M1175" t="s">
        <v>4008</v>
      </c>
      <c r="N1175" t="s">
        <v>4009</v>
      </c>
      <c r="O1175" t="s">
        <v>4010</v>
      </c>
      <c r="P1175" s="2" t="s">
        <v>26</v>
      </c>
      <c r="Q1175" t="s">
        <v>50</v>
      </c>
      <c r="R1175">
        <v>0</v>
      </c>
      <c r="S1175">
        <v>4.9800000000000004</v>
      </c>
      <c r="T1175" t="s">
        <v>4011</v>
      </c>
    </row>
    <row r="1176" spans="1:20" x14ac:dyDescent="0.25">
      <c r="A1176" s="1" t="str">
        <f>HYPERLINK("https://vegkart.atlas.vegvesen.no/#/@276929.4,6652595.7,18/hva:hva%5B0%5D%5Bfilter%5D%5B0%5D%5Boperator%5D=%21%3D&amp;hva%5B0%5D%5Bfilter%5D%5B0%5D%5Btype_id%5D=9736&amp;hva%5B0%5D%5Bfilter%5D%5B0%5D%5Bverdi%5D=&amp;hva%5B0%5D%5Bid%5D=853/når:2025-10-22", "Vegkart")</f>
        <v>Vegkart</v>
      </c>
      <c r="B1176">
        <v>1016256756</v>
      </c>
      <c r="C1176">
        <v>853</v>
      </c>
      <c r="D1176" t="s">
        <v>2935</v>
      </c>
      <c r="E1176">
        <v>9736</v>
      </c>
      <c r="F1176" t="s">
        <v>23479</v>
      </c>
      <c r="G1176">
        <v>3</v>
      </c>
      <c r="H1176" t="s">
        <v>4007</v>
      </c>
      <c r="J1176" t="s">
        <v>3995</v>
      </c>
      <c r="K1176" t="s">
        <v>132</v>
      </c>
      <c r="L1176" t="s">
        <v>33</v>
      </c>
      <c r="M1176" t="s">
        <v>4008</v>
      </c>
      <c r="N1176" t="s">
        <v>4012</v>
      </c>
      <c r="O1176" t="s">
        <v>4013</v>
      </c>
      <c r="P1176" s="2" t="s">
        <v>26</v>
      </c>
      <c r="Q1176" t="s">
        <v>50</v>
      </c>
      <c r="R1176">
        <v>0</v>
      </c>
      <c r="S1176">
        <v>6.31</v>
      </c>
      <c r="T1176" t="s">
        <v>4014</v>
      </c>
    </row>
    <row r="1177" spans="1:20" x14ac:dyDescent="0.25">
      <c r="A1177" s="1" t="str">
        <f>HYPERLINK("https://vegkart.atlas.vegvesen.no/#/@276940.5,6652582.7,18/hva:hva%5B0%5D%5Bfilter%5D%5B0%5D%5Boperator%5D=%21%3D&amp;hva%5B0%5D%5Bfilter%5D%5B0%5D%5Btype_id%5D=9736&amp;hva%5B0%5D%5Bfilter%5D%5B0%5D%5Bverdi%5D=&amp;hva%5B0%5D%5Bid%5D=853/når:2025-10-22", "Vegkart")</f>
        <v>Vegkart</v>
      </c>
      <c r="B1177">
        <v>1016256757</v>
      </c>
      <c r="C1177">
        <v>853</v>
      </c>
      <c r="D1177" t="s">
        <v>2935</v>
      </c>
      <c r="E1177">
        <v>9736</v>
      </c>
      <c r="F1177" t="s">
        <v>23479</v>
      </c>
      <c r="G1177">
        <v>3</v>
      </c>
      <c r="H1177" t="s">
        <v>4007</v>
      </c>
      <c r="J1177" t="s">
        <v>3995</v>
      </c>
      <c r="K1177" t="s">
        <v>132</v>
      </c>
      <c r="L1177" t="s">
        <v>33</v>
      </c>
      <c r="M1177" t="s">
        <v>4008</v>
      </c>
      <c r="N1177" t="s">
        <v>4012</v>
      </c>
      <c r="O1177" t="s">
        <v>4015</v>
      </c>
      <c r="P1177" s="2" t="s">
        <v>26</v>
      </c>
      <c r="Q1177" t="s">
        <v>50</v>
      </c>
      <c r="R1177">
        <v>0</v>
      </c>
      <c r="S1177">
        <v>6.13</v>
      </c>
      <c r="T1177" t="s">
        <v>4016</v>
      </c>
    </row>
    <row r="1178" spans="1:20" x14ac:dyDescent="0.25">
      <c r="A1178" s="1" t="str">
        <f>HYPERLINK("https://vegkart.atlas.vegvesen.no/#/@276964.3,6652589.9,18/hva:hva%5B0%5D%5Bfilter%5D%5B0%5D%5Boperator%5D=%21%3D&amp;hva%5B0%5D%5Bfilter%5D%5B0%5D%5Btype_id%5D=9736&amp;hva%5B0%5D%5Bfilter%5D%5B0%5D%5Bverdi%5D=&amp;hva%5B0%5D%5Bid%5D=853/når:2024-03-19", "Vegkart")</f>
        <v>Vegkart</v>
      </c>
      <c r="B1178">
        <v>1016256758</v>
      </c>
      <c r="C1178">
        <v>853</v>
      </c>
      <c r="D1178" t="s">
        <v>2935</v>
      </c>
      <c r="E1178">
        <v>9736</v>
      </c>
      <c r="F1178" t="s">
        <v>23479</v>
      </c>
      <c r="G1178">
        <v>2</v>
      </c>
      <c r="H1178" t="s">
        <v>521</v>
      </c>
      <c r="J1178" t="s">
        <v>3995</v>
      </c>
      <c r="K1178" t="s">
        <v>132</v>
      </c>
      <c r="L1178" t="s">
        <v>33</v>
      </c>
      <c r="M1178" t="s">
        <v>4008</v>
      </c>
      <c r="N1178" t="s">
        <v>4017</v>
      </c>
      <c r="O1178" t="s">
        <v>4018</v>
      </c>
      <c r="P1178" s="2" t="s">
        <v>26</v>
      </c>
      <c r="Q1178" t="s">
        <v>50</v>
      </c>
      <c r="R1178">
        <v>0</v>
      </c>
      <c r="S1178">
        <v>6.32</v>
      </c>
      <c r="T1178" t="s">
        <v>4019</v>
      </c>
    </row>
    <row r="1179" spans="1:20" x14ac:dyDescent="0.25">
      <c r="A1179" s="1" t="str">
        <f>HYPERLINK("https://vegkart.atlas.vegvesen.no/#/@276976.4,6652599.1,18/hva:hva%5B0%5D%5Bfilter%5D%5B0%5D%5Boperator%5D=%21%3D&amp;hva%5B0%5D%5Bfilter%5D%5B0%5D%5Btype_id%5D=9736&amp;hva%5B0%5D%5Bfilter%5D%5B0%5D%5Bverdi%5D=&amp;hva%5B0%5D%5Bid%5D=853/når:2024-03-19", "Vegkart")</f>
        <v>Vegkart</v>
      </c>
      <c r="B1179">
        <v>1016256759</v>
      </c>
      <c r="C1179">
        <v>853</v>
      </c>
      <c r="D1179" t="s">
        <v>2935</v>
      </c>
      <c r="E1179">
        <v>9736</v>
      </c>
      <c r="F1179" t="s">
        <v>23479</v>
      </c>
      <c r="G1179">
        <v>2</v>
      </c>
      <c r="H1179" t="s">
        <v>521</v>
      </c>
      <c r="J1179" t="s">
        <v>3995</v>
      </c>
      <c r="K1179" t="s">
        <v>132</v>
      </c>
      <c r="L1179" t="s">
        <v>33</v>
      </c>
      <c r="M1179" t="s">
        <v>4008</v>
      </c>
      <c r="N1179" t="s">
        <v>4020</v>
      </c>
      <c r="O1179" t="s">
        <v>4021</v>
      </c>
      <c r="P1179" s="2" t="s">
        <v>26</v>
      </c>
      <c r="Q1179" t="s">
        <v>50</v>
      </c>
      <c r="R1179">
        <v>0</v>
      </c>
      <c r="S1179">
        <v>6.39</v>
      </c>
      <c r="T1179" t="s">
        <v>4022</v>
      </c>
    </row>
    <row r="1180" spans="1:20" x14ac:dyDescent="0.25">
      <c r="A1180" s="1" t="str">
        <f>HYPERLINK("https://vegkart.atlas.vegvesen.no/#/@276979.9,6652609.9,18/hva:hva%5B0%5D%5Bfilter%5D%5B0%5D%5Boperator%5D=%21%3D&amp;hva%5B0%5D%5Bfilter%5D%5B0%5D%5Btype_id%5D=9736&amp;hva%5B0%5D%5Bfilter%5D%5B0%5D%5Bverdi%5D=&amp;hva%5B0%5D%5Bid%5D=853/når:2024-03-19", "Vegkart")</f>
        <v>Vegkart</v>
      </c>
      <c r="B1180">
        <v>1016256760</v>
      </c>
      <c r="C1180">
        <v>853</v>
      </c>
      <c r="D1180" t="s">
        <v>2935</v>
      </c>
      <c r="E1180">
        <v>9736</v>
      </c>
      <c r="F1180" t="s">
        <v>23479</v>
      </c>
      <c r="G1180">
        <v>2</v>
      </c>
      <c r="H1180" t="s">
        <v>521</v>
      </c>
      <c r="J1180" t="s">
        <v>3995</v>
      </c>
      <c r="K1180" t="s">
        <v>132</v>
      </c>
      <c r="L1180" t="s">
        <v>33</v>
      </c>
      <c r="M1180" t="s">
        <v>4008</v>
      </c>
      <c r="N1180" t="s">
        <v>4023</v>
      </c>
      <c r="O1180" t="s">
        <v>4024</v>
      </c>
      <c r="P1180" s="2" t="s">
        <v>26</v>
      </c>
      <c r="Q1180" t="s">
        <v>50</v>
      </c>
      <c r="R1180">
        <v>0</v>
      </c>
      <c r="S1180">
        <v>6.32</v>
      </c>
      <c r="T1180" t="s">
        <v>4025</v>
      </c>
    </row>
    <row r="1181" spans="1:20" x14ac:dyDescent="0.25">
      <c r="A1181" s="1" t="str">
        <f>HYPERLINK("https://vegkart.atlas.vegvesen.no/#/@262668.3,6648744.9,18/hva:hva%5B0%5D%5Bfilter%5D%5B0%5D%5Boperator%5D=%21%3D&amp;hva%5B0%5D%5Bfilter%5D%5B0%5D%5Btype_id%5D=9736&amp;hva%5B0%5D%5Bfilter%5D%5B0%5D%5Bverdi%5D=&amp;hva%5B0%5D%5Bid%5D=853/når:2023-04-21", "Vegkart")</f>
        <v>Vegkart</v>
      </c>
      <c r="B1181">
        <v>1017581371</v>
      </c>
      <c r="C1181">
        <v>853</v>
      </c>
      <c r="D1181" t="s">
        <v>2935</v>
      </c>
      <c r="E1181">
        <v>9736</v>
      </c>
      <c r="F1181" t="s">
        <v>23479</v>
      </c>
      <c r="G1181">
        <v>1</v>
      </c>
      <c r="H1181" t="s">
        <v>4026</v>
      </c>
      <c r="J1181" t="s">
        <v>4027</v>
      </c>
      <c r="K1181" t="s">
        <v>335</v>
      </c>
      <c r="L1181" t="s">
        <v>22</v>
      </c>
      <c r="M1181" t="s">
        <v>4028</v>
      </c>
      <c r="N1181" t="s">
        <v>4029</v>
      </c>
      <c r="O1181" t="s">
        <v>4030</v>
      </c>
      <c r="P1181" s="2" t="s">
        <v>26</v>
      </c>
      <c r="Q1181" t="s">
        <v>50</v>
      </c>
      <c r="R1181">
        <v>0.87</v>
      </c>
      <c r="S1181">
        <v>0.87</v>
      </c>
      <c r="T1181" t="s">
        <v>4031</v>
      </c>
    </row>
    <row r="1182" spans="1:20" x14ac:dyDescent="0.25">
      <c r="A1182" s="1" t="str">
        <f>HYPERLINK("https://vegkart.atlas.vegvesen.no/#/@262659.9,6648685.5,18/hva:hva%5B0%5D%5Bfilter%5D%5B0%5D%5Boperator%5D=%21%3D&amp;hva%5B0%5D%5Bfilter%5D%5B0%5D%5Btype_id%5D=9736&amp;hva%5B0%5D%5Bfilter%5D%5B0%5D%5Bverdi%5D=&amp;hva%5B0%5D%5Bid%5D=853/når:2023-04-21", "Vegkart")</f>
        <v>Vegkart</v>
      </c>
      <c r="B1182">
        <v>1017581372</v>
      </c>
      <c r="C1182">
        <v>853</v>
      </c>
      <c r="D1182" t="s">
        <v>2935</v>
      </c>
      <c r="E1182">
        <v>9736</v>
      </c>
      <c r="F1182" t="s">
        <v>23479</v>
      </c>
      <c r="G1182">
        <v>1</v>
      </c>
      <c r="H1182" t="s">
        <v>4026</v>
      </c>
      <c r="J1182" t="s">
        <v>4027</v>
      </c>
      <c r="K1182" t="s">
        <v>335</v>
      </c>
      <c r="L1182" t="s">
        <v>22</v>
      </c>
      <c r="M1182" t="s">
        <v>4032</v>
      </c>
      <c r="N1182" t="s">
        <v>4033</v>
      </c>
      <c r="O1182" t="s">
        <v>4034</v>
      </c>
      <c r="P1182" s="2" t="s">
        <v>26</v>
      </c>
      <c r="Q1182" t="s">
        <v>50</v>
      </c>
      <c r="R1182">
        <v>0.85</v>
      </c>
      <c r="S1182">
        <v>0.85</v>
      </c>
      <c r="T1182" t="s">
        <v>4035</v>
      </c>
    </row>
    <row r="1183" spans="1:20" x14ac:dyDescent="0.25">
      <c r="A1183" s="1" t="str">
        <f>HYPERLINK("https://vegkart.atlas.vegvesen.no/#/@262667.8,6648745.7,18/hva:hva%5B0%5D%5Bfilter%5D%5B0%5D%5Boperator%5D=%21%3D&amp;hva%5B0%5D%5Bfilter%5D%5B0%5D%5Btype_id%5D=9736&amp;hva%5B0%5D%5Bfilter%5D%5B0%5D%5Bverdi%5D=&amp;hva%5B0%5D%5Bid%5D=853/når:2023-04-21", "Vegkart")</f>
        <v>Vegkart</v>
      </c>
      <c r="B1183">
        <v>1017581373</v>
      </c>
      <c r="C1183">
        <v>853</v>
      </c>
      <c r="D1183" t="s">
        <v>2935</v>
      </c>
      <c r="E1183">
        <v>9736</v>
      </c>
      <c r="F1183" t="s">
        <v>23479</v>
      </c>
      <c r="G1183">
        <v>1</v>
      </c>
      <c r="H1183" t="s">
        <v>4026</v>
      </c>
      <c r="J1183" t="s">
        <v>4027</v>
      </c>
      <c r="K1183" t="s">
        <v>335</v>
      </c>
      <c r="L1183" t="s">
        <v>22</v>
      </c>
      <c r="M1183" t="s">
        <v>4028</v>
      </c>
      <c r="N1183" t="s">
        <v>4029</v>
      </c>
      <c r="O1183" t="s">
        <v>4036</v>
      </c>
      <c r="P1183" s="2" t="s">
        <v>26</v>
      </c>
      <c r="Q1183" t="s">
        <v>50</v>
      </c>
      <c r="R1183">
        <v>1.6</v>
      </c>
      <c r="S1183">
        <v>1.6</v>
      </c>
      <c r="T1183" t="s">
        <v>4037</v>
      </c>
    </row>
    <row r="1184" spans="1:20" x14ac:dyDescent="0.25">
      <c r="A1184" s="1" t="str">
        <f>HYPERLINK("https://vegkart.atlas.vegvesen.no/#/@262567.2,6648803.4,18/hva:hva%5B0%5D%5Bfilter%5D%5B0%5D%5Boperator%5D=%21%3D&amp;hva%5B0%5D%5Bfilter%5D%5B0%5D%5Btype_id%5D=9736&amp;hva%5B0%5D%5Bfilter%5D%5B0%5D%5Bverdi%5D=&amp;hva%5B0%5D%5Bid%5D=853/når:2023-04-21", "Vegkart")</f>
        <v>Vegkart</v>
      </c>
      <c r="B1184">
        <v>1017581374</v>
      </c>
      <c r="C1184">
        <v>853</v>
      </c>
      <c r="D1184" t="s">
        <v>2935</v>
      </c>
      <c r="E1184">
        <v>9736</v>
      </c>
      <c r="F1184" t="s">
        <v>23479</v>
      </c>
      <c r="G1184">
        <v>1</v>
      </c>
      <c r="H1184" t="s">
        <v>4026</v>
      </c>
      <c r="J1184" t="s">
        <v>4027</v>
      </c>
      <c r="K1184" t="s">
        <v>335</v>
      </c>
      <c r="L1184" t="s">
        <v>22</v>
      </c>
      <c r="M1184" t="s">
        <v>4028</v>
      </c>
      <c r="N1184" t="s">
        <v>4038</v>
      </c>
      <c r="O1184" t="s">
        <v>4039</v>
      </c>
      <c r="P1184" s="2" t="s">
        <v>26</v>
      </c>
      <c r="Q1184" t="s">
        <v>50</v>
      </c>
      <c r="R1184">
        <v>0.84</v>
      </c>
      <c r="S1184">
        <v>0.84</v>
      </c>
      <c r="T1184" t="s">
        <v>4040</v>
      </c>
    </row>
    <row r="1185" spans="1:20" x14ac:dyDescent="0.25">
      <c r="A1185" s="1" t="str">
        <f>HYPERLINK("https://vegkart.atlas.vegvesen.no/#/@262432.2,6648898.1,18/hva:hva%5B0%5D%5Bfilter%5D%5B0%5D%5Boperator%5D=%21%3D&amp;hva%5B0%5D%5Bfilter%5D%5B0%5D%5Btype_id%5D=9736&amp;hva%5B0%5D%5Bfilter%5D%5B0%5D%5Bverdi%5D=&amp;hva%5B0%5D%5Bid%5D=853/når:2023-04-21", "Vegkart")</f>
        <v>Vegkart</v>
      </c>
      <c r="B1185">
        <v>1017581375</v>
      </c>
      <c r="C1185">
        <v>853</v>
      </c>
      <c r="D1185" t="s">
        <v>2935</v>
      </c>
      <c r="E1185">
        <v>9736</v>
      </c>
      <c r="F1185" t="s">
        <v>23479</v>
      </c>
      <c r="G1185">
        <v>1</v>
      </c>
      <c r="H1185" t="s">
        <v>4026</v>
      </c>
      <c r="J1185" t="s">
        <v>4027</v>
      </c>
      <c r="K1185" t="s">
        <v>335</v>
      </c>
      <c r="L1185" t="s">
        <v>22</v>
      </c>
      <c r="M1185" t="s">
        <v>4028</v>
      </c>
      <c r="N1185" t="s">
        <v>4041</v>
      </c>
      <c r="O1185" t="s">
        <v>4042</v>
      </c>
      <c r="P1185" s="2" t="s">
        <v>26</v>
      </c>
      <c r="Q1185" t="s">
        <v>50</v>
      </c>
      <c r="R1185">
        <v>0.91</v>
      </c>
      <c r="S1185">
        <v>0.91</v>
      </c>
      <c r="T1185" t="s">
        <v>4043</v>
      </c>
    </row>
    <row r="1186" spans="1:20" x14ac:dyDescent="0.25">
      <c r="A1186" s="1" t="str">
        <f>HYPERLINK("https://vegkart.atlas.vegvesen.no/#/@262660.6,6648686.0,18/hva:hva%5B0%5D%5Bfilter%5D%5B0%5D%5Boperator%5D=%21%3D&amp;hva%5B0%5D%5Bfilter%5D%5B0%5D%5Btype_id%5D=9736&amp;hva%5B0%5D%5Bfilter%5D%5B0%5D%5Bverdi%5D=&amp;hva%5B0%5D%5Bid%5D=853/når:2023-04-21", "Vegkart")</f>
        <v>Vegkart</v>
      </c>
      <c r="B1186">
        <v>1017581376</v>
      </c>
      <c r="C1186">
        <v>853</v>
      </c>
      <c r="D1186" t="s">
        <v>2935</v>
      </c>
      <c r="E1186">
        <v>9736</v>
      </c>
      <c r="F1186" t="s">
        <v>23479</v>
      </c>
      <c r="G1186">
        <v>1</v>
      </c>
      <c r="H1186" t="s">
        <v>4026</v>
      </c>
      <c r="J1186" t="s">
        <v>4027</v>
      </c>
      <c r="K1186" t="s">
        <v>335</v>
      </c>
      <c r="L1186" t="s">
        <v>22</v>
      </c>
      <c r="M1186" t="s">
        <v>4032</v>
      </c>
      <c r="N1186" t="s">
        <v>4044</v>
      </c>
      <c r="O1186" t="s">
        <v>4045</v>
      </c>
      <c r="P1186" s="2" t="s">
        <v>26</v>
      </c>
      <c r="Q1186" t="s">
        <v>50</v>
      </c>
      <c r="R1186">
        <v>1.53</v>
      </c>
      <c r="S1186">
        <v>1.53</v>
      </c>
      <c r="T1186" t="s">
        <v>4046</v>
      </c>
    </row>
    <row r="1187" spans="1:20" x14ac:dyDescent="0.25">
      <c r="A1187" s="1" t="str">
        <f>HYPERLINK("https://vegkart.atlas.vegvesen.no/#/@262638.3,6648626.0,18/hva:hva%5B0%5D%5Bfilter%5D%5B0%5D%5Boperator%5D=%21%3D&amp;hva%5B0%5D%5Bfilter%5D%5B0%5D%5Btype_id%5D=9736&amp;hva%5B0%5D%5Bfilter%5D%5B0%5D%5Bverdi%5D=&amp;hva%5B0%5D%5Bid%5D=853/når:2023-04-21", "Vegkart")</f>
        <v>Vegkart</v>
      </c>
      <c r="B1187">
        <v>1017581377</v>
      </c>
      <c r="C1187">
        <v>853</v>
      </c>
      <c r="D1187" t="s">
        <v>2935</v>
      </c>
      <c r="E1187">
        <v>9736</v>
      </c>
      <c r="F1187" t="s">
        <v>23479</v>
      </c>
      <c r="G1187">
        <v>1</v>
      </c>
      <c r="H1187" t="s">
        <v>4026</v>
      </c>
      <c r="J1187" t="s">
        <v>4027</v>
      </c>
      <c r="K1187" t="s">
        <v>335</v>
      </c>
      <c r="L1187" t="s">
        <v>22</v>
      </c>
      <c r="M1187" t="s">
        <v>4032</v>
      </c>
      <c r="N1187" t="s">
        <v>4047</v>
      </c>
      <c r="O1187" t="s">
        <v>4048</v>
      </c>
      <c r="P1187" s="2" t="s">
        <v>26</v>
      </c>
      <c r="Q1187" t="s">
        <v>50</v>
      </c>
      <c r="R1187">
        <v>0.88</v>
      </c>
      <c r="S1187">
        <v>0.88</v>
      </c>
      <c r="T1187" t="s">
        <v>4049</v>
      </c>
    </row>
    <row r="1188" spans="1:20" x14ac:dyDescent="0.25">
      <c r="A1188" s="1" t="str">
        <f>HYPERLINK("https://vegkart.atlas.vegvesen.no/#/@262674.3,6648759.7,18/hva:hva%5B0%5D%5Bfilter%5D%5B0%5D%5Boperator%5D=%21%3D&amp;hva%5B0%5D%5Bfilter%5D%5B0%5D%5Btype_id%5D=9736&amp;hva%5B0%5D%5Bfilter%5D%5B0%5D%5Bverdi%5D=&amp;hva%5B0%5D%5Bid%5D=853/når:2023-04-21", "Vegkart")</f>
        <v>Vegkart</v>
      </c>
      <c r="B1188">
        <v>1017581378</v>
      </c>
      <c r="C1188">
        <v>853</v>
      </c>
      <c r="D1188" t="s">
        <v>2935</v>
      </c>
      <c r="E1188">
        <v>9736</v>
      </c>
      <c r="F1188" t="s">
        <v>23479</v>
      </c>
      <c r="G1188">
        <v>1</v>
      </c>
      <c r="H1188" t="s">
        <v>4026</v>
      </c>
      <c r="J1188" t="s">
        <v>4027</v>
      </c>
      <c r="K1188" t="s">
        <v>335</v>
      </c>
      <c r="L1188" t="s">
        <v>22</v>
      </c>
      <c r="M1188" t="s">
        <v>4028</v>
      </c>
      <c r="N1188" t="s">
        <v>4050</v>
      </c>
      <c r="O1188" t="s">
        <v>4051</v>
      </c>
      <c r="P1188" s="2" t="s">
        <v>26</v>
      </c>
      <c r="Q1188" t="s">
        <v>50</v>
      </c>
      <c r="R1188">
        <v>0.89</v>
      </c>
      <c r="S1188">
        <v>0.89</v>
      </c>
      <c r="T1188" t="s">
        <v>4052</v>
      </c>
    </row>
    <row r="1189" spans="1:20" x14ac:dyDescent="0.25">
      <c r="A1189" s="1" t="str">
        <f>HYPERLINK("https://vegkart.atlas.vegvesen.no/#/@262638.8,6648627.4,18/hva:hva%5B0%5D%5Bfilter%5D%5B0%5D%5Boperator%5D=%21%3D&amp;hva%5B0%5D%5Bfilter%5D%5B0%5D%5Btype_id%5D=9736&amp;hva%5B0%5D%5Bfilter%5D%5B0%5D%5Bverdi%5D=&amp;hva%5B0%5D%5Bid%5D=853/når:2023-04-21", "Vegkart")</f>
        <v>Vegkart</v>
      </c>
      <c r="B1189">
        <v>1017581379</v>
      </c>
      <c r="C1189">
        <v>853</v>
      </c>
      <c r="D1189" t="s">
        <v>2935</v>
      </c>
      <c r="E1189">
        <v>9736</v>
      </c>
      <c r="F1189" t="s">
        <v>23479</v>
      </c>
      <c r="G1189">
        <v>1</v>
      </c>
      <c r="H1189" t="s">
        <v>4026</v>
      </c>
      <c r="J1189" t="s">
        <v>4027</v>
      </c>
      <c r="K1189" t="s">
        <v>335</v>
      </c>
      <c r="L1189" t="s">
        <v>22</v>
      </c>
      <c r="M1189" t="s">
        <v>4032</v>
      </c>
      <c r="N1189" t="s">
        <v>4053</v>
      </c>
      <c r="O1189" t="s">
        <v>4054</v>
      </c>
      <c r="P1189" s="2" t="s">
        <v>26</v>
      </c>
      <c r="Q1189" t="s">
        <v>50</v>
      </c>
      <c r="R1189">
        <v>0.87</v>
      </c>
      <c r="S1189">
        <v>0.87</v>
      </c>
      <c r="T1189" t="s">
        <v>4055</v>
      </c>
    </row>
    <row r="1190" spans="1:20" x14ac:dyDescent="0.25">
      <c r="A1190" s="1" t="str">
        <f>HYPERLINK("https://vegkart.atlas.vegvesen.no/#/@262666.9,6648745.7,18/hva:hva%5B0%5D%5Bfilter%5D%5B0%5D%5Boperator%5D=%21%3D&amp;hva%5B0%5D%5Bfilter%5D%5B0%5D%5Btype_id%5D=9736&amp;hva%5B0%5D%5Bfilter%5D%5B0%5D%5Bverdi%5D=&amp;hva%5B0%5D%5Bid%5D=853/når:2023-04-21", "Vegkart")</f>
        <v>Vegkart</v>
      </c>
      <c r="B1190">
        <v>1017581380</v>
      </c>
      <c r="C1190">
        <v>853</v>
      </c>
      <c r="D1190" t="s">
        <v>2935</v>
      </c>
      <c r="E1190">
        <v>9736</v>
      </c>
      <c r="F1190" t="s">
        <v>23479</v>
      </c>
      <c r="G1190">
        <v>1</v>
      </c>
      <c r="H1190" t="s">
        <v>4026</v>
      </c>
      <c r="J1190" t="s">
        <v>4027</v>
      </c>
      <c r="K1190" t="s">
        <v>335</v>
      </c>
      <c r="L1190" t="s">
        <v>22</v>
      </c>
      <c r="M1190" t="s">
        <v>4028</v>
      </c>
      <c r="N1190" t="s">
        <v>4056</v>
      </c>
      <c r="O1190" t="s">
        <v>4057</v>
      </c>
      <c r="P1190" s="2" t="s">
        <v>26</v>
      </c>
      <c r="Q1190" t="s">
        <v>50</v>
      </c>
      <c r="R1190">
        <v>0.88</v>
      </c>
      <c r="S1190">
        <v>0.88</v>
      </c>
      <c r="T1190" t="s">
        <v>4058</v>
      </c>
    </row>
    <row r="1191" spans="1:20" x14ac:dyDescent="0.25">
      <c r="A1191" s="1" t="str">
        <f>HYPERLINK("https://vegkart.atlas.vegvesen.no/#/@262574.9,6648815.8,18/hva:hva%5B0%5D%5Bfilter%5D%5B0%5D%5Boperator%5D=%21%3D&amp;hva%5B0%5D%5Bfilter%5D%5B0%5D%5Btype_id%5D=9736&amp;hva%5B0%5D%5Bfilter%5D%5B0%5D%5Bverdi%5D=&amp;hva%5B0%5D%5Bid%5D=853/når:2023-04-21", "Vegkart")</f>
        <v>Vegkart</v>
      </c>
      <c r="B1191">
        <v>1017581381</v>
      </c>
      <c r="C1191">
        <v>853</v>
      </c>
      <c r="D1191" t="s">
        <v>2935</v>
      </c>
      <c r="E1191">
        <v>9736</v>
      </c>
      <c r="F1191" t="s">
        <v>23479</v>
      </c>
      <c r="G1191">
        <v>1</v>
      </c>
      <c r="H1191" t="s">
        <v>4026</v>
      </c>
      <c r="J1191" t="s">
        <v>4027</v>
      </c>
      <c r="K1191" t="s">
        <v>335</v>
      </c>
      <c r="L1191" t="s">
        <v>22</v>
      </c>
      <c r="M1191" t="s">
        <v>4028</v>
      </c>
      <c r="N1191" t="s">
        <v>4038</v>
      </c>
      <c r="O1191" t="s">
        <v>4059</v>
      </c>
      <c r="P1191" s="2" t="s">
        <v>26</v>
      </c>
      <c r="Q1191" t="s">
        <v>50</v>
      </c>
      <c r="R1191">
        <v>0</v>
      </c>
      <c r="S1191">
        <v>4.95</v>
      </c>
      <c r="T1191" t="s">
        <v>4060</v>
      </c>
    </row>
    <row r="1192" spans="1:20" x14ac:dyDescent="0.25">
      <c r="A1192" s="1" t="str">
        <f>HYPERLINK("https://vegkart.atlas.vegvesen.no/#/@262660.5,6648686.9,18/hva:hva%5B0%5D%5Bfilter%5D%5B0%5D%5Boperator%5D=%21%3D&amp;hva%5B0%5D%5Bfilter%5D%5B0%5D%5Btype_id%5D=9736&amp;hva%5B0%5D%5Bfilter%5D%5B0%5D%5Bverdi%5D=&amp;hva%5B0%5D%5Bid%5D=853/når:2023-04-21", "Vegkart")</f>
        <v>Vegkart</v>
      </c>
      <c r="B1192">
        <v>1017581382</v>
      </c>
      <c r="C1192">
        <v>853</v>
      </c>
      <c r="D1192" t="s">
        <v>2935</v>
      </c>
      <c r="E1192">
        <v>9736</v>
      </c>
      <c r="F1192" t="s">
        <v>23479</v>
      </c>
      <c r="G1192">
        <v>1</v>
      </c>
      <c r="H1192" t="s">
        <v>4026</v>
      </c>
      <c r="J1192" t="s">
        <v>4027</v>
      </c>
      <c r="K1192" t="s">
        <v>335</v>
      </c>
      <c r="L1192" t="s">
        <v>22</v>
      </c>
      <c r="M1192" t="s">
        <v>4032</v>
      </c>
      <c r="N1192" t="s">
        <v>4061</v>
      </c>
      <c r="O1192" t="s">
        <v>4062</v>
      </c>
      <c r="P1192" s="2" t="s">
        <v>26</v>
      </c>
      <c r="Q1192" t="s">
        <v>50</v>
      </c>
      <c r="R1192">
        <v>0.85</v>
      </c>
      <c r="S1192">
        <v>0.85</v>
      </c>
      <c r="T1192" t="s">
        <v>4063</v>
      </c>
    </row>
    <row r="1193" spans="1:20" x14ac:dyDescent="0.25">
      <c r="A1193" s="1" t="str">
        <f>HYPERLINK("https://vegkart.atlas.vegvesen.no/#/@262659.8,6648686.4,18/hva:hva%5B0%5D%5Bfilter%5D%5B0%5D%5Boperator%5D=%21%3D&amp;hva%5B0%5D%5Bfilter%5D%5B0%5D%5Btype_id%5D=9736&amp;hva%5B0%5D%5Bfilter%5D%5B0%5D%5Bverdi%5D=&amp;hva%5B0%5D%5Bid%5D=853/når:2023-04-21", "Vegkart")</f>
        <v>Vegkart</v>
      </c>
      <c r="B1193">
        <v>1017581383</v>
      </c>
      <c r="C1193">
        <v>853</v>
      </c>
      <c r="D1193" t="s">
        <v>2935</v>
      </c>
      <c r="E1193">
        <v>9736</v>
      </c>
      <c r="F1193" t="s">
        <v>23479</v>
      </c>
      <c r="G1193">
        <v>1</v>
      </c>
      <c r="H1193" t="s">
        <v>4026</v>
      </c>
      <c r="J1193" t="s">
        <v>4027</v>
      </c>
      <c r="K1193" t="s">
        <v>335</v>
      </c>
      <c r="L1193" t="s">
        <v>22</v>
      </c>
      <c r="M1193" t="s">
        <v>4032</v>
      </c>
      <c r="N1193" t="s">
        <v>4044</v>
      </c>
      <c r="O1193" t="s">
        <v>4064</v>
      </c>
      <c r="P1193" s="2" t="s">
        <v>26</v>
      </c>
      <c r="Q1193" t="s">
        <v>50</v>
      </c>
      <c r="R1193">
        <v>1.56</v>
      </c>
      <c r="S1193">
        <v>1.56</v>
      </c>
      <c r="T1193" t="s">
        <v>4065</v>
      </c>
    </row>
    <row r="1194" spans="1:20" x14ac:dyDescent="0.25">
      <c r="A1194" s="1" t="str">
        <f>HYPERLINK("https://vegkart.atlas.vegvesen.no/#/@262559.3,6648824.4,18/hva:hva%5B0%5D%5Bfilter%5D%5B0%5D%5Boperator%5D=%21%3D&amp;hva%5B0%5D%5Bfilter%5D%5B0%5D%5Btype_id%5D=9736&amp;hva%5B0%5D%5Bfilter%5D%5B0%5D%5Bverdi%5D=&amp;hva%5B0%5D%5Bid%5D=853/når:2023-04-21", "Vegkart")</f>
        <v>Vegkart</v>
      </c>
      <c r="B1194">
        <v>1017581384</v>
      </c>
      <c r="C1194">
        <v>853</v>
      </c>
      <c r="D1194" t="s">
        <v>2935</v>
      </c>
      <c r="E1194">
        <v>9736</v>
      </c>
      <c r="F1194" t="s">
        <v>23479</v>
      </c>
      <c r="G1194">
        <v>1</v>
      </c>
      <c r="H1194" t="s">
        <v>4026</v>
      </c>
      <c r="J1194" t="s">
        <v>4027</v>
      </c>
      <c r="K1194" t="s">
        <v>335</v>
      </c>
      <c r="L1194" t="s">
        <v>22</v>
      </c>
      <c r="M1194" t="s">
        <v>4028</v>
      </c>
      <c r="N1194" t="s">
        <v>4066</v>
      </c>
      <c r="O1194" t="s">
        <v>4067</v>
      </c>
      <c r="P1194" s="2" t="s">
        <v>26</v>
      </c>
      <c r="Q1194" t="s">
        <v>50</v>
      </c>
      <c r="R1194">
        <v>0</v>
      </c>
      <c r="S1194">
        <v>4.95</v>
      </c>
      <c r="T1194" t="s">
        <v>4068</v>
      </c>
    </row>
    <row r="1195" spans="1:20" x14ac:dyDescent="0.25">
      <c r="A1195" s="1" t="str">
        <f>HYPERLINK("https://vegkart.atlas.vegvesen.no/#/@262638.9,6648626.5,18/hva:hva%5B0%5D%5Bfilter%5D%5B0%5D%5Boperator%5D=%21%3D&amp;hva%5B0%5D%5Bfilter%5D%5B0%5D%5Btype_id%5D=9736&amp;hva%5B0%5D%5Bfilter%5D%5B0%5D%5Bverdi%5D=&amp;hva%5B0%5D%5Bid%5D=853/når:2023-04-21", "Vegkart")</f>
        <v>Vegkart</v>
      </c>
      <c r="B1195">
        <v>1017581385</v>
      </c>
      <c r="C1195">
        <v>853</v>
      </c>
      <c r="D1195" t="s">
        <v>2935</v>
      </c>
      <c r="E1195">
        <v>9736</v>
      </c>
      <c r="F1195" t="s">
        <v>23479</v>
      </c>
      <c r="G1195">
        <v>1</v>
      </c>
      <c r="H1195" t="s">
        <v>4026</v>
      </c>
      <c r="J1195" t="s">
        <v>4027</v>
      </c>
      <c r="K1195" t="s">
        <v>335</v>
      </c>
      <c r="L1195" t="s">
        <v>22</v>
      </c>
      <c r="M1195" t="s">
        <v>4032</v>
      </c>
      <c r="N1195" t="s">
        <v>4069</v>
      </c>
      <c r="O1195" t="s">
        <v>4070</v>
      </c>
      <c r="P1195" s="2" t="s">
        <v>26</v>
      </c>
      <c r="Q1195" t="s">
        <v>50</v>
      </c>
      <c r="R1195">
        <v>1.54</v>
      </c>
      <c r="S1195">
        <v>1.54</v>
      </c>
      <c r="T1195" t="s">
        <v>4071</v>
      </c>
    </row>
    <row r="1196" spans="1:20" x14ac:dyDescent="0.25">
      <c r="A1196" s="1" t="str">
        <f>HYPERLINK("https://vegkart.atlas.vegvesen.no/#/@262567.6,6648802.6,18/hva:hva%5B0%5D%5Bfilter%5D%5B0%5D%5Boperator%5D=%21%3D&amp;hva%5B0%5D%5Bfilter%5D%5B0%5D%5Btype_id%5D=9736&amp;hva%5B0%5D%5Bfilter%5D%5B0%5D%5Bverdi%5D=&amp;hva%5B0%5D%5Bid%5D=853/når:2023-04-21", "Vegkart")</f>
        <v>Vegkart</v>
      </c>
      <c r="B1196">
        <v>1017581386</v>
      </c>
      <c r="C1196">
        <v>853</v>
      </c>
      <c r="D1196" t="s">
        <v>2935</v>
      </c>
      <c r="E1196">
        <v>9736</v>
      </c>
      <c r="F1196" t="s">
        <v>23479</v>
      </c>
      <c r="G1196">
        <v>1</v>
      </c>
      <c r="H1196" t="s">
        <v>4026</v>
      </c>
      <c r="J1196" t="s">
        <v>4027</v>
      </c>
      <c r="K1196" t="s">
        <v>335</v>
      </c>
      <c r="L1196" t="s">
        <v>22</v>
      </c>
      <c r="M1196" t="s">
        <v>4028</v>
      </c>
      <c r="N1196" t="s">
        <v>4038</v>
      </c>
      <c r="O1196" t="s">
        <v>4072</v>
      </c>
      <c r="P1196" s="2" t="s">
        <v>26</v>
      </c>
      <c r="Q1196" t="s">
        <v>50</v>
      </c>
      <c r="R1196">
        <v>1.52</v>
      </c>
      <c r="S1196">
        <v>1.52</v>
      </c>
      <c r="T1196" t="s">
        <v>4073</v>
      </c>
    </row>
    <row r="1197" spans="1:20" x14ac:dyDescent="0.25">
      <c r="A1197" s="1" t="str">
        <f>HYPERLINK("https://vegkart.atlas.vegvesen.no/#/@262675.6,6648758.9,18/hva:hva%5B0%5D%5Bfilter%5D%5B0%5D%5Boperator%5D=%21%3D&amp;hva%5B0%5D%5Bfilter%5D%5B0%5D%5Btype_id%5D=9736&amp;hva%5B0%5D%5Bfilter%5D%5B0%5D%5Bverdi%5D=&amp;hva%5B0%5D%5Bid%5D=853/når:2023-04-21", "Vegkart")</f>
        <v>Vegkart</v>
      </c>
      <c r="B1197">
        <v>1017581387</v>
      </c>
      <c r="C1197">
        <v>853</v>
      </c>
      <c r="D1197" t="s">
        <v>2935</v>
      </c>
      <c r="E1197">
        <v>9736</v>
      </c>
      <c r="F1197" t="s">
        <v>23479</v>
      </c>
      <c r="G1197">
        <v>1</v>
      </c>
      <c r="H1197" t="s">
        <v>4026</v>
      </c>
      <c r="J1197" t="s">
        <v>4027</v>
      </c>
      <c r="K1197" t="s">
        <v>335</v>
      </c>
      <c r="L1197" t="s">
        <v>22</v>
      </c>
      <c r="M1197" t="s">
        <v>4028</v>
      </c>
      <c r="N1197" t="s">
        <v>4029</v>
      </c>
      <c r="O1197" t="s">
        <v>4074</v>
      </c>
      <c r="P1197" s="2" t="s">
        <v>26</v>
      </c>
      <c r="Q1197" t="s">
        <v>50</v>
      </c>
      <c r="R1197">
        <v>0.89</v>
      </c>
      <c r="S1197">
        <v>0.89</v>
      </c>
      <c r="T1197" t="s">
        <v>4075</v>
      </c>
    </row>
    <row r="1198" spans="1:20" x14ac:dyDescent="0.25">
      <c r="A1198" s="1" t="str">
        <f>HYPERLINK("https://vegkart.atlas.vegvesen.no/#/@262568.5,6648802.6,18/hva:hva%5B0%5D%5Bfilter%5D%5B0%5D%5Boperator%5D=%21%3D&amp;hva%5B0%5D%5Bfilter%5D%5B0%5D%5Btype_id%5D=9736&amp;hva%5B0%5D%5Bfilter%5D%5B0%5D%5Bverdi%5D=&amp;hva%5B0%5D%5Bid%5D=853/når:2023-04-21", "Vegkart")</f>
        <v>Vegkart</v>
      </c>
      <c r="B1198">
        <v>1017581388</v>
      </c>
      <c r="C1198">
        <v>853</v>
      </c>
      <c r="D1198" t="s">
        <v>2935</v>
      </c>
      <c r="E1198">
        <v>9736</v>
      </c>
      <c r="F1198" t="s">
        <v>23479</v>
      </c>
      <c r="G1198">
        <v>1</v>
      </c>
      <c r="H1198" t="s">
        <v>4026</v>
      </c>
      <c r="J1198" t="s">
        <v>4027</v>
      </c>
      <c r="K1198" t="s">
        <v>335</v>
      </c>
      <c r="L1198" t="s">
        <v>22</v>
      </c>
      <c r="M1198" t="s">
        <v>4028</v>
      </c>
      <c r="N1198" t="s">
        <v>4076</v>
      </c>
      <c r="O1198" t="s">
        <v>4077</v>
      </c>
      <c r="P1198" s="2" t="s">
        <v>26</v>
      </c>
      <c r="Q1198" t="s">
        <v>50</v>
      </c>
      <c r="R1198">
        <v>0.89</v>
      </c>
      <c r="S1198">
        <v>0.89</v>
      </c>
      <c r="T1198" t="s">
        <v>4078</v>
      </c>
    </row>
    <row r="1199" spans="1:20" x14ac:dyDescent="0.25">
      <c r="A1199" s="1" t="str">
        <f>HYPERLINK("https://vegkart.atlas.vegvesen.no/#/@262674.7,6648759.0,18/hva:hva%5B0%5D%5Bfilter%5D%5B0%5D%5Boperator%5D=%21%3D&amp;hva%5B0%5D%5Bfilter%5D%5B0%5D%5Btype_id%5D=9736&amp;hva%5B0%5D%5Bfilter%5D%5B0%5D%5Bverdi%5D=&amp;hva%5B0%5D%5Bid%5D=853/når:2023-04-21", "Vegkart")</f>
        <v>Vegkart</v>
      </c>
      <c r="B1199">
        <v>1017581389</v>
      </c>
      <c r="C1199">
        <v>853</v>
      </c>
      <c r="D1199" t="s">
        <v>2935</v>
      </c>
      <c r="E1199">
        <v>9736</v>
      </c>
      <c r="F1199" t="s">
        <v>23479</v>
      </c>
      <c r="G1199">
        <v>1</v>
      </c>
      <c r="H1199" t="s">
        <v>4026</v>
      </c>
      <c r="J1199" t="s">
        <v>4027</v>
      </c>
      <c r="K1199" t="s">
        <v>335</v>
      </c>
      <c r="L1199" t="s">
        <v>22</v>
      </c>
      <c r="M1199" t="s">
        <v>4028</v>
      </c>
      <c r="N1199" t="s">
        <v>4056</v>
      </c>
      <c r="O1199" t="s">
        <v>4079</v>
      </c>
      <c r="P1199" s="2" t="s">
        <v>26</v>
      </c>
      <c r="Q1199" t="s">
        <v>50</v>
      </c>
      <c r="R1199">
        <v>1.6</v>
      </c>
      <c r="S1199">
        <v>1.6</v>
      </c>
      <c r="T1199" t="s">
        <v>4080</v>
      </c>
    </row>
    <row r="1200" spans="1:20" x14ac:dyDescent="0.25">
      <c r="A1200" s="1" t="str">
        <f>HYPERLINK("https://vegkart.atlas.vegvesen.no/#/@262430.1,6648899.2,18/hva:hva%5B0%5D%5Bfilter%5D%5B0%5D%5Boperator%5D=%21%3D&amp;hva%5B0%5D%5Bfilter%5D%5B0%5D%5Btype_id%5D=9736&amp;hva%5B0%5D%5Bfilter%5D%5B0%5D%5Bverdi%5D=&amp;hva%5B0%5D%5Bid%5D=853/når:2023-04-21", "Vegkart")</f>
        <v>Vegkart</v>
      </c>
      <c r="B1200">
        <v>1017581390</v>
      </c>
      <c r="C1200">
        <v>853</v>
      </c>
      <c r="D1200" t="s">
        <v>2935</v>
      </c>
      <c r="E1200">
        <v>9736</v>
      </c>
      <c r="F1200" t="s">
        <v>23479</v>
      </c>
      <c r="G1200">
        <v>1</v>
      </c>
      <c r="H1200" t="s">
        <v>4026</v>
      </c>
      <c r="J1200" t="s">
        <v>4027</v>
      </c>
      <c r="K1200" t="s">
        <v>335</v>
      </c>
      <c r="L1200" t="s">
        <v>22</v>
      </c>
      <c r="M1200" t="s">
        <v>4028</v>
      </c>
      <c r="N1200" t="s">
        <v>4081</v>
      </c>
      <c r="O1200" t="s">
        <v>4082</v>
      </c>
      <c r="P1200" s="2" t="s">
        <v>26</v>
      </c>
      <c r="Q1200" t="s">
        <v>50</v>
      </c>
      <c r="R1200">
        <v>0.91</v>
      </c>
      <c r="S1200">
        <v>0.91</v>
      </c>
      <c r="T1200" t="s">
        <v>4083</v>
      </c>
    </row>
    <row r="1201" spans="1:20" x14ac:dyDescent="0.25">
      <c r="A1201" s="1" t="str">
        <f>HYPERLINK("https://vegkart.atlas.vegvesen.no/#/@262505.4,6648853.8,18/hva:hva%5B0%5D%5Bfilter%5D%5B0%5D%5Boperator%5D=%21%3D&amp;hva%5B0%5D%5Bfilter%5D%5B0%5D%5Btype_id%5D=9736&amp;hva%5B0%5D%5Bfilter%5D%5B0%5D%5Bverdi%5D=&amp;hva%5B0%5D%5Bid%5D=853/når:2023-04-21", "Vegkart")</f>
        <v>Vegkart</v>
      </c>
      <c r="B1201">
        <v>1017581391</v>
      </c>
      <c r="C1201">
        <v>853</v>
      </c>
      <c r="D1201" t="s">
        <v>2935</v>
      </c>
      <c r="E1201">
        <v>9736</v>
      </c>
      <c r="F1201" t="s">
        <v>23479</v>
      </c>
      <c r="G1201">
        <v>1</v>
      </c>
      <c r="H1201" t="s">
        <v>4026</v>
      </c>
      <c r="J1201" t="s">
        <v>4027</v>
      </c>
      <c r="K1201" t="s">
        <v>335</v>
      </c>
      <c r="L1201" t="s">
        <v>22</v>
      </c>
      <c r="M1201" t="s">
        <v>4028</v>
      </c>
      <c r="N1201" t="s">
        <v>4084</v>
      </c>
      <c r="O1201" t="s">
        <v>4085</v>
      </c>
      <c r="P1201" s="2" t="s">
        <v>26</v>
      </c>
      <c r="Q1201" t="s">
        <v>50</v>
      </c>
      <c r="R1201">
        <v>0</v>
      </c>
      <c r="S1201">
        <v>4.93</v>
      </c>
      <c r="T1201" t="s">
        <v>4086</v>
      </c>
    </row>
    <row r="1202" spans="1:20" x14ac:dyDescent="0.25">
      <c r="A1202" s="1" t="str">
        <f>HYPERLINK("https://vegkart.atlas.vegvesen.no/#/@262638.1,6648626.8,18/hva:hva%5B0%5D%5Bfilter%5D%5B0%5D%5Boperator%5D=%21%3D&amp;hva%5B0%5D%5Bfilter%5D%5B0%5D%5Btype_id%5D=9736&amp;hva%5B0%5D%5Bfilter%5D%5B0%5D%5Bverdi%5D=&amp;hva%5B0%5D%5Bid%5D=853/når:2023-04-21", "Vegkart")</f>
        <v>Vegkart</v>
      </c>
      <c r="B1202">
        <v>1017581392</v>
      </c>
      <c r="C1202">
        <v>853</v>
      </c>
      <c r="D1202" t="s">
        <v>2935</v>
      </c>
      <c r="E1202">
        <v>9736</v>
      </c>
      <c r="F1202" t="s">
        <v>23479</v>
      </c>
      <c r="G1202">
        <v>1</v>
      </c>
      <c r="H1202" t="s">
        <v>4026</v>
      </c>
      <c r="J1202" t="s">
        <v>4027</v>
      </c>
      <c r="K1202" t="s">
        <v>335</v>
      </c>
      <c r="L1202" t="s">
        <v>22</v>
      </c>
      <c r="M1202" t="s">
        <v>4032</v>
      </c>
      <c r="N1202" t="s">
        <v>4069</v>
      </c>
      <c r="O1202" t="s">
        <v>4087</v>
      </c>
      <c r="P1202" s="2" t="s">
        <v>26</v>
      </c>
      <c r="Q1202" t="s">
        <v>50</v>
      </c>
      <c r="R1202">
        <v>1.53</v>
      </c>
      <c r="S1202">
        <v>1.53</v>
      </c>
      <c r="T1202" t="s">
        <v>4088</v>
      </c>
    </row>
    <row r="1203" spans="1:20" x14ac:dyDescent="0.25">
      <c r="A1203" s="1" t="str">
        <f>HYPERLINK("https://vegkart.atlas.vegvesen.no/#/@262718.4,6648718.7,18/hva:hva%5B0%5D%5Bfilter%5D%5B0%5D%5Boperator%5D=%21%3D&amp;hva%5B0%5D%5Bfilter%5D%5B0%5D%5Btype_id%5D=9736&amp;hva%5B0%5D%5Bfilter%5D%5B0%5D%5Bverdi%5D=&amp;hva%5B0%5D%5Bid%5D=853/når:2023-04-21", "Vegkart")</f>
        <v>Vegkart</v>
      </c>
      <c r="B1203">
        <v>1017581393</v>
      </c>
      <c r="C1203">
        <v>853</v>
      </c>
      <c r="D1203" t="s">
        <v>2935</v>
      </c>
      <c r="E1203">
        <v>9736</v>
      </c>
      <c r="F1203" t="s">
        <v>23479</v>
      </c>
      <c r="G1203">
        <v>1</v>
      </c>
      <c r="H1203" t="s">
        <v>4026</v>
      </c>
      <c r="J1203" t="s">
        <v>4027</v>
      </c>
      <c r="K1203" t="s">
        <v>335</v>
      </c>
      <c r="L1203" t="s">
        <v>22</v>
      </c>
      <c r="M1203" t="s">
        <v>4028</v>
      </c>
      <c r="N1203" t="s">
        <v>4089</v>
      </c>
      <c r="O1203" t="s">
        <v>4090</v>
      </c>
      <c r="P1203" s="2" t="s">
        <v>26</v>
      </c>
      <c r="Q1203" t="s">
        <v>50</v>
      </c>
      <c r="R1203">
        <v>0</v>
      </c>
      <c r="S1203">
        <v>4.9000000000000004</v>
      </c>
      <c r="T1203" t="s">
        <v>4091</v>
      </c>
    </row>
    <row r="1204" spans="1:20" x14ac:dyDescent="0.25">
      <c r="A1204" s="1" t="str">
        <f>HYPERLINK("https://vegkart.atlas.vegvesen.no/#/@262552.4,6648811.8,18/hva:hva%5B0%5D%5Bfilter%5D%5B0%5D%5Boperator%5D=%21%3D&amp;hva%5B0%5D%5Bfilter%5D%5B0%5D%5Btype_id%5D=9736&amp;hva%5B0%5D%5Bfilter%5D%5B0%5D%5Bverdi%5D=&amp;hva%5B0%5D%5Bid%5D=853/når:2023-04-21", "Vegkart")</f>
        <v>Vegkart</v>
      </c>
      <c r="B1204">
        <v>1017581394</v>
      </c>
      <c r="C1204">
        <v>853</v>
      </c>
      <c r="D1204" t="s">
        <v>2935</v>
      </c>
      <c r="E1204">
        <v>9736</v>
      </c>
      <c r="F1204" t="s">
        <v>23479</v>
      </c>
      <c r="G1204">
        <v>1</v>
      </c>
      <c r="H1204" t="s">
        <v>4026</v>
      </c>
      <c r="J1204" t="s">
        <v>4027</v>
      </c>
      <c r="K1204" t="s">
        <v>335</v>
      </c>
      <c r="L1204" t="s">
        <v>22</v>
      </c>
      <c r="M1204" t="s">
        <v>4028</v>
      </c>
      <c r="N1204" t="s">
        <v>4066</v>
      </c>
      <c r="O1204" t="s">
        <v>4092</v>
      </c>
      <c r="P1204" s="2" t="s">
        <v>26</v>
      </c>
      <c r="Q1204" t="s">
        <v>50</v>
      </c>
      <c r="R1204">
        <v>0</v>
      </c>
      <c r="S1204">
        <v>4.8499999999999996</v>
      </c>
      <c r="T1204" t="s">
        <v>4093</v>
      </c>
    </row>
    <row r="1205" spans="1:20" x14ac:dyDescent="0.25">
      <c r="A1205" s="1" t="str">
        <f>HYPERLINK("https://vegkart.atlas.vegvesen.no/#/@262568.1,6648803.3,18/hva:hva%5B0%5D%5Bfilter%5D%5B0%5D%5Boperator%5D=%21%3D&amp;hva%5B0%5D%5Bfilter%5D%5B0%5D%5Btype_id%5D=9736&amp;hva%5B0%5D%5Bfilter%5D%5B0%5D%5Bverdi%5D=&amp;hva%5B0%5D%5Bid%5D=853/når:2023-04-21", "Vegkart")</f>
        <v>Vegkart</v>
      </c>
      <c r="B1205">
        <v>1017581395</v>
      </c>
      <c r="C1205">
        <v>853</v>
      </c>
      <c r="D1205" t="s">
        <v>2935</v>
      </c>
      <c r="E1205">
        <v>9736</v>
      </c>
      <c r="F1205" t="s">
        <v>23479</v>
      </c>
      <c r="G1205">
        <v>1</v>
      </c>
      <c r="H1205" t="s">
        <v>4026</v>
      </c>
      <c r="J1205" t="s">
        <v>4027</v>
      </c>
      <c r="K1205" t="s">
        <v>335</v>
      </c>
      <c r="L1205" t="s">
        <v>22</v>
      </c>
      <c r="M1205" t="s">
        <v>4028</v>
      </c>
      <c r="N1205" t="s">
        <v>4038</v>
      </c>
      <c r="O1205" t="s">
        <v>4094</v>
      </c>
      <c r="P1205" s="2" t="s">
        <v>26</v>
      </c>
      <c r="Q1205" t="s">
        <v>50</v>
      </c>
      <c r="R1205">
        <v>1.53</v>
      </c>
      <c r="S1205">
        <v>1.53</v>
      </c>
      <c r="T1205" t="s">
        <v>4095</v>
      </c>
    </row>
    <row r="1206" spans="1:20" x14ac:dyDescent="0.25">
      <c r="A1206" s="1" t="str">
        <f>HYPERLINK("https://vegkart.atlas.vegvesen.no/#/@262675.2,6648759.7,18/hva:hva%5B0%5D%5Bfilter%5D%5B0%5D%5Boperator%5D=%21%3D&amp;hva%5B0%5D%5Bfilter%5D%5B0%5D%5Btype_id%5D=9736&amp;hva%5B0%5D%5Bfilter%5D%5B0%5D%5Bverdi%5D=&amp;hva%5B0%5D%5Bid%5D=853/når:2023-04-21", "Vegkart")</f>
        <v>Vegkart</v>
      </c>
      <c r="B1206">
        <v>1017581396</v>
      </c>
      <c r="C1206">
        <v>853</v>
      </c>
      <c r="D1206" t="s">
        <v>2935</v>
      </c>
      <c r="E1206">
        <v>9736</v>
      </c>
      <c r="F1206" t="s">
        <v>23479</v>
      </c>
      <c r="G1206">
        <v>1</v>
      </c>
      <c r="H1206" t="s">
        <v>4026</v>
      </c>
      <c r="J1206" t="s">
        <v>4027</v>
      </c>
      <c r="K1206" t="s">
        <v>335</v>
      </c>
      <c r="L1206" t="s">
        <v>22</v>
      </c>
      <c r="M1206" t="s">
        <v>4028</v>
      </c>
      <c r="N1206" t="s">
        <v>4056</v>
      </c>
      <c r="O1206" t="s">
        <v>4096</v>
      </c>
      <c r="P1206" s="2" t="s">
        <v>26</v>
      </c>
      <c r="Q1206" t="s">
        <v>50</v>
      </c>
      <c r="R1206">
        <v>1.6</v>
      </c>
      <c r="S1206">
        <v>1.6</v>
      </c>
      <c r="T1206" t="s">
        <v>4097</v>
      </c>
    </row>
    <row r="1207" spans="1:20" x14ac:dyDescent="0.25">
      <c r="A1207" s="1" t="str">
        <f>HYPERLINK("https://vegkart.atlas.vegvesen.no/#/@262431.4,6648899.0,18/hva:hva%5B0%5D%5Bfilter%5D%5B0%5D%5Boperator%5D=%21%3D&amp;hva%5B0%5D%5Bfilter%5D%5B0%5D%5Btype_id%5D=9736&amp;hva%5B0%5D%5Bfilter%5D%5B0%5D%5Bverdi%5D=&amp;hva%5B0%5D%5Bid%5D=853/når:2023-04-21", "Vegkart")</f>
        <v>Vegkart</v>
      </c>
      <c r="B1207">
        <v>1017581397</v>
      </c>
      <c r="C1207">
        <v>853</v>
      </c>
      <c r="D1207" t="s">
        <v>2935</v>
      </c>
      <c r="E1207">
        <v>9736</v>
      </c>
      <c r="F1207" t="s">
        <v>23479</v>
      </c>
      <c r="G1207">
        <v>1</v>
      </c>
      <c r="H1207" t="s">
        <v>4026</v>
      </c>
      <c r="J1207" t="s">
        <v>4027</v>
      </c>
      <c r="K1207" t="s">
        <v>335</v>
      </c>
      <c r="L1207" t="s">
        <v>22</v>
      </c>
      <c r="M1207" t="s">
        <v>4028</v>
      </c>
      <c r="N1207" t="s">
        <v>4098</v>
      </c>
      <c r="O1207" t="s">
        <v>4099</v>
      </c>
      <c r="P1207" s="2" t="s">
        <v>26</v>
      </c>
      <c r="Q1207" t="s">
        <v>50</v>
      </c>
      <c r="R1207">
        <v>2.2999999999999998</v>
      </c>
      <c r="S1207">
        <v>2.2999999999999998</v>
      </c>
      <c r="T1207" t="s">
        <v>4100</v>
      </c>
    </row>
    <row r="1208" spans="1:20" x14ac:dyDescent="0.25">
      <c r="A1208" s="1" t="str">
        <f>HYPERLINK("https://vegkart.atlas.vegvesen.no/#/@262667.3,6648744.9,18/hva:hva%5B0%5D%5Bfilter%5D%5B0%5D%5Boperator%5D=%21%3D&amp;hva%5B0%5D%5Bfilter%5D%5B0%5D%5Btype_id%5D=9736&amp;hva%5B0%5D%5Bfilter%5D%5B0%5D%5Bverdi%5D=&amp;hva%5B0%5D%5Bid%5D=853/når:2023-04-21", "Vegkart")</f>
        <v>Vegkart</v>
      </c>
      <c r="B1208">
        <v>1017581398</v>
      </c>
      <c r="C1208">
        <v>853</v>
      </c>
      <c r="D1208" t="s">
        <v>2935</v>
      </c>
      <c r="E1208">
        <v>9736</v>
      </c>
      <c r="F1208" t="s">
        <v>23479</v>
      </c>
      <c r="G1208">
        <v>1</v>
      </c>
      <c r="H1208" t="s">
        <v>4026</v>
      </c>
      <c r="J1208" t="s">
        <v>4027</v>
      </c>
      <c r="K1208" t="s">
        <v>335</v>
      </c>
      <c r="L1208" t="s">
        <v>22</v>
      </c>
      <c r="M1208" t="s">
        <v>4028</v>
      </c>
      <c r="N1208" t="s">
        <v>4029</v>
      </c>
      <c r="O1208" t="s">
        <v>4101</v>
      </c>
      <c r="P1208" s="2" t="s">
        <v>26</v>
      </c>
      <c r="Q1208" t="s">
        <v>50</v>
      </c>
      <c r="R1208">
        <v>1.59</v>
      </c>
      <c r="S1208">
        <v>1.59</v>
      </c>
      <c r="T1208" t="s">
        <v>4102</v>
      </c>
    </row>
    <row r="1209" spans="1:20" x14ac:dyDescent="0.25">
      <c r="A1209" s="1" t="str">
        <f>HYPERLINK("https://vegkart.atlas.vegvesen.no/#/@262430.9,6648898.3,18/hva:hva%5B0%5D%5Bfilter%5D%5B0%5D%5Boperator%5D=%21%3D&amp;hva%5B0%5D%5Bfilter%5D%5B0%5D%5Btype_id%5D=9736&amp;hva%5B0%5D%5Bfilter%5D%5B0%5D%5Bverdi%5D=&amp;hva%5B0%5D%5Bid%5D=853/når:2023-04-21", "Vegkart")</f>
        <v>Vegkart</v>
      </c>
      <c r="B1209">
        <v>1017581399</v>
      </c>
      <c r="C1209">
        <v>853</v>
      </c>
      <c r="D1209" t="s">
        <v>2935</v>
      </c>
      <c r="E1209">
        <v>9736</v>
      </c>
      <c r="F1209" t="s">
        <v>23479</v>
      </c>
      <c r="G1209">
        <v>1</v>
      </c>
      <c r="H1209" t="s">
        <v>4026</v>
      </c>
      <c r="J1209" t="s">
        <v>4027</v>
      </c>
      <c r="K1209" t="s">
        <v>335</v>
      </c>
      <c r="L1209" t="s">
        <v>22</v>
      </c>
      <c r="M1209" t="s">
        <v>4028</v>
      </c>
      <c r="N1209" t="s">
        <v>4098</v>
      </c>
      <c r="O1209" t="s">
        <v>4103</v>
      </c>
      <c r="P1209" s="2" t="s">
        <v>26</v>
      </c>
      <c r="Q1209" t="s">
        <v>50</v>
      </c>
      <c r="R1209">
        <v>2.29</v>
      </c>
      <c r="S1209">
        <v>2.29</v>
      </c>
      <c r="T1209" t="s">
        <v>4104</v>
      </c>
    </row>
    <row r="1210" spans="1:20" x14ac:dyDescent="0.25">
      <c r="A1210" s="1" t="str">
        <f>HYPERLINK("https://vegkart.atlas.vegvesen.no/#/@-34576.5,6662092.4,18/hva:hva%5B0%5D%5Bfilter%5D%5B0%5D%5Boperator%5D=%21%3D&amp;hva%5B0%5D%5Bfilter%5D%5B0%5D%5Btype_id%5D=9736&amp;hva%5B0%5D%5Bfilter%5D%5B0%5D%5Bverdi%5D=&amp;hva%5B0%5D%5Bid%5D=853/når:2023-09-08", "Vegkart")</f>
        <v>Vegkart</v>
      </c>
      <c r="B1210">
        <v>1017950265</v>
      </c>
      <c r="C1210">
        <v>853</v>
      </c>
      <c r="D1210" t="s">
        <v>2935</v>
      </c>
      <c r="E1210">
        <v>9736</v>
      </c>
      <c r="F1210" t="s">
        <v>23479</v>
      </c>
      <c r="G1210">
        <v>1</v>
      </c>
      <c r="H1210" t="s">
        <v>4105</v>
      </c>
      <c r="J1210" t="s">
        <v>4106</v>
      </c>
      <c r="K1210" t="s">
        <v>21</v>
      </c>
      <c r="L1210" t="s">
        <v>80</v>
      </c>
      <c r="M1210" t="s">
        <v>81</v>
      </c>
      <c r="N1210" t="s">
        <v>4107</v>
      </c>
      <c r="O1210" t="s">
        <v>4108</v>
      </c>
      <c r="P1210" s="2" t="s">
        <v>26</v>
      </c>
      <c r="Q1210" t="s">
        <v>50</v>
      </c>
      <c r="R1210">
        <v>0</v>
      </c>
      <c r="S1210">
        <v>10.64</v>
      </c>
      <c r="T1210" t="s">
        <v>4109</v>
      </c>
    </row>
    <row r="1211" spans="1:20" x14ac:dyDescent="0.25">
      <c r="A1211" s="1" t="str">
        <f>HYPERLINK("https://vegkart.atlas.vegvesen.no/#/@14368.9,6846905.2,18/hva:hva%5B0%5D%5Bfilter%5D%5B0%5D%5Boperator%5D=%21%3D&amp;hva%5B0%5D%5Bfilter%5D%5B0%5D%5Btype_id%5D=9736&amp;hva%5B0%5D%5Bfilter%5D%5B0%5D%5Bverdi%5D=&amp;hva%5B0%5D%5Bid%5D=853/når:2023-10-18", "Vegkart")</f>
        <v>Vegkart</v>
      </c>
      <c r="B1211">
        <v>1018089502</v>
      </c>
      <c r="C1211">
        <v>853</v>
      </c>
      <c r="D1211" t="s">
        <v>2935</v>
      </c>
      <c r="E1211">
        <v>9736</v>
      </c>
      <c r="F1211" t="s">
        <v>23479</v>
      </c>
      <c r="G1211">
        <v>1</v>
      </c>
      <c r="H1211" t="s">
        <v>4110</v>
      </c>
      <c r="J1211" t="s">
        <v>4111</v>
      </c>
      <c r="K1211" t="s">
        <v>21</v>
      </c>
      <c r="L1211" t="s">
        <v>80</v>
      </c>
      <c r="M1211" t="s">
        <v>81</v>
      </c>
      <c r="N1211" t="s">
        <v>4112</v>
      </c>
      <c r="O1211" t="s">
        <v>4113</v>
      </c>
      <c r="P1211" s="2" t="s">
        <v>26</v>
      </c>
      <c r="Q1211" t="s">
        <v>50</v>
      </c>
      <c r="R1211">
        <v>0.02</v>
      </c>
      <c r="S1211">
        <v>0.02</v>
      </c>
      <c r="T1211" t="s">
        <v>4114</v>
      </c>
    </row>
    <row r="1212" spans="1:20" x14ac:dyDescent="0.25">
      <c r="A1212" s="1" t="str">
        <f>HYPERLINK("https://vegkart.atlas.vegvesen.no/#/@263186.7,7026331.1,18/hva:hva%5B0%5D%5Bfilter%5D%5B0%5D%5Boperator%5D=%21%3D&amp;hva%5B0%5D%5Bfilter%5D%5B0%5D%5Btype_id%5D=9736&amp;hva%5B0%5D%5Bfilter%5D%5B0%5D%5Bverdi%5D=&amp;hva%5B0%5D%5Bid%5D=853/når:2024-03-11", "Vegkart")</f>
        <v>Vegkart</v>
      </c>
      <c r="B1212">
        <v>1018993259</v>
      </c>
      <c r="C1212">
        <v>853</v>
      </c>
      <c r="D1212" t="s">
        <v>2935</v>
      </c>
      <c r="E1212">
        <v>9736</v>
      </c>
      <c r="F1212" t="s">
        <v>23479</v>
      </c>
      <c r="G1212">
        <v>1</v>
      </c>
      <c r="H1212" t="s">
        <v>4115</v>
      </c>
      <c r="J1212" t="s">
        <v>4116</v>
      </c>
      <c r="K1212" t="s">
        <v>192</v>
      </c>
      <c r="L1212" t="s">
        <v>33</v>
      </c>
      <c r="M1212" t="s">
        <v>4117</v>
      </c>
      <c r="N1212" t="s">
        <v>4118</v>
      </c>
      <c r="O1212" t="s">
        <v>4119</v>
      </c>
      <c r="P1212" s="2" t="s">
        <v>26</v>
      </c>
      <c r="Q1212" t="s">
        <v>50</v>
      </c>
      <c r="R1212">
        <v>0</v>
      </c>
      <c r="S1212">
        <v>4.87</v>
      </c>
      <c r="T1212" t="s">
        <v>4120</v>
      </c>
    </row>
    <row r="1213" spans="1:20" x14ac:dyDescent="0.25">
      <c r="A1213" s="1" t="str">
        <f>HYPERLINK("https://vegkart.atlas.vegvesen.no/#/@-28671.6,6711114.5,18/hva:hva%5B0%5D%5Bfilter%5D%5B0%5D%5Boperator%5D=%21%3D&amp;hva%5B0%5D%5Bfilter%5D%5B0%5D%5Btype_id%5D=9736&amp;hva%5B0%5D%5Bfilter%5D%5B0%5D%5Bverdi%5D=&amp;hva%5B0%5D%5Bid%5D=853/når:2024-10-11", "Vegkart")</f>
        <v>Vegkart</v>
      </c>
      <c r="B1213">
        <v>1019947453</v>
      </c>
      <c r="C1213">
        <v>853</v>
      </c>
      <c r="D1213" t="s">
        <v>2935</v>
      </c>
      <c r="E1213">
        <v>9736</v>
      </c>
      <c r="F1213" t="s">
        <v>23479</v>
      </c>
      <c r="G1213">
        <v>1</v>
      </c>
      <c r="H1213" t="s">
        <v>2051</v>
      </c>
      <c r="J1213" t="s">
        <v>4121</v>
      </c>
      <c r="K1213" t="s">
        <v>21</v>
      </c>
      <c r="L1213" t="s">
        <v>80</v>
      </c>
      <c r="M1213" t="s">
        <v>81</v>
      </c>
      <c r="N1213" t="s">
        <v>4122</v>
      </c>
      <c r="O1213" t="s">
        <v>4123</v>
      </c>
      <c r="P1213" s="2" t="s">
        <v>26</v>
      </c>
      <c r="Q1213" t="s">
        <v>50</v>
      </c>
      <c r="R1213">
        <v>0.09</v>
      </c>
      <c r="S1213">
        <v>3.64</v>
      </c>
      <c r="T1213" t="s">
        <v>4124</v>
      </c>
    </row>
    <row r="1214" spans="1:20" x14ac:dyDescent="0.25">
      <c r="A1214" s="1" t="str">
        <f>HYPERLINK("https://vegkart.atlas.vegvesen.no/#/@-28669.9,6711128.1,18/hva:hva%5B0%5D%5Bfilter%5D%5B0%5D%5Boperator%5D=%21%3D&amp;hva%5B0%5D%5Bfilter%5D%5B0%5D%5Btype_id%5D=9736&amp;hva%5B0%5D%5Bfilter%5D%5B0%5D%5Bverdi%5D=&amp;hva%5B0%5D%5Bid%5D=853/når:2024-10-11", "Vegkart")</f>
        <v>Vegkart</v>
      </c>
      <c r="B1214">
        <v>1019947455</v>
      </c>
      <c r="C1214">
        <v>853</v>
      </c>
      <c r="D1214" t="s">
        <v>2935</v>
      </c>
      <c r="E1214">
        <v>9736</v>
      </c>
      <c r="F1214" t="s">
        <v>23479</v>
      </c>
      <c r="G1214">
        <v>1</v>
      </c>
      <c r="H1214" t="s">
        <v>2051</v>
      </c>
      <c r="J1214" t="s">
        <v>4121</v>
      </c>
      <c r="K1214" t="s">
        <v>21</v>
      </c>
      <c r="L1214" t="s">
        <v>80</v>
      </c>
      <c r="M1214" t="s">
        <v>81</v>
      </c>
      <c r="N1214" t="s">
        <v>4125</v>
      </c>
      <c r="O1214" t="s">
        <v>4126</v>
      </c>
      <c r="P1214" s="2" t="s">
        <v>26</v>
      </c>
      <c r="Q1214" t="s">
        <v>50</v>
      </c>
      <c r="R1214">
        <v>0.02</v>
      </c>
      <c r="S1214">
        <v>5.16</v>
      </c>
      <c r="T1214" t="s">
        <v>4127</v>
      </c>
    </row>
    <row r="1215" spans="1:20" x14ac:dyDescent="0.25">
      <c r="A1215" s="1" t="str">
        <f>HYPERLINK("https://vegkart.atlas.vegvesen.no/#/@-28626.1,6711242.7,18/hva:hva%5B0%5D%5Bfilter%5D%5B0%5D%5Boperator%5D=%21%3D&amp;hva%5B0%5D%5Bfilter%5D%5B0%5D%5Btype_id%5D=9736&amp;hva%5B0%5D%5Bfilter%5D%5B0%5D%5Bverdi%5D=&amp;hva%5B0%5D%5Bid%5D=853/når:2024-10-11", "Vegkart")</f>
        <v>Vegkart</v>
      </c>
      <c r="B1215">
        <v>1019947456</v>
      </c>
      <c r="C1215">
        <v>853</v>
      </c>
      <c r="D1215" t="s">
        <v>2935</v>
      </c>
      <c r="E1215">
        <v>9736</v>
      </c>
      <c r="F1215" t="s">
        <v>23479</v>
      </c>
      <c r="G1215">
        <v>1</v>
      </c>
      <c r="H1215" t="s">
        <v>2051</v>
      </c>
      <c r="J1215" t="s">
        <v>4121</v>
      </c>
      <c r="K1215" t="s">
        <v>21</v>
      </c>
      <c r="L1215" t="s">
        <v>80</v>
      </c>
      <c r="M1215" t="s">
        <v>81</v>
      </c>
      <c r="N1215" t="s">
        <v>4128</v>
      </c>
      <c r="O1215" t="s">
        <v>4129</v>
      </c>
      <c r="P1215" s="2" t="s">
        <v>26</v>
      </c>
      <c r="Q1215" t="s">
        <v>50</v>
      </c>
      <c r="R1215">
        <v>0.01</v>
      </c>
      <c r="S1215">
        <v>3.61</v>
      </c>
      <c r="T1215" t="s">
        <v>4130</v>
      </c>
    </row>
    <row r="1216" spans="1:20" x14ac:dyDescent="0.25">
      <c r="A1216" s="1" t="str">
        <f>HYPERLINK("https://vegkart.atlas.vegvesen.no/#/@-17588.9,6736205.0,18/hva:hva%5B0%5D%5Bfilter%5D%5B0%5D%5Boperator%5D=%21%3D&amp;hva%5B0%5D%5Bfilter%5D%5B0%5D%5Btype_id%5D=9736&amp;hva%5B0%5D%5Bfilter%5D%5B0%5D%5Bverdi%5D=&amp;hva%5B0%5D%5Bid%5D=853/når:2024-10-11", "Vegkart")</f>
        <v>Vegkart</v>
      </c>
      <c r="B1216">
        <v>1019947457</v>
      </c>
      <c r="C1216">
        <v>853</v>
      </c>
      <c r="D1216" t="s">
        <v>2935</v>
      </c>
      <c r="E1216">
        <v>9736</v>
      </c>
      <c r="F1216" t="s">
        <v>23479</v>
      </c>
      <c r="G1216">
        <v>1</v>
      </c>
      <c r="H1216" t="s">
        <v>2051</v>
      </c>
      <c r="J1216" t="s">
        <v>4121</v>
      </c>
      <c r="K1216" t="s">
        <v>21</v>
      </c>
      <c r="L1216" t="s">
        <v>80</v>
      </c>
      <c r="M1216" t="s">
        <v>152</v>
      </c>
      <c r="N1216" t="s">
        <v>4131</v>
      </c>
      <c r="O1216" t="s">
        <v>4132</v>
      </c>
      <c r="P1216" s="2" t="s">
        <v>26</v>
      </c>
      <c r="Q1216" t="s">
        <v>50</v>
      </c>
      <c r="R1216">
        <v>0.11</v>
      </c>
      <c r="S1216">
        <v>6.77</v>
      </c>
      <c r="T1216" t="s">
        <v>4133</v>
      </c>
    </row>
    <row r="1217" spans="1:20" x14ac:dyDescent="0.25">
      <c r="A1217" s="1" t="str">
        <f>HYPERLINK("https://vegkart.atlas.vegvesen.no/#/@-26919.5,6693785.1,18/hva:hva%5B0%5D%5Bfilter%5D%5B0%5D%5Boperator%5D=%21%3D&amp;hva%5B0%5D%5Bfilter%5D%5B0%5D%5Btype_id%5D=9736&amp;hva%5B0%5D%5Bfilter%5D%5B0%5D%5Bverdi%5D=&amp;hva%5B0%5D%5Bid%5D=853/når:2024-11-20", "Vegkart")</f>
        <v>Vegkart</v>
      </c>
      <c r="B1217">
        <v>1021199731</v>
      </c>
      <c r="C1217">
        <v>853</v>
      </c>
      <c r="D1217" t="s">
        <v>2935</v>
      </c>
      <c r="E1217">
        <v>9736</v>
      </c>
      <c r="F1217" t="s">
        <v>23479</v>
      </c>
      <c r="G1217">
        <v>1</v>
      </c>
      <c r="H1217" t="s">
        <v>4134</v>
      </c>
      <c r="J1217" t="s">
        <v>4121</v>
      </c>
      <c r="K1217" t="s">
        <v>21</v>
      </c>
      <c r="L1217" t="s">
        <v>33</v>
      </c>
      <c r="M1217" t="s">
        <v>4135</v>
      </c>
      <c r="N1217" t="s">
        <v>4136</v>
      </c>
      <c r="O1217" t="s">
        <v>4137</v>
      </c>
      <c r="P1217" s="2" t="s">
        <v>26</v>
      </c>
      <c r="Q1217" t="s">
        <v>50</v>
      </c>
      <c r="R1217">
        <v>0.23</v>
      </c>
      <c r="S1217">
        <v>0.23</v>
      </c>
      <c r="T1217" t="s">
        <v>4138</v>
      </c>
    </row>
    <row r="1218" spans="1:20" x14ac:dyDescent="0.25">
      <c r="A1218" s="1" t="str">
        <f>HYPERLINK("https://vegkart.atlas.vegvesen.no/#/@539880.1,7587953.6,18/hva:hva%5B0%5D%5Bfilter%5D%5B0%5D%5Boperator%5D=%21%3D&amp;hva%5B0%5D%5Bfilter%5D%5B0%5D%5Btype_id%5D=9736&amp;hva%5B0%5D%5Bfilter%5D%5B0%5D%5Bverdi%5D=&amp;hva%5B0%5D%5Bid%5D=853/når:2024-12-19", "Vegkart")</f>
        <v>Vegkart</v>
      </c>
      <c r="B1218">
        <v>1021395339</v>
      </c>
      <c r="C1218">
        <v>853</v>
      </c>
      <c r="D1218" t="s">
        <v>2935</v>
      </c>
      <c r="E1218">
        <v>9736</v>
      </c>
      <c r="F1218" t="s">
        <v>23479</v>
      </c>
      <c r="G1218">
        <v>1</v>
      </c>
      <c r="H1218" t="s">
        <v>2284</v>
      </c>
      <c r="J1218" t="s">
        <v>4139</v>
      </c>
      <c r="K1218" t="s">
        <v>53</v>
      </c>
      <c r="L1218" t="s">
        <v>33</v>
      </c>
      <c r="M1218" t="s">
        <v>4140</v>
      </c>
      <c r="N1218" t="s">
        <v>4141</v>
      </c>
      <c r="O1218" t="s">
        <v>4142</v>
      </c>
      <c r="P1218" s="2" t="s">
        <v>26</v>
      </c>
      <c r="Q1218" t="s">
        <v>50</v>
      </c>
      <c r="R1218">
        <v>0</v>
      </c>
      <c r="S1218">
        <v>4.72</v>
      </c>
      <c r="T1218" t="s">
        <v>4143</v>
      </c>
    </row>
    <row r="1219" spans="1:20" x14ac:dyDescent="0.25">
      <c r="A1219" s="1" t="str">
        <f>HYPERLINK("https://vegkart.atlas.vegvesen.no/#/@1267.9,6587051.9,18/hva:hva%5B0%5D%5Bfilter%5D%5B0%5D%5Boperator%5D=%21%3D&amp;hva%5B0%5D%5Bfilter%5D%5B0%5D%5Btype_id%5D=9736&amp;hva%5B0%5D%5Bfilter%5D%5B0%5D%5Bverdi%5D=&amp;hva%5B0%5D%5Bid%5D=853/når:2025-01-17", "Vegkart")</f>
        <v>Vegkart</v>
      </c>
      <c r="B1219">
        <v>1021976326</v>
      </c>
      <c r="C1219">
        <v>853</v>
      </c>
      <c r="D1219" t="s">
        <v>2935</v>
      </c>
      <c r="E1219">
        <v>9736</v>
      </c>
      <c r="F1219" t="s">
        <v>23479</v>
      </c>
      <c r="G1219">
        <v>1</v>
      </c>
      <c r="H1219" t="s">
        <v>4144</v>
      </c>
      <c r="J1219" t="s">
        <v>4145</v>
      </c>
      <c r="K1219" t="s">
        <v>170</v>
      </c>
      <c r="L1219" t="s">
        <v>33</v>
      </c>
      <c r="M1219" t="s">
        <v>4146</v>
      </c>
      <c r="N1219" t="s">
        <v>4147</v>
      </c>
      <c r="O1219" t="s">
        <v>4148</v>
      </c>
      <c r="P1219" s="2" t="s">
        <v>26</v>
      </c>
      <c r="Q1219" t="s">
        <v>50</v>
      </c>
      <c r="R1219">
        <v>0</v>
      </c>
      <c r="S1219">
        <v>4.83</v>
      </c>
      <c r="T1219" t="s">
        <v>4149</v>
      </c>
    </row>
    <row r="1220" spans="1:20" x14ac:dyDescent="0.25">
      <c r="A1220" s="1" t="str">
        <f>HYPERLINK("https://vegkart.atlas.vegvesen.no/#/@990.3,6587047.1,18/hva:hva%5B0%5D%5Bfilter%5D%5B0%5D%5Boperator%5D=%21%3D&amp;hva%5B0%5D%5Bfilter%5D%5B0%5D%5Btype_id%5D=9736&amp;hva%5B0%5D%5Bfilter%5D%5B0%5D%5Bverdi%5D=&amp;hva%5B0%5D%5Bid%5D=853/når:2025-01-17", "Vegkart")</f>
        <v>Vegkart</v>
      </c>
      <c r="B1220">
        <v>1021976327</v>
      </c>
      <c r="C1220">
        <v>853</v>
      </c>
      <c r="D1220" t="s">
        <v>2935</v>
      </c>
      <c r="E1220">
        <v>9736</v>
      </c>
      <c r="F1220" t="s">
        <v>23479</v>
      </c>
      <c r="G1220">
        <v>1</v>
      </c>
      <c r="H1220" t="s">
        <v>4144</v>
      </c>
      <c r="J1220" t="s">
        <v>4145</v>
      </c>
      <c r="K1220" t="s">
        <v>170</v>
      </c>
      <c r="L1220" t="s">
        <v>33</v>
      </c>
      <c r="M1220" t="s">
        <v>4146</v>
      </c>
      <c r="N1220" t="s">
        <v>4150</v>
      </c>
      <c r="O1220" t="s">
        <v>4151</v>
      </c>
      <c r="P1220" s="2" t="s">
        <v>26</v>
      </c>
      <c r="Q1220" t="s">
        <v>50</v>
      </c>
      <c r="R1220">
        <v>0</v>
      </c>
      <c r="S1220">
        <v>4.8</v>
      </c>
      <c r="T1220" t="s">
        <v>4152</v>
      </c>
    </row>
    <row r="1221" spans="1:20" x14ac:dyDescent="0.25">
      <c r="A1221" s="1" t="str">
        <f>HYPERLINK("https://vegkart.atlas.vegvesen.no/#/@1159.4,6587017.7,18/hva:hva%5B0%5D%5Bfilter%5D%5B0%5D%5Boperator%5D=%21%3D&amp;hva%5B0%5D%5Bfilter%5D%5B0%5D%5Btype_id%5D=9736&amp;hva%5B0%5D%5Bfilter%5D%5B0%5D%5Bverdi%5D=&amp;hva%5B0%5D%5Bid%5D=853/når:2025-01-17", "Vegkart")</f>
        <v>Vegkart</v>
      </c>
      <c r="B1221">
        <v>1021976328</v>
      </c>
      <c r="C1221">
        <v>853</v>
      </c>
      <c r="D1221" t="s">
        <v>2935</v>
      </c>
      <c r="E1221">
        <v>9736</v>
      </c>
      <c r="F1221" t="s">
        <v>23479</v>
      </c>
      <c r="G1221">
        <v>1</v>
      </c>
      <c r="H1221" t="s">
        <v>4144</v>
      </c>
      <c r="J1221" t="s">
        <v>4145</v>
      </c>
      <c r="K1221" t="s">
        <v>170</v>
      </c>
      <c r="L1221" t="s">
        <v>33</v>
      </c>
      <c r="M1221" t="s">
        <v>4146</v>
      </c>
      <c r="N1221" t="s">
        <v>4153</v>
      </c>
      <c r="O1221" t="s">
        <v>4154</v>
      </c>
      <c r="P1221" s="2" t="s">
        <v>26</v>
      </c>
      <c r="Q1221" t="s">
        <v>50</v>
      </c>
      <c r="R1221">
        <v>0</v>
      </c>
      <c r="S1221">
        <v>4.8499999999999996</v>
      </c>
      <c r="T1221" t="s">
        <v>4155</v>
      </c>
    </row>
    <row r="1222" spans="1:20" x14ac:dyDescent="0.25">
      <c r="A1222" s="1" t="str">
        <f>HYPERLINK("https://vegkart.atlas.vegvesen.no/#/@988.9,6587038.7,18/hva:hva%5B0%5D%5Bfilter%5D%5B0%5D%5Boperator%5D=%21%3D&amp;hva%5B0%5D%5Bfilter%5D%5B0%5D%5Btype_id%5D=9736&amp;hva%5B0%5D%5Bfilter%5D%5B0%5D%5Bverdi%5D=&amp;hva%5B0%5D%5Bid%5D=853/når:2025-01-17", "Vegkart")</f>
        <v>Vegkart</v>
      </c>
      <c r="B1222">
        <v>1021976329</v>
      </c>
      <c r="C1222">
        <v>853</v>
      </c>
      <c r="D1222" t="s">
        <v>2935</v>
      </c>
      <c r="E1222">
        <v>9736</v>
      </c>
      <c r="F1222" t="s">
        <v>23479</v>
      </c>
      <c r="G1222">
        <v>1</v>
      </c>
      <c r="H1222" t="s">
        <v>4144</v>
      </c>
      <c r="J1222" t="s">
        <v>4145</v>
      </c>
      <c r="K1222" t="s">
        <v>170</v>
      </c>
      <c r="L1222" t="s">
        <v>33</v>
      </c>
      <c r="M1222" t="s">
        <v>4146</v>
      </c>
      <c r="N1222" t="s">
        <v>4156</v>
      </c>
      <c r="O1222" t="s">
        <v>4157</v>
      </c>
      <c r="P1222" s="2" t="s">
        <v>26</v>
      </c>
      <c r="Q1222" t="s">
        <v>50</v>
      </c>
      <c r="R1222">
        <v>0</v>
      </c>
      <c r="S1222">
        <v>4.8</v>
      </c>
      <c r="T1222" t="s">
        <v>4158</v>
      </c>
    </row>
    <row r="1223" spans="1:20" x14ac:dyDescent="0.25">
      <c r="A1223" s="1" t="str">
        <f>HYPERLINK("https://vegkart.atlas.vegvesen.no/#/@1212.7,6587029.7,18/hva:hva%5B0%5D%5Bfilter%5D%5B0%5D%5Boperator%5D=%21%3D&amp;hva%5B0%5D%5Bfilter%5D%5B0%5D%5Btype_id%5D=9736&amp;hva%5B0%5D%5Bfilter%5D%5B0%5D%5Bverdi%5D=&amp;hva%5B0%5D%5Bid%5D=853/når:2025-01-17", "Vegkart")</f>
        <v>Vegkart</v>
      </c>
      <c r="B1223">
        <v>1021976330</v>
      </c>
      <c r="C1223">
        <v>853</v>
      </c>
      <c r="D1223" t="s">
        <v>2935</v>
      </c>
      <c r="E1223">
        <v>9736</v>
      </c>
      <c r="F1223" t="s">
        <v>23479</v>
      </c>
      <c r="G1223">
        <v>1</v>
      </c>
      <c r="H1223" t="s">
        <v>4144</v>
      </c>
      <c r="J1223" t="s">
        <v>4145</v>
      </c>
      <c r="K1223" t="s">
        <v>170</v>
      </c>
      <c r="L1223" t="s">
        <v>33</v>
      </c>
      <c r="M1223" t="s">
        <v>4146</v>
      </c>
      <c r="N1223" t="s">
        <v>4159</v>
      </c>
      <c r="O1223" t="s">
        <v>4160</v>
      </c>
      <c r="P1223" s="2" t="s">
        <v>26</v>
      </c>
      <c r="Q1223" t="s">
        <v>50</v>
      </c>
      <c r="R1223">
        <v>0</v>
      </c>
      <c r="S1223">
        <v>4.8499999999999996</v>
      </c>
      <c r="T1223" t="s">
        <v>4161</v>
      </c>
    </row>
    <row r="1224" spans="1:20" x14ac:dyDescent="0.25">
      <c r="A1224" s="1" t="str">
        <f>HYPERLINK("https://vegkart.atlas.vegvesen.no/#/@1264.1,6587059.0,18/hva:hva%5B0%5D%5Bfilter%5D%5B0%5D%5Boperator%5D=%21%3D&amp;hva%5B0%5D%5Bfilter%5D%5B0%5D%5Btype_id%5D=9736&amp;hva%5B0%5D%5Bfilter%5D%5B0%5D%5Bverdi%5D=&amp;hva%5B0%5D%5Bid%5D=853/når:2025-01-17", "Vegkart")</f>
        <v>Vegkart</v>
      </c>
      <c r="B1224">
        <v>1021976331</v>
      </c>
      <c r="C1224">
        <v>853</v>
      </c>
      <c r="D1224" t="s">
        <v>2935</v>
      </c>
      <c r="E1224">
        <v>9736</v>
      </c>
      <c r="F1224" t="s">
        <v>23479</v>
      </c>
      <c r="G1224">
        <v>1</v>
      </c>
      <c r="H1224" t="s">
        <v>4144</v>
      </c>
      <c r="J1224" t="s">
        <v>4145</v>
      </c>
      <c r="K1224" t="s">
        <v>170</v>
      </c>
      <c r="L1224" t="s">
        <v>33</v>
      </c>
      <c r="M1224" t="s">
        <v>4146</v>
      </c>
      <c r="N1224" t="s">
        <v>4147</v>
      </c>
      <c r="O1224" t="s">
        <v>4162</v>
      </c>
      <c r="P1224" s="2" t="s">
        <v>26</v>
      </c>
      <c r="Q1224" t="s">
        <v>50</v>
      </c>
      <c r="R1224">
        <v>0</v>
      </c>
      <c r="S1224">
        <v>4.76</v>
      </c>
      <c r="T1224" t="s">
        <v>4163</v>
      </c>
    </row>
    <row r="1225" spans="1:20" x14ac:dyDescent="0.25">
      <c r="A1225" s="1" t="str">
        <f>HYPERLINK("https://vegkart.atlas.vegvesen.no/#/@262803.6,6651652.1,18/hva:hva%5B0%5D%5Bfilter%5D%5B0%5D%5Boperator%5D=%21%3D&amp;hva%5B0%5D%5Bfilter%5D%5B0%5D%5Btype_id%5D=9736&amp;hva%5B0%5D%5Bfilter%5D%5B0%5D%5Bverdi%5D=&amp;hva%5B0%5D%5Bid%5D=853/når:2025-02-04", "Vegkart")</f>
        <v>Vegkart</v>
      </c>
      <c r="B1225">
        <v>1022055293</v>
      </c>
      <c r="C1225">
        <v>853</v>
      </c>
      <c r="D1225" t="s">
        <v>2935</v>
      </c>
      <c r="E1225">
        <v>9736</v>
      </c>
      <c r="F1225" t="s">
        <v>23479</v>
      </c>
      <c r="G1225">
        <v>1</v>
      </c>
      <c r="H1225" t="s">
        <v>4164</v>
      </c>
      <c r="J1225" t="s">
        <v>4145</v>
      </c>
      <c r="K1225" t="s">
        <v>335</v>
      </c>
      <c r="L1225" t="s">
        <v>22</v>
      </c>
      <c r="M1225" t="s">
        <v>4165</v>
      </c>
      <c r="N1225" t="s">
        <v>4166</v>
      </c>
      <c r="O1225" t="s">
        <v>4167</v>
      </c>
      <c r="P1225" s="2" t="s">
        <v>26</v>
      </c>
      <c r="Q1225" t="s">
        <v>50</v>
      </c>
      <c r="R1225">
        <v>0</v>
      </c>
      <c r="S1225">
        <v>5.13</v>
      </c>
      <c r="T1225" t="s">
        <v>4168</v>
      </c>
    </row>
    <row r="1226" spans="1:20" x14ac:dyDescent="0.25">
      <c r="A1226" s="1" t="str">
        <f>HYPERLINK("https://vegkart.atlas.vegvesen.no/#/@262678.8,6651683.7,18/hva:hva%5B0%5D%5Bfilter%5D%5B0%5D%5Boperator%5D=%21%3D&amp;hva%5B0%5D%5Bfilter%5D%5B0%5D%5Btype_id%5D=9736&amp;hva%5B0%5D%5Bfilter%5D%5B0%5D%5Bverdi%5D=&amp;hva%5B0%5D%5Bid%5D=853/når:2025-02-04", "Vegkart")</f>
        <v>Vegkart</v>
      </c>
      <c r="B1226">
        <v>1022055299</v>
      </c>
      <c r="C1226">
        <v>853</v>
      </c>
      <c r="D1226" t="s">
        <v>2935</v>
      </c>
      <c r="E1226">
        <v>9736</v>
      </c>
      <c r="F1226" t="s">
        <v>23479</v>
      </c>
      <c r="G1226">
        <v>1</v>
      </c>
      <c r="H1226" t="s">
        <v>4164</v>
      </c>
      <c r="J1226" t="s">
        <v>4145</v>
      </c>
      <c r="K1226" t="s">
        <v>335</v>
      </c>
      <c r="L1226" t="s">
        <v>22</v>
      </c>
      <c r="M1226" t="s">
        <v>4165</v>
      </c>
      <c r="N1226" t="s">
        <v>4169</v>
      </c>
      <c r="O1226" t="s">
        <v>4170</v>
      </c>
      <c r="P1226" s="2" t="s">
        <v>26</v>
      </c>
      <c r="Q1226" t="s">
        <v>50</v>
      </c>
      <c r="R1226">
        <v>0</v>
      </c>
      <c r="S1226">
        <v>5.13</v>
      </c>
      <c r="T1226" t="s">
        <v>4171</v>
      </c>
    </row>
    <row r="1227" spans="1:20" x14ac:dyDescent="0.25">
      <c r="A1227" s="1" t="str">
        <f>HYPERLINK("https://vegkart.atlas.vegvesen.no/#/@262691.0,6651681.5,18/hva:hva%5B0%5D%5Bfilter%5D%5B0%5D%5Boperator%5D=%21%3D&amp;hva%5B0%5D%5Bfilter%5D%5B0%5D%5Btype_id%5D=9736&amp;hva%5B0%5D%5Bfilter%5D%5B0%5D%5Bverdi%5D=&amp;hva%5B0%5D%5Bid%5D=853/når:2025-02-04", "Vegkart")</f>
        <v>Vegkart</v>
      </c>
      <c r="B1227">
        <v>1022055305</v>
      </c>
      <c r="C1227">
        <v>853</v>
      </c>
      <c r="D1227" t="s">
        <v>2935</v>
      </c>
      <c r="E1227">
        <v>9736</v>
      </c>
      <c r="F1227" t="s">
        <v>23479</v>
      </c>
      <c r="G1227">
        <v>1</v>
      </c>
      <c r="H1227" t="s">
        <v>4164</v>
      </c>
      <c r="J1227" t="s">
        <v>4145</v>
      </c>
      <c r="K1227" t="s">
        <v>335</v>
      </c>
      <c r="L1227" t="s">
        <v>22</v>
      </c>
      <c r="M1227" t="s">
        <v>4165</v>
      </c>
      <c r="N1227" t="s">
        <v>4172</v>
      </c>
      <c r="O1227" t="s">
        <v>4173</v>
      </c>
      <c r="P1227" s="2" t="s">
        <v>26</v>
      </c>
      <c r="Q1227" t="s">
        <v>50</v>
      </c>
      <c r="R1227">
        <v>0.02</v>
      </c>
      <c r="S1227">
        <v>5.1100000000000003</v>
      </c>
      <c r="T1227" t="s">
        <v>4174</v>
      </c>
    </row>
    <row r="1228" spans="1:20" x14ac:dyDescent="0.25">
      <c r="A1228" s="1" t="str">
        <f>HYPERLINK("https://vegkart.atlas.vegvesen.no/#/@262914.4,6651621.1,18/hva:hva%5B0%5D%5Bfilter%5D%5B0%5D%5Boperator%5D=%21%3D&amp;hva%5B0%5D%5Bfilter%5D%5B0%5D%5Btype_id%5D=9736&amp;hva%5B0%5D%5Bfilter%5D%5B0%5D%5Bverdi%5D=&amp;hva%5B0%5D%5Bid%5D=853/når:2025-02-04", "Vegkart")</f>
        <v>Vegkart</v>
      </c>
      <c r="B1228">
        <v>1022055319</v>
      </c>
      <c r="C1228">
        <v>853</v>
      </c>
      <c r="D1228" t="s">
        <v>2935</v>
      </c>
      <c r="E1228">
        <v>9736</v>
      </c>
      <c r="F1228" t="s">
        <v>23479</v>
      </c>
      <c r="G1228">
        <v>1</v>
      </c>
      <c r="H1228" t="s">
        <v>4164</v>
      </c>
      <c r="J1228" t="s">
        <v>4145</v>
      </c>
      <c r="K1228" t="s">
        <v>335</v>
      </c>
      <c r="L1228" t="s">
        <v>22</v>
      </c>
      <c r="M1228" t="s">
        <v>4165</v>
      </c>
      <c r="N1228" t="s">
        <v>4175</v>
      </c>
      <c r="O1228" t="s">
        <v>4176</v>
      </c>
      <c r="P1228" s="2" t="s">
        <v>26</v>
      </c>
      <c r="Q1228" t="s">
        <v>50</v>
      </c>
      <c r="R1228">
        <v>0</v>
      </c>
      <c r="S1228">
        <v>4.7300000000000004</v>
      </c>
      <c r="T1228" t="s">
        <v>4177</v>
      </c>
    </row>
    <row r="1229" spans="1:20" x14ac:dyDescent="0.25">
      <c r="A1229" s="1" t="str">
        <f>HYPERLINK("https://vegkart.atlas.vegvesen.no/#/@262630.2,6651677.6,18/hva:hva%5B0%5D%5Bfilter%5D%5B0%5D%5Boperator%5D=%21%3D&amp;hva%5B0%5D%5Bfilter%5D%5B0%5D%5Btype_id%5D=9736&amp;hva%5B0%5D%5Bfilter%5D%5B0%5D%5Bverdi%5D=&amp;hva%5B0%5D%5Bid%5D=853/når:2025-02-04", "Vegkart")</f>
        <v>Vegkart</v>
      </c>
      <c r="B1229">
        <v>1022055322</v>
      </c>
      <c r="C1229">
        <v>853</v>
      </c>
      <c r="D1229" t="s">
        <v>2935</v>
      </c>
      <c r="E1229">
        <v>9736</v>
      </c>
      <c r="F1229" t="s">
        <v>23479</v>
      </c>
      <c r="G1229">
        <v>1</v>
      </c>
      <c r="H1229" t="s">
        <v>4164</v>
      </c>
      <c r="J1229" t="s">
        <v>4145</v>
      </c>
      <c r="K1229" t="s">
        <v>335</v>
      </c>
      <c r="L1229" t="s">
        <v>22</v>
      </c>
      <c r="M1229" t="s">
        <v>4178</v>
      </c>
      <c r="N1229" t="s">
        <v>4179</v>
      </c>
      <c r="O1229" t="s">
        <v>4180</v>
      </c>
      <c r="P1229" s="2" t="s">
        <v>26</v>
      </c>
      <c r="Q1229" t="s">
        <v>50</v>
      </c>
      <c r="R1229">
        <v>0</v>
      </c>
      <c r="S1229">
        <v>5.13</v>
      </c>
      <c r="T1229" t="s">
        <v>4181</v>
      </c>
    </row>
    <row r="1230" spans="1:20" x14ac:dyDescent="0.25">
      <c r="A1230" s="1" t="str">
        <f>HYPERLINK("https://vegkart.atlas.vegvesen.no/#/@262659.6,6651691.6,18/hva:hva%5B0%5D%5Bfilter%5D%5B0%5D%5Boperator%5D=%21%3D&amp;hva%5B0%5D%5Bfilter%5D%5B0%5D%5Btype_id%5D=9736&amp;hva%5B0%5D%5Bfilter%5D%5B0%5D%5Bverdi%5D=&amp;hva%5B0%5D%5Bid%5D=853/når:2025-02-04", "Vegkart")</f>
        <v>Vegkart</v>
      </c>
      <c r="B1230">
        <v>1022055334</v>
      </c>
      <c r="C1230">
        <v>853</v>
      </c>
      <c r="D1230" t="s">
        <v>2935</v>
      </c>
      <c r="E1230">
        <v>9736</v>
      </c>
      <c r="F1230" t="s">
        <v>23479</v>
      </c>
      <c r="G1230">
        <v>1</v>
      </c>
      <c r="H1230" t="s">
        <v>4164</v>
      </c>
      <c r="J1230" t="s">
        <v>4145</v>
      </c>
      <c r="K1230" t="s">
        <v>335</v>
      </c>
      <c r="L1230" t="s">
        <v>22</v>
      </c>
      <c r="M1230" t="s">
        <v>4178</v>
      </c>
      <c r="N1230" t="s">
        <v>4182</v>
      </c>
      <c r="O1230" t="s">
        <v>4183</v>
      </c>
      <c r="P1230" s="2" t="s">
        <v>26</v>
      </c>
      <c r="Q1230" t="s">
        <v>50</v>
      </c>
      <c r="R1230">
        <v>0</v>
      </c>
      <c r="S1230">
        <v>2.85</v>
      </c>
      <c r="T1230" t="s">
        <v>4184</v>
      </c>
    </row>
    <row r="1231" spans="1:20" x14ac:dyDescent="0.25">
      <c r="A1231" s="1" t="str">
        <f>HYPERLINK("https://vegkart.atlas.vegvesen.no/#/@79989.8,6512578.1,18/hva:hva%5B0%5D%5Bfilter%5D%5B0%5D%5Boperator%5D=%21%3D&amp;hva%5B0%5D%5Bfilter%5D%5B0%5D%5Btype_id%5D=9736&amp;hva%5B0%5D%5Bfilter%5D%5B0%5D%5Bverdi%5D=&amp;hva%5B0%5D%5Bid%5D=853/når:2025-03-17", "Vegkart")</f>
        <v>Vegkart</v>
      </c>
      <c r="B1231">
        <v>1022328684</v>
      </c>
      <c r="C1231">
        <v>853</v>
      </c>
      <c r="D1231" t="s">
        <v>2935</v>
      </c>
      <c r="E1231">
        <v>9736</v>
      </c>
      <c r="F1231" t="s">
        <v>23479</v>
      </c>
      <c r="G1231">
        <v>1</v>
      </c>
      <c r="H1231" t="s">
        <v>1775</v>
      </c>
      <c r="J1231" t="s">
        <v>4185</v>
      </c>
      <c r="K1231" t="s">
        <v>86</v>
      </c>
      <c r="L1231" t="s">
        <v>113</v>
      </c>
      <c r="M1231" t="s">
        <v>667</v>
      </c>
      <c r="N1231" t="s">
        <v>4186</v>
      </c>
      <c r="O1231" t="s">
        <v>4187</v>
      </c>
      <c r="P1231" s="2" t="s">
        <v>26</v>
      </c>
      <c r="Q1231" t="s">
        <v>50</v>
      </c>
      <c r="R1231">
        <v>0</v>
      </c>
      <c r="S1231">
        <v>4.55</v>
      </c>
      <c r="T1231" t="s">
        <v>4188</v>
      </c>
    </row>
    <row r="1232" spans="1:20" x14ac:dyDescent="0.25">
      <c r="A1232" s="1" t="str">
        <f>HYPERLINK("https://vegkart.atlas.vegvesen.no/#/@79848.8,6512920.6,18/hva:hva%5B0%5D%5Bfilter%5D%5B0%5D%5Boperator%5D=%21%3D&amp;hva%5B0%5D%5Bfilter%5D%5B0%5D%5Btype_id%5D=9736&amp;hva%5B0%5D%5Bfilter%5D%5B0%5D%5Bverdi%5D=&amp;hva%5B0%5D%5Bid%5D=853/når:2025-03-17", "Vegkart")</f>
        <v>Vegkart</v>
      </c>
      <c r="B1232">
        <v>1022328686</v>
      </c>
      <c r="C1232">
        <v>853</v>
      </c>
      <c r="D1232" t="s">
        <v>2935</v>
      </c>
      <c r="E1232">
        <v>9736</v>
      </c>
      <c r="F1232" t="s">
        <v>23479</v>
      </c>
      <c r="G1232">
        <v>1</v>
      </c>
      <c r="H1232" t="s">
        <v>1775</v>
      </c>
      <c r="J1232" t="s">
        <v>4185</v>
      </c>
      <c r="K1232" t="s">
        <v>86</v>
      </c>
      <c r="L1232" t="s">
        <v>113</v>
      </c>
      <c r="M1232" t="s">
        <v>667</v>
      </c>
      <c r="N1232" t="s">
        <v>4189</v>
      </c>
      <c r="O1232" t="s">
        <v>4190</v>
      </c>
      <c r="P1232" s="2" t="s">
        <v>26</v>
      </c>
      <c r="Q1232" t="s">
        <v>50</v>
      </c>
      <c r="R1232">
        <v>0</v>
      </c>
      <c r="S1232">
        <v>4.5</v>
      </c>
      <c r="T1232" t="s">
        <v>4191</v>
      </c>
    </row>
    <row r="1233" spans="1:20" x14ac:dyDescent="0.25">
      <c r="A1233" s="1" t="str">
        <f>HYPERLINK("https://vegkart.atlas.vegvesen.no/#/@-19873.2,6665097.5,18/hva:hva%5B0%5D%5Bfilter%5D%5B0%5D%5Boperator%5D=%21%3D&amp;hva%5B0%5D%5Bfilter%5D%5B0%5D%5Btype_id%5D=9736&amp;hva%5B0%5D%5Bfilter%5D%5B0%5D%5Bverdi%5D=&amp;hva%5B0%5D%5Bid%5D=853/når:2025-04-29", "Vegkart")</f>
        <v>Vegkart</v>
      </c>
      <c r="B1233">
        <v>1022501336</v>
      </c>
      <c r="C1233">
        <v>853</v>
      </c>
      <c r="D1233" t="s">
        <v>2935</v>
      </c>
      <c r="E1233">
        <v>9736</v>
      </c>
      <c r="F1233" t="s">
        <v>23479</v>
      </c>
      <c r="G1233">
        <v>1</v>
      </c>
      <c r="H1233" t="s">
        <v>4192</v>
      </c>
      <c r="J1233" t="s">
        <v>4193</v>
      </c>
      <c r="K1233" t="s">
        <v>21</v>
      </c>
      <c r="L1233" t="s">
        <v>33</v>
      </c>
      <c r="M1233" t="s">
        <v>1650</v>
      </c>
      <c r="N1233" t="s">
        <v>4194</v>
      </c>
      <c r="O1233" t="s">
        <v>4195</v>
      </c>
      <c r="P1233" s="2" t="s">
        <v>26</v>
      </c>
      <c r="Q1233" t="s">
        <v>50</v>
      </c>
      <c r="R1233">
        <v>0</v>
      </c>
      <c r="S1233">
        <v>3.76</v>
      </c>
      <c r="T1233" t="s">
        <v>4196</v>
      </c>
    </row>
    <row r="1234" spans="1:20" x14ac:dyDescent="0.25">
      <c r="A1234" s="1" t="str">
        <f>HYPERLINK("https://vegkart.atlas.vegvesen.no/#/@-19863.3,6665097.7,18/hva:hva%5B0%5D%5Bfilter%5D%5B0%5D%5Boperator%5D=%21%3D&amp;hva%5B0%5D%5Bfilter%5D%5B0%5D%5Btype_id%5D=9736&amp;hva%5B0%5D%5Bfilter%5D%5B0%5D%5Bverdi%5D=&amp;hva%5B0%5D%5Bid%5D=853/når:2025-04-29", "Vegkart")</f>
        <v>Vegkart</v>
      </c>
      <c r="B1234">
        <v>1022501341</v>
      </c>
      <c r="C1234">
        <v>853</v>
      </c>
      <c r="D1234" t="s">
        <v>2935</v>
      </c>
      <c r="E1234">
        <v>9736</v>
      </c>
      <c r="F1234" t="s">
        <v>23479</v>
      </c>
      <c r="G1234">
        <v>1</v>
      </c>
      <c r="H1234" t="s">
        <v>4192</v>
      </c>
      <c r="J1234" t="s">
        <v>4193</v>
      </c>
      <c r="K1234" t="s">
        <v>21</v>
      </c>
      <c r="L1234" t="s">
        <v>33</v>
      </c>
      <c r="M1234" t="s">
        <v>1650</v>
      </c>
      <c r="N1234" t="s">
        <v>4197</v>
      </c>
      <c r="O1234" t="s">
        <v>4198</v>
      </c>
      <c r="P1234" s="2" t="s">
        <v>26</v>
      </c>
      <c r="Q1234" t="s">
        <v>50</v>
      </c>
      <c r="R1234">
        <v>0</v>
      </c>
      <c r="S1234">
        <v>4.8</v>
      </c>
      <c r="T1234" t="s">
        <v>4199</v>
      </c>
    </row>
    <row r="1235" spans="1:20" x14ac:dyDescent="0.25">
      <c r="A1235" s="1" t="str">
        <f>HYPERLINK("https://vegkart.atlas.vegvesen.no/#/@-30161.4,6706558.0,18/hva:hva%5B0%5D%5Bfilter%5D%5B0%5D%5Boperator%5D=%21%3D&amp;hva%5B0%5D%5Bfilter%5D%5B0%5D%5Btype_id%5D=9736&amp;hva%5B0%5D%5Bfilter%5D%5B0%5D%5Bverdi%5D=&amp;hva%5B0%5D%5Bid%5D=853/når:2025-05-12", "Vegkart")</f>
        <v>Vegkart</v>
      </c>
      <c r="B1235">
        <v>1022542483</v>
      </c>
      <c r="C1235">
        <v>853</v>
      </c>
      <c r="D1235" t="s">
        <v>2935</v>
      </c>
      <c r="E1235">
        <v>9736</v>
      </c>
      <c r="F1235" t="s">
        <v>23479</v>
      </c>
      <c r="G1235">
        <v>1</v>
      </c>
      <c r="H1235" t="s">
        <v>3903</v>
      </c>
      <c r="J1235" t="s">
        <v>4200</v>
      </c>
      <c r="K1235" t="s">
        <v>21</v>
      </c>
      <c r="L1235" t="s">
        <v>80</v>
      </c>
      <c r="M1235" t="s">
        <v>81</v>
      </c>
      <c r="N1235" t="s">
        <v>4201</v>
      </c>
      <c r="O1235" t="s">
        <v>4202</v>
      </c>
      <c r="P1235" s="2" t="s">
        <v>26</v>
      </c>
      <c r="Q1235" t="s">
        <v>50</v>
      </c>
      <c r="R1235">
        <v>0.5</v>
      </c>
      <c r="S1235">
        <v>3.23</v>
      </c>
      <c r="T1235" t="s">
        <v>4203</v>
      </c>
    </row>
    <row r="1236" spans="1:20" x14ac:dyDescent="0.25">
      <c r="A1236" s="1" t="str">
        <f>HYPERLINK("https://vegkart.atlas.vegvesen.no/#/@-32689.5,6726088.6,18/hva:hva%5B0%5D%5Bfilter%5D%5B0%5D%5Boperator%5D=%21%3D&amp;hva%5B0%5D%5Bfilter%5D%5B0%5D%5Btype_id%5D=9736&amp;hva%5B0%5D%5Bfilter%5D%5B0%5D%5Bverdi%5D=&amp;hva%5B0%5D%5Bid%5D=853/når:2025-07-01", "Vegkart")</f>
        <v>Vegkart</v>
      </c>
      <c r="B1236">
        <v>1024550208</v>
      </c>
      <c r="C1236">
        <v>853</v>
      </c>
      <c r="D1236" t="s">
        <v>2935</v>
      </c>
      <c r="E1236">
        <v>9736</v>
      </c>
      <c r="F1236" t="s">
        <v>23479</v>
      </c>
      <c r="G1236">
        <v>1</v>
      </c>
      <c r="H1236" t="s">
        <v>3969</v>
      </c>
      <c r="J1236" t="s">
        <v>4204</v>
      </c>
      <c r="K1236" t="s">
        <v>21</v>
      </c>
      <c r="L1236" t="s">
        <v>80</v>
      </c>
      <c r="M1236" t="s">
        <v>81</v>
      </c>
      <c r="N1236" t="s">
        <v>4205</v>
      </c>
      <c r="O1236" t="s">
        <v>4206</v>
      </c>
      <c r="P1236" s="2" t="s">
        <v>26</v>
      </c>
      <c r="Q1236" t="s">
        <v>50</v>
      </c>
      <c r="R1236">
        <v>0.09</v>
      </c>
      <c r="S1236">
        <v>5.77</v>
      </c>
      <c r="T1236" t="s">
        <v>4207</v>
      </c>
    </row>
    <row r="1237" spans="1:20" x14ac:dyDescent="0.25">
      <c r="A1237" s="1" t="str">
        <f>HYPERLINK("https://vegkart.atlas.vegvesen.no/#/@-23723.5,6735944.7,18/hva:hva%5B0%5D%5Bfilter%5D%5B0%5D%5Boperator%5D=%21%3D&amp;hva%5B0%5D%5Bfilter%5D%5B0%5D%5Btype_id%5D=9736&amp;hva%5B0%5D%5Bfilter%5D%5B0%5D%5Bverdi%5D=&amp;hva%5B0%5D%5Bid%5D=853/når:2025-07-28", "Vegkart")</f>
        <v>Vegkart</v>
      </c>
      <c r="B1237">
        <v>1024618809</v>
      </c>
      <c r="C1237">
        <v>853</v>
      </c>
      <c r="D1237" t="s">
        <v>2935</v>
      </c>
      <c r="E1237">
        <v>9736</v>
      </c>
      <c r="F1237" t="s">
        <v>23479</v>
      </c>
      <c r="G1237">
        <v>1</v>
      </c>
      <c r="H1237" t="s">
        <v>4208</v>
      </c>
      <c r="J1237" t="s">
        <v>4204</v>
      </c>
      <c r="K1237" t="s">
        <v>21</v>
      </c>
      <c r="L1237" t="s">
        <v>80</v>
      </c>
      <c r="M1237" t="s">
        <v>152</v>
      </c>
      <c r="N1237" t="s">
        <v>4209</v>
      </c>
      <c r="O1237" t="s">
        <v>4210</v>
      </c>
      <c r="P1237" s="2" t="s">
        <v>26</v>
      </c>
      <c r="Q1237" t="s">
        <v>50</v>
      </c>
      <c r="R1237">
        <v>0</v>
      </c>
      <c r="S1237">
        <v>12.91</v>
      </c>
      <c r="T1237" t="s">
        <v>4211</v>
      </c>
    </row>
    <row r="1238" spans="1:20" x14ac:dyDescent="0.25">
      <c r="A1238" s="1" t="str">
        <f>HYPERLINK("https://vegkart.atlas.vegvesen.no/#/@-23741.4,6735951.8,18/hva:hva%5B0%5D%5Bfilter%5D%5B0%5D%5Boperator%5D=%21%3D&amp;hva%5B0%5D%5Bfilter%5D%5B0%5D%5Btype_id%5D=9736&amp;hva%5B0%5D%5Bfilter%5D%5B0%5D%5Bverdi%5D=&amp;hva%5B0%5D%5Bid%5D=853/når:2025-07-28", "Vegkart")</f>
        <v>Vegkart</v>
      </c>
      <c r="B1238">
        <v>1024618810</v>
      </c>
      <c r="C1238">
        <v>853</v>
      </c>
      <c r="D1238" t="s">
        <v>2935</v>
      </c>
      <c r="E1238">
        <v>9736</v>
      </c>
      <c r="F1238" t="s">
        <v>23479</v>
      </c>
      <c r="G1238">
        <v>1</v>
      </c>
      <c r="H1238" t="s">
        <v>4208</v>
      </c>
      <c r="J1238" t="s">
        <v>4204</v>
      </c>
      <c r="K1238" t="s">
        <v>21</v>
      </c>
      <c r="L1238" t="s">
        <v>80</v>
      </c>
      <c r="M1238" t="s">
        <v>152</v>
      </c>
      <c r="N1238" t="s">
        <v>4212</v>
      </c>
      <c r="O1238" t="s">
        <v>4213</v>
      </c>
      <c r="P1238" s="2" t="s">
        <v>26</v>
      </c>
      <c r="Q1238" t="s">
        <v>50</v>
      </c>
      <c r="R1238">
        <v>0</v>
      </c>
      <c r="S1238">
        <v>6.03</v>
      </c>
      <c r="T1238" t="s">
        <v>4214</v>
      </c>
    </row>
    <row r="1239" spans="1:20" x14ac:dyDescent="0.25">
      <c r="A1239" s="1" t="str">
        <f>HYPERLINK("https://vegkart.atlas.vegvesen.no/#/@-23742.7,6735951.6,18/hva:hva%5B0%5D%5Bfilter%5D%5B0%5D%5Boperator%5D=%21%3D&amp;hva%5B0%5D%5Bfilter%5D%5B0%5D%5Btype_id%5D=9736&amp;hva%5B0%5D%5Bfilter%5D%5B0%5D%5Bverdi%5D=&amp;hva%5B0%5D%5Bid%5D=853/når:2025-07-28", "Vegkart")</f>
        <v>Vegkart</v>
      </c>
      <c r="B1239">
        <v>1024618811</v>
      </c>
      <c r="C1239">
        <v>853</v>
      </c>
      <c r="D1239" t="s">
        <v>2935</v>
      </c>
      <c r="E1239">
        <v>9736</v>
      </c>
      <c r="F1239" t="s">
        <v>23479</v>
      </c>
      <c r="G1239">
        <v>1</v>
      </c>
      <c r="H1239" t="s">
        <v>4208</v>
      </c>
      <c r="J1239" t="s">
        <v>4204</v>
      </c>
      <c r="K1239" t="s">
        <v>21</v>
      </c>
      <c r="L1239" t="s">
        <v>80</v>
      </c>
      <c r="M1239" t="s">
        <v>152</v>
      </c>
      <c r="N1239" t="s">
        <v>4215</v>
      </c>
      <c r="O1239" t="s">
        <v>4216</v>
      </c>
      <c r="P1239" s="2" t="s">
        <v>26</v>
      </c>
      <c r="Q1239" t="s">
        <v>50</v>
      </c>
      <c r="R1239">
        <v>0</v>
      </c>
      <c r="S1239">
        <v>6.03</v>
      </c>
      <c r="T1239" t="s">
        <v>4217</v>
      </c>
    </row>
    <row r="1240" spans="1:20" x14ac:dyDescent="0.25">
      <c r="A1240" s="1" t="str">
        <f>HYPERLINK("https://vegkart.atlas.vegvesen.no/#/@-23685.0,6735946.4,18/hva:hva%5B0%5D%5Bfilter%5D%5B0%5D%5Boperator%5D=%21%3D&amp;hva%5B0%5D%5Bfilter%5D%5B0%5D%5Btype_id%5D=9736&amp;hva%5B0%5D%5Bfilter%5D%5B0%5D%5Bverdi%5D=&amp;hva%5B0%5D%5Bid%5D=853/når:2025-07-28", "Vegkart")</f>
        <v>Vegkart</v>
      </c>
      <c r="B1240">
        <v>1024618812</v>
      </c>
      <c r="C1240">
        <v>853</v>
      </c>
      <c r="D1240" t="s">
        <v>2935</v>
      </c>
      <c r="E1240">
        <v>9736</v>
      </c>
      <c r="F1240" t="s">
        <v>23479</v>
      </c>
      <c r="G1240">
        <v>1</v>
      </c>
      <c r="H1240" t="s">
        <v>4208</v>
      </c>
      <c r="J1240" t="s">
        <v>4204</v>
      </c>
      <c r="K1240" t="s">
        <v>21</v>
      </c>
      <c r="L1240" t="s">
        <v>80</v>
      </c>
      <c r="M1240" t="s">
        <v>152</v>
      </c>
      <c r="N1240" t="s">
        <v>4218</v>
      </c>
      <c r="O1240" t="s">
        <v>4219</v>
      </c>
      <c r="P1240" s="2" t="s">
        <v>26</v>
      </c>
      <c r="Q1240" t="s">
        <v>50</v>
      </c>
      <c r="R1240">
        <v>0</v>
      </c>
      <c r="S1240">
        <v>6.3</v>
      </c>
      <c r="T1240" t="s">
        <v>4220</v>
      </c>
    </row>
    <row r="1241" spans="1:20" x14ac:dyDescent="0.25">
      <c r="A1241" s="1" t="str">
        <f>HYPERLINK("https://vegkart.atlas.vegvesen.no/#/@-23686.7,6735946.6,18/hva:hva%5B0%5D%5Bfilter%5D%5B0%5D%5Boperator%5D=%21%3D&amp;hva%5B0%5D%5Bfilter%5D%5B0%5D%5Btype_id%5D=9736&amp;hva%5B0%5D%5Bfilter%5D%5B0%5D%5Bverdi%5D=&amp;hva%5B0%5D%5Bid%5D=853/når:2025-07-28", "Vegkart")</f>
        <v>Vegkart</v>
      </c>
      <c r="B1241">
        <v>1024618813</v>
      </c>
      <c r="C1241">
        <v>853</v>
      </c>
      <c r="D1241" t="s">
        <v>2935</v>
      </c>
      <c r="E1241">
        <v>9736</v>
      </c>
      <c r="F1241" t="s">
        <v>23479</v>
      </c>
      <c r="G1241">
        <v>1</v>
      </c>
      <c r="H1241" t="s">
        <v>4208</v>
      </c>
      <c r="J1241" t="s">
        <v>4204</v>
      </c>
      <c r="K1241" t="s">
        <v>21</v>
      </c>
      <c r="L1241" t="s">
        <v>80</v>
      </c>
      <c r="M1241" t="s">
        <v>152</v>
      </c>
      <c r="N1241" t="s">
        <v>4221</v>
      </c>
      <c r="O1241" t="s">
        <v>4222</v>
      </c>
      <c r="P1241" s="2" t="s">
        <v>26</v>
      </c>
      <c r="Q1241" t="s">
        <v>50</v>
      </c>
      <c r="R1241">
        <v>0</v>
      </c>
      <c r="S1241">
        <v>12.9</v>
      </c>
      <c r="T1241" t="s">
        <v>4223</v>
      </c>
    </row>
    <row r="1242" spans="1:20" x14ac:dyDescent="0.25">
      <c r="A1242" s="1" t="str">
        <f>HYPERLINK("https://vegkart.atlas.vegvesen.no/#/@-23744.6,6735950.5,18/hva:hva%5B0%5D%5Bfilter%5D%5B0%5D%5Boperator%5D=%21%3D&amp;hva%5B0%5D%5Bfilter%5D%5B0%5D%5Btype_id%5D=9736&amp;hva%5B0%5D%5Bfilter%5D%5B0%5D%5Bverdi%5D=&amp;hva%5B0%5D%5Bid%5D=853/når:2025-07-28", "Vegkart")</f>
        <v>Vegkart</v>
      </c>
      <c r="B1242">
        <v>1024618814</v>
      </c>
      <c r="C1242">
        <v>853</v>
      </c>
      <c r="D1242" t="s">
        <v>2935</v>
      </c>
      <c r="E1242">
        <v>9736</v>
      </c>
      <c r="F1242" t="s">
        <v>23479</v>
      </c>
      <c r="G1242">
        <v>1</v>
      </c>
      <c r="H1242" t="s">
        <v>4208</v>
      </c>
      <c r="J1242" t="s">
        <v>4204</v>
      </c>
      <c r="K1242" t="s">
        <v>21</v>
      </c>
      <c r="L1242" t="s">
        <v>80</v>
      </c>
      <c r="M1242" t="s">
        <v>152</v>
      </c>
      <c r="N1242" t="s">
        <v>4224</v>
      </c>
      <c r="O1242" t="s">
        <v>4225</v>
      </c>
      <c r="P1242" s="2" t="s">
        <v>26</v>
      </c>
      <c r="Q1242" t="s">
        <v>50</v>
      </c>
      <c r="R1242">
        <v>0</v>
      </c>
      <c r="S1242">
        <v>12.87</v>
      </c>
      <c r="T1242" t="s">
        <v>4226</v>
      </c>
    </row>
    <row r="1243" spans="1:20" x14ac:dyDescent="0.25">
      <c r="A1243" s="1" t="str">
        <f>HYPERLINK("https://vegkart.atlas.vegvesen.no/#/@263519.6,6650369.7,18/hva:hva%5B0%5D%5Bfilter%5D%5B0%5D%5Boperator%5D=%21%3D&amp;hva%5B0%5D%5Bfilter%5D%5B0%5D%5Btype_id%5D=9736&amp;hva%5B0%5D%5Bfilter%5D%5B0%5D%5Bverdi%5D=&amp;hva%5B0%5D%5Bid%5D=853/når:2025-08-19", "Vegkart")</f>
        <v>Vegkart</v>
      </c>
      <c r="B1243">
        <v>1025167580</v>
      </c>
      <c r="C1243">
        <v>853</v>
      </c>
      <c r="D1243" t="s">
        <v>2935</v>
      </c>
      <c r="E1243">
        <v>9736</v>
      </c>
      <c r="F1243" t="s">
        <v>23479</v>
      </c>
      <c r="G1243">
        <v>1</v>
      </c>
      <c r="H1243" t="s">
        <v>216</v>
      </c>
      <c r="J1243" t="s">
        <v>4204</v>
      </c>
      <c r="K1243" t="s">
        <v>335</v>
      </c>
      <c r="L1243" t="s">
        <v>22</v>
      </c>
      <c r="M1243" t="s">
        <v>4227</v>
      </c>
      <c r="N1243" t="s">
        <v>4228</v>
      </c>
      <c r="O1243" t="s">
        <v>4229</v>
      </c>
      <c r="P1243" s="2" t="s">
        <v>26</v>
      </c>
      <c r="Q1243" t="s">
        <v>50</v>
      </c>
      <c r="R1243">
        <v>0</v>
      </c>
      <c r="S1243">
        <v>4.9000000000000004</v>
      </c>
      <c r="T1243" t="s">
        <v>4230</v>
      </c>
    </row>
    <row r="1244" spans="1:20" x14ac:dyDescent="0.25">
      <c r="A1244" s="1" t="str">
        <f>HYPERLINK("https://vegkart.atlas.vegvesen.no/#/@263156.1,6650579.0,18/hva:hva%5B0%5D%5Bfilter%5D%5B0%5D%5Boperator%5D=%21%3D&amp;hva%5B0%5D%5Bfilter%5D%5B0%5D%5Btype_id%5D=9736&amp;hva%5B0%5D%5Bfilter%5D%5B0%5D%5Bverdi%5D=&amp;hva%5B0%5D%5Bid%5D=853/når:2025-08-19", "Vegkart")</f>
        <v>Vegkart</v>
      </c>
      <c r="B1244">
        <v>1025167581</v>
      </c>
      <c r="C1244">
        <v>853</v>
      </c>
      <c r="D1244" t="s">
        <v>2935</v>
      </c>
      <c r="E1244">
        <v>9736</v>
      </c>
      <c r="F1244" t="s">
        <v>23479</v>
      </c>
      <c r="G1244">
        <v>1</v>
      </c>
      <c r="H1244" t="s">
        <v>216</v>
      </c>
      <c r="J1244" t="s">
        <v>4204</v>
      </c>
      <c r="K1244" t="s">
        <v>335</v>
      </c>
      <c r="L1244" t="s">
        <v>22</v>
      </c>
      <c r="M1244" t="s">
        <v>4227</v>
      </c>
      <c r="N1244" t="s">
        <v>4231</v>
      </c>
      <c r="O1244" t="s">
        <v>4232</v>
      </c>
      <c r="P1244" s="2" t="s">
        <v>26</v>
      </c>
      <c r="Q1244" t="s">
        <v>50</v>
      </c>
      <c r="R1244">
        <v>0.85</v>
      </c>
      <c r="S1244">
        <v>4.0199999999999996</v>
      </c>
      <c r="T1244" t="s">
        <v>4233</v>
      </c>
    </row>
    <row r="1245" spans="1:20" x14ac:dyDescent="0.25">
      <c r="A1245" s="1" t="str">
        <f>HYPERLINK("https://vegkart.atlas.vegvesen.no/#/@263886.9,6650234.5,18/hva:hva%5B0%5D%5Bfilter%5D%5B0%5D%5Boperator%5D=%21%3D&amp;hva%5B0%5D%5Bfilter%5D%5B0%5D%5Btype_id%5D=9736&amp;hva%5B0%5D%5Bfilter%5D%5B0%5D%5Bverdi%5D=&amp;hva%5B0%5D%5Bid%5D=853/når:2025-08-19", "Vegkart")</f>
        <v>Vegkart</v>
      </c>
      <c r="B1245">
        <v>1025167582</v>
      </c>
      <c r="C1245">
        <v>853</v>
      </c>
      <c r="D1245" t="s">
        <v>2935</v>
      </c>
      <c r="E1245">
        <v>9736</v>
      </c>
      <c r="F1245" t="s">
        <v>23479</v>
      </c>
      <c r="G1245">
        <v>1</v>
      </c>
      <c r="H1245" t="s">
        <v>216</v>
      </c>
      <c r="J1245" t="s">
        <v>4204</v>
      </c>
      <c r="K1245" t="s">
        <v>335</v>
      </c>
      <c r="L1245" t="s">
        <v>22</v>
      </c>
      <c r="M1245" t="s">
        <v>4227</v>
      </c>
      <c r="N1245" t="s">
        <v>4234</v>
      </c>
      <c r="O1245" t="s">
        <v>4235</v>
      </c>
      <c r="P1245" s="2" t="s">
        <v>26</v>
      </c>
      <c r="Q1245" t="s">
        <v>50</v>
      </c>
      <c r="R1245">
        <v>0</v>
      </c>
      <c r="S1245">
        <v>4.6100000000000003</v>
      </c>
      <c r="T1245" t="s">
        <v>4236</v>
      </c>
    </row>
    <row r="1246" spans="1:20" x14ac:dyDescent="0.25">
      <c r="A1246" s="1" t="str">
        <f>HYPERLINK("https://vegkart.atlas.vegvesen.no/#/@263219.9,6650542.2,18/hva:hva%5B0%5D%5Bfilter%5D%5B0%5D%5Boperator%5D=%21%3D&amp;hva%5B0%5D%5Bfilter%5D%5B0%5D%5Btype_id%5D=9736&amp;hva%5B0%5D%5Bfilter%5D%5B0%5D%5Bverdi%5D=&amp;hva%5B0%5D%5Bid%5D=853/når:2025-08-19", "Vegkart")</f>
        <v>Vegkart</v>
      </c>
      <c r="B1246">
        <v>1025167583</v>
      </c>
      <c r="C1246">
        <v>853</v>
      </c>
      <c r="D1246" t="s">
        <v>2935</v>
      </c>
      <c r="E1246">
        <v>9736</v>
      </c>
      <c r="F1246" t="s">
        <v>23479</v>
      </c>
      <c r="G1246">
        <v>1</v>
      </c>
      <c r="H1246" t="s">
        <v>216</v>
      </c>
      <c r="J1246" t="s">
        <v>4204</v>
      </c>
      <c r="K1246" t="s">
        <v>335</v>
      </c>
      <c r="L1246" t="s">
        <v>22</v>
      </c>
      <c r="M1246" t="s">
        <v>4227</v>
      </c>
      <c r="N1246" t="s">
        <v>4237</v>
      </c>
      <c r="O1246" t="s">
        <v>4238</v>
      </c>
      <c r="P1246" s="2" t="s">
        <v>26</v>
      </c>
      <c r="Q1246" t="s">
        <v>50</v>
      </c>
      <c r="R1246">
        <v>0.85</v>
      </c>
      <c r="S1246">
        <v>3.94</v>
      </c>
      <c r="T1246" t="s">
        <v>4239</v>
      </c>
    </row>
    <row r="1247" spans="1:20" x14ac:dyDescent="0.25">
      <c r="A1247" s="1" t="str">
        <f>HYPERLINK("https://vegkart.atlas.vegvesen.no/#/@263472.4,6650397.2,18/hva:hva%5B0%5D%5Bfilter%5D%5B0%5D%5Boperator%5D=%21%3D&amp;hva%5B0%5D%5Bfilter%5D%5B0%5D%5Btype_id%5D=9736&amp;hva%5B0%5D%5Bfilter%5D%5B0%5D%5Bverdi%5D=&amp;hva%5B0%5D%5Bid%5D=853/når:2025-08-19", "Vegkart")</f>
        <v>Vegkart</v>
      </c>
      <c r="B1247">
        <v>1025167584</v>
      </c>
      <c r="C1247">
        <v>853</v>
      </c>
      <c r="D1247" t="s">
        <v>2935</v>
      </c>
      <c r="E1247">
        <v>9736</v>
      </c>
      <c r="F1247" t="s">
        <v>23479</v>
      </c>
      <c r="G1247">
        <v>1</v>
      </c>
      <c r="H1247" t="s">
        <v>216</v>
      </c>
      <c r="J1247" t="s">
        <v>4204</v>
      </c>
      <c r="K1247" t="s">
        <v>335</v>
      </c>
      <c r="L1247" t="s">
        <v>22</v>
      </c>
      <c r="M1247" t="s">
        <v>4227</v>
      </c>
      <c r="N1247" t="s">
        <v>4240</v>
      </c>
      <c r="O1247" t="s">
        <v>4241</v>
      </c>
      <c r="P1247" s="2" t="s">
        <v>26</v>
      </c>
      <c r="Q1247" t="s">
        <v>50</v>
      </c>
      <c r="R1247">
        <v>0</v>
      </c>
      <c r="S1247">
        <v>4.74</v>
      </c>
      <c r="T1247" t="s">
        <v>4242</v>
      </c>
    </row>
    <row r="1248" spans="1:20" x14ac:dyDescent="0.25">
      <c r="A1248" s="1" t="str">
        <f>HYPERLINK("https://vegkart.atlas.vegvesen.no/#/@263884.7,6650224.2,18/hva:hva%5B0%5D%5Bfilter%5D%5B0%5D%5Boperator%5D=%21%3D&amp;hva%5B0%5D%5Bfilter%5D%5B0%5D%5Btype_id%5D=9736&amp;hva%5B0%5D%5Bfilter%5D%5B0%5D%5Bverdi%5D=&amp;hva%5B0%5D%5Bid%5D=853/når:2025-08-19", "Vegkart")</f>
        <v>Vegkart</v>
      </c>
      <c r="B1248">
        <v>1025167585</v>
      </c>
      <c r="C1248">
        <v>853</v>
      </c>
      <c r="D1248" t="s">
        <v>2935</v>
      </c>
      <c r="E1248">
        <v>9736</v>
      </c>
      <c r="F1248" t="s">
        <v>23479</v>
      </c>
      <c r="G1248">
        <v>1</v>
      </c>
      <c r="H1248" t="s">
        <v>216</v>
      </c>
      <c r="J1248" t="s">
        <v>4204</v>
      </c>
      <c r="K1248" t="s">
        <v>335</v>
      </c>
      <c r="L1248" t="s">
        <v>22</v>
      </c>
      <c r="M1248" t="s">
        <v>4227</v>
      </c>
      <c r="N1248" t="s">
        <v>4243</v>
      </c>
      <c r="O1248" t="s">
        <v>4244</v>
      </c>
      <c r="P1248" s="2" t="s">
        <v>26</v>
      </c>
      <c r="Q1248" t="s">
        <v>50</v>
      </c>
      <c r="R1248">
        <v>0</v>
      </c>
      <c r="S1248">
        <v>4.58</v>
      </c>
      <c r="T1248" t="s">
        <v>4245</v>
      </c>
    </row>
    <row r="1249" spans="1:20" x14ac:dyDescent="0.25">
      <c r="A1249" s="1" t="str">
        <f>HYPERLINK("https://vegkart.atlas.vegvesen.no/#/@263225.1,6650552.8,18/hva:hva%5B0%5D%5Bfilter%5D%5B0%5D%5Boperator%5D=%21%3D&amp;hva%5B0%5D%5Bfilter%5D%5B0%5D%5Btype_id%5D=9736&amp;hva%5B0%5D%5Bfilter%5D%5B0%5D%5Bverdi%5D=&amp;hva%5B0%5D%5Bid%5D=853/når:2025-08-19", "Vegkart")</f>
        <v>Vegkart</v>
      </c>
      <c r="B1249">
        <v>1025167586</v>
      </c>
      <c r="C1249">
        <v>853</v>
      </c>
      <c r="D1249" t="s">
        <v>2935</v>
      </c>
      <c r="E1249">
        <v>9736</v>
      </c>
      <c r="F1249" t="s">
        <v>23479</v>
      </c>
      <c r="G1249">
        <v>1</v>
      </c>
      <c r="H1249" t="s">
        <v>216</v>
      </c>
      <c r="J1249" t="s">
        <v>4204</v>
      </c>
      <c r="K1249" t="s">
        <v>335</v>
      </c>
      <c r="L1249" t="s">
        <v>22</v>
      </c>
      <c r="M1249" t="s">
        <v>4246</v>
      </c>
      <c r="N1249" t="s">
        <v>4247</v>
      </c>
      <c r="O1249" t="s">
        <v>4248</v>
      </c>
      <c r="P1249" s="2" t="s">
        <v>26</v>
      </c>
      <c r="Q1249" t="s">
        <v>50</v>
      </c>
      <c r="R1249">
        <v>0.83</v>
      </c>
      <c r="S1249">
        <v>3.95</v>
      </c>
      <c r="T1249" t="s">
        <v>4249</v>
      </c>
    </row>
    <row r="1250" spans="1:20" x14ac:dyDescent="0.25">
      <c r="A1250" s="1" t="str">
        <f>HYPERLINK("https://vegkart.atlas.vegvesen.no/#/@263313.8,6650704.4,18/hva:hva%5B0%5D%5Bfilter%5D%5B0%5D%5Boperator%5D=%21%3D&amp;hva%5B0%5D%5Bfilter%5D%5B0%5D%5Btype_id%5D=9736&amp;hva%5B0%5D%5Bfilter%5D%5B0%5D%5Bverdi%5D=&amp;hva%5B0%5D%5Bid%5D=853/når:2025-08-19", "Vegkart")</f>
        <v>Vegkart</v>
      </c>
      <c r="B1250">
        <v>1025167587</v>
      </c>
      <c r="C1250">
        <v>853</v>
      </c>
      <c r="D1250" t="s">
        <v>2935</v>
      </c>
      <c r="E1250">
        <v>9736</v>
      </c>
      <c r="F1250" t="s">
        <v>23479</v>
      </c>
      <c r="G1250">
        <v>1</v>
      </c>
      <c r="H1250" t="s">
        <v>216</v>
      </c>
      <c r="J1250" t="s">
        <v>4204</v>
      </c>
      <c r="K1250" t="s">
        <v>335</v>
      </c>
      <c r="L1250" t="s">
        <v>22</v>
      </c>
      <c r="M1250" t="s">
        <v>4246</v>
      </c>
      <c r="N1250" t="s">
        <v>4250</v>
      </c>
      <c r="O1250" t="s">
        <v>4251</v>
      </c>
      <c r="P1250" s="2" t="s">
        <v>26</v>
      </c>
      <c r="Q1250" t="s">
        <v>50</v>
      </c>
      <c r="R1250">
        <v>0</v>
      </c>
      <c r="S1250">
        <v>4.58</v>
      </c>
      <c r="T1250" t="s">
        <v>4252</v>
      </c>
    </row>
    <row r="1251" spans="1:20" x14ac:dyDescent="0.25">
      <c r="A1251" s="1" t="str">
        <f>HYPERLINK("https://vegkart.atlas.vegvesen.no/#/@263244.5,6650543.4,18/hva:hva%5B0%5D%5Bfilter%5D%5B0%5D%5Boperator%5D=%21%3D&amp;hva%5B0%5D%5Bfilter%5D%5B0%5D%5Btype_id%5D=9736&amp;hva%5B0%5D%5Bfilter%5D%5B0%5D%5Bverdi%5D=&amp;hva%5B0%5D%5Bid%5D=853/når:2025-08-19", "Vegkart")</f>
        <v>Vegkart</v>
      </c>
      <c r="B1251">
        <v>1025167588</v>
      </c>
      <c r="C1251">
        <v>853</v>
      </c>
      <c r="D1251" t="s">
        <v>2935</v>
      </c>
      <c r="E1251">
        <v>9736</v>
      </c>
      <c r="F1251" t="s">
        <v>23479</v>
      </c>
      <c r="G1251">
        <v>1</v>
      </c>
      <c r="H1251" t="s">
        <v>216</v>
      </c>
      <c r="J1251" t="s">
        <v>4253</v>
      </c>
      <c r="K1251" t="s">
        <v>335</v>
      </c>
      <c r="L1251" t="s">
        <v>22</v>
      </c>
      <c r="M1251" t="s">
        <v>4246</v>
      </c>
      <c r="N1251" t="s">
        <v>4254</v>
      </c>
      <c r="O1251" t="s">
        <v>4255</v>
      </c>
      <c r="P1251" s="2" t="s">
        <v>26</v>
      </c>
      <c r="Q1251" t="s">
        <v>50</v>
      </c>
      <c r="R1251">
        <v>0.82</v>
      </c>
      <c r="S1251">
        <v>2.4300000000000002</v>
      </c>
      <c r="T1251" t="s">
        <v>4256</v>
      </c>
    </row>
    <row r="1252" spans="1:20" x14ac:dyDescent="0.25">
      <c r="A1252" s="1" t="str">
        <f>HYPERLINK("https://vegkart.atlas.vegvesen.no/#/@263248.2,6650588.5,18/hva:hva%5B0%5D%5Bfilter%5D%5B0%5D%5Boperator%5D=%21%3D&amp;hva%5B0%5D%5Bfilter%5D%5B0%5D%5Btype_id%5D=9736&amp;hva%5B0%5D%5Bfilter%5D%5B0%5D%5Bverdi%5D=&amp;hva%5B0%5D%5Bid%5D=853/når:2025-08-19", "Vegkart")</f>
        <v>Vegkart</v>
      </c>
      <c r="B1252">
        <v>1025167589</v>
      </c>
      <c r="C1252">
        <v>853</v>
      </c>
      <c r="D1252" t="s">
        <v>2935</v>
      </c>
      <c r="E1252">
        <v>9736</v>
      </c>
      <c r="F1252" t="s">
        <v>23479</v>
      </c>
      <c r="G1252">
        <v>1</v>
      </c>
      <c r="H1252" t="s">
        <v>216</v>
      </c>
      <c r="J1252" t="s">
        <v>4253</v>
      </c>
      <c r="K1252" t="s">
        <v>335</v>
      </c>
      <c r="L1252" t="s">
        <v>22</v>
      </c>
      <c r="M1252" t="s">
        <v>4246</v>
      </c>
      <c r="N1252" t="s">
        <v>4257</v>
      </c>
      <c r="O1252" t="s">
        <v>4258</v>
      </c>
      <c r="P1252" s="2" t="s">
        <v>26</v>
      </c>
      <c r="Q1252" t="s">
        <v>50</v>
      </c>
      <c r="R1252">
        <v>0</v>
      </c>
      <c r="S1252">
        <v>4.97</v>
      </c>
      <c r="T1252" t="s">
        <v>4259</v>
      </c>
    </row>
    <row r="1253" spans="1:20" x14ac:dyDescent="0.25">
      <c r="A1253" s="1" t="str">
        <f>HYPERLINK("https://vegkart.atlas.vegvesen.no/#/@263404.4,6650436.3,18/hva:hva%5B0%5D%5Bfilter%5D%5B0%5D%5Boperator%5D=%21%3D&amp;hva%5B0%5D%5Bfilter%5D%5B0%5D%5Btype_id%5D=9736&amp;hva%5B0%5D%5Bfilter%5D%5B0%5D%5Bverdi%5D=&amp;hva%5B0%5D%5Bid%5D=853/når:2025-08-19", "Vegkart")</f>
        <v>Vegkart</v>
      </c>
      <c r="B1253">
        <v>1025167590</v>
      </c>
      <c r="C1253">
        <v>853</v>
      </c>
      <c r="D1253" t="s">
        <v>2935</v>
      </c>
      <c r="E1253">
        <v>9736</v>
      </c>
      <c r="F1253" t="s">
        <v>23479</v>
      </c>
      <c r="G1253">
        <v>1</v>
      </c>
      <c r="H1253" t="s">
        <v>216</v>
      </c>
      <c r="J1253" t="s">
        <v>4253</v>
      </c>
      <c r="K1253" t="s">
        <v>335</v>
      </c>
      <c r="L1253" t="s">
        <v>22</v>
      </c>
      <c r="M1253" t="s">
        <v>4227</v>
      </c>
      <c r="N1253" t="s">
        <v>4260</v>
      </c>
      <c r="O1253" t="s">
        <v>4261</v>
      </c>
      <c r="P1253" s="2" t="s">
        <v>26</v>
      </c>
      <c r="Q1253" t="s">
        <v>50</v>
      </c>
      <c r="R1253">
        <v>0</v>
      </c>
      <c r="S1253">
        <v>4.78</v>
      </c>
      <c r="T1253" t="s">
        <v>4262</v>
      </c>
    </row>
    <row r="1254" spans="1:20" x14ac:dyDescent="0.25">
      <c r="A1254" s="1" t="str">
        <f>HYPERLINK("https://vegkart.atlas.vegvesen.no/#/@263459.7,6650406.8,18/hva:hva%5B0%5D%5Bfilter%5D%5B0%5D%5Boperator%5D=%21%3D&amp;hva%5B0%5D%5Bfilter%5D%5B0%5D%5Btype_id%5D=9736&amp;hva%5B0%5D%5Bfilter%5D%5B0%5D%5Bverdi%5D=&amp;hva%5B0%5D%5Bid%5D=853/når:2025-08-19", "Vegkart")</f>
        <v>Vegkart</v>
      </c>
      <c r="B1254">
        <v>1025167591</v>
      </c>
      <c r="C1254">
        <v>853</v>
      </c>
      <c r="D1254" t="s">
        <v>2935</v>
      </c>
      <c r="E1254">
        <v>9736</v>
      </c>
      <c r="F1254" t="s">
        <v>23479</v>
      </c>
      <c r="G1254">
        <v>1</v>
      </c>
      <c r="H1254" t="s">
        <v>216</v>
      </c>
      <c r="J1254" t="s">
        <v>4253</v>
      </c>
      <c r="K1254" t="s">
        <v>335</v>
      </c>
      <c r="L1254" t="s">
        <v>22</v>
      </c>
      <c r="M1254" t="s">
        <v>4227</v>
      </c>
      <c r="N1254" t="s">
        <v>4263</v>
      </c>
      <c r="O1254" t="s">
        <v>4264</v>
      </c>
      <c r="P1254" s="2" t="s">
        <v>26</v>
      </c>
      <c r="Q1254" t="s">
        <v>50</v>
      </c>
      <c r="R1254">
        <v>0</v>
      </c>
      <c r="S1254">
        <v>4.79</v>
      </c>
      <c r="T1254" t="s">
        <v>4265</v>
      </c>
    </row>
    <row r="1255" spans="1:20" x14ac:dyDescent="0.25">
      <c r="A1255" s="1" t="str">
        <f>HYPERLINK("https://vegkart.atlas.vegvesen.no/#/@263317.2,6650486.1,18/hva:hva%5B0%5D%5Bfilter%5D%5B0%5D%5Boperator%5D=%21%3D&amp;hva%5B0%5D%5Bfilter%5D%5B0%5D%5Btype_id%5D=9736&amp;hva%5B0%5D%5Bfilter%5D%5B0%5D%5Bverdi%5D=&amp;hva%5B0%5D%5Bid%5D=853/når:2025-08-19", "Vegkart")</f>
        <v>Vegkart</v>
      </c>
      <c r="B1255">
        <v>1025167592</v>
      </c>
      <c r="C1255">
        <v>853</v>
      </c>
      <c r="D1255" t="s">
        <v>2935</v>
      </c>
      <c r="E1255">
        <v>9736</v>
      </c>
      <c r="F1255" t="s">
        <v>23479</v>
      </c>
      <c r="G1255">
        <v>1</v>
      </c>
      <c r="H1255" t="s">
        <v>216</v>
      </c>
      <c r="J1255" t="s">
        <v>4253</v>
      </c>
      <c r="K1255" t="s">
        <v>335</v>
      </c>
      <c r="L1255" t="s">
        <v>22</v>
      </c>
      <c r="M1255" t="s">
        <v>4227</v>
      </c>
      <c r="N1255" t="s">
        <v>4266</v>
      </c>
      <c r="O1255" t="s">
        <v>4267</v>
      </c>
      <c r="P1255" s="2" t="s">
        <v>26</v>
      </c>
      <c r="Q1255" t="s">
        <v>50</v>
      </c>
      <c r="R1255">
        <v>0</v>
      </c>
      <c r="S1255">
        <v>4.9400000000000004</v>
      </c>
      <c r="T1255" t="s">
        <v>4268</v>
      </c>
    </row>
    <row r="1256" spans="1:20" x14ac:dyDescent="0.25">
      <c r="A1256" s="1" t="str">
        <f>HYPERLINK("https://vegkart.atlas.vegvesen.no/#/@263620.8,6650308.6,18/hva:hva%5B0%5D%5Bfilter%5D%5B0%5D%5Boperator%5D=%21%3D&amp;hva%5B0%5D%5Bfilter%5D%5B0%5D%5Btype_id%5D=9736&amp;hva%5B0%5D%5Bfilter%5D%5B0%5D%5Bverdi%5D=&amp;hva%5B0%5D%5Bid%5D=853/når:2025-08-19", "Vegkart")</f>
        <v>Vegkart</v>
      </c>
      <c r="B1256">
        <v>1025167593</v>
      </c>
      <c r="C1256">
        <v>853</v>
      </c>
      <c r="D1256" t="s">
        <v>2935</v>
      </c>
      <c r="E1256">
        <v>9736</v>
      </c>
      <c r="F1256" t="s">
        <v>23479</v>
      </c>
      <c r="G1256">
        <v>1</v>
      </c>
      <c r="H1256" t="s">
        <v>216</v>
      </c>
      <c r="J1256" t="s">
        <v>4253</v>
      </c>
      <c r="K1256" t="s">
        <v>335</v>
      </c>
      <c r="L1256" t="s">
        <v>22</v>
      </c>
      <c r="M1256" t="s">
        <v>4227</v>
      </c>
      <c r="N1256" t="s">
        <v>4269</v>
      </c>
      <c r="O1256" t="s">
        <v>4270</v>
      </c>
      <c r="P1256" s="2" t="s">
        <v>26</v>
      </c>
      <c r="Q1256" t="s">
        <v>50</v>
      </c>
      <c r="R1256">
        <v>1.55</v>
      </c>
      <c r="S1256">
        <v>3.28</v>
      </c>
      <c r="T1256" t="s">
        <v>4271</v>
      </c>
    </row>
    <row r="1257" spans="1:20" x14ac:dyDescent="0.25">
      <c r="A1257" s="1" t="str">
        <f>HYPERLINK("https://vegkart.atlas.vegvesen.no/#/@263814.1,6650231.7,18/hva:hva%5B0%5D%5Bfilter%5D%5B0%5D%5Boperator%5D=%21%3D&amp;hva%5B0%5D%5Bfilter%5D%5B0%5D%5Btype_id%5D=9736&amp;hva%5B0%5D%5Bfilter%5D%5B0%5D%5Bverdi%5D=&amp;hva%5B0%5D%5Bid%5D=853/når:2025-08-19", "Vegkart")</f>
        <v>Vegkart</v>
      </c>
      <c r="B1257">
        <v>1025167594</v>
      </c>
      <c r="C1257">
        <v>853</v>
      </c>
      <c r="D1257" t="s">
        <v>2935</v>
      </c>
      <c r="E1257">
        <v>9736</v>
      </c>
      <c r="F1257" t="s">
        <v>23479</v>
      </c>
      <c r="G1257">
        <v>1</v>
      </c>
      <c r="H1257" t="s">
        <v>216</v>
      </c>
      <c r="J1257" t="s">
        <v>4253</v>
      </c>
      <c r="K1257" t="s">
        <v>335</v>
      </c>
      <c r="L1257" t="s">
        <v>22</v>
      </c>
      <c r="M1257" t="s">
        <v>4227</v>
      </c>
      <c r="N1257" t="s">
        <v>4272</v>
      </c>
      <c r="O1257" t="s">
        <v>4273</v>
      </c>
      <c r="P1257" s="2" t="s">
        <v>26</v>
      </c>
      <c r="Q1257" t="s">
        <v>50</v>
      </c>
      <c r="R1257">
        <v>0</v>
      </c>
      <c r="S1257">
        <v>4.5599999999999996</v>
      </c>
      <c r="T1257" t="s">
        <v>4274</v>
      </c>
    </row>
    <row r="1258" spans="1:20" x14ac:dyDescent="0.25">
      <c r="A1258" s="1" t="str">
        <f>HYPERLINK("https://vegkart.atlas.vegvesen.no/#/@-7959.8,6746921.6,18/hva:hva%5B0%5D%5Bfilter%5D%5B0%5D%5Boperator%5D=%21%3D&amp;hva%5B0%5D%5Bfilter%5D%5B0%5D%5Btype_id%5D=9736&amp;hva%5B0%5D%5Bfilter%5D%5B0%5D%5Bverdi%5D=&amp;hva%5B0%5D%5Bid%5D=853/når:2025-09-17", "Vegkart")</f>
        <v>Vegkart</v>
      </c>
      <c r="B1258">
        <v>1025260574</v>
      </c>
      <c r="C1258">
        <v>853</v>
      </c>
      <c r="D1258" t="s">
        <v>2935</v>
      </c>
      <c r="E1258">
        <v>9736</v>
      </c>
      <c r="F1258" t="s">
        <v>23479</v>
      </c>
      <c r="G1258">
        <v>1</v>
      </c>
      <c r="H1258" t="s">
        <v>4275</v>
      </c>
      <c r="J1258" t="s">
        <v>4253</v>
      </c>
      <c r="K1258" t="s">
        <v>21</v>
      </c>
      <c r="L1258" t="s">
        <v>80</v>
      </c>
      <c r="M1258" t="s">
        <v>152</v>
      </c>
      <c r="N1258" t="s">
        <v>4276</v>
      </c>
      <c r="O1258" t="s">
        <v>4277</v>
      </c>
      <c r="P1258" s="2" t="s">
        <v>26</v>
      </c>
      <c r="Q1258" t="s">
        <v>50</v>
      </c>
      <c r="R1258">
        <v>0.04</v>
      </c>
      <c r="S1258">
        <v>6.04</v>
      </c>
      <c r="T1258" t="s">
        <v>4278</v>
      </c>
    </row>
    <row r="1259" spans="1:20" x14ac:dyDescent="0.25">
      <c r="A1259" s="1" t="str">
        <f>HYPERLINK("https://vegkart.atlas.vegvesen.no/#/@312999.7,7002966.7,18/hva:hva%5B0%5D%5Bfilter%5D%5B0%5D%5Boperator%5D=%21%3D&amp;hva%5B0%5D%5Bfilter%5D%5B0%5D%5Btype_id%5D=9736&amp;hva%5B0%5D%5Bfilter%5D%5B0%5D%5Bverdi%5D=&amp;hva%5B0%5D%5Bid%5D=853/når:2025-11-27", "Vegkart")</f>
        <v>Vegkart</v>
      </c>
      <c r="B1259">
        <v>1025856591</v>
      </c>
      <c r="C1259">
        <v>853</v>
      </c>
      <c r="D1259" t="s">
        <v>2935</v>
      </c>
      <c r="E1259">
        <v>9736</v>
      </c>
      <c r="F1259" t="s">
        <v>23479</v>
      </c>
      <c r="G1259">
        <v>1</v>
      </c>
      <c r="H1259" t="s">
        <v>1319</v>
      </c>
      <c r="J1259" t="s">
        <v>4279</v>
      </c>
      <c r="K1259" t="s">
        <v>192</v>
      </c>
      <c r="L1259" t="s">
        <v>33</v>
      </c>
      <c r="M1259" t="s">
        <v>4280</v>
      </c>
      <c r="N1259" t="s">
        <v>4281</v>
      </c>
      <c r="O1259" t="s">
        <v>4282</v>
      </c>
      <c r="P1259" s="2" t="s">
        <v>26</v>
      </c>
      <c r="Q1259" t="s">
        <v>50</v>
      </c>
      <c r="R1259">
        <v>0.59</v>
      </c>
      <c r="S1259">
        <v>0.73</v>
      </c>
      <c r="T1259" t="s">
        <v>4283</v>
      </c>
    </row>
    <row r="1260" spans="1:20" x14ac:dyDescent="0.25">
      <c r="A1260" s="1" t="str">
        <f>HYPERLINK("https://vegkart.atlas.vegvesen.no/#/@230545.3,6630652.2,18/hva:hva%5B0%5D%5Bfilter%5D%5B0%5D%5Boperator%5D=%21%3D&amp;hva%5B0%5D%5Bfilter%5D%5B0%5D%5Btype_id%5D=9736&amp;hva%5B0%5D%5Bfilter%5D%5B0%5D%5Bverdi%5D=&amp;hva%5B0%5D%5Bid%5D=853/når:2026-01-07", "Vegkart")</f>
        <v>Vegkart</v>
      </c>
      <c r="B1260">
        <v>1026116493</v>
      </c>
      <c r="C1260">
        <v>853</v>
      </c>
      <c r="D1260" t="s">
        <v>2935</v>
      </c>
      <c r="E1260">
        <v>9736</v>
      </c>
      <c r="F1260" t="s">
        <v>23479</v>
      </c>
      <c r="G1260">
        <v>1</v>
      </c>
      <c r="H1260" t="s">
        <v>4284</v>
      </c>
      <c r="J1260" t="s">
        <v>4285</v>
      </c>
      <c r="K1260" t="s">
        <v>307</v>
      </c>
      <c r="L1260" t="s">
        <v>33</v>
      </c>
      <c r="M1260" t="s">
        <v>4286</v>
      </c>
      <c r="N1260" t="s">
        <v>4287</v>
      </c>
      <c r="O1260" t="s">
        <v>4288</v>
      </c>
      <c r="P1260" s="2" t="s">
        <v>26</v>
      </c>
      <c r="Q1260" t="s">
        <v>50</v>
      </c>
      <c r="R1260">
        <v>0</v>
      </c>
      <c r="S1260">
        <v>5.6</v>
      </c>
      <c r="T1260" t="s">
        <v>4289</v>
      </c>
    </row>
    <row r="1261" spans="1:20" x14ac:dyDescent="0.25">
      <c r="A1261" s="1" t="str">
        <f>HYPERLINK("https://vegkart.atlas.vegvesen.no/#/@-44178.7,6748689.1,18/hva:hva%5B0%5D%5Bfilter%5D%5B0%5D%5Boperator%5D=%21%3D&amp;hva%5B0%5D%5Bfilter%5D%5B0%5D%5Btype_id%5D=9427&amp;hva%5B0%5D%5Bfilter%5D%5B0%5D%5Bverdi%5D=&amp;hva%5B0%5D%5Bid%5D=25/når:2024-10-29", "Vegkart")</f>
        <v>Vegkart</v>
      </c>
      <c r="B1261">
        <v>82927342</v>
      </c>
      <c r="C1261">
        <v>25</v>
      </c>
      <c r="D1261" t="s">
        <v>4290</v>
      </c>
      <c r="E1261">
        <v>9427</v>
      </c>
      <c r="F1261" t="s">
        <v>23479</v>
      </c>
      <c r="G1261">
        <v>4</v>
      </c>
      <c r="H1261" t="s">
        <v>4291</v>
      </c>
      <c r="J1261" t="s">
        <v>31</v>
      </c>
      <c r="K1261" t="s">
        <v>21</v>
      </c>
      <c r="L1261" t="s">
        <v>33</v>
      </c>
      <c r="M1261" t="s">
        <v>4292</v>
      </c>
      <c r="N1261" t="s">
        <v>4293</v>
      </c>
      <c r="O1261" t="s">
        <v>4294</v>
      </c>
      <c r="P1261" s="2" t="s">
        <v>26</v>
      </c>
      <c r="Q1261" t="s">
        <v>50</v>
      </c>
      <c r="R1261">
        <v>21.42</v>
      </c>
      <c r="S1261">
        <v>21.5</v>
      </c>
      <c r="T1261" t="s">
        <v>4295</v>
      </c>
    </row>
    <row r="1262" spans="1:20" x14ac:dyDescent="0.25">
      <c r="A1262" s="1" t="str">
        <f>HYPERLINK("https://vegkart.atlas.vegvesen.no/#/@81073.4,6479230.3,18/hva:hva%5B0%5D%5Bfilter%5D%5B0%5D%5Boperator%5D=%21%3D&amp;hva%5B0%5D%5Bfilter%5D%5B0%5D%5Btype_id%5D=9427&amp;hva%5B0%5D%5Bfilter%5D%5B0%5D%5Bverdi%5D=&amp;hva%5B0%5D%5Bid%5D=25/når:2025-01-20", "Vegkart")</f>
        <v>Vegkart</v>
      </c>
      <c r="B1262">
        <v>86110686</v>
      </c>
      <c r="C1262">
        <v>25</v>
      </c>
      <c r="D1262" t="s">
        <v>4290</v>
      </c>
      <c r="E1262">
        <v>9427</v>
      </c>
      <c r="F1262" t="s">
        <v>23479</v>
      </c>
      <c r="G1262">
        <v>8</v>
      </c>
      <c r="H1262" t="s">
        <v>920</v>
      </c>
      <c r="J1262" t="s">
        <v>444</v>
      </c>
      <c r="K1262" t="s">
        <v>86</v>
      </c>
      <c r="L1262" t="s">
        <v>113</v>
      </c>
      <c r="M1262" t="s">
        <v>667</v>
      </c>
      <c r="N1262" t="s">
        <v>4296</v>
      </c>
      <c r="O1262" t="s">
        <v>4297</v>
      </c>
      <c r="P1262" s="2" t="s">
        <v>165</v>
      </c>
      <c r="Q1262" t="s">
        <v>166</v>
      </c>
      <c r="R1262">
        <v>0.05</v>
      </c>
      <c r="S1262">
        <v>8.76</v>
      </c>
      <c r="T1262" t="s">
        <v>167</v>
      </c>
    </row>
    <row r="1263" spans="1:20" x14ac:dyDescent="0.25">
      <c r="A1263" s="1" t="str">
        <f>HYPERLINK("https://vegkart.atlas.vegvesen.no/#/@223596.7,6554787.0,18/hva:hva%5B0%5D%5Bfilter%5D%5B0%5D%5Boperator%5D=%21%3D&amp;hva%5B0%5D%5Bfilter%5D%5B0%5D%5Btype_id%5D=9427&amp;hva%5B0%5D%5Bfilter%5D%5B0%5D%5Bverdi%5D=&amp;hva%5B0%5D%5Bid%5D=25/når:2023-05-31", "Vegkart")</f>
        <v>Vegkart</v>
      </c>
      <c r="B1263">
        <v>87612255</v>
      </c>
      <c r="C1263">
        <v>25</v>
      </c>
      <c r="D1263" t="s">
        <v>4290</v>
      </c>
      <c r="E1263">
        <v>9427</v>
      </c>
      <c r="F1263" t="s">
        <v>23479</v>
      </c>
      <c r="G1263">
        <v>5</v>
      </c>
      <c r="H1263" t="s">
        <v>4298</v>
      </c>
      <c r="J1263" t="s">
        <v>449</v>
      </c>
      <c r="K1263" t="s">
        <v>81</v>
      </c>
      <c r="L1263" t="s">
        <v>33</v>
      </c>
      <c r="M1263" t="s">
        <v>4299</v>
      </c>
      <c r="N1263" t="s">
        <v>4300</v>
      </c>
      <c r="O1263" t="s">
        <v>4301</v>
      </c>
      <c r="P1263" s="2" t="s">
        <v>37</v>
      </c>
      <c r="Q1263" t="s">
        <v>1208</v>
      </c>
      <c r="R1263">
        <v>0</v>
      </c>
      <c r="S1263">
        <v>11.33</v>
      </c>
      <c r="T1263" t="s">
        <v>4302</v>
      </c>
    </row>
    <row r="1264" spans="1:20" x14ac:dyDescent="0.25">
      <c r="A1264" s="1" t="str">
        <f>HYPERLINK("https://vegkart.atlas.vegvesen.no/#/@240166.4,6575098.1,18/hva:hva%5B0%5D%5Bfilter%5D%5B0%5D%5Boperator%5D=%21%3D&amp;hva%5B0%5D%5Bfilter%5D%5B0%5D%5Btype_id%5D=9427&amp;hva%5B0%5D%5Bfilter%5D%5B0%5D%5Bverdi%5D=&amp;hva%5B0%5D%5Bid%5D=25/når:2023-05-31", "Vegkart")</f>
        <v>Vegkart</v>
      </c>
      <c r="B1264">
        <v>87612261</v>
      </c>
      <c r="C1264">
        <v>25</v>
      </c>
      <c r="D1264" t="s">
        <v>4290</v>
      </c>
      <c r="E1264">
        <v>9427</v>
      </c>
      <c r="F1264" t="s">
        <v>23479</v>
      </c>
      <c r="G1264">
        <v>5</v>
      </c>
      <c r="H1264" t="s">
        <v>4298</v>
      </c>
      <c r="J1264" t="s">
        <v>449</v>
      </c>
      <c r="K1264" t="s">
        <v>81</v>
      </c>
      <c r="L1264" t="s">
        <v>33</v>
      </c>
      <c r="M1264" t="s">
        <v>1804</v>
      </c>
      <c r="N1264" t="s">
        <v>4303</v>
      </c>
      <c r="O1264" t="s">
        <v>4304</v>
      </c>
      <c r="P1264" s="2" t="s">
        <v>37</v>
      </c>
      <c r="Q1264" t="s">
        <v>1208</v>
      </c>
      <c r="R1264">
        <v>0</v>
      </c>
      <c r="S1264">
        <v>10.75</v>
      </c>
      <c r="T1264" t="s">
        <v>4305</v>
      </c>
    </row>
    <row r="1265" spans="1:20" x14ac:dyDescent="0.25">
      <c r="A1265" s="1" t="str">
        <f>HYPERLINK("https://vegkart.atlas.vegvesen.no/#/@231678.6,6622348.2,18/hva:hva%5B0%5D%5Bfilter%5D%5B0%5D%5Boperator%5D=%21%3D&amp;hva%5B0%5D%5Bfilter%5D%5B0%5D%5Btype_id%5D=9427&amp;hva%5B0%5D%5Bfilter%5D%5B0%5D%5Bverdi%5D=&amp;hva%5B0%5D%5Bid%5D=25/når:2023-05-31", "Vegkart")</f>
        <v>Vegkart</v>
      </c>
      <c r="B1265">
        <v>87612287</v>
      </c>
      <c r="C1265">
        <v>25</v>
      </c>
      <c r="D1265" t="s">
        <v>4290</v>
      </c>
      <c r="E1265">
        <v>9427</v>
      </c>
      <c r="F1265" t="s">
        <v>23479</v>
      </c>
      <c r="G1265">
        <v>5</v>
      </c>
      <c r="H1265" t="s">
        <v>4298</v>
      </c>
      <c r="J1265" t="s">
        <v>449</v>
      </c>
      <c r="K1265" t="s">
        <v>81</v>
      </c>
      <c r="L1265" t="s">
        <v>33</v>
      </c>
      <c r="M1265" t="s">
        <v>4306</v>
      </c>
      <c r="N1265" t="s">
        <v>4307</v>
      </c>
      <c r="O1265" t="s">
        <v>4308</v>
      </c>
      <c r="P1265" s="2" t="s">
        <v>37</v>
      </c>
      <c r="Q1265" t="s">
        <v>1208</v>
      </c>
      <c r="R1265">
        <v>0</v>
      </c>
      <c r="S1265">
        <v>11.36</v>
      </c>
      <c r="T1265" t="s">
        <v>4309</v>
      </c>
    </row>
    <row r="1266" spans="1:20" x14ac:dyDescent="0.25">
      <c r="A1266" s="1" t="str">
        <f>HYPERLINK("https://vegkart.atlas.vegvesen.no/#/@231659.3,6605321.9,18/hva:hva%5B0%5D%5Bfilter%5D%5B0%5D%5Boperator%5D=%21%3D&amp;hva%5B0%5D%5Bfilter%5D%5B0%5D%5Btype_id%5D=9427&amp;hva%5B0%5D%5Bfilter%5D%5B0%5D%5Bverdi%5D=&amp;hva%5B0%5D%5Bid%5D=25/når:2023-05-31", "Vegkart")</f>
        <v>Vegkart</v>
      </c>
      <c r="B1266">
        <v>87621489</v>
      </c>
      <c r="C1266">
        <v>25</v>
      </c>
      <c r="D1266" t="s">
        <v>4290</v>
      </c>
      <c r="E1266">
        <v>9427</v>
      </c>
      <c r="F1266" t="s">
        <v>23479</v>
      </c>
      <c r="G1266">
        <v>5</v>
      </c>
      <c r="H1266" t="s">
        <v>4298</v>
      </c>
      <c r="J1266" t="s">
        <v>449</v>
      </c>
      <c r="K1266" t="s">
        <v>81</v>
      </c>
      <c r="L1266" t="s">
        <v>33</v>
      </c>
      <c r="M1266" t="s">
        <v>4310</v>
      </c>
      <c r="N1266" t="s">
        <v>4311</v>
      </c>
      <c r="O1266" t="s">
        <v>4312</v>
      </c>
      <c r="P1266" s="2" t="s">
        <v>37</v>
      </c>
      <c r="Q1266" t="s">
        <v>1208</v>
      </c>
      <c r="R1266">
        <v>0</v>
      </c>
      <c r="S1266">
        <v>10.5</v>
      </c>
      <c r="T1266" t="s">
        <v>4313</v>
      </c>
    </row>
    <row r="1267" spans="1:20" x14ac:dyDescent="0.25">
      <c r="A1267" s="1" t="str">
        <f>HYPERLINK("https://vegkart.atlas.vegvesen.no/#/@221176.7,6606054.0,18/hva:hva%5B0%5D%5Bfilter%5D%5B0%5D%5Boperator%5D=%21%3D&amp;hva%5B0%5D%5Bfilter%5D%5B0%5D%5Btype_id%5D=9427&amp;hva%5B0%5D%5Bfilter%5D%5B0%5D%5Bverdi%5D=&amp;hva%5B0%5D%5Bid%5D=25/når:2023-05-31", "Vegkart")</f>
        <v>Vegkart</v>
      </c>
      <c r="B1267">
        <v>87623476</v>
      </c>
      <c r="C1267">
        <v>25</v>
      </c>
      <c r="D1267" t="s">
        <v>4290</v>
      </c>
      <c r="E1267">
        <v>9427</v>
      </c>
      <c r="F1267" t="s">
        <v>23479</v>
      </c>
      <c r="G1267">
        <v>7</v>
      </c>
      <c r="H1267" t="s">
        <v>4298</v>
      </c>
      <c r="J1267" t="s">
        <v>449</v>
      </c>
      <c r="K1267" t="s">
        <v>81</v>
      </c>
      <c r="L1267" t="s">
        <v>33</v>
      </c>
      <c r="M1267" t="s">
        <v>132</v>
      </c>
      <c r="N1267" t="s">
        <v>4314</v>
      </c>
      <c r="O1267" t="s">
        <v>4315</v>
      </c>
      <c r="P1267" s="2" t="s">
        <v>165</v>
      </c>
      <c r="Q1267" t="s">
        <v>166</v>
      </c>
      <c r="R1267">
        <v>1.97</v>
      </c>
      <c r="S1267">
        <v>13.56</v>
      </c>
      <c r="T1267" t="s">
        <v>167</v>
      </c>
    </row>
    <row r="1268" spans="1:20" x14ac:dyDescent="0.25">
      <c r="A1268" s="1" t="str">
        <f>HYPERLINK("https://vegkart.atlas.vegvesen.no/#/@222568.6,6590653.4,18/hva:hva%5B0%5D%5Bfilter%5D%5B0%5D%5Boperator%5D=%21%3D&amp;hva%5B0%5D%5Bfilter%5D%5B0%5D%5Btype_id%5D=9427&amp;hva%5B0%5D%5Bfilter%5D%5B0%5D%5Bverdi%5D=&amp;hva%5B0%5D%5Bid%5D=25/når:2023-05-31", "Vegkart")</f>
        <v>Vegkart</v>
      </c>
      <c r="B1268">
        <v>87625260</v>
      </c>
      <c r="C1268">
        <v>25</v>
      </c>
      <c r="D1268" t="s">
        <v>4290</v>
      </c>
      <c r="E1268">
        <v>9427</v>
      </c>
      <c r="F1268" t="s">
        <v>23479</v>
      </c>
      <c r="G1268">
        <v>5</v>
      </c>
      <c r="H1268" t="s">
        <v>4298</v>
      </c>
      <c r="J1268" t="s">
        <v>449</v>
      </c>
      <c r="K1268" t="s">
        <v>81</v>
      </c>
      <c r="L1268" t="s">
        <v>33</v>
      </c>
      <c r="M1268" t="s">
        <v>4316</v>
      </c>
      <c r="N1268" t="s">
        <v>4317</v>
      </c>
      <c r="O1268" t="s">
        <v>4318</v>
      </c>
      <c r="P1268" s="2" t="s">
        <v>37</v>
      </c>
      <c r="Q1268" t="s">
        <v>1208</v>
      </c>
      <c r="R1268">
        <v>0</v>
      </c>
      <c r="S1268">
        <v>16.079999999999998</v>
      </c>
      <c r="T1268" t="s">
        <v>4319</v>
      </c>
    </row>
    <row r="1269" spans="1:20" x14ac:dyDescent="0.25">
      <c r="A1269" s="1" t="str">
        <f>HYPERLINK("https://vegkart.atlas.vegvesen.no/#/@232161.6,6596067.4,18/hva:hva%5B0%5D%5Bfilter%5D%5B0%5D%5Boperator%5D=%21%3D&amp;hva%5B0%5D%5Bfilter%5D%5B0%5D%5Btype_id%5D=9427&amp;hva%5B0%5D%5Bfilter%5D%5B0%5D%5Bverdi%5D=&amp;hva%5B0%5D%5Bid%5D=25/når:2023-05-31", "Vegkart")</f>
        <v>Vegkart</v>
      </c>
      <c r="B1269">
        <v>87627869</v>
      </c>
      <c r="C1269">
        <v>25</v>
      </c>
      <c r="D1269" t="s">
        <v>4290</v>
      </c>
      <c r="E1269">
        <v>9427</v>
      </c>
      <c r="F1269" t="s">
        <v>23479</v>
      </c>
      <c r="G1269">
        <v>5</v>
      </c>
      <c r="H1269" t="s">
        <v>4298</v>
      </c>
      <c r="J1269" t="s">
        <v>449</v>
      </c>
      <c r="K1269" t="s">
        <v>81</v>
      </c>
      <c r="L1269" t="s">
        <v>33</v>
      </c>
      <c r="M1269" t="s">
        <v>4320</v>
      </c>
      <c r="N1269" t="s">
        <v>4321</v>
      </c>
      <c r="O1269" t="s">
        <v>4322</v>
      </c>
      <c r="P1269" s="2" t="s">
        <v>37</v>
      </c>
      <c r="Q1269" t="s">
        <v>1208</v>
      </c>
      <c r="R1269">
        <v>0</v>
      </c>
      <c r="S1269">
        <v>14.49</v>
      </c>
      <c r="T1269" t="s">
        <v>4323</v>
      </c>
    </row>
    <row r="1270" spans="1:20" x14ac:dyDescent="0.25">
      <c r="A1270" s="1" t="str">
        <f>HYPERLINK("https://vegkart.atlas.vegvesen.no/#/@232215.1,6573841.7,18/hva:hva%5B0%5D%5Bfilter%5D%5B0%5D%5Boperator%5D=%21%3D&amp;hva%5B0%5D%5Bfilter%5D%5B0%5D%5Btype_id%5D=9427&amp;hva%5B0%5D%5Bfilter%5D%5B0%5D%5Bverdi%5D=&amp;hva%5B0%5D%5Bid%5D=25/når:2023-05-31", "Vegkart")</f>
        <v>Vegkart</v>
      </c>
      <c r="B1270">
        <v>87707236</v>
      </c>
      <c r="C1270">
        <v>25</v>
      </c>
      <c r="D1270" t="s">
        <v>4290</v>
      </c>
      <c r="E1270">
        <v>9427</v>
      </c>
      <c r="F1270" t="s">
        <v>23479</v>
      </c>
      <c r="G1270">
        <v>6</v>
      </c>
      <c r="H1270" t="s">
        <v>4298</v>
      </c>
      <c r="J1270" t="s">
        <v>449</v>
      </c>
      <c r="K1270" t="s">
        <v>81</v>
      </c>
      <c r="L1270" t="s">
        <v>33</v>
      </c>
      <c r="M1270" t="s">
        <v>1812</v>
      </c>
      <c r="N1270" t="s">
        <v>4324</v>
      </c>
      <c r="O1270" t="s">
        <v>4325</v>
      </c>
      <c r="P1270" s="2" t="s">
        <v>37</v>
      </c>
      <c r="Q1270" t="s">
        <v>1208</v>
      </c>
      <c r="R1270">
        <v>0</v>
      </c>
      <c r="S1270">
        <v>10.75</v>
      </c>
      <c r="T1270" t="s">
        <v>4326</v>
      </c>
    </row>
    <row r="1271" spans="1:20" x14ac:dyDescent="0.25">
      <c r="A1271" s="1" t="str">
        <f>HYPERLINK("https://vegkart.atlas.vegvesen.no/#/@232248.4,6573836.2,18/hva:hva%5B0%5D%5Bfilter%5D%5B0%5D%5Boperator%5D=%21%3D&amp;hva%5B0%5D%5Bfilter%5D%5B0%5D%5Btype_id%5D=9427&amp;hva%5B0%5D%5Bfilter%5D%5B0%5D%5Bverdi%5D=&amp;hva%5B0%5D%5Bid%5D=25/når:2023-05-31", "Vegkart")</f>
        <v>Vegkart</v>
      </c>
      <c r="B1271">
        <v>87707253</v>
      </c>
      <c r="C1271">
        <v>25</v>
      </c>
      <c r="D1271" t="s">
        <v>4290</v>
      </c>
      <c r="E1271">
        <v>9427</v>
      </c>
      <c r="F1271" t="s">
        <v>23479</v>
      </c>
      <c r="G1271">
        <v>6</v>
      </c>
      <c r="H1271" t="s">
        <v>4298</v>
      </c>
      <c r="J1271" t="s">
        <v>449</v>
      </c>
      <c r="K1271" t="s">
        <v>81</v>
      </c>
      <c r="L1271" t="s">
        <v>33</v>
      </c>
      <c r="M1271" t="s">
        <v>1812</v>
      </c>
      <c r="N1271" t="s">
        <v>4327</v>
      </c>
      <c r="O1271" t="s">
        <v>4328</v>
      </c>
      <c r="P1271" s="2" t="s">
        <v>37</v>
      </c>
      <c r="Q1271" t="s">
        <v>1208</v>
      </c>
      <c r="R1271">
        <v>0</v>
      </c>
      <c r="S1271">
        <v>10.41</v>
      </c>
      <c r="T1271" t="s">
        <v>4329</v>
      </c>
    </row>
    <row r="1272" spans="1:20" x14ac:dyDescent="0.25">
      <c r="A1272" s="1" t="str">
        <f>HYPERLINK("https://vegkart.atlas.vegvesen.no/#/@232175.7,6573536.5,18/hva:hva%5B0%5D%5Bfilter%5D%5B0%5D%5Boperator%5D=%21%3D&amp;hva%5B0%5D%5Bfilter%5D%5B0%5D%5Btype_id%5D=9427&amp;hva%5B0%5D%5Bfilter%5D%5B0%5D%5Bverdi%5D=&amp;hva%5B0%5D%5Bid%5D=25/når:2023-05-31", "Vegkart")</f>
        <v>Vegkart</v>
      </c>
      <c r="B1272">
        <v>87707317</v>
      </c>
      <c r="C1272">
        <v>25</v>
      </c>
      <c r="D1272" t="s">
        <v>4290</v>
      </c>
      <c r="E1272">
        <v>9427</v>
      </c>
      <c r="F1272" t="s">
        <v>23479</v>
      </c>
      <c r="G1272">
        <v>5</v>
      </c>
      <c r="H1272" t="s">
        <v>4298</v>
      </c>
      <c r="J1272" t="s">
        <v>449</v>
      </c>
      <c r="K1272" t="s">
        <v>81</v>
      </c>
      <c r="L1272" t="s">
        <v>33</v>
      </c>
      <c r="M1272" t="s">
        <v>1812</v>
      </c>
      <c r="N1272" t="s">
        <v>4330</v>
      </c>
      <c r="O1272" t="s">
        <v>4331</v>
      </c>
      <c r="P1272" s="2" t="s">
        <v>37</v>
      </c>
      <c r="Q1272" t="s">
        <v>1208</v>
      </c>
      <c r="R1272">
        <v>0</v>
      </c>
      <c r="S1272">
        <v>10.55</v>
      </c>
      <c r="T1272" t="s">
        <v>4332</v>
      </c>
    </row>
    <row r="1273" spans="1:20" x14ac:dyDescent="0.25">
      <c r="A1273" s="1" t="str">
        <f>HYPERLINK("https://vegkart.atlas.vegvesen.no/#/@234057.5,6580853.1,18/hva:hva%5B0%5D%5Bfilter%5D%5B0%5D%5Boperator%5D=%21%3D&amp;hva%5B0%5D%5Bfilter%5D%5B0%5D%5Btype_id%5D=9427&amp;hva%5B0%5D%5Bfilter%5D%5B0%5D%5Bverdi%5D=&amp;hva%5B0%5D%5Bid%5D=25/når:2023-05-31", "Vegkart")</f>
        <v>Vegkart</v>
      </c>
      <c r="B1273">
        <v>87708788</v>
      </c>
      <c r="C1273">
        <v>25</v>
      </c>
      <c r="D1273" t="s">
        <v>4290</v>
      </c>
      <c r="E1273">
        <v>9427</v>
      </c>
      <c r="F1273" t="s">
        <v>23479</v>
      </c>
      <c r="G1273">
        <v>6</v>
      </c>
      <c r="H1273" t="s">
        <v>4298</v>
      </c>
      <c r="J1273" t="s">
        <v>449</v>
      </c>
      <c r="K1273" t="s">
        <v>81</v>
      </c>
      <c r="L1273" t="s">
        <v>33</v>
      </c>
      <c r="M1273" t="s">
        <v>4333</v>
      </c>
      <c r="N1273" t="s">
        <v>4334</v>
      </c>
      <c r="O1273" t="s">
        <v>4335</v>
      </c>
      <c r="P1273" s="2" t="s">
        <v>37</v>
      </c>
      <c r="Q1273" t="s">
        <v>1208</v>
      </c>
      <c r="R1273">
        <v>0</v>
      </c>
      <c r="S1273">
        <v>10.09</v>
      </c>
      <c r="T1273" t="s">
        <v>4336</v>
      </c>
    </row>
    <row r="1274" spans="1:20" x14ac:dyDescent="0.25">
      <c r="A1274" s="1" t="str">
        <f>HYPERLINK("https://vegkart.atlas.vegvesen.no/#/@234133.1,6580924.7,18/hva:hva%5B0%5D%5Bfilter%5D%5B0%5D%5Boperator%5D=%21%3D&amp;hva%5B0%5D%5Bfilter%5D%5B0%5D%5Btype_id%5D=9427&amp;hva%5B0%5D%5Bfilter%5D%5B0%5D%5Bverdi%5D=&amp;hva%5B0%5D%5Bid%5D=25/når:2023-05-31", "Vegkart")</f>
        <v>Vegkart</v>
      </c>
      <c r="B1274">
        <v>87708809</v>
      </c>
      <c r="C1274">
        <v>25</v>
      </c>
      <c r="D1274" t="s">
        <v>4290</v>
      </c>
      <c r="E1274">
        <v>9427</v>
      </c>
      <c r="F1274" t="s">
        <v>23479</v>
      </c>
      <c r="G1274">
        <v>8</v>
      </c>
      <c r="H1274" t="s">
        <v>4298</v>
      </c>
      <c r="J1274" t="s">
        <v>449</v>
      </c>
      <c r="K1274" t="s">
        <v>81</v>
      </c>
      <c r="L1274" t="s">
        <v>33</v>
      </c>
      <c r="M1274" t="s">
        <v>4333</v>
      </c>
      <c r="N1274" t="s">
        <v>4337</v>
      </c>
      <c r="O1274" t="s">
        <v>4338</v>
      </c>
      <c r="P1274" s="2" t="s">
        <v>165</v>
      </c>
      <c r="Q1274" t="s">
        <v>166</v>
      </c>
      <c r="R1274">
        <v>0</v>
      </c>
      <c r="S1274">
        <v>9.83</v>
      </c>
      <c r="T1274" t="s">
        <v>167</v>
      </c>
    </row>
    <row r="1275" spans="1:20" x14ac:dyDescent="0.25">
      <c r="A1275" s="1" t="str">
        <f>HYPERLINK("https://vegkart.atlas.vegvesen.no/#/@231579.5,6574417.3,18/hva:hva%5B0%5D%5Bfilter%5D%5B0%5D%5Boperator%5D=%21%3D&amp;hva%5B0%5D%5Bfilter%5D%5B0%5D%5Btype_id%5D=9427&amp;hva%5B0%5D%5Bfilter%5D%5B0%5D%5Bverdi%5D=&amp;hva%5B0%5D%5Bid%5D=25/når:2023-05-31", "Vegkart")</f>
        <v>Vegkart</v>
      </c>
      <c r="B1275">
        <v>87720485</v>
      </c>
      <c r="C1275">
        <v>25</v>
      </c>
      <c r="D1275" t="s">
        <v>4290</v>
      </c>
      <c r="E1275">
        <v>9427</v>
      </c>
      <c r="F1275" t="s">
        <v>23479</v>
      </c>
      <c r="G1275">
        <v>5</v>
      </c>
      <c r="H1275" t="s">
        <v>4298</v>
      </c>
      <c r="J1275" t="s">
        <v>449</v>
      </c>
      <c r="K1275" t="s">
        <v>81</v>
      </c>
      <c r="L1275" t="s">
        <v>33</v>
      </c>
      <c r="M1275" t="s">
        <v>1884</v>
      </c>
      <c r="N1275" t="s">
        <v>4339</v>
      </c>
      <c r="O1275" t="s">
        <v>4340</v>
      </c>
      <c r="P1275" s="2" t="s">
        <v>37</v>
      </c>
      <c r="Q1275" t="s">
        <v>1208</v>
      </c>
      <c r="R1275">
        <v>0</v>
      </c>
      <c r="S1275">
        <v>7.32</v>
      </c>
      <c r="T1275" t="s">
        <v>4341</v>
      </c>
    </row>
    <row r="1276" spans="1:20" x14ac:dyDescent="0.25">
      <c r="A1276" s="1" t="str">
        <f>HYPERLINK("https://vegkart.atlas.vegvesen.no/#/@219072.2,6560387.2,18/hva:hva%5B0%5D%5Bfilter%5D%5B0%5D%5Boperator%5D=%21%3D&amp;hva%5B0%5D%5Bfilter%5D%5B0%5D%5Btype_id%5D=9427&amp;hva%5B0%5D%5Bfilter%5D%5B0%5D%5Bverdi%5D=&amp;hva%5B0%5D%5Bid%5D=25/når:2023-05-31", "Vegkart")</f>
        <v>Vegkart</v>
      </c>
      <c r="B1276">
        <v>87738701</v>
      </c>
      <c r="C1276">
        <v>25</v>
      </c>
      <c r="D1276" t="s">
        <v>4290</v>
      </c>
      <c r="E1276">
        <v>9427</v>
      </c>
      <c r="F1276" t="s">
        <v>23479</v>
      </c>
      <c r="G1276">
        <v>5</v>
      </c>
      <c r="H1276" t="s">
        <v>4298</v>
      </c>
      <c r="J1276" t="s">
        <v>449</v>
      </c>
      <c r="K1276" t="s">
        <v>81</v>
      </c>
      <c r="L1276" t="s">
        <v>33</v>
      </c>
      <c r="M1276" t="s">
        <v>4342</v>
      </c>
      <c r="N1276" t="s">
        <v>4343</v>
      </c>
      <c r="O1276" t="s">
        <v>4344</v>
      </c>
      <c r="P1276" s="2" t="s">
        <v>37</v>
      </c>
      <c r="Q1276" t="s">
        <v>1208</v>
      </c>
      <c r="R1276">
        <v>0</v>
      </c>
      <c r="S1276">
        <v>10.74</v>
      </c>
      <c r="T1276" t="s">
        <v>4345</v>
      </c>
    </row>
    <row r="1277" spans="1:20" x14ac:dyDescent="0.25">
      <c r="A1277" s="1" t="str">
        <f>HYPERLINK("https://vegkart.atlas.vegvesen.no/#/@205288.5,6549926.7,18/hva:hva%5B0%5D%5Bfilter%5D%5B0%5D%5Boperator%5D=%21%3D&amp;hva%5B0%5D%5Bfilter%5D%5B0%5D%5Btype_id%5D=9427&amp;hva%5B0%5D%5Bfilter%5D%5B0%5D%5Bverdi%5D=&amp;hva%5B0%5D%5Bid%5D=25/når:2023-05-31", "Vegkart")</f>
        <v>Vegkart</v>
      </c>
      <c r="B1277">
        <v>87743210</v>
      </c>
      <c r="C1277">
        <v>25</v>
      </c>
      <c r="D1277" t="s">
        <v>4290</v>
      </c>
      <c r="E1277">
        <v>9427</v>
      </c>
      <c r="F1277" t="s">
        <v>23479</v>
      </c>
      <c r="G1277">
        <v>5</v>
      </c>
      <c r="H1277" t="s">
        <v>4298</v>
      </c>
      <c r="J1277" t="s">
        <v>449</v>
      </c>
      <c r="K1277" t="s">
        <v>81</v>
      </c>
      <c r="L1277" t="s">
        <v>33</v>
      </c>
      <c r="M1277" t="s">
        <v>1892</v>
      </c>
      <c r="N1277" t="s">
        <v>4346</v>
      </c>
      <c r="O1277" t="s">
        <v>4347</v>
      </c>
      <c r="P1277" s="2" t="s">
        <v>37</v>
      </c>
      <c r="Q1277" t="s">
        <v>1208</v>
      </c>
      <c r="R1277">
        <v>0</v>
      </c>
      <c r="S1277">
        <v>11.7</v>
      </c>
      <c r="T1277" t="s">
        <v>4348</v>
      </c>
    </row>
    <row r="1278" spans="1:20" x14ac:dyDescent="0.25">
      <c r="A1278" s="1" t="str">
        <f>HYPERLINK("https://vegkart.atlas.vegvesen.no/#/@239151.7,6579058.8,18/hva:hva%5B0%5D%5Bfilter%5D%5B0%5D%5Boperator%5D=%21%3D&amp;hva%5B0%5D%5Bfilter%5D%5B0%5D%5Btype_id%5D=9427&amp;hva%5B0%5D%5Bfilter%5D%5B0%5D%5Bverdi%5D=&amp;hva%5B0%5D%5Bid%5D=25/når:2023-05-31", "Vegkart")</f>
        <v>Vegkart</v>
      </c>
      <c r="B1278">
        <v>87774494</v>
      </c>
      <c r="C1278">
        <v>25</v>
      </c>
      <c r="D1278" t="s">
        <v>4290</v>
      </c>
      <c r="E1278">
        <v>9427</v>
      </c>
      <c r="F1278" t="s">
        <v>23479</v>
      </c>
      <c r="G1278">
        <v>4</v>
      </c>
      <c r="H1278" t="s">
        <v>4298</v>
      </c>
      <c r="J1278" t="s">
        <v>449</v>
      </c>
      <c r="K1278" t="s">
        <v>81</v>
      </c>
      <c r="L1278" t="s">
        <v>33</v>
      </c>
      <c r="M1278" t="s">
        <v>4349</v>
      </c>
      <c r="N1278" t="s">
        <v>4350</v>
      </c>
      <c r="O1278" t="s">
        <v>4351</v>
      </c>
      <c r="P1278" s="2" t="s">
        <v>37</v>
      </c>
      <c r="Q1278" t="s">
        <v>1208</v>
      </c>
      <c r="R1278">
        <v>0</v>
      </c>
      <c r="S1278">
        <v>10.039999999999999</v>
      </c>
      <c r="T1278" t="s">
        <v>4352</v>
      </c>
    </row>
    <row r="1279" spans="1:20" x14ac:dyDescent="0.25">
      <c r="A1279" s="1" t="str">
        <f>HYPERLINK("https://vegkart.atlas.vegvesen.no/#/@238356.6,6579716.5,18/hva:hva%5B0%5D%5Bfilter%5D%5B0%5D%5Boperator%5D=%21%3D&amp;hva%5B0%5D%5Bfilter%5D%5B0%5D%5Btype_id%5D=9427&amp;hva%5B0%5D%5Bfilter%5D%5B0%5D%5Bverdi%5D=&amp;hva%5B0%5D%5Bid%5D=25/når:2023-05-31", "Vegkart")</f>
        <v>Vegkart</v>
      </c>
      <c r="B1279">
        <v>87776463</v>
      </c>
      <c r="C1279">
        <v>25</v>
      </c>
      <c r="D1279" t="s">
        <v>4290</v>
      </c>
      <c r="E1279">
        <v>9427</v>
      </c>
      <c r="F1279" t="s">
        <v>23479</v>
      </c>
      <c r="G1279">
        <v>5</v>
      </c>
      <c r="H1279" t="s">
        <v>4298</v>
      </c>
      <c r="J1279" t="s">
        <v>449</v>
      </c>
      <c r="K1279" t="s">
        <v>81</v>
      </c>
      <c r="L1279" t="s">
        <v>33</v>
      </c>
      <c r="M1279" t="s">
        <v>4353</v>
      </c>
      <c r="N1279" t="s">
        <v>4354</v>
      </c>
      <c r="O1279" t="s">
        <v>4355</v>
      </c>
      <c r="P1279" s="2" t="s">
        <v>37</v>
      </c>
      <c r="Q1279" t="s">
        <v>1208</v>
      </c>
      <c r="R1279">
        <v>0</v>
      </c>
      <c r="S1279">
        <v>10.11</v>
      </c>
      <c r="T1279" t="s">
        <v>4356</v>
      </c>
    </row>
    <row r="1280" spans="1:20" x14ac:dyDescent="0.25">
      <c r="A1280" s="1" t="str">
        <f>HYPERLINK("https://vegkart.atlas.vegvesen.no/#/@242470.3,6592483.3,18/hva:hva%5B0%5D%5Bfilter%5D%5B0%5D%5Boperator%5D=%21%3D&amp;hva%5B0%5D%5Bfilter%5D%5B0%5D%5Btype_id%5D=9427&amp;hva%5B0%5D%5Bfilter%5D%5B0%5D%5Bverdi%5D=&amp;hva%5B0%5D%5Bid%5D=25/når:2023-05-31", "Vegkart")</f>
        <v>Vegkart</v>
      </c>
      <c r="B1280">
        <v>87777096</v>
      </c>
      <c r="C1280">
        <v>25</v>
      </c>
      <c r="D1280" t="s">
        <v>4290</v>
      </c>
      <c r="E1280">
        <v>9427</v>
      </c>
      <c r="F1280" t="s">
        <v>23479</v>
      </c>
      <c r="G1280">
        <v>6</v>
      </c>
      <c r="H1280" t="s">
        <v>4298</v>
      </c>
      <c r="J1280" t="s">
        <v>449</v>
      </c>
      <c r="K1280" t="s">
        <v>81</v>
      </c>
      <c r="L1280" t="s">
        <v>33</v>
      </c>
      <c r="M1280" t="s">
        <v>4357</v>
      </c>
      <c r="N1280" t="s">
        <v>4358</v>
      </c>
      <c r="O1280" t="s">
        <v>4359</v>
      </c>
      <c r="P1280" s="2" t="s">
        <v>37</v>
      </c>
      <c r="Q1280" t="s">
        <v>1208</v>
      </c>
      <c r="R1280">
        <v>0</v>
      </c>
      <c r="S1280">
        <v>10.4</v>
      </c>
      <c r="T1280" t="s">
        <v>4360</v>
      </c>
    </row>
    <row r="1281" spans="1:20" x14ac:dyDescent="0.25">
      <c r="A1281" s="1" t="str">
        <f>HYPERLINK("https://vegkart.atlas.vegvesen.no/#/@242483.2,6593040.6,18/hva:hva%5B0%5D%5Bfilter%5D%5B0%5D%5Boperator%5D=%21%3D&amp;hva%5B0%5D%5Bfilter%5D%5B0%5D%5Btype_id%5D=9427&amp;hva%5B0%5D%5Bfilter%5D%5B0%5D%5Bverdi%5D=&amp;hva%5B0%5D%5Bid%5D=25/når:2023-05-31", "Vegkart")</f>
        <v>Vegkart</v>
      </c>
      <c r="B1281">
        <v>87777143</v>
      </c>
      <c r="C1281">
        <v>25</v>
      </c>
      <c r="D1281" t="s">
        <v>4290</v>
      </c>
      <c r="E1281">
        <v>9427</v>
      </c>
      <c r="F1281" t="s">
        <v>23479</v>
      </c>
      <c r="G1281">
        <v>6</v>
      </c>
      <c r="H1281" t="s">
        <v>4298</v>
      </c>
      <c r="J1281" t="s">
        <v>449</v>
      </c>
      <c r="K1281" t="s">
        <v>81</v>
      </c>
      <c r="L1281" t="s">
        <v>33</v>
      </c>
      <c r="M1281" t="s">
        <v>4357</v>
      </c>
      <c r="N1281" t="s">
        <v>4361</v>
      </c>
      <c r="O1281" t="s">
        <v>4362</v>
      </c>
      <c r="P1281" s="2" t="s">
        <v>37</v>
      </c>
      <c r="Q1281" t="s">
        <v>1208</v>
      </c>
      <c r="R1281">
        <v>0</v>
      </c>
      <c r="S1281">
        <v>10.54</v>
      </c>
      <c r="T1281" t="s">
        <v>4363</v>
      </c>
    </row>
    <row r="1282" spans="1:20" x14ac:dyDescent="0.25">
      <c r="A1282" s="1" t="str">
        <f>HYPERLINK("https://vegkart.atlas.vegvesen.no/#/@239107.4,6581181.2,18/hva:hva%5B0%5D%5Bfilter%5D%5B0%5D%5Boperator%5D=%21%3D&amp;hva%5B0%5D%5Bfilter%5D%5B0%5D%5Btype_id%5D=9427&amp;hva%5B0%5D%5Bfilter%5D%5B0%5D%5Bverdi%5D=&amp;hva%5B0%5D%5Bid%5D=25/når:2023-05-31", "Vegkart")</f>
        <v>Vegkart</v>
      </c>
      <c r="B1282">
        <v>87778224</v>
      </c>
      <c r="C1282">
        <v>25</v>
      </c>
      <c r="D1282" t="s">
        <v>4290</v>
      </c>
      <c r="E1282">
        <v>9427</v>
      </c>
      <c r="F1282" t="s">
        <v>23479</v>
      </c>
      <c r="G1282">
        <v>3</v>
      </c>
      <c r="H1282" t="s">
        <v>4298</v>
      </c>
      <c r="J1282" t="s">
        <v>449</v>
      </c>
      <c r="K1282" t="s">
        <v>81</v>
      </c>
      <c r="L1282" t="s">
        <v>33</v>
      </c>
      <c r="M1282" t="s">
        <v>2053</v>
      </c>
      <c r="N1282" t="s">
        <v>4364</v>
      </c>
      <c r="O1282" t="s">
        <v>4365</v>
      </c>
      <c r="P1282" s="2" t="s">
        <v>37</v>
      </c>
      <c r="Q1282" t="s">
        <v>1208</v>
      </c>
      <c r="R1282">
        <v>0</v>
      </c>
      <c r="S1282">
        <v>8.59</v>
      </c>
      <c r="T1282" t="s">
        <v>4366</v>
      </c>
    </row>
    <row r="1283" spans="1:20" x14ac:dyDescent="0.25">
      <c r="A1283" s="1" t="str">
        <f>HYPERLINK("https://vegkart.atlas.vegvesen.no/#/@239034.7,6580974.9,18/hva:hva%5B0%5D%5Bfilter%5D%5B0%5D%5Boperator%5D=%21%3D&amp;hva%5B0%5D%5Bfilter%5D%5B0%5D%5Btype_id%5D=9427&amp;hva%5B0%5D%5Bfilter%5D%5B0%5D%5Bverdi%5D=&amp;hva%5B0%5D%5Bid%5D=25/når:2023-05-31", "Vegkart")</f>
        <v>Vegkart</v>
      </c>
      <c r="B1283">
        <v>87778275</v>
      </c>
      <c r="C1283">
        <v>25</v>
      </c>
      <c r="D1283" t="s">
        <v>4290</v>
      </c>
      <c r="E1283">
        <v>9427</v>
      </c>
      <c r="F1283" t="s">
        <v>23479</v>
      </c>
      <c r="G1283">
        <v>4</v>
      </c>
      <c r="H1283" t="s">
        <v>4298</v>
      </c>
      <c r="J1283" t="s">
        <v>449</v>
      </c>
      <c r="K1283" t="s">
        <v>81</v>
      </c>
      <c r="L1283" t="s">
        <v>33</v>
      </c>
      <c r="M1283" t="s">
        <v>2053</v>
      </c>
      <c r="N1283" t="s">
        <v>4367</v>
      </c>
      <c r="O1283" t="s">
        <v>4368</v>
      </c>
      <c r="P1283" s="2" t="s">
        <v>37</v>
      </c>
      <c r="Q1283" t="s">
        <v>1208</v>
      </c>
      <c r="R1283">
        <v>0</v>
      </c>
      <c r="S1283">
        <v>14.46</v>
      </c>
      <c r="T1283" t="s">
        <v>4369</v>
      </c>
    </row>
    <row r="1284" spans="1:20" x14ac:dyDescent="0.25">
      <c r="A1284" s="1" t="str">
        <f>HYPERLINK("https://vegkart.atlas.vegvesen.no/#/@238414.7,6573823.9,18/hva:hva%5B0%5D%5Bfilter%5D%5B0%5D%5Boperator%5D=%21%3D&amp;hva%5B0%5D%5Bfilter%5D%5B0%5D%5Btype_id%5D=9427&amp;hva%5B0%5D%5Bfilter%5D%5B0%5D%5Bverdi%5D=&amp;hva%5B0%5D%5Bid%5D=25/når:2023-05-31", "Vegkart")</f>
        <v>Vegkart</v>
      </c>
      <c r="B1284">
        <v>87779815</v>
      </c>
      <c r="C1284">
        <v>25</v>
      </c>
      <c r="D1284" t="s">
        <v>4290</v>
      </c>
      <c r="E1284">
        <v>9427</v>
      </c>
      <c r="F1284" t="s">
        <v>23479</v>
      </c>
      <c r="G1284">
        <v>5</v>
      </c>
      <c r="H1284" t="s">
        <v>4298</v>
      </c>
      <c r="J1284" t="s">
        <v>449</v>
      </c>
      <c r="K1284" t="s">
        <v>81</v>
      </c>
      <c r="L1284" t="s">
        <v>33</v>
      </c>
      <c r="M1284" t="s">
        <v>4370</v>
      </c>
      <c r="N1284" t="s">
        <v>4371</v>
      </c>
      <c r="O1284" t="s">
        <v>4372</v>
      </c>
      <c r="P1284" s="2" t="s">
        <v>37</v>
      </c>
      <c r="Q1284" t="s">
        <v>1208</v>
      </c>
      <c r="R1284">
        <v>0</v>
      </c>
      <c r="S1284">
        <v>9.98</v>
      </c>
      <c r="T1284" t="s">
        <v>4373</v>
      </c>
    </row>
    <row r="1285" spans="1:20" x14ac:dyDescent="0.25">
      <c r="A1285" s="1" t="str">
        <f>HYPERLINK("https://vegkart.atlas.vegvesen.no/#/@238982.4,6572813.1,18/hva:hva%5B0%5D%5Bfilter%5D%5B0%5D%5Boperator%5D=%21%3D&amp;hva%5B0%5D%5Bfilter%5D%5B0%5D%5Btype_id%5D=9427&amp;hva%5B0%5D%5Bfilter%5D%5B0%5D%5Bverdi%5D=&amp;hva%5B0%5D%5Bid%5D=25/når:2023-05-31", "Vegkart")</f>
        <v>Vegkart</v>
      </c>
      <c r="B1285">
        <v>87779865</v>
      </c>
      <c r="C1285">
        <v>25</v>
      </c>
      <c r="D1285" t="s">
        <v>4290</v>
      </c>
      <c r="E1285">
        <v>9427</v>
      </c>
      <c r="F1285" t="s">
        <v>23479</v>
      </c>
      <c r="G1285">
        <v>5</v>
      </c>
      <c r="H1285" t="s">
        <v>4298</v>
      </c>
      <c r="J1285" t="s">
        <v>449</v>
      </c>
      <c r="K1285" t="s">
        <v>81</v>
      </c>
      <c r="L1285" t="s">
        <v>33</v>
      </c>
      <c r="M1285" t="s">
        <v>4370</v>
      </c>
      <c r="N1285" t="s">
        <v>4374</v>
      </c>
      <c r="O1285" t="s">
        <v>4375</v>
      </c>
      <c r="P1285" s="2" t="s">
        <v>37</v>
      </c>
      <c r="Q1285" t="s">
        <v>1208</v>
      </c>
      <c r="R1285">
        <v>0</v>
      </c>
      <c r="S1285">
        <v>11.24</v>
      </c>
      <c r="T1285" t="s">
        <v>4376</v>
      </c>
    </row>
    <row r="1286" spans="1:20" x14ac:dyDescent="0.25">
      <c r="A1286" s="1" t="str">
        <f>HYPERLINK("https://vegkart.atlas.vegvesen.no/#/@229431.4,6606438.1,18/hva:hva%5B0%5D%5Bfilter%5D%5B0%5D%5Boperator%5D=%21%3D&amp;hva%5B0%5D%5Bfilter%5D%5B0%5D%5Btype_id%5D=9427&amp;hva%5B0%5D%5Bfilter%5D%5B0%5D%5Bverdi%5D=&amp;hva%5B0%5D%5Bid%5D=25/når:2023-05-31", "Vegkart")</f>
        <v>Vegkart</v>
      </c>
      <c r="B1286">
        <v>87798452</v>
      </c>
      <c r="C1286">
        <v>25</v>
      </c>
      <c r="D1286" t="s">
        <v>4290</v>
      </c>
      <c r="E1286">
        <v>9427</v>
      </c>
      <c r="F1286" t="s">
        <v>23479</v>
      </c>
      <c r="G1286">
        <v>5</v>
      </c>
      <c r="H1286" t="s">
        <v>4298</v>
      </c>
      <c r="J1286" t="s">
        <v>449</v>
      </c>
      <c r="K1286" t="s">
        <v>81</v>
      </c>
      <c r="L1286" t="s">
        <v>33</v>
      </c>
      <c r="M1286" t="s">
        <v>4310</v>
      </c>
      <c r="N1286" t="s">
        <v>4377</v>
      </c>
      <c r="O1286" t="s">
        <v>4378</v>
      </c>
      <c r="P1286" s="2" t="s">
        <v>37</v>
      </c>
      <c r="Q1286" t="s">
        <v>1208</v>
      </c>
      <c r="R1286">
        <v>0</v>
      </c>
      <c r="S1286">
        <v>10.82</v>
      </c>
      <c r="T1286" t="s">
        <v>4379</v>
      </c>
    </row>
    <row r="1287" spans="1:20" x14ac:dyDescent="0.25">
      <c r="A1287" s="1" t="str">
        <f>HYPERLINK("https://vegkart.atlas.vegvesen.no/#/@226958.9,6606283.0,18/hva:hva%5B0%5D%5Bfilter%5D%5B0%5D%5Boperator%5D=%21%3D&amp;hva%5B0%5D%5Bfilter%5D%5B0%5D%5Btype_id%5D=9427&amp;hva%5B0%5D%5Bfilter%5D%5B0%5D%5Bverdi%5D=&amp;hva%5B0%5D%5Bid%5D=25/når:2023-05-31", "Vegkart")</f>
        <v>Vegkart</v>
      </c>
      <c r="B1287">
        <v>87798485</v>
      </c>
      <c r="C1287">
        <v>25</v>
      </c>
      <c r="D1287" t="s">
        <v>4290</v>
      </c>
      <c r="E1287">
        <v>9427</v>
      </c>
      <c r="F1287" t="s">
        <v>23479</v>
      </c>
      <c r="G1287">
        <v>5</v>
      </c>
      <c r="H1287" t="s">
        <v>4298</v>
      </c>
      <c r="J1287" t="s">
        <v>449</v>
      </c>
      <c r="K1287" t="s">
        <v>81</v>
      </c>
      <c r="L1287" t="s">
        <v>33</v>
      </c>
      <c r="M1287" t="s">
        <v>3298</v>
      </c>
      <c r="N1287" t="s">
        <v>4380</v>
      </c>
      <c r="O1287" t="s">
        <v>4381</v>
      </c>
      <c r="P1287" s="2" t="s">
        <v>37</v>
      </c>
      <c r="Q1287" t="s">
        <v>1208</v>
      </c>
      <c r="R1287">
        <v>0</v>
      </c>
      <c r="S1287">
        <v>12.13</v>
      </c>
      <c r="T1287" t="s">
        <v>4382</v>
      </c>
    </row>
    <row r="1288" spans="1:20" x14ac:dyDescent="0.25">
      <c r="A1288" s="1" t="str">
        <f>HYPERLINK("https://vegkart.atlas.vegvesen.no/#/@235452.4,6577676.5,18/hva:hva%5B0%5D%5Bfilter%5D%5B0%5D%5Boperator%5D=%21%3D&amp;hva%5B0%5D%5Bfilter%5D%5B0%5D%5Btype_id%5D=9427&amp;hva%5B0%5D%5Bfilter%5D%5B0%5D%5Bverdi%5D=&amp;hva%5B0%5D%5Bid%5D=25/når:2023-05-31", "Vegkart")</f>
        <v>Vegkart</v>
      </c>
      <c r="B1288">
        <v>87802450</v>
      </c>
      <c r="C1288">
        <v>25</v>
      </c>
      <c r="D1288" t="s">
        <v>4290</v>
      </c>
      <c r="E1288">
        <v>9427</v>
      </c>
      <c r="F1288" t="s">
        <v>23479</v>
      </c>
      <c r="G1288">
        <v>6</v>
      </c>
      <c r="H1288" t="s">
        <v>4298</v>
      </c>
      <c r="J1288" t="s">
        <v>449</v>
      </c>
      <c r="K1288" t="s">
        <v>81</v>
      </c>
      <c r="L1288" t="s">
        <v>33</v>
      </c>
      <c r="M1288" t="s">
        <v>1812</v>
      </c>
      <c r="N1288" t="s">
        <v>4383</v>
      </c>
      <c r="O1288" t="s">
        <v>4384</v>
      </c>
      <c r="P1288" s="2" t="s">
        <v>37</v>
      </c>
      <c r="Q1288" t="s">
        <v>1208</v>
      </c>
      <c r="R1288">
        <v>0</v>
      </c>
      <c r="S1288">
        <v>9.82</v>
      </c>
      <c r="T1288" t="s">
        <v>4385</v>
      </c>
    </row>
    <row r="1289" spans="1:20" x14ac:dyDescent="0.25">
      <c r="A1289" s="1" t="str">
        <f>HYPERLINK("https://vegkart.atlas.vegvesen.no/#/@224672.7,6557715.9,18/hva:hva%5B0%5D%5Bfilter%5D%5B0%5D%5Boperator%5D=%21%3D&amp;hva%5B0%5D%5Bfilter%5D%5B0%5D%5Btype_id%5D=9427&amp;hva%5B0%5D%5Bfilter%5D%5B0%5D%5Bverdi%5D=&amp;hva%5B0%5D%5Bid%5D=25/når:2023-05-31", "Vegkart")</f>
        <v>Vegkart</v>
      </c>
      <c r="B1289">
        <v>87802649</v>
      </c>
      <c r="C1289">
        <v>25</v>
      </c>
      <c r="D1289" t="s">
        <v>4290</v>
      </c>
      <c r="E1289">
        <v>9427</v>
      </c>
      <c r="F1289" t="s">
        <v>23479</v>
      </c>
      <c r="G1289">
        <v>6</v>
      </c>
      <c r="H1289" t="s">
        <v>4298</v>
      </c>
      <c r="J1289" t="s">
        <v>449</v>
      </c>
      <c r="K1289" t="s">
        <v>81</v>
      </c>
      <c r="L1289" t="s">
        <v>33</v>
      </c>
      <c r="M1289" t="s">
        <v>1812</v>
      </c>
      <c r="N1289" t="s">
        <v>4386</v>
      </c>
      <c r="O1289" t="s">
        <v>4387</v>
      </c>
      <c r="P1289" s="2" t="s">
        <v>37</v>
      </c>
      <c r="Q1289" t="s">
        <v>1208</v>
      </c>
      <c r="R1289">
        <v>0</v>
      </c>
      <c r="S1289">
        <v>10.88</v>
      </c>
      <c r="T1289" t="s">
        <v>4388</v>
      </c>
    </row>
    <row r="1290" spans="1:20" x14ac:dyDescent="0.25">
      <c r="A1290" s="1" t="str">
        <f>HYPERLINK("https://vegkart.atlas.vegvesen.no/#/@222251.8,6557178.8,18/hva:hva%5B0%5D%5Bfilter%5D%5B0%5D%5Boperator%5D=%21%3D&amp;hva%5B0%5D%5Bfilter%5D%5B0%5D%5Btype_id%5D=9427&amp;hva%5B0%5D%5Bfilter%5D%5B0%5D%5Bverdi%5D=&amp;hva%5B0%5D%5Bid%5D=25/når:2023-05-31", "Vegkart")</f>
        <v>Vegkart</v>
      </c>
      <c r="B1290">
        <v>87802663</v>
      </c>
      <c r="C1290">
        <v>25</v>
      </c>
      <c r="D1290" t="s">
        <v>4290</v>
      </c>
      <c r="E1290">
        <v>9427</v>
      </c>
      <c r="F1290" t="s">
        <v>23479</v>
      </c>
      <c r="G1290">
        <v>7</v>
      </c>
      <c r="H1290" t="s">
        <v>4298</v>
      </c>
      <c r="J1290" t="s">
        <v>449</v>
      </c>
      <c r="K1290" t="s">
        <v>81</v>
      </c>
      <c r="L1290" t="s">
        <v>33</v>
      </c>
      <c r="M1290" t="s">
        <v>1812</v>
      </c>
      <c r="N1290" t="s">
        <v>4389</v>
      </c>
      <c r="O1290" t="s">
        <v>4390</v>
      </c>
      <c r="P1290" s="2" t="s">
        <v>37</v>
      </c>
      <c r="Q1290" t="s">
        <v>1208</v>
      </c>
      <c r="R1290">
        <v>0</v>
      </c>
      <c r="S1290">
        <v>9.92</v>
      </c>
      <c r="T1290" t="s">
        <v>4391</v>
      </c>
    </row>
    <row r="1291" spans="1:20" x14ac:dyDescent="0.25">
      <c r="A1291" s="1" t="str">
        <f>HYPERLINK("https://vegkart.atlas.vegvesen.no/#/@221602.4,6557080.6,18/hva:hva%5B0%5D%5Bfilter%5D%5B0%5D%5Boperator%5D=%21%3D&amp;hva%5B0%5D%5Bfilter%5D%5B0%5D%5Btype_id%5D=9427&amp;hva%5B0%5D%5Bfilter%5D%5B0%5D%5Bverdi%5D=&amp;hva%5B0%5D%5Bid%5D=25/når:2023-05-31", "Vegkart")</f>
        <v>Vegkart</v>
      </c>
      <c r="B1291">
        <v>87802669</v>
      </c>
      <c r="C1291">
        <v>25</v>
      </c>
      <c r="D1291" t="s">
        <v>4290</v>
      </c>
      <c r="E1291">
        <v>9427</v>
      </c>
      <c r="F1291" t="s">
        <v>23479</v>
      </c>
      <c r="G1291">
        <v>6</v>
      </c>
      <c r="H1291" t="s">
        <v>4298</v>
      </c>
      <c r="J1291" t="s">
        <v>449</v>
      </c>
      <c r="K1291" t="s">
        <v>81</v>
      </c>
      <c r="L1291" t="s">
        <v>33</v>
      </c>
      <c r="M1291" t="s">
        <v>1812</v>
      </c>
      <c r="N1291" t="s">
        <v>4392</v>
      </c>
      <c r="O1291" t="s">
        <v>4393</v>
      </c>
      <c r="P1291" s="2" t="s">
        <v>37</v>
      </c>
      <c r="Q1291" t="s">
        <v>1208</v>
      </c>
      <c r="R1291">
        <v>0</v>
      </c>
      <c r="S1291">
        <v>15.5</v>
      </c>
      <c r="T1291" t="s">
        <v>4394</v>
      </c>
    </row>
    <row r="1292" spans="1:20" x14ac:dyDescent="0.25">
      <c r="A1292" s="1" t="str">
        <f>HYPERLINK("https://vegkart.atlas.vegvesen.no/#/@221179.9,6556883.8,18/hva:hva%5B0%5D%5Bfilter%5D%5B0%5D%5Boperator%5D=%21%3D&amp;hva%5B0%5D%5Bfilter%5D%5B0%5D%5Btype_id%5D=9427&amp;hva%5B0%5D%5Bfilter%5D%5B0%5D%5Bverdi%5D=&amp;hva%5B0%5D%5Bid%5D=25/når:2023-05-31", "Vegkart")</f>
        <v>Vegkart</v>
      </c>
      <c r="B1292">
        <v>87802670</v>
      </c>
      <c r="C1292">
        <v>25</v>
      </c>
      <c r="D1292" t="s">
        <v>4290</v>
      </c>
      <c r="E1292">
        <v>9427</v>
      </c>
      <c r="F1292" t="s">
        <v>23479</v>
      </c>
      <c r="G1292">
        <v>5</v>
      </c>
      <c r="H1292" t="s">
        <v>4298</v>
      </c>
      <c r="J1292" t="s">
        <v>449</v>
      </c>
      <c r="K1292" t="s">
        <v>81</v>
      </c>
      <c r="L1292" t="s">
        <v>33</v>
      </c>
      <c r="M1292" t="s">
        <v>1812</v>
      </c>
      <c r="N1292" t="s">
        <v>1840</v>
      </c>
      <c r="O1292" t="s">
        <v>4395</v>
      </c>
      <c r="P1292" s="2" t="s">
        <v>37</v>
      </c>
      <c r="Q1292" t="s">
        <v>1208</v>
      </c>
      <c r="R1292">
        <v>0</v>
      </c>
      <c r="S1292">
        <v>10.039999999999999</v>
      </c>
      <c r="T1292" t="s">
        <v>4396</v>
      </c>
    </row>
    <row r="1293" spans="1:20" x14ac:dyDescent="0.25">
      <c r="A1293" s="1" t="str">
        <f>HYPERLINK("https://vegkart.atlas.vegvesen.no/#/@219439.8,6556299.6,18/hva:hva%5B0%5D%5Bfilter%5D%5B0%5D%5Boperator%5D=%21%3D&amp;hva%5B0%5D%5Bfilter%5D%5B0%5D%5Btype_id%5D=9427&amp;hva%5B0%5D%5Bfilter%5D%5B0%5D%5Bverdi%5D=&amp;hva%5B0%5D%5Bid%5D=25/når:2023-05-31", "Vegkart")</f>
        <v>Vegkart</v>
      </c>
      <c r="B1293">
        <v>87802700</v>
      </c>
      <c r="C1293">
        <v>25</v>
      </c>
      <c r="D1293" t="s">
        <v>4290</v>
      </c>
      <c r="E1293">
        <v>9427</v>
      </c>
      <c r="F1293" t="s">
        <v>23479</v>
      </c>
      <c r="G1293">
        <v>7</v>
      </c>
      <c r="H1293" t="s">
        <v>4298</v>
      </c>
      <c r="J1293" t="s">
        <v>449</v>
      </c>
      <c r="K1293" t="s">
        <v>81</v>
      </c>
      <c r="L1293" t="s">
        <v>33</v>
      </c>
      <c r="M1293" t="s">
        <v>1812</v>
      </c>
      <c r="N1293" t="s">
        <v>4397</v>
      </c>
      <c r="O1293" t="s">
        <v>4398</v>
      </c>
      <c r="P1293" s="2" t="s">
        <v>37</v>
      </c>
      <c r="Q1293" t="s">
        <v>1208</v>
      </c>
      <c r="R1293">
        <v>0</v>
      </c>
      <c r="S1293">
        <v>10.27</v>
      </c>
      <c r="T1293" t="s">
        <v>4399</v>
      </c>
    </row>
    <row r="1294" spans="1:20" x14ac:dyDescent="0.25">
      <c r="A1294" s="1" t="str">
        <f>HYPERLINK("https://vegkart.atlas.vegvesen.no/#/@218550.1,6556068.6,18/hva:hva%5B0%5D%5Bfilter%5D%5B0%5D%5Boperator%5D=%21%3D&amp;hva%5B0%5D%5Bfilter%5D%5B0%5D%5Btype_id%5D=9427&amp;hva%5B0%5D%5Bfilter%5D%5B0%5D%5Bverdi%5D=&amp;hva%5B0%5D%5Bid%5D=25/når:2023-05-31", "Vegkart")</f>
        <v>Vegkart</v>
      </c>
      <c r="B1294">
        <v>87802720</v>
      </c>
      <c r="C1294">
        <v>25</v>
      </c>
      <c r="D1294" t="s">
        <v>4290</v>
      </c>
      <c r="E1294">
        <v>9427</v>
      </c>
      <c r="F1294" t="s">
        <v>23479</v>
      </c>
      <c r="G1294">
        <v>6</v>
      </c>
      <c r="H1294" t="s">
        <v>4298</v>
      </c>
      <c r="J1294" t="s">
        <v>449</v>
      </c>
      <c r="K1294" t="s">
        <v>81</v>
      </c>
      <c r="L1294" t="s">
        <v>33</v>
      </c>
      <c r="M1294" t="s">
        <v>1812</v>
      </c>
      <c r="N1294" t="s">
        <v>4400</v>
      </c>
      <c r="O1294" t="s">
        <v>4401</v>
      </c>
      <c r="P1294" s="2" t="s">
        <v>37</v>
      </c>
      <c r="Q1294" t="s">
        <v>1208</v>
      </c>
      <c r="R1294">
        <v>0</v>
      </c>
      <c r="S1294">
        <v>10.79</v>
      </c>
      <c r="T1294" t="s">
        <v>4402</v>
      </c>
    </row>
    <row r="1295" spans="1:20" x14ac:dyDescent="0.25">
      <c r="A1295" s="1" t="str">
        <f>HYPERLINK("https://vegkart.atlas.vegvesen.no/#/@218493.3,6556021.8,18/hva:hva%5B0%5D%5Bfilter%5D%5B0%5D%5Boperator%5D=%21%3D&amp;hva%5B0%5D%5Bfilter%5D%5B0%5D%5Btype_id%5D=9427&amp;hva%5B0%5D%5Bfilter%5D%5B0%5D%5Bverdi%5D=&amp;hva%5B0%5D%5Bid%5D=25/når:2023-05-31", "Vegkart")</f>
        <v>Vegkart</v>
      </c>
      <c r="B1295">
        <v>87802729</v>
      </c>
      <c r="C1295">
        <v>25</v>
      </c>
      <c r="D1295" t="s">
        <v>4290</v>
      </c>
      <c r="E1295">
        <v>9427</v>
      </c>
      <c r="F1295" t="s">
        <v>23479</v>
      </c>
      <c r="G1295">
        <v>7</v>
      </c>
      <c r="H1295" t="s">
        <v>4298</v>
      </c>
      <c r="J1295" t="s">
        <v>449</v>
      </c>
      <c r="K1295" t="s">
        <v>81</v>
      </c>
      <c r="L1295" t="s">
        <v>33</v>
      </c>
      <c r="M1295" t="s">
        <v>1812</v>
      </c>
      <c r="N1295" t="s">
        <v>4403</v>
      </c>
      <c r="O1295" t="s">
        <v>4404</v>
      </c>
      <c r="P1295" s="2" t="s">
        <v>37</v>
      </c>
      <c r="Q1295" t="s">
        <v>1208</v>
      </c>
      <c r="R1295">
        <v>0</v>
      </c>
      <c r="S1295">
        <v>11</v>
      </c>
      <c r="T1295" t="s">
        <v>4405</v>
      </c>
    </row>
    <row r="1296" spans="1:20" x14ac:dyDescent="0.25">
      <c r="A1296" s="1" t="str">
        <f>HYPERLINK("https://vegkart.atlas.vegvesen.no/#/@218095.8,6555867.8,18/hva:hva%5B0%5D%5Bfilter%5D%5B0%5D%5Boperator%5D=%21%3D&amp;hva%5B0%5D%5Bfilter%5D%5B0%5D%5Btype_id%5D=9427&amp;hva%5B0%5D%5Bfilter%5D%5B0%5D%5Bverdi%5D=&amp;hva%5B0%5D%5Bid%5D=25/når:2023-05-31", "Vegkart")</f>
        <v>Vegkart</v>
      </c>
      <c r="B1296">
        <v>87802745</v>
      </c>
      <c r="C1296">
        <v>25</v>
      </c>
      <c r="D1296" t="s">
        <v>4290</v>
      </c>
      <c r="E1296">
        <v>9427</v>
      </c>
      <c r="F1296" t="s">
        <v>23479</v>
      </c>
      <c r="G1296">
        <v>8</v>
      </c>
      <c r="H1296" t="s">
        <v>4298</v>
      </c>
      <c r="J1296" t="s">
        <v>449</v>
      </c>
      <c r="K1296" t="s">
        <v>81</v>
      </c>
      <c r="L1296" t="s">
        <v>33</v>
      </c>
      <c r="M1296" t="s">
        <v>1812</v>
      </c>
      <c r="N1296" t="s">
        <v>4406</v>
      </c>
      <c r="O1296" t="s">
        <v>4407</v>
      </c>
      <c r="P1296" s="2" t="s">
        <v>37</v>
      </c>
      <c r="Q1296" t="s">
        <v>1208</v>
      </c>
      <c r="R1296">
        <v>0</v>
      </c>
      <c r="S1296">
        <v>10.53</v>
      </c>
      <c r="T1296" t="s">
        <v>4408</v>
      </c>
    </row>
    <row r="1297" spans="1:20" x14ac:dyDescent="0.25">
      <c r="A1297" s="1" t="str">
        <f>HYPERLINK("https://vegkart.atlas.vegvesen.no/#/@217454.6,6555433.7,18/hva:hva%5B0%5D%5Bfilter%5D%5B0%5D%5Boperator%5D=%21%3D&amp;hva%5B0%5D%5Bfilter%5D%5B0%5D%5Btype_id%5D=9427&amp;hva%5B0%5D%5Bfilter%5D%5B0%5D%5Bverdi%5D=&amp;hva%5B0%5D%5Bid%5D=25/når:2023-05-31", "Vegkart")</f>
        <v>Vegkart</v>
      </c>
      <c r="B1297">
        <v>87802755</v>
      </c>
      <c r="C1297">
        <v>25</v>
      </c>
      <c r="D1297" t="s">
        <v>4290</v>
      </c>
      <c r="E1297">
        <v>9427</v>
      </c>
      <c r="F1297" t="s">
        <v>23479</v>
      </c>
      <c r="G1297">
        <v>7</v>
      </c>
      <c r="H1297" t="s">
        <v>4298</v>
      </c>
      <c r="J1297" t="s">
        <v>449</v>
      </c>
      <c r="K1297" t="s">
        <v>81</v>
      </c>
      <c r="L1297" t="s">
        <v>33</v>
      </c>
      <c r="M1297" t="s">
        <v>1812</v>
      </c>
      <c r="N1297" t="s">
        <v>4409</v>
      </c>
      <c r="O1297" t="s">
        <v>4410</v>
      </c>
      <c r="P1297" s="2" t="s">
        <v>37</v>
      </c>
      <c r="Q1297" t="s">
        <v>1208</v>
      </c>
      <c r="R1297">
        <v>0</v>
      </c>
      <c r="S1297">
        <v>11.07</v>
      </c>
      <c r="T1297" t="s">
        <v>4411</v>
      </c>
    </row>
    <row r="1298" spans="1:20" x14ac:dyDescent="0.25">
      <c r="A1298" s="1" t="str">
        <f>HYPERLINK("https://vegkart.atlas.vegvesen.no/#/@241965.8,6597705.9,18/hva:hva%5B0%5D%5Bfilter%5D%5B0%5D%5Boperator%5D=%21%3D&amp;hva%5B0%5D%5Bfilter%5D%5B0%5D%5Btype_id%5D=9427&amp;hva%5B0%5D%5Bfilter%5D%5B0%5D%5Bverdi%5D=&amp;hva%5B0%5D%5Bid%5D=25/når:2023-05-31", "Vegkart")</f>
        <v>Vegkart</v>
      </c>
      <c r="B1298">
        <v>87803296</v>
      </c>
      <c r="C1298">
        <v>25</v>
      </c>
      <c r="D1298" t="s">
        <v>4290</v>
      </c>
      <c r="E1298">
        <v>9427</v>
      </c>
      <c r="F1298" t="s">
        <v>23479</v>
      </c>
      <c r="G1298">
        <v>6</v>
      </c>
      <c r="H1298" t="s">
        <v>4298</v>
      </c>
      <c r="J1298" t="s">
        <v>449</v>
      </c>
      <c r="K1298" t="s">
        <v>81</v>
      </c>
      <c r="L1298" t="s">
        <v>33</v>
      </c>
      <c r="M1298" t="s">
        <v>1909</v>
      </c>
      <c r="N1298" t="s">
        <v>4412</v>
      </c>
      <c r="O1298" t="s">
        <v>4413</v>
      </c>
      <c r="P1298" s="2" t="s">
        <v>37</v>
      </c>
      <c r="Q1298" t="s">
        <v>1208</v>
      </c>
      <c r="R1298">
        <v>0</v>
      </c>
      <c r="S1298">
        <v>10.48</v>
      </c>
      <c r="T1298" t="s">
        <v>4414</v>
      </c>
    </row>
    <row r="1299" spans="1:20" x14ac:dyDescent="0.25">
      <c r="A1299" s="1" t="str">
        <f>HYPERLINK("https://vegkart.atlas.vegvesen.no/#/@241902.6,6597745.2,18/hva:hva%5B0%5D%5Bfilter%5D%5B0%5D%5Boperator%5D=%21%3D&amp;hva%5B0%5D%5Bfilter%5D%5B0%5D%5Btype_id%5D=9427&amp;hva%5B0%5D%5Bfilter%5D%5B0%5D%5Bverdi%5D=&amp;hva%5B0%5D%5Bid%5D=25/når:2023-05-31", "Vegkart")</f>
        <v>Vegkart</v>
      </c>
      <c r="B1299">
        <v>87803297</v>
      </c>
      <c r="C1299">
        <v>25</v>
      </c>
      <c r="D1299" t="s">
        <v>4290</v>
      </c>
      <c r="E1299">
        <v>9427</v>
      </c>
      <c r="F1299" t="s">
        <v>23479</v>
      </c>
      <c r="G1299">
        <v>6</v>
      </c>
      <c r="H1299" t="s">
        <v>4298</v>
      </c>
      <c r="J1299" t="s">
        <v>449</v>
      </c>
      <c r="K1299" t="s">
        <v>81</v>
      </c>
      <c r="L1299" t="s">
        <v>33</v>
      </c>
      <c r="M1299" t="s">
        <v>1909</v>
      </c>
      <c r="N1299" t="s">
        <v>4415</v>
      </c>
      <c r="O1299" t="s">
        <v>4416</v>
      </c>
      <c r="P1299" s="2" t="s">
        <v>37</v>
      </c>
      <c r="Q1299" t="s">
        <v>1208</v>
      </c>
      <c r="R1299">
        <v>0</v>
      </c>
      <c r="S1299">
        <v>10.79</v>
      </c>
      <c r="T1299" t="s">
        <v>4417</v>
      </c>
    </row>
    <row r="1300" spans="1:20" x14ac:dyDescent="0.25">
      <c r="A1300" s="1" t="str">
        <f>HYPERLINK("https://vegkart.atlas.vegvesen.no/#/@241222.8,6598078.4,18/hva:hva%5B0%5D%5Bfilter%5D%5B0%5D%5Boperator%5D=%21%3D&amp;hva%5B0%5D%5Bfilter%5D%5B0%5D%5Btype_id%5D=9427&amp;hva%5B0%5D%5Bfilter%5D%5B0%5D%5Bverdi%5D=&amp;hva%5B0%5D%5Bid%5D=25/når:2023-05-31", "Vegkart")</f>
        <v>Vegkart</v>
      </c>
      <c r="B1300">
        <v>87803343</v>
      </c>
      <c r="C1300">
        <v>25</v>
      </c>
      <c r="D1300" t="s">
        <v>4290</v>
      </c>
      <c r="E1300">
        <v>9427</v>
      </c>
      <c r="F1300" t="s">
        <v>23479</v>
      </c>
      <c r="G1300">
        <v>6</v>
      </c>
      <c r="H1300" t="s">
        <v>4298</v>
      </c>
      <c r="J1300" t="s">
        <v>449</v>
      </c>
      <c r="K1300" t="s">
        <v>81</v>
      </c>
      <c r="L1300" t="s">
        <v>33</v>
      </c>
      <c r="M1300" t="s">
        <v>1909</v>
      </c>
      <c r="N1300" t="s">
        <v>4418</v>
      </c>
      <c r="O1300" t="s">
        <v>4419</v>
      </c>
      <c r="P1300" s="2" t="s">
        <v>37</v>
      </c>
      <c r="Q1300" t="s">
        <v>1208</v>
      </c>
      <c r="R1300">
        <v>0</v>
      </c>
      <c r="S1300">
        <v>10.25</v>
      </c>
      <c r="T1300" t="s">
        <v>4420</v>
      </c>
    </row>
    <row r="1301" spans="1:20" x14ac:dyDescent="0.25">
      <c r="A1301" s="1" t="str">
        <f>HYPERLINK("https://vegkart.atlas.vegvesen.no/#/@234717.6,6585211.7,18/hva:hva%5B0%5D%5Bfilter%5D%5B0%5D%5Boperator%5D=%21%3D&amp;hva%5B0%5D%5Bfilter%5D%5B0%5D%5Btype_id%5D=9427&amp;hva%5B0%5D%5Bfilter%5D%5B0%5D%5Bverdi%5D=&amp;hva%5B0%5D%5Bid%5D=25/når:2023-05-31", "Vegkart")</f>
        <v>Vegkart</v>
      </c>
      <c r="B1301">
        <v>87804350</v>
      </c>
      <c r="C1301">
        <v>25</v>
      </c>
      <c r="D1301" t="s">
        <v>4290</v>
      </c>
      <c r="E1301">
        <v>9427</v>
      </c>
      <c r="F1301" t="s">
        <v>23479</v>
      </c>
      <c r="G1301">
        <v>5</v>
      </c>
      <c r="H1301" t="s">
        <v>4298</v>
      </c>
      <c r="J1301" t="s">
        <v>449</v>
      </c>
      <c r="K1301" t="s">
        <v>81</v>
      </c>
      <c r="L1301" t="s">
        <v>33</v>
      </c>
      <c r="M1301" t="s">
        <v>3298</v>
      </c>
      <c r="N1301" t="s">
        <v>4421</v>
      </c>
      <c r="O1301" t="s">
        <v>4422</v>
      </c>
      <c r="P1301" s="2" t="s">
        <v>37</v>
      </c>
      <c r="Q1301" t="s">
        <v>1208</v>
      </c>
      <c r="R1301">
        <v>0</v>
      </c>
      <c r="S1301">
        <v>9.9700000000000006</v>
      </c>
      <c r="T1301" t="s">
        <v>4423</v>
      </c>
    </row>
    <row r="1302" spans="1:20" x14ac:dyDescent="0.25">
      <c r="A1302" s="1" t="str">
        <f>HYPERLINK("https://vegkart.atlas.vegvesen.no/#/@231612.9,6613968.4,18/hva:hva%5B0%5D%5Bfilter%5D%5B0%5D%5Boperator%5D=%21%3D&amp;hva%5B0%5D%5Bfilter%5D%5B0%5D%5Btype_id%5D=9427&amp;hva%5B0%5D%5Bfilter%5D%5B0%5D%5Bverdi%5D=&amp;hva%5B0%5D%5Bid%5D=25/når:2023-05-31", "Vegkart")</f>
        <v>Vegkart</v>
      </c>
      <c r="B1302">
        <v>87822238</v>
      </c>
      <c r="C1302">
        <v>25</v>
      </c>
      <c r="D1302" t="s">
        <v>4290</v>
      </c>
      <c r="E1302">
        <v>9427</v>
      </c>
      <c r="F1302" t="s">
        <v>23479</v>
      </c>
      <c r="G1302">
        <v>5</v>
      </c>
      <c r="H1302" t="s">
        <v>4298</v>
      </c>
      <c r="J1302" t="s">
        <v>449</v>
      </c>
      <c r="K1302" t="s">
        <v>81</v>
      </c>
      <c r="L1302" t="s">
        <v>33</v>
      </c>
      <c r="M1302" t="s">
        <v>1808</v>
      </c>
      <c r="N1302" t="s">
        <v>4424</v>
      </c>
      <c r="O1302" t="s">
        <v>4425</v>
      </c>
      <c r="P1302" s="2" t="s">
        <v>37</v>
      </c>
      <c r="Q1302" t="s">
        <v>1208</v>
      </c>
      <c r="R1302">
        <v>0</v>
      </c>
      <c r="S1302">
        <v>10.83</v>
      </c>
      <c r="T1302" t="s">
        <v>4426</v>
      </c>
    </row>
    <row r="1303" spans="1:20" x14ac:dyDescent="0.25">
      <c r="A1303" s="1" t="str">
        <f>HYPERLINK("https://vegkart.atlas.vegvesen.no/#/@211851.9,6582553.7,18/hva:hva%5B0%5D%5Bfilter%5D%5B0%5D%5Boperator%5D=%21%3D&amp;hva%5B0%5D%5Bfilter%5D%5B0%5D%5Btype_id%5D=9427&amp;hva%5B0%5D%5Bfilter%5D%5B0%5D%5Bverdi%5D=&amp;hva%5B0%5D%5Bid%5D=25/når:2023-05-31", "Vegkart")</f>
        <v>Vegkart</v>
      </c>
      <c r="B1303">
        <v>87836960</v>
      </c>
      <c r="C1303">
        <v>25</v>
      </c>
      <c r="D1303" t="s">
        <v>4290</v>
      </c>
      <c r="E1303">
        <v>9427</v>
      </c>
      <c r="F1303" t="s">
        <v>23479</v>
      </c>
      <c r="G1303">
        <v>5</v>
      </c>
      <c r="H1303" t="s">
        <v>4298</v>
      </c>
      <c r="J1303" t="s">
        <v>449</v>
      </c>
      <c r="K1303" t="s">
        <v>81</v>
      </c>
      <c r="L1303" t="s">
        <v>33</v>
      </c>
      <c r="M1303" t="s">
        <v>4316</v>
      </c>
      <c r="N1303" t="s">
        <v>4427</v>
      </c>
      <c r="O1303" t="s">
        <v>4428</v>
      </c>
      <c r="P1303" s="2" t="s">
        <v>37</v>
      </c>
      <c r="Q1303" t="s">
        <v>1208</v>
      </c>
      <c r="R1303">
        <v>0</v>
      </c>
      <c r="S1303">
        <v>10.52</v>
      </c>
      <c r="T1303" t="s">
        <v>4429</v>
      </c>
    </row>
    <row r="1304" spans="1:20" x14ac:dyDescent="0.25">
      <c r="A1304" s="1" t="str">
        <f>HYPERLINK("https://vegkart.atlas.vegvesen.no/#/@215596.2,6570100.8,18/hva:hva%5B0%5D%5Bfilter%5D%5B0%5D%5Boperator%5D=%21%3D&amp;hva%5B0%5D%5Bfilter%5D%5B0%5D%5Btype_id%5D=9427&amp;hva%5B0%5D%5Bfilter%5D%5B0%5D%5Bverdi%5D=&amp;hva%5B0%5D%5Bid%5D=25/når:2023-05-31", "Vegkart")</f>
        <v>Vegkart</v>
      </c>
      <c r="B1304">
        <v>87841554</v>
      </c>
      <c r="C1304">
        <v>25</v>
      </c>
      <c r="D1304" t="s">
        <v>4290</v>
      </c>
      <c r="E1304">
        <v>9427</v>
      </c>
      <c r="F1304" t="s">
        <v>23479</v>
      </c>
      <c r="G1304">
        <v>5</v>
      </c>
      <c r="H1304" t="s">
        <v>4298</v>
      </c>
      <c r="J1304" t="s">
        <v>449</v>
      </c>
      <c r="K1304" t="s">
        <v>81</v>
      </c>
      <c r="L1304" t="s">
        <v>33</v>
      </c>
      <c r="M1304" t="s">
        <v>4430</v>
      </c>
      <c r="N1304" t="s">
        <v>4431</v>
      </c>
      <c r="O1304" t="s">
        <v>4432</v>
      </c>
      <c r="P1304" s="2" t="s">
        <v>37</v>
      </c>
      <c r="Q1304" t="s">
        <v>1208</v>
      </c>
      <c r="R1304">
        <v>0</v>
      </c>
      <c r="S1304">
        <v>10.029999999999999</v>
      </c>
      <c r="T1304" t="s">
        <v>4433</v>
      </c>
    </row>
    <row r="1305" spans="1:20" x14ac:dyDescent="0.25">
      <c r="A1305" s="1" t="str">
        <f>HYPERLINK("https://vegkart.atlas.vegvesen.no/#/@235565.4,6577964.8,18/hva:hva%5B0%5D%5Bfilter%5D%5B0%5D%5Boperator%5D=%21%3D&amp;hva%5B0%5D%5Bfilter%5D%5B0%5D%5Btype_id%5D=9427&amp;hva%5B0%5D%5Bfilter%5D%5B0%5D%5Bverdi%5D=&amp;hva%5B0%5D%5Bid%5D=25/når:2023-05-31", "Vegkart")</f>
        <v>Vegkart</v>
      </c>
      <c r="B1305">
        <v>87843078</v>
      </c>
      <c r="C1305">
        <v>25</v>
      </c>
      <c r="D1305" t="s">
        <v>4290</v>
      </c>
      <c r="E1305">
        <v>9427</v>
      </c>
      <c r="F1305" t="s">
        <v>23479</v>
      </c>
      <c r="G1305">
        <v>8</v>
      </c>
      <c r="H1305" t="s">
        <v>4298</v>
      </c>
      <c r="J1305" t="s">
        <v>449</v>
      </c>
      <c r="K1305" t="s">
        <v>81</v>
      </c>
      <c r="L1305" t="s">
        <v>33</v>
      </c>
      <c r="M1305" t="s">
        <v>1812</v>
      </c>
      <c r="N1305" t="s">
        <v>4434</v>
      </c>
      <c r="O1305" t="s">
        <v>4435</v>
      </c>
      <c r="P1305" s="2" t="s">
        <v>37</v>
      </c>
      <c r="Q1305" t="s">
        <v>1208</v>
      </c>
      <c r="R1305">
        <v>0</v>
      </c>
      <c r="S1305">
        <v>10.38</v>
      </c>
      <c r="T1305" t="s">
        <v>4436</v>
      </c>
    </row>
    <row r="1306" spans="1:20" x14ac:dyDescent="0.25">
      <c r="A1306" s="1" t="str">
        <f>HYPERLINK("https://vegkart.atlas.vegvesen.no/#/@221960.1,6557155.0,18/hva:hva%5B0%5D%5Bfilter%5D%5B0%5D%5Boperator%5D=%21%3D&amp;hva%5B0%5D%5Bfilter%5D%5B0%5D%5Btype_id%5D=9427&amp;hva%5B0%5D%5Bfilter%5D%5B0%5D%5Bverdi%5D=&amp;hva%5B0%5D%5Bid%5D=25/når:2023-05-31", "Vegkart")</f>
        <v>Vegkart</v>
      </c>
      <c r="B1306">
        <v>87846570</v>
      </c>
      <c r="C1306">
        <v>25</v>
      </c>
      <c r="D1306" t="s">
        <v>4290</v>
      </c>
      <c r="E1306">
        <v>9427</v>
      </c>
      <c r="F1306" t="s">
        <v>23479</v>
      </c>
      <c r="G1306">
        <v>7</v>
      </c>
      <c r="H1306" t="s">
        <v>4298</v>
      </c>
      <c r="J1306" t="s">
        <v>449</v>
      </c>
      <c r="K1306" t="s">
        <v>81</v>
      </c>
      <c r="L1306" t="s">
        <v>33</v>
      </c>
      <c r="M1306" t="s">
        <v>1812</v>
      </c>
      <c r="N1306" t="s">
        <v>4437</v>
      </c>
      <c r="O1306" t="s">
        <v>4438</v>
      </c>
      <c r="P1306" s="2" t="s">
        <v>37</v>
      </c>
      <c r="Q1306" t="s">
        <v>1208</v>
      </c>
      <c r="R1306">
        <v>0</v>
      </c>
      <c r="S1306">
        <v>10.28</v>
      </c>
      <c r="T1306" t="s">
        <v>4439</v>
      </c>
    </row>
    <row r="1307" spans="1:20" x14ac:dyDescent="0.25">
      <c r="A1307" s="1" t="str">
        <f>HYPERLINK("https://vegkart.atlas.vegvesen.no/#/@214926.6,6551012.2,18/hva:hva%5B0%5D%5Bfilter%5D%5B0%5D%5Boperator%5D=%21%3D&amp;hva%5B0%5D%5Bfilter%5D%5B0%5D%5Btype_id%5D=9427&amp;hva%5B0%5D%5Bfilter%5D%5B0%5D%5Bverdi%5D=&amp;hva%5B0%5D%5Bid%5D=25/når:2023-05-31", "Vegkart")</f>
        <v>Vegkart</v>
      </c>
      <c r="B1307">
        <v>87850542</v>
      </c>
      <c r="C1307">
        <v>25</v>
      </c>
      <c r="D1307" t="s">
        <v>4290</v>
      </c>
      <c r="E1307">
        <v>9427</v>
      </c>
      <c r="F1307" t="s">
        <v>23479</v>
      </c>
      <c r="G1307">
        <v>6</v>
      </c>
      <c r="H1307" t="s">
        <v>4298</v>
      </c>
      <c r="J1307" t="s">
        <v>449</v>
      </c>
      <c r="K1307" t="s">
        <v>81</v>
      </c>
      <c r="L1307" t="s">
        <v>33</v>
      </c>
      <c r="M1307" t="s">
        <v>1958</v>
      </c>
      <c r="N1307" t="s">
        <v>4440</v>
      </c>
      <c r="O1307" t="s">
        <v>4441</v>
      </c>
      <c r="P1307" s="2" t="s">
        <v>37</v>
      </c>
      <c r="Q1307" t="s">
        <v>1208</v>
      </c>
      <c r="R1307">
        <v>0</v>
      </c>
      <c r="S1307">
        <v>10.58</v>
      </c>
      <c r="T1307" t="s">
        <v>4442</v>
      </c>
    </row>
    <row r="1308" spans="1:20" x14ac:dyDescent="0.25">
      <c r="A1308" s="1" t="str">
        <f>HYPERLINK("https://vegkart.atlas.vegvesen.no/#/@214826.4,6551736.9,18/hva:hva%5B0%5D%5Bfilter%5D%5B0%5D%5Boperator%5D=%21%3D&amp;hva%5B0%5D%5Bfilter%5D%5B0%5D%5Btype_id%5D=9427&amp;hva%5B0%5D%5Bfilter%5D%5B0%5D%5Bverdi%5D=&amp;hva%5B0%5D%5Bid%5D=25/når:2023-05-31", "Vegkart")</f>
        <v>Vegkart</v>
      </c>
      <c r="B1308">
        <v>87850664</v>
      </c>
      <c r="C1308">
        <v>25</v>
      </c>
      <c r="D1308" t="s">
        <v>4290</v>
      </c>
      <c r="E1308">
        <v>9427</v>
      </c>
      <c r="F1308" t="s">
        <v>23479</v>
      </c>
      <c r="G1308">
        <v>6</v>
      </c>
      <c r="H1308" t="s">
        <v>4298</v>
      </c>
      <c r="J1308" t="s">
        <v>449</v>
      </c>
      <c r="K1308" t="s">
        <v>81</v>
      </c>
      <c r="L1308" t="s">
        <v>33</v>
      </c>
      <c r="M1308" t="s">
        <v>1958</v>
      </c>
      <c r="N1308" t="s">
        <v>4443</v>
      </c>
      <c r="O1308" t="s">
        <v>4444</v>
      </c>
      <c r="P1308" s="2" t="s">
        <v>37</v>
      </c>
      <c r="Q1308" t="s">
        <v>1208</v>
      </c>
      <c r="R1308">
        <v>0</v>
      </c>
      <c r="S1308">
        <v>10.83</v>
      </c>
      <c r="T1308" t="s">
        <v>4445</v>
      </c>
    </row>
    <row r="1309" spans="1:20" x14ac:dyDescent="0.25">
      <c r="A1309" s="1" t="str">
        <f>HYPERLINK("https://vegkart.atlas.vegvesen.no/#/@214555.3,6552042.2,18/hva:hva%5B0%5D%5Bfilter%5D%5B0%5D%5Boperator%5D=%21%3D&amp;hva%5B0%5D%5Bfilter%5D%5B0%5D%5Btype_id%5D=9427&amp;hva%5B0%5D%5Bfilter%5D%5B0%5D%5Bverdi%5D=&amp;hva%5B0%5D%5Bid%5D=25/når:2023-05-31", "Vegkart")</f>
        <v>Vegkart</v>
      </c>
      <c r="B1309">
        <v>87850741</v>
      </c>
      <c r="C1309">
        <v>25</v>
      </c>
      <c r="D1309" t="s">
        <v>4290</v>
      </c>
      <c r="E1309">
        <v>9427</v>
      </c>
      <c r="F1309" t="s">
        <v>23479</v>
      </c>
      <c r="G1309">
        <v>5</v>
      </c>
      <c r="H1309" t="s">
        <v>4298</v>
      </c>
      <c r="J1309" t="s">
        <v>449</v>
      </c>
      <c r="K1309" t="s">
        <v>81</v>
      </c>
      <c r="L1309" t="s">
        <v>33</v>
      </c>
      <c r="M1309" t="s">
        <v>1958</v>
      </c>
      <c r="N1309" t="s">
        <v>4446</v>
      </c>
      <c r="O1309" t="s">
        <v>4447</v>
      </c>
      <c r="P1309" s="2" t="s">
        <v>37</v>
      </c>
      <c r="Q1309" t="s">
        <v>1208</v>
      </c>
      <c r="R1309">
        <v>0</v>
      </c>
      <c r="S1309">
        <v>17.809999999999999</v>
      </c>
      <c r="T1309" t="s">
        <v>4448</v>
      </c>
    </row>
    <row r="1310" spans="1:20" x14ac:dyDescent="0.25">
      <c r="A1310" s="1" t="str">
        <f>HYPERLINK("https://vegkart.atlas.vegvesen.no/#/@208846.6,6585992.9,18/hva:hva%5B0%5D%5Bfilter%5D%5B0%5D%5Boperator%5D=%21%3D&amp;hva%5B0%5D%5Bfilter%5D%5B0%5D%5Btype_id%5D=9427&amp;hva%5B0%5D%5Bfilter%5D%5B0%5D%5Bverdi%5D=&amp;hva%5B0%5D%5Bid%5D=25/når:2023-05-31", "Vegkart")</f>
        <v>Vegkart</v>
      </c>
      <c r="B1310">
        <v>87852919</v>
      </c>
      <c r="C1310">
        <v>25</v>
      </c>
      <c r="D1310" t="s">
        <v>4290</v>
      </c>
      <c r="E1310">
        <v>9427</v>
      </c>
      <c r="F1310" t="s">
        <v>23479</v>
      </c>
      <c r="G1310">
        <v>5</v>
      </c>
      <c r="H1310" t="s">
        <v>4298</v>
      </c>
      <c r="J1310" t="s">
        <v>449</v>
      </c>
      <c r="K1310" t="s">
        <v>81</v>
      </c>
      <c r="L1310" t="s">
        <v>33</v>
      </c>
      <c r="M1310" t="s">
        <v>197</v>
      </c>
      <c r="N1310" t="s">
        <v>4449</v>
      </c>
      <c r="O1310" t="s">
        <v>4450</v>
      </c>
      <c r="P1310" s="2" t="s">
        <v>37</v>
      </c>
      <c r="Q1310" t="s">
        <v>1208</v>
      </c>
      <c r="R1310">
        <v>0</v>
      </c>
      <c r="S1310">
        <v>10.130000000000001</v>
      </c>
      <c r="T1310" t="s">
        <v>4451</v>
      </c>
    </row>
    <row r="1311" spans="1:20" x14ac:dyDescent="0.25">
      <c r="A1311" s="1" t="str">
        <f>HYPERLINK("https://vegkart.atlas.vegvesen.no/#/@216755.7,6565323.5,18/hva:hva%5B0%5D%5Bfilter%5D%5B0%5D%5Boperator%5D=%21%3D&amp;hva%5B0%5D%5Bfilter%5D%5B0%5D%5Btype_id%5D=9427&amp;hva%5B0%5D%5Bfilter%5D%5B0%5D%5Bverdi%5D=&amp;hva%5B0%5D%5Bid%5D=25/når:2023-05-31", "Vegkart")</f>
        <v>Vegkart</v>
      </c>
      <c r="B1311">
        <v>87854690</v>
      </c>
      <c r="C1311">
        <v>25</v>
      </c>
      <c r="D1311" t="s">
        <v>4290</v>
      </c>
      <c r="E1311">
        <v>9427</v>
      </c>
      <c r="F1311" t="s">
        <v>23479</v>
      </c>
      <c r="G1311">
        <v>7</v>
      </c>
      <c r="H1311" t="s">
        <v>4298</v>
      </c>
      <c r="J1311" t="s">
        <v>449</v>
      </c>
      <c r="K1311" t="s">
        <v>81</v>
      </c>
      <c r="L1311" t="s">
        <v>33</v>
      </c>
      <c r="M1311" t="s">
        <v>197</v>
      </c>
      <c r="N1311" t="s">
        <v>4452</v>
      </c>
      <c r="O1311" t="s">
        <v>4453</v>
      </c>
      <c r="P1311" s="2" t="s">
        <v>37</v>
      </c>
      <c r="Q1311" t="s">
        <v>1208</v>
      </c>
      <c r="R1311">
        <v>0</v>
      </c>
      <c r="S1311">
        <v>24.1</v>
      </c>
      <c r="T1311" t="s">
        <v>4454</v>
      </c>
    </row>
    <row r="1312" spans="1:20" x14ac:dyDescent="0.25">
      <c r="A1312" s="1" t="str">
        <f>HYPERLINK("https://vegkart.atlas.vegvesen.no/#/@231108.5,6590066.1,18/hva:hva%5B0%5D%5Bfilter%5D%5B0%5D%5Boperator%5D=%21%3D&amp;hva%5B0%5D%5Bfilter%5D%5B0%5D%5Btype_id%5D=9427&amp;hva%5B0%5D%5Bfilter%5D%5B0%5D%5Bverdi%5D=&amp;hva%5B0%5D%5Bid%5D=25/når:2023-05-31", "Vegkart")</f>
        <v>Vegkart</v>
      </c>
      <c r="B1312">
        <v>87857895</v>
      </c>
      <c r="C1312">
        <v>25</v>
      </c>
      <c r="D1312" t="s">
        <v>4290</v>
      </c>
      <c r="E1312">
        <v>9427</v>
      </c>
      <c r="F1312" t="s">
        <v>23479</v>
      </c>
      <c r="G1312">
        <v>6</v>
      </c>
      <c r="H1312" t="s">
        <v>4298</v>
      </c>
      <c r="J1312" t="s">
        <v>449</v>
      </c>
      <c r="K1312" t="s">
        <v>81</v>
      </c>
      <c r="L1312" t="s">
        <v>33</v>
      </c>
      <c r="M1312" t="s">
        <v>3298</v>
      </c>
      <c r="N1312" t="s">
        <v>4455</v>
      </c>
      <c r="O1312" t="s">
        <v>4456</v>
      </c>
      <c r="P1312" s="2" t="s">
        <v>37</v>
      </c>
      <c r="Q1312" t="s">
        <v>1208</v>
      </c>
      <c r="R1312">
        <v>0</v>
      </c>
      <c r="S1312">
        <v>11.22</v>
      </c>
      <c r="T1312" t="s">
        <v>4457</v>
      </c>
    </row>
    <row r="1313" spans="1:20" x14ac:dyDescent="0.25">
      <c r="A1313" s="1" t="str">
        <f>HYPERLINK("https://vegkart.atlas.vegvesen.no/#/@232347.5,6588872.4,18/hva:hva%5B0%5D%5Bfilter%5D%5B0%5D%5Boperator%5D=%21%3D&amp;hva%5B0%5D%5Bfilter%5D%5B0%5D%5Btype_id%5D=9427&amp;hva%5B0%5D%5Bfilter%5D%5B0%5D%5Bverdi%5D=&amp;hva%5B0%5D%5Bid%5D=25/når:2023-05-31", "Vegkart")</f>
        <v>Vegkart</v>
      </c>
      <c r="B1313">
        <v>87857984</v>
      </c>
      <c r="C1313">
        <v>25</v>
      </c>
      <c r="D1313" t="s">
        <v>4290</v>
      </c>
      <c r="E1313">
        <v>9427</v>
      </c>
      <c r="F1313" t="s">
        <v>23479</v>
      </c>
      <c r="G1313">
        <v>6</v>
      </c>
      <c r="H1313" t="s">
        <v>4298</v>
      </c>
      <c r="J1313" t="s">
        <v>449</v>
      </c>
      <c r="K1313" t="s">
        <v>81</v>
      </c>
      <c r="L1313" t="s">
        <v>33</v>
      </c>
      <c r="M1313" t="s">
        <v>3298</v>
      </c>
      <c r="N1313" t="s">
        <v>4458</v>
      </c>
      <c r="O1313" t="s">
        <v>4459</v>
      </c>
      <c r="P1313" s="2" t="s">
        <v>37</v>
      </c>
      <c r="Q1313" t="s">
        <v>1208</v>
      </c>
      <c r="R1313">
        <v>0</v>
      </c>
      <c r="S1313">
        <v>10.92</v>
      </c>
      <c r="T1313" t="s">
        <v>4460</v>
      </c>
    </row>
    <row r="1314" spans="1:20" x14ac:dyDescent="0.25">
      <c r="A1314" s="1" t="str">
        <f>HYPERLINK("https://vegkart.atlas.vegvesen.no/#/@238632.5,6579728.9,18/hva:hva%5B0%5D%5Bfilter%5D%5B0%5D%5Boperator%5D=%21%3D&amp;hva%5B0%5D%5Bfilter%5D%5B0%5D%5Btype_id%5D=9427&amp;hva%5B0%5D%5Bfilter%5D%5B0%5D%5Bverdi%5D=&amp;hva%5B0%5D%5Bid%5D=25/når:2023-05-31", "Vegkart")</f>
        <v>Vegkart</v>
      </c>
      <c r="B1314">
        <v>87859905</v>
      </c>
      <c r="C1314">
        <v>25</v>
      </c>
      <c r="D1314" t="s">
        <v>4290</v>
      </c>
      <c r="E1314">
        <v>9427</v>
      </c>
      <c r="F1314" t="s">
        <v>23479</v>
      </c>
      <c r="G1314">
        <v>5</v>
      </c>
      <c r="H1314" t="s">
        <v>4298</v>
      </c>
      <c r="J1314" t="s">
        <v>449</v>
      </c>
      <c r="K1314" t="s">
        <v>81</v>
      </c>
      <c r="L1314" t="s">
        <v>33</v>
      </c>
      <c r="M1314" t="s">
        <v>4461</v>
      </c>
      <c r="N1314" t="s">
        <v>4462</v>
      </c>
      <c r="O1314" t="s">
        <v>4463</v>
      </c>
      <c r="P1314" s="2" t="s">
        <v>37</v>
      </c>
      <c r="Q1314" t="s">
        <v>1208</v>
      </c>
      <c r="R1314">
        <v>0</v>
      </c>
      <c r="S1314">
        <v>10.48</v>
      </c>
      <c r="T1314" t="s">
        <v>4464</v>
      </c>
    </row>
    <row r="1315" spans="1:20" x14ac:dyDescent="0.25">
      <c r="A1315" s="1" t="str">
        <f>HYPERLINK("https://vegkart.atlas.vegvesen.no/#/@236018.5,6579355.4,18/hva:hva%5B0%5D%5Bfilter%5D%5B0%5D%5Boperator%5D=%21%3D&amp;hva%5B0%5D%5Bfilter%5D%5B0%5D%5Btype_id%5D=9427&amp;hva%5B0%5D%5Bfilter%5D%5B0%5D%5Bverdi%5D=&amp;hva%5B0%5D%5Bid%5D=25/når:2023-05-31", "Vegkart")</f>
        <v>Vegkart</v>
      </c>
      <c r="B1315">
        <v>87874367</v>
      </c>
      <c r="C1315">
        <v>25</v>
      </c>
      <c r="D1315" t="s">
        <v>4290</v>
      </c>
      <c r="E1315">
        <v>9427</v>
      </c>
      <c r="F1315" t="s">
        <v>23479</v>
      </c>
      <c r="G1315">
        <v>5</v>
      </c>
      <c r="H1315" t="s">
        <v>4298</v>
      </c>
      <c r="J1315" t="s">
        <v>449</v>
      </c>
      <c r="K1315" t="s">
        <v>81</v>
      </c>
      <c r="L1315" t="s">
        <v>33</v>
      </c>
      <c r="M1315" t="s">
        <v>1812</v>
      </c>
      <c r="N1315" t="s">
        <v>4465</v>
      </c>
      <c r="O1315" t="s">
        <v>4466</v>
      </c>
      <c r="P1315" s="2" t="s">
        <v>37</v>
      </c>
      <c r="Q1315" t="s">
        <v>1208</v>
      </c>
      <c r="R1315">
        <v>0</v>
      </c>
      <c r="S1315">
        <v>11.12</v>
      </c>
      <c r="T1315" t="s">
        <v>4467</v>
      </c>
    </row>
    <row r="1316" spans="1:20" x14ac:dyDescent="0.25">
      <c r="A1316" s="1" t="str">
        <f>HYPERLINK("https://vegkart.atlas.vegvesen.no/#/@235825.5,6578742.4,18/hva:hva%5B0%5D%5Bfilter%5D%5B0%5D%5Boperator%5D=%21%3D&amp;hva%5B0%5D%5Bfilter%5D%5B0%5D%5Btype_id%5D=9427&amp;hva%5B0%5D%5Bfilter%5D%5B0%5D%5Bverdi%5D=&amp;hva%5B0%5D%5Bid%5D=25/når:2023-05-31", "Vegkart")</f>
        <v>Vegkart</v>
      </c>
      <c r="B1316">
        <v>87874381</v>
      </c>
      <c r="C1316">
        <v>25</v>
      </c>
      <c r="D1316" t="s">
        <v>4290</v>
      </c>
      <c r="E1316">
        <v>9427</v>
      </c>
      <c r="F1316" t="s">
        <v>23479</v>
      </c>
      <c r="G1316">
        <v>5</v>
      </c>
      <c r="H1316" t="s">
        <v>4298</v>
      </c>
      <c r="J1316" t="s">
        <v>449</v>
      </c>
      <c r="K1316" t="s">
        <v>81</v>
      </c>
      <c r="L1316" t="s">
        <v>33</v>
      </c>
      <c r="M1316" t="s">
        <v>1812</v>
      </c>
      <c r="N1316" t="s">
        <v>4468</v>
      </c>
      <c r="O1316" t="s">
        <v>4469</v>
      </c>
      <c r="P1316" s="2" t="s">
        <v>37</v>
      </c>
      <c r="Q1316" t="s">
        <v>1208</v>
      </c>
      <c r="R1316">
        <v>0</v>
      </c>
      <c r="S1316">
        <v>10.58</v>
      </c>
      <c r="T1316" t="s">
        <v>4470</v>
      </c>
    </row>
    <row r="1317" spans="1:20" x14ac:dyDescent="0.25">
      <c r="A1317" s="1" t="str">
        <f>HYPERLINK("https://vegkart.atlas.vegvesen.no/#/@235752.9,6578404.8,18/hva:hva%5B0%5D%5Bfilter%5D%5B0%5D%5Boperator%5D=%21%3D&amp;hva%5B0%5D%5Bfilter%5D%5B0%5D%5Btype_id%5D=9427&amp;hva%5B0%5D%5Bfilter%5D%5B0%5D%5Bverdi%5D=&amp;hva%5B0%5D%5Bid%5D=25/når:2023-05-31", "Vegkart")</f>
        <v>Vegkart</v>
      </c>
      <c r="B1317">
        <v>87874384</v>
      </c>
      <c r="C1317">
        <v>25</v>
      </c>
      <c r="D1317" t="s">
        <v>4290</v>
      </c>
      <c r="E1317">
        <v>9427</v>
      </c>
      <c r="F1317" t="s">
        <v>23479</v>
      </c>
      <c r="G1317">
        <v>5</v>
      </c>
      <c r="H1317" t="s">
        <v>4298</v>
      </c>
      <c r="J1317" t="s">
        <v>449</v>
      </c>
      <c r="K1317" t="s">
        <v>81</v>
      </c>
      <c r="L1317" t="s">
        <v>33</v>
      </c>
      <c r="M1317" t="s">
        <v>1812</v>
      </c>
      <c r="N1317" t="s">
        <v>4471</v>
      </c>
      <c r="O1317" t="s">
        <v>4472</v>
      </c>
      <c r="P1317" s="2" t="s">
        <v>37</v>
      </c>
      <c r="Q1317" t="s">
        <v>1208</v>
      </c>
      <c r="R1317">
        <v>0</v>
      </c>
      <c r="S1317">
        <v>11.12</v>
      </c>
      <c r="T1317" t="s">
        <v>4473</v>
      </c>
    </row>
    <row r="1318" spans="1:20" x14ac:dyDescent="0.25">
      <c r="A1318" s="1" t="str">
        <f>HYPERLINK("https://vegkart.atlas.vegvesen.no/#/@534912.4,7496908.7,18/hva:hva%5B0%5D%5Bfilter%5D%5B0%5D%5Boperator%5D=%21%3D&amp;hva%5B0%5D%5Bfilter%5D%5B0%5D%5Btype_id%5D=9427&amp;hva%5B0%5D%5Bfilter%5D%5B0%5D%5Bverdi%5D=&amp;hva%5B0%5D%5Bid%5D=25/når:2024-07-01", "Vegkart")</f>
        <v>Vegkart</v>
      </c>
      <c r="B1318">
        <v>89366791</v>
      </c>
      <c r="C1318">
        <v>25</v>
      </c>
      <c r="D1318" t="s">
        <v>4290</v>
      </c>
      <c r="E1318">
        <v>9427</v>
      </c>
      <c r="F1318" t="s">
        <v>23479</v>
      </c>
      <c r="G1318">
        <v>2</v>
      </c>
      <c r="H1318" t="s">
        <v>4474</v>
      </c>
      <c r="J1318" t="s">
        <v>4475</v>
      </c>
      <c r="K1318" t="s">
        <v>53</v>
      </c>
      <c r="L1318" t="s">
        <v>33</v>
      </c>
      <c r="M1318" t="s">
        <v>4476</v>
      </c>
      <c r="N1318" t="s">
        <v>4477</v>
      </c>
      <c r="O1318" t="s">
        <v>4478</v>
      </c>
      <c r="P1318" s="2" t="s">
        <v>37</v>
      </c>
      <c r="Q1318" t="s">
        <v>1208</v>
      </c>
      <c r="R1318">
        <v>3.13</v>
      </c>
      <c r="S1318">
        <v>6.83</v>
      </c>
      <c r="T1318" t="s">
        <v>4479</v>
      </c>
    </row>
    <row r="1319" spans="1:20" x14ac:dyDescent="0.25">
      <c r="A1319" s="1" t="str">
        <f>HYPERLINK("https://vegkart.atlas.vegvesen.no/#/@193021.7,6569327.6,18/hva:hva%5B0%5D%5Bfilter%5D%5B0%5D%5Boperator%5D=%21%3D&amp;hva%5B0%5D%5Bfilter%5D%5B0%5D%5Btype_id%5D=9427&amp;hva%5B0%5D%5Bfilter%5D%5B0%5D%5Bverdi%5D=&amp;hva%5B0%5D%5Bid%5D=25/når:2023-05-31", "Vegkart")</f>
        <v>Vegkart</v>
      </c>
      <c r="B1319">
        <v>101615888</v>
      </c>
      <c r="C1319">
        <v>25</v>
      </c>
      <c r="D1319" t="s">
        <v>4290</v>
      </c>
      <c r="E1319">
        <v>9427</v>
      </c>
      <c r="F1319" t="s">
        <v>23479</v>
      </c>
      <c r="G1319">
        <v>6</v>
      </c>
      <c r="H1319" t="s">
        <v>4298</v>
      </c>
      <c r="J1319" t="s">
        <v>4480</v>
      </c>
      <c r="K1319" t="s">
        <v>197</v>
      </c>
      <c r="L1319" t="s">
        <v>22</v>
      </c>
      <c r="M1319" t="s">
        <v>4481</v>
      </c>
      <c r="N1319" t="s">
        <v>4482</v>
      </c>
      <c r="O1319" t="s">
        <v>4483</v>
      </c>
      <c r="P1319" s="2" t="s">
        <v>37</v>
      </c>
      <c r="Q1319" t="s">
        <v>1208</v>
      </c>
      <c r="R1319">
        <v>0</v>
      </c>
      <c r="S1319">
        <v>10.61</v>
      </c>
      <c r="T1319" t="s">
        <v>4484</v>
      </c>
    </row>
    <row r="1320" spans="1:20" x14ac:dyDescent="0.25">
      <c r="A1320" s="1" t="str">
        <f>HYPERLINK("https://vegkart.atlas.vegvesen.no/#/@238469.7,6557551.6,18/hva:hva%5B0%5D%5Bfilter%5D%5B0%5D%5Boperator%5D=%21%3D&amp;hva%5B0%5D%5Bfilter%5D%5B0%5D%5Btype_id%5D=9427&amp;hva%5B0%5D%5Bfilter%5D%5B0%5D%5Bverdi%5D=&amp;hva%5B0%5D%5Bid%5D=25/når:2023-05-31", "Vegkart")</f>
        <v>Vegkart</v>
      </c>
      <c r="B1320">
        <v>114138799</v>
      </c>
      <c r="C1320">
        <v>25</v>
      </c>
      <c r="D1320" t="s">
        <v>4290</v>
      </c>
      <c r="E1320">
        <v>9427</v>
      </c>
      <c r="F1320" t="s">
        <v>23479</v>
      </c>
      <c r="G1320">
        <v>4</v>
      </c>
      <c r="H1320" t="s">
        <v>4298</v>
      </c>
      <c r="J1320" t="s">
        <v>4485</v>
      </c>
      <c r="K1320" t="s">
        <v>81</v>
      </c>
      <c r="L1320" t="s">
        <v>33</v>
      </c>
      <c r="M1320" t="s">
        <v>4486</v>
      </c>
      <c r="N1320" t="s">
        <v>4487</v>
      </c>
      <c r="O1320" t="s">
        <v>4488</v>
      </c>
      <c r="P1320" s="2" t="s">
        <v>37</v>
      </c>
      <c r="Q1320" t="s">
        <v>1208</v>
      </c>
      <c r="R1320">
        <v>0</v>
      </c>
      <c r="S1320">
        <v>10.95</v>
      </c>
      <c r="T1320" t="s">
        <v>4489</v>
      </c>
    </row>
    <row r="1321" spans="1:20" x14ac:dyDescent="0.25">
      <c r="A1321" s="1" t="str">
        <f>HYPERLINK("https://vegkart.atlas.vegvesen.no/#/@238897.8,6557820.6,18/hva:hva%5B0%5D%5Bfilter%5D%5B0%5D%5Boperator%5D=%21%3D&amp;hva%5B0%5D%5Bfilter%5D%5B0%5D%5Btype_id%5D=9427&amp;hva%5B0%5D%5Bfilter%5D%5B0%5D%5Bverdi%5D=&amp;hva%5B0%5D%5Bid%5D=25/når:2023-05-31", "Vegkart")</f>
        <v>Vegkart</v>
      </c>
      <c r="B1321">
        <v>114138834</v>
      </c>
      <c r="C1321">
        <v>25</v>
      </c>
      <c r="D1321" t="s">
        <v>4290</v>
      </c>
      <c r="E1321">
        <v>9427</v>
      </c>
      <c r="F1321" t="s">
        <v>23479</v>
      </c>
      <c r="G1321">
        <v>5</v>
      </c>
      <c r="H1321" t="s">
        <v>4298</v>
      </c>
      <c r="J1321" t="s">
        <v>4485</v>
      </c>
      <c r="K1321" t="s">
        <v>81</v>
      </c>
      <c r="L1321" t="s">
        <v>33</v>
      </c>
      <c r="M1321" t="s">
        <v>4486</v>
      </c>
      <c r="N1321" t="s">
        <v>4490</v>
      </c>
      <c r="O1321" t="s">
        <v>4491</v>
      </c>
      <c r="P1321" s="2" t="s">
        <v>37</v>
      </c>
      <c r="Q1321" t="s">
        <v>1208</v>
      </c>
      <c r="R1321">
        <v>0</v>
      </c>
      <c r="S1321">
        <v>8.85</v>
      </c>
      <c r="T1321" t="s">
        <v>4492</v>
      </c>
    </row>
    <row r="1322" spans="1:20" x14ac:dyDescent="0.25">
      <c r="A1322" s="1" t="str">
        <f>HYPERLINK("https://vegkart.atlas.vegvesen.no/#/@237498.4,6562878.2,18/hva:hva%5B0%5D%5Bfilter%5D%5B0%5D%5Boperator%5D=%21%3D&amp;hva%5B0%5D%5Bfilter%5D%5B0%5D%5Btype_id%5D=9427&amp;hva%5B0%5D%5Bfilter%5D%5B0%5D%5Bverdi%5D=&amp;hva%5B0%5D%5Bid%5D=25/når:2023-05-31", "Vegkart")</f>
        <v>Vegkart</v>
      </c>
      <c r="B1322">
        <v>114138860</v>
      </c>
      <c r="C1322">
        <v>25</v>
      </c>
      <c r="D1322" t="s">
        <v>4290</v>
      </c>
      <c r="E1322">
        <v>9427</v>
      </c>
      <c r="F1322" t="s">
        <v>23479</v>
      </c>
      <c r="G1322">
        <v>5</v>
      </c>
      <c r="H1322" t="s">
        <v>4298</v>
      </c>
      <c r="J1322" t="s">
        <v>4485</v>
      </c>
      <c r="K1322" t="s">
        <v>81</v>
      </c>
      <c r="L1322" t="s">
        <v>22</v>
      </c>
      <c r="M1322" t="s">
        <v>4493</v>
      </c>
      <c r="N1322" t="s">
        <v>4494</v>
      </c>
      <c r="O1322" t="s">
        <v>4495</v>
      </c>
      <c r="P1322" s="2" t="s">
        <v>37</v>
      </c>
      <c r="Q1322" t="s">
        <v>1208</v>
      </c>
      <c r="R1322">
        <v>0</v>
      </c>
      <c r="S1322">
        <v>12</v>
      </c>
      <c r="T1322" t="s">
        <v>4496</v>
      </c>
    </row>
    <row r="1323" spans="1:20" x14ac:dyDescent="0.25">
      <c r="A1323" s="1" t="str">
        <f>HYPERLINK("https://vegkart.atlas.vegvesen.no/#/@237188.7,6564956.7,18/hva:hva%5B0%5D%5Bfilter%5D%5B0%5D%5Boperator%5D=%21%3D&amp;hva%5B0%5D%5Bfilter%5D%5B0%5D%5Btype_id%5D=9427&amp;hva%5B0%5D%5Bfilter%5D%5B0%5D%5Bverdi%5D=&amp;hva%5B0%5D%5Bid%5D=25/når:2023-05-31", "Vegkart")</f>
        <v>Vegkart</v>
      </c>
      <c r="B1323">
        <v>114140704</v>
      </c>
      <c r="C1323">
        <v>25</v>
      </c>
      <c r="D1323" t="s">
        <v>4290</v>
      </c>
      <c r="E1323">
        <v>9427</v>
      </c>
      <c r="F1323" t="s">
        <v>23479</v>
      </c>
      <c r="G1323">
        <v>5</v>
      </c>
      <c r="H1323" t="s">
        <v>4298</v>
      </c>
      <c r="J1323" t="s">
        <v>4485</v>
      </c>
      <c r="K1323" t="s">
        <v>81</v>
      </c>
      <c r="L1323" t="s">
        <v>33</v>
      </c>
      <c r="M1323" t="s">
        <v>1936</v>
      </c>
      <c r="N1323" t="s">
        <v>4497</v>
      </c>
      <c r="O1323" t="s">
        <v>4498</v>
      </c>
      <c r="P1323" s="2" t="s">
        <v>37</v>
      </c>
      <c r="Q1323" t="s">
        <v>1208</v>
      </c>
      <c r="R1323">
        <v>0</v>
      </c>
      <c r="S1323">
        <v>12.37</v>
      </c>
      <c r="T1323" t="s">
        <v>4499</v>
      </c>
    </row>
    <row r="1324" spans="1:20" x14ac:dyDescent="0.25">
      <c r="A1324" s="1" t="str">
        <f>HYPERLINK("https://vegkart.atlas.vegvesen.no/#/@240316.7,6570769.6,18/hva:hva%5B0%5D%5Bfilter%5D%5B0%5D%5Boperator%5D=%21%3D&amp;hva%5B0%5D%5Bfilter%5D%5B0%5D%5Btype_id%5D=9427&amp;hva%5B0%5D%5Bfilter%5D%5B0%5D%5Bverdi%5D=&amp;hva%5B0%5D%5Bid%5D=25/når:2023-05-31", "Vegkart")</f>
        <v>Vegkart</v>
      </c>
      <c r="B1324">
        <v>114233905</v>
      </c>
      <c r="C1324">
        <v>25</v>
      </c>
      <c r="D1324" t="s">
        <v>4290</v>
      </c>
      <c r="E1324">
        <v>9427</v>
      </c>
      <c r="F1324" t="s">
        <v>23479</v>
      </c>
      <c r="G1324">
        <v>5</v>
      </c>
      <c r="H1324" t="s">
        <v>4298</v>
      </c>
      <c r="J1324" t="s">
        <v>4485</v>
      </c>
      <c r="K1324" t="s">
        <v>81</v>
      </c>
      <c r="L1324" t="s">
        <v>33</v>
      </c>
      <c r="M1324" t="s">
        <v>1926</v>
      </c>
      <c r="N1324" t="s">
        <v>4500</v>
      </c>
      <c r="O1324" t="s">
        <v>4501</v>
      </c>
      <c r="P1324" s="2" t="s">
        <v>37</v>
      </c>
      <c r="Q1324" t="s">
        <v>1208</v>
      </c>
      <c r="R1324">
        <v>0</v>
      </c>
      <c r="S1324">
        <v>10.92</v>
      </c>
      <c r="T1324" t="s">
        <v>4502</v>
      </c>
    </row>
    <row r="1325" spans="1:20" x14ac:dyDescent="0.25">
      <c r="A1325" s="1" t="str">
        <f>HYPERLINK("https://vegkart.atlas.vegvesen.no/#/@236870.4,6567590.3,18/hva:hva%5B0%5D%5Bfilter%5D%5B0%5D%5Boperator%5D=%21%3D&amp;hva%5B0%5D%5Bfilter%5D%5B0%5D%5Btype_id%5D=9427&amp;hva%5B0%5D%5Bfilter%5D%5B0%5D%5Bverdi%5D=&amp;hva%5B0%5D%5Bid%5D=25/når:2023-05-31", "Vegkart")</f>
        <v>Vegkart</v>
      </c>
      <c r="B1325">
        <v>114234056</v>
      </c>
      <c r="C1325">
        <v>25</v>
      </c>
      <c r="D1325" t="s">
        <v>4290</v>
      </c>
      <c r="E1325">
        <v>9427</v>
      </c>
      <c r="F1325" t="s">
        <v>23479</v>
      </c>
      <c r="G1325">
        <v>4</v>
      </c>
      <c r="H1325" t="s">
        <v>4298</v>
      </c>
      <c r="J1325" t="s">
        <v>4485</v>
      </c>
      <c r="K1325" t="s">
        <v>81</v>
      </c>
      <c r="L1325" t="s">
        <v>33</v>
      </c>
      <c r="M1325" t="s">
        <v>1940</v>
      </c>
      <c r="N1325" t="s">
        <v>4503</v>
      </c>
      <c r="O1325" t="s">
        <v>4504</v>
      </c>
      <c r="P1325" s="2" t="s">
        <v>37</v>
      </c>
      <c r="Q1325" t="s">
        <v>1208</v>
      </c>
      <c r="R1325">
        <v>0</v>
      </c>
      <c r="S1325">
        <v>11.8</v>
      </c>
      <c r="T1325" t="s">
        <v>4505</v>
      </c>
    </row>
    <row r="1326" spans="1:20" x14ac:dyDescent="0.25">
      <c r="A1326" s="1" t="str">
        <f>HYPERLINK("https://vegkart.atlas.vegvesen.no/#/@237851.1,6573151.8,18/hva:hva%5B0%5D%5Bfilter%5D%5B0%5D%5Boperator%5D=%21%3D&amp;hva%5B0%5D%5Bfilter%5D%5B0%5D%5Btype_id%5D=9427&amp;hva%5B0%5D%5Bfilter%5D%5B0%5D%5Bverdi%5D=&amp;hva%5B0%5D%5Bid%5D=25/når:2023-05-31", "Vegkart")</f>
        <v>Vegkart</v>
      </c>
      <c r="B1326">
        <v>114234296</v>
      </c>
      <c r="C1326">
        <v>25</v>
      </c>
      <c r="D1326" t="s">
        <v>4290</v>
      </c>
      <c r="E1326">
        <v>9427</v>
      </c>
      <c r="F1326" t="s">
        <v>23479</v>
      </c>
      <c r="G1326">
        <v>6</v>
      </c>
      <c r="H1326" t="s">
        <v>4298</v>
      </c>
      <c r="J1326" t="s">
        <v>4485</v>
      </c>
      <c r="K1326" t="s">
        <v>81</v>
      </c>
      <c r="L1326" t="s">
        <v>33</v>
      </c>
      <c r="M1326" t="s">
        <v>1940</v>
      </c>
      <c r="N1326" t="s">
        <v>4506</v>
      </c>
      <c r="O1326" t="s">
        <v>4507</v>
      </c>
      <c r="P1326" s="2" t="s">
        <v>37</v>
      </c>
      <c r="Q1326" t="s">
        <v>1208</v>
      </c>
      <c r="R1326">
        <v>0</v>
      </c>
      <c r="S1326">
        <v>12.28</v>
      </c>
      <c r="T1326" t="s">
        <v>4508</v>
      </c>
    </row>
    <row r="1327" spans="1:20" x14ac:dyDescent="0.25">
      <c r="A1327" s="1" t="str">
        <f>HYPERLINK("https://vegkart.atlas.vegvesen.no/#/@237899.1,6571235.1,18/hva:hva%5B0%5D%5Bfilter%5D%5B0%5D%5Boperator%5D=%21%3D&amp;hva%5B0%5D%5Bfilter%5D%5B0%5D%5Btype_id%5D=9427&amp;hva%5B0%5D%5Bfilter%5D%5B0%5D%5Bverdi%5D=&amp;hva%5B0%5D%5Bid%5D=25/når:2023-05-31", "Vegkart")</f>
        <v>Vegkart</v>
      </c>
      <c r="B1327">
        <v>114234341</v>
      </c>
      <c r="C1327">
        <v>25</v>
      </c>
      <c r="D1327" t="s">
        <v>4290</v>
      </c>
      <c r="E1327">
        <v>9427</v>
      </c>
      <c r="F1327" t="s">
        <v>23479</v>
      </c>
      <c r="G1327">
        <v>5</v>
      </c>
      <c r="H1327" t="s">
        <v>4298</v>
      </c>
      <c r="J1327" t="s">
        <v>4485</v>
      </c>
      <c r="K1327" t="s">
        <v>81</v>
      </c>
      <c r="L1327" t="s">
        <v>33</v>
      </c>
      <c r="M1327" t="s">
        <v>1940</v>
      </c>
      <c r="N1327" t="s">
        <v>4509</v>
      </c>
      <c r="O1327" t="s">
        <v>4510</v>
      </c>
      <c r="P1327" s="2" t="s">
        <v>37</v>
      </c>
      <c r="Q1327" t="s">
        <v>1208</v>
      </c>
      <c r="R1327">
        <v>0</v>
      </c>
      <c r="S1327">
        <v>10.32</v>
      </c>
      <c r="T1327" t="s">
        <v>4511</v>
      </c>
    </row>
    <row r="1328" spans="1:20" x14ac:dyDescent="0.25">
      <c r="A1328" s="1" t="str">
        <f>HYPERLINK("https://vegkart.atlas.vegvesen.no/#/@239578.7,6589072.7,18/hva:hva%5B0%5D%5Bfilter%5D%5B0%5D%5Boperator%5D=%21%3D&amp;hva%5B0%5D%5Bfilter%5D%5B0%5D%5Btype_id%5D=9427&amp;hva%5B0%5D%5Bfilter%5D%5B0%5D%5Bverdi%5D=&amp;hva%5B0%5D%5Bid%5D=25/når:2023-05-31", "Vegkart")</f>
        <v>Vegkart</v>
      </c>
      <c r="B1328">
        <v>114238541</v>
      </c>
      <c r="C1328">
        <v>25</v>
      </c>
      <c r="D1328" t="s">
        <v>4290</v>
      </c>
      <c r="E1328">
        <v>9427</v>
      </c>
      <c r="F1328" t="s">
        <v>23479</v>
      </c>
      <c r="G1328">
        <v>4</v>
      </c>
      <c r="H1328" t="s">
        <v>4298</v>
      </c>
      <c r="J1328" t="s">
        <v>4485</v>
      </c>
      <c r="K1328" t="s">
        <v>81</v>
      </c>
      <c r="L1328" t="s">
        <v>33</v>
      </c>
      <c r="M1328" t="s">
        <v>4512</v>
      </c>
      <c r="N1328" t="s">
        <v>4513</v>
      </c>
      <c r="O1328" t="s">
        <v>4514</v>
      </c>
      <c r="P1328" s="2" t="s">
        <v>37</v>
      </c>
      <c r="Q1328" t="s">
        <v>1208</v>
      </c>
      <c r="R1328">
        <v>0</v>
      </c>
      <c r="S1328">
        <v>10.050000000000001</v>
      </c>
      <c r="T1328" t="s">
        <v>4515</v>
      </c>
    </row>
    <row r="1329" spans="1:20" x14ac:dyDescent="0.25">
      <c r="A1329" s="1" t="str">
        <f>HYPERLINK("https://vegkart.atlas.vegvesen.no/#/@243678.7,6583497.0,18/hva:hva%5B0%5D%5Bfilter%5D%5B0%5D%5Boperator%5D=%21%3D&amp;hva%5B0%5D%5Bfilter%5D%5B0%5D%5Btype_id%5D=9427&amp;hva%5B0%5D%5Bfilter%5D%5B0%5D%5Bverdi%5D=&amp;hva%5B0%5D%5Bid%5D=25/når:2023-05-31", "Vegkart")</f>
        <v>Vegkart</v>
      </c>
      <c r="B1329">
        <v>114238771</v>
      </c>
      <c r="C1329">
        <v>25</v>
      </c>
      <c r="D1329" t="s">
        <v>4290</v>
      </c>
      <c r="E1329">
        <v>9427</v>
      </c>
      <c r="F1329" t="s">
        <v>23479</v>
      </c>
      <c r="G1329">
        <v>5</v>
      </c>
      <c r="H1329" t="s">
        <v>4298</v>
      </c>
      <c r="J1329" t="s">
        <v>4485</v>
      </c>
      <c r="K1329" t="s">
        <v>81</v>
      </c>
      <c r="L1329" t="s">
        <v>33</v>
      </c>
      <c r="M1329" t="s">
        <v>1944</v>
      </c>
      <c r="N1329" t="s">
        <v>4516</v>
      </c>
      <c r="O1329" t="s">
        <v>4517</v>
      </c>
      <c r="P1329" s="2" t="s">
        <v>37</v>
      </c>
      <c r="Q1329" t="s">
        <v>1208</v>
      </c>
      <c r="R1329">
        <v>0</v>
      </c>
      <c r="S1329">
        <v>10.41</v>
      </c>
      <c r="T1329" t="s">
        <v>4518</v>
      </c>
    </row>
    <row r="1330" spans="1:20" x14ac:dyDescent="0.25">
      <c r="A1330" s="1" t="str">
        <f>HYPERLINK("https://vegkart.atlas.vegvesen.no/#/@242596.1,6587645.7,18/hva:hva%5B0%5D%5Bfilter%5D%5B0%5D%5Boperator%5D=%21%3D&amp;hva%5B0%5D%5Bfilter%5D%5B0%5D%5Btype_id%5D=9427&amp;hva%5B0%5D%5Bfilter%5D%5B0%5D%5Bverdi%5D=&amp;hva%5B0%5D%5Bid%5D=25/når:2023-05-31", "Vegkart")</f>
        <v>Vegkart</v>
      </c>
      <c r="B1330">
        <v>114238905</v>
      </c>
      <c r="C1330">
        <v>25</v>
      </c>
      <c r="D1330" t="s">
        <v>4290</v>
      </c>
      <c r="E1330">
        <v>9427</v>
      </c>
      <c r="F1330" t="s">
        <v>23479</v>
      </c>
      <c r="G1330">
        <v>4</v>
      </c>
      <c r="H1330" t="s">
        <v>4298</v>
      </c>
      <c r="J1330" t="s">
        <v>4485</v>
      </c>
      <c r="K1330" t="s">
        <v>81</v>
      </c>
      <c r="L1330" t="s">
        <v>33</v>
      </c>
      <c r="M1330" t="s">
        <v>1944</v>
      </c>
      <c r="N1330" t="s">
        <v>4519</v>
      </c>
      <c r="O1330" t="s">
        <v>4520</v>
      </c>
      <c r="P1330" s="2" t="s">
        <v>37</v>
      </c>
      <c r="Q1330" t="s">
        <v>1208</v>
      </c>
      <c r="R1330">
        <v>0</v>
      </c>
      <c r="S1330">
        <v>10.91</v>
      </c>
      <c r="T1330" t="s">
        <v>4521</v>
      </c>
    </row>
    <row r="1331" spans="1:20" x14ac:dyDescent="0.25">
      <c r="A1331" s="1" t="str">
        <f>HYPERLINK("https://vegkart.atlas.vegvesen.no/#/@242042.7,6587801.6,18/hva:hva%5B0%5D%5Bfilter%5D%5B0%5D%5Boperator%5D=%21%3D&amp;hva%5B0%5D%5Bfilter%5D%5B0%5D%5Btype_id%5D=9427&amp;hva%5B0%5D%5Bfilter%5D%5B0%5D%5Bverdi%5D=&amp;hva%5B0%5D%5Bid%5D=25/når:2023-05-31", "Vegkart")</f>
        <v>Vegkart</v>
      </c>
      <c r="B1331">
        <v>114238931</v>
      </c>
      <c r="C1331">
        <v>25</v>
      </c>
      <c r="D1331" t="s">
        <v>4290</v>
      </c>
      <c r="E1331">
        <v>9427</v>
      </c>
      <c r="F1331" t="s">
        <v>23479</v>
      </c>
      <c r="G1331">
        <v>5</v>
      </c>
      <c r="H1331" t="s">
        <v>4298</v>
      </c>
      <c r="J1331" t="s">
        <v>4485</v>
      </c>
      <c r="K1331" t="s">
        <v>81</v>
      </c>
      <c r="L1331" t="s">
        <v>33</v>
      </c>
      <c r="M1331" t="s">
        <v>1944</v>
      </c>
      <c r="N1331" t="s">
        <v>4522</v>
      </c>
      <c r="O1331" t="s">
        <v>4523</v>
      </c>
      <c r="P1331" s="2" t="s">
        <v>37</v>
      </c>
      <c r="Q1331" t="s">
        <v>1208</v>
      </c>
      <c r="R1331">
        <v>0</v>
      </c>
      <c r="S1331">
        <v>10.5</v>
      </c>
      <c r="T1331" t="s">
        <v>4524</v>
      </c>
    </row>
    <row r="1332" spans="1:20" x14ac:dyDescent="0.25">
      <c r="A1332" s="1" t="str">
        <f>HYPERLINK("https://vegkart.atlas.vegvesen.no/#/@241963.0,6587843.5,18/hva:hva%5B0%5D%5Bfilter%5D%5B0%5D%5Boperator%5D=%21%3D&amp;hva%5B0%5D%5Bfilter%5D%5B0%5D%5Btype_id%5D=9427&amp;hva%5B0%5D%5Bfilter%5D%5B0%5D%5Bverdi%5D=&amp;hva%5B0%5D%5Bid%5D=25/når:2023-05-31", "Vegkart")</f>
        <v>Vegkart</v>
      </c>
      <c r="B1332">
        <v>114238934</v>
      </c>
      <c r="C1332">
        <v>25</v>
      </c>
      <c r="D1332" t="s">
        <v>4290</v>
      </c>
      <c r="E1332">
        <v>9427</v>
      </c>
      <c r="F1332" t="s">
        <v>23479</v>
      </c>
      <c r="G1332">
        <v>5</v>
      </c>
      <c r="H1332" t="s">
        <v>4298</v>
      </c>
      <c r="J1332" t="s">
        <v>4485</v>
      </c>
      <c r="K1332" t="s">
        <v>81</v>
      </c>
      <c r="L1332" t="s">
        <v>33</v>
      </c>
      <c r="M1332" t="s">
        <v>1944</v>
      </c>
      <c r="N1332" t="s">
        <v>4525</v>
      </c>
      <c r="O1332" t="s">
        <v>4526</v>
      </c>
      <c r="P1332" s="2" t="s">
        <v>37</v>
      </c>
      <c r="Q1332" t="s">
        <v>1208</v>
      </c>
      <c r="R1332">
        <v>0</v>
      </c>
      <c r="S1332">
        <v>10.46</v>
      </c>
      <c r="T1332" t="s">
        <v>4527</v>
      </c>
    </row>
    <row r="1333" spans="1:20" x14ac:dyDescent="0.25">
      <c r="A1333" s="1" t="str">
        <f>HYPERLINK("https://vegkart.atlas.vegvesen.no/#/@241687.8,6587891.8,18/hva:hva%5B0%5D%5Bfilter%5D%5B0%5D%5Boperator%5D=%21%3D&amp;hva%5B0%5D%5Bfilter%5D%5B0%5D%5Btype_id%5D=9427&amp;hva%5B0%5D%5Bfilter%5D%5B0%5D%5Bverdi%5D=&amp;hva%5B0%5D%5Bid%5D=25/når:2023-05-31", "Vegkart")</f>
        <v>Vegkart</v>
      </c>
      <c r="B1333">
        <v>114238949</v>
      </c>
      <c r="C1333">
        <v>25</v>
      </c>
      <c r="D1333" t="s">
        <v>4290</v>
      </c>
      <c r="E1333">
        <v>9427</v>
      </c>
      <c r="F1333" t="s">
        <v>23479</v>
      </c>
      <c r="G1333">
        <v>5</v>
      </c>
      <c r="H1333" t="s">
        <v>4298</v>
      </c>
      <c r="J1333" t="s">
        <v>4485</v>
      </c>
      <c r="K1333" t="s">
        <v>81</v>
      </c>
      <c r="L1333" t="s">
        <v>33</v>
      </c>
      <c r="M1333" t="s">
        <v>1944</v>
      </c>
      <c r="N1333" t="s">
        <v>4528</v>
      </c>
      <c r="O1333" t="s">
        <v>4529</v>
      </c>
      <c r="P1333" s="2" t="s">
        <v>37</v>
      </c>
      <c r="Q1333" t="s">
        <v>1208</v>
      </c>
      <c r="R1333">
        <v>0</v>
      </c>
      <c r="S1333">
        <v>10.6</v>
      </c>
      <c r="T1333" t="s">
        <v>4530</v>
      </c>
    </row>
    <row r="1334" spans="1:20" x14ac:dyDescent="0.25">
      <c r="A1334" s="1" t="str">
        <f>HYPERLINK("https://vegkart.atlas.vegvesen.no/#/@241206.8,6588036.0,18/hva:hva%5B0%5D%5Bfilter%5D%5B0%5D%5Boperator%5D=%21%3D&amp;hva%5B0%5D%5Bfilter%5D%5B0%5D%5Btype_id%5D=9427&amp;hva%5B0%5D%5Bfilter%5D%5B0%5D%5Bverdi%5D=&amp;hva%5B0%5D%5Bid%5D=25/når:2023-05-31", "Vegkart")</f>
        <v>Vegkart</v>
      </c>
      <c r="B1334">
        <v>114238968</v>
      </c>
      <c r="C1334">
        <v>25</v>
      </c>
      <c r="D1334" t="s">
        <v>4290</v>
      </c>
      <c r="E1334">
        <v>9427</v>
      </c>
      <c r="F1334" t="s">
        <v>23479</v>
      </c>
      <c r="G1334">
        <v>5</v>
      </c>
      <c r="H1334" t="s">
        <v>4298</v>
      </c>
      <c r="J1334" t="s">
        <v>4485</v>
      </c>
      <c r="K1334" t="s">
        <v>81</v>
      </c>
      <c r="L1334" t="s">
        <v>33</v>
      </c>
      <c r="M1334" t="s">
        <v>1944</v>
      </c>
      <c r="N1334" t="s">
        <v>4531</v>
      </c>
      <c r="O1334" t="s">
        <v>4532</v>
      </c>
      <c r="P1334" s="2" t="s">
        <v>37</v>
      </c>
      <c r="Q1334" t="s">
        <v>1208</v>
      </c>
      <c r="R1334">
        <v>0</v>
      </c>
      <c r="S1334">
        <v>10.53</v>
      </c>
      <c r="T1334" t="s">
        <v>4533</v>
      </c>
    </row>
    <row r="1335" spans="1:20" x14ac:dyDescent="0.25">
      <c r="A1335" s="1" t="str">
        <f>HYPERLINK("https://vegkart.atlas.vegvesen.no/#/@240482.0,6575211.3,18/hva:hva%5B0%5D%5Bfilter%5D%5B0%5D%5Boperator%5D=%21%3D&amp;hva%5B0%5D%5Bfilter%5D%5B0%5D%5Btype_id%5D=9427&amp;hva%5B0%5D%5Bfilter%5D%5B0%5D%5Bverdi%5D=&amp;hva%5B0%5D%5Bid%5D=25/når:2023-05-31", "Vegkart")</f>
        <v>Vegkart</v>
      </c>
      <c r="B1335">
        <v>114246336</v>
      </c>
      <c r="C1335">
        <v>25</v>
      </c>
      <c r="D1335" t="s">
        <v>4290</v>
      </c>
      <c r="E1335">
        <v>9427</v>
      </c>
      <c r="F1335" t="s">
        <v>23479</v>
      </c>
      <c r="G1335">
        <v>5</v>
      </c>
      <c r="H1335" t="s">
        <v>4298</v>
      </c>
      <c r="J1335" t="s">
        <v>4485</v>
      </c>
      <c r="K1335" t="s">
        <v>81</v>
      </c>
      <c r="L1335" t="s">
        <v>33</v>
      </c>
      <c r="M1335" t="s">
        <v>1804</v>
      </c>
      <c r="N1335" t="s">
        <v>1913</v>
      </c>
      <c r="O1335" t="s">
        <v>4534</v>
      </c>
      <c r="P1335" s="2" t="s">
        <v>37</v>
      </c>
      <c r="Q1335" t="s">
        <v>1208</v>
      </c>
      <c r="R1335">
        <v>0</v>
      </c>
      <c r="S1335">
        <v>10.36</v>
      </c>
      <c r="T1335" t="s">
        <v>4535</v>
      </c>
    </row>
    <row r="1336" spans="1:20" x14ac:dyDescent="0.25">
      <c r="A1336" s="1" t="str">
        <f>HYPERLINK("https://vegkart.atlas.vegvesen.no/#/@237383.4,6578191.1,18/hva:hva%5B0%5D%5Bfilter%5D%5B0%5D%5Boperator%5D=%21%3D&amp;hva%5B0%5D%5Bfilter%5D%5B0%5D%5Btype_id%5D=9427&amp;hva%5B0%5D%5Bfilter%5D%5B0%5D%5Bverdi%5D=&amp;hva%5B0%5D%5Bid%5D=25/når:2023-05-31", "Vegkart")</f>
        <v>Vegkart</v>
      </c>
      <c r="B1336">
        <v>114246382</v>
      </c>
      <c r="C1336">
        <v>25</v>
      </c>
      <c r="D1336" t="s">
        <v>4290</v>
      </c>
      <c r="E1336">
        <v>9427</v>
      </c>
      <c r="F1336" t="s">
        <v>23479</v>
      </c>
      <c r="G1336">
        <v>5</v>
      </c>
      <c r="H1336" t="s">
        <v>4298</v>
      </c>
      <c r="J1336" t="s">
        <v>4485</v>
      </c>
      <c r="K1336" t="s">
        <v>81</v>
      </c>
      <c r="L1336" t="s">
        <v>33</v>
      </c>
      <c r="M1336" t="s">
        <v>4536</v>
      </c>
      <c r="N1336" t="s">
        <v>4537</v>
      </c>
      <c r="O1336" t="s">
        <v>4538</v>
      </c>
      <c r="P1336" s="2" t="s">
        <v>37</v>
      </c>
      <c r="Q1336" t="s">
        <v>1208</v>
      </c>
      <c r="R1336">
        <v>0</v>
      </c>
      <c r="S1336">
        <v>11.51</v>
      </c>
      <c r="T1336" t="s">
        <v>4539</v>
      </c>
    </row>
    <row r="1337" spans="1:20" x14ac:dyDescent="0.25">
      <c r="A1337" s="1" t="str">
        <f>HYPERLINK("https://vegkart.atlas.vegvesen.no/#/@237017.9,6575898.5,18/hva:hva%5B0%5D%5Bfilter%5D%5B0%5D%5Boperator%5D=%21%3D&amp;hva%5B0%5D%5Bfilter%5D%5B0%5D%5Btype_id%5D=9427&amp;hva%5B0%5D%5Bfilter%5D%5B0%5D%5Bverdi%5D=&amp;hva%5B0%5D%5Bid%5D=25/når:2023-05-31", "Vegkart")</f>
        <v>Vegkart</v>
      </c>
      <c r="B1337">
        <v>114246431</v>
      </c>
      <c r="C1337">
        <v>25</v>
      </c>
      <c r="D1337" t="s">
        <v>4290</v>
      </c>
      <c r="E1337">
        <v>9427</v>
      </c>
      <c r="F1337" t="s">
        <v>23479</v>
      </c>
      <c r="G1337">
        <v>5</v>
      </c>
      <c r="H1337" t="s">
        <v>4298</v>
      </c>
      <c r="J1337" t="s">
        <v>4485</v>
      </c>
      <c r="K1337" t="s">
        <v>81</v>
      </c>
      <c r="L1337" t="s">
        <v>33</v>
      </c>
      <c r="M1337" t="s">
        <v>4536</v>
      </c>
      <c r="N1337" t="s">
        <v>4540</v>
      </c>
      <c r="O1337" t="s">
        <v>4541</v>
      </c>
      <c r="P1337" s="2" t="s">
        <v>37</v>
      </c>
      <c r="Q1337" t="s">
        <v>1208</v>
      </c>
      <c r="R1337">
        <v>0</v>
      </c>
      <c r="S1337">
        <v>11.55</v>
      </c>
      <c r="T1337" t="s">
        <v>4542</v>
      </c>
    </row>
    <row r="1338" spans="1:20" x14ac:dyDescent="0.25">
      <c r="A1338" s="1" t="str">
        <f>HYPERLINK("https://vegkart.atlas.vegvesen.no/#/@238824.9,6577026.3,18/hva:hva%5B0%5D%5Bfilter%5D%5B0%5D%5Boperator%5D=%21%3D&amp;hva%5B0%5D%5Bfilter%5D%5B0%5D%5Btype_id%5D=9427&amp;hva%5B0%5D%5Bfilter%5D%5B0%5D%5Bverdi%5D=&amp;hva%5B0%5D%5Bid%5D=25/når:2023-05-31", "Vegkart")</f>
        <v>Vegkart</v>
      </c>
      <c r="B1338">
        <v>114455127</v>
      </c>
      <c r="C1338">
        <v>25</v>
      </c>
      <c r="D1338" t="s">
        <v>4290</v>
      </c>
      <c r="E1338">
        <v>9427</v>
      </c>
      <c r="F1338" t="s">
        <v>23479</v>
      </c>
      <c r="G1338">
        <v>4</v>
      </c>
      <c r="H1338" t="s">
        <v>4298</v>
      </c>
      <c r="J1338" t="s">
        <v>4485</v>
      </c>
      <c r="K1338" t="s">
        <v>81</v>
      </c>
      <c r="L1338" t="s">
        <v>33</v>
      </c>
      <c r="M1338" t="s">
        <v>1926</v>
      </c>
      <c r="N1338" t="s">
        <v>4543</v>
      </c>
      <c r="O1338" t="s">
        <v>4544</v>
      </c>
      <c r="P1338" s="2" t="s">
        <v>37</v>
      </c>
      <c r="Q1338" t="s">
        <v>1208</v>
      </c>
      <c r="R1338">
        <v>0</v>
      </c>
      <c r="S1338">
        <v>13.69</v>
      </c>
      <c r="T1338" t="s">
        <v>4545</v>
      </c>
    </row>
    <row r="1339" spans="1:20" x14ac:dyDescent="0.25">
      <c r="A1339" s="1" t="str">
        <f>HYPERLINK("https://vegkart.atlas.vegvesen.no/#/@238585.2,6578378.0,18/hva:hva%5B0%5D%5Bfilter%5D%5B0%5D%5Boperator%5D=%21%3D&amp;hva%5B0%5D%5Bfilter%5D%5B0%5D%5Btype_id%5D=9427&amp;hva%5B0%5D%5Bfilter%5D%5B0%5D%5Bverdi%5D=&amp;hva%5B0%5D%5Bid%5D=25/når:2023-05-31", "Vegkart")</f>
        <v>Vegkart</v>
      </c>
      <c r="B1339">
        <v>114455516</v>
      </c>
      <c r="C1339">
        <v>25</v>
      </c>
      <c r="D1339" t="s">
        <v>4290</v>
      </c>
      <c r="E1339">
        <v>9427</v>
      </c>
      <c r="F1339" t="s">
        <v>23479</v>
      </c>
      <c r="G1339">
        <v>4</v>
      </c>
      <c r="H1339" t="s">
        <v>4298</v>
      </c>
      <c r="J1339" t="s">
        <v>4485</v>
      </c>
      <c r="K1339" t="s">
        <v>81</v>
      </c>
      <c r="L1339" t="s">
        <v>33</v>
      </c>
      <c r="M1339" t="s">
        <v>1940</v>
      </c>
      <c r="N1339" t="s">
        <v>4546</v>
      </c>
      <c r="O1339" t="s">
        <v>4547</v>
      </c>
      <c r="P1339" s="2" t="s">
        <v>37</v>
      </c>
      <c r="Q1339" t="s">
        <v>1208</v>
      </c>
      <c r="R1339">
        <v>0</v>
      </c>
      <c r="S1339">
        <v>10.02</v>
      </c>
      <c r="T1339" t="s">
        <v>4548</v>
      </c>
    </row>
    <row r="1340" spans="1:20" x14ac:dyDescent="0.25">
      <c r="A1340" s="1" t="str">
        <f>HYPERLINK("https://vegkart.atlas.vegvesen.no/#/@238736.9,6577954.4,18/hva:hva%5B0%5D%5Bfilter%5D%5B0%5D%5Boperator%5D=%21%3D&amp;hva%5B0%5D%5Bfilter%5D%5B0%5D%5Btype_id%5D=9427&amp;hva%5B0%5D%5Bfilter%5D%5B0%5D%5Bverdi%5D=&amp;hva%5B0%5D%5Bid%5D=25/når:2023-05-31", "Vegkart")</f>
        <v>Vegkart</v>
      </c>
      <c r="B1340">
        <v>114455548</v>
      </c>
      <c r="C1340">
        <v>25</v>
      </c>
      <c r="D1340" t="s">
        <v>4290</v>
      </c>
      <c r="E1340">
        <v>9427</v>
      </c>
      <c r="F1340" t="s">
        <v>23479</v>
      </c>
      <c r="G1340">
        <v>5</v>
      </c>
      <c r="H1340" t="s">
        <v>4298</v>
      </c>
      <c r="J1340" t="s">
        <v>4485</v>
      </c>
      <c r="K1340" t="s">
        <v>81</v>
      </c>
      <c r="L1340" t="s">
        <v>33</v>
      </c>
      <c r="M1340" t="s">
        <v>1940</v>
      </c>
      <c r="N1340" t="s">
        <v>4549</v>
      </c>
      <c r="O1340" t="s">
        <v>4550</v>
      </c>
      <c r="P1340" s="2" t="s">
        <v>37</v>
      </c>
      <c r="Q1340" t="s">
        <v>1208</v>
      </c>
      <c r="R1340">
        <v>0</v>
      </c>
      <c r="S1340">
        <v>10.08</v>
      </c>
      <c r="T1340" t="s">
        <v>4551</v>
      </c>
    </row>
    <row r="1341" spans="1:20" x14ac:dyDescent="0.25">
      <c r="A1341" s="1" t="str">
        <f>HYPERLINK("https://vegkart.atlas.vegvesen.no/#/@238702.6,6577896.9,18/hva:hva%5B0%5D%5Bfilter%5D%5B0%5D%5Boperator%5D=%21%3D&amp;hva%5B0%5D%5Bfilter%5D%5B0%5D%5Btype_id%5D=9427&amp;hva%5B0%5D%5Bfilter%5D%5B0%5D%5Bverdi%5D=&amp;hva%5B0%5D%5Bid%5D=25/når:2023-05-31", "Vegkart")</f>
        <v>Vegkart</v>
      </c>
      <c r="B1341">
        <v>114455551</v>
      </c>
      <c r="C1341">
        <v>25</v>
      </c>
      <c r="D1341" t="s">
        <v>4290</v>
      </c>
      <c r="E1341">
        <v>9427</v>
      </c>
      <c r="F1341" t="s">
        <v>23479</v>
      </c>
      <c r="G1341">
        <v>4</v>
      </c>
      <c r="H1341" t="s">
        <v>4298</v>
      </c>
      <c r="J1341" t="s">
        <v>4485</v>
      </c>
      <c r="K1341" t="s">
        <v>81</v>
      </c>
      <c r="L1341" t="s">
        <v>33</v>
      </c>
      <c r="M1341" t="s">
        <v>1940</v>
      </c>
      <c r="N1341" t="s">
        <v>4552</v>
      </c>
      <c r="O1341" t="s">
        <v>4553</v>
      </c>
      <c r="P1341" s="2" t="s">
        <v>37</v>
      </c>
      <c r="Q1341" t="s">
        <v>1208</v>
      </c>
      <c r="R1341">
        <v>0</v>
      </c>
      <c r="S1341">
        <v>13.62</v>
      </c>
      <c r="T1341" t="s">
        <v>4554</v>
      </c>
    </row>
    <row r="1342" spans="1:20" x14ac:dyDescent="0.25">
      <c r="A1342" s="1" t="str">
        <f>HYPERLINK("https://vegkart.atlas.vegvesen.no/#/@242937.6,6595960.0,18/hva:hva%5B0%5D%5Bfilter%5D%5B0%5D%5Boperator%5D=%21%3D&amp;hva%5B0%5D%5Bfilter%5D%5B0%5D%5Btype_id%5D=9427&amp;hva%5B0%5D%5Bfilter%5D%5B0%5D%5Bverdi%5D=&amp;hva%5B0%5D%5Bid%5D=25/når:2023-05-31", "Vegkart")</f>
        <v>Vegkart</v>
      </c>
      <c r="B1342">
        <v>114559971</v>
      </c>
      <c r="C1342">
        <v>25</v>
      </c>
      <c r="D1342" t="s">
        <v>4290</v>
      </c>
      <c r="E1342">
        <v>9427</v>
      </c>
      <c r="F1342" t="s">
        <v>23479</v>
      </c>
      <c r="G1342">
        <v>5</v>
      </c>
      <c r="H1342" t="s">
        <v>4298</v>
      </c>
      <c r="J1342" t="s">
        <v>4485</v>
      </c>
      <c r="K1342" t="s">
        <v>81</v>
      </c>
      <c r="L1342" t="s">
        <v>33</v>
      </c>
      <c r="M1342" t="s">
        <v>1909</v>
      </c>
      <c r="N1342" t="s">
        <v>4555</v>
      </c>
      <c r="O1342" t="s">
        <v>4556</v>
      </c>
      <c r="P1342" s="2" t="s">
        <v>37</v>
      </c>
      <c r="Q1342" t="s">
        <v>1208</v>
      </c>
      <c r="R1342">
        <v>0</v>
      </c>
      <c r="S1342">
        <v>10.71</v>
      </c>
      <c r="T1342" t="s">
        <v>4557</v>
      </c>
    </row>
    <row r="1343" spans="1:20" x14ac:dyDescent="0.25">
      <c r="A1343" s="1" t="str">
        <f>HYPERLINK("https://vegkart.atlas.vegvesen.no/#/@242458.9,6592376.0,18/hva:hva%5B0%5D%5Bfilter%5D%5B0%5D%5Boperator%5D=%21%3D&amp;hva%5B0%5D%5Bfilter%5D%5B0%5D%5Btype_id%5D=9427&amp;hva%5B0%5D%5Bfilter%5D%5B0%5D%5Bverdi%5D=&amp;hva%5B0%5D%5Bid%5D=25/når:2023-05-31", "Vegkart")</f>
        <v>Vegkart</v>
      </c>
      <c r="B1343">
        <v>114580897</v>
      </c>
      <c r="C1343">
        <v>25</v>
      </c>
      <c r="D1343" t="s">
        <v>4290</v>
      </c>
      <c r="E1343">
        <v>9427</v>
      </c>
      <c r="F1343" t="s">
        <v>23479</v>
      </c>
      <c r="G1343">
        <v>5</v>
      </c>
      <c r="H1343" t="s">
        <v>4298</v>
      </c>
      <c r="J1343" t="s">
        <v>4485</v>
      </c>
      <c r="K1343" t="s">
        <v>81</v>
      </c>
      <c r="L1343" t="s">
        <v>33</v>
      </c>
      <c r="M1343" t="s">
        <v>4357</v>
      </c>
      <c r="N1343" t="s">
        <v>4558</v>
      </c>
      <c r="O1343" t="s">
        <v>4559</v>
      </c>
      <c r="P1343" s="2" t="s">
        <v>37</v>
      </c>
      <c r="Q1343" t="s">
        <v>1208</v>
      </c>
      <c r="R1343">
        <v>0</v>
      </c>
      <c r="S1343">
        <v>10.38</v>
      </c>
      <c r="T1343" t="s">
        <v>4560</v>
      </c>
    </row>
    <row r="1344" spans="1:20" x14ac:dyDescent="0.25">
      <c r="A1344" s="1" t="str">
        <f>HYPERLINK("https://vegkart.atlas.vegvesen.no/#/@10580.7,6469443.7,18/hva:hva%5B0%5D%5Bfilter%5D%5B0%5D%5Boperator%5D=%21%3D&amp;hva%5B0%5D%5Bfilter%5D%5B0%5D%5Btype_id%5D=9427&amp;hva%5B0%5D%5Bfilter%5D%5B0%5D%5Bverdi%5D=&amp;hva%5B0%5D%5Bid%5D=25/når:2023-08-07", "Vegkart")</f>
        <v>Vegkart</v>
      </c>
      <c r="B1344">
        <v>134716231</v>
      </c>
      <c r="C1344">
        <v>25</v>
      </c>
      <c r="D1344" t="s">
        <v>4290</v>
      </c>
      <c r="E1344">
        <v>9427</v>
      </c>
      <c r="F1344" t="s">
        <v>23479</v>
      </c>
      <c r="G1344">
        <v>4</v>
      </c>
      <c r="H1344" t="s">
        <v>4561</v>
      </c>
      <c r="J1344" t="s">
        <v>4562</v>
      </c>
      <c r="K1344" t="s">
        <v>86</v>
      </c>
      <c r="L1344" t="s">
        <v>33</v>
      </c>
      <c r="M1344" t="s">
        <v>4563</v>
      </c>
      <c r="N1344" t="s">
        <v>4564</v>
      </c>
      <c r="O1344" t="s">
        <v>4565</v>
      </c>
      <c r="P1344" s="2" t="s">
        <v>37</v>
      </c>
      <c r="Q1344" t="s">
        <v>1208</v>
      </c>
      <c r="R1344">
        <v>2.27</v>
      </c>
      <c r="S1344">
        <v>6.09</v>
      </c>
      <c r="T1344" t="s">
        <v>4566</v>
      </c>
    </row>
    <row r="1345" spans="1:20" x14ac:dyDescent="0.25">
      <c r="A1345" s="1" t="str">
        <f>HYPERLINK("https://vegkart.atlas.vegvesen.no/#/@241870.0,6680201.3,18/hva:hva%5B0%5D%5Bfilter%5D%5B0%5D%5Boperator%5D=%21%3D&amp;hva%5B0%5D%5Bfilter%5D%5B0%5D%5Btype_id%5D=9427&amp;hva%5B0%5D%5Bfilter%5D%5B0%5D%5Bverdi%5D=&amp;hva%5B0%5D%5Bid%5D=25/når:2023-12-08", "Vegkart")</f>
        <v>Vegkart</v>
      </c>
      <c r="B1345">
        <v>137063031</v>
      </c>
      <c r="C1345">
        <v>25</v>
      </c>
      <c r="D1345" t="s">
        <v>4290</v>
      </c>
      <c r="E1345">
        <v>9427</v>
      </c>
      <c r="F1345" t="s">
        <v>23479</v>
      </c>
      <c r="G1345">
        <v>3</v>
      </c>
      <c r="H1345" t="s">
        <v>4567</v>
      </c>
      <c r="J1345" t="s">
        <v>4562</v>
      </c>
      <c r="K1345" t="s">
        <v>307</v>
      </c>
      <c r="L1345" t="s">
        <v>33</v>
      </c>
      <c r="M1345" t="s">
        <v>4568</v>
      </c>
      <c r="N1345" t="s">
        <v>4569</v>
      </c>
      <c r="O1345" t="s">
        <v>4570</v>
      </c>
      <c r="P1345" s="2" t="s">
        <v>165</v>
      </c>
      <c r="Q1345" t="s">
        <v>311</v>
      </c>
      <c r="R1345">
        <v>2.21</v>
      </c>
      <c r="S1345">
        <v>2.21</v>
      </c>
      <c r="T1345" t="s">
        <v>167</v>
      </c>
    </row>
    <row r="1346" spans="1:20" x14ac:dyDescent="0.25">
      <c r="A1346" s="1" t="str">
        <f>HYPERLINK("https://vegkart.atlas.vegvesen.no/#/@213901.8,6553118.7,18/hva:hva%5B0%5D%5Bfilter%5D%5B0%5D%5Boperator%5D=%21%3D&amp;hva%5B0%5D%5Bfilter%5D%5B0%5D%5Btype_id%5D=9427&amp;hva%5B0%5D%5Bfilter%5D%5B0%5D%5Bverdi%5D=&amp;hva%5B0%5D%5Bid%5D=25/når:2023-05-31", "Vegkart")</f>
        <v>Vegkart</v>
      </c>
      <c r="B1346">
        <v>157054387</v>
      </c>
      <c r="C1346">
        <v>25</v>
      </c>
      <c r="D1346" t="s">
        <v>4290</v>
      </c>
      <c r="E1346">
        <v>9427</v>
      </c>
      <c r="F1346" t="s">
        <v>23479</v>
      </c>
      <c r="G1346">
        <v>4</v>
      </c>
      <c r="H1346" t="s">
        <v>4298</v>
      </c>
      <c r="J1346" t="s">
        <v>4571</v>
      </c>
      <c r="K1346" t="s">
        <v>81</v>
      </c>
      <c r="L1346" t="s">
        <v>33</v>
      </c>
      <c r="M1346" t="s">
        <v>4572</v>
      </c>
      <c r="N1346" t="s">
        <v>4573</v>
      </c>
      <c r="O1346" t="s">
        <v>4574</v>
      </c>
      <c r="P1346" s="2" t="s">
        <v>37</v>
      </c>
      <c r="Q1346" t="s">
        <v>1208</v>
      </c>
      <c r="R1346">
        <v>0</v>
      </c>
      <c r="S1346">
        <v>10.1</v>
      </c>
      <c r="T1346" t="s">
        <v>4575</v>
      </c>
    </row>
    <row r="1347" spans="1:20" x14ac:dyDescent="0.25">
      <c r="A1347" s="1" t="str">
        <f>HYPERLINK("https://vegkart.atlas.vegvesen.no/#/@209240.7,6553512.9,18/hva:hva%5B0%5D%5Bfilter%5D%5B0%5D%5Boperator%5D=%21%3D&amp;hva%5B0%5D%5Bfilter%5D%5B0%5D%5Btype_id%5D=9427&amp;hva%5B0%5D%5Bfilter%5D%5B0%5D%5Bverdi%5D=&amp;hva%5B0%5D%5Bid%5D=25/når:2023-05-31", "Vegkart")</f>
        <v>Vegkart</v>
      </c>
      <c r="B1347">
        <v>157076465</v>
      </c>
      <c r="C1347">
        <v>25</v>
      </c>
      <c r="D1347" t="s">
        <v>4290</v>
      </c>
      <c r="E1347">
        <v>9427</v>
      </c>
      <c r="F1347" t="s">
        <v>23479</v>
      </c>
      <c r="G1347">
        <v>4</v>
      </c>
      <c r="H1347" t="s">
        <v>4298</v>
      </c>
      <c r="J1347" t="s">
        <v>4571</v>
      </c>
      <c r="K1347" t="s">
        <v>81</v>
      </c>
      <c r="L1347" t="s">
        <v>33</v>
      </c>
      <c r="M1347" t="s">
        <v>4576</v>
      </c>
      <c r="N1347" t="s">
        <v>4577</v>
      </c>
      <c r="O1347" t="s">
        <v>4578</v>
      </c>
      <c r="P1347" s="2" t="s">
        <v>37</v>
      </c>
      <c r="Q1347" t="s">
        <v>1208</v>
      </c>
      <c r="R1347">
        <v>0</v>
      </c>
      <c r="S1347">
        <v>9.69</v>
      </c>
      <c r="T1347" t="s">
        <v>4579</v>
      </c>
    </row>
    <row r="1348" spans="1:20" x14ac:dyDescent="0.25">
      <c r="A1348" s="1" t="str">
        <f>HYPERLINK("https://vegkart.atlas.vegvesen.no/#/@214584.8,6551980.0,18/hva:hva%5B0%5D%5Bfilter%5D%5B0%5D%5Boperator%5D=%21%3D&amp;hva%5B0%5D%5Bfilter%5D%5B0%5D%5Btype_id%5D=9427&amp;hva%5B0%5D%5Bfilter%5D%5B0%5D%5Bverdi%5D=&amp;hva%5B0%5D%5Bid%5D=25/når:2023-05-31", "Vegkart")</f>
        <v>Vegkart</v>
      </c>
      <c r="B1348">
        <v>157085710</v>
      </c>
      <c r="C1348">
        <v>25</v>
      </c>
      <c r="D1348" t="s">
        <v>4290</v>
      </c>
      <c r="E1348">
        <v>9427</v>
      </c>
      <c r="F1348" t="s">
        <v>23479</v>
      </c>
      <c r="G1348">
        <v>5</v>
      </c>
      <c r="H1348" t="s">
        <v>4298</v>
      </c>
      <c r="J1348" t="s">
        <v>4571</v>
      </c>
      <c r="K1348" t="s">
        <v>81</v>
      </c>
      <c r="L1348" t="s">
        <v>33</v>
      </c>
      <c r="M1348" t="s">
        <v>1958</v>
      </c>
      <c r="N1348" t="s">
        <v>4580</v>
      </c>
      <c r="O1348" t="s">
        <v>4581</v>
      </c>
      <c r="P1348" s="2" t="s">
        <v>37</v>
      </c>
      <c r="Q1348" t="s">
        <v>1208</v>
      </c>
      <c r="R1348">
        <v>0</v>
      </c>
      <c r="S1348">
        <v>11.42</v>
      </c>
      <c r="T1348" t="s">
        <v>4582</v>
      </c>
    </row>
    <row r="1349" spans="1:20" x14ac:dyDescent="0.25">
      <c r="A1349" s="1" t="str">
        <f>HYPERLINK("https://vegkart.atlas.vegvesen.no/#/@214133.3,6555771.2,18/hva:hva%5B0%5D%5Bfilter%5D%5B0%5D%5Boperator%5D=%21%3D&amp;hva%5B0%5D%5Bfilter%5D%5B0%5D%5Btype_id%5D=9427&amp;hva%5B0%5D%5Bfilter%5D%5B0%5D%5Bverdi%5D=&amp;hva%5B0%5D%5Bid%5D=25/når:2023-05-31", "Vegkart")</f>
        <v>Vegkart</v>
      </c>
      <c r="B1349">
        <v>157085734</v>
      </c>
      <c r="C1349">
        <v>25</v>
      </c>
      <c r="D1349" t="s">
        <v>4290</v>
      </c>
      <c r="E1349">
        <v>9427</v>
      </c>
      <c r="F1349" t="s">
        <v>23479</v>
      </c>
      <c r="G1349">
        <v>5</v>
      </c>
      <c r="H1349" t="s">
        <v>4298</v>
      </c>
      <c r="J1349" t="s">
        <v>4571</v>
      </c>
      <c r="K1349" t="s">
        <v>81</v>
      </c>
      <c r="L1349" t="s">
        <v>33</v>
      </c>
      <c r="M1349" t="s">
        <v>1958</v>
      </c>
      <c r="N1349" t="s">
        <v>4583</v>
      </c>
      <c r="O1349" t="s">
        <v>4584</v>
      </c>
      <c r="P1349" s="2" t="s">
        <v>37</v>
      </c>
      <c r="Q1349" t="s">
        <v>1208</v>
      </c>
      <c r="R1349">
        <v>0</v>
      </c>
      <c r="S1349">
        <v>10.87</v>
      </c>
      <c r="T1349" t="s">
        <v>4585</v>
      </c>
    </row>
    <row r="1350" spans="1:20" x14ac:dyDescent="0.25">
      <c r="A1350" s="1" t="str">
        <f>HYPERLINK("https://vegkart.atlas.vegvesen.no/#/@214184.8,6555303.5,18/hva:hva%5B0%5D%5Bfilter%5D%5B0%5D%5Boperator%5D=%21%3D&amp;hva%5B0%5D%5Bfilter%5D%5B0%5D%5Btype_id%5D=9427&amp;hva%5B0%5D%5Bfilter%5D%5B0%5D%5Bverdi%5D=&amp;hva%5B0%5D%5Bid%5D=25/når:2023-05-31", "Vegkart")</f>
        <v>Vegkart</v>
      </c>
      <c r="B1350">
        <v>157085743</v>
      </c>
      <c r="C1350">
        <v>25</v>
      </c>
      <c r="D1350" t="s">
        <v>4290</v>
      </c>
      <c r="E1350">
        <v>9427</v>
      </c>
      <c r="F1350" t="s">
        <v>23479</v>
      </c>
      <c r="G1350">
        <v>5</v>
      </c>
      <c r="H1350" t="s">
        <v>4298</v>
      </c>
      <c r="J1350" t="s">
        <v>4571</v>
      </c>
      <c r="K1350" t="s">
        <v>81</v>
      </c>
      <c r="L1350" t="s">
        <v>33</v>
      </c>
      <c r="M1350" t="s">
        <v>1958</v>
      </c>
      <c r="N1350" t="s">
        <v>4586</v>
      </c>
      <c r="O1350" t="s">
        <v>4587</v>
      </c>
      <c r="P1350" s="2" t="s">
        <v>37</v>
      </c>
      <c r="Q1350" t="s">
        <v>1208</v>
      </c>
      <c r="R1350">
        <v>0</v>
      </c>
      <c r="S1350">
        <v>10.24</v>
      </c>
      <c r="T1350" t="s">
        <v>4588</v>
      </c>
    </row>
    <row r="1351" spans="1:20" x14ac:dyDescent="0.25">
      <c r="A1351" s="1" t="str">
        <f>HYPERLINK("https://vegkart.atlas.vegvesen.no/#/@215024.0,6550376.3,18/hva:hva%5B0%5D%5Bfilter%5D%5B0%5D%5Boperator%5D=%21%3D&amp;hva%5B0%5D%5Bfilter%5D%5B0%5D%5Btype_id%5D=9427&amp;hva%5B0%5D%5Bfilter%5D%5B0%5D%5Bverdi%5D=&amp;hva%5B0%5D%5Bid%5D=25/når:2023-05-31", "Vegkart")</f>
        <v>Vegkart</v>
      </c>
      <c r="B1351">
        <v>157085797</v>
      </c>
      <c r="C1351">
        <v>25</v>
      </c>
      <c r="D1351" t="s">
        <v>4290</v>
      </c>
      <c r="E1351">
        <v>9427</v>
      </c>
      <c r="F1351" t="s">
        <v>23479</v>
      </c>
      <c r="G1351">
        <v>5</v>
      </c>
      <c r="H1351" t="s">
        <v>4298</v>
      </c>
      <c r="J1351" t="s">
        <v>4571</v>
      </c>
      <c r="K1351" t="s">
        <v>81</v>
      </c>
      <c r="L1351" t="s">
        <v>33</v>
      </c>
      <c r="M1351" t="s">
        <v>1958</v>
      </c>
      <c r="N1351" t="s">
        <v>4589</v>
      </c>
      <c r="O1351" t="s">
        <v>4590</v>
      </c>
      <c r="P1351" s="2" t="s">
        <v>37</v>
      </c>
      <c r="Q1351" t="s">
        <v>1208</v>
      </c>
      <c r="R1351">
        <v>0</v>
      </c>
      <c r="S1351">
        <v>14.08</v>
      </c>
      <c r="T1351" t="s">
        <v>4591</v>
      </c>
    </row>
    <row r="1352" spans="1:20" x14ac:dyDescent="0.25">
      <c r="A1352" s="1" t="str">
        <f>HYPERLINK("https://vegkart.atlas.vegvesen.no/#/@215041.8,6556304.0,18/hva:hva%5B0%5D%5Bfilter%5D%5B0%5D%5Boperator%5D=%21%3D&amp;hva%5B0%5D%5Bfilter%5D%5B0%5D%5Btype_id%5D=9427&amp;hva%5B0%5D%5Bfilter%5D%5B0%5D%5Bverdi%5D=&amp;hva%5B0%5D%5Bid%5D=25/når:2023-05-31", "Vegkart")</f>
        <v>Vegkart</v>
      </c>
      <c r="B1352">
        <v>158064802</v>
      </c>
      <c r="C1352">
        <v>25</v>
      </c>
      <c r="D1352" t="s">
        <v>4290</v>
      </c>
      <c r="E1352">
        <v>9427</v>
      </c>
      <c r="F1352" t="s">
        <v>23479</v>
      </c>
      <c r="G1352">
        <v>5</v>
      </c>
      <c r="H1352" t="s">
        <v>4298</v>
      </c>
      <c r="J1352" t="s">
        <v>4571</v>
      </c>
      <c r="K1352" t="s">
        <v>81</v>
      </c>
      <c r="L1352" t="s">
        <v>33</v>
      </c>
      <c r="M1352" t="s">
        <v>1812</v>
      </c>
      <c r="N1352" t="s">
        <v>4592</v>
      </c>
      <c r="O1352" t="s">
        <v>4593</v>
      </c>
      <c r="P1352" s="2" t="s">
        <v>165</v>
      </c>
      <c r="Q1352" t="s">
        <v>166</v>
      </c>
      <c r="R1352">
        <v>0.15</v>
      </c>
      <c r="S1352">
        <v>14.86</v>
      </c>
      <c r="T1352" t="s">
        <v>167</v>
      </c>
    </row>
    <row r="1353" spans="1:20" x14ac:dyDescent="0.25">
      <c r="A1353" s="1" t="str">
        <f>HYPERLINK("https://vegkart.atlas.vegvesen.no/#/@223704.1,6555616.6,18/hva:hva%5B0%5D%5Bfilter%5D%5B0%5D%5Boperator%5D=%21%3D&amp;hva%5B0%5D%5Bfilter%5D%5B0%5D%5Btype_id%5D=9427&amp;hva%5B0%5D%5Bfilter%5D%5B0%5D%5Bverdi%5D=&amp;hva%5B0%5D%5Bid%5D=25/når:2023-05-31", "Vegkart")</f>
        <v>Vegkart</v>
      </c>
      <c r="B1353">
        <v>159450400</v>
      </c>
      <c r="C1353">
        <v>25</v>
      </c>
      <c r="D1353" t="s">
        <v>4290</v>
      </c>
      <c r="E1353">
        <v>9427</v>
      </c>
      <c r="F1353" t="s">
        <v>23479</v>
      </c>
      <c r="G1353">
        <v>5</v>
      </c>
      <c r="H1353" t="s">
        <v>4298</v>
      </c>
      <c r="J1353" t="s">
        <v>4571</v>
      </c>
      <c r="K1353" t="s">
        <v>81</v>
      </c>
      <c r="L1353" t="s">
        <v>33</v>
      </c>
      <c r="M1353" t="s">
        <v>4299</v>
      </c>
      <c r="N1353" t="s">
        <v>4594</v>
      </c>
      <c r="O1353" t="s">
        <v>4595</v>
      </c>
      <c r="P1353" s="2" t="s">
        <v>37</v>
      </c>
      <c r="Q1353" t="s">
        <v>1208</v>
      </c>
      <c r="R1353">
        <v>0</v>
      </c>
      <c r="S1353">
        <v>11.41</v>
      </c>
      <c r="T1353" t="s">
        <v>4596</v>
      </c>
    </row>
    <row r="1354" spans="1:20" x14ac:dyDescent="0.25">
      <c r="A1354" s="1" t="str">
        <f>HYPERLINK("https://vegkart.atlas.vegvesen.no/#/@226099.7,6554673.2,18/hva:hva%5B0%5D%5Bfilter%5D%5B0%5D%5Boperator%5D=%21%3D&amp;hva%5B0%5D%5Bfilter%5D%5B0%5D%5Btype_id%5D=9427&amp;hva%5B0%5D%5Bfilter%5D%5B0%5D%5Bverdi%5D=&amp;hva%5B0%5D%5Bid%5D=25/når:2023-05-31", "Vegkart")</f>
        <v>Vegkart</v>
      </c>
      <c r="B1354">
        <v>159459888</v>
      </c>
      <c r="C1354">
        <v>25</v>
      </c>
      <c r="D1354" t="s">
        <v>4290</v>
      </c>
      <c r="E1354">
        <v>9427</v>
      </c>
      <c r="F1354" t="s">
        <v>23479</v>
      </c>
      <c r="G1354">
        <v>5</v>
      </c>
      <c r="H1354" t="s">
        <v>4298</v>
      </c>
      <c r="J1354" t="s">
        <v>4571</v>
      </c>
      <c r="K1354" t="s">
        <v>81</v>
      </c>
      <c r="L1354" t="s">
        <v>33</v>
      </c>
      <c r="M1354" t="s">
        <v>4597</v>
      </c>
      <c r="N1354" t="s">
        <v>4598</v>
      </c>
      <c r="O1354" t="s">
        <v>4599</v>
      </c>
      <c r="P1354" s="2" t="s">
        <v>37</v>
      </c>
      <c r="Q1354" t="s">
        <v>1208</v>
      </c>
      <c r="R1354">
        <v>0</v>
      </c>
      <c r="S1354">
        <v>10.36</v>
      </c>
      <c r="T1354" t="s">
        <v>4600</v>
      </c>
    </row>
    <row r="1355" spans="1:20" x14ac:dyDescent="0.25">
      <c r="A1355" s="1" t="str">
        <f>HYPERLINK("https://vegkart.atlas.vegvesen.no/#/@217191.2,6555380.8,18/hva:hva%5B0%5D%5Bfilter%5D%5B0%5D%5Boperator%5D=%21%3D&amp;hva%5B0%5D%5Bfilter%5D%5B0%5D%5Btype_id%5D=9427&amp;hva%5B0%5D%5Bfilter%5D%5B0%5D%5Bverdi%5D=&amp;hva%5B0%5D%5Bid%5D=25/når:2023-05-31", "Vegkart")</f>
        <v>Vegkart</v>
      </c>
      <c r="B1355">
        <v>159552034</v>
      </c>
      <c r="C1355">
        <v>25</v>
      </c>
      <c r="D1355" t="s">
        <v>4290</v>
      </c>
      <c r="E1355">
        <v>9427</v>
      </c>
      <c r="F1355" t="s">
        <v>23479</v>
      </c>
      <c r="G1355">
        <v>5</v>
      </c>
      <c r="H1355" t="s">
        <v>4298</v>
      </c>
      <c r="J1355" t="s">
        <v>4571</v>
      </c>
      <c r="K1355" t="s">
        <v>81</v>
      </c>
      <c r="L1355" t="s">
        <v>33</v>
      </c>
      <c r="M1355" t="s">
        <v>1812</v>
      </c>
      <c r="N1355" t="s">
        <v>4601</v>
      </c>
      <c r="O1355" t="s">
        <v>4602</v>
      </c>
      <c r="P1355" s="2" t="s">
        <v>37</v>
      </c>
      <c r="Q1355" t="s">
        <v>1208</v>
      </c>
      <c r="R1355">
        <v>0</v>
      </c>
      <c r="S1355">
        <v>10.58</v>
      </c>
      <c r="T1355" t="s">
        <v>4603</v>
      </c>
    </row>
    <row r="1356" spans="1:20" x14ac:dyDescent="0.25">
      <c r="A1356" s="1" t="str">
        <f>HYPERLINK("https://vegkart.atlas.vegvesen.no/#/@217361.3,6555422.9,18/hva:hva%5B0%5D%5Bfilter%5D%5B0%5D%5Boperator%5D=%21%3D&amp;hva%5B0%5D%5Bfilter%5D%5B0%5D%5Btype_id%5D=9427&amp;hva%5B0%5D%5Bfilter%5D%5B0%5D%5Bverdi%5D=&amp;hva%5B0%5D%5Bid%5D=25/når:2023-05-31", "Vegkart")</f>
        <v>Vegkart</v>
      </c>
      <c r="B1356">
        <v>159552043</v>
      </c>
      <c r="C1356">
        <v>25</v>
      </c>
      <c r="D1356" t="s">
        <v>4290</v>
      </c>
      <c r="E1356">
        <v>9427</v>
      </c>
      <c r="F1356" t="s">
        <v>23479</v>
      </c>
      <c r="G1356">
        <v>4</v>
      </c>
      <c r="H1356" t="s">
        <v>4298</v>
      </c>
      <c r="J1356" t="s">
        <v>4571</v>
      </c>
      <c r="K1356" t="s">
        <v>81</v>
      </c>
      <c r="L1356" t="s">
        <v>33</v>
      </c>
      <c r="M1356" t="s">
        <v>1812</v>
      </c>
      <c r="N1356" t="s">
        <v>4604</v>
      </c>
      <c r="O1356" t="s">
        <v>4605</v>
      </c>
      <c r="P1356" s="2" t="s">
        <v>37</v>
      </c>
      <c r="Q1356" t="s">
        <v>1208</v>
      </c>
      <c r="R1356">
        <v>0</v>
      </c>
      <c r="S1356">
        <v>10.52</v>
      </c>
      <c r="T1356" t="s">
        <v>4606</v>
      </c>
    </row>
    <row r="1357" spans="1:20" x14ac:dyDescent="0.25">
      <c r="A1357" s="1" t="str">
        <f>HYPERLINK("https://vegkart.atlas.vegvesen.no/#/@218250.4,6555828.0,18/hva:hva%5B0%5D%5Bfilter%5D%5B0%5D%5Boperator%5D=%21%3D&amp;hva%5B0%5D%5Bfilter%5D%5B0%5D%5Btype_id%5D=9427&amp;hva%5B0%5D%5Bfilter%5D%5B0%5D%5Bverdi%5D=&amp;hva%5B0%5D%5Bid%5D=25/når:2023-05-31", "Vegkart")</f>
        <v>Vegkart</v>
      </c>
      <c r="B1357">
        <v>159552081</v>
      </c>
      <c r="C1357">
        <v>25</v>
      </c>
      <c r="D1357" t="s">
        <v>4290</v>
      </c>
      <c r="E1357">
        <v>9427</v>
      </c>
      <c r="F1357" t="s">
        <v>23479</v>
      </c>
      <c r="G1357">
        <v>5</v>
      </c>
      <c r="H1357" t="s">
        <v>4298</v>
      </c>
      <c r="J1357" t="s">
        <v>4571</v>
      </c>
      <c r="K1357" t="s">
        <v>81</v>
      </c>
      <c r="L1357" t="s">
        <v>33</v>
      </c>
      <c r="M1357" t="s">
        <v>1812</v>
      </c>
      <c r="N1357" t="s">
        <v>4607</v>
      </c>
      <c r="O1357" t="s">
        <v>4608</v>
      </c>
      <c r="P1357" s="2" t="s">
        <v>37</v>
      </c>
      <c r="Q1357" t="s">
        <v>1208</v>
      </c>
      <c r="R1357">
        <v>0</v>
      </c>
      <c r="S1357">
        <v>10.91</v>
      </c>
      <c r="T1357" t="s">
        <v>4609</v>
      </c>
    </row>
    <row r="1358" spans="1:20" x14ac:dyDescent="0.25">
      <c r="A1358" s="1" t="str">
        <f>HYPERLINK("https://vegkart.atlas.vegvesen.no/#/@218760.2,6556183.7,18/hva:hva%5B0%5D%5Bfilter%5D%5B0%5D%5Boperator%5D=%21%3D&amp;hva%5B0%5D%5Bfilter%5D%5B0%5D%5Btype_id%5D=9427&amp;hva%5B0%5D%5Bfilter%5D%5B0%5D%5Bverdi%5D=&amp;hva%5B0%5D%5Bid%5D=25/når:2023-05-31", "Vegkart")</f>
        <v>Vegkart</v>
      </c>
      <c r="B1358">
        <v>159553283</v>
      </c>
      <c r="C1358">
        <v>25</v>
      </c>
      <c r="D1358" t="s">
        <v>4290</v>
      </c>
      <c r="E1358">
        <v>9427</v>
      </c>
      <c r="F1358" t="s">
        <v>23479</v>
      </c>
      <c r="G1358">
        <v>4</v>
      </c>
      <c r="H1358" t="s">
        <v>4298</v>
      </c>
      <c r="J1358" t="s">
        <v>4571</v>
      </c>
      <c r="K1358" t="s">
        <v>81</v>
      </c>
      <c r="L1358" t="s">
        <v>33</v>
      </c>
      <c r="M1358" t="s">
        <v>1812</v>
      </c>
      <c r="N1358" t="s">
        <v>4610</v>
      </c>
      <c r="O1358" t="s">
        <v>4611</v>
      </c>
      <c r="P1358" s="2" t="s">
        <v>37</v>
      </c>
      <c r="Q1358" t="s">
        <v>1208</v>
      </c>
      <c r="R1358">
        <v>0</v>
      </c>
      <c r="S1358">
        <v>9.8000000000000007</v>
      </c>
      <c r="T1358" t="s">
        <v>4612</v>
      </c>
    </row>
    <row r="1359" spans="1:20" x14ac:dyDescent="0.25">
      <c r="A1359" s="1" t="str">
        <f>HYPERLINK("https://vegkart.atlas.vegvesen.no/#/@218782.4,6556156.7,18/hva:hva%5B0%5D%5Bfilter%5D%5B0%5D%5Boperator%5D=%21%3D&amp;hva%5B0%5D%5Bfilter%5D%5B0%5D%5Btype_id%5D=9427&amp;hva%5B0%5D%5Bfilter%5D%5B0%5D%5Bverdi%5D=&amp;hva%5B0%5D%5Bid%5D=25/når:2023-05-31", "Vegkart")</f>
        <v>Vegkart</v>
      </c>
      <c r="B1359">
        <v>159553286</v>
      </c>
      <c r="C1359">
        <v>25</v>
      </c>
      <c r="D1359" t="s">
        <v>4290</v>
      </c>
      <c r="E1359">
        <v>9427</v>
      </c>
      <c r="F1359" t="s">
        <v>23479</v>
      </c>
      <c r="G1359">
        <v>4</v>
      </c>
      <c r="H1359" t="s">
        <v>4298</v>
      </c>
      <c r="J1359" t="s">
        <v>4571</v>
      </c>
      <c r="K1359" t="s">
        <v>81</v>
      </c>
      <c r="L1359" t="s">
        <v>33</v>
      </c>
      <c r="M1359" t="s">
        <v>1812</v>
      </c>
      <c r="N1359" t="s">
        <v>4613</v>
      </c>
      <c r="O1359" t="s">
        <v>4614</v>
      </c>
      <c r="P1359" s="2" t="s">
        <v>37</v>
      </c>
      <c r="Q1359" t="s">
        <v>1208</v>
      </c>
      <c r="R1359">
        <v>0</v>
      </c>
      <c r="S1359">
        <v>10.36</v>
      </c>
      <c r="T1359" t="s">
        <v>4615</v>
      </c>
    </row>
    <row r="1360" spans="1:20" x14ac:dyDescent="0.25">
      <c r="A1360" s="1" t="str">
        <f>HYPERLINK("https://vegkart.atlas.vegvesen.no/#/@220009.5,6556372.0,18/hva:hva%5B0%5D%5Bfilter%5D%5B0%5D%5Boperator%5D=%21%3D&amp;hva%5B0%5D%5Bfilter%5D%5B0%5D%5Btype_id%5D=9427&amp;hva%5B0%5D%5Bfilter%5D%5B0%5D%5Bverdi%5D=&amp;hva%5B0%5D%5Bid%5D=25/når:2023-05-31", "Vegkart")</f>
        <v>Vegkart</v>
      </c>
      <c r="B1360">
        <v>159553315</v>
      </c>
      <c r="C1360">
        <v>25</v>
      </c>
      <c r="D1360" t="s">
        <v>4290</v>
      </c>
      <c r="E1360">
        <v>9427</v>
      </c>
      <c r="F1360" t="s">
        <v>23479</v>
      </c>
      <c r="G1360">
        <v>4</v>
      </c>
      <c r="H1360" t="s">
        <v>4298</v>
      </c>
      <c r="J1360" t="s">
        <v>4571</v>
      </c>
      <c r="K1360" t="s">
        <v>81</v>
      </c>
      <c r="L1360" t="s">
        <v>33</v>
      </c>
      <c r="M1360" t="s">
        <v>1812</v>
      </c>
      <c r="N1360" t="s">
        <v>4616</v>
      </c>
      <c r="O1360" t="s">
        <v>4617</v>
      </c>
      <c r="P1360" s="2" t="s">
        <v>37</v>
      </c>
      <c r="Q1360" t="s">
        <v>1208</v>
      </c>
      <c r="R1360">
        <v>0</v>
      </c>
      <c r="S1360">
        <v>10.210000000000001</v>
      </c>
      <c r="T1360" t="s">
        <v>4618</v>
      </c>
    </row>
    <row r="1361" spans="1:20" x14ac:dyDescent="0.25">
      <c r="A1361" s="1" t="str">
        <f>HYPERLINK("https://vegkart.atlas.vegvesen.no/#/@221105.4,6556874.6,18/hva:hva%5B0%5D%5Bfilter%5D%5B0%5D%5Boperator%5D=%21%3D&amp;hva%5B0%5D%5Bfilter%5D%5B0%5D%5Btype_id%5D=9427&amp;hva%5B0%5D%5Bfilter%5D%5B0%5D%5Bverdi%5D=&amp;hva%5B0%5D%5Bid%5D=25/når:2023-05-31", "Vegkart")</f>
        <v>Vegkart</v>
      </c>
      <c r="B1361">
        <v>159553369</v>
      </c>
      <c r="C1361">
        <v>25</v>
      </c>
      <c r="D1361" t="s">
        <v>4290</v>
      </c>
      <c r="E1361">
        <v>9427</v>
      </c>
      <c r="F1361" t="s">
        <v>23479</v>
      </c>
      <c r="G1361">
        <v>4</v>
      </c>
      <c r="H1361" t="s">
        <v>4298</v>
      </c>
      <c r="J1361" t="s">
        <v>4571</v>
      </c>
      <c r="K1361" t="s">
        <v>81</v>
      </c>
      <c r="L1361" t="s">
        <v>33</v>
      </c>
      <c r="M1361" t="s">
        <v>1812</v>
      </c>
      <c r="N1361" t="s">
        <v>4619</v>
      </c>
      <c r="O1361" t="s">
        <v>4620</v>
      </c>
      <c r="P1361" s="2" t="s">
        <v>37</v>
      </c>
      <c r="Q1361" t="s">
        <v>1208</v>
      </c>
      <c r="R1361">
        <v>0</v>
      </c>
      <c r="S1361">
        <v>10.4</v>
      </c>
      <c r="T1361" t="s">
        <v>4621</v>
      </c>
    </row>
    <row r="1362" spans="1:20" x14ac:dyDescent="0.25">
      <c r="A1362" s="1" t="str">
        <f>HYPERLINK("https://vegkart.atlas.vegvesen.no/#/@221591.4,6557054.6,18/hva:hva%5B0%5D%5Bfilter%5D%5B0%5D%5Boperator%5D=%21%3D&amp;hva%5B0%5D%5Bfilter%5D%5B0%5D%5Btype_id%5D=9427&amp;hva%5B0%5D%5Bfilter%5D%5B0%5D%5Bverdi%5D=&amp;hva%5B0%5D%5Bid%5D=25/når:2023-05-31", "Vegkart")</f>
        <v>Vegkart</v>
      </c>
      <c r="B1362">
        <v>159553380</v>
      </c>
      <c r="C1362">
        <v>25</v>
      </c>
      <c r="D1362" t="s">
        <v>4290</v>
      </c>
      <c r="E1362">
        <v>9427</v>
      </c>
      <c r="F1362" t="s">
        <v>23479</v>
      </c>
      <c r="G1362">
        <v>4</v>
      </c>
      <c r="H1362" t="s">
        <v>4298</v>
      </c>
      <c r="J1362" t="s">
        <v>4571</v>
      </c>
      <c r="K1362" t="s">
        <v>81</v>
      </c>
      <c r="L1362" t="s">
        <v>33</v>
      </c>
      <c r="M1362" t="s">
        <v>1812</v>
      </c>
      <c r="N1362" t="s">
        <v>4622</v>
      </c>
      <c r="O1362" t="s">
        <v>4623</v>
      </c>
      <c r="P1362" s="2" t="s">
        <v>37</v>
      </c>
      <c r="Q1362" t="s">
        <v>1208</v>
      </c>
      <c r="R1362">
        <v>0</v>
      </c>
      <c r="S1362">
        <v>10.38</v>
      </c>
      <c r="T1362" t="s">
        <v>4624</v>
      </c>
    </row>
    <row r="1363" spans="1:20" x14ac:dyDescent="0.25">
      <c r="A1363" s="1" t="str">
        <f>HYPERLINK("https://vegkart.atlas.vegvesen.no/#/@222046.5,6557153.5,18/hva:hva%5B0%5D%5Bfilter%5D%5B0%5D%5Boperator%5D=%21%3D&amp;hva%5B0%5D%5Bfilter%5D%5B0%5D%5Btype_id%5D=9427&amp;hva%5B0%5D%5Bfilter%5D%5B0%5D%5Bverdi%5D=&amp;hva%5B0%5D%5Bid%5D=25/når:2023-05-31", "Vegkart")</f>
        <v>Vegkart</v>
      </c>
      <c r="B1363">
        <v>159553397</v>
      </c>
      <c r="C1363">
        <v>25</v>
      </c>
      <c r="D1363" t="s">
        <v>4290</v>
      </c>
      <c r="E1363">
        <v>9427</v>
      </c>
      <c r="F1363" t="s">
        <v>23479</v>
      </c>
      <c r="G1363">
        <v>5</v>
      </c>
      <c r="H1363" t="s">
        <v>4298</v>
      </c>
      <c r="J1363" t="s">
        <v>4571</v>
      </c>
      <c r="K1363" t="s">
        <v>81</v>
      </c>
      <c r="L1363" t="s">
        <v>33</v>
      </c>
      <c r="M1363" t="s">
        <v>1812</v>
      </c>
      <c r="N1363" t="s">
        <v>4625</v>
      </c>
      <c r="O1363" t="s">
        <v>4626</v>
      </c>
      <c r="P1363" s="2" t="s">
        <v>37</v>
      </c>
      <c r="Q1363" t="s">
        <v>1208</v>
      </c>
      <c r="R1363">
        <v>0</v>
      </c>
      <c r="S1363">
        <v>10.58</v>
      </c>
      <c r="T1363" t="s">
        <v>4627</v>
      </c>
    </row>
    <row r="1364" spans="1:20" x14ac:dyDescent="0.25">
      <c r="A1364" s="1" t="str">
        <f>HYPERLINK("https://vegkart.atlas.vegvesen.no/#/@222258.8,6557159.3,18/hva:hva%5B0%5D%5Bfilter%5D%5B0%5D%5Boperator%5D=%21%3D&amp;hva%5B0%5D%5Bfilter%5D%5B0%5D%5Btype_id%5D=9427&amp;hva%5B0%5D%5Bfilter%5D%5B0%5D%5Bverdi%5D=&amp;hva%5B0%5D%5Bid%5D=25/når:2023-05-31", "Vegkart")</f>
        <v>Vegkart</v>
      </c>
      <c r="B1364">
        <v>159553420</v>
      </c>
      <c r="C1364">
        <v>25</v>
      </c>
      <c r="D1364" t="s">
        <v>4290</v>
      </c>
      <c r="E1364">
        <v>9427</v>
      </c>
      <c r="F1364" t="s">
        <v>23479</v>
      </c>
      <c r="G1364">
        <v>5</v>
      </c>
      <c r="H1364" t="s">
        <v>4298</v>
      </c>
      <c r="J1364" t="s">
        <v>4571</v>
      </c>
      <c r="K1364" t="s">
        <v>81</v>
      </c>
      <c r="L1364" t="s">
        <v>33</v>
      </c>
      <c r="M1364" t="s">
        <v>1812</v>
      </c>
      <c r="N1364" t="s">
        <v>4628</v>
      </c>
      <c r="O1364" t="s">
        <v>4629</v>
      </c>
      <c r="P1364" s="2" t="s">
        <v>37</v>
      </c>
      <c r="Q1364" t="s">
        <v>1208</v>
      </c>
      <c r="R1364">
        <v>0</v>
      </c>
      <c r="S1364">
        <v>10.02</v>
      </c>
      <c r="T1364" t="s">
        <v>4630</v>
      </c>
    </row>
    <row r="1365" spans="1:20" x14ac:dyDescent="0.25">
      <c r="A1365" s="1" t="str">
        <f>HYPERLINK("https://vegkart.atlas.vegvesen.no/#/@222657.5,6557236.9,18/hva:hva%5B0%5D%5Bfilter%5D%5B0%5D%5Boperator%5D=%21%3D&amp;hva%5B0%5D%5Bfilter%5D%5B0%5D%5Btype_id%5D=9427&amp;hva%5B0%5D%5Bfilter%5D%5B0%5D%5Bverdi%5D=&amp;hva%5B0%5D%5Bid%5D=25/når:2023-05-31", "Vegkart")</f>
        <v>Vegkart</v>
      </c>
      <c r="B1365">
        <v>159558740</v>
      </c>
      <c r="C1365">
        <v>25</v>
      </c>
      <c r="D1365" t="s">
        <v>4290</v>
      </c>
      <c r="E1365">
        <v>9427</v>
      </c>
      <c r="F1365" t="s">
        <v>23479</v>
      </c>
      <c r="G1365">
        <v>4</v>
      </c>
      <c r="H1365" t="s">
        <v>4298</v>
      </c>
      <c r="J1365" t="s">
        <v>4571</v>
      </c>
      <c r="K1365" t="s">
        <v>81</v>
      </c>
      <c r="L1365" t="s">
        <v>33</v>
      </c>
      <c r="M1365" t="s">
        <v>1812</v>
      </c>
      <c r="N1365" t="s">
        <v>4631</v>
      </c>
      <c r="O1365" t="s">
        <v>4632</v>
      </c>
      <c r="P1365" s="2" t="s">
        <v>37</v>
      </c>
      <c r="Q1365" t="s">
        <v>1208</v>
      </c>
      <c r="R1365">
        <v>0</v>
      </c>
      <c r="S1365">
        <v>10.68</v>
      </c>
      <c r="T1365" t="s">
        <v>4633</v>
      </c>
    </row>
    <row r="1366" spans="1:20" x14ac:dyDescent="0.25">
      <c r="A1366" s="1" t="str">
        <f>HYPERLINK("https://vegkart.atlas.vegvesen.no/#/@222694.1,6557215.7,18/hva:hva%5B0%5D%5Bfilter%5D%5B0%5D%5Boperator%5D=%21%3D&amp;hva%5B0%5D%5Bfilter%5D%5B0%5D%5Btype_id%5D=9427&amp;hva%5B0%5D%5Bfilter%5D%5B0%5D%5Bverdi%5D=&amp;hva%5B0%5D%5Bid%5D=25/når:2023-05-31", "Vegkart")</f>
        <v>Vegkart</v>
      </c>
      <c r="B1366">
        <v>159558750</v>
      </c>
      <c r="C1366">
        <v>25</v>
      </c>
      <c r="D1366" t="s">
        <v>4290</v>
      </c>
      <c r="E1366">
        <v>9427</v>
      </c>
      <c r="F1366" t="s">
        <v>23479</v>
      </c>
      <c r="G1366">
        <v>4</v>
      </c>
      <c r="H1366" t="s">
        <v>4298</v>
      </c>
      <c r="J1366" t="s">
        <v>4571</v>
      </c>
      <c r="K1366" t="s">
        <v>81</v>
      </c>
      <c r="L1366" t="s">
        <v>33</v>
      </c>
      <c r="M1366" t="s">
        <v>1812</v>
      </c>
      <c r="N1366" t="s">
        <v>4634</v>
      </c>
      <c r="O1366" t="s">
        <v>4635</v>
      </c>
      <c r="P1366" s="2" t="s">
        <v>37</v>
      </c>
      <c r="Q1366" t="s">
        <v>1208</v>
      </c>
      <c r="R1366">
        <v>0</v>
      </c>
      <c r="S1366">
        <v>19.41</v>
      </c>
      <c r="T1366" t="s">
        <v>4636</v>
      </c>
    </row>
    <row r="1367" spans="1:20" x14ac:dyDescent="0.25">
      <c r="A1367" s="1" t="str">
        <f>HYPERLINK("https://vegkart.atlas.vegvesen.no/#/@223857.7,6557019.6,18/hva:hva%5B0%5D%5Bfilter%5D%5B0%5D%5Boperator%5D=%21%3D&amp;hva%5B0%5D%5Bfilter%5D%5B0%5D%5Btype_id%5D=9427&amp;hva%5B0%5D%5Bfilter%5D%5B0%5D%5Bverdi%5D=&amp;hva%5B0%5D%5Bid%5D=25/når:2023-12-14", "Vegkart")</f>
        <v>Vegkart</v>
      </c>
      <c r="B1367">
        <v>159558758</v>
      </c>
      <c r="C1367">
        <v>25</v>
      </c>
      <c r="D1367" t="s">
        <v>4290</v>
      </c>
      <c r="E1367">
        <v>9427</v>
      </c>
      <c r="F1367" t="s">
        <v>23479</v>
      </c>
      <c r="G1367">
        <v>5</v>
      </c>
      <c r="H1367" t="s">
        <v>4637</v>
      </c>
      <c r="J1367" t="s">
        <v>4571</v>
      </c>
      <c r="K1367" t="s">
        <v>81</v>
      </c>
      <c r="L1367" t="s">
        <v>33</v>
      </c>
      <c r="M1367" t="s">
        <v>1812</v>
      </c>
      <c r="N1367" t="s">
        <v>4638</v>
      </c>
      <c r="O1367" t="s">
        <v>4639</v>
      </c>
      <c r="P1367" s="2" t="s">
        <v>37</v>
      </c>
      <c r="Q1367" t="s">
        <v>1208</v>
      </c>
      <c r="R1367">
        <v>0</v>
      </c>
      <c r="S1367">
        <v>11.1</v>
      </c>
      <c r="T1367" t="s">
        <v>4640</v>
      </c>
    </row>
    <row r="1368" spans="1:20" x14ac:dyDescent="0.25">
      <c r="A1368" s="1" t="str">
        <f>HYPERLINK("https://vegkart.atlas.vegvesen.no/#/@224579.5,6557595.1,18/hva:hva%5B0%5D%5Bfilter%5D%5B0%5D%5Boperator%5D=%21%3D&amp;hva%5B0%5D%5Bfilter%5D%5B0%5D%5Btype_id%5D=9427&amp;hva%5B0%5D%5Bfilter%5D%5B0%5D%5Bverdi%5D=&amp;hva%5B0%5D%5Bid%5D=25/når:2023-12-18", "Vegkart")</f>
        <v>Vegkart</v>
      </c>
      <c r="B1368">
        <v>159558773</v>
      </c>
      <c r="C1368">
        <v>25</v>
      </c>
      <c r="D1368" t="s">
        <v>4290</v>
      </c>
      <c r="E1368">
        <v>9427</v>
      </c>
      <c r="F1368" t="s">
        <v>23479</v>
      </c>
      <c r="G1368">
        <v>5</v>
      </c>
      <c r="H1368" t="s">
        <v>1864</v>
      </c>
      <c r="J1368" t="s">
        <v>4571</v>
      </c>
      <c r="K1368" t="s">
        <v>81</v>
      </c>
      <c r="L1368" t="s">
        <v>33</v>
      </c>
      <c r="M1368" t="s">
        <v>1812</v>
      </c>
      <c r="N1368" t="s">
        <v>4641</v>
      </c>
      <c r="O1368" t="s">
        <v>4642</v>
      </c>
      <c r="P1368" s="2" t="s">
        <v>37</v>
      </c>
      <c r="Q1368" t="s">
        <v>1208</v>
      </c>
      <c r="R1368">
        <v>0</v>
      </c>
      <c r="S1368">
        <v>10.5</v>
      </c>
      <c r="T1368" t="s">
        <v>4643</v>
      </c>
    </row>
    <row r="1369" spans="1:20" x14ac:dyDescent="0.25">
      <c r="A1369" s="1" t="str">
        <f>HYPERLINK("https://vegkart.atlas.vegvesen.no/#/@224851.1,6557997.2,18/hva:hva%5B0%5D%5Bfilter%5D%5B0%5D%5Boperator%5D=%21%3D&amp;hva%5B0%5D%5Bfilter%5D%5B0%5D%5Btype_id%5D=9427&amp;hva%5B0%5D%5Bfilter%5D%5B0%5D%5Bverdi%5D=&amp;hva%5B0%5D%5Bid%5D=25/når:2024-01-22", "Vegkart")</f>
        <v>Vegkart</v>
      </c>
      <c r="B1369">
        <v>159559306</v>
      </c>
      <c r="C1369">
        <v>25</v>
      </c>
      <c r="D1369" t="s">
        <v>4290</v>
      </c>
      <c r="E1369">
        <v>9427</v>
      </c>
      <c r="F1369" t="s">
        <v>23479</v>
      </c>
      <c r="G1369">
        <v>6</v>
      </c>
      <c r="H1369" t="s">
        <v>4644</v>
      </c>
      <c r="J1369" t="s">
        <v>4571</v>
      </c>
      <c r="K1369" t="s">
        <v>81</v>
      </c>
      <c r="L1369" t="s">
        <v>33</v>
      </c>
      <c r="M1369" t="s">
        <v>1812</v>
      </c>
      <c r="N1369" t="s">
        <v>4645</v>
      </c>
      <c r="O1369" t="s">
        <v>4646</v>
      </c>
      <c r="P1369" s="2" t="s">
        <v>37</v>
      </c>
      <c r="Q1369" t="s">
        <v>1208</v>
      </c>
      <c r="R1369">
        <v>0</v>
      </c>
      <c r="S1369">
        <v>10.18</v>
      </c>
      <c r="T1369" t="s">
        <v>4647</v>
      </c>
    </row>
    <row r="1370" spans="1:20" x14ac:dyDescent="0.25">
      <c r="A1370" s="1" t="str">
        <f>HYPERLINK("https://vegkart.atlas.vegvesen.no/#/@224946.4,6558012.0,18/hva:hva%5B0%5D%5Bfilter%5D%5B0%5D%5Boperator%5D=%21%3D&amp;hva%5B0%5D%5Bfilter%5D%5B0%5D%5Btype_id%5D=9427&amp;hva%5B0%5D%5Bfilter%5D%5B0%5D%5Bverdi%5D=&amp;hva%5B0%5D%5Bid%5D=25/når:2024-01-23", "Vegkart")</f>
        <v>Vegkart</v>
      </c>
      <c r="B1370">
        <v>159559316</v>
      </c>
      <c r="C1370">
        <v>25</v>
      </c>
      <c r="D1370" t="s">
        <v>4290</v>
      </c>
      <c r="E1370">
        <v>9427</v>
      </c>
      <c r="F1370" t="s">
        <v>23479</v>
      </c>
      <c r="G1370">
        <v>5</v>
      </c>
      <c r="H1370" t="s">
        <v>1874</v>
      </c>
      <c r="J1370" t="s">
        <v>4571</v>
      </c>
      <c r="K1370" t="s">
        <v>81</v>
      </c>
      <c r="L1370" t="s">
        <v>33</v>
      </c>
      <c r="M1370" t="s">
        <v>1812</v>
      </c>
      <c r="N1370" t="s">
        <v>4648</v>
      </c>
      <c r="O1370" t="s">
        <v>4649</v>
      </c>
      <c r="P1370" s="2" t="s">
        <v>37</v>
      </c>
      <c r="Q1370" t="s">
        <v>1208</v>
      </c>
      <c r="R1370">
        <v>0</v>
      </c>
      <c r="S1370">
        <v>10.88</v>
      </c>
      <c r="T1370" t="s">
        <v>4650</v>
      </c>
    </row>
    <row r="1371" spans="1:20" x14ac:dyDescent="0.25">
      <c r="A1371" s="1" t="str">
        <f>HYPERLINK("https://vegkart.atlas.vegvesen.no/#/@225070.7,6558515.7,18/hva:hva%5B0%5D%5Bfilter%5D%5B0%5D%5Boperator%5D=%21%3D&amp;hva%5B0%5D%5Bfilter%5D%5B0%5D%5Btype_id%5D=9427&amp;hva%5B0%5D%5Bfilter%5D%5B0%5D%5Bverdi%5D=&amp;hva%5B0%5D%5Bid%5D=25/når:2024-01-23", "Vegkart")</f>
        <v>Vegkart</v>
      </c>
      <c r="B1371">
        <v>159559333</v>
      </c>
      <c r="C1371">
        <v>25</v>
      </c>
      <c r="D1371" t="s">
        <v>4290</v>
      </c>
      <c r="E1371">
        <v>9427</v>
      </c>
      <c r="F1371" t="s">
        <v>23479</v>
      </c>
      <c r="G1371">
        <v>6</v>
      </c>
      <c r="H1371" t="s">
        <v>1874</v>
      </c>
      <c r="J1371" t="s">
        <v>4571</v>
      </c>
      <c r="K1371" t="s">
        <v>81</v>
      </c>
      <c r="L1371" t="s">
        <v>33</v>
      </c>
      <c r="M1371" t="s">
        <v>1812</v>
      </c>
      <c r="N1371" t="s">
        <v>4651</v>
      </c>
      <c r="O1371" t="s">
        <v>4652</v>
      </c>
      <c r="P1371" s="2" t="s">
        <v>37</v>
      </c>
      <c r="Q1371" t="s">
        <v>1208</v>
      </c>
      <c r="R1371">
        <v>0</v>
      </c>
      <c r="S1371">
        <v>16.25</v>
      </c>
      <c r="T1371" t="s">
        <v>4653</v>
      </c>
    </row>
    <row r="1372" spans="1:20" x14ac:dyDescent="0.25">
      <c r="A1372" s="1" t="str">
        <f>HYPERLINK("https://vegkart.atlas.vegvesen.no/#/@226052.6,6560575.5,18/hva:hva%5B0%5D%5Bfilter%5D%5B0%5D%5Boperator%5D=%21%3D&amp;hva%5B0%5D%5Bfilter%5D%5B0%5D%5Btype_id%5D=9427&amp;hva%5B0%5D%5Bfilter%5D%5B0%5D%5Bverdi%5D=&amp;hva%5B0%5D%5Bid%5D=25/når:2024-02-15", "Vegkart")</f>
        <v>Vegkart</v>
      </c>
      <c r="B1372">
        <v>159559371</v>
      </c>
      <c r="C1372">
        <v>25</v>
      </c>
      <c r="D1372" t="s">
        <v>4290</v>
      </c>
      <c r="E1372">
        <v>9427</v>
      </c>
      <c r="F1372" t="s">
        <v>23479</v>
      </c>
      <c r="G1372">
        <v>6</v>
      </c>
      <c r="H1372" t="s">
        <v>516</v>
      </c>
      <c r="J1372" t="s">
        <v>4571</v>
      </c>
      <c r="K1372" t="s">
        <v>81</v>
      </c>
      <c r="L1372" t="s">
        <v>33</v>
      </c>
      <c r="M1372" t="s">
        <v>1812</v>
      </c>
      <c r="N1372" t="s">
        <v>4654</v>
      </c>
      <c r="O1372" t="s">
        <v>4655</v>
      </c>
      <c r="P1372" s="2" t="s">
        <v>37</v>
      </c>
      <c r="Q1372" t="s">
        <v>1208</v>
      </c>
      <c r="R1372">
        <v>0</v>
      </c>
      <c r="S1372">
        <v>10.72</v>
      </c>
      <c r="T1372" t="s">
        <v>4656</v>
      </c>
    </row>
    <row r="1373" spans="1:20" x14ac:dyDescent="0.25">
      <c r="A1373" s="1" t="str">
        <f>HYPERLINK("https://vegkart.atlas.vegvesen.no/#/@226099.7,6560655.9,18/hva:hva%5B0%5D%5Bfilter%5D%5B0%5D%5Boperator%5D=%21%3D&amp;hva%5B0%5D%5Bfilter%5D%5B0%5D%5Btype_id%5D=9427&amp;hva%5B0%5D%5Bfilter%5D%5B0%5D%5Bverdi%5D=&amp;hva%5B0%5D%5Bid%5D=25/når:2024-02-16", "Vegkart")</f>
        <v>Vegkart</v>
      </c>
      <c r="B1373">
        <v>159559384</v>
      </c>
      <c r="C1373">
        <v>25</v>
      </c>
      <c r="D1373" t="s">
        <v>4290</v>
      </c>
      <c r="E1373">
        <v>9427</v>
      </c>
      <c r="F1373" t="s">
        <v>23479</v>
      </c>
      <c r="G1373">
        <v>6</v>
      </c>
      <c r="H1373" t="s">
        <v>4657</v>
      </c>
      <c r="J1373" t="s">
        <v>4571</v>
      </c>
      <c r="K1373" t="s">
        <v>81</v>
      </c>
      <c r="L1373" t="s">
        <v>33</v>
      </c>
      <c r="M1373" t="s">
        <v>1812</v>
      </c>
      <c r="N1373" t="s">
        <v>4658</v>
      </c>
      <c r="O1373" t="s">
        <v>4659</v>
      </c>
      <c r="P1373" s="2" t="s">
        <v>37</v>
      </c>
      <c r="Q1373" t="s">
        <v>1208</v>
      </c>
      <c r="R1373">
        <v>0</v>
      </c>
      <c r="S1373">
        <v>10.4</v>
      </c>
      <c r="T1373" t="s">
        <v>4660</v>
      </c>
    </row>
    <row r="1374" spans="1:20" x14ac:dyDescent="0.25">
      <c r="A1374" s="1" t="str">
        <f>HYPERLINK("https://vegkart.atlas.vegvesen.no/#/@226152.0,6560914.1,18/hva:hva%5B0%5D%5Bfilter%5D%5B0%5D%5Boperator%5D=%21%3D&amp;hva%5B0%5D%5Bfilter%5D%5B0%5D%5Btype_id%5D=9427&amp;hva%5B0%5D%5Bfilter%5D%5B0%5D%5Bverdi%5D=&amp;hva%5B0%5D%5Bid%5D=25/når:2024-02-20", "Vegkart")</f>
        <v>Vegkart</v>
      </c>
      <c r="B1374">
        <v>159559393</v>
      </c>
      <c r="C1374">
        <v>25</v>
      </c>
      <c r="D1374" t="s">
        <v>4290</v>
      </c>
      <c r="E1374">
        <v>9427</v>
      </c>
      <c r="F1374" t="s">
        <v>23479</v>
      </c>
      <c r="G1374">
        <v>6</v>
      </c>
      <c r="H1374" t="s">
        <v>4661</v>
      </c>
      <c r="J1374" t="s">
        <v>4571</v>
      </c>
      <c r="K1374" t="s">
        <v>81</v>
      </c>
      <c r="L1374" t="s">
        <v>33</v>
      </c>
      <c r="M1374" t="s">
        <v>1812</v>
      </c>
      <c r="N1374" t="s">
        <v>4662</v>
      </c>
      <c r="O1374" t="s">
        <v>4663</v>
      </c>
      <c r="P1374" s="2" t="s">
        <v>37</v>
      </c>
      <c r="Q1374" t="s">
        <v>1208</v>
      </c>
      <c r="R1374">
        <v>0</v>
      </c>
      <c r="S1374">
        <v>10.89</v>
      </c>
      <c r="T1374" t="s">
        <v>4664</v>
      </c>
    </row>
    <row r="1375" spans="1:20" x14ac:dyDescent="0.25">
      <c r="A1375" s="1" t="str">
        <f>HYPERLINK("https://vegkart.atlas.vegvesen.no/#/@226535.5,6561670.5,18/hva:hva%5B0%5D%5Bfilter%5D%5B0%5D%5Boperator%5D=%21%3D&amp;hva%5B0%5D%5Bfilter%5D%5B0%5D%5Btype_id%5D=9427&amp;hva%5B0%5D%5Bfilter%5D%5B0%5D%5Bverdi%5D=&amp;hva%5B0%5D%5Bid%5D=25/når:2024-03-01", "Vegkart")</f>
        <v>Vegkart</v>
      </c>
      <c r="B1375">
        <v>159560373</v>
      </c>
      <c r="C1375">
        <v>25</v>
      </c>
      <c r="D1375" t="s">
        <v>4290</v>
      </c>
      <c r="E1375">
        <v>9427</v>
      </c>
      <c r="F1375" t="s">
        <v>23479</v>
      </c>
      <c r="G1375">
        <v>6</v>
      </c>
      <c r="H1375" t="s">
        <v>536</v>
      </c>
      <c r="J1375" t="s">
        <v>4571</v>
      </c>
      <c r="K1375" t="s">
        <v>81</v>
      </c>
      <c r="L1375" t="s">
        <v>33</v>
      </c>
      <c r="M1375" t="s">
        <v>1812</v>
      </c>
      <c r="N1375" t="s">
        <v>4665</v>
      </c>
      <c r="O1375" t="s">
        <v>4666</v>
      </c>
      <c r="P1375" s="2" t="s">
        <v>37</v>
      </c>
      <c r="Q1375" t="s">
        <v>1208</v>
      </c>
      <c r="R1375">
        <v>0</v>
      </c>
      <c r="S1375">
        <v>10.5</v>
      </c>
      <c r="T1375" t="s">
        <v>4667</v>
      </c>
    </row>
    <row r="1376" spans="1:20" x14ac:dyDescent="0.25">
      <c r="A1376" s="1" t="str">
        <f>HYPERLINK("https://vegkart.atlas.vegvesen.no/#/@226437.1,6562855.7,18/hva:hva%5B0%5D%5Bfilter%5D%5B0%5D%5Boperator%5D=%21%3D&amp;hva%5B0%5D%5Bfilter%5D%5B0%5D%5Btype_id%5D=9427&amp;hva%5B0%5D%5Bfilter%5D%5B0%5D%5Bverdi%5D=&amp;hva%5B0%5D%5Bid%5D=25/når:2023-05-31", "Vegkart")</f>
        <v>Vegkart</v>
      </c>
      <c r="B1376">
        <v>159560487</v>
      </c>
      <c r="C1376">
        <v>25</v>
      </c>
      <c r="D1376" t="s">
        <v>4290</v>
      </c>
      <c r="E1376">
        <v>9427</v>
      </c>
      <c r="F1376" t="s">
        <v>23479</v>
      </c>
      <c r="G1376">
        <v>5</v>
      </c>
      <c r="H1376" t="s">
        <v>4298</v>
      </c>
      <c r="J1376" t="s">
        <v>4571</v>
      </c>
      <c r="K1376" t="s">
        <v>81</v>
      </c>
      <c r="L1376" t="s">
        <v>33</v>
      </c>
      <c r="M1376" t="s">
        <v>1812</v>
      </c>
      <c r="N1376" t="s">
        <v>4668</v>
      </c>
      <c r="O1376" t="s">
        <v>4669</v>
      </c>
      <c r="P1376" s="2" t="s">
        <v>37</v>
      </c>
      <c r="Q1376" t="s">
        <v>1208</v>
      </c>
      <c r="R1376">
        <v>0</v>
      </c>
      <c r="S1376">
        <v>10.51</v>
      </c>
      <c r="T1376" t="s">
        <v>4670</v>
      </c>
    </row>
    <row r="1377" spans="1:20" x14ac:dyDescent="0.25">
      <c r="A1377" s="1" t="str">
        <f>HYPERLINK("https://vegkart.atlas.vegvesen.no/#/@226434.0,6563265.0,18/hva:hva%5B0%5D%5Bfilter%5D%5B0%5D%5Boperator%5D=%21%3D&amp;hva%5B0%5D%5Bfilter%5D%5B0%5D%5Btype_id%5D=9427&amp;hva%5B0%5D%5Bfilter%5D%5B0%5D%5Bverdi%5D=&amp;hva%5B0%5D%5Bid%5D=25/når:2023-05-31", "Vegkart")</f>
        <v>Vegkart</v>
      </c>
      <c r="B1377">
        <v>159560509</v>
      </c>
      <c r="C1377">
        <v>25</v>
      </c>
      <c r="D1377" t="s">
        <v>4290</v>
      </c>
      <c r="E1377">
        <v>9427</v>
      </c>
      <c r="F1377" t="s">
        <v>23479</v>
      </c>
      <c r="G1377">
        <v>4</v>
      </c>
      <c r="H1377" t="s">
        <v>4298</v>
      </c>
      <c r="J1377" t="s">
        <v>4571</v>
      </c>
      <c r="K1377" t="s">
        <v>81</v>
      </c>
      <c r="L1377" t="s">
        <v>33</v>
      </c>
      <c r="M1377" t="s">
        <v>1812</v>
      </c>
      <c r="N1377" t="s">
        <v>4671</v>
      </c>
      <c r="O1377" t="s">
        <v>4672</v>
      </c>
      <c r="P1377" s="2" t="s">
        <v>37</v>
      </c>
      <c r="Q1377" t="s">
        <v>1208</v>
      </c>
      <c r="R1377">
        <v>0</v>
      </c>
      <c r="S1377">
        <v>10.07</v>
      </c>
      <c r="T1377" t="s">
        <v>4673</v>
      </c>
    </row>
    <row r="1378" spans="1:20" x14ac:dyDescent="0.25">
      <c r="A1378" s="1" t="str">
        <f>HYPERLINK("https://vegkart.atlas.vegvesen.no/#/@226414.9,6563272.3,18/hva:hva%5B0%5D%5Bfilter%5D%5B0%5D%5Boperator%5D=%21%3D&amp;hva%5B0%5D%5Bfilter%5D%5B0%5D%5Btype_id%5D=9427&amp;hva%5B0%5D%5Bfilter%5D%5B0%5D%5Bverdi%5D=&amp;hva%5B0%5D%5Bid%5D=25/når:2023-05-31", "Vegkart")</f>
        <v>Vegkart</v>
      </c>
      <c r="B1378">
        <v>159560516</v>
      </c>
      <c r="C1378">
        <v>25</v>
      </c>
      <c r="D1378" t="s">
        <v>4290</v>
      </c>
      <c r="E1378">
        <v>9427</v>
      </c>
      <c r="F1378" t="s">
        <v>23479</v>
      </c>
      <c r="G1378">
        <v>4</v>
      </c>
      <c r="H1378" t="s">
        <v>4298</v>
      </c>
      <c r="J1378" t="s">
        <v>4571</v>
      </c>
      <c r="K1378" t="s">
        <v>81</v>
      </c>
      <c r="L1378" t="s">
        <v>33</v>
      </c>
      <c r="M1378" t="s">
        <v>1812</v>
      </c>
      <c r="N1378" t="s">
        <v>4674</v>
      </c>
      <c r="O1378" t="s">
        <v>4675</v>
      </c>
      <c r="P1378" s="2" t="s">
        <v>37</v>
      </c>
      <c r="Q1378" t="s">
        <v>1208</v>
      </c>
      <c r="R1378">
        <v>0</v>
      </c>
      <c r="S1378">
        <v>9.2200000000000006</v>
      </c>
      <c r="T1378" t="s">
        <v>4676</v>
      </c>
    </row>
    <row r="1379" spans="1:20" x14ac:dyDescent="0.25">
      <c r="A1379" s="1" t="str">
        <f>HYPERLINK("https://vegkart.atlas.vegvesen.no/#/@226473.3,6563564.0,18/hva:hva%5B0%5D%5Bfilter%5D%5B0%5D%5Boperator%5D=%21%3D&amp;hva%5B0%5D%5Bfilter%5D%5B0%5D%5Btype_id%5D=9427&amp;hva%5B0%5D%5Bfilter%5D%5B0%5D%5Bverdi%5D=&amp;hva%5B0%5D%5Bid%5D=25/når:2023-05-31", "Vegkart")</f>
        <v>Vegkart</v>
      </c>
      <c r="B1379">
        <v>159560540</v>
      </c>
      <c r="C1379">
        <v>25</v>
      </c>
      <c r="D1379" t="s">
        <v>4290</v>
      </c>
      <c r="E1379">
        <v>9427</v>
      </c>
      <c r="F1379" t="s">
        <v>23479</v>
      </c>
      <c r="G1379">
        <v>5</v>
      </c>
      <c r="H1379" t="s">
        <v>4298</v>
      </c>
      <c r="J1379" t="s">
        <v>4571</v>
      </c>
      <c r="K1379" t="s">
        <v>81</v>
      </c>
      <c r="L1379" t="s">
        <v>33</v>
      </c>
      <c r="M1379" t="s">
        <v>1812</v>
      </c>
      <c r="N1379" t="s">
        <v>4677</v>
      </c>
      <c r="O1379" t="s">
        <v>4678</v>
      </c>
      <c r="P1379" s="2" t="s">
        <v>37</v>
      </c>
      <c r="Q1379" t="s">
        <v>1208</v>
      </c>
      <c r="R1379">
        <v>0</v>
      </c>
      <c r="S1379">
        <v>10.35</v>
      </c>
      <c r="T1379" t="s">
        <v>4679</v>
      </c>
    </row>
    <row r="1380" spans="1:20" x14ac:dyDescent="0.25">
      <c r="A1380" s="1" t="str">
        <f>HYPERLINK("https://vegkart.atlas.vegvesen.no/#/@226459.0,6563623.7,18/hva:hva%5B0%5D%5Bfilter%5D%5B0%5D%5Boperator%5D=%21%3D&amp;hva%5B0%5D%5Bfilter%5D%5B0%5D%5Btype_id%5D=9427&amp;hva%5B0%5D%5Bfilter%5D%5B0%5D%5Bverdi%5D=&amp;hva%5B0%5D%5Bid%5D=25/når:2023-05-31", "Vegkart")</f>
        <v>Vegkart</v>
      </c>
      <c r="B1380">
        <v>159560549</v>
      </c>
      <c r="C1380">
        <v>25</v>
      </c>
      <c r="D1380" t="s">
        <v>4290</v>
      </c>
      <c r="E1380">
        <v>9427</v>
      </c>
      <c r="F1380" t="s">
        <v>23479</v>
      </c>
      <c r="G1380">
        <v>4</v>
      </c>
      <c r="H1380" t="s">
        <v>4298</v>
      </c>
      <c r="J1380" t="s">
        <v>4571</v>
      </c>
      <c r="K1380" t="s">
        <v>81</v>
      </c>
      <c r="L1380" t="s">
        <v>33</v>
      </c>
      <c r="M1380" t="s">
        <v>1812</v>
      </c>
      <c r="N1380" t="s">
        <v>4680</v>
      </c>
      <c r="O1380" t="s">
        <v>4681</v>
      </c>
      <c r="P1380" s="2" t="s">
        <v>37</v>
      </c>
      <c r="Q1380" t="s">
        <v>1208</v>
      </c>
      <c r="R1380">
        <v>0</v>
      </c>
      <c r="S1380">
        <v>10.4</v>
      </c>
      <c r="T1380" t="s">
        <v>4682</v>
      </c>
    </row>
    <row r="1381" spans="1:20" x14ac:dyDescent="0.25">
      <c r="A1381" s="1" t="str">
        <f>HYPERLINK("https://vegkart.atlas.vegvesen.no/#/@230895.5,6575680.7,18/hva:hva%5B0%5D%5Bfilter%5D%5B0%5D%5Boperator%5D=%21%3D&amp;hva%5B0%5D%5Bfilter%5D%5B0%5D%5Btype_id%5D=9427&amp;hva%5B0%5D%5Bfilter%5D%5B0%5D%5Bverdi%5D=&amp;hva%5B0%5D%5Bid%5D=25/når:2023-05-31", "Vegkart")</f>
        <v>Vegkart</v>
      </c>
      <c r="B1381">
        <v>159572260</v>
      </c>
      <c r="C1381">
        <v>25</v>
      </c>
      <c r="D1381" t="s">
        <v>4290</v>
      </c>
      <c r="E1381">
        <v>9427</v>
      </c>
      <c r="F1381" t="s">
        <v>23479</v>
      </c>
      <c r="G1381">
        <v>5</v>
      </c>
      <c r="H1381" t="s">
        <v>4298</v>
      </c>
      <c r="J1381" t="s">
        <v>4571</v>
      </c>
      <c r="K1381" t="s">
        <v>81</v>
      </c>
      <c r="L1381" t="s">
        <v>33</v>
      </c>
      <c r="M1381" t="s">
        <v>1884</v>
      </c>
      <c r="N1381" t="s">
        <v>4683</v>
      </c>
      <c r="O1381" t="s">
        <v>4684</v>
      </c>
      <c r="P1381" s="2" t="s">
        <v>37</v>
      </c>
      <c r="Q1381" t="s">
        <v>1208</v>
      </c>
      <c r="R1381">
        <v>0</v>
      </c>
      <c r="S1381">
        <v>11.53</v>
      </c>
      <c r="T1381" t="s">
        <v>4685</v>
      </c>
    </row>
    <row r="1382" spans="1:20" x14ac:dyDescent="0.25">
      <c r="A1382" s="1" t="str">
        <f>HYPERLINK("https://vegkart.atlas.vegvesen.no/#/@232207.1,6573592.7,18/hva:hva%5B0%5D%5Bfilter%5D%5B0%5D%5Boperator%5D=%21%3D&amp;hva%5B0%5D%5Bfilter%5D%5B0%5D%5Btype_id%5D=9427&amp;hva%5B0%5D%5Bfilter%5D%5B0%5D%5Bverdi%5D=&amp;hva%5B0%5D%5Bid%5D=25/når:2023-05-31", "Vegkart")</f>
        <v>Vegkart</v>
      </c>
      <c r="B1382">
        <v>159612894</v>
      </c>
      <c r="C1382">
        <v>25</v>
      </c>
      <c r="D1382" t="s">
        <v>4290</v>
      </c>
      <c r="E1382">
        <v>9427</v>
      </c>
      <c r="F1382" t="s">
        <v>23479</v>
      </c>
      <c r="G1382">
        <v>4</v>
      </c>
      <c r="H1382" t="s">
        <v>4298</v>
      </c>
      <c r="J1382" t="s">
        <v>4686</v>
      </c>
      <c r="K1382" t="s">
        <v>81</v>
      </c>
      <c r="L1382" t="s">
        <v>33</v>
      </c>
      <c r="M1382" t="s">
        <v>1812</v>
      </c>
      <c r="N1382" t="s">
        <v>4687</v>
      </c>
      <c r="O1382" t="s">
        <v>4688</v>
      </c>
      <c r="P1382" s="2" t="s">
        <v>37</v>
      </c>
      <c r="Q1382" t="s">
        <v>1208</v>
      </c>
      <c r="R1382">
        <v>0</v>
      </c>
      <c r="S1382">
        <v>10.26</v>
      </c>
      <c r="T1382" t="s">
        <v>4689</v>
      </c>
    </row>
    <row r="1383" spans="1:20" x14ac:dyDescent="0.25">
      <c r="A1383" s="1" t="str">
        <f>HYPERLINK("https://vegkart.atlas.vegvesen.no/#/@224783.3,6566214.9,18/hva:hva%5B0%5D%5Bfilter%5D%5B0%5D%5Boperator%5D=%21%3D&amp;hva%5B0%5D%5Bfilter%5D%5B0%5D%5Btype_id%5D=9427&amp;hva%5B0%5D%5Bfilter%5D%5B0%5D%5Bverdi%5D=&amp;hva%5B0%5D%5Bid%5D=25/når:2023-05-31", "Vegkart")</f>
        <v>Vegkart</v>
      </c>
      <c r="B1383">
        <v>159716098</v>
      </c>
      <c r="C1383">
        <v>25</v>
      </c>
      <c r="D1383" t="s">
        <v>4290</v>
      </c>
      <c r="E1383">
        <v>9427</v>
      </c>
      <c r="F1383" t="s">
        <v>23479</v>
      </c>
      <c r="G1383">
        <v>5</v>
      </c>
      <c r="H1383" t="s">
        <v>4298</v>
      </c>
      <c r="J1383" t="s">
        <v>4686</v>
      </c>
      <c r="K1383" t="s">
        <v>81</v>
      </c>
      <c r="L1383" t="s">
        <v>33</v>
      </c>
      <c r="M1383" t="s">
        <v>4333</v>
      </c>
      <c r="N1383" t="s">
        <v>4690</v>
      </c>
      <c r="O1383" t="s">
        <v>4691</v>
      </c>
      <c r="P1383" s="2" t="s">
        <v>37</v>
      </c>
      <c r="Q1383" t="s">
        <v>1208</v>
      </c>
      <c r="R1383">
        <v>0</v>
      </c>
      <c r="S1383">
        <v>13.76</v>
      </c>
      <c r="T1383" t="s">
        <v>4692</v>
      </c>
    </row>
    <row r="1384" spans="1:20" x14ac:dyDescent="0.25">
      <c r="A1384" s="1" t="str">
        <f>HYPERLINK("https://vegkart.atlas.vegvesen.no/#/@216144.6,6558260.8,18/hva:hva%5B0%5D%5Bfilter%5D%5B0%5D%5Boperator%5D=%21%3D&amp;hva%5B0%5D%5Bfilter%5D%5B0%5D%5Btype_id%5D=9427&amp;hva%5B0%5D%5Bfilter%5D%5B0%5D%5Bverdi%5D=&amp;hva%5B0%5D%5Bid%5D=25/når:2023-05-31", "Vegkart")</f>
        <v>Vegkart</v>
      </c>
      <c r="B1384">
        <v>163303576</v>
      </c>
      <c r="C1384">
        <v>25</v>
      </c>
      <c r="D1384" t="s">
        <v>4290</v>
      </c>
      <c r="E1384">
        <v>9427</v>
      </c>
      <c r="F1384" t="s">
        <v>23479</v>
      </c>
      <c r="G1384">
        <v>4</v>
      </c>
      <c r="H1384" t="s">
        <v>4298</v>
      </c>
      <c r="J1384" t="s">
        <v>4686</v>
      </c>
      <c r="K1384" t="s">
        <v>81</v>
      </c>
      <c r="L1384" t="s">
        <v>33</v>
      </c>
      <c r="M1384" t="s">
        <v>4693</v>
      </c>
      <c r="N1384" t="s">
        <v>4694</v>
      </c>
      <c r="O1384" t="s">
        <v>4695</v>
      </c>
      <c r="P1384" s="2" t="s">
        <v>37</v>
      </c>
      <c r="Q1384" t="s">
        <v>1208</v>
      </c>
      <c r="R1384">
        <v>0</v>
      </c>
      <c r="S1384">
        <v>12.67</v>
      </c>
      <c r="T1384" t="s">
        <v>4696</v>
      </c>
    </row>
    <row r="1385" spans="1:20" x14ac:dyDescent="0.25">
      <c r="A1385" s="1" t="str">
        <f>HYPERLINK("https://vegkart.atlas.vegvesen.no/#/@216137.9,6558283.1,18/hva:hva%5B0%5D%5Bfilter%5D%5B0%5D%5Boperator%5D=%21%3D&amp;hva%5B0%5D%5Bfilter%5D%5B0%5D%5Btype_id%5D=9427&amp;hva%5B0%5D%5Bfilter%5D%5B0%5D%5Bverdi%5D=&amp;hva%5B0%5D%5Bid%5D=25/når:2023-05-31", "Vegkart")</f>
        <v>Vegkart</v>
      </c>
      <c r="B1385">
        <v>163303577</v>
      </c>
      <c r="C1385">
        <v>25</v>
      </c>
      <c r="D1385" t="s">
        <v>4290</v>
      </c>
      <c r="E1385">
        <v>9427</v>
      </c>
      <c r="F1385" t="s">
        <v>23479</v>
      </c>
      <c r="G1385">
        <v>4</v>
      </c>
      <c r="H1385" t="s">
        <v>4298</v>
      </c>
      <c r="J1385" t="s">
        <v>4686</v>
      </c>
      <c r="K1385" t="s">
        <v>81</v>
      </c>
      <c r="L1385" t="s">
        <v>33</v>
      </c>
      <c r="M1385" t="s">
        <v>4693</v>
      </c>
      <c r="N1385" t="s">
        <v>4697</v>
      </c>
      <c r="O1385" t="s">
        <v>4698</v>
      </c>
      <c r="P1385" s="2" t="s">
        <v>37</v>
      </c>
      <c r="Q1385" t="s">
        <v>1208</v>
      </c>
      <c r="R1385">
        <v>0</v>
      </c>
      <c r="S1385">
        <v>15.58</v>
      </c>
      <c r="T1385" t="s">
        <v>4699</v>
      </c>
    </row>
    <row r="1386" spans="1:20" x14ac:dyDescent="0.25">
      <c r="A1386" s="1" t="str">
        <f>HYPERLINK("https://vegkart.atlas.vegvesen.no/#/@204828.5,6548351.4,18/hva:hva%5B0%5D%5Bfilter%5D%5B0%5D%5Boperator%5D=%21%3D&amp;hva%5B0%5D%5Bfilter%5D%5B0%5D%5Btype_id%5D=9427&amp;hva%5B0%5D%5Bfilter%5D%5B0%5D%5Bverdi%5D=&amp;hva%5B0%5D%5Bid%5D=25/når:2023-05-31", "Vegkart")</f>
        <v>Vegkart</v>
      </c>
      <c r="B1386">
        <v>168807697</v>
      </c>
      <c r="C1386">
        <v>25</v>
      </c>
      <c r="D1386" t="s">
        <v>4290</v>
      </c>
      <c r="E1386">
        <v>9427</v>
      </c>
      <c r="F1386" t="s">
        <v>23479</v>
      </c>
      <c r="G1386">
        <v>4</v>
      </c>
      <c r="H1386" t="s">
        <v>4298</v>
      </c>
      <c r="J1386" t="s">
        <v>4686</v>
      </c>
      <c r="K1386" t="s">
        <v>81</v>
      </c>
      <c r="L1386" t="s">
        <v>33</v>
      </c>
      <c r="M1386" t="s">
        <v>1892</v>
      </c>
      <c r="N1386" t="s">
        <v>4700</v>
      </c>
      <c r="O1386" t="s">
        <v>4701</v>
      </c>
      <c r="P1386" s="2" t="s">
        <v>37</v>
      </c>
      <c r="Q1386" t="s">
        <v>1208</v>
      </c>
      <c r="R1386">
        <v>0</v>
      </c>
      <c r="S1386">
        <v>14.25</v>
      </c>
      <c r="T1386" t="s">
        <v>4702</v>
      </c>
    </row>
    <row r="1387" spans="1:20" x14ac:dyDescent="0.25">
      <c r="A1387" s="1" t="str">
        <f>HYPERLINK("https://vegkart.atlas.vegvesen.no/#/@236075.4,6601459.6,18/hva:hva%5B0%5D%5Bfilter%5D%5B0%5D%5Boperator%5D=%21%3D&amp;hva%5B0%5D%5Bfilter%5D%5B0%5D%5Btype_id%5D=9427&amp;hva%5B0%5D%5Bfilter%5D%5B0%5D%5Bverdi%5D=&amp;hva%5B0%5D%5Bid%5D=25/når:2023-05-31", "Vegkart")</f>
        <v>Vegkart</v>
      </c>
      <c r="B1387">
        <v>245683835</v>
      </c>
      <c r="C1387">
        <v>25</v>
      </c>
      <c r="D1387" t="s">
        <v>4290</v>
      </c>
      <c r="E1387">
        <v>9427</v>
      </c>
      <c r="F1387" t="s">
        <v>23479</v>
      </c>
      <c r="G1387">
        <v>4</v>
      </c>
      <c r="H1387" t="s">
        <v>4298</v>
      </c>
      <c r="J1387" t="s">
        <v>4703</v>
      </c>
      <c r="K1387" t="s">
        <v>81</v>
      </c>
      <c r="L1387" t="s">
        <v>33</v>
      </c>
      <c r="M1387" t="s">
        <v>4704</v>
      </c>
      <c r="N1387" t="s">
        <v>4705</v>
      </c>
      <c r="O1387" t="s">
        <v>4706</v>
      </c>
      <c r="P1387" s="2" t="s">
        <v>37</v>
      </c>
      <c r="Q1387" t="s">
        <v>1208</v>
      </c>
      <c r="R1387">
        <v>0</v>
      </c>
      <c r="S1387">
        <v>9.85</v>
      </c>
      <c r="T1387" t="s">
        <v>4707</v>
      </c>
    </row>
    <row r="1388" spans="1:20" x14ac:dyDescent="0.25">
      <c r="A1388" s="1" t="str">
        <f>HYPERLINK("https://vegkart.atlas.vegvesen.no/#/@222391.2,6609272.4,18/hva:hva%5B0%5D%5Bfilter%5D%5B0%5D%5Boperator%5D=%21%3D&amp;hva%5B0%5D%5Bfilter%5D%5B0%5D%5Btype_id%5D=9427&amp;hva%5B0%5D%5Bfilter%5D%5B0%5D%5Bverdi%5D=&amp;hva%5B0%5D%5Bid%5D=25/når:2023-05-31", "Vegkart")</f>
        <v>Vegkart</v>
      </c>
      <c r="B1388">
        <v>245748252</v>
      </c>
      <c r="C1388">
        <v>25</v>
      </c>
      <c r="D1388" t="s">
        <v>4290</v>
      </c>
      <c r="E1388">
        <v>9427</v>
      </c>
      <c r="F1388" t="s">
        <v>23479</v>
      </c>
      <c r="G1388">
        <v>5</v>
      </c>
      <c r="H1388" t="s">
        <v>4298</v>
      </c>
      <c r="J1388" t="s">
        <v>4703</v>
      </c>
      <c r="K1388" t="s">
        <v>81</v>
      </c>
      <c r="L1388" t="s">
        <v>33</v>
      </c>
      <c r="M1388" t="s">
        <v>4708</v>
      </c>
      <c r="N1388" t="s">
        <v>4709</v>
      </c>
      <c r="O1388" t="s">
        <v>4710</v>
      </c>
      <c r="P1388" s="2" t="s">
        <v>165</v>
      </c>
      <c r="Q1388" t="s">
        <v>166</v>
      </c>
      <c r="R1388">
        <v>0</v>
      </c>
      <c r="S1388">
        <v>14.35</v>
      </c>
      <c r="T1388" t="s">
        <v>167</v>
      </c>
    </row>
    <row r="1389" spans="1:20" x14ac:dyDescent="0.25">
      <c r="A1389" s="1" t="str">
        <f>HYPERLINK("https://vegkart.atlas.vegvesen.no/#/@236008.2,6599147.2,18/hva:hva%5B0%5D%5Bfilter%5D%5B0%5D%5Boperator%5D=%21%3D&amp;hva%5B0%5D%5Bfilter%5D%5B0%5D%5Btype_id%5D=9427&amp;hva%5B0%5D%5Bfilter%5D%5B0%5D%5Bverdi%5D=&amp;hva%5B0%5D%5Bid%5D=25/når:2023-05-31", "Vegkart")</f>
        <v>Vegkart</v>
      </c>
      <c r="B1389">
        <v>245916874</v>
      </c>
      <c r="C1389">
        <v>25</v>
      </c>
      <c r="D1389" t="s">
        <v>4290</v>
      </c>
      <c r="E1389">
        <v>9427</v>
      </c>
      <c r="F1389" t="s">
        <v>23479</v>
      </c>
      <c r="G1389">
        <v>4</v>
      </c>
      <c r="H1389" t="s">
        <v>4298</v>
      </c>
      <c r="J1389" t="s">
        <v>4703</v>
      </c>
      <c r="K1389" t="s">
        <v>81</v>
      </c>
      <c r="L1389" t="s">
        <v>33</v>
      </c>
      <c r="M1389" t="s">
        <v>4711</v>
      </c>
      <c r="N1389" t="s">
        <v>4712</v>
      </c>
      <c r="O1389" t="s">
        <v>4713</v>
      </c>
      <c r="P1389" s="2" t="s">
        <v>37</v>
      </c>
      <c r="Q1389" t="s">
        <v>1208</v>
      </c>
      <c r="R1389">
        <v>0</v>
      </c>
      <c r="S1389">
        <v>12.37</v>
      </c>
      <c r="T1389" t="s">
        <v>4714</v>
      </c>
    </row>
    <row r="1390" spans="1:20" x14ac:dyDescent="0.25">
      <c r="A1390" s="1" t="str">
        <f>HYPERLINK("https://vegkart.atlas.vegvesen.no/#/@229855.3,6596053.6,18/hva:hva%5B0%5D%5Bfilter%5D%5B0%5D%5Boperator%5D=%21%3D&amp;hva%5B0%5D%5Bfilter%5D%5B0%5D%5Btype_id%5D=9427&amp;hva%5B0%5D%5Bfilter%5D%5B0%5D%5Bverdi%5D=&amp;hva%5B0%5D%5Bid%5D=25/når:2023-05-31", "Vegkart")</f>
        <v>Vegkart</v>
      </c>
      <c r="B1390">
        <v>245928473</v>
      </c>
      <c r="C1390">
        <v>25</v>
      </c>
      <c r="D1390" t="s">
        <v>4290</v>
      </c>
      <c r="E1390">
        <v>9427</v>
      </c>
      <c r="F1390" t="s">
        <v>23479</v>
      </c>
      <c r="G1390">
        <v>5</v>
      </c>
      <c r="H1390" t="s">
        <v>4298</v>
      </c>
      <c r="J1390" t="s">
        <v>4703</v>
      </c>
      <c r="K1390" t="s">
        <v>81</v>
      </c>
      <c r="L1390" t="s">
        <v>33</v>
      </c>
      <c r="M1390" t="s">
        <v>3298</v>
      </c>
      <c r="N1390" t="s">
        <v>4715</v>
      </c>
      <c r="O1390" t="s">
        <v>4716</v>
      </c>
      <c r="P1390" s="2" t="s">
        <v>37</v>
      </c>
      <c r="Q1390" t="s">
        <v>1208</v>
      </c>
      <c r="R1390">
        <v>0</v>
      </c>
      <c r="S1390">
        <v>10.5</v>
      </c>
      <c r="T1390" t="s">
        <v>4717</v>
      </c>
    </row>
    <row r="1391" spans="1:20" x14ac:dyDescent="0.25">
      <c r="A1391" s="1" t="str">
        <f>HYPERLINK("https://vegkart.atlas.vegvesen.no/#/@232022.8,6599371.1,18/hva:hva%5B0%5D%5Bfilter%5D%5B0%5D%5Boperator%5D=%21%3D&amp;hva%5B0%5D%5Bfilter%5D%5B0%5D%5Btype_id%5D=9427&amp;hva%5B0%5D%5Bfilter%5D%5B0%5D%5Bverdi%5D=&amp;hva%5B0%5D%5Bid%5D=25/når:2023-05-31", "Vegkart")</f>
        <v>Vegkart</v>
      </c>
      <c r="B1391">
        <v>246315495</v>
      </c>
      <c r="C1391">
        <v>25</v>
      </c>
      <c r="D1391" t="s">
        <v>4290</v>
      </c>
      <c r="E1391">
        <v>9427</v>
      </c>
      <c r="F1391" t="s">
        <v>23479</v>
      </c>
      <c r="G1391">
        <v>5</v>
      </c>
      <c r="H1391" t="s">
        <v>4298</v>
      </c>
      <c r="J1391" t="s">
        <v>4703</v>
      </c>
      <c r="K1391" t="s">
        <v>81</v>
      </c>
      <c r="L1391" t="s">
        <v>33</v>
      </c>
      <c r="M1391" t="s">
        <v>4320</v>
      </c>
      <c r="N1391" t="s">
        <v>4718</v>
      </c>
      <c r="O1391" t="s">
        <v>4719</v>
      </c>
      <c r="P1391" s="2" t="s">
        <v>165</v>
      </c>
      <c r="Q1391" t="s">
        <v>166</v>
      </c>
      <c r="R1391">
        <v>0.1</v>
      </c>
      <c r="S1391">
        <v>14.69</v>
      </c>
      <c r="T1391" t="s">
        <v>167</v>
      </c>
    </row>
    <row r="1392" spans="1:20" x14ac:dyDescent="0.25">
      <c r="A1392" s="1" t="str">
        <f>HYPERLINK("https://vegkart.atlas.vegvesen.no/#/@214178.2,6595575.3,18/hva:hva%5B0%5D%5Bfilter%5D%5B0%5D%5Boperator%5D=%21%3D&amp;hva%5B0%5D%5Bfilter%5D%5B0%5D%5Btype_id%5D=9427&amp;hva%5B0%5D%5Bfilter%5D%5B0%5D%5Bverdi%5D=&amp;hva%5B0%5D%5Bid%5D=25/når:2023-05-31", "Vegkart")</f>
        <v>Vegkart</v>
      </c>
      <c r="B1392">
        <v>250245026</v>
      </c>
      <c r="C1392">
        <v>25</v>
      </c>
      <c r="D1392" t="s">
        <v>4290</v>
      </c>
      <c r="E1392">
        <v>9427</v>
      </c>
      <c r="F1392" t="s">
        <v>23479</v>
      </c>
      <c r="G1392">
        <v>4</v>
      </c>
      <c r="H1392" t="s">
        <v>4298</v>
      </c>
      <c r="J1392" t="s">
        <v>4703</v>
      </c>
      <c r="K1392" t="s">
        <v>81</v>
      </c>
      <c r="L1392" t="s">
        <v>33</v>
      </c>
      <c r="M1392" t="s">
        <v>4720</v>
      </c>
      <c r="N1392" t="s">
        <v>4721</v>
      </c>
      <c r="O1392" t="s">
        <v>4722</v>
      </c>
      <c r="P1392" s="2" t="s">
        <v>37</v>
      </c>
      <c r="Q1392" t="s">
        <v>1208</v>
      </c>
      <c r="R1392">
        <v>0</v>
      </c>
      <c r="S1392">
        <v>15.02</v>
      </c>
      <c r="T1392" t="s">
        <v>4723</v>
      </c>
    </row>
    <row r="1393" spans="1:20" x14ac:dyDescent="0.25">
      <c r="A1393" s="1" t="str">
        <f>HYPERLINK("https://vegkart.atlas.vegvesen.no/#/@227119.5,6606319.3,18/hva:hva%5B0%5D%5Bfilter%5D%5B0%5D%5Boperator%5D=%21%3D&amp;hva%5B0%5D%5Bfilter%5D%5B0%5D%5Btype_id%5D=9427&amp;hva%5B0%5D%5Bfilter%5D%5B0%5D%5Bverdi%5D=&amp;hva%5B0%5D%5Bid%5D=25/når:2023-05-31", "Vegkart")</f>
        <v>Vegkart</v>
      </c>
      <c r="B1393">
        <v>251865856</v>
      </c>
      <c r="C1393">
        <v>25</v>
      </c>
      <c r="D1393" t="s">
        <v>4290</v>
      </c>
      <c r="E1393">
        <v>9427</v>
      </c>
      <c r="F1393" t="s">
        <v>23479</v>
      </c>
      <c r="G1393">
        <v>5</v>
      </c>
      <c r="H1393" t="s">
        <v>4298</v>
      </c>
      <c r="J1393" t="s">
        <v>4703</v>
      </c>
      <c r="K1393" t="s">
        <v>81</v>
      </c>
      <c r="L1393" t="s">
        <v>33</v>
      </c>
      <c r="M1393" t="s">
        <v>132</v>
      </c>
      <c r="N1393" t="s">
        <v>4724</v>
      </c>
      <c r="O1393" t="s">
        <v>4725</v>
      </c>
      <c r="P1393" s="2" t="s">
        <v>165</v>
      </c>
      <c r="Q1393" t="s">
        <v>166</v>
      </c>
      <c r="R1393">
        <v>0</v>
      </c>
      <c r="S1393">
        <v>10.19</v>
      </c>
      <c r="T1393" t="s">
        <v>167</v>
      </c>
    </row>
    <row r="1394" spans="1:20" x14ac:dyDescent="0.25">
      <c r="A1394" s="1" t="str">
        <f>HYPERLINK("https://vegkart.atlas.vegvesen.no/#/@57079.1,6811143.2,18/hva:hva%5B0%5D%5Bfilter%5D%5B0%5D%5Boperator%5D=%21%3D&amp;hva%5B0%5D%5Bfilter%5D%5B0%5D%5Btype_id%5D=9427&amp;hva%5B0%5D%5Bfilter%5D%5B0%5D%5Bverdi%5D=&amp;hva%5B0%5D%5Bid%5D=25/når:2021-01-06", "Vegkart")</f>
        <v>Vegkart</v>
      </c>
      <c r="B1394">
        <v>256080855</v>
      </c>
      <c r="C1394">
        <v>25</v>
      </c>
      <c r="D1394" t="s">
        <v>4290</v>
      </c>
      <c r="E1394">
        <v>9427</v>
      </c>
      <c r="F1394" t="s">
        <v>23479</v>
      </c>
      <c r="G1394">
        <v>4</v>
      </c>
      <c r="H1394" t="s">
        <v>4726</v>
      </c>
      <c r="J1394" t="s">
        <v>4727</v>
      </c>
      <c r="K1394" t="s">
        <v>21</v>
      </c>
      <c r="L1394" t="s">
        <v>113</v>
      </c>
      <c r="M1394" t="s">
        <v>114</v>
      </c>
      <c r="N1394" t="s">
        <v>4728</v>
      </c>
      <c r="O1394" t="s">
        <v>4729</v>
      </c>
      <c r="P1394" s="2" t="s">
        <v>165</v>
      </c>
      <c r="Q1394" t="s">
        <v>311</v>
      </c>
      <c r="R1394">
        <v>17.850000000000001</v>
      </c>
      <c r="S1394">
        <v>18.7</v>
      </c>
      <c r="T1394" t="s">
        <v>167</v>
      </c>
    </row>
    <row r="1395" spans="1:20" x14ac:dyDescent="0.25">
      <c r="A1395" s="1" t="str">
        <f>HYPERLINK("https://vegkart.atlas.vegvesen.no/#/@238188.3,6580264.7,18/hva:hva%5B0%5D%5Bfilter%5D%5B0%5D%5Boperator%5D=%21%3D&amp;hva%5B0%5D%5Bfilter%5D%5B0%5D%5Btype_id%5D=9427&amp;hva%5B0%5D%5Bfilter%5D%5B0%5D%5Bverdi%5D=&amp;hva%5B0%5D%5Bid%5D=25/når:2023-05-31", "Vegkart")</f>
        <v>Vegkart</v>
      </c>
      <c r="B1395">
        <v>276798884</v>
      </c>
      <c r="C1395">
        <v>25</v>
      </c>
      <c r="D1395" t="s">
        <v>4290</v>
      </c>
      <c r="E1395">
        <v>9427</v>
      </c>
      <c r="F1395" t="s">
        <v>23479</v>
      </c>
      <c r="G1395">
        <v>3</v>
      </c>
      <c r="H1395" t="s">
        <v>4298</v>
      </c>
      <c r="J1395" t="s">
        <v>4727</v>
      </c>
      <c r="K1395" t="s">
        <v>81</v>
      </c>
      <c r="L1395" t="s">
        <v>33</v>
      </c>
      <c r="M1395" t="s">
        <v>4353</v>
      </c>
      <c r="N1395" t="s">
        <v>4730</v>
      </c>
      <c r="O1395" t="s">
        <v>4731</v>
      </c>
      <c r="P1395" s="2" t="s">
        <v>37</v>
      </c>
      <c r="Q1395" t="s">
        <v>1208</v>
      </c>
      <c r="R1395">
        <v>0</v>
      </c>
      <c r="S1395">
        <v>15.26</v>
      </c>
      <c r="T1395" t="s">
        <v>4732</v>
      </c>
    </row>
    <row r="1396" spans="1:20" x14ac:dyDescent="0.25">
      <c r="A1396" s="1" t="str">
        <f>HYPERLINK("https://vegkart.atlas.vegvesen.no/#/@238209.6,6580226.9,18/hva:hva%5B0%5D%5Bfilter%5D%5B0%5D%5Boperator%5D=%21%3D&amp;hva%5B0%5D%5Bfilter%5D%5B0%5D%5Btype_id%5D=9427&amp;hva%5B0%5D%5Bfilter%5D%5B0%5D%5Bverdi%5D=&amp;hva%5B0%5D%5Bid%5D=25/når:2023-05-31", "Vegkart")</f>
        <v>Vegkart</v>
      </c>
      <c r="B1396">
        <v>276798891</v>
      </c>
      <c r="C1396">
        <v>25</v>
      </c>
      <c r="D1396" t="s">
        <v>4290</v>
      </c>
      <c r="E1396">
        <v>9427</v>
      </c>
      <c r="F1396" t="s">
        <v>23479</v>
      </c>
      <c r="G1396">
        <v>3</v>
      </c>
      <c r="H1396" t="s">
        <v>4298</v>
      </c>
      <c r="J1396" t="s">
        <v>4727</v>
      </c>
      <c r="K1396" t="s">
        <v>81</v>
      </c>
      <c r="L1396" t="s">
        <v>33</v>
      </c>
      <c r="M1396" t="s">
        <v>4353</v>
      </c>
      <c r="N1396" t="s">
        <v>4733</v>
      </c>
      <c r="O1396" t="s">
        <v>4734</v>
      </c>
      <c r="P1396" s="2" t="s">
        <v>37</v>
      </c>
      <c r="Q1396" t="s">
        <v>1208</v>
      </c>
      <c r="R1396">
        <v>0</v>
      </c>
      <c r="S1396">
        <v>14.36</v>
      </c>
      <c r="T1396" t="s">
        <v>4735</v>
      </c>
    </row>
    <row r="1397" spans="1:20" x14ac:dyDescent="0.25">
      <c r="A1397" s="1" t="str">
        <f>HYPERLINK("https://vegkart.atlas.vegvesen.no/#/@242067.6,6597140.1,18/hva:hva%5B0%5D%5Bfilter%5D%5B0%5D%5Boperator%5D=%21%3D&amp;hva%5B0%5D%5Bfilter%5D%5B0%5D%5Btype_id%5D=9427&amp;hva%5B0%5D%5Bfilter%5D%5B0%5D%5Bverdi%5D=&amp;hva%5B0%5D%5Bid%5D=25/når:2023-05-31", "Vegkart")</f>
        <v>Vegkart</v>
      </c>
      <c r="B1397">
        <v>279259963</v>
      </c>
      <c r="C1397">
        <v>25</v>
      </c>
      <c r="D1397" t="s">
        <v>4290</v>
      </c>
      <c r="E1397">
        <v>9427</v>
      </c>
      <c r="F1397" t="s">
        <v>23479</v>
      </c>
      <c r="G1397">
        <v>4</v>
      </c>
      <c r="H1397" t="s">
        <v>4298</v>
      </c>
      <c r="J1397" t="s">
        <v>4727</v>
      </c>
      <c r="K1397" t="s">
        <v>81</v>
      </c>
      <c r="L1397" t="s">
        <v>33</v>
      </c>
      <c r="M1397" t="s">
        <v>1909</v>
      </c>
      <c r="N1397" t="s">
        <v>4736</v>
      </c>
      <c r="O1397" t="s">
        <v>4737</v>
      </c>
      <c r="P1397" s="2" t="s">
        <v>37</v>
      </c>
      <c r="Q1397" t="s">
        <v>1208</v>
      </c>
      <c r="R1397">
        <v>0</v>
      </c>
      <c r="S1397">
        <v>13.24</v>
      </c>
      <c r="T1397" t="s">
        <v>4738</v>
      </c>
    </row>
    <row r="1398" spans="1:20" x14ac:dyDescent="0.25">
      <c r="A1398" s="1" t="str">
        <f>HYPERLINK("https://vegkart.atlas.vegvesen.no/#/@242093.2,6597130.4,18/hva:hva%5B0%5D%5Bfilter%5D%5B0%5D%5Boperator%5D=%21%3D&amp;hva%5B0%5D%5Bfilter%5D%5B0%5D%5Btype_id%5D=9427&amp;hva%5B0%5D%5Bfilter%5D%5B0%5D%5Bverdi%5D=&amp;hva%5B0%5D%5Bid%5D=25/når:2023-05-31", "Vegkart")</f>
        <v>Vegkart</v>
      </c>
      <c r="B1398">
        <v>279259970</v>
      </c>
      <c r="C1398">
        <v>25</v>
      </c>
      <c r="D1398" t="s">
        <v>4290</v>
      </c>
      <c r="E1398">
        <v>9427</v>
      </c>
      <c r="F1398" t="s">
        <v>23479</v>
      </c>
      <c r="G1398">
        <v>4</v>
      </c>
      <c r="H1398" t="s">
        <v>4298</v>
      </c>
      <c r="J1398" t="s">
        <v>4727</v>
      </c>
      <c r="K1398" t="s">
        <v>81</v>
      </c>
      <c r="L1398" t="s">
        <v>33</v>
      </c>
      <c r="M1398" t="s">
        <v>1909</v>
      </c>
      <c r="N1398" t="s">
        <v>4739</v>
      </c>
      <c r="O1398" t="s">
        <v>4740</v>
      </c>
      <c r="P1398" s="2" t="s">
        <v>37</v>
      </c>
      <c r="Q1398" t="s">
        <v>1208</v>
      </c>
      <c r="R1398">
        <v>0</v>
      </c>
      <c r="S1398">
        <v>13.48</v>
      </c>
      <c r="T1398" t="s">
        <v>4741</v>
      </c>
    </row>
    <row r="1399" spans="1:20" x14ac:dyDescent="0.25">
      <c r="A1399" s="1" t="str">
        <f>HYPERLINK("https://vegkart.atlas.vegvesen.no/#/@241332.9,6579349.6,18/hva:hva%5B0%5D%5Bfilter%5D%5B0%5D%5Boperator%5D=%21%3D&amp;hva%5B0%5D%5Bfilter%5D%5B0%5D%5Btype_id%5D=9427&amp;hva%5B0%5D%5Bfilter%5D%5B0%5D%5Bverdi%5D=&amp;hva%5B0%5D%5Bid%5D=25/når:2023-05-31", "Vegkart")</f>
        <v>Vegkart</v>
      </c>
      <c r="B1399">
        <v>286279042</v>
      </c>
      <c r="C1399">
        <v>25</v>
      </c>
      <c r="D1399" t="s">
        <v>4290</v>
      </c>
      <c r="E1399">
        <v>9427</v>
      </c>
      <c r="F1399" t="s">
        <v>23479</v>
      </c>
      <c r="G1399">
        <v>3</v>
      </c>
      <c r="H1399" t="s">
        <v>4298</v>
      </c>
      <c r="J1399" t="s">
        <v>4742</v>
      </c>
      <c r="K1399" t="s">
        <v>81</v>
      </c>
      <c r="L1399" t="s">
        <v>33</v>
      </c>
      <c r="M1399" t="s">
        <v>1916</v>
      </c>
      <c r="N1399" t="s">
        <v>4743</v>
      </c>
      <c r="O1399" t="s">
        <v>4744</v>
      </c>
      <c r="P1399" s="2" t="s">
        <v>37</v>
      </c>
      <c r="Q1399" t="s">
        <v>1208</v>
      </c>
      <c r="R1399">
        <v>0</v>
      </c>
      <c r="S1399">
        <v>13.63</v>
      </c>
      <c r="T1399" t="s">
        <v>4745</v>
      </c>
    </row>
    <row r="1400" spans="1:20" x14ac:dyDescent="0.25">
      <c r="A1400" s="1" t="str">
        <f>HYPERLINK("https://vegkart.atlas.vegvesen.no/#/@242047.9,6579134.8,18/hva:hva%5B0%5D%5Bfilter%5D%5B0%5D%5Boperator%5D=%21%3D&amp;hva%5B0%5D%5Bfilter%5D%5B0%5D%5Btype_id%5D=9427&amp;hva%5B0%5D%5Bfilter%5D%5B0%5D%5Bverdi%5D=&amp;hva%5B0%5D%5Bid%5D=25/når:2023-05-31", "Vegkart")</f>
        <v>Vegkart</v>
      </c>
      <c r="B1400">
        <v>286279134</v>
      </c>
      <c r="C1400">
        <v>25</v>
      </c>
      <c r="D1400" t="s">
        <v>4290</v>
      </c>
      <c r="E1400">
        <v>9427</v>
      </c>
      <c r="F1400" t="s">
        <v>23479</v>
      </c>
      <c r="G1400">
        <v>4</v>
      </c>
      <c r="H1400" t="s">
        <v>4298</v>
      </c>
      <c r="J1400" t="s">
        <v>4742</v>
      </c>
      <c r="K1400" t="s">
        <v>81</v>
      </c>
      <c r="L1400" t="s">
        <v>33</v>
      </c>
      <c r="M1400" t="s">
        <v>1916</v>
      </c>
      <c r="N1400" t="s">
        <v>4746</v>
      </c>
      <c r="O1400" t="s">
        <v>4747</v>
      </c>
      <c r="P1400" s="2" t="s">
        <v>37</v>
      </c>
      <c r="Q1400" t="s">
        <v>1208</v>
      </c>
      <c r="R1400">
        <v>0</v>
      </c>
      <c r="S1400">
        <v>10.220000000000001</v>
      </c>
      <c r="T1400" t="s">
        <v>4748</v>
      </c>
    </row>
    <row r="1401" spans="1:20" x14ac:dyDescent="0.25">
      <c r="A1401" s="1" t="str">
        <f>HYPERLINK("https://vegkart.atlas.vegvesen.no/#/@242330.6,6579050.0,18/hva:hva%5B0%5D%5Bfilter%5D%5B0%5D%5Boperator%5D=%21%3D&amp;hva%5B0%5D%5Bfilter%5D%5B0%5D%5Btype_id%5D=9427&amp;hva%5B0%5D%5Bfilter%5D%5B0%5D%5Bverdi%5D=&amp;hva%5B0%5D%5Bid%5D=25/når:2023-05-31", "Vegkart")</f>
        <v>Vegkart</v>
      </c>
      <c r="B1401">
        <v>286279169</v>
      </c>
      <c r="C1401">
        <v>25</v>
      </c>
      <c r="D1401" t="s">
        <v>4290</v>
      </c>
      <c r="E1401">
        <v>9427</v>
      </c>
      <c r="F1401" t="s">
        <v>23479</v>
      </c>
      <c r="G1401">
        <v>4</v>
      </c>
      <c r="H1401" t="s">
        <v>4298</v>
      </c>
      <c r="J1401" t="s">
        <v>4742</v>
      </c>
      <c r="K1401" t="s">
        <v>81</v>
      </c>
      <c r="L1401" t="s">
        <v>33</v>
      </c>
      <c r="M1401" t="s">
        <v>1916</v>
      </c>
      <c r="N1401" t="s">
        <v>4749</v>
      </c>
      <c r="O1401" t="s">
        <v>4750</v>
      </c>
      <c r="P1401" s="2" t="s">
        <v>37</v>
      </c>
      <c r="Q1401" t="s">
        <v>1208</v>
      </c>
      <c r="R1401">
        <v>0</v>
      </c>
      <c r="S1401">
        <v>8.7200000000000006</v>
      </c>
      <c r="T1401" t="s">
        <v>4751</v>
      </c>
    </row>
    <row r="1402" spans="1:20" x14ac:dyDescent="0.25">
      <c r="A1402" s="1" t="str">
        <f>HYPERLINK("https://vegkart.atlas.vegvesen.no/#/@239711.7,6579455.6,18/hva:hva%5B0%5D%5Bfilter%5D%5B0%5D%5Boperator%5D=%21%3D&amp;hva%5B0%5D%5Bfilter%5D%5B0%5D%5Btype_id%5D=9427&amp;hva%5B0%5D%5Bfilter%5D%5B0%5D%5Bverdi%5D=&amp;hva%5B0%5D%5Bid%5D=25/når:2023-05-31", "Vegkart")</f>
        <v>Vegkart</v>
      </c>
      <c r="B1402">
        <v>286447846</v>
      </c>
      <c r="C1402">
        <v>25</v>
      </c>
      <c r="D1402" t="s">
        <v>4290</v>
      </c>
      <c r="E1402">
        <v>9427</v>
      </c>
      <c r="F1402" t="s">
        <v>23479</v>
      </c>
      <c r="G1402">
        <v>3</v>
      </c>
      <c r="H1402" t="s">
        <v>4298</v>
      </c>
      <c r="J1402" t="s">
        <v>4742</v>
      </c>
      <c r="K1402" t="s">
        <v>81</v>
      </c>
      <c r="L1402" t="s">
        <v>33</v>
      </c>
      <c r="M1402" t="s">
        <v>4349</v>
      </c>
      <c r="N1402" t="s">
        <v>4752</v>
      </c>
      <c r="O1402" t="s">
        <v>4753</v>
      </c>
      <c r="P1402" s="2" t="s">
        <v>37</v>
      </c>
      <c r="Q1402" t="s">
        <v>1208</v>
      </c>
      <c r="R1402">
        <v>0</v>
      </c>
      <c r="S1402">
        <v>11.55</v>
      </c>
      <c r="T1402" t="s">
        <v>4754</v>
      </c>
    </row>
    <row r="1403" spans="1:20" x14ac:dyDescent="0.25">
      <c r="A1403" s="1" t="str">
        <f>HYPERLINK("https://vegkart.atlas.vegvesen.no/#/@238849.5,6577020.1,18/hva:hva%5B0%5D%5Bfilter%5D%5B0%5D%5Boperator%5D=%21%3D&amp;hva%5B0%5D%5Bfilter%5D%5B0%5D%5Btype_id%5D=9427&amp;hva%5B0%5D%5Bfilter%5D%5B0%5D%5Bverdi%5D=&amp;hva%5B0%5D%5Bid%5D=25/når:2023-05-31", "Vegkart")</f>
        <v>Vegkart</v>
      </c>
      <c r="B1403">
        <v>286665808</v>
      </c>
      <c r="C1403">
        <v>25</v>
      </c>
      <c r="D1403" t="s">
        <v>4290</v>
      </c>
      <c r="E1403">
        <v>9427</v>
      </c>
      <c r="F1403" t="s">
        <v>23479</v>
      </c>
      <c r="G1403">
        <v>3</v>
      </c>
      <c r="H1403" t="s">
        <v>4298</v>
      </c>
      <c r="J1403" t="s">
        <v>4742</v>
      </c>
      <c r="K1403" t="s">
        <v>81</v>
      </c>
      <c r="L1403" t="s">
        <v>33</v>
      </c>
      <c r="M1403" t="s">
        <v>1926</v>
      </c>
      <c r="N1403" t="s">
        <v>4755</v>
      </c>
      <c r="O1403" t="s">
        <v>4756</v>
      </c>
      <c r="P1403" s="2" t="s">
        <v>37</v>
      </c>
      <c r="Q1403" t="s">
        <v>1208</v>
      </c>
      <c r="R1403">
        <v>0</v>
      </c>
      <c r="S1403">
        <v>13.89</v>
      </c>
      <c r="T1403" t="s">
        <v>4757</v>
      </c>
    </row>
    <row r="1404" spans="1:20" x14ac:dyDescent="0.25">
      <c r="A1404" s="1" t="str">
        <f>HYPERLINK("https://vegkart.atlas.vegvesen.no/#/@239150.4,6575604.9,18/hva:hva%5B0%5D%5Bfilter%5D%5B0%5D%5Boperator%5D=%21%3D&amp;hva%5B0%5D%5Bfilter%5D%5B0%5D%5Btype_id%5D=9427&amp;hva%5B0%5D%5Bfilter%5D%5B0%5D%5Bverdi%5D=&amp;hva%5B0%5D%5Bid%5D=25/når:2023-05-31", "Vegkart")</f>
        <v>Vegkart</v>
      </c>
      <c r="B1404">
        <v>287277399</v>
      </c>
      <c r="C1404">
        <v>25</v>
      </c>
      <c r="D1404" t="s">
        <v>4290</v>
      </c>
      <c r="E1404">
        <v>9427</v>
      </c>
      <c r="F1404" t="s">
        <v>23479</v>
      </c>
      <c r="G1404">
        <v>4</v>
      </c>
      <c r="H1404" t="s">
        <v>4298</v>
      </c>
      <c r="J1404" t="s">
        <v>4742</v>
      </c>
      <c r="K1404" t="s">
        <v>81</v>
      </c>
      <c r="L1404" t="s">
        <v>33</v>
      </c>
      <c r="M1404" t="s">
        <v>1926</v>
      </c>
      <c r="N1404" t="s">
        <v>4758</v>
      </c>
      <c r="O1404" t="s">
        <v>4759</v>
      </c>
      <c r="P1404" s="2" t="s">
        <v>37</v>
      </c>
      <c r="Q1404" t="s">
        <v>1208</v>
      </c>
      <c r="R1404">
        <v>0</v>
      </c>
      <c r="S1404">
        <v>14.14</v>
      </c>
      <c r="T1404" t="s">
        <v>4760</v>
      </c>
    </row>
    <row r="1405" spans="1:20" x14ac:dyDescent="0.25">
      <c r="A1405" s="1" t="str">
        <f>HYPERLINK("https://vegkart.atlas.vegvesen.no/#/@240118.4,6571450.3,18/hva:hva%5B0%5D%5Bfilter%5D%5B0%5D%5Boperator%5D=%21%3D&amp;hva%5B0%5D%5Bfilter%5D%5B0%5D%5Btype_id%5D=9427&amp;hva%5B0%5D%5Bfilter%5D%5B0%5D%5Bverdi%5D=&amp;hva%5B0%5D%5Bid%5D=25/når:2023-05-31", "Vegkart")</f>
        <v>Vegkart</v>
      </c>
      <c r="B1405">
        <v>287277601</v>
      </c>
      <c r="C1405">
        <v>25</v>
      </c>
      <c r="D1405" t="s">
        <v>4290</v>
      </c>
      <c r="E1405">
        <v>9427</v>
      </c>
      <c r="F1405" t="s">
        <v>23479</v>
      </c>
      <c r="G1405">
        <v>3</v>
      </c>
      <c r="H1405" t="s">
        <v>4298</v>
      </c>
      <c r="J1405" t="s">
        <v>4742</v>
      </c>
      <c r="K1405" t="s">
        <v>81</v>
      </c>
      <c r="L1405" t="s">
        <v>33</v>
      </c>
      <c r="M1405" t="s">
        <v>1926</v>
      </c>
      <c r="N1405" t="s">
        <v>4761</v>
      </c>
      <c r="O1405" t="s">
        <v>4762</v>
      </c>
      <c r="P1405" s="2" t="s">
        <v>37</v>
      </c>
      <c r="Q1405" t="s">
        <v>1208</v>
      </c>
      <c r="R1405">
        <v>0</v>
      </c>
      <c r="S1405">
        <v>10.57</v>
      </c>
      <c r="T1405" t="s">
        <v>4763</v>
      </c>
    </row>
    <row r="1406" spans="1:20" x14ac:dyDescent="0.25">
      <c r="A1406" s="1" t="str">
        <f>HYPERLINK("https://vegkart.atlas.vegvesen.no/#/@236333.9,6562003.8,18/hva:hva%5B0%5D%5Bfilter%5D%5B0%5D%5Boperator%5D=%21%3D&amp;hva%5B0%5D%5Bfilter%5D%5B0%5D%5Btype_id%5D=9427&amp;hva%5B0%5D%5Bfilter%5D%5B0%5D%5Bverdi%5D=&amp;hva%5B0%5D%5Bid%5D=25/når:2023-05-31", "Vegkart")</f>
        <v>Vegkart</v>
      </c>
      <c r="B1406">
        <v>287483398</v>
      </c>
      <c r="C1406">
        <v>25</v>
      </c>
      <c r="D1406" t="s">
        <v>4290</v>
      </c>
      <c r="E1406">
        <v>9427</v>
      </c>
      <c r="F1406" t="s">
        <v>23479</v>
      </c>
      <c r="G1406">
        <v>4</v>
      </c>
      <c r="H1406" t="s">
        <v>4298</v>
      </c>
      <c r="J1406" t="s">
        <v>4742</v>
      </c>
      <c r="K1406" t="s">
        <v>81</v>
      </c>
      <c r="L1406" t="s">
        <v>33</v>
      </c>
      <c r="M1406" t="s">
        <v>1936</v>
      </c>
      <c r="N1406" t="s">
        <v>4764</v>
      </c>
      <c r="O1406" t="s">
        <v>4765</v>
      </c>
      <c r="P1406" s="2" t="s">
        <v>37</v>
      </c>
      <c r="Q1406" t="s">
        <v>1208</v>
      </c>
      <c r="R1406">
        <v>0</v>
      </c>
      <c r="S1406">
        <v>10.82</v>
      </c>
      <c r="T1406" t="s">
        <v>4766</v>
      </c>
    </row>
    <row r="1407" spans="1:20" x14ac:dyDescent="0.25">
      <c r="A1407" s="1" t="str">
        <f>HYPERLINK("https://vegkart.atlas.vegvesen.no/#/@237155.4,6564974.1,18/hva:hva%5B0%5D%5Bfilter%5D%5B0%5D%5Boperator%5D=%21%3D&amp;hva%5B0%5D%5Bfilter%5D%5B0%5D%5Btype_id%5D=9427&amp;hva%5B0%5D%5Bfilter%5D%5B0%5D%5Bverdi%5D=&amp;hva%5B0%5D%5Bid%5D=25/når:2023-05-31", "Vegkart")</f>
        <v>Vegkart</v>
      </c>
      <c r="B1407">
        <v>287483452</v>
      </c>
      <c r="C1407">
        <v>25</v>
      </c>
      <c r="D1407" t="s">
        <v>4290</v>
      </c>
      <c r="E1407">
        <v>9427</v>
      </c>
      <c r="F1407" t="s">
        <v>23479</v>
      </c>
      <c r="G1407">
        <v>3</v>
      </c>
      <c r="H1407" t="s">
        <v>4298</v>
      </c>
      <c r="J1407" t="s">
        <v>4742</v>
      </c>
      <c r="K1407" t="s">
        <v>81</v>
      </c>
      <c r="L1407" t="s">
        <v>33</v>
      </c>
      <c r="M1407" t="s">
        <v>1936</v>
      </c>
      <c r="N1407" t="s">
        <v>4767</v>
      </c>
      <c r="O1407" t="s">
        <v>4768</v>
      </c>
      <c r="P1407" s="2" t="s">
        <v>37</v>
      </c>
      <c r="Q1407" t="s">
        <v>1208</v>
      </c>
      <c r="R1407">
        <v>0</v>
      </c>
      <c r="S1407">
        <v>12.13</v>
      </c>
      <c r="T1407" t="s">
        <v>4769</v>
      </c>
    </row>
    <row r="1408" spans="1:20" x14ac:dyDescent="0.25">
      <c r="A1408" s="1" t="str">
        <f>HYPERLINK("https://vegkart.atlas.vegvesen.no/#/@237073.1,6565146.9,18/hva:hva%5B0%5D%5Bfilter%5D%5B0%5D%5Boperator%5D=%21%3D&amp;hva%5B0%5D%5Bfilter%5D%5B0%5D%5Btype_id%5D=9427&amp;hva%5B0%5D%5Bfilter%5D%5B0%5D%5Bverdi%5D=&amp;hva%5B0%5D%5Bid%5D=25/når:2023-05-31", "Vegkart")</f>
        <v>Vegkart</v>
      </c>
      <c r="B1408">
        <v>287483454</v>
      </c>
      <c r="C1408">
        <v>25</v>
      </c>
      <c r="D1408" t="s">
        <v>4290</v>
      </c>
      <c r="E1408">
        <v>9427</v>
      </c>
      <c r="F1408" t="s">
        <v>23479</v>
      </c>
      <c r="G1408">
        <v>4</v>
      </c>
      <c r="H1408" t="s">
        <v>4298</v>
      </c>
      <c r="J1408" t="s">
        <v>4742</v>
      </c>
      <c r="K1408" t="s">
        <v>81</v>
      </c>
      <c r="L1408" t="s">
        <v>33</v>
      </c>
      <c r="M1408" t="s">
        <v>1936</v>
      </c>
      <c r="N1408" t="s">
        <v>4770</v>
      </c>
      <c r="O1408" t="s">
        <v>4771</v>
      </c>
      <c r="P1408" s="2" t="s">
        <v>37</v>
      </c>
      <c r="Q1408" t="s">
        <v>1208</v>
      </c>
      <c r="R1408">
        <v>0</v>
      </c>
      <c r="S1408">
        <v>11.53</v>
      </c>
      <c r="T1408" t="s">
        <v>4772</v>
      </c>
    </row>
    <row r="1409" spans="1:20" x14ac:dyDescent="0.25">
      <c r="A1409" s="1" t="str">
        <f>HYPERLINK("https://vegkart.atlas.vegvesen.no/#/@238083.6,6559985.8,18/hva:hva%5B0%5D%5Bfilter%5D%5B0%5D%5Boperator%5D=%21%3D&amp;hva%5B0%5D%5Bfilter%5D%5B0%5D%5Btype_id%5D=9427&amp;hva%5B0%5D%5Bfilter%5D%5B0%5D%5Bverdi%5D=&amp;hva%5B0%5D%5Bid%5D=25/når:2023-05-31", "Vegkart")</f>
        <v>Vegkart</v>
      </c>
      <c r="B1409">
        <v>287483640</v>
      </c>
      <c r="C1409">
        <v>25</v>
      </c>
      <c r="D1409" t="s">
        <v>4290</v>
      </c>
      <c r="E1409">
        <v>9427</v>
      </c>
      <c r="F1409" t="s">
        <v>23479</v>
      </c>
      <c r="G1409">
        <v>4</v>
      </c>
      <c r="H1409" t="s">
        <v>4298</v>
      </c>
      <c r="J1409" t="s">
        <v>4742</v>
      </c>
      <c r="K1409" t="s">
        <v>81</v>
      </c>
      <c r="L1409" t="s">
        <v>33</v>
      </c>
      <c r="M1409" t="s">
        <v>4486</v>
      </c>
      <c r="N1409" t="s">
        <v>4773</v>
      </c>
      <c r="O1409" t="s">
        <v>4774</v>
      </c>
      <c r="P1409" s="2" t="s">
        <v>37</v>
      </c>
      <c r="Q1409" t="s">
        <v>1208</v>
      </c>
      <c r="R1409">
        <v>0</v>
      </c>
      <c r="S1409">
        <v>11.01</v>
      </c>
      <c r="T1409" t="s">
        <v>4775</v>
      </c>
    </row>
    <row r="1410" spans="1:20" x14ac:dyDescent="0.25">
      <c r="A1410" s="1" t="str">
        <f>HYPERLINK("https://vegkart.atlas.vegvesen.no/#/@238295.2,6557718.2,18/hva:hva%5B0%5D%5Bfilter%5D%5B0%5D%5Boperator%5D=%21%3D&amp;hva%5B0%5D%5Bfilter%5D%5B0%5D%5Btype_id%5D=9427&amp;hva%5B0%5D%5Bfilter%5D%5B0%5D%5Bverdi%5D=&amp;hva%5B0%5D%5Bid%5D=25/når:2023-05-31", "Vegkart")</f>
        <v>Vegkart</v>
      </c>
      <c r="B1410">
        <v>287483680</v>
      </c>
      <c r="C1410">
        <v>25</v>
      </c>
      <c r="D1410" t="s">
        <v>4290</v>
      </c>
      <c r="E1410">
        <v>9427</v>
      </c>
      <c r="F1410" t="s">
        <v>23479</v>
      </c>
      <c r="G1410">
        <v>4</v>
      </c>
      <c r="H1410" t="s">
        <v>4298</v>
      </c>
      <c r="J1410" t="s">
        <v>4742</v>
      </c>
      <c r="K1410" t="s">
        <v>81</v>
      </c>
      <c r="L1410" t="s">
        <v>33</v>
      </c>
      <c r="M1410" t="s">
        <v>4486</v>
      </c>
      <c r="N1410" t="s">
        <v>4776</v>
      </c>
      <c r="O1410" t="s">
        <v>4777</v>
      </c>
      <c r="P1410" s="2" t="s">
        <v>37</v>
      </c>
      <c r="Q1410" t="s">
        <v>1208</v>
      </c>
      <c r="R1410">
        <v>0</v>
      </c>
      <c r="S1410">
        <v>11.35</v>
      </c>
      <c r="T1410" t="s">
        <v>4778</v>
      </c>
    </row>
    <row r="1411" spans="1:20" x14ac:dyDescent="0.25">
      <c r="A1411" s="1" t="str">
        <f>HYPERLINK("https://vegkart.atlas.vegvesen.no/#/@238762.5,6557524.2,18/hva:hva%5B0%5D%5Bfilter%5D%5B0%5D%5Boperator%5D=%21%3D&amp;hva%5B0%5D%5Bfilter%5D%5B0%5D%5Btype_id%5D=9427&amp;hva%5B0%5D%5Bfilter%5D%5B0%5D%5Bverdi%5D=&amp;hva%5B0%5D%5Bid%5D=25/når:2023-05-31", "Vegkart")</f>
        <v>Vegkart</v>
      </c>
      <c r="B1411">
        <v>287483698</v>
      </c>
      <c r="C1411">
        <v>25</v>
      </c>
      <c r="D1411" t="s">
        <v>4290</v>
      </c>
      <c r="E1411">
        <v>9427</v>
      </c>
      <c r="F1411" t="s">
        <v>23479</v>
      </c>
      <c r="G1411">
        <v>4</v>
      </c>
      <c r="H1411" t="s">
        <v>4298</v>
      </c>
      <c r="J1411" t="s">
        <v>4742</v>
      </c>
      <c r="K1411" t="s">
        <v>81</v>
      </c>
      <c r="L1411" t="s">
        <v>33</v>
      </c>
      <c r="M1411" t="s">
        <v>4486</v>
      </c>
      <c r="N1411" t="s">
        <v>4779</v>
      </c>
      <c r="O1411" t="s">
        <v>4780</v>
      </c>
      <c r="P1411" s="2" t="s">
        <v>37</v>
      </c>
      <c r="Q1411" t="s">
        <v>1208</v>
      </c>
      <c r="R1411">
        <v>0</v>
      </c>
      <c r="S1411">
        <v>8.74</v>
      </c>
      <c r="T1411" t="s">
        <v>4781</v>
      </c>
    </row>
    <row r="1412" spans="1:20" x14ac:dyDescent="0.25">
      <c r="A1412" s="1" t="str">
        <f>HYPERLINK("https://vegkart.atlas.vegvesen.no/#/@239079.5,6557968.9,18/hva:hva%5B0%5D%5Bfilter%5D%5B0%5D%5Boperator%5D=%21%3D&amp;hva%5B0%5D%5Bfilter%5D%5B0%5D%5Btype_id%5D=9427&amp;hva%5B0%5D%5Bfilter%5D%5B0%5D%5Bverdi%5D=&amp;hva%5B0%5D%5Bid%5D=25/når:2023-05-31", "Vegkart")</f>
        <v>Vegkart</v>
      </c>
      <c r="B1412">
        <v>287483732</v>
      </c>
      <c r="C1412">
        <v>25</v>
      </c>
      <c r="D1412" t="s">
        <v>4290</v>
      </c>
      <c r="E1412">
        <v>9427</v>
      </c>
      <c r="F1412" t="s">
        <v>23479</v>
      </c>
      <c r="G1412">
        <v>4</v>
      </c>
      <c r="H1412" t="s">
        <v>4298</v>
      </c>
      <c r="J1412" t="s">
        <v>4742</v>
      </c>
      <c r="K1412" t="s">
        <v>81</v>
      </c>
      <c r="L1412" t="s">
        <v>33</v>
      </c>
      <c r="M1412" t="s">
        <v>4486</v>
      </c>
      <c r="N1412" t="s">
        <v>4782</v>
      </c>
      <c r="O1412" t="s">
        <v>4783</v>
      </c>
      <c r="P1412" s="2" t="s">
        <v>37</v>
      </c>
      <c r="Q1412" t="s">
        <v>1208</v>
      </c>
      <c r="R1412">
        <v>0</v>
      </c>
      <c r="S1412">
        <v>8.7799999999999994</v>
      </c>
      <c r="T1412" t="s">
        <v>4784</v>
      </c>
    </row>
    <row r="1413" spans="1:20" x14ac:dyDescent="0.25">
      <c r="A1413" s="1" t="str">
        <f>HYPERLINK("https://vegkart.atlas.vegvesen.no/#/@238635.8,6577116.7,18/hva:hva%5B0%5D%5Bfilter%5D%5B0%5D%5Boperator%5D=%21%3D&amp;hva%5B0%5D%5Bfilter%5D%5B0%5D%5Btype_id%5D=9427&amp;hva%5B0%5D%5Bfilter%5D%5B0%5D%5Bverdi%5D=&amp;hva%5B0%5D%5Bid%5D=25/når:2023-05-31", "Vegkart")</f>
        <v>Vegkart</v>
      </c>
      <c r="B1413">
        <v>287573768</v>
      </c>
      <c r="C1413">
        <v>25</v>
      </c>
      <c r="D1413" t="s">
        <v>4290</v>
      </c>
      <c r="E1413">
        <v>9427</v>
      </c>
      <c r="F1413" t="s">
        <v>23479</v>
      </c>
      <c r="G1413">
        <v>4</v>
      </c>
      <c r="H1413" t="s">
        <v>4298</v>
      </c>
      <c r="J1413" t="s">
        <v>4742</v>
      </c>
      <c r="K1413" t="s">
        <v>81</v>
      </c>
      <c r="L1413" t="s">
        <v>33</v>
      </c>
      <c r="M1413" t="s">
        <v>1940</v>
      </c>
      <c r="N1413" t="s">
        <v>4785</v>
      </c>
      <c r="O1413" t="s">
        <v>4786</v>
      </c>
      <c r="P1413" s="2" t="s">
        <v>37</v>
      </c>
      <c r="Q1413" t="s">
        <v>1208</v>
      </c>
      <c r="R1413">
        <v>0</v>
      </c>
      <c r="S1413">
        <v>13.94</v>
      </c>
      <c r="T1413" t="s">
        <v>4787</v>
      </c>
    </row>
    <row r="1414" spans="1:20" x14ac:dyDescent="0.25">
      <c r="A1414" s="1" t="str">
        <f>HYPERLINK("https://vegkart.atlas.vegvesen.no/#/@238061.8,6574890.7,18/hva:hva%5B0%5D%5Bfilter%5D%5B0%5D%5Boperator%5D=%21%3D&amp;hva%5B0%5D%5Bfilter%5D%5B0%5D%5Btype_id%5D=9427&amp;hva%5B0%5D%5Bfilter%5D%5B0%5D%5Bverdi%5D=&amp;hva%5B0%5D%5Bid%5D=25/når:2023-05-31", "Vegkart")</f>
        <v>Vegkart</v>
      </c>
      <c r="B1414">
        <v>287641142</v>
      </c>
      <c r="C1414">
        <v>25</v>
      </c>
      <c r="D1414" t="s">
        <v>4290</v>
      </c>
      <c r="E1414">
        <v>9427</v>
      </c>
      <c r="F1414" t="s">
        <v>23479</v>
      </c>
      <c r="G1414">
        <v>4</v>
      </c>
      <c r="H1414" t="s">
        <v>4298</v>
      </c>
      <c r="J1414" t="s">
        <v>4742</v>
      </c>
      <c r="K1414" t="s">
        <v>81</v>
      </c>
      <c r="L1414" t="s">
        <v>33</v>
      </c>
      <c r="M1414" t="s">
        <v>1940</v>
      </c>
      <c r="N1414" t="s">
        <v>4788</v>
      </c>
      <c r="O1414" t="s">
        <v>4789</v>
      </c>
      <c r="P1414" s="2" t="s">
        <v>37</v>
      </c>
      <c r="Q1414" t="s">
        <v>1208</v>
      </c>
      <c r="R1414">
        <v>0</v>
      </c>
      <c r="S1414">
        <v>13.94</v>
      </c>
      <c r="T1414" t="s">
        <v>4790</v>
      </c>
    </row>
    <row r="1415" spans="1:20" x14ac:dyDescent="0.25">
      <c r="A1415" s="1" t="str">
        <f>HYPERLINK("https://vegkart.atlas.vegvesen.no/#/@237865.2,6573779.9,18/hva:hva%5B0%5D%5Bfilter%5D%5B0%5D%5Boperator%5D=%21%3D&amp;hva%5B0%5D%5Bfilter%5D%5B0%5D%5Btype_id%5D=9427&amp;hva%5B0%5D%5Bfilter%5D%5B0%5D%5Bverdi%5D=&amp;hva%5B0%5D%5Bid%5D=25/når:2023-05-31", "Vegkart")</f>
        <v>Vegkart</v>
      </c>
      <c r="B1415">
        <v>287641216</v>
      </c>
      <c r="C1415">
        <v>25</v>
      </c>
      <c r="D1415" t="s">
        <v>4290</v>
      </c>
      <c r="E1415">
        <v>9427</v>
      </c>
      <c r="F1415" t="s">
        <v>23479</v>
      </c>
      <c r="G1415">
        <v>4</v>
      </c>
      <c r="H1415" t="s">
        <v>4298</v>
      </c>
      <c r="J1415" t="s">
        <v>4742</v>
      </c>
      <c r="K1415" t="s">
        <v>81</v>
      </c>
      <c r="L1415" t="s">
        <v>33</v>
      </c>
      <c r="M1415" t="s">
        <v>1940</v>
      </c>
      <c r="N1415" t="s">
        <v>4791</v>
      </c>
      <c r="O1415" t="s">
        <v>4792</v>
      </c>
      <c r="P1415" s="2" t="s">
        <v>37</v>
      </c>
      <c r="Q1415" t="s">
        <v>1208</v>
      </c>
      <c r="R1415">
        <v>0</v>
      </c>
      <c r="S1415">
        <v>11.46</v>
      </c>
      <c r="T1415" t="s">
        <v>4793</v>
      </c>
    </row>
    <row r="1416" spans="1:20" x14ac:dyDescent="0.25">
      <c r="A1416" s="1" t="str">
        <f>HYPERLINK("https://vegkart.atlas.vegvesen.no/#/@236727.7,6569064.9,18/hva:hva%5B0%5D%5Bfilter%5D%5B0%5D%5Boperator%5D=%21%3D&amp;hva%5B0%5D%5Bfilter%5D%5B0%5D%5Btype_id%5D=9427&amp;hva%5B0%5D%5Bfilter%5D%5B0%5D%5Bverdi%5D=&amp;hva%5B0%5D%5Bid%5D=25/når:2023-05-31", "Vegkart")</f>
        <v>Vegkart</v>
      </c>
      <c r="B1416">
        <v>287644947</v>
      </c>
      <c r="C1416">
        <v>25</v>
      </c>
      <c r="D1416" t="s">
        <v>4290</v>
      </c>
      <c r="E1416">
        <v>9427</v>
      </c>
      <c r="F1416" t="s">
        <v>23479</v>
      </c>
      <c r="G1416">
        <v>4</v>
      </c>
      <c r="H1416" t="s">
        <v>4298</v>
      </c>
      <c r="J1416" t="s">
        <v>4742</v>
      </c>
      <c r="K1416" t="s">
        <v>81</v>
      </c>
      <c r="L1416" t="s">
        <v>33</v>
      </c>
      <c r="M1416" t="s">
        <v>1940</v>
      </c>
      <c r="N1416" t="s">
        <v>4794</v>
      </c>
      <c r="O1416" t="s">
        <v>4795</v>
      </c>
      <c r="P1416" s="2" t="s">
        <v>37</v>
      </c>
      <c r="Q1416" t="s">
        <v>1208</v>
      </c>
      <c r="R1416">
        <v>0</v>
      </c>
      <c r="S1416">
        <v>14.31</v>
      </c>
      <c r="T1416" t="s">
        <v>4796</v>
      </c>
    </row>
    <row r="1417" spans="1:20" x14ac:dyDescent="0.25">
      <c r="A1417" s="1" t="str">
        <f>HYPERLINK("https://vegkart.atlas.vegvesen.no/#/@236565.6,6568936.3,18/hva:hva%5B0%5D%5Bfilter%5D%5B0%5D%5Boperator%5D=%21%3D&amp;hva%5B0%5D%5Bfilter%5D%5B0%5D%5Btype_id%5D=9427&amp;hva%5B0%5D%5Bfilter%5D%5B0%5D%5Bverdi%5D=&amp;hva%5B0%5D%5Bid%5D=25/når:2023-05-31", "Vegkart")</f>
        <v>Vegkart</v>
      </c>
      <c r="B1417">
        <v>287644960</v>
      </c>
      <c r="C1417">
        <v>25</v>
      </c>
      <c r="D1417" t="s">
        <v>4290</v>
      </c>
      <c r="E1417">
        <v>9427</v>
      </c>
      <c r="F1417" t="s">
        <v>23479</v>
      </c>
      <c r="G1417">
        <v>4</v>
      </c>
      <c r="H1417" t="s">
        <v>4298</v>
      </c>
      <c r="J1417" t="s">
        <v>4742</v>
      </c>
      <c r="K1417" t="s">
        <v>81</v>
      </c>
      <c r="L1417" t="s">
        <v>33</v>
      </c>
      <c r="M1417" t="s">
        <v>1940</v>
      </c>
      <c r="N1417" t="s">
        <v>4797</v>
      </c>
      <c r="O1417" t="s">
        <v>4798</v>
      </c>
      <c r="P1417" s="2" t="s">
        <v>37</v>
      </c>
      <c r="Q1417" t="s">
        <v>1208</v>
      </c>
      <c r="R1417">
        <v>0</v>
      </c>
      <c r="S1417">
        <v>13.78</v>
      </c>
      <c r="T1417" t="s">
        <v>4799</v>
      </c>
    </row>
    <row r="1418" spans="1:20" x14ac:dyDescent="0.25">
      <c r="A1418" s="1" t="str">
        <f>HYPERLINK("https://vegkart.atlas.vegvesen.no/#/@236266.4,6568573.4,18/hva:hva%5B0%5D%5Bfilter%5D%5B0%5D%5Boperator%5D=%21%3D&amp;hva%5B0%5D%5Bfilter%5D%5B0%5D%5Btype_id%5D=9427&amp;hva%5B0%5D%5Bfilter%5D%5B0%5D%5Bverdi%5D=&amp;hva%5B0%5D%5Bid%5D=25/når:2023-05-31", "Vegkart")</f>
        <v>Vegkart</v>
      </c>
      <c r="B1418">
        <v>287645016</v>
      </c>
      <c r="C1418">
        <v>25</v>
      </c>
      <c r="D1418" t="s">
        <v>4290</v>
      </c>
      <c r="E1418">
        <v>9427</v>
      </c>
      <c r="F1418" t="s">
        <v>23479</v>
      </c>
      <c r="G1418">
        <v>4</v>
      </c>
      <c r="H1418" t="s">
        <v>4298</v>
      </c>
      <c r="J1418" t="s">
        <v>4742</v>
      </c>
      <c r="K1418" t="s">
        <v>81</v>
      </c>
      <c r="L1418" t="s">
        <v>33</v>
      </c>
      <c r="M1418" t="s">
        <v>1940</v>
      </c>
      <c r="N1418" t="s">
        <v>4800</v>
      </c>
      <c r="O1418" t="s">
        <v>4801</v>
      </c>
      <c r="P1418" s="2" t="s">
        <v>37</v>
      </c>
      <c r="Q1418" t="s">
        <v>1208</v>
      </c>
      <c r="R1418">
        <v>0</v>
      </c>
      <c r="S1418">
        <v>10.59</v>
      </c>
      <c r="T1418" t="s">
        <v>4802</v>
      </c>
    </row>
    <row r="1419" spans="1:20" x14ac:dyDescent="0.25">
      <c r="A1419" s="1" t="str">
        <f>HYPERLINK("https://vegkart.atlas.vegvesen.no/#/@236179.0,6564571.7,18/hva:hva%5B0%5D%5Bfilter%5D%5B0%5D%5Boperator%5D=%21%3D&amp;hva%5B0%5D%5Bfilter%5D%5B0%5D%5Btype_id%5D=9427&amp;hva%5B0%5D%5Bfilter%5D%5B0%5D%5Bverdi%5D=&amp;hva%5B0%5D%5Bid%5D=25/når:2023-05-31", "Vegkart")</f>
        <v>Vegkart</v>
      </c>
      <c r="B1419">
        <v>287661542</v>
      </c>
      <c r="C1419">
        <v>25</v>
      </c>
      <c r="D1419" t="s">
        <v>4290</v>
      </c>
      <c r="E1419">
        <v>9427</v>
      </c>
      <c r="F1419" t="s">
        <v>23479</v>
      </c>
      <c r="G1419">
        <v>4</v>
      </c>
      <c r="H1419" t="s">
        <v>4298</v>
      </c>
      <c r="J1419" t="s">
        <v>4742</v>
      </c>
      <c r="K1419" t="s">
        <v>81</v>
      </c>
      <c r="L1419" t="s">
        <v>33</v>
      </c>
      <c r="M1419" t="s">
        <v>1940</v>
      </c>
      <c r="N1419" t="s">
        <v>4803</v>
      </c>
      <c r="O1419" t="s">
        <v>4804</v>
      </c>
      <c r="P1419" s="2" t="s">
        <v>37</v>
      </c>
      <c r="Q1419" t="s">
        <v>1208</v>
      </c>
      <c r="R1419">
        <v>0</v>
      </c>
      <c r="S1419">
        <v>10.52</v>
      </c>
      <c r="T1419" t="s">
        <v>4805</v>
      </c>
    </row>
    <row r="1420" spans="1:20" x14ac:dyDescent="0.25">
      <c r="A1420" s="1" t="str">
        <f>HYPERLINK("https://vegkart.atlas.vegvesen.no/#/@235914.1,6564049.6,18/hva:hva%5B0%5D%5Bfilter%5D%5B0%5D%5Boperator%5D=%21%3D&amp;hva%5B0%5D%5Bfilter%5D%5B0%5D%5Btype_id%5D=9427&amp;hva%5B0%5D%5Bfilter%5D%5B0%5D%5Bverdi%5D=&amp;hva%5B0%5D%5Bid%5D=25/når:2023-05-31", "Vegkart")</f>
        <v>Vegkart</v>
      </c>
      <c r="B1420">
        <v>287661579</v>
      </c>
      <c r="C1420">
        <v>25</v>
      </c>
      <c r="D1420" t="s">
        <v>4290</v>
      </c>
      <c r="E1420">
        <v>9427</v>
      </c>
      <c r="F1420" t="s">
        <v>23479</v>
      </c>
      <c r="G1420">
        <v>4</v>
      </c>
      <c r="H1420" t="s">
        <v>4298</v>
      </c>
      <c r="J1420" t="s">
        <v>4742</v>
      </c>
      <c r="K1420" t="s">
        <v>81</v>
      </c>
      <c r="L1420" t="s">
        <v>33</v>
      </c>
      <c r="M1420" t="s">
        <v>1940</v>
      </c>
      <c r="N1420" t="s">
        <v>4806</v>
      </c>
      <c r="O1420" t="s">
        <v>4807</v>
      </c>
      <c r="P1420" s="2" t="s">
        <v>37</v>
      </c>
      <c r="Q1420" t="s">
        <v>1208</v>
      </c>
      <c r="R1420">
        <v>0</v>
      </c>
      <c r="S1420">
        <v>10.84</v>
      </c>
      <c r="T1420" t="s">
        <v>4808</v>
      </c>
    </row>
    <row r="1421" spans="1:20" x14ac:dyDescent="0.25">
      <c r="A1421" s="1" t="str">
        <f>HYPERLINK("https://vegkart.atlas.vegvesen.no/#/@242000.4,6581062.9,18/hva:hva%5B0%5D%5Bfilter%5D%5B0%5D%5Boperator%5D=%21%3D&amp;hva%5B0%5D%5Bfilter%5D%5B0%5D%5Btype_id%5D=9427&amp;hva%5B0%5D%5Bfilter%5D%5B0%5D%5Bverdi%5D=&amp;hva%5B0%5D%5Bid%5D=25/når:2023-05-31", "Vegkart")</f>
        <v>Vegkart</v>
      </c>
      <c r="B1421">
        <v>287708309</v>
      </c>
      <c r="C1421">
        <v>25</v>
      </c>
      <c r="D1421" t="s">
        <v>4290</v>
      </c>
      <c r="E1421">
        <v>9427</v>
      </c>
      <c r="F1421" t="s">
        <v>23479</v>
      </c>
      <c r="G1421">
        <v>3</v>
      </c>
      <c r="H1421" t="s">
        <v>4298</v>
      </c>
      <c r="J1421" t="s">
        <v>4742</v>
      </c>
      <c r="K1421" t="s">
        <v>81</v>
      </c>
      <c r="L1421" t="s">
        <v>33</v>
      </c>
      <c r="M1421" t="s">
        <v>1944</v>
      </c>
      <c r="N1421" t="s">
        <v>4809</v>
      </c>
      <c r="O1421" t="s">
        <v>4810</v>
      </c>
      <c r="P1421" s="2" t="s">
        <v>37</v>
      </c>
      <c r="Q1421" t="s">
        <v>1208</v>
      </c>
      <c r="R1421">
        <v>0</v>
      </c>
      <c r="S1421">
        <v>10.61</v>
      </c>
      <c r="T1421" t="s">
        <v>4811</v>
      </c>
    </row>
    <row r="1422" spans="1:20" x14ac:dyDescent="0.25">
      <c r="A1422" s="1" t="str">
        <f>HYPERLINK("https://vegkart.atlas.vegvesen.no/#/@241982.3,6581070.2,18/hva:hva%5B0%5D%5Bfilter%5D%5B0%5D%5Boperator%5D=%21%3D&amp;hva%5B0%5D%5Bfilter%5D%5B0%5D%5Btype_id%5D=9427&amp;hva%5B0%5D%5Bfilter%5D%5B0%5D%5Bverdi%5D=&amp;hva%5B0%5D%5Bid%5D=25/når:2023-05-31", "Vegkart")</f>
        <v>Vegkart</v>
      </c>
      <c r="B1422">
        <v>287708310</v>
      </c>
      <c r="C1422">
        <v>25</v>
      </c>
      <c r="D1422" t="s">
        <v>4290</v>
      </c>
      <c r="E1422">
        <v>9427</v>
      </c>
      <c r="F1422" t="s">
        <v>23479</v>
      </c>
      <c r="G1422">
        <v>3</v>
      </c>
      <c r="H1422" t="s">
        <v>4298</v>
      </c>
      <c r="J1422" t="s">
        <v>4742</v>
      </c>
      <c r="K1422" t="s">
        <v>81</v>
      </c>
      <c r="L1422" t="s">
        <v>33</v>
      </c>
      <c r="M1422" t="s">
        <v>1944</v>
      </c>
      <c r="N1422" t="s">
        <v>4812</v>
      </c>
      <c r="O1422" t="s">
        <v>4813</v>
      </c>
      <c r="P1422" s="2" t="s">
        <v>37</v>
      </c>
      <c r="Q1422" t="s">
        <v>1208</v>
      </c>
      <c r="R1422">
        <v>0</v>
      </c>
      <c r="S1422">
        <v>10.73</v>
      </c>
      <c r="T1422" t="s">
        <v>4814</v>
      </c>
    </row>
    <row r="1423" spans="1:20" x14ac:dyDescent="0.25">
      <c r="A1423" s="1" t="str">
        <f>HYPERLINK("https://vegkart.atlas.vegvesen.no/#/@242210.4,6581429.5,18/hva:hva%5B0%5D%5Bfilter%5D%5B0%5D%5Boperator%5D=%21%3D&amp;hva%5B0%5D%5Bfilter%5D%5B0%5D%5Btype_id%5D=9427&amp;hva%5B0%5D%5Bfilter%5D%5B0%5D%5Bverdi%5D=&amp;hva%5B0%5D%5Bid%5D=25/når:2023-05-31", "Vegkart")</f>
        <v>Vegkart</v>
      </c>
      <c r="B1423">
        <v>287708320</v>
      </c>
      <c r="C1423">
        <v>25</v>
      </c>
      <c r="D1423" t="s">
        <v>4290</v>
      </c>
      <c r="E1423">
        <v>9427</v>
      </c>
      <c r="F1423" t="s">
        <v>23479</v>
      </c>
      <c r="G1423">
        <v>4</v>
      </c>
      <c r="H1423" t="s">
        <v>4298</v>
      </c>
      <c r="J1423" t="s">
        <v>4742</v>
      </c>
      <c r="K1423" t="s">
        <v>81</v>
      </c>
      <c r="L1423" t="s">
        <v>33</v>
      </c>
      <c r="M1423" t="s">
        <v>1944</v>
      </c>
      <c r="N1423" t="s">
        <v>4815</v>
      </c>
      <c r="O1423" t="s">
        <v>4816</v>
      </c>
      <c r="P1423" s="2" t="s">
        <v>37</v>
      </c>
      <c r="Q1423" t="s">
        <v>1208</v>
      </c>
      <c r="R1423">
        <v>0</v>
      </c>
      <c r="S1423">
        <v>9.9700000000000006</v>
      </c>
      <c r="T1423" t="s">
        <v>4817</v>
      </c>
    </row>
    <row r="1424" spans="1:20" x14ac:dyDescent="0.25">
      <c r="A1424" s="1" t="str">
        <f>HYPERLINK("https://vegkart.atlas.vegvesen.no/#/@240900.1,6579493.9,18/hva:hva%5B0%5D%5Bfilter%5D%5B0%5D%5Boperator%5D=%21%3D&amp;hva%5B0%5D%5Bfilter%5D%5B0%5D%5Btype_id%5D=9427&amp;hva%5B0%5D%5Bfilter%5D%5B0%5D%5Bverdi%5D=&amp;hva%5B0%5D%5Bid%5D=25/når:2023-05-31", "Vegkart")</f>
        <v>Vegkart</v>
      </c>
      <c r="B1424">
        <v>287889342</v>
      </c>
      <c r="C1424">
        <v>25</v>
      </c>
      <c r="D1424" t="s">
        <v>4290</v>
      </c>
      <c r="E1424">
        <v>9427</v>
      </c>
      <c r="F1424" t="s">
        <v>23479</v>
      </c>
      <c r="G1424">
        <v>4</v>
      </c>
      <c r="H1424" t="s">
        <v>4298</v>
      </c>
      <c r="J1424" t="s">
        <v>4742</v>
      </c>
      <c r="K1424" t="s">
        <v>81</v>
      </c>
      <c r="L1424" t="s">
        <v>33</v>
      </c>
      <c r="M1424" t="s">
        <v>1944</v>
      </c>
      <c r="N1424" t="s">
        <v>4818</v>
      </c>
      <c r="O1424" t="s">
        <v>4819</v>
      </c>
      <c r="P1424" s="2" t="s">
        <v>37</v>
      </c>
      <c r="Q1424" t="s">
        <v>1208</v>
      </c>
      <c r="R1424">
        <v>0</v>
      </c>
      <c r="S1424">
        <v>10.210000000000001</v>
      </c>
      <c r="T1424" t="s">
        <v>4820</v>
      </c>
    </row>
    <row r="1425" spans="1:20" x14ac:dyDescent="0.25">
      <c r="A1425" s="1" t="str">
        <f>HYPERLINK("https://vegkart.atlas.vegvesen.no/#/@243645.3,6583448.1,18/hva:hva%5B0%5D%5Bfilter%5D%5B0%5D%5Boperator%5D=%21%3D&amp;hva%5B0%5D%5Bfilter%5D%5B0%5D%5Btype_id%5D=9427&amp;hva%5B0%5D%5Bfilter%5D%5B0%5D%5Bverdi%5D=&amp;hva%5B0%5D%5Bid%5D=25/når:2023-05-31", "Vegkart")</f>
        <v>Vegkart</v>
      </c>
      <c r="B1425">
        <v>287889412</v>
      </c>
      <c r="C1425">
        <v>25</v>
      </c>
      <c r="D1425" t="s">
        <v>4290</v>
      </c>
      <c r="E1425">
        <v>9427</v>
      </c>
      <c r="F1425" t="s">
        <v>23479</v>
      </c>
      <c r="G1425">
        <v>5</v>
      </c>
      <c r="H1425" t="s">
        <v>4298</v>
      </c>
      <c r="J1425" t="s">
        <v>4742</v>
      </c>
      <c r="K1425" t="s">
        <v>81</v>
      </c>
      <c r="L1425" t="s">
        <v>33</v>
      </c>
      <c r="M1425" t="s">
        <v>1944</v>
      </c>
      <c r="N1425" t="s">
        <v>4821</v>
      </c>
      <c r="O1425" t="s">
        <v>4822</v>
      </c>
      <c r="P1425" s="2" t="s">
        <v>37</v>
      </c>
      <c r="Q1425" t="s">
        <v>1208</v>
      </c>
      <c r="R1425">
        <v>0</v>
      </c>
      <c r="S1425">
        <v>10.33</v>
      </c>
      <c r="T1425" t="s">
        <v>4823</v>
      </c>
    </row>
    <row r="1426" spans="1:20" x14ac:dyDescent="0.25">
      <c r="A1426" s="1" t="str">
        <f>HYPERLINK("https://vegkart.atlas.vegvesen.no/#/@243734.7,6583895.6,18/hva:hva%5B0%5D%5Bfilter%5D%5B0%5D%5Boperator%5D=%21%3D&amp;hva%5B0%5D%5Bfilter%5D%5B0%5D%5Btype_id%5D=9427&amp;hva%5B0%5D%5Bfilter%5D%5B0%5D%5Bverdi%5D=&amp;hva%5B0%5D%5Bid%5D=25/når:2023-05-31", "Vegkart")</f>
        <v>Vegkart</v>
      </c>
      <c r="B1426">
        <v>287889429</v>
      </c>
      <c r="C1426">
        <v>25</v>
      </c>
      <c r="D1426" t="s">
        <v>4290</v>
      </c>
      <c r="E1426">
        <v>9427</v>
      </c>
      <c r="F1426" t="s">
        <v>23479</v>
      </c>
      <c r="G1426">
        <v>5</v>
      </c>
      <c r="H1426" t="s">
        <v>4298</v>
      </c>
      <c r="J1426" t="s">
        <v>4742</v>
      </c>
      <c r="K1426" t="s">
        <v>81</v>
      </c>
      <c r="L1426" t="s">
        <v>33</v>
      </c>
      <c r="M1426" t="s">
        <v>1944</v>
      </c>
      <c r="N1426" t="s">
        <v>4824</v>
      </c>
      <c r="O1426" t="s">
        <v>4825</v>
      </c>
      <c r="P1426" s="2" t="s">
        <v>37</v>
      </c>
      <c r="Q1426" t="s">
        <v>1208</v>
      </c>
      <c r="R1426">
        <v>0</v>
      </c>
      <c r="S1426">
        <v>10.17</v>
      </c>
      <c r="T1426" t="s">
        <v>4826</v>
      </c>
    </row>
    <row r="1427" spans="1:20" x14ac:dyDescent="0.25">
      <c r="A1427" s="1" t="str">
        <f>HYPERLINK("https://vegkart.atlas.vegvesen.no/#/@243464.5,6585877.5,18/hva:hva%5B0%5D%5Bfilter%5D%5B0%5D%5Boperator%5D=%21%3D&amp;hva%5B0%5D%5Bfilter%5D%5B0%5D%5Btype_id%5D=9427&amp;hva%5B0%5D%5Bfilter%5D%5B0%5D%5Bverdi%5D=&amp;hva%5B0%5D%5Bid%5D=25/når:2023-05-31", "Vegkart")</f>
        <v>Vegkart</v>
      </c>
      <c r="B1427">
        <v>287889502</v>
      </c>
      <c r="C1427">
        <v>25</v>
      </c>
      <c r="D1427" t="s">
        <v>4290</v>
      </c>
      <c r="E1427">
        <v>9427</v>
      </c>
      <c r="F1427" t="s">
        <v>23479</v>
      </c>
      <c r="G1427">
        <v>3</v>
      </c>
      <c r="H1427" t="s">
        <v>4298</v>
      </c>
      <c r="J1427" t="s">
        <v>4742</v>
      </c>
      <c r="K1427" t="s">
        <v>81</v>
      </c>
      <c r="L1427" t="s">
        <v>33</v>
      </c>
      <c r="M1427" t="s">
        <v>1944</v>
      </c>
      <c r="N1427" t="s">
        <v>4827</v>
      </c>
      <c r="O1427" t="s">
        <v>4828</v>
      </c>
      <c r="P1427" s="2" t="s">
        <v>37</v>
      </c>
      <c r="Q1427" t="s">
        <v>1208</v>
      </c>
      <c r="R1427">
        <v>0</v>
      </c>
      <c r="S1427">
        <v>10.6</v>
      </c>
      <c r="T1427" t="s">
        <v>4829</v>
      </c>
    </row>
    <row r="1428" spans="1:20" x14ac:dyDescent="0.25">
      <c r="A1428" s="1" t="str">
        <f>HYPERLINK("https://vegkart.atlas.vegvesen.no/#/@243409.5,6585913.8,18/hva:hva%5B0%5D%5Bfilter%5D%5B0%5D%5Boperator%5D=%21%3D&amp;hva%5B0%5D%5Bfilter%5D%5B0%5D%5Btype_id%5D=9427&amp;hva%5B0%5D%5Bfilter%5D%5B0%5D%5Bverdi%5D=&amp;hva%5B0%5D%5Bid%5D=25/når:2023-05-31", "Vegkart")</f>
        <v>Vegkart</v>
      </c>
      <c r="B1428">
        <v>287889509</v>
      </c>
      <c r="C1428">
        <v>25</v>
      </c>
      <c r="D1428" t="s">
        <v>4290</v>
      </c>
      <c r="E1428">
        <v>9427</v>
      </c>
      <c r="F1428" t="s">
        <v>23479</v>
      </c>
      <c r="G1428">
        <v>4</v>
      </c>
      <c r="H1428" t="s">
        <v>4298</v>
      </c>
      <c r="J1428" t="s">
        <v>4742</v>
      </c>
      <c r="K1428" t="s">
        <v>81</v>
      </c>
      <c r="L1428" t="s">
        <v>33</v>
      </c>
      <c r="M1428" t="s">
        <v>1944</v>
      </c>
      <c r="N1428" t="s">
        <v>4830</v>
      </c>
      <c r="O1428" t="s">
        <v>4831</v>
      </c>
      <c r="P1428" s="2" t="s">
        <v>37</v>
      </c>
      <c r="Q1428" t="s">
        <v>1208</v>
      </c>
      <c r="R1428">
        <v>0</v>
      </c>
      <c r="S1428">
        <v>11.17</v>
      </c>
      <c r="T1428" t="s">
        <v>4832</v>
      </c>
    </row>
    <row r="1429" spans="1:20" x14ac:dyDescent="0.25">
      <c r="A1429" s="1" t="str">
        <f>HYPERLINK("https://vegkart.atlas.vegvesen.no/#/@243263.7,6586274.4,18/hva:hva%5B0%5D%5Bfilter%5D%5B0%5D%5Boperator%5D=%21%3D&amp;hva%5B0%5D%5Bfilter%5D%5B0%5D%5Btype_id%5D=9427&amp;hva%5B0%5D%5Bfilter%5D%5B0%5D%5Bverdi%5D=&amp;hva%5B0%5D%5Bid%5D=25/når:2023-05-31", "Vegkart")</f>
        <v>Vegkart</v>
      </c>
      <c r="B1429">
        <v>287889521</v>
      </c>
      <c r="C1429">
        <v>25</v>
      </c>
      <c r="D1429" t="s">
        <v>4290</v>
      </c>
      <c r="E1429">
        <v>9427</v>
      </c>
      <c r="F1429" t="s">
        <v>23479</v>
      </c>
      <c r="G1429">
        <v>4</v>
      </c>
      <c r="H1429" t="s">
        <v>4298</v>
      </c>
      <c r="J1429" t="s">
        <v>4742</v>
      </c>
      <c r="K1429" t="s">
        <v>81</v>
      </c>
      <c r="L1429" t="s">
        <v>33</v>
      </c>
      <c r="M1429" t="s">
        <v>1944</v>
      </c>
      <c r="N1429" t="s">
        <v>4833</v>
      </c>
      <c r="O1429" t="s">
        <v>4834</v>
      </c>
      <c r="P1429" s="2" t="s">
        <v>37</v>
      </c>
      <c r="Q1429" t="s">
        <v>1208</v>
      </c>
      <c r="R1429">
        <v>0</v>
      </c>
      <c r="S1429">
        <v>10.31</v>
      </c>
      <c r="T1429" t="s">
        <v>4835</v>
      </c>
    </row>
    <row r="1430" spans="1:20" x14ac:dyDescent="0.25">
      <c r="A1430" s="1" t="str">
        <f>HYPERLINK("https://vegkart.atlas.vegvesen.no/#/@243678.0,6594934.3,18/hva:hva%5B0%5D%5Bfilter%5D%5B0%5D%5Boperator%5D=%21%3D&amp;hva%5B0%5D%5Bfilter%5D%5B0%5D%5Btype_id%5D=9427&amp;hva%5B0%5D%5Bfilter%5D%5B0%5D%5Bverdi%5D=&amp;hva%5B0%5D%5Bid%5D=25/når:2023-05-31", "Vegkart")</f>
        <v>Vegkart</v>
      </c>
      <c r="B1430">
        <v>288203507</v>
      </c>
      <c r="C1430">
        <v>25</v>
      </c>
      <c r="D1430" t="s">
        <v>4290</v>
      </c>
      <c r="E1430">
        <v>9427</v>
      </c>
      <c r="F1430" t="s">
        <v>23479</v>
      </c>
      <c r="G1430">
        <v>6</v>
      </c>
      <c r="H1430" t="s">
        <v>4298</v>
      </c>
      <c r="J1430" t="s">
        <v>4742</v>
      </c>
      <c r="K1430" t="s">
        <v>81</v>
      </c>
      <c r="L1430" t="s">
        <v>22</v>
      </c>
      <c r="M1430" t="s">
        <v>2056</v>
      </c>
      <c r="N1430" t="s">
        <v>4836</v>
      </c>
      <c r="O1430" t="s">
        <v>4837</v>
      </c>
      <c r="P1430" s="2" t="s">
        <v>37</v>
      </c>
      <c r="Q1430" t="s">
        <v>1208</v>
      </c>
      <c r="R1430">
        <v>0</v>
      </c>
      <c r="S1430">
        <v>11</v>
      </c>
      <c r="T1430" t="s">
        <v>4838</v>
      </c>
    </row>
    <row r="1431" spans="1:20" x14ac:dyDescent="0.25">
      <c r="A1431" s="1" t="str">
        <f>HYPERLINK("https://vegkart.atlas.vegvesen.no/#/@243655.9,6594921.4,18/hva:hva%5B0%5D%5Bfilter%5D%5B0%5D%5Boperator%5D=%21%3D&amp;hva%5B0%5D%5Bfilter%5D%5B0%5D%5Btype_id%5D=9427&amp;hva%5B0%5D%5Bfilter%5D%5B0%5D%5Bverdi%5D=&amp;hva%5B0%5D%5Bid%5D=25/når:2023-05-31", "Vegkart")</f>
        <v>Vegkart</v>
      </c>
      <c r="B1431">
        <v>288203509</v>
      </c>
      <c r="C1431">
        <v>25</v>
      </c>
      <c r="D1431" t="s">
        <v>4290</v>
      </c>
      <c r="E1431">
        <v>9427</v>
      </c>
      <c r="F1431" t="s">
        <v>23479</v>
      </c>
      <c r="G1431">
        <v>3</v>
      </c>
      <c r="H1431" t="s">
        <v>4298</v>
      </c>
      <c r="J1431" t="s">
        <v>4742</v>
      </c>
      <c r="K1431" t="s">
        <v>81</v>
      </c>
      <c r="L1431" t="s">
        <v>22</v>
      </c>
      <c r="M1431" t="s">
        <v>2056</v>
      </c>
      <c r="N1431" t="s">
        <v>4839</v>
      </c>
      <c r="O1431" t="s">
        <v>4840</v>
      </c>
      <c r="P1431" s="2" t="s">
        <v>37</v>
      </c>
      <c r="Q1431" t="s">
        <v>1208</v>
      </c>
      <c r="R1431">
        <v>0</v>
      </c>
      <c r="S1431">
        <v>9.7100000000000009</v>
      </c>
      <c r="T1431" t="s">
        <v>4841</v>
      </c>
    </row>
    <row r="1432" spans="1:20" x14ac:dyDescent="0.25">
      <c r="A1432" s="1" t="str">
        <f>HYPERLINK("https://vegkart.atlas.vegvesen.no/#/@240839.3,6588897.7,18/hva:hva%5B0%5D%5Bfilter%5D%5B0%5D%5Boperator%5D=%21%3D&amp;hva%5B0%5D%5Bfilter%5D%5B0%5D%5Btype_id%5D=9427&amp;hva%5B0%5D%5Bfilter%5D%5B0%5D%5Bverdi%5D=&amp;hva%5B0%5D%5Bid%5D=25/når:2023-05-31", "Vegkart")</f>
        <v>Vegkart</v>
      </c>
      <c r="B1432">
        <v>290920283</v>
      </c>
      <c r="C1432">
        <v>25</v>
      </c>
      <c r="D1432" t="s">
        <v>4290</v>
      </c>
      <c r="E1432">
        <v>9427</v>
      </c>
      <c r="F1432" t="s">
        <v>23479</v>
      </c>
      <c r="G1432">
        <v>4</v>
      </c>
      <c r="H1432" t="s">
        <v>4298</v>
      </c>
      <c r="J1432" t="s">
        <v>4742</v>
      </c>
      <c r="K1432" t="s">
        <v>81</v>
      </c>
      <c r="L1432" t="s">
        <v>33</v>
      </c>
      <c r="M1432" t="s">
        <v>4461</v>
      </c>
      <c r="N1432" t="s">
        <v>4842</v>
      </c>
      <c r="O1432" t="s">
        <v>4843</v>
      </c>
      <c r="P1432" s="2" t="s">
        <v>37</v>
      </c>
      <c r="Q1432" t="s">
        <v>1208</v>
      </c>
      <c r="R1432">
        <v>0</v>
      </c>
      <c r="S1432">
        <v>10.32</v>
      </c>
      <c r="T1432" t="s">
        <v>4844</v>
      </c>
    </row>
    <row r="1433" spans="1:20" x14ac:dyDescent="0.25">
      <c r="A1433" s="1" t="str">
        <f>HYPERLINK("https://vegkart.atlas.vegvesen.no/#/@240868.5,6588965.1,18/hva:hva%5B0%5D%5Bfilter%5D%5B0%5D%5Boperator%5D=%21%3D&amp;hva%5B0%5D%5Bfilter%5D%5B0%5D%5Btype_id%5D=9427&amp;hva%5B0%5D%5Bfilter%5D%5B0%5D%5Bverdi%5D=&amp;hva%5B0%5D%5Bid%5D=25/når:2023-05-31", "Vegkart")</f>
        <v>Vegkart</v>
      </c>
      <c r="B1433">
        <v>290920288</v>
      </c>
      <c r="C1433">
        <v>25</v>
      </c>
      <c r="D1433" t="s">
        <v>4290</v>
      </c>
      <c r="E1433">
        <v>9427</v>
      </c>
      <c r="F1433" t="s">
        <v>23479</v>
      </c>
      <c r="G1433">
        <v>4</v>
      </c>
      <c r="H1433" t="s">
        <v>4298</v>
      </c>
      <c r="J1433" t="s">
        <v>4742</v>
      </c>
      <c r="K1433" t="s">
        <v>81</v>
      </c>
      <c r="L1433" t="s">
        <v>33</v>
      </c>
      <c r="M1433" t="s">
        <v>4461</v>
      </c>
      <c r="N1433" t="s">
        <v>4845</v>
      </c>
      <c r="O1433" t="s">
        <v>4846</v>
      </c>
      <c r="P1433" s="2" t="s">
        <v>37</v>
      </c>
      <c r="Q1433" t="s">
        <v>1208</v>
      </c>
      <c r="R1433">
        <v>0</v>
      </c>
      <c r="S1433">
        <v>10.63</v>
      </c>
      <c r="T1433" t="s">
        <v>4847</v>
      </c>
    </row>
    <row r="1434" spans="1:20" x14ac:dyDescent="0.25">
      <c r="A1434" s="1" t="str">
        <f>HYPERLINK("https://vegkart.atlas.vegvesen.no/#/@241137.8,6589823.4,18/hva:hva%5B0%5D%5Bfilter%5D%5B0%5D%5Boperator%5D=%21%3D&amp;hva%5B0%5D%5Bfilter%5D%5B0%5D%5Btype_id%5D=9427&amp;hva%5B0%5D%5Bfilter%5D%5B0%5D%5Bverdi%5D=&amp;hva%5B0%5D%5Bid%5D=25/når:2023-05-31", "Vegkart")</f>
        <v>Vegkart</v>
      </c>
      <c r="B1434">
        <v>290920309</v>
      </c>
      <c r="C1434">
        <v>25</v>
      </c>
      <c r="D1434" t="s">
        <v>4290</v>
      </c>
      <c r="E1434">
        <v>9427</v>
      </c>
      <c r="F1434" t="s">
        <v>23479</v>
      </c>
      <c r="G1434">
        <v>4</v>
      </c>
      <c r="H1434" t="s">
        <v>4298</v>
      </c>
      <c r="J1434" t="s">
        <v>4742</v>
      </c>
      <c r="K1434" t="s">
        <v>81</v>
      </c>
      <c r="L1434" t="s">
        <v>33</v>
      </c>
      <c r="M1434" t="s">
        <v>4461</v>
      </c>
      <c r="N1434" t="s">
        <v>4848</v>
      </c>
      <c r="O1434" t="s">
        <v>4849</v>
      </c>
      <c r="P1434" s="2" t="s">
        <v>37</v>
      </c>
      <c r="Q1434" t="s">
        <v>1208</v>
      </c>
      <c r="R1434">
        <v>0</v>
      </c>
      <c r="S1434">
        <v>19.68</v>
      </c>
      <c r="T1434" t="s">
        <v>4850</v>
      </c>
    </row>
    <row r="1435" spans="1:20" x14ac:dyDescent="0.25">
      <c r="A1435" s="1" t="str">
        <f>HYPERLINK("https://vegkart.atlas.vegvesen.no/#/@241537.2,6590787.4,18/hva:hva%5B0%5D%5Bfilter%5D%5B0%5D%5Boperator%5D=%21%3D&amp;hva%5B0%5D%5Bfilter%5D%5B0%5D%5Btype_id%5D=9427&amp;hva%5B0%5D%5Bfilter%5D%5B0%5D%5Bverdi%5D=&amp;hva%5B0%5D%5Bid%5D=25/når:2023-05-31", "Vegkart")</f>
        <v>Vegkart</v>
      </c>
      <c r="B1435">
        <v>290920333</v>
      </c>
      <c r="C1435">
        <v>25</v>
      </c>
      <c r="D1435" t="s">
        <v>4290</v>
      </c>
      <c r="E1435">
        <v>9427</v>
      </c>
      <c r="F1435" t="s">
        <v>23479</v>
      </c>
      <c r="G1435">
        <v>4</v>
      </c>
      <c r="H1435" t="s">
        <v>4298</v>
      </c>
      <c r="J1435" t="s">
        <v>4742</v>
      </c>
      <c r="K1435" t="s">
        <v>81</v>
      </c>
      <c r="L1435" t="s">
        <v>33</v>
      </c>
      <c r="M1435" t="s">
        <v>4461</v>
      </c>
      <c r="N1435" t="s">
        <v>4851</v>
      </c>
      <c r="O1435" t="s">
        <v>4852</v>
      </c>
      <c r="P1435" s="2" t="s">
        <v>37</v>
      </c>
      <c r="Q1435" t="s">
        <v>1208</v>
      </c>
      <c r="R1435">
        <v>0</v>
      </c>
      <c r="S1435">
        <v>11.18</v>
      </c>
      <c r="T1435" t="s">
        <v>4853</v>
      </c>
    </row>
    <row r="1436" spans="1:20" x14ac:dyDescent="0.25">
      <c r="A1436" s="1" t="str">
        <f>HYPERLINK("https://vegkart.atlas.vegvesen.no/#/@241549.9,6590838.9,18/hva:hva%5B0%5D%5Bfilter%5D%5B0%5D%5Boperator%5D=%21%3D&amp;hva%5B0%5D%5Bfilter%5D%5B0%5D%5Btype_id%5D=9427&amp;hva%5B0%5D%5Bfilter%5D%5B0%5D%5Bverdi%5D=&amp;hva%5B0%5D%5Bid%5D=25/når:2023-05-31", "Vegkart")</f>
        <v>Vegkart</v>
      </c>
      <c r="B1436">
        <v>290920337</v>
      </c>
      <c r="C1436">
        <v>25</v>
      </c>
      <c r="D1436" t="s">
        <v>4290</v>
      </c>
      <c r="E1436">
        <v>9427</v>
      </c>
      <c r="F1436" t="s">
        <v>23479</v>
      </c>
      <c r="G1436">
        <v>4</v>
      </c>
      <c r="H1436" t="s">
        <v>4298</v>
      </c>
      <c r="J1436" t="s">
        <v>4742</v>
      </c>
      <c r="K1436" t="s">
        <v>81</v>
      </c>
      <c r="L1436" t="s">
        <v>33</v>
      </c>
      <c r="M1436" t="s">
        <v>4461</v>
      </c>
      <c r="N1436" t="s">
        <v>4854</v>
      </c>
      <c r="O1436" t="s">
        <v>4855</v>
      </c>
      <c r="P1436" s="2" t="s">
        <v>37</v>
      </c>
      <c r="Q1436" t="s">
        <v>1208</v>
      </c>
      <c r="R1436">
        <v>0</v>
      </c>
      <c r="S1436">
        <v>10.53</v>
      </c>
      <c r="T1436" t="s">
        <v>4856</v>
      </c>
    </row>
    <row r="1437" spans="1:20" x14ac:dyDescent="0.25">
      <c r="A1437" s="1" t="str">
        <f>HYPERLINK("https://vegkart.atlas.vegvesen.no/#/@241940.0,6591190.8,18/hva:hva%5B0%5D%5Bfilter%5D%5B0%5D%5Boperator%5D=%21%3D&amp;hva%5B0%5D%5Bfilter%5D%5B0%5D%5Btype_id%5D=9427&amp;hva%5B0%5D%5Bfilter%5D%5B0%5D%5Bverdi%5D=&amp;hva%5B0%5D%5Bid%5D=25/når:2023-05-31", "Vegkart")</f>
        <v>Vegkart</v>
      </c>
      <c r="B1437">
        <v>290920357</v>
      </c>
      <c r="C1437">
        <v>25</v>
      </c>
      <c r="D1437" t="s">
        <v>4290</v>
      </c>
      <c r="E1437">
        <v>9427</v>
      </c>
      <c r="F1437" t="s">
        <v>23479</v>
      </c>
      <c r="G1437">
        <v>3</v>
      </c>
      <c r="H1437" t="s">
        <v>4298</v>
      </c>
      <c r="J1437" t="s">
        <v>4742</v>
      </c>
      <c r="K1437" t="s">
        <v>81</v>
      </c>
      <c r="L1437" t="s">
        <v>33</v>
      </c>
      <c r="M1437" t="s">
        <v>4461</v>
      </c>
      <c r="N1437" t="s">
        <v>4857</v>
      </c>
      <c r="O1437" t="s">
        <v>4858</v>
      </c>
      <c r="P1437" s="2" t="s">
        <v>37</v>
      </c>
      <c r="Q1437" t="s">
        <v>1208</v>
      </c>
      <c r="R1437">
        <v>0</v>
      </c>
      <c r="S1437">
        <v>12.42</v>
      </c>
      <c r="T1437" t="s">
        <v>4859</v>
      </c>
    </row>
    <row r="1438" spans="1:20" x14ac:dyDescent="0.25">
      <c r="A1438" s="1" t="str">
        <f>HYPERLINK("https://vegkart.atlas.vegvesen.no/#/@241954.2,6591173.7,18/hva:hva%5B0%5D%5Bfilter%5D%5B0%5D%5Boperator%5D=%21%3D&amp;hva%5B0%5D%5Bfilter%5D%5B0%5D%5Btype_id%5D=9427&amp;hva%5B0%5D%5Bfilter%5D%5B0%5D%5Bverdi%5D=&amp;hva%5B0%5D%5Bid%5D=25/når:2023-05-31", "Vegkart")</f>
        <v>Vegkart</v>
      </c>
      <c r="B1438">
        <v>290920358</v>
      </c>
      <c r="C1438">
        <v>25</v>
      </c>
      <c r="D1438" t="s">
        <v>4290</v>
      </c>
      <c r="E1438">
        <v>9427</v>
      </c>
      <c r="F1438" t="s">
        <v>23479</v>
      </c>
      <c r="G1438">
        <v>3</v>
      </c>
      <c r="H1438" t="s">
        <v>4298</v>
      </c>
      <c r="J1438" t="s">
        <v>4742</v>
      </c>
      <c r="K1438" t="s">
        <v>81</v>
      </c>
      <c r="L1438" t="s">
        <v>33</v>
      </c>
      <c r="M1438" t="s">
        <v>4461</v>
      </c>
      <c r="N1438" t="s">
        <v>4860</v>
      </c>
      <c r="O1438" t="s">
        <v>4861</v>
      </c>
      <c r="P1438" s="2" t="s">
        <v>37</v>
      </c>
      <c r="Q1438" t="s">
        <v>1208</v>
      </c>
      <c r="R1438">
        <v>0</v>
      </c>
      <c r="S1438">
        <v>12.42</v>
      </c>
      <c r="T1438" t="s">
        <v>4862</v>
      </c>
    </row>
    <row r="1439" spans="1:20" x14ac:dyDescent="0.25">
      <c r="A1439" s="1" t="str">
        <f>HYPERLINK("https://vegkart.atlas.vegvesen.no/#/@242165.1,6591476.0,18/hva:hva%5B0%5D%5Bfilter%5D%5B0%5D%5Boperator%5D=%21%3D&amp;hva%5B0%5D%5Bfilter%5D%5B0%5D%5Btype_id%5D=9427&amp;hva%5B0%5D%5Bfilter%5D%5B0%5D%5Bverdi%5D=&amp;hva%5B0%5D%5Bid%5D=25/når:2023-05-31", "Vegkart")</f>
        <v>Vegkart</v>
      </c>
      <c r="B1439">
        <v>290920369</v>
      </c>
      <c r="C1439">
        <v>25</v>
      </c>
      <c r="D1439" t="s">
        <v>4290</v>
      </c>
      <c r="E1439">
        <v>9427</v>
      </c>
      <c r="F1439" t="s">
        <v>23479</v>
      </c>
      <c r="G1439">
        <v>3</v>
      </c>
      <c r="H1439" t="s">
        <v>4298</v>
      </c>
      <c r="J1439" t="s">
        <v>4742</v>
      </c>
      <c r="K1439" t="s">
        <v>81</v>
      </c>
      <c r="L1439" t="s">
        <v>33</v>
      </c>
      <c r="M1439" t="s">
        <v>4461</v>
      </c>
      <c r="N1439" t="s">
        <v>4863</v>
      </c>
      <c r="O1439" t="s">
        <v>4864</v>
      </c>
      <c r="P1439" s="2" t="s">
        <v>37</v>
      </c>
      <c r="Q1439" t="s">
        <v>1208</v>
      </c>
      <c r="R1439">
        <v>0</v>
      </c>
      <c r="S1439">
        <v>10.89</v>
      </c>
      <c r="T1439" t="s">
        <v>4865</v>
      </c>
    </row>
    <row r="1440" spans="1:20" x14ac:dyDescent="0.25">
      <c r="A1440" s="1" t="str">
        <f>HYPERLINK("https://vegkart.atlas.vegvesen.no/#/@238779.6,6578688.1,18/hva:hva%5B0%5D%5Bfilter%5D%5B0%5D%5Boperator%5D=%21%3D&amp;hva%5B0%5D%5Bfilter%5D%5B0%5D%5Btype_id%5D=9427&amp;hva%5B0%5D%5Bfilter%5D%5B0%5D%5Bverdi%5D=&amp;hva%5B0%5D%5Bid%5D=25/når:2023-05-31", "Vegkart")</f>
        <v>Vegkart</v>
      </c>
      <c r="B1440">
        <v>291191042</v>
      </c>
      <c r="C1440">
        <v>25</v>
      </c>
      <c r="D1440" t="s">
        <v>4290</v>
      </c>
      <c r="E1440">
        <v>9427</v>
      </c>
      <c r="F1440" t="s">
        <v>23479</v>
      </c>
      <c r="G1440">
        <v>4</v>
      </c>
      <c r="H1440" t="s">
        <v>4298</v>
      </c>
      <c r="J1440" t="s">
        <v>4742</v>
      </c>
      <c r="K1440" t="s">
        <v>81</v>
      </c>
      <c r="L1440" t="s">
        <v>33</v>
      </c>
      <c r="M1440" t="s">
        <v>4461</v>
      </c>
      <c r="N1440" t="s">
        <v>4866</v>
      </c>
      <c r="O1440" t="s">
        <v>4867</v>
      </c>
      <c r="P1440" s="2" t="s">
        <v>37</v>
      </c>
      <c r="Q1440" t="s">
        <v>1208</v>
      </c>
      <c r="R1440">
        <v>0</v>
      </c>
      <c r="S1440">
        <v>11.32</v>
      </c>
      <c r="T1440" t="s">
        <v>4868</v>
      </c>
    </row>
    <row r="1441" spans="1:20" x14ac:dyDescent="0.25">
      <c r="A1441" s="1" t="str">
        <f>HYPERLINK("https://vegkart.atlas.vegvesen.no/#/@238651.0,6579346.1,18/hva:hva%5B0%5D%5Bfilter%5D%5B0%5D%5Boperator%5D=%21%3D&amp;hva%5B0%5D%5Bfilter%5D%5B0%5D%5Btype_id%5D=9427&amp;hva%5B0%5D%5Bfilter%5D%5B0%5D%5Bverdi%5D=&amp;hva%5B0%5D%5Bid%5D=25/når:2023-05-31", "Vegkart")</f>
        <v>Vegkart</v>
      </c>
      <c r="B1441">
        <v>291191084</v>
      </c>
      <c r="C1441">
        <v>25</v>
      </c>
      <c r="D1441" t="s">
        <v>4290</v>
      </c>
      <c r="E1441">
        <v>9427</v>
      </c>
      <c r="F1441" t="s">
        <v>23479</v>
      </c>
      <c r="G1441">
        <v>3</v>
      </c>
      <c r="H1441" t="s">
        <v>4298</v>
      </c>
      <c r="J1441" t="s">
        <v>4742</v>
      </c>
      <c r="K1441" t="s">
        <v>81</v>
      </c>
      <c r="L1441" t="s">
        <v>33</v>
      </c>
      <c r="M1441" t="s">
        <v>4461</v>
      </c>
      <c r="N1441" t="s">
        <v>4869</v>
      </c>
      <c r="O1441" t="s">
        <v>4870</v>
      </c>
      <c r="P1441" s="2" t="s">
        <v>37</v>
      </c>
      <c r="Q1441" t="s">
        <v>1208</v>
      </c>
      <c r="R1441">
        <v>0</v>
      </c>
      <c r="S1441">
        <v>11.5</v>
      </c>
      <c r="T1441" t="s">
        <v>4871</v>
      </c>
    </row>
    <row r="1442" spans="1:20" x14ac:dyDescent="0.25">
      <c r="A1442" s="1" t="str">
        <f>HYPERLINK("https://vegkart.atlas.vegvesen.no/#/@238629.9,6579344.3,18/hva:hva%5B0%5D%5Bfilter%5D%5B0%5D%5Boperator%5D=%21%3D&amp;hva%5B0%5D%5Bfilter%5D%5B0%5D%5Btype_id%5D=9427&amp;hva%5B0%5D%5Bfilter%5D%5B0%5D%5Bverdi%5D=&amp;hva%5B0%5D%5Bid%5D=25/når:2023-05-31", "Vegkart")</f>
        <v>Vegkart</v>
      </c>
      <c r="B1442">
        <v>291191086</v>
      </c>
      <c r="C1442">
        <v>25</v>
      </c>
      <c r="D1442" t="s">
        <v>4290</v>
      </c>
      <c r="E1442">
        <v>9427</v>
      </c>
      <c r="F1442" t="s">
        <v>23479</v>
      </c>
      <c r="G1442">
        <v>3</v>
      </c>
      <c r="H1442" t="s">
        <v>4298</v>
      </c>
      <c r="J1442" t="s">
        <v>4742</v>
      </c>
      <c r="K1442" t="s">
        <v>81</v>
      </c>
      <c r="L1442" t="s">
        <v>33</v>
      </c>
      <c r="M1442" t="s">
        <v>4461</v>
      </c>
      <c r="N1442" t="s">
        <v>4869</v>
      </c>
      <c r="O1442" t="s">
        <v>4872</v>
      </c>
      <c r="P1442" s="2" t="s">
        <v>37</v>
      </c>
      <c r="Q1442" t="s">
        <v>1208</v>
      </c>
      <c r="R1442">
        <v>0</v>
      </c>
      <c r="S1442">
        <v>11.73</v>
      </c>
      <c r="T1442" t="s">
        <v>4873</v>
      </c>
    </row>
    <row r="1443" spans="1:20" x14ac:dyDescent="0.25">
      <c r="A1443" s="1" t="str">
        <f>HYPERLINK("https://vegkart.atlas.vegvesen.no/#/@238825.5,6580466.5,18/hva:hva%5B0%5D%5Bfilter%5D%5B0%5D%5Boperator%5D=%21%3D&amp;hva%5B0%5D%5Bfilter%5D%5B0%5D%5Btype_id%5D=9427&amp;hva%5B0%5D%5Bfilter%5D%5B0%5D%5Bverdi%5D=&amp;hva%5B0%5D%5Bid%5D=25/når:2023-05-31", "Vegkart")</f>
        <v>Vegkart</v>
      </c>
      <c r="B1443">
        <v>291191114</v>
      </c>
      <c r="C1443">
        <v>25</v>
      </c>
      <c r="D1443" t="s">
        <v>4290</v>
      </c>
      <c r="E1443">
        <v>9427</v>
      </c>
      <c r="F1443" t="s">
        <v>23479</v>
      </c>
      <c r="G1443">
        <v>3</v>
      </c>
      <c r="H1443" t="s">
        <v>4298</v>
      </c>
      <c r="J1443" t="s">
        <v>4742</v>
      </c>
      <c r="K1443" t="s">
        <v>81</v>
      </c>
      <c r="L1443" t="s">
        <v>33</v>
      </c>
      <c r="M1443" t="s">
        <v>4461</v>
      </c>
      <c r="N1443" t="s">
        <v>4874</v>
      </c>
      <c r="O1443" t="s">
        <v>4875</v>
      </c>
      <c r="P1443" s="2" t="s">
        <v>37</v>
      </c>
      <c r="Q1443" t="s">
        <v>1208</v>
      </c>
      <c r="R1443">
        <v>0</v>
      </c>
      <c r="S1443">
        <v>10.26</v>
      </c>
      <c r="T1443" t="s">
        <v>4876</v>
      </c>
    </row>
    <row r="1444" spans="1:20" x14ac:dyDescent="0.25">
      <c r="A1444" s="1" t="str">
        <f>HYPERLINK("https://vegkart.atlas.vegvesen.no/#/@238862.5,6580504.2,18/hva:hva%5B0%5D%5Bfilter%5D%5B0%5D%5Boperator%5D=%21%3D&amp;hva%5B0%5D%5Bfilter%5D%5B0%5D%5Btype_id%5D=9427&amp;hva%5B0%5D%5Bfilter%5D%5B0%5D%5Bverdi%5D=&amp;hva%5B0%5D%5Bid%5D=25/når:2023-05-31", "Vegkart")</f>
        <v>Vegkart</v>
      </c>
      <c r="B1444">
        <v>291191119</v>
      </c>
      <c r="C1444">
        <v>25</v>
      </c>
      <c r="D1444" t="s">
        <v>4290</v>
      </c>
      <c r="E1444">
        <v>9427</v>
      </c>
      <c r="F1444" t="s">
        <v>23479</v>
      </c>
      <c r="G1444">
        <v>3</v>
      </c>
      <c r="H1444" t="s">
        <v>4298</v>
      </c>
      <c r="J1444" t="s">
        <v>4742</v>
      </c>
      <c r="K1444" t="s">
        <v>81</v>
      </c>
      <c r="L1444" t="s">
        <v>33</v>
      </c>
      <c r="M1444" t="s">
        <v>4461</v>
      </c>
      <c r="N1444" t="s">
        <v>4877</v>
      </c>
      <c r="O1444" t="s">
        <v>4878</v>
      </c>
      <c r="P1444" s="2" t="s">
        <v>37</v>
      </c>
      <c r="Q1444" t="s">
        <v>1208</v>
      </c>
      <c r="R1444">
        <v>0</v>
      </c>
      <c r="S1444">
        <v>10.58</v>
      </c>
      <c r="T1444" t="s">
        <v>4879</v>
      </c>
    </row>
    <row r="1445" spans="1:20" x14ac:dyDescent="0.25">
      <c r="A1445" s="1" t="str">
        <f>HYPERLINK("https://vegkart.atlas.vegvesen.no/#/@241633.8,6575551.7,18/hva:hva%5B0%5D%5Bfilter%5D%5B0%5D%5Boperator%5D=%21%3D&amp;hva%5B0%5D%5Bfilter%5D%5B0%5D%5Btype_id%5D=9427&amp;hva%5B0%5D%5Bfilter%5D%5B0%5D%5Bverdi%5D=&amp;hva%5B0%5D%5Bid%5D=25/når:2023-05-31", "Vegkart")</f>
        <v>Vegkart</v>
      </c>
      <c r="B1445">
        <v>339487870</v>
      </c>
      <c r="C1445">
        <v>25</v>
      </c>
      <c r="D1445" t="s">
        <v>4290</v>
      </c>
      <c r="E1445">
        <v>9427</v>
      </c>
      <c r="F1445" t="s">
        <v>23479</v>
      </c>
      <c r="G1445">
        <v>3</v>
      </c>
      <c r="H1445" t="s">
        <v>4298</v>
      </c>
      <c r="J1445" t="s">
        <v>4880</v>
      </c>
      <c r="K1445" t="s">
        <v>81</v>
      </c>
      <c r="L1445" t="s">
        <v>33</v>
      </c>
      <c r="M1445" t="s">
        <v>1804</v>
      </c>
      <c r="N1445" t="s">
        <v>4881</v>
      </c>
      <c r="O1445" t="s">
        <v>4882</v>
      </c>
      <c r="P1445" s="2" t="s">
        <v>37</v>
      </c>
      <c r="Q1445" t="s">
        <v>1208</v>
      </c>
      <c r="R1445">
        <v>0</v>
      </c>
      <c r="S1445">
        <v>11.55</v>
      </c>
      <c r="T1445" t="s">
        <v>4883</v>
      </c>
    </row>
    <row r="1446" spans="1:20" x14ac:dyDescent="0.25">
      <c r="A1446" s="1" t="str">
        <f>HYPERLINK("https://vegkart.atlas.vegvesen.no/#/@241553.5,6579281.1,18/hva:hva%5B0%5D%5Bfilter%5D%5B0%5D%5Boperator%5D=%21%3D&amp;hva%5B0%5D%5Bfilter%5D%5B0%5D%5Btype_id%5D=9427&amp;hva%5B0%5D%5Bfilter%5D%5B0%5D%5Bverdi%5D=&amp;hva%5B0%5D%5Bid%5D=25/når:2023-05-31", "Vegkart")</f>
        <v>Vegkart</v>
      </c>
      <c r="B1446">
        <v>370137203</v>
      </c>
      <c r="C1446">
        <v>25</v>
      </c>
      <c r="D1446" t="s">
        <v>4290</v>
      </c>
      <c r="E1446">
        <v>9427</v>
      </c>
      <c r="F1446" t="s">
        <v>23479</v>
      </c>
      <c r="G1446">
        <v>4</v>
      </c>
      <c r="H1446" t="s">
        <v>4298</v>
      </c>
      <c r="J1446" t="s">
        <v>4880</v>
      </c>
      <c r="K1446" t="s">
        <v>81</v>
      </c>
      <c r="L1446" t="s">
        <v>33</v>
      </c>
      <c r="M1446" t="s">
        <v>1916</v>
      </c>
      <c r="N1446" t="s">
        <v>4884</v>
      </c>
      <c r="O1446" t="s">
        <v>4885</v>
      </c>
      <c r="P1446" s="2" t="s">
        <v>37</v>
      </c>
      <c r="Q1446" t="s">
        <v>1208</v>
      </c>
      <c r="R1446">
        <v>0</v>
      </c>
      <c r="S1446">
        <v>10.95</v>
      </c>
      <c r="T1446" t="s">
        <v>4886</v>
      </c>
    </row>
    <row r="1447" spans="1:20" x14ac:dyDescent="0.25">
      <c r="A1447" s="1" t="str">
        <f>HYPERLINK("https://vegkart.atlas.vegvesen.no/#/@234677.3,6583948.4,18/hva:hva%5B0%5D%5Bfilter%5D%5B0%5D%5Boperator%5D=%21%3D&amp;hva%5B0%5D%5Bfilter%5D%5B0%5D%5Btype_id%5D=9427&amp;hva%5B0%5D%5Bfilter%5D%5B0%5D%5Bverdi%5D=&amp;hva%5B0%5D%5Bid%5D=25/når:2023-05-31", "Vegkart")</f>
        <v>Vegkart</v>
      </c>
      <c r="B1447">
        <v>376158957</v>
      </c>
      <c r="C1447">
        <v>25</v>
      </c>
      <c r="D1447" t="s">
        <v>4290</v>
      </c>
      <c r="E1447">
        <v>9427</v>
      </c>
      <c r="F1447" t="s">
        <v>23479</v>
      </c>
      <c r="G1447">
        <v>5</v>
      </c>
      <c r="H1447" t="s">
        <v>4298</v>
      </c>
      <c r="J1447" t="s">
        <v>4880</v>
      </c>
      <c r="K1447" t="s">
        <v>81</v>
      </c>
      <c r="L1447" t="s">
        <v>33</v>
      </c>
      <c r="M1447" t="s">
        <v>3298</v>
      </c>
      <c r="N1447" t="s">
        <v>4887</v>
      </c>
      <c r="O1447" t="s">
        <v>4888</v>
      </c>
      <c r="P1447" s="2" t="s">
        <v>165</v>
      </c>
      <c r="Q1447" t="s">
        <v>166</v>
      </c>
      <c r="R1447">
        <v>0</v>
      </c>
      <c r="S1447">
        <v>11.8</v>
      </c>
      <c r="T1447" t="s">
        <v>167</v>
      </c>
    </row>
    <row r="1448" spans="1:20" x14ac:dyDescent="0.25">
      <c r="A1448" s="1" t="str">
        <f>HYPERLINK("https://vegkart.atlas.vegvesen.no/#/@234655.9,6583982.9,18/hva:hva%5B0%5D%5Bfilter%5D%5B0%5D%5Boperator%5D=%21%3D&amp;hva%5B0%5D%5Bfilter%5D%5B0%5D%5Btype_id%5D=9427&amp;hva%5B0%5D%5Bfilter%5D%5B0%5D%5Bverdi%5D=&amp;hva%5B0%5D%5Bid%5D=25/når:2023-05-31", "Vegkart")</f>
        <v>Vegkart</v>
      </c>
      <c r="B1448">
        <v>376158958</v>
      </c>
      <c r="C1448">
        <v>25</v>
      </c>
      <c r="D1448" t="s">
        <v>4290</v>
      </c>
      <c r="E1448">
        <v>9427</v>
      </c>
      <c r="F1448" t="s">
        <v>23479</v>
      </c>
      <c r="G1448">
        <v>4</v>
      </c>
      <c r="H1448" t="s">
        <v>4298</v>
      </c>
      <c r="J1448" t="s">
        <v>4880</v>
      </c>
      <c r="K1448" t="s">
        <v>81</v>
      </c>
      <c r="L1448" t="s">
        <v>33</v>
      </c>
      <c r="M1448" t="s">
        <v>3298</v>
      </c>
      <c r="N1448" t="s">
        <v>4889</v>
      </c>
      <c r="O1448" t="s">
        <v>4890</v>
      </c>
      <c r="P1448" s="2" t="s">
        <v>165</v>
      </c>
      <c r="Q1448" t="s">
        <v>166</v>
      </c>
      <c r="R1448">
        <v>0</v>
      </c>
      <c r="S1448">
        <v>11.75</v>
      </c>
      <c r="T1448" t="s">
        <v>167</v>
      </c>
    </row>
    <row r="1449" spans="1:20" x14ac:dyDescent="0.25">
      <c r="A1449" s="1" t="str">
        <f>HYPERLINK("https://vegkart.atlas.vegvesen.no/#/@240618.4,6579102.0,18/hva:hva%5B0%5D%5Bfilter%5D%5B0%5D%5Boperator%5D=%21%3D&amp;hva%5B0%5D%5Bfilter%5D%5B0%5D%5Btype_id%5D=9427&amp;hva%5B0%5D%5Bfilter%5D%5B0%5D%5Bverdi%5D=&amp;hva%5B0%5D%5Bid%5D=25/når:2023-05-31", "Vegkart")</f>
        <v>Vegkart</v>
      </c>
      <c r="B1449">
        <v>376159250</v>
      </c>
      <c r="C1449">
        <v>25</v>
      </c>
      <c r="D1449" t="s">
        <v>4290</v>
      </c>
      <c r="E1449">
        <v>9427</v>
      </c>
      <c r="F1449" t="s">
        <v>23479</v>
      </c>
      <c r="G1449">
        <v>5</v>
      </c>
      <c r="H1449" t="s">
        <v>4298</v>
      </c>
      <c r="J1449" t="s">
        <v>4880</v>
      </c>
      <c r="K1449" t="s">
        <v>81</v>
      </c>
      <c r="L1449" t="s">
        <v>33</v>
      </c>
      <c r="M1449" t="s">
        <v>4891</v>
      </c>
      <c r="N1449" t="s">
        <v>4892</v>
      </c>
      <c r="O1449" t="s">
        <v>4893</v>
      </c>
      <c r="P1449" s="2" t="s">
        <v>165</v>
      </c>
      <c r="Q1449" t="s">
        <v>166</v>
      </c>
      <c r="R1449">
        <v>0</v>
      </c>
      <c r="S1449">
        <v>11.89</v>
      </c>
      <c r="T1449" t="s">
        <v>167</v>
      </c>
    </row>
    <row r="1450" spans="1:20" x14ac:dyDescent="0.25">
      <c r="A1450" s="1" t="str">
        <f>HYPERLINK("https://vegkart.atlas.vegvesen.no/#/@221307.8,6606017.1,18/hva:hva%5B0%5D%5Bfilter%5D%5B0%5D%5Boperator%5D=%21%3D&amp;hva%5B0%5D%5Bfilter%5D%5B0%5D%5Btype_id%5D=9427&amp;hva%5B0%5D%5Bfilter%5D%5B0%5D%5Bverdi%5D=&amp;hva%5B0%5D%5Bid%5D=25/når:2023-05-31", "Vegkart")</f>
        <v>Vegkart</v>
      </c>
      <c r="B1450">
        <v>376382191</v>
      </c>
      <c r="C1450">
        <v>25</v>
      </c>
      <c r="D1450" t="s">
        <v>4290</v>
      </c>
      <c r="E1450">
        <v>9427</v>
      </c>
      <c r="F1450" t="s">
        <v>23479</v>
      </c>
      <c r="G1450">
        <v>5</v>
      </c>
      <c r="H1450" t="s">
        <v>4298</v>
      </c>
      <c r="J1450" t="s">
        <v>4894</v>
      </c>
      <c r="K1450" t="s">
        <v>81</v>
      </c>
      <c r="L1450" t="s">
        <v>33</v>
      </c>
      <c r="M1450" t="s">
        <v>132</v>
      </c>
      <c r="N1450" t="s">
        <v>4895</v>
      </c>
      <c r="O1450" t="s">
        <v>4896</v>
      </c>
      <c r="P1450" s="2" t="s">
        <v>165</v>
      </c>
      <c r="Q1450" t="s">
        <v>166</v>
      </c>
      <c r="R1450">
        <v>0</v>
      </c>
      <c r="S1450">
        <v>8.9</v>
      </c>
      <c r="T1450" t="s">
        <v>167</v>
      </c>
    </row>
    <row r="1451" spans="1:20" x14ac:dyDescent="0.25">
      <c r="A1451" s="1" t="str">
        <f>HYPERLINK("https://vegkart.atlas.vegvesen.no/#/@231226.3,6574798.5,18/hva:hva%5B0%5D%5Bfilter%5D%5B0%5D%5Boperator%5D=%21%3D&amp;hva%5B0%5D%5Bfilter%5D%5B0%5D%5Btype_id%5D=9427&amp;hva%5B0%5D%5Bfilter%5D%5B0%5D%5Bverdi%5D=&amp;hva%5B0%5D%5Bid%5D=25/når:2023-05-31", "Vegkart")</f>
        <v>Vegkart</v>
      </c>
      <c r="B1451">
        <v>376929737</v>
      </c>
      <c r="C1451">
        <v>25</v>
      </c>
      <c r="D1451" t="s">
        <v>4290</v>
      </c>
      <c r="E1451">
        <v>9427</v>
      </c>
      <c r="F1451" t="s">
        <v>23479</v>
      </c>
      <c r="G1451">
        <v>3</v>
      </c>
      <c r="H1451" t="s">
        <v>4298</v>
      </c>
      <c r="J1451" t="s">
        <v>4894</v>
      </c>
      <c r="K1451" t="s">
        <v>81</v>
      </c>
      <c r="L1451" t="s">
        <v>33</v>
      </c>
      <c r="M1451" t="s">
        <v>1884</v>
      </c>
      <c r="N1451" t="s">
        <v>4897</v>
      </c>
      <c r="O1451" t="s">
        <v>4898</v>
      </c>
      <c r="P1451" s="2" t="s">
        <v>37</v>
      </c>
      <c r="Q1451" t="s">
        <v>1208</v>
      </c>
      <c r="R1451">
        <v>0</v>
      </c>
      <c r="S1451">
        <v>11.6</v>
      </c>
      <c r="T1451" t="s">
        <v>4899</v>
      </c>
    </row>
    <row r="1452" spans="1:20" x14ac:dyDescent="0.25">
      <c r="A1452" s="1" t="str">
        <f>HYPERLINK("https://vegkart.atlas.vegvesen.no/#/@214960.1,6550662.1,18/hva:hva%5B0%5D%5Bfilter%5D%5B0%5D%5Boperator%5D=%21%3D&amp;hva%5B0%5D%5Bfilter%5D%5B0%5D%5Btype_id%5D=9427&amp;hva%5B0%5D%5Bfilter%5D%5B0%5D%5Bverdi%5D=&amp;hva%5B0%5D%5Bid%5D=25/når:2023-05-31", "Vegkart")</f>
        <v>Vegkart</v>
      </c>
      <c r="B1452">
        <v>398916384</v>
      </c>
      <c r="C1452">
        <v>25</v>
      </c>
      <c r="D1452" t="s">
        <v>4290</v>
      </c>
      <c r="E1452">
        <v>9427</v>
      </c>
      <c r="F1452" t="s">
        <v>23479</v>
      </c>
      <c r="G1452">
        <v>3</v>
      </c>
      <c r="H1452" t="s">
        <v>4298</v>
      </c>
      <c r="J1452" t="s">
        <v>4894</v>
      </c>
      <c r="K1452" t="s">
        <v>81</v>
      </c>
      <c r="L1452" t="s">
        <v>33</v>
      </c>
      <c r="M1452" t="s">
        <v>1958</v>
      </c>
      <c r="N1452" t="s">
        <v>4900</v>
      </c>
      <c r="O1452" t="s">
        <v>4901</v>
      </c>
      <c r="P1452" s="2" t="s">
        <v>37</v>
      </c>
      <c r="Q1452" t="s">
        <v>1208</v>
      </c>
      <c r="R1452">
        <v>0</v>
      </c>
      <c r="S1452">
        <v>11.24</v>
      </c>
      <c r="T1452" t="s">
        <v>4902</v>
      </c>
    </row>
    <row r="1453" spans="1:20" x14ac:dyDescent="0.25">
      <c r="A1453" s="1" t="str">
        <f>HYPERLINK("https://vegkart.atlas.vegvesen.no/#/@214644.0,6550070.2,18/hva:hva%5B0%5D%5Bfilter%5D%5B0%5D%5Boperator%5D=%21%3D&amp;hva%5B0%5D%5Bfilter%5D%5B0%5D%5Btype_id%5D=9427&amp;hva%5B0%5D%5Bfilter%5D%5B0%5D%5Bverdi%5D=&amp;hva%5B0%5D%5Bid%5D=25/når:2023-05-31", "Vegkart")</f>
        <v>Vegkart</v>
      </c>
      <c r="B1453">
        <v>398916449</v>
      </c>
      <c r="C1453">
        <v>25</v>
      </c>
      <c r="D1453" t="s">
        <v>4290</v>
      </c>
      <c r="E1453">
        <v>9427</v>
      </c>
      <c r="F1453" t="s">
        <v>23479</v>
      </c>
      <c r="G1453">
        <v>3</v>
      </c>
      <c r="H1453" t="s">
        <v>4298</v>
      </c>
      <c r="J1453" t="s">
        <v>4894</v>
      </c>
      <c r="K1453" t="s">
        <v>81</v>
      </c>
      <c r="L1453" t="s">
        <v>33</v>
      </c>
      <c r="M1453" t="s">
        <v>1958</v>
      </c>
      <c r="N1453" t="s">
        <v>4903</v>
      </c>
      <c r="O1453" t="s">
        <v>4904</v>
      </c>
      <c r="P1453" s="2" t="s">
        <v>37</v>
      </c>
      <c r="Q1453" t="s">
        <v>1208</v>
      </c>
      <c r="R1453">
        <v>0</v>
      </c>
      <c r="S1453">
        <v>10.84</v>
      </c>
      <c r="T1453" t="s">
        <v>4905</v>
      </c>
    </row>
    <row r="1454" spans="1:20" x14ac:dyDescent="0.25">
      <c r="A1454" s="1" t="str">
        <f>HYPERLINK("https://vegkart.atlas.vegvesen.no/#/@214557.9,6549908.5,18/hva:hva%5B0%5D%5Bfilter%5D%5B0%5D%5Boperator%5D=%21%3D&amp;hva%5B0%5D%5Bfilter%5D%5B0%5D%5Btype_id%5D=9427&amp;hva%5B0%5D%5Bfilter%5D%5B0%5D%5Bverdi%5D=&amp;hva%5B0%5D%5Bid%5D=25/når:2023-05-31", "Vegkart")</f>
        <v>Vegkart</v>
      </c>
      <c r="B1454">
        <v>398916470</v>
      </c>
      <c r="C1454">
        <v>25</v>
      </c>
      <c r="D1454" t="s">
        <v>4290</v>
      </c>
      <c r="E1454">
        <v>9427</v>
      </c>
      <c r="F1454" t="s">
        <v>23479</v>
      </c>
      <c r="G1454">
        <v>3</v>
      </c>
      <c r="H1454" t="s">
        <v>4298</v>
      </c>
      <c r="J1454" t="s">
        <v>4894</v>
      </c>
      <c r="K1454" t="s">
        <v>81</v>
      </c>
      <c r="L1454" t="s">
        <v>33</v>
      </c>
      <c r="M1454" t="s">
        <v>1958</v>
      </c>
      <c r="N1454" t="s">
        <v>4906</v>
      </c>
      <c r="O1454" t="s">
        <v>4907</v>
      </c>
      <c r="P1454" s="2" t="s">
        <v>37</v>
      </c>
      <c r="Q1454" t="s">
        <v>1208</v>
      </c>
      <c r="R1454">
        <v>0</v>
      </c>
      <c r="S1454">
        <v>11.8</v>
      </c>
      <c r="T1454" t="s">
        <v>4908</v>
      </c>
    </row>
    <row r="1455" spans="1:20" x14ac:dyDescent="0.25">
      <c r="A1455" s="1" t="str">
        <f>HYPERLINK("https://vegkart.atlas.vegvesen.no/#/@215040.5,6556657.4,18/hva:hva%5B0%5D%5Bfilter%5D%5B0%5D%5Boperator%5D=%21%3D&amp;hva%5B0%5D%5Bfilter%5D%5B0%5D%5Btype_id%5D=9427&amp;hva%5B0%5D%5Bfilter%5D%5B0%5D%5Bverdi%5D=&amp;hva%5B0%5D%5Bid%5D=25/når:2023-05-31", "Vegkart")</f>
        <v>Vegkart</v>
      </c>
      <c r="B1455">
        <v>414360284</v>
      </c>
      <c r="C1455">
        <v>25</v>
      </c>
      <c r="D1455" t="s">
        <v>4290</v>
      </c>
      <c r="E1455">
        <v>9427</v>
      </c>
      <c r="F1455" t="s">
        <v>23479</v>
      </c>
      <c r="G1455">
        <v>4</v>
      </c>
      <c r="H1455" t="s">
        <v>4298</v>
      </c>
      <c r="J1455" t="s">
        <v>4894</v>
      </c>
      <c r="K1455" t="s">
        <v>81</v>
      </c>
      <c r="L1455" t="s">
        <v>22</v>
      </c>
      <c r="M1455" t="s">
        <v>4909</v>
      </c>
      <c r="N1455" t="s">
        <v>4910</v>
      </c>
      <c r="O1455" t="s">
        <v>4911</v>
      </c>
      <c r="P1455" s="2" t="s">
        <v>37</v>
      </c>
      <c r="Q1455" t="s">
        <v>1208</v>
      </c>
      <c r="R1455">
        <v>0</v>
      </c>
      <c r="S1455">
        <v>20.04</v>
      </c>
      <c r="T1455" t="s">
        <v>4912</v>
      </c>
    </row>
    <row r="1456" spans="1:20" x14ac:dyDescent="0.25">
      <c r="A1456" s="1" t="str">
        <f>HYPERLINK("https://vegkart.atlas.vegvesen.no/#/@215053.3,6556665.6,18/hva:hva%5B0%5D%5Bfilter%5D%5B0%5D%5Boperator%5D=%21%3D&amp;hva%5B0%5D%5Bfilter%5D%5B0%5D%5Btype_id%5D=9427&amp;hva%5B0%5D%5Bfilter%5D%5B0%5D%5Bverdi%5D=&amp;hva%5B0%5D%5Bid%5D=25/når:2023-05-31", "Vegkart")</f>
        <v>Vegkart</v>
      </c>
      <c r="B1456">
        <v>414360286</v>
      </c>
      <c r="C1456">
        <v>25</v>
      </c>
      <c r="D1456" t="s">
        <v>4290</v>
      </c>
      <c r="E1456">
        <v>9427</v>
      </c>
      <c r="F1456" t="s">
        <v>23479</v>
      </c>
      <c r="G1456">
        <v>5</v>
      </c>
      <c r="H1456" t="s">
        <v>4298</v>
      </c>
      <c r="J1456" t="s">
        <v>4894</v>
      </c>
      <c r="K1456" t="s">
        <v>81</v>
      </c>
      <c r="L1456" t="s">
        <v>22</v>
      </c>
      <c r="M1456" t="s">
        <v>4909</v>
      </c>
      <c r="N1456" t="s">
        <v>4913</v>
      </c>
      <c r="O1456" t="s">
        <v>4914</v>
      </c>
      <c r="P1456" s="2" t="s">
        <v>37</v>
      </c>
      <c r="Q1456" t="s">
        <v>1208</v>
      </c>
      <c r="R1456">
        <v>0</v>
      </c>
      <c r="S1456">
        <v>19.54</v>
      </c>
      <c r="T1456" t="s">
        <v>4915</v>
      </c>
    </row>
    <row r="1457" spans="1:20" x14ac:dyDescent="0.25">
      <c r="A1457" s="1" t="str">
        <f>HYPERLINK("https://vegkart.atlas.vegvesen.no/#/@215094.1,6556605.4,18/hva:hva%5B0%5D%5Bfilter%5D%5B0%5D%5Boperator%5D=%21%3D&amp;hva%5B0%5D%5Bfilter%5D%5B0%5D%5Btype_id%5D=9427&amp;hva%5B0%5D%5Bfilter%5D%5B0%5D%5Bverdi%5D=&amp;hva%5B0%5D%5Bid%5D=25/når:2023-05-31", "Vegkart")</f>
        <v>Vegkart</v>
      </c>
      <c r="B1457">
        <v>414360288</v>
      </c>
      <c r="C1457">
        <v>25</v>
      </c>
      <c r="D1457" t="s">
        <v>4290</v>
      </c>
      <c r="E1457">
        <v>9427</v>
      </c>
      <c r="F1457" t="s">
        <v>23479</v>
      </c>
      <c r="G1457">
        <v>4</v>
      </c>
      <c r="H1457" t="s">
        <v>4298</v>
      </c>
      <c r="J1457" t="s">
        <v>4894</v>
      </c>
      <c r="K1457" t="s">
        <v>81</v>
      </c>
      <c r="L1457" t="s">
        <v>22</v>
      </c>
      <c r="M1457" t="s">
        <v>4909</v>
      </c>
      <c r="N1457" t="s">
        <v>4916</v>
      </c>
      <c r="O1457" t="s">
        <v>4917</v>
      </c>
      <c r="P1457" s="2" t="s">
        <v>37</v>
      </c>
      <c r="Q1457" t="s">
        <v>1208</v>
      </c>
      <c r="R1457">
        <v>0</v>
      </c>
      <c r="S1457">
        <v>17.37</v>
      </c>
      <c r="T1457" t="s">
        <v>4918</v>
      </c>
    </row>
    <row r="1458" spans="1:20" x14ac:dyDescent="0.25">
      <c r="A1458" s="1" t="str">
        <f>HYPERLINK("https://vegkart.atlas.vegvesen.no/#/@215062.4,6556707.9,18/hva:hva%5B0%5D%5Bfilter%5D%5B0%5D%5Boperator%5D=%21%3D&amp;hva%5B0%5D%5Bfilter%5D%5B0%5D%5Btype_id%5D=9427&amp;hva%5B0%5D%5Bfilter%5D%5B0%5D%5Bverdi%5D=&amp;hva%5B0%5D%5Bid%5D=25/når:2023-05-31", "Vegkart")</f>
        <v>Vegkart</v>
      </c>
      <c r="B1458">
        <v>415685988</v>
      </c>
      <c r="C1458">
        <v>25</v>
      </c>
      <c r="D1458" t="s">
        <v>4290</v>
      </c>
      <c r="E1458">
        <v>9427</v>
      </c>
      <c r="F1458" t="s">
        <v>23479</v>
      </c>
      <c r="G1458">
        <v>3</v>
      </c>
      <c r="H1458" t="s">
        <v>4298</v>
      </c>
      <c r="J1458" t="s">
        <v>4894</v>
      </c>
      <c r="K1458" t="s">
        <v>81</v>
      </c>
      <c r="L1458" t="s">
        <v>33</v>
      </c>
      <c r="M1458" t="s">
        <v>4693</v>
      </c>
      <c r="N1458" t="s">
        <v>4919</v>
      </c>
      <c r="O1458" t="s">
        <v>4920</v>
      </c>
      <c r="P1458" s="2" t="s">
        <v>37</v>
      </c>
      <c r="Q1458" t="s">
        <v>1208</v>
      </c>
      <c r="R1458">
        <v>0</v>
      </c>
      <c r="S1458">
        <v>29.91</v>
      </c>
      <c r="T1458" t="s">
        <v>4921</v>
      </c>
    </row>
    <row r="1459" spans="1:20" x14ac:dyDescent="0.25">
      <c r="A1459" s="1" t="str">
        <f>HYPERLINK("https://vegkart.atlas.vegvesen.no/#/@214994.8,6556712.3,18/hva:hva%5B0%5D%5Bfilter%5D%5B0%5D%5Boperator%5D=%21%3D&amp;hva%5B0%5D%5Bfilter%5D%5B0%5D%5Btype_id%5D=9427&amp;hva%5B0%5D%5Bfilter%5D%5B0%5D%5Bverdi%5D=&amp;hva%5B0%5D%5Bid%5D=25/når:2023-05-31", "Vegkart")</f>
        <v>Vegkart</v>
      </c>
      <c r="B1459">
        <v>415686005</v>
      </c>
      <c r="C1459">
        <v>25</v>
      </c>
      <c r="D1459" t="s">
        <v>4290</v>
      </c>
      <c r="E1459">
        <v>9427</v>
      </c>
      <c r="F1459" t="s">
        <v>23479</v>
      </c>
      <c r="G1459">
        <v>3</v>
      </c>
      <c r="H1459" t="s">
        <v>4298</v>
      </c>
      <c r="J1459" t="s">
        <v>4894</v>
      </c>
      <c r="K1459" t="s">
        <v>81</v>
      </c>
      <c r="L1459" t="s">
        <v>33</v>
      </c>
      <c r="M1459" t="s">
        <v>4693</v>
      </c>
      <c r="N1459" t="s">
        <v>4922</v>
      </c>
      <c r="O1459" t="s">
        <v>4923</v>
      </c>
      <c r="P1459" s="2" t="s">
        <v>37</v>
      </c>
      <c r="Q1459" t="s">
        <v>1208</v>
      </c>
      <c r="R1459">
        <v>0</v>
      </c>
      <c r="S1459">
        <v>19.45</v>
      </c>
      <c r="T1459" t="s">
        <v>4924</v>
      </c>
    </row>
    <row r="1460" spans="1:20" x14ac:dyDescent="0.25">
      <c r="A1460" s="1" t="str">
        <f>HYPERLINK("https://vegkart.atlas.vegvesen.no/#/@215962.0,6555849.6,18/hva:hva%5B0%5D%5Bfilter%5D%5B0%5D%5Boperator%5D=%21%3D&amp;hva%5B0%5D%5Bfilter%5D%5B0%5D%5Btype_id%5D=9427&amp;hva%5B0%5D%5Bfilter%5D%5B0%5D%5Bverdi%5D=&amp;hva%5B0%5D%5Bid%5D=25/når:2023-05-31", "Vegkart")</f>
        <v>Vegkart</v>
      </c>
      <c r="B1460">
        <v>415993440</v>
      </c>
      <c r="C1460">
        <v>25</v>
      </c>
      <c r="D1460" t="s">
        <v>4290</v>
      </c>
      <c r="E1460">
        <v>9427</v>
      </c>
      <c r="F1460" t="s">
        <v>23479</v>
      </c>
      <c r="G1460">
        <v>3</v>
      </c>
      <c r="H1460" t="s">
        <v>4298</v>
      </c>
      <c r="J1460" t="s">
        <v>4925</v>
      </c>
      <c r="K1460" t="s">
        <v>81</v>
      </c>
      <c r="L1460" t="s">
        <v>33</v>
      </c>
      <c r="M1460" t="s">
        <v>1812</v>
      </c>
      <c r="N1460" t="s">
        <v>4926</v>
      </c>
      <c r="O1460" t="s">
        <v>4927</v>
      </c>
      <c r="P1460" s="2" t="s">
        <v>37</v>
      </c>
      <c r="Q1460" t="s">
        <v>1208</v>
      </c>
      <c r="R1460">
        <v>0</v>
      </c>
      <c r="S1460">
        <v>13.83</v>
      </c>
      <c r="T1460" t="s">
        <v>4928</v>
      </c>
    </row>
    <row r="1461" spans="1:20" x14ac:dyDescent="0.25">
      <c r="A1461" s="1" t="str">
        <f>HYPERLINK("https://vegkart.atlas.vegvesen.no/#/@215948.8,6555833.0,18/hva:hva%5B0%5D%5Bfilter%5D%5B0%5D%5Boperator%5D=%21%3D&amp;hva%5B0%5D%5Bfilter%5D%5B0%5D%5Btype_id%5D=9427&amp;hva%5B0%5D%5Bfilter%5D%5B0%5D%5Bverdi%5D=&amp;hva%5B0%5D%5Bid%5D=25/når:2023-05-31", "Vegkart")</f>
        <v>Vegkart</v>
      </c>
      <c r="B1461">
        <v>415993441</v>
      </c>
      <c r="C1461">
        <v>25</v>
      </c>
      <c r="D1461" t="s">
        <v>4290</v>
      </c>
      <c r="E1461">
        <v>9427</v>
      </c>
      <c r="F1461" t="s">
        <v>23479</v>
      </c>
      <c r="G1461">
        <v>3</v>
      </c>
      <c r="H1461" t="s">
        <v>4298</v>
      </c>
      <c r="J1461" t="s">
        <v>4925</v>
      </c>
      <c r="K1461" t="s">
        <v>81</v>
      </c>
      <c r="L1461" t="s">
        <v>33</v>
      </c>
      <c r="M1461" t="s">
        <v>1812</v>
      </c>
      <c r="N1461" t="s">
        <v>4929</v>
      </c>
      <c r="O1461" t="s">
        <v>4930</v>
      </c>
      <c r="P1461" s="2" t="s">
        <v>37</v>
      </c>
      <c r="Q1461" t="s">
        <v>1208</v>
      </c>
      <c r="R1461">
        <v>0</v>
      </c>
      <c r="S1461">
        <v>17.260000000000002</v>
      </c>
      <c r="T1461" t="s">
        <v>4931</v>
      </c>
    </row>
    <row r="1462" spans="1:20" x14ac:dyDescent="0.25">
      <c r="A1462" s="1" t="str">
        <f>HYPERLINK("https://vegkart.atlas.vegvesen.no/#/@217131.7,6555378.6,18/hva:hva%5B0%5D%5Bfilter%5D%5B0%5D%5Boperator%5D=%21%3D&amp;hva%5B0%5D%5Bfilter%5D%5B0%5D%5Btype_id%5D=9427&amp;hva%5B0%5D%5Bfilter%5D%5B0%5D%5Bverdi%5D=&amp;hva%5B0%5D%5Bid%5D=25/når:2023-05-31", "Vegkart")</f>
        <v>Vegkart</v>
      </c>
      <c r="B1462">
        <v>416977240</v>
      </c>
      <c r="C1462">
        <v>25</v>
      </c>
      <c r="D1462" t="s">
        <v>4290</v>
      </c>
      <c r="E1462">
        <v>9427</v>
      </c>
      <c r="F1462" t="s">
        <v>23479</v>
      </c>
      <c r="G1462">
        <v>3</v>
      </c>
      <c r="H1462" t="s">
        <v>4298</v>
      </c>
      <c r="J1462" t="s">
        <v>4894</v>
      </c>
      <c r="K1462" t="s">
        <v>81</v>
      </c>
      <c r="L1462" t="s">
        <v>33</v>
      </c>
      <c r="M1462" t="s">
        <v>1812</v>
      </c>
      <c r="N1462" t="s">
        <v>4932</v>
      </c>
      <c r="O1462" t="s">
        <v>4933</v>
      </c>
      <c r="P1462" s="2" t="s">
        <v>37</v>
      </c>
      <c r="Q1462" t="s">
        <v>1208</v>
      </c>
      <c r="R1462">
        <v>0</v>
      </c>
      <c r="S1462">
        <v>10.28</v>
      </c>
      <c r="T1462" t="s">
        <v>4934</v>
      </c>
    </row>
    <row r="1463" spans="1:20" x14ac:dyDescent="0.25">
      <c r="A1463" s="1" t="str">
        <f>HYPERLINK("https://vegkart.atlas.vegvesen.no/#/@223475.2,6556699.0,18/hva:hva%5B0%5D%5Bfilter%5D%5B0%5D%5Boperator%5D=%21%3D&amp;hva%5B0%5D%5Bfilter%5D%5B0%5D%5Btype_id%5D=9427&amp;hva%5B0%5D%5Bfilter%5D%5B0%5D%5Bverdi%5D=&amp;hva%5B0%5D%5Bid%5D=25/når:2023-05-31", "Vegkart")</f>
        <v>Vegkart</v>
      </c>
      <c r="B1463">
        <v>424526669</v>
      </c>
      <c r="C1463">
        <v>25</v>
      </c>
      <c r="D1463" t="s">
        <v>4290</v>
      </c>
      <c r="E1463">
        <v>9427</v>
      </c>
      <c r="F1463" t="s">
        <v>23479</v>
      </c>
      <c r="G1463">
        <v>3</v>
      </c>
      <c r="H1463" t="s">
        <v>4298</v>
      </c>
      <c r="J1463" t="s">
        <v>4894</v>
      </c>
      <c r="K1463" t="s">
        <v>81</v>
      </c>
      <c r="L1463" t="s">
        <v>33</v>
      </c>
      <c r="M1463" t="s">
        <v>1812</v>
      </c>
      <c r="N1463" t="s">
        <v>4935</v>
      </c>
      <c r="O1463" t="s">
        <v>4936</v>
      </c>
      <c r="P1463" s="2" t="s">
        <v>37</v>
      </c>
      <c r="Q1463" t="s">
        <v>1208</v>
      </c>
      <c r="R1463">
        <v>0</v>
      </c>
      <c r="S1463">
        <v>32.520000000000003</v>
      </c>
      <c r="T1463" t="s">
        <v>4937</v>
      </c>
    </row>
    <row r="1464" spans="1:20" x14ac:dyDescent="0.25">
      <c r="A1464" s="1" t="str">
        <f>HYPERLINK("https://vegkart.atlas.vegvesen.no/#/@230410.7,6566155.0,18/hva:hva%5B0%5D%5Bfilter%5D%5B0%5D%5Boperator%5D=%21%3D&amp;hva%5B0%5D%5Bfilter%5D%5B0%5D%5Btype_id%5D=9427&amp;hva%5B0%5D%5Bfilter%5D%5B0%5D%5Bverdi%5D=&amp;hva%5B0%5D%5Bid%5D=25/når:2023-05-31", "Vegkart")</f>
        <v>Vegkart</v>
      </c>
      <c r="B1464">
        <v>424526769</v>
      </c>
      <c r="C1464">
        <v>25</v>
      </c>
      <c r="D1464" t="s">
        <v>4290</v>
      </c>
      <c r="E1464">
        <v>9427</v>
      </c>
      <c r="F1464" t="s">
        <v>23479</v>
      </c>
      <c r="G1464">
        <v>3</v>
      </c>
      <c r="H1464" t="s">
        <v>4298</v>
      </c>
      <c r="J1464" t="s">
        <v>4894</v>
      </c>
      <c r="K1464" t="s">
        <v>81</v>
      </c>
      <c r="L1464" t="s">
        <v>33</v>
      </c>
      <c r="M1464" t="s">
        <v>1812</v>
      </c>
      <c r="N1464" t="s">
        <v>4938</v>
      </c>
      <c r="O1464" t="s">
        <v>4939</v>
      </c>
      <c r="P1464" s="2" t="s">
        <v>37</v>
      </c>
      <c r="Q1464" t="s">
        <v>1208</v>
      </c>
      <c r="R1464">
        <v>0</v>
      </c>
      <c r="S1464">
        <v>11.45</v>
      </c>
      <c r="T1464" t="s">
        <v>4940</v>
      </c>
    </row>
    <row r="1465" spans="1:20" x14ac:dyDescent="0.25">
      <c r="A1465" s="1" t="str">
        <f>HYPERLINK("https://vegkart.atlas.vegvesen.no/#/@222499.0,6564248.6,18/hva:hva%5B0%5D%5Bfilter%5D%5B0%5D%5Boperator%5D=%21%3D&amp;hva%5B0%5D%5Bfilter%5D%5B0%5D%5Btype_id%5D=9427&amp;hva%5B0%5D%5Bfilter%5D%5B0%5D%5Bverdi%5D=&amp;hva%5B0%5D%5Bid%5D=25/når:2023-05-31", "Vegkart")</f>
        <v>Vegkart</v>
      </c>
      <c r="B1465">
        <v>435821934</v>
      </c>
      <c r="C1465">
        <v>25</v>
      </c>
      <c r="D1465" t="s">
        <v>4290</v>
      </c>
      <c r="E1465">
        <v>9427</v>
      </c>
      <c r="F1465" t="s">
        <v>23479</v>
      </c>
      <c r="G1465">
        <v>3</v>
      </c>
      <c r="H1465" t="s">
        <v>4298</v>
      </c>
      <c r="J1465" t="s">
        <v>4894</v>
      </c>
      <c r="K1465" t="s">
        <v>81</v>
      </c>
      <c r="L1465" t="s">
        <v>33</v>
      </c>
      <c r="M1465" t="s">
        <v>4333</v>
      </c>
      <c r="N1465" t="s">
        <v>4941</v>
      </c>
      <c r="O1465" t="s">
        <v>4942</v>
      </c>
      <c r="P1465" s="2" t="s">
        <v>37</v>
      </c>
      <c r="Q1465" t="s">
        <v>1208</v>
      </c>
      <c r="R1465">
        <v>0</v>
      </c>
      <c r="S1465">
        <v>10.31</v>
      </c>
      <c r="T1465" t="s">
        <v>4943</v>
      </c>
    </row>
    <row r="1466" spans="1:20" x14ac:dyDescent="0.25">
      <c r="A1466" s="1" t="str">
        <f>HYPERLINK("https://vegkart.atlas.vegvesen.no/#/@222490.9,6564272.3,18/hva:hva%5B0%5D%5Bfilter%5D%5B0%5D%5Boperator%5D=%21%3D&amp;hva%5B0%5D%5Bfilter%5D%5B0%5D%5Btype_id%5D=9427&amp;hva%5B0%5D%5Bfilter%5D%5B0%5D%5Bverdi%5D=&amp;hva%5B0%5D%5Bid%5D=25/når:2023-05-31", "Vegkart")</f>
        <v>Vegkart</v>
      </c>
      <c r="B1466">
        <v>435821936</v>
      </c>
      <c r="C1466">
        <v>25</v>
      </c>
      <c r="D1466" t="s">
        <v>4290</v>
      </c>
      <c r="E1466">
        <v>9427</v>
      </c>
      <c r="F1466" t="s">
        <v>23479</v>
      </c>
      <c r="G1466">
        <v>3</v>
      </c>
      <c r="H1466" t="s">
        <v>4298</v>
      </c>
      <c r="J1466" t="s">
        <v>4894</v>
      </c>
      <c r="K1466" t="s">
        <v>81</v>
      </c>
      <c r="L1466" t="s">
        <v>33</v>
      </c>
      <c r="M1466" t="s">
        <v>4333</v>
      </c>
      <c r="N1466" t="s">
        <v>4944</v>
      </c>
      <c r="O1466" t="s">
        <v>4945</v>
      </c>
      <c r="P1466" s="2" t="s">
        <v>37</v>
      </c>
      <c r="Q1466" t="s">
        <v>1208</v>
      </c>
      <c r="R1466">
        <v>0</v>
      </c>
      <c r="S1466">
        <v>10.07</v>
      </c>
      <c r="T1466" t="s">
        <v>4946</v>
      </c>
    </row>
    <row r="1467" spans="1:20" x14ac:dyDescent="0.25">
      <c r="A1467" s="1" t="str">
        <f>HYPERLINK("https://vegkart.atlas.vegvesen.no/#/@223089.8,6564881.2,18/hva:hva%5B0%5D%5Bfilter%5D%5B0%5D%5Boperator%5D=%21%3D&amp;hva%5B0%5D%5Bfilter%5D%5B0%5D%5Btype_id%5D=9427&amp;hva%5B0%5D%5Bfilter%5D%5B0%5D%5Bverdi%5D=&amp;hva%5B0%5D%5Bid%5D=25/når:2023-05-31", "Vegkart")</f>
        <v>Vegkart</v>
      </c>
      <c r="B1467">
        <v>435821966</v>
      </c>
      <c r="C1467">
        <v>25</v>
      </c>
      <c r="D1467" t="s">
        <v>4290</v>
      </c>
      <c r="E1467">
        <v>9427</v>
      </c>
      <c r="F1467" t="s">
        <v>23479</v>
      </c>
      <c r="G1467">
        <v>3</v>
      </c>
      <c r="H1467" t="s">
        <v>4298</v>
      </c>
      <c r="J1467" t="s">
        <v>4894</v>
      </c>
      <c r="K1467" t="s">
        <v>81</v>
      </c>
      <c r="L1467" t="s">
        <v>33</v>
      </c>
      <c r="M1467" t="s">
        <v>4333</v>
      </c>
      <c r="N1467" t="s">
        <v>4947</v>
      </c>
      <c r="O1467" t="s">
        <v>4948</v>
      </c>
      <c r="P1467" s="2" t="s">
        <v>37</v>
      </c>
      <c r="Q1467" t="s">
        <v>1208</v>
      </c>
      <c r="R1467">
        <v>0</v>
      </c>
      <c r="S1467">
        <v>10.43</v>
      </c>
      <c r="T1467" t="s">
        <v>4949</v>
      </c>
    </row>
    <row r="1468" spans="1:20" x14ac:dyDescent="0.25">
      <c r="A1468" s="1" t="str">
        <f>HYPERLINK("https://vegkart.atlas.vegvesen.no/#/@217777.3,6560379.4,18/hva:hva%5B0%5D%5Bfilter%5D%5B0%5D%5Boperator%5D=%21%3D&amp;hva%5B0%5D%5Bfilter%5D%5B0%5D%5Btype_id%5D=9427&amp;hva%5B0%5D%5Bfilter%5D%5B0%5D%5Bverdi%5D=&amp;hva%5B0%5D%5Bid%5D=25/når:2023-05-31", "Vegkart")</f>
        <v>Vegkart</v>
      </c>
      <c r="B1468">
        <v>438335652</v>
      </c>
      <c r="C1468">
        <v>25</v>
      </c>
      <c r="D1468" t="s">
        <v>4290</v>
      </c>
      <c r="E1468">
        <v>9427</v>
      </c>
      <c r="F1468" t="s">
        <v>23479</v>
      </c>
      <c r="G1468">
        <v>3</v>
      </c>
      <c r="H1468" t="s">
        <v>4298</v>
      </c>
      <c r="J1468" t="s">
        <v>4894</v>
      </c>
      <c r="K1468" t="s">
        <v>81</v>
      </c>
      <c r="L1468" t="s">
        <v>33</v>
      </c>
      <c r="M1468" t="s">
        <v>4333</v>
      </c>
      <c r="N1468" t="s">
        <v>4950</v>
      </c>
      <c r="O1468" t="s">
        <v>4951</v>
      </c>
      <c r="P1468" s="2" t="s">
        <v>37</v>
      </c>
      <c r="Q1468" t="s">
        <v>1208</v>
      </c>
      <c r="R1468">
        <v>0</v>
      </c>
      <c r="S1468">
        <v>10.02</v>
      </c>
      <c r="T1468" t="s">
        <v>4952</v>
      </c>
    </row>
    <row r="1469" spans="1:20" x14ac:dyDescent="0.25">
      <c r="A1469" s="1" t="str">
        <f>HYPERLINK("https://vegkart.atlas.vegvesen.no/#/@217873.2,6560462.2,18/hva:hva%5B0%5D%5Bfilter%5D%5B0%5D%5Boperator%5D=%21%3D&amp;hva%5B0%5D%5Bfilter%5D%5B0%5D%5Btype_id%5D=9427&amp;hva%5B0%5D%5Bfilter%5D%5B0%5D%5Bverdi%5D=&amp;hva%5B0%5D%5Bid%5D=25/når:2023-05-31", "Vegkart")</f>
        <v>Vegkart</v>
      </c>
      <c r="B1469">
        <v>438335660</v>
      </c>
      <c r="C1469">
        <v>25</v>
      </c>
      <c r="D1469" t="s">
        <v>4290</v>
      </c>
      <c r="E1469">
        <v>9427</v>
      </c>
      <c r="F1469" t="s">
        <v>23479</v>
      </c>
      <c r="G1469">
        <v>3</v>
      </c>
      <c r="H1469" t="s">
        <v>4298</v>
      </c>
      <c r="J1469" t="s">
        <v>4894</v>
      </c>
      <c r="K1469" t="s">
        <v>81</v>
      </c>
      <c r="L1469" t="s">
        <v>33</v>
      </c>
      <c r="M1469" t="s">
        <v>4333</v>
      </c>
      <c r="N1469" t="s">
        <v>4953</v>
      </c>
      <c r="O1469" t="s">
        <v>4954</v>
      </c>
      <c r="P1469" s="2" t="s">
        <v>37</v>
      </c>
      <c r="Q1469" t="s">
        <v>1208</v>
      </c>
      <c r="R1469">
        <v>0</v>
      </c>
      <c r="S1469">
        <v>18.059999999999999</v>
      </c>
      <c r="T1469" t="s">
        <v>4955</v>
      </c>
    </row>
    <row r="1470" spans="1:20" x14ac:dyDescent="0.25">
      <c r="A1470" s="1" t="str">
        <f>HYPERLINK("https://vegkart.atlas.vegvesen.no/#/@221388.6,6563197.0,18/hva:hva%5B0%5D%5Bfilter%5D%5B0%5D%5Boperator%5D=%21%3D&amp;hva%5B0%5D%5Bfilter%5D%5B0%5D%5Btype_id%5D=9427&amp;hva%5B0%5D%5Bfilter%5D%5B0%5D%5Bverdi%5D=&amp;hva%5B0%5D%5Bid%5D=25/når:2023-05-31", "Vegkart")</f>
        <v>Vegkart</v>
      </c>
      <c r="B1470">
        <v>438335778</v>
      </c>
      <c r="C1470">
        <v>25</v>
      </c>
      <c r="D1470" t="s">
        <v>4290</v>
      </c>
      <c r="E1470">
        <v>9427</v>
      </c>
      <c r="F1470" t="s">
        <v>23479</v>
      </c>
      <c r="G1470">
        <v>4</v>
      </c>
      <c r="H1470" t="s">
        <v>4298</v>
      </c>
      <c r="J1470" t="s">
        <v>4894</v>
      </c>
      <c r="K1470" t="s">
        <v>81</v>
      </c>
      <c r="L1470" t="s">
        <v>33</v>
      </c>
      <c r="M1470" t="s">
        <v>4333</v>
      </c>
      <c r="N1470" t="s">
        <v>4956</v>
      </c>
      <c r="O1470" t="s">
        <v>4957</v>
      </c>
      <c r="P1470" s="2" t="s">
        <v>37</v>
      </c>
      <c r="Q1470" t="s">
        <v>1208</v>
      </c>
      <c r="R1470">
        <v>0</v>
      </c>
      <c r="S1470">
        <v>12.05</v>
      </c>
      <c r="T1470" t="s">
        <v>4958</v>
      </c>
    </row>
    <row r="1471" spans="1:20" x14ac:dyDescent="0.25">
      <c r="A1471" s="1" t="str">
        <f>HYPERLINK("https://vegkart.atlas.vegvesen.no/#/@230474.6,6575526.4,18/hva:hva%5B0%5D%5Bfilter%5D%5B0%5D%5Boperator%5D=%21%3D&amp;hva%5B0%5D%5Bfilter%5D%5B0%5D%5Btype_id%5D=9427&amp;hva%5B0%5D%5Bfilter%5D%5B0%5D%5Bverdi%5D=&amp;hva%5B0%5D%5Bid%5D=25/når:2023-05-31", "Vegkart")</f>
        <v>Vegkart</v>
      </c>
      <c r="B1471">
        <v>442814609</v>
      </c>
      <c r="C1471">
        <v>25</v>
      </c>
      <c r="D1471" t="s">
        <v>4290</v>
      </c>
      <c r="E1471">
        <v>9427</v>
      </c>
      <c r="F1471" t="s">
        <v>23479</v>
      </c>
      <c r="G1471">
        <v>4</v>
      </c>
      <c r="H1471" t="s">
        <v>4298</v>
      </c>
      <c r="J1471" t="s">
        <v>4894</v>
      </c>
      <c r="K1471" t="s">
        <v>81</v>
      </c>
      <c r="L1471" t="s">
        <v>33</v>
      </c>
      <c r="M1471" t="s">
        <v>4333</v>
      </c>
      <c r="N1471" t="s">
        <v>4959</v>
      </c>
      <c r="O1471" t="s">
        <v>4960</v>
      </c>
      <c r="P1471" s="2" t="s">
        <v>37</v>
      </c>
      <c r="Q1471" t="s">
        <v>1208</v>
      </c>
      <c r="R1471">
        <v>0</v>
      </c>
      <c r="S1471">
        <v>11</v>
      </c>
      <c r="T1471" t="s">
        <v>4961</v>
      </c>
    </row>
    <row r="1472" spans="1:20" x14ac:dyDescent="0.25">
      <c r="A1472" s="1" t="str">
        <f>HYPERLINK("https://vegkart.atlas.vegvesen.no/#/@230431.6,6575411.1,18/hva:hva%5B0%5D%5Bfilter%5D%5B0%5D%5Boperator%5D=%21%3D&amp;hva%5B0%5D%5Bfilter%5D%5B0%5D%5Btype_id%5D=9427&amp;hva%5B0%5D%5Bfilter%5D%5B0%5D%5Bverdi%5D=&amp;hva%5B0%5D%5Bid%5D=25/når:2023-05-31", "Vegkart")</f>
        <v>Vegkart</v>
      </c>
      <c r="B1472">
        <v>451964109</v>
      </c>
      <c r="C1472">
        <v>25</v>
      </c>
      <c r="D1472" t="s">
        <v>4290</v>
      </c>
      <c r="E1472">
        <v>9427</v>
      </c>
      <c r="F1472" t="s">
        <v>23479</v>
      </c>
      <c r="G1472">
        <v>5</v>
      </c>
      <c r="H1472" t="s">
        <v>4298</v>
      </c>
      <c r="J1472" t="s">
        <v>4894</v>
      </c>
      <c r="K1472" t="s">
        <v>81</v>
      </c>
      <c r="L1472" t="s">
        <v>33</v>
      </c>
      <c r="M1472" t="s">
        <v>4333</v>
      </c>
      <c r="N1472" t="s">
        <v>4962</v>
      </c>
      <c r="O1472" t="s">
        <v>4963</v>
      </c>
      <c r="P1472" s="2" t="s">
        <v>37</v>
      </c>
      <c r="Q1472" t="s">
        <v>1208</v>
      </c>
      <c r="R1472">
        <v>0</v>
      </c>
      <c r="S1472">
        <v>11.91</v>
      </c>
      <c r="T1472" t="s">
        <v>4964</v>
      </c>
    </row>
    <row r="1473" spans="1:20" x14ac:dyDescent="0.25">
      <c r="A1473" s="1" t="str">
        <f>HYPERLINK("https://vegkart.atlas.vegvesen.no/#/@234172.3,6575132.0,18/hva:hva%5B0%5D%5Bfilter%5D%5B0%5D%5Boperator%5D=%21%3D&amp;hva%5B0%5D%5Bfilter%5D%5B0%5D%5Btype_id%5D=9427&amp;hva%5B0%5D%5Bfilter%5D%5B0%5D%5Bverdi%5D=&amp;hva%5B0%5D%5Bid%5D=25/når:2023-05-31", "Vegkart")</f>
        <v>Vegkart</v>
      </c>
      <c r="B1473">
        <v>459918933</v>
      </c>
      <c r="C1473">
        <v>25</v>
      </c>
      <c r="D1473" t="s">
        <v>4290</v>
      </c>
      <c r="E1473">
        <v>9427</v>
      </c>
      <c r="F1473" t="s">
        <v>23479</v>
      </c>
      <c r="G1473">
        <v>3</v>
      </c>
      <c r="H1473" t="s">
        <v>4298</v>
      </c>
      <c r="J1473" t="s">
        <v>4894</v>
      </c>
      <c r="K1473" t="s">
        <v>81</v>
      </c>
      <c r="L1473" t="s">
        <v>33</v>
      </c>
      <c r="M1473" t="s">
        <v>1812</v>
      </c>
      <c r="N1473" t="s">
        <v>4965</v>
      </c>
      <c r="O1473" t="s">
        <v>4966</v>
      </c>
      <c r="P1473" s="2" t="s">
        <v>37</v>
      </c>
      <c r="Q1473" t="s">
        <v>1208</v>
      </c>
      <c r="R1473">
        <v>0</v>
      </c>
      <c r="S1473">
        <v>11.28</v>
      </c>
      <c r="T1473" t="s">
        <v>4967</v>
      </c>
    </row>
    <row r="1474" spans="1:20" x14ac:dyDescent="0.25">
      <c r="A1474" s="1" t="str">
        <f>HYPERLINK("https://vegkart.atlas.vegvesen.no/#/@232929.0,6579245.9,18/hva:hva%5B0%5D%5Bfilter%5D%5B0%5D%5Boperator%5D=%21%3D&amp;hva%5B0%5D%5Bfilter%5D%5B0%5D%5Btype_id%5D=9427&amp;hva%5B0%5D%5Bfilter%5D%5B0%5D%5Bverdi%5D=&amp;hva%5B0%5D%5Bid%5D=25/når:2023-05-31", "Vegkart")</f>
        <v>Vegkart</v>
      </c>
      <c r="B1474">
        <v>459918937</v>
      </c>
      <c r="C1474">
        <v>25</v>
      </c>
      <c r="D1474" t="s">
        <v>4290</v>
      </c>
      <c r="E1474">
        <v>9427</v>
      </c>
      <c r="F1474" t="s">
        <v>23479</v>
      </c>
      <c r="G1474">
        <v>3</v>
      </c>
      <c r="H1474" t="s">
        <v>4298</v>
      </c>
      <c r="J1474" t="s">
        <v>4894</v>
      </c>
      <c r="K1474" t="s">
        <v>81</v>
      </c>
      <c r="L1474" t="s">
        <v>33</v>
      </c>
      <c r="M1474" t="s">
        <v>4333</v>
      </c>
      <c r="N1474" t="s">
        <v>4968</v>
      </c>
      <c r="O1474" t="s">
        <v>4969</v>
      </c>
      <c r="P1474" s="2" t="s">
        <v>37</v>
      </c>
      <c r="Q1474" t="s">
        <v>1208</v>
      </c>
      <c r="R1474">
        <v>0</v>
      </c>
      <c r="S1474">
        <v>12.43</v>
      </c>
      <c r="T1474" t="s">
        <v>4970</v>
      </c>
    </row>
    <row r="1475" spans="1:20" x14ac:dyDescent="0.25">
      <c r="A1475" s="1" t="str">
        <f>HYPERLINK("https://vegkart.atlas.vegvesen.no/#/@234193.4,6575118.2,18/hva:hva%5B0%5D%5Bfilter%5D%5B0%5D%5Boperator%5D=%21%3D&amp;hva%5B0%5D%5Bfilter%5D%5B0%5D%5Btype_id%5D=9427&amp;hva%5B0%5D%5Bfilter%5D%5B0%5D%5Bverdi%5D=&amp;hva%5B0%5D%5Bid%5D=25/når:2023-05-31", "Vegkart")</f>
        <v>Vegkart</v>
      </c>
      <c r="B1475">
        <v>459918946</v>
      </c>
      <c r="C1475">
        <v>25</v>
      </c>
      <c r="D1475" t="s">
        <v>4290</v>
      </c>
      <c r="E1475">
        <v>9427</v>
      </c>
      <c r="F1475" t="s">
        <v>23479</v>
      </c>
      <c r="G1475">
        <v>4</v>
      </c>
      <c r="H1475" t="s">
        <v>4298</v>
      </c>
      <c r="J1475" t="s">
        <v>4894</v>
      </c>
      <c r="K1475" t="s">
        <v>81</v>
      </c>
      <c r="L1475" t="s">
        <v>33</v>
      </c>
      <c r="M1475" t="s">
        <v>1812</v>
      </c>
      <c r="N1475" t="s">
        <v>4971</v>
      </c>
      <c r="O1475" t="s">
        <v>4972</v>
      </c>
      <c r="P1475" s="2" t="s">
        <v>37</v>
      </c>
      <c r="Q1475" t="s">
        <v>1208</v>
      </c>
      <c r="R1475">
        <v>0</v>
      </c>
      <c r="S1475">
        <v>14.16</v>
      </c>
      <c r="T1475" t="s">
        <v>4973</v>
      </c>
    </row>
    <row r="1476" spans="1:20" x14ac:dyDescent="0.25">
      <c r="A1476" s="1" t="str">
        <f>HYPERLINK("https://vegkart.atlas.vegvesen.no/#/@240005.8,6569635.7,18/hva:hva%5B0%5D%5Bfilter%5D%5B0%5D%5Boperator%5D=%21%3D&amp;hva%5B0%5D%5Bfilter%5D%5B0%5D%5Btype_id%5D=9427&amp;hva%5B0%5D%5Bfilter%5D%5B0%5D%5Bverdi%5D=&amp;hva%5B0%5D%5Bid%5D=25/når:2023-05-31", "Vegkart")</f>
        <v>Vegkart</v>
      </c>
      <c r="B1476">
        <v>481061799</v>
      </c>
      <c r="C1476">
        <v>25</v>
      </c>
      <c r="D1476" t="s">
        <v>4290</v>
      </c>
      <c r="E1476">
        <v>9427</v>
      </c>
      <c r="F1476" t="s">
        <v>23479</v>
      </c>
      <c r="G1476">
        <v>4</v>
      </c>
      <c r="H1476" t="s">
        <v>4298</v>
      </c>
      <c r="J1476" t="s">
        <v>4894</v>
      </c>
      <c r="K1476" t="s">
        <v>81</v>
      </c>
      <c r="L1476" t="s">
        <v>33</v>
      </c>
      <c r="M1476" t="s">
        <v>4493</v>
      </c>
      <c r="N1476" t="s">
        <v>4974</v>
      </c>
      <c r="O1476" t="s">
        <v>4975</v>
      </c>
      <c r="P1476" s="2" t="s">
        <v>37</v>
      </c>
      <c r="Q1476" t="s">
        <v>1208</v>
      </c>
      <c r="R1476">
        <v>0</v>
      </c>
      <c r="S1476">
        <v>13.56</v>
      </c>
      <c r="T1476" t="s">
        <v>4976</v>
      </c>
    </row>
    <row r="1477" spans="1:20" x14ac:dyDescent="0.25">
      <c r="A1477" s="1" t="str">
        <f>HYPERLINK("https://vegkart.atlas.vegvesen.no/#/@239710.0,6569148.8,18/hva:hva%5B0%5D%5Bfilter%5D%5B0%5D%5Boperator%5D=%21%3D&amp;hva%5B0%5D%5Bfilter%5D%5B0%5D%5Btype_id%5D=9427&amp;hva%5B0%5D%5Bfilter%5D%5B0%5D%5Bverdi%5D=&amp;hva%5B0%5D%5Bid%5D=25/når:2023-05-31", "Vegkart")</f>
        <v>Vegkart</v>
      </c>
      <c r="B1477">
        <v>481061800</v>
      </c>
      <c r="C1477">
        <v>25</v>
      </c>
      <c r="D1477" t="s">
        <v>4290</v>
      </c>
      <c r="E1477">
        <v>9427</v>
      </c>
      <c r="F1477" t="s">
        <v>23479</v>
      </c>
      <c r="G1477">
        <v>3</v>
      </c>
      <c r="H1477" t="s">
        <v>4298</v>
      </c>
      <c r="J1477" t="s">
        <v>4894</v>
      </c>
      <c r="K1477" t="s">
        <v>81</v>
      </c>
      <c r="L1477" t="s">
        <v>33</v>
      </c>
      <c r="M1477" t="s">
        <v>4493</v>
      </c>
      <c r="N1477" t="s">
        <v>4977</v>
      </c>
      <c r="O1477" t="s">
        <v>4978</v>
      </c>
      <c r="P1477" s="2" t="s">
        <v>37</v>
      </c>
      <c r="Q1477" t="s">
        <v>1208</v>
      </c>
      <c r="R1477">
        <v>0</v>
      </c>
      <c r="S1477">
        <v>14.42</v>
      </c>
      <c r="T1477" t="s">
        <v>4979</v>
      </c>
    </row>
    <row r="1478" spans="1:20" x14ac:dyDescent="0.25">
      <c r="A1478" s="1" t="str">
        <f>HYPERLINK("https://vegkart.atlas.vegvesen.no/#/@239871.4,6571826.0,18/hva:hva%5B0%5D%5Bfilter%5D%5B0%5D%5Boperator%5D=%21%3D&amp;hva%5B0%5D%5Bfilter%5D%5B0%5D%5Btype_id%5D=9427&amp;hva%5B0%5D%5Bfilter%5D%5B0%5D%5Bverdi%5D=&amp;hva%5B0%5D%5Bid%5D=25/når:2023-05-31", "Vegkart")</f>
        <v>Vegkart</v>
      </c>
      <c r="B1478">
        <v>481061813</v>
      </c>
      <c r="C1478">
        <v>25</v>
      </c>
      <c r="D1478" t="s">
        <v>4290</v>
      </c>
      <c r="E1478">
        <v>9427</v>
      </c>
      <c r="F1478" t="s">
        <v>23479</v>
      </c>
      <c r="G1478">
        <v>4</v>
      </c>
      <c r="H1478" t="s">
        <v>4298</v>
      </c>
      <c r="J1478" t="s">
        <v>4894</v>
      </c>
      <c r="K1478" t="s">
        <v>81</v>
      </c>
      <c r="L1478" t="s">
        <v>33</v>
      </c>
      <c r="M1478" t="s">
        <v>1926</v>
      </c>
      <c r="N1478" t="s">
        <v>4980</v>
      </c>
      <c r="O1478" t="s">
        <v>4981</v>
      </c>
      <c r="P1478" s="2" t="s">
        <v>37</v>
      </c>
      <c r="Q1478" t="s">
        <v>1208</v>
      </c>
      <c r="R1478">
        <v>0</v>
      </c>
      <c r="S1478">
        <v>14.26</v>
      </c>
      <c r="T1478" t="s">
        <v>4982</v>
      </c>
    </row>
    <row r="1479" spans="1:20" x14ac:dyDescent="0.25">
      <c r="A1479" s="1" t="str">
        <f>HYPERLINK("https://vegkart.atlas.vegvesen.no/#/@240163.1,6570449.6,18/hva:hva%5B0%5D%5Bfilter%5D%5B0%5D%5Boperator%5D=%21%3D&amp;hva%5B0%5D%5Bfilter%5D%5B0%5D%5Btype_id%5D=9427&amp;hva%5B0%5D%5Bfilter%5D%5B0%5D%5Bverdi%5D=&amp;hva%5B0%5D%5Bid%5D=25/når:2023-05-31", "Vegkart")</f>
        <v>Vegkart</v>
      </c>
      <c r="B1479">
        <v>481061814</v>
      </c>
      <c r="C1479">
        <v>25</v>
      </c>
      <c r="D1479" t="s">
        <v>4290</v>
      </c>
      <c r="E1479">
        <v>9427</v>
      </c>
      <c r="F1479" t="s">
        <v>23479</v>
      </c>
      <c r="G1479">
        <v>4</v>
      </c>
      <c r="H1479" t="s">
        <v>4298</v>
      </c>
      <c r="J1479" t="s">
        <v>4894</v>
      </c>
      <c r="K1479" t="s">
        <v>81</v>
      </c>
      <c r="L1479" t="s">
        <v>33</v>
      </c>
      <c r="M1479" t="s">
        <v>1926</v>
      </c>
      <c r="N1479" t="s">
        <v>4983</v>
      </c>
      <c r="O1479" t="s">
        <v>4984</v>
      </c>
      <c r="P1479" s="2" t="s">
        <v>37</v>
      </c>
      <c r="Q1479" t="s">
        <v>1208</v>
      </c>
      <c r="R1479">
        <v>0</v>
      </c>
      <c r="S1479">
        <v>12.53</v>
      </c>
      <c r="T1479" t="s">
        <v>4985</v>
      </c>
    </row>
    <row r="1480" spans="1:20" x14ac:dyDescent="0.25">
      <c r="A1480" s="1" t="str">
        <f>HYPERLINK("https://vegkart.atlas.vegvesen.no/#/@225791.5,6568042.3,18/hva:hva%5B0%5D%5Bfilter%5D%5B0%5D%5Boperator%5D=%21%3D&amp;hva%5B0%5D%5Bfilter%5D%5B0%5D%5Btype_id%5D=9427&amp;hva%5B0%5D%5Bfilter%5D%5B0%5D%5Bverdi%5D=&amp;hva%5B0%5D%5Bid%5D=25/når:2023-05-31", "Vegkart")</f>
        <v>Vegkart</v>
      </c>
      <c r="B1480">
        <v>525152150</v>
      </c>
      <c r="C1480">
        <v>25</v>
      </c>
      <c r="D1480" t="s">
        <v>4290</v>
      </c>
      <c r="E1480">
        <v>9427</v>
      </c>
      <c r="F1480" t="s">
        <v>23479</v>
      </c>
      <c r="G1480">
        <v>4</v>
      </c>
      <c r="H1480" t="s">
        <v>4298</v>
      </c>
      <c r="J1480" t="s">
        <v>4986</v>
      </c>
      <c r="K1480" t="s">
        <v>81</v>
      </c>
      <c r="L1480" t="s">
        <v>33</v>
      </c>
      <c r="M1480" t="s">
        <v>4333</v>
      </c>
      <c r="N1480" t="s">
        <v>4987</v>
      </c>
      <c r="O1480" t="s">
        <v>4988</v>
      </c>
      <c r="P1480" s="2" t="s">
        <v>165</v>
      </c>
      <c r="Q1480" t="s">
        <v>166</v>
      </c>
      <c r="R1480">
        <v>0</v>
      </c>
      <c r="S1480">
        <v>11.41</v>
      </c>
      <c r="T1480" t="s">
        <v>167</v>
      </c>
    </row>
    <row r="1481" spans="1:20" x14ac:dyDescent="0.25">
      <c r="A1481" s="1" t="str">
        <f>HYPERLINK("https://vegkart.atlas.vegvesen.no/#/@226376.9,6569022.1,18/hva:hva%5B0%5D%5Bfilter%5D%5B0%5D%5Boperator%5D=%21%3D&amp;hva%5B0%5D%5Bfilter%5D%5B0%5D%5Btype_id%5D=9427&amp;hva%5B0%5D%5Bfilter%5D%5B0%5D%5Bverdi%5D=&amp;hva%5B0%5D%5Bid%5D=25/når:2023-05-31", "Vegkart")</f>
        <v>Vegkart</v>
      </c>
      <c r="B1481">
        <v>525152151</v>
      </c>
      <c r="C1481">
        <v>25</v>
      </c>
      <c r="D1481" t="s">
        <v>4290</v>
      </c>
      <c r="E1481">
        <v>9427</v>
      </c>
      <c r="F1481" t="s">
        <v>23479</v>
      </c>
      <c r="G1481">
        <v>6</v>
      </c>
      <c r="H1481" t="s">
        <v>4298</v>
      </c>
      <c r="J1481" t="s">
        <v>4986</v>
      </c>
      <c r="K1481" t="s">
        <v>81</v>
      </c>
      <c r="L1481" t="s">
        <v>33</v>
      </c>
      <c r="M1481" t="s">
        <v>4333</v>
      </c>
      <c r="N1481" t="s">
        <v>4989</v>
      </c>
      <c r="O1481" t="s">
        <v>4990</v>
      </c>
      <c r="P1481" s="2" t="s">
        <v>165</v>
      </c>
      <c r="Q1481" t="s">
        <v>166</v>
      </c>
      <c r="R1481">
        <v>0</v>
      </c>
      <c r="S1481">
        <v>11.4</v>
      </c>
      <c r="T1481" t="s">
        <v>167</v>
      </c>
    </row>
    <row r="1482" spans="1:20" x14ac:dyDescent="0.25">
      <c r="A1482" s="1" t="str">
        <f>HYPERLINK("https://vegkart.atlas.vegvesen.no/#/@226444.0,6569114.7,18/hva:hva%5B0%5D%5Bfilter%5D%5B0%5D%5Boperator%5D=%21%3D&amp;hva%5B0%5D%5Bfilter%5D%5B0%5D%5Btype_id%5D=9427&amp;hva%5B0%5D%5Bfilter%5D%5B0%5D%5Bverdi%5D=&amp;hva%5B0%5D%5Bid%5D=25/når:2023-05-31", "Vegkart")</f>
        <v>Vegkart</v>
      </c>
      <c r="B1482">
        <v>525152152</v>
      </c>
      <c r="C1482">
        <v>25</v>
      </c>
      <c r="D1482" t="s">
        <v>4290</v>
      </c>
      <c r="E1482">
        <v>9427</v>
      </c>
      <c r="F1482" t="s">
        <v>23479</v>
      </c>
      <c r="G1482">
        <v>6</v>
      </c>
      <c r="H1482" t="s">
        <v>4298</v>
      </c>
      <c r="J1482" t="s">
        <v>4986</v>
      </c>
      <c r="K1482" t="s">
        <v>81</v>
      </c>
      <c r="L1482" t="s">
        <v>33</v>
      </c>
      <c r="M1482" t="s">
        <v>4333</v>
      </c>
      <c r="N1482" t="s">
        <v>4991</v>
      </c>
      <c r="O1482" t="s">
        <v>4992</v>
      </c>
      <c r="P1482" s="2" t="s">
        <v>165</v>
      </c>
      <c r="Q1482" t="s">
        <v>166</v>
      </c>
      <c r="R1482">
        <v>0</v>
      </c>
      <c r="S1482">
        <v>13.04</v>
      </c>
      <c r="T1482" t="s">
        <v>167</v>
      </c>
    </row>
    <row r="1483" spans="1:20" x14ac:dyDescent="0.25">
      <c r="A1483" s="1" t="str">
        <f>HYPERLINK("https://vegkart.atlas.vegvesen.no/#/@226996.9,6570653.9,18/hva:hva%5B0%5D%5Bfilter%5D%5B0%5D%5Boperator%5D=%21%3D&amp;hva%5B0%5D%5Bfilter%5D%5B0%5D%5Btype_id%5D=9427&amp;hva%5B0%5D%5Bfilter%5D%5B0%5D%5Bverdi%5D=&amp;hva%5B0%5D%5Bid%5D=25/når:2023-05-31", "Vegkart")</f>
        <v>Vegkart</v>
      </c>
      <c r="B1483">
        <v>525152153</v>
      </c>
      <c r="C1483">
        <v>25</v>
      </c>
      <c r="D1483" t="s">
        <v>4290</v>
      </c>
      <c r="E1483">
        <v>9427</v>
      </c>
      <c r="F1483" t="s">
        <v>23479</v>
      </c>
      <c r="G1483">
        <v>3</v>
      </c>
      <c r="H1483" t="s">
        <v>4298</v>
      </c>
      <c r="J1483" t="s">
        <v>4986</v>
      </c>
      <c r="K1483" t="s">
        <v>81</v>
      </c>
      <c r="L1483" t="s">
        <v>33</v>
      </c>
      <c r="M1483" t="s">
        <v>4333</v>
      </c>
      <c r="N1483" t="s">
        <v>4993</v>
      </c>
      <c r="O1483" t="s">
        <v>4994</v>
      </c>
      <c r="P1483" s="2" t="s">
        <v>165</v>
      </c>
      <c r="Q1483" t="s">
        <v>166</v>
      </c>
      <c r="R1483">
        <v>0</v>
      </c>
      <c r="S1483">
        <v>11.41</v>
      </c>
      <c r="T1483" t="s">
        <v>167</v>
      </c>
    </row>
    <row r="1484" spans="1:20" x14ac:dyDescent="0.25">
      <c r="A1484" s="1" t="str">
        <f>HYPERLINK("https://vegkart.atlas.vegvesen.no/#/@227346.2,6571144.7,18/hva:hva%5B0%5D%5Bfilter%5D%5B0%5D%5Boperator%5D=%21%3D&amp;hva%5B0%5D%5Bfilter%5D%5B0%5D%5Btype_id%5D=9427&amp;hva%5B0%5D%5Bfilter%5D%5B0%5D%5Bverdi%5D=&amp;hva%5B0%5D%5Bid%5D=25/når:2023-05-31", "Vegkart")</f>
        <v>Vegkart</v>
      </c>
      <c r="B1484">
        <v>525152154</v>
      </c>
      <c r="C1484">
        <v>25</v>
      </c>
      <c r="D1484" t="s">
        <v>4290</v>
      </c>
      <c r="E1484">
        <v>9427</v>
      </c>
      <c r="F1484" t="s">
        <v>23479</v>
      </c>
      <c r="G1484">
        <v>3</v>
      </c>
      <c r="H1484" t="s">
        <v>4298</v>
      </c>
      <c r="J1484" t="s">
        <v>4986</v>
      </c>
      <c r="K1484" t="s">
        <v>81</v>
      </c>
      <c r="L1484" t="s">
        <v>33</v>
      </c>
      <c r="M1484" t="s">
        <v>4333</v>
      </c>
      <c r="N1484" t="s">
        <v>4995</v>
      </c>
      <c r="O1484" t="s">
        <v>4996</v>
      </c>
      <c r="P1484" s="2" t="s">
        <v>165</v>
      </c>
      <c r="Q1484" t="s">
        <v>166</v>
      </c>
      <c r="R1484">
        <v>0</v>
      </c>
      <c r="S1484">
        <v>10.119999999999999</v>
      </c>
      <c r="T1484" t="s">
        <v>167</v>
      </c>
    </row>
    <row r="1485" spans="1:20" x14ac:dyDescent="0.25">
      <c r="A1485" s="1" t="str">
        <f>HYPERLINK("https://vegkart.atlas.vegvesen.no/#/@191947.6,6576258.4,18/hva:hva%5B0%5D%5Bfilter%5D%5B0%5D%5Boperator%5D=%21%3D&amp;hva%5B0%5D%5Bfilter%5D%5B0%5D%5Btype_id%5D=9427&amp;hva%5B0%5D%5Bfilter%5D%5B0%5D%5Bverdi%5D=&amp;hva%5B0%5D%5Bid%5D=25/når:2023-05-31", "Vegkart")</f>
        <v>Vegkart</v>
      </c>
      <c r="B1485">
        <v>530906007</v>
      </c>
      <c r="C1485">
        <v>25</v>
      </c>
      <c r="D1485" t="s">
        <v>4290</v>
      </c>
      <c r="E1485">
        <v>9427</v>
      </c>
      <c r="F1485" t="s">
        <v>23479</v>
      </c>
      <c r="G1485">
        <v>3</v>
      </c>
      <c r="H1485" t="s">
        <v>4298</v>
      </c>
      <c r="J1485" t="s">
        <v>4986</v>
      </c>
      <c r="K1485" t="s">
        <v>197</v>
      </c>
      <c r="L1485" t="s">
        <v>22</v>
      </c>
      <c r="M1485" t="s">
        <v>4997</v>
      </c>
      <c r="N1485" t="s">
        <v>4998</v>
      </c>
      <c r="O1485" t="s">
        <v>4999</v>
      </c>
      <c r="P1485" s="2" t="s">
        <v>165</v>
      </c>
      <c r="Q1485" t="s">
        <v>166</v>
      </c>
      <c r="R1485">
        <v>0</v>
      </c>
      <c r="S1485">
        <v>9.56</v>
      </c>
      <c r="T1485" t="s">
        <v>167</v>
      </c>
    </row>
    <row r="1486" spans="1:20" x14ac:dyDescent="0.25">
      <c r="A1486" s="1" t="str">
        <f>HYPERLINK("https://vegkart.atlas.vegvesen.no/#/@51196.1,6471911.8,18/hva:hva%5B0%5D%5Bfilter%5D%5B0%5D%5Boperator%5D=%21%3D&amp;hva%5B0%5D%5Bfilter%5D%5B0%5D%5Btype_id%5D=9427&amp;hva%5B0%5D%5Bfilter%5D%5B0%5D%5Bverdi%5D=&amp;hva%5B0%5D%5Bid%5D=25/når:2014-10-09", "Vegkart")</f>
        <v>Vegkart</v>
      </c>
      <c r="B1486">
        <v>568872270</v>
      </c>
      <c r="C1486">
        <v>25</v>
      </c>
      <c r="D1486" t="s">
        <v>4290</v>
      </c>
      <c r="E1486">
        <v>9427</v>
      </c>
      <c r="F1486" t="s">
        <v>23479</v>
      </c>
      <c r="G1486">
        <v>1</v>
      </c>
      <c r="H1486" t="s">
        <v>5000</v>
      </c>
      <c r="J1486" t="s">
        <v>5001</v>
      </c>
      <c r="K1486" t="s">
        <v>86</v>
      </c>
      <c r="L1486" t="s">
        <v>33</v>
      </c>
      <c r="M1486" t="s">
        <v>5002</v>
      </c>
      <c r="N1486" t="s">
        <v>5003</v>
      </c>
      <c r="O1486" t="s">
        <v>5004</v>
      </c>
      <c r="P1486" s="2" t="s">
        <v>37</v>
      </c>
      <c r="Q1486" t="s">
        <v>1208</v>
      </c>
      <c r="R1486">
        <v>2.7</v>
      </c>
      <c r="S1486">
        <v>5.18</v>
      </c>
      <c r="T1486" t="s">
        <v>5005</v>
      </c>
    </row>
    <row r="1487" spans="1:20" x14ac:dyDescent="0.25">
      <c r="A1487" s="1" t="str">
        <f>HYPERLINK("https://vegkart.atlas.vegvesen.no/#/@233844.1,6691540.2,18/hva:hva%5B0%5D%5Bfilter%5D%5B0%5D%5Boperator%5D=%21%3D&amp;hva%5B0%5D%5Bfilter%5D%5B0%5D%5Btype_id%5D=9427&amp;hva%5B0%5D%5Bfilter%5D%5B0%5D%5Bverdi%5D=&amp;hva%5B0%5D%5Bid%5D=25/når:2018-09-24", "Vegkart")</f>
        <v>Vegkart</v>
      </c>
      <c r="B1487">
        <v>587809943</v>
      </c>
      <c r="C1487">
        <v>25</v>
      </c>
      <c r="D1487" t="s">
        <v>4290</v>
      </c>
      <c r="E1487">
        <v>9427</v>
      </c>
      <c r="F1487" t="s">
        <v>23479</v>
      </c>
      <c r="G1487">
        <v>3</v>
      </c>
      <c r="H1487" t="s">
        <v>5006</v>
      </c>
      <c r="J1487" t="s">
        <v>5001</v>
      </c>
      <c r="K1487" t="s">
        <v>307</v>
      </c>
      <c r="L1487" t="s">
        <v>80</v>
      </c>
      <c r="M1487" t="s">
        <v>152</v>
      </c>
      <c r="N1487" t="s">
        <v>5007</v>
      </c>
      <c r="O1487" t="s">
        <v>5008</v>
      </c>
      <c r="P1487" s="2" t="s">
        <v>37</v>
      </c>
      <c r="Q1487" t="s">
        <v>1208</v>
      </c>
      <c r="R1487">
        <v>4.96</v>
      </c>
      <c r="S1487">
        <v>8.94</v>
      </c>
      <c r="T1487" t="s">
        <v>5009</v>
      </c>
    </row>
    <row r="1488" spans="1:20" x14ac:dyDescent="0.25">
      <c r="A1488" s="1" t="str">
        <f>HYPERLINK("https://vegkart.atlas.vegvesen.no/#/@233368.5,6587026.4,18/hva:hva%5B0%5D%5Bfilter%5D%5B0%5D%5Boperator%5D=%21%3D&amp;hva%5B0%5D%5Bfilter%5D%5B0%5D%5Btype_id%5D=9427&amp;hva%5B0%5D%5Bfilter%5D%5B0%5D%5Bverdi%5D=&amp;hva%5B0%5D%5Bid%5D=25/når:2023-05-31", "Vegkart")</f>
        <v>Vegkart</v>
      </c>
      <c r="B1488">
        <v>588423161</v>
      </c>
      <c r="C1488">
        <v>25</v>
      </c>
      <c r="D1488" t="s">
        <v>4290</v>
      </c>
      <c r="E1488">
        <v>9427</v>
      </c>
      <c r="F1488" t="s">
        <v>23479</v>
      </c>
      <c r="G1488">
        <v>5</v>
      </c>
      <c r="H1488" t="s">
        <v>4298</v>
      </c>
      <c r="J1488" t="s">
        <v>5001</v>
      </c>
      <c r="K1488" t="s">
        <v>81</v>
      </c>
      <c r="L1488" t="s">
        <v>33</v>
      </c>
      <c r="M1488" t="s">
        <v>5010</v>
      </c>
      <c r="N1488" t="s">
        <v>5011</v>
      </c>
      <c r="O1488" t="s">
        <v>5012</v>
      </c>
      <c r="P1488" s="2" t="s">
        <v>37</v>
      </c>
      <c r="Q1488" t="s">
        <v>1208</v>
      </c>
      <c r="R1488">
        <v>0</v>
      </c>
      <c r="S1488">
        <v>26.97</v>
      </c>
      <c r="T1488" t="s">
        <v>5013</v>
      </c>
    </row>
    <row r="1489" spans="1:20" x14ac:dyDescent="0.25">
      <c r="A1489" s="1" t="str">
        <f>HYPERLINK("https://vegkart.atlas.vegvesen.no/#/@235700.8,6581611.3,18/hva:hva%5B0%5D%5Bfilter%5D%5B0%5D%5Boperator%5D=%21%3D&amp;hva%5B0%5D%5Bfilter%5D%5B0%5D%5Btype_id%5D=9427&amp;hva%5B0%5D%5Bfilter%5D%5B0%5D%5Bverdi%5D=&amp;hva%5B0%5D%5Bid%5D=25/når:2024-11-18", "Vegkart")</f>
        <v>Vegkart</v>
      </c>
      <c r="B1489">
        <v>590789290</v>
      </c>
      <c r="C1489">
        <v>25</v>
      </c>
      <c r="D1489" t="s">
        <v>4290</v>
      </c>
      <c r="E1489">
        <v>9427</v>
      </c>
      <c r="F1489" t="s">
        <v>23479</v>
      </c>
      <c r="G1489">
        <v>6</v>
      </c>
      <c r="H1489" t="s">
        <v>5014</v>
      </c>
      <c r="J1489" t="s">
        <v>5015</v>
      </c>
      <c r="K1489" t="s">
        <v>81</v>
      </c>
      <c r="L1489" t="s">
        <v>33</v>
      </c>
      <c r="M1489" t="s">
        <v>3298</v>
      </c>
      <c r="N1489" t="s">
        <v>5016</v>
      </c>
      <c r="O1489" t="s">
        <v>5017</v>
      </c>
      <c r="P1489" s="2" t="s">
        <v>37</v>
      </c>
      <c r="Q1489" t="s">
        <v>1208</v>
      </c>
      <c r="R1489">
        <v>0</v>
      </c>
      <c r="S1489">
        <v>13.23</v>
      </c>
      <c r="T1489" t="s">
        <v>5018</v>
      </c>
    </row>
    <row r="1490" spans="1:20" x14ac:dyDescent="0.25">
      <c r="A1490" s="1" t="str">
        <f>HYPERLINK("https://vegkart.atlas.vegvesen.no/#/@232847.6,6596386.0,18/hva:hva%5B0%5D%5Bfilter%5D%5B0%5D%5Boperator%5D=%21%3D&amp;hva%5B0%5D%5Bfilter%5D%5B0%5D%5Btype_id%5D=9427&amp;hva%5B0%5D%5Bfilter%5D%5B0%5D%5Bverdi%5D=&amp;hva%5B0%5D%5Bid%5D=25/når:2023-05-31", "Vegkart")</f>
        <v>Vegkart</v>
      </c>
      <c r="B1490">
        <v>592916346</v>
      </c>
      <c r="C1490">
        <v>25</v>
      </c>
      <c r="D1490" t="s">
        <v>4290</v>
      </c>
      <c r="E1490">
        <v>9427</v>
      </c>
      <c r="F1490" t="s">
        <v>23479</v>
      </c>
      <c r="G1490">
        <v>4</v>
      </c>
      <c r="H1490" t="s">
        <v>4298</v>
      </c>
      <c r="J1490" t="s">
        <v>5015</v>
      </c>
      <c r="K1490" t="s">
        <v>81</v>
      </c>
      <c r="L1490" t="s">
        <v>33</v>
      </c>
      <c r="M1490" t="s">
        <v>5019</v>
      </c>
      <c r="N1490" t="s">
        <v>5020</v>
      </c>
      <c r="O1490" t="s">
        <v>5021</v>
      </c>
      <c r="P1490" s="2" t="s">
        <v>37</v>
      </c>
      <c r="Q1490" t="s">
        <v>1208</v>
      </c>
      <c r="R1490">
        <v>0</v>
      </c>
      <c r="S1490">
        <v>12.01</v>
      </c>
      <c r="T1490" t="s">
        <v>5022</v>
      </c>
    </row>
    <row r="1491" spans="1:20" x14ac:dyDescent="0.25">
      <c r="A1491" s="1" t="str">
        <f>HYPERLINK("https://vegkart.atlas.vegvesen.no/#/@233114.1,6611996.6,18/hva:hva%5B0%5D%5Bfilter%5D%5B0%5D%5Boperator%5D=%21%3D&amp;hva%5B0%5D%5Bfilter%5D%5B0%5D%5Btype_id%5D=9427&amp;hva%5B0%5D%5Bfilter%5D%5B0%5D%5Bverdi%5D=&amp;hva%5B0%5D%5Bid%5D=25/når:2023-05-31", "Vegkart")</f>
        <v>Vegkart</v>
      </c>
      <c r="B1491">
        <v>593298112</v>
      </c>
      <c r="C1491">
        <v>25</v>
      </c>
      <c r="D1491" t="s">
        <v>4290</v>
      </c>
      <c r="E1491">
        <v>9427</v>
      </c>
      <c r="F1491" t="s">
        <v>23479</v>
      </c>
      <c r="G1491">
        <v>4</v>
      </c>
      <c r="H1491" t="s">
        <v>4298</v>
      </c>
      <c r="J1491" t="s">
        <v>5015</v>
      </c>
      <c r="K1491" t="s">
        <v>81</v>
      </c>
      <c r="L1491" t="s">
        <v>33</v>
      </c>
      <c r="M1491" t="s">
        <v>1808</v>
      </c>
      <c r="N1491" t="s">
        <v>5023</v>
      </c>
      <c r="O1491" t="s">
        <v>5024</v>
      </c>
      <c r="P1491" s="2" t="s">
        <v>37</v>
      </c>
      <c r="Q1491" t="s">
        <v>1208</v>
      </c>
      <c r="R1491">
        <v>2.85</v>
      </c>
      <c r="S1491">
        <v>6.35</v>
      </c>
      <c r="T1491" t="s">
        <v>5025</v>
      </c>
    </row>
    <row r="1492" spans="1:20" x14ac:dyDescent="0.25">
      <c r="A1492" s="1" t="str">
        <f>HYPERLINK("https://vegkart.atlas.vegvesen.no/#/@208827.3,6586015.6,18/hva:hva%5B0%5D%5Bfilter%5D%5B0%5D%5Boperator%5D=%21%3D&amp;hva%5B0%5D%5Bfilter%5D%5B0%5D%5Btype_id%5D=9427&amp;hva%5B0%5D%5Bfilter%5D%5B0%5D%5Bverdi%5D=&amp;hva%5B0%5D%5Bid%5D=25/når:2023-05-31", "Vegkart")</f>
        <v>Vegkart</v>
      </c>
      <c r="B1492">
        <v>594408259</v>
      </c>
      <c r="C1492">
        <v>25</v>
      </c>
      <c r="D1492" t="s">
        <v>4290</v>
      </c>
      <c r="E1492">
        <v>9427</v>
      </c>
      <c r="F1492" t="s">
        <v>23479</v>
      </c>
      <c r="G1492">
        <v>3</v>
      </c>
      <c r="H1492" t="s">
        <v>4298</v>
      </c>
      <c r="J1492" t="s">
        <v>5015</v>
      </c>
      <c r="K1492" t="s">
        <v>81</v>
      </c>
      <c r="L1492" t="s">
        <v>33</v>
      </c>
      <c r="M1492" t="s">
        <v>197</v>
      </c>
      <c r="N1492" t="s">
        <v>5026</v>
      </c>
      <c r="O1492" t="s">
        <v>5027</v>
      </c>
      <c r="P1492" s="2" t="s">
        <v>37</v>
      </c>
      <c r="Q1492" t="s">
        <v>1208</v>
      </c>
      <c r="R1492">
        <v>0</v>
      </c>
      <c r="S1492">
        <v>10.64</v>
      </c>
      <c r="T1492" t="s">
        <v>5028</v>
      </c>
    </row>
    <row r="1493" spans="1:20" x14ac:dyDescent="0.25">
      <c r="A1493" s="1" t="str">
        <f>HYPERLINK("https://vegkart.atlas.vegvesen.no/#/@219308.8,6617259.0,18/hva:hva%5B0%5D%5Bfilter%5D%5B0%5D%5Boperator%5D=%21%3D&amp;hva%5B0%5D%5Bfilter%5D%5B0%5D%5Btype_id%5D=9427&amp;hva%5B0%5D%5Bfilter%5D%5B0%5D%5Bverdi%5D=&amp;hva%5B0%5D%5Bid%5D=25/når:2023-05-31", "Vegkart")</f>
        <v>Vegkart</v>
      </c>
      <c r="B1493">
        <v>596701464</v>
      </c>
      <c r="C1493">
        <v>25</v>
      </c>
      <c r="D1493" t="s">
        <v>4290</v>
      </c>
      <c r="E1493">
        <v>9427</v>
      </c>
      <c r="F1493" t="s">
        <v>23479</v>
      </c>
      <c r="G1493">
        <v>3</v>
      </c>
      <c r="H1493" t="s">
        <v>4298</v>
      </c>
      <c r="J1493" t="s">
        <v>5015</v>
      </c>
      <c r="K1493" t="s">
        <v>81</v>
      </c>
      <c r="L1493" t="s">
        <v>33</v>
      </c>
      <c r="M1493" t="s">
        <v>3298</v>
      </c>
      <c r="N1493" t="s">
        <v>5029</v>
      </c>
      <c r="O1493" t="s">
        <v>5030</v>
      </c>
      <c r="P1493" s="2" t="s">
        <v>37</v>
      </c>
      <c r="Q1493" t="s">
        <v>1208</v>
      </c>
      <c r="R1493">
        <v>0</v>
      </c>
      <c r="S1493">
        <v>10.65</v>
      </c>
      <c r="T1493" t="s">
        <v>5031</v>
      </c>
    </row>
    <row r="1494" spans="1:20" x14ac:dyDescent="0.25">
      <c r="A1494" s="1" t="str">
        <f>HYPERLINK("https://vegkart.atlas.vegvesen.no/#/@218987.1,6617372.6,18/hva:hva%5B0%5D%5Bfilter%5D%5B0%5D%5Boperator%5D=%21%3D&amp;hva%5B0%5D%5Bfilter%5D%5B0%5D%5Btype_id%5D=9427&amp;hva%5B0%5D%5Bfilter%5D%5B0%5D%5Bverdi%5D=&amp;hva%5B0%5D%5Bid%5D=25/når:2023-05-31", "Vegkart")</f>
        <v>Vegkart</v>
      </c>
      <c r="B1494">
        <v>596701495</v>
      </c>
      <c r="C1494">
        <v>25</v>
      </c>
      <c r="D1494" t="s">
        <v>4290</v>
      </c>
      <c r="E1494">
        <v>9427</v>
      </c>
      <c r="F1494" t="s">
        <v>23479</v>
      </c>
      <c r="G1494">
        <v>3</v>
      </c>
      <c r="H1494" t="s">
        <v>4298</v>
      </c>
      <c r="J1494" t="s">
        <v>5015</v>
      </c>
      <c r="K1494" t="s">
        <v>81</v>
      </c>
      <c r="L1494" t="s">
        <v>33</v>
      </c>
      <c r="M1494" t="s">
        <v>3298</v>
      </c>
      <c r="N1494" t="s">
        <v>5032</v>
      </c>
      <c r="O1494" t="s">
        <v>5033</v>
      </c>
      <c r="P1494" s="2" t="s">
        <v>37</v>
      </c>
      <c r="Q1494" t="s">
        <v>1208</v>
      </c>
      <c r="R1494">
        <v>0</v>
      </c>
      <c r="S1494">
        <v>10.55</v>
      </c>
      <c r="T1494" t="s">
        <v>5034</v>
      </c>
    </row>
    <row r="1495" spans="1:20" x14ac:dyDescent="0.25">
      <c r="A1495" s="1" t="str">
        <f>HYPERLINK("https://vegkart.atlas.vegvesen.no/#/@232727.6,6676648.5,18/hva:hva%5B0%5D%5Bfilter%5D%5B0%5D%5Boperator%5D=%21%3D&amp;hva%5B0%5D%5Bfilter%5D%5B0%5D%5Btype_id%5D=9427&amp;hva%5B0%5D%5Bfilter%5D%5B0%5D%5Bverdi%5D=&amp;hva%5B0%5D%5Bid%5D=25/når:2015-06-02", "Vegkart")</f>
        <v>Vegkart</v>
      </c>
      <c r="B1495">
        <v>597974392</v>
      </c>
      <c r="C1495">
        <v>25</v>
      </c>
      <c r="D1495" t="s">
        <v>4290</v>
      </c>
      <c r="E1495">
        <v>9427</v>
      </c>
      <c r="F1495" t="s">
        <v>23479</v>
      </c>
      <c r="G1495">
        <v>1</v>
      </c>
      <c r="H1495" t="s">
        <v>5035</v>
      </c>
      <c r="J1495" t="s">
        <v>5015</v>
      </c>
      <c r="K1495" t="s">
        <v>307</v>
      </c>
      <c r="L1495" t="s">
        <v>113</v>
      </c>
      <c r="M1495" t="s">
        <v>5036</v>
      </c>
      <c r="N1495" t="s">
        <v>5037</v>
      </c>
      <c r="O1495" t="s">
        <v>5038</v>
      </c>
      <c r="P1495" s="2" t="s">
        <v>37</v>
      </c>
      <c r="Q1495" t="s">
        <v>1208</v>
      </c>
      <c r="R1495">
        <v>3.26</v>
      </c>
      <c r="S1495">
        <v>5.54</v>
      </c>
      <c r="T1495" t="s">
        <v>5039</v>
      </c>
    </row>
    <row r="1496" spans="1:20" x14ac:dyDescent="0.25">
      <c r="A1496" s="1" t="str">
        <f>HYPERLINK("https://vegkart.atlas.vegvesen.no/#/@219948.9,6561232.1,18/hva:hva%5B0%5D%5Bfilter%5D%5B0%5D%5Boperator%5D=%21%3D&amp;hva%5B0%5D%5Bfilter%5D%5B0%5D%5Btype_id%5D=9427&amp;hva%5B0%5D%5Bfilter%5D%5B0%5D%5Bverdi%5D=&amp;hva%5B0%5D%5Bid%5D=25/når:2023-05-31", "Vegkart")</f>
        <v>Vegkart</v>
      </c>
      <c r="B1496">
        <v>600007465</v>
      </c>
      <c r="C1496">
        <v>25</v>
      </c>
      <c r="D1496" t="s">
        <v>4290</v>
      </c>
      <c r="E1496">
        <v>9427</v>
      </c>
      <c r="F1496" t="s">
        <v>23479</v>
      </c>
      <c r="G1496">
        <v>4</v>
      </c>
      <c r="H1496" t="s">
        <v>4298</v>
      </c>
      <c r="J1496" t="s">
        <v>5015</v>
      </c>
      <c r="K1496" t="s">
        <v>81</v>
      </c>
      <c r="L1496" t="s">
        <v>33</v>
      </c>
      <c r="M1496" t="s">
        <v>4342</v>
      </c>
      <c r="N1496" t="s">
        <v>5040</v>
      </c>
      <c r="O1496" t="s">
        <v>5041</v>
      </c>
      <c r="P1496" s="2" t="s">
        <v>37</v>
      </c>
      <c r="Q1496" t="s">
        <v>1208</v>
      </c>
      <c r="R1496">
        <v>0</v>
      </c>
      <c r="S1496">
        <v>13.98</v>
      </c>
      <c r="T1496" t="s">
        <v>5042</v>
      </c>
    </row>
    <row r="1497" spans="1:20" x14ac:dyDescent="0.25">
      <c r="A1497" s="1" t="str">
        <f>HYPERLINK("https://vegkart.atlas.vegvesen.no/#/@219962.8,6561236.5,18/hva:hva%5B0%5D%5Bfilter%5D%5B0%5D%5Boperator%5D=%21%3D&amp;hva%5B0%5D%5Bfilter%5D%5B0%5D%5Btype_id%5D=9427&amp;hva%5B0%5D%5Bfilter%5D%5B0%5D%5Bverdi%5D=&amp;hva%5B0%5D%5Bid%5D=25/når:2023-05-31", "Vegkart")</f>
        <v>Vegkart</v>
      </c>
      <c r="B1497">
        <v>600007466</v>
      </c>
      <c r="C1497">
        <v>25</v>
      </c>
      <c r="D1497" t="s">
        <v>4290</v>
      </c>
      <c r="E1497">
        <v>9427</v>
      </c>
      <c r="F1497" t="s">
        <v>23479</v>
      </c>
      <c r="G1497">
        <v>4</v>
      </c>
      <c r="H1497" t="s">
        <v>4298</v>
      </c>
      <c r="J1497" t="s">
        <v>5015</v>
      </c>
      <c r="K1497" t="s">
        <v>81</v>
      </c>
      <c r="L1497" t="s">
        <v>33</v>
      </c>
      <c r="M1497" t="s">
        <v>4342</v>
      </c>
      <c r="N1497" t="s">
        <v>5043</v>
      </c>
      <c r="O1497" t="s">
        <v>5044</v>
      </c>
      <c r="P1497" s="2" t="s">
        <v>37</v>
      </c>
      <c r="Q1497" t="s">
        <v>1208</v>
      </c>
      <c r="R1497">
        <v>0</v>
      </c>
      <c r="S1497">
        <v>14.09</v>
      </c>
      <c r="T1497" t="s">
        <v>5045</v>
      </c>
    </row>
    <row r="1498" spans="1:20" x14ac:dyDescent="0.25">
      <c r="A1498" s="1" t="str">
        <f>HYPERLINK("https://vegkart.atlas.vegvesen.no/#/@224028.5,6564674.2,18/hva:hva%5B0%5D%5Bfilter%5D%5B0%5D%5Boperator%5D=%21%3D&amp;hva%5B0%5D%5Bfilter%5D%5B0%5D%5Btype_id%5D=9427&amp;hva%5B0%5D%5Bfilter%5D%5B0%5D%5Bverdi%5D=&amp;hva%5B0%5D%5Bid%5D=25/når:2023-05-31", "Vegkart")</f>
        <v>Vegkart</v>
      </c>
      <c r="B1498">
        <v>600008521</v>
      </c>
      <c r="C1498">
        <v>25</v>
      </c>
      <c r="D1498" t="s">
        <v>4290</v>
      </c>
      <c r="E1498">
        <v>9427</v>
      </c>
      <c r="F1498" t="s">
        <v>23479</v>
      </c>
      <c r="G1498">
        <v>3</v>
      </c>
      <c r="H1498" t="s">
        <v>4298</v>
      </c>
      <c r="J1498" t="s">
        <v>5015</v>
      </c>
      <c r="K1498" t="s">
        <v>81</v>
      </c>
      <c r="L1498" t="s">
        <v>33</v>
      </c>
      <c r="M1498" t="s">
        <v>3917</v>
      </c>
      <c r="N1498" t="s">
        <v>5046</v>
      </c>
      <c r="O1498" t="s">
        <v>5047</v>
      </c>
      <c r="P1498" s="2" t="s">
        <v>37</v>
      </c>
      <c r="Q1498" t="s">
        <v>1208</v>
      </c>
      <c r="R1498">
        <v>0</v>
      </c>
      <c r="S1498">
        <v>13.81</v>
      </c>
      <c r="T1498" t="s">
        <v>5048</v>
      </c>
    </row>
    <row r="1499" spans="1:20" x14ac:dyDescent="0.25">
      <c r="A1499" s="1" t="str">
        <f>HYPERLINK("https://vegkart.atlas.vegvesen.no/#/@224025.3,6564687.6,18/hva:hva%5B0%5D%5Bfilter%5D%5B0%5D%5Boperator%5D=%21%3D&amp;hva%5B0%5D%5Bfilter%5D%5B0%5D%5Btype_id%5D=9427&amp;hva%5B0%5D%5Bfilter%5D%5B0%5D%5Bverdi%5D=&amp;hva%5B0%5D%5Bid%5D=25/når:2023-05-31", "Vegkart")</f>
        <v>Vegkart</v>
      </c>
      <c r="B1499">
        <v>600008522</v>
      </c>
      <c r="C1499">
        <v>25</v>
      </c>
      <c r="D1499" t="s">
        <v>4290</v>
      </c>
      <c r="E1499">
        <v>9427</v>
      </c>
      <c r="F1499" t="s">
        <v>23479</v>
      </c>
      <c r="G1499">
        <v>3</v>
      </c>
      <c r="H1499" t="s">
        <v>4298</v>
      </c>
      <c r="J1499" t="s">
        <v>5015</v>
      </c>
      <c r="K1499" t="s">
        <v>81</v>
      </c>
      <c r="L1499" t="s">
        <v>33</v>
      </c>
      <c r="M1499" t="s">
        <v>3917</v>
      </c>
      <c r="N1499" t="s">
        <v>5049</v>
      </c>
      <c r="O1499" t="s">
        <v>5050</v>
      </c>
      <c r="P1499" s="2" t="s">
        <v>37</v>
      </c>
      <c r="Q1499" t="s">
        <v>1208</v>
      </c>
      <c r="R1499">
        <v>0</v>
      </c>
      <c r="S1499">
        <v>13.59</v>
      </c>
      <c r="T1499" t="s">
        <v>5051</v>
      </c>
    </row>
    <row r="1500" spans="1:20" x14ac:dyDescent="0.25">
      <c r="A1500" s="1" t="str">
        <f>HYPERLINK("https://vegkart.atlas.vegvesen.no/#/@233041.1,6612083.0,18/hva:hva%5B0%5D%5Bfilter%5D%5B0%5D%5Boperator%5D=%21%3D&amp;hva%5B0%5D%5Bfilter%5D%5B0%5D%5Btype_id%5D=9427&amp;hva%5B0%5D%5Bfilter%5D%5B0%5D%5Bverdi%5D=&amp;hva%5B0%5D%5Bid%5D=25/når:2023-05-31", "Vegkart")</f>
        <v>Vegkart</v>
      </c>
      <c r="B1500">
        <v>600019615</v>
      </c>
      <c r="C1500">
        <v>25</v>
      </c>
      <c r="D1500" t="s">
        <v>4290</v>
      </c>
      <c r="E1500">
        <v>9427</v>
      </c>
      <c r="F1500" t="s">
        <v>23479</v>
      </c>
      <c r="G1500">
        <v>4</v>
      </c>
      <c r="H1500" t="s">
        <v>4298</v>
      </c>
      <c r="J1500" t="s">
        <v>5015</v>
      </c>
      <c r="K1500" t="s">
        <v>81</v>
      </c>
      <c r="L1500" t="s">
        <v>33</v>
      </c>
      <c r="M1500" t="s">
        <v>1808</v>
      </c>
      <c r="N1500" t="s">
        <v>5052</v>
      </c>
      <c r="O1500" t="s">
        <v>5053</v>
      </c>
      <c r="P1500" s="2" t="s">
        <v>165</v>
      </c>
      <c r="Q1500" t="s">
        <v>166</v>
      </c>
      <c r="R1500">
        <v>0</v>
      </c>
      <c r="S1500">
        <v>9.77</v>
      </c>
      <c r="T1500" t="s">
        <v>167</v>
      </c>
    </row>
    <row r="1501" spans="1:20" x14ac:dyDescent="0.25">
      <c r="A1501" s="1" t="str">
        <f>HYPERLINK("https://vegkart.atlas.vegvesen.no/#/@232739.7,6612670.0,18/hva:hva%5B0%5D%5Bfilter%5D%5B0%5D%5Boperator%5D=%21%3D&amp;hva%5B0%5D%5Bfilter%5D%5B0%5D%5Btype_id%5D=9427&amp;hva%5B0%5D%5Bfilter%5D%5B0%5D%5Bverdi%5D=&amp;hva%5B0%5D%5Bid%5D=25/når:2023-05-31", "Vegkart")</f>
        <v>Vegkart</v>
      </c>
      <c r="B1501">
        <v>600019616</v>
      </c>
      <c r="C1501">
        <v>25</v>
      </c>
      <c r="D1501" t="s">
        <v>4290</v>
      </c>
      <c r="E1501">
        <v>9427</v>
      </c>
      <c r="F1501" t="s">
        <v>23479</v>
      </c>
      <c r="G1501">
        <v>4</v>
      </c>
      <c r="H1501" t="s">
        <v>4298</v>
      </c>
      <c r="J1501" t="s">
        <v>5015</v>
      </c>
      <c r="K1501" t="s">
        <v>81</v>
      </c>
      <c r="L1501" t="s">
        <v>33</v>
      </c>
      <c r="M1501" t="s">
        <v>1808</v>
      </c>
      <c r="N1501" t="s">
        <v>5054</v>
      </c>
      <c r="O1501" t="s">
        <v>5055</v>
      </c>
      <c r="P1501" s="2" t="s">
        <v>165</v>
      </c>
      <c r="Q1501" t="s">
        <v>166</v>
      </c>
      <c r="R1501">
        <v>0</v>
      </c>
      <c r="S1501">
        <v>8.9499999999999993</v>
      </c>
      <c r="T1501" t="s">
        <v>167</v>
      </c>
    </row>
    <row r="1502" spans="1:20" x14ac:dyDescent="0.25">
      <c r="A1502" s="1" t="str">
        <f>HYPERLINK("https://vegkart.atlas.vegvesen.no/#/@232737.3,6612645.9,18/hva:hva%5B0%5D%5Bfilter%5D%5B0%5D%5Boperator%5D=%21%3D&amp;hva%5B0%5D%5Bfilter%5D%5B0%5D%5Btype_id%5D=9427&amp;hva%5B0%5D%5Bfilter%5D%5B0%5D%5Bverdi%5D=&amp;hva%5B0%5D%5Bid%5D=25/når:2023-05-31", "Vegkart")</f>
        <v>Vegkart</v>
      </c>
      <c r="B1502">
        <v>600019617</v>
      </c>
      <c r="C1502">
        <v>25</v>
      </c>
      <c r="D1502" t="s">
        <v>4290</v>
      </c>
      <c r="E1502">
        <v>9427</v>
      </c>
      <c r="F1502" t="s">
        <v>23479</v>
      </c>
      <c r="G1502">
        <v>4</v>
      </c>
      <c r="H1502" t="s">
        <v>4298</v>
      </c>
      <c r="J1502" t="s">
        <v>5015</v>
      </c>
      <c r="K1502" t="s">
        <v>81</v>
      </c>
      <c r="L1502" t="s">
        <v>33</v>
      </c>
      <c r="M1502" t="s">
        <v>1808</v>
      </c>
      <c r="N1502" t="s">
        <v>5056</v>
      </c>
      <c r="O1502" t="s">
        <v>5057</v>
      </c>
      <c r="P1502" s="2" t="s">
        <v>165</v>
      </c>
      <c r="Q1502" t="s">
        <v>166</v>
      </c>
      <c r="R1502">
        <v>0</v>
      </c>
      <c r="S1502">
        <v>9.0399999999999991</v>
      </c>
      <c r="T1502" t="s">
        <v>167</v>
      </c>
    </row>
    <row r="1503" spans="1:20" x14ac:dyDescent="0.25">
      <c r="A1503" s="1" t="str">
        <f>HYPERLINK("https://vegkart.atlas.vegvesen.no/#/@225331.9,6564413.3,18/hva:hva%5B0%5D%5Bfilter%5D%5B0%5D%5Boperator%5D=%21%3D&amp;hva%5B0%5D%5Bfilter%5D%5B0%5D%5Btype_id%5D=9427&amp;hva%5B0%5D%5Bfilter%5D%5B0%5D%5Bverdi%5D=&amp;hva%5B0%5D%5Bid%5D=25/når:2023-05-31", "Vegkart")</f>
        <v>Vegkart</v>
      </c>
      <c r="B1503">
        <v>600188836</v>
      </c>
      <c r="C1503">
        <v>25</v>
      </c>
      <c r="D1503" t="s">
        <v>4290</v>
      </c>
      <c r="E1503">
        <v>9427</v>
      </c>
      <c r="F1503" t="s">
        <v>23479</v>
      </c>
      <c r="G1503">
        <v>4</v>
      </c>
      <c r="H1503" t="s">
        <v>4298</v>
      </c>
      <c r="J1503" t="s">
        <v>5015</v>
      </c>
      <c r="K1503" t="s">
        <v>81</v>
      </c>
      <c r="L1503" t="s">
        <v>33</v>
      </c>
      <c r="M1503" t="s">
        <v>3917</v>
      </c>
      <c r="N1503" t="s">
        <v>5058</v>
      </c>
      <c r="O1503" t="s">
        <v>5059</v>
      </c>
      <c r="P1503" s="2" t="s">
        <v>37</v>
      </c>
      <c r="Q1503" t="s">
        <v>1208</v>
      </c>
      <c r="R1503">
        <v>0</v>
      </c>
      <c r="S1503">
        <v>10.96</v>
      </c>
      <c r="T1503" t="s">
        <v>5060</v>
      </c>
    </row>
    <row r="1504" spans="1:20" x14ac:dyDescent="0.25">
      <c r="A1504" s="1" t="str">
        <f>HYPERLINK("https://vegkart.atlas.vegvesen.no/#/@225333.9,6564398.1,18/hva:hva%5B0%5D%5Bfilter%5D%5B0%5D%5Boperator%5D=%21%3D&amp;hva%5B0%5D%5Bfilter%5D%5B0%5D%5Btype_id%5D=9427&amp;hva%5B0%5D%5Bfilter%5D%5B0%5D%5Bverdi%5D=&amp;hva%5B0%5D%5Bid%5D=25/når:2023-05-31", "Vegkart")</f>
        <v>Vegkart</v>
      </c>
      <c r="B1504">
        <v>600188837</v>
      </c>
      <c r="C1504">
        <v>25</v>
      </c>
      <c r="D1504" t="s">
        <v>4290</v>
      </c>
      <c r="E1504">
        <v>9427</v>
      </c>
      <c r="F1504" t="s">
        <v>23479</v>
      </c>
      <c r="G1504">
        <v>4</v>
      </c>
      <c r="H1504" t="s">
        <v>4298</v>
      </c>
      <c r="J1504" t="s">
        <v>5015</v>
      </c>
      <c r="K1504" t="s">
        <v>81</v>
      </c>
      <c r="L1504" t="s">
        <v>33</v>
      </c>
      <c r="M1504" t="s">
        <v>3917</v>
      </c>
      <c r="N1504" t="s">
        <v>5061</v>
      </c>
      <c r="O1504" t="s">
        <v>5062</v>
      </c>
      <c r="P1504" s="2" t="s">
        <v>37</v>
      </c>
      <c r="Q1504" t="s">
        <v>1208</v>
      </c>
      <c r="R1504">
        <v>0</v>
      </c>
      <c r="S1504">
        <v>13.63</v>
      </c>
      <c r="T1504" t="s">
        <v>5063</v>
      </c>
    </row>
    <row r="1505" spans="1:20" x14ac:dyDescent="0.25">
      <c r="A1505" s="1" t="str">
        <f>HYPERLINK("https://vegkart.atlas.vegvesen.no/#/@236674.1,6608725.6,18/hva:hva%5B0%5D%5Bfilter%5D%5B0%5D%5Boperator%5D=%21%3D&amp;hva%5B0%5D%5Bfilter%5D%5B0%5D%5Btype_id%5D=9427&amp;hva%5B0%5D%5Bfilter%5D%5B0%5D%5Bverdi%5D=&amp;hva%5B0%5D%5Bid%5D=25/når:2023-05-31", "Vegkart")</f>
        <v>Vegkart</v>
      </c>
      <c r="B1505">
        <v>600252887</v>
      </c>
      <c r="C1505">
        <v>25</v>
      </c>
      <c r="D1505" t="s">
        <v>4290</v>
      </c>
      <c r="E1505">
        <v>9427</v>
      </c>
      <c r="F1505" t="s">
        <v>23479</v>
      </c>
      <c r="G1505">
        <v>3</v>
      </c>
      <c r="H1505" t="s">
        <v>4298</v>
      </c>
      <c r="J1505" t="s">
        <v>5015</v>
      </c>
      <c r="K1505" t="s">
        <v>81</v>
      </c>
      <c r="L1505" t="s">
        <v>33</v>
      </c>
      <c r="M1505" t="s">
        <v>1808</v>
      </c>
      <c r="N1505" t="s">
        <v>5064</v>
      </c>
      <c r="O1505" t="s">
        <v>5065</v>
      </c>
      <c r="P1505" s="2" t="s">
        <v>37</v>
      </c>
      <c r="Q1505" t="s">
        <v>1208</v>
      </c>
      <c r="R1505">
        <v>0</v>
      </c>
      <c r="S1505">
        <v>13.53</v>
      </c>
      <c r="T1505" t="s">
        <v>5066</v>
      </c>
    </row>
    <row r="1506" spans="1:20" x14ac:dyDescent="0.25">
      <c r="A1506" s="1" t="str">
        <f>HYPERLINK("https://vegkart.atlas.vegvesen.no/#/@225623.2,6564738.3,18/hva:hva%5B0%5D%5Bfilter%5D%5B0%5D%5Boperator%5D=%21%3D&amp;hva%5B0%5D%5Bfilter%5D%5B0%5D%5Btype_id%5D=9427&amp;hva%5B0%5D%5Bfilter%5D%5B0%5D%5Bverdi%5D=&amp;hva%5B0%5D%5Bid%5D=25/når:2023-05-31", "Vegkart")</f>
        <v>Vegkart</v>
      </c>
      <c r="B1506">
        <v>600312741</v>
      </c>
      <c r="C1506">
        <v>25</v>
      </c>
      <c r="D1506" t="s">
        <v>4290</v>
      </c>
      <c r="E1506">
        <v>9427</v>
      </c>
      <c r="F1506" t="s">
        <v>23479</v>
      </c>
      <c r="G1506">
        <v>3</v>
      </c>
      <c r="H1506" t="s">
        <v>4298</v>
      </c>
      <c r="J1506" t="s">
        <v>5015</v>
      </c>
      <c r="K1506" t="s">
        <v>81</v>
      </c>
      <c r="L1506" t="s">
        <v>33</v>
      </c>
      <c r="M1506" t="s">
        <v>3917</v>
      </c>
      <c r="N1506" t="s">
        <v>5067</v>
      </c>
      <c r="O1506" t="s">
        <v>5068</v>
      </c>
      <c r="P1506" s="2" t="s">
        <v>37</v>
      </c>
      <c r="Q1506" t="s">
        <v>1208</v>
      </c>
      <c r="R1506">
        <v>0</v>
      </c>
      <c r="S1506">
        <v>13.69</v>
      </c>
      <c r="T1506" t="s">
        <v>5069</v>
      </c>
    </row>
    <row r="1507" spans="1:20" x14ac:dyDescent="0.25">
      <c r="A1507" s="1" t="str">
        <f>HYPERLINK("https://vegkart.atlas.vegvesen.no/#/@225610.9,6564733.3,18/hva:hva%5B0%5D%5Bfilter%5D%5B0%5D%5Boperator%5D=%21%3D&amp;hva%5B0%5D%5Bfilter%5D%5B0%5D%5Btype_id%5D=9427&amp;hva%5B0%5D%5Bfilter%5D%5B0%5D%5Bverdi%5D=&amp;hva%5B0%5D%5Bid%5D=25/når:2023-05-31", "Vegkart")</f>
        <v>Vegkart</v>
      </c>
      <c r="B1507">
        <v>600312742</v>
      </c>
      <c r="C1507">
        <v>25</v>
      </c>
      <c r="D1507" t="s">
        <v>4290</v>
      </c>
      <c r="E1507">
        <v>9427</v>
      </c>
      <c r="F1507" t="s">
        <v>23479</v>
      </c>
      <c r="G1507">
        <v>3</v>
      </c>
      <c r="H1507" t="s">
        <v>4298</v>
      </c>
      <c r="J1507" t="s">
        <v>5015</v>
      </c>
      <c r="K1507" t="s">
        <v>81</v>
      </c>
      <c r="L1507" t="s">
        <v>33</v>
      </c>
      <c r="M1507" t="s">
        <v>3917</v>
      </c>
      <c r="N1507" t="s">
        <v>5070</v>
      </c>
      <c r="O1507" t="s">
        <v>5071</v>
      </c>
      <c r="P1507" s="2" t="s">
        <v>37</v>
      </c>
      <c r="Q1507" t="s">
        <v>1208</v>
      </c>
      <c r="R1507">
        <v>0</v>
      </c>
      <c r="S1507">
        <v>13.76</v>
      </c>
      <c r="T1507" t="s">
        <v>5072</v>
      </c>
    </row>
    <row r="1508" spans="1:20" x14ac:dyDescent="0.25">
      <c r="A1508" s="1" t="str">
        <f>HYPERLINK("https://vegkart.atlas.vegvesen.no/#/@236690.8,6567654.8,18/hva:hva%5B0%5D%5Bfilter%5D%5B0%5D%5Boperator%5D=%21%3D&amp;hva%5B0%5D%5Bfilter%5D%5B0%5D%5Btype_id%5D=9427&amp;hva%5B0%5D%5Bfilter%5D%5B0%5D%5Bverdi%5D=&amp;hva%5B0%5D%5Bid%5D=25/når:2023-05-31", "Vegkart")</f>
        <v>Vegkart</v>
      </c>
      <c r="B1508">
        <v>601413364</v>
      </c>
      <c r="C1508">
        <v>25</v>
      </c>
      <c r="D1508" t="s">
        <v>4290</v>
      </c>
      <c r="E1508">
        <v>9427</v>
      </c>
      <c r="F1508" t="s">
        <v>23479</v>
      </c>
      <c r="G1508">
        <v>5</v>
      </c>
      <c r="H1508" t="s">
        <v>4298</v>
      </c>
      <c r="J1508" t="s">
        <v>5015</v>
      </c>
      <c r="K1508" t="s">
        <v>81</v>
      </c>
      <c r="L1508" t="s">
        <v>33</v>
      </c>
      <c r="M1508" t="s">
        <v>1940</v>
      </c>
      <c r="N1508" t="s">
        <v>5073</v>
      </c>
      <c r="O1508" t="s">
        <v>5074</v>
      </c>
      <c r="P1508" s="2" t="s">
        <v>37</v>
      </c>
      <c r="Q1508" t="s">
        <v>1208</v>
      </c>
      <c r="R1508">
        <v>0</v>
      </c>
      <c r="S1508">
        <v>13.7</v>
      </c>
      <c r="T1508" t="s">
        <v>5075</v>
      </c>
    </row>
    <row r="1509" spans="1:20" x14ac:dyDescent="0.25">
      <c r="A1509" s="1" t="str">
        <f>HYPERLINK("https://vegkart.atlas.vegvesen.no/#/@236683.0,6567673.6,18/hva:hva%5B0%5D%5Bfilter%5D%5B0%5D%5Boperator%5D=%21%3D&amp;hva%5B0%5D%5Bfilter%5D%5B0%5D%5Btype_id%5D=9427&amp;hva%5B0%5D%5Bfilter%5D%5B0%5D%5Bverdi%5D=&amp;hva%5B0%5D%5Bid%5D=25/når:2023-05-31", "Vegkart")</f>
        <v>Vegkart</v>
      </c>
      <c r="B1509">
        <v>601413365</v>
      </c>
      <c r="C1509">
        <v>25</v>
      </c>
      <c r="D1509" t="s">
        <v>4290</v>
      </c>
      <c r="E1509">
        <v>9427</v>
      </c>
      <c r="F1509" t="s">
        <v>23479</v>
      </c>
      <c r="G1509">
        <v>5</v>
      </c>
      <c r="H1509" t="s">
        <v>4298</v>
      </c>
      <c r="J1509" t="s">
        <v>5015</v>
      </c>
      <c r="K1509" t="s">
        <v>81</v>
      </c>
      <c r="L1509" t="s">
        <v>33</v>
      </c>
      <c r="M1509" t="s">
        <v>1940</v>
      </c>
      <c r="N1509" t="s">
        <v>5076</v>
      </c>
      <c r="O1509" t="s">
        <v>5077</v>
      </c>
      <c r="P1509" s="2" t="s">
        <v>37</v>
      </c>
      <c r="Q1509" t="s">
        <v>1208</v>
      </c>
      <c r="R1509">
        <v>0</v>
      </c>
      <c r="S1509">
        <v>28.34</v>
      </c>
      <c r="T1509" t="s">
        <v>5078</v>
      </c>
    </row>
    <row r="1510" spans="1:20" x14ac:dyDescent="0.25">
      <c r="A1510" s="1" t="str">
        <f>HYPERLINK("https://vegkart.atlas.vegvesen.no/#/@236957.8,6575409.1,18/hva:hva%5B0%5D%5Bfilter%5D%5B0%5D%5Boperator%5D=%21%3D&amp;hva%5B0%5D%5Bfilter%5D%5B0%5D%5Btype_id%5D=9427&amp;hva%5B0%5D%5Bfilter%5D%5B0%5D%5Bverdi%5D=&amp;hva%5B0%5D%5Bid%5D=25/når:2023-05-31", "Vegkart")</f>
        <v>Vegkart</v>
      </c>
      <c r="B1510">
        <v>601584439</v>
      </c>
      <c r="C1510">
        <v>25</v>
      </c>
      <c r="D1510" t="s">
        <v>4290</v>
      </c>
      <c r="E1510">
        <v>9427</v>
      </c>
      <c r="F1510" t="s">
        <v>23479</v>
      </c>
      <c r="G1510">
        <v>5</v>
      </c>
      <c r="H1510" t="s">
        <v>4298</v>
      </c>
      <c r="J1510" t="s">
        <v>5015</v>
      </c>
      <c r="K1510" t="s">
        <v>81</v>
      </c>
      <c r="L1510" t="s">
        <v>33</v>
      </c>
      <c r="M1510" t="s">
        <v>4536</v>
      </c>
      <c r="N1510" t="s">
        <v>5079</v>
      </c>
      <c r="O1510" t="s">
        <v>5080</v>
      </c>
      <c r="P1510" s="2" t="s">
        <v>37</v>
      </c>
      <c r="Q1510" t="s">
        <v>1208</v>
      </c>
      <c r="R1510">
        <v>0</v>
      </c>
      <c r="S1510">
        <v>13.87</v>
      </c>
      <c r="T1510" t="s">
        <v>5081</v>
      </c>
    </row>
    <row r="1511" spans="1:20" x14ac:dyDescent="0.25">
      <c r="A1511" s="1" t="str">
        <f>HYPERLINK("https://vegkart.atlas.vegvesen.no/#/@237273.0,6575933.1,18/hva:hva%5B0%5D%5Bfilter%5D%5B0%5D%5Boperator%5D=%21%3D&amp;hva%5B0%5D%5Bfilter%5D%5B0%5D%5Btype_id%5D=9427&amp;hva%5B0%5D%5Bfilter%5D%5B0%5D%5Bverdi%5D=&amp;hva%5B0%5D%5Bid%5D=25/når:2023-05-31", "Vegkart")</f>
        <v>Vegkart</v>
      </c>
      <c r="B1511">
        <v>601670413</v>
      </c>
      <c r="C1511">
        <v>25</v>
      </c>
      <c r="D1511" t="s">
        <v>4290</v>
      </c>
      <c r="E1511">
        <v>9427</v>
      </c>
      <c r="F1511" t="s">
        <v>23479</v>
      </c>
      <c r="G1511">
        <v>5</v>
      </c>
      <c r="H1511" t="s">
        <v>4298</v>
      </c>
      <c r="J1511" t="s">
        <v>5015</v>
      </c>
      <c r="K1511" t="s">
        <v>81</v>
      </c>
      <c r="L1511" t="s">
        <v>33</v>
      </c>
      <c r="M1511" t="s">
        <v>2066</v>
      </c>
      <c r="N1511" t="s">
        <v>5082</v>
      </c>
      <c r="O1511" t="s">
        <v>5083</v>
      </c>
      <c r="P1511" s="2" t="s">
        <v>37</v>
      </c>
      <c r="Q1511" t="s">
        <v>1208</v>
      </c>
      <c r="R1511">
        <v>0</v>
      </c>
      <c r="S1511">
        <v>13.61</v>
      </c>
      <c r="T1511" t="s">
        <v>5084</v>
      </c>
    </row>
    <row r="1512" spans="1:20" x14ac:dyDescent="0.25">
      <c r="A1512" s="1" t="str">
        <f>HYPERLINK("https://vegkart.atlas.vegvesen.no/#/@236174.3,6580602.0,18/hva:hva%5B0%5D%5Bfilter%5D%5B0%5D%5Boperator%5D=%21%3D&amp;hva%5B0%5D%5Bfilter%5D%5B0%5D%5Btype_id%5D=9427&amp;hva%5B0%5D%5Bfilter%5D%5B0%5D%5Bverdi%5D=&amp;hva%5B0%5D%5Bid%5D=25/når:2023-05-31", "Vegkart")</f>
        <v>Vegkart</v>
      </c>
      <c r="B1512">
        <v>601695750</v>
      </c>
      <c r="C1512">
        <v>25</v>
      </c>
      <c r="D1512" t="s">
        <v>4290</v>
      </c>
      <c r="E1512">
        <v>9427</v>
      </c>
      <c r="F1512" t="s">
        <v>23479</v>
      </c>
      <c r="G1512">
        <v>4</v>
      </c>
      <c r="H1512" t="s">
        <v>4298</v>
      </c>
      <c r="J1512" t="s">
        <v>5015</v>
      </c>
      <c r="K1512" t="s">
        <v>81</v>
      </c>
      <c r="L1512" t="s">
        <v>33</v>
      </c>
      <c r="M1512" t="s">
        <v>282</v>
      </c>
      <c r="N1512" t="s">
        <v>5085</v>
      </c>
      <c r="O1512" t="s">
        <v>5086</v>
      </c>
      <c r="P1512" s="2" t="s">
        <v>165</v>
      </c>
      <c r="Q1512" t="s">
        <v>166</v>
      </c>
      <c r="R1512">
        <v>0</v>
      </c>
      <c r="S1512">
        <v>14.15</v>
      </c>
      <c r="T1512" t="s">
        <v>167</v>
      </c>
    </row>
    <row r="1513" spans="1:20" x14ac:dyDescent="0.25">
      <c r="A1513" s="1" t="str">
        <f>HYPERLINK("https://vegkart.atlas.vegvesen.no/#/@236124.7,6580572.6,18/hva:hva%5B0%5D%5Bfilter%5D%5B0%5D%5Boperator%5D=%21%3D&amp;hva%5B0%5D%5Bfilter%5D%5B0%5D%5Btype_id%5D=9427&amp;hva%5B0%5D%5Bfilter%5D%5B0%5D%5Bverdi%5D=&amp;hva%5B0%5D%5Bid%5D=25/når:2023-05-31", "Vegkart")</f>
        <v>Vegkart</v>
      </c>
      <c r="B1513">
        <v>601695751</v>
      </c>
      <c r="C1513">
        <v>25</v>
      </c>
      <c r="D1513" t="s">
        <v>4290</v>
      </c>
      <c r="E1513">
        <v>9427</v>
      </c>
      <c r="F1513" t="s">
        <v>23479</v>
      </c>
      <c r="G1513">
        <v>4</v>
      </c>
      <c r="H1513" t="s">
        <v>4298</v>
      </c>
      <c r="J1513" t="s">
        <v>5015</v>
      </c>
      <c r="K1513" t="s">
        <v>81</v>
      </c>
      <c r="L1513" t="s">
        <v>33</v>
      </c>
      <c r="M1513" t="s">
        <v>282</v>
      </c>
      <c r="N1513" t="s">
        <v>5087</v>
      </c>
      <c r="O1513" t="s">
        <v>5088</v>
      </c>
      <c r="P1513" s="2" t="s">
        <v>165</v>
      </c>
      <c r="Q1513" t="s">
        <v>166</v>
      </c>
      <c r="R1513">
        <v>0</v>
      </c>
      <c r="S1513">
        <v>12.69</v>
      </c>
      <c r="T1513" t="s">
        <v>167</v>
      </c>
    </row>
    <row r="1514" spans="1:20" x14ac:dyDescent="0.25">
      <c r="A1514" s="1" t="str">
        <f>HYPERLINK("https://vegkart.atlas.vegvesen.no/#/@234991.8,6582299.5,18/hva:hva%5B0%5D%5Bfilter%5D%5B0%5D%5Boperator%5D=%21%3D&amp;hva%5B0%5D%5Bfilter%5D%5B0%5D%5Btype_id%5D=9427&amp;hva%5B0%5D%5Bfilter%5D%5B0%5D%5Bverdi%5D=&amp;hva%5B0%5D%5Bid%5D=25/når:2023-05-31", "Vegkart")</f>
        <v>Vegkart</v>
      </c>
      <c r="B1514">
        <v>603822713</v>
      </c>
      <c r="C1514">
        <v>25</v>
      </c>
      <c r="D1514" t="s">
        <v>4290</v>
      </c>
      <c r="E1514">
        <v>9427</v>
      </c>
      <c r="F1514" t="s">
        <v>23479</v>
      </c>
      <c r="G1514">
        <v>3</v>
      </c>
      <c r="H1514" t="s">
        <v>4298</v>
      </c>
      <c r="J1514" t="s">
        <v>5015</v>
      </c>
      <c r="K1514" t="s">
        <v>81</v>
      </c>
      <c r="L1514" t="s">
        <v>33</v>
      </c>
      <c r="M1514" t="s">
        <v>3298</v>
      </c>
      <c r="N1514" t="s">
        <v>5089</v>
      </c>
      <c r="O1514" t="s">
        <v>5090</v>
      </c>
      <c r="P1514" s="2" t="s">
        <v>37</v>
      </c>
      <c r="Q1514" t="s">
        <v>1208</v>
      </c>
      <c r="R1514">
        <v>0</v>
      </c>
      <c r="S1514">
        <v>14.16</v>
      </c>
      <c r="T1514" t="s">
        <v>5091</v>
      </c>
    </row>
    <row r="1515" spans="1:20" x14ac:dyDescent="0.25">
      <c r="A1515" s="1" t="str">
        <f>HYPERLINK("https://vegkart.atlas.vegvesen.no/#/@235023.3,6582275.2,18/hva:hva%5B0%5D%5Bfilter%5D%5B0%5D%5Boperator%5D=%21%3D&amp;hva%5B0%5D%5Bfilter%5D%5B0%5D%5Btype_id%5D=9427&amp;hva%5B0%5D%5Bfilter%5D%5B0%5D%5Bverdi%5D=&amp;hva%5B0%5D%5Bid%5D=25/når:2023-05-31", "Vegkart")</f>
        <v>Vegkart</v>
      </c>
      <c r="B1515">
        <v>603822714</v>
      </c>
      <c r="C1515">
        <v>25</v>
      </c>
      <c r="D1515" t="s">
        <v>4290</v>
      </c>
      <c r="E1515">
        <v>9427</v>
      </c>
      <c r="F1515" t="s">
        <v>23479</v>
      </c>
      <c r="G1515">
        <v>3</v>
      </c>
      <c r="H1515" t="s">
        <v>4298</v>
      </c>
      <c r="J1515" t="s">
        <v>5015</v>
      </c>
      <c r="K1515" t="s">
        <v>81</v>
      </c>
      <c r="L1515" t="s">
        <v>33</v>
      </c>
      <c r="M1515" t="s">
        <v>3298</v>
      </c>
      <c r="N1515" t="s">
        <v>5092</v>
      </c>
      <c r="O1515" t="s">
        <v>5093</v>
      </c>
      <c r="P1515" s="2" t="s">
        <v>37</v>
      </c>
      <c r="Q1515" t="s">
        <v>1208</v>
      </c>
      <c r="R1515">
        <v>0</v>
      </c>
      <c r="S1515">
        <v>14.06</v>
      </c>
      <c r="T1515" t="s">
        <v>5094</v>
      </c>
    </row>
    <row r="1516" spans="1:20" x14ac:dyDescent="0.25">
      <c r="A1516" s="1" t="str">
        <f>HYPERLINK("https://vegkart.atlas.vegvesen.no/#/@90314.3,7000848.1,18/hva:hva%5B0%5D%5Bfilter%5D%5B0%5D%5Boperator%5D=%21%3D&amp;hva%5B0%5D%5Bfilter%5D%5B0%5D%5Btype_id%5D=9427&amp;hva%5B0%5D%5Bfilter%5D%5B0%5D%5Bverdi%5D=&amp;hva%5B0%5D%5Bid%5D=25/når:2015-07-28", "Vegkart")</f>
        <v>Vegkart</v>
      </c>
      <c r="B1516">
        <v>615547670</v>
      </c>
      <c r="C1516">
        <v>25</v>
      </c>
      <c r="D1516" t="s">
        <v>4290</v>
      </c>
      <c r="E1516">
        <v>9427</v>
      </c>
      <c r="F1516" t="s">
        <v>23479</v>
      </c>
      <c r="G1516">
        <v>1</v>
      </c>
      <c r="H1516" t="s">
        <v>5095</v>
      </c>
      <c r="J1516" t="s">
        <v>5096</v>
      </c>
      <c r="K1516" t="s">
        <v>32</v>
      </c>
      <c r="L1516" t="s">
        <v>22</v>
      </c>
      <c r="M1516" t="s">
        <v>5097</v>
      </c>
      <c r="N1516" t="s">
        <v>5098</v>
      </c>
      <c r="O1516" t="s">
        <v>5099</v>
      </c>
      <c r="P1516" s="2" t="s">
        <v>37</v>
      </c>
      <c r="Q1516" t="s">
        <v>1208</v>
      </c>
      <c r="R1516">
        <v>4.7300000000000004</v>
      </c>
      <c r="S1516">
        <v>8.17</v>
      </c>
      <c r="T1516" t="s">
        <v>5100</v>
      </c>
    </row>
    <row r="1517" spans="1:20" x14ac:dyDescent="0.25">
      <c r="A1517" s="1" t="str">
        <f>HYPERLINK("https://vegkart.atlas.vegvesen.no/#/@90778.8,7000677.9,18/hva:hva%5B0%5D%5Bfilter%5D%5B0%5D%5Boperator%5D=%21%3D&amp;hva%5B0%5D%5Bfilter%5D%5B0%5D%5Btype_id%5D=9427&amp;hva%5B0%5D%5Bfilter%5D%5B0%5D%5Bverdi%5D=&amp;hva%5B0%5D%5Bid%5D=25/når:2019-01-17", "Vegkart")</f>
        <v>Vegkart</v>
      </c>
      <c r="B1517">
        <v>615547671</v>
      </c>
      <c r="C1517">
        <v>25</v>
      </c>
      <c r="D1517" t="s">
        <v>4290</v>
      </c>
      <c r="E1517">
        <v>9427</v>
      </c>
      <c r="F1517" t="s">
        <v>23479</v>
      </c>
      <c r="G1517">
        <v>3</v>
      </c>
      <c r="H1517" t="s">
        <v>3511</v>
      </c>
      <c r="J1517" t="s">
        <v>5096</v>
      </c>
      <c r="K1517" t="s">
        <v>32</v>
      </c>
      <c r="L1517" t="s">
        <v>33</v>
      </c>
      <c r="M1517" t="s">
        <v>5101</v>
      </c>
      <c r="N1517" t="s">
        <v>5102</v>
      </c>
      <c r="O1517" t="s">
        <v>5103</v>
      </c>
      <c r="P1517" s="2" t="s">
        <v>37</v>
      </c>
      <c r="Q1517" t="s">
        <v>1208</v>
      </c>
      <c r="R1517">
        <v>3.11</v>
      </c>
      <c r="S1517">
        <v>6.33</v>
      </c>
      <c r="T1517" t="s">
        <v>5104</v>
      </c>
    </row>
    <row r="1518" spans="1:20" x14ac:dyDescent="0.25">
      <c r="A1518" s="1" t="str">
        <f>HYPERLINK("https://vegkart.atlas.vegvesen.no/#/@237666.5,6561007.1,18/hva:hva%5B0%5D%5Bfilter%5D%5B0%5D%5Boperator%5D=%21%3D&amp;hva%5B0%5D%5Bfilter%5D%5B0%5D%5Btype_id%5D=9427&amp;hva%5B0%5D%5Bfilter%5D%5B0%5D%5Bverdi%5D=&amp;hva%5B0%5D%5Bid%5D=25/når:2023-05-31", "Vegkart")</f>
        <v>Vegkart</v>
      </c>
      <c r="B1518">
        <v>617434344</v>
      </c>
      <c r="C1518">
        <v>25</v>
      </c>
      <c r="D1518" t="s">
        <v>4290</v>
      </c>
      <c r="E1518">
        <v>9427</v>
      </c>
      <c r="F1518" t="s">
        <v>23479</v>
      </c>
      <c r="G1518">
        <v>4</v>
      </c>
      <c r="H1518" t="s">
        <v>4298</v>
      </c>
      <c r="J1518" t="s">
        <v>5096</v>
      </c>
      <c r="K1518" t="s">
        <v>81</v>
      </c>
      <c r="L1518" t="s">
        <v>33</v>
      </c>
      <c r="M1518" t="s">
        <v>4486</v>
      </c>
      <c r="N1518" t="s">
        <v>5105</v>
      </c>
      <c r="O1518" t="s">
        <v>5106</v>
      </c>
      <c r="P1518" s="2" t="s">
        <v>37</v>
      </c>
      <c r="Q1518" t="s">
        <v>1208</v>
      </c>
      <c r="R1518">
        <v>0</v>
      </c>
      <c r="S1518">
        <v>9.59</v>
      </c>
      <c r="T1518" t="s">
        <v>5107</v>
      </c>
    </row>
    <row r="1519" spans="1:20" x14ac:dyDescent="0.25">
      <c r="A1519" s="1" t="str">
        <f>HYPERLINK("https://vegkart.atlas.vegvesen.no/#/@230938.4,6605779.7,18/hva:hva%5B0%5D%5Bfilter%5D%5B0%5D%5Boperator%5D=%21%3D&amp;hva%5B0%5D%5Bfilter%5D%5B0%5D%5Btype_id%5D=9427&amp;hva%5B0%5D%5Bfilter%5D%5B0%5D%5Bverdi%5D=&amp;hva%5B0%5D%5Bid%5D=25/når:2023-05-31", "Vegkart")</f>
        <v>Vegkart</v>
      </c>
      <c r="B1519">
        <v>618969959</v>
      </c>
      <c r="C1519">
        <v>25</v>
      </c>
      <c r="D1519" t="s">
        <v>4290</v>
      </c>
      <c r="E1519">
        <v>9427</v>
      </c>
      <c r="F1519" t="s">
        <v>23479</v>
      </c>
      <c r="G1519">
        <v>3</v>
      </c>
      <c r="H1519" t="s">
        <v>4298</v>
      </c>
      <c r="J1519" t="s">
        <v>5096</v>
      </c>
      <c r="K1519" t="s">
        <v>81</v>
      </c>
      <c r="L1519" t="s">
        <v>33</v>
      </c>
      <c r="M1519" t="s">
        <v>4310</v>
      </c>
      <c r="N1519" t="s">
        <v>5108</v>
      </c>
      <c r="O1519" t="s">
        <v>5109</v>
      </c>
      <c r="P1519" s="2" t="s">
        <v>37</v>
      </c>
      <c r="Q1519" t="s">
        <v>1208</v>
      </c>
      <c r="R1519">
        <v>0</v>
      </c>
      <c r="S1519">
        <v>15.82</v>
      </c>
      <c r="T1519" t="s">
        <v>5110</v>
      </c>
    </row>
    <row r="1520" spans="1:20" x14ac:dyDescent="0.25">
      <c r="A1520" s="1" t="str">
        <f>HYPERLINK("https://vegkart.atlas.vegvesen.no/#/@221946.4,6607087.7,18/hva:hva%5B0%5D%5Bfilter%5D%5B0%5D%5Boperator%5D=%21%3D&amp;hva%5B0%5D%5Bfilter%5D%5B0%5D%5Btype_id%5D=9427&amp;hva%5B0%5D%5Bfilter%5D%5B0%5D%5Bverdi%5D=&amp;hva%5B0%5D%5Bid%5D=25/når:2023-05-31", "Vegkart")</f>
        <v>Vegkart</v>
      </c>
      <c r="B1520">
        <v>619900509</v>
      </c>
      <c r="C1520">
        <v>25</v>
      </c>
      <c r="D1520" t="s">
        <v>4290</v>
      </c>
      <c r="E1520">
        <v>9427</v>
      </c>
      <c r="F1520" t="s">
        <v>23479</v>
      </c>
      <c r="G1520">
        <v>3</v>
      </c>
      <c r="H1520" t="s">
        <v>4298</v>
      </c>
      <c r="J1520" t="s">
        <v>5096</v>
      </c>
      <c r="K1520" t="s">
        <v>81</v>
      </c>
      <c r="L1520" t="s">
        <v>33</v>
      </c>
      <c r="M1520" t="s">
        <v>132</v>
      </c>
      <c r="N1520" t="s">
        <v>5111</v>
      </c>
      <c r="O1520" t="s">
        <v>5112</v>
      </c>
      <c r="P1520" s="2" t="s">
        <v>37</v>
      </c>
      <c r="Q1520" t="s">
        <v>1208</v>
      </c>
      <c r="R1520">
        <v>0</v>
      </c>
      <c r="S1520">
        <v>11.2</v>
      </c>
      <c r="T1520" t="s">
        <v>5113</v>
      </c>
    </row>
    <row r="1521" spans="1:20" x14ac:dyDescent="0.25">
      <c r="A1521" s="1" t="str">
        <f>HYPERLINK("https://vegkart.atlas.vegvesen.no/#/@239658.5,6572328.0,18/hva:hva%5B0%5D%5Bfilter%5D%5B0%5D%5Boperator%5D=%21%3D&amp;hva%5B0%5D%5Bfilter%5D%5B0%5D%5Btype_id%5D=9427&amp;hva%5B0%5D%5Bfilter%5D%5B0%5D%5Bverdi%5D=&amp;hva%5B0%5D%5Bid%5D=25/når:2023-05-31", "Vegkart")</f>
        <v>Vegkart</v>
      </c>
      <c r="B1521">
        <v>621308690</v>
      </c>
      <c r="C1521">
        <v>25</v>
      </c>
      <c r="D1521" t="s">
        <v>4290</v>
      </c>
      <c r="E1521">
        <v>9427</v>
      </c>
      <c r="F1521" t="s">
        <v>23479</v>
      </c>
      <c r="G1521">
        <v>4</v>
      </c>
      <c r="H1521" t="s">
        <v>4298</v>
      </c>
      <c r="J1521" t="s">
        <v>5096</v>
      </c>
      <c r="K1521" t="s">
        <v>81</v>
      </c>
      <c r="L1521" t="s">
        <v>33</v>
      </c>
      <c r="M1521" t="s">
        <v>1926</v>
      </c>
      <c r="N1521" t="s">
        <v>5114</v>
      </c>
      <c r="O1521" t="s">
        <v>5115</v>
      </c>
      <c r="P1521" s="2" t="s">
        <v>37</v>
      </c>
      <c r="Q1521" t="s">
        <v>1208</v>
      </c>
      <c r="R1521">
        <v>0</v>
      </c>
      <c r="S1521">
        <v>13.8</v>
      </c>
      <c r="T1521" t="s">
        <v>5116</v>
      </c>
    </row>
    <row r="1522" spans="1:20" x14ac:dyDescent="0.25">
      <c r="A1522" s="1" t="str">
        <f>HYPERLINK("https://vegkart.atlas.vegvesen.no/#/@239980.9,6573625.1,18/hva:hva%5B0%5D%5Bfilter%5D%5B0%5D%5Boperator%5D=%21%3D&amp;hva%5B0%5D%5Bfilter%5D%5B0%5D%5Btype_id%5D=9427&amp;hva%5B0%5D%5Bfilter%5D%5B0%5D%5Bverdi%5D=&amp;hva%5B0%5D%5Bid%5D=25/når:2023-05-31", "Vegkart")</f>
        <v>Vegkart</v>
      </c>
      <c r="B1522">
        <v>621308691</v>
      </c>
      <c r="C1522">
        <v>25</v>
      </c>
      <c r="D1522" t="s">
        <v>4290</v>
      </c>
      <c r="E1522">
        <v>9427</v>
      </c>
      <c r="F1522" t="s">
        <v>23479</v>
      </c>
      <c r="G1522">
        <v>4</v>
      </c>
      <c r="H1522" t="s">
        <v>4298</v>
      </c>
      <c r="J1522" t="s">
        <v>5096</v>
      </c>
      <c r="K1522" t="s">
        <v>81</v>
      </c>
      <c r="L1522" t="s">
        <v>33</v>
      </c>
      <c r="M1522" t="s">
        <v>1926</v>
      </c>
      <c r="N1522" t="s">
        <v>5117</v>
      </c>
      <c r="O1522" t="s">
        <v>5118</v>
      </c>
      <c r="P1522" s="2" t="s">
        <v>37</v>
      </c>
      <c r="Q1522" t="s">
        <v>1208</v>
      </c>
      <c r="R1522">
        <v>0</v>
      </c>
      <c r="S1522">
        <v>13.79</v>
      </c>
      <c r="T1522" t="s">
        <v>5119</v>
      </c>
    </row>
    <row r="1523" spans="1:20" x14ac:dyDescent="0.25">
      <c r="A1523" s="1" t="str">
        <f>HYPERLINK("https://vegkart.atlas.vegvesen.no/#/@239832.5,6573848.5,18/hva:hva%5B0%5D%5Bfilter%5D%5B0%5D%5Boperator%5D=%21%3D&amp;hva%5B0%5D%5Bfilter%5D%5B0%5D%5Btype_id%5D=9427&amp;hva%5B0%5D%5Bfilter%5D%5B0%5D%5Bverdi%5D=&amp;hva%5B0%5D%5Bid%5D=25/når:2023-05-31", "Vegkart")</f>
        <v>Vegkart</v>
      </c>
      <c r="B1523">
        <v>621308692</v>
      </c>
      <c r="C1523">
        <v>25</v>
      </c>
      <c r="D1523" t="s">
        <v>4290</v>
      </c>
      <c r="E1523">
        <v>9427</v>
      </c>
      <c r="F1523" t="s">
        <v>23479</v>
      </c>
      <c r="G1523">
        <v>4</v>
      </c>
      <c r="H1523" t="s">
        <v>4298</v>
      </c>
      <c r="J1523" t="s">
        <v>5096</v>
      </c>
      <c r="K1523" t="s">
        <v>81</v>
      </c>
      <c r="L1523" t="s">
        <v>33</v>
      </c>
      <c r="M1523" t="s">
        <v>1926</v>
      </c>
      <c r="N1523" t="s">
        <v>5120</v>
      </c>
      <c r="O1523" t="s">
        <v>5121</v>
      </c>
      <c r="P1523" s="2" t="s">
        <v>37</v>
      </c>
      <c r="Q1523" t="s">
        <v>1208</v>
      </c>
      <c r="R1523">
        <v>0</v>
      </c>
      <c r="S1523">
        <v>10.08</v>
      </c>
      <c r="T1523" t="s">
        <v>5122</v>
      </c>
    </row>
    <row r="1524" spans="1:20" x14ac:dyDescent="0.25">
      <c r="A1524" s="1" t="str">
        <f>HYPERLINK("https://vegkart.atlas.vegvesen.no/#/@239729.1,6574229.3,18/hva:hva%5B0%5D%5Bfilter%5D%5B0%5D%5Boperator%5D=%21%3D&amp;hva%5B0%5D%5Bfilter%5D%5B0%5D%5Btype_id%5D=9427&amp;hva%5B0%5D%5Bfilter%5D%5B0%5D%5Bverdi%5D=&amp;hva%5B0%5D%5Bid%5D=25/når:2023-05-31", "Vegkart")</f>
        <v>Vegkart</v>
      </c>
      <c r="B1524">
        <v>621308693</v>
      </c>
      <c r="C1524">
        <v>25</v>
      </c>
      <c r="D1524" t="s">
        <v>4290</v>
      </c>
      <c r="E1524">
        <v>9427</v>
      </c>
      <c r="F1524" t="s">
        <v>23479</v>
      </c>
      <c r="G1524">
        <v>4</v>
      </c>
      <c r="H1524" t="s">
        <v>4298</v>
      </c>
      <c r="J1524" t="s">
        <v>5096</v>
      </c>
      <c r="K1524" t="s">
        <v>81</v>
      </c>
      <c r="L1524" t="s">
        <v>33</v>
      </c>
      <c r="M1524" t="s">
        <v>1926</v>
      </c>
      <c r="N1524" t="s">
        <v>5123</v>
      </c>
      <c r="O1524" t="s">
        <v>5124</v>
      </c>
      <c r="P1524" s="2" t="s">
        <v>37</v>
      </c>
      <c r="Q1524" t="s">
        <v>1208</v>
      </c>
      <c r="R1524">
        <v>0</v>
      </c>
      <c r="S1524">
        <v>13.75</v>
      </c>
      <c r="T1524" t="s">
        <v>5125</v>
      </c>
    </row>
    <row r="1525" spans="1:20" x14ac:dyDescent="0.25">
      <c r="A1525" s="1" t="str">
        <f>HYPERLINK("https://vegkart.atlas.vegvesen.no/#/@239617.6,6574482.9,18/hva:hva%5B0%5D%5Bfilter%5D%5B0%5D%5Boperator%5D=%21%3D&amp;hva%5B0%5D%5Bfilter%5D%5B0%5D%5Btype_id%5D=9427&amp;hva%5B0%5D%5Bfilter%5D%5B0%5D%5Bverdi%5D=&amp;hva%5B0%5D%5Bid%5D=25/når:2023-05-31", "Vegkart")</f>
        <v>Vegkart</v>
      </c>
      <c r="B1525">
        <v>621308694</v>
      </c>
      <c r="C1525">
        <v>25</v>
      </c>
      <c r="D1525" t="s">
        <v>4290</v>
      </c>
      <c r="E1525">
        <v>9427</v>
      </c>
      <c r="F1525" t="s">
        <v>23479</v>
      </c>
      <c r="G1525">
        <v>4</v>
      </c>
      <c r="H1525" t="s">
        <v>4298</v>
      </c>
      <c r="J1525" t="s">
        <v>5096</v>
      </c>
      <c r="K1525" t="s">
        <v>81</v>
      </c>
      <c r="L1525" t="s">
        <v>33</v>
      </c>
      <c r="M1525" t="s">
        <v>1926</v>
      </c>
      <c r="N1525" t="s">
        <v>5126</v>
      </c>
      <c r="O1525" t="s">
        <v>5127</v>
      </c>
      <c r="P1525" s="2" t="s">
        <v>37</v>
      </c>
      <c r="Q1525" t="s">
        <v>1208</v>
      </c>
      <c r="R1525">
        <v>0</v>
      </c>
      <c r="S1525">
        <v>13.6</v>
      </c>
      <c r="T1525" t="s">
        <v>5128</v>
      </c>
    </row>
    <row r="1526" spans="1:20" x14ac:dyDescent="0.25">
      <c r="A1526" s="1" t="str">
        <f>HYPERLINK("https://vegkart.atlas.vegvesen.no/#/@239414.4,6574944.6,18/hva:hva%5B0%5D%5Bfilter%5D%5B0%5D%5Boperator%5D=%21%3D&amp;hva%5B0%5D%5Bfilter%5D%5B0%5D%5Btype_id%5D=9427&amp;hva%5B0%5D%5Bfilter%5D%5B0%5D%5Bverdi%5D=&amp;hva%5B0%5D%5Bid%5D=25/når:2023-05-31", "Vegkart")</f>
        <v>Vegkart</v>
      </c>
      <c r="B1526">
        <v>621308695</v>
      </c>
      <c r="C1526">
        <v>25</v>
      </c>
      <c r="D1526" t="s">
        <v>4290</v>
      </c>
      <c r="E1526">
        <v>9427</v>
      </c>
      <c r="F1526" t="s">
        <v>23479</v>
      </c>
      <c r="G1526">
        <v>4</v>
      </c>
      <c r="H1526" t="s">
        <v>4298</v>
      </c>
      <c r="J1526" t="s">
        <v>5096</v>
      </c>
      <c r="K1526" t="s">
        <v>81</v>
      </c>
      <c r="L1526" t="s">
        <v>33</v>
      </c>
      <c r="M1526" t="s">
        <v>1926</v>
      </c>
      <c r="N1526" t="s">
        <v>5129</v>
      </c>
      <c r="O1526" t="s">
        <v>5130</v>
      </c>
      <c r="P1526" s="2" t="s">
        <v>37</v>
      </c>
      <c r="Q1526" t="s">
        <v>1208</v>
      </c>
      <c r="R1526">
        <v>0</v>
      </c>
      <c r="S1526">
        <v>13.19</v>
      </c>
      <c r="T1526" t="s">
        <v>5131</v>
      </c>
    </row>
    <row r="1527" spans="1:20" x14ac:dyDescent="0.25">
      <c r="A1527" s="1" t="str">
        <f>HYPERLINK("https://vegkart.atlas.vegvesen.no/#/@239262.6,6575289.8,18/hva:hva%5B0%5D%5Bfilter%5D%5B0%5D%5Boperator%5D=%21%3D&amp;hva%5B0%5D%5Bfilter%5D%5B0%5D%5Btype_id%5D=9427&amp;hva%5B0%5D%5Bfilter%5D%5B0%5D%5Bverdi%5D=&amp;hva%5B0%5D%5Bid%5D=25/når:2023-05-31", "Vegkart")</f>
        <v>Vegkart</v>
      </c>
      <c r="B1527">
        <v>621308696</v>
      </c>
      <c r="C1527">
        <v>25</v>
      </c>
      <c r="D1527" t="s">
        <v>4290</v>
      </c>
      <c r="E1527">
        <v>9427</v>
      </c>
      <c r="F1527" t="s">
        <v>23479</v>
      </c>
      <c r="G1527">
        <v>5</v>
      </c>
      <c r="H1527" t="s">
        <v>4298</v>
      </c>
      <c r="J1527" t="s">
        <v>5096</v>
      </c>
      <c r="K1527" t="s">
        <v>81</v>
      </c>
      <c r="L1527" t="s">
        <v>33</v>
      </c>
      <c r="M1527" t="s">
        <v>1926</v>
      </c>
      <c r="N1527" t="s">
        <v>5132</v>
      </c>
      <c r="O1527" t="s">
        <v>5133</v>
      </c>
      <c r="P1527" s="2" t="s">
        <v>37</v>
      </c>
      <c r="Q1527" t="s">
        <v>1208</v>
      </c>
      <c r="R1527">
        <v>0</v>
      </c>
      <c r="S1527">
        <v>14.32</v>
      </c>
      <c r="T1527" t="s">
        <v>5134</v>
      </c>
    </row>
    <row r="1528" spans="1:20" x14ac:dyDescent="0.25">
      <c r="A1528" s="1" t="str">
        <f>HYPERLINK("https://vegkart.atlas.vegvesen.no/#/@239150.0,6575503.2,18/hva:hva%5B0%5D%5Bfilter%5D%5B0%5D%5Boperator%5D=%21%3D&amp;hva%5B0%5D%5Bfilter%5D%5B0%5D%5Btype_id%5D=9427&amp;hva%5B0%5D%5Bfilter%5D%5B0%5D%5Bverdi%5D=&amp;hva%5B0%5D%5Bid%5D=25/når:2023-05-31", "Vegkart")</f>
        <v>Vegkart</v>
      </c>
      <c r="B1528">
        <v>621308697</v>
      </c>
      <c r="C1528">
        <v>25</v>
      </c>
      <c r="D1528" t="s">
        <v>4290</v>
      </c>
      <c r="E1528">
        <v>9427</v>
      </c>
      <c r="F1528" t="s">
        <v>23479</v>
      </c>
      <c r="G1528">
        <v>4</v>
      </c>
      <c r="H1528" t="s">
        <v>4298</v>
      </c>
      <c r="J1528" t="s">
        <v>5096</v>
      </c>
      <c r="K1528" t="s">
        <v>81</v>
      </c>
      <c r="L1528" t="s">
        <v>33</v>
      </c>
      <c r="M1528" t="s">
        <v>1926</v>
      </c>
      <c r="N1528" t="s">
        <v>5135</v>
      </c>
      <c r="O1528" t="s">
        <v>5136</v>
      </c>
      <c r="P1528" s="2" t="s">
        <v>37</v>
      </c>
      <c r="Q1528" t="s">
        <v>1208</v>
      </c>
      <c r="R1528">
        <v>0</v>
      </c>
      <c r="S1528">
        <v>14.33</v>
      </c>
      <c r="T1528" t="s">
        <v>5137</v>
      </c>
    </row>
    <row r="1529" spans="1:20" x14ac:dyDescent="0.25">
      <c r="A1529" s="1" t="str">
        <f>HYPERLINK("https://vegkart.atlas.vegvesen.no/#/@239126.9,6575925.4,18/hva:hva%5B0%5D%5Bfilter%5D%5B0%5D%5Boperator%5D=%21%3D&amp;hva%5B0%5D%5Bfilter%5D%5B0%5D%5Btype_id%5D=9427&amp;hva%5B0%5D%5Bfilter%5D%5B0%5D%5Bverdi%5D=&amp;hva%5B0%5D%5Bid%5D=25/når:2023-05-31", "Vegkart")</f>
        <v>Vegkart</v>
      </c>
      <c r="B1529">
        <v>621308698</v>
      </c>
      <c r="C1529">
        <v>25</v>
      </c>
      <c r="D1529" t="s">
        <v>4290</v>
      </c>
      <c r="E1529">
        <v>9427</v>
      </c>
      <c r="F1529" t="s">
        <v>23479</v>
      </c>
      <c r="G1529">
        <v>4</v>
      </c>
      <c r="H1529" t="s">
        <v>4298</v>
      </c>
      <c r="J1529" t="s">
        <v>5096</v>
      </c>
      <c r="K1529" t="s">
        <v>81</v>
      </c>
      <c r="L1529" t="s">
        <v>33</v>
      </c>
      <c r="M1529" t="s">
        <v>1926</v>
      </c>
      <c r="N1529" t="s">
        <v>5138</v>
      </c>
      <c r="O1529" t="s">
        <v>5139</v>
      </c>
      <c r="P1529" s="2" t="s">
        <v>37</v>
      </c>
      <c r="Q1529" t="s">
        <v>1208</v>
      </c>
      <c r="R1529">
        <v>0</v>
      </c>
      <c r="S1529">
        <v>14.84</v>
      </c>
      <c r="T1529" t="s">
        <v>5140</v>
      </c>
    </row>
    <row r="1530" spans="1:20" x14ac:dyDescent="0.25">
      <c r="A1530" s="1" t="str">
        <f>HYPERLINK("https://vegkart.atlas.vegvesen.no/#/@239068.8,6576382.6,18/hva:hva%5B0%5D%5Bfilter%5D%5B0%5D%5Boperator%5D=%21%3D&amp;hva%5B0%5D%5Bfilter%5D%5B0%5D%5Btype_id%5D=9427&amp;hva%5B0%5D%5Bfilter%5D%5B0%5D%5Bverdi%5D=&amp;hva%5B0%5D%5Bid%5D=25/når:2023-05-31", "Vegkart")</f>
        <v>Vegkart</v>
      </c>
      <c r="B1530">
        <v>621308699</v>
      </c>
      <c r="C1530">
        <v>25</v>
      </c>
      <c r="D1530" t="s">
        <v>4290</v>
      </c>
      <c r="E1530">
        <v>9427</v>
      </c>
      <c r="F1530" t="s">
        <v>23479</v>
      </c>
      <c r="G1530">
        <v>4</v>
      </c>
      <c r="H1530" t="s">
        <v>4298</v>
      </c>
      <c r="J1530" t="s">
        <v>5096</v>
      </c>
      <c r="K1530" t="s">
        <v>81</v>
      </c>
      <c r="L1530" t="s">
        <v>33</v>
      </c>
      <c r="M1530" t="s">
        <v>1926</v>
      </c>
      <c r="N1530" t="s">
        <v>5141</v>
      </c>
      <c r="O1530" t="s">
        <v>5142</v>
      </c>
      <c r="P1530" s="2" t="s">
        <v>37</v>
      </c>
      <c r="Q1530" t="s">
        <v>1208</v>
      </c>
      <c r="R1530">
        <v>0</v>
      </c>
      <c r="S1530">
        <v>14.35</v>
      </c>
      <c r="T1530" t="s">
        <v>5143</v>
      </c>
    </row>
    <row r="1531" spans="1:20" x14ac:dyDescent="0.25">
      <c r="A1531" s="1" t="str">
        <f>HYPERLINK("https://vegkart.atlas.vegvesen.no/#/@238998.5,6576564.1,18/hva:hva%5B0%5D%5Bfilter%5D%5B0%5D%5Boperator%5D=%21%3D&amp;hva%5B0%5D%5Bfilter%5D%5B0%5D%5Btype_id%5D=9427&amp;hva%5B0%5D%5Bfilter%5D%5B0%5D%5Bverdi%5D=&amp;hva%5B0%5D%5Bid%5D=25/når:2023-05-31", "Vegkart")</f>
        <v>Vegkart</v>
      </c>
      <c r="B1531">
        <v>621308700</v>
      </c>
      <c r="C1531">
        <v>25</v>
      </c>
      <c r="D1531" t="s">
        <v>4290</v>
      </c>
      <c r="E1531">
        <v>9427</v>
      </c>
      <c r="F1531" t="s">
        <v>23479</v>
      </c>
      <c r="G1531">
        <v>3</v>
      </c>
      <c r="H1531" t="s">
        <v>4298</v>
      </c>
      <c r="J1531" t="s">
        <v>5096</v>
      </c>
      <c r="K1531" t="s">
        <v>81</v>
      </c>
      <c r="L1531" t="s">
        <v>33</v>
      </c>
      <c r="M1531" t="s">
        <v>1926</v>
      </c>
      <c r="N1531" t="s">
        <v>5144</v>
      </c>
      <c r="O1531" t="s">
        <v>5145</v>
      </c>
      <c r="P1531" s="2" t="s">
        <v>37</v>
      </c>
      <c r="Q1531" t="s">
        <v>1208</v>
      </c>
      <c r="R1531">
        <v>0</v>
      </c>
      <c r="S1531">
        <v>13.5</v>
      </c>
      <c r="T1531" t="s">
        <v>5146</v>
      </c>
    </row>
    <row r="1532" spans="1:20" x14ac:dyDescent="0.25">
      <c r="A1532" s="1" t="str">
        <f>HYPERLINK("https://vegkart.atlas.vegvesen.no/#/@189452.6,6574111.1,18/hva:hva%5B0%5D%5Bfilter%5D%5B0%5D%5Boperator%5D=%21%3D&amp;hva%5B0%5D%5Bfilter%5D%5B0%5D%5Btype_id%5D=9427&amp;hva%5B0%5D%5Bfilter%5D%5B0%5D%5Bverdi%5D=&amp;hva%5B0%5D%5Bid%5D=25/når:2025-08-05", "Vegkart")</f>
        <v>Vegkart</v>
      </c>
      <c r="B1532">
        <v>639894979</v>
      </c>
      <c r="C1532">
        <v>25</v>
      </c>
      <c r="D1532" t="s">
        <v>4290</v>
      </c>
      <c r="E1532">
        <v>9427</v>
      </c>
      <c r="F1532" t="s">
        <v>23479</v>
      </c>
      <c r="G1532">
        <v>5</v>
      </c>
      <c r="H1532" t="s">
        <v>5147</v>
      </c>
      <c r="J1532" t="s">
        <v>5096</v>
      </c>
      <c r="K1532" t="s">
        <v>197</v>
      </c>
      <c r="L1532" t="s">
        <v>33</v>
      </c>
      <c r="M1532" t="s">
        <v>5148</v>
      </c>
      <c r="N1532" t="s">
        <v>5149</v>
      </c>
      <c r="O1532" t="s">
        <v>5150</v>
      </c>
      <c r="P1532" s="2" t="s">
        <v>165</v>
      </c>
      <c r="Q1532" t="s">
        <v>166</v>
      </c>
      <c r="R1532">
        <v>3.58</v>
      </c>
      <c r="S1532">
        <v>7.04</v>
      </c>
      <c r="T1532" t="s">
        <v>167</v>
      </c>
    </row>
    <row r="1533" spans="1:20" x14ac:dyDescent="0.25">
      <c r="A1533" s="1" t="str">
        <f>HYPERLINK("https://vegkart.atlas.vegvesen.no/#/@240742.4,6577005.2,18/hva:hva%5B0%5D%5Bfilter%5D%5B0%5D%5Boperator%5D=%21%3D&amp;hva%5B0%5D%5Bfilter%5D%5B0%5D%5Btype_id%5D=9427&amp;hva%5B0%5D%5Bfilter%5D%5B0%5D%5Bverdi%5D=&amp;hva%5B0%5D%5Bid%5D=25/når:2023-05-31", "Vegkart")</f>
        <v>Vegkart</v>
      </c>
      <c r="B1533">
        <v>657441804</v>
      </c>
      <c r="C1533">
        <v>25</v>
      </c>
      <c r="D1533" t="s">
        <v>4290</v>
      </c>
      <c r="E1533">
        <v>9427</v>
      </c>
      <c r="F1533" t="s">
        <v>23479</v>
      </c>
      <c r="G1533">
        <v>4</v>
      </c>
      <c r="H1533" t="s">
        <v>4298</v>
      </c>
      <c r="J1533" t="s">
        <v>5096</v>
      </c>
      <c r="K1533" t="s">
        <v>81</v>
      </c>
      <c r="L1533" t="s">
        <v>33</v>
      </c>
      <c r="M1533" t="s">
        <v>5151</v>
      </c>
      <c r="N1533" t="s">
        <v>5152</v>
      </c>
      <c r="O1533" t="s">
        <v>5153</v>
      </c>
      <c r="P1533" s="2" t="s">
        <v>37</v>
      </c>
      <c r="Q1533" t="s">
        <v>1208</v>
      </c>
      <c r="R1533">
        <v>0</v>
      </c>
      <c r="S1533">
        <v>25.11</v>
      </c>
      <c r="T1533" t="s">
        <v>5154</v>
      </c>
    </row>
    <row r="1534" spans="1:20" x14ac:dyDescent="0.25">
      <c r="A1534" s="1" t="str">
        <f>HYPERLINK("https://vegkart.atlas.vegvesen.no/#/@92905.2,6466046.2,18/hva:hva%5B0%5D%5Bfilter%5D%5B0%5D%5Boperator%5D=%21%3D&amp;hva%5B0%5D%5Bfilter%5D%5B0%5D%5Btype_id%5D=9427&amp;hva%5B0%5D%5Bfilter%5D%5B0%5D%5Bverdi%5D=&amp;hva%5B0%5D%5Bid%5D=25/når:2018-06-28", "Vegkart")</f>
        <v>Vegkart</v>
      </c>
      <c r="B1534">
        <v>667800373</v>
      </c>
      <c r="C1534">
        <v>25</v>
      </c>
      <c r="D1534" t="s">
        <v>4290</v>
      </c>
      <c r="E1534">
        <v>9427</v>
      </c>
      <c r="F1534" t="s">
        <v>23479</v>
      </c>
      <c r="G1534">
        <v>2</v>
      </c>
      <c r="H1534" t="s">
        <v>5155</v>
      </c>
      <c r="J1534" t="s">
        <v>5096</v>
      </c>
      <c r="K1534" t="s">
        <v>86</v>
      </c>
      <c r="L1534" t="s">
        <v>33</v>
      </c>
      <c r="M1534" t="s">
        <v>5156</v>
      </c>
      <c r="N1534" t="s">
        <v>5157</v>
      </c>
      <c r="O1534" t="s">
        <v>5158</v>
      </c>
      <c r="P1534" s="2" t="s">
        <v>165</v>
      </c>
      <c r="Q1534" t="s">
        <v>641</v>
      </c>
      <c r="R1534">
        <v>2.79</v>
      </c>
      <c r="S1534">
        <v>11.41</v>
      </c>
      <c r="T1534" t="s">
        <v>167</v>
      </c>
    </row>
    <row r="1535" spans="1:20" x14ac:dyDescent="0.25">
      <c r="A1535" s="1" t="str">
        <f>HYPERLINK("https://vegkart.atlas.vegvesen.no/#/@234554.4,6575794.7,18/hva:hva%5B0%5D%5Bfilter%5D%5B0%5D%5Boperator%5D=%21%3D&amp;hva%5B0%5D%5Bfilter%5D%5B0%5D%5Btype_id%5D=9427&amp;hva%5B0%5D%5Bfilter%5D%5B0%5D%5Bverdi%5D=&amp;hva%5B0%5D%5Bid%5D=25/når:2023-05-31", "Vegkart")</f>
        <v>Vegkart</v>
      </c>
      <c r="B1535">
        <v>667801922</v>
      </c>
      <c r="C1535">
        <v>25</v>
      </c>
      <c r="D1535" t="s">
        <v>4290</v>
      </c>
      <c r="E1535">
        <v>9427</v>
      </c>
      <c r="F1535" t="s">
        <v>23479</v>
      </c>
      <c r="G1535">
        <v>3</v>
      </c>
      <c r="H1535" t="s">
        <v>4298</v>
      </c>
      <c r="J1535" t="s">
        <v>5159</v>
      </c>
      <c r="K1535" t="s">
        <v>81</v>
      </c>
      <c r="L1535" t="s">
        <v>33</v>
      </c>
      <c r="M1535" t="s">
        <v>1812</v>
      </c>
      <c r="N1535" t="s">
        <v>5160</v>
      </c>
      <c r="O1535" t="s">
        <v>5161</v>
      </c>
      <c r="P1535" s="2" t="s">
        <v>37</v>
      </c>
      <c r="Q1535" t="s">
        <v>1208</v>
      </c>
      <c r="R1535">
        <v>0</v>
      </c>
      <c r="S1535">
        <v>9.7100000000000009</v>
      </c>
      <c r="T1535" t="s">
        <v>5162</v>
      </c>
    </row>
    <row r="1536" spans="1:20" x14ac:dyDescent="0.25">
      <c r="A1536" s="1" t="str">
        <f>HYPERLINK("https://vegkart.atlas.vegvesen.no/#/@241107.6,6577770.7,18/hva:hva%5B0%5D%5Bfilter%5D%5B0%5D%5Boperator%5D=%21%3D&amp;hva%5B0%5D%5Bfilter%5D%5B0%5D%5Btype_id%5D=9427&amp;hva%5B0%5D%5Bfilter%5D%5B0%5D%5Bverdi%5D=&amp;hva%5B0%5D%5Bid%5D=25/når:2023-05-31", "Vegkart")</f>
        <v>Vegkart</v>
      </c>
      <c r="B1536">
        <v>667837162</v>
      </c>
      <c r="C1536">
        <v>25</v>
      </c>
      <c r="D1536" t="s">
        <v>4290</v>
      </c>
      <c r="E1536">
        <v>9427</v>
      </c>
      <c r="F1536" t="s">
        <v>23479</v>
      </c>
      <c r="G1536">
        <v>4</v>
      </c>
      <c r="H1536" t="s">
        <v>4298</v>
      </c>
      <c r="J1536" t="s">
        <v>5159</v>
      </c>
      <c r="K1536" t="s">
        <v>81</v>
      </c>
      <c r="L1536" t="s">
        <v>33</v>
      </c>
      <c r="M1536" t="s">
        <v>4891</v>
      </c>
      <c r="N1536" t="s">
        <v>5163</v>
      </c>
      <c r="O1536" t="s">
        <v>5164</v>
      </c>
      <c r="P1536" s="2" t="s">
        <v>37</v>
      </c>
      <c r="Q1536" t="s">
        <v>1208</v>
      </c>
      <c r="R1536">
        <v>0</v>
      </c>
      <c r="S1536">
        <v>13.88</v>
      </c>
      <c r="T1536" t="s">
        <v>5165</v>
      </c>
    </row>
    <row r="1537" spans="1:20" x14ac:dyDescent="0.25">
      <c r="A1537" s="1" t="str">
        <f>HYPERLINK("https://vegkart.atlas.vegvesen.no/#/@241137.6,6577721.2,18/hva:hva%5B0%5D%5Bfilter%5D%5B0%5D%5Boperator%5D=%21%3D&amp;hva%5B0%5D%5Bfilter%5D%5B0%5D%5Btype_id%5D=9427&amp;hva%5B0%5D%5Bfilter%5D%5B0%5D%5Bverdi%5D=&amp;hva%5B0%5D%5Bid%5D=25/når:2023-05-31", "Vegkart")</f>
        <v>Vegkart</v>
      </c>
      <c r="B1537">
        <v>667837166</v>
      </c>
      <c r="C1537">
        <v>25</v>
      </c>
      <c r="D1537" t="s">
        <v>4290</v>
      </c>
      <c r="E1537">
        <v>9427</v>
      </c>
      <c r="F1537" t="s">
        <v>23479</v>
      </c>
      <c r="G1537">
        <v>4</v>
      </c>
      <c r="H1537" t="s">
        <v>4298</v>
      </c>
      <c r="J1537" t="s">
        <v>5159</v>
      </c>
      <c r="K1537" t="s">
        <v>81</v>
      </c>
      <c r="L1537" t="s">
        <v>33</v>
      </c>
      <c r="M1537" t="s">
        <v>4891</v>
      </c>
      <c r="N1537" t="s">
        <v>5166</v>
      </c>
      <c r="O1537" t="s">
        <v>5167</v>
      </c>
      <c r="P1537" s="2" t="s">
        <v>37</v>
      </c>
      <c r="Q1537" t="s">
        <v>1208</v>
      </c>
      <c r="R1537">
        <v>0</v>
      </c>
      <c r="S1537">
        <v>13.82</v>
      </c>
      <c r="T1537" t="s">
        <v>5168</v>
      </c>
    </row>
    <row r="1538" spans="1:20" x14ac:dyDescent="0.25">
      <c r="A1538" s="1" t="str">
        <f>HYPERLINK("https://vegkart.atlas.vegvesen.no/#/@236861.0,6558308.8,18/hva:hva%5B0%5D%5Bfilter%5D%5B0%5D%5Boperator%5D=%21%3D&amp;hva%5B0%5D%5Bfilter%5D%5B0%5D%5Btype_id%5D=9427&amp;hva%5B0%5D%5Bfilter%5D%5B0%5D%5Bverdi%5D=&amp;hva%5B0%5D%5Bid%5D=25/når:2023-05-31", "Vegkart")</f>
        <v>Vegkart</v>
      </c>
      <c r="B1538">
        <v>668525186</v>
      </c>
      <c r="C1538">
        <v>25</v>
      </c>
      <c r="D1538" t="s">
        <v>4290</v>
      </c>
      <c r="E1538">
        <v>9427</v>
      </c>
      <c r="F1538" t="s">
        <v>23479</v>
      </c>
      <c r="G1538">
        <v>4</v>
      </c>
      <c r="H1538" t="s">
        <v>4298</v>
      </c>
      <c r="J1538" t="s">
        <v>5159</v>
      </c>
      <c r="K1538" t="s">
        <v>81</v>
      </c>
      <c r="L1538" t="s">
        <v>33</v>
      </c>
      <c r="M1538" t="s">
        <v>1940</v>
      </c>
      <c r="N1538" t="s">
        <v>5169</v>
      </c>
      <c r="O1538" t="s">
        <v>5170</v>
      </c>
      <c r="P1538" s="2" t="s">
        <v>37</v>
      </c>
      <c r="Q1538" t="s">
        <v>1208</v>
      </c>
      <c r="R1538">
        <v>0</v>
      </c>
      <c r="S1538">
        <v>11.06</v>
      </c>
      <c r="T1538" t="s">
        <v>5171</v>
      </c>
    </row>
    <row r="1539" spans="1:20" x14ac:dyDescent="0.25">
      <c r="A1539" s="1" t="str">
        <f>HYPERLINK("https://vegkart.atlas.vegvesen.no/#/@236674.7,6557800.0,18/hva:hva%5B0%5D%5Bfilter%5D%5B0%5D%5Boperator%5D=%21%3D&amp;hva%5B0%5D%5Bfilter%5D%5B0%5D%5Btype_id%5D=9427&amp;hva%5B0%5D%5Bfilter%5D%5B0%5D%5Bverdi%5D=&amp;hva%5B0%5D%5Bid%5D=25/når:2023-05-31", "Vegkart")</f>
        <v>Vegkart</v>
      </c>
      <c r="B1539">
        <v>668525191</v>
      </c>
      <c r="C1539">
        <v>25</v>
      </c>
      <c r="D1539" t="s">
        <v>4290</v>
      </c>
      <c r="E1539">
        <v>9427</v>
      </c>
      <c r="F1539" t="s">
        <v>23479</v>
      </c>
      <c r="G1539">
        <v>4</v>
      </c>
      <c r="H1539" t="s">
        <v>4298</v>
      </c>
      <c r="J1539" t="s">
        <v>5159</v>
      </c>
      <c r="K1539" t="s">
        <v>81</v>
      </c>
      <c r="L1539" t="s">
        <v>33</v>
      </c>
      <c r="M1539" t="s">
        <v>1940</v>
      </c>
      <c r="N1539" t="s">
        <v>5172</v>
      </c>
      <c r="O1539" t="s">
        <v>5173</v>
      </c>
      <c r="P1539" s="2" t="s">
        <v>37</v>
      </c>
      <c r="Q1539" t="s">
        <v>1208</v>
      </c>
      <c r="R1539">
        <v>0</v>
      </c>
      <c r="S1539">
        <v>11.3</v>
      </c>
      <c r="T1539" t="s">
        <v>5174</v>
      </c>
    </row>
    <row r="1540" spans="1:20" x14ac:dyDescent="0.25">
      <c r="A1540" s="1" t="str">
        <f>HYPERLINK("https://vegkart.atlas.vegvesen.no/#/@236664.4,6557474.0,18/hva:hva%5B0%5D%5Bfilter%5D%5B0%5D%5Boperator%5D=%21%3D&amp;hva%5B0%5D%5Bfilter%5D%5B0%5D%5Btype_id%5D=9427&amp;hva%5B0%5D%5Bfilter%5D%5B0%5D%5Bverdi%5D=&amp;hva%5B0%5D%5Bid%5D=25/når:2023-05-31", "Vegkart")</f>
        <v>Vegkart</v>
      </c>
      <c r="B1540">
        <v>668525194</v>
      </c>
      <c r="C1540">
        <v>25</v>
      </c>
      <c r="D1540" t="s">
        <v>4290</v>
      </c>
      <c r="E1540">
        <v>9427</v>
      </c>
      <c r="F1540" t="s">
        <v>23479</v>
      </c>
      <c r="G1540">
        <v>4</v>
      </c>
      <c r="H1540" t="s">
        <v>4298</v>
      </c>
      <c r="J1540" t="s">
        <v>5159</v>
      </c>
      <c r="K1540" t="s">
        <v>81</v>
      </c>
      <c r="L1540" t="s">
        <v>33</v>
      </c>
      <c r="M1540" t="s">
        <v>1940</v>
      </c>
      <c r="N1540" t="s">
        <v>5175</v>
      </c>
      <c r="O1540" t="s">
        <v>5176</v>
      </c>
      <c r="P1540" s="2" t="s">
        <v>37</v>
      </c>
      <c r="Q1540" t="s">
        <v>1208</v>
      </c>
      <c r="R1540">
        <v>0</v>
      </c>
      <c r="S1540">
        <v>11.47</v>
      </c>
      <c r="T1540" t="s">
        <v>5177</v>
      </c>
    </row>
    <row r="1541" spans="1:20" x14ac:dyDescent="0.25">
      <c r="A1541" s="1" t="str">
        <f>HYPERLINK("https://vegkart.atlas.vegvesen.no/#/@236608.8,6556998.6,18/hva:hva%5B0%5D%5Bfilter%5D%5B0%5D%5Boperator%5D=%21%3D&amp;hva%5B0%5D%5Bfilter%5D%5B0%5D%5Btype_id%5D=9427&amp;hva%5B0%5D%5Bfilter%5D%5B0%5D%5Bverdi%5D=&amp;hva%5B0%5D%5Bid%5D=25/når:2023-05-31", "Vegkart")</f>
        <v>Vegkart</v>
      </c>
      <c r="B1541">
        <v>668525199</v>
      </c>
      <c r="C1541">
        <v>25</v>
      </c>
      <c r="D1541" t="s">
        <v>4290</v>
      </c>
      <c r="E1541">
        <v>9427</v>
      </c>
      <c r="F1541" t="s">
        <v>23479</v>
      </c>
      <c r="G1541">
        <v>4</v>
      </c>
      <c r="H1541" t="s">
        <v>4298</v>
      </c>
      <c r="J1541" t="s">
        <v>5159</v>
      </c>
      <c r="K1541" t="s">
        <v>81</v>
      </c>
      <c r="L1541" t="s">
        <v>33</v>
      </c>
      <c r="M1541" t="s">
        <v>1940</v>
      </c>
      <c r="N1541" t="s">
        <v>5178</v>
      </c>
      <c r="O1541" t="s">
        <v>5179</v>
      </c>
      <c r="P1541" s="2" t="s">
        <v>37</v>
      </c>
      <c r="Q1541" t="s">
        <v>1208</v>
      </c>
      <c r="R1541">
        <v>0</v>
      </c>
      <c r="S1541">
        <v>11.58</v>
      </c>
      <c r="T1541" t="s">
        <v>5180</v>
      </c>
    </row>
    <row r="1542" spans="1:20" x14ac:dyDescent="0.25">
      <c r="A1542" s="1" t="str">
        <f>HYPERLINK("https://vegkart.atlas.vegvesen.no/#/@236762.1,6556330.9,18/hva:hva%5B0%5D%5Bfilter%5D%5B0%5D%5Boperator%5D=%21%3D&amp;hva%5B0%5D%5Bfilter%5D%5B0%5D%5Btype_id%5D=9427&amp;hva%5B0%5D%5Bfilter%5D%5B0%5D%5Bverdi%5D=&amp;hva%5B0%5D%5Bid%5D=25/når:2023-05-31", "Vegkart")</f>
        <v>Vegkart</v>
      </c>
      <c r="B1542">
        <v>668525205</v>
      </c>
      <c r="C1542">
        <v>25</v>
      </c>
      <c r="D1542" t="s">
        <v>4290</v>
      </c>
      <c r="E1542">
        <v>9427</v>
      </c>
      <c r="F1542" t="s">
        <v>23479</v>
      </c>
      <c r="G1542">
        <v>4</v>
      </c>
      <c r="H1542" t="s">
        <v>4298</v>
      </c>
      <c r="J1542" t="s">
        <v>5159</v>
      </c>
      <c r="K1542" t="s">
        <v>81</v>
      </c>
      <c r="L1542" t="s">
        <v>33</v>
      </c>
      <c r="M1542" t="s">
        <v>1940</v>
      </c>
      <c r="N1542" t="s">
        <v>5181</v>
      </c>
      <c r="O1542" t="s">
        <v>5182</v>
      </c>
      <c r="P1542" s="2" t="s">
        <v>37</v>
      </c>
      <c r="Q1542" t="s">
        <v>1208</v>
      </c>
      <c r="R1542">
        <v>0</v>
      </c>
      <c r="S1542">
        <v>11.54</v>
      </c>
      <c r="T1542" t="s">
        <v>5183</v>
      </c>
    </row>
    <row r="1543" spans="1:20" x14ac:dyDescent="0.25">
      <c r="A1543" s="1" t="str">
        <f>HYPERLINK("https://vegkart.atlas.vegvesen.no/#/@236689.1,6555965.5,18/hva:hva%5B0%5D%5Bfilter%5D%5B0%5D%5Boperator%5D=%21%3D&amp;hva%5B0%5D%5Bfilter%5D%5B0%5D%5Btype_id%5D=9427&amp;hva%5B0%5D%5Bfilter%5D%5B0%5D%5Bverdi%5D=&amp;hva%5B0%5D%5Bid%5D=25/når:2023-05-31", "Vegkart")</f>
        <v>Vegkart</v>
      </c>
      <c r="B1543">
        <v>668525209</v>
      </c>
      <c r="C1543">
        <v>25</v>
      </c>
      <c r="D1543" t="s">
        <v>4290</v>
      </c>
      <c r="E1543">
        <v>9427</v>
      </c>
      <c r="F1543" t="s">
        <v>23479</v>
      </c>
      <c r="G1543">
        <v>4</v>
      </c>
      <c r="H1543" t="s">
        <v>4298</v>
      </c>
      <c r="J1543" t="s">
        <v>5159</v>
      </c>
      <c r="K1543" t="s">
        <v>81</v>
      </c>
      <c r="L1543" t="s">
        <v>33</v>
      </c>
      <c r="M1543" t="s">
        <v>1940</v>
      </c>
      <c r="N1543" t="s">
        <v>5184</v>
      </c>
      <c r="O1543" t="s">
        <v>5185</v>
      </c>
      <c r="P1543" s="2" t="s">
        <v>37</v>
      </c>
      <c r="Q1543" t="s">
        <v>1208</v>
      </c>
      <c r="R1543">
        <v>0</v>
      </c>
      <c r="S1543">
        <v>11.16</v>
      </c>
      <c r="T1543" t="s">
        <v>5186</v>
      </c>
    </row>
    <row r="1544" spans="1:20" x14ac:dyDescent="0.25">
      <c r="A1544" s="1" t="str">
        <f>HYPERLINK("https://vegkart.atlas.vegvesen.no/#/@238586.6,6576991.7,18/hva:hva%5B0%5D%5Bfilter%5D%5B0%5D%5Boperator%5D=%21%3D&amp;hva%5B0%5D%5Bfilter%5D%5B0%5D%5Btype_id%5D=9427&amp;hva%5B0%5D%5Bfilter%5D%5B0%5D%5Bverdi%5D=&amp;hva%5B0%5D%5Bid%5D=25/når:2023-05-31", "Vegkart")</f>
        <v>Vegkart</v>
      </c>
      <c r="B1544">
        <v>669882566</v>
      </c>
      <c r="C1544">
        <v>25</v>
      </c>
      <c r="D1544" t="s">
        <v>4290</v>
      </c>
      <c r="E1544">
        <v>9427</v>
      </c>
      <c r="F1544" t="s">
        <v>23479</v>
      </c>
      <c r="G1544">
        <v>4</v>
      </c>
      <c r="H1544" t="s">
        <v>4298</v>
      </c>
      <c r="J1544" t="s">
        <v>5159</v>
      </c>
      <c r="K1544" t="s">
        <v>81</v>
      </c>
      <c r="L1544" t="s">
        <v>33</v>
      </c>
      <c r="M1544" t="s">
        <v>1940</v>
      </c>
      <c r="N1544" t="s">
        <v>5187</v>
      </c>
      <c r="O1544" t="s">
        <v>5188</v>
      </c>
      <c r="P1544" s="2" t="s">
        <v>165</v>
      </c>
      <c r="Q1544" t="s">
        <v>166</v>
      </c>
      <c r="R1544">
        <v>0</v>
      </c>
      <c r="S1544">
        <v>14.02</v>
      </c>
      <c r="T1544" t="s">
        <v>167</v>
      </c>
    </row>
    <row r="1545" spans="1:20" x14ac:dyDescent="0.25">
      <c r="A1545" s="1" t="str">
        <f>HYPERLINK("https://vegkart.atlas.vegvesen.no/#/@238460.8,6576624.9,18/hva:hva%5B0%5D%5Bfilter%5D%5B0%5D%5Boperator%5D=%21%3D&amp;hva%5B0%5D%5Bfilter%5D%5B0%5D%5Btype_id%5D=9427&amp;hva%5B0%5D%5Bfilter%5D%5B0%5D%5Bverdi%5D=&amp;hva%5B0%5D%5Bid%5D=25/når:2023-05-31", "Vegkart")</f>
        <v>Vegkart</v>
      </c>
      <c r="B1545">
        <v>671265588</v>
      </c>
      <c r="C1545">
        <v>25</v>
      </c>
      <c r="D1545" t="s">
        <v>4290</v>
      </c>
      <c r="E1545">
        <v>9427</v>
      </c>
      <c r="F1545" t="s">
        <v>23479</v>
      </c>
      <c r="G1545">
        <v>4</v>
      </c>
      <c r="H1545" t="s">
        <v>4298</v>
      </c>
      <c r="J1545" t="s">
        <v>5159</v>
      </c>
      <c r="K1545" t="s">
        <v>81</v>
      </c>
      <c r="L1545" t="s">
        <v>33</v>
      </c>
      <c r="M1545" t="s">
        <v>1940</v>
      </c>
      <c r="N1545" t="s">
        <v>5189</v>
      </c>
      <c r="O1545" t="s">
        <v>5190</v>
      </c>
      <c r="P1545" s="2" t="s">
        <v>37</v>
      </c>
      <c r="Q1545" t="s">
        <v>1208</v>
      </c>
      <c r="R1545">
        <v>0</v>
      </c>
      <c r="S1545">
        <v>11.57</v>
      </c>
      <c r="T1545" t="s">
        <v>5191</v>
      </c>
    </row>
    <row r="1546" spans="1:20" x14ac:dyDescent="0.25">
      <c r="A1546" s="1" t="str">
        <f>HYPERLINK("https://vegkart.atlas.vegvesen.no/#/@238453.2,6576557.4,18/hva:hva%5B0%5D%5Bfilter%5D%5B0%5D%5Boperator%5D=%21%3D&amp;hva%5B0%5D%5Bfilter%5D%5B0%5D%5Btype_id%5D=9427&amp;hva%5B0%5D%5Bfilter%5D%5B0%5D%5Bverdi%5D=&amp;hva%5B0%5D%5Bid%5D=25/når:2023-05-31", "Vegkart")</f>
        <v>Vegkart</v>
      </c>
      <c r="B1546">
        <v>671265589</v>
      </c>
      <c r="C1546">
        <v>25</v>
      </c>
      <c r="D1546" t="s">
        <v>4290</v>
      </c>
      <c r="E1546">
        <v>9427</v>
      </c>
      <c r="F1546" t="s">
        <v>23479</v>
      </c>
      <c r="G1546">
        <v>4</v>
      </c>
      <c r="H1546" t="s">
        <v>4298</v>
      </c>
      <c r="J1546" t="s">
        <v>5159</v>
      </c>
      <c r="K1546" t="s">
        <v>81</v>
      </c>
      <c r="L1546" t="s">
        <v>33</v>
      </c>
      <c r="M1546" t="s">
        <v>1940</v>
      </c>
      <c r="N1546" t="s">
        <v>5192</v>
      </c>
      <c r="O1546" t="s">
        <v>5193</v>
      </c>
      <c r="P1546" s="2" t="s">
        <v>37</v>
      </c>
      <c r="Q1546" t="s">
        <v>1208</v>
      </c>
      <c r="R1546">
        <v>0</v>
      </c>
      <c r="S1546">
        <v>13.98</v>
      </c>
      <c r="T1546" t="s">
        <v>5194</v>
      </c>
    </row>
    <row r="1547" spans="1:20" x14ac:dyDescent="0.25">
      <c r="A1547" s="1" t="str">
        <f>HYPERLINK("https://vegkart.atlas.vegvesen.no/#/@238335.2,6576302.9,18/hva:hva%5B0%5D%5Bfilter%5D%5B0%5D%5Boperator%5D=%21%3D&amp;hva%5B0%5D%5Bfilter%5D%5B0%5D%5Btype_id%5D=9427&amp;hva%5B0%5D%5Bfilter%5D%5B0%5D%5Bverdi%5D=&amp;hva%5B0%5D%5Bid%5D=25/når:2023-05-31", "Vegkart")</f>
        <v>Vegkart</v>
      </c>
      <c r="B1547">
        <v>671265590</v>
      </c>
      <c r="C1547">
        <v>25</v>
      </c>
      <c r="D1547" t="s">
        <v>4290</v>
      </c>
      <c r="E1547">
        <v>9427</v>
      </c>
      <c r="F1547" t="s">
        <v>23479</v>
      </c>
      <c r="G1547">
        <v>3</v>
      </c>
      <c r="H1547" t="s">
        <v>4298</v>
      </c>
      <c r="J1547" t="s">
        <v>5159</v>
      </c>
      <c r="K1547" t="s">
        <v>81</v>
      </c>
      <c r="L1547" t="s">
        <v>33</v>
      </c>
      <c r="M1547" t="s">
        <v>1940</v>
      </c>
      <c r="N1547" t="s">
        <v>5195</v>
      </c>
      <c r="O1547" t="s">
        <v>5196</v>
      </c>
      <c r="P1547" s="2" t="s">
        <v>37</v>
      </c>
      <c r="Q1547" t="s">
        <v>1208</v>
      </c>
      <c r="R1547">
        <v>0</v>
      </c>
      <c r="S1547">
        <v>11.37</v>
      </c>
      <c r="T1547" t="s">
        <v>5197</v>
      </c>
    </row>
    <row r="1548" spans="1:20" x14ac:dyDescent="0.25">
      <c r="A1548" s="1" t="str">
        <f>HYPERLINK("https://vegkart.atlas.vegvesen.no/#/@238360.8,6576313.9,18/hva:hva%5B0%5D%5Bfilter%5D%5B0%5D%5Boperator%5D=%21%3D&amp;hva%5B0%5D%5Bfilter%5D%5B0%5D%5Btype_id%5D=9427&amp;hva%5B0%5D%5Bfilter%5D%5B0%5D%5Bverdi%5D=&amp;hva%5B0%5D%5Bid%5D=25/når:2023-05-31", "Vegkart")</f>
        <v>Vegkart</v>
      </c>
      <c r="B1548">
        <v>671265591</v>
      </c>
      <c r="C1548">
        <v>25</v>
      </c>
      <c r="D1548" t="s">
        <v>4290</v>
      </c>
      <c r="E1548">
        <v>9427</v>
      </c>
      <c r="F1548" t="s">
        <v>23479</v>
      </c>
      <c r="G1548">
        <v>4</v>
      </c>
      <c r="H1548" t="s">
        <v>4298</v>
      </c>
      <c r="J1548" t="s">
        <v>5159</v>
      </c>
      <c r="K1548" t="s">
        <v>81</v>
      </c>
      <c r="L1548" t="s">
        <v>33</v>
      </c>
      <c r="M1548" t="s">
        <v>1940</v>
      </c>
      <c r="N1548" t="s">
        <v>5198</v>
      </c>
      <c r="O1548" t="s">
        <v>5199</v>
      </c>
      <c r="P1548" s="2" t="s">
        <v>37</v>
      </c>
      <c r="Q1548" t="s">
        <v>1208</v>
      </c>
      <c r="R1548">
        <v>0</v>
      </c>
      <c r="S1548">
        <v>14.08</v>
      </c>
      <c r="T1548" t="s">
        <v>5200</v>
      </c>
    </row>
    <row r="1549" spans="1:20" x14ac:dyDescent="0.25">
      <c r="A1549" s="1" t="str">
        <f>HYPERLINK("https://vegkart.atlas.vegvesen.no/#/@238167.3,6576097.3,18/hva:hva%5B0%5D%5Bfilter%5D%5B0%5D%5Boperator%5D=%21%3D&amp;hva%5B0%5D%5Bfilter%5D%5B0%5D%5Btype_id%5D=9427&amp;hva%5B0%5D%5Bfilter%5D%5B0%5D%5Bverdi%5D=&amp;hva%5B0%5D%5Bid%5D=25/når:2023-05-31", "Vegkart")</f>
        <v>Vegkart</v>
      </c>
      <c r="B1549">
        <v>671265592</v>
      </c>
      <c r="C1549">
        <v>25</v>
      </c>
      <c r="D1549" t="s">
        <v>4290</v>
      </c>
      <c r="E1549">
        <v>9427</v>
      </c>
      <c r="F1549" t="s">
        <v>23479</v>
      </c>
      <c r="G1549">
        <v>3</v>
      </c>
      <c r="H1549" t="s">
        <v>4298</v>
      </c>
      <c r="J1549" t="s">
        <v>5159</v>
      </c>
      <c r="K1549" t="s">
        <v>81</v>
      </c>
      <c r="L1549" t="s">
        <v>33</v>
      </c>
      <c r="M1549" t="s">
        <v>1940</v>
      </c>
      <c r="N1549" t="s">
        <v>2070</v>
      </c>
      <c r="O1549" t="s">
        <v>5201</v>
      </c>
      <c r="P1549" s="2" t="s">
        <v>37</v>
      </c>
      <c r="Q1549" t="s">
        <v>1208</v>
      </c>
      <c r="R1549">
        <v>0</v>
      </c>
      <c r="S1549">
        <v>13.98</v>
      </c>
      <c r="T1549" t="s">
        <v>5202</v>
      </c>
    </row>
    <row r="1550" spans="1:20" x14ac:dyDescent="0.25">
      <c r="A1550" s="1" t="str">
        <f>HYPERLINK("https://vegkart.atlas.vegvesen.no/#/@238206.6,6576087.3,18/hva:hva%5B0%5D%5Bfilter%5D%5B0%5D%5Boperator%5D=%21%3D&amp;hva%5B0%5D%5Bfilter%5D%5B0%5D%5Btype_id%5D=9427&amp;hva%5B0%5D%5Bfilter%5D%5B0%5D%5Bverdi%5D=&amp;hva%5B0%5D%5Bid%5D=25/når:2023-05-31", "Vegkart")</f>
        <v>Vegkart</v>
      </c>
      <c r="B1550">
        <v>671265593</v>
      </c>
      <c r="C1550">
        <v>25</v>
      </c>
      <c r="D1550" t="s">
        <v>4290</v>
      </c>
      <c r="E1550">
        <v>9427</v>
      </c>
      <c r="F1550" t="s">
        <v>23479</v>
      </c>
      <c r="G1550">
        <v>4</v>
      </c>
      <c r="H1550" t="s">
        <v>4298</v>
      </c>
      <c r="J1550" t="s">
        <v>5159</v>
      </c>
      <c r="K1550" t="s">
        <v>81</v>
      </c>
      <c r="L1550" t="s">
        <v>33</v>
      </c>
      <c r="M1550" t="s">
        <v>1940</v>
      </c>
      <c r="N1550" t="s">
        <v>5203</v>
      </c>
      <c r="O1550" t="s">
        <v>5204</v>
      </c>
      <c r="P1550" s="2" t="s">
        <v>37</v>
      </c>
      <c r="Q1550" t="s">
        <v>1208</v>
      </c>
      <c r="R1550">
        <v>0</v>
      </c>
      <c r="S1550">
        <v>14.32</v>
      </c>
      <c r="T1550" t="s">
        <v>5205</v>
      </c>
    </row>
    <row r="1551" spans="1:20" x14ac:dyDescent="0.25">
      <c r="A1551" s="1" t="str">
        <f>HYPERLINK("https://vegkart.atlas.vegvesen.no/#/@242564.1,6593396.9,18/hva:hva%5B0%5D%5Bfilter%5D%5B0%5D%5Boperator%5D=%21%3D&amp;hva%5B0%5D%5Bfilter%5D%5B0%5D%5Btype_id%5D=9427&amp;hva%5B0%5D%5Bfilter%5D%5B0%5D%5Bverdi%5D=&amp;hva%5B0%5D%5Bid%5D=25/når:2023-05-31", "Vegkart")</f>
        <v>Vegkart</v>
      </c>
      <c r="B1551">
        <v>671301896</v>
      </c>
      <c r="C1551">
        <v>25</v>
      </c>
      <c r="D1551" t="s">
        <v>4290</v>
      </c>
      <c r="E1551">
        <v>9427</v>
      </c>
      <c r="F1551" t="s">
        <v>23479</v>
      </c>
      <c r="G1551">
        <v>5</v>
      </c>
      <c r="H1551" t="s">
        <v>4298</v>
      </c>
      <c r="J1551" t="s">
        <v>5159</v>
      </c>
      <c r="K1551" t="s">
        <v>81</v>
      </c>
      <c r="L1551" t="s">
        <v>33</v>
      </c>
      <c r="M1551" t="s">
        <v>4357</v>
      </c>
      <c r="N1551" t="s">
        <v>5206</v>
      </c>
      <c r="O1551" t="s">
        <v>5207</v>
      </c>
      <c r="P1551" s="2" t="s">
        <v>165</v>
      </c>
      <c r="Q1551" t="s">
        <v>166</v>
      </c>
      <c r="R1551">
        <v>0</v>
      </c>
      <c r="S1551">
        <v>13.65</v>
      </c>
      <c r="T1551" t="s">
        <v>167</v>
      </c>
    </row>
    <row r="1552" spans="1:20" x14ac:dyDescent="0.25">
      <c r="A1552" s="1" t="str">
        <f>HYPERLINK("https://vegkart.atlas.vegvesen.no/#/@243481.5,6594518.1,18/hva:hva%5B0%5D%5Bfilter%5D%5B0%5D%5Boperator%5D=%21%3D&amp;hva%5B0%5D%5Bfilter%5D%5B0%5D%5Btype_id%5D=9427&amp;hva%5B0%5D%5Bfilter%5D%5B0%5D%5Bverdi%5D=&amp;hva%5B0%5D%5Bid%5D=25/når:2023-05-31", "Vegkart")</f>
        <v>Vegkart</v>
      </c>
      <c r="B1552">
        <v>671301898</v>
      </c>
      <c r="C1552">
        <v>25</v>
      </c>
      <c r="D1552" t="s">
        <v>4290</v>
      </c>
      <c r="E1552">
        <v>9427</v>
      </c>
      <c r="F1552" t="s">
        <v>23479</v>
      </c>
      <c r="G1552">
        <v>4</v>
      </c>
      <c r="H1552" t="s">
        <v>4298</v>
      </c>
      <c r="J1552" t="s">
        <v>5159</v>
      </c>
      <c r="K1552" t="s">
        <v>81</v>
      </c>
      <c r="L1552" t="s">
        <v>22</v>
      </c>
      <c r="M1552" t="s">
        <v>2056</v>
      </c>
      <c r="N1552" t="s">
        <v>5208</v>
      </c>
      <c r="O1552" t="s">
        <v>5209</v>
      </c>
      <c r="P1552" s="2" t="s">
        <v>37</v>
      </c>
      <c r="Q1552" t="s">
        <v>1208</v>
      </c>
      <c r="R1552">
        <v>0</v>
      </c>
      <c r="S1552">
        <v>13.6</v>
      </c>
      <c r="T1552" t="s">
        <v>5210</v>
      </c>
    </row>
    <row r="1553" spans="1:20" x14ac:dyDescent="0.25">
      <c r="A1553" s="1" t="str">
        <f>HYPERLINK("https://vegkart.atlas.vegvesen.no/#/@242843.3,6596026.1,18/hva:hva%5B0%5D%5Bfilter%5D%5B0%5D%5Boperator%5D=%21%3D&amp;hva%5B0%5D%5Bfilter%5D%5B0%5D%5Btype_id%5D=9427&amp;hva%5B0%5D%5Bfilter%5D%5B0%5D%5Bverdi%5D=&amp;hva%5B0%5D%5Bid%5D=25/når:2024-07-05", "Vegkart")</f>
        <v>Vegkart</v>
      </c>
      <c r="B1553">
        <v>671301900</v>
      </c>
      <c r="C1553">
        <v>25</v>
      </c>
      <c r="D1553" t="s">
        <v>4290</v>
      </c>
      <c r="E1553">
        <v>9427</v>
      </c>
      <c r="F1553" t="s">
        <v>23479</v>
      </c>
      <c r="G1553">
        <v>5</v>
      </c>
      <c r="H1553" t="s">
        <v>5211</v>
      </c>
      <c r="J1553" t="s">
        <v>5159</v>
      </c>
      <c r="K1553" t="s">
        <v>81</v>
      </c>
      <c r="L1553" t="s">
        <v>33</v>
      </c>
      <c r="M1553" t="s">
        <v>1909</v>
      </c>
      <c r="N1553" t="s">
        <v>5212</v>
      </c>
      <c r="O1553" t="s">
        <v>5213</v>
      </c>
      <c r="P1553" s="2" t="s">
        <v>37</v>
      </c>
      <c r="Q1553" t="s">
        <v>1208</v>
      </c>
      <c r="R1553">
        <v>0</v>
      </c>
      <c r="S1553">
        <v>13.35</v>
      </c>
      <c r="T1553" t="s">
        <v>5214</v>
      </c>
    </row>
    <row r="1554" spans="1:20" x14ac:dyDescent="0.25">
      <c r="A1554" s="1" t="str">
        <f>HYPERLINK("https://vegkart.atlas.vegvesen.no/#/@242310.2,6596372.1,18/hva:hva%5B0%5D%5Bfilter%5D%5B0%5D%5Boperator%5D=%21%3D&amp;hva%5B0%5D%5Bfilter%5D%5B0%5D%5Btype_id%5D=9427&amp;hva%5B0%5D%5Bfilter%5D%5B0%5D%5Bverdi%5D=&amp;hva%5B0%5D%5Bid%5D=25/når:2023-05-31", "Vegkart")</f>
        <v>Vegkart</v>
      </c>
      <c r="B1554">
        <v>671301901</v>
      </c>
      <c r="C1554">
        <v>25</v>
      </c>
      <c r="D1554" t="s">
        <v>4290</v>
      </c>
      <c r="E1554">
        <v>9427</v>
      </c>
      <c r="F1554" t="s">
        <v>23479</v>
      </c>
      <c r="G1554">
        <v>3</v>
      </c>
      <c r="H1554" t="s">
        <v>4298</v>
      </c>
      <c r="J1554" t="s">
        <v>5159</v>
      </c>
      <c r="K1554" t="s">
        <v>81</v>
      </c>
      <c r="L1554" t="s">
        <v>33</v>
      </c>
      <c r="M1554" t="s">
        <v>1909</v>
      </c>
      <c r="N1554" t="s">
        <v>5215</v>
      </c>
      <c r="O1554" t="s">
        <v>5216</v>
      </c>
      <c r="P1554" s="2" t="s">
        <v>37</v>
      </c>
      <c r="Q1554" t="s">
        <v>1208</v>
      </c>
      <c r="R1554">
        <v>0</v>
      </c>
      <c r="S1554">
        <v>11.61</v>
      </c>
      <c r="T1554" t="s">
        <v>5217</v>
      </c>
    </row>
    <row r="1555" spans="1:20" x14ac:dyDescent="0.25">
      <c r="A1555" s="1" t="str">
        <f>HYPERLINK("https://vegkart.atlas.vegvesen.no/#/@241120.3,6598137.7,18/hva:hva%5B0%5D%5Bfilter%5D%5B0%5D%5Boperator%5D=%21%3D&amp;hva%5B0%5D%5Bfilter%5D%5B0%5D%5Btype_id%5D=9427&amp;hva%5B0%5D%5Bfilter%5D%5B0%5D%5Bverdi%5D=&amp;hva%5B0%5D%5Bid%5D=25/når:2023-05-31", "Vegkart")</f>
        <v>Vegkart</v>
      </c>
      <c r="B1555">
        <v>671301902</v>
      </c>
      <c r="C1555">
        <v>25</v>
      </c>
      <c r="D1555" t="s">
        <v>4290</v>
      </c>
      <c r="E1555">
        <v>9427</v>
      </c>
      <c r="F1555" t="s">
        <v>23479</v>
      </c>
      <c r="G1555">
        <v>3</v>
      </c>
      <c r="H1555" t="s">
        <v>4298</v>
      </c>
      <c r="J1555" t="s">
        <v>5159</v>
      </c>
      <c r="K1555" t="s">
        <v>81</v>
      </c>
      <c r="L1555" t="s">
        <v>33</v>
      </c>
      <c r="M1555" t="s">
        <v>1909</v>
      </c>
      <c r="N1555" t="s">
        <v>5218</v>
      </c>
      <c r="O1555" t="s">
        <v>5219</v>
      </c>
      <c r="P1555" s="2" t="s">
        <v>37</v>
      </c>
      <c r="Q1555" t="s">
        <v>1208</v>
      </c>
      <c r="R1555">
        <v>0</v>
      </c>
      <c r="S1555">
        <v>11.36</v>
      </c>
      <c r="T1555" t="s">
        <v>5220</v>
      </c>
    </row>
    <row r="1556" spans="1:20" x14ac:dyDescent="0.25">
      <c r="A1556" s="1" t="str">
        <f>HYPERLINK("https://vegkart.atlas.vegvesen.no/#/@236559.2,6566853.8,18/hva:hva%5B0%5D%5Bfilter%5D%5B0%5D%5Boperator%5D=%21%3D&amp;hva%5B0%5D%5Bfilter%5D%5B0%5D%5Btype_id%5D=9427&amp;hva%5B0%5D%5Bfilter%5D%5B0%5D%5Bverdi%5D=&amp;hva%5B0%5D%5Bid%5D=25/når:2023-05-31", "Vegkart")</f>
        <v>Vegkart</v>
      </c>
      <c r="B1556">
        <v>672876297</v>
      </c>
      <c r="C1556">
        <v>25</v>
      </c>
      <c r="D1556" t="s">
        <v>4290</v>
      </c>
      <c r="E1556">
        <v>9427</v>
      </c>
      <c r="F1556" t="s">
        <v>23479</v>
      </c>
      <c r="G1556">
        <v>3</v>
      </c>
      <c r="H1556" t="s">
        <v>4298</v>
      </c>
      <c r="J1556" t="s">
        <v>5159</v>
      </c>
      <c r="K1556" t="s">
        <v>81</v>
      </c>
      <c r="L1556" t="s">
        <v>33</v>
      </c>
      <c r="M1556" t="s">
        <v>1940</v>
      </c>
      <c r="N1556" t="s">
        <v>5221</v>
      </c>
      <c r="O1556" t="s">
        <v>5222</v>
      </c>
      <c r="P1556" s="2" t="s">
        <v>37</v>
      </c>
      <c r="Q1556" t="s">
        <v>1208</v>
      </c>
      <c r="R1556">
        <v>0</v>
      </c>
      <c r="S1556">
        <v>10.119999999999999</v>
      </c>
      <c r="T1556" t="s">
        <v>5223</v>
      </c>
    </row>
    <row r="1557" spans="1:20" x14ac:dyDescent="0.25">
      <c r="A1557" s="1" t="str">
        <f>HYPERLINK("https://vegkart.atlas.vegvesen.no/#/@233492.4,6579978.1,18/hva:hva%5B0%5D%5Bfilter%5D%5B0%5D%5Boperator%5D=%21%3D&amp;hva%5B0%5D%5Bfilter%5D%5B0%5D%5Btype_id%5D=9427&amp;hva%5B0%5D%5Bfilter%5D%5B0%5D%5Bverdi%5D=&amp;hva%5B0%5D%5Bid%5D=25/når:2023-05-31", "Vegkart")</f>
        <v>Vegkart</v>
      </c>
      <c r="B1557">
        <v>673152313</v>
      </c>
      <c r="C1557">
        <v>25</v>
      </c>
      <c r="D1557" t="s">
        <v>4290</v>
      </c>
      <c r="E1557">
        <v>9427</v>
      </c>
      <c r="F1557" t="s">
        <v>23479</v>
      </c>
      <c r="G1557">
        <v>3</v>
      </c>
      <c r="H1557" t="s">
        <v>4298</v>
      </c>
      <c r="J1557" t="s">
        <v>5159</v>
      </c>
      <c r="K1557" t="s">
        <v>81</v>
      </c>
      <c r="L1557" t="s">
        <v>33</v>
      </c>
      <c r="M1557" t="s">
        <v>4333</v>
      </c>
      <c r="N1557" t="s">
        <v>5224</v>
      </c>
      <c r="O1557" t="s">
        <v>5225</v>
      </c>
      <c r="P1557" s="2" t="s">
        <v>37</v>
      </c>
      <c r="Q1557" t="s">
        <v>1208</v>
      </c>
      <c r="R1557">
        <v>0</v>
      </c>
      <c r="S1557">
        <v>11.84</v>
      </c>
      <c r="T1557" t="s">
        <v>5226</v>
      </c>
    </row>
    <row r="1558" spans="1:20" x14ac:dyDescent="0.25">
      <c r="A1558" s="1" t="str">
        <f>HYPERLINK("https://vegkart.atlas.vegvesen.no/#/@233523.5,6579988.2,18/hva:hva%5B0%5D%5Bfilter%5D%5B0%5D%5Boperator%5D=%21%3D&amp;hva%5B0%5D%5Bfilter%5D%5B0%5D%5Btype_id%5D=9427&amp;hva%5B0%5D%5Bfilter%5D%5B0%5D%5Bverdi%5D=&amp;hva%5B0%5D%5Bid%5D=25/når:2023-05-31", "Vegkart")</f>
        <v>Vegkart</v>
      </c>
      <c r="B1558">
        <v>673152314</v>
      </c>
      <c r="C1558">
        <v>25</v>
      </c>
      <c r="D1558" t="s">
        <v>4290</v>
      </c>
      <c r="E1558">
        <v>9427</v>
      </c>
      <c r="F1558" t="s">
        <v>23479</v>
      </c>
      <c r="G1558">
        <v>3</v>
      </c>
      <c r="H1558" t="s">
        <v>4298</v>
      </c>
      <c r="J1558" t="s">
        <v>5159</v>
      </c>
      <c r="K1558" t="s">
        <v>81</v>
      </c>
      <c r="L1558" t="s">
        <v>33</v>
      </c>
      <c r="M1558" t="s">
        <v>4333</v>
      </c>
      <c r="N1558" t="s">
        <v>5227</v>
      </c>
      <c r="O1558" t="s">
        <v>5228</v>
      </c>
      <c r="P1558" s="2" t="s">
        <v>37</v>
      </c>
      <c r="Q1558" t="s">
        <v>1208</v>
      </c>
      <c r="R1558">
        <v>0</v>
      </c>
      <c r="S1558">
        <v>11.76</v>
      </c>
      <c r="T1558" t="s">
        <v>5229</v>
      </c>
    </row>
    <row r="1559" spans="1:20" x14ac:dyDescent="0.25">
      <c r="A1559" s="1" t="str">
        <f>HYPERLINK("https://vegkart.atlas.vegvesen.no/#/@233789.2,6580363.9,18/hva:hva%5B0%5D%5Bfilter%5D%5B0%5D%5Boperator%5D=%21%3D&amp;hva%5B0%5D%5Bfilter%5D%5B0%5D%5Btype_id%5D=9427&amp;hva%5B0%5D%5Bfilter%5D%5B0%5D%5Bverdi%5D=&amp;hva%5B0%5D%5Bid%5D=25/når:2023-05-31", "Vegkart")</f>
        <v>Vegkart</v>
      </c>
      <c r="B1559">
        <v>673152315</v>
      </c>
      <c r="C1559">
        <v>25</v>
      </c>
      <c r="D1559" t="s">
        <v>4290</v>
      </c>
      <c r="E1559">
        <v>9427</v>
      </c>
      <c r="F1559" t="s">
        <v>23479</v>
      </c>
      <c r="G1559">
        <v>3</v>
      </c>
      <c r="H1559" t="s">
        <v>4298</v>
      </c>
      <c r="J1559" t="s">
        <v>5159</v>
      </c>
      <c r="K1559" t="s">
        <v>81</v>
      </c>
      <c r="L1559" t="s">
        <v>33</v>
      </c>
      <c r="M1559" t="s">
        <v>4333</v>
      </c>
      <c r="N1559" t="s">
        <v>5230</v>
      </c>
      <c r="O1559" t="s">
        <v>5231</v>
      </c>
      <c r="P1559" s="2" t="s">
        <v>37</v>
      </c>
      <c r="Q1559" t="s">
        <v>1208</v>
      </c>
      <c r="R1559">
        <v>0</v>
      </c>
      <c r="S1559">
        <v>11.98</v>
      </c>
      <c r="T1559" t="s">
        <v>5232</v>
      </c>
    </row>
    <row r="1560" spans="1:20" x14ac:dyDescent="0.25">
      <c r="A1560" s="1" t="str">
        <f>HYPERLINK("https://vegkart.atlas.vegvesen.no/#/@236429.2,6565280.9,18/hva:hva%5B0%5D%5Bfilter%5D%5B0%5D%5Boperator%5D=%21%3D&amp;hva%5B0%5D%5Bfilter%5D%5B0%5D%5Btype_id%5D=9427&amp;hva%5B0%5D%5Bfilter%5D%5B0%5D%5Bverdi%5D=&amp;hva%5B0%5D%5Bid%5D=25/når:2023-05-31", "Vegkart")</f>
        <v>Vegkart</v>
      </c>
      <c r="B1560">
        <v>673420585</v>
      </c>
      <c r="C1560">
        <v>25</v>
      </c>
      <c r="D1560" t="s">
        <v>4290</v>
      </c>
      <c r="E1560">
        <v>9427</v>
      </c>
      <c r="F1560" t="s">
        <v>23479</v>
      </c>
      <c r="G1560">
        <v>3</v>
      </c>
      <c r="H1560" t="s">
        <v>4298</v>
      </c>
      <c r="J1560" t="s">
        <v>5159</v>
      </c>
      <c r="K1560" t="s">
        <v>81</v>
      </c>
      <c r="L1560" t="s">
        <v>33</v>
      </c>
      <c r="M1560" t="s">
        <v>1940</v>
      </c>
      <c r="N1560" t="s">
        <v>5233</v>
      </c>
      <c r="O1560" t="s">
        <v>5234</v>
      </c>
      <c r="P1560" s="2" t="s">
        <v>37</v>
      </c>
      <c r="Q1560" t="s">
        <v>1208</v>
      </c>
      <c r="R1560">
        <v>0</v>
      </c>
      <c r="S1560">
        <v>11.36</v>
      </c>
      <c r="T1560" t="s">
        <v>5235</v>
      </c>
    </row>
    <row r="1561" spans="1:20" x14ac:dyDescent="0.25">
      <c r="A1561" s="1" t="str">
        <f>HYPERLINK("https://vegkart.atlas.vegvesen.no/#/@237671.2,6560765.0,18/hva:hva%5B0%5D%5Bfilter%5D%5B0%5D%5Boperator%5D=%21%3D&amp;hva%5B0%5D%5Bfilter%5D%5B0%5D%5Btype_id%5D=9427&amp;hva%5B0%5D%5Bfilter%5D%5B0%5D%5Bverdi%5D=&amp;hva%5B0%5D%5Bid%5D=25/når:2023-05-31", "Vegkart")</f>
        <v>Vegkart</v>
      </c>
      <c r="B1561">
        <v>673528411</v>
      </c>
      <c r="C1561">
        <v>25</v>
      </c>
      <c r="D1561" t="s">
        <v>4290</v>
      </c>
      <c r="E1561">
        <v>9427</v>
      </c>
      <c r="F1561" t="s">
        <v>23479</v>
      </c>
      <c r="G1561">
        <v>3</v>
      </c>
      <c r="H1561" t="s">
        <v>4298</v>
      </c>
      <c r="J1561" t="s">
        <v>5159</v>
      </c>
      <c r="K1561" t="s">
        <v>81</v>
      </c>
      <c r="L1561" t="s">
        <v>33</v>
      </c>
      <c r="M1561" t="s">
        <v>4486</v>
      </c>
      <c r="N1561" t="s">
        <v>5236</v>
      </c>
      <c r="O1561" t="s">
        <v>5237</v>
      </c>
      <c r="P1561" s="2" t="s">
        <v>37</v>
      </c>
      <c r="Q1561" t="s">
        <v>1208</v>
      </c>
      <c r="R1561">
        <v>0</v>
      </c>
      <c r="S1561">
        <v>8.34</v>
      </c>
      <c r="T1561" t="s">
        <v>5238</v>
      </c>
    </row>
    <row r="1562" spans="1:20" x14ac:dyDescent="0.25">
      <c r="A1562" s="1" t="str">
        <f>HYPERLINK("https://vegkart.atlas.vegvesen.no/#/@236559.4,6562510.4,18/hva:hva%5B0%5D%5Bfilter%5D%5B0%5D%5Boperator%5D=%21%3D&amp;hva%5B0%5D%5Bfilter%5D%5B0%5D%5Btype_id%5D=9427&amp;hva%5B0%5D%5Bfilter%5D%5B0%5D%5Bverdi%5D=&amp;hva%5B0%5D%5Bid%5D=25/når:2023-05-31", "Vegkart")</f>
        <v>Vegkart</v>
      </c>
      <c r="B1562">
        <v>673643426</v>
      </c>
      <c r="C1562">
        <v>25</v>
      </c>
      <c r="D1562" t="s">
        <v>4290</v>
      </c>
      <c r="E1562">
        <v>9427</v>
      </c>
      <c r="F1562" t="s">
        <v>23479</v>
      </c>
      <c r="G1562">
        <v>3</v>
      </c>
      <c r="H1562" t="s">
        <v>4298</v>
      </c>
      <c r="J1562" t="s">
        <v>5159</v>
      </c>
      <c r="K1562" t="s">
        <v>81</v>
      </c>
      <c r="L1562" t="s">
        <v>33</v>
      </c>
      <c r="M1562" t="s">
        <v>1936</v>
      </c>
      <c r="N1562" t="s">
        <v>5239</v>
      </c>
      <c r="O1562" t="s">
        <v>5240</v>
      </c>
      <c r="P1562" s="2" t="s">
        <v>37</v>
      </c>
      <c r="Q1562" t="s">
        <v>1208</v>
      </c>
      <c r="R1562">
        <v>0</v>
      </c>
      <c r="S1562">
        <v>14.18</v>
      </c>
      <c r="T1562" t="s">
        <v>5241</v>
      </c>
    </row>
    <row r="1563" spans="1:20" x14ac:dyDescent="0.25">
      <c r="A1563" s="1" t="str">
        <f>HYPERLINK("https://vegkart.atlas.vegvesen.no/#/@252728.7,6629807.3,18/hva:hva%5B0%5D%5Bfilter%5D%5B0%5D%5Boperator%5D=%21%3D&amp;hva%5B0%5D%5Bfilter%5D%5B0%5D%5Btype_id%5D=9427&amp;hva%5B0%5D%5Bfilter%5D%5B0%5D%5Bverdi%5D=&amp;hva%5B0%5D%5Bid%5D=25/når:2025-11-05", "Vegkart")</f>
        <v>Vegkart</v>
      </c>
      <c r="B1563">
        <v>675237991</v>
      </c>
      <c r="C1563">
        <v>25</v>
      </c>
      <c r="D1563" t="s">
        <v>4290</v>
      </c>
      <c r="E1563">
        <v>9427</v>
      </c>
      <c r="F1563" t="s">
        <v>23479</v>
      </c>
      <c r="G1563">
        <v>2</v>
      </c>
      <c r="H1563" t="s">
        <v>5242</v>
      </c>
      <c r="J1563" t="s">
        <v>5159</v>
      </c>
      <c r="K1563" t="s">
        <v>132</v>
      </c>
      <c r="L1563" t="s">
        <v>33</v>
      </c>
      <c r="M1563" t="s">
        <v>5243</v>
      </c>
      <c r="N1563" t="s">
        <v>5244</v>
      </c>
      <c r="O1563" t="s">
        <v>5245</v>
      </c>
      <c r="P1563" s="2" t="s">
        <v>165</v>
      </c>
      <c r="Q1563" t="s">
        <v>166</v>
      </c>
      <c r="R1563">
        <v>3.25</v>
      </c>
      <c r="S1563">
        <v>6.92</v>
      </c>
      <c r="T1563" t="s">
        <v>167</v>
      </c>
    </row>
    <row r="1564" spans="1:20" x14ac:dyDescent="0.25">
      <c r="A1564" s="1" t="str">
        <f>HYPERLINK("https://vegkart.atlas.vegvesen.no/#/@238066.7,6575837.3,18/hva:hva%5B0%5D%5Bfilter%5D%5B0%5D%5Boperator%5D=%21%3D&amp;hva%5B0%5D%5Bfilter%5D%5B0%5D%5Btype_id%5D=9427&amp;hva%5B0%5D%5Bfilter%5D%5B0%5D%5Bverdi%5D=&amp;hva%5B0%5D%5Bid%5D=25/når:2023-05-31", "Vegkart")</f>
        <v>Vegkart</v>
      </c>
      <c r="B1564">
        <v>675301993</v>
      </c>
      <c r="C1564">
        <v>25</v>
      </c>
      <c r="D1564" t="s">
        <v>4290</v>
      </c>
      <c r="E1564">
        <v>9427</v>
      </c>
      <c r="F1564" t="s">
        <v>23479</v>
      </c>
      <c r="G1564">
        <v>3</v>
      </c>
      <c r="H1564" t="s">
        <v>4298</v>
      </c>
      <c r="J1564" t="s">
        <v>5159</v>
      </c>
      <c r="K1564" t="s">
        <v>81</v>
      </c>
      <c r="L1564" t="s">
        <v>33</v>
      </c>
      <c r="M1564" t="s">
        <v>1940</v>
      </c>
      <c r="N1564" t="s">
        <v>5246</v>
      </c>
      <c r="O1564" t="s">
        <v>5247</v>
      </c>
      <c r="P1564" s="2" t="s">
        <v>37</v>
      </c>
      <c r="Q1564" t="s">
        <v>1208</v>
      </c>
      <c r="R1564">
        <v>0</v>
      </c>
      <c r="S1564">
        <v>20.76</v>
      </c>
      <c r="T1564" t="s">
        <v>5248</v>
      </c>
    </row>
    <row r="1565" spans="1:20" x14ac:dyDescent="0.25">
      <c r="A1565" s="1" t="str">
        <f>HYPERLINK("https://vegkart.atlas.vegvesen.no/#/@238092.7,6575831.4,18/hva:hva%5B0%5D%5Bfilter%5D%5B0%5D%5Boperator%5D=%21%3D&amp;hva%5B0%5D%5Bfilter%5D%5B0%5D%5Btype_id%5D=9427&amp;hva%5B0%5D%5Bfilter%5D%5B0%5D%5Bverdi%5D=&amp;hva%5B0%5D%5Bid%5D=25/når:2023-05-31", "Vegkart")</f>
        <v>Vegkart</v>
      </c>
      <c r="B1565">
        <v>675302009</v>
      </c>
      <c r="C1565">
        <v>25</v>
      </c>
      <c r="D1565" t="s">
        <v>4290</v>
      </c>
      <c r="E1565">
        <v>9427</v>
      </c>
      <c r="F1565" t="s">
        <v>23479</v>
      </c>
      <c r="G1565">
        <v>3</v>
      </c>
      <c r="H1565" t="s">
        <v>4298</v>
      </c>
      <c r="J1565" t="s">
        <v>5159</v>
      </c>
      <c r="K1565" t="s">
        <v>81</v>
      </c>
      <c r="L1565" t="s">
        <v>33</v>
      </c>
      <c r="M1565" t="s">
        <v>1940</v>
      </c>
      <c r="N1565" t="s">
        <v>5249</v>
      </c>
      <c r="O1565" t="s">
        <v>5250</v>
      </c>
      <c r="P1565" s="2" t="s">
        <v>37</v>
      </c>
      <c r="Q1565" t="s">
        <v>1208</v>
      </c>
      <c r="R1565">
        <v>0</v>
      </c>
      <c r="S1565">
        <v>14.07</v>
      </c>
      <c r="T1565" t="s">
        <v>5251</v>
      </c>
    </row>
    <row r="1566" spans="1:20" x14ac:dyDescent="0.25">
      <c r="A1566" s="1" t="str">
        <f>HYPERLINK("https://vegkart.atlas.vegvesen.no/#/@238130.4,6575412.8,18/hva:hva%5B0%5D%5Bfilter%5D%5B0%5D%5Boperator%5D=%21%3D&amp;hva%5B0%5D%5Bfilter%5D%5B0%5D%5Btype_id%5D=9427&amp;hva%5B0%5D%5Bfilter%5D%5B0%5D%5Bverdi%5D=&amp;hva%5B0%5D%5Bid%5D=25/når:2023-05-31", "Vegkart")</f>
        <v>Vegkart</v>
      </c>
      <c r="B1566">
        <v>675302042</v>
      </c>
      <c r="C1566">
        <v>25</v>
      </c>
      <c r="D1566" t="s">
        <v>4290</v>
      </c>
      <c r="E1566">
        <v>9427</v>
      </c>
      <c r="F1566" t="s">
        <v>23479</v>
      </c>
      <c r="G1566">
        <v>3</v>
      </c>
      <c r="H1566" t="s">
        <v>4298</v>
      </c>
      <c r="J1566" t="s">
        <v>5159</v>
      </c>
      <c r="K1566" t="s">
        <v>81</v>
      </c>
      <c r="L1566" t="s">
        <v>33</v>
      </c>
      <c r="M1566" t="s">
        <v>1940</v>
      </c>
      <c r="N1566" t="s">
        <v>5252</v>
      </c>
      <c r="O1566" t="s">
        <v>5253</v>
      </c>
      <c r="P1566" s="2" t="s">
        <v>37</v>
      </c>
      <c r="Q1566" t="s">
        <v>1208</v>
      </c>
      <c r="R1566">
        <v>0</v>
      </c>
      <c r="S1566">
        <v>12.8</v>
      </c>
      <c r="T1566" t="s">
        <v>5254</v>
      </c>
    </row>
    <row r="1567" spans="1:20" x14ac:dyDescent="0.25">
      <c r="A1567" s="1" t="str">
        <f>HYPERLINK("https://vegkart.atlas.vegvesen.no/#/@238140.4,6574976.6,18/hva:hva%5B0%5D%5Bfilter%5D%5B0%5D%5Boperator%5D=%21%3D&amp;hva%5B0%5D%5Bfilter%5D%5B0%5D%5Btype_id%5D=9427&amp;hva%5B0%5D%5Bfilter%5D%5B0%5D%5Bverdi%5D=&amp;hva%5B0%5D%5Bid%5D=25/når:2023-05-31", "Vegkart")</f>
        <v>Vegkart</v>
      </c>
      <c r="B1567">
        <v>675302058</v>
      </c>
      <c r="C1567">
        <v>25</v>
      </c>
      <c r="D1567" t="s">
        <v>4290</v>
      </c>
      <c r="E1567">
        <v>9427</v>
      </c>
      <c r="F1567" t="s">
        <v>23479</v>
      </c>
      <c r="G1567">
        <v>3</v>
      </c>
      <c r="H1567" t="s">
        <v>4298</v>
      </c>
      <c r="J1567" t="s">
        <v>5159</v>
      </c>
      <c r="K1567" t="s">
        <v>81</v>
      </c>
      <c r="L1567" t="s">
        <v>33</v>
      </c>
      <c r="M1567" t="s">
        <v>1940</v>
      </c>
      <c r="N1567" t="s">
        <v>5255</v>
      </c>
      <c r="O1567" t="s">
        <v>5256</v>
      </c>
      <c r="P1567" s="2" t="s">
        <v>37</v>
      </c>
      <c r="Q1567" t="s">
        <v>1208</v>
      </c>
      <c r="R1567">
        <v>0</v>
      </c>
      <c r="S1567">
        <v>10.76</v>
      </c>
      <c r="T1567" t="s">
        <v>5257</v>
      </c>
    </row>
    <row r="1568" spans="1:20" x14ac:dyDescent="0.25">
      <c r="A1568" s="1" t="str">
        <f>HYPERLINK("https://vegkart.atlas.vegvesen.no/#/@237959.5,6574055.7,18/hva:hva%5B0%5D%5Bfilter%5D%5B0%5D%5Boperator%5D=%21%3D&amp;hva%5B0%5D%5Bfilter%5D%5B0%5D%5Btype_id%5D=9427&amp;hva%5B0%5D%5Bfilter%5D%5B0%5D%5Bverdi%5D=&amp;hva%5B0%5D%5Bid%5D=25/når:2023-05-31", "Vegkart")</f>
        <v>Vegkart</v>
      </c>
      <c r="B1568">
        <v>675302132</v>
      </c>
      <c r="C1568">
        <v>25</v>
      </c>
      <c r="D1568" t="s">
        <v>4290</v>
      </c>
      <c r="E1568">
        <v>9427</v>
      </c>
      <c r="F1568" t="s">
        <v>23479</v>
      </c>
      <c r="G1568">
        <v>3</v>
      </c>
      <c r="H1568" t="s">
        <v>4298</v>
      </c>
      <c r="J1568" t="s">
        <v>5159</v>
      </c>
      <c r="K1568" t="s">
        <v>81</v>
      </c>
      <c r="L1568" t="s">
        <v>33</v>
      </c>
      <c r="M1568" t="s">
        <v>1940</v>
      </c>
      <c r="N1568" t="s">
        <v>5258</v>
      </c>
      <c r="O1568" t="s">
        <v>5259</v>
      </c>
      <c r="P1568" s="2" t="s">
        <v>37</v>
      </c>
      <c r="Q1568" t="s">
        <v>1208</v>
      </c>
      <c r="R1568">
        <v>0</v>
      </c>
      <c r="S1568">
        <v>14.16</v>
      </c>
      <c r="T1568" t="s">
        <v>5260</v>
      </c>
    </row>
    <row r="1569" spans="1:20" x14ac:dyDescent="0.25">
      <c r="A1569" s="1" t="str">
        <f>HYPERLINK("https://vegkart.atlas.vegvesen.no/#/@237667.3,6570833.6,18/hva:hva%5B0%5D%5Bfilter%5D%5B0%5D%5Boperator%5D=%21%3D&amp;hva%5B0%5D%5Bfilter%5D%5B0%5D%5Btype_id%5D=9427&amp;hva%5B0%5D%5Bfilter%5D%5B0%5D%5Bverdi%5D=&amp;hva%5B0%5D%5Bid%5D=25/når:2023-05-31", "Vegkart")</f>
        <v>Vegkart</v>
      </c>
      <c r="B1569">
        <v>675302248</v>
      </c>
      <c r="C1569">
        <v>25</v>
      </c>
      <c r="D1569" t="s">
        <v>4290</v>
      </c>
      <c r="E1569">
        <v>9427</v>
      </c>
      <c r="F1569" t="s">
        <v>23479</v>
      </c>
      <c r="G1569">
        <v>3</v>
      </c>
      <c r="H1569" t="s">
        <v>4298</v>
      </c>
      <c r="J1569" t="s">
        <v>5159</v>
      </c>
      <c r="K1569" t="s">
        <v>81</v>
      </c>
      <c r="L1569" t="s">
        <v>33</v>
      </c>
      <c r="M1569" t="s">
        <v>1940</v>
      </c>
      <c r="N1569" t="s">
        <v>5261</v>
      </c>
      <c r="O1569" t="s">
        <v>5262</v>
      </c>
      <c r="P1569" s="2" t="s">
        <v>37</v>
      </c>
      <c r="Q1569" t="s">
        <v>1208</v>
      </c>
      <c r="R1569">
        <v>0</v>
      </c>
      <c r="S1569">
        <v>11.32</v>
      </c>
      <c r="T1569" t="s">
        <v>5263</v>
      </c>
    </row>
    <row r="1570" spans="1:20" x14ac:dyDescent="0.25">
      <c r="A1570" s="1" t="str">
        <f>HYPERLINK("https://vegkart.atlas.vegvesen.no/#/@238684.9,6577508.2,18/hva:hva%5B0%5D%5Bfilter%5D%5B0%5D%5Boperator%5D=%21%3D&amp;hva%5B0%5D%5Bfilter%5D%5B0%5D%5Btype_id%5D=9427&amp;hva%5B0%5D%5Bfilter%5D%5B0%5D%5Bverdi%5D=&amp;hva%5B0%5D%5Bid%5D=25/når:2023-05-31", "Vegkart")</f>
        <v>Vegkart</v>
      </c>
      <c r="B1570">
        <v>675613758</v>
      </c>
      <c r="C1570">
        <v>25</v>
      </c>
      <c r="D1570" t="s">
        <v>4290</v>
      </c>
      <c r="E1570">
        <v>9427</v>
      </c>
      <c r="F1570" t="s">
        <v>23479</v>
      </c>
      <c r="G1570">
        <v>3</v>
      </c>
      <c r="H1570" t="s">
        <v>4298</v>
      </c>
      <c r="J1570" t="s">
        <v>5159</v>
      </c>
      <c r="K1570" t="s">
        <v>81</v>
      </c>
      <c r="L1570" t="s">
        <v>33</v>
      </c>
      <c r="M1570" t="s">
        <v>1940</v>
      </c>
      <c r="N1570" t="s">
        <v>5264</v>
      </c>
      <c r="O1570" t="s">
        <v>5265</v>
      </c>
      <c r="P1570" s="2" t="s">
        <v>37</v>
      </c>
      <c r="Q1570" t="s">
        <v>1208</v>
      </c>
      <c r="R1570">
        <v>0</v>
      </c>
      <c r="S1570">
        <v>13.77</v>
      </c>
      <c r="T1570" t="s">
        <v>5266</v>
      </c>
    </row>
    <row r="1571" spans="1:20" x14ac:dyDescent="0.25">
      <c r="A1571" s="1" t="str">
        <f>HYPERLINK("https://vegkart.atlas.vegvesen.no/#/@239701.1,6585920.3,18/hva:hva%5B0%5D%5Bfilter%5D%5B0%5D%5Boperator%5D=%21%3D&amp;hva%5B0%5D%5Bfilter%5D%5B0%5D%5Btype_id%5D=9427&amp;hva%5B0%5D%5Bfilter%5D%5B0%5D%5Bverdi%5D=&amp;hva%5B0%5D%5Bid%5D=25/når:2023-05-31", "Vegkart")</f>
        <v>Vegkart</v>
      </c>
      <c r="B1571">
        <v>675826017</v>
      </c>
      <c r="C1571">
        <v>25</v>
      </c>
      <c r="D1571" t="s">
        <v>4290</v>
      </c>
      <c r="E1571">
        <v>9427</v>
      </c>
      <c r="F1571" t="s">
        <v>23479</v>
      </c>
      <c r="G1571">
        <v>2</v>
      </c>
      <c r="H1571" t="s">
        <v>4298</v>
      </c>
      <c r="J1571" t="s">
        <v>5159</v>
      </c>
      <c r="K1571" t="s">
        <v>81</v>
      </c>
      <c r="L1571" t="s">
        <v>33</v>
      </c>
      <c r="M1571" t="s">
        <v>4461</v>
      </c>
      <c r="N1571" t="s">
        <v>5267</v>
      </c>
      <c r="O1571" t="s">
        <v>5268</v>
      </c>
      <c r="P1571" s="2" t="s">
        <v>37</v>
      </c>
      <c r="Q1571" t="s">
        <v>1208</v>
      </c>
      <c r="R1571">
        <v>0</v>
      </c>
      <c r="S1571">
        <v>8.8800000000000008</v>
      </c>
      <c r="T1571" t="s">
        <v>5269</v>
      </c>
    </row>
    <row r="1572" spans="1:20" x14ac:dyDescent="0.25">
      <c r="A1572" s="1" t="str">
        <f>HYPERLINK("https://vegkart.atlas.vegvesen.no/#/@238460.1,6578066.3,18/hva:hva%5B0%5D%5Bfilter%5D%5B0%5D%5Boperator%5D=%21%3D&amp;hva%5B0%5D%5Bfilter%5D%5B0%5D%5Btype_id%5D=9427&amp;hva%5B0%5D%5Bfilter%5D%5B0%5D%5Bverdi%5D=&amp;hva%5B0%5D%5Bid%5D=25/når:2023-05-31", "Vegkart")</f>
        <v>Vegkart</v>
      </c>
      <c r="B1572">
        <v>676710997</v>
      </c>
      <c r="C1572">
        <v>25</v>
      </c>
      <c r="D1572" t="s">
        <v>4290</v>
      </c>
      <c r="E1572">
        <v>9427</v>
      </c>
      <c r="F1572" t="s">
        <v>23479</v>
      </c>
      <c r="G1572">
        <v>3</v>
      </c>
      <c r="H1572" t="s">
        <v>4298</v>
      </c>
      <c r="J1572" t="s">
        <v>5159</v>
      </c>
      <c r="K1572" t="s">
        <v>81</v>
      </c>
      <c r="L1572" t="s">
        <v>33</v>
      </c>
      <c r="M1572" t="s">
        <v>4536</v>
      </c>
      <c r="N1572" t="s">
        <v>5270</v>
      </c>
      <c r="O1572" t="s">
        <v>5271</v>
      </c>
      <c r="P1572" s="2" t="s">
        <v>37</v>
      </c>
      <c r="Q1572" t="s">
        <v>1208</v>
      </c>
      <c r="R1572">
        <v>0</v>
      </c>
      <c r="S1572">
        <v>13.55</v>
      </c>
      <c r="T1572" t="s">
        <v>5272</v>
      </c>
    </row>
    <row r="1573" spans="1:20" x14ac:dyDescent="0.25">
      <c r="A1573" s="1" t="str">
        <f>HYPERLINK("https://vegkart.atlas.vegvesen.no/#/@238070.4,6578391.6,18/hva:hva%5B0%5D%5Bfilter%5D%5B0%5D%5Boperator%5D=%21%3D&amp;hva%5B0%5D%5Bfilter%5D%5B0%5D%5Btype_id%5D=9427&amp;hva%5B0%5D%5Bfilter%5D%5B0%5D%5Bverdi%5D=&amp;hva%5B0%5D%5Bid%5D=25/når:2023-05-31", "Vegkart")</f>
        <v>Vegkart</v>
      </c>
      <c r="B1573">
        <v>676711174</v>
      </c>
      <c r="C1573">
        <v>25</v>
      </c>
      <c r="D1573" t="s">
        <v>4290</v>
      </c>
      <c r="E1573">
        <v>9427</v>
      </c>
      <c r="F1573" t="s">
        <v>23479</v>
      </c>
      <c r="G1573">
        <v>3</v>
      </c>
      <c r="H1573" t="s">
        <v>4298</v>
      </c>
      <c r="J1573" t="s">
        <v>5159</v>
      </c>
      <c r="K1573" t="s">
        <v>81</v>
      </c>
      <c r="L1573" t="s">
        <v>33</v>
      </c>
      <c r="M1573" t="s">
        <v>4536</v>
      </c>
      <c r="N1573" t="s">
        <v>5273</v>
      </c>
      <c r="O1573" t="s">
        <v>5274</v>
      </c>
      <c r="P1573" s="2" t="s">
        <v>37</v>
      </c>
      <c r="Q1573" t="s">
        <v>1208</v>
      </c>
      <c r="R1573">
        <v>0</v>
      </c>
      <c r="S1573">
        <v>7.75</v>
      </c>
      <c r="T1573" t="s">
        <v>5275</v>
      </c>
    </row>
    <row r="1574" spans="1:20" x14ac:dyDescent="0.25">
      <c r="A1574" s="1" t="str">
        <f>HYPERLINK("https://vegkart.atlas.vegvesen.no/#/@239746.5,6585974.3,18/hva:hva%5B0%5D%5Bfilter%5D%5B0%5D%5Boperator%5D=%21%3D&amp;hva%5B0%5D%5Bfilter%5D%5B0%5D%5Btype_id%5D=9427&amp;hva%5B0%5D%5Bfilter%5D%5B0%5D%5Bverdi%5D=&amp;hva%5B0%5D%5Bid%5D=25/når:2023-05-31", "Vegkart")</f>
        <v>Vegkart</v>
      </c>
      <c r="B1574">
        <v>677425228</v>
      </c>
      <c r="C1574">
        <v>25</v>
      </c>
      <c r="D1574" t="s">
        <v>4290</v>
      </c>
      <c r="E1574">
        <v>9427</v>
      </c>
      <c r="F1574" t="s">
        <v>23479</v>
      </c>
      <c r="G1574">
        <v>2</v>
      </c>
      <c r="H1574" t="s">
        <v>4298</v>
      </c>
      <c r="J1574" t="s">
        <v>5159</v>
      </c>
      <c r="K1574" t="s">
        <v>81</v>
      </c>
      <c r="L1574" t="s">
        <v>33</v>
      </c>
      <c r="M1574" t="s">
        <v>4461</v>
      </c>
      <c r="N1574" t="s">
        <v>5276</v>
      </c>
      <c r="O1574" t="s">
        <v>5277</v>
      </c>
      <c r="P1574" s="2" t="s">
        <v>37</v>
      </c>
      <c r="Q1574" t="s">
        <v>1208</v>
      </c>
      <c r="R1574">
        <v>0</v>
      </c>
      <c r="S1574">
        <v>15.49</v>
      </c>
      <c r="T1574" t="s">
        <v>5278</v>
      </c>
    </row>
    <row r="1575" spans="1:20" x14ac:dyDescent="0.25">
      <c r="A1575" s="1" t="str">
        <f>HYPERLINK("https://vegkart.atlas.vegvesen.no/#/@242214.6,6596053.3,18/hva:hva%5B0%5D%5Bfilter%5D%5B0%5D%5Boperator%5D=%21%3D&amp;hva%5B0%5D%5Bfilter%5D%5B0%5D%5Btype_id%5D=9427&amp;hva%5B0%5D%5Bfilter%5D%5B0%5D%5Bverdi%5D=&amp;hva%5B0%5D%5Bid%5D=25/når:2023-05-31", "Vegkart")</f>
        <v>Vegkart</v>
      </c>
      <c r="B1575">
        <v>677949897</v>
      </c>
      <c r="C1575">
        <v>25</v>
      </c>
      <c r="D1575" t="s">
        <v>4290</v>
      </c>
      <c r="E1575">
        <v>9427</v>
      </c>
      <c r="F1575" t="s">
        <v>23479</v>
      </c>
      <c r="G1575">
        <v>3</v>
      </c>
      <c r="H1575" t="s">
        <v>4298</v>
      </c>
      <c r="J1575" t="s">
        <v>5159</v>
      </c>
      <c r="K1575" t="s">
        <v>81</v>
      </c>
      <c r="L1575" t="s">
        <v>33</v>
      </c>
      <c r="M1575" t="s">
        <v>5279</v>
      </c>
      <c r="N1575" t="s">
        <v>5280</v>
      </c>
      <c r="O1575" t="s">
        <v>5281</v>
      </c>
      <c r="P1575" s="2" t="s">
        <v>37</v>
      </c>
      <c r="Q1575" t="s">
        <v>1208</v>
      </c>
      <c r="R1575">
        <v>0</v>
      </c>
      <c r="S1575">
        <v>10.75</v>
      </c>
      <c r="T1575" t="s">
        <v>5282</v>
      </c>
    </row>
    <row r="1576" spans="1:20" x14ac:dyDescent="0.25">
      <c r="A1576" s="1" t="str">
        <f>HYPERLINK("https://vegkart.atlas.vegvesen.no/#/@242254.8,6581431.1,18/hva:hva%5B0%5D%5Bfilter%5D%5B0%5D%5Boperator%5D=%21%3D&amp;hva%5B0%5D%5Bfilter%5D%5B0%5D%5Btype_id%5D=9427&amp;hva%5B0%5D%5Bfilter%5D%5B0%5D%5Bverdi%5D=&amp;hva%5B0%5D%5Bid%5D=25/når:2023-05-31", "Vegkart")</f>
        <v>Vegkart</v>
      </c>
      <c r="B1576">
        <v>678091295</v>
      </c>
      <c r="C1576">
        <v>25</v>
      </c>
      <c r="D1576" t="s">
        <v>4290</v>
      </c>
      <c r="E1576">
        <v>9427</v>
      </c>
      <c r="F1576" t="s">
        <v>23479</v>
      </c>
      <c r="G1576">
        <v>4</v>
      </c>
      <c r="H1576" t="s">
        <v>4298</v>
      </c>
      <c r="J1576" t="s">
        <v>5159</v>
      </c>
      <c r="K1576" t="s">
        <v>81</v>
      </c>
      <c r="L1576" t="s">
        <v>33</v>
      </c>
      <c r="M1576" t="s">
        <v>1944</v>
      </c>
      <c r="N1576" t="s">
        <v>5283</v>
      </c>
      <c r="O1576" t="s">
        <v>5284</v>
      </c>
      <c r="P1576" s="2" t="s">
        <v>165</v>
      </c>
      <c r="Q1576" t="s">
        <v>166</v>
      </c>
      <c r="R1576">
        <v>0.09</v>
      </c>
      <c r="S1576">
        <v>10.32</v>
      </c>
      <c r="T1576" t="s">
        <v>167</v>
      </c>
    </row>
    <row r="1577" spans="1:20" x14ac:dyDescent="0.25">
      <c r="A1577" s="1" t="str">
        <f>HYPERLINK("https://vegkart.atlas.vegvesen.no/#/@241615.8,6580103.1,18/hva:hva%5B0%5D%5Bfilter%5D%5B0%5D%5Boperator%5D=%21%3D&amp;hva%5B0%5D%5Bfilter%5D%5B0%5D%5Btype_id%5D=9427&amp;hva%5B0%5D%5Bfilter%5D%5B0%5D%5Bverdi%5D=&amp;hva%5B0%5D%5Bid%5D=25/når:2023-05-31", "Vegkart")</f>
        <v>Vegkart</v>
      </c>
      <c r="B1577">
        <v>678238900</v>
      </c>
      <c r="C1577">
        <v>25</v>
      </c>
      <c r="D1577" t="s">
        <v>4290</v>
      </c>
      <c r="E1577">
        <v>9427</v>
      </c>
      <c r="F1577" t="s">
        <v>23479</v>
      </c>
      <c r="G1577">
        <v>3</v>
      </c>
      <c r="H1577" t="s">
        <v>4298</v>
      </c>
      <c r="J1577" t="s">
        <v>5159</v>
      </c>
      <c r="K1577" t="s">
        <v>81</v>
      </c>
      <c r="L1577" t="s">
        <v>33</v>
      </c>
      <c r="M1577" t="s">
        <v>5285</v>
      </c>
      <c r="N1577" t="s">
        <v>5286</v>
      </c>
      <c r="O1577" t="s">
        <v>5287</v>
      </c>
      <c r="P1577" s="2" t="s">
        <v>37</v>
      </c>
      <c r="Q1577" t="s">
        <v>1208</v>
      </c>
      <c r="R1577">
        <v>0</v>
      </c>
      <c r="S1577">
        <v>12.35</v>
      </c>
      <c r="T1577" t="s">
        <v>5288</v>
      </c>
    </row>
    <row r="1578" spans="1:20" x14ac:dyDescent="0.25">
      <c r="A1578" s="1" t="str">
        <f>HYPERLINK("https://vegkart.atlas.vegvesen.no/#/@214879.4,6551493.2,18/hva:hva%5B0%5D%5Bfilter%5D%5B0%5D%5Boperator%5D=%21%3D&amp;hva%5B0%5D%5Bfilter%5D%5B0%5D%5Btype_id%5D=9427&amp;hva%5B0%5D%5Bfilter%5D%5B0%5D%5Bverdi%5D=&amp;hva%5B0%5D%5Bid%5D=25/når:2023-05-31", "Vegkart")</f>
        <v>Vegkart</v>
      </c>
      <c r="B1578">
        <v>678925609</v>
      </c>
      <c r="C1578">
        <v>25</v>
      </c>
      <c r="D1578" t="s">
        <v>4290</v>
      </c>
      <c r="E1578">
        <v>9427</v>
      </c>
      <c r="F1578" t="s">
        <v>23479</v>
      </c>
      <c r="G1578">
        <v>3</v>
      </c>
      <c r="H1578" t="s">
        <v>4298</v>
      </c>
      <c r="J1578" t="s">
        <v>5159</v>
      </c>
      <c r="K1578" t="s">
        <v>81</v>
      </c>
      <c r="L1578" t="s">
        <v>33</v>
      </c>
      <c r="M1578" t="s">
        <v>1958</v>
      </c>
      <c r="N1578" t="s">
        <v>5289</v>
      </c>
      <c r="O1578" t="s">
        <v>5290</v>
      </c>
      <c r="P1578" s="2" t="s">
        <v>37</v>
      </c>
      <c r="Q1578" t="s">
        <v>1208</v>
      </c>
      <c r="R1578">
        <v>0</v>
      </c>
      <c r="S1578">
        <v>11.68</v>
      </c>
      <c r="T1578" t="s">
        <v>5291</v>
      </c>
    </row>
    <row r="1579" spans="1:20" x14ac:dyDescent="0.25">
      <c r="A1579" s="1" t="str">
        <f>HYPERLINK("https://vegkart.atlas.vegvesen.no/#/@240542.5,6569275.5,18/hva:hva%5B0%5D%5Bfilter%5D%5B0%5D%5Boperator%5D=%21%3D&amp;hva%5B0%5D%5Bfilter%5D%5B0%5D%5Btype_id%5D=9427&amp;hva%5B0%5D%5Bfilter%5D%5B0%5D%5Bverdi%5D=&amp;hva%5B0%5D%5Bid%5D=25/når:2023-05-31", "Vegkart")</f>
        <v>Vegkart</v>
      </c>
      <c r="B1579">
        <v>679044940</v>
      </c>
      <c r="C1579">
        <v>25</v>
      </c>
      <c r="D1579" t="s">
        <v>4290</v>
      </c>
      <c r="E1579">
        <v>9427</v>
      </c>
      <c r="F1579" t="s">
        <v>23479</v>
      </c>
      <c r="G1579">
        <v>3</v>
      </c>
      <c r="H1579" t="s">
        <v>4298</v>
      </c>
      <c r="J1579" t="s">
        <v>5159</v>
      </c>
      <c r="K1579" t="s">
        <v>81</v>
      </c>
      <c r="L1579" t="s">
        <v>22</v>
      </c>
      <c r="M1579" t="s">
        <v>5292</v>
      </c>
      <c r="N1579" t="s">
        <v>5293</v>
      </c>
      <c r="O1579" t="s">
        <v>5294</v>
      </c>
      <c r="P1579" s="2" t="s">
        <v>37</v>
      </c>
      <c r="Q1579" t="s">
        <v>1208</v>
      </c>
      <c r="R1579">
        <v>0</v>
      </c>
      <c r="S1579">
        <v>11.46</v>
      </c>
      <c r="T1579" t="s">
        <v>5295</v>
      </c>
    </row>
    <row r="1580" spans="1:20" x14ac:dyDescent="0.25">
      <c r="A1580" s="1" t="str">
        <f>HYPERLINK("https://vegkart.atlas.vegvesen.no/#/@243814.1,6584309.8,18/hva:hva%5B0%5D%5Bfilter%5D%5B0%5D%5Boperator%5D=%21%3D&amp;hva%5B0%5D%5Bfilter%5D%5B0%5D%5Btype_id%5D=9427&amp;hva%5B0%5D%5Bfilter%5D%5B0%5D%5Bverdi%5D=&amp;hva%5B0%5D%5Bid%5D=25/når:2023-05-31", "Vegkart")</f>
        <v>Vegkart</v>
      </c>
      <c r="B1580">
        <v>681326325</v>
      </c>
      <c r="C1580">
        <v>25</v>
      </c>
      <c r="D1580" t="s">
        <v>4290</v>
      </c>
      <c r="E1580">
        <v>9427</v>
      </c>
      <c r="F1580" t="s">
        <v>23479</v>
      </c>
      <c r="G1580">
        <v>3</v>
      </c>
      <c r="H1580" t="s">
        <v>4298</v>
      </c>
      <c r="J1580" t="s">
        <v>5159</v>
      </c>
      <c r="K1580" t="s">
        <v>81</v>
      </c>
      <c r="L1580" t="s">
        <v>33</v>
      </c>
      <c r="M1580" t="s">
        <v>1944</v>
      </c>
      <c r="N1580" t="s">
        <v>5296</v>
      </c>
      <c r="O1580" t="s">
        <v>5297</v>
      </c>
      <c r="P1580" s="2" t="s">
        <v>37</v>
      </c>
      <c r="Q1580" t="s">
        <v>1208</v>
      </c>
      <c r="R1580">
        <v>0</v>
      </c>
      <c r="S1580">
        <v>11.59</v>
      </c>
      <c r="T1580" t="s">
        <v>5298</v>
      </c>
    </row>
    <row r="1581" spans="1:20" x14ac:dyDescent="0.25">
      <c r="A1581" s="1" t="str">
        <f>HYPERLINK("https://vegkart.atlas.vegvesen.no/#/@243179.5,6577830.7,18/hva:hva%5B0%5D%5Bfilter%5D%5B0%5D%5Boperator%5D=%21%3D&amp;hva%5B0%5D%5Bfilter%5D%5B0%5D%5Btype_id%5D=9427&amp;hva%5B0%5D%5Bfilter%5D%5B0%5D%5Bverdi%5D=&amp;hva%5B0%5D%5Bid%5D=25/når:2023-05-31", "Vegkart")</f>
        <v>Vegkart</v>
      </c>
      <c r="B1581">
        <v>682985711</v>
      </c>
      <c r="C1581">
        <v>25</v>
      </c>
      <c r="D1581" t="s">
        <v>4290</v>
      </c>
      <c r="E1581">
        <v>9427</v>
      </c>
      <c r="F1581" t="s">
        <v>23479</v>
      </c>
      <c r="G1581">
        <v>4</v>
      </c>
      <c r="H1581" t="s">
        <v>4298</v>
      </c>
      <c r="J1581" t="s">
        <v>5159</v>
      </c>
      <c r="K1581" t="s">
        <v>81</v>
      </c>
      <c r="L1581" t="s">
        <v>33</v>
      </c>
      <c r="M1581" t="s">
        <v>1916</v>
      </c>
      <c r="N1581" t="s">
        <v>5299</v>
      </c>
      <c r="O1581" t="s">
        <v>5300</v>
      </c>
      <c r="P1581" s="2" t="s">
        <v>37</v>
      </c>
      <c r="Q1581" t="s">
        <v>1208</v>
      </c>
      <c r="R1581">
        <v>0</v>
      </c>
      <c r="S1581">
        <v>12.88</v>
      </c>
      <c r="T1581" t="s">
        <v>5301</v>
      </c>
    </row>
    <row r="1582" spans="1:20" x14ac:dyDescent="0.25">
      <c r="A1582" s="1" t="str">
        <f>HYPERLINK("https://vegkart.atlas.vegvesen.no/#/@241609.5,6587934.0,18/hva:hva%5B0%5D%5Bfilter%5D%5B0%5D%5Boperator%5D=%21%3D&amp;hva%5B0%5D%5Bfilter%5D%5B0%5D%5Btype_id%5D=9427&amp;hva%5B0%5D%5Bfilter%5D%5B0%5D%5Bverdi%5D=&amp;hva%5B0%5D%5Bid%5D=25/når:2023-05-31", "Vegkart")</f>
        <v>Vegkart</v>
      </c>
      <c r="B1582">
        <v>683560065</v>
      </c>
      <c r="C1582">
        <v>25</v>
      </c>
      <c r="D1582" t="s">
        <v>4290</v>
      </c>
      <c r="E1582">
        <v>9427</v>
      </c>
      <c r="F1582" t="s">
        <v>23479</v>
      </c>
      <c r="G1582">
        <v>3</v>
      </c>
      <c r="H1582" t="s">
        <v>4298</v>
      </c>
      <c r="J1582" t="s">
        <v>5159</v>
      </c>
      <c r="K1582" t="s">
        <v>81</v>
      </c>
      <c r="L1582" t="s">
        <v>33</v>
      </c>
      <c r="M1582" t="s">
        <v>1944</v>
      </c>
      <c r="N1582" t="s">
        <v>5302</v>
      </c>
      <c r="O1582" t="s">
        <v>5303</v>
      </c>
      <c r="P1582" s="2" t="s">
        <v>37</v>
      </c>
      <c r="Q1582" t="s">
        <v>1208</v>
      </c>
      <c r="R1582">
        <v>0</v>
      </c>
      <c r="S1582">
        <v>10.11</v>
      </c>
      <c r="T1582" t="s">
        <v>5304</v>
      </c>
    </row>
    <row r="1583" spans="1:20" x14ac:dyDescent="0.25">
      <c r="A1583" s="1" t="str">
        <f>HYPERLINK("https://vegkart.atlas.vegvesen.no/#/@241242.4,6588006.0,18/hva:hva%5B0%5D%5Bfilter%5D%5B0%5D%5Boperator%5D=%21%3D&amp;hva%5B0%5D%5Bfilter%5D%5B0%5D%5Btype_id%5D=9427&amp;hva%5B0%5D%5Bfilter%5D%5B0%5D%5Bverdi%5D=&amp;hva%5B0%5D%5Bid%5D=25/når:2023-05-31", "Vegkart")</f>
        <v>Vegkart</v>
      </c>
      <c r="B1583">
        <v>683560097</v>
      </c>
      <c r="C1583">
        <v>25</v>
      </c>
      <c r="D1583" t="s">
        <v>4290</v>
      </c>
      <c r="E1583">
        <v>9427</v>
      </c>
      <c r="F1583" t="s">
        <v>23479</v>
      </c>
      <c r="G1583">
        <v>3</v>
      </c>
      <c r="H1583" t="s">
        <v>4298</v>
      </c>
      <c r="J1583" t="s">
        <v>5159</v>
      </c>
      <c r="K1583" t="s">
        <v>81</v>
      </c>
      <c r="L1583" t="s">
        <v>33</v>
      </c>
      <c r="M1583" t="s">
        <v>1944</v>
      </c>
      <c r="N1583" t="s">
        <v>5305</v>
      </c>
      <c r="O1583" t="s">
        <v>5306</v>
      </c>
      <c r="P1583" s="2" t="s">
        <v>37</v>
      </c>
      <c r="Q1583" t="s">
        <v>1208</v>
      </c>
      <c r="R1583">
        <v>0</v>
      </c>
      <c r="S1583">
        <v>10.59</v>
      </c>
      <c r="T1583" t="s">
        <v>5307</v>
      </c>
    </row>
    <row r="1584" spans="1:20" x14ac:dyDescent="0.25">
      <c r="A1584" s="1" t="str">
        <f>HYPERLINK("https://vegkart.atlas.vegvesen.no/#/@240926.8,6588066.6,18/hva:hva%5B0%5D%5Bfilter%5D%5B0%5D%5Boperator%5D=%21%3D&amp;hva%5B0%5D%5Bfilter%5D%5B0%5D%5Btype_id%5D=9427&amp;hva%5B0%5D%5Bfilter%5D%5B0%5D%5Bverdi%5D=&amp;hva%5B0%5D%5Bid%5D=25/når:2023-05-31", "Vegkart")</f>
        <v>Vegkart</v>
      </c>
      <c r="B1584">
        <v>684015793</v>
      </c>
      <c r="C1584">
        <v>25</v>
      </c>
      <c r="D1584" t="s">
        <v>4290</v>
      </c>
      <c r="E1584">
        <v>9427</v>
      </c>
      <c r="F1584" t="s">
        <v>23479</v>
      </c>
      <c r="G1584">
        <v>4</v>
      </c>
      <c r="H1584" t="s">
        <v>4298</v>
      </c>
      <c r="J1584" t="s">
        <v>5159</v>
      </c>
      <c r="K1584" t="s">
        <v>81</v>
      </c>
      <c r="L1584" t="s">
        <v>33</v>
      </c>
      <c r="M1584" t="s">
        <v>1944</v>
      </c>
      <c r="N1584" t="s">
        <v>5308</v>
      </c>
      <c r="O1584" t="s">
        <v>5309</v>
      </c>
      <c r="P1584" s="2" t="s">
        <v>37</v>
      </c>
      <c r="Q1584" t="s">
        <v>1208</v>
      </c>
      <c r="R1584">
        <v>0</v>
      </c>
      <c r="S1584">
        <v>15.78</v>
      </c>
      <c r="T1584" t="s">
        <v>5310</v>
      </c>
    </row>
    <row r="1585" spans="1:20" x14ac:dyDescent="0.25">
      <c r="A1585" s="1" t="str">
        <f>HYPERLINK("https://vegkart.atlas.vegvesen.no/#/@225949.0,6560127.0,18/hva:hva%5B0%5D%5Bfilter%5D%5B0%5D%5Boperator%5D=%21%3D&amp;hva%5B0%5D%5Bfilter%5D%5B0%5D%5Btype_id%5D=9427&amp;hva%5B0%5D%5Bfilter%5D%5B0%5D%5Bverdi%5D=&amp;hva%5B0%5D%5Bid%5D=25/når:2024-02-15", "Vegkart")</f>
        <v>Vegkart</v>
      </c>
      <c r="B1585">
        <v>687497246</v>
      </c>
      <c r="C1585">
        <v>25</v>
      </c>
      <c r="D1585" t="s">
        <v>4290</v>
      </c>
      <c r="E1585">
        <v>9427</v>
      </c>
      <c r="F1585" t="s">
        <v>23479</v>
      </c>
      <c r="G1585">
        <v>5</v>
      </c>
      <c r="H1585" t="s">
        <v>516</v>
      </c>
      <c r="J1585" t="s">
        <v>5159</v>
      </c>
      <c r="K1585" t="s">
        <v>81</v>
      </c>
      <c r="L1585" t="s">
        <v>33</v>
      </c>
      <c r="M1585" t="s">
        <v>1812</v>
      </c>
      <c r="N1585" t="s">
        <v>5311</v>
      </c>
      <c r="O1585" t="s">
        <v>5312</v>
      </c>
      <c r="P1585" s="2" t="s">
        <v>37</v>
      </c>
      <c r="Q1585" t="s">
        <v>1208</v>
      </c>
      <c r="R1585">
        <v>0</v>
      </c>
      <c r="S1585">
        <v>13.75</v>
      </c>
      <c r="T1585" t="s">
        <v>5313</v>
      </c>
    </row>
    <row r="1586" spans="1:20" x14ac:dyDescent="0.25">
      <c r="A1586" s="1" t="str">
        <f>HYPERLINK("https://vegkart.atlas.vegvesen.no/#/@225892.3,6560009.4,18/hva:hva%5B0%5D%5Bfilter%5D%5B0%5D%5Boperator%5D=%21%3D&amp;hva%5B0%5D%5Bfilter%5D%5B0%5D%5Btype_id%5D=9427&amp;hva%5B0%5D%5Bfilter%5D%5B0%5D%5Bverdi%5D=&amp;hva%5B0%5D%5Bid%5D=25/når:2024-02-14", "Vegkart")</f>
        <v>Vegkart</v>
      </c>
      <c r="B1586">
        <v>687497247</v>
      </c>
      <c r="C1586">
        <v>25</v>
      </c>
      <c r="D1586" t="s">
        <v>4290</v>
      </c>
      <c r="E1586">
        <v>9427</v>
      </c>
      <c r="F1586" t="s">
        <v>23479</v>
      </c>
      <c r="G1586">
        <v>4</v>
      </c>
      <c r="H1586" t="s">
        <v>5314</v>
      </c>
      <c r="J1586" t="s">
        <v>5159</v>
      </c>
      <c r="K1586" t="s">
        <v>81</v>
      </c>
      <c r="L1586" t="s">
        <v>33</v>
      </c>
      <c r="M1586" t="s">
        <v>1812</v>
      </c>
      <c r="N1586" t="s">
        <v>5315</v>
      </c>
      <c r="O1586" t="s">
        <v>5316</v>
      </c>
      <c r="P1586" s="2" t="s">
        <v>37</v>
      </c>
      <c r="Q1586" t="s">
        <v>1208</v>
      </c>
      <c r="R1586">
        <v>0</v>
      </c>
      <c r="S1586">
        <v>13.42</v>
      </c>
      <c r="T1586" t="s">
        <v>5317</v>
      </c>
    </row>
    <row r="1587" spans="1:20" x14ac:dyDescent="0.25">
      <c r="A1587" s="1" t="str">
        <f>HYPERLINK("https://vegkart.atlas.vegvesen.no/#/@215209.7,6556897.2,18/hva:hva%5B0%5D%5Bfilter%5D%5B0%5D%5Boperator%5D=%21%3D&amp;hva%5B0%5D%5Bfilter%5D%5B0%5D%5Btype_id%5D=9427&amp;hva%5B0%5D%5Bfilter%5D%5B0%5D%5Bverdi%5D=&amp;hva%5B0%5D%5Bid%5D=25/når:2023-05-31", "Vegkart")</f>
        <v>Vegkart</v>
      </c>
      <c r="B1587">
        <v>687497965</v>
      </c>
      <c r="C1587">
        <v>25</v>
      </c>
      <c r="D1587" t="s">
        <v>4290</v>
      </c>
      <c r="E1587">
        <v>9427</v>
      </c>
      <c r="F1587" t="s">
        <v>23479</v>
      </c>
      <c r="G1587">
        <v>3</v>
      </c>
      <c r="H1587" t="s">
        <v>4298</v>
      </c>
      <c r="J1587" t="s">
        <v>5159</v>
      </c>
      <c r="K1587" t="s">
        <v>81</v>
      </c>
      <c r="L1587" t="s">
        <v>33</v>
      </c>
      <c r="M1587" t="s">
        <v>4693</v>
      </c>
      <c r="N1587" t="s">
        <v>5318</v>
      </c>
      <c r="O1587" t="s">
        <v>5319</v>
      </c>
      <c r="P1587" s="2" t="s">
        <v>37</v>
      </c>
      <c r="Q1587" t="s">
        <v>1208</v>
      </c>
      <c r="R1587">
        <v>0</v>
      </c>
      <c r="S1587">
        <v>8.86</v>
      </c>
      <c r="T1587" t="s">
        <v>5320</v>
      </c>
    </row>
    <row r="1588" spans="1:20" x14ac:dyDescent="0.25">
      <c r="A1588" s="1" t="str">
        <f>HYPERLINK("https://vegkart.atlas.vegvesen.no/#/@215239.3,6556904.6,18/hva:hva%5B0%5D%5Bfilter%5D%5B0%5D%5Boperator%5D=%21%3D&amp;hva%5B0%5D%5Bfilter%5D%5B0%5D%5Btype_id%5D=9427&amp;hva%5B0%5D%5Bfilter%5D%5B0%5D%5Bverdi%5D=&amp;hva%5B0%5D%5Bid%5D=25/når:2023-05-31", "Vegkart")</f>
        <v>Vegkart</v>
      </c>
      <c r="B1588">
        <v>687497966</v>
      </c>
      <c r="C1588">
        <v>25</v>
      </c>
      <c r="D1588" t="s">
        <v>4290</v>
      </c>
      <c r="E1588">
        <v>9427</v>
      </c>
      <c r="F1588" t="s">
        <v>23479</v>
      </c>
      <c r="G1588">
        <v>3</v>
      </c>
      <c r="H1588" t="s">
        <v>4298</v>
      </c>
      <c r="J1588" t="s">
        <v>5159</v>
      </c>
      <c r="K1588" t="s">
        <v>81</v>
      </c>
      <c r="L1588" t="s">
        <v>33</v>
      </c>
      <c r="M1588" t="s">
        <v>4693</v>
      </c>
      <c r="N1588" t="s">
        <v>5321</v>
      </c>
      <c r="O1588" t="s">
        <v>5322</v>
      </c>
      <c r="P1588" s="2" t="s">
        <v>37</v>
      </c>
      <c r="Q1588" t="s">
        <v>1208</v>
      </c>
      <c r="R1588">
        <v>0</v>
      </c>
      <c r="S1588">
        <v>9.15</v>
      </c>
      <c r="T1588" t="s">
        <v>5323</v>
      </c>
    </row>
    <row r="1589" spans="1:20" x14ac:dyDescent="0.25">
      <c r="A1589" s="1" t="str">
        <f>HYPERLINK("https://vegkart.atlas.vegvesen.no/#/@215466.1,6557278.7,18/hva:hva%5B0%5D%5Bfilter%5D%5B0%5D%5Boperator%5D=%21%3D&amp;hva%5B0%5D%5Bfilter%5D%5B0%5D%5Btype_id%5D=9427&amp;hva%5B0%5D%5Bfilter%5D%5B0%5D%5Bverdi%5D=&amp;hva%5B0%5D%5Bid%5D=25/når:2023-05-31", "Vegkart")</f>
        <v>Vegkart</v>
      </c>
      <c r="B1589">
        <v>687497967</v>
      </c>
      <c r="C1589">
        <v>25</v>
      </c>
      <c r="D1589" t="s">
        <v>4290</v>
      </c>
      <c r="E1589">
        <v>9427</v>
      </c>
      <c r="F1589" t="s">
        <v>23479</v>
      </c>
      <c r="G1589">
        <v>3</v>
      </c>
      <c r="H1589" t="s">
        <v>4298</v>
      </c>
      <c r="J1589" t="s">
        <v>5159</v>
      </c>
      <c r="K1589" t="s">
        <v>81</v>
      </c>
      <c r="L1589" t="s">
        <v>33</v>
      </c>
      <c r="M1589" t="s">
        <v>4693</v>
      </c>
      <c r="N1589" t="s">
        <v>5324</v>
      </c>
      <c r="O1589" t="s">
        <v>5325</v>
      </c>
      <c r="P1589" s="2" t="s">
        <v>37</v>
      </c>
      <c r="Q1589" t="s">
        <v>1208</v>
      </c>
      <c r="R1589">
        <v>0</v>
      </c>
      <c r="S1589">
        <v>9.08</v>
      </c>
      <c r="T1589" t="s">
        <v>5326</v>
      </c>
    </row>
    <row r="1590" spans="1:20" x14ac:dyDescent="0.25">
      <c r="A1590" s="1" t="str">
        <f>HYPERLINK("https://vegkart.atlas.vegvesen.no/#/@215467.3,6557317.3,18/hva:hva%5B0%5D%5Bfilter%5D%5B0%5D%5Boperator%5D=%21%3D&amp;hva%5B0%5D%5Bfilter%5D%5B0%5D%5Btype_id%5D=9427&amp;hva%5B0%5D%5Bfilter%5D%5B0%5D%5Bverdi%5D=&amp;hva%5B0%5D%5Bid%5D=25/når:2023-05-31", "Vegkart")</f>
        <v>Vegkart</v>
      </c>
      <c r="B1590">
        <v>687497968</v>
      </c>
      <c r="C1590">
        <v>25</v>
      </c>
      <c r="D1590" t="s">
        <v>4290</v>
      </c>
      <c r="E1590">
        <v>9427</v>
      </c>
      <c r="F1590" t="s">
        <v>23479</v>
      </c>
      <c r="G1590">
        <v>3</v>
      </c>
      <c r="H1590" t="s">
        <v>4298</v>
      </c>
      <c r="J1590" t="s">
        <v>5159</v>
      </c>
      <c r="K1590" t="s">
        <v>81</v>
      </c>
      <c r="L1590" t="s">
        <v>33</v>
      </c>
      <c r="M1590" t="s">
        <v>4693</v>
      </c>
      <c r="N1590" t="s">
        <v>5327</v>
      </c>
      <c r="O1590" t="s">
        <v>5328</v>
      </c>
      <c r="P1590" s="2" t="s">
        <v>37</v>
      </c>
      <c r="Q1590" t="s">
        <v>1208</v>
      </c>
      <c r="R1590">
        <v>0</v>
      </c>
      <c r="S1590">
        <v>9.08</v>
      </c>
      <c r="T1590" t="s">
        <v>5329</v>
      </c>
    </row>
    <row r="1591" spans="1:20" x14ac:dyDescent="0.25">
      <c r="A1591" s="1" t="str">
        <f>HYPERLINK("https://vegkart.atlas.vegvesen.no/#/@215713.5,6557726.6,18/hva:hva%5B0%5D%5Bfilter%5D%5B0%5D%5Boperator%5D=%21%3D&amp;hva%5B0%5D%5Bfilter%5D%5B0%5D%5Btype_id%5D=9427&amp;hva%5B0%5D%5Bfilter%5D%5B0%5D%5Bverdi%5D=&amp;hva%5B0%5D%5Bid%5D=25/når:2023-05-31", "Vegkart")</f>
        <v>Vegkart</v>
      </c>
      <c r="B1591">
        <v>687497969</v>
      </c>
      <c r="C1591">
        <v>25</v>
      </c>
      <c r="D1591" t="s">
        <v>4290</v>
      </c>
      <c r="E1591">
        <v>9427</v>
      </c>
      <c r="F1591" t="s">
        <v>23479</v>
      </c>
      <c r="G1591">
        <v>3</v>
      </c>
      <c r="H1591" t="s">
        <v>4298</v>
      </c>
      <c r="J1591" t="s">
        <v>5159</v>
      </c>
      <c r="K1591" t="s">
        <v>81</v>
      </c>
      <c r="L1591" t="s">
        <v>33</v>
      </c>
      <c r="M1591" t="s">
        <v>4693</v>
      </c>
      <c r="N1591" t="s">
        <v>5330</v>
      </c>
      <c r="O1591" t="s">
        <v>5331</v>
      </c>
      <c r="P1591" s="2" t="s">
        <v>37</v>
      </c>
      <c r="Q1591" t="s">
        <v>1208</v>
      </c>
      <c r="R1591">
        <v>0</v>
      </c>
      <c r="S1591">
        <v>8.98</v>
      </c>
      <c r="T1591" t="s">
        <v>5332</v>
      </c>
    </row>
    <row r="1592" spans="1:20" x14ac:dyDescent="0.25">
      <c r="A1592" s="1" t="str">
        <f>HYPERLINK("https://vegkart.atlas.vegvesen.no/#/@215692.4,6557722.7,18/hva:hva%5B0%5D%5Bfilter%5D%5B0%5D%5Boperator%5D=%21%3D&amp;hva%5B0%5D%5Bfilter%5D%5B0%5D%5Btype_id%5D=9427&amp;hva%5B0%5D%5Bfilter%5D%5B0%5D%5Bverdi%5D=&amp;hva%5B0%5D%5Bid%5D=25/når:2023-05-31", "Vegkart")</f>
        <v>Vegkart</v>
      </c>
      <c r="B1592">
        <v>687497970</v>
      </c>
      <c r="C1592">
        <v>25</v>
      </c>
      <c r="D1592" t="s">
        <v>4290</v>
      </c>
      <c r="E1592">
        <v>9427</v>
      </c>
      <c r="F1592" t="s">
        <v>23479</v>
      </c>
      <c r="G1592">
        <v>3</v>
      </c>
      <c r="H1592" t="s">
        <v>4298</v>
      </c>
      <c r="J1592" t="s">
        <v>5159</v>
      </c>
      <c r="K1592" t="s">
        <v>81</v>
      </c>
      <c r="L1592" t="s">
        <v>33</v>
      </c>
      <c r="M1592" t="s">
        <v>4693</v>
      </c>
      <c r="N1592" t="s">
        <v>5333</v>
      </c>
      <c r="O1592" t="s">
        <v>5334</v>
      </c>
      <c r="P1592" s="2" t="s">
        <v>37</v>
      </c>
      <c r="Q1592" t="s">
        <v>1208</v>
      </c>
      <c r="R1592">
        <v>0</v>
      </c>
      <c r="S1592">
        <v>8.98</v>
      </c>
      <c r="T1592" t="s">
        <v>5335</v>
      </c>
    </row>
    <row r="1593" spans="1:20" x14ac:dyDescent="0.25">
      <c r="A1593" s="1" t="str">
        <f>HYPERLINK("https://vegkart.atlas.vegvesen.no/#/@215855.6,6557983.1,18/hva:hva%5B0%5D%5Bfilter%5D%5B0%5D%5Boperator%5D=%21%3D&amp;hva%5B0%5D%5Bfilter%5D%5B0%5D%5Btype_id%5D=9427&amp;hva%5B0%5D%5Bfilter%5D%5B0%5D%5Bverdi%5D=&amp;hva%5B0%5D%5Bid%5D=25/når:2023-05-31", "Vegkart")</f>
        <v>Vegkart</v>
      </c>
      <c r="B1593">
        <v>687497971</v>
      </c>
      <c r="C1593">
        <v>25</v>
      </c>
      <c r="D1593" t="s">
        <v>4290</v>
      </c>
      <c r="E1593">
        <v>9427</v>
      </c>
      <c r="F1593" t="s">
        <v>23479</v>
      </c>
      <c r="G1593">
        <v>3</v>
      </c>
      <c r="H1593" t="s">
        <v>4298</v>
      </c>
      <c r="J1593" t="s">
        <v>5159</v>
      </c>
      <c r="K1593" t="s">
        <v>81</v>
      </c>
      <c r="L1593" t="s">
        <v>33</v>
      </c>
      <c r="M1593" t="s">
        <v>4693</v>
      </c>
      <c r="N1593" t="s">
        <v>5336</v>
      </c>
      <c r="O1593" t="s">
        <v>5337</v>
      </c>
      <c r="P1593" s="2" t="s">
        <v>37</v>
      </c>
      <c r="Q1593" t="s">
        <v>1208</v>
      </c>
      <c r="R1593">
        <v>0</v>
      </c>
      <c r="S1593">
        <v>9.0299999999999994</v>
      </c>
      <c r="T1593" t="s">
        <v>5338</v>
      </c>
    </row>
    <row r="1594" spans="1:20" x14ac:dyDescent="0.25">
      <c r="A1594" s="1" t="str">
        <f>HYPERLINK("https://vegkart.atlas.vegvesen.no/#/@260137.8,6653081.0,18/hva:hva%5B0%5D%5Bfilter%5D%5B0%5D%5Boperator%5D=%21%3D&amp;hva%5B0%5D%5Bfilter%5D%5B0%5D%5Btype_id%5D=9427&amp;hva%5B0%5D%5Bfilter%5D%5B0%5D%5Bverdi%5D=&amp;hva%5B0%5D%5Bid%5D=25/når:2022-04-08", "Vegkart")</f>
        <v>Vegkart</v>
      </c>
      <c r="B1594">
        <v>765819907</v>
      </c>
      <c r="C1594">
        <v>25</v>
      </c>
      <c r="D1594" t="s">
        <v>4290</v>
      </c>
      <c r="E1594">
        <v>9427</v>
      </c>
      <c r="F1594" t="s">
        <v>23479</v>
      </c>
      <c r="G1594">
        <v>2</v>
      </c>
      <c r="H1594" t="s">
        <v>5339</v>
      </c>
      <c r="J1594" t="s">
        <v>5340</v>
      </c>
      <c r="K1594" t="s">
        <v>335</v>
      </c>
      <c r="L1594" t="s">
        <v>113</v>
      </c>
      <c r="M1594" t="s">
        <v>336</v>
      </c>
      <c r="N1594" t="s">
        <v>5341</v>
      </c>
      <c r="O1594" t="s">
        <v>5342</v>
      </c>
      <c r="P1594" s="2" t="s">
        <v>37</v>
      </c>
      <c r="Q1594" t="s">
        <v>1208</v>
      </c>
      <c r="R1594">
        <v>0</v>
      </c>
      <c r="S1594">
        <v>13.83</v>
      </c>
      <c r="T1594" t="s">
        <v>5343</v>
      </c>
    </row>
    <row r="1595" spans="1:20" x14ac:dyDescent="0.25">
      <c r="A1595" s="1" t="str">
        <f>HYPERLINK("https://vegkart.atlas.vegvesen.no/#/@233830.0,6580505.4,18/hva:hva%5B0%5D%5Bfilter%5D%5B0%5D%5Boperator%5D=%21%3D&amp;hva%5B0%5D%5Bfilter%5D%5B0%5D%5Btype_id%5D=9427&amp;hva%5B0%5D%5Bfilter%5D%5B0%5D%5Bverdi%5D=&amp;hva%5B0%5D%5Bid%5D=25/når:2023-05-31", "Vegkart")</f>
        <v>Vegkart</v>
      </c>
      <c r="B1595">
        <v>783151181</v>
      </c>
      <c r="C1595">
        <v>25</v>
      </c>
      <c r="D1595" t="s">
        <v>4290</v>
      </c>
      <c r="E1595">
        <v>9427</v>
      </c>
      <c r="F1595" t="s">
        <v>23479</v>
      </c>
      <c r="G1595">
        <v>3</v>
      </c>
      <c r="H1595" t="s">
        <v>4298</v>
      </c>
      <c r="J1595" t="s">
        <v>5340</v>
      </c>
      <c r="K1595" t="s">
        <v>81</v>
      </c>
      <c r="L1595" t="s">
        <v>33</v>
      </c>
      <c r="M1595" t="s">
        <v>4333</v>
      </c>
      <c r="N1595" t="s">
        <v>5344</v>
      </c>
      <c r="O1595" t="s">
        <v>5345</v>
      </c>
      <c r="P1595" s="2" t="s">
        <v>37</v>
      </c>
      <c r="Q1595" t="s">
        <v>1208</v>
      </c>
      <c r="R1595">
        <v>0</v>
      </c>
      <c r="S1595">
        <v>9.83</v>
      </c>
      <c r="T1595" t="s">
        <v>5346</v>
      </c>
    </row>
    <row r="1596" spans="1:20" x14ac:dyDescent="0.25">
      <c r="A1596" s="1" t="str">
        <f>HYPERLINK("https://vegkart.atlas.vegvesen.no/#/@238029.0,6574230.4,18/hva:hva%5B0%5D%5Bfilter%5D%5B0%5D%5Boperator%5D=%21%3D&amp;hva%5B0%5D%5Bfilter%5D%5B0%5D%5Btype_id%5D=9427&amp;hva%5B0%5D%5Bfilter%5D%5B0%5D%5Bverdi%5D=&amp;hva%5B0%5D%5Bid%5D=25/når:2023-05-31", "Vegkart")</f>
        <v>Vegkart</v>
      </c>
      <c r="B1596">
        <v>788635454</v>
      </c>
      <c r="C1596">
        <v>25</v>
      </c>
      <c r="D1596" t="s">
        <v>4290</v>
      </c>
      <c r="E1596">
        <v>9427</v>
      </c>
      <c r="F1596" t="s">
        <v>23479</v>
      </c>
      <c r="G1596">
        <v>3</v>
      </c>
      <c r="H1596" t="s">
        <v>4298</v>
      </c>
      <c r="J1596" t="s">
        <v>5347</v>
      </c>
      <c r="K1596" t="s">
        <v>81</v>
      </c>
      <c r="L1596" t="s">
        <v>33</v>
      </c>
      <c r="M1596" t="s">
        <v>1940</v>
      </c>
      <c r="N1596" t="s">
        <v>5348</v>
      </c>
      <c r="O1596" t="s">
        <v>5349</v>
      </c>
      <c r="P1596" s="2" t="s">
        <v>37</v>
      </c>
      <c r="Q1596" t="s">
        <v>1208</v>
      </c>
      <c r="R1596">
        <v>0</v>
      </c>
      <c r="S1596">
        <v>13.72</v>
      </c>
      <c r="T1596" t="s">
        <v>5350</v>
      </c>
    </row>
    <row r="1597" spans="1:20" x14ac:dyDescent="0.25">
      <c r="A1597" s="1" t="str">
        <f>HYPERLINK("https://vegkart.atlas.vegvesen.no/#/@237916.6,6574286.0,18/hva:hva%5B0%5D%5Bfilter%5D%5B0%5D%5Boperator%5D=%21%3D&amp;hva%5B0%5D%5Bfilter%5D%5B0%5D%5Btype_id%5D=9427&amp;hva%5B0%5D%5Bfilter%5D%5B0%5D%5Bverdi%5D=&amp;hva%5B0%5D%5Bid%5D=25/når:2023-05-31", "Vegkart")</f>
        <v>Vegkart</v>
      </c>
      <c r="B1597">
        <v>788635455</v>
      </c>
      <c r="C1597">
        <v>25</v>
      </c>
      <c r="D1597" t="s">
        <v>4290</v>
      </c>
      <c r="E1597">
        <v>9427</v>
      </c>
      <c r="F1597" t="s">
        <v>23479</v>
      </c>
      <c r="G1597">
        <v>3</v>
      </c>
      <c r="H1597" t="s">
        <v>4298</v>
      </c>
      <c r="J1597" t="s">
        <v>5347</v>
      </c>
      <c r="K1597" t="s">
        <v>81</v>
      </c>
      <c r="L1597" t="s">
        <v>33</v>
      </c>
      <c r="M1597" t="s">
        <v>4536</v>
      </c>
      <c r="N1597" t="s">
        <v>5351</v>
      </c>
      <c r="O1597" t="s">
        <v>5352</v>
      </c>
      <c r="P1597" s="2" t="s">
        <v>37</v>
      </c>
      <c r="Q1597" t="s">
        <v>1208</v>
      </c>
      <c r="R1597">
        <v>0</v>
      </c>
      <c r="S1597">
        <v>12.92</v>
      </c>
      <c r="T1597" t="s">
        <v>5353</v>
      </c>
    </row>
    <row r="1598" spans="1:20" x14ac:dyDescent="0.25">
      <c r="A1598" s="1" t="str">
        <f>HYPERLINK("https://vegkart.atlas.vegvesen.no/#/@169605.2,6744888.1,18/hva:hva%5B0%5D%5Bfilter%5D%5B0%5D%5Boperator%5D=%21%3D&amp;hva%5B0%5D%5Bfilter%5D%5B0%5D%5Btype_id%5D=9427&amp;hva%5B0%5D%5Bfilter%5D%5B0%5D%5Bverdi%5D=&amp;hva%5B0%5D%5Bid%5D=25/når:2017-07-18", "Vegkart")</f>
        <v>Vegkart</v>
      </c>
      <c r="B1598">
        <v>800125061</v>
      </c>
      <c r="C1598">
        <v>25</v>
      </c>
      <c r="D1598" t="s">
        <v>4290</v>
      </c>
      <c r="E1598">
        <v>9427</v>
      </c>
      <c r="F1598" t="s">
        <v>23479</v>
      </c>
      <c r="G1598">
        <v>2</v>
      </c>
      <c r="H1598" t="s">
        <v>5354</v>
      </c>
      <c r="J1598" t="s">
        <v>5347</v>
      </c>
      <c r="K1598" t="s">
        <v>307</v>
      </c>
      <c r="L1598" t="s">
        <v>113</v>
      </c>
      <c r="M1598" t="s">
        <v>308</v>
      </c>
      <c r="N1598" t="s">
        <v>5355</v>
      </c>
      <c r="O1598" t="s">
        <v>5356</v>
      </c>
      <c r="P1598" s="2" t="s">
        <v>165</v>
      </c>
      <c r="Q1598" t="s">
        <v>311</v>
      </c>
      <c r="R1598">
        <v>1.99</v>
      </c>
      <c r="S1598">
        <v>1.99</v>
      </c>
      <c r="T1598" t="s">
        <v>167</v>
      </c>
    </row>
    <row r="1599" spans="1:20" x14ac:dyDescent="0.25">
      <c r="A1599" s="1" t="str">
        <f>HYPERLINK("https://vegkart.atlas.vegvesen.no/#/@169564.0,6744871.8,18/hva:hva%5B0%5D%5Bfilter%5D%5B0%5D%5Boperator%5D=%21%3D&amp;hva%5B0%5D%5Bfilter%5D%5B0%5D%5Btype_id%5D=9427&amp;hva%5B0%5D%5Bfilter%5D%5B0%5D%5Bverdi%5D=&amp;hva%5B0%5D%5Bid%5D=25/når:2017-07-18", "Vegkart")</f>
        <v>Vegkart</v>
      </c>
      <c r="B1599">
        <v>800125062</v>
      </c>
      <c r="C1599">
        <v>25</v>
      </c>
      <c r="D1599" t="s">
        <v>4290</v>
      </c>
      <c r="E1599">
        <v>9427</v>
      </c>
      <c r="F1599" t="s">
        <v>23479</v>
      </c>
      <c r="G1599">
        <v>2</v>
      </c>
      <c r="H1599" t="s">
        <v>5354</v>
      </c>
      <c r="J1599" t="s">
        <v>5357</v>
      </c>
      <c r="K1599" t="s">
        <v>307</v>
      </c>
      <c r="L1599" t="s">
        <v>113</v>
      </c>
      <c r="M1599" t="s">
        <v>308</v>
      </c>
      <c r="N1599" t="s">
        <v>5358</v>
      </c>
      <c r="O1599" t="s">
        <v>5359</v>
      </c>
      <c r="P1599" s="2" t="s">
        <v>165</v>
      </c>
      <c r="Q1599" t="s">
        <v>311</v>
      </c>
      <c r="R1599">
        <v>2.15</v>
      </c>
      <c r="S1599">
        <v>2.15</v>
      </c>
      <c r="T1599" t="s">
        <v>167</v>
      </c>
    </row>
    <row r="1600" spans="1:20" x14ac:dyDescent="0.25">
      <c r="A1600" s="1" t="str">
        <f>HYPERLINK("https://vegkart.atlas.vegvesen.no/#/@169561.7,6744870.1,18/hva:hva%5B0%5D%5Bfilter%5D%5B0%5D%5Boperator%5D=%21%3D&amp;hva%5B0%5D%5Bfilter%5D%5B0%5D%5Btype_id%5D=9427&amp;hva%5B0%5D%5Bfilter%5D%5B0%5D%5Bverdi%5D=&amp;hva%5B0%5D%5Bid%5D=25/når:2017-07-11", "Vegkart")</f>
        <v>Vegkart</v>
      </c>
      <c r="B1600">
        <v>800125063</v>
      </c>
      <c r="C1600">
        <v>25</v>
      </c>
      <c r="D1600" t="s">
        <v>4290</v>
      </c>
      <c r="E1600">
        <v>9427</v>
      </c>
      <c r="F1600" t="s">
        <v>23479</v>
      </c>
      <c r="G1600">
        <v>1</v>
      </c>
      <c r="H1600" t="s">
        <v>5360</v>
      </c>
      <c r="J1600" t="s">
        <v>5347</v>
      </c>
      <c r="K1600" t="s">
        <v>307</v>
      </c>
      <c r="L1600" t="s">
        <v>113</v>
      </c>
      <c r="M1600" t="s">
        <v>308</v>
      </c>
      <c r="N1600" t="s">
        <v>5358</v>
      </c>
      <c r="O1600" t="s">
        <v>5361</v>
      </c>
      <c r="P1600" s="2" t="s">
        <v>165</v>
      </c>
      <c r="Q1600" t="s">
        <v>311</v>
      </c>
      <c r="R1600">
        <v>2.2999999999999998</v>
      </c>
      <c r="S1600">
        <v>2.2999999999999998</v>
      </c>
      <c r="T1600" t="s">
        <v>167</v>
      </c>
    </row>
    <row r="1601" spans="1:20" x14ac:dyDescent="0.25">
      <c r="A1601" s="1" t="str">
        <f>HYPERLINK("https://vegkart.atlas.vegvesen.no/#/@232289.0,6574306.8,18/hva:hva%5B0%5D%5Bfilter%5D%5B0%5D%5Boperator%5D=%21%3D&amp;hva%5B0%5D%5Bfilter%5D%5B0%5D%5Btype_id%5D=9427&amp;hva%5B0%5D%5Bfilter%5D%5B0%5D%5Bverdi%5D=&amp;hva%5B0%5D%5Bid%5D=25/når:2023-05-31", "Vegkart")</f>
        <v>Vegkart</v>
      </c>
      <c r="B1601">
        <v>800758680</v>
      </c>
      <c r="C1601">
        <v>25</v>
      </c>
      <c r="D1601" t="s">
        <v>4290</v>
      </c>
      <c r="E1601">
        <v>9427</v>
      </c>
      <c r="F1601" t="s">
        <v>23479</v>
      </c>
      <c r="G1601">
        <v>3</v>
      </c>
      <c r="H1601" t="s">
        <v>4298</v>
      </c>
      <c r="J1601" t="s">
        <v>5347</v>
      </c>
      <c r="K1601" t="s">
        <v>81</v>
      </c>
      <c r="L1601" t="s">
        <v>33</v>
      </c>
      <c r="M1601" t="s">
        <v>1812</v>
      </c>
      <c r="N1601" t="s">
        <v>5362</v>
      </c>
      <c r="O1601" t="s">
        <v>5363</v>
      </c>
      <c r="P1601" s="2" t="s">
        <v>37</v>
      </c>
      <c r="Q1601" t="s">
        <v>1208</v>
      </c>
      <c r="R1601">
        <v>0</v>
      </c>
      <c r="S1601">
        <v>8.66</v>
      </c>
      <c r="T1601" t="s">
        <v>5364</v>
      </c>
    </row>
    <row r="1602" spans="1:20" x14ac:dyDescent="0.25">
      <c r="A1602" s="1" t="str">
        <f>HYPERLINK("https://vegkart.atlas.vegvesen.no/#/@226184.9,6565070.7,18/hva:hva%5B0%5D%5Bfilter%5D%5B0%5D%5Boperator%5D=%21%3D&amp;hva%5B0%5D%5Bfilter%5D%5B0%5D%5Btype_id%5D=9427&amp;hva%5B0%5D%5Bfilter%5D%5B0%5D%5Bverdi%5D=&amp;hva%5B0%5D%5Bid%5D=25/når:2023-05-31", "Vegkart")</f>
        <v>Vegkart</v>
      </c>
      <c r="B1602">
        <v>815232512</v>
      </c>
      <c r="C1602">
        <v>25</v>
      </c>
      <c r="D1602" t="s">
        <v>4290</v>
      </c>
      <c r="E1602">
        <v>9427</v>
      </c>
      <c r="F1602" t="s">
        <v>23479</v>
      </c>
      <c r="G1602">
        <v>3</v>
      </c>
      <c r="H1602" t="s">
        <v>4298</v>
      </c>
      <c r="J1602" t="s">
        <v>5357</v>
      </c>
      <c r="K1602" t="s">
        <v>81</v>
      </c>
      <c r="L1602" t="s">
        <v>33</v>
      </c>
      <c r="M1602" t="s">
        <v>5365</v>
      </c>
      <c r="N1602" t="s">
        <v>5366</v>
      </c>
      <c r="O1602" t="s">
        <v>5367</v>
      </c>
      <c r="P1602" s="2" t="s">
        <v>37</v>
      </c>
      <c r="Q1602" t="s">
        <v>1208</v>
      </c>
      <c r="R1602">
        <v>0</v>
      </c>
      <c r="S1602">
        <v>14.09</v>
      </c>
      <c r="T1602" t="s">
        <v>5368</v>
      </c>
    </row>
    <row r="1603" spans="1:20" x14ac:dyDescent="0.25">
      <c r="A1603" s="1" t="str">
        <f>HYPERLINK("https://vegkart.atlas.vegvesen.no/#/@226159.6,6565056.8,18/hva:hva%5B0%5D%5Bfilter%5D%5B0%5D%5Boperator%5D=%21%3D&amp;hva%5B0%5D%5Bfilter%5D%5B0%5D%5Btype_id%5D=9427&amp;hva%5B0%5D%5Bfilter%5D%5B0%5D%5Bverdi%5D=&amp;hva%5B0%5D%5Bid%5D=25/når:2023-05-31", "Vegkart")</f>
        <v>Vegkart</v>
      </c>
      <c r="B1603">
        <v>815232518</v>
      </c>
      <c r="C1603">
        <v>25</v>
      </c>
      <c r="D1603" t="s">
        <v>4290</v>
      </c>
      <c r="E1603">
        <v>9427</v>
      </c>
      <c r="F1603" t="s">
        <v>23479</v>
      </c>
      <c r="G1603">
        <v>3</v>
      </c>
      <c r="H1603" t="s">
        <v>4298</v>
      </c>
      <c r="J1603" t="s">
        <v>5347</v>
      </c>
      <c r="K1603" t="s">
        <v>81</v>
      </c>
      <c r="L1603" t="s">
        <v>33</v>
      </c>
      <c r="M1603" t="s">
        <v>5365</v>
      </c>
      <c r="N1603" t="s">
        <v>5369</v>
      </c>
      <c r="O1603" t="s">
        <v>5370</v>
      </c>
      <c r="P1603" s="2" t="s">
        <v>37</v>
      </c>
      <c r="Q1603" t="s">
        <v>1208</v>
      </c>
      <c r="R1603">
        <v>0</v>
      </c>
      <c r="S1603">
        <v>13.03</v>
      </c>
      <c r="T1603" t="s">
        <v>5371</v>
      </c>
    </row>
    <row r="1604" spans="1:20" x14ac:dyDescent="0.25">
      <c r="A1604" s="1" t="str">
        <f>HYPERLINK("https://vegkart.atlas.vegvesen.no/#/@237998.1,6574323.4,18/hva:hva%5B0%5D%5Bfilter%5D%5B0%5D%5Boperator%5D=%21%3D&amp;hva%5B0%5D%5Bfilter%5D%5B0%5D%5Btype_id%5D=9427&amp;hva%5B0%5D%5Bfilter%5D%5B0%5D%5Bverdi%5D=&amp;hva%5B0%5D%5Bid%5D=25/når:2023-05-31", "Vegkart")</f>
        <v>Vegkart</v>
      </c>
      <c r="B1604">
        <v>816279113</v>
      </c>
      <c r="C1604">
        <v>25</v>
      </c>
      <c r="D1604" t="s">
        <v>4290</v>
      </c>
      <c r="E1604">
        <v>9427</v>
      </c>
      <c r="F1604" t="s">
        <v>23479</v>
      </c>
      <c r="G1604">
        <v>3</v>
      </c>
      <c r="H1604" t="s">
        <v>4298</v>
      </c>
      <c r="J1604" t="s">
        <v>5347</v>
      </c>
      <c r="K1604" t="s">
        <v>81</v>
      </c>
      <c r="L1604" t="s">
        <v>33</v>
      </c>
      <c r="M1604" t="s">
        <v>1940</v>
      </c>
      <c r="N1604" t="s">
        <v>5372</v>
      </c>
      <c r="O1604" t="s">
        <v>5373</v>
      </c>
      <c r="P1604" s="2" t="s">
        <v>37</v>
      </c>
      <c r="Q1604" t="s">
        <v>1208</v>
      </c>
      <c r="R1604">
        <v>0</v>
      </c>
      <c r="S1604">
        <v>13.92</v>
      </c>
      <c r="T1604" t="s">
        <v>5374</v>
      </c>
    </row>
    <row r="1605" spans="1:20" x14ac:dyDescent="0.25">
      <c r="A1605" s="1" t="str">
        <f>HYPERLINK("https://vegkart.atlas.vegvesen.no/#/@215008.8,6556681.8,18/hva:hva%5B0%5D%5Bfilter%5D%5B0%5D%5Boperator%5D=%21%3D&amp;hva%5B0%5D%5Bfilter%5D%5B0%5D%5Btype_id%5D=9427&amp;hva%5B0%5D%5Bfilter%5D%5B0%5D%5Bverdi%5D=&amp;hva%5B0%5D%5Bid%5D=25/når:2023-05-31", "Vegkart")</f>
        <v>Vegkart</v>
      </c>
      <c r="B1605">
        <v>816307994</v>
      </c>
      <c r="C1605">
        <v>25</v>
      </c>
      <c r="D1605" t="s">
        <v>4290</v>
      </c>
      <c r="E1605">
        <v>9427</v>
      </c>
      <c r="F1605" t="s">
        <v>23479</v>
      </c>
      <c r="G1605">
        <v>3</v>
      </c>
      <c r="H1605" t="s">
        <v>4298</v>
      </c>
      <c r="J1605" t="s">
        <v>5347</v>
      </c>
      <c r="K1605" t="s">
        <v>81</v>
      </c>
      <c r="L1605" t="s">
        <v>33</v>
      </c>
      <c r="M1605" t="s">
        <v>4693</v>
      </c>
      <c r="N1605" t="s">
        <v>5375</v>
      </c>
      <c r="O1605" t="s">
        <v>5376</v>
      </c>
      <c r="P1605" s="2" t="s">
        <v>37</v>
      </c>
      <c r="Q1605" t="s">
        <v>1208</v>
      </c>
      <c r="R1605">
        <v>0</v>
      </c>
      <c r="S1605">
        <v>13.8</v>
      </c>
      <c r="T1605" t="s">
        <v>5377</v>
      </c>
    </row>
    <row r="1606" spans="1:20" x14ac:dyDescent="0.25">
      <c r="A1606" s="1" t="str">
        <f>HYPERLINK("https://vegkart.atlas.vegvesen.no/#/@238492.3,6579088.6,18/hva:hva%5B0%5D%5Bfilter%5D%5B0%5D%5Boperator%5D=%21%3D&amp;hva%5B0%5D%5Bfilter%5D%5B0%5D%5Btype_id%5D=9427&amp;hva%5B0%5D%5Bfilter%5D%5B0%5D%5Bverdi%5D=&amp;hva%5B0%5D%5Bid%5D=25/når:2023-05-31", "Vegkart")</f>
        <v>Vegkart</v>
      </c>
      <c r="B1606">
        <v>816444055</v>
      </c>
      <c r="C1606">
        <v>25</v>
      </c>
      <c r="D1606" t="s">
        <v>4290</v>
      </c>
      <c r="E1606">
        <v>9427</v>
      </c>
      <c r="F1606" t="s">
        <v>23479</v>
      </c>
      <c r="G1606">
        <v>4</v>
      </c>
      <c r="H1606" t="s">
        <v>4298</v>
      </c>
      <c r="J1606" t="s">
        <v>5347</v>
      </c>
      <c r="K1606" t="s">
        <v>81</v>
      </c>
      <c r="L1606" t="s">
        <v>33</v>
      </c>
      <c r="M1606" t="s">
        <v>4461</v>
      </c>
      <c r="N1606" t="s">
        <v>5378</v>
      </c>
      <c r="O1606" t="s">
        <v>5379</v>
      </c>
      <c r="P1606" s="2" t="s">
        <v>37</v>
      </c>
      <c r="Q1606" t="s">
        <v>1208</v>
      </c>
      <c r="R1606">
        <v>0</v>
      </c>
      <c r="S1606">
        <v>17.75</v>
      </c>
      <c r="T1606" t="s">
        <v>5380</v>
      </c>
    </row>
    <row r="1607" spans="1:20" x14ac:dyDescent="0.25">
      <c r="A1607" s="1" t="str">
        <f>HYPERLINK("https://vegkart.atlas.vegvesen.no/#/@237280.9,6596342.3,18/hva:hva%5B0%5D%5Bfilter%5D%5B0%5D%5Boperator%5D=%21%3D&amp;hva%5B0%5D%5Bfilter%5D%5B0%5D%5Btype_id%5D=9427&amp;hva%5B0%5D%5Bfilter%5D%5B0%5D%5Bverdi%5D=&amp;hva%5B0%5D%5Bid%5D=25/når:2023-05-31", "Vegkart")</f>
        <v>Vegkart</v>
      </c>
      <c r="B1607">
        <v>817964787</v>
      </c>
      <c r="C1607">
        <v>25</v>
      </c>
      <c r="D1607" t="s">
        <v>4290</v>
      </c>
      <c r="E1607">
        <v>9427</v>
      </c>
      <c r="F1607" t="s">
        <v>23479</v>
      </c>
      <c r="G1607">
        <v>3</v>
      </c>
      <c r="H1607" t="s">
        <v>4298</v>
      </c>
      <c r="J1607" t="s">
        <v>5357</v>
      </c>
      <c r="K1607" t="s">
        <v>81</v>
      </c>
      <c r="L1607" t="s">
        <v>33</v>
      </c>
      <c r="M1607" t="s">
        <v>1909</v>
      </c>
      <c r="N1607" t="s">
        <v>5381</v>
      </c>
      <c r="O1607" t="s">
        <v>5382</v>
      </c>
      <c r="P1607" s="2" t="s">
        <v>37</v>
      </c>
      <c r="Q1607" t="s">
        <v>1208</v>
      </c>
      <c r="R1607">
        <v>0</v>
      </c>
      <c r="S1607">
        <v>11.87</v>
      </c>
      <c r="T1607" t="s">
        <v>5383</v>
      </c>
    </row>
    <row r="1608" spans="1:20" x14ac:dyDescent="0.25">
      <c r="A1608" s="1" t="str">
        <f>HYPERLINK("https://vegkart.atlas.vegvesen.no/#/@234686.1,6604265.5,18/hva:hva%5B0%5D%5Bfilter%5D%5B0%5D%5Boperator%5D=%21%3D&amp;hva%5B0%5D%5Bfilter%5D%5B0%5D%5Btype_id%5D=9427&amp;hva%5B0%5D%5Bfilter%5D%5B0%5D%5Bverdi%5D=&amp;hva%5B0%5D%5Bid%5D=25/når:2023-05-31", "Vegkart")</f>
        <v>Vegkart</v>
      </c>
      <c r="B1608">
        <v>818125426</v>
      </c>
      <c r="C1608">
        <v>25</v>
      </c>
      <c r="D1608" t="s">
        <v>4290</v>
      </c>
      <c r="E1608">
        <v>9427</v>
      </c>
      <c r="F1608" t="s">
        <v>23479</v>
      </c>
      <c r="G1608">
        <v>3</v>
      </c>
      <c r="H1608" t="s">
        <v>4298</v>
      </c>
      <c r="J1608" t="s">
        <v>5347</v>
      </c>
      <c r="K1608" t="s">
        <v>81</v>
      </c>
      <c r="L1608" t="s">
        <v>33</v>
      </c>
      <c r="M1608" t="s">
        <v>4310</v>
      </c>
      <c r="N1608" t="s">
        <v>5384</v>
      </c>
      <c r="O1608" t="s">
        <v>5385</v>
      </c>
      <c r="P1608" s="2" t="s">
        <v>37</v>
      </c>
      <c r="Q1608" t="s">
        <v>1208</v>
      </c>
      <c r="R1608">
        <v>0</v>
      </c>
      <c r="S1608">
        <v>15.19</v>
      </c>
      <c r="T1608" t="s">
        <v>5386</v>
      </c>
    </row>
    <row r="1609" spans="1:20" x14ac:dyDescent="0.25">
      <c r="A1609" s="1" t="str">
        <f>HYPERLINK("https://vegkart.atlas.vegvesen.no/#/@234681.1,6604263.3,18/hva:hva%5B0%5D%5Bfilter%5D%5B0%5D%5Boperator%5D=%21%3D&amp;hva%5B0%5D%5Bfilter%5D%5B0%5D%5Btype_id%5D=9427&amp;hva%5B0%5D%5Bfilter%5D%5B0%5D%5Bverdi%5D=&amp;hva%5B0%5D%5Bid%5D=25/når:2023-05-31", "Vegkart")</f>
        <v>Vegkart</v>
      </c>
      <c r="B1609">
        <v>818125435</v>
      </c>
      <c r="C1609">
        <v>25</v>
      </c>
      <c r="D1609" t="s">
        <v>4290</v>
      </c>
      <c r="E1609">
        <v>9427</v>
      </c>
      <c r="F1609" t="s">
        <v>23479</v>
      </c>
      <c r="G1609">
        <v>3</v>
      </c>
      <c r="H1609" t="s">
        <v>4298</v>
      </c>
      <c r="J1609" t="s">
        <v>5347</v>
      </c>
      <c r="K1609" t="s">
        <v>81</v>
      </c>
      <c r="L1609" t="s">
        <v>33</v>
      </c>
      <c r="M1609" t="s">
        <v>4310</v>
      </c>
      <c r="N1609" t="s">
        <v>5387</v>
      </c>
      <c r="O1609" t="s">
        <v>5388</v>
      </c>
      <c r="P1609" s="2" t="s">
        <v>37</v>
      </c>
      <c r="Q1609" t="s">
        <v>1208</v>
      </c>
      <c r="R1609">
        <v>0</v>
      </c>
      <c r="S1609">
        <v>14.99</v>
      </c>
      <c r="T1609" t="s">
        <v>5389</v>
      </c>
    </row>
    <row r="1610" spans="1:20" x14ac:dyDescent="0.25">
      <c r="A1610" s="1" t="str">
        <f>HYPERLINK("https://vegkart.atlas.vegvesen.no/#/@234676.1,6604261.1,18/hva:hva%5B0%5D%5Bfilter%5D%5B0%5D%5Boperator%5D=%21%3D&amp;hva%5B0%5D%5Bfilter%5D%5B0%5D%5Btype_id%5D=9427&amp;hva%5B0%5D%5Bfilter%5D%5B0%5D%5Bverdi%5D=&amp;hva%5B0%5D%5Bid%5D=25/når:2023-05-31", "Vegkart")</f>
        <v>Vegkart</v>
      </c>
      <c r="B1610">
        <v>818125440</v>
      </c>
      <c r="C1610">
        <v>25</v>
      </c>
      <c r="D1610" t="s">
        <v>4290</v>
      </c>
      <c r="E1610">
        <v>9427</v>
      </c>
      <c r="F1610" t="s">
        <v>23479</v>
      </c>
      <c r="G1610">
        <v>3</v>
      </c>
      <c r="H1610" t="s">
        <v>4298</v>
      </c>
      <c r="J1610" t="s">
        <v>5347</v>
      </c>
      <c r="K1610" t="s">
        <v>81</v>
      </c>
      <c r="L1610" t="s">
        <v>33</v>
      </c>
      <c r="M1610" t="s">
        <v>4310</v>
      </c>
      <c r="N1610" t="s">
        <v>5390</v>
      </c>
      <c r="O1610" t="s">
        <v>5391</v>
      </c>
      <c r="P1610" s="2" t="s">
        <v>37</v>
      </c>
      <c r="Q1610" t="s">
        <v>1208</v>
      </c>
      <c r="R1610">
        <v>0</v>
      </c>
      <c r="S1610">
        <v>14.45</v>
      </c>
      <c r="T1610" t="s">
        <v>5392</v>
      </c>
    </row>
    <row r="1611" spans="1:20" x14ac:dyDescent="0.25">
      <c r="A1611" s="1" t="str">
        <f>HYPERLINK("https://vegkart.atlas.vegvesen.no/#/@234671.2,6604259.0,18/hva:hva%5B0%5D%5Bfilter%5D%5B0%5D%5Boperator%5D=%21%3D&amp;hva%5B0%5D%5Bfilter%5D%5B0%5D%5Btype_id%5D=9427&amp;hva%5B0%5D%5Bfilter%5D%5B0%5D%5Bverdi%5D=&amp;hva%5B0%5D%5Bid%5D=25/når:2023-05-31", "Vegkart")</f>
        <v>Vegkart</v>
      </c>
      <c r="B1611">
        <v>818125444</v>
      </c>
      <c r="C1611">
        <v>25</v>
      </c>
      <c r="D1611" t="s">
        <v>4290</v>
      </c>
      <c r="E1611">
        <v>9427</v>
      </c>
      <c r="F1611" t="s">
        <v>23479</v>
      </c>
      <c r="G1611">
        <v>3</v>
      </c>
      <c r="H1611" t="s">
        <v>4298</v>
      </c>
      <c r="J1611" t="s">
        <v>5347</v>
      </c>
      <c r="K1611" t="s">
        <v>81</v>
      </c>
      <c r="L1611" t="s">
        <v>33</v>
      </c>
      <c r="M1611" t="s">
        <v>4310</v>
      </c>
      <c r="N1611" t="s">
        <v>5393</v>
      </c>
      <c r="O1611" t="s">
        <v>5394</v>
      </c>
      <c r="P1611" s="2" t="s">
        <v>37</v>
      </c>
      <c r="Q1611" t="s">
        <v>1208</v>
      </c>
      <c r="R1611">
        <v>0</v>
      </c>
      <c r="S1611">
        <v>14.82</v>
      </c>
      <c r="T1611" t="s">
        <v>5395</v>
      </c>
    </row>
    <row r="1612" spans="1:20" x14ac:dyDescent="0.25">
      <c r="A1612" s="1" t="str">
        <f>HYPERLINK("https://vegkart.atlas.vegvesen.no/#/@234666.0,6604257.1,18/hva:hva%5B0%5D%5Bfilter%5D%5B0%5D%5Boperator%5D=%21%3D&amp;hva%5B0%5D%5Bfilter%5D%5B0%5D%5Btype_id%5D=9427&amp;hva%5B0%5D%5Bfilter%5D%5B0%5D%5Bverdi%5D=&amp;hva%5B0%5D%5Bid%5D=25/når:2023-05-31", "Vegkart")</f>
        <v>Vegkart</v>
      </c>
      <c r="B1612">
        <v>818125448</v>
      </c>
      <c r="C1612">
        <v>25</v>
      </c>
      <c r="D1612" t="s">
        <v>4290</v>
      </c>
      <c r="E1612">
        <v>9427</v>
      </c>
      <c r="F1612" t="s">
        <v>23479</v>
      </c>
      <c r="G1612">
        <v>3</v>
      </c>
      <c r="H1612" t="s">
        <v>4298</v>
      </c>
      <c r="J1612" t="s">
        <v>5347</v>
      </c>
      <c r="K1612" t="s">
        <v>81</v>
      </c>
      <c r="L1612" t="s">
        <v>33</v>
      </c>
      <c r="M1612" t="s">
        <v>4310</v>
      </c>
      <c r="N1612" t="s">
        <v>5396</v>
      </c>
      <c r="O1612" t="s">
        <v>5397</v>
      </c>
      <c r="P1612" s="2" t="s">
        <v>37</v>
      </c>
      <c r="Q1612" t="s">
        <v>1208</v>
      </c>
      <c r="R1612">
        <v>0</v>
      </c>
      <c r="S1612">
        <v>12.86</v>
      </c>
      <c r="T1612" t="s">
        <v>5398</v>
      </c>
    </row>
    <row r="1613" spans="1:20" x14ac:dyDescent="0.25">
      <c r="A1613" s="1" t="str">
        <f>HYPERLINK("https://vegkart.atlas.vegvesen.no/#/@234661.0,6604254.3,18/hva:hva%5B0%5D%5Bfilter%5D%5B0%5D%5Boperator%5D=%21%3D&amp;hva%5B0%5D%5Bfilter%5D%5B0%5D%5Btype_id%5D=9427&amp;hva%5B0%5D%5Bfilter%5D%5B0%5D%5Bverdi%5D=&amp;hva%5B0%5D%5Bid%5D=25/når:2023-05-31", "Vegkart")</f>
        <v>Vegkart</v>
      </c>
      <c r="B1613">
        <v>818125452</v>
      </c>
      <c r="C1613">
        <v>25</v>
      </c>
      <c r="D1613" t="s">
        <v>4290</v>
      </c>
      <c r="E1613">
        <v>9427</v>
      </c>
      <c r="F1613" t="s">
        <v>23479</v>
      </c>
      <c r="G1613">
        <v>3</v>
      </c>
      <c r="H1613" t="s">
        <v>4298</v>
      </c>
      <c r="J1613" t="s">
        <v>5357</v>
      </c>
      <c r="K1613" t="s">
        <v>81</v>
      </c>
      <c r="L1613" t="s">
        <v>33</v>
      </c>
      <c r="M1613" t="s">
        <v>4310</v>
      </c>
      <c r="N1613" t="s">
        <v>5399</v>
      </c>
      <c r="O1613" t="s">
        <v>5400</v>
      </c>
      <c r="P1613" s="2" t="s">
        <v>37</v>
      </c>
      <c r="Q1613" t="s">
        <v>1208</v>
      </c>
      <c r="R1613">
        <v>0</v>
      </c>
      <c r="S1613">
        <v>15.24</v>
      </c>
      <c r="T1613" t="s">
        <v>5401</v>
      </c>
    </row>
    <row r="1614" spans="1:20" x14ac:dyDescent="0.25">
      <c r="A1614" s="1" t="str">
        <f>HYPERLINK("https://vegkart.atlas.vegvesen.no/#/@237020.4,6576174.2,18/hva:hva%5B0%5D%5Bfilter%5D%5B0%5D%5Boperator%5D=%21%3D&amp;hva%5B0%5D%5Bfilter%5D%5B0%5D%5Btype_id%5D=9427&amp;hva%5B0%5D%5Bfilter%5D%5B0%5D%5Bverdi%5D=&amp;hva%5B0%5D%5Bid%5D=25/når:2023-05-31", "Vegkart")</f>
        <v>Vegkart</v>
      </c>
      <c r="B1614">
        <v>830627886</v>
      </c>
      <c r="C1614">
        <v>25</v>
      </c>
      <c r="D1614" t="s">
        <v>4290</v>
      </c>
      <c r="E1614">
        <v>9427</v>
      </c>
      <c r="F1614" t="s">
        <v>23479</v>
      </c>
      <c r="G1614">
        <v>3</v>
      </c>
      <c r="H1614" t="s">
        <v>4298</v>
      </c>
      <c r="J1614" t="s">
        <v>5347</v>
      </c>
      <c r="K1614" t="s">
        <v>81</v>
      </c>
      <c r="L1614" t="s">
        <v>33</v>
      </c>
      <c r="M1614" t="s">
        <v>4536</v>
      </c>
      <c r="N1614" t="s">
        <v>5402</v>
      </c>
      <c r="O1614" t="s">
        <v>5403</v>
      </c>
      <c r="P1614" s="2" t="s">
        <v>37</v>
      </c>
      <c r="Q1614" t="s">
        <v>1208</v>
      </c>
      <c r="R1614">
        <v>0</v>
      </c>
      <c r="S1614">
        <v>11.46</v>
      </c>
      <c r="T1614" t="s">
        <v>5404</v>
      </c>
    </row>
    <row r="1615" spans="1:20" x14ac:dyDescent="0.25">
      <c r="A1615" s="1" t="str">
        <f>HYPERLINK("https://vegkart.atlas.vegvesen.no/#/@229734.7,6563481.8,18/hva:hva%5B0%5D%5Bfilter%5D%5B0%5D%5Boperator%5D=%21%3D&amp;hva%5B0%5D%5Bfilter%5D%5B0%5D%5Btype_id%5D=9427&amp;hva%5B0%5D%5Bfilter%5D%5B0%5D%5Bverdi%5D=&amp;hva%5B0%5D%5Bid%5D=25/når:2023-05-31", "Vegkart")</f>
        <v>Vegkart</v>
      </c>
      <c r="B1615">
        <v>849127612</v>
      </c>
      <c r="C1615">
        <v>25</v>
      </c>
      <c r="D1615" t="s">
        <v>4290</v>
      </c>
      <c r="E1615">
        <v>9427</v>
      </c>
      <c r="F1615" t="s">
        <v>23479</v>
      </c>
      <c r="G1615">
        <v>3</v>
      </c>
      <c r="H1615" t="s">
        <v>4298</v>
      </c>
      <c r="J1615" t="s">
        <v>5405</v>
      </c>
      <c r="K1615" t="s">
        <v>81</v>
      </c>
      <c r="L1615" t="s">
        <v>33</v>
      </c>
      <c r="M1615" t="s">
        <v>5406</v>
      </c>
      <c r="N1615" t="s">
        <v>5407</v>
      </c>
      <c r="O1615" t="s">
        <v>5408</v>
      </c>
      <c r="P1615" s="2" t="s">
        <v>37</v>
      </c>
      <c r="Q1615" t="s">
        <v>1208</v>
      </c>
      <c r="R1615">
        <v>0</v>
      </c>
      <c r="S1615">
        <v>11.06</v>
      </c>
      <c r="T1615" t="s">
        <v>5409</v>
      </c>
    </row>
    <row r="1616" spans="1:20" x14ac:dyDescent="0.25">
      <c r="A1616" s="1" t="str">
        <f>HYPERLINK("https://vegkart.atlas.vegvesen.no/#/@225388.7,6558871.5,18/hva:hva%5B0%5D%5Bfilter%5D%5B0%5D%5Boperator%5D=%21%3D&amp;hva%5B0%5D%5Bfilter%5D%5B0%5D%5Btype_id%5D=9427&amp;hva%5B0%5D%5Bfilter%5D%5B0%5D%5Bverdi%5D=&amp;hva%5B0%5D%5Bid%5D=25/når:2024-02-01", "Vegkart")</f>
        <v>Vegkart</v>
      </c>
      <c r="B1616">
        <v>849886202</v>
      </c>
      <c r="C1616">
        <v>25</v>
      </c>
      <c r="D1616" t="s">
        <v>4290</v>
      </c>
      <c r="E1616">
        <v>9427</v>
      </c>
      <c r="F1616" t="s">
        <v>23479</v>
      </c>
      <c r="G1616">
        <v>4</v>
      </c>
      <c r="H1616" t="s">
        <v>2259</v>
      </c>
      <c r="J1616" t="s">
        <v>5405</v>
      </c>
      <c r="K1616" t="s">
        <v>81</v>
      </c>
      <c r="L1616" t="s">
        <v>33</v>
      </c>
      <c r="M1616" t="s">
        <v>1812</v>
      </c>
      <c r="N1616" t="s">
        <v>5410</v>
      </c>
      <c r="O1616" t="s">
        <v>5411</v>
      </c>
      <c r="P1616" s="2" t="s">
        <v>37</v>
      </c>
      <c r="Q1616" t="s">
        <v>1208</v>
      </c>
      <c r="R1616">
        <v>0</v>
      </c>
      <c r="S1616">
        <v>9.58</v>
      </c>
      <c r="T1616" t="s">
        <v>5412</v>
      </c>
    </row>
    <row r="1617" spans="1:20" x14ac:dyDescent="0.25">
      <c r="A1617" s="1" t="str">
        <f>HYPERLINK("https://vegkart.atlas.vegvesen.no/#/@237197.0,6564201.2,18/hva:hva%5B0%5D%5Bfilter%5D%5B0%5D%5Boperator%5D=%21%3D&amp;hva%5B0%5D%5Bfilter%5D%5B0%5D%5Btype_id%5D=9427&amp;hva%5B0%5D%5Bfilter%5D%5B0%5D%5Bverdi%5D=&amp;hva%5B0%5D%5Bid%5D=25/når:2023-05-31", "Vegkart")</f>
        <v>Vegkart</v>
      </c>
      <c r="B1617">
        <v>893744144</v>
      </c>
      <c r="C1617">
        <v>25</v>
      </c>
      <c r="D1617" t="s">
        <v>4290</v>
      </c>
      <c r="E1617">
        <v>9427</v>
      </c>
      <c r="F1617" t="s">
        <v>23479</v>
      </c>
      <c r="G1617">
        <v>3</v>
      </c>
      <c r="H1617" t="s">
        <v>4298</v>
      </c>
      <c r="J1617" t="s">
        <v>5405</v>
      </c>
      <c r="K1617" t="s">
        <v>81</v>
      </c>
      <c r="L1617" t="s">
        <v>33</v>
      </c>
      <c r="M1617" t="s">
        <v>1936</v>
      </c>
      <c r="N1617" t="s">
        <v>5413</v>
      </c>
      <c r="O1617" t="s">
        <v>5414</v>
      </c>
      <c r="P1617" s="2" t="s">
        <v>37</v>
      </c>
      <c r="Q1617" t="s">
        <v>1208</v>
      </c>
      <c r="R1617">
        <v>0</v>
      </c>
      <c r="S1617">
        <v>11.47</v>
      </c>
      <c r="T1617" t="s">
        <v>5415</v>
      </c>
    </row>
    <row r="1618" spans="1:20" x14ac:dyDescent="0.25">
      <c r="A1618" s="1" t="str">
        <f>HYPERLINK("https://vegkart.atlas.vegvesen.no/#/@237246.0,6564269.6,18/hva:hva%5B0%5D%5Bfilter%5D%5B0%5D%5Boperator%5D=%21%3D&amp;hva%5B0%5D%5Bfilter%5D%5B0%5D%5Btype_id%5D=9427&amp;hva%5B0%5D%5Bfilter%5D%5B0%5D%5Bverdi%5D=&amp;hva%5B0%5D%5Bid%5D=25/når:2023-05-31", "Vegkart")</f>
        <v>Vegkart</v>
      </c>
      <c r="B1618">
        <v>893744146</v>
      </c>
      <c r="C1618">
        <v>25</v>
      </c>
      <c r="D1618" t="s">
        <v>4290</v>
      </c>
      <c r="E1618">
        <v>9427</v>
      </c>
      <c r="F1618" t="s">
        <v>23479</v>
      </c>
      <c r="G1618">
        <v>3</v>
      </c>
      <c r="H1618" t="s">
        <v>4298</v>
      </c>
      <c r="J1618" t="s">
        <v>5405</v>
      </c>
      <c r="K1618" t="s">
        <v>81</v>
      </c>
      <c r="L1618" t="s">
        <v>33</v>
      </c>
      <c r="M1618" t="s">
        <v>1936</v>
      </c>
      <c r="N1618" t="s">
        <v>5416</v>
      </c>
      <c r="O1618" t="s">
        <v>5417</v>
      </c>
      <c r="P1618" s="2" t="s">
        <v>37</v>
      </c>
      <c r="Q1618" t="s">
        <v>1208</v>
      </c>
      <c r="R1618">
        <v>0</v>
      </c>
      <c r="S1618">
        <v>11.08</v>
      </c>
      <c r="T1618" t="s">
        <v>5418</v>
      </c>
    </row>
    <row r="1619" spans="1:20" x14ac:dyDescent="0.25">
      <c r="A1619" s="1" t="str">
        <f>HYPERLINK("https://vegkart.atlas.vegvesen.no/#/@213739.7,6595561.0,18/hva:hva%5B0%5D%5Bfilter%5D%5B0%5D%5Boperator%5D=%21%3D&amp;hva%5B0%5D%5Bfilter%5D%5B0%5D%5Btype_id%5D=9427&amp;hva%5B0%5D%5Bfilter%5D%5B0%5D%5Bverdi%5D=&amp;hva%5B0%5D%5Bid%5D=25/når:2023-05-31", "Vegkart")</f>
        <v>Vegkart</v>
      </c>
      <c r="B1619">
        <v>913573535</v>
      </c>
      <c r="C1619">
        <v>25</v>
      </c>
      <c r="D1619" t="s">
        <v>4290</v>
      </c>
      <c r="E1619">
        <v>9427</v>
      </c>
      <c r="F1619" t="s">
        <v>23479</v>
      </c>
      <c r="G1619">
        <v>3</v>
      </c>
      <c r="H1619" t="s">
        <v>4298</v>
      </c>
      <c r="J1619" t="s">
        <v>5419</v>
      </c>
      <c r="K1619" t="s">
        <v>81</v>
      </c>
      <c r="L1619" t="s">
        <v>33</v>
      </c>
      <c r="M1619" t="s">
        <v>197</v>
      </c>
      <c r="N1619" t="s">
        <v>5420</v>
      </c>
      <c r="O1619" t="s">
        <v>5421</v>
      </c>
      <c r="P1619" s="2" t="s">
        <v>37</v>
      </c>
      <c r="Q1619" t="s">
        <v>1208</v>
      </c>
      <c r="R1619">
        <v>0</v>
      </c>
      <c r="S1619">
        <v>18.149999999999999</v>
      </c>
      <c r="T1619" t="s">
        <v>5422</v>
      </c>
    </row>
    <row r="1620" spans="1:20" x14ac:dyDescent="0.25">
      <c r="A1620" s="1" t="str">
        <f>HYPERLINK("https://vegkart.atlas.vegvesen.no/#/@213758.8,6595555.8,18/hva:hva%5B0%5D%5Bfilter%5D%5B0%5D%5Boperator%5D=%21%3D&amp;hva%5B0%5D%5Bfilter%5D%5B0%5D%5Btype_id%5D=9427&amp;hva%5B0%5D%5Bfilter%5D%5B0%5D%5Bverdi%5D=&amp;hva%5B0%5D%5Bid%5D=25/når:2023-05-31", "Vegkart")</f>
        <v>Vegkart</v>
      </c>
      <c r="B1620">
        <v>913573536</v>
      </c>
      <c r="C1620">
        <v>25</v>
      </c>
      <c r="D1620" t="s">
        <v>4290</v>
      </c>
      <c r="E1620">
        <v>9427</v>
      </c>
      <c r="F1620" t="s">
        <v>23479</v>
      </c>
      <c r="G1620">
        <v>3</v>
      </c>
      <c r="H1620" t="s">
        <v>4298</v>
      </c>
      <c r="J1620" t="s">
        <v>5419</v>
      </c>
      <c r="K1620" t="s">
        <v>81</v>
      </c>
      <c r="L1620" t="s">
        <v>33</v>
      </c>
      <c r="M1620" t="s">
        <v>197</v>
      </c>
      <c r="N1620" t="s">
        <v>5423</v>
      </c>
      <c r="O1620" t="s">
        <v>5424</v>
      </c>
      <c r="P1620" s="2" t="s">
        <v>37</v>
      </c>
      <c r="Q1620" t="s">
        <v>1208</v>
      </c>
      <c r="R1620">
        <v>0</v>
      </c>
      <c r="S1620">
        <v>17.37</v>
      </c>
      <c r="T1620" t="s">
        <v>5425</v>
      </c>
    </row>
    <row r="1621" spans="1:20" x14ac:dyDescent="0.25">
      <c r="A1621" s="1" t="str">
        <f>HYPERLINK("https://vegkart.atlas.vegvesen.no/#/@239554.7,6568987.0,18/hva:hva%5B0%5D%5Bfilter%5D%5B0%5D%5Boperator%5D=%21%3D&amp;hva%5B0%5D%5Bfilter%5D%5B0%5D%5Btype_id%5D=9427&amp;hva%5B0%5D%5Bfilter%5D%5B0%5D%5Bverdi%5D=&amp;hva%5B0%5D%5Bid%5D=25/når:2023-05-31", "Vegkart")</f>
        <v>Vegkart</v>
      </c>
      <c r="B1621">
        <v>913615119</v>
      </c>
      <c r="C1621">
        <v>25</v>
      </c>
      <c r="D1621" t="s">
        <v>4290</v>
      </c>
      <c r="E1621">
        <v>9427</v>
      </c>
      <c r="F1621" t="s">
        <v>23479</v>
      </c>
      <c r="G1621">
        <v>3</v>
      </c>
      <c r="H1621" t="s">
        <v>4298</v>
      </c>
      <c r="J1621" t="s">
        <v>5419</v>
      </c>
      <c r="K1621" t="s">
        <v>81</v>
      </c>
      <c r="L1621" t="s">
        <v>33</v>
      </c>
      <c r="M1621" t="s">
        <v>4493</v>
      </c>
      <c r="N1621" t="s">
        <v>5426</v>
      </c>
      <c r="O1621" t="s">
        <v>5427</v>
      </c>
      <c r="P1621" s="2" t="s">
        <v>37</v>
      </c>
      <c r="Q1621" t="s">
        <v>1208</v>
      </c>
      <c r="R1621">
        <v>0</v>
      </c>
      <c r="S1621">
        <v>13.44</v>
      </c>
      <c r="T1621" t="s">
        <v>5428</v>
      </c>
    </row>
    <row r="1622" spans="1:20" x14ac:dyDescent="0.25">
      <c r="A1622" s="1" t="str">
        <f>HYPERLINK("https://vegkart.atlas.vegvesen.no/#/@238499.8,6584295.7,18/hva:hva%5B0%5D%5Bfilter%5D%5B0%5D%5Boperator%5D=%21%3D&amp;hva%5B0%5D%5Bfilter%5D%5B0%5D%5Btype_id%5D=9427&amp;hva%5B0%5D%5Bfilter%5D%5B0%5D%5Bverdi%5D=&amp;hva%5B0%5D%5Bid%5D=25/når:2023-05-31", "Vegkart")</f>
        <v>Vegkart</v>
      </c>
      <c r="B1622">
        <v>915657878</v>
      </c>
      <c r="C1622">
        <v>25</v>
      </c>
      <c r="D1622" t="s">
        <v>4290</v>
      </c>
      <c r="E1622">
        <v>9427</v>
      </c>
      <c r="F1622" t="s">
        <v>23479</v>
      </c>
      <c r="G1622">
        <v>3</v>
      </c>
      <c r="H1622" t="s">
        <v>4298</v>
      </c>
      <c r="J1622" t="s">
        <v>5419</v>
      </c>
      <c r="K1622" t="s">
        <v>81</v>
      </c>
      <c r="L1622" t="s">
        <v>33</v>
      </c>
      <c r="M1622" t="s">
        <v>4461</v>
      </c>
      <c r="N1622" t="s">
        <v>5429</v>
      </c>
      <c r="O1622" t="s">
        <v>5430</v>
      </c>
      <c r="P1622" s="2" t="s">
        <v>37</v>
      </c>
      <c r="Q1622" t="s">
        <v>1208</v>
      </c>
      <c r="R1622">
        <v>0</v>
      </c>
      <c r="S1622">
        <v>17.940000000000001</v>
      </c>
      <c r="T1622" t="s">
        <v>5431</v>
      </c>
    </row>
    <row r="1623" spans="1:20" x14ac:dyDescent="0.25">
      <c r="A1623" s="1" t="str">
        <f>HYPERLINK("https://vegkart.atlas.vegvesen.no/#/@238524.5,6584370.1,18/hva:hva%5B0%5D%5Bfilter%5D%5B0%5D%5Boperator%5D=%21%3D&amp;hva%5B0%5D%5Bfilter%5D%5B0%5D%5Btype_id%5D=9427&amp;hva%5B0%5D%5Bfilter%5D%5B0%5D%5Bverdi%5D=&amp;hva%5B0%5D%5Bid%5D=25/når:2023-05-31", "Vegkart")</f>
        <v>Vegkart</v>
      </c>
      <c r="B1623">
        <v>915657879</v>
      </c>
      <c r="C1623">
        <v>25</v>
      </c>
      <c r="D1623" t="s">
        <v>4290</v>
      </c>
      <c r="E1623">
        <v>9427</v>
      </c>
      <c r="F1623" t="s">
        <v>23479</v>
      </c>
      <c r="G1623">
        <v>3</v>
      </c>
      <c r="H1623" t="s">
        <v>4298</v>
      </c>
      <c r="J1623" t="s">
        <v>5419</v>
      </c>
      <c r="K1623" t="s">
        <v>81</v>
      </c>
      <c r="L1623" t="s">
        <v>33</v>
      </c>
      <c r="M1623" t="s">
        <v>4461</v>
      </c>
      <c r="N1623" t="s">
        <v>5432</v>
      </c>
      <c r="O1623" t="s">
        <v>5433</v>
      </c>
      <c r="P1623" s="2" t="s">
        <v>37</v>
      </c>
      <c r="Q1623" t="s">
        <v>1208</v>
      </c>
      <c r="R1623">
        <v>0</v>
      </c>
      <c r="S1623">
        <v>12.84</v>
      </c>
      <c r="T1623" t="s">
        <v>5434</v>
      </c>
    </row>
    <row r="1624" spans="1:20" x14ac:dyDescent="0.25">
      <c r="A1624" s="1" t="str">
        <f>HYPERLINK("https://vegkart.atlas.vegvesen.no/#/@238613.3,6584691.2,18/hva:hva%5B0%5D%5Bfilter%5D%5B0%5D%5Boperator%5D=%21%3D&amp;hva%5B0%5D%5Bfilter%5D%5B0%5D%5Btype_id%5D=9427&amp;hva%5B0%5D%5Bfilter%5D%5B0%5D%5Bverdi%5D=&amp;hva%5B0%5D%5Bid%5D=25/når:2023-05-31", "Vegkart")</f>
        <v>Vegkart</v>
      </c>
      <c r="B1624">
        <v>915657880</v>
      </c>
      <c r="C1624">
        <v>25</v>
      </c>
      <c r="D1624" t="s">
        <v>4290</v>
      </c>
      <c r="E1624">
        <v>9427</v>
      </c>
      <c r="F1624" t="s">
        <v>23479</v>
      </c>
      <c r="G1624">
        <v>3</v>
      </c>
      <c r="H1624" t="s">
        <v>4298</v>
      </c>
      <c r="J1624" t="s">
        <v>5419</v>
      </c>
      <c r="K1624" t="s">
        <v>81</v>
      </c>
      <c r="L1624" t="s">
        <v>33</v>
      </c>
      <c r="M1624" t="s">
        <v>4461</v>
      </c>
      <c r="N1624" t="s">
        <v>5435</v>
      </c>
      <c r="O1624" t="s">
        <v>5436</v>
      </c>
      <c r="P1624" s="2" t="s">
        <v>37</v>
      </c>
      <c r="Q1624" t="s">
        <v>1208</v>
      </c>
      <c r="R1624">
        <v>0</v>
      </c>
      <c r="S1624">
        <v>13.88</v>
      </c>
      <c r="T1624" t="s">
        <v>5437</v>
      </c>
    </row>
    <row r="1625" spans="1:20" x14ac:dyDescent="0.25">
      <c r="A1625" s="1" t="str">
        <f>HYPERLINK("https://vegkart.atlas.vegvesen.no/#/@242882.4,6581676.4,18/hva:hva%5B0%5D%5Bfilter%5D%5B0%5D%5Boperator%5D=%21%3D&amp;hva%5B0%5D%5Bfilter%5D%5B0%5D%5Btype_id%5D=9427&amp;hva%5B0%5D%5Bfilter%5D%5B0%5D%5Bverdi%5D=&amp;hva%5B0%5D%5Bid%5D=25/når:2023-05-31", "Vegkart")</f>
        <v>Vegkart</v>
      </c>
      <c r="B1625">
        <v>916019575</v>
      </c>
      <c r="C1625">
        <v>25</v>
      </c>
      <c r="D1625" t="s">
        <v>4290</v>
      </c>
      <c r="E1625">
        <v>9427</v>
      </c>
      <c r="F1625" t="s">
        <v>23479</v>
      </c>
      <c r="G1625">
        <v>3</v>
      </c>
      <c r="H1625" t="s">
        <v>4298</v>
      </c>
      <c r="J1625" t="s">
        <v>5419</v>
      </c>
      <c r="K1625" t="s">
        <v>81</v>
      </c>
      <c r="L1625" t="s">
        <v>33</v>
      </c>
      <c r="M1625" t="s">
        <v>1944</v>
      </c>
      <c r="N1625" t="s">
        <v>5438</v>
      </c>
      <c r="O1625" t="s">
        <v>5439</v>
      </c>
      <c r="P1625" s="2" t="s">
        <v>37</v>
      </c>
      <c r="Q1625" t="s">
        <v>1208</v>
      </c>
      <c r="R1625">
        <v>0</v>
      </c>
      <c r="S1625">
        <v>10.3</v>
      </c>
      <c r="T1625" t="s">
        <v>5440</v>
      </c>
    </row>
    <row r="1626" spans="1:20" x14ac:dyDescent="0.25">
      <c r="A1626" s="1" t="str">
        <f>HYPERLINK("https://vegkart.atlas.vegvesen.no/#/@242955.6,6581681.9,18/hva:hva%5B0%5D%5Bfilter%5D%5B0%5D%5Boperator%5D=%21%3D&amp;hva%5B0%5D%5Bfilter%5D%5B0%5D%5Btype_id%5D=9427&amp;hva%5B0%5D%5Bfilter%5D%5B0%5D%5Bverdi%5D=&amp;hva%5B0%5D%5Bid%5D=25/når:2023-05-31", "Vegkart")</f>
        <v>Vegkart</v>
      </c>
      <c r="B1626">
        <v>916019576</v>
      </c>
      <c r="C1626">
        <v>25</v>
      </c>
      <c r="D1626" t="s">
        <v>4290</v>
      </c>
      <c r="E1626">
        <v>9427</v>
      </c>
      <c r="F1626" t="s">
        <v>23479</v>
      </c>
      <c r="G1626">
        <v>3</v>
      </c>
      <c r="H1626" t="s">
        <v>4298</v>
      </c>
      <c r="J1626" t="s">
        <v>5419</v>
      </c>
      <c r="K1626" t="s">
        <v>81</v>
      </c>
      <c r="L1626" t="s">
        <v>33</v>
      </c>
      <c r="M1626" t="s">
        <v>1944</v>
      </c>
      <c r="N1626" t="s">
        <v>5441</v>
      </c>
      <c r="O1626" t="s">
        <v>5442</v>
      </c>
      <c r="P1626" s="2" t="s">
        <v>37</v>
      </c>
      <c r="Q1626" t="s">
        <v>1208</v>
      </c>
      <c r="R1626">
        <v>0</v>
      </c>
      <c r="S1626">
        <v>9.81</v>
      </c>
      <c r="T1626" t="s">
        <v>5443</v>
      </c>
    </row>
    <row r="1627" spans="1:20" x14ac:dyDescent="0.25">
      <c r="A1627" s="1" t="str">
        <f>HYPERLINK("https://vegkart.atlas.vegvesen.no/#/@236527.1,6561385.9,18/hva:hva%5B0%5D%5Bfilter%5D%5B0%5D%5Boperator%5D=%21%3D&amp;hva%5B0%5D%5Bfilter%5D%5B0%5D%5Btype_id%5D=9427&amp;hva%5B0%5D%5Bfilter%5D%5B0%5D%5Bverdi%5D=&amp;hva%5B0%5D%5Bid%5D=25/når:2023-05-31", "Vegkart")</f>
        <v>Vegkart</v>
      </c>
      <c r="B1627">
        <v>916032437</v>
      </c>
      <c r="C1627">
        <v>25</v>
      </c>
      <c r="D1627" t="s">
        <v>4290</v>
      </c>
      <c r="E1627">
        <v>9427</v>
      </c>
      <c r="F1627" t="s">
        <v>23479</v>
      </c>
      <c r="G1627">
        <v>3</v>
      </c>
      <c r="H1627" t="s">
        <v>4298</v>
      </c>
      <c r="J1627" t="s">
        <v>5419</v>
      </c>
      <c r="K1627" t="s">
        <v>81</v>
      </c>
      <c r="L1627" t="s">
        <v>33</v>
      </c>
      <c r="M1627" t="s">
        <v>1940</v>
      </c>
      <c r="N1627" t="s">
        <v>5444</v>
      </c>
      <c r="O1627" t="s">
        <v>5445</v>
      </c>
      <c r="P1627" s="2" t="s">
        <v>37</v>
      </c>
      <c r="Q1627" t="s">
        <v>1208</v>
      </c>
      <c r="R1627">
        <v>0</v>
      </c>
      <c r="S1627">
        <v>12.48</v>
      </c>
      <c r="T1627" t="s">
        <v>5446</v>
      </c>
    </row>
    <row r="1628" spans="1:20" x14ac:dyDescent="0.25">
      <c r="A1628" s="1" t="str">
        <f>HYPERLINK("https://vegkart.atlas.vegvesen.no/#/@236688.8,6562687.4,18/hva:hva%5B0%5D%5Bfilter%5D%5B0%5D%5Boperator%5D=%21%3D&amp;hva%5B0%5D%5Bfilter%5D%5B0%5D%5Btype_id%5D=9427&amp;hva%5B0%5D%5Bfilter%5D%5B0%5D%5Bverdi%5D=&amp;hva%5B0%5D%5Bid%5D=25/når:2023-05-31", "Vegkart")</f>
        <v>Vegkart</v>
      </c>
      <c r="B1628">
        <v>916079944</v>
      </c>
      <c r="C1628">
        <v>25</v>
      </c>
      <c r="D1628" t="s">
        <v>4290</v>
      </c>
      <c r="E1628">
        <v>9427</v>
      </c>
      <c r="F1628" t="s">
        <v>23479</v>
      </c>
      <c r="G1628">
        <v>3</v>
      </c>
      <c r="H1628" t="s">
        <v>4298</v>
      </c>
      <c r="J1628" t="s">
        <v>5419</v>
      </c>
      <c r="K1628" t="s">
        <v>81</v>
      </c>
      <c r="L1628" t="s">
        <v>33</v>
      </c>
      <c r="M1628" t="s">
        <v>1936</v>
      </c>
      <c r="N1628" t="s">
        <v>5447</v>
      </c>
      <c r="O1628" t="s">
        <v>5448</v>
      </c>
      <c r="P1628" s="2" t="s">
        <v>37</v>
      </c>
      <c r="Q1628" t="s">
        <v>1208</v>
      </c>
      <c r="R1628">
        <v>0</v>
      </c>
      <c r="S1628">
        <v>12.42</v>
      </c>
      <c r="T1628" t="s">
        <v>5449</v>
      </c>
    </row>
    <row r="1629" spans="1:20" x14ac:dyDescent="0.25">
      <c r="A1629" s="1" t="str">
        <f>HYPERLINK("https://vegkart.atlas.vegvesen.no/#/@230231.7,6613632.1,18/hva:hva%5B0%5D%5Bfilter%5D%5B0%5D%5Boperator%5D=%21%3D&amp;hva%5B0%5D%5Bfilter%5D%5B0%5D%5Btype_id%5D=9427&amp;hva%5B0%5D%5Bfilter%5D%5B0%5D%5Bverdi%5D=&amp;hva%5B0%5D%5Bid%5D=25/når:2023-05-31", "Vegkart")</f>
        <v>Vegkart</v>
      </c>
      <c r="B1629">
        <v>917455581</v>
      </c>
      <c r="C1629">
        <v>25</v>
      </c>
      <c r="D1629" t="s">
        <v>4290</v>
      </c>
      <c r="E1629">
        <v>9427</v>
      </c>
      <c r="F1629" t="s">
        <v>23479</v>
      </c>
      <c r="G1629">
        <v>3</v>
      </c>
      <c r="H1629" t="s">
        <v>4298</v>
      </c>
      <c r="J1629" t="s">
        <v>5419</v>
      </c>
      <c r="K1629" t="s">
        <v>81</v>
      </c>
      <c r="L1629" t="s">
        <v>33</v>
      </c>
      <c r="M1629" t="s">
        <v>4704</v>
      </c>
      <c r="N1629" t="s">
        <v>5450</v>
      </c>
      <c r="O1629" t="s">
        <v>5451</v>
      </c>
      <c r="P1629" s="2" t="s">
        <v>37</v>
      </c>
      <c r="Q1629" t="s">
        <v>1208</v>
      </c>
      <c r="R1629">
        <v>0</v>
      </c>
      <c r="S1629">
        <v>15.25</v>
      </c>
      <c r="T1629" t="s">
        <v>5452</v>
      </c>
    </row>
    <row r="1630" spans="1:20" x14ac:dyDescent="0.25">
      <c r="A1630" s="1" t="str">
        <f>HYPERLINK("https://vegkart.atlas.vegvesen.no/#/@237878.5,6580654.5,18/hva:hva%5B0%5D%5Bfilter%5D%5B0%5D%5Boperator%5D=%21%3D&amp;hva%5B0%5D%5Bfilter%5D%5B0%5D%5Btype_id%5D=9427&amp;hva%5B0%5D%5Bfilter%5D%5B0%5D%5Bverdi%5D=&amp;hva%5B0%5D%5Bid%5D=25/når:2023-05-31", "Vegkart")</f>
        <v>Vegkart</v>
      </c>
      <c r="B1630">
        <v>918842116</v>
      </c>
      <c r="C1630">
        <v>25</v>
      </c>
      <c r="D1630" t="s">
        <v>4290</v>
      </c>
      <c r="E1630">
        <v>9427</v>
      </c>
      <c r="F1630" t="s">
        <v>23479</v>
      </c>
      <c r="G1630">
        <v>3</v>
      </c>
      <c r="H1630" t="s">
        <v>4298</v>
      </c>
      <c r="J1630" t="s">
        <v>5419</v>
      </c>
      <c r="K1630" t="s">
        <v>81</v>
      </c>
      <c r="L1630" t="s">
        <v>33</v>
      </c>
      <c r="M1630" t="s">
        <v>1940</v>
      </c>
      <c r="N1630" t="s">
        <v>5453</v>
      </c>
      <c r="O1630" t="s">
        <v>5454</v>
      </c>
      <c r="P1630" s="2" t="s">
        <v>37</v>
      </c>
      <c r="Q1630" t="s">
        <v>1208</v>
      </c>
      <c r="R1630">
        <v>0</v>
      </c>
      <c r="S1630">
        <v>11.97</v>
      </c>
      <c r="T1630" t="s">
        <v>5455</v>
      </c>
    </row>
    <row r="1631" spans="1:20" x14ac:dyDescent="0.25">
      <c r="A1631" s="1" t="str">
        <f>HYPERLINK("https://vegkart.atlas.vegvesen.no/#/@237845.6,6580804.1,18/hva:hva%5B0%5D%5Bfilter%5D%5B0%5D%5Boperator%5D=%21%3D&amp;hva%5B0%5D%5Bfilter%5D%5B0%5D%5Btype_id%5D=9427&amp;hva%5B0%5D%5Bfilter%5D%5B0%5D%5Bverdi%5D=&amp;hva%5B0%5D%5Bid%5D=25/når:2023-05-31", "Vegkart")</f>
        <v>Vegkart</v>
      </c>
      <c r="B1631">
        <v>918842119</v>
      </c>
      <c r="C1631">
        <v>25</v>
      </c>
      <c r="D1631" t="s">
        <v>4290</v>
      </c>
      <c r="E1631">
        <v>9427</v>
      </c>
      <c r="F1631" t="s">
        <v>23479</v>
      </c>
      <c r="G1631">
        <v>3</v>
      </c>
      <c r="H1631" t="s">
        <v>4298</v>
      </c>
      <c r="J1631" t="s">
        <v>5419</v>
      </c>
      <c r="K1631" t="s">
        <v>81</v>
      </c>
      <c r="L1631" t="s">
        <v>33</v>
      </c>
      <c r="M1631" t="s">
        <v>1940</v>
      </c>
      <c r="N1631" t="s">
        <v>5456</v>
      </c>
      <c r="O1631" t="s">
        <v>5457</v>
      </c>
      <c r="P1631" s="2" t="s">
        <v>37</v>
      </c>
      <c r="Q1631" t="s">
        <v>1208</v>
      </c>
      <c r="R1631">
        <v>0</v>
      </c>
      <c r="S1631">
        <v>11.96</v>
      </c>
      <c r="T1631" t="s">
        <v>5458</v>
      </c>
    </row>
    <row r="1632" spans="1:20" x14ac:dyDescent="0.25">
      <c r="A1632" s="1" t="str">
        <f>HYPERLINK("https://vegkart.atlas.vegvesen.no/#/@214109.7,6552590.6,18/hva:hva%5B0%5D%5Bfilter%5D%5B0%5D%5Boperator%5D=%21%3D&amp;hva%5B0%5D%5Bfilter%5D%5B0%5D%5Btype_id%5D=9427&amp;hva%5B0%5D%5Bfilter%5D%5B0%5D%5Bverdi%5D=&amp;hva%5B0%5D%5Bid%5D=25/når:2023-05-31", "Vegkart")</f>
        <v>Vegkart</v>
      </c>
      <c r="B1632">
        <v>920517473</v>
      </c>
      <c r="C1632">
        <v>25</v>
      </c>
      <c r="D1632" t="s">
        <v>4290</v>
      </c>
      <c r="E1632">
        <v>9427</v>
      </c>
      <c r="F1632" t="s">
        <v>23479</v>
      </c>
      <c r="G1632">
        <v>3</v>
      </c>
      <c r="H1632" t="s">
        <v>4298</v>
      </c>
      <c r="J1632" t="s">
        <v>5419</v>
      </c>
      <c r="K1632" t="s">
        <v>81</v>
      </c>
      <c r="L1632" t="s">
        <v>33</v>
      </c>
      <c r="M1632" t="s">
        <v>1958</v>
      </c>
      <c r="N1632" t="s">
        <v>5459</v>
      </c>
      <c r="O1632" t="s">
        <v>5460</v>
      </c>
      <c r="P1632" s="2" t="s">
        <v>37</v>
      </c>
      <c r="Q1632" t="s">
        <v>1208</v>
      </c>
      <c r="R1632">
        <v>0</v>
      </c>
      <c r="S1632">
        <v>12.83</v>
      </c>
      <c r="T1632" t="s">
        <v>5461</v>
      </c>
    </row>
    <row r="1633" spans="1:20" x14ac:dyDescent="0.25">
      <c r="A1633" s="1" t="str">
        <f>HYPERLINK("https://vegkart.atlas.vegvesen.no/#/@214118.1,6552539.7,18/hva:hva%5B0%5D%5Bfilter%5D%5B0%5D%5Boperator%5D=%21%3D&amp;hva%5B0%5D%5Bfilter%5D%5B0%5D%5Btype_id%5D=9427&amp;hva%5B0%5D%5Bfilter%5D%5B0%5D%5Bverdi%5D=&amp;hva%5B0%5D%5Bid%5D=25/når:2023-05-31", "Vegkart")</f>
        <v>Vegkart</v>
      </c>
      <c r="B1633">
        <v>920517474</v>
      </c>
      <c r="C1633">
        <v>25</v>
      </c>
      <c r="D1633" t="s">
        <v>4290</v>
      </c>
      <c r="E1633">
        <v>9427</v>
      </c>
      <c r="F1633" t="s">
        <v>23479</v>
      </c>
      <c r="G1633">
        <v>3</v>
      </c>
      <c r="H1633" t="s">
        <v>4298</v>
      </c>
      <c r="J1633" t="s">
        <v>5419</v>
      </c>
      <c r="K1633" t="s">
        <v>81</v>
      </c>
      <c r="L1633" t="s">
        <v>33</v>
      </c>
      <c r="M1633" t="s">
        <v>1958</v>
      </c>
      <c r="N1633" t="s">
        <v>5462</v>
      </c>
      <c r="O1633" t="s">
        <v>5463</v>
      </c>
      <c r="P1633" s="2" t="s">
        <v>37</v>
      </c>
      <c r="Q1633" t="s">
        <v>1208</v>
      </c>
      <c r="R1633">
        <v>0</v>
      </c>
      <c r="S1633">
        <v>11.19</v>
      </c>
      <c r="T1633" t="s">
        <v>5464</v>
      </c>
    </row>
    <row r="1634" spans="1:20" x14ac:dyDescent="0.25">
      <c r="A1634" s="1" t="str">
        <f>HYPERLINK("https://vegkart.atlas.vegvesen.no/#/@213989.2,6553088.1,18/hva:hva%5B0%5D%5Bfilter%5D%5B0%5D%5Boperator%5D=%21%3D&amp;hva%5B0%5D%5Bfilter%5D%5B0%5D%5Btype_id%5D=9427&amp;hva%5B0%5D%5Bfilter%5D%5B0%5D%5Bverdi%5D=&amp;hva%5B0%5D%5Bid%5D=25/når:2023-05-31", "Vegkart")</f>
        <v>Vegkart</v>
      </c>
      <c r="B1634">
        <v>920517479</v>
      </c>
      <c r="C1634">
        <v>25</v>
      </c>
      <c r="D1634" t="s">
        <v>4290</v>
      </c>
      <c r="E1634">
        <v>9427</v>
      </c>
      <c r="F1634" t="s">
        <v>23479</v>
      </c>
      <c r="G1634">
        <v>3</v>
      </c>
      <c r="H1634" t="s">
        <v>4298</v>
      </c>
      <c r="J1634" t="s">
        <v>5419</v>
      </c>
      <c r="K1634" t="s">
        <v>81</v>
      </c>
      <c r="L1634" t="s">
        <v>33</v>
      </c>
      <c r="M1634" t="s">
        <v>1958</v>
      </c>
      <c r="N1634" t="s">
        <v>5465</v>
      </c>
      <c r="O1634" t="s">
        <v>5466</v>
      </c>
      <c r="P1634" s="2" t="s">
        <v>37</v>
      </c>
      <c r="Q1634" t="s">
        <v>1208</v>
      </c>
      <c r="R1634">
        <v>0</v>
      </c>
      <c r="S1634">
        <v>16.21</v>
      </c>
      <c r="T1634" t="s">
        <v>5467</v>
      </c>
    </row>
    <row r="1635" spans="1:20" x14ac:dyDescent="0.25">
      <c r="A1635" s="1" t="str">
        <f>HYPERLINK("https://vegkart.atlas.vegvesen.no/#/@214009.0,6553206.3,18/hva:hva%5B0%5D%5Bfilter%5D%5B0%5D%5Boperator%5D=%21%3D&amp;hva%5B0%5D%5Bfilter%5D%5B0%5D%5Btype_id%5D=9427&amp;hva%5B0%5D%5Bfilter%5D%5B0%5D%5Bverdi%5D=&amp;hva%5B0%5D%5Bid%5D=25/når:2023-05-31", "Vegkart")</f>
        <v>Vegkart</v>
      </c>
      <c r="B1635">
        <v>920517482</v>
      </c>
      <c r="C1635">
        <v>25</v>
      </c>
      <c r="D1635" t="s">
        <v>4290</v>
      </c>
      <c r="E1635">
        <v>9427</v>
      </c>
      <c r="F1635" t="s">
        <v>23479</v>
      </c>
      <c r="G1635">
        <v>3</v>
      </c>
      <c r="H1635" t="s">
        <v>4298</v>
      </c>
      <c r="J1635" t="s">
        <v>5419</v>
      </c>
      <c r="K1635" t="s">
        <v>81</v>
      </c>
      <c r="L1635" t="s">
        <v>33</v>
      </c>
      <c r="M1635" t="s">
        <v>1958</v>
      </c>
      <c r="N1635" t="s">
        <v>5468</v>
      </c>
      <c r="O1635" t="s">
        <v>5469</v>
      </c>
      <c r="P1635" s="2" t="s">
        <v>37</v>
      </c>
      <c r="Q1635" t="s">
        <v>1208</v>
      </c>
      <c r="R1635">
        <v>0</v>
      </c>
      <c r="S1635">
        <v>14.46</v>
      </c>
      <c r="T1635" t="s">
        <v>5470</v>
      </c>
    </row>
    <row r="1636" spans="1:20" x14ac:dyDescent="0.25">
      <c r="A1636" s="1" t="str">
        <f>HYPERLINK("https://vegkart.atlas.vegvesen.no/#/@220549.6,6556421.7,18/hva:hva%5B0%5D%5Bfilter%5D%5B0%5D%5Boperator%5D=%21%3D&amp;hva%5B0%5D%5Bfilter%5D%5B0%5D%5Btype_id%5D=9427&amp;hva%5B0%5D%5Bfilter%5D%5B0%5D%5Bverdi%5D=&amp;hva%5B0%5D%5Bid%5D=25/når:2023-05-31", "Vegkart")</f>
        <v>Vegkart</v>
      </c>
      <c r="B1636">
        <v>920659227</v>
      </c>
      <c r="C1636">
        <v>25</v>
      </c>
      <c r="D1636" t="s">
        <v>4290</v>
      </c>
      <c r="E1636">
        <v>9427</v>
      </c>
      <c r="F1636" t="s">
        <v>23479</v>
      </c>
      <c r="G1636">
        <v>4</v>
      </c>
      <c r="H1636" t="s">
        <v>4298</v>
      </c>
      <c r="J1636" t="s">
        <v>5419</v>
      </c>
      <c r="K1636" t="s">
        <v>81</v>
      </c>
      <c r="L1636" t="s">
        <v>33</v>
      </c>
      <c r="M1636" t="s">
        <v>1812</v>
      </c>
      <c r="N1636" t="s">
        <v>5471</v>
      </c>
      <c r="O1636" t="s">
        <v>5472</v>
      </c>
      <c r="P1636" s="2" t="s">
        <v>37</v>
      </c>
      <c r="Q1636" t="s">
        <v>1208</v>
      </c>
      <c r="R1636">
        <v>0</v>
      </c>
      <c r="S1636">
        <v>13.61</v>
      </c>
      <c r="T1636" t="s">
        <v>5473</v>
      </c>
    </row>
    <row r="1637" spans="1:20" x14ac:dyDescent="0.25">
      <c r="A1637" s="1" t="str">
        <f>HYPERLINK("https://vegkart.atlas.vegvesen.no/#/@220500.7,6556401.2,18/hva:hva%5B0%5D%5Bfilter%5D%5B0%5D%5Boperator%5D=%21%3D&amp;hva%5B0%5D%5Bfilter%5D%5B0%5D%5Btype_id%5D=9427&amp;hva%5B0%5D%5Bfilter%5D%5B0%5D%5Bverdi%5D=&amp;hva%5B0%5D%5Bid%5D=25/når:2023-05-31", "Vegkart")</f>
        <v>Vegkart</v>
      </c>
      <c r="B1637">
        <v>920659228</v>
      </c>
      <c r="C1637">
        <v>25</v>
      </c>
      <c r="D1637" t="s">
        <v>4290</v>
      </c>
      <c r="E1637">
        <v>9427</v>
      </c>
      <c r="F1637" t="s">
        <v>23479</v>
      </c>
      <c r="G1637">
        <v>4</v>
      </c>
      <c r="H1637" t="s">
        <v>4298</v>
      </c>
      <c r="J1637" t="s">
        <v>5419</v>
      </c>
      <c r="K1637" t="s">
        <v>81</v>
      </c>
      <c r="L1637" t="s">
        <v>33</v>
      </c>
      <c r="M1637" t="s">
        <v>1812</v>
      </c>
      <c r="N1637" t="s">
        <v>5474</v>
      </c>
      <c r="O1637" t="s">
        <v>5475</v>
      </c>
      <c r="P1637" s="2" t="s">
        <v>37</v>
      </c>
      <c r="Q1637" t="s">
        <v>1208</v>
      </c>
      <c r="R1637">
        <v>0</v>
      </c>
      <c r="S1637">
        <v>13.58</v>
      </c>
      <c r="T1637" t="s">
        <v>5476</v>
      </c>
    </row>
    <row r="1638" spans="1:20" x14ac:dyDescent="0.25">
      <c r="A1638" s="1" t="str">
        <f>HYPERLINK("https://vegkart.atlas.vegvesen.no/#/@237422.2,6578441.9,18/hva:hva%5B0%5D%5Bfilter%5D%5B0%5D%5Boperator%5D=%21%3D&amp;hva%5B0%5D%5Bfilter%5D%5B0%5D%5Btype_id%5D=9427&amp;hva%5B0%5D%5Bfilter%5D%5B0%5D%5Bverdi%5D=&amp;hva%5B0%5D%5Bid%5D=25/når:2023-05-31", "Vegkart")</f>
        <v>Vegkart</v>
      </c>
      <c r="B1638">
        <v>979068034</v>
      </c>
      <c r="C1638">
        <v>25</v>
      </c>
      <c r="D1638" t="s">
        <v>4290</v>
      </c>
      <c r="E1638">
        <v>9427</v>
      </c>
      <c r="F1638" t="s">
        <v>23479</v>
      </c>
      <c r="G1638">
        <v>3</v>
      </c>
      <c r="H1638" t="s">
        <v>4298</v>
      </c>
      <c r="J1638" t="s">
        <v>5477</v>
      </c>
      <c r="K1638" t="s">
        <v>81</v>
      </c>
      <c r="L1638" t="s">
        <v>33</v>
      </c>
      <c r="M1638" t="s">
        <v>4536</v>
      </c>
      <c r="N1638" t="s">
        <v>5478</v>
      </c>
      <c r="O1638" t="s">
        <v>5479</v>
      </c>
      <c r="P1638" s="2" t="s">
        <v>37</v>
      </c>
      <c r="Q1638" t="s">
        <v>1208</v>
      </c>
      <c r="R1638">
        <v>0</v>
      </c>
      <c r="S1638">
        <v>13.32</v>
      </c>
      <c r="T1638" t="s">
        <v>5480</v>
      </c>
    </row>
    <row r="1639" spans="1:20" x14ac:dyDescent="0.25">
      <c r="A1639" s="1" t="str">
        <f>HYPERLINK("https://vegkart.atlas.vegvesen.no/#/@237477.7,6578555.4,18/hva:hva%5B0%5D%5Bfilter%5D%5B0%5D%5Boperator%5D=%21%3D&amp;hva%5B0%5D%5Bfilter%5D%5B0%5D%5Btype_id%5D=9427&amp;hva%5B0%5D%5Bfilter%5D%5B0%5D%5Bverdi%5D=&amp;hva%5B0%5D%5Bid%5D=25/når:2024-08-08", "Vegkart")</f>
        <v>Vegkart</v>
      </c>
      <c r="B1639">
        <v>979068038</v>
      </c>
      <c r="C1639">
        <v>25</v>
      </c>
      <c r="D1639" t="s">
        <v>4290</v>
      </c>
      <c r="E1639">
        <v>9427</v>
      </c>
      <c r="F1639" t="s">
        <v>23479</v>
      </c>
      <c r="G1639">
        <v>4</v>
      </c>
      <c r="H1639" t="s">
        <v>1215</v>
      </c>
      <c r="J1639" t="s">
        <v>5477</v>
      </c>
      <c r="K1639" t="s">
        <v>81</v>
      </c>
      <c r="L1639" t="s">
        <v>33</v>
      </c>
      <c r="M1639" t="s">
        <v>4536</v>
      </c>
      <c r="N1639" t="s">
        <v>5481</v>
      </c>
      <c r="O1639" t="s">
        <v>5482</v>
      </c>
      <c r="P1639" s="2" t="s">
        <v>37</v>
      </c>
      <c r="Q1639" t="s">
        <v>1208</v>
      </c>
      <c r="R1639">
        <v>0</v>
      </c>
      <c r="S1639">
        <v>14.35</v>
      </c>
      <c r="T1639" t="s">
        <v>5483</v>
      </c>
    </row>
    <row r="1640" spans="1:20" x14ac:dyDescent="0.25">
      <c r="A1640" s="1" t="str">
        <f>HYPERLINK("https://vegkart.atlas.vegvesen.no/#/@224285.4,6607267.6,18/hva:hva%5B0%5D%5Bfilter%5D%5B0%5D%5Boperator%5D=%21%3D&amp;hva%5B0%5D%5Bfilter%5D%5B0%5D%5Btype_id%5D=9427&amp;hva%5B0%5D%5Bfilter%5D%5B0%5D%5Bverdi%5D=&amp;hva%5B0%5D%5Bid%5D=25/når:2023-05-31", "Vegkart")</f>
        <v>Vegkart</v>
      </c>
      <c r="B1640">
        <v>1005499144</v>
      </c>
      <c r="C1640">
        <v>25</v>
      </c>
      <c r="D1640" t="s">
        <v>4290</v>
      </c>
      <c r="E1640">
        <v>9427</v>
      </c>
      <c r="F1640" t="s">
        <v>23479</v>
      </c>
      <c r="G1640">
        <v>4</v>
      </c>
      <c r="H1640" t="s">
        <v>4298</v>
      </c>
      <c r="J1640" t="s">
        <v>5477</v>
      </c>
      <c r="K1640" t="s">
        <v>81</v>
      </c>
      <c r="L1640" t="s">
        <v>33</v>
      </c>
      <c r="M1640" t="s">
        <v>132</v>
      </c>
      <c r="N1640" t="s">
        <v>5484</v>
      </c>
      <c r="O1640" t="s">
        <v>5485</v>
      </c>
      <c r="P1640" s="2" t="s">
        <v>37</v>
      </c>
      <c r="Q1640" t="s">
        <v>1208</v>
      </c>
      <c r="R1640">
        <v>0</v>
      </c>
      <c r="S1640">
        <v>10.83</v>
      </c>
      <c r="T1640" t="s">
        <v>5486</v>
      </c>
    </row>
    <row r="1641" spans="1:20" x14ac:dyDescent="0.25">
      <c r="A1641" s="1" t="str">
        <f>HYPERLINK("https://vegkart.atlas.vegvesen.no/#/@238897.3,6579381.6,18/hva:hva%5B0%5D%5Bfilter%5D%5B0%5D%5Boperator%5D=%21%3D&amp;hva%5B0%5D%5Bfilter%5D%5B0%5D%5Btype_id%5D=9427&amp;hva%5B0%5D%5Bfilter%5D%5B0%5D%5Bverdi%5D=&amp;hva%5B0%5D%5Bid%5D=25/når:2023-05-31", "Vegkart")</f>
        <v>Vegkart</v>
      </c>
      <c r="B1641">
        <v>1006794060</v>
      </c>
      <c r="C1641">
        <v>25</v>
      </c>
      <c r="D1641" t="s">
        <v>4290</v>
      </c>
      <c r="E1641">
        <v>9427</v>
      </c>
      <c r="F1641" t="s">
        <v>23479</v>
      </c>
      <c r="G1641">
        <v>3</v>
      </c>
      <c r="H1641" t="s">
        <v>4298</v>
      </c>
      <c r="J1641" t="s">
        <v>5477</v>
      </c>
      <c r="K1641" t="s">
        <v>81</v>
      </c>
      <c r="L1641" t="s">
        <v>33</v>
      </c>
      <c r="M1641" t="s">
        <v>5487</v>
      </c>
      <c r="N1641" t="s">
        <v>5488</v>
      </c>
      <c r="O1641" t="s">
        <v>5489</v>
      </c>
      <c r="P1641" s="2" t="s">
        <v>37</v>
      </c>
      <c r="Q1641" t="s">
        <v>1208</v>
      </c>
      <c r="R1641">
        <v>0</v>
      </c>
      <c r="S1641">
        <v>17.850000000000001</v>
      </c>
      <c r="T1641" t="s">
        <v>5490</v>
      </c>
    </row>
    <row r="1642" spans="1:20" x14ac:dyDescent="0.25">
      <c r="A1642" s="1" t="str">
        <f>HYPERLINK("https://vegkart.atlas.vegvesen.no/#/@239340.9,6579509.5,18/hva:hva%5B0%5D%5Bfilter%5D%5B0%5D%5Boperator%5D=%21%3D&amp;hva%5B0%5D%5Bfilter%5D%5B0%5D%5Btype_id%5D=9427&amp;hva%5B0%5D%5Bfilter%5D%5B0%5D%5Bverdi%5D=&amp;hva%5B0%5D%5Bid%5D=25/når:2023-05-31", "Vegkart")</f>
        <v>Vegkart</v>
      </c>
      <c r="B1642">
        <v>1006794062</v>
      </c>
      <c r="C1642">
        <v>25</v>
      </c>
      <c r="D1642" t="s">
        <v>4290</v>
      </c>
      <c r="E1642">
        <v>9427</v>
      </c>
      <c r="F1642" t="s">
        <v>23479</v>
      </c>
      <c r="G1642">
        <v>3</v>
      </c>
      <c r="H1642" t="s">
        <v>4298</v>
      </c>
      <c r="J1642" t="s">
        <v>5477</v>
      </c>
      <c r="K1642" t="s">
        <v>81</v>
      </c>
      <c r="L1642" t="s">
        <v>33</v>
      </c>
      <c r="M1642" t="s">
        <v>5487</v>
      </c>
      <c r="N1642" t="s">
        <v>5491</v>
      </c>
      <c r="O1642" t="s">
        <v>5492</v>
      </c>
      <c r="P1642" s="2" t="s">
        <v>37</v>
      </c>
      <c r="Q1642" t="s">
        <v>1208</v>
      </c>
      <c r="R1642">
        <v>0</v>
      </c>
      <c r="S1642">
        <v>20.81</v>
      </c>
      <c r="T1642" t="s">
        <v>5493</v>
      </c>
    </row>
    <row r="1643" spans="1:20" x14ac:dyDescent="0.25">
      <c r="A1643" s="1" t="str">
        <f>HYPERLINK("https://vegkart.atlas.vegvesen.no/#/@238947.6,6579427.0,18/hva:hva%5B0%5D%5Bfilter%5D%5B0%5D%5Boperator%5D=%21%3D&amp;hva%5B0%5D%5Bfilter%5D%5B0%5D%5Btype_id%5D=9427&amp;hva%5B0%5D%5Bfilter%5D%5B0%5D%5Bverdi%5D=&amp;hva%5B0%5D%5Bid%5D=25/når:2023-05-31", "Vegkart")</f>
        <v>Vegkart</v>
      </c>
      <c r="B1643">
        <v>1006794096</v>
      </c>
      <c r="C1643">
        <v>25</v>
      </c>
      <c r="D1643" t="s">
        <v>4290</v>
      </c>
      <c r="E1643">
        <v>9427</v>
      </c>
      <c r="F1643" t="s">
        <v>23479</v>
      </c>
      <c r="G1643">
        <v>3</v>
      </c>
      <c r="H1643" t="s">
        <v>4298</v>
      </c>
      <c r="J1643" t="s">
        <v>5477</v>
      </c>
      <c r="K1643" t="s">
        <v>81</v>
      </c>
      <c r="L1643" t="s">
        <v>33</v>
      </c>
      <c r="M1643" t="s">
        <v>5487</v>
      </c>
      <c r="N1643" t="s">
        <v>5494</v>
      </c>
      <c r="O1643" t="s">
        <v>5495</v>
      </c>
      <c r="P1643" s="2" t="s">
        <v>37</v>
      </c>
      <c r="Q1643" t="s">
        <v>1208</v>
      </c>
      <c r="R1643">
        <v>0</v>
      </c>
      <c r="S1643">
        <v>12.29</v>
      </c>
      <c r="T1643" t="s">
        <v>5496</v>
      </c>
    </row>
    <row r="1644" spans="1:20" x14ac:dyDescent="0.25">
      <c r="A1644" s="1" t="str">
        <f>HYPERLINK("https://vegkart.atlas.vegvesen.no/#/@239397.9,6579474.9,18/hva:hva%5B0%5D%5Bfilter%5D%5B0%5D%5Boperator%5D=%21%3D&amp;hva%5B0%5D%5Bfilter%5D%5B0%5D%5Btype_id%5D=9427&amp;hva%5B0%5D%5Bfilter%5D%5B0%5D%5Bverdi%5D=&amp;hva%5B0%5D%5Bid%5D=25/når:2023-05-31", "Vegkart")</f>
        <v>Vegkart</v>
      </c>
      <c r="B1644">
        <v>1006794158</v>
      </c>
      <c r="C1644">
        <v>25</v>
      </c>
      <c r="D1644" t="s">
        <v>4290</v>
      </c>
      <c r="E1644">
        <v>9427</v>
      </c>
      <c r="F1644" t="s">
        <v>23479</v>
      </c>
      <c r="G1644">
        <v>3</v>
      </c>
      <c r="H1644" t="s">
        <v>4298</v>
      </c>
      <c r="J1644" t="s">
        <v>5477</v>
      </c>
      <c r="K1644" t="s">
        <v>81</v>
      </c>
      <c r="L1644" t="s">
        <v>33</v>
      </c>
      <c r="M1644" t="s">
        <v>5487</v>
      </c>
      <c r="N1644" t="s">
        <v>5497</v>
      </c>
      <c r="O1644" t="s">
        <v>5498</v>
      </c>
      <c r="P1644" s="2" t="s">
        <v>37</v>
      </c>
      <c r="Q1644" t="s">
        <v>1208</v>
      </c>
      <c r="R1644">
        <v>0</v>
      </c>
      <c r="S1644">
        <v>16.239999999999998</v>
      </c>
      <c r="T1644" t="s">
        <v>5499</v>
      </c>
    </row>
    <row r="1645" spans="1:20" x14ac:dyDescent="0.25">
      <c r="A1645" s="1" t="str">
        <f>HYPERLINK("https://vegkart.atlas.vegvesen.no/#/@240449.3,6578817.2,18/hva:hva%5B0%5D%5Bfilter%5D%5B0%5D%5Boperator%5D=%21%3D&amp;hva%5B0%5D%5Bfilter%5D%5B0%5D%5Btype_id%5D=9427&amp;hva%5B0%5D%5Bfilter%5D%5B0%5D%5Bverdi%5D=&amp;hva%5B0%5D%5Bid%5D=25/når:2023-05-31", "Vegkart")</f>
        <v>Vegkart</v>
      </c>
      <c r="B1645">
        <v>1013134785</v>
      </c>
      <c r="C1645">
        <v>25</v>
      </c>
      <c r="D1645" t="s">
        <v>4290</v>
      </c>
      <c r="E1645">
        <v>9427</v>
      </c>
      <c r="F1645" t="s">
        <v>23479</v>
      </c>
      <c r="G1645">
        <v>2</v>
      </c>
      <c r="H1645" t="s">
        <v>4298</v>
      </c>
      <c r="J1645" t="s">
        <v>5500</v>
      </c>
      <c r="K1645" t="s">
        <v>81</v>
      </c>
      <c r="L1645" t="s">
        <v>33</v>
      </c>
      <c r="M1645" t="s">
        <v>5151</v>
      </c>
      <c r="N1645" t="s">
        <v>5501</v>
      </c>
      <c r="O1645" t="s">
        <v>5502</v>
      </c>
      <c r="P1645" s="2" t="s">
        <v>165</v>
      </c>
      <c r="Q1645" t="s">
        <v>166</v>
      </c>
      <c r="R1645">
        <v>0</v>
      </c>
      <c r="S1645">
        <v>14.25</v>
      </c>
      <c r="T1645" t="s">
        <v>167</v>
      </c>
    </row>
    <row r="1646" spans="1:20" x14ac:dyDescent="0.25">
      <c r="A1646" s="1" t="str">
        <f>HYPERLINK("https://vegkart.atlas.vegvesen.no/#/@241222.3,6590015.7,18/hva:hva%5B0%5D%5Bfilter%5D%5B0%5D%5Boperator%5D=%21%3D&amp;hva%5B0%5D%5Bfilter%5D%5B0%5D%5Btype_id%5D=9427&amp;hva%5B0%5D%5Bfilter%5D%5B0%5D%5Bverdi%5D=&amp;hva%5B0%5D%5Bid%5D=25/når:2023-05-31", "Vegkart")</f>
        <v>Vegkart</v>
      </c>
      <c r="B1646">
        <v>1013305605</v>
      </c>
      <c r="C1646">
        <v>25</v>
      </c>
      <c r="D1646" t="s">
        <v>4290</v>
      </c>
      <c r="E1646">
        <v>9427</v>
      </c>
      <c r="F1646" t="s">
        <v>23479</v>
      </c>
      <c r="G1646">
        <v>3</v>
      </c>
      <c r="H1646" t="s">
        <v>4298</v>
      </c>
      <c r="J1646" t="s">
        <v>5500</v>
      </c>
      <c r="K1646" t="s">
        <v>81</v>
      </c>
      <c r="L1646" t="s">
        <v>33</v>
      </c>
      <c r="M1646" t="s">
        <v>4461</v>
      </c>
      <c r="N1646" t="s">
        <v>5503</v>
      </c>
      <c r="O1646" t="s">
        <v>5504</v>
      </c>
      <c r="P1646" s="2" t="s">
        <v>37</v>
      </c>
      <c r="Q1646" t="s">
        <v>1208</v>
      </c>
      <c r="R1646">
        <v>0</v>
      </c>
      <c r="S1646">
        <v>13.62</v>
      </c>
      <c r="T1646" t="s">
        <v>5505</v>
      </c>
    </row>
    <row r="1647" spans="1:20" x14ac:dyDescent="0.25">
      <c r="A1647" s="1" t="str">
        <f>HYPERLINK("https://vegkart.atlas.vegvesen.no/#/@241221.0,6590010.4,18/hva:hva%5B0%5D%5Bfilter%5D%5B0%5D%5Boperator%5D=%21%3D&amp;hva%5B0%5D%5Bfilter%5D%5B0%5D%5Btype_id%5D=9427&amp;hva%5B0%5D%5Bfilter%5D%5B0%5D%5Bverdi%5D=&amp;hva%5B0%5D%5Bid%5D=25/når:2023-05-31", "Vegkart")</f>
        <v>Vegkart</v>
      </c>
      <c r="B1647">
        <v>1013305606</v>
      </c>
      <c r="C1647">
        <v>25</v>
      </c>
      <c r="D1647" t="s">
        <v>4290</v>
      </c>
      <c r="E1647">
        <v>9427</v>
      </c>
      <c r="F1647" t="s">
        <v>23479</v>
      </c>
      <c r="G1647">
        <v>3</v>
      </c>
      <c r="H1647" t="s">
        <v>4298</v>
      </c>
      <c r="J1647" t="s">
        <v>5500</v>
      </c>
      <c r="K1647" t="s">
        <v>81</v>
      </c>
      <c r="L1647" t="s">
        <v>33</v>
      </c>
      <c r="M1647" t="s">
        <v>4461</v>
      </c>
      <c r="N1647" t="s">
        <v>5506</v>
      </c>
      <c r="O1647" t="s">
        <v>5507</v>
      </c>
      <c r="P1647" s="2" t="s">
        <v>37</v>
      </c>
      <c r="Q1647" t="s">
        <v>1208</v>
      </c>
      <c r="R1647">
        <v>0</v>
      </c>
      <c r="S1647">
        <v>13.93</v>
      </c>
      <c r="T1647" t="s">
        <v>5508</v>
      </c>
    </row>
    <row r="1648" spans="1:20" x14ac:dyDescent="0.25">
      <c r="A1648" s="1" t="str">
        <f>HYPERLINK("https://vegkart.atlas.vegvesen.no/#/@224523.8,6564584.8,18/hva:hva%5B0%5D%5Bfilter%5D%5B0%5D%5Boperator%5D=%21%3D&amp;hva%5B0%5D%5Bfilter%5D%5B0%5D%5Btype_id%5D=9427&amp;hva%5B0%5D%5Bfilter%5D%5B0%5D%5Bverdi%5D=&amp;hva%5B0%5D%5Bid%5D=25/når:2023-05-31", "Vegkart")</f>
        <v>Vegkart</v>
      </c>
      <c r="B1648">
        <v>1013306046</v>
      </c>
      <c r="C1648">
        <v>25</v>
      </c>
      <c r="D1648" t="s">
        <v>4290</v>
      </c>
      <c r="E1648">
        <v>9427</v>
      </c>
      <c r="F1648" t="s">
        <v>23479</v>
      </c>
      <c r="G1648">
        <v>3</v>
      </c>
      <c r="H1648" t="s">
        <v>4298</v>
      </c>
      <c r="J1648" t="s">
        <v>5500</v>
      </c>
      <c r="K1648" t="s">
        <v>81</v>
      </c>
      <c r="L1648" t="s">
        <v>33</v>
      </c>
      <c r="M1648" t="s">
        <v>3917</v>
      </c>
      <c r="N1648" t="s">
        <v>5509</v>
      </c>
      <c r="O1648" t="s">
        <v>5510</v>
      </c>
      <c r="P1648" s="2" t="s">
        <v>37</v>
      </c>
      <c r="Q1648" t="s">
        <v>1208</v>
      </c>
      <c r="R1648">
        <v>0</v>
      </c>
      <c r="S1648">
        <v>13.4</v>
      </c>
      <c r="T1648" t="s">
        <v>5511</v>
      </c>
    </row>
    <row r="1649" spans="1:20" x14ac:dyDescent="0.25">
      <c r="A1649" s="1" t="str">
        <f>HYPERLINK("https://vegkart.atlas.vegvesen.no/#/@242479.8,6593236.8,18/hva:hva%5B0%5D%5Bfilter%5D%5B0%5D%5Boperator%5D=%21%3D&amp;hva%5B0%5D%5Bfilter%5D%5B0%5D%5Btype_id%5D=9427&amp;hva%5B0%5D%5Bfilter%5D%5B0%5D%5Bverdi%5D=&amp;hva%5B0%5D%5Bid%5D=25/når:2023-05-31", "Vegkart")</f>
        <v>Vegkart</v>
      </c>
      <c r="B1649">
        <v>1013340144</v>
      </c>
      <c r="C1649">
        <v>25</v>
      </c>
      <c r="D1649" t="s">
        <v>4290</v>
      </c>
      <c r="E1649">
        <v>9427</v>
      </c>
      <c r="F1649" t="s">
        <v>23479</v>
      </c>
      <c r="G1649">
        <v>2</v>
      </c>
      <c r="H1649" t="s">
        <v>4298</v>
      </c>
      <c r="J1649" t="s">
        <v>5512</v>
      </c>
      <c r="K1649" t="s">
        <v>81</v>
      </c>
      <c r="L1649" t="s">
        <v>33</v>
      </c>
      <c r="M1649" t="s">
        <v>4357</v>
      </c>
      <c r="N1649" t="s">
        <v>5513</v>
      </c>
      <c r="O1649" t="s">
        <v>5514</v>
      </c>
      <c r="P1649" s="2" t="s">
        <v>37</v>
      </c>
      <c r="Q1649" t="s">
        <v>1208</v>
      </c>
      <c r="R1649">
        <v>0</v>
      </c>
      <c r="S1649">
        <v>13.72</v>
      </c>
      <c r="T1649" t="s">
        <v>5515</v>
      </c>
    </row>
    <row r="1650" spans="1:20" x14ac:dyDescent="0.25">
      <c r="A1650" s="1" t="str">
        <f>HYPERLINK("https://vegkart.atlas.vegvesen.no/#/@240623.7,6579474.6,18/hva:hva%5B0%5D%5Bfilter%5D%5B0%5D%5Boperator%5D=%21%3D&amp;hva%5B0%5D%5Bfilter%5D%5B0%5D%5Btype_id%5D=9427&amp;hva%5B0%5D%5Bfilter%5D%5B0%5D%5Bverdi%5D=&amp;hva%5B0%5D%5Bid%5D=25/når:2023-05-31", "Vegkart")</f>
        <v>Vegkart</v>
      </c>
      <c r="B1650">
        <v>1013496622</v>
      </c>
      <c r="C1650">
        <v>25</v>
      </c>
      <c r="D1650" t="s">
        <v>4290</v>
      </c>
      <c r="E1650">
        <v>9427</v>
      </c>
      <c r="F1650" t="s">
        <v>23479</v>
      </c>
      <c r="G1650">
        <v>3</v>
      </c>
      <c r="H1650" t="s">
        <v>4298</v>
      </c>
      <c r="J1650" t="s">
        <v>5512</v>
      </c>
      <c r="K1650" t="s">
        <v>81</v>
      </c>
      <c r="L1650" t="s">
        <v>33</v>
      </c>
      <c r="M1650" t="s">
        <v>1944</v>
      </c>
      <c r="N1650" t="s">
        <v>5516</v>
      </c>
      <c r="O1650" t="s">
        <v>5517</v>
      </c>
      <c r="P1650" s="2" t="s">
        <v>37</v>
      </c>
      <c r="Q1650" t="s">
        <v>1208</v>
      </c>
      <c r="R1650">
        <v>0</v>
      </c>
      <c r="S1650">
        <v>31.36</v>
      </c>
      <c r="T1650" t="s">
        <v>5518</v>
      </c>
    </row>
    <row r="1651" spans="1:20" x14ac:dyDescent="0.25">
      <c r="A1651" s="1" t="str">
        <f>HYPERLINK("https://vegkart.atlas.vegvesen.no/#/@240025.6,6579411.0,18/hva:hva%5B0%5D%5Bfilter%5D%5B0%5D%5Boperator%5D=%21%3D&amp;hva%5B0%5D%5Bfilter%5D%5B0%5D%5Btype_id%5D=9427&amp;hva%5B0%5D%5Bfilter%5D%5B0%5D%5Bverdi%5D=&amp;hva%5B0%5D%5Bid%5D=25/når:2023-05-31", "Vegkart")</f>
        <v>Vegkart</v>
      </c>
      <c r="B1651">
        <v>1013496644</v>
      </c>
      <c r="C1651">
        <v>25</v>
      </c>
      <c r="D1651" t="s">
        <v>4290</v>
      </c>
      <c r="E1651">
        <v>9427</v>
      </c>
      <c r="F1651" t="s">
        <v>23479</v>
      </c>
      <c r="G1651">
        <v>3</v>
      </c>
      <c r="H1651" t="s">
        <v>4298</v>
      </c>
      <c r="J1651" t="s">
        <v>5512</v>
      </c>
      <c r="K1651" t="s">
        <v>81</v>
      </c>
      <c r="L1651" t="s">
        <v>33</v>
      </c>
      <c r="M1651" t="s">
        <v>1944</v>
      </c>
      <c r="N1651" t="s">
        <v>5519</v>
      </c>
      <c r="O1651" t="s">
        <v>5520</v>
      </c>
      <c r="P1651" s="2" t="s">
        <v>37</v>
      </c>
      <c r="Q1651" t="s">
        <v>1208</v>
      </c>
      <c r="R1651">
        <v>0</v>
      </c>
      <c r="S1651">
        <v>10.73</v>
      </c>
      <c r="T1651" t="s">
        <v>5521</v>
      </c>
    </row>
    <row r="1652" spans="1:20" x14ac:dyDescent="0.25">
      <c r="A1652" s="1" t="str">
        <f>HYPERLINK("https://vegkart.atlas.vegvesen.no/#/@240079.7,6579346.9,18/hva:hva%5B0%5D%5Bfilter%5D%5B0%5D%5Boperator%5D=%21%3D&amp;hva%5B0%5D%5Bfilter%5D%5B0%5D%5Btype_id%5D=9427&amp;hva%5B0%5D%5Bfilter%5D%5B0%5D%5Bverdi%5D=&amp;hva%5B0%5D%5Bid%5D=25/når:2023-05-31", "Vegkart")</f>
        <v>Vegkart</v>
      </c>
      <c r="B1652">
        <v>1013496659</v>
      </c>
      <c r="C1652">
        <v>25</v>
      </c>
      <c r="D1652" t="s">
        <v>4290</v>
      </c>
      <c r="E1652">
        <v>9427</v>
      </c>
      <c r="F1652" t="s">
        <v>23479</v>
      </c>
      <c r="G1652">
        <v>3</v>
      </c>
      <c r="H1652" t="s">
        <v>4298</v>
      </c>
      <c r="J1652" t="s">
        <v>5512</v>
      </c>
      <c r="K1652" t="s">
        <v>81</v>
      </c>
      <c r="L1652" t="s">
        <v>33</v>
      </c>
      <c r="M1652" t="s">
        <v>1944</v>
      </c>
      <c r="N1652" t="s">
        <v>5522</v>
      </c>
      <c r="O1652" t="s">
        <v>5523</v>
      </c>
      <c r="P1652" s="2" t="s">
        <v>37</v>
      </c>
      <c r="Q1652" t="s">
        <v>1208</v>
      </c>
      <c r="R1652">
        <v>0</v>
      </c>
      <c r="S1652">
        <v>10.029999999999999</v>
      </c>
      <c r="T1652" t="s">
        <v>5524</v>
      </c>
    </row>
    <row r="1653" spans="1:20" x14ac:dyDescent="0.25">
      <c r="A1653" s="1" t="str">
        <f>HYPERLINK("https://vegkart.atlas.vegvesen.no/#/@240380.6,6579373.3,18/hva:hva%5B0%5D%5Bfilter%5D%5B0%5D%5Boperator%5D=%21%3D&amp;hva%5B0%5D%5Bfilter%5D%5B0%5D%5Btype_id%5D=9427&amp;hva%5B0%5D%5Bfilter%5D%5B0%5D%5Bverdi%5D=&amp;hva%5B0%5D%5Bid%5D=25/når:2023-05-31", "Vegkart")</f>
        <v>Vegkart</v>
      </c>
      <c r="B1653">
        <v>1013496680</v>
      </c>
      <c r="C1653">
        <v>25</v>
      </c>
      <c r="D1653" t="s">
        <v>4290</v>
      </c>
      <c r="E1653">
        <v>9427</v>
      </c>
      <c r="F1653" t="s">
        <v>23479</v>
      </c>
      <c r="G1653">
        <v>3</v>
      </c>
      <c r="H1653" t="s">
        <v>4298</v>
      </c>
      <c r="J1653" t="s">
        <v>5512</v>
      </c>
      <c r="K1653" t="s">
        <v>81</v>
      </c>
      <c r="L1653" t="s">
        <v>33</v>
      </c>
      <c r="M1653" t="s">
        <v>1944</v>
      </c>
      <c r="N1653" t="s">
        <v>5525</v>
      </c>
      <c r="O1653" t="s">
        <v>5526</v>
      </c>
      <c r="P1653" s="2" t="s">
        <v>37</v>
      </c>
      <c r="Q1653" t="s">
        <v>1208</v>
      </c>
      <c r="R1653">
        <v>0</v>
      </c>
      <c r="S1653">
        <v>42.8</v>
      </c>
      <c r="T1653" t="s">
        <v>5527</v>
      </c>
    </row>
    <row r="1654" spans="1:20" x14ac:dyDescent="0.25">
      <c r="A1654" s="1" t="str">
        <f>HYPERLINK("https://vegkart.atlas.vegvesen.no/#/@238053.3,6571542.6,18/hva:hva%5B0%5D%5Bfilter%5D%5B0%5D%5Boperator%5D=%21%3D&amp;hva%5B0%5D%5Bfilter%5D%5B0%5D%5Btype_id%5D=9427&amp;hva%5B0%5D%5Bfilter%5D%5B0%5D%5Bverdi%5D=&amp;hva%5B0%5D%5Bid%5D=25/når:2023-05-31", "Vegkart")</f>
        <v>Vegkart</v>
      </c>
      <c r="B1654">
        <v>1014238714</v>
      </c>
      <c r="C1654">
        <v>25</v>
      </c>
      <c r="D1654" t="s">
        <v>4290</v>
      </c>
      <c r="E1654">
        <v>9427</v>
      </c>
      <c r="F1654" t="s">
        <v>23479</v>
      </c>
      <c r="G1654">
        <v>2</v>
      </c>
      <c r="H1654" t="s">
        <v>4298</v>
      </c>
      <c r="J1654" t="s">
        <v>5512</v>
      </c>
      <c r="K1654" t="s">
        <v>81</v>
      </c>
      <c r="L1654" t="s">
        <v>33</v>
      </c>
      <c r="M1654" t="s">
        <v>1940</v>
      </c>
      <c r="N1654" t="s">
        <v>5528</v>
      </c>
      <c r="O1654" t="s">
        <v>5529</v>
      </c>
      <c r="P1654" s="2" t="s">
        <v>37</v>
      </c>
      <c r="Q1654" t="s">
        <v>1208</v>
      </c>
      <c r="R1654">
        <v>0</v>
      </c>
      <c r="S1654">
        <v>12.75</v>
      </c>
      <c r="T1654" t="s">
        <v>5530</v>
      </c>
    </row>
    <row r="1655" spans="1:20" x14ac:dyDescent="0.25">
      <c r="A1655" s="1" t="str">
        <f>HYPERLINK("https://vegkart.atlas.vegvesen.no/#/@237087.9,6569645.8,18/hva:hva%5B0%5D%5Bfilter%5D%5B0%5D%5Boperator%5D=%21%3D&amp;hva%5B0%5D%5Bfilter%5D%5B0%5D%5Btype_id%5D=9427&amp;hva%5B0%5D%5Bfilter%5D%5B0%5D%5Bverdi%5D=&amp;hva%5B0%5D%5Bid%5D=25/når:2023-05-31", "Vegkart")</f>
        <v>Vegkart</v>
      </c>
      <c r="B1655">
        <v>1014238719</v>
      </c>
      <c r="C1655">
        <v>25</v>
      </c>
      <c r="D1655" t="s">
        <v>4290</v>
      </c>
      <c r="E1655">
        <v>9427</v>
      </c>
      <c r="F1655" t="s">
        <v>23479</v>
      </c>
      <c r="G1655">
        <v>2</v>
      </c>
      <c r="H1655" t="s">
        <v>4298</v>
      </c>
      <c r="J1655" t="s">
        <v>5512</v>
      </c>
      <c r="K1655" t="s">
        <v>81</v>
      </c>
      <c r="L1655" t="s">
        <v>33</v>
      </c>
      <c r="M1655" t="s">
        <v>1940</v>
      </c>
      <c r="N1655" t="s">
        <v>5531</v>
      </c>
      <c r="O1655" t="s">
        <v>5532</v>
      </c>
      <c r="P1655" s="2" t="s">
        <v>37</v>
      </c>
      <c r="Q1655" t="s">
        <v>1208</v>
      </c>
      <c r="R1655">
        <v>0</v>
      </c>
      <c r="S1655">
        <v>12.24</v>
      </c>
      <c r="T1655" t="s">
        <v>5533</v>
      </c>
    </row>
    <row r="1656" spans="1:20" x14ac:dyDescent="0.25">
      <c r="A1656" s="1" t="str">
        <f>HYPERLINK("https://vegkart.atlas.vegvesen.no/#/@10474.3,6841552.4,18/hva:hva%5B0%5D%5Bfilter%5D%5B0%5D%5Boperator%5D=%21%3D&amp;hva%5B0%5D%5Bfilter%5D%5B0%5D%5Btype_id%5D=9427&amp;hva%5B0%5D%5Bfilter%5D%5B0%5D%5Bverdi%5D=&amp;hva%5B0%5D%5Bid%5D=25/når:2023-03-16", "Vegkart")</f>
        <v>Vegkart</v>
      </c>
      <c r="B1656">
        <v>1017493860</v>
      </c>
      <c r="C1656">
        <v>25</v>
      </c>
      <c r="D1656" t="s">
        <v>4290</v>
      </c>
      <c r="E1656">
        <v>9427</v>
      </c>
      <c r="F1656" t="s">
        <v>23479</v>
      </c>
      <c r="G1656">
        <v>1</v>
      </c>
      <c r="H1656" t="s">
        <v>5534</v>
      </c>
      <c r="J1656" t="s">
        <v>5535</v>
      </c>
      <c r="K1656" t="s">
        <v>21</v>
      </c>
      <c r="L1656" t="s">
        <v>80</v>
      </c>
      <c r="M1656" t="s">
        <v>81</v>
      </c>
      <c r="N1656" t="s">
        <v>5536</v>
      </c>
      <c r="O1656" t="s">
        <v>5537</v>
      </c>
      <c r="P1656" s="2" t="s">
        <v>37</v>
      </c>
      <c r="Q1656" t="s">
        <v>1208</v>
      </c>
      <c r="R1656">
        <v>0</v>
      </c>
      <c r="S1656">
        <v>12.33</v>
      </c>
      <c r="T1656" t="s">
        <v>5538</v>
      </c>
    </row>
    <row r="1657" spans="1:20" x14ac:dyDescent="0.25">
      <c r="A1657" s="1" t="str">
        <f>HYPERLINK("https://vegkart.atlas.vegvesen.no/#/@31660.7,6852130.6,18/hva:hva%5B0%5D%5Bfilter%5D%5B0%5D%5Boperator%5D=%21%3D&amp;hva%5B0%5D%5Bfilter%5D%5B0%5D%5Btype_id%5D=9427&amp;hva%5B0%5D%5Bfilter%5D%5B0%5D%5Bverdi%5D=&amp;hva%5B0%5D%5Bid%5D=25/når:2023-03-16", "Vegkart")</f>
        <v>Vegkart</v>
      </c>
      <c r="B1657">
        <v>1017493861</v>
      </c>
      <c r="C1657">
        <v>25</v>
      </c>
      <c r="D1657" t="s">
        <v>4290</v>
      </c>
      <c r="E1657">
        <v>9427</v>
      </c>
      <c r="F1657" t="s">
        <v>23479</v>
      </c>
      <c r="G1657">
        <v>1</v>
      </c>
      <c r="H1657" t="s">
        <v>5534</v>
      </c>
      <c r="J1657" t="s">
        <v>5535</v>
      </c>
      <c r="K1657" t="s">
        <v>21</v>
      </c>
      <c r="L1657" t="s">
        <v>80</v>
      </c>
      <c r="M1657" t="s">
        <v>81</v>
      </c>
      <c r="N1657" t="s">
        <v>5539</v>
      </c>
      <c r="O1657" t="s">
        <v>5540</v>
      </c>
      <c r="P1657" s="2" t="s">
        <v>37</v>
      </c>
      <c r="Q1657" t="s">
        <v>1208</v>
      </c>
      <c r="R1657">
        <v>0</v>
      </c>
      <c r="S1657">
        <v>9.92</v>
      </c>
      <c r="T1657" t="s">
        <v>5541</v>
      </c>
    </row>
    <row r="1658" spans="1:20" x14ac:dyDescent="0.25">
      <c r="A1658" s="1" t="str">
        <f>HYPERLINK("https://vegkart.atlas.vegvesen.no/#/@71493.9,6592108.6,18/hva:hva%5B0%5D%5Bfilter%5D%5B0%5D%5Boperator%5D=%21%3D&amp;hva%5B0%5D%5Bfilter%5D%5B0%5D%5Btype_id%5D=9427&amp;hva%5B0%5D%5Bfilter%5D%5B0%5D%5Bverdi%5D=&amp;hva%5B0%5D%5Bid%5D=25/når:2023-05-11", "Vegkart")</f>
        <v>Vegkart</v>
      </c>
      <c r="B1658">
        <v>1017646213</v>
      </c>
      <c r="C1658">
        <v>25</v>
      </c>
      <c r="D1658" t="s">
        <v>4290</v>
      </c>
      <c r="E1658">
        <v>9427</v>
      </c>
      <c r="F1658" t="s">
        <v>23479</v>
      </c>
      <c r="G1658">
        <v>1</v>
      </c>
      <c r="H1658" t="s">
        <v>5542</v>
      </c>
      <c r="J1658" t="s">
        <v>5535</v>
      </c>
      <c r="K1658" t="s">
        <v>86</v>
      </c>
      <c r="L1658" t="s">
        <v>113</v>
      </c>
      <c r="M1658" t="s">
        <v>667</v>
      </c>
      <c r="N1658" t="s">
        <v>5543</v>
      </c>
      <c r="O1658" t="s">
        <v>5544</v>
      </c>
      <c r="P1658" s="2" t="s">
        <v>37</v>
      </c>
      <c r="Q1658" t="s">
        <v>1208</v>
      </c>
      <c r="R1658">
        <v>0</v>
      </c>
      <c r="S1658">
        <v>14.58</v>
      </c>
      <c r="T1658" t="s">
        <v>5545</v>
      </c>
    </row>
    <row r="1659" spans="1:20" x14ac:dyDescent="0.25">
      <c r="A1659" s="1" t="str">
        <f>HYPERLINK("https://vegkart.atlas.vegvesen.no/#/@71398.5,6593552.6,18/hva:hva%5B0%5D%5Bfilter%5D%5B0%5D%5Boperator%5D=%21%3D&amp;hva%5B0%5D%5Bfilter%5D%5B0%5D%5Btype_id%5D=9427&amp;hva%5B0%5D%5Bfilter%5D%5B0%5D%5Bverdi%5D=&amp;hva%5B0%5D%5Bid%5D=25/når:2024-04-04", "Vegkart")</f>
        <v>Vegkart</v>
      </c>
      <c r="B1659">
        <v>1017646214</v>
      </c>
      <c r="C1659">
        <v>25</v>
      </c>
      <c r="D1659" t="s">
        <v>4290</v>
      </c>
      <c r="E1659">
        <v>9427</v>
      </c>
      <c r="F1659" t="s">
        <v>23479</v>
      </c>
      <c r="G1659">
        <v>2</v>
      </c>
      <c r="H1659" t="s">
        <v>552</v>
      </c>
      <c r="J1659" t="s">
        <v>5535</v>
      </c>
      <c r="K1659" t="s">
        <v>86</v>
      </c>
      <c r="L1659" t="s">
        <v>113</v>
      </c>
      <c r="M1659" t="s">
        <v>667</v>
      </c>
      <c r="N1659" t="s">
        <v>5546</v>
      </c>
      <c r="O1659" t="s">
        <v>5547</v>
      </c>
      <c r="P1659" s="2" t="s">
        <v>165</v>
      </c>
      <c r="Q1659" t="s">
        <v>641</v>
      </c>
      <c r="R1659">
        <v>0.21</v>
      </c>
      <c r="S1659">
        <v>13.54</v>
      </c>
      <c r="T1659" t="s">
        <v>167</v>
      </c>
    </row>
    <row r="1660" spans="1:20" x14ac:dyDescent="0.25">
      <c r="A1660" s="1" t="str">
        <f>HYPERLINK("https://vegkart.atlas.vegvesen.no/#/@239411.9,6574949.2,18/hva:hva%5B0%5D%5Bfilter%5D%5B0%5D%5Boperator%5D=%21%3D&amp;hva%5B0%5D%5Bfilter%5D%5B0%5D%5Btype_id%5D=9427&amp;hva%5B0%5D%5Bfilter%5D%5B0%5D%5Bverdi%5D=&amp;hva%5B0%5D%5Bid%5D=25/når:2023-05-31", "Vegkart")</f>
        <v>Vegkart</v>
      </c>
      <c r="B1660">
        <v>1017693991</v>
      </c>
      <c r="C1660">
        <v>25</v>
      </c>
      <c r="D1660" t="s">
        <v>4290</v>
      </c>
      <c r="E1660">
        <v>9427</v>
      </c>
      <c r="F1660" t="s">
        <v>23479</v>
      </c>
      <c r="G1660">
        <v>1</v>
      </c>
      <c r="H1660" t="s">
        <v>4298</v>
      </c>
      <c r="J1660" t="s">
        <v>5535</v>
      </c>
      <c r="K1660" t="s">
        <v>81</v>
      </c>
      <c r="L1660" t="s">
        <v>33</v>
      </c>
      <c r="M1660" t="s">
        <v>1926</v>
      </c>
      <c r="N1660" t="s">
        <v>5129</v>
      </c>
      <c r="O1660" t="s">
        <v>5548</v>
      </c>
      <c r="P1660" s="2" t="s">
        <v>37</v>
      </c>
      <c r="Q1660" t="s">
        <v>1208</v>
      </c>
      <c r="R1660">
        <v>0</v>
      </c>
      <c r="S1660">
        <v>13.35</v>
      </c>
      <c r="T1660" t="s">
        <v>5549</v>
      </c>
    </row>
    <row r="1661" spans="1:20" x14ac:dyDescent="0.25">
      <c r="A1661" s="1" t="str">
        <f>HYPERLINK("https://vegkart.atlas.vegvesen.no/#/@240724.2,6576988.5,18/hva:hva%5B0%5D%5Bfilter%5D%5B0%5D%5Boperator%5D=%21%3D&amp;hva%5B0%5D%5Bfilter%5D%5B0%5D%5Btype_id%5D=9427&amp;hva%5B0%5D%5Bfilter%5D%5B0%5D%5Bverdi%5D=&amp;hva%5B0%5D%5Bid%5D=25/når:2023-05-31", "Vegkart")</f>
        <v>Vegkart</v>
      </c>
      <c r="B1661">
        <v>1017693992</v>
      </c>
      <c r="C1661">
        <v>25</v>
      </c>
      <c r="D1661" t="s">
        <v>4290</v>
      </c>
      <c r="E1661">
        <v>9427</v>
      </c>
      <c r="F1661" t="s">
        <v>23479</v>
      </c>
      <c r="G1661">
        <v>1</v>
      </c>
      <c r="H1661" t="s">
        <v>4298</v>
      </c>
      <c r="J1661" t="s">
        <v>5535</v>
      </c>
      <c r="K1661" t="s">
        <v>81</v>
      </c>
      <c r="L1661" t="s">
        <v>33</v>
      </c>
      <c r="M1661" t="s">
        <v>5151</v>
      </c>
      <c r="N1661" t="s">
        <v>5550</v>
      </c>
      <c r="O1661" t="s">
        <v>5551</v>
      </c>
      <c r="P1661" s="2" t="s">
        <v>37</v>
      </c>
      <c r="Q1661" t="s">
        <v>1208</v>
      </c>
      <c r="R1661">
        <v>0</v>
      </c>
      <c r="S1661">
        <v>11.18</v>
      </c>
      <c r="T1661" t="s">
        <v>5552</v>
      </c>
    </row>
    <row r="1662" spans="1:20" x14ac:dyDescent="0.25">
      <c r="A1662" s="1" t="str">
        <f>HYPERLINK("https://vegkart.atlas.vegvesen.no/#/@226445.4,6569119.1,18/hva:hva%5B0%5D%5Bfilter%5D%5B0%5D%5Boperator%5D=%21%3D&amp;hva%5B0%5D%5Bfilter%5D%5B0%5D%5Btype_id%5D=9427&amp;hva%5B0%5D%5Bfilter%5D%5B0%5D%5Bverdi%5D=&amp;hva%5B0%5D%5Bid%5D=25/når:2023-05-31", "Vegkart")</f>
        <v>Vegkart</v>
      </c>
      <c r="B1662">
        <v>1017693993</v>
      </c>
      <c r="C1662">
        <v>25</v>
      </c>
      <c r="D1662" t="s">
        <v>4290</v>
      </c>
      <c r="E1662">
        <v>9427</v>
      </c>
      <c r="F1662" t="s">
        <v>23479</v>
      </c>
      <c r="G1662">
        <v>1</v>
      </c>
      <c r="H1662" t="s">
        <v>4298</v>
      </c>
      <c r="J1662" t="s">
        <v>5535</v>
      </c>
      <c r="K1662" t="s">
        <v>81</v>
      </c>
      <c r="L1662" t="s">
        <v>33</v>
      </c>
      <c r="M1662" t="s">
        <v>4333</v>
      </c>
      <c r="N1662" t="s">
        <v>4991</v>
      </c>
      <c r="O1662" t="s">
        <v>5553</v>
      </c>
      <c r="P1662" s="2" t="s">
        <v>37</v>
      </c>
      <c r="Q1662" t="s">
        <v>1208</v>
      </c>
      <c r="R1662">
        <v>0</v>
      </c>
      <c r="S1662">
        <v>10.78</v>
      </c>
      <c r="T1662" t="s">
        <v>5554</v>
      </c>
    </row>
    <row r="1663" spans="1:20" x14ac:dyDescent="0.25">
      <c r="A1663" s="1" t="str">
        <f>HYPERLINK("https://vegkart.atlas.vegvesen.no/#/@215030.3,6550377.6,18/hva:hva%5B0%5D%5Bfilter%5D%5B0%5D%5Boperator%5D=%21%3D&amp;hva%5B0%5D%5Bfilter%5D%5B0%5D%5Btype_id%5D=9427&amp;hva%5B0%5D%5Bfilter%5D%5B0%5D%5Bverdi%5D=&amp;hva%5B0%5D%5Bid%5D=25/når:2023-05-31", "Vegkart")</f>
        <v>Vegkart</v>
      </c>
      <c r="B1663">
        <v>1017693994</v>
      </c>
      <c r="C1663">
        <v>25</v>
      </c>
      <c r="D1663" t="s">
        <v>4290</v>
      </c>
      <c r="E1663">
        <v>9427</v>
      </c>
      <c r="F1663" t="s">
        <v>23479</v>
      </c>
      <c r="G1663">
        <v>1</v>
      </c>
      <c r="H1663" t="s">
        <v>4298</v>
      </c>
      <c r="J1663" t="s">
        <v>5535</v>
      </c>
      <c r="K1663" t="s">
        <v>81</v>
      </c>
      <c r="L1663" t="s">
        <v>33</v>
      </c>
      <c r="M1663" t="s">
        <v>1958</v>
      </c>
      <c r="N1663" t="s">
        <v>5555</v>
      </c>
      <c r="O1663" t="s">
        <v>5556</v>
      </c>
      <c r="P1663" s="2" t="s">
        <v>37</v>
      </c>
      <c r="Q1663" t="s">
        <v>1208</v>
      </c>
      <c r="R1663">
        <v>0</v>
      </c>
      <c r="S1663">
        <v>14.17</v>
      </c>
      <c r="T1663" t="s">
        <v>5557</v>
      </c>
    </row>
    <row r="1664" spans="1:20" x14ac:dyDescent="0.25">
      <c r="A1664" s="1" t="str">
        <f>HYPERLINK("https://vegkart.atlas.vegvesen.no/#/@236636.5,6572744.5,18/hva:hva%5B0%5D%5Bfilter%5D%5B0%5D%5Boperator%5D=%21%3D&amp;hva%5B0%5D%5Bfilter%5D%5B0%5D%5Btype_id%5D=9427&amp;hva%5B0%5D%5Bfilter%5D%5B0%5D%5Bverdi%5D=&amp;hva%5B0%5D%5Bid%5D=25/når:2023-05-31", "Vegkart")</f>
        <v>Vegkart</v>
      </c>
      <c r="B1664">
        <v>1017693996</v>
      </c>
      <c r="C1664">
        <v>25</v>
      </c>
      <c r="D1664" t="s">
        <v>4290</v>
      </c>
      <c r="E1664">
        <v>9427</v>
      </c>
      <c r="F1664" t="s">
        <v>23479</v>
      </c>
      <c r="G1664">
        <v>1</v>
      </c>
      <c r="H1664" t="s">
        <v>4298</v>
      </c>
      <c r="J1664" t="s">
        <v>5535</v>
      </c>
      <c r="K1664" t="s">
        <v>81</v>
      </c>
      <c r="L1664" t="s">
        <v>33</v>
      </c>
      <c r="M1664" t="s">
        <v>5558</v>
      </c>
      <c r="N1664" t="s">
        <v>5559</v>
      </c>
      <c r="O1664" t="s">
        <v>5560</v>
      </c>
      <c r="P1664" s="2" t="s">
        <v>37</v>
      </c>
      <c r="Q1664" t="s">
        <v>1208</v>
      </c>
      <c r="R1664">
        <v>0</v>
      </c>
      <c r="S1664">
        <v>12.98</v>
      </c>
      <c r="T1664" t="s">
        <v>5561</v>
      </c>
    </row>
    <row r="1665" spans="1:20" x14ac:dyDescent="0.25">
      <c r="A1665" s="1" t="str">
        <f>HYPERLINK("https://vegkart.atlas.vegvesen.no/#/@230892.1,6575686.9,18/hva:hva%5B0%5D%5Bfilter%5D%5B0%5D%5Boperator%5D=%21%3D&amp;hva%5B0%5D%5Bfilter%5D%5B0%5D%5Btype_id%5D=9427&amp;hva%5B0%5D%5Bfilter%5D%5B0%5D%5Bverdi%5D=&amp;hva%5B0%5D%5Bid%5D=25/når:2023-05-31", "Vegkart")</f>
        <v>Vegkart</v>
      </c>
      <c r="B1665">
        <v>1017693997</v>
      </c>
      <c r="C1665">
        <v>25</v>
      </c>
      <c r="D1665" t="s">
        <v>4290</v>
      </c>
      <c r="E1665">
        <v>9427</v>
      </c>
      <c r="F1665" t="s">
        <v>23479</v>
      </c>
      <c r="G1665">
        <v>1</v>
      </c>
      <c r="H1665" t="s">
        <v>4298</v>
      </c>
      <c r="J1665" t="s">
        <v>5535</v>
      </c>
      <c r="K1665" t="s">
        <v>81</v>
      </c>
      <c r="L1665" t="s">
        <v>33</v>
      </c>
      <c r="M1665" t="s">
        <v>1884</v>
      </c>
      <c r="N1665" t="s">
        <v>5562</v>
      </c>
      <c r="O1665" t="s">
        <v>5563</v>
      </c>
      <c r="P1665" s="2" t="s">
        <v>37</v>
      </c>
      <c r="Q1665" t="s">
        <v>1208</v>
      </c>
      <c r="R1665">
        <v>0</v>
      </c>
      <c r="S1665">
        <v>13.22</v>
      </c>
      <c r="T1665" t="s">
        <v>5564</v>
      </c>
    </row>
    <row r="1666" spans="1:20" x14ac:dyDescent="0.25">
      <c r="A1666" s="1" t="str">
        <f>HYPERLINK("https://vegkart.atlas.vegvesen.no/#/@284171.8,6748250.1,18/hva:hva%5B0%5D%5Bfilter%5D%5B0%5D%5Boperator%5D=%21%3D&amp;hva%5B0%5D%5Bfilter%5D%5B0%5D%5Btype_id%5D=9427&amp;hva%5B0%5D%5Bfilter%5D%5B0%5D%5Bverdi%5D=&amp;hva%5B0%5D%5Bid%5D=25/når:2023-07-25", "Vegkart")</f>
        <v>Vegkart</v>
      </c>
      <c r="B1666">
        <v>1017846515</v>
      </c>
      <c r="C1666">
        <v>25</v>
      </c>
      <c r="D1666" t="s">
        <v>4290</v>
      </c>
      <c r="E1666">
        <v>9427</v>
      </c>
      <c r="F1666" t="s">
        <v>23479</v>
      </c>
      <c r="G1666">
        <v>1</v>
      </c>
      <c r="H1666" t="s">
        <v>5565</v>
      </c>
      <c r="J1666" t="s">
        <v>5535</v>
      </c>
      <c r="K1666" t="s">
        <v>136</v>
      </c>
      <c r="L1666" t="s">
        <v>33</v>
      </c>
      <c r="M1666" t="s">
        <v>5566</v>
      </c>
      <c r="N1666" t="s">
        <v>5567</v>
      </c>
      <c r="O1666" t="s">
        <v>5568</v>
      </c>
      <c r="P1666" s="2" t="s">
        <v>165</v>
      </c>
      <c r="Q1666" t="s">
        <v>166</v>
      </c>
      <c r="R1666">
        <v>6.33</v>
      </c>
      <c r="S1666">
        <v>8.34</v>
      </c>
      <c r="T1666" t="s">
        <v>167</v>
      </c>
    </row>
    <row r="1667" spans="1:20" x14ac:dyDescent="0.25">
      <c r="A1667" s="1" t="str">
        <f>HYPERLINK("https://vegkart.atlas.vegvesen.no/#/@-23555.2,6736016.6,18/hva:hva%5B0%5D%5Bfilter%5D%5B0%5D%5Boperator%5D=%21%3D&amp;hva%5B0%5D%5Bfilter%5D%5B0%5D%5Btype_id%5D=9427&amp;hva%5B0%5D%5Bfilter%5D%5B0%5D%5Bverdi%5D=&amp;hva%5B0%5D%5Bid%5D=25/når:2023-08-01", "Vegkart")</f>
        <v>Vegkart</v>
      </c>
      <c r="B1667">
        <v>1017854432</v>
      </c>
      <c r="C1667">
        <v>25</v>
      </c>
      <c r="D1667" t="s">
        <v>4290</v>
      </c>
      <c r="E1667">
        <v>9427</v>
      </c>
      <c r="F1667" t="s">
        <v>23479</v>
      </c>
      <c r="G1667">
        <v>1</v>
      </c>
      <c r="H1667" t="s">
        <v>5569</v>
      </c>
      <c r="J1667" t="s">
        <v>5535</v>
      </c>
      <c r="K1667" t="s">
        <v>21</v>
      </c>
      <c r="L1667" t="s">
        <v>33</v>
      </c>
      <c r="M1667" t="s">
        <v>5570</v>
      </c>
      <c r="N1667" t="s">
        <v>5571</v>
      </c>
      <c r="O1667" t="s">
        <v>5572</v>
      </c>
      <c r="P1667" s="2" t="s">
        <v>37</v>
      </c>
      <c r="Q1667" t="s">
        <v>1208</v>
      </c>
      <c r="R1667">
        <v>0</v>
      </c>
      <c r="S1667">
        <v>10.029999999999999</v>
      </c>
      <c r="T1667" t="s">
        <v>5573</v>
      </c>
    </row>
    <row r="1668" spans="1:20" x14ac:dyDescent="0.25">
      <c r="A1668" s="1" t="str">
        <f>HYPERLINK("https://vegkart.atlas.vegvesen.no/#/@413906.5,7338468.4,18/hva:hva%5B0%5D%5Bfilter%5D%5B0%5D%5Boperator%5D=%21%3D&amp;hva%5B0%5D%5Bfilter%5D%5B0%5D%5Btype_id%5D=9427&amp;hva%5B0%5D%5Bfilter%5D%5B0%5D%5Bverdi%5D=&amp;hva%5B0%5D%5Bid%5D=25/når:2023-09-27", "Vegkart")</f>
        <v>Vegkart</v>
      </c>
      <c r="B1668">
        <v>1017985763</v>
      </c>
      <c r="C1668">
        <v>25</v>
      </c>
      <c r="D1668" t="s">
        <v>4290</v>
      </c>
      <c r="E1668">
        <v>9427</v>
      </c>
      <c r="F1668" t="s">
        <v>23479</v>
      </c>
      <c r="G1668">
        <v>2</v>
      </c>
      <c r="H1668" t="s">
        <v>5574</v>
      </c>
      <c r="J1668" t="s">
        <v>5575</v>
      </c>
      <c r="K1668" t="s">
        <v>53</v>
      </c>
      <c r="L1668" t="s">
        <v>33</v>
      </c>
      <c r="M1668" t="s">
        <v>473</v>
      </c>
      <c r="N1668" t="s">
        <v>5576</v>
      </c>
      <c r="O1668" t="s">
        <v>5577</v>
      </c>
      <c r="P1668" s="2" t="s">
        <v>37</v>
      </c>
      <c r="Q1668" t="s">
        <v>1208</v>
      </c>
      <c r="R1668">
        <v>0.1</v>
      </c>
      <c r="S1668">
        <v>9.77</v>
      </c>
      <c r="T1668" t="s">
        <v>5578</v>
      </c>
    </row>
    <row r="1669" spans="1:20" x14ac:dyDescent="0.25">
      <c r="A1669" s="1" t="str">
        <f>HYPERLINK("https://vegkart.atlas.vegvesen.no/#/@29744.7,6491643.0,18/hva:hva%5B0%5D%5Bfilter%5D%5B0%5D%5Boperator%5D=%21%3D&amp;hva%5B0%5D%5Bfilter%5D%5B0%5D%5Btype_id%5D=9427&amp;hva%5B0%5D%5Bfilter%5D%5B0%5D%5Bverdi%5D=&amp;hva%5B0%5D%5Bid%5D=25/når:2023-10-13", "Vegkart")</f>
        <v>Vegkart</v>
      </c>
      <c r="B1669">
        <v>1018079216</v>
      </c>
      <c r="C1669">
        <v>25</v>
      </c>
      <c r="D1669" t="s">
        <v>4290</v>
      </c>
      <c r="E1669">
        <v>9427</v>
      </c>
      <c r="F1669" t="s">
        <v>23479</v>
      </c>
      <c r="G1669">
        <v>1</v>
      </c>
      <c r="H1669" t="s">
        <v>5579</v>
      </c>
      <c r="J1669" t="s">
        <v>5575</v>
      </c>
      <c r="K1669" t="s">
        <v>86</v>
      </c>
      <c r="L1669" t="s">
        <v>33</v>
      </c>
      <c r="M1669" t="s">
        <v>5580</v>
      </c>
      <c r="N1669" t="s">
        <v>5581</v>
      </c>
      <c r="O1669" t="s">
        <v>5582</v>
      </c>
      <c r="P1669" s="2" t="s">
        <v>37</v>
      </c>
      <c r="Q1669" t="s">
        <v>1208</v>
      </c>
      <c r="R1669">
        <v>0</v>
      </c>
      <c r="S1669">
        <v>9.81</v>
      </c>
      <c r="T1669" t="s">
        <v>5583</v>
      </c>
    </row>
    <row r="1670" spans="1:20" x14ac:dyDescent="0.25">
      <c r="A1670" s="1" t="str">
        <f>HYPERLINK("https://vegkart.atlas.vegvesen.no/#/@29715.7,6491635.4,18/hva:hva%5B0%5D%5Bfilter%5D%5B0%5D%5Boperator%5D=%21%3D&amp;hva%5B0%5D%5Bfilter%5D%5B0%5D%5Btype_id%5D=9427&amp;hva%5B0%5D%5Bfilter%5D%5B0%5D%5Bverdi%5D=&amp;hva%5B0%5D%5Bid%5D=25/når:2023-10-13", "Vegkart")</f>
        <v>Vegkart</v>
      </c>
      <c r="B1670">
        <v>1018079217</v>
      </c>
      <c r="C1670">
        <v>25</v>
      </c>
      <c r="D1670" t="s">
        <v>4290</v>
      </c>
      <c r="E1670">
        <v>9427</v>
      </c>
      <c r="F1670" t="s">
        <v>23479</v>
      </c>
      <c r="G1670">
        <v>1</v>
      </c>
      <c r="H1670" t="s">
        <v>5579</v>
      </c>
      <c r="J1670" t="s">
        <v>5575</v>
      </c>
      <c r="K1670" t="s">
        <v>86</v>
      </c>
      <c r="L1670" t="s">
        <v>33</v>
      </c>
      <c r="M1670" t="s">
        <v>5580</v>
      </c>
      <c r="N1670" t="s">
        <v>5584</v>
      </c>
      <c r="O1670" t="s">
        <v>5585</v>
      </c>
      <c r="P1670" s="2" t="s">
        <v>37</v>
      </c>
      <c r="Q1670" t="s">
        <v>1208</v>
      </c>
      <c r="R1670">
        <v>0</v>
      </c>
      <c r="S1670">
        <v>9.51</v>
      </c>
      <c r="T1670" t="s">
        <v>5586</v>
      </c>
    </row>
    <row r="1671" spans="1:20" x14ac:dyDescent="0.25">
      <c r="A1671" s="1" t="str">
        <f>HYPERLINK("https://vegkart.atlas.vegvesen.no/#/@270104.6,6638243.2,18/hva:hva%5B0%5D%5Bfilter%5D%5B0%5D%5Boperator%5D=%21%3D&amp;hva%5B0%5D%5Bfilter%5D%5B0%5D%5Btype_id%5D=9427&amp;hva%5B0%5D%5Bfilter%5D%5B0%5D%5Bverdi%5D=&amp;hva%5B0%5D%5Bid%5D=25/når:2025-11-05", "Vegkart")</f>
        <v>Vegkart</v>
      </c>
      <c r="B1671">
        <v>1018100642</v>
      </c>
      <c r="C1671">
        <v>25</v>
      </c>
      <c r="D1671" t="s">
        <v>4290</v>
      </c>
      <c r="E1671">
        <v>9427</v>
      </c>
      <c r="F1671" t="s">
        <v>23479</v>
      </c>
      <c r="G1671">
        <v>2</v>
      </c>
      <c r="H1671" t="s">
        <v>5242</v>
      </c>
      <c r="J1671" t="s">
        <v>5575</v>
      </c>
      <c r="K1671" t="s">
        <v>132</v>
      </c>
      <c r="L1671" t="s">
        <v>33</v>
      </c>
      <c r="M1671" t="s">
        <v>5587</v>
      </c>
      <c r="N1671" t="s">
        <v>5588</v>
      </c>
      <c r="O1671" t="s">
        <v>5589</v>
      </c>
      <c r="P1671" s="2" t="s">
        <v>165</v>
      </c>
      <c r="Q1671" t="s">
        <v>166</v>
      </c>
      <c r="R1671">
        <v>2.8</v>
      </c>
      <c r="S1671">
        <v>2.8</v>
      </c>
      <c r="T1671" t="s">
        <v>167</v>
      </c>
    </row>
    <row r="1672" spans="1:20" x14ac:dyDescent="0.25">
      <c r="A1672" s="1" t="str">
        <f>HYPERLINK("https://vegkart.atlas.vegvesen.no/#/@-16418.6,6905353.6,18/hva:hva%5B0%5D%5Bfilter%5D%5B0%5D%5Boperator%5D=%21%3D&amp;hva%5B0%5D%5Bfilter%5D%5B0%5D%5Btype_id%5D=9427&amp;hva%5B0%5D%5Bfilter%5D%5B0%5D%5Bverdi%5D=&amp;hva%5B0%5D%5Bid%5D=25/når:2023-10-30", "Vegkart")</f>
        <v>Vegkart</v>
      </c>
      <c r="B1672">
        <v>1018118530</v>
      </c>
      <c r="C1672">
        <v>25</v>
      </c>
      <c r="D1672" t="s">
        <v>4290</v>
      </c>
      <c r="E1672">
        <v>9427</v>
      </c>
      <c r="F1672" t="s">
        <v>23479</v>
      </c>
      <c r="G1672">
        <v>1</v>
      </c>
      <c r="H1672" t="s">
        <v>448</v>
      </c>
      <c r="J1672" t="s">
        <v>5575</v>
      </c>
      <c r="K1672" t="s">
        <v>21</v>
      </c>
      <c r="L1672" t="s">
        <v>113</v>
      </c>
      <c r="M1672" t="s">
        <v>32</v>
      </c>
      <c r="N1672" t="s">
        <v>5590</v>
      </c>
      <c r="O1672" t="s">
        <v>5591</v>
      </c>
      <c r="P1672" s="2" t="s">
        <v>37</v>
      </c>
      <c r="Q1672" t="s">
        <v>1208</v>
      </c>
      <c r="R1672">
        <v>0.03</v>
      </c>
      <c r="S1672">
        <v>10.18</v>
      </c>
      <c r="T1672" t="s">
        <v>5592</v>
      </c>
    </row>
    <row r="1673" spans="1:20" x14ac:dyDescent="0.25">
      <c r="A1673" s="1" t="str">
        <f>HYPERLINK("https://vegkart.atlas.vegvesen.no/#/@66110.9,6604492.2,18/hva:hva%5B0%5D%5Bfilter%5D%5B0%5D%5Boperator%5D=%21%3D&amp;hva%5B0%5D%5Bfilter%5D%5B0%5D%5Btype_id%5D=9427&amp;hva%5B0%5D%5Bfilter%5D%5B0%5D%5Bverdi%5D=&amp;hva%5B0%5D%5Bid%5D=25/når:2023-11-16", "Vegkart")</f>
        <v>Vegkart</v>
      </c>
      <c r="B1673">
        <v>1018207108</v>
      </c>
      <c r="C1673">
        <v>25</v>
      </c>
      <c r="D1673" t="s">
        <v>4290</v>
      </c>
      <c r="E1673">
        <v>9427</v>
      </c>
      <c r="F1673" t="s">
        <v>23479</v>
      </c>
      <c r="G1673">
        <v>1</v>
      </c>
      <c r="H1673" t="s">
        <v>5593</v>
      </c>
      <c r="J1673" t="s">
        <v>5575</v>
      </c>
      <c r="K1673" t="s">
        <v>86</v>
      </c>
      <c r="L1673" t="s">
        <v>113</v>
      </c>
      <c r="M1673" t="s">
        <v>667</v>
      </c>
      <c r="N1673" t="s">
        <v>5594</v>
      </c>
      <c r="O1673" t="s">
        <v>5595</v>
      </c>
      <c r="P1673" s="2" t="s">
        <v>37</v>
      </c>
      <c r="Q1673" t="s">
        <v>1208</v>
      </c>
      <c r="R1673">
        <v>0.02</v>
      </c>
      <c r="S1673">
        <v>11.29</v>
      </c>
      <c r="T1673" t="s">
        <v>5596</v>
      </c>
    </row>
    <row r="1674" spans="1:20" x14ac:dyDescent="0.25">
      <c r="A1674" s="1" t="str">
        <f>HYPERLINK("https://vegkart.atlas.vegvesen.no/#/@216597.0,6557727.3,18/hva:hva%5B0%5D%5Bfilter%5D%5B0%5D%5Boperator%5D=%21%3D&amp;hva%5B0%5D%5Bfilter%5D%5B0%5D%5Btype_id%5D=9427&amp;hva%5B0%5D%5Bfilter%5D%5B0%5D%5Bverdi%5D=&amp;hva%5B0%5D%5Bid%5D=25/når:2023-11-24", "Vegkart")</f>
        <v>Vegkart</v>
      </c>
      <c r="B1674">
        <v>1018233202</v>
      </c>
      <c r="C1674">
        <v>25</v>
      </c>
      <c r="D1674" t="s">
        <v>4290</v>
      </c>
      <c r="E1674">
        <v>9427</v>
      </c>
      <c r="F1674" t="s">
        <v>23479</v>
      </c>
      <c r="G1674">
        <v>1</v>
      </c>
      <c r="H1674" t="s">
        <v>5597</v>
      </c>
      <c r="J1674" t="s">
        <v>5575</v>
      </c>
      <c r="K1674" t="s">
        <v>81</v>
      </c>
      <c r="L1674" t="s">
        <v>33</v>
      </c>
      <c r="M1674" t="s">
        <v>5598</v>
      </c>
      <c r="N1674" t="s">
        <v>5599</v>
      </c>
      <c r="O1674" t="s">
        <v>5600</v>
      </c>
      <c r="P1674" s="2" t="s">
        <v>37</v>
      </c>
      <c r="Q1674" t="s">
        <v>1208</v>
      </c>
      <c r="R1674">
        <v>0</v>
      </c>
      <c r="S1674">
        <v>9.0299999999999994</v>
      </c>
      <c r="T1674" t="s">
        <v>5601</v>
      </c>
    </row>
    <row r="1675" spans="1:20" x14ac:dyDescent="0.25">
      <c r="A1675" s="1" t="str">
        <f>HYPERLINK("https://vegkart.atlas.vegvesen.no/#/@-26204.3,6753890.4,18/hva:hva%5B0%5D%5Bfilter%5D%5B0%5D%5Boperator%5D=%21%3D&amp;hva%5B0%5D%5Bfilter%5D%5B0%5D%5Btype_id%5D=9427&amp;hva%5B0%5D%5Bfilter%5D%5B0%5D%5Bverdi%5D=&amp;hva%5B0%5D%5Bid%5D=25/når:2023-12-08", "Vegkart")</f>
        <v>Vegkart</v>
      </c>
      <c r="B1675">
        <v>1018270378</v>
      </c>
      <c r="C1675">
        <v>25</v>
      </c>
      <c r="D1675" t="s">
        <v>4290</v>
      </c>
      <c r="E1675">
        <v>9427</v>
      </c>
      <c r="F1675" t="s">
        <v>23479</v>
      </c>
      <c r="G1675">
        <v>1</v>
      </c>
      <c r="H1675" t="s">
        <v>4567</v>
      </c>
      <c r="J1675" t="s">
        <v>5575</v>
      </c>
      <c r="K1675" t="s">
        <v>21</v>
      </c>
      <c r="L1675" t="s">
        <v>33</v>
      </c>
      <c r="M1675" t="s">
        <v>5602</v>
      </c>
      <c r="N1675" t="s">
        <v>5603</v>
      </c>
      <c r="O1675" t="s">
        <v>5604</v>
      </c>
      <c r="P1675" s="2" t="s">
        <v>37</v>
      </c>
      <c r="Q1675" t="s">
        <v>1208</v>
      </c>
      <c r="R1675">
        <v>0</v>
      </c>
      <c r="S1675">
        <v>8.99</v>
      </c>
      <c r="T1675" t="s">
        <v>5605</v>
      </c>
    </row>
    <row r="1676" spans="1:20" x14ac:dyDescent="0.25">
      <c r="A1676" s="1" t="str">
        <f>HYPERLINK("https://vegkart.atlas.vegvesen.no/#/@-26185.0,6753920.8,18/hva:hva%5B0%5D%5Bfilter%5D%5B0%5D%5Boperator%5D=%21%3D&amp;hva%5B0%5D%5Bfilter%5D%5B0%5D%5Btype_id%5D=9427&amp;hva%5B0%5D%5Bfilter%5D%5B0%5D%5Bverdi%5D=&amp;hva%5B0%5D%5Bid%5D=25/når:2023-12-08", "Vegkart")</f>
        <v>Vegkart</v>
      </c>
      <c r="B1676">
        <v>1018270379</v>
      </c>
      <c r="C1676">
        <v>25</v>
      </c>
      <c r="D1676" t="s">
        <v>4290</v>
      </c>
      <c r="E1676">
        <v>9427</v>
      </c>
      <c r="F1676" t="s">
        <v>23479</v>
      </c>
      <c r="G1676">
        <v>1</v>
      </c>
      <c r="H1676" t="s">
        <v>4567</v>
      </c>
      <c r="J1676" t="s">
        <v>5575</v>
      </c>
      <c r="K1676" t="s">
        <v>21</v>
      </c>
      <c r="L1676" t="s">
        <v>33</v>
      </c>
      <c r="M1676" t="s">
        <v>5602</v>
      </c>
      <c r="N1676" t="s">
        <v>5606</v>
      </c>
      <c r="O1676" t="s">
        <v>5607</v>
      </c>
      <c r="P1676" s="2" t="s">
        <v>37</v>
      </c>
      <c r="Q1676" t="s">
        <v>1208</v>
      </c>
      <c r="R1676">
        <v>0</v>
      </c>
      <c r="S1676">
        <v>9.0299999999999994</v>
      </c>
      <c r="T1676" t="s">
        <v>5608</v>
      </c>
    </row>
    <row r="1677" spans="1:20" x14ac:dyDescent="0.25">
      <c r="A1677" s="1" t="str">
        <f>HYPERLINK("https://vegkart.atlas.vegvesen.no/#/@7370.5,6836959.5,18/hva:hva%5B0%5D%5Bfilter%5D%5B0%5D%5Boperator%5D=%21%3D&amp;hva%5B0%5D%5Bfilter%5D%5B0%5D%5Btype_id%5D=9427&amp;hva%5B0%5D%5Bfilter%5D%5B0%5D%5Bverdi%5D=&amp;hva%5B0%5D%5Bid%5D=25/når:2024-03-01", "Vegkart")</f>
        <v>Vegkart</v>
      </c>
      <c r="B1677">
        <v>1018974884</v>
      </c>
      <c r="C1677">
        <v>25</v>
      </c>
      <c r="D1677" t="s">
        <v>4290</v>
      </c>
      <c r="E1677">
        <v>9427</v>
      </c>
      <c r="F1677" t="s">
        <v>23479</v>
      </c>
      <c r="G1677">
        <v>1</v>
      </c>
      <c r="H1677" t="s">
        <v>536</v>
      </c>
      <c r="J1677" t="s">
        <v>5575</v>
      </c>
      <c r="K1677" t="s">
        <v>21</v>
      </c>
      <c r="L1677" t="s">
        <v>80</v>
      </c>
      <c r="M1677" t="s">
        <v>81</v>
      </c>
      <c r="N1677" t="s">
        <v>5609</v>
      </c>
      <c r="O1677" t="s">
        <v>5610</v>
      </c>
      <c r="P1677" s="2" t="s">
        <v>37</v>
      </c>
      <c r="Q1677" t="s">
        <v>1208</v>
      </c>
      <c r="R1677">
        <v>3.15</v>
      </c>
      <c r="S1677">
        <v>6.3</v>
      </c>
      <c r="T1677" t="s">
        <v>5611</v>
      </c>
    </row>
    <row r="1678" spans="1:20" x14ac:dyDescent="0.25">
      <c r="A1678" s="1" t="str">
        <f>HYPERLINK("https://vegkart.atlas.vegvesen.no/#/@8470.4,6837990.2,18/hva:hva%5B0%5D%5Bfilter%5D%5B0%5D%5Boperator%5D=%21%3D&amp;hva%5B0%5D%5Bfilter%5D%5B0%5D%5Btype_id%5D=9427&amp;hva%5B0%5D%5Bfilter%5D%5B0%5D%5Bverdi%5D=&amp;hva%5B0%5D%5Bid%5D=25/når:2024-03-01", "Vegkart")</f>
        <v>Vegkart</v>
      </c>
      <c r="B1678">
        <v>1018974885</v>
      </c>
      <c r="C1678">
        <v>25</v>
      </c>
      <c r="D1678" t="s">
        <v>4290</v>
      </c>
      <c r="E1678">
        <v>9427</v>
      </c>
      <c r="F1678" t="s">
        <v>23479</v>
      </c>
      <c r="G1678">
        <v>1</v>
      </c>
      <c r="H1678" t="s">
        <v>536</v>
      </c>
      <c r="J1678" t="s">
        <v>5575</v>
      </c>
      <c r="K1678" t="s">
        <v>21</v>
      </c>
      <c r="L1678" t="s">
        <v>80</v>
      </c>
      <c r="M1678" t="s">
        <v>81</v>
      </c>
      <c r="N1678" t="s">
        <v>5612</v>
      </c>
      <c r="O1678" t="s">
        <v>5613</v>
      </c>
      <c r="P1678" s="2" t="s">
        <v>37</v>
      </c>
      <c r="Q1678" t="s">
        <v>1208</v>
      </c>
      <c r="R1678">
        <v>3.18</v>
      </c>
      <c r="S1678">
        <v>6.36</v>
      </c>
      <c r="T1678" t="s">
        <v>5614</v>
      </c>
    </row>
    <row r="1679" spans="1:20" x14ac:dyDescent="0.25">
      <c r="A1679" s="1" t="str">
        <f>HYPERLINK("https://vegkart.atlas.vegvesen.no/#/@279769.5,6756614.6,18/hva:hva%5B0%5D%5Bfilter%5D%5B0%5D%5Boperator%5D=%21%3D&amp;hva%5B0%5D%5Bfilter%5D%5B0%5D%5Btype_id%5D=9427&amp;hva%5B0%5D%5Bfilter%5D%5B0%5D%5Bverdi%5D=&amp;hva%5B0%5D%5Bid%5D=25/når:2024-05-14", "Vegkart")</f>
        <v>Vegkart</v>
      </c>
      <c r="B1679">
        <v>1019163993</v>
      </c>
      <c r="C1679">
        <v>25</v>
      </c>
      <c r="D1679" t="s">
        <v>4290</v>
      </c>
      <c r="E1679">
        <v>9427</v>
      </c>
      <c r="F1679" t="s">
        <v>23479</v>
      </c>
      <c r="G1679">
        <v>1</v>
      </c>
      <c r="H1679" t="s">
        <v>5615</v>
      </c>
      <c r="J1679" t="s">
        <v>5575</v>
      </c>
      <c r="K1679" t="s">
        <v>136</v>
      </c>
      <c r="L1679" t="s">
        <v>33</v>
      </c>
      <c r="M1679" t="s">
        <v>2300</v>
      </c>
      <c r="N1679" t="s">
        <v>5616</v>
      </c>
      <c r="O1679" t="s">
        <v>5617</v>
      </c>
      <c r="P1679" s="2" t="s">
        <v>165</v>
      </c>
      <c r="Q1679" t="s">
        <v>311</v>
      </c>
      <c r="R1679">
        <v>12.92</v>
      </c>
      <c r="S1679">
        <v>12.92</v>
      </c>
      <c r="T1679" t="s">
        <v>167</v>
      </c>
    </row>
    <row r="1680" spans="1:20" x14ac:dyDescent="0.25">
      <c r="A1680" s="1" t="str">
        <f>HYPERLINK("https://vegkart.atlas.vegvesen.no/#/@-23099.7,6515256.6,18/hva:hva%5B0%5D%5Bfilter%5D%5B0%5D%5Boperator%5D=%21%3D&amp;hva%5B0%5D%5Bfilter%5D%5B0%5D%5Btype_id%5D=9427&amp;hva%5B0%5D%5Bfilter%5D%5B0%5D%5Bverdi%5D=&amp;hva%5B0%5D%5Bid%5D=25/når:2024-05-29", "Vegkart")</f>
        <v>Vegkart</v>
      </c>
      <c r="B1680">
        <v>1019190271</v>
      </c>
      <c r="C1680">
        <v>25</v>
      </c>
      <c r="D1680" t="s">
        <v>4290</v>
      </c>
      <c r="E1680">
        <v>9427</v>
      </c>
      <c r="F1680" t="s">
        <v>23479</v>
      </c>
      <c r="G1680">
        <v>1</v>
      </c>
      <c r="H1680" t="s">
        <v>2274</v>
      </c>
      <c r="J1680" t="s">
        <v>5575</v>
      </c>
      <c r="K1680" t="s">
        <v>170</v>
      </c>
      <c r="L1680" t="s">
        <v>113</v>
      </c>
      <c r="M1680" t="s">
        <v>2275</v>
      </c>
      <c r="N1680" t="s">
        <v>5618</v>
      </c>
      <c r="O1680" t="s">
        <v>5619</v>
      </c>
      <c r="P1680" s="2" t="s">
        <v>37</v>
      </c>
      <c r="Q1680" t="s">
        <v>1208</v>
      </c>
      <c r="R1680">
        <v>0</v>
      </c>
      <c r="S1680">
        <v>10.16</v>
      </c>
      <c r="T1680" t="s">
        <v>5620</v>
      </c>
    </row>
    <row r="1681" spans="1:20" x14ac:dyDescent="0.25">
      <c r="A1681" s="1" t="str">
        <f>HYPERLINK("https://vegkart.atlas.vegvesen.no/#/@-23475.7,6515214.9,18/hva:hva%5B0%5D%5Bfilter%5D%5B0%5D%5Boperator%5D=%21%3D&amp;hva%5B0%5D%5Bfilter%5D%5B0%5D%5Btype_id%5D=9427&amp;hva%5B0%5D%5Bfilter%5D%5B0%5D%5Bverdi%5D=&amp;hva%5B0%5D%5Bid%5D=25/når:2024-05-29", "Vegkart")</f>
        <v>Vegkart</v>
      </c>
      <c r="B1681">
        <v>1019190272</v>
      </c>
      <c r="C1681">
        <v>25</v>
      </c>
      <c r="D1681" t="s">
        <v>4290</v>
      </c>
      <c r="E1681">
        <v>9427</v>
      </c>
      <c r="F1681" t="s">
        <v>23479</v>
      </c>
      <c r="G1681">
        <v>1</v>
      </c>
      <c r="H1681" t="s">
        <v>2274</v>
      </c>
      <c r="J1681" t="s">
        <v>5575</v>
      </c>
      <c r="K1681" t="s">
        <v>170</v>
      </c>
      <c r="L1681" t="s">
        <v>113</v>
      </c>
      <c r="M1681" t="s">
        <v>2275</v>
      </c>
      <c r="N1681" t="s">
        <v>5621</v>
      </c>
      <c r="O1681" t="s">
        <v>5622</v>
      </c>
      <c r="P1681" s="2" t="s">
        <v>37</v>
      </c>
      <c r="Q1681" t="s">
        <v>1208</v>
      </c>
      <c r="R1681">
        <v>0</v>
      </c>
      <c r="S1681">
        <v>10.18</v>
      </c>
      <c r="T1681" t="s">
        <v>5623</v>
      </c>
    </row>
    <row r="1682" spans="1:20" x14ac:dyDescent="0.25">
      <c r="A1682" s="1" t="str">
        <f>HYPERLINK("https://vegkart.atlas.vegvesen.no/#/@-23283.3,6515056.4,18/hva:hva%5B0%5D%5Bfilter%5D%5B0%5D%5Boperator%5D=%21%3D&amp;hva%5B0%5D%5Bfilter%5D%5B0%5D%5Btype_id%5D=9427&amp;hva%5B0%5D%5Bfilter%5D%5B0%5D%5Bverdi%5D=&amp;hva%5B0%5D%5Bid%5D=25/når:2024-05-29", "Vegkart")</f>
        <v>Vegkart</v>
      </c>
      <c r="B1682">
        <v>1019190273</v>
      </c>
      <c r="C1682">
        <v>25</v>
      </c>
      <c r="D1682" t="s">
        <v>4290</v>
      </c>
      <c r="E1682">
        <v>9427</v>
      </c>
      <c r="F1682" t="s">
        <v>23479</v>
      </c>
      <c r="G1682">
        <v>1</v>
      </c>
      <c r="H1682" t="s">
        <v>2274</v>
      </c>
      <c r="J1682" t="s">
        <v>5575</v>
      </c>
      <c r="K1682" t="s">
        <v>170</v>
      </c>
      <c r="L1682" t="s">
        <v>113</v>
      </c>
      <c r="M1682" t="s">
        <v>2275</v>
      </c>
      <c r="N1682" t="s">
        <v>5624</v>
      </c>
      <c r="O1682" t="s">
        <v>5625</v>
      </c>
      <c r="P1682" s="2" t="s">
        <v>37</v>
      </c>
      <c r="Q1682" t="s">
        <v>1208</v>
      </c>
      <c r="R1682">
        <v>0</v>
      </c>
      <c r="S1682">
        <v>10.19</v>
      </c>
      <c r="T1682" t="s">
        <v>5626</v>
      </c>
    </row>
    <row r="1683" spans="1:20" x14ac:dyDescent="0.25">
      <c r="A1683" s="1" t="str">
        <f>HYPERLINK("https://vegkart.atlas.vegvesen.no/#/@-23466.3,6515141.8,18/hva:hva%5B0%5D%5Bfilter%5D%5B0%5D%5Boperator%5D=%21%3D&amp;hva%5B0%5D%5Bfilter%5D%5B0%5D%5Btype_id%5D=9427&amp;hva%5B0%5D%5Bfilter%5D%5B0%5D%5Bverdi%5D=&amp;hva%5B0%5D%5Bid%5D=25/når:2024-05-29", "Vegkart")</f>
        <v>Vegkart</v>
      </c>
      <c r="B1683">
        <v>1019190274</v>
      </c>
      <c r="C1683">
        <v>25</v>
      </c>
      <c r="D1683" t="s">
        <v>4290</v>
      </c>
      <c r="E1683">
        <v>9427</v>
      </c>
      <c r="F1683" t="s">
        <v>23479</v>
      </c>
      <c r="G1683">
        <v>1</v>
      </c>
      <c r="H1683" t="s">
        <v>2274</v>
      </c>
      <c r="J1683" t="s">
        <v>5575</v>
      </c>
      <c r="K1683" t="s">
        <v>170</v>
      </c>
      <c r="L1683" t="s">
        <v>113</v>
      </c>
      <c r="M1683" t="s">
        <v>2275</v>
      </c>
      <c r="N1683" t="s">
        <v>5627</v>
      </c>
      <c r="O1683" t="s">
        <v>5628</v>
      </c>
      <c r="P1683" s="2" t="s">
        <v>37</v>
      </c>
      <c r="Q1683" t="s">
        <v>1208</v>
      </c>
      <c r="R1683">
        <v>1.78</v>
      </c>
      <c r="S1683">
        <v>8.25</v>
      </c>
      <c r="T1683" t="s">
        <v>5629</v>
      </c>
    </row>
    <row r="1684" spans="1:20" x14ac:dyDescent="0.25">
      <c r="A1684" s="1" t="str">
        <f>HYPERLINK("https://vegkart.atlas.vegvesen.no/#/@-33892.9,6756721.8,18/hva:hva%5B0%5D%5Bfilter%5D%5B0%5D%5Boperator%5D=%21%3D&amp;hva%5B0%5D%5Bfilter%5D%5B0%5D%5Btype_id%5D=9427&amp;hva%5B0%5D%5Bfilter%5D%5B0%5D%5Bverdi%5D=&amp;hva%5B0%5D%5Bid%5D=25/når:2024-06-12", "Vegkart")</f>
        <v>Vegkart</v>
      </c>
      <c r="B1684">
        <v>1019246498</v>
      </c>
      <c r="C1684">
        <v>25</v>
      </c>
      <c r="D1684" t="s">
        <v>4290</v>
      </c>
      <c r="E1684">
        <v>9427</v>
      </c>
      <c r="F1684" t="s">
        <v>23479</v>
      </c>
      <c r="G1684">
        <v>1</v>
      </c>
      <c r="H1684" t="s">
        <v>385</v>
      </c>
      <c r="J1684" t="s">
        <v>5575</v>
      </c>
      <c r="K1684" t="s">
        <v>21</v>
      </c>
      <c r="L1684" t="s">
        <v>33</v>
      </c>
      <c r="M1684" t="s">
        <v>386</v>
      </c>
      <c r="N1684" t="s">
        <v>5630</v>
      </c>
      <c r="O1684" t="s">
        <v>5631</v>
      </c>
      <c r="P1684" s="2" t="s">
        <v>37</v>
      </c>
      <c r="Q1684" t="s">
        <v>1208</v>
      </c>
      <c r="R1684">
        <v>0</v>
      </c>
      <c r="S1684">
        <v>9.42</v>
      </c>
      <c r="T1684" t="s">
        <v>5632</v>
      </c>
    </row>
    <row r="1685" spans="1:20" x14ac:dyDescent="0.25">
      <c r="A1685" s="1" t="str">
        <f>HYPERLINK("https://vegkart.atlas.vegvesen.no/#/@265642.4,7066753.5,18/hva:hva%5B0%5D%5Bfilter%5D%5B0%5D%5Boperator%5D=%21%3D&amp;hva%5B0%5D%5Bfilter%5D%5B0%5D%5Btype_id%5D=9427&amp;hva%5B0%5D%5Bfilter%5D%5B0%5D%5Bverdi%5D=&amp;hva%5B0%5D%5Bid%5D=25/når:2024-07-03", "Vegkart")</f>
        <v>Vegkart</v>
      </c>
      <c r="B1685">
        <v>1019351216</v>
      </c>
      <c r="C1685">
        <v>25</v>
      </c>
      <c r="D1685" t="s">
        <v>4290</v>
      </c>
      <c r="E1685">
        <v>9427</v>
      </c>
      <c r="F1685" t="s">
        <v>23479</v>
      </c>
      <c r="G1685">
        <v>1</v>
      </c>
      <c r="H1685" t="s">
        <v>5633</v>
      </c>
      <c r="J1685" t="s">
        <v>5575</v>
      </c>
      <c r="K1685" t="s">
        <v>192</v>
      </c>
      <c r="L1685" t="s">
        <v>33</v>
      </c>
      <c r="M1685" t="s">
        <v>5634</v>
      </c>
      <c r="N1685" t="s">
        <v>5635</v>
      </c>
      <c r="O1685" t="s">
        <v>5636</v>
      </c>
      <c r="P1685" s="2" t="s">
        <v>37</v>
      </c>
      <c r="Q1685" t="s">
        <v>1208</v>
      </c>
      <c r="R1685">
        <v>0</v>
      </c>
      <c r="S1685">
        <v>10.41</v>
      </c>
      <c r="T1685" t="s">
        <v>5637</v>
      </c>
    </row>
    <row r="1686" spans="1:20" x14ac:dyDescent="0.25">
      <c r="A1686" s="1" t="str">
        <f>HYPERLINK("https://vegkart.atlas.vegvesen.no/#/@-37585.1,6733458.3,18/hva:hva%5B0%5D%5Bfilter%5D%5B0%5D%5Boperator%5D=%21%3D&amp;hva%5B0%5D%5Bfilter%5D%5B0%5D%5Btype_id%5D=9427&amp;hva%5B0%5D%5Bfilter%5D%5B0%5D%5Bverdi%5D=&amp;hva%5B0%5D%5Bid%5D=25/når:2024-07-09", "Vegkart")</f>
        <v>Vegkart</v>
      </c>
      <c r="B1686">
        <v>1019462944</v>
      </c>
      <c r="C1686">
        <v>25</v>
      </c>
      <c r="D1686" t="s">
        <v>4290</v>
      </c>
      <c r="E1686">
        <v>9427</v>
      </c>
      <c r="F1686" t="s">
        <v>23479</v>
      </c>
      <c r="G1686">
        <v>1</v>
      </c>
      <c r="H1686" t="s">
        <v>5638</v>
      </c>
      <c r="J1686" t="s">
        <v>5575</v>
      </c>
      <c r="K1686" t="s">
        <v>21</v>
      </c>
      <c r="L1686" t="s">
        <v>33</v>
      </c>
      <c r="M1686" t="s">
        <v>5639</v>
      </c>
      <c r="N1686" t="s">
        <v>5640</v>
      </c>
      <c r="O1686" t="s">
        <v>5641</v>
      </c>
      <c r="P1686" s="2" t="s">
        <v>37</v>
      </c>
      <c r="Q1686" t="s">
        <v>1208</v>
      </c>
      <c r="R1686">
        <v>0</v>
      </c>
      <c r="S1686">
        <v>13.01</v>
      </c>
      <c r="T1686" t="s">
        <v>5642</v>
      </c>
    </row>
    <row r="1687" spans="1:20" x14ac:dyDescent="0.25">
      <c r="A1687" s="1" t="str">
        <f>HYPERLINK("https://vegkart.atlas.vegvesen.no/#/@-37993.1,6734420.0,18/hva:hva%5B0%5D%5Bfilter%5D%5B0%5D%5Boperator%5D=%21%3D&amp;hva%5B0%5D%5Bfilter%5D%5B0%5D%5Btype_id%5D=9427&amp;hva%5B0%5D%5Bfilter%5D%5B0%5D%5Bverdi%5D=&amp;hva%5B0%5D%5Bid%5D=25/når:2024-07-09", "Vegkart")</f>
        <v>Vegkart</v>
      </c>
      <c r="B1687">
        <v>1019462945</v>
      </c>
      <c r="C1687">
        <v>25</v>
      </c>
      <c r="D1687" t="s">
        <v>4290</v>
      </c>
      <c r="E1687">
        <v>9427</v>
      </c>
      <c r="F1687" t="s">
        <v>23479</v>
      </c>
      <c r="G1687">
        <v>1</v>
      </c>
      <c r="H1687" t="s">
        <v>5638</v>
      </c>
      <c r="J1687" t="s">
        <v>5575</v>
      </c>
      <c r="K1687" t="s">
        <v>21</v>
      </c>
      <c r="L1687" t="s">
        <v>33</v>
      </c>
      <c r="M1687" t="s">
        <v>5639</v>
      </c>
      <c r="N1687" t="s">
        <v>5643</v>
      </c>
      <c r="O1687" t="s">
        <v>5644</v>
      </c>
      <c r="P1687" s="2" t="s">
        <v>37</v>
      </c>
      <c r="Q1687" t="s">
        <v>1208</v>
      </c>
      <c r="R1687">
        <v>0</v>
      </c>
      <c r="S1687">
        <v>10.19</v>
      </c>
      <c r="T1687" t="s">
        <v>5645</v>
      </c>
    </row>
    <row r="1688" spans="1:20" x14ac:dyDescent="0.25">
      <c r="A1688" s="1" t="str">
        <f>HYPERLINK("https://vegkart.atlas.vegvesen.no/#/@-38771.8,6733744.8,18/hva:hva%5B0%5D%5Bfilter%5D%5B0%5D%5Boperator%5D=%21%3D&amp;hva%5B0%5D%5Bfilter%5D%5B0%5D%5Btype_id%5D=9427&amp;hva%5B0%5D%5Bfilter%5D%5B0%5D%5Bverdi%5D=&amp;hva%5B0%5D%5Bid%5D=25/når:2024-07-09", "Vegkart")</f>
        <v>Vegkart</v>
      </c>
      <c r="B1688">
        <v>1019462946</v>
      </c>
      <c r="C1688">
        <v>25</v>
      </c>
      <c r="D1688" t="s">
        <v>4290</v>
      </c>
      <c r="E1688">
        <v>9427</v>
      </c>
      <c r="F1688" t="s">
        <v>23479</v>
      </c>
      <c r="G1688">
        <v>1</v>
      </c>
      <c r="H1688" t="s">
        <v>5638</v>
      </c>
      <c r="J1688" t="s">
        <v>5575</v>
      </c>
      <c r="K1688" t="s">
        <v>21</v>
      </c>
      <c r="L1688" t="s">
        <v>33</v>
      </c>
      <c r="M1688" t="s">
        <v>5639</v>
      </c>
      <c r="N1688" t="s">
        <v>5646</v>
      </c>
      <c r="O1688" t="s">
        <v>5647</v>
      </c>
      <c r="P1688" s="2" t="s">
        <v>37</v>
      </c>
      <c r="Q1688" t="s">
        <v>1208</v>
      </c>
      <c r="R1688">
        <v>0</v>
      </c>
      <c r="S1688">
        <v>10.09</v>
      </c>
      <c r="T1688" t="s">
        <v>5648</v>
      </c>
    </row>
    <row r="1689" spans="1:20" x14ac:dyDescent="0.25">
      <c r="A1689" s="1" t="str">
        <f>HYPERLINK("https://vegkart.atlas.vegvesen.no/#/@79031.5,6508124.3,18/hva:hva%5B0%5D%5Bfilter%5D%5B0%5D%5Boperator%5D=%21%3D&amp;hva%5B0%5D%5Bfilter%5D%5B0%5D%5Btype_id%5D=9427&amp;hva%5B0%5D%5Bfilter%5D%5B0%5D%5Bverdi%5D=&amp;hva%5B0%5D%5Bid%5D=25/når:2024-08-28", "Vegkart")</f>
        <v>Vegkart</v>
      </c>
      <c r="B1689">
        <v>1019733209</v>
      </c>
      <c r="C1689">
        <v>25</v>
      </c>
      <c r="D1689" t="s">
        <v>4290</v>
      </c>
      <c r="E1689">
        <v>9427</v>
      </c>
      <c r="F1689" t="s">
        <v>23479</v>
      </c>
      <c r="G1689">
        <v>1</v>
      </c>
      <c r="H1689" t="s">
        <v>665</v>
      </c>
      <c r="J1689" t="s">
        <v>5575</v>
      </c>
      <c r="K1689" t="s">
        <v>86</v>
      </c>
      <c r="L1689" t="s">
        <v>113</v>
      </c>
      <c r="M1689" t="s">
        <v>667</v>
      </c>
      <c r="N1689" t="s">
        <v>5649</v>
      </c>
      <c r="O1689" t="s">
        <v>5650</v>
      </c>
      <c r="P1689" s="2" t="s">
        <v>37</v>
      </c>
      <c r="Q1689" t="s">
        <v>1208</v>
      </c>
      <c r="R1689">
        <v>0</v>
      </c>
      <c r="S1689">
        <v>9.85</v>
      </c>
      <c r="T1689" t="s">
        <v>5651</v>
      </c>
    </row>
    <row r="1690" spans="1:20" x14ac:dyDescent="0.25">
      <c r="A1690" s="1" t="str">
        <f>HYPERLINK("https://vegkart.atlas.vegvesen.no/#/@82247.8,6516513.5,18/hva:hva%5B0%5D%5Bfilter%5D%5B0%5D%5Boperator%5D=%21%3D&amp;hva%5B0%5D%5Bfilter%5D%5B0%5D%5Btype_id%5D=9427&amp;hva%5B0%5D%5Bfilter%5D%5B0%5D%5Bverdi%5D=&amp;hva%5B0%5D%5Bid%5D=25/når:2024-08-28", "Vegkart")</f>
        <v>Vegkart</v>
      </c>
      <c r="B1690">
        <v>1019733211</v>
      </c>
      <c r="C1690">
        <v>25</v>
      </c>
      <c r="D1690" t="s">
        <v>4290</v>
      </c>
      <c r="E1690">
        <v>9427</v>
      </c>
      <c r="F1690" t="s">
        <v>23479</v>
      </c>
      <c r="G1690">
        <v>1</v>
      </c>
      <c r="H1690" t="s">
        <v>665</v>
      </c>
      <c r="J1690" t="s">
        <v>5575</v>
      </c>
      <c r="K1690" t="s">
        <v>86</v>
      </c>
      <c r="L1690" t="s">
        <v>113</v>
      </c>
      <c r="M1690" t="s">
        <v>667</v>
      </c>
      <c r="N1690" t="s">
        <v>5652</v>
      </c>
      <c r="O1690" t="s">
        <v>5653</v>
      </c>
      <c r="P1690" s="2" t="s">
        <v>37</v>
      </c>
      <c r="Q1690" t="s">
        <v>1208</v>
      </c>
      <c r="R1690">
        <v>0</v>
      </c>
      <c r="S1690">
        <v>18.04</v>
      </c>
      <c r="T1690" t="s">
        <v>5654</v>
      </c>
    </row>
    <row r="1691" spans="1:20" x14ac:dyDescent="0.25">
      <c r="A1691" s="1" t="str">
        <f>HYPERLINK("https://vegkart.atlas.vegvesen.no/#/@82136.7,6516426.2,18/hva:hva%5B0%5D%5Bfilter%5D%5B0%5D%5Boperator%5D=%21%3D&amp;hva%5B0%5D%5Bfilter%5D%5B0%5D%5Btype_id%5D=9427&amp;hva%5B0%5D%5Bfilter%5D%5B0%5D%5Bverdi%5D=&amp;hva%5B0%5D%5Bid%5D=25/når:2024-08-28", "Vegkart")</f>
        <v>Vegkart</v>
      </c>
      <c r="B1691">
        <v>1019733212</v>
      </c>
      <c r="C1691">
        <v>25</v>
      </c>
      <c r="D1691" t="s">
        <v>4290</v>
      </c>
      <c r="E1691">
        <v>9427</v>
      </c>
      <c r="F1691" t="s">
        <v>23479</v>
      </c>
      <c r="G1691">
        <v>1</v>
      </c>
      <c r="H1691" t="s">
        <v>665</v>
      </c>
      <c r="J1691" t="s">
        <v>5575</v>
      </c>
      <c r="K1691" t="s">
        <v>86</v>
      </c>
      <c r="L1691" t="s">
        <v>113</v>
      </c>
      <c r="M1691" t="s">
        <v>667</v>
      </c>
      <c r="N1691" t="s">
        <v>5655</v>
      </c>
      <c r="O1691" t="s">
        <v>5656</v>
      </c>
      <c r="P1691" s="2" t="s">
        <v>37</v>
      </c>
      <c r="Q1691" t="s">
        <v>1208</v>
      </c>
      <c r="R1691">
        <v>0</v>
      </c>
      <c r="S1691">
        <v>16.98</v>
      </c>
      <c r="T1691" t="s">
        <v>5657</v>
      </c>
    </row>
    <row r="1692" spans="1:20" x14ac:dyDescent="0.25">
      <c r="A1692" s="1" t="str">
        <f>HYPERLINK("https://vegkart.atlas.vegvesen.no/#/@-32133.4,6665076.7,18/hva:hva%5B0%5D%5Bfilter%5D%5B0%5D%5Boperator%5D=%21%3D&amp;hva%5B0%5D%5Bfilter%5D%5B0%5D%5Btype_id%5D=9427&amp;hva%5B0%5D%5Bfilter%5D%5B0%5D%5Bverdi%5D=&amp;hva%5B0%5D%5Bid%5D=25/når:2024-11-01", "Vegkart")</f>
        <v>Vegkart</v>
      </c>
      <c r="B1692">
        <v>1021050857</v>
      </c>
      <c r="C1692">
        <v>25</v>
      </c>
      <c r="D1692" t="s">
        <v>4290</v>
      </c>
      <c r="E1692">
        <v>9427</v>
      </c>
      <c r="F1692" t="s">
        <v>23479</v>
      </c>
      <c r="G1692">
        <v>1</v>
      </c>
      <c r="H1692" t="s">
        <v>5658</v>
      </c>
      <c r="J1692" t="s">
        <v>5659</v>
      </c>
      <c r="K1692" t="s">
        <v>21</v>
      </c>
      <c r="L1692" t="s">
        <v>33</v>
      </c>
      <c r="M1692" t="s">
        <v>5660</v>
      </c>
      <c r="N1692" t="s">
        <v>5661</v>
      </c>
      <c r="O1692" t="s">
        <v>5662</v>
      </c>
      <c r="P1692" s="2" t="s">
        <v>37</v>
      </c>
      <c r="Q1692" t="s">
        <v>1208</v>
      </c>
      <c r="R1692">
        <v>0</v>
      </c>
      <c r="S1692">
        <v>7.55</v>
      </c>
      <c r="T1692" t="s">
        <v>5663</v>
      </c>
    </row>
    <row r="1693" spans="1:20" x14ac:dyDescent="0.25">
      <c r="A1693" s="1" t="str">
        <f>HYPERLINK("https://vegkart.atlas.vegvesen.no/#/@-32133.4,6665076.7,18/hva:hva%5B0%5D%5Bfilter%5D%5B0%5D%5Boperator%5D=%21%3D&amp;hva%5B0%5D%5Bfilter%5D%5B0%5D%5Btype_id%5D=9427&amp;hva%5B0%5D%5Bfilter%5D%5B0%5D%5Bverdi%5D=&amp;hva%5B0%5D%5Bid%5D=25/når:2024-11-01", "Vegkart")</f>
        <v>Vegkart</v>
      </c>
      <c r="B1693">
        <v>1021050858</v>
      </c>
      <c r="C1693">
        <v>25</v>
      </c>
      <c r="D1693" t="s">
        <v>4290</v>
      </c>
      <c r="E1693">
        <v>9427</v>
      </c>
      <c r="F1693" t="s">
        <v>23479</v>
      </c>
      <c r="G1693">
        <v>1</v>
      </c>
      <c r="H1693" t="s">
        <v>5658</v>
      </c>
      <c r="J1693" t="s">
        <v>5659</v>
      </c>
      <c r="K1693" t="s">
        <v>21</v>
      </c>
      <c r="L1693" t="s">
        <v>33</v>
      </c>
      <c r="M1693" t="s">
        <v>5660</v>
      </c>
      <c r="N1693" t="s">
        <v>5661</v>
      </c>
      <c r="O1693" t="s">
        <v>5662</v>
      </c>
      <c r="P1693" s="2" t="s">
        <v>37</v>
      </c>
      <c r="Q1693" t="s">
        <v>1208</v>
      </c>
      <c r="R1693">
        <v>0</v>
      </c>
      <c r="S1693">
        <v>7.55</v>
      </c>
      <c r="T1693" t="s">
        <v>5663</v>
      </c>
    </row>
    <row r="1694" spans="1:20" x14ac:dyDescent="0.25">
      <c r="A1694" s="1" t="str">
        <f>HYPERLINK("https://vegkart.atlas.vegvesen.no/#/@672.2,6709679.7,18/hva:hva%5B0%5D%5Bfilter%5D%5B0%5D%5Boperator%5D=%21%3D&amp;hva%5B0%5D%5Bfilter%5D%5B0%5D%5Btype_id%5D=9427&amp;hva%5B0%5D%5Bfilter%5D%5B0%5D%5Bverdi%5D=&amp;hva%5B0%5D%5Bid%5D=25/når:2024-11-01", "Vegkart")</f>
        <v>Vegkart</v>
      </c>
      <c r="B1694">
        <v>1021050859</v>
      </c>
      <c r="C1694">
        <v>25</v>
      </c>
      <c r="D1694" t="s">
        <v>4290</v>
      </c>
      <c r="E1694">
        <v>9427</v>
      </c>
      <c r="F1694" t="s">
        <v>23479</v>
      </c>
      <c r="G1694">
        <v>1</v>
      </c>
      <c r="H1694" t="s">
        <v>5658</v>
      </c>
      <c r="J1694" t="s">
        <v>5659</v>
      </c>
      <c r="K1694" t="s">
        <v>21</v>
      </c>
      <c r="L1694" t="s">
        <v>33</v>
      </c>
      <c r="M1694" t="s">
        <v>5664</v>
      </c>
      <c r="N1694" t="s">
        <v>5665</v>
      </c>
      <c r="O1694" t="s">
        <v>5666</v>
      </c>
      <c r="P1694" s="2" t="s">
        <v>37</v>
      </c>
      <c r="Q1694" t="s">
        <v>1208</v>
      </c>
      <c r="R1694">
        <v>0</v>
      </c>
      <c r="S1694">
        <v>8.02</v>
      </c>
      <c r="T1694" t="s">
        <v>5667</v>
      </c>
    </row>
    <row r="1695" spans="1:20" x14ac:dyDescent="0.25">
      <c r="A1695" s="1" t="str">
        <f>HYPERLINK("https://vegkart.atlas.vegvesen.no/#/@-32126.4,6665070.6,18/hva:hva%5B0%5D%5Bfilter%5D%5B0%5D%5Boperator%5D=%21%3D&amp;hva%5B0%5D%5Bfilter%5D%5B0%5D%5Btype_id%5D=9427&amp;hva%5B0%5D%5Bfilter%5D%5B0%5D%5Bverdi%5D=&amp;hva%5B0%5D%5Bid%5D=25/når:2024-11-01", "Vegkart")</f>
        <v>Vegkart</v>
      </c>
      <c r="B1695">
        <v>1021050860</v>
      </c>
      <c r="C1695">
        <v>25</v>
      </c>
      <c r="D1695" t="s">
        <v>4290</v>
      </c>
      <c r="E1695">
        <v>9427</v>
      </c>
      <c r="F1695" t="s">
        <v>23479</v>
      </c>
      <c r="G1695">
        <v>1</v>
      </c>
      <c r="H1695" t="s">
        <v>5658</v>
      </c>
      <c r="J1695" t="s">
        <v>5659</v>
      </c>
      <c r="K1695" t="s">
        <v>21</v>
      </c>
      <c r="L1695" t="s">
        <v>33</v>
      </c>
      <c r="M1695" t="s">
        <v>5660</v>
      </c>
      <c r="N1695" t="s">
        <v>5668</v>
      </c>
      <c r="O1695" t="s">
        <v>5669</v>
      </c>
      <c r="P1695" s="2" t="s">
        <v>37</v>
      </c>
      <c r="Q1695" t="s">
        <v>1208</v>
      </c>
      <c r="R1695">
        <v>0</v>
      </c>
      <c r="S1695">
        <v>7.59</v>
      </c>
      <c r="T1695" t="s">
        <v>5670</v>
      </c>
    </row>
    <row r="1696" spans="1:20" x14ac:dyDescent="0.25">
      <c r="A1696" s="1" t="str">
        <f>HYPERLINK("https://vegkart.atlas.vegvesen.no/#/@-30310.8,6732279.9,18/hva:hva%5B0%5D%5Bfilter%5D%5B0%5D%5Boperator%5D=%21%3D&amp;hva%5B0%5D%5Bfilter%5D%5B0%5D%5Btype_id%5D=9427&amp;hva%5B0%5D%5Bfilter%5D%5B0%5D%5Bverdi%5D=&amp;hva%5B0%5D%5Bid%5D=25/når:2024-11-01", "Vegkart")</f>
        <v>Vegkart</v>
      </c>
      <c r="B1696">
        <v>1021051233</v>
      </c>
      <c r="C1696">
        <v>25</v>
      </c>
      <c r="D1696" t="s">
        <v>4290</v>
      </c>
      <c r="E1696">
        <v>9427</v>
      </c>
      <c r="F1696" t="s">
        <v>23479</v>
      </c>
      <c r="G1696">
        <v>1</v>
      </c>
      <c r="H1696" t="s">
        <v>5658</v>
      </c>
      <c r="J1696" t="s">
        <v>5659</v>
      </c>
      <c r="K1696" t="s">
        <v>21</v>
      </c>
      <c r="L1696" t="s">
        <v>33</v>
      </c>
      <c r="M1696" t="s">
        <v>5671</v>
      </c>
      <c r="N1696" t="s">
        <v>5672</v>
      </c>
      <c r="O1696" t="s">
        <v>5673</v>
      </c>
      <c r="P1696" s="2" t="s">
        <v>37</v>
      </c>
      <c r="Q1696" t="s">
        <v>1208</v>
      </c>
      <c r="R1696">
        <v>0.01</v>
      </c>
      <c r="S1696">
        <v>20.14</v>
      </c>
      <c r="T1696" t="s">
        <v>5674</v>
      </c>
    </row>
    <row r="1697" spans="1:20" x14ac:dyDescent="0.25">
      <c r="A1697" s="1" t="str">
        <f>HYPERLINK("https://vegkart.atlas.vegvesen.no/#/@-30311.2,6732271.5,18/hva:hva%5B0%5D%5Bfilter%5D%5B0%5D%5Boperator%5D=%21%3D&amp;hva%5B0%5D%5Bfilter%5D%5B0%5D%5Btype_id%5D=9427&amp;hva%5B0%5D%5Bfilter%5D%5B0%5D%5Bverdi%5D=&amp;hva%5B0%5D%5Bid%5D=25/når:2024-11-01", "Vegkart")</f>
        <v>Vegkart</v>
      </c>
      <c r="B1697">
        <v>1021051234</v>
      </c>
      <c r="C1697">
        <v>25</v>
      </c>
      <c r="D1697" t="s">
        <v>4290</v>
      </c>
      <c r="E1697">
        <v>9427</v>
      </c>
      <c r="F1697" t="s">
        <v>23479</v>
      </c>
      <c r="G1697">
        <v>1</v>
      </c>
      <c r="H1697" t="s">
        <v>5658</v>
      </c>
      <c r="J1697" t="s">
        <v>5659</v>
      </c>
      <c r="K1697" t="s">
        <v>21</v>
      </c>
      <c r="L1697" t="s">
        <v>33</v>
      </c>
      <c r="M1697" t="s">
        <v>5671</v>
      </c>
      <c r="N1697" t="s">
        <v>5675</v>
      </c>
      <c r="O1697" t="s">
        <v>5676</v>
      </c>
      <c r="P1697" s="2" t="s">
        <v>37</v>
      </c>
      <c r="Q1697" t="s">
        <v>1208</v>
      </c>
      <c r="R1697">
        <v>0</v>
      </c>
      <c r="S1697">
        <v>20.13</v>
      </c>
      <c r="T1697" t="s">
        <v>5677</v>
      </c>
    </row>
    <row r="1698" spans="1:20" x14ac:dyDescent="0.25">
      <c r="A1698" s="1" t="str">
        <f>HYPERLINK("https://vegkart.atlas.vegvesen.no/#/@238422.4,6979233.5,18/hva:hva%5B0%5D%5Bfilter%5D%5B0%5D%5Boperator%5D=%21%3D&amp;hva%5B0%5D%5Bfilter%5D%5B0%5D%5Btype_id%5D=9427&amp;hva%5B0%5D%5Bfilter%5D%5B0%5D%5Bverdi%5D=&amp;hva%5B0%5D%5Bid%5D=25/når:2024-11-06", "Vegkart")</f>
        <v>Vegkart</v>
      </c>
      <c r="B1698">
        <v>1021062776</v>
      </c>
      <c r="C1698">
        <v>25</v>
      </c>
      <c r="D1698" t="s">
        <v>4290</v>
      </c>
      <c r="E1698">
        <v>9427</v>
      </c>
      <c r="F1698" t="s">
        <v>23479</v>
      </c>
      <c r="G1698">
        <v>1</v>
      </c>
      <c r="H1698" t="s">
        <v>5678</v>
      </c>
      <c r="J1698" t="s">
        <v>5659</v>
      </c>
      <c r="K1698" t="s">
        <v>192</v>
      </c>
      <c r="L1698" t="s">
        <v>33</v>
      </c>
      <c r="M1698" t="s">
        <v>5679</v>
      </c>
      <c r="N1698" t="s">
        <v>5680</v>
      </c>
      <c r="O1698" t="s">
        <v>5681</v>
      </c>
      <c r="P1698" s="2" t="s">
        <v>37</v>
      </c>
      <c r="Q1698" t="s">
        <v>1208</v>
      </c>
      <c r="R1698">
        <v>0</v>
      </c>
      <c r="S1698">
        <v>11.41</v>
      </c>
      <c r="T1698" t="s">
        <v>5682</v>
      </c>
    </row>
    <row r="1699" spans="1:20" x14ac:dyDescent="0.25">
      <c r="A1699" s="1" t="str">
        <f>HYPERLINK("https://vegkart.atlas.vegvesen.no/#/@195104.7,7089152.4,18/hva:hva%5B0%5D%5Bfilter%5D%5B0%5D%5Boperator%5D=%21%3D&amp;hva%5B0%5D%5Bfilter%5D%5B0%5D%5Btype_id%5D=9427&amp;hva%5B0%5D%5Bfilter%5D%5B0%5D%5Bverdi%5D=&amp;hva%5B0%5D%5Bid%5D=25/når:2024-11-12", "Vegkart")</f>
        <v>Vegkart</v>
      </c>
      <c r="B1699">
        <v>1021154172</v>
      </c>
      <c r="C1699">
        <v>25</v>
      </c>
      <c r="D1699" t="s">
        <v>4290</v>
      </c>
      <c r="E1699">
        <v>9427</v>
      </c>
      <c r="F1699" t="s">
        <v>23479</v>
      </c>
      <c r="G1699">
        <v>1</v>
      </c>
      <c r="H1699" t="s">
        <v>2904</v>
      </c>
      <c r="J1699" t="s">
        <v>5659</v>
      </c>
      <c r="K1699" t="s">
        <v>192</v>
      </c>
      <c r="L1699" t="s">
        <v>33</v>
      </c>
      <c r="M1699" t="s">
        <v>5683</v>
      </c>
      <c r="N1699" t="s">
        <v>5684</v>
      </c>
      <c r="O1699" t="s">
        <v>5685</v>
      </c>
      <c r="P1699" s="2" t="s">
        <v>26</v>
      </c>
      <c r="Q1699" t="s">
        <v>50</v>
      </c>
      <c r="R1699">
        <v>5.62</v>
      </c>
      <c r="S1699">
        <v>5.62</v>
      </c>
      <c r="T1699" t="s">
        <v>5686</v>
      </c>
    </row>
    <row r="1700" spans="1:20" x14ac:dyDescent="0.25">
      <c r="A1700" s="1" t="str">
        <f>HYPERLINK("https://vegkart.atlas.vegvesen.no/#/@260659.4,7056711.1,18/hva:hva%5B0%5D%5Bfilter%5D%5B0%5D%5Boperator%5D=%21%3D&amp;hva%5B0%5D%5Bfilter%5D%5B0%5D%5Btype_id%5D=9427&amp;hva%5B0%5D%5Bfilter%5D%5B0%5D%5Bverdi%5D=&amp;hva%5B0%5D%5Bid%5D=25/når:2024-11-13", "Vegkart")</f>
        <v>Vegkart</v>
      </c>
      <c r="B1700">
        <v>1021158045</v>
      </c>
      <c r="C1700">
        <v>25</v>
      </c>
      <c r="D1700" t="s">
        <v>4290</v>
      </c>
      <c r="E1700">
        <v>9427</v>
      </c>
      <c r="F1700" t="s">
        <v>23479</v>
      </c>
      <c r="G1700">
        <v>1</v>
      </c>
      <c r="H1700" t="s">
        <v>5687</v>
      </c>
      <c r="J1700" t="s">
        <v>5659</v>
      </c>
      <c r="K1700" t="s">
        <v>192</v>
      </c>
      <c r="L1700" t="s">
        <v>33</v>
      </c>
      <c r="M1700" t="s">
        <v>5688</v>
      </c>
      <c r="N1700" t="s">
        <v>5689</v>
      </c>
      <c r="O1700" t="s">
        <v>5690</v>
      </c>
      <c r="P1700" s="2" t="s">
        <v>37</v>
      </c>
      <c r="Q1700" t="s">
        <v>1208</v>
      </c>
      <c r="R1700">
        <v>0</v>
      </c>
      <c r="S1700">
        <v>10.41</v>
      </c>
      <c r="T1700" t="s">
        <v>5691</v>
      </c>
    </row>
    <row r="1701" spans="1:20" x14ac:dyDescent="0.25">
      <c r="A1701" s="1" t="str">
        <f>HYPERLINK("https://vegkart.atlas.vegvesen.no/#/@240581.1,7090289.8,18/hva:hva%5B0%5D%5Bfilter%5D%5B0%5D%5Boperator%5D=%21%3D&amp;hva%5B0%5D%5Bfilter%5D%5B0%5D%5Btype_id%5D=9427&amp;hva%5B0%5D%5Bfilter%5D%5B0%5D%5Bverdi%5D=&amp;hva%5B0%5D%5Bid%5D=25/når:2024-11-13", "Vegkart")</f>
        <v>Vegkart</v>
      </c>
      <c r="B1701">
        <v>1021158046</v>
      </c>
      <c r="C1701">
        <v>25</v>
      </c>
      <c r="D1701" t="s">
        <v>4290</v>
      </c>
      <c r="E1701">
        <v>9427</v>
      </c>
      <c r="F1701" t="s">
        <v>23479</v>
      </c>
      <c r="G1701">
        <v>1</v>
      </c>
      <c r="H1701" t="s">
        <v>5687</v>
      </c>
      <c r="J1701" t="s">
        <v>5659</v>
      </c>
      <c r="K1701" t="s">
        <v>192</v>
      </c>
      <c r="L1701" t="s">
        <v>33</v>
      </c>
      <c r="M1701" t="s">
        <v>5692</v>
      </c>
      <c r="N1701" t="s">
        <v>5693</v>
      </c>
      <c r="O1701" t="s">
        <v>5694</v>
      </c>
      <c r="P1701" s="2" t="s">
        <v>37</v>
      </c>
      <c r="Q1701" t="s">
        <v>1208</v>
      </c>
      <c r="R1701">
        <v>0</v>
      </c>
      <c r="S1701">
        <v>10.41</v>
      </c>
      <c r="T1701" t="s">
        <v>5695</v>
      </c>
    </row>
    <row r="1702" spans="1:20" x14ac:dyDescent="0.25">
      <c r="A1702" s="1" t="str">
        <f>HYPERLINK("https://vegkart.atlas.vegvesen.no/#/@238070.9,7079171.8,18/hva:hva%5B0%5D%5Bfilter%5D%5B0%5D%5Boperator%5D=%21%3D&amp;hva%5B0%5D%5Bfilter%5D%5B0%5D%5Btype_id%5D=9427&amp;hva%5B0%5D%5Bfilter%5D%5B0%5D%5Bverdi%5D=&amp;hva%5B0%5D%5Bid%5D=25/når:2024-11-13", "Vegkart")</f>
        <v>Vegkart</v>
      </c>
      <c r="B1702">
        <v>1021158047</v>
      </c>
      <c r="C1702">
        <v>25</v>
      </c>
      <c r="D1702" t="s">
        <v>4290</v>
      </c>
      <c r="E1702">
        <v>9427</v>
      </c>
      <c r="F1702" t="s">
        <v>23479</v>
      </c>
      <c r="G1702">
        <v>1</v>
      </c>
      <c r="H1702" t="s">
        <v>5687</v>
      </c>
      <c r="J1702" t="s">
        <v>5659</v>
      </c>
      <c r="K1702" t="s">
        <v>192</v>
      </c>
      <c r="L1702" t="s">
        <v>33</v>
      </c>
      <c r="M1702" t="s">
        <v>5696</v>
      </c>
      <c r="N1702" t="s">
        <v>5697</v>
      </c>
      <c r="O1702" t="s">
        <v>5698</v>
      </c>
      <c r="P1702" s="2" t="s">
        <v>37</v>
      </c>
      <c r="Q1702" t="s">
        <v>1208</v>
      </c>
      <c r="R1702">
        <v>0</v>
      </c>
      <c r="S1702">
        <v>10.41</v>
      </c>
      <c r="T1702" t="s">
        <v>5699</v>
      </c>
    </row>
    <row r="1703" spans="1:20" x14ac:dyDescent="0.25">
      <c r="A1703" s="1" t="str">
        <f>HYPERLINK("https://vegkart.atlas.vegvesen.no/#/@288264.0,6744877.1,18/hva:hva%5B0%5D%5Bfilter%5D%5B0%5D%5Boperator%5D=%21%3D&amp;hva%5B0%5D%5Bfilter%5D%5B0%5D%5Btype_id%5D=9427&amp;hva%5B0%5D%5Bfilter%5D%5B0%5D%5Bverdi%5D=&amp;hva%5B0%5D%5Bid%5D=25/når:2022-01-16", "Vegkart")</f>
        <v>Vegkart</v>
      </c>
      <c r="B1703">
        <v>1021346491</v>
      </c>
      <c r="C1703">
        <v>25</v>
      </c>
      <c r="D1703" t="s">
        <v>4290</v>
      </c>
      <c r="E1703">
        <v>9427</v>
      </c>
      <c r="F1703" t="s">
        <v>23479</v>
      </c>
      <c r="G1703">
        <v>1</v>
      </c>
      <c r="H1703" t="s">
        <v>5700</v>
      </c>
      <c r="J1703" t="s">
        <v>5659</v>
      </c>
      <c r="K1703" t="s">
        <v>136</v>
      </c>
      <c r="L1703" t="s">
        <v>33</v>
      </c>
      <c r="M1703" t="s">
        <v>5701</v>
      </c>
      <c r="N1703" t="s">
        <v>5702</v>
      </c>
      <c r="O1703" t="s">
        <v>5703</v>
      </c>
      <c r="P1703" s="2" t="s">
        <v>37</v>
      </c>
      <c r="Q1703" t="s">
        <v>1208</v>
      </c>
      <c r="R1703">
        <v>0</v>
      </c>
      <c r="S1703">
        <v>9.56</v>
      </c>
      <c r="T1703" t="s">
        <v>5704</v>
      </c>
    </row>
    <row r="1704" spans="1:20" x14ac:dyDescent="0.25">
      <c r="A1704" s="1" t="str">
        <f>HYPERLINK("https://vegkart.atlas.vegvesen.no/#/@273949.0,6747889.0,18/hva:hva%5B0%5D%5Bfilter%5D%5B0%5D%5Boperator%5D=%21%3D&amp;hva%5B0%5D%5Bfilter%5D%5B0%5D%5Btype_id%5D=9427&amp;hva%5B0%5D%5Bfilter%5D%5B0%5D%5Bverdi%5D=&amp;hva%5B0%5D%5Bid%5D=25/når:2022-01-16", "Vegkart")</f>
        <v>Vegkart</v>
      </c>
      <c r="B1704">
        <v>1021346492</v>
      </c>
      <c r="C1704">
        <v>25</v>
      </c>
      <c r="D1704" t="s">
        <v>4290</v>
      </c>
      <c r="E1704">
        <v>9427</v>
      </c>
      <c r="F1704" t="s">
        <v>23479</v>
      </c>
      <c r="G1704">
        <v>1</v>
      </c>
      <c r="H1704" t="s">
        <v>5700</v>
      </c>
      <c r="J1704" t="s">
        <v>5659</v>
      </c>
      <c r="K1704" t="s">
        <v>136</v>
      </c>
      <c r="L1704" t="s">
        <v>370</v>
      </c>
      <c r="M1704" t="s">
        <v>5705</v>
      </c>
      <c r="N1704" t="s">
        <v>5706</v>
      </c>
      <c r="O1704" t="s">
        <v>5707</v>
      </c>
      <c r="P1704" s="2" t="s">
        <v>37</v>
      </c>
      <c r="Q1704" t="s">
        <v>1208</v>
      </c>
      <c r="R1704">
        <v>0</v>
      </c>
      <c r="S1704">
        <v>15.18</v>
      </c>
      <c r="T1704" t="s">
        <v>5708</v>
      </c>
    </row>
    <row r="1705" spans="1:20" x14ac:dyDescent="0.25">
      <c r="A1705" s="1" t="str">
        <f>HYPERLINK("https://vegkart.atlas.vegvesen.no/#/@343961.7,6865590.3,18/hva:hva%5B0%5D%5Bfilter%5D%5B0%5D%5Boperator%5D=%21%3D&amp;hva%5B0%5D%5Bfilter%5D%5B0%5D%5Btype_id%5D=9427&amp;hva%5B0%5D%5Bfilter%5D%5B0%5D%5Bverdi%5D=&amp;hva%5B0%5D%5Bid%5D=25/når:2023-01-11", "Vegkart")</f>
        <v>Vegkart</v>
      </c>
      <c r="B1705">
        <v>1021346493</v>
      </c>
      <c r="C1705">
        <v>25</v>
      </c>
      <c r="D1705" t="s">
        <v>4290</v>
      </c>
      <c r="E1705">
        <v>9427</v>
      </c>
      <c r="F1705" t="s">
        <v>23479</v>
      </c>
      <c r="G1705">
        <v>1</v>
      </c>
      <c r="H1705" t="s">
        <v>5709</v>
      </c>
      <c r="J1705" t="s">
        <v>5659</v>
      </c>
      <c r="K1705" t="s">
        <v>136</v>
      </c>
      <c r="L1705" t="s">
        <v>370</v>
      </c>
      <c r="M1705" t="s">
        <v>5710</v>
      </c>
      <c r="N1705" t="s">
        <v>5711</v>
      </c>
      <c r="O1705" t="s">
        <v>5712</v>
      </c>
      <c r="P1705" s="2" t="s">
        <v>37</v>
      </c>
      <c r="Q1705" t="s">
        <v>1208</v>
      </c>
      <c r="R1705">
        <v>0</v>
      </c>
      <c r="S1705">
        <v>10.72</v>
      </c>
      <c r="T1705" t="s">
        <v>5713</v>
      </c>
    </row>
    <row r="1706" spans="1:20" x14ac:dyDescent="0.25">
      <c r="A1706" s="1" t="str">
        <f>HYPERLINK("https://vegkart.atlas.vegvesen.no/#/@297892.9,6739129.2,18/hva:hva%5B0%5D%5Bfilter%5D%5B0%5D%5Boperator%5D=%21%3D&amp;hva%5B0%5D%5Bfilter%5D%5B0%5D%5Btype_id%5D=9427&amp;hva%5B0%5D%5Bfilter%5D%5B0%5D%5Bverdi%5D=&amp;hva%5B0%5D%5Bid%5D=25/når:2023-01-16", "Vegkart")</f>
        <v>Vegkart</v>
      </c>
      <c r="B1706">
        <v>1021346494</v>
      </c>
      <c r="C1706">
        <v>25</v>
      </c>
      <c r="D1706" t="s">
        <v>4290</v>
      </c>
      <c r="E1706">
        <v>9427</v>
      </c>
      <c r="F1706" t="s">
        <v>23479</v>
      </c>
      <c r="G1706">
        <v>1</v>
      </c>
      <c r="H1706" t="s">
        <v>5714</v>
      </c>
      <c r="J1706" t="s">
        <v>5659</v>
      </c>
      <c r="K1706" t="s">
        <v>136</v>
      </c>
      <c r="L1706" t="s">
        <v>370</v>
      </c>
      <c r="M1706" t="s">
        <v>5715</v>
      </c>
      <c r="N1706" t="s">
        <v>5716</v>
      </c>
      <c r="O1706" t="s">
        <v>5717</v>
      </c>
      <c r="P1706" s="2" t="s">
        <v>37</v>
      </c>
      <c r="Q1706" t="s">
        <v>1208</v>
      </c>
      <c r="R1706">
        <v>0</v>
      </c>
      <c r="S1706">
        <v>9.25</v>
      </c>
      <c r="T1706" t="s">
        <v>5718</v>
      </c>
    </row>
    <row r="1707" spans="1:20" x14ac:dyDescent="0.25">
      <c r="A1707" s="1" t="str">
        <f>HYPERLINK("https://vegkart.atlas.vegvesen.no/#/@504677.3,7638829.0,18/hva:hva%5B0%5D%5Bfilter%5D%5B0%5D%5Boperator%5D=%21%3D&amp;hva%5B0%5D%5Bfilter%5D%5B0%5D%5Btype_id%5D=9427&amp;hva%5B0%5D%5Bfilter%5D%5B0%5D%5Bverdi%5D=&amp;hva%5B0%5D%5Bid%5D=25/når:2025-01-16", "Vegkart")</f>
        <v>Vegkart</v>
      </c>
      <c r="B1707">
        <v>1021966852</v>
      </c>
      <c r="C1707">
        <v>25</v>
      </c>
      <c r="D1707" t="s">
        <v>4290</v>
      </c>
      <c r="E1707">
        <v>9427</v>
      </c>
      <c r="F1707" t="s">
        <v>23479</v>
      </c>
      <c r="G1707">
        <v>1</v>
      </c>
      <c r="H1707" t="s">
        <v>5719</v>
      </c>
      <c r="J1707" t="s">
        <v>5659</v>
      </c>
      <c r="K1707" t="s">
        <v>53</v>
      </c>
      <c r="L1707" t="s">
        <v>33</v>
      </c>
      <c r="M1707" t="s">
        <v>5720</v>
      </c>
      <c r="N1707" t="s">
        <v>5721</v>
      </c>
      <c r="O1707" t="s">
        <v>5722</v>
      </c>
      <c r="P1707" s="2" t="s">
        <v>37</v>
      </c>
      <c r="Q1707" t="s">
        <v>1208</v>
      </c>
      <c r="R1707">
        <v>0.04</v>
      </c>
      <c r="S1707">
        <v>10.26</v>
      </c>
      <c r="T1707" t="s">
        <v>5723</v>
      </c>
    </row>
    <row r="1708" spans="1:20" x14ac:dyDescent="0.25">
      <c r="A1708" s="1" t="str">
        <f>HYPERLINK("https://vegkart.atlas.vegvesen.no/#/@510720.3,7647547.3,18/hva:hva%5B0%5D%5Bfilter%5D%5B0%5D%5Boperator%5D=%21%3D&amp;hva%5B0%5D%5Bfilter%5D%5B0%5D%5Btype_id%5D=9427&amp;hva%5B0%5D%5Bfilter%5D%5B0%5D%5Bverdi%5D=&amp;hva%5B0%5D%5Bid%5D=25/når:2025-01-16", "Vegkart")</f>
        <v>Vegkart</v>
      </c>
      <c r="B1708">
        <v>1021966853</v>
      </c>
      <c r="C1708">
        <v>25</v>
      </c>
      <c r="D1708" t="s">
        <v>4290</v>
      </c>
      <c r="E1708">
        <v>9427</v>
      </c>
      <c r="F1708" t="s">
        <v>23479</v>
      </c>
      <c r="G1708">
        <v>1</v>
      </c>
      <c r="H1708" t="s">
        <v>5719</v>
      </c>
      <c r="J1708" t="s">
        <v>5659</v>
      </c>
      <c r="K1708" t="s">
        <v>53</v>
      </c>
      <c r="L1708" t="s">
        <v>33</v>
      </c>
      <c r="M1708" t="s">
        <v>5724</v>
      </c>
      <c r="N1708" t="s">
        <v>5725</v>
      </c>
      <c r="O1708" t="s">
        <v>5726</v>
      </c>
      <c r="P1708" s="2" t="s">
        <v>37</v>
      </c>
      <c r="Q1708" t="s">
        <v>1208</v>
      </c>
      <c r="R1708">
        <v>0.02</v>
      </c>
      <c r="S1708">
        <v>9.74</v>
      </c>
      <c r="T1708" t="s">
        <v>5727</v>
      </c>
    </row>
    <row r="1709" spans="1:20" x14ac:dyDescent="0.25">
      <c r="A1709" s="1" t="str">
        <f>HYPERLINK("https://vegkart.atlas.vegvesen.no/#/@485738.9,7625731.7,18/hva:hva%5B0%5D%5Bfilter%5D%5B0%5D%5Boperator%5D=%21%3D&amp;hva%5B0%5D%5Bfilter%5D%5B0%5D%5Btype_id%5D=9427&amp;hva%5B0%5D%5Bfilter%5D%5B0%5D%5Bverdi%5D=&amp;hva%5B0%5D%5Bid%5D=25/når:2025-01-16", "Vegkart")</f>
        <v>Vegkart</v>
      </c>
      <c r="B1709">
        <v>1021966854</v>
      </c>
      <c r="C1709">
        <v>25</v>
      </c>
      <c r="D1709" t="s">
        <v>4290</v>
      </c>
      <c r="E1709">
        <v>9427</v>
      </c>
      <c r="F1709" t="s">
        <v>23479</v>
      </c>
      <c r="G1709">
        <v>1</v>
      </c>
      <c r="H1709" t="s">
        <v>5719</v>
      </c>
      <c r="J1709" t="s">
        <v>5659</v>
      </c>
      <c r="K1709" t="s">
        <v>53</v>
      </c>
      <c r="L1709" t="s">
        <v>33</v>
      </c>
      <c r="M1709" t="s">
        <v>5728</v>
      </c>
      <c r="N1709" t="s">
        <v>5729</v>
      </c>
      <c r="O1709" t="s">
        <v>5730</v>
      </c>
      <c r="P1709" s="2" t="s">
        <v>37</v>
      </c>
      <c r="Q1709" t="s">
        <v>1208</v>
      </c>
      <c r="R1709">
        <v>7.0000000000000007E-2</v>
      </c>
      <c r="S1709">
        <v>9.8800000000000008</v>
      </c>
      <c r="T1709" t="s">
        <v>5731</v>
      </c>
    </row>
    <row r="1710" spans="1:20" x14ac:dyDescent="0.25">
      <c r="A1710" s="1" t="str">
        <f>HYPERLINK("https://vegkart.atlas.vegvesen.no/#/@512449.5,7626460.1,18/hva:hva%5B0%5D%5Bfilter%5D%5B0%5D%5Boperator%5D=%21%3D&amp;hva%5B0%5D%5Bfilter%5D%5B0%5D%5Btype_id%5D=9427&amp;hva%5B0%5D%5Bfilter%5D%5B0%5D%5Bverdi%5D=&amp;hva%5B0%5D%5Bid%5D=25/når:2025-01-16", "Vegkart")</f>
        <v>Vegkart</v>
      </c>
      <c r="B1710">
        <v>1021966855</v>
      </c>
      <c r="C1710">
        <v>25</v>
      </c>
      <c r="D1710" t="s">
        <v>4290</v>
      </c>
      <c r="E1710">
        <v>9427</v>
      </c>
      <c r="F1710" t="s">
        <v>23479</v>
      </c>
      <c r="G1710">
        <v>1</v>
      </c>
      <c r="H1710" t="s">
        <v>5719</v>
      </c>
      <c r="J1710" t="s">
        <v>5659</v>
      </c>
      <c r="K1710" t="s">
        <v>53</v>
      </c>
      <c r="L1710" t="s">
        <v>33</v>
      </c>
      <c r="M1710" t="s">
        <v>5728</v>
      </c>
      <c r="N1710" t="s">
        <v>5732</v>
      </c>
      <c r="O1710" t="s">
        <v>5733</v>
      </c>
      <c r="P1710" s="2" t="s">
        <v>37</v>
      </c>
      <c r="Q1710" t="s">
        <v>1208</v>
      </c>
      <c r="R1710">
        <v>0.26</v>
      </c>
      <c r="S1710">
        <v>9.9700000000000006</v>
      </c>
      <c r="T1710" t="s">
        <v>5734</v>
      </c>
    </row>
    <row r="1711" spans="1:20" x14ac:dyDescent="0.25">
      <c r="A1711" s="1" t="str">
        <f>HYPERLINK("https://vegkart.atlas.vegvesen.no/#/@505779.3,7611528.1,18/hva:hva%5B0%5D%5Bfilter%5D%5B0%5D%5Boperator%5D=%21%3D&amp;hva%5B0%5D%5Bfilter%5D%5B0%5D%5Btype_id%5D=9427&amp;hva%5B0%5D%5Bfilter%5D%5B0%5D%5Bverdi%5D=&amp;hva%5B0%5D%5Bid%5D=25/når:2025-01-16", "Vegkart")</f>
        <v>Vegkart</v>
      </c>
      <c r="B1711">
        <v>1021966856</v>
      </c>
      <c r="C1711">
        <v>25</v>
      </c>
      <c r="D1711" t="s">
        <v>4290</v>
      </c>
      <c r="E1711">
        <v>9427</v>
      </c>
      <c r="F1711" t="s">
        <v>23479</v>
      </c>
      <c r="G1711">
        <v>1</v>
      </c>
      <c r="H1711" t="s">
        <v>5719</v>
      </c>
      <c r="J1711" t="s">
        <v>5659</v>
      </c>
      <c r="K1711" t="s">
        <v>53</v>
      </c>
      <c r="L1711" t="s">
        <v>33</v>
      </c>
      <c r="M1711" t="s">
        <v>5735</v>
      </c>
      <c r="N1711" t="s">
        <v>5736</v>
      </c>
      <c r="O1711" t="s">
        <v>5737</v>
      </c>
      <c r="P1711" s="2" t="s">
        <v>37</v>
      </c>
      <c r="Q1711" t="s">
        <v>1208</v>
      </c>
      <c r="R1711">
        <v>0.16</v>
      </c>
      <c r="S1711">
        <v>10.16</v>
      </c>
      <c r="T1711" t="s">
        <v>5738</v>
      </c>
    </row>
    <row r="1712" spans="1:20" x14ac:dyDescent="0.25">
      <c r="A1712" s="1" t="str">
        <f>HYPERLINK("https://vegkart.atlas.vegvesen.no/#/@516162.4,7618996.2,18/hva:hva%5B0%5D%5Bfilter%5D%5B0%5D%5Boperator%5D=%21%3D&amp;hva%5B0%5D%5Bfilter%5D%5B0%5D%5Btype_id%5D=9427&amp;hva%5B0%5D%5Bfilter%5D%5B0%5D%5Bverdi%5D=&amp;hva%5B0%5D%5Bid%5D=25/når:2025-01-16", "Vegkart")</f>
        <v>Vegkart</v>
      </c>
      <c r="B1712">
        <v>1021966857</v>
      </c>
      <c r="C1712">
        <v>25</v>
      </c>
      <c r="D1712" t="s">
        <v>4290</v>
      </c>
      <c r="E1712">
        <v>9427</v>
      </c>
      <c r="F1712" t="s">
        <v>23479</v>
      </c>
      <c r="G1712">
        <v>1</v>
      </c>
      <c r="H1712" t="s">
        <v>5719</v>
      </c>
      <c r="J1712" t="s">
        <v>5659</v>
      </c>
      <c r="K1712" t="s">
        <v>53</v>
      </c>
      <c r="L1712" t="s">
        <v>33</v>
      </c>
      <c r="M1712" t="s">
        <v>5735</v>
      </c>
      <c r="N1712" t="s">
        <v>5739</v>
      </c>
      <c r="O1712" t="s">
        <v>5740</v>
      </c>
      <c r="P1712" s="2" t="s">
        <v>37</v>
      </c>
      <c r="Q1712" t="s">
        <v>1208</v>
      </c>
      <c r="R1712">
        <v>0.24</v>
      </c>
      <c r="S1712">
        <v>9.9600000000000009</v>
      </c>
      <c r="T1712" t="s">
        <v>5741</v>
      </c>
    </row>
    <row r="1713" spans="1:20" x14ac:dyDescent="0.25">
      <c r="A1713" s="1" t="str">
        <f>HYPERLINK("https://vegkart.atlas.vegvesen.no/#/@133256.1,6498840.8,18/hva:hva%5B0%5D%5Bfilter%5D%5B0%5D%5Boperator%5D=%21%3D&amp;hva%5B0%5D%5Bfilter%5D%5B0%5D%5Btype_id%5D=9427&amp;hva%5B0%5D%5Bfilter%5D%5B0%5D%5Bverdi%5D=&amp;hva%5B0%5D%5Bid%5D=25/når:2025-02-03", "Vegkart")</f>
        <v>Vegkart</v>
      </c>
      <c r="B1713">
        <v>1022032028</v>
      </c>
      <c r="C1713">
        <v>25</v>
      </c>
      <c r="D1713" t="s">
        <v>4290</v>
      </c>
      <c r="E1713">
        <v>9427</v>
      </c>
      <c r="F1713" t="s">
        <v>23479</v>
      </c>
      <c r="G1713">
        <v>1</v>
      </c>
      <c r="H1713" t="s">
        <v>5742</v>
      </c>
      <c r="J1713" t="s">
        <v>5659</v>
      </c>
      <c r="K1713" t="s">
        <v>86</v>
      </c>
      <c r="L1713" t="s">
        <v>33</v>
      </c>
      <c r="M1713" t="s">
        <v>86</v>
      </c>
      <c r="N1713" t="s">
        <v>5743</v>
      </c>
      <c r="O1713" t="s">
        <v>5744</v>
      </c>
      <c r="P1713" s="2" t="s">
        <v>37</v>
      </c>
      <c r="Q1713" t="s">
        <v>1208</v>
      </c>
      <c r="R1713">
        <v>0</v>
      </c>
      <c r="S1713">
        <v>8.0399999999999991</v>
      </c>
      <c r="T1713" t="s">
        <v>5745</v>
      </c>
    </row>
    <row r="1714" spans="1:20" x14ac:dyDescent="0.25">
      <c r="A1714" s="1" t="str">
        <f>HYPERLINK("https://vegkart.atlas.vegvesen.no/#/@-19885.5,6581664.6,18/hva:hva%5B0%5D%5Bfilter%5D%5B0%5D%5Boperator%5D=%21%3D&amp;hva%5B0%5D%5Bfilter%5D%5B0%5D%5Btype_id%5D=9427&amp;hva%5B0%5D%5Bfilter%5D%5B0%5D%5Bverdi%5D=&amp;hva%5B0%5D%5Bid%5D=25/når:2025-03-24", "Vegkart")</f>
        <v>Vegkart</v>
      </c>
      <c r="B1714">
        <v>1022413343</v>
      </c>
      <c r="C1714">
        <v>25</v>
      </c>
      <c r="D1714" t="s">
        <v>4290</v>
      </c>
      <c r="E1714">
        <v>9427</v>
      </c>
      <c r="F1714" t="s">
        <v>23479</v>
      </c>
      <c r="G1714">
        <v>1</v>
      </c>
      <c r="H1714" t="s">
        <v>5746</v>
      </c>
      <c r="J1714" t="s">
        <v>5659</v>
      </c>
      <c r="K1714" t="s">
        <v>170</v>
      </c>
      <c r="L1714" t="s">
        <v>113</v>
      </c>
      <c r="M1714" t="s">
        <v>114</v>
      </c>
      <c r="N1714" t="s">
        <v>5747</v>
      </c>
      <c r="O1714" t="s">
        <v>5748</v>
      </c>
      <c r="P1714" s="2" t="s">
        <v>37</v>
      </c>
      <c r="Q1714" t="s">
        <v>1208</v>
      </c>
      <c r="R1714">
        <v>3.38</v>
      </c>
      <c r="S1714">
        <v>6.88</v>
      </c>
      <c r="T1714" t="s">
        <v>5749</v>
      </c>
    </row>
    <row r="1715" spans="1:20" x14ac:dyDescent="0.25">
      <c r="A1715" s="1" t="str">
        <f>HYPERLINK("https://vegkart.atlas.vegvesen.no/#/@-19644.7,6580639.3,18/hva:hva%5B0%5D%5Bfilter%5D%5B0%5D%5Boperator%5D=%21%3D&amp;hva%5B0%5D%5Bfilter%5D%5B0%5D%5Btype_id%5D=9427&amp;hva%5B0%5D%5Bfilter%5D%5B0%5D%5Bverdi%5D=&amp;hva%5B0%5D%5Bid%5D=25/når:2025-03-24", "Vegkart")</f>
        <v>Vegkart</v>
      </c>
      <c r="B1715">
        <v>1022413344</v>
      </c>
      <c r="C1715">
        <v>25</v>
      </c>
      <c r="D1715" t="s">
        <v>4290</v>
      </c>
      <c r="E1715">
        <v>9427</v>
      </c>
      <c r="F1715" t="s">
        <v>23479</v>
      </c>
      <c r="G1715">
        <v>1</v>
      </c>
      <c r="H1715" t="s">
        <v>5746</v>
      </c>
      <c r="J1715" t="s">
        <v>5659</v>
      </c>
      <c r="K1715" t="s">
        <v>170</v>
      </c>
      <c r="L1715" t="s">
        <v>113</v>
      </c>
      <c r="M1715" t="s">
        <v>114</v>
      </c>
      <c r="N1715" t="s">
        <v>5750</v>
      </c>
      <c r="O1715" t="s">
        <v>5751</v>
      </c>
      <c r="P1715" s="2" t="s">
        <v>37</v>
      </c>
      <c r="Q1715" t="s">
        <v>1208</v>
      </c>
      <c r="R1715">
        <v>1.8</v>
      </c>
      <c r="S1715">
        <v>8.51</v>
      </c>
      <c r="T1715" t="s">
        <v>5752</v>
      </c>
    </row>
    <row r="1716" spans="1:20" x14ac:dyDescent="0.25">
      <c r="A1716" s="1" t="str">
        <f>HYPERLINK("https://vegkart.atlas.vegvesen.no/#/@-19854.4,6581691.2,18/hva:hva%5B0%5D%5Bfilter%5D%5B0%5D%5Boperator%5D=%21%3D&amp;hva%5B0%5D%5Bfilter%5D%5B0%5D%5Btype_id%5D=9427&amp;hva%5B0%5D%5Bfilter%5D%5B0%5D%5Bverdi%5D=&amp;hva%5B0%5D%5Bid%5D=25/når:2025-03-24", "Vegkart")</f>
        <v>Vegkart</v>
      </c>
      <c r="B1716">
        <v>1022413345</v>
      </c>
      <c r="C1716">
        <v>25</v>
      </c>
      <c r="D1716" t="s">
        <v>4290</v>
      </c>
      <c r="E1716">
        <v>9427</v>
      </c>
      <c r="F1716" t="s">
        <v>23479</v>
      </c>
      <c r="G1716">
        <v>1</v>
      </c>
      <c r="H1716" t="s">
        <v>5746</v>
      </c>
      <c r="J1716" t="s">
        <v>5659</v>
      </c>
      <c r="K1716" t="s">
        <v>170</v>
      </c>
      <c r="L1716" t="s">
        <v>113</v>
      </c>
      <c r="M1716" t="s">
        <v>114</v>
      </c>
      <c r="N1716" t="s">
        <v>5753</v>
      </c>
      <c r="O1716" t="s">
        <v>5754</v>
      </c>
      <c r="P1716" s="2" t="s">
        <v>37</v>
      </c>
      <c r="Q1716" t="s">
        <v>1208</v>
      </c>
      <c r="R1716">
        <v>3.34</v>
      </c>
      <c r="S1716">
        <v>6.78</v>
      </c>
      <c r="T1716" t="s">
        <v>5755</v>
      </c>
    </row>
    <row r="1717" spans="1:20" x14ac:dyDescent="0.25">
      <c r="A1717" s="1" t="str">
        <f>HYPERLINK("https://vegkart.atlas.vegvesen.no/#/@-19663.1,6580609.1,18/hva:hva%5B0%5D%5Bfilter%5D%5B0%5D%5Boperator%5D=%21%3D&amp;hva%5B0%5D%5Bfilter%5D%5B0%5D%5Btype_id%5D=9427&amp;hva%5B0%5D%5Bfilter%5D%5B0%5D%5Bverdi%5D=&amp;hva%5B0%5D%5Bid%5D=25/når:2025-03-24", "Vegkart")</f>
        <v>Vegkart</v>
      </c>
      <c r="B1717">
        <v>1022413346</v>
      </c>
      <c r="C1717">
        <v>25</v>
      </c>
      <c r="D1717" t="s">
        <v>4290</v>
      </c>
      <c r="E1717">
        <v>9427</v>
      </c>
      <c r="F1717" t="s">
        <v>23479</v>
      </c>
      <c r="G1717">
        <v>1</v>
      </c>
      <c r="H1717" t="s">
        <v>5746</v>
      </c>
      <c r="J1717" t="s">
        <v>5659</v>
      </c>
      <c r="K1717" t="s">
        <v>170</v>
      </c>
      <c r="L1717" t="s">
        <v>113</v>
      </c>
      <c r="M1717" t="s">
        <v>114</v>
      </c>
      <c r="N1717" t="s">
        <v>5756</v>
      </c>
      <c r="O1717" t="s">
        <v>5757</v>
      </c>
      <c r="P1717" s="2" t="s">
        <v>37</v>
      </c>
      <c r="Q1717" t="s">
        <v>1208</v>
      </c>
      <c r="R1717">
        <v>3.53</v>
      </c>
      <c r="S1717">
        <v>6.61</v>
      </c>
      <c r="T1717" t="s">
        <v>5758</v>
      </c>
    </row>
    <row r="1718" spans="1:20" x14ac:dyDescent="0.25">
      <c r="A1718" s="1" t="str">
        <f>HYPERLINK("https://vegkart.atlas.vegvesen.no/#/@-26447.5,6869276.3,18/hva:hva%5B0%5D%5Bfilter%5D%5B0%5D%5Boperator%5D=%21%3D&amp;hva%5B0%5D%5Bfilter%5D%5B0%5D%5Btype_id%5D=9427&amp;hva%5B0%5D%5Bfilter%5D%5B0%5D%5Bverdi%5D=&amp;hva%5B0%5D%5Bid%5D=25/når:2025-04-28", "Vegkart")</f>
        <v>Vegkart</v>
      </c>
      <c r="B1718">
        <v>1022498103</v>
      </c>
      <c r="C1718">
        <v>25</v>
      </c>
      <c r="D1718" t="s">
        <v>4290</v>
      </c>
      <c r="E1718">
        <v>9427</v>
      </c>
      <c r="F1718" t="s">
        <v>23479</v>
      </c>
      <c r="G1718">
        <v>1</v>
      </c>
      <c r="H1718" t="s">
        <v>96</v>
      </c>
      <c r="J1718" t="s">
        <v>5659</v>
      </c>
      <c r="K1718" t="s">
        <v>21</v>
      </c>
      <c r="L1718" t="s">
        <v>33</v>
      </c>
      <c r="M1718" t="s">
        <v>5759</v>
      </c>
      <c r="N1718" t="s">
        <v>5760</v>
      </c>
      <c r="O1718" t="s">
        <v>5761</v>
      </c>
      <c r="P1718" s="2" t="s">
        <v>37</v>
      </c>
      <c r="Q1718" t="s">
        <v>1208</v>
      </c>
      <c r="R1718">
        <v>0</v>
      </c>
      <c r="S1718">
        <v>10.51</v>
      </c>
      <c r="T1718" t="s">
        <v>5762</v>
      </c>
    </row>
    <row r="1719" spans="1:20" x14ac:dyDescent="0.25">
      <c r="A1719" s="1" t="str">
        <f>HYPERLINK("https://vegkart.atlas.vegvesen.no/#/@-19816.4,6665083.4,18/hva:hva%5B0%5D%5Bfilter%5D%5B0%5D%5Boperator%5D=%21%3D&amp;hva%5B0%5D%5Bfilter%5D%5B0%5D%5Btype_id%5D=9427&amp;hva%5B0%5D%5Bfilter%5D%5B0%5D%5Bverdi%5D=&amp;hva%5B0%5D%5Bid%5D=25/når:2025-04-29", "Vegkart")</f>
        <v>Vegkart</v>
      </c>
      <c r="B1719">
        <v>1022501326</v>
      </c>
      <c r="C1719">
        <v>25</v>
      </c>
      <c r="D1719" t="s">
        <v>4290</v>
      </c>
      <c r="E1719">
        <v>9427</v>
      </c>
      <c r="F1719" t="s">
        <v>23479</v>
      </c>
      <c r="G1719">
        <v>1</v>
      </c>
      <c r="H1719" t="s">
        <v>4192</v>
      </c>
      <c r="J1719" t="s">
        <v>5659</v>
      </c>
      <c r="K1719" t="s">
        <v>21</v>
      </c>
      <c r="L1719" t="s">
        <v>33</v>
      </c>
      <c r="M1719" t="s">
        <v>1650</v>
      </c>
      <c r="N1719" t="s">
        <v>5763</v>
      </c>
      <c r="O1719" t="s">
        <v>5764</v>
      </c>
      <c r="P1719" s="2" t="s">
        <v>37</v>
      </c>
      <c r="Q1719" t="s">
        <v>1208</v>
      </c>
      <c r="R1719">
        <v>0</v>
      </c>
      <c r="S1719">
        <v>11.35</v>
      </c>
      <c r="T1719" t="s">
        <v>5765</v>
      </c>
    </row>
    <row r="1720" spans="1:20" x14ac:dyDescent="0.25">
      <c r="A1720" s="1" t="str">
        <f>HYPERLINK("https://vegkart.atlas.vegvesen.no/#/@427840.5,7314640.9,18/hva:hva%5B0%5D%5Bfilter%5D%5B0%5D%5Boperator%5D=%21%3D&amp;hva%5B0%5D%5Bfilter%5D%5B0%5D%5Btype_id%5D=9427&amp;hva%5B0%5D%5Bfilter%5D%5B0%5D%5Bverdi%5D=&amp;hva%5B0%5D%5Bid%5D=25/når:2025-05-08", "Vegkart")</f>
        <v>Vegkart</v>
      </c>
      <c r="B1720">
        <v>1022529110</v>
      </c>
      <c r="C1720">
        <v>25</v>
      </c>
      <c r="D1720" t="s">
        <v>4290</v>
      </c>
      <c r="E1720">
        <v>9427</v>
      </c>
      <c r="F1720" t="s">
        <v>23479</v>
      </c>
      <c r="G1720">
        <v>2</v>
      </c>
      <c r="H1720" t="s">
        <v>2293</v>
      </c>
      <c r="J1720" t="s">
        <v>5659</v>
      </c>
      <c r="K1720" t="s">
        <v>53</v>
      </c>
      <c r="L1720" t="s">
        <v>33</v>
      </c>
      <c r="M1720" t="s">
        <v>5766</v>
      </c>
      <c r="N1720" t="s">
        <v>5767</v>
      </c>
      <c r="O1720" t="s">
        <v>5768</v>
      </c>
      <c r="P1720" s="2" t="s">
        <v>165</v>
      </c>
      <c r="Q1720" t="s">
        <v>641</v>
      </c>
      <c r="R1720">
        <v>0.08</v>
      </c>
      <c r="S1720">
        <v>9.66</v>
      </c>
      <c r="T1720" t="s">
        <v>167</v>
      </c>
    </row>
    <row r="1721" spans="1:20" x14ac:dyDescent="0.25">
      <c r="A1721" s="1" t="str">
        <f>HYPERLINK("https://vegkart.atlas.vegvesen.no/#/@279766.7,6756617.0,18/hva:hva%5B0%5D%5Bfilter%5D%5B0%5D%5Boperator%5D=%21%3D&amp;hva%5B0%5D%5Bfilter%5D%5B0%5D%5Btype_id%5D=9427&amp;hva%5B0%5D%5Bfilter%5D%5B0%5D%5Bverdi%5D=&amp;hva%5B0%5D%5Bid%5D=25/når:2025-05-22", "Vegkart")</f>
        <v>Vegkart</v>
      </c>
      <c r="B1721">
        <v>1022812661</v>
      </c>
      <c r="C1721">
        <v>25</v>
      </c>
      <c r="D1721" t="s">
        <v>4290</v>
      </c>
      <c r="E1721">
        <v>9427</v>
      </c>
      <c r="F1721" t="s">
        <v>23479</v>
      </c>
      <c r="G1721">
        <v>1</v>
      </c>
      <c r="H1721" t="s">
        <v>2299</v>
      </c>
      <c r="J1721" t="s">
        <v>5769</v>
      </c>
      <c r="K1721" t="s">
        <v>136</v>
      </c>
      <c r="L1721" t="s">
        <v>33</v>
      </c>
      <c r="M1721" t="s">
        <v>2300</v>
      </c>
      <c r="N1721" t="s">
        <v>5770</v>
      </c>
      <c r="O1721" t="s">
        <v>5771</v>
      </c>
      <c r="P1721" s="2" t="s">
        <v>37</v>
      </c>
      <c r="Q1721" t="s">
        <v>1208</v>
      </c>
      <c r="R1721">
        <v>0</v>
      </c>
      <c r="S1721">
        <v>27.42</v>
      </c>
      <c r="T1721" t="s">
        <v>5772</v>
      </c>
    </row>
    <row r="1722" spans="1:20" x14ac:dyDescent="0.25">
      <c r="A1722" s="1" t="str">
        <f>HYPERLINK("https://vegkart.atlas.vegvesen.no/#/@68990.3,6626539.5,18/hva:hva%5B0%5D%5Bfilter%5D%5B0%5D%5Boperator%5D=%21%3D&amp;hva%5B0%5D%5Bfilter%5D%5B0%5D%5Btype_id%5D=9427&amp;hva%5B0%5D%5Bfilter%5D%5B0%5D%5Bverdi%5D=&amp;hva%5B0%5D%5Bid%5D=25/når:2025-05-30", "Vegkart")</f>
        <v>Vegkart</v>
      </c>
      <c r="B1722">
        <v>1023179789</v>
      </c>
      <c r="C1722">
        <v>25</v>
      </c>
      <c r="D1722" t="s">
        <v>4290</v>
      </c>
      <c r="E1722">
        <v>9427</v>
      </c>
      <c r="F1722" t="s">
        <v>23479</v>
      </c>
      <c r="G1722">
        <v>1</v>
      </c>
      <c r="H1722" t="s">
        <v>5773</v>
      </c>
      <c r="J1722" t="s">
        <v>5769</v>
      </c>
      <c r="K1722" t="s">
        <v>86</v>
      </c>
      <c r="L1722" t="s">
        <v>113</v>
      </c>
      <c r="M1722" t="s">
        <v>667</v>
      </c>
      <c r="N1722" t="s">
        <v>5774</v>
      </c>
      <c r="O1722" t="s">
        <v>5775</v>
      </c>
      <c r="P1722" s="2" t="s">
        <v>37</v>
      </c>
      <c r="Q1722" t="s">
        <v>1208</v>
      </c>
      <c r="R1722">
        <v>0</v>
      </c>
      <c r="S1722">
        <v>14.32</v>
      </c>
      <c r="T1722" t="s">
        <v>5776</v>
      </c>
    </row>
    <row r="1723" spans="1:20" x14ac:dyDescent="0.25">
      <c r="A1723" s="1" t="str">
        <f>HYPERLINK("https://vegkart.atlas.vegvesen.no/#/@267451.6,7040596.3,18/hva:hva%5B0%5D%5Bfilter%5D%5B0%5D%5Boperator%5D=%21%3D&amp;hva%5B0%5D%5Bfilter%5D%5B0%5D%5Btype_id%5D=9427&amp;hva%5B0%5D%5Bfilter%5D%5B0%5D%5Bverdi%5D=&amp;hva%5B0%5D%5Bid%5D=25/når:2025-07-03", "Vegkart")</f>
        <v>Vegkart</v>
      </c>
      <c r="B1723">
        <v>1024563656</v>
      </c>
      <c r="C1723">
        <v>25</v>
      </c>
      <c r="D1723" t="s">
        <v>4290</v>
      </c>
      <c r="E1723">
        <v>9427</v>
      </c>
      <c r="F1723" t="s">
        <v>23479</v>
      </c>
      <c r="G1723">
        <v>1</v>
      </c>
      <c r="H1723" t="s">
        <v>5777</v>
      </c>
      <c r="J1723" t="s">
        <v>5769</v>
      </c>
      <c r="K1723" t="s">
        <v>192</v>
      </c>
      <c r="L1723" t="s">
        <v>22</v>
      </c>
      <c r="M1723" t="s">
        <v>5778</v>
      </c>
      <c r="N1723" t="s">
        <v>5779</v>
      </c>
      <c r="O1723" t="s">
        <v>5780</v>
      </c>
      <c r="P1723" s="2" t="s">
        <v>37</v>
      </c>
      <c r="Q1723" t="s">
        <v>1208</v>
      </c>
      <c r="R1723">
        <v>0</v>
      </c>
      <c r="S1723">
        <v>23.24</v>
      </c>
      <c r="T1723" t="s">
        <v>5781</v>
      </c>
    </row>
    <row r="1724" spans="1:20" x14ac:dyDescent="0.25">
      <c r="A1724" s="1" t="str">
        <f>HYPERLINK("https://vegkart.atlas.vegvesen.no/#/@56718.9,6457041.9,18/hva:hva%5B0%5D%5Bfilter%5D%5B0%5D%5Boperator%5D=%21%3D&amp;hva%5B0%5D%5Bfilter%5D%5B0%5D%5Btype_id%5D=9427&amp;hva%5B0%5D%5Bfilter%5D%5B0%5D%5Bverdi%5D=&amp;hva%5B0%5D%5Bid%5D=25/når:2025-07-09", "Vegkart")</f>
        <v>Vegkart</v>
      </c>
      <c r="B1724">
        <v>1024577934</v>
      </c>
      <c r="C1724">
        <v>25</v>
      </c>
      <c r="D1724" t="s">
        <v>4290</v>
      </c>
      <c r="E1724">
        <v>9427</v>
      </c>
      <c r="F1724" t="s">
        <v>23479</v>
      </c>
      <c r="G1724">
        <v>1</v>
      </c>
      <c r="H1724" t="s">
        <v>5782</v>
      </c>
      <c r="J1724" t="s">
        <v>5769</v>
      </c>
      <c r="K1724" t="s">
        <v>86</v>
      </c>
      <c r="L1724" t="s">
        <v>80</v>
      </c>
      <c r="M1724" t="s">
        <v>81</v>
      </c>
      <c r="N1724" t="s">
        <v>5783</v>
      </c>
      <c r="O1724" t="s">
        <v>5784</v>
      </c>
      <c r="P1724" s="2" t="s">
        <v>37</v>
      </c>
      <c r="Q1724" t="s">
        <v>1208</v>
      </c>
      <c r="R1724">
        <v>0</v>
      </c>
      <c r="S1724">
        <v>13.28</v>
      </c>
      <c r="T1724" t="s">
        <v>5785</v>
      </c>
    </row>
    <row r="1725" spans="1:20" x14ac:dyDescent="0.25">
      <c r="A1725" s="1" t="str">
        <f>HYPERLINK("https://vegkart.atlas.vegvesen.no/#/@56765.8,6457033.3,18/hva:hva%5B0%5D%5Bfilter%5D%5B0%5D%5Boperator%5D=%21%3D&amp;hva%5B0%5D%5Bfilter%5D%5B0%5D%5Btype_id%5D=9427&amp;hva%5B0%5D%5Bfilter%5D%5B0%5D%5Bverdi%5D=&amp;hva%5B0%5D%5Bid%5D=25/når:2025-07-09", "Vegkart")</f>
        <v>Vegkart</v>
      </c>
      <c r="B1725">
        <v>1024577935</v>
      </c>
      <c r="C1725">
        <v>25</v>
      </c>
      <c r="D1725" t="s">
        <v>4290</v>
      </c>
      <c r="E1725">
        <v>9427</v>
      </c>
      <c r="F1725" t="s">
        <v>23479</v>
      </c>
      <c r="G1725">
        <v>1</v>
      </c>
      <c r="H1725" t="s">
        <v>5782</v>
      </c>
      <c r="J1725" t="s">
        <v>5769</v>
      </c>
      <c r="K1725" t="s">
        <v>86</v>
      </c>
      <c r="L1725" t="s">
        <v>80</v>
      </c>
      <c r="M1725" t="s">
        <v>81</v>
      </c>
      <c r="N1725" t="s">
        <v>5786</v>
      </c>
      <c r="O1725" t="s">
        <v>5787</v>
      </c>
      <c r="P1725" s="2" t="s">
        <v>37</v>
      </c>
      <c r="Q1725" t="s">
        <v>1208</v>
      </c>
      <c r="R1725">
        <v>0</v>
      </c>
      <c r="S1725">
        <v>13.32</v>
      </c>
      <c r="T1725" t="s">
        <v>5788</v>
      </c>
    </row>
    <row r="1726" spans="1:20" x14ac:dyDescent="0.25">
      <c r="A1726" s="1" t="str">
        <f>HYPERLINK("https://vegkart.atlas.vegvesen.no/#/@-39581.0,6733115.6,18/hva:hva%5B0%5D%5Bfilter%5D%5B0%5D%5Boperator%5D=%21%3D&amp;hva%5B0%5D%5Bfilter%5D%5B0%5D%5Btype_id%5D=9427&amp;hva%5B0%5D%5Bfilter%5D%5B0%5D%5Bverdi%5D=&amp;hva%5B0%5D%5Bid%5D=25/når:2025-08-01", "Vegkart")</f>
        <v>Vegkart</v>
      </c>
      <c r="B1726">
        <v>1025130814</v>
      </c>
      <c r="C1726">
        <v>25</v>
      </c>
      <c r="D1726" t="s">
        <v>4290</v>
      </c>
      <c r="E1726">
        <v>9427</v>
      </c>
      <c r="F1726" t="s">
        <v>23479</v>
      </c>
      <c r="G1726">
        <v>1</v>
      </c>
      <c r="H1726" t="s">
        <v>700</v>
      </c>
      <c r="J1726" t="s">
        <v>5769</v>
      </c>
      <c r="K1726" t="s">
        <v>21</v>
      </c>
      <c r="L1726" t="s">
        <v>33</v>
      </c>
      <c r="M1726" t="s">
        <v>5789</v>
      </c>
      <c r="N1726" t="s">
        <v>5790</v>
      </c>
      <c r="O1726" t="s">
        <v>5791</v>
      </c>
      <c r="P1726" s="2" t="s">
        <v>37</v>
      </c>
      <c r="Q1726" t="s">
        <v>1208</v>
      </c>
      <c r="R1726">
        <v>0</v>
      </c>
      <c r="S1726">
        <v>7.98</v>
      </c>
      <c r="T1726" t="s">
        <v>5792</v>
      </c>
    </row>
    <row r="1727" spans="1:20" x14ac:dyDescent="0.25">
      <c r="A1727" s="1" t="str">
        <f>HYPERLINK("https://vegkart.atlas.vegvesen.no/#/@142560.9,6501388.9,18/hva:hva%5B0%5D%5Bfilter%5D%5B0%5D%5Boperator%5D=%21%3D&amp;hva%5B0%5D%5Bfilter%5D%5B0%5D%5Btype_id%5D=9427&amp;hva%5B0%5D%5Bfilter%5D%5B0%5D%5Bverdi%5D=&amp;hva%5B0%5D%5Bid%5D=25/når:2025-08-27", "Vegkart")</f>
        <v>Vegkart</v>
      </c>
      <c r="B1727">
        <v>1025204397</v>
      </c>
      <c r="C1727">
        <v>25</v>
      </c>
      <c r="D1727" t="s">
        <v>4290</v>
      </c>
      <c r="E1727">
        <v>9427</v>
      </c>
      <c r="F1727" t="s">
        <v>23479</v>
      </c>
      <c r="G1727">
        <v>1</v>
      </c>
      <c r="H1727" t="s">
        <v>5793</v>
      </c>
      <c r="J1727" t="s">
        <v>5769</v>
      </c>
      <c r="K1727" t="s">
        <v>86</v>
      </c>
      <c r="L1727" t="s">
        <v>33</v>
      </c>
      <c r="M1727" t="s">
        <v>2028</v>
      </c>
      <c r="N1727" t="s">
        <v>5794</v>
      </c>
      <c r="O1727" t="s">
        <v>5795</v>
      </c>
      <c r="P1727" s="2" t="s">
        <v>37</v>
      </c>
      <c r="Q1727" t="s">
        <v>1208</v>
      </c>
      <c r="R1727">
        <v>0</v>
      </c>
      <c r="S1727">
        <v>8.49</v>
      </c>
      <c r="T1727" t="s">
        <v>5796</v>
      </c>
    </row>
    <row r="1728" spans="1:20" x14ac:dyDescent="0.25">
      <c r="A1728" s="1" t="str">
        <f>HYPERLINK("https://vegkart.atlas.vegvesen.no/#/@233023.7,6833220.8,18/hva:hva%5B0%5D%5Bfilter%5D%5B0%5D%5Boperator%5D=%21%3D&amp;hva%5B0%5D%5Bfilter%5D%5B0%5D%5Btype_id%5D=9427&amp;hva%5B0%5D%5Bfilter%5D%5B0%5D%5Bverdi%5D=&amp;hva%5B0%5D%5Bid%5D=25/når:2025-09-17", "Vegkart")</f>
        <v>Vegkart</v>
      </c>
      <c r="B1728">
        <v>1025261789</v>
      </c>
      <c r="C1728">
        <v>25</v>
      </c>
      <c r="D1728" t="s">
        <v>4290</v>
      </c>
      <c r="E1728">
        <v>9427</v>
      </c>
      <c r="F1728" t="s">
        <v>23479</v>
      </c>
      <c r="G1728">
        <v>1</v>
      </c>
      <c r="H1728" t="s">
        <v>4275</v>
      </c>
      <c r="J1728" t="s">
        <v>5769</v>
      </c>
      <c r="K1728" t="s">
        <v>136</v>
      </c>
      <c r="L1728" t="s">
        <v>33</v>
      </c>
      <c r="M1728" t="s">
        <v>1627</v>
      </c>
      <c r="N1728" t="s">
        <v>5797</v>
      </c>
      <c r="O1728" t="s">
        <v>5798</v>
      </c>
      <c r="P1728" s="2" t="s">
        <v>37</v>
      </c>
      <c r="Q1728" t="s">
        <v>1208</v>
      </c>
      <c r="R1728">
        <v>0</v>
      </c>
      <c r="S1728">
        <v>12.18</v>
      </c>
      <c r="T1728" t="s">
        <v>5799</v>
      </c>
    </row>
    <row r="1729" spans="1:20" x14ac:dyDescent="0.25">
      <c r="A1729" s="1" t="str">
        <f>HYPERLINK("https://vegkart.atlas.vegvesen.no/#/@262947.2,6765342.9,18/hva:hva%5B0%5D%5Bfilter%5D%5B0%5D%5Boperator%5D=%21%3D&amp;hva%5B0%5D%5Bfilter%5D%5B0%5D%5Btype_id%5D=9427&amp;hva%5B0%5D%5Bfilter%5D%5B0%5D%5Bverdi%5D=&amp;hva%5B0%5D%5Bid%5D=25/når:2020-10-29", "Vegkart")</f>
        <v>Vegkart</v>
      </c>
      <c r="B1729">
        <v>1025443911</v>
      </c>
      <c r="C1729">
        <v>25</v>
      </c>
      <c r="D1729" t="s">
        <v>4290</v>
      </c>
      <c r="E1729">
        <v>9427</v>
      </c>
      <c r="F1729" t="s">
        <v>23479</v>
      </c>
      <c r="G1729">
        <v>1</v>
      </c>
      <c r="H1729" t="s">
        <v>5800</v>
      </c>
      <c r="J1729" t="s">
        <v>5769</v>
      </c>
      <c r="K1729" t="s">
        <v>136</v>
      </c>
      <c r="L1729" t="s">
        <v>33</v>
      </c>
      <c r="M1729" t="s">
        <v>5801</v>
      </c>
      <c r="N1729" t="s">
        <v>5802</v>
      </c>
      <c r="O1729" t="s">
        <v>5803</v>
      </c>
      <c r="P1729" s="2" t="s">
        <v>26</v>
      </c>
      <c r="Q1729" t="s">
        <v>50</v>
      </c>
      <c r="R1729">
        <v>3.07</v>
      </c>
      <c r="S1729">
        <v>3.07</v>
      </c>
      <c r="T1729" t="s">
        <v>5804</v>
      </c>
    </row>
    <row r="1730" spans="1:20" x14ac:dyDescent="0.25">
      <c r="A1730" s="1" t="str">
        <f>HYPERLINK("https://vegkart.atlas.vegvesen.no/#/@-3465.7,6590225.4,18/hva:hva%5B0%5D%5Bfilter%5D%5B0%5D%5Boperator%5D=%21%3D&amp;hva%5B0%5D%5Bfilter%5D%5B0%5D%5Btype_id%5D=9427&amp;hva%5B0%5D%5Bfilter%5D%5B0%5D%5Bverdi%5D=&amp;hva%5B0%5D%5Bid%5D=25/når:2025-12-12", "Vegkart")</f>
        <v>Vegkart</v>
      </c>
      <c r="B1730">
        <v>1026021792</v>
      </c>
      <c r="C1730">
        <v>25</v>
      </c>
      <c r="D1730" t="s">
        <v>4290</v>
      </c>
      <c r="E1730">
        <v>9427</v>
      </c>
      <c r="F1730" t="s">
        <v>23479</v>
      </c>
      <c r="G1730">
        <v>1</v>
      </c>
      <c r="H1730" t="s">
        <v>5805</v>
      </c>
      <c r="J1730" t="s">
        <v>5806</v>
      </c>
      <c r="K1730" t="s">
        <v>170</v>
      </c>
      <c r="L1730" t="s">
        <v>33</v>
      </c>
      <c r="M1730" t="s">
        <v>5807</v>
      </c>
      <c r="N1730" t="s">
        <v>5808</v>
      </c>
      <c r="O1730" t="s">
        <v>5809</v>
      </c>
      <c r="P1730" s="2" t="s">
        <v>37</v>
      </c>
      <c r="Q1730" t="s">
        <v>1208</v>
      </c>
      <c r="R1730">
        <v>0</v>
      </c>
      <c r="S1730">
        <v>10.14</v>
      </c>
      <c r="T1730" t="s">
        <v>5810</v>
      </c>
    </row>
    <row r="1731" spans="1:20" x14ac:dyDescent="0.25">
      <c r="A1731" s="1" t="str">
        <f>HYPERLINK("https://vegkart.atlas.vegvesen.no/#/@-2670.5,6590584.9,18/hva:hva%5B0%5D%5Bfilter%5D%5B0%5D%5Boperator%5D=%21%3D&amp;hva%5B0%5D%5Bfilter%5D%5B0%5D%5Btype_id%5D=9427&amp;hva%5B0%5D%5Bfilter%5D%5B0%5D%5Bverdi%5D=&amp;hva%5B0%5D%5Bid%5D=25/når:2025-12-12", "Vegkart")</f>
        <v>Vegkart</v>
      </c>
      <c r="B1731">
        <v>1026021793</v>
      </c>
      <c r="C1731">
        <v>25</v>
      </c>
      <c r="D1731" t="s">
        <v>4290</v>
      </c>
      <c r="E1731">
        <v>9427</v>
      </c>
      <c r="F1731" t="s">
        <v>23479</v>
      </c>
      <c r="G1731">
        <v>1</v>
      </c>
      <c r="H1731" t="s">
        <v>5805</v>
      </c>
      <c r="J1731" t="s">
        <v>5806</v>
      </c>
      <c r="K1731" t="s">
        <v>170</v>
      </c>
      <c r="L1731" t="s">
        <v>33</v>
      </c>
      <c r="M1731" t="s">
        <v>5807</v>
      </c>
      <c r="N1731" t="s">
        <v>5811</v>
      </c>
      <c r="O1731" t="s">
        <v>5812</v>
      </c>
      <c r="P1731" s="2" t="s">
        <v>37</v>
      </c>
      <c r="Q1731" t="s">
        <v>1208</v>
      </c>
      <c r="R1731">
        <v>0</v>
      </c>
      <c r="S1731">
        <v>10.119999999999999</v>
      </c>
      <c r="T1731" t="s">
        <v>5813</v>
      </c>
    </row>
    <row r="1732" spans="1:20" x14ac:dyDescent="0.25">
      <c r="A1732" s="1" t="str">
        <f>HYPERLINK("https://vegkart.atlas.vegvesen.no/#/@53314.5,6897577.4,18/hva:hva%5B0%5D%5Bfilter%5D%5B0%5D%5Boperator%5D=%21%3D&amp;hva%5B0%5D%5Bfilter%5D%5B0%5D%5Btype_id%5D=4723&amp;hva%5B0%5D%5Bfilter%5D%5B0%5D%5Bverdi%5D=&amp;hva%5B0%5D%5Bid%5D=15/når:2009-08-24", "Vegkart")</f>
        <v>Vegkart</v>
      </c>
      <c r="B1732">
        <v>78781514</v>
      </c>
      <c r="C1732">
        <v>15</v>
      </c>
      <c r="D1732" t="s">
        <v>5814</v>
      </c>
      <c r="E1732">
        <v>4723</v>
      </c>
      <c r="F1732" t="s">
        <v>23479</v>
      </c>
      <c r="G1732">
        <v>2</v>
      </c>
      <c r="H1732" t="s">
        <v>5815</v>
      </c>
      <c r="J1732" t="s">
        <v>5816</v>
      </c>
      <c r="K1732" t="s">
        <v>32</v>
      </c>
      <c r="L1732" t="s">
        <v>80</v>
      </c>
      <c r="M1732" t="s">
        <v>81</v>
      </c>
      <c r="N1732" t="s">
        <v>5817</v>
      </c>
      <c r="O1732" t="s">
        <v>5818</v>
      </c>
      <c r="P1732" s="2" t="s">
        <v>67</v>
      </c>
      <c r="Q1732" t="s">
        <v>68</v>
      </c>
      <c r="R1732">
        <v>63.27</v>
      </c>
      <c r="S1732">
        <v>66.81</v>
      </c>
      <c r="T1732" t="s">
        <v>5819</v>
      </c>
    </row>
    <row r="1733" spans="1:20" x14ac:dyDescent="0.25">
      <c r="A1733" s="1" t="str">
        <f>HYPERLINK("https://vegkart.atlas.vegvesen.no/#/@8655.2,6900691.8,18/hva:hva%5B0%5D%5Bfilter%5D%5B0%5D%5Boperator%5D=%21%3D&amp;hva%5B0%5D%5Bfilter%5D%5B0%5D%5Btype_id%5D=4723&amp;hva%5B0%5D%5Bfilter%5D%5B0%5D%5Bverdi%5D=&amp;hva%5B0%5D%5Bid%5D=15/når:2021-05-01", "Vegkart")</f>
        <v>Vegkart</v>
      </c>
      <c r="B1733">
        <v>78785898</v>
      </c>
      <c r="C1733">
        <v>15</v>
      </c>
      <c r="D1733" t="s">
        <v>5814</v>
      </c>
      <c r="E1733">
        <v>4723</v>
      </c>
      <c r="F1733" t="s">
        <v>23479</v>
      </c>
      <c r="G1733">
        <v>4</v>
      </c>
      <c r="H1733" t="s">
        <v>5820</v>
      </c>
      <c r="J1733" t="s">
        <v>5816</v>
      </c>
      <c r="K1733" t="s">
        <v>21</v>
      </c>
      <c r="L1733" t="s">
        <v>113</v>
      </c>
      <c r="M1733" t="s">
        <v>32</v>
      </c>
      <c r="N1733" t="s">
        <v>5821</v>
      </c>
      <c r="O1733" t="s">
        <v>5822</v>
      </c>
      <c r="P1733" s="2" t="s">
        <v>67</v>
      </c>
      <c r="Q1733" t="s">
        <v>68</v>
      </c>
      <c r="R1733">
        <v>403.95</v>
      </c>
      <c r="S1733">
        <v>410.78</v>
      </c>
      <c r="T1733" t="s">
        <v>5823</v>
      </c>
    </row>
    <row r="1734" spans="1:20" x14ac:dyDescent="0.25">
      <c r="A1734" s="1" t="str">
        <f>HYPERLINK("https://vegkart.atlas.vegvesen.no/#/@81374.1,6892227.6,18/hva:hva%5B0%5D%5Bfilter%5D%5B0%5D%5Boperator%5D=%21%3D&amp;hva%5B0%5D%5Bfilter%5D%5B0%5D%5Btype_id%5D=4723&amp;hva%5B0%5D%5Bfilter%5D%5B0%5D%5Bverdi%5D=&amp;hva%5B0%5D%5Bid%5D=15/når:2017-05-12", "Vegkart")</f>
        <v>Vegkart</v>
      </c>
      <c r="B1734">
        <v>78810369</v>
      </c>
      <c r="C1734">
        <v>15</v>
      </c>
      <c r="D1734" t="s">
        <v>5814</v>
      </c>
      <c r="E1734">
        <v>4723</v>
      </c>
      <c r="F1734" t="s">
        <v>23479</v>
      </c>
      <c r="G1734">
        <v>3</v>
      </c>
      <c r="H1734" t="s">
        <v>5824</v>
      </c>
      <c r="J1734" t="s">
        <v>5816</v>
      </c>
      <c r="K1734" t="s">
        <v>21</v>
      </c>
      <c r="L1734" t="s">
        <v>113</v>
      </c>
      <c r="M1734" t="s">
        <v>32</v>
      </c>
      <c r="N1734" t="s">
        <v>5825</v>
      </c>
      <c r="O1734" t="s">
        <v>5826</v>
      </c>
      <c r="P1734" s="2" t="s">
        <v>67</v>
      </c>
      <c r="Q1734" t="s">
        <v>68</v>
      </c>
      <c r="R1734">
        <v>49.4</v>
      </c>
      <c r="S1734">
        <v>52.76</v>
      </c>
      <c r="T1734" t="s">
        <v>5827</v>
      </c>
    </row>
    <row r="1735" spans="1:20" x14ac:dyDescent="0.25">
      <c r="A1735" s="1" t="str">
        <f>HYPERLINK("https://vegkart.atlas.vegvesen.no/#/@10064.6,6840313.6,18/hva:hva%5B0%5D%5Bfilter%5D%5B0%5D%5Boperator%5D=%21%3D&amp;hva%5B0%5D%5Bfilter%5D%5B0%5D%5Btype_id%5D=4723&amp;hva%5B0%5D%5Bfilter%5D%5B0%5D%5Bverdi%5D=&amp;hva%5B0%5D%5Bid%5D=15/når:2021-01-07", "Vegkart")</f>
        <v>Vegkart</v>
      </c>
      <c r="B1735">
        <v>78924068</v>
      </c>
      <c r="C1735">
        <v>15</v>
      </c>
      <c r="D1735" t="s">
        <v>5814</v>
      </c>
      <c r="E1735">
        <v>4723</v>
      </c>
      <c r="F1735" t="s">
        <v>23479</v>
      </c>
      <c r="G1735">
        <v>5</v>
      </c>
      <c r="H1735" t="s">
        <v>5828</v>
      </c>
      <c r="J1735" t="s">
        <v>5816</v>
      </c>
      <c r="K1735" t="s">
        <v>21</v>
      </c>
      <c r="L1735" t="s">
        <v>80</v>
      </c>
      <c r="M1735" t="s">
        <v>81</v>
      </c>
      <c r="N1735" t="s">
        <v>5829</v>
      </c>
      <c r="O1735" t="s">
        <v>5830</v>
      </c>
      <c r="P1735" s="2" t="s">
        <v>67</v>
      </c>
      <c r="Q1735" t="s">
        <v>68</v>
      </c>
      <c r="R1735">
        <v>351.4</v>
      </c>
      <c r="S1735">
        <v>367.83</v>
      </c>
      <c r="T1735" t="s">
        <v>5831</v>
      </c>
    </row>
    <row r="1736" spans="1:20" x14ac:dyDescent="0.25">
      <c r="A1736" s="1" t="str">
        <f>HYPERLINK("https://vegkart.atlas.vegvesen.no/#/@7365.0,6855508.8,18/hva:hva%5B0%5D%5Bfilter%5D%5B0%5D%5Boperator%5D=%21%3D&amp;hva%5B0%5D%5Bfilter%5D%5B0%5D%5Btype_id%5D=4723&amp;hva%5B0%5D%5Bfilter%5D%5B0%5D%5Bverdi%5D=&amp;hva%5B0%5D%5Bid%5D=15/når:2021-01-07", "Vegkart")</f>
        <v>Vegkart</v>
      </c>
      <c r="B1736">
        <v>78928223</v>
      </c>
      <c r="C1736">
        <v>15</v>
      </c>
      <c r="D1736" t="s">
        <v>5814</v>
      </c>
      <c r="E1736">
        <v>4723</v>
      </c>
      <c r="F1736" t="s">
        <v>23479</v>
      </c>
      <c r="G1736">
        <v>8</v>
      </c>
      <c r="H1736" t="s">
        <v>5828</v>
      </c>
      <c r="J1736" t="s">
        <v>5816</v>
      </c>
      <c r="K1736" t="s">
        <v>21</v>
      </c>
      <c r="L1736" t="s">
        <v>113</v>
      </c>
      <c r="M1736" t="s">
        <v>507</v>
      </c>
      <c r="N1736" t="s">
        <v>5832</v>
      </c>
      <c r="O1736" t="s">
        <v>5833</v>
      </c>
      <c r="P1736" s="2" t="s">
        <v>67</v>
      </c>
      <c r="Q1736" t="s">
        <v>68</v>
      </c>
      <c r="R1736">
        <v>77.510000000000005</v>
      </c>
      <c r="S1736">
        <v>77.78</v>
      </c>
      <c r="T1736" t="s">
        <v>5834</v>
      </c>
    </row>
    <row r="1737" spans="1:20" x14ac:dyDescent="0.25">
      <c r="A1737" s="1" t="str">
        <f>HYPERLINK("https://vegkart.atlas.vegvesen.no/#/@-31535.5,6713612.6,18/hva:hva%5B0%5D%5Bfilter%5D%5B0%5D%5Boperator%5D=%21%3D&amp;hva%5B0%5D%5Bfilter%5D%5B0%5D%5Btype_id%5D=4723&amp;hva%5B0%5D%5Bfilter%5D%5B0%5D%5Bverdi%5D=&amp;hva%5B0%5D%5Bid%5D=15/når:2025-10-06", "Vegkart")</f>
        <v>Vegkart</v>
      </c>
      <c r="B1737">
        <v>83046256</v>
      </c>
      <c r="C1737">
        <v>15</v>
      </c>
      <c r="D1737" t="s">
        <v>5814</v>
      </c>
      <c r="E1737">
        <v>4723</v>
      </c>
      <c r="F1737" t="s">
        <v>23479</v>
      </c>
      <c r="G1737">
        <v>3</v>
      </c>
      <c r="H1737" t="s">
        <v>5835</v>
      </c>
      <c r="J1737" t="s">
        <v>5836</v>
      </c>
      <c r="K1737" t="s">
        <v>21</v>
      </c>
      <c r="L1737" t="s">
        <v>33</v>
      </c>
      <c r="M1737" t="s">
        <v>5837</v>
      </c>
      <c r="N1737" t="s">
        <v>5838</v>
      </c>
      <c r="O1737" t="s">
        <v>5839</v>
      </c>
      <c r="P1737" s="2" t="s">
        <v>165</v>
      </c>
      <c r="Q1737" t="s">
        <v>166</v>
      </c>
      <c r="R1737">
        <v>1.01</v>
      </c>
      <c r="S1737">
        <v>115.9</v>
      </c>
      <c r="T1737" t="s">
        <v>167</v>
      </c>
    </row>
    <row r="1738" spans="1:20" x14ac:dyDescent="0.25">
      <c r="A1738" s="1" t="str">
        <f>HYPERLINK("https://vegkart.atlas.vegvesen.no/#/@269147.5,7035328.9,18/hva:hva%5B0%5D%5Bfilter%5D%5B0%5D%5Boperator%5D=%21%3D&amp;hva%5B0%5D%5Bfilter%5D%5B0%5D%5Btype_id%5D=4723&amp;hva%5B0%5D%5Bfilter%5D%5B0%5D%5Bverdi%5D=&amp;hva%5B0%5D%5Bid%5D=15/når:2024-08-28", "Vegkart")</f>
        <v>Vegkart</v>
      </c>
      <c r="B1738">
        <v>85763021</v>
      </c>
      <c r="C1738">
        <v>15</v>
      </c>
      <c r="D1738" t="s">
        <v>5814</v>
      </c>
      <c r="E1738">
        <v>4723</v>
      </c>
      <c r="F1738" t="s">
        <v>23479</v>
      </c>
      <c r="G1738">
        <v>4</v>
      </c>
      <c r="H1738" t="s">
        <v>665</v>
      </c>
      <c r="J1738" t="s">
        <v>656</v>
      </c>
      <c r="K1738" t="s">
        <v>192</v>
      </c>
      <c r="L1738" t="s">
        <v>80</v>
      </c>
      <c r="M1738" t="s">
        <v>105</v>
      </c>
      <c r="N1738" t="s">
        <v>5840</v>
      </c>
      <c r="O1738" t="s">
        <v>5841</v>
      </c>
      <c r="P1738" s="2" t="s">
        <v>37</v>
      </c>
      <c r="Q1738" t="s">
        <v>1208</v>
      </c>
      <c r="R1738">
        <v>0</v>
      </c>
      <c r="S1738">
        <v>149.16999999999999</v>
      </c>
      <c r="T1738" t="s">
        <v>5842</v>
      </c>
    </row>
    <row r="1739" spans="1:20" x14ac:dyDescent="0.25">
      <c r="A1739" s="1" t="str">
        <f>HYPERLINK("https://vegkart.atlas.vegvesen.no/#/@628486.2,7637737.1,18/hva:hva%5B0%5D%5Bfilter%5D%5B0%5D%5Boperator%5D=%21%3D&amp;hva%5B0%5D%5Bfilter%5D%5B0%5D%5Btype_id%5D=4723&amp;hva%5B0%5D%5Bfilter%5D%5B0%5D%5Bverdi%5D=&amp;hva%5B0%5D%5Bid%5D=15/når:2003-01-15", "Vegkart")</f>
        <v>Vegkart</v>
      </c>
      <c r="B1739">
        <v>91644857</v>
      </c>
      <c r="C1739">
        <v>15</v>
      </c>
      <c r="D1739" t="s">
        <v>5814</v>
      </c>
      <c r="E1739">
        <v>4723</v>
      </c>
      <c r="F1739" t="s">
        <v>23479</v>
      </c>
      <c r="G1739">
        <v>2</v>
      </c>
      <c r="H1739" t="s">
        <v>5843</v>
      </c>
      <c r="J1739" t="s">
        <v>1249</v>
      </c>
      <c r="K1739" t="s">
        <v>179</v>
      </c>
      <c r="L1739" t="s">
        <v>33</v>
      </c>
      <c r="M1739" t="s">
        <v>5844</v>
      </c>
      <c r="N1739" t="s">
        <v>5845</v>
      </c>
      <c r="O1739" t="s">
        <v>5846</v>
      </c>
      <c r="P1739" s="2" t="s">
        <v>37</v>
      </c>
      <c r="Q1739" t="s">
        <v>1208</v>
      </c>
      <c r="R1739">
        <v>0</v>
      </c>
      <c r="S1739">
        <v>26.94</v>
      </c>
      <c r="T1739" t="s">
        <v>5847</v>
      </c>
    </row>
    <row r="1740" spans="1:20" x14ac:dyDescent="0.25">
      <c r="A1740" s="1" t="str">
        <f>HYPERLINK("https://vegkart.atlas.vegvesen.no/#/@639966.7,7665550.6,18/hva:hva%5B0%5D%5Bfilter%5D%5B0%5D%5Boperator%5D=%21%3D&amp;hva%5B0%5D%5Bfilter%5D%5B0%5D%5Btype_id%5D=4723&amp;hva%5B0%5D%5Bfilter%5D%5B0%5D%5Bverdi%5D=&amp;hva%5B0%5D%5Bid%5D=15/når:2003-01-15", "Vegkart")</f>
        <v>Vegkart</v>
      </c>
      <c r="B1740">
        <v>91828331</v>
      </c>
      <c r="C1740">
        <v>15</v>
      </c>
      <c r="D1740" t="s">
        <v>5814</v>
      </c>
      <c r="E1740">
        <v>4723</v>
      </c>
      <c r="F1740" t="s">
        <v>23479</v>
      </c>
      <c r="G1740">
        <v>1</v>
      </c>
      <c r="H1740" t="s">
        <v>5843</v>
      </c>
      <c r="J1740" t="s">
        <v>1249</v>
      </c>
      <c r="K1740" t="s">
        <v>179</v>
      </c>
      <c r="L1740" t="s">
        <v>33</v>
      </c>
      <c r="M1740" t="s">
        <v>5848</v>
      </c>
      <c r="N1740" t="s">
        <v>5849</v>
      </c>
      <c r="O1740" t="s">
        <v>5850</v>
      </c>
      <c r="P1740" s="2" t="s">
        <v>37</v>
      </c>
      <c r="Q1740" t="s">
        <v>1208</v>
      </c>
      <c r="R1740">
        <v>0</v>
      </c>
      <c r="S1740">
        <v>22.73</v>
      </c>
      <c r="T1740" t="s">
        <v>5851</v>
      </c>
    </row>
    <row r="1741" spans="1:20" x14ac:dyDescent="0.25">
      <c r="A1741" s="1" t="str">
        <f>HYPERLINK("https://vegkart.atlas.vegvesen.no/#/@-14854.2,6833863.7,18/hva:hva%5B0%5D%5Bfilter%5D%5B0%5D%5Boperator%5D=%21%3D&amp;hva%5B0%5D%5Bfilter%5D%5B0%5D%5Btype_id%5D=4723&amp;hva%5B0%5D%5Bfilter%5D%5B0%5D%5Bverdi%5D=&amp;hva%5B0%5D%5Bid%5D=15/når:2016-11-07", "Vegkart")</f>
        <v>Vegkart</v>
      </c>
      <c r="B1741">
        <v>111903425</v>
      </c>
      <c r="C1741">
        <v>15</v>
      </c>
      <c r="D1741" t="s">
        <v>5814</v>
      </c>
      <c r="E1741">
        <v>4723</v>
      </c>
      <c r="F1741" t="s">
        <v>23479</v>
      </c>
      <c r="G1741">
        <v>4</v>
      </c>
      <c r="H1741" t="s">
        <v>2665</v>
      </c>
      <c r="J1741" t="s">
        <v>1390</v>
      </c>
      <c r="K1741" t="s">
        <v>21</v>
      </c>
      <c r="L1741" t="s">
        <v>33</v>
      </c>
      <c r="M1741" t="s">
        <v>795</v>
      </c>
      <c r="N1741" t="s">
        <v>5852</v>
      </c>
      <c r="O1741" t="s">
        <v>5853</v>
      </c>
      <c r="P1741" s="2" t="s">
        <v>67</v>
      </c>
      <c r="Q1741" t="s">
        <v>68</v>
      </c>
      <c r="R1741">
        <v>63.76</v>
      </c>
      <c r="S1741">
        <v>73.86</v>
      </c>
      <c r="T1741" t="s">
        <v>5854</v>
      </c>
    </row>
    <row r="1742" spans="1:20" x14ac:dyDescent="0.25">
      <c r="A1742" s="1" t="str">
        <f>HYPERLINK("https://vegkart.atlas.vegvesen.no/#/@-11021.8,6812487.1,18/hva:hva%5B0%5D%5Bfilter%5D%5B0%5D%5Boperator%5D=%21%3D&amp;hva%5B0%5D%5Bfilter%5D%5B0%5D%5Btype_id%5D=4723&amp;hva%5B0%5D%5Bfilter%5D%5B0%5D%5Bverdi%5D=&amp;hva%5B0%5D%5Bid%5D=15/når:2016-11-07", "Vegkart")</f>
        <v>Vegkart</v>
      </c>
      <c r="B1742">
        <v>111903485</v>
      </c>
      <c r="C1742">
        <v>15</v>
      </c>
      <c r="D1742" t="s">
        <v>5814</v>
      </c>
      <c r="E1742">
        <v>4723</v>
      </c>
      <c r="F1742" t="s">
        <v>23479</v>
      </c>
      <c r="G1742">
        <v>4</v>
      </c>
      <c r="H1742" t="s">
        <v>2665</v>
      </c>
      <c r="J1742" t="s">
        <v>1390</v>
      </c>
      <c r="K1742" t="s">
        <v>21</v>
      </c>
      <c r="L1742" t="s">
        <v>33</v>
      </c>
      <c r="M1742" t="s">
        <v>2666</v>
      </c>
      <c r="N1742" t="s">
        <v>2667</v>
      </c>
      <c r="O1742" t="s">
        <v>5855</v>
      </c>
      <c r="P1742" s="2" t="s">
        <v>67</v>
      </c>
      <c r="Q1742" t="s">
        <v>68</v>
      </c>
      <c r="R1742">
        <v>45.33</v>
      </c>
      <c r="S1742">
        <v>45.83</v>
      </c>
      <c r="T1742" t="s">
        <v>5856</v>
      </c>
    </row>
    <row r="1743" spans="1:20" x14ac:dyDescent="0.25">
      <c r="A1743" s="1" t="str">
        <f>HYPERLINK("https://vegkart.atlas.vegvesen.no/#/@-29836.3,6841976.4,18/hva:hva%5B0%5D%5Bfilter%5D%5B0%5D%5Boperator%5D=%21%3D&amp;hva%5B0%5D%5Bfilter%5D%5B0%5D%5Btype_id%5D=4723&amp;hva%5B0%5D%5Bfilter%5D%5B0%5D%5Bverdi%5D=&amp;hva%5B0%5D%5Bid%5D=15/når:2020-10-27", "Vegkart")</f>
        <v>Vegkart</v>
      </c>
      <c r="B1743">
        <v>114829868</v>
      </c>
      <c r="C1743">
        <v>15</v>
      </c>
      <c r="D1743" t="s">
        <v>5814</v>
      </c>
      <c r="E1743">
        <v>4723</v>
      </c>
      <c r="F1743" t="s">
        <v>23479</v>
      </c>
      <c r="G1743">
        <v>4</v>
      </c>
      <c r="H1743" t="s">
        <v>112</v>
      </c>
      <c r="J1743" t="s">
        <v>1390</v>
      </c>
      <c r="K1743" t="s">
        <v>21</v>
      </c>
      <c r="L1743" t="s">
        <v>33</v>
      </c>
      <c r="M1743" t="s">
        <v>5857</v>
      </c>
      <c r="N1743" t="s">
        <v>5858</v>
      </c>
      <c r="O1743" t="s">
        <v>5859</v>
      </c>
      <c r="P1743" s="2" t="s">
        <v>67</v>
      </c>
      <c r="Q1743" t="s">
        <v>68</v>
      </c>
      <c r="R1743">
        <v>35.4</v>
      </c>
      <c r="S1743">
        <v>35.549999999999997</v>
      </c>
      <c r="T1743" t="s">
        <v>5860</v>
      </c>
    </row>
    <row r="1744" spans="1:20" x14ac:dyDescent="0.25">
      <c r="A1744" s="1" t="str">
        <f>HYPERLINK("https://vegkart.atlas.vegvesen.no/#/@-16604.2,6818308.4,18/hva:hva%5B0%5D%5Bfilter%5D%5B0%5D%5Boperator%5D=%21%3D&amp;hva%5B0%5D%5Bfilter%5D%5B0%5D%5Btype_id%5D=4723&amp;hva%5B0%5D%5Bfilter%5D%5B0%5D%5Bverdi%5D=&amp;hva%5B0%5D%5Bid%5D=15/når:2016-11-07", "Vegkart")</f>
        <v>Vegkart</v>
      </c>
      <c r="B1744">
        <v>117311376</v>
      </c>
      <c r="C1744">
        <v>15</v>
      </c>
      <c r="D1744" t="s">
        <v>5814</v>
      </c>
      <c r="E1744">
        <v>4723</v>
      </c>
      <c r="F1744" t="s">
        <v>23479</v>
      </c>
      <c r="G1744">
        <v>4</v>
      </c>
      <c r="H1744" t="s">
        <v>2665</v>
      </c>
      <c r="J1744" t="s">
        <v>5861</v>
      </c>
      <c r="K1744" t="s">
        <v>21</v>
      </c>
      <c r="L1744" t="s">
        <v>33</v>
      </c>
      <c r="M1744" t="s">
        <v>795</v>
      </c>
      <c r="N1744" t="s">
        <v>5862</v>
      </c>
      <c r="O1744" t="s">
        <v>5863</v>
      </c>
      <c r="P1744" s="2" t="s">
        <v>67</v>
      </c>
      <c r="Q1744" t="s">
        <v>68</v>
      </c>
      <c r="R1744">
        <v>67.56</v>
      </c>
      <c r="S1744">
        <v>73.489999999999995</v>
      </c>
      <c r="T1744" t="s">
        <v>5864</v>
      </c>
    </row>
    <row r="1745" spans="1:20" x14ac:dyDescent="0.25">
      <c r="A1745" s="1" t="str">
        <f>HYPERLINK("https://vegkart.atlas.vegvesen.no/#/@-4694.5,6865709.5,18/hva:hva%5B0%5D%5Bfilter%5D%5B0%5D%5Boperator%5D=%21%3D&amp;hva%5B0%5D%5Bfilter%5D%5B0%5D%5Btype_id%5D=4723&amp;hva%5B0%5D%5Bfilter%5D%5B0%5D%5Bverdi%5D=&amp;hva%5B0%5D%5Bid%5D=15/når:2024-05-21", "Vegkart")</f>
        <v>Vegkart</v>
      </c>
      <c r="B1745">
        <v>134651886</v>
      </c>
      <c r="C1745">
        <v>15</v>
      </c>
      <c r="D1745" t="s">
        <v>5814</v>
      </c>
      <c r="E1745">
        <v>4723</v>
      </c>
      <c r="F1745" t="s">
        <v>23479</v>
      </c>
      <c r="G1745">
        <v>6</v>
      </c>
      <c r="H1745" t="s">
        <v>260</v>
      </c>
      <c r="J1745" t="s">
        <v>5861</v>
      </c>
      <c r="K1745" t="s">
        <v>21</v>
      </c>
      <c r="L1745" t="s">
        <v>113</v>
      </c>
      <c r="M1745" t="s">
        <v>507</v>
      </c>
      <c r="N1745" t="s">
        <v>5865</v>
      </c>
      <c r="O1745" t="s">
        <v>5866</v>
      </c>
      <c r="P1745" s="2" t="s">
        <v>165</v>
      </c>
      <c r="Q1745" t="s">
        <v>166</v>
      </c>
      <c r="R1745">
        <v>84.93</v>
      </c>
      <c r="S1745">
        <v>84.93</v>
      </c>
      <c r="T1745" t="s">
        <v>167</v>
      </c>
    </row>
    <row r="1746" spans="1:20" x14ac:dyDescent="0.25">
      <c r="A1746" s="1" t="str">
        <f>HYPERLINK("https://vegkart.atlas.vegvesen.no/#/@-21431.1,6869438.1,18/hva:hva%5B0%5D%5Bfilter%5D%5B0%5D%5Boperator%5D=%21%3D&amp;hva%5B0%5D%5Bfilter%5D%5B0%5D%5Btype_id%5D=4723&amp;hva%5B0%5D%5Bfilter%5D%5B0%5D%5Bverdi%5D=&amp;hva%5B0%5D%5Bid%5D=15/når:2021-01-07", "Vegkart")</f>
        <v>Vegkart</v>
      </c>
      <c r="B1746">
        <v>134651898</v>
      </c>
      <c r="C1746">
        <v>15</v>
      </c>
      <c r="D1746" t="s">
        <v>5814</v>
      </c>
      <c r="E1746">
        <v>4723</v>
      </c>
      <c r="F1746" t="s">
        <v>23479</v>
      </c>
      <c r="G1746">
        <v>5</v>
      </c>
      <c r="H1746" t="s">
        <v>5828</v>
      </c>
      <c r="J1746" t="s">
        <v>5861</v>
      </c>
      <c r="K1746" t="s">
        <v>21</v>
      </c>
      <c r="L1746" t="s">
        <v>113</v>
      </c>
      <c r="M1746" t="s">
        <v>507</v>
      </c>
      <c r="N1746" t="s">
        <v>5867</v>
      </c>
      <c r="O1746" t="s">
        <v>5868</v>
      </c>
      <c r="P1746" s="2" t="s">
        <v>67</v>
      </c>
      <c r="Q1746" t="s">
        <v>68</v>
      </c>
      <c r="R1746">
        <v>71.03</v>
      </c>
      <c r="S1746">
        <v>71.03</v>
      </c>
      <c r="T1746" t="s">
        <v>5869</v>
      </c>
    </row>
    <row r="1747" spans="1:20" x14ac:dyDescent="0.25">
      <c r="A1747" s="1" t="str">
        <f>HYPERLINK("https://vegkart.atlas.vegvesen.no/#/@-21616.4,6869522.8,18/hva:hva%5B0%5D%5Bfilter%5D%5B0%5D%5Boperator%5D=%21%3D&amp;hva%5B0%5D%5Bfilter%5D%5B0%5D%5Btype_id%5D=4723&amp;hva%5B0%5D%5Bfilter%5D%5B0%5D%5Bverdi%5D=&amp;hva%5B0%5D%5Bid%5D=15/når:2021-01-07", "Vegkart")</f>
        <v>Vegkart</v>
      </c>
      <c r="B1747">
        <v>134651900</v>
      </c>
      <c r="C1747">
        <v>15</v>
      </c>
      <c r="D1747" t="s">
        <v>5814</v>
      </c>
      <c r="E1747">
        <v>4723</v>
      </c>
      <c r="F1747" t="s">
        <v>23479</v>
      </c>
      <c r="G1747">
        <v>5</v>
      </c>
      <c r="H1747" t="s">
        <v>5828</v>
      </c>
      <c r="J1747" t="s">
        <v>5861</v>
      </c>
      <c r="K1747" t="s">
        <v>21</v>
      </c>
      <c r="L1747" t="s">
        <v>113</v>
      </c>
      <c r="M1747" t="s">
        <v>507</v>
      </c>
      <c r="N1747" t="s">
        <v>5870</v>
      </c>
      <c r="O1747" t="s">
        <v>5871</v>
      </c>
      <c r="P1747" s="2" t="s">
        <v>67</v>
      </c>
      <c r="Q1747" t="s">
        <v>68</v>
      </c>
      <c r="R1747">
        <v>313.33999999999997</v>
      </c>
      <c r="S1747">
        <v>313.91000000000003</v>
      </c>
      <c r="T1747" t="s">
        <v>5872</v>
      </c>
    </row>
    <row r="1748" spans="1:20" x14ac:dyDescent="0.25">
      <c r="A1748" s="1" t="str">
        <f>HYPERLINK("https://vegkart.atlas.vegvesen.no/#/@-25983.9,6869748.0,18/hva:hva%5B0%5D%5Bfilter%5D%5B0%5D%5Boperator%5D=%21%3D&amp;hva%5B0%5D%5Bfilter%5D%5B0%5D%5Btype_id%5D=4723&amp;hva%5B0%5D%5Bfilter%5D%5B0%5D%5Bverdi%5D=&amp;hva%5B0%5D%5Bid%5D=15/når:2021-01-07", "Vegkart")</f>
        <v>Vegkart</v>
      </c>
      <c r="B1748">
        <v>140914336</v>
      </c>
      <c r="C1748">
        <v>15</v>
      </c>
      <c r="D1748" t="s">
        <v>5814</v>
      </c>
      <c r="E1748">
        <v>4723</v>
      </c>
      <c r="F1748" t="s">
        <v>23479</v>
      </c>
      <c r="G1748">
        <v>4</v>
      </c>
      <c r="H1748" t="s">
        <v>5828</v>
      </c>
      <c r="J1748" t="s">
        <v>5861</v>
      </c>
      <c r="K1748" t="s">
        <v>21</v>
      </c>
      <c r="L1748" t="s">
        <v>113</v>
      </c>
      <c r="M1748" t="s">
        <v>507</v>
      </c>
      <c r="N1748" t="s">
        <v>5873</v>
      </c>
      <c r="O1748" t="s">
        <v>5874</v>
      </c>
      <c r="P1748" s="2" t="s">
        <v>67</v>
      </c>
      <c r="Q1748" t="s">
        <v>68</v>
      </c>
      <c r="R1748">
        <v>134.1</v>
      </c>
      <c r="S1748">
        <v>135.04</v>
      </c>
      <c r="T1748" t="s">
        <v>5875</v>
      </c>
    </row>
    <row r="1749" spans="1:20" x14ac:dyDescent="0.25">
      <c r="A1749" s="1" t="str">
        <f>HYPERLINK("https://vegkart.atlas.vegvesen.no/#/@-26087.4,6869770.2,18/hva:hva%5B0%5D%5Bfilter%5D%5B0%5D%5Boperator%5D=%21%3D&amp;hva%5B0%5D%5Bfilter%5D%5B0%5D%5Btype_id%5D=4723&amp;hva%5B0%5D%5Bfilter%5D%5B0%5D%5Bverdi%5D=&amp;hva%5B0%5D%5Bid%5D=15/når:2021-01-07", "Vegkart")</f>
        <v>Vegkart</v>
      </c>
      <c r="B1749">
        <v>140914337</v>
      </c>
      <c r="C1749">
        <v>15</v>
      </c>
      <c r="D1749" t="s">
        <v>5814</v>
      </c>
      <c r="E1749">
        <v>4723</v>
      </c>
      <c r="F1749" t="s">
        <v>23479</v>
      </c>
      <c r="G1749">
        <v>4</v>
      </c>
      <c r="H1749" t="s">
        <v>5828</v>
      </c>
      <c r="J1749" t="s">
        <v>5861</v>
      </c>
      <c r="K1749" t="s">
        <v>21</v>
      </c>
      <c r="L1749" t="s">
        <v>113</v>
      </c>
      <c r="M1749" t="s">
        <v>507</v>
      </c>
      <c r="N1749" t="s">
        <v>5876</v>
      </c>
      <c r="O1749" t="s">
        <v>5877</v>
      </c>
      <c r="P1749" s="2" t="s">
        <v>67</v>
      </c>
      <c r="Q1749" t="s">
        <v>68</v>
      </c>
      <c r="R1749">
        <v>238.82</v>
      </c>
      <c r="S1749">
        <v>239.93</v>
      </c>
      <c r="T1749" t="s">
        <v>5878</v>
      </c>
    </row>
    <row r="1750" spans="1:20" x14ac:dyDescent="0.25">
      <c r="A1750" s="1" t="str">
        <f>HYPERLINK("https://vegkart.atlas.vegvesen.no/#/@-26598.6,6869883.0,18/hva:hva%5B0%5D%5Bfilter%5D%5B0%5D%5Boperator%5D=%21%3D&amp;hva%5B0%5D%5Bfilter%5D%5B0%5D%5Btype_id%5D=4723&amp;hva%5B0%5D%5Bfilter%5D%5B0%5D%5Bverdi%5D=&amp;hva%5B0%5D%5Bid%5D=15/når:2021-01-07", "Vegkart")</f>
        <v>Vegkart</v>
      </c>
      <c r="B1750">
        <v>140914338</v>
      </c>
      <c r="C1750">
        <v>15</v>
      </c>
      <c r="D1750" t="s">
        <v>5814</v>
      </c>
      <c r="E1750">
        <v>4723</v>
      </c>
      <c r="F1750" t="s">
        <v>23479</v>
      </c>
      <c r="G1750">
        <v>4</v>
      </c>
      <c r="H1750" t="s">
        <v>5828</v>
      </c>
      <c r="J1750" t="s">
        <v>5861</v>
      </c>
      <c r="K1750" t="s">
        <v>21</v>
      </c>
      <c r="L1750" t="s">
        <v>113</v>
      </c>
      <c r="M1750" t="s">
        <v>507</v>
      </c>
      <c r="N1750" t="s">
        <v>5879</v>
      </c>
      <c r="O1750" t="s">
        <v>5880</v>
      </c>
      <c r="P1750" s="2" t="s">
        <v>67</v>
      </c>
      <c r="Q1750" t="s">
        <v>68</v>
      </c>
      <c r="R1750">
        <v>191.35</v>
      </c>
      <c r="S1750">
        <v>191.49</v>
      </c>
      <c r="T1750" t="s">
        <v>5881</v>
      </c>
    </row>
    <row r="1751" spans="1:20" x14ac:dyDescent="0.25">
      <c r="A1751" s="1" t="str">
        <f>HYPERLINK("https://vegkart.atlas.vegvesen.no/#/@-26474.6,6869811.2,18/hva:hva%5B0%5D%5Bfilter%5D%5B0%5D%5Boperator%5D=%21%3D&amp;hva%5B0%5D%5Bfilter%5D%5B0%5D%5Btype_id%5D=4723&amp;hva%5B0%5D%5Bfilter%5D%5B0%5D%5Bverdi%5D=&amp;hva%5B0%5D%5Bid%5D=15/når:2021-01-07", "Vegkart")</f>
        <v>Vegkart</v>
      </c>
      <c r="B1751">
        <v>140914339</v>
      </c>
      <c r="C1751">
        <v>15</v>
      </c>
      <c r="D1751" t="s">
        <v>5814</v>
      </c>
      <c r="E1751">
        <v>4723</v>
      </c>
      <c r="F1751" t="s">
        <v>23479</v>
      </c>
      <c r="G1751">
        <v>4</v>
      </c>
      <c r="H1751" t="s">
        <v>5828</v>
      </c>
      <c r="J1751" t="s">
        <v>5861</v>
      </c>
      <c r="K1751" t="s">
        <v>21</v>
      </c>
      <c r="L1751" t="s">
        <v>113</v>
      </c>
      <c r="M1751" t="s">
        <v>507</v>
      </c>
      <c r="N1751" t="s">
        <v>5882</v>
      </c>
      <c r="O1751" t="s">
        <v>5883</v>
      </c>
      <c r="P1751" s="2" t="s">
        <v>67</v>
      </c>
      <c r="Q1751" t="s">
        <v>68</v>
      </c>
      <c r="R1751">
        <v>89.21</v>
      </c>
      <c r="S1751">
        <v>89.32</v>
      </c>
      <c r="T1751" t="s">
        <v>5884</v>
      </c>
    </row>
    <row r="1752" spans="1:20" x14ac:dyDescent="0.25">
      <c r="A1752" s="1" t="str">
        <f>HYPERLINK("https://vegkart.atlas.vegvesen.no/#/@-26628.5,6869918.0,18/hva:hva%5B0%5D%5Bfilter%5D%5B0%5D%5Boperator%5D=%21%3D&amp;hva%5B0%5D%5Bfilter%5D%5B0%5D%5Btype_id%5D=4723&amp;hva%5B0%5D%5Bfilter%5D%5B0%5D%5Bverdi%5D=&amp;hva%5B0%5D%5Bid%5D=15/når:2021-01-07", "Vegkart")</f>
        <v>Vegkart</v>
      </c>
      <c r="B1752">
        <v>140914340</v>
      </c>
      <c r="C1752">
        <v>15</v>
      </c>
      <c r="D1752" t="s">
        <v>5814</v>
      </c>
      <c r="E1752">
        <v>4723</v>
      </c>
      <c r="F1752" t="s">
        <v>23479</v>
      </c>
      <c r="G1752">
        <v>4</v>
      </c>
      <c r="H1752" t="s">
        <v>5828</v>
      </c>
      <c r="J1752" t="s">
        <v>5861</v>
      </c>
      <c r="K1752" t="s">
        <v>21</v>
      </c>
      <c r="L1752" t="s">
        <v>113</v>
      </c>
      <c r="M1752" t="s">
        <v>507</v>
      </c>
      <c r="N1752" t="s">
        <v>5885</v>
      </c>
      <c r="O1752" t="s">
        <v>5886</v>
      </c>
      <c r="P1752" s="2" t="s">
        <v>67</v>
      </c>
      <c r="Q1752" t="s">
        <v>68</v>
      </c>
      <c r="R1752">
        <v>265.14999999999998</v>
      </c>
      <c r="S1752">
        <v>265.3</v>
      </c>
      <c r="T1752" t="s">
        <v>5887</v>
      </c>
    </row>
    <row r="1753" spans="1:20" x14ac:dyDescent="0.25">
      <c r="A1753" s="1" t="str">
        <f>HYPERLINK("https://vegkart.atlas.vegvesen.no/#/@-26473.0,6869822.8,18/hva:hva%5B0%5D%5Bfilter%5D%5B0%5D%5Boperator%5D=%21%3D&amp;hva%5B0%5D%5Bfilter%5D%5B0%5D%5Btype_id%5D=4723&amp;hva%5B0%5D%5Bfilter%5D%5B0%5D%5Bverdi%5D=&amp;hva%5B0%5D%5Bid%5D=15/når:2021-01-07", "Vegkart")</f>
        <v>Vegkart</v>
      </c>
      <c r="B1753">
        <v>140914341</v>
      </c>
      <c r="C1753">
        <v>15</v>
      </c>
      <c r="D1753" t="s">
        <v>5814</v>
      </c>
      <c r="E1753">
        <v>4723</v>
      </c>
      <c r="F1753" t="s">
        <v>23479</v>
      </c>
      <c r="G1753">
        <v>4</v>
      </c>
      <c r="H1753" t="s">
        <v>5828</v>
      </c>
      <c r="J1753" t="s">
        <v>5861</v>
      </c>
      <c r="K1753" t="s">
        <v>21</v>
      </c>
      <c r="L1753" t="s">
        <v>113</v>
      </c>
      <c r="M1753" t="s">
        <v>507</v>
      </c>
      <c r="N1753" t="s">
        <v>5888</v>
      </c>
      <c r="O1753" t="s">
        <v>5889</v>
      </c>
      <c r="P1753" s="2" t="s">
        <v>67</v>
      </c>
      <c r="Q1753" t="s">
        <v>68</v>
      </c>
      <c r="R1753">
        <v>84.9</v>
      </c>
      <c r="S1753">
        <v>84.99</v>
      </c>
      <c r="T1753" t="s">
        <v>5890</v>
      </c>
    </row>
    <row r="1754" spans="1:20" x14ac:dyDescent="0.25">
      <c r="A1754" s="1" t="str">
        <f>HYPERLINK("https://vegkart.atlas.vegvesen.no/#/@-26719.5,6869967.9,18/hva:hva%5B0%5D%5Bfilter%5D%5B0%5D%5Boperator%5D=%21%3D&amp;hva%5B0%5D%5Bfilter%5D%5B0%5D%5Btype_id%5D=4723&amp;hva%5B0%5D%5Bfilter%5D%5B0%5D%5Bverdi%5D=&amp;hva%5B0%5D%5Bid%5D=15/når:2021-01-07", "Vegkart")</f>
        <v>Vegkart</v>
      </c>
      <c r="B1754">
        <v>140914342</v>
      </c>
      <c r="C1754">
        <v>15</v>
      </c>
      <c r="D1754" t="s">
        <v>5814</v>
      </c>
      <c r="E1754">
        <v>4723</v>
      </c>
      <c r="F1754" t="s">
        <v>23479</v>
      </c>
      <c r="G1754">
        <v>4</v>
      </c>
      <c r="H1754" t="s">
        <v>5828</v>
      </c>
      <c r="J1754" t="s">
        <v>5861</v>
      </c>
      <c r="K1754" t="s">
        <v>21</v>
      </c>
      <c r="L1754" t="s">
        <v>113</v>
      </c>
      <c r="M1754" t="s">
        <v>507</v>
      </c>
      <c r="N1754" t="s">
        <v>5891</v>
      </c>
      <c r="O1754" t="s">
        <v>5892</v>
      </c>
      <c r="P1754" s="2" t="s">
        <v>67</v>
      </c>
      <c r="Q1754" t="s">
        <v>68</v>
      </c>
      <c r="R1754">
        <v>88.22</v>
      </c>
      <c r="S1754">
        <v>88.22</v>
      </c>
      <c r="T1754" t="s">
        <v>5893</v>
      </c>
    </row>
    <row r="1755" spans="1:20" x14ac:dyDescent="0.25">
      <c r="A1755" s="1" t="str">
        <f>HYPERLINK("https://vegkart.atlas.vegvesen.no/#/@-26822.8,6870040.9,18/hva:hva%5B0%5D%5Bfilter%5D%5B0%5D%5Boperator%5D=%21%3D&amp;hva%5B0%5D%5Bfilter%5D%5B0%5D%5Btype_id%5D=4723&amp;hva%5B0%5D%5Bfilter%5D%5B0%5D%5Bverdi%5D=&amp;hva%5B0%5D%5Bid%5D=15/når:2021-01-07", "Vegkart")</f>
        <v>Vegkart</v>
      </c>
      <c r="B1755">
        <v>140914343</v>
      </c>
      <c r="C1755">
        <v>15</v>
      </c>
      <c r="D1755" t="s">
        <v>5814</v>
      </c>
      <c r="E1755">
        <v>4723</v>
      </c>
      <c r="F1755" t="s">
        <v>23479</v>
      </c>
      <c r="G1755">
        <v>4</v>
      </c>
      <c r="H1755" t="s">
        <v>5828</v>
      </c>
      <c r="J1755" t="s">
        <v>5861</v>
      </c>
      <c r="K1755" t="s">
        <v>21</v>
      </c>
      <c r="L1755" t="s">
        <v>113</v>
      </c>
      <c r="M1755" t="s">
        <v>507</v>
      </c>
      <c r="N1755" t="s">
        <v>5894</v>
      </c>
      <c r="O1755" t="s">
        <v>5895</v>
      </c>
      <c r="P1755" s="2" t="s">
        <v>67</v>
      </c>
      <c r="Q1755" t="s">
        <v>68</v>
      </c>
      <c r="R1755">
        <v>113.83</v>
      </c>
      <c r="S1755">
        <v>113.85</v>
      </c>
      <c r="T1755" t="s">
        <v>5896</v>
      </c>
    </row>
    <row r="1756" spans="1:20" x14ac:dyDescent="0.25">
      <c r="A1756" s="1" t="str">
        <f>HYPERLINK("https://vegkart.atlas.vegvesen.no/#/@-26861.2,6870077.8,18/hva:hva%5B0%5D%5Bfilter%5D%5B0%5D%5Boperator%5D=%21%3D&amp;hva%5B0%5D%5Bfilter%5D%5B0%5D%5Btype_id%5D=4723&amp;hva%5B0%5D%5Bfilter%5D%5B0%5D%5Bverdi%5D=&amp;hva%5B0%5D%5Bid%5D=15/når:2021-01-07", "Vegkart")</f>
        <v>Vegkart</v>
      </c>
      <c r="B1756">
        <v>140914344</v>
      </c>
      <c r="C1756">
        <v>15</v>
      </c>
      <c r="D1756" t="s">
        <v>5814</v>
      </c>
      <c r="E1756">
        <v>4723</v>
      </c>
      <c r="F1756" t="s">
        <v>23479</v>
      </c>
      <c r="G1756">
        <v>4</v>
      </c>
      <c r="H1756" t="s">
        <v>5828</v>
      </c>
      <c r="J1756" t="s">
        <v>5861</v>
      </c>
      <c r="K1756" t="s">
        <v>21</v>
      </c>
      <c r="L1756" t="s">
        <v>113</v>
      </c>
      <c r="M1756" t="s">
        <v>507</v>
      </c>
      <c r="N1756" t="s">
        <v>5897</v>
      </c>
      <c r="O1756" t="s">
        <v>5898</v>
      </c>
      <c r="P1756" s="2" t="s">
        <v>67</v>
      </c>
      <c r="Q1756" t="s">
        <v>68</v>
      </c>
      <c r="R1756">
        <v>183.17</v>
      </c>
      <c r="S1756">
        <v>183.74</v>
      </c>
      <c r="T1756" t="s">
        <v>5899</v>
      </c>
    </row>
    <row r="1757" spans="1:20" x14ac:dyDescent="0.25">
      <c r="A1757" s="1" t="str">
        <f>HYPERLINK("https://vegkart.atlas.vegvesen.no/#/@-26951.4,6870108.2,18/hva:hva%5B0%5D%5Bfilter%5D%5B0%5D%5Boperator%5D=%21%3D&amp;hva%5B0%5D%5Bfilter%5D%5B0%5D%5Btype_id%5D=4723&amp;hva%5B0%5D%5Bfilter%5D%5B0%5D%5Bverdi%5D=&amp;hva%5B0%5D%5Bid%5D=15/når:2021-01-07", "Vegkart")</f>
        <v>Vegkart</v>
      </c>
      <c r="B1757">
        <v>140914345</v>
      </c>
      <c r="C1757">
        <v>15</v>
      </c>
      <c r="D1757" t="s">
        <v>5814</v>
      </c>
      <c r="E1757">
        <v>4723</v>
      </c>
      <c r="F1757" t="s">
        <v>23479</v>
      </c>
      <c r="G1757">
        <v>4</v>
      </c>
      <c r="H1757" t="s">
        <v>5828</v>
      </c>
      <c r="J1757" t="s">
        <v>5861</v>
      </c>
      <c r="K1757" t="s">
        <v>21</v>
      </c>
      <c r="L1757" t="s">
        <v>113</v>
      </c>
      <c r="M1757" t="s">
        <v>507</v>
      </c>
      <c r="N1757" t="s">
        <v>5900</v>
      </c>
      <c r="O1757" t="s">
        <v>5901</v>
      </c>
      <c r="P1757" s="2" t="s">
        <v>67</v>
      </c>
      <c r="Q1757" t="s">
        <v>68</v>
      </c>
      <c r="R1757">
        <v>167.5</v>
      </c>
      <c r="S1757">
        <v>168.15</v>
      </c>
      <c r="T1757" t="s">
        <v>5902</v>
      </c>
    </row>
    <row r="1758" spans="1:20" x14ac:dyDescent="0.25">
      <c r="A1758" s="1" t="str">
        <f>HYPERLINK("https://vegkart.atlas.vegvesen.no/#/@-27068.8,6870118.2,18/hva:hva%5B0%5D%5Bfilter%5D%5B0%5D%5Boperator%5D=%21%3D&amp;hva%5B0%5D%5Bfilter%5D%5B0%5D%5Btype_id%5D=4723&amp;hva%5B0%5D%5Bfilter%5D%5B0%5D%5Bverdi%5D=&amp;hva%5B0%5D%5Bid%5D=15/når:2021-01-07", "Vegkart")</f>
        <v>Vegkart</v>
      </c>
      <c r="B1758">
        <v>140914346</v>
      </c>
      <c r="C1758">
        <v>15</v>
      </c>
      <c r="D1758" t="s">
        <v>5814</v>
      </c>
      <c r="E1758">
        <v>4723</v>
      </c>
      <c r="F1758" t="s">
        <v>23479</v>
      </c>
      <c r="G1758">
        <v>4</v>
      </c>
      <c r="H1758" t="s">
        <v>5828</v>
      </c>
      <c r="J1758" t="s">
        <v>5861</v>
      </c>
      <c r="K1758" t="s">
        <v>21</v>
      </c>
      <c r="L1758" t="s">
        <v>113</v>
      </c>
      <c r="M1758" t="s">
        <v>507</v>
      </c>
      <c r="N1758" t="s">
        <v>5903</v>
      </c>
      <c r="O1758" t="s">
        <v>5904</v>
      </c>
      <c r="P1758" s="2" t="s">
        <v>67</v>
      </c>
      <c r="Q1758" t="s">
        <v>68</v>
      </c>
      <c r="R1758">
        <v>77.069999999999993</v>
      </c>
      <c r="S1758">
        <v>105.55</v>
      </c>
      <c r="T1758" t="s">
        <v>5905</v>
      </c>
    </row>
    <row r="1759" spans="1:20" x14ac:dyDescent="0.25">
      <c r="A1759" s="1" t="str">
        <f>HYPERLINK("https://vegkart.atlas.vegvesen.no/#/@-27016.3,6870140.2,18/hva:hva%5B0%5D%5Bfilter%5D%5B0%5D%5Boperator%5D=%21%3D&amp;hva%5B0%5D%5Bfilter%5D%5B0%5D%5Btype_id%5D=4723&amp;hva%5B0%5D%5Bfilter%5D%5B0%5D%5Bverdi%5D=&amp;hva%5B0%5D%5Bid%5D=15/når:2021-01-07", "Vegkart")</f>
        <v>Vegkart</v>
      </c>
      <c r="B1759">
        <v>140914347</v>
      </c>
      <c r="C1759">
        <v>15</v>
      </c>
      <c r="D1759" t="s">
        <v>5814</v>
      </c>
      <c r="E1759">
        <v>4723</v>
      </c>
      <c r="F1759" t="s">
        <v>23479</v>
      </c>
      <c r="G1759">
        <v>4</v>
      </c>
      <c r="H1759" t="s">
        <v>5828</v>
      </c>
      <c r="J1759" t="s">
        <v>5861</v>
      </c>
      <c r="K1759" t="s">
        <v>21</v>
      </c>
      <c r="L1759" t="s">
        <v>113</v>
      </c>
      <c r="M1759" t="s">
        <v>507</v>
      </c>
      <c r="N1759" t="s">
        <v>5906</v>
      </c>
      <c r="O1759" t="s">
        <v>5907</v>
      </c>
      <c r="P1759" s="2" t="s">
        <v>67</v>
      </c>
      <c r="Q1759" t="s">
        <v>68</v>
      </c>
      <c r="R1759">
        <v>134.59</v>
      </c>
      <c r="S1759">
        <v>134.88999999999999</v>
      </c>
      <c r="T1759" t="s">
        <v>5908</v>
      </c>
    </row>
    <row r="1760" spans="1:20" x14ac:dyDescent="0.25">
      <c r="A1760" s="1" t="str">
        <f>HYPERLINK("https://vegkart.atlas.vegvesen.no/#/@-27101.2,6870099.7,18/hva:hva%5B0%5D%5Bfilter%5D%5B0%5D%5Boperator%5D=%21%3D&amp;hva%5B0%5D%5Bfilter%5D%5B0%5D%5Btype_id%5D=4723&amp;hva%5B0%5D%5Bfilter%5D%5B0%5D%5Bverdi%5D=&amp;hva%5B0%5D%5Bid%5D=15/når:2025-11-24", "Vegkart")</f>
        <v>Vegkart</v>
      </c>
      <c r="B1760">
        <v>140914349</v>
      </c>
      <c r="C1760">
        <v>15</v>
      </c>
      <c r="D1760" t="s">
        <v>5814</v>
      </c>
      <c r="E1760">
        <v>4723</v>
      </c>
      <c r="F1760" t="s">
        <v>23479</v>
      </c>
      <c r="G1760">
        <v>5</v>
      </c>
      <c r="H1760" t="s">
        <v>5909</v>
      </c>
      <c r="J1760" t="s">
        <v>5910</v>
      </c>
      <c r="K1760" t="s">
        <v>21</v>
      </c>
      <c r="L1760" t="s">
        <v>113</v>
      </c>
      <c r="M1760" t="s">
        <v>507</v>
      </c>
      <c r="N1760" t="s">
        <v>5911</v>
      </c>
      <c r="O1760" t="s">
        <v>5912</v>
      </c>
      <c r="P1760" s="2" t="s">
        <v>165</v>
      </c>
      <c r="Q1760" t="s">
        <v>166</v>
      </c>
      <c r="R1760">
        <v>73.88</v>
      </c>
      <c r="S1760">
        <v>74.78</v>
      </c>
      <c r="T1760" t="s">
        <v>167</v>
      </c>
    </row>
    <row r="1761" spans="1:20" x14ac:dyDescent="0.25">
      <c r="A1761" s="1" t="str">
        <f>HYPERLINK("https://vegkart.atlas.vegvesen.no/#/@694652.3,7691916.0,18/hva:hva%5B0%5D%5Bfilter%5D%5B0%5D%5Boperator%5D=%21%3D&amp;hva%5B0%5D%5Bfilter%5D%5B0%5D%5Btype_id%5D=4723&amp;hva%5B0%5D%5Bfilter%5D%5B0%5D%5Bverdi%5D=&amp;hva%5B0%5D%5Bid%5D=15/når:2017-08-30", "Vegkart")</f>
        <v>Vegkart</v>
      </c>
      <c r="B1761">
        <v>164760656</v>
      </c>
      <c r="C1761">
        <v>15</v>
      </c>
      <c r="D1761" t="s">
        <v>5814</v>
      </c>
      <c r="E1761">
        <v>4723</v>
      </c>
      <c r="F1761" t="s">
        <v>23479</v>
      </c>
      <c r="G1761">
        <v>2</v>
      </c>
      <c r="H1761" t="s">
        <v>5913</v>
      </c>
      <c r="J1761" t="s">
        <v>5914</v>
      </c>
      <c r="K1761" t="s">
        <v>179</v>
      </c>
      <c r="L1761" t="s">
        <v>33</v>
      </c>
      <c r="M1761" t="s">
        <v>5915</v>
      </c>
      <c r="N1761" t="s">
        <v>5916</v>
      </c>
      <c r="O1761" t="s">
        <v>5917</v>
      </c>
      <c r="P1761" s="2" t="s">
        <v>37</v>
      </c>
      <c r="Q1761" t="s">
        <v>1208</v>
      </c>
      <c r="R1761">
        <v>0</v>
      </c>
      <c r="S1761">
        <v>50.18</v>
      </c>
      <c r="T1761" t="s">
        <v>5918</v>
      </c>
    </row>
    <row r="1762" spans="1:20" x14ac:dyDescent="0.25">
      <c r="A1762" s="1" t="str">
        <f>HYPERLINK("https://vegkart.atlas.vegvesen.no/#/@229069.5,6619059.6,18/hva:hva%5B0%5D%5Bfilter%5D%5B0%5D%5Boperator%5D=%21%3D&amp;hva%5B0%5D%5Bfilter%5D%5B0%5D%5Btype_id%5D=4723&amp;hva%5B0%5D%5Bfilter%5D%5B0%5D%5Bverdi%5D=&amp;hva%5B0%5D%5Bid%5D=15/når:2013-02-14", "Vegkart")</f>
        <v>Vegkart</v>
      </c>
      <c r="B1762">
        <v>218883476</v>
      </c>
      <c r="C1762">
        <v>15</v>
      </c>
      <c r="D1762" t="s">
        <v>5814</v>
      </c>
      <c r="E1762">
        <v>4723</v>
      </c>
      <c r="F1762" t="s">
        <v>23479</v>
      </c>
      <c r="G1762">
        <v>3</v>
      </c>
      <c r="H1762" t="s">
        <v>5919</v>
      </c>
      <c r="J1762" t="s">
        <v>5920</v>
      </c>
      <c r="K1762" t="s">
        <v>81</v>
      </c>
      <c r="L1762" t="s">
        <v>80</v>
      </c>
      <c r="M1762" t="s">
        <v>53</v>
      </c>
      <c r="N1762" t="s">
        <v>5921</v>
      </c>
      <c r="O1762" t="s">
        <v>5922</v>
      </c>
      <c r="P1762" s="2" t="s">
        <v>165</v>
      </c>
      <c r="Q1762" t="s">
        <v>641</v>
      </c>
      <c r="R1762">
        <v>0</v>
      </c>
      <c r="S1762">
        <v>250.89</v>
      </c>
      <c r="T1762" t="s">
        <v>167</v>
      </c>
    </row>
    <row r="1763" spans="1:20" x14ac:dyDescent="0.25">
      <c r="A1763" s="1" t="str">
        <f>HYPERLINK("https://vegkart.atlas.vegvesen.no/#/@-28159.5,6712768.1,18/hva:hva%5B0%5D%5Bfilter%5D%5B0%5D%5Boperator%5D=%21%3D&amp;hva%5B0%5D%5Bfilter%5D%5B0%5D%5Btype_id%5D=4723&amp;hva%5B0%5D%5Bfilter%5D%5B0%5D%5Bverdi%5D=&amp;hva%5B0%5D%5Bid%5D=15/når:2015-03-24", "Vegkart")</f>
        <v>Vegkart</v>
      </c>
      <c r="B1763">
        <v>220309644</v>
      </c>
      <c r="C1763">
        <v>15</v>
      </c>
      <c r="D1763" t="s">
        <v>5814</v>
      </c>
      <c r="E1763">
        <v>4723</v>
      </c>
      <c r="F1763" t="s">
        <v>23479</v>
      </c>
      <c r="G1763">
        <v>3</v>
      </c>
      <c r="H1763" t="s">
        <v>5923</v>
      </c>
      <c r="J1763" t="s">
        <v>5920</v>
      </c>
      <c r="K1763" t="s">
        <v>21</v>
      </c>
      <c r="L1763" t="s">
        <v>80</v>
      </c>
      <c r="M1763" t="s">
        <v>81</v>
      </c>
      <c r="N1763" t="s">
        <v>5924</v>
      </c>
      <c r="O1763" t="s">
        <v>5925</v>
      </c>
      <c r="P1763" s="2" t="s">
        <v>165</v>
      </c>
      <c r="Q1763" t="s">
        <v>641</v>
      </c>
      <c r="R1763">
        <v>0</v>
      </c>
      <c r="S1763">
        <v>194.36</v>
      </c>
      <c r="T1763" t="s">
        <v>167</v>
      </c>
    </row>
    <row r="1764" spans="1:20" x14ac:dyDescent="0.25">
      <c r="A1764" s="1" t="str">
        <f>HYPERLINK("https://vegkart.atlas.vegvesen.no/#/@-33397.2,6719353.6,18/hva:hva%5B0%5D%5Bfilter%5D%5B0%5D%5Boperator%5D=%21%3D&amp;hva%5B0%5D%5Bfilter%5D%5B0%5D%5Btype_id%5D=4723&amp;hva%5B0%5D%5Bfilter%5D%5B0%5D%5Bverdi%5D=&amp;hva%5B0%5D%5Bid%5D=15/når:2015-03-24", "Vegkart")</f>
        <v>Vegkart</v>
      </c>
      <c r="B1764">
        <v>220332555</v>
      </c>
      <c r="C1764">
        <v>15</v>
      </c>
      <c r="D1764" t="s">
        <v>5814</v>
      </c>
      <c r="E1764">
        <v>4723</v>
      </c>
      <c r="F1764" t="s">
        <v>23479</v>
      </c>
      <c r="G1764">
        <v>2</v>
      </c>
      <c r="H1764" t="s">
        <v>5923</v>
      </c>
      <c r="J1764" t="s">
        <v>5920</v>
      </c>
      <c r="K1764" t="s">
        <v>21</v>
      </c>
      <c r="L1764" t="s">
        <v>33</v>
      </c>
      <c r="M1764" t="s">
        <v>5926</v>
      </c>
      <c r="N1764" t="s">
        <v>5927</v>
      </c>
      <c r="O1764" t="s">
        <v>5928</v>
      </c>
      <c r="P1764" s="2" t="s">
        <v>165</v>
      </c>
      <c r="Q1764" t="s">
        <v>641</v>
      </c>
      <c r="R1764">
        <v>0</v>
      </c>
      <c r="S1764">
        <v>162.4</v>
      </c>
      <c r="T1764" t="s">
        <v>167</v>
      </c>
    </row>
    <row r="1765" spans="1:20" x14ac:dyDescent="0.25">
      <c r="A1765" s="1" t="str">
        <f>HYPERLINK("https://vegkart.atlas.vegvesen.no/#/@-27313.1,6710182.2,18/hva:hva%5B0%5D%5Bfilter%5D%5B0%5D%5Boperator%5D=%21%3D&amp;hva%5B0%5D%5Bfilter%5D%5B0%5D%5Btype_id%5D=4723&amp;hva%5B0%5D%5Bfilter%5D%5B0%5D%5Bverdi%5D=&amp;hva%5B0%5D%5Bid%5D=15/når:2015-03-24", "Vegkart")</f>
        <v>Vegkart</v>
      </c>
      <c r="B1765">
        <v>220345109</v>
      </c>
      <c r="C1765">
        <v>15</v>
      </c>
      <c r="D1765" t="s">
        <v>5814</v>
      </c>
      <c r="E1765">
        <v>4723</v>
      </c>
      <c r="F1765" t="s">
        <v>23479</v>
      </c>
      <c r="G1765">
        <v>2</v>
      </c>
      <c r="H1765" t="s">
        <v>5923</v>
      </c>
      <c r="J1765" t="s">
        <v>5929</v>
      </c>
      <c r="K1765" t="s">
        <v>21</v>
      </c>
      <c r="L1765" t="s">
        <v>33</v>
      </c>
      <c r="M1765" t="s">
        <v>5930</v>
      </c>
      <c r="N1765" t="s">
        <v>5931</v>
      </c>
      <c r="O1765" t="s">
        <v>5932</v>
      </c>
      <c r="P1765" s="2" t="s">
        <v>165</v>
      </c>
      <c r="Q1765" t="s">
        <v>641</v>
      </c>
      <c r="R1765">
        <v>0</v>
      </c>
      <c r="S1765">
        <v>73.709999999999994</v>
      </c>
      <c r="T1765" t="s">
        <v>167</v>
      </c>
    </row>
    <row r="1766" spans="1:20" x14ac:dyDescent="0.25">
      <c r="A1766" s="1" t="str">
        <f>HYPERLINK("https://vegkart.atlas.vegvesen.no/#/@-27351.0,6710180.8,18/hva:hva%5B0%5D%5Bfilter%5D%5B0%5D%5Boperator%5D=%21%3D&amp;hva%5B0%5D%5Bfilter%5D%5B0%5D%5Btype_id%5D=4723&amp;hva%5B0%5D%5Bfilter%5D%5B0%5D%5Bverdi%5D=&amp;hva%5B0%5D%5Bid%5D=15/når:2015-03-24", "Vegkart")</f>
        <v>Vegkart</v>
      </c>
      <c r="B1766">
        <v>220345126</v>
      </c>
      <c r="C1766">
        <v>15</v>
      </c>
      <c r="D1766" t="s">
        <v>5814</v>
      </c>
      <c r="E1766">
        <v>4723</v>
      </c>
      <c r="F1766" t="s">
        <v>23479</v>
      </c>
      <c r="G1766">
        <v>2</v>
      </c>
      <c r="H1766" t="s">
        <v>5923</v>
      </c>
      <c r="J1766" t="s">
        <v>5933</v>
      </c>
      <c r="K1766" t="s">
        <v>21</v>
      </c>
      <c r="L1766" t="s">
        <v>33</v>
      </c>
      <c r="M1766" t="s">
        <v>5930</v>
      </c>
      <c r="N1766" t="s">
        <v>5934</v>
      </c>
      <c r="O1766" t="s">
        <v>5935</v>
      </c>
      <c r="P1766" s="2" t="s">
        <v>165</v>
      </c>
      <c r="Q1766" t="s">
        <v>641</v>
      </c>
      <c r="R1766">
        <v>0</v>
      </c>
      <c r="S1766">
        <v>175.89</v>
      </c>
      <c r="T1766" t="s">
        <v>167</v>
      </c>
    </row>
    <row r="1767" spans="1:20" x14ac:dyDescent="0.25">
      <c r="A1767" s="1" t="str">
        <f>HYPERLINK("https://vegkart.atlas.vegvesen.no/#/@-27420.7,6710139.2,18/hva:hva%5B0%5D%5Bfilter%5D%5B0%5D%5Boperator%5D=%21%3D&amp;hva%5B0%5D%5Bfilter%5D%5B0%5D%5Btype_id%5D=4723&amp;hva%5B0%5D%5Bfilter%5D%5B0%5D%5Bverdi%5D=&amp;hva%5B0%5D%5Bid%5D=15/når:2015-03-24", "Vegkart")</f>
        <v>Vegkart</v>
      </c>
      <c r="B1767">
        <v>220345136</v>
      </c>
      <c r="C1767">
        <v>15</v>
      </c>
      <c r="D1767" t="s">
        <v>5814</v>
      </c>
      <c r="E1767">
        <v>4723</v>
      </c>
      <c r="F1767" t="s">
        <v>23479</v>
      </c>
      <c r="G1767">
        <v>2</v>
      </c>
      <c r="H1767" t="s">
        <v>5923</v>
      </c>
      <c r="J1767" t="s">
        <v>5933</v>
      </c>
      <c r="K1767" t="s">
        <v>21</v>
      </c>
      <c r="L1767" t="s">
        <v>33</v>
      </c>
      <c r="M1767" t="s">
        <v>5930</v>
      </c>
      <c r="N1767" t="s">
        <v>5936</v>
      </c>
      <c r="O1767" t="s">
        <v>5937</v>
      </c>
      <c r="P1767" s="2" t="s">
        <v>165</v>
      </c>
      <c r="Q1767" t="s">
        <v>641</v>
      </c>
      <c r="R1767">
        <v>0</v>
      </c>
      <c r="S1767">
        <v>87.29</v>
      </c>
      <c r="T1767" t="s">
        <v>167</v>
      </c>
    </row>
    <row r="1768" spans="1:20" x14ac:dyDescent="0.25">
      <c r="A1768" s="1" t="str">
        <f>HYPERLINK("https://vegkart.atlas.vegvesen.no/#/@-27432.1,6710176.5,18/hva:hva%5B0%5D%5Bfilter%5D%5B0%5D%5Boperator%5D=%21%3D&amp;hva%5B0%5D%5Bfilter%5D%5B0%5D%5Btype_id%5D=4723&amp;hva%5B0%5D%5Bfilter%5D%5B0%5D%5Bverdi%5D=&amp;hva%5B0%5D%5Bid%5D=15/når:2015-03-24", "Vegkart")</f>
        <v>Vegkart</v>
      </c>
      <c r="B1768">
        <v>220345140</v>
      </c>
      <c r="C1768">
        <v>15</v>
      </c>
      <c r="D1768" t="s">
        <v>5814</v>
      </c>
      <c r="E1768">
        <v>4723</v>
      </c>
      <c r="F1768" t="s">
        <v>23479</v>
      </c>
      <c r="G1768">
        <v>2</v>
      </c>
      <c r="H1768" t="s">
        <v>5923</v>
      </c>
      <c r="J1768" t="s">
        <v>5933</v>
      </c>
      <c r="K1768" t="s">
        <v>21</v>
      </c>
      <c r="L1768" t="s">
        <v>33</v>
      </c>
      <c r="M1768" t="s">
        <v>5938</v>
      </c>
      <c r="N1768" t="s">
        <v>5939</v>
      </c>
      <c r="O1768" t="s">
        <v>5940</v>
      </c>
      <c r="P1768" s="2" t="s">
        <v>165</v>
      </c>
      <c r="Q1768" t="s">
        <v>641</v>
      </c>
      <c r="R1768">
        <v>0</v>
      </c>
      <c r="S1768">
        <v>137.56</v>
      </c>
      <c r="T1768" t="s">
        <v>167</v>
      </c>
    </row>
    <row r="1769" spans="1:20" x14ac:dyDescent="0.25">
      <c r="A1769" s="1" t="str">
        <f>HYPERLINK("https://vegkart.atlas.vegvesen.no/#/@-27417.0,6710261.4,18/hva:hva%5B0%5D%5Bfilter%5D%5B0%5D%5Boperator%5D=%21%3D&amp;hva%5B0%5D%5Bfilter%5D%5B0%5D%5Btype_id%5D=4723&amp;hva%5B0%5D%5Bfilter%5D%5B0%5D%5Bverdi%5D=&amp;hva%5B0%5D%5Bid%5D=15/når:2015-03-24", "Vegkart")</f>
        <v>Vegkart</v>
      </c>
      <c r="B1769">
        <v>220345162</v>
      </c>
      <c r="C1769">
        <v>15</v>
      </c>
      <c r="D1769" t="s">
        <v>5814</v>
      </c>
      <c r="E1769">
        <v>4723</v>
      </c>
      <c r="F1769" t="s">
        <v>23479</v>
      </c>
      <c r="G1769">
        <v>2</v>
      </c>
      <c r="H1769" t="s">
        <v>5923</v>
      </c>
      <c r="J1769" t="s">
        <v>5933</v>
      </c>
      <c r="K1769" t="s">
        <v>21</v>
      </c>
      <c r="L1769" t="s">
        <v>33</v>
      </c>
      <c r="M1769" t="s">
        <v>5930</v>
      </c>
      <c r="N1769" t="s">
        <v>5941</v>
      </c>
      <c r="O1769" t="s">
        <v>5942</v>
      </c>
      <c r="P1769" s="2" t="s">
        <v>165</v>
      </c>
      <c r="Q1769" t="s">
        <v>641</v>
      </c>
      <c r="R1769">
        <v>0</v>
      </c>
      <c r="S1769">
        <v>103.02</v>
      </c>
      <c r="T1769" t="s">
        <v>167</v>
      </c>
    </row>
    <row r="1770" spans="1:20" x14ac:dyDescent="0.25">
      <c r="A1770" s="1" t="str">
        <f>HYPERLINK("https://vegkart.atlas.vegvesen.no/#/@-27384.3,6710181.0,18/hva:hva%5B0%5D%5Bfilter%5D%5B0%5D%5Boperator%5D=%21%3D&amp;hva%5B0%5D%5Bfilter%5D%5B0%5D%5Btype_id%5D=4723&amp;hva%5B0%5D%5Bfilter%5D%5B0%5D%5Bverdi%5D=&amp;hva%5B0%5D%5Bid%5D=15/når:2015-03-24", "Vegkart")</f>
        <v>Vegkart</v>
      </c>
      <c r="B1770">
        <v>220345167</v>
      </c>
      <c r="C1770">
        <v>15</v>
      </c>
      <c r="D1770" t="s">
        <v>5814</v>
      </c>
      <c r="E1770">
        <v>4723</v>
      </c>
      <c r="F1770" t="s">
        <v>23479</v>
      </c>
      <c r="G1770">
        <v>2</v>
      </c>
      <c r="H1770" t="s">
        <v>5923</v>
      </c>
      <c r="J1770" t="s">
        <v>5933</v>
      </c>
      <c r="K1770" t="s">
        <v>21</v>
      </c>
      <c r="L1770" t="s">
        <v>33</v>
      </c>
      <c r="M1770" t="s">
        <v>5930</v>
      </c>
      <c r="N1770" t="s">
        <v>5943</v>
      </c>
      <c r="O1770" t="s">
        <v>5944</v>
      </c>
      <c r="P1770" s="2" t="s">
        <v>165</v>
      </c>
      <c r="Q1770" t="s">
        <v>641</v>
      </c>
      <c r="R1770">
        <v>0</v>
      </c>
      <c r="S1770">
        <v>99.49</v>
      </c>
      <c r="T1770" t="s">
        <v>167</v>
      </c>
    </row>
    <row r="1771" spans="1:20" x14ac:dyDescent="0.25">
      <c r="A1771" s="1" t="str">
        <f>HYPERLINK("https://vegkart.atlas.vegvesen.no/#/@-19815.2,6736781.8,18/hva:hva%5B0%5D%5Bfilter%5D%5B0%5D%5Boperator%5D=%21%3D&amp;hva%5B0%5D%5Bfilter%5D%5B0%5D%5Btype_id%5D=4723&amp;hva%5B0%5D%5Bfilter%5D%5B0%5D%5Bverdi%5D=&amp;hva%5B0%5D%5Bid%5D=15/når:2015-03-24", "Vegkart")</f>
        <v>Vegkart</v>
      </c>
      <c r="B1771">
        <v>220369487</v>
      </c>
      <c r="C1771">
        <v>15</v>
      </c>
      <c r="D1771" t="s">
        <v>5814</v>
      </c>
      <c r="E1771">
        <v>4723</v>
      </c>
      <c r="F1771" t="s">
        <v>23479</v>
      </c>
      <c r="G1771">
        <v>2</v>
      </c>
      <c r="H1771" t="s">
        <v>5923</v>
      </c>
      <c r="J1771" t="s">
        <v>5933</v>
      </c>
      <c r="K1771" t="s">
        <v>21</v>
      </c>
      <c r="L1771" t="s">
        <v>33</v>
      </c>
      <c r="M1771" t="s">
        <v>610</v>
      </c>
      <c r="N1771" t="s">
        <v>5945</v>
      </c>
      <c r="O1771" t="s">
        <v>5946</v>
      </c>
      <c r="P1771" s="2" t="s">
        <v>165</v>
      </c>
      <c r="Q1771" t="s">
        <v>641</v>
      </c>
      <c r="R1771">
        <v>0</v>
      </c>
      <c r="S1771">
        <v>288.51</v>
      </c>
      <c r="T1771" t="s">
        <v>167</v>
      </c>
    </row>
    <row r="1772" spans="1:20" x14ac:dyDescent="0.25">
      <c r="A1772" s="1" t="str">
        <f>HYPERLINK("https://vegkart.atlas.vegvesen.no/#/@256881.9,6651081.0,18/hva:hva%5B0%5D%5Bfilter%5D%5B0%5D%5Boperator%5D=%21%3D&amp;hva%5B0%5D%5Bfilter%5D%5B0%5D%5Btype_id%5D=4723&amp;hva%5B0%5D%5Bfilter%5D%5B0%5D%5Bverdi%5D=&amp;hva%5B0%5D%5Bid%5D=15/når:2013-08-27", "Vegkart")</f>
        <v>Vegkart</v>
      </c>
      <c r="B1772">
        <v>220814034</v>
      </c>
      <c r="C1772">
        <v>15</v>
      </c>
      <c r="D1772" t="s">
        <v>5814</v>
      </c>
      <c r="E1772">
        <v>4723</v>
      </c>
      <c r="F1772" t="s">
        <v>23479</v>
      </c>
      <c r="G1772">
        <v>1</v>
      </c>
      <c r="H1772" t="s">
        <v>5947</v>
      </c>
      <c r="J1772" t="s">
        <v>5929</v>
      </c>
      <c r="K1772" t="s">
        <v>335</v>
      </c>
      <c r="L1772" t="s">
        <v>22</v>
      </c>
      <c r="M1772" t="s">
        <v>336</v>
      </c>
      <c r="N1772" t="s">
        <v>5948</v>
      </c>
      <c r="O1772" t="s">
        <v>5949</v>
      </c>
      <c r="P1772" s="2" t="s">
        <v>165</v>
      </c>
      <c r="Q1772" t="s">
        <v>641</v>
      </c>
      <c r="R1772">
        <v>0</v>
      </c>
      <c r="S1772">
        <v>146.11000000000001</v>
      </c>
      <c r="T1772" t="s">
        <v>167</v>
      </c>
    </row>
    <row r="1773" spans="1:20" x14ac:dyDescent="0.25">
      <c r="A1773" s="1" t="str">
        <f>HYPERLINK("https://vegkart.atlas.vegvesen.no/#/@62591.6,6487387.4,18/hva:hva%5B0%5D%5Bfilter%5D%5B0%5D%5Boperator%5D=%21%3D&amp;hva%5B0%5D%5Bfilter%5D%5B0%5D%5Btype_id%5D=4723&amp;hva%5B0%5D%5Bfilter%5D%5B0%5D%5Bverdi%5D=&amp;hva%5B0%5D%5Bid%5D=15/når:2021-12-10", "Vegkart")</f>
        <v>Vegkart</v>
      </c>
      <c r="B1773">
        <v>226400493</v>
      </c>
      <c r="C1773">
        <v>15</v>
      </c>
      <c r="D1773" t="s">
        <v>5814</v>
      </c>
      <c r="E1773">
        <v>4723</v>
      </c>
      <c r="F1773" t="s">
        <v>23479</v>
      </c>
      <c r="G1773">
        <v>2</v>
      </c>
      <c r="H1773" t="s">
        <v>5950</v>
      </c>
      <c r="J1773" t="s">
        <v>5951</v>
      </c>
      <c r="K1773" t="s">
        <v>86</v>
      </c>
      <c r="L1773" t="s">
        <v>33</v>
      </c>
      <c r="M1773" t="s">
        <v>5952</v>
      </c>
      <c r="N1773" t="s">
        <v>5953</v>
      </c>
      <c r="O1773" t="s">
        <v>5954</v>
      </c>
      <c r="P1773" s="2" t="s">
        <v>165</v>
      </c>
      <c r="Q1773" t="s">
        <v>641</v>
      </c>
      <c r="R1773">
        <v>0</v>
      </c>
      <c r="S1773">
        <v>190.01</v>
      </c>
      <c r="T1773" t="s">
        <v>167</v>
      </c>
    </row>
    <row r="1774" spans="1:20" x14ac:dyDescent="0.25">
      <c r="A1774" s="1" t="str">
        <f>HYPERLINK("https://vegkart.atlas.vegvesen.no/#/@84228.5,6466572.7,18/hva:hva%5B0%5D%5Bfilter%5D%5B0%5D%5Boperator%5D=%21%3D&amp;hva%5B0%5D%5Bfilter%5D%5B0%5D%5Btype_id%5D=4723&amp;hva%5B0%5D%5Bfilter%5D%5B0%5D%5Bverdi%5D=&amp;hva%5B0%5D%5Bid%5D=15/når:2013-08-14", "Vegkart")</f>
        <v>Vegkart</v>
      </c>
      <c r="B1774">
        <v>229586464</v>
      </c>
      <c r="C1774">
        <v>15</v>
      </c>
      <c r="D1774" t="s">
        <v>5814</v>
      </c>
      <c r="E1774">
        <v>4723</v>
      </c>
      <c r="F1774" t="s">
        <v>23479</v>
      </c>
      <c r="G1774">
        <v>1</v>
      </c>
      <c r="H1774" t="s">
        <v>5955</v>
      </c>
      <c r="J1774" t="s">
        <v>5951</v>
      </c>
      <c r="K1774" t="s">
        <v>86</v>
      </c>
      <c r="L1774" t="s">
        <v>80</v>
      </c>
      <c r="M1774" t="s">
        <v>81</v>
      </c>
      <c r="N1774" t="s">
        <v>5956</v>
      </c>
      <c r="O1774" t="s">
        <v>5957</v>
      </c>
      <c r="P1774" s="2" t="s">
        <v>165</v>
      </c>
      <c r="Q1774" t="s">
        <v>641</v>
      </c>
      <c r="R1774">
        <v>0</v>
      </c>
      <c r="S1774">
        <v>309.74</v>
      </c>
      <c r="T1774" t="s">
        <v>167</v>
      </c>
    </row>
    <row r="1775" spans="1:20" x14ac:dyDescent="0.25">
      <c r="A1775" s="1" t="str">
        <f>HYPERLINK("https://vegkart.atlas.vegvesen.no/#/@88605.2,6467382.0,18/hva:hva%5B0%5D%5Bfilter%5D%5B0%5D%5Boperator%5D=%21%3D&amp;hva%5B0%5D%5Bfilter%5D%5B0%5D%5Btype_id%5D=4723&amp;hva%5B0%5D%5Bfilter%5D%5B0%5D%5Bverdi%5D=&amp;hva%5B0%5D%5Bid%5D=15/når:2013-08-14", "Vegkart")</f>
        <v>Vegkart</v>
      </c>
      <c r="B1775">
        <v>231212343</v>
      </c>
      <c r="C1775">
        <v>15</v>
      </c>
      <c r="D1775" t="s">
        <v>5814</v>
      </c>
      <c r="E1775">
        <v>4723</v>
      </c>
      <c r="F1775" t="s">
        <v>23479</v>
      </c>
      <c r="G1775">
        <v>1</v>
      </c>
      <c r="H1775" t="s">
        <v>5955</v>
      </c>
      <c r="J1775" t="s">
        <v>5958</v>
      </c>
      <c r="K1775" t="s">
        <v>86</v>
      </c>
      <c r="L1775" t="s">
        <v>80</v>
      </c>
      <c r="M1775" t="s">
        <v>53</v>
      </c>
      <c r="N1775" t="s">
        <v>5959</v>
      </c>
      <c r="O1775" t="s">
        <v>5960</v>
      </c>
      <c r="P1775" s="2" t="s">
        <v>165</v>
      </c>
      <c r="Q1775" t="s">
        <v>641</v>
      </c>
      <c r="R1775">
        <v>0</v>
      </c>
      <c r="S1775">
        <v>343.32</v>
      </c>
      <c r="T1775" t="s">
        <v>167</v>
      </c>
    </row>
    <row r="1776" spans="1:20" x14ac:dyDescent="0.25">
      <c r="A1776" s="1" t="str">
        <f>HYPERLINK("https://vegkart.atlas.vegvesen.no/#/@88556.0,6467438.2,18/hva:hva%5B0%5D%5Bfilter%5D%5B0%5D%5Boperator%5D=%21%3D&amp;hva%5B0%5D%5Bfilter%5D%5B0%5D%5Btype_id%5D=4723&amp;hva%5B0%5D%5Bfilter%5D%5B0%5D%5Bverdi%5D=&amp;hva%5B0%5D%5Bid%5D=15/når:2013-08-14", "Vegkart")</f>
        <v>Vegkart</v>
      </c>
      <c r="B1776">
        <v>231212358</v>
      </c>
      <c r="C1776">
        <v>15</v>
      </c>
      <c r="D1776" t="s">
        <v>5814</v>
      </c>
      <c r="E1776">
        <v>4723</v>
      </c>
      <c r="F1776" t="s">
        <v>23479</v>
      </c>
      <c r="G1776">
        <v>1</v>
      </c>
      <c r="H1776" t="s">
        <v>5955</v>
      </c>
      <c r="J1776" t="s">
        <v>5958</v>
      </c>
      <c r="K1776" t="s">
        <v>86</v>
      </c>
      <c r="L1776" t="s">
        <v>80</v>
      </c>
      <c r="M1776" t="s">
        <v>53</v>
      </c>
      <c r="N1776" t="s">
        <v>5961</v>
      </c>
      <c r="O1776" t="s">
        <v>5962</v>
      </c>
      <c r="P1776" s="2" t="s">
        <v>165</v>
      </c>
      <c r="Q1776" t="s">
        <v>641</v>
      </c>
      <c r="R1776">
        <v>0</v>
      </c>
      <c r="S1776">
        <v>291.19</v>
      </c>
      <c r="T1776" t="s">
        <v>167</v>
      </c>
    </row>
    <row r="1777" spans="1:20" x14ac:dyDescent="0.25">
      <c r="A1777" s="1" t="str">
        <f>HYPERLINK("https://vegkart.atlas.vegvesen.no/#/@-31534.4,6733408.6,18/hva:hva%5B0%5D%5Bfilter%5D%5B0%5D%5Boperator%5D=%21%3D&amp;hva%5B0%5D%5Bfilter%5D%5B0%5D%5Btype_id%5D=4723&amp;hva%5B0%5D%5Bfilter%5D%5B0%5D%5Bverdi%5D=&amp;hva%5B0%5D%5Bid%5D=15/når:2025-04-10", "Vegkart")</f>
        <v>Vegkart</v>
      </c>
      <c r="B1777">
        <v>231848382</v>
      </c>
      <c r="C1777">
        <v>15</v>
      </c>
      <c r="D1777" t="s">
        <v>5814</v>
      </c>
      <c r="E1777">
        <v>4723</v>
      </c>
      <c r="F1777" t="s">
        <v>23479</v>
      </c>
      <c r="G1777">
        <v>4</v>
      </c>
      <c r="H1777" t="s">
        <v>5963</v>
      </c>
      <c r="J1777" t="s">
        <v>5958</v>
      </c>
      <c r="K1777" t="s">
        <v>21</v>
      </c>
      <c r="L1777" t="s">
        <v>80</v>
      </c>
      <c r="M1777" t="s">
        <v>81</v>
      </c>
      <c r="N1777" t="s">
        <v>5964</v>
      </c>
      <c r="O1777" t="s">
        <v>5965</v>
      </c>
      <c r="P1777" s="2" t="s">
        <v>165</v>
      </c>
      <c r="Q1777" t="s">
        <v>641</v>
      </c>
      <c r="R1777">
        <v>0</v>
      </c>
      <c r="S1777">
        <v>191.44</v>
      </c>
      <c r="T1777" t="s">
        <v>167</v>
      </c>
    </row>
    <row r="1778" spans="1:20" x14ac:dyDescent="0.25">
      <c r="A1778" s="1" t="str">
        <f>HYPERLINK("https://vegkart.atlas.vegvesen.no/#/@-36435.0,6724925.4,18/hva:hva%5B0%5D%5Bfilter%5D%5B0%5D%5Boperator%5D=%21%3D&amp;hva%5B0%5D%5Bfilter%5D%5B0%5D%5Btype_id%5D=4723&amp;hva%5B0%5D%5Bfilter%5D%5B0%5D%5Bverdi%5D=&amp;hva%5B0%5D%5Bid%5D=15/når:2015-03-24", "Vegkart")</f>
        <v>Vegkart</v>
      </c>
      <c r="B1778">
        <v>232121480</v>
      </c>
      <c r="C1778">
        <v>15</v>
      </c>
      <c r="D1778" t="s">
        <v>5814</v>
      </c>
      <c r="E1778">
        <v>4723</v>
      </c>
      <c r="F1778" t="s">
        <v>23479</v>
      </c>
      <c r="G1778">
        <v>2</v>
      </c>
      <c r="H1778" t="s">
        <v>5923</v>
      </c>
      <c r="J1778" t="s">
        <v>5958</v>
      </c>
      <c r="K1778" t="s">
        <v>21</v>
      </c>
      <c r="L1778" t="s">
        <v>33</v>
      </c>
      <c r="M1778" t="s">
        <v>5966</v>
      </c>
      <c r="N1778" t="s">
        <v>5967</v>
      </c>
      <c r="O1778" t="s">
        <v>5968</v>
      </c>
      <c r="P1778" s="2" t="s">
        <v>165</v>
      </c>
      <c r="Q1778" t="s">
        <v>641</v>
      </c>
      <c r="R1778">
        <v>0</v>
      </c>
      <c r="S1778">
        <v>46.31</v>
      </c>
      <c r="T1778" t="s">
        <v>167</v>
      </c>
    </row>
    <row r="1779" spans="1:20" x14ac:dyDescent="0.25">
      <c r="A1779" s="1" t="str">
        <f>HYPERLINK("https://vegkart.atlas.vegvesen.no/#/@231338.1,6622729.0,18/hva:hva%5B0%5D%5Bfilter%5D%5B0%5D%5Boperator%5D=%21%3D&amp;hva%5B0%5D%5Bfilter%5D%5B0%5D%5Btype_id%5D=4723&amp;hva%5B0%5D%5Bfilter%5D%5B0%5D%5Bverdi%5D=&amp;hva%5B0%5D%5Bid%5D=15/når:2010-09-30", "Vegkart")</f>
        <v>Vegkart</v>
      </c>
      <c r="B1779">
        <v>267297492</v>
      </c>
      <c r="C1779">
        <v>15</v>
      </c>
      <c r="D1779" t="s">
        <v>5814</v>
      </c>
      <c r="E1779">
        <v>4723</v>
      </c>
      <c r="F1779" t="s">
        <v>23479</v>
      </c>
      <c r="G1779">
        <v>1</v>
      </c>
      <c r="H1779" t="s">
        <v>5969</v>
      </c>
      <c r="J1779" t="s">
        <v>5970</v>
      </c>
      <c r="K1779" t="s">
        <v>81</v>
      </c>
      <c r="L1779" t="s">
        <v>80</v>
      </c>
      <c r="M1779" t="s">
        <v>53</v>
      </c>
      <c r="N1779" t="s">
        <v>5971</v>
      </c>
      <c r="O1779" t="s">
        <v>5972</v>
      </c>
      <c r="P1779" s="2" t="s">
        <v>165</v>
      </c>
      <c r="Q1779" t="s">
        <v>641</v>
      </c>
      <c r="R1779">
        <v>0</v>
      </c>
      <c r="S1779">
        <v>772.02</v>
      </c>
      <c r="T1779" t="s">
        <v>167</v>
      </c>
    </row>
    <row r="1780" spans="1:20" x14ac:dyDescent="0.25">
      <c r="A1780" s="1" t="str">
        <f>HYPERLINK("https://vegkart.atlas.vegvesen.no/#/@47015.4,6463682.6,18/hva:hva%5B0%5D%5Bfilter%5D%5B0%5D%5Boperator%5D=%21%3D&amp;hva%5B0%5D%5Bfilter%5D%5B0%5D%5Btype_id%5D=4723&amp;hva%5B0%5D%5Bfilter%5D%5B0%5D%5Bverdi%5D=&amp;hva%5B0%5D%5Bid%5D=15/når:2011-05-27", "Vegkart")</f>
        <v>Vegkart</v>
      </c>
      <c r="B1780">
        <v>286019912</v>
      </c>
      <c r="C1780">
        <v>15</v>
      </c>
      <c r="D1780" t="s">
        <v>5814</v>
      </c>
      <c r="E1780">
        <v>4723</v>
      </c>
      <c r="F1780" t="s">
        <v>23479</v>
      </c>
      <c r="G1780">
        <v>1</v>
      </c>
      <c r="H1780" t="s">
        <v>5973</v>
      </c>
      <c r="J1780" t="s">
        <v>5974</v>
      </c>
      <c r="K1780" t="s">
        <v>86</v>
      </c>
      <c r="L1780" t="s">
        <v>33</v>
      </c>
      <c r="M1780" t="s">
        <v>5002</v>
      </c>
      <c r="N1780" t="s">
        <v>5975</v>
      </c>
      <c r="O1780" t="s">
        <v>5976</v>
      </c>
      <c r="P1780" s="2" t="s">
        <v>165</v>
      </c>
      <c r="Q1780" t="s">
        <v>641</v>
      </c>
      <c r="R1780">
        <v>0</v>
      </c>
      <c r="S1780">
        <v>115.38</v>
      </c>
      <c r="T1780" t="s">
        <v>167</v>
      </c>
    </row>
    <row r="1781" spans="1:20" x14ac:dyDescent="0.25">
      <c r="A1781" s="1" t="str">
        <f>HYPERLINK("https://vegkart.atlas.vegvesen.no/#/@307572.1,6643756.3,18/hva:hva%5B0%5D%5Bfilter%5D%5B0%5D%5Boperator%5D=%21%3D&amp;hva%5B0%5D%5Bfilter%5D%5B0%5D%5Btype_id%5D=4723&amp;hva%5B0%5D%5Bfilter%5D%5B0%5D%5Bverdi%5D=&amp;hva%5B0%5D%5Bid%5D=15/når:2011-07-01", "Vegkart")</f>
        <v>Vegkart</v>
      </c>
      <c r="B1781">
        <v>305911611</v>
      </c>
      <c r="C1781">
        <v>15</v>
      </c>
      <c r="D1781" t="s">
        <v>5814</v>
      </c>
      <c r="E1781">
        <v>4723</v>
      </c>
      <c r="F1781" t="s">
        <v>23479</v>
      </c>
      <c r="G1781">
        <v>1</v>
      </c>
      <c r="H1781" t="s">
        <v>5977</v>
      </c>
      <c r="J1781" t="s">
        <v>5978</v>
      </c>
      <c r="K1781" t="s">
        <v>132</v>
      </c>
      <c r="L1781" t="s">
        <v>33</v>
      </c>
      <c r="M1781" t="s">
        <v>5979</v>
      </c>
      <c r="N1781" t="s">
        <v>5980</v>
      </c>
      <c r="O1781" t="s">
        <v>5981</v>
      </c>
      <c r="P1781" s="2" t="s">
        <v>165</v>
      </c>
      <c r="Q1781" t="s">
        <v>641</v>
      </c>
      <c r="R1781">
        <v>0</v>
      </c>
      <c r="S1781">
        <v>105.97</v>
      </c>
      <c r="T1781" t="s">
        <v>167</v>
      </c>
    </row>
    <row r="1782" spans="1:20" x14ac:dyDescent="0.25">
      <c r="A1782" s="1" t="str">
        <f>HYPERLINK("https://vegkart.atlas.vegvesen.no/#/@301022.1,6625631.3,18/hva:hva%5B0%5D%5Bfilter%5D%5B0%5D%5Boperator%5D=%21%3D&amp;hva%5B0%5D%5Bfilter%5D%5B0%5D%5Btype_id%5D=4723&amp;hva%5B0%5D%5Bfilter%5D%5B0%5D%5Bverdi%5D=&amp;hva%5B0%5D%5Bid%5D=15/når:2011-07-01", "Vegkart")</f>
        <v>Vegkart</v>
      </c>
      <c r="B1782">
        <v>305911624</v>
      </c>
      <c r="C1782">
        <v>15</v>
      </c>
      <c r="D1782" t="s">
        <v>5814</v>
      </c>
      <c r="E1782">
        <v>4723</v>
      </c>
      <c r="F1782" t="s">
        <v>23479</v>
      </c>
      <c r="G1782">
        <v>1</v>
      </c>
      <c r="H1782" t="s">
        <v>5977</v>
      </c>
      <c r="J1782" t="s">
        <v>5978</v>
      </c>
      <c r="K1782" t="s">
        <v>132</v>
      </c>
      <c r="L1782" t="s">
        <v>33</v>
      </c>
      <c r="M1782" t="s">
        <v>5982</v>
      </c>
      <c r="N1782" t="s">
        <v>5983</v>
      </c>
      <c r="O1782" t="s">
        <v>5984</v>
      </c>
      <c r="P1782" s="2" t="s">
        <v>165</v>
      </c>
      <c r="Q1782" t="s">
        <v>641</v>
      </c>
      <c r="R1782">
        <v>0</v>
      </c>
      <c r="S1782">
        <v>135.55000000000001</v>
      </c>
      <c r="T1782" t="s">
        <v>167</v>
      </c>
    </row>
    <row r="1783" spans="1:20" x14ac:dyDescent="0.25">
      <c r="A1783" s="1" t="str">
        <f>HYPERLINK("https://vegkart.atlas.vegvesen.no/#/@300371.6,6625413.3,18/hva:hva%5B0%5D%5Bfilter%5D%5B0%5D%5Boperator%5D=%21%3D&amp;hva%5B0%5D%5Bfilter%5D%5B0%5D%5Btype_id%5D=4723&amp;hva%5B0%5D%5Bfilter%5D%5B0%5D%5Bverdi%5D=&amp;hva%5B0%5D%5Bid%5D=15/når:2011-07-01", "Vegkart")</f>
        <v>Vegkart</v>
      </c>
      <c r="B1783">
        <v>305911654</v>
      </c>
      <c r="C1783">
        <v>15</v>
      </c>
      <c r="D1783" t="s">
        <v>5814</v>
      </c>
      <c r="E1783">
        <v>4723</v>
      </c>
      <c r="F1783" t="s">
        <v>23479</v>
      </c>
      <c r="G1783">
        <v>1</v>
      </c>
      <c r="H1783" t="s">
        <v>5977</v>
      </c>
      <c r="J1783" t="s">
        <v>5978</v>
      </c>
      <c r="K1783" t="s">
        <v>132</v>
      </c>
      <c r="L1783" t="s">
        <v>33</v>
      </c>
      <c r="M1783" t="s">
        <v>5982</v>
      </c>
      <c r="N1783" t="s">
        <v>5985</v>
      </c>
      <c r="O1783" t="s">
        <v>5986</v>
      </c>
      <c r="P1783" s="2" t="s">
        <v>165</v>
      </c>
      <c r="Q1783" t="s">
        <v>641</v>
      </c>
      <c r="R1783">
        <v>0</v>
      </c>
      <c r="S1783">
        <v>103.25</v>
      </c>
      <c r="T1783" t="s">
        <v>167</v>
      </c>
    </row>
    <row r="1784" spans="1:20" x14ac:dyDescent="0.25">
      <c r="A1784" s="1" t="str">
        <f>HYPERLINK("https://vegkart.atlas.vegvesen.no/#/@290385.9,6655837.7,18/hva:hva%5B0%5D%5Bfilter%5D%5B0%5D%5Boperator%5D=%21%3D&amp;hva%5B0%5D%5Bfilter%5D%5B0%5D%5Btype_id%5D=4723&amp;hva%5B0%5D%5Bfilter%5D%5B0%5D%5Bverdi%5D=&amp;hva%5B0%5D%5Bid%5D=15/når:2011-07-01", "Vegkart")</f>
        <v>Vegkart</v>
      </c>
      <c r="B1784">
        <v>305912583</v>
      </c>
      <c r="C1784">
        <v>15</v>
      </c>
      <c r="D1784" t="s">
        <v>5814</v>
      </c>
      <c r="E1784">
        <v>4723</v>
      </c>
      <c r="F1784" t="s">
        <v>23479</v>
      </c>
      <c r="G1784">
        <v>1</v>
      </c>
      <c r="H1784" t="s">
        <v>5977</v>
      </c>
      <c r="J1784" t="s">
        <v>5978</v>
      </c>
      <c r="K1784" t="s">
        <v>132</v>
      </c>
      <c r="L1784" t="s">
        <v>33</v>
      </c>
      <c r="M1784" t="s">
        <v>5987</v>
      </c>
      <c r="N1784" t="s">
        <v>5988</v>
      </c>
      <c r="O1784" t="s">
        <v>5989</v>
      </c>
      <c r="P1784" s="2" t="s">
        <v>165</v>
      </c>
      <c r="Q1784" t="s">
        <v>641</v>
      </c>
      <c r="R1784">
        <v>0</v>
      </c>
      <c r="S1784">
        <v>21.59</v>
      </c>
      <c r="T1784" t="s">
        <v>167</v>
      </c>
    </row>
    <row r="1785" spans="1:20" x14ac:dyDescent="0.25">
      <c r="A1785" s="1" t="str">
        <f>HYPERLINK("https://vegkart.atlas.vegvesen.no/#/@290455.8,6655852.0,18/hva:hva%5B0%5D%5Bfilter%5D%5B0%5D%5Boperator%5D=%21%3D&amp;hva%5B0%5D%5Bfilter%5D%5B0%5D%5Btype_id%5D=4723&amp;hva%5B0%5D%5Bfilter%5D%5B0%5D%5Bverdi%5D=&amp;hva%5B0%5D%5Bid%5D=15/når:2011-07-01", "Vegkart")</f>
        <v>Vegkart</v>
      </c>
      <c r="B1785">
        <v>305912584</v>
      </c>
      <c r="C1785">
        <v>15</v>
      </c>
      <c r="D1785" t="s">
        <v>5814</v>
      </c>
      <c r="E1785">
        <v>4723</v>
      </c>
      <c r="F1785" t="s">
        <v>23479</v>
      </c>
      <c r="G1785">
        <v>1</v>
      </c>
      <c r="H1785" t="s">
        <v>5977</v>
      </c>
      <c r="J1785" t="s">
        <v>5978</v>
      </c>
      <c r="K1785" t="s">
        <v>132</v>
      </c>
      <c r="L1785" t="s">
        <v>33</v>
      </c>
      <c r="M1785" t="s">
        <v>5987</v>
      </c>
      <c r="N1785" t="s">
        <v>5990</v>
      </c>
      <c r="O1785" t="s">
        <v>5991</v>
      </c>
      <c r="P1785" s="2" t="s">
        <v>165</v>
      </c>
      <c r="Q1785" t="s">
        <v>641</v>
      </c>
      <c r="R1785">
        <v>0</v>
      </c>
      <c r="S1785">
        <v>258.56</v>
      </c>
      <c r="T1785" t="s">
        <v>167</v>
      </c>
    </row>
    <row r="1786" spans="1:20" x14ac:dyDescent="0.25">
      <c r="A1786" s="1" t="str">
        <f>HYPERLINK("https://vegkart.atlas.vegvesen.no/#/@290736.4,6655891.2,18/hva:hva%5B0%5D%5Bfilter%5D%5B0%5D%5Boperator%5D=%21%3D&amp;hva%5B0%5D%5Bfilter%5D%5B0%5D%5Btype_id%5D=4723&amp;hva%5B0%5D%5Bfilter%5D%5B0%5D%5Bverdi%5D=&amp;hva%5B0%5D%5Bid%5D=15/når:2011-07-01", "Vegkart")</f>
        <v>Vegkart</v>
      </c>
      <c r="B1786">
        <v>305912593</v>
      </c>
      <c r="C1786">
        <v>15</v>
      </c>
      <c r="D1786" t="s">
        <v>5814</v>
      </c>
      <c r="E1786">
        <v>4723</v>
      </c>
      <c r="F1786" t="s">
        <v>23479</v>
      </c>
      <c r="G1786">
        <v>1</v>
      </c>
      <c r="H1786" t="s">
        <v>5977</v>
      </c>
      <c r="J1786" t="s">
        <v>5978</v>
      </c>
      <c r="K1786" t="s">
        <v>132</v>
      </c>
      <c r="L1786" t="s">
        <v>33</v>
      </c>
      <c r="M1786" t="s">
        <v>5987</v>
      </c>
      <c r="N1786" t="s">
        <v>5992</v>
      </c>
      <c r="O1786" t="s">
        <v>5993</v>
      </c>
      <c r="P1786" s="2" t="s">
        <v>165</v>
      </c>
      <c r="Q1786" t="s">
        <v>641</v>
      </c>
      <c r="R1786">
        <v>0</v>
      </c>
      <c r="S1786">
        <v>139.44</v>
      </c>
      <c r="T1786" t="s">
        <v>167</v>
      </c>
    </row>
    <row r="1787" spans="1:20" x14ac:dyDescent="0.25">
      <c r="A1787" s="1" t="str">
        <f>HYPERLINK("https://vegkart.atlas.vegvesen.no/#/@302373.5,6648731.4,18/hva:hva%5B0%5D%5Bfilter%5D%5B0%5D%5Boperator%5D=%21%3D&amp;hva%5B0%5D%5Bfilter%5D%5B0%5D%5Btype_id%5D=4723&amp;hva%5B0%5D%5Bfilter%5D%5B0%5D%5Bverdi%5D=&amp;hva%5B0%5D%5Bid%5D=15/når:2011-07-01", "Vegkart")</f>
        <v>Vegkart</v>
      </c>
      <c r="B1787">
        <v>305912887</v>
      </c>
      <c r="C1787">
        <v>15</v>
      </c>
      <c r="D1787" t="s">
        <v>5814</v>
      </c>
      <c r="E1787">
        <v>4723</v>
      </c>
      <c r="F1787" t="s">
        <v>23479</v>
      </c>
      <c r="G1787">
        <v>1</v>
      </c>
      <c r="H1787" t="s">
        <v>5977</v>
      </c>
      <c r="J1787" t="s">
        <v>5978</v>
      </c>
      <c r="K1787" t="s">
        <v>132</v>
      </c>
      <c r="L1787" t="s">
        <v>33</v>
      </c>
      <c r="M1787" t="s">
        <v>2097</v>
      </c>
      <c r="N1787" t="s">
        <v>5994</v>
      </c>
      <c r="O1787" t="s">
        <v>5995</v>
      </c>
      <c r="P1787" s="2" t="s">
        <v>165</v>
      </c>
      <c r="Q1787" t="s">
        <v>641</v>
      </c>
      <c r="R1787">
        <v>0</v>
      </c>
      <c r="S1787">
        <v>230.25</v>
      </c>
      <c r="T1787" t="s">
        <v>167</v>
      </c>
    </row>
    <row r="1788" spans="1:20" x14ac:dyDescent="0.25">
      <c r="A1788" s="1" t="str">
        <f>HYPERLINK("https://vegkart.atlas.vegvesen.no/#/@303560.5,6615200.0,18/hva:hva%5B0%5D%5Bfilter%5D%5B0%5D%5Boperator%5D=%21%3D&amp;hva%5B0%5D%5Bfilter%5D%5B0%5D%5Btype_id%5D=4723&amp;hva%5B0%5D%5Bfilter%5D%5B0%5D%5Bverdi%5D=&amp;hva%5B0%5D%5Bid%5D=15/når:2011-07-01", "Vegkart")</f>
        <v>Vegkart</v>
      </c>
      <c r="B1788">
        <v>305912944</v>
      </c>
      <c r="C1788">
        <v>15</v>
      </c>
      <c r="D1788" t="s">
        <v>5814</v>
      </c>
      <c r="E1788">
        <v>4723</v>
      </c>
      <c r="F1788" t="s">
        <v>23479</v>
      </c>
      <c r="G1788">
        <v>1</v>
      </c>
      <c r="H1788" t="s">
        <v>5977</v>
      </c>
      <c r="J1788" t="s">
        <v>5978</v>
      </c>
      <c r="K1788" t="s">
        <v>132</v>
      </c>
      <c r="L1788" t="s">
        <v>33</v>
      </c>
      <c r="M1788" t="s">
        <v>5996</v>
      </c>
      <c r="N1788" t="s">
        <v>5997</v>
      </c>
      <c r="O1788" t="s">
        <v>5998</v>
      </c>
      <c r="P1788" s="2" t="s">
        <v>165</v>
      </c>
      <c r="Q1788" t="s">
        <v>641</v>
      </c>
      <c r="R1788">
        <v>0</v>
      </c>
      <c r="S1788">
        <v>80.81</v>
      </c>
      <c r="T1788" t="s">
        <v>167</v>
      </c>
    </row>
    <row r="1789" spans="1:20" x14ac:dyDescent="0.25">
      <c r="A1789" s="1" t="str">
        <f>HYPERLINK("https://vegkart.atlas.vegvesen.no/#/@301084.3,6649317.8,18/hva:hva%5B0%5D%5Bfilter%5D%5B0%5D%5Boperator%5D=%21%3D&amp;hva%5B0%5D%5Bfilter%5D%5B0%5D%5Btype_id%5D=4723&amp;hva%5B0%5D%5Bfilter%5D%5B0%5D%5Bverdi%5D=&amp;hva%5B0%5D%5Bid%5D=15/når:2012-01-01", "Vegkart")</f>
        <v>Vegkart</v>
      </c>
      <c r="B1789">
        <v>337543743</v>
      </c>
      <c r="C1789">
        <v>15</v>
      </c>
      <c r="D1789" t="s">
        <v>5814</v>
      </c>
      <c r="E1789">
        <v>4723</v>
      </c>
      <c r="F1789" t="s">
        <v>23479</v>
      </c>
      <c r="G1789">
        <v>1</v>
      </c>
      <c r="H1789" t="s">
        <v>5999</v>
      </c>
      <c r="J1789" t="s">
        <v>6000</v>
      </c>
      <c r="K1789" t="s">
        <v>132</v>
      </c>
      <c r="L1789" t="s">
        <v>33</v>
      </c>
      <c r="M1789" t="s">
        <v>6001</v>
      </c>
      <c r="N1789" t="s">
        <v>6002</v>
      </c>
      <c r="O1789" t="s">
        <v>6003</v>
      </c>
      <c r="P1789" s="2" t="s">
        <v>165</v>
      </c>
      <c r="Q1789" t="s">
        <v>641</v>
      </c>
      <c r="R1789">
        <v>0</v>
      </c>
      <c r="S1789">
        <v>273.37</v>
      </c>
      <c r="T1789" t="s">
        <v>167</v>
      </c>
    </row>
    <row r="1790" spans="1:20" x14ac:dyDescent="0.25">
      <c r="A1790" s="1" t="str">
        <f>HYPERLINK("https://vegkart.atlas.vegvesen.no/#/@301020.2,6649382.0,18/hva:hva%5B0%5D%5Bfilter%5D%5B0%5D%5Boperator%5D=%21%3D&amp;hva%5B0%5D%5Bfilter%5D%5B0%5D%5Btype_id%5D=4723&amp;hva%5B0%5D%5Bfilter%5D%5B0%5D%5Bverdi%5D=&amp;hva%5B0%5D%5Bid%5D=15/når:2012-01-01", "Vegkart")</f>
        <v>Vegkart</v>
      </c>
      <c r="B1790">
        <v>337543766</v>
      </c>
      <c r="C1790">
        <v>15</v>
      </c>
      <c r="D1790" t="s">
        <v>5814</v>
      </c>
      <c r="E1790">
        <v>4723</v>
      </c>
      <c r="F1790" t="s">
        <v>23479</v>
      </c>
      <c r="G1790">
        <v>1</v>
      </c>
      <c r="H1790" t="s">
        <v>5999</v>
      </c>
      <c r="J1790" t="s">
        <v>6000</v>
      </c>
      <c r="K1790" t="s">
        <v>132</v>
      </c>
      <c r="L1790" t="s">
        <v>33</v>
      </c>
      <c r="M1790" t="s">
        <v>6004</v>
      </c>
      <c r="N1790" t="s">
        <v>6005</v>
      </c>
      <c r="O1790" t="s">
        <v>6006</v>
      </c>
      <c r="P1790" s="2" t="s">
        <v>165</v>
      </c>
      <c r="Q1790" t="s">
        <v>641</v>
      </c>
      <c r="R1790">
        <v>0</v>
      </c>
      <c r="S1790">
        <v>286.83</v>
      </c>
      <c r="T1790" t="s">
        <v>167</v>
      </c>
    </row>
    <row r="1791" spans="1:20" x14ac:dyDescent="0.25">
      <c r="A1791" s="1" t="str">
        <f>HYPERLINK("https://vegkart.atlas.vegvesen.no/#/@301190.4,6648778.7,18/hva:hva%5B0%5D%5Bfilter%5D%5B0%5D%5Boperator%5D=%21%3D&amp;hva%5B0%5D%5Bfilter%5D%5B0%5D%5Btype_id%5D=4723&amp;hva%5B0%5D%5Bfilter%5D%5B0%5D%5Bverdi%5D=&amp;hva%5B0%5D%5Bid%5D=15/når:2012-01-01", "Vegkart")</f>
        <v>Vegkart</v>
      </c>
      <c r="B1791">
        <v>337543774</v>
      </c>
      <c r="C1791">
        <v>15</v>
      </c>
      <c r="D1791" t="s">
        <v>5814</v>
      </c>
      <c r="E1791">
        <v>4723</v>
      </c>
      <c r="F1791" t="s">
        <v>23479</v>
      </c>
      <c r="G1791">
        <v>1</v>
      </c>
      <c r="H1791" t="s">
        <v>5999</v>
      </c>
      <c r="J1791" t="s">
        <v>6000</v>
      </c>
      <c r="K1791" t="s">
        <v>132</v>
      </c>
      <c r="L1791" t="s">
        <v>33</v>
      </c>
      <c r="M1791" t="s">
        <v>6007</v>
      </c>
      <c r="N1791" t="s">
        <v>6008</v>
      </c>
      <c r="O1791" t="s">
        <v>6009</v>
      </c>
      <c r="P1791" s="2" t="s">
        <v>165</v>
      </c>
      <c r="Q1791" t="s">
        <v>641</v>
      </c>
      <c r="R1791">
        <v>0</v>
      </c>
      <c r="S1791">
        <v>65.17</v>
      </c>
      <c r="T1791" t="s">
        <v>167</v>
      </c>
    </row>
    <row r="1792" spans="1:20" x14ac:dyDescent="0.25">
      <c r="A1792" s="1" t="str">
        <f>HYPERLINK("https://vegkart.atlas.vegvesen.no/#/@301224.1,6648701.1,18/hva:hva%5B0%5D%5Bfilter%5D%5B0%5D%5Boperator%5D=%21%3D&amp;hva%5B0%5D%5Bfilter%5D%5B0%5D%5Btype_id%5D=4723&amp;hva%5B0%5D%5Bfilter%5D%5B0%5D%5Bverdi%5D=&amp;hva%5B0%5D%5Bid%5D=15/når:2012-01-01", "Vegkart")</f>
        <v>Vegkart</v>
      </c>
      <c r="B1792">
        <v>337543789</v>
      </c>
      <c r="C1792">
        <v>15</v>
      </c>
      <c r="D1792" t="s">
        <v>5814</v>
      </c>
      <c r="E1792">
        <v>4723</v>
      </c>
      <c r="F1792" t="s">
        <v>23479</v>
      </c>
      <c r="G1792">
        <v>1</v>
      </c>
      <c r="H1792" t="s">
        <v>5999</v>
      </c>
      <c r="J1792" t="s">
        <v>6000</v>
      </c>
      <c r="K1792" t="s">
        <v>132</v>
      </c>
      <c r="L1792" t="s">
        <v>33</v>
      </c>
      <c r="M1792" t="s">
        <v>6007</v>
      </c>
      <c r="N1792" t="s">
        <v>6010</v>
      </c>
      <c r="O1792" t="s">
        <v>6011</v>
      </c>
      <c r="P1792" s="2" t="s">
        <v>165</v>
      </c>
      <c r="Q1792" t="s">
        <v>641</v>
      </c>
      <c r="R1792">
        <v>0</v>
      </c>
      <c r="S1792">
        <v>83.36</v>
      </c>
      <c r="T1792" t="s">
        <v>167</v>
      </c>
    </row>
    <row r="1793" spans="1:20" x14ac:dyDescent="0.25">
      <c r="A1793" s="1" t="str">
        <f>HYPERLINK("https://vegkart.atlas.vegvesen.no/#/@301259.4,6648667.6,18/hva:hva%5B0%5D%5Bfilter%5D%5B0%5D%5Boperator%5D=%21%3D&amp;hva%5B0%5D%5Bfilter%5D%5B0%5D%5Btype_id%5D=4723&amp;hva%5B0%5D%5Bfilter%5D%5B0%5D%5Bverdi%5D=&amp;hva%5B0%5D%5Bid%5D=15/når:2012-01-01", "Vegkart")</f>
        <v>Vegkart</v>
      </c>
      <c r="B1793">
        <v>337543802</v>
      </c>
      <c r="C1793">
        <v>15</v>
      </c>
      <c r="D1793" t="s">
        <v>5814</v>
      </c>
      <c r="E1793">
        <v>4723</v>
      </c>
      <c r="F1793" t="s">
        <v>23479</v>
      </c>
      <c r="G1793">
        <v>1</v>
      </c>
      <c r="H1793" t="s">
        <v>5999</v>
      </c>
      <c r="J1793" t="s">
        <v>6000</v>
      </c>
      <c r="K1793" t="s">
        <v>132</v>
      </c>
      <c r="L1793" t="s">
        <v>33</v>
      </c>
      <c r="M1793" t="s">
        <v>6007</v>
      </c>
      <c r="N1793" t="s">
        <v>6012</v>
      </c>
      <c r="O1793" t="s">
        <v>6013</v>
      </c>
      <c r="P1793" s="2" t="s">
        <v>165</v>
      </c>
      <c r="Q1793" t="s">
        <v>641</v>
      </c>
      <c r="R1793">
        <v>0</v>
      </c>
      <c r="S1793">
        <v>174.19</v>
      </c>
      <c r="T1793" t="s">
        <v>167</v>
      </c>
    </row>
    <row r="1794" spans="1:20" x14ac:dyDescent="0.25">
      <c r="A1794" s="1" t="str">
        <f>HYPERLINK("https://vegkart.atlas.vegvesen.no/#/@301324.2,6648623.4,18/hva:hva%5B0%5D%5Bfilter%5D%5B0%5D%5Boperator%5D=%21%3D&amp;hva%5B0%5D%5Bfilter%5D%5B0%5D%5Btype_id%5D=4723&amp;hva%5B0%5D%5Bfilter%5D%5B0%5D%5Bverdi%5D=&amp;hva%5B0%5D%5Bid%5D=15/når:2012-01-01", "Vegkart")</f>
        <v>Vegkart</v>
      </c>
      <c r="B1794">
        <v>337543817</v>
      </c>
      <c r="C1794">
        <v>15</v>
      </c>
      <c r="D1794" t="s">
        <v>5814</v>
      </c>
      <c r="E1794">
        <v>4723</v>
      </c>
      <c r="F1794" t="s">
        <v>23479</v>
      </c>
      <c r="G1794">
        <v>1</v>
      </c>
      <c r="H1794" t="s">
        <v>5999</v>
      </c>
      <c r="J1794" t="s">
        <v>6000</v>
      </c>
      <c r="K1794" t="s">
        <v>132</v>
      </c>
      <c r="L1794" t="s">
        <v>33</v>
      </c>
      <c r="M1794" t="s">
        <v>6007</v>
      </c>
      <c r="N1794" t="s">
        <v>6014</v>
      </c>
      <c r="O1794" t="s">
        <v>6015</v>
      </c>
      <c r="P1794" s="2" t="s">
        <v>165</v>
      </c>
      <c r="Q1794" t="s">
        <v>641</v>
      </c>
      <c r="R1794">
        <v>0</v>
      </c>
      <c r="S1794">
        <v>153.04</v>
      </c>
      <c r="T1794" t="s">
        <v>167</v>
      </c>
    </row>
    <row r="1795" spans="1:20" x14ac:dyDescent="0.25">
      <c r="A1795" s="1" t="str">
        <f>HYPERLINK("https://vegkart.atlas.vegvesen.no/#/@301396.2,6648576.2,18/hva:hva%5B0%5D%5Bfilter%5D%5B0%5D%5Boperator%5D=%21%3D&amp;hva%5B0%5D%5Bfilter%5D%5B0%5D%5Btype_id%5D=4723&amp;hva%5B0%5D%5Bfilter%5D%5B0%5D%5Bverdi%5D=&amp;hva%5B0%5D%5Bid%5D=15/når:2012-01-01", "Vegkart")</f>
        <v>Vegkart</v>
      </c>
      <c r="B1795">
        <v>337543851</v>
      </c>
      <c r="C1795">
        <v>15</v>
      </c>
      <c r="D1795" t="s">
        <v>5814</v>
      </c>
      <c r="E1795">
        <v>4723</v>
      </c>
      <c r="F1795" t="s">
        <v>23479</v>
      </c>
      <c r="G1795">
        <v>1</v>
      </c>
      <c r="H1795" t="s">
        <v>5999</v>
      </c>
      <c r="J1795" t="s">
        <v>6000</v>
      </c>
      <c r="K1795" t="s">
        <v>132</v>
      </c>
      <c r="L1795" t="s">
        <v>33</v>
      </c>
      <c r="M1795" t="s">
        <v>6007</v>
      </c>
      <c r="N1795" t="s">
        <v>6016</v>
      </c>
      <c r="O1795" t="s">
        <v>6017</v>
      </c>
      <c r="P1795" s="2" t="s">
        <v>165</v>
      </c>
      <c r="Q1795" t="s">
        <v>641</v>
      </c>
      <c r="R1795">
        <v>0</v>
      </c>
      <c r="S1795">
        <v>343.91</v>
      </c>
      <c r="T1795" t="s">
        <v>167</v>
      </c>
    </row>
    <row r="1796" spans="1:20" x14ac:dyDescent="0.25">
      <c r="A1796" s="1" t="str">
        <f>HYPERLINK("https://vegkart.atlas.vegvesen.no/#/@304049.0,6670371.7,18/hva:hva%5B0%5D%5Bfilter%5D%5B0%5D%5Boperator%5D=%21%3D&amp;hva%5B0%5D%5Bfilter%5D%5B0%5D%5Btype_id%5D=4723&amp;hva%5B0%5D%5Bfilter%5D%5B0%5D%5Bverdi%5D=&amp;hva%5B0%5D%5Bid%5D=15/når:2012-01-01", "Vegkart")</f>
        <v>Vegkart</v>
      </c>
      <c r="B1796">
        <v>337543982</v>
      </c>
      <c r="C1796">
        <v>15</v>
      </c>
      <c r="D1796" t="s">
        <v>5814</v>
      </c>
      <c r="E1796">
        <v>4723</v>
      </c>
      <c r="F1796" t="s">
        <v>23479</v>
      </c>
      <c r="G1796">
        <v>1</v>
      </c>
      <c r="H1796" t="s">
        <v>5999</v>
      </c>
      <c r="J1796" t="s">
        <v>6018</v>
      </c>
      <c r="K1796" t="s">
        <v>132</v>
      </c>
      <c r="L1796" t="s">
        <v>33</v>
      </c>
      <c r="M1796" t="s">
        <v>6019</v>
      </c>
      <c r="N1796" t="s">
        <v>6020</v>
      </c>
      <c r="O1796" t="s">
        <v>6021</v>
      </c>
      <c r="P1796" s="2" t="s">
        <v>165</v>
      </c>
      <c r="Q1796" t="s">
        <v>641</v>
      </c>
      <c r="R1796">
        <v>0</v>
      </c>
      <c r="S1796">
        <v>1026.4100000000001</v>
      </c>
      <c r="T1796" t="s">
        <v>167</v>
      </c>
    </row>
    <row r="1797" spans="1:20" x14ac:dyDescent="0.25">
      <c r="A1797" s="1" t="str">
        <f>HYPERLINK("https://vegkart.atlas.vegvesen.no/#/@304243.5,6670548.7,18/hva:hva%5B0%5D%5Bfilter%5D%5B0%5D%5Boperator%5D=%21%3D&amp;hva%5B0%5D%5Bfilter%5D%5B0%5D%5Btype_id%5D=4723&amp;hva%5B0%5D%5Bfilter%5D%5B0%5D%5Bverdi%5D=&amp;hva%5B0%5D%5Bid%5D=15/når:2012-01-01", "Vegkart")</f>
        <v>Vegkart</v>
      </c>
      <c r="B1797">
        <v>337544012</v>
      </c>
      <c r="C1797">
        <v>15</v>
      </c>
      <c r="D1797" t="s">
        <v>5814</v>
      </c>
      <c r="E1797">
        <v>4723</v>
      </c>
      <c r="F1797" t="s">
        <v>23479</v>
      </c>
      <c r="G1797">
        <v>1</v>
      </c>
      <c r="H1797" t="s">
        <v>5999</v>
      </c>
      <c r="J1797" t="s">
        <v>6018</v>
      </c>
      <c r="K1797" t="s">
        <v>132</v>
      </c>
      <c r="L1797" t="s">
        <v>33</v>
      </c>
      <c r="M1797" t="s">
        <v>6019</v>
      </c>
      <c r="N1797" t="s">
        <v>6022</v>
      </c>
      <c r="O1797" t="s">
        <v>6023</v>
      </c>
      <c r="P1797" s="2" t="s">
        <v>165</v>
      </c>
      <c r="Q1797" t="s">
        <v>641</v>
      </c>
      <c r="R1797">
        <v>0</v>
      </c>
      <c r="S1797">
        <v>787.85</v>
      </c>
      <c r="T1797" t="s">
        <v>167</v>
      </c>
    </row>
    <row r="1798" spans="1:20" x14ac:dyDescent="0.25">
      <c r="A1798" s="1" t="str">
        <f>HYPERLINK("https://vegkart.atlas.vegvesen.no/#/@303644.7,6670195.1,18/hva:hva%5B0%5D%5Bfilter%5D%5B0%5D%5Boperator%5D=%21%3D&amp;hva%5B0%5D%5Bfilter%5D%5B0%5D%5Btype_id%5D=4723&amp;hva%5B0%5D%5Bfilter%5D%5B0%5D%5Bverdi%5D=&amp;hva%5B0%5D%5Bid%5D=15/når:2012-01-01", "Vegkart")</f>
        <v>Vegkart</v>
      </c>
      <c r="B1798">
        <v>337544038</v>
      </c>
      <c r="C1798">
        <v>15</v>
      </c>
      <c r="D1798" t="s">
        <v>5814</v>
      </c>
      <c r="E1798">
        <v>4723</v>
      </c>
      <c r="F1798" t="s">
        <v>23479</v>
      </c>
      <c r="G1798">
        <v>1</v>
      </c>
      <c r="H1798" t="s">
        <v>5999</v>
      </c>
      <c r="J1798" t="s">
        <v>6018</v>
      </c>
      <c r="K1798" t="s">
        <v>132</v>
      </c>
      <c r="L1798" t="s">
        <v>33</v>
      </c>
      <c r="M1798" t="s">
        <v>6019</v>
      </c>
      <c r="N1798" t="s">
        <v>6024</v>
      </c>
      <c r="O1798" t="s">
        <v>6025</v>
      </c>
      <c r="P1798" s="2" t="s">
        <v>165</v>
      </c>
      <c r="Q1798" t="s">
        <v>641</v>
      </c>
      <c r="R1798">
        <v>0</v>
      </c>
      <c r="S1798">
        <v>300.92</v>
      </c>
      <c r="T1798" t="s">
        <v>167</v>
      </c>
    </row>
    <row r="1799" spans="1:20" x14ac:dyDescent="0.25">
      <c r="A1799" s="1" t="str">
        <f>HYPERLINK("https://vegkart.atlas.vegvesen.no/#/@308316.1,6643544.2,18/hva:hva%5B0%5D%5Bfilter%5D%5B0%5D%5Boperator%5D=%21%3D&amp;hva%5B0%5D%5Bfilter%5D%5B0%5D%5Btype_id%5D=4723&amp;hva%5B0%5D%5Bfilter%5D%5B0%5D%5Bverdi%5D=&amp;hva%5B0%5D%5Bid%5D=15/når:2012-01-01", "Vegkart")</f>
        <v>Vegkart</v>
      </c>
      <c r="B1799">
        <v>337546651</v>
      </c>
      <c r="C1799">
        <v>15</v>
      </c>
      <c r="D1799" t="s">
        <v>5814</v>
      </c>
      <c r="E1799">
        <v>4723</v>
      </c>
      <c r="F1799" t="s">
        <v>23479</v>
      </c>
      <c r="G1799">
        <v>1</v>
      </c>
      <c r="H1799" t="s">
        <v>5999</v>
      </c>
      <c r="J1799" t="s">
        <v>6026</v>
      </c>
      <c r="K1799" t="s">
        <v>132</v>
      </c>
      <c r="L1799" t="s">
        <v>33</v>
      </c>
      <c r="M1799" t="s">
        <v>6027</v>
      </c>
      <c r="N1799" t="s">
        <v>6028</v>
      </c>
      <c r="O1799" t="s">
        <v>6029</v>
      </c>
      <c r="P1799" s="2" t="s">
        <v>165</v>
      </c>
      <c r="Q1799" t="s">
        <v>641</v>
      </c>
      <c r="R1799">
        <v>0</v>
      </c>
      <c r="S1799">
        <v>96.83</v>
      </c>
      <c r="T1799" t="s">
        <v>167</v>
      </c>
    </row>
    <row r="1800" spans="1:20" x14ac:dyDescent="0.25">
      <c r="A1800" s="1" t="str">
        <f>HYPERLINK("https://vegkart.atlas.vegvesen.no/#/@308324.6,6643597.1,18/hva:hva%5B0%5D%5Bfilter%5D%5B0%5D%5Boperator%5D=%21%3D&amp;hva%5B0%5D%5Bfilter%5D%5B0%5D%5Btype_id%5D=4723&amp;hva%5B0%5D%5Bfilter%5D%5B0%5D%5Bverdi%5D=&amp;hva%5B0%5D%5Bid%5D=15/når:2012-01-01", "Vegkart")</f>
        <v>Vegkart</v>
      </c>
      <c r="B1800">
        <v>337546672</v>
      </c>
      <c r="C1800">
        <v>15</v>
      </c>
      <c r="D1800" t="s">
        <v>5814</v>
      </c>
      <c r="E1800">
        <v>4723</v>
      </c>
      <c r="F1800" t="s">
        <v>23479</v>
      </c>
      <c r="G1800">
        <v>1</v>
      </c>
      <c r="H1800" t="s">
        <v>5999</v>
      </c>
      <c r="J1800" t="s">
        <v>6018</v>
      </c>
      <c r="K1800" t="s">
        <v>132</v>
      </c>
      <c r="L1800" t="s">
        <v>33</v>
      </c>
      <c r="M1800" t="s">
        <v>6030</v>
      </c>
      <c r="N1800" t="s">
        <v>6031</v>
      </c>
      <c r="O1800" t="s">
        <v>6032</v>
      </c>
      <c r="P1800" s="2" t="s">
        <v>165</v>
      </c>
      <c r="Q1800" t="s">
        <v>641</v>
      </c>
      <c r="R1800">
        <v>0</v>
      </c>
      <c r="S1800">
        <v>310.13</v>
      </c>
      <c r="T1800" t="s">
        <v>167</v>
      </c>
    </row>
    <row r="1801" spans="1:20" x14ac:dyDescent="0.25">
      <c r="A1801" s="1" t="str">
        <f>HYPERLINK("https://vegkart.atlas.vegvesen.no/#/@296309.7,7044205.4,18/hva:hva%5B0%5D%5Bfilter%5D%5B0%5D%5Boperator%5D=%21%3D&amp;hva%5B0%5D%5Bfilter%5D%5B0%5D%5Btype_id%5D=4723&amp;hva%5B0%5D%5Bfilter%5D%5B0%5D%5Bverdi%5D=&amp;hva%5B0%5D%5Bid%5D=15/når:2024-08-28", "Vegkart")</f>
        <v>Vegkart</v>
      </c>
      <c r="B1801">
        <v>348310999</v>
      </c>
      <c r="C1801">
        <v>15</v>
      </c>
      <c r="D1801" t="s">
        <v>5814</v>
      </c>
      <c r="E1801">
        <v>4723</v>
      </c>
      <c r="F1801" t="s">
        <v>23479</v>
      </c>
      <c r="G1801">
        <v>2</v>
      </c>
      <c r="H1801" t="s">
        <v>665</v>
      </c>
      <c r="J1801" t="s">
        <v>6033</v>
      </c>
      <c r="K1801" t="s">
        <v>192</v>
      </c>
      <c r="L1801" t="s">
        <v>80</v>
      </c>
      <c r="M1801" t="s">
        <v>105</v>
      </c>
      <c r="N1801" t="s">
        <v>6034</v>
      </c>
      <c r="O1801" t="s">
        <v>6035</v>
      </c>
      <c r="P1801" s="2" t="s">
        <v>37</v>
      </c>
      <c r="Q1801" t="s">
        <v>1208</v>
      </c>
      <c r="R1801">
        <v>2.5</v>
      </c>
      <c r="S1801">
        <v>219.51</v>
      </c>
      <c r="T1801" t="s">
        <v>6036</v>
      </c>
    </row>
    <row r="1802" spans="1:20" x14ac:dyDescent="0.25">
      <c r="A1802" s="1" t="str">
        <f>HYPERLINK("https://vegkart.atlas.vegvesen.no/#/@783048.6,7789536.0,18/hva:hva%5B0%5D%5Bfilter%5D%5B0%5D%5Boperator%5D=%21%3D&amp;hva%5B0%5D%5Bfilter%5D%5B0%5D%5Btype_id%5D=4723&amp;hva%5B0%5D%5Bfilter%5D%5B0%5D%5Bverdi%5D=&amp;hva%5B0%5D%5Bid%5D=15/når:2016-10-26", "Vegkart")</f>
        <v>Vegkart</v>
      </c>
      <c r="B1802">
        <v>363435366</v>
      </c>
      <c r="C1802">
        <v>15</v>
      </c>
      <c r="D1802" t="s">
        <v>5814</v>
      </c>
      <c r="E1802">
        <v>4723</v>
      </c>
      <c r="F1802" t="s">
        <v>23479</v>
      </c>
      <c r="G1802">
        <v>2</v>
      </c>
      <c r="H1802" t="s">
        <v>6037</v>
      </c>
      <c r="J1802" t="s">
        <v>6038</v>
      </c>
      <c r="K1802" t="s">
        <v>450</v>
      </c>
      <c r="L1802" t="s">
        <v>80</v>
      </c>
      <c r="M1802" t="s">
        <v>105</v>
      </c>
      <c r="N1802" t="s">
        <v>6039</v>
      </c>
      <c r="O1802" t="s">
        <v>6040</v>
      </c>
      <c r="P1802" s="2" t="s">
        <v>165</v>
      </c>
      <c r="Q1802" t="s">
        <v>641</v>
      </c>
      <c r="R1802">
        <v>44.42</v>
      </c>
      <c r="S1802">
        <v>162.61000000000001</v>
      </c>
      <c r="T1802" t="s">
        <v>167</v>
      </c>
    </row>
    <row r="1803" spans="1:20" x14ac:dyDescent="0.25">
      <c r="A1803" s="1" t="str">
        <f>HYPERLINK("https://vegkart.atlas.vegvesen.no/#/@246867.8,6638577.3,18/hva:hva%5B0%5D%5Bfilter%5D%5B0%5D%5Boperator%5D=%21%3D&amp;hva%5B0%5D%5Bfilter%5D%5B0%5D%5Btype_id%5D=4723&amp;hva%5B0%5D%5Bfilter%5D%5B0%5D%5Bverdi%5D=&amp;hva%5B0%5D%5Bid%5D=15/når:2012-07-01", "Vegkart")</f>
        <v>Vegkart</v>
      </c>
      <c r="B1803">
        <v>370011014</v>
      </c>
      <c r="C1803">
        <v>15</v>
      </c>
      <c r="D1803" t="s">
        <v>5814</v>
      </c>
      <c r="E1803">
        <v>4723</v>
      </c>
      <c r="F1803" t="s">
        <v>23479</v>
      </c>
      <c r="G1803">
        <v>1</v>
      </c>
      <c r="H1803" t="s">
        <v>6041</v>
      </c>
      <c r="J1803" t="s">
        <v>6038</v>
      </c>
      <c r="K1803" t="s">
        <v>132</v>
      </c>
      <c r="L1803" t="s">
        <v>33</v>
      </c>
      <c r="M1803" t="s">
        <v>6042</v>
      </c>
      <c r="N1803" t="s">
        <v>6043</v>
      </c>
      <c r="O1803" t="s">
        <v>6044</v>
      </c>
      <c r="P1803" s="2" t="s">
        <v>165</v>
      </c>
      <c r="Q1803" t="s">
        <v>641</v>
      </c>
      <c r="R1803">
        <v>0</v>
      </c>
      <c r="S1803">
        <v>205.94</v>
      </c>
      <c r="T1803" t="s">
        <v>167</v>
      </c>
    </row>
    <row r="1804" spans="1:20" x14ac:dyDescent="0.25">
      <c r="A1804" s="1" t="str">
        <f>HYPERLINK("https://vegkart.atlas.vegvesen.no/#/@255949.5,6649818.3,18/hva:hva%5B0%5D%5Bfilter%5D%5B0%5D%5Boperator%5D=%21%3D&amp;hva%5B0%5D%5Bfilter%5D%5B0%5D%5Btype_id%5D=4723&amp;hva%5B0%5D%5Bfilter%5D%5B0%5D%5Bverdi%5D=&amp;hva%5B0%5D%5Bid%5D=15/når:2012-07-01", "Vegkart")</f>
        <v>Vegkart</v>
      </c>
      <c r="B1804">
        <v>370045264</v>
      </c>
      <c r="C1804">
        <v>15</v>
      </c>
      <c r="D1804" t="s">
        <v>5814</v>
      </c>
      <c r="E1804">
        <v>4723</v>
      </c>
      <c r="F1804" t="s">
        <v>23479</v>
      </c>
      <c r="G1804">
        <v>1</v>
      </c>
      <c r="H1804" t="s">
        <v>6041</v>
      </c>
      <c r="J1804" t="s">
        <v>6038</v>
      </c>
      <c r="K1804" t="s">
        <v>132</v>
      </c>
      <c r="L1804" t="s">
        <v>80</v>
      </c>
      <c r="M1804" t="s">
        <v>53</v>
      </c>
      <c r="N1804" t="s">
        <v>6045</v>
      </c>
      <c r="O1804" t="s">
        <v>6046</v>
      </c>
      <c r="P1804" s="2" t="s">
        <v>165</v>
      </c>
      <c r="Q1804" t="s">
        <v>641</v>
      </c>
      <c r="R1804">
        <v>0</v>
      </c>
      <c r="S1804">
        <v>106.01</v>
      </c>
      <c r="T1804" t="s">
        <v>167</v>
      </c>
    </row>
    <row r="1805" spans="1:20" x14ac:dyDescent="0.25">
      <c r="A1805" s="1" t="str">
        <f>HYPERLINK("https://vegkart.atlas.vegvesen.no/#/@247050.2,6649836.9,18/hva:hva%5B0%5D%5Bfilter%5D%5B0%5D%5Boperator%5D=%21%3D&amp;hva%5B0%5D%5Bfilter%5D%5B0%5D%5Btype_id%5D=4723&amp;hva%5B0%5D%5Bfilter%5D%5B0%5D%5Bverdi%5D=&amp;hva%5B0%5D%5Bid%5D=15/når:2012-07-01", "Vegkart")</f>
        <v>Vegkart</v>
      </c>
      <c r="B1805">
        <v>370048932</v>
      </c>
      <c r="C1805">
        <v>15</v>
      </c>
      <c r="D1805" t="s">
        <v>5814</v>
      </c>
      <c r="E1805">
        <v>4723</v>
      </c>
      <c r="F1805" t="s">
        <v>23479</v>
      </c>
      <c r="G1805">
        <v>1</v>
      </c>
      <c r="H1805" t="s">
        <v>6041</v>
      </c>
      <c r="J1805" t="s">
        <v>6047</v>
      </c>
      <c r="K1805" t="s">
        <v>132</v>
      </c>
      <c r="L1805" t="s">
        <v>33</v>
      </c>
      <c r="M1805" t="s">
        <v>6048</v>
      </c>
      <c r="N1805" t="s">
        <v>6049</v>
      </c>
      <c r="O1805" t="s">
        <v>6050</v>
      </c>
      <c r="P1805" s="2" t="s">
        <v>165</v>
      </c>
      <c r="Q1805" t="s">
        <v>641</v>
      </c>
      <c r="R1805">
        <v>0</v>
      </c>
      <c r="S1805">
        <v>59.02</v>
      </c>
      <c r="T1805" t="s">
        <v>167</v>
      </c>
    </row>
    <row r="1806" spans="1:20" x14ac:dyDescent="0.25">
      <c r="A1806" s="1" t="str">
        <f>HYPERLINK("https://vegkart.atlas.vegvesen.no/#/@249924.0,6647691.3,18/hva:hva%5B0%5D%5Bfilter%5D%5B0%5D%5Boperator%5D=%21%3D&amp;hva%5B0%5D%5Bfilter%5D%5B0%5D%5Btype_id%5D=4723&amp;hva%5B0%5D%5Bfilter%5D%5B0%5D%5Bverdi%5D=&amp;hva%5B0%5D%5Bid%5D=15/når:2012-07-01", "Vegkart")</f>
        <v>Vegkart</v>
      </c>
      <c r="B1806">
        <v>370071841</v>
      </c>
      <c r="C1806">
        <v>15</v>
      </c>
      <c r="D1806" t="s">
        <v>5814</v>
      </c>
      <c r="E1806">
        <v>4723</v>
      </c>
      <c r="F1806" t="s">
        <v>23479</v>
      </c>
      <c r="G1806">
        <v>1</v>
      </c>
      <c r="H1806" t="s">
        <v>6041</v>
      </c>
      <c r="J1806" t="s">
        <v>6051</v>
      </c>
      <c r="K1806" t="s">
        <v>132</v>
      </c>
      <c r="L1806" t="s">
        <v>33</v>
      </c>
      <c r="M1806" t="s">
        <v>6052</v>
      </c>
      <c r="N1806" t="s">
        <v>6053</v>
      </c>
      <c r="O1806" t="s">
        <v>6054</v>
      </c>
      <c r="P1806" s="2" t="s">
        <v>165</v>
      </c>
      <c r="Q1806" t="s">
        <v>641</v>
      </c>
      <c r="R1806">
        <v>0</v>
      </c>
      <c r="S1806">
        <v>695.4</v>
      </c>
      <c r="T1806" t="s">
        <v>167</v>
      </c>
    </row>
    <row r="1807" spans="1:20" x14ac:dyDescent="0.25">
      <c r="A1807" s="1" t="str">
        <f>HYPERLINK("https://vegkart.atlas.vegvesen.no/#/@248351.1,6650785.9,18/hva:hva%5B0%5D%5Bfilter%5D%5B0%5D%5Boperator%5D=%21%3D&amp;hva%5B0%5D%5Bfilter%5D%5B0%5D%5Btype_id%5D=4723&amp;hva%5B0%5D%5Bfilter%5D%5B0%5D%5Bverdi%5D=&amp;hva%5B0%5D%5Bid%5D=15/når:2017-10-26", "Vegkart")</f>
        <v>Vegkart</v>
      </c>
      <c r="B1807">
        <v>370090597</v>
      </c>
      <c r="C1807">
        <v>15</v>
      </c>
      <c r="D1807" t="s">
        <v>5814</v>
      </c>
      <c r="E1807">
        <v>4723</v>
      </c>
      <c r="F1807" t="s">
        <v>23479</v>
      </c>
      <c r="G1807">
        <v>2</v>
      </c>
      <c r="H1807" t="s">
        <v>6055</v>
      </c>
      <c r="J1807" t="s">
        <v>6047</v>
      </c>
      <c r="K1807" t="s">
        <v>132</v>
      </c>
      <c r="L1807" t="s">
        <v>33</v>
      </c>
      <c r="M1807" t="s">
        <v>6056</v>
      </c>
      <c r="N1807" t="s">
        <v>6057</v>
      </c>
      <c r="O1807" t="s">
        <v>6058</v>
      </c>
      <c r="P1807" s="2" t="s">
        <v>165</v>
      </c>
      <c r="Q1807" t="s">
        <v>641</v>
      </c>
      <c r="R1807">
        <v>0</v>
      </c>
      <c r="S1807">
        <v>537.66999999999996</v>
      </c>
      <c r="T1807" t="s">
        <v>167</v>
      </c>
    </row>
    <row r="1808" spans="1:20" x14ac:dyDescent="0.25">
      <c r="A1808" s="1" t="str">
        <f>HYPERLINK("https://vegkart.atlas.vegvesen.no/#/@251013.8,6648012.4,18/hva:hva%5B0%5D%5Bfilter%5D%5B0%5D%5Boperator%5D=%21%3D&amp;hva%5B0%5D%5Bfilter%5D%5B0%5D%5Btype_id%5D=4723&amp;hva%5B0%5D%5Bfilter%5D%5B0%5D%5Bverdi%5D=&amp;hva%5B0%5D%5Bid%5D=15/når:2017-10-26", "Vegkart")</f>
        <v>Vegkart</v>
      </c>
      <c r="B1808">
        <v>370100483</v>
      </c>
      <c r="C1808">
        <v>15</v>
      </c>
      <c r="D1808" t="s">
        <v>5814</v>
      </c>
      <c r="E1808">
        <v>4723</v>
      </c>
      <c r="F1808" t="s">
        <v>23479</v>
      </c>
      <c r="G1808">
        <v>2</v>
      </c>
      <c r="H1808" t="s">
        <v>6055</v>
      </c>
      <c r="J1808" t="s">
        <v>6051</v>
      </c>
      <c r="K1808" t="s">
        <v>132</v>
      </c>
      <c r="L1808" t="s">
        <v>80</v>
      </c>
      <c r="M1808" t="s">
        <v>53</v>
      </c>
      <c r="N1808" t="s">
        <v>6059</v>
      </c>
      <c r="O1808" t="s">
        <v>6060</v>
      </c>
      <c r="P1808" s="2" t="s">
        <v>165</v>
      </c>
      <c r="Q1808" t="s">
        <v>641</v>
      </c>
      <c r="R1808">
        <v>0</v>
      </c>
      <c r="S1808">
        <v>340.41</v>
      </c>
      <c r="T1808" t="s">
        <v>167</v>
      </c>
    </row>
    <row r="1809" spans="1:20" x14ac:dyDescent="0.25">
      <c r="A1809" s="1" t="str">
        <f>HYPERLINK("https://vegkart.atlas.vegvesen.no/#/@33451.3,6474396.4,18/hva:hva%5B0%5D%5Bfilter%5D%5B0%5D%5Boperator%5D=%21%3D&amp;hva%5B0%5D%5Bfilter%5D%5B0%5D%5Btype_id%5D=4723&amp;hva%5B0%5D%5Bfilter%5D%5B0%5D%5Bverdi%5D=&amp;hva%5B0%5D%5Bid%5D=15/når:2013-03-21", "Vegkart")</f>
        <v>Vegkart</v>
      </c>
      <c r="B1809">
        <v>376909499</v>
      </c>
      <c r="C1809">
        <v>15</v>
      </c>
      <c r="D1809" t="s">
        <v>5814</v>
      </c>
      <c r="E1809">
        <v>4723</v>
      </c>
      <c r="F1809" t="s">
        <v>23479</v>
      </c>
      <c r="G1809">
        <v>1</v>
      </c>
      <c r="H1809" t="s">
        <v>6061</v>
      </c>
      <c r="J1809" t="s">
        <v>6062</v>
      </c>
      <c r="K1809" t="s">
        <v>86</v>
      </c>
      <c r="L1809" t="s">
        <v>80</v>
      </c>
      <c r="M1809" t="s">
        <v>81</v>
      </c>
      <c r="N1809" t="s">
        <v>6063</v>
      </c>
      <c r="O1809" t="s">
        <v>6064</v>
      </c>
      <c r="P1809" s="2" t="s">
        <v>165</v>
      </c>
      <c r="Q1809" t="s">
        <v>641</v>
      </c>
      <c r="R1809">
        <v>0</v>
      </c>
      <c r="S1809">
        <v>274.76</v>
      </c>
      <c r="T1809" t="s">
        <v>167</v>
      </c>
    </row>
    <row r="1810" spans="1:20" x14ac:dyDescent="0.25">
      <c r="A1810" s="1" t="str">
        <f>HYPERLINK("https://vegkart.atlas.vegvesen.no/#/@185168.7,6620501.1,18/hva:hva%5B0%5D%5Bfilter%5D%5B0%5D%5Boperator%5D=%21%3D&amp;hva%5B0%5D%5Bfilter%5D%5B0%5D%5Btype_id%5D=4723&amp;hva%5B0%5D%5Bfilter%5D%5B0%5D%5Bverdi%5D=&amp;hva%5B0%5D%5Bid%5D=15/når:2018-09-24", "Vegkart")</f>
        <v>Vegkart</v>
      </c>
      <c r="B1810">
        <v>392952186</v>
      </c>
      <c r="C1810">
        <v>15</v>
      </c>
      <c r="D1810" t="s">
        <v>5814</v>
      </c>
      <c r="E1810">
        <v>4723</v>
      </c>
      <c r="F1810" t="s">
        <v>23479</v>
      </c>
      <c r="G1810">
        <v>2</v>
      </c>
      <c r="H1810" t="s">
        <v>5006</v>
      </c>
      <c r="J1810" t="s">
        <v>6062</v>
      </c>
      <c r="K1810" t="s">
        <v>197</v>
      </c>
      <c r="L1810" t="s">
        <v>80</v>
      </c>
      <c r="M1810" t="s">
        <v>645</v>
      </c>
      <c r="N1810" t="s">
        <v>6065</v>
      </c>
      <c r="O1810" t="s">
        <v>6066</v>
      </c>
      <c r="P1810" s="2" t="s">
        <v>165</v>
      </c>
      <c r="Q1810" t="s">
        <v>641</v>
      </c>
      <c r="R1810">
        <v>0</v>
      </c>
      <c r="S1810">
        <v>166.4</v>
      </c>
      <c r="T1810" t="s">
        <v>167</v>
      </c>
    </row>
    <row r="1811" spans="1:20" x14ac:dyDescent="0.25">
      <c r="A1811" s="1" t="str">
        <f>HYPERLINK("https://vegkart.atlas.vegvesen.no/#/@296493.1,7044147.0,18/hva:hva%5B0%5D%5Bfilter%5D%5B0%5D%5Boperator%5D=%21%3D&amp;hva%5B0%5D%5Bfilter%5D%5B0%5D%5Btype_id%5D=4723&amp;hva%5B0%5D%5Bfilter%5D%5B0%5D%5Bverdi%5D=&amp;hva%5B0%5D%5Bid%5D=15/når:2024-08-28", "Vegkart")</f>
        <v>Vegkart</v>
      </c>
      <c r="B1811">
        <v>423695533</v>
      </c>
      <c r="C1811">
        <v>15</v>
      </c>
      <c r="D1811" t="s">
        <v>5814</v>
      </c>
      <c r="E1811">
        <v>4723</v>
      </c>
      <c r="F1811" t="s">
        <v>23479</v>
      </c>
      <c r="G1811">
        <v>3</v>
      </c>
      <c r="H1811" t="s">
        <v>665</v>
      </c>
      <c r="J1811" t="s">
        <v>6067</v>
      </c>
      <c r="K1811" t="s">
        <v>192</v>
      </c>
      <c r="L1811" t="s">
        <v>80</v>
      </c>
      <c r="M1811" t="s">
        <v>2436</v>
      </c>
      <c r="N1811" t="s">
        <v>6068</v>
      </c>
      <c r="O1811" t="s">
        <v>6069</v>
      </c>
      <c r="P1811" s="2" t="s">
        <v>37</v>
      </c>
      <c r="Q1811" t="s">
        <v>1208</v>
      </c>
      <c r="R1811">
        <v>0</v>
      </c>
      <c r="S1811">
        <v>115.62</v>
      </c>
      <c r="T1811" t="s">
        <v>6070</v>
      </c>
    </row>
    <row r="1812" spans="1:20" x14ac:dyDescent="0.25">
      <c r="A1812" s="1" t="str">
        <f>HYPERLINK("https://vegkart.atlas.vegvesen.no/#/@296640.3,7044100.4,18/hva:hva%5B0%5D%5Bfilter%5D%5B0%5D%5Boperator%5D=%21%3D&amp;hva%5B0%5D%5Bfilter%5D%5B0%5D%5Btype_id%5D=4723&amp;hva%5B0%5D%5Bfilter%5D%5B0%5D%5Bverdi%5D=&amp;hva%5B0%5D%5Bid%5D=15/når:2024-08-28", "Vegkart")</f>
        <v>Vegkart</v>
      </c>
      <c r="B1812">
        <v>423695537</v>
      </c>
      <c r="C1812">
        <v>15</v>
      </c>
      <c r="D1812" t="s">
        <v>5814</v>
      </c>
      <c r="E1812">
        <v>4723</v>
      </c>
      <c r="F1812" t="s">
        <v>23479</v>
      </c>
      <c r="G1812">
        <v>3</v>
      </c>
      <c r="H1812" t="s">
        <v>665</v>
      </c>
      <c r="J1812" t="s">
        <v>6067</v>
      </c>
      <c r="K1812" t="s">
        <v>192</v>
      </c>
      <c r="L1812" t="s">
        <v>80</v>
      </c>
      <c r="M1812" t="s">
        <v>2436</v>
      </c>
      <c r="N1812" t="s">
        <v>6071</v>
      </c>
      <c r="O1812" t="s">
        <v>6072</v>
      </c>
      <c r="P1812" s="2" t="s">
        <v>37</v>
      </c>
      <c r="Q1812" t="s">
        <v>1208</v>
      </c>
      <c r="R1812">
        <v>0</v>
      </c>
      <c r="S1812">
        <v>135.22</v>
      </c>
      <c r="T1812" t="s">
        <v>6073</v>
      </c>
    </row>
    <row r="1813" spans="1:20" x14ac:dyDescent="0.25">
      <c r="A1813" s="1" t="str">
        <f>HYPERLINK("https://vegkart.atlas.vegvesen.no/#/@296520.7,7044084.5,18/hva:hva%5B0%5D%5Bfilter%5D%5B0%5D%5Boperator%5D=%21%3D&amp;hva%5B0%5D%5Bfilter%5D%5B0%5D%5Btype_id%5D=4723&amp;hva%5B0%5D%5Bfilter%5D%5B0%5D%5Bverdi%5D=&amp;hva%5B0%5D%5Bid%5D=15/når:2024-08-28", "Vegkart")</f>
        <v>Vegkart</v>
      </c>
      <c r="B1813">
        <v>423695538</v>
      </c>
      <c r="C1813">
        <v>15</v>
      </c>
      <c r="D1813" t="s">
        <v>5814</v>
      </c>
      <c r="E1813">
        <v>4723</v>
      </c>
      <c r="F1813" t="s">
        <v>23479</v>
      </c>
      <c r="G1813">
        <v>3</v>
      </c>
      <c r="H1813" t="s">
        <v>665</v>
      </c>
      <c r="J1813" t="s">
        <v>6067</v>
      </c>
      <c r="K1813" t="s">
        <v>192</v>
      </c>
      <c r="L1813" t="s">
        <v>80</v>
      </c>
      <c r="M1813" t="s">
        <v>2436</v>
      </c>
      <c r="N1813" t="s">
        <v>6068</v>
      </c>
      <c r="O1813" t="s">
        <v>6074</v>
      </c>
      <c r="P1813" s="2" t="s">
        <v>37</v>
      </c>
      <c r="Q1813" t="s">
        <v>1208</v>
      </c>
      <c r="R1813">
        <v>0</v>
      </c>
      <c r="S1813">
        <v>112.99</v>
      </c>
      <c r="T1813" t="s">
        <v>6075</v>
      </c>
    </row>
    <row r="1814" spans="1:20" x14ac:dyDescent="0.25">
      <c r="A1814" s="1" t="str">
        <f>HYPERLINK("https://vegkart.atlas.vegvesen.no/#/@296465.6,7044091.6,18/hva:hva%5B0%5D%5Bfilter%5D%5B0%5D%5Boperator%5D=%21%3D&amp;hva%5B0%5D%5Bfilter%5D%5B0%5D%5Btype_id%5D=4723&amp;hva%5B0%5D%5Bfilter%5D%5B0%5D%5Bverdi%5D=&amp;hva%5B0%5D%5Bid%5D=15/når:2024-08-28", "Vegkart")</f>
        <v>Vegkart</v>
      </c>
      <c r="B1814">
        <v>423695539</v>
      </c>
      <c r="C1814">
        <v>15</v>
      </c>
      <c r="D1814" t="s">
        <v>5814</v>
      </c>
      <c r="E1814">
        <v>4723</v>
      </c>
      <c r="F1814" t="s">
        <v>23479</v>
      </c>
      <c r="G1814">
        <v>3</v>
      </c>
      <c r="H1814" t="s">
        <v>665</v>
      </c>
      <c r="J1814" t="s">
        <v>6067</v>
      </c>
      <c r="K1814" t="s">
        <v>192</v>
      </c>
      <c r="L1814" t="s">
        <v>80</v>
      </c>
      <c r="M1814" t="s">
        <v>2436</v>
      </c>
      <c r="N1814" t="s">
        <v>6068</v>
      </c>
      <c r="O1814" t="s">
        <v>6076</v>
      </c>
      <c r="P1814" s="2" t="s">
        <v>37</v>
      </c>
      <c r="Q1814" t="s">
        <v>1208</v>
      </c>
      <c r="R1814">
        <v>0</v>
      </c>
      <c r="S1814">
        <v>199.09</v>
      </c>
      <c r="T1814" t="s">
        <v>6077</v>
      </c>
    </row>
    <row r="1815" spans="1:20" x14ac:dyDescent="0.25">
      <c r="A1815" s="1" t="str">
        <f>HYPERLINK("https://vegkart.atlas.vegvesen.no/#/@217252.8,6560102.7,18/hva:hva%5B0%5D%5Bfilter%5D%5B0%5D%5Boperator%5D=%21%3D&amp;hva%5B0%5D%5Bfilter%5D%5B0%5D%5Btype_id%5D=4723&amp;hva%5B0%5D%5Bfilter%5D%5B0%5D%5Bverdi%5D=&amp;hva%5B0%5D%5Bid%5D=15/når:2013-07-18", "Vegkart")</f>
        <v>Vegkart</v>
      </c>
      <c r="B1815">
        <v>424869218</v>
      </c>
      <c r="C1815">
        <v>15</v>
      </c>
      <c r="D1815" t="s">
        <v>5814</v>
      </c>
      <c r="E1815">
        <v>4723</v>
      </c>
      <c r="F1815" t="s">
        <v>23479</v>
      </c>
      <c r="G1815">
        <v>1</v>
      </c>
      <c r="H1815" t="s">
        <v>6078</v>
      </c>
      <c r="J1815" t="s">
        <v>6067</v>
      </c>
      <c r="K1815" t="s">
        <v>81</v>
      </c>
      <c r="L1815" t="s">
        <v>80</v>
      </c>
      <c r="M1815" t="s">
        <v>53</v>
      </c>
      <c r="N1815" t="s">
        <v>6079</v>
      </c>
      <c r="O1815" t="s">
        <v>6080</v>
      </c>
      <c r="P1815" s="2" t="s">
        <v>165</v>
      </c>
      <c r="Q1815" t="s">
        <v>641</v>
      </c>
      <c r="R1815">
        <v>0</v>
      </c>
      <c r="S1815">
        <v>425</v>
      </c>
      <c r="T1815" t="s">
        <v>167</v>
      </c>
    </row>
    <row r="1816" spans="1:20" x14ac:dyDescent="0.25">
      <c r="A1816" s="1" t="str">
        <f>HYPERLINK("https://vegkart.atlas.vegvesen.no/#/@208518.8,6559381.6,18/hva:hva%5B0%5D%5Bfilter%5D%5B0%5D%5Boperator%5D=%21%3D&amp;hva%5B0%5D%5Bfilter%5D%5B0%5D%5Btype_id%5D=4723&amp;hva%5B0%5D%5Bfilter%5D%5B0%5D%5Bverdi%5D=&amp;hva%5B0%5D%5Bid%5D=15/når:2013-07-18", "Vegkart")</f>
        <v>Vegkart</v>
      </c>
      <c r="B1816">
        <v>424869367</v>
      </c>
      <c r="C1816">
        <v>15</v>
      </c>
      <c r="D1816" t="s">
        <v>5814</v>
      </c>
      <c r="E1816">
        <v>4723</v>
      </c>
      <c r="F1816" t="s">
        <v>23479</v>
      </c>
      <c r="G1816">
        <v>1</v>
      </c>
      <c r="H1816" t="s">
        <v>6078</v>
      </c>
      <c r="J1816" t="s">
        <v>6067</v>
      </c>
      <c r="K1816" t="s">
        <v>81</v>
      </c>
      <c r="L1816" t="s">
        <v>80</v>
      </c>
      <c r="M1816" t="s">
        <v>53</v>
      </c>
      <c r="N1816" t="s">
        <v>6081</v>
      </c>
      <c r="O1816" t="s">
        <v>6082</v>
      </c>
      <c r="P1816" s="2" t="s">
        <v>165</v>
      </c>
      <c r="Q1816" t="s">
        <v>641</v>
      </c>
      <c r="R1816">
        <v>0</v>
      </c>
      <c r="S1816">
        <v>176.27</v>
      </c>
      <c r="T1816" t="s">
        <v>167</v>
      </c>
    </row>
    <row r="1817" spans="1:20" x14ac:dyDescent="0.25">
      <c r="A1817" s="1" t="str">
        <f>HYPERLINK("https://vegkart.atlas.vegvesen.no/#/@208489.2,6559390.1,18/hva:hva%5B0%5D%5Bfilter%5D%5B0%5D%5Boperator%5D=%21%3D&amp;hva%5B0%5D%5Bfilter%5D%5B0%5D%5Btype_id%5D=4723&amp;hva%5B0%5D%5Bfilter%5D%5B0%5D%5Bverdi%5D=&amp;hva%5B0%5D%5Bid%5D=15/når:2013-07-18", "Vegkart")</f>
        <v>Vegkart</v>
      </c>
      <c r="B1817">
        <v>424869368</v>
      </c>
      <c r="C1817">
        <v>15</v>
      </c>
      <c r="D1817" t="s">
        <v>5814</v>
      </c>
      <c r="E1817">
        <v>4723</v>
      </c>
      <c r="F1817" t="s">
        <v>23479</v>
      </c>
      <c r="G1817">
        <v>1</v>
      </c>
      <c r="H1817" t="s">
        <v>6078</v>
      </c>
      <c r="J1817" t="s">
        <v>6067</v>
      </c>
      <c r="K1817" t="s">
        <v>81</v>
      </c>
      <c r="L1817" t="s">
        <v>80</v>
      </c>
      <c r="M1817" t="s">
        <v>53</v>
      </c>
      <c r="N1817" t="s">
        <v>6083</v>
      </c>
      <c r="O1817" t="s">
        <v>6084</v>
      </c>
      <c r="P1817" s="2" t="s">
        <v>165</v>
      </c>
      <c r="Q1817" t="s">
        <v>641</v>
      </c>
      <c r="R1817">
        <v>0</v>
      </c>
      <c r="S1817">
        <v>145.32</v>
      </c>
      <c r="T1817" t="s">
        <v>167</v>
      </c>
    </row>
    <row r="1818" spans="1:20" x14ac:dyDescent="0.25">
      <c r="A1818" s="1" t="str">
        <f>HYPERLINK("https://vegkart.atlas.vegvesen.no/#/@208629.9,6559216.1,18/hva:hva%5B0%5D%5Bfilter%5D%5B0%5D%5Boperator%5D=%21%3D&amp;hva%5B0%5D%5Bfilter%5D%5B0%5D%5Btype_id%5D=4723&amp;hva%5B0%5D%5Bfilter%5D%5B0%5D%5Bverdi%5D=&amp;hva%5B0%5D%5Bid%5D=15/når:2013-07-18", "Vegkart")</f>
        <v>Vegkart</v>
      </c>
      <c r="B1818">
        <v>424869371</v>
      </c>
      <c r="C1818">
        <v>15</v>
      </c>
      <c r="D1818" t="s">
        <v>5814</v>
      </c>
      <c r="E1818">
        <v>4723</v>
      </c>
      <c r="F1818" t="s">
        <v>23479</v>
      </c>
      <c r="G1818">
        <v>1</v>
      </c>
      <c r="H1818" t="s">
        <v>6078</v>
      </c>
      <c r="J1818" t="s">
        <v>6085</v>
      </c>
      <c r="K1818" t="s">
        <v>81</v>
      </c>
      <c r="L1818" t="s">
        <v>80</v>
      </c>
      <c r="M1818" t="s">
        <v>53</v>
      </c>
      <c r="N1818" t="s">
        <v>6086</v>
      </c>
      <c r="O1818" t="s">
        <v>6087</v>
      </c>
      <c r="P1818" s="2" t="s">
        <v>165</v>
      </c>
      <c r="Q1818" t="s">
        <v>641</v>
      </c>
      <c r="R1818">
        <v>0</v>
      </c>
      <c r="S1818">
        <v>162.05000000000001</v>
      </c>
      <c r="T1818" t="s">
        <v>167</v>
      </c>
    </row>
    <row r="1819" spans="1:20" x14ac:dyDescent="0.25">
      <c r="A1819" s="1" t="str">
        <f>HYPERLINK("https://vegkart.atlas.vegvesen.no/#/@424206.5,7390542.3,18/hva:hva%5B0%5D%5Bfilter%5D%5B0%5D%5Boperator%5D=%21%3D&amp;hva%5B0%5D%5Bfilter%5D%5B0%5D%5Btype_id%5D=4723&amp;hva%5B0%5D%5Bfilter%5D%5B0%5D%5Bverdi%5D=&amp;hva%5B0%5D%5Bid%5D=15/når:2025-12-18", "Vegkart")</f>
        <v>Vegkart</v>
      </c>
      <c r="B1819">
        <v>460598942</v>
      </c>
      <c r="C1819">
        <v>15</v>
      </c>
      <c r="D1819" t="s">
        <v>5814</v>
      </c>
      <c r="E1819">
        <v>4723</v>
      </c>
      <c r="F1819" t="s">
        <v>23479</v>
      </c>
      <c r="G1819">
        <v>2</v>
      </c>
      <c r="H1819" t="s">
        <v>6088</v>
      </c>
      <c r="J1819" t="s">
        <v>6089</v>
      </c>
      <c r="K1819" t="s">
        <v>53</v>
      </c>
      <c r="L1819" t="s">
        <v>33</v>
      </c>
      <c r="M1819" t="s">
        <v>473</v>
      </c>
      <c r="N1819" t="s">
        <v>6090</v>
      </c>
      <c r="O1819" t="s">
        <v>6091</v>
      </c>
      <c r="P1819" s="2" t="s">
        <v>67</v>
      </c>
      <c r="Q1819" t="s">
        <v>68</v>
      </c>
      <c r="R1819">
        <v>86.28</v>
      </c>
      <c r="S1819">
        <v>86.28</v>
      </c>
      <c r="T1819" t="s">
        <v>6092</v>
      </c>
    </row>
    <row r="1820" spans="1:20" x14ac:dyDescent="0.25">
      <c r="A1820" s="1" t="str">
        <f>HYPERLINK("https://vegkart.atlas.vegvesen.no/#/@68146.8,6956879.4,18/hva:hva%5B0%5D%5Bfilter%5D%5B0%5D%5Boperator%5D=%21%3D&amp;hva%5B0%5D%5Bfilter%5D%5B0%5D%5Btype_id%5D=4723&amp;hva%5B0%5D%5Bfilter%5D%5B0%5D%5Bverdi%5D=&amp;hva%5B0%5D%5Bid%5D=15/når:2018-09-20", "Vegkart")</f>
        <v>Vegkart</v>
      </c>
      <c r="B1820">
        <v>460624522</v>
      </c>
      <c r="C1820">
        <v>15</v>
      </c>
      <c r="D1820" t="s">
        <v>5814</v>
      </c>
      <c r="E1820">
        <v>4723</v>
      </c>
      <c r="F1820" t="s">
        <v>23479</v>
      </c>
      <c r="G1820">
        <v>3</v>
      </c>
      <c r="H1820" t="s">
        <v>6093</v>
      </c>
      <c r="J1820" t="s">
        <v>6094</v>
      </c>
      <c r="K1820" t="s">
        <v>32</v>
      </c>
      <c r="L1820" t="s">
        <v>80</v>
      </c>
      <c r="M1820" t="s">
        <v>81</v>
      </c>
      <c r="N1820" t="s">
        <v>6095</v>
      </c>
      <c r="O1820" t="s">
        <v>6096</v>
      </c>
      <c r="P1820" s="2" t="s">
        <v>165</v>
      </c>
      <c r="Q1820" t="s">
        <v>641</v>
      </c>
      <c r="R1820">
        <v>0</v>
      </c>
      <c r="S1820">
        <v>338.03</v>
      </c>
      <c r="T1820" t="s">
        <v>167</v>
      </c>
    </row>
    <row r="1821" spans="1:20" x14ac:dyDescent="0.25">
      <c r="A1821" s="1" t="str">
        <f>HYPERLINK("https://vegkart.atlas.vegvesen.no/#/@68102.9,6956857.2,18/hva:hva%5B0%5D%5Bfilter%5D%5B0%5D%5Boperator%5D=%21%3D&amp;hva%5B0%5D%5Bfilter%5D%5B0%5D%5Btype_id%5D=4723&amp;hva%5B0%5D%5Bfilter%5D%5B0%5D%5Bverdi%5D=&amp;hva%5B0%5D%5Bid%5D=15/når:2018-09-20", "Vegkart")</f>
        <v>Vegkart</v>
      </c>
      <c r="B1821">
        <v>460927801</v>
      </c>
      <c r="C1821">
        <v>15</v>
      </c>
      <c r="D1821" t="s">
        <v>5814</v>
      </c>
      <c r="E1821">
        <v>4723</v>
      </c>
      <c r="F1821" t="s">
        <v>23479</v>
      </c>
      <c r="G1821">
        <v>3</v>
      </c>
      <c r="H1821" t="s">
        <v>6093</v>
      </c>
      <c r="J1821" t="s">
        <v>6094</v>
      </c>
      <c r="K1821" t="s">
        <v>32</v>
      </c>
      <c r="L1821" t="s">
        <v>80</v>
      </c>
      <c r="M1821" t="s">
        <v>81</v>
      </c>
      <c r="N1821" t="s">
        <v>6097</v>
      </c>
      <c r="O1821" t="s">
        <v>6098</v>
      </c>
      <c r="P1821" s="2" t="s">
        <v>165</v>
      </c>
      <c r="Q1821" t="s">
        <v>641</v>
      </c>
      <c r="R1821">
        <v>0</v>
      </c>
      <c r="S1821">
        <v>688.62</v>
      </c>
      <c r="T1821" t="s">
        <v>167</v>
      </c>
    </row>
    <row r="1822" spans="1:20" x14ac:dyDescent="0.25">
      <c r="A1822" s="1" t="str">
        <f>HYPERLINK("https://vegkart.atlas.vegvesen.no/#/@68333.1,6956893.6,18/hva:hva%5B0%5D%5Bfilter%5D%5B0%5D%5Boperator%5D=%21%3D&amp;hva%5B0%5D%5Bfilter%5D%5B0%5D%5Btype_id%5D=4723&amp;hva%5B0%5D%5Bfilter%5D%5B0%5D%5Bverdi%5D=&amp;hva%5B0%5D%5Bid%5D=15/når:2018-09-20", "Vegkart")</f>
        <v>Vegkart</v>
      </c>
      <c r="B1822">
        <v>460927803</v>
      </c>
      <c r="C1822">
        <v>15</v>
      </c>
      <c r="D1822" t="s">
        <v>5814</v>
      </c>
      <c r="E1822">
        <v>4723</v>
      </c>
      <c r="F1822" t="s">
        <v>23479</v>
      </c>
      <c r="G1822">
        <v>3</v>
      </c>
      <c r="H1822" t="s">
        <v>6093</v>
      </c>
      <c r="J1822" t="s">
        <v>6094</v>
      </c>
      <c r="K1822" t="s">
        <v>32</v>
      </c>
      <c r="L1822" t="s">
        <v>80</v>
      </c>
      <c r="M1822" t="s">
        <v>81</v>
      </c>
      <c r="N1822" t="s">
        <v>6099</v>
      </c>
      <c r="O1822" t="s">
        <v>6100</v>
      </c>
      <c r="P1822" s="2" t="s">
        <v>165</v>
      </c>
      <c r="Q1822" t="s">
        <v>641</v>
      </c>
      <c r="R1822">
        <v>0</v>
      </c>
      <c r="S1822">
        <v>194.34</v>
      </c>
      <c r="T1822" t="s">
        <v>167</v>
      </c>
    </row>
    <row r="1823" spans="1:20" x14ac:dyDescent="0.25">
      <c r="A1823" s="1" t="str">
        <f>HYPERLINK("https://vegkart.atlas.vegvesen.no/#/@68241.4,6956954.4,18/hva:hva%5B0%5D%5Bfilter%5D%5B0%5D%5Boperator%5D=%21%3D&amp;hva%5B0%5D%5Bfilter%5D%5B0%5D%5Btype_id%5D=4723&amp;hva%5B0%5D%5Bfilter%5D%5B0%5D%5Bverdi%5D=&amp;hva%5B0%5D%5Bid%5D=15/når:2018-09-20", "Vegkart")</f>
        <v>Vegkart</v>
      </c>
      <c r="B1823">
        <v>460927809</v>
      </c>
      <c r="C1823">
        <v>15</v>
      </c>
      <c r="D1823" t="s">
        <v>5814</v>
      </c>
      <c r="E1823">
        <v>4723</v>
      </c>
      <c r="F1823" t="s">
        <v>23479</v>
      </c>
      <c r="G1823">
        <v>2</v>
      </c>
      <c r="H1823" t="s">
        <v>6093</v>
      </c>
      <c r="J1823" t="s">
        <v>6094</v>
      </c>
      <c r="K1823" t="s">
        <v>32</v>
      </c>
      <c r="L1823" t="s">
        <v>80</v>
      </c>
      <c r="M1823" t="s">
        <v>81</v>
      </c>
      <c r="N1823" t="s">
        <v>6101</v>
      </c>
      <c r="O1823" t="s">
        <v>6102</v>
      </c>
      <c r="P1823" s="2" t="s">
        <v>165</v>
      </c>
      <c r="Q1823" t="s">
        <v>641</v>
      </c>
      <c r="R1823">
        <v>0</v>
      </c>
      <c r="S1823">
        <v>577.07000000000005</v>
      </c>
      <c r="T1823" t="s">
        <v>167</v>
      </c>
    </row>
    <row r="1824" spans="1:20" x14ac:dyDescent="0.25">
      <c r="A1824" s="1" t="str">
        <f>HYPERLINK("https://vegkart.atlas.vegvesen.no/#/@68241.4,6956954.4,18/hva:hva%5B0%5D%5Bfilter%5D%5B0%5D%5Boperator%5D=%21%3D&amp;hva%5B0%5D%5Bfilter%5D%5B0%5D%5Btype_id%5D=4723&amp;hva%5B0%5D%5Bfilter%5D%5B0%5D%5Bverdi%5D=&amp;hva%5B0%5D%5Bid%5D=15/når:2018-09-20", "Vegkart")</f>
        <v>Vegkart</v>
      </c>
      <c r="B1824">
        <v>460927813</v>
      </c>
      <c r="C1824">
        <v>15</v>
      </c>
      <c r="D1824" t="s">
        <v>5814</v>
      </c>
      <c r="E1824">
        <v>4723</v>
      </c>
      <c r="F1824" t="s">
        <v>23479</v>
      </c>
      <c r="G1824">
        <v>3</v>
      </c>
      <c r="H1824" t="s">
        <v>6093</v>
      </c>
      <c r="J1824" t="s">
        <v>6094</v>
      </c>
      <c r="K1824" t="s">
        <v>32</v>
      </c>
      <c r="L1824" t="s">
        <v>80</v>
      </c>
      <c r="M1824" t="s">
        <v>81</v>
      </c>
      <c r="N1824" t="s">
        <v>6103</v>
      </c>
      <c r="O1824" t="s">
        <v>6102</v>
      </c>
      <c r="P1824" s="2" t="s">
        <v>165</v>
      </c>
      <c r="Q1824" t="s">
        <v>641</v>
      </c>
      <c r="R1824">
        <v>0</v>
      </c>
      <c r="S1824">
        <v>577.07000000000005</v>
      </c>
      <c r="T1824" t="s">
        <v>167</v>
      </c>
    </row>
    <row r="1825" spans="1:20" x14ac:dyDescent="0.25">
      <c r="A1825" s="1" t="str">
        <f>HYPERLINK("https://vegkart.atlas.vegvesen.no/#/@-42446.8,6614205.0,18/hva:hva%5B0%5D%5Bfilter%5D%5B0%5D%5Boperator%5D=%21%3D&amp;hva%5B0%5D%5Bfilter%5D%5B0%5D%5Btype_id%5D=4723&amp;hva%5B0%5D%5Bfilter%5D%5B0%5D%5Bverdi%5D=&amp;hva%5B0%5D%5Bid%5D=15/når:2013-06-28", "Vegkart")</f>
        <v>Vegkart</v>
      </c>
      <c r="B1825">
        <v>465949456</v>
      </c>
      <c r="C1825">
        <v>15</v>
      </c>
      <c r="D1825" t="s">
        <v>5814</v>
      </c>
      <c r="E1825">
        <v>4723</v>
      </c>
      <c r="F1825" t="s">
        <v>23479</v>
      </c>
      <c r="G1825">
        <v>1</v>
      </c>
      <c r="H1825" t="s">
        <v>1046</v>
      </c>
      <c r="J1825" t="s">
        <v>6094</v>
      </c>
      <c r="K1825" t="s">
        <v>170</v>
      </c>
      <c r="L1825" t="s">
        <v>80</v>
      </c>
      <c r="M1825" t="s">
        <v>81</v>
      </c>
      <c r="N1825" t="s">
        <v>6104</v>
      </c>
      <c r="O1825" t="s">
        <v>6105</v>
      </c>
      <c r="P1825" s="2" t="s">
        <v>165</v>
      </c>
      <c r="Q1825" t="s">
        <v>641</v>
      </c>
      <c r="R1825">
        <v>0</v>
      </c>
      <c r="S1825">
        <v>79.45</v>
      </c>
      <c r="T1825" t="s">
        <v>167</v>
      </c>
    </row>
    <row r="1826" spans="1:20" x14ac:dyDescent="0.25">
      <c r="A1826" s="1" t="str">
        <f>HYPERLINK("https://vegkart.atlas.vegvesen.no/#/@555.4,6689382.0,18/hva:hva%5B0%5D%5Bfilter%5D%5B0%5D%5Boperator%5D=%21%3D&amp;hva%5B0%5D%5Bfilter%5D%5B0%5D%5Btype_id%5D=4723&amp;hva%5B0%5D%5Bfilter%5D%5B0%5D%5Bverdi%5D=&amp;hva%5B0%5D%5Bid%5D=15/når:2015-11-11", "Vegkart")</f>
        <v>Vegkart</v>
      </c>
      <c r="B1826">
        <v>481084087</v>
      </c>
      <c r="C1826">
        <v>15</v>
      </c>
      <c r="D1826" t="s">
        <v>5814</v>
      </c>
      <c r="E1826">
        <v>4723</v>
      </c>
      <c r="F1826" t="s">
        <v>23479</v>
      </c>
      <c r="G1826">
        <v>1</v>
      </c>
      <c r="H1826" t="s">
        <v>6106</v>
      </c>
      <c r="J1826" t="s">
        <v>6094</v>
      </c>
      <c r="K1826" t="s">
        <v>21</v>
      </c>
      <c r="L1826" t="s">
        <v>33</v>
      </c>
      <c r="M1826" t="s">
        <v>1650</v>
      </c>
      <c r="N1826" t="s">
        <v>6107</v>
      </c>
      <c r="O1826" t="s">
        <v>6108</v>
      </c>
      <c r="P1826" s="2" t="s">
        <v>67</v>
      </c>
      <c r="Q1826" t="s">
        <v>68</v>
      </c>
      <c r="R1826">
        <v>505.9</v>
      </c>
      <c r="S1826">
        <v>509.11</v>
      </c>
      <c r="T1826" t="s">
        <v>6109</v>
      </c>
    </row>
    <row r="1827" spans="1:20" x14ac:dyDescent="0.25">
      <c r="A1827" s="1" t="str">
        <f>HYPERLINK("https://vegkart.atlas.vegvesen.no/#/@821.6,6689737.3,18/hva:hva%5B0%5D%5Bfilter%5D%5B0%5D%5Boperator%5D=%21%3D&amp;hva%5B0%5D%5Bfilter%5D%5B0%5D%5Btype_id%5D=4723&amp;hva%5B0%5D%5Bfilter%5D%5B0%5D%5Bverdi%5D=&amp;hva%5B0%5D%5Bid%5D=15/når:2015-11-11", "Vegkart")</f>
        <v>Vegkart</v>
      </c>
      <c r="B1827">
        <v>481084088</v>
      </c>
      <c r="C1827">
        <v>15</v>
      </c>
      <c r="D1827" t="s">
        <v>5814</v>
      </c>
      <c r="E1827">
        <v>4723</v>
      </c>
      <c r="F1827" t="s">
        <v>23479</v>
      </c>
      <c r="G1827">
        <v>1</v>
      </c>
      <c r="H1827" t="s">
        <v>6106</v>
      </c>
      <c r="J1827" t="s">
        <v>6094</v>
      </c>
      <c r="K1827" t="s">
        <v>21</v>
      </c>
      <c r="L1827" t="s">
        <v>33</v>
      </c>
      <c r="M1827" t="s">
        <v>1650</v>
      </c>
      <c r="N1827" t="s">
        <v>6110</v>
      </c>
      <c r="O1827" t="s">
        <v>6111</v>
      </c>
      <c r="P1827" s="2" t="s">
        <v>67</v>
      </c>
      <c r="Q1827" t="s">
        <v>68</v>
      </c>
      <c r="R1827">
        <v>156.91</v>
      </c>
      <c r="S1827">
        <v>157.4</v>
      </c>
      <c r="T1827" t="s">
        <v>6112</v>
      </c>
    </row>
    <row r="1828" spans="1:20" x14ac:dyDescent="0.25">
      <c r="A1828" s="1" t="str">
        <f>HYPERLINK("https://vegkart.atlas.vegvesen.no/#/@818.8,6689753.6,18/hva:hva%5B0%5D%5Bfilter%5D%5B0%5D%5Boperator%5D=%21%3D&amp;hva%5B0%5D%5Bfilter%5D%5B0%5D%5Btype_id%5D=4723&amp;hva%5B0%5D%5Bfilter%5D%5B0%5D%5Bverdi%5D=&amp;hva%5B0%5D%5Bid%5D=15/når:2015-11-11", "Vegkart")</f>
        <v>Vegkart</v>
      </c>
      <c r="B1828">
        <v>481084089</v>
      </c>
      <c r="C1828">
        <v>15</v>
      </c>
      <c r="D1828" t="s">
        <v>5814</v>
      </c>
      <c r="E1828">
        <v>4723</v>
      </c>
      <c r="F1828" t="s">
        <v>23479</v>
      </c>
      <c r="G1828">
        <v>1</v>
      </c>
      <c r="H1828" t="s">
        <v>6106</v>
      </c>
      <c r="J1828" t="s">
        <v>6094</v>
      </c>
      <c r="K1828" t="s">
        <v>21</v>
      </c>
      <c r="L1828" t="s">
        <v>33</v>
      </c>
      <c r="M1828" t="s">
        <v>1650</v>
      </c>
      <c r="N1828" t="s">
        <v>6113</v>
      </c>
      <c r="O1828" t="s">
        <v>6114</v>
      </c>
      <c r="P1828" s="2" t="s">
        <v>67</v>
      </c>
      <c r="Q1828" t="s">
        <v>68</v>
      </c>
      <c r="R1828">
        <v>130.38</v>
      </c>
      <c r="S1828">
        <v>130.87</v>
      </c>
      <c r="T1828" t="s">
        <v>6115</v>
      </c>
    </row>
    <row r="1829" spans="1:20" x14ac:dyDescent="0.25">
      <c r="A1829" s="1" t="str">
        <f>HYPERLINK("https://vegkart.atlas.vegvesen.no/#/@759.1,6689623.9,18/hva:hva%5B0%5D%5Bfilter%5D%5B0%5D%5Boperator%5D=%21%3D&amp;hva%5B0%5D%5Bfilter%5D%5B0%5D%5Btype_id%5D=4723&amp;hva%5B0%5D%5Bfilter%5D%5B0%5D%5Bverdi%5D=&amp;hva%5B0%5D%5Bid%5D=15/når:2015-11-11", "Vegkart")</f>
        <v>Vegkart</v>
      </c>
      <c r="B1829">
        <v>481084090</v>
      </c>
      <c r="C1829">
        <v>15</v>
      </c>
      <c r="D1829" t="s">
        <v>5814</v>
      </c>
      <c r="E1829">
        <v>4723</v>
      </c>
      <c r="F1829" t="s">
        <v>23479</v>
      </c>
      <c r="G1829">
        <v>1</v>
      </c>
      <c r="H1829" t="s">
        <v>6106</v>
      </c>
      <c r="J1829" t="s">
        <v>6094</v>
      </c>
      <c r="K1829" t="s">
        <v>21</v>
      </c>
      <c r="L1829" t="s">
        <v>33</v>
      </c>
      <c r="M1829" t="s">
        <v>1650</v>
      </c>
      <c r="N1829" t="s">
        <v>6116</v>
      </c>
      <c r="O1829" t="s">
        <v>6117</v>
      </c>
      <c r="P1829" s="2" t="s">
        <v>67</v>
      </c>
      <c r="Q1829" t="s">
        <v>68</v>
      </c>
      <c r="R1829">
        <v>104.44</v>
      </c>
      <c r="S1829">
        <v>104.7</v>
      </c>
      <c r="T1829" t="s">
        <v>6118</v>
      </c>
    </row>
    <row r="1830" spans="1:20" x14ac:dyDescent="0.25">
      <c r="A1830" s="1" t="str">
        <f>HYPERLINK("https://vegkart.atlas.vegvesen.no/#/@431.3,6689205.5,18/hva:hva%5B0%5D%5Bfilter%5D%5B0%5D%5Boperator%5D=%21%3D&amp;hva%5B0%5D%5Bfilter%5D%5B0%5D%5Btype_id%5D=4723&amp;hva%5B0%5D%5Bfilter%5D%5B0%5D%5Bverdi%5D=&amp;hva%5B0%5D%5Bid%5D=15/når:2015-11-11", "Vegkart")</f>
        <v>Vegkart</v>
      </c>
      <c r="B1830">
        <v>481084091</v>
      </c>
      <c r="C1830">
        <v>15</v>
      </c>
      <c r="D1830" t="s">
        <v>5814</v>
      </c>
      <c r="E1830">
        <v>4723</v>
      </c>
      <c r="F1830" t="s">
        <v>23479</v>
      </c>
      <c r="G1830">
        <v>1</v>
      </c>
      <c r="H1830" t="s">
        <v>6106</v>
      </c>
      <c r="J1830" t="s">
        <v>6094</v>
      </c>
      <c r="K1830" t="s">
        <v>21</v>
      </c>
      <c r="L1830" t="s">
        <v>33</v>
      </c>
      <c r="M1830" t="s">
        <v>1650</v>
      </c>
      <c r="N1830" t="s">
        <v>6119</v>
      </c>
      <c r="O1830" t="s">
        <v>6120</v>
      </c>
      <c r="P1830" s="2" t="s">
        <v>67</v>
      </c>
      <c r="Q1830" t="s">
        <v>68</v>
      </c>
      <c r="R1830">
        <v>46.41</v>
      </c>
      <c r="S1830">
        <v>46.42</v>
      </c>
      <c r="T1830" t="s">
        <v>6121</v>
      </c>
    </row>
    <row r="1831" spans="1:20" x14ac:dyDescent="0.25">
      <c r="A1831" s="1" t="str">
        <f>HYPERLINK("https://vegkart.atlas.vegvesen.no/#/@684.3,6689557.4,18/hva:hva%5B0%5D%5Bfilter%5D%5B0%5D%5Boperator%5D=%21%3D&amp;hva%5B0%5D%5Bfilter%5D%5B0%5D%5Btype_id%5D=4723&amp;hva%5B0%5D%5Bfilter%5D%5B0%5D%5Bverdi%5D=&amp;hva%5B0%5D%5Bid%5D=15/når:2015-11-11", "Vegkart")</f>
        <v>Vegkart</v>
      </c>
      <c r="B1831">
        <v>481084092</v>
      </c>
      <c r="C1831">
        <v>15</v>
      </c>
      <c r="D1831" t="s">
        <v>5814</v>
      </c>
      <c r="E1831">
        <v>4723</v>
      </c>
      <c r="F1831" t="s">
        <v>23479</v>
      </c>
      <c r="G1831">
        <v>1</v>
      </c>
      <c r="H1831" t="s">
        <v>6106</v>
      </c>
      <c r="J1831" t="s">
        <v>6094</v>
      </c>
      <c r="K1831" t="s">
        <v>21</v>
      </c>
      <c r="L1831" t="s">
        <v>33</v>
      </c>
      <c r="M1831" t="s">
        <v>1650</v>
      </c>
      <c r="N1831" t="s">
        <v>6122</v>
      </c>
      <c r="O1831" t="s">
        <v>6123</v>
      </c>
      <c r="P1831" s="2" t="s">
        <v>67</v>
      </c>
      <c r="Q1831" t="s">
        <v>68</v>
      </c>
      <c r="R1831">
        <v>316.58999999999997</v>
      </c>
      <c r="S1831">
        <v>317.2</v>
      </c>
      <c r="T1831" t="s">
        <v>6124</v>
      </c>
    </row>
    <row r="1832" spans="1:20" x14ac:dyDescent="0.25">
      <c r="A1832" s="1" t="str">
        <f>HYPERLINK("https://vegkart.atlas.vegvesen.no/#/@504.8,6689333.7,18/hva:hva%5B0%5D%5Bfilter%5D%5B0%5D%5Boperator%5D=%21%3D&amp;hva%5B0%5D%5Bfilter%5D%5B0%5D%5Btype_id%5D=4723&amp;hva%5B0%5D%5Bfilter%5D%5B0%5D%5Bverdi%5D=&amp;hva%5B0%5D%5Bid%5D=15/når:2015-11-11", "Vegkart")</f>
        <v>Vegkart</v>
      </c>
      <c r="B1832">
        <v>481084093</v>
      </c>
      <c r="C1832">
        <v>15</v>
      </c>
      <c r="D1832" t="s">
        <v>5814</v>
      </c>
      <c r="E1832">
        <v>4723</v>
      </c>
      <c r="F1832" t="s">
        <v>23479</v>
      </c>
      <c r="G1832">
        <v>1</v>
      </c>
      <c r="H1832" t="s">
        <v>6106</v>
      </c>
      <c r="J1832" t="s">
        <v>6094</v>
      </c>
      <c r="K1832" t="s">
        <v>21</v>
      </c>
      <c r="L1832" t="s">
        <v>33</v>
      </c>
      <c r="M1832" t="s">
        <v>1650</v>
      </c>
      <c r="N1832" t="s">
        <v>6125</v>
      </c>
      <c r="O1832" t="s">
        <v>6126</v>
      </c>
      <c r="P1832" s="2" t="s">
        <v>67</v>
      </c>
      <c r="Q1832" t="s">
        <v>68</v>
      </c>
      <c r="R1832">
        <v>232.95</v>
      </c>
      <c r="S1832">
        <v>233.45</v>
      </c>
      <c r="T1832" t="s">
        <v>6127</v>
      </c>
    </row>
    <row r="1833" spans="1:20" x14ac:dyDescent="0.25">
      <c r="A1833" s="1" t="str">
        <f>HYPERLINK("https://vegkart.atlas.vegvesen.no/#/@802989.6,7789373.8,18/hva:hva%5B0%5D%5Bfilter%5D%5B0%5D%5Boperator%5D=%21%3D&amp;hva%5B0%5D%5Bfilter%5D%5B0%5D%5Btype_id%5D=4723&amp;hva%5B0%5D%5Bfilter%5D%5B0%5D%5Bverdi%5D=&amp;hva%5B0%5D%5Bid%5D=15/når:2014-01-02", "Vegkart")</f>
        <v>Vegkart</v>
      </c>
      <c r="B1833">
        <v>481162568</v>
      </c>
      <c r="C1833">
        <v>15</v>
      </c>
      <c r="D1833" t="s">
        <v>5814</v>
      </c>
      <c r="E1833">
        <v>4723</v>
      </c>
      <c r="F1833" t="s">
        <v>23479</v>
      </c>
      <c r="G1833">
        <v>1</v>
      </c>
      <c r="H1833" t="s">
        <v>6128</v>
      </c>
      <c r="J1833" t="s">
        <v>6094</v>
      </c>
      <c r="K1833" t="s">
        <v>450</v>
      </c>
      <c r="L1833" t="s">
        <v>80</v>
      </c>
      <c r="M1833" t="s">
        <v>105</v>
      </c>
      <c r="N1833" t="s">
        <v>6129</v>
      </c>
      <c r="O1833" t="s">
        <v>6130</v>
      </c>
      <c r="P1833" s="2" t="s">
        <v>37</v>
      </c>
      <c r="Q1833" t="s">
        <v>1208</v>
      </c>
      <c r="R1833">
        <v>0</v>
      </c>
      <c r="S1833">
        <v>159.6</v>
      </c>
      <c r="T1833" t="s">
        <v>6131</v>
      </c>
    </row>
    <row r="1834" spans="1:20" x14ac:dyDescent="0.25">
      <c r="A1834" s="1" t="str">
        <f>HYPERLINK("https://vegkart.atlas.vegvesen.no/#/@803034.5,7789417.8,18/hva:hva%5B0%5D%5Bfilter%5D%5B0%5D%5Boperator%5D=%21%3D&amp;hva%5B0%5D%5Bfilter%5D%5B0%5D%5Btype_id%5D=4723&amp;hva%5B0%5D%5Bfilter%5D%5B0%5D%5Bverdi%5D=&amp;hva%5B0%5D%5Bid%5D=15/når:2014-01-02", "Vegkart")</f>
        <v>Vegkart</v>
      </c>
      <c r="B1834">
        <v>481162569</v>
      </c>
      <c r="C1834">
        <v>15</v>
      </c>
      <c r="D1834" t="s">
        <v>5814</v>
      </c>
      <c r="E1834">
        <v>4723</v>
      </c>
      <c r="F1834" t="s">
        <v>23479</v>
      </c>
      <c r="G1834">
        <v>1</v>
      </c>
      <c r="H1834" t="s">
        <v>6128</v>
      </c>
      <c r="J1834" t="s">
        <v>6094</v>
      </c>
      <c r="K1834" t="s">
        <v>450</v>
      </c>
      <c r="L1834" t="s">
        <v>80</v>
      </c>
      <c r="M1834" t="s">
        <v>105</v>
      </c>
      <c r="N1834" t="s">
        <v>6132</v>
      </c>
      <c r="O1834" t="s">
        <v>6133</v>
      </c>
      <c r="P1834" s="2" t="s">
        <v>37</v>
      </c>
      <c r="Q1834" t="s">
        <v>1208</v>
      </c>
      <c r="R1834">
        <v>0</v>
      </c>
      <c r="S1834">
        <v>228.96</v>
      </c>
      <c r="T1834" t="s">
        <v>6134</v>
      </c>
    </row>
    <row r="1835" spans="1:20" x14ac:dyDescent="0.25">
      <c r="A1835" s="1" t="str">
        <f>HYPERLINK("https://vegkart.atlas.vegvesen.no/#/@802509.5,7790099.3,18/hva:hva%5B0%5D%5Bfilter%5D%5B0%5D%5Boperator%5D=%21%3D&amp;hva%5B0%5D%5Bfilter%5D%5B0%5D%5Btype_id%5D=4723&amp;hva%5B0%5D%5Bfilter%5D%5B0%5D%5Bverdi%5D=&amp;hva%5B0%5D%5Bid%5D=15/når:2014-01-02", "Vegkart")</f>
        <v>Vegkart</v>
      </c>
      <c r="B1835">
        <v>481162570</v>
      </c>
      <c r="C1835">
        <v>15</v>
      </c>
      <c r="D1835" t="s">
        <v>5814</v>
      </c>
      <c r="E1835">
        <v>4723</v>
      </c>
      <c r="F1835" t="s">
        <v>23479</v>
      </c>
      <c r="G1835">
        <v>1</v>
      </c>
      <c r="H1835" t="s">
        <v>6128</v>
      </c>
      <c r="J1835" t="s">
        <v>6094</v>
      </c>
      <c r="K1835" t="s">
        <v>450</v>
      </c>
      <c r="L1835" t="s">
        <v>80</v>
      </c>
      <c r="M1835" t="s">
        <v>105</v>
      </c>
      <c r="N1835" t="s">
        <v>6135</v>
      </c>
      <c r="O1835" t="s">
        <v>6136</v>
      </c>
      <c r="P1835" s="2" t="s">
        <v>37</v>
      </c>
      <c r="Q1835" t="s">
        <v>1208</v>
      </c>
      <c r="R1835">
        <v>0</v>
      </c>
      <c r="S1835">
        <v>93.91</v>
      </c>
      <c r="T1835" t="s">
        <v>6137</v>
      </c>
    </row>
    <row r="1836" spans="1:20" x14ac:dyDescent="0.25">
      <c r="A1836" s="1" t="str">
        <f>HYPERLINK("https://vegkart.atlas.vegvesen.no/#/@802584.5,7790119.4,18/hva:hva%5B0%5D%5Bfilter%5D%5B0%5D%5Boperator%5D=%21%3D&amp;hva%5B0%5D%5Bfilter%5D%5B0%5D%5Btype_id%5D=4723&amp;hva%5B0%5D%5Bfilter%5D%5B0%5D%5Bverdi%5D=&amp;hva%5B0%5D%5Bid%5D=15/når:2014-01-02", "Vegkart")</f>
        <v>Vegkart</v>
      </c>
      <c r="B1836">
        <v>481162571</v>
      </c>
      <c r="C1836">
        <v>15</v>
      </c>
      <c r="D1836" t="s">
        <v>5814</v>
      </c>
      <c r="E1836">
        <v>4723</v>
      </c>
      <c r="F1836" t="s">
        <v>23479</v>
      </c>
      <c r="G1836">
        <v>1</v>
      </c>
      <c r="H1836" t="s">
        <v>6128</v>
      </c>
      <c r="J1836" t="s">
        <v>6094</v>
      </c>
      <c r="K1836" t="s">
        <v>450</v>
      </c>
      <c r="L1836" t="s">
        <v>80</v>
      </c>
      <c r="M1836" t="s">
        <v>105</v>
      </c>
      <c r="N1836" t="s">
        <v>6138</v>
      </c>
      <c r="O1836" t="s">
        <v>6139</v>
      </c>
      <c r="P1836" s="2" t="s">
        <v>37</v>
      </c>
      <c r="Q1836" t="s">
        <v>1208</v>
      </c>
      <c r="R1836">
        <v>0</v>
      </c>
      <c r="S1836">
        <v>99.73</v>
      </c>
      <c r="T1836" t="s">
        <v>6140</v>
      </c>
    </row>
    <row r="1837" spans="1:20" x14ac:dyDescent="0.25">
      <c r="A1837" s="1" t="str">
        <f>HYPERLINK("https://vegkart.atlas.vegvesen.no/#/@802551.5,7790112.2,18/hva:hva%5B0%5D%5Bfilter%5D%5B0%5D%5Boperator%5D=%21%3D&amp;hva%5B0%5D%5Bfilter%5D%5B0%5D%5Btype_id%5D=4723&amp;hva%5B0%5D%5Bfilter%5D%5B0%5D%5Bverdi%5D=&amp;hva%5B0%5D%5Bid%5D=15/når:2014-01-02", "Vegkart")</f>
        <v>Vegkart</v>
      </c>
      <c r="B1837">
        <v>481162572</v>
      </c>
      <c r="C1837">
        <v>15</v>
      </c>
      <c r="D1837" t="s">
        <v>5814</v>
      </c>
      <c r="E1837">
        <v>4723</v>
      </c>
      <c r="F1837" t="s">
        <v>23479</v>
      </c>
      <c r="G1837">
        <v>1</v>
      </c>
      <c r="H1837" t="s">
        <v>6128</v>
      </c>
      <c r="J1837" t="s">
        <v>6094</v>
      </c>
      <c r="K1837" t="s">
        <v>450</v>
      </c>
      <c r="L1837" t="s">
        <v>80</v>
      </c>
      <c r="M1837" t="s">
        <v>105</v>
      </c>
      <c r="N1837" t="s">
        <v>6141</v>
      </c>
      <c r="O1837" t="s">
        <v>6142</v>
      </c>
      <c r="P1837" s="2" t="s">
        <v>37</v>
      </c>
      <c r="Q1837" t="s">
        <v>1208</v>
      </c>
      <c r="R1837">
        <v>0</v>
      </c>
      <c r="S1837">
        <v>266.89</v>
      </c>
      <c r="T1837" t="s">
        <v>6143</v>
      </c>
    </row>
    <row r="1838" spans="1:20" x14ac:dyDescent="0.25">
      <c r="A1838" s="1" t="str">
        <f>HYPERLINK("https://vegkart.atlas.vegvesen.no/#/@802597.2,7790137.7,18/hva:hva%5B0%5D%5Bfilter%5D%5B0%5D%5Boperator%5D=%21%3D&amp;hva%5B0%5D%5Bfilter%5D%5B0%5D%5Btype_id%5D=4723&amp;hva%5B0%5D%5Bfilter%5D%5B0%5D%5Bverdi%5D=&amp;hva%5B0%5D%5Bid%5D=15/når:2014-01-02", "Vegkart")</f>
        <v>Vegkart</v>
      </c>
      <c r="B1838">
        <v>481162573</v>
      </c>
      <c r="C1838">
        <v>15</v>
      </c>
      <c r="D1838" t="s">
        <v>5814</v>
      </c>
      <c r="E1838">
        <v>4723</v>
      </c>
      <c r="F1838" t="s">
        <v>23479</v>
      </c>
      <c r="G1838">
        <v>1</v>
      </c>
      <c r="H1838" t="s">
        <v>6128</v>
      </c>
      <c r="J1838" t="s">
        <v>6144</v>
      </c>
      <c r="K1838" t="s">
        <v>450</v>
      </c>
      <c r="L1838" t="s">
        <v>80</v>
      </c>
      <c r="M1838" t="s">
        <v>105</v>
      </c>
      <c r="N1838" t="s">
        <v>6145</v>
      </c>
      <c r="O1838" t="s">
        <v>6146</v>
      </c>
      <c r="P1838" s="2" t="s">
        <v>37</v>
      </c>
      <c r="Q1838" t="s">
        <v>1208</v>
      </c>
      <c r="R1838">
        <v>0</v>
      </c>
      <c r="S1838">
        <v>142.83000000000001</v>
      </c>
      <c r="T1838" t="s">
        <v>6147</v>
      </c>
    </row>
    <row r="1839" spans="1:20" x14ac:dyDescent="0.25">
      <c r="A1839" s="1" t="str">
        <f>HYPERLINK("https://vegkart.atlas.vegvesen.no/#/@802550.1,7790143.0,18/hva:hva%5B0%5D%5Bfilter%5D%5B0%5D%5Boperator%5D=%21%3D&amp;hva%5B0%5D%5Bfilter%5D%5B0%5D%5Btype_id%5D=4723&amp;hva%5B0%5D%5Bfilter%5D%5B0%5D%5Bverdi%5D=&amp;hva%5B0%5D%5Bid%5D=15/når:2014-01-02", "Vegkart")</f>
        <v>Vegkart</v>
      </c>
      <c r="B1839">
        <v>481162574</v>
      </c>
      <c r="C1839">
        <v>15</v>
      </c>
      <c r="D1839" t="s">
        <v>5814</v>
      </c>
      <c r="E1839">
        <v>4723</v>
      </c>
      <c r="F1839" t="s">
        <v>23479</v>
      </c>
      <c r="G1839">
        <v>1</v>
      </c>
      <c r="H1839" t="s">
        <v>6128</v>
      </c>
      <c r="J1839" t="s">
        <v>6144</v>
      </c>
      <c r="K1839" t="s">
        <v>450</v>
      </c>
      <c r="L1839" t="s">
        <v>80</v>
      </c>
      <c r="M1839" t="s">
        <v>105</v>
      </c>
      <c r="N1839" t="s">
        <v>6148</v>
      </c>
      <c r="O1839" t="s">
        <v>6149</v>
      </c>
      <c r="P1839" s="2" t="s">
        <v>37</v>
      </c>
      <c r="Q1839" t="s">
        <v>1208</v>
      </c>
      <c r="R1839">
        <v>0</v>
      </c>
      <c r="S1839">
        <v>210.36</v>
      </c>
      <c r="T1839" t="s">
        <v>6150</v>
      </c>
    </row>
    <row r="1840" spans="1:20" x14ac:dyDescent="0.25">
      <c r="A1840" s="1" t="str">
        <f>HYPERLINK("https://vegkart.atlas.vegvesen.no/#/@802989.6,7789373.8,18/hva:hva%5B0%5D%5Bfilter%5D%5B0%5D%5Boperator%5D=%21%3D&amp;hva%5B0%5D%5Bfilter%5D%5B0%5D%5Btype_id%5D=4723&amp;hva%5B0%5D%5Bfilter%5D%5B0%5D%5Bverdi%5D=&amp;hva%5B0%5D%5Bid%5D=15/når:2014-01-02", "Vegkart")</f>
        <v>Vegkart</v>
      </c>
      <c r="B1840">
        <v>481162576</v>
      </c>
      <c r="C1840">
        <v>15</v>
      </c>
      <c r="D1840" t="s">
        <v>5814</v>
      </c>
      <c r="E1840">
        <v>4723</v>
      </c>
      <c r="F1840" t="s">
        <v>23479</v>
      </c>
      <c r="G1840">
        <v>1</v>
      </c>
      <c r="H1840" t="s">
        <v>6128</v>
      </c>
      <c r="J1840" t="s">
        <v>6144</v>
      </c>
      <c r="K1840" t="s">
        <v>450</v>
      </c>
      <c r="L1840" t="s">
        <v>80</v>
      </c>
      <c r="M1840" t="s">
        <v>105</v>
      </c>
      <c r="N1840" t="s">
        <v>6129</v>
      </c>
      <c r="O1840" t="s">
        <v>6130</v>
      </c>
      <c r="P1840" s="2" t="s">
        <v>37</v>
      </c>
      <c r="Q1840" t="s">
        <v>1208</v>
      </c>
      <c r="R1840">
        <v>0</v>
      </c>
      <c r="S1840">
        <v>159.6</v>
      </c>
      <c r="T1840" t="s">
        <v>6131</v>
      </c>
    </row>
    <row r="1841" spans="1:20" x14ac:dyDescent="0.25">
      <c r="A1841" s="1" t="str">
        <f>HYPERLINK("https://vegkart.atlas.vegvesen.no/#/@268772.2,7034327.3,18/hva:hva%5B0%5D%5Bfilter%5D%5B0%5D%5Boperator%5D=%21%3D&amp;hva%5B0%5D%5Bfilter%5D%5B0%5D%5Btype_id%5D=4723&amp;hva%5B0%5D%5Bfilter%5D%5B0%5D%5Bverdi%5D=&amp;hva%5B0%5D%5Bid%5D=15/når:2024-08-28", "Vegkart")</f>
        <v>Vegkart</v>
      </c>
      <c r="B1841">
        <v>489178455</v>
      </c>
      <c r="C1841">
        <v>15</v>
      </c>
      <c r="D1841" t="s">
        <v>5814</v>
      </c>
      <c r="E1841">
        <v>4723</v>
      </c>
      <c r="F1841" t="s">
        <v>23479</v>
      </c>
      <c r="G1841">
        <v>3</v>
      </c>
      <c r="H1841" t="s">
        <v>665</v>
      </c>
      <c r="J1841" t="s">
        <v>6151</v>
      </c>
      <c r="K1841" t="s">
        <v>192</v>
      </c>
      <c r="L1841" t="s">
        <v>80</v>
      </c>
      <c r="M1841" t="s">
        <v>105</v>
      </c>
      <c r="N1841" t="s">
        <v>6152</v>
      </c>
      <c r="O1841" t="s">
        <v>6153</v>
      </c>
      <c r="P1841" s="2" t="s">
        <v>37</v>
      </c>
      <c r="Q1841" t="s">
        <v>1208</v>
      </c>
      <c r="R1841">
        <v>0</v>
      </c>
      <c r="S1841">
        <v>651.76</v>
      </c>
      <c r="T1841" t="s">
        <v>6154</v>
      </c>
    </row>
    <row r="1842" spans="1:20" x14ac:dyDescent="0.25">
      <c r="A1842" s="1" t="str">
        <f>HYPERLINK("https://vegkart.atlas.vegvesen.no/#/@810228.6,7778553.9,18/hva:hva%5B0%5D%5Bfilter%5D%5B0%5D%5Boperator%5D=%21%3D&amp;hva%5B0%5D%5Bfilter%5D%5B0%5D%5Btype_id%5D=4723&amp;hva%5B0%5D%5Bfilter%5D%5B0%5D%5Bverdi%5D=&amp;hva%5B0%5D%5Bid%5D=15/når:2014-04-22", "Vegkart")</f>
        <v>Vegkart</v>
      </c>
      <c r="B1842">
        <v>495563812</v>
      </c>
      <c r="C1842">
        <v>15</v>
      </c>
      <c r="D1842" t="s">
        <v>5814</v>
      </c>
      <c r="E1842">
        <v>4723</v>
      </c>
      <c r="F1842" t="s">
        <v>23479</v>
      </c>
      <c r="G1842">
        <v>1</v>
      </c>
      <c r="H1842" t="s">
        <v>6155</v>
      </c>
      <c r="J1842" t="s">
        <v>5405</v>
      </c>
      <c r="K1842" t="s">
        <v>450</v>
      </c>
      <c r="L1842" t="s">
        <v>80</v>
      </c>
      <c r="M1842" t="s">
        <v>105</v>
      </c>
      <c r="N1842" t="s">
        <v>6156</v>
      </c>
      <c r="O1842" t="s">
        <v>6157</v>
      </c>
      <c r="P1842" s="2" t="s">
        <v>37</v>
      </c>
      <c r="Q1842" t="s">
        <v>1208</v>
      </c>
      <c r="R1842">
        <v>0</v>
      </c>
      <c r="S1842">
        <v>1009.45</v>
      </c>
      <c r="T1842" t="s">
        <v>6158</v>
      </c>
    </row>
    <row r="1843" spans="1:20" x14ac:dyDescent="0.25">
      <c r="A1843" s="1" t="str">
        <f>HYPERLINK("https://vegkart.atlas.vegvesen.no/#/@809650.2,7778471.1,18/hva:hva%5B0%5D%5Bfilter%5D%5B0%5D%5Boperator%5D=%21%3D&amp;hva%5B0%5D%5Bfilter%5D%5B0%5D%5Btype_id%5D=4723&amp;hva%5B0%5D%5Bfilter%5D%5B0%5D%5Bverdi%5D=&amp;hva%5B0%5D%5Bid%5D=15/når:2014-04-22", "Vegkart")</f>
        <v>Vegkart</v>
      </c>
      <c r="B1843">
        <v>495563818</v>
      </c>
      <c r="C1843">
        <v>15</v>
      </c>
      <c r="D1843" t="s">
        <v>5814</v>
      </c>
      <c r="E1843">
        <v>4723</v>
      </c>
      <c r="F1843" t="s">
        <v>23479</v>
      </c>
      <c r="G1843">
        <v>1</v>
      </c>
      <c r="H1843" t="s">
        <v>6155</v>
      </c>
      <c r="J1843" t="s">
        <v>5405</v>
      </c>
      <c r="K1843" t="s">
        <v>450</v>
      </c>
      <c r="L1843" t="s">
        <v>80</v>
      </c>
      <c r="M1843" t="s">
        <v>105</v>
      </c>
      <c r="N1843" t="s">
        <v>6159</v>
      </c>
      <c r="O1843" t="s">
        <v>6160</v>
      </c>
      <c r="P1843" s="2" t="s">
        <v>37</v>
      </c>
      <c r="Q1843" t="s">
        <v>1208</v>
      </c>
      <c r="R1843">
        <v>0</v>
      </c>
      <c r="S1843">
        <v>525.1</v>
      </c>
      <c r="T1843" t="s">
        <v>6161</v>
      </c>
    </row>
    <row r="1844" spans="1:20" x14ac:dyDescent="0.25">
      <c r="A1844" s="1" t="str">
        <f>HYPERLINK("https://vegkart.atlas.vegvesen.no/#/@809643.2,7778524.3,18/hva:hva%5B0%5D%5Bfilter%5D%5B0%5D%5Boperator%5D=%21%3D&amp;hva%5B0%5D%5Bfilter%5D%5B0%5D%5Btype_id%5D=4723&amp;hva%5B0%5D%5Bfilter%5D%5B0%5D%5Bverdi%5D=&amp;hva%5B0%5D%5Bid%5D=15/når:2014-04-22", "Vegkart")</f>
        <v>Vegkart</v>
      </c>
      <c r="B1844">
        <v>495563819</v>
      </c>
      <c r="C1844">
        <v>15</v>
      </c>
      <c r="D1844" t="s">
        <v>5814</v>
      </c>
      <c r="E1844">
        <v>4723</v>
      </c>
      <c r="F1844" t="s">
        <v>23479</v>
      </c>
      <c r="G1844">
        <v>1</v>
      </c>
      <c r="H1844" t="s">
        <v>6155</v>
      </c>
      <c r="J1844" t="s">
        <v>5405</v>
      </c>
      <c r="K1844" t="s">
        <v>450</v>
      </c>
      <c r="L1844" t="s">
        <v>80</v>
      </c>
      <c r="M1844" t="s">
        <v>105</v>
      </c>
      <c r="N1844" t="s">
        <v>6162</v>
      </c>
      <c r="O1844" t="s">
        <v>6163</v>
      </c>
      <c r="P1844" s="2" t="s">
        <v>37</v>
      </c>
      <c r="Q1844" t="s">
        <v>1208</v>
      </c>
      <c r="R1844">
        <v>0</v>
      </c>
      <c r="S1844">
        <v>582.12</v>
      </c>
      <c r="T1844" t="s">
        <v>6164</v>
      </c>
    </row>
    <row r="1845" spans="1:20" x14ac:dyDescent="0.25">
      <c r="A1845" s="1" t="str">
        <f>HYPERLINK("https://vegkart.atlas.vegvesen.no/#/@287839.8,6678339.7,18/hva:hva%5B0%5D%5Bfilter%5D%5B0%5D%5Boperator%5D=%21%3D&amp;hva%5B0%5D%5Bfilter%5D%5B0%5D%5Btype_id%5D=4723&amp;hva%5B0%5D%5Bfilter%5D%5B0%5D%5Bverdi%5D=&amp;hva%5B0%5D%5Bid%5D=15/når:2014-01-01", "Vegkart")</f>
        <v>Vegkart</v>
      </c>
      <c r="B1845">
        <v>507304551</v>
      </c>
      <c r="C1845">
        <v>15</v>
      </c>
      <c r="D1845" t="s">
        <v>5814</v>
      </c>
      <c r="E1845">
        <v>4723</v>
      </c>
      <c r="F1845" t="s">
        <v>23479</v>
      </c>
      <c r="G1845">
        <v>1</v>
      </c>
      <c r="H1845" t="s">
        <v>6165</v>
      </c>
      <c r="J1845" t="s">
        <v>5405</v>
      </c>
      <c r="K1845" t="s">
        <v>132</v>
      </c>
      <c r="L1845" t="s">
        <v>33</v>
      </c>
      <c r="M1845" t="s">
        <v>6166</v>
      </c>
      <c r="N1845" t="s">
        <v>6167</v>
      </c>
      <c r="O1845" t="s">
        <v>6168</v>
      </c>
      <c r="P1845" s="2" t="s">
        <v>165</v>
      </c>
      <c r="Q1845" t="s">
        <v>641</v>
      </c>
      <c r="R1845">
        <v>0</v>
      </c>
      <c r="S1845">
        <v>46.84</v>
      </c>
      <c r="T1845" t="s">
        <v>167</v>
      </c>
    </row>
    <row r="1846" spans="1:20" x14ac:dyDescent="0.25">
      <c r="A1846" s="1" t="str">
        <f>HYPERLINK("https://vegkart.atlas.vegvesen.no/#/@291542.2,6746536.4,18/hva:hva%5B0%5D%5Bfilter%5D%5B0%5D%5Boperator%5D=%21%3D&amp;hva%5B0%5D%5Bfilter%5D%5B0%5D%5Btype_id%5D=4723&amp;hva%5B0%5D%5Bfilter%5D%5B0%5D%5Bverdi%5D=&amp;hva%5B0%5D%5Bid%5D=15/når:2014-06-04", "Vegkart")</f>
        <v>Vegkart</v>
      </c>
      <c r="B1846">
        <v>518111234</v>
      </c>
      <c r="C1846">
        <v>15</v>
      </c>
      <c r="D1846" t="s">
        <v>5814</v>
      </c>
      <c r="E1846">
        <v>4723</v>
      </c>
      <c r="F1846" t="s">
        <v>23479</v>
      </c>
      <c r="G1846">
        <v>1</v>
      </c>
      <c r="H1846" t="s">
        <v>6169</v>
      </c>
      <c r="J1846" t="s">
        <v>5405</v>
      </c>
      <c r="K1846" t="s">
        <v>136</v>
      </c>
      <c r="L1846" t="s">
        <v>33</v>
      </c>
      <c r="M1846" t="s">
        <v>6170</v>
      </c>
      <c r="N1846" t="s">
        <v>6171</v>
      </c>
      <c r="O1846" t="s">
        <v>6172</v>
      </c>
      <c r="P1846" s="2" t="s">
        <v>37</v>
      </c>
      <c r="Q1846" t="s">
        <v>1208</v>
      </c>
      <c r="R1846">
        <v>0.02</v>
      </c>
      <c r="S1846">
        <v>109.55</v>
      </c>
      <c r="T1846" t="s">
        <v>6173</v>
      </c>
    </row>
    <row r="1847" spans="1:20" x14ac:dyDescent="0.25">
      <c r="A1847" s="1" t="str">
        <f>HYPERLINK("https://vegkart.atlas.vegvesen.no/#/@263686.8,7027394.4,18/hva:hva%5B0%5D%5Bfilter%5D%5B0%5D%5Boperator%5D=%21%3D&amp;hva%5B0%5D%5Bfilter%5D%5B0%5D%5Btype_id%5D=4723&amp;hva%5B0%5D%5Bfilter%5D%5B0%5D%5Bverdi%5D=&amp;hva%5B0%5D%5Bid%5D=15/når:2024-08-28", "Vegkart")</f>
        <v>Vegkart</v>
      </c>
      <c r="B1847">
        <v>527407329</v>
      </c>
      <c r="C1847">
        <v>15</v>
      </c>
      <c r="D1847" t="s">
        <v>5814</v>
      </c>
      <c r="E1847">
        <v>4723</v>
      </c>
      <c r="F1847" t="s">
        <v>23479</v>
      </c>
      <c r="G1847">
        <v>2</v>
      </c>
      <c r="H1847" t="s">
        <v>665</v>
      </c>
      <c r="J1847" t="s">
        <v>6174</v>
      </c>
      <c r="K1847" t="s">
        <v>192</v>
      </c>
      <c r="L1847" t="s">
        <v>80</v>
      </c>
      <c r="M1847" t="s">
        <v>105</v>
      </c>
      <c r="N1847" t="s">
        <v>6175</v>
      </c>
      <c r="O1847" t="s">
        <v>6176</v>
      </c>
      <c r="P1847" s="2" t="s">
        <v>37</v>
      </c>
      <c r="Q1847" t="s">
        <v>1208</v>
      </c>
      <c r="R1847">
        <v>2.46</v>
      </c>
      <c r="S1847">
        <v>572.16</v>
      </c>
      <c r="T1847" t="s">
        <v>6177</v>
      </c>
    </row>
    <row r="1848" spans="1:20" x14ac:dyDescent="0.25">
      <c r="A1848" s="1" t="str">
        <f>HYPERLINK("https://vegkart.atlas.vegvesen.no/#/@263756.6,7027437.1,18/hva:hva%5B0%5D%5Bfilter%5D%5B0%5D%5Boperator%5D=%21%3D&amp;hva%5B0%5D%5Bfilter%5D%5B0%5D%5Btype_id%5D=4723&amp;hva%5B0%5D%5Bfilter%5D%5B0%5D%5Bverdi%5D=&amp;hva%5B0%5D%5Bid%5D=15/når:2014-02-02", "Vegkart")</f>
        <v>Vegkart</v>
      </c>
      <c r="B1848">
        <v>527407333</v>
      </c>
      <c r="C1848">
        <v>15</v>
      </c>
      <c r="D1848" t="s">
        <v>5814</v>
      </c>
      <c r="E1848">
        <v>4723</v>
      </c>
      <c r="F1848" t="s">
        <v>23479</v>
      </c>
      <c r="G1848">
        <v>1</v>
      </c>
      <c r="H1848" t="s">
        <v>6178</v>
      </c>
      <c r="J1848" t="s">
        <v>6174</v>
      </c>
      <c r="K1848" t="s">
        <v>192</v>
      </c>
      <c r="L1848" t="s">
        <v>33</v>
      </c>
      <c r="M1848" t="s">
        <v>4117</v>
      </c>
      <c r="N1848" t="s">
        <v>6179</v>
      </c>
      <c r="O1848" t="s">
        <v>6180</v>
      </c>
      <c r="P1848" s="2" t="s">
        <v>37</v>
      </c>
      <c r="Q1848" t="s">
        <v>1208</v>
      </c>
      <c r="R1848">
        <v>3.8</v>
      </c>
      <c r="S1848">
        <v>144.71</v>
      </c>
      <c r="T1848" t="s">
        <v>6181</v>
      </c>
    </row>
    <row r="1849" spans="1:20" x14ac:dyDescent="0.25">
      <c r="A1849" s="1" t="str">
        <f>HYPERLINK("https://vegkart.atlas.vegvesen.no/#/@802234.5,7790086.6,18/hva:hva%5B0%5D%5Bfilter%5D%5B0%5D%5Boperator%5D=%21%3D&amp;hva%5B0%5D%5Bfilter%5D%5B0%5D%5Btype_id%5D=4723&amp;hva%5B0%5D%5Bfilter%5D%5B0%5D%5Bverdi%5D=&amp;hva%5B0%5D%5Bid%5D=15/når:2013-10-26", "Vegkart")</f>
        <v>Vegkart</v>
      </c>
      <c r="B1849">
        <v>529654391</v>
      </c>
      <c r="C1849">
        <v>15</v>
      </c>
      <c r="D1849" t="s">
        <v>5814</v>
      </c>
      <c r="E1849">
        <v>4723</v>
      </c>
      <c r="F1849" t="s">
        <v>23479</v>
      </c>
      <c r="G1849">
        <v>1</v>
      </c>
      <c r="H1849" t="s">
        <v>6182</v>
      </c>
      <c r="J1849" t="s">
        <v>6174</v>
      </c>
      <c r="K1849" t="s">
        <v>450</v>
      </c>
      <c r="L1849" t="s">
        <v>80</v>
      </c>
      <c r="M1849" t="s">
        <v>105</v>
      </c>
      <c r="N1849" t="s">
        <v>6183</v>
      </c>
      <c r="O1849" t="s">
        <v>6184</v>
      </c>
      <c r="P1849" s="2" t="s">
        <v>37</v>
      </c>
      <c r="Q1849" t="s">
        <v>1208</v>
      </c>
      <c r="R1849">
        <v>0</v>
      </c>
      <c r="S1849">
        <v>26.36</v>
      </c>
      <c r="T1849" t="s">
        <v>6185</v>
      </c>
    </row>
    <row r="1850" spans="1:20" x14ac:dyDescent="0.25">
      <c r="A1850" s="1" t="str">
        <f>HYPERLINK("https://vegkart.atlas.vegvesen.no/#/@802328.5,7790069.5,18/hva:hva%5B0%5D%5Bfilter%5D%5B0%5D%5Boperator%5D=%21%3D&amp;hva%5B0%5D%5Bfilter%5D%5B0%5D%5Btype_id%5D=4723&amp;hva%5B0%5D%5Bfilter%5D%5B0%5D%5Bverdi%5D=&amp;hva%5B0%5D%5Bid%5D=15/når:2013-10-26", "Vegkart")</f>
        <v>Vegkart</v>
      </c>
      <c r="B1850">
        <v>529654392</v>
      </c>
      <c r="C1850">
        <v>15</v>
      </c>
      <c r="D1850" t="s">
        <v>5814</v>
      </c>
      <c r="E1850">
        <v>4723</v>
      </c>
      <c r="F1850" t="s">
        <v>23479</v>
      </c>
      <c r="G1850">
        <v>1</v>
      </c>
      <c r="H1850" t="s">
        <v>6182</v>
      </c>
      <c r="J1850" t="s">
        <v>6174</v>
      </c>
      <c r="K1850" t="s">
        <v>450</v>
      </c>
      <c r="L1850" t="s">
        <v>80</v>
      </c>
      <c r="M1850" t="s">
        <v>105</v>
      </c>
      <c r="N1850" t="s">
        <v>6186</v>
      </c>
      <c r="O1850" t="s">
        <v>6187</v>
      </c>
      <c r="P1850" s="2" t="s">
        <v>37</v>
      </c>
      <c r="Q1850" t="s">
        <v>1208</v>
      </c>
      <c r="R1850">
        <v>0</v>
      </c>
      <c r="S1850">
        <v>69.650000000000006</v>
      </c>
      <c r="T1850" t="s">
        <v>6188</v>
      </c>
    </row>
    <row r="1851" spans="1:20" x14ac:dyDescent="0.25">
      <c r="A1851" s="1" t="str">
        <f>HYPERLINK("https://vegkart.atlas.vegvesen.no/#/@802275.3,7790071.5,18/hva:hva%5B0%5D%5Bfilter%5D%5B0%5D%5Boperator%5D=%21%3D&amp;hva%5B0%5D%5Bfilter%5D%5B0%5D%5Btype_id%5D=4723&amp;hva%5B0%5D%5Bfilter%5D%5B0%5D%5Bverdi%5D=&amp;hva%5B0%5D%5Bid%5D=15/når:2013-10-26", "Vegkart")</f>
        <v>Vegkart</v>
      </c>
      <c r="B1851">
        <v>529654393</v>
      </c>
      <c r="C1851">
        <v>15</v>
      </c>
      <c r="D1851" t="s">
        <v>5814</v>
      </c>
      <c r="E1851">
        <v>4723</v>
      </c>
      <c r="F1851" t="s">
        <v>23479</v>
      </c>
      <c r="G1851">
        <v>1</v>
      </c>
      <c r="H1851" t="s">
        <v>6182</v>
      </c>
      <c r="J1851" t="s">
        <v>6174</v>
      </c>
      <c r="K1851" t="s">
        <v>450</v>
      </c>
      <c r="L1851" t="s">
        <v>80</v>
      </c>
      <c r="M1851" t="s">
        <v>105</v>
      </c>
      <c r="N1851" t="s">
        <v>6189</v>
      </c>
      <c r="O1851" t="s">
        <v>6190</v>
      </c>
      <c r="P1851" s="2" t="s">
        <v>37</v>
      </c>
      <c r="Q1851" t="s">
        <v>1208</v>
      </c>
      <c r="R1851">
        <v>0</v>
      </c>
      <c r="S1851">
        <v>129.83000000000001</v>
      </c>
      <c r="T1851" t="s">
        <v>6191</v>
      </c>
    </row>
    <row r="1852" spans="1:20" x14ac:dyDescent="0.25">
      <c r="A1852" s="1" t="str">
        <f>HYPERLINK("https://vegkart.atlas.vegvesen.no/#/@265828.5,6650792.5,18/hva:hva%5B0%5D%5Bfilter%5D%5B0%5D%5Boperator%5D=%21%3D&amp;hva%5B0%5D%5Bfilter%5D%5B0%5D%5Btype_id%5D=4723&amp;hva%5B0%5D%5Bfilter%5D%5B0%5D%5Bverdi%5D=&amp;hva%5B0%5D%5Bid%5D=15/når:2013-07-01", "Vegkart")</f>
        <v>Vegkart</v>
      </c>
      <c r="B1852">
        <v>530721753</v>
      </c>
      <c r="C1852">
        <v>15</v>
      </c>
      <c r="D1852" t="s">
        <v>5814</v>
      </c>
      <c r="E1852">
        <v>4723</v>
      </c>
      <c r="F1852" t="s">
        <v>23479</v>
      </c>
      <c r="G1852">
        <v>1</v>
      </c>
      <c r="H1852" t="s">
        <v>799</v>
      </c>
      <c r="J1852" t="s">
        <v>6174</v>
      </c>
      <c r="K1852" t="s">
        <v>335</v>
      </c>
      <c r="L1852" t="s">
        <v>22</v>
      </c>
      <c r="M1852" t="s">
        <v>6192</v>
      </c>
      <c r="N1852" t="s">
        <v>6193</v>
      </c>
      <c r="O1852" t="s">
        <v>6194</v>
      </c>
      <c r="P1852" s="2" t="s">
        <v>165</v>
      </c>
      <c r="Q1852" t="s">
        <v>641</v>
      </c>
      <c r="R1852">
        <v>0</v>
      </c>
      <c r="S1852">
        <v>158.1</v>
      </c>
      <c r="T1852" t="s">
        <v>167</v>
      </c>
    </row>
    <row r="1853" spans="1:20" x14ac:dyDescent="0.25">
      <c r="A1853" s="1" t="str">
        <f>HYPERLINK("https://vegkart.atlas.vegvesen.no/#/@75263.5,6460314.3,18/hva:hva%5B0%5D%5Bfilter%5D%5B0%5D%5Boperator%5D=%21%3D&amp;hva%5B0%5D%5Bfilter%5D%5B0%5D%5Btype_id%5D=4723&amp;hva%5B0%5D%5Bfilter%5D%5B0%5D%5Bverdi%5D=&amp;hva%5B0%5D%5Bid%5D=15/når:2009-10-27", "Vegkart")</f>
        <v>Vegkart</v>
      </c>
      <c r="B1853">
        <v>564950112</v>
      </c>
      <c r="C1853">
        <v>15</v>
      </c>
      <c r="D1853" t="s">
        <v>5814</v>
      </c>
      <c r="E1853">
        <v>4723</v>
      </c>
      <c r="F1853" t="s">
        <v>23479</v>
      </c>
      <c r="G1853">
        <v>1</v>
      </c>
      <c r="H1853" t="s">
        <v>6195</v>
      </c>
      <c r="J1853" t="s">
        <v>6196</v>
      </c>
      <c r="K1853" t="s">
        <v>86</v>
      </c>
      <c r="L1853" t="s">
        <v>33</v>
      </c>
      <c r="M1853" t="s">
        <v>6197</v>
      </c>
      <c r="N1853" t="s">
        <v>6198</v>
      </c>
      <c r="O1853" t="s">
        <v>6199</v>
      </c>
      <c r="P1853" s="2" t="s">
        <v>165</v>
      </c>
      <c r="Q1853" t="s">
        <v>641</v>
      </c>
      <c r="R1853">
        <v>0</v>
      </c>
      <c r="S1853">
        <v>188.32</v>
      </c>
      <c r="T1853" t="s">
        <v>167</v>
      </c>
    </row>
    <row r="1854" spans="1:20" x14ac:dyDescent="0.25">
      <c r="A1854" s="1" t="str">
        <f>HYPERLINK("https://vegkart.atlas.vegvesen.no/#/@270388.9,7038568.3,18/hva:hva%5B0%5D%5Bfilter%5D%5B0%5D%5Boperator%5D=%21%3D&amp;hva%5B0%5D%5Bfilter%5D%5B0%5D%5Btype_id%5D=4723&amp;hva%5B0%5D%5Bfilter%5D%5B0%5D%5Bverdi%5D=&amp;hva%5B0%5D%5Bid%5D=15/når:2024-08-30", "Vegkart")</f>
        <v>Vegkart</v>
      </c>
      <c r="B1854">
        <v>578965585</v>
      </c>
      <c r="C1854">
        <v>15</v>
      </c>
      <c r="D1854" t="s">
        <v>5814</v>
      </c>
      <c r="E1854">
        <v>4723</v>
      </c>
      <c r="F1854" t="s">
        <v>23479</v>
      </c>
      <c r="G1854">
        <v>3</v>
      </c>
      <c r="H1854" t="s">
        <v>6200</v>
      </c>
      <c r="J1854" t="s">
        <v>6201</v>
      </c>
      <c r="K1854" t="s">
        <v>192</v>
      </c>
      <c r="L1854" t="s">
        <v>80</v>
      </c>
      <c r="M1854" t="s">
        <v>105</v>
      </c>
      <c r="N1854" t="s">
        <v>6202</v>
      </c>
      <c r="O1854" t="s">
        <v>6203</v>
      </c>
      <c r="P1854" s="2" t="s">
        <v>37</v>
      </c>
      <c r="Q1854" t="s">
        <v>1208</v>
      </c>
      <c r="R1854">
        <v>0</v>
      </c>
      <c r="S1854">
        <v>109.86</v>
      </c>
      <c r="T1854" t="s">
        <v>6204</v>
      </c>
    </row>
    <row r="1855" spans="1:20" x14ac:dyDescent="0.25">
      <c r="A1855" s="1" t="str">
        <f>HYPERLINK("https://vegkart.atlas.vegvesen.no/#/@270409.8,7038582.7,18/hva:hva%5B0%5D%5Bfilter%5D%5B0%5D%5Boperator%5D=%21%3D&amp;hva%5B0%5D%5Bfilter%5D%5B0%5D%5Btype_id%5D=4723&amp;hva%5B0%5D%5Bfilter%5D%5B0%5D%5Bverdi%5D=&amp;hva%5B0%5D%5Bid%5D=15/når:2024-08-30", "Vegkart")</f>
        <v>Vegkart</v>
      </c>
      <c r="B1855">
        <v>578965586</v>
      </c>
      <c r="C1855">
        <v>15</v>
      </c>
      <c r="D1855" t="s">
        <v>5814</v>
      </c>
      <c r="E1855">
        <v>4723</v>
      </c>
      <c r="F1855" t="s">
        <v>23479</v>
      </c>
      <c r="G1855">
        <v>3</v>
      </c>
      <c r="H1855" t="s">
        <v>6200</v>
      </c>
      <c r="J1855" t="s">
        <v>6201</v>
      </c>
      <c r="K1855" t="s">
        <v>192</v>
      </c>
      <c r="L1855" t="s">
        <v>80</v>
      </c>
      <c r="M1855" t="s">
        <v>105</v>
      </c>
      <c r="N1855" t="s">
        <v>6205</v>
      </c>
      <c r="O1855" t="s">
        <v>6206</v>
      </c>
      <c r="P1855" s="2" t="s">
        <v>37</v>
      </c>
      <c r="Q1855" t="s">
        <v>1208</v>
      </c>
      <c r="R1855">
        <v>0.04</v>
      </c>
      <c r="S1855">
        <v>85.58</v>
      </c>
      <c r="T1855" t="s">
        <v>6207</v>
      </c>
    </row>
    <row r="1856" spans="1:20" x14ac:dyDescent="0.25">
      <c r="A1856" s="1" t="str">
        <f>HYPERLINK("https://vegkart.atlas.vegvesen.no/#/@270408.0,7038536.9,18/hva:hva%5B0%5D%5Bfilter%5D%5B0%5D%5Boperator%5D=%21%3D&amp;hva%5B0%5D%5Bfilter%5D%5B0%5D%5Btype_id%5D=4723&amp;hva%5B0%5D%5Bfilter%5D%5B0%5D%5Bverdi%5D=&amp;hva%5B0%5D%5Bid%5D=15/når:2024-08-30", "Vegkart")</f>
        <v>Vegkart</v>
      </c>
      <c r="B1856">
        <v>578965589</v>
      </c>
      <c r="C1856">
        <v>15</v>
      </c>
      <c r="D1856" t="s">
        <v>5814</v>
      </c>
      <c r="E1856">
        <v>4723</v>
      </c>
      <c r="F1856" t="s">
        <v>23479</v>
      </c>
      <c r="G1856">
        <v>3</v>
      </c>
      <c r="H1856" t="s">
        <v>6200</v>
      </c>
      <c r="J1856" t="s">
        <v>6201</v>
      </c>
      <c r="K1856" t="s">
        <v>192</v>
      </c>
      <c r="L1856" t="s">
        <v>80</v>
      </c>
      <c r="M1856" t="s">
        <v>105</v>
      </c>
      <c r="N1856" t="s">
        <v>6208</v>
      </c>
      <c r="O1856" t="s">
        <v>6209</v>
      </c>
      <c r="P1856" s="2" t="s">
        <v>37</v>
      </c>
      <c r="Q1856" t="s">
        <v>1208</v>
      </c>
      <c r="R1856">
        <v>0.12</v>
      </c>
      <c r="S1856">
        <v>220.92</v>
      </c>
      <c r="T1856" t="s">
        <v>6210</v>
      </c>
    </row>
    <row r="1857" spans="1:20" x14ac:dyDescent="0.25">
      <c r="A1857" s="1" t="str">
        <f>HYPERLINK("https://vegkart.atlas.vegvesen.no/#/@270415.5,7038610.2,18/hva:hva%5B0%5D%5Bfilter%5D%5B0%5D%5Boperator%5D=%21%3D&amp;hva%5B0%5D%5Bfilter%5D%5B0%5D%5Btype_id%5D=4723&amp;hva%5B0%5D%5Bfilter%5D%5B0%5D%5Bverdi%5D=&amp;hva%5B0%5D%5Bid%5D=15/når:2024-08-30", "Vegkart")</f>
        <v>Vegkart</v>
      </c>
      <c r="B1857">
        <v>578966228</v>
      </c>
      <c r="C1857">
        <v>15</v>
      </c>
      <c r="D1857" t="s">
        <v>5814</v>
      </c>
      <c r="E1857">
        <v>4723</v>
      </c>
      <c r="F1857" t="s">
        <v>23479</v>
      </c>
      <c r="G1857">
        <v>3</v>
      </c>
      <c r="H1857" t="s">
        <v>6200</v>
      </c>
      <c r="J1857" t="s">
        <v>6201</v>
      </c>
      <c r="K1857" t="s">
        <v>192</v>
      </c>
      <c r="L1857" t="s">
        <v>80</v>
      </c>
      <c r="M1857" t="s">
        <v>105</v>
      </c>
      <c r="N1857" t="s">
        <v>6211</v>
      </c>
      <c r="O1857" t="s">
        <v>6212</v>
      </c>
      <c r="P1857" s="2" t="s">
        <v>37</v>
      </c>
      <c r="Q1857" t="s">
        <v>1208</v>
      </c>
      <c r="R1857">
        <v>0</v>
      </c>
      <c r="S1857">
        <v>34.82</v>
      </c>
      <c r="T1857" t="s">
        <v>6213</v>
      </c>
    </row>
    <row r="1858" spans="1:20" x14ac:dyDescent="0.25">
      <c r="A1858" s="1" t="str">
        <f>HYPERLINK("https://vegkart.atlas.vegvesen.no/#/@270405.2,7038630.3,18/hva:hva%5B0%5D%5Bfilter%5D%5B0%5D%5Boperator%5D=%21%3D&amp;hva%5B0%5D%5Bfilter%5D%5B0%5D%5Btype_id%5D=4723&amp;hva%5B0%5D%5Bfilter%5D%5B0%5D%5Bverdi%5D=&amp;hva%5B0%5D%5Bid%5D=15/når:2024-08-30", "Vegkart")</f>
        <v>Vegkart</v>
      </c>
      <c r="B1858">
        <v>578966229</v>
      </c>
      <c r="C1858">
        <v>15</v>
      </c>
      <c r="D1858" t="s">
        <v>5814</v>
      </c>
      <c r="E1858">
        <v>4723</v>
      </c>
      <c r="F1858" t="s">
        <v>23479</v>
      </c>
      <c r="G1858">
        <v>3</v>
      </c>
      <c r="H1858" t="s">
        <v>6200</v>
      </c>
      <c r="J1858" t="s">
        <v>6201</v>
      </c>
      <c r="K1858" t="s">
        <v>192</v>
      </c>
      <c r="L1858" t="s">
        <v>80</v>
      </c>
      <c r="M1858" t="s">
        <v>105</v>
      </c>
      <c r="N1858" t="s">
        <v>6214</v>
      </c>
      <c r="O1858" t="s">
        <v>6215</v>
      </c>
      <c r="P1858" s="2" t="s">
        <v>165</v>
      </c>
      <c r="Q1858" t="s">
        <v>641</v>
      </c>
      <c r="R1858">
        <v>0.26</v>
      </c>
      <c r="S1858">
        <v>32.69</v>
      </c>
      <c r="T1858" t="s">
        <v>167</v>
      </c>
    </row>
    <row r="1859" spans="1:20" x14ac:dyDescent="0.25">
      <c r="A1859" s="1" t="str">
        <f>HYPERLINK("https://vegkart.atlas.vegvesen.no/#/@270709.9,6664581.0,18/hva:hva%5B0%5D%5Bfilter%5D%5B0%5D%5Boperator%5D=%21%3D&amp;hva%5B0%5D%5Bfilter%5D%5B0%5D%5Btype_id%5D=4723&amp;hva%5B0%5D%5Bfilter%5D%5B0%5D%5Bverdi%5D=&amp;hva%5B0%5D%5Bid%5D=15/når:2014-12-02", "Vegkart")</f>
        <v>Vegkart</v>
      </c>
      <c r="B1859">
        <v>579091436</v>
      </c>
      <c r="C1859">
        <v>15</v>
      </c>
      <c r="D1859" t="s">
        <v>5814</v>
      </c>
      <c r="E1859">
        <v>4723</v>
      </c>
      <c r="F1859" t="s">
        <v>23479</v>
      </c>
      <c r="G1859">
        <v>1</v>
      </c>
      <c r="H1859" t="s">
        <v>6216</v>
      </c>
      <c r="J1859" t="s">
        <v>6217</v>
      </c>
      <c r="K1859" t="s">
        <v>132</v>
      </c>
      <c r="L1859" t="s">
        <v>33</v>
      </c>
      <c r="M1859" t="s">
        <v>6218</v>
      </c>
      <c r="N1859" t="s">
        <v>6219</v>
      </c>
      <c r="O1859" t="s">
        <v>6220</v>
      </c>
      <c r="P1859" s="2" t="s">
        <v>165</v>
      </c>
      <c r="Q1859" t="s">
        <v>641</v>
      </c>
      <c r="R1859">
        <v>0</v>
      </c>
      <c r="S1859">
        <v>124.71</v>
      </c>
      <c r="T1859" t="s">
        <v>167</v>
      </c>
    </row>
    <row r="1860" spans="1:20" x14ac:dyDescent="0.25">
      <c r="A1860" s="1" t="str">
        <f>HYPERLINK("https://vegkart.atlas.vegvesen.no/#/@279192.3,6673321.2,18/hva:hva%5B0%5D%5Bfilter%5D%5B0%5D%5Boperator%5D=%21%3D&amp;hva%5B0%5D%5Bfilter%5D%5B0%5D%5Btype_id%5D=4723&amp;hva%5B0%5D%5Bfilter%5D%5B0%5D%5Bverdi%5D=&amp;hva%5B0%5D%5Bid%5D=15/når:2014-12-02", "Vegkart")</f>
        <v>Vegkart</v>
      </c>
      <c r="B1860">
        <v>579113368</v>
      </c>
      <c r="C1860">
        <v>15</v>
      </c>
      <c r="D1860" t="s">
        <v>5814</v>
      </c>
      <c r="E1860">
        <v>4723</v>
      </c>
      <c r="F1860" t="s">
        <v>23479</v>
      </c>
      <c r="G1860">
        <v>1</v>
      </c>
      <c r="H1860" t="s">
        <v>6216</v>
      </c>
      <c r="J1860" t="s">
        <v>6217</v>
      </c>
      <c r="K1860" t="s">
        <v>132</v>
      </c>
      <c r="L1860" t="s">
        <v>33</v>
      </c>
      <c r="M1860" t="s">
        <v>288</v>
      </c>
      <c r="N1860" t="s">
        <v>6221</v>
      </c>
      <c r="O1860" t="s">
        <v>6222</v>
      </c>
      <c r="P1860" s="2" t="s">
        <v>165</v>
      </c>
      <c r="Q1860" t="s">
        <v>641</v>
      </c>
      <c r="R1860">
        <v>0</v>
      </c>
      <c r="S1860">
        <v>300.47000000000003</v>
      </c>
      <c r="T1860" t="s">
        <v>167</v>
      </c>
    </row>
    <row r="1861" spans="1:20" x14ac:dyDescent="0.25">
      <c r="A1861" s="1" t="str">
        <f>HYPERLINK("https://vegkart.atlas.vegvesen.no/#/@279151.9,6673307.4,18/hva:hva%5B0%5D%5Bfilter%5D%5B0%5D%5Boperator%5D=%21%3D&amp;hva%5B0%5D%5Bfilter%5D%5B0%5D%5Btype_id%5D=4723&amp;hva%5B0%5D%5Bfilter%5D%5B0%5D%5Bverdi%5D=&amp;hva%5B0%5D%5Bid%5D=15/når:2014-12-02", "Vegkart")</f>
        <v>Vegkart</v>
      </c>
      <c r="B1861">
        <v>579113371</v>
      </c>
      <c r="C1861">
        <v>15</v>
      </c>
      <c r="D1861" t="s">
        <v>5814</v>
      </c>
      <c r="E1861">
        <v>4723</v>
      </c>
      <c r="F1861" t="s">
        <v>23479</v>
      </c>
      <c r="G1861">
        <v>1</v>
      </c>
      <c r="H1861" t="s">
        <v>6216</v>
      </c>
      <c r="J1861" t="s">
        <v>6217</v>
      </c>
      <c r="K1861" t="s">
        <v>132</v>
      </c>
      <c r="L1861" t="s">
        <v>33</v>
      </c>
      <c r="M1861" t="s">
        <v>6223</v>
      </c>
      <c r="N1861" t="s">
        <v>6224</v>
      </c>
      <c r="O1861" t="s">
        <v>6225</v>
      </c>
      <c r="P1861" s="2" t="s">
        <v>165</v>
      </c>
      <c r="Q1861" t="s">
        <v>641</v>
      </c>
      <c r="R1861">
        <v>0</v>
      </c>
      <c r="S1861">
        <v>112.15</v>
      </c>
      <c r="T1861" t="s">
        <v>167</v>
      </c>
    </row>
    <row r="1862" spans="1:20" x14ac:dyDescent="0.25">
      <c r="A1862" s="1" t="str">
        <f>HYPERLINK("https://vegkart.atlas.vegvesen.no/#/@283239.8,6698003.3,18/hva:hva%5B0%5D%5Bfilter%5D%5B0%5D%5Boperator%5D=%21%3D&amp;hva%5B0%5D%5Bfilter%5D%5B0%5D%5Btype_id%5D=4723&amp;hva%5B0%5D%5Bfilter%5D%5B0%5D%5Bverdi%5D=&amp;hva%5B0%5D%5Bid%5D=15/når:2014-12-02", "Vegkart")</f>
        <v>Vegkart</v>
      </c>
      <c r="B1862">
        <v>579123691</v>
      </c>
      <c r="C1862">
        <v>15</v>
      </c>
      <c r="D1862" t="s">
        <v>5814</v>
      </c>
      <c r="E1862">
        <v>4723</v>
      </c>
      <c r="F1862" t="s">
        <v>23479</v>
      </c>
      <c r="G1862">
        <v>1</v>
      </c>
      <c r="H1862" t="s">
        <v>6216</v>
      </c>
      <c r="J1862" t="s">
        <v>6217</v>
      </c>
      <c r="K1862" t="s">
        <v>132</v>
      </c>
      <c r="L1862" t="s">
        <v>33</v>
      </c>
      <c r="M1862" t="s">
        <v>6226</v>
      </c>
      <c r="N1862" t="s">
        <v>6227</v>
      </c>
      <c r="O1862" t="s">
        <v>6228</v>
      </c>
      <c r="P1862" s="2" t="s">
        <v>165</v>
      </c>
      <c r="Q1862" t="s">
        <v>641</v>
      </c>
      <c r="R1862">
        <v>0</v>
      </c>
      <c r="S1862">
        <v>376.32</v>
      </c>
      <c r="T1862" t="s">
        <v>167</v>
      </c>
    </row>
    <row r="1863" spans="1:20" x14ac:dyDescent="0.25">
      <c r="A1863" s="1" t="str">
        <f>HYPERLINK("https://vegkart.atlas.vegvesen.no/#/@-29094.5,6743365.8,18/hva:hva%5B0%5D%5Bfilter%5D%5B0%5D%5Boperator%5D=%21%3D&amp;hva%5B0%5D%5Bfilter%5D%5B0%5D%5Btype_id%5D=4723&amp;hva%5B0%5D%5Bfilter%5D%5B0%5D%5Bverdi%5D=&amp;hva%5B0%5D%5Bid%5D=15/når:2015-01-16", "Vegkart")</f>
        <v>Vegkart</v>
      </c>
      <c r="B1863">
        <v>579126300</v>
      </c>
      <c r="C1863">
        <v>15</v>
      </c>
      <c r="D1863" t="s">
        <v>5814</v>
      </c>
      <c r="E1863">
        <v>4723</v>
      </c>
      <c r="F1863" t="s">
        <v>23479</v>
      </c>
      <c r="G1863">
        <v>1</v>
      </c>
      <c r="H1863" t="s">
        <v>6229</v>
      </c>
      <c r="J1863" t="s">
        <v>6217</v>
      </c>
      <c r="K1863" t="s">
        <v>21</v>
      </c>
      <c r="L1863" t="s">
        <v>80</v>
      </c>
      <c r="M1863" t="s">
        <v>81</v>
      </c>
      <c r="N1863" t="s">
        <v>6230</v>
      </c>
      <c r="O1863" t="s">
        <v>6231</v>
      </c>
      <c r="P1863" s="2" t="s">
        <v>37</v>
      </c>
      <c r="Q1863" t="s">
        <v>1208</v>
      </c>
      <c r="R1863">
        <v>3.3</v>
      </c>
      <c r="S1863">
        <v>180.82</v>
      </c>
      <c r="T1863" t="s">
        <v>6232</v>
      </c>
    </row>
    <row r="1864" spans="1:20" x14ac:dyDescent="0.25">
      <c r="A1864" s="1" t="str">
        <f>HYPERLINK("https://vegkart.atlas.vegvesen.no/#/@-27910.8,6743852.6,18/hva:hva%5B0%5D%5Bfilter%5D%5B0%5D%5Boperator%5D=%21%3D&amp;hva%5B0%5D%5Bfilter%5D%5B0%5D%5Btype_id%5D=4723&amp;hva%5B0%5D%5Bfilter%5D%5B0%5D%5Bverdi%5D=&amp;hva%5B0%5D%5Bid%5D=15/når:2015-03-24", "Vegkart")</f>
        <v>Vegkart</v>
      </c>
      <c r="B1864">
        <v>579126318</v>
      </c>
      <c r="C1864">
        <v>15</v>
      </c>
      <c r="D1864" t="s">
        <v>5814</v>
      </c>
      <c r="E1864">
        <v>4723</v>
      </c>
      <c r="F1864" t="s">
        <v>23479</v>
      </c>
      <c r="G1864">
        <v>2</v>
      </c>
      <c r="H1864" t="s">
        <v>5923</v>
      </c>
      <c r="J1864" t="s">
        <v>6217</v>
      </c>
      <c r="K1864" t="s">
        <v>21</v>
      </c>
      <c r="L1864" t="s">
        <v>80</v>
      </c>
      <c r="M1864" t="s">
        <v>81</v>
      </c>
      <c r="N1864" t="s">
        <v>6233</v>
      </c>
      <c r="O1864" t="s">
        <v>6234</v>
      </c>
      <c r="P1864" s="2" t="s">
        <v>67</v>
      </c>
      <c r="Q1864" t="s">
        <v>68</v>
      </c>
      <c r="R1864">
        <v>28.29</v>
      </c>
      <c r="S1864">
        <v>39.26</v>
      </c>
      <c r="T1864" t="s">
        <v>6235</v>
      </c>
    </row>
    <row r="1865" spans="1:20" x14ac:dyDescent="0.25">
      <c r="A1865" s="1" t="str">
        <f>HYPERLINK("https://vegkart.atlas.vegvesen.no/#/@-27888.5,6743867.9,18/hva:hva%5B0%5D%5Bfilter%5D%5B0%5D%5Boperator%5D=%21%3D&amp;hva%5B0%5D%5Bfilter%5D%5B0%5D%5Btype_id%5D=4723&amp;hva%5B0%5D%5Bfilter%5D%5B0%5D%5Bverdi%5D=&amp;hva%5B0%5D%5Bid%5D=15/når:2015-03-24", "Vegkart")</f>
        <v>Vegkart</v>
      </c>
      <c r="B1865">
        <v>579126321</v>
      </c>
      <c r="C1865">
        <v>15</v>
      </c>
      <c r="D1865" t="s">
        <v>5814</v>
      </c>
      <c r="E1865">
        <v>4723</v>
      </c>
      <c r="F1865" t="s">
        <v>23479</v>
      </c>
      <c r="G1865">
        <v>2</v>
      </c>
      <c r="H1865" t="s">
        <v>5923</v>
      </c>
      <c r="J1865" t="s">
        <v>6217</v>
      </c>
      <c r="K1865" t="s">
        <v>21</v>
      </c>
      <c r="L1865" t="s">
        <v>80</v>
      </c>
      <c r="M1865" t="s">
        <v>81</v>
      </c>
      <c r="N1865" t="s">
        <v>6236</v>
      </c>
      <c r="O1865" t="s">
        <v>6237</v>
      </c>
      <c r="P1865" s="2" t="s">
        <v>165</v>
      </c>
      <c r="Q1865" t="s">
        <v>641</v>
      </c>
      <c r="R1865">
        <v>0</v>
      </c>
      <c r="S1865">
        <v>218.72</v>
      </c>
      <c r="T1865" t="s">
        <v>167</v>
      </c>
    </row>
    <row r="1866" spans="1:20" x14ac:dyDescent="0.25">
      <c r="A1866" s="1" t="str">
        <f>HYPERLINK("https://vegkart.atlas.vegvesen.no/#/@290683.4,6694091.2,18/hva:hva%5B0%5D%5Bfilter%5D%5B0%5D%5Boperator%5D=%21%3D&amp;hva%5B0%5D%5Bfilter%5D%5B0%5D%5Btype_id%5D=4723&amp;hva%5B0%5D%5Bfilter%5D%5B0%5D%5Bverdi%5D=&amp;hva%5B0%5D%5Bid%5D=15/når:2014-12-02", "Vegkart")</f>
        <v>Vegkart</v>
      </c>
      <c r="B1866">
        <v>579130101</v>
      </c>
      <c r="C1866">
        <v>15</v>
      </c>
      <c r="D1866" t="s">
        <v>5814</v>
      </c>
      <c r="E1866">
        <v>4723</v>
      </c>
      <c r="F1866" t="s">
        <v>23479</v>
      </c>
      <c r="G1866">
        <v>1</v>
      </c>
      <c r="H1866" t="s">
        <v>6216</v>
      </c>
      <c r="J1866" t="s">
        <v>6217</v>
      </c>
      <c r="K1866" t="s">
        <v>132</v>
      </c>
      <c r="L1866" t="s">
        <v>33</v>
      </c>
      <c r="M1866" t="s">
        <v>6238</v>
      </c>
      <c r="N1866" t="s">
        <v>6239</v>
      </c>
      <c r="O1866" t="s">
        <v>6240</v>
      </c>
      <c r="P1866" s="2" t="s">
        <v>165</v>
      </c>
      <c r="Q1866" t="s">
        <v>641</v>
      </c>
      <c r="R1866">
        <v>0</v>
      </c>
      <c r="S1866">
        <v>1418.29</v>
      </c>
      <c r="T1866" t="s">
        <v>167</v>
      </c>
    </row>
    <row r="1867" spans="1:20" x14ac:dyDescent="0.25">
      <c r="A1867" s="1" t="str">
        <f>HYPERLINK("https://vegkart.atlas.vegvesen.no/#/@293641.9,6693731.2,18/hva:hva%5B0%5D%5Bfilter%5D%5B0%5D%5Boperator%5D=%21%3D&amp;hva%5B0%5D%5Bfilter%5D%5B0%5D%5Btype_id%5D=4723&amp;hva%5B0%5D%5Bfilter%5D%5B0%5D%5Bverdi%5D=&amp;hva%5B0%5D%5Bid%5D=15/når:2014-12-02", "Vegkart")</f>
        <v>Vegkart</v>
      </c>
      <c r="B1867">
        <v>579130355</v>
      </c>
      <c r="C1867">
        <v>15</v>
      </c>
      <c r="D1867" t="s">
        <v>5814</v>
      </c>
      <c r="E1867">
        <v>4723</v>
      </c>
      <c r="F1867" t="s">
        <v>23479</v>
      </c>
      <c r="G1867">
        <v>1</v>
      </c>
      <c r="H1867" t="s">
        <v>6216</v>
      </c>
      <c r="J1867" t="s">
        <v>6217</v>
      </c>
      <c r="K1867" t="s">
        <v>132</v>
      </c>
      <c r="L1867" t="s">
        <v>33</v>
      </c>
      <c r="M1867" t="s">
        <v>6238</v>
      </c>
      <c r="N1867" t="s">
        <v>6241</v>
      </c>
      <c r="O1867" t="s">
        <v>6242</v>
      </c>
      <c r="P1867" s="2" t="s">
        <v>165</v>
      </c>
      <c r="Q1867" t="s">
        <v>641</v>
      </c>
      <c r="R1867">
        <v>0</v>
      </c>
      <c r="S1867">
        <v>184.79</v>
      </c>
      <c r="T1867" t="s">
        <v>167</v>
      </c>
    </row>
    <row r="1868" spans="1:20" x14ac:dyDescent="0.25">
      <c r="A1868" s="1" t="str">
        <f>HYPERLINK("https://vegkart.atlas.vegvesen.no/#/@272067.3,6894011.5,18/hva:hva%5B0%5D%5Bfilter%5D%5B0%5D%5Boperator%5D=%21%3D&amp;hva%5B0%5D%5Bfilter%5D%5B0%5D%5Btype_id%5D=4723&amp;hva%5B0%5D%5Bfilter%5D%5B0%5D%5Bverdi%5D=&amp;hva%5B0%5D%5Bid%5D=15/når:2022-08-22", "Vegkart")</f>
        <v>Vegkart</v>
      </c>
      <c r="B1868">
        <v>579195454</v>
      </c>
      <c r="C1868">
        <v>15</v>
      </c>
      <c r="D1868" t="s">
        <v>5814</v>
      </c>
      <c r="E1868">
        <v>4723</v>
      </c>
      <c r="F1868" t="s">
        <v>23479</v>
      </c>
      <c r="G1868">
        <v>2</v>
      </c>
      <c r="H1868" t="s">
        <v>124</v>
      </c>
      <c r="J1868" t="s">
        <v>6243</v>
      </c>
      <c r="K1868" t="s">
        <v>136</v>
      </c>
      <c r="L1868" t="s">
        <v>22</v>
      </c>
      <c r="M1868" t="s">
        <v>6244</v>
      </c>
      <c r="N1868" t="s">
        <v>6245</v>
      </c>
      <c r="O1868" t="s">
        <v>6246</v>
      </c>
      <c r="P1868" s="2" t="s">
        <v>165</v>
      </c>
      <c r="Q1868" t="s">
        <v>641</v>
      </c>
      <c r="R1868">
        <v>0</v>
      </c>
      <c r="S1868">
        <v>23.47</v>
      </c>
      <c r="T1868" t="s">
        <v>167</v>
      </c>
    </row>
    <row r="1869" spans="1:20" x14ac:dyDescent="0.25">
      <c r="A1869" s="1" t="str">
        <f>HYPERLINK("https://vegkart.atlas.vegvesen.no/#/@280577.3,6911674.3,18/hva:hva%5B0%5D%5Bfilter%5D%5B0%5D%5Boperator%5D=%21%3D&amp;hva%5B0%5D%5Bfilter%5D%5B0%5D%5Btype_id%5D=4723&amp;hva%5B0%5D%5Bfilter%5D%5B0%5D%5Bverdi%5D=&amp;hva%5B0%5D%5Bid%5D=15/når:2025-10-01", "Vegkart")</f>
        <v>Vegkart</v>
      </c>
      <c r="B1869">
        <v>579195533</v>
      </c>
      <c r="C1869">
        <v>15</v>
      </c>
      <c r="D1869" t="s">
        <v>5814</v>
      </c>
      <c r="E1869">
        <v>4723</v>
      </c>
      <c r="F1869" t="s">
        <v>23479</v>
      </c>
      <c r="G1869">
        <v>2</v>
      </c>
      <c r="H1869" t="s">
        <v>6247</v>
      </c>
      <c r="J1869" t="s">
        <v>6243</v>
      </c>
      <c r="K1869" t="s">
        <v>136</v>
      </c>
      <c r="L1869" t="s">
        <v>33</v>
      </c>
      <c r="M1869" t="s">
        <v>6248</v>
      </c>
      <c r="N1869" t="s">
        <v>6249</v>
      </c>
      <c r="O1869" t="s">
        <v>6250</v>
      </c>
      <c r="P1869" s="2" t="s">
        <v>165</v>
      </c>
      <c r="Q1869" t="s">
        <v>641</v>
      </c>
      <c r="R1869">
        <v>0</v>
      </c>
      <c r="S1869">
        <v>46.83</v>
      </c>
      <c r="T1869" t="s">
        <v>167</v>
      </c>
    </row>
    <row r="1870" spans="1:20" x14ac:dyDescent="0.25">
      <c r="A1870" s="1" t="str">
        <f>HYPERLINK("https://vegkart.atlas.vegvesen.no/#/@280796.4,6912413.4,18/hva:hva%5B0%5D%5Bfilter%5D%5B0%5D%5Boperator%5D=%21%3D&amp;hva%5B0%5D%5Bfilter%5D%5B0%5D%5Btype_id%5D=4723&amp;hva%5B0%5D%5Bfilter%5D%5B0%5D%5Bverdi%5D=&amp;hva%5B0%5D%5Bid%5D=15/når:2025-10-01", "Vegkart")</f>
        <v>Vegkart</v>
      </c>
      <c r="B1870">
        <v>579195627</v>
      </c>
      <c r="C1870">
        <v>15</v>
      </c>
      <c r="D1870" t="s">
        <v>5814</v>
      </c>
      <c r="E1870">
        <v>4723</v>
      </c>
      <c r="F1870" t="s">
        <v>23479</v>
      </c>
      <c r="G1870">
        <v>2</v>
      </c>
      <c r="H1870" t="s">
        <v>6247</v>
      </c>
      <c r="J1870" t="s">
        <v>6243</v>
      </c>
      <c r="K1870" t="s">
        <v>136</v>
      </c>
      <c r="L1870" t="s">
        <v>33</v>
      </c>
      <c r="M1870" t="s">
        <v>6251</v>
      </c>
      <c r="N1870" t="s">
        <v>6252</v>
      </c>
      <c r="O1870" t="s">
        <v>6253</v>
      </c>
      <c r="P1870" s="2" t="s">
        <v>165</v>
      </c>
      <c r="Q1870" t="s">
        <v>641</v>
      </c>
      <c r="R1870">
        <v>0</v>
      </c>
      <c r="S1870">
        <v>93.78</v>
      </c>
      <c r="T1870" t="s">
        <v>167</v>
      </c>
    </row>
    <row r="1871" spans="1:20" x14ac:dyDescent="0.25">
      <c r="A1871" s="1" t="str">
        <f>HYPERLINK("https://vegkart.atlas.vegvesen.no/#/@305657.9,6935163.6,18/hva:hva%5B0%5D%5Bfilter%5D%5B0%5D%5Boperator%5D=%21%3D&amp;hva%5B0%5D%5Bfilter%5D%5B0%5D%5Btype_id%5D=4723&amp;hva%5B0%5D%5Bfilter%5D%5B0%5D%5Bverdi%5D=&amp;hva%5B0%5D%5Bid%5D=15/når:2025-10-01", "Vegkart")</f>
        <v>Vegkart</v>
      </c>
      <c r="B1871">
        <v>579195786</v>
      </c>
      <c r="C1871">
        <v>15</v>
      </c>
      <c r="D1871" t="s">
        <v>5814</v>
      </c>
      <c r="E1871">
        <v>4723</v>
      </c>
      <c r="F1871" t="s">
        <v>23479</v>
      </c>
      <c r="G1871">
        <v>2</v>
      </c>
      <c r="H1871" t="s">
        <v>6247</v>
      </c>
      <c r="J1871" t="s">
        <v>6243</v>
      </c>
      <c r="K1871" t="s">
        <v>136</v>
      </c>
      <c r="L1871" t="s">
        <v>33</v>
      </c>
      <c r="M1871" t="s">
        <v>6251</v>
      </c>
      <c r="N1871" t="s">
        <v>6254</v>
      </c>
      <c r="O1871" t="s">
        <v>6255</v>
      </c>
      <c r="P1871" s="2" t="s">
        <v>165</v>
      </c>
      <c r="Q1871" t="s">
        <v>641</v>
      </c>
      <c r="R1871">
        <v>0</v>
      </c>
      <c r="S1871">
        <v>65.33</v>
      </c>
      <c r="T1871" t="s">
        <v>167</v>
      </c>
    </row>
    <row r="1872" spans="1:20" x14ac:dyDescent="0.25">
      <c r="A1872" s="1" t="str">
        <f>HYPERLINK("https://vegkart.atlas.vegvesen.no/#/@338937.9,6708479.0,18/hva:hva%5B0%5D%5Bfilter%5D%5B0%5D%5Boperator%5D=%21%3D&amp;hva%5B0%5D%5Bfilter%5D%5B0%5D%5Btype_id%5D=4723&amp;hva%5B0%5D%5Bfilter%5D%5B0%5D%5Bverdi%5D=&amp;hva%5B0%5D%5Bid%5D=15/når:2014-08-01", "Vegkart")</f>
        <v>Vegkart</v>
      </c>
      <c r="B1872">
        <v>581044157</v>
      </c>
      <c r="C1872">
        <v>15</v>
      </c>
      <c r="D1872" t="s">
        <v>5814</v>
      </c>
      <c r="E1872">
        <v>4723</v>
      </c>
      <c r="F1872" t="s">
        <v>23479</v>
      </c>
      <c r="G1872">
        <v>1</v>
      </c>
      <c r="H1872" t="s">
        <v>6256</v>
      </c>
      <c r="J1872" t="s">
        <v>6243</v>
      </c>
      <c r="K1872" t="s">
        <v>136</v>
      </c>
      <c r="L1872" t="s">
        <v>113</v>
      </c>
      <c r="M1872" t="s">
        <v>2921</v>
      </c>
      <c r="N1872" t="s">
        <v>6257</v>
      </c>
      <c r="O1872" t="s">
        <v>6258</v>
      </c>
      <c r="P1872" s="2" t="s">
        <v>165</v>
      </c>
      <c r="Q1872" t="s">
        <v>641</v>
      </c>
      <c r="R1872">
        <v>0</v>
      </c>
      <c r="S1872">
        <v>330.14</v>
      </c>
      <c r="T1872" t="s">
        <v>167</v>
      </c>
    </row>
    <row r="1873" spans="1:20" x14ac:dyDescent="0.25">
      <c r="A1873" s="1" t="str">
        <f>HYPERLINK("https://vegkart.atlas.vegvesen.no/#/@338095.7,6723092.3,18/hva:hva%5B0%5D%5Bfilter%5D%5B0%5D%5Boperator%5D=%21%3D&amp;hva%5B0%5D%5Bfilter%5D%5B0%5D%5Btype_id%5D=4723&amp;hva%5B0%5D%5Bfilter%5D%5B0%5D%5Bverdi%5D=&amp;hva%5B0%5D%5Bid%5D=15/når:2023-11-01", "Vegkart")</f>
        <v>Vegkart</v>
      </c>
      <c r="B1873">
        <v>581044245</v>
      </c>
      <c r="C1873">
        <v>15</v>
      </c>
      <c r="D1873" t="s">
        <v>5814</v>
      </c>
      <c r="E1873">
        <v>4723</v>
      </c>
      <c r="F1873" t="s">
        <v>23479</v>
      </c>
      <c r="G1873">
        <v>2</v>
      </c>
      <c r="H1873" t="s">
        <v>6259</v>
      </c>
      <c r="J1873" t="s">
        <v>6243</v>
      </c>
      <c r="K1873" t="s">
        <v>136</v>
      </c>
      <c r="L1873" t="s">
        <v>113</v>
      </c>
      <c r="M1873" t="s">
        <v>2921</v>
      </c>
      <c r="N1873" t="s">
        <v>6260</v>
      </c>
      <c r="O1873" t="s">
        <v>6261</v>
      </c>
      <c r="P1873" s="2" t="s">
        <v>37</v>
      </c>
      <c r="Q1873" t="s">
        <v>1208</v>
      </c>
      <c r="R1873">
        <v>0</v>
      </c>
      <c r="S1873">
        <v>232.82</v>
      </c>
      <c r="T1873" t="s">
        <v>6262</v>
      </c>
    </row>
    <row r="1874" spans="1:20" x14ac:dyDescent="0.25">
      <c r="A1874" s="1" t="str">
        <f>HYPERLINK("https://vegkart.atlas.vegvesen.no/#/@297553.3,6727612.6,18/hva:hva%5B0%5D%5Bfilter%5D%5B0%5D%5Boperator%5D=%21%3D&amp;hva%5B0%5D%5Bfilter%5D%5B0%5D%5Btype_id%5D=4723&amp;hva%5B0%5D%5Bfilter%5D%5B0%5D%5Bverdi%5D=&amp;hva%5B0%5D%5Bid%5D=15/når:2014-08-01", "Vegkart")</f>
        <v>Vegkart</v>
      </c>
      <c r="B1874">
        <v>586671542</v>
      </c>
      <c r="C1874">
        <v>15</v>
      </c>
      <c r="D1874" t="s">
        <v>5814</v>
      </c>
      <c r="E1874">
        <v>4723</v>
      </c>
      <c r="F1874" t="s">
        <v>23479</v>
      </c>
      <c r="G1874">
        <v>1</v>
      </c>
      <c r="H1874" t="s">
        <v>6256</v>
      </c>
      <c r="J1874" t="s">
        <v>6243</v>
      </c>
      <c r="K1874" t="s">
        <v>136</v>
      </c>
      <c r="L1874" t="s">
        <v>33</v>
      </c>
      <c r="M1874" t="s">
        <v>5701</v>
      </c>
      <c r="N1874" t="s">
        <v>6263</v>
      </c>
      <c r="O1874" t="s">
        <v>6264</v>
      </c>
      <c r="P1874" s="2" t="s">
        <v>165</v>
      </c>
      <c r="Q1874" t="s">
        <v>641</v>
      </c>
      <c r="R1874">
        <v>0</v>
      </c>
      <c r="S1874">
        <v>93.88</v>
      </c>
      <c r="T1874" t="s">
        <v>167</v>
      </c>
    </row>
    <row r="1875" spans="1:20" x14ac:dyDescent="0.25">
      <c r="A1875" s="1" t="str">
        <f>HYPERLINK("https://vegkart.atlas.vegvesen.no/#/@297701.6,6727658.8,18/hva:hva%5B0%5D%5Bfilter%5D%5B0%5D%5Boperator%5D=%21%3D&amp;hva%5B0%5D%5Bfilter%5D%5B0%5D%5Btype_id%5D=4723&amp;hva%5B0%5D%5Bfilter%5D%5B0%5D%5Bverdi%5D=&amp;hva%5B0%5D%5Bid%5D=15/når:2014-08-01", "Vegkart")</f>
        <v>Vegkart</v>
      </c>
      <c r="B1875">
        <v>586671544</v>
      </c>
      <c r="C1875">
        <v>15</v>
      </c>
      <c r="D1875" t="s">
        <v>5814</v>
      </c>
      <c r="E1875">
        <v>4723</v>
      </c>
      <c r="F1875" t="s">
        <v>23479</v>
      </c>
      <c r="G1875">
        <v>1</v>
      </c>
      <c r="H1875" t="s">
        <v>6256</v>
      </c>
      <c r="J1875" t="s">
        <v>6243</v>
      </c>
      <c r="K1875" t="s">
        <v>136</v>
      </c>
      <c r="L1875" t="s">
        <v>33</v>
      </c>
      <c r="M1875" t="s">
        <v>5701</v>
      </c>
      <c r="N1875" t="s">
        <v>6265</v>
      </c>
      <c r="O1875" t="s">
        <v>6266</v>
      </c>
      <c r="P1875" s="2" t="s">
        <v>165</v>
      </c>
      <c r="Q1875" t="s">
        <v>641</v>
      </c>
      <c r="R1875">
        <v>0</v>
      </c>
      <c r="S1875">
        <v>90.96</v>
      </c>
      <c r="T1875" t="s">
        <v>167</v>
      </c>
    </row>
    <row r="1876" spans="1:20" x14ac:dyDescent="0.25">
      <c r="A1876" s="1" t="str">
        <f>HYPERLINK("https://vegkart.atlas.vegvesen.no/#/@296713.6,6734127.0,18/hva:hva%5B0%5D%5Bfilter%5D%5B0%5D%5Boperator%5D=%21%3D&amp;hva%5B0%5D%5Bfilter%5D%5B0%5D%5Btype_id%5D=4723&amp;hva%5B0%5D%5Bfilter%5D%5B0%5D%5Bverdi%5D=&amp;hva%5B0%5D%5Bid%5D=15/når:2014-08-01", "Vegkart")</f>
        <v>Vegkart</v>
      </c>
      <c r="B1876">
        <v>587397691</v>
      </c>
      <c r="C1876">
        <v>15</v>
      </c>
      <c r="D1876" t="s">
        <v>5814</v>
      </c>
      <c r="E1876">
        <v>4723</v>
      </c>
      <c r="F1876" t="s">
        <v>23479</v>
      </c>
      <c r="G1876">
        <v>1</v>
      </c>
      <c r="H1876" t="s">
        <v>6256</v>
      </c>
      <c r="J1876" t="s">
        <v>5575</v>
      </c>
      <c r="K1876" t="s">
        <v>136</v>
      </c>
      <c r="L1876" t="s">
        <v>33</v>
      </c>
      <c r="M1876" t="s">
        <v>6267</v>
      </c>
      <c r="N1876" t="s">
        <v>6268</v>
      </c>
      <c r="O1876" t="s">
        <v>6269</v>
      </c>
      <c r="P1876" s="2" t="s">
        <v>165</v>
      </c>
      <c r="Q1876" t="s">
        <v>641</v>
      </c>
      <c r="R1876">
        <v>0</v>
      </c>
      <c r="S1876">
        <v>108.76</v>
      </c>
      <c r="T1876" t="s">
        <v>167</v>
      </c>
    </row>
    <row r="1877" spans="1:20" x14ac:dyDescent="0.25">
      <c r="A1877" s="1" t="str">
        <f>HYPERLINK("https://vegkart.atlas.vegvesen.no/#/@289432.0,6747096.4,18/hva:hva%5B0%5D%5Bfilter%5D%5B0%5D%5Boperator%5D=%21%3D&amp;hva%5B0%5D%5Bfilter%5D%5B0%5D%5Btype_id%5D=4723&amp;hva%5B0%5D%5Bfilter%5D%5B0%5D%5Bverdi%5D=&amp;hva%5B0%5D%5Bid%5D=15/når:2014-08-01", "Vegkart")</f>
        <v>Vegkart</v>
      </c>
      <c r="B1877">
        <v>587417400</v>
      </c>
      <c r="C1877">
        <v>15</v>
      </c>
      <c r="D1877" t="s">
        <v>5814</v>
      </c>
      <c r="E1877">
        <v>4723</v>
      </c>
      <c r="F1877" t="s">
        <v>23479</v>
      </c>
      <c r="G1877">
        <v>1</v>
      </c>
      <c r="H1877" t="s">
        <v>6256</v>
      </c>
      <c r="J1877" t="s">
        <v>5575</v>
      </c>
      <c r="K1877" t="s">
        <v>136</v>
      </c>
      <c r="L1877" t="s">
        <v>33</v>
      </c>
      <c r="M1877" t="s">
        <v>6270</v>
      </c>
      <c r="N1877" t="s">
        <v>6271</v>
      </c>
      <c r="O1877" t="s">
        <v>6272</v>
      </c>
      <c r="P1877" s="2" t="s">
        <v>165</v>
      </c>
      <c r="Q1877" t="s">
        <v>641</v>
      </c>
      <c r="R1877">
        <v>0</v>
      </c>
      <c r="S1877">
        <v>74.37</v>
      </c>
      <c r="T1877" t="s">
        <v>167</v>
      </c>
    </row>
    <row r="1878" spans="1:20" x14ac:dyDescent="0.25">
      <c r="A1878" s="1" t="str">
        <f>HYPERLINK("https://vegkart.atlas.vegvesen.no/#/@301599.6,6748890.9,18/hva:hva%5B0%5D%5Bfilter%5D%5B0%5D%5Boperator%5D=%21%3D&amp;hva%5B0%5D%5Bfilter%5D%5B0%5D%5Btype_id%5D=4723&amp;hva%5B0%5D%5Bfilter%5D%5B0%5D%5Bverdi%5D=&amp;hva%5B0%5D%5Bid%5D=15/når:2014-08-01", "Vegkart")</f>
        <v>Vegkart</v>
      </c>
      <c r="B1878">
        <v>587417643</v>
      </c>
      <c r="C1878">
        <v>15</v>
      </c>
      <c r="D1878" t="s">
        <v>5814</v>
      </c>
      <c r="E1878">
        <v>4723</v>
      </c>
      <c r="F1878" t="s">
        <v>23479</v>
      </c>
      <c r="G1878">
        <v>1</v>
      </c>
      <c r="H1878" t="s">
        <v>6256</v>
      </c>
      <c r="J1878" t="s">
        <v>5575</v>
      </c>
      <c r="K1878" t="s">
        <v>136</v>
      </c>
      <c r="L1878" t="s">
        <v>33</v>
      </c>
      <c r="M1878" t="s">
        <v>6273</v>
      </c>
      <c r="N1878" t="s">
        <v>6274</v>
      </c>
      <c r="O1878" t="s">
        <v>6275</v>
      </c>
      <c r="P1878" s="2" t="s">
        <v>165</v>
      </c>
      <c r="Q1878" t="s">
        <v>641</v>
      </c>
      <c r="R1878">
        <v>0</v>
      </c>
      <c r="S1878">
        <v>84</v>
      </c>
      <c r="T1878" t="s">
        <v>167</v>
      </c>
    </row>
    <row r="1879" spans="1:20" x14ac:dyDescent="0.25">
      <c r="A1879" s="1" t="str">
        <f>HYPERLINK("https://vegkart.atlas.vegvesen.no/#/@297039.7,6736291.6,18/hva:hva%5B0%5D%5Bfilter%5D%5B0%5D%5Boperator%5D=%21%3D&amp;hva%5B0%5D%5Bfilter%5D%5B0%5D%5Btype_id%5D=4723&amp;hva%5B0%5D%5Bfilter%5D%5B0%5D%5Bverdi%5D=&amp;hva%5B0%5D%5Bid%5D=15/når:2014-08-01", "Vegkart")</f>
        <v>Vegkart</v>
      </c>
      <c r="B1879">
        <v>587418313</v>
      </c>
      <c r="C1879">
        <v>15</v>
      </c>
      <c r="D1879" t="s">
        <v>5814</v>
      </c>
      <c r="E1879">
        <v>4723</v>
      </c>
      <c r="F1879" t="s">
        <v>23479</v>
      </c>
      <c r="G1879">
        <v>1</v>
      </c>
      <c r="H1879" t="s">
        <v>6256</v>
      </c>
      <c r="J1879" t="s">
        <v>5575</v>
      </c>
      <c r="K1879" t="s">
        <v>136</v>
      </c>
      <c r="L1879" t="s">
        <v>113</v>
      </c>
      <c r="M1879" t="s">
        <v>335</v>
      </c>
      <c r="N1879" t="s">
        <v>6276</v>
      </c>
      <c r="O1879" t="s">
        <v>6277</v>
      </c>
      <c r="P1879" s="2" t="s">
        <v>165</v>
      </c>
      <c r="Q1879" t="s">
        <v>641</v>
      </c>
      <c r="R1879">
        <v>0</v>
      </c>
      <c r="S1879">
        <v>226.16</v>
      </c>
      <c r="T1879" t="s">
        <v>167</v>
      </c>
    </row>
    <row r="1880" spans="1:20" x14ac:dyDescent="0.25">
      <c r="A1880" s="1" t="str">
        <f>HYPERLINK("https://vegkart.atlas.vegvesen.no/#/@297253.0,6736626.1,18/hva:hva%5B0%5D%5Bfilter%5D%5B0%5D%5Boperator%5D=%21%3D&amp;hva%5B0%5D%5Bfilter%5D%5B0%5D%5Btype_id%5D=4723&amp;hva%5B0%5D%5Bfilter%5D%5B0%5D%5Bverdi%5D=&amp;hva%5B0%5D%5Bid%5D=15/når:2014-08-01", "Vegkart")</f>
        <v>Vegkart</v>
      </c>
      <c r="B1880">
        <v>587418315</v>
      </c>
      <c r="C1880">
        <v>15</v>
      </c>
      <c r="D1880" t="s">
        <v>5814</v>
      </c>
      <c r="E1880">
        <v>4723</v>
      </c>
      <c r="F1880" t="s">
        <v>23479</v>
      </c>
      <c r="G1880">
        <v>1</v>
      </c>
      <c r="H1880" t="s">
        <v>6256</v>
      </c>
      <c r="J1880" t="s">
        <v>5575</v>
      </c>
      <c r="K1880" t="s">
        <v>136</v>
      </c>
      <c r="L1880" t="s">
        <v>113</v>
      </c>
      <c r="M1880" t="s">
        <v>335</v>
      </c>
      <c r="N1880" t="s">
        <v>6278</v>
      </c>
      <c r="O1880" t="s">
        <v>6279</v>
      </c>
      <c r="P1880" s="2" t="s">
        <v>165</v>
      </c>
      <c r="Q1880" t="s">
        <v>641</v>
      </c>
      <c r="R1880">
        <v>0</v>
      </c>
      <c r="S1880">
        <v>23.44</v>
      </c>
      <c r="T1880" t="s">
        <v>167</v>
      </c>
    </row>
    <row r="1881" spans="1:20" x14ac:dyDescent="0.25">
      <c r="A1881" s="1" t="str">
        <f>HYPERLINK("https://vegkart.atlas.vegvesen.no/#/@273256.5,7042273.2,18/hva:hva%5B0%5D%5Bfilter%5D%5B0%5D%5Boperator%5D=%21%3D&amp;hva%5B0%5D%5Bfilter%5D%5B0%5D%5Btype_id%5D=4723&amp;hva%5B0%5D%5Bfilter%5D%5B0%5D%5Bverdi%5D=&amp;hva%5B0%5D%5Bid%5D=15/når:2015-02-04", "Vegkart")</f>
        <v>Vegkart</v>
      </c>
      <c r="B1881">
        <v>587464387</v>
      </c>
      <c r="C1881">
        <v>15</v>
      </c>
      <c r="D1881" t="s">
        <v>5814</v>
      </c>
      <c r="E1881">
        <v>4723</v>
      </c>
      <c r="F1881" t="s">
        <v>23479</v>
      </c>
      <c r="G1881">
        <v>1</v>
      </c>
      <c r="H1881" t="s">
        <v>6280</v>
      </c>
      <c r="J1881" t="s">
        <v>5575</v>
      </c>
      <c r="K1881" t="s">
        <v>192</v>
      </c>
      <c r="L1881" t="s">
        <v>33</v>
      </c>
      <c r="M1881" t="s">
        <v>2111</v>
      </c>
      <c r="N1881" t="s">
        <v>6281</v>
      </c>
      <c r="O1881" t="s">
        <v>6282</v>
      </c>
      <c r="P1881" s="2" t="s">
        <v>37</v>
      </c>
      <c r="Q1881" t="s">
        <v>1208</v>
      </c>
      <c r="R1881">
        <v>0</v>
      </c>
      <c r="S1881">
        <v>103.58</v>
      </c>
      <c r="T1881" t="s">
        <v>6283</v>
      </c>
    </row>
    <row r="1882" spans="1:20" x14ac:dyDescent="0.25">
      <c r="A1882" s="1" t="str">
        <f>HYPERLINK("https://vegkart.atlas.vegvesen.no/#/@273224.4,7042306.2,18/hva:hva%5B0%5D%5Bfilter%5D%5B0%5D%5Boperator%5D=%21%3D&amp;hva%5B0%5D%5Bfilter%5D%5B0%5D%5Btype_id%5D=4723&amp;hva%5B0%5D%5Bfilter%5D%5B0%5D%5Bverdi%5D=&amp;hva%5B0%5D%5Bid%5D=15/når:2015-02-04", "Vegkart")</f>
        <v>Vegkart</v>
      </c>
      <c r="B1882">
        <v>587464388</v>
      </c>
      <c r="C1882">
        <v>15</v>
      </c>
      <c r="D1882" t="s">
        <v>5814</v>
      </c>
      <c r="E1882">
        <v>4723</v>
      </c>
      <c r="F1882" t="s">
        <v>23479</v>
      </c>
      <c r="G1882">
        <v>1</v>
      </c>
      <c r="H1882" t="s">
        <v>6280</v>
      </c>
      <c r="J1882" t="s">
        <v>5575</v>
      </c>
      <c r="K1882" t="s">
        <v>192</v>
      </c>
      <c r="L1882" t="s">
        <v>33</v>
      </c>
      <c r="M1882" t="s">
        <v>2111</v>
      </c>
      <c r="N1882" t="s">
        <v>6284</v>
      </c>
      <c r="O1882" t="s">
        <v>6285</v>
      </c>
      <c r="P1882" s="2" t="s">
        <v>37</v>
      </c>
      <c r="Q1882" t="s">
        <v>1208</v>
      </c>
      <c r="R1882">
        <v>0</v>
      </c>
      <c r="S1882">
        <v>65.63</v>
      </c>
      <c r="T1882" t="s">
        <v>6286</v>
      </c>
    </row>
    <row r="1883" spans="1:20" x14ac:dyDescent="0.25">
      <c r="A1883" s="1" t="str">
        <f>HYPERLINK("https://vegkart.atlas.vegvesen.no/#/@273153.0,7042354.9,18/hva:hva%5B0%5D%5Bfilter%5D%5B0%5D%5Boperator%5D=%21%3D&amp;hva%5B0%5D%5Bfilter%5D%5B0%5D%5Btype_id%5D=4723&amp;hva%5B0%5D%5Bfilter%5D%5B0%5D%5Bverdi%5D=&amp;hva%5B0%5D%5Bid%5D=15/når:2015-02-04", "Vegkart")</f>
        <v>Vegkart</v>
      </c>
      <c r="B1883">
        <v>587464389</v>
      </c>
      <c r="C1883">
        <v>15</v>
      </c>
      <c r="D1883" t="s">
        <v>5814</v>
      </c>
      <c r="E1883">
        <v>4723</v>
      </c>
      <c r="F1883" t="s">
        <v>23479</v>
      </c>
      <c r="G1883">
        <v>1</v>
      </c>
      <c r="H1883" t="s">
        <v>6280</v>
      </c>
      <c r="J1883" t="s">
        <v>5575</v>
      </c>
      <c r="K1883" t="s">
        <v>192</v>
      </c>
      <c r="L1883" t="s">
        <v>33</v>
      </c>
      <c r="M1883" t="s">
        <v>2111</v>
      </c>
      <c r="N1883" t="s">
        <v>6287</v>
      </c>
      <c r="O1883" t="s">
        <v>6288</v>
      </c>
      <c r="P1883" s="2" t="s">
        <v>37</v>
      </c>
      <c r="Q1883" t="s">
        <v>1208</v>
      </c>
      <c r="R1883">
        <v>0.1</v>
      </c>
      <c r="S1883">
        <v>278.19</v>
      </c>
      <c r="T1883" t="s">
        <v>6289</v>
      </c>
    </row>
    <row r="1884" spans="1:20" x14ac:dyDescent="0.25">
      <c r="A1884" s="1" t="str">
        <f>HYPERLINK("https://vegkart.atlas.vegvesen.no/#/@273116.8,7042397.8,18/hva:hva%5B0%5D%5Bfilter%5D%5B0%5D%5Boperator%5D=%21%3D&amp;hva%5B0%5D%5Bfilter%5D%5B0%5D%5Btype_id%5D=4723&amp;hva%5B0%5D%5Bfilter%5D%5B0%5D%5Bverdi%5D=&amp;hva%5B0%5D%5Bid%5D=15/når:2015-02-04", "Vegkart")</f>
        <v>Vegkart</v>
      </c>
      <c r="B1884">
        <v>587464391</v>
      </c>
      <c r="C1884">
        <v>15</v>
      </c>
      <c r="D1884" t="s">
        <v>5814</v>
      </c>
      <c r="E1884">
        <v>4723</v>
      </c>
      <c r="F1884" t="s">
        <v>23479</v>
      </c>
      <c r="G1884">
        <v>1</v>
      </c>
      <c r="H1884" t="s">
        <v>6280</v>
      </c>
      <c r="J1884" t="s">
        <v>5575</v>
      </c>
      <c r="K1884" t="s">
        <v>192</v>
      </c>
      <c r="L1884" t="s">
        <v>33</v>
      </c>
      <c r="M1884" t="s">
        <v>2111</v>
      </c>
      <c r="N1884" t="s">
        <v>6290</v>
      </c>
      <c r="O1884" t="s">
        <v>6291</v>
      </c>
      <c r="P1884" s="2" t="s">
        <v>37</v>
      </c>
      <c r="Q1884" t="s">
        <v>1208</v>
      </c>
      <c r="R1884">
        <v>0</v>
      </c>
      <c r="S1884">
        <v>119.48</v>
      </c>
      <c r="T1884" t="s">
        <v>6292</v>
      </c>
    </row>
    <row r="1885" spans="1:20" x14ac:dyDescent="0.25">
      <c r="A1885" s="1" t="str">
        <f>HYPERLINK("https://vegkart.atlas.vegvesen.no/#/@272727.1,7042452.7,18/hva:hva%5B0%5D%5Bfilter%5D%5B0%5D%5Boperator%5D=%21%3D&amp;hva%5B0%5D%5Bfilter%5D%5B0%5D%5Btype_id%5D=4723&amp;hva%5B0%5D%5Bfilter%5D%5B0%5D%5Bverdi%5D=&amp;hva%5B0%5D%5Bid%5D=15/når:2015-02-04", "Vegkart")</f>
        <v>Vegkart</v>
      </c>
      <c r="B1885">
        <v>587464392</v>
      </c>
      <c r="C1885">
        <v>15</v>
      </c>
      <c r="D1885" t="s">
        <v>5814</v>
      </c>
      <c r="E1885">
        <v>4723</v>
      </c>
      <c r="F1885" t="s">
        <v>23479</v>
      </c>
      <c r="G1885">
        <v>1</v>
      </c>
      <c r="H1885" t="s">
        <v>6280</v>
      </c>
      <c r="J1885" t="s">
        <v>5575</v>
      </c>
      <c r="K1885" t="s">
        <v>192</v>
      </c>
      <c r="L1885" t="s">
        <v>33</v>
      </c>
      <c r="M1885" t="s">
        <v>2111</v>
      </c>
      <c r="N1885" t="s">
        <v>6293</v>
      </c>
      <c r="O1885" t="s">
        <v>6294</v>
      </c>
      <c r="P1885" s="2" t="s">
        <v>37</v>
      </c>
      <c r="Q1885" t="s">
        <v>1208</v>
      </c>
      <c r="R1885">
        <v>0</v>
      </c>
      <c r="S1885">
        <v>62.67</v>
      </c>
      <c r="T1885" t="s">
        <v>6295</v>
      </c>
    </row>
    <row r="1886" spans="1:20" x14ac:dyDescent="0.25">
      <c r="A1886" s="1" t="str">
        <f>HYPERLINK("https://vegkart.atlas.vegvesen.no/#/@272920.9,7042418.5,18/hva:hva%5B0%5D%5Bfilter%5D%5B0%5D%5Boperator%5D=%21%3D&amp;hva%5B0%5D%5Bfilter%5D%5B0%5D%5Btype_id%5D=4723&amp;hva%5B0%5D%5Bfilter%5D%5B0%5D%5Bverdi%5D=&amp;hva%5B0%5D%5Bid%5D=15/når:2015-02-04", "Vegkart")</f>
        <v>Vegkart</v>
      </c>
      <c r="B1886">
        <v>587464405</v>
      </c>
      <c r="C1886">
        <v>15</v>
      </c>
      <c r="D1886" t="s">
        <v>5814</v>
      </c>
      <c r="E1886">
        <v>4723</v>
      </c>
      <c r="F1886" t="s">
        <v>23479</v>
      </c>
      <c r="G1886">
        <v>1</v>
      </c>
      <c r="H1886" t="s">
        <v>6280</v>
      </c>
      <c r="J1886" t="s">
        <v>5575</v>
      </c>
      <c r="K1886" t="s">
        <v>192</v>
      </c>
      <c r="L1886" t="s">
        <v>33</v>
      </c>
      <c r="M1886" t="s">
        <v>2111</v>
      </c>
      <c r="N1886" t="s">
        <v>6296</v>
      </c>
      <c r="O1886" t="s">
        <v>6297</v>
      </c>
      <c r="P1886" s="2" t="s">
        <v>37</v>
      </c>
      <c r="Q1886" t="s">
        <v>1208</v>
      </c>
      <c r="R1886">
        <v>0</v>
      </c>
      <c r="S1886">
        <v>585.54</v>
      </c>
      <c r="T1886" t="s">
        <v>6298</v>
      </c>
    </row>
    <row r="1887" spans="1:20" x14ac:dyDescent="0.25">
      <c r="A1887" s="1" t="str">
        <f>HYPERLINK("https://vegkart.atlas.vegvesen.no/#/@273046.4,7042416.2,18/hva:hva%5B0%5D%5Bfilter%5D%5B0%5D%5Boperator%5D=%21%3D&amp;hva%5B0%5D%5Bfilter%5D%5B0%5D%5Btype_id%5D=4723&amp;hva%5B0%5D%5Bfilter%5D%5B0%5D%5Bverdi%5D=&amp;hva%5B0%5D%5Bid%5D=15/når:2015-02-04", "Vegkart")</f>
        <v>Vegkart</v>
      </c>
      <c r="B1887">
        <v>587464407</v>
      </c>
      <c r="C1887">
        <v>15</v>
      </c>
      <c r="D1887" t="s">
        <v>5814</v>
      </c>
      <c r="E1887">
        <v>4723</v>
      </c>
      <c r="F1887" t="s">
        <v>23479</v>
      </c>
      <c r="G1887">
        <v>1</v>
      </c>
      <c r="H1887" t="s">
        <v>6280</v>
      </c>
      <c r="J1887" t="s">
        <v>5575</v>
      </c>
      <c r="K1887" t="s">
        <v>192</v>
      </c>
      <c r="L1887" t="s">
        <v>33</v>
      </c>
      <c r="M1887" t="s">
        <v>2111</v>
      </c>
      <c r="N1887" t="s">
        <v>6299</v>
      </c>
      <c r="O1887" t="s">
        <v>6300</v>
      </c>
      <c r="P1887" s="2" t="s">
        <v>37</v>
      </c>
      <c r="Q1887" t="s">
        <v>1208</v>
      </c>
      <c r="R1887">
        <v>0</v>
      </c>
      <c r="S1887">
        <v>38.380000000000003</v>
      </c>
      <c r="T1887" t="s">
        <v>6301</v>
      </c>
    </row>
    <row r="1888" spans="1:20" x14ac:dyDescent="0.25">
      <c r="A1888" s="1" t="str">
        <f>HYPERLINK("https://vegkart.atlas.vegvesen.no/#/@273070.0,7042425.6,18/hva:hva%5B0%5D%5Bfilter%5D%5B0%5D%5Boperator%5D=%21%3D&amp;hva%5B0%5D%5Bfilter%5D%5B0%5D%5Btype_id%5D=4723&amp;hva%5B0%5D%5Bfilter%5D%5B0%5D%5Bverdi%5D=&amp;hva%5B0%5D%5Bid%5D=15/når:2015-02-04", "Vegkart")</f>
        <v>Vegkart</v>
      </c>
      <c r="B1888">
        <v>587464408</v>
      </c>
      <c r="C1888">
        <v>15</v>
      </c>
      <c r="D1888" t="s">
        <v>5814</v>
      </c>
      <c r="E1888">
        <v>4723</v>
      </c>
      <c r="F1888" t="s">
        <v>23479</v>
      </c>
      <c r="G1888">
        <v>1</v>
      </c>
      <c r="H1888" t="s">
        <v>6280</v>
      </c>
      <c r="J1888" t="s">
        <v>5575</v>
      </c>
      <c r="K1888" t="s">
        <v>192</v>
      </c>
      <c r="L1888" t="s">
        <v>33</v>
      </c>
      <c r="M1888" t="s">
        <v>2111</v>
      </c>
      <c r="N1888" t="s">
        <v>6302</v>
      </c>
      <c r="O1888" t="s">
        <v>6303</v>
      </c>
      <c r="P1888" s="2" t="s">
        <v>37</v>
      </c>
      <c r="Q1888" t="s">
        <v>1208</v>
      </c>
      <c r="R1888">
        <v>0</v>
      </c>
      <c r="S1888">
        <v>118.39</v>
      </c>
      <c r="T1888" t="s">
        <v>6304</v>
      </c>
    </row>
    <row r="1889" spans="1:20" x14ac:dyDescent="0.25">
      <c r="A1889" s="1" t="str">
        <f>HYPERLINK("https://vegkart.atlas.vegvesen.no/#/@271497.1,7042520.0,18/hva:hva%5B0%5D%5Bfilter%5D%5B0%5D%5Boperator%5D=%21%3D&amp;hva%5B0%5D%5Bfilter%5D%5B0%5D%5Btype_id%5D=4723&amp;hva%5B0%5D%5Bfilter%5D%5B0%5D%5Bverdi%5D=&amp;hva%5B0%5D%5Bid%5D=15/når:2024-08-30", "Vegkart")</f>
        <v>Vegkart</v>
      </c>
      <c r="B1889">
        <v>587480649</v>
      </c>
      <c r="C1889">
        <v>15</v>
      </c>
      <c r="D1889" t="s">
        <v>5814</v>
      </c>
      <c r="E1889">
        <v>4723</v>
      </c>
      <c r="F1889" t="s">
        <v>23479</v>
      </c>
      <c r="G1889">
        <v>3</v>
      </c>
      <c r="H1889" t="s">
        <v>6200</v>
      </c>
      <c r="J1889" t="s">
        <v>5575</v>
      </c>
      <c r="K1889" t="s">
        <v>192</v>
      </c>
      <c r="L1889" t="s">
        <v>113</v>
      </c>
      <c r="M1889" t="s">
        <v>2577</v>
      </c>
      <c r="N1889" t="s">
        <v>6305</v>
      </c>
      <c r="O1889" t="s">
        <v>6306</v>
      </c>
      <c r="P1889" s="2" t="s">
        <v>37</v>
      </c>
      <c r="Q1889" t="s">
        <v>1208</v>
      </c>
      <c r="R1889">
        <v>0</v>
      </c>
      <c r="S1889">
        <v>107.83</v>
      </c>
      <c r="T1889" t="s">
        <v>6307</v>
      </c>
    </row>
    <row r="1890" spans="1:20" x14ac:dyDescent="0.25">
      <c r="A1890" s="1" t="str">
        <f>HYPERLINK("https://vegkart.atlas.vegvesen.no/#/@271241.2,7042510.8,18/hva:hva%5B0%5D%5Bfilter%5D%5B0%5D%5Boperator%5D=%21%3D&amp;hva%5B0%5D%5Bfilter%5D%5B0%5D%5Btype_id%5D=4723&amp;hva%5B0%5D%5Bfilter%5D%5B0%5D%5Bverdi%5D=&amp;hva%5B0%5D%5Bid%5D=15/når:2024-08-30", "Vegkart")</f>
        <v>Vegkart</v>
      </c>
      <c r="B1890">
        <v>587480657</v>
      </c>
      <c r="C1890">
        <v>15</v>
      </c>
      <c r="D1890" t="s">
        <v>5814</v>
      </c>
      <c r="E1890">
        <v>4723</v>
      </c>
      <c r="F1890" t="s">
        <v>23479</v>
      </c>
      <c r="G1890">
        <v>3</v>
      </c>
      <c r="H1890" t="s">
        <v>6200</v>
      </c>
      <c r="J1890" t="s">
        <v>5575</v>
      </c>
      <c r="K1890" t="s">
        <v>192</v>
      </c>
      <c r="L1890" t="s">
        <v>113</v>
      </c>
      <c r="M1890" t="s">
        <v>2577</v>
      </c>
      <c r="N1890" t="s">
        <v>6308</v>
      </c>
      <c r="O1890" t="s">
        <v>6309</v>
      </c>
      <c r="P1890" s="2" t="s">
        <v>165</v>
      </c>
      <c r="Q1890" t="s">
        <v>641</v>
      </c>
      <c r="R1890">
        <v>0</v>
      </c>
      <c r="S1890">
        <v>505.04</v>
      </c>
      <c r="T1890" t="s">
        <v>167</v>
      </c>
    </row>
    <row r="1891" spans="1:20" x14ac:dyDescent="0.25">
      <c r="A1891" s="1" t="str">
        <f>HYPERLINK("https://vegkart.atlas.vegvesen.no/#/@274191.3,7041752.3,18/hva:hva%5B0%5D%5Bfilter%5D%5B0%5D%5Boperator%5D=%21%3D&amp;hva%5B0%5D%5Bfilter%5D%5B0%5D%5Btype_id%5D=4723&amp;hva%5B0%5D%5Bfilter%5D%5B0%5D%5Bverdi%5D=&amp;hva%5B0%5D%5Bid%5D=15/når:2015-02-10", "Vegkart")</f>
        <v>Vegkart</v>
      </c>
      <c r="B1891">
        <v>587540091</v>
      </c>
      <c r="C1891">
        <v>15</v>
      </c>
      <c r="D1891" t="s">
        <v>5814</v>
      </c>
      <c r="E1891">
        <v>4723</v>
      </c>
      <c r="F1891" t="s">
        <v>23479</v>
      </c>
      <c r="G1891">
        <v>1</v>
      </c>
      <c r="H1891" t="s">
        <v>6310</v>
      </c>
      <c r="J1891" t="s">
        <v>5575</v>
      </c>
      <c r="K1891" t="s">
        <v>192</v>
      </c>
      <c r="L1891" t="s">
        <v>33</v>
      </c>
      <c r="M1891" t="s">
        <v>6311</v>
      </c>
      <c r="N1891" t="s">
        <v>6312</v>
      </c>
      <c r="O1891" t="s">
        <v>6313</v>
      </c>
      <c r="P1891" s="2" t="s">
        <v>37</v>
      </c>
      <c r="Q1891" t="s">
        <v>1208</v>
      </c>
      <c r="R1891">
        <v>0</v>
      </c>
      <c r="S1891">
        <v>234.13</v>
      </c>
      <c r="T1891" t="s">
        <v>6314</v>
      </c>
    </row>
    <row r="1892" spans="1:20" x14ac:dyDescent="0.25">
      <c r="A1892" s="1" t="str">
        <f>HYPERLINK("https://vegkart.atlas.vegvesen.no/#/@273838.9,7041956.8,18/hva:hva%5B0%5D%5Bfilter%5D%5B0%5D%5Boperator%5D=%21%3D&amp;hva%5B0%5D%5Bfilter%5D%5B0%5D%5Btype_id%5D=4723&amp;hva%5B0%5D%5Bfilter%5D%5B0%5D%5Bverdi%5D=&amp;hva%5B0%5D%5Bid%5D=15/når:2024-08-30", "Vegkart")</f>
        <v>Vegkart</v>
      </c>
      <c r="B1892">
        <v>587811083</v>
      </c>
      <c r="C1892">
        <v>15</v>
      </c>
      <c r="D1892" t="s">
        <v>5814</v>
      </c>
      <c r="E1892">
        <v>4723</v>
      </c>
      <c r="F1892" t="s">
        <v>23479</v>
      </c>
      <c r="G1892">
        <v>3</v>
      </c>
      <c r="H1892" t="s">
        <v>6200</v>
      </c>
      <c r="J1892" t="s">
        <v>5575</v>
      </c>
      <c r="K1892" t="s">
        <v>192</v>
      </c>
      <c r="L1892" t="s">
        <v>113</v>
      </c>
      <c r="M1892" t="s">
        <v>2577</v>
      </c>
      <c r="N1892" t="s">
        <v>6315</v>
      </c>
      <c r="O1892" t="s">
        <v>6316</v>
      </c>
      <c r="P1892" s="2" t="s">
        <v>37</v>
      </c>
      <c r="Q1892" t="s">
        <v>1208</v>
      </c>
      <c r="R1892">
        <v>0</v>
      </c>
      <c r="S1892">
        <v>45.16</v>
      </c>
      <c r="T1892" t="s">
        <v>6317</v>
      </c>
    </row>
    <row r="1893" spans="1:20" x14ac:dyDescent="0.25">
      <c r="A1893" s="1" t="str">
        <f>HYPERLINK("https://vegkart.atlas.vegvesen.no/#/@273827.4,7041932.4,18/hva:hva%5B0%5D%5Bfilter%5D%5B0%5D%5Boperator%5D=%21%3D&amp;hva%5B0%5D%5Bfilter%5D%5B0%5D%5Btype_id%5D=4723&amp;hva%5B0%5D%5Bfilter%5D%5B0%5D%5Bverdi%5D=&amp;hva%5B0%5D%5Bid%5D=15/når:2024-08-30", "Vegkart")</f>
        <v>Vegkart</v>
      </c>
      <c r="B1893">
        <v>587811085</v>
      </c>
      <c r="C1893">
        <v>15</v>
      </c>
      <c r="D1893" t="s">
        <v>5814</v>
      </c>
      <c r="E1893">
        <v>4723</v>
      </c>
      <c r="F1893" t="s">
        <v>23479</v>
      </c>
      <c r="G1893">
        <v>3</v>
      </c>
      <c r="H1893" t="s">
        <v>6200</v>
      </c>
      <c r="J1893" t="s">
        <v>5575</v>
      </c>
      <c r="K1893" t="s">
        <v>192</v>
      </c>
      <c r="L1893" t="s">
        <v>113</v>
      </c>
      <c r="M1893" t="s">
        <v>2577</v>
      </c>
      <c r="N1893" t="s">
        <v>6318</v>
      </c>
      <c r="O1893" t="s">
        <v>6319</v>
      </c>
      <c r="P1893" s="2" t="s">
        <v>165</v>
      </c>
      <c r="Q1893" t="s">
        <v>641</v>
      </c>
      <c r="R1893">
        <v>0.01</v>
      </c>
      <c r="S1893">
        <v>108.2</v>
      </c>
      <c r="T1893" t="s">
        <v>167</v>
      </c>
    </row>
    <row r="1894" spans="1:20" x14ac:dyDescent="0.25">
      <c r="A1894" s="1" t="str">
        <f>HYPERLINK("https://vegkart.atlas.vegvesen.no/#/@273834.2,7041910.7,18/hva:hva%5B0%5D%5Bfilter%5D%5B0%5D%5Boperator%5D=%21%3D&amp;hva%5B0%5D%5Bfilter%5D%5B0%5D%5Btype_id%5D=4723&amp;hva%5B0%5D%5Bfilter%5D%5B0%5D%5Bverdi%5D=&amp;hva%5B0%5D%5Bid%5D=15/når:2024-08-30", "Vegkart")</f>
        <v>Vegkart</v>
      </c>
      <c r="B1894">
        <v>587811086</v>
      </c>
      <c r="C1894">
        <v>15</v>
      </c>
      <c r="D1894" t="s">
        <v>5814</v>
      </c>
      <c r="E1894">
        <v>4723</v>
      </c>
      <c r="F1894" t="s">
        <v>23479</v>
      </c>
      <c r="G1894">
        <v>3</v>
      </c>
      <c r="H1894" t="s">
        <v>6200</v>
      </c>
      <c r="J1894" t="s">
        <v>5575</v>
      </c>
      <c r="K1894" t="s">
        <v>192</v>
      </c>
      <c r="L1894" t="s">
        <v>113</v>
      </c>
      <c r="M1894" t="s">
        <v>2577</v>
      </c>
      <c r="N1894" t="s">
        <v>6320</v>
      </c>
      <c r="O1894" t="s">
        <v>6321</v>
      </c>
      <c r="P1894" s="2" t="s">
        <v>37</v>
      </c>
      <c r="Q1894" t="s">
        <v>1208</v>
      </c>
      <c r="R1894">
        <v>0</v>
      </c>
      <c r="S1894">
        <v>144.28</v>
      </c>
      <c r="T1894" t="s">
        <v>6322</v>
      </c>
    </row>
    <row r="1895" spans="1:20" x14ac:dyDescent="0.25">
      <c r="A1895" s="1" t="str">
        <f>HYPERLINK("https://vegkart.atlas.vegvesen.no/#/@273900.4,7041891.1,18/hva:hva%5B0%5D%5Bfilter%5D%5B0%5D%5Boperator%5D=%21%3D&amp;hva%5B0%5D%5Bfilter%5D%5B0%5D%5Btype_id%5D=4723&amp;hva%5B0%5D%5Bfilter%5D%5B0%5D%5Bverdi%5D=&amp;hva%5B0%5D%5Bid%5D=15/når:2024-08-30", "Vegkart")</f>
        <v>Vegkart</v>
      </c>
      <c r="B1895">
        <v>587811087</v>
      </c>
      <c r="C1895">
        <v>15</v>
      </c>
      <c r="D1895" t="s">
        <v>5814</v>
      </c>
      <c r="E1895">
        <v>4723</v>
      </c>
      <c r="F1895" t="s">
        <v>23479</v>
      </c>
      <c r="G1895">
        <v>3</v>
      </c>
      <c r="H1895" t="s">
        <v>6200</v>
      </c>
      <c r="J1895" t="s">
        <v>5575</v>
      </c>
      <c r="K1895" t="s">
        <v>192</v>
      </c>
      <c r="L1895" t="s">
        <v>113</v>
      </c>
      <c r="M1895" t="s">
        <v>2577</v>
      </c>
      <c r="N1895" t="s">
        <v>6323</v>
      </c>
      <c r="O1895" t="s">
        <v>6324</v>
      </c>
      <c r="P1895" s="2" t="s">
        <v>37</v>
      </c>
      <c r="Q1895" t="s">
        <v>1208</v>
      </c>
      <c r="R1895">
        <v>0</v>
      </c>
      <c r="S1895">
        <v>418.43</v>
      </c>
      <c r="T1895" t="s">
        <v>6325</v>
      </c>
    </row>
    <row r="1896" spans="1:20" x14ac:dyDescent="0.25">
      <c r="A1896" s="1" t="str">
        <f>HYPERLINK("https://vegkart.atlas.vegvesen.no/#/@86021.1,6464503.6,18/hva:hva%5B0%5D%5Bfilter%5D%5B0%5D%5Boperator%5D=%21%3D&amp;hva%5B0%5D%5Bfilter%5D%5B0%5D%5Btype_id%5D=4723&amp;hva%5B0%5D%5Bfilter%5D%5B0%5D%5Bverdi%5D=&amp;hva%5B0%5D%5Bid%5D=15/når:2014-08-11", "Vegkart")</f>
        <v>Vegkart</v>
      </c>
      <c r="B1896">
        <v>588583580</v>
      </c>
      <c r="C1896">
        <v>15</v>
      </c>
      <c r="D1896" t="s">
        <v>5814</v>
      </c>
      <c r="E1896">
        <v>4723</v>
      </c>
      <c r="F1896" t="s">
        <v>23479</v>
      </c>
      <c r="G1896">
        <v>1</v>
      </c>
      <c r="H1896" t="s">
        <v>6326</v>
      </c>
      <c r="J1896" t="s">
        <v>6327</v>
      </c>
      <c r="K1896" t="s">
        <v>86</v>
      </c>
      <c r="L1896" t="s">
        <v>33</v>
      </c>
      <c r="M1896" t="s">
        <v>1042</v>
      </c>
      <c r="N1896" t="s">
        <v>6328</v>
      </c>
      <c r="O1896" t="s">
        <v>6329</v>
      </c>
      <c r="P1896" s="2" t="s">
        <v>165</v>
      </c>
      <c r="Q1896" t="s">
        <v>641</v>
      </c>
      <c r="R1896">
        <v>0</v>
      </c>
      <c r="S1896">
        <v>52.23</v>
      </c>
      <c r="T1896" t="s">
        <v>167</v>
      </c>
    </row>
    <row r="1897" spans="1:20" x14ac:dyDescent="0.25">
      <c r="A1897" s="1" t="str">
        <f>HYPERLINK("https://vegkart.atlas.vegvesen.no/#/@85961.3,6464538.9,18/hva:hva%5B0%5D%5Bfilter%5D%5B0%5D%5Boperator%5D=%21%3D&amp;hva%5B0%5D%5Bfilter%5D%5B0%5D%5Btype_id%5D=4723&amp;hva%5B0%5D%5Bfilter%5D%5B0%5D%5Bverdi%5D=&amp;hva%5B0%5D%5Bid%5D=15/når:2014-08-11", "Vegkart")</f>
        <v>Vegkart</v>
      </c>
      <c r="B1897">
        <v>588583607</v>
      </c>
      <c r="C1897">
        <v>15</v>
      </c>
      <c r="D1897" t="s">
        <v>5814</v>
      </c>
      <c r="E1897">
        <v>4723</v>
      </c>
      <c r="F1897" t="s">
        <v>23479</v>
      </c>
      <c r="G1897">
        <v>1</v>
      </c>
      <c r="H1897" t="s">
        <v>6326</v>
      </c>
      <c r="J1897" t="s">
        <v>6327</v>
      </c>
      <c r="K1897" t="s">
        <v>86</v>
      </c>
      <c r="L1897" t="s">
        <v>370</v>
      </c>
      <c r="M1897" t="s">
        <v>6330</v>
      </c>
      <c r="N1897" t="s">
        <v>6331</v>
      </c>
      <c r="O1897" t="s">
        <v>6332</v>
      </c>
      <c r="P1897" s="2" t="s">
        <v>165</v>
      </c>
      <c r="Q1897" t="s">
        <v>641</v>
      </c>
      <c r="R1897">
        <v>0</v>
      </c>
      <c r="S1897">
        <v>54</v>
      </c>
      <c r="T1897" t="s">
        <v>167</v>
      </c>
    </row>
    <row r="1898" spans="1:20" x14ac:dyDescent="0.25">
      <c r="A1898" s="1" t="str">
        <f>HYPERLINK("https://vegkart.atlas.vegvesen.no/#/@86021.8,6465485.5,18/hva:hva%5B0%5D%5Bfilter%5D%5B0%5D%5Boperator%5D=%21%3D&amp;hva%5B0%5D%5Bfilter%5D%5B0%5D%5Btype_id%5D=4723&amp;hva%5B0%5D%5Bfilter%5D%5B0%5D%5Bverdi%5D=&amp;hva%5B0%5D%5Bid%5D=15/når:2014-08-11", "Vegkart")</f>
        <v>Vegkart</v>
      </c>
      <c r="B1898">
        <v>588583631</v>
      </c>
      <c r="C1898">
        <v>15</v>
      </c>
      <c r="D1898" t="s">
        <v>5814</v>
      </c>
      <c r="E1898">
        <v>4723</v>
      </c>
      <c r="F1898" t="s">
        <v>23479</v>
      </c>
      <c r="G1898">
        <v>1</v>
      </c>
      <c r="H1898" t="s">
        <v>6326</v>
      </c>
      <c r="J1898" t="s">
        <v>6327</v>
      </c>
      <c r="K1898" t="s">
        <v>86</v>
      </c>
      <c r="L1898" t="s">
        <v>6333</v>
      </c>
      <c r="M1898" t="s">
        <v>6334</v>
      </c>
      <c r="N1898" t="s">
        <v>6335</v>
      </c>
      <c r="O1898" t="s">
        <v>6336</v>
      </c>
      <c r="P1898" s="2" t="s">
        <v>67</v>
      </c>
      <c r="Q1898" t="s">
        <v>68</v>
      </c>
      <c r="R1898">
        <v>44.95</v>
      </c>
      <c r="S1898">
        <v>50.45</v>
      </c>
      <c r="T1898" t="s">
        <v>6337</v>
      </c>
    </row>
    <row r="1899" spans="1:20" x14ac:dyDescent="0.25">
      <c r="A1899" s="1" t="str">
        <f>HYPERLINK("https://vegkart.atlas.vegvesen.no/#/@86204.6,6466003.2,18/hva:hva%5B0%5D%5Bfilter%5D%5B0%5D%5Boperator%5D=%21%3D&amp;hva%5B0%5D%5Bfilter%5D%5B0%5D%5Btype_id%5D=4723&amp;hva%5B0%5D%5Bfilter%5D%5B0%5D%5Bverdi%5D=&amp;hva%5B0%5D%5Bid%5D=15/når:2014-08-11", "Vegkart")</f>
        <v>Vegkart</v>
      </c>
      <c r="B1899">
        <v>588649204</v>
      </c>
      <c r="C1899">
        <v>15</v>
      </c>
      <c r="D1899" t="s">
        <v>5814</v>
      </c>
      <c r="E1899">
        <v>4723</v>
      </c>
      <c r="F1899" t="s">
        <v>23479</v>
      </c>
      <c r="G1899">
        <v>1</v>
      </c>
      <c r="H1899" t="s">
        <v>6326</v>
      </c>
      <c r="J1899" t="s">
        <v>6327</v>
      </c>
      <c r="K1899" t="s">
        <v>86</v>
      </c>
      <c r="L1899" t="s">
        <v>22</v>
      </c>
      <c r="M1899" t="s">
        <v>6338</v>
      </c>
      <c r="N1899" t="s">
        <v>6339</v>
      </c>
      <c r="O1899" t="s">
        <v>6340</v>
      </c>
      <c r="P1899" s="2" t="s">
        <v>165</v>
      </c>
      <c r="Q1899" t="s">
        <v>1012</v>
      </c>
      <c r="R1899">
        <v>4.46</v>
      </c>
      <c r="S1899">
        <v>4.46</v>
      </c>
      <c r="T1899" t="s">
        <v>167</v>
      </c>
    </row>
    <row r="1900" spans="1:20" x14ac:dyDescent="0.25">
      <c r="A1900" s="1" t="str">
        <f>HYPERLINK("https://vegkart.atlas.vegvesen.no/#/@271586.9,7038539.1,18/hva:hva%5B0%5D%5Bfilter%5D%5B0%5D%5Boperator%5D=%21%3D&amp;hva%5B0%5D%5Bfilter%5D%5B0%5D%5Btype_id%5D=4723&amp;hva%5B0%5D%5Bfilter%5D%5B0%5D%5Bverdi%5D=&amp;hva%5B0%5D%5Bid%5D=15/når:2015-03-18", "Vegkart")</f>
        <v>Vegkart</v>
      </c>
      <c r="B1900">
        <v>589633396</v>
      </c>
      <c r="C1900">
        <v>15</v>
      </c>
      <c r="D1900" t="s">
        <v>5814</v>
      </c>
      <c r="E1900">
        <v>4723</v>
      </c>
      <c r="F1900" t="s">
        <v>23479</v>
      </c>
      <c r="G1900">
        <v>1</v>
      </c>
      <c r="H1900" t="s">
        <v>6341</v>
      </c>
      <c r="J1900" t="s">
        <v>6327</v>
      </c>
      <c r="K1900" t="s">
        <v>192</v>
      </c>
      <c r="L1900" t="s">
        <v>33</v>
      </c>
      <c r="M1900" t="s">
        <v>6342</v>
      </c>
      <c r="N1900" t="s">
        <v>6343</v>
      </c>
      <c r="O1900" t="s">
        <v>6344</v>
      </c>
      <c r="P1900" s="2" t="s">
        <v>165</v>
      </c>
      <c r="Q1900" t="s">
        <v>641</v>
      </c>
      <c r="R1900">
        <v>0.04</v>
      </c>
      <c r="S1900">
        <v>337.49</v>
      </c>
      <c r="T1900" t="s">
        <v>167</v>
      </c>
    </row>
    <row r="1901" spans="1:20" x14ac:dyDescent="0.25">
      <c r="A1901" s="1" t="str">
        <f>HYPERLINK("https://vegkart.atlas.vegvesen.no/#/@271562.1,7038545.4,18/hva:hva%5B0%5D%5Bfilter%5D%5B0%5D%5Boperator%5D=%21%3D&amp;hva%5B0%5D%5Bfilter%5D%5B0%5D%5Btype_id%5D=4723&amp;hva%5B0%5D%5Bfilter%5D%5B0%5D%5Bverdi%5D=&amp;hva%5B0%5D%5Bid%5D=15/når:2015-03-18", "Vegkart")</f>
        <v>Vegkart</v>
      </c>
      <c r="B1901">
        <v>589633398</v>
      </c>
      <c r="C1901">
        <v>15</v>
      </c>
      <c r="D1901" t="s">
        <v>5814</v>
      </c>
      <c r="E1901">
        <v>4723</v>
      </c>
      <c r="F1901" t="s">
        <v>23479</v>
      </c>
      <c r="G1901">
        <v>1</v>
      </c>
      <c r="H1901" t="s">
        <v>6341</v>
      </c>
      <c r="J1901" t="s">
        <v>6327</v>
      </c>
      <c r="K1901" t="s">
        <v>192</v>
      </c>
      <c r="L1901" t="s">
        <v>33</v>
      </c>
      <c r="M1901" t="s">
        <v>6342</v>
      </c>
      <c r="N1901" t="s">
        <v>6345</v>
      </c>
      <c r="O1901" t="s">
        <v>6346</v>
      </c>
      <c r="P1901" s="2" t="s">
        <v>37</v>
      </c>
      <c r="Q1901" t="s">
        <v>1208</v>
      </c>
      <c r="R1901">
        <v>0</v>
      </c>
      <c r="S1901">
        <v>43.62</v>
      </c>
      <c r="T1901" t="s">
        <v>6347</v>
      </c>
    </row>
    <row r="1902" spans="1:20" x14ac:dyDescent="0.25">
      <c r="A1902" s="1" t="str">
        <f>HYPERLINK("https://vegkart.atlas.vegvesen.no/#/@271497.0,7038462.4,18/hva:hva%5B0%5D%5Bfilter%5D%5B0%5D%5Boperator%5D=%21%3D&amp;hva%5B0%5D%5Bfilter%5D%5B0%5D%5Btype_id%5D=4723&amp;hva%5B0%5D%5Bfilter%5D%5B0%5D%5Bverdi%5D=&amp;hva%5B0%5D%5Bid%5D=15/når:2015-03-18", "Vegkart")</f>
        <v>Vegkart</v>
      </c>
      <c r="B1902">
        <v>589633403</v>
      </c>
      <c r="C1902">
        <v>15</v>
      </c>
      <c r="D1902" t="s">
        <v>5814</v>
      </c>
      <c r="E1902">
        <v>4723</v>
      </c>
      <c r="F1902" t="s">
        <v>23479</v>
      </c>
      <c r="G1902">
        <v>1</v>
      </c>
      <c r="H1902" t="s">
        <v>6341</v>
      </c>
      <c r="J1902" t="s">
        <v>6327</v>
      </c>
      <c r="K1902" t="s">
        <v>192</v>
      </c>
      <c r="L1902" t="s">
        <v>33</v>
      </c>
      <c r="M1902" t="s">
        <v>6342</v>
      </c>
      <c r="N1902" t="s">
        <v>6348</v>
      </c>
      <c r="O1902" t="s">
        <v>6349</v>
      </c>
      <c r="P1902" s="2" t="s">
        <v>37</v>
      </c>
      <c r="Q1902" t="s">
        <v>1208</v>
      </c>
      <c r="R1902">
        <v>0</v>
      </c>
      <c r="S1902">
        <v>54.7</v>
      </c>
      <c r="T1902" t="s">
        <v>6350</v>
      </c>
    </row>
    <row r="1903" spans="1:20" x14ac:dyDescent="0.25">
      <c r="A1903" s="1" t="str">
        <f>HYPERLINK("https://vegkart.atlas.vegvesen.no/#/@271493.0,7038397.5,18/hva:hva%5B0%5D%5Bfilter%5D%5B0%5D%5Boperator%5D=%21%3D&amp;hva%5B0%5D%5Bfilter%5D%5B0%5D%5Btype_id%5D=4723&amp;hva%5B0%5D%5Bfilter%5D%5B0%5D%5Bverdi%5D=&amp;hva%5B0%5D%5Bid%5D=15/når:2015-03-18", "Vegkart")</f>
        <v>Vegkart</v>
      </c>
      <c r="B1903">
        <v>589633405</v>
      </c>
      <c r="C1903">
        <v>15</v>
      </c>
      <c r="D1903" t="s">
        <v>5814</v>
      </c>
      <c r="E1903">
        <v>4723</v>
      </c>
      <c r="F1903" t="s">
        <v>23479</v>
      </c>
      <c r="G1903">
        <v>1</v>
      </c>
      <c r="H1903" t="s">
        <v>6341</v>
      </c>
      <c r="J1903" t="s">
        <v>6327</v>
      </c>
      <c r="K1903" t="s">
        <v>192</v>
      </c>
      <c r="L1903" t="s">
        <v>33</v>
      </c>
      <c r="M1903" t="s">
        <v>6342</v>
      </c>
      <c r="N1903" t="s">
        <v>6351</v>
      </c>
      <c r="O1903" t="s">
        <v>6352</v>
      </c>
      <c r="P1903" s="2" t="s">
        <v>37</v>
      </c>
      <c r="Q1903" t="s">
        <v>1208</v>
      </c>
      <c r="R1903">
        <v>0</v>
      </c>
      <c r="S1903">
        <v>243.64</v>
      </c>
      <c r="T1903" t="s">
        <v>6353</v>
      </c>
    </row>
    <row r="1904" spans="1:20" x14ac:dyDescent="0.25">
      <c r="A1904" s="1" t="str">
        <f>HYPERLINK("https://vegkart.atlas.vegvesen.no/#/@271446.7,7037824.4,18/hva:hva%5B0%5D%5Bfilter%5D%5B0%5D%5Boperator%5D=%21%3D&amp;hva%5B0%5D%5Bfilter%5D%5B0%5D%5Btype_id%5D=4723&amp;hva%5B0%5D%5Bfilter%5D%5B0%5D%5Bverdi%5D=&amp;hva%5B0%5D%5Bid%5D=15/når:2015-03-18", "Vegkart")</f>
        <v>Vegkart</v>
      </c>
      <c r="B1904">
        <v>589633417</v>
      </c>
      <c r="C1904">
        <v>15</v>
      </c>
      <c r="D1904" t="s">
        <v>5814</v>
      </c>
      <c r="E1904">
        <v>4723</v>
      </c>
      <c r="F1904" t="s">
        <v>23479</v>
      </c>
      <c r="G1904">
        <v>1</v>
      </c>
      <c r="H1904" t="s">
        <v>6341</v>
      </c>
      <c r="J1904" t="s">
        <v>6327</v>
      </c>
      <c r="K1904" t="s">
        <v>192</v>
      </c>
      <c r="L1904" t="s">
        <v>33</v>
      </c>
      <c r="M1904" t="s">
        <v>6342</v>
      </c>
      <c r="N1904" t="s">
        <v>6354</v>
      </c>
      <c r="O1904" t="s">
        <v>6355</v>
      </c>
      <c r="P1904" s="2" t="s">
        <v>37</v>
      </c>
      <c r="Q1904" t="s">
        <v>1208</v>
      </c>
      <c r="R1904">
        <v>0</v>
      </c>
      <c r="S1904">
        <v>196.09</v>
      </c>
      <c r="T1904" t="s">
        <v>6356</v>
      </c>
    </row>
    <row r="1905" spans="1:20" x14ac:dyDescent="0.25">
      <c r="A1905" s="1" t="str">
        <f>HYPERLINK("https://vegkart.atlas.vegvesen.no/#/@271424.9,7037951.8,18/hva:hva%5B0%5D%5Bfilter%5D%5B0%5D%5Boperator%5D=%21%3D&amp;hva%5B0%5D%5Bfilter%5D%5B0%5D%5Btype_id%5D=4723&amp;hva%5B0%5D%5Bfilter%5D%5B0%5D%5Bverdi%5D=&amp;hva%5B0%5D%5Bid%5D=15/når:2015-03-18", "Vegkart")</f>
        <v>Vegkart</v>
      </c>
      <c r="B1905">
        <v>589633418</v>
      </c>
      <c r="C1905">
        <v>15</v>
      </c>
      <c r="D1905" t="s">
        <v>5814</v>
      </c>
      <c r="E1905">
        <v>4723</v>
      </c>
      <c r="F1905" t="s">
        <v>23479</v>
      </c>
      <c r="G1905">
        <v>1</v>
      </c>
      <c r="H1905" t="s">
        <v>6341</v>
      </c>
      <c r="J1905" t="s">
        <v>6327</v>
      </c>
      <c r="K1905" t="s">
        <v>192</v>
      </c>
      <c r="L1905" t="s">
        <v>33</v>
      </c>
      <c r="M1905" t="s">
        <v>6342</v>
      </c>
      <c r="N1905" t="s">
        <v>6357</v>
      </c>
      <c r="O1905" t="s">
        <v>6358</v>
      </c>
      <c r="P1905" s="2" t="s">
        <v>37</v>
      </c>
      <c r="Q1905" t="s">
        <v>1208</v>
      </c>
      <c r="R1905">
        <v>0</v>
      </c>
      <c r="S1905">
        <v>319.04000000000002</v>
      </c>
      <c r="T1905" t="s">
        <v>6359</v>
      </c>
    </row>
    <row r="1906" spans="1:20" x14ac:dyDescent="0.25">
      <c r="A1906" s="1" t="str">
        <f>HYPERLINK("https://vegkart.atlas.vegvesen.no/#/@271520.5,7038466.8,18/hva:hva%5B0%5D%5Bfilter%5D%5B0%5D%5Boperator%5D=%21%3D&amp;hva%5B0%5D%5Bfilter%5D%5B0%5D%5Btype_id%5D=4723&amp;hva%5B0%5D%5Bfilter%5D%5B0%5D%5Bverdi%5D=&amp;hva%5B0%5D%5Bid%5D=15/når:2015-03-18", "Vegkart")</f>
        <v>Vegkart</v>
      </c>
      <c r="B1906">
        <v>589729207</v>
      </c>
      <c r="C1906">
        <v>15</v>
      </c>
      <c r="D1906" t="s">
        <v>5814</v>
      </c>
      <c r="E1906">
        <v>4723</v>
      </c>
      <c r="F1906" t="s">
        <v>23479</v>
      </c>
      <c r="G1906">
        <v>1</v>
      </c>
      <c r="H1906" t="s">
        <v>6341</v>
      </c>
      <c r="J1906" t="s">
        <v>6360</v>
      </c>
      <c r="K1906" t="s">
        <v>192</v>
      </c>
      <c r="L1906" t="s">
        <v>33</v>
      </c>
      <c r="M1906" t="s">
        <v>6342</v>
      </c>
      <c r="N1906" t="s">
        <v>6361</v>
      </c>
      <c r="O1906" t="s">
        <v>6362</v>
      </c>
      <c r="P1906" s="2" t="s">
        <v>37</v>
      </c>
      <c r="Q1906" t="s">
        <v>1208</v>
      </c>
      <c r="R1906">
        <v>0</v>
      </c>
      <c r="S1906">
        <v>52.92</v>
      </c>
      <c r="T1906" t="s">
        <v>6363</v>
      </c>
    </row>
    <row r="1907" spans="1:20" x14ac:dyDescent="0.25">
      <c r="A1907" s="1" t="str">
        <f>HYPERLINK("https://vegkart.atlas.vegvesen.no/#/@271450.0,7038186.2,18/hva:hva%5B0%5D%5Bfilter%5D%5B0%5D%5Boperator%5D=%21%3D&amp;hva%5B0%5D%5Bfilter%5D%5B0%5D%5Btype_id%5D=4723&amp;hva%5B0%5D%5Bfilter%5D%5B0%5D%5Bverdi%5D=&amp;hva%5B0%5D%5Bid%5D=15/når:2015-03-18", "Vegkart")</f>
        <v>Vegkart</v>
      </c>
      <c r="B1907">
        <v>589729214</v>
      </c>
      <c r="C1907">
        <v>15</v>
      </c>
      <c r="D1907" t="s">
        <v>5814</v>
      </c>
      <c r="E1907">
        <v>4723</v>
      </c>
      <c r="F1907" t="s">
        <v>23479</v>
      </c>
      <c r="G1907">
        <v>1</v>
      </c>
      <c r="H1907" t="s">
        <v>6341</v>
      </c>
      <c r="J1907" t="s">
        <v>6360</v>
      </c>
      <c r="K1907" t="s">
        <v>192</v>
      </c>
      <c r="L1907" t="s">
        <v>33</v>
      </c>
      <c r="M1907" t="s">
        <v>6342</v>
      </c>
      <c r="N1907" t="s">
        <v>6364</v>
      </c>
      <c r="O1907" t="s">
        <v>6365</v>
      </c>
      <c r="P1907" s="2" t="s">
        <v>37</v>
      </c>
      <c r="Q1907" t="s">
        <v>1208</v>
      </c>
      <c r="R1907">
        <v>0</v>
      </c>
      <c r="S1907">
        <v>570.49</v>
      </c>
      <c r="T1907" t="s">
        <v>6366</v>
      </c>
    </row>
    <row r="1908" spans="1:20" x14ac:dyDescent="0.25">
      <c r="A1908" s="1" t="str">
        <f>HYPERLINK("https://vegkart.atlas.vegvesen.no/#/@271543.7,7039151.5,18/hva:hva%5B0%5D%5Bfilter%5D%5B0%5D%5Boperator%5D=%21%3D&amp;hva%5B0%5D%5Bfilter%5D%5B0%5D%5Btype_id%5D=4723&amp;hva%5B0%5D%5Bfilter%5D%5B0%5D%5Bverdi%5D=&amp;hva%5B0%5D%5Bid%5D=15/når:2024-08-30", "Vegkart")</f>
        <v>Vegkart</v>
      </c>
      <c r="B1908">
        <v>589863559</v>
      </c>
      <c r="C1908">
        <v>15</v>
      </c>
      <c r="D1908" t="s">
        <v>5814</v>
      </c>
      <c r="E1908">
        <v>4723</v>
      </c>
      <c r="F1908" t="s">
        <v>23479</v>
      </c>
      <c r="G1908">
        <v>2</v>
      </c>
      <c r="H1908" t="s">
        <v>6200</v>
      </c>
      <c r="J1908" t="s">
        <v>6360</v>
      </c>
      <c r="K1908" t="s">
        <v>192</v>
      </c>
      <c r="L1908" t="s">
        <v>80</v>
      </c>
      <c r="M1908" t="s">
        <v>105</v>
      </c>
      <c r="N1908" t="s">
        <v>6367</v>
      </c>
      <c r="O1908" t="s">
        <v>6368</v>
      </c>
      <c r="P1908" s="2" t="s">
        <v>37</v>
      </c>
      <c r="Q1908" t="s">
        <v>1208</v>
      </c>
      <c r="R1908">
        <v>0</v>
      </c>
      <c r="S1908">
        <v>42.78</v>
      </c>
      <c r="T1908" t="s">
        <v>6369</v>
      </c>
    </row>
    <row r="1909" spans="1:20" x14ac:dyDescent="0.25">
      <c r="A1909" s="1" t="str">
        <f>HYPERLINK("https://vegkart.atlas.vegvesen.no/#/@271731.4,7039175.5,18/hva:hva%5B0%5D%5Bfilter%5D%5B0%5D%5Boperator%5D=%21%3D&amp;hva%5B0%5D%5Bfilter%5D%5B0%5D%5Btype_id%5D=4723&amp;hva%5B0%5D%5Bfilter%5D%5B0%5D%5Bverdi%5D=&amp;hva%5B0%5D%5Bid%5D=15/når:2024-08-30", "Vegkart")</f>
        <v>Vegkart</v>
      </c>
      <c r="B1909">
        <v>589863560</v>
      </c>
      <c r="C1909">
        <v>15</v>
      </c>
      <c r="D1909" t="s">
        <v>5814</v>
      </c>
      <c r="E1909">
        <v>4723</v>
      </c>
      <c r="F1909" t="s">
        <v>23479</v>
      </c>
      <c r="G1909">
        <v>2</v>
      </c>
      <c r="H1909" t="s">
        <v>6200</v>
      </c>
      <c r="J1909" t="s">
        <v>6360</v>
      </c>
      <c r="K1909" t="s">
        <v>192</v>
      </c>
      <c r="L1909" t="s">
        <v>80</v>
      </c>
      <c r="M1909" t="s">
        <v>105</v>
      </c>
      <c r="N1909" t="s">
        <v>6370</v>
      </c>
      <c r="O1909" t="s">
        <v>6371</v>
      </c>
      <c r="P1909" s="2" t="s">
        <v>37</v>
      </c>
      <c r="Q1909" t="s">
        <v>1208</v>
      </c>
      <c r="R1909">
        <v>0</v>
      </c>
      <c r="S1909">
        <v>658.83</v>
      </c>
      <c r="T1909" t="s">
        <v>6372</v>
      </c>
    </row>
    <row r="1910" spans="1:20" x14ac:dyDescent="0.25">
      <c r="A1910" s="1" t="str">
        <f>HYPERLINK("https://vegkart.atlas.vegvesen.no/#/@271884.9,7039172.3,18/hva:hva%5B0%5D%5Bfilter%5D%5B0%5D%5Boperator%5D=%21%3D&amp;hva%5B0%5D%5Bfilter%5D%5B0%5D%5Btype_id%5D=4723&amp;hva%5B0%5D%5Bfilter%5D%5B0%5D%5Bverdi%5D=&amp;hva%5B0%5D%5Bid%5D=15/når:2024-08-30", "Vegkart")</f>
        <v>Vegkart</v>
      </c>
      <c r="B1910">
        <v>589863561</v>
      </c>
      <c r="C1910">
        <v>15</v>
      </c>
      <c r="D1910" t="s">
        <v>5814</v>
      </c>
      <c r="E1910">
        <v>4723</v>
      </c>
      <c r="F1910" t="s">
        <v>23479</v>
      </c>
      <c r="G1910">
        <v>2</v>
      </c>
      <c r="H1910" t="s">
        <v>6200</v>
      </c>
      <c r="J1910" t="s">
        <v>6360</v>
      </c>
      <c r="K1910" t="s">
        <v>192</v>
      </c>
      <c r="L1910" t="s">
        <v>80</v>
      </c>
      <c r="M1910" t="s">
        <v>105</v>
      </c>
      <c r="N1910" t="s">
        <v>6373</v>
      </c>
      <c r="O1910" t="s">
        <v>6374</v>
      </c>
      <c r="P1910" s="2" t="s">
        <v>37</v>
      </c>
      <c r="Q1910" t="s">
        <v>1208</v>
      </c>
      <c r="R1910">
        <v>0</v>
      </c>
      <c r="S1910">
        <v>83.54</v>
      </c>
      <c r="T1910" t="s">
        <v>6375</v>
      </c>
    </row>
    <row r="1911" spans="1:20" x14ac:dyDescent="0.25">
      <c r="A1911" s="1" t="str">
        <f>HYPERLINK("https://vegkart.atlas.vegvesen.no/#/@272450.3,7039233.5,18/hva:hva%5B0%5D%5Bfilter%5D%5B0%5D%5Boperator%5D=%21%3D&amp;hva%5B0%5D%5Bfilter%5D%5B0%5D%5Btype_id%5D=4723&amp;hva%5B0%5D%5Bfilter%5D%5B0%5D%5Bverdi%5D=&amp;hva%5B0%5D%5Bid%5D=15/når:2024-08-30", "Vegkart")</f>
        <v>Vegkart</v>
      </c>
      <c r="B1911">
        <v>589863563</v>
      </c>
      <c r="C1911">
        <v>15</v>
      </c>
      <c r="D1911" t="s">
        <v>5814</v>
      </c>
      <c r="E1911">
        <v>4723</v>
      </c>
      <c r="F1911" t="s">
        <v>23479</v>
      </c>
      <c r="G1911">
        <v>2</v>
      </c>
      <c r="H1911" t="s">
        <v>6200</v>
      </c>
      <c r="J1911" t="s">
        <v>6360</v>
      </c>
      <c r="K1911" t="s">
        <v>192</v>
      </c>
      <c r="L1911" t="s">
        <v>80</v>
      </c>
      <c r="M1911" t="s">
        <v>105</v>
      </c>
      <c r="N1911" t="s">
        <v>6376</v>
      </c>
      <c r="O1911" t="s">
        <v>6377</v>
      </c>
      <c r="P1911" s="2" t="s">
        <v>165</v>
      </c>
      <c r="Q1911" t="s">
        <v>641</v>
      </c>
      <c r="R1911">
        <v>0</v>
      </c>
      <c r="S1911">
        <v>162.58000000000001</v>
      </c>
      <c r="T1911" t="s">
        <v>167</v>
      </c>
    </row>
    <row r="1912" spans="1:20" x14ac:dyDescent="0.25">
      <c r="A1912" s="1" t="str">
        <f>HYPERLINK("https://vegkart.atlas.vegvesen.no/#/@272406.9,7039240.0,18/hva:hva%5B0%5D%5Bfilter%5D%5B0%5D%5Boperator%5D=%21%3D&amp;hva%5B0%5D%5Bfilter%5D%5B0%5D%5Btype_id%5D=4723&amp;hva%5B0%5D%5Bfilter%5D%5B0%5D%5Bverdi%5D=&amp;hva%5B0%5D%5Bid%5D=15/når:2024-08-30", "Vegkart")</f>
        <v>Vegkart</v>
      </c>
      <c r="B1912">
        <v>589863564</v>
      </c>
      <c r="C1912">
        <v>15</v>
      </c>
      <c r="D1912" t="s">
        <v>5814</v>
      </c>
      <c r="E1912">
        <v>4723</v>
      </c>
      <c r="F1912" t="s">
        <v>23479</v>
      </c>
      <c r="G1912">
        <v>2</v>
      </c>
      <c r="H1912" t="s">
        <v>6200</v>
      </c>
      <c r="J1912" t="s">
        <v>6360</v>
      </c>
      <c r="K1912" t="s">
        <v>192</v>
      </c>
      <c r="L1912" t="s">
        <v>80</v>
      </c>
      <c r="M1912" t="s">
        <v>105</v>
      </c>
      <c r="N1912" t="s">
        <v>6378</v>
      </c>
      <c r="O1912" t="s">
        <v>6379</v>
      </c>
      <c r="P1912" s="2" t="s">
        <v>37</v>
      </c>
      <c r="Q1912" t="s">
        <v>1208</v>
      </c>
      <c r="R1912">
        <v>0</v>
      </c>
      <c r="S1912">
        <v>129.55000000000001</v>
      </c>
      <c r="T1912" t="s">
        <v>6380</v>
      </c>
    </row>
    <row r="1913" spans="1:20" x14ac:dyDescent="0.25">
      <c r="A1913" s="1" t="str">
        <f>HYPERLINK("https://vegkart.atlas.vegvesen.no/#/@272498.4,7039228.8,18/hva:hva%5B0%5D%5Bfilter%5D%5B0%5D%5Boperator%5D=%21%3D&amp;hva%5B0%5D%5Bfilter%5D%5B0%5D%5Btype_id%5D=4723&amp;hva%5B0%5D%5Bfilter%5D%5B0%5D%5Bverdi%5D=&amp;hva%5B0%5D%5Bid%5D=15/når:2024-08-30", "Vegkart")</f>
        <v>Vegkart</v>
      </c>
      <c r="B1913">
        <v>589863565</v>
      </c>
      <c r="C1913">
        <v>15</v>
      </c>
      <c r="D1913" t="s">
        <v>5814</v>
      </c>
      <c r="E1913">
        <v>4723</v>
      </c>
      <c r="F1913" t="s">
        <v>23479</v>
      </c>
      <c r="G1913">
        <v>2</v>
      </c>
      <c r="H1913" t="s">
        <v>6200</v>
      </c>
      <c r="J1913" t="s">
        <v>6360</v>
      </c>
      <c r="K1913" t="s">
        <v>192</v>
      </c>
      <c r="L1913" t="s">
        <v>80</v>
      </c>
      <c r="M1913" t="s">
        <v>105</v>
      </c>
      <c r="N1913" t="s">
        <v>6381</v>
      </c>
      <c r="O1913" t="s">
        <v>6382</v>
      </c>
      <c r="P1913" s="2" t="s">
        <v>37</v>
      </c>
      <c r="Q1913" t="s">
        <v>1208</v>
      </c>
      <c r="R1913">
        <v>0</v>
      </c>
      <c r="S1913">
        <v>276.45</v>
      </c>
      <c r="T1913" t="s">
        <v>6383</v>
      </c>
    </row>
    <row r="1914" spans="1:20" x14ac:dyDescent="0.25">
      <c r="A1914" s="1" t="str">
        <f>HYPERLINK("https://vegkart.atlas.vegvesen.no/#/@272537.4,7039205.2,18/hva:hva%5B0%5D%5Bfilter%5D%5B0%5D%5Boperator%5D=%21%3D&amp;hva%5B0%5D%5Bfilter%5D%5B0%5D%5Btype_id%5D=4723&amp;hva%5B0%5D%5Bfilter%5D%5B0%5D%5Bverdi%5D=&amp;hva%5B0%5D%5Bid%5D=15/når:2024-08-30", "Vegkart")</f>
        <v>Vegkart</v>
      </c>
      <c r="B1914">
        <v>589863566</v>
      </c>
      <c r="C1914">
        <v>15</v>
      </c>
      <c r="D1914" t="s">
        <v>5814</v>
      </c>
      <c r="E1914">
        <v>4723</v>
      </c>
      <c r="F1914" t="s">
        <v>23479</v>
      </c>
      <c r="G1914">
        <v>2</v>
      </c>
      <c r="H1914" t="s">
        <v>6200</v>
      </c>
      <c r="J1914" t="s">
        <v>6360</v>
      </c>
      <c r="K1914" t="s">
        <v>192</v>
      </c>
      <c r="L1914" t="s">
        <v>80</v>
      </c>
      <c r="M1914" t="s">
        <v>105</v>
      </c>
      <c r="N1914" t="s">
        <v>6384</v>
      </c>
      <c r="O1914" t="s">
        <v>6385</v>
      </c>
      <c r="P1914" s="2" t="s">
        <v>37</v>
      </c>
      <c r="Q1914" t="s">
        <v>1208</v>
      </c>
      <c r="R1914">
        <v>0</v>
      </c>
      <c r="S1914">
        <v>25.53</v>
      </c>
      <c r="T1914" t="s">
        <v>6386</v>
      </c>
    </row>
    <row r="1915" spans="1:20" x14ac:dyDescent="0.25">
      <c r="A1915" s="1" t="str">
        <f>HYPERLINK("https://vegkart.atlas.vegvesen.no/#/@272420.0,7039274.0,18/hva:hva%5B0%5D%5Bfilter%5D%5B0%5D%5Boperator%5D=%21%3D&amp;hva%5B0%5D%5Bfilter%5D%5B0%5D%5Btype_id%5D=4723&amp;hva%5B0%5D%5Bfilter%5D%5B0%5D%5Bverdi%5D=&amp;hva%5B0%5D%5Bid%5D=15/når:2024-08-30", "Vegkart")</f>
        <v>Vegkart</v>
      </c>
      <c r="B1915">
        <v>589863567</v>
      </c>
      <c r="C1915">
        <v>15</v>
      </c>
      <c r="D1915" t="s">
        <v>5814</v>
      </c>
      <c r="E1915">
        <v>4723</v>
      </c>
      <c r="F1915" t="s">
        <v>23479</v>
      </c>
      <c r="G1915">
        <v>2</v>
      </c>
      <c r="H1915" t="s">
        <v>6200</v>
      </c>
      <c r="J1915" t="s">
        <v>6360</v>
      </c>
      <c r="K1915" t="s">
        <v>192</v>
      </c>
      <c r="L1915" t="s">
        <v>80</v>
      </c>
      <c r="M1915" t="s">
        <v>105</v>
      </c>
      <c r="N1915" t="s">
        <v>6387</v>
      </c>
      <c r="O1915" t="s">
        <v>6388</v>
      </c>
      <c r="P1915" s="2" t="s">
        <v>37</v>
      </c>
      <c r="Q1915" t="s">
        <v>1208</v>
      </c>
      <c r="R1915">
        <v>0</v>
      </c>
      <c r="S1915">
        <v>271.47000000000003</v>
      </c>
      <c r="T1915" t="s">
        <v>6389</v>
      </c>
    </row>
    <row r="1916" spans="1:20" x14ac:dyDescent="0.25">
      <c r="A1916" s="1" t="str">
        <f>HYPERLINK("https://vegkart.atlas.vegvesen.no/#/@272558.5,7039340.7,18/hva:hva%5B0%5D%5Bfilter%5D%5B0%5D%5Boperator%5D=%21%3D&amp;hva%5B0%5D%5Bfilter%5D%5B0%5D%5Btype_id%5D=4723&amp;hva%5B0%5D%5Bfilter%5D%5B0%5D%5Bverdi%5D=&amp;hva%5B0%5D%5Bid%5D=15/når:2024-08-30", "Vegkart")</f>
        <v>Vegkart</v>
      </c>
      <c r="B1916">
        <v>589863568</v>
      </c>
      <c r="C1916">
        <v>15</v>
      </c>
      <c r="D1916" t="s">
        <v>5814</v>
      </c>
      <c r="E1916">
        <v>4723</v>
      </c>
      <c r="F1916" t="s">
        <v>23479</v>
      </c>
      <c r="G1916">
        <v>2</v>
      </c>
      <c r="H1916" t="s">
        <v>6200</v>
      </c>
      <c r="J1916" t="s">
        <v>6360</v>
      </c>
      <c r="K1916" t="s">
        <v>192</v>
      </c>
      <c r="L1916" t="s">
        <v>80</v>
      </c>
      <c r="M1916" t="s">
        <v>105</v>
      </c>
      <c r="N1916" t="s">
        <v>6390</v>
      </c>
      <c r="O1916" t="s">
        <v>6391</v>
      </c>
      <c r="P1916" s="2" t="s">
        <v>37</v>
      </c>
      <c r="Q1916" t="s">
        <v>1208</v>
      </c>
      <c r="R1916">
        <v>0.01</v>
      </c>
      <c r="S1916">
        <v>457.86</v>
      </c>
      <c r="T1916" t="s">
        <v>6392</v>
      </c>
    </row>
    <row r="1917" spans="1:20" x14ac:dyDescent="0.25">
      <c r="A1917" s="1" t="str">
        <f>HYPERLINK("https://vegkart.atlas.vegvesen.no/#/@272557.8,7039379.7,18/hva:hva%5B0%5D%5Bfilter%5D%5B0%5D%5Boperator%5D=%21%3D&amp;hva%5B0%5D%5Bfilter%5D%5B0%5D%5Btype_id%5D=4723&amp;hva%5B0%5D%5Bfilter%5D%5B0%5D%5Bverdi%5D=&amp;hva%5B0%5D%5Bid%5D=15/når:2024-08-30", "Vegkart")</f>
        <v>Vegkart</v>
      </c>
      <c r="B1917">
        <v>589863569</v>
      </c>
      <c r="C1917">
        <v>15</v>
      </c>
      <c r="D1917" t="s">
        <v>5814</v>
      </c>
      <c r="E1917">
        <v>4723</v>
      </c>
      <c r="F1917" t="s">
        <v>23479</v>
      </c>
      <c r="G1917">
        <v>2</v>
      </c>
      <c r="H1917" t="s">
        <v>6200</v>
      </c>
      <c r="J1917" t="s">
        <v>6360</v>
      </c>
      <c r="K1917" t="s">
        <v>192</v>
      </c>
      <c r="L1917" t="s">
        <v>80</v>
      </c>
      <c r="M1917" t="s">
        <v>105</v>
      </c>
      <c r="N1917" t="s">
        <v>6393</v>
      </c>
      <c r="O1917" t="s">
        <v>6394</v>
      </c>
      <c r="P1917" s="2" t="s">
        <v>37</v>
      </c>
      <c r="Q1917" t="s">
        <v>1208</v>
      </c>
      <c r="R1917">
        <v>0</v>
      </c>
      <c r="S1917">
        <v>606.42999999999995</v>
      </c>
      <c r="T1917" t="s">
        <v>6395</v>
      </c>
    </row>
    <row r="1918" spans="1:20" x14ac:dyDescent="0.25">
      <c r="A1918" s="1" t="str">
        <f>HYPERLINK("https://vegkart.atlas.vegvesen.no/#/@273014.2,7039796.7,18/hva:hva%5B0%5D%5Bfilter%5D%5B0%5D%5Boperator%5D=%21%3D&amp;hva%5B0%5D%5Bfilter%5D%5B0%5D%5Btype_id%5D=4723&amp;hva%5B0%5D%5Bfilter%5D%5B0%5D%5Bverdi%5D=&amp;hva%5B0%5D%5Bid%5D=15/når:2024-08-30", "Vegkart")</f>
        <v>Vegkart</v>
      </c>
      <c r="B1918">
        <v>589863570</v>
      </c>
      <c r="C1918">
        <v>15</v>
      </c>
      <c r="D1918" t="s">
        <v>5814</v>
      </c>
      <c r="E1918">
        <v>4723</v>
      </c>
      <c r="F1918" t="s">
        <v>23479</v>
      </c>
      <c r="G1918">
        <v>2</v>
      </c>
      <c r="H1918" t="s">
        <v>6200</v>
      </c>
      <c r="J1918" t="s">
        <v>6360</v>
      </c>
      <c r="K1918" t="s">
        <v>192</v>
      </c>
      <c r="L1918" t="s">
        <v>80</v>
      </c>
      <c r="M1918" t="s">
        <v>105</v>
      </c>
      <c r="N1918" t="s">
        <v>6396</v>
      </c>
      <c r="O1918" t="s">
        <v>6397</v>
      </c>
      <c r="P1918" s="2" t="s">
        <v>37</v>
      </c>
      <c r="Q1918" t="s">
        <v>1208</v>
      </c>
      <c r="R1918">
        <v>0</v>
      </c>
      <c r="S1918">
        <v>1810.26</v>
      </c>
      <c r="T1918" t="s">
        <v>6398</v>
      </c>
    </row>
    <row r="1919" spans="1:20" x14ac:dyDescent="0.25">
      <c r="A1919" s="1" t="str">
        <f>HYPERLINK("https://vegkart.atlas.vegvesen.no/#/@272909.9,7039733.7,18/hva:hva%5B0%5D%5Bfilter%5D%5B0%5D%5Boperator%5D=%21%3D&amp;hva%5B0%5D%5Bfilter%5D%5B0%5D%5Btype_id%5D=4723&amp;hva%5B0%5D%5Bfilter%5D%5B0%5D%5Bverdi%5D=&amp;hva%5B0%5D%5Bid%5D=15/når:2024-08-30", "Vegkart")</f>
        <v>Vegkart</v>
      </c>
      <c r="B1919">
        <v>589863571</v>
      </c>
      <c r="C1919">
        <v>15</v>
      </c>
      <c r="D1919" t="s">
        <v>5814</v>
      </c>
      <c r="E1919">
        <v>4723</v>
      </c>
      <c r="F1919" t="s">
        <v>23479</v>
      </c>
      <c r="G1919">
        <v>2</v>
      </c>
      <c r="H1919" t="s">
        <v>6200</v>
      </c>
      <c r="J1919" t="s">
        <v>6360</v>
      </c>
      <c r="K1919" t="s">
        <v>192</v>
      </c>
      <c r="L1919" t="s">
        <v>80</v>
      </c>
      <c r="M1919" t="s">
        <v>105</v>
      </c>
      <c r="N1919" t="s">
        <v>6399</v>
      </c>
      <c r="O1919" t="s">
        <v>6400</v>
      </c>
      <c r="P1919" s="2" t="s">
        <v>37</v>
      </c>
      <c r="Q1919" t="s">
        <v>1208</v>
      </c>
      <c r="R1919">
        <v>0</v>
      </c>
      <c r="S1919">
        <v>1131.73</v>
      </c>
      <c r="T1919" t="s">
        <v>6401</v>
      </c>
    </row>
    <row r="1920" spans="1:20" x14ac:dyDescent="0.25">
      <c r="A1920" s="1" t="str">
        <f>HYPERLINK("https://vegkart.atlas.vegvesen.no/#/@273298.9,7040099.0,18/hva:hva%5B0%5D%5Bfilter%5D%5B0%5D%5Boperator%5D=%21%3D&amp;hva%5B0%5D%5Bfilter%5D%5B0%5D%5Btype_id%5D=4723&amp;hva%5B0%5D%5Bfilter%5D%5B0%5D%5Bverdi%5D=&amp;hva%5B0%5D%5Bid%5D=15/når:2024-08-30", "Vegkart")</f>
        <v>Vegkart</v>
      </c>
      <c r="B1920">
        <v>589863572</v>
      </c>
      <c r="C1920">
        <v>15</v>
      </c>
      <c r="D1920" t="s">
        <v>5814</v>
      </c>
      <c r="E1920">
        <v>4723</v>
      </c>
      <c r="F1920" t="s">
        <v>23479</v>
      </c>
      <c r="G1920">
        <v>2</v>
      </c>
      <c r="H1920" t="s">
        <v>6200</v>
      </c>
      <c r="J1920" t="s">
        <v>6360</v>
      </c>
      <c r="K1920" t="s">
        <v>192</v>
      </c>
      <c r="L1920" t="s">
        <v>80</v>
      </c>
      <c r="M1920" t="s">
        <v>105</v>
      </c>
      <c r="N1920" t="s">
        <v>6402</v>
      </c>
      <c r="O1920" t="s">
        <v>6403</v>
      </c>
      <c r="P1920" s="2" t="s">
        <v>37</v>
      </c>
      <c r="Q1920" t="s">
        <v>1208</v>
      </c>
      <c r="R1920">
        <v>0</v>
      </c>
      <c r="S1920">
        <v>855.44</v>
      </c>
      <c r="T1920" t="s">
        <v>6404</v>
      </c>
    </row>
    <row r="1921" spans="1:20" x14ac:dyDescent="0.25">
      <c r="A1921" s="1" t="str">
        <f>HYPERLINK("https://vegkart.atlas.vegvesen.no/#/@273454.5,7040188.2,18/hva:hva%5B0%5D%5Bfilter%5D%5B0%5D%5Boperator%5D=%21%3D&amp;hva%5B0%5D%5Bfilter%5D%5B0%5D%5Btype_id%5D=4723&amp;hva%5B0%5D%5Bfilter%5D%5B0%5D%5Bverdi%5D=&amp;hva%5B0%5D%5Bid%5D=15/når:2024-08-30", "Vegkart")</f>
        <v>Vegkart</v>
      </c>
      <c r="B1921">
        <v>589863573</v>
      </c>
      <c r="C1921">
        <v>15</v>
      </c>
      <c r="D1921" t="s">
        <v>5814</v>
      </c>
      <c r="E1921">
        <v>4723</v>
      </c>
      <c r="F1921" t="s">
        <v>23479</v>
      </c>
      <c r="G1921">
        <v>2</v>
      </c>
      <c r="H1921" t="s">
        <v>6200</v>
      </c>
      <c r="J1921" t="s">
        <v>6360</v>
      </c>
      <c r="K1921" t="s">
        <v>192</v>
      </c>
      <c r="L1921" t="s">
        <v>80</v>
      </c>
      <c r="M1921" t="s">
        <v>105</v>
      </c>
      <c r="N1921" t="s">
        <v>6405</v>
      </c>
      <c r="O1921" t="s">
        <v>6406</v>
      </c>
      <c r="P1921" s="2" t="s">
        <v>37</v>
      </c>
      <c r="Q1921" t="s">
        <v>1208</v>
      </c>
      <c r="R1921">
        <v>0</v>
      </c>
      <c r="S1921">
        <v>488.35</v>
      </c>
      <c r="T1921" t="s">
        <v>6407</v>
      </c>
    </row>
    <row r="1922" spans="1:20" x14ac:dyDescent="0.25">
      <c r="A1922" s="1" t="str">
        <f>HYPERLINK("https://vegkart.atlas.vegvesen.no/#/@273556.8,7040378.3,18/hva:hva%5B0%5D%5Bfilter%5D%5B0%5D%5Boperator%5D=%21%3D&amp;hva%5B0%5D%5Bfilter%5D%5B0%5D%5Btype_id%5D=4723&amp;hva%5B0%5D%5Bfilter%5D%5B0%5D%5Bverdi%5D=&amp;hva%5B0%5D%5Bid%5D=15/når:2024-08-30", "Vegkart")</f>
        <v>Vegkart</v>
      </c>
      <c r="B1922">
        <v>589863575</v>
      </c>
      <c r="C1922">
        <v>15</v>
      </c>
      <c r="D1922" t="s">
        <v>5814</v>
      </c>
      <c r="E1922">
        <v>4723</v>
      </c>
      <c r="F1922" t="s">
        <v>23479</v>
      </c>
      <c r="G1922">
        <v>2</v>
      </c>
      <c r="H1922" t="s">
        <v>6200</v>
      </c>
      <c r="J1922" t="s">
        <v>6360</v>
      </c>
      <c r="K1922" t="s">
        <v>192</v>
      </c>
      <c r="L1922" t="s">
        <v>80</v>
      </c>
      <c r="M1922" t="s">
        <v>105</v>
      </c>
      <c r="N1922" t="s">
        <v>6408</v>
      </c>
      <c r="O1922" t="s">
        <v>6409</v>
      </c>
      <c r="P1922" s="2" t="s">
        <v>37</v>
      </c>
      <c r="Q1922" t="s">
        <v>1208</v>
      </c>
      <c r="R1922">
        <v>0</v>
      </c>
      <c r="S1922">
        <v>329.25</v>
      </c>
      <c r="T1922" t="s">
        <v>6410</v>
      </c>
    </row>
    <row r="1923" spans="1:20" x14ac:dyDescent="0.25">
      <c r="A1923" s="1" t="str">
        <f>HYPERLINK("https://vegkart.atlas.vegvesen.no/#/@273750.6,7040508.3,18/hva:hva%5B0%5D%5Bfilter%5D%5B0%5D%5Boperator%5D=%21%3D&amp;hva%5B0%5D%5Bfilter%5D%5B0%5D%5Btype_id%5D=4723&amp;hva%5B0%5D%5Bfilter%5D%5B0%5D%5Bverdi%5D=&amp;hva%5B0%5D%5Bid%5D=15/når:2024-08-30", "Vegkart")</f>
        <v>Vegkart</v>
      </c>
      <c r="B1923">
        <v>589863577</v>
      </c>
      <c r="C1923">
        <v>15</v>
      </c>
      <c r="D1923" t="s">
        <v>5814</v>
      </c>
      <c r="E1923">
        <v>4723</v>
      </c>
      <c r="F1923" t="s">
        <v>23479</v>
      </c>
      <c r="G1923">
        <v>2</v>
      </c>
      <c r="H1923" t="s">
        <v>6200</v>
      </c>
      <c r="J1923" t="s">
        <v>6360</v>
      </c>
      <c r="K1923" t="s">
        <v>192</v>
      </c>
      <c r="L1923" t="s">
        <v>80</v>
      </c>
      <c r="M1923" t="s">
        <v>105</v>
      </c>
      <c r="N1923" t="s">
        <v>6411</v>
      </c>
      <c r="O1923" t="s">
        <v>6412</v>
      </c>
      <c r="P1923" s="2" t="s">
        <v>37</v>
      </c>
      <c r="Q1923" t="s">
        <v>1208</v>
      </c>
      <c r="R1923">
        <v>0</v>
      </c>
      <c r="S1923">
        <v>1222.45</v>
      </c>
      <c r="T1923" t="s">
        <v>6413</v>
      </c>
    </row>
    <row r="1924" spans="1:20" x14ac:dyDescent="0.25">
      <c r="A1924" s="1" t="str">
        <f>HYPERLINK("https://vegkart.atlas.vegvesen.no/#/@273604.5,7040314.5,18/hva:hva%5B0%5D%5Bfilter%5D%5B0%5D%5Boperator%5D=%21%3D&amp;hva%5B0%5D%5Bfilter%5D%5B0%5D%5Btype_id%5D=4723&amp;hva%5B0%5D%5Bfilter%5D%5B0%5D%5Bverdi%5D=&amp;hva%5B0%5D%5Bid%5D=15/når:2024-08-30", "Vegkart")</f>
        <v>Vegkart</v>
      </c>
      <c r="B1924">
        <v>589863578</v>
      </c>
      <c r="C1924">
        <v>15</v>
      </c>
      <c r="D1924" t="s">
        <v>5814</v>
      </c>
      <c r="E1924">
        <v>4723</v>
      </c>
      <c r="F1924" t="s">
        <v>23479</v>
      </c>
      <c r="G1924">
        <v>2</v>
      </c>
      <c r="H1924" t="s">
        <v>6200</v>
      </c>
      <c r="J1924" t="s">
        <v>6360</v>
      </c>
      <c r="K1924" t="s">
        <v>192</v>
      </c>
      <c r="L1924" t="s">
        <v>80</v>
      </c>
      <c r="M1924" t="s">
        <v>105</v>
      </c>
      <c r="N1924" t="s">
        <v>6414</v>
      </c>
      <c r="O1924" t="s">
        <v>6415</v>
      </c>
      <c r="P1924" s="2" t="s">
        <v>37</v>
      </c>
      <c r="Q1924" t="s">
        <v>1208</v>
      </c>
      <c r="R1924">
        <v>0</v>
      </c>
      <c r="S1924">
        <v>383.73</v>
      </c>
      <c r="T1924" t="s">
        <v>6416</v>
      </c>
    </row>
    <row r="1925" spans="1:20" x14ac:dyDescent="0.25">
      <c r="A1925" s="1" t="str">
        <f>HYPERLINK("https://vegkart.atlas.vegvesen.no/#/@274085.6,7040757.8,18/hva:hva%5B0%5D%5Bfilter%5D%5B0%5D%5Boperator%5D=%21%3D&amp;hva%5B0%5D%5Bfilter%5D%5B0%5D%5Btype_id%5D=4723&amp;hva%5B0%5D%5Bfilter%5D%5B0%5D%5Bverdi%5D=&amp;hva%5B0%5D%5Bid%5D=15/når:2024-08-30", "Vegkart")</f>
        <v>Vegkart</v>
      </c>
      <c r="B1925">
        <v>589863579</v>
      </c>
      <c r="C1925">
        <v>15</v>
      </c>
      <c r="D1925" t="s">
        <v>5814</v>
      </c>
      <c r="E1925">
        <v>4723</v>
      </c>
      <c r="F1925" t="s">
        <v>23479</v>
      </c>
      <c r="G1925">
        <v>2</v>
      </c>
      <c r="H1925" t="s">
        <v>6200</v>
      </c>
      <c r="J1925" t="s">
        <v>6360</v>
      </c>
      <c r="K1925" t="s">
        <v>192</v>
      </c>
      <c r="L1925" t="s">
        <v>80</v>
      </c>
      <c r="M1925" t="s">
        <v>105</v>
      </c>
      <c r="N1925" t="s">
        <v>6417</v>
      </c>
      <c r="O1925" t="s">
        <v>6418</v>
      </c>
      <c r="P1925" s="2" t="s">
        <v>37</v>
      </c>
      <c r="Q1925" t="s">
        <v>1208</v>
      </c>
      <c r="R1925">
        <v>0.13</v>
      </c>
      <c r="S1925">
        <v>1269.02</v>
      </c>
      <c r="T1925" t="s">
        <v>6419</v>
      </c>
    </row>
    <row r="1926" spans="1:20" x14ac:dyDescent="0.25">
      <c r="A1926" s="1" t="str">
        <f>HYPERLINK("https://vegkart.atlas.vegvesen.no/#/@274295.7,7040982.4,18/hva:hva%5B0%5D%5Bfilter%5D%5B0%5D%5Boperator%5D=%21%3D&amp;hva%5B0%5D%5Bfilter%5D%5B0%5D%5Btype_id%5D=4723&amp;hva%5B0%5D%5Bfilter%5D%5B0%5D%5Bverdi%5D=&amp;hva%5B0%5D%5Bid%5D=15/når:2024-08-30", "Vegkart")</f>
        <v>Vegkart</v>
      </c>
      <c r="B1926">
        <v>590485513</v>
      </c>
      <c r="C1926">
        <v>15</v>
      </c>
      <c r="D1926" t="s">
        <v>5814</v>
      </c>
      <c r="E1926">
        <v>4723</v>
      </c>
      <c r="F1926" t="s">
        <v>23479</v>
      </c>
      <c r="G1926">
        <v>3</v>
      </c>
      <c r="H1926" t="s">
        <v>6200</v>
      </c>
      <c r="J1926" t="s">
        <v>6360</v>
      </c>
      <c r="K1926" t="s">
        <v>192</v>
      </c>
      <c r="L1926" t="s">
        <v>80</v>
      </c>
      <c r="M1926" t="s">
        <v>105</v>
      </c>
      <c r="N1926" t="s">
        <v>6420</v>
      </c>
      <c r="O1926" t="s">
        <v>6421</v>
      </c>
      <c r="P1926" s="2" t="s">
        <v>165</v>
      </c>
      <c r="Q1926" t="s">
        <v>641</v>
      </c>
      <c r="R1926">
        <v>0</v>
      </c>
      <c r="S1926">
        <v>569.55999999999995</v>
      </c>
      <c r="T1926" t="s">
        <v>167</v>
      </c>
    </row>
    <row r="1927" spans="1:20" x14ac:dyDescent="0.25">
      <c r="A1927" s="1" t="str">
        <f>HYPERLINK("https://vegkart.atlas.vegvesen.no/#/@274934.6,7041587.6,18/hva:hva%5B0%5D%5Bfilter%5D%5B0%5D%5Boperator%5D=%21%3D&amp;hva%5B0%5D%5Bfilter%5D%5B0%5D%5Btype_id%5D=4723&amp;hva%5B0%5D%5Bfilter%5D%5B0%5D%5Bverdi%5D=&amp;hva%5B0%5D%5Bid%5D=15/når:2024-08-30", "Vegkart")</f>
        <v>Vegkart</v>
      </c>
      <c r="B1927">
        <v>590644923</v>
      </c>
      <c r="C1927">
        <v>15</v>
      </c>
      <c r="D1927" t="s">
        <v>5814</v>
      </c>
      <c r="E1927">
        <v>4723</v>
      </c>
      <c r="F1927" t="s">
        <v>23479</v>
      </c>
      <c r="G1927">
        <v>3</v>
      </c>
      <c r="H1927" t="s">
        <v>6200</v>
      </c>
      <c r="J1927" t="s">
        <v>6360</v>
      </c>
      <c r="K1927" t="s">
        <v>192</v>
      </c>
      <c r="L1927" t="s">
        <v>113</v>
      </c>
      <c r="M1927" t="s">
        <v>2577</v>
      </c>
      <c r="N1927" t="s">
        <v>6422</v>
      </c>
      <c r="O1927" t="s">
        <v>6423</v>
      </c>
      <c r="P1927" s="2" t="s">
        <v>37</v>
      </c>
      <c r="Q1927" t="s">
        <v>1208</v>
      </c>
      <c r="R1927">
        <v>0</v>
      </c>
      <c r="S1927">
        <v>276.95999999999998</v>
      </c>
      <c r="T1927" t="s">
        <v>6424</v>
      </c>
    </row>
    <row r="1928" spans="1:20" x14ac:dyDescent="0.25">
      <c r="A1928" s="1" t="str">
        <f>HYPERLINK("https://vegkart.atlas.vegvesen.no/#/@274826.5,7041573.5,18/hva:hva%5B0%5D%5Bfilter%5D%5B0%5D%5Boperator%5D=%21%3D&amp;hva%5B0%5D%5Bfilter%5D%5B0%5D%5Btype_id%5D=4723&amp;hva%5B0%5D%5Bfilter%5D%5B0%5D%5Bverdi%5D=&amp;hva%5B0%5D%5Bid%5D=15/når:2024-08-30", "Vegkart")</f>
        <v>Vegkart</v>
      </c>
      <c r="B1928">
        <v>590644924</v>
      </c>
      <c r="C1928">
        <v>15</v>
      </c>
      <c r="D1928" t="s">
        <v>5814</v>
      </c>
      <c r="E1928">
        <v>4723</v>
      </c>
      <c r="F1928" t="s">
        <v>23479</v>
      </c>
      <c r="G1928">
        <v>3</v>
      </c>
      <c r="H1928" t="s">
        <v>6200</v>
      </c>
      <c r="J1928" t="s">
        <v>6360</v>
      </c>
      <c r="K1928" t="s">
        <v>192</v>
      </c>
      <c r="L1928" t="s">
        <v>113</v>
      </c>
      <c r="M1928" t="s">
        <v>2577</v>
      </c>
      <c r="N1928" t="s">
        <v>6425</v>
      </c>
      <c r="O1928" t="s">
        <v>6426</v>
      </c>
      <c r="P1928" s="2" t="s">
        <v>37</v>
      </c>
      <c r="Q1928" t="s">
        <v>1208</v>
      </c>
      <c r="R1928">
        <v>0</v>
      </c>
      <c r="S1928">
        <v>225.19</v>
      </c>
      <c r="T1928" t="s">
        <v>6427</v>
      </c>
    </row>
    <row r="1929" spans="1:20" x14ac:dyDescent="0.25">
      <c r="A1929" s="1" t="str">
        <f>HYPERLINK("https://vegkart.atlas.vegvesen.no/#/@274729.4,7041575.9,18/hva:hva%5B0%5D%5Bfilter%5D%5B0%5D%5Boperator%5D=%21%3D&amp;hva%5B0%5D%5Bfilter%5D%5B0%5D%5Btype_id%5D=4723&amp;hva%5B0%5D%5Bfilter%5D%5B0%5D%5Bverdi%5D=&amp;hva%5B0%5D%5Bid%5D=15/når:2024-08-30", "Vegkart")</f>
        <v>Vegkart</v>
      </c>
      <c r="B1929">
        <v>590644925</v>
      </c>
      <c r="C1929">
        <v>15</v>
      </c>
      <c r="D1929" t="s">
        <v>5814</v>
      </c>
      <c r="E1929">
        <v>4723</v>
      </c>
      <c r="F1929" t="s">
        <v>23479</v>
      </c>
      <c r="G1929">
        <v>3</v>
      </c>
      <c r="H1929" t="s">
        <v>6200</v>
      </c>
      <c r="J1929" t="s">
        <v>6360</v>
      </c>
      <c r="K1929" t="s">
        <v>192</v>
      </c>
      <c r="L1929" t="s">
        <v>113</v>
      </c>
      <c r="M1929" t="s">
        <v>2577</v>
      </c>
      <c r="N1929" t="s">
        <v>6428</v>
      </c>
      <c r="O1929" t="s">
        <v>6429</v>
      </c>
      <c r="P1929" s="2" t="s">
        <v>37</v>
      </c>
      <c r="Q1929" t="s">
        <v>1208</v>
      </c>
      <c r="R1929">
        <v>0</v>
      </c>
      <c r="S1929">
        <v>154.47999999999999</v>
      </c>
      <c r="T1929" t="s">
        <v>6430</v>
      </c>
    </row>
    <row r="1930" spans="1:20" x14ac:dyDescent="0.25">
      <c r="A1930" s="1" t="str">
        <f>HYPERLINK("https://vegkart.atlas.vegvesen.no/#/@274770.0,7041468.2,18/hva:hva%5B0%5D%5Bfilter%5D%5B0%5D%5Boperator%5D=%21%3D&amp;hva%5B0%5D%5Bfilter%5D%5B0%5D%5Btype_id%5D=4723&amp;hva%5B0%5D%5Bfilter%5D%5B0%5D%5Bverdi%5D=&amp;hva%5B0%5D%5Bid%5D=15/når:2024-08-30", "Vegkart")</f>
        <v>Vegkart</v>
      </c>
      <c r="B1930">
        <v>590644926</v>
      </c>
      <c r="C1930">
        <v>15</v>
      </c>
      <c r="D1930" t="s">
        <v>5814</v>
      </c>
      <c r="E1930">
        <v>4723</v>
      </c>
      <c r="F1930" t="s">
        <v>23479</v>
      </c>
      <c r="G1930">
        <v>3</v>
      </c>
      <c r="H1930" t="s">
        <v>6200</v>
      </c>
      <c r="J1930" t="s">
        <v>6360</v>
      </c>
      <c r="K1930" t="s">
        <v>192</v>
      </c>
      <c r="L1930" t="s">
        <v>80</v>
      </c>
      <c r="M1930" t="s">
        <v>105</v>
      </c>
      <c r="N1930" t="s">
        <v>6431</v>
      </c>
      <c r="O1930" t="s">
        <v>6432</v>
      </c>
      <c r="P1930" s="2" t="s">
        <v>37</v>
      </c>
      <c r="Q1930" t="s">
        <v>1208</v>
      </c>
      <c r="R1930">
        <v>0</v>
      </c>
      <c r="S1930">
        <v>279.55</v>
      </c>
      <c r="T1930" t="s">
        <v>6433</v>
      </c>
    </row>
    <row r="1931" spans="1:20" x14ac:dyDescent="0.25">
      <c r="A1931" s="1" t="str">
        <f>HYPERLINK("https://vegkart.atlas.vegvesen.no/#/@274543.9,7041637.9,18/hva:hva%5B0%5D%5Bfilter%5D%5B0%5D%5Boperator%5D=%21%3D&amp;hva%5B0%5D%5Bfilter%5D%5B0%5D%5Btype_id%5D=4723&amp;hva%5B0%5D%5Bfilter%5D%5B0%5D%5Bverdi%5D=&amp;hva%5B0%5D%5Bid%5D=15/når:2024-08-30", "Vegkart")</f>
        <v>Vegkart</v>
      </c>
      <c r="B1931">
        <v>590644929</v>
      </c>
      <c r="C1931">
        <v>15</v>
      </c>
      <c r="D1931" t="s">
        <v>5814</v>
      </c>
      <c r="E1931">
        <v>4723</v>
      </c>
      <c r="F1931" t="s">
        <v>23479</v>
      </c>
      <c r="G1931">
        <v>3</v>
      </c>
      <c r="H1931" t="s">
        <v>6200</v>
      </c>
      <c r="J1931" t="s">
        <v>6360</v>
      </c>
      <c r="K1931" t="s">
        <v>192</v>
      </c>
      <c r="L1931" t="s">
        <v>113</v>
      </c>
      <c r="M1931" t="s">
        <v>2577</v>
      </c>
      <c r="N1931" t="s">
        <v>6434</v>
      </c>
      <c r="O1931" t="s">
        <v>6435</v>
      </c>
      <c r="P1931" s="2" t="s">
        <v>37</v>
      </c>
      <c r="Q1931" t="s">
        <v>1208</v>
      </c>
      <c r="R1931">
        <v>0</v>
      </c>
      <c r="S1931">
        <v>1014.98</v>
      </c>
      <c r="T1931" t="s">
        <v>6436</v>
      </c>
    </row>
    <row r="1932" spans="1:20" x14ac:dyDescent="0.25">
      <c r="A1932" s="1" t="str">
        <f>HYPERLINK("https://vegkart.atlas.vegvesen.no/#/@274818.3,7041480.7,18/hva:hva%5B0%5D%5Bfilter%5D%5B0%5D%5Boperator%5D=%21%3D&amp;hva%5B0%5D%5Bfilter%5D%5B0%5D%5Btype_id%5D=4723&amp;hva%5B0%5D%5Bfilter%5D%5B0%5D%5Bverdi%5D=&amp;hva%5B0%5D%5Bid%5D=15/når:2024-08-30", "Vegkart")</f>
        <v>Vegkart</v>
      </c>
      <c r="B1932">
        <v>590644936</v>
      </c>
      <c r="C1932">
        <v>15</v>
      </c>
      <c r="D1932" t="s">
        <v>5814</v>
      </c>
      <c r="E1932">
        <v>4723</v>
      </c>
      <c r="F1932" t="s">
        <v>23479</v>
      </c>
      <c r="G1932">
        <v>3</v>
      </c>
      <c r="H1932" t="s">
        <v>6200</v>
      </c>
      <c r="J1932" t="s">
        <v>6360</v>
      </c>
      <c r="K1932" t="s">
        <v>192</v>
      </c>
      <c r="L1932" t="s">
        <v>80</v>
      </c>
      <c r="M1932" t="s">
        <v>105</v>
      </c>
      <c r="N1932" t="s">
        <v>6437</v>
      </c>
      <c r="O1932" t="s">
        <v>6438</v>
      </c>
      <c r="P1932" s="2" t="s">
        <v>37</v>
      </c>
      <c r="Q1932" t="s">
        <v>1208</v>
      </c>
      <c r="R1932">
        <v>0</v>
      </c>
      <c r="S1932">
        <v>514.76</v>
      </c>
      <c r="T1932" t="s">
        <v>6439</v>
      </c>
    </row>
    <row r="1933" spans="1:20" x14ac:dyDescent="0.25">
      <c r="A1933" s="1" t="str">
        <f>HYPERLINK("https://vegkart.atlas.vegvesen.no/#/@247022.0,6642761.1,18/hva:hva%5B0%5D%5Bfilter%5D%5B0%5D%5Boperator%5D=%21%3D&amp;hva%5B0%5D%5Bfilter%5D%5B0%5D%5Btype_id%5D=4723&amp;hva%5B0%5D%5Bfilter%5D%5B0%5D%5Bverdi%5D=&amp;hva%5B0%5D%5Bid%5D=15/når:2015-04-15", "Vegkart")</f>
        <v>Vegkart</v>
      </c>
      <c r="B1933">
        <v>590842034</v>
      </c>
      <c r="C1933">
        <v>15</v>
      </c>
      <c r="D1933" t="s">
        <v>5814</v>
      </c>
      <c r="E1933">
        <v>4723</v>
      </c>
      <c r="F1933" t="s">
        <v>23479</v>
      </c>
      <c r="G1933">
        <v>2</v>
      </c>
      <c r="H1933" t="s">
        <v>6440</v>
      </c>
      <c r="J1933" t="s">
        <v>6360</v>
      </c>
      <c r="K1933" t="s">
        <v>132</v>
      </c>
      <c r="L1933" t="s">
        <v>33</v>
      </c>
      <c r="M1933" t="s">
        <v>6042</v>
      </c>
      <c r="N1933" t="s">
        <v>6441</v>
      </c>
      <c r="O1933" t="s">
        <v>6442</v>
      </c>
      <c r="P1933" s="2" t="s">
        <v>165</v>
      </c>
      <c r="Q1933" t="s">
        <v>641</v>
      </c>
      <c r="R1933">
        <v>0</v>
      </c>
      <c r="S1933">
        <v>252.2</v>
      </c>
      <c r="T1933" t="s">
        <v>167</v>
      </c>
    </row>
    <row r="1934" spans="1:20" x14ac:dyDescent="0.25">
      <c r="A1934" s="1" t="str">
        <f>HYPERLINK("https://vegkart.atlas.vegvesen.no/#/@269590.4,7040048.7,18/hva:hva%5B0%5D%5Bfilter%5D%5B0%5D%5Boperator%5D=%21%3D&amp;hva%5B0%5D%5Bfilter%5D%5B0%5D%5Btype_id%5D=4723&amp;hva%5B0%5D%5Bfilter%5D%5B0%5D%5Bverdi%5D=&amp;hva%5B0%5D%5Bid%5D=15/når:2024-08-30", "Vegkart")</f>
        <v>Vegkart</v>
      </c>
      <c r="B1934">
        <v>592118633</v>
      </c>
      <c r="C1934">
        <v>15</v>
      </c>
      <c r="D1934" t="s">
        <v>5814</v>
      </c>
      <c r="E1934">
        <v>4723</v>
      </c>
      <c r="F1934" t="s">
        <v>23479</v>
      </c>
      <c r="G1934">
        <v>3</v>
      </c>
      <c r="H1934" t="s">
        <v>6200</v>
      </c>
      <c r="J1934" t="s">
        <v>6443</v>
      </c>
      <c r="K1934" t="s">
        <v>192</v>
      </c>
      <c r="L1934" t="s">
        <v>113</v>
      </c>
      <c r="M1934" t="s">
        <v>2577</v>
      </c>
      <c r="N1934" t="s">
        <v>6444</v>
      </c>
      <c r="O1934" t="s">
        <v>6445</v>
      </c>
      <c r="P1934" s="2" t="s">
        <v>37</v>
      </c>
      <c r="Q1934" t="s">
        <v>1208</v>
      </c>
      <c r="R1934">
        <v>0</v>
      </c>
      <c r="S1934">
        <v>55.74</v>
      </c>
      <c r="T1934" t="s">
        <v>6446</v>
      </c>
    </row>
    <row r="1935" spans="1:20" x14ac:dyDescent="0.25">
      <c r="A1935" s="1" t="str">
        <f>HYPERLINK("https://vegkart.atlas.vegvesen.no/#/@260621.7,7044684.3,18/hva:hva%5B0%5D%5Bfilter%5D%5B0%5D%5Boperator%5D=%21%3D&amp;hva%5B0%5D%5Bfilter%5D%5B0%5D%5Btype_id%5D=4723&amp;hva%5B0%5D%5Bfilter%5D%5B0%5D%5Bverdi%5D=&amp;hva%5B0%5D%5Bid%5D=15/når:2015-04-24", "Vegkart")</f>
        <v>Vegkart</v>
      </c>
      <c r="B1935">
        <v>592368448</v>
      </c>
      <c r="C1935">
        <v>15</v>
      </c>
      <c r="D1935" t="s">
        <v>5814</v>
      </c>
      <c r="E1935">
        <v>4723</v>
      </c>
      <c r="F1935" t="s">
        <v>23479</v>
      </c>
      <c r="G1935">
        <v>1</v>
      </c>
      <c r="H1935" t="s">
        <v>6447</v>
      </c>
      <c r="J1935" t="s">
        <v>6443</v>
      </c>
      <c r="K1935" t="s">
        <v>192</v>
      </c>
      <c r="L1935" t="s">
        <v>33</v>
      </c>
      <c r="M1935" t="s">
        <v>6448</v>
      </c>
      <c r="N1935" t="s">
        <v>6449</v>
      </c>
      <c r="O1935" t="s">
        <v>6450</v>
      </c>
      <c r="P1935" s="2" t="s">
        <v>165</v>
      </c>
      <c r="Q1935" t="s">
        <v>641</v>
      </c>
      <c r="R1935">
        <v>0</v>
      </c>
      <c r="S1935">
        <v>642.22</v>
      </c>
      <c r="T1935" t="s">
        <v>167</v>
      </c>
    </row>
    <row r="1936" spans="1:20" x14ac:dyDescent="0.25">
      <c r="A1936" s="1" t="str">
        <f>HYPERLINK("https://vegkart.atlas.vegvesen.no/#/@268631.3,7041957.2,18/hva:hva%5B0%5D%5Bfilter%5D%5B0%5D%5Boperator%5D=%21%3D&amp;hva%5B0%5D%5Bfilter%5D%5B0%5D%5Btype_id%5D=4723&amp;hva%5B0%5D%5Bfilter%5D%5B0%5D%5Bverdi%5D=&amp;hva%5B0%5D%5Bid%5D=15/når:2024-08-30", "Vegkart")</f>
        <v>Vegkart</v>
      </c>
      <c r="B1936">
        <v>592425516</v>
      </c>
      <c r="C1936">
        <v>15</v>
      </c>
      <c r="D1936" t="s">
        <v>5814</v>
      </c>
      <c r="E1936">
        <v>4723</v>
      </c>
      <c r="F1936" t="s">
        <v>23479</v>
      </c>
      <c r="G1936">
        <v>3</v>
      </c>
      <c r="H1936" t="s">
        <v>6200</v>
      </c>
      <c r="J1936" t="s">
        <v>6443</v>
      </c>
      <c r="K1936" t="s">
        <v>192</v>
      </c>
      <c r="L1936" t="s">
        <v>113</v>
      </c>
      <c r="M1936" t="s">
        <v>2577</v>
      </c>
      <c r="N1936" t="s">
        <v>6451</v>
      </c>
      <c r="O1936" t="s">
        <v>6452</v>
      </c>
      <c r="P1936" s="2" t="s">
        <v>37</v>
      </c>
      <c r="Q1936" t="s">
        <v>1208</v>
      </c>
      <c r="R1936">
        <v>0</v>
      </c>
      <c r="S1936">
        <v>74.45</v>
      </c>
      <c r="T1936" t="s">
        <v>6453</v>
      </c>
    </row>
    <row r="1937" spans="1:20" x14ac:dyDescent="0.25">
      <c r="A1937" s="1" t="str">
        <f>HYPERLINK("https://vegkart.atlas.vegvesen.no/#/@277012.8,7040469.1,18/hva:hva%5B0%5D%5Bfilter%5D%5B0%5D%5Boperator%5D=%21%3D&amp;hva%5B0%5D%5Bfilter%5D%5B0%5D%5Btype_id%5D=4723&amp;hva%5B0%5D%5Bfilter%5D%5B0%5D%5Bverdi%5D=&amp;hva%5B0%5D%5Bid%5D=15/når:2024-08-30", "Vegkart")</f>
        <v>Vegkart</v>
      </c>
      <c r="B1937">
        <v>592596033</v>
      </c>
      <c r="C1937">
        <v>15</v>
      </c>
      <c r="D1937" t="s">
        <v>5814</v>
      </c>
      <c r="E1937">
        <v>4723</v>
      </c>
      <c r="F1937" t="s">
        <v>23479</v>
      </c>
      <c r="G1937">
        <v>4</v>
      </c>
      <c r="H1937" t="s">
        <v>6200</v>
      </c>
      <c r="J1937" t="s">
        <v>6443</v>
      </c>
      <c r="K1937" t="s">
        <v>192</v>
      </c>
      <c r="L1937" t="s">
        <v>80</v>
      </c>
      <c r="M1937" t="s">
        <v>105</v>
      </c>
      <c r="N1937" t="s">
        <v>6454</v>
      </c>
      <c r="O1937" t="s">
        <v>6455</v>
      </c>
      <c r="P1937" s="2" t="s">
        <v>165</v>
      </c>
      <c r="Q1937" t="s">
        <v>641</v>
      </c>
      <c r="R1937">
        <v>0</v>
      </c>
      <c r="S1937">
        <v>2359.75</v>
      </c>
      <c r="T1937" t="s">
        <v>167</v>
      </c>
    </row>
    <row r="1938" spans="1:20" x14ac:dyDescent="0.25">
      <c r="A1938" s="1" t="str">
        <f>HYPERLINK("https://vegkart.atlas.vegvesen.no/#/@276826.5,7040460.9,18/hva:hva%5B0%5D%5Bfilter%5D%5B0%5D%5Boperator%5D=%21%3D&amp;hva%5B0%5D%5Bfilter%5D%5B0%5D%5Btype_id%5D=4723&amp;hva%5B0%5D%5Bfilter%5D%5B0%5D%5Bverdi%5D=&amp;hva%5B0%5D%5Bid%5D=15/når:2024-08-30", "Vegkart")</f>
        <v>Vegkart</v>
      </c>
      <c r="B1938">
        <v>592608231</v>
      </c>
      <c r="C1938">
        <v>15</v>
      </c>
      <c r="D1938" t="s">
        <v>5814</v>
      </c>
      <c r="E1938">
        <v>4723</v>
      </c>
      <c r="F1938" t="s">
        <v>23479</v>
      </c>
      <c r="G1938">
        <v>4</v>
      </c>
      <c r="H1938" t="s">
        <v>6200</v>
      </c>
      <c r="J1938" t="s">
        <v>6443</v>
      </c>
      <c r="K1938" t="s">
        <v>192</v>
      </c>
      <c r="L1938" t="s">
        <v>80</v>
      </c>
      <c r="M1938" t="s">
        <v>105</v>
      </c>
      <c r="N1938" t="s">
        <v>6456</v>
      </c>
      <c r="O1938" t="s">
        <v>6457</v>
      </c>
      <c r="P1938" s="2" t="s">
        <v>165</v>
      </c>
      <c r="Q1938" t="s">
        <v>641</v>
      </c>
      <c r="R1938">
        <v>0</v>
      </c>
      <c r="S1938">
        <v>1533.94</v>
      </c>
      <c r="T1938" t="s">
        <v>167</v>
      </c>
    </row>
    <row r="1939" spans="1:20" x14ac:dyDescent="0.25">
      <c r="A1939" s="1" t="str">
        <f>HYPERLINK("https://vegkart.atlas.vegvesen.no/#/@295105.7,7046806.6,18/hva:hva%5B0%5D%5Bfilter%5D%5B0%5D%5Boperator%5D=%21%3D&amp;hva%5B0%5D%5Bfilter%5D%5B0%5D%5Btype_id%5D=4723&amp;hva%5B0%5D%5Bfilter%5D%5B0%5D%5Bverdi%5D=&amp;hva%5B0%5D%5Bid%5D=15/når:2024-08-28", "Vegkart")</f>
        <v>Vegkart</v>
      </c>
      <c r="B1939">
        <v>592964542</v>
      </c>
      <c r="C1939">
        <v>15</v>
      </c>
      <c r="D1939" t="s">
        <v>5814</v>
      </c>
      <c r="E1939">
        <v>4723</v>
      </c>
      <c r="F1939" t="s">
        <v>23479</v>
      </c>
      <c r="G1939">
        <v>3</v>
      </c>
      <c r="H1939" t="s">
        <v>665</v>
      </c>
      <c r="J1939" t="s">
        <v>6443</v>
      </c>
      <c r="K1939" t="s">
        <v>192</v>
      </c>
      <c r="L1939" t="s">
        <v>80</v>
      </c>
      <c r="M1939" t="s">
        <v>105</v>
      </c>
      <c r="N1939" t="s">
        <v>6458</v>
      </c>
      <c r="O1939" t="s">
        <v>6459</v>
      </c>
      <c r="P1939" s="2" t="s">
        <v>37</v>
      </c>
      <c r="Q1939" t="s">
        <v>1208</v>
      </c>
      <c r="R1939">
        <v>0</v>
      </c>
      <c r="S1939">
        <v>23.65</v>
      </c>
      <c r="T1939" t="s">
        <v>6460</v>
      </c>
    </row>
    <row r="1940" spans="1:20" x14ac:dyDescent="0.25">
      <c r="A1940" s="1" t="str">
        <f>HYPERLINK("https://vegkart.atlas.vegvesen.no/#/@295081.1,7046816.2,18/hva:hva%5B0%5D%5Bfilter%5D%5B0%5D%5Boperator%5D=%21%3D&amp;hva%5B0%5D%5Bfilter%5D%5B0%5D%5Btype_id%5D=4723&amp;hva%5B0%5D%5Bfilter%5D%5B0%5D%5Bverdi%5D=&amp;hva%5B0%5D%5Bid%5D=15/når:2024-08-28", "Vegkart")</f>
        <v>Vegkart</v>
      </c>
      <c r="B1940">
        <v>592964543</v>
      </c>
      <c r="C1940">
        <v>15</v>
      </c>
      <c r="D1940" t="s">
        <v>5814</v>
      </c>
      <c r="E1940">
        <v>4723</v>
      </c>
      <c r="F1940" t="s">
        <v>23479</v>
      </c>
      <c r="G1940">
        <v>3</v>
      </c>
      <c r="H1940" t="s">
        <v>665</v>
      </c>
      <c r="J1940" t="s">
        <v>6443</v>
      </c>
      <c r="K1940" t="s">
        <v>192</v>
      </c>
      <c r="L1940" t="s">
        <v>80</v>
      </c>
      <c r="M1940" t="s">
        <v>105</v>
      </c>
      <c r="N1940" t="s">
        <v>6461</v>
      </c>
      <c r="O1940" t="s">
        <v>6462</v>
      </c>
      <c r="P1940" s="2" t="s">
        <v>37</v>
      </c>
      <c r="Q1940" t="s">
        <v>1208</v>
      </c>
      <c r="R1940">
        <v>0</v>
      </c>
      <c r="S1940">
        <v>37.58</v>
      </c>
      <c r="T1940" t="s">
        <v>6463</v>
      </c>
    </row>
    <row r="1941" spans="1:20" x14ac:dyDescent="0.25">
      <c r="A1941" s="1" t="str">
        <f>HYPERLINK("https://vegkart.atlas.vegvesen.no/#/@295011.3,7046833.8,18/hva:hva%5B0%5D%5Bfilter%5D%5B0%5D%5Boperator%5D=%21%3D&amp;hva%5B0%5D%5Bfilter%5D%5B0%5D%5Btype_id%5D=4723&amp;hva%5B0%5D%5Bfilter%5D%5B0%5D%5Bverdi%5D=&amp;hva%5B0%5D%5Bid%5D=15/når:2024-08-28", "Vegkart")</f>
        <v>Vegkart</v>
      </c>
      <c r="B1941">
        <v>592964544</v>
      </c>
      <c r="C1941">
        <v>15</v>
      </c>
      <c r="D1941" t="s">
        <v>5814</v>
      </c>
      <c r="E1941">
        <v>4723</v>
      </c>
      <c r="F1941" t="s">
        <v>23479</v>
      </c>
      <c r="G1941">
        <v>2</v>
      </c>
      <c r="H1941" t="s">
        <v>665</v>
      </c>
      <c r="J1941" t="s">
        <v>6443</v>
      </c>
      <c r="K1941" t="s">
        <v>192</v>
      </c>
      <c r="L1941" t="s">
        <v>80</v>
      </c>
      <c r="M1941" t="s">
        <v>105</v>
      </c>
      <c r="N1941" t="s">
        <v>6464</v>
      </c>
      <c r="O1941" t="s">
        <v>6465</v>
      </c>
      <c r="P1941" s="2" t="s">
        <v>37</v>
      </c>
      <c r="Q1941" t="s">
        <v>1208</v>
      </c>
      <c r="R1941">
        <v>0</v>
      </c>
      <c r="S1941">
        <v>33.61</v>
      </c>
      <c r="T1941" t="s">
        <v>6466</v>
      </c>
    </row>
    <row r="1942" spans="1:20" x14ac:dyDescent="0.25">
      <c r="A1942" s="1" t="str">
        <f>HYPERLINK("https://vegkart.atlas.vegvesen.no/#/@295047.7,7046836.9,18/hva:hva%5B0%5D%5Bfilter%5D%5B0%5D%5Boperator%5D=%21%3D&amp;hva%5B0%5D%5Bfilter%5D%5B0%5D%5Btype_id%5D=4723&amp;hva%5B0%5D%5Bfilter%5D%5B0%5D%5Bverdi%5D=&amp;hva%5B0%5D%5Bid%5D=15/når:2024-08-28", "Vegkart")</f>
        <v>Vegkart</v>
      </c>
      <c r="B1942">
        <v>592964545</v>
      </c>
      <c r="C1942">
        <v>15</v>
      </c>
      <c r="D1942" t="s">
        <v>5814</v>
      </c>
      <c r="E1942">
        <v>4723</v>
      </c>
      <c r="F1942" t="s">
        <v>23479</v>
      </c>
      <c r="G1942">
        <v>3</v>
      </c>
      <c r="H1942" t="s">
        <v>665</v>
      </c>
      <c r="J1942" t="s">
        <v>6443</v>
      </c>
      <c r="K1942" t="s">
        <v>192</v>
      </c>
      <c r="L1942" t="s">
        <v>80</v>
      </c>
      <c r="M1942" t="s">
        <v>105</v>
      </c>
      <c r="N1942" t="s">
        <v>6467</v>
      </c>
      <c r="O1942" t="s">
        <v>6468</v>
      </c>
      <c r="P1942" s="2" t="s">
        <v>37</v>
      </c>
      <c r="Q1942" t="s">
        <v>1208</v>
      </c>
      <c r="R1942">
        <v>0</v>
      </c>
      <c r="S1942">
        <v>228.35</v>
      </c>
      <c r="T1942" t="s">
        <v>6469</v>
      </c>
    </row>
    <row r="1943" spans="1:20" x14ac:dyDescent="0.25">
      <c r="A1943" s="1" t="str">
        <f>HYPERLINK("https://vegkart.atlas.vegvesen.no/#/@295669.1,7045749.0,18/hva:hva%5B0%5D%5Bfilter%5D%5B0%5D%5Boperator%5D=%21%3D&amp;hva%5B0%5D%5Bfilter%5D%5B0%5D%5Btype_id%5D=4723&amp;hva%5B0%5D%5Bfilter%5D%5B0%5D%5Bverdi%5D=&amp;hva%5B0%5D%5Bid%5D=15/når:2024-08-28", "Vegkart")</f>
        <v>Vegkart</v>
      </c>
      <c r="B1943">
        <v>592964549</v>
      </c>
      <c r="C1943">
        <v>15</v>
      </c>
      <c r="D1943" t="s">
        <v>5814</v>
      </c>
      <c r="E1943">
        <v>4723</v>
      </c>
      <c r="F1943" t="s">
        <v>23479</v>
      </c>
      <c r="G1943">
        <v>3</v>
      </c>
      <c r="H1943" t="s">
        <v>665</v>
      </c>
      <c r="J1943" t="s">
        <v>6443</v>
      </c>
      <c r="K1943" t="s">
        <v>192</v>
      </c>
      <c r="L1943" t="s">
        <v>80</v>
      </c>
      <c r="M1943" t="s">
        <v>105</v>
      </c>
      <c r="N1943" t="s">
        <v>6470</v>
      </c>
      <c r="O1943" t="s">
        <v>6471</v>
      </c>
      <c r="P1943" s="2" t="s">
        <v>37</v>
      </c>
      <c r="Q1943" t="s">
        <v>1208</v>
      </c>
      <c r="R1943">
        <v>3.39</v>
      </c>
      <c r="S1943">
        <v>659.35</v>
      </c>
      <c r="T1943" t="s">
        <v>6472</v>
      </c>
    </row>
    <row r="1944" spans="1:20" x14ac:dyDescent="0.25">
      <c r="A1944" s="1" t="str">
        <f>HYPERLINK("https://vegkart.atlas.vegvesen.no/#/@295486.5,7045886.4,18/hva:hva%5B0%5D%5Bfilter%5D%5B0%5D%5Boperator%5D=%21%3D&amp;hva%5B0%5D%5Bfilter%5D%5B0%5D%5Btype_id%5D=4723&amp;hva%5B0%5D%5Bfilter%5D%5B0%5D%5Bverdi%5D=&amp;hva%5B0%5D%5Bid%5D=15/når:2024-08-28", "Vegkart")</f>
        <v>Vegkart</v>
      </c>
      <c r="B1944">
        <v>592964551</v>
      </c>
      <c r="C1944">
        <v>15</v>
      </c>
      <c r="D1944" t="s">
        <v>5814</v>
      </c>
      <c r="E1944">
        <v>4723</v>
      </c>
      <c r="F1944" t="s">
        <v>23479</v>
      </c>
      <c r="G1944">
        <v>3</v>
      </c>
      <c r="H1944" t="s">
        <v>665</v>
      </c>
      <c r="J1944" t="s">
        <v>6443</v>
      </c>
      <c r="K1944" t="s">
        <v>192</v>
      </c>
      <c r="L1944" t="s">
        <v>80</v>
      </c>
      <c r="M1944" t="s">
        <v>105</v>
      </c>
      <c r="N1944" t="s">
        <v>6473</v>
      </c>
      <c r="O1944" t="s">
        <v>6474</v>
      </c>
      <c r="P1944" s="2" t="s">
        <v>165</v>
      </c>
      <c r="Q1944" t="s">
        <v>641</v>
      </c>
      <c r="R1944">
        <v>0</v>
      </c>
      <c r="S1944">
        <v>212.87</v>
      </c>
      <c r="T1944" t="s">
        <v>167</v>
      </c>
    </row>
    <row r="1945" spans="1:20" x14ac:dyDescent="0.25">
      <c r="A1945" s="1" t="str">
        <f>HYPERLINK("https://vegkart.atlas.vegvesen.no/#/@291430.4,7038381.0,18/hva:hva%5B0%5D%5Bfilter%5D%5B0%5D%5Boperator%5D=%21%3D&amp;hva%5B0%5D%5Bfilter%5D%5B0%5D%5Btype_id%5D=4723&amp;hva%5B0%5D%5Bfilter%5D%5B0%5D%5Bverdi%5D=&amp;hva%5B0%5D%5Bid%5D=15/når:2024-08-28", "Vegkart")</f>
        <v>Vegkart</v>
      </c>
      <c r="B1945">
        <v>593085139</v>
      </c>
      <c r="C1945">
        <v>15</v>
      </c>
      <c r="D1945" t="s">
        <v>5814</v>
      </c>
      <c r="E1945">
        <v>4723</v>
      </c>
      <c r="F1945" t="s">
        <v>23479</v>
      </c>
      <c r="G1945">
        <v>3</v>
      </c>
      <c r="H1945" t="s">
        <v>665</v>
      </c>
      <c r="J1945" t="s">
        <v>6443</v>
      </c>
      <c r="K1945" t="s">
        <v>192</v>
      </c>
      <c r="L1945" t="s">
        <v>80</v>
      </c>
      <c r="M1945" t="s">
        <v>105</v>
      </c>
      <c r="N1945" t="s">
        <v>6475</v>
      </c>
      <c r="O1945" t="s">
        <v>6476</v>
      </c>
      <c r="P1945" s="2" t="s">
        <v>165</v>
      </c>
      <c r="Q1945" t="s">
        <v>641</v>
      </c>
      <c r="R1945">
        <v>0</v>
      </c>
      <c r="S1945">
        <v>113.07</v>
      </c>
      <c r="T1945" t="s">
        <v>167</v>
      </c>
    </row>
    <row r="1946" spans="1:20" x14ac:dyDescent="0.25">
      <c r="A1946" s="1" t="str">
        <f>HYPERLINK("https://vegkart.atlas.vegvesen.no/#/@291470.6,7038426.4,18/hva:hva%5B0%5D%5Bfilter%5D%5B0%5D%5Boperator%5D=%21%3D&amp;hva%5B0%5D%5Bfilter%5D%5B0%5D%5Btype_id%5D=4723&amp;hva%5B0%5D%5Bfilter%5D%5B0%5D%5Bverdi%5D=&amp;hva%5B0%5D%5Bid%5D=15/når:2024-08-28", "Vegkart")</f>
        <v>Vegkart</v>
      </c>
      <c r="B1946">
        <v>593085141</v>
      </c>
      <c r="C1946">
        <v>15</v>
      </c>
      <c r="D1946" t="s">
        <v>5814</v>
      </c>
      <c r="E1946">
        <v>4723</v>
      </c>
      <c r="F1946" t="s">
        <v>23479</v>
      </c>
      <c r="G1946">
        <v>3</v>
      </c>
      <c r="H1946" t="s">
        <v>665</v>
      </c>
      <c r="J1946" t="s">
        <v>6443</v>
      </c>
      <c r="K1946" t="s">
        <v>192</v>
      </c>
      <c r="L1946" t="s">
        <v>80</v>
      </c>
      <c r="M1946" t="s">
        <v>105</v>
      </c>
      <c r="N1946" t="s">
        <v>6477</v>
      </c>
      <c r="O1946" t="s">
        <v>6478</v>
      </c>
      <c r="P1946" s="2" t="s">
        <v>165</v>
      </c>
      <c r="Q1946" t="s">
        <v>641</v>
      </c>
      <c r="R1946">
        <v>0</v>
      </c>
      <c r="S1946">
        <v>140.02000000000001</v>
      </c>
      <c r="T1946" t="s">
        <v>167</v>
      </c>
    </row>
    <row r="1947" spans="1:20" x14ac:dyDescent="0.25">
      <c r="A1947" s="1" t="str">
        <f>HYPERLINK("https://vegkart.atlas.vegvesen.no/#/@267632.0,7031125.1,18/hva:hva%5B0%5D%5Bfilter%5D%5B0%5D%5Boperator%5D=%21%3D&amp;hva%5B0%5D%5Bfilter%5D%5B0%5D%5Btype_id%5D=4723&amp;hva%5B0%5D%5Bfilter%5D%5B0%5D%5Bverdi%5D=&amp;hva%5B0%5D%5Bid%5D=15/når:2024-08-28", "Vegkart")</f>
        <v>Vegkart</v>
      </c>
      <c r="B1947">
        <v>594163711</v>
      </c>
      <c r="C1947">
        <v>15</v>
      </c>
      <c r="D1947" t="s">
        <v>5814</v>
      </c>
      <c r="E1947">
        <v>4723</v>
      </c>
      <c r="F1947" t="s">
        <v>23479</v>
      </c>
      <c r="G1947">
        <v>5</v>
      </c>
      <c r="H1947" t="s">
        <v>665</v>
      </c>
      <c r="J1947" t="s">
        <v>6479</v>
      </c>
      <c r="K1947" t="s">
        <v>192</v>
      </c>
      <c r="L1947" t="s">
        <v>80</v>
      </c>
      <c r="M1947" t="s">
        <v>105</v>
      </c>
      <c r="N1947" t="s">
        <v>6480</v>
      </c>
      <c r="O1947" t="s">
        <v>6481</v>
      </c>
      <c r="P1947" s="2" t="s">
        <v>37</v>
      </c>
      <c r="Q1947" t="s">
        <v>1208</v>
      </c>
      <c r="R1947">
        <v>0</v>
      </c>
      <c r="S1947">
        <v>336.07</v>
      </c>
      <c r="T1947" t="s">
        <v>6482</v>
      </c>
    </row>
    <row r="1948" spans="1:20" x14ac:dyDescent="0.25">
      <c r="A1948" s="1" t="str">
        <f>HYPERLINK("https://vegkart.atlas.vegvesen.no/#/@269042.7,7035347.7,18/hva:hva%5B0%5D%5Bfilter%5D%5B0%5D%5Boperator%5D=%21%3D&amp;hva%5B0%5D%5Bfilter%5D%5B0%5D%5Btype_id%5D=4723&amp;hva%5B0%5D%5Bfilter%5D%5B0%5D%5Bverdi%5D=&amp;hva%5B0%5D%5Bid%5D=15/når:2024-08-28", "Vegkart")</f>
        <v>Vegkart</v>
      </c>
      <c r="B1948">
        <v>594274853</v>
      </c>
      <c r="C1948">
        <v>15</v>
      </c>
      <c r="D1948" t="s">
        <v>5814</v>
      </c>
      <c r="E1948">
        <v>4723</v>
      </c>
      <c r="F1948" t="s">
        <v>23479</v>
      </c>
      <c r="G1948">
        <v>3</v>
      </c>
      <c r="H1948" t="s">
        <v>665</v>
      </c>
      <c r="J1948" t="s">
        <v>6479</v>
      </c>
      <c r="K1948" t="s">
        <v>192</v>
      </c>
      <c r="L1948" t="s">
        <v>80</v>
      </c>
      <c r="M1948" t="s">
        <v>105</v>
      </c>
      <c r="N1948" t="s">
        <v>6483</v>
      </c>
      <c r="O1948" t="s">
        <v>6484</v>
      </c>
      <c r="P1948" s="2" t="s">
        <v>37</v>
      </c>
      <c r="Q1948" t="s">
        <v>1208</v>
      </c>
      <c r="R1948">
        <v>0</v>
      </c>
      <c r="S1948">
        <v>546.23</v>
      </c>
      <c r="T1948" t="s">
        <v>6485</v>
      </c>
    </row>
    <row r="1949" spans="1:20" x14ac:dyDescent="0.25">
      <c r="A1949" s="1" t="str">
        <f>HYPERLINK("https://vegkart.atlas.vegvesen.no/#/@269082.2,7035247.4,18/hva:hva%5B0%5D%5Bfilter%5D%5B0%5D%5Boperator%5D=%21%3D&amp;hva%5B0%5D%5Bfilter%5D%5B0%5D%5Btype_id%5D=4723&amp;hva%5B0%5D%5Bfilter%5D%5B0%5D%5Bverdi%5D=&amp;hva%5B0%5D%5Bid%5D=15/når:2024-08-28", "Vegkart")</f>
        <v>Vegkart</v>
      </c>
      <c r="B1949">
        <v>594936588</v>
      </c>
      <c r="C1949">
        <v>15</v>
      </c>
      <c r="D1949" t="s">
        <v>5814</v>
      </c>
      <c r="E1949">
        <v>4723</v>
      </c>
      <c r="F1949" t="s">
        <v>23479</v>
      </c>
      <c r="G1949">
        <v>4</v>
      </c>
      <c r="H1949" t="s">
        <v>665</v>
      </c>
      <c r="J1949" t="s">
        <v>6479</v>
      </c>
      <c r="K1949" t="s">
        <v>192</v>
      </c>
      <c r="L1949" t="s">
        <v>80</v>
      </c>
      <c r="M1949" t="s">
        <v>105</v>
      </c>
      <c r="N1949" t="s">
        <v>6486</v>
      </c>
      <c r="O1949" t="s">
        <v>6487</v>
      </c>
      <c r="P1949" s="2" t="s">
        <v>37</v>
      </c>
      <c r="Q1949" t="s">
        <v>1208</v>
      </c>
      <c r="R1949">
        <v>0</v>
      </c>
      <c r="S1949">
        <v>821.35</v>
      </c>
      <c r="T1949" t="s">
        <v>6488</v>
      </c>
    </row>
    <row r="1950" spans="1:20" x14ac:dyDescent="0.25">
      <c r="A1950" s="1" t="str">
        <f>HYPERLINK("https://vegkart.atlas.vegvesen.no/#/@291290.3,7038313.4,18/hva:hva%5B0%5D%5Bfilter%5D%5B0%5D%5Boperator%5D=%21%3D&amp;hva%5B0%5D%5Bfilter%5D%5B0%5D%5Btype_id%5D=4723&amp;hva%5B0%5D%5Bfilter%5D%5B0%5D%5Bverdi%5D=&amp;hva%5B0%5D%5Bid%5D=15/når:2024-08-28", "Vegkart")</f>
        <v>Vegkart</v>
      </c>
      <c r="B1950">
        <v>595270739</v>
      </c>
      <c r="C1950">
        <v>15</v>
      </c>
      <c r="D1950" t="s">
        <v>5814</v>
      </c>
      <c r="E1950">
        <v>4723</v>
      </c>
      <c r="F1950" t="s">
        <v>23479</v>
      </c>
      <c r="G1950">
        <v>4</v>
      </c>
      <c r="H1950" t="s">
        <v>665</v>
      </c>
      <c r="J1950" t="s">
        <v>6479</v>
      </c>
      <c r="K1950" t="s">
        <v>192</v>
      </c>
      <c r="L1950" t="s">
        <v>80</v>
      </c>
      <c r="M1950" t="s">
        <v>105</v>
      </c>
      <c r="N1950" t="s">
        <v>6489</v>
      </c>
      <c r="O1950" t="s">
        <v>6490</v>
      </c>
      <c r="P1950" s="2" t="s">
        <v>37</v>
      </c>
      <c r="Q1950" t="s">
        <v>1208</v>
      </c>
      <c r="R1950">
        <v>0</v>
      </c>
      <c r="S1950">
        <v>1098.8</v>
      </c>
      <c r="T1950" t="s">
        <v>6491</v>
      </c>
    </row>
    <row r="1951" spans="1:20" x14ac:dyDescent="0.25">
      <c r="A1951" s="1" t="str">
        <f>HYPERLINK("https://vegkart.atlas.vegvesen.no/#/@291436.2,7038432.4,18/hva:hva%5B0%5D%5Bfilter%5D%5B0%5D%5Boperator%5D=%21%3D&amp;hva%5B0%5D%5Bfilter%5D%5B0%5D%5Btype_id%5D=4723&amp;hva%5B0%5D%5Bfilter%5D%5B0%5D%5Bverdi%5D=&amp;hva%5B0%5D%5Bid%5D=15/når:2024-08-28", "Vegkart")</f>
        <v>Vegkart</v>
      </c>
      <c r="B1951">
        <v>595270740</v>
      </c>
      <c r="C1951">
        <v>15</v>
      </c>
      <c r="D1951" t="s">
        <v>5814</v>
      </c>
      <c r="E1951">
        <v>4723</v>
      </c>
      <c r="F1951" t="s">
        <v>23479</v>
      </c>
      <c r="G1951">
        <v>5</v>
      </c>
      <c r="H1951" t="s">
        <v>665</v>
      </c>
      <c r="J1951" t="s">
        <v>6479</v>
      </c>
      <c r="K1951" t="s">
        <v>192</v>
      </c>
      <c r="L1951" t="s">
        <v>80</v>
      </c>
      <c r="M1951" t="s">
        <v>105</v>
      </c>
      <c r="N1951" t="s">
        <v>6492</v>
      </c>
      <c r="O1951" t="s">
        <v>6493</v>
      </c>
      <c r="P1951" s="2" t="s">
        <v>37</v>
      </c>
      <c r="Q1951" t="s">
        <v>1208</v>
      </c>
      <c r="R1951">
        <v>0</v>
      </c>
      <c r="S1951">
        <v>509.61</v>
      </c>
      <c r="T1951" t="s">
        <v>6494</v>
      </c>
    </row>
    <row r="1952" spans="1:20" x14ac:dyDescent="0.25">
      <c r="A1952" s="1" t="str">
        <f>HYPERLINK("https://vegkart.atlas.vegvesen.no/#/@269874.3,7038041.3,18/hva:hva%5B0%5D%5Bfilter%5D%5B0%5D%5Boperator%5D=%21%3D&amp;hva%5B0%5D%5Bfilter%5D%5B0%5D%5Btype_id%5D=4723&amp;hva%5B0%5D%5Bfilter%5D%5B0%5D%5Bverdi%5D=&amp;hva%5B0%5D%5Bid%5D=15/når:2024-08-30", "Vegkart")</f>
        <v>Vegkart</v>
      </c>
      <c r="B1952">
        <v>595391550</v>
      </c>
      <c r="C1952">
        <v>15</v>
      </c>
      <c r="D1952" t="s">
        <v>5814</v>
      </c>
      <c r="E1952">
        <v>4723</v>
      </c>
      <c r="F1952" t="s">
        <v>23479</v>
      </c>
      <c r="G1952">
        <v>4</v>
      </c>
      <c r="H1952" t="s">
        <v>6200</v>
      </c>
      <c r="J1952" t="s">
        <v>6479</v>
      </c>
      <c r="K1952" t="s">
        <v>192</v>
      </c>
      <c r="L1952" t="s">
        <v>80</v>
      </c>
      <c r="M1952" t="s">
        <v>105</v>
      </c>
      <c r="N1952" t="s">
        <v>6495</v>
      </c>
      <c r="O1952" t="s">
        <v>6496</v>
      </c>
      <c r="P1952" s="2" t="s">
        <v>67</v>
      </c>
      <c r="Q1952" t="s">
        <v>68</v>
      </c>
      <c r="R1952">
        <v>16.48</v>
      </c>
      <c r="S1952">
        <v>452.1</v>
      </c>
      <c r="T1952" t="s">
        <v>6497</v>
      </c>
    </row>
    <row r="1953" spans="1:20" x14ac:dyDescent="0.25">
      <c r="A1953" s="1" t="str">
        <f>HYPERLINK("https://vegkart.atlas.vegvesen.no/#/@269459.9,7040321.2,18/hva:hva%5B0%5D%5Bfilter%5D%5B0%5D%5Boperator%5D=%21%3D&amp;hva%5B0%5D%5Bfilter%5D%5B0%5D%5Btype_id%5D=4723&amp;hva%5B0%5D%5Bfilter%5D%5B0%5D%5Bverdi%5D=&amp;hva%5B0%5D%5Bid%5D=15/når:2024-08-30", "Vegkart")</f>
        <v>Vegkart</v>
      </c>
      <c r="B1953">
        <v>596783503</v>
      </c>
      <c r="C1953">
        <v>15</v>
      </c>
      <c r="D1953" t="s">
        <v>5814</v>
      </c>
      <c r="E1953">
        <v>4723</v>
      </c>
      <c r="F1953" t="s">
        <v>23479</v>
      </c>
      <c r="G1953">
        <v>3</v>
      </c>
      <c r="H1953" t="s">
        <v>6200</v>
      </c>
      <c r="J1953" t="s">
        <v>6479</v>
      </c>
      <c r="K1953" t="s">
        <v>192</v>
      </c>
      <c r="L1953" t="s">
        <v>113</v>
      </c>
      <c r="M1953" t="s">
        <v>2577</v>
      </c>
      <c r="N1953" t="s">
        <v>6498</v>
      </c>
      <c r="O1953" t="s">
        <v>6499</v>
      </c>
      <c r="P1953" s="2" t="s">
        <v>165</v>
      </c>
      <c r="Q1953" t="s">
        <v>641</v>
      </c>
      <c r="R1953">
        <v>0</v>
      </c>
      <c r="S1953">
        <v>139.87</v>
      </c>
      <c r="T1953" t="s">
        <v>167</v>
      </c>
    </row>
    <row r="1954" spans="1:20" x14ac:dyDescent="0.25">
      <c r="A1954" s="1" t="str">
        <f>HYPERLINK("https://vegkart.atlas.vegvesen.no/#/@286981.4,7039846.2,18/hva:hva%5B0%5D%5Bfilter%5D%5B0%5D%5Boperator%5D=%21%3D&amp;hva%5B0%5D%5Bfilter%5D%5B0%5D%5Btype_id%5D=4723&amp;hva%5B0%5D%5Bfilter%5D%5B0%5D%5Bverdi%5D=&amp;hva%5B0%5D%5Bid%5D=15/når:2024-08-28", "Vegkart")</f>
        <v>Vegkart</v>
      </c>
      <c r="B1954">
        <v>597284538</v>
      </c>
      <c r="C1954">
        <v>15</v>
      </c>
      <c r="D1954" t="s">
        <v>5814</v>
      </c>
      <c r="E1954">
        <v>4723</v>
      </c>
      <c r="F1954" t="s">
        <v>23479</v>
      </c>
      <c r="G1954">
        <v>3</v>
      </c>
      <c r="H1954" t="s">
        <v>665</v>
      </c>
      <c r="J1954" t="s">
        <v>6479</v>
      </c>
      <c r="K1954" t="s">
        <v>192</v>
      </c>
      <c r="L1954" t="s">
        <v>80</v>
      </c>
      <c r="M1954" t="s">
        <v>105</v>
      </c>
      <c r="N1954" t="s">
        <v>6500</v>
      </c>
      <c r="O1954" t="s">
        <v>6501</v>
      </c>
      <c r="P1954" s="2" t="s">
        <v>165</v>
      </c>
      <c r="Q1954" t="s">
        <v>641</v>
      </c>
      <c r="R1954">
        <v>0</v>
      </c>
      <c r="S1954">
        <v>309.36</v>
      </c>
      <c r="T1954" t="s">
        <v>167</v>
      </c>
    </row>
    <row r="1955" spans="1:20" x14ac:dyDescent="0.25">
      <c r="A1955" s="1" t="str">
        <f>HYPERLINK("https://vegkart.atlas.vegvesen.no/#/@286925.1,7039943.2,18/hva:hva%5B0%5D%5Bfilter%5D%5B0%5D%5Boperator%5D=%21%3D&amp;hva%5B0%5D%5Bfilter%5D%5B0%5D%5Btype_id%5D=4723&amp;hva%5B0%5D%5Bfilter%5D%5B0%5D%5Bverdi%5D=&amp;hva%5B0%5D%5Bid%5D=15/når:2024-08-28", "Vegkart")</f>
        <v>Vegkart</v>
      </c>
      <c r="B1955">
        <v>597284539</v>
      </c>
      <c r="C1955">
        <v>15</v>
      </c>
      <c r="D1955" t="s">
        <v>5814</v>
      </c>
      <c r="E1955">
        <v>4723</v>
      </c>
      <c r="F1955" t="s">
        <v>23479</v>
      </c>
      <c r="G1955">
        <v>3</v>
      </c>
      <c r="H1955" t="s">
        <v>665</v>
      </c>
      <c r="J1955" t="s">
        <v>6479</v>
      </c>
      <c r="K1955" t="s">
        <v>192</v>
      </c>
      <c r="L1955" t="s">
        <v>80</v>
      </c>
      <c r="M1955" t="s">
        <v>105</v>
      </c>
      <c r="N1955" t="s">
        <v>6502</v>
      </c>
      <c r="O1955" t="s">
        <v>6503</v>
      </c>
      <c r="P1955" s="2" t="s">
        <v>165</v>
      </c>
      <c r="Q1955" t="s">
        <v>641</v>
      </c>
      <c r="R1955">
        <v>0</v>
      </c>
      <c r="S1955">
        <v>1159.42</v>
      </c>
      <c r="T1955" t="s">
        <v>167</v>
      </c>
    </row>
    <row r="1956" spans="1:20" x14ac:dyDescent="0.25">
      <c r="A1956" s="1" t="str">
        <f>HYPERLINK("https://vegkart.atlas.vegvesen.no/#/@286793.9,7039995.5,18/hva:hva%5B0%5D%5Bfilter%5D%5B0%5D%5Boperator%5D=%21%3D&amp;hva%5B0%5D%5Bfilter%5D%5B0%5D%5Btype_id%5D=4723&amp;hva%5B0%5D%5Bfilter%5D%5B0%5D%5Bverdi%5D=&amp;hva%5B0%5D%5Bid%5D=15/når:2024-08-28", "Vegkart")</f>
        <v>Vegkart</v>
      </c>
      <c r="B1956">
        <v>597284540</v>
      </c>
      <c r="C1956">
        <v>15</v>
      </c>
      <c r="D1956" t="s">
        <v>5814</v>
      </c>
      <c r="E1956">
        <v>4723</v>
      </c>
      <c r="F1956" t="s">
        <v>23479</v>
      </c>
      <c r="G1956">
        <v>3</v>
      </c>
      <c r="H1956" t="s">
        <v>665</v>
      </c>
      <c r="J1956" t="s">
        <v>6479</v>
      </c>
      <c r="K1956" t="s">
        <v>192</v>
      </c>
      <c r="L1956" t="s">
        <v>80</v>
      </c>
      <c r="M1956" t="s">
        <v>105</v>
      </c>
      <c r="N1956" t="s">
        <v>6504</v>
      </c>
      <c r="O1956" t="s">
        <v>6505</v>
      </c>
      <c r="P1956" s="2" t="s">
        <v>165</v>
      </c>
      <c r="Q1956" t="s">
        <v>641</v>
      </c>
      <c r="R1956">
        <v>0</v>
      </c>
      <c r="S1956">
        <v>388.33</v>
      </c>
      <c r="T1956" t="s">
        <v>167</v>
      </c>
    </row>
    <row r="1957" spans="1:20" x14ac:dyDescent="0.25">
      <c r="A1957" s="1" t="str">
        <f>HYPERLINK("https://vegkart.atlas.vegvesen.no/#/@274208.2,7042216.9,18/hva:hva%5B0%5D%5Bfilter%5D%5B0%5D%5Boperator%5D=%21%3D&amp;hva%5B0%5D%5Bfilter%5D%5B0%5D%5Btype_id%5D=4723&amp;hva%5B0%5D%5Bfilter%5D%5B0%5D%5Bverdi%5D=&amp;hva%5B0%5D%5Bid%5D=15/når:2015-12-01", "Vegkart")</f>
        <v>Vegkart</v>
      </c>
      <c r="B1957">
        <v>597514562</v>
      </c>
      <c r="C1957">
        <v>15</v>
      </c>
      <c r="D1957" t="s">
        <v>5814</v>
      </c>
      <c r="E1957">
        <v>4723</v>
      </c>
      <c r="F1957" t="s">
        <v>23479</v>
      </c>
      <c r="G1957">
        <v>3</v>
      </c>
      <c r="H1957" t="s">
        <v>6506</v>
      </c>
      <c r="J1957" t="s">
        <v>6479</v>
      </c>
      <c r="K1957" t="s">
        <v>192</v>
      </c>
      <c r="O1957" t="s">
        <v>6507</v>
      </c>
      <c r="P1957" s="2" t="s">
        <v>37</v>
      </c>
      <c r="Q1957" t="s">
        <v>1208</v>
      </c>
      <c r="R1957">
        <v>0</v>
      </c>
      <c r="S1957">
        <v>542.28</v>
      </c>
      <c r="T1957" t="s">
        <v>6508</v>
      </c>
    </row>
    <row r="1958" spans="1:20" x14ac:dyDescent="0.25">
      <c r="A1958" s="1" t="str">
        <f>HYPERLINK("https://vegkart.atlas.vegvesen.no/#/@274236.1,7041683.0,18/hva:hva%5B0%5D%5Bfilter%5D%5B0%5D%5Boperator%5D=%21%3D&amp;hva%5B0%5D%5Bfilter%5D%5B0%5D%5Btype_id%5D=4723&amp;hva%5B0%5D%5Bfilter%5D%5B0%5D%5Bverdi%5D=&amp;hva%5B0%5D%5Bid%5D=15/når:2024-08-30", "Vegkart")</f>
        <v>Vegkart</v>
      </c>
      <c r="B1958">
        <v>597529653</v>
      </c>
      <c r="C1958">
        <v>15</v>
      </c>
      <c r="D1958" t="s">
        <v>5814</v>
      </c>
      <c r="E1958">
        <v>4723</v>
      </c>
      <c r="F1958" t="s">
        <v>23479</v>
      </c>
      <c r="G1958">
        <v>3</v>
      </c>
      <c r="H1958" t="s">
        <v>6200</v>
      </c>
      <c r="J1958" t="s">
        <v>6479</v>
      </c>
      <c r="K1958" t="s">
        <v>192</v>
      </c>
      <c r="L1958" t="s">
        <v>113</v>
      </c>
      <c r="M1958" t="s">
        <v>2577</v>
      </c>
      <c r="N1958" t="s">
        <v>6509</v>
      </c>
      <c r="O1958" t="s">
        <v>6510</v>
      </c>
      <c r="P1958" s="2" t="s">
        <v>37</v>
      </c>
      <c r="Q1958" t="s">
        <v>1208</v>
      </c>
      <c r="R1958">
        <v>0</v>
      </c>
      <c r="S1958">
        <v>136.16999999999999</v>
      </c>
      <c r="T1958" t="s">
        <v>6511</v>
      </c>
    </row>
    <row r="1959" spans="1:20" x14ac:dyDescent="0.25">
      <c r="A1959" s="1" t="str">
        <f>HYPERLINK("https://vegkart.atlas.vegvesen.no/#/@895843.4,7912475.4,18/hva:hva%5B0%5D%5Bfilter%5D%5B0%5D%5Boperator%5D=%21%3D&amp;hva%5B0%5D%5Bfilter%5D%5B0%5D%5Btype_id%5D=4723&amp;hva%5B0%5D%5Bfilter%5D%5B0%5D%5Bverdi%5D=&amp;hva%5B0%5D%5Bid%5D=15/når:2015-07-01", "Vegkart")</f>
        <v>Vegkart</v>
      </c>
      <c r="B1959">
        <v>607269640</v>
      </c>
      <c r="C1959">
        <v>15</v>
      </c>
      <c r="D1959" t="s">
        <v>5814</v>
      </c>
      <c r="E1959">
        <v>4723</v>
      </c>
      <c r="F1959" t="s">
        <v>23479</v>
      </c>
      <c r="G1959">
        <v>1</v>
      </c>
      <c r="H1959" t="s">
        <v>6512</v>
      </c>
      <c r="J1959" t="s">
        <v>6513</v>
      </c>
      <c r="K1959" t="s">
        <v>450</v>
      </c>
      <c r="L1959" t="s">
        <v>80</v>
      </c>
      <c r="M1959" t="s">
        <v>6514</v>
      </c>
      <c r="N1959" t="s">
        <v>6515</v>
      </c>
      <c r="O1959" t="s">
        <v>6516</v>
      </c>
      <c r="P1959" s="2" t="s">
        <v>37</v>
      </c>
      <c r="Q1959" t="s">
        <v>1208</v>
      </c>
      <c r="R1959">
        <v>5.8</v>
      </c>
      <c r="S1959">
        <v>75.72</v>
      </c>
      <c r="T1959" t="s">
        <v>6517</v>
      </c>
    </row>
    <row r="1960" spans="1:20" x14ac:dyDescent="0.25">
      <c r="A1960" s="1" t="str">
        <f>HYPERLINK("https://vegkart.atlas.vegvesen.no/#/@-38063.7,6565780.1,18/hva:hva%5B0%5D%5Bfilter%5D%5B0%5D%5Boperator%5D=%21%3D&amp;hva%5B0%5D%5Bfilter%5D%5B0%5D%5Btype_id%5D=4723&amp;hva%5B0%5D%5Bfilter%5D%5B0%5D%5Bverdi%5D=&amp;hva%5B0%5D%5Bid%5D=15/når:2016-01-25", "Vegkart")</f>
        <v>Vegkart</v>
      </c>
      <c r="B1960">
        <v>609718799</v>
      </c>
      <c r="C1960">
        <v>15</v>
      </c>
      <c r="D1960" t="s">
        <v>5814</v>
      </c>
      <c r="E1960">
        <v>4723</v>
      </c>
      <c r="F1960" t="s">
        <v>23479</v>
      </c>
      <c r="G1960">
        <v>2</v>
      </c>
      <c r="H1960" t="s">
        <v>6518</v>
      </c>
      <c r="J1960" t="s">
        <v>6513</v>
      </c>
      <c r="K1960" t="s">
        <v>170</v>
      </c>
      <c r="O1960" t="s">
        <v>6519</v>
      </c>
      <c r="P1960" s="2" t="s">
        <v>37</v>
      </c>
      <c r="Q1960" t="s">
        <v>1208</v>
      </c>
      <c r="R1960">
        <v>0</v>
      </c>
      <c r="S1960">
        <v>978.5</v>
      </c>
      <c r="T1960" t="s">
        <v>6520</v>
      </c>
    </row>
    <row r="1961" spans="1:20" x14ac:dyDescent="0.25">
      <c r="A1961" s="1" t="str">
        <f>HYPERLINK("https://vegkart.atlas.vegvesen.no/#/@-35964.2,6733003.8,18/hva:hva%5B0%5D%5Bfilter%5D%5B0%5D%5Boperator%5D=%21%3D&amp;hva%5B0%5D%5Bfilter%5D%5B0%5D%5Btype_id%5D=4723&amp;hva%5B0%5D%5Bfilter%5D%5B0%5D%5Bverdi%5D=&amp;hva%5B0%5D%5Bid%5D=15/når:2015-08-07", "Vegkart")</f>
        <v>Vegkart</v>
      </c>
      <c r="B1961">
        <v>620912047</v>
      </c>
      <c r="C1961">
        <v>15</v>
      </c>
      <c r="D1961" t="s">
        <v>5814</v>
      </c>
      <c r="E1961">
        <v>4723</v>
      </c>
      <c r="F1961" t="s">
        <v>23479</v>
      </c>
      <c r="G1961">
        <v>1</v>
      </c>
      <c r="H1961" t="s">
        <v>6521</v>
      </c>
      <c r="J1961" t="s">
        <v>6513</v>
      </c>
      <c r="K1961" t="s">
        <v>21</v>
      </c>
      <c r="L1961" t="s">
        <v>22</v>
      </c>
      <c r="M1961" t="s">
        <v>3971</v>
      </c>
      <c r="N1961" t="s">
        <v>6522</v>
      </c>
      <c r="O1961" t="s">
        <v>6523</v>
      </c>
      <c r="P1961" s="2" t="s">
        <v>165</v>
      </c>
      <c r="Q1961" t="s">
        <v>641</v>
      </c>
      <c r="R1961">
        <v>0</v>
      </c>
      <c r="S1961">
        <v>137.66999999999999</v>
      </c>
      <c r="T1961" t="s">
        <v>167</v>
      </c>
    </row>
    <row r="1962" spans="1:20" x14ac:dyDescent="0.25">
      <c r="A1962" s="1" t="str">
        <f>HYPERLINK("https://vegkart.atlas.vegvesen.no/#/@277465.2,6651417.9,18/hva:hva%5B0%5D%5Bfilter%5D%5B0%5D%5Boperator%5D=%21%3D&amp;hva%5B0%5D%5Bfilter%5D%5B0%5D%5Btype_id%5D=4723&amp;hva%5B0%5D%5Bfilter%5D%5B0%5D%5Bverdi%5D=&amp;hva%5B0%5D%5Bid%5D=15/når:2015-07-22", "Vegkart")</f>
        <v>Vegkart</v>
      </c>
      <c r="B1962">
        <v>633441578</v>
      </c>
      <c r="C1962">
        <v>15</v>
      </c>
      <c r="D1962" t="s">
        <v>5814</v>
      </c>
      <c r="E1962">
        <v>4723</v>
      </c>
      <c r="F1962" t="s">
        <v>23479</v>
      </c>
      <c r="G1962">
        <v>1</v>
      </c>
      <c r="H1962" t="s">
        <v>6524</v>
      </c>
      <c r="J1962" t="s">
        <v>6525</v>
      </c>
      <c r="K1962" t="s">
        <v>132</v>
      </c>
      <c r="L1962" t="s">
        <v>33</v>
      </c>
      <c r="M1962" t="s">
        <v>6526</v>
      </c>
      <c r="N1962" t="s">
        <v>6527</v>
      </c>
      <c r="O1962" t="s">
        <v>6528</v>
      </c>
      <c r="P1962" s="2" t="s">
        <v>165</v>
      </c>
      <c r="Q1962" t="s">
        <v>641</v>
      </c>
      <c r="R1962">
        <v>0</v>
      </c>
      <c r="S1962">
        <v>629.04999999999995</v>
      </c>
      <c r="T1962" t="s">
        <v>167</v>
      </c>
    </row>
    <row r="1963" spans="1:20" x14ac:dyDescent="0.25">
      <c r="A1963" s="1" t="str">
        <f>HYPERLINK("https://vegkart.atlas.vegvesen.no/#/@277413.3,6651519.5,18/hva:hva%5B0%5D%5Bfilter%5D%5B0%5D%5Boperator%5D=%21%3D&amp;hva%5B0%5D%5Bfilter%5D%5B0%5D%5Btype_id%5D=4723&amp;hva%5B0%5D%5Bfilter%5D%5B0%5D%5Bverdi%5D=&amp;hva%5B0%5D%5Bid%5D=15/når:2015-07-22", "Vegkart")</f>
        <v>Vegkart</v>
      </c>
      <c r="B1963">
        <v>633441579</v>
      </c>
      <c r="C1963">
        <v>15</v>
      </c>
      <c r="D1963" t="s">
        <v>5814</v>
      </c>
      <c r="E1963">
        <v>4723</v>
      </c>
      <c r="F1963" t="s">
        <v>23479</v>
      </c>
      <c r="G1963">
        <v>1</v>
      </c>
      <c r="H1963" t="s">
        <v>6524</v>
      </c>
      <c r="J1963" t="s">
        <v>6525</v>
      </c>
      <c r="K1963" t="s">
        <v>132</v>
      </c>
      <c r="L1963" t="s">
        <v>33</v>
      </c>
      <c r="M1963" t="s">
        <v>6529</v>
      </c>
      <c r="N1963" t="s">
        <v>6530</v>
      </c>
      <c r="O1963" t="s">
        <v>6531</v>
      </c>
      <c r="P1963" s="2" t="s">
        <v>165</v>
      </c>
      <c r="Q1963" t="s">
        <v>641</v>
      </c>
      <c r="R1963">
        <v>0</v>
      </c>
      <c r="S1963">
        <v>292.11</v>
      </c>
      <c r="T1963" t="s">
        <v>167</v>
      </c>
    </row>
    <row r="1964" spans="1:20" x14ac:dyDescent="0.25">
      <c r="A1964" s="1" t="str">
        <f>HYPERLINK("https://vegkart.atlas.vegvesen.no/#/@277537.4,6651334.9,18/hva:hva%5B0%5D%5Bfilter%5D%5B0%5D%5Boperator%5D=%21%3D&amp;hva%5B0%5D%5Bfilter%5D%5B0%5D%5Btype_id%5D=4723&amp;hva%5B0%5D%5Bfilter%5D%5B0%5D%5Bverdi%5D=&amp;hva%5B0%5D%5Bid%5D=15/når:2015-07-22", "Vegkart")</f>
        <v>Vegkart</v>
      </c>
      <c r="B1964">
        <v>633441581</v>
      </c>
      <c r="C1964">
        <v>15</v>
      </c>
      <c r="D1964" t="s">
        <v>5814</v>
      </c>
      <c r="E1964">
        <v>4723</v>
      </c>
      <c r="F1964" t="s">
        <v>23479</v>
      </c>
      <c r="G1964">
        <v>1</v>
      </c>
      <c r="H1964" t="s">
        <v>6524</v>
      </c>
      <c r="J1964" t="s">
        <v>6525</v>
      </c>
      <c r="K1964" t="s">
        <v>132</v>
      </c>
      <c r="L1964" t="s">
        <v>33</v>
      </c>
      <c r="M1964" t="s">
        <v>6526</v>
      </c>
      <c r="N1964" t="s">
        <v>6532</v>
      </c>
      <c r="O1964" t="s">
        <v>6533</v>
      </c>
      <c r="P1964" s="2" t="s">
        <v>165</v>
      </c>
      <c r="Q1964" t="s">
        <v>641</v>
      </c>
      <c r="R1964">
        <v>0</v>
      </c>
      <c r="S1964">
        <v>318.07</v>
      </c>
      <c r="T1964" t="s">
        <v>167</v>
      </c>
    </row>
    <row r="1965" spans="1:20" x14ac:dyDescent="0.25">
      <c r="A1965" s="1" t="str">
        <f>HYPERLINK("https://vegkart.atlas.vegvesen.no/#/@89760.1,6467994.5,18/hva:hva%5B0%5D%5Bfilter%5D%5B0%5D%5Boperator%5D=%21%3D&amp;hva%5B0%5D%5Bfilter%5D%5B0%5D%5Btype_id%5D=4723&amp;hva%5B0%5D%5Bfilter%5D%5B0%5D%5Bverdi%5D=&amp;hva%5B0%5D%5Bid%5D=15/når:2015-09-29", "Vegkart")</f>
        <v>Vegkart</v>
      </c>
      <c r="B1965">
        <v>636252570</v>
      </c>
      <c r="C1965">
        <v>15</v>
      </c>
      <c r="D1965" t="s">
        <v>5814</v>
      </c>
      <c r="E1965">
        <v>4723</v>
      </c>
      <c r="F1965" t="s">
        <v>23479</v>
      </c>
      <c r="G1965">
        <v>1</v>
      </c>
      <c r="H1965" t="s">
        <v>6534</v>
      </c>
      <c r="J1965" t="s">
        <v>6525</v>
      </c>
      <c r="K1965" t="s">
        <v>86</v>
      </c>
      <c r="L1965" t="s">
        <v>80</v>
      </c>
      <c r="M1965" t="s">
        <v>53</v>
      </c>
      <c r="N1965" t="s">
        <v>6535</v>
      </c>
      <c r="O1965" t="s">
        <v>6536</v>
      </c>
      <c r="P1965" s="2" t="s">
        <v>165</v>
      </c>
      <c r="Q1965" t="s">
        <v>641</v>
      </c>
      <c r="R1965">
        <v>0</v>
      </c>
      <c r="S1965">
        <v>309.75</v>
      </c>
      <c r="T1965" t="s">
        <v>167</v>
      </c>
    </row>
    <row r="1966" spans="1:20" x14ac:dyDescent="0.25">
      <c r="A1966" s="1" t="str">
        <f>HYPERLINK("https://vegkart.atlas.vegvesen.no/#/@288401.6,6673387.8,18/hva:hva%5B0%5D%5Bfilter%5D%5B0%5D%5Boperator%5D=%21%3D&amp;hva%5B0%5D%5Bfilter%5D%5B0%5D%5Btype_id%5D=4723&amp;hva%5B0%5D%5Bfilter%5D%5B0%5D%5Bverdi%5D=&amp;hva%5B0%5D%5Bid%5D=15/når:2015-07-22", "Vegkart")</f>
        <v>Vegkart</v>
      </c>
      <c r="B1966">
        <v>637124389</v>
      </c>
      <c r="C1966">
        <v>15</v>
      </c>
      <c r="D1966" t="s">
        <v>5814</v>
      </c>
      <c r="E1966">
        <v>4723</v>
      </c>
      <c r="F1966" t="s">
        <v>23479</v>
      </c>
      <c r="G1966">
        <v>1</v>
      </c>
      <c r="H1966" t="s">
        <v>6524</v>
      </c>
      <c r="J1966" t="s">
        <v>6537</v>
      </c>
      <c r="K1966" t="s">
        <v>132</v>
      </c>
      <c r="L1966" t="s">
        <v>33</v>
      </c>
      <c r="M1966" t="s">
        <v>6538</v>
      </c>
      <c r="N1966" t="s">
        <v>6539</v>
      </c>
      <c r="O1966" t="s">
        <v>6540</v>
      </c>
      <c r="P1966" s="2" t="s">
        <v>165</v>
      </c>
      <c r="Q1966" t="s">
        <v>641</v>
      </c>
      <c r="R1966">
        <v>0</v>
      </c>
      <c r="S1966">
        <v>308.94</v>
      </c>
      <c r="T1966" t="s">
        <v>167</v>
      </c>
    </row>
    <row r="1967" spans="1:20" x14ac:dyDescent="0.25">
      <c r="A1967" s="1" t="str">
        <f>HYPERLINK("https://vegkart.atlas.vegvesen.no/#/@293171.6,6704273.6,18/hva:hva%5B0%5D%5Bfilter%5D%5B0%5D%5Boperator%5D=%21%3D&amp;hva%5B0%5D%5Bfilter%5D%5B0%5D%5Btype_id%5D=4723&amp;hva%5B0%5D%5Bfilter%5D%5B0%5D%5Bverdi%5D=&amp;hva%5B0%5D%5Bid%5D=15/når:2015-10-07", "Vegkart")</f>
        <v>Vegkart</v>
      </c>
      <c r="B1967">
        <v>639548988</v>
      </c>
      <c r="C1967">
        <v>15</v>
      </c>
      <c r="D1967" t="s">
        <v>5814</v>
      </c>
      <c r="E1967">
        <v>4723</v>
      </c>
      <c r="F1967" t="s">
        <v>23479</v>
      </c>
      <c r="G1967">
        <v>1</v>
      </c>
      <c r="H1967" t="s">
        <v>6541</v>
      </c>
      <c r="J1967" t="s">
        <v>6537</v>
      </c>
      <c r="K1967" t="s">
        <v>132</v>
      </c>
      <c r="L1967" t="s">
        <v>370</v>
      </c>
      <c r="M1967" t="s">
        <v>6542</v>
      </c>
      <c r="N1967" t="s">
        <v>6543</v>
      </c>
      <c r="O1967" t="s">
        <v>6544</v>
      </c>
      <c r="P1967" s="2" t="s">
        <v>165</v>
      </c>
      <c r="Q1967" t="s">
        <v>641</v>
      </c>
      <c r="R1967">
        <v>2.2599999999999998</v>
      </c>
      <c r="S1967">
        <v>332.77</v>
      </c>
      <c r="T1967" t="s">
        <v>167</v>
      </c>
    </row>
    <row r="1968" spans="1:20" x14ac:dyDescent="0.25">
      <c r="A1968" s="1" t="str">
        <f>HYPERLINK("https://vegkart.atlas.vegvesen.no/#/@280010.9,6651170.6,18/hva:hva%5B0%5D%5Bfilter%5D%5B0%5D%5Boperator%5D=%21%3D&amp;hva%5B0%5D%5Bfilter%5D%5B0%5D%5Btype_id%5D=4723&amp;hva%5B0%5D%5Bfilter%5D%5B0%5D%5Bverdi%5D=&amp;hva%5B0%5D%5Bid%5D=15/når:2015-07-22", "Vegkart")</f>
        <v>Vegkart</v>
      </c>
      <c r="B1968">
        <v>640440168</v>
      </c>
      <c r="C1968">
        <v>15</v>
      </c>
      <c r="D1968" t="s">
        <v>5814</v>
      </c>
      <c r="E1968">
        <v>4723</v>
      </c>
      <c r="F1968" t="s">
        <v>23479</v>
      </c>
      <c r="G1968">
        <v>1</v>
      </c>
      <c r="H1968" t="s">
        <v>6524</v>
      </c>
      <c r="J1968" t="s">
        <v>6537</v>
      </c>
      <c r="K1968" t="s">
        <v>132</v>
      </c>
      <c r="L1968" t="s">
        <v>33</v>
      </c>
      <c r="M1968" t="s">
        <v>6545</v>
      </c>
      <c r="N1968" t="s">
        <v>6546</v>
      </c>
      <c r="O1968" t="s">
        <v>6547</v>
      </c>
      <c r="P1968" s="2" t="s">
        <v>165</v>
      </c>
      <c r="Q1968" t="s">
        <v>641</v>
      </c>
      <c r="R1968">
        <v>0</v>
      </c>
      <c r="S1968">
        <v>188.95</v>
      </c>
      <c r="T1968" t="s">
        <v>167</v>
      </c>
    </row>
    <row r="1969" spans="1:20" x14ac:dyDescent="0.25">
      <c r="A1969" s="1" t="str">
        <f>HYPERLINK("https://vegkart.atlas.vegvesen.no/#/@130103.6,6502434.7,18/hva:hva%5B0%5D%5Bfilter%5D%5B0%5D%5Boperator%5D=%21%3D&amp;hva%5B0%5D%5Bfilter%5D%5B0%5D%5Btype_id%5D=4723&amp;hva%5B0%5D%5Bfilter%5D%5B0%5D%5Bverdi%5D=&amp;hva%5B0%5D%5Bid%5D=15/når:2023-08-22", "Vegkart")</f>
        <v>Vegkart</v>
      </c>
      <c r="B1969">
        <v>645670447</v>
      </c>
      <c r="C1969">
        <v>15</v>
      </c>
      <c r="D1969" t="s">
        <v>5814</v>
      </c>
      <c r="E1969">
        <v>4723</v>
      </c>
      <c r="F1969" t="s">
        <v>23479</v>
      </c>
      <c r="G1969">
        <v>4</v>
      </c>
      <c r="H1969" t="s">
        <v>6548</v>
      </c>
      <c r="J1969" t="s">
        <v>6549</v>
      </c>
      <c r="K1969" t="s">
        <v>86</v>
      </c>
      <c r="L1969" t="s">
        <v>33</v>
      </c>
      <c r="M1969" t="s">
        <v>86</v>
      </c>
      <c r="N1969" t="s">
        <v>6550</v>
      </c>
      <c r="O1969" t="s">
        <v>6551</v>
      </c>
      <c r="P1969" s="2" t="s">
        <v>165</v>
      </c>
      <c r="Q1969" t="s">
        <v>166</v>
      </c>
      <c r="R1969">
        <v>0</v>
      </c>
      <c r="S1969">
        <v>424.14</v>
      </c>
      <c r="T1969" t="s">
        <v>167</v>
      </c>
    </row>
    <row r="1970" spans="1:20" x14ac:dyDescent="0.25">
      <c r="A1970" s="1" t="str">
        <f>HYPERLINK("https://vegkart.atlas.vegvesen.no/#/@268744.3,7033104.5,18/hva:hva%5B0%5D%5Bfilter%5D%5B0%5D%5Boperator%5D=%21%3D&amp;hva%5B0%5D%5Bfilter%5D%5B0%5D%5Btype_id%5D=4723&amp;hva%5B0%5D%5Bfilter%5D%5B0%5D%5Bverdi%5D=&amp;hva%5B0%5D%5Bid%5D=15/når:2015-03-18", "Vegkart")</f>
        <v>Vegkart</v>
      </c>
      <c r="B1970">
        <v>667818071</v>
      </c>
      <c r="C1970">
        <v>15</v>
      </c>
      <c r="D1970" t="s">
        <v>5814</v>
      </c>
      <c r="E1970">
        <v>4723</v>
      </c>
      <c r="F1970" t="s">
        <v>23479</v>
      </c>
      <c r="G1970">
        <v>1</v>
      </c>
      <c r="H1970" t="s">
        <v>6341</v>
      </c>
      <c r="J1970" t="s">
        <v>6552</v>
      </c>
      <c r="K1970" t="s">
        <v>192</v>
      </c>
      <c r="L1970" t="s">
        <v>22</v>
      </c>
      <c r="M1970" t="s">
        <v>6553</v>
      </c>
      <c r="N1970" t="s">
        <v>6554</v>
      </c>
      <c r="O1970" t="s">
        <v>6555</v>
      </c>
      <c r="P1970" s="2" t="s">
        <v>37</v>
      </c>
      <c r="Q1970" t="s">
        <v>1208</v>
      </c>
      <c r="R1970">
        <v>9.17</v>
      </c>
      <c r="S1970">
        <v>30.16</v>
      </c>
      <c r="T1970" t="s">
        <v>6556</v>
      </c>
    </row>
    <row r="1971" spans="1:20" x14ac:dyDescent="0.25">
      <c r="A1971" s="1" t="str">
        <f>HYPERLINK("https://vegkart.atlas.vegvesen.no/#/@279125.5,6673339.3,18/hva:hva%5B0%5D%5Bfilter%5D%5B0%5D%5Boperator%5D=%21%3D&amp;hva%5B0%5D%5Bfilter%5D%5B0%5D%5Btype_id%5D=4723&amp;hva%5B0%5D%5Bfilter%5D%5B0%5D%5Bverdi%5D=&amp;hva%5B0%5D%5Bid%5D=15/når:2016-06-01", "Vegkart")</f>
        <v>Vegkart</v>
      </c>
      <c r="B1971">
        <v>715355011</v>
      </c>
      <c r="C1971">
        <v>15</v>
      </c>
      <c r="D1971" t="s">
        <v>5814</v>
      </c>
      <c r="E1971">
        <v>4723</v>
      </c>
      <c r="F1971" t="s">
        <v>23479</v>
      </c>
      <c r="G1971">
        <v>1</v>
      </c>
      <c r="H1971" t="s">
        <v>6557</v>
      </c>
      <c r="J1971" t="s">
        <v>6558</v>
      </c>
      <c r="K1971" t="s">
        <v>132</v>
      </c>
      <c r="L1971" t="s">
        <v>33</v>
      </c>
      <c r="M1971" t="s">
        <v>6223</v>
      </c>
      <c r="N1971" t="s">
        <v>6559</v>
      </c>
      <c r="O1971" t="s">
        <v>6560</v>
      </c>
      <c r="P1971" s="2" t="s">
        <v>37</v>
      </c>
      <c r="Q1971" t="s">
        <v>1208</v>
      </c>
      <c r="R1971">
        <v>12.26</v>
      </c>
      <c r="S1971">
        <v>30.76</v>
      </c>
      <c r="T1971" t="s">
        <v>6561</v>
      </c>
    </row>
    <row r="1972" spans="1:20" x14ac:dyDescent="0.25">
      <c r="A1972" s="1" t="str">
        <f>HYPERLINK("https://vegkart.atlas.vegvesen.no/#/@303536.6,6670290.1,18/hva:hva%5B0%5D%5Bfilter%5D%5B0%5D%5Boperator%5D=%21%3D&amp;hva%5B0%5D%5Bfilter%5D%5B0%5D%5Btype_id%5D=4723&amp;hva%5B0%5D%5Bfilter%5D%5B0%5D%5Bverdi%5D=&amp;hva%5B0%5D%5Bid%5D=15/når:2016-06-27", "Vegkart")</f>
        <v>Vegkart</v>
      </c>
      <c r="B1972">
        <v>723512510</v>
      </c>
      <c r="C1972">
        <v>15</v>
      </c>
      <c r="D1972" t="s">
        <v>5814</v>
      </c>
      <c r="E1972">
        <v>4723</v>
      </c>
      <c r="F1972" t="s">
        <v>23479</v>
      </c>
      <c r="G1972">
        <v>1</v>
      </c>
      <c r="H1972" t="s">
        <v>6562</v>
      </c>
      <c r="J1972" t="s">
        <v>6558</v>
      </c>
      <c r="K1972" t="s">
        <v>132</v>
      </c>
      <c r="L1972" t="s">
        <v>33</v>
      </c>
      <c r="M1972" t="s">
        <v>6019</v>
      </c>
      <c r="N1972" t="s">
        <v>6563</v>
      </c>
      <c r="O1972" t="s">
        <v>6564</v>
      </c>
      <c r="P1972" s="2" t="s">
        <v>165</v>
      </c>
      <c r="Q1972" t="s">
        <v>641</v>
      </c>
      <c r="R1972">
        <v>0</v>
      </c>
      <c r="S1972">
        <v>85.57</v>
      </c>
      <c r="T1972" t="s">
        <v>167</v>
      </c>
    </row>
    <row r="1973" spans="1:20" x14ac:dyDescent="0.25">
      <c r="A1973" s="1" t="str">
        <f>HYPERLINK("https://vegkart.atlas.vegvesen.no/#/@727604.3,7720338.7,18/hva:hva%5B0%5D%5Bfilter%5D%5B0%5D%5Boperator%5D=%21%3D&amp;hva%5B0%5D%5Bfilter%5D%5B0%5D%5Btype_id%5D=4723&amp;hva%5B0%5D%5Bfilter%5D%5B0%5D%5Bverdi%5D=&amp;hva%5B0%5D%5Bid%5D=15/når:2016-10-03", "Vegkart")</f>
        <v>Vegkart</v>
      </c>
      <c r="B1973">
        <v>742358184</v>
      </c>
      <c r="C1973">
        <v>15</v>
      </c>
      <c r="D1973" t="s">
        <v>5814</v>
      </c>
      <c r="E1973">
        <v>4723</v>
      </c>
      <c r="F1973" t="s">
        <v>23479</v>
      </c>
      <c r="G1973">
        <v>1</v>
      </c>
      <c r="H1973" t="s">
        <v>6565</v>
      </c>
      <c r="J1973" t="s">
        <v>6566</v>
      </c>
      <c r="K1973" t="s">
        <v>179</v>
      </c>
      <c r="L1973" t="s">
        <v>33</v>
      </c>
      <c r="M1973" t="s">
        <v>6567</v>
      </c>
      <c r="N1973" t="s">
        <v>6568</v>
      </c>
      <c r="O1973" t="s">
        <v>6569</v>
      </c>
      <c r="P1973" s="2" t="s">
        <v>37</v>
      </c>
      <c r="Q1973" t="s">
        <v>1208</v>
      </c>
      <c r="R1973">
        <v>0</v>
      </c>
      <c r="S1973">
        <v>119.37</v>
      </c>
      <c r="T1973" t="s">
        <v>6570</v>
      </c>
    </row>
    <row r="1974" spans="1:20" x14ac:dyDescent="0.25">
      <c r="A1974" s="1" t="str">
        <f>HYPERLINK("https://vegkart.atlas.vegvesen.no/#/@692880.4,7690552.6,18/hva:hva%5B0%5D%5Bfilter%5D%5B0%5D%5Boperator%5D=%21%3D&amp;hva%5B0%5D%5Bfilter%5D%5B0%5D%5Btype_id%5D=4723&amp;hva%5B0%5D%5Bfilter%5D%5B0%5D%5Bverdi%5D=&amp;hva%5B0%5D%5Bid%5D=15/når:2017-08-29", "Vegkart")</f>
        <v>Vegkart</v>
      </c>
      <c r="B1974">
        <v>744974252</v>
      </c>
      <c r="C1974">
        <v>15</v>
      </c>
      <c r="D1974" t="s">
        <v>5814</v>
      </c>
      <c r="E1974">
        <v>4723</v>
      </c>
      <c r="F1974" t="s">
        <v>23479</v>
      </c>
      <c r="G1974">
        <v>2</v>
      </c>
      <c r="H1974" t="s">
        <v>6571</v>
      </c>
      <c r="J1974" t="s">
        <v>6572</v>
      </c>
      <c r="K1974" t="s">
        <v>179</v>
      </c>
      <c r="L1974" t="s">
        <v>33</v>
      </c>
      <c r="M1974" t="s">
        <v>6573</v>
      </c>
      <c r="N1974" t="s">
        <v>6574</v>
      </c>
      <c r="O1974" t="s">
        <v>6575</v>
      </c>
      <c r="P1974" s="2" t="s">
        <v>37</v>
      </c>
      <c r="Q1974" t="s">
        <v>1208</v>
      </c>
      <c r="R1974">
        <v>0</v>
      </c>
      <c r="S1974">
        <v>24.41</v>
      </c>
      <c r="T1974" t="s">
        <v>6576</v>
      </c>
    </row>
    <row r="1975" spans="1:20" x14ac:dyDescent="0.25">
      <c r="A1975" s="1" t="str">
        <f>HYPERLINK("https://vegkart.atlas.vegvesen.no/#/@818487.4,7784857.5,18/hva:hva%5B0%5D%5Bfilter%5D%5B0%5D%5Boperator%5D=%21%3D&amp;hva%5B0%5D%5Bfilter%5D%5B0%5D%5Btype_id%5D=4723&amp;hva%5B0%5D%5Bfilter%5D%5B0%5D%5Bverdi%5D=&amp;hva%5B0%5D%5Bid%5D=15/når:2016-10-24", "Vegkart")</f>
        <v>Vegkart</v>
      </c>
      <c r="B1975">
        <v>745370724</v>
      </c>
      <c r="C1975">
        <v>15</v>
      </c>
      <c r="D1975" t="s">
        <v>5814</v>
      </c>
      <c r="E1975">
        <v>4723</v>
      </c>
      <c r="F1975" t="s">
        <v>23479</v>
      </c>
      <c r="G1975">
        <v>2</v>
      </c>
      <c r="H1975" t="s">
        <v>6577</v>
      </c>
      <c r="J1975" t="s">
        <v>6578</v>
      </c>
      <c r="K1975" t="s">
        <v>450</v>
      </c>
      <c r="L1975" t="s">
        <v>80</v>
      </c>
      <c r="M1975" t="s">
        <v>105</v>
      </c>
      <c r="N1975" t="s">
        <v>6579</v>
      </c>
      <c r="O1975" t="s">
        <v>6580</v>
      </c>
      <c r="P1975" s="2" t="s">
        <v>37</v>
      </c>
      <c r="Q1975" t="s">
        <v>1208</v>
      </c>
      <c r="R1975">
        <v>0.26</v>
      </c>
      <c r="S1975">
        <v>18.649999999999999</v>
      </c>
      <c r="T1975" t="s">
        <v>6581</v>
      </c>
    </row>
    <row r="1976" spans="1:20" x14ac:dyDescent="0.25">
      <c r="A1976" s="1" t="str">
        <f>HYPERLINK("https://vegkart.atlas.vegvesen.no/#/@818514.3,7784854.9,18/hva:hva%5B0%5D%5Bfilter%5D%5B0%5D%5Boperator%5D=%21%3D&amp;hva%5B0%5D%5Bfilter%5D%5B0%5D%5Btype_id%5D=4723&amp;hva%5B0%5D%5Bfilter%5D%5B0%5D%5Bverdi%5D=&amp;hva%5B0%5D%5Bid%5D=15/når:2016-10-24", "Vegkart")</f>
        <v>Vegkart</v>
      </c>
      <c r="B1976">
        <v>745383541</v>
      </c>
      <c r="C1976">
        <v>15</v>
      </c>
      <c r="D1976" t="s">
        <v>5814</v>
      </c>
      <c r="E1976">
        <v>4723</v>
      </c>
      <c r="F1976" t="s">
        <v>23479</v>
      </c>
      <c r="G1976">
        <v>1</v>
      </c>
      <c r="H1976" t="s">
        <v>6577</v>
      </c>
      <c r="J1976" t="s">
        <v>6582</v>
      </c>
      <c r="K1976" t="s">
        <v>450</v>
      </c>
      <c r="L1976" t="s">
        <v>80</v>
      </c>
      <c r="M1976" t="s">
        <v>105</v>
      </c>
      <c r="N1976" t="s">
        <v>6583</v>
      </c>
      <c r="O1976" t="s">
        <v>6584</v>
      </c>
      <c r="P1976" s="2" t="s">
        <v>37</v>
      </c>
      <c r="Q1976" t="s">
        <v>1208</v>
      </c>
      <c r="R1976">
        <v>0.06</v>
      </c>
      <c r="S1976">
        <v>117.42</v>
      </c>
      <c r="T1976" t="s">
        <v>6585</v>
      </c>
    </row>
    <row r="1977" spans="1:20" x14ac:dyDescent="0.25">
      <c r="A1977" s="1" t="str">
        <f>HYPERLINK("https://vegkart.atlas.vegvesen.no/#/@802640.9,7797462.4,18/hva:hva%5B0%5D%5Bfilter%5D%5B0%5D%5Boperator%5D=%21%3D&amp;hva%5B0%5D%5Bfilter%5D%5B0%5D%5Btype_id%5D=4723&amp;hva%5B0%5D%5Bfilter%5D%5B0%5D%5Bverdi%5D=&amp;hva%5B0%5D%5Bid%5D=15/når:2016-10-26", "Vegkart")</f>
        <v>Vegkart</v>
      </c>
      <c r="B1977">
        <v>745396139</v>
      </c>
      <c r="C1977">
        <v>15</v>
      </c>
      <c r="D1977" t="s">
        <v>5814</v>
      </c>
      <c r="E1977">
        <v>4723</v>
      </c>
      <c r="F1977" t="s">
        <v>23479</v>
      </c>
      <c r="G1977">
        <v>1</v>
      </c>
      <c r="H1977" t="s">
        <v>6037</v>
      </c>
      <c r="J1977" t="s">
        <v>6582</v>
      </c>
      <c r="K1977" t="s">
        <v>450</v>
      </c>
      <c r="L1977" t="s">
        <v>80</v>
      </c>
      <c r="M1977" t="s">
        <v>105</v>
      </c>
      <c r="N1977" t="s">
        <v>6586</v>
      </c>
      <c r="O1977" t="s">
        <v>6587</v>
      </c>
      <c r="P1977" s="2" t="s">
        <v>37</v>
      </c>
      <c r="Q1977" t="s">
        <v>1208</v>
      </c>
      <c r="R1977">
        <v>0.06</v>
      </c>
      <c r="S1977">
        <v>159.59</v>
      </c>
      <c r="T1977" t="s">
        <v>6588</v>
      </c>
    </row>
    <row r="1978" spans="1:20" x14ac:dyDescent="0.25">
      <c r="A1978" s="1" t="str">
        <f>HYPERLINK("https://vegkart.atlas.vegvesen.no/#/@813211.2,7781674.6,18/hva:hva%5B0%5D%5Bfilter%5D%5B0%5D%5Boperator%5D=%21%3D&amp;hva%5B0%5D%5Bfilter%5D%5B0%5D%5Btype_id%5D=4723&amp;hva%5B0%5D%5Bfilter%5D%5B0%5D%5Bverdi%5D=&amp;hva%5B0%5D%5Bid%5D=15/når:2016-10-31", "Vegkart")</f>
        <v>Vegkart</v>
      </c>
      <c r="B1978">
        <v>747067139</v>
      </c>
      <c r="C1978">
        <v>15</v>
      </c>
      <c r="D1978" t="s">
        <v>5814</v>
      </c>
      <c r="E1978">
        <v>4723</v>
      </c>
      <c r="F1978" t="s">
        <v>23479</v>
      </c>
      <c r="G1978">
        <v>1</v>
      </c>
      <c r="H1978" t="s">
        <v>6589</v>
      </c>
      <c r="J1978" t="s">
        <v>6582</v>
      </c>
      <c r="K1978" t="s">
        <v>450</v>
      </c>
      <c r="L1978" t="s">
        <v>80</v>
      </c>
      <c r="M1978" t="s">
        <v>105</v>
      </c>
      <c r="N1978" t="s">
        <v>6590</v>
      </c>
      <c r="O1978" t="s">
        <v>6591</v>
      </c>
      <c r="P1978" s="2" t="s">
        <v>165</v>
      </c>
      <c r="Q1978" t="s">
        <v>641</v>
      </c>
      <c r="R1978">
        <v>0.06</v>
      </c>
      <c r="S1978">
        <v>134.12</v>
      </c>
      <c r="T1978" t="s">
        <v>167</v>
      </c>
    </row>
    <row r="1979" spans="1:20" x14ac:dyDescent="0.25">
      <c r="A1979" s="1" t="str">
        <f>HYPERLINK("https://vegkart.atlas.vegvesen.no/#/@813264.6,7781755.5,18/hva:hva%5B0%5D%5Bfilter%5D%5B0%5D%5Boperator%5D=%21%3D&amp;hva%5B0%5D%5Bfilter%5D%5B0%5D%5Btype_id%5D=4723&amp;hva%5B0%5D%5Bfilter%5D%5B0%5D%5Bverdi%5D=&amp;hva%5B0%5D%5Bid%5D=15/når:2016-10-31", "Vegkart")</f>
        <v>Vegkart</v>
      </c>
      <c r="B1979">
        <v>747067140</v>
      </c>
      <c r="C1979">
        <v>15</v>
      </c>
      <c r="D1979" t="s">
        <v>5814</v>
      </c>
      <c r="E1979">
        <v>4723</v>
      </c>
      <c r="F1979" t="s">
        <v>23479</v>
      </c>
      <c r="G1979">
        <v>1</v>
      </c>
      <c r="H1979" t="s">
        <v>6589</v>
      </c>
      <c r="J1979" t="s">
        <v>6582</v>
      </c>
      <c r="K1979" t="s">
        <v>450</v>
      </c>
      <c r="L1979" t="s">
        <v>80</v>
      </c>
      <c r="M1979" t="s">
        <v>105</v>
      </c>
      <c r="N1979" t="s">
        <v>6592</v>
      </c>
      <c r="O1979" t="s">
        <v>6593</v>
      </c>
      <c r="P1979" s="2" t="s">
        <v>37</v>
      </c>
      <c r="Q1979" t="s">
        <v>1208</v>
      </c>
      <c r="R1979">
        <v>0.06</v>
      </c>
      <c r="S1979">
        <v>247.06</v>
      </c>
      <c r="T1979" t="s">
        <v>6594</v>
      </c>
    </row>
    <row r="1980" spans="1:20" x14ac:dyDescent="0.25">
      <c r="A1980" s="1" t="str">
        <f>HYPERLINK("https://vegkart.atlas.vegvesen.no/#/@802294.4,7790795.4,18/hva:hva%5B0%5D%5Bfilter%5D%5B0%5D%5Boperator%5D=%21%3D&amp;hva%5B0%5D%5Bfilter%5D%5B0%5D%5Btype_id%5D=4723&amp;hva%5B0%5D%5Bfilter%5D%5B0%5D%5Bverdi%5D=&amp;hva%5B0%5D%5Bid%5D=15/når:2016-11-07", "Vegkart")</f>
        <v>Vegkart</v>
      </c>
      <c r="B1980">
        <v>748330034</v>
      </c>
      <c r="C1980">
        <v>15</v>
      </c>
      <c r="D1980" t="s">
        <v>5814</v>
      </c>
      <c r="E1980">
        <v>4723</v>
      </c>
      <c r="F1980" t="s">
        <v>23479</v>
      </c>
      <c r="G1980">
        <v>1</v>
      </c>
      <c r="H1980" t="s">
        <v>2665</v>
      </c>
      <c r="J1980" t="s">
        <v>6582</v>
      </c>
      <c r="K1980" t="s">
        <v>450</v>
      </c>
      <c r="L1980" t="s">
        <v>80</v>
      </c>
      <c r="M1980" t="s">
        <v>105</v>
      </c>
      <c r="N1980" t="s">
        <v>6595</v>
      </c>
      <c r="O1980" t="s">
        <v>6596</v>
      </c>
      <c r="P1980" s="2" t="s">
        <v>37</v>
      </c>
      <c r="Q1980" t="s">
        <v>1208</v>
      </c>
      <c r="R1980">
        <v>0</v>
      </c>
      <c r="S1980">
        <v>103.75</v>
      </c>
      <c r="T1980" t="s">
        <v>6597</v>
      </c>
    </row>
    <row r="1981" spans="1:20" x14ac:dyDescent="0.25">
      <c r="A1981" s="1" t="str">
        <f>HYPERLINK("https://vegkart.atlas.vegvesen.no/#/@802197.8,7790112.7,18/hva:hva%5B0%5D%5Bfilter%5D%5B0%5D%5Boperator%5D=%21%3D&amp;hva%5B0%5D%5Bfilter%5D%5B0%5D%5Btype_id%5D=4723&amp;hva%5B0%5D%5Bfilter%5D%5B0%5D%5Bverdi%5D=&amp;hva%5B0%5D%5Bid%5D=15/når:2016-11-07", "Vegkart")</f>
        <v>Vegkart</v>
      </c>
      <c r="B1981">
        <v>748330035</v>
      </c>
      <c r="C1981">
        <v>15</v>
      </c>
      <c r="D1981" t="s">
        <v>5814</v>
      </c>
      <c r="E1981">
        <v>4723</v>
      </c>
      <c r="F1981" t="s">
        <v>23479</v>
      </c>
      <c r="G1981">
        <v>1</v>
      </c>
      <c r="H1981" t="s">
        <v>2665</v>
      </c>
      <c r="J1981" t="s">
        <v>6582</v>
      </c>
      <c r="K1981" t="s">
        <v>450</v>
      </c>
      <c r="L1981" t="s">
        <v>80</v>
      </c>
      <c r="M1981" t="s">
        <v>105</v>
      </c>
      <c r="N1981" t="s">
        <v>6598</v>
      </c>
      <c r="O1981" t="s">
        <v>6599</v>
      </c>
      <c r="P1981" s="2" t="s">
        <v>37</v>
      </c>
      <c r="Q1981" t="s">
        <v>1208</v>
      </c>
      <c r="R1981">
        <v>0</v>
      </c>
      <c r="S1981">
        <v>77.650000000000006</v>
      </c>
      <c r="T1981" t="s">
        <v>6600</v>
      </c>
    </row>
    <row r="1982" spans="1:20" x14ac:dyDescent="0.25">
      <c r="A1982" s="1" t="str">
        <f>HYPERLINK("https://vegkart.atlas.vegvesen.no/#/@802170.5,7790139.5,18/hva:hva%5B0%5D%5Bfilter%5D%5B0%5D%5Boperator%5D=%21%3D&amp;hva%5B0%5D%5Bfilter%5D%5B0%5D%5Btype_id%5D=4723&amp;hva%5B0%5D%5Bfilter%5D%5B0%5D%5Bverdi%5D=&amp;hva%5B0%5D%5Bid%5D=15/når:2016-11-07", "Vegkart")</f>
        <v>Vegkart</v>
      </c>
      <c r="B1982">
        <v>748330036</v>
      </c>
      <c r="C1982">
        <v>15</v>
      </c>
      <c r="D1982" t="s">
        <v>5814</v>
      </c>
      <c r="E1982">
        <v>4723</v>
      </c>
      <c r="F1982" t="s">
        <v>23479</v>
      </c>
      <c r="G1982">
        <v>1</v>
      </c>
      <c r="H1982" t="s">
        <v>2665</v>
      </c>
      <c r="J1982" t="s">
        <v>6582</v>
      </c>
      <c r="K1982" t="s">
        <v>450</v>
      </c>
      <c r="L1982" t="s">
        <v>80</v>
      </c>
      <c r="M1982" t="s">
        <v>105</v>
      </c>
      <c r="N1982" t="s">
        <v>6601</v>
      </c>
      <c r="O1982" t="s">
        <v>6602</v>
      </c>
      <c r="P1982" s="2" t="s">
        <v>37</v>
      </c>
      <c r="Q1982" t="s">
        <v>1208</v>
      </c>
      <c r="R1982">
        <v>0</v>
      </c>
      <c r="S1982">
        <v>75.97</v>
      </c>
      <c r="T1982" t="s">
        <v>6603</v>
      </c>
    </row>
    <row r="1983" spans="1:20" x14ac:dyDescent="0.25">
      <c r="A1983" s="1" t="str">
        <f>HYPERLINK("https://vegkart.atlas.vegvesen.no/#/@802149.2,7790167.1,18/hva:hva%5B0%5D%5Bfilter%5D%5B0%5D%5Boperator%5D=%21%3D&amp;hva%5B0%5D%5Bfilter%5D%5B0%5D%5Btype_id%5D=4723&amp;hva%5B0%5D%5Bfilter%5D%5B0%5D%5Bverdi%5D=&amp;hva%5B0%5D%5Bid%5D=15/når:2016-11-07", "Vegkart")</f>
        <v>Vegkart</v>
      </c>
      <c r="B1983">
        <v>748330037</v>
      </c>
      <c r="C1983">
        <v>15</v>
      </c>
      <c r="D1983" t="s">
        <v>5814</v>
      </c>
      <c r="E1983">
        <v>4723</v>
      </c>
      <c r="F1983" t="s">
        <v>23479</v>
      </c>
      <c r="G1983">
        <v>1</v>
      </c>
      <c r="H1983" t="s">
        <v>2665</v>
      </c>
      <c r="J1983" t="s">
        <v>6582</v>
      </c>
      <c r="K1983" t="s">
        <v>450</v>
      </c>
      <c r="L1983" t="s">
        <v>80</v>
      </c>
      <c r="M1983" t="s">
        <v>105</v>
      </c>
      <c r="N1983" t="s">
        <v>6604</v>
      </c>
      <c r="O1983" t="s">
        <v>6605</v>
      </c>
      <c r="P1983" s="2" t="s">
        <v>37</v>
      </c>
      <c r="Q1983" t="s">
        <v>1208</v>
      </c>
      <c r="R1983">
        <v>0</v>
      </c>
      <c r="S1983">
        <v>51.06</v>
      </c>
      <c r="T1983" t="s">
        <v>6606</v>
      </c>
    </row>
    <row r="1984" spans="1:20" x14ac:dyDescent="0.25">
      <c r="A1984" s="1" t="str">
        <f>HYPERLINK("https://vegkart.atlas.vegvesen.no/#/@802112.7,7790259.1,18/hva:hva%5B0%5D%5Bfilter%5D%5B0%5D%5Boperator%5D=%21%3D&amp;hva%5B0%5D%5Bfilter%5D%5B0%5D%5Btype_id%5D=4723&amp;hva%5B0%5D%5Bfilter%5D%5B0%5D%5Bverdi%5D=&amp;hva%5B0%5D%5Bid%5D=15/når:2016-11-07", "Vegkart")</f>
        <v>Vegkart</v>
      </c>
      <c r="B1984">
        <v>748330038</v>
      </c>
      <c r="C1984">
        <v>15</v>
      </c>
      <c r="D1984" t="s">
        <v>5814</v>
      </c>
      <c r="E1984">
        <v>4723</v>
      </c>
      <c r="F1984" t="s">
        <v>23479</v>
      </c>
      <c r="G1984">
        <v>1</v>
      </c>
      <c r="H1984" t="s">
        <v>2665</v>
      </c>
      <c r="J1984" t="s">
        <v>6582</v>
      </c>
      <c r="K1984" t="s">
        <v>450</v>
      </c>
      <c r="L1984" t="s">
        <v>80</v>
      </c>
      <c r="M1984" t="s">
        <v>105</v>
      </c>
      <c r="N1984" t="s">
        <v>6607</v>
      </c>
      <c r="O1984" t="s">
        <v>6608</v>
      </c>
      <c r="P1984" s="2" t="s">
        <v>37</v>
      </c>
      <c r="Q1984" t="s">
        <v>1208</v>
      </c>
      <c r="R1984">
        <v>0</v>
      </c>
      <c r="S1984">
        <v>345.42</v>
      </c>
      <c r="T1984" t="s">
        <v>6609</v>
      </c>
    </row>
    <row r="1985" spans="1:20" x14ac:dyDescent="0.25">
      <c r="A1985" s="1" t="str">
        <f>HYPERLINK("https://vegkart.atlas.vegvesen.no/#/@802090.1,7790357.1,18/hva:hva%5B0%5D%5Bfilter%5D%5B0%5D%5Boperator%5D=%21%3D&amp;hva%5B0%5D%5Bfilter%5D%5B0%5D%5Btype_id%5D=4723&amp;hva%5B0%5D%5Bfilter%5D%5B0%5D%5Bverdi%5D=&amp;hva%5B0%5D%5Bid%5D=15/når:2016-11-07", "Vegkart")</f>
        <v>Vegkart</v>
      </c>
      <c r="B1985">
        <v>748330039</v>
      </c>
      <c r="C1985">
        <v>15</v>
      </c>
      <c r="D1985" t="s">
        <v>5814</v>
      </c>
      <c r="E1985">
        <v>4723</v>
      </c>
      <c r="F1985" t="s">
        <v>23479</v>
      </c>
      <c r="G1985">
        <v>1</v>
      </c>
      <c r="H1985" t="s">
        <v>2665</v>
      </c>
      <c r="J1985" t="s">
        <v>6582</v>
      </c>
      <c r="K1985" t="s">
        <v>450</v>
      </c>
      <c r="L1985" t="s">
        <v>80</v>
      </c>
      <c r="M1985" t="s">
        <v>105</v>
      </c>
      <c r="N1985" t="s">
        <v>6610</v>
      </c>
      <c r="O1985" t="s">
        <v>6611</v>
      </c>
      <c r="P1985" s="2" t="s">
        <v>37</v>
      </c>
      <c r="Q1985" t="s">
        <v>1208</v>
      </c>
      <c r="R1985">
        <v>0</v>
      </c>
      <c r="S1985">
        <v>19.88</v>
      </c>
      <c r="T1985" t="s">
        <v>6612</v>
      </c>
    </row>
    <row r="1986" spans="1:20" x14ac:dyDescent="0.25">
      <c r="A1986" s="1" t="str">
        <f>HYPERLINK("https://vegkart.atlas.vegvesen.no/#/@802084.1,7790389.4,18/hva:hva%5B0%5D%5Bfilter%5D%5B0%5D%5Boperator%5D=%21%3D&amp;hva%5B0%5D%5Bfilter%5D%5B0%5D%5Btype_id%5D=4723&amp;hva%5B0%5D%5Bfilter%5D%5B0%5D%5Bverdi%5D=&amp;hva%5B0%5D%5Bid%5D=15/når:2016-11-07", "Vegkart")</f>
        <v>Vegkart</v>
      </c>
      <c r="B1986">
        <v>748330040</v>
      </c>
      <c r="C1986">
        <v>15</v>
      </c>
      <c r="D1986" t="s">
        <v>5814</v>
      </c>
      <c r="E1986">
        <v>4723</v>
      </c>
      <c r="F1986" t="s">
        <v>23479</v>
      </c>
      <c r="G1986">
        <v>1</v>
      </c>
      <c r="H1986" t="s">
        <v>2665</v>
      </c>
      <c r="J1986" t="s">
        <v>6582</v>
      </c>
      <c r="K1986" t="s">
        <v>450</v>
      </c>
      <c r="L1986" t="s">
        <v>80</v>
      </c>
      <c r="M1986" t="s">
        <v>105</v>
      </c>
      <c r="N1986" t="s">
        <v>6613</v>
      </c>
      <c r="O1986" t="s">
        <v>6614</v>
      </c>
      <c r="P1986" s="2" t="s">
        <v>37</v>
      </c>
      <c r="Q1986" t="s">
        <v>1208</v>
      </c>
      <c r="R1986">
        <v>0</v>
      </c>
      <c r="S1986">
        <v>113.18</v>
      </c>
      <c r="T1986" t="s">
        <v>6615</v>
      </c>
    </row>
    <row r="1987" spans="1:20" x14ac:dyDescent="0.25">
      <c r="A1987" s="1" t="str">
        <f>HYPERLINK("https://vegkart.atlas.vegvesen.no/#/@802074.6,7790435.2,18/hva:hva%5B0%5D%5Bfilter%5D%5B0%5D%5Boperator%5D=%21%3D&amp;hva%5B0%5D%5Bfilter%5D%5B0%5D%5Btype_id%5D=4723&amp;hva%5B0%5D%5Bfilter%5D%5B0%5D%5Bverdi%5D=&amp;hva%5B0%5D%5Bid%5D=15/når:2016-11-07", "Vegkart")</f>
        <v>Vegkart</v>
      </c>
      <c r="B1987">
        <v>748330041</v>
      </c>
      <c r="C1987">
        <v>15</v>
      </c>
      <c r="D1987" t="s">
        <v>5814</v>
      </c>
      <c r="E1987">
        <v>4723</v>
      </c>
      <c r="F1987" t="s">
        <v>23479</v>
      </c>
      <c r="G1987">
        <v>1</v>
      </c>
      <c r="H1987" t="s">
        <v>2665</v>
      </c>
      <c r="J1987" t="s">
        <v>6582</v>
      </c>
      <c r="K1987" t="s">
        <v>450</v>
      </c>
      <c r="L1987" t="s">
        <v>80</v>
      </c>
      <c r="M1987" t="s">
        <v>105</v>
      </c>
      <c r="N1987" t="s">
        <v>6616</v>
      </c>
      <c r="O1987" t="s">
        <v>6617</v>
      </c>
      <c r="P1987" s="2" t="s">
        <v>37</v>
      </c>
      <c r="Q1987" t="s">
        <v>1208</v>
      </c>
      <c r="R1987">
        <v>0</v>
      </c>
      <c r="S1987">
        <v>49.14</v>
      </c>
      <c r="T1987" t="s">
        <v>6618</v>
      </c>
    </row>
    <row r="1988" spans="1:20" x14ac:dyDescent="0.25">
      <c r="A1988" s="1" t="str">
        <f>HYPERLINK("https://vegkart.atlas.vegvesen.no/#/@802082.3,7790542.4,18/hva:hva%5B0%5D%5Bfilter%5D%5B0%5D%5Boperator%5D=%21%3D&amp;hva%5B0%5D%5Bfilter%5D%5B0%5D%5Btype_id%5D=4723&amp;hva%5B0%5D%5Bfilter%5D%5B0%5D%5Bverdi%5D=&amp;hva%5B0%5D%5Bid%5D=15/når:2016-11-07", "Vegkart")</f>
        <v>Vegkart</v>
      </c>
      <c r="B1988">
        <v>748330042</v>
      </c>
      <c r="C1988">
        <v>15</v>
      </c>
      <c r="D1988" t="s">
        <v>5814</v>
      </c>
      <c r="E1988">
        <v>4723</v>
      </c>
      <c r="F1988" t="s">
        <v>23479</v>
      </c>
      <c r="G1988">
        <v>1</v>
      </c>
      <c r="H1988" t="s">
        <v>2665</v>
      </c>
      <c r="J1988" t="s">
        <v>6582</v>
      </c>
      <c r="K1988" t="s">
        <v>450</v>
      </c>
      <c r="L1988" t="s">
        <v>80</v>
      </c>
      <c r="M1988" t="s">
        <v>105</v>
      </c>
      <c r="N1988" t="s">
        <v>6619</v>
      </c>
      <c r="O1988" t="s">
        <v>6620</v>
      </c>
      <c r="P1988" s="2" t="s">
        <v>37</v>
      </c>
      <c r="Q1988" t="s">
        <v>1208</v>
      </c>
      <c r="R1988">
        <v>0</v>
      </c>
      <c r="S1988">
        <v>45.2</v>
      </c>
      <c r="T1988" t="s">
        <v>6621</v>
      </c>
    </row>
    <row r="1989" spans="1:20" x14ac:dyDescent="0.25">
      <c r="A1989" s="1" t="str">
        <f>HYPERLINK("https://vegkart.atlas.vegvesen.no/#/@802615.7,7790967.8,18/hva:hva%5B0%5D%5Bfilter%5D%5B0%5D%5Boperator%5D=%21%3D&amp;hva%5B0%5D%5Bfilter%5D%5B0%5D%5Btype_id%5D=4723&amp;hva%5B0%5D%5Bfilter%5D%5B0%5D%5Bverdi%5D=&amp;hva%5B0%5D%5Bid%5D=15/når:2016-11-07", "Vegkart")</f>
        <v>Vegkart</v>
      </c>
      <c r="B1989">
        <v>748330043</v>
      </c>
      <c r="C1989">
        <v>15</v>
      </c>
      <c r="D1989" t="s">
        <v>5814</v>
      </c>
      <c r="E1989">
        <v>4723</v>
      </c>
      <c r="F1989" t="s">
        <v>23479</v>
      </c>
      <c r="G1989">
        <v>1</v>
      </c>
      <c r="H1989" t="s">
        <v>2665</v>
      </c>
      <c r="J1989" t="s">
        <v>6582</v>
      </c>
      <c r="K1989" t="s">
        <v>450</v>
      </c>
      <c r="L1989" t="s">
        <v>80</v>
      </c>
      <c r="M1989" t="s">
        <v>105</v>
      </c>
      <c r="N1989" t="s">
        <v>6622</v>
      </c>
      <c r="O1989" t="s">
        <v>6623</v>
      </c>
      <c r="P1989" s="2" t="s">
        <v>37</v>
      </c>
      <c r="Q1989" t="s">
        <v>1208</v>
      </c>
      <c r="R1989">
        <v>0</v>
      </c>
      <c r="S1989">
        <v>50.78</v>
      </c>
      <c r="T1989" t="s">
        <v>6624</v>
      </c>
    </row>
    <row r="1990" spans="1:20" x14ac:dyDescent="0.25">
      <c r="A1990" s="1" t="str">
        <f>HYPERLINK("https://vegkart.atlas.vegvesen.no/#/@802593.6,7790959.4,18/hva:hva%5B0%5D%5Bfilter%5D%5B0%5D%5Boperator%5D=%21%3D&amp;hva%5B0%5D%5Bfilter%5D%5B0%5D%5Btype_id%5D=4723&amp;hva%5B0%5D%5Bfilter%5D%5B0%5D%5Bverdi%5D=&amp;hva%5B0%5D%5Bid%5D=15/når:2016-11-07", "Vegkart")</f>
        <v>Vegkart</v>
      </c>
      <c r="B1990">
        <v>748330044</v>
      </c>
      <c r="C1990">
        <v>15</v>
      </c>
      <c r="D1990" t="s">
        <v>5814</v>
      </c>
      <c r="E1990">
        <v>4723</v>
      </c>
      <c r="F1990" t="s">
        <v>23479</v>
      </c>
      <c r="G1990">
        <v>1</v>
      </c>
      <c r="H1990" t="s">
        <v>2665</v>
      </c>
      <c r="J1990" t="s">
        <v>6582</v>
      </c>
      <c r="K1990" t="s">
        <v>450</v>
      </c>
      <c r="L1990" t="s">
        <v>80</v>
      </c>
      <c r="M1990" t="s">
        <v>105</v>
      </c>
      <c r="N1990" t="s">
        <v>6625</v>
      </c>
      <c r="O1990" t="s">
        <v>6626</v>
      </c>
      <c r="P1990" s="2" t="s">
        <v>37</v>
      </c>
      <c r="Q1990" t="s">
        <v>1208</v>
      </c>
      <c r="R1990">
        <v>0</v>
      </c>
      <c r="S1990">
        <v>25.38</v>
      </c>
      <c r="T1990" t="s">
        <v>6627</v>
      </c>
    </row>
    <row r="1991" spans="1:20" x14ac:dyDescent="0.25">
      <c r="A1991" s="1" t="str">
        <f>HYPERLINK("https://vegkart.atlas.vegvesen.no/#/@802463.1,7790903.5,18/hva:hva%5B0%5D%5Bfilter%5D%5B0%5D%5Boperator%5D=%21%3D&amp;hva%5B0%5D%5Bfilter%5D%5B0%5D%5Btype_id%5D=4723&amp;hva%5B0%5D%5Bfilter%5D%5B0%5D%5Bverdi%5D=&amp;hva%5B0%5D%5Bid%5D=15/når:2016-11-07", "Vegkart")</f>
        <v>Vegkart</v>
      </c>
      <c r="B1991">
        <v>748330045</v>
      </c>
      <c r="C1991">
        <v>15</v>
      </c>
      <c r="D1991" t="s">
        <v>5814</v>
      </c>
      <c r="E1991">
        <v>4723</v>
      </c>
      <c r="F1991" t="s">
        <v>23479</v>
      </c>
      <c r="G1991">
        <v>1</v>
      </c>
      <c r="H1991" t="s">
        <v>2665</v>
      </c>
      <c r="J1991" t="s">
        <v>6582</v>
      </c>
      <c r="K1991" t="s">
        <v>450</v>
      </c>
      <c r="L1991" t="s">
        <v>80</v>
      </c>
      <c r="M1991" t="s">
        <v>105</v>
      </c>
      <c r="N1991" t="s">
        <v>6628</v>
      </c>
      <c r="O1991" t="s">
        <v>6629</v>
      </c>
      <c r="P1991" s="2" t="s">
        <v>37</v>
      </c>
      <c r="Q1991" t="s">
        <v>1208</v>
      </c>
      <c r="R1991">
        <v>0</v>
      </c>
      <c r="S1991">
        <v>314.62</v>
      </c>
      <c r="T1991" t="s">
        <v>6630</v>
      </c>
    </row>
    <row r="1992" spans="1:20" x14ac:dyDescent="0.25">
      <c r="A1992" s="1" t="str">
        <f>HYPERLINK("https://vegkart.atlas.vegvesen.no/#/@802263.2,7790774.9,18/hva:hva%5B0%5D%5Bfilter%5D%5B0%5D%5Boperator%5D=%21%3D&amp;hva%5B0%5D%5Bfilter%5D%5B0%5D%5Btype_id%5D=4723&amp;hva%5B0%5D%5Bfilter%5D%5B0%5D%5Bverdi%5D=&amp;hva%5B0%5D%5Bid%5D=15/når:2016-11-07", "Vegkart")</f>
        <v>Vegkart</v>
      </c>
      <c r="B1992">
        <v>748330046</v>
      </c>
      <c r="C1992">
        <v>15</v>
      </c>
      <c r="D1992" t="s">
        <v>5814</v>
      </c>
      <c r="E1992">
        <v>4723</v>
      </c>
      <c r="F1992" t="s">
        <v>23479</v>
      </c>
      <c r="G1992">
        <v>1</v>
      </c>
      <c r="H1992" t="s">
        <v>2665</v>
      </c>
      <c r="J1992" t="s">
        <v>6582</v>
      </c>
      <c r="K1992" t="s">
        <v>450</v>
      </c>
      <c r="L1992" t="s">
        <v>80</v>
      </c>
      <c r="M1992" t="s">
        <v>105</v>
      </c>
      <c r="N1992" t="s">
        <v>6631</v>
      </c>
      <c r="O1992" t="s">
        <v>6632</v>
      </c>
      <c r="P1992" s="2" t="s">
        <v>37</v>
      </c>
      <c r="Q1992" t="s">
        <v>1208</v>
      </c>
      <c r="R1992">
        <v>0</v>
      </c>
      <c r="S1992">
        <v>38.369999999999997</v>
      </c>
      <c r="T1992" t="s">
        <v>6633</v>
      </c>
    </row>
    <row r="1993" spans="1:20" x14ac:dyDescent="0.25">
      <c r="A1993" s="1" t="str">
        <f>HYPERLINK("https://vegkart.atlas.vegvesen.no/#/@802171.4,7790699.8,18/hva:hva%5B0%5D%5Bfilter%5D%5B0%5D%5Boperator%5D=%21%3D&amp;hva%5B0%5D%5Bfilter%5D%5B0%5D%5Btype_id%5D=4723&amp;hva%5B0%5D%5Bfilter%5D%5B0%5D%5Bverdi%5D=&amp;hva%5B0%5D%5Bid%5D=15/når:2016-11-07", "Vegkart")</f>
        <v>Vegkart</v>
      </c>
      <c r="B1993">
        <v>748330047</v>
      </c>
      <c r="C1993">
        <v>15</v>
      </c>
      <c r="D1993" t="s">
        <v>5814</v>
      </c>
      <c r="E1993">
        <v>4723</v>
      </c>
      <c r="F1993" t="s">
        <v>23479</v>
      </c>
      <c r="G1993">
        <v>1</v>
      </c>
      <c r="H1993" t="s">
        <v>2665</v>
      </c>
      <c r="J1993" t="s">
        <v>6582</v>
      </c>
      <c r="K1993" t="s">
        <v>450</v>
      </c>
      <c r="L1993" t="s">
        <v>80</v>
      </c>
      <c r="M1993" t="s">
        <v>105</v>
      </c>
      <c r="N1993" t="s">
        <v>6634</v>
      </c>
      <c r="O1993" t="s">
        <v>6635</v>
      </c>
      <c r="P1993" s="2" t="s">
        <v>37</v>
      </c>
      <c r="Q1993" t="s">
        <v>1208</v>
      </c>
      <c r="R1993">
        <v>0</v>
      </c>
      <c r="S1993">
        <v>255.96</v>
      </c>
      <c r="T1993" t="s">
        <v>6636</v>
      </c>
    </row>
    <row r="1994" spans="1:20" x14ac:dyDescent="0.25">
      <c r="A1994" s="1" t="str">
        <f>HYPERLINK("https://vegkart.atlas.vegvesen.no/#/@802108.2,7790602.8,18/hva:hva%5B0%5D%5Bfilter%5D%5B0%5D%5Boperator%5D=%21%3D&amp;hva%5B0%5D%5Bfilter%5D%5B0%5D%5Btype_id%5D=4723&amp;hva%5B0%5D%5Bfilter%5D%5B0%5D%5Bverdi%5D=&amp;hva%5B0%5D%5Bid%5D=15/når:2016-11-07", "Vegkart")</f>
        <v>Vegkart</v>
      </c>
      <c r="B1994">
        <v>748330048</v>
      </c>
      <c r="C1994">
        <v>15</v>
      </c>
      <c r="D1994" t="s">
        <v>5814</v>
      </c>
      <c r="E1994">
        <v>4723</v>
      </c>
      <c r="F1994" t="s">
        <v>23479</v>
      </c>
      <c r="G1994">
        <v>1</v>
      </c>
      <c r="H1994" t="s">
        <v>2665</v>
      </c>
      <c r="J1994" t="s">
        <v>6582</v>
      </c>
      <c r="K1994" t="s">
        <v>450</v>
      </c>
      <c r="L1994" t="s">
        <v>80</v>
      </c>
      <c r="M1994" t="s">
        <v>105</v>
      </c>
      <c r="N1994" t="s">
        <v>6637</v>
      </c>
      <c r="O1994" t="s">
        <v>6638</v>
      </c>
      <c r="P1994" s="2" t="s">
        <v>37</v>
      </c>
      <c r="Q1994" t="s">
        <v>1208</v>
      </c>
      <c r="R1994">
        <v>0</v>
      </c>
      <c r="S1994">
        <v>188.72</v>
      </c>
      <c r="T1994" t="s">
        <v>6639</v>
      </c>
    </row>
    <row r="1995" spans="1:20" x14ac:dyDescent="0.25">
      <c r="A1995" s="1" t="str">
        <f>HYPERLINK("https://vegkart.atlas.vegvesen.no/#/@818546.5,7784877.2,18/hva:hva%5B0%5D%5Bfilter%5D%5B0%5D%5Boperator%5D=%21%3D&amp;hva%5B0%5D%5Bfilter%5D%5B0%5D%5Btype_id%5D=4723&amp;hva%5B0%5D%5Bfilter%5D%5B0%5D%5Bverdi%5D=&amp;hva%5B0%5D%5Bid%5D=15/når:2016-10-28", "Vegkart")</f>
        <v>Vegkart</v>
      </c>
      <c r="B1995">
        <v>748448708</v>
      </c>
      <c r="C1995">
        <v>15</v>
      </c>
      <c r="D1995" t="s">
        <v>5814</v>
      </c>
      <c r="E1995">
        <v>4723</v>
      </c>
      <c r="F1995" t="s">
        <v>23479</v>
      </c>
      <c r="G1995">
        <v>1</v>
      </c>
      <c r="H1995" t="s">
        <v>6640</v>
      </c>
      <c r="J1995" t="s">
        <v>6582</v>
      </c>
      <c r="K1995" t="s">
        <v>450</v>
      </c>
      <c r="L1995" t="s">
        <v>80</v>
      </c>
      <c r="M1995" t="s">
        <v>105</v>
      </c>
      <c r="N1995" t="s">
        <v>6641</v>
      </c>
      <c r="O1995" t="s">
        <v>6642</v>
      </c>
      <c r="P1995" s="2" t="s">
        <v>37</v>
      </c>
      <c r="Q1995" t="s">
        <v>1208</v>
      </c>
      <c r="R1995">
        <v>7.0000000000000007E-2</v>
      </c>
      <c r="S1995">
        <v>6.98</v>
      </c>
      <c r="T1995" t="s">
        <v>6643</v>
      </c>
    </row>
    <row r="1996" spans="1:20" x14ac:dyDescent="0.25">
      <c r="A1996" s="1" t="str">
        <f>HYPERLINK("https://vegkart.atlas.vegvesen.no/#/@262940.4,6648120.9,18/hva:hva%5B0%5D%5Bfilter%5D%5B0%5D%5Boperator%5D=%21%3D&amp;hva%5B0%5D%5Bfilter%5D%5B0%5D%5Btype_id%5D=4723&amp;hva%5B0%5D%5Bfilter%5D%5B0%5D%5Bverdi%5D=&amp;hva%5B0%5D%5Bid%5D=15/når:2025-08-14", "Vegkart")</f>
        <v>Vegkart</v>
      </c>
      <c r="B1996">
        <v>759078423</v>
      </c>
      <c r="C1996">
        <v>15</v>
      </c>
      <c r="D1996" t="s">
        <v>5814</v>
      </c>
      <c r="E1996">
        <v>4723</v>
      </c>
      <c r="F1996" t="s">
        <v>23479</v>
      </c>
      <c r="G1996">
        <v>2</v>
      </c>
      <c r="H1996" t="s">
        <v>6644</v>
      </c>
      <c r="J1996" t="s">
        <v>6582</v>
      </c>
      <c r="K1996" t="s">
        <v>335</v>
      </c>
      <c r="L1996" t="s">
        <v>370</v>
      </c>
      <c r="M1996" t="s">
        <v>6645</v>
      </c>
      <c r="N1996" t="s">
        <v>6646</v>
      </c>
      <c r="O1996" t="s">
        <v>6647</v>
      </c>
      <c r="P1996" s="2" t="s">
        <v>165</v>
      </c>
      <c r="Q1996" t="s">
        <v>1012</v>
      </c>
      <c r="R1996">
        <v>8.6300000000000008</v>
      </c>
      <c r="S1996">
        <v>8.67</v>
      </c>
      <c r="T1996" t="s">
        <v>167</v>
      </c>
    </row>
    <row r="1997" spans="1:20" x14ac:dyDescent="0.25">
      <c r="A1997" s="1" t="str">
        <f>HYPERLINK("https://vegkart.atlas.vegvesen.no/#/@44290.8,6964977.6,18/hva:hva%5B0%5D%5Bfilter%5D%5B0%5D%5Boperator%5D=%21%3D&amp;hva%5B0%5D%5Bfilter%5D%5B0%5D%5Btype_id%5D=4723&amp;hva%5B0%5D%5Bfilter%5D%5B0%5D%5Bverdi%5D=&amp;hva%5B0%5D%5Bid%5D=15/når:2017-02-22", "Vegkart")</f>
        <v>Vegkart</v>
      </c>
      <c r="B1997">
        <v>763604675</v>
      </c>
      <c r="C1997">
        <v>15</v>
      </c>
      <c r="D1997" t="s">
        <v>5814</v>
      </c>
      <c r="E1997">
        <v>4723</v>
      </c>
      <c r="F1997" t="s">
        <v>23479</v>
      </c>
      <c r="G1997">
        <v>1</v>
      </c>
      <c r="H1997" t="s">
        <v>6648</v>
      </c>
      <c r="J1997" t="s">
        <v>6649</v>
      </c>
      <c r="K1997" t="s">
        <v>32</v>
      </c>
      <c r="L1997" t="s">
        <v>113</v>
      </c>
      <c r="M1997" t="s">
        <v>6650</v>
      </c>
      <c r="N1997" t="s">
        <v>6651</v>
      </c>
      <c r="O1997" t="s">
        <v>6652</v>
      </c>
      <c r="P1997" s="2" t="s">
        <v>165</v>
      </c>
      <c r="Q1997" t="s">
        <v>641</v>
      </c>
      <c r="R1997">
        <v>0</v>
      </c>
      <c r="S1997">
        <v>192.66</v>
      </c>
      <c r="T1997" t="s">
        <v>167</v>
      </c>
    </row>
    <row r="1998" spans="1:20" x14ac:dyDescent="0.25">
      <c r="A1998" s="1" t="str">
        <f>HYPERLINK("https://vegkart.atlas.vegvesen.no/#/@1076558.3,7802042.5,18/hva:hva%5B0%5D%5Bfilter%5D%5B0%5D%5Boperator%5D=%21%3D&amp;hva%5B0%5D%5Bfilter%5D%5B0%5D%5Btype_id%5D=4723&amp;hva%5B0%5D%5Bfilter%5D%5B0%5D%5Bverdi%5D=&amp;hva%5B0%5D%5Bid%5D=15/når:2018-09-04", "Vegkart")</f>
        <v>Vegkart</v>
      </c>
      <c r="B1998">
        <v>764643347</v>
      </c>
      <c r="C1998">
        <v>15</v>
      </c>
      <c r="D1998" t="s">
        <v>5814</v>
      </c>
      <c r="E1998">
        <v>4723</v>
      </c>
      <c r="F1998" t="s">
        <v>23479</v>
      </c>
      <c r="G1998">
        <v>2</v>
      </c>
      <c r="H1998" t="s">
        <v>6653</v>
      </c>
      <c r="J1998" t="s">
        <v>6649</v>
      </c>
      <c r="K1998" t="s">
        <v>450</v>
      </c>
      <c r="L1998" t="s">
        <v>80</v>
      </c>
      <c r="M1998" t="s">
        <v>1571</v>
      </c>
      <c r="N1998" t="s">
        <v>6654</v>
      </c>
      <c r="O1998" t="s">
        <v>6655</v>
      </c>
      <c r="P1998" s="2" t="s">
        <v>37</v>
      </c>
      <c r="Q1998" t="s">
        <v>1208</v>
      </c>
      <c r="R1998">
        <v>0</v>
      </c>
      <c r="S1998">
        <v>901.21</v>
      </c>
      <c r="T1998" t="s">
        <v>6656</v>
      </c>
    </row>
    <row r="1999" spans="1:20" x14ac:dyDescent="0.25">
      <c r="A1999" s="1" t="str">
        <f>HYPERLINK("https://vegkart.atlas.vegvesen.no/#/@1076283.2,7802216.3,18/hva:hva%5B0%5D%5Bfilter%5D%5B0%5D%5Boperator%5D=%21%3D&amp;hva%5B0%5D%5Bfilter%5D%5B0%5D%5Btype_id%5D=4723&amp;hva%5B0%5D%5Bfilter%5D%5B0%5D%5Bverdi%5D=&amp;hva%5B0%5D%5Bid%5D=15/når:2017-03-16", "Vegkart")</f>
        <v>Vegkart</v>
      </c>
      <c r="B1999">
        <v>764643348</v>
      </c>
      <c r="C1999">
        <v>15</v>
      </c>
      <c r="D1999" t="s">
        <v>5814</v>
      </c>
      <c r="E1999">
        <v>4723</v>
      </c>
      <c r="F1999" t="s">
        <v>23479</v>
      </c>
      <c r="G1999">
        <v>1</v>
      </c>
      <c r="H1999" t="s">
        <v>6657</v>
      </c>
      <c r="J1999" t="s">
        <v>6649</v>
      </c>
      <c r="K1999" t="s">
        <v>450</v>
      </c>
      <c r="L1999" t="s">
        <v>80</v>
      </c>
      <c r="M1999" t="s">
        <v>6658</v>
      </c>
      <c r="N1999" t="s">
        <v>6659</v>
      </c>
      <c r="O1999" t="s">
        <v>6660</v>
      </c>
      <c r="P1999" s="2" t="s">
        <v>37</v>
      </c>
      <c r="Q1999" t="s">
        <v>1208</v>
      </c>
      <c r="R1999">
        <v>0</v>
      </c>
      <c r="S1999">
        <v>417.3</v>
      </c>
      <c r="T1999" t="s">
        <v>6661</v>
      </c>
    </row>
    <row r="2000" spans="1:20" x14ac:dyDescent="0.25">
      <c r="A2000" s="1" t="str">
        <f>HYPERLINK("https://vegkart.atlas.vegvesen.no/#/@1076245.7,7802286.2,18/hva:hva%5B0%5D%5Bfilter%5D%5B0%5D%5Boperator%5D=%21%3D&amp;hva%5B0%5D%5Bfilter%5D%5B0%5D%5Btype_id%5D=4723&amp;hva%5B0%5D%5Bfilter%5D%5B0%5D%5Bverdi%5D=&amp;hva%5B0%5D%5Bid%5D=15/når:2017-03-16", "Vegkart")</f>
        <v>Vegkart</v>
      </c>
      <c r="B2000">
        <v>764643349</v>
      </c>
      <c r="C2000">
        <v>15</v>
      </c>
      <c r="D2000" t="s">
        <v>5814</v>
      </c>
      <c r="E2000">
        <v>4723</v>
      </c>
      <c r="F2000" t="s">
        <v>23479</v>
      </c>
      <c r="G2000">
        <v>1</v>
      </c>
      <c r="H2000" t="s">
        <v>6657</v>
      </c>
      <c r="J2000" t="s">
        <v>6649</v>
      </c>
      <c r="K2000" t="s">
        <v>450</v>
      </c>
      <c r="L2000" t="s">
        <v>80</v>
      </c>
      <c r="M2000" t="s">
        <v>105</v>
      </c>
      <c r="N2000" t="s">
        <v>6662</v>
      </c>
      <c r="O2000" t="s">
        <v>6663</v>
      </c>
      <c r="P2000" s="2" t="s">
        <v>37</v>
      </c>
      <c r="Q2000" t="s">
        <v>1208</v>
      </c>
      <c r="R2000">
        <v>0</v>
      </c>
      <c r="S2000">
        <v>33.619999999999997</v>
      </c>
      <c r="T2000" t="s">
        <v>6664</v>
      </c>
    </row>
    <row r="2001" spans="1:20" x14ac:dyDescent="0.25">
      <c r="A2001" s="1" t="str">
        <f>HYPERLINK("https://vegkart.atlas.vegvesen.no/#/@1076245.7,7802286.2,18/hva:hva%5B0%5D%5Bfilter%5D%5B0%5D%5Boperator%5D=%21%3D&amp;hva%5B0%5D%5Bfilter%5D%5B0%5D%5Btype_id%5D=4723&amp;hva%5B0%5D%5Bfilter%5D%5B0%5D%5Bverdi%5D=&amp;hva%5B0%5D%5Bid%5D=15/når:2022-05-25", "Vegkart")</f>
        <v>Vegkart</v>
      </c>
      <c r="B2001">
        <v>764643350</v>
      </c>
      <c r="C2001">
        <v>15</v>
      </c>
      <c r="D2001" t="s">
        <v>5814</v>
      </c>
      <c r="E2001">
        <v>4723</v>
      </c>
      <c r="F2001" t="s">
        <v>23479</v>
      </c>
      <c r="G2001">
        <v>2</v>
      </c>
      <c r="H2001" t="s">
        <v>6665</v>
      </c>
      <c r="J2001" t="s">
        <v>6649</v>
      </c>
      <c r="K2001" t="s">
        <v>450</v>
      </c>
      <c r="L2001" t="s">
        <v>80</v>
      </c>
      <c r="M2001" t="s">
        <v>105</v>
      </c>
      <c r="N2001" t="s">
        <v>6666</v>
      </c>
      <c r="O2001" t="s">
        <v>6667</v>
      </c>
      <c r="P2001" s="2" t="s">
        <v>37</v>
      </c>
      <c r="Q2001" t="s">
        <v>1208</v>
      </c>
      <c r="R2001">
        <v>0.01</v>
      </c>
      <c r="S2001">
        <v>78.61</v>
      </c>
      <c r="T2001" t="s">
        <v>6668</v>
      </c>
    </row>
    <row r="2002" spans="1:20" x14ac:dyDescent="0.25">
      <c r="A2002" s="1" t="str">
        <f>HYPERLINK("https://vegkart.atlas.vegvesen.no/#/@-39124.6,6581864.1,18/hva:hva%5B0%5D%5Bfilter%5D%5B0%5D%5Boperator%5D=%21%3D&amp;hva%5B0%5D%5Bfilter%5D%5B0%5D%5Btype_id%5D=4723&amp;hva%5B0%5D%5Bfilter%5D%5B0%5D%5Bverdi%5D=&amp;hva%5B0%5D%5Bid%5D=15/når:2017-03-20", "Vegkart")</f>
        <v>Vegkart</v>
      </c>
      <c r="B2002">
        <v>764742067</v>
      </c>
      <c r="C2002">
        <v>15</v>
      </c>
      <c r="D2002" t="s">
        <v>5814</v>
      </c>
      <c r="E2002">
        <v>4723</v>
      </c>
      <c r="F2002" t="s">
        <v>23479</v>
      </c>
      <c r="G2002">
        <v>1</v>
      </c>
      <c r="H2002" t="s">
        <v>1358</v>
      </c>
      <c r="J2002" t="s">
        <v>6649</v>
      </c>
      <c r="K2002" t="s">
        <v>170</v>
      </c>
      <c r="L2002" t="s">
        <v>6669</v>
      </c>
      <c r="M2002" t="s">
        <v>6670</v>
      </c>
      <c r="N2002" t="s">
        <v>6671</v>
      </c>
      <c r="O2002" t="s">
        <v>6672</v>
      </c>
      <c r="P2002" s="2" t="s">
        <v>67</v>
      </c>
      <c r="Q2002" t="s">
        <v>68</v>
      </c>
      <c r="R2002">
        <v>42.9</v>
      </c>
      <c r="S2002">
        <v>55.57</v>
      </c>
      <c r="T2002" t="s">
        <v>6673</v>
      </c>
    </row>
    <row r="2003" spans="1:20" x14ac:dyDescent="0.25">
      <c r="A2003" s="1" t="str">
        <f>HYPERLINK("https://vegkart.atlas.vegvesen.no/#/@-39094.4,6581898.2,18/hva:hva%5B0%5D%5Bfilter%5D%5B0%5D%5Boperator%5D=%21%3D&amp;hva%5B0%5D%5Bfilter%5D%5B0%5D%5Btype_id%5D=4723&amp;hva%5B0%5D%5Bfilter%5D%5B0%5D%5Bverdi%5D=&amp;hva%5B0%5D%5Bid%5D=15/når:2017-03-20", "Vegkart")</f>
        <v>Vegkart</v>
      </c>
      <c r="B2003">
        <v>764742068</v>
      </c>
      <c r="C2003">
        <v>15</v>
      </c>
      <c r="D2003" t="s">
        <v>5814</v>
      </c>
      <c r="E2003">
        <v>4723</v>
      </c>
      <c r="F2003" t="s">
        <v>23479</v>
      </c>
      <c r="G2003">
        <v>1</v>
      </c>
      <c r="H2003" t="s">
        <v>1358</v>
      </c>
      <c r="J2003" t="s">
        <v>6649</v>
      </c>
      <c r="K2003" t="s">
        <v>170</v>
      </c>
      <c r="L2003" t="s">
        <v>6674</v>
      </c>
      <c r="M2003" t="s">
        <v>6675</v>
      </c>
      <c r="N2003" t="s">
        <v>6676</v>
      </c>
      <c r="O2003" t="s">
        <v>6677</v>
      </c>
      <c r="P2003" s="2" t="s">
        <v>67</v>
      </c>
      <c r="Q2003" t="s">
        <v>68</v>
      </c>
      <c r="R2003">
        <v>40.51</v>
      </c>
      <c r="S2003">
        <v>53.75</v>
      </c>
      <c r="T2003" t="s">
        <v>6678</v>
      </c>
    </row>
    <row r="2004" spans="1:20" x14ac:dyDescent="0.25">
      <c r="A2004" s="1" t="str">
        <f>HYPERLINK("https://vegkart.atlas.vegvesen.no/#/@289961.4,6659196.2,18/hva:hva%5B0%5D%5Bfilter%5D%5B0%5D%5Boperator%5D=%21%3D&amp;hva%5B0%5D%5Bfilter%5D%5B0%5D%5Btype_id%5D=4723&amp;hva%5B0%5D%5Bfilter%5D%5B0%5D%5Bverdi%5D=&amp;hva%5B0%5D%5Bid%5D=15/når:2017-03-29", "Vegkart")</f>
        <v>Vegkart</v>
      </c>
      <c r="B2004">
        <v>765056030</v>
      </c>
      <c r="C2004">
        <v>15</v>
      </c>
      <c r="D2004" t="s">
        <v>5814</v>
      </c>
      <c r="E2004">
        <v>4723</v>
      </c>
      <c r="F2004" t="s">
        <v>23479</v>
      </c>
      <c r="G2004">
        <v>1</v>
      </c>
      <c r="H2004" t="s">
        <v>6679</v>
      </c>
      <c r="J2004" t="s">
        <v>6680</v>
      </c>
      <c r="K2004" t="s">
        <v>132</v>
      </c>
      <c r="L2004" t="s">
        <v>33</v>
      </c>
      <c r="M2004" t="s">
        <v>6681</v>
      </c>
      <c r="N2004" t="s">
        <v>6682</v>
      </c>
      <c r="O2004" t="s">
        <v>6683</v>
      </c>
      <c r="P2004" s="2" t="s">
        <v>67</v>
      </c>
      <c r="Q2004" t="s">
        <v>68</v>
      </c>
      <c r="R2004">
        <v>26.8</v>
      </c>
      <c r="S2004">
        <v>26.81</v>
      </c>
      <c r="T2004" t="s">
        <v>6684</v>
      </c>
    </row>
    <row r="2005" spans="1:20" x14ac:dyDescent="0.25">
      <c r="A2005" s="1" t="str">
        <f>HYPERLINK("https://vegkart.atlas.vegvesen.no/#/@246917.6,6642442.5,18/hva:hva%5B0%5D%5Bfilter%5D%5B0%5D%5Boperator%5D=%21%3D&amp;hva%5B0%5D%5Bfilter%5D%5B0%5D%5Btype_id%5D=4723&amp;hva%5B0%5D%5Bfilter%5D%5B0%5D%5Bverdi%5D=&amp;hva%5B0%5D%5Bid%5D=15/når:2017-04-11", "Vegkart")</f>
        <v>Vegkart</v>
      </c>
      <c r="B2005">
        <v>775495068</v>
      </c>
      <c r="C2005">
        <v>15</v>
      </c>
      <c r="D2005" t="s">
        <v>5814</v>
      </c>
      <c r="E2005">
        <v>4723</v>
      </c>
      <c r="F2005" t="s">
        <v>23479</v>
      </c>
      <c r="G2005">
        <v>1</v>
      </c>
      <c r="H2005" t="s">
        <v>6685</v>
      </c>
      <c r="J2005" t="s">
        <v>6680</v>
      </c>
      <c r="K2005" t="s">
        <v>132</v>
      </c>
      <c r="L2005" t="s">
        <v>33</v>
      </c>
      <c r="M2005" t="s">
        <v>6042</v>
      </c>
      <c r="N2005" t="s">
        <v>6686</v>
      </c>
      <c r="O2005" t="s">
        <v>6687</v>
      </c>
      <c r="P2005" s="2" t="s">
        <v>165</v>
      </c>
      <c r="Q2005" t="s">
        <v>641</v>
      </c>
      <c r="R2005">
        <v>0</v>
      </c>
      <c r="S2005">
        <v>176.66</v>
      </c>
      <c r="T2005" t="s">
        <v>167</v>
      </c>
    </row>
    <row r="2006" spans="1:20" x14ac:dyDescent="0.25">
      <c r="A2006" s="1" t="str">
        <f>HYPERLINK("https://vegkart.atlas.vegvesen.no/#/@85689.6,6465723.3,18/hva:hva%5B0%5D%5Bfilter%5D%5B0%5D%5Boperator%5D=%21%3D&amp;hva%5B0%5D%5Bfilter%5D%5B0%5D%5Btype_id%5D=4723&amp;hva%5B0%5D%5Bfilter%5D%5B0%5D%5Bverdi%5D=&amp;hva%5B0%5D%5Bid%5D=15/når:2017-05-10", "Vegkart")</f>
        <v>Vegkart</v>
      </c>
      <c r="B2006">
        <v>777507446</v>
      </c>
      <c r="C2006">
        <v>15</v>
      </c>
      <c r="D2006" t="s">
        <v>5814</v>
      </c>
      <c r="E2006">
        <v>4723</v>
      </c>
      <c r="F2006" t="s">
        <v>23479</v>
      </c>
      <c r="G2006">
        <v>1</v>
      </c>
      <c r="H2006" t="s">
        <v>6688</v>
      </c>
      <c r="J2006" t="s">
        <v>6680</v>
      </c>
      <c r="K2006" t="s">
        <v>86</v>
      </c>
      <c r="L2006" t="s">
        <v>80</v>
      </c>
      <c r="M2006" t="s">
        <v>81</v>
      </c>
      <c r="N2006" t="s">
        <v>6689</v>
      </c>
      <c r="O2006" t="s">
        <v>6690</v>
      </c>
      <c r="P2006" s="2" t="s">
        <v>165</v>
      </c>
      <c r="Q2006" t="s">
        <v>641</v>
      </c>
      <c r="R2006">
        <v>0</v>
      </c>
      <c r="S2006">
        <v>69.03</v>
      </c>
      <c r="T2006" t="s">
        <v>167</v>
      </c>
    </row>
    <row r="2007" spans="1:20" x14ac:dyDescent="0.25">
      <c r="A2007" s="1" t="str">
        <f>HYPERLINK("https://vegkart.atlas.vegvesen.no/#/@79715.7,6556799.9,18/hva:hva%5B0%5D%5Bfilter%5D%5B0%5D%5Boperator%5D=%21%3D&amp;hva%5B0%5D%5Bfilter%5D%5B0%5D%5Btype_id%5D=4723&amp;hva%5B0%5D%5Bfilter%5D%5B0%5D%5Bverdi%5D=&amp;hva%5B0%5D%5Bid%5D=15/når:2017-08-17", "Vegkart")</f>
        <v>Vegkart</v>
      </c>
      <c r="B2007">
        <v>818821223</v>
      </c>
      <c r="C2007">
        <v>15</v>
      </c>
      <c r="D2007" t="s">
        <v>5814</v>
      </c>
      <c r="E2007">
        <v>4723</v>
      </c>
      <c r="F2007" t="s">
        <v>23479</v>
      </c>
      <c r="G2007">
        <v>1</v>
      </c>
      <c r="H2007" t="s">
        <v>6691</v>
      </c>
      <c r="J2007" t="s">
        <v>6692</v>
      </c>
      <c r="K2007" t="s">
        <v>86</v>
      </c>
      <c r="L2007" t="s">
        <v>113</v>
      </c>
      <c r="M2007" t="s">
        <v>667</v>
      </c>
      <c r="N2007" t="s">
        <v>6693</v>
      </c>
      <c r="O2007" t="s">
        <v>6694</v>
      </c>
      <c r="P2007" s="2" t="s">
        <v>165</v>
      </c>
      <c r="Q2007" t="s">
        <v>641</v>
      </c>
      <c r="R2007">
        <v>0</v>
      </c>
      <c r="S2007">
        <v>194.4</v>
      </c>
      <c r="T2007" t="s">
        <v>167</v>
      </c>
    </row>
    <row r="2008" spans="1:20" x14ac:dyDescent="0.25">
      <c r="A2008" s="1" t="str">
        <f>HYPERLINK("https://vegkart.atlas.vegvesen.no/#/@82668.4,6516712.0,18/hva:hva%5B0%5D%5Bfilter%5D%5B0%5D%5Boperator%5D=%21%3D&amp;hva%5B0%5D%5Bfilter%5D%5B0%5D%5Btype_id%5D=4723&amp;hva%5B0%5D%5Bfilter%5D%5B0%5D%5Bverdi%5D=&amp;hva%5B0%5D%5Bid%5D=15/når:2017-08-17", "Vegkart")</f>
        <v>Vegkart</v>
      </c>
      <c r="B2008">
        <v>818821281</v>
      </c>
      <c r="C2008">
        <v>15</v>
      </c>
      <c r="D2008" t="s">
        <v>5814</v>
      </c>
      <c r="E2008">
        <v>4723</v>
      </c>
      <c r="F2008" t="s">
        <v>23479</v>
      </c>
      <c r="G2008">
        <v>1</v>
      </c>
      <c r="H2008" t="s">
        <v>6691</v>
      </c>
      <c r="J2008" t="s">
        <v>6692</v>
      </c>
      <c r="K2008" t="s">
        <v>86</v>
      </c>
      <c r="L2008" t="s">
        <v>33</v>
      </c>
      <c r="M2008" t="s">
        <v>86</v>
      </c>
      <c r="N2008" t="s">
        <v>6695</v>
      </c>
      <c r="O2008" t="s">
        <v>6696</v>
      </c>
      <c r="P2008" s="2" t="s">
        <v>37</v>
      </c>
      <c r="Q2008" t="s">
        <v>1208</v>
      </c>
      <c r="R2008">
        <v>0</v>
      </c>
      <c r="S2008">
        <v>0.36</v>
      </c>
      <c r="T2008" t="s">
        <v>6697</v>
      </c>
    </row>
    <row r="2009" spans="1:20" x14ac:dyDescent="0.25">
      <c r="A2009" s="1" t="str">
        <f>HYPERLINK("https://vegkart.atlas.vegvesen.no/#/@-30292.5,6743217.7,18/hva:hva%5B0%5D%5Bfilter%5D%5B0%5D%5Boperator%5D=%21%3D&amp;hva%5B0%5D%5Bfilter%5D%5B0%5D%5Btype_id%5D=4723&amp;hva%5B0%5D%5Bfilter%5D%5B0%5D%5Bverdi%5D=&amp;hva%5B0%5D%5Bid%5D=15/når:2020-11-03", "Vegkart")</f>
        <v>Vegkart</v>
      </c>
      <c r="B2009">
        <v>821758720</v>
      </c>
      <c r="C2009">
        <v>15</v>
      </c>
      <c r="D2009" t="s">
        <v>5814</v>
      </c>
      <c r="E2009">
        <v>4723</v>
      </c>
      <c r="F2009" t="s">
        <v>23479</v>
      </c>
      <c r="G2009">
        <v>4</v>
      </c>
      <c r="H2009" t="s">
        <v>6698</v>
      </c>
      <c r="J2009" t="s">
        <v>6692</v>
      </c>
      <c r="K2009" t="s">
        <v>21</v>
      </c>
      <c r="L2009" t="s">
        <v>6669</v>
      </c>
      <c r="M2009" t="s">
        <v>6699</v>
      </c>
      <c r="N2009" t="s">
        <v>6700</v>
      </c>
      <c r="O2009" t="s">
        <v>6701</v>
      </c>
      <c r="P2009" s="2" t="s">
        <v>165</v>
      </c>
      <c r="Q2009" t="s">
        <v>1012</v>
      </c>
      <c r="R2009">
        <v>5.53</v>
      </c>
      <c r="S2009">
        <v>5.72</v>
      </c>
      <c r="T2009" t="s">
        <v>167</v>
      </c>
    </row>
    <row r="2010" spans="1:20" x14ac:dyDescent="0.25">
      <c r="A2010" s="1" t="str">
        <f>HYPERLINK("https://vegkart.atlas.vegvesen.no/#/@-30293.4,6743221.5,18/hva:hva%5B0%5D%5Bfilter%5D%5B0%5D%5Boperator%5D=%21%3D&amp;hva%5B0%5D%5Bfilter%5D%5B0%5D%5Btype_id%5D=4723&amp;hva%5B0%5D%5Bfilter%5D%5B0%5D%5Bverdi%5D=&amp;hva%5B0%5D%5Bid%5D=15/når:2017-09-06", "Vegkart")</f>
        <v>Vegkart</v>
      </c>
      <c r="B2010">
        <v>821758721</v>
      </c>
      <c r="C2010">
        <v>15</v>
      </c>
      <c r="D2010" t="s">
        <v>5814</v>
      </c>
      <c r="E2010">
        <v>4723</v>
      </c>
      <c r="F2010" t="s">
        <v>23479</v>
      </c>
      <c r="G2010">
        <v>1</v>
      </c>
      <c r="H2010" t="s">
        <v>6702</v>
      </c>
      <c r="J2010" t="s">
        <v>6692</v>
      </c>
      <c r="K2010" t="s">
        <v>21</v>
      </c>
      <c r="L2010" t="s">
        <v>33</v>
      </c>
      <c r="M2010" t="s">
        <v>3091</v>
      </c>
      <c r="N2010" t="s">
        <v>6703</v>
      </c>
      <c r="O2010" t="s">
        <v>6704</v>
      </c>
      <c r="P2010" s="2" t="s">
        <v>165</v>
      </c>
      <c r="Q2010" t="s">
        <v>1012</v>
      </c>
      <c r="R2010">
        <v>2.3199999999999998</v>
      </c>
      <c r="S2010">
        <v>2.3199999999999998</v>
      </c>
      <c r="T2010" t="s">
        <v>167</v>
      </c>
    </row>
    <row r="2011" spans="1:20" x14ac:dyDescent="0.25">
      <c r="A2011" s="1" t="str">
        <f>HYPERLINK("https://vegkart.atlas.vegvesen.no/#/@-30295.6,6743224.2,18/hva:hva%5B0%5D%5Bfilter%5D%5B0%5D%5Boperator%5D=%21%3D&amp;hva%5B0%5D%5Bfilter%5D%5B0%5D%5Btype_id%5D=4723&amp;hva%5B0%5D%5Bfilter%5D%5B0%5D%5Bverdi%5D=&amp;hva%5B0%5D%5Bid%5D=15/når:2017-09-06", "Vegkart")</f>
        <v>Vegkart</v>
      </c>
      <c r="B2011">
        <v>821758722</v>
      </c>
      <c r="C2011">
        <v>15</v>
      </c>
      <c r="D2011" t="s">
        <v>5814</v>
      </c>
      <c r="E2011">
        <v>4723</v>
      </c>
      <c r="F2011" t="s">
        <v>23479</v>
      </c>
      <c r="G2011">
        <v>1</v>
      </c>
      <c r="H2011" t="s">
        <v>6702</v>
      </c>
      <c r="J2011" t="s">
        <v>6692</v>
      </c>
      <c r="K2011" t="s">
        <v>21</v>
      </c>
      <c r="L2011" t="s">
        <v>33</v>
      </c>
      <c r="M2011" t="s">
        <v>3091</v>
      </c>
      <c r="N2011" t="s">
        <v>6705</v>
      </c>
      <c r="O2011" t="s">
        <v>6706</v>
      </c>
      <c r="P2011" s="2" t="s">
        <v>37</v>
      </c>
      <c r="Q2011" t="s">
        <v>1208</v>
      </c>
      <c r="R2011">
        <v>4.5999999999999996</v>
      </c>
      <c r="S2011">
        <v>4.92</v>
      </c>
      <c r="T2011" t="s">
        <v>6707</v>
      </c>
    </row>
    <row r="2012" spans="1:20" x14ac:dyDescent="0.25">
      <c r="A2012" s="1" t="str">
        <f>HYPERLINK("https://vegkart.atlas.vegvesen.no/#/@-30303.6,6743213.0,18/hva:hva%5B0%5D%5Bfilter%5D%5B0%5D%5Boperator%5D=%21%3D&amp;hva%5B0%5D%5Bfilter%5D%5B0%5D%5Btype_id%5D=4723&amp;hva%5B0%5D%5Bfilter%5D%5B0%5D%5Bverdi%5D=&amp;hva%5B0%5D%5Bid%5D=15/når:2017-09-06", "Vegkart")</f>
        <v>Vegkart</v>
      </c>
      <c r="B2012">
        <v>821758723</v>
      </c>
      <c r="C2012">
        <v>15</v>
      </c>
      <c r="D2012" t="s">
        <v>5814</v>
      </c>
      <c r="E2012">
        <v>4723</v>
      </c>
      <c r="F2012" t="s">
        <v>23479</v>
      </c>
      <c r="G2012">
        <v>1</v>
      </c>
      <c r="H2012" t="s">
        <v>6702</v>
      </c>
      <c r="J2012" t="s">
        <v>6692</v>
      </c>
      <c r="K2012" t="s">
        <v>21</v>
      </c>
      <c r="L2012" t="s">
        <v>33</v>
      </c>
      <c r="M2012" t="s">
        <v>3091</v>
      </c>
      <c r="N2012" t="s">
        <v>6708</v>
      </c>
      <c r="O2012" t="s">
        <v>6709</v>
      </c>
      <c r="P2012" s="2" t="s">
        <v>67</v>
      </c>
      <c r="Q2012" t="s">
        <v>68</v>
      </c>
      <c r="R2012">
        <v>27.09</v>
      </c>
      <c r="S2012">
        <v>31.4</v>
      </c>
      <c r="T2012" t="s">
        <v>6710</v>
      </c>
    </row>
    <row r="2013" spans="1:20" x14ac:dyDescent="0.25">
      <c r="A2013" s="1" t="str">
        <f>HYPERLINK("https://vegkart.atlas.vegvesen.no/#/@277734.4,7039989.2,18/hva:hva%5B0%5D%5Bfilter%5D%5B0%5D%5Boperator%5D=%21%3D&amp;hva%5B0%5D%5Bfilter%5D%5B0%5D%5Btype_id%5D=4723&amp;hva%5B0%5D%5Bfilter%5D%5B0%5D%5Bverdi%5D=&amp;hva%5B0%5D%5Bid%5D=15/når:2017-09-11", "Vegkart")</f>
        <v>Vegkart</v>
      </c>
      <c r="B2013">
        <v>824140156</v>
      </c>
      <c r="C2013">
        <v>15</v>
      </c>
      <c r="D2013" t="s">
        <v>5814</v>
      </c>
      <c r="E2013">
        <v>4723</v>
      </c>
      <c r="F2013" t="s">
        <v>23479</v>
      </c>
      <c r="G2013">
        <v>1</v>
      </c>
      <c r="H2013" t="s">
        <v>6711</v>
      </c>
      <c r="J2013" t="s">
        <v>6692</v>
      </c>
      <c r="K2013" t="s">
        <v>192</v>
      </c>
      <c r="L2013" t="s">
        <v>22</v>
      </c>
      <c r="M2013" t="s">
        <v>6712</v>
      </c>
      <c r="N2013" t="s">
        <v>6713</v>
      </c>
      <c r="O2013" t="s">
        <v>6714</v>
      </c>
      <c r="P2013" s="2" t="s">
        <v>37</v>
      </c>
      <c r="Q2013" t="s">
        <v>1208</v>
      </c>
      <c r="R2013">
        <v>6.27</v>
      </c>
      <c r="S2013">
        <v>25.2</v>
      </c>
      <c r="T2013" t="s">
        <v>6715</v>
      </c>
    </row>
    <row r="2014" spans="1:20" x14ac:dyDescent="0.25">
      <c r="A2014" s="1" t="str">
        <f>HYPERLINK("https://vegkart.atlas.vegvesen.no/#/@277736.0,7040019.3,18/hva:hva%5B0%5D%5Bfilter%5D%5B0%5D%5Boperator%5D=%21%3D&amp;hva%5B0%5D%5Bfilter%5D%5B0%5D%5Btype_id%5D=4723&amp;hva%5B0%5D%5Bfilter%5D%5B0%5D%5Bverdi%5D=&amp;hva%5B0%5D%5Bid%5D=15/når:2017-09-11", "Vegkart")</f>
        <v>Vegkart</v>
      </c>
      <c r="B2014">
        <v>824140157</v>
      </c>
      <c r="C2014">
        <v>15</v>
      </c>
      <c r="D2014" t="s">
        <v>5814</v>
      </c>
      <c r="E2014">
        <v>4723</v>
      </c>
      <c r="F2014" t="s">
        <v>23479</v>
      </c>
      <c r="G2014">
        <v>1</v>
      </c>
      <c r="H2014" t="s">
        <v>6711</v>
      </c>
      <c r="J2014" t="s">
        <v>6692</v>
      </c>
      <c r="K2014" t="s">
        <v>192</v>
      </c>
      <c r="L2014" t="s">
        <v>22</v>
      </c>
      <c r="M2014" t="s">
        <v>6712</v>
      </c>
      <c r="N2014" t="s">
        <v>6716</v>
      </c>
      <c r="O2014" t="s">
        <v>6717</v>
      </c>
      <c r="P2014" s="2" t="s">
        <v>37</v>
      </c>
      <c r="Q2014" t="s">
        <v>1208</v>
      </c>
      <c r="R2014">
        <v>4.04</v>
      </c>
      <c r="S2014">
        <v>84.7</v>
      </c>
      <c r="T2014" t="s">
        <v>6718</v>
      </c>
    </row>
    <row r="2015" spans="1:20" x14ac:dyDescent="0.25">
      <c r="A2015" s="1" t="str">
        <f>HYPERLINK("https://vegkart.atlas.vegvesen.no/#/@277744.6,7039931.5,18/hva:hva%5B0%5D%5Bfilter%5D%5B0%5D%5Boperator%5D=%21%3D&amp;hva%5B0%5D%5Bfilter%5D%5B0%5D%5Btype_id%5D=4723&amp;hva%5B0%5D%5Bfilter%5D%5B0%5D%5Bverdi%5D=&amp;hva%5B0%5D%5Bid%5D=15/når:2017-09-11", "Vegkart")</f>
        <v>Vegkart</v>
      </c>
      <c r="B2015">
        <v>824140160</v>
      </c>
      <c r="C2015">
        <v>15</v>
      </c>
      <c r="D2015" t="s">
        <v>5814</v>
      </c>
      <c r="E2015">
        <v>4723</v>
      </c>
      <c r="F2015" t="s">
        <v>23479</v>
      </c>
      <c r="G2015">
        <v>1</v>
      </c>
      <c r="H2015" t="s">
        <v>6711</v>
      </c>
      <c r="J2015" t="s">
        <v>6692</v>
      </c>
      <c r="K2015" t="s">
        <v>192</v>
      </c>
      <c r="L2015" t="s">
        <v>22</v>
      </c>
      <c r="M2015" t="s">
        <v>6712</v>
      </c>
      <c r="N2015" t="s">
        <v>6719</v>
      </c>
      <c r="O2015" t="s">
        <v>6720</v>
      </c>
      <c r="P2015" s="2" t="s">
        <v>37</v>
      </c>
      <c r="Q2015" t="s">
        <v>1208</v>
      </c>
      <c r="R2015">
        <v>6.08</v>
      </c>
      <c r="S2015">
        <v>11.71</v>
      </c>
      <c r="T2015" t="s">
        <v>6721</v>
      </c>
    </row>
    <row r="2016" spans="1:20" x14ac:dyDescent="0.25">
      <c r="A2016" s="1" t="str">
        <f>HYPERLINK("https://vegkart.atlas.vegvesen.no/#/@-27294.3,6870059.3,18/hva:hva%5B0%5D%5Bfilter%5D%5B0%5D%5Boperator%5D=%21%3D&amp;hva%5B0%5D%5Bfilter%5D%5B0%5D%5Btype_id%5D=4723&amp;hva%5B0%5D%5Bfilter%5D%5B0%5D%5Bverdi%5D=&amp;hva%5B0%5D%5Bid%5D=15/når:2021-01-08", "Vegkart")</f>
        <v>Vegkart</v>
      </c>
      <c r="B2016">
        <v>824728501</v>
      </c>
      <c r="C2016">
        <v>15</v>
      </c>
      <c r="D2016" t="s">
        <v>5814</v>
      </c>
      <c r="E2016">
        <v>4723</v>
      </c>
      <c r="F2016" t="s">
        <v>23479</v>
      </c>
      <c r="G2016">
        <v>3</v>
      </c>
      <c r="H2016" t="s">
        <v>6722</v>
      </c>
      <c r="J2016" t="s">
        <v>6692</v>
      </c>
      <c r="K2016" t="s">
        <v>21</v>
      </c>
      <c r="L2016" t="s">
        <v>113</v>
      </c>
      <c r="M2016" t="s">
        <v>507</v>
      </c>
      <c r="N2016" t="s">
        <v>6723</v>
      </c>
      <c r="O2016" t="s">
        <v>6724</v>
      </c>
      <c r="P2016" s="2" t="s">
        <v>67</v>
      </c>
      <c r="Q2016" t="s">
        <v>68</v>
      </c>
      <c r="R2016">
        <v>35.6</v>
      </c>
      <c r="S2016">
        <v>35.6</v>
      </c>
      <c r="T2016" t="s">
        <v>6725</v>
      </c>
    </row>
    <row r="2017" spans="1:20" x14ac:dyDescent="0.25">
      <c r="A2017" s="1" t="str">
        <f>HYPERLINK("https://vegkart.atlas.vegvesen.no/#/@-27134.5,6870044.0,18/hva:hva%5B0%5D%5Bfilter%5D%5B0%5D%5Boperator%5D=%21%3D&amp;hva%5B0%5D%5Bfilter%5D%5B0%5D%5Btype_id%5D=4723&amp;hva%5B0%5D%5Bfilter%5D%5B0%5D%5Bverdi%5D=&amp;hva%5B0%5D%5Bid%5D=15/når:2021-01-08", "Vegkart")</f>
        <v>Vegkart</v>
      </c>
      <c r="B2017">
        <v>824728502</v>
      </c>
      <c r="C2017">
        <v>15</v>
      </c>
      <c r="D2017" t="s">
        <v>5814</v>
      </c>
      <c r="E2017">
        <v>4723</v>
      </c>
      <c r="F2017" t="s">
        <v>23479</v>
      </c>
      <c r="G2017">
        <v>3</v>
      </c>
      <c r="H2017" t="s">
        <v>6722</v>
      </c>
      <c r="J2017" t="s">
        <v>6692</v>
      </c>
      <c r="K2017" t="s">
        <v>21</v>
      </c>
      <c r="L2017" t="s">
        <v>113</v>
      </c>
      <c r="M2017" t="s">
        <v>507</v>
      </c>
      <c r="N2017" t="s">
        <v>6726</v>
      </c>
      <c r="O2017" t="s">
        <v>6727</v>
      </c>
      <c r="P2017" s="2" t="s">
        <v>67</v>
      </c>
      <c r="Q2017" t="s">
        <v>68</v>
      </c>
      <c r="R2017">
        <v>75.739999999999995</v>
      </c>
      <c r="S2017">
        <v>76.66</v>
      </c>
      <c r="T2017" t="s">
        <v>6728</v>
      </c>
    </row>
    <row r="2018" spans="1:20" x14ac:dyDescent="0.25">
      <c r="A2018" s="1" t="str">
        <f>HYPERLINK("https://vegkart.atlas.vegvesen.no/#/@-27151.1,6870067.0,18/hva:hva%5B0%5D%5Bfilter%5D%5B0%5D%5Boperator%5D=%21%3D&amp;hva%5B0%5D%5Bfilter%5D%5B0%5D%5Btype_id%5D=4723&amp;hva%5B0%5D%5Bfilter%5D%5B0%5D%5Bverdi%5D=&amp;hva%5B0%5D%5Bid%5D=15/når:2025-11-24", "Vegkart")</f>
        <v>Vegkart</v>
      </c>
      <c r="B2018">
        <v>824728503</v>
      </c>
      <c r="C2018">
        <v>15</v>
      </c>
      <c r="D2018" t="s">
        <v>5814</v>
      </c>
      <c r="E2018">
        <v>4723</v>
      </c>
      <c r="F2018" t="s">
        <v>23479</v>
      </c>
      <c r="G2018">
        <v>4</v>
      </c>
      <c r="H2018" t="s">
        <v>5909</v>
      </c>
      <c r="J2018" t="s">
        <v>5910</v>
      </c>
      <c r="K2018" t="s">
        <v>21</v>
      </c>
      <c r="L2018" t="s">
        <v>113</v>
      </c>
      <c r="M2018" t="s">
        <v>507</v>
      </c>
      <c r="N2018" t="s">
        <v>6729</v>
      </c>
      <c r="O2018" t="s">
        <v>6730</v>
      </c>
      <c r="P2018" s="2" t="s">
        <v>165</v>
      </c>
      <c r="Q2018" t="s">
        <v>166</v>
      </c>
      <c r="R2018">
        <v>153.32</v>
      </c>
      <c r="S2018">
        <v>187.99</v>
      </c>
      <c r="T2018" t="s">
        <v>167</v>
      </c>
    </row>
    <row r="2019" spans="1:20" x14ac:dyDescent="0.25">
      <c r="A2019" s="1" t="str">
        <f>HYPERLINK("https://vegkart.atlas.vegvesen.no/#/@563156.9,7630839.2,18/hva:hva%5B0%5D%5Bfilter%5D%5B0%5D%5Boperator%5D=%21%3D&amp;hva%5B0%5D%5Bfilter%5D%5B0%5D%5Btype_id%5D=4723&amp;hva%5B0%5D%5Bfilter%5D%5B0%5D%5Bverdi%5D=&amp;hva%5B0%5D%5Bid%5D=15/når:2017-10-11", "Vegkart")</f>
        <v>Vegkart</v>
      </c>
      <c r="B2019">
        <v>839641649</v>
      </c>
      <c r="C2019">
        <v>15</v>
      </c>
      <c r="D2019" t="s">
        <v>5814</v>
      </c>
      <c r="E2019">
        <v>4723</v>
      </c>
      <c r="F2019" t="s">
        <v>23479</v>
      </c>
      <c r="G2019">
        <v>1</v>
      </c>
      <c r="H2019" t="s">
        <v>6731</v>
      </c>
      <c r="J2019" t="s">
        <v>6732</v>
      </c>
      <c r="K2019" t="s">
        <v>179</v>
      </c>
      <c r="L2019" t="s">
        <v>113</v>
      </c>
      <c r="M2019" t="s">
        <v>6733</v>
      </c>
      <c r="N2019" t="s">
        <v>6734</v>
      </c>
      <c r="O2019" t="s">
        <v>6735</v>
      </c>
      <c r="P2019" s="2" t="s">
        <v>37</v>
      </c>
      <c r="Q2019" t="s">
        <v>1208</v>
      </c>
      <c r="R2019">
        <v>0</v>
      </c>
      <c r="S2019">
        <v>323.51</v>
      </c>
      <c r="T2019" t="s">
        <v>6736</v>
      </c>
    </row>
    <row r="2020" spans="1:20" x14ac:dyDescent="0.25">
      <c r="A2020" s="1" t="str">
        <f>HYPERLINK("https://vegkart.atlas.vegvesen.no/#/@563174.7,7630563.1,18/hva:hva%5B0%5D%5Bfilter%5D%5B0%5D%5Boperator%5D=%21%3D&amp;hva%5B0%5D%5Bfilter%5D%5B0%5D%5Btype_id%5D=4723&amp;hva%5B0%5D%5Bfilter%5D%5B0%5D%5Bverdi%5D=&amp;hva%5B0%5D%5Bid%5D=15/når:2017-10-11", "Vegkart")</f>
        <v>Vegkart</v>
      </c>
      <c r="B2020">
        <v>839641650</v>
      </c>
      <c r="C2020">
        <v>15</v>
      </c>
      <c r="D2020" t="s">
        <v>5814</v>
      </c>
      <c r="E2020">
        <v>4723</v>
      </c>
      <c r="F2020" t="s">
        <v>23479</v>
      </c>
      <c r="G2020">
        <v>1</v>
      </c>
      <c r="H2020" t="s">
        <v>6731</v>
      </c>
      <c r="J2020" t="s">
        <v>6732</v>
      </c>
      <c r="K2020" t="s">
        <v>179</v>
      </c>
      <c r="L2020" t="s">
        <v>113</v>
      </c>
      <c r="M2020" t="s">
        <v>6733</v>
      </c>
      <c r="N2020" t="s">
        <v>6737</v>
      </c>
      <c r="O2020" t="s">
        <v>6738</v>
      </c>
      <c r="P2020" s="2" t="s">
        <v>165</v>
      </c>
      <c r="Q2020" t="s">
        <v>641</v>
      </c>
      <c r="R2020">
        <v>0</v>
      </c>
      <c r="S2020">
        <v>533.29</v>
      </c>
      <c r="T2020" t="s">
        <v>167</v>
      </c>
    </row>
    <row r="2021" spans="1:20" x14ac:dyDescent="0.25">
      <c r="A2021" s="1" t="str">
        <f>HYPERLINK("https://vegkart.atlas.vegvesen.no/#/@563184.8,7630585.1,18/hva:hva%5B0%5D%5Bfilter%5D%5B0%5D%5Boperator%5D=%21%3D&amp;hva%5B0%5D%5Bfilter%5D%5B0%5D%5Btype_id%5D=4723&amp;hva%5B0%5D%5Bfilter%5D%5B0%5D%5Bverdi%5D=&amp;hva%5B0%5D%5Bid%5D=15/når:2017-10-11", "Vegkart")</f>
        <v>Vegkart</v>
      </c>
      <c r="B2021">
        <v>839641651</v>
      </c>
      <c r="C2021">
        <v>15</v>
      </c>
      <c r="D2021" t="s">
        <v>5814</v>
      </c>
      <c r="E2021">
        <v>4723</v>
      </c>
      <c r="F2021" t="s">
        <v>23479</v>
      </c>
      <c r="G2021">
        <v>1</v>
      </c>
      <c r="H2021" t="s">
        <v>6731</v>
      </c>
      <c r="J2021" t="s">
        <v>6732</v>
      </c>
      <c r="K2021" t="s">
        <v>179</v>
      </c>
      <c r="L2021" t="s">
        <v>113</v>
      </c>
      <c r="M2021" t="s">
        <v>6733</v>
      </c>
      <c r="N2021" t="s">
        <v>6739</v>
      </c>
      <c r="O2021" t="s">
        <v>6740</v>
      </c>
      <c r="P2021" s="2" t="s">
        <v>37</v>
      </c>
      <c r="Q2021" t="s">
        <v>1208</v>
      </c>
      <c r="R2021">
        <v>0</v>
      </c>
      <c r="S2021">
        <v>317.66000000000003</v>
      </c>
      <c r="T2021" t="s">
        <v>6741</v>
      </c>
    </row>
    <row r="2022" spans="1:20" x14ac:dyDescent="0.25">
      <c r="A2022" s="1" t="str">
        <f>HYPERLINK("https://vegkart.atlas.vegvesen.no/#/@563181.7,7630483.8,18/hva:hva%5B0%5D%5Bfilter%5D%5B0%5D%5Boperator%5D=%21%3D&amp;hva%5B0%5D%5Bfilter%5D%5B0%5D%5Btype_id%5D=4723&amp;hva%5B0%5D%5Bfilter%5D%5B0%5D%5Bverdi%5D=&amp;hva%5B0%5D%5Bid%5D=15/når:2017-10-11", "Vegkart")</f>
        <v>Vegkart</v>
      </c>
      <c r="B2022">
        <v>839641652</v>
      </c>
      <c r="C2022">
        <v>15</v>
      </c>
      <c r="D2022" t="s">
        <v>5814</v>
      </c>
      <c r="E2022">
        <v>4723</v>
      </c>
      <c r="F2022" t="s">
        <v>23479</v>
      </c>
      <c r="G2022">
        <v>1</v>
      </c>
      <c r="H2022" t="s">
        <v>6731</v>
      </c>
      <c r="J2022" t="s">
        <v>6732</v>
      </c>
      <c r="K2022" t="s">
        <v>179</v>
      </c>
      <c r="L2022" t="s">
        <v>113</v>
      </c>
      <c r="M2022" t="s">
        <v>6733</v>
      </c>
      <c r="N2022" t="s">
        <v>6742</v>
      </c>
      <c r="O2022" t="s">
        <v>6743</v>
      </c>
      <c r="P2022" s="2" t="s">
        <v>37</v>
      </c>
      <c r="Q2022" t="s">
        <v>1208</v>
      </c>
      <c r="R2022">
        <v>0</v>
      </c>
      <c r="S2022">
        <v>96.25</v>
      </c>
      <c r="T2022" t="s">
        <v>6744</v>
      </c>
    </row>
    <row r="2023" spans="1:20" x14ac:dyDescent="0.25">
      <c r="A2023" s="1" t="str">
        <f>HYPERLINK("https://vegkart.atlas.vegvesen.no/#/@563147.2,7630499.5,18/hva:hva%5B0%5D%5Bfilter%5D%5B0%5D%5Boperator%5D=%21%3D&amp;hva%5B0%5D%5Bfilter%5D%5B0%5D%5Btype_id%5D=4723&amp;hva%5B0%5D%5Bfilter%5D%5B0%5D%5Bverdi%5D=&amp;hva%5B0%5D%5Bid%5D=15/når:2017-10-11", "Vegkart")</f>
        <v>Vegkart</v>
      </c>
      <c r="B2023">
        <v>839641653</v>
      </c>
      <c r="C2023">
        <v>15</v>
      </c>
      <c r="D2023" t="s">
        <v>5814</v>
      </c>
      <c r="E2023">
        <v>4723</v>
      </c>
      <c r="F2023" t="s">
        <v>23479</v>
      </c>
      <c r="G2023">
        <v>1</v>
      </c>
      <c r="H2023" t="s">
        <v>6731</v>
      </c>
      <c r="J2023" t="s">
        <v>6732</v>
      </c>
      <c r="K2023" t="s">
        <v>179</v>
      </c>
      <c r="L2023" t="s">
        <v>113</v>
      </c>
      <c r="M2023" t="s">
        <v>6733</v>
      </c>
      <c r="N2023" t="s">
        <v>6745</v>
      </c>
      <c r="O2023" t="s">
        <v>6746</v>
      </c>
      <c r="P2023" s="2" t="s">
        <v>37</v>
      </c>
      <c r="Q2023" t="s">
        <v>1208</v>
      </c>
      <c r="R2023">
        <v>0</v>
      </c>
      <c r="S2023">
        <v>77.25</v>
      </c>
      <c r="T2023" t="s">
        <v>6747</v>
      </c>
    </row>
    <row r="2024" spans="1:20" x14ac:dyDescent="0.25">
      <c r="A2024" s="1" t="str">
        <f>HYPERLINK("https://vegkart.atlas.vegvesen.no/#/@563148.5,7630525.5,18/hva:hva%5B0%5D%5Bfilter%5D%5B0%5D%5Boperator%5D=%21%3D&amp;hva%5B0%5D%5Bfilter%5D%5B0%5D%5Btype_id%5D=4723&amp;hva%5B0%5D%5Bfilter%5D%5B0%5D%5Bverdi%5D=&amp;hva%5B0%5D%5Bid%5D=15/når:2017-10-11", "Vegkart")</f>
        <v>Vegkart</v>
      </c>
      <c r="B2024">
        <v>839641654</v>
      </c>
      <c r="C2024">
        <v>15</v>
      </c>
      <c r="D2024" t="s">
        <v>5814</v>
      </c>
      <c r="E2024">
        <v>4723</v>
      </c>
      <c r="F2024" t="s">
        <v>23479</v>
      </c>
      <c r="G2024">
        <v>1</v>
      </c>
      <c r="H2024" t="s">
        <v>6731</v>
      </c>
      <c r="J2024" t="s">
        <v>6732</v>
      </c>
      <c r="K2024" t="s">
        <v>179</v>
      </c>
      <c r="L2024" t="s">
        <v>113</v>
      </c>
      <c r="M2024" t="s">
        <v>6733</v>
      </c>
      <c r="N2024" t="s">
        <v>6748</v>
      </c>
      <c r="O2024" t="s">
        <v>6749</v>
      </c>
      <c r="P2024" s="2" t="s">
        <v>37</v>
      </c>
      <c r="Q2024" t="s">
        <v>1208</v>
      </c>
      <c r="R2024">
        <v>0</v>
      </c>
      <c r="S2024">
        <v>56.25</v>
      </c>
      <c r="T2024" t="s">
        <v>6750</v>
      </c>
    </row>
    <row r="2025" spans="1:20" x14ac:dyDescent="0.25">
      <c r="A2025" s="1" t="str">
        <f>HYPERLINK("https://vegkart.atlas.vegvesen.no/#/@563151.0,7630647.6,18/hva:hva%5B0%5D%5Bfilter%5D%5B0%5D%5Boperator%5D=%21%3D&amp;hva%5B0%5D%5Bfilter%5D%5B0%5D%5Btype_id%5D=4723&amp;hva%5B0%5D%5Bfilter%5D%5B0%5D%5Bverdi%5D=&amp;hva%5B0%5D%5Bid%5D=15/når:2017-10-11", "Vegkart")</f>
        <v>Vegkart</v>
      </c>
      <c r="B2025">
        <v>839641655</v>
      </c>
      <c r="C2025">
        <v>15</v>
      </c>
      <c r="D2025" t="s">
        <v>5814</v>
      </c>
      <c r="E2025">
        <v>4723</v>
      </c>
      <c r="F2025" t="s">
        <v>23479</v>
      </c>
      <c r="G2025">
        <v>1</v>
      </c>
      <c r="H2025" t="s">
        <v>6731</v>
      </c>
      <c r="J2025" t="s">
        <v>6732</v>
      </c>
      <c r="K2025" t="s">
        <v>179</v>
      </c>
      <c r="L2025" t="s">
        <v>113</v>
      </c>
      <c r="M2025" t="s">
        <v>6733</v>
      </c>
      <c r="N2025" t="s">
        <v>6751</v>
      </c>
      <c r="O2025" t="s">
        <v>6752</v>
      </c>
      <c r="P2025" s="2" t="s">
        <v>37</v>
      </c>
      <c r="Q2025" t="s">
        <v>1208</v>
      </c>
      <c r="R2025">
        <v>0</v>
      </c>
      <c r="S2025">
        <v>541.94000000000005</v>
      </c>
      <c r="T2025" t="s">
        <v>6753</v>
      </c>
    </row>
    <row r="2026" spans="1:20" x14ac:dyDescent="0.25">
      <c r="A2026" s="1" t="str">
        <f>HYPERLINK("https://vegkart.atlas.vegvesen.no/#/@563233.9,7630724.7,18/hva:hva%5B0%5D%5Bfilter%5D%5B0%5D%5Boperator%5D=%21%3D&amp;hva%5B0%5D%5Bfilter%5D%5B0%5D%5Btype_id%5D=4723&amp;hva%5B0%5D%5Bfilter%5D%5B0%5D%5Bverdi%5D=&amp;hva%5B0%5D%5Bid%5D=15/når:2017-10-11", "Vegkart")</f>
        <v>Vegkart</v>
      </c>
      <c r="B2026">
        <v>839641656</v>
      </c>
      <c r="C2026">
        <v>15</v>
      </c>
      <c r="D2026" t="s">
        <v>5814</v>
      </c>
      <c r="E2026">
        <v>4723</v>
      </c>
      <c r="F2026" t="s">
        <v>23479</v>
      </c>
      <c r="G2026">
        <v>1</v>
      </c>
      <c r="H2026" t="s">
        <v>6731</v>
      </c>
      <c r="J2026" t="s">
        <v>6732</v>
      </c>
      <c r="K2026" t="s">
        <v>179</v>
      </c>
      <c r="L2026" t="s">
        <v>33</v>
      </c>
      <c r="M2026" t="s">
        <v>1181</v>
      </c>
      <c r="N2026" t="s">
        <v>6754</v>
      </c>
      <c r="O2026" t="s">
        <v>6755</v>
      </c>
      <c r="P2026" s="2" t="s">
        <v>165</v>
      </c>
      <c r="Q2026" t="s">
        <v>641</v>
      </c>
      <c r="R2026">
        <v>0</v>
      </c>
      <c r="S2026">
        <v>34.94</v>
      </c>
      <c r="T2026" t="s">
        <v>167</v>
      </c>
    </row>
    <row r="2027" spans="1:20" x14ac:dyDescent="0.25">
      <c r="A2027" s="1" t="str">
        <f>HYPERLINK("https://vegkart.atlas.vegvesen.no/#/@563219.5,7630697.1,18/hva:hva%5B0%5D%5Bfilter%5D%5B0%5D%5Boperator%5D=%21%3D&amp;hva%5B0%5D%5Bfilter%5D%5B0%5D%5Btype_id%5D=4723&amp;hva%5B0%5D%5Bfilter%5D%5B0%5D%5Bverdi%5D=&amp;hva%5B0%5D%5Bid%5D=15/når:2017-10-11", "Vegkart")</f>
        <v>Vegkart</v>
      </c>
      <c r="B2027">
        <v>839641657</v>
      </c>
      <c r="C2027">
        <v>15</v>
      </c>
      <c r="D2027" t="s">
        <v>5814</v>
      </c>
      <c r="E2027">
        <v>4723</v>
      </c>
      <c r="F2027" t="s">
        <v>23479</v>
      </c>
      <c r="G2027">
        <v>1</v>
      </c>
      <c r="H2027" t="s">
        <v>6731</v>
      </c>
      <c r="J2027" t="s">
        <v>6732</v>
      </c>
      <c r="K2027" t="s">
        <v>179</v>
      </c>
      <c r="L2027" t="s">
        <v>2628</v>
      </c>
      <c r="M2027" t="s">
        <v>6756</v>
      </c>
      <c r="N2027" t="s">
        <v>6757</v>
      </c>
      <c r="O2027" t="s">
        <v>6758</v>
      </c>
      <c r="P2027" s="2" t="s">
        <v>37</v>
      </c>
      <c r="Q2027" t="s">
        <v>1208</v>
      </c>
      <c r="R2027">
        <v>0</v>
      </c>
      <c r="S2027">
        <v>185.63</v>
      </c>
      <c r="T2027" t="s">
        <v>6759</v>
      </c>
    </row>
    <row r="2028" spans="1:20" x14ac:dyDescent="0.25">
      <c r="A2028" s="1" t="str">
        <f>HYPERLINK("https://vegkart.atlas.vegvesen.no/#/@563274.5,7630713.1,18/hva:hva%5B0%5D%5Bfilter%5D%5B0%5D%5Boperator%5D=%21%3D&amp;hva%5B0%5D%5Bfilter%5D%5B0%5D%5Btype_id%5D=4723&amp;hva%5B0%5D%5Bfilter%5D%5B0%5D%5Bverdi%5D=&amp;hva%5B0%5D%5Bid%5D=15/når:2017-10-11", "Vegkart")</f>
        <v>Vegkart</v>
      </c>
      <c r="B2028">
        <v>839641658</v>
      </c>
      <c r="C2028">
        <v>15</v>
      </c>
      <c r="D2028" t="s">
        <v>5814</v>
      </c>
      <c r="E2028">
        <v>4723</v>
      </c>
      <c r="F2028" t="s">
        <v>23479</v>
      </c>
      <c r="G2028">
        <v>1</v>
      </c>
      <c r="H2028" t="s">
        <v>6731</v>
      </c>
      <c r="J2028" t="s">
        <v>6732</v>
      </c>
      <c r="K2028" t="s">
        <v>179</v>
      </c>
      <c r="L2028" t="s">
        <v>33</v>
      </c>
      <c r="M2028" t="s">
        <v>1181</v>
      </c>
      <c r="N2028" t="s">
        <v>6760</v>
      </c>
      <c r="O2028" t="s">
        <v>6761</v>
      </c>
      <c r="P2028" s="2" t="s">
        <v>165</v>
      </c>
      <c r="Q2028" t="s">
        <v>641</v>
      </c>
      <c r="R2028">
        <v>0</v>
      </c>
      <c r="S2028">
        <v>118.71</v>
      </c>
      <c r="T2028" t="s">
        <v>167</v>
      </c>
    </row>
    <row r="2029" spans="1:20" x14ac:dyDescent="0.25">
      <c r="A2029" s="1" t="str">
        <f>HYPERLINK("https://vegkart.atlas.vegvesen.no/#/@563288.7,7630719.3,18/hva:hva%5B0%5D%5Bfilter%5D%5B0%5D%5Boperator%5D=%21%3D&amp;hva%5B0%5D%5Bfilter%5D%5B0%5D%5Btype_id%5D=4723&amp;hva%5B0%5D%5Bfilter%5D%5B0%5D%5Bverdi%5D=&amp;hva%5B0%5D%5Bid%5D=15/når:2017-10-11", "Vegkart")</f>
        <v>Vegkart</v>
      </c>
      <c r="B2029">
        <v>839641659</v>
      </c>
      <c r="C2029">
        <v>15</v>
      </c>
      <c r="D2029" t="s">
        <v>5814</v>
      </c>
      <c r="E2029">
        <v>4723</v>
      </c>
      <c r="F2029" t="s">
        <v>23479</v>
      </c>
      <c r="G2029">
        <v>1</v>
      </c>
      <c r="H2029" t="s">
        <v>6731</v>
      </c>
      <c r="J2029" t="s">
        <v>6732</v>
      </c>
      <c r="K2029" t="s">
        <v>179</v>
      </c>
      <c r="L2029" t="s">
        <v>33</v>
      </c>
      <c r="M2029" t="s">
        <v>1181</v>
      </c>
      <c r="N2029" t="s">
        <v>6762</v>
      </c>
      <c r="O2029" t="s">
        <v>6763</v>
      </c>
      <c r="P2029" s="2" t="s">
        <v>37</v>
      </c>
      <c r="Q2029" t="s">
        <v>1208</v>
      </c>
      <c r="R2029">
        <v>0</v>
      </c>
      <c r="S2029">
        <v>124.77</v>
      </c>
      <c r="T2029" t="s">
        <v>6764</v>
      </c>
    </row>
    <row r="2030" spans="1:20" x14ac:dyDescent="0.25">
      <c r="A2030" s="1" t="str">
        <f>HYPERLINK("https://vegkart.atlas.vegvesen.no/#/@563257.5,7630758.5,18/hva:hva%5B0%5D%5Bfilter%5D%5B0%5D%5Boperator%5D=%21%3D&amp;hva%5B0%5D%5Bfilter%5D%5B0%5D%5Btype_id%5D=4723&amp;hva%5B0%5D%5Bfilter%5D%5B0%5D%5Bverdi%5D=&amp;hva%5B0%5D%5Bid%5D=15/når:2017-10-11", "Vegkart")</f>
        <v>Vegkart</v>
      </c>
      <c r="B2030">
        <v>839641660</v>
      </c>
      <c r="C2030">
        <v>15</v>
      </c>
      <c r="D2030" t="s">
        <v>5814</v>
      </c>
      <c r="E2030">
        <v>4723</v>
      </c>
      <c r="F2030" t="s">
        <v>23479</v>
      </c>
      <c r="G2030">
        <v>1</v>
      </c>
      <c r="H2030" t="s">
        <v>6731</v>
      </c>
      <c r="J2030" t="s">
        <v>6732</v>
      </c>
      <c r="K2030" t="s">
        <v>179</v>
      </c>
      <c r="L2030" t="s">
        <v>33</v>
      </c>
      <c r="M2030" t="s">
        <v>1181</v>
      </c>
      <c r="N2030" t="s">
        <v>6765</v>
      </c>
      <c r="O2030" t="s">
        <v>6766</v>
      </c>
      <c r="P2030" s="2" t="s">
        <v>37</v>
      </c>
      <c r="Q2030" t="s">
        <v>1208</v>
      </c>
      <c r="R2030">
        <v>0</v>
      </c>
      <c r="S2030">
        <v>191.5</v>
      </c>
      <c r="T2030" t="s">
        <v>6767</v>
      </c>
    </row>
    <row r="2031" spans="1:20" x14ac:dyDescent="0.25">
      <c r="A2031" s="1" t="str">
        <f>HYPERLINK("https://vegkart.atlas.vegvesen.no/#/@563291.0,7630812.7,18/hva:hva%5B0%5D%5Bfilter%5D%5B0%5D%5Boperator%5D=%21%3D&amp;hva%5B0%5D%5Bfilter%5D%5B0%5D%5Btype_id%5D=4723&amp;hva%5B0%5D%5Bfilter%5D%5B0%5D%5Bverdi%5D=&amp;hva%5B0%5D%5Bid%5D=15/når:2017-10-11", "Vegkart")</f>
        <v>Vegkart</v>
      </c>
      <c r="B2031">
        <v>839641661</v>
      </c>
      <c r="C2031">
        <v>15</v>
      </c>
      <c r="D2031" t="s">
        <v>5814</v>
      </c>
      <c r="E2031">
        <v>4723</v>
      </c>
      <c r="F2031" t="s">
        <v>23479</v>
      </c>
      <c r="G2031">
        <v>1</v>
      </c>
      <c r="H2031" t="s">
        <v>6731</v>
      </c>
      <c r="J2031" t="s">
        <v>6732</v>
      </c>
      <c r="K2031" t="s">
        <v>179</v>
      </c>
      <c r="L2031" t="s">
        <v>2628</v>
      </c>
      <c r="M2031" t="s">
        <v>6756</v>
      </c>
      <c r="N2031" t="s">
        <v>6768</v>
      </c>
      <c r="O2031" t="s">
        <v>6769</v>
      </c>
      <c r="P2031" s="2" t="s">
        <v>37</v>
      </c>
      <c r="Q2031" t="s">
        <v>1208</v>
      </c>
      <c r="R2031">
        <v>0</v>
      </c>
      <c r="S2031">
        <v>202.36</v>
      </c>
      <c r="T2031" t="s">
        <v>6770</v>
      </c>
    </row>
    <row r="2032" spans="1:20" x14ac:dyDescent="0.25">
      <c r="A2032" s="1" t="str">
        <f>HYPERLINK("https://vegkart.atlas.vegvesen.no/#/@563248.4,7630810.6,18/hva:hva%5B0%5D%5Bfilter%5D%5B0%5D%5Boperator%5D=%21%3D&amp;hva%5B0%5D%5Bfilter%5D%5B0%5D%5Btype_id%5D=4723&amp;hva%5B0%5D%5Bfilter%5D%5B0%5D%5Bverdi%5D=&amp;hva%5B0%5D%5Bid%5D=15/når:2017-10-11", "Vegkart")</f>
        <v>Vegkart</v>
      </c>
      <c r="B2032">
        <v>839641662</v>
      </c>
      <c r="C2032">
        <v>15</v>
      </c>
      <c r="D2032" t="s">
        <v>5814</v>
      </c>
      <c r="E2032">
        <v>4723</v>
      </c>
      <c r="F2032" t="s">
        <v>23479</v>
      </c>
      <c r="G2032">
        <v>1</v>
      </c>
      <c r="H2032" t="s">
        <v>6731</v>
      </c>
      <c r="J2032" t="s">
        <v>6732</v>
      </c>
      <c r="K2032" t="s">
        <v>179</v>
      </c>
      <c r="L2032" t="s">
        <v>2628</v>
      </c>
      <c r="M2032" t="s">
        <v>6756</v>
      </c>
      <c r="N2032" t="s">
        <v>6771</v>
      </c>
      <c r="O2032" t="s">
        <v>6772</v>
      </c>
      <c r="P2032" s="2" t="s">
        <v>37</v>
      </c>
      <c r="Q2032" t="s">
        <v>1208</v>
      </c>
      <c r="R2032">
        <v>0</v>
      </c>
      <c r="S2032">
        <v>559.84</v>
      </c>
      <c r="T2032" t="s">
        <v>6773</v>
      </c>
    </row>
    <row r="2033" spans="1:20" x14ac:dyDescent="0.25">
      <c r="A2033" s="1" t="str">
        <f>HYPERLINK("https://vegkart.atlas.vegvesen.no/#/@382537.9,7302509.6,18/hva:hva%5B0%5D%5Bfilter%5D%5B0%5D%5Boperator%5D=%21%3D&amp;hva%5B0%5D%5Bfilter%5D%5B0%5D%5Btype_id%5D=4723&amp;hva%5B0%5D%5Bfilter%5D%5B0%5D%5Bverdi%5D=&amp;hva%5B0%5D%5Bid%5D=15/når:2017-10-24", "Vegkart")</f>
        <v>Vegkart</v>
      </c>
      <c r="B2033">
        <v>841529437</v>
      </c>
      <c r="C2033">
        <v>15</v>
      </c>
      <c r="D2033" t="s">
        <v>5814</v>
      </c>
      <c r="E2033">
        <v>4723</v>
      </c>
      <c r="F2033" t="s">
        <v>23479</v>
      </c>
      <c r="G2033">
        <v>1</v>
      </c>
      <c r="H2033" t="s">
        <v>6774</v>
      </c>
      <c r="J2033" t="s">
        <v>6732</v>
      </c>
      <c r="K2033" t="s">
        <v>53</v>
      </c>
      <c r="L2033" t="s">
        <v>33</v>
      </c>
      <c r="M2033" t="s">
        <v>473</v>
      </c>
      <c r="N2033" t="s">
        <v>6775</v>
      </c>
      <c r="O2033" t="s">
        <v>6776</v>
      </c>
      <c r="P2033" s="2" t="s">
        <v>67</v>
      </c>
      <c r="Q2033" t="s">
        <v>68</v>
      </c>
      <c r="R2033">
        <v>52.51</v>
      </c>
      <c r="S2033">
        <v>52.56</v>
      </c>
      <c r="T2033" t="s">
        <v>6777</v>
      </c>
    </row>
    <row r="2034" spans="1:20" x14ac:dyDescent="0.25">
      <c r="A2034" s="1" t="str">
        <f>HYPERLINK("https://vegkart.atlas.vegvesen.no/#/@-32955.8,6719840.9,18/hva:hva%5B0%5D%5Bfilter%5D%5B0%5D%5Boperator%5D=%21%3D&amp;hva%5B0%5D%5Bfilter%5D%5B0%5D%5Btype_id%5D=4723&amp;hva%5B0%5D%5Bfilter%5D%5B0%5D%5Bverdi%5D=&amp;hva%5B0%5D%5Bid%5D=15/når:2017-08-07", "Vegkart")</f>
        <v>Vegkart</v>
      </c>
      <c r="B2034">
        <v>843771708</v>
      </c>
      <c r="C2034">
        <v>15</v>
      </c>
      <c r="D2034" t="s">
        <v>5814</v>
      </c>
      <c r="E2034">
        <v>4723</v>
      </c>
      <c r="F2034" t="s">
        <v>23479</v>
      </c>
      <c r="G2034">
        <v>1</v>
      </c>
      <c r="H2034" t="s">
        <v>6778</v>
      </c>
      <c r="J2034" t="s">
        <v>6779</v>
      </c>
      <c r="K2034" t="s">
        <v>21</v>
      </c>
      <c r="L2034" t="s">
        <v>33</v>
      </c>
      <c r="M2034" t="s">
        <v>5926</v>
      </c>
      <c r="N2034" t="s">
        <v>6780</v>
      </c>
      <c r="O2034" t="s">
        <v>6781</v>
      </c>
      <c r="P2034" s="2" t="s">
        <v>165</v>
      </c>
      <c r="Q2034" t="s">
        <v>641</v>
      </c>
      <c r="R2034">
        <v>0</v>
      </c>
      <c r="S2034">
        <v>64.31</v>
      </c>
      <c r="T2034" t="s">
        <v>167</v>
      </c>
    </row>
    <row r="2035" spans="1:20" x14ac:dyDescent="0.25">
      <c r="A2035" s="1" t="str">
        <f>HYPERLINK("https://vegkart.atlas.vegvesen.no/#/@-32917.1,6719918.5,18/hva:hva%5B0%5D%5Bfilter%5D%5B0%5D%5Boperator%5D=%21%3D&amp;hva%5B0%5D%5Bfilter%5D%5B0%5D%5Btype_id%5D=4723&amp;hva%5B0%5D%5Bfilter%5D%5B0%5D%5Bverdi%5D=&amp;hva%5B0%5D%5Bid%5D=15/når:2017-08-07", "Vegkart")</f>
        <v>Vegkart</v>
      </c>
      <c r="B2035">
        <v>843773414</v>
      </c>
      <c r="C2035">
        <v>15</v>
      </c>
      <c r="D2035" t="s">
        <v>5814</v>
      </c>
      <c r="E2035">
        <v>4723</v>
      </c>
      <c r="F2035" t="s">
        <v>23479</v>
      </c>
      <c r="G2035">
        <v>1</v>
      </c>
      <c r="H2035" t="s">
        <v>6778</v>
      </c>
      <c r="J2035" t="s">
        <v>6779</v>
      </c>
      <c r="K2035" t="s">
        <v>21</v>
      </c>
      <c r="L2035" t="s">
        <v>370</v>
      </c>
      <c r="M2035" t="s">
        <v>6782</v>
      </c>
      <c r="N2035" t="s">
        <v>6783</v>
      </c>
      <c r="O2035" t="s">
        <v>6784</v>
      </c>
      <c r="P2035" s="2" t="s">
        <v>37</v>
      </c>
      <c r="Q2035" t="s">
        <v>1208</v>
      </c>
      <c r="R2035">
        <v>3.94</v>
      </c>
      <c r="S2035">
        <v>54.97</v>
      </c>
      <c r="T2035" t="s">
        <v>6785</v>
      </c>
    </row>
    <row r="2036" spans="1:20" x14ac:dyDescent="0.25">
      <c r="A2036" s="1" t="str">
        <f>HYPERLINK("https://vegkart.atlas.vegvesen.no/#/@-32921.6,6719905.5,18/hva:hva%5B0%5D%5Bfilter%5D%5B0%5D%5Boperator%5D=%21%3D&amp;hva%5B0%5D%5Bfilter%5D%5B0%5D%5Btype_id%5D=4723&amp;hva%5B0%5D%5Bfilter%5D%5B0%5D%5Bverdi%5D=&amp;hva%5B0%5D%5Bid%5D=15/når:2017-08-07", "Vegkart")</f>
        <v>Vegkart</v>
      </c>
      <c r="B2036">
        <v>843773421</v>
      </c>
      <c r="C2036">
        <v>15</v>
      </c>
      <c r="D2036" t="s">
        <v>5814</v>
      </c>
      <c r="E2036">
        <v>4723</v>
      </c>
      <c r="F2036" t="s">
        <v>23479</v>
      </c>
      <c r="G2036">
        <v>1</v>
      </c>
      <c r="H2036" t="s">
        <v>6778</v>
      </c>
      <c r="J2036" t="s">
        <v>6779</v>
      </c>
      <c r="K2036" t="s">
        <v>21</v>
      </c>
      <c r="L2036" t="s">
        <v>370</v>
      </c>
      <c r="M2036" t="s">
        <v>6786</v>
      </c>
      <c r="N2036" t="s">
        <v>6787</v>
      </c>
      <c r="O2036" t="s">
        <v>6788</v>
      </c>
      <c r="P2036" s="2" t="s">
        <v>165</v>
      </c>
      <c r="Q2036" t="s">
        <v>1012</v>
      </c>
      <c r="R2036">
        <v>0.25</v>
      </c>
      <c r="S2036">
        <v>0.26</v>
      </c>
      <c r="T2036" t="s">
        <v>167</v>
      </c>
    </row>
    <row r="2037" spans="1:20" x14ac:dyDescent="0.25">
      <c r="A2037" s="1" t="str">
        <f>HYPERLINK("https://vegkart.atlas.vegvesen.no/#/@-32913.8,6719903.5,18/hva:hva%5B0%5D%5Bfilter%5D%5B0%5D%5Boperator%5D=%21%3D&amp;hva%5B0%5D%5Bfilter%5D%5B0%5D%5Btype_id%5D=4723&amp;hva%5B0%5D%5Bfilter%5D%5B0%5D%5Bverdi%5D=&amp;hva%5B0%5D%5Bid%5D=15/når:2017-08-07", "Vegkart")</f>
        <v>Vegkart</v>
      </c>
      <c r="B2037">
        <v>843773422</v>
      </c>
      <c r="C2037">
        <v>15</v>
      </c>
      <c r="D2037" t="s">
        <v>5814</v>
      </c>
      <c r="E2037">
        <v>4723</v>
      </c>
      <c r="F2037" t="s">
        <v>23479</v>
      </c>
      <c r="G2037">
        <v>1</v>
      </c>
      <c r="H2037" t="s">
        <v>6778</v>
      </c>
      <c r="J2037" t="s">
        <v>6779</v>
      </c>
      <c r="K2037" t="s">
        <v>21</v>
      </c>
      <c r="L2037" t="s">
        <v>370</v>
      </c>
      <c r="M2037" t="s">
        <v>6786</v>
      </c>
      <c r="N2037" t="s">
        <v>6789</v>
      </c>
      <c r="O2037" t="s">
        <v>6790</v>
      </c>
      <c r="P2037" s="2" t="s">
        <v>37</v>
      </c>
      <c r="Q2037" t="s">
        <v>1208</v>
      </c>
      <c r="R2037">
        <v>2.5099999999999998</v>
      </c>
      <c r="S2037">
        <v>12.01</v>
      </c>
      <c r="T2037" t="s">
        <v>6791</v>
      </c>
    </row>
    <row r="2038" spans="1:20" x14ac:dyDescent="0.25">
      <c r="A2038" s="1" t="str">
        <f>HYPERLINK("https://vegkart.atlas.vegvesen.no/#/@-32889.3,6719896.3,18/hva:hva%5B0%5D%5Bfilter%5D%5B0%5D%5Boperator%5D=%21%3D&amp;hva%5B0%5D%5Bfilter%5D%5B0%5D%5Btype_id%5D=4723&amp;hva%5B0%5D%5Bfilter%5D%5B0%5D%5Bverdi%5D=&amp;hva%5B0%5D%5Bid%5D=15/når:2021-09-18", "Vegkart")</f>
        <v>Vegkart</v>
      </c>
      <c r="B2038">
        <v>843773423</v>
      </c>
      <c r="C2038">
        <v>15</v>
      </c>
      <c r="D2038" t="s">
        <v>5814</v>
      </c>
      <c r="E2038">
        <v>4723</v>
      </c>
      <c r="F2038" t="s">
        <v>23479</v>
      </c>
      <c r="G2038">
        <v>2</v>
      </c>
      <c r="H2038" t="s">
        <v>6792</v>
      </c>
      <c r="J2038" t="s">
        <v>6779</v>
      </c>
      <c r="K2038" t="s">
        <v>21</v>
      </c>
      <c r="L2038" t="s">
        <v>370</v>
      </c>
      <c r="M2038" t="s">
        <v>6793</v>
      </c>
      <c r="N2038" t="s">
        <v>6794</v>
      </c>
      <c r="O2038" t="s">
        <v>6795</v>
      </c>
      <c r="P2038" s="2" t="s">
        <v>67</v>
      </c>
      <c r="Q2038" t="s">
        <v>68</v>
      </c>
      <c r="R2038">
        <v>23.08</v>
      </c>
      <c r="S2038">
        <v>95.47</v>
      </c>
      <c r="T2038" t="s">
        <v>6796</v>
      </c>
    </row>
    <row r="2039" spans="1:20" x14ac:dyDescent="0.25">
      <c r="A2039" s="1" t="str">
        <f>HYPERLINK("https://vegkart.atlas.vegvesen.no/#/@-32937.2,6719916.6,18/hva:hva%5B0%5D%5Bfilter%5D%5B0%5D%5Boperator%5D=%21%3D&amp;hva%5B0%5D%5Bfilter%5D%5B0%5D%5Btype_id%5D=4723&amp;hva%5B0%5D%5Bfilter%5D%5B0%5D%5Bverdi%5D=&amp;hva%5B0%5D%5Bid%5D=15/når:2017-08-07", "Vegkart")</f>
        <v>Vegkart</v>
      </c>
      <c r="B2039">
        <v>843773424</v>
      </c>
      <c r="C2039">
        <v>15</v>
      </c>
      <c r="D2039" t="s">
        <v>5814</v>
      </c>
      <c r="E2039">
        <v>4723</v>
      </c>
      <c r="F2039" t="s">
        <v>23479</v>
      </c>
      <c r="G2039">
        <v>1</v>
      </c>
      <c r="H2039" t="s">
        <v>6778</v>
      </c>
      <c r="J2039" t="s">
        <v>6779</v>
      </c>
      <c r="K2039" t="s">
        <v>21</v>
      </c>
      <c r="L2039" t="s">
        <v>370</v>
      </c>
      <c r="M2039" t="s">
        <v>6786</v>
      </c>
      <c r="N2039" t="s">
        <v>6797</v>
      </c>
      <c r="O2039" t="s">
        <v>6798</v>
      </c>
      <c r="P2039" s="2" t="s">
        <v>37</v>
      </c>
      <c r="Q2039" t="s">
        <v>1208</v>
      </c>
      <c r="R2039">
        <v>2.21</v>
      </c>
      <c r="S2039">
        <v>2.86</v>
      </c>
      <c r="T2039" t="s">
        <v>6799</v>
      </c>
    </row>
    <row r="2040" spans="1:20" x14ac:dyDescent="0.25">
      <c r="A2040" s="1" t="str">
        <f>HYPERLINK("https://vegkart.atlas.vegvesen.no/#/@-32910.8,6719912.9,18/hva:hva%5B0%5D%5Bfilter%5D%5B0%5D%5Boperator%5D=%21%3D&amp;hva%5B0%5D%5Bfilter%5D%5B0%5D%5Btype_id%5D=4723&amp;hva%5B0%5D%5Bfilter%5D%5B0%5D%5Bverdi%5D=&amp;hva%5B0%5D%5Bid%5D=15/når:2017-08-07", "Vegkart")</f>
        <v>Vegkart</v>
      </c>
      <c r="B2040">
        <v>843773721</v>
      </c>
      <c r="C2040">
        <v>15</v>
      </c>
      <c r="D2040" t="s">
        <v>5814</v>
      </c>
      <c r="E2040">
        <v>4723</v>
      </c>
      <c r="F2040" t="s">
        <v>23479</v>
      </c>
      <c r="G2040">
        <v>1</v>
      </c>
      <c r="H2040" t="s">
        <v>6778</v>
      </c>
      <c r="J2040" t="s">
        <v>6779</v>
      </c>
      <c r="K2040" t="s">
        <v>21</v>
      </c>
      <c r="L2040" t="s">
        <v>370</v>
      </c>
      <c r="M2040" t="s">
        <v>6782</v>
      </c>
      <c r="N2040" t="s">
        <v>6800</v>
      </c>
      <c r="O2040" t="s">
        <v>6801</v>
      </c>
      <c r="P2040" s="2" t="s">
        <v>37</v>
      </c>
      <c r="Q2040" t="s">
        <v>1208</v>
      </c>
      <c r="R2040">
        <v>2.63</v>
      </c>
      <c r="S2040">
        <v>57.04</v>
      </c>
      <c r="T2040" t="s">
        <v>6802</v>
      </c>
    </row>
    <row r="2041" spans="1:20" x14ac:dyDescent="0.25">
      <c r="A2041" s="1" t="str">
        <f>HYPERLINK("https://vegkart.atlas.vegvesen.no/#/@-32895.2,6719888.4,18/hva:hva%5B0%5D%5Bfilter%5D%5B0%5D%5Boperator%5D=%21%3D&amp;hva%5B0%5D%5Bfilter%5D%5B0%5D%5Btype_id%5D=4723&amp;hva%5B0%5D%5Bfilter%5D%5B0%5D%5Bverdi%5D=&amp;hva%5B0%5D%5Bid%5D=15/når:2017-08-07", "Vegkart")</f>
        <v>Vegkart</v>
      </c>
      <c r="B2041">
        <v>843773722</v>
      </c>
      <c r="C2041">
        <v>15</v>
      </c>
      <c r="D2041" t="s">
        <v>5814</v>
      </c>
      <c r="E2041">
        <v>4723</v>
      </c>
      <c r="F2041" t="s">
        <v>23479</v>
      </c>
      <c r="G2041">
        <v>1</v>
      </c>
      <c r="H2041" t="s">
        <v>6778</v>
      </c>
      <c r="J2041" t="s">
        <v>6779</v>
      </c>
      <c r="K2041" t="s">
        <v>21</v>
      </c>
      <c r="L2041" t="s">
        <v>370</v>
      </c>
      <c r="M2041" t="s">
        <v>6803</v>
      </c>
      <c r="N2041" t="s">
        <v>6804</v>
      </c>
      <c r="O2041" t="s">
        <v>6805</v>
      </c>
      <c r="P2041" s="2" t="s">
        <v>165</v>
      </c>
      <c r="Q2041" t="s">
        <v>1012</v>
      </c>
      <c r="R2041">
        <v>15.65</v>
      </c>
      <c r="S2041">
        <v>15.71</v>
      </c>
      <c r="T2041" t="s">
        <v>167</v>
      </c>
    </row>
    <row r="2042" spans="1:20" x14ac:dyDescent="0.25">
      <c r="A2042" s="1" t="str">
        <f>HYPERLINK("https://vegkart.atlas.vegvesen.no/#/@-32934.5,6719937.3,18/hva:hva%5B0%5D%5Bfilter%5D%5B0%5D%5Boperator%5D=%21%3D&amp;hva%5B0%5D%5Bfilter%5D%5B0%5D%5Btype_id%5D=4723&amp;hva%5B0%5D%5Bfilter%5D%5B0%5D%5Bverdi%5D=&amp;hva%5B0%5D%5Bid%5D=15/når:2017-08-07", "Vegkart")</f>
        <v>Vegkart</v>
      </c>
      <c r="B2042">
        <v>843773723</v>
      </c>
      <c r="C2042">
        <v>15</v>
      </c>
      <c r="D2042" t="s">
        <v>5814</v>
      </c>
      <c r="E2042">
        <v>4723</v>
      </c>
      <c r="F2042" t="s">
        <v>23479</v>
      </c>
      <c r="G2042">
        <v>1</v>
      </c>
      <c r="H2042" t="s">
        <v>6778</v>
      </c>
      <c r="J2042" t="s">
        <v>6779</v>
      </c>
      <c r="K2042" t="s">
        <v>21</v>
      </c>
      <c r="L2042" t="s">
        <v>370</v>
      </c>
      <c r="M2042" t="s">
        <v>6786</v>
      </c>
      <c r="N2042" t="s">
        <v>6806</v>
      </c>
      <c r="O2042" t="s">
        <v>6807</v>
      </c>
      <c r="P2042" s="2" t="s">
        <v>67</v>
      </c>
      <c r="Q2042" t="s">
        <v>68</v>
      </c>
      <c r="R2042">
        <v>27.89</v>
      </c>
      <c r="S2042">
        <v>85.99</v>
      </c>
      <c r="T2042" t="s">
        <v>6808</v>
      </c>
    </row>
    <row r="2043" spans="1:20" x14ac:dyDescent="0.25">
      <c r="A2043" s="1" t="str">
        <f>HYPERLINK("https://vegkart.atlas.vegvesen.no/#/@658074.4,7737887.0,18/hva:hva%5B0%5D%5Bfilter%5D%5B0%5D%5Boperator%5D=%21%3D&amp;hva%5B0%5D%5Bfilter%5D%5B0%5D%5Btype_id%5D=4723&amp;hva%5B0%5D%5Bfilter%5D%5B0%5D%5Bverdi%5D=&amp;hva%5B0%5D%5Bid%5D=15/når:2017-11-02", "Vegkart")</f>
        <v>Vegkart</v>
      </c>
      <c r="B2043">
        <v>843959274</v>
      </c>
      <c r="C2043">
        <v>15</v>
      </c>
      <c r="D2043" t="s">
        <v>5814</v>
      </c>
      <c r="E2043">
        <v>4723</v>
      </c>
      <c r="F2043" t="s">
        <v>23479</v>
      </c>
      <c r="G2043">
        <v>1</v>
      </c>
      <c r="H2043" t="s">
        <v>6809</v>
      </c>
      <c r="J2043" t="s">
        <v>6779</v>
      </c>
      <c r="K2043" t="s">
        <v>179</v>
      </c>
      <c r="L2043" t="s">
        <v>33</v>
      </c>
      <c r="M2043" t="s">
        <v>6810</v>
      </c>
      <c r="N2043" t="s">
        <v>6811</v>
      </c>
      <c r="O2043" t="s">
        <v>6812</v>
      </c>
      <c r="P2043" s="2" t="s">
        <v>37</v>
      </c>
      <c r="Q2043" t="s">
        <v>1208</v>
      </c>
      <c r="R2043">
        <v>0</v>
      </c>
      <c r="S2043">
        <v>33.200000000000003</v>
      </c>
      <c r="T2043" t="s">
        <v>6813</v>
      </c>
    </row>
    <row r="2044" spans="1:20" x14ac:dyDescent="0.25">
      <c r="A2044" s="1" t="str">
        <f>HYPERLINK("https://vegkart.atlas.vegvesen.no/#/@658095.5,7737893.1,18/hva:hva%5B0%5D%5Bfilter%5D%5B0%5D%5Boperator%5D=%21%3D&amp;hva%5B0%5D%5Bfilter%5D%5B0%5D%5Btype_id%5D=4723&amp;hva%5B0%5D%5Bfilter%5D%5B0%5D%5Bverdi%5D=&amp;hva%5B0%5D%5Bid%5D=15/når:2017-11-02", "Vegkart")</f>
        <v>Vegkart</v>
      </c>
      <c r="B2044">
        <v>843959275</v>
      </c>
      <c r="C2044">
        <v>15</v>
      </c>
      <c r="D2044" t="s">
        <v>5814</v>
      </c>
      <c r="E2044">
        <v>4723</v>
      </c>
      <c r="F2044" t="s">
        <v>23479</v>
      </c>
      <c r="G2044">
        <v>1</v>
      </c>
      <c r="H2044" t="s">
        <v>6809</v>
      </c>
      <c r="J2044" t="s">
        <v>6779</v>
      </c>
      <c r="K2044" t="s">
        <v>179</v>
      </c>
      <c r="L2044" t="s">
        <v>33</v>
      </c>
      <c r="M2044" t="s">
        <v>6810</v>
      </c>
      <c r="N2044" t="s">
        <v>6814</v>
      </c>
      <c r="O2044" t="s">
        <v>6815</v>
      </c>
      <c r="P2044" s="2" t="s">
        <v>37</v>
      </c>
      <c r="Q2044" t="s">
        <v>1208</v>
      </c>
      <c r="R2044">
        <v>0</v>
      </c>
      <c r="S2044">
        <v>29.79</v>
      </c>
      <c r="T2044" t="s">
        <v>6816</v>
      </c>
    </row>
    <row r="2045" spans="1:20" x14ac:dyDescent="0.25">
      <c r="A2045" s="1" t="str">
        <f>HYPERLINK("https://vegkart.atlas.vegvesen.no/#/@658087.0,7737876.7,18/hva:hva%5B0%5D%5Bfilter%5D%5B0%5D%5Boperator%5D=%21%3D&amp;hva%5B0%5D%5Bfilter%5D%5B0%5D%5Btype_id%5D=4723&amp;hva%5B0%5D%5Bfilter%5D%5B0%5D%5Bverdi%5D=&amp;hva%5B0%5D%5Bid%5D=15/når:2017-11-02", "Vegkart")</f>
        <v>Vegkart</v>
      </c>
      <c r="B2045">
        <v>843959276</v>
      </c>
      <c r="C2045">
        <v>15</v>
      </c>
      <c r="D2045" t="s">
        <v>5814</v>
      </c>
      <c r="E2045">
        <v>4723</v>
      </c>
      <c r="F2045" t="s">
        <v>23479</v>
      </c>
      <c r="G2045">
        <v>1</v>
      </c>
      <c r="H2045" t="s">
        <v>6809</v>
      </c>
      <c r="J2045" t="s">
        <v>6779</v>
      </c>
      <c r="K2045" t="s">
        <v>179</v>
      </c>
      <c r="L2045" t="s">
        <v>6817</v>
      </c>
      <c r="M2045" t="s">
        <v>6818</v>
      </c>
      <c r="N2045" t="s">
        <v>6819</v>
      </c>
      <c r="O2045" t="s">
        <v>6820</v>
      </c>
      <c r="P2045" s="2" t="s">
        <v>37</v>
      </c>
      <c r="Q2045" t="s">
        <v>1208</v>
      </c>
      <c r="R2045">
        <v>0</v>
      </c>
      <c r="S2045">
        <v>210.27</v>
      </c>
      <c r="T2045" t="s">
        <v>6821</v>
      </c>
    </row>
    <row r="2046" spans="1:20" x14ac:dyDescent="0.25">
      <c r="A2046" s="1" t="str">
        <f>HYPERLINK("https://vegkart.atlas.vegvesen.no/#/@658114.1,7738005.9,18/hva:hva%5B0%5D%5Bfilter%5D%5B0%5D%5Boperator%5D=%21%3D&amp;hva%5B0%5D%5Bfilter%5D%5B0%5D%5Btype_id%5D=4723&amp;hva%5B0%5D%5Bfilter%5D%5B0%5D%5Bverdi%5D=&amp;hva%5B0%5D%5Bid%5D=15/når:2017-11-02", "Vegkart")</f>
        <v>Vegkart</v>
      </c>
      <c r="B2046">
        <v>843959277</v>
      </c>
      <c r="C2046">
        <v>15</v>
      </c>
      <c r="D2046" t="s">
        <v>5814</v>
      </c>
      <c r="E2046">
        <v>4723</v>
      </c>
      <c r="F2046" t="s">
        <v>23479</v>
      </c>
      <c r="G2046">
        <v>1</v>
      </c>
      <c r="H2046" t="s">
        <v>6809</v>
      </c>
      <c r="J2046" t="s">
        <v>6779</v>
      </c>
      <c r="K2046" t="s">
        <v>179</v>
      </c>
      <c r="L2046" t="s">
        <v>6817</v>
      </c>
      <c r="M2046" t="s">
        <v>6822</v>
      </c>
      <c r="N2046" t="s">
        <v>6823</v>
      </c>
      <c r="O2046" t="s">
        <v>6824</v>
      </c>
      <c r="P2046" s="2" t="s">
        <v>37</v>
      </c>
      <c r="Q2046" t="s">
        <v>1208</v>
      </c>
      <c r="R2046">
        <v>0</v>
      </c>
      <c r="S2046">
        <v>308.22000000000003</v>
      </c>
      <c r="T2046" t="s">
        <v>6825</v>
      </c>
    </row>
    <row r="2047" spans="1:20" x14ac:dyDescent="0.25">
      <c r="A2047" s="1" t="str">
        <f>HYPERLINK("https://vegkart.atlas.vegvesen.no/#/@658140.0,7738121.4,18/hva:hva%5B0%5D%5Bfilter%5D%5B0%5D%5Boperator%5D=%21%3D&amp;hva%5B0%5D%5Bfilter%5D%5B0%5D%5Btype_id%5D=4723&amp;hva%5B0%5D%5Bfilter%5D%5B0%5D%5Bverdi%5D=&amp;hva%5B0%5D%5Bid%5D=15/når:2021-06-01", "Vegkart")</f>
        <v>Vegkart</v>
      </c>
      <c r="B2047">
        <v>843959278</v>
      </c>
      <c r="C2047">
        <v>15</v>
      </c>
      <c r="D2047" t="s">
        <v>5814</v>
      </c>
      <c r="E2047">
        <v>4723</v>
      </c>
      <c r="F2047" t="s">
        <v>23479</v>
      </c>
      <c r="G2047">
        <v>2</v>
      </c>
      <c r="H2047" t="s">
        <v>6826</v>
      </c>
      <c r="J2047" t="s">
        <v>6779</v>
      </c>
      <c r="K2047" t="s">
        <v>179</v>
      </c>
      <c r="L2047" t="s">
        <v>33</v>
      </c>
      <c r="M2047" t="s">
        <v>6810</v>
      </c>
      <c r="N2047" t="s">
        <v>6827</v>
      </c>
      <c r="O2047" t="s">
        <v>6828</v>
      </c>
      <c r="P2047" s="2" t="s">
        <v>37</v>
      </c>
      <c r="Q2047" t="s">
        <v>1208</v>
      </c>
      <c r="R2047">
        <v>0</v>
      </c>
      <c r="S2047">
        <v>147.94</v>
      </c>
      <c r="T2047" t="s">
        <v>6829</v>
      </c>
    </row>
    <row r="2048" spans="1:20" x14ac:dyDescent="0.25">
      <c r="A2048" s="1" t="str">
        <f>HYPERLINK("https://vegkart.atlas.vegvesen.no/#/@658105.5,7738030.5,18/hva:hva%5B0%5D%5Bfilter%5D%5B0%5D%5Boperator%5D=%21%3D&amp;hva%5B0%5D%5Bfilter%5D%5B0%5D%5Btype_id%5D=4723&amp;hva%5B0%5D%5Bfilter%5D%5B0%5D%5Bverdi%5D=&amp;hva%5B0%5D%5Bid%5D=15/når:2017-11-02", "Vegkart")</f>
        <v>Vegkart</v>
      </c>
      <c r="B2048">
        <v>843959279</v>
      </c>
      <c r="C2048">
        <v>15</v>
      </c>
      <c r="D2048" t="s">
        <v>5814</v>
      </c>
      <c r="E2048">
        <v>4723</v>
      </c>
      <c r="F2048" t="s">
        <v>23479</v>
      </c>
      <c r="G2048">
        <v>1</v>
      </c>
      <c r="H2048" t="s">
        <v>6809</v>
      </c>
      <c r="J2048" t="s">
        <v>6779</v>
      </c>
      <c r="K2048" t="s">
        <v>179</v>
      </c>
      <c r="L2048" t="s">
        <v>33</v>
      </c>
      <c r="M2048" t="s">
        <v>6810</v>
      </c>
      <c r="N2048" t="s">
        <v>6830</v>
      </c>
      <c r="O2048" t="s">
        <v>6831</v>
      </c>
      <c r="P2048" s="2" t="s">
        <v>37</v>
      </c>
      <c r="Q2048" t="s">
        <v>1208</v>
      </c>
      <c r="R2048">
        <v>0</v>
      </c>
      <c r="S2048">
        <v>568.76</v>
      </c>
      <c r="T2048" t="s">
        <v>6832</v>
      </c>
    </row>
    <row r="2049" spans="1:20" x14ac:dyDescent="0.25">
      <c r="A2049" s="1" t="str">
        <f>HYPERLINK("https://vegkart.atlas.vegvesen.no/#/@658139.3,7738171.9,18/hva:hva%5B0%5D%5Bfilter%5D%5B0%5D%5Boperator%5D=%21%3D&amp;hva%5B0%5D%5Bfilter%5D%5B0%5D%5Btype_id%5D=4723&amp;hva%5B0%5D%5Bfilter%5D%5B0%5D%5Bverdi%5D=&amp;hva%5B0%5D%5Bid%5D=15/når:2017-11-02", "Vegkart")</f>
        <v>Vegkart</v>
      </c>
      <c r="B2049">
        <v>843959280</v>
      </c>
      <c r="C2049">
        <v>15</v>
      </c>
      <c r="D2049" t="s">
        <v>5814</v>
      </c>
      <c r="E2049">
        <v>4723</v>
      </c>
      <c r="F2049" t="s">
        <v>23479</v>
      </c>
      <c r="G2049">
        <v>1</v>
      </c>
      <c r="H2049" t="s">
        <v>6809</v>
      </c>
      <c r="J2049" t="s">
        <v>6779</v>
      </c>
      <c r="K2049" t="s">
        <v>179</v>
      </c>
      <c r="L2049" t="s">
        <v>33</v>
      </c>
      <c r="M2049" t="s">
        <v>6810</v>
      </c>
      <c r="N2049" t="s">
        <v>6833</v>
      </c>
      <c r="O2049" t="s">
        <v>6834</v>
      </c>
      <c r="P2049" s="2" t="s">
        <v>37</v>
      </c>
      <c r="Q2049" t="s">
        <v>1208</v>
      </c>
      <c r="R2049">
        <v>0</v>
      </c>
      <c r="S2049">
        <v>20.86</v>
      </c>
      <c r="T2049" t="s">
        <v>6835</v>
      </c>
    </row>
    <row r="2050" spans="1:20" x14ac:dyDescent="0.25">
      <c r="A2050" s="1" t="str">
        <f>HYPERLINK("https://vegkart.atlas.vegvesen.no/#/@658140.7,7738199.0,18/hva:hva%5B0%5D%5Bfilter%5D%5B0%5D%5Boperator%5D=%21%3D&amp;hva%5B0%5D%5Bfilter%5D%5B0%5D%5Btype_id%5D=4723&amp;hva%5B0%5D%5Bfilter%5D%5B0%5D%5Bverdi%5D=&amp;hva%5B0%5D%5Bid%5D=15/når:2017-11-02", "Vegkart")</f>
        <v>Vegkart</v>
      </c>
      <c r="B2050">
        <v>843959281</v>
      </c>
      <c r="C2050">
        <v>15</v>
      </c>
      <c r="D2050" t="s">
        <v>5814</v>
      </c>
      <c r="E2050">
        <v>4723</v>
      </c>
      <c r="F2050" t="s">
        <v>23479</v>
      </c>
      <c r="G2050">
        <v>1</v>
      </c>
      <c r="H2050" t="s">
        <v>6809</v>
      </c>
      <c r="J2050" t="s">
        <v>6779</v>
      </c>
      <c r="K2050" t="s">
        <v>179</v>
      </c>
      <c r="L2050" t="s">
        <v>33</v>
      </c>
      <c r="M2050" t="s">
        <v>6810</v>
      </c>
      <c r="N2050" t="s">
        <v>6836</v>
      </c>
      <c r="O2050" t="s">
        <v>6837</v>
      </c>
      <c r="P2050" s="2" t="s">
        <v>37</v>
      </c>
      <c r="Q2050" t="s">
        <v>1208</v>
      </c>
      <c r="R2050">
        <v>0</v>
      </c>
      <c r="S2050">
        <v>55.34</v>
      </c>
      <c r="T2050" t="s">
        <v>6838</v>
      </c>
    </row>
    <row r="2051" spans="1:20" x14ac:dyDescent="0.25">
      <c r="A2051" s="1" t="str">
        <f>HYPERLINK("https://vegkart.atlas.vegvesen.no/#/@658154.7,7738195.4,18/hva:hva%5B0%5D%5Bfilter%5D%5B0%5D%5Boperator%5D=%21%3D&amp;hva%5B0%5D%5Bfilter%5D%5B0%5D%5Btype_id%5D=4723&amp;hva%5B0%5D%5Bfilter%5D%5B0%5D%5Bverdi%5D=&amp;hva%5B0%5D%5Bid%5D=15/når:2017-11-02", "Vegkart")</f>
        <v>Vegkart</v>
      </c>
      <c r="B2051">
        <v>843959282</v>
      </c>
      <c r="C2051">
        <v>15</v>
      </c>
      <c r="D2051" t="s">
        <v>5814</v>
      </c>
      <c r="E2051">
        <v>4723</v>
      </c>
      <c r="F2051" t="s">
        <v>23479</v>
      </c>
      <c r="G2051">
        <v>1</v>
      </c>
      <c r="H2051" t="s">
        <v>6809</v>
      </c>
      <c r="J2051" t="s">
        <v>6779</v>
      </c>
      <c r="K2051" t="s">
        <v>179</v>
      </c>
      <c r="L2051" t="s">
        <v>6817</v>
      </c>
      <c r="M2051" t="s">
        <v>6839</v>
      </c>
      <c r="N2051" t="s">
        <v>6840</v>
      </c>
      <c r="O2051" t="s">
        <v>6841</v>
      </c>
      <c r="P2051" s="2" t="s">
        <v>37</v>
      </c>
      <c r="Q2051" t="s">
        <v>1208</v>
      </c>
      <c r="R2051">
        <v>0</v>
      </c>
      <c r="S2051">
        <v>61.52</v>
      </c>
      <c r="T2051" t="s">
        <v>6842</v>
      </c>
    </row>
    <row r="2052" spans="1:20" x14ac:dyDescent="0.25">
      <c r="A2052" s="1" t="str">
        <f>HYPERLINK("https://vegkart.atlas.vegvesen.no/#/@658162.5,7738194.2,18/hva:hva%5B0%5D%5Bfilter%5D%5B0%5D%5Boperator%5D=%21%3D&amp;hva%5B0%5D%5Bfilter%5D%5B0%5D%5Btype_id%5D=4723&amp;hva%5B0%5D%5Bfilter%5D%5B0%5D%5Bverdi%5D=&amp;hva%5B0%5D%5Bid%5D=15/når:2017-11-02", "Vegkart")</f>
        <v>Vegkart</v>
      </c>
      <c r="B2052">
        <v>843959283</v>
      </c>
      <c r="C2052">
        <v>15</v>
      </c>
      <c r="D2052" t="s">
        <v>5814</v>
      </c>
      <c r="E2052">
        <v>4723</v>
      </c>
      <c r="F2052" t="s">
        <v>23479</v>
      </c>
      <c r="G2052">
        <v>1</v>
      </c>
      <c r="H2052" t="s">
        <v>6809</v>
      </c>
      <c r="J2052" t="s">
        <v>6779</v>
      </c>
      <c r="K2052" t="s">
        <v>179</v>
      </c>
      <c r="L2052" t="s">
        <v>6817</v>
      </c>
      <c r="M2052" t="s">
        <v>6843</v>
      </c>
      <c r="N2052" t="s">
        <v>6844</v>
      </c>
      <c r="O2052" t="s">
        <v>6845</v>
      </c>
      <c r="P2052" s="2" t="s">
        <v>37</v>
      </c>
      <c r="Q2052" t="s">
        <v>1208</v>
      </c>
      <c r="R2052">
        <v>0</v>
      </c>
      <c r="S2052">
        <v>119.02</v>
      </c>
      <c r="T2052" t="s">
        <v>6846</v>
      </c>
    </row>
    <row r="2053" spans="1:20" x14ac:dyDescent="0.25">
      <c r="A2053" s="1" t="str">
        <f>HYPERLINK("https://vegkart.atlas.vegvesen.no/#/@658164.1,7738238.0,18/hva:hva%5B0%5D%5Bfilter%5D%5B0%5D%5Boperator%5D=%21%3D&amp;hva%5B0%5D%5Bfilter%5D%5B0%5D%5Btype_id%5D=4723&amp;hva%5B0%5D%5Bfilter%5D%5B0%5D%5Bverdi%5D=&amp;hva%5B0%5D%5Bid%5D=15/når:2017-11-02", "Vegkart")</f>
        <v>Vegkart</v>
      </c>
      <c r="B2053">
        <v>843959284</v>
      </c>
      <c r="C2053">
        <v>15</v>
      </c>
      <c r="D2053" t="s">
        <v>5814</v>
      </c>
      <c r="E2053">
        <v>4723</v>
      </c>
      <c r="F2053" t="s">
        <v>23479</v>
      </c>
      <c r="G2053">
        <v>1</v>
      </c>
      <c r="H2053" t="s">
        <v>6809</v>
      </c>
      <c r="J2053" t="s">
        <v>6779</v>
      </c>
      <c r="K2053" t="s">
        <v>179</v>
      </c>
      <c r="L2053" t="s">
        <v>6817</v>
      </c>
      <c r="M2053" t="s">
        <v>6847</v>
      </c>
      <c r="N2053" t="s">
        <v>6848</v>
      </c>
      <c r="O2053" t="s">
        <v>6849</v>
      </c>
      <c r="P2053" s="2" t="s">
        <v>37</v>
      </c>
      <c r="Q2053" t="s">
        <v>1208</v>
      </c>
      <c r="R2053">
        <v>0</v>
      </c>
      <c r="S2053">
        <v>88.74</v>
      </c>
      <c r="T2053" t="s">
        <v>6850</v>
      </c>
    </row>
    <row r="2054" spans="1:20" x14ac:dyDescent="0.25">
      <c r="A2054" s="1" t="str">
        <f>HYPERLINK("https://vegkart.atlas.vegvesen.no/#/@658180.2,7738272.7,18/hva:hva%5B0%5D%5Bfilter%5D%5B0%5D%5Boperator%5D=%21%3D&amp;hva%5B0%5D%5Bfilter%5D%5B0%5D%5Btype_id%5D=4723&amp;hva%5B0%5D%5Bfilter%5D%5B0%5D%5Bverdi%5D=&amp;hva%5B0%5D%5Bid%5D=15/når:2017-11-02", "Vegkart")</f>
        <v>Vegkart</v>
      </c>
      <c r="B2054">
        <v>843959285</v>
      </c>
      <c r="C2054">
        <v>15</v>
      </c>
      <c r="D2054" t="s">
        <v>5814</v>
      </c>
      <c r="E2054">
        <v>4723</v>
      </c>
      <c r="F2054" t="s">
        <v>23479</v>
      </c>
      <c r="G2054">
        <v>1</v>
      </c>
      <c r="H2054" t="s">
        <v>6809</v>
      </c>
      <c r="J2054" t="s">
        <v>6779</v>
      </c>
      <c r="K2054" t="s">
        <v>179</v>
      </c>
      <c r="L2054" t="s">
        <v>6817</v>
      </c>
      <c r="M2054" t="s">
        <v>6847</v>
      </c>
      <c r="N2054" t="s">
        <v>6851</v>
      </c>
      <c r="O2054" t="s">
        <v>6852</v>
      </c>
      <c r="P2054" s="2" t="s">
        <v>37</v>
      </c>
      <c r="Q2054" t="s">
        <v>1208</v>
      </c>
      <c r="R2054">
        <v>0</v>
      </c>
      <c r="S2054">
        <v>371.79</v>
      </c>
      <c r="T2054" t="s">
        <v>6853</v>
      </c>
    </row>
    <row r="2055" spans="1:20" x14ac:dyDescent="0.25">
      <c r="A2055" s="1" t="str">
        <f>HYPERLINK("https://vegkart.atlas.vegvesen.no/#/@658182.1,7738316.5,18/hva:hva%5B0%5D%5Bfilter%5D%5B0%5D%5Boperator%5D=%21%3D&amp;hva%5B0%5D%5Bfilter%5D%5B0%5D%5Btype_id%5D=4723&amp;hva%5B0%5D%5Bfilter%5D%5B0%5D%5Bverdi%5D=&amp;hva%5B0%5D%5Bid%5D=15/når:2017-11-02", "Vegkart")</f>
        <v>Vegkart</v>
      </c>
      <c r="B2055">
        <v>843959286</v>
      </c>
      <c r="C2055">
        <v>15</v>
      </c>
      <c r="D2055" t="s">
        <v>5814</v>
      </c>
      <c r="E2055">
        <v>4723</v>
      </c>
      <c r="F2055" t="s">
        <v>23479</v>
      </c>
      <c r="G2055">
        <v>1</v>
      </c>
      <c r="H2055" t="s">
        <v>6809</v>
      </c>
      <c r="J2055" t="s">
        <v>6779</v>
      </c>
      <c r="K2055" t="s">
        <v>179</v>
      </c>
      <c r="L2055" t="s">
        <v>33</v>
      </c>
      <c r="M2055" t="s">
        <v>6810</v>
      </c>
      <c r="N2055" t="s">
        <v>6854</v>
      </c>
      <c r="O2055" t="s">
        <v>6855</v>
      </c>
      <c r="P2055" s="2" t="s">
        <v>37</v>
      </c>
      <c r="Q2055" t="s">
        <v>1208</v>
      </c>
      <c r="R2055">
        <v>0</v>
      </c>
      <c r="S2055">
        <v>153.72</v>
      </c>
      <c r="T2055" t="s">
        <v>6856</v>
      </c>
    </row>
    <row r="2056" spans="1:20" x14ac:dyDescent="0.25">
      <c r="A2056" s="1" t="str">
        <f>HYPERLINK("https://vegkart.atlas.vegvesen.no/#/@658162.6,7738287.8,18/hva:hva%5B0%5D%5Bfilter%5D%5B0%5D%5Boperator%5D=%21%3D&amp;hva%5B0%5D%5Bfilter%5D%5B0%5D%5Btype_id%5D=4723&amp;hva%5B0%5D%5Bfilter%5D%5B0%5D%5Bverdi%5D=&amp;hva%5B0%5D%5Bid%5D=15/når:2017-11-02", "Vegkart")</f>
        <v>Vegkart</v>
      </c>
      <c r="B2056">
        <v>843959287</v>
      </c>
      <c r="C2056">
        <v>15</v>
      </c>
      <c r="D2056" t="s">
        <v>5814</v>
      </c>
      <c r="E2056">
        <v>4723</v>
      </c>
      <c r="F2056" t="s">
        <v>23479</v>
      </c>
      <c r="G2056">
        <v>1</v>
      </c>
      <c r="H2056" t="s">
        <v>6809</v>
      </c>
      <c r="J2056" t="s">
        <v>6779</v>
      </c>
      <c r="K2056" t="s">
        <v>179</v>
      </c>
      <c r="L2056" t="s">
        <v>33</v>
      </c>
      <c r="M2056" t="s">
        <v>6810</v>
      </c>
      <c r="N2056" t="s">
        <v>6857</v>
      </c>
      <c r="O2056" t="s">
        <v>6858</v>
      </c>
      <c r="P2056" s="2" t="s">
        <v>37</v>
      </c>
      <c r="Q2056" t="s">
        <v>1208</v>
      </c>
      <c r="R2056">
        <v>0</v>
      </c>
      <c r="S2056">
        <v>290.45</v>
      </c>
      <c r="T2056" t="s">
        <v>6859</v>
      </c>
    </row>
    <row r="2057" spans="1:20" x14ac:dyDescent="0.25">
      <c r="A2057" s="1" t="str">
        <f>HYPERLINK("https://vegkart.atlas.vegvesen.no/#/@658216.0,7738433.2,18/hva:hva%5B0%5D%5Bfilter%5D%5B0%5D%5Boperator%5D=%21%3D&amp;hva%5B0%5D%5Bfilter%5D%5B0%5D%5Btype_id%5D=4723&amp;hva%5B0%5D%5Bfilter%5D%5B0%5D%5Bverdi%5D=&amp;hva%5B0%5D%5Bid%5D=15/når:2017-11-02", "Vegkart")</f>
        <v>Vegkart</v>
      </c>
      <c r="B2057">
        <v>843959288</v>
      </c>
      <c r="C2057">
        <v>15</v>
      </c>
      <c r="D2057" t="s">
        <v>5814</v>
      </c>
      <c r="E2057">
        <v>4723</v>
      </c>
      <c r="F2057" t="s">
        <v>23479</v>
      </c>
      <c r="G2057">
        <v>1</v>
      </c>
      <c r="H2057" t="s">
        <v>6809</v>
      </c>
      <c r="J2057" t="s">
        <v>6779</v>
      </c>
      <c r="K2057" t="s">
        <v>179</v>
      </c>
      <c r="L2057" t="s">
        <v>6817</v>
      </c>
      <c r="M2057" t="s">
        <v>6860</v>
      </c>
      <c r="N2057" t="s">
        <v>6861</v>
      </c>
      <c r="O2057" t="s">
        <v>6862</v>
      </c>
      <c r="P2057" s="2" t="s">
        <v>37</v>
      </c>
      <c r="Q2057" t="s">
        <v>1208</v>
      </c>
      <c r="R2057">
        <v>0</v>
      </c>
      <c r="S2057">
        <v>355.23</v>
      </c>
      <c r="T2057" t="s">
        <v>6863</v>
      </c>
    </row>
    <row r="2058" spans="1:20" x14ac:dyDescent="0.25">
      <c r="A2058" s="1" t="str">
        <f>HYPERLINK("https://vegkart.atlas.vegvesen.no/#/@658207.4,7738428.4,18/hva:hva%5B0%5D%5Bfilter%5D%5B0%5D%5Boperator%5D=%21%3D&amp;hva%5B0%5D%5Bfilter%5D%5B0%5D%5Btype_id%5D=4723&amp;hva%5B0%5D%5Bfilter%5D%5B0%5D%5Bverdi%5D=&amp;hva%5B0%5D%5Bid%5D=15/når:2017-11-02", "Vegkart")</f>
        <v>Vegkart</v>
      </c>
      <c r="B2058">
        <v>843959289</v>
      </c>
      <c r="C2058">
        <v>15</v>
      </c>
      <c r="D2058" t="s">
        <v>5814</v>
      </c>
      <c r="E2058">
        <v>4723</v>
      </c>
      <c r="F2058" t="s">
        <v>23479</v>
      </c>
      <c r="G2058">
        <v>1</v>
      </c>
      <c r="H2058" t="s">
        <v>6809</v>
      </c>
      <c r="J2058" t="s">
        <v>6779</v>
      </c>
      <c r="K2058" t="s">
        <v>179</v>
      </c>
      <c r="L2058" t="s">
        <v>6817</v>
      </c>
      <c r="M2058" t="s">
        <v>6864</v>
      </c>
      <c r="N2058" t="s">
        <v>6865</v>
      </c>
      <c r="O2058" t="s">
        <v>6866</v>
      </c>
      <c r="P2058" s="2" t="s">
        <v>37</v>
      </c>
      <c r="Q2058" t="s">
        <v>1208</v>
      </c>
      <c r="R2058">
        <v>0</v>
      </c>
      <c r="S2058">
        <v>278.88</v>
      </c>
      <c r="T2058" t="s">
        <v>6867</v>
      </c>
    </row>
    <row r="2059" spans="1:20" x14ac:dyDescent="0.25">
      <c r="A2059" s="1" t="str">
        <f>HYPERLINK("https://vegkart.atlas.vegvesen.no/#/@658195.5,7738427.3,18/hva:hva%5B0%5D%5Bfilter%5D%5B0%5D%5Boperator%5D=%21%3D&amp;hva%5B0%5D%5Bfilter%5D%5B0%5D%5Btype_id%5D=4723&amp;hva%5B0%5D%5Bfilter%5D%5B0%5D%5Bverdi%5D=&amp;hva%5B0%5D%5Bid%5D=15/når:2017-11-02", "Vegkart")</f>
        <v>Vegkart</v>
      </c>
      <c r="B2059">
        <v>843959290</v>
      </c>
      <c r="C2059">
        <v>15</v>
      </c>
      <c r="D2059" t="s">
        <v>5814</v>
      </c>
      <c r="E2059">
        <v>4723</v>
      </c>
      <c r="F2059" t="s">
        <v>23479</v>
      </c>
      <c r="G2059">
        <v>1</v>
      </c>
      <c r="H2059" t="s">
        <v>6809</v>
      </c>
      <c r="J2059" t="s">
        <v>6779</v>
      </c>
      <c r="K2059" t="s">
        <v>179</v>
      </c>
      <c r="L2059" t="s">
        <v>33</v>
      </c>
      <c r="M2059" t="s">
        <v>6810</v>
      </c>
      <c r="N2059" t="s">
        <v>6868</v>
      </c>
      <c r="O2059" t="s">
        <v>6869</v>
      </c>
      <c r="P2059" s="2" t="s">
        <v>37</v>
      </c>
      <c r="Q2059" t="s">
        <v>1208</v>
      </c>
      <c r="R2059">
        <v>0</v>
      </c>
      <c r="S2059">
        <v>237.28</v>
      </c>
      <c r="T2059" t="s">
        <v>6870</v>
      </c>
    </row>
    <row r="2060" spans="1:20" x14ac:dyDescent="0.25">
      <c r="A2060" s="1" t="str">
        <f>HYPERLINK("https://vegkart.atlas.vegvesen.no/#/@658233.5,7738543.4,18/hva:hva%5B0%5D%5Bfilter%5D%5B0%5D%5Boperator%5D=%21%3D&amp;hva%5B0%5D%5Bfilter%5D%5B0%5D%5Btype_id%5D=4723&amp;hva%5B0%5D%5Bfilter%5D%5B0%5D%5Bverdi%5D=&amp;hva%5B0%5D%5Bid%5D=15/når:2017-11-02", "Vegkart")</f>
        <v>Vegkart</v>
      </c>
      <c r="B2060">
        <v>843959291</v>
      </c>
      <c r="C2060">
        <v>15</v>
      </c>
      <c r="D2060" t="s">
        <v>5814</v>
      </c>
      <c r="E2060">
        <v>4723</v>
      </c>
      <c r="F2060" t="s">
        <v>23479</v>
      </c>
      <c r="G2060">
        <v>1</v>
      </c>
      <c r="H2060" t="s">
        <v>6809</v>
      </c>
      <c r="J2060" t="s">
        <v>6779</v>
      </c>
      <c r="K2060" t="s">
        <v>179</v>
      </c>
      <c r="L2060" t="s">
        <v>6817</v>
      </c>
      <c r="M2060" t="s">
        <v>6871</v>
      </c>
      <c r="N2060" t="s">
        <v>6872</v>
      </c>
      <c r="O2060" t="s">
        <v>6873</v>
      </c>
      <c r="P2060" s="2" t="s">
        <v>37</v>
      </c>
      <c r="Q2060" t="s">
        <v>1208</v>
      </c>
      <c r="R2060">
        <v>0</v>
      </c>
      <c r="S2060">
        <v>173.41</v>
      </c>
      <c r="T2060" t="s">
        <v>6874</v>
      </c>
    </row>
    <row r="2061" spans="1:20" x14ac:dyDescent="0.25">
      <c r="A2061" s="1" t="str">
        <f>HYPERLINK("https://vegkart.atlas.vegvesen.no/#/@658224.5,7738551.0,18/hva:hva%5B0%5D%5Bfilter%5D%5B0%5D%5Boperator%5D=%21%3D&amp;hva%5B0%5D%5Bfilter%5D%5B0%5D%5Btype_id%5D=4723&amp;hva%5B0%5D%5Bfilter%5D%5B0%5D%5Bverdi%5D=&amp;hva%5B0%5D%5Bid%5D=15/når:2017-11-02", "Vegkart")</f>
        <v>Vegkart</v>
      </c>
      <c r="B2061">
        <v>843959292</v>
      </c>
      <c r="C2061">
        <v>15</v>
      </c>
      <c r="D2061" t="s">
        <v>5814</v>
      </c>
      <c r="E2061">
        <v>4723</v>
      </c>
      <c r="F2061" t="s">
        <v>23479</v>
      </c>
      <c r="G2061">
        <v>1</v>
      </c>
      <c r="H2061" t="s">
        <v>6809</v>
      </c>
      <c r="J2061" t="s">
        <v>6779</v>
      </c>
      <c r="K2061" t="s">
        <v>179</v>
      </c>
      <c r="L2061" t="s">
        <v>6817</v>
      </c>
      <c r="M2061" t="s">
        <v>6875</v>
      </c>
      <c r="N2061" t="s">
        <v>6876</v>
      </c>
      <c r="O2061" t="s">
        <v>6877</v>
      </c>
      <c r="P2061" s="2" t="s">
        <v>37</v>
      </c>
      <c r="Q2061" t="s">
        <v>1208</v>
      </c>
      <c r="R2061">
        <v>0</v>
      </c>
      <c r="S2061">
        <v>154.56</v>
      </c>
      <c r="T2061" t="s">
        <v>6878</v>
      </c>
    </row>
    <row r="2062" spans="1:20" x14ac:dyDescent="0.25">
      <c r="A2062" s="1" t="str">
        <f>HYPERLINK("https://vegkart.atlas.vegvesen.no/#/@658247.3,7738655.3,18/hva:hva%5B0%5D%5Bfilter%5D%5B0%5D%5Boperator%5D=%21%3D&amp;hva%5B0%5D%5Bfilter%5D%5B0%5D%5Btype_id%5D=4723&amp;hva%5B0%5D%5Bfilter%5D%5B0%5D%5Bverdi%5D=&amp;hva%5B0%5D%5Bid%5D=15/når:2017-11-02", "Vegkart")</f>
        <v>Vegkart</v>
      </c>
      <c r="B2062">
        <v>843959293</v>
      </c>
      <c r="C2062">
        <v>15</v>
      </c>
      <c r="D2062" t="s">
        <v>5814</v>
      </c>
      <c r="E2062">
        <v>4723</v>
      </c>
      <c r="F2062" t="s">
        <v>23479</v>
      </c>
      <c r="G2062">
        <v>1</v>
      </c>
      <c r="H2062" t="s">
        <v>6809</v>
      </c>
      <c r="J2062" t="s">
        <v>6779</v>
      </c>
      <c r="K2062" t="s">
        <v>179</v>
      </c>
      <c r="L2062" t="s">
        <v>33</v>
      </c>
      <c r="M2062" t="s">
        <v>6810</v>
      </c>
      <c r="N2062" t="s">
        <v>6879</v>
      </c>
      <c r="O2062" t="s">
        <v>6880</v>
      </c>
      <c r="P2062" s="2" t="s">
        <v>37</v>
      </c>
      <c r="Q2062" t="s">
        <v>1208</v>
      </c>
      <c r="R2062">
        <v>0</v>
      </c>
      <c r="S2062">
        <v>185.33</v>
      </c>
      <c r="T2062" t="s">
        <v>6881</v>
      </c>
    </row>
    <row r="2063" spans="1:20" x14ac:dyDescent="0.25">
      <c r="A2063" s="1" t="str">
        <f>HYPERLINK("https://vegkart.atlas.vegvesen.no/#/@658255.0,7738641.2,18/hva:hva%5B0%5D%5Bfilter%5D%5B0%5D%5Boperator%5D=%21%3D&amp;hva%5B0%5D%5Bfilter%5D%5B0%5D%5Btype_id%5D=4723&amp;hva%5B0%5D%5Bfilter%5D%5B0%5D%5Bverdi%5D=&amp;hva%5B0%5D%5Bid%5D=15/når:2017-11-02", "Vegkart")</f>
        <v>Vegkart</v>
      </c>
      <c r="B2063">
        <v>843959294</v>
      </c>
      <c r="C2063">
        <v>15</v>
      </c>
      <c r="D2063" t="s">
        <v>5814</v>
      </c>
      <c r="E2063">
        <v>4723</v>
      </c>
      <c r="F2063" t="s">
        <v>23479</v>
      </c>
      <c r="G2063">
        <v>1</v>
      </c>
      <c r="H2063" t="s">
        <v>6809</v>
      </c>
      <c r="J2063" t="s">
        <v>6779</v>
      </c>
      <c r="K2063" t="s">
        <v>179</v>
      </c>
      <c r="L2063" t="s">
        <v>6817</v>
      </c>
      <c r="M2063" t="s">
        <v>6882</v>
      </c>
      <c r="N2063" t="s">
        <v>6883</v>
      </c>
      <c r="O2063" t="s">
        <v>6884</v>
      </c>
      <c r="P2063" s="2" t="s">
        <v>37</v>
      </c>
      <c r="Q2063" t="s">
        <v>1208</v>
      </c>
      <c r="R2063">
        <v>0</v>
      </c>
      <c r="S2063">
        <v>213.13</v>
      </c>
      <c r="T2063" t="s">
        <v>6885</v>
      </c>
    </row>
    <row r="2064" spans="1:20" x14ac:dyDescent="0.25">
      <c r="A2064" s="1" t="str">
        <f>HYPERLINK("https://vegkart.atlas.vegvesen.no/#/@658260.9,7738636.9,18/hva:hva%5B0%5D%5Bfilter%5D%5B0%5D%5Boperator%5D=%21%3D&amp;hva%5B0%5D%5Bfilter%5D%5B0%5D%5Btype_id%5D=4723&amp;hva%5B0%5D%5Bfilter%5D%5B0%5D%5Bverdi%5D=&amp;hva%5B0%5D%5Bid%5D=15/når:2017-11-02", "Vegkart")</f>
        <v>Vegkart</v>
      </c>
      <c r="B2064">
        <v>843959295</v>
      </c>
      <c r="C2064">
        <v>15</v>
      </c>
      <c r="D2064" t="s">
        <v>5814</v>
      </c>
      <c r="E2064">
        <v>4723</v>
      </c>
      <c r="F2064" t="s">
        <v>23479</v>
      </c>
      <c r="G2064">
        <v>1</v>
      </c>
      <c r="H2064" t="s">
        <v>6809</v>
      </c>
      <c r="J2064" t="s">
        <v>6779</v>
      </c>
      <c r="K2064" t="s">
        <v>179</v>
      </c>
      <c r="L2064" t="s">
        <v>33</v>
      </c>
      <c r="M2064" t="s">
        <v>6810</v>
      </c>
      <c r="N2064" t="s">
        <v>6886</v>
      </c>
      <c r="O2064" t="s">
        <v>6887</v>
      </c>
      <c r="P2064" s="2" t="s">
        <v>37</v>
      </c>
      <c r="Q2064" t="s">
        <v>1208</v>
      </c>
      <c r="R2064">
        <v>0</v>
      </c>
      <c r="S2064">
        <v>235.92</v>
      </c>
      <c r="T2064" t="s">
        <v>6888</v>
      </c>
    </row>
    <row r="2065" spans="1:20" x14ac:dyDescent="0.25">
      <c r="A2065" s="1" t="str">
        <f>HYPERLINK("https://vegkart.atlas.vegvesen.no/#/@255360.0,6651418.4,18/hva:hva%5B0%5D%5Bfilter%5D%5B0%5D%5Boperator%5D=%21%3D&amp;hva%5B0%5D%5Bfilter%5D%5B0%5D%5Btype_id%5D=4723&amp;hva%5B0%5D%5Bfilter%5D%5B0%5D%5Bverdi%5D=&amp;hva%5B0%5D%5Bid%5D=15/når:2021-05-25", "Vegkart")</f>
        <v>Vegkart</v>
      </c>
      <c r="B2065">
        <v>844113504</v>
      </c>
      <c r="C2065">
        <v>15</v>
      </c>
      <c r="D2065" t="s">
        <v>5814</v>
      </c>
      <c r="E2065">
        <v>4723</v>
      </c>
      <c r="F2065" t="s">
        <v>23479</v>
      </c>
      <c r="G2065">
        <v>2</v>
      </c>
      <c r="H2065" t="s">
        <v>6889</v>
      </c>
      <c r="J2065" t="s">
        <v>6779</v>
      </c>
      <c r="K2065" t="s">
        <v>132</v>
      </c>
      <c r="L2065" t="s">
        <v>33</v>
      </c>
      <c r="M2065" t="s">
        <v>6890</v>
      </c>
      <c r="N2065" t="s">
        <v>6891</v>
      </c>
      <c r="O2065" t="s">
        <v>6892</v>
      </c>
      <c r="P2065" s="2" t="s">
        <v>165</v>
      </c>
      <c r="Q2065" t="s">
        <v>641</v>
      </c>
      <c r="R2065">
        <v>0</v>
      </c>
      <c r="S2065">
        <v>285.11</v>
      </c>
      <c r="T2065" t="s">
        <v>167</v>
      </c>
    </row>
    <row r="2066" spans="1:20" x14ac:dyDescent="0.25">
      <c r="A2066" s="1" t="str">
        <f>HYPERLINK("https://vegkart.atlas.vegvesen.no/#/@251956.1,6649982.7,18/hva:hva%5B0%5D%5Bfilter%5D%5B0%5D%5Boperator%5D=%21%3D&amp;hva%5B0%5D%5Bfilter%5D%5B0%5D%5Btype_id%5D=4723&amp;hva%5B0%5D%5Bfilter%5D%5B0%5D%5Bverdi%5D=&amp;hva%5B0%5D%5Bid%5D=15/når:2017-10-05", "Vegkart")</f>
        <v>Vegkart</v>
      </c>
      <c r="B2066">
        <v>844160145</v>
      </c>
      <c r="C2066">
        <v>15</v>
      </c>
      <c r="D2066" t="s">
        <v>5814</v>
      </c>
      <c r="E2066">
        <v>4723</v>
      </c>
      <c r="F2066" t="s">
        <v>23479</v>
      </c>
      <c r="G2066">
        <v>1</v>
      </c>
      <c r="H2066" t="s">
        <v>6893</v>
      </c>
      <c r="J2066" t="s">
        <v>6779</v>
      </c>
      <c r="K2066" t="s">
        <v>132</v>
      </c>
      <c r="L2066" t="s">
        <v>33</v>
      </c>
      <c r="M2066" t="s">
        <v>6894</v>
      </c>
      <c r="N2066" t="s">
        <v>6895</v>
      </c>
      <c r="O2066" t="s">
        <v>6896</v>
      </c>
      <c r="P2066" s="2" t="s">
        <v>165</v>
      </c>
      <c r="Q2066" t="s">
        <v>641</v>
      </c>
      <c r="R2066">
        <v>0</v>
      </c>
      <c r="S2066">
        <v>243.29</v>
      </c>
      <c r="T2066" t="s">
        <v>167</v>
      </c>
    </row>
    <row r="2067" spans="1:20" x14ac:dyDescent="0.25">
      <c r="A2067" s="1" t="str">
        <f>HYPERLINK("https://vegkart.atlas.vegvesen.no/#/@853894.8,7841838.3,18/hva:hva%5B0%5D%5Bfilter%5D%5B0%5D%5Boperator%5D=%21%3D&amp;hva%5B0%5D%5Bfilter%5D%5B0%5D%5Btype_id%5D=4723&amp;hva%5B0%5D%5Bfilter%5D%5B0%5D%5Bverdi%5D=&amp;hva%5B0%5D%5Bid%5D=15/når:2017-12-20", "Vegkart")</f>
        <v>Vegkart</v>
      </c>
      <c r="B2067">
        <v>845052159</v>
      </c>
      <c r="C2067">
        <v>15</v>
      </c>
      <c r="D2067" t="s">
        <v>5814</v>
      </c>
      <c r="E2067">
        <v>4723</v>
      </c>
      <c r="F2067" t="s">
        <v>23479</v>
      </c>
      <c r="G2067">
        <v>1</v>
      </c>
      <c r="H2067" t="s">
        <v>6897</v>
      </c>
      <c r="J2067" t="s">
        <v>6898</v>
      </c>
      <c r="K2067" t="s">
        <v>450</v>
      </c>
      <c r="L2067" t="s">
        <v>6899</v>
      </c>
      <c r="M2067" t="s">
        <v>6900</v>
      </c>
      <c r="N2067" t="s">
        <v>6901</v>
      </c>
      <c r="O2067" t="s">
        <v>6902</v>
      </c>
      <c r="P2067" s="2" t="s">
        <v>37</v>
      </c>
      <c r="Q2067" t="s">
        <v>1208</v>
      </c>
      <c r="R2067">
        <v>0</v>
      </c>
      <c r="S2067">
        <v>74.58</v>
      </c>
      <c r="T2067" t="s">
        <v>6903</v>
      </c>
    </row>
    <row r="2068" spans="1:20" x14ac:dyDescent="0.25">
      <c r="A2068" s="1" t="str">
        <f>HYPERLINK("https://vegkart.atlas.vegvesen.no/#/@853694.3,7841961.6,18/hva:hva%5B0%5D%5Bfilter%5D%5B0%5D%5Boperator%5D=%21%3D&amp;hva%5B0%5D%5Bfilter%5D%5B0%5D%5Btype_id%5D=4723&amp;hva%5B0%5D%5Bfilter%5D%5B0%5D%5Bverdi%5D=&amp;hva%5B0%5D%5Bid%5D=15/når:2017-12-20", "Vegkart")</f>
        <v>Vegkart</v>
      </c>
      <c r="B2068">
        <v>845052161</v>
      </c>
      <c r="C2068">
        <v>15</v>
      </c>
      <c r="D2068" t="s">
        <v>5814</v>
      </c>
      <c r="E2068">
        <v>4723</v>
      </c>
      <c r="F2068" t="s">
        <v>23479</v>
      </c>
      <c r="G2068">
        <v>1</v>
      </c>
      <c r="H2068" t="s">
        <v>6897</v>
      </c>
      <c r="J2068" t="s">
        <v>6898</v>
      </c>
      <c r="K2068" t="s">
        <v>450</v>
      </c>
      <c r="L2068" t="s">
        <v>6899</v>
      </c>
      <c r="M2068" t="s">
        <v>6900</v>
      </c>
      <c r="N2068" t="s">
        <v>6904</v>
      </c>
      <c r="O2068" t="s">
        <v>6905</v>
      </c>
      <c r="P2068" s="2" t="s">
        <v>37</v>
      </c>
      <c r="Q2068" t="s">
        <v>1208</v>
      </c>
      <c r="R2068">
        <v>0</v>
      </c>
      <c r="S2068">
        <v>1138.93</v>
      </c>
      <c r="T2068" t="s">
        <v>6906</v>
      </c>
    </row>
    <row r="2069" spans="1:20" x14ac:dyDescent="0.25">
      <c r="A2069" s="1" t="str">
        <f>HYPERLINK("https://vegkart.atlas.vegvesen.no/#/@561878.4,7633453.1,18/hva:hva%5B0%5D%5Bfilter%5D%5B0%5D%5Boperator%5D=%21%3D&amp;hva%5B0%5D%5Bfilter%5D%5B0%5D%5Btype_id%5D=4723&amp;hva%5B0%5D%5Bfilter%5D%5B0%5D%5Bverdi%5D=&amp;hva%5B0%5D%5Bid%5D=15/når:2018-01-18", "Vegkart")</f>
        <v>Vegkart</v>
      </c>
      <c r="B2069">
        <v>846029456</v>
      </c>
      <c r="C2069">
        <v>15</v>
      </c>
      <c r="D2069" t="s">
        <v>5814</v>
      </c>
      <c r="E2069">
        <v>4723</v>
      </c>
      <c r="F2069" t="s">
        <v>23479</v>
      </c>
      <c r="G2069">
        <v>1</v>
      </c>
      <c r="H2069" t="s">
        <v>6907</v>
      </c>
      <c r="J2069" t="s">
        <v>6898</v>
      </c>
      <c r="K2069" t="s">
        <v>179</v>
      </c>
      <c r="L2069" t="s">
        <v>113</v>
      </c>
      <c r="M2069" t="s">
        <v>6733</v>
      </c>
      <c r="N2069" t="s">
        <v>6908</v>
      </c>
      <c r="O2069" t="s">
        <v>6909</v>
      </c>
      <c r="P2069" s="2" t="s">
        <v>37</v>
      </c>
      <c r="Q2069" t="s">
        <v>1208</v>
      </c>
      <c r="R2069">
        <v>0</v>
      </c>
      <c r="S2069">
        <v>54.44</v>
      </c>
      <c r="T2069" t="s">
        <v>6910</v>
      </c>
    </row>
    <row r="2070" spans="1:20" x14ac:dyDescent="0.25">
      <c r="A2070" s="1" t="str">
        <f>HYPERLINK("https://vegkart.atlas.vegvesen.no/#/@561957.4,7633434.9,18/hva:hva%5B0%5D%5Bfilter%5D%5B0%5D%5Boperator%5D=%21%3D&amp;hva%5B0%5D%5Bfilter%5D%5B0%5D%5Btype_id%5D=4723&amp;hva%5B0%5D%5Bfilter%5D%5B0%5D%5Bverdi%5D=&amp;hva%5B0%5D%5Bid%5D=15/når:2018-01-18", "Vegkart")</f>
        <v>Vegkart</v>
      </c>
      <c r="B2070">
        <v>846029457</v>
      </c>
      <c r="C2070">
        <v>15</v>
      </c>
      <c r="D2070" t="s">
        <v>5814</v>
      </c>
      <c r="E2070">
        <v>4723</v>
      </c>
      <c r="F2070" t="s">
        <v>23479</v>
      </c>
      <c r="G2070">
        <v>1</v>
      </c>
      <c r="H2070" t="s">
        <v>6907</v>
      </c>
      <c r="J2070" t="s">
        <v>6898</v>
      </c>
      <c r="K2070" t="s">
        <v>179</v>
      </c>
      <c r="L2070" t="s">
        <v>113</v>
      </c>
      <c r="M2070" t="s">
        <v>6733</v>
      </c>
      <c r="N2070" t="s">
        <v>6911</v>
      </c>
      <c r="O2070" t="s">
        <v>6912</v>
      </c>
      <c r="P2070" s="2" t="s">
        <v>37</v>
      </c>
      <c r="Q2070" t="s">
        <v>1208</v>
      </c>
      <c r="R2070">
        <v>0</v>
      </c>
      <c r="S2070">
        <v>35.74</v>
      </c>
      <c r="T2070" t="s">
        <v>6913</v>
      </c>
    </row>
    <row r="2071" spans="1:20" x14ac:dyDescent="0.25">
      <c r="A2071" s="1" t="str">
        <f>HYPERLINK("https://vegkart.atlas.vegvesen.no/#/@561858.2,7633432.2,18/hva:hva%5B0%5D%5Bfilter%5D%5B0%5D%5Boperator%5D=%21%3D&amp;hva%5B0%5D%5Bfilter%5D%5B0%5D%5Btype_id%5D=4723&amp;hva%5B0%5D%5Bfilter%5D%5B0%5D%5Bverdi%5D=&amp;hva%5B0%5D%5Bid%5D=15/når:2018-01-18", "Vegkart")</f>
        <v>Vegkart</v>
      </c>
      <c r="B2071">
        <v>846029458</v>
      </c>
      <c r="C2071">
        <v>15</v>
      </c>
      <c r="D2071" t="s">
        <v>5814</v>
      </c>
      <c r="E2071">
        <v>4723</v>
      </c>
      <c r="F2071" t="s">
        <v>23479</v>
      </c>
      <c r="G2071">
        <v>1</v>
      </c>
      <c r="H2071" t="s">
        <v>6907</v>
      </c>
      <c r="J2071" t="s">
        <v>6898</v>
      </c>
      <c r="K2071" t="s">
        <v>179</v>
      </c>
      <c r="L2071" t="s">
        <v>113</v>
      </c>
      <c r="M2071" t="s">
        <v>6733</v>
      </c>
      <c r="N2071" t="s">
        <v>6914</v>
      </c>
      <c r="O2071" t="s">
        <v>6915</v>
      </c>
      <c r="P2071" s="2" t="s">
        <v>37</v>
      </c>
      <c r="Q2071" t="s">
        <v>1208</v>
      </c>
      <c r="R2071">
        <v>0</v>
      </c>
      <c r="S2071">
        <v>125.88</v>
      </c>
      <c r="T2071" t="s">
        <v>6916</v>
      </c>
    </row>
    <row r="2072" spans="1:20" x14ac:dyDescent="0.25">
      <c r="A2072" s="1" t="str">
        <f>HYPERLINK("https://vegkart.atlas.vegvesen.no/#/@561783.5,7633468.1,18/hva:hva%5B0%5D%5Bfilter%5D%5B0%5D%5Boperator%5D=%21%3D&amp;hva%5B0%5D%5Bfilter%5D%5B0%5D%5Btype_id%5D=4723&amp;hva%5B0%5D%5Bfilter%5D%5B0%5D%5Bverdi%5D=&amp;hva%5B0%5D%5Bid%5D=15/når:2018-01-18", "Vegkart")</f>
        <v>Vegkart</v>
      </c>
      <c r="B2072">
        <v>846029459</v>
      </c>
      <c r="C2072">
        <v>15</v>
      </c>
      <c r="D2072" t="s">
        <v>5814</v>
      </c>
      <c r="E2072">
        <v>4723</v>
      </c>
      <c r="F2072" t="s">
        <v>23479</v>
      </c>
      <c r="G2072">
        <v>1</v>
      </c>
      <c r="H2072" t="s">
        <v>6907</v>
      </c>
      <c r="J2072" t="s">
        <v>6898</v>
      </c>
      <c r="K2072" t="s">
        <v>179</v>
      </c>
      <c r="L2072" t="s">
        <v>113</v>
      </c>
      <c r="M2072" t="s">
        <v>6733</v>
      </c>
      <c r="N2072" t="s">
        <v>6917</v>
      </c>
      <c r="O2072" t="s">
        <v>6918</v>
      </c>
      <c r="P2072" s="2" t="s">
        <v>37</v>
      </c>
      <c r="Q2072" t="s">
        <v>1208</v>
      </c>
      <c r="R2072">
        <v>0</v>
      </c>
      <c r="S2072">
        <v>51.12</v>
      </c>
      <c r="T2072" t="s">
        <v>6919</v>
      </c>
    </row>
    <row r="2073" spans="1:20" x14ac:dyDescent="0.25">
      <c r="A2073" s="1" t="str">
        <f>HYPERLINK("https://vegkart.atlas.vegvesen.no/#/@561833.5,7633507.0,18/hva:hva%5B0%5D%5Bfilter%5D%5B0%5D%5Boperator%5D=%21%3D&amp;hva%5B0%5D%5Bfilter%5D%5B0%5D%5Btype_id%5D=4723&amp;hva%5B0%5D%5Bfilter%5D%5B0%5D%5Bverdi%5D=&amp;hva%5B0%5D%5Bid%5D=15/når:2018-01-18", "Vegkart")</f>
        <v>Vegkart</v>
      </c>
      <c r="B2073">
        <v>846029460</v>
      </c>
      <c r="C2073">
        <v>15</v>
      </c>
      <c r="D2073" t="s">
        <v>5814</v>
      </c>
      <c r="E2073">
        <v>4723</v>
      </c>
      <c r="F2073" t="s">
        <v>23479</v>
      </c>
      <c r="G2073">
        <v>1</v>
      </c>
      <c r="H2073" t="s">
        <v>6907</v>
      </c>
      <c r="J2073" t="s">
        <v>6898</v>
      </c>
      <c r="K2073" t="s">
        <v>179</v>
      </c>
      <c r="L2073" t="s">
        <v>113</v>
      </c>
      <c r="M2073" t="s">
        <v>6733</v>
      </c>
      <c r="N2073" t="s">
        <v>6920</v>
      </c>
      <c r="O2073" t="s">
        <v>6921</v>
      </c>
      <c r="P2073" s="2" t="s">
        <v>37</v>
      </c>
      <c r="Q2073" t="s">
        <v>1208</v>
      </c>
      <c r="R2073">
        <v>0</v>
      </c>
      <c r="S2073">
        <v>101.72</v>
      </c>
      <c r="T2073" t="s">
        <v>6922</v>
      </c>
    </row>
    <row r="2074" spans="1:20" x14ac:dyDescent="0.25">
      <c r="A2074" s="1" t="str">
        <f>HYPERLINK("https://vegkart.atlas.vegvesen.no/#/@561882.1,7633408.2,18/hva:hva%5B0%5D%5Bfilter%5D%5B0%5D%5Boperator%5D=%21%3D&amp;hva%5B0%5D%5Bfilter%5D%5B0%5D%5Btype_id%5D=4723&amp;hva%5B0%5D%5Bfilter%5D%5B0%5D%5Bverdi%5D=&amp;hva%5B0%5D%5Bid%5D=15/når:2018-01-18", "Vegkart")</f>
        <v>Vegkart</v>
      </c>
      <c r="B2074">
        <v>846029461</v>
      </c>
      <c r="C2074">
        <v>15</v>
      </c>
      <c r="D2074" t="s">
        <v>5814</v>
      </c>
      <c r="E2074">
        <v>4723</v>
      </c>
      <c r="F2074" t="s">
        <v>23479</v>
      </c>
      <c r="G2074">
        <v>1</v>
      </c>
      <c r="H2074" t="s">
        <v>6907</v>
      </c>
      <c r="J2074" t="s">
        <v>6898</v>
      </c>
      <c r="K2074" t="s">
        <v>179</v>
      </c>
      <c r="L2074" t="s">
        <v>113</v>
      </c>
      <c r="M2074" t="s">
        <v>6733</v>
      </c>
      <c r="N2074" t="s">
        <v>6923</v>
      </c>
      <c r="O2074" t="s">
        <v>6924</v>
      </c>
      <c r="P2074" s="2" t="s">
        <v>37</v>
      </c>
      <c r="Q2074" t="s">
        <v>1208</v>
      </c>
      <c r="R2074">
        <v>0</v>
      </c>
      <c r="S2074">
        <v>422.22</v>
      </c>
      <c r="T2074" t="s">
        <v>6925</v>
      </c>
    </row>
    <row r="2075" spans="1:20" x14ac:dyDescent="0.25">
      <c r="A2075" s="1" t="str">
        <f>HYPERLINK("https://vegkart.atlas.vegvesen.no/#/@561942.8,7633436.9,18/hva:hva%5B0%5D%5Bfilter%5D%5B0%5D%5Boperator%5D=%21%3D&amp;hva%5B0%5D%5Bfilter%5D%5B0%5D%5Btype_id%5D=4723&amp;hva%5B0%5D%5Bfilter%5D%5B0%5D%5Bverdi%5D=&amp;hva%5B0%5D%5Bid%5D=15/når:2018-01-18", "Vegkart")</f>
        <v>Vegkart</v>
      </c>
      <c r="B2075">
        <v>846029462</v>
      </c>
      <c r="C2075">
        <v>15</v>
      </c>
      <c r="D2075" t="s">
        <v>5814</v>
      </c>
      <c r="E2075">
        <v>4723</v>
      </c>
      <c r="F2075" t="s">
        <v>23479</v>
      </c>
      <c r="G2075">
        <v>1</v>
      </c>
      <c r="H2075" t="s">
        <v>6907</v>
      </c>
      <c r="J2075" t="s">
        <v>6898</v>
      </c>
      <c r="K2075" t="s">
        <v>179</v>
      </c>
      <c r="L2075" t="s">
        <v>113</v>
      </c>
      <c r="M2075" t="s">
        <v>6733</v>
      </c>
      <c r="N2075" t="s">
        <v>6926</v>
      </c>
      <c r="O2075" t="s">
        <v>6927</v>
      </c>
      <c r="P2075" s="2" t="s">
        <v>37</v>
      </c>
      <c r="Q2075" t="s">
        <v>1208</v>
      </c>
      <c r="R2075">
        <v>0</v>
      </c>
      <c r="S2075">
        <v>20.04</v>
      </c>
      <c r="T2075" t="s">
        <v>6928</v>
      </c>
    </row>
    <row r="2076" spans="1:20" x14ac:dyDescent="0.25">
      <c r="A2076" s="1" t="str">
        <f>HYPERLINK("https://vegkart.atlas.vegvesen.no/#/@561744.5,7633480.3,18/hva:hva%5B0%5D%5Bfilter%5D%5B0%5D%5Boperator%5D=%21%3D&amp;hva%5B0%5D%5Bfilter%5D%5B0%5D%5Btype_id%5D=4723&amp;hva%5B0%5D%5Bfilter%5D%5B0%5D%5Bverdi%5D=&amp;hva%5B0%5D%5Bid%5D=15/når:2018-01-18", "Vegkart")</f>
        <v>Vegkart</v>
      </c>
      <c r="B2076">
        <v>846029463</v>
      </c>
      <c r="C2076">
        <v>15</v>
      </c>
      <c r="D2076" t="s">
        <v>5814</v>
      </c>
      <c r="E2076">
        <v>4723</v>
      </c>
      <c r="F2076" t="s">
        <v>23479</v>
      </c>
      <c r="G2076">
        <v>1</v>
      </c>
      <c r="H2076" t="s">
        <v>6907</v>
      </c>
      <c r="J2076" t="s">
        <v>6898</v>
      </c>
      <c r="K2076" t="s">
        <v>179</v>
      </c>
      <c r="L2076" t="s">
        <v>113</v>
      </c>
      <c r="M2076" t="s">
        <v>6733</v>
      </c>
      <c r="N2076" t="s">
        <v>6929</v>
      </c>
      <c r="O2076" t="s">
        <v>6930</v>
      </c>
      <c r="P2076" s="2" t="s">
        <v>37</v>
      </c>
      <c r="Q2076" t="s">
        <v>1208</v>
      </c>
      <c r="R2076">
        <v>0</v>
      </c>
      <c r="S2076">
        <v>39.6</v>
      </c>
      <c r="T2076" t="s">
        <v>6931</v>
      </c>
    </row>
    <row r="2077" spans="1:20" x14ac:dyDescent="0.25">
      <c r="A2077" s="1" t="str">
        <f>HYPERLINK("https://vegkart.atlas.vegvesen.no/#/@271546.4,7039940.4,18/hva:hva%5B0%5D%5Bfilter%5D%5B0%5D%5Boperator%5D=%21%3D&amp;hva%5B0%5D%5Bfilter%5D%5B0%5D%5Btype_id%5D=4723&amp;hva%5B0%5D%5Bfilter%5D%5B0%5D%5Bverdi%5D=&amp;hva%5B0%5D%5Bid%5D=15/når:2018-01-30", "Vegkart")</f>
        <v>Vegkart</v>
      </c>
      <c r="B2077">
        <v>846486480</v>
      </c>
      <c r="C2077">
        <v>15</v>
      </c>
      <c r="D2077" t="s">
        <v>5814</v>
      </c>
      <c r="E2077">
        <v>4723</v>
      </c>
      <c r="F2077" t="s">
        <v>23479</v>
      </c>
      <c r="G2077">
        <v>1</v>
      </c>
      <c r="H2077" t="s">
        <v>6932</v>
      </c>
      <c r="J2077" t="s">
        <v>6898</v>
      </c>
      <c r="K2077" t="s">
        <v>192</v>
      </c>
      <c r="L2077" t="s">
        <v>22</v>
      </c>
      <c r="M2077" t="s">
        <v>6933</v>
      </c>
      <c r="N2077" t="s">
        <v>6934</v>
      </c>
      <c r="O2077" t="s">
        <v>6935</v>
      </c>
      <c r="P2077" s="2" t="s">
        <v>165</v>
      </c>
      <c r="Q2077" t="s">
        <v>641</v>
      </c>
      <c r="R2077">
        <v>0</v>
      </c>
      <c r="S2077">
        <v>273.16000000000003</v>
      </c>
      <c r="T2077" t="s">
        <v>167</v>
      </c>
    </row>
    <row r="2078" spans="1:20" x14ac:dyDescent="0.25">
      <c r="A2078" s="1" t="str">
        <f>HYPERLINK("https://vegkart.atlas.vegvesen.no/#/@44876.7,6957860.7,18/hva:hva%5B0%5D%5Bfilter%5D%5B0%5D%5Boperator%5D=%21%3D&amp;hva%5B0%5D%5Bfilter%5D%5B0%5D%5Btype_id%5D=4723&amp;hva%5B0%5D%5Bfilter%5D%5B0%5D%5Bverdi%5D=&amp;hva%5B0%5D%5Bid%5D=15/når:2018-02-12", "Vegkart")</f>
        <v>Vegkart</v>
      </c>
      <c r="B2078">
        <v>847277266</v>
      </c>
      <c r="C2078">
        <v>15</v>
      </c>
      <c r="D2078" t="s">
        <v>5814</v>
      </c>
      <c r="E2078">
        <v>4723</v>
      </c>
      <c r="F2078" t="s">
        <v>23479</v>
      </c>
      <c r="G2078">
        <v>1</v>
      </c>
      <c r="H2078" t="s">
        <v>6936</v>
      </c>
      <c r="J2078" t="s">
        <v>6898</v>
      </c>
      <c r="K2078" t="s">
        <v>32</v>
      </c>
      <c r="L2078" t="s">
        <v>80</v>
      </c>
      <c r="M2078" t="s">
        <v>1217</v>
      </c>
      <c r="N2078" t="s">
        <v>6937</v>
      </c>
      <c r="O2078" t="s">
        <v>6938</v>
      </c>
      <c r="P2078" s="2" t="s">
        <v>67</v>
      </c>
      <c r="Q2078" t="s">
        <v>68</v>
      </c>
      <c r="R2078">
        <v>45.98</v>
      </c>
      <c r="S2078">
        <v>46.02</v>
      </c>
      <c r="T2078" t="s">
        <v>6939</v>
      </c>
    </row>
    <row r="2079" spans="1:20" x14ac:dyDescent="0.25">
      <c r="A2079" s="1" t="str">
        <f>HYPERLINK("https://vegkart.atlas.vegvesen.no/#/@1084008.1,7801597.4,18/hva:hva%5B0%5D%5Bfilter%5D%5B0%5D%5Boperator%5D=%21%3D&amp;hva%5B0%5D%5Bfilter%5D%5B0%5D%5Btype_id%5D=4723&amp;hva%5B0%5D%5Bfilter%5D%5B0%5D%5Bverdi%5D=&amp;hva%5B0%5D%5Bid%5D=15/når:2018-02-21", "Vegkart")</f>
        <v>Vegkart</v>
      </c>
      <c r="B2079">
        <v>847684296</v>
      </c>
      <c r="C2079">
        <v>15</v>
      </c>
      <c r="D2079" t="s">
        <v>5814</v>
      </c>
      <c r="E2079">
        <v>4723</v>
      </c>
      <c r="F2079" t="s">
        <v>23479</v>
      </c>
      <c r="G2079">
        <v>1</v>
      </c>
      <c r="H2079" t="s">
        <v>6940</v>
      </c>
      <c r="J2079" t="s">
        <v>6898</v>
      </c>
      <c r="K2079" t="s">
        <v>450</v>
      </c>
      <c r="L2079" t="s">
        <v>80</v>
      </c>
      <c r="M2079" t="s">
        <v>1571</v>
      </c>
      <c r="N2079" t="s">
        <v>6941</v>
      </c>
      <c r="O2079" t="s">
        <v>6942</v>
      </c>
      <c r="P2079" s="2" t="s">
        <v>37</v>
      </c>
      <c r="Q2079" t="s">
        <v>1208</v>
      </c>
      <c r="R2079">
        <v>0</v>
      </c>
      <c r="S2079">
        <v>417.21</v>
      </c>
      <c r="T2079" t="s">
        <v>6943</v>
      </c>
    </row>
    <row r="2080" spans="1:20" x14ac:dyDescent="0.25">
      <c r="A2080" s="1" t="str">
        <f>HYPERLINK("https://vegkart.atlas.vegvesen.no/#/@1084127.1,7801555.3,18/hva:hva%5B0%5D%5Bfilter%5D%5B0%5D%5Boperator%5D=%21%3D&amp;hva%5B0%5D%5Bfilter%5D%5B0%5D%5Btype_id%5D=4723&amp;hva%5B0%5D%5Bfilter%5D%5B0%5D%5Bverdi%5D=&amp;hva%5B0%5D%5Bid%5D=15/når:2018-02-21", "Vegkart")</f>
        <v>Vegkart</v>
      </c>
      <c r="B2080">
        <v>847684297</v>
      </c>
      <c r="C2080">
        <v>15</v>
      </c>
      <c r="D2080" t="s">
        <v>5814</v>
      </c>
      <c r="E2080">
        <v>4723</v>
      </c>
      <c r="F2080" t="s">
        <v>23479</v>
      </c>
      <c r="G2080">
        <v>1</v>
      </c>
      <c r="H2080" t="s">
        <v>6940</v>
      </c>
      <c r="J2080" t="s">
        <v>6898</v>
      </c>
      <c r="K2080" t="s">
        <v>450</v>
      </c>
      <c r="L2080" t="s">
        <v>80</v>
      </c>
      <c r="M2080" t="s">
        <v>1571</v>
      </c>
      <c r="N2080" t="s">
        <v>6944</v>
      </c>
      <c r="O2080" t="s">
        <v>6945</v>
      </c>
      <c r="P2080" s="2" t="s">
        <v>37</v>
      </c>
      <c r="Q2080" t="s">
        <v>1208</v>
      </c>
      <c r="R2080">
        <v>0</v>
      </c>
      <c r="S2080">
        <v>644.41999999999996</v>
      </c>
      <c r="T2080" t="s">
        <v>6946</v>
      </c>
    </row>
    <row r="2081" spans="1:20" x14ac:dyDescent="0.25">
      <c r="A2081" s="1" t="str">
        <f>HYPERLINK("https://vegkart.atlas.vegvesen.no/#/@1083917.2,7801630.6,18/hva:hva%5B0%5D%5Bfilter%5D%5B0%5D%5Boperator%5D=%21%3D&amp;hva%5B0%5D%5Bfilter%5D%5B0%5D%5Btype_id%5D=4723&amp;hva%5B0%5D%5Bfilter%5D%5B0%5D%5Bverdi%5D=&amp;hva%5B0%5D%5Bid%5D=15/når:2018-09-04", "Vegkart")</f>
        <v>Vegkart</v>
      </c>
      <c r="B2081">
        <v>847684298</v>
      </c>
      <c r="C2081">
        <v>15</v>
      </c>
      <c r="D2081" t="s">
        <v>5814</v>
      </c>
      <c r="E2081">
        <v>4723</v>
      </c>
      <c r="F2081" t="s">
        <v>23479</v>
      </c>
      <c r="G2081">
        <v>2</v>
      </c>
      <c r="H2081" t="s">
        <v>6653</v>
      </c>
      <c r="J2081" t="s">
        <v>6898</v>
      </c>
      <c r="K2081" t="s">
        <v>450</v>
      </c>
      <c r="L2081" t="s">
        <v>80</v>
      </c>
      <c r="M2081" t="s">
        <v>1571</v>
      </c>
      <c r="N2081" t="s">
        <v>6947</v>
      </c>
      <c r="O2081" t="s">
        <v>6948</v>
      </c>
      <c r="P2081" s="2" t="s">
        <v>37</v>
      </c>
      <c r="Q2081" t="s">
        <v>1208</v>
      </c>
      <c r="R2081">
        <v>0</v>
      </c>
      <c r="S2081">
        <v>250.48</v>
      </c>
      <c r="T2081" t="s">
        <v>6949</v>
      </c>
    </row>
    <row r="2082" spans="1:20" x14ac:dyDescent="0.25">
      <c r="A2082" s="1" t="str">
        <f>HYPERLINK("https://vegkart.atlas.vegvesen.no/#/@278775.4,6659099.0,18/hva:hva%5B0%5D%5Bfilter%5D%5B0%5D%5Boperator%5D=%21%3D&amp;hva%5B0%5D%5Bfilter%5D%5B0%5D%5Btype_id%5D=4723&amp;hva%5B0%5D%5Bfilter%5D%5B0%5D%5Bverdi%5D=&amp;hva%5B0%5D%5Bid%5D=15/når:2018-02-26", "Vegkart")</f>
        <v>Vegkart</v>
      </c>
      <c r="B2082">
        <v>849185659</v>
      </c>
      <c r="C2082">
        <v>15</v>
      </c>
      <c r="D2082" t="s">
        <v>5814</v>
      </c>
      <c r="E2082">
        <v>4723</v>
      </c>
      <c r="F2082" t="s">
        <v>23479</v>
      </c>
      <c r="G2082">
        <v>1</v>
      </c>
      <c r="H2082" t="s">
        <v>6950</v>
      </c>
      <c r="J2082" t="s">
        <v>6951</v>
      </c>
      <c r="K2082" t="s">
        <v>132</v>
      </c>
      <c r="L2082" t="s">
        <v>33</v>
      </c>
      <c r="M2082" t="s">
        <v>288</v>
      </c>
      <c r="N2082" t="s">
        <v>6952</v>
      </c>
      <c r="O2082" t="s">
        <v>6953</v>
      </c>
      <c r="P2082" s="2" t="s">
        <v>165</v>
      </c>
      <c r="Q2082" t="s">
        <v>641</v>
      </c>
      <c r="R2082">
        <v>0</v>
      </c>
      <c r="S2082">
        <v>170.75</v>
      </c>
      <c r="T2082" t="s">
        <v>167</v>
      </c>
    </row>
    <row r="2083" spans="1:20" x14ac:dyDescent="0.25">
      <c r="A2083" s="1" t="str">
        <f>HYPERLINK("https://vegkart.atlas.vegvesen.no/#/@263795.8,7027575.2,18/hva:hva%5B0%5D%5Bfilter%5D%5B0%5D%5Boperator%5D=%21%3D&amp;hva%5B0%5D%5Bfilter%5D%5B0%5D%5Btype_id%5D=4723&amp;hva%5B0%5D%5Bfilter%5D%5B0%5D%5Bverdi%5D=&amp;hva%5B0%5D%5Bid%5D=15/når:2018-03-22", "Vegkart")</f>
        <v>Vegkart</v>
      </c>
      <c r="B2083">
        <v>849748869</v>
      </c>
      <c r="C2083">
        <v>15</v>
      </c>
      <c r="D2083" t="s">
        <v>5814</v>
      </c>
      <c r="E2083">
        <v>4723</v>
      </c>
      <c r="F2083" t="s">
        <v>23479</v>
      </c>
      <c r="G2083">
        <v>1</v>
      </c>
      <c r="H2083" t="s">
        <v>6954</v>
      </c>
      <c r="J2083" t="s">
        <v>6951</v>
      </c>
      <c r="K2083" t="s">
        <v>192</v>
      </c>
      <c r="L2083" t="s">
        <v>33</v>
      </c>
      <c r="M2083" t="s">
        <v>4117</v>
      </c>
      <c r="N2083" t="s">
        <v>6955</v>
      </c>
      <c r="O2083" t="s">
        <v>6956</v>
      </c>
      <c r="P2083" s="2" t="s">
        <v>165</v>
      </c>
      <c r="Q2083" t="s">
        <v>641</v>
      </c>
      <c r="R2083">
        <v>0</v>
      </c>
      <c r="S2083">
        <v>61.99</v>
      </c>
      <c r="T2083" t="s">
        <v>167</v>
      </c>
    </row>
    <row r="2084" spans="1:20" x14ac:dyDescent="0.25">
      <c r="A2084" s="1" t="str">
        <f>HYPERLINK("https://vegkart.atlas.vegvesen.no/#/@216475.5,6559447.2,18/hva:hva%5B0%5D%5Bfilter%5D%5B0%5D%5Boperator%5D=%21%3D&amp;hva%5B0%5D%5Bfilter%5D%5B0%5D%5Btype_id%5D=4723&amp;hva%5B0%5D%5Bfilter%5D%5B0%5D%5Bverdi%5D=&amp;hva%5B0%5D%5Bid%5D=15/når:2016-12-01", "Vegkart")</f>
        <v>Vegkart</v>
      </c>
      <c r="B2084">
        <v>851791903</v>
      </c>
      <c r="C2084">
        <v>15</v>
      </c>
      <c r="D2084" t="s">
        <v>5814</v>
      </c>
      <c r="E2084">
        <v>4723</v>
      </c>
      <c r="F2084" t="s">
        <v>23479</v>
      </c>
      <c r="G2084">
        <v>1</v>
      </c>
      <c r="H2084" t="s">
        <v>6957</v>
      </c>
      <c r="J2084" t="s">
        <v>6958</v>
      </c>
      <c r="K2084" t="s">
        <v>81</v>
      </c>
      <c r="L2084" t="s">
        <v>80</v>
      </c>
      <c r="M2084" t="s">
        <v>53</v>
      </c>
      <c r="N2084" t="s">
        <v>6959</v>
      </c>
      <c r="O2084" t="s">
        <v>6960</v>
      </c>
      <c r="P2084" s="2" t="s">
        <v>165</v>
      </c>
      <c r="Q2084" t="s">
        <v>641</v>
      </c>
      <c r="R2084">
        <v>0</v>
      </c>
      <c r="S2084">
        <v>488.9</v>
      </c>
      <c r="T2084" t="s">
        <v>167</v>
      </c>
    </row>
    <row r="2085" spans="1:20" x14ac:dyDescent="0.25">
      <c r="A2085" s="1" t="str">
        <f>HYPERLINK("https://vegkart.atlas.vegvesen.no/#/@-45966.9,6730708.2,18/hva:hva%5B0%5D%5Bfilter%5D%5B0%5D%5Boperator%5D=%21%3D&amp;hva%5B0%5D%5Bfilter%5D%5B0%5D%5Btype_id%5D=4723&amp;hva%5B0%5D%5Bfilter%5D%5B0%5D%5Bverdi%5D=&amp;hva%5B0%5D%5Bid%5D=15/når:2018-06-22", "Vegkart")</f>
        <v>Vegkart</v>
      </c>
      <c r="B2085">
        <v>870877714</v>
      </c>
      <c r="C2085">
        <v>15</v>
      </c>
      <c r="D2085" t="s">
        <v>5814</v>
      </c>
      <c r="E2085">
        <v>4723</v>
      </c>
      <c r="F2085" t="s">
        <v>23479</v>
      </c>
      <c r="G2085">
        <v>1</v>
      </c>
      <c r="H2085" t="s">
        <v>6961</v>
      </c>
      <c r="J2085" t="s">
        <v>6962</v>
      </c>
      <c r="K2085" t="s">
        <v>21</v>
      </c>
      <c r="L2085" t="s">
        <v>33</v>
      </c>
      <c r="M2085" t="s">
        <v>6963</v>
      </c>
      <c r="N2085" t="s">
        <v>6964</v>
      </c>
      <c r="O2085" t="s">
        <v>6965</v>
      </c>
      <c r="P2085" s="2" t="s">
        <v>67</v>
      </c>
      <c r="Q2085" t="s">
        <v>68</v>
      </c>
      <c r="R2085">
        <v>31.99</v>
      </c>
      <c r="S2085">
        <v>32.17</v>
      </c>
      <c r="T2085" t="s">
        <v>6966</v>
      </c>
    </row>
    <row r="2086" spans="1:20" x14ac:dyDescent="0.25">
      <c r="A2086" s="1" t="str">
        <f>HYPERLINK("https://vegkart.atlas.vegvesen.no/#/@-45583.6,6731102.5,18/hva:hva%5B0%5D%5Bfilter%5D%5B0%5D%5Boperator%5D=%21%3D&amp;hva%5B0%5D%5Bfilter%5D%5B0%5D%5Btype_id%5D=4723&amp;hva%5B0%5D%5Bfilter%5D%5B0%5D%5Bverdi%5D=&amp;hva%5B0%5D%5Bid%5D=15/når:2018-06-22", "Vegkart")</f>
        <v>Vegkart</v>
      </c>
      <c r="B2086">
        <v>870877716</v>
      </c>
      <c r="C2086">
        <v>15</v>
      </c>
      <c r="D2086" t="s">
        <v>5814</v>
      </c>
      <c r="E2086">
        <v>4723</v>
      </c>
      <c r="F2086" t="s">
        <v>23479</v>
      </c>
      <c r="G2086">
        <v>1</v>
      </c>
      <c r="H2086" t="s">
        <v>6961</v>
      </c>
      <c r="J2086" t="s">
        <v>6962</v>
      </c>
      <c r="K2086" t="s">
        <v>21</v>
      </c>
      <c r="L2086" t="s">
        <v>33</v>
      </c>
      <c r="M2086" t="s">
        <v>6963</v>
      </c>
      <c r="N2086" t="s">
        <v>6967</v>
      </c>
      <c r="O2086" t="s">
        <v>6968</v>
      </c>
      <c r="P2086" s="2" t="s">
        <v>37</v>
      </c>
      <c r="Q2086" t="s">
        <v>1208</v>
      </c>
      <c r="R2086">
        <v>5.55</v>
      </c>
      <c r="S2086">
        <v>133.77000000000001</v>
      </c>
      <c r="T2086" t="s">
        <v>6969</v>
      </c>
    </row>
    <row r="2087" spans="1:20" x14ac:dyDescent="0.25">
      <c r="A2087" s="1" t="str">
        <f>HYPERLINK("https://vegkart.atlas.vegvesen.no/#/@-45207.2,6731462.5,18/hva:hva%5B0%5D%5Bfilter%5D%5B0%5D%5Boperator%5D=%21%3D&amp;hva%5B0%5D%5Bfilter%5D%5B0%5D%5Btype_id%5D=4723&amp;hva%5B0%5D%5Bfilter%5D%5B0%5D%5Bverdi%5D=&amp;hva%5B0%5D%5Bid%5D=15/når:2018-06-22", "Vegkart")</f>
        <v>Vegkart</v>
      </c>
      <c r="B2087">
        <v>870877717</v>
      </c>
      <c r="C2087">
        <v>15</v>
      </c>
      <c r="D2087" t="s">
        <v>5814</v>
      </c>
      <c r="E2087">
        <v>4723</v>
      </c>
      <c r="F2087" t="s">
        <v>23479</v>
      </c>
      <c r="G2087">
        <v>1</v>
      </c>
      <c r="H2087" t="s">
        <v>6961</v>
      </c>
      <c r="J2087" t="s">
        <v>6962</v>
      </c>
      <c r="K2087" t="s">
        <v>21</v>
      </c>
      <c r="L2087" t="s">
        <v>22</v>
      </c>
      <c r="M2087" t="s">
        <v>6970</v>
      </c>
      <c r="N2087" t="s">
        <v>6971</v>
      </c>
      <c r="O2087" t="s">
        <v>6972</v>
      </c>
      <c r="P2087" s="2" t="s">
        <v>67</v>
      </c>
      <c r="Q2087" t="s">
        <v>68</v>
      </c>
      <c r="R2087">
        <v>31.8</v>
      </c>
      <c r="S2087">
        <v>32.69</v>
      </c>
      <c r="T2087" t="s">
        <v>6973</v>
      </c>
    </row>
    <row r="2088" spans="1:20" x14ac:dyDescent="0.25">
      <c r="A2088" s="1" t="str">
        <f>HYPERLINK("https://vegkart.atlas.vegvesen.no/#/@-45963.2,6730700.8,18/hva:hva%5B0%5D%5Bfilter%5D%5B0%5D%5Boperator%5D=%21%3D&amp;hva%5B0%5D%5Bfilter%5D%5B0%5D%5Btype_id%5D=4723&amp;hva%5B0%5D%5Bfilter%5D%5B0%5D%5Bverdi%5D=&amp;hva%5B0%5D%5Bid%5D=15/når:2018-06-22", "Vegkart")</f>
        <v>Vegkart</v>
      </c>
      <c r="B2088">
        <v>870877718</v>
      </c>
      <c r="C2088">
        <v>15</v>
      </c>
      <c r="D2088" t="s">
        <v>5814</v>
      </c>
      <c r="E2088">
        <v>4723</v>
      </c>
      <c r="F2088" t="s">
        <v>23479</v>
      </c>
      <c r="G2088">
        <v>1</v>
      </c>
      <c r="H2088" t="s">
        <v>6961</v>
      </c>
      <c r="J2088" t="s">
        <v>6962</v>
      </c>
      <c r="K2088" t="s">
        <v>21</v>
      </c>
      <c r="L2088" t="s">
        <v>33</v>
      </c>
      <c r="M2088" t="s">
        <v>6963</v>
      </c>
      <c r="N2088" t="s">
        <v>6974</v>
      </c>
      <c r="O2088" t="s">
        <v>6975</v>
      </c>
      <c r="P2088" s="2" t="s">
        <v>37</v>
      </c>
      <c r="Q2088" t="s">
        <v>1208</v>
      </c>
      <c r="R2088">
        <v>6.32</v>
      </c>
      <c r="S2088">
        <v>55.94</v>
      </c>
      <c r="T2088" t="s">
        <v>6976</v>
      </c>
    </row>
    <row r="2089" spans="1:20" x14ac:dyDescent="0.25">
      <c r="A2089" s="1" t="str">
        <f>HYPERLINK("https://vegkart.atlas.vegvesen.no/#/@-45641.1,6731073.3,18/hva:hva%5B0%5D%5Bfilter%5D%5B0%5D%5Boperator%5D=%21%3D&amp;hva%5B0%5D%5Bfilter%5D%5B0%5D%5Btype_id%5D=4723&amp;hva%5B0%5D%5Bfilter%5D%5B0%5D%5Bverdi%5D=&amp;hva%5B0%5D%5Bid%5D=15/når:2018-06-22", "Vegkart")</f>
        <v>Vegkart</v>
      </c>
      <c r="B2089">
        <v>870877957</v>
      </c>
      <c r="C2089">
        <v>15</v>
      </c>
      <c r="D2089" t="s">
        <v>5814</v>
      </c>
      <c r="E2089">
        <v>4723</v>
      </c>
      <c r="F2089" t="s">
        <v>23479</v>
      </c>
      <c r="G2089">
        <v>1</v>
      </c>
      <c r="H2089" t="s">
        <v>6961</v>
      </c>
      <c r="J2089" t="s">
        <v>6962</v>
      </c>
      <c r="K2089" t="s">
        <v>21</v>
      </c>
      <c r="L2089" t="s">
        <v>33</v>
      </c>
      <c r="M2089" t="s">
        <v>6963</v>
      </c>
      <c r="N2089" t="s">
        <v>6977</v>
      </c>
      <c r="O2089" t="s">
        <v>6978</v>
      </c>
      <c r="P2089" s="2" t="s">
        <v>37</v>
      </c>
      <c r="Q2089" t="s">
        <v>1208</v>
      </c>
      <c r="R2089">
        <v>12.41</v>
      </c>
      <c r="S2089">
        <v>64.98</v>
      </c>
      <c r="T2089" t="s">
        <v>6979</v>
      </c>
    </row>
    <row r="2090" spans="1:20" x14ac:dyDescent="0.25">
      <c r="A2090" s="1" t="str">
        <f>HYPERLINK("https://vegkart.atlas.vegvesen.no/#/@-45385.4,6731348.3,18/hva:hva%5B0%5D%5Bfilter%5D%5B0%5D%5Boperator%5D=%21%3D&amp;hva%5B0%5D%5Bfilter%5D%5B0%5D%5Btype_id%5D=4723&amp;hva%5B0%5D%5Bfilter%5D%5B0%5D%5Bverdi%5D=&amp;hva%5B0%5D%5Bid%5D=15/når:2018-06-22", "Vegkart")</f>
        <v>Vegkart</v>
      </c>
      <c r="B2090">
        <v>870877958</v>
      </c>
      <c r="C2090">
        <v>15</v>
      </c>
      <c r="D2090" t="s">
        <v>5814</v>
      </c>
      <c r="E2090">
        <v>4723</v>
      </c>
      <c r="F2090" t="s">
        <v>23479</v>
      </c>
      <c r="G2090">
        <v>1</v>
      </c>
      <c r="H2090" t="s">
        <v>6961</v>
      </c>
      <c r="J2090" t="s">
        <v>6962</v>
      </c>
      <c r="K2090" t="s">
        <v>21</v>
      </c>
      <c r="L2090" t="s">
        <v>33</v>
      </c>
      <c r="M2090" t="s">
        <v>6963</v>
      </c>
      <c r="N2090" t="s">
        <v>6980</v>
      </c>
      <c r="O2090" t="s">
        <v>6981</v>
      </c>
      <c r="P2090" s="2" t="s">
        <v>37</v>
      </c>
      <c r="Q2090" t="s">
        <v>1208</v>
      </c>
      <c r="R2090">
        <v>4.25</v>
      </c>
      <c r="S2090">
        <v>40.68</v>
      </c>
      <c r="T2090" t="s">
        <v>6982</v>
      </c>
    </row>
    <row r="2091" spans="1:20" x14ac:dyDescent="0.25">
      <c r="A2091" s="1" t="str">
        <f>HYPERLINK("https://vegkart.atlas.vegvesen.no/#/@32501.1,6753465.1,18/hva:hva%5B0%5D%5Bfilter%5D%5B0%5D%5Boperator%5D=%21%3D&amp;hva%5B0%5D%5Bfilter%5D%5B0%5D%5Btype_id%5D=4723&amp;hva%5B0%5D%5Bfilter%5D%5B0%5D%5Bverdi%5D=&amp;hva%5B0%5D%5Bid%5D=15/når:2021-09-23", "Vegkart")</f>
        <v>Vegkart</v>
      </c>
      <c r="B2091">
        <v>882442751</v>
      </c>
      <c r="C2091">
        <v>15</v>
      </c>
      <c r="D2091" t="s">
        <v>5814</v>
      </c>
      <c r="E2091">
        <v>4723</v>
      </c>
      <c r="F2091" t="s">
        <v>23479</v>
      </c>
      <c r="G2091">
        <v>4</v>
      </c>
      <c r="H2091" t="s">
        <v>6983</v>
      </c>
      <c r="J2091" t="s">
        <v>6962</v>
      </c>
      <c r="K2091" t="s">
        <v>21</v>
      </c>
      <c r="L2091" t="s">
        <v>80</v>
      </c>
      <c r="M2091" t="s">
        <v>152</v>
      </c>
      <c r="N2091" t="s">
        <v>6984</v>
      </c>
      <c r="O2091" t="s">
        <v>6985</v>
      </c>
      <c r="P2091" s="2" t="s">
        <v>67</v>
      </c>
      <c r="Q2091" t="s">
        <v>68</v>
      </c>
      <c r="R2091">
        <v>5.61</v>
      </c>
      <c r="S2091">
        <v>238.79</v>
      </c>
      <c r="T2091" t="s">
        <v>6986</v>
      </c>
    </row>
    <row r="2092" spans="1:20" x14ac:dyDescent="0.25">
      <c r="A2092" s="1" t="str">
        <f>HYPERLINK("https://vegkart.atlas.vegvesen.no/#/@30369.4,6752060.4,18/hva:hva%5B0%5D%5Bfilter%5D%5B0%5D%5Boperator%5D=%21%3D&amp;hva%5B0%5D%5Bfilter%5D%5B0%5D%5Btype_id%5D=4723&amp;hva%5B0%5D%5Bfilter%5D%5B0%5D%5Bverdi%5D=&amp;hva%5B0%5D%5Bid%5D=15/når:2025-04-07", "Vegkart")</f>
        <v>Vegkart</v>
      </c>
      <c r="B2092">
        <v>884622344</v>
      </c>
      <c r="C2092">
        <v>15</v>
      </c>
      <c r="D2092" t="s">
        <v>5814</v>
      </c>
      <c r="E2092">
        <v>4723</v>
      </c>
      <c r="F2092" t="s">
        <v>23479</v>
      </c>
      <c r="G2092">
        <v>4</v>
      </c>
      <c r="H2092" t="s">
        <v>6987</v>
      </c>
      <c r="J2092" t="s">
        <v>6988</v>
      </c>
      <c r="K2092" t="s">
        <v>21</v>
      </c>
      <c r="L2092" t="s">
        <v>80</v>
      </c>
      <c r="M2092" t="s">
        <v>152</v>
      </c>
      <c r="N2092" t="s">
        <v>6989</v>
      </c>
      <c r="O2092" t="s">
        <v>6990</v>
      </c>
      <c r="P2092" s="2" t="s">
        <v>165</v>
      </c>
      <c r="Q2092" t="s">
        <v>641</v>
      </c>
      <c r="R2092">
        <v>3.12</v>
      </c>
      <c r="S2092">
        <v>206.36</v>
      </c>
      <c r="T2092" t="s">
        <v>167</v>
      </c>
    </row>
    <row r="2093" spans="1:20" x14ac:dyDescent="0.25">
      <c r="A2093" s="1" t="str">
        <f>HYPERLINK("https://vegkart.atlas.vegvesen.no/#/@819309.4,7861444.7,18/hva:hva%5B0%5D%5Bfilter%5D%5B0%5D%5Boperator%5D=%21%3D&amp;hva%5B0%5D%5Bfilter%5D%5B0%5D%5Btype_id%5D=4723&amp;hva%5B0%5D%5Bfilter%5D%5B0%5D%5Bverdi%5D=&amp;hva%5B0%5D%5Bid%5D=15/når:2018-08-24", "Vegkart")</f>
        <v>Vegkart</v>
      </c>
      <c r="B2093">
        <v>894208945</v>
      </c>
      <c r="C2093">
        <v>15</v>
      </c>
      <c r="D2093" t="s">
        <v>5814</v>
      </c>
      <c r="E2093">
        <v>4723</v>
      </c>
      <c r="F2093" t="s">
        <v>23479</v>
      </c>
      <c r="G2093">
        <v>1</v>
      </c>
      <c r="H2093" t="s">
        <v>6991</v>
      </c>
      <c r="J2093" t="s">
        <v>6988</v>
      </c>
      <c r="K2093" t="s">
        <v>450</v>
      </c>
      <c r="L2093" t="s">
        <v>113</v>
      </c>
      <c r="M2093" t="s">
        <v>1605</v>
      </c>
      <c r="N2093" t="s">
        <v>6992</v>
      </c>
      <c r="O2093" t="s">
        <v>6993</v>
      </c>
      <c r="P2093" s="2" t="s">
        <v>165</v>
      </c>
      <c r="Q2093" t="s">
        <v>641</v>
      </c>
      <c r="R2093">
        <v>0</v>
      </c>
      <c r="S2093">
        <v>117.75</v>
      </c>
      <c r="T2093" t="s">
        <v>167</v>
      </c>
    </row>
    <row r="2094" spans="1:20" x14ac:dyDescent="0.25">
      <c r="A2094" s="1" t="str">
        <f>HYPERLINK("https://vegkart.atlas.vegvesen.no/#/@-32041.4,6665453.0,18/hva:hva%5B0%5D%5Bfilter%5D%5B0%5D%5Boperator%5D=%21%3D&amp;hva%5B0%5D%5Bfilter%5D%5B0%5D%5Btype_id%5D=4723&amp;hva%5B0%5D%5Bfilter%5D%5B0%5D%5Bverdi%5D=&amp;hva%5B0%5D%5Bid%5D=15/når:2018-10-24", "Vegkart")</f>
        <v>Vegkart</v>
      </c>
      <c r="B2094">
        <v>909813285</v>
      </c>
      <c r="C2094">
        <v>15</v>
      </c>
      <c r="D2094" t="s">
        <v>5814</v>
      </c>
      <c r="E2094">
        <v>4723</v>
      </c>
      <c r="F2094" t="s">
        <v>23479</v>
      </c>
      <c r="G2094">
        <v>1</v>
      </c>
      <c r="H2094" t="s">
        <v>6994</v>
      </c>
      <c r="J2094" t="s">
        <v>6995</v>
      </c>
      <c r="K2094" t="s">
        <v>21</v>
      </c>
      <c r="L2094" t="s">
        <v>33</v>
      </c>
      <c r="M2094" t="s">
        <v>1546</v>
      </c>
      <c r="N2094" t="s">
        <v>6996</v>
      </c>
      <c r="O2094" t="s">
        <v>6997</v>
      </c>
      <c r="P2094" s="2" t="s">
        <v>67</v>
      </c>
      <c r="Q2094" t="s">
        <v>68</v>
      </c>
      <c r="R2094">
        <v>66.180000000000007</v>
      </c>
      <c r="S2094">
        <v>71.16</v>
      </c>
      <c r="T2094" t="s">
        <v>6998</v>
      </c>
    </row>
    <row r="2095" spans="1:20" x14ac:dyDescent="0.25">
      <c r="A2095" s="1" t="str">
        <f>HYPERLINK("https://vegkart.atlas.vegvesen.no/#/@-32042.2,6665428.0,18/hva:hva%5B0%5D%5Bfilter%5D%5B0%5D%5Boperator%5D=%21%3D&amp;hva%5B0%5D%5Bfilter%5D%5B0%5D%5Btype_id%5D=4723&amp;hva%5B0%5D%5Bfilter%5D%5B0%5D%5Bverdi%5D=&amp;hva%5B0%5D%5Bid%5D=15/når:2018-10-24", "Vegkart")</f>
        <v>Vegkart</v>
      </c>
      <c r="B2095">
        <v>909813286</v>
      </c>
      <c r="C2095">
        <v>15</v>
      </c>
      <c r="D2095" t="s">
        <v>5814</v>
      </c>
      <c r="E2095">
        <v>4723</v>
      </c>
      <c r="F2095" t="s">
        <v>23479</v>
      </c>
      <c r="G2095">
        <v>1</v>
      </c>
      <c r="H2095" t="s">
        <v>6994</v>
      </c>
      <c r="J2095" t="s">
        <v>6999</v>
      </c>
      <c r="K2095" t="s">
        <v>21</v>
      </c>
      <c r="L2095" t="s">
        <v>33</v>
      </c>
      <c r="M2095" t="s">
        <v>1546</v>
      </c>
      <c r="N2095" t="s">
        <v>7000</v>
      </c>
      <c r="O2095" t="s">
        <v>7001</v>
      </c>
      <c r="P2095" s="2" t="s">
        <v>67</v>
      </c>
      <c r="Q2095" t="s">
        <v>68</v>
      </c>
      <c r="R2095">
        <v>38.47</v>
      </c>
      <c r="S2095">
        <v>46.99</v>
      </c>
      <c r="T2095" t="s">
        <v>7002</v>
      </c>
    </row>
    <row r="2096" spans="1:20" x14ac:dyDescent="0.25">
      <c r="A2096" s="1" t="str">
        <f>HYPERLINK("https://vegkart.atlas.vegvesen.no/#/@-32185.4,6665531.2,18/hva:hva%5B0%5D%5Bfilter%5D%5B0%5D%5Boperator%5D=%21%3D&amp;hva%5B0%5D%5Bfilter%5D%5B0%5D%5Btype_id%5D=4723&amp;hva%5B0%5D%5Bfilter%5D%5B0%5D%5Bverdi%5D=&amp;hva%5B0%5D%5Bid%5D=15/når:2018-10-24", "Vegkart")</f>
        <v>Vegkart</v>
      </c>
      <c r="B2096">
        <v>909813287</v>
      </c>
      <c r="C2096">
        <v>15</v>
      </c>
      <c r="D2096" t="s">
        <v>5814</v>
      </c>
      <c r="E2096">
        <v>4723</v>
      </c>
      <c r="F2096" t="s">
        <v>23479</v>
      </c>
      <c r="G2096">
        <v>1</v>
      </c>
      <c r="H2096" t="s">
        <v>6994</v>
      </c>
      <c r="J2096" t="s">
        <v>6999</v>
      </c>
      <c r="K2096" t="s">
        <v>21</v>
      </c>
      <c r="L2096" t="s">
        <v>370</v>
      </c>
      <c r="M2096" t="s">
        <v>7003</v>
      </c>
      <c r="N2096" t="s">
        <v>7004</v>
      </c>
      <c r="O2096" t="s">
        <v>7005</v>
      </c>
      <c r="P2096" s="2" t="s">
        <v>67</v>
      </c>
      <c r="Q2096" t="s">
        <v>68</v>
      </c>
      <c r="R2096">
        <v>60.82</v>
      </c>
      <c r="S2096">
        <v>150.29</v>
      </c>
      <c r="T2096" t="s">
        <v>7006</v>
      </c>
    </row>
    <row r="2097" spans="1:20" x14ac:dyDescent="0.25">
      <c r="A2097" s="1" t="str">
        <f>HYPERLINK("https://vegkart.atlas.vegvesen.no/#/@-32071.7,6665428.2,18/hva:hva%5B0%5D%5Bfilter%5D%5B0%5D%5Boperator%5D=%21%3D&amp;hva%5B0%5D%5Bfilter%5D%5B0%5D%5Btype_id%5D=4723&amp;hva%5B0%5D%5Bfilter%5D%5B0%5D%5Bverdi%5D=&amp;hva%5B0%5D%5Bid%5D=15/når:2018-10-24", "Vegkart")</f>
        <v>Vegkart</v>
      </c>
      <c r="B2097">
        <v>909813288</v>
      </c>
      <c r="C2097">
        <v>15</v>
      </c>
      <c r="D2097" t="s">
        <v>5814</v>
      </c>
      <c r="E2097">
        <v>4723</v>
      </c>
      <c r="F2097" t="s">
        <v>23479</v>
      </c>
      <c r="G2097">
        <v>1</v>
      </c>
      <c r="H2097" t="s">
        <v>6994</v>
      </c>
      <c r="J2097" t="s">
        <v>6999</v>
      </c>
      <c r="K2097" t="s">
        <v>21</v>
      </c>
      <c r="L2097" t="s">
        <v>33</v>
      </c>
      <c r="M2097" t="s">
        <v>1546</v>
      </c>
      <c r="N2097" t="s">
        <v>7007</v>
      </c>
      <c r="O2097" t="s">
        <v>7008</v>
      </c>
      <c r="P2097" s="2" t="s">
        <v>37</v>
      </c>
      <c r="Q2097" t="s">
        <v>1208</v>
      </c>
      <c r="R2097">
        <v>7.23</v>
      </c>
      <c r="S2097">
        <v>7.62</v>
      </c>
      <c r="T2097" t="s">
        <v>7009</v>
      </c>
    </row>
    <row r="2098" spans="1:20" x14ac:dyDescent="0.25">
      <c r="A2098" s="1" t="str">
        <f>HYPERLINK("https://vegkart.atlas.vegvesen.no/#/@-32078.2,6665424.0,18/hva:hva%5B0%5D%5Bfilter%5D%5B0%5D%5Boperator%5D=%21%3D&amp;hva%5B0%5D%5Bfilter%5D%5B0%5D%5Btype_id%5D=4723&amp;hva%5B0%5D%5Bfilter%5D%5B0%5D%5Bverdi%5D=&amp;hva%5B0%5D%5Bid%5D=15/når:2018-10-24", "Vegkart")</f>
        <v>Vegkart</v>
      </c>
      <c r="B2098">
        <v>909813289</v>
      </c>
      <c r="C2098">
        <v>15</v>
      </c>
      <c r="D2098" t="s">
        <v>5814</v>
      </c>
      <c r="E2098">
        <v>4723</v>
      </c>
      <c r="F2098" t="s">
        <v>23479</v>
      </c>
      <c r="G2098">
        <v>1</v>
      </c>
      <c r="H2098" t="s">
        <v>6994</v>
      </c>
      <c r="J2098" t="s">
        <v>6999</v>
      </c>
      <c r="K2098" t="s">
        <v>21</v>
      </c>
      <c r="L2098" t="s">
        <v>33</v>
      </c>
      <c r="M2098" t="s">
        <v>1546</v>
      </c>
      <c r="N2098" t="s">
        <v>7010</v>
      </c>
      <c r="O2098" t="s">
        <v>7011</v>
      </c>
      <c r="P2098" s="2" t="s">
        <v>37</v>
      </c>
      <c r="Q2098" t="s">
        <v>1208</v>
      </c>
      <c r="R2098">
        <v>5.35</v>
      </c>
      <c r="S2098">
        <v>6.17</v>
      </c>
      <c r="T2098" t="s">
        <v>7012</v>
      </c>
    </row>
    <row r="2099" spans="1:20" x14ac:dyDescent="0.25">
      <c r="A2099" s="1" t="str">
        <f>HYPERLINK("https://vegkart.atlas.vegvesen.no/#/@-31957.9,6665528.0,18/hva:hva%5B0%5D%5Bfilter%5D%5B0%5D%5Boperator%5D=%21%3D&amp;hva%5B0%5D%5Bfilter%5D%5B0%5D%5Btype_id%5D=4723&amp;hva%5B0%5D%5Bfilter%5D%5B0%5D%5Bverdi%5D=&amp;hva%5B0%5D%5Bid%5D=15/når:2018-10-24", "Vegkart")</f>
        <v>Vegkart</v>
      </c>
      <c r="B2099">
        <v>909813292</v>
      </c>
      <c r="C2099">
        <v>15</v>
      </c>
      <c r="D2099" t="s">
        <v>5814</v>
      </c>
      <c r="E2099">
        <v>4723</v>
      </c>
      <c r="F2099" t="s">
        <v>23479</v>
      </c>
      <c r="G2099">
        <v>1</v>
      </c>
      <c r="H2099" t="s">
        <v>6994</v>
      </c>
      <c r="J2099" t="s">
        <v>6999</v>
      </c>
      <c r="K2099" t="s">
        <v>21</v>
      </c>
      <c r="L2099" t="s">
        <v>33</v>
      </c>
      <c r="M2099" t="s">
        <v>1546</v>
      </c>
      <c r="N2099" t="s">
        <v>7013</v>
      </c>
      <c r="O2099" t="s">
        <v>7014</v>
      </c>
      <c r="P2099" s="2" t="s">
        <v>37</v>
      </c>
      <c r="Q2099" t="s">
        <v>1208</v>
      </c>
      <c r="R2099">
        <v>8.31</v>
      </c>
      <c r="S2099">
        <v>76.67</v>
      </c>
      <c r="T2099" t="s">
        <v>7015</v>
      </c>
    </row>
    <row r="2100" spans="1:20" x14ac:dyDescent="0.25">
      <c r="A2100" s="1" t="str">
        <f>HYPERLINK("https://vegkart.atlas.vegvesen.no/#/@-32052.8,6665422.8,18/hva:hva%5B0%5D%5Bfilter%5D%5B0%5D%5Boperator%5D=%21%3D&amp;hva%5B0%5D%5Bfilter%5D%5B0%5D%5Btype_id%5D=4723&amp;hva%5B0%5D%5Bfilter%5D%5B0%5D%5Bverdi%5D=&amp;hva%5B0%5D%5Bid%5D=15/når:2018-10-24", "Vegkart")</f>
        <v>Vegkart</v>
      </c>
      <c r="B2100">
        <v>909813295</v>
      </c>
      <c r="C2100">
        <v>15</v>
      </c>
      <c r="D2100" t="s">
        <v>5814</v>
      </c>
      <c r="E2100">
        <v>4723</v>
      </c>
      <c r="F2100" t="s">
        <v>23479</v>
      </c>
      <c r="G2100">
        <v>1</v>
      </c>
      <c r="H2100" t="s">
        <v>6994</v>
      </c>
      <c r="J2100" t="s">
        <v>6999</v>
      </c>
      <c r="K2100" t="s">
        <v>21</v>
      </c>
      <c r="L2100" t="s">
        <v>33</v>
      </c>
      <c r="M2100" t="s">
        <v>1546</v>
      </c>
      <c r="N2100" t="s">
        <v>7016</v>
      </c>
      <c r="O2100" t="s">
        <v>7017</v>
      </c>
      <c r="P2100" s="2" t="s">
        <v>67</v>
      </c>
      <c r="Q2100" t="s">
        <v>68</v>
      </c>
      <c r="R2100">
        <v>60.7</v>
      </c>
      <c r="S2100">
        <v>62.33</v>
      </c>
      <c r="T2100" t="s">
        <v>7018</v>
      </c>
    </row>
    <row r="2101" spans="1:20" x14ac:dyDescent="0.25">
      <c r="A2101" s="1" t="str">
        <f>HYPERLINK("https://vegkart.atlas.vegvesen.no/#/@-32086.4,6665402.8,18/hva:hva%5B0%5D%5Bfilter%5D%5B0%5D%5Boperator%5D=%21%3D&amp;hva%5B0%5D%5Bfilter%5D%5B0%5D%5Btype_id%5D=4723&amp;hva%5B0%5D%5Bfilter%5D%5B0%5D%5Bverdi%5D=&amp;hva%5B0%5D%5Bid%5D=15/når:2018-10-24", "Vegkart")</f>
        <v>Vegkart</v>
      </c>
      <c r="B2101">
        <v>909813297</v>
      </c>
      <c r="C2101">
        <v>15</v>
      </c>
      <c r="D2101" t="s">
        <v>5814</v>
      </c>
      <c r="E2101">
        <v>4723</v>
      </c>
      <c r="F2101" t="s">
        <v>23479</v>
      </c>
      <c r="G2101">
        <v>1</v>
      </c>
      <c r="H2101" t="s">
        <v>6994</v>
      </c>
      <c r="J2101" t="s">
        <v>6999</v>
      </c>
      <c r="K2101" t="s">
        <v>21</v>
      </c>
      <c r="L2101" t="s">
        <v>33</v>
      </c>
      <c r="M2101" t="s">
        <v>1546</v>
      </c>
      <c r="N2101" t="s">
        <v>7019</v>
      </c>
      <c r="O2101" t="s">
        <v>7020</v>
      </c>
      <c r="P2101" s="2" t="s">
        <v>165</v>
      </c>
      <c r="Q2101" t="s">
        <v>1012</v>
      </c>
      <c r="R2101">
        <v>17.62</v>
      </c>
      <c r="S2101">
        <v>17.989999999999998</v>
      </c>
      <c r="T2101" t="s">
        <v>167</v>
      </c>
    </row>
    <row r="2102" spans="1:20" x14ac:dyDescent="0.25">
      <c r="A2102" s="1" t="str">
        <f>HYPERLINK("https://vegkart.atlas.vegvesen.no/#/@-32152.5,6665438.2,18/hva:hva%5B0%5D%5Bfilter%5D%5B0%5D%5Boperator%5D=%21%3D&amp;hva%5B0%5D%5Bfilter%5D%5B0%5D%5Btype_id%5D=4723&amp;hva%5B0%5D%5Bfilter%5D%5B0%5D%5Bverdi%5D=&amp;hva%5B0%5D%5Bid%5D=15/når:2018-10-24", "Vegkart")</f>
        <v>Vegkart</v>
      </c>
      <c r="B2102">
        <v>909813298</v>
      </c>
      <c r="C2102">
        <v>15</v>
      </c>
      <c r="D2102" t="s">
        <v>5814</v>
      </c>
      <c r="E2102">
        <v>4723</v>
      </c>
      <c r="F2102" t="s">
        <v>23479</v>
      </c>
      <c r="G2102">
        <v>1</v>
      </c>
      <c r="H2102" t="s">
        <v>6994</v>
      </c>
      <c r="J2102" t="s">
        <v>6999</v>
      </c>
      <c r="K2102" t="s">
        <v>21</v>
      </c>
      <c r="L2102" t="s">
        <v>33</v>
      </c>
      <c r="M2102" t="s">
        <v>1546</v>
      </c>
      <c r="N2102" t="s">
        <v>7021</v>
      </c>
      <c r="O2102" t="s">
        <v>7022</v>
      </c>
      <c r="P2102" s="2" t="s">
        <v>67</v>
      </c>
      <c r="Q2102" t="s">
        <v>68</v>
      </c>
      <c r="R2102">
        <v>138.52000000000001</v>
      </c>
      <c r="S2102">
        <v>177.48</v>
      </c>
      <c r="T2102" t="s">
        <v>7023</v>
      </c>
    </row>
    <row r="2103" spans="1:20" x14ac:dyDescent="0.25">
      <c r="A2103" s="1" t="str">
        <f>HYPERLINK("https://vegkart.atlas.vegvesen.no/#/@-8634.5,6648306.9,18/hva:hva%5B0%5D%5Bfilter%5D%5B0%5D%5Boperator%5D=%21%3D&amp;hva%5B0%5D%5Bfilter%5D%5B0%5D%5Btype_id%5D=4723&amp;hva%5B0%5D%5Bfilter%5D%5B0%5D%5Bverdi%5D=&amp;hva%5B0%5D%5Bid%5D=15/når:2018-10-26", "Vegkart")</f>
        <v>Vegkart</v>
      </c>
      <c r="B2103">
        <v>909960481</v>
      </c>
      <c r="C2103">
        <v>15</v>
      </c>
      <c r="D2103" t="s">
        <v>5814</v>
      </c>
      <c r="E2103">
        <v>4723</v>
      </c>
      <c r="F2103" t="s">
        <v>23479</v>
      </c>
      <c r="G2103">
        <v>1</v>
      </c>
      <c r="H2103" t="s">
        <v>7024</v>
      </c>
      <c r="J2103" t="s">
        <v>6999</v>
      </c>
      <c r="K2103" t="s">
        <v>21</v>
      </c>
      <c r="L2103" t="s">
        <v>80</v>
      </c>
      <c r="M2103" t="s">
        <v>645</v>
      </c>
      <c r="N2103" t="s">
        <v>7025</v>
      </c>
      <c r="O2103" t="s">
        <v>7026</v>
      </c>
      <c r="P2103" s="2" t="s">
        <v>165</v>
      </c>
      <c r="Q2103" t="s">
        <v>1012</v>
      </c>
      <c r="R2103">
        <v>2.1</v>
      </c>
      <c r="S2103">
        <v>2.1</v>
      </c>
      <c r="T2103" t="s">
        <v>167</v>
      </c>
    </row>
    <row r="2104" spans="1:20" x14ac:dyDescent="0.25">
      <c r="A2104" s="1" t="str">
        <f>HYPERLINK("https://vegkart.atlas.vegvesen.no/#/@-43711.4,6782592.1,18/hva:hva%5B0%5D%5Bfilter%5D%5B0%5D%5Boperator%5D=%21%3D&amp;hva%5B0%5D%5Bfilter%5D%5B0%5D%5Btype_id%5D=4723&amp;hva%5B0%5D%5Bfilter%5D%5B0%5D%5Bverdi%5D=&amp;hva%5B0%5D%5Bid%5D=15/når:2019-03-12", "Vegkart")</f>
        <v>Vegkart</v>
      </c>
      <c r="B2104">
        <v>910029673</v>
      </c>
      <c r="C2104">
        <v>15</v>
      </c>
      <c r="D2104" t="s">
        <v>5814</v>
      </c>
      <c r="E2104">
        <v>4723</v>
      </c>
      <c r="F2104" t="s">
        <v>23479</v>
      </c>
      <c r="G2104">
        <v>2</v>
      </c>
      <c r="H2104" t="s">
        <v>7027</v>
      </c>
      <c r="J2104" t="s">
        <v>6999</v>
      </c>
      <c r="K2104" t="s">
        <v>21</v>
      </c>
      <c r="L2104" t="s">
        <v>33</v>
      </c>
      <c r="M2104" t="s">
        <v>7028</v>
      </c>
      <c r="N2104" t="s">
        <v>7029</v>
      </c>
      <c r="O2104" t="s">
        <v>7030</v>
      </c>
      <c r="P2104" s="2" t="s">
        <v>37</v>
      </c>
      <c r="Q2104" t="s">
        <v>1208</v>
      </c>
      <c r="R2104">
        <v>2.12</v>
      </c>
      <c r="S2104">
        <v>40.86</v>
      </c>
      <c r="T2104" t="s">
        <v>7031</v>
      </c>
    </row>
    <row r="2105" spans="1:20" x14ac:dyDescent="0.25">
      <c r="A2105" s="1" t="str">
        <f>HYPERLINK("https://vegkart.atlas.vegvesen.no/#/@89123.0,6468066.2,18/hva:hva%5B0%5D%5Bfilter%5D%5B0%5D%5Boperator%5D=%21%3D&amp;hva%5B0%5D%5Bfilter%5D%5B0%5D%5Btype_id%5D=4723&amp;hva%5B0%5D%5Bfilter%5D%5B0%5D%5Bverdi%5D=&amp;hva%5B0%5D%5Bid%5D=15/når:2018-11-08", "Vegkart")</f>
        <v>Vegkart</v>
      </c>
      <c r="B2105">
        <v>910484316</v>
      </c>
      <c r="C2105">
        <v>15</v>
      </c>
      <c r="D2105" t="s">
        <v>5814</v>
      </c>
      <c r="E2105">
        <v>4723</v>
      </c>
      <c r="F2105" t="s">
        <v>23479</v>
      </c>
      <c r="G2105">
        <v>1</v>
      </c>
      <c r="H2105" t="s">
        <v>7032</v>
      </c>
      <c r="J2105" t="s">
        <v>6999</v>
      </c>
      <c r="K2105" t="s">
        <v>86</v>
      </c>
      <c r="L2105" t="s">
        <v>33</v>
      </c>
      <c r="M2105" t="s">
        <v>7033</v>
      </c>
      <c r="N2105" t="s">
        <v>7034</v>
      </c>
      <c r="O2105" t="s">
        <v>7035</v>
      </c>
      <c r="P2105" s="2" t="s">
        <v>165</v>
      </c>
      <c r="Q2105" t="s">
        <v>641</v>
      </c>
      <c r="R2105">
        <v>0</v>
      </c>
      <c r="S2105">
        <v>185.86</v>
      </c>
      <c r="T2105" t="s">
        <v>167</v>
      </c>
    </row>
    <row r="2106" spans="1:20" x14ac:dyDescent="0.25">
      <c r="A2106" s="1" t="str">
        <f>HYPERLINK("https://vegkart.atlas.vegvesen.no/#/@266664.1,7037307.2,18/hva:hva%5B0%5D%5Bfilter%5D%5B0%5D%5Boperator%5D=%21%3D&amp;hva%5B0%5D%5Bfilter%5D%5B0%5D%5Btype_id%5D=4723&amp;hva%5B0%5D%5Bfilter%5D%5B0%5D%5Bverdi%5D=&amp;hva%5B0%5D%5Bid%5D=15/når:2018-11-29", "Vegkart")</f>
        <v>Vegkart</v>
      </c>
      <c r="B2106">
        <v>912444029</v>
      </c>
      <c r="C2106">
        <v>15</v>
      </c>
      <c r="D2106" t="s">
        <v>5814</v>
      </c>
      <c r="E2106">
        <v>4723</v>
      </c>
      <c r="F2106" t="s">
        <v>23479</v>
      </c>
      <c r="G2106">
        <v>1</v>
      </c>
      <c r="H2106" t="s">
        <v>7036</v>
      </c>
      <c r="J2106" t="s">
        <v>6999</v>
      </c>
      <c r="K2106" t="s">
        <v>192</v>
      </c>
      <c r="L2106" t="s">
        <v>22</v>
      </c>
      <c r="M2106" t="s">
        <v>7037</v>
      </c>
      <c r="N2106" t="s">
        <v>7038</v>
      </c>
      <c r="O2106" t="s">
        <v>7039</v>
      </c>
      <c r="P2106" s="2" t="s">
        <v>37</v>
      </c>
      <c r="Q2106" t="s">
        <v>1208</v>
      </c>
      <c r="R2106">
        <v>10.41</v>
      </c>
      <c r="S2106">
        <v>11.63</v>
      </c>
      <c r="T2106" t="s">
        <v>7040</v>
      </c>
    </row>
    <row r="2107" spans="1:20" x14ac:dyDescent="0.25">
      <c r="A2107" s="1" t="str">
        <f>HYPERLINK("https://vegkart.atlas.vegvesen.no/#/@266661.8,7037302.3,18/hva:hva%5B0%5D%5Bfilter%5D%5B0%5D%5Boperator%5D=%21%3D&amp;hva%5B0%5D%5Bfilter%5D%5B0%5D%5Btype_id%5D=4723&amp;hva%5B0%5D%5Bfilter%5D%5B0%5D%5Bverdi%5D=&amp;hva%5B0%5D%5Bid%5D=15/når:2018-11-29", "Vegkart")</f>
        <v>Vegkart</v>
      </c>
      <c r="B2107">
        <v>912444030</v>
      </c>
      <c r="C2107">
        <v>15</v>
      </c>
      <c r="D2107" t="s">
        <v>5814</v>
      </c>
      <c r="E2107">
        <v>4723</v>
      </c>
      <c r="F2107" t="s">
        <v>23479</v>
      </c>
      <c r="G2107">
        <v>1</v>
      </c>
      <c r="H2107" t="s">
        <v>7036</v>
      </c>
      <c r="J2107" t="s">
        <v>6999</v>
      </c>
      <c r="K2107" t="s">
        <v>192</v>
      </c>
      <c r="L2107" t="s">
        <v>22</v>
      </c>
      <c r="M2107" t="s">
        <v>7037</v>
      </c>
      <c r="N2107" t="s">
        <v>7041</v>
      </c>
      <c r="O2107" t="s">
        <v>7042</v>
      </c>
      <c r="P2107" s="2" t="s">
        <v>37</v>
      </c>
      <c r="Q2107" t="s">
        <v>1208</v>
      </c>
      <c r="R2107">
        <v>0.32</v>
      </c>
      <c r="S2107">
        <v>0.39</v>
      </c>
      <c r="T2107" t="s">
        <v>7043</v>
      </c>
    </row>
    <row r="2108" spans="1:20" x14ac:dyDescent="0.25">
      <c r="A2108" s="1" t="str">
        <f>HYPERLINK("https://vegkart.atlas.vegvesen.no/#/@496386.1,7608159.3,18/hva:hva%5B0%5D%5Bfilter%5D%5B0%5D%5Boperator%5D=%21%3D&amp;hva%5B0%5D%5Bfilter%5D%5B0%5D%5Btype_id%5D=4723&amp;hva%5B0%5D%5Bfilter%5D%5B0%5D%5Bverdi%5D=&amp;hva%5B0%5D%5Bid%5D=15/når:2018-12-20", "Vegkart")</f>
        <v>Vegkart</v>
      </c>
      <c r="B2108">
        <v>913932381</v>
      </c>
      <c r="C2108">
        <v>15</v>
      </c>
      <c r="D2108" t="s">
        <v>5814</v>
      </c>
      <c r="E2108">
        <v>4723</v>
      </c>
      <c r="F2108" t="s">
        <v>23479</v>
      </c>
      <c r="G2108">
        <v>1</v>
      </c>
      <c r="H2108" t="s">
        <v>7044</v>
      </c>
      <c r="J2108" t="s">
        <v>6999</v>
      </c>
      <c r="K2108" t="s">
        <v>53</v>
      </c>
      <c r="L2108" t="s">
        <v>22</v>
      </c>
      <c r="M2108" t="s">
        <v>7045</v>
      </c>
      <c r="N2108" t="s">
        <v>7046</v>
      </c>
      <c r="O2108" t="s">
        <v>7047</v>
      </c>
      <c r="P2108" s="2" t="s">
        <v>165</v>
      </c>
      <c r="Q2108" t="s">
        <v>641</v>
      </c>
      <c r="R2108">
        <v>0</v>
      </c>
      <c r="S2108">
        <v>29.85</v>
      </c>
      <c r="T2108" t="s">
        <v>167</v>
      </c>
    </row>
    <row r="2109" spans="1:20" x14ac:dyDescent="0.25">
      <c r="A2109" s="1" t="str">
        <f>HYPERLINK("https://vegkart.atlas.vegvesen.no/#/@815336.2,7779662.8,18/hva:hva%5B0%5D%5Bfilter%5D%5B0%5D%5Boperator%5D=%21%3D&amp;hva%5B0%5D%5Bfilter%5D%5B0%5D%5Btype_id%5D=4723&amp;hva%5B0%5D%5Bfilter%5D%5B0%5D%5Bverdi%5D=&amp;hva%5B0%5D%5Bid%5D=15/når:2019-01-08", "Vegkart")</f>
        <v>Vegkart</v>
      </c>
      <c r="B2109">
        <v>914312356</v>
      </c>
      <c r="C2109">
        <v>15</v>
      </c>
      <c r="D2109" t="s">
        <v>5814</v>
      </c>
      <c r="E2109">
        <v>4723</v>
      </c>
      <c r="F2109" t="s">
        <v>23479</v>
      </c>
      <c r="G2109">
        <v>1</v>
      </c>
      <c r="H2109" t="s">
        <v>7048</v>
      </c>
      <c r="J2109" t="s">
        <v>7049</v>
      </c>
      <c r="K2109" t="s">
        <v>450</v>
      </c>
      <c r="L2109" t="s">
        <v>80</v>
      </c>
      <c r="M2109" t="s">
        <v>7050</v>
      </c>
      <c r="N2109" t="s">
        <v>7051</v>
      </c>
      <c r="O2109" t="s">
        <v>7052</v>
      </c>
      <c r="P2109" s="2" t="s">
        <v>37</v>
      </c>
      <c r="Q2109" t="s">
        <v>1208</v>
      </c>
      <c r="R2109">
        <v>0</v>
      </c>
      <c r="S2109">
        <v>617.35</v>
      </c>
      <c r="T2109" t="s">
        <v>7053</v>
      </c>
    </row>
    <row r="2110" spans="1:20" x14ac:dyDescent="0.25">
      <c r="A2110" s="1" t="str">
        <f>HYPERLINK("https://vegkart.atlas.vegvesen.no/#/@815442.1,7779497.4,18/hva:hva%5B0%5D%5Bfilter%5D%5B0%5D%5Boperator%5D=%21%3D&amp;hva%5B0%5D%5Bfilter%5D%5B0%5D%5Btype_id%5D=4723&amp;hva%5B0%5D%5Bfilter%5D%5B0%5D%5Bverdi%5D=&amp;hva%5B0%5D%5Bid%5D=15/når:2019-01-08", "Vegkart")</f>
        <v>Vegkart</v>
      </c>
      <c r="B2110">
        <v>914312357</v>
      </c>
      <c r="C2110">
        <v>15</v>
      </c>
      <c r="D2110" t="s">
        <v>5814</v>
      </c>
      <c r="E2110">
        <v>4723</v>
      </c>
      <c r="F2110" t="s">
        <v>23479</v>
      </c>
      <c r="G2110">
        <v>1</v>
      </c>
      <c r="H2110" t="s">
        <v>7048</v>
      </c>
      <c r="J2110" t="s">
        <v>7049</v>
      </c>
      <c r="K2110" t="s">
        <v>450</v>
      </c>
      <c r="L2110" t="s">
        <v>80</v>
      </c>
      <c r="M2110" t="s">
        <v>7050</v>
      </c>
      <c r="N2110" t="s">
        <v>7054</v>
      </c>
      <c r="O2110" t="s">
        <v>7055</v>
      </c>
      <c r="P2110" s="2" t="s">
        <v>37</v>
      </c>
      <c r="Q2110" t="s">
        <v>1208</v>
      </c>
      <c r="R2110">
        <v>0</v>
      </c>
      <c r="S2110">
        <v>221.19</v>
      </c>
      <c r="T2110" t="s">
        <v>7056</v>
      </c>
    </row>
    <row r="2111" spans="1:20" x14ac:dyDescent="0.25">
      <c r="A2111" s="1" t="str">
        <f>HYPERLINK("https://vegkart.atlas.vegvesen.no/#/@814897.9,7780131.0,18/hva:hva%5B0%5D%5Bfilter%5D%5B0%5D%5Boperator%5D=%21%3D&amp;hva%5B0%5D%5Bfilter%5D%5B0%5D%5Btype_id%5D=4723&amp;hva%5B0%5D%5Bfilter%5D%5B0%5D%5Bverdi%5D=&amp;hva%5B0%5D%5Bid%5D=15/når:2019-01-08", "Vegkart")</f>
        <v>Vegkart</v>
      </c>
      <c r="B2111">
        <v>914312358</v>
      </c>
      <c r="C2111">
        <v>15</v>
      </c>
      <c r="D2111" t="s">
        <v>5814</v>
      </c>
      <c r="E2111">
        <v>4723</v>
      </c>
      <c r="F2111" t="s">
        <v>23479</v>
      </c>
      <c r="G2111">
        <v>1</v>
      </c>
      <c r="H2111" t="s">
        <v>7048</v>
      </c>
      <c r="J2111" t="s">
        <v>7049</v>
      </c>
      <c r="K2111" t="s">
        <v>450</v>
      </c>
      <c r="L2111" t="s">
        <v>80</v>
      </c>
      <c r="M2111" t="s">
        <v>7050</v>
      </c>
      <c r="N2111" t="s">
        <v>7057</v>
      </c>
      <c r="O2111" t="s">
        <v>7058</v>
      </c>
      <c r="P2111" s="2" t="s">
        <v>37</v>
      </c>
      <c r="Q2111" t="s">
        <v>1208</v>
      </c>
      <c r="R2111">
        <v>0</v>
      </c>
      <c r="S2111">
        <v>227.24</v>
      </c>
      <c r="T2111" t="s">
        <v>7059</v>
      </c>
    </row>
    <row r="2112" spans="1:20" x14ac:dyDescent="0.25">
      <c r="A2112" s="1" t="str">
        <f>HYPERLINK("https://vegkart.atlas.vegvesen.no/#/@815403.0,7779510.4,18/hva:hva%5B0%5D%5Bfilter%5D%5B0%5D%5Boperator%5D=%21%3D&amp;hva%5B0%5D%5Bfilter%5D%5B0%5D%5Btype_id%5D=4723&amp;hva%5B0%5D%5Bfilter%5D%5B0%5D%5Bverdi%5D=&amp;hva%5B0%5D%5Bid%5D=15/når:2019-01-08", "Vegkart")</f>
        <v>Vegkart</v>
      </c>
      <c r="B2112">
        <v>914312359</v>
      </c>
      <c r="C2112">
        <v>15</v>
      </c>
      <c r="D2112" t="s">
        <v>5814</v>
      </c>
      <c r="E2112">
        <v>4723</v>
      </c>
      <c r="F2112" t="s">
        <v>23479</v>
      </c>
      <c r="G2112">
        <v>1</v>
      </c>
      <c r="H2112" t="s">
        <v>7048</v>
      </c>
      <c r="J2112" t="s">
        <v>7049</v>
      </c>
      <c r="K2112" t="s">
        <v>450</v>
      </c>
      <c r="L2112" t="s">
        <v>80</v>
      </c>
      <c r="M2112" t="s">
        <v>7050</v>
      </c>
      <c r="N2112" t="s">
        <v>7060</v>
      </c>
      <c r="O2112" t="s">
        <v>7061</v>
      </c>
      <c r="P2112" s="2" t="s">
        <v>37</v>
      </c>
      <c r="Q2112" t="s">
        <v>1208</v>
      </c>
      <c r="R2112">
        <v>0</v>
      </c>
      <c r="S2112">
        <v>194.54</v>
      </c>
      <c r="T2112" t="s">
        <v>7062</v>
      </c>
    </row>
    <row r="2113" spans="1:20" x14ac:dyDescent="0.25">
      <c r="A2113" s="1" t="str">
        <f>HYPERLINK("https://vegkart.atlas.vegvesen.no/#/@815467.1,7779455.6,18/hva:hva%5B0%5D%5Bfilter%5D%5B0%5D%5Boperator%5D=%21%3D&amp;hva%5B0%5D%5Bfilter%5D%5B0%5D%5Btype_id%5D=4723&amp;hva%5B0%5D%5Bfilter%5D%5B0%5D%5Bverdi%5D=&amp;hva%5B0%5D%5Bid%5D=15/når:2019-01-08", "Vegkart")</f>
        <v>Vegkart</v>
      </c>
      <c r="B2113">
        <v>914312360</v>
      </c>
      <c r="C2113">
        <v>15</v>
      </c>
      <c r="D2113" t="s">
        <v>5814</v>
      </c>
      <c r="E2113">
        <v>4723</v>
      </c>
      <c r="F2113" t="s">
        <v>23479</v>
      </c>
      <c r="G2113">
        <v>1</v>
      </c>
      <c r="H2113" t="s">
        <v>7048</v>
      </c>
      <c r="J2113" t="s">
        <v>7049</v>
      </c>
      <c r="K2113" t="s">
        <v>450</v>
      </c>
      <c r="L2113" t="s">
        <v>80</v>
      </c>
      <c r="M2113" t="s">
        <v>7050</v>
      </c>
      <c r="N2113" t="s">
        <v>7063</v>
      </c>
      <c r="O2113" t="s">
        <v>7064</v>
      </c>
      <c r="P2113" s="2" t="s">
        <v>37</v>
      </c>
      <c r="Q2113" t="s">
        <v>1208</v>
      </c>
      <c r="R2113">
        <v>0</v>
      </c>
      <c r="S2113">
        <v>296.58</v>
      </c>
      <c r="T2113" t="s">
        <v>7065</v>
      </c>
    </row>
    <row r="2114" spans="1:20" x14ac:dyDescent="0.25">
      <c r="A2114" s="1" t="str">
        <f>HYPERLINK("https://vegkart.atlas.vegvesen.no/#/@815096.2,7779896.2,18/hva:hva%5B0%5D%5Bfilter%5D%5B0%5D%5Boperator%5D=%21%3D&amp;hva%5B0%5D%5Bfilter%5D%5B0%5D%5Btype_id%5D=4723&amp;hva%5B0%5D%5Bfilter%5D%5B0%5D%5Bverdi%5D=&amp;hva%5B0%5D%5Bid%5D=15/når:2019-01-08", "Vegkart")</f>
        <v>Vegkart</v>
      </c>
      <c r="B2114">
        <v>914312361</v>
      </c>
      <c r="C2114">
        <v>15</v>
      </c>
      <c r="D2114" t="s">
        <v>5814</v>
      </c>
      <c r="E2114">
        <v>4723</v>
      </c>
      <c r="F2114" t="s">
        <v>23479</v>
      </c>
      <c r="G2114">
        <v>1</v>
      </c>
      <c r="H2114" t="s">
        <v>7048</v>
      </c>
      <c r="J2114" t="s">
        <v>7049</v>
      </c>
      <c r="K2114" t="s">
        <v>450</v>
      </c>
      <c r="L2114" t="s">
        <v>80</v>
      </c>
      <c r="M2114" t="s">
        <v>7050</v>
      </c>
      <c r="N2114" t="s">
        <v>7066</v>
      </c>
      <c r="O2114" t="s">
        <v>7067</v>
      </c>
      <c r="P2114" s="2" t="s">
        <v>37</v>
      </c>
      <c r="Q2114" t="s">
        <v>1208</v>
      </c>
      <c r="R2114">
        <v>0</v>
      </c>
      <c r="S2114">
        <v>607.63</v>
      </c>
      <c r="T2114" t="s">
        <v>7068</v>
      </c>
    </row>
    <row r="2115" spans="1:20" x14ac:dyDescent="0.25">
      <c r="A2115" s="1" t="str">
        <f>HYPERLINK("https://vegkart.atlas.vegvesen.no/#/@814951.5,7780037.3,18/hva:hva%5B0%5D%5Bfilter%5D%5B0%5D%5Boperator%5D=%21%3D&amp;hva%5B0%5D%5Bfilter%5D%5B0%5D%5Btype_id%5D=4723&amp;hva%5B0%5D%5Bfilter%5D%5B0%5D%5Bverdi%5D=&amp;hva%5B0%5D%5Bid%5D=15/når:2019-01-08", "Vegkart")</f>
        <v>Vegkart</v>
      </c>
      <c r="B2115">
        <v>914312362</v>
      </c>
      <c r="C2115">
        <v>15</v>
      </c>
      <c r="D2115" t="s">
        <v>5814</v>
      </c>
      <c r="E2115">
        <v>4723</v>
      </c>
      <c r="F2115" t="s">
        <v>23479</v>
      </c>
      <c r="G2115">
        <v>1</v>
      </c>
      <c r="H2115" t="s">
        <v>7048</v>
      </c>
      <c r="J2115" t="s">
        <v>7049</v>
      </c>
      <c r="K2115" t="s">
        <v>450</v>
      </c>
      <c r="L2115" t="s">
        <v>80</v>
      </c>
      <c r="M2115" t="s">
        <v>7050</v>
      </c>
      <c r="N2115" t="s">
        <v>7069</v>
      </c>
      <c r="O2115" t="s">
        <v>7070</v>
      </c>
      <c r="P2115" s="2" t="s">
        <v>37</v>
      </c>
      <c r="Q2115" t="s">
        <v>1208</v>
      </c>
      <c r="R2115">
        <v>0</v>
      </c>
      <c r="S2115">
        <v>195.63</v>
      </c>
      <c r="T2115" t="s">
        <v>7071</v>
      </c>
    </row>
    <row r="2116" spans="1:20" x14ac:dyDescent="0.25">
      <c r="A2116" s="1" t="str">
        <f>HYPERLINK("https://vegkart.atlas.vegvesen.no/#/@815422.0,7779450.7,18/hva:hva%5B0%5D%5Bfilter%5D%5B0%5D%5Boperator%5D=%21%3D&amp;hva%5B0%5D%5Bfilter%5D%5B0%5D%5Btype_id%5D=4723&amp;hva%5B0%5D%5Bfilter%5D%5B0%5D%5Bverdi%5D=&amp;hva%5B0%5D%5Bid%5D=15/når:2019-01-08", "Vegkart")</f>
        <v>Vegkart</v>
      </c>
      <c r="B2116">
        <v>914312363</v>
      </c>
      <c r="C2116">
        <v>15</v>
      </c>
      <c r="D2116" t="s">
        <v>5814</v>
      </c>
      <c r="E2116">
        <v>4723</v>
      </c>
      <c r="F2116" t="s">
        <v>23479</v>
      </c>
      <c r="G2116">
        <v>1</v>
      </c>
      <c r="H2116" t="s">
        <v>7048</v>
      </c>
      <c r="J2116" t="s">
        <v>7049</v>
      </c>
      <c r="K2116" t="s">
        <v>450</v>
      </c>
      <c r="L2116" t="s">
        <v>80</v>
      </c>
      <c r="M2116" t="s">
        <v>7050</v>
      </c>
      <c r="N2116" t="s">
        <v>7072</v>
      </c>
      <c r="O2116" t="s">
        <v>7073</v>
      </c>
      <c r="P2116" s="2" t="s">
        <v>37</v>
      </c>
      <c r="Q2116" t="s">
        <v>1208</v>
      </c>
      <c r="R2116">
        <v>0</v>
      </c>
      <c r="S2116">
        <v>132.5</v>
      </c>
      <c r="T2116" t="s">
        <v>7074</v>
      </c>
    </row>
    <row r="2117" spans="1:20" x14ac:dyDescent="0.25">
      <c r="A2117" s="1" t="str">
        <f>HYPERLINK("https://vegkart.atlas.vegvesen.no/#/@-39381.2,6680618.6,18/hva:hva%5B0%5D%5Bfilter%5D%5B0%5D%5Boperator%5D=%21%3D&amp;hva%5B0%5D%5Bfilter%5D%5B0%5D%5Btype_id%5D=4723&amp;hva%5B0%5D%5Bfilter%5D%5B0%5D%5Bverdi%5D=&amp;hva%5B0%5D%5Bid%5D=15/når:2019-01-23", "Vegkart")</f>
        <v>Vegkart</v>
      </c>
      <c r="B2117">
        <v>915345735</v>
      </c>
      <c r="C2117">
        <v>15</v>
      </c>
      <c r="D2117" t="s">
        <v>5814</v>
      </c>
      <c r="E2117">
        <v>4723</v>
      </c>
      <c r="F2117" t="s">
        <v>23479</v>
      </c>
      <c r="G2117">
        <v>1</v>
      </c>
      <c r="H2117" t="s">
        <v>7075</v>
      </c>
      <c r="J2117" t="s">
        <v>7049</v>
      </c>
      <c r="K2117" t="s">
        <v>21</v>
      </c>
      <c r="L2117" t="s">
        <v>33</v>
      </c>
      <c r="M2117" t="s">
        <v>7076</v>
      </c>
      <c r="N2117" t="s">
        <v>7077</v>
      </c>
      <c r="O2117" t="s">
        <v>7078</v>
      </c>
      <c r="P2117" s="2" t="s">
        <v>165</v>
      </c>
      <c r="Q2117" t="s">
        <v>641</v>
      </c>
      <c r="R2117">
        <v>0</v>
      </c>
      <c r="S2117">
        <v>16.16</v>
      </c>
      <c r="T2117" t="s">
        <v>167</v>
      </c>
    </row>
    <row r="2118" spans="1:20" x14ac:dyDescent="0.25">
      <c r="A2118" s="1" t="str">
        <f>HYPERLINK("https://vegkart.atlas.vegvesen.no/#/@-39339.0,6679594.4,18/hva:hva%5B0%5D%5Bfilter%5D%5B0%5D%5Boperator%5D=%21%3D&amp;hva%5B0%5D%5Bfilter%5D%5B0%5D%5Btype_id%5D=4723&amp;hva%5B0%5D%5Bfilter%5D%5B0%5D%5Bverdi%5D=&amp;hva%5B0%5D%5Bid%5D=15/når:2019-01-23", "Vegkart")</f>
        <v>Vegkart</v>
      </c>
      <c r="B2118">
        <v>915345739</v>
      </c>
      <c r="C2118">
        <v>15</v>
      </c>
      <c r="D2118" t="s">
        <v>5814</v>
      </c>
      <c r="E2118">
        <v>4723</v>
      </c>
      <c r="F2118" t="s">
        <v>23479</v>
      </c>
      <c r="G2118">
        <v>1</v>
      </c>
      <c r="H2118" t="s">
        <v>7075</v>
      </c>
      <c r="J2118" t="s">
        <v>7049</v>
      </c>
      <c r="K2118" t="s">
        <v>21</v>
      </c>
      <c r="L2118" t="s">
        <v>33</v>
      </c>
      <c r="M2118" t="s">
        <v>7076</v>
      </c>
      <c r="N2118" t="s">
        <v>7079</v>
      </c>
      <c r="O2118" t="s">
        <v>7080</v>
      </c>
      <c r="P2118" s="2" t="s">
        <v>165</v>
      </c>
      <c r="Q2118" t="s">
        <v>641</v>
      </c>
      <c r="R2118">
        <v>0</v>
      </c>
      <c r="S2118">
        <v>509.79</v>
      </c>
      <c r="T2118" t="s">
        <v>167</v>
      </c>
    </row>
    <row r="2119" spans="1:20" x14ac:dyDescent="0.25">
      <c r="A2119" s="1" t="str">
        <f>HYPERLINK("https://vegkart.atlas.vegvesen.no/#/@-48732.4,6720174.1,18/hva:hva%5B0%5D%5Bfilter%5D%5B0%5D%5Boperator%5D=%21%3D&amp;hva%5B0%5D%5Bfilter%5D%5B0%5D%5Btype_id%5D=4723&amp;hva%5B0%5D%5Bfilter%5D%5B0%5D%5Bverdi%5D=&amp;hva%5B0%5D%5Bid%5D=15/når:2019-02-14", "Vegkart")</f>
        <v>Vegkart</v>
      </c>
      <c r="B2119">
        <v>916420116</v>
      </c>
      <c r="C2119">
        <v>15</v>
      </c>
      <c r="D2119" t="s">
        <v>5814</v>
      </c>
      <c r="E2119">
        <v>4723</v>
      </c>
      <c r="F2119" t="s">
        <v>23479</v>
      </c>
      <c r="G2119">
        <v>1</v>
      </c>
      <c r="H2119" t="s">
        <v>7081</v>
      </c>
      <c r="J2119" t="s">
        <v>7049</v>
      </c>
      <c r="K2119" t="s">
        <v>21</v>
      </c>
      <c r="L2119" t="s">
        <v>370</v>
      </c>
      <c r="M2119" t="s">
        <v>7082</v>
      </c>
      <c r="N2119" t="s">
        <v>7083</v>
      </c>
      <c r="O2119" t="s">
        <v>7084</v>
      </c>
      <c r="P2119" s="2" t="s">
        <v>67</v>
      </c>
      <c r="Q2119" t="s">
        <v>68</v>
      </c>
      <c r="R2119">
        <v>29.05</v>
      </c>
      <c r="S2119">
        <v>31.28</v>
      </c>
      <c r="T2119" t="s">
        <v>7085</v>
      </c>
    </row>
    <row r="2120" spans="1:20" x14ac:dyDescent="0.25">
      <c r="A2120" s="1" t="str">
        <f>HYPERLINK("https://vegkart.atlas.vegvesen.no/#/@-48927.3,6720143.9,18/hva:hva%5B0%5D%5Bfilter%5D%5B0%5D%5Boperator%5D=%21%3D&amp;hva%5B0%5D%5Bfilter%5D%5B0%5D%5Btype_id%5D=4723&amp;hva%5B0%5D%5Bfilter%5D%5B0%5D%5Bverdi%5D=&amp;hva%5B0%5D%5Bid%5D=15/når:2019-02-14", "Vegkart")</f>
        <v>Vegkart</v>
      </c>
      <c r="B2120">
        <v>916420117</v>
      </c>
      <c r="C2120">
        <v>15</v>
      </c>
      <c r="D2120" t="s">
        <v>5814</v>
      </c>
      <c r="E2120">
        <v>4723</v>
      </c>
      <c r="F2120" t="s">
        <v>23479</v>
      </c>
      <c r="G2120">
        <v>1</v>
      </c>
      <c r="H2120" t="s">
        <v>7081</v>
      </c>
      <c r="J2120" t="s">
        <v>7049</v>
      </c>
      <c r="K2120" t="s">
        <v>21</v>
      </c>
      <c r="L2120" t="s">
        <v>33</v>
      </c>
      <c r="M2120" t="s">
        <v>7086</v>
      </c>
      <c r="N2120" t="s">
        <v>7087</v>
      </c>
      <c r="O2120" t="s">
        <v>7088</v>
      </c>
      <c r="P2120" s="2" t="s">
        <v>37</v>
      </c>
      <c r="Q2120" t="s">
        <v>1208</v>
      </c>
      <c r="R2120">
        <v>16.98</v>
      </c>
      <c r="S2120">
        <v>20.73</v>
      </c>
      <c r="T2120" t="s">
        <v>7089</v>
      </c>
    </row>
    <row r="2121" spans="1:20" x14ac:dyDescent="0.25">
      <c r="A2121" s="1" t="str">
        <f>HYPERLINK("https://vegkart.atlas.vegvesen.no/#/@-48962.9,6720122.1,18/hva:hva%5B0%5D%5Bfilter%5D%5B0%5D%5Boperator%5D=%21%3D&amp;hva%5B0%5D%5Bfilter%5D%5B0%5D%5Btype_id%5D=4723&amp;hva%5B0%5D%5Bfilter%5D%5B0%5D%5Bverdi%5D=&amp;hva%5B0%5D%5Bid%5D=15/når:2019-02-14", "Vegkart")</f>
        <v>Vegkart</v>
      </c>
      <c r="B2121">
        <v>916420118</v>
      </c>
      <c r="C2121">
        <v>15</v>
      </c>
      <c r="D2121" t="s">
        <v>5814</v>
      </c>
      <c r="E2121">
        <v>4723</v>
      </c>
      <c r="F2121" t="s">
        <v>23479</v>
      </c>
      <c r="G2121">
        <v>1</v>
      </c>
      <c r="H2121" t="s">
        <v>7081</v>
      </c>
      <c r="J2121" t="s">
        <v>7049</v>
      </c>
      <c r="K2121" t="s">
        <v>21</v>
      </c>
      <c r="L2121" t="s">
        <v>33</v>
      </c>
      <c r="M2121" t="s">
        <v>7086</v>
      </c>
      <c r="N2121" t="s">
        <v>7090</v>
      </c>
      <c r="O2121" t="s">
        <v>7091</v>
      </c>
      <c r="P2121" s="2" t="s">
        <v>165</v>
      </c>
      <c r="Q2121" t="s">
        <v>1012</v>
      </c>
      <c r="R2121">
        <v>10.98</v>
      </c>
      <c r="S2121">
        <v>11.05</v>
      </c>
      <c r="T2121" t="s">
        <v>167</v>
      </c>
    </row>
    <row r="2122" spans="1:20" x14ac:dyDescent="0.25">
      <c r="A2122" s="1" t="str">
        <f>HYPERLINK("https://vegkart.atlas.vegvesen.no/#/@-48952.2,6720114.7,18/hva:hva%5B0%5D%5Bfilter%5D%5B0%5D%5Boperator%5D=%21%3D&amp;hva%5B0%5D%5Bfilter%5D%5B0%5D%5Btype_id%5D=4723&amp;hva%5B0%5D%5Bfilter%5D%5B0%5D%5Bverdi%5D=&amp;hva%5B0%5D%5Bid%5D=15/når:2019-02-14", "Vegkart")</f>
        <v>Vegkart</v>
      </c>
      <c r="B2122">
        <v>916420119</v>
      </c>
      <c r="C2122">
        <v>15</v>
      </c>
      <c r="D2122" t="s">
        <v>5814</v>
      </c>
      <c r="E2122">
        <v>4723</v>
      </c>
      <c r="F2122" t="s">
        <v>23479</v>
      </c>
      <c r="G2122">
        <v>1</v>
      </c>
      <c r="H2122" t="s">
        <v>7081</v>
      </c>
      <c r="J2122" t="s">
        <v>7049</v>
      </c>
      <c r="K2122" t="s">
        <v>21</v>
      </c>
      <c r="L2122" t="s">
        <v>33</v>
      </c>
      <c r="M2122" t="s">
        <v>7086</v>
      </c>
      <c r="N2122" t="s">
        <v>7092</v>
      </c>
      <c r="O2122" t="s">
        <v>7093</v>
      </c>
      <c r="P2122" s="2" t="s">
        <v>67</v>
      </c>
      <c r="Q2122" t="s">
        <v>68</v>
      </c>
      <c r="R2122">
        <v>43.04</v>
      </c>
      <c r="S2122">
        <v>43.56</v>
      </c>
      <c r="T2122" t="s">
        <v>7094</v>
      </c>
    </row>
    <row r="2123" spans="1:20" x14ac:dyDescent="0.25">
      <c r="A2123" s="1" t="str">
        <f>HYPERLINK("https://vegkart.atlas.vegvesen.no/#/@-48983.9,6720068.9,18/hva:hva%5B0%5D%5Bfilter%5D%5B0%5D%5Boperator%5D=%21%3D&amp;hva%5B0%5D%5Bfilter%5D%5B0%5D%5Btype_id%5D=4723&amp;hva%5B0%5D%5Bfilter%5D%5B0%5D%5Bverdi%5D=&amp;hva%5B0%5D%5Bid%5D=15/når:2019-02-14", "Vegkart")</f>
        <v>Vegkart</v>
      </c>
      <c r="B2123">
        <v>916420120</v>
      </c>
      <c r="C2123">
        <v>15</v>
      </c>
      <c r="D2123" t="s">
        <v>5814</v>
      </c>
      <c r="E2123">
        <v>4723</v>
      </c>
      <c r="F2123" t="s">
        <v>23479</v>
      </c>
      <c r="G2123">
        <v>1</v>
      </c>
      <c r="H2123" t="s">
        <v>7081</v>
      </c>
      <c r="J2123" t="s">
        <v>7049</v>
      </c>
      <c r="K2123" t="s">
        <v>21</v>
      </c>
      <c r="L2123" t="s">
        <v>33</v>
      </c>
      <c r="M2123" t="s">
        <v>7086</v>
      </c>
      <c r="N2123" t="s">
        <v>7095</v>
      </c>
      <c r="O2123" t="s">
        <v>7096</v>
      </c>
      <c r="P2123" s="2" t="s">
        <v>37</v>
      </c>
      <c r="Q2123" t="s">
        <v>1208</v>
      </c>
      <c r="R2123">
        <v>11.62</v>
      </c>
      <c r="S2123">
        <v>16.48</v>
      </c>
      <c r="T2123" t="s">
        <v>7097</v>
      </c>
    </row>
    <row r="2124" spans="1:20" x14ac:dyDescent="0.25">
      <c r="A2124" s="1" t="str">
        <f>HYPERLINK("https://vegkart.atlas.vegvesen.no/#/@-49011.6,6720032.4,18/hva:hva%5B0%5D%5Bfilter%5D%5B0%5D%5Boperator%5D=%21%3D&amp;hva%5B0%5D%5Bfilter%5D%5B0%5D%5Btype_id%5D=4723&amp;hva%5B0%5D%5Bfilter%5D%5B0%5D%5Bverdi%5D=&amp;hva%5B0%5D%5Bid%5D=15/når:2019-02-14", "Vegkart")</f>
        <v>Vegkart</v>
      </c>
      <c r="B2124">
        <v>916420121</v>
      </c>
      <c r="C2124">
        <v>15</v>
      </c>
      <c r="D2124" t="s">
        <v>5814</v>
      </c>
      <c r="E2124">
        <v>4723</v>
      </c>
      <c r="F2124" t="s">
        <v>23479</v>
      </c>
      <c r="G2124">
        <v>1</v>
      </c>
      <c r="H2124" t="s">
        <v>7081</v>
      </c>
      <c r="J2124" t="s">
        <v>7049</v>
      </c>
      <c r="K2124" t="s">
        <v>21</v>
      </c>
      <c r="L2124" t="s">
        <v>33</v>
      </c>
      <c r="M2124" t="s">
        <v>7086</v>
      </c>
      <c r="N2124" t="s">
        <v>7098</v>
      </c>
      <c r="O2124" t="s">
        <v>7099</v>
      </c>
      <c r="P2124" s="2" t="s">
        <v>67</v>
      </c>
      <c r="Q2124" t="s">
        <v>68</v>
      </c>
      <c r="R2124">
        <v>62.93</v>
      </c>
      <c r="S2124">
        <v>68.83</v>
      </c>
      <c r="T2124" t="s">
        <v>7100</v>
      </c>
    </row>
    <row r="2125" spans="1:20" x14ac:dyDescent="0.25">
      <c r="A2125" s="1" t="str">
        <f>HYPERLINK("https://vegkart.atlas.vegvesen.no/#/@-49138.3,6719960.7,18/hva:hva%5B0%5D%5Bfilter%5D%5B0%5D%5Boperator%5D=%21%3D&amp;hva%5B0%5D%5Bfilter%5D%5B0%5D%5Btype_id%5D=4723&amp;hva%5B0%5D%5Bfilter%5D%5B0%5D%5Bverdi%5D=&amp;hva%5B0%5D%5Bid%5D=15/når:2019-02-14", "Vegkart")</f>
        <v>Vegkart</v>
      </c>
      <c r="B2125">
        <v>916420122</v>
      </c>
      <c r="C2125">
        <v>15</v>
      </c>
      <c r="D2125" t="s">
        <v>5814</v>
      </c>
      <c r="E2125">
        <v>4723</v>
      </c>
      <c r="F2125" t="s">
        <v>23479</v>
      </c>
      <c r="G2125">
        <v>1</v>
      </c>
      <c r="H2125" t="s">
        <v>7081</v>
      </c>
      <c r="J2125" t="s">
        <v>7049</v>
      </c>
      <c r="K2125" t="s">
        <v>21</v>
      </c>
      <c r="L2125" t="s">
        <v>33</v>
      </c>
      <c r="M2125" t="s">
        <v>7086</v>
      </c>
      <c r="N2125" t="s">
        <v>7101</v>
      </c>
      <c r="O2125" t="s">
        <v>7102</v>
      </c>
      <c r="P2125" s="2" t="s">
        <v>67</v>
      </c>
      <c r="Q2125" t="s">
        <v>68</v>
      </c>
      <c r="R2125">
        <v>33.590000000000003</v>
      </c>
      <c r="S2125">
        <v>33.97</v>
      </c>
      <c r="T2125" t="s">
        <v>7103</v>
      </c>
    </row>
    <row r="2126" spans="1:20" x14ac:dyDescent="0.25">
      <c r="A2126" s="1" t="str">
        <f>HYPERLINK("https://vegkart.atlas.vegvesen.no/#/@-49134.7,6719950.6,18/hva:hva%5B0%5D%5Bfilter%5D%5B0%5D%5Boperator%5D=%21%3D&amp;hva%5B0%5D%5Bfilter%5D%5B0%5D%5Btype_id%5D=4723&amp;hva%5B0%5D%5Bfilter%5D%5B0%5D%5Bverdi%5D=&amp;hva%5B0%5D%5Bid%5D=15/når:2019-02-14", "Vegkart")</f>
        <v>Vegkart</v>
      </c>
      <c r="B2126">
        <v>916420123</v>
      </c>
      <c r="C2126">
        <v>15</v>
      </c>
      <c r="D2126" t="s">
        <v>5814</v>
      </c>
      <c r="E2126">
        <v>4723</v>
      </c>
      <c r="F2126" t="s">
        <v>23479</v>
      </c>
      <c r="G2126">
        <v>1</v>
      </c>
      <c r="H2126" t="s">
        <v>7081</v>
      </c>
      <c r="J2126" t="s">
        <v>7049</v>
      </c>
      <c r="K2126" t="s">
        <v>21</v>
      </c>
      <c r="L2126" t="s">
        <v>22</v>
      </c>
      <c r="M2126" t="s">
        <v>7104</v>
      </c>
      <c r="N2126" t="s">
        <v>7105</v>
      </c>
      <c r="O2126" t="s">
        <v>7106</v>
      </c>
      <c r="P2126" s="2" t="s">
        <v>67</v>
      </c>
      <c r="Q2126" t="s">
        <v>68</v>
      </c>
      <c r="R2126">
        <v>86.23</v>
      </c>
      <c r="S2126">
        <v>88.03</v>
      </c>
      <c r="T2126" t="s">
        <v>7107</v>
      </c>
    </row>
    <row r="2127" spans="1:20" x14ac:dyDescent="0.25">
      <c r="A2127" s="1" t="str">
        <f>HYPERLINK("https://vegkart.atlas.vegvesen.no/#/@-49345.0,6719998.9,18/hva:hva%5B0%5D%5Bfilter%5D%5B0%5D%5Boperator%5D=%21%3D&amp;hva%5B0%5D%5Bfilter%5D%5B0%5D%5Btype_id%5D=4723&amp;hva%5B0%5D%5Bfilter%5D%5B0%5D%5Bverdi%5D=&amp;hva%5B0%5D%5Bid%5D=15/når:2019-02-14", "Vegkart")</f>
        <v>Vegkart</v>
      </c>
      <c r="B2127">
        <v>916420124</v>
      </c>
      <c r="C2127">
        <v>15</v>
      </c>
      <c r="D2127" t="s">
        <v>5814</v>
      </c>
      <c r="E2127">
        <v>4723</v>
      </c>
      <c r="F2127" t="s">
        <v>23479</v>
      </c>
      <c r="G2127">
        <v>1</v>
      </c>
      <c r="H2127" t="s">
        <v>7081</v>
      </c>
      <c r="J2127" t="s">
        <v>7049</v>
      </c>
      <c r="K2127" t="s">
        <v>21</v>
      </c>
      <c r="L2127" t="s">
        <v>22</v>
      </c>
      <c r="M2127" t="s">
        <v>7104</v>
      </c>
      <c r="N2127" t="s">
        <v>7108</v>
      </c>
      <c r="O2127" t="s">
        <v>7109</v>
      </c>
      <c r="P2127" s="2" t="s">
        <v>67</v>
      </c>
      <c r="Q2127" t="s">
        <v>68</v>
      </c>
      <c r="R2127">
        <v>21.98</v>
      </c>
      <c r="S2127">
        <v>23.81</v>
      </c>
      <c r="T2127" t="s">
        <v>7110</v>
      </c>
    </row>
    <row r="2128" spans="1:20" x14ac:dyDescent="0.25">
      <c r="A2128" s="1" t="str">
        <f>HYPERLINK("https://vegkart.atlas.vegvesen.no/#/@-49303.8,6719991.4,18/hva:hva%5B0%5D%5Bfilter%5D%5B0%5D%5Boperator%5D=%21%3D&amp;hva%5B0%5D%5Bfilter%5D%5B0%5D%5Btype_id%5D=4723&amp;hva%5B0%5D%5Bfilter%5D%5B0%5D%5Bverdi%5D=&amp;hva%5B0%5D%5Bid%5D=15/når:2019-02-14", "Vegkart")</f>
        <v>Vegkart</v>
      </c>
      <c r="B2128">
        <v>916420125</v>
      </c>
      <c r="C2128">
        <v>15</v>
      </c>
      <c r="D2128" t="s">
        <v>5814</v>
      </c>
      <c r="E2128">
        <v>4723</v>
      </c>
      <c r="F2128" t="s">
        <v>23479</v>
      </c>
      <c r="G2128">
        <v>1</v>
      </c>
      <c r="H2128" t="s">
        <v>7081</v>
      </c>
      <c r="J2128" t="s">
        <v>7049</v>
      </c>
      <c r="K2128" t="s">
        <v>21</v>
      </c>
      <c r="L2128" t="s">
        <v>22</v>
      </c>
      <c r="M2128" t="s">
        <v>7104</v>
      </c>
      <c r="N2128" t="s">
        <v>7111</v>
      </c>
      <c r="O2128" t="s">
        <v>7112</v>
      </c>
      <c r="P2128" s="2" t="s">
        <v>37</v>
      </c>
      <c r="Q2128" t="s">
        <v>1208</v>
      </c>
      <c r="R2128">
        <v>16.25</v>
      </c>
      <c r="S2128">
        <v>19.04</v>
      </c>
      <c r="T2128" t="s">
        <v>7113</v>
      </c>
    </row>
    <row r="2129" spans="1:20" x14ac:dyDescent="0.25">
      <c r="A2129" s="1" t="str">
        <f>HYPERLINK("https://vegkart.atlas.vegvesen.no/#/@-49375.4,6719998.2,18/hva:hva%5B0%5D%5Bfilter%5D%5B0%5D%5Boperator%5D=%21%3D&amp;hva%5B0%5D%5Bfilter%5D%5B0%5D%5Btype_id%5D=4723&amp;hva%5B0%5D%5Bfilter%5D%5B0%5D%5Bverdi%5D=&amp;hva%5B0%5D%5Bid%5D=15/når:2019-02-14", "Vegkart")</f>
        <v>Vegkart</v>
      </c>
      <c r="B2129">
        <v>916420126</v>
      </c>
      <c r="C2129">
        <v>15</v>
      </c>
      <c r="D2129" t="s">
        <v>5814</v>
      </c>
      <c r="E2129">
        <v>4723</v>
      </c>
      <c r="F2129" t="s">
        <v>23479</v>
      </c>
      <c r="G2129">
        <v>1</v>
      </c>
      <c r="H2129" t="s">
        <v>7081</v>
      </c>
      <c r="J2129" t="s">
        <v>7049</v>
      </c>
      <c r="K2129" t="s">
        <v>21</v>
      </c>
      <c r="L2129" t="s">
        <v>22</v>
      </c>
      <c r="M2129" t="s">
        <v>7104</v>
      </c>
      <c r="N2129" t="s">
        <v>7114</v>
      </c>
      <c r="O2129" t="s">
        <v>7115</v>
      </c>
      <c r="P2129" s="2" t="s">
        <v>37</v>
      </c>
      <c r="Q2129" t="s">
        <v>1208</v>
      </c>
      <c r="R2129">
        <v>18.37</v>
      </c>
      <c r="S2129">
        <v>19.88</v>
      </c>
      <c r="T2129" t="s">
        <v>7116</v>
      </c>
    </row>
    <row r="2130" spans="1:20" x14ac:dyDescent="0.25">
      <c r="A2130" s="1" t="str">
        <f>HYPERLINK("https://vegkart.atlas.vegvesen.no/#/@-49386.4,6719993.0,18/hva:hva%5B0%5D%5Bfilter%5D%5B0%5D%5Boperator%5D=%21%3D&amp;hva%5B0%5D%5Bfilter%5D%5B0%5D%5Btype_id%5D=4723&amp;hva%5B0%5D%5Bfilter%5D%5B0%5D%5Bverdi%5D=&amp;hva%5B0%5D%5Bid%5D=15/når:2019-02-14", "Vegkart")</f>
        <v>Vegkart</v>
      </c>
      <c r="B2130">
        <v>916420127</v>
      </c>
      <c r="C2130">
        <v>15</v>
      </c>
      <c r="D2130" t="s">
        <v>5814</v>
      </c>
      <c r="E2130">
        <v>4723</v>
      </c>
      <c r="F2130" t="s">
        <v>23479</v>
      </c>
      <c r="G2130">
        <v>1</v>
      </c>
      <c r="H2130" t="s">
        <v>7081</v>
      </c>
      <c r="J2130" t="s">
        <v>7049</v>
      </c>
      <c r="K2130" t="s">
        <v>21</v>
      </c>
      <c r="L2130" t="s">
        <v>22</v>
      </c>
      <c r="M2130" t="s">
        <v>7104</v>
      </c>
      <c r="N2130" t="s">
        <v>7117</v>
      </c>
      <c r="O2130" t="s">
        <v>7118</v>
      </c>
      <c r="P2130" s="2" t="s">
        <v>37</v>
      </c>
      <c r="Q2130" t="s">
        <v>1208</v>
      </c>
      <c r="R2130">
        <v>9.6300000000000008</v>
      </c>
      <c r="S2130">
        <v>10.16</v>
      </c>
      <c r="T2130" t="s">
        <v>7119</v>
      </c>
    </row>
    <row r="2131" spans="1:20" x14ac:dyDescent="0.25">
      <c r="A2131" s="1" t="str">
        <f>HYPERLINK("https://vegkart.atlas.vegvesen.no/#/@-49313.3,6719998.8,18/hva:hva%5B0%5D%5Bfilter%5D%5B0%5D%5Boperator%5D=%21%3D&amp;hva%5B0%5D%5Bfilter%5D%5B0%5D%5Btype_id%5D=4723&amp;hva%5B0%5D%5Bfilter%5D%5B0%5D%5Bverdi%5D=&amp;hva%5B0%5D%5Bid%5D=15/når:2019-02-14", "Vegkart")</f>
        <v>Vegkart</v>
      </c>
      <c r="B2131">
        <v>916420128</v>
      </c>
      <c r="C2131">
        <v>15</v>
      </c>
      <c r="D2131" t="s">
        <v>5814</v>
      </c>
      <c r="E2131">
        <v>4723</v>
      </c>
      <c r="F2131" t="s">
        <v>23479</v>
      </c>
      <c r="G2131">
        <v>1</v>
      </c>
      <c r="H2131" t="s">
        <v>7081</v>
      </c>
      <c r="J2131" t="s">
        <v>7049</v>
      </c>
      <c r="K2131" t="s">
        <v>21</v>
      </c>
      <c r="L2131" t="s">
        <v>33</v>
      </c>
      <c r="M2131" t="s">
        <v>7086</v>
      </c>
      <c r="N2131" t="s">
        <v>7120</v>
      </c>
      <c r="O2131" t="s">
        <v>7121</v>
      </c>
      <c r="P2131" s="2" t="s">
        <v>67</v>
      </c>
      <c r="Q2131" t="s">
        <v>68</v>
      </c>
      <c r="R2131">
        <v>234.55</v>
      </c>
      <c r="S2131">
        <v>239.7</v>
      </c>
      <c r="T2131" t="s">
        <v>7122</v>
      </c>
    </row>
    <row r="2132" spans="1:20" x14ac:dyDescent="0.25">
      <c r="A2132" s="1" t="str">
        <f>HYPERLINK("https://vegkart.atlas.vegvesen.no/#/@-49400.7,6719991.3,18/hva:hva%5B0%5D%5Bfilter%5D%5B0%5D%5Boperator%5D=%21%3D&amp;hva%5B0%5D%5Bfilter%5D%5B0%5D%5Btype_id%5D=4723&amp;hva%5B0%5D%5Bfilter%5D%5B0%5D%5Bverdi%5D=&amp;hva%5B0%5D%5Bid%5D=15/når:2019-02-14", "Vegkart")</f>
        <v>Vegkart</v>
      </c>
      <c r="B2132">
        <v>916420129</v>
      </c>
      <c r="C2132">
        <v>15</v>
      </c>
      <c r="D2132" t="s">
        <v>5814</v>
      </c>
      <c r="E2132">
        <v>4723</v>
      </c>
      <c r="F2132" t="s">
        <v>23479</v>
      </c>
      <c r="G2132">
        <v>1</v>
      </c>
      <c r="H2132" t="s">
        <v>7081</v>
      </c>
      <c r="J2132" t="s">
        <v>7049</v>
      </c>
      <c r="K2132" t="s">
        <v>21</v>
      </c>
      <c r="L2132" t="s">
        <v>22</v>
      </c>
      <c r="M2132" t="s">
        <v>7104</v>
      </c>
      <c r="N2132" t="s">
        <v>7123</v>
      </c>
      <c r="O2132" t="s">
        <v>7124</v>
      </c>
      <c r="P2132" s="2" t="s">
        <v>165</v>
      </c>
      <c r="Q2132" t="s">
        <v>1012</v>
      </c>
      <c r="R2132">
        <v>4.3899999999999997</v>
      </c>
      <c r="S2132">
        <v>4.3899999999999997</v>
      </c>
      <c r="T2132" t="s">
        <v>167</v>
      </c>
    </row>
    <row r="2133" spans="1:20" x14ac:dyDescent="0.25">
      <c r="A2133" s="1" t="str">
        <f>HYPERLINK("https://vegkart.atlas.vegvesen.no/#/@-49452.3,6720004.4,18/hva:hva%5B0%5D%5Bfilter%5D%5B0%5D%5Boperator%5D=%21%3D&amp;hva%5B0%5D%5Bfilter%5D%5B0%5D%5Btype_id%5D=4723&amp;hva%5B0%5D%5Bfilter%5D%5B0%5D%5Bverdi%5D=&amp;hva%5B0%5D%5Bid%5D=15/når:2019-02-14", "Vegkart")</f>
        <v>Vegkart</v>
      </c>
      <c r="B2133">
        <v>916420130</v>
      </c>
      <c r="C2133">
        <v>15</v>
      </c>
      <c r="D2133" t="s">
        <v>5814</v>
      </c>
      <c r="E2133">
        <v>4723</v>
      </c>
      <c r="F2133" t="s">
        <v>23479</v>
      </c>
      <c r="G2133">
        <v>1</v>
      </c>
      <c r="H2133" t="s">
        <v>7081</v>
      </c>
      <c r="J2133" t="s">
        <v>7049</v>
      </c>
      <c r="K2133" t="s">
        <v>21</v>
      </c>
      <c r="L2133" t="s">
        <v>33</v>
      </c>
      <c r="M2133" t="s">
        <v>7086</v>
      </c>
      <c r="N2133" t="s">
        <v>7125</v>
      </c>
      <c r="O2133" t="s">
        <v>7126</v>
      </c>
      <c r="P2133" s="2" t="s">
        <v>67</v>
      </c>
      <c r="Q2133" t="s">
        <v>68</v>
      </c>
      <c r="R2133">
        <v>40.18</v>
      </c>
      <c r="S2133">
        <v>40.19</v>
      </c>
      <c r="T2133" t="s">
        <v>7127</v>
      </c>
    </row>
    <row r="2134" spans="1:20" x14ac:dyDescent="0.25">
      <c r="A2134" s="1" t="str">
        <f>HYPERLINK("https://vegkart.atlas.vegvesen.no/#/@-49557.3,6720035.4,18/hva:hva%5B0%5D%5Bfilter%5D%5B0%5D%5Boperator%5D=%21%3D&amp;hva%5B0%5D%5Bfilter%5D%5B0%5D%5Btype_id%5D=4723&amp;hva%5B0%5D%5Bfilter%5D%5B0%5D%5Bverdi%5D=&amp;hva%5B0%5D%5Bid%5D=15/når:2019-02-14", "Vegkart")</f>
        <v>Vegkart</v>
      </c>
      <c r="B2134">
        <v>916420131</v>
      </c>
      <c r="C2134">
        <v>15</v>
      </c>
      <c r="D2134" t="s">
        <v>5814</v>
      </c>
      <c r="E2134">
        <v>4723</v>
      </c>
      <c r="F2134" t="s">
        <v>23479</v>
      </c>
      <c r="G2134">
        <v>1</v>
      </c>
      <c r="H2134" t="s">
        <v>7081</v>
      </c>
      <c r="J2134" t="s">
        <v>7049</v>
      </c>
      <c r="K2134" t="s">
        <v>21</v>
      </c>
      <c r="L2134" t="s">
        <v>33</v>
      </c>
      <c r="M2134" t="s">
        <v>7086</v>
      </c>
      <c r="N2134" t="s">
        <v>7128</v>
      </c>
      <c r="O2134" t="s">
        <v>7129</v>
      </c>
      <c r="P2134" s="2" t="s">
        <v>67</v>
      </c>
      <c r="Q2134" t="s">
        <v>68</v>
      </c>
      <c r="R2134">
        <v>64.58</v>
      </c>
      <c r="S2134">
        <v>65</v>
      </c>
      <c r="T2134" t="s">
        <v>7130</v>
      </c>
    </row>
    <row r="2135" spans="1:20" x14ac:dyDescent="0.25">
      <c r="A2135" s="1" t="str">
        <f>HYPERLINK("https://vegkart.atlas.vegvesen.no/#/@-49870.4,6719840.2,18/hva:hva%5B0%5D%5Bfilter%5D%5B0%5D%5Boperator%5D=%21%3D&amp;hva%5B0%5D%5Bfilter%5D%5B0%5D%5Btype_id%5D=4723&amp;hva%5B0%5D%5Bfilter%5D%5B0%5D%5Bverdi%5D=&amp;hva%5B0%5D%5Bid%5D=15/når:2019-02-14", "Vegkart")</f>
        <v>Vegkart</v>
      </c>
      <c r="B2135">
        <v>916420132</v>
      </c>
      <c r="C2135">
        <v>15</v>
      </c>
      <c r="D2135" t="s">
        <v>5814</v>
      </c>
      <c r="E2135">
        <v>4723</v>
      </c>
      <c r="F2135" t="s">
        <v>23479</v>
      </c>
      <c r="G2135">
        <v>1</v>
      </c>
      <c r="H2135" t="s">
        <v>7081</v>
      </c>
      <c r="J2135" t="s">
        <v>7049</v>
      </c>
      <c r="K2135" t="s">
        <v>21</v>
      </c>
      <c r="L2135" t="s">
        <v>33</v>
      </c>
      <c r="M2135" t="s">
        <v>7131</v>
      </c>
      <c r="N2135" t="s">
        <v>7132</v>
      </c>
      <c r="O2135" t="s">
        <v>7133</v>
      </c>
      <c r="P2135" s="2" t="s">
        <v>165</v>
      </c>
      <c r="Q2135" t="s">
        <v>1012</v>
      </c>
      <c r="R2135">
        <v>3.31</v>
      </c>
      <c r="S2135">
        <v>3.32</v>
      </c>
      <c r="T2135" t="s">
        <v>167</v>
      </c>
    </row>
    <row r="2136" spans="1:20" x14ac:dyDescent="0.25">
      <c r="A2136" s="1" t="str">
        <f>HYPERLINK("https://vegkart.atlas.vegvesen.no/#/@-49795.8,6719839.0,18/hva:hva%5B0%5D%5Bfilter%5D%5B0%5D%5Boperator%5D=%21%3D&amp;hva%5B0%5D%5Bfilter%5D%5B0%5D%5Btype_id%5D=4723&amp;hva%5B0%5D%5Bfilter%5D%5B0%5D%5Bverdi%5D=&amp;hva%5B0%5D%5Bid%5D=15/når:2019-02-14", "Vegkart")</f>
        <v>Vegkart</v>
      </c>
      <c r="B2136">
        <v>916420133</v>
      </c>
      <c r="C2136">
        <v>15</v>
      </c>
      <c r="D2136" t="s">
        <v>5814</v>
      </c>
      <c r="E2136">
        <v>4723</v>
      </c>
      <c r="F2136" t="s">
        <v>23479</v>
      </c>
      <c r="G2136">
        <v>1</v>
      </c>
      <c r="H2136" t="s">
        <v>7081</v>
      </c>
      <c r="J2136" t="s">
        <v>7049</v>
      </c>
      <c r="K2136" t="s">
        <v>21</v>
      </c>
      <c r="L2136" t="s">
        <v>33</v>
      </c>
      <c r="M2136" t="s">
        <v>7086</v>
      </c>
      <c r="N2136" t="s">
        <v>7134</v>
      </c>
      <c r="O2136" t="s">
        <v>7135</v>
      </c>
      <c r="P2136" s="2" t="s">
        <v>67</v>
      </c>
      <c r="Q2136" t="s">
        <v>68</v>
      </c>
      <c r="R2136">
        <v>50.1</v>
      </c>
      <c r="S2136">
        <v>50.54</v>
      </c>
      <c r="T2136" t="s">
        <v>7136</v>
      </c>
    </row>
    <row r="2137" spans="1:20" x14ac:dyDescent="0.25">
      <c r="A2137" s="1" t="str">
        <f>HYPERLINK("https://vegkart.atlas.vegvesen.no/#/@-49837.9,6719592.4,18/hva:hva%5B0%5D%5Bfilter%5D%5B0%5D%5Boperator%5D=%21%3D&amp;hva%5B0%5D%5Bfilter%5D%5B0%5D%5Btype_id%5D=4723&amp;hva%5B0%5D%5Bfilter%5D%5B0%5D%5Bverdi%5D=&amp;hva%5B0%5D%5Bid%5D=15/når:2019-02-14", "Vegkart")</f>
        <v>Vegkart</v>
      </c>
      <c r="B2137">
        <v>916420134</v>
      </c>
      <c r="C2137">
        <v>15</v>
      </c>
      <c r="D2137" t="s">
        <v>5814</v>
      </c>
      <c r="E2137">
        <v>4723</v>
      </c>
      <c r="F2137" t="s">
        <v>23479</v>
      </c>
      <c r="G2137">
        <v>1</v>
      </c>
      <c r="H2137" t="s">
        <v>7081</v>
      </c>
      <c r="J2137" t="s">
        <v>7049</v>
      </c>
      <c r="K2137" t="s">
        <v>21</v>
      </c>
      <c r="L2137" t="s">
        <v>22</v>
      </c>
      <c r="M2137" t="s">
        <v>7104</v>
      </c>
      <c r="N2137" t="s">
        <v>7137</v>
      </c>
      <c r="O2137" t="s">
        <v>7138</v>
      </c>
      <c r="P2137" s="2" t="s">
        <v>37</v>
      </c>
      <c r="Q2137" t="s">
        <v>1208</v>
      </c>
      <c r="R2137">
        <v>6.54</v>
      </c>
      <c r="S2137">
        <v>7.38</v>
      </c>
      <c r="T2137" t="s">
        <v>7139</v>
      </c>
    </row>
    <row r="2138" spans="1:20" x14ac:dyDescent="0.25">
      <c r="A2138" s="1" t="str">
        <f>HYPERLINK("https://vegkart.atlas.vegvesen.no/#/@-49839.9,6719584.4,18/hva:hva%5B0%5D%5Bfilter%5D%5B0%5D%5Boperator%5D=%21%3D&amp;hva%5B0%5D%5Bfilter%5D%5B0%5D%5Btype_id%5D=4723&amp;hva%5B0%5D%5Bfilter%5D%5B0%5D%5Bverdi%5D=&amp;hva%5B0%5D%5Bid%5D=15/når:2019-02-14", "Vegkart")</f>
        <v>Vegkart</v>
      </c>
      <c r="B2138">
        <v>916420135</v>
      </c>
      <c r="C2138">
        <v>15</v>
      </c>
      <c r="D2138" t="s">
        <v>5814</v>
      </c>
      <c r="E2138">
        <v>4723</v>
      </c>
      <c r="F2138" t="s">
        <v>23479</v>
      </c>
      <c r="G2138">
        <v>1</v>
      </c>
      <c r="H2138" t="s">
        <v>7081</v>
      </c>
      <c r="J2138" t="s">
        <v>7049</v>
      </c>
      <c r="K2138" t="s">
        <v>21</v>
      </c>
      <c r="L2138" t="s">
        <v>22</v>
      </c>
      <c r="M2138" t="s">
        <v>7104</v>
      </c>
      <c r="N2138" t="s">
        <v>7140</v>
      </c>
      <c r="O2138" t="s">
        <v>7141</v>
      </c>
      <c r="P2138" s="2" t="s">
        <v>165</v>
      </c>
      <c r="Q2138" t="s">
        <v>1012</v>
      </c>
      <c r="R2138">
        <v>6.03</v>
      </c>
      <c r="S2138">
        <v>6.11</v>
      </c>
      <c r="T2138" t="s">
        <v>167</v>
      </c>
    </row>
    <row r="2139" spans="1:20" x14ac:dyDescent="0.25">
      <c r="A2139" s="1" t="str">
        <f>HYPERLINK("https://vegkart.atlas.vegvesen.no/#/@-49900.3,6719377.7,18/hva:hva%5B0%5D%5Bfilter%5D%5B0%5D%5Boperator%5D=%21%3D&amp;hva%5B0%5D%5Bfilter%5D%5B0%5D%5Btype_id%5D=4723&amp;hva%5B0%5D%5Bfilter%5D%5B0%5D%5Bverdi%5D=&amp;hva%5B0%5D%5Bid%5D=15/når:2019-02-14", "Vegkart")</f>
        <v>Vegkart</v>
      </c>
      <c r="B2139">
        <v>916420136</v>
      </c>
      <c r="C2139">
        <v>15</v>
      </c>
      <c r="D2139" t="s">
        <v>5814</v>
      </c>
      <c r="E2139">
        <v>4723</v>
      </c>
      <c r="F2139" t="s">
        <v>23479</v>
      </c>
      <c r="G2139">
        <v>1</v>
      </c>
      <c r="H2139" t="s">
        <v>7081</v>
      </c>
      <c r="J2139" t="s">
        <v>7049</v>
      </c>
      <c r="K2139" t="s">
        <v>21</v>
      </c>
      <c r="L2139" t="s">
        <v>22</v>
      </c>
      <c r="M2139" t="s">
        <v>7104</v>
      </c>
      <c r="N2139" t="s">
        <v>7142</v>
      </c>
      <c r="O2139" t="s">
        <v>7143</v>
      </c>
      <c r="P2139" s="2" t="s">
        <v>67</v>
      </c>
      <c r="Q2139" t="s">
        <v>68</v>
      </c>
      <c r="R2139">
        <v>38.21</v>
      </c>
      <c r="S2139">
        <v>38.22</v>
      </c>
      <c r="T2139" t="s">
        <v>7144</v>
      </c>
    </row>
    <row r="2140" spans="1:20" x14ac:dyDescent="0.25">
      <c r="A2140" s="1" t="str">
        <f>HYPERLINK("https://vegkart.atlas.vegvesen.no/#/@-49923.4,6719333.3,18/hva:hva%5B0%5D%5Bfilter%5D%5B0%5D%5Boperator%5D=%21%3D&amp;hva%5B0%5D%5Bfilter%5D%5B0%5D%5Btype_id%5D=4723&amp;hva%5B0%5D%5Bfilter%5D%5B0%5D%5Bverdi%5D=&amp;hva%5B0%5D%5Bid%5D=15/når:2019-02-14", "Vegkart")</f>
        <v>Vegkart</v>
      </c>
      <c r="B2140">
        <v>916420137</v>
      </c>
      <c r="C2140">
        <v>15</v>
      </c>
      <c r="D2140" t="s">
        <v>5814</v>
      </c>
      <c r="E2140">
        <v>4723</v>
      </c>
      <c r="F2140" t="s">
        <v>23479</v>
      </c>
      <c r="G2140">
        <v>1</v>
      </c>
      <c r="H2140" t="s">
        <v>7081</v>
      </c>
      <c r="J2140" t="s">
        <v>7049</v>
      </c>
      <c r="K2140" t="s">
        <v>21</v>
      </c>
      <c r="L2140" t="s">
        <v>22</v>
      </c>
      <c r="M2140" t="s">
        <v>7104</v>
      </c>
      <c r="N2140" t="s">
        <v>7145</v>
      </c>
      <c r="O2140" t="s">
        <v>7146</v>
      </c>
      <c r="P2140" s="2" t="s">
        <v>165</v>
      </c>
      <c r="Q2140" t="s">
        <v>1012</v>
      </c>
      <c r="R2140">
        <v>11.63</v>
      </c>
      <c r="S2140">
        <v>11.63</v>
      </c>
      <c r="T2140" t="s">
        <v>167</v>
      </c>
    </row>
    <row r="2141" spans="1:20" x14ac:dyDescent="0.25">
      <c r="A2141" s="1" t="str">
        <f>HYPERLINK("https://vegkart.atlas.vegvesen.no/#/@-49932.2,6719316.2,18/hva:hva%5B0%5D%5Bfilter%5D%5B0%5D%5Boperator%5D=%21%3D&amp;hva%5B0%5D%5Bfilter%5D%5B0%5D%5Btype_id%5D=4723&amp;hva%5B0%5D%5Bfilter%5D%5B0%5D%5Bverdi%5D=&amp;hva%5B0%5D%5Bid%5D=15/når:2019-02-14", "Vegkart")</f>
        <v>Vegkart</v>
      </c>
      <c r="B2141">
        <v>916420138</v>
      </c>
      <c r="C2141">
        <v>15</v>
      </c>
      <c r="D2141" t="s">
        <v>5814</v>
      </c>
      <c r="E2141">
        <v>4723</v>
      </c>
      <c r="F2141" t="s">
        <v>23479</v>
      </c>
      <c r="G2141">
        <v>1</v>
      </c>
      <c r="H2141" t="s">
        <v>7081</v>
      </c>
      <c r="J2141" t="s">
        <v>7049</v>
      </c>
      <c r="K2141" t="s">
        <v>21</v>
      </c>
      <c r="L2141" t="s">
        <v>22</v>
      </c>
      <c r="M2141" t="s">
        <v>7104</v>
      </c>
      <c r="N2141" t="s">
        <v>7147</v>
      </c>
      <c r="O2141" t="s">
        <v>7148</v>
      </c>
      <c r="P2141" s="2" t="s">
        <v>67</v>
      </c>
      <c r="Q2141" t="s">
        <v>68</v>
      </c>
      <c r="R2141">
        <v>20.81</v>
      </c>
      <c r="S2141">
        <v>20.81</v>
      </c>
      <c r="T2141" t="s">
        <v>7149</v>
      </c>
    </row>
    <row r="2142" spans="1:20" x14ac:dyDescent="0.25">
      <c r="A2142" s="1" t="str">
        <f>HYPERLINK("https://vegkart.atlas.vegvesen.no/#/@-49999.3,6719212.2,18/hva:hva%5B0%5D%5Bfilter%5D%5B0%5D%5Boperator%5D=%21%3D&amp;hva%5B0%5D%5Bfilter%5D%5B0%5D%5Btype_id%5D=4723&amp;hva%5B0%5D%5Bfilter%5D%5B0%5D%5Bverdi%5D=&amp;hva%5B0%5D%5Bid%5D=15/når:2019-02-14", "Vegkart")</f>
        <v>Vegkart</v>
      </c>
      <c r="B2142">
        <v>916420139</v>
      </c>
      <c r="C2142">
        <v>15</v>
      </c>
      <c r="D2142" t="s">
        <v>5814</v>
      </c>
      <c r="E2142">
        <v>4723</v>
      </c>
      <c r="F2142" t="s">
        <v>23479</v>
      </c>
      <c r="G2142">
        <v>1</v>
      </c>
      <c r="H2142" t="s">
        <v>7081</v>
      </c>
      <c r="J2142" t="s">
        <v>7049</v>
      </c>
      <c r="K2142" t="s">
        <v>21</v>
      </c>
      <c r="L2142" t="s">
        <v>22</v>
      </c>
      <c r="M2142" t="s">
        <v>7104</v>
      </c>
      <c r="N2142" t="s">
        <v>7150</v>
      </c>
      <c r="O2142" t="s">
        <v>7151</v>
      </c>
      <c r="P2142" s="2" t="s">
        <v>165</v>
      </c>
      <c r="Q2142" t="s">
        <v>1012</v>
      </c>
      <c r="R2142">
        <v>5.33</v>
      </c>
      <c r="S2142">
        <v>5.34</v>
      </c>
      <c r="T2142" t="s">
        <v>167</v>
      </c>
    </row>
    <row r="2143" spans="1:20" x14ac:dyDescent="0.25">
      <c r="A2143" s="1" t="str">
        <f>HYPERLINK("https://vegkart.atlas.vegvesen.no/#/@-50018.9,6719148.1,18/hva:hva%5B0%5D%5Bfilter%5D%5B0%5D%5Boperator%5D=%21%3D&amp;hva%5B0%5D%5Bfilter%5D%5B0%5D%5Btype_id%5D=4723&amp;hva%5B0%5D%5Bfilter%5D%5B0%5D%5Bverdi%5D=&amp;hva%5B0%5D%5Bid%5D=15/når:2019-02-14", "Vegkart")</f>
        <v>Vegkart</v>
      </c>
      <c r="B2143">
        <v>916420140</v>
      </c>
      <c r="C2143">
        <v>15</v>
      </c>
      <c r="D2143" t="s">
        <v>5814</v>
      </c>
      <c r="E2143">
        <v>4723</v>
      </c>
      <c r="F2143" t="s">
        <v>23479</v>
      </c>
      <c r="G2143">
        <v>1</v>
      </c>
      <c r="H2143" t="s">
        <v>7081</v>
      </c>
      <c r="J2143" t="s">
        <v>7049</v>
      </c>
      <c r="K2143" t="s">
        <v>21</v>
      </c>
      <c r="L2143" t="s">
        <v>22</v>
      </c>
      <c r="M2143" t="s">
        <v>7104</v>
      </c>
      <c r="N2143" t="s">
        <v>7152</v>
      </c>
      <c r="O2143" t="s">
        <v>7153</v>
      </c>
      <c r="P2143" s="2" t="s">
        <v>67</v>
      </c>
      <c r="Q2143" t="s">
        <v>68</v>
      </c>
      <c r="R2143">
        <v>59.32</v>
      </c>
      <c r="S2143">
        <v>62.15</v>
      </c>
      <c r="T2143" t="s">
        <v>7154</v>
      </c>
    </row>
    <row r="2144" spans="1:20" x14ac:dyDescent="0.25">
      <c r="A2144" s="1" t="str">
        <f>HYPERLINK("https://vegkart.atlas.vegvesen.no/#/@-50033.8,6719110.9,18/hva:hva%5B0%5D%5Bfilter%5D%5B0%5D%5Boperator%5D=%21%3D&amp;hva%5B0%5D%5Bfilter%5D%5B0%5D%5Btype_id%5D=4723&amp;hva%5B0%5D%5Bfilter%5D%5B0%5D%5Bverdi%5D=&amp;hva%5B0%5D%5Bid%5D=15/når:2019-02-14", "Vegkart")</f>
        <v>Vegkart</v>
      </c>
      <c r="B2144">
        <v>916420141</v>
      </c>
      <c r="C2144">
        <v>15</v>
      </c>
      <c r="D2144" t="s">
        <v>5814</v>
      </c>
      <c r="E2144">
        <v>4723</v>
      </c>
      <c r="F2144" t="s">
        <v>23479</v>
      </c>
      <c r="G2144">
        <v>1</v>
      </c>
      <c r="H2144" t="s">
        <v>7081</v>
      </c>
      <c r="J2144" t="s">
        <v>7049</v>
      </c>
      <c r="K2144" t="s">
        <v>21</v>
      </c>
      <c r="L2144" t="s">
        <v>22</v>
      </c>
      <c r="M2144" t="s">
        <v>7104</v>
      </c>
      <c r="N2144" t="s">
        <v>7155</v>
      </c>
      <c r="O2144" t="s">
        <v>7156</v>
      </c>
      <c r="P2144" s="2" t="s">
        <v>67</v>
      </c>
      <c r="Q2144" t="s">
        <v>68</v>
      </c>
      <c r="R2144">
        <v>23.31</v>
      </c>
      <c r="S2144">
        <v>23.31</v>
      </c>
      <c r="T2144" t="s">
        <v>7157</v>
      </c>
    </row>
    <row r="2145" spans="1:20" x14ac:dyDescent="0.25">
      <c r="A2145" s="1" t="str">
        <f>HYPERLINK("https://vegkart.atlas.vegvesen.no/#/@-50040.1,6719101.5,18/hva:hva%5B0%5D%5Bfilter%5D%5B0%5D%5Boperator%5D=%21%3D&amp;hva%5B0%5D%5Bfilter%5D%5B0%5D%5Btype_id%5D=4723&amp;hva%5B0%5D%5Bfilter%5D%5B0%5D%5Bverdi%5D=&amp;hva%5B0%5D%5Bid%5D=15/når:2019-02-14", "Vegkart")</f>
        <v>Vegkart</v>
      </c>
      <c r="B2145">
        <v>916420142</v>
      </c>
      <c r="C2145">
        <v>15</v>
      </c>
      <c r="D2145" t="s">
        <v>5814</v>
      </c>
      <c r="E2145">
        <v>4723</v>
      </c>
      <c r="F2145" t="s">
        <v>23479</v>
      </c>
      <c r="G2145">
        <v>1</v>
      </c>
      <c r="H2145" t="s">
        <v>7081</v>
      </c>
      <c r="J2145" t="s">
        <v>7049</v>
      </c>
      <c r="K2145" t="s">
        <v>21</v>
      </c>
      <c r="L2145" t="s">
        <v>22</v>
      </c>
      <c r="M2145" t="s">
        <v>7104</v>
      </c>
      <c r="N2145" t="s">
        <v>7158</v>
      </c>
      <c r="O2145" t="s">
        <v>7159</v>
      </c>
      <c r="P2145" s="2" t="s">
        <v>37</v>
      </c>
      <c r="Q2145" t="s">
        <v>1208</v>
      </c>
      <c r="R2145">
        <v>4.54</v>
      </c>
      <c r="S2145">
        <v>4.79</v>
      </c>
      <c r="T2145" t="s">
        <v>7160</v>
      </c>
    </row>
    <row r="2146" spans="1:20" x14ac:dyDescent="0.25">
      <c r="A2146" s="1" t="str">
        <f>HYPERLINK("https://vegkart.atlas.vegvesen.no/#/@-50037.7,6719001.7,18/hva:hva%5B0%5D%5Bfilter%5D%5B0%5D%5Boperator%5D=%21%3D&amp;hva%5B0%5D%5Bfilter%5D%5B0%5D%5Btype_id%5D=4723&amp;hva%5B0%5D%5Bfilter%5D%5B0%5D%5Bverdi%5D=&amp;hva%5B0%5D%5Bid%5D=15/når:2019-02-14", "Vegkart")</f>
        <v>Vegkart</v>
      </c>
      <c r="B2146">
        <v>916420143</v>
      </c>
      <c r="C2146">
        <v>15</v>
      </c>
      <c r="D2146" t="s">
        <v>5814</v>
      </c>
      <c r="E2146">
        <v>4723</v>
      </c>
      <c r="F2146" t="s">
        <v>23479</v>
      </c>
      <c r="G2146">
        <v>1</v>
      </c>
      <c r="H2146" t="s">
        <v>7081</v>
      </c>
      <c r="J2146" t="s">
        <v>7049</v>
      </c>
      <c r="K2146" t="s">
        <v>21</v>
      </c>
      <c r="L2146" t="s">
        <v>22</v>
      </c>
      <c r="M2146" t="s">
        <v>7104</v>
      </c>
      <c r="N2146" t="s">
        <v>7161</v>
      </c>
      <c r="O2146" t="s">
        <v>7162</v>
      </c>
      <c r="P2146" s="2" t="s">
        <v>67</v>
      </c>
      <c r="Q2146" t="s">
        <v>68</v>
      </c>
      <c r="R2146">
        <v>24.53</v>
      </c>
      <c r="S2146">
        <v>24.53</v>
      </c>
      <c r="T2146" t="s">
        <v>7163</v>
      </c>
    </row>
    <row r="2147" spans="1:20" x14ac:dyDescent="0.25">
      <c r="A2147" s="1" t="str">
        <f>HYPERLINK("https://vegkart.atlas.vegvesen.no/#/@-50028.8,6718950.2,18/hva:hva%5B0%5D%5Bfilter%5D%5B0%5D%5Boperator%5D=%21%3D&amp;hva%5B0%5D%5Bfilter%5D%5B0%5D%5Btype_id%5D=4723&amp;hva%5B0%5D%5Bfilter%5D%5B0%5D%5Bverdi%5D=&amp;hva%5B0%5D%5Bid%5D=15/når:2019-02-14", "Vegkart")</f>
        <v>Vegkart</v>
      </c>
      <c r="B2147">
        <v>916420144</v>
      </c>
      <c r="C2147">
        <v>15</v>
      </c>
      <c r="D2147" t="s">
        <v>5814</v>
      </c>
      <c r="E2147">
        <v>4723</v>
      </c>
      <c r="F2147" t="s">
        <v>23479</v>
      </c>
      <c r="G2147">
        <v>1</v>
      </c>
      <c r="H2147" t="s">
        <v>7081</v>
      </c>
      <c r="J2147" t="s">
        <v>7049</v>
      </c>
      <c r="K2147" t="s">
        <v>21</v>
      </c>
      <c r="L2147" t="s">
        <v>22</v>
      </c>
      <c r="M2147" t="s">
        <v>7104</v>
      </c>
      <c r="N2147" t="s">
        <v>7164</v>
      </c>
      <c r="O2147" t="s">
        <v>7165</v>
      </c>
      <c r="P2147" s="2" t="s">
        <v>67</v>
      </c>
      <c r="Q2147" t="s">
        <v>68</v>
      </c>
      <c r="R2147">
        <v>69.72</v>
      </c>
      <c r="S2147">
        <v>69.849999999999994</v>
      </c>
      <c r="T2147" t="s">
        <v>7166</v>
      </c>
    </row>
    <row r="2148" spans="1:20" x14ac:dyDescent="0.25">
      <c r="A2148" s="1" t="str">
        <f>HYPERLINK("https://vegkart.atlas.vegvesen.no/#/@-48666.8,6720198.6,18/hva:hva%5B0%5D%5Bfilter%5D%5B0%5D%5Boperator%5D=%21%3D&amp;hva%5B0%5D%5Bfilter%5D%5B0%5D%5Btype_id%5D=4723&amp;hva%5B0%5D%5Bfilter%5D%5B0%5D%5Bverdi%5D=&amp;hva%5B0%5D%5Bid%5D=15/når:2019-02-14", "Vegkart")</f>
        <v>Vegkart</v>
      </c>
      <c r="B2148">
        <v>916420938</v>
      </c>
      <c r="C2148">
        <v>15</v>
      </c>
      <c r="D2148" t="s">
        <v>5814</v>
      </c>
      <c r="E2148">
        <v>4723</v>
      </c>
      <c r="F2148" t="s">
        <v>23479</v>
      </c>
      <c r="G2148">
        <v>1</v>
      </c>
      <c r="H2148" t="s">
        <v>7081</v>
      </c>
      <c r="J2148" t="s">
        <v>7049</v>
      </c>
      <c r="K2148" t="s">
        <v>21</v>
      </c>
      <c r="L2148" t="s">
        <v>33</v>
      </c>
      <c r="M2148" t="s">
        <v>1346</v>
      </c>
      <c r="N2148" t="s">
        <v>7167</v>
      </c>
      <c r="O2148" t="s">
        <v>7168</v>
      </c>
      <c r="P2148" s="2" t="s">
        <v>37</v>
      </c>
      <c r="Q2148" t="s">
        <v>1208</v>
      </c>
      <c r="R2148">
        <v>2.1800000000000002</v>
      </c>
      <c r="S2148">
        <v>20.72</v>
      </c>
      <c r="T2148" t="s">
        <v>7169</v>
      </c>
    </row>
    <row r="2149" spans="1:20" x14ac:dyDescent="0.25">
      <c r="A2149" s="1" t="str">
        <f>HYPERLINK("https://vegkart.atlas.vegvesen.no/#/@-48655.1,6720185.3,18/hva:hva%5B0%5D%5Bfilter%5D%5B0%5D%5Boperator%5D=%21%3D&amp;hva%5B0%5D%5Bfilter%5D%5B0%5D%5Btype_id%5D=4723&amp;hva%5B0%5D%5Bfilter%5D%5B0%5D%5Bverdi%5D=&amp;hva%5B0%5D%5Bid%5D=15/når:2019-02-14", "Vegkart")</f>
        <v>Vegkart</v>
      </c>
      <c r="B2149">
        <v>916420939</v>
      </c>
      <c r="C2149">
        <v>15</v>
      </c>
      <c r="D2149" t="s">
        <v>5814</v>
      </c>
      <c r="E2149">
        <v>4723</v>
      </c>
      <c r="F2149" t="s">
        <v>23479</v>
      </c>
      <c r="G2149">
        <v>1</v>
      </c>
      <c r="H2149" t="s">
        <v>7081</v>
      </c>
      <c r="J2149" t="s">
        <v>7170</v>
      </c>
      <c r="K2149" t="s">
        <v>21</v>
      </c>
      <c r="L2149" t="s">
        <v>33</v>
      </c>
      <c r="M2149" t="s">
        <v>1346</v>
      </c>
      <c r="N2149" t="s">
        <v>7171</v>
      </c>
      <c r="O2149" t="s">
        <v>7172</v>
      </c>
      <c r="P2149" s="2" t="s">
        <v>67</v>
      </c>
      <c r="Q2149" t="s">
        <v>68</v>
      </c>
      <c r="R2149">
        <v>21</v>
      </c>
      <c r="S2149">
        <v>29.55</v>
      </c>
      <c r="T2149" t="s">
        <v>7173</v>
      </c>
    </row>
    <row r="2150" spans="1:20" x14ac:dyDescent="0.25">
      <c r="A2150" s="1" t="str">
        <f>HYPERLINK("https://vegkart.atlas.vegvesen.no/#/@-48650.8,6720166.2,18/hva:hva%5B0%5D%5Bfilter%5D%5B0%5D%5Boperator%5D=%21%3D&amp;hva%5B0%5D%5Bfilter%5D%5B0%5D%5Btype_id%5D=4723&amp;hva%5B0%5D%5Bfilter%5D%5B0%5D%5Bverdi%5D=&amp;hva%5B0%5D%5Bid%5D=15/når:2019-02-14", "Vegkart")</f>
        <v>Vegkart</v>
      </c>
      <c r="B2150">
        <v>916420940</v>
      </c>
      <c r="C2150">
        <v>15</v>
      </c>
      <c r="D2150" t="s">
        <v>5814</v>
      </c>
      <c r="E2150">
        <v>4723</v>
      </c>
      <c r="F2150" t="s">
        <v>23479</v>
      </c>
      <c r="G2150">
        <v>1</v>
      </c>
      <c r="H2150" t="s">
        <v>7081</v>
      </c>
      <c r="J2150" t="s">
        <v>7170</v>
      </c>
      <c r="K2150" t="s">
        <v>21</v>
      </c>
      <c r="L2150" t="s">
        <v>33</v>
      </c>
      <c r="M2150" t="s">
        <v>1346</v>
      </c>
      <c r="N2150" t="s">
        <v>7174</v>
      </c>
      <c r="O2150" t="s">
        <v>7175</v>
      </c>
      <c r="P2150" s="2" t="s">
        <v>37</v>
      </c>
      <c r="Q2150" t="s">
        <v>1208</v>
      </c>
      <c r="R2150">
        <v>16.84</v>
      </c>
      <c r="S2150">
        <v>21.72</v>
      </c>
      <c r="T2150" t="s">
        <v>7176</v>
      </c>
    </row>
    <row r="2151" spans="1:20" x14ac:dyDescent="0.25">
      <c r="A2151" s="1" t="str">
        <f>HYPERLINK("https://vegkart.atlas.vegvesen.no/#/@-48915.2,6720166.7,18/hva:hva%5B0%5D%5Bfilter%5D%5B0%5D%5Boperator%5D=%21%3D&amp;hva%5B0%5D%5Bfilter%5D%5B0%5D%5Btype_id%5D=4723&amp;hva%5B0%5D%5Bfilter%5D%5B0%5D%5Bverdi%5D=&amp;hva%5B0%5D%5Bid%5D=15/når:2019-02-14", "Vegkart")</f>
        <v>Vegkart</v>
      </c>
      <c r="B2151">
        <v>916420941</v>
      </c>
      <c r="C2151">
        <v>15</v>
      </c>
      <c r="D2151" t="s">
        <v>5814</v>
      </c>
      <c r="E2151">
        <v>4723</v>
      </c>
      <c r="F2151" t="s">
        <v>23479</v>
      </c>
      <c r="G2151">
        <v>1</v>
      </c>
      <c r="H2151" t="s">
        <v>7081</v>
      </c>
      <c r="J2151" t="s">
        <v>7170</v>
      </c>
      <c r="K2151" t="s">
        <v>21</v>
      </c>
      <c r="L2151" t="s">
        <v>33</v>
      </c>
      <c r="M2151" t="s">
        <v>7086</v>
      </c>
      <c r="N2151" t="s">
        <v>7177</v>
      </c>
      <c r="O2151" t="s">
        <v>7178</v>
      </c>
      <c r="P2151" s="2" t="s">
        <v>165</v>
      </c>
      <c r="Q2151" t="s">
        <v>1012</v>
      </c>
      <c r="R2151">
        <v>16.579999999999998</v>
      </c>
      <c r="S2151">
        <v>17.22</v>
      </c>
      <c r="T2151" t="s">
        <v>167</v>
      </c>
    </row>
    <row r="2152" spans="1:20" x14ac:dyDescent="0.25">
      <c r="A2152" s="1" t="str">
        <f>HYPERLINK("https://vegkart.atlas.vegvesen.no/#/@-48939.6,6720151.1,18/hva:hva%5B0%5D%5Bfilter%5D%5B0%5D%5Boperator%5D=%21%3D&amp;hva%5B0%5D%5Bfilter%5D%5B0%5D%5Btype_id%5D=4723&amp;hva%5B0%5D%5Bfilter%5D%5B0%5D%5Bverdi%5D=&amp;hva%5B0%5D%5Bid%5D=15/når:2019-02-14", "Vegkart")</f>
        <v>Vegkart</v>
      </c>
      <c r="B2152">
        <v>916420942</v>
      </c>
      <c r="C2152">
        <v>15</v>
      </c>
      <c r="D2152" t="s">
        <v>5814</v>
      </c>
      <c r="E2152">
        <v>4723</v>
      </c>
      <c r="F2152" t="s">
        <v>23479</v>
      </c>
      <c r="G2152">
        <v>1</v>
      </c>
      <c r="H2152" t="s">
        <v>7081</v>
      </c>
      <c r="J2152" t="s">
        <v>7170</v>
      </c>
      <c r="K2152" t="s">
        <v>21</v>
      </c>
      <c r="L2152" t="s">
        <v>33</v>
      </c>
      <c r="M2152" t="s">
        <v>7086</v>
      </c>
      <c r="N2152" t="s">
        <v>7179</v>
      </c>
      <c r="O2152" t="s">
        <v>7180</v>
      </c>
      <c r="P2152" s="2" t="s">
        <v>67</v>
      </c>
      <c r="Q2152" t="s">
        <v>68</v>
      </c>
      <c r="R2152">
        <v>25.17</v>
      </c>
      <c r="S2152">
        <v>25.59</v>
      </c>
      <c r="T2152" t="s">
        <v>7181</v>
      </c>
    </row>
    <row r="2153" spans="1:20" x14ac:dyDescent="0.25">
      <c r="A2153" s="1" t="str">
        <f>HYPERLINK("https://vegkart.atlas.vegvesen.no/#/@-49046.4,6720015.3,18/hva:hva%5B0%5D%5Bfilter%5D%5B0%5D%5Boperator%5D=%21%3D&amp;hva%5B0%5D%5Bfilter%5D%5B0%5D%5Btype_id%5D=4723&amp;hva%5B0%5D%5Bfilter%5D%5B0%5D%5Bverdi%5D=&amp;hva%5B0%5D%5Bid%5D=15/når:2019-02-14", "Vegkart")</f>
        <v>Vegkart</v>
      </c>
      <c r="B2153">
        <v>916420943</v>
      </c>
      <c r="C2153">
        <v>15</v>
      </c>
      <c r="D2153" t="s">
        <v>5814</v>
      </c>
      <c r="E2153">
        <v>4723</v>
      </c>
      <c r="F2153" t="s">
        <v>23479</v>
      </c>
      <c r="G2153">
        <v>1</v>
      </c>
      <c r="H2153" t="s">
        <v>7081</v>
      </c>
      <c r="J2153" t="s">
        <v>7170</v>
      </c>
      <c r="K2153" t="s">
        <v>21</v>
      </c>
      <c r="L2153" t="s">
        <v>33</v>
      </c>
      <c r="M2153" t="s">
        <v>7086</v>
      </c>
      <c r="N2153" t="s">
        <v>7182</v>
      </c>
      <c r="O2153" t="s">
        <v>7183</v>
      </c>
      <c r="P2153" s="2" t="s">
        <v>67</v>
      </c>
      <c r="Q2153" t="s">
        <v>68</v>
      </c>
      <c r="R2153">
        <v>70.22</v>
      </c>
      <c r="S2153">
        <v>79.319999999999993</v>
      </c>
      <c r="T2153" t="s">
        <v>7184</v>
      </c>
    </row>
    <row r="2154" spans="1:20" x14ac:dyDescent="0.25">
      <c r="A2154" s="1" t="str">
        <f>HYPERLINK("https://vegkart.atlas.vegvesen.no/#/@-49069.8,6719980.8,18/hva:hva%5B0%5D%5Bfilter%5D%5B0%5D%5Boperator%5D=%21%3D&amp;hva%5B0%5D%5Bfilter%5D%5B0%5D%5Btype_id%5D=4723&amp;hva%5B0%5D%5Bfilter%5D%5B0%5D%5Bverdi%5D=&amp;hva%5B0%5D%5Bid%5D=15/når:2019-02-14", "Vegkart")</f>
        <v>Vegkart</v>
      </c>
      <c r="B2154">
        <v>916420944</v>
      </c>
      <c r="C2154">
        <v>15</v>
      </c>
      <c r="D2154" t="s">
        <v>5814</v>
      </c>
      <c r="E2154">
        <v>4723</v>
      </c>
      <c r="F2154" t="s">
        <v>23479</v>
      </c>
      <c r="G2154">
        <v>1</v>
      </c>
      <c r="H2154" t="s">
        <v>7081</v>
      </c>
      <c r="J2154" t="s">
        <v>7170</v>
      </c>
      <c r="K2154" t="s">
        <v>21</v>
      </c>
      <c r="L2154" t="s">
        <v>33</v>
      </c>
      <c r="M2154" t="s">
        <v>7086</v>
      </c>
      <c r="N2154" t="s">
        <v>7185</v>
      </c>
      <c r="O2154" t="s">
        <v>7186</v>
      </c>
      <c r="P2154" s="2" t="s">
        <v>67</v>
      </c>
      <c r="Q2154" t="s">
        <v>68</v>
      </c>
      <c r="R2154">
        <v>36.19</v>
      </c>
      <c r="S2154">
        <v>37.04</v>
      </c>
      <c r="T2154" t="s">
        <v>7187</v>
      </c>
    </row>
    <row r="2155" spans="1:20" x14ac:dyDescent="0.25">
      <c r="A2155" s="1" t="str">
        <f>HYPERLINK("https://vegkart.atlas.vegvesen.no/#/@-49422.1,6719992.9,18/hva:hva%5B0%5D%5Bfilter%5D%5B0%5D%5Boperator%5D=%21%3D&amp;hva%5B0%5D%5Bfilter%5D%5B0%5D%5Btype_id%5D=4723&amp;hva%5B0%5D%5Bfilter%5D%5B0%5D%5Bverdi%5D=&amp;hva%5B0%5D%5Bid%5D=15/når:2019-02-14", "Vegkart")</f>
        <v>Vegkart</v>
      </c>
      <c r="B2155">
        <v>916420945</v>
      </c>
      <c r="C2155">
        <v>15</v>
      </c>
      <c r="D2155" t="s">
        <v>5814</v>
      </c>
      <c r="E2155">
        <v>4723</v>
      </c>
      <c r="F2155" t="s">
        <v>23479</v>
      </c>
      <c r="G2155">
        <v>1</v>
      </c>
      <c r="H2155" t="s">
        <v>7081</v>
      </c>
      <c r="J2155" t="s">
        <v>7170</v>
      </c>
      <c r="K2155" t="s">
        <v>21</v>
      </c>
      <c r="L2155" t="s">
        <v>22</v>
      </c>
      <c r="M2155" t="s">
        <v>7104</v>
      </c>
      <c r="N2155" t="s">
        <v>7188</v>
      </c>
      <c r="O2155" t="s">
        <v>7189</v>
      </c>
      <c r="P2155" s="2" t="s">
        <v>67</v>
      </c>
      <c r="Q2155" t="s">
        <v>68</v>
      </c>
      <c r="R2155">
        <v>24.87</v>
      </c>
      <c r="S2155">
        <v>26.38</v>
      </c>
      <c r="T2155" t="s">
        <v>7190</v>
      </c>
    </row>
    <row r="2156" spans="1:20" x14ac:dyDescent="0.25">
      <c r="A2156" s="1" t="str">
        <f>HYPERLINK("https://vegkart.atlas.vegvesen.no/#/@-49487.5,6719988.6,18/hva:hva%5B0%5D%5Bfilter%5D%5B0%5D%5Boperator%5D=%21%3D&amp;hva%5B0%5D%5Bfilter%5D%5B0%5D%5Btype_id%5D=4723&amp;hva%5B0%5D%5Bfilter%5D%5B0%5D%5Bverdi%5D=&amp;hva%5B0%5D%5Bid%5D=15/når:2019-02-14", "Vegkart")</f>
        <v>Vegkart</v>
      </c>
      <c r="B2156">
        <v>916420946</v>
      </c>
      <c r="C2156">
        <v>15</v>
      </c>
      <c r="D2156" t="s">
        <v>5814</v>
      </c>
      <c r="E2156">
        <v>4723</v>
      </c>
      <c r="F2156" t="s">
        <v>23479</v>
      </c>
      <c r="G2156">
        <v>1</v>
      </c>
      <c r="H2156" t="s">
        <v>7081</v>
      </c>
      <c r="J2156" t="s">
        <v>7170</v>
      </c>
      <c r="K2156" t="s">
        <v>21</v>
      </c>
      <c r="L2156" t="s">
        <v>22</v>
      </c>
      <c r="M2156" t="s">
        <v>7104</v>
      </c>
      <c r="N2156" t="s">
        <v>7191</v>
      </c>
      <c r="O2156" t="s">
        <v>7192</v>
      </c>
      <c r="P2156" s="2" t="s">
        <v>37</v>
      </c>
      <c r="Q2156" t="s">
        <v>1208</v>
      </c>
      <c r="R2156">
        <v>18.920000000000002</v>
      </c>
      <c r="S2156">
        <v>37.5</v>
      </c>
      <c r="T2156" t="s">
        <v>7193</v>
      </c>
    </row>
    <row r="2157" spans="1:20" x14ac:dyDescent="0.25">
      <c r="A2157" s="1" t="str">
        <f>HYPERLINK("https://vegkart.atlas.vegvesen.no/#/@-49697.3,6720026.8,18/hva:hva%5B0%5D%5Bfilter%5D%5B0%5D%5Boperator%5D=%21%3D&amp;hva%5B0%5D%5Bfilter%5D%5B0%5D%5Btype_id%5D=4723&amp;hva%5B0%5D%5Bfilter%5D%5B0%5D%5Bverdi%5D=&amp;hva%5B0%5D%5Bid%5D=15/når:2019-02-14", "Vegkart")</f>
        <v>Vegkart</v>
      </c>
      <c r="B2157">
        <v>916420947</v>
      </c>
      <c r="C2157">
        <v>15</v>
      </c>
      <c r="D2157" t="s">
        <v>5814</v>
      </c>
      <c r="E2157">
        <v>4723</v>
      </c>
      <c r="F2157" t="s">
        <v>23479</v>
      </c>
      <c r="G2157">
        <v>1</v>
      </c>
      <c r="H2157" t="s">
        <v>7081</v>
      </c>
      <c r="J2157" t="s">
        <v>7170</v>
      </c>
      <c r="K2157" t="s">
        <v>21</v>
      </c>
      <c r="L2157" t="s">
        <v>33</v>
      </c>
      <c r="M2157" t="s">
        <v>7086</v>
      </c>
      <c r="N2157" t="s">
        <v>7194</v>
      </c>
      <c r="O2157" t="s">
        <v>7195</v>
      </c>
      <c r="P2157" s="2" t="s">
        <v>67</v>
      </c>
      <c r="Q2157" t="s">
        <v>68</v>
      </c>
      <c r="R2157">
        <v>46.7</v>
      </c>
      <c r="S2157">
        <v>47.98</v>
      </c>
      <c r="T2157" t="s">
        <v>7196</v>
      </c>
    </row>
    <row r="2158" spans="1:20" x14ac:dyDescent="0.25">
      <c r="A2158" s="1" t="str">
        <f>HYPERLINK("https://vegkart.atlas.vegvesen.no/#/@-49702.9,6720056.5,18/hva:hva%5B0%5D%5Bfilter%5D%5B0%5D%5Boperator%5D=%21%3D&amp;hva%5B0%5D%5Bfilter%5D%5B0%5D%5Btype_id%5D=4723&amp;hva%5B0%5D%5Bfilter%5D%5B0%5D%5Bverdi%5D=&amp;hva%5B0%5D%5Bid%5D=15/når:2019-02-14", "Vegkart")</f>
        <v>Vegkart</v>
      </c>
      <c r="B2158">
        <v>916420948</v>
      </c>
      <c r="C2158">
        <v>15</v>
      </c>
      <c r="D2158" t="s">
        <v>5814</v>
      </c>
      <c r="E2158">
        <v>4723</v>
      </c>
      <c r="F2158" t="s">
        <v>23479</v>
      </c>
      <c r="G2158">
        <v>1</v>
      </c>
      <c r="H2158" t="s">
        <v>7081</v>
      </c>
      <c r="J2158" t="s">
        <v>7170</v>
      </c>
      <c r="K2158" t="s">
        <v>21</v>
      </c>
      <c r="L2158" t="s">
        <v>33</v>
      </c>
      <c r="M2158" t="s">
        <v>7086</v>
      </c>
      <c r="N2158" t="s">
        <v>7197</v>
      </c>
      <c r="O2158" t="s">
        <v>7198</v>
      </c>
      <c r="P2158" s="2" t="s">
        <v>67</v>
      </c>
      <c r="Q2158" t="s">
        <v>68</v>
      </c>
      <c r="R2158">
        <v>29.99</v>
      </c>
      <c r="S2158">
        <v>32.14</v>
      </c>
      <c r="T2158" t="s">
        <v>7199</v>
      </c>
    </row>
    <row r="2159" spans="1:20" x14ac:dyDescent="0.25">
      <c r="A2159" s="1" t="str">
        <f>HYPERLINK("https://vegkart.atlas.vegvesen.no/#/@-49794.4,6719851.1,18/hva:hva%5B0%5D%5Bfilter%5D%5B0%5D%5Boperator%5D=%21%3D&amp;hva%5B0%5D%5Bfilter%5D%5B0%5D%5Btype_id%5D=4723&amp;hva%5B0%5D%5Bfilter%5D%5B0%5D%5Bverdi%5D=&amp;hva%5B0%5D%5Bid%5D=15/når:2019-02-14", "Vegkart")</f>
        <v>Vegkart</v>
      </c>
      <c r="B2159">
        <v>916420949</v>
      </c>
      <c r="C2159">
        <v>15</v>
      </c>
      <c r="D2159" t="s">
        <v>5814</v>
      </c>
      <c r="E2159">
        <v>4723</v>
      </c>
      <c r="F2159" t="s">
        <v>23479</v>
      </c>
      <c r="G2159">
        <v>1</v>
      </c>
      <c r="H2159" t="s">
        <v>7081</v>
      </c>
      <c r="J2159" t="s">
        <v>7170</v>
      </c>
      <c r="K2159" t="s">
        <v>21</v>
      </c>
      <c r="L2159" t="s">
        <v>33</v>
      </c>
      <c r="M2159" t="s">
        <v>7086</v>
      </c>
      <c r="N2159" t="s">
        <v>7200</v>
      </c>
      <c r="O2159" t="s">
        <v>7201</v>
      </c>
      <c r="P2159" s="2" t="s">
        <v>67</v>
      </c>
      <c r="Q2159" t="s">
        <v>68</v>
      </c>
      <c r="R2159">
        <v>93.15</v>
      </c>
      <c r="S2159">
        <v>102.52</v>
      </c>
      <c r="T2159" t="s">
        <v>7202</v>
      </c>
    </row>
    <row r="2160" spans="1:20" x14ac:dyDescent="0.25">
      <c r="A2160" s="1" t="str">
        <f>HYPERLINK("https://vegkart.atlas.vegvesen.no/#/@-49843.6,6719806.1,18/hva:hva%5B0%5D%5Bfilter%5D%5B0%5D%5Boperator%5D=%21%3D&amp;hva%5B0%5D%5Bfilter%5D%5B0%5D%5Btype_id%5D=4723&amp;hva%5B0%5D%5Bfilter%5D%5B0%5D%5Bverdi%5D=&amp;hva%5B0%5D%5Bid%5D=15/når:2019-02-14", "Vegkart")</f>
        <v>Vegkart</v>
      </c>
      <c r="B2160">
        <v>916420950</v>
      </c>
      <c r="C2160">
        <v>15</v>
      </c>
      <c r="D2160" t="s">
        <v>5814</v>
      </c>
      <c r="E2160">
        <v>4723</v>
      </c>
      <c r="F2160" t="s">
        <v>23479</v>
      </c>
      <c r="G2160">
        <v>1</v>
      </c>
      <c r="H2160" t="s">
        <v>7081</v>
      </c>
      <c r="J2160" t="s">
        <v>7170</v>
      </c>
      <c r="K2160" t="s">
        <v>21</v>
      </c>
      <c r="L2160" t="s">
        <v>33</v>
      </c>
      <c r="M2160" t="s">
        <v>7086</v>
      </c>
      <c r="N2160" t="s">
        <v>7203</v>
      </c>
      <c r="O2160" t="s">
        <v>7204</v>
      </c>
      <c r="P2160" s="2" t="s">
        <v>67</v>
      </c>
      <c r="Q2160" t="s">
        <v>68</v>
      </c>
      <c r="R2160">
        <v>26.78</v>
      </c>
      <c r="S2160">
        <v>33.11</v>
      </c>
      <c r="T2160" t="s">
        <v>7205</v>
      </c>
    </row>
    <row r="2161" spans="1:20" x14ac:dyDescent="0.25">
      <c r="A2161" s="1" t="str">
        <f>HYPERLINK("https://vegkart.atlas.vegvesen.no/#/@-49997.9,6718738.6,18/hva:hva%5B0%5D%5Bfilter%5D%5B0%5D%5Boperator%5D=%21%3D&amp;hva%5B0%5D%5Bfilter%5D%5B0%5D%5Btype_id%5D=4723&amp;hva%5B0%5D%5Bfilter%5D%5B0%5D%5Bverdi%5D=&amp;hva%5B0%5D%5Bid%5D=15/når:2019-02-14", "Vegkart")</f>
        <v>Vegkart</v>
      </c>
      <c r="B2161">
        <v>916420951</v>
      </c>
      <c r="C2161">
        <v>15</v>
      </c>
      <c r="D2161" t="s">
        <v>5814</v>
      </c>
      <c r="E2161">
        <v>4723</v>
      </c>
      <c r="F2161" t="s">
        <v>23479</v>
      </c>
      <c r="G2161">
        <v>1</v>
      </c>
      <c r="H2161" t="s">
        <v>7081</v>
      </c>
      <c r="J2161" t="s">
        <v>7170</v>
      </c>
      <c r="K2161" t="s">
        <v>21</v>
      </c>
      <c r="L2161" t="s">
        <v>33</v>
      </c>
      <c r="M2161" t="s">
        <v>7086</v>
      </c>
      <c r="N2161" t="s">
        <v>7206</v>
      </c>
      <c r="O2161" t="s">
        <v>7207</v>
      </c>
      <c r="P2161" s="2" t="s">
        <v>67</v>
      </c>
      <c r="Q2161" t="s">
        <v>68</v>
      </c>
      <c r="R2161">
        <v>50.22</v>
      </c>
      <c r="S2161">
        <v>50.81</v>
      </c>
      <c r="T2161" t="s">
        <v>7208</v>
      </c>
    </row>
    <row r="2162" spans="1:20" x14ac:dyDescent="0.25">
      <c r="A2162" s="1" t="str">
        <f>HYPERLINK("https://vegkart.atlas.vegvesen.no/#/@-49984.1,6718704.5,18/hva:hva%5B0%5D%5Bfilter%5D%5B0%5D%5Boperator%5D=%21%3D&amp;hva%5B0%5D%5Bfilter%5D%5B0%5D%5Btype_id%5D=4723&amp;hva%5B0%5D%5Bfilter%5D%5B0%5D%5Bverdi%5D=&amp;hva%5B0%5D%5Bid%5D=15/når:2019-02-14", "Vegkart")</f>
        <v>Vegkart</v>
      </c>
      <c r="B2162">
        <v>916420952</v>
      </c>
      <c r="C2162">
        <v>15</v>
      </c>
      <c r="D2162" t="s">
        <v>5814</v>
      </c>
      <c r="E2162">
        <v>4723</v>
      </c>
      <c r="F2162" t="s">
        <v>23479</v>
      </c>
      <c r="G2162">
        <v>1</v>
      </c>
      <c r="H2162" t="s">
        <v>7081</v>
      </c>
      <c r="J2162" t="s">
        <v>7170</v>
      </c>
      <c r="K2162" t="s">
        <v>21</v>
      </c>
      <c r="L2162" t="s">
        <v>33</v>
      </c>
      <c r="M2162" t="s">
        <v>7086</v>
      </c>
      <c r="N2162" t="s">
        <v>7209</v>
      </c>
      <c r="O2162" t="s">
        <v>7210</v>
      </c>
      <c r="P2162" s="2" t="s">
        <v>165</v>
      </c>
      <c r="Q2162" t="s">
        <v>1012</v>
      </c>
      <c r="R2162">
        <v>11.97</v>
      </c>
      <c r="S2162">
        <v>12.27</v>
      </c>
      <c r="T2162" t="s">
        <v>167</v>
      </c>
    </row>
    <row r="2163" spans="1:20" x14ac:dyDescent="0.25">
      <c r="A2163" s="1" t="str">
        <f>HYPERLINK("https://vegkart.atlas.vegvesen.no/#/@-49832.0,6719787.5,18/hva:hva%5B0%5D%5Bfilter%5D%5B0%5D%5Boperator%5D=%21%3D&amp;hva%5B0%5D%5Bfilter%5D%5B0%5D%5Btype_id%5D=4723&amp;hva%5B0%5D%5Bfilter%5D%5B0%5D%5Bverdi%5D=&amp;hva%5B0%5D%5Bid%5D=15/når:2019-02-14", "Vegkart")</f>
        <v>Vegkart</v>
      </c>
      <c r="B2163">
        <v>916420960</v>
      </c>
      <c r="C2163">
        <v>15</v>
      </c>
      <c r="D2163" t="s">
        <v>5814</v>
      </c>
      <c r="E2163">
        <v>4723</v>
      </c>
      <c r="F2163" t="s">
        <v>23479</v>
      </c>
      <c r="G2163">
        <v>1</v>
      </c>
      <c r="H2163" t="s">
        <v>7081</v>
      </c>
      <c r="J2163" t="s">
        <v>7170</v>
      </c>
      <c r="K2163" t="s">
        <v>21</v>
      </c>
      <c r="L2163" t="s">
        <v>370</v>
      </c>
      <c r="M2163" t="s">
        <v>7211</v>
      </c>
      <c r="N2163" t="s">
        <v>7212</v>
      </c>
      <c r="O2163" t="s">
        <v>7213</v>
      </c>
      <c r="P2163" s="2" t="s">
        <v>67</v>
      </c>
      <c r="Q2163" t="s">
        <v>68</v>
      </c>
      <c r="R2163">
        <v>72.44</v>
      </c>
      <c r="S2163">
        <v>97.02</v>
      </c>
      <c r="T2163" t="s">
        <v>7214</v>
      </c>
    </row>
    <row r="2164" spans="1:20" x14ac:dyDescent="0.25">
      <c r="A2164" s="1" t="str">
        <f>HYPERLINK("https://vegkart.atlas.vegvesen.no/#/@-50006.5,6718802.9,18/hva:hva%5B0%5D%5Bfilter%5D%5B0%5D%5Boperator%5D=%21%3D&amp;hva%5B0%5D%5Bfilter%5D%5B0%5D%5Btype_id%5D=4723&amp;hva%5B0%5D%5Bfilter%5D%5B0%5D%5Bverdi%5D=&amp;hva%5B0%5D%5Bid%5D=15/når:2019-02-14", "Vegkart")</f>
        <v>Vegkart</v>
      </c>
      <c r="B2164">
        <v>916420998</v>
      </c>
      <c r="C2164">
        <v>15</v>
      </c>
      <c r="D2164" t="s">
        <v>5814</v>
      </c>
      <c r="E2164">
        <v>4723</v>
      </c>
      <c r="F2164" t="s">
        <v>23479</v>
      </c>
      <c r="G2164">
        <v>1</v>
      </c>
      <c r="H2164" t="s">
        <v>7081</v>
      </c>
      <c r="J2164" t="s">
        <v>7170</v>
      </c>
      <c r="K2164" t="s">
        <v>21</v>
      </c>
      <c r="L2164" t="s">
        <v>22</v>
      </c>
      <c r="M2164" t="s">
        <v>7104</v>
      </c>
      <c r="N2164" t="s">
        <v>7215</v>
      </c>
      <c r="O2164" t="s">
        <v>7216</v>
      </c>
      <c r="P2164" s="2" t="s">
        <v>67</v>
      </c>
      <c r="Q2164" t="s">
        <v>68</v>
      </c>
      <c r="R2164">
        <v>51.91</v>
      </c>
      <c r="S2164">
        <v>52.02</v>
      </c>
      <c r="T2164" t="s">
        <v>7217</v>
      </c>
    </row>
    <row r="2165" spans="1:20" x14ac:dyDescent="0.25">
      <c r="A2165" s="1" t="str">
        <f>HYPERLINK("https://vegkart.atlas.vegvesen.no/#/@-38472.6,6526116.8,18/hva:hva%5B0%5D%5Bfilter%5D%5B0%5D%5Boperator%5D=%21%3D&amp;hva%5B0%5D%5Bfilter%5D%5B0%5D%5Btype_id%5D=4723&amp;hva%5B0%5D%5Bfilter%5D%5B0%5D%5Bverdi%5D=&amp;hva%5B0%5D%5Bid%5D=15/når:2019-05-07", "Vegkart")</f>
        <v>Vegkart</v>
      </c>
      <c r="B2165">
        <v>920701001</v>
      </c>
      <c r="C2165">
        <v>15</v>
      </c>
      <c r="D2165" t="s">
        <v>5814</v>
      </c>
      <c r="E2165">
        <v>4723</v>
      </c>
      <c r="F2165" t="s">
        <v>23479</v>
      </c>
      <c r="G2165">
        <v>1</v>
      </c>
      <c r="H2165" t="s">
        <v>7218</v>
      </c>
      <c r="J2165" t="s">
        <v>7219</v>
      </c>
      <c r="K2165" t="s">
        <v>170</v>
      </c>
      <c r="L2165" t="s">
        <v>370</v>
      </c>
      <c r="M2165" t="s">
        <v>7220</v>
      </c>
      <c r="N2165" t="s">
        <v>7221</v>
      </c>
      <c r="O2165" t="s">
        <v>7222</v>
      </c>
      <c r="P2165" s="2" t="s">
        <v>67</v>
      </c>
      <c r="Q2165" t="s">
        <v>68</v>
      </c>
      <c r="R2165">
        <v>22.61</v>
      </c>
      <c r="S2165">
        <v>23.19</v>
      </c>
      <c r="T2165" t="s">
        <v>7223</v>
      </c>
    </row>
    <row r="2166" spans="1:20" x14ac:dyDescent="0.25">
      <c r="A2166" s="1" t="str">
        <f>HYPERLINK("https://vegkart.atlas.vegvesen.no/#/@-38224.6,6526281.1,18/hva:hva%5B0%5D%5Bfilter%5D%5B0%5D%5Boperator%5D=%21%3D&amp;hva%5B0%5D%5Bfilter%5D%5B0%5D%5Btype_id%5D=4723&amp;hva%5B0%5D%5Bfilter%5D%5B0%5D%5Bverdi%5D=&amp;hva%5B0%5D%5Bid%5D=15/når:2019-05-07", "Vegkart")</f>
        <v>Vegkart</v>
      </c>
      <c r="B2166">
        <v>920701263</v>
      </c>
      <c r="C2166">
        <v>15</v>
      </c>
      <c r="D2166" t="s">
        <v>5814</v>
      </c>
      <c r="E2166">
        <v>4723</v>
      </c>
      <c r="F2166" t="s">
        <v>23479</v>
      </c>
      <c r="G2166">
        <v>1</v>
      </c>
      <c r="H2166" t="s">
        <v>7218</v>
      </c>
      <c r="J2166" t="s">
        <v>7224</v>
      </c>
      <c r="K2166" t="s">
        <v>170</v>
      </c>
      <c r="L2166" t="s">
        <v>22</v>
      </c>
      <c r="M2166" t="s">
        <v>7225</v>
      </c>
      <c r="N2166" t="s">
        <v>7226</v>
      </c>
      <c r="O2166" t="s">
        <v>7227</v>
      </c>
      <c r="P2166" s="2" t="s">
        <v>165</v>
      </c>
      <c r="Q2166" t="s">
        <v>641</v>
      </c>
      <c r="R2166">
        <v>0</v>
      </c>
      <c r="S2166">
        <v>496.23</v>
      </c>
      <c r="T2166" t="s">
        <v>167</v>
      </c>
    </row>
    <row r="2167" spans="1:20" x14ac:dyDescent="0.25">
      <c r="A2167" s="1" t="str">
        <f>HYPERLINK("https://vegkart.atlas.vegvesen.no/#/@809188.0,7783356.3,18/hva:hva%5B0%5D%5Bfilter%5D%5B0%5D%5Boperator%5D=%21%3D&amp;hva%5B0%5D%5Bfilter%5D%5B0%5D%5Btype_id%5D=4723&amp;hva%5B0%5D%5Bfilter%5D%5B0%5D%5Bverdi%5D=&amp;hva%5B0%5D%5Bid%5D=15/når:2019-09-09", "Vegkart")</f>
        <v>Vegkart</v>
      </c>
      <c r="B2167">
        <v>973152577</v>
      </c>
      <c r="C2167">
        <v>15</v>
      </c>
      <c r="D2167" t="s">
        <v>5814</v>
      </c>
      <c r="E2167">
        <v>4723</v>
      </c>
      <c r="F2167" t="s">
        <v>23479</v>
      </c>
      <c r="G2167">
        <v>1</v>
      </c>
      <c r="H2167" t="s">
        <v>7228</v>
      </c>
      <c r="J2167" t="s">
        <v>7229</v>
      </c>
      <c r="K2167" t="s">
        <v>450</v>
      </c>
      <c r="L2167" t="s">
        <v>80</v>
      </c>
      <c r="M2167" t="s">
        <v>105</v>
      </c>
      <c r="N2167" t="s">
        <v>7230</v>
      </c>
      <c r="O2167" t="s">
        <v>7231</v>
      </c>
      <c r="P2167" s="2" t="s">
        <v>37</v>
      </c>
      <c r="Q2167" t="s">
        <v>1208</v>
      </c>
      <c r="R2167">
        <v>0</v>
      </c>
      <c r="S2167">
        <v>130.01</v>
      </c>
      <c r="T2167" t="s">
        <v>7232</v>
      </c>
    </row>
    <row r="2168" spans="1:20" x14ac:dyDescent="0.25">
      <c r="A2168" s="1" t="str">
        <f>HYPERLINK("https://vegkart.atlas.vegvesen.no/#/@809185.4,7783377.5,18/hva:hva%5B0%5D%5Bfilter%5D%5B0%5D%5Boperator%5D=%21%3D&amp;hva%5B0%5D%5Bfilter%5D%5B0%5D%5Btype_id%5D=4723&amp;hva%5B0%5D%5Bfilter%5D%5B0%5D%5Bverdi%5D=&amp;hva%5B0%5D%5Bid%5D=15/når:2019-09-09", "Vegkart")</f>
        <v>Vegkart</v>
      </c>
      <c r="B2168">
        <v>973152578</v>
      </c>
      <c r="C2168">
        <v>15</v>
      </c>
      <c r="D2168" t="s">
        <v>5814</v>
      </c>
      <c r="E2168">
        <v>4723</v>
      </c>
      <c r="F2168" t="s">
        <v>23479</v>
      </c>
      <c r="G2168">
        <v>1</v>
      </c>
      <c r="H2168" t="s">
        <v>7228</v>
      </c>
      <c r="J2168" t="s">
        <v>7229</v>
      </c>
      <c r="K2168" t="s">
        <v>450</v>
      </c>
      <c r="L2168" t="s">
        <v>80</v>
      </c>
      <c r="M2168" t="s">
        <v>105</v>
      </c>
      <c r="N2168" t="s">
        <v>7233</v>
      </c>
      <c r="O2168" t="s">
        <v>7234</v>
      </c>
      <c r="P2168" s="2" t="s">
        <v>37</v>
      </c>
      <c r="Q2168" t="s">
        <v>1208</v>
      </c>
      <c r="R2168">
        <v>0</v>
      </c>
      <c r="S2168">
        <v>85.54</v>
      </c>
      <c r="T2168" t="s">
        <v>7235</v>
      </c>
    </row>
    <row r="2169" spans="1:20" x14ac:dyDescent="0.25">
      <c r="A2169" s="1" t="str">
        <f>HYPERLINK("https://vegkart.atlas.vegvesen.no/#/@809164.1,7783328.2,18/hva:hva%5B0%5D%5Bfilter%5D%5B0%5D%5Boperator%5D=%21%3D&amp;hva%5B0%5D%5Bfilter%5D%5B0%5D%5Btype_id%5D=4723&amp;hva%5B0%5D%5Bfilter%5D%5B0%5D%5Bverdi%5D=&amp;hva%5B0%5D%5Bid%5D=15/når:2019-09-09", "Vegkart")</f>
        <v>Vegkart</v>
      </c>
      <c r="B2169">
        <v>973152579</v>
      </c>
      <c r="C2169">
        <v>15</v>
      </c>
      <c r="D2169" t="s">
        <v>5814</v>
      </c>
      <c r="E2169">
        <v>4723</v>
      </c>
      <c r="F2169" t="s">
        <v>23479</v>
      </c>
      <c r="G2169">
        <v>1</v>
      </c>
      <c r="H2169" t="s">
        <v>7228</v>
      </c>
      <c r="J2169" t="s">
        <v>7229</v>
      </c>
      <c r="K2169" t="s">
        <v>450</v>
      </c>
      <c r="L2169" t="s">
        <v>80</v>
      </c>
      <c r="M2169" t="s">
        <v>105</v>
      </c>
      <c r="N2169" t="s">
        <v>7236</v>
      </c>
      <c r="O2169" t="s">
        <v>7237</v>
      </c>
      <c r="P2169" s="2" t="s">
        <v>37</v>
      </c>
      <c r="Q2169" t="s">
        <v>1208</v>
      </c>
      <c r="R2169">
        <v>0</v>
      </c>
      <c r="S2169">
        <v>114.87</v>
      </c>
      <c r="T2169" t="s">
        <v>7238</v>
      </c>
    </row>
    <row r="2170" spans="1:20" x14ac:dyDescent="0.25">
      <c r="A2170" s="1" t="str">
        <f>HYPERLINK("https://vegkart.atlas.vegvesen.no/#/@809140.8,7783413.9,18/hva:hva%5B0%5D%5Bfilter%5D%5B0%5D%5Boperator%5D=%21%3D&amp;hva%5B0%5D%5Bfilter%5D%5B0%5D%5Btype_id%5D=4723&amp;hva%5B0%5D%5Bfilter%5D%5B0%5D%5Bverdi%5D=&amp;hva%5B0%5D%5Bid%5D=15/når:2019-09-09", "Vegkart")</f>
        <v>Vegkart</v>
      </c>
      <c r="B2170">
        <v>973152580</v>
      </c>
      <c r="C2170">
        <v>15</v>
      </c>
      <c r="D2170" t="s">
        <v>5814</v>
      </c>
      <c r="E2170">
        <v>4723</v>
      </c>
      <c r="F2170" t="s">
        <v>23479</v>
      </c>
      <c r="G2170">
        <v>1</v>
      </c>
      <c r="H2170" t="s">
        <v>7228</v>
      </c>
      <c r="J2170" t="s">
        <v>7229</v>
      </c>
      <c r="K2170" t="s">
        <v>450</v>
      </c>
      <c r="L2170" t="s">
        <v>80</v>
      </c>
      <c r="M2170" t="s">
        <v>105</v>
      </c>
      <c r="N2170" t="s">
        <v>7239</v>
      </c>
      <c r="O2170" t="s">
        <v>7240</v>
      </c>
      <c r="P2170" s="2" t="s">
        <v>37</v>
      </c>
      <c r="Q2170" t="s">
        <v>1208</v>
      </c>
      <c r="R2170">
        <v>0</v>
      </c>
      <c r="S2170">
        <v>56.03</v>
      </c>
      <c r="T2170" t="s">
        <v>7241</v>
      </c>
    </row>
    <row r="2171" spans="1:20" x14ac:dyDescent="0.25">
      <c r="A2171" s="1" t="str">
        <f>HYPERLINK("https://vegkart.atlas.vegvesen.no/#/@809156.9,7783407.7,18/hva:hva%5B0%5D%5Bfilter%5D%5B0%5D%5Boperator%5D=%21%3D&amp;hva%5B0%5D%5Bfilter%5D%5B0%5D%5Btype_id%5D=4723&amp;hva%5B0%5D%5Bfilter%5D%5B0%5D%5Bverdi%5D=&amp;hva%5B0%5D%5Bid%5D=15/når:2019-09-09", "Vegkart")</f>
        <v>Vegkart</v>
      </c>
      <c r="B2171">
        <v>973152581</v>
      </c>
      <c r="C2171">
        <v>15</v>
      </c>
      <c r="D2171" t="s">
        <v>5814</v>
      </c>
      <c r="E2171">
        <v>4723</v>
      </c>
      <c r="F2171" t="s">
        <v>23479</v>
      </c>
      <c r="G2171">
        <v>1</v>
      </c>
      <c r="H2171" t="s">
        <v>7228</v>
      </c>
      <c r="J2171" t="s">
        <v>7229</v>
      </c>
      <c r="K2171" t="s">
        <v>450</v>
      </c>
      <c r="L2171" t="s">
        <v>80</v>
      </c>
      <c r="M2171" t="s">
        <v>105</v>
      </c>
      <c r="N2171" t="s">
        <v>7242</v>
      </c>
      <c r="O2171" t="s">
        <v>7243</v>
      </c>
      <c r="P2171" s="2" t="s">
        <v>37</v>
      </c>
      <c r="Q2171" t="s">
        <v>1208</v>
      </c>
      <c r="R2171">
        <v>0</v>
      </c>
      <c r="S2171">
        <v>88.59</v>
      </c>
      <c r="T2171" t="s">
        <v>7244</v>
      </c>
    </row>
    <row r="2172" spans="1:20" x14ac:dyDescent="0.25">
      <c r="A2172" s="1" t="str">
        <f>HYPERLINK("https://vegkart.atlas.vegvesen.no/#/@793487.2,7794355.4,18/hva:hva%5B0%5D%5Bfilter%5D%5B0%5D%5Boperator%5D=%21%3D&amp;hva%5B0%5D%5Bfilter%5D%5B0%5D%5Btype_id%5D=4723&amp;hva%5B0%5D%5Bfilter%5D%5B0%5D%5Bverdi%5D=&amp;hva%5B0%5D%5Bid%5D=15/når:2019-09-20", "Vegkart")</f>
        <v>Vegkart</v>
      </c>
      <c r="B2172">
        <v>977854091</v>
      </c>
      <c r="C2172">
        <v>15</v>
      </c>
      <c r="D2172" t="s">
        <v>5814</v>
      </c>
      <c r="E2172">
        <v>4723</v>
      </c>
      <c r="F2172" t="s">
        <v>23479</v>
      </c>
      <c r="G2172">
        <v>1</v>
      </c>
      <c r="H2172" t="s">
        <v>7245</v>
      </c>
      <c r="J2172" t="s">
        <v>7229</v>
      </c>
      <c r="K2172" t="s">
        <v>450</v>
      </c>
      <c r="L2172" t="s">
        <v>80</v>
      </c>
      <c r="M2172" t="s">
        <v>105</v>
      </c>
      <c r="N2172" t="s">
        <v>7246</v>
      </c>
      <c r="O2172" t="s">
        <v>7247</v>
      </c>
      <c r="P2172" s="2" t="s">
        <v>37</v>
      </c>
      <c r="Q2172" t="s">
        <v>1208</v>
      </c>
      <c r="R2172">
        <v>0</v>
      </c>
      <c r="S2172">
        <v>332.04</v>
      </c>
      <c r="T2172" t="s">
        <v>7248</v>
      </c>
    </row>
    <row r="2173" spans="1:20" x14ac:dyDescent="0.25">
      <c r="A2173" s="1" t="str">
        <f>HYPERLINK("https://vegkart.atlas.vegvesen.no/#/@793617.6,7794441.1,18/hva:hva%5B0%5D%5Bfilter%5D%5B0%5D%5Boperator%5D=%21%3D&amp;hva%5B0%5D%5Bfilter%5D%5B0%5D%5Btype_id%5D=4723&amp;hva%5B0%5D%5Bfilter%5D%5B0%5D%5Bverdi%5D=&amp;hva%5B0%5D%5Bid%5D=15/når:2019-09-20", "Vegkart")</f>
        <v>Vegkart</v>
      </c>
      <c r="B2173">
        <v>977854092</v>
      </c>
      <c r="C2173">
        <v>15</v>
      </c>
      <c r="D2173" t="s">
        <v>5814</v>
      </c>
      <c r="E2173">
        <v>4723</v>
      </c>
      <c r="F2173" t="s">
        <v>23479</v>
      </c>
      <c r="G2173">
        <v>1</v>
      </c>
      <c r="H2173" t="s">
        <v>7245</v>
      </c>
      <c r="J2173" t="s">
        <v>7229</v>
      </c>
      <c r="K2173" t="s">
        <v>450</v>
      </c>
      <c r="L2173" t="s">
        <v>80</v>
      </c>
      <c r="M2173" t="s">
        <v>105</v>
      </c>
      <c r="N2173" t="s">
        <v>7249</v>
      </c>
      <c r="O2173" t="s">
        <v>7250</v>
      </c>
      <c r="P2173" s="2" t="s">
        <v>37</v>
      </c>
      <c r="Q2173" t="s">
        <v>1208</v>
      </c>
      <c r="R2173">
        <v>0</v>
      </c>
      <c r="S2173">
        <v>107.22</v>
      </c>
      <c r="T2173" t="s">
        <v>7251</v>
      </c>
    </row>
    <row r="2174" spans="1:20" x14ac:dyDescent="0.25">
      <c r="A2174" s="1" t="str">
        <f>HYPERLINK("https://vegkart.atlas.vegvesen.no/#/@793516.7,7794412.5,18/hva:hva%5B0%5D%5Bfilter%5D%5B0%5D%5Boperator%5D=%21%3D&amp;hva%5B0%5D%5Bfilter%5D%5B0%5D%5Btype_id%5D=4723&amp;hva%5B0%5D%5Bfilter%5D%5B0%5D%5Bverdi%5D=&amp;hva%5B0%5D%5Bid%5D=15/når:2019-09-20", "Vegkart")</f>
        <v>Vegkart</v>
      </c>
      <c r="B2174">
        <v>977854093</v>
      </c>
      <c r="C2174">
        <v>15</v>
      </c>
      <c r="D2174" t="s">
        <v>5814</v>
      </c>
      <c r="E2174">
        <v>4723</v>
      </c>
      <c r="F2174" t="s">
        <v>23479</v>
      </c>
      <c r="G2174">
        <v>1</v>
      </c>
      <c r="H2174" t="s">
        <v>7245</v>
      </c>
      <c r="J2174" t="s">
        <v>7229</v>
      </c>
      <c r="K2174" t="s">
        <v>450</v>
      </c>
      <c r="L2174" t="s">
        <v>80</v>
      </c>
      <c r="M2174" t="s">
        <v>105</v>
      </c>
      <c r="N2174" t="s">
        <v>7252</v>
      </c>
      <c r="O2174" t="s">
        <v>7253</v>
      </c>
      <c r="P2174" s="2" t="s">
        <v>37</v>
      </c>
      <c r="Q2174" t="s">
        <v>1208</v>
      </c>
      <c r="R2174">
        <v>0</v>
      </c>
      <c r="S2174">
        <v>74.59</v>
      </c>
      <c r="T2174" t="s">
        <v>7254</v>
      </c>
    </row>
    <row r="2175" spans="1:20" x14ac:dyDescent="0.25">
      <c r="A2175" s="1" t="str">
        <f>HYPERLINK("https://vegkart.atlas.vegvesen.no/#/@793592.4,7794395.9,18/hva:hva%5B0%5D%5Bfilter%5D%5B0%5D%5Boperator%5D=%21%3D&amp;hva%5B0%5D%5Bfilter%5D%5B0%5D%5Btype_id%5D=4723&amp;hva%5B0%5D%5Bfilter%5D%5B0%5D%5Bverdi%5D=&amp;hva%5B0%5D%5Bid%5D=15/når:2019-09-20", "Vegkart")</f>
        <v>Vegkart</v>
      </c>
      <c r="B2175">
        <v>977854094</v>
      </c>
      <c r="C2175">
        <v>15</v>
      </c>
      <c r="D2175" t="s">
        <v>5814</v>
      </c>
      <c r="E2175">
        <v>4723</v>
      </c>
      <c r="F2175" t="s">
        <v>23479</v>
      </c>
      <c r="G2175">
        <v>1</v>
      </c>
      <c r="H2175" t="s">
        <v>7245</v>
      </c>
      <c r="J2175" t="s">
        <v>7229</v>
      </c>
      <c r="K2175" t="s">
        <v>450</v>
      </c>
      <c r="L2175" t="s">
        <v>80</v>
      </c>
      <c r="M2175" t="s">
        <v>105</v>
      </c>
      <c r="N2175" t="s">
        <v>7255</v>
      </c>
      <c r="O2175" t="s">
        <v>7256</v>
      </c>
      <c r="P2175" s="2" t="s">
        <v>37</v>
      </c>
      <c r="Q2175" t="s">
        <v>1208</v>
      </c>
      <c r="R2175">
        <v>0</v>
      </c>
      <c r="S2175">
        <v>310.20999999999998</v>
      </c>
      <c r="T2175" t="s">
        <v>7257</v>
      </c>
    </row>
    <row r="2176" spans="1:20" x14ac:dyDescent="0.25">
      <c r="A2176" s="1" t="str">
        <f>HYPERLINK("https://vegkart.atlas.vegvesen.no/#/@295015.3,6737114.4,18/hva:hva%5B0%5D%5Bfilter%5D%5B0%5D%5Boperator%5D=%21%3D&amp;hva%5B0%5D%5Bfilter%5D%5B0%5D%5Btype_id%5D=4723&amp;hva%5B0%5D%5Bfilter%5D%5B0%5D%5Bverdi%5D=&amp;hva%5B0%5D%5Bid%5D=15/når:2019-11-04", "Vegkart")</f>
        <v>Vegkart</v>
      </c>
      <c r="B2176">
        <v>996464564</v>
      </c>
      <c r="C2176">
        <v>15</v>
      </c>
      <c r="D2176" t="s">
        <v>5814</v>
      </c>
      <c r="E2176">
        <v>4723</v>
      </c>
      <c r="F2176" t="s">
        <v>23479</v>
      </c>
      <c r="G2176">
        <v>1</v>
      </c>
      <c r="H2176" t="s">
        <v>234</v>
      </c>
      <c r="J2176" t="s">
        <v>7258</v>
      </c>
      <c r="K2176" t="s">
        <v>136</v>
      </c>
      <c r="L2176" t="s">
        <v>80</v>
      </c>
      <c r="M2176" t="s">
        <v>105</v>
      </c>
      <c r="N2176" t="s">
        <v>7259</v>
      </c>
      <c r="O2176" t="s">
        <v>7260</v>
      </c>
      <c r="P2176" s="2" t="s">
        <v>67</v>
      </c>
      <c r="Q2176" t="s">
        <v>68</v>
      </c>
      <c r="R2176">
        <v>642.11</v>
      </c>
      <c r="S2176">
        <v>835.53</v>
      </c>
      <c r="T2176" t="s">
        <v>7261</v>
      </c>
    </row>
    <row r="2177" spans="1:20" x14ac:dyDescent="0.25">
      <c r="A2177" s="1" t="str">
        <f>HYPERLINK("https://vegkart.atlas.vegvesen.no/#/@295598.3,6736361.0,18/hva:hva%5B0%5D%5Bfilter%5D%5B0%5D%5Boperator%5D=%21%3D&amp;hva%5B0%5D%5Bfilter%5D%5B0%5D%5Btype_id%5D=4723&amp;hva%5B0%5D%5Bfilter%5D%5B0%5D%5Bverdi%5D=&amp;hva%5B0%5D%5Bid%5D=15/når:2019-11-04", "Vegkart")</f>
        <v>Vegkart</v>
      </c>
      <c r="B2177">
        <v>996464568</v>
      </c>
      <c r="C2177">
        <v>15</v>
      </c>
      <c r="D2177" t="s">
        <v>5814</v>
      </c>
      <c r="E2177">
        <v>4723</v>
      </c>
      <c r="F2177" t="s">
        <v>23479</v>
      </c>
      <c r="G2177">
        <v>1</v>
      </c>
      <c r="H2177" t="s">
        <v>234</v>
      </c>
      <c r="J2177" t="s">
        <v>7258</v>
      </c>
      <c r="K2177" t="s">
        <v>136</v>
      </c>
      <c r="L2177" t="s">
        <v>80</v>
      </c>
      <c r="M2177" t="s">
        <v>105</v>
      </c>
      <c r="N2177" t="s">
        <v>7262</v>
      </c>
      <c r="O2177" t="s">
        <v>7263</v>
      </c>
      <c r="P2177" s="2" t="s">
        <v>67</v>
      </c>
      <c r="Q2177" t="s">
        <v>68</v>
      </c>
      <c r="R2177">
        <v>1471.23</v>
      </c>
      <c r="S2177">
        <v>1730.06</v>
      </c>
      <c r="T2177" t="s">
        <v>7264</v>
      </c>
    </row>
    <row r="2178" spans="1:20" x14ac:dyDescent="0.25">
      <c r="A2178" s="1" t="str">
        <f>HYPERLINK("https://vegkart.atlas.vegvesen.no/#/@-32000.7,6576611.8,18/hva:hva%5B0%5D%5Bfilter%5D%5B0%5D%5Boperator%5D=%21%3D&amp;hva%5B0%5D%5Bfilter%5D%5B0%5D%5Btype_id%5D=4723&amp;hva%5B0%5D%5Bfilter%5D%5B0%5D%5Bverdi%5D=&amp;hva%5B0%5D%5Bid%5D=15/når:2019-11-13", "Vegkart")</f>
        <v>Vegkart</v>
      </c>
      <c r="B2178">
        <v>1004692885</v>
      </c>
      <c r="C2178">
        <v>15</v>
      </c>
      <c r="D2178" t="s">
        <v>5814</v>
      </c>
      <c r="E2178">
        <v>4723</v>
      </c>
      <c r="F2178" t="s">
        <v>23479</v>
      </c>
      <c r="G2178">
        <v>1</v>
      </c>
      <c r="H2178" t="s">
        <v>7265</v>
      </c>
      <c r="J2178" t="s">
        <v>7266</v>
      </c>
      <c r="K2178" t="s">
        <v>170</v>
      </c>
      <c r="L2178" t="s">
        <v>22</v>
      </c>
      <c r="M2178" t="s">
        <v>7267</v>
      </c>
      <c r="N2178" t="s">
        <v>7268</v>
      </c>
      <c r="O2178" t="s">
        <v>7269</v>
      </c>
      <c r="P2178" s="2" t="s">
        <v>37</v>
      </c>
      <c r="Q2178" t="s">
        <v>1208</v>
      </c>
      <c r="R2178">
        <v>0.54</v>
      </c>
      <c r="S2178">
        <v>356.17</v>
      </c>
      <c r="T2178" t="s">
        <v>7270</v>
      </c>
    </row>
    <row r="2179" spans="1:20" x14ac:dyDescent="0.25">
      <c r="A2179" s="1" t="str">
        <f>HYPERLINK("https://vegkart.atlas.vegvesen.no/#/@561794.1,7633425.7,18/hva:hva%5B0%5D%5Bfilter%5D%5B0%5D%5Boperator%5D=%21%3D&amp;hva%5B0%5D%5Bfilter%5D%5B0%5D%5Btype_id%5D=4723&amp;hva%5B0%5D%5Bfilter%5D%5B0%5D%5Bverdi%5D=&amp;hva%5B0%5D%5Bid%5D=15/når:2019-12-03", "Vegkart")</f>
        <v>Vegkart</v>
      </c>
      <c r="B2179">
        <v>1005483518</v>
      </c>
      <c r="C2179">
        <v>15</v>
      </c>
      <c r="D2179" t="s">
        <v>5814</v>
      </c>
      <c r="E2179">
        <v>4723</v>
      </c>
      <c r="F2179" t="s">
        <v>23479</v>
      </c>
      <c r="G2179">
        <v>1</v>
      </c>
      <c r="H2179" t="s">
        <v>7271</v>
      </c>
      <c r="J2179" t="s">
        <v>7266</v>
      </c>
      <c r="K2179" t="s">
        <v>179</v>
      </c>
      <c r="L2179" t="s">
        <v>113</v>
      </c>
      <c r="M2179" t="s">
        <v>6733</v>
      </c>
      <c r="N2179" t="s">
        <v>7272</v>
      </c>
      <c r="O2179" t="s">
        <v>7273</v>
      </c>
      <c r="P2179" s="2" t="s">
        <v>37</v>
      </c>
      <c r="Q2179" t="s">
        <v>1208</v>
      </c>
      <c r="R2179">
        <v>0</v>
      </c>
      <c r="S2179">
        <v>159.85</v>
      </c>
      <c r="T2179" t="s">
        <v>7274</v>
      </c>
    </row>
    <row r="2180" spans="1:20" x14ac:dyDescent="0.25">
      <c r="A2180" s="1" t="str">
        <f>HYPERLINK("https://vegkart.atlas.vegvesen.no/#/@561817.3,7633406.9,18/hva:hva%5B0%5D%5Bfilter%5D%5B0%5D%5Boperator%5D=%21%3D&amp;hva%5B0%5D%5Bfilter%5D%5B0%5D%5Btype_id%5D=4723&amp;hva%5B0%5D%5Bfilter%5D%5B0%5D%5Bverdi%5D=&amp;hva%5B0%5D%5Bid%5D=15/når:2019-12-03", "Vegkart")</f>
        <v>Vegkart</v>
      </c>
      <c r="B2180">
        <v>1005483519</v>
      </c>
      <c r="C2180">
        <v>15</v>
      </c>
      <c r="D2180" t="s">
        <v>5814</v>
      </c>
      <c r="E2180">
        <v>4723</v>
      </c>
      <c r="F2180" t="s">
        <v>23479</v>
      </c>
      <c r="G2180">
        <v>1</v>
      </c>
      <c r="H2180" t="s">
        <v>7271</v>
      </c>
      <c r="J2180" t="s">
        <v>7266</v>
      </c>
      <c r="K2180" t="s">
        <v>179</v>
      </c>
      <c r="L2180" t="s">
        <v>113</v>
      </c>
      <c r="M2180" t="s">
        <v>6733</v>
      </c>
      <c r="N2180" t="s">
        <v>7275</v>
      </c>
      <c r="O2180" t="s">
        <v>7276</v>
      </c>
      <c r="P2180" s="2" t="s">
        <v>37</v>
      </c>
      <c r="Q2180" t="s">
        <v>1208</v>
      </c>
      <c r="R2180">
        <v>0</v>
      </c>
      <c r="S2180">
        <v>292.77</v>
      </c>
      <c r="T2180" t="s">
        <v>7277</v>
      </c>
    </row>
    <row r="2181" spans="1:20" x14ac:dyDescent="0.25">
      <c r="A2181" s="1" t="str">
        <f>HYPERLINK("https://vegkart.atlas.vegvesen.no/#/@561965.6,7632117.9,18/hva:hva%5B0%5D%5Bfilter%5D%5B0%5D%5Boperator%5D=%21%3D&amp;hva%5B0%5D%5Bfilter%5D%5B0%5D%5Btype_id%5D=4723&amp;hva%5B0%5D%5Bfilter%5D%5B0%5D%5Bverdi%5D=&amp;hva%5B0%5D%5Bid%5D=15/når:2019-12-03", "Vegkart")</f>
        <v>Vegkart</v>
      </c>
      <c r="B2181">
        <v>1005483520</v>
      </c>
      <c r="C2181">
        <v>15</v>
      </c>
      <c r="D2181" t="s">
        <v>5814</v>
      </c>
      <c r="E2181">
        <v>4723</v>
      </c>
      <c r="F2181" t="s">
        <v>23479</v>
      </c>
      <c r="G2181">
        <v>1</v>
      </c>
      <c r="H2181" t="s">
        <v>7271</v>
      </c>
      <c r="J2181" t="s">
        <v>7266</v>
      </c>
      <c r="K2181" t="s">
        <v>179</v>
      </c>
      <c r="L2181" t="s">
        <v>113</v>
      </c>
      <c r="M2181" t="s">
        <v>6733</v>
      </c>
      <c r="N2181" t="s">
        <v>7278</v>
      </c>
      <c r="O2181" t="s">
        <v>7279</v>
      </c>
      <c r="P2181" s="2" t="s">
        <v>37</v>
      </c>
      <c r="Q2181" t="s">
        <v>1208</v>
      </c>
      <c r="R2181">
        <v>0</v>
      </c>
      <c r="S2181">
        <v>161.66</v>
      </c>
      <c r="T2181" t="s">
        <v>7280</v>
      </c>
    </row>
    <row r="2182" spans="1:20" x14ac:dyDescent="0.25">
      <c r="A2182" s="1" t="str">
        <f>HYPERLINK("https://vegkart.atlas.vegvesen.no/#/@561981.4,7632096.3,18/hva:hva%5B0%5D%5Bfilter%5D%5B0%5D%5Boperator%5D=%21%3D&amp;hva%5B0%5D%5Bfilter%5D%5B0%5D%5Btype_id%5D=4723&amp;hva%5B0%5D%5Bfilter%5D%5B0%5D%5Bverdi%5D=&amp;hva%5B0%5D%5Bid%5D=15/når:2019-12-03", "Vegkart")</f>
        <v>Vegkart</v>
      </c>
      <c r="B2182">
        <v>1005483521</v>
      </c>
      <c r="C2182">
        <v>15</v>
      </c>
      <c r="D2182" t="s">
        <v>5814</v>
      </c>
      <c r="E2182">
        <v>4723</v>
      </c>
      <c r="F2182" t="s">
        <v>23479</v>
      </c>
      <c r="G2182">
        <v>1</v>
      </c>
      <c r="H2182" t="s">
        <v>7271</v>
      </c>
      <c r="J2182" t="s">
        <v>7266</v>
      </c>
      <c r="K2182" t="s">
        <v>179</v>
      </c>
      <c r="L2182" t="s">
        <v>113</v>
      </c>
      <c r="M2182" t="s">
        <v>6733</v>
      </c>
      <c r="N2182" t="s">
        <v>7281</v>
      </c>
      <c r="O2182" t="s">
        <v>7282</v>
      </c>
      <c r="P2182" s="2" t="s">
        <v>37</v>
      </c>
      <c r="Q2182" t="s">
        <v>1208</v>
      </c>
      <c r="R2182">
        <v>0</v>
      </c>
      <c r="S2182">
        <v>282.08</v>
      </c>
      <c r="T2182" t="s">
        <v>7283</v>
      </c>
    </row>
    <row r="2183" spans="1:20" x14ac:dyDescent="0.25">
      <c r="A2183" s="1" t="str">
        <f>HYPERLINK("https://vegkart.atlas.vegvesen.no/#/@561977.1,7632056.3,18/hva:hva%5B0%5D%5Bfilter%5D%5B0%5D%5Boperator%5D=%21%3D&amp;hva%5B0%5D%5Bfilter%5D%5B0%5D%5Btype_id%5D=4723&amp;hva%5B0%5D%5Bfilter%5D%5B0%5D%5Bverdi%5D=&amp;hva%5B0%5D%5Bid%5D=15/når:2019-12-03", "Vegkart")</f>
        <v>Vegkart</v>
      </c>
      <c r="B2183">
        <v>1005483522</v>
      </c>
      <c r="C2183">
        <v>15</v>
      </c>
      <c r="D2183" t="s">
        <v>5814</v>
      </c>
      <c r="E2183">
        <v>4723</v>
      </c>
      <c r="F2183" t="s">
        <v>23479</v>
      </c>
      <c r="G2183">
        <v>1</v>
      </c>
      <c r="H2183" t="s">
        <v>7271</v>
      </c>
      <c r="J2183" t="s">
        <v>7266</v>
      </c>
      <c r="K2183" t="s">
        <v>179</v>
      </c>
      <c r="L2183" t="s">
        <v>113</v>
      </c>
      <c r="M2183" t="s">
        <v>6733</v>
      </c>
      <c r="N2183" t="s">
        <v>7284</v>
      </c>
      <c r="O2183" t="s">
        <v>7285</v>
      </c>
      <c r="P2183" s="2" t="s">
        <v>37</v>
      </c>
      <c r="Q2183" t="s">
        <v>1208</v>
      </c>
      <c r="R2183">
        <v>0</v>
      </c>
      <c r="S2183">
        <v>392.13</v>
      </c>
      <c r="T2183" t="s">
        <v>7286</v>
      </c>
    </row>
    <row r="2184" spans="1:20" x14ac:dyDescent="0.25">
      <c r="A2184" s="1" t="str">
        <f>HYPERLINK("https://vegkart.atlas.vegvesen.no/#/@561905.6,7632098.4,18/hva:hva%5B0%5D%5Bfilter%5D%5B0%5D%5Boperator%5D=%21%3D&amp;hva%5B0%5D%5Bfilter%5D%5B0%5D%5Btype_id%5D=4723&amp;hva%5B0%5D%5Bfilter%5D%5B0%5D%5Bverdi%5D=&amp;hva%5B0%5D%5Bid%5D=15/når:2019-12-03", "Vegkart")</f>
        <v>Vegkart</v>
      </c>
      <c r="B2184">
        <v>1005483523</v>
      </c>
      <c r="C2184">
        <v>15</v>
      </c>
      <c r="D2184" t="s">
        <v>5814</v>
      </c>
      <c r="E2184">
        <v>4723</v>
      </c>
      <c r="F2184" t="s">
        <v>23479</v>
      </c>
      <c r="G2184">
        <v>1</v>
      </c>
      <c r="H2184" t="s">
        <v>7271</v>
      </c>
      <c r="J2184" t="s">
        <v>7266</v>
      </c>
      <c r="K2184" t="s">
        <v>179</v>
      </c>
      <c r="L2184" t="s">
        <v>113</v>
      </c>
      <c r="M2184" t="s">
        <v>6733</v>
      </c>
      <c r="N2184" t="s">
        <v>7287</v>
      </c>
      <c r="O2184" t="s">
        <v>7288</v>
      </c>
      <c r="P2184" s="2" t="s">
        <v>37</v>
      </c>
      <c r="Q2184" t="s">
        <v>1208</v>
      </c>
      <c r="R2184">
        <v>0</v>
      </c>
      <c r="S2184">
        <v>224.53</v>
      </c>
      <c r="T2184" t="s">
        <v>7289</v>
      </c>
    </row>
    <row r="2185" spans="1:20" x14ac:dyDescent="0.25">
      <c r="A2185" s="1" t="str">
        <f>HYPERLINK("https://vegkart.atlas.vegvesen.no/#/@654559.5,7735410.3,18/hva:hva%5B0%5D%5Bfilter%5D%5B0%5D%5Boperator%5D=%21%3D&amp;hva%5B0%5D%5Bfilter%5D%5B0%5D%5Btype_id%5D=4723&amp;hva%5B0%5D%5Bfilter%5D%5B0%5D%5Bverdi%5D=&amp;hva%5B0%5D%5Bid%5D=15/når:2019-12-16", "Vegkart")</f>
        <v>Vegkart</v>
      </c>
      <c r="B2185">
        <v>1006038566</v>
      </c>
      <c r="C2185">
        <v>15</v>
      </c>
      <c r="D2185" t="s">
        <v>5814</v>
      </c>
      <c r="E2185">
        <v>4723</v>
      </c>
      <c r="F2185" t="s">
        <v>23479</v>
      </c>
      <c r="G2185">
        <v>1</v>
      </c>
      <c r="H2185" t="s">
        <v>7290</v>
      </c>
      <c r="J2185" t="s">
        <v>7266</v>
      </c>
      <c r="K2185" t="s">
        <v>179</v>
      </c>
      <c r="L2185" t="s">
        <v>370</v>
      </c>
      <c r="M2185" t="s">
        <v>7291</v>
      </c>
      <c r="N2185" t="s">
        <v>7292</v>
      </c>
      <c r="O2185" t="s">
        <v>7293</v>
      </c>
      <c r="P2185" s="2" t="s">
        <v>37</v>
      </c>
      <c r="Q2185" t="s">
        <v>1208</v>
      </c>
      <c r="R2185">
        <v>0</v>
      </c>
      <c r="S2185">
        <v>103.02</v>
      </c>
      <c r="T2185" t="s">
        <v>7294</v>
      </c>
    </row>
    <row r="2186" spans="1:20" x14ac:dyDescent="0.25">
      <c r="A2186" s="1" t="str">
        <f>HYPERLINK("https://vegkart.atlas.vegvesen.no/#/@654658.4,7735576.8,18/hva:hva%5B0%5D%5Bfilter%5D%5B0%5D%5Boperator%5D=%21%3D&amp;hva%5B0%5D%5Bfilter%5D%5B0%5D%5Btype_id%5D=4723&amp;hva%5B0%5D%5Bfilter%5D%5B0%5D%5Bverdi%5D=&amp;hva%5B0%5D%5Bid%5D=15/når:2019-12-16", "Vegkart")</f>
        <v>Vegkart</v>
      </c>
      <c r="B2186">
        <v>1006038569</v>
      </c>
      <c r="C2186">
        <v>15</v>
      </c>
      <c r="D2186" t="s">
        <v>5814</v>
      </c>
      <c r="E2186">
        <v>4723</v>
      </c>
      <c r="F2186" t="s">
        <v>23479</v>
      </c>
      <c r="G2186">
        <v>1</v>
      </c>
      <c r="H2186" t="s">
        <v>7290</v>
      </c>
      <c r="J2186" t="s">
        <v>7266</v>
      </c>
      <c r="K2186" t="s">
        <v>179</v>
      </c>
      <c r="L2186" t="s">
        <v>22</v>
      </c>
      <c r="M2186" t="s">
        <v>7295</v>
      </c>
      <c r="N2186" t="s">
        <v>7296</v>
      </c>
      <c r="O2186" t="s">
        <v>7297</v>
      </c>
      <c r="P2186" s="2" t="s">
        <v>37</v>
      </c>
      <c r="Q2186" t="s">
        <v>1208</v>
      </c>
      <c r="R2186">
        <v>0</v>
      </c>
      <c r="S2186">
        <v>54.58</v>
      </c>
      <c r="T2186" t="s">
        <v>7298</v>
      </c>
    </row>
    <row r="2187" spans="1:20" x14ac:dyDescent="0.25">
      <c r="A2187" s="1" t="str">
        <f>HYPERLINK("https://vegkart.atlas.vegvesen.no/#/@654681.9,7735599.2,18/hva:hva%5B0%5D%5Bfilter%5D%5B0%5D%5Boperator%5D=%21%3D&amp;hva%5B0%5D%5Bfilter%5D%5B0%5D%5Btype_id%5D=4723&amp;hva%5B0%5D%5Bfilter%5D%5B0%5D%5Bverdi%5D=&amp;hva%5B0%5D%5Bid%5D=15/når:2019-12-16", "Vegkart")</f>
        <v>Vegkart</v>
      </c>
      <c r="B2187">
        <v>1006038578</v>
      </c>
      <c r="C2187">
        <v>15</v>
      </c>
      <c r="D2187" t="s">
        <v>5814</v>
      </c>
      <c r="E2187">
        <v>4723</v>
      </c>
      <c r="F2187" t="s">
        <v>23479</v>
      </c>
      <c r="G2187">
        <v>1</v>
      </c>
      <c r="H2187" t="s">
        <v>7290</v>
      </c>
      <c r="J2187" t="s">
        <v>7266</v>
      </c>
      <c r="K2187" t="s">
        <v>179</v>
      </c>
      <c r="L2187" t="s">
        <v>22</v>
      </c>
      <c r="M2187" t="s">
        <v>7295</v>
      </c>
      <c r="N2187" t="s">
        <v>7299</v>
      </c>
      <c r="O2187" t="s">
        <v>7300</v>
      </c>
      <c r="P2187" s="2" t="s">
        <v>37</v>
      </c>
      <c r="Q2187" t="s">
        <v>1208</v>
      </c>
      <c r="R2187">
        <v>0</v>
      </c>
      <c r="S2187">
        <v>56.82</v>
      </c>
      <c r="T2187" t="s">
        <v>7301</v>
      </c>
    </row>
    <row r="2188" spans="1:20" x14ac:dyDescent="0.25">
      <c r="A2188" s="1" t="str">
        <f>HYPERLINK("https://vegkart.atlas.vegvesen.no/#/@654826.3,7735547.8,18/hva:hva%5B0%5D%5Bfilter%5D%5B0%5D%5Boperator%5D=%21%3D&amp;hva%5B0%5D%5Bfilter%5D%5B0%5D%5Btype_id%5D=4723&amp;hva%5B0%5D%5Bfilter%5D%5B0%5D%5Bverdi%5D=&amp;hva%5B0%5D%5Bid%5D=15/når:2019-12-16", "Vegkart")</f>
        <v>Vegkart</v>
      </c>
      <c r="B2188">
        <v>1006038579</v>
      </c>
      <c r="C2188">
        <v>15</v>
      </c>
      <c r="D2188" t="s">
        <v>5814</v>
      </c>
      <c r="E2188">
        <v>4723</v>
      </c>
      <c r="F2188" t="s">
        <v>23479</v>
      </c>
      <c r="G2188">
        <v>1</v>
      </c>
      <c r="H2188" t="s">
        <v>7290</v>
      </c>
      <c r="J2188" t="s">
        <v>7266</v>
      </c>
      <c r="K2188" t="s">
        <v>179</v>
      </c>
      <c r="L2188" t="s">
        <v>370</v>
      </c>
      <c r="M2188" t="s">
        <v>7302</v>
      </c>
      <c r="N2188" t="s">
        <v>7303</v>
      </c>
      <c r="O2188" t="s">
        <v>7304</v>
      </c>
      <c r="P2188" s="2" t="s">
        <v>37</v>
      </c>
      <c r="Q2188" t="s">
        <v>1208</v>
      </c>
      <c r="R2188">
        <v>0</v>
      </c>
      <c r="S2188">
        <v>121.77</v>
      </c>
      <c r="T2188" t="s">
        <v>7305</v>
      </c>
    </row>
    <row r="2189" spans="1:20" x14ac:dyDescent="0.25">
      <c r="A2189" s="1" t="str">
        <f>HYPERLINK("https://vegkart.atlas.vegvesen.no/#/@654797.8,7735507.7,18/hva:hva%5B0%5D%5Bfilter%5D%5B0%5D%5Boperator%5D=%21%3D&amp;hva%5B0%5D%5Bfilter%5D%5B0%5D%5Btype_id%5D=4723&amp;hva%5B0%5D%5Bfilter%5D%5B0%5D%5Bverdi%5D=&amp;hva%5B0%5D%5Bid%5D=15/når:2019-12-16", "Vegkart")</f>
        <v>Vegkart</v>
      </c>
      <c r="B2189">
        <v>1006038580</v>
      </c>
      <c r="C2189">
        <v>15</v>
      </c>
      <c r="D2189" t="s">
        <v>5814</v>
      </c>
      <c r="E2189">
        <v>4723</v>
      </c>
      <c r="F2189" t="s">
        <v>23479</v>
      </c>
      <c r="G2189">
        <v>1</v>
      </c>
      <c r="H2189" t="s">
        <v>7290</v>
      </c>
      <c r="J2189" t="s">
        <v>7266</v>
      </c>
      <c r="K2189" t="s">
        <v>179</v>
      </c>
      <c r="L2189" t="s">
        <v>370</v>
      </c>
      <c r="M2189" t="s">
        <v>7302</v>
      </c>
      <c r="N2189" t="s">
        <v>7306</v>
      </c>
      <c r="O2189" t="s">
        <v>7307</v>
      </c>
      <c r="P2189" s="2" t="s">
        <v>37</v>
      </c>
      <c r="Q2189" t="s">
        <v>1208</v>
      </c>
      <c r="R2189">
        <v>0</v>
      </c>
      <c r="S2189">
        <v>91.75</v>
      </c>
      <c r="T2189" t="s">
        <v>7308</v>
      </c>
    </row>
    <row r="2190" spans="1:20" x14ac:dyDescent="0.25">
      <c r="A2190" s="1" t="str">
        <f>HYPERLINK("https://vegkart.atlas.vegvesen.no/#/@654621.1,7735504.9,18/hva:hva%5B0%5D%5Bfilter%5D%5B0%5D%5Boperator%5D=%21%3D&amp;hva%5B0%5D%5Bfilter%5D%5B0%5D%5Btype_id%5D=4723&amp;hva%5B0%5D%5Bfilter%5D%5B0%5D%5Bverdi%5D=&amp;hva%5B0%5D%5Bid%5D=15/når:2019-12-16", "Vegkart")</f>
        <v>Vegkart</v>
      </c>
      <c r="B2190">
        <v>1006038584</v>
      </c>
      <c r="C2190">
        <v>15</v>
      </c>
      <c r="D2190" t="s">
        <v>5814</v>
      </c>
      <c r="E2190">
        <v>4723</v>
      </c>
      <c r="F2190" t="s">
        <v>23479</v>
      </c>
      <c r="G2190">
        <v>1</v>
      </c>
      <c r="H2190" t="s">
        <v>7290</v>
      </c>
      <c r="J2190" t="s">
        <v>7266</v>
      </c>
      <c r="K2190" t="s">
        <v>179</v>
      </c>
      <c r="L2190" t="s">
        <v>370</v>
      </c>
      <c r="M2190" t="s">
        <v>7309</v>
      </c>
      <c r="N2190" t="s">
        <v>7310</v>
      </c>
      <c r="O2190" t="s">
        <v>7311</v>
      </c>
      <c r="P2190" s="2" t="s">
        <v>37</v>
      </c>
      <c r="Q2190" t="s">
        <v>1208</v>
      </c>
      <c r="R2190">
        <v>0</v>
      </c>
      <c r="S2190">
        <v>63.29</v>
      </c>
      <c r="T2190" t="s">
        <v>7312</v>
      </c>
    </row>
    <row r="2191" spans="1:20" x14ac:dyDescent="0.25">
      <c r="A2191" s="1" t="str">
        <f>HYPERLINK("https://vegkart.atlas.vegvesen.no/#/@654596.0,7735511.3,18/hva:hva%5B0%5D%5Bfilter%5D%5B0%5D%5Boperator%5D=%21%3D&amp;hva%5B0%5D%5Bfilter%5D%5B0%5D%5Btype_id%5D=4723&amp;hva%5B0%5D%5Bfilter%5D%5B0%5D%5Bverdi%5D=&amp;hva%5B0%5D%5Bid%5D=15/når:2019-12-16", "Vegkart")</f>
        <v>Vegkart</v>
      </c>
      <c r="B2191">
        <v>1006038585</v>
      </c>
      <c r="C2191">
        <v>15</v>
      </c>
      <c r="D2191" t="s">
        <v>5814</v>
      </c>
      <c r="E2191">
        <v>4723</v>
      </c>
      <c r="F2191" t="s">
        <v>23479</v>
      </c>
      <c r="G2191">
        <v>1</v>
      </c>
      <c r="H2191" t="s">
        <v>7290</v>
      </c>
      <c r="J2191" t="s">
        <v>7266</v>
      </c>
      <c r="K2191" t="s">
        <v>179</v>
      </c>
      <c r="L2191" t="s">
        <v>22</v>
      </c>
      <c r="M2191" t="s">
        <v>7295</v>
      </c>
      <c r="N2191" t="s">
        <v>7313</v>
      </c>
      <c r="O2191" t="s">
        <v>7314</v>
      </c>
      <c r="P2191" s="2" t="s">
        <v>37</v>
      </c>
      <c r="Q2191" t="s">
        <v>1208</v>
      </c>
      <c r="R2191">
        <v>0</v>
      </c>
      <c r="S2191">
        <v>24.1</v>
      </c>
      <c r="T2191" t="s">
        <v>7315</v>
      </c>
    </row>
    <row r="2192" spans="1:20" x14ac:dyDescent="0.25">
      <c r="A2192" s="1" t="str">
        <f>HYPERLINK("https://vegkart.atlas.vegvesen.no/#/@654596.2,7735472.9,18/hva:hva%5B0%5D%5Bfilter%5D%5B0%5D%5Boperator%5D=%21%3D&amp;hva%5B0%5D%5Bfilter%5D%5B0%5D%5Btype_id%5D=4723&amp;hva%5B0%5D%5Bfilter%5D%5B0%5D%5Bverdi%5D=&amp;hva%5B0%5D%5Bid%5D=15/når:2019-12-16", "Vegkart")</f>
        <v>Vegkart</v>
      </c>
      <c r="B2192">
        <v>1006038586</v>
      </c>
      <c r="C2192">
        <v>15</v>
      </c>
      <c r="D2192" t="s">
        <v>5814</v>
      </c>
      <c r="E2192">
        <v>4723</v>
      </c>
      <c r="F2192" t="s">
        <v>23479</v>
      </c>
      <c r="G2192">
        <v>1</v>
      </c>
      <c r="H2192" t="s">
        <v>7290</v>
      </c>
      <c r="J2192" t="s">
        <v>7266</v>
      </c>
      <c r="K2192" t="s">
        <v>179</v>
      </c>
      <c r="L2192" t="s">
        <v>22</v>
      </c>
      <c r="M2192" t="s">
        <v>7295</v>
      </c>
      <c r="N2192" t="s">
        <v>7316</v>
      </c>
      <c r="O2192" t="s">
        <v>7317</v>
      </c>
      <c r="P2192" s="2" t="s">
        <v>37</v>
      </c>
      <c r="Q2192" t="s">
        <v>1208</v>
      </c>
      <c r="R2192">
        <v>0</v>
      </c>
      <c r="S2192">
        <v>11.11</v>
      </c>
      <c r="T2192" t="s">
        <v>7318</v>
      </c>
    </row>
    <row r="2193" spans="1:20" x14ac:dyDescent="0.25">
      <c r="A2193" s="1" t="str">
        <f>HYPERLINK("https://vegkart.atlas.vegvesen.no/#/@654807.9,7735615.3,18/hva:hva%5B0%5D%5Bfilter%5D%5B0%5D%5Boperator%5D=%21%3D&amp;hva%5B0%5D%5Bfilter%5D%5B0%5D%5Btype_id%5D=4723&amp;hva%5B0%5D%5Bfilter%5D%5B0%5D%5Bverdi%5D=&amp;hva%5B0%5D%5Bid%5D=15/når:2019-12-16", "Vegkart")</f>
        <v>Vegkart</v>
      </c>
      <c r="B2193">
        <v>1006038587</v>
      </c>
      <c r="C2193">
        <v>15</v>
      </c>
      <c r="D2193" t="s">
        <v>5814</v>
      </c>
      <c r="E2193">
        <v>4723</v>
      </c>
      <c r="F2193" t="s">
        <v>23479</v>
      </c>
      <c r="G2193">
        <v>1</v>
      </c>
      <c r="H2193" t="s">
        <v>7290</v>
      </c>
      <c r="J2193" t="s">
        <v>7266</v>
      </c>
      <c r="K2193" t="s">
        <v>179</v>
      </c>
      <c r="L2193" t="s">
        <v>33</v>
      </c>
      <c r="M2193" t="s">
        <v>7319</v>
      </c>
      <c r="N2193" t="s">
        <v>7320</v>
      </c>
      <c r="O2193" t="s">
        <v>7321</v>
      </c>
      <c r="P2193" s="2" t="s">
        <v>37</v>
      </c>
      <c r="Q2193" t="s">
        <v>1208</v>
      </c>
      <c r="R2193">
        <v>0</v>
      </c>
      <c r="S2193">
        <v>70.97</v>
      </c>
      <c r="T2193" t="s">
        <v>7322</v>
      </c>
    </row>
    <row r="2194" spans="1:20" x14ac:dyDescent="0.25">
      <c r="A2194" s="1" t="str">
        <f>HYPERLINK("https://vegkart.atlas.vegvesen.no/#/@654622.4,7735489.8,18/hva:hva%5B0%5D%5Bfilter%5D%5B0%5D%5Boperator%5D=%21%3D&amp;hva%5B0%5D%5Bfilter%5D%5B0%5D%5Btype_id%5D=4723&amp;hva%5B0%5D%5Bfilter%5D%5B0%5D%5Bverdi%5D=&amp;hva%5B0%5D%5Bid%5D=15/når:2019-12-16", "Vegkart")</f>
        <v>Vegkart</v>
      </c>
      <c r="B2194">
        <v>1006038593</v>
      </c>
      <c r="C2194">
        <v>15</v>
      </c>
      <c r="D2194" t="s">
        <v>5814</v>
      </c>
      <c r="E2194">
        <v>4723</v>
      </c>
      <c r="F2194" t="s">
        <v>23479</v>
      </c>
      <c r="G2194">
        <v>1</v>
      </c>
      <c r="H2194" t="s">
        <v>7290</v>
      </c>
      <c r="J2194" t="s">
        <v>7266</v>
      </c>
      <c r="K2194" t="s">
        <v>179</v>
      </c>
      <c r="L2194" t="s">
        <v>370</v>
      </c>
      <c r="M2194" t="s">
        <v>7309</v>
      </c>
      <c r="N2194" t="s">
        <v>7323</v>
      </c>
      <c r="O2194" t="s">
        <v>7324</v>
      </c>
      <c r="P2194" s="2" t="s">
        <v>37</v>
      </c>
      <c r="Q2194" t="s">
        <v>1208</v>
      </c>
      <c r="R2194">
        <v>0</v>
      </c>
      <c r="S2194">
        <v>47.17</v>
      </c>
      <c r="T2194" t="s">
        <v>7325</v>
      </c>
    </row>
    <row r="2195" spans="1:20" x14ac:dyDescent="0.25">
      <c r="A2195" s="1" t="str">
        <f>HYPERLINK("https://vegkart.atlas.vegvesen.no/#/@654557.2,7735463.8,18/hva:hva%5B0%5D%5Bfilter%5D%5B0%5D%5Boperator%5D=%21%3D&amp;hva%5B0%5D%5Bfilter%5D%5B0%5D%5Btype_id%5D=4723&amp;hva%5B0%5D%5Bfilter%5D%5B0%5D%5Bverdi%5D=&amp;hva%5B0%5D%5Bid%5D=15/når:2019-12-16", "Vegkart")</f>
        <v>Vegkart</v>
      </c>
      <c r="B2195">
        <v>1006038597</v>
      </c>
      <c r="C2195">
        <v>15</v>
      </c>
      <c r="D2195" t="s">
        <v>5814</v>
      </c>
      <c r="E2195">
        <v>4723</v>
      </c>
      <c r="F2195" t="s">
        <v>23479</v>
      </c>
      <c r="G2195">
        <v>1</v>
      </c>
      <c r="H2195" t="s">
        <v>7290</v>
      </c>
      <c r="J2195" t="s">
        <v>7326</v>
      </c>
      <c r="K2195" t="s">
        <v>179</v>
      </c>
      <c r="L2195" t="s">
        <v>22</v>
      </c>
      <c r="M2195" t="s">
        <v>7295</v>
      </c>
      <c r="N2195" t="s">
        <v>7327</v>
      </c>
      <c r="O2195" t="s">
        <v>7328</v>
      </c>
      <c r="P2195" s="2" t="s">
        <v>37</v>
      </c>
      <c r="Q2195" t="s">
        <v>1208</v>
      </c>
      <c r="R2195">
        <v>0</v>
      </c>
      <c r="S2195">
        <v>53.19</v>
      </c>
      <c r="T2195" t="s">
        <v>7329</v>
      </c>
    </row>
    <row r="2196" spans="1:20" x14ac:dyDescent="0.25">
      <c r="A2196" s="1" t="str">
        <f>HYPERLINK("https://vegkart.atlas.vegvesen.no/#/@654714.9,7735592.1,18/hva:hva%5B0%5D%5Bfilter%5D%5B0%5D%5Boperator%5D=%21%3D&amp;hva%5B0%5D%5Bfilter%5D%5B0%5D%5Btype_id%5D=4723&amp;hva%5B0%5D%5Bfilter%5D%5B0%5D%5Bverdi%5D=&amp;hva%5B0%5D%5Bid%5D=15/når:2019-12-16", "Vegkart")</f>
        <v>Vegkart</v>
      </c>
      <c r="B2196">
        <v>1006038598</v>
      </c>
      <c r="C2196">
        <v>15</v>
      </c>
      <c r="D2196" t="s">
        <v>5814</v>
      </c>
      <c r="E2196">
        <v>4723</v>
      </c>
      <c r="F2196" t="s">
        <v>23479</v>
      </c>
      <c r="G2196">
        <v>1</v>
      </c>
      <c r="H2196" t="s">
        <v>7290</v>
      </c>
      <c r="J2196" t="s">
        <v>7326</v>
      </c>
      <c r="K2196" t="s">
        <v>179</v>
      </c>
      <c r="L2196" t="s">
        <v>22</v>
      </c>
      <c r="M2196" t="s">
        <v>7330</v>
      </c>
      <c r="N2196" t="s">
        <v>7331</v>
      </c>
      <c r="O2196" t="s">
        <v>7332</v>
      </c>
      <c r="P2196" s="2" t="s">
        <v>37</v>
      </c>
      <c r="Q2196" t="s">
        <v>1208</v>
      </c>
      <c r="R2196">
        <v>0</v>
      </c>
      <c r="S2196">
        <v>101.62</v>
      </c>
      <c r="T2196" t="s">
        <v>7333</v>
      </c>
    </row>
    <row r="2197" spans="1:20" x14ac:dyDescent="0.25">
      <c r="A2197" s="1" t="str">
        <f>HYPERLINK("https://vegkart.atlas.vegvesen.no/#/@654561.0,7735426.7,18/hva:hva%5B0%5D%5Bfilter%5D%5B0%5D%5Boperator%5D=%21%3D&amp;hva%5B0%5D%5Bfilter%5D%5B0%5D%5Btype_id%5D=4723&amp;hva%5B0%5D%5Bfilter%5D%5B0%5D%5Bverdi%5D=&amp;hva%5B0%5D%5Bid%5D=15/når:2019-12-16", "Vegkart")</f>
        <v>Vegkart</v>
      </c>
      <c r="B2197">
        <v>1006038601</v>
      </c>
      <c r="C2197">
        <v>15</v>
      </c>
      <c r="D2197" t="s">
        <v>5814</v>
      </c>
      <c r="E2197">
        <v>4723</v>
      </c>
      <c r="F2197" t="s">
        <v>23479</v>
      </c>
      <c r="G2197">
        <v>1</v>
      </c>
      <c r="H2197" t="s">
        <v>7290</v>
      </c>
      <c r="J2197" t="s">
        <v>7326</v>
      </c>
      <c r="K2197" t="s">
        <v>179</v>
      </c>
      <c r="L2197" t="s">
        <v>22</v>
      </c>
      <c r="M2197" t="s">
        <v>7295</v>
      </c>
      <c r="N2197" t="s">
        <v>7334</v>
      </c>
      <c r="O2197" t="s">
        <v>7335</v>
      </c>
      <c r="P2197" s="2" t="s">
        <v>37</v>
      </c>
      <c r="Q2197" t="s">
        <v>1208</v>
      </c>
      <c r="R2197">
        <v>0</v>
      </c>
      <c r="S2197">
        <v>44.1</v>
      </c>
      <c r="T2197" t="s">
        <v>7336</v>
      </c>
    </row>
    <row r="2198" spans="1:20" x14ac:dyDescent="0.25">
      <c r="A2198" s="1" t="str">
        <f>HYPERLINK("https://vegkart.atlas.vegvesen.no/#/@145634.1,6624116.0,18/hva:hva%5B0%5D%5Bfilter%5D%5B0%5D%5Boperator%5D=%21%3D&amp;hva%5B0%5D%5Bfilter%5D%5B0%5D%5Btype_id%5D=4723&amp;hva%5B0%5D%5Bfilter%5D%5B0%5D%5Bverdi%5D=&amp;hva%5B0%5D%5Bid%5D=15/når:2020-01-09", "Vegkart")</f>
        <v>Vegkart</v>
      </c>
      <c r="B2198">
        <v>1006222599</v>
      </c>
      <c r="C2198">
        <v>15</v>
      </c>
      <c r="D2198" t="s">
        <v>5814</v>
      </c>
      <c r="E2198">
        <v>4723</v>
      </c>
      <c r="F2198" t="s">
        <v>23479</v>
      </c>
      <c r="G2198">
        <v>1</v>
      </c>
      <c r="H2198" t="s">
        <v>7337</v>
      </c>
      <c r="J2198" t="s">
        <v>7326</v>
      </c>
      <c r="K2198" t="s">
        <v>197</v>
      </c>
      <c r="L2198" t="s">
        <v>370</v>
      </c>
      <c r="M2198" t="s">
        <v>7338</v>
      </c>
      <c r="N2198" t="s">
        <v>7339</v>
      </c>
      <c r="O2198" t="s">
        <v>7340</v>
      </c>
      <c r="P2198" s="2" t="s">
        <v>165</v>
      </c>
      <c r="Q2198" t="s">
        <v>641</v>
      </c>
      <c r="R2198">
        <v>0</v>
      </c>
      <c r="S2198">
        <v>546.53</v>
      </c>
      <c r="T2198" t="s">
        <v>167</v>
      </c>
    </row>
    <row r="2199" spans="1:20" x14ac:dyDescent="0.25">
      <c r="A2199" s="1" t="str">
        <f>HYPERLINK("https://vegkart.atlas.vegvesen.no/#/@261673.8,6653031.7,18/hva:hva%5B0%5D%5Bfilter%5D%5B0%5D%5Boperator%5D=%21%3D&amp;hva%5B0%5D%5Bfilter%5D%5B0%5D%5Btype_id%5D=4723&amp;hva%5B0%5D%5Bfilter%5D%5B0%5D%5Bverdi%5D=&amp;hva%5B0%5D%5Bid%5D=15/når:2020-02-04", "Vegkart")</f>
        <v>Vegkart</v>
      </c>
      <c r="B2199">
        <v>1006789071</v>
      </c>
      <c r="C2199">
        <v>15</v>
      </c>
      <c r="D2199" t="s">
        <v>5814</v>
      </c>
      <c r="E2199">
        <v>4723</v>
      </c>
      <c r="F2199" t="s">
        <v>23479</v>
      </c>
      <c r="G2199">
        <v>1</v>
      </c>
      <c r="H2199" t="s">
        <v>7341</v>
      </c>
      <c r="J2199" t="s">
        <v>7342</v>
      </c>
      <c r="K2199" t="s">
        <v>335</v>
      </c>
      <c r="L2199" t="s">
        <v>22</v>
      </c>
      <c r="M2199" t="s">
        <v>7343</v>
      </c>
      <c r="N2199" t="s">
        <v>7344</v>
      </c>
      <c r="O2199" t="s">
        <v>7345</v>
      </c>
      <c r="P2199" s="2" t="s">
        <v>165</v>
      </c>
      <c r="Q2199" t="s">
        <v>1012</v>
      </c>
      <c r="R2199">
        <v>14.41</v>
      </c>
      <c r="S2199">
        <v>14.41</v>
      </c>
      <c r="T2199" t="s">
        <v>167</v>
      </c>
    </row>
    <row r="2200" spans="1:20" x14ac:dyDescent="0.25">
      <c r="A2200" s="1" t="str">
        <f>HYPERLINK("https://vegkart.atlas.vegvesen.no/#/@273798.6,7040180.4,18/hva:hva%5B0%5D%5Bfilter%5D%5B0%5D%5Boperator%5D=%21%3D&amp;hva%5B0%5D%5Bfilter%5D%5B0%5D%5Btype_id%5D=4723&amp;hva%5B0%5D%5Bfilter%5D%5B0%5D%5Bverdi%5D=&amp;hva%5B0%5D%5Bid%5D=15/når:2020-02-10", "Vegkart")</f>
        <v>Vegkart</v>
      </c>
      <c r="B2200">
        <v>1006829465</v>
      </c>
      <c r="C2200">
        <v>15</v>
      </c>
      <c r="D2200" t="s">
        <v>5814</v>
      </c>
      <c r="E2200">
        <v>4723</v>
      </c>
      <c r="F2200" t="s">
        <v>23479</v>
      </c>
      <c r="G2200">
        <v>1</v>
      </c>
      <c r="H2200" t="s">
        <v>7346</v>
      </c>
      <c r="J2200" t="s">
        <v>7347</v>
      </c>
      <c r="K2200" t="s">
        <v>192</v>
      </c>
      <c r="L2200" t="s">
        <v>22</v>
      </c>
      <c r="M2200" t="s">
        <v>7348</v>
      </c>
      <c r="N2200" t="s">
        <v>7349</v>
      </c>
      <c r="O2200" t="s">
        <v>7350</v>
      </c>
      <c r="P2200" s="2" t="s">
        <v>67</v>
      </c>
      <c r="Q2200" t="s">
        <v>68</v>
      </c>
      <c r="R2200">
        <v>196.96</v>
      </c>
      <c r="S2200">
        <v>198.62</v>
      </c>
      <c r="T2200" t="s">
        <v>7351</v>
      </c>
    </row>
    <row r="2201" spans="1:20" x14ac:dyDescent="0.25">
      <c r="A2201" s="1" t="str">
        <f>HYPERLINK("https://vegkart.atlas.vegvesen.no/#/@518294.4,7458691.6,18/hva:hva%5B0%5D%5Bfilter%5D%5B0%5D%5Boperator%5D=%21%3D&amp;hva%5B0%5D%5Bfilter%5D%5B0%5D%5Btype_id%5D=4723&amp;hva%5B0%5D%5Bfilter%5D%5B0%5D%5Bverdi%5D=&amp;hva%5B0%5D%5Bid%5D=15/når:2024-10-17", "Vegkart")</f>
        <v>Vegkart</v>
      </c>
      <c r="B2201">
        <v>1007356166</v>
      </c>
      <c r="C2201">
        <v>15</v>
      </c>
      <c r="D2201" t="s">
        <v>5814</v>
      </c>
      <c r="E2201">
        <v>4723</v>
      </c>
      <c r="F2201" t="s">
        <v>23479</v>
      </c>
      <c r="G2201">
        <v>3</v>
      </c>
      <c r="H2201" t="s">
        <v>2799</v>
      </c>
      <c r="J2201" t="s">
        <v>7347</v>
      </c>
      <c r="K2201" t="s">
        <v>53</v>
      </c>
      <c r="L2201" t="s">
        <v>80</v>
      </c>
      <c r="M2201" t="s">
        <v>105</v>
      </c>
      <c r="N2201" t="s">
        <v>7352</v>
      </c>
      <c r="O2201" t="s">
        <v>7353</v>
      </c>
      <c r="P2201" s="2" t="s">
        <v>165</v>
      </c>
      <c r="Q2201" t="s">
        <v>641</v>
      </c>
      <c r="R2201">
        <v>0</v>
      </c>
      <c r="S2201">
        <v>1148.77</v>
      </c>
      <c r="T2201" t="s">
        <v>167</v>
      </c>
    </row>
    <row r="2202" spans="1:20" x14ac:dyDescent="0.25">
      <c r="A2202" s="1" t="str">
        <f>HYPERLINK("https://vegkart.atlas.vegvesen.no/#/@-32691.7,6572152.6,18/hva:hva%5B0%5D%5Bfilter%5D%5B0%5D%5Boperator%5D=%21%3D&amp;hva%5B0%5D%5Bfilter%5D%5B0%5D%5Btype_id%5D=4723&amp;hva%5B0%5D%5Bfilter%5D%5B0%5D%5Bverdi%5D=&amp;hva%5B0%5D%5Bid%5D=15/når:2021-11-05", "Vegkart")</f>
        <v>Vegkart</v>
      </c>
      <c r="B2202">
        <v>1007511566</v>
      </c>
      <c r="C2202">
        <v>15</v>
      </c>
      <c r="D2202" t="s">
        <v>5814</v>
      </c>
      <c r="E2202">
        <v>4723</v>
      </c>
      <c r="F2202" t="s">
        <v>23479</v>
      </c>
      <c r="G2202">
        <v>2</v>
      </c>
      <c r="H2202" t="s">
        <v>7354</v>
      </c>
      <c r="J2202" t="s">
        <v>7355</v>
      </c>
      <c r="K2202" t="s">
        <v>170</v>
      </c>
      <c r="L2202" t="s">
        <v>22</v>
      </c>
      <c r="M2202" t="s">
        <v>81</v>
      </c>
      <c r="N2202" t="s">
        <v>7356</v>
      </c>
      <c r="O2202" t="s">
        <v>7357</v>
      </c>
      <c r="P2202" s="2" t="s">
        <v>165</v>
      </c>
      <c r="Q2202" t="s">
        <v>641</v>
      </c>
      <c r="R2202">
        <v>0</v>
      </c>
      <c r="S2202">
        <v>45.5</v>
      </c>
      <c r="T2202" t="s">
        <v>167</v>
      </c>
    </row>
    <row r="2203" spans="1:20" x14ac:dyDescent="0.25">
      <c r="A2203" s="1" t="str">
        <f>HYPERLINK("https://vegkart.atlas.vegvesen.no/#/@-32802.1,6572101.9,18/hva:hva%5B0%5D%5Bfilter%5D%5B0%5D%5Boperator%5D=%21%3D&amp;hva%5B0%5D%5Bfilter%5D%5B0%5D%5Btype_id%5D=4723&amp;hva%5B0%5D%5Bfilter%5D%5B0%5D%5Bverdi%5D=&amp;hva%5B0%5D%5Bid%5D=15/når:2021-11-05", "Vegkart")</f>
        <v>Vegkart</v>
      </c>
      <c r="B2203">
        <v>1007511567</v>
      </c>
      <c r="C2203">
        <v>15</v>
      </c>
      <c r="D2203" t="s">
        <v>5814</v>
      </c>
      <c r="E2203">
        <v>4723</v>
      </c>
      <c r="F2203" t="s">
        <v>23479</v>
      </c>
      <c r="G2203">
        <v>2</v>
      </c>
      <c r="H2203" t="s">
        <v>7354</v>
      </c>
      <c r="J2203" t="s">
        <v>7355</v>
      </c>
      <c r="K2203" t="s">
        <v>170</v>
      </c>
      <c r="L2203" t="s">
        <v>22</v>
      </c>
      <c r="M2203" t="s">
        <v>81</v>
      </c>
      <c r="N2203" t="s">
        <v>7358</v>
      </c>
      <c r="O2203" t="s">
        <v>7359</v>
      </c>
      <c r="P2203" s="2" t="s">
        <v>37</v>
      </c>
      <c r="Q2203" t="s">
        <v>1208</v>
      </c>
      <c r="R2203">
        <v>3.32</v>
      </c>
      <c r="S2203">
        <v>1100.8399999999999</v>
      </c>
      <c r="T2203" t="s">
        <v>7360</v>
      </c>
    </row>
    <row r="2204" spans="1:20" x14ac:dyDescent="0.25">
      <c r="A2204" s="1" t="str">
        <f>HYPERLINK("https://vegkart.atlas.vegvesen.no/#/@248377.0,6649446.4,18/hva:hva%5B0%5D%5Bfilter%5D%5B0%5D%5Boperator%5D=%21%3D&amp;hva%5B0%5D%5Bfilter%5D%5B0%5D%5Btype_id%5D=4723&amp;hva%5B0%5D%5Bfilter%5D%5B0%5D%5Bverdi%5D=&amp;hva%5B0%5D%5Bid%5D=15/når:2020-04-02", "Vegkart")</f>
        <v>Vegkart</v>
      </c>
      <c r="B2204">
        <v>1007635178</v>
      </c>
      <c r="C2204">
        <v>15</v>
      </c>
      <c r="D2204" t="s">
        <v>5814</v>
      </c>
      <c r="E2204">
        <v>4723</v>
      </c>
      <c r="F2204" t="s">
        <v>23479</v>
      </c>
      <c r="G2204">
        <v>1</v>
      </c>
      <c r="H2204" t="s">
        <v>1160</v>
      </c>
      <c r="J2204" t="s">
        <v>7355</v>
      </c>
      <c r="K2204" t="s">
        <v>132</v>
      </c>
      <c r="L2204" t="s">
        <v>22</v>
      </c>
      <c r="M2204" t="s">
        <v>7361</v>
      </c>
      <c r="N2204" t="s">
        <v>7362</v>
      </c>
      <c r="O2204" t="s">
        <v>7363</v>
      </c>
      <c r="P2204" s="2" t="s">
        <v>165</v>
      </c>
      <c r="Q2204" t="s">
        <v>641</v>
      </c>
      <c r="R2204">
        <v>0</v>
      </c>
      <c r="S2204">
        <v>100.61</v>
      </c>
      <c r="T2204" t="s">
        <v>167</v>
      </c>
    </row>
    <row r="2205" spans="1:20" x14ac:dyDescent="0.25">
      <c r="A2205" s="1" t="str">
        <f>HYPERLINK("https://vegkart.atlas.vegvesen.no/#/@248377.0,6649446.4,18/hva:hva%5B0%5D%5Bfilter%5D%5B0%5D%5Boperator%5D=%21%3D&amp;hva%5B0%5D%5Bfilter%5D%5B0%5D%5Btype_id%5D=4723&amp;hva%5B0%5D%5Bfilter%5D%5B0%5D%5Bverdi%5D=&amp;hva%5B0%5D%5Bid%5D=15/når:2020-04-06", "Vegkart")</f>
        <v>Vegkart</v>
      </c>
      <c r="B2205">
        <v>1007660032</v>
      </c>
      <c r="C2205">
        <v>15</v>
      </c>
      <c r="D2205" t="s">
        <v>5814</v>
      </c>
      <c r="E2205">
        <v>4723</v>
      </c>
      <c r="F2205" t="s">
        <v>23479</v>
      </c>
      <c r="G2205">
        <v>1</v>
      </c>
      <c r="H2205" t="s">
        <v>7364</v>
      </c>
      <c r="J2205" t="s">
        <v>7355</v>
      </c>
      <c r="K2205" t="s">
        <v>132</v>
      </c>
      <c r="L2205" t="s">
        <v>22</v>
      </c>
      <c r="M2205" t="s">
        <v>7361</v>
      </c>
      <c r="N2205" t="s">
        <v>7365</v>
      </c>
      <c r="O2205" t="s">
        <v>7366</v>
      </c>
      <c r="P2205" s="2" t="s">
        <v>165</v>
      </c>
      <c r="Q2205" t="s">
        <v>641</v>
      </c>
      <c r="R2205">
        <v>0</v>
      </c>
      <c r="S2205">
        <v>100.61</v>
      </c>
      <c r="T2205" t="s">
        <v>167</v>
      </c>
    </row>
    <row r="2206" spans="1:20" x14ac:dyDescent="0.25">
      <c r="A2206" s="1" t="str">
        <f>HYPERLINK("https://vegkart.atlas.vegvesen.no/#/@723264.6,7756402.4,18/hva:hva%5B0%5D%5Bfilter%5D%5B0%5D%5Boperator%5D=%21%3D&amp;hva%5B0%5D%5Bfilter%5D%5B0%5D%5Btype_id%5D=4723&amp;hva%5B0%5D%5Bfilter%5D%5B0%5D%5Bverdi%5D=&amp;hva%5B0%5D%5Bid%5D=15/når:2020-04-09", "Vegkart")</f>
        <v>Vegkart</v>
      </c>
      <c r="B2206">
        <v>1007738155</v>
      </c>
      <c r="C2206">
        <v>15</v>
      </c>
      <c r="D2206" t="s">
        <v>5814</v>
      </c>
      <c r="E2206">
        <v>4723</v>
      </c>
      <c r="F2206" t="s">
        <v>23479</v>
      </c>
      <c r="G2206">
        <v>1</v>
      </c>
      <c r="H2206" t="s">
        <v>7367</v>
      </c>
      <c r="J2206" t="s">
        <v>7355</v>
      </c>
      <c r="K2206" t="s">
        <v>179</v>
      </c>
      <c r="L2206" t="s">
        <v>80</v>
      </c>
      <c r="M2206" t="s">
        <v>105</v>
      </c>
      <c r="N2206" t="s">
        <v>7368</v>
      </c>
      <c r="O2206" t="s">
        <v>7369</v>
      </c>
      <c r="P2206" s="2" t="s">
        <v>37</v>
      </c>
      <c r="Q2206" t="s">
        <v>1208</v>
      </c>
      <c r="R2206">
        <v>0</v>
      </c>
      <c r="S2206">
        <v>37.22</v>
      </c>
      <c r="T2206" t="s">
        <v>7370</v>
      </c>
    </row>
    <row r="2207" spans="1:20" x14ac:dyDescent="0.25">
      <c r="A2207" s="1" t="str">
        <f>HYPERLINK("https://vegkart.atlas.vegvesen.no/#/@723142.6,7756489.7,18/hva:hva%5B0%5D%5Bfilter%5D%5B0%5D%5Boperator%5D=%21%3D&amp;hva%5B0%5D%5Bfilter%5D%5B0%5D%5Btype_id%5D=4723&amp;hva%5B0%5D%5Bfilter%5D%5B0%5D%5Bverdi%5D=&amp;hva%5B0%5D%5Bid%5D=15/når:2020-04-09", "Vegkart")</f>
        <v>Vegkart</v>
      </c>
      <c r="B2207">
        <v>1007738156</v>
      </c>
      <c r="C2207">
        <v>15</v>
      </c>
      <c r="D2207" t="s">
        <v>5814</v>
      </c>
      <c r="E2207">
        <v>4723</v>
      </c>
      <c r="F2207" t="s">
        <v>23479</v>
      </c>
      <c r="G2207">
        <v>1</v>
      </c>
      <c r="H2207" t="s">
        <v>7367</v>
      </c>
      <c r="J2207" t="s">
        <v>7355</v>
      </c>
      <c r="K2207" t="s">
        <v>179</v>
      </c>
      <c r="L2207" t="s">
        <v>80</v>
      </c>
      <c r="M2207" t="s">
        <v>105</v>
      </c>
      <c r="N2207" t="s">
        <v>7371</v>
      </c>
      <c r="O2207" t="s">
        <v>7372</v>
      </c>
      <c r="P2207" s="2" t="s">
        <v>165</v>
      </c>
      <c r="Q2207" t="s">
        <v>641</v>
      </c>
      <c r="R2207">
        <v>0</v>
      </c>
      <c r="S2207">
        <v>324.43</v>
      </c>
      <c r="T2207" t="s">
        <v>167</v>
      </c>
    </row>
    <row r="2208" spans="1:20" x14ac:dyDescent="0.25">
      <c r="A2208" s="1" t="str">
        <f>HYPERLINK("https://vegkart.atlas.vegvesen.no/#/@723196.0,7756431.0,18/hva:hva%5B0%5D%5Bfilter%5D%5B0%5D%5Boperator%5D=%21%3D&amp;hva%5B0%5D%5Bfilter%5D%5B0%5D%5Btype_id%5D=4723&amp;hva%5B0%5D%5Bfilter%5D%5B0%5D%5Bverdi%5D=&amp;hva%5B0%5D%5Bid%5D=15/når:2020-04-09", "Vegkart")</f>
        <v>Vegkart</v>
      </c>
      <c r="B2208">
        <v>1007738157</v>
      </c>
      <c r="C2208">
        <v>15</v>
      </c>
      <c r="D2208" t="s">
        <v>5814</v>
      </c>
      <c r="E2208">
        <v>4723</v>
      </c>
      <c r="F2208" t="s">
        <v>23479</v>
      </c>
      <c r="G2208">
        <v>1</v>
      </c>
      <c r="H2208" t="s">
        <v>7367</v>
      </c>
      <c r="J2208" t="s">
        <v>7355</v>
      </c>
      <c r="K2208" t="s">
        <v>179</v>
      </c>
      <c r="L2208" t="s">
        <v>80</v>
      </c>
      <c r="M2208" t="s">
        <v>105</v>
      </c>
      <c r="N2208" t="s">
        <v>7373</v>
      </c>
      <c r="O2208" t="s">
        <v>7374</v>
      </c>
      <c r="P2208" s="2" t="s">
        <v>37</v>
      </c>
      <c r="Q2208" t="s">
        <v>1208</v>
      </c>
      <c r="R2208">
        <v>0</v>
      </c>
      <c r="S2208">
        <v>119.83</v>
      </c>
      <c r="T2208" t="s">
        <v>7375</v>
      </c>
    </row>
    <row r="2209" spans="1:20" x14ac:dyDescent="0.25">
      <c r="A2209" s="1" t="str">
        <f>HYPERLINK("https://vegkart.atlas.vegvesen.no/#/@723246.4,7756406.6,18/hva:hva%5B0%5D%5Bfilter%5D%5B0%5D%5Boperator%5D=%21%3D&amp;hva%5B0%5D%5Bfilter%5D%5B0%5D%5Btype_id%5D=4723&amp;hva%5B0%5D%5Bfilter%5D%5B0%5D%5Bverdi%5D=&amp;hva%5B0%5D%5Bid%5D=15/når:2020-04-09", "Vegkart")</f>
        <v>Vegkart</v>
      </c>
      <c r="B2209">
        <v>1007738158</v>
      </c>
      <c r="C2209">
        <v>15</v>
      </c>
      <c r="D2209" t="s">
        <v>5814</v>
      </c>
      <c r="E2209">
        <v>4723</v>
      </c>
      <c r="F2209" t="s">
        <v>23479</v>
      </c>
      <c r="G2209">
        <v>1</v>
      </c>
      <c r="H2209" t="s">
        <v>7367</v>
      </c>
      <c r="J2209" t="s">
        <v>7355</v>
      </c>
      <c r="K2209" t="s">
        <v>179</v>
      </c>
      <c r="L2209" t="s">
        <v>80</v>
      </c>
      <c r="M2209" t="s">
        <v>105</v>
      </c>
      <c r="N2209" t="s">
        <v>7376</v>
      </c>
      <c r="O2209" t="s">
        <v>7377</v>
      </c>
      <c r="P2209" s="2" t="s">
        <v>37</v>
      </c>
      <c r="Q2209" t="s">
        <v>1208</v>
      </c>
      <c r="R2209">
        <v>0</v>
      </c>
      <c r="S2209">
        <v>52.8</v>
      </c>
      <c r="T2209" t="s">
        <v>7378</v>
      </c>
    </row>
    <row r="2210" spans="1:20" x14ac:dyDescent="0.25">
      <c r="A2210" s="1" t="str">
        <f>HYPERLINK("https://vegkart.atlas.vegvesen.no/#/@723228.0,7756411.8,18/hva:hva%5B0%5D%5Bfilter%5D%5B0%5D%5Boperator%5D=%21%3D&amp;hva%5B0%5D%5Bfilter%5D%5B0%5D%5Btype_id%5D=4723&amp;hva%5B0%5D%5Bfilter%5D%5B0%5D%5Bverdi%5D=&amp;hva%5B0%5D%5Bid%5D=15/når:2020-04-09", "Vegkart")</f>
        <v>Vegkart</v>
      </c>
      <c r="B2210">
        <v>1007738159</v>
      </c>
      <c r="C2210">
        <v>15</v>
      </c>
      <c r="D2210" t="s">
        <v>5814</v>
      </c>
      <c r="E2210">
        <v>4723</v>
      </c>
      <c r="F2210" t="s">
        <v>23479</v>
      </c>
      <c r="G2210">
        <v>1</v>
      </c>
      <c r="H2210" t="s">
        <v>7367</v>
      </c>
      <c r="J2210" t="s">
        <v>7355</v>
      </c>
      <c r="K2210" t="s">
        <v>179</v>
      </c>
      <c r="L2210" t="s">
        <v>80</v>
      </c>
      <c r="M2210" t="s">
        <v>105</v>
      </c>
      <c r="N2210" t="s">
        <v>7379</v>
      </c>
      <c r="O2210" t="s">
        <v>7380</v>
      </c>
      <c r="P2210" s="2" t="s">
        <v>37</v>
      </c>
      <c r="Q2210" t="s">
        <v>1208</v>
      </c>
      <c r="R2210">
        <v>0</v>
      </c>
      <c r="S2210">
        <v>51</v>
      </c>
      <c r="T2210" t="s">
        <v>7381</v>
      </c>
    </row>
    <row r="2211" spans="1:20" x14ac:dyDescent="0.25">
      <c r="A2211" s="1" t="str">
        <f>HYPERLINK("https://vegkart.atlas.vegvesen.no/#/@723259.0,7756446.7,18/hva:hva%5B0%5D%5Bfilter%5D%5B0%5D%5Boperator%5D=%21%3D&amp;hva%5B0%5D%5Bfilter%5D%5B0%5D%5Btype_id%5D=4723&amp;hva%5B0%5D%5Bfilter%5D%5B0%5D%5Bverdi%5D=&amp;hva%5B0%5D%5Bid%5D=15/når:2020-04-09", "Vegkart")</f>
        <v>Vegkart</v>
      </c>
      <c r="B2211">
        <v>1007738160</v>
      </c>
      <c r="C2211">
        <v>15</v>
      </c>
      <c r="D2211" t="s">
        <v>5814</v>
      </c>
      <c r="E2211">
        <v>4723</v>
      </c>
      <c r="F2211" t="s">
        <v>23479</v>
      </c>
      <c r="G2211">
        <v>1</v>
      </c>
      <c r="H2211" t="s">
        <v>7367</v>
      </c>
      <c r="J2211" t="s">
        <v>7355</v>
      </c>
      <c r="K2211" t="s">
        <v>179</v>
      </c>
      <c r="L2211" t="s">
        <v>80</v>
      </c>
      <c r="M2211" t="s">
        <v>105</v>
      </c>
      <c r="N2211" t="s">
        <v>7382</v>
      </c>
      <c r="O2211" t="s">
        <v>7383</v>
      </c>
      <c r="P2211" s="2" t="s">
        <v>37</v>
      </c>
      <c r="Q2211" t="s">
        <v>1208</v>
      </c>
      <c r="R2211">
        <v>0</v>
      </c>
      <c r="S2211">
        <v>255.25</v>
      </c>
      <c r="T2211" t="s">
        <v>7384</v>
      </c>
    </row>
    <row r="2212" spans="1:20" x14ac:dyDescent="0.25">
      <c r="A2212" s="1" t="str">
        <f>HYPERLINK("https://vegkart.atlas.vegvesen.no/#/@621193.7,7677652.0,18/hva:hva%5B0%5D%5Bfilter%5D%5B0%5D%5Boperator%5D=%21%3D&amp;hva%5B0%5D%5Bfilter%5D%5B0%5D%5Btype_id%5D=4723&amp;hva%5B0%5D%5Bfilter%5D%5B0%5D%5Bverdi%5D=&amp;hva%5B0%5D%5Bid%5D=15/når:2020-05-05", "Vegkart")</f>
        <v>Vegkart</v>
      </c>
      <c r="B2212">
        <v>1008128365</v>
      </c>
      <c r="C2212">
        <v>15</v>
      </c>
      <c r="D2212" t="s">
        <v>5814</v>
      </c>
      <c r="E2212">
        <v>4723</v>
      </c>
      <c r="F2212" t="s">
        <v>23479</v>
      </c>
      <c r="G2212">
        <v>1</v>
      </c>
      <c r="H2212" t="s">
        <v>7385</v>
      </c>
      <c r="J2212" t="s">
        <v>7355</v>
      </c>
      <c r="K2212" t="s">
        <v>179</v>
      </c>
      <c r="L2212" t="s">
        <v>33</v>
      </c>
      <c r="M2212" t="s">
        <v>1257</v>
      </c>
      <c r="N2212" t="s">
        <v>7386</v>
      </c>
      <c r="O2212" t="s">
        <v>7387</v>
      </c>
      <c r="P2212" s="2" t="s">
        <v>37</v>
      </c>
      <c r="Q2212" t="s">
        <v>1208</v>
      </c>
      <c r="R2212">
        <v>0</v>
      </c>
      <c r="S2212">
        <v>244.62</v>
      </c>
      <c r="T2212" t="s">
        <v>7388</v>
      </c>
    </row>
    <row r="2213" spans="1:20" x14ac:dyDescent="0.25">
      <c r="A2213" s="1" t="str">
        <f>HYPERLINK("https://vegkart.atlas.vegvesen.no/#/@621521.3,7677352.8,18/hva:hva%5B0%5D%5Bfilter%5D%5B0%5D%5Boperator%5D=%21%3D&amp;hva%5B0%5D%5Bfilter%5D%5B0%5D%5Btype_id%5D=4723&amp;hva%5B0%5D%5Bfilter%5D%5B0%5D%5Bverdi%5D=&amp;hva%5B0%5D%5Bid%5D=15/når:2020-05-05", "Vegkart")</f>
        <v>Vegkart</v>
      </c>
      <c r="B2213">
        <v>1008128366</v>
      </c>
      <c r="C2213">
        <v>15</v>
      </c>
      <c r="D2213" t="s">
        <v>5814</v>
      </c>
      <c r="E2213">
        <v>4723</v>
      </c>
      <c r="F2213" t="s">
        <v>23479</v>
      </c>
      <c r="G2213">
        <v>1</v>
      </c>
      <c r="H2213" t="s">
        <v>7385</v>
      </c>
      <c r="J2213" t="s">
        <v>7355</v>
      </c>
      <c r="K2213" t="s">
        <v>179</v>
      </c>
      <c r="L2213" t="s">
        <v>33</v>
      </c>
      <c r="M2213" t="s">
        <v>1257</v>
      </c>
      <c r="N2213" t="s">
        <v>7389</v>
      </c>
      <c r="O2213" t="s">
        <v>7390</v>
      </c>
      <c r="P2213" s="2" t="s">
        <v>37</v>
      </c>
      <c r="Q2213" t="s">
        <v>1208</v>
      </c>
      <c r="R2213">
        <v>0</v>
      </c>
      <c r="S2213">
        <v>267.54000000000002</v>
      </c>
      <c r="T2213" t="s">
        <v>7391</v>
      </c>
    </row>
    <row r="2214" spans="1:20" x14ac:dyDescent="0.25">
      <c r="A2214" s="1" t="str">
        <f>HYPERLINK("https://vegkart.atlas.vegvesen.no/#/@621623.1,7677355.9,18/hva:hva%5B0%5D%5Bfilter%5D%5B0%5D%5Boperator%5D=%21%3D&amp;hva%5B0%5D%5Bfilter%5D%5B0%5D%5Btype_id%5D=4723&amp;hva%5B0%5D%5Bfilter%5D%5B0%5D%5Bverdi%5D=&amp;hva%5B0%5D%5Bid%5D=15/når:2020-05-05", "Vegkart")</f>
        <v>Vegkart</v>
      </c>
      <c r="B2214">
        <v>1008128367</v>
      </c>
      <c r="C2214">
        <v>15</v>
      </c>
      <c r="D2214" t="s">
        <v>5814</v>
      </c>
      <c r="E2214">
        <v>4723</v>
      </c>
      <c r="F2214" t="s">
        <v>23479</v>
      </c>
      <c r="G2214">
        <v>1</v>
      </c>
      <c r="H2214" t="s">
        <v>7385</v>
      </c>
      <c r="J2214" t="s">
        <v>7355</v>
      </c>
      <c r="K2214" t="s">
        <v>179</v>
      </c>
      <c r="L2214" t="s">
        <v>33</v>
      </c>
      <c r="M2214" t="s">
        <v>1257</v>
      </c>
      <c r="N2214" t="s">
        <v>7392</v>
      </c>
      <c r="O2214" t="s">
        <v>7393</v>
      </c>
      <c r="P2214" s="2" t="s">
        <v>37</v>
      </c>
      <c r="Q2214" t="s">
        <v>1208</v>
      </c>
      <c r="R2214">
        <v>0</v>
      </c>
      <c r="S2214">
        <v>272.83</v>
      </c>
      <c r="T2214" t="s">
        <v>7394</v>
      </c>
    </row>
    <row r="2215" spans="1:20" x14ac:dyDescent="0.25">
      <c r="A2215" s="1" t="str">
        <f>HYPERLINK("https://vegkart.atlas.vegvesen.no/#/@653468.5,7731694.5,18/hva:hva%5B0%5D%5Bfilter%5D%5B0%5D%5Boperator%5D=%21%3D&amp;hva%5B0%5D%5Bfilter%5D%5B0%5D%5Btype_id%5D=4723&amp;hva%5B0%5D%5Bfilter%5D%5B0%5D%5Bverdi%5D=&amp;hva%5B0%5D%5Bid%5D=15/når:2020-06-25", "Vegkart")</f>
        <v>Vegkart</v>
      </c>
      <c r="B2215">
        <v>1008864361</v>
      </c>
      <c r="C2215">
        <v>15</v>
      </c>
      <c r="D2215" t="s">
        <v>5814</v>
      </c>
      <c r="E2215">
        <v>4723</v>
      </c>
      <c r="F2215" t="s">
        <v>23479</v>
      </c>
      <c r="G2215">
        <v>1</v>
      </c>
      <c r="H2215" t="s">
        <v>7395</v>
      </c>
      <c r="J2215" t="s">
        <v>7355</v>
      </c>
      <c r="K2215" t="s">
        <v>179</v>
      </c>
      <c r="L2215" t="s">
        <v>22</v>
      </c>
      <c r="M2215" t="s">
        <v>1355</v>
      </c>
      <c r="N2215" t="s">
        <v>7396</v>
      </c>
      <c r="O2215" t="s">
        <v>7397</v>
      </c>
      <c r="P2215" s="2" t="s">
        <v>165</v>
      </c>
      <c r="Q2215" t="s">
        <v>1012</v>
      </c>
      <c r="R2215">
        <v>11.77</v>
      </c>
      <c r="S2215">
        <v>11.77</v>
      </c>
      <c r="T2215" t="s">
        <v>167</v>
      </c>
    </row>
    <row r="2216" spans="1:20" x14ac:dyDescent="0.25">
      <c r="A2216" s="1" t="str">
        <f>HYPERLINK("https://vegkart.atlas.vegvesen.no/#/@653454.0,7731657.9,18/hva:hva%5B0%5D%5Bfilter%5D%5B0%5D%5Boperator%5D=%21%3D&amp;hva%5B0%5D%5Bfilter%5D%5B0%5D%5Btype_id%5D=4723&amp;hva%5B0%5D%5Bfilter%5D%5B0%5D%5Bverdi%5D=&amp;hva%5B0%5D%5Bid%5D=15/når:2020-06-25", "Vegkart")</f>
        <v>Vegkart</v>
      </c>
      <c r="B2216">
        <v>1008864362</v>
      </c>
      <c r="C2216">
        <v>15</v>
      </c>
      <c r="D2216" t="s">
        <v>5814</v>
      </c>
      <c r="E2216">
        <v>4723</v>
      </c>
      <c r="F2216" t="s">
        <v>23479</v>
      </c>
      <c r="G2216">
        <v>1</v>
      </c>
      <c r="H2216" t="s">
        <v>7395</v>
      </c>
      <c r="J2216" t="s">
        <v>7355</v>
      </c>
      <c r="K2216" t="s">
        <v>179</v>
      </c>
      <c r="L2216" t="s">
        <v>22</v>
      </c>
      <c r="M2216" t="s">
        <v>7398</v>
      </c>
      <c r="N2216" t="s">
        <v>7399</v>
      </c>
      <c r="O2216" t="s">
        <v>7400</v>
      </c>
      <c r="P2216" s="2" t="s">
        <v>37</v>
      </c>
      <c r="Q2216" t="s">
        <v>1208</v>
      </c>
      <c r="R2216">
        <v>0.04</v>
      </c>
      <c r="S2216">
        <v>17.84</v>
      </c>
      <c r="T2216" t="s">
        <v>7401</v>
      </c>
    </row>
    <row r="2217" spans="1:20" x14ac:dyDescent="0.25">
      <c r="A2217" s="1" t="str">
        <f>HYPERLINK("https://vegkart.atlas.vegvesen.no/#/@653456.4,7731668.2,18/hva:hva%5B0%5D%5Bfilter%5D%5B0%5D%5Boperator%5D=%21%3D&amp;hva%5B0%5D%5Bfilter%5D%5B0%5D%5Btype_id%5D=4723&amp;hva%5B0%5D%5Bfilter%5D%5B0%5D%5Bverdi%5D=&amp;hva%5B0%5D%5Bid%5D=15/når:2020-06-25", "Vegkart")</f>
        <v>Vegkart</v>
      </c>
      <c r="B2217">
        <v>1008864363</v>
      </c>
      <c r="C2217">
        <v>15</v>
      </c>
      <c r="D2217" t="s">
        <v>5814</v>
      </c>
      <c r="E2217">
        <v>4723</v>
      </c>
      <c r="F2217" t="s">
        <v>23479</v>
      </c>
      <c r="G2217">
        <v>1</v>
      </c>
      <c r="H2217" t="s">
        <v>7395</v>
      </c>
      <c r="J2217" t="s">
        <v>7355</v>
      </c>
      <c r="K2217" t="s">
        <v>179</v>
      </c>
      <c r="L2217" t="s">
        <v>22</v>
      </c>
      <c r="M2217" t="s">
        <v>7398</v>
      </c>
      <c r="N2217" t="s">
        <v>7402</v>
      </c>
      <c r="O2217" t="s">
        <v>7403</v>
      </c>
      <c r="P2217" s="2" t="s">
        <v>37</v>
      </c>
      <c r="Q2217" t="s">
        <v>1208</v>
      </c>
      <c r="R2217">
        <v>0.1</v>
      </c>
      <c r="S2217">
        <v>20.88</v>
      </c>
      <c r="T2217" t="s">
        <v>7404</v>
      </c>
    </row>
    <row r="2218" spans="1:20" x14ac:dyDescent="0.25">
      <c r="A2218" s="1" t="str">
        <f>HYPERLINK("https://vegkart.atlas.vegvesen.no/#/@653468.8,7731656.0,18/hva:hva%5B0%5D%5Bfilter%5D%5B0%5D%5Boperator%5D=%21%3D&amp;hva%5B0%5D%5Bfilter%5D%5B0%5D%5Btype_id%5D=4723&amp;hva%5B0%5D%5Bfilter%5D%5B0%5D%5Bverdi%5D=&amp;hva%5B0%5D%5Bid%5D=15/når:2020-06-25", "Vegkart")</f>
        <v>Vegkart</v>
      </c>
      <c r="B2218">
        <v>1008864364</v>
      </c>
      <c r="C2218">
        <v>15</v>
      </c>
      <c r="D2218" t="s">
        <v>5814</v>
      </c>
      <c r="E2218">
        <v>4723</v>
      </c>
      <c r="F2218" t="s">
        <v>23479</v>
      </c>
      <c r="G2218">
        <v>1</v>
      </c>
      <c r="H2218" t="s">
        <v>7395</v>
      </c>
      <c r="J2218" t="s">
        <v>7355</v>
      </c>
      <c r="K2218" t="s">
        <v>179</v>
      </c>
      <c r="L2218" t="s">
        <v>22</v>
      </c>
      <c r="M2218" t="s">
        <v>7398</v>
      </c>
      <c r="N2218" t="s">
        <v>7405</v>
      </c>
      <c r="O2218" t="s">
        <v>7406</v>
      </c>
      <c r="P2218" s="2" t="s">
        <v>37</v>
      </c>
      <c r="Q2218" t="s">
        <v>1208</v>
      </c>
      <c r="R2218">
        <v>0.12</v>
      </c>
      <c r="S2218">
        <v>33.75</v>
      </c>
      <c r="T2218" t="s">
        <v>7407</v>
      </c>
    </row>
    <row r="2219" spans="1:20" x14ac:dyDescent="0.25">
      <c r="A2219" s="1" t="str">
        <f>HYPERLINK("https://vegkart.atlas.vegvesen.no/#/@653485.4,7731652.6,18/hva:hva%5B0%5D%5Bfilter%5D%5B0%5D%5Boperator%5D=%21%3D&amp;hva%5B0%5D%5Bfilter%5D%5B0%5D%5Btype_id%5D=4723&amp;hva%5B0%5D%5Bfilter%5D%5B0%5D%5Bverdi%5D=&amp;hva%5B0%5D%5Bid%5D=15/når:2020-06-25", "Vegkart")</f>
        <v>Vegkart</v>
      </c>
      <c r="B2219">
        <v>1008864365</v>
      </c>
      <c r="C2219">
        <v>15</v>
      </c>
      <c r="D2219" t="s">
        <v>5814</v>
      </c>
      <c r="E2219">
        <v>4723</v>
      </c>
      <c r="F2219" t="s">
        <v>23479</v>
      </c>
      <c r="G2219">
        <v>1</v>
      </c>
      <c r="H2219" t="s">
        <v>7395</v>
      </c>
      <c r="J2219" t="s">
        <v>7355</v>
      </c>
      <c r="K2219" t="s">
        <v>179</v>
      </c>
      <c r="L2219" t="s">
        <v>22</v>
      </c>
      <c r="M2219" t="s">
        <v>7398</v>
      </c>
      <c r="N2219" t="s">
        <v>7408</v>
      </c>
      <c r="O2219" t="s">
        <v>7409</v>
      </c>
      <c r="P2219" s="2" t="s">
        <v>37</v>
      </c>
      <c r="Q2219" t="s">
        <v>1208</v>
      </c>
      <c r="R2219">
        <v>0.16</v>
      </c>
      <c r="S2219">
        <v>30.76</v>
      </c>
      <c r="T2219" t="s">
        <v>7410</v>
      </c>
    </row>
    <row r="2220" spans="1:20" x14ac:dyDescent="0.25">
      <c r="A2220" s="1" t="str">
        <f>HYPERLINK("https://vegkart.atlas.vegvesen.no/#/@653519.2,7731652.4,18/hva:hva%5B0%5D%5Bfilter%5D%5B0%5D%5Boperator%5D=%21%3D&amp;hva%5B0%5D%5Bfilter%5D%5B0%5D%5Btype_id%5D=4723&amp;hva%5B0%5D%5Bfilter%5D%5B0%5D%5Bverdi%5D=&amp;hva%5B0%5D%5Bid%5D=15/når:2020-06-25", "Vegkart")</f>
        <v>Vegkart</v>
      </c>
      <c r="B2220">
        <v>1008864366</v>
      </c>
      <c r="C2220">
        <v>15</v>
      </c>
      <c r="D2220" t="s">
        <v>5814</v>
      </c>
      <c r="E2220">
        <v>4723</v>
      </c>
      <c r="F2220" t="s">
        <v>23479</v>
      </c>
      <c r="G2220">
        <v>1</v>
      </c>
      <c r="H2220" t="s">
        <v>7395</v>
      </c>
      <c r="J2220" t="s">
        <v>7355</v>
      </c>
      <c r="K2220" t="s">
        <v>179</v>
      </c>
      <c r="L2220" t="s">
        <v>22</v>
      </c>
      <c r="M2220" t="s">
        <v>7398</v>
      </c>
      <c r="N2220" t="s">
        <v>7411</v>
      </c>
      <c r="O2220" t="s">
        <v>7412</v>
      </c>
      <c r="P2220" s="2" t="s">
        <v>37</v>
      </c>
      <c r="Q2220" t="s">
        <v>1208</v>
      </c>
      <c r="R2220">
        <v>0.05</v>
      </c>
      <c r="S2220">
        <v>26.21</v>
      </c>
      <c r="T2220" t="s">
        <v>7413</v>
      </c>
    </row>
    <row r="2221" spans="1:20" x14ac:dyDescent="0.25">
      <c r="A2221" s="1" t="str">
        <f>HYPERLINK("https://vegkart.atlas.vegvesen.no/#/@653515.0,7731643.6,18/hva:hva%5B0%5D%5Bfilter%5D%5B0%5D%5Boperator%5D=%21%3D&amp;hva%5B0%5D%5Bfilter%5D%5B0%5D%5Btype_id%5D=4723&amp;hva%5B0%5D%5Bfilter%5D%5B0%5D%5Bverdi%5D=&amp;hva%5B0%5D%5Bid%5D=15/når:2020-06-25", "Vegkart")</f>
        <v>Vegkart</v>
      </c>
      <c r="B2221">
        <v>1008864367</v>
      </c>
      <c r="C2221">
        <v>15</v>
      </c>
      <c r="D2221" t="s">
        <v>5814</v>
      </c>
      <c r="E2221">
        <v>4723</v>
      </c>
      <c r="F2221" t="s">
        <v>23479</v>
      </c>
      <c r="G2221">
        <v>1</v>
      </c>
      <c r="H2221" t="s">
        <v>7395</v>
      </c>
      <c r="J2221" t="s">
        <v>7355</v>
      </c>
      <c r="K2221" t="s">
        <v>179</v>
      </c>
      <c r="L2221" t="s">
        <v>22</v>
      </c>
      <c r="M2221" t="s">
        <v>7398</v>
      </c>
      <c r="N2221" t="s">
        <v>7414</v>
      </c>
      <c r="O2221" t="s">
        <v>7415</v>
      </c>
      <c r="P2221" s="2" t="s">
        <v>37</v>
      </c>
      <c r="Q2221" t="s">
        <v>1208</v>
      </c>
      <c r="R2221">
        <v>0.05</v>
      </c>
      <c r="S2221">
        <v>20.48</v>
      </c>
      <c r="T2221" t="s">
        <v>7416</v>
      </c>
    </row>
    <row r="2222" spans="1:20" x14ac:dyDescent="0.25">
      <c r="A2222" s="1" t="str">
        <f>HYPERLINK("https://vegkart.atlas.vegvesen.no/#/@653470.4,7731688.8,18/hva:hva%5B0%5D%5Bfilter%5D%5B0%5D%5Boperator%5D=%21%3D&amp;hva%5B0%5D%5Bfilter%5D%5B0%5D%5Btype_id%5D=4723&amp;hva%5B0%5D%5Bfilter%5D%5B0%5D%5Bverdi%5D=&amp;hva%5B0%5D%5Bid%5D=15/når:2020-06-25", "Vegkart")</f>
        <v>Vegkart</v>
      </c>
      <c r="B2222">
        <v>1008864368</v>
      </c>
      <c r="C2222">
        <v>15</v>
      </c>
      <c r="D2222" t="s">
        <v>5814</v>
      </c>
      <c r="E2222">
        <v>4723</v>
      </c>
      <c r="F2222" t="s">
        <v>23479</v>
      </c>
      <c r="G2222">
        <v>1</v>
      </c>
      <c r="H2222" t="s">
        <v>7395</v>
      </c>
      <c r="J2222" t="s">
        <v>7355</v>
      </c>
      <c r="K2222" t="s">
        <v>179</v>
      </c>
      <c r="L2222" t="s">
        <v>22</v>
      </c>
      <c r="M2222" t="s">
        <v>1355</v>
      </c>
      <c r="N2222" t="s">
        <v>7417</v>
      </c>
      <c r="O2222" t="s">
        <v>7418</v>
      </c>
      <c r="P2222" s="2" t="s">
        <v>165</v>
      </c>
      <c r="Q2222" t="s">
        <v>1012</v>
      </c>
      <c r="R2222">
        <v>11.73</v>
      </c>
      <c r="S2222">
        <v>11.75</v>
      </c>
      <c r="T2222" t="s">
        <v>167</v>
      </c>
    </row>
    <row r="2223" spans="1:20" x14ac:dyDescent="0.25">
      <c r="A2223" s="1" t="str">
        <f>HYPERLINK("https://vegkart.atlas.vegvesen.no/#/@653522.2,7731663.8,18/hva:hva%5B0%5D%5Bfilter%5D%5B0%5D%5Boperator%5D=%21%3D&amp;hva%5B0%5D%5Bfilter%5D%5B0%5D%5Btype_id%5D=4723&amp;hva%5B0%5D%5Bfilter%5D%5B0%5D%5Bverdi%5D=&amp;hva%5B0%5D%5Bid%5D=15/når:2020-06-25", "Vegkart")</f>
        <v>Vegkart</v>
      </c>
      <c r="B2223">
        <v>1008864369</v>
      </c>
      <c r="C2223">
        <v>15</v>
      </c>
      <c r="D2223" t="s">
        <v>5814</v>
      </c>
      <c r="E2223">
        <v>4723</v>
      </c>
      <c r="F2223" t="s">
        <v>23479</v>
      </c>
      <c r="G2223">
        <v>1</v>
      </c>
      <c r="H2223" t="s">
        <v>7395</v>
      </c>
      <c r="J2223" t="s">
        <v>7355</v>
      </c>
      <c r="K2223" t="s">
        <v>179</v>
      </c>
      <c r="L2223" t="s">
        <v>22</v>
      </c>
      <c r="M2223" t="s">
        <v>7398</v>
      </c>
      <c r="N2223" t="s">
        <v>7419</v>
      </c>
      <c r="O2223" t="s">
        <v>7420</v>
      </c>
      <c r="P2223" s="2" t="s">
        <v>37</v>
      </c>
      <c r="Q2223" t="s">
        <v>1208</v>
      </c>
      <c r="R2223">
        <v>0.44</v>
      </c>
      <c r="S2223">
        <v>34.119999999999997</v>
      </c>
      <c r="T2223" t="s">
        <v>7421</v>
      </c>
    </row>
    <row r="2224" spans="1:20" x14ac:dyDescent="0.25">
      <c r="A2224" s="1" t="str">
        <f>HYPERLINK("https://vegkart.atlas.vegvesen.no/#/@653447.6,7731693.3,18/hva:hva%5B0%5D%5Bfilter%5D%5B0%5D%5Boperator%5D=%21%3D&amp;hva%5B0%5D%5Bfilter%5D%5B0%5D%5Btype_id%5D=4723&amp;hva%5B0%5D%5Bfilter%5D%5B0%5D%5Bverdi%5D=&amp;hva%5B0%5D%5Bid%5D=15/når:2020-06-25", "Vegkart")</f>
        <v>Vegkart</v>
      </c>
      <c r="B2224">
        <v>1008864370</v>
      </c>
      <c r="C2224">
        <v>15</v>
      </c>
      <c r="D2224" t="s">
        <v>5814</v>
      </c>
      <c r="E2224">
        <v>4723</v>
      </c>
      <c r="F2224" t="s">
        <v>23479</v>
      </c>
      <c r="G2224">
        <v>1</v>
      </c>
      <c r="H2224" t="s">
        <v>7395</v>
      </c>
      <c r="J2224" t="s">
        <v>7355</v>
      </c>
      <c r="K2224" t="s">
        <v>179</v>
      </c>
      <c r="L2224" t="s">
        <v>22</v>
      </c>
      <c r="M2224" t="s">
        <v>1355</v>
      </c>
      <c r="N2224" t="s">
        <v>7422</v>
      </c>
      <c r="O2224" t="s">
        <v>7423</v>
      </c>
      <c r="P2224" s="2" t="s">
        <v>67</v>
      </c>
      <c r="Q2224" t="s">
        <v>68</v>
      </c>
      <c r="R2224">
        <v>34.229999999999997</v>
      </c>
      <c r="S2224">
        <v>45.84</v>
      </c>
      <c r="T2224" t="s">
        <v>7424</v>
      </c>
    </row>
    <row r="2225" spans="1:20" x14ac:dyDescent="0.25">
      <c r="A2225" s="1" t="str">
        <f>HYPERLINK("https://vegkart.atlas.vegvesen.no/#/@653439.8,7731659.7,18/hva:hva%5B0%5D%5Bfilter%5D%5B0%5D%5Boperator%5D=%21%3D&amp;hva%5B0%5D%5Bfilter%5D%5B0%5D%5Btype_id%5D=4723&amp;hva%5B0%5D%5Bfilter%5D%5B0%5D%5Bverdi%5D=&amp;hva%5B0%5D%5Bid%5D=15/når:2020-06-25", "Vegkart")</f>
        <v>Vegkart</v>
      </c>
      <c r="B2225">
        <v>1008864371</v>
      </c>
      <c r="C2225">
        <v>15</v>
      </c>
      <c r="D2225" t="s">
        <v>5814</v>
      </c>
      <c r="E2225">
        <v>4723</v>
      </c>
      <c r="F2225" t="s">
        <v>23479</v>
      </c>
      <c r="G2225">
        <v>1</v>
      </c>
      <c r="H2225" t="s">
        <v>7395</v>
      </c>
      <c r="J2225" t="s">
        <v>7355</v>
      </c>
      <c r="K2225" t="s">
        <v>179</v>
      </c>
      <c r="L2225" t="s">
        <v>22</v>
      </c>
      <c r="M2225" t="s">
        <v>7398</v>
      </c>
      <c r="N2225" t="s">
        <v>7425</v>
      </c>
      <c r="O2225" t="s">
        <v>7426</v>
      </c>
      <c r="P2225" s="2" t="s">
        <v>67</v>
      </c>
      <c r="Q2225" t="s">
        <v>68</v>
      </c>
      <c r="R2225">
        <v>22.72</v>
      </c>
      <c r="S2225">
        <v>22.72</v>
      </c>
      <c r="T2225" t="s">
        <v>7427</v>
      </c>
    </row>
    <row r="2226" spans="1:20" x14ac:dyDescent="0.25">
      <c r="A2226" s="1" t="str">
        <f>HYPERLINK("https://vegkart.atlas.vegvesen.no/#/@653459.0,7731660.3,18/hva:hva%5B0%5D%5Bfilter%5D%5B0%5D%5Boperator%5D=%21%3D&amp;hva%5B0%5D%5Bfilter%5D%5B0%5D%5Btype_id%5D=4723&amp;hva%5B0%5D%5Bfilter%5D%5B0%5D%5Bverdi%5D=&amp;hva%5B0%5D%5Bid%5D=15/når:2020-06-25", "Vegkart")</f>
        <v>Vegkart</v>
      </c>
      <c r="B2226">
        <v>1008864372</v>
      </c>
      <c r="C2226">
        <v>15</v>
      </c>
      <c r="D2226" t="s">
        <v>5814</v>
      </c>
      <c r="E2226">
        <v>4723</v>
      </c>
      <c r="F2226" t="s">
        <v>23479</v>
      </c>
      <c r="G2226">
        <v>1</v>
      </c>
      <c r="H2226" t="s">
        <v>7395</v>
      </c>
      <c r="J2226" t="s">
        <v>7355</v>
      </c>
      <c r="K2226" t="s">
        <v>179</v>
      </c>
      <c r="L2226" t="s">
        <v>22</v>
      </c>
      <c r="M2226" t="s">
        <v>7398</v>
      </c>
      <c r="N2226" t="s">
        <v>7428</v>
      </c>
      <c r="O2226" t="s">
        <v>7429</v>
      </c>
      <c r="P2226" s="2" t="s">
        <v>165</v>
      </c>
      <c r="Q2226" t="s">
        <v>1012</v>
      </c>
      <c r="R2226">
        <v>11.43</v>
      </c>
      <c r="S2226">
        <v>11.43</v>
      </c>
      <c r="T2226" t="s">
        <v>167</v>
      </c>
    </row>
    <row r="2227" spans="1:20" x14ac:dyDescent="0.25">
      <c r="A2227" s="1" t="str">
        <f>HYPERLINK("https://vegkart.atlas.vegvesen.no/#/@653442.2,7731670.1,18/hva:hva%5B0%5D%5Bfilter%5D%5B0%5D%5Boperator%5D=%21%3D&amp;hva%5B0%5D%5Bfilter%5D%5B0%5D%5Btype_id%5D=4723&amp;hva%5B0%5D%5Bfilter%5D%5B0%5D%5Bverdi%5D=&amp;hva%5B0%5D%5Bid%5D=15/når:2020-06-25", "Vegkart")</f>
        <v>Vegkart</v>
      </c>
      <c r="B2227">
        <v>1008864373</v>
      </c>
      <c r="C2227">
        <v>15</v>
      </c>
      <c r="D2227" t="s">
        <v>5814</v>
      </c>
      <c r="E2227">
        <v>4723</v>
      </c>
      <c r="F2227" t="s">
        <v>23479</v>
      </c>
      <c r="G2227">
        <v>1</v>
      </c>
      <c r="H2227" t="s">
        <v>7395</v>
      </c>
      <c r="J2227" t="s">
        <v>7355</v>
      </c>
      <c r="K2227" t="s">
        <v>179</v>
      </c>
      <c r="L2227" t="s">
        <v>22</v>
      </c>
      <c r="M2227" t="s">
        <v>7398</v>
      </c>
      <c r="N2227" t="s">
        <v>7430</v>
      </c>
      <c r="O2227" t="s">
        <v>7431</v>
      </c>
      <c r="P2227" s="2" t="s">
        <v>67</v>
      </c>
      <c r="Q2227" t="s">
        <v>68</v>
      </c>
      <c r="R2227">
        <v>27.85</v>
      </c>
      <c r="S2227">
        <v>34.65</v>
      </c>
      <c r="T2227" t="s">
        <v>7432</v>
      </c>
    </row>
    <row r="2228" spans="1:20" x14ac:dyDescent="0.25">
      <c r="A2228" s="1" t="str">
        <f>HYPERLINK("https://vegkart.atlas.vegvesen.no/#/@653465.4,7731664.3,18/hva:hva%5B0%5D%5Bfilter%5D%5B0%5D%5Boperator%5D=%21%3D&amp;hva%5B0%5D%5Bfilter%5D%5B0%5D%5Btype_id%5D=4723&amp;hva%5B0%5D%5Bfilter%5D%5B0%5D%5Bverdi%5D=&amp;hva%5B0%5D%5Bid%5D=15/når:2020-06-25", "Vegkart")</f>
        <v>Vegkart</v>
      </c>
      <c r="B2228">
        <v>1008864374</v>
      </c>
      <c r="C2228">
        <v>15</v>
      </c>
      <c r="D2228" t="s">
        <v>5814</v>
      </c>
      <c r="E2228">
        <v>4723</v>
      </c>
      <c r="F2228" t="s">
        <v>23479</v>
      </c>
      <c r="G2228">
        <v>1</v>
      </c>
      <c r="H2228" t="s">
        <v>7395</v>
      </c>
      <c r="J2228" t="s">
        <v>7355</v>
      </c>
      <c r="K2228" t="s">
        <v>179</v>
      </c>
      <c r="L2228" t="s">
        <v>22</v>
      </c>
      <c r="M2228" t="s">
        <v>7398</v>
      </c>
      <c r="N2228" t="s">
        <v>7433</v>
      </c>
      <c r="O2228" t="s">
        <v>7434</v>
      </c>
      <c r="P2228" s="2" t="s">
        <v>165</v>
      </c>
      <c r="Q2228" t="s">
        <v>1012</v>
      </c>
      <c r="R2228">
        <v>11.78</v>
      </c>
      <c r="S2228">
        <v>11.79</v>
      </c>
      <c r="T2228" t="s">
        <v>167</v>
      </c>
    </row>
    <row r="2229" spans="1:20" x14ac:dyDescent="0.25">
      <c r="A2229" s="1" t="str">
        <f>HYPERLINK("https://vegkart.atlas.vegvesen.no/#/@653500.1,7731645.0,18/hva:hva%5B0%5D%5Bfilter%5D%5B0%5D%5Boperator%5D=%21%3D&amp;hva%5B0%5D%5Bfilter%5D%5B0%5D%5Btype_id%5D=4723&amp;hva%5B0%5D%5Bfilter%5D%5B0%5D%5Bverdi%5D=&amp;hva%5B0%5D%5Bid%5D=15/når:2020-06-25", "Vegkart")</f>
        <v>Vegkart</v>
      </c>
      <c r="B2229">
        <v>1008864375</v>
      </c>
      <c r="C2229">
        <v>15</v>
      </c>
      <c r="D2229" t="s">
        <v>5814</v>
      </c>
      <c r="E2229">
        <v>4723</v>
      </c>
      <c r="F2229" t="s">
        <v>23479</v>
      </c>
      <c r="G2229">
        <v>1</v>
      </c>
      <c r="H2229" t="s">
        <v>7395</v>
      </c>
      <c r="J2229" t="s">
        <v>7355</v>
      </c>
      <c r="K2229" t="s">
        <v>179</v>
      </c>
      <c r="L2229" t="s">
        <v>22</v>
      </c>
      <c r="M2229" t="s">
        <v>7398</v>
      </c>
      <c r="N2229" t="s">
        <v>7435</v>
      </c>
      <c r="O2229" t="s">
        <v>7436</v>
      </c>
      <c r="P2229" s="2" t="s">
        <v>67</v>
      </c>
      <c r="Q2229" t="s">
        <v>68</v>
      </c>
      <c r="R2229">
        <v>23.43</v>
      </c>
      <c r="S2229">
        <v>23.43</v>
      </c>
      <c r="T2229" t="s">
        <v>7437</v>
      </c>
    </row>
    <row r="2230" spans="1:20" x14ac:dyDescent="0.25">
      <c r="A2230" s="1" t="str">
        <f>HYPERLINK("https://vegkart.atlas.vegvesen.no/#/@653501.9,7731655.4,18/hva:hva%5B0%5D%5Bfilter%5D%5B0%5D%5Boperator%5D=%21%3D&amp;hva%5B0%5D%5Bfilter%5D%5B0%5D%5Btype_id%5D=4723&amp;hva%5B0%5D%5Bfilter%5D%5B0%5D%5Bverdi%5D=&amp;hva%5B0%5D%5Bid%5D=15/når:2020-06-25", "Vegkart")</f>
        <v>Vegkart</v>
      </c>
      <c r="B2230">
        <v>1008864376</v>
      </c>
      <c r="C2230">
        <v>15</v>
      </c>
      <c r="D2230" t="s">
        <v>5814</v>
      </c>
      <c r="E2230">
        <v>4723</v>
      </c>
      <c r="F2230" t="s">
        <v>23479</v>
      </c>
      <c r="G2230">
        <v>1</v>
      </c>
      <c r="H2230" t="s">
        <v>7395</v>
      </c>
      <c r="J2230" t="s">
        <v>7355</v>
      </c>
      <c r="K2230" t="s">
        <v>179</v>
      </c>
      <c r="L2230" t="s">
        <v>22</v>
      </c>
      <c r="M2230" t="s">
        <v>7398</v>
      </c>
      <c r="N2230" t="s">
        <v>7438</v>
      </c>
      <c r="O2230" t="s">
        <v>7439</v>
      </c>
      <c r="P2230" s="2" t="s">
        <v>67</v>
      </c>
      <c r="Q2230" t="s">
        <v>68</v>
      </c>
      <c r="R2230">
        <v>30.27</v>
      </c>
      <c r="S2230">
        <v>32.25</v>
      </c>
      <c r="T2230" t="s">
        <v>7440</v>
      </c>
    </row>
    <row r="2231" spans="1:20" x14ac:dyDescent="0.25">
      <c r="A2231" s="1" t="str">
        <f>HYPERLINK("https://vegkart.atlas.vegvesen.no/#/@653515.3,7731654.4,18/hva:hva%5B0%5D%5Bfilter%5D%5B0%5D%5Boperator%5D=%21%3D&amp;hva%5B0%5D%5Bfilter%5D%5B0%5D%5Btype_id%5D=4723&amp;hva%5B0%5D%5Bfilter%5D%5B0%5D%5Bverdi%5D=&amp;hva%5B0%5D%5Bid%5D=15/når:2020-06-25", "Vegkart")</f>
        <v>Vegkart</v>
      </c>
      <c r="B2231">
        <v>1008864377</v>
      </c>
      <c r="C2231">
        <v>15</v>
      </c>
      <c r="D2231" t="s">
        <v>5814</v>
      </c>
      <c r="E2231">
        <v>4723</v>
      </c>
      <c r="F2231" t="s">
        <v>23479</v>
      </c>
      <c r="G2231">
        <v>1</v>
      </c>
      <c r="H2231" t="s">
        <v>7395</v>
      </c>
      <c r="J2231" t="s">
        <v>7355</v>
      </c>
      <c r="K2231" t="s">
        <v>179</v>
      </c>
      <c r="L2231" t="s">
        <v>22</v>
      </c>
      <c r="M2231" t="s">
        <v>7398</v>
      </c>
      <c r="N2231" t="s">
        <v>7441</v>
      </c>
      <c r="O2231" t="s">
        <v>7442</v>
      </c>
      <c r="P2231" s="2" t="s">
        <v>37</v>
      </c>
      <c r="Q2231" t="s">
        <v>1208</v>
      </c>
      <c r="R2231">
        <v>6.88</v>
      </c>
      <c r="S2231">
        <v>9.9700000000000006</v>
      </c>
      <c r="T2231" t="s">
        <v>7443</v>
      </c>
    </row>
    <row r="2232" spans="1:20" x14ac:dyDescent="0.25">
      <c r="A2232" s="1" t="str">
        <f>HYPERLINK("https://vegkart.atlas.vegvesen.no/#/@653522.6,7731676.0,18/hva:hva%5B0%5D%5Bfilter%5D%5B0%5D%5Boperator%5D=%21%3D&amp;hva%5B0%5D%5Bfilter%5D%5B0%5D%5Btype_id%5D=4723&amp;hva%5B0%5D%5Bfilter%5D%5B0%5D%5Bverdi%5D=&amp;hva%5B0%5D%5Bid%5D=15/når:2020-06-25", "Vegkart")</f>
        <v>Vegkart</v>
      </c>
      <c r="B2232">
        <v>1008864378</v>
      </c>
      <c r="C2232">
        <v>15</v>
      </c>
      <c r="D2232" t="s">
        <v>5814</v>
      </c>
      <c r="E2232">
        <v>4723</v>
      </c>
      <c r="F2232" t="s">
        <v>23479</v>
      </c>
      <c r="G2232">
        <v>1</v>
      </c>
      <c r="H2232" t="s">
        <v>7395</v>
      </c>
      <c r="J2232" t="s">
        <v>7355</v>
      </c>
      <c r="K2232" t="s">
        <v>179</v>
      </c>
      <c r="L2232" t="s">
        <v>22</v>
      </c>
      <c r="M2232" t="s">
        <v>1355</v>
      </c>
      <c r="N2232" t="s">
        <v>7444</v>
      </c>
      <c r="O2232" t="s">
        <v>7445</v>
      </c>
      <c r="P2232" s="2" t="s">
        <v>165</v>
      </c>
      <c r="Q2232" t="s">
        <v>1012</v>
      </c>
      <c r="R2232">
        <v>9.51</v>
      </c>
      <c r="S2232">
        <v>9.82</v>
      </c>
      <c r="T2232" t="s">
        <v>167</v>
      </c>
    </row>
    <row r="2233" spans="1:20" x14ac:dyDescent="0.25">
      <c r="A2233" s="1" t="str">
        <f>HYPERLINK("https://vegkart.atlas.vegvesen.no/#/@653511.3,7731667.7,18/hva:hva%5B0%5D%5Bfilter%5D%5B0%5D%5Boperator%5D=%21%3D&amp;hva%5B0%5D%5Bfilter%5D%5B0%5D%5Btype_id%5D=4723&amp;hva%5B0%5D%5Bfilter%5D%5B0%5D%5Bverdi%5D=&amp;hva%5B0%5D%5Bid%5D=15/når:2020-06-25", "Vegkart")</f>
        <v>Vegkart</v>
      </c>
      <c r="B2233">
        <v>1008864379</v>
      </c>
      <c r="C2233">
        <v>15</v>
      </c>
      <c r="D2233" t="s">
        <v>5814</v>
      </c>
      <c r="E2233">
        <v>4723</v>
      </c>
      <c r="F2233" t="s">
        <v>23479</v>
      </c>
      <c r="G2233">
        <v>1</v>
      </c>
      <c r="H2233" t="s">
        <v>7395</v>
      </c>
      <c r="J2233" t="s">
        <v>7355</v>
      </c>
      <c r="K2233" t="s">
        <v>179</v>
      </c>
      <c r="L2233" t="s">
        <v>22</v>
      </c>
      <c r="M2233" t="s">
        <v>1355</v>
      </c>
      <c r="N2233" t="s">
        <v>7446</v>
      </c>
      <c r="O2233" t="s">
        <v>7447</v>
      </c>
      <c r="P2233" s="2" t="s">
        <v>67</v>
      </c>
      <c r="Q2233" t="s">
        <v>68</v>
      </c>
      <c r="R2233">
        <v>27.03</v>
      </c>
      <c r="S2233">
        <v>45.94</v>
      </c>
      <c r="T2233" t="s">
        <v>7448</v>
      </c>
    </row>
    <row r="2234" spans="1:20" x14ac:dyDescent="0.25">
      <c r="A2234" s="1" t="str">
        <f>HYPERLINK("https://vegkart.atlas.vegvesen.no/#/@653523.6,7731683.2,18/hva:hva%5B0%5D%5Bfilter%5D%5B0%5D%5Boperator%5D=%21%3D&amp;hva%5B0%5D%5Bfilter%5D%5B0%5D%5Btype_id%5D=4723&amp;hva%5B0%5D%5Bfilter%5D%5B0%5D%5Bverdi%5D=&amp;hva%5B0%5D%5Bid%5D=15/når:2020-06-25", "Vegkart")</f>
        <v>Vegkart</v>
      </c>
      <c r="B2234">
        <v>1008864380</v>
      </c>
      <c r="C2234">
        <v>15</v>
      </c>
      <c r="D2234" t="s">
        <v>5814</v>
      </c>
      <c r="E2234">
        <v>4723</v>
      </c>
      <c r="F2234" t="s">
        <v>23479</v>
      </c>
      <c r="G2234">
        <v>1</v>
      </c>
      <c r="H2234" t="s">
        <v>7395</v>
      </c>
      <c r="J2234" t="s">
        <v>7355</v>
      </c>
      <c r="K2234" t="s">
        <v>179</v>
      </c>
      <c r="L2234" t="s">
        <v>22</v>
      </c>
      <c r="M2234" t="s">
        <v>1355</v>
      </c>
      <c r="N2234" t="s">
        <v>7449</v>
      </c>
      <c r="O2234" t="s">
        <v>7450</v>
      </c>
      <c r="P2234" s="2" t="s">
        <v>37</v>
      </c>
      <c r="Q2234" t="s">
        <v>1208</v>
      </c>
      <c r="R2234">
        <v>0.16</v>
      </c>
      <c r="S2234">
        <v>22.24</v>
      </c>
      <c r="T2234" t="s">
        <v>7451</v>
      </c>
    </row>
    <row r="2235" spans="1:20" x14ac:dyDescent="0.25">
      <c r="A2235" s="1" t="str">
        <f>HYPERLINK("https://vegkart.atlas.vegvesen.no/#/@653501.1,7731685.6,18/hva:hva%5B0%5D%5Bfilter%5D%5B0%5D%5Boperator%5D=%21%3D&amp;hva%5B0%5D%5Bfilter%5D%5B0%5D%5Btype_id%5D=4723&amp;hva%5B0%5D%5Bfilter%5D%5B0%5D%5Bverdi%5D=&amp;hva%5B0%5D%5Bid%5D=15/når:2020-06-25", "Vegkart")</f>
        <v>Vegkart</v>
      </c>
      <c r="B2235">
        <v>1008864381</v>
      </c>
      <c r="C2235">
        <v>15</v>
      </c>
      <c r="D2235" t="s">
        <v>5814</v>
      </c>
      <c r="E2235">
        <v>4723</v>
      </c>
      <c r="F2235" t="s">
        <v>23479</v>
      </c>
      <c r="G2235">
        <v>1</v>
      </c>
      <c r="H2235" t="s">
        <v>7395</v>
      </c>
      <c r="J2235" t="s">
        <v>7355</v>
      </c>
      <c r="K2235" t="s">
        <v>179</v>
      </c>
      <c r="L2235" t="s">
        <v>22</v>
      </c>
      <c r="M2235" t="s">
        <v>1355</v>
      </c>
      <c r="N2235" t="s">
        <v>7452</v>
      </c>
      <c r="O2235" t="s">
        <v>7453</v>
      </c>
      <c r="P2235" s="2" t="s">
        <v>67</v>
      </c>
      <c r="Q2235" t="s">
        <v>68</v>
      </c>
      <c r="R2235">
        <v>29.26</v>
      </c>
      <c r="S2235">
        <v>37.130000000000003</v>
      </c>
      <c r="T2235" t="s">
        <v>7454</v>
      </c>
    </row>
    <row r="2236" spans="1:20" x14ac:dyDescent="0.25">
      <c r="A2236" s="1" t="str">
        <f>HYPERLINK("https://vegkart.atlas.vegvesen.no/#/@653506.9,7731694.7,18/hva:hva%5B0%5D%5Bfilter%5D%5B0%5D%5Boperator%5D=%21%3D&amp;hva%5B0%5D%5Bfilter%5D%5B0%5D%5Btype_id%5D=4723&amp;hva%5B0%5D%5Bfilter%5D%5B0%5D%5Bverdi%5D=&amp;hva%5B0%5D%5Bid%5D=15/når:2020-06-25", "Vegkart")</f>
        <v>Vegkart</v>
      </c>
      <c r="B2236">
        <v>1008864382</v>
      </c>
      <c r="C2236">
        <v>15</v>
      </c>
      <c r="D2236" t="s">
        <v>5814</v>
      </c>
      <c r="E2236">
        <v>4723</v>
      </c>
      <c r="F2236" t="s">
        <v>23479</v>
      </c>
      <c r="G2236">
        <v>1</v>
      </c>
      <c r="H2236" t="s">
        <v>7395</v>
      </c>
      <c r="J2236" t="s">
        <v>7355</v>
      </c>
      <c r="K2236" t="s">
        <v>179</v>
      </c>
      <c r="L2236" t="s">
        <v>22</v>
      </c>
      <c r="M2236" t="s">
        <v>1355</v>
      </c>
      <c r="N2236" t="s">
        <v>7455</v>
      </c>
      <c r="O2236" t="s">
        <v>7456</v>
      </c>
      <c r="P2236" s="2" t="s">
        <v>67</v>
      </c>
      <c r="Q2236" t="s">
        <v>68</v>
      </c>
      <c r="R2236">
        <v>22.53</v>
      </c>
      <c r="S2236">
        <v>22.53</v>
      </c>
      <c r="T2236" t="s">
        <v>7457</v>
      </c>
    </row>
    <row r="2237" spans="1:20" x14ac:dyDescent="0.25">
      <c r="A2237" s="1" t="str">
        <f>HYPERLINK("https://vegkart.atlas.vegvesen.no/#/@653492.8,7731696.2,18/hva:hva%5B0%5D%5Bfilter%5D%5B0%5D%5Boperator%5D=%21%3D&amp;hva%5B0%5D%5Bfilter%5D%5B0%5D%5Btype_id%5D=4723&amp;hva%5B0%5D%5Bfilter%5D%5B0%5D%5Bverdi%5D=&amp;hva%5B0%5D%5Bid%5D=15/når:2020-06-25", "Vegkart")</f>
        <v>Vegkart</v>
      </c>
      <c r="B2237">
        <v>1008864383</v>
      </c>
      <c r="C2237">
        <v>15</v>
      </c>
      <c r="D2237" t="s">
        <v>5814</v>
      </c>
      <c r="E2237">
        <v>4723</v>
      </c>
      <c r="F2237" t="s">
        <v>23479</v>
      </c>
      <c r="G2237">
        <v>1</v>
      </c>
      <c r="H2237" t="s">
        <v>7395</v>
      </c>
      <c r="J2237" t="s">
        <v>7355</v>
      </c>
      <c r="K2237" t="s">
        <v>179</v>
      </c>
      <c r="L2237" t="s">
        <v>22</v>
      </c>
      <c r="M2237" t="s">
        <v>1355</v>
      </c>
      <c r="N2237" t="s">
        <v>7458</v>
      </c>
      <c r="O2237" t="s">
        <v>7459</v>
      </c>
      <c r="P2237" s="2" t="s">
        <v>37</v>
      </c>
      <c r="Q2237" t="s">
        <v>1208</v>
      </c>
      <c r="R2237">
        <v>0.09</v>
      </c>
      <c r="S2237">
        <v>18.190000000000001</v>
      </c>
      <c r="T2237" t="s">
        <v>7460</v>
      </c>
    </row>
    <row r="2238" spans="1:20" x14ac:dyDescent="0.25">
      <c r="A2238" s="1" t="str">
        <f>HYPERLINK("https://vegkart.atlas.vegvesen.no/#/@653477.6,7731694.5,18/hva:hva%5B0%5D%5Bfilter%5D%5B0%5D%5Boperator%5D=%21%3D&amp;hva%5B0%5D%5Bfilter%5D%5B0%5D%5Btype_id%5D=4723&amp;hva%5B0%5D%5Bfilter%5D%5B0%5D%5Bverdi%5D=&amp;hva%5B0%5D%5Bid%5D=15/når:2020-06-25", "Vegkart")</f>
        <v>Vegkart</v>
      </c>
      <c r="B2238">
        <v>1008864384</v>
      </c>
      <c r="C2238">
        <v>15</v>
      </c>
      <c r="D2238" t="s">
        <v>5814</v>
      </c>
      <c r="E2238">
        <v>4723</v>
      </c>
      <c r="F2238" t="s">
        <v>23479</v>
      </c>
      <c r="G2238">
        <v>1</v>
      </c>
      <c r="H2238" t="s">
        <v>7395</v>
      </c>
      <c r="J2238" t="s">
        <v>7355</v>
      </c>
      <c r="K2238" t="s">
        <v>179</v>
      </c>
      <c r="L2238" t="s">
        <v>22</v>
      </c>
      <c r="M2238" t="s">
        <v>1355</v>
      </c>
      <c r="N2238" t="s">
        <v>7461</v>
      </c>
      <c r="O2238" t="s">
        <v>7462</v>
      </c>
      <c r="P2238" s="2" t="s">
        <v>37</v>
      </c>
      <c r="Q2238" t="s">
        <v>1208</v>
      </c>
      <c r="R2238">
        <v>0.13</v>
      </c>
      <c r="S2238">
        <v>26.97</v>
      </c>
      <c r="T2238" t="s">
        <v>7463</v>
      </c>
    </row>
    <row r="2239" spans="1:20" x14ac:dyDescent="0.25">
      <c r="A2239" s="1" t="str">
        <f>HYPERLINK("https://vegkart.atlas.vegvesen.no/#/@653461.2,7731688.3,18/hva:hva%5B0%5D%5Bfilter%5D%5B0%5D%5Boperator%5D=%21%3D&amp;hva%5B0%5D%5Bfilter%5D%5B0%5D%5Btype_id%5D=4723&amp;hva%5B0%5D%5Bfilter%5D%5B0%5D%5Bverdi%5D=&amp;hva%5B0%5D%5Bid%5D=15/når:2020-06-25", "Vegkart")</f>
        <v>Vegkart</v>
      </c>
      <c r="B2239">
        <v>1008864385</v>
      </c>
      <c r="C2239">
        <v>15</v>
      </c>
      <c r="D2239" t="s">
        <v>5814</v>
      </c>
      <c r="E2239">
        <v>4723</v>
      </c>
      <c r="F2239" t="s">
        <v>23479</v>
      </c>
      <c r="G2239">
        <v>1</v>
      </c>
      <c r="H2239" t="s">
        <v>7395</v>
      </c>
      <c r="J2239" t="s">
        <v>7355</v>
      </c>
      <c r="K2239" t="s">
        <v>179</v>
      </c>
      <c r="L2239" t="s">
        <v>22</v>
      </c>
      <c r="M2239" t="s">
        <v>1355</v>
      </c>
      <c r="N2239" t="s">
        <v>7464</v>
      </c>
      <c r="O2239" t="s">
        <v>7465</v>
      </c>
      <c r="P2239" s="2" t="s">
        <v>37</v>
      </c>
      <c r="Q2239" t="s">
        <v>1208</v>
      </c>
      <c r="R2239">
        <v>0.12</v>
      </c>
      <c r="S2239">
        <v>20.82</v>
      </c>
      <c r="T2239" t="s">
        <v>7466</v>
      </c>
    </row>
    <row r="2240" spans="1:20" x14ac:dyDescent="0.25">
      <c r="A2240" s="1" t="str">
        <f>HYPERLINK("https://vegkart.atlas.vegvesen.no/#/@653465.4,7731701.0,18/hva:hva%5B0%5D%5Bfilter%5D%5B0%5D%5Boperator%5D=%21%3D&amp;hva%5B0%5D%5Bfilter%5D%5B0%5D%5Btype_id%5D=4723&amp;hva%5B0%5D%5Bfilter%5D%5B0%5D%5Bverdi%5D=&amp;hva%5B0%5D%5Bid%5D=15/når:2020-06-25", "Vegkart")</f>
        <v>Vegkart</v>
      </c>
      <c r="B2240">
        <v>1008864386</v>
      </c>
      <c r="C2240">
        <v>15</v>
      </c>
      <c r="D2240" t="s">
        <v>5814</v>
      </c>
      <c r="E2240">
        <v>4723</v>
      </c>
      <c r="F2240" t="s">
        <v>23479</v>
      </c>
      <c r="G2240">
        <v>1</v>
      </c>
      <c r="H2240" t="s">
        <v>7395</v>
      </c>
      <c r="J2240" t="s">
        <v>7355</v>
      </c>
      <c r="K2240" t="s">
        <v>179</v>
      </c>
      <c r="L2240" t="s">
        <v>22</v>
      </c>
      <c r="M2240" t="s">
        <v>1355</v>
      </c>
      <c r="N2240" t="s">
        <v>7467</v>
      </c>
      <c r="O2240" t="s">
        <v>7468</v>
      </c>
      <c r="P2240" s="2" t="s">
        <v>37</v>
      </c>
      <c r="Q2240" t="s">
        <v>1208</v>
      </c>
      <c r="R2240">
        <v>0.03</v>
      </c>
      <c r="S2240">
        <v>25.43</v>
      </c>
      <c r="T2240" t="s">
        <v>7469</v>
      </c>
    </row>
    <row r="2241" spans="1:20" x14ac:dyDescent="0.25">
      <c r="A2241" s="1" t="str">
        <f>HYPERLINK("https://vegkart.atlas.vegvesen.no/#/@653439.3,7731705.2,18/hva:hva%5B0%5D%5Bfilter%5D%5B0%5D%5Boperator%5D=%21%3D&amp;hva%5B0%5D%5Bfilter%5D%5B0%5D%5Btype_id%5D=4723&amp;hva%5B0%5D%5Bfilter%5D%5B0%5D%5Bverdi%5D=&amp;hva%5B0%5D%5Bid%5D=15/når:2020-06-25", "Vegkart")</f>
        <v>Vegkart</v>
      </c>
      <c r="B2241">
        <v>1008864387</v>
      </c>
      <c r="C2241">
        <v>15</v>
      </c>
      <c r="D2241" t="s">
        <v>5814</v>
      </c>
      <c r="E2241">
        <v>4723</v>
      </c>
      <c r="F2241" t="s">
        <v>23479</v>
      </c>
      <c r="G2241">
        <v>1</v>
      </c>
      <c r="H2241" t="s">
        <v>7395</v>
      </c>
      <c r="J2241" t="s">
        <v>7355</v>
      </c>
      <c r="K2241" t="s">
        <v>179</v>
      </c>
      <c r="L2241" t="s">
        <v>22</v>
      </c>
      <c r="M2241" t="s">
        <v>1355</v>
      </c>
      <c r="N2241" t="s">
        <v>7470</v>
      </c>
      <c r="O2241" t="s">
        <v>7471</v>
      </c>
      <c r="P2241" s="2" t="s">
        <v>37</v>
      </c>
      <c r="Q2241" t="s">
        <v>1208</v>
      </c>
      <c r="R2241">
        <v>0.05</v>
      </c>
      <c r="S2241">
        <v>30.96</v>
      </c>
      <c r="T2241" t="s">
        <v>7472</v>
      </c>
    </row>
    <row r="2242" spans="1:20" x14ac:dyDescent="0.25">
      <c r="A2242" s="1" t="str">
        <f>HYPERLINK("https://vegkart.atlas.vegvesen.no/#/@653429.8,7731692.1,18/hva:hva%5B0%5D%5Bfilter%5D%5B0%5D%5Boperator%5D=%21%3D&amp;hva%5B0%5D%5Bfilter%5D%5B0%5D%5Btype_id%5D=4723&amp;hva%5B0%5D%5Bfilter%5D%5B0%5D%5Bverdi%5D=&amp;hva%5B0%5D%5Bid%5D=15/når:2020-06-25", "Vegkart")</f>
        <v>Vegkart</v>
      </c>
      <c r="B2242">
        <v>1008864388</v>
      </c>
      <c r="C2242">
        <v>15</v>
      </c>
      <c r="D2242" t="s">
        <v>5814</v>
      </c>
      <c r="E2242">
        <v>4723</v>
      </c>
      <c r="F2242" t="s">
        <v>23479</v>
      </c>
      <c r="G2242">
        <v>1</v>
      </c>
      <c r="H2242" t="s">
        <v>7395</v>
      </c>
      <c r="J2242" t="s">
        <v>7355</v>
      </c>
      <c r="K2242" t="s">
        <v>179</v>
      </c>
      <c r="L2242" t="s">
        <v>22</v>
      </c>
      <c r="M2242" t="s">
        <v>7473</v>
      </c>
      <c r="N2242" t="s">
        <v>7474</v>
      </c>
      <c r="O2242" t="s">
        <v>7475</v>
      </c>
      <c r="P2242" s="2" t="s">
        <v>37</v>
      </c>
      <c r="Q2242" t="s">
        <v>1208</v>
      </c>
      <c r="R2242">
        <v>0.39</v>
      </c>
      <c r="S2242">
        <v>32.57</v>
      </c>
      <c r="T2242" t="s">
        <v>7476</v>
      </c>
    </row>
    <row r="2243" spans="1:20" x14ac:dyDescent="0.25">
      <c r="A2243" s="1" t="str">
        <f>HYPERLINK("https://vegkart.atlas.vegvesen.no/#/@653426.3,7731677.0,18/hva:hva%5B0%5D%5Bfilter%5D%5B0%5D%5Boperator%5D=%21%3D&amp;hva%5B0%5D%5Bfilter%5D%5B0%5D%5Btype_id%5D=4723&amp;hva%5B0%5D%5Bfilter%5D%5B0%5D%5Bverdi%5D=&amp;hva%5B0%5D%5Bid%5D=15/når:2020-06-25", "Vegkart")</f>
        <v>Vegkart</v>
      </c>
      <c r="B2243">
        <v>1008864389</v>
      </c>
      <c r="C2243">
        <v>15</v>
      </c>
      <c r="D2243" t="s">
        <v>5814</v>
      </c>
      <c r="E2243">
        <v>4723</v>
      </c>
      <c r="F2243" t="s">
        <v>23479</v>
      </c>
      <c r="G2243">
        <v>1</v>
      </c>
      <c r="H2243" t="s">
        <v>7395</v>
      </c>
      <c r="J2243" t="s">
        <v>7355</v>
      </c>
      <c r="K2243" t="s">
        <v>179</v>
      </c>
      <c r="L2243" t="s">
        <v>22</v>
      </c>
      <c r="M2243" t="s">
        <v>7473</v>
      </c>
      <c r="N2243" t="s">
        <v>7477</v>
      </c>
      <c r="O2243" t="s">
        <v>7478</v>
      </c>
      <c r="P2243" s="2" t="s">
        <v>37</v>
      </c>
      <c r="Q2243" t="s">
        <v>1208</v>
      </c>
      <c r="R2243">
        <v>0.1</v>
      </c>
      <c r="S2243">
        <v>32.409999999999997</v>
      </c>
      <c r="T2243" t="s">
        <v>7479</v>
      </c>
    </row>
    <row r="2244" spans="1:20" x14ac:dyDescent="0.25">
      <c r="A2244" s="1" t="str">
        <f>HYPERLINK("https://vegkart.atlas.vegvesen.no/#/@653425.8,7731665.2,18/hva:hva%5B0%5D%5Bfilter%5D%5B0%5D%5Boperator%5D=%21%3D&amp;hva%5B0%5D%5Bfilter%5D%5B0%5D%5Btype_id%5D=4723&amp;hva%5B0%5D%5Bfilter%5D%5B0%5D%5Bverdi%5D=&amp;hva%5B0%5D%5Bid%5D=15/når:2020-06-25", "Vegkart")</f>
        <v>Vegkart</v>
      </c>
      <c r="B2244">
        <v>1008864390</v>
      </c>
      <c r="C2244">
        <v>15</v>
      </c>
      <c r="D2244" t="s">
        <v>5814</v>
      </c>
      <c r="E2244">
        <v>4723</v>
      </c>
      <c r="F2244" t="s">
        <v>23479</v>
      </c>
      <c r="G2244">
        <v>1</v>
      </c>
      <c r="H2244" t="s">
        <v>7395</v>
      </c>
      <c r="J2244" t="s">
        <v>7355</v>
      </c>
      <c r="K2244" t="s">
        <v>179</v>
      </c>
      <c r="L2244" t="s">
        <v>22</v>
      </c>
      <c r="M2244" t="s">
        <v>7398</v>
      </c>
      <c r="N2244" t="s">
        <v>7480</v>
      </c>
      <c r="O2244" t="s">
        <v>7481</v>
      </c>
      <c r="P2244" s="2" t="s">
        <v>37</v>
      </c>
      <c r="Q2244" t="s">
        <v>1208</v>
      </c>
      <c r="R2244">
        <v>0.14000000000000001</v>
      </c>
      <c r="S2244">
        <v>21.24</v>
      </c>
      <c r="T2244" t="s">
        <v>7482</v>
      </c>
    </row>
    <row r="2245" spans="1:20" x14ac:dyDescent="0.25">
      <c r="A2245" s="1" t="str">
        <f>HYPERLINK("https://vegkart.atlas.vegvesen.no/#/@653523.8,7731689.9,18/hva:hva%5B0%5D%5Bfilter%5D%5B0%5D%5Boperator%5D=%21%3D&amp;hva%5B0%5D%5Bfilter%5D%5B0%5D%5Btype_id%5D=4723&amp;hva%5B0%5D%5Bfilter%5D%5B0%5D%5Bverdi%5D=&amp;hva%5B0%5D%5Bid%5D=15/når:2020-06-25", "Vegkart")</f>
        <v>Vegkart</v>
      </c>
      <c r="B2245">
        <v>1008864391</v>
      </c>
      <c r="C2245">
        <v>15</v>
      </c>
      <c r="D2245" t="s">
        <v>5814</v>
      </c>
      <c r="E2245">
        <v>4723</v>
      </c>
      <c r="F2245" t="s">
        <v>23479</v>
      </c>
      <c r="G2245">
        <v>1</v>
      </c>
      <c r="H2245" t="s">
        <v>7395</v>
      </c>
      <c r="J2245" t="s">
        <v>7355</v>
      </c>
      <c r="K2245" t="s">
        <v>179</v>
      </c>
      <c r="L2245" t="s">
        <v>22</v>
      </c>
      <c r="M2245" t="s">
        <v>1355</v>
      </c>
      <c r="N2245" t="s">
        <v>7483</v>
      </c>
      <c r="O2245" t="s">
        <v>7484</v>
      </c>
      <c r="P2245" s="2" t="s">
        <v>37</v>
      </c>
      <c r="Q2245" t="s">
        <v>1208</v>
      </c>
      <c r="R2245">
        <v>7.0000000000000007E-2</v>
      </c>
      <c r="S2245">
        <v>38.83</v>
      </c>
      <c r="T2245" t="s">
        <v>7485</v>
      </c>
    </row>
    <row r="2246" spans="1:20" x14ac:dyDescent="0.25">
      <c r="A2246" s="1" t="str">
        <f>HYPERLINK("https://vegkart.atlas.vegvesen.no/#/@264957.1,7030037.6,18/hva:hva%5B0%5D%5Bfilter%5D%5B0%5D%5Boperator%5D=%21%3D&amp;hva%5B0%5D%5Bfilter%5D%5B0%5D%5Btype_id%5D=4723&amp;hva%5B0%5D%5Bfilter%5D%5B0%5D%5Bverdi%5D=&amp;hva%5B0%5D%5Bid%5D=15/når:2024-08-28", "Vegkart")</f>
        <v>Vegkart</v>
      </c>
      <c r="B2246">
        <v>1008945994</v>
      </c>
      <c r="C2246">
        <v>15</v>
      </c>
      <c r="D2246" t="s">
        <v>5814</v>
      </c>
      <c r="E2246">
        <v>4723</v>
      </c>
      <c r="F2246" t="s">
        <v>23479</v>
      </c>
      <c r="G2246">
        <v>2</v>
      </c>
      <c r="H2246" t="s">
        <v>665</v>
      </c>
      <c r="J2246" t="s">
        <v>7486</v>
      </c>
      <c r="K2246" t="s">
        <v>192</v>
      </c>
      <c r="L2246" t="s">
        <v>80</v>
      </c>
      <c r="M2246" t="s">
        <v>105</v>
      </c>
      <c r="N2246" t="s">
        <v>7487</v>
      </c>
      <c r="O2246" t="s">
        <v>7488</v>
      </c>
      <c r="P2246" s="2" t="s">
        <v>37</v>
      </c>
      <c r="Q2246" t="s">
        <v>1208</v>
      </c>
      <c r="R2246">
        <v>0</v>
      </c>
      <c r="S2246">
        <v>2595.2399999999998</v>
      </c>
      <c r="T2246" t="s">
        <v>7489</v>
      </c>
    </row>
    <row r="2247" spans="1:20" x14ac:dyDescent="0.25">
      <c r="A2247" s="1" t="str">
        <f>HYPERLINK("https://vegkart.atlas.vegvesen.no/#/@264637.3,7030283.1,18/hva:hva%5B0%5D%5Bfilter%5D%5B0%5D%5Boperator%5D=%21%3D&amp;hva%5B0%5D%5Bfilter%5D%5B0%5D%5Btype_id%5D=4723&amp;hva%5B0%5D%5Bfilter%5D%5B0%5D%5Bverdi%5D=&amp;hva%5B0%5D%5Bid%5D=15/når:2022-06-15", "Vegkart")</f>
        <v>Vegkart</v>
      </c>
      <c r="B2247">
        <v>1008946015</v>
      </c>
      <c r="C2247">
        <v>15</v>
      </c>
      <c r="D2247" t="s">
        <v>5814</v>
      </c>
      <c r="E2247">
        <v>4723</v>
      </c>
      <c r="F2247" t="s">
        <v>23479</v>
      </c>
      <c r="G2247">
        <v>2</v>
      </c>
      <c r="H2247" t="s">
        <v>7490</v>
      </c>
      <c r="J2247" t="s">
        <v>7486</v>
      </c>
      <c r="K2247" t="s">
        <v>192</v>
      </c>
      <c r="L2247" t="s">
        <v>80</v>
      </c>
      <c r="M2247" t="s">
        <v>81</v>
      </c>
      <c r="N2247" t="s">
        <v>7491</v>
      </c>
      <c r="O2247" t="s">
        <v>7492</v>
      </c>
      <c r="P2247" s="2" t="s">
        <v>37</v>
      </c>
      <c r="Q2247" t="s">
        <v>1208</v>
      </c>
      <c r="R2247">
        <v>0</v>
      </c>
      <c r="S2247">
        <v>525.32000000000005</v>
      </c>
      <c r="T2247" t="s">
        <v>7493</v>
      </c>
    </row>
    <row r="2248" spans="1:20" x14ac:dyDescent="0.25">
      <c r="A2248" s="1" t="str">
        <f>HYPERLINK("https://vegkart.atlas.vegvesen.no/#/@264830.9,7030129.5,18/hva:hva%5B0%5D%5Bfilter%5D%5B0%5D%5Boperator%5D=%21%3D&amp;hva%5B0%5D%5Bfilter%5D%5B0%5D%5Btype_id%5D=4723&amp;hva%5B0%5D%5Bfilter%5D%5B0%5D%5Bverdi%5D=&amp;hva%5B0%5D%5Bid%5D=15/når:2024-08-28", "Vegkart")</f>
        <v>Vegkart</v>
      </c>
      <c r="B2248">
        <v>1008946018</v>
      </c>
      <c r="C2248">
        <v>15</v>
      </c>
      <c r="D2248" t="s">
        <v>5814</v>
      </c>
      <c r="E2248">
        <v>4723</v>
      </c>
      <c r="F2248" t="s">
        <v>23479</v>
      </c>
      <c r="G2248">
        <v>2</v>
      </c>
      <c r="H2248" t="s">
        <v>665</v>
      </c>
      <c r="J2248" t="s">
        <v>7486</v>
      </c>
      <c r="K2248" t="s">
        <v>192</v>
      </c>
      <c r="L2248" t="s">
        <v>80</v>
      </c>
      <c r="M2248" t="s">
        <v>105</v>
      </c>
      <c r="N2248" t="s">
        <v>7494</v>
      </c>
      <c r="O2248" t="s">
        <v>7495</v>
      </c>
      <c r="P2248" s="2" t="s">
        <v>37</v>
      </c>
      <c r="Q2248" t="s">
        <v>1208</v>
      </c>
      <c r="R2248">
        <v>0</v>
      </c>
      <c r="S2248">
        <v>118.03</v>
      </c>
      <c r="T2248" t="s">
        <v>7496</v>
      </c>
    </row>
    <row r="2249" spans="1:20" x14ac:dyDescent="0.25">
      <c r="A2249" s="1" t="str">
        <f>HYPERLINK("https://vegkart.atlas.vegvesen.no/#/@264807.6,7030239.0,18/hva:hva%5B0%5D%5Bfilter%5D%5B0%5D%5Boperator%5D=%21%3D&amp;hva%5B0%5D%5Bfilter%5D%5B0%5D%5Btype_id%5D=4723&amp;hva%5B0%5D%5Bfilter%5D%5B0%5D%5Bverdi%5D=&amp;hva%5B0%5D%5Bid%5D=15/når:2022-06-15", "Vegkart")</f>
        <v>Vegkart</v>
      </c>
      <c r="B2249">
        <v>1008946024</v>
      </c>
      <c r="C2249">
        <v>15</v>
      </c>
      <c r="D2249" t="s">
        <v>5814</v>
      </c>
      <c r="E2249">
        <v>4723</v>
      </c>
      <c r="F2249" t="s">
        <v>23479</v>
      </c>
      <c r="G2249">
        <v>2</v>
      </c>
      <c r="H2249" t="s">
        <v>7490</v>
      </c>
      <c r="J2249" t="s">
        <v>7486</v>
      </c>
      <c r="K2249" t="s">
        <v>192</v>
      </c>
      <c r="L2249" t="s">
        <v>80</v>
      </c>
      <c r="M2249" t="s">
        <v>81</v>
      </c>
      <c r="N2249" t="s">
        <v>7497</v>
      </c>
      <c r="O2249" t="s">
        <v>7498</v>
      </c>
      <c r="P2249" s="2" t="s">
        <v>37</v>
      </c>
      <c r="Q2249" t="s">
        <v>1208</v>
      </c>
      <c r="R2249">
        <v>0</v>
      </c>
      <c r="S2249">
        <v>162.53</v>
      </c>
      <c r="T2249" t="s">
        <v>7499</v>
      </c>
    </row>
    <row r="2250" spans="1:20" x14ac:dyDescent="0.25">
      <c r="A2250" s="1" t="str">
        <f>HYPERLINK("https://vegkart.atlas.vegvesen.no/#/@264789.4,7030214.2,18/hva:hva%5B0%5D%5Bfilter%5D%5B0%5D%5Boperator%5D=%21%3D&amp;hva%5B0%5D%5Bfilter%5D%5B0%5D%5Btype_id%5D=4723&amp;hva%5B0%5D%5Bfilter%5D%5B0%5D%5Bverdi%5D=&amp;hva%5B0%5D%5Bid%5D=15/når:2022-06-15", "Vegkart")</f>
        <v>Vegkart</v>
      </c>
      <c r="B2250">
        <v>1008946025</v>
      </c>
      <c r="C2250">
        <v>15</v>
      </c>
      <c r="D2250" t="s">
        <v>5814</v>
      </c>
      <c r="E2250">
        <v>4723</v>
      </c>
      <c r="F2250" t="s">
        <v>23479</v>
      </c>
      <c r="G2250">
        <v>2</v>
      </c>
      <c r="H2250" t="s">
        <v>7490</v>
      </c>
      <c r="J2250" t="s">
        <v>7486</v>
      </c>
      <c r="K2250" t="s">
        <v>192</v>
      </c>
      <c r="L2250" t="s">
        <v>80</v>
      </c>
      <c r="M2250" t="s">
        <v>81</v>
      </c>
      <c r="N2250" t="s">
        <v>7500</v>
      </c>
      <c r="O2250" t="s">
        <v>7501</v>
      </c>
      <c r="P2250" s="2" t="s">
        <v>37</v>
      </c>
      <c r="Q2250" t="s">
        <v>1208</v>
      </c>
      <c r="R2250">
        <v>0</v>
      </c>
      <c r="S2250">
        <v>166.08</v>
      </c>
      <c r="T2250" t="s">
        <v>7502</v>
      </c>
    </row>
    <row r="2251" spans="1:20" x14ac:dyDescent="0.25">
      <c r="A2251" s="1" t="str">
        <f>HYPERLINK("https://vegkart.atlas.vegvesen.no/#/@264928.1,7030272.7,18/hva:hva%5B0%5D%5Bfilter%5D%5B0%5D%5Boperator%5D=%21%3D&amp;hva%5B0%5D%5Bfilter%5D%5B0%5D%5Btype_id%5D=4723&amp;hva%5B0%5D%5Bfilter%5D%5B0%5D%5Bverdi%5D=&amp;hva%5B0%5D%5Bid%5D=15/når:2020-07-20", "Vegkart")</f>
        <v>Vegkart</v>
      </c>
      <c r="B2251">
        <v>1008946050</v>
      </c>
      <c r="C2251">
        <v>15</v>
      </c>
      <c r="D2251" t="s">
        <v>5814</v>
      </c>
      <c r="E2251">
        <v>4723</v>
      </c>
      <c r="F2251" t="s">
        <v>23479</v>
      </c>
      <c r="G2251">
        <v>1</v>
      </c>
      <c r="H2251" t="s">
        <v>7503</v>
      </c>
      <c r="J2251" t="s">
        <v>7486</v>
      </c>
      <c r="K2251" t="s">
        <v>192</v>
      </c>
      <c r="L2251" t="s">
        <v>33</v>
      </c>
      <c r="M2251" t="s">
        <v>3984</v>
      </c>
      <c r="N2251" t="s">
        <v>7504</v>
      </c>
      <c r="O2251" t="s">
        <v>7505</v>
      </c>
      <c r="P2251" s="2" t="s">
        <v>37</v>
      </c>
      <c r="Q2251" t="s">
        <v>1208</v>
      </c>
      <c r="R2251">
        <v>0</v>
      </c>
      <c r="S2251">
        <v>397.89</v>
      </c>
      <c r="T2251" t="s">
        <v>7506</v>
      </c>
    </row>
    <row r="2252" spans="1:20" x14ac:dyDescent="0.25">
      <c r="A2252" s="1" t="str">
        <f>HYPERLINK("https://vegkart.atlas.vegvesen.no/#/@69830.4,6481270.4,18/hva:hva%5B0%5D%5Bfilter%5D%5B0%5D%5Boperator%5D=%21%3D&amp;hva%5B0%5D%5Bfilter%5D%5B0%5D%5Btype_id%5D=4723&amp;hva%5B0%5D%5Bfilter%5D%5B0%5D%5Bverdi%5D=&amp;hva%5B0%5D%5Bid%5D=15/når:2023-12-14", "Vegkart")</f>
        <v>Vegkart</v>
      </c>
      <c r="B2252">
        <v>1008995347</v>
      </c>
      <c r="C2252">
        <v>15</v>
      </c>
      <c r="D2252" t="s">
        <v>5814</v>
      </c>
      <c r="E2252">
        <v>4723</v>
      </c>
      <c r="F2252" t="s">
        <v>23479</v>
      </c>
      <c r="G2252">
        <v>2</v>
      </c>
      <c r="H2252" t="s">
        <v>4637</v>
      </c>
      <c r="J2252" t="s">
        <v>7486</v>
      </c>
      <c r="K2252" t="s">
        <v>86</v>
      </c>
      <c r="L2252" t="s">
        <v>33</v>
      </c>
      <c r="M2252" t="s">
        <v>7507</v>
      </c>
      <c r="N2252" t="s">
        <v>7508</v>
      </c>
      <c r="O2252" t="s">
        <v>7509</v>
      </c>
      <c r="P2252" s="2" t="s">
        <v>165</v>
      </c>
      <c r="Q2252" t="s">
        <v>641</v>
      </c>
      <c r="R2252">
        <v>0</v>
      </c>
      <c r="S2252">
        <v>131.47999999999999</v>
      </c>
      <c r="T2252" t="s">
        <v>167</v>
      </c>
    </row>
    <row r="2253" spans="1:20" x14ac:dyDescent="0.25">
      <c r="A2253" s="1" t="str">
        <f>HYPERLINK("https://vegkart.atlas.vegvesen.no/#/@273146.2,7043773.9,18/hva:hva%5B0%5D%5Bfilter%5D%5B0%5D%5Boperator%5D=%21%3D&amp;hva%5B0%5D%5Bfilter%5D%5B0%5D%5Btype_id%5D=4723&amp;hva%5B0%5D%5Bfilter%5D%5B0%5D%5Bverdi%5D=&amp;hva%5B0%5D%5Bid%5D=15/når:2020-08-27", "Vegkart")</f>
        <v>Vegkart</v>
      </c>
      <c r="B2253">
        <v>1009148825</v>
      </c>
      <c r="C2253">
        <v>15</v>
      </c>
      <c r="D2253" t="s">
        <v>5814</v>
      </c>
      <c r="E2253">
        <v>4723</v>
      </c>
      <c r="F2253" t="s">
        <v>23479</v>
      </c>
      <c r="G2253">
        <v>1</v>
      </c>
      <c r="H2253" t="s">
        <v>7510</v>
      </c>
      <c r="J2253" t="s">
        <v>7511</v>
      </c>
      <c r="K2253" t="s">
        <v>192</v>
      </c>
      <c r="L2253" t="s">
        <v>22</v>
      </c>
      <c r="M2253" t="s">
        <v>7512</v>
      </c>
      <c r="N2253" t="s">
        <v>7513</v>
      </c>
      <c r="O2253" t="s">
        <v>7514</v>
      </c>
      <c r="P2253" s="2" t="s">
        <v>165</v>
      </c>
      <c r="Q2253" t="s">
        <v>1012</v>
      </c>
      <c r="R2253">
        <v>10.61</v>
      </c>
      <c r="S2253">
        <v>10.61</v>
      </c>
      <c r="T2253" t="s">
        <v>167</v>
      </c>
    </row>
    <row r="2254" spans="1:20" x14ac:dyDescent="0.25">
      <c r="A2254" s="1" t="str">
        <f>HYPERLINK("https://vegkart.atlas.vegvesen.no/#/@-20261.5,6643080.5,18/hva:hva%5B0%5D%5Bfilter%5D%5B0%5D%5Boperator%5D=%21%3D&amp;hva%5B0%5D%5Bfilter%5D%5B0%5D%5Btype_id%5D=4723&amp;hva%5B0%5D%5Bfilter%5D%5B0%5D%5Bverdi%5D=&amp;hva%5B0%5D%5Bid%5D=15/når:2020-09-08", "Vegkart")</f>
        <v>Vegkart</v>
      </c>
      <c r="B2254">
        <v>1009195980</v>
      </c>
      <c r="C2254">
        <v>15</v>
      </c>
      <c r="D2254" t="s">
        <v>5814</v>
      </c>
      <c r="E2254">
        <v>4723</v>
      </c>
      <c r="F2254" t="s">
        <v>23479</v>
      </c>
      <c r="G2254">
        <v>1</v>
      </c>
      <c r="H2254" t="s">
        <v>7515</v>
      </c>
      <c r="J2254" t="s">
        <v>7511</v>
      </c>
      <c r="K2254" t="s">
        <v>170</v>
      </c>
      <c r="L2254" t="s">
        <v>80</v>
      </c>
      <c r="M2254" t="s">
        <v>645</v>
      </c>
      <c r="N2254" t="s">
        <v>7516</v>
      </c>
      <c r="O2254" t="s">
        <v>7517</v>
      </c>
      <c r="P2254" s="2" t="s">
        <v>67</v>
      </c>
      <c r="Q2254" t="s">
        <v>68</v>
      </c>
      <c r="R2254">
        <v>65.510000000000005</v>
      </c>
      <c r="S2254">
        <v>65.709999999999994</v>
      </c>
      <c r="T2254" t="s">
        <v>7518</v>
      </c>
    </row>
    <row r="2255" spans="1:20" x14ac:dyDescent="0.25">
      <c r="A2255" s="1" t="str">
        <f>HYPERLINK("https://vegkart.atlas.vegvesen.no/#/@77785.5,6813981.8,18/hva:hva%5B0%5D%5Bfilter%5D%5B0%5D%5Boperator%5D=%21%3D&amp;hva%5B0%5D%5Bfilter%5D%5B0%5D%5Btype_id%5D=4723&amp;hva%5B0%5D%5Bfilter%5D%5B0%5D%5Bverdi%5D=&amp;hva%5B0%5D%5Bid%5D=15/når:2022-02-15", "Vegkart")</f>
        <v>Vegkart</v>
      </c>
      <c r="B2255">
        <v>1009337541</v>
      </c>
      <c r="C2255">
        <v>15</v>
      </c>
      <c r="D2255" t="s">
        <v>5814</v>
      </c>
      <c r="E2255">
        <v>4723</v>
      </c>
      <c r="F2255" t="s">
        <v>23479</v>
      </c>
      <c r="G2255">
        <v>3</v>
      </c>
      <c r="H2255" t="s">
        <v>2828</v>
      </c>
      <c r="J2255" t="s">
        <v>7511</v>
      </c>
      <c r="K2255" t="s">
        <v>21</v>
      </c>
      <c r="L2255" t="s">
        <v>113</v>
      </c>
      <c r="M2255" t="s">
        <v>507</v>
      </c>
      <c r="N2255" t="s">
        <v>7519</v>
      </c>
      <c r="O2255" t="s">
        <v>7520</v>
      </c>
      <c r="P2255" s="2" t="s">
        <v>67</v>
      </c>
      <c r="Q2255" t="s">
        <v>68</v>
      </c>
      <c r="R2255">
        <v>85.15</v>
      </c>
      <c r="S2255">
        <v>88.88</v>
      </c>
      <c r="T2255" t="s">
        <v>7521</v>
      </c>
    </row>
    <row r="2256" spans="1:20" x14ac:dyDescent="0.25">
      <c r="A2256" s="1" t="str">
        <f>HYPERLINK("https://vegkart.atlas.vegvesen.no/#/@234721.0,7015144.0,18/hva:hva%5B0%5D%5Bfilter%5D%5B0%5D%5Boperator%5D=%21%3D&amp;hva%5B0%5D%5Bfilter%5D%5B0%5D%5Btype_id%5D=4723&amp;hva%5B0%5D%5Bfilter%5D%5B0%5D%5Bverdi%5D=&amp;hva%5B0%5D%5Bid%5D=15/når:2020-10-28", "Vegkart")</f>
        <v>Vegkart</v>
      </c>
      <c r="B2256">
        <v>1010858199</v>
      </c>
      <c r="C2256">
        <v>15</v>
      </c>
      <c r="D2256" t="s">
        <v>5814</v>
      </c>
      <c r="E2256">
        <v>4723</v>
      </c>
      <c r="F2256" t="s">
        <v>23479</v>
      </c>
      <c r="G2256">
        <v>1</v>
      </c>
      <c r="H2256" t="s">
        <v>802</v>
      </c>
      <c r="J2256" t="s">
        <v>7511</v>
      </c>
      <c r="K2256" t="s">
        <v>192</v>
      </c>
      <c r="L2256" t="s">
        <v>33</v>
      </c>
      <c r="M2256" t="s">
        <v>7522</v>
      </c>
      <c r="N2256" t="s">
        <v>7523</v>
      </c>
      <c r="O2256" t="s">
        <v>7524</v>
      </c>
      <c r="P2256" s="2" t="s">
        <v>165</v>
      </c>
      <c r="Q2256" t="s">
        <v>641</v>
      </c>
      <c r="R2256">
        <v>0</v>
      </c>
      <c r="S2256">
        <v>112.05</v>
      </c>
      <c r="T2256" t="s">
        <v>167</v>
      </c>
    </row>
    <row r="2257" spans="1:20" x14ac:dyDescent="0.25">
      <c r="A2257" s="1" t="str">
        <f>HYPERLINK("https://vegkart.atlas.vegvesen.no/#/@653556.3,7732366.1,18/hva:hva%5B0%5D%5Bfilter%5D%5B0%5D%5Boperator%5D=%21%3D&amp;hva%5B0%5D%5Bfilter%5D%5B0%5D%5Btype_id%5D=4723&amp;hva%5B0%5D%5Bfilter%5D%5B0%5D%5Bverdi%5D=&amp;hva%5B0%5D%5Bid%5D=15/når:2020-11-09", "Vegkart")</f>
        <v>Vegkart</v>
      </c>
      <c r="B2257">
        <v>1010922196</v>
      </c>
      <c r="C2257">
        <v>15</v>
      </c>
      <c r="D2257" t="s">
        <v>5814</v>
      </c>
      <c r="E2257">
        <v>4723</v>
      </c>
      <c r="F2257" t="s">
        <v>23479</v>
      </c>
      <c r="G2257">
        <v>1</v>
      </c>
      <c r="H2257" t="s">
        <v>7525</v>
      </c>
      <c r="J2257" t="s">
        <v>7511</v>
      </c>
      <c r="K2257" t="s">
        <v>179</v>
      </c>
      <c r="L2257" t="s">
        <v>22</v>
      </c>
      <c r="M2257" t="s">
        <v>7526</v>
      </c>
      <c r="N2257" t="s">
        <v>7527</v>
      </c>
      <c r="O2257" t="s">
        <v>7528</v>
      </c>
      <c r="P2257" s="2" t="s">
        <v>37</v>
      </c>
      <c r="Q2257" t="s">
        <v>1208</v>
      </c>
      <c r="R2257">
        <v>0</v>
      </c>
      <c r="S2257">
        <v>179.79</v>
      </c>
      <c r="T2257" t="s">
        <v>7529</v>
      </c>
    </row>
    <row r="2258" spans="1:20" x14ac:dyDescent="0.25">
      <c r="A2258" s="1" t="str">
        <f>HYPERLINK("https://vegkart.atlas.vegvesen.no/#/@267765.3,7033392.0,18/hva:hva%5B0%5D%5Bfilter%5D%5B0%5D%5Boperator%5D=%21%3D&amp;hva%5B0%5D%5Bfilter%5D%5B0%5D%5Btype_id%5D=4723&amp;hva%5B0%5D%5Bfilter%5D%5B0%5D%5Bverdi%5D=&amp;hva%5B0%5D%5Bid%5D=15/når:2020-11-24", "Vegkart")</f>
        <v>Vegkart</v>
      </c>
      <c r="B2258">
        <v>1010982579</v>
      </c>
      <c r="C2258">
        <v>15</v>
      </c>
      <c r="D2258" t="s">
        <v>5814</v>
      </c>
      <c r="E2258">
        <v>4723</v>
      </c>
      <c r="F2258" t="s">
        <v>23479</v>
      </c>
      <c r="G2258">
        <v>1</v>
      </c>
      <c r="H2258" t="s">
        <v>7530</v>
      </c>
      <c r="J2258" t="s">
        <v>7511</v>
      </c>
      <c r="K2258" t="s">
        <v>192</v>
      </c>
      <c r="L2258" t="s">
        <v>22</v>
      </c>
      <c r="M2258" t="s">
        <v>7531</v>
      </c>
      <c r="N2258" t="s">
        <v>7532</v>
      </c>
      <c r="O2258" t="s">
        <v>7533</v>
      </c>
      <c r="P2258" s="2" t="s">
        <v>67</v>
      </c>
      <c r="Q2258" t="s">
        <v>68</v>
      </c>
      <c r="R2258">
        <v>30.32</v>
      </c>
      <c r="S2258">
        <v>30.32</v>
      </c>
      <c r="T2258" t="s">
        <v>7534</v>
      </c>
    </row>
    <row r="2259" spans="1:20" x14ac:dyDescent="0.25">
      <c r="A2259" s="1" t="str">
        <f>HYPERLINK("https://vegkart.atlas.vegvesen.no/#/@267764.3,7033349.9,18/hva:hva%5B0%5D%5Bfilter%5D%5B0%5D%5Boperator%5D=%21%3D&amp;hva%5B0%5D%5Bfilter%5D%5B0%5D%5Btype_id%5D=4723&amp;hva%5B0%5D%5Bfilter%5D%5B0%5D%5Bverdi%5D=&amp;hva%5B0%5D%5Bid%5D=15/når:2020-11-24", "Vegkart")</f>
        <v>Vegkart</v>
      </c>
      <c r="B2259">
        <v>1010982580</v>
      </c>
      <c r="C2259">
        <v>15</v>
      </c>
      <c r="D2259" t="s">
        <v>5814</v>
      </c>
      <c r="E2259">
        <v>4723</v>
      </c>
      <c r="F2259" t="s">
        <v>23479</v>
      </c>
      <c r="G2259">
        <v>1</v>
      </c>
      <c r="H2259" t="s">
        <v>7530</v>
      </c>
      <c r="J2259" t="s">
        <v>7511</v>
      </c>
      <c r="K2259" t="s">
        <v>192</v>
      </c>
      <c r="L2259" t="s">
        <v>22</v>
      </c>
      <c r="M2259" t="s">
        <v>7531</v>
      </c>
      <c r="N2259" t="s">
        <v>7535</v>
      </c>
      <c r="O2259" t="s">
        <v>7536</v>
      </c>
      <c r="P2259" s="2" t="s">
        <v>165</v>
      </c>
      <c r="Q2259" t="s">
        <v>1012</v>
      </c>
      <c r="R2259">
        <v>9.8699999999999992</v>
      </c>
      <c r="S2259">
        <v>9.8699999999999992</v>
      </c>
      <c r="T2259" t="s">
        <v>167</v>
      </c>
    </row>
    <row r="2260" spans="1:20" x14ac:dyDescent="0.25">
      <c r="A2260" s="1" t="str">
        <f>HYPERLINK("https://vegkart.atlas.vegvesen.no/#/@267777.6,7033380.5,18/hva:hva%5B0%5D%5Bfilter%5D%5B0%5D%5Boperator%5D=%21%3D&amp;hva%5B0%5D%5Bfilter%5D%5B0%5D%5Btype_id%5D=4723&amp;hva%5B0%5D%5Bfilter%5D%5B0%5D%5Bverdi%5D=&amp;hva%5B0%5D%5Bid%5D=15/når:2020-11-24", "Vegkart")</f>
        <v>Vegkart</v>
      </c>
      <c r="B2260">
        <v>1010982581</v>
      </c>
      <c r="C2260">
        <v>15</v>
      </c>
      <c r="D2260" t="s">
        <v>5814</v>
      </c>
      <c r="E2260">
        <v>4723</v>
      </c>
      <c r="F2260" t="s">
        <v>23479</v>
      </c>
      <c r="G2260">
        <v>1</v>
      </c>
      <c r="H2260" t="s">
        <v>7530</v>
      </c>
      <c r="J2260" t="s">
        <v>7511</v>
      </c>
      <c r="K2260" t="s">
        <v>192</v>
      </c>
      <c r="L2260" t="s">
        <v>22</v>
      </c>
      <c r="M2260" t="s">
        <v>7531</v>
      </c>
      <c r="N2260" t="s">
        <v>7537</v>
      </c>
      <c r="O2260" t="s">
        <v>7538</v>
      </c>
      <c r="P2260" s="2" t="s">
        <v>67</v>
      </c>
      <c r="Q2260" t="s">
        <v>68</v>
      </c>
      <c r="R2260">
        <v>30.36</v>
      </c>
      <c r="S2260">
        <v>30.36</v>
      </c>
      <c r="T2260" t="s">
        <v>7539</v>
      </c>
    </row>
    <row r="2261" spans="1:20" x14ac:dyDescent="0.25">
      <c r="A2261" s="1" t="str">
        <f>HYPERLINK("https://vegkart.atlas.vegvesen.no/#/@267808.7,7033355.2,18/hva:hva%5B0%5D%5Bfilter%5D%5B0%5D%5Boperator%5D=%21%3D&amp;hva%5B0%5D%5Bfilter%5D%5B0%5D%5Btype_id%5D=4723&amp;hva%5B0%5D%5Bfilter%5D%5B0%5D%5Bverdi%5D=&amp;hva%5B0%5D%5Bid%5D=15/når:2020-11-24", "Vegkart")</f>
        <v>Vegkart</v>
      </c>
      <c r="B2261">
        <v>1010982582</v>
      </c>
      <c r="C2261">
        <v>15</v>
      </c>
      <c r="D2261" t="s">
        <v>5814</v>
      </c>
      <c r="E2261">
        <v>4723</v>
      </c>
      <c r="F2261" t="s">
        <v>23479</v>
      </c>
      <c r="G2261">
        <v>1</v>
      </c>
      <c r="H2261" t="s">
        <v>7530</v>
      </c>
      <c r="J2261" t="s">
        <v>7540</v>
      </c>
      <c r="K2261" t="s">
        <v>192</v>
      </c>
      <c r="L2261" t="s">
        <v>22</v>
      </c>
      <c r="M2261" t="s">
        <v>7531</v>
      </c>
      <c r="N2261" t="s">
        <v>7541</v>
      </c>
      <c r="O2261" t="s">
        <v>7542</v>
      </c>
      <c r="P2261" s="2" t="s">
        <v>67</v>
      </c>
      <c r="Q2261" t="s">
        <v>68</v>
      </c>
      <c r="R2261">
        <v>55.95</v>
      </c>
      <c r="S2261">
        <v>55.95</v>
      </c>
      <c r="T2261" t="s">
        <v>7543</v>
      </c>
    </row>
    <row r="2262" spans="1:20" x14ac:dyDescent="0.25">
      <c r="A2262" s="1" t="str">
        <f>HYPERLINK("https://vegkart.atlas.vegvesen.no/#/@850779.9,7903427.2,18/hva:hva%5B0%5D%5Bfilter%5D%5B0%5D%5Boperator%5D=%21%3D&amp;hva%5B0%5D%5Bfilter%5D%5B0%5D%5Btype_id%5D=4723&amp;hva%5B0%5D%5Bfilter%5D%5B0%5D%5Bverdi%5D=&amp;hva%5B0%5D%5Bid%5D=15/når:2020-11-24", "Vegkart")</f>
        <v>Vegkart</v>
      </c>
      <c r="B2262">
        <v>1010985367</v>
      </c>
      <c r="C2262">
        <v>15</v>
      </c>
      <c r="D2262" t="s">
        <v>5814</v>
      </c>
      <c r="E2262">
        <v>4723</v>
      </c>
      <c r="F2262" t="s">
        <v>23479</v>
      </c>
      <c r="G2262">
        <v>1</v>
      </c>
      <c r="H2262" t="s">
        <v>7530</v>
      </c>
      <c r="J2262" t="s">
        <v>7540</v>
      </c>
      <c r="K2262" t="s">
        <v>450</v>
      </c>
      <c r="L2262" t="s">
        <v>33</v>
      </c>
      <c r="M2262" t="s">
        <v>1282</v>
      </c>
      <c r="N2262" t="s">
        <v>7544</v>
      </c>
      <c r="O2262" t="s">
        <v>7545</v>
      </c>
      <c r="P2262" s="2" t="s">
        <v>37</v>
      </c>
      <c r="Q2262" t="s">
        <v>1208</v>
      </c>
      <c r="R2262">
        <v>0</v>
      </c>
      <c r="S2262">
        <v>741.49</v>
      </c>
      <c r="T2262" t="s">
        <v>7546</v>
      </c>
    </row>
    <row r="2263" spans="1:20" x14ac:dyDescent="0.25">
      <c r="A2263" s="1" t="str">
        <f>HYPERLINK("https://vegkart.atlas.vegvesen.no/#/@850641.2,7902723.3,18/hva:hva%5B0%5D%5Bfilter%5D%5B0%5D%5Boperator%5D=%21%3D&amp;hva%5B0%5D%5Bfilter%5D%5B0%5D%5Btype_id%5D=4723&amp;hva%5B0%5D%5Bfilter%5D%5B0%5D%5Bverdi%5D=&amp;hva%5B0%5D%5Bid%5D=15/når:2020-11-24", "Vegkart")</f>
        <v>Vegkart</v>
      </c>
      <c r="B2263">
        <v>1010985368</v>
      </c>
      <c r="C2263">
        <v>15</v>
      </c>
      <c r="D2263" t="s">
        <v>5814</v>
      </c>
      <c r="E2263">
        <v>4723</v>
      </c>
      <c r="F2263" t="s">
        <v>23479</v>
      </c>
      <c r="G2263">
        <v>1</v>
      </c>
      <c r="H2263" t="s">
        <v>7530</v>
      </c>
      <c r="J2263" t="s">
        <v>7540</v>
      </c>
      <c r="K2263" t="s">
        <v>450</v>
      </c>
      <c r="L2263" t="s">
        <v>33</v>
      </c>
      <c r="M2263" t="s">
        <v>1282</v>
      </c>
      <c r="N2263" t="s">
        <v>7547</v>
      </c>
      <c r="O2263" t="s">
        <v>7548</v>
      </c>
      <c r="P2263" s="2" t="s">
        <v>37</v>
      </c>
      <c r="Q2263" t="s">
        <v>1208</v>
      </c>
      <c r="R2263">
        <v>0</v>
      </c>
      <c r="S2263">
        <v>1625.3</v>
      </c>
      <c r="T2263" t="s">
        <v>7549</v>
      </c>
    </row>
    <row r="2264" spans="1:20" x14ac:dyDescent="0.25">
      <c r="A2264" s="1" t="str">
        <f>HYPERLINK("https://vegkart.atlas.vegvesen.no/#/@93882.7,6467927.8,18/hva:hva%5B0%5D%5Bfilter%5D%5B0%5D%5Boperator%5D=%21%3D&amp;hva%5B0%5D%5Bfilter%5D%5B0%5D%5Btype_id%5D=4723&amp;hva%5B0%5D%5Bfilter%5D%5B0%5D%5Bverdi%5D=&amp;hva%5B0%5D%5Bid%5D=15/når:2021-02-22", "Vegkart")</f>
        <v>Vegkart</v>
      </c>
      <c r="B2264">
        <v>1013337920</v>
      </c>
      <c r="C2264">
        <v>15</v>
      </c>
      <c r="D2264" t="s">
        <v>5814</v>
      </c>
      <c r="E2264">
        <v>4723</v>
      </c>
      <c r="F2264" t="s">
        <v>23479</v>
      </c>
      <c r="G2264">
        <v>1</v>
      </c>
      <c r="H2264" t="s">
        <v>7550</v>
      </c>
      <c r="J2264" t="s">
        <v>7551</v>
      </c>
      <c r="K2264" t="s">
        <v>86</v>
      </c>
      <c r="L2264" t="s">
        <v>80</v>
      </c>
      <c r="M2264" t="s">
        <v>53</v>
      </c>
      <c r="N2264" t="s">
        <v>7552</v>
      </c>
      <c r="O2264" t="s">
        <v>7553</v>
      </c>
      <c r="P2264" s="2" t="s">
        <v>165</v>
      </c>
      <c r="Q2264" t="s">
        <v>641</v>
      </c>
      <c r="R2264">
        <v>0</v>
      </c>
      <c r="S2264">
        <v>231.03</v>
      </c>
      <c r="T2264" t="s">
        <v>167</v>
      </c>
    </row>
    <row r="2265" spans="1:20" x14ac:dyDescent="0.25">
      <c r="A2265" s="1" t="str">
        <f>HYPERLINK("https://vegkart.atlas.vegvesen.no/#/@93796.7,6467932.3,18/hva:hva%5B0%5D%5Bfilter%5D%5B0%5D%5Boperator%5D=%21%3D&amp;hva%5B0%5D%5Bfilter%5D%5B0%5D%5Btype_id%5D=4723&amp;hva%5B0%5D%5Bfilter%5D%5B0%5D%5Bverdi%5D=&amp;hva%5B0%5D%5Bid%5D=15/når:2021-02-22", "Vegkart")</f>
        <v>Vegkart</v>
      </c>
      <c r="B2265">
        <v>1013337921</v>
      </c>
      <c r="C2265">
        <v>15</v>
      </c>
      <c r="D2265" t="s">
        <v>5814</v>
      </c>
      <c r="E2265">
        <v>4723</v>
      </c>
      <c r="F2265" t="s">
        <v>23479</v>
      </c>
      <c r="G2265">
        <v>1</v>
      </c>
      <c r="H2265" t="s">
        <v>7550</v>
      </c>
      <c r="J2265" t="s">
        <v>7551</v>
      </c>
      <c r="K2265" t="s">
        <v>86</v>
      </c>
      <c r="L2265" t="s">
        <v>80</v>
      </c>
      <c r="M2265" t="s">
        <v>53</v>
      </c>
      <c r="N2265" t="s">
        <v>7554</v>
      </c>
      <c r="O2265" t="s">
        <v>7555</v>
      </c>
      <c r="P2265" s="2" t="s">
        <v>165</v>
      </c>
      <c r="Q2265" t="s">
        <v>641</v>
      </c>
      <c r="R2265">
        <v>0.12</v>
      </c>
      <c r="S2265">
        <v>346.94</v>
      </c>
      <c r="T2265" t="s">
        <v>167</v>
      </c>
    </row>
    <row r="2266" spans="1:20" x14ac:dyDescent="0.25">
      <c r="A2266" s="1" t="str">
        <f>HYPERLINK("https://vegkart.atlas.vegvesen.no/#/@93864.1,6468067.6,18/hva:hva%5B0%5D%5Bfilter%5D%5B0%5D%5Boperator%5D=%21%3D&amp;hva%5B0%5D%5Bfilter%5D%5B0%5D%5Btype_id%5D=4723&amp;hva%5B0%5D%5Bfilter%5D%5B0%5D%5Bverdi%5D=&amp;hva%5B0%5D%5Bid%5D=15/når:2021-02-22", "Vegkart")</f>
        <v>Vegkart</v>
      </c>
      <c r="B2266">
        <v>1013337934</v>
      </c>
      <c r="C2266">
        <v>15</v>
      </c>
      <c r="D2266" t="s">
        <v>5814</v>
      </c>
      <c r="E2266">
        <v>4723</v>
      </c>
      <c r="F2266" t="s">
        <v>23479</v>
      </c>
      <c r="G2266">
        <v>1</v>
      </c>
      <c r="H2266" t="s">
        <v>7550</v>
      </c>
      <c r="J2266" t="s">
        <v>7551</v>
      </c>
      <c r="K2266" t="s">
        <v>86</v>
      </c>
      <c r="L2266" t="s">
        <v>22</v>
      </c>
      <c r="M2266" t="s">
        <v>7556</v>
      </c>
      <c r="N2266" t="s">
        <v>7557</v>
      </c>
      <c r="O2266" t="s">
        <v>7558</v>
      </c>
      <c r="P2266" s="2" t="s">
        <v>67</v>
      </c>
      <c r="Q2266" t="s">
        <v>68</v>
      </c>
      <c r="R2266">
        <v>20.18</v>
      </c>
      <c r="S2266">
        <v>125.45</v>
      </c>
      <c r="T2266" t="s">
        <v>7559</v>
      </c>
    </row>
    <row r="2267" spans="1:20" x14ac:dyDescent="0.25">
      <c r="A2267" s="1" t="str">
        <f>HYPERLINK("https://vegkart.atlas.vegvesen.no/#/@93804.4,6467890.9,18/hva:hva%5B0%5D%5Bfilter%5D%5B0%5D%5Boperator%5D=%21%3D&amp;hva%5B0%5D%5Bfilter%5D%5B0%5D%5Btype_id%5D=4723&amp;hva%5B0%5D%5Bfilter%5D%5B0%5D%5Bverdi%5D=&amp;hva%5B0%5D%5Bid%5D=15/når:2021-02-22", "Vegkart")</f>
        <v>Vegkart</v>
      </c>
      <c r="B2267">
        <v>1013337941</v>
      </c>
      <c r="C2267">
        <v>15</v>
      </c>
      <c r="D2267" t="s">
        <v>5814</v>
      </c>
      <c r="E2267">
        <v>4723</v>
      </c>
      <c r="F2267" t="s">
        <v>23479</v>
      </c>
      <c r="G2267">
        <v>1</v>
      </c>
      <c r="H2267" t="s">
        <v>7550</v>
      </c>
      <c r="J2267" t="s">
        <v>7551</v>
      </c>
      <c r="K2267" t="s">
        <v>86</v>
      </c>
      <c r="L2267" t="s">
        <v>33</v>
      </c>
      <c r="M2267" t="s">
        <v>7560</v>
      </c>
      <c r="N2267" t="s">
        <v>7561</v>
      </c>
      <c r="O2267" t="s">
        <v>7562</v>
      </c>
      <c r="P2267" s="2" t="s">
        <v>165</v>
      </c>
      <c r="Q2267" t="s">
        <v>641</v>
      </c>
      <c r="R2267">
        <v>5.78</v>
      </c>
      <c r="S2267">
        <v>230.4</v>
      </c>
      <c r="T2267" t="s">
        <v>167</v>
      </c>
    </row>
    <row r="2268" spans="1:20" x14ac:dyDescent="0.25">
      <c r="A2268" s="1" t="str">
        <f>HYPERLINK("https://vegkart.atlas.vegvesen.no/#/@22268.6,6899439.4,18/hva:hva%5B0%5D%5Bfilter%5D%5B0%5D%5Boperator%5D=%21%3D&amp;hva%5B0%5D%5Bfilter%5D%5B0%5D%5Btype_id%5D=4723&amp;hva%5B0%5D%5Bfilter%5D%5B0%5D%5Bverdi%5D=&amp;hva%5B0%5D%5Bid%5D=15/når:2021-04-30", "Vegkart")</f>
        <v>Vegkart</v>
      </c>
      <c r="B2268">
        <v>1013517684</v>
      </c>
      <c r="C2268">
        <v>15</v>
      </c>
      <c r="D2268" t="s">
        <v>5814</v>
      </c>
      <c r="E2268">
        <v>4723</v>
      </c>
      <c r="F2268" t="s">
        <v>23479</v>
      </c>
      <c r="G2268">
        <v>1</v>
      </c>
      <c r="H2268" t="s">
        <v>7563</v>
      </c>
      <c r="J2268" t="s">
        <v>7551</v>
      </c>
      <c r="K2268" t="s">
        <v>21</v>
      </c>
      <c r="L2268" t="s">
        <v>113</v>
      </c>
      <c r="M2268" t="s">
        <v>32</v>
      </c>
      <c r="N2268" t="s">
        <v>7564</v>
      </c>
      <c r="O2268" t="s">
        <v>7565</v>
      </c>
      <c r="P2268" s="2" t="s">
        <v>67</v>
      </c>
      <c r="Q2268" t="s">
        <v>68</v>
      </c>
      <c r="R2268">
        <v>75.39</v>
      </c>
      <c r="S2268">
        <v>75.760000000000005</v>
      </c>
      <c r="T2268" t="s">
        <v>7566</v>
      </c>
    </row>
    <row r="2269" spans="1:20" x14ac:dyDescent="0.25">
      <c r="A2269" s="1" t="str">
        <f>HYPERLINK("https://vegkart.atlas.vegvesen.no/#/@9170.9,6900417.6,18/hva:hva%5B0%5D%5Bfilter%5D%5B0%5D%5Boperator%5D=%21%3D&amp;hva%5B0%5D%5Bfilter%5D%5B0%5D%5Btype_id%5D=4723&amp;hva%5B0%5D%5Bfilter%5D%5B0%5D%5Bverdi%5D=&amp;hva%5B0%5D%5Bid%5D=15/når:2021-04-30", "Vegkart")</f>
        <v>Vegkart</v>
      </c>
      <c r="B2269">
        <v>1013517709</v>
      </c>
      <c r="C2269">
        <v>15</v>
      </c>
      <c r="D2269" t="s">
        <v>5814</v>
      </c>
      <c r="E2269">
        <v>4723</v>
      </c>
      <c r="F2269" t="s">
        <v>23479</v>
      </c>
      <c r="G2269">
        <v>1</v>
      </c>
      <c r="H2269" t="s">
        <v>7563</v>
      </c>
      <c r="J2269" t="s">
        <v>7551</v>
      </c>
      <c r="K2269" t="s">
        <v>21</v>
      </c>
      <c r="L2269" t="s">
        <v>113</v>
      </c>
      <c r="M2269" t="s">
        <v>32</v>
      </c>
      <c r="N2269" t="s">
        <v>7567</v>
      </c>
      <c r="O2269" t="s">
        <v>7568</v>
      </c>
      <c r="P2269" s="2" t="s">
        <v>67</v>
      </c>
      <c r="Q2269" t="s">
        <v>68</v>
      </c>
      <c r="R2269">
        <v>110.99</v>
      </c>
      <c r="S2269">
        <v>111.12</v>
      </c>
      <c r="T2269" t="s">
        <v>7569</v>
      </c>
    </row>
    <row r="2270" spans="1:20" x14ac:dyDescent="0.25">
      <c r="A2270" s="1" t="str">
        <f>HYPERLINK("https://vegkart.atlas.vegvesen.no/#/@92675.7,6829417.8,18/hva:hva%5B0%5D%5Bfilter%5D%5B0%5D%5Boperator%5D=%21%3D&amp;hva%5B0%5D%5Bfilter%5D%5B0%5D%5Btype_id%5D=4723&amp;hva%5B0%5D%5Bfilter%5D%5B0%5D%5Bverdi%5D=&amp;hva%5B0%5D%5Bid%5D=15/når:2021-07-06", "Vegkart")</f>
        <v>Vegkart</v>
      </c>
      <c r="B2270">
        <v>1013775595</v>
      </c>
      <c r="C2270">
        <v>15</v>
      </c>
      <c r="D2270" t="s">
        <v>5814</v>
      </c>
      <c r="E2270">
        <v>4723</v>
      </c>
      <c r="F2270" t="s">
        <v>23479</v>
      </c>
      <c r="G2270">
        <v>1</v>
      </c>
      <c r="H2270" t="s">
        <v>7570</v>
      </c>
      <c r="J2270" t="s">
        <v>7571</v>
      </c>
      <c r="K2270" t="s">
        <v>21</v>
      </c>
      <c r="L2270" t="s">
        <v>33</v>
      </c>
      <c r="M2270" t="s">
        <v>179</v>
      </c>
      <c r="N2270" t="s">
        <v>7572</v>
      </c>
      <c r="O2270" t="s">
        <v>7573</v>
      </c>
      <c r="P2270" s="2" t="s">
        <v>67</v>
      </c>
      <c r="Q2270" t="s">
        <v>68</v>
      </c>
      <c r="R2270">
        <v>64.89</v>
      </c>
      <c r="S2270">
        <v>72.72</v>
      </c>
      <c r="T2270" t="s">
        <v>7574</v>
      </c>
    </row>
    <row r="2271" spans="1:20" x14ac:dyDescent="0.25">
      <c r="A2271" s="1" t="str">
        <f>HYPERLINK("https://vegkart.atlas.vegvesen.no/#/@-34706.5,6570269.7,18/hva:hva%5B0%5D%5Bfilter%5D%5B0%5D%5Boperator%5D=%21%3D&amp;hva%5B0%5D%5Bfilter%5D%5B0%5D%5Btype_id%5D=4723&amp;hva%5B0%5D%5Bfilter%5D%5B0%5D%5Bverdi%5D=&amp;hva%5B0%5D%5Bid%5D=15/når:2021-08-03", "Vegkart")</f>
        <v>Vegkart</v>
      </c>
      <c r="B2271">
        <v>1013889720</v>
      </c>
      <c r="C2271">
        <v>15</v>
      </c>
      <c r="D2271" t="s">
        <v>5814</v>
      </c>
      <c r="E2271">
        <v>4723</v>
      </c>
      <c r="F2271" t="s">
        <v>23479</v>
      </c>
      <c r="G2271">
        <v>1</v>
      </c>
      <c r="H2271" t="s">
        <v>2166</v>
      </c>
      <c r="J2271" t="s">
        <v>7575</v>
      </c>
      <c r="K2271" t="s">
        <v>170</v>
      </c>
      <c r="L2271" t="s">
        <v>33</v>
      </c>
      <c r="M2271" t="s">
        <v>7576</v>
      </c>
      <c r="N2271" t="s">
        <v>7577</v>
      </c>
      <c r="O2271" t="s">
        <v>7578</v>
      </c>
      <c r="P2271" s="2" t="s">
        <v>67</v>
      </c>
      <c r="Q2271" t="s">
        <v>68</v>
      </c>
      <c r="R2271">
        <v>37.85</v>
      </c>
      <c r="S2271">
        <v>37.99</v>
      </c>
      <c r="T2271" t="s">
        <v>7579</v>
      </c>
    </row>
    <row r="2272" spans="1:20" x14ac:dyDescent="0.25">
      <c r="A2272" s="1" t="str">
        <f>HYPERLINK("https://vegkart.atlas.vegvesen.no/#/@-34696.2,6570253.1,18/hva:hva%5B0%5D%5Bfilter%5D%5B0%5D%5Boperator%5D=%21%3D&amp;hva%5B0%5D%5Bfilter%5D%5B0%5D%5Btype_id%5D=4723&amp;hva%5B0%5D%5Bfilter%5D%5B0%5D%5Bverdi%5D=&amp;hva%5B0%5D%5Bid%5D=15/når:2021-08-03", "Vegkart")</f>
        <v>Vegkart</v>
      </c>
      <c r="B2272">
        <v>1013889726</v>
      </c>
      <c r="C2272">
        <v>15</v>
      </c>
      <c r="D2272" t="s">
        <v>5814</v>
      </c>
      <c r="E2272">
        <v>4723</v>
      </c>
      <c r="F2272" t="s">
        <v>23479</v>
      </c>
      <c r="G2272">
        <v>1</v>
      </c>
      <c r="H2272" t="s">
        <v>2166</v>
      </c>
      <c r="J2272" t="s">
        <v>7575</v>
      </c>
      <c r="K2272" t="s">
        <v>170</v>
      </c>
      <c r="L2272" t="s">
        <v>33</v>
      </c>
      <c r="M2272" t="s">
        <v>7576</v>
      </c>
      <c r="N2272" t="s">
        <v>7580</v>
      </c>
      <c r="O2272" t="s">
        <v>7581</v>
      </c>
      <c r="P2272" s="2" t="s">
        <v>165</v>
      </c>
      <c r="Q2272" t="s">
        <v>1012</v>
      </c>
      <c r="R2272">
        <v>4.34</v>
      </c>
      <c r="S2272">
        <v>4.34</v>
      </c>
      <c r="T2272" t="s">
        <v>167</v>
      </c>
    </row>
    <row r="2273" spans="1:20" x14ac:dyDescent="0.25">
      <c r="A2273" s="1" t="str">
        <f>HYPERLINK("https://vegkart.atlas.vegvesen.no/#/@-34712.2,6570287.6,18/hva:hva%5B0%5D%5Bfilter%5D%5B0%5D%5Boperator%5D=%21%3D&amp;hva%5B0%5D%5Bfilter%5D%5B0%5D%5Btype_id%5D=4723&amp;hva%5B0%5D%5Bfilter%5D%5B0%5D%5Bverdi%5D=&amp;hva%5B0%5D%5Bid%5D=15/når:2021-08-03", "Vegkart")</f>
        <v>Vegkart</v>
      </c>
      <c r="B2273">
        <v>1013889729</v>
      </c>
      <c r="C2273">
        <v>15</v>
      </c>
      <c r="D2273" t="s">
        <v>5814</v>
      </c>
      <c r="E2273">
        <v>4723</v>
      </c>
      <c r="F2273" t="s">
        <v>23479</v>
      </c>
      <c r="G2273">
        <v>1</v>
      </c>
      <c r="H2273" t="s">
        <v>2166</v>
      </c>
      <c r="J2273" t="s">
        <v>7575</v>
      </c>
      <c r="K2273" t="s">
        <v>170</v>
      </c>
      <c r="L2273" t="s">
        <v>22</v>
      </c>
      <c r="M2273" t="s">
        <v>2167</v>
      </c>
      <c r="N2273" t="s">
        <v>7582</v>
      </c>
      <c r="O2273" t="s">
        <v>7583</v>
      </c>
      <c r="P2273" s="2" t="s">
        <v>165</v>
      </c>
      <c r="Q2273" t="s">
        <v>1012</v>
      </c>
      <c r="R2273">
        <v>1.33</v>
      </c>
      <c r="S2273">
        <v>1.33</v>
      </c>
      <c r="T2273" t="s">
        <v>167</v>
      </c>
    </row>
    <row r="2274" spans="1:20" x14ac:dyDescent="0.25">
      <c r="A2274" s="1" t="str">
        <f>HYPERLINK("https://vegkart.atlas.vegvesen.no/#/@-34702.9,6570269.6,18/hva:hva%5B0%5D%5Bfilter%5D%5B0%5D%5Boperator%5D=%21%3D&amp;hva%5B0%5D%5Bfilter%5D%5B0%5D%5Btype_id%5D=4723&amp;hva%5B0%5D%5Bfilter%5D%5B0%5D%5Bverdi%5D=&amp;hva%5B0%5D%5Bid%5D=15/når:2021-08-03", "Vegkart")</f>
        <v>Vegkart</v>
      </c>
      <c r="B2274">
        <v>1013889730</v>
      </c>
      <c r="C2274">
        <v>15</v>
      </c>
      <c r="D2274" t="s">
        <v>5814</v>
      </c>
      <c r="E2274">
        <v>4723</v>
      </c>
      <c r="F2274" t="s">
        <v>23479</v>
      </c>
      <c r="G2274">
        <v>1</v>
      </c>
      <c r="H2274" t="s">
        <v>2166</v>
      </c>
      <c r="J2274" t="s">
        <v>7575</v>
      </c>
      <c r="K2274" t="s">
        <v>170</v>
      </c>
      <c r="L2274" t="s">
        <v>22</v>
      </c>
      <c r="M2274" t="s">
        <v>2167</v>
      </c>
      <c r="N2274" t="s">
        <v>7584</v>
      </c>
      <c r="O2274" t="s">
        <v>7585</v>
      </c>
      <c r="P2274" s="2" t="s">
        <v>67</v>
      </c>
      <c r="Q2274" t="s">
        <v>68</v>
      </c>
      <c r="R2274">
        <v>35.799999999999997</v>
      </c>
      <c r="S2274">
        <v>36.020000000000003</v>
      </c>
      <c r="T2274" t="s">
        <v>7586</v>
      </c>
    </row>
    <row r="2275" spans="1:20" x14ac:dyDescent="0.25">
      <c r="A2275" s="1" t="str">
        <f>HYPERLINK("https://vegkart.atlas.vegvesen.no/#/@-34698.4,6570252.3,18/hva:hva%5B0%5D%5Bfilter%5D%5B0%5D%5Boperator%5D=%21%3D&amp;hva%5B0%5D%5Bfilter%5D%5B0%5D%5Btype_id%5D=4723&amp;hva%5B0%5D%5Bfilter%5D%5B0%5D%5Bverdi%5D=&amp;hva%5B0%5D%5Bid%5D=15/når:2021-08-03", "Vegkart")</f>
        <v>Vegkart</v>
      </c>
      <c r="B2275">
        <v>1013889731</v>
      </c>
      <c r="C2275">
        <v>15</v>
      </c>
      <c r="D2275" t="s">
        <v>5814</v>
      </c>
      <c r="E2275">
        <v>4723</v>
      </c>
      <c r="F2275" t="s">
        <v>23479</v>
      </c>
      <c r="G2275">
        <v>1</v>
      </c>
      <c r="H2275" t="s">
        <v>2166</v>
      </c>
      <c r="J2275" t="s">
        <v>7575</v>
      </c>
      <c r="K2275" t="s">
        <v>170</v>
      </c>
      <c r="L2275" t="s">
        <v>33</v>
      </c>
      <c r="M2275" t="s">
        <v>7576</v>
      </c>
      <c r="N2275" t="s">
        <v>7587</v>
      </c>
      <c r="O2275" t="s">
        <v>7588</v>
      </c>
      <c r="P2275" s="2" t="s">
        <v>37</v>
      </c>
      <c r="Q2275" t="s">
        <v>1208</v>
      </c>
      <c r="R2275">
        <v>0.45</v>
      </c>
      <c r="S2275">
        <v>0.55000000000000004</v>
      </c>
      <c r="T2275" t="s">
        <v>7589</v>
      </c>
    </row>
    <row r="2276" spans="1:20" x14ac:dyDescent="0.25">
      <c r="A2276" s="1" t="str">
        <f>HYPERLINK("https://vegkart.atlas.vegvesen.no/#/@995767.1,7841929.1,18/hva:hva%5B0%5D%5Bfilter%5D%5B0%5D%5Boperator%5D=%21%3D&amp;hva%5B0%5D%5Bfilter%5D%5B0%5D%5Btype_id%5D=4723&amp;hva%5B0%5D%5Bfilter%5D%5B0%5D%5Bverdi%5D=&amp;hva%5B0%5D%5Bid%5D=15/når:2021-08-11", "Vegkart")</f>
        <v>Vegkart</v>
      </c>
      <c r="B2276">
        <v>1013911922</v>
      </c>
      <c r="C2276">
        <v>15</v>
      </c>
      <c r="D2276" t="s">
        <v>5814</v>
      </c>
      <c r="E2276">
        <v>4723</v>
      </c>
      <c r="F2276" t="s">
        <v>23479</v>
      </c>
      <c r="G2276">
        <v>1</v>
      </c>
      <c r="H2276" t="s">
        <v>7590</v>
      </c>
      <c r="J2276" t="s">
        <v>7575</v>
      </c>
      <c r="K2276" t="s">
        <v>450</v>
      </c>
      <c r="L2276" t="s">
        <v>80</v>
      </c>
      <c r="M2276" t="s">
        <v>105</v>
      </c>
      <c r="N2276" t="s">
        <v>7591</v>
      </c>
      <c r="O2276" t="s">
        <v>7592</v>
      </c>
      <c r="P2276" s="2" t="s">
        <v>37</v>
      </c>
      <c r="Q2276" t="s">
        <v>1208</v>
      </c>
      <c r="R2276">
        <v>0</v>
      </c>
      <c r="S2276">
        <v>167.94</v>
      </c>
      <c r="T2276" t="s">
        <v>7593</v>
      </c>
    </row>
    <row r="2277" spans="1:20" x14ac:dyDescent="0.25">
      <c r="A2277" s="1" t="str">
        <f>HYPERLINK("https://vegkart.atlas.vegvesen.no/#/@995348.3,7841979.5,18/hva:hva%5B0%5D%5Bfilter%5D%5B0%5D%5Boperator%5D=%21%3D&amp;hva%5B0%5D%5Bfilter%5D%5B0%5D%5Btype_id%5D=4723&amp;hva%5B0%5D%5Bfilter%5D%5B0%5D%5Bverdi%5D=&amp;hva%5B0%5D%5Bid%5D=15/når:2021-08-11", "Vegkart")</f>
        <v>Vegkart</v>
      </c>
      <c r="B2277">
        <v>1013911925</v>
      </c>
      <c r="C2277">
        <v>15</v>
      </c>
      <c r="D2277" t="s">
        <v>5814</v>
      </c>
      <c r="E2277">
        <v>4723</v>
      </c>
      <c r="F2277" t="s">
        <v>23479</v>
      </c>
      <c r="G2277">
        <v>1</v>
      </c>
      <c r="H2277" t="s">
        <v>7590</v>
      </c>
      <c r="J2277" t="s">
        <v>7575</v>
      </c>
      <c r="K2277" t="s">
        <v>450</v>
      </c>
      <c r="L2277" t="s">
        <v>33</v>
      </c>
      <c r="M2277" t="s">
        <v>1278</v>
      </c>
      <c r="N2277" t="s">
        <v>7594</v>
      </c>
      <c r="O2277" t="s">
        <v>7595</v>
      </c>
      <c r="P2277" s="2" t="s">
        <v>37</v>
      </c>
      <c r="Q2277" t="s">
        <v>1208</v>
      </c>
      <c r="R2277">
        <v>0</v>
      </c>
      <c r="S2277">
        <v>263.52999999999997</v>
      </c>
      <c r="T2277" t="s">
        <v>7596</v>
      </c>
    </row>
    <row r="2278" spans="1:20" x14ac:dyDescent="0.25">
      <c r="A2278" s="1" t="str">
        <f>HYPERLINK("https://vegkart.atlas.vegvesen.no/#/@995788.1,7842023.1,18/hva:hva%5B0%5D%5Bfilter%5D%5B0%5D%5Boperator%5D=%21%3D&amp;hva%5B0%5D%5Bfilter%5D%5B0%5D%5Btype_id%5D=4723&amp;hva%5B0%5D%5Bfilter%5D%5B0%5D%5Bverdi%5D=&amp;hva%5B0%5D%5Bid%5D=15/når:2021-08-11", "Vegkart")</f>
        <v>Vegkart</v>
      </c>
      <c r="B2278">
        <v>1013911926</v>
      </c>
      <c r="C2278">
        <v>15</v>
      </c>
      <c r="D2278" t="s">
        <v>5814</v>
      </c>
      <c r="E2278">
        <v>4723</v>
      </c>
      <c r="F2278" t="s">
        <v>23479</v>
      </c>
      <c r="G2278">
        <v>1</v>
      </c>
      <c r="H2278" t="s">
        <v>7590</v>
      </c>
      <c r="J2278" t="s">
        <v>7575</v>
      </c>
      <c r="K2278" t="s">
        <v>450</v>
      </c>
      <c r="L2278" t="s">
        <v>80</v>
      </c>
      <c r="M2278" t="s">
        <v>105</v>
      </c>
      <c r="N2278" t="s">
        <v>7597</v>
      </c>
      <c r="O2278" t="s">
        <v>7598</v>
      </c>
      <c r="P2278" s="2" t="s">
        <v>37</v>
      </c>
      <c r="Q2278" t="s">
        <v>1208</v>
      </c>
      <c r="R2278">
        <v>0</v>
      </c>
      <c r="S2278">
        <v>72.03</v>
      </c>
      <c r="T2278" t="s">
        <v>7599</v>
      </c>
    </row>
    <row r="2279" spans="1:20" x14ac:dyDescent="0.25">
      <c r="A2279" s="1" t="str">
        <f>HYPERLINK("https://vegkart.atlas.vegvesen.no/#/@995788.9,7842018.6,18/hva:hva%5B0%5D%5Bfilter%5D%5B0%5D%5Boperator%5D=%21%3D&amp;hva%5B0%5D%5Bfilter%5D%5B0%5D%5Btype_id%5D=4723&amp;hva%5B0%5D%5Bfilter%5D%5B0%5D%5Bverdi%5D=&amp;hva%5B0%5D%5Bid%5D=15/når:2021-08-11", "Vegkart")</f>
        <v>Vegkart</v>
      </c>
      <c r="B2279">
        <v>1013911927</v>
      </c>
      <c r="C2279">
        <v>15</v>
      </c>
      <c r="D2279" t="s">
        <v>5814</v>
      </c>
      <c r="E2279">
        <v>4723</v>
      </c>
      <c r="F2279" t="s">
        <v>23479</v>
      </c>
      <c r="G2279">
        <v>1</v>
      </c>
      <c r="H2279" t="s">
        <v>7590</v>
      </c>
      <c r="J2279" t="s">
        <v>7575</v>
      </c>
      <c r="K2279" t="s">
        <v>450</v>
      </c>
      <c r="L2279" t="s">
        <v>80</v>
      </c>
      <c r="M2279" t="s">
        <v>105</v>
      </c>
      <c r="N2279" t="s">
        <v>7597</v>
      </c>
      <c r="O2279" t="s">
        <v>7600</v>
      </c>
      <c r="P2279" s="2" t="s">
        <v>37</v>
      </c>
      <c r="Q2279" t="s">
        <v>1208</v>
      </c>
      <c r="R2279">
        <v>0</v>
      </c>
      <c r="S2279">
        <v>20.18</v>
      </c>
      <c r="T2279" t="s">
        <v>7601</v>
      </c>
    </row>
    <row r="2280" spans="1:20" x14ac:dyDescent="0.25">
      <c r="A2280" s="1" t="str">
        <f>HYPERLINK("https://vegkart.atlas.vegvesen.no/#/@995789.8,7842013.6,18/hva:hva%5B0%5D%5Bfilter%5D%5B0%5D%5Boperator%5D=%21%3D&amp;hva%5B0%5D%5Bfilter%5D%5B0%5D%5Btype_id%5D=4723&amp;hva%5B0%5D%5Bfilter%5D%5B0%5D%5Bverdi%5D=&amp;hva%5B0%5D%5Bid%5D=15/når:2021-08-11", "Vegkart")</f>
        <v>Vegkart</v>
      </c>
      <c r="B2280">
        <v>1013911928</v>
      </c>
      <c r="C2280">
        <v>15</v>
      </c>
      <c r="D2280" t="s">
        <v>5814</v>
      </c>
      <c r="E2280">
        <v>4723</v>
      </c>
      <c r="F2280" t="s">
        <v>23479</v>
      </c>
      <c r="G2280">
        <v>1</v>
      </c>
      <c r="H2280" t="s">
        <v>7590</v>
      </c>
      <c r="J2280" t="s">
        <v>7575</v>
      </c>
      <c r="K2280" t="s">
        <v>450</v>
      </c>
      <c r="L2280" t="s">
        <v>80</v>
      </c>
      <c r="M2280" t="s">
        <v>105</v>
      </c>
      <c r="N2280" t="s">
        <v>7602</v>
      </c>
      <c r="O2280" t="s">
        <v>7603</v>
      </c>
      <c r="P2280" s="2" t="s">
        <v>37</v>
      </c>
      <c r="Q2280" t="s">
        <v>1208</v>
      </c>
      <c r="R2280">
        <v>0</v>
      </c>
      <c r="S2280">
        <v>45.12</v>
      </c>
      <c r="T2280" t="s">
        <v>7604</v>
      </c>
    </row>
    <row r="2281" spans="1:20" x14ac:dyDescent="0.25">
      <c r="A2281" s="1" t="str">
        <f>HYPERLINK("https://vegkart.atlas.vegvesen.no/#/@995378.7,7841946.7,18/hva:hva%5B0%5D%5Bfilter%5D%5B0%5D%5Boperator%5D=%21%3D&amp;hva%5B0%5D%5Bfilter%5D%5B0%5D%5Btype_id%5D=4723&amp;hva%5B0%5D%5Bfilter%5D%5B0%5D%5Bverdi%5D=&amp;hva%5B0%5D%5Bid%5D=15/når:2021-08-11", "Vegkart")</f>
        <v>Vegkart</v>
      </c>
      <c r="B2281">
        <v>1013911929</v>
      </c>
      <c r="C2281">
        <v>15</v>
      </c>
      <c r="D2281" t="s">
        <v>5814</v>
      </c>
      <c r="E2281">
        <v>4723</v>
      </c>
      <c r="F2281" t="s">
        <v>23479</v>
      </c>
      <c r="G2281">
        <v>1</v>
      </c>
      <c r="H2281" t="s">
        <v>7590</v>
      </c>
      <c r="J2281" t="s">
        <v>7575</v>
      </c>
      <c r="K2281" t="s">
        <v>450</v>
      </c>
      <c r="L2281" t="s">
        <v>80</v>
      </c>
      <c r="M2281" t="s">
        <v>105</v>
      </c>
      <c r="N2281" t="s">
        <v>7605</v>
      </c>
      <c r="O2281" t="s">
        <v>7606</v>
      </c>
      <c r="P2281" s="2" t="s">
        <v>37</v>
      </c>
      <c r="Q2281" t="s">
        <v>1208</v>
      </c>
      <c r="R2281">
        <v>0</v>
      </c>
      <c r="S2281">
        <v>139.16</v>
      </c>
      <c r="T2281" t="s">
        <v>7607</v>
      </c>
    </row>
    <row r="2282" spans="1:20" x14ac:dyDescent="0.25">
      <c r="A2282" s="1" t="str">
        <f>HYPERLINK("https://vegkart.atlas.vegvesen.no/#/@995756.1,7841916.2,18/hva:hva%5B0%5D%5Bfilter%5D%5B0%5D%5Boperator%5D=%21%3D&amp;hva%5B0%5D%5Bfilter%5D%5B0%5D%5Btype_id%5D=4723&amp;hva%5B0%5D%5Bfilter%5D%5B0%5D%5Bverdi%5D=&amp;hva%5B0%5D%5Bid%5D=15/når:2021-08-11", "Vegkart")</f>
        <v>Vegkart</v>
      </c>
      <c r="B2282">
        <v>1013911930</v>
      </c>
      <c r="C2282">
        <v>15</v>
      </c>
      <c r="D2282" t="s">
        <v>5814</v>
      </c>
      <c r="E2282">
        <v>4723</v>
      </c>
      <c r="F2282" t="s">
        <v>23479</v>
      </c>
      <c r="G2282">
        <v>1</v>
      </c>
      <c r="H2282" t="s">
        <v>7590</v>
      </c>
      <c r="J2282" t="s">
        <v>7575</v>
      </c>
      <c r="K2282" t="s">
        <v>450</v>
      </c>
      <c r="L2282" t="s">
        <v>80</v>
      </c>
      <c r="M2282" t="s">
        <v>105</v>
      </c>
      <c r="N2282" t="s">
        <v>7608</v>
      </c>
      <c r="O2282" t="s">
        <v>7609</v>
      </c>
      <c r="P2282" s="2" t="s">
        <v>37</v>
      </c>
      <c r="Q2282" t="s">
        <v>1208</v>
      </c>
      <c r="R2282">
        <v>0</v>
      </c>
      <c r="S2282">
        <v>263.36</v>
      </c>
      <c r="T2282" t="s">
        <v>7610</v>
      </c>
    </row>
    <row r="2283" spans="1:20" x14ac:dyDescent="0.25">
      <c r="A2283" s="1" t="str">
        <f>HYPERLINK("https://vegkart.atlas.vegvesen.no/#/@995379.0,7841946.8,18/hva:hva%5B0%5D%5Bfilter%5D%5B0%5D%5Boperator%5D=%21%3D&amp;hva%5B0%5D%5Bfilter%5D%5B0%5D%5Btype_id%5D=4723&amp;hva%5B0%5D%5Bfilter%5D%5B0%5D%5Bverdi%5D=&amp;hva%5B0%5D%5Bid%5D=15/når:2021-08-11", "Vegkart")</f>
        <v>Vegkart</v>
      </c>
      <c r="B2283">
        <v>1013911931</v>
      </c>
      <c r="C2283">
        <v>15</v>
      </c>
      <c r="D2283" t="s">
        <v>5814</v>
      </c>
      <c r="E2283">
        <v>4723</v>
      </c>
      <c r="F2283" t="s">
        <v>23479</v>
      </c>
      <c r="G2283">
        <v>1</v>
      </c>
      <c r="H2283" t="s">
        <v>7590</v>
      </c>
      <c r="J2283" t="s">
        <v>7575</v>
      </c>
      <c r="K2283" t="s">
        <v>450</v>
      </c>
      <c r="L2283" t="s">
        <v>80</v>
      </c>
      <c r="M2283" t="s">
        <v>105</v>
      </c>
      <c r="N2283" t="s">
        <v>7611</v>
      </c>
      <c r="O2283" t="s">
        <v>7612</v>
      </c>
      <c r="P2283" s="2" t="s">
        <v>165</v>
      </c>
      <c r="Q2283" t="s">
        <v>641</v>
      </c>
      <c r="R2283">
        <v>0</v>
      </c>
      <c r="S2283">
        <v>39.07</v>
      </c>
      <c r="T2283" t="s">
        <v>167</v>
      </c>
    </row>
    <row r="2284" spans="1:20" x14ac:dyDescent="0.25">
      <c r="A2284" s="1" t="str">
        <f>HYPERLINK("https://vegkart.atlas.vegvesen.no/#/@652558.8,7729944.8,18/hva:hva%5B0%5D%5Bfilter%5D%5B0%5D%5Boperator%5D=%21%3D&amp;hva%5B0%5D%5Bfilter%5D%5B0%5D%5Btype_id%5D=4723&amp;hva%5B0%5D%5Bfilter%5D%5B0%5D%5Bverdi%5D=&amp;hva%5B0%5D%5Bid%5D=15/når:2021-09-08", "Vegkart")</f>
        <v>Vegkart</v>
      </c>
      <c r="B2284">
        <v>1013982775</v>
      </c>
      <c r="C2284">
        <v>15</v>
      </c>
      <c r="D2284" t="s">
        <v>5814</v>
      </c>
      <c r="E2284">
        <v>4723</v>
      </c>
      <c r="F2284" t="s">
        <v>23479</v>
      </c>
      <c r="G2284">
        <v>1</v>
      </c>
      <c r="H2284" t="s">
        <v>7613</v>
      </c>
      <c r="J2284" t="s">
        <v>7575</v>
      </c>
      <c r="K2284" t="s">
        <v>179</v>
      </c>
      <c r="L2284" t="s">
        <v>370</v>
      </c>
      <c r="M2284" t="s">
        <v>7614</v>
      </c>
      <c r="N2284" t="s">
        <v>7615</v>
      </c>
      <c r="O2284" t="s">
        <v>7616</v>
      </c>
      <c r="P2284" s="2" t="s">
        <v>37</v>
      </c>
      <c r="Q2284" t="s">
        <v>1208</v>
      </c>
      <c r="R2284">
        <v>0</v>
      </c>
      <c r="S2284">
        <v>122.32</v>
      </c>
      <c r="T2284" t="s">
        <v>7617</v>
      </c>
    </row>
    <row r="2285" spans="1:20" x14ac:dyDescent="0.25">
      <c r="A2285" s="1" t="str">
        <f>HYPERLINK("https://vegkart.atlas.vegvesen.no/#/@652558.0,7729957.4,18/hva:hva%5B0%5D%5Bfilter%5D%5B0%5D%5Boperator%5D=%21%3D&amp;hva%5B0%5D%5Bfilter%5D%5B0%5D%5Btype_id%5D=4723&amp;hva%5B0%5D%5Bfilter%5D%5B0%5D%5Bverdi%5D=&amp;hva%5B0%5D%5Bid%5D=15/når:2021-09-08", "Vegkart")</f>
        <v>Vegkart</v>
      </c>
      <c r="B2285">
        <v>1013982776</v>
      </c>
      <c r="C2285">
        <v>15</v>
      </c>
      <c r="D2285" t="s">
        <v>5814</v>
      </c>
      <c r="E2285">
        <v>4723</v>
      </c>
      <c r="F2285" t="s">
        <v>23479</v>
      </c>
      <c r="G2285">
        <v>1</v>
      </c>
      <c r="H2285" t="s">
        <v>7613</v>
      </c>
      <c r="J2285" t="s">
        <v>7575</v>
      </c>
      <c r="K2285" t="s">
        <v>179</v>
      </c>
      <c r="L2285" t="s">
        <v>370</v>
      </c>
      <c r="M2285" t="s">
        <v>7614</v>
      </c>
      <c r="N2285" t="s">
        <v>7615</v>
      </c>
      <c r="O2285" t="s">
        <v>7618</v>
      </c>
      <c r="P2285" s="2" t="s">
        <v>37</v>
      </c>
      <c r="Q2285" t="s">
        <v>1208</v>
      </c>
      <c r="R2285">
        <v>0</v>
      </c>
      <c r="S2285">
        <v>95.63</v>
      </c>
      <c r="T2285" t="s">
        <v>7619</v>
      </c>
    </row>
    <row r="2286" spans="1:20" x14ac:dyDescent="0.25">
      <c r="A2286" s="1" t="str">
        <f>HYPERLINK("https://vegkart.atlas.vegvesen.no/#/@652663.0,7730001.0,18/hva:hva%5B0%5D%5Bfilter%5D%5B0%5D%5Boperator%5D=%21%3D&amp;hva%5B0%5D%5Bfilter%5D%5B0%5D%5Btype_id%5D=4723&amp;hva%5B0%5D%5Bfilter%5D%5B0%5D%5Bverdi%5D=&amp;hva%5B0%5D%5Bid%5D=15/når:2021-09-08", "Vegkart")</f>
        <v>Vegkart</v>
      </c>
      <c r="B2286">
        <v>1013982777</v>
      </c>
      <c r="C2286">
        <v>15</v>
      </c>
      <c r="D2286" t="s">
        <v>5814</v>
      </c>
      <c r="E2286">
        <v>4723</v>
      </c>
      <c r="F2286" t="s">
        <v>23479</v>
      </c>
      <c r="G2286">
        <v>1</v>
      </c>
      <c r="H2286" t="s">
        <v>7613</v>
      </c>
      <c r="J2286" t="s">
        <v>7575</v>
      </c>
      <c r="K2286" t="s">
        <v>179</v>
      </c>
      <c r="L2286" t="s">
        <v>370</v>
      </c>
      <c r="M2286" t="s">
        <v>7614</v>
      </c>
      <c r="N2286" t="s">
        <v>7615</v>
      </c>
      <c r="O2286" t="s">
        <v>7620</v>
      </c>
      <c r="P2286" s="2" t="s">
        <v>37</v>
      </c>
      <c r="Q2286" t="s">
        <v>1208</v>
      </c>
      <c r="R2286">
        <v>0</v>
      </c>
      <c r="S2286">
        <v>45.14</v>
      </c>
      <c r="T2286" t="s">
        <v>7621</v>
      </c>
    </row>
    <row r="2287" spans="1:20" x14ac:dyDescent="0.25">
      <c r="A2287" s="1" t="str">
        <f>HYPERLINK("https://vegkart.atlas.vegvesen.no/#/@652618.6,7729970.5,18/hva:hva%5B0%5D%5Bfilter%5D%5B0%5D%5Boperator%5D=%21%3D&amp;hva%5B0%5D%5Bfilter%5D%5B0%5D%5Btype_id%5D=4723&amp;hva%5B0%5D%5Bfilter%5D%5B0%5D%5Bverdi%5D=&amp;hva%5B0%5D%5Bid%5D=15/når:2021-09-08", "Vegkart")</f>
        <v>Vegkart</v>
      </c>
      <c r="B2287">
        <v>1013982778</v>
      </c>
      <c r="C2287">
        <v>15</v>
      </c>
      <c r="D2287" t="s">
        <v>5814</v>
      </c>
      <c r="E2287">
        <v>4723</v>
      </c>
      <c r="F2287" t="s">
        <v>23479</v>
      </c>
      <c r="G2287">
        <v>1</v>
      </c>
      <c r="H2287" t="s">
        <v>7613</v>
      </c>
      <c r="J2287" t="s">
        <v>7575</v>
      </c>
      <c r="K2287" t="s">
        <v>179</v>
      </c>
      <c r="L2287" t="s">
        <v>370</v>
      </c>
      <c r="M2287" t="s">
        <v>7614</v>
      </c>
      <c r="N2287" t="s">
        <v>7622</v>
      </c>
      <c r="O2287" t="s">
        <v>7623</v>
      </c>
      <c r="P2287" s="2" t="s">
        <v>37</v>
      </c>
      <c r="Q2287" t="s">
        <v>1208</v>
      </c>
      <c r="R2287">
        <v>0</v>
      </c>
      <c r="S2287">
        <v>232.6</v>
      </c>
      <c r="T2287" t="s">
        <v>7624</v>
      </c>
    </row>
    <row r="2288" spans="1:20" x14ac:dyDescent="0.25">
      <c r="A2288" s="1" t="str">
        <f>HYPERLINK("https://vegkart.atlas.vegvesen.no/#/@652600.3,7730060.2,18/hva:hva%5B0%5D%5Bfilter%5D%5B0%5D%5Boperator%5D=%21%3D&amp;hva%5B0%5D%5Bfilter%5D%5B0%5D%5Btype_id%5D=4723&amp;hva%5B0%5D%5Bfilter%5D%5B0%5D%5Bverdi%5D=&amp;hva%5B0%5D%5Bid%5D=15/når:2021-09-08", "Vegkart")</f>
        <v>Vegkart</v>
      </c>
      <c r="B2288">
        <v>1013982779</v>
      </c>
      <c r="C2288">
        <v>15</v>
      </c>
      <c r="D2288" t="s">
        <v>5814</v>
      </c>
      <c r="E2288">
        <v>4723</v>
      </c>
      <c r="F2288" t="s">
        <v>23479</v>
      </c>
      <c r="G2288">
        <v>1</v>
      </c>
      <c r="H2288" t="s">
        <v>7613</v>
      </c>
      <c r="J2288" t="s">
        <v>7575</v>
      </c>
      <c r="K2288" t="s">
        <v>179</v>
      </c>
      <c r="L2288" t="s">
        <v>370</v>
      </c>
      <c r="M2288" t="s">
        <v>7614</v>
      </c>
      <c r="N2288" t="s">
        <v>7622</v>
      </c>
      <c r="O2288" t="s">
        <v>7625</v>
      </c>
      <c r="P2288" s="2" t="s">
        <v>37</v>
      </c>
      <c r="Q2288" t="s">
        <v>1208</v>
      </c>
      <c r="R2288">
        <v>0</v>
      </c>
      <c r="S2288">
        <v>32.14</v>
      </c>
      <c r="T2288" t="s">
        <v>7626</v>
      </c>
    </row>
    <row r="2289" spans="1:20" x14ac:dyDescent="0.25">
      <c r="A2289" s="1" t="str">
        <f>HYPERLINK("https://vegkart.atlas.vegvesen.no/#/@652613.1,7730046.5,18/hva:hva%5B0%5D%5Bfilter%5D%5B0%5D%5Boperator%5D=%21%3D&amp;hva%5B0%5D%5Bfilter%5D%5B0%5D%5Btype_id%5D=4723&amp;hva%5B0%5D%5Bfilter%5D%5B0%5D%5Bverdi%5D=&amp;hva%5B0%5D%5Bid%5D=15/når:2021-09-08", "Vegkart")</f>
        <v>Vegkart</v>
      </c>
      <c r="B2289">
        <v>1013982780</v>
      </c>
      <c r="C2289">
        <v>15</v>
      </c>
      <c r="D2289" t="s">
        <v>5814</v>
      </c>
      <c r="E2289">
        <v>4723</v>
      </c>
      <c r="F2289" t="s">
        <v>23479</v>
      </c>
      <c r="G2289">
        <v>1</v>
      </c>
      <c r="H2289" t="s">
        <v>7613</v>
      </c>
      <c r="J2289" t="s">
        <v>7575</v>
      </c>
      <c r="K2289" t="s">
        <v>179</v>
      </c>
      <c r="L2289" t="s">
        <v>370</v>
      </c>
      <c r="M2289" t="s">
        <v>7614</v>
      </c>
      <c r="N2289" t="s">
        <v>7622</v>
      </c>
      <c r="O2289" t="s">
        <v>7627</v>
      </c>
      <c r="P2289" s="2" t="s">
        <v>37</v>
      </c>
      <c r="Q2289" t="s">
        <v>1208</v>
      </c>
      <c r="R2289">
        <v>0</v>
      </c>
      <c r="S2289">
        <v>78.489999999999995</v>
      </c>
      <c r="T2289" t="s">
        <v>7628</v>
      </c>
    </row>
    <row r="2290" spans="1:20" x14ac:dyDescent="0.25">
      <c r="A2290" s="1" t="str">
        <f>HYPERLINK("https://vegkart.atlas.vegvesen.no/#/@652556.5,7730102.9,18/hva:hva%5B0%5D%5Bfilter%5D%5B0%5D%5Boperator%5D=%21%3D&amp;hva%5B0%5D%5Bfilter%5D%5B0%5D%5Btype_id%5D=4723&amp;hva%5B0%5D%5Bfilter%5D%5B0%5D%5Bverdi%5D=&amp;hva%5B0%5D%5Bid%5D=15/når:2021-09-08", "Vegkart")</f>
        <v>Vegkart</v>
      </c>
      <c r="B2290">
        <v>1013982781</v>
      </c>
      <c r="C2290">
        <v>15</v>
      </c>
      <c r="D2290" t="s">
        <v>5814</v>
      </c>
      <c r="E2290">
        <v>4723</v>
      </c>
      <c r="F2290" t="s">
        <v>23479</v>
      </c>
      <c r="G2290">
        <v>1</v>
      </c>
      <c r="H2290" t="s">
        <v>7613</v>
      </c>
      <c r="J2290" t="s">
        <v>7575</v>
      </c>
      <c r="K2290" t="s">
        <v>179</v>
      </c>
      <c r="L2290" t="s">
        <v>22</v>
      </c>
      <c r="M2290" t="s">
        <v>7629</v>
      </c>
      <c r="N2290" t="s">
        <v>7630</v>
      </c>
      <c r="O2290" t="s">
        <v>7631</v>
      </c>
      <c r="P2290" s="2" t="s">
        <v>37</v>
      </c>
      <c r="Q2290" t="s">
        <v>1208</v>
      </c>
      <c r="R2290">
        <v>0</v>
      </c>
      <c r="S2290">
        <v>186.78</v>
      </c>
      <c r="T2290" t="s">
        <v>7632</v>
      </c>
    </row>
    <row r="2291" spans="1:20" x14ac:dyDescent="0.25">
      <c r="A2291" s="1" t="str">
        <f>HYPERLINK("https://vegkart.atlas.vegvesen.no/#/@107627.7,6790653.1,18/hva:hva%5B0%5D%5Bfilter%5D%5B0%5D%5Boperator%5D=%21%3D&amp;hva%5B0%5D%5Bfilter%5D%5B0%5D%5Btype_id%5D=4723&amp;hva%5B0%5D%5Bfilter%5D%5B0%5D%5Bverdi%5D=&amp;hva%5B0%5D%5Bid%5D=15/når:2021-09-20", "Vegkart")</f>
        <v>Vegkart</v>
      </c>
      <c r="B2291">
        <v>1014026873</v>
      </c>
      <c r="C2291">
        <v>15</v>
      </c>
      <c r="D2291" t="s">
        <v>5814</v>
      </c>
      <c r="E2291">
        <v>4723</v>
      </c>
      <c r="F2291" t="s">
        <v>23479</v>
      </c>
      <c r="G2291">
        <v>1</v>
      </c>
      <c r="H2291" t="s">
        <v>7633</v>
      </c>
      <c r="J2291" t="s">
        <v>7575</v>
      </c>
      <c r="K2291" t="s">
        <v>21</v>
      </c>
      <c r="L2291" t="s">
        <v>33</v>
      </c>
      <c r="M2291" t="s">
        <v>7634</v>
      </c>
      <c r="N2291" t="s">
        <v>7635</v>
      </c>
      <c r="O2291" t="s">
        <v>7636</v>
      </c>
      <c r="P2291" s="2" t="s">
        <v>67</v>
      </c>
      <c r="Q2291" t="s">
        <v>68</v>
      </c>
      <c r="R2291">
        <v>85.91</v>
      </c>
      <c r="S2291">
        <v>103.57</v>
      </c>
      <c r="T2291" t="s">
        <v>7637</v>
      </c>
    </row>
    <row r="2292" spans="1:20" x14ac:dyDescent="0.25">
      <c r="A2292" s="1" t="str">
        <f>HYPERLINK("https://vegkart.atlas.vegvesen.no/#/@716196.6,7724581.2,18/hva:hva%5B0%5D%5Bfilter%5D%5B0%5D%5Boperator%5D=%21%3D&amp;hva%5B0%5D%5Bfilter%5D%5B0%5D%5Btype_id%5D=4723&amp;hva%5B0%5D%5Bfilter%5D%5B0%5D%5Bverdi%5D=&amp;hva%5B0%5D%5Bid%5D=15/når:2021-09-22", "Vegkart")</f>
        <v>Vegkart</v>
      </c>
      <c r="B2292">
        <v>1014032475</v>
      </c>
      <c r="C2292">
        <v>15</v>
      </c>
      <c r="D2292" t="s">
        <v>5814</v>
      </c>
      <c r="E2292">
        <v>4723</v>
      </c>
      <c r="F2292" t="s">
        <v>23479</v>
      </c>
      <c r="G2292">
        <v>1</v>
      </c>
      <c r="H2292" t="s">
        <v>7638</v>
      </c>
      <c r="J2292" t="s">
        <v>7575</v>
      </c>
      <c r="K2292" t="s">
        <v>179</v>
      </c>
      <c r="L2292" t="s">
        <v>22</v>
      </c>
      <c r="M2292" t="s">
        <v>7639</v>
      </c>
      <c r="N2292" t="s">
        <v>7640</v>
      </c>
      <c r="O2292" t="s">
        <v>7641</v>
      </c>
      <c r="P2292" s="2" t="s">
        <v>37</v>
      </c>
      <c r="Q2292" t="s">
        <v>1208</v>
      </c>
      <c r="R2292">
        <v>0</v>
      </c>
      <c r="S2292">
        <v>37.979999999999997</v>
      </c>
      <c r="T2292" t="s">
        <v>7642</v>
      </c>
    </row>
    <row r="2293" spans="1:20" x14ac:dyDescent="0.25">
      <c r="A2293" s="1" t="str">
        <f>HYPERLINK("https://vegkart.atlas.vegvesen.no/#/@716117.7,7724574.6,18/hva:hva%5B0%5D%5Bfilter%5D%5B0%5D%5Boperator%5D=%21%3D&amp;hva%5B0%5D%5Bfilter%5D%5B0%5D%5Btype_id%5D=4723&amp;hva%5B0%5D%5Bfilter%5D%5B0%5D%5Bverdi%5D=&amp;hva%5B0%5D%5Bid%5D=15/når:2021-09-22", "Vegkart")</f>
        <v>Vegkart</v>
      </c>
      <c r="B2293">
        <v>1014032476</v>
      </c>
      <c r="C2293">
        <v>15</v>
      </c>
      <c r="D2293" t="s">
        <v>5814</v>
      </c>
      <c r="E2293">
        <v>4723</v>
      </c>
      <c r="F2293" t="s">
        <v>23479</v>
      </c>
      <c r="G2293">
        <v>1</v>
      </c>
      <c r="H2293" t="s">
        <v>7638</v>
      </c>
      <c r="J2293" t="s">
        <v>7575</v>
      </c>
      <c r="K2293" t="s">
        <v>179</v>
      </c>
      <c r="L2293" t="s">
        <v>22</v>
      </c>
      <c r="M2293" t="s">
        <v>7639</v>
      </c>
      <c r="N2293" t="s">
        <v>7643</v>
      </c>
      <c r="O2293" t="s">
        <v>7644</v>
      </c>
      <c r="P2293" s="2" t="s">
        <v>37</v>
      </c>
      <c r="Q2293" t="s">
        <v>1208</v>
      </c>
      <c r="R2293">
        <v>0</v>
      </c>
      <c r="S2293">
        <v>98.42</v>
      </c>
      <c r="T2293" t="s">
        <v>7645</v>
      </c>
    </row>
    <row r="2294" spans="1:20" x14ac:dyDescent="0.25">
      <c r="A2294" s="1" t="str">
        <f>HYPERLINK("https://vegkart.atlas.vegvesen.no/#/@716116.5,7724542.1,18/hva:hva%5B0%5D%5Bfilter%5D%5B0%5D%5Boperator%5D=%21%3D&amp;hva%5B0%5D%5Bfilter%5D%5B0%5D%5Btype_id%5D=4723&amp;hva%5B0%5D%5Bfilter%5D%5B0%5D%5Bverdi%5D=&amp;hva%5B0%5D%5Bid%5D=15/når:2021-09-22", "Vegkart")</f>
        <v>Vegkart</v>
      </c>
      <c r="B2294">
        <v>1014032477</v>
      </c>
      <c r="C2294">
        <v>15</v>
      </c>
      <c r="D2294" t="s">
        <v>5814</v>
      </c>
      <c r="E2294">
        <v>4723</v>
      </c>
      <c r="F2294" t="s">
        <v>23479</v>
      </c>
      <c r="G2294">
        <v>1</v>
      </c>
      <c r="H2294" t="s">
        <v>7638</v>
      </c>
      <c r="J2294" t="s">
        <v>7575</v>
      </c>
      <c r="K2294" t="s">
        <v>179</v>
      </c>
      <c r="L2294" t="s">
        <v>22</v>
      </c>
      <c r="M2294" t="s">
        <v>7639</v>
      </c>
      <c r="N2294" t="s">
        <v>7646</v>
      </c>
      <c r="O2294" t="s">
        <v>7647</v>
      </c>
      <c r="P2294" s="2" t="s">
        <v>37</v>
      </c>
      <c r="Q2294" t="s">
        <v>1208</v>
      </c>
      <c r="R2294">
        <v>0</v>
      </c>
      <c r="S2294">
        <v>106.85</v>
      </c>
      <c r="T2294" t="s">
        <v>7648</v>
      </c>
    </row>
    <row r="2295" spans="1:20" x14ac:dyDescent="0.25">
      <c r="A2295" s="1" t="str">
        <f>HYPERLINK("https://vegkart.atlas.vegvesen.no/#/@716078.4,7724536.5,18/hva:hva%5B0%5D%5Bfilter%5D%5B0%5D%5Boperator%5D=%21%3D&amp;hva%5B0%5D%5Bfilter%5D%5B0%5D%5Btype_id%5D=4723&amp;hva%5B0%5D%5Bfilter%5D%5B0%5D%5Bverdi%5D=&amp;hva%5B0%5D%5Bid%5D=15/når:2021-09-22", "Vegkart")</f>
        <v>Vegkart</v>
      </c>
      <c r="B2295">
        <v>1014032478</v>
      </c>
      <c r="C2295">
        <v>15</v>
      </c>
      <c r="D2295" t="s">
        <v>5814</v>
      </c>
      <c r="E2295">
        <v>4723</v>
      </c>
      <c r="F2295" t="s">
        <v>23479</v>
      </c>
      <c r="G2295">
        <v>1</v>
      </c>
      <c r="H2295" t="s">
        <v>7638</v>
      </c>
      <c r="J2295" t="s">
        <v>7575</v>
      </c>
      <c r="K2295" t="s">
        <v>179</v>
      </c>
      <c r="L2295" t="s">
        <v>22</v>
      </c>
      <c r="M2295" t="s">
        <v>7639</v>
      </c>
      <c r="N2295" t="s">
        <v>7649</v>
      </c>
      <c r="O2295" t="s">
        <v>7650</v>
      </c>
      <c r="P2295" s="2" t="s">
        <v>37</v>
      </c>
      <c r="Q2295" t="s">
        <v>1208</v>
      </c>
      <c r="R2295">
        <v>0</v>
      </c>
      <c r="S2295">
        <v>56.83</v>
      </c>
      <c r="T2295" t="s">
        <v>7651</v>
      </c>
    </row>
    <row r="2296" spans="1:20" x14ac:dyDescent="0.25">
      <c r="A2296" s="1" t="str">
        <f>HYPERLINK("https://vegkart.atlas.vegvesen.no/#/@716019.2,7724535.0,18/hva:hva%5B0%5D%5Bfilter%5D%5B0%5D%5Boperator%5D=%21%3D&amp;hva%5B0%5D%5Bfilter%5D%5B0%5D%5Btype_id%5D=4723&amp;hva%5B0%5D%5Bfilter%5D%5B0%5D%5Bverdi%5D=&amp;hva%5B0%5D%5Bid%5D=15/når:2021-09-22", "Vegkart")</f>
        <v>Vegkart</v>
      </c>
      <c r="B2296">
        <v>1014032479</v>
      </c>
      <c r="C2296">
        <v>15</v>
      </c>
      <c r="D2296" t="s">
        <v>5814</v>
      </c>
      <c r="E2296">
        <v>4723</v>
      </c>
      <c r="F2296" t="s">
        <v>23479</v>
      </c>
      <c r="G2296">
        <v>1</v>
      </c>
      <c r="H2296" t="s">
        <v>7638</v>
      </c>
      <c r="J2296" t="s">
        <v>7575</v>
      </c>
      <c r="K2296" t="s">
        <v>179</v>
      </c>
      <c r="L2296" t="s">
        <v>22</v>
      </c>
      <c r="M2296" t="s">
        <v>7639</v>
      </c>
      <c r="N2296" t="s">
        <v>7652</v>
      </c>
      <c r="O2296" t="s">
        <v>7653</v>
      </c>
      <c r="P2296" s="2" t="s">
        <v>37</v>
      </c>
      <c r="Q2296" t="s">
        <v>1208</v>
      </c>
      <c r="R2296">
        <v>0</v>
      </c>
      <c r="S2296">
        <v>86.07</v>
      </c>
      <c r="T2296" t="s">
        <v>7654</v>
      </c>
    </row>
    <row r="2297" spans="1:20" x14ac:dyDescent="0.25">
      <c r="A2297" s="1" t="str">
        <f>HYPERLINK("https://vegkart.atlas.vegvesen.no/#/@709559.8,7723663.2,18/hva:hva%5B0%5D%5Bfilter%5D%5B0%5D%5Boperator%5D=%21%3D&amp;hva%5B0%5D%5Bfilter%5D%5B0%5D%5Btype_id%5D=4723&amp;hva%5B0%5D%5Bfilter%5D%5B0%5D%5Bverdi%5D=&amp;hva%5B0%5D%5Bid%5D=15/når:2023-04-13", "Vegkart")</f>
        <v>Vegkart</v>
      </c>
      <c r="B2297">
        <v>1014032480</v>
      </c>
      <c r="C2297">
        <v>15</v>
      </c>
      <c r="D2297" t="s">
        <v>5814</v>
      </c>
      <c r="E2297">
        <v>4723</v>
      </c>
      <c r="F2297" t="s">
        <v>23479</v>
      </c>
      <c r="G2297">
        <v>2</v>
      </c>
      <c r="H2297" t="s">
        <v>7655</v>
      </c>
      <c r="J2297" t="s">
        <v>7575</v>
      </c>
      <c r="K2297" t="s">
        <v>179</v>
      </c>
      <c r="L2297" t="s">
        <v>80</v>
      </c>
      <c r="M2297" t="s">
        <v>105</v>
      </c>
      <c r="N2297" t="s">
        <v>7656</v>
      </c>
      <c r="O2297" t="s">
        <v>7657</v>
      </c>
      <c r="P2297" s="2" t="s">
        <v>37</v>
      </c>
      <c r="Q2297" t="s">
        <v>1208</v>
      </c>
      <c r="R2297">
        <v>0</v>
      </c>
      <c r="S2297">
        <v>150.41999999999999</v>
      </c>
      <c r="T2297" t="s">
        <v>7658</v>
      </c>
    </row>
    <row r="2298" spans="1:20" x14ac:dyDescent="0.25">
      <c r="A2298" s="1" t="str">
        <f>HYPERLINK("https://vegkart.atlas.vegvesen.no/#/@709572.9,7723482.5,18/hva:hva%5B0%5D%5Bfilter%5D%5B0%5D%5Boperator%5D=%21%3D&amp;hva%5B0%5D%5Bfilter%5D%5B0%5D%5Btype_id%5D=4723&amp;hva%5B0%5D%5Bfilter%5D%5B0%5D%5Bverdi%5D=&amp;hva%5B0%5D%5Bid%5D=15/når:2023-04-13", "Vegkart")</f>
        <v>Vegkart</v>
      </c>
      <c r="B2298">
        <v>1014032481</v>
      </c>
      <c r="C2298">
        <v>15</v>
      </c>
      <c r="D2298" t="s">
        <v>5814</v>
      </c>
      <c r="E2298">
        <v>4723</v>
      </c>
      <c r="F2298" t="s">
        <v>23479</v>
      </c>
      <c r="G2298">
        <v>2</v>
      </c>
      <c r="H2298" t="s">
        <v>7655</v>
      </c>
      <c r="J2298" t="s">
        <v>7575</v>
      </c>
      <c r="K2298" t="s">
        <v>179</v>
      </c>
      <c r="L2298" t="s">
        <v>80</v>
      </c>
      <c r="M2298" t="s">
        <v>105</v>
      </c>
      <c r="N2298" t="s">
        <v>7659</v>
      </c>
      <c r="O2298" t="s">
        <v>7660</v>
      </c>
      <c r="P2298" s="2" t="s">
        <v>67</v>
      </c>
      <c r="Q2298" t="s">
        <v>68</v>
      </c>
      <c r="R2298">
        <v>4.03</v>
      </c>
      <c r="S2298">
        <v>473.75</v>
      </c>
      <c r="T2298" t="s">
        <v>7661</v>
      </c>
    </row>
    <row r="2299" spans="1:20" x14ac:dyDescent="0.25">
      <c r="A2299" s="1" t="str">
        <f>HYPERLINK("https://vegkart.atlas.vegvesen.no/#/@715899.6,7724530.9,18/hva:hva%5B0%5D%5Bfilter%5D%5B0%5D%5Boperator%5D=%21%3D&amp;hva%5B0%5D%5Bfilter%5D%5B0%5D%5Btype_id%5D=4723&amp;hva%5B0%5D%5Bfilter%5D%5B0%5D%5Bverdi%5D=&amp;hva%5B0%5D%5Bid%5D=15/når:2021-09-22", "Vegkart")</f>
        <v>Vegkart</v>
      </c>
      <c r="B2299">
        <v>1014032482</v>
      </c>
      <c r="C2299">
        <v>15</v>
      </c>
      <c r="D2299" t="s">
        <v>5814</v>
      </c>
      <c r="E2299">
        <v>4723</v>
      </c>
      <c r="F2299" t="s">
        <v>23479</v>
      </c>
      <c r="G2299">
        <v>1</v>
      </c>
      <c r="H2299" t="s">
        <v>7638</v>
      </c>
      <c r="J2299" t="s">
        <v>7575</v>
      </c>
      <c r="K2299" t="s">
        <v>179</v>
      </c>
      <c r="L2299" t="s">
        <v>22</v>
      </c>
      <c r="M2299" t="s">
        <v>7639</v>
      </c>
      <c r="N2299" t="s">
        <v>7662</v>
      </c>
      <c r="O2299" t="s">
        <v>7663</v>
      </c>
      <c r="P2299" s="2" t="s">
        <v>37</v>
      </c>
      <c r="Q2299" t="s">
        <v>1208</v>
      </c>
      <c r="R2299">
        <v>0</v>
      </c>
      <c r="S2299">
        <v>198.5</v>
      </c>
      <c r="T2299" t="s">
        <v>7664</v>
      </c>
    </row>
    <row r="2300" spans="1:20" x14ac:dyDescent="0.25">
      <c r="A2300" s="1" t="str">
        <f>HYPERLINK("https://vegkart.atlas.vegvesen.no/#/@709564.7,7723534.8,18/hva:hva%5B0%5D%5Bfilter%5D%5B0%5D%5Boperator%5D=%21%3D&amp;hva%5B0%5D%5Bfilter%5D%5B0%5D%5Btype_id%5D=4723&amp;hva%5B0%5D%5Bfilter%5D%5B0%5D%5Bverdi%5D=&amp;hva%5B0%5D%5Bid%5D=15/når:2021-09-22", "Vegkart")</f>
        <v>Vegkart</v>
      </c>
      <c r="B2300">
        <v>1014032483</v>
      </c>
      <c r="C2300">
        <v>15</v>
      </c>
      <c r="D2300" t="s">
        <v>5814</v>
      </c>
      <c r="E2300">
        <v>4723</v>
      </c>
      <c r="F2300" t="s">
        <v>23479</v>
      </c>
      <c r="G2300">
        <v>1</v>
      </c>
      <c r="H2300" t="s">
        <v>7638</v>
      </c>
      <c r="J2300" t="s">
        <v>7575</v>
      </c>
      <c r="K2300" t="s">
        <v>179</v>
      </c>
      <c r="L2300" t="s">
        <v>80</v>
      </c>
      <c r="M2300" t="s">
        <v>105</v>
      </c>
      <c r="N2300" t="s">
        <v>7665</v>
      </c>
      <c r="O2300" t="s">
        <v>7666</v>
      </c>
      <c r="P2300" s="2" t="s">
        <v>165</v>
      </c>
      <c r="Q2300" t="s">
        <v>1012</v>
      </c>
      <c r="R2300">
        <v>1.01</v>
      </c>
      <c r="S2300">
        <v>1.01</v>
      </c>
      <c r="T2300" t="s">
        <v>167</v>
      </c>
    </row>
    <row r="2301" spans="1:20" x14ac:dyDescent="0.25">
      <c r="A2301" s="1" t="str">
        <f>HYPERLINK("https://vegkart.atlas.vegvesen.no/#/@709549.2,7723574.9,18/hva:hva%5B0%5D%5Bfilter%5D%5B0%5D%5Boperator%5D=%21%3D&amp;hva%5B0%5D%5Bfilter%5D%5B0%5D%5Btype_id%5D=4723&amp;hva%5B0%5D%5Bfilter%5D%5B0%5D%5Bverdi%5D=&amp;hva%5B0%5D%5Bid%5D=15/når:2023-04-13", "Vegkart")</f>
        <v>Vegkart</v>
      </c>
      <c r="B2301">
        <v>1014032484</v>
      </c>
      <c r="C2301">
        <v>15</v>
      </c>
      <c r="D2301" t="s">
        <v>5814</v>
      </c>
      <c r="E2301">
        <v>4723</v>
      </c>
      <c r="F2301" t="s">
        <v>23479</v>
      </c>
      <c r="G2301">
        <v>2</v>
      </c>
      <c r="H2301" t="s">
        <v>7655</v>
      </c>
      <c r="J2301" t="s">
        <v>7575</v>
      </c>
      <c r="K2301" t="s">
        <v>179</v>
      </c>
      <c r="L2301" t="s">
        <v>80</v>
      </c>
      <c r="M2301" t="s">
        <v>105</v>
      </c>
      <c r="N2301" t="s">
        <v>7667</v>
      </c>
      <c r="O2301" t="s">
        <v>7668</v>
      </c>
      <c r="P2301" s="2" t="s">
        <v>37</v>
      </c>
      <c r="Q2301" t="s">
        <v>1208</v>
      </c>
      <c r="R2301">
        <v>0</v>
      </c>
      <c r="S2301">
        <v>95.99</v>
      </c>
      <c r="T2301" t="s">
        <v>7669</v>
      </c>
    </row>
    <row r="2302" spans="1:20" x14ac:dyDescent="0.25">
      <c r="A2302" s="1" t="str">
        <f>HYPERLINK("https://vegkart.atlas.vegvesen.no/#/@716250.4,7724561.9,18/hva:hva%5B0%5D%5Bfilter%5D%5B0%5D%5Boperator%5D=%21%3D&amp;hva%5B0%5D%5Bfilter%5D%5B0%5D%5Btype_id%5D=4723&amp;hva%5B0%5D%5Bfilter%5D%5B0%5D%5Bverdi%5D=&amp;hva%5B0%5D%5Bid%5D=15/når:2021-09-22", "Vegkart")</f>
        <v>Vegkart</v>
      </c>
      <c r="B2302">
        <v>1014032485</v>
      </c>
      <c r="C2302">
        <v>15</v>
      </c>
      <c r="D2302" t="s">
        <v>5814</v>
      </c>
      <c r="E2302">
        <v>4723</v>
      </c>
      <c r="F2302" t="s">
        <v>23479</v>
      </c>
      <c r="G2302">
        <v>1</v>
      </c>
      <c r="H2302" t="s">
        <v>7638</v>
      </c>
      <c r="J2302" t="s">
        <v>7575</v>
      </c>
      <c r="K2302" t="s">
        <v>179</v>
      </c>
      <c r="L2302" t="s">
        <v>22</v>
      </c>
      <c r="M2302" t="s">
        <v>7639</v>
      </c>
      <c r="N2302" t="s">
        <v>7670</v>
      </c>
      <c r="O2302" t="s">
        <v>7671</v>
      </c>
      <c r="P2302" s="2" t="s">
        <v>37</v>
      </c>
      <c r="Q2302" t="s">
        <v>1208</v>
      </c>
      <c r="R2302">
        <v>0</v>
      </c>
      <c r="S2302">
        <v>167.95</v>
      </c>
      <c r="T2302" t="s">
        <v>7672</v>
      </c>
    </row>
    <row r="2303" spans="1:20" x14ac:dyDescent="0.25">
      <c r="A2303" s="1" t="str">
        <f>HYPERLINK("https://vegkart.atlas.vegvesen.no/#/@716365.5,7724802.6,18/hva:hva%5B0%5D%5Bfilter%5D%5B0%5D%5Boperator%5D=%21%3D&amp;hva%5B0%5D%5Bfilter%5D%5B0%5D%5Btype_id%5D=4723&amp;hva%5B0%5D%5Bfilter%5D%5B0%5D%5Bverdi%5D=&amp;hva%5B0%5D%5Bid%5D=15/når:2021-09-22", "Vegkart")</f>
        <v>Vegkart</v>
      </c>
      <c r="B2303">
        <v>1014032486</v>
      </c>
      <c r="C2303">
        <v>15</v>
      </c>
      <c r="D2303" t="s">
        <v>5814</v>
      </c>
      <c r="E2303">
        <v>4723</v>
      </c>
      <c r="F2303" t="s">
        <v>23479</v>
      </c>
      <c r="G2303">
        <v>1</v>
      </c>
      <c r="H2303" t="s">
        <v>7638</v>
      </c>
      <c r="J2303" t="s">
        <v>7575</v>
      </c>
      <c r="K2303" t="s">
        <v>179</v>
      </c>
      <c r="L2303" t="s">
        <v>80</v>
      </c>
      <c r="M2303" t="s">
        <v>105</v>
      </c>
      <c r="N2303" t="s">
        <v>7673</v>
      </c>
      <c r="O2303" t="s">
        <v>7674</v>
      </c>
      <c r="P2303" s="2" t="s">
        <v>37</v>
      </c>
      <c r="Q2303" t="s">
        <v>1208</v>
      </c>
      <c r="R2303">
        <v>0</v>
      </c>
      <c r="S2303">
        <v>244.9</v>
      </c>
      <c r="T2303" t="s">
        <v>7675</v>
      </c>
    </row>
    <row r="2304" spans="1:20" x14ac:dyDescent="0.25">
      <c r="A2304" s="1" t="str">
        <f>HYPERLINK("https://vegkart.atlas.vegvesen.no/#/@715957.3,7724574.3,18/hva:hva%5B0%5D%5Bfilter%5D%5B0%5D%5Boperator%5D=%21%3D&amp;hva%5B0%5D%5Bfilter%5D%5B0%5D%5Btype_id%5D=4723&amp;hva%5B0%5D%5Bfilter%5D%5B0%5D%5Bverdi%5D=&amp;hva%5B0%5D%5Bid%5D=15/når:2021-09-22", "Vegkart")</f>
        <v>Vegkart</v>
      </c>
      <c r="B2304">
        <v>1014032487</v>
      </c>
      <c r="C2304">
        <v>15</v>
      </c>
      <c r="D2304" t="s">
        <v>5814</v>
      </c>
      <c r="E2304">
        <v>4723</v>
      </c>
      <c r="F2304" t="s">
        <v>23479</v>
      </c>
      <c r="G2304">
        <v>1</v>
      </c>
      <c r="H2304" t="s">
        <v>7638</v>
      </c>
      <c r="J2304" t="s">
        <v>7575</v>
      </c>
      <c r="K2304" t="s">
        <v>179</v>
      </c>
      <c r="L2304" t="s">
        <v>80</v>
      </c>
      <c r="M2304" t="s">
        <v>105</v>
      </c>
      <c r="N2304" t="s">
        <v>7676</v>
      </c>
      <c r="O2304" t="s">
        <v>7677</v>
      </c>
      <c r="P2304" s="2" t="s">
        <v>37</v>
      </c>
      <c r="Q2304" t="s">
        <v>1208</v>
      </c>
      <c r="R2304">
        <v>0</v>
      </c>
      <c r="S2304">
        <v>527.35</v>
      </c>
      <c r="T2304" t="s">
        <v>7678</v>
      </c>
    </row>
    <row r="2305" spans="1:20" x14ac:dyDescent="0.25">
      <c r="A2305" s="1" t="str">
        <f>HYPERLINK("https://vegkart.atlas.vegvesen.no/#/@715732.1,7724594.8,18/hva:hva%5B0%5D%5Bfilter%5D%5B0%5D%5Boperator%5D=%21%3D&amp;hva%5B0%5D%5Bfilter%5D%5B0%5D%5Btype_id%5D=4723&amp;hva%5B0%5D%5Bfilter%5D%5B0%5D%5Bverdi%5D=&amp;hva%5B0%5D%5Bid%5D=15/når:2021-09-22", "Vegkart")</f>
        <v>Vegkart</v>
      </c>
      <c r="B2305">
        <v>1014032488</v>
      </c>
      <c r="C2305">
        <v>15</v>
      </c>
      <c r="D2305" t="s">
        <v>5814</v>
      </c>
      <c r="E2305">
        <v>4723</v>
      </c>
      <c r="F2305" t="s">
        <v>23479</v>
      </c>
      <c r="G2305">
        <v>1</v>
      </c>
      <c r="H2305" t="s">
        <v>7638</v>
      </c>
      <c r="J2305" t="s">
        <v>7575</v>
      </c>
      <c r="K2305" t="s">
        <v>179</v>
      </c>
      <c r="L2305" t="s">
        <v>80</v>
      </c>
      <c r="M2305" t="s">
        <v>105</v>
      </c>
      <c r="N2305" t="s">
        <v>7679</v>
      </c>
      <c r="O2305" t="s">
        <v>7680</v>
      </c>
      <c r="P2305" s="2" t="s">
        <v>37</v>
      </c>
      <c r="Q2305" t="s">
        <v>1208</v>
      </c>
      <c r="R2305">
        <v>0</v>
      </c>
      <c r="S2305">
        <v>688.95</v>
      </c>
      <c r="T2305" t="s">
        <v>7681</v>
      </c>
    </row>
    <row r="2306" spans="1:20" x14ac:dyDescent="0.25">
      <c r="A2306" s="1" t="str">
        <f>HYPERLINK("https://vegkart.atlas.vegvesen.no/#/@715437.4,7726283.1,18/hva:hva%5B0%5D%5Bfilter%5D%5B0%5D%5Boperator%5D=%21%3D&amp;hva%5B0%5D%5Bfilter%5D%5B0%5D%5Btype_id%5D=4723&amp;hva%5B0%5D%5Bfilter%5D%5B0%5D%5Bverdi%5D=&amp;hva%5B0%5D%5Bid%5D=15/når:2021-09-22", "Vegkart")</f>
        <v>Vegkart</v>
      </c>
      <c r="B2306">
        <v>1014032489</v>
      </c>
      <c r="C2306">
        <v>15</v>
      </c>
      <c r="D2306" t="s">
        <v>5814</v>
      </c>
      <c r="E2306">
        <v>4723</v>
      </c>
      <c r="F2306" t="s">
        <v>23479</v>
      </c>
      <c r="G2306">
        <v>1</v>
      </c>
      <c r="H2306" t="s">
        <v>7638</v>
      </c>
      <c r="J2306" t="s">
        <v>7682</v>
      </c>
      <c r="K2306" t="s">
        <v>179</v>
      </c>
      <c r="L2306" t="s">
        <v>80</v>
      </c>
      <c r="M2306" t="s">
        <v>105</v>
      </c>
      <c r="N2306" t="s">
        <v>7683</v>
      </c>
      <c r="O2306" t="s">
        <v>7684</v>
      </c>
      <c r="P2306" s="2" t="s">
        <v>37</v>
      </c>
      <c r="Q2306" t="s">
        <v>1208</v>
      </c>
      <c r="R2306">
        <v>0</v>
      </c>
      <c r="S2306">
        <v>149.55000000000001</v>
      </c>
      <c r="T2306" t="s">
        <v>7685</v>
      </c>
    </row>
    <row r="2307" spans="1:20" x14ac:dyDescent="0.25">
      <c r="A2307" s="1" t="str">
        <f>HYPERLINK("https://vegkart.atlas.vegvesen.no/#/@715426.1,7726281.6,18/hva:hva%5B0%5D%5Bfilter%5D%5B0%5D%5Boperator%5D=%21%3D&amp;hva%5B0%5D%5Bfilter%5D%5B0%5D%5Btype_id%5D=4723&amp;hva%5B0%5D%5Bfilter%5D%5B0%5D%5Bverdi%5D=&amp;hva%5B0%5D%5Bid%5D=15/når:2021-09-22", "Vegkart")</f>
        <v>Vegkart</v>
      </c>
      <c r="B2307">
        <v>1014032490</v>
      </c>
      <c r="C2307">
        <v>15</v>
      </c>
      <c r="D2307" t="s">
        <v>5814</v>
      </c>
      <c r="E2307">
        <v>4723</v>
      </c>
      <c r="F2307" t="s">
        <v>23479</v>
      </c>
      <c r="G2307">
        <v>1</v>
      </c>
      <c r="H2307" t="s">
        <v>7638</v>
      </c>
      <c r="J2307" t="s">
        <v>7682</v>
      </c>
      <c r="K2307" t="s">
        <v>179</v>
      </c>
      <c r="L2307" t="s">
        <v>80</v>
      </c>
      <c r="M2307" t="s">
        <v>105</v>
      </c>
      <c r="N2307" t="s">
        <v>7686</v>
      </c>
      <c r="O2307" t="s">
        <v>7687</v>
      </c>
      <c r="P2307" s="2" t="s">
        <v>37</v>
      </c>
      <c r="Q2307" t="s">
        <v>1208</v>
      </c>
      <c r="R2307">
        <v>0</v>
      </c>
      <c r="S2307">
        <v>124.95</v>
      </c>
      <c r="T2307" t="s">
        <v>7688</v>
      </c>
    </row>
    <row r="2308" spans="1:20" x14ac:dyDescent="0.25">
      <c r="A2308" s="1" t="str">
        <f>HYPERLINK("https://vegkart.atlas.vegvesen.no/#/@715734.0,7724537.2,18/hva:hva%5B0%5D%5Bfilter%5D%5B0%5D%5Boperator%5D=%21%3D&amp;hva%5B0%5D%5Bfilter%5D%5B0%5D%5Btype_id%5D=4723&amp;hva%5B0%5D%5Bfilter%5D%5B0%5D%5Bverdi%5D=&amp;hva%5B0%5D%5Bid%5D=15/når:2021-09-22", "Vegkart")</f>
        <v>Vegkart</v>
      </c>
      <c r="B2308">
        <v>1014032491</v>
      </c>
      <c r="C2308">
        <v>15</v>
      </c>
      <c r="D2308" t="s">
        <v>5814</v>
      </c>
      <c r="E2308">
        <v>4723</v>
      </c>
      <c r="F2308" t="s">
        <v>23479</v>
      </c>
      <c r="G2308">
        <v>1</v>
      </c>
      <c r="H2308" t="s">
        <v>7638</v>
      </c>
      <c r="J2308" t="s">
        <v>7575</v>
      </c>
      <c r="K2308" t="s">
        <v>179</v>
      </c>
      <c r="L2308" t="s">
        <v>22</v>
      </c>
      <c r="M2308" t="s">
        <v>7639</v>
      </c>
      <c r="N2308" t="s">
        <v>7689</v>
      </c>
      <c r="O2308" t="s">
        <v>7690</v>
      </c>
      <c r="P2308" s="2" t="s">
        <v>165</v>
      </c>
      <c r="Q2308" t="s">
        <v>641</v>
      </c>
      <c r="R2308">
        <v>0</v>
      </c>
      <c r="S2308">
        <v>572.97</v>
      </c>
      <c r="T2308" t="s">
        <v>167</v>
      </c>
    </row>
    <row r="2309" spans="1:20" x14ac:dyDescent="0.25">
      <c r="A2309" s="1" t="str">
        <f>HYPERLINK("https://vegkart.atlas.vegvesen.no/#/@715464.0,7726072.3,18/hva:hva%5B0%5D%5Bfilter%5D%5B0%5D%5Boperator%5D=%21%3D&amp;hva%5B0%5D%5Bfilter%5D%5B0%5D%5Btype_id%5D=4723&amp;hva%5B0%5D%5Bfilter%5D%5B0%5D%5Bverdi%5D=&amp;hva%5B0%5D%5Bid%5D=15/når:2021-09-22", "Vegkart")</f>
        <v>Vegkart</v>
      </c>
      <c r="B2309">
        <v>1014032492</v>
      </c>
      <c r="C2309">
        <v>15</v>
      </c>
      <c r="D2309" t="s">
        <v>5814</v>
      </c>
      <c r="E2309">
        <v>4723</v>
      </c>
      <c r="F2309" t="s">
        <v>23479</v>
      </c>
      <c r="G2309">
        <v>1</v>
      </c>
      <c r="H2309" t="s">
        <v>7638</v>
      </c>
      <c r="J2309" t="s">
        <v>7682</v>
      </c>
      <c r="K2309" t="s">
        <v>179</v>
      </c>
      <c r="L2309" t="s">
        <v>22</v>
      </c>
      <c r="M2309" t="s">
        <v>7691</v>
      </c>
      <c r="N2309" t="s">
        <v>7692</v>
      </c>
      <c r="O2309" t="s">
        <v>7693</v>
      </c>
      <c r="P2309" s="2" t="s">
        <v>37</v>
      </c>
      <c r="Q2309" t="s">
        <v>1208</v>
      </c>
      <c r="R2309">
        <v>0</v>
      </c>
      <c r="S2309">
        <v>747.39</v>
      </c>
      <c r="T2309" t="s">
        <v>7694</v>
      </c>
    </row>
    <row r="2310" spans="1:20" x14ac:dyDescent="0.25">
      <c r="A2310" s="1" t="str">
        <f>HYPERLINK("https://vegkart.atlas.vegvesen.no/#/@715487.8,7725994.2,18/hva:hva%5B0%5D%5Bfilter%5D%5B0%5D%5Boperator%5D=%21%3D&amp;hva%5B0%5D%5Bfilter%5D%5B0%5D%5Btype_id%5D=4723&amp;hva%5B0%5D%5Bfilter%5D%5B0%5D%5Bverdi%5D=&amp;hva%5B0%5D%5Bid%5D=15/når:2021-09-22", "Vegkart")</f>
        <v>Vegkart</v>
      </c>
      <c r="B2310">
        <v>1014032493</v>
      </c>
      <c r="C2310">
        <v>15</v>
      </c>
      <c r="D2310" t="s">
        <v>5814</v>
      </c>
      <c r="E2310">
        <v>4723</v>
      </c>
      <c r="F2310" t="s">
        <v>23479</v>
      </c>
      <c r="G2310">
        <v>1</v>
      </c>
      <c r="H2310" t="s">
        <v>7638</v>
      </c>
      <c r="J2310" t="s">
        <v>7682</v>
      </c>
      <c r="K2310" t="s">
        <v>179</v>
      </c>
      <c r="L2310" t="s">
        <v>22</v>
      </c>
      <c r="M2310" t="s">
        <v>7691</v>
      </c>
      <c r="N2310" t="s">
        <v>7695</v>
      </c>
      <c r="O2310" t="s">
        <v>7696</v>
      </c>
      <c r="P2310" s="2" t="s">
        <v>37</v>
      </c>
      <c r="Q2310" t="s">
        <v>1208</v>
      </c>
      <c r="R2310">
        <v>0</v>
      </c>
      <c r="S2310">
        <v>29.59</v>
      </c>
      <c r="T2310" t="s">
        <v>7697</v>
      </c>
    </row>
    <row r="2311" spans="1:20" x14ac:dyDescent="0.25">
      <c r="A2311" s="1" t="str">
        <f>HYPERLINK("https://vegkart.atlas.vegvesen.no/#/@715488.8,7725975.2,18/hva:hva%5B0%5D%5Bfilter%5D%5B0%5D%5Boperator%5D=%21%3D&amp;hva%5B0%5D%5Bfilter%5D%5B0%5D%5Btype_id%5D=4723&amp;hva%5B0%5D%5Bfilter%5D%5B0%5D%5Bverdi%5D=&amp;hva%5B0%5D%5Bid%5D=15/når:2021-09-22", "Vegkart")</f>
        <v>Vegkart</v>
      </c>
      <c r="B2311">
        <v>1014032494</v>
      </c>
      <c r="C2311">
        <v>15</v>
      </c>
      <c r="D2311" t="s">
        <v>5814</v>
      </c>
      <c r="E2311">
        <v>4723</v>
      </c>
      <c r="F2311" t="s">
        <v>23479</v>
      </c>
      <c r="G2311">
        <v>1</v>
      </c>
      <c r="H2311" t="s">
        <v>7638</v>
      </c>
      <c r="J2311" t="s">
        <v>7682</v>
      </c>
      <c r="K2311" t="s">
        <v>179</v>
      </c>
      <c r="L2311" t="s">
        <v>22</v>
      </c>
      <c r="M2311" t="s">
        <v>7691</v>
      </c>
      <c r="N2311" t="s">
        <v>7698</v>
      </c>
      <c r="O2311" t="s">
        <v>7699</v>
      </c>
      <c r="P2311" s="2" t="s">
        <v>37</v>
      </c>
      <c r="Q2311" t="s">
        <v>1208</v>
      </c>
      <c r="R2311">
        <v>0</v>
      </c>
      <c r="S2311">
        <v>61.89</v>
      </c>
      <c r="T2311" t="s">
        <v>7700</v>
      </c>
    </row>
    <row r="2312" spans="1:20" x14ac:dyDescent="0.25">
      <c r="A2312" s="1" t="str">
        <f>HYPERLINK("https://vegkart.atlas.vegvesen.no/#/@715494.3,7725902.6,18/hva:hva%5B0%5D%5Bfilter%5D%5B0%5D%5Boperator%5D=%21%3D&amp;hva%5B0%5D%5Bfilter%5D%5B0%5D%5Btype_id%5D=4723&amp;hva%5B0%5D%5Bfilter%5D%5B0%5D%5Bverdi%5D=&amp;hva%5B0%5D%5Bid%5D=15/når:2021-09-22", "Vegkart")</f>
        <v>Vegkart</v>
      </c>
      <c r="B2312">
        <v>1014032495</v>
      </c>
      <c r="C2312">
        <v>15</v>
      </c>
      <c r="D2312" t="s">
        <v>5814</v>
      </c>
      <c r="E2312">
        <v>4723</v>
      </c>
      <c r="F2312" t="s">
        <v>23479</v>
      </c>
      <c r="G2312">
        <v>1</v>
      </c>
      <c r="H2312" t="s">
        <v>7638</v>
      </c>
      <c r="J2312" t="s">
        <v>7682</v>
      </c>
      <c r="K2312" t="s">
        <v>179</v>
      </c>
      <c r="L2312" t="s">
        <v>22</v>
      </c>
      <c r="M2312" t="s">
        <v>7691</v>
      </c>
      <c r="N2312" t="s">
        <v>7701</v>
      </c>
      <c r="O2312" t="s">
        <v>7702</v>
      </c>
      <c r="P2312" s="2" t="s">
        <v>37</v>
      </c>
      <c r="Q2312" t="s">
        <v>1208</v>
      </c>
      <c r="R2312">
        <v>0</v>
      </c>
      <c r="S2312">
        <v>21.74</v>
      </c>
      <c r="T2312" t="s">
        <v>7703</v>
      </c>
    </row>
    <row r="2313" spans="1:20" x14ac:dyDescent="0.25">
      <c r="A2313" s="1" t="str">
        <f>HYPERLINK("https://vegkart.atlas.vegvesen.no/#/@715483.3,7725862.0,18/hva:hva%5B0%5D%5Bfilter%5D%5B0%5D%5Boperator%5D=%21%3D&amp;hva%5B0%5D%5Bfilter%5D%5B0%5D%5Btype_id%5D=4723&amp;hva%5B0%5D%5Bfilter%5D%5B0%5D%5Bverdi%5D=&amp;hva%5B0%5D%5Bid%5D=15/når:2021-09-22", "Vegkart")</f>
        <v>Vegkart</v>
      </c>
      <c r="B2313">
        <v>1014032496</v>
      </c>
      <c r="C2313">
        <v>15</v>
      </c>
      <c r="D2313" t="s">
        <v>5814</v>
      </c>
      <c r="E2313">
        <v>4723</v>
      </c>
      <c r="F2313" t="s">
        <v>23479</v>
      </c>
      <c r="G2313">
        <v>1</v>
      </c>
      <c r="H2313" t="s">
        <v>7638</v>
      </c>
      <c r="J2313" t="s">
        <v>7682</v>
      </c>
      <c r="K2313" t="s">
        <v>179</v>
      </c>
      <c r="L2313" t="s">
        <v>22</v>
      </c>
      <c r="M2313" t="s">
        <v>7691</v>
      </c>
      <c r="N2313" t="s">
        <v>7704</v>
      </c>
      <c r="O2313" t="s">
        <v>7705</v>
      </c>
      <c r="P2313" s="2" t="s">
        <v>37</v>
      </c>
      <c r="Q2313" t="s">
        <v>1208</v>
      </c>
      <c r="R2313">
        <v>0</v>
      </c>
      <c r="S2313">
        <v>75.66</v>
      </c>
      <c r="T2313" t="s">
        <v>7706</v>
      </c>
    </row>
    <row r="2314" spans="1:20" x14ac:dyDescent="0.25">
      <c r="A2314" s="1" t="str">
        <f>HYPERLINK("https://vegkart.atlas.vegvesen.no/#/@715483.2,7725829.2,18/hva:hva%5B0%5D%5Bfilter%5D%5B0%5D%5Boperator%5D=%21%3D&amp;hva%5B0%5D%5Bfilter%5D%5B0%5D%5Btype_id%5D=4723&amp;hva%5B0%5D%5Bfilter%5D%5B0%5D%5Bverdi%5D=&amp;hva%5B0%5D%5Bid%5D=15/når:2021-09-22", "Vegkart")</f>
        <v>Vegkart</v>
      </c>
      <c r="B2314">
        <v>1014032497</v>
      </c>
      <c r="C2314">
        <v>15</v>
      </c>
      <c r="D2314" t="s">
        <v>5814</v>
      </c>
      <c r="E2314">
        <v>4723</v>
      </c>
      <c r="F2314" t="s">
        <v>23479</v>
      </c>
      <c r="G2314">
        <v>1</v>
      </c>
      <c r="H2314" t="s">
        <v>7638</v>
      </c>
      <c r="J2314" t="s">
        <v>7682</v>
      </c>
      <c r="K2314" t="s">
        <v>179</v>
      </c>
      <c r="L2314" t="s">
        <v>22</v>
      </c>
      <c r="M2314" t="s">
        <v>7691</v>
      </c>
      <c r="N2314" t="s">
        <v>7707</v>
      </c>
      <c r="O2314" t="s">
        <v>7708</v>
      </c>
      <c r="P2314" s="2" t="s">
        <v>37</v>
      </c>
      <c r="Q2314" t="s">
        <v>1208</v>
      </c>
      <c r="R2314">
        <v>0</v>
      </c>
      <c r="S2314">
        <v>57.44</v>
      </c>
      <c r="T2314" t="s">
        <v>7709</v>
      </c>
    </row>
    <row r="2315" spans="1:20" x14ac:dyDescent="0.25">
      <c r="A2315" s="1" t="str">
        <f>HYPERLINK("https://vegkart.atlas.vegvesen.no/#/@715485.0,7725755.2,18/hva:hva%5B0%5D%5Bfilter%5D%5B0%5D%5Boperator%5D=%21%3D&amp;hva%5B0%5D%5Bfilter%5D%5B0%5D%5Btype_id%5D=4723&amp;hva%5B0%5D%5Bfilter%5D%5B0%5D%5Bverdi%5D=&amp;hva%5B0%5D%5Bid%5D=15/når:2021-09-22", "Vegkart")</f>
        <v>Vegkart</v>
      </c>
      <c r="B2315">
        <v>1014032498</v>
      </c>
      <c r="C2315">
        <v>15</v>
      </c>
      <c r="D2315" t="s">
        <v>5814</v>
      </c>
      <c r="E2315">
        <v>4723</v>
      </c>
      <c r="F2315" t="s">
        <v>23479</v>
      </c>
      <c r="G2315">
        <v>1</v>
      </c>
      <c r="H2315" t="s">
        <v>7638</v>
      </c>
      <c r="J2315" t="s">
        <v>7682</v>
      </c>
      <c r="K2315" t="s">
        <v>179</v>
      </c>
      <c r="L2315" t="s">
        <v>22</v>
      </c>
      <c r="M2315" t="s">
        <v>7691</v>
      </c>
      <c r="N2315" t="s">
        <v>7710</v>
      </c>
      <c r="O2315" t="s">
        <v>7711</v>
      </c>
      <c r="P2315" s="2" t="s">
        <v>37</v>
      </c>
      <c r="Q2315" t="s">
        <v>1208</v>
      </c>
      <c r="R2315">
        <v>0</v>
      </c>
      <c r="S2315">
        <v>236.65</v>
      </c>
      <c r="T2315" t="s">
        <v>7712</v>
      </c>
    </row>
    <row r="2316" spans="1:20" x14ac:dyDescent="0.25">
      <c r="A2316" s="1" t="str">
        <f>HYPERLINK("https://vegkart.atlas.vegvesen.no/#/@715495.3,7725714.0,18/hva:hva%5B0%5D%5Bfilter%5D%5B0%5D%5Boperator%5D=%21%3D&amp;hva%5B0%5D%5Bfilter%5D%5B0%5D%5Btype_id%5D=4723&amp;hva%5B0%5D%5Bfilter%5D%5B0%5D%5Bverdi%5D=&amp;hva%5B0%5D%5Bid%5D=15/når:2021-09-22", "Vegkart")</f>
        <v>Vegkart</v>
      </c>
      <c r="B2316">
        <v>1014032499</v>
      </c>
      <c r="C2316">
        <v>15</v>
      </c>
      <c r="D2316" t="s">
        <v>5814</v>
      </c>
      <c r="E2316">
        <v>4723</v>
      </c>
      <c r="F2316" t="s">
        <v>23479</v>
      </c>
      <c r="G2316">
        <v>1</v>
      </c>
      <c r="H2316" t="s">
        <v>7638</v>
      </c>
      <c r="J2316" t="s">
        <v>7682</v>
      </c>
      <c r="K2316" t="s">
        <v>179</v>
      </c>
      <c r="L2316" t="s">
        <v>22</v>
      </c>
      <c r="M2316" t="s">
        <v>7691</v>
      </c>
      <c r="N2316" t="s">
        <v>7713</v>
      </c>
      <c r="O2316" t="s">
        <v>7714</v>
      </c>
      <c r="P2316" s="2" t="s">
        <v>37</v>
      </c>
      <c r="Q2316" t="s">
        <v>1208</v>
      </c>
      <c r="R2316">
        <v>0</v>
      </c>
      <c r="S2316">
        <v>66.38</v>
      </c>
      <c r="T2316" t="s">
        <v>7715</v>
      </c>
    </row>
    <row r="2317" spans="1:20" x14ac:dyDescent="0.25">
      <c r="A2317" s="1" t="str">
        <f>HYPERLINK("https://vegkart.atlas.vegvesen.no/#/@715489.2,7725683.7,18/hva:hva%5B0%5D%5Bfilter%5D%5B0%5D%5Boperator%5D=%21%3D&amp;hva%5B0%5D%5Bfilter%5D%5B0%5D%5Btype_id%5D=4723&amp;hva%5B0%5D%5Bfilter%5D%5B0%5D%5Bverdi%5D=&amp;hva%5B0%5D%5Bid%5D=15/når:2021-09-22", "Vegkart")</f>
        <v>Vegkart</v>
      </c>
      <c r="B2317">
        <v>1014032500</v>
      </c>
      <c r="C2317">
        <v>15</v>
      </c>
      <c r="D2317" t="s">
        <v>5814</v>
      </c>
      <c r="E2317">
        <v>4723</v>
      </c>
      <c r="F2317" t="s">
        <v>23479</v>
      </c>
      <c r="G2317">
        <v>1</v>
      </c>
      <c r="H2317" t="s">
        <v>7638</v>
      </c>
      <c r="J2317" t="s">
        <v>7682</v>
      </c>
      <c r="K2317" t="s">
        <v>179</v>
      </c>
      <c r="L2317" t="s">
        <v>22</v>
      </c>
      <c r="M2317" t="s">
        <v>7691</v>
      </c>
      <c r="N2317" t="s">
        <v>7716</v>
      </c>
      <c r="O2317" t="s">
        <v>7717</v>
      </c>
      <c r="P2317" s="2" t="s">
        <v>37</v>
      </c>
      <c r="Q2317" t="s">
        <v>1208</v>
      </c>
      <c r="R2317">
        <v>0</v>
      </c>
      <c r="S2317">
        <v>43.94</v>
      </c>
      <c r="T2317" t="s">
        <v>7718</v>
      </c>
    </row>
    <row r="2318" spans="1:20" x14ac:dyDescent="0.25">
      <c r="A2318" s="1" t="str">
        <f>HYPERLINK("https://vegkart.atlas.vegvesen.no/#/@715502.3,7725681.5,18/hva:hva%5B0%5D%5Bfilter%5D%5B0%5D%5Boperator%5D=%21%3D&amp;hva%5B0%5D%5Bfilter%5D%5B0%5D%5Btype_id%5D=4723&amp;hva%5B0%5D%5Bfilter%5D%5B0%5D%5Bverdi%5D=&amp;hva%5B0%5D%5Bid%5D=15/når:2021-09-22", "Vegkart")</f>
        <v>Vegkart</v>
      </c>
      <c r="B2318">
        <v>1014032501</v>
      </c>
      <c r="C2318">
        <v>15</v>
      </c>
      <c r="D2318" t="s">
        <v>5814</v>
      </c>
      <c r="E2318">
        <v>4723</v>
      </c>
      <c r="F2318" t="s">
        <v>23479</v>
      </c>
      <c r="G2318">
        <v>1</v>
      </c>
      <c r="H2318" t="s">
        <v>7638</v>
      </c>
      <c r="J2318" t="s">
        <v>7682</v>
      </c>
      <c r="K2318" t="s">
        <v>179</v>
      </c>
      <c r="L2318" t="s">
        <v>22</v>
      </c>
      <c r="M2318" t="s">
        <v>7691</v>
      </c>
      <c r="N2318" t="s">
        <v>7719</v>
      </c>
      <c r="O2318" t="s">
        <v>7720</v>
      </c>
      <c r="P2318" s="2" t="s">
        <v>37</v>
      </c>
      <c r="Q2318" t="s">
        <v>1208</v>
      </c>
      <c r="R2318">
        <v>0</v>
      </c>
      <c r="S2318">
        <v>39.409999999999997</v>
      </c>
      <c r="T2318" t="s">
        <v>7721</v>
      </c>
    </row>
    <row r="2319" spans="1:20" x14ac:dyDescent="0.25">
      <c r="A2319" s="1" t="str">
        <f>HYPERLINK("https://vegkart.atlas.vegvesen.no/#/@716185.6,7724611.0,18/hva:hva%5B0%5D%5Bfilter%5D%5B0%5D%5Boperator%5D=%21%3D&amp;hva%5B0%5D%5Bfilter%5D%5B0%5D%5Btype_id%5D=4723&amp;hva%5B0%5D%5Bfilter%5D%5B0%5D%5Bverdi%5D=&amp;hva%5B0%5D%5Bid%5D=15/når:2021-09-22", "Vegkart")</f>
        <v>Vegkart</v>
      </c>
      <c r="B2319">
        <v>1014032502</v>
      </c>
      <c r="C2319">
        <v>15</v>
      </c>
      <c r="D2319" t="s">
        <v>5814</v>
      </c>
      <c r="E2319">
        <v>4723</v>
      </c>
      <c r="F2319" t="s">
        <v>23479</v>
      </c>
      <c r="G2319">
        <v>1</v>
      </c>
      <c r="H2319" t="s">
        <v>7638</v>
      </c>
      <c r="J2319" t="s">
        <v>7575</v>
      </c>
      <c r="K2319" t="s">
        <v>179</v>
      </c>
      <c r="L2319" t="s">
        <v>80</v>
      </c>
      <c r="M2319" t="s">
        <v>105</v>
      </c>
      <c r="N2319" t="s">
        <v>7722</v>
      </c>
      <c r="O2319" t="s">
        <v>7723</v>
      </c>
      <c r="P2319" s="2" t="s">
        <v>37</v>
      </c>
      <c r="Q2319" t="s">
        <v>1208</v>
      </c>
      <c r="R2319">
        <v>0</v>
      </c>
      <c r="S2319">
        <v>406.22</v>
      </c>
      <c r="T2319" t="s">
        <v>7724</v>
      </c>
    </row>
    <row r="2320" spans="1:20" x14ac:dyDescent="0.25">
      <c r="A2320" s="1" t="str">
        <f>HYPERLINK("https://vegkart.atlas.vegvesen.no/#/@715495.1,7725626.0,18/hva:hva%5B0%5D%5Bfilter%5D%5B0%5D%5Boperator%5D=%21%3D&amp;hva%5B0%5D%5Bfilter%5D%5B0%5D%5Btype_id%5D=4723&amp;hva%5B0%5D%5Bfilter%5D%5B0%5D%5Bverdi%5D=&amp;hva%5B0%5D%5Bid%5D=15/når:2021-09-22", "Vegkart")</f>
        <v>Vegkart</v>
      </c>
      <c r="B2320">
        <v>1014032503</v>
      </c>
      <c r="C2320">
        <v>15</v>
      </c>
      <c r="D2320" t="s">
        <v>5814</v>
      </c>
      <c r="E2320">
        <v>4723</v>
      </c>
      <c r="F2320" t="s">
        <v>23479</v>
      </c>
      <c r="G2320">
        <v>1</v>
      </c>
      <c r="H2320" t="s">
        <v>7638</v>
      </c>
      <c r="J2320" t="s">
        <v>7682</v>
      </c>
      <c r="K2320" t="s">
        <v>179</v>
      </c>
      <c r="L2320" t="s">
        <v>22</v>
      </c>
      <c r="M2320" t="s">
        <v>7691</v>
      </c>
      <c r="N2320" t="s">
        <v>7725</v>
      </c>
      <c r="O2320" t="s">
        <v>7726</v>
      </c>
      <c r="P2320" s="2" t="s">
        <v>37</v>
      </c>
      <c r="Q2320" t="s">
        <v>1208</v>
      </c>
      <c r="R2320">
        <v>0</v>
      </c>
      <c r="S2320">
        <v>188.44</v>
      </c>
      <c r="T2320" t="s">
        <v>7727</v>
      </c>
    </row>
    <row r="2321" spans="1:20" x14ac:dyDescent="0.25">
      <c r="A2321" s="1" t="str">
        <f>HYPERLINK("https://vegkart.atlas.vegvesen.no/#/@715497.8,7725553.2,18/hva:hva%5B0%5D%5Bfilter%5D%5B0%5D%5Boperator%5D=%21%3D&amp;hva%5B0%5D%5Bfilter%5D%5B0%5D%5Btype_id%5D=4723&amp;hva%5B0%5D%5Bfilter%5D%5B0%5D%5Bverdi%5D=&amp;hva%5B0%5D%5Bid%5D=15/når:2021-09-22", "Vegkart")</f>
        <v>Vegkart</v>
      </c>
      <c r="B2321">
        <v>1014032504</v>
      </c>
      <c r="C2321">
        <v>15</v>
      </c>
      <c r="D2321" t="s">
        <v>5814</v>
      </c>
      <c r="E2321">
        <v>4723</v>
      </c>
      <c r="F2321" t="s">
        <v>23479</v>
      </c>
      <c r="G2321">
        <v>1</v>
      </c>
      <c r="H2321" t="s">
        <v>7638</v>
      </c>
      <c r="J2321" t="s">
        <v>7682</v>
      </c>
      <c r="K2321" t="s">
        <v>179</v>
      </c>
      <c r="L2321" t="s">
        <v>22</v>
      </c>
      <c r="M2321" t="s">
        <v>7691</v>
      </c>
      <c r="N2321" t="s">
        <v>7728</v>
      </c>
      <c r="O2321" t="s">
        <v>7729</v>
      </c>
      <c r="P2321" s="2" t="s">
        <v>37</v>
      </c>
      <c r="Q2321" t="s">
        <v>1208</v>
      </c>
      <c r="R2321">
        <v>0</v>
      </c>
      <c r="S2321">
        <v>50.39</v>
      </c>
      <c r="T2321" t="s">
        <v>7730</v>
      </c>
    </row>
    <row r="2322" spans="1:20" x14ac:dyDescent="0.25">
      <c r="A2322" s="1" t="str">
        <f>HYPERLINK("https://vegkart.atlas.vegvesen.no/#/@715732.1,7724594.8,18/hva:hva%5B0%5D%5Bfilter%5D%5B0%5D%5Boperator%5D=%21%3D&amp;hva%5B0%5D%5Bfilter%5D%5B0%5D%5Btype_id%5D=4723&amp;hva%5B0%5D%5Bfilter%5D%5B0%5D%5Bverdi%5D=&amp;hva%5B0%5D%5Bid%5D=15/når:2021-09-22", "Vegkart")</f>
        <v>Vegkart</v>
      </c>
      <c r="B2322">
        <v>1014032505</v>
      </c>
      <c r="C2322">
        <v>15</v>
      </c>
      <c r="D2322" t="s">
        <v>5814</v>
      </c>
      <c r="E2322">
        <v>4723</v>
      </c>
      <c r="F2322" t="s">
        <v>23479</v>
      </c>
      <c r="G2322">
        <v>1</v>
      </c>
      <c r="H2322" t="s">
        <v>7638</v>
      </c>
      <c r="J2322" t="s">
        <v>7575</v>
      </c>
      <c r="K2322" t="s">
        <v>179</v>
      </c>
      <c r="L2322" t="s">
        <v>80</v>
      </c>
      <c r="M2322" t="s">
        <v>105</v>
      </c>
      <c r="N2322" t="s">
        <v>7679</v>
      </c>
      <c r="O2322" t="s">
        <v>7731</v>
      </c>
      <c r="P2322" s="2" t="s">
        <v>37</v>
      </c>
      <c r="Q2322" t="s">
        <v>1208</v>
      </c>
      <c r="R2322">
        <v>0</v>
      </c>
      <c r="S2322">
        <v>688.95</v>
      </c>
      <c r="T2322" t="s">
        <v>7732</v>
      </c>
    </row>
    <row r="2323" spans="1:20" x14ac:dyDescent="0.25">
      <c r="A2323" s="1" t="str">
        <f>HYPERLINK("https://vegkart.atlas.vegvesen.no/#/@716265.9,7724540.1,18/hva:hva%5B0%5D%5Bfilter%5D%5B0%5D%5Boperator%5D=%21%3D&amp;hva%5B0%5D%5Bfilter%5D%5B0%5D%5Btype_id%5D=4723&amp;hva%5B0%5D%5Bfilter%5D%5B0%5D%5Bverdi%5D=&amp;hva%5B0%5D%5Bid%5D=15/når:2021-09-22", "Vegkart")</f>
        <v>Vegkart</v>
      </c>
      <c r="B2323">
        <v>1014032506</v>
      </c>
      <c r="C2323">
        <v>15</v>
      </c>
      <c r="D2323" t="s">
        <v>5814</v>
      </c>
      <c r="E2323">
        <v>4723</v>
      </c>
      <c r="F2323" t="s">
        <v>23479</v>
      </c>
      <c r="G2323">
        <v>1</v>
      </c>
      <c r="H2323" t="s">
        <v>7638</v>
      </c>
      <c r="J2323" t="s">
        <v>7575</v>
      </c>
      <c r="K2323" t="s">
        <v>179</v>
      </c>
      <c r="L2323" t="s">
        <v>22</v>
      </c>
      <c r="M2323" t="s">
        <v>7639</v>
      </c>
      <c r="N2323" t="s">
        <v>7733</v>
      </c>
      <c r="O2323" t="s">
        <v>7734</v>
      </c>
      <c r="P2323" s="2" t="s">
        <v>37</v>
      </c>
      <c r="Q2323" t="s">
        <v>1208</v>
      </c>
      <c r="R2323">
        <v>0</v>
      </c>
      <c r="S2323">
        <v>107.25</v>
      </c>
      <c r="T2323" t="s">
        <v>7735</v>
      </c>
    </row>
    <row r="2324" spans="1:20" x14ac:dyDescent="0.25">
      <c r="A2324" s="1" t="str">
        <f>HYPERLINK("https://vegkart.atlas.vegvesen.no/#/@716338.8,7724745.5,18/hva:hva%5B0%5D%5Bfilter%5D%5B0%5D%5Boperator%5D=%21%3D&amp;hva%5B0%5D%5Bfilter%5D%5B0%5D%5Btype_id%5D=4723&amp;hva%5B0%5D%5Bfilter%5D%5B0%5D%5Bverdi%5D=&amp;hva%5B0%5D%5Bid%5D=15/når:2021-09-22", "Vegkart")</f>
        <v>Vegkart</v>
      </c>
      <c r="B2324">
        <v>1014032507</v>
      </c>
      <c r="C2324">
        <v>15</v>
      </c>
      <c r="D2324" t="s">
        <v>5814</v>
      </c>
      <c r="E2324">
        <v>4723</v>
      </c>
      <c r="F2324" t="s">
        <v>23479</v>
      </c>
      <c r="G2324">
        <v>1</v>
      </c>
      <c r="H2324" t="s">
        <v>7638</v>
      </c>
      <c r="J2324" t="s">
        <v>7575</v>
      </c>
      <c r="K2324" t="s">
        <v>179</v>
      </c>
      <c r="L2324" t="s">
        <v>80</v>
      </c>
      <c r="M2324" t="s">
        <v>105</v>
      </c>
      <c r="N2324" t="s">
        <v>7736</v>
      </c>
      <c r="O2324" t="s">
        <v>7737</v>
      </c>
      <c r="P2324" s="2" t="s">
        <v>37</v>
      </c>
      <c r="Q2324" t="s">
        <v>1208</v>
      </c>
      <c r="R2324">
        <v>0</v>
      </c>
      <c r="S2324">
        <v>490.97</v>
      </c>
      <c r="T2324" t="s">
        <v>7738</v>
      </c>
    </row>
    <row r="2325" spans="1:20" x14ac:dyDescent="0.25">
      <c r="A2325" s="1" t="str">
        <f>HYPERLINK("https://vegkart.atlas.vegvesen.no/#/@716311.1,7724687.8,18/hva:hva%5B0%5D%5Bfilter%5D%5B0%5D%5Boperator%5D=%21%3D&amp;hva%5B0%5D%5Bfilter%5D%5B0%5D%5Btype_id%5D=4723&amp;hva%5B0%5D%5Bfilter%5D%5B0%5D%5Bverdi%5D=&amp;hva%5B0%5D%5Bid%5D=15/når:2021-09-22", "Vegkart")</f>
        <v>Vegkart</v>
      </c>
      <c r="B2325">
        <v>1014032508</v>
      </c>
      <c r="C2325">
        <v>15</v>
      </c>
      <c r="D2325" t="s">
        <v>5814</v>
      </c>
      <c r="E2325">
        <v>4723</v>
      </c>
      <c r="F2325" t="s">
        <v>23479</v>
      </c>
      <c r="G2325">
        <v>1</v>
      </c>
      <c r="H2325" t="s">
        <v>7638</v>
      </c>
      <c r="J2325" t="s">
        <v>7575</v>
      </c>
      <c r="K2325" t="s">
        <v>179</v>
      </c>
      <c r="L2325" t="s">
        <v>80</v>
      </c>
      <c r="M2325" t="s">
        <v>105</v>
      </c>
      <c r="N2325" t="s">
        <v>7739</v>
      </c>
      <c r="O2325" t="s">
        <v>7740</v>
      </c>
      <c r="P2325" s="2" t="s">
        <v>37</v>
      </c>
      <c r="Q2325" t="s">
        <v>1208</v>
      </c>
      <c r="R2325">
        <v>0</v>
      </c>
      <c r="S2325">
        <v>166.16</v>
      </c>
      <c r="T2325" t="s">
        <v>7741</v>
      </c>
    </row>
    <row r="2326" spans="1:20" x14ac:dyDescent="0.25">
      <c r="A2326" s="1" t="str">
        <f>HYPERLINK("https://vegkart.atlas.vegvesen.no/#/@716290.9,7724637.3,18/hva:hva%5B0%5D%5Bfilter%5D%5B0%5D%5Boperator%5D=%21%3D&amp;hva%5B0%5D%5Bfilter%5D%5B0%5D%5Btype_id%5D=4723&amp;hva%5B0%5D%5Bfilter%5D%5B0%5D%5Bverdi%5D=&amp;hva%5B0%5D%5Bid%5D=15/når:2021-09-22", "Vegkart")</f>
        <v>Vegkart</v>
      </c>
      <c r="B2326">
        <v>1014032509</v>
      </c>
      <c r="C2326">
        <v>15</v>
      </c>
      <c r="D2326" t="s">
        <v>5814</v>
      </c>
      <c r="E2326">
        <v>4723</v>
      </c>
      <c r="F2326" t="s">
        <v>23479</v>
      </c>
      <c r="G2326">
        <v>1</v>
      </c>
      <c r="H2326" t="s">
        <v>7638</v>
      </c>
      <c r="J2326" t="s">
        <v>7575</v>
      </c>
      <c r="K2326" t="s">
        <v>179</v>
      </c>
      <c r="L2326" t="s">
        <v>33</v>
      </c>
      <c r="M2326" t="s">
        <v>7742</v>
      </c>
      <c r="N2326" t="s">
        <v>7743</v>
      </c>
      <c r="O2326" t="s">
        <v>7744</v>
      </c>
      <c r="P2326" s="2" t="s">
        <v>37</v>
      </c>
      <c r="Q2326" t="s">
        <v>1208</v>
      </c>
      <c r="R2326">
        <v>0</v>
      </c>
      <c r="S2326">
        <v>81.25</v>
      </c>
      <c r="T2326" t="s">
        <v>7745</v>
      </c>
    </row>
    <row r="2327" spans="1:20" x14ac:dyDescent="0.25">
      <c r="A2327" s="1" t="str">
        <f>HYPERLINK("https://vegkart.atlas.vegvesen.no/#/@716274.3,7724632.0,18/hva:hva%5B0%5D%5Bfilter%5D%5B0%5D%5Boperator%5D=%21%3D&amp;hva%5B0%5D%5Bfilter%5D%5B0%5D%5Btype_id%5D=4723&amp;hva%5B0%5D%5Bfilter%5D%5B0%5D%5Bverdi%5D=&amp;hva%5B0%5D%5Bid%5D=15/når:2021-09-22", "Vegkart")</f>
        <v>Vegkart</v>
      </c>
      <c r="B2327">
        <v>1014032510</v>
      </c>
      <c r="C2327">
        <v>15</v>
      </c>
      <c r="D2327" t="s">
        <v>5814</v>
      </c>
      <c r="E2327">
        <v>4723</v>
      </c>
      <c r="F2327" t="s">
        <v>23479</v>
      </c>
      <c r="G2327">
        <v>1</v>
      </c>
      <c r="H2327" t="s">
        <v>7638</v>
      </c>
      <c r="J2327" t="s">
        <v>7575</v>
      </c>
      <c r="K2327" t="s">
        <v>179</v>
      </c>
      <c r="L2327" t="s">
        <v>80</v>
      </c>
      <c r="M2327" t="s">
        <v>105</v>
      </c>
      <c r="N2327" t="s">
        <v>7746</v>
      </c>
      <c r="O2327" t="s">
        <v>7747</v>
      </c>
      <c r="P2327" s="2" t="s">
        <v>37</v>
      </c>
      <c r="Q2327" t="s">
        <v>1208</v>
      </c>
      <c r="R2327">
        <v>0</v>
      </c>
      <c r="S2327">
        <v>51.15</v>
      </c>
      <c r="T2327" t="s">
        <v>7748</v>
      </c>
    </row>
    <row r="2328" spans="1:20" x14ac:dyDescent="0.25">
      <c r="A2328" s="1" t="str">
        <f>HYPERLINK("https://vegkart.atlas.vegvesen.no/#/@715451.8,7725157.9,18/hva:hva%5B0%5D%5Bfilter%5D%5B0%5D%5Boperator%5D=%21%3D&amp;hva%5B0%5D%5Bfilter%5D%5B0%5D%5Btype_id%5D=4723&amp;hva%5B0%5D%5Bfilter%5D%5B0%5D%5Bverdi%5D=&amp;hva%5B0%5D%5Bid%5D=15/når:2021-09-22", "Vegkart")</f>
        <v>Vegkart</v>
      </c>
      <c r="B2328">
        <v>1014032511</v>
      </c>
      <c r="C2328">
        <v>15</v>
      </c>
      <c r="D2328" t="s">
        <v>5814</v>
      </c>
      <c r="E2328">
        <v>4723</v>
      </c>
      <c r="F2328" t="s">
        <v>23479</v>
      </c>
      <c r="G2328">
        <v>1</v>
      </c>
      <c r="H2328" t="s">
        <v>7638</v>
      </c>
      <c r="J2328" t="s">
        <v>7575</v>
      </c>
      <c r="K2328" t="s">
        <v>179</v>
      </c>
      <c r="L2328" t="s">
        <v>22</v>
      </c>
      <c r="M2328" t="s">
        <v>7691</v>
      </c>
      <c r="N2328" t="s">
        <v>7749</v>
      </c>
      <c r="O2328" t="s">
        <v>7750</v>
      </c>
      <c r="P2328" s="2" t="s">
        <v>37</v>
      </c>
      <c r="Q2328" t="s">
        <v>1208</v>
      </c>
      <c r="R2328">
        <v>0</v>
      </c>
      <c r="S2328">
        <v>22.61</v>
      </c>
      <c r="T2328" t="s">
        <v>7751</v>
      </c>
    </row>
    <row r="2329" spans="1:20" x14ac:dyDescent="0.25">
      <c r="A2329" s="1" t="str">
        <f>HYPERLINK("https://vegkart.atlas.vegvesen.no/#/@716225.3,7724552.2,18/hva:hva%5B0%5D%5Bfilter%5D%5B0%5D%5Boperator%5D=%21%3D&amp;hva%5B0%5D%5Bfilter%5D%5B0%5D%5Btype_id%5D=4723&amp;hva%5B0%5D%5Bfilter%5D%5B0%5D%5Bverdi%5D=&amp;hva%5B0%5D%5Bid%5D=15/når:2021-09-22", "Vegkart")</f>
        <v>Vegkart</v>
      </c>
      <c r="B2329">
        <v>1014032512</v>
      </c>
      <c r="C2329">
        <v>15</v>
      </c>
      <c r="D2329" t="s">
        <v>5814</v>
      </c>
      <c r="E2329">
        <v>4723</v>
      </c>
      <c r="F2329" t="s">
        <v>23479</v>
      </c>
      <c r="G2329">
        <v>1</v>
      </c>
      <c r="H2329" t="s">
        <v>7638</v>
      </c>
      <c r="J2329" t="s">
        <v>7575</v>
      </c>
      <c r="K2329" t="s">
        <v>179</v>
      </c>
      <c r="L2329" t="s">
        <v>22</v>
      </c>
      <c r="M2329" t="s">
        <v>7639</v>
      </c>
      <c r="N2329" t="s">
        <v>7752</v>
      </c>
      <c r="O2329" t="s">
        <v>7753</v>
      </c>
      <c r="P2329" s="2" t="s">
        <v>37</v>
      </c>
      <c r="Q2329" t="s">
        <v>1208</v>
      </c>
      <c r="R2329">
        <v>0</v>
      </c>
      <c r="S2329">
        <v>102.4</v>
      </c>
      <c r="T2329" t="s">
        <v>7754</v>
      </c>
    </row>
    <row r="2330" spans="1:20" x14ac:dyDescent="0.25">
      <c r="A2330" s="1" t="str">
        <f>HYPERLINK("https://vegkart.atlas.vegvesen.no/#/@715751.3,7724573.4,18/hva:hva%5B0%5D%5Bfilter%5D%5B0%5D%5Boperator%5D=%21%3D&amp;hva%5B0%5D%5Bfilter%5D%5B0%5D%5Btype_id%5D=4723&amp;hva%5B0%5D%5Bfilter%5D%5B0%5D%5Bverdi%5D=&amp;hva%5B0%5D%5Bid%5D=15/når:2021-09-22", "Vegkart")</f>
        <v>Vegkart</v>
      </c>
      <c r="B2330">
        <v>1014032513</v>
      </c>
      <c r="C2330">
        <v>15</v>
      </c>
      <c r="D2330" t="s">
        <v>5814</v>
      </c>
      <c r="E2330">
        <v>4723</v>
      </c>
      <c r="F2330" t="s">
        <v>23479</v>
      </c>
      <c r="G2330">
        <v>1</v>
      </c>
      <c r="H2330" t="s">
        <v>7638</v>
      </c>
      <c r="J2330" t="s">
        <v>7575</v>
      </c>
      <c r="K2330" t="s">
        <v>179</v>
      </c>
      <c r="L2330" t="s">
        <v>80</v>
      </c>
      <c r="M2330" t="s">
        <v>105</v>
      </c>
      <c r="N2330" t="s">
        <v>7755</v>
      </c>
      <c r="O2330" t="s">
        <v>7756</v>
      </c>
      <c r="P2330" s="2" t="s">
        <v>37</v>
      </c>
      <c r="Q2330" t="s">
        <v>1208</v>
      </c>
      <c r="R2330">
        <v>0</v>
      </c>
      <c r="S2330">
        <v>1496.67</v>
      </c>
      <c r="T2330" t="s">
        <v>7757</v>
      </c>
    </row>
    <row r="2331" spans="1:20" x14ac:dyDescent="0.25">
      <c r="A2331" s="1" t="str">
        <f>HYPERLINK("https://vegkart.atlas.vegvesen.no/#/@809110.0,7783425.6,18/hva:hva%5B0%5D%5Bfilter%5D%5B0%5D%5Boperator%5D=%21%3D&amp;hva%5B0%5D%5Bfilter%5D%5B0%5D%5Btype_id%5D=4723&amp;hva%5B0%5D%5Bfilter%5D%5B0%5D%5Bverdi%5D=&amp;hva%5B0%5D%5Bid%5D=15/når:2021-09-24", "Vegkart")</f>
        <v>Vegkart</v>
      </c>
      <c r="B2331">
        <v>1014039615</v>
      </c>
      <c r="C2331">
        <v>15</v>
      </c>
      <c r="D2331" t="s">
        <v>5814</v>
      </c>
      <c r="E2331">
        <v>4723</v>
      </c>
      <c r="F2331" t="s">
        <v>23479</v>
      </c>
      <c r="G2331">
        <v>1</v>
      </c>
      <c r="H2331" t="s">
        <v>7758</v>
      </c>
      <c r="J2331" t="s">
        <v>7575</v>
      </c>
      <c r="K2331" t="s">
        <v>450</v>
      </c>
      <c r="L2331" t="s">
        <v>80</v>
      </c>
      <c r="M2331" t="s">
        <v>105</v>
      </c>
      <c r="N2331" t="s">
        <v>7759</v>
      </c>
      <c r="O2331" t="s">
        <v>7760</v>
      </c>
      <c r="P2331" s="2" t="s">
        <v>37</v>
      </c>
      <c r="Q2331" t="s">
        <v>1208</v>
      </c>
      <c r="R2331">
        <v>0</v>
      </c>
      <c r="S2331">
        <v>80.08</v>
      </c>
      <c r="T2331" t="s">
        <v>7761</v>
      </c>
    </row>
    <row r="2332" spans="1:20" x14ac:dyDescent="0.25">
      <c r="A2332" s="1" t="str">
        <f>HYPERLINK("https://vegkart.atlas.vegvesen.no/#/@809109.5,7783404.8,18/hva:hva%5B0%5D%5Bfilter%5D%5B0%5D%5Boperator%5D=%21%3D&amp;hva%5B0%5D%5Bfilter%5D%5B0%5D%5Btype_id%5D=4723&amp;hva%5B0%5D%5Bfilter%5D%5B0%5D%5Bverdi%5D=&amp;hva%5B0%5D%5Bid%5D=15/når:2021-09-24", "Vegkart")</f>
        <v>Vegkart</v>
      </c>
      <c r="B2332">
        <v>1014039616</v>
      </c>
      <c r="C2332">
        <v>15</v>
      </c>
      <c r="D2332" t="s">
        <v>5814</v>
      </c>
      <c r="E2332">
        <v>4723</v>
      </c>
      <c r="F2332" t="s">
        <v>23479</v>
      </c>
      <c r="G2332">
        <v>1</v>
      </c>
      <c r="H2332" t="s">
        <v>7758</v>
      </c>
      <c r="J2332" t="s">
        <v>7575</v>
      </c>
      <c r="K2332" t="s">
        <v>450</v>
      </c>
      <c r="L2332" t="s">
        <v>80</v>
      </c>
      <c r="M2332" t="s">
        <v>105</v>
      </c>
      <c r="N2332" t="s">
        <v>7762</v>
      </c>
      <c r="O2332" t="s">
        <v>7763</v>
      </c>
      <c r="P2332" s="2" t="s">
        <v>37</v>
      </c>
      <c r="Q2332" t="s">
        <v>1208</v>
      </c>
      <c r="R2332">
        <v>0</v>
      </c>
      <c r="S2332">
        <v>16.68</v>
      </c>
      <c r="T2332" t="s">
        <v>7764</v>
      </c>
    </row>
    <row r="2333" spans="1:20" x14ac:dyDescent="0.25">
      <c r="A2333" s="1" t="str">
        <f>HYPERLINK("https://vegkart.atlas.vegvesen.no/#/@809116.9,7783401.5,18/hva:hva%5B0%5D%5Bfilter%5D%5B0%5D%5Boperator%5D=%21%3D&amp;hva%5B0%5D%5Bfilter%5D%5B0%5D%5Btype_id%5D=4723&amp;hva%5B0%5D%5Bfilter%5D%5B0%5D%5Bverdi%5D=&amp;hva%5B0%5D%5Bid%5D=15/når:2021-09-24", "Vegkart")</f>
        <v>Vegkart</v>
      </c>
      <c r="B2333">
        <v>1014039617</v>
      </c>
      <c r="C2333">
        <v>15</v>
      </c>
      <c r="D2333" t="s">
        <v>5814</v>
      </c>
      <c r="E2333">
        <v>4723</v>
      </c>
      <c r="F2333" t="s">
        <v>23479</v>
      </c>
      <c r="G2333">
        <v>1</v>
      </c>
      <c r="H2333" t="s">
        <v>7758</v>
      </c>
      <c r="J2333" t="s">
        <v>7575</v>
      </c>
      <c r="K2333" t="s">
        <v>450</v>
      </c>
      <c r="L2333" t="s">
        <v>80</v>
      </c>
      <c r="M2333" t="s">
        <v>105</v>
      </c>
      <c r="N2333" t="s">
        <v>7765</v>
      </c>
      <c r="O2333" t="s">
        <v>7766</v>
      </c>
      <c r="P2333" s="2" t="s">
        <v>37</v>
      </c>
      <c r="Q2333" t="s">
        <v>1208</v>
      </c>
      <c r="R2333">
        <v>0</v>
      </c>
      <c r="S2333">
        <v>21.96</v>
      </c>
      <c r="T2333" t="s">
        <v>7767</v>
      </c>
    </row>
    <row r="2334" spans="1:20" x14ac:dyDescent="0.25">
      <c r="A2334" s="1" t="str">
        <f>HYPERLINK("https://vegkart.atlas.vegvesen.no/#/@809156.9,7783407.7,18/hva:hva%5B0%5D%5Bfilter%5D%5B0%5D%5Boperator%5D=%21%3D&amp;hva%5B0%5D%5Bfilter%5D%5B0%5D%5Btype_id%5D=4723&amp;hva%5B0%5D%5Bfilter%5D%5B0%5D%5Bverdi%5D=&amp;hva%5B0%5D%5Bid%5D=15/når:2021-09-24", "Vegkart")</f>
        <v>Vegkart</v>
      </c>
      <c r="B2334">
        <v>1014039618</v>
      </c>
      <c r="C2334">
        <v>15</v>
      </c>
      <c r="D2334" t="s">
        <v>5814</v>
      </c>
      <c r="E2334">
        <v>4723</v>
      </c>
      <c r="F2334" t="s">
        <v>23479</v>
      </c>
      <c r="G2334">
        <v>1</v>
      </c>
      <c r="H2334" t="s">
        <v>7758</v>
      </c>
      <c r="J2334" t="s">
        <v>7575</v>
      </c>
      <c r="K2334" t="s">
        <v>450</v>
      </c>
      <c r="L2334" t="s">
        <v>80</v>
      </c>
      <c r="M2334" t="s">
        <v>105</v>
      </c>
      <c r="N2334" t="s">
        <v>7768</v>
      </c>
      <c r="O2334" t="s">
        <v>7769</v>
      </c>
      <c r="P2334" s="2" t="s">
        <v>37</v>
      </c>
      <c r="Q2334" t="s">
        <v>1208</v>
      </c>
      <c r="R2334">
        <v>0</v>
      </c>
      <c r="S2334">
        <v>88.23</v>
      </c>
      <c r="T2334" t="s">
        <v>7770</v>
      </c>
    </row>
    <row r="2335" spans="1:20" x14ac:dyDescent="0.25">
      <c r="A2335" s="1" t="str">
        <f>HYPERLINK("https://vegkart.atlas.vegvesen.no/#/@809125.3,7783396.7,18/hva:hva%5B0%5D%5Bfilter%5D%5B0%5D%5Boperator%5D=%21%3D&amp;hva%5B0%5D%5Bfilter%5D%5B0%5D%5Btype_id%5D=4723&amp;hva%5B0%5D%5Bfilter%5D%5B0%5D%5Bverdi%5D=&amp;hva%5B0%5D%5Bid%5D=15/når:2021-09-24", "Vegkart")</f>
        <v>Vegkart</v>
      </c>
      <c r="B2335">
        <v>1014039619</v>
      </c>
      <c r="C2335">
        <v>15</v>
      </c>
      <c r="D2335" t="s">
        <v>5814</v>
      </c>
      <c r="E2335">
        <v>4723</v>
      </c>
      <c r="F2335" t="s">
        <v>23479</v>
      </c>
      <c r="G2335">
        <v>1</v>
      </c>
      <c r="H2335" t="s">
        <v>7758</v>
      </c>
      <c r="J2335" t="s">
        <v>7575</v>
      </c>
      <c r="K2335" t="s">
        <v>450</v>
      </c>
      <c r="L2335" t="s">
        <v>80</v>
      </c>
      <c r="M2335" t="s">
        <v>105</v>
      </c>
      <c r="N2335" t="s">
        <v>7771</v>
      </c>
      <c r="O2335" t="s">
        <v>7772</v>
      </c>
      <c r="P2335" s="2" t="s">
        <v>37</v>
      </c>
      <c r="Q2335" t="s">
        <v>1208</v>
      </c>
      <c r="R2335">
        <v>0</v>
      </c>
      <c r="S2335">
        <v>19.899999999999999</v>
      </c>
      <c r="T2335" t="s">
        <v>7773</v>
      </c>
    </row>
    <row r="2336" spans="1:20" x14ac:dyDescent="0.25">
      <c r="A2336" s="1" t="str">
        <f>HYPERLINK("https://vegkart.atlas.vegvesen.no/#/@809140.7,7783413.9,18/hva:hva%5B0%5D%5Bfilter%5D%5B0%5D%5Boperator%5D=%21%3D&amp;hva%5B0%5D%5Bfilter%5D%5B0%5D%5Btype_id%5D=4723&amp;hva%5B0%5D%5Bfilter%5D%5B0%5D%5Bverdi%5D=&amp;hva%5B0%5D%5Bid%5D=15/når:2021-09-24", "Vegkart")</f>
        <v>Vegkart</v>
      </c>
      <c r="B2336">
        <v>1014039620</v>
      </c>
      <c r="C2336">
        <v>15</v>
      </c>
      <c r="D2336" t="s">
        <v>5814</v>
      </c>
      <c r="E2336">
        <v>4723</v>
      </c>
      <c r="F2336" t="s">
        <v>23479</v>
      </c>
      <c r="G2336">
        <v>1</v>
      </c>
      <c r="H2336" t="s">
        <v>7758</v>
      </c>
      <c r="J2336" t="s">
        <v>7575</v>
      </c>
      <c r="K2336" t="s">
        <v>450</v>
      </c>
      <c r="L2336" t="s">
        <v>80</v>
      </c>
      <c r="M2336" t="s">
        <v>105</v>
      </c>
      <c r="N2336" t="s">
        <v>7774</v>
      </c>
      <c r="O2336" t="s">
        <v>7775</v>
      </c>
      <c r="P2336" s="2" t="s">
        <v>37</v>
      </c>
      <c r="Q2336" t="s">
        <v>1208</v>
      </c>
      <c r="R2336">
        <v>0</v>
      </c>
      <c r="S2336">
        <v>55.61</v>
      </c>
      <c r="T2336" t="s">
        <v>7776</v>
      </c>
    </row>
    <row r="2337" spans="1:20" x14ac:dyDescent="0.25">
      <c r="A2337" s="1" t="str">
        <f>HYPERLINK("https://vegkart.atlas.vegvesen.no/#/@809121.7,7783417.9,18/hva:hva%5B0%5D%5Bfilter%5D%5B0%5D%5Boperator%5D=%21%3D&amp;hva%5B0%5D%5Bfilter%5D%5B0%5D%5Btype_id%5D=4723&amp;hva%5B0%5D%5Bfilter%5D%5B0%5D%5Bverdi%5D=&amp;hva%5B0%5D%5Bid%5D=15/når:2021-09-24", "Vegkart")</f>
        <v>Vegkart</v>
      </c>
      <c r="B2337">
        <v>1014039621</v>
      </c>
      <c r="C2337">
        <v>15</v>
      </c>
      <c r="D2337" t="s">
        <v>5814</v>
      </c>
      <c r="E2337">
        <v>4723</v>
      </c>
      <c r="F2337" t="s">
        <v>23479</v>
      </c>
      <c r="G2337">
        <v>1</v>
      </c>
      <c r="H2337" t="s">
        <v>7758</v>
      </c>
      <c r="J2337" t="s">
        <v>7575</v>
      </c>
      <c r="K2337" t="s">
        <v>450</v>
      </c>
      <c r="L2337" t="s">
        <v>80</v>
      </c>
      <c r="M2337" t="s">
        <v>105</v>
      </c>
      <c r="N2337" t="s">
        <v>7777</v>
      </c>
      <c r="O2337" t="s">
        <v>7778</v>
      </c>
      <c r="P2337" s="2" t="s">
        <v>37</v>
      </c>
      <c r="Q2337" t="s">
        <v>1208</v>
      </c>
      <c r="R2337">
        <v>0</v>
      </c>
      <c r="S2337">
        <v>24.25</v>
      </c>
      <c r="T2337" t="s">
        <v>7779</v>
      </c>
    </row>
    <row r="2338" spans="1:20" x14ac:dyDescent="0.25">
      <c r="A2338" s="1" t="str">
        <f>HYPERLINK("https://vegkart.atlas.vegvesen.no/#/@809128.3,7783416.6,18/hva:hva%5B0%5D%5Bfilter%5D%5B0%5D%5Boperator%5D=%21%3D&amp;hva%5B0%5D%5Bfilter%5D%5B0%5D%5Btype_id%5D=4723&amp;hva%5B0%5D%5Bfilter%5D%5B0%5D%5Bverdi%5D=&amp;hva%5B0%5D%5Bid%5D=15/når:2021-09-24", "Vegkart")</f>
        <v>Vegkart</v>
      </c>
      <c r="B2338">
        <v>1014039622</v>
      </c>
      <c r="C2338">
        <v>15</v>
      </c>
      <c r="D2338" t="s">
        <v>5814</v>
      </c>
      <c r="E2338">
        <v>4723</v>
      </c>
      <c r="F2338" t="s">
        <v>23479</v>
      </c>
      <c r="G2338">
        <v>1</v>
      </c>
      <c r="H2338" t="s">
        <v>7758</v>
      </c>
      <c r="J2338" t="s">
        <v>7575</v>
      </c>
      <c r="K2338" t="s">
        <v>450</v>
      </c>
      <c r="L2338" t="s">
        <v>80</v>
      </c>
      <c r="M2338" t="s">
        <v>105</v>
      </c>
      <c r="N2338" t="s">
        <v>7780</v>
      </c>
      <c r="O2338" t="s">
        <v>7781</v>
      </c>
      <c r="P2338" s="2" t="s">
        <v>37</v>
      </c>
      <c r="Q2338" t="s">
        <v>1208</v>
      </c>
      <c r="R2338">
        <v>0</v>
      </c>
      <c r="S2338">
        <v>33.08</v>
      </c>
      <c r="T2338" t="s">
        <v>7782</v>
      </c>
    </row>
    <row r="2339" spans="1:20" x14ac:dyDescent="0.25">
      <c r="A2339" s="1" t="str">
        <f>HYPERLINK("https://vegkart.atlas.vegvesen.no/#/@809162.7,7783335.6,18/hva:hva%5B0%5D%5Bfilter%5D%5B0%5D%5Boperator%5D=%21%3D&amp;hva%5B0%5D%5Bfilter%5D%5B0%5D%5Btype_id%5D=4723&amp;hva%5B0%5D%5Bfilter%5D%5B0%5D%5Bverdi%5D=&amp;hva%5B0%5D%5Bid%5D=15/når:2021-09-24", "Vegkart")</f>
        <v>Vegkart</v>
      </c>
      <c r="B2339">
        <v>1014039623</v>
      </c>
      <c r="C2339">
        <v>15</v>
      </c>
      <c r="D2339" t="s">
        <v>5814</v>
      </c>
      <c r="E2339">
        <v>4723</v>
      </c>
      <c r="F2339" t="s">
        <v>23479</v>
      </c>
      <c r="G2339">
        <v>1</v>
      </c>
      <c r="H2339" t="s">
        <v>7758</v>
      </c>
      <c r="J2339" t="s">
        <v>7575</v>
      </c>
      <c r="K2339" t="s">
        <v>450</v>
      </c>
      <c r="L2339" t="s">
        <v>80</v>
      </c>
      <c r="M2339" t="s">
        <v>105</v>
      </c>
      <c r="N2339" t="s">
        <v>7783</v>
      </c>
      <c r="O2339" t="s">
        <v>7784</v>
      </c>
      <c r="P2339" s="2" t="s">
        <v>37</v>
      </c>
      <c r="Q2339" t="s">
        <v>1208</v>
      </c>
      <c r="R2339">
        <v>0</v>
      </c>
      <c r="S2339">
        <v>263.51</v>
      </c>
      <c r="T2339" t="s">
        <v>7785</v>
      </c>
    </row>
    <row r="2340" spans="1:20" x14ac:dyDescent="0.25">
      <c r="A2340" s="1" t="str">
        <f>HYPERLINK("https://vegkart.atlas.vegvesen.no/#/@809185.4,7783377.6,18/hva:hva%5B0%5D%5Bfilter%5D%5B0%5D%5Boperator%5D=%21%3D&amp;hva%5B0%5D%5Bfilter%5D%5B0%5D%5Btype_id%5D=4723&amp;hva%5B0%5D%5Bfilter%5D%5B0%5D%5Bverdi%5D=&amp;hva%5B0%5D%5Bid%5D=15/når:2021-09-24", "Vegkart")</f>
        <v>Vegkart</v>
      </c>
      <c r="B2340">
        <v>1014039624</v>
      </c>
      <c r="C2340">
        <v>15</v>
      </c>
      <c r="D2340" t="s">
        <v>5814</v>
      </c>
      <c r="E2340">
        <v>4723</v>
      </c>
      <c r="F2340" t="s">
        <v>23479</v>
      </c>
      <c r="G2340">
        <v>1</v>
      </c>
      <c r="H2340" t="s">
        <v>7758</v>
      </c>
      <c r="J2340" t="s">
        <v>7575</v>
      </c>
      <c r="K2340" t="s">
        <v>450</v>
      </c>
      <c r="L2340" t="s">
        <v>80</v>
      </c>
      <c r="M2340" t="s">
        <v>105</v>
      </c>
      <c r="N2340" t="s">
        <v>7786</v>
      </c>
      <c r="O2340" t="s">
        <v>7787</v>
      </c>
      <c r="P2340" s="2" t="s">
        <v>37</v>
      </c>
      <c r="Q2340" t="s">
        <v>1208</v>
      </c>
      <c r="R2340">
        <v>0</v>
      </c>
      <c r="S2340">
        <v>84.52</v>
      </c>
      <c r="T2340" t="s">
        <v>7788</v>
      </c>
    </row>
    <row r="2341" spans="1:20" x14ac:dyDescent="0.25">
      <c r="A2341" s="1" t="str">
        <f>HYPERLINK("https://vegkart.atlas.vegvesen.no/#/@809090.2,7783411.5,18/hva:hva%5B0%5D%5Bfilter%5D%5B0%5D%5Boperator%5D=%21%3D&amp;hva%5B0%5D%5Bfilter%5D%5B0%5D%5Btype_id%5D=4723&amp;hva%5B0%5D%5Bfilter%5D%5B0%5D%5Bverdi%5D=&amp;hva%5B0%5D%5Bid%5D=15/når:2021-09-24", "Vegkart")</f>
        <v>Vegkart</v>
      </c>
      <c r="B2341">
        <v>1014039625</v>
      </c>
      <c r="C2341">
        <v>15</v>
      </c>
      <c r="D2341" t="s">
        <v>5814</v>
      </c>
      <c r="E2341">
        <v>4723</v>
      </c>
      <c r="F2341" t="s">
        <v>23479</v>
      </c>
      <c r="G2341">
        <v>1</v>
      </c>
      <c r="H2341" t="s">
        <v>7758</v>
      </c>
      <c r="J2341" t="s">
        <v>7575</v>
      </c>
      <c r="K2341" t="s">
        <v>450</v>
      </c>
      <c r="L2341" t="s">
        <v>80</v>
      </c>
      <c r="M2341" t="s">
        <v>105</v>
      </c>
      <c r="N2341" t="s">
        <v>7789</v>
      </c>
      <c r="O2341" t="s">
        <v>7790</v>
      </c>
      <c r="P2341" s="2" t="s">
        <v>37</v>
      </c>
      <c r="Q2341" t="s">
        <v>1208</v>
      </c>
      <c r="R2341">
        <v>0</v>
      </c>
      <c r="S2341">
        <v>42.46</v>
      </c>
      <c r="T2341" t="s">
        <v>7791</v>
      </c>
    </row>
    <row r="2342" spans="1:20" x14ac:dyDescent="0.25">
      <c r="A2342" s="1" t="str">
        <f>HYPERLINK("https://vegkart.atlas.vegvesen.no/#/@809189.6,7783349.6,18/hva:hva%5B0%5D%5Bfilter%5D%5B0%5D%5Boperator%5D=%21%3D&amp;hva%5B0%5D%5Bfilter%5D%5B0%5D%5Btype_id%5D=4723&amp;hva%5B0%5D%5Bfilter%5D%5B0%5D%5Bverdi%5D=&amp;hva%5B0%5D%5Bid%5D=15/når:2021-09-24", "Vegkart")</f>
        <v>Vegkart</v>
      </c>
      <c r="B2342">
        <v>1014039626</v>
      </c>
      <c r="C2342">
        <v>15</v>
      </c>
      <c r="D2342" t="s">
        <v>5814</v>
      </c>
      <c r="E2342">
        <v>4723</v>
      </c>
      <c r="F2342" t="s">
        <v>23479</v>
      </c>
      <c r="G2342">
        <v>1</v>
      </c>
      <c r="H2342" t="s">
        <v>7758</v>
      </c>
      <c r="J2342" t="s">
        <v>7575</v>
      </c>
      <c r="K2342" t="s">
        <v>450</v>
      </c>
      <c r="L2342" t="s">
        <v>80</v>
      </c>
      <c r="M2342" t="s">
        <v>105</v>
      </c>
      <c r="N2342" t="s">
        <v>7792</v>
      </c>
      <c r="O2342" t="s">
        <v>7793</v>
      </c>
      <c r="P2342" s="2" t="s">
        <v>37</v>
      </c>
      <c r="Q2342" t="s">
        <v>1208</v>
      </c>
      <c r="R2342">
        <v>0</v>
      </c>
      <c r="S2342">
        <v>159.1</v>
      </c>
      <c r="T2342" t="s">
        <v>7794</v>
      </c>
    </row>
    <row r="2343" spans="1:20" x14ac:dyDescent="0.25">
      <c r="A2343" s="1" t="str">
        <f>HYPERLINK("https://vegkart.atlas.vegvesen.no/#/@809166.3,7783430.6,18/hva:hva%5B0%5D%5Bfilter%5D%5B0%5D%5Boperator%5D=%21%3D&amp;hva%5B0%5D%5Bfilter%5D%5B0%5D%5Btype_id%5D=4723&amp;hva%5B0%5D%5Bfilter%5D%5B0%5D%5Bverdi%5D=&amp;hva%5B0%5D%5Bid%5D=15/når:2021-09-24", "Vegkart")</f>
        <v>Vegkart</v>
      </c>
      <c r="B2343">
        <v>1014039627</v>
      </c>
      <c r="C2343">
        <v>15</v>
      </c>
      <c r="D2343" t="s">
        <v>5814</v>
      </c>
      <c r="E2343">
        <v>4723</v>
      </c>
      <c r="F2343" t="s">
        <v>23479</v>
      </c>
      <c r="G2343">
        <v>1</v>
      </c>
      <c r="H2343" t="s">
        <v>7758</v>
      </c>
      <c r="J2343" t="s">
        <v>7575</v>
      </c>
      <c r="K2343" t="s">
        <v>450</v>
      </c>
      <c r="L2343" t="s">
        <v>80</v>
      </c>
      <c r="M2343" t="s">
        <v>105</v>
      </c>
      <c r="N2343" t="s">
        <v>7795</v>
      </c>
      <c r="O2343" t="s">
        <v>7796</v>
      </c>
      <c r="P2343" s="2" t="s">
        <v>37</v>
      </c>
      <c r="Q2343" t="s">
        <v>1208</v>
      </c>
      <c r="R2343">
        <v>0</v>
      </c>
      <c r="S2343">
        <v>192.23</v>
      </c>
      <c r="T2343" t="s">
        <v>7797</v>
      </c>
    </row>
    <row r="2344" spans="1:20" x14ac:dyDescent="0.25">
      <c r="A2344" s="1" t="str">
        <f>HYPERLINK("https://vegkart.atlas.vegvesen.no/#/@818205.5,7784975.8,18/hva:hva%5B0%5D%5Bfilter%5D%5B0%5D%5Boperator%5D=%21%3D&amp;hva%5B0%5D%5Bfilter%5D%5B0%5D%5Btype_id%5D=4723&amp;hva%5B0%5D%5Bfilter%5D%5B0%5D%5Bverdi%5D=&amp;hva%5B0%5D%5Bid%5D=15/når:2021-09-24", "Vegkart")</f>
        <v>Vegkart</v>
      </c>
      <c r="B2344">
        <v>1014039628</v>
      </c>
      <c r="C2344">
        <v>15</v>
      </c>
      <c r="D2344" t="s">
        <v>5814</v>
      </c>
      <c r="E2344">
        <v>4723</v>
      </c>
      <c r="F2344" t="s">
        <v>23479</v>
      </c>
      <c r="G2344">
        <v>1</v>
      </c>
      <c r="H2344" t="s">
        <v>7758</v>
      </c>
      <c r="J2344" t="s">
        <v>7575</v>
      </c>
      <c r="K2344" t="s">
        <v>450</v>
      </c>
      <c r="L2344" t="s">
        <v>80</v>
      </c>
      <c r="M2344" t="s">
        <v>105</v>
      </c>
      <c r="N2344" t="s">
        <v>7798</v>
      </c>
      <c r="O2344" t="s">
        <v>7799</v>
      </c>
      <c r="P2344" s="2" t="s">
        <v>37</v>
      </c>
      <c r="Q2344" t="s">
        <v>1208</v>
      </c>
      <c r="R2344">
        <v>0</v>
      </c>
      <c r="S2344">
        <v>460.39</v>
      </c>
      <c r="T2344" t="s">
        <v>7800</v>
      </c>
    </row>
    <row r="2345" spans="1:20" x14ac:dyDescent="0.25">
      <c r="A2345" s="1" t="str">
        <f>HYPERLINK("https://vegkart.atlas.vegvesen.no/#/@815229.6,7779787.6,18/hva:hva%5B0%5D%5Bfilter%5D%5B0%5D%5Boperator%5D=%21%3D&amp;hva%5B0%5D%5Bfilter%5D%5B0%5D%5Btype_id%5D=4723&amp;hva%5B0%5D%5Bfilter%5D%5B0%5D%5Bverdi%5D=&amp;hva%5B0%5D%5Bid%5D=15/når:2021-09-24", "Vegkart")</f>
        <v>Vegkart</v>
      </c>
      <c r="B2345">
        <v>1014039629</v>
      </c>
      <c r="C2345">
        <v>15</v>
      </c>
      <c r="D2345" t="s">
        <v>5814</v>
      </c>
      <c r="E2345">
        <v>4723</v>
      </c>
      <c r="F2345" t="s">
        <v>23479</v>
      </c>
      <c r="G2345">
        <v>1</v>
      </c>
      <c r="H2345" t="s">
        <v>7758</v>
      </c>
      <c r="J2345" t="s">
        <v>7575</v>
      </c>
      <c r="K2345" t="s">
        <v>450</v>
      </c>
      <c r="L2345" t="s">
        <v>80</v>
      </c>
      <c r="M2345" t="s">
        <v>7050</v>
      </c>
      <c r="N2345" t="s">
        <v>7801</v>
      </c>
      <c r="O2345" t="s">
        <v>7802</v>
      </c>
      <c r="P2345" s="2" t="s">
        <v>37</v>
      </c>
      <c r="Q2345" t="s">
        <v>1208</v>
      </c>
      <c r="R2345">
        <v>0</v>
      </c>
      <c r="S2345">
        <v>1402.57</v>
      </c>
      <c r="T2345" t="s">
        <v>7803</v>
      </c>
    </row>
    <row r="2346" spans="1:20" x14ac:dyDescent="0.25">
      <c r="A2346" s="1" t="str">
        <f>HYPERLINK("https://vegkart.atlas.vegvesen.no/#/@815493.7,7779364.6,18/hva:hva%5B0%5D%5Bfilter%5D%5B0%5D%5Boperator%5D=%21%3D&amp;hva%5B0%5D%5Bfilter%5D%5B0%5D%5Btype_id%5D=4723&amp;hva%5B0%5D%5Bfilter%5D%5B0%5D%5Bverdi%5D=&amp;hva%5B0%5D%5Bid%5D=15/når:2021-09-24", "Vegkart")</f>
        <v>Vegkart</v>
      </c>
      <c r="B2346">
        <v>1014039630</v>
      </c>
      <c r="C2346">
        <v>15</v>
      </c>
      <c r="D2346" t="s">
        <v>5814</v>
      </c>
      <c r="E2346">
        <v>4723</v>
      </c>
      <c r="F2346" t="s">
        <v>23479</v>
      </c>
      <c r="G2346">
        <v>1</v>
      </c>
      <c r="H2346" t="s">
        <v>7758</v>
      </c>
      <c r="J2346" t="s">
        <v>7575</v>
      </c>
      <c r="K2346" t="s">
        <v>450</v>
      </c>
      <c r="L2346" t="s">
        <v>80</v>
      </c>
      <c r="M2346" t="s">
        <v>7050</v>
      </c>
      <c r="N2346" t="s">
        <v>7804</v>
      </c>
      <c r="O2346" t="s">
        <v>7805</v>
      </c>
      <c r="P2346" s="2" t="s">
        <v>37</v>
      </c>
      <c r="Q2346" t="s">
        <v>1208</v>
      </c>
      <c r="R2346">
        <v>0</v>
      </c>
      <c r="S2346">
        <v>105.64</v>
      </c>
      <c r="T2346" t="s">
        <v>7806</v>
      </c>
    </row>
    <row r="2347" spans="1:20" x14ac:dyDescent="0.25">
      <c r="A2347" s="1" t="str">
        <f>HYPERLINK("https://vegkart.atlas.vegvesen.no/#/@815507.4,7779352.3,18/hva:hva%5B0%5D%5Bfilter%5D%5B0%5D%5Boperator%5D=%21%3D&amp;hva%5B0%5D%5Bfilter%5D%5B0%5D%5Btype_id%5D=4723&amp;hva%5B0%5D%5Bfilter%5D%5B0%5D%5Bverdi%5D=&amp;hva%5B0%5D%5Bid%5D=15/når:2021-09-24", "Vegkart")</f>
        <v>Vegkart</v>
      </c>
      <c r="B2347">
        <v>1014039631</v>
      </c>
      <c r="C2347">
        <v>15</v>
      </c>
      <c r="D2347" t="s">
        <v>5814</v>
      </c>
      <c r="E2347">
        <v>4723</v>
      </c>
      <c r="F2347" t="s">
        <v>23479</v>
      </c>
      <c r="G2347">
        <v>1</v>
      </c>
      <c r="H2347" t="s">
        <v>7758</v>
      </c>
      <c r="J2347" t="s">
        <v>7575</v>
      </c>
      <c r="K2347" t="s">
        <v>450</v>
      </c>
      <c r="L2347" t="s">
        <v>80</v>
      </c>
      <c r="M2347" t="s">
        <v>7050</v>
      </c>
      <c r="N2347" t="s">
        <v>7807</v>
      </c>
      <c r="O2347" t="s">
        <v>7808</v>
      </c>
      <c r="P2347" s="2" t="s">
        <v>37</v>
      </c>
      <c r="Q2347" t="s">
        <v>1208</v>
      </c>
      <c r="R2347">
        <v>0</v>
      </c>
      <c r="S2347">
        <v>161.33000000000001</v>
      </c>
      <c r="T2347" t="s">
        <v>7809</v>
      </c>
    </row>
    <row r="2348" spans="1:20" x14ac:dyDescent="0.25">
      <c r="A2348" s="1" t="str">
        <f>HYPERLINK("https://vegkart.atlas.vegvesen.no/#/@815473.8,7779482.9,18/hva:hva%5B0%5D%5Bfilter%5D%5B0%5D%5Boperator%5D=%21%3D&amp;hva%5B0%5D%5Bfilter%5D%5B0%5D%5Btype_id%5D=4723&amp;hva%5B0%5D%5Bfilter%5D%5B0%5D%5Bverdi%5D=&amp;hva%5B0%5D%5Bid%5D=15/når:2021-09-24", "Vegkart")</f>
        <v>Vegkart</v>
      </c>
      <c r="B2348">
        <v>1014039632</v>
      </c>
      <c r="C2348">
        <v>15</v>
      </c>
      <c r="D2348" t="s">
        <v>5814</v>
      </c>
      <c r="E2348">
        <v>4723</v>
      </c>
      <c r="F2348" t="s">
        <v>23479</v>
      </c>
      <c r="G2348">
        <v>1</v>
      </c>
      <c r="H2348" t="s">
        <v>7758</v>
      </c>
      <c r="J2348" t="s">
        <v>7575</v>
      </c>
      <c r="K2348" t="s">
        <v>450</v>
      </c>
      <c r="L2348" t="s">
        <v>80</v>
      </c>
      <c r="M2348" t="s">
        <v>7050</v>
      </c>
      <c r="N2348" t="s">
        <v>7810</v>
      </c>
      <c r="O2348" t="s">
        <v>7811</v>
      </c>
      <c r="P2348" s="2" t="s">
        <v>37</v>
      </c>
      <c r="Q2348" t="s">
        <v>1208</v>
      </c>
      <c r="R2348">
        <v>0</v>
      </c>
      <c r="S2348">
        <v>373.18</v>
      </c>
      <c r="T2348" t="s">
        <v>7812</v>
      </c>
    </row>
    <row r="2349" spans="1:20" x14ac:dyDescent="0.25">
      <c r="A2349" s="1" t="str">
        <f>HYPERLINK("https://vegkart.atlas.vegvesen.no/#/@818223.7,7785020.1,18/hva:hva%5B0%5D%5Bfilter%5D%5B0%5D%5Boperator%5D=%21%3D&amp;hva%5B0%5D%5Bfilter%5D%5B0%5D%5Btype_id%5D=4723&amp;hva%5B0%5D%5Bfilter%5D%5B0%5D%5Bverdi%5D=&amp;hva%5B0%5D%5Bid%5D=15/når:2021-09-24", "Vegkart")</f>
        <v>Vegkart</v>
      </c>
      <c r="B2349">
        <v>1014039633</v>
      </c>
      <c r="C2349">
        <v>15</v>
      </c>
      <c r="D2349" t="s">
        <v>5814</v>
      </c>
      <c r="E2349">
        <v>4723</v>
      </c>
      <c r="F2349" t="s">
        <v>23479</v>
      </c>
      <c r="G2349">
        <v>1</v>
      </c>
      <c r="H2349" t="s">
        <v>7758</v>
      </c>
      <c r="J2349" t="s">
        <v>7575</v>
      </c>
      <c r="K2349" t="s">
        <v>450</v>
      </c>
      <c r="L2349" t="s">
        <v>80</v>
      </c>
      <c r="M2349" t="s">
        <v>105</v>
      </c>
      <c r="N2349" t="s">
        <v>7813</v>
      </c>
      <c r="O2349" t="s">
        <v>7814</v>
      </c>
      <c r="P2349" s="2" t="s">
        <v>37</v>
      </c>
      <c r="Q2349" t="s">
        <v>1208</v>
      </c>
      <c r="R2349">
        <v>0</v>
      </c>
      <c r="S2349">
        <v>237.79</v>
      </c>
      <c r="T2349" t="s">
        <v>7815</v>
      </c>
    </row>
    <row r="2350" spans="1:20" x14ac:dyDescent="0.25">
      <c r="A2350" s="1" t="str">
        <f>HYPERLINK("https://vegkart.atlas.vegvesen.no/#/@818199.3,7784996.2,18/hva:hva%5B0%5D%5Bfilter%5D%5B0%5D%5Boperator%5D=%21%3D&amp;hva%5B0%5D%5Bfilter%5D%5B0%5D%5Btype_id%5D=4723&amp;hva%5B0%5D%5Bfilter%5D%5B0%5D%5Bverdi%5D=&amp;hva%5B0%5D%5Bid%5D=15/når:2021-09-24", "Vegkart")</f>
        <v>Vegkart</v>
      </c>
      <c r="B2350">
        <v>1014039634</v>
      </c>
      <c r="C2350">
        <v>15</v>
      </c>
      <c r="D2350" t="s">
        <v>5814</v>
      </c>
      <c r="E2350">
        <v>4723</v>
      </c>
      <c r="F2350" t="s">
        <v>23479</v>
      </c>
      <c r="G2350">
        <v>1</v>
      </c>
      <c r="H2350" t="s">
        <v>7758</v>
      </c>
      <c r="J2350" t="s">
        <v>7575</v>
      </c>
      <c r="K2350" t="s">
        <v>450</v>
      </c>
      <c r="L2350" t="s">
        <v>80</v>
      </c>
      <c r="M2350" t="s">
        <v>105</v>
      </c>
      <c r="N2350" t="s">
        <v>7816</v>
      </c>
      <c r="O2350" t="s">
        <v>7817</v>
      </c>
      <c r="P2350" s="2" t="s">
        <v>37</v>
      </c>
      <c r="Q2350" t="s">
        <v>1208</v>
      </c>
      <c r="R2350">
        <v>0</v>
      </c>
      <c r="S2350">
        <v>355.3</v>
      </c>
      <c r="T2350" t="s">
        <v>7818</v>
      </c>
    </row>
    <row r="2351" spans="1:20" x14ac:dyDescent="0.25">
      <c r="A2351" s="1" t="str">
        <f>HYPERLINK("https://vegkart.atlas.vegvesen.no/#/@803241.8,7791683.8,18/hva:hva%5B0%5D%5Bfilter%5D%5B0%5D%5Boperator%5D=%21%3D&amp;hva%5B0%5D%5Bfilter%5D%5B0%5D%5Btype_id%5D=4723&amp;hva%5B0%5D%5Bfilter%5D%5B0%5D%5Bverdi%5D=&amp;hva%5B0%5D%5Bid%5D=15/når:2021-09-24", "Vegkart")</f>
        <v>Vegkart</v>
      </c>
      <c r="B2351">
        <v>1014039635</v>
      </c>
      <c r="C2351">
        <v>15</v>
      </c>
      <c r="D2351" t="s">
        <v>5814</v>
      </c>
      <c r="E2351">
        <v>4723</v>
      </c>
      <c r="F2351" t="s">
        <v>23479</v>
      </c>
      <c r="G2351">
        <v>1</v>
      </c>
      <c r="H2351" t="s">
        <v>7758</v>
      </c>
      <c r="J2351" t="s">
        <v>7575</v>
      </c>
      <c r="K2351" t="s">
        <v>450</v>
      </c>
      <c r="L2351" t="s">
        <v>80</v>
      </c>
      <c r="M2351" t="s">
        <v>105</v>
      </c>
      <c r="N2351" t="s">
        <v>7819</v>
      </c>
      <c r="O2351" t="s">
        <v>7820</v>
      </c>
      <c r="P2351" s="2" t="s">
        <v>37</v>
      </c>
      <c r="Q2351" t="s">
        <v>1208</v>
      </c>
      <c r="R2351">
        <v>0</v>
      </c>
      <c r="S2351">
        <v>88.5</v>
      </c>
      <c r="T2351" t="s">
        <v>7821</v>
      </c>
    </row>
    <row r="2352" spans="1:20" x14ac:dyDescent="0.25">
      <c r="A2352" s="1" t="str">
        <f>HYPERLINK("https://vegkart.atlas.vegvesen.no/#/@803282.5,7791588.9,18/hva:hva%5B0%5D%5Bfilter%5D%5B0%5D%5Boperator%5D=%21%3D&amp;hva%5B0%5D%5Bfilter%5D%5B0%5D%5Btype_id%5D=4723&amp;hva%5B0%5D%5Bfilter%5D%5B0%5D%5Bverdi%5D=&amp;hva%5B0%5D%5Bid%5D=15/når:2021-09-24", "Vegkart")</f>
        <v>Vegkart</v>
      </c>
      <c r="B2352">
        <v>1014039636</v>
      </c>
      <c r="C2352">
        <v>15</v>
      </c>
      <c r="D2352" t="s">
        <v>5814</v>
      </c>
      <c r="E2352">
        <v>4723</v>
      </c>
      <c r="F2352" t="s">
        <v>23479</v>
      </c>
      <c r="G2352">
        <v>1</v>
      </c>
      <c r="H2352" t="s">
        <v>7758</v>
      </c>
      <c r="J2352" t="s">
        <v>7575</v>
      </c>
      <c r="K2352" t="s">
        <v>450</v>
      </c>
      <c r="L2352" t="s">
        <v>80</v>
      </c>
      <c r="M2352" t="s">
        <v>105</v>
      </c>
      <c r="N2352" t="s">
        <v>7822</v>
      </c>
      <c r="O2352" t="s">
        <v>7823</v>
      </c>
      <c r="P2352" s="2" t="s">
        <v>37</v>
      </c>
      <c r="Q2352" t="s">
        <v>1208</v>
      </c>
      <c r="R2352">
        <v>0</v>
      </c>
      <c r="S2352">
        <v>313.06</v>
      </c>
      <c r="T2352" t="s">
        <v>7824</v>
      </c>
    </row>
    <row r="2353" spans="1:20" x14ac:dyDescent="0.25">
      <c r="A2353" s="1" t="str">
        <f>HYPERLINK("https://vegkart.atlas.vegvesen.no/#/@802640.9,7797464.5,18/hva:hva%5B0%5D%5Bfilter%5D%5B0%5D%5Boperator%5D=%21%3D&amp;hva%5B0%5D%5Bfilter%5D%5B0%5D%5Btype_id%5D=4723&amp;hva%5B0%5D%5Bfilter%5D%5B0%5D%5Bverdi%5D=&amp;hva%5B0%5D%5Bid%5D=15/når:2021-09-24", "Vegkart")</f>
        <v>Vegkart</v>
      </c>
      <c r="B2353">
        <v>1014039637</v>
      </c>
      <c r="C2353">
        <v>15</v>
      </c>
      <c r="D2353" t="s">
        <v>5814</v>
      </c>
      <c r="E2353">
        <v>4723</v>
      </c>
      <c r="F2353" t="s">
        <v>23479</v>
      </c>
      <c r="G2353">
        <v>1</v>
      </c>
      <c r="H2353" t="s">
        <v>7758</v>
      </c>
      <c r="J2353" t="s">
        <v>7575</v>
      </c>
      <c r="K2353" t="s">
        <v>450</v>
      </c>
      <c r="L2353" t="s">
        <v>80</v>
      </c>
      <c r="M2353" t="s">
        <v>105</v>
      </c>
      <c r="N2353" t="s">
        <v>7825</v>
      </c>
      <c r="O2353" t="s">
        <v>7826</v>
      </c>
      <c r="P2353" s="2" t="s">
        <v>37</v>
      </c>
      <c r="Q2353" t="s">
        <v>1208</v>
      </c>
      <c r="R2353">
        <v>0</v>
      </c>
      <c r="S2353">
        <v>175.76</v>
      </c>
      <c r="T2353" t="s">
        <v>7827</v>
      </c>
    </row>
    <row r="2354" spans="1:20" x14ac:dyDescent="0.25">
      <c r="A2354" s="1" t="str">
        <f>HYPERLINK("https://vegkart.atlas.vegvesen.no/#/@809309.2,7782565.9,18/hva:hva%5B0%5D%5Bfilter%5D%5B0%5D%5Boperator%5D=%21%3D&amp;hva%5B0%5D%5Bfilter%5D%5B0%5D%5Btype_id%5D=4723&amp;hva%5B0%5D%5Bfilter%5D%5B0%5D%5Bverdi%5D=&amp;hva%5B0%5D%5Bid%5D=15/når:2021-09-24", "Vegkart")</f>
        <v>Vegkart</v>
      </c>
      <c r="B2354">
        <v>1014039638</v>
      </c>
      <c r="C2354">
        <v>15</v>
      </c>
      <c r="D2354" t="s">
        <v>5814</v>
      </c>
      <c r="E2354">
        <v>4723</v>
      </c>
      <c r="F2354" t="s">
        <v>23479</v>
      </c>
      <c r="G2354">
        <v>1</v>
      </c>
      <c r="H2354" t="s">
        <v>7758</v>
      </c>
      <c r="J2354" t="s">
        <v>7575</v>
      </c>
      <c r="K2354" t="s">
        <v>450</v>
      </c>
      <c r="L2354" t="s">
        <v>80</v>
      </c>
      <c r="M2354" t="s">
        <v>105</v>
      </c>
      <c r="N2354" t="s">
        <v>7828</v>
      </c>
      <c r="O2354" t="s">
        <v>7829</v>
      </c>
      <c r="P2354" s="2" t="s">
        <v>37</v>
      </c>
      <c r="Q2354" t="s">
        <v>1208</v>
      </c>
      <c r="R2354">
        <v>0</v>
      </c>
      <c r="S2354">
        <v>360.1</v>
      </c>
      <c r="T2354" t="s">
        <v>7830</v>
      </c>
    </row>
    <row r="2355" spans="1:20" x14ac:dyDescent="0.25">
      <c r="A2355" s="1" t="str">
        <f>HYPERLINK("https://vegkart.atlas.vegvesen.no/#/@67292.6,6724523.0,18/hva:hva%5B0%5D%5Bfilter%5D%5B0%5D%5Boperator%5D=%21%3D&amp;hva%5B0%5D%5Bfilter%5D%5B0%5D%5Btype_id%5D=4723&amp;hva%5B0%5D%5Bfilter%5D%5B0%5D%5Bverdi%5D=&amp;hva%5B0%5D%5Bid%5D=15/når:2022-02-10", "Vegkart")</f>
        <v>Vegkart</v>
      </c>
      <c r="B2355">
        <v>1015006489</v>
      </c>
      <c r="C2355">
        <v>15</v>
      </c>
      <c r="D2355" t="s">
        <v>5814</v>
      </c>
      <c r="E2355">
        <v>4723</v>
      </c>
      <c r="F2355" t="s">
        <v>23479</v>
      </c>
      <c r="G2355">
        <v>1</v>
      </c>
      <c r="H2355" t="s">
        <v>7831</v>
      </c>
      <c r="J2355" t="s">
        <v>7832</v>
      </c>
      <c r="K2355" t="s">
        <v>21</v>
      </c>
      <c r="L2355" t="s">
        <v>113</v>
      </c>
      <c r="M2355" t="s">
        <v>308</v>
      </c>
      <c r="N2355" t="s">
        <v>7833</v>
      </c>
      <c r="O2355" t="s">
        <v>7834</v>
      </c>
      <c r="P2355" s="2" t="s">
        <v>67</v>
      </c>
      <c r="Q2355" t="s">
        <v>68</v>
      </c>
      <c r="R2355">
        <v>153.91</v>
      </c>
      <c r="S2355">
        <v>154.72</v>
      </c>
      <c r="T2355" t="s">
        <v>7835</v>
      </c>
    </row>
    <row r="2356" spans="1:20" x14ac:dyDescent="0.25">
      <c r="A2356" s="1" t="str">
        <f>HYPERLINK("https://vegkart.atlas.vegvesen.no/#/@64560.2,6729633.7,18/hva:hva%5B0%5D%5Bfilter%5D%5B0%5D%5Boperator%5D=%21%3D&amp;hva%5B0%5D%5Bfilter%5D%5B0%5D%5Btype_id%5D=4723&amp;hva%5B0%5D%5Bfilter%5D%5B0%5D%5Bverdi%5D=&amp;hva%5B0%5D%5Bid%5D=15/når:2022-02-14", "Vegkart")</f>
        <v>Vegkart</v>
      </c>
      <c r="B2356">
        <v>1015016725</v>
      </c>
      <c r="C2356">
        <v>15</v>
      </c>
      <c r="D2356" t="s">
        <v>5814</v>
      </c>
      <c r="E2356">
        <v>4723</v>
      </c>
      <c r="F2356" t="s">
        <v>23479</v>
      </c>
      <c r="G2356">
        <v>1</v>
      </c>
      <c r="H2356" t="s">
        <v>7836</v>
      </c>
      <c r="J2356" t="s">
        <v>7832</v>
      </c>
      <c r="K2356" t="s">
        <v>21</v>
      </c>
      <c r="L2356" t="s">
        <v>113</v>
      </c>
      <c r="M2356" t="s">
        <v>308</v>
      </c>
      <c r="N2356" t="s">
        <v>7837</v>
      </c>
      <c r="O2356" t="s">
        <v>7838</v>
      </c>
      <c r="P2356" s="2" t="s">
        <v>67</v>
      </c>
      <c r="Q2356" t="s">
        <v>68</v>
      </c>
      <c r="R2356">
        <v>59.61</v>
      </c>
      <c r="S2356">
        <v>59.96</v>
      </c>
      <c r="T2356" t="s">
        <v>7839</v>
      </c>
    </row>
    <row r="2357" spans="1:20" x14ac:dyDescent="0.25">
      <c r="A2357" s="1" t="str">
        <f>HYPERLINK("https://vegkart.atlas.vegvesen.no/#/@64605.9,6729638.0,18/hva:hva%5B0%5D%5Bfilter%5D%5B0%5D%5Boperator%5D=%21%3D&amp;hva%5B0%5D%5Bfilter%5D%5B0%5D%5Btype_id%5D=4723&amp;hva%5B0%5D%5Bfilter%5D%5B0%5D%5Bverdi%5D=&amp;hva%5B0%5D%5Bid%5D=15/når:2022-02-14", "Vegkart")</f>
        <v>Vegkart</v>
      </c>
      <c r="B2357">
        <v>1015016733</v>
      </c>
      <c r="C2357">
        <v>15</v>
      </c>
      <c r="D2357" t="s">
        <v>5814</v>
      </c>
      <c r="E2357">
        <v>4723</v>
      </c>
      <c r="F2357" t="s">
        <v>23479</v>
      </c>
      <c r="G2357">
        <v>1</v>
      </c>
      <c r="H2357" t="s">
        <v>7836</v>
      </c>
      <c r="J2357" t="s">
        <v>7832</v>
      </c>
      <c r="K2357" t="s">
        <v>21</v>
      </c>
      <c r="L2357" t="s">
        <v>113</v>
      </c>
      <c r="M2357" t="s">
        <v>308</v>
      </c>
      <c r="N2357" t="s">
        <v>7840</v>
      </c>
      <c r="O2357" t="s">
        <v>7841</v>
      </c>
      <c r="P2357" s="2" t="s">
        <v>67</v>
      </c>
      <c r="Q2357" t="s">
        <v>68</v>
      </c>
      <c r="R2357">
        <v>34.6</v>
      </c>
      <c r="S2357">
        <v>35.99</v>
      </c>
      <c r="T2357" t="s">
        <v>7842</v>
      </c>
    </row>
    <row r="2358" spans="1:20" x14ac:dyDescent="0.25">
      <c r="A2358" s="1" t="str">
        <f>HYPERLINK("https://vegkart.atlas.vegvesen.no/#/@77559.4,6814103.7,18/hva:hva%5B0%5D%5Bfilter%5D%5B0%5D%5Boperator%5D=%21%3D&amp;hva%5B0%5D%5Bfilter%5D%5B0%5D%5Btype_id%5D=4723&amp;hva%5B0%5D%5Bfilter%5D%5B0%5D%5Bverdi%5D=&amp;hva%5B0%5D%5Bid%5D=15/når:2022-02-16", "Vegkart")</f>
        <v>Vegkart</v>
      </c>
      <c r="B2358">
        <v>1015021660</v>
      </c>
      <c r="C2358">
        <v>15</v>
      </c>
      <c r="D2358" t="s">
        <v>5814</v>
      </c>
      <c r="E2358">
        <v>4723</v>
      </c>
      <c r="F2358" t="s">
        <v>23479</v>
      </c>
      <c r="G2358">
        <v>1</v>
      </c>
      <c r="H2358" t="s">
        <v>7843</v>
      </c>
      <c r="J2358" t="s">
        <v>7832</v>
      </c>
      <c r="K2358" t="s">
        <v>21</v>
      </c>
      <c r="L2358" t="s">
        <v>113</v>
      </c>
      <c r="M2358" t="s">
        <v>507</v>
      </c>
      <c r="N2358" t="s">
        <v>7844</v>
      </c>
      <c r="O2358" t="s">
        <v>7845</v>
      </c>
      <c r="P2358" s="2" t="s">
        <v>67</v>
      </c>
      <c r="Q2358" t="s">
        <v>68</v>
      </c>
      <c r="R2358">
        <v>33.64</v>
      </c>
      <c r="S2358">
        <v>33.729999999999997</v>
      </c>
      <c r="T2358" t="s">
        <v>7846</v>
      </c>
    </row>
    <row r="2359" spans="1:20" x14ac:dyDescent="0.25">
      <c r="A2359" s="1" t="str">
        <f>HYPERLINK("https://vegkart.atlas.vegvesen.no/#/@77561.6,6814114.5,18/hva:hva%5B0%5D%5Bfilter%5D%5B0%5D%5Boperator%5D=%21%3D&amp;hva%5B0%5D%5Bfilter%5D%5B0%5D%5Btype_id%5D=4723&amp;hva%5B0%5D%5Bfilter%5D%5B0%5D%5Bverdi%5D=&amp;hva%5B0%5D%5Bid%5D=15/når:2022-02-16", "Vegkart")</f>
        <v>Vegkart</v>
      </c>
      <c r="B2359">
        <v>1015021661</v>
      </c>
      <c r="C2359">
        <v>15</v>
      </c>
      <c r="D2359" t="s">
        <v>5814</v>
      </c>
      <c r="E2359">
        <v>4723</v>
      </c>
      <c r="F2359" t="s">
        <v>23479</v>
      </c>
      <c r="G2359">
        <v>1</v>
      </c>
      <c r="H2359" t="s">
        <v>7843</v>
      </c>
      <c r="J2359" t="s">
        <v>7832</v>
      </c>
      <c r="K2359" t="s">
        <v>21</v>
      </c>
      <c r="L2359" t="s">
        <v>113</v>
      </c>
      <c r="M2359" t="s">
        <v>507</v>
      </c>
      <c r="N2359" t="s">
        <v>7847</v>
      </c>
      <c r="O2359" t="s">
        <v>7848</v>
      </c>
      <c r="P2359" s="2" t="s">
        <v>67</v>
      </c>
      <c r="Q2359" t="s">
        <v>68</v>
      </c>
      <c r="R2359">
        <v>32.64</v>
      </c>
      <c r="S2359">
        <v>63.46</v>
      </c>
      <c r="T2359" t="s">
        <v>7849</v>
      </c>
    </row>
    <row r="2360" spans="1:20" x14ac:dyDescent="0.25">
      <c r="A2360" s="1" t="str">
        <f>HYPERLINK("https://vegkart.atlas.vegvesen.no/#/@77575.5,6814111.3,18/hva:hva%5B0%5D%5Bfilter%5D%5B0%5D%5Boperator%5D=%21%3D&amp;hva%5B0%5D%5Bfilter%5D%5B0%5D%5Btype_id%5D=4723&amp;hva%5B0%5D%5Bfilter%5D%5B0%5D%5Bverdi%5D=&amp;hva%5B0%5D%5Bid%5D=15/når:2022-02-16", "Vegkart")</f>
        <v>Vegkart</v>
      </c>
      <c r="B2360">
        <v>1015021664</v>
      </c>
      <c r="C2360">
        <v>15</v>
      </c>
      <c r="D2360" t="s">
        <v>5814</v>
      </c>
      <c r="E2360">
        <v>4723</v>
      </c>
      <c r="F2360" t="s">
        <v>23479</v>
      </c>
      <c r="G2360">
        <v>1</v>
      </c>
      <c r="H2360" t="s">
        <v>7843</v>
      </c>
      <c r="J2360" t="s">
        <v>7832</v>
      </c>
      <c r="K2360" t="s">
        <v>21</v>
      </c>
      <c r="L2360" t="s">
        <v>113</v>
      </c>
      <c r="M2360" t="s">
        <v>507</v>
      </c>
      <c r="N2360" t="s">
        <v>7850</v>
      </c>
      <c r="O2360" t="s">
        <v>7851</v>
      </c>
      <c r="P2360" s="2" t="s">
        <v>67</v>
      </c>
      <c r="Q2360" t="s">
        <v>68</v>
      </c>
      <c r="R2360">
        <v>60.13</v>
      </c>
      <c r="S2360">
        <v>60.6</v>
      </c>
      <c r="T2360" t="s">
        <v>7852</v>
      </c>
    </row>
    <row r="2361" spans="1:20" x14ac:dyDescent="0.25">
      <c r="A2361" s="1" t="str">
        <f>HYPERLINK("https://vegkart.atlas.vegvesen.no/#/@41443.2,6768288.5,18/hva:hva%5B0%5D%5Bfilter%5D%5B0%5D%5Boperator%5D=%21%3D&amp;hva%5B0%5D%5Bfilter%5D%5B0%5D%5Btype_id%5D=4723&amp;hva%5B0%5D%5Bfilter%5D%5B0%5D%5Bverdi%5D=&amp;hva%5B0%5D%5Bid%5D=15/når:2022-02-16", "Vegkart")</f>
        <v>Vegkart</v>
      </c>
      <c r="B2361">
        <v>1015022972</v>
      </c>
      <c r="C2361">
        <v>15</v>
      </c>
      <c r="D2361" t="s">
        <v>5814</v>
      </c>
      <c r="E2361">
        <v>4723</v>
      </c>
      <c r="F2361" t="s">
        <v>23479</v>
      </c>
      <c r="G2361">
        <v>1</v>
      </c>
      <c r="H2361" t="s">
        <v>7843</v>
      </c>
      <c r="J2361" t="s">
        <v>7832</v>
      </c>
      <c r="K2361" t="s">
        <v>21</v>
      </c>
      <c r="L2361" t="s">
        <v>80</v>
      </c>
      <c r="M2361" t="s">
        <v>152</v>
      </c>
      <c r="N2361" t="s">
        <v>7853</v>
      </c>
      <c r="O2361" t="s">
        <v>7854</v>
      </c>
      <c r="P2361" s="2" t="s">
        <v>67</v>
      </c>
      <c r="Q2361" t="s">
        <v>68</v>
      </c>
      <c r="R2361">
        <v>58.09</v>
      </c>
      <c r="S2361">
        <v>62.87</v>
      </c>
      <c r="T2361" t="s">
        <v>7855</v>
      </c>
    </row>
    <row r="2362" spans="1:20" x14ac:dyDescent="0.25">
      <c r="A2362" s="1" t="str">
        <f>HYPERLINK("https://vegkart.atlas.vegvesen.no/#/@81236.7,6515804.8,18/hva:hva%5B0%5D%5Bfilter%5D%5B0%5D%5Boperator%5D=%21%3D&amp;hva%5B0%5D%5Bfilter%5D%5B0%5D%5Btype_id%5D=4723&amp;hva%5B0%5D%5Bfilter%5D%5B0%5D%5Bverdi%5D=&amp;hva%5B0%5D%5Bid%5D=15/når:2022-03-15", "Vegkart")</f>
        <v>Vegkart</v>
      </c>
      <c r="B2362">
        <v>1015206405</v>
      </c>
      <c r="C2362">
        <v>15</v>
      </c>
      <c r="D2362" t="s">
        <v>5814</v>
      </c>
      <c r="E2362">
        <v>4723</v>
      </c>
      <c r="F2362" t="s">
        <v>23479</v>
      </c>
      <c r="G2362">
        <v>1</v>
      </c>
      <c r="H2362" t="s">
        <v>7856</v>
      </c>
      <c r="J2362" t="s">
        <v>7832</v>
      </c>
      <c r="K2362" t="s">
        <v>86</v>
      </c>
      <c r="L2362" t="s">
        <v>113</v>
      </c>
      <c r="M2362" t="s">
        <v>667</v>
      </c>
      <c r="N2362" t="s">
        <v>7857</v>
      </c>
      <c r="O2362" t="s">
        <v>7858</v>
      </c>
      <c r="P2362" s="2" t="s">
        <v>165</v>
      </c>
      <c r="Q2362" t="s">
        <v>641</v>
      </c>
      <c r="R2362">
        <v>5.84</v>
      </c>
      <c r="S2362">
        <v>133.38</v>
      </c>
      <c r="T2362" t="s">
        <v>167</v>
      </c>
    </row>
    <row r="2363" spans="1:20" x14ac:dyDescent="0.25">
      <c r="A2363" s="1" t="str">
        <f>HYPERLINK("https://vegkart.atlas.vegvesen.no/#/@81191.8,6515782.5,18/hva:hva%5B0%5D%5Bfilter%5D%5B0%5D%5Boperator%5D=%21%3D&amp;hva%5B0%5D%5Bfilter%5D%5B0%5D%5Btype_id%5D=4723&amp;hva%5B0%5D%5Bfilter%5D%5B0%5D%5Bverdi%5D=&amp;hva%5B0%5D%5Bid%5D=15/når:2022-03-15", "Vegkart")</f>
        <v>Vegkart</v>
      </c>
      <c r="B2363">
        <v>1015206406</v>
      </c>
      <c r="C2363">
        <v>15</v>
      </c>
      <c r="D2363" t="s">
        <v>5814</v>
      </c>
      <c r="E2363">
        <v>4723</v>
      </c>
      <c r="F2363" t="s">
        <v>23479</v>
      </c>
      <c r="G2363">
        <v>1</v>
      </c>
      <c r="H2363" t="s">
        <v>7856</v>
      </c>
      <c r="J2363" t="s">
        <v>7832</v>
      </c>
      <c r="K2363" t="s">
        <v>86</v>
      </c>
      <c r="L2363" t="s">
        <v>113</v>
      </c>
      <c r="M2363" t="s">
        <v>667</v>
      </c>
      <c r="N2363" t="s">
        <v>7859</v>
      </c>
      <c r="O2363" t="s">
        <v>7860</v>
      </c>
      <c r="P2363" s="2" t="s">
        <v>165</v>
      </c>
      <c r="Q2363" t="s">
        <v>641</v>
      </c>
      <c r="R2363">
        <v>0.02</v>
      </c>
      <c r="S2363">
        <v>58.21</v>
      </c>
      <c r="T2363" t="s">
        <v>167</v>
      </c>
    </row>
    <row r="2364" spans="1:20" x14ac:dyDescent="0.25">
      <c r="A2364" s="1" t="str">
        <f>HYPERLINK("https://vegkart.atlas.vegvesen.no/#/@505846.1,7627263.9,18/hva:hva%5B0%5D%5Bfilter%5D%5B0%5D%5Boperator%5D=%21%3D&amp;hva%5B0%5D%5Bfilter%5D%5B0%5D%5Btype_id%5D=4723&amp;hva%5B0%5D%5Bfilter%5D%5B0%5D%5Bverdi%5D=&amp;hva%5B0%5D%5Bid%5D=15/når:2022-03-30", "Vegkart")</f>
        <v>Vegkart</v>
      </c>
      <c r="B2364">
        <v>1015247588</v>
      </c>
      <c r="C2364">
        <v>15</v>
      </c>
      <c r="D2364" t="s">
        <v>5814</v>
      </c>
      <c r="E2364">
        <v>4723</v>
      </c>
      <c r="F2364" t="s">
        <v>23479</v>
      </c>
      <c r="G2364">
        <v>1</v>
      </c>
      <c r="H2364" t="s">
        <v>7861</v>
      </c>
      <c r="J2364" t="s">
        <v>7832</v>
      </c>
      <c r="K2364" t="s">
        <v>53</v>
      </c>
      <c r="L2364" t="s">
        <v>33</v>
      </c>
      <c r="M2364" t="s">
        <v>5728</v>
      </c>
      <c r="N2364" t="s">
        <v>7862</v>
      </c>
      <c r="O2364" t="s">
        <v>7863</v>
      </c>
      <c r="P2364" s="2" t="s">
        <v>67</v>
      </c>
      <c r="Q2364" t="s">
        <v>68</v>
      </c>
      <c r="R2364">
        <v>22.68</v>
      </c>
      <c r="S2364">
        <v>22.68</v>
      </c>
      <c r="T2364" t="s">
        <v>7864</v>
      </c>
    </row>
    <row r="2365" spans="1:20" x14ac:dyDescent="0.25">
      <c r="A2365" s="1" t="str">
        <f>HYPERLINK("https://vegkart.atlas.vegvesen.no/#/@505838.3,7627252.4,18/hva:hva%5B0%5D%5Bfilter%5D%5B0%5D%5Boperator%5D=%21%3D&amp;hva%5B0%5D%5Bfilter%5D%5B0%5D%5Btype_id%5D=4723&amp;hva%5B0%5D%5Bfilter%5D%5B0%5D%5Bverdi%5D=&amp;hva%5B0%5D%5Bid%5D=15/når:2022-03-30", "Vegkart")</f>
        <v>Vegkart</v>
      </c>
      <c r="B2365">
        <v>1015247589</v>
      </c>
      <c r="C2365">
        <v>15</v>
      </c>
      <c r="D2365" t="s">
        <v>5814</v>
      </c>
      <c r="E2365">
        <v>4723</v>
      </c>
      <c r="F2365" t="s">
        <v>23479</v>
      </c>
      <c r="G2365">
        <v>1</v>
      </c>
      <c r="H2365" t="s">
        <v>7861</v>
      </c>
      <c r="J2365" t="s">
        <v>7832</v>
      </c>
      <c r="K2365" t="s">
        <v>53</v>
      </c>
      <c r="L2365" t="s">
        <v>33</v>
      </c>
      <c r="M2365" t="s">
        <v>5728</v>
      </c>
      <c r="N2365" t="s">
        <v>7865</v>
      </c>
      <c r="O2365" t="s">
        <v>7866</v>
      </c>
      <c r="P2365" s="2" t="s">
        <v>165</v>
      </c>
      <c r="Q2365" t="s">
        <v>1012</v>
      </c>
      <c r="R2365">
        <v>17.77</v>
      </c>
      <c r="S2365">
        <v>17.77</v>
      </c>
      <c r="T2365" t="s">
        <v>167</v>
      </c>
    </row>
    <row r="2366" spans="1:20" x14ac:dyDescent="0.25">
      <c r="A2366" s="1" t="str">
        <f>HYPERLINK("https://vegkart.atlas.vegvesen.no/#/@505803.5,7627258.4,18/hva:hva%5B0%5D%5Bfilter%5D%5B0%5D%5Boperator%5D=%21%3D&amp;hva%5B0%5D%5Bfilter%5D%5B0%5D%5Btype_id%5D=4723&amp;hva%5B0%5D%5Bfilter%5D%5B0%5D%5Bverdi%5D=&amp;hva%5B0%5D%5Bid%5D=15/når:2022-03-30", "Vegkart")</f>
        <v>Vegkart</v>
      </c>
      <c r="B2366">
        <v>1015247592</v>
      </c>
      <c r="C2366">
        <v>15</v>
      </c>
      <c r="D2366" t="s">
        <v>5814</v>
      </c>
      <c r="E2366">
        <v>4723</v>
      </c>
      <c r="F2366" t="s">
        <v>23479</v>
      </c>
      <c r="G2366">
        <v>1</v>
      </c>
      <c r="H2366" t="s">
        <v>7861</v>
      </c>
      <c r="J2366" t="s">
        <v>7832</v>
      </c>
      <c r="K2366" t="s">
        <v>53</v>
      </c>
      <c r="L2366" t="s">
        <v>33</v>
      </c>
      <c r="M2366" t="s">
        <v>5728</v>
      </c>
      <c r="N2366" t="s">
        <v>7867</v>
      </c>
      <c r="O2366" t="s">
        <v>7868</v>
      </c>
      <c r="P2366" s="2" t="s">
        <v>165</v>
      </c>
      <c r="Q2366" t="s">
        <v>1012</v>
      </c>
      <c r="R2366">
        <v>19.53</v>
      </c>
      <c r="S2366">
        <v>19.53</v>
      </c>
      <c r="T2366" t="s">
        <v>167</v>
      </c>
    </row>
    <row r="2367" spans="1:20" x14ac:dyDescent="0.25">
      <c r="A2367" s="1" t="str">
        <f>HYPERLINK("https://vegkart.atlas.vegvesen.no/#/@505795.2,7627271.1,18/hva:hva%5B0%5D%5Bfilter%5D%5B0%5D%5Boperator%5D=%21%3D&amp;hva%5B0%5D%5Bfilter%5D%5B0%5D%5Btype_id%5D=4723&amp;hva%5B0%5D%5Bfilter%5D%5B0%5D%5Bverdi%5D=&amp;hva%5B0%5D%5Bid%5D=15/når:2022-03-30", "Vegkart")</f>
        <v>Vegkart</v>
      </c>
      <c r="B2367">
        <v>1015247599</v>
      </c>
      <c r="C2367">
        <v>15</v>
      </c>
      <c r="D2367" t="s">
        <v>5814</v>
      </c>
      <c r="E2367">
        <v>4723</v>
      </c>
      <c r="F2367" t="s">
        <v>23479</v>
      </c>
      <c r="G2367">
        <v>1</v>
      </c>
      <c r="H2367" t="s">
        <v>7861</v>
      </c>
      <c r="J2367" t="s">
        <v>7832</v>
      </c>
      <c r="K2367" t="s">
        <v>53</v>
      </c>
      <c r="L2367" t="s">
        <v>33</v>
      </c>
      <c r="M2367" t="s">
        <v>5728</v>
      </c>
      <c r="N2367" t="s">
        <v>7869</v>
      </c>
      <c r="O2367" t="s">
        <v>7870</v>
      </c>
      <c r="P2367" s="2" t="s">
        <v>67</v>
      </c>
      <c r="Q2367" t="s">
        <v>68</v>
      </c>
      <c r="R2367">
        <v>47.72</v>
      </c>
      <c r="S2367">
        <v>47.72</v>
      </c>
      <c r="T2367" t="s">
        <v>7871</v>
      </c>
    </row>
    <row r="2368" spans="1:20" x14ac:dyDescent="0.25">
      <c r="A2368" s="1" t="str">
        <f>HYPERLINK("https://vegkart.atlas.vegvesen.no/#/@145316.4,6979556.3,18/hva:hva%5B0%5D%5Bfilter%5D%5B0%5D%5Boperator%5D=%21%3D&amp;hva%5B0%5D%5Bfilter%5D%5B0%5D%5Btype_id%5D=4723&amp;hva%5B0%5D%5Bfilter%5D%5B0%5D%5Bverdi%5D=&amp;hva%5B0%5D%5Bid%5D=15/når:2022-04-05", "Vegkart")</f>
        <v>Vegkart</v>
      </c>
      <c r="B2368">
        <v>1015255228</v>
      </c>
      <c r="C2368">
        <v>15</v>
      </c>
      <c r="D2368" t="s">
        <v>5814</v>
      </c>
      <c r="E2368">
        <v>4723</v>
      </c>
      <c r="F2368" t="s">
        <v>23479</v>
      </c>
      <c r="G2368">
        <v>1</v>
      </c>
      <c r="H2368" t="s">
        <v>7872</v>
      </c>
      <c r="J2368" t="s">
        <v>7832</v>
      </c>
      <c r="K2368" t="s">
        <v>32</v>
      </c>
      <c r="L2368" t="s">
        <v>33</v>
      </c>
      <c r="M2368" t="s">
        <v>2676</v>
      </c>
      <c r="N2368" t="s">
        <v>7873</v>
      </c>
      <c r="O2368" t="s">
        <v>7874</v>
      </c>
      <c r="P2368" s="2" t="s">
        <v>165</v>
      </c>
      <c r="Q2368" t="s">
        <v>641</v>
      </c>
      <c r="R2368">
        <v>0</v>
      </c>
      <c r="S2368">
        <v>443.37</v>
      </c>
      <c r="T2368" t="s">
        <v>167</v>
      </c>
    </row>
    <row r="2369" spans="1:20" x14ac:dyDescent="0.25">
      <c r="A2369" s="1" t="str">
        <f>HYPERLINK("https://vegkart.atlas.vegvesen.no/#/@145743.1,6979591.2,18/hva:hva%5B0%5D%5Bfilter%5D%5B0%5D%5Boperator%5D=%21%3D&amp;hva%5B0%5D%5Bfilter%5D%5B0%5D%5Btype_id%5D=4723&amp;hva%5B0%5D%5Bfilter%5D%5B0%5D%5Bverdi%5D=&amp;hva%5B0%5D%5Bid%5D=15/når:2022-04-05", "Vegkart")</f>
        <v>Vegkart</v>
      </c>
      <c r="B2369">
        <v>1015255230</v>
      </c>
      <c r="C2369">
        <v>15</v>
      </c>
      <c r="D2369" t="s">
        <v>5814</v>
      </c>
      <c r="E2369">
        <v>4723</v>
      </c>
      <c r="F2369" t="s">
        <v>23479</v>
      </c>
      <c r="G2369">
        <v>1</v>
      </c>
      <c r="H2369" t="s">
        <v>7872</v>
      </c>
      <c r="J2369" t="s">
        <v>7832</v>
      </c>
      <c r="K2369" t="s">
        <v>32</v>
      </c>
      <c r="L2369" t="s">
        <v>33</v>
      </c>
      <c r="M2369" t="s">
        <v>2676</v>
      </c>
      <c r="N2369" t="s">
        <v>7875</v>
      </c>
      <c r="O2369" t="s">
        <v>7876</v>
      </c>
      <c r="P2369" s="2" t="s">
        <v>67</v>
      </c>
      <c r="Q2369" t="s">
        <v>68</v>
      </c>
      <c r="R2369">
        <v>107.14</v>
      </c>
      <c r="S2369">
        <v>107.14</v>
      </c>
      <c r="T2369" t="s">
        <v>7877</v>
      </c>
    </row>
    <row r="2370" spans="1:20" x14ac:dyDescent="0.25">
      <c r="A2370" s="1" t="str">
        <f>HYPERLINK("https://vegkart.atlas.vegvesen.no/#/@46112.5,6769837.0,18/hva:hva%5B0%5D%5Bfilter%5D%5B0%5D%5Boperator%5D=%21%3D&amp;hva%5B0%5D%5Bfilter%5D%5B0%5D%5Btype_id%5D=4723&amp;hva%5B0%5D%5Bfilter%5D%5B0%5D%5Bverdi%5D=&amp;hva%5B0%5D%5Bid%5D=15/når:2022-04-06", "Vegkart")</f>
        <v>Vegkart</v>
      </c>
      <c r="B2370">
        <v>1015281565</v>
      </c>
      <c r="C2370">
        <v>15</v>
      </c>
      <c r="D2370" t="s">
        <v>5814</v>
      </c>
      <c r="E2370">
        <v>4723</v>
      </c>
      <c r="F2370" t="s">
        <v>23479</v>
      </c>
      <c r="G2370">
        <v>1</v>
      </c>
      <c r="H2370" t="s">
        <v>7878</v>
      </c>
      <c r="J2370" t="s">
        <v>7879</v>
      </c>
      <c r="K2370" t="s">
        <v>21</v>
      </c>
      <c r="L2370" t="s">
        <v>80</v>
      </c>
      <c r="M2370" t="s">
        <v>152</v>
      </c>
      <c r="N2370" t="s">
        <v>7880</v>
      </c>
      <c r="O2370" t="s">
        <v>7881</v>
      </c>
      <c r="P2370" s="2" t="s">
        <v>67</v>
      </c>
      <c r="Q2370" t="s">
        <v>68</v>
      </c>
      <c r="R2370">
        <v>24.98</v>
      </c>
      <c r="S2370">
        <v>26.27</v>
      </c>
      <c r="T2370" t="s">
        <v>7882</v>
      </c>
    </row>
    <row r="2371" spans="1:20" x14ac:dyDescent="0.25">
      <c r="A2371" s="1" t="str">
        <f>HYPERLINK("https://vegkart.atlas.vegvesen.no/#/@46273.8,6769848.3,18/hva:hva%5B0%5D%5Bfilter%5D%5B0%5D%5Boperator%5D=%21%3D&amp;hva%5B0%5D%5Bfilter%5D%5B0%5D%5Btype_id%5D=4723&amp;hva%5B0%5D%5Bfilter%5D%5B0%5D%5Bverdi%5D=&amp;hva%5B0%5D%5Bid%5D=15/når:2022-04-06", "Vegkart")</f>
        <v>Vegkart</v>
      </c>
      <c r="B2371">
        <v>1015281601</v>
      </c>
      <c r="C2371">
        <v>15</v>
      </c>
      <c r="D2371" t="s">
        <v>5814</v>
      </c>
      <c r="E2371">
        <v>4723</v>
      </c>
      <c r="F2371" t="s">
        <v>23479</v>
      </c>
      <c r="G2371">
        <v>1</v>
      </c>
      <c r="H2371" t="s">
        <v>7878</v>
      </c>
      <c r="J2371" t="s">
        <v>7879</v>
      </c>
      <c r="K2371" t="s">
        <v>21</v>
      </c>
      <c r="L2371" t="s">
        <v>80</v>
      </c>
      <c r="M2371" t="s">
        <v>152</v>
      </c>
      <c r="N2371" t="s">
        <v>7883</v>
      </c>
      <c r="O2371" t="s">
        <v>7884</v>
      </c>
      <c r="P2371" s="2" t="s">
        <v>67</v>
      </c>
      <c r="Q2371" t="s">
        <v>68</v>
      </c>
      <c r="R2371">
        <v>284.7</v>
      </c>
      <c r="S2371">
        <v>285</v>
      </c>
      <c r="T2371" t="s">
        <v>7885</v>
      </c>
    </row>
    <row r="2372" spans="1:20" x14ac:dyDescent="0.25">
      <c r="A2372" s="1" t="str">
        <f>HYPERLINK("https://vegkart.atlas.vegvesen.no/#/@47932.3,6770300.4,18/hva:hva%5B0%5D%5Bfilter%5D%5B0%5D%5Boperator%5D=%21%3D&amp;hva%5B0%5D%5Bfilter%5D%5B0%5D%5Btype_id%5D=4723&amp;hva%5B0%5D%5Bfilter%5D%5B0%5D%5Bverdi%5D=&amp;hva%5B0%5D%5Bid%5D=15/når:2022-04-06", "Vegkart")</f>
        <v>Vegkart</v>
      </c>
      <c r="B2372">
        <v>1015281689</v>
      </c>
      <c r="C2372">
        <v>15</v>
      </c>
      <c r="D2372" t="s">
        <v>5814</v>
      </c>
      <c r="E2372">
        <v>4723</v>
      </c>
      <c r="F2372" t="s">
        <v>23479</v>
      </c>
      <c r="G2372">
        <v>1</v>
      </c>
      <c r="H2372" t="s">
        <v>7878</v>
      </c>
      <c r="J2372" t="s">
        <v>7879</v>
      </c>
      <c r="K2372" t="s">
        <v>21</v>
      </c>
      <c r="L2372" t="s">
        <v>80</v>
      </c>
      <c r="M2372" t="s">
        <v>152</v>
      </c>
      <c r="N2372" t="s">
        <v>7886</v>
      </c>
      <c r="O2372" t="s">
        <v>7887</v>
      </c>
      <c r="P2372" s="2" t="s">
        <v>165</v>
      </c>
      <c r="Q2372" t="s">
        <v>1012</v>
      </c>
      <c r="R2372">
        <v>17.28</v>
      </c>
      <c r="S2372">
        <v>17.28</v>
      </c>
      <c r="T2372" t="s">
        <v>167</v>
      </c>
    </row>
    <row r="2373" spans="1:20" x14ac:dyDescent="0.25">
      <c r="A2373" s="1" t="str">
        <f>HYPERLINK("https://vegkart.atlas.vegvesen.no/#/@-34399.8,6723254.2,18/hva:hva%5B0%5D%5Bfilter%5D%5B0%5D%5Boperator%5D=%21%3D&amp;hva%5B0%5D%5Bfilter%5D%5B0%5D%5Btype_id%5D=4723&amp;hva%5B0%5D%5Bfilter%5D%5B0%5D%5Bverdi%5D=&amp;hva%5B0%5D%5Bid%5D=15/når:2022-10-27", "Vegkart")</f>
        <v>Vegkart</v>
      </c>
      <c r="B2373">
        <v>1015521585</v>
      </c>
      <c r="C2373">
        <v>15</v>
      </c>
      <c r="D2373" t="s">
        <v>5814</v>
      </c>
      <c r="E2373">
        <v>4723</v>
      </c>
      <c r="F2373" t="s">
        <v>23479</v>
      </c>
      <c r="G2373">
        <v>2</v>
      </c>
      <c r="H2373" t="s">
        <v>7888</v>
      </c>
      <c r="J2373" t="s">
        <v>7879</v>
      </c>
      <c r="K2373" t="s">
        <v>21</v>
      </c>
      <c r="L2373" t="s">
        <v>113</v>
      </c>
      <c r="M2373" t="s">
        <v>7889</v>
      </c>
      <c r="N2373" t="s">
        <v>7890</v>
      </c>
      <c r="O2373" t="s">
        <v>7891</v>
      </c>
      <c r="P2373" s="2" t="s">
        <v>165</v>
      </c>
      <c r="Q2373" t="s">
        <v>641</v>
      </c>
      <c r="R2373">
        <v>0</v>
      </c>
      <c r="S2373">
        <v>528.66</v>
      </c>
      <c r="T2373" t="s">
        <v>167</v>
      </c>
    </row>
    <row r="2374" spans="1:20" x14ac:dyDescent="0.25">
      <c r="A2374" s="1" t="str">
        <f>HYPERLINK("https://vegkart.atlas.vegvesen.no/#/@255543.8,6784533.3,18/hva:hva%5B0%5D%5Bfilter%5D%5B0%5D%5Boperator%5D=%21%3D&amp;hva%5B0%5D%5Bfilter%5D%5B0%5D%5Btype_id%5D=4723&amp;hva%5B0%5D%5Bfilter%5D%5B0%5D%5Bverdi%5D=&amp;hva%5B0%5D%5Bid%5D=15/når:2022-08-29", "Vegkart")</f>
        <v>Vegkart</v>
      </c>
      <c r="B2374">
        <v>1016269759</v>
      </c>
      <c r="C2374">
        <v>15</v>
      </c>
      <c r="D2374" t="s">
        <v>5814</v>
      </c>
      <c r="E2374">
        <v>4723</v>
      </c>
      <c r="F2374" t="s">
        <v>23479</v>
      </c>
      <c r="G2374">
        <v>1</v>
      </c>
      <c r="H2374" t="s">
        <v>7892</v>
      </c>
      <c r="J2374" t="s">
        <v>7893</v>
      </c>
      <c r="K2374" t="s">
        <v>136</v>
      </c>
      <c r="L2374" t="s">
        <v>33</v>
      </c>
      <c r="M2374" t="s">
        <v>7894</v>
      </c>
      <c r="N2374" t="s">
        <v>7895</v>
      </c>
      <c r="O2374" t="s">
        <v>7896</v>
      </c>
      <c r="P2374" s="2" t="s">
        <v>67</v>
      </c>
      <c r="Q2374" t="s">
        <v>68</v>
      </c>
      <c r="R2374">
        <v>91.02</v>
      </c>
      <c r="S2374">
        <v>93.7</v>
      </c>
      <c r="T2374" t="s">
        <v>7897</v>
      </c>
    </row>
    <row r="2375" spans="1:20" x14ac:dyDescent="0.25">
      <c r="A2375" s="1" t="str">
        <f>HYPERLINK("https://vegkart.atlas.vegvesen.no/#/@255561.3,6784478.3,18/hva:hva%5B0%5D%5Bfilter%5D%5B0%5D%5Boperator%5D=%21%3D&amp;hva%5B0%5D%5Bfilter%5D%5B0%5D%5Btype_id%5D=4723&amp;hva%5B0%5D%5Bfilter%5D%5B0%5D%5Bverdi%5D=&amp;hva%5B0%5D%5Bid%5D=15/når:2022-08-29", "Vegkart")</f>
        <v>Vegkart</v>
      </c>
      <c r="B2375">
        <v>1016269760</v>
      </c>
      <c r="C2375">
        <v>15</v>
      </c>
      <c r="D2375" t="s">
        <v>5814</v>
      </c>
      <c r="E2375">
        <v>4723</v>
      </c>
      <c r="F2375" t="s">
        <v>23479</v>
      </c>
      <c r="G2375">
        <v>1</v>
      </c>
      <c r="H2375" t="s">
        <v>7892</v>
      </c>
      <c r="J2375" t="s">
        <v>7893</v>
      </c>
      <c r="K2375" t="s">
        <v>136</v>
      </c>
      <c r="L2375" t="s">
        <v>33</v>
      </c>
      <c r="M2375" t="s">
        <v>7894</v>
      </c>
      <c r="N2375" t="s">
        <v>7898</v>
      </c>
      <c r="O2375" t="s">
        <v>7899</v>
      </c>
      <c r="P2375" s="2" t="s">
        <v>37</v>
      </c>
      <c r="Q2375" t="s">
        <v>1208</v>
      </c>
      <c r="R2375">
        <v>15.22</v>
      </c>
      <c r="S2375">
        <v>22.16</v>
      </c>
      <c r="T2375" t="s">
        <v>7900</v>
      </c>
    </row>
    <row r="2376" spans="1:20" x14ac:dyDescent="0.25">
      <c r="A2376" s="1" t="str">
        <f>HYPERLINK("https://vegkart.atlas.vegvesen.no/#/@-34072.4,6574625.3,18/hva:hva%5B0%5D%5Bfilter%5D%5B0%5D%5Boperator%5D=%21%3D&amp;hva%5B0%5D%5Bfilter%5D%5B0%5D%5Btype_id%5D=4723&amp;hva%5B0%5D%5Bfilter%5D%5B0%5D%5Bverdi%5D=&amp;hva%5B0%5D%5Bid%5D=15/når:2022-09-16", "Vegkart")</f>
        <v>Vegkart</v>
      </c>
      <c r="B2376">
        <v>1016333651</v>
      </c>
      <c r="C2376">
        <v>15</v>
      </c>
      <c r="D2376" t="s">
        <v>5814</v>
      </c>
      <c r="E2376">
        <v>4723</v>
      </c>
      <c r="F2376" t="s">
        <v>23479</v>
      </c>
      <c r="G2376">
        <v>1</v>
      </c>
      <c r="H2376" t="s">
        <v>380</v>
      </c>
      <c r="J2376" t="s">
        <v>7893</v>
      </c>
      <c r="K2376" t="s">
        <v>170</v>
      </c>
      <c r="L2376" t="s">
        <v>33</v>
      </c>
      <c r="M2376" t="s">
        <v>381</v>
      </c>
      <c r="N2376" t="s">
        <v>7901</v>
      </c>
      <c r="O2376" t="s">
        <v>7902</v>
      </c>
      <c r="P2376" s="2" t="s">
        <v>165</v>
      </c>
      <c r="Q2376" t="s">
        <v>641</v>
      </c>
      <c r="R2376">
        <v>0</v>
      </c>
      <c r="S2376">
        <v>245.18</v>
      </c>
      <c r="T2376" t="s">
        <v>167</v>
      </c>
    </row>
    <row r="2377" spans="1:20" x14ac:dyDescent="0.25">
      <c r="A2377" s="1" t="str">
        <f>HYPERLINK("https://vegkart.atlas.vegvesen.no/#/@260962.7,6748170.0,18/hva:hva%5B0%5D%5Bfilter%5D%5B0%5D%5Boperator%5D=%21%3D&amp;hva%5B0%5D%5Bfilter%5D%5B0%5D%5Btype_id%5D=4723&amp;hva%5B0%5D%5Bfilter%5D%5B0%5D%5Bverdi%5D=&amp;hva%5B0%5D%5Bid%5D=15/når:2023-01-12", "Vegkart")</f>
        <v>Vegkart</v>
      </c>
      <c r="B2377">
        <v>1017176837</v>
      </c>
      <c r="C2377">
        <v>15</v>
      </c>
      <c r="D2377" t="s">
        <v>5814</v>
      </c>
      <c r="E2377">
        <v>4723</v>
      </c>
      <c r="F2377" t="s">
        <v>23479</v>
      </c>
      <c r="G2377">
        <v>1</v>
      </c>
      <c r="H2377" t="s">
        <v>7903</v>
      </c>
      <c r="J2377" t="s">
        <v>7904</v>
      </c>
      <c r="K2377" t="s">
        <v>136</v>
      </c>
      <c r="L2377" t="s">
        <v>33</v>
      </c>
      <c r="M2377" t="s">
        <v>7905</v>
      </c>
      <c r="N2377" t="s">
        <v>7906</v>
      </c>
      <c r="O2377" t="s">
        <v>7907</v>
      </c>
      <c r="P2377" s="2" t="s">
        <v>165</v>
      </c>
      <c r="Q2377" t="s">
        <v>166</v>
      </c>
      <c r="R2377">
        <v>0</v>
      </c>
      <c r="S2377">
        <v>52.92</v>
      </c>
      <c r="T2377" t="s">
        <v>167</v>
      </c>
    </row>
    <row r="2378" spans="1:20" x14ac:dyDescent="0.25">
      <c r="A2378" s="1" t="str">
        <f>HYPERLINK("https://vegkart.atlas.vegvesen.no/#/@274122.9,7041256.6,18/hva:hva%5B0%5D%5Bfilter%5D%5B0%5D%5Boperator%5D=%21%3D&amp;hva%5B0%5D%5Bfilter%5D%5B0%5D%5Btype_id%5D=4723&amp;hva%5B0%5D%5Bfilter%5D%5B0%5D%5Bverdi%5D=&amp;hva%5B0%5D%5Bid%5D=15/når:2023-01-20", "Vegkart")</f>
        <v>Vegkart</v>
      </c>
      <c r="B2378">
        <v>1017195910</v>
      </c>
      <c r="C2378">
        <v>15</v>
      </c>
      <c r="D2378" t="s">
        <v>5814</v>
      </c>
      <c r="E2378">
        <v>4723</v>
      </c>
      <c r="F2378" t="s">
        <v>23479</v>
      </c>
      <c r="G2378">
        <v>1</v>
      </c>
      <c r="H2378" t="s">
        <v>7908</v>
      </c>
      <c r="J2378" t="s">
        <v>7904</v>
      </c>
      <c r="K2378" t="s">
        <v>192</v>
      </c>
      <c r="L2378" t="s">
        <v>22</v>
      </c>
      <c r="M2378" t="s">
        <v>7909</v>
      </c>
      <c r="N2378" t="s">
        <v>7910</v>
      </c>
      <c r="O2378" t="s">
        <v>7911</v>
      </c>
      <c r="P2378" s="2" t="s">
        <v>165</v>
      </c>
      <c r="Q2378" t="s">
        <v>641</v>
      </c>
      <c r="R2378">
        <v>0</v>
      </c>
      <c r="S2378">
        <v>334.19</v>
      </c>
      <c r="T2378" t="s">
        <v>167</v>
      </c>
    </row>
    <row r="2379" spans="1:20" x14ac:dyDescent="0.25">
      <c r="A2379" s="1" t="str">
        <f>HYPERLINK("https://vegkart.atlas.vegvesen.no/#/@274194.2,7041170.9,18/hva:hva%5B0%5D%5Bfilter%5D%5B0%5D%5Boperator%5D=%21%3D&amp;hva%5B0%5D%5Bfilter%5D%5B0%5D%5Btype_id%5D=4723&amp;hva%5B0%5D%5Bfilter%5D%5B0%5D%5Bverdi%5D=&amp;hva%5B0%5D%5Bid%5D=15/når:2023-01-20", "Vegkart")</f>
        <v>Vegkart</v>
      </c>
      <c r="B2379">
        <v>1017195911</v>
      </c>
      <c r="C2379">
        <v>15</v>
      </c>
      <c r="D2379" t="s">
        <v>5814</v>
      </c>
      <c r="E2379">
        <v>4723</v>
      </c>
      <c r="F2379" t="s">
        <v>23479</v>
      </c>
      <c r="G2379">
        <v>1</v>
      </c>
      <c r="H2379" t="s">
        <v>7908</v>
      </c>
      <c r="J2379" t="s">
        <v>7904</v>
      </c>
      <c r="K2379" t="s">
        <v>192</v>
      </c>
      <c r="L2379" t="s">
        <v>22</v>
      </c>
      <c r="M2379" t="s">
        <v>7909</v>
      </c>
      <c r="N2379" t="s">
        <v>7912</v>
      </c>
      <c r="O2379" t="s">
        <v>7913</v>
      </c>
      <c r="P2379" s="2" t="s">
        <v>165</v>
      </c>
      <c r="Q2379" t="s">
        <v>641</v>
      </c>
      <c r="R2379">
        <v>0</v>
      </c>
      <c r="S2379">
        <v>41.51</v>
      </c>
      <c r="T2379" t="s">
        <v>167</v>
      </c>
    </row>
    <row r="2380" spans="1:20" x14ac:dyDescent="0.25">
      <c r="A2380" s="1" t="str">
        <f>HYPERLINK("https://vegkart.atlas.vegvesen.no/#/@76814.8,6461205.2,18/hva:hva%5B0%5D%5Bfilter%5D%5B0%5D%5Boperator%5D=%21%3D&amp;hva%5B0%5D%5Bfilter%5D%5B0%5D%5Btype_id%5D=4723&amp;hva%5B0%5D%5Bfilter%5D%5B0%5D%5Bverdi%5D=&amp;hva%5B0%5D%5Bid%5D=15/når:2023-03-14", "Vegkart")</f>
        <v>Vegkart</v>
      </c>
      <c r="B2380">
        <v>1017490097</v>
      </c>
      <c r="C2380">
        <v>15</v>
      </c>
      <c r="D2380" t="s">
        <v>5814</v>
      </c>
      <c r="E2380">
        <v>4723</v>
      </c>
      <c r="F2380" t="s">
        <v>23479</v>
      </c>
      <c r="G2380">
        <v>1</v>
      </c>
      <c r="H2380" t="s">
        <v>7914</v>
      </c>
      <c r="J2380" t="s">
        <v>7915</v>
      </c>
      <c r="K2380" t="s">
        <v>86</v>
      </c>
      <c r="L2380" t="s">
        <v>33</v>
      </c>
      <c r="M2380" t="s">
        <v>1042</v>
      </c>
      <c r="N2380" t="s">
        <v>7916</v>
      </c>
      <c r="O2380" t="s">
        <v>7917</v>
      </c>
      <c r="P2380" s="2" t="s">
        <v>37</v>
      </c>
      <c r="Q2380" t="s">
        <v>1208</v>
      </c>
      <c r="R2380">
        <v>0</v>
      </c>
      <c r="S2380">
        <v>398.95</v>
      </c>
      <c r="T2380" t="s">
        <v>7918</v>
      </c>
    </row>
    <row r="2381" spans="1:20" x14ac:dyDescent="0.25">
      <c r="A2381" s="1" t="str">
        <f>HYPERLINK("https://vegkart.atlas.vegvesen.no/#/@-49299.1,6624096.9,18/hva:hva%5B0%5D%5Bfilter%5D%5B0%5D%5Boperator%5D=%21%3D&amp;hva%5B0%5D%5Bfilter%5D%5B0%5D%5Btype_id%5D=4723&amp;hva%5B0%5D%5Bfilter%5D%5B0%5D%5Bverdi%5D=&amp;hva%5B0%5D%5Bid%5D=15/når:2023-04-03", "Vegkart")</f>
        <v>Vegkart</v>
      </c>
      <c r="B2381">
        <v>1017556381</v>
      </c>
      <c r="C2381">
        <v>15</v>
      </c>
      <c r="D2381" t="s">
        <v>5814</v>
      </c>
      <c r="E2381">
        <v>4723</v>
      </c>
      <c r="F2381" t="s">
        <v>23479</v>
      </c>
      <c r="G2381">
        <v>1</v>
      </c>
      <c r="H2381" t="s">
        <v>7919</v>
      </c>
      <c r="J2381" t="s">
        <v>7915</v>
      </c>
      <c r="K2381" t="s">
        <v>170</v>
      </c>
      <c r="L2381" t="s">
        <v>80</v>
      </c>
      <c r="M2381" t="s">
        <v>645</v>
      </c>
      <c r="N2381" t="s">
        <v>7920</v>
      </c>
      <c r="O2381" t="s">
        <v>7921</v>
      </c>
      <c r="P2381" s="2" t="s">
        <v>37</v>
      </c>
      <c r="Q2381" t="s">
        <v>1208</v>
      </c>
      <c r="R2381">
        <v>3.06</v>
      </c>
      <c r="S2381">
        <v>78.239999999999995</v>
      </c>
      <c r="T2381" t="s">
        <v>7922</v>
      </c>
    </row>
    <row r="2382" spans="1:20" x14ac:dyDescent="0.25">
      <c r="A2382" s="1" t="str">
        <f>HYPERLINK("https://vegkart.atlas.vegvesen.no/#/@-31776.5,6588107.1,18/hva:hva%5B0%5D%5Bfilter%5D%5B0%5D%5Boperator%5D=%21%3D&amp;hva%5B0%5D%5Bfilter%5D%5B0%5D%5Btype_id%5D=4723&amp;hva%5B0%5D%5Bfilter%5D%5B0%5D%5Bverdi%5D=&amp;hva%5B0%5D%5Bid%5D=15/når:2023-05-09", "Vegkart")</f>
        <v>Vegkart</v>
      </c>
      <c r="B2382">
        <v>1017639271</v>
      </c>
      <c r="C2382">
        <v>15</v>
      </c>
      <c r="D2382" t="s">
        <v>5814</v>
      </c>
      <c r="E2382">
        <v>4723</v>
      </c>
      <c r="F2382" t="s">
        <v>23479</v>
      </c>
      <c r="G2382">
        <v>1</v>
      </c>
      <c r="H2382" t="s">
        <v>7923</v>
      </c>
      <c r="J2382" t="s">
        <v>7915</v>
      </c>
      <c r="K2382" t="s">
        <v>170</v>
      </c>
      <c r="L2382" t="s">
        <v>33</v>
      </c>
      <c r="M2382" t="s">
        <v>7924</v>
      </c>
      <c r="N2382" t="s">
        <v>7925</v>
      </c>
      <c r="O2382" t="s">
        <v>7926</v>
      </c>
      <c r="P2382" s="2" t="s">
        <v>37</v>
      </c>
      <c r="Q2382" t="s">
        <v>1208</v>
      </c>
      <c r="R2382">
        <v>7.0000000000000007E-2</v>
      </c>
      <c r="S2382">
        <v>164.73</v>
      </c>
      <c r="T2382" t="s">
        <v>7927</v>
      </c>
    </row>
    <row r="2383" spans="1:20" x14ac:dyDescent="0.25">
      <c r="A2383" s="1" t="str">
        <f>HYPERLINK("https://vegkart.atlas.vegvesen.no/#/@76361.4,6814080.1,18/hva:hva%5B0%5D%5Bfilter%5D%5B0%5D%5Boperator%5D=%21%3D&amp;hva%5B0%5D%5Bfilter%5D%5B0%5D%5Btype_id%5D=4723&amp;hva%5B0%5D%5Bfilter%5D%5B0%5D%5Bverdi%5D=&amp;hva%5B0%5D%5Bid%5D=15/når:2023-05-27", "Vegkart")</f>
        <v>Vegkart</v>
      </c>
      <c r="B2383">
        <v>1017688892</v>
      </c>
      <c r="C2383">
        <v>15</v>
      </c>
      <c r="D2383" t="s">
        <v>5814</v>
      </c>
      <c r="E2383">
        <v>4723</v>
      </c>
      <c r="F2383" t="s">
        <v>23479</v>
      </c>
      <c r="G2383">
        <v>1</v>
      </c>
      <c r="H2383" t="s">
        <v>7928</v>
      </c>
      <c r="J2383" t="s">
        <v>7915</v>
      </c>
      <c r="K2383" t="s">
        <v>21</v>
      </c>
      <c r="L2383" t="s">
        <v>33</v>
      </c>
      <c r="M2383" t="s">
        <v>64</v>
      </c>
      <c r="N2383" t="s">
        <v>7929</v>
      </c>
      <c r="O2383" t="s">
        <v>7930</v>
      </c>
      <c r="P2383" s="2" t="s">
        <v>37</v>
      </c>
      <c r="Q2383" t="s">
        <v>1208</v>
      </c>
      <c r="R2383">
        <v>0</v>
      </c>
      <c r="S2383">
        <v>47.92</v>
      </c>
      <c r="T2383" t="s">
        <v>7931</v>
      </c>
    </row>
    <row r="2384" spans="1:20" x14ac:dyDescent="0.25">
      <c r="A2384" s="1" t="str">
        <f>HYPERLINK("https://vegkart.atlas.vegvesen.no/#/@76524.8,6814182.2,18/hva:hva%5B0%5D%5Bfilter%5D%5B0%5D%5Boperator%5D=%21%3D&amp;hva%5B0%5D%5Bfilter%5D%5B0%5D%5Btype_id%5D=4723&amp;hva%5B0%5D%5Bfilter%5D%5B0%5D%5Bverdi%5D=&amp;hva%5B0%5D%5Bid%5D=15/når:2023-05-27", "Vegkart")</f>
        <v>Vegkart</v>
      </c>
      <c r="B2384">
        <v>1017688893</v>
      </c>
      <c r="C2384">
        <v>15</v>
      </c>
      <c r="D2384" t="s">
        <v>5814</v>
      </c>
      <c r="E2384">
        <v>4723</v>
      </c>
      <c r="F2384" t="s">
        <v>23479</v>
      </c>
      <c r="G2384">
        <v>1</v>
      </c>
      <c r="H2384" t="s">
        <v>7928</v>
      </c>
      <c r="J2384" t="s">
        <v>7915</v>
      </c>
      <c r="K2384" t="s">
        <v>21</v>
      </c>
      <c r="L2384" t="s">
        <v>113</v>
      </c>
      <c r="M2384" t="s">
        <v>507</v>
      </c>
      <c r="N2384" t="s">
        <v>7932</v>
      </c>
      <c r="O2384" t="s">
        <v>7933</v>
      </c>
      <c r="P2384" s="2" t="s">
        <v>37</v>
      </c>
      <c r="Q2384" t="s">
        <v>1208</v>
      </c>
      <c r="R2384">
        <v>0</v>
      </c>
      <c r="S2384">
        <v>30.74</v>
      </c>
      <c r="T2384" t="s">
        <v>7934</v>
      </c>
    </row>
    <row r="2385" spans="1:20" x14ac:dyDescent="0.25">
      <c r="A2385" s="1" t="str">
        <f>HYPERLINK("https://vegkart.atlas.vegvesen.no/#/@76469.0,6814135.1,18/hva:hva%5B0%5D%5Bfilter%5D%5B0%5D%5Boperator%5D=%21%3D&amp;hva%5B0%5D%5Bfilter%5D%5B0%5D%5Btype_id%5D=4723&amp;hva%5B0%5D%5Bfilter%5D%5B0%5D%5Bverdi%5D=&amp;hva%5B0%5D%5Bid%5D=15/når:2023-05-27", "Vegkart")</f>
        <v>Vegkart</v>
      </c>
      <c r="B2385">
        <v>1017688894</v>
      </c>
      <c r="C2385">
        <v>15</v>
      </c>
      <c r="D2385" t="s">
        <v>5814</v>
      </c>
      <c r="E2385">
        <v>4723</v>
      </c>
      <c r="F2385" t="s">
        <v>23479</v>
      </c>
      <c r="G2385">
        <v>1</v>
      </c>
      <c r="H2385" t="s">
        <v>7928</v>
      </c>
      <c r="J2385" t="s">
        <v>7915</v>
      </c>
      <c r="K2385" t="s">
        <v>21</v>
      </c>
      <c r="L2385" t="s">
        <v>113</v>
      </c>
      <c r="M2385" t="s">
        <v>507</v>
      </c>
      <c r="N2385" t="s">
        <v>7935</v>
      </c>
      <c r="O2385" t="s">
        <v>7936</v>
      </c>
      <c r="P2385" s="2" t="s">
        <v>37</v>
      </c>
      <c r="Q2385" t="s">
        <v>1208</v>
      </c>
      <c r="R2385">
        <v>0</v>
      </c>
      <c r="S2385">
        <v>169.28</v>
      </c>
      <c r="T2385" t="s">
        <v>7937</v>
      </c>
    </row>
    <row r="2386" spans="1:20" x14ac:dyDescent="0.25">
      <c r="A2386" s="1" t="str">
        <f>HYPERLINK("https://vegkart.atlas.vegvesen.no/#/@76533.0,6814183.0,18/hva:hva%5B0%5D%5Bfilter%5D%5B0%5D%5Boperator%5D=%21%3D&amp;hva%5B0%5D%5Bfilter%5D%5B0%5D%5Btype_id%5D=4723&amp;hva%5B0%5D%5Bfilter%5D%5B0%5D%5Bverdi%5D=&amp;hva%5B0%5D%5Bid%5D=15/når:2023-05-27", "Vegkart")</f>
        <v>Vegkart</v>
      </c>
      <c r="B2386">
        <v>1017688895</v>
      </c>
      <c r="C2386">
        <v>15</v>
      </c>
      <c r="D2386" t="s">
        <v>5814</v>
      </c>
      <c r="E2386">
        <v>4723</v>
      </c>
      <c r="F2386" t="s">
        <v>23479</v>
      </c>
      <c r="G2386">
        <v>1</v>
      </c>
      <c r="H2386" t="s">
        <v>7928</v>
      </c>
      <c r="J2386" t="s">
        <v>7915</v>
      </c>
      <c r="K2386" t="s">
        <v>21</v>
      </c>
      <c r="L2386" t="s">
        <v>113</v>
      </c>
      <c r="M2386" t="s">
        <v>507</v>
      </c>
      <c r="N2386" t="s">
        <v>7938</v>
      </c>
      <c r="O2386" t="s">
        <v>7939</v>
      </c>
      <c r="P2386" s="2" t="s">
        <v>37</v>
      </c>
      <c r="Q2386" t="s">
        <v>1208</v>
      </c>
      <c r="R2386">
        <v>0</v>
      </c>
      <c r="S2386">
        <v>24.72</v>
      </c>
      <c r="T2386" t="s">
        <v>7940</v>
      </c>
    </row>
    <row r="2387" spans="1:20" x14ac:dyDescent="0.25">
      <c r="A2387" s="1" t="str">
        <f>HYPERLINK("https://vegkart.atlas.vegvesen.no/#/@76375.9,6814064.9,18/hva:hva%5B0%5D%5Bfilter%5D%5B0%5D%5Boperator%5D=%21%3D&amp;hva%5B0%5D%5Bfilter%5D%5B0%5D%5Btype_id%5D=4723&amp;hva%5B0%5D%5Bfilter%5D%5B0%5D%5Bverdi%5D=&amp;hva%5B0%5D%5Bid%5D=15/når:2023-05-27", "Vegkart")</f>
        <v>Vegkart</v>
      </c>
      <c r="B2387">
        <v>1017688896</v>
      </c>
      <c r="C2387">
        <v>15</v>
      </c>
      <c r="D2387" t="s">
        <v>5814</v>
      </c>
      <c r="E2387">
        <v>4723</v>
      </c>
      <c r="F2387" t="s">
        <v>23479</v>
      </c>
      <c r="G2387">
        <v>1</v>
      </c>
      <c r="H2387" t="s">
        <v>7928</v>
      </c>
      <c r="J2387" t="s">
        <v>7915</v>
      </c>
      <c r="K2387" t="s">
        <v>21</v>
      </c>
      <c r="L2387" t="s">
        <v>33</v>
      </c>
      <c r="M2387" t="s">
        <v>64</v>
      </c>
      <c r="N2387" t="s">
        <v>7941</v>
      </c>
      <c r="O2387" t="s">
        <v>7942</v>
      </c>
      <c r="P2387" s="2" t="s">
        <v>37</v>
      </c>
      <c r="Q2387" t="s">
        <v>1208</v>
      </c>
      <c r="R2387">
        <v>0</v>
      </c>
      <c r="S2387">
        <v>69.11</v>
      </c>
      <c r="T2387" t="s">
        <v>7943</v>
      </c>
    </row>
    <row r="2388" spans="1:20" x14ac:dyDescent="0.25">
      <c r="A2388" s="1" t="str">
        <f>HYPERLINK("https://vegkart.atlas.vegvesen.no/#/@76398.2,6814071.9,18/hva:hva%5B0%5D%5Bfilter%5D%5B0%5D%5Boperator%5D=%21%3D&amp;hva%5B0%5D%5Bfilter%5D%5B0%5D%5Btype_id%5D=4723&amp;hva%5B0%5D%5Bfilter%5D%5B0%5D%5Bverdi%5D=&amp;hva%5B0%5D%5Bid%5D=15/når:2023-06-01", "Vegkart")</f>
        <v>Vegkart</v>
      </c>
      <c r="B2388">
        <v>1017688897</v>
      </c>
      <c r="C2388">
        <v>15</v>
      </c>
      <c r="D2388" t="s">
        <v>5814</v>
      </c>
      <c r="E2388">
        <v>4723</v>
      </c>
      <c r="F2388" t="s">
        <v>23479</v>
      </c>
      <c r="G2388">
        <v>2</v>
      </c>
      <c r="H2388" t="s">
        <v>7944</v>
      </c>
      <c r="J2388" t="s">
        <v>7915</v>
      </c>
      <c r="K2388" t="s">
        <v>21</v>
      </c>
      <c r="L2388" t="s">
        <v>113</v>
      </c>
      <c r="M2388" t="s">
        <v>507</v>
      </c>
      <c r="N2388" t="s">
        <v>7945</v>
      </c>
      <c r="O2388" t="s">
        <v>7946</v>
      </c>
      <c r="P2388" s="2" t="s">
        <v>37</v>
      </c>
      <c r="Q2388" t="s">
        <v>1208</v>
      </c>
      <c r="R2388">
        <v>0</v>
      </c>
      <c r="S2388">
        <v>45.94</v>
      </c>
      <c r="T2388" t="s">
        <v>7947</v>
      </c>
    </row>
    <row r="2389" spans="1:20" x14ac:dyDescent="0.25">
      <c r="A2389" s="1" t="str">
        <f>HYPERLINK("https://vegkart.atlas.vegvesen.no/#/@268386.8,7041774.2,18/hva:hva%5B0%5D%5Bfilter%5D%5B0%5D%5Boperator%5D=%21%3D&amp;hva%5B0%5D%5Bfilter%5D%5B0%5D%5Btype_id%5D=4723&amp;hva%5B0%5D%5Bfilter%5D%5B0%5D%5Bverdi%5D=&amp;hva%5B0%5D%5Bid%5D=15/når:2023-06-21", "Vegkart")</f>
        <v>Vegkart</v>
      </c>
      <c r="B2389">
        <v>1017747976</v>
      </c>
      <c r="C2389">
        <v>15</v>
      </c>
      <c r="D2389" t="s">
        <v>5814</v>
      </c>
      <c r="E2389">
        <v>4723</v>
      </c>
      <c r="F2389" t="s">
        <v>23479</v>
      </c>
      <c r="G2389">
        <v>1</v>
      </c>
      <c r="H2389" t="s">
        <v>7948</v>
      </c>
      <c r="J2389" t="s">
        <v>7915</v>
      </c>
      <c r="K2389" t="s">
        <v>192</v>
      </c>
      <c r="L2389" t="s">
        <v>22</v>
      </c>
      <c r="M2389" t="s">
        <v>7949</v>
      </c>
      <c r="N2389" t="s">
        <v>7950</v>
      </c>
      <c r="O2389" t="s">
        <v>7951</v>
      </c>
      <c r="P2389" s="2" t="s">
        <v>37</v>
      </c>
      <c r="Q2389" t="s">
        <v>1208</v>
      </c>
      <c r="R2389">
        <v>0</v>
      </c>
      <c r="S2389">
        <v>65.650000000000006</v>
      </c>
      <c r="T2389" t="s">
        <v>7952</v>
      </c>
    </row>
    <row r="2390" spans="1:20" x14ac:dyDescent="0.25">
      <c r="A2390" s="1" t="str">
        <f>HYPERLINK("https://vegkart.atlas.vegvesen.no/#/@268370.4,7041776.9,18/hva:hva%5B0%5D%5Bfilter%5D%5B0%5D%5Boperator%5D=%21%3D&amp;hva%5B0%5D%5Bfilter%5D%5B0%5D%5Btype_id%5D=4723&amp;hva%5B0%5D%5Bfilter%5D%5B0%5D%5Bverdi%5D=&amp;hva%5B0%5D%5Bid%5D=15/når:2023-06-21", "Vegkart")</f>
        <v>Vegkart</v>
      </c>
      <c r="B2390">
        <v>1017747977</v>
      </c>
      <c r="C2390">
        <v>15</v>
      </c>
      <c r="D2390" t="s">
        <v>5814</v>
      </c>
      <c r="E2390">
        <v>4723</v>
      </c>
      <c r="F2390" t="s">
        <v>23479</v>
      </c>
      <c r="G2390">
        <v>1</v>
      </c>
      <c r="H2390" t="s">
        <v>7948</v>
      </c>
      <c r="J2390" t="s">
        <v>7915</v>
      </c>
      <c r="K2390" t="s">
        <v>192</v>
      </c>
      <c r="L2390" t="s">
        <v>22</v>
      </c>
      <c r="M2390" t="s">
        <v>7953</v>
      </c>
      <c r="N2390" t="s">
        <v>7954</v>
      </c>
      <c r="O2390" t="s">
        <v>7955</v>
      </c>
      <c r="P2390" s="2" t="s">
        <v>37</v>
      </c>
      <c r="Q2390" t="s">
        <v>1208</v>
      </c>
      <c r="R2390">
        <v>0</v>
      </c>
      <c r="S2390">
        <v>62.06</v>
      </c>
      <c r="T2390" t="s">
        <v>7956</v>
      </c>
    </row>
    <row r="2391" spans="1:20" x14ac:dyDescent="0.25">
      <c r="A2391" s="1" t="str">
        <f>HYPERLINK("https://vegkart.atlas.vegvesen.no/#/@366679.4,7240388.3,18/hva:hva%5B0%5D%5Bfilter%5D%5B0%5D%5Boperator%5D=%21%3D&amp;hva%5B0%5D%5Bfilter%5D%5B0%5D%5Btype_id%5D=4723&amp;hva%5B0%5D%5Bfilter%5D%5B0%5D%5Bverdi%5D=&amp;hva%5B0%5D%5Bid%5D=15/når:2023-06-23", "Vegkart")</f>
        <v>Vegkart</v>
      </c>
      <c r="B2391">
        <v>1017750887</v>
      </c>
      <c r="C2391">
        <v>15</v>
      </c>
      <c r="D2391" t="s">
        <v>5814</v>
      </c>
      <c r="E2391">
        <v>4723</v>
      </c>
      <c r="F2391" t="s">
        <v>23479</v>
      </c>
      <c r="G2391">
        <v>1</v>
      </c>
      <c r="H2391" t="s">
        <v>7957</v>
      </c>
      <c r="J2391" t="s">
        <v>7915</v>
      </c>
      <c r="K2391" t="s">
        <v>53</v>
      </c>
      <c r="L2391" t="s">
        <v>33</v>
      </c>
      <c r="M2391" t="s">
        <v>473</v>
      </c>
      <c r="N2391" t="s">
        <v>7958</v>
      </c>
      <c r="O2391" t="s">
        <v>7959</v>
      </c>
      <c r="P2391" s="2" t="s">
        <v>67</v>
      </c>
      <c r="Q2391" t="s">
        <v>68</v>
      </c>
      <c r="R2391">
        <v>26.92</v>
      </c>
      <c r="S2391">
        <v>26.92</v>
      </c>
      <c r="T2391" t="s">
        <v>7960</v>
      </c>
    </row>
    <row r="2392" spans="1:20" x14ac:dyDescent="0.25">
      <c r="A2392" s="1" t="str">
        <f>HYPERLINK("https://vegkart.atlas.vegvesen.no/#/@366691.7,7240365.9,18/hva:hva%5B0%5D%5Bfilter%5D%5B0%5D%5Boperator%5D=%21%3D&amp;hva%5B0%5D%5Bfilter%5D%5B0%5D%5Btype_id%5D=4723&amp;hva%5B0%5D%5Bfilter%5D%5B0%5D%5Bverdi%5D=&amp;hva%5B0%5D%5Bid%5D=15/når:2023-06-23", "Vegkart")</f>
        <v>Vegkart</v>
      </c>
      <c r="B2392">
        <v>1017750889</v>
      </c>
      <c r="C2392">
        <v>15</v>
      </c>
      <c r="D2392" t="s">
        <v>5814</v>
      </c>
      <c r="E2392">
        <v>4723</v>
      </c>
      <c r="F2392" t="s">
        <v>23479</v>
      </c>
      <c r="G2392">
        <v>1</v>
      </c>
      <c r="H2392" t="s">
        <v>7957</v>
      </c>
      <c r="J2392" t="s">
        <v>7915</v>
      </c>
      <c r="K2392" t="s">
        <v>53</v>
      </c>
      <c r="L2392" t="s">
        <v>33</v>
      </c>
      <c r="M2392" t="s">
        <v>473</v>
      </c>
      <c r="N2392" t="s">
        <v>7961</v>
      </c>
      <c r="O2392" t="s">
        <v>7962</v>
      </c>
      <c r="P2392" s="2" t="s">
        <v>67</v>
      </c>
      <c r="Q2392" t="s">
        <v>68</v>
      </c>
      <c r="R2392">
        <v>31.7</v>
      </c>
      <c r="S2392">
        <v>31.7</v>
      </c>
      <c r="T2392" t="s">
        <v>7963</v>
      </c>
    </row>
    <row r="2393" spans="1:20" x14ac:dyDescent="0.25">
      <c r="A2393" s="1" t="str">
        <f>HYPERLINK("https://vegkart.atlas.vegvesen.no/#/@366698.8,7240391.6,18/hva:hva%5B0%5D%5Bfilter%5D%5B0%5D%5Boperator%5D=%21%3D&amp;hva%5B0%5D%5Bfilter%5D%5B0%5D%5Btype_id%5D=4723&amp;hva%5B0%5D%5Bfilter%5D%5B0%5D%5Bverdi%5D=&amp;hva%5B0%5D%5Bid%5D=15/når:2023-06-23", "Vegkart")</f>
        <v>Vegkart</v>
      </c>
      <c r="B2393">
        <v>1017750891</v>
      </c>
      <c r="C2393">
        <v>15</v>
      </c>
      <c r="D2393" t="s">
        <v>5814</v>
      </c>
      <c r="E2393">
        <v>4723</v>
      </c>
      <c r="F2393" t="s">
        <v>23479</v>
      </c>
      <c r="G2393">
        <v>1</v>
      </c>
      <c r="H2393" t="s">
        <v>7957</v>
      </c>
      <c r="J2393" t="s">
        <v>7915</v>
      </c>
      <c r="K2393" t="s">
        <v>53</v>
      </c>
      <c r="L2393" t="s">
        <v>33</v>
      </c>
      <c r="M2393" t="s">
        <v>473</v>
      </c>
      <c r="N2393" t="s">
        <v>7964</v>
      </c>
      <c r="O2393" t="s">
        <v>7965</v>
      </c>
      <c r="P2393" s="2" t="s">
        <v>67</v>
      </c>
      <c r="Q2393" t="s">
        <v>68</v>
      </c>
      <c r="R2393">
        <v>42.48</v>
      </c>
      <c r="S2393">
        <v>42.48</v>
      </c>
      <c r="T2393" t="s">
        <v>7966</v>
      </c>
    </row>
    <row r="2394" spans="1:20" x14ac:dyDescent="0.25">
      <c r="A2394" s="1" t="str">
        <f>HYPERLINK("https://vegkart.atlas.vegvesen.no/#/@366711.2,7240369.3,18/hva:hva%5B0%5D%5Bfilter%5D%5B0%5D%5Boperator%5D=%21%3D&amp;hva%5B0%5D%5Bfilter%5D%5B0%5D%5Btype_id%5D=4723&amp;hva%5B0%5D%5Bfilter%5D%5B0%5D%5Bverdi%5D=&amp;hva%5B0%5D%5Bid%5D=15/når:2023-06-23", "Vegkart")</f>
        <v>Vegkart</v>
      </c>
      <c r="B2394">
        <v>1017750892</v>
      </c>
      <c r="C2394">
        <v>15</v>
      </c>
      <c r="D2394" t="s">
        <v>5814</v>
      </c>
      <c r="E2394">
        <v>4723</v>
      </c>
      <c r="F2394" t="s">
        <v>23479</v>
      </c>
      <c r="G2394">
        <v>1</v>
      </c>
      <c r="H2394" t="s">
        <v>7957</v>
      </c>
      <c r="J2394" t="s">
        <v>7915</v>
      </c>
      <c r="K2394" t="s">
        <v>53</v>
      </c>
      <c r="L2394" t="s">
        <v>33</v>
      </c>
      <c r="M2394" t="s">
        <v>473</v>
      </c>
      <c r="N2394" t="s">
        <v>7967</v>
      </c>
      <c r="O2394" t="s">
        <v>7968</v>
      </c>
      <c r="P2394" s="2" t="s">
        <v>67</v>
      </c>
      <c r="Q2394" t="s">
        <v>68</v>
      </c>
      <c r="R2394">
        <v>27.73</v>
      </c>
      <c r="S2394">
        <v>27.73</v>
      </c>
      <c r="T2394" t="s">
        <v>7969</v>
      </c>
    </row>
    <row r="2395" spans="1:20" x14ac:dyDescent="0.25">
      <c r="A2395" s="1" t="str">
        <f>HYPERLINK("https://vegkart.atlas.vegvesen.no/#/@258040.8,6624945.9,18/hva:hva%5B0%5D%5Bfilter%5D%5B0%5D%5Boperator%5D=%21%3D&amp;hva%5B0%5D%5Bfilter%5D%5B0%5D%5Btype_id%5D=4723&amp;hva%5B0%5D%5Bfilter%5D%5B0%5D%5Bverdi%5D=&amp;hva%5B0%5D%5Bid%5D=15/når:2023-07-04", "Vegkart")</f>
        <v>Vegkart</v>
      </c>
      <c r="B2395">
        <v>1017810728</v>
      </c>
      <c r="C2395">
        <v>15</v>
      </c>
      <c r="D2395" t="s">
        <v>5814</v>
      </c>
      <c r="E2395">
        <v>4723</v>
      </c>
      <c r="F2395" t="s">
        <v>23479</v>
      </c>
      <c r="G2395">
        <v>1</v>
      </c>
      <c r="H2395" t="s">
        <v>7970</v>
      </c>
      <c r="J2395" t="s">
        <v>7915</v>
      </c>
      <c r="K2395" t="s">
        <v>132</v>
      </c>
      <c r="L2395" t="s">
        <v>33</v>
      </c>
      <c r="M2395" t="s">
        <v>7971</v>
      </c>
      <c r="N2395" t="s">
        <v>7972</v>
      </c>
      <c r="O2395" t="s">
        <v>7973</v>
      </c>
      <c r="P2395" s="2" t="s">
        <v>37</v>
      </c>
      <c r="Q2395" t="s">
        <v>1208</v>
      </c>
      <c r="R2395">
        <v>0</v>
      </c>
      <c r="S2395">
        <v>73.06</v>
      </c>
      <c r="T2395" t="s">
        <v>7974</v>
      </c>
    </row>
    <row r="2396" spans="1:20" x14ac:dyDescent="0.25">
      <c r="A2396" s="1" t="str">
        <f>HYPERLINK("https://vegkart.atlas.vegvesen.no/#/@286462.9,6750179.0,18/hva:hva%5B0%5D%5Bfilter%5D%5B0%5D%5Boperator%5D=%21%3D&amp;hva%5B0%5D%5Bfilter%5D%5B0%5D%5Btype_id%5D=4723&amp;hva%5B0%5D%5Bfilter%5D%5B0%5D%5Bverdi%5D=&amp;hva%5B0%5D%5Bid%5D=15/når:2023-09-15", "Vegkart")</f>
        <v>Vegkart</v>
      </c>
      <c r="B2396">
        <v>1017975782</v>
      </c>
      <c r="C2396">
        <v>15</v>
      </c>
      <c r="D2396" t="s">
        <v>5814</v>
      </c>
      <c r="E2396">
        <v>4723</v>
      </c>
      <c r="F2396" t="s">
        <v>23479</v>
      </c>
      <c r="G2396">
        <v>1</v>
      </c>
      <c r="H2396" t="s">
        <v>7975</v>
      </c>
      <c r="J2396" t="s">
        <v>7976</v>
      </c>
      <c r="K2396" t="s">
        <v>136</v>
      </c>
      <c r="L2396" t="s">
        <v>33</v>
      </c>
      <c r="M2396" t="s">
        <v>7977</v>
      </c>
      <c r="N2396" t="s">
        <v>7978</v>
      </c>
      <c r="O2396" t="s">
        <v>7979</v>
      </c>
      <c r="P2396" s="2" t="s">
        <v>37</v>
      </c>
      <c r="Q2396" t="s">
        <v>1208</v>
      </c>
      <c r="R2396">
        <v>0</v>
      </c>
      <c r="S2396">
        <v>72.099999999999994</v>
      </c>
      <c r="T2396" t="s">
        <v>7980</v>
      </c>
    </row>
    <row r="2397" spans="1:20" x14ac:dyDescent="0.25">
      <c r="A2397" s="1" t="str">
        <f>HYPERLINK("https://vegkart.atlas.vegvesen.no/#/@255144.9,6649129.6,18/hva:hva%5B0%5D%5Bfilter%5D%5B0%5D%5Boperator%5D=%21%3D&amp;hva%5B0%5D%5Bfilter%5D%5B0%5D%5Btype_id%5D=4723&amp;hva%5B0%5D%5Bfilter%5D%5B0%5D%5Bverdi%5D=&amp;hva%5B0%5D%5Bid%5D=15/når:2023-10-13", "Vegkart")</f>
        <v>Vegkart</v>
      </c>
      <c r="B2397">
        <v>1018080617</v>
      </c>
      <c r="C2397">
        <v>15</v>
      </c>
      <c r="D2397" t="s">
        <v>5814</v>
      </c>
      <c r="E2397">
        <v>4723</v>
      </c>
      <c r="F2397" t="s">
        <v>23479</v>
      </c>
      <c r="G2397">
        <v>1</v>
      </c>
      <c r="H2397" t="s">
        <v>5579</v>
      </c>
      <c r="J2397" t="s">
        <v>7976</v>
      </c>
      <c r="K2397" t="s">
        <v>132</v>
      </c>
      <c r="L2397" t="s">
        <v>22</v>
      </c>
      <c r="M2397" t="s">
        <v>7981</v>
      </c>
      <c r="N2397" t="s">
        <v>7982</v>
      </c>
      <c r="O2397" t="s">
        <v>7983</v>
      </c>
      <c r="P2397" s="2" t="s">
        <v>37</v>
      </c>
      <c r="Q2397" t="s">
        <v>1208</v>
      </c>
      <c r="R2397">
        <v>0</v>
      </c>
      <c r="S2397">
        <v>30.26</v>
      </c>
      <c r="T2397" t="s">
        <v>7984</v>
      </c>
    </row>
    <row r="2398" spans="1:20" x14ac:dyDescent="0.25">
      <c r="A2398" s="1" t="str">
        <f>HYPERLINK("https://vegkart.atlas.vegvesen.no/#/@254123.5,6648864.6,18/hva:hva%5B0%5D%5Bfilter%5D%5B0%5D%5Boperator%5D=%21%3D&amp;hva%5B0%5D%5Bfilter%5D%5B0%5D%5Btype_id%5D=4723&amp;hva%5B0%5D%5Bfilter%5D%5B0%5D%5Bverdi%5D=&amp;hva%5B0%5D%5Bid%5D=15/når:2023-10-13", "Vegkart")</f>
        <v>Vegkart</v>
      </c>
      <c r="B2398">
        <v>1018080618</v>
      </c>
      <c r="C2398">
        <v>15</v>
      </c>
      <c r="D2398" t="s">
        <v>5814</v>
      </c>
      <c r="E2398">
        <v>4723</v>
      </c>
      <c r="F2398" t="s">
        <v>23479</v>
      </c>
      <c r="G2398">
        <v>1</v>
      </c>
      <c r="H2398" t="s">
        <v>5579</v>
      </c>
      <c r="J2398" t="s">
        <v>7976</v>
      </c>
      <c r="K2398" t="s">
        <v>132</v>
      </c>
      <c r="L2398" t="s">
        <v>80</v>
      </c>
      <c r="M2398" t="s">
        <v>53</v>
      </c>
      <c r="N2398" t="s">
        <v>7985</v>
      </c>
      <c r="O2398" t="s">
        <v>7986</v>
      </c>
      <c r="P2398" s="2" t="s">
        <v>37</v>
      </c>
      <c r="Q2398" t="s">
        <v>1208</v>
      </c>
      <c r="R2398">
        <v>0</v>
      </c>
      <c r="S2398">
        <v>76.959999999999994</v>
      </c>
      <c r="T2398" t="s">
        <v>7987</v>
      </c>
    </row>
    <row r="2399" spans="1:20" x14ac:dyDescent="0.25">
      <c r="A2399" s="1" t="str">
        <f>HYPERLINK("https://vegkart.atlas.vegvesen.no/#/@254811.5,6648787.9,18/hva:hva%5B0%5D%5Bfilter%5D%5B0%5D%5Boperator%5D=%21%3D&amp;hva%5B0%5D%5Bfilter%5D%5B0%5D%5Btype_id%5D=4723&amp;hva%5B0%5D%5Bfilter%5D%5B0%5D%5Bverdi%5D=&amp;hva%5B0%5D%5Bid%5D=15/når:2023-10-13", "Vegkart")</f>
        <v>Vegkart</v>
      </c>
      <c r="B2399">
        <v>1018080619</v>
      </c>
      <c r="C2399">
        <v>15</v>
      </c>
      <c r="D2399" t="s">
        <v>5814</v>
      </c>
      <c r="E2399">
        <v>4723</v>
      </c>
      <c r="F2399" t="s">
        <v>23479</v>
      </c>
      <c r="G2399">
        <v>1</v>
      </c>
      <c r="H2399" t="s">
        <v>5579</v>
      </c>
      <c r="J2399" t="s">
        <v>7976</v>
      </c>
      <c r="K2399" t="s">
        <v>132</v>
      </c>
      <c r="L2399" t="s">
        <v>22</v>
      </c>
      <c r="M2399" t="s">
        <v>7988</v>
      </c>
      <c r="N2399" t="s">
        <v>7989</v>
      </c>
      <c r="O2399" t="s">
        <v>7990</v>
      </c>
      <c r="P2399" s="2" t="s">
        <v>37</v>
      </c>
      <c r="Q2399" t="s">
        <v>1208</v>
      </c>
      <c r="R2399">
        <v>0</v>
      </c>
      <c r="S2399">
        <v>60.78</v>
      </c>
      <c r="T2399" t="s">
        <v>7991</v>
      </c>
    </row>
    <row r="2400" spans="1:20" x14ac:dyDescent="0.25">
      <c r="A2400" s="1" t="str">
        <f>HYPERLINK("https://vegkart.atlas.vegvesen.no/#/@255131.3,6649094.6,18/hva:hva%5B0%5D%5Bfilter%5D%5B0%5D%5Boperator%5D=%21%3D&amp;hva%5B0%5D%5Bfilter%5D%5B0%5D%5Btype_id%5D=4723&amp;hva%5B0%5D%5Bfilter%5D%5B0%5D%5Bverdi%5D=&amp;hva%5B0%5D%5Bid%5D=15/når:2023-10-13", "Vegkart")</f>
        <v>Vegkart</v>
      </c>
      <c r="B2400">
        <v>1018080620</v>
      </c>
      <c r="C2400">
        <v>15</v>
      </c>
      <c r="D2400" t="s">
        <v>5814</v>
      </c>
      <c r="E2400">
        <v>4723</v>
      </c>
      <c r="F2400" t="s">
        <v>23479</v>
      </c>
      <c r="G2400">
        <v>1</v>
      </c>
      <c r="H2400" t="s">
        <v>5579</v>
      </c>
      <c r="J2400" t="s">
        <v>7976</v>
      </c>
      <c r="K2400" t="s">
        <v>132</v>
      </c>
      <c r="L2400" t="s">
        <v>22</v>
      </c>
      <c r="M2400" t="s">
        <v>7981</v>
      </c>
      <c r="N2400" t="s">
        <v>7992</v>
      </c>
      <c r="O2400" t="s">
        <v>7993</v>
      </c>
      <c r="P2400" s="2" t="s">
        <v>37</v>
      </c>
      <c r="Q2400" t="s">
        <v>1208</v>
      </c>
      <c r="R2400">
        <v>0</v>
      </c>
      <c r="S2400">
        <v>405.13</v>
      </c>
      <c r="T2400" t="s">
        <v>7994</v>
      </c>
    </row>
    <row r="2401" spans="1:20" x14ac:dyDescent="0.25">
      <c r="A2401" s="1" t="str">
        <f>HYPERLINK("https://vegkart.atlas.vegvesen.no/#/@255079.5,6649106.6,18/hva:hva%5B0%5D%5Bfilter%5D%5B0%5D%5Boperator%5D=%21%3D&amp;hva%5B0%5D%5Bfilter%5D%5B0%5D%5Btype_id%5D=4723&amp;hva%5B0%5D%5Bfilter%5D%5B0%5D%5Bverdi%5D=&amp;hva%5B0%5D%5Bid%5D=15/når:2023-10-13", "Vegkart")</f>
        <v>Vegkart</v>
      </c>
      <c r="B2401">
        <v>1018080621</v>
      </c>
      <c r="C2401">
        <v>15</v>
      </c>
      <c r="D2401" t="s">
        <v>5814</v>
      </c>
      <c r="E2401">
        <v>4723</v>
      </c>
      <c r="F2401" t="s">
        <v>23479</v>
      </c>
      <c r="G2401">
        <v>1</v>
      </c>
      <c r="H2401" t="s">
        <v>5579</v>
      </c>
      <c r="J2401" t="s">
        <v>7976</v>
      </c>
      <c r="K2401" t="s">
        <v>132</v>
      </c>
      <c r="L2401" t="s">
        <v>22</v>
      </c>
      <c r="M2401" t="s">
        <v>7981</v>
      </c>
      <c r="N2401" t="s">
        <v>7995</v>
      </c>
      <c r="O2401" t="s">
        <v>7996</v>
      </c>
      <c r="P2401" s="2" t="s">
        <v>37</v>
      </c>
      <c r="Q2401" t="s">
        <v>1208</v>
      </c>
      <c r="R2401">
        <v>0</v>
      </c>
      <c r="S2401">
        <v>300.76</v>
      </c>
      <c r="T2401" t="s">
        <v>7997</v>
      </c>
    </row>
    <row r="2402" spans="1:20" x14ac:dyDescent="0.25">
      <c r="A2402" s="1" t="str">
        <f>HYPERLINK("https://vegkart.atlas.vegvesen.no/#/@255154.2,6649283.2,18/hva:hva%5B0%5D%5Bfilter%5D%5B0%5D%5Boperator%5D=%21%3D&amp;hva%5B0%5D%5Bfilter%5D%5B0%5D%5Btype_id%5D=4723&amp;hva%5B0%5D%5Bfilter%5D%5B0%5D%5Bverdi%5D=&amp;hva%5B0%5D%5Bid%5D=15/når:2023-10-13", "Vegkart")</f>
        <v>Vegkart</v>
      </c>
      <c r="B2402">
        <v>1018080622</v>
      </c>
      <c r="C2402">
        <v>15</v>
      </c>
      <c r="D2402" t="s">
        <v>5814</v>
      </c>
      <c r="E2402">
        <v>4723</v>
      </c>
      <c r="F2402" t="s">
        <v>23479</v>
      </c>
      <c r="G2402">
        <v>1</v>
      </c>
      <c r="H2402" t="s">
        <v>5579</v>
      </c>
      <c r="J2402" t="s">
        <v>7976</v>
      </c>
      <c r="K2402" t="s">
        <v>132</v>
      </c>
      <c r="L2402" t="s">
        <v>22</v>
      </c>
      <c r="M2402" t="s">
        <v>7998</v>
      </c>
      <c r="N2402" t="s">
        <v>7999</v>
      </c>
      <c r="O2402" t="s">
        <v>8000</v>
      </c>
      <c r="P2402" s="2" t="s">
        <v>37</v>
      </c>
      <c r="Q2402" t="s">
        <v>1208</v>
      </c>
      <c r="R2402">
        <v>0</v>
      </c>
      <c r="S2402">
        <v>139.12</v>
      </c>
      <c r="T2402" t="s">
        <v>8001</v>
      </c>
    </row>
    <row r="2403" spans="1:20" x14ac:dyDescent="0.25">
      <c r="A2403" s="1" t="str">
        <f>HYPERLINK("https://vegkart.atlas.vegvesen.no/#/@255212.1,6649309.1,18/hva:hva%5B0%5D%5Bfilter%5D%5B0%5D%5Boperator%5D=%21%3D&amp;hva%5B0%5D%5Bfilter%5D%5B0%5D%5Btype_id%5D=4723&amp;hva%5B0%5D%5Bfilter%5D%5B0%5D%5Bverdi%5D=&amp;hva%5B0%5D%5Bid%5D=15/når:2023-10-13", "Vegkart")</f>
        <v>Vegkart</v>
      </c>
      <c r="B2403">
        <v>1018080623</v>
      </c>
      <c r="C2403">
        <v>15</v>
      </c>
      <c r="D2403" t="s">
        <v>5814</v>
      </c>
      <c r="E2403">
        <v>4723</v>
      </c>
      <c r="F2403" t="s">
        <v>23479</v>
      </c>
      <c r="G2403">
        <v>1</v>
      </c>
      <c r="H2403" t="s">
        <v>5579</v>
      </c>
      <c r="J2403" t="s">
        <v>7976</v>
      </c>
      <c r="K2403" t="s">
        <v>132</v>
      </c>
      <c r="L2403" t="s">
        <v>22</v>
      </c>
      <c r="M2403" t="s">
        <v>7998</v>
      </c>
      <c r="N2403" t="s">
        <v>8002</v>
      </c>
      <c r="O2403" t="s">
        <v>8003</v>
      </c>
      <c r="P2403" s="2" t="s">
        <v>37</v>
      </c>
      <c r="Q2403" t="s">
        <v>1208</v>
      </c>
      <c r="R2403">
        <v>0</v>
      </c>
      <c r="S2403">
        <v>82.11</v>
      </c>
      <c r="T2403" t="s">
        <v>8004</v>
      </c>
    </row>
    <row r="2404" spans="1:20" x14ac:dyDescent="0.25">
      <c r="A2404" s="1" t="str">
        <f>HYPERLINK("https://vegkart.atlas.vegvesen.no/#/@254824.3,6648788.1,18/hva:hva%5B0%5D%5Bfilter%5D%5B0%5D%5Boperator%5D=%21%3D&amp;hva%5B0%5D%5Bfilter%5D%5B0%5D%5Btype_id%5D=4723&amp;hva%5B0%5D%5Bfilter%5D%5B0%5D%5Bverdi%5D=&amp;hva%5B0%5D%5Bid%5D=15/når:2023-10-13", "Vegkart")</f>
        <v>Vegkart</v>
      </c>
      <c r="B2404">
        <v>1018080624</v>
      </c>
      <c r="C2404">
        <v>15</v>
      </c>
      <c r="D2404" t="s">
        <v>5814</v>
      </c>
      <c r="E2404">
        <v>4723</v>
      </c>
      <c r="F2404" t="s">
        <v>23479</v>
      </c>
      <c r="G2404">
        <v>1</v>
      </c>
      <c r="H2404" t="s">
        <v>5579</v>
      </c>
      <c r="J2404" t="s">
        <v>7976</v>
      </c>
      <c r="K2404" t="s">
        <v>132</v>
      </c>
      <c r="L2404" t="s">
        <v>22</v>
      </c>
      <c r="M2404" t="s">
        <v>7988</v>
      </c>
      <c r="N2404" t="s">
        <v>8005</v>
      </c>
      <c r="O2404" t="s">
        <v>8006</v>
      </c>
      <c r="P2404" s="2" t="s">
        <v>37</v>
      </c>
      <c r="Q2404" t="s">
        <v>1208</v>
      </c>
      <c r="R2404">
        <v>0</v>
      </c>
      <c r="S2404">
        <v>37.020000000000003</v>
      </c>
      <c r="T2404" t="s">
        <v>8007</v>
      </c>
    </row>
    <row r="2405" spans="1:20" x14ac:dyDescent="0.25">
      <c r="A2405" s="1" t="str">
        <f>HYPERLINK("https://vegkart.atlas.vegvesen.no/#/@254849.9,6649207.9,18/hva:hva%5B0%5D%5Bfilter%5D%5B0%5D%5Boperator%5D=%21%3D&amp;hva%5B0%5D%5Bfilter%5D%5B0%5D%5Btype_id%5D=4723&amp;hva%5B0%5D%5Bfilter%5D%5B0%5D%5Bverdi%5D=&amp;hva%5B0%5D%5Bid%5D=15/når:2023-10-13", "Vegkart")</f>
        <v>Vegkart</v>
      </c>
      <c r="B2405">
        <v>1018080625</v>
      </c>
      <c r="C2405">
        <v>15</v>
      </c>
      <c r="D2405" t="s">
        <v>5814</v>
      </c>
      <c r="E2405">
        <v>4723</v>
      </c>
      <c r="F2405" t="s">
        <v>23479</v>
      </c>
      <c r="G2405">
        <v>1</v>
      </c>
      <c r="H2405" t="s">
        <v>5579</v>
      </c>
      <c r="J2405" t="s">
        <v>7976</v>
      </c>
      <c r="K2405" t="s">
        <v>132</v>
      </c>
      <c r="L2405" t="s">
        <v>22</v>
      </c>
      <c r="M2405" t="s">
        <v>8008</v>
      </c>
      <c r="N2405" t="s">
        <v>8009</v>
      </c>
      <c r="O2405" t="s">
        <v>8010</v>
      </c>
      <c r="P2405" s="2" t="s">
        <v>37</v>
      </c>
      <c r="Q2405" t="s">
        <v>1208</v>
      </c>
      <c r="R2405">
        <v>0</v>
      </c>
      <c r="S2405">
        <v>842.51</v>
      </c>
      <c r="T2405" t="s">
        <v>8011</v>
      </c>
    </row>
    <row r="2406" spans="1:20" x14ac:dyDescent="0.25">
      <c r="A2406" s="1" t="str">
        <f>HYPERLINK("https://vegkart.atlas.vegvesen.no/#/@11290.1,6469970.7,18/hva:hva%5B0%5D%5Bfilter%5D%5B0%5D%5Boperator%5D=%21%3D&amp;hva%5B0%5D%5Bfilter%5D%5B0%5D%5Btype_id%5D=4723&amp;hva%5B0%5D%5Bfilter%5D%5B0%5D%5Bverdi%5D=&amp;hva%5B0%5D%5Bid%5D=15/når:2023-11-30", "Vegkart")</f>
        <v>Vegkart</v>
      </c>
      <c r="B2406">
        <v>1018115676</v>
      </c>
      <c r="C2406">
        <v>15</v>
      </c>
      <c r="D2406" t="s">
        <v>5814</v>
      </c>
      <c r="E2406">
        <v>4723</v>
      </c>
      <c r="F2406" t="s">
        <v>23479</v>
      </c>
      <c r="G2406">
        <v>2</v>
      </c>
      <c r="H2406" t="s">
        <v>8012</v>
      </c>
      <c r="J2406" t="s">
        <v>8013</v>
      </c>
      <c r="K2406" t="s">
        <v>86</v>
      </c>
      <c r="L2406" t="s">
        <v>33</v>
      </c>
      <c r="M2406" t="s">
        <v>4563</v>
      </c>
      <c r="N2406" t="s">
        <v>8014</v>
      </c>
      <c r="O2406" t="s">
        <v>8015</v>
      </c>
      <c r="P2406" s="2" t="s">
        <v>165</v>
      </c>
      <c r="Q2406" t="s">
        <v>166</v>
      </c>
      <c r="R2406">
        <v>0</v>
      </c>
      <c r="S2406">
        <v>74.77</v>
      </c>
      <c r="T2406" t="s">
        <v>167</v>
      </c>
    </row>
    <row r="2407" spans="1:20" x14ac:dyDescent="0.25">
      <c r="A2407" s="1" t="str">
        <f>HYPERLINK("https://vegkart.atlas.vegvesen.no/#/@11236.3,6469959.0,18/hva:hva%5B0%5D%5Bfilter%5D%5B0%5D%5Boperator%5D=%21%3D&amp;hva%5B0%5D%5Bfilter%5D%5B0%5D%5Btype_id%5D=4723&amp;hva%5B0%5D%5Bfilter%5D%5B0%5D%5Bverdi%5D=&amp;hva%5B0%5D%5Bid%5D=15/når:2023-11-30", "Vegkart")</f>
        <v>Vegkart</v>
      </c>
      <c r="B2407">
        <v>1018115677</v>
      </c>
      <c r="C2407">
        <v>15</v>
      </c>
      <c r="D2407" t="s">
        <v>5814</v>
      </c>
      <c r="E2407">
        <v>4723</v>
      </c>
      <c r="F2407" t="s">
        <v>23479</v>
      </c>
      <c r="G2407">
        <v>2</v>
      </c>
      <c r="H2407" t="s">
        <v>8012</v>
      </c>
      <c r="J2407" t="s">
        <v>8013</v>
      </c>
      <c r="K2407" t="s">
        <v>86</v>
      </c>
      <c r="L2407" t="s">
        <v>33</v>
      </c>
      <c r="M2407" t="s">
        <v>4563</v>
      </c>
      <c r="N2407" t="s">
        <v>8016</v>
      </c>
      <c r="O2407" t="s">
        <v>8017</v>
      </c>
      <c r="P2407" s="2" t="s">
        <v>165</v>
      </c>
      <c r="Q2407" t="s">
        <v>166</v>
      </c>
      <c r="R2407">
        <v>0</v>
      </c>
      <c r="S2407">
        <v>22.22</v>
      </c>
      <c r="T2407" t="s">
        <v>167</v>
      </c>
    </row>
    <row r="2408" spans="1:20" x14ac:dyDescent="0.25">
      <c r="A2408" s="1" t="str">
        <f>HYPERLINK("https://vegkart.atlas.vegvesen.no/#/@11287.8,6469977.0,18/hva:hva%5B0%5D%5Bfilter%5D%5B0%5D%5Boperator%5D=%21%3D&amp;hva%5B0%5D%5Bfilter%5D%5B0%5D%5Btype_id%5D=4723&amp;hva%5B0%5D%5Bfilter%5D%5B0%5D%5Bverdi%5D=&amp;hva%5B0%5D%5Bid%5D=15/når:2023-11-30", "Vegkart")</f>
        <v>Vegkart</v>
      </c>
      <c r="B2408">
        <v>1018115678</v>
      </c>
      <c r="C2408">
        <v>15</v>
      </c>
      <c r="D2408" t="s">
        <v>5814</v>
      </c>
      <c r="E2408">
        <v>4723</v>
      </c>
      <c r="F2408" t="s">
        <v>23479</v>
      </c>
      <c r="G2408">
        <v>2</v>
      </c>
      <c r="H2408" t="s">
        <v>8012</v>
      </c>
      <c r="J2408" t="s">
        <v>8013</v>
      </c>
      <c r="K2408" t="s">
        <v>86</v>
      </c>
      <c r="L2408" t="s">
        <v>33</v>
      </c>
      <c r="M2408" t="s">
        <v>4563</v>
      </c>
      <c r="N2408" t="s">
        <v>8018</v>
      </c>
      <c r="O2408" t="s">
        <v>8019</v>
      </c>
      <c r="P2408" s="2" t="s">
        <v>165</v>
      </c>
      <c r="Q2408" t="s">
        <v>166</v>
      </c>
      <c r="R2408">
        <v>0</v>
      </c>
      <c r="S2408">
        <v>68.05</v>
      </c>
      <c r="T2408" t="s">
        <v>167</v>
      </c>
    </row>
    <row r="2409" spans="1:20" x14ac:dyDescent="0.25">
      <c r="A2409" s="1" t="str">
        <f>HYPERLINK("https://vegkart.atlas.vegvesen.no/#/@11273.2,6469959.8,18/hva:hva%5B0%5D%5Bfilter%5D%5B0%5D%5Boperator%5D=%21%3D&amp;hva%5B0%5D%5Bfilter%5D%5B0%5D%5Btype_id%5D=4723&amp;hva%5B0%5D%5Bfilter%5D%5B0%5D%5Bverdi%5D=&amp;hva%5B0%5D%5Bid%5D=15/når:2023-11-30", "Vegkart")</f>
        <v>Vegkart</v>
      </c>
      <c r="B2409">
        <v>1018115679</v>
      </c>
      <c r="C2409">
        <v>15</v>
      </c>
      <c r="D2409" t="s">
        <v>5814</v>
      </c>
      <c r="E2409">
        <v>4723</v>
      </c>
      <c r="F2409" t="s">
        <v>23479</v>
      </c>
      <c r="G2409">
        <v>2</v>
      </c>
      <c r="H2409" t="s">
        <v>8012</v>
      </c>
      <c r="J2409" t="s">
        <v>8013</v>
      </c>
      <c r="K2409" t="s">
        <v>86</v>
      </c>
      <c r="L2409" t="s">
        <v>33</v>
      </c>
      <c r="M2409" t="s">
        <v>4563</v>
      </c>
      <c r="N2409" t="s">
        <v>8020</v>
      </c>
      <c r="O2409" t="s">
        <v>8021</v>
      </c>
      <c r="P2409" s="2" t="s">
        <v>165</v>
      </c>
      <c r="Q2409" t="s">
        <v>166</v>
      </c>
      <c r="R2409">
        <v>0</v>
      </c>
      <c r="S2409">
        <v>39.93</v>
      </c>
      <c r="T2409" t="s">
        <v>167</v>
      </c>
    </row>
    <row r="2410" spans="1:20" x14ac:dyDescent="0.25">
      <c r="A2410" s="1" t="str">
        <f>HYPERLINK("https://vegkart.atlas.vegvesen.no/#/@11311.8,6469989.7,18/hva:hva%5B0%5D%5Bfilter%5D%5B0%5D%5Boperator%5D=%21%3D&amp;hva%5B0%5D%5Bfilter%5D%5B0%5D%5Btype_id%5D=4723&amp;hva%5B0%5D%5Bfilter%5D%5B0%5D%5Bverdi%5D=&amp;hva%5B0%5D%5Bid%5D=15/når:2023-11-30", "Vegkart")</f>
        <v>Vegkart</v>
      </c>
      <c r="B2410">
        <v>1018115680</v>
      </c>
      <c r="C2410">
        <v>15</v>
      </c>
      <c r="D2410" t="s">
        <v>5814</v>
      </c>
      <c r="E2410">
        <v>4723</v>
      </c>
      <c r="F2410" t="s">
        <v>23479</v>
      </c>
      <c r="G2410">
        <v>2</v>
      </c>
      <c r="H2410" t="s">
        <v>8012</v>
      </c>
      <c r="J2410" t="s">
        <v>8013</v>
      </c>
      <c r="K2410" t="s">
        <v>86</v>
      </c>
      <c r="L2410" t="s">
        <v>33</v>
      </c>
      <c r="M2410" t="s">
        <v>4563</v>
      </c>
      <c r="N2410" t="s">
        <v>8022</v>
      </c>
      <c r="O2410" t="s">
        <v>8023</v>
      </c>
      <c r="P2410" s="2" t="s">
        <v>165</v>
      </c>
      <c r="Q2410" t="s">
        <v>166</v>
      </c>
      <c r="R2410">
        <v>0</v>
      </c>
      <c r="S2410">
        <v>70.38</v>
      </c>
      <c r="T2410" t="s">
        <v>167</v>
      </c>
    </row>
    <row r="2411" spans="1:20" x14ac:dyDescent="0.25">
      <c r="A2411" s="1" t="str">
        <f>HYPERLINK("https://vegkart.atlas.vegvesen.no/#/@11874.5,6469944.5,18/hva:hva%5B0%5D%5Bfilter%5D%5B0%5D%5Boperator%5D=%21%3D&amp;hva%5B0%5D%5Bfilter%5D%5B0%5D%5Btype_id%5D=4723&amp;hva%5B0%5D%5Bfilter%5D%5B0%5D%5Bverdi%5D=&amp;hva%5B0%5D%5Bid%5D=15/når:2023-11-30", "Vegkart")</f>
        <v>Vegkart</v>
      </c>
      <c r="B2411">
        <v>1018185256</v>
      </c>
      <c r="C2411">
        <v>15</v>
      </c>
      <c r="D2411" t="s">
        <v>5814</v>
      </c>
      <c r="E2411">
        <v>4723</v>
      </c>
      <c r="F2411" t="s">
        <v>23479</v>
      </c>
      <c r="G2411">
        <v>2</v>
      </c>
      <c r="H2411" t="s">
        <v>8012</v>
      </c>
      <c r="J2411" t="s">
        <v>8013</v>
      </c>
      <c r="K2411" t="s">
        <v>86</v>
      </c>
      <c r="L2411" t="s">
        <v>33</v>
      </c>
      <c r="M2411" t="s">
        <v>4563</v>
      </c>
      <c r="N2411" t="s">
        <v>8024</v>
      </c>
      <c r="O2411" t="s">
        <v>8025</v>
      </c>
      <c r="P2411" s="2" t="s">
        <v>165</v>
      </c>
      <c r="Q2411" t="s">
        <v>166</v>
      </c>
      <c r="R2411">
        <v>0.13</v>
      </c>
      <c r="S2411">
        <v>148.65</v>
      </c>
      <c r="T2411" t="s">
        <v>167</v>
      </c>
    </row>
    <row r="2412" spans="1:20" x14ac:dyDescent="0.25">
      <c r="A2412" s="1" t="str">
        <f>HYPERLINK("https://vegkart.atlas.vegvesen.no/#/@11833.9,6469942.1,18/hva:hva%5B0%5D%5Bfilter%5D%5B0%5D%5Boperator%5D=%21%3D&amp;hva%5B0%5D%5Bfilter%5D%5B0%5D%5Btype_id%5D=4723&amp;hva%5B0%5D%5Bfilter%5D%5B0%5D%5Bverdi%5D=&amp;hva%5B0%5D%5Bid%5D=15/når:2023-11-30", "Vegkart")</f>
        <v>Vegkart</v>
      </c>
      <c r="B2412">
        <v>1018185257</v>
      </c>
      <c r="C2412">
        <v>15</v>
      </c>
      <c r="D2412" t="s">
        <v>5814</v>
      </c>
      <c r="E2412">
        <v>4723</v>
      </c>
      <c r="F2412" t="s">
        <v>23479</v>
      </c>
      <c r="G2412">
        <v>2</v>
      </c>
      <c r="H2412" t="s">
        <v>8012</v>
      </c>
      <c r="J2412" t="s">
        <v>8013</v>
      </c>
      <c r="K2412" t="s">
        <v>86</v>
      </c>
      <c r="L2412" t="s">
        <v>33</v>
      </c>
      <c r="M2412" t="s">
        <v>4563</v>
      </c>
      <c r="N2412" t="s">
        <v>8026</v>
      </c>
      <c r="O2412" t="s">
        <v>8027</v>
      </c>
      <c r="P2412" s="2" t="s">
        <v>165</v>
      </c>
      <c r="Q2412" t="s">
        <v>166</v>
      </c>
      <c r="R2412">
        <v>0.09</v>
      </c>
      <c r="S2412">
        <v>59.17</v>
      </c>
      <c r="T2412" t="s">
        <v>167</v>
      </c>
    </row>
    <row r="2413" spans="1:20" x14ac:dyDescent="0.25">
      <c r="A2413" s="1" t="str">
        <f>HYPERLINK("https://vegkart.atlas.vegvesen.no/#/@-26184.6,6753906.8,18/hva:hva%5B0%5D%5Bfilter%5D%5B0%5D%5Boperator%5D=%21%3D&amp;hva%5B0%5D%5Bfilter%5D%5B0%5D%5Btype_id%5D=4723&amp;hva%5B0%5D%5Bfilter%5D%5B0%5D%5Bverdi%5D=&amp;hva%5B0%5D%5Bid%5D=15/når:2023-12-08", "Vegkart")</f>
        <v>Vegkart</v>
      </c>
      <c r="B2413">
        <v>1018272513</v>
      </c>
      <c r="C2413">
        <v>15</v>
      </c>
      <c r="D2413" t="s">
        <v>5814</v>
      </c>
      <c r="E2413">
        <v>4723</v>
      </c>
      <c r="F2413" t="s">
        <v>23479</v>
      </c>
      <c r="G2413">
        <v>1</v>
      </c>
      <c r="H2413" t="s">
        <v>4567</v>
      </c>
      <c r="J2413" t="s">
        <v>8013</v>
      </c>
      <c r="K2413" t="s">
        <v>21</v>
      </c>
      <c r="L2413" t="s">
        <v>33</v>
      </c>
      <c r="M2413" t="s">
        <v>5602</v>
      </c>
      <c r="N2413" t="s">
        <v>8028</v>
      </c>
      <c r="O2413" t="s">
        <v>8029</v>
      </c>
      <c r="P2413" s="2" t="s">
        <v>37</v>
      </c>
      <c r="Q2413" t="s">
        <v>1208</v>
      </c>
      <c r="R2413">
        <v>0</v>
      </c>
      <c r="S2413">
        <v>79.08</v>
      </c>
      <c r="T2413" t="s">
        <v>8030</v>
      </c>
    </row>
    <row r="2414" spans="1:20" x14ac:dyDescent="0.25">
      <c r="A2414" s="1" t="str">
        <f>HYPERLINK("https://vegkart.atlas.vegvesen.no/#/@428632.9,7555392.8,18/hva:hva%5B0%5D%5Bfilter%5D%5B0%5D%5Boperator%5D=%21%3D&amp;hva%5B0%5D%5Bfilter%5D%5B0%5D%5Btype_id%5D=4723&amp;hva%5B0%5D%5Bfilter%5D%5B0%5D%5Bverdi%5D=&amp;hva%5B0%5D%5Bid%5D=15/når:2024-01-03", "Vegkart")</f>
        <v>Vegkart</v>
      </c>
      <c r="B2414">
        <v>1018344695</v>
      </c>
      <c r="C2414">
        <v>15</v>
      </c>
      <c r="D2414" t="s">
        <v>5814</v>
      </c>
      <c r="E2414">
        <v>4723</v>
      </c>
      <c r="F2414" t="s">
        <v>23479</v>
      </c>
      <c r="G2414">
        <v>1</v>
      </c>
      <c r="H2414" t="s">
        <v>1728</v>
      </c>
      <c r="J2414" t="s">
        <v>8013</v>
      </c>
      <c r="K2414" t="s">
        <v>53</v>
      </c>
      <c r="L2414" t="s">
        <v>80</v>
      </c>
      <c r="M2414" t="s">
        <v>522</v>
      </c>
      <c r="N2414" t="s">
        <v>8031</v>
      </c>
      <c r="O2414" t="s">
        <v>8032</v>
      </c>
      <c r="P2414" s="2" t="s">
        <v>37</v>
      </c>
      <c r="Q2414" t="s">
        <v>1208</v>
      </c>
      <c r="R2414">
        <v>0</v>
      </c>
      <c r="S2414">
        <v>58.19</v>
      </c>
      <c r="T2414" t="s">
        <v>8033</v>
      </c>
    </row>
    <row r="2415" spans="1:20" x14ac:dyDescent="0.25">
      <c r="A2415" s="1" t="str">
        <f>HYPERLINK("https://vegkart.atlas.vegvesen.no/#/@428626.4,7555410.5,18/hva:hva%5B0%5D%5Bfilter%5D%5B0%5D%5Boperator%5D=%21%3D&amp;hva%5B0%5D%5Bfilter%5D%5B0%5D%5Btype_id%5D=4723&amp;hva%5B0%5D%5Bfilter%5D%5B0%5D%5Bverdi%5D=&amp;hva%5B0%5D%5Bid%5D=15/når:2024-01-03", "Vegkart")</f>
        <v>Vegkart</v>
      </c>
      <c r="B2415">
        <v>1018344696</v>
      </c>
      <c r="C2415">
        <v>15</v>
      </c>
      <c r="D2415" t="s">
        <v>5814</v>
      </c>
      <c r="E2415">
        <v>4723</v>
      </c>
      <c r="F2415" t="s">
        <v>23479</v>
      </c>
      <c r="G2415">
        <v>1</v>
      </c>
      <c r="H2415" t="s">
        <v>1728</v>
      </c>
      <c r="J2415" t="s">
        <v>8013</v>
      </c>
      <c r="K2415" t="s">
        <v>53</v>
      </c>
      <c r="L2415" t="s">
        <v>80</v>
      </c>
      <c r="M2415" t="s">
        <v>522</v>
      </c>
      <c r="N2415" t="s">
        <v>8034</v>
      </c>
      <c r="O2415" t="s">
        <v>8035</v>
      </c>
      <c r="P2415" s="2" t="s">
        <v>37</v>
      </c>
      <c r="Q2415" t="s">
        <v>1208</v>
      </c>
      <c r="R2415">
        <v>0</v>
      </c>
      <c r="S2415">
        <v>100.78</v>
      </c>
      <c r="T2415" t="s">
        <v>8036</v>
      </c>
    </row>
    <row r="2416" spans="1:20" x14ac:dyDescent="0.25">
      <c r="A2416" s="1" t="str">
        <f>HYPERLINK("https://vegkart.atlas.vegvesen.no/#/@428595.3,7555422.8,18/hva:hva%5B0%5D%5Bfilter%5D%5B0%5D%5Boperator%5D=%21%3D&amp;hva%5B0%5D%5Bfilter%5D%5B0%5D%5Btype_id%5D=4723&amp;hva%5B0%5D%5Bfilter%5D%5B0%5D%5Bverdi%5D=&amp;hva%5B0%5D%5Bid%5D=15/når:2024-01-03", "Vegkart")</f>
        <v>Vegkart</v>
      </c>
      <c r="B2416">
        <v>1018344697</v>
      </c>
      <c r="C2416">
        <v>15</v>
      </c>
      <c r="D2416" t="s">
        <v>5814</v>
      </c>
      <c r="E2416">
        <v>4723</v>
      </c>
      <c r="F2416" t="s">
        <v>23479</v>
      </c>
      <c r="G2416">
        <v>1</v>
      </c>
      <c r="H2416" t="s">
        <v>1728</v>
      </c>
      <c r="J2416" t="s">
        <v>8013</v>
      </c>
      <c r="K2416" t="s">
        <v>53</v>
      </c>
      <c r="L2416" t="s">
        <v>80</v>
      </c>
      <c r="M2416" t="s">
        <v>522</v>
      </c>
      <c r="N2416" t="s">
        <v>8037</v>
      </c>
      <c r="O2416" t="s">
        <v>8038</v>
      </c>
      <c r="P2416" s="2" t="s">
        <v>37</v>
      </c>
      <c r="Q2416" t="s">
        <v>1208</v>
      </c>
      <c r="R2416">
        <v>0</v>
      </c>
      <c r="S2416">
        <v>82.89</v>
      </c>
      <c r="T2416" t="s">
        <v>8039</v>
      </c>
    </row>
    <row r="2417" spans="1:20" x14ac:dyDescent="0.25">
      <c r="A2417" s="1" t="str">
        <f>HYPERLINK("https://vegkart.atlas.vegvesen.no/#/@428486.6,7555429.3,18/hva:hva%5B0%5D%5Bfilter%5D%5B0%5D%5Boperator%5D=%21%3D&amp;hva%5B0%5D%5Bfilter%5D%5B0%5D%5Btype_id%5D=4723&amp;hva%5B0%5D%5Bfilter%5D%5B0%5D%5Bverdi%5D=&amp;hva%5B0%5D%5Bid%5D=15/når:2024-01-03", "Vegkart")</f>
        <v>Vegkart</v>
      </c>
      <c r="B2417">
        <v>1018344698</v>
      </c>
      <c r="C2417">
        <v>15</v>
      </c>
      <c r="D2417" t="s">
        <v>5814</v>
      </c>
      <c r="E2417">
        <v>4723</v>
      </c>
      <c r="F2417" t="s">
        <v>23479</v>
      </c>
      <c r="G2417">
        <v>1</v>
      </c>
      <c r="H2417" t="s">
        <v>1728</v>
      </c>
      <c r="J2417" t="s">
        <v>8013</v>
      </c>
      <c r="K2417" t="s">
        <v>53</v>
      </c>
      <c r="L2417" t="s">
        <v>80</v>
      </c>
      <c r="M2417" t="s">
        <v>522</v>
      </c>
      <c r="N2417" t="s">
        <v>8040</v>
      </c>
      <c r="O2417" t="s">
        <v>8041</v>
      </c>
      <c r="P2417" s="2" t="s">
        <v>37</v>
      </c>
      <c r="Q2417" t="s">
        <v>1208</v>
      </c>
      <c r="R2417">
        <v>0</v>
      </c>
      <c r="S2417">
        <v>37.270000000000003</v>
      </c>
      <c r="T2417" t="s">
        <v>8042</v>
      </c>
    </row>
    <row r="2418" spans="1:20" x14ac:dyDescent="0.25">
      <c r="A2418" s="1" t="str">
        <f>HYPERLINK("https://vegkart.atlas.vegvesen.no/#/@428617.7,7555409.2,18/hva:hva%5B0%5D%5Bfilter%5D%5B0%5D%5Boperator%5D=%21%3D&amp;hva%5B0%5D%5Bfilter%5D%5B0%5D%5Btype_id%5D=4723&amp;hva%5B0%5D%5Bfilter%5D%5B0%5D%5Bverdi%5D=&amp;hva%5B0%5D%5Bid%5D=15/når:2024-01-03", "Vegkart")</f>
        <v>Vegkart</v>
      </c>
      <c r="B2418">
        <v>1018344699</v>
      </c>
      <c r="C2418">
        <v>15</v>
      </c>
      <c r="D2418" t="s">
        <v>5814</v>
      </c>
      <c r="E2418">
        <v>4723</v>
      </c>
      <c r="F2418" t="s">
        <v>23479</v>
      </c>
      <c r="G2418">
        <v>1</v>
      </c>
      <c r="H2418" t="s">
        <v>1728</v>
      </c>
      <c r="J2418" t="s">
        <v>8013</v>
      </c>
      <c r="K2418" t="s">
        <v>53</v>
      </c>
      <c r="L2418" t="s">
        <v>80</v>
      </c>
      <c r="M2418" t="s">
        <v>522</v>
      </c>
      <c r="N2418" t="s">
        <v>8043</v>
      </c>
      <c r="O2418" t="s">
        <v>8044</v>
      </c>
      <c r="P2418" s="2" t="s">
        <v>37</v>
      </c>
      <c r="Q2418" t="s">
        <v>1208</v>
      </c>
      <c r="R2418">
        <v>0</v>
      </c>
      <c r="S2418">
        <v>39.159999999999997</v>
      </c>
      <c r="T2418" t="s">
        <v>8045</v>
      </c>
    </row>
    <row r="2419" spans="1:20" x14ac:dyDescent="0.25">
      <c r="A2419" s="1" t="str">
        <f>HYPERLINK("https://vegkart.atlas.vegvesen.no/#/@595227.6,7714349.7,18/hva:hva%5B0%5D%5Bfilter%5D%5B0%5D%5Boperator%5D=%21%3D&amp;hva%5B0%5D%5Bfilter%5D%5B0%5D%5Btype_id%5D=4723&amp;hva%5B0%5D%5Bfilter%5D%5B0%5D%5Bverdi%5D=&amp;hva%5B0%5D%5Bid%5D=15/når:2024-01-04", "Vegkart")</f>
        <v>Vegkart</v>
      </c>
      <c r="B2419">
        <v>1018345513</v>
      </c>
      <c r="C2419">
        <v>15</v>
      </c>
      <c r="D2419" t="s">
        <v>5814</v>
      </c>
      <c r="E2419">
        <v>4723</v>
      </c>
      <c r="F2419" t="s">
        <v>23479</v>
      </c>
      <c r="G2419">
        <v>1</v>
      </c>
      <c r="H2419" t="s">
        <v>526</v>
      </c>
      <c r="J2419" t="s">
        <v>8013</v>
      </c>
      <c r="K2419" t="s">
        <v>179</v>
      </c>
      <c r="L2419" t="s">
        <v>33</v>
      </c>
      <c r="M2419" t="s">
        <v>527</v>
      </c>
      <c r="N2419" t="s">
        <v>8046</v>
      </c>
      <c r="O2419" t="s">
        <v>8047</v>
      </c>
      <c r="P2419" s="2" t="s">
        <v>37</v>
      </c>
      <c r="Q2419" t="s">
        <v>1208</v>
      </c>
      <c r="R2419">
        <v>0</v>
      </c>
      <c r="S2419">
        <v>85.2</v>
      </c>
      <c r="T2419" t="s">
        <v>8048</v>
      </c>
    </row>
    <row r="2420" spans="1:20" x14ac:dyDescent="0.25">
      <c r="A2420" s="1" t="str">
        <f>HYPERLINK("https://vegkart.atlas.vegvesen.no/#/@595224.9,7714335.4,18/hva:hva%5B0%5D%5Bfilter%5D%5B0%5D%5Boperator%5D=%21%3D&amp;hva%5B0%5D%5Bfilter%5D%5B0%5D%5Btype_id%5D=4723&amp;hva%5B0%5D%5Bfilter%5D%5B0%5D%5Bverdi%5D=&amp;hva%5B0%5D%5Bid%5D=15/når:2024-01-04", "Vegkart")</f>
        <v>Vegkart</v>
      </c>
      <c r="B2420">
        <v>1018345514</v>
      </c>
      <c r="C2420">
        <v>15</v>
      </c>
      <c r="D2420" t="s">
        <v>5814</v>
      </c>
      <c r="E2420">
        <v>4723</v>
      </c>
      <c r="F2420" t="s">
        <v>23479</v>
      </c>
      <c r="G2420">
        <v>1</v>
      </c>
      <c r="H2420" t="s">
        <v>526</v>
      </c>
      <c r="J2420" t="s">
        <v>8013</v>
      </c>
      <c r="K2420" t="s">
        <v>179</v>
      </c>
      <c r="L2420" t="s">
        <v>33</v>
      </c>
      <c r="M2420" t="s">
        <v>527</v>
      </c>
      <c r="N2420" t="s">
        <v>8049</v>
      </c>
      <c r="O2420" t="s">
        <v>8050</v>
      </c>
      <c r="P2420" s="2" t="s">
        <v>37</v>
      </c>
      <c r="Q2420" t="s">
        <v>1208</v>
      </c>
      <c r="R2420">
        <v>0</v>
      </c>
      <c r="S2420">
        <v>57.73</v>
      </c>
      <c r="T2420" t="s">
        <v>8051</v>
      </c>
    </row>
    <row r="2421" spans="1:20" x14ac:dyDescent="0.25">
      <c r="A2421" s="1" t="str">
        <f>HYPERLINK("https://vegkart.atlas.vegvesen.no/#/@595206.0,7714339.7,18/hva:hva%5B0%5D%5Bfilter%5D%5B0%5D%5Boperator%5D=%21%3D&amp;hva%5B0%5D%5Bfilter%5D%5B0%5D%5Btype_id%5D=4723&amp;hva%5B0%5D%5Bfilter%5D%5B0%5D%5Bverdi%5D=&amp;hva%5B0%5D%5Bid%5D=15/når:2024-01-04", "Vegkart")</f>
        <v>Vegkart</v>
      </c>
      <c r="B2421">
        <v>1018345515</v>
      </c>
      <c r="C2421">
        <v>15</v>
      </c>
      <c r="D2421" t="s">
        <v>5814</v>
      </c>
      <c r="E2421">
        <v>4723</v>
      </c>
      <c r="F2421" t="s">
        <v>23479</v>
      </c>
      <c r="G2421">
        <v>1</v>
      </c>
      <c r="H2421" t="s">
        <v>526</v>
      </c>
      <c r="J2421" t="s">
        <v>8013</v>
      </c>
      <c r="K2421" t="s">
        <v>179</v>
      </c>
      <c r="L2421" t="s">
        <v>33</v>
      </c>
      <c r="M2421" t="s">
        <v>527</v>
      </c>
      <c r="N2421" t="s">
        <v>8052</v>
      </c>
      <c r="O2421" t="s">
        <v>8053</v>
      </c>
      <c r="P2421" s="2" t="s">
        <v>37</v>
      </c>
      <c r="Q2421" t="s">
        <v>1208</v>
      </c>
      <c r="R2421">
        <v>0</v>
      </c>
      <c r="S2421">
        <v>13.87</v>
      </c>
      <c r="T2421" t="s">
        <v>8054</v>
      </c>
    </row>
    <row r="2422" spans="1:20" x14ac:dyDescent="0.25">
      <c r="A2422" s="1" t="str">
        <f>HYPERLINK("https://vegkart.atlas.vegvesen.no/#/@-35189.8,6733405.5,18/hva:hva%5B0%5D%5Bfilter%5D%5B0%5D%5Boperator%5D=%21%3D&amp;hva%5B0%5D%5Bfilter%5D%5B0%5D%5Btype_id%5D=4723&amp;hva%5B0%5D%5Bfilter%5D%5B0%5D%5Bverdi%5D=&amp;hva%5B0%5D%5Bid%5D=15/når:2024-01-16", "Vegkart")</f>
        <v>Vegkart</v>
      </c>
      <c r="B2422">
        <v>1018465950</v>
      </c>
      <c r="C2422">
        <v>15</v>
      </c>
      <c r="D2422" t="s">
        <v>5814</v>
      </c>
      <c r="E2422">
        <v>4723</v>
      </c>
      <c r="F2422" t="s">
        <v>23479</v>
      </c>
      <c r="G2422">
        <v>1</v>
      </c>
      <c r="H2422" t="s">
        <v>531</v>
      </c>
      <c r="J2422" t="s">
        <v>8013</v>
      </c>
      <c r="K2422" t="s">
        <v>21</v>
      </c>
      <c r="L2422" t="s">
        <v>33</v>
      </c>
      <c r="M2422" t="s">
        <v>8055</v>
      </c>
      <c r="N2422" t="s">
        <v>8056</v>
      </c>
      <c r="O2422" t="s">
        <v>8057</v>
      </c>
      <c r="P2422" s="2" t="s">
        <v>37</v>
      </c>
      <c r="Q2422" t="s">
        <v>1208</v>
      </c>
      <c r="R2422">
        <v>0</v>
      </c>
      <c r="S2422">
        <v>62.39</v>
      </c>
      <c r="T2422" t="s">
        <v>8058</v>
      </c>
    </row>
    <row r="2423" spans="1:20" x14ac:dyDescent="0.25">
      <c r="A2423" s="1" t="str">
        <f>HYPERLINK("https://vegkart.atlas.vegvesen.no/#/@-35201.4,6733448.0,18/hva:hva%5B0%5D%5Bfilter%5D%5B0%5D%5Boperator%5D=%21%3D&amp;hva%5B0%5D%5Bfilter%5D%5B0%5D%5Btype_id%5D=4723&amp;hva%5B0%5D%5Bfilter%5D%5B0%5D%5Bverdi%5D=&amp;hva%5B0%5D%5Bid%5D=15/når:2024-01-16", "Vegkart")</f>
        <v>Vegkart</v>
      </c>
      <c r="B2423">
        <v>1018465951</v>
      </c>
      <c r="C2423">
        <v>15</v>
      </c>
      <c r="D2423" t="s">
        <v>5814</v>
      </c>
      <c r="E2423">
        <v>4723</v>
      </c>
      <c r="F2423" t="s">
        <v>23479</v>
      </c>
      <c r="G2423">
        <v>1</v>
      </c>
      <c r="H2423" t="s">
        <v>531</v>
      </c>
      <c r="J2423" t="s">
        <v>8013</v>
      </c>
      <c r="K2423" t="s">
        <v>21</v>
      </c>
      <c r="L2423" t="s">
        <v>33</v>
      </c>
      <c r="M2423" t="s">
        <v>8055</v>
      </c>
      <c r="N2423" t="s">
        <v>8059</v>
      </c>
      <c r="O2423" t="s">
        <v>8060</v>
      </c>
      <c r="P2423" s="2" t="s">
        <v>37</v>
      </c>
      <c r="Q2423" t="s">
        <v>1208</v>
      </c>
      <c r="R2423">
        <v>0</v>
      </c>
      <c r="S2423">
        <v>73.34</v>
      </c>
      <c r="T2423" t="s">
        <v>8061</v>
      </c>
    </row>
    <row r="2424" spans="1:20" x14ac:dyDescent="0.25">
      <c r="A2424" s="1" t="str">
        <f>HYPERLINK("https://vegkart.atlas.vegvesen.no/#/@-35224.6,6733422.8,18/hva:hva%5B0%5D%5Bfilter%5D%5B0%5D%5Boperator%5D=%21%3D&amp;hva%5B0%5D%5Bfilter%5D%5B0%5D%5Btype_id%5D=4723&amp;hva%5B0%5D%5Bfilter%5D%5B0%5D%5Bverdi%5D=&amp;hva%5B0%5D%5Bid%5D=15/når:2024-01-16", "Vegkart")</f>
        <v>Vegkart</v>
      </c>
      <c r="B2424">
        <v>1018465952</v>
      </c>
      <c r="C2424">
        <v>15</v>
      </c>
      <c r="D2424" t="s">
        <v>5814</v>
      </c>
      <c r="E2424">
        <v>4723</v>
      </c>
      <c r="F2424" t="s">
        <v>23479</v>
      </c>
      <c r="G2424">
        <v>1</v>
      </c>
      <c r="H2424" t="s">
        <v>531</v>
      </c>
      <c r="J2424" t="s">
        <v>8013</v>
      </c>
      <c r="K2424" t="s">
        <v>21</v>
      </c>
      <c r="L2424" t="s">
        <v>33</v>
      </c>
      <c r="M2424" t="s">
        <v>8055</v>
      </c>
      <c r="N2424" t="s">
        <v>8062</v>
      </c>
      <c r="O2424" t="s">
        <v>8063</v>
      </c>
      <c r="P2424" s="2" t="s">
        <v>37</v>
      </c>
      <c r="Q2424" t="s">
        <v>1208</v>
      </c>
      <c r="R2424">
        <v>0</v>
      </c>
      <c r="S2424">
        <v>118.8</v>
      </c>
      <c r="T2424" t="s">
        <v>8064</v>
      </c>
    </row>
    <row r="2425" spans="1:20" x14ac:dyDescent="0.25">
      <c r="A2425" s="1" t="str">
        <f>HYPERLINK("https://vegkart.atlas.vegvesen.no/#/@-35180.6,6733432.7,18/hva:hva%5B0%5D%5Bfilter%5D%5B0%5D%5Boperator%5D=%21%3D&amp;hva%5B0%5D%5Bfilter%5D%5B0%5D%5Btype_id%5D=4723&amp;hva%5B0%5D%5Bfilter%5D%5B0%5D%5Bverdi%5D=&amp;hva%5B0%5D%5Bid%5D=15/når:2024-01-16", "Vegkart")</f>
        <v>Vegkart</v>
      </c>
      <c r="B2425">
        <v>1018465954</v>
      </c>
      <c r="C2425">
        <v>15</v>
      </c>
      <c r="D2425" t="s">
        <v>5814</v>
      </c>
      <c r="E2425">
        <v>4723</v>
      </c>
      <c r="F2425" t="s">
        <v>23479</v>
      </c>
      <c r="G2425">
        <v>1</v>
      </c>
      <c r="H2425" t="s">
        <v>531</v>
      </c>
      <c r="J2425" t="s">
        <v>8013</v>
      </c>
      <c r="K2425" t="s">
        <v>21</v>
      </c>
      <c r="L2425" t="s">
        <v>33</v>
      </c>
      <c r="M2425" t="s">
        <v>8055</v>
      </c>
      <c r="N2425" t="s">
        <v>8065</v>
      </c>
      <c r="O2425" t="s">
        <v>8066</v>
      </c>
      <c r="P2425" s="2" t="s">
        <v>37</v>
      </c>
      <c r="Q2425" t="s">
        <v>1208</v>
      </c>
      <c r="R2425">
        <v>0</v>
      </c>
      <c r="S2425">
        <v>20.43</v>
      </c>
      <c r="T2425" t="s">
        <v>8067</v>
      </c>
    </row>
    <row r="2426" spans="1:20" x14ac:dyDescent="0.25">
      <c r="A2426" s="1" t="str">
        <f>HYPERLINK("https://vegkart.atlas.vegvesen.no/#/@-35168.5,6733447.1,18/hva:hva%5B0%5D%5Bfilter%5D%5B0%5D%5Boperator%5D=%21%3D&amp;hva%5B0%5D%5Bfilter%5D%5B0%5D%5Btype_id%5D=4723&amp;hva%5B0%5D%5Bfilter%5D%5B0%5D%5Bverdi%5D=&amp;hva%5B0%5D%5Bid%5D=15/når:2024-01-16", "Vegkart")</f>
        <v>Vegkart</v>
      </c>
      <c r="B2426">
        <v>1018465955</v>
      </c>
      <c r="C2426">
        <v>15</v>
      </c>
      <c r="D2426" t="s">
        <v>5814</v>
      </c>
      <c r="E2426">
        <v>4723</v>
      </c>
      <c r="F2426" t="s">
        <v>23479</v>
      </c>
      <c r="G2426">
        <v>1</v>
      </c>
      <c r="H2426" t="s">
        <v>531</v>
      </c>
      <c r="J2426" t="s">
        <v>8013</v>
      </c>
      <c r="K2426" t="s">
        <v>21</v>
      </c>
      <c r="L2426" t="s">
        <v>33</v>
      </c>
      <c r="M2426" t="s">
        <v>8055</v>
      </c>
      <c r="N2426" t="s">
        <v>8068</v>
      </c>
      <c r="O2426" t="s">
        <v>8069</v>
      </c>
      <c r="P2426" s="2" t="s">
        <v>37</v>
      </c>
      <c r="Q2426" t="s">
        <v>1208</v>
      </c>
      <c r="R2426">
        <v>0</v>
      </c>
      <c r="S2426">
        <v>50.1</v>
      </c>
      <c r="T2426" t="s">
        <v>8070</v>
      </c>
    </row>
    <row r="2427" spans="1:20" x14ac:dyDescent="0.25">
      <c r="A2427" s="1" t="str">
        <f>HYPERLINK("https://vegkart.atlas.vegvesen.no/#/@-35185.3,6733420.4,18/hva:hva%5B0%5D%5Bfilter%5D%5B0%5D%5Boperator%5D=%21%3D&amp;hva%5B0%5D%5Bfilter%5D%5B0%5D%5Btype_id%5D=4723&amp;hva%5B0%5D%5Bfilter%5D%5B0%5D%5Bverdi%5D=&amp;hva%5B0%5D%5Bid%5D=15/når:2024-01-16", "Vegkart")</f>
        <v>Vegkart</v>
      </c>
      <c r="B2427">
        <v>1018465956</v>
      </c>
      <c r="C2427">
        <v>15</v>
      </c>
      <c r="D2427" t="s">
        <v>5814</v>
      </c>
      <c r="E2427">
        <v>4723</v>
      </c>
      <c r="F2427" t="s">
        <v>23479</v>
      </c>
      <c r="G2427">
        <v>1</v>
      </c>
      <c r="H2427" t="s">
        <v>531</v>
      </c>
      <c r="J2427" t="s">
        <v>8013</v>
      </c>
      <c r="K2427" t="s">
        <v>21</v>
      </c>
      <c r="L2427" t="s">
        <v>33</v>
      </c>
      <c r="M2427" t="s">
        <v>8055</v>
      </c>
      <c r="N2427" t="s">
        <v>8071</v>
      </c>
      <c r="O2427" t="s">
        <v>8072</v>
      </c>
      <c r="P2427" s="2" t="s">
        <v>37</v>
      </c>
      <c r="Q2427" t="s">
        <v>1208</v>
      </c>
      <c r="R2427">
        <v>0</v>
      </c>
      <c r="S2427">
        <v>32.409999999999997</v>
      </c>
      <c r="T2427" t="s">
        <v>8073</v>
      </c>
    </row>
    <row r="2428" spans="1:20" x14ac:dyDescent="0.25">
      <c r="A2428" s="1" t="str">
        <f>HYPERLINK("https://vegkart.atlas.vegvesen.no/#/@-35186.5,6733473.4,18/hva:hva%5B0%5D%5Bfilter%5D%5B0%5D%5Boperator%5D=%21%3D&amp;hva%5B0%5D%5Bfilter%5D%5B0%5D%5Btype_id%5D=4723&amp;hva%5B0%5D%5Bfilter%5D%5B0%5D%5Bverdi%5D=&amp;hva%5B0%5D%5Bid%5D=15/når:2024-01-16", "Vegkart")</f>
        <v>Vegkart</v>
      </c>
      <c r="B2428">
        <v>1018465957</v>
      </c>
      <c r="C2428">
        <v>15</v>
      </c>
      <c r="D2428" t="s">
        <v>5814</v>
      </c>
      <c r="E2428">
        <v>4723</v>
      </c>
      <c r="F2428" t="s">
        <v>23479</v>
      </c>
      <c r="G2428">
        <v>1</v>
      </c>
      <c r="H2428" t="s">
        <v>531</v>
      </c>
      <c r="J2428" t="s">
        <v>8013</v>
      </c>
      <c r="K2428" t="s">
        <v>21</v>
      </c>
      <c r="L2428" t="s">
        <v>33</v>
      </c>
      <c r="M2428" t="s">
        <v>8055</v>
      </c>
      <c r="N2428" t="s">
        <v>8074</v>
      </c>
      <c r="O2428" t="s">
        <v>8075</v>
      </c>
      <c r="P2428" s="2" t="s">
        <v>37</v>
      </c>
      <c r="Q2428" t="s">
        <v>1208</v>
      </c>
      <c r="R2428">
        <v>0</v>
      </c>
      <c r="S2428">
        <v>100.96</v>
      </c>
      <c r="T2428" t="s">
        <v>8076</v>
      </c>
    </row>
    <row r="2429" spans="1:20" x14ac:dyDescent="0.25">
      <c r="A2429" s="1" t="str">
        <f>HYPERLINK("https://vegkart.atlas.vegvesen.no/#/@-35151.3,6733497.7,18/hva:hva%5B0%5D%5Bfilter%5D%5B0%5D%5Boperator%5D=%21%3D&amp;hva%5B0%5D%5Bfilter%5D%5B0%5D%5Btype_id%5D=4723&amp;hva%5B0%5D%5Bfilter%5D%5B0%5D%5Bverdi%5D=&amp;hva%5B0%5D%5Bid%5D=15/når:2024-01-16", "Vegkart")</f>
        <v>Vegkart</v>
      </c>
      <c r="B2429">
        <v>1018465958</v>
      </c>
      <c r="C2429">
        <v>15</v>
      </c>
      <c r="D2429" t="s">
        <v>5814</v>
      </c>
      <c r="E2429">
        <v>4723</v>
      </c>
      <c r="F2429" t="s">
        <v>23479</v>
      </c>
      <c r="G2429">
        <v>1</v>
      </c>
      <c r="H2429" t="s">
        <v>531</v>
      </c>
      <c r="J2429" t="s">
        <v>8013</v>
      </c>
      <c r="K2429" t="s">
        <v>21</v>
      </c>
      <c r="L2429" t="s">
        <v>33</v>
      </c>
      <c r="M2429" t="s">
        <v>8055</v>
      </c>
      <c r="N2429" t="s">
        <v>8077</v>
      </c>
      <c r="O2429" t="s">
        <v>8078</v>
      </c>
      <c r="P2429" s="2" t="s">
        <v>37</v>
      </c>
      <c r="Q2429" t="s">
        <v>1208</v>
      </c>
      <c r="R2429">
        <v>0</v>
      </c>
      <c r="S2429">
        <v>22.24</v>
      </c>
      <c r="T2429" t="s">
        <v>8079</v>
      </c>
    </row>
    <row r="2430" spans="1:20" x14ac:dyDescent="0.25">
      <c r="A2430" s="1" t="str">
        <f>HYPERLINK("https://vegkart.atlas.vegvesen.no/#/@-35208.2,6733395.1,18/hva:hva%5B0%5D%5Bfilter%5D%5B0%5D%5Boperator%5D=%21%3D&amp;hva%5B0%5D%5Bfilter%5D%5B0%5D%5Btype_id%5D=4723&amp;hva%5B0%5D%5Bfilter%5D%5B0%5D%5Bverdi%5D=&amp;hva%5B0%5D%5Bid%5D=15/når:2024-01-16", "Vegkart")</f>
        <v>Vegkart</v>
      </c>
      <c r="B2430">
        <v>1018465960</v>
      </c>
      <c r="C2430">
        <v>15</v>
      </c>
      <c r="D2430" t="s">
        <v>5814</v>
      </c>
      <c r="E2430">
        <v>4723</v>
      </c>
      <c r="F2430" t="s">
        <v>23479</v>
      </c>
      <c r="G2430">
        <v>1</v>
      </c>
      <c r="H2430" t="s">
        <v>531</v>
      </c>
      <c r="J2430" t="s">
        <v>8013</v>
      </c>
      <c r="K2430" t="s">
        <v>21</v>
      </c>
      <c r="L2430" t="s">
        <v>33</v>
      </c>
      <c r="M2430" t="s">
        <v>8055</v>
      </c>
      <c r="N2430" t="s">
        <v>8080</v>
      </c>
      <c r="O2430" t="s">
        <v>8081</v>
      </c>
      <c r="P2430" s="2" t="s">
        <v>37</v>
      </c>
      <c r="Q2430" t="s">
        <v>1208</v>
      </c>
      <c r="R2430">
        <v>0</v>
      </c>
      <c r="S2430">
        <v>37.17</v>
      </c>
      <c r="T2430" t="s">
        <v>8082</v>
      </c>
    </row>
    <row r="2431" spans="1:20" x14ac:dyDescent="0.25">
      <c r="A2431" s="1" t="str">
        <f>HYPERLINK("https://vegkart.atlas.vegvesen.no/#/@443106.7,7559548.9,18/hva:hva%5B0%5D%5Bfilter%5D%5B0%5D%5Boperator%5D=%21%3D&amp;hva%5B0%5D%5Bfilter%5D%5B0%5D%5Btype_id%5D=4723&amp;hva%5B0%5D%5Bfilter%5D%5B0%5D%5Bverdi%5D=&amp;hva%5B0%5D%5Bid%5D=15/når:2024-02-14", "Vegkart")</f>
        <v>Vegkart</v>
      </c>
      <c r="B2431">
        <v>1018749082</v>
      </c>
      <c r="C2431">
        <v>15</v>
      </c>
      <c r="D2431" t="s">
        <v>5814</v>
      </c>
      <c r="E2431">
        <v>4723</v>
      </c>
      <c r="F2431" t="s">
        <v>23479</v>
      </c>
      <c r="G2431">
        <v>1</v>
      </c>
      <c r="H2431" t="s">
        <v>5314</v>
      </c>
      <c r="J2431" t="s">
        <v>8013</v>
      </c>
      <c r="K2431" t="s">
        <v>53</v>
      </c>
      <c r="L2431" t="s">
        <v>33</v>
      </c>
      <c r="M2431" t="s">
        <v>8083</v>
      </c>
      <c r="N2431" t="s">
        <v>8084</v>
      </c>
      <c r="O2431" t="s">
        <v>8085</v>
      </c>
      <c r="P2431" s="2" t="s">
        <v>37</v>
      </c>
      <c r="Q2431" t="s">
        <v>1208</v>
      </c>
      <c r="R2431">
        <v>0</v>
      </c>
      <c r="S2431">
        <v>90.03</v>
      </c>
      <c r="T2431" t="s">
        <v>8086</v>
      </c>
    </row>
    <row r="2432" spans="1:20" x14ac:dyDescent="0.25">
      <c r="A2432" s="1" t="str">
        <f>HYPERLINK("https://vegkart.atlas.vegvesen.no/#/@191232.0,6897787.8,18/hva:hva%5B0%5D%5Bfilter%5D%5B0%5D%5Boperator%5D=%21%3D&amp;hva%5B0%5D%5Bfilter%5D%5B0%5D%5Btype_id%5D=4723&amp;hva%5B0%5D%5Bfilter%5D%5B0%5D%5Bverdi%5D=&amp;hva%5B0%5D%5Bid%5D=15/når:2024-02-22", "Vegkart")</f>
        <v>Vegkart</v>
      </c>
      <c r="B2432">
        <v>1018904770</v>
      </c>
      <c r="C2432">
        <v>15</v>
      </c>
      <c r="D2432" t="s">
        <v>5814</v>
      </c>
      <c r="E2432">
        <v>4723</v>
      </c>
      <c r="F2432" t="s">
        <v>23479</v>
      </c>
      <c r="G2432">
        <v>1</v>
      </c>
      <c r="H2432" t="s">
        <v>8087</v>
      </c>
      <c r="J2432" t="s">
        <v>8088</v>
      </c>
      <c r="K2432" t="s">
        <v>136</v>
      </c>
      <c r="L2432" t="s">
        <v>33</v>
      </c>
      <c r="M2432" t="s">
        <v>8089</v>
      </c>
      <c r="N2432" t="s">
        <v>8090</v>
      </c>
      <c r="O2432" t="s">
        <v>8091</v>
      </c>
      <c r="P2432" s="2" t="s">
        <v>37</v>
      </c>
      <c r="Q2432" t="s">
        <v>1208</v>
      </c>
      <c r="R2432">
        <v>11.88</v>
      </c>
      <c r="S2432">
        <v>17.010000000000002</v>
      </c>
      <c r="T2432" t="s">
        <v>8092</v>
      </c>
    </row>
    <row r="2433" spans="1:20" x14ac:dyDescent="0.25">
      <c r="A2433" s="1" t="str">
        <f>HYPERLINK("https://vegkart.atlas.vegvesen.no/#/@-39186.0,6667130.1,18/hva:hva%5B0%5D%5Bfilter%5D%5B0%5D%5Boperator%5D=%21%3D&amp;hva%5B0%5D%5Bfilter%5D%5B0%5D%5Btype_id%5D=4723&amp;hva%5B0%5D%5Bfilter%5D%5B0%5D%5Bverdi%5D=&amp;hva%5B0%5D%5Bid%5D=15/når:2024-02-27", "Vegkart")</f>
        <v>Vegkart</v>
      </c>
      <c r="B2433">
        <v>1018939927</v>
      </c>
      <c r="C2433">
        <v>15</v>
      </c>
      <c r="D2433" t="s">
        <v>5814</v>
      </c>
      <c r="E2433">
        <v>4723</v>
      </c>
      <c r="F2433" t="s">
        <v>23479</v>
      </c>
      <c r="G2433">
        <v>1</v>
      </c>
      <c r="H2433" t="s">
        <v>8093</v>
      </c>
      <c r="J2433" t="s">
        <v>8088</v>
      </c>
      <c r="K2433" t="s">
        <v>21</v>
      </c>
      <c r="L2433" t="s">
        <v>33</v>
      </c>
      <c r="M2433" t="s">
        <v>8094</v>
      </c>
      <c r="N2433" t="s">
        <v>8095</v>
      </c>
      <c r="O2433" t="s">
        <v>8096</v>
      </c>
      <c r="P2433" s="2" t="s">
        <v>37</v>
      </c>
      <c r="Q2433" t="s">
        <v>1208</v>
      </c>
      <c r="R2433">
        <v>0</v>
      </c>
      <c r="S2433">
        <v>34.409999999999997</v>
      </c>
      <c r="T2433" t="s">
        <v>8097</v>
      </c>
    </row>
    <row r="2434" spans="1:20" x14ac:dyDescent="0.25">
      <c r="A2434" s="1" t="str">
        <f>HYPERLINK("https://vegkart.atlas.vegvesen.no/#/@-39186.0,6667130.1,18/hva:hva%5B0%5D%5Bfilter%5D%5B0%5D%5Boperator%5D=%21%3D&amp;hva%5B0%5D%5Bfilter%5D%5B0%5D%5Btype_id%5D=4723&amp;hva%5B0%5D%5Bfilter%5D%5B0%5D%5Bverdi%5D=&amp;hva%5B0%5D%5Bid%5D=15/når:2024-02-27", "Vegkart")</f>
        <v>Vegkart</v>
      </c>
      <c r="B2434">
        <v>1018939930</v>
      </c>
      <c r="C2434">
        <v>15</v>
      </c>
      <c r="D2434" t="s">
        <v>5814</v>
      </c>
      <c r="E2434">
        <v>4723</v>
      </c>
      <c r="F2434" t="s">
        <v>23479</v>
      </c>
      <c r="G2434">
        <v>1</v>
      </c>
      <c r="H2434" t="s">
        <v>8093</v>
      </c>
      <c r="J2434" t="s">
        <v>8088</v>
      </c>
      <c r="K2434" t="s">
        <v>21</v>
      </c>
      <c r="L2434" t="s">
        <v>33</v>
      </c>
      <c r="M2434" t="s">
        <v>8094</v>
      </c>
      <c r="N2434" t="s">
        <v>8095</v>
      </c>
      <c r="O2434" t="s">
        <v>8096</v>
      </c>
      <c r="P2434" s="2" t="s">
        <v>37</v>
      </c>
      <c r="Q2434" t="s">
        <v>1208</v>
      </c>
      <c r="R2434">
        <v>0</v>
      </c>
      <c r="S2434">
        <v>34.409999999999997</v>
      </c>
      <c r="T2434" t="s">
        <v>8097</v>
      </c>
    </row>
    <row r="2435" spans="1:20" x14ac:dyDescent="0.25">
      <c r="A2435" s="1" t="str">
        <f>HYPERLINK("https://vegkart.atlas.vegvesen.no/#/@-34760.8,6729795.1,18/hva:hva%5B0%5D%5Bfilter%5D%5B0%5D%5Boperator%5D=%21%3D&amp;hva%5B0%5D%5Bfilter%5D%5B0%5D%5Btype_id%5D=4723&amp;hva%5B0%5D%5Bfilter%5D%5B0%5D%5Bverdi%5D=&amp;hva%5B0%5D%5Bid%5D=15/når:2024-03-11", "Vegkart")</f>
        <v>Vegkart</v>
      </c>
      <c r="B2435">
        <v>1018993287</v>
      </c>
      <c r="C2435">
        <v>15</v>
      </c>
      <c r="D2435" t="s">
        <v>5814</v>
      </c>
      <c r="E2435">
        <v>4723</v>
      </c>
      <c r="F2435" t="s">
        <v>23479</v>
      </c>
      <c r="G2435">
        <v>1</v>
      </c>
      <c r="H2435" t="s">
        <v>4115</v>
      </c>
      <c r="J2435" t="s">
        <v>8088</v>
      </c>
      <c r="K2435" t="s">
        <v>21</v>
      </c>
      <c r="L2435" t="s">
        <v>33</v>
      </c>
      <c r="M2435" t="s">
        <v>558</v>
      </c>
      <c r="N2435" t="s">
        <v>8098</v>
      </c>
      <c r="O2435" t="s">
        <v>8099</v>
      </c>
      <c r="P2435" s="2" t="s">
        <v>165</v>
      </c>
      <c r="Q2435" t="s">
        <v>1012</v>
      </c>
      <c r="R2435">
        <v>12.23</v>
      </c>
      <c r="S2435">
        <v>12.26</v>
      </c>
      <c r="T2435" t="s">
        <v>167</v>
      </c>
    </row>
    <row r="2436" spans="1:20" x14ac:dyDescent="0.25">
      <c r="A2436" s="1" t="str">
        <f>HYPERLINK("https://vegkart.atlas.vegvesen.no/#/@-34739.5,6729799.3,18/hva:hva%5B0%5D%5Bfilter%5D%5B0%5D%5Boperator%5D=%21%3D&amp;hva%5B0%5D%5Bfilter%5D%5B0%5D%5Btype_id%5D=4723&amp;hva%5B0%5D%5Bfilter%5D%5B0%5D%5Bverdi%5D=&amp;hva%5B0%5D%5Bid%5D=15/når:2024-03-11", "Vegkart")</f>
        <v>Vegkart</v>
      </c>
      <c r="B2436">
        <v>1018993288</v>
      </c>
      <c r="C2436">
        <v>15</v>
      </c>
      <c r="D2436" t="s">
        <v>5814</v>
      </c>
      <c r="E2436">
        <v>4723</v>
      </c>
      <c r="F2436" t="s">
        <v>23479</v>
      </c>
      <c r="G2436">
        <v>1</v>
      </c>
      <c r="H2436" t="s">
        <v>4115</v>
      </c>
      <c r="J2436" t="s">
        <v>8088</v>
      </c>
      <c r="K2436" t="s">
        <v>21</v>
      </c>
      <c r="L2436" t="s">
        <v>33</v>
      </c>
      <c r="M2436" t="s">
        <v>558</v>
      </c>
      <c r="N2436" t="s">
        <v>8100</v>
      </c>
      <c r="O2436" t="s">
        <v>8101</v>
      </c>
      <c r="P2436" s="2" t="s">
        <v>37</v>
      </c>
      <c r="Q2436" t="s">
        <v>1208</v>
      </c>
      <c r="R2436">
        <v>0.04</v>
      </c>
      <c r="S2436">
        <v>28.23</v>
      </c>
      <c r="T2436" t="s">
        <v>8102</v>
      </c>
    </row>
    <row r="2437" spans="1:20" x14ac:dyDescent="0.25">
      <c r="A2437" s="1" t="str">
        <f>HYPERLINK("https://vegkart.atlas.vegvesen.no/#/@-34764.0,6729821.4,18/hva:hva%5B0%5D%5Bfilter%5D%5B0%5D%5Boperator%5D=%21%3D&amp;hva%5B0%5D%5Bfilter%5D%5B0%5D%5Btype_id%5D=4723&amp;hva%5B0%5D%5Bfilter%5D%5B0%5D%5Bverdi%5D=&amp;hva%5B0%5D%5Bid%5D=15/når:2024-03-11", "Vegkart")</f>
        <v>Vegkart</v>
      </c>
      <c r="B2437">
        <v>1018993289</v>
      </c>
      <c r="C2437">
        <v>15</v>
      </c>
      <c r="D2437" t="s">
        <v>5814</v>
      </c>
      <c r="E2437">
        <v>4723</v>
      </c>
      <c r="F2437" t="s">
        <v>23479</v>
      </c>
      <c r="G2437">
        <v>1</v>
      </c>
      <c r="H2437" t="s">
        <v>4115</v>
      </c>
      <c r="J2437" t="s">
        <v>8088</v>
      </c>
      <c r="K2437" t="s">
        <v>21</v>
      </c>
      <c r="L2437" t="s">
        <v>33</v>
      </c>
      <c r="M2437" t="s">
        <v>558</v>
      </c>
      <c r="N2437" t="s">
        <v>8103</v>
      </c>
      <c r="O2437" t="s">
        <v>8104</v>
      </c>
      <c r="P2437" s="2" t="s">
        <v>37</v>
      </c>
      <c r="Q2437" t="s">
        <v>1208</v>
      </c>
      <c r="R2437">
        <v>4.47</v>
      </c>
      <c r="S2437">
        <v>125.7</v>
      </c>
      <c r="T2437" t="s">
        <v>8105</v>
      </c>
    </row>
    <row r="2438" spans="1:20" x14ac:dyDescent="0.25">
      <c r="A2438" s="1" t="str">
        <f>HYPERLINK("https://vegkart.atlas.vegvesen.no/#/@-34743.9,6729781.6,18/hva:hva%5B0%5D%5Bfilter%5D%5B0%5D%5Boperator%5D=%21%3D&amp;hva%5B0%5D%5Bfilter%5D%5B0%5D%5Btype_id%5D=4723&amp;hva%5B0%5D%5Bfilter%5D%5B0%5D%5Bverdi%5D=&amp;hva%5B0%5D%5Bid%5D=15/når:2024-03-11", "Vegkart")</f>
        <v>Vegkart</v>
      </c>
      <c r="B2438">
        <v>1018993290</v>
      </c>
      <c r="C2438">
        <v>15</v>
      </c>
      <c r="D2438" t="s">
        <v>5814</v>
      </c>
      <c r="E2438">
        <v>4723</v>
      </c>
      <c r="F2438" t="s">
        <v>23479</v>
      </c>
      <c r="G2438">
        <v>1</v>
      </c>
      <c r="H2438" t="s">
        <v>4115</v>
      </c>
      <c r="J2438" t="s">
        <v>8088</v>
      </c>
      <c r="K2438" t="s">
        <v>21</v>
      </c>
      <c r="L2438" t="s">
        <v>33</v>
      </c>
      <c r="M2438" t="s">
        <v>558</v>
      </c>
      <c r="N2438" t="s">
        <v>8106</v>
      </c>
      <c r="O2438" t="s">
        <v>8107</v>
      </c>
      <c r="P2438" s="2" t="s">
        <v>37</v>
      </c>
      <c r="Q2438" t="s">
        <v>1208</v>
      </c>
      <c r="R2438">
        <v>1.55</v>
      </c>
      <c r="S2438">
        <v>84.09</v>
      </c>
      <c r="T2438" t="s">
        <v>8108</v>
      </c>
    </row>
    <row r="2439" spans="1:20" x14ac:dyDescent="0.25">
      <c r="A2439" s="1" t="str">
        <f>HYPERLINK("https://vegkart.atlas.vegvesen.no/#/@-34881.7,6729799.3,18/hva:hva%5B0%5D%5Bfilter%5D%5B0%5D%5Boperator%5D=%21%3D&amp;hva%5B0%5D%5Bfilter%5D%5B0%5D%5Btype_id%5D=4723&amp;hva%5B0%5D%5Bfilter%5D%5B0%5D%5Bverdi%5D=&amp;hva%5B0%5D%5Bid%5D=15/når:2024-03-11", "Vegkart")</f>
        <v>Vegkart</v>
      </c>
      <c r="B2439">
        <v>1018993291</v>
      </c>
      <c r="C2439">
        <v>15</v>
      </c>
      <c r="D2439" t="s">
        <v>5814</v>
      </c>
      <c r="E2439">
        <v>4723</v>
      </c>
      <c r="F2439" t="s">
        <v>23479</v>
      </c>
      <c r="G2439">
        <v>1</v>
      </c>
      <c r="H2439" t="s">
        <v>4115</v>
      </c>
      <c r="J2439" t="s">
        <v>8088</v>
      </c>
      <c r="K2439" t="s">
        <v>21</v>
      </c>
      <c r="L2439" t="s">
        <v>33</v>
      </c>
      <c r="M2439" t="s">
        <v>558</v>
      </c>
      <c r="N2439" t="s">
        <v>8109</v>
      </c>
      <c r="O2439" t="s">
        <v>8110</v>
      </c>
      <c r="P2439" s="2" t="s">
        <v>37</v>
      </c>
      <c r="Q2439" t="s">
        <v>1208</v>
      </c>
      <c r="R2439">
        <v>1.61</v>
      </c>
      <c r="S2439">
        <v>47.57</v>
      </c>
      <c r="T2439" t="s">
        <v>8111</v>
      </c>
    </row>
    <row r="2440" spans="1:20" x14ac:dyDescent="0.25">
      <c r="A2440" s="1" t="str">
        <f>HYPERLINK("https://vegkart.atlas.vegvesen.no/#/@-34780.0,6729805.1,18/hva:hva%5B0%5D%5Bfilter%5D%5B0%5D%5Boperator%5D=%21%3D&amp;hva%5B0%5D%5Bfilter%5D%5B0%5D%5Btype_id%5D=4723&amp;hva%5B0%5D%5Bfilter%5D%5B0%5D%5Bverdi%5D=&amp;hva%5B0%5D%5Bid%5D=15/når:2024-03-11", "Vegkart")</f>
        <v>Vegkart</v>
      </c>
      <c r="B2440">
        <v>1018993292</v>
      </c>
      <c r="C2440">
        <v>15</v>
      </c>
      <c r="D2440" t="s">
        <v>5814</v>
      </c>
      <c r="E2440">
        <v>4723</v>
      </c>
      <c r="F2440" t="s">
        <v>23479</v>
      </c>
      <c r="G2440">
        <v>1</v>
      </c>
      <c r="H2440" t="s">
        <v>4115</v>
      </c>
      <c r="J2440" t="s">
        <v>8088</v>
      </c>
      <c r="K2440" t="s">
        <v>21</v>
      </c>
      <c r="L2440" t="s">
        <v>33</v>
      </c>
      <c r="M2440" t="s">
        <v>558</v>
      </c>
      <c r="N2440" t="s">
        <v>8112</v>
      </c>
      <c r="O2440" t="s">
        <v>8113</v>
      </c>
      <c r="P2440" s="2" t="s">
        <v>37</v>
      </c>
      <c r="Q2440" t="s">
        <v>1208</v>
      </c>
      <c r="R2440">
        <v>0</v>
      </c>
      <c r="S2440">
        <v>206.83</v>
      </c>
      <c r="T2440" t="s">
        <v>8114</v>
      </c>
    </row>
    <row r="2441" spans="1:20" x14ac:dyDescent="0.25">
      <c r="A2441" s="1" t="str">
        <f>HYPERLINK("https://vegkart.atlas.vegvesen.no/#/@-34731.6,6729799.7,18/hva:hva%5B0%5D%5Bfilter%5D%5B0%5D%5Boperator%5D=%21%3D&amp;hva%5B0%5D%5Bfilter%5D%5B0%5D%5Btype_id%5D=4723&amp;hva%5B0%5D%5Bfilter%5D%5B0%5D%5Bverdi%5D=&amp;hva%5B0%5D%5Bid%5D=15/når:2024-03-11", "Vegkart")</f>
        <v>Vegkart</v>
      </c>
      <c r="B2441">
        <v>1018993293</v>
      </c>
      <c r="C2441">
        <v>15</v>
      </c>
      <c r="D2441" t="s">
        <v>5814</v>
      </c>
      <c r="E2441">
        <v>4723</v>
      </c>
      <c r="F2441" t="s">
        <v>23479</v>
      </c>
      <c r="G2441">
        <v>1</v>
      </c>
      <c r="H2441" t="s">
        <v>4115</v>
      </c>
      <c r="J2441" t="s">
        <v>8088</v>
      </c>
      <c r="K2441" t="s">
        <v>21</v>
      </c>
      <c r="L2441" t="s">
        <v>33</v>
      </c>
      <c r="M2441" t="s">
        <v>558</v>
      </c>
      <c r="N2441" t="s">
        <v>8115</v>
      </c>
      <c r="O2441" t="s">
        <v>8116</v>
      </c>
      <c r="P2441" s="2" t="s">
        <v>37</v>
      </c>
      <c r="Q2441" t="s">
        <v>1208</v>
      </c>
      <c r="R2441">
        <v>0.03</v>
      </c>
      <c r="S2441">
        <v>19.96</v>
      </c>
      <c r="T2441" t="s">
        <v>8117</v>
      </c>
    </row>
    <row r="2442" spans="1:20" x14ac:dyDescent="0.25">
      <c r="A2442" s="1" t="str">
        <f>HYPERLINK("https://vegkart.atlas.vegvesen.no/#/@-34726.5,6729823.3,18/hva:hva%5B0%5D%5Bfilter%5D%5B0%5D%5Boperator%5D=%21%3D&amp;hva%5B0%5D%5Bfilter%5D%5B0%5D%5Btype_id%5D=4723&amp;hva%5B0%5D%5Bfilter%5D%5B0%5D%5Bverdi%5D=&amp;hva%5B0%5D%5Bid%5D=15/når:2024-03-11", "Vegkart")</f>
        <v>Vegkart</v>
      </c>
      <c r="B2442">
        <v>1018993294</v>
      </c>
      <c r="C2442">
        <v>15</v>
      </c>
      <c r="D2442" t="s">
        <v>5814</v>
      </c>
      <c r="E2442">
        <v>4723</v>
      </c>
      <c r="F2442" t="s">
        <v>23479</v>
      </c>
      <c r="G2442">
        <v>1</v>
      </c>
      <c r="H2442" t="s">
        <v>4115</v>
      </c>
      <c r="J2442" t="s">
        <v>8088</v>
      </c>
      <c r="K2442" t="s">
        <v>21</v>
      </c>
      <c r="L2442" t="s">
        <v>33</v>
      </c>
      <c r="M2442" t="s">
        <v>558</v>
      </c>
      <c r="N2442" t="s">
        <v>8118</v>
      </c>
      <c r="O2442" t="s">
        <v>8119</v>
      </c>
      <c r="P2442" s="2" t="s">
        <v>37</v>
      </c>
      <c r="Q2442" t="s">
        <v>1208</v>
      </c>
      <c r="R2442">
        <v>0</v>
      </c>
      <c r="S2442">
        <v>31.02</v>
      </c>
      <c r="T2442" t="s">
        <v>8120</v>
      </c>
    </row>
    <row r="2443" spans="1:20" x14ac:dyDescent="0.25">
      <c r="A2443" s="1" t="str">
        <f>HYPERLINK("https://vegkart.atlas.vegvesen.no/#/@-34772.0,6729771.5,18/hva:hva%5B0%5D%5Bfilter%5D%5B0%5D%5Boperator%5D=%21%3D&amp;hva%5B0%5D%5Bfilter%5D%5B0%5D%5Btype_id%5D=4723&amp;hva%5B0%5D%5Bfilter%5D%5B0%5D%5Bverdi%5D=&amp;hva%5B0%5D%5Bid%5D=15/når:2024-03-11", "Vegkart")</f>
        <v>Vegkart</v>
      </c>
      <c r="B2443">
        <v>1018993295</v>
      </c>
      <c r="C2443">
        <v>15</v>
      </c>
      <c r="D2443" t="s">
        <v>5814</v>
      </c>
      <c r="E2443">
        <v>4723</v>
      </c>
      <c r="F2443" t="s">
        <v>23479</v>
      </c>
      <c r="G2443">
        <v>1</v>
      </c>
      <c r="H2443" t="s">
        <v>4115</v>
      </c>
      <c r="J2443" t="s">
        <v>8088</v>
      </c>
      <c r="K2443" t="s">
        <v>21</v>
      </c>
      <c r="L2443" t="s">
        <v>33</v>
      </c>
      <c r="M2443" t="s">
        <v>558</v>
      </c>
      <c r="N2443" t="s">
        <v>8121</v>
      </c>
      <c r="O2443" t="s">
        <v>8122</v>
      </c>
      <c r="P2443" s="2" t="s">
        <v>37</v>
      </c>
      <c r="Q2443" t="s">
        <v>1208</v>
      </c>
      <c r="R2443">
        <v>0.05</v>
      </c>
      <c r="S2443">
        <v>93.71</v>
      </c>
      <c r="T2443" t="s">
        <v>8123</v>
      </c>
    </row>
    <row r="2444" spans="1:20" x14ac:dyDescent="0.25">
      <c r="A2444" s="1" t="str">
        <f>HYPERLINK("https://vegkart.atlas.vegvesen.no/#/@-34713.3,6729774.5,18/hva:hva%5B0%5D%5Bfilter%5D%5B0%5D%5Boperator%5D=%21%3D&amp;hva%5B0%5D%5Bfilter%5D%5B0%5D%5Btype_id%5D=4723&amp;hva%5B0%5D%5Bfilter%5D%5B0%5D%5Bverdi%5D=&amp;hva%5B0%5D%5Bid%5D=15/når:2024-03-11", "Vegkart")</f>
        <v>Vegkart</v>
      </c>
      <c r="B2444">
        <v>1018993296</v>
      </c>
      <c r="C2444">
        <v>15</v>
      </c>
      <c r="D2444" t="s">
        <v>5814</v>
      </c>
      <c r="E2444">
        <v>4723</v>
      </c>
      <c r="F2444" t="s">
        <v>23479</v>
      </c>
      <c r="G2444">
        <v>1</v>
      </c>
      <c r="H2444" t="s">
        <v>4115</v>
      </c>
      <c r="J2444" t="s">
        <v>8088</v>
      </c>
      <c r="K2444" t="s">
        <v>21</v>
      </c>
      <c r="L2444" t="s">
        <v>22</v>
      </c>
      <c r="M2444" t="s">
        <v>8124</v>
      </c>
      <c r="N2444" t="s">
        <v>8125</v>
      </c>
      <c r="O2444" t="s">
        <v>8126</v>
      </c>
      <c r="P2444" s="2" t="s">
        <v>165</v>
      </c>
      <c r="Q2444" t="s">
        <v>641</v>
      </c>
      <c r="R2444">
        <v>2.73</v>
      </c>
      <c r="S2444">
        <v>58.77</v>
      </c>
      <c r="T2444" t="s">
        <v>167</v>
      </c>
    </row>
    <row r="2445" spans="1:20" x14ac:dyDescent="0.25">
      <c r="A2445" s="1" t="str">
        <f>HYPERLINK("https://vegkart.atlas.vegvesen.no/#/@-34810.5,6729780.4,18/hva:hva%5B0%5D%5Bfilter%5D%5B0%5D%5Boperator%5D=%21%3D&amp;hva%5B0%5D%5Bfilter%5D%5B0%5D%5Btype_id%5D=4723&amp;hva%5B0%5D%5Bfilter%5D%5B0%5D%5Bverdi%5D=&amp;hva%5B0%5D%5Bid%5D=15/når:2024-03-11", "Vegkart")</f>
        <v>Vegkart</v>
      </c>
      <c r="B2445">
        <v>1018993297</v>
      </c>
      <c r="C2445">
        <v>15</v>
      </c>
      <c r="D2445" t="s">
        <v>5814</v>
      </c>
      <c r="E2445">
        <v>4723</v>
      </c>
      <c r="F2445" t="s">
        <v>23479</v>
      </c>
      <c r="G2445">
        <v>1</v>
      </c>
      <c r="H2445" t="s">
        <v>4115</v>
      </c>
      <c r="J2445" t="s">
        <v>8088</v>
      </c>
      <c r="K2445" t="s">
        <v>21</v>
      </c>
      <c r="L2445" t="s">
        <v>33</v>
      </c>
      <c r="M2445" t="s">
        <v>558</v>
      </c>
      <c r="N2445" t="s">
        <v>8127</v>
      </c>
      <c r="O2445" t="s">
        <v>8128</v>
      </c>
      <c r="P2445" s="2" t="s">
        <v>37</v>
      </c>
      <c r="Q2445" t="s">
        <v>1208</v>
      </c>
      <c r="R2445">
        <v>0.12</v>
      </c>
      <c r="S2445">
        <v>76.760000000000005</v>
      </c>
      <c r="T2445" t="s">
        <v>8129</v>
      </c>
    </row>
    <row r="2446" spans="1:20" x14ac:dyDescent="0.25">
      <c r="A2446" s="1" t="str">
        <f>HYPERLINK("https://vegkart.atlas.vegvesen.no/#/@-34672.9,6729787.8,18/hva:hva%5B0%5D%5Bfilter%5D%5B0%5D%5Boperator%5D=%21%3D&amp;hva%5B0%5D%5Bfilter%5D%5B0%5D%5Btype_id%5D=4723&amp;hva%5B0%5D%5Bfilter%5D%5B0%5D%5Bverdi%5D=&amp;hva%5B0%5D%5Bid%5D=15/når:2024-03-11", "Vegkart")</f>
        <v>Vegkart</v>
      </c>
      <c r="B2446">
        <v>1018993298</v>
      </c>
      <c r="C2446">
        <v>15</v>
      </c>
      <c r="D2446" t="s">
        <v>5814</v>
      </c>
      <c r="E2446">
        <v>4723</v>
      </c>
      <c r="F2446" t="s">
        <v>23479</v>
      </c>
      <c r="G2446">
        <v>1</v>
      </c>
      <c r="H2446" t="s">
        <v>4115</v>
      </c>
      <c r="J2446" t="s">
        <v>8088</v>
      </c>
      <c r="K2446" t="s">
        <v>21</v>
      </c>
      <c r="L2446" t="s">
        <v>22</v>
      </c>
      <c r="M2446" t="s">
        <v>8124</v>
      </c>
      <c r="N2446" t="s">
        <v>8130</v>
      </c>
      <c r="O2446" t="s">
        <v>8131</v>
      </c>
      <c r="P2446" s="2" t="s">
        <v>37</v>
      </c>
      <c r="Q2446" t="s">
        <v>1208</v>
      </c>
      <c r="R2446">
        <v>1</v>
      </c>
      <c r="S2446">
        <v>74.47</v>
      </c>
      <c r="T2446" t="s">
        <v>8132</v>
      </c>
    </row>
    <row r="2447" spans="1:20" x14ac:dyDescent="0.25">
      <c r="A2447" s="1" t="str">
        <f>HYPERLINK("https://vegkart.atlas.vegvesen.no/#/@-34703.7,6729777.1,18/hva:hva%5B0%5D%5Bfilter%5D%5B0%5D%5Boperator%5D=%21%3D&amp;hva%5B0%5D%5Bfilter%5D%5B0%5D%5Btype_id%5D=4723&amp;hva%5B0%5D%5Bfilter%5D%5B0%5D%5Bverdi%5D=&amp;hva%5B0%5D%5Bid%5D=15/når:2024-03-11", "Vegkart")</f>
        <v>Vegkart</v>
      </c>
      <c r="B2447">
        <v>1018993299</v>
      </c>
      <c r="C2447">
        <v>15</v>
      </c>
      <c r="D2447" t="s">
        <v>5814</v>
      </c>
      <c r="E2447">
        <v>4723</v>
      </c>
      <c r="F2447" t="s">
        <v>23479</v>
      </c>
      <c r="G2447">
        <v>1</v>
      </c>
      <c r="H2447" t="s">
        <v>4115</v>
      </c>
      <c r="J2447" t="s">
        <v>8088</v>
      </c>
      <c r="K2447" t="s">
        <v>21</v>
      </c>
      <c r="L2447" t="s">
        <v>22</v>
      </c>
      <c r="M2447" t="s">
        <v>8124</v>
      </c>
      <c r="N2447" t="s">
        <v>8133</v>
      </c>
      <c r="O2447" t="s">
        <v>8134</v>
      </c>
      <c r="P2447" s="2" t="s">
        <v>37</v>
      </c>
      <c r="Q2447" t="s">
        <v>1208</v>
      </c>
      <c r="R2447">
        <v>0</v>
      </c>
      <c r="S2447">
        <v>24.27</v>
      </c>
      <c r="T2447" t="s">
        <v>8135</v>
      </c>
    </row>
    <row r="2448" spans="1:20" x14ac:dyDescent="0.25">
      <c r="A2448" s="1" t="str">
        <f>HYPERLINK("https://vegkart.atlas.vegvesen.no/#/@-34807.5,6729764.3,18/hva:hva%5B0%5D%5Bfilter%5D%5B0%5D%5Boperator%5D=%21%3D&amp;hva%5B0%5D%5Bfilter%5D%5B0%5D%5Btype_id%5D=4723&amp;hva%5B0%5D%5Bfilter%5D%5B0%5D%5Bverdi%5D=&amp;hva%5B0%5D%5Bid%5D=15/når:2024-03-11", "Vegkart")</f>
        <v>Vegkart</v>
      </c>
      <c r="B2448">
        <v>1018993300</v>
      </c>
      <c r="C2448">
        <v>15</v>
      </c>
      <c r="D2448" t="s">
        <v>5814</v>
      </c>
      <c r="E2448">
        <v>4723</v>
      </c>
      <c r="F2448" t="s">
        <v>23479</v>
      </c>
      <c r="G2448">
        <v>1</v>
      </c>
      <c r="H2448" t="s">
        <v>4115</v>
      </c>
      <c r="J2448" t="s">
        <v>8088</v>
      </c>
      <c r="K2448" t="s">
        <v>21</v>
      </c>
      <c r="L2448" t="s">
        <v>33</v>
      </c>
      <c r="M2448" t="s">
        <v>558</v>
      </c>
      <c r="N2448" t="s">
        <v>8136</v>
      </c>
      <c r="O2448" t="s">
        <v>8137</v>
      </c>
      <c r="P2448" s="2" t="s">
        <v>37</v>
      </c>
      <c r="Q2448" t="s">
        <v>1208</v>
      </c>
      <c r="R2448">
        <v>0.38</v>
      </c>
      <c r="S2448">
        <v>54.14</v>
      </c>
      <c r="T2448" t="s">
        <v>8138</v>
      </c>
    </row>
    <row r="2449" spans="1:20" x14ac:dyDescent="0.25">
      <c r="A2449" s="1" t="str">
        <f>HYPERLINK("https://vegkart.atlas.vegvesen.no/#/@-34790.5,6729790.8,18/hva:hva%5B0%5D%5Bfilter%5D%5B0%5D%5Boperator%5D=%21%3D&amp;hva%5B0%5D%5Bfilter%5D%5B0%5D%5Btype_id%5D=4723&amp;hva%5B0%5D%5Bfilter%5D%5B0%5D%5Bverdi%5D=&amp;hva%5B0%5D%5Bid%5D=15/når:2024-03-11", "Vegkart")</f>
        <v>Vegkart</v>
      </c>
      <c r="B2449">
        <v>1018993301</v>
      </c>
      <c r="C2449">
        <v>15</v>
      </c>
      <c r="D2449" t="s">
        <v>5814</v>
      </c>
      <c r="E2449">
        <v>4723</v>
      </c>
      <c r="F2449" t="s">
        <v>23479</v>
      </c>
      <c r="G2449">
        <v>1</v>
      </c>
      <c r="H2449" t="s">
        <v>4115</v>
      </c>
      <c r="J2449" t="s">
        <v>8088</v>
      </c>
      <c r="K2449" t="s">
        <v>21</v>
      </c>
      <c r="L2449" t="s">
        <v>33</v>
      </c>
      <c r="M2449" t="s">
        <v>558</v>
      </c>
      <c r="N2449" t="s">
        <v>8139</v>
      </c>
      <c r="O2449" t="s">
        <v>8140</v>
      </c>
      <c r="P2449" s="2" t="s">
        <v>37</v>
      </c>
      <c r="Q2449" t="s">
        <v>1208</v>
      </c>
      <c r="R2449">
        <v>1.1299999999999999</v>
      </c>
      <c r="S2449">
        <v>156.27000000000001</v>
      </c>
      <c r="T2449" t="s">
        <v>8141</v>
      </c>
    </row>
    <row r="2450" spans="1:20" x14ac:dyDescent="0.25">
      <c r="A2450" s="1" t="str">
        <f>HYPERLINK("https://vegkart.atlas.vegvesen.no/#/@-34690.0,6729765.3,18/hva:hva%5B0%5D%5Bfilter%5D%5B0%5D%5Boperator%5D=%21%3D&amp;hva%5B0%5D%5Bfilter%5D%5B0%5D%5Btype_id%5D=4723&amp;hva%5B0%5D%5Bfilter%5D%5B0%5D%5Bverdi%5D=&amp;hva%5B0%5D%5Bid%5D=15/når:2024-03-11", "Vegkart")</f>
        <v>Vegkart</v>
      </c>
      <c r="B2450">
        <v>1018993302</v>
      </c>
      <c r="C2450">
        <v>15</v>
      </c>
      <c r="D2450" t="s">
        <v>5814</v>
      </c>
      <c r="E2450">
        <v>4723</v>
      </c>
      <c r="F2450" t="s">
        <v>23479</v>
      </c>
      <c r="G2450">
        <v>1</v>
      </c>
      <c r="H2450" t="s">
        <v>4115</v>
      </c>
      <c r="J2450" t="s">
        <v>8088</v>
      </c>
      <c r="K2450" t="s">
        <v>21</v>
      </c>
      <c r="L2450" t="s">
        <v>22</v>
      </c>
      <c r="M2450" t="s">
        <v>8124</v>
      </c>
      <c r="N2450" t="s">
        <v>8142</v>
      </c>
      <c r="O2450" t="s">
        <v>8143</v>
      </c>
      <c r="P2450" s="2" t="s">
        <v>165</v>
      </c>
      <c r="Q2450" t="s">
        <v>641</v>
      </c>
      <c r="R2450">
        <v>0.54</v>
      </c>
      <c r="S2450">
        <v>34.04</v>
      </c>
      <c r="T2450" t="s">
        <v>167</v>
      </c>
    </row>
    <row r="2451" spans="1:20" x14ac:dyDescent="0.25">
      <c r="A2451" s="1" t="str">
        <f>HYPERLINK("https://vegkart.atlas.vegvesen.no/#/@-34655.9,6729775.4,18/hva:hva%5B0%5D%5Bfilter%5D%5B0%5D%5Boperator%5D=%21%3D&amp;hva%5B0%5D%5Bfilter%5D%5B0%5D%5Btype_id%5D=4723&amp;hva%5B0%5D%5Bfilter%5D%5B0%5D%5Bverdi%5D=&amp;hva%5B0%5D%5Bid%5D=15/når:2024-03-11", "Vegkart")</f>
        <v>Vegkart</v>
      </c>
      <c r="B2451">
        <v>1018993303</v>
      </c>
      <c r="C2451">
        <v>15</v>
      </c>
      <c r="D2451" t="s">
        <v>5814</v>
      </c>
      <c r="E2451">
        <v>4723</v>
      </c>
      <c r="F2451" t="s">
        <v>23479</v>
      </c>
      <c r="G2451">
        <v>1</v>
      </c>
      <c r="H2451" t="s">
        <v>4115</v>
      </c>
      <c r="J2451" t="s">
        <v>8088</v>
      </c>
      <c r="K2451" t="s">
        <v>21</v>
      </c>
      <c r="L2451" t="s">
        <v>22</v>
      </c>
      <c r="M2451" t="s">
        <v>8124</v>
      </c>
      <c r="N2451" t="s">
        <v>8144</v>
      </c>
      <c r="O2451" t="s">
        <v>8145</v>
      </c>
      <c r="P2451" s="2" t="s">
        <v>37</v>
      </c>
      <c r="Q2451" t="s">
        <v>1208</v>
      </c>
      <c r="R2451">
        <v>0.35</v>
      </c>
      <c r="S2451">
        <v>57.71</v>
      </c>
      <c r="T2451" t="s">
        <v>8146</v>
      </c>
    </row>
    <row r="2452" spans="1:20" x14ac:dyDescent="0.25">
      <c r="A2452" s="1" t="str">
        <f>HYPERLINK("https://vegkart.atlas.vegvesen.no/#/@-34821.0,6729761.4,18/hva:hva%5B0%5D%5Bfilter%5D%5B0%5D%5Boperator%5D=%21%3D&amp;hva%5B0%5D%5Bfilter%5D%5B0%5D%5Btype_id%5D=4723&amp;hva%5B0%5D%5Bfilter%5D%5B0%5D%5Bverdi%5D=&amp;hva%5B0%5D%5Bid%5D=15/når:2024-03-11", "Vegkart")</f>
        <v>Vegkart</v>
      </c>
      <c r="B2452">
        <v>1018993304</v>
      </c>
      <c r="C2452">
        <v>15</v>
      </c>
      <c r="D2452" t="s">
        <v>5814</v>
      </c>
      <c r="E2452">
        <v>4723</v>
      </c>
      <c r="F2452" t="s">
        <v>23479</v>
      </c>
      <c r="G2452">
        <v>1</v>
      </c>
      <c r="H2452" t="s">
        <v>4115</v>
      </c>
      <c r="J2452" t="s">
        <v>8088</v>
      </c>
      <c r="K2452" t="s">
        <v>21</v>
      </c>
      <c r="L2452" t="s">
        <v>33</v>
      </c>
      <c r="M2452" t="s">
        <v>558</v>
      </c>
      <c r="N2452" t="s">
        <v>8147</v>
      </c>
      <c r="O2452" t="s">
        <v>8148</v>
      </c>
      <c r="P2452" s="2" t="s">
        <v>37</v>
      </c>
      <c r="Q2452" t="s">
        <v>1208</v>
      </c>
      <c r="R2452">
        <v>0.09</v>
      </c>
      <c r="S2452">
        <v>22.06</v>
      </c>
      <c r="T2452" t="s">
        <v>8149</v>
      </c>
    </row>
    <row r="2453" spans="1:20" x14ac:dyDescent="0.25">
      <c r="A2453" s="1" t="str">
        <f>HYPERLINK("https://vegkart.atlas.vegvesen.no/#/@-34848.1,6729788.9,18/hva:hva%5B0%5D%5Bfilter%5D%5B0%5D%5Boperator%5D=%21%3D&amp;hva%5B0%5D%5Bfilter%5D%5B0%5D%5Btype_id%5D=4723&amp;hva%5B0%5D%5Bfilter%5D%5B0%5D%5Bverdi%5D=&amp;hva%5B0%5D%5Bid%5D=15/når:2024-03-11", "Vegkart")</f>
        <v>Vegkart</v>
      </c>
      <c r="B2453">
        <v>1018993305</v>
      </c>
      <c r="C2453">
        <v>15</v>
      </c>
      <c r="D2453" t="s">
        <v>5814</v>
      </c>
      <c r="E2453">
        <v>4723</v>
      </c>
      <c r="F2453" t="s">
        <v>23479</v>
      </c>
      <c r="G2453">
        <v>1</v>
      </c>
      <c r="H2453" t="s">
        <v>4115</v>
      </c>
      <c r="J2453" t="s">
        <v>8088</v>
      </c>
      <c r="K2453" t="s">
        <v>21</v>
      </c>
      <c r="L2453" t="s">
        <v>33</v>
      </c>
      <c r="M2453" t="s">
        <v>558</v>
      </c>
      <c r="N2453" t="s">
        <v>8150</v>
      </c>
      <c r="O2453" t="s">
        <v>8151</v>
      </c>
      <c r="P2453" s="2" t="s">
        <v>37</v>
      </c>
      <c r="Q2453" t="s">
        <v>1208</v>
      </c>
      <c r="R2453">
        <v>0</v>
      </c>
      <c r="S2453">
        <v>52.1</v>
      </c>
      <c r="T2453" t="s">
        <v>8152</v>
      </c>
    </row>
    <row r="2454" spans="1:20" x14ac:dyDescent="0.25">
      <c r="A2454" s="1" t="str">
        <f>HYPERLINK("https://vegkart.atlas.vegvesen.no/#/@-34873.3,6729806.1,18/hva:hva%5B0%5D%5Bfilter%5D%5B0%5D%5Boperator%5D=%21%3D&amp;hva%5B0%5D%5Bfilter%5D%5B0%5D%5Btype_id%5D=4723&amp;hva%5B0%5D%5Bfilter%5D%5B0%5D%5Bverdi%5D=&amp;hva%5B0%5D%5Bid%5D=15/når:2024-03-11", "Vegkart")</f>
        <v>Vegkart</v>
      </c>
      <c r="B2454">
        <v>1018993306</v>
      </c>
      <c r="C2454">
        <v>15</v>
      </c>
      <c r="D2454" t="s">
        <v>5814</v>
      </c>
      <c r="E2454">
        <v>4723</v>
      </c>
      <c r="F2454" t="s">
        <v>23479</v>
      </c>
      <c r="G2454">
        <v>1</v>
      </c>
      <c r="H2454" t="s">
        <v>4115</v>
      </c>
      <c r="J2454" t="s">
        <v>8088</v>
      </c>
      <c r="K2454" t="s">
        <v>21</v>
      </c>
      <c r="L2454" t="s">
        <v>22</v>
      </c>
      <c r="M2454" t="s">
        <v>8124</v>
      </c>
      <c r="N2454" t="s">
        <v>8153</v>
      </c>
      <c r="O2454" t="s">
        <v>8154</v>
      </c>
      <c r="P2454" s="2" t="s">
        <v>37</v>
      </c>
      <c r="Q2454" t="s">
        <v>1208</v>
      </c>
      <c r="R2454">
        <v>3.32</v>
      </c>
      <c r="S2454">
        <v>8.32</v>
      </c>
      <c r="T2454" t="s">
        <v>8155</v>
      </c>
    </row>
    <row r="2455" spans="1:20" x14ac:dyDescent="0.25">
      <c r="A2455" s="1" t="str">
        <f>HYPERLINK("https://vegkart.atlas.vegvesen.no/#/@-34849.1,6729809.9,18/hva:hva%5B0%5D%5Bfilter%5D%5B0%5D%5Boperator%5D=%21%3D&amp;hva%5B0%5D%5Bfilter%5D%5B0%5D%5Btype_id%5D=4723&amp;hva%5B0%5D%5Bfilter%5D%5B0%5D%5Bverdi%5D=&amp;hva%5B0%5D%5Bid%5D=15/når:2024-03-11", "Vegkart")</f>
        <v>Vegkart</v>
      </c>
      <c r="B2455">
        <v>1018993307</v>
      </c>
      <c r="C2455">
        <v>15</v>
      </c>
      <c r="D2455" t="s">
        <v>5814</v>
      </c>
      <c r="E2455">
        <v>4723</v>
      </c>
      <c r="F2455" t="s">
        <v>23479</v>
      </c>
      <c r="G2455">
        <v>1</v>
      </c>
      <c r="H2455" t="s">
        <v>4115</v>
      </c>
      <c r="J2455" t="s">
        <v>8088</v>
      </c>
      <c r="K2455" t="s">
        <v>21</v>
      </c>
      <c r="L2455" t="s">
        <v>33</v>
      </c>
      <c r="M2455" t="s">
        <v>558</v>
      </c>
      <c r="N2455" t="s">
        <v>8156</v>
      </c>
      <c r="O2455" t="s">
        <v>8157</v>
      </c>
      <c r="P2455" s="2" t="s">
        <v>37</v>
      </c>
      <c r="Q2455" t="s">
        <v>1208</v>
      </c>
      <c r="R2455">
        <v>0.2</v>
      </c>
      <c r="S2455">
        <v>70.180000000000007</v>
      </c>
      <c r="T2455" t="s">
        <v>8158</v>
      </c>
    </row>
    <row r="2456" spans="1:20" x14ac:dyDescent="0.25">
      <c r="A2456" s="1" t="str">
        <f>HYPERLINK("https://vegkart.atlas.vegvesen.no/#/@-34715.6,6729783.9,18/hva:hva%5B0%5D%5Bfilter%5D%5B0%5D%5Boperator%5D=%21%3D&amp;hva%5B0%5D%5Bfilter%5D%5B0%5D%5Btype_id%5D=4723&amp;hva%5B0%5D%5Bfilter%5D%5B0%5D%5Bverdi%5D=&amp;hva%5B0%5D%5Bid%5D=15/når:2024-03-11", "Vegkart")</f>
        <v>Vegkart</v>
      </c>
      <c r="B2456">
        <v>1018993308</v>
      </c>
      <c r="C2456">
        <v>15</v>
      </c>
      <c r="D2456" t="s">
        <v>5814</v>
      </c>
      <c r="E2456">
        <v>4723</v>
      </c>
      <c r="F2456" t="s">
        <v>23479</v>
      </c>
      <c r="G2456">
        <v>1</v>
      </c>
      <c r="H2456" t="s">
        <v>4115</v>
      </c>
      <c r="J2456" t="s">
        <v>8088</v>
      </c>
      <c r="K2456" t="s">
        <v>21</v>
      </c>
      <c r="L2456" t="s">
        <v>22</v>
      </c>
      <c r="M2456" t="s">
        <v>8124</v>
      </c>
      <c r="N2456" t="s">
        <v>8159</v>
      </c>
      <c r="O2456" t="s">
        <v>8160</v>
      </c>
      <c r="P2456" s="2" t="s">
        <v>37</v>
      </c>
      <c r="Q2456" t="s">
        <v>1208</v>
      </c>
      <c r="R2456">
        <v>0.02</v>
      </c>
      <c r="S2456">
        <v>37.03</v>
      </c>
      <c r="T2456" t="s">
        <v>8161</v>
      </c>
    </row>
    <row r="2457" spans="1:20" x14ac:dyDescent="0.25">
      <c r="A2457" s="1" t="str">
        <f>HYPERLINK("https://vegkart.atlas.vegvesen.no/#/@-34909.7,6729799.3,18/hva:hva%5B0%5D%5Bfilter%5D%5B0%5D%5Boperator%5D=%21%3D&amp;hva%5B0%5D%5Bfilter%5D%5B0%5D%5Btype_id%5D=4723&amp;hva%5B0%5D%5Bfilter%5D%5B0%5D%5Bverdi%5D=&amp;hva%5B0%5D%5Bid%5D=15/når:2024-03-11", "Vegkart")</f>
        <v>Vegkart</v>
      </c>
      <c r="B2457">
        <v>1018993309</v>
      </c>
      <c r="C2457">
        <v>15</v>
      </c>
      <c r="D2457" t="s">
        <v>5814</v>
      </c>
      <c r="E2457">
        <v>4723</v>
      </c>
      <c r="F2457" t="s">
        <v>23479</v>
      </c>
      <c r="G2457">
        <v>1</v>
      </c>
      <c r="H2457" t="s">
        <v>4115</v>
      </c>
      <c r="J2457" t="s">
        <v>8088</v>
      </c>
      <c r="K2457" t="s">
        <v>21</v>
      </c>
      <c r="L2457" t="s">
        <v>33</v>
      </c>
      <c r="M2457" t="s">
        <v>558</v>
      </c>
      <c r="N2457" t="s">
        <v>8162</v>
      </c>
      <c r="O2457" t="s">
        <v>8163</v>
      </c>
      <c r="P2457" s="2" t="s">
        <v>37</v>
      </c>
      <c r="Q2457" t="s">
        <v>1208</v>
      </c>
      <c r="R2457">
        <v>1.59</v>
      </c>
      <c r="S2457">
        <v>10.47</v>
      </c>
      <c r="T2457" t="s">
        <v>8164</v>
      </c>
    </row>
    <row r="2458" spans="1:20" x14ac:dyDescent="0.25">
      <c r="A2458" s="1" t="str">
        <f>HYPERLINK("https://vegkart.atlas.vegvesen.no/#/@-34850.0,6729799.9,18/hva:hva%5B0%5D%5Bfilter%5D%5B0%5D%5Boperator%5D=%21%3D&amp;hva%5B0%5D%5Bfilter%5D%5B0%5D%5Btype_id%5D=4723&amp;hva%5B0%5D%5Bfilter%5D%5B0%5D%5Bverdi%5D=&amp;hva%5B0%5D%5Bid%5D=15/når:2024-03-11", "Vegkart")</f>
        <v>Vegkart</v>
      </c>
      <c r="B2458">
        <v>1018993310</v>
      </c>
      <c r="C2458">
        <v>15</v>
      </c>
      <c r="D2458" t="s">
        <v>5814</v>
      </c>
      <c r="E2458">
        <v>4723</v>
      </c>
      <c r="F2458" t="s">
        <v>23479</v>
      </c>
      <c r="G2458">
        <v>1</v>
      </c>
      <c r="H2458" t="s">
        <v>4115</v>
      </c>
      <c r="J2458" t="s">
        <v>8088</v>
      </c>
      <c r="K2458" t="s">
        <v>21</v>
      </c>
      <c r="L2458" t="s">
        <v>33</v>
      </c>
      <c r="M2458" t="s">
        <v>558</v>
      </c>
      <c r="N2458" t="s">
        <v>8165</v>
      </c>
      <c r="O2458" t="s">
        <v>8166</v>
      </c>
      <c r="P2458" s="2" t="s">
        <v>37</v>
      </c>
      <c r="Q2458" t="s">
        <v>1208</v>
      </c>
      <c r="R2458">
        <v>0.03</v>
      </c>
      <c r="S2458">
        <v>63.15</v>
      </c>
      <c r="T2458" t="s">
        <v>8167</v>
      </c>
    </row>
    <row r="2459" spans="1:20" x14ac:dyDescent="0.25">
      <c r="A2459" s="1" t="str">
        <f>HYPERLINK("https://vegkart.atlas.vegvesen.no/#/@-34855.0,6729780.6,18/hva:hva%5B0%5D%5Bfilter%5D%5B0%5D%5Boperator%5D=%21%3D&amp;hva%5B0%5D%5Bfilter%5D%5B0%5D%5Btype_id%5D=4723&amp;hva%5B0%5D%5Bfilter%5D%5B0%5D%5Bverdi%5D=&amp;hva%5B0%5D%5Bid%5D=15/når:2024-03-11", "Vegkart")</f>
        <v>Vegkart</v>
      </c>
      <c r="B2459">
        <v>1018993311</v>
      </c>
      <c r="C2459">
        <v>15</v>
      </c>
      <c r="D2459" t="s">
        <v>5814</v>
      </c>
      <c r="E2459">
        <v>4723</v>
      </c>
      <c r="F2459" t="s">
        <v>23479</v>
      </c>
      <c r="G2459">
        <v>1</v>
      </c>
      <c r="H2459" t="s">
        <v>4115</v>
      </c>
      <c r="J2459" t="s">
        <v>8088</v>
      </c>
      <c r="K2459" t="s">
        <v>21</v>
      </c>
      <c r="L2459" t="s">
        <v>33</v>
      </c>
      <c r="M2459" t="s">
        <v>558</v>
      </c>
      <c r="N2459" t="s">
        <v>8168</v>
      </c>
      <c r="O2459" t="s">
        <v>8169</v>
      </c>
      <c r="P2459" s="2" t="s">
        <v>37</v>
      </c>
      <c r="Q2459" t="s">
        <v>1208</v>
      </c>
      <c r="R2459">
        <v>0.01</v>
      </c>
      <c r="S2459">
        <v>77.489999999999995</v>
      </c>
      <c r="T2459" t="s">
        <v>8170</v>
      </c>
    </row>
    <row r="2460" spans="1:20" x14ac:dyDescent="0.25">
      <c r="A2460" s="1" t="str">
        <f>HYPERLINK("https://vegkart.atlas.vegvesen.no/#/@-34853.7,6729761.2,18/hva:hva%5B0%5D%5Bfilter%5D%5B0%5D%5Boperator%5D=%21%3D&amp;hva%5B0%5D%5Bfilter%5D%5B0%5D%5Btype_id%5D=4723&amp;hva%5B0%5D%5Bfilter%5D%5B0%5D%5Bverdi%5D=&amp;hva%5B0%5D%5Bid%5D=15/når:2024-03-11", "Vegkart")</f>
        <v>Vegkart</v>
      </c>
      <c r="B2460">
        <v>1018993312</v>
      </c>
      <c r="C2460">
        <v>15</v>
      </c>
      <c r="D2460" t="s">
        <v>5814</v>
      </c>
      <c r="E2460">
        <v>4723</v>
      </c>
      <c r="F2460" t="s">
        <v>23479</v>
      </c>
      <c r="G2460">
        <v>1</v>
      </c>
      <c r="H2460" t="s">
        <v>4115</v>
      </c>
      <c r="J2460" t="s">
        <v>8088</v>
      </c>
      <c r="K2460" t="s">
        <v>21</v>
      </c>
      <c r="L2460" t="s">
        <v>33</v>
      </c>
      <c r="M2460" t="s">
        <v>558</v>
      </c>
      <c r="N2460" t="s">
        <v>8171</v>
      </c>
      <c r="O2460" t="s">
        <v>8172</v>
      </c>
      <c r="P2460" s="2" t="s">
        <v>37</v>
      </c>
      <c r="Q2460" t="s">
        <v>1208</v>
      </c>
      <c r="R2460">
        <v>0.52</v>
      </c>
      <c r="S2460">
        <v>60.75</v>
      </c>
      <c r="T2460" t="s">
        <v>8173</v>
      </c>
    </row>
    <row r="2461" spans="1:20" x14ac:dyDescent="0.25">
      <c r="A2461" s="1" t="str">
        <f>HYPERLINK("https://vegkart.atlas.vegvesen.no/#/@-35087.6,6649044.5,18/hva:hva%5B0%5D%5Bfilter%5D%5B0%5D%5Boperator%5D=%21%3D&amp;hva%5B0%5D%5Bfilter%5D%5B0%5D%5Btype_id%5D=4723&amp;hva%5B0%5D%5Bfilter%5D%5B0%5D%5Bverdi%5D=&amp;hva%5B0%5D%5Bid%5D=15/når:2024-03-13", "Vegkart")</f>
        <v>Vegkart</v>
      </c>
      <c r="B2461">
        <v>1018996304</v>
      </c>
      <c r="C2461">
        <v>15</v>
      </c>
      <c r="D2461" t="s">
        <v>5814</v>
      </c>
      <c r="E2461">
        <v>4723</v>
      </c>
      <c r="F2461" t="s">
        <v>23479</v>
      </c>
      <c r="G2461">
        <v>1</v>
      </c>
      <c r="H2461" t="s">
        <v>30</v>
      </c>
      <c r="J2461" t="s">
        <v>8088</v>
      </c>
      <c r="K2461" t="s">
        <v>21</v>
      </c>
      <c r="L2461" t="s">
        <v>80</v>
      </c>
      <c r="M2461" t="s">
        <v>81</v>
      </c>
      <c r="N2461" t="s">
        <v>8174</v>
      </c>
      <c r="O2461" t="s">
        <v>8175</v>
      </c>
      <c r="P2461" s="2" t="s">
        <v>37</v>
      </c>
      <c r="Q2461" t="s">
        <v>1208</v>
      </c>
      <c r="R2461">
        <v>0</v>
      </c>
      <c r="S2461">
        <v>934.27</v>
      </c>
      <c r="T2461" t="s">
        <v>8176</v>
      </c>
    </row>
    <row r="2462" spans="1:20" x14ac:dyDescent="0.25">
      <c r="A2462" s="1" t="str">
        <f>HYPERLINK("https://vegkart.atlas.vegvesen.no/#/@-35169.8,6648210.9,18/hva:hva%5B0%5D%5Bfilter%5D%5B0%5D%5Boperator%5D=%21%3D&amp;hva%5B0%5D%5Bfilter%5D%5B0%5D%5Btype_id%5D=4723&amp;hva%5B0%5D%5Bfilter%5D%5B0%5D%5Bverdi%5D=&amp;hva%5B0%5D%5Bid%5D=15/når:2024-03-13", "Vegkart")</f>
        <v>Vegkart</v>
      </c>
      <c r="B2462">
        <v>1018996305</v>
      </c>
      <c r="C2462">
        <v>15</v>
      </c>
      <c r="D2462" t="s">
        <v>5814</v>
      </c>
      <c r="E2462">
        <v>4723</v>
      </c>
      <c r="F2462" t="s">
        <v>23479</v>
      </c>
      <c r="G2462">
        <v>1</v>
      </c>
      <c r="H2462" t="s">
        <v>30</v>
      </c>
      <c r="J2462" t="s">
        <v>8088</v>
      </c>
      <c r="K2462" t="s">
        <v>21</v>
      </c>
      <c r="L2462" t="s">
        <v>80</v>
      </c>
      <c r="M2462" t="s">
        <v>81</v>
      </c>
      <c r="N2462" t="s">
        <v>8177</v>
      </c>
      <c r="O2462" t="s">
        <v>8178</v>
      </c>
      <c r="P2462" s="2" t="s">
        <v>37</v>
      </c>
      <c r="Q2462" t="s">
        <v>1208</v>
      </c>
      <c r="R2462">
        <v>0</v>
      </c>
      <c r="S2462">
        <v>103.36</v>
      </c>
      <c r="T2462" t="s">
        <v>8179</v>
      </c>
    </row>
    <row r="2463" spans="1:20" x14ac:dyDescent="0.25">
      <c r="A2463" s="1" t="str">
        <f>HYPERLINK("https://vegkart.atlas.vegvesen.no/#/@-34970.7,6648604.4,18/hva:hva%5B0%5D%5Bfilter%5D%5B0%5D%5Boperator%5D=%21%3D&amp;hva%5B0%5D%5Bfilter%5D%5B0%5D%5Btype_id%5D=4723&amp;hva%5B0%5D%5Bfilter%5D%5B0%5D%5Bverdi%5D=&amp;hva%5B0%5D%5Bid%5D=15/når:2024-03-13", "Vegkart")</f>
        <v>Vegkart</v>
      </c>
      <c r="B2463">
        <v>1018996306</v>
      </c>
      <c r="C2463">
        <v>15</v>
      </c>
      <c r="D2463" t="s">
        <v>5814</v>
      </c>
      <c r="E2463">
        <v>4723</v>
      </c>
      <c r="F2463" t="s">
        <v>23479</v>
      </c>
      <c r="G2463">
        <v>1</v>
      </c>
      <c r="H2463" t="s">
        <v>30</v>
      </c>
      <c r="J2463" t="s">
        <v>8088</v>
      </c>
      <c r="K2463" t="s">
        <v>21</v>
      </c>
      <c r="L2463" t="s">
        <v>80</v>
      </c>
      <c r="M2463" t="s">
        <v>81</v>
      </c>
      <c r="N2463" t="s">
        <v>8180</v>
      </c>
      <c r="O2463" t="s">
        <v>8181</v>
      </c>
      <c r="P2463" s="2" t="s">
        <v>37</v>
      </c>
      <c r="Q2463" t="s">
        <v>1208</v>
      </c>
      <c r="R2463">
        <v>0</v>
      </c>
      <c r="S2463">
        <v>1353.27</v>
      </c>
      <c r="T2463" t="s">
        <v>8182</v>
      </c>
    </row>
    <row r="2464" spans="1:20" x14ac:dyDescent="0.25">
      <c r="A2464" s="1" t="str">
        <f>HYPERLINK("https://vegkart.atlas.vegvesen.no/#/@-35004.6,6648295.4,18/hva:hva%5B0%5D%5Bfilter%5D%5B0%5D%5Boperator%5D=%21%3D&amp;hva%5B0%5D%5Bfilter%5D%5B0%5D%5Btype_id%5D=4723&amp;hva%5B0%5D%5Bfilter%5D%5B0%5D%5Bverdi%5D=&amp;hva%5B0%5D%5Bid%5D=15/når:2024-03-13", "Vegkart")</f>
        <v>Vegkart</v>
      </c>
      <c r="B2464">
        <v>1018996307</v>
      </c>
      <c r="C2464">
        <v>15</v>
      </c>
      <c r="D2464" t="s">
        <v>5814</v>
      </c>
      <c r="E2464">
        <v>4723</v>
      </c>
      <c r="F2464" t="s">
        <v>23479</v>
      </c>
      <c r="G2464">
        <v>1</v>
      </c>
      <c r="H2464" t="s">
        <v>30</v>
      </c>
      <c r="J2464" t="s">
        <v>8088</v>
      </c>
      <c r="K2464" t="s">
        <v>21</v>
      </c>
      <c r="L2464" t="s">
        <v>80</v>
      </c>
      <c r="M2464" t="s">
        <v>81</v>
      </c>
      <c r="N2464" t="s">
        <v>8183</v>
      </c>
      <c r="O2464" t="s">
        <v>8184</v>
      </c>
      <c r="P2464" s="2" t="s">
        <v>37</v>
      </c>
      <c r="Q2464" t="s">
        <v>1208</v>
      </c>
      <c r="R2464">
        <v>0</v>
      </c>
      <c r="S2464">
        <v>146.49</v>
      </c>
      <c r="T2464" t="s">
        <v>8185</v>
      </c>
    </row>
    <row r="2465" spans="1:20" x14ac:dyDescent="0.25">
      <c r="A2465" s="1" t="str">
        <f>HYPERLINK("https://vegkart.atlas.vegvesen.no/#/@-35076.7,6648257.2,18/hva:hva%5B0%5D%5Bfilter%5D%5B0%5D%5Boperator%5D=%21%3D&amp;hva%5B0%5D%5Bfilter%5D%5B0%5D%5Btype_id%5D=4723&amp;hva%5B0%5D%5Bfilter%5D%5B0%5D%5Bverdi%5D=&amp;hva%5B0%5D%5Bid%5D=15/når:2024-03-13", "Vegkart")</f>
        <v>Vegkart</v>
      </c>
      <c r="B2465">
        <v>1018996308</v>
      </c>
      <c r="C2465">
        <v>15</v>
      </c>
      <c r="D2465" t="s">
        <v>5814</v>
      </c>
      <c r="E2465">
        <v>4723</v>
      </c>
      <c r="F2465" t="s">
        <v>23479</v>
      </c>
      <c r="G2465">
        <v>1</v>
      </c>
      <c r="H2465" t="s">
        <v>30</v>
      </c>
      <c r="J2465" t="s">
        <v>8088</v>
      </c>
      <c r="K2465" t="s">
        <v>21</v>
      </c>
      <c r="L2465" t="s">
        <v>80</v>
      </c>
      <c r="M2465" t="s">
        <v>81</v>
      </c>
      <c r="N2465" t="s">
        <v>8186</v>
      </c>
      <c r="O2465" t="s">
        <v>8187</v>
      </c>
      <c r="P2465" s="2" t="s">
        <v>37</v>
      </c>
      <c r="Q2465" t="s">
        <v>1208</v>
      </c>
      <c r="R2465">
        <v>0</v>
      </c>
      <c r="S2465">
        <v>191.9</v>
      </c>
      <c r="T2465" t="s">
        <v>8188</v>
      </c>
    </row>
    <row r="2466" spans="1:20" x14ac:dyDescent="0.25">
      <c r="A2466" s="1" t="str">
        <f>HYPERLINK("https://vegkart.atlas.vegvesen.no/#/@-35119.0,6649064.5,18/hva:hva%5B0%5D%5Bfilter%5D%5B0%5D%5Boperator%5D=%21%3D&amp;hva%5B0%5D%5Bfilter%5D%5B0%5D%5Btype_id%5D=4723&amp;hva%5B0%5D%5Bfilter%5D%5B0%5D%5Bverdi%5D=&amp;hva%5B0%5D%5Bid%5D=15/når:2024-03-13", "Vegkart")</f>
        <v>Vegkart</v>
      </c>
      <c r="B2466">
        <v>1018996309</v>
      </c>
      <c r="C2466">
        <v>15</v>
      </c>
      <c r="D2466" t="s">
        <v>5814</v>
      </c>
      <c r="E2466">
        <v>4723</v>
      </c>
      <c r="F2466" t="s">
        <v>23479</v>
      </c>
      <c r="G2466">
        <v>1</v>
      </c>
      <c r="H2466" t="s">
        <v>30</v>
      </c>
      <c r="J2466" t="s">
        <v>8088</v>
      </c>
      <c r="K2466" t="s">
        <v>21</v>
      </c>
      <c r="L2466" t="s">
        <v>80</v>
      </c>
      <c r="M2466" t="s">
        <v>81</v>
      </c>
      <c r="N2466" t="s">
        <v>8189</v>
      </c>
      <c r="O2466" t="s">
        <v>8190</v>
      </c>
      <c r="P2466" s="2" t="s">
        <v>165</v>
      </c>
      <c r="Q2466" t="s">
        <v>641</v>
      </c>
      <c r="R2466">
        <v>0</v>
      </c>
      <c r="S2466">
        <v>716.07</v>
      </c>
      <c r="T2466" t="s">
        <v>167</v>
      </c>
    </row>
    <row r="2467" spans="1:20" x14ac:dyDescent="0.25">
      <c r="A2467" s="1" t="str">
        <f>HYPERLINK("https://vegkart.atlas.vegvesen.no/#/@-34952.7,6648663.4,18/hva:hva%5B0%5D%5Bfilter%5D%5B0%5D%5Boperator%5D=%21%3D&amp;hva%5B0%5D%5Bfilter%5D%5B0%5D%5Btype_id%5D=4723&amp;hva%5B0%5D%5Bfilter%5D%5B0%5D%5Bverdi%5D=&amp;hva%5B0%5D%5Bid%5D=15/når:2024-03-13", "Vegkart")</f>
        <v>Vegkart</v>
      </c>
      <c r="B2467">
        <v>1018996310</v>
      </c>
      <c r="C2467">
        <v>15</v>
      </c>
      <c r="D2467" t="s">
        <v>5814</v>
      </c>
      <c r="E2467">
        <v>4723</v>
      </c>
      <c r="F2467" t="s">
        <v>23479</v>
      </c>
      <c r="G2467">
        <v>1</v>
      </c>
      <c r="H2467" t="s">
        <v>30</v>
      </c>
      <c r="J2467" t="s">
        <v>8088</v>
      </c>
      <c r="K2467" t="s">
        <v>21</v>
      </c>
      <c r="L2467" t="s">
        <v>80</v>
      </c>
      <c r="M2467" t="s">
        <v>81</v>
      </c>
      <c r="N2467" t="s">
        <v>8191</v>
      </c>
      <c r="O2467" t="s">
        <v>8192</v>
      </c>
      <c r="P2467" s="2" t="s">
        <v>37</v>
      </c>
      <c r="Q2467" t="s">
        <v>1208</v>
      </c>
      <c r="R2467">
        <v>0</v>
      </c>
      <c r="S2467">
        <v>764.19</v>
      </c>
      <c r="T2467" t="s">
        <v>8193</v>
      </c>
    </row>
    <row r="2468" spans="1:20" x14ac:dyDescent="0.25">
      <c r="A2468" s="1" t="str">
        <f>HYPERLINK("https://vegkart.atlas.vegvesen.no/#/@-35662.1,6647745.0,18/hva:hva%5B0%5D%5Bfilter%5D%5B0%5D%5Boperator%5D=%21%3D&amp;hva%5B0%5D%5Bfilter%5D%5B0%5D%5Btype_id%5D=4723&amp;hva%5B0%5D%5Bfilter%5D%5B0%5D%5Bverdi%5D=&amp;hva%5B0%5D%5Bid%5D=15/når:2024-03-13", "Vegkart")</f>
        <v>Vegkart</v>
      </c>
      <c r="B2468">
        <v>1018996311</v>
      </c>
      <c r="C2468">
        <v>15</v>
      </c>
      <c r="D2468" t="s">
        <v>5814</v>
      </c>
      <c r="E2468">
        <v>4723</v>
      </c>
      <c r="F2468" t="s">
        <v>23479</v>
      </c>
      <c r="G2468">
        <v>1</v>
      </c>
      <c r="H2468" t="s">
        <v>30</v>
      </c>
      <c r="J2468" t="s">
        <v>8088</v>
      </c>
      <c r="K2468" t="s">
        <v>21</v>
      </c>
      <c r="L2468" t="s">
        <v>80</v>
      </c>
      <c r="M2468" t="s">
        <v>81</v>
      </c>
      <c r="N2468" t="s">
        <v>8194</v>
      </c>
      <c r="O2468" t="s">
        <v>8195</v>
      </c>
      <c r="P2468" s="2" t="s">
        <v>165</v>
      </c>
      <c r="Q2468" t="s">
        <v>641</v>
      </c>
      <c r="R2468">
        <v>0</v>
      </c>
      <c r="S2468">
        <v>2983.23</v>
      </c>
      <c r="T2468" t="s">
        <v>167</v>
      </c>
    </row>
    <row r="2469" spans="1:20" x14ac:dyDescent="0.25">
      <c r="A2469" s="1" t="str">
        <f>HYPERLINK("https://vegkart.atlas.vegvesen.no/#/@-35567.6,6648011.6,18/hva:hva%5B0%5D%5Bfilter%5D%5B0%5D%5Boperator%5D=%21%3D&amp;hva%5B0%5D%5Bfilter%5D%5B0%5D%5Btype_id%5D=4723&amp;hva%5B0%5D%5Bfilter%5D%5B0%5D%5Bverdi%5D=&amp;hva%5B0%5D%5Bid%5D=15/når:2024-03-13", "Vegkart")</f>
        <v>Vegkart</v>
      </c>
      <c r="B2469">
        <v>1018996312</v>
      </c>
      <c r="C2469">
        <v>15</v>
      </c>
      <c r="D2469" t="s">
        <v>5814</v>
      </c>
      <c r="E2469">
        <v>4723</v>
      </c>
      <c r="F2469" t="s">
        <v>23479</v>
      </c>
      <c r="G2469">
        <v>1</v>
      </c>
      <c r="H2469" t="s">
        <v>30</v>
      </c>
      <c r="J2469" t="s">
        <v>8088</v>
      </c>
      <c r="K2469" t="s">
        <v>21</v>
      </c>
      <c r="L2469" t="s">
        <v>80</v>
      </c>
      <c r="M2469" t="s">
        <v>81</v>
      </c>
      <c r="N2469" t="s">
        <v>8196</v>
      </c>
      <c r="O2469" t="s">
        <v>8197</v>
      </c>
      <c r="P2469" s="2" t="s">
        <v>37</v>
      </c>
      <c r="Q2469" t="s">
        <v>1208</v>
      </c>
      <c r="R2469">
        <v>0</v>
      </c>
      <c r="S2469">
        <v>1716.78</v>
      </c>
      <c r="T2469" t="s">
        <v>8198</v>
      </c>
    </row>
    <row r="2470" spans="1:20" x14ac:dyDescent="0.25">
      <c r="A2470" s="1" t="str">
        <f>HYPERLINK("https://vegkart.atlas.vegvesen.no/#/@-35841.5,6647376.9,18/hva:hva%5B0%5D%5Bfilter%5D%5B0%5D%5Boperator%5D=%21%3D&amp;hva%5B0%5D%5Bfilter%5D%5B0%5D%5Btype_id%5D=4723&amp;hva%5B0%5D%5Bfilter%5D%5B0%5D%5Bverdi%5D=&amp;hva%5B0%5D%5Bid%5D=15/når:2024-03-13", "Vegkart")</f>
        <v>Vegkart</v>
      </c>
      <c r="B2470">
        <v>1018996313</v>
      </c>
      <c r="C2470">
        <v>15</v>
      </c>
      <c r="D2470" t="s">
        <v>5814</v>
      </c>
      <c r="E2470">
        <v>4723</v>
      </c>
      <c r="F2470" t="s">
        <v>23479</v>
      </c>
      <c r="G2470">
        <v>1</v>
      </c>
      <c r="H2470" t="s">
        <v>30</v>
      </c>
      <c r="J2470" t="s">
        <v>8088</v>
      </c>
      <c r="K2470" t="s">
        <v>21</v>
      </c>
      <c r="L2470" t="s">
        <v>80</v>
      </c>
      <c r="M2470" t="s">
        <v>81</v>
      </c>
      <c r="N2470" t="s">
        <v>8199</v>
      </c>
      <c r="O2470" t="s">
        <v>8200</v>
      </c>
      <c r="P2470" s="2" t="s">
        <v>37</v>
      </c>
      <c r="Q2470" t="s">
        <v>1208</v>
      </c>
      <c r="R2470">
        <v>0</v>
      </c>
      <c r="S2470">
        <v>1200.92</v>
      </c>
      <c r="T2470" t="s">
        <v>8201</v>
      </c>
    </row>
    <row r="2471" spans="1:20" x14ac:dyDescent="0.25">
      <c r="A2471" s="1" t="str">
        <f>HYPERLINK("https://vegkart.atlas.vegvesen.no/#/@-31436.8,6733572.2,18/hva:hva%5B0%5D%5Bfilter%5D%5B0%5D%5Boperator%5D=%21%3D&amp;hva%5B0%5D%5Bfilter%5D%5B0%5D%5Btype_id%5D=4723&amp;hva%5B0%5D%5Bfilter%5D%5B0%5D%5Bverdi%5D=&amp;hva%5B0%5D%5Bid%5D=15/når:2024-03-22", "Vegkart")</f>
        <v>Vegkart</v>
      </c>
      <c r="B2471">
        <v>1019023310</v>
      </c>
      <c r="C2471">
        <v>15</v>
      </c>
      <c r="D2471" t="s">
        <v>5814</v>
      </c>
      <c r="E2471">
        <v>4723</v>
      </c>
      <c r="F2471" t="s">
        <v>23479</v>
      </c>
      <c r="G2471">
        <v>1</v>
      </c>
      <c r="H2471" t="s">
        <v>8202</v>
      </c>
      <c r="J2471" t="s">
        <v>8088</v>
      </c>
      <c r="K2471" t="s">
        <v>21</v>
      </c>
      <c r="L2471" t="s">
        <v>33</v>
      </c>
      <c r="M2471" t="s">
        <v>8203</v>
      </c>
      <c r="N2471" t="s">
        <v>8204</v>
      </c>
      <c r="O2471" t="s">
        <v>8205</v>
      </c>
      <c r="P2471" s="2" t="s">
        <v>37</v>
      </c>
      <c r="Q2471" t="s">
        <v>1208</v>
      </c>
      <c r="R2471">
        <v>0.43</v>
      </c>
      <c r="S2471">
        <v>24.8</v>
      </c>
      <c r="T2471" t="s">
        <v>8206</v>
      </c>
    </row>
    <row r="2472" spans="1:20" x14ac:dyDescent="0.25">
      <c r="A2472" s="1" t="str">
        <f>HYPERLINK("https://vegkart.atlas.vegvesen.no/#/@-31376.2,6733549.1,18/hva:hva%5B0%5D%5Bfilter%5D%5B0%5D%5Boperator%5D=%21%3D&amp;hva%5B0%5D%5Bfilter%5D%5B0%5D%5Btype_id%5D=4723&amp;hva%5B0%5D%5Bfilter%5D%5B0%5D%5Bverdi%5D=&amp;hva%5B0%5D%5Bid%5D=15/når:2024-03-22", "Vegkart")</f>
        <v>Vegkart</v>
      </c>
      <c r="B2472">
        <v>1019023311</v>
      </c>
      <c r="C2472">
        <v>15</v>
      </c>
      <c r="D2472" t="s">
        <v>5814</v>
      </c>
      <c r="E2472">
        <v>4723</v>
      </c>
      <c r="F2472" t="s">
        <v>23479</v>
      </c>
      <c r="G2472">
        <v>1</v>
      </c>
      <c r="H2472" t="s">
        <v>8202</v>
      </c>
      <c r="J2472" t="s">
        <v>8088</v>
      </c>
      <c r="K2472" t="s">
        <v>21</v>
      </c>
      <c r="L2472" t="s">
        <v>22</v>
      </c>
      <c r="M2472" t="s">
        <v>8207</v>
      </c>
      <c r="N2472" t="s">
        <v>8208</v>
      </c>
      <c r="O2472" t="s">
        <v>8209</v>
      </c>
      <c r="P2472" s="2" t="s">
        <v>37</v>
      </c>
      <c r="Q2472" t="s">
        <v>1208</v>
      </c>
      <c r="R2472">
        <v>8.1</v>
      </c>
      <c r="S2472">
        <v>225.8</v>
      </c>
      <c r="T2472" t="s">
        <v>8210</v>
      </c>
    </row>
    <row r="2473" spans="1:20" x14ac:dyDescent="0.25">
      <c r="A2473" s="1" t="str">
        <f>HYPERLINK("https://vegkart.atlas.vegvesen.no/#/@-31481.1,6733569.4,18/hva:hva%5B0%5D%5Bfilter%5D%5B0%5D%5Boperator%5D=%21%3D&amp;hva%5B0%5D%5Bfilter%5D%5B0%5D%5Btype_id%5D=4723&amp;hva%5B0%5D%5Bfilter%5D%5B0%5D%5Bverdi%5D=&amp;hva%5B0%5D%5Bid%5D=15/når:2024-03-22", "Vegkart")</f>
        <v>Vegkart</v>
      </c>
      <c r="B2473">
        <v>1019023312</v>
      </c>
      <c r="C2473">
        <v>15</v>
      </c>
      <c r="D2473" t="s">
        <v>5814</v>
      </c>
      <c r="E2473">
        <v>4723</v>
      </c>
      <c r="F2473" t="s">
        <v>23479</v>
      </c>
      <c r="G2473">
        <v>1</v>
      </c>
      <c r="H2473" t="s">
        <v>8202</v>
      </c>
      <c r="J2473" t="s">
        <v>8088</v>
      </c>
      <c r="K2473" t="s">
        <v>21</v>
      </c>
      <c r="L2473" t="s">
        <v>33</v>
      </c>
      <c r="M2473" t="s">
        <v>8203</v>
      </c>
      <c r="N2473" t="s">
        <v>8211</v>
      </c>
      <c r="O2473" t="s">
        <v>8212</v>
      </c>
      <c r="P2473" s="2" t="s">
        <v>37</v>
      </c>
      <c r="Q2473" t="s">
        <v>1208</v>
      </c>
      <c r="R2473">
        <v>1.95</v>
      </c>
      <c r="S2473">
        <v>61.61</v>
      </c>
      <c r="T2473" t="s">
        <v>8213</v>
      </c>
    </row>
    <row r="2474" spans="1:20" x14ac:dyDescent="0.25">
      <c r="A2474" s="1" t="str">
        <f>HYPERLINK("https://vegkart.atlas.vegvesen.no/#/@286924.7,6750708.8,18/hva:hva%5B0%5D%5Bfilter%5D%5B0%5D%5Boperator%5D=%21%3D&amp;hva%5B0%5D%5Bfilter%5D%5B0%5D%5Btype_id%5D=4723&amp;hva%5B0%5D%5Bfilter%5D%5B0%5D%5Bverdi%5D=&amp;hva%5B0%5D%5Bid%5D=15/når:2024-04-03", "Vegkart")</f>
        <v>Vegkart</v>
      </c>
      <c r="B2474">
        <v>1019032125</v>
      </c>
      <c r="C2474">
        <v>15</v>
      </c>
      <c r="D2474" t="s">
        <v>5814</v>
      </c>
      <c r="E2474">
        <v>4723</v>
      </c>
      <c r="F2474" t="s">
        <v>23479</v>
      </c>
      <c r="G2474">
        <v>1</v>
      </c>
      <c r="H2474" t="s">
        <v>904</v>
      </c>
      <c r="J2474" t="s">
        <v>8088</v>
      </c>
      <c r="K2474" t="s">
        <v>136</v>
      </c>
      <c r="L2474" t="s">
        <v>22</v>
      </c>
      <c r="M2474" t="s">
        <v>8214</v>
      </c>
      <c r="N2474" t="s">
        <v>8215</v>
      </c>
      <c r="O2474" t="s">
        <v>8216</v>
      </c>
      <c r="P2474" s="2" t="s">
        <v>37</v>
      </c>
      <c r="Q2474" t="s">
        <v>1208</v>
      </c>
      <c r="R2474">
        <v>0</v>
      </c>
      <c r="S2474">
        <v>101.63</v>
      </c>
      <c r="T2474" t="s">
        <v>8217</v>
      </c>
    </row>
    <row r="2475" spans="1:20" x14ac:dyDescent="0.25">
      <c r="A2475" s="1" t="str">
        <f>HYPERLINK("https://vegkart.atlas.vegvesen.no/#/@-34730.8,6729829.4,18/hva:hva%5B0%5D%5Bfilter%5D%5B0%5D%5Boperator%5D=%21%3D&amp;hva%5B0%5D%5Bfilter%5D%5B0%5D%5Btype_id%5D=4723&amp;hva%5B0%5D%5Bfilter%5D%5B0%5D%5Bverdi%5D=&amp;hva%5B0%5D%5Bid%5D=15/når:2024-04-11", "Vegkart")</f>
        <v>Vegkart</v>
      </c>
      <c r="B2475">
        <v>1019049711</v>
      </c>
      <c r="C2475">
        <v>15</v>
      </c>
      <c r="D2475" t="s">
        <v>5814</v>
      </c>
      <c r="E2475">
        <v>4723</v>
      </c>
      <c r="F2475" t="s">
        <v>23479</v>
      </c>
      <c r="G2475">
        <v>1</v>
      </c>
      <c r="H2475" t="s">
        <v>8218</v>
      </c>
      <c r="J2475" t="s">
        <v>8088</v>
      </c>
      <c r="K2475" t="s">
        <v>21</v>
      </c>
      <c r="L2475" t="s">
        <v>33</v>
      </c>
      <c r="M2475" t="s">
        <v>558</v>
      </c>
      <c r="N2475" t="s">
        <v>8219</v>
      </c>
      <c r="O2475" t="s">
        <v>8220</v>
      </c>
      <c r="P2475" s="2" t="s">
        <v>37</v>
      </c>
      <c r="Q2475" t="s">
        <v>1208</v>
      </c>
      <c r="R2475">
        <v>0</v>
      </c>
      <c r="S2475">
        <v>81.84</v>
      </c>
      <c r="T2475" t="s">
        <v>8221</v>
      </c>
    </row>
    <row r="2476" spans="1:20" x14ac:dyDescent="0.25">
      <c r="A2476" s="1" t="str">
        <f>HYPERLINK("https://vegkart.atlas.vegvesen.no/#/@-34721.3,6729829.4,18/hva:hva%5B0%5D%5Bfilter%5D%5B0%5D%5Boperator%5D=%21%3D&amp;hva%5B0%5D%5Bfilter%5D%5B0%5D%5Btype_id%5D=4723&amp;hva%5B0%5D%5Bfilter%5D%5B0%5D%5Bverdi%5D=&amp;hva%5B0%5D%5Bid%5D=15/når:2024-04-11", "Vegkart")</f>
        <v>Vegkart</v>
      </c>
      <c r="B2476">
        <v>1019049712</v>
      </c>
      <c r="C2476">
        <v>15</v>
      </c>
      <c r="D2476" t="s">
        <v>5814</v>
      </c>
      <c r="E2476">
        <v>4723</v>
      </c>
      <c r="F2476" t="s">
        <v>23479</v>
      </c>
      <c r="G2476">
        <v>1</v>
      </c>
      <c r="H2476" t="s">
        <v>8218</v>
      </c>
      <c r="J2476" t="s">
        <v>8088</v>
      </c>
      <c r="K2476" t="s">
        <v>21</v>
      </c>
      <c r="L2476" t="s">
        <v>33</v>
      </c>
      <c r="M2476" t="s">
        <v>558</v>
      </c>
      <c r="N2476" t="s">
        <v>8118</v>
      </c>
      <c r="O2476" t="s">
        <v>8222</v>
      </c>
      <c r="P2476" s="2" t="s">
        <v>37</v>
      </c>
      <c r="Q2476" t="s">
        <v>1208</v>
      </c>
      <c r="R2476">
        <v>0</v>
      </c>
      <c r="S2476">
        <v>62.72</v>
      </c>
      <c r="T2476" t="s">
        <v>8223</v>
      </c>
    </row>
    <row r="2477" spans="1:20" x14ac:dyDescent="0.25">
      <c r="A2477" s="1" t="str">
        <f>HYPERLINK("https://vegkart.atlas.vegvesen.no/#/@-34687.8,6729884.2,18/hva:hva%5B0%5D%5Bfilter%5D%5B0%5D%5Boperator%5D=%21%3D&amp;hva%5B0%5D%5Bfilter%5D%5B0%5D%5Btype_id%5D=4723&amp;hva%5B0%5D%5Bfilter%5D%5B0%5D%5Bverdi%5D=&amp;hva%5B0%5D%5Bid%5D=15/når:2024-04-11", "Vegkart")</f>
        <v>Vegkart</v>
      </c>
      <c r="B2477">
        <v>1019049713</v>
      </c>
      <c r="C2477">
        <v>15</v>
      </c>
      <c r="D2477" t="s">
        <v>5814</v>
      </c>
      <c r="E2477">
        <v>4723</v>
      </c>
      <c r="F2477" t="s">
        <v>23479</v>
      </c>
      <c r="G2477">
        <v>1</v>
      </c>
      <c r="H2477" t="s">
        <v>8218</v>
      </c>
      <c r="J2477" t="s">
        <v>8088</v>
      </c>
      <c r="K2477" t="s">
        <v>21</v>
      </c>
      <c r="L2477" t="s">
        <v>33</v>
      </c>
      <c r="M2477" t="s">
        <v>558</v>
      </c>
      <c r="N2477" t="s">
        <v>8224</v>
      </c>
      <c r="O2477" t="s">
        <v>8225</v>
      </c>
      <c r="P2477" s="2" t="s">
        <v>37</v>
      </c>
      <c r="Q2477" t="s">
        <v>1208</v>
      </c>
      <c r="R2477">
        <v>0</v>
      </c>
      <c r="S2477">
        <v>184.31</v>
      </c>
      <c r="T2477" t="s">
        <v>8226</v>
      </c>
    </row>
    <row r="2478" spans="1:20" x14ac:dyDescent="0.25">
      <c r="A2478" s="1" t="str">
        <f>HYPERLINK("https://vegkart.atlas.vegvesen.no/#/@-34642.1,6729982.8,18/hva:hva%5B0%5D%5Bfilter%5D%5B0%5D%5Boperator%5D=%21%3D&amp;hva%5B0%5D%5Bfilter%5D%5B0%5D%5Btype_id%5D=4723&amp;hva%5B0%5D%5Bfilter%5D%5B0%5D%5Bverdi%5D=&amp;hva%5B0%5D%5Bid%5D=15/når:2024-04-11", "Vegkart")</f>
        <v>Vegkart</v>
      </c>
      <c r="B2478">
        <v>1019049714</v>
      </c>
      <c r="C2478">
        <v>15</v>
      </c>
      <c r="D2478" t="s">
        <v>5814</v>
      </c>
      <c r="E2478">
        <v>4723</v>
      </c>
      <c r="F2478" t="s">
        <v>23479</v>
      </c>
      <c r="G2478">
        <v>1</v>
      </c>
      <c r="H2478" t="s">
        <v>8218</v>
      </c>
      <c r="J2478" t="s">
        <v>8088</v>
      </c>
      <c r="K2478" t="s">
        <v>21</v>
      </c>
      <c r="L2478" t="s">
        <v>33</v>
      </c>
      <c r="M2478" t="s">
        <v>558</v>
      </c>
      <c r="N2478" t="s">
        <v>8227</v>
      </c>
      <c r="O2478" t="s">
        <v>8228</v>
      </c>
      <c r="P2478" s="2" t="s">
        <v>37</v>
      </c>
      <c r="Q2478" t="s">
        <v>1208</v>
      </c>
      <c r="R2478">
        <v>0</v>
      </c>
      <c r="S2478">
        <v>72.75</v>
      </c>
      <c r="T2478" t="s">
        <v>8229</v>
      </c>
    </row>
    <row r="2479" spans="1:20" x14ac:dyDescent="0.25">
      <c r="A2479" s="1" t="str">
        <f>HYPERLINK("https://vegkart.atlas.vegvesen.no/#/@265203.6,6647347.8,18/hva:hva%5B0%5D%5Bfilter%5D%5B0%5D%5Boperator%5D=%21%3D&amp;hva%5B0%5D%5Bfilter%5D%5B0%5D%5Btype_id%5D=4723&amp;hva%5B0%5D%5Bfilter%5D%5B0%5D%5Bverdi%5D=&amp;hva%5B0%5D%5Bid%5D=15/når:2024-06-10", "Vegkart")</f>
        <v>Vegkart</v>
      </c>
      <c r="B2479">
        <v>1019237060</v>
      </c>
      <c r="C2479">
        <v>15</v>
      </c>
      <c r="D2479" t="s">
        <v>5814</v>
      </c>
      <c r="E2479">
        <v>4723</v>
      </c>
      <c r="F2479" t="s">
        <v>23479</v>
      </c>
      <c r="G2479">
        <v>1</v>
      </c>
      <c r="H2479" t="s">
        <v>8230</v>
      </c>
      <c r="J2479" t="s">
        <v>8231</v>
      </c>
      <c r="K2479" t="s">
        <v>335</v>
      </c>
      <c r="L2479" t="s">
        <v>22</v>
      </c>
      <c r="M2479" t="s">
        <v>8232</v>
      </c>
      <c r="N2479" t="s">
        <v>8233</v>
      </c>
      <c r="O2479" t="s">
        <v>8234</v>
      </c>
      <c r="P2479" s="2" t="s">
        <v>37</v>
      </c>
      <c r="Q2479" t="s">
        <v>1208</v>
      </c>
      <c r="R2479">
        <v>0</v>
      </c>
      <c r="S2479">
        <v>131.13</v>
      </c>
      <c r="T2479" t="s">
        <v>8235</v>
      </c>
    </row>
    <row r="2480" spans="1:20" x14ac:dyDescent="0.25">
      <c r="A2480" s="1" t="str">
        <f>HYPERLINK("https://vegkart.atlas.vegvesen.no/#/@265263.4,6647256.4,18/hva:hva%5B0%5D%5Bfilter%5D%5B0%5D%5Boperator%5D=%21%3D&amp;hva%5B0%5D%5Bfilter%5D%5B0%5D%5Btype_id%5D=4723&amp;hva%5B0%5D%5Bfilter%5D%5B0%5D%5Bverdi%5D=&amp;hva%5B0%5D%5Bid%5D=15/når:2024-06-10", "Vegkart")</f>
        <v>Vegkart</v>
      </c>
      <c r="B2480">
        <v>1019237061</v>
      </c>
      <c r="C2480">
        <v>15</v>
      </c>
      <c r="D2480" t="s">
        <v>5814</v>
      </c>
      <c r="E2480">
        <v>4723</v>
      </c>
      <c r="F2480" t="s">
        <v>23479</v>
      </c>
      <c r="G2480">
        <v>1</v>
      </c>
      <c r="H2480" t="s">
        <v>8230</v>
      </c>
      <c r="J2480" t="s">
        <v>8231</v>
      </c>
      <c r="K2480" t="s">
        <v>335</v>
      </c>
      <c r="L2480" t="s">
        <v>22</v>
      </c>
      <c r="M2480" t="s">
        <v>8232</v>
      </c>
      <c r="N2480" t="s">
        <v>8236</v>
      </c>
      <c r="O2480" t="s">
        <v>8237</v>
      </c>
      <c r="P2480" s="2" t="s">
        <v>37</v>
      </c>
      <c r="Q2480" t="s">
        <v>1208</v>
      </c>
      <c r="R2480">
        <v>0</v>
      </c>
      <c r="S2480">
        <v>42.09</v>
      </c>
      <c r="T2480" t="s">
        <v>8238</v>
      </c>
    </row>
    <row r="2481" spans="1:20" x14ac:dyDescent="0.25">
      <c r="A2481" s="1" t="str">
        <f>HYPERLINK("https://vegkart.atlas.vegvesen.no/#/@265189.8,6647348.0,18/hva:hva%5B0%5D%5Bfilter%5D%5B0%5D%5Boperator%5D=%21%3D&amp;hva%5B0%5D%5Bfilter%5D%5B0%5D%5Btype_id%5D=4723&amp;hva%5B0%5D%5Bfilter%5D%5B0%5D%5Bverdi%5D=&amp;hva%5B0%5D%5Bid%5D=15/når:2024-06-10", "Vegkart")</f>
        <v>Vegkart</v>
      </c>
      <c r="B2481">
        <v>1019237062</v>
      </c>
      <c r="C2481">
        <v>15</v>
      </c>
      <c r="D2481" t="s">
        <v>5814</v>
      </c>
      <c r="E2481">
        <v>4723</v>
      </c>
      <c r="F2481" t="s">
        <v>23479</v>
      </c>
      <c r="G2481">
        <v>1</v>
      </c>
      <c r="H2481" t="s">
        <v>8230</v>
      </c>
      <c r="J2481" t="s">
        <v>8231</v>
      </c>
      <c r="K2481" t="s">
        <v>335</v>
      </c>
      <c r="L2481" t="s">
        <v>22</v>
      </c>
      <c r="M2481" t="s">
        <v>8232</v>
      </c>
      <c r="N2481" t="s">
        <v>8239</v>
      </c>
      <c r="O2481" t="s">
        <v>8240</v>
      </c>
      <c r="P2481" s="2" t="s">
        <v>37</v>
      </c>
      <c r="Q2481" t="s">
        <v>1208</v>
      </c>
      <c r="R2481">
        <v>0</v>
      </c>
      <c r="S2481">
        <v>122.74</v>
      </c>
      <c r="T2481" t="s">
        <v>8241</v>
      </c>
    </row>
    <row r="2482" spans="1:20" x14ac:dyDescent="0.25">
      <c r="A2482" s="1" t="str">
        <f>HYPERLINK("https://vegkart.atlas.vegvesen.no/#/@265093.0,6647493.6,18/hva:hva%5B0%5D%5Bfilter%5D%5B0%5D%5Boperator%5D=%21%3D&amp;hva%5B0%5D%5Bfilter%5D%5B0%5D%5Btype_id%5D=4723&amp;hva%5B0%5D%5Bfilter%5D%5B0%5D%5Bverdi%5D=&amp;hva%5B0%5D%5Bid%5D=15/når:2024-06-10", "Vegkart")</f>
        <v>Vegkart</v>
      </c>
      <c r="B2482">
        <v>1019237063</v>
      </c>
      <c r="C2482">
        <v>15</v>
      </c>
      <c r="D2482" t="s">
        <v>5814</v>
      </c>
      <c r="E2482">
        <v>4723</v>
      </c>
      <c r="F2482" t="s">
        <v>23479</v>
      </c>
      <c r="G2482">
        <v>1</v>
      </c>
      <c r="H2482" t="s">
        <v>8230</v>
      </c>
      <c r="J2482" t="s">
        <v>8231</v>
      </c>
      <c r="K2482" t="s">
        <v>335</v>
      </c>
      <c r="L2482" t="s">
        <v>22</v>
      </c>
      <c r="M2482" t="s">
        <v>8232</v>
      </c>
      <c r="N2482" t="s">
        <v>8242</v>
      </c>
      <c r="O2482" t="s">
        <v>8243</v>
      </c>
      <c r="P2482" s="2" t="s">
        <v>37</v>
      </c>
      <c r="Q2482" t="s">
        <v>1208</v>
      </c>
      <c r="R2482">
        <v>0</v>
      </c>
      <c r="S2482">
        <v>525.54</v>
      </c>
      <c r="T2482" t="s">
        <v>8244</v>
      </c>
    </row>
    <row r="2483" spans="1:20" x14ac:dyDescent="0.25">
      <c r="A2483" s="1" t="str">
        <f>HYPERLINK("https://vegkart.atlas.vegvesen.no/#/@265086.5,6647481.0,18/hva:hva%5B0%5D%5Bfilter%5D%5B0%5D%5Boperator%5D=%21%3D&amp;hva%5B0%5D%5Bfilter%5D%5B0%5D%5Btype_id%5D=4723&amp;hva%5B0%5D%5Bfilter%5D%5B0%5D%5Bverdi%5D=&amp;hva%5B0%5D%5Bid%5D=15/når:2024-06-10", "Vegkart")</f>
        <v>Vegkart</v>
      </c>
      <c r="B2483">
        <v>1019237064</v>
      </c>
      <c r="C2483">
        <v>15</v>
      </c>
      <c r="D2483" t="s">
        <v>5814</v>
      </c>
      <c r="E2483">
        <v>4723</v>
      </c>
      <c r="F2483" t="s">
        <v>23479</v>
      </c>
      <c r="G2483">
        <v>1</v>
      </c>
      <c r="H2483" t="s">
        <v>8230</v>
      </c>
      <c r="J2483" t="s">
        <v>8231</v>
      </c>
      <c r="K2483" t="s">
        <v>335</v>
      </c>
      <c r="L2483" t="s">
        <v>22</v>
      </c>
      <c r="M2483" t="s">
        <v>8232</v>
      </c>
      <c r="N2483" t="s">
        <v>8245</v>
      </c>
      <c r="O2483" t="s">
        <v>8246</v>
      </c>
      <c r="P2483" s="2" t="s">
        <v>37</v>
      </c>
      <c r="Q2483" t="s">
        <v>1208</v>
      </c>
      <c r="R2483">
        <v>0</v>
      </c>
      <c r="S2483">
        <v>522.92999999999995</v>
      </c>
      <c r="T2483" t="s">
        <v>8247</v>
      </c>
    </row>
    <row r="2484" spans="1:20" x14ac:dyDescent="0.25">
      <c r="A2484" s="1" t="str">
        <f>HYPERLINK("https://vegkart.atlas.vegvesen.no/#/@265252.4,6647282.8,18/hva:hva%5B0%5D%5Bfilter%5D%5B0%5D%5Boperator%5D=%21%3D&amp;hva%5B0%5D%5Bfilter%5D%5B0%5D%5Btype_id%5D=4723&amp;hva%5B0%5D%5Bfilter%5D%5B0%5D%5Bverdi%5D=&amp;hva%5B0%5D%5Bid%5D=15/når:2024-06-11", "Vegkart")</f>
        <v>Vegkart</v>
      </c>
      <c r="B2484">
        <v>1019237065</v>
      </c>
      <c r="C2484">
        <v>15</v>
      </c>
      <c r="D2484" t="s">
        <v>5814</v>
      </c>
      <c r="E2484">
        <v>4723</v>
      </c>
      <c r="F2484" t="s">
        <v>23479</v>
      </c>
      <c r="G2484">
        <v>2</v>
      </c>
      <c r="H2484" t="s">
        <v>8248</v>
      </c>
      <c r="J2484" t="s">
        <v>8231</v>
      </c>
      <c r="K2484" t="s">
        <v>335</v>
      </c>
      <c r="L2484" t="s">
        <v>22</v>
      </c>
      <c r="M2484" t="s">
        <v>8232</v>
      </c>
      <c r="N2484" t="s">
        <v>8249</v>
      </c>
      <c r="O2484" t="s">
        <v>8250</v>
      </c>
      <c r="P2484" s="2" t="s">
        <v>37</v>
      </c>
      <c r="Q2484" t="s">
        <v>1208</v>
      </c>
      <c r="R2484">
        <v>0.05</v>
      </c>
      <c r="S2484">
        <v>214.41</v>
      </c>
      <c r="T2484" t="s">
        <v>8251</v>
      </c>
    </row>
    <row r="2485" spans="1:20" x14ac:dyDescent="0.25">
      <c r="A2485" s="1" t="str">
        <f>HYPERLINK("https://vegkart.atlas.vegvesen.no/#/@265231.6,6647296.0,18/hva:hva%5B0%5D%5Bfilter%5D%5B0%5D%5Boperator%5D=%21%3D&amp;hva%5B0%5D%5Bfilter%5D%5B0%5D%5Btype_id%5D=4723&amp;hva%5B0%5D%5Bfilter%5D%5B0%5D%5Bverdi%5D=&amp;hva%5B0%5D%5Bid%5D=15/når:2024-06-10", "Vegkart")</f>
        <v>Vegkart</v>
      </c>
      <c r="B2485">
        <v>1019237066</v>
      </c>
      <c r="C2485">
        <v>15</v>
      </c>
      <c r="D2485" t="s">
        <v>5814</v>
      </c>
      <c r="E2485">
        <v>4723</v>
      </c>
      <c r="F2485" t="s">
        <v>23479</v>
      </c>
      <c r="G2485">
        <v>1</v>
      </c>
      <c r="H2485" t="s">
        <v>8230</v>
      </c>
      <c r="J2485" t="s">
        <v>8231</v>
      </c>
      <c r="K2485" t="s">
        <v>335</v>
      </c>
      <c r="L2485" t="s">
        <v>22</v>
      </c>
      <c r="M2485" t="s">
        <v>8232</v>
      </c>
      <c r="N2485" t="s">
        <v>8252</v>
      </c>
      <c r="O2485" t="s">
        <v>8253</v>
      </c>
      <c r="P2485" s="2" t="s">
        <v>37</v>
      </c>
      <c r="Q2485" t="s">
        <v>1208</v>
      </c>
      <c r="R2485">
        <v>0</v>
      </c>
      <c r="S2485">
        <v>93.46</v>
      </c>
      <c r="T2485" t="s">
        <v>8254</v>
      </c>
    </row>
    <row r="2486" spans="1:20" x14ac:dyDescent="0.25">
      <c r="A2486" s="1" t="str">
        <f>HYPERLINK("https://vegkart.atlas.vegvesen.no/#/@21251.2,6533809.8,18/hva:hva%5B0%5D%5Bfilter%5D%5B0%5D%5Boperator%5D=%21%3D&amp;hva%5B0%5D%5Bfilter%5D%5B0%5D%5Btype_id%5D=4723&amp;hva%5B0%5D%5Bfilter%5D%5B0%5D%5Bverdi%5D=&amp;hva%5B0%5D%5Bid%5D=15/når:2024-06-25", "Vegkart")</f>
        <v>Vegkart</v>
      </c>
      <c r="B2486">
        <v>1019311293</v>
      </c>
      <c r="C2486">
        <v>15</v>
      </c>
      <c r="D2486" t="s">
        <v>5814</v>
      </c>
      <c r="E2486">
        <v>4723</v>
      </c>
      <c r="F2486" t="s">
        <v>23479</v>
      </c>
      <c r="G2486">
        <v>1</v>
      </c>
      <c r="H2486" t="s">
        <v>8255</v>
      </c>
      <c r="J2486" t="s">
        <v>8231</v>
      </c>
      <c r="K2486" t="s">
        <v>86</v>
      </c>
      <c r="L2486" t="s">
        <v>33</v>
      </c>
      <c r="M2486" t="s">
        <v>8256</v>
      </c>
      <c r="N2486" t="s">
        <v>8257</v>
      </c>
      <c r="O2486" t="s">
        <v>8258</v>
      </c>
      <c r="P2486" s="2" t="s">
        <v>37</v>
      </c>
      <c r="Q2486" t="s">
        <v>1208</v>
      </c>
      <c r="R2486">
        <v>0.96</v>
      </c>
      <c r="S2486">
        <v>504.68</v>
      </c>
      <c r="T2486" t="s">
        <v>8259</v>
      </c>
    </row>
    <row r="2487" spans="1:20" x14ac:dyDescent="0.25">
      <c r="A2487" s="1" t="str">
        <f>HYPERLINK("https://vegkart.atlas.vegvesen.no/#/@21085.7,6534383.9,18/hva:hva%5B0%5D%5Bfilter%5D%5B0%5D%5Boperator%5D=%21%3D&amp;hva%5B0%5D%5Bfilter%5D%5B0%5D%5Btype_id%5D=4723&amp;hva%5B0%5D%5Bfilter%5D%5B0%5D%5Bverdi%5D=&amp;hva%5B0%5D%5Bid%5D=15/når:2024-06-25", "Vegkart")</f>
        <v>Vegkart</v>
      </c>
      <c r="B2487">
        <v>1019311294</v>
      </c>
      <c r="C2487">
        <v>15</v>
      </c>
      <c r="D2487" t="s">
        <v>5814</v>
      </c>
      <c r="E2487">
        <v>4723</v>
      </c>
      <c r="F2487" t="s">
        <v>23479</v>
      </c>
      <c r="G2487">
        <v>1</v>
      </c>
      <c r="H2487" t="s">
        <v>8255</v>
      </c>
      <c r="J2487" t="s">
        <v>8231</v>
      </c>
      <c r="K2487" t="s">
        <v>86</v>
      </c>
      <c r="L2487" t="s">
        <v>33</v>
      </c>
      <c r="M2487" t="s">
        <v>8256</v>
      </c>
      <c r="N2487" t="s">
        <v>8260</v>
      </c>
      <c r="O2487" t="s">
        <v>8261</v>
      </c>
      <c r="P2487" s="2" t="s">
        <v>37</v>
      </c>
      <c r="Q2487" t="s">
        <v>1208</v>
      </c>
      <c r="R2487">
        <v>0.35</v>
      </c>
      <c r="S2487">
        <v>910.49</v>
      </c>
      <c r="T2487" t="s">
        <v>8262</v>
      </c>
    </row>
    <row r="2488" spans="1:20" x14ac:dyDescent="0.25">
      <c r="A2488" s="1" t="str">
        <f>HYPERLINK("https://vegkart.atlas.vegvesen.no/#/@21221.8,6533674.7,18/hva:hva%5B0%5D%5Bfilter%5D%5B0%5D%5Boperator%5D=%21%3D&amp;hva%5B0%5D%5Bfilter%5D%5B0%5D%5Btype_id%5D=4723&amp;hva%5B0%5D%5Bfilter%5D%5B0%5D%5Bverdi%5D=&amp;hva%5B0%5D%5Bid%5D=15/når:2024-06-25", "Vegkart")</f>
        <v>Vegkart</v>
      </c>
      <c r="B2488">
        <v>1019311295</v>
      </c>
      <c r="C2488">
        <v>15</v>
      </c>
      <c r="D2488" t="s">
        <v>5814</v>
      </c>
      <c r="E2488">
        <v>4723</v>
      </c>
      <c r="F2488" t="s">
        <v>23479</v>
      </c>
      <c r="G2488">
        <v>1</v>
      </c>
      <c r="H2488" t="s">
        <v>8255</v>
      </c>
      <c r="J2488" t="s">
        <v>8231</v>
      </c>
      <c r="K2488" t="s">
        <v>86</v>
      </c>
      <c r="L2488" t="s">
        <v>33</v>
      </c>
      <c r="M2488" t="s">
        <v>8256</v>
      </c>
      <c r="N2488" t="s">
        <v>8263</v>
      </c>
      <c r="O2488" t="s">
        <v>8264</v>
      </c>
      <c r="P2488" s="2" t="s">
        <v>37</v>
      </c>
      <c r="Q2488" t="s">
        <v>1208</v>
      </c>
      <c r="R2488">
        <v>1.77</v>
      </c>
      <c r="S2488">
        <v>52.66</v>
      </c>
      <c r="T2488" t="s">
        <v>8265</v>
      </c>
    </row>
    <row r="2489" spans="1:20" x14ac:dyDescent="0.25">
      <c r="A2489" s="1" t="str">
        <f>HYPERLINK("https://vegkart.atlas.vegvesen.no/#/@21063.0,6533439.0,18/hva:hva%5B0%5D%5Bfilter%5D%5B0%5D%5Boperator%5D=%21%3D&amp;hva%5B0%5D%5Bfilter%5D%5B0%5D%5Btype_id%5D=4723&amp;hva%5B0%5D%5Bfilter%5D%5B0%5D%5Bverdi%5D=&amp;hva%5B0%5D%5Bid%5D=15/når:2024-06-25", "Vegkart")</f>
        <v>Vegkart</v>
      </c>
      <c r="B2489">
        <v>1019311296</v>
      </c>
      <c r="C2489">
        <v>15</v>
      </c>
      <c r="D2489" t="s">
        <v>5814</v>
      </c>
      <c r="E2489">
        <v>4723</v>
      </c>
      <c r="F2489" t="s">
        <v>23479</v>
      </c>
      <c r="G2489">
        <v>1</v>
      </c>
      <c r="H2489" t="s">
        <v>8255</v>
      </c>
      <c r="J2489" t="s">
        <v>8231</v>
      </c>
      <c r="K2489" t="s">
        <v>86</v>
      </c>
      <c r="L2489" t="s">
        <v>33</v>
      </c>
      <c r="M2489" t="s">
        <v>8256</v>
      </c>
      <c r="N2489" t="s">
        <v>8266</v>
      </c>
      <c r="O2489" t="s">
        <v>8267</v>
      </c>
      <c r="P2489" s="2" t="s">
        <v>37</v>
      </c>
      <c r="Q2489" t="s">
        <v>1208</v>
      </c>
      <c r="R2489">
        <v>1.24</v>
      </c>
      <c r="S2489">
        <v>77.98</v>
      </c>
      <c r="T2489" t="s">
        <v>8268</v>
      </c>
    </row>
    <row r="2490" spans="1:20" x14ac:dyDescent="0.25">
      <c r="A2490" s="1" t="str">
        <f>HYPERLINK("https://vegkart.atlas.vegvesen.no/#/@21247.7,6534068.9,18/hva:hva%5B0%5D%5Bfilter%5D%5B0%5D%5Boperator%5D=%21%3D&amp;hva%5B0%5D%5Bfilter%5D%5B0%5D%5Btype_id%5D=4723&amp;hva%5B0%5D%5Bfilter%5D%5B0%5D%5Bverdi%5D=&amp;hva%5B0%5D%5Bid%5D=15/når:2024-06-25", "Vegkart")</f>
        <v>Vegkart</v>
      </c>
      <c r="B2490">
        <v>1019311297</v>
      </c>
      <c r="C2490">
        <v>15</v>
      </c>
      <c r="D2490" t="s">
        <v>5814</v>
      </c>
      <c r="E2490">
        <v>4723</v>
      </c>
      <c r="F2490" t="s">
        <v>23479</v>
      </c>
      <c r="G2490">
        <v>1</v>
      </c>
      <c r="H2490" t="s">
        <v>8255</v>
      </c>
      <c r="J2490" t="s">
        <v>8231</v>
      </c>
      <c r="K2490" t="s">
        <v>86</v>
      </c>
      <c r="L2490" t="s">
        <v>33</v>
      </c>
      <c r="M2490" t="s">
        <v>8256</v>
      </c>
      <c r="N2490" t="s">
        <v>8269</v>
      </c>
      <c r="O2490" t="s">
        <v>8270</v>
      </c>
      <c r="P2490" s="2" t="s">
        <v>37</v>
      </c>
      <c r="Q2490" t="s">
        <v>1208</v>
      </c>
      <c r="R2490">
        <v>0.26</v>
      </c>
      <c r="S2490">
        <v>522.16999999999996</v>
      </c>
      <c r="T2490" t="s">
        <v>8271</v>
      </c>
    </row>
    <row r="2491" spans="1:20" x14ac:dyDescent="0.25">
      <c r="A2491" s="1" t="str">
        <f>HYPERLINK("https://vegkart.atlas.vegvesen.no/#/@20981.4,6533381.3,18/hva:hva%5B0%5D%5Bfilter%5D%5B0%5D%5Boperator%5D=%21%3D&amp;hva%5B0%5D%5Bfilter%5D%5B0%5D%5Btype_id%5D=4723&amp;hva%5B0%5D%5Bfilter%5D%5B0%5D%5Bverdi%5D=&amp;hva%5B0%5D%5Bid%5D=15/når:2024-06-25", "Vegkart")</f>
        <v>Vegkart</v>
      </c>
      <c r="B2491">
        <v>1019311298</v>
      </c>
      <c r="C2491">
        <v>15</v>
      </c>
      <c r="D2491" t="s">
        <v>5814</v>
      </c>
      <c r="E2491">
        <v>4723</v>
      </c>
      <c r="F2491" t="s">
        <v>23479</v>
      </c>
      <c r="G2491">
        <v>1</v>
      </c>
      <c r="H2491" t="s">
        <v>8255</v>
      </c>
      <c r="J2491" t="s">
        <v>8231</v>
      </c>
      <c r="K2491" t="s">
        <v>86</v>
      </c>
      <c r="L2491" t="s">
        <v>33</v>
      </c>
      <c r="M2491" t="s">
        <v>8256</v>
      </c>
      <c r="N2491" t="s">
        <v>8272</v>
      </c>
      <c r="O2491" t="s">
        <v>8273</v>
      </c>
      <c r="P2491" s="2" t="s">
        <v>37</v>
      </c>
      <c r="Q2491" t="s">
        <v>1208</v>
      </c>
      <c r="R2491">
        <v>0.13</v>
      </c>
      <c r="S2491">
        <v>247.94</v>
      </c>
      <c r="T2491" t="s">
        <v>8274</v>
      </c>
    </row>
    <row r="2492" spans="1:20" x14ac:dyDescent="0.25">
      <c r="A2492" s="1" t="str">
        <f>HYPERLINK("https://vegkart.atlas.vegvesen.no/#/@21186.9,6533596.6,18/hva:hva%5B0%5D%5Bfilter%5D%5B0%5D%5Boperator%5D=%21%3D&amp;hva%5B0%5D%5Bfilter%5D%5B0%5D%5Btype_id%5D=4723&amp;hva%5B0%5D%5Bfilter%5D%5B0%5D%5Bverdi%5D=&amp;hva%5B0%5D%5Bid%5D=15/når:2024-06-25", "Vegkart")</f>
        <v>Vegkart</v>
      </c>
      <c r="B2492">
        <v>1019311299</v>
      </c>
      <c r="C2492">
        <v>15</v>
      </c>
      <c r="D2492" t="s">
        <v>5814</v>
      </c>
      <c r="E2492">
        <v>4723</v>
      </c>
      <c r="F2492" t="s">
        <v>23479</v>
      </c>
      <c r="G2492">
        <v>1</v>
      </c>
      <c r="H2492" t="s">
        <v>8255</v>
      </c>
      <c r="J2492" t="s">
        <v>8231</v>
      </c>
      <c r="K2492" t="s">
        <v>86</v>
      </c>
      <c r="L2492" t="s">
        <v>33</v>
      </c>
      <c r="M2492" t="s">
        <v>8256</v>
      </c>
      <c r="N2492" t="s">
        <v>8275</v>
      </c>
      <c r="O2492" t="s">
        <v>8276</v>
      </c>
      <c r="P2492" s="2" t="s">
        <v>37</v>
      </c>
      <c r="Q2492" t="s">
        <v>1208</v>
      </c>
      <c r="R2492">
        <v>0.1</v>
      </c>
      <c r="S2492">
        <v>226.83</v>
      </c>
      <c r="T2492" t="s">
        <v>8277</v>
      </c>
    </row>
    <row r="2493" spans="1:20" x14ac:dyDescent="0.25">
      <c r="A2493" s="1" t="str">
        <f>HYPERLINK("https://vegkart.atlas.vegvesen.no/#/@21117.8,6533500.6,18/hva:hva%5B0%5D%5Bfilter%5D%5B0%5D%5Boperator%5D=%21%3D&amp;hva%5B0%5D%5Bfilter%5D%5B0%5D%5Btype_id%5D=4723&amp;hva%5B0%5D%5Bfilter%5D%5B0%5D%5Bverdi%5D=&amp;hva%5B0%5D%5Bid%5D=15/når:2024-06-25", "Vegkart")</f>
        <v>Vegkart</v>
      </c>
      <c r="B2493">
        <v>1019311300</v>
      </c>
      <c r="C2493">
        <v>15</v>
      </c>
      <c r="D2493" t="s">
        <v>5814</v>
      </c>
      <c r="E2493">
        <v>4723</v>
      </c>
      <c r="F2493" t="s">
        <v>23479</v>
      </c>
      <c r="G2493">
        <v>1</v>
      </c>
      <c r="H2493" t="s">
        <v>8255</v>
      </c>
      <c r="J2493" t="s">
        <v>8231</v>
      </c>
      <c r="K2493" t="s">
        <v>86</v>
      </c>
      <c r="L2493" t="s">
        <v>33</v>
      </c>
      <c r="M2493" t="s">
        <v>8256</v>
      </c>
      <c r="N2493" t="s">
        <v>8278</v>
      </c>
      <c r="O2493" t="s">
        <v>8279</v>
      </c>
      <c r="P2493" s="2" t="s">
        <v>37</v>
      </c>
      <c r="Q2493" t="s">
        <v>1208</v>
      </c>
      <c r="R2493">
        <v>0.1</v>
      </c>
      <c r="S2493">
        <v>178.53</v>
      </c>
      <c r="T2493" t="s">
        <v>8280</v>
      </c>
    </row>
    <row r="2494" spans="1:20" x14ac:dyDescent="0.25">
      <c r="A2494" s="1" t="str">
        <f>HYPERLINK("https://vegkart.atlas.vegvesen.no/#/@20925.7,6534588.5,18/hva:hva%5B0%5D%5Bfilter%5D%5B0%5D%5Boperator%5D=%21%3D&amp;hva%5B0%5D%5Bfilter%5D%5B0%5D%5Btype_id%5D=4723&amp;hva%5B0%5D%5Bfilter%5D%5B0%5D%5Bverdi%5D=&amp;hva%5B0%5D%5Bid%5D=15/når:2024-06-25", "Vegkart")</f>
        <v>Vegkart</v>
      </c>
      <c r="B2494">
        <v>1019311301</v>
      </c>
      <c r="C2494">
        <v>15</v>
      </c>
      <c r="D2494" t="s">
        <v>5814</v>
      </c>
      <c r="E2494">
        <v>4723</v>
      </c>
      <c r="F2494" t="s">
        <v>23479</v>
      </c>
      <c r="G2494">
        <v>1</v>
      </c>
      <c r="H2494" t="s">
        <v>8255</v>
      </c>
      <c r="J2494" t="s">
        <v>8231</v>
      </c>
      <c r="K2494" t="s">
        <v>86</v>
      </c>
      <c r="L2494" t="s">
        <v>33</v>
      </c>
      <c r="M2494" t="s">
        <v>8256</v>
      </c>
      <c r="N2494" t="s">
        <v>8281</v>
      </c>
      <c r="O2494" t="s">
        <v>8282</v>
      </c>
      <c r="P2494" s="2" t="s">
        <v>37</v>
      </c>
      <c r="Q2494" t="s">
        <v>1208</v>
      </c>
      <c r="R2494">
        <v>0.16</v>
      </c>
      <c r="S2494">
        <v>136.55000000000001</v>
      </c>
      <c r="T2494" t="s">
        <v>8283</v>
      </c>
    </row>
    <row r="2495" spans="1:20" x14ac:dyDescent="0.25">
      <c r="A2495" s="1" t="str">
        <f>HYPERLINK("https://vegkart.atlas.vegvesen.no/#/@272629.4,7042802.4,18/hva:hva%5B0%5D%5Bfilter%5D%5B0%5D%5Boperator%5D=%21%3D&amp;hva%5B0%5D%5Bfilter%5D%5B0%5D%5Btype_id%5D=4723&amp;hva%5B0%5D%5Bfilter%5D%5B0%5D%5Bverdi%5D=&amp;hva%5B0%5D%5Bid%5D=15/når:2024-09-09", "Vegkart")</f>
        <v>Vegkart</v>
      </c>
      <c r="B2495">
        <v>1019779716</v>
      </c>
      <c r="C2495">
        <v>15</v>
      </c>
      <c r="D2495" t="s">
        <v>5814</v>
      </c>
      <c r="E2495">
        <v>4723</v>
      </c>
      <c r="F2495" t="s">
        <v>23479</v>
      </c>
      <c r="G2495">
        <v>1</v>
      </c>
      <c r="H2495" t="s">
        <v>8284</v>
      </c>
      <c r="J2495" t="s">
        <v>8285</v>
      </c>
      <c r="K2495" t="s">
        <v>192</v>
      </c>
      <c r="L2495" t="s">
        <v>113</v>
      </c>
      <c r="M2495" t="s">
        <v>2577</v>
      </c>
      <c r="N2495" t="s">
        <v>8286</v>
      </c>
      <c r="O2495" t="s">
        <v>8287</v>
      </c>
      <c r="P2495" s="2" t="s">
        <v>37</v>
      </c>
      <c r="Q2495" t="s">
        <v>1208</v>
      </c>
      <c r="R2495">
        <v>0</v>
      </c>
      <c r="S2495">
        <v>257.23</v>
      </c>
      <c r="T2495" t="s">
        <v>8288</v>
      </c>
    </row>
    <row r="2496" spans="1:20" x14ac:dyDescent="0.25">
      <c r="A2496" s="1" t="str">
        <f>HYPERLINK("https://vegkart.atlas.vegvesen.no/#/@272816.5,7042802.4,18/hva:hva%5B0%5D%5Bfilter%5D%5B0%5D%5Boperator%5D=%21%3D&amp;hva%5B0%5D%5Bfilter%5D%5B0%5D%5Btype_id%5D=4723&amp;hva%5B0%5D%5Bfilter%5D%5B0%5D%5Bverdi%5D=&amp;hva%5B0%5D%5Bid%5D=15/når:2024-09-09", "Vegkart")</f>
        <v>Vegkart</v>
      </c>
      <c r="B2496">
        <v>1019779717</v>
      </c>
      <c r="C2496">
        <v>15</v>
      </c>
      <c r="D2496" t="s">
        <v>5814</v>
      </c>
      <c r="E2496">
        <v>4723</v>
      </c>
      <c r="F2496" t="s">
        <v>23479</v>
      </c>
      <c r="G2496">
        <v>1</v>
      </c>
      <c r="H2496" t="s">
        <v>8284</v>
      </c>
      <c r="J2496" t="s">
        <v>8285</v>
      </c>
      <c r="K2496" t="s">
        <v>192</v>
      </c>
      <c r="L2496" t="s">
        <v>113</v>
      </c>
      <c r="M2496" t="s">
        <v>2577</v>
      </c>
      <c r="N2496" t="s">
        <v>8289</v>
      </c>
      <c r="O2496" t="s">
        <v>8290</v>
      </c>
      <c r="P2496" s="2" t="s">
        <v>37</v>
      </c>
      <c r="Q2496" t="s">
        <v>1208</v>
      </c>
      <c r="R2496">
        <v>0</v>
      </c>
      <c r="S2496">
        <v>62.03</v>
      </c>
      <c r="T2496" t="s">
        <v>8291</v>
      </c>
    </row>
    <row r="2497" spans="1:20" x14ac:dyDescent="0.25">
      <c r="A2497" s="1" t="str">
        <f>HYPERLINK("https://vegkart.atlas.vegvesen.no/#/@272721.9,7042802.0,18/hva:hva%5B0%5D%5Bfilter%5D%5B0%5D%5Boperator%5D=%21%3D&amp;hva%5B0%5D%5Bfilter%5D%5B0%5D%5Btype_id%5D=4723&amp;hva%5B0%5D%5Bfilter%5D%5B0%5D%5Bverdi%5D=&amp;hva%5B0%5D%5Bid%5D=15/når:2024-09-09", "Vegkart")</f>
        <v>Vegkart</v>
      </c>
      <c r="B2497">
        <v>1019779718</v>
      </c>
      <c r="C2497">
        <v>15</v>
      </c>
      <c r="D2497" t="s">
        <v>5814</v>
      </c>
      <c r="E2497">
        <v>4723</v>
      </c>
      <c r="F2497" t="s">
        <v>23479</v>
      </c>
      <c r="G2497">
        <v>1</v>
      </c>
      <c r="H2497" t="s">
        <v>8284</v>
      </c>
      <c r="J2497" t="s">
        <v>8285</v>
      </c>
      <c r="K2497" t="s">
        <v>192</v>
      </c>
      <c r="L2497" t="s">
        <v>113</v>
      </c>
      <c r="M2497" t="s">
        <v>2577</v>
      </c>
      <c r="N2497" t="s">
        <v>8292</v>
      </c>
      <c r="O2497" t="s">
        <v>8293</v>
      </c>
      <c r="P2497" s="2" t="s">
        <v>37</v>
      </c>
      <c r="Q2497" t="s">
        <v>1208</v>
      </c>
      <c r="R2497">
        <v>0</v>
      </c>
      <c r="S2497">
        <v>81.36</v>
      </c>
      <c r="T2497" t="s">
        <v>8294</v>
      </c>
    </row>
    <row r="2498" spans="1:20" x14ac:dyDescent="0.25">
      <c r="A2498" s="1" t="str">
        <f>HYPERLINK("https://vegkart.atlas.vegvesen.no/#/@272699.1,7042815.9,18/hva:hva%5B0%5D%5Bfilter%5D%5B0%5D%5Boperator%5D=%21%3D&amp;hva%5B0%5D%5Bfilter%5D%5B0%5D%5Btype_id%5D=4723&amp;hva%5B0%5D%5Bfilter%5D%5B0%5D%5Bverdi%5D=&amp;hva%5B0%5D%5Bid%5D=15/når:2024-09-09", "Vegkart")</f>
        <v>Vegkart</v>
      </c>
      <c r="B2498">
        <v>1019779719</v>
      </c>
      <c r="C2498">
        <v>15</v>
      </c>
      <c r="D2498" t="s">
        <v>5814</v>
      </c>
      <c r="E2498">
        <v>4723</v>
      </c>
      <c r="F2498" t="s">
        <v>23479</v>
      </c>
      <c r="G2498">
        <v>1</v>
      </c>
      <c r="H2498" t="s">
        <v>8284</v>
      </c>
      <c r="J2498" t="s">
        <v>8285</v>
      </c>
      <c r="K2498" t="s">
        <v>192</v>
      </c>
      <c r="L2498" t="s">
        <v>113</v>
      </c>
      <c r="M2498" t="s">
        <v>2577</v>
      </c>
      <c r="N2498" t="s">
        <v>8295</v>
      </c>
      <c r="O2498" t="s">
        <v>8296</v>
      </c>
      <c r="P2498" s="2" t="s">
        <v>37</v>
      </c>
      <c r="Q2498" t="s">
        <v>1208</v>
      </c>
      <c r="R2498">
        <v>0</v>
      </c>
      <c r="S2498">
        <v>228.01</v>
      </c>
      <c r="T2498" t="s">
        <v>8297</v>
      </c>
    </row>
    <row r="2499" spans="1:20" x14ac:dyDescent="0.25">
      <c r="A2499" s="1" t="str">
        <f>HYPERLINK("https://vegkart.atlas.vegvesen.no/#/@272581.1,7042809.0,18/hva:hva%5B0%5D%5Bfilter%5D%5B0%5D%5Boperator%5D=%21%3D&amp;hva%5B0%5D%5Bfilter%5D%5B0%5D%5Btype_id%5D=4723&amp;hva%5B0%5D%5Bfilter%5D%5B0%5D%5Bverdi%5D=&amp;hva%5B0%5D%5Bid%5D=15/når:2024-09-09", "Vegkart")</f>
        <v>Vegkart</v>
      </c>
      <c r="B2499">
        <v>1019779720</v>
      </c>
      <c r="C2499">
        <v>15</v>
      </c>
      <c r="D2499" t="s">
        <v>5814</v>
      </c>
      <c r="E2499">
        <v>4723</v>
      </c>
      <c r="F2499" t="s">
        <v>23479</v>
      </c>
      <c r="G2499">
        <v>1</v>
      </c>
      <c r="H2499" t="s">
        <v>8284</v>
      </c>
      <c r="J2499" t="s">
        <v>8285</v>
      </c>
      <c r="K2499" t="s">
        <v>192</v>
      </c>
      <c r="L2499" t="s">
        <v>113</v>
      </c>
      <c r="M2499" t="s">
        <v>2577</v>
      </c>
      <c r="N2499" t="s">
        <v>8298</v>
      </c>
      <c r="O2499" t="s">
        <v>8299</v>
      </c>
      <c r="P2499" s="2" t="s">
        <v>37</v>
      </c>
      <c r="Q2499" t="s">
        <v>1208</v>
      </c>
      <c r="R2499">
        <v>0</v>
      </c>
      <c r="S2499">
        <v>184.5</v>
      </c>
      <c r="T2499" t="s">
        <v>8300</v>
      </c>
    </row>
    <row r="2500" spans="1:20" x14ac:dyDescent="0.25">
      <c r="A2500" s="1" t="str">
        <f>HYPERLINK("https://vegkart.atlas.vegvesen.no/#/@272748.0,7042833.8,18/hva:hva%5B0%5D%5Bfilter%5D%5B0%5D%5Boperator%5D=%21%3D&amp;hva%5B0%5D%5Bfilter%5D%5B0%5D%5Btype_id%5D=4723&amp;hva%5B0%5D%5Bfilter%5D%5B0%5D%5Bverdi%5D=&amp;hva%5B0%5D%5Bid%5D=15/når:2024-09-09", "Vegkart")</f>
        <v>Vegkart</v>
      </c>
      <c r="B2500">
        <v>1019779721</v>
      </c>
      <c r="C2500">
        <v>15</v>
      </c>
      <c r="D2500" t="s">
        <v>5814</v>
      </c>
      <c r="E2500">
        <v>4723</v>
      </c>
      <c r="F2500" t="s">
        <v>23479</v>
      </c>
      <c r="G2500">
        <v>1</v>
      </c>
      <c r="H2500" t="s">
        <v>8284</v>
      </c>
      <c r="J2500" t="s">
        <v>8285</v>
      </c>
      <c r="K2500" t="s">
        <v>192</v>
      </c>
      <c r="L2500" t="s">
        <v>113</v>
      </c>
      <c r="M2500" t="s">
        <v>2577</v>
      </c>
      <c r="N2500" t="s">
        <v>8301</v>
      </c>
      <c r="O2500" t="s">
        <v>8302</v>
      </c>
      <c r="P2500" s="2" t="s">
        <v>37</v>
      </c>
      <c r="Q2500" t="s">
        <v>1208</v>
      </c>
      <c r="R2500">
        <v>0</v>
      </c>
      <c r="S2500">
        <v>19.29</v>
      </c>
      <c r="T2500" t="s">
        <v>8303</v>
      </c>
    </row>
    <row r="2501" spans="1:20" x14ac:dyDescent="0.25">
      <c r="A2501" s="1" t="str">
        <f>HYPERLINK("https://vegkart.atlas.vegvesen.no/#/@272833.8,7042798.5,18/hva:hva%5B0%5D%5Bfilter%5D%5B0%5D%5Boperator%5D=%21%3D&amp;hva%5B0%5D%5Bfilter%5D%5B0%5D%5Btype_id%5D=4723&amp;hva%5B0%5D%5Bfilter%5D%5B0%5D%5Bverdi%5D=&amp;hva%5B0%5D%5Bid%5D=15/når:2024-09-09", "Vegkart")</f>
        <v>Vegkart</v>
      </c>
      <c r="B2501">
        <v>1019779722</v>
      </c>
      <c r="C2501">
        <v>15</v>
      </c>
      <c r="D2501" t="s">
        <v>5814</v>
      </c>
      <c r="E2501">
        <v>4723</v>
      </c>
      <c r="F2501" t="s">
        <v>23479</v>
      </c>
      <c r="G2501">
        <v>1</v>
      </c>
      <c r="H2501" t="s">
        <v>8284</v>
      </c>
      <c r="J2501" t="s">
        <v>8285</v>
      </c>
      <c r="K2501" t="s">
        <v>192</v>
      </c>
      <c r="L2501" t="s">
        <v>113</v>
      </c>
      <c r="M2501" t="s">
        <v>2577</v>
      </c>
      <c r="N2501" t="s">
        <v>8304</v>
      </c>
      <c r="O2501" t="s">
        <v>8305</v>
      </c>
      <c r="P2501" s="2" t="s">
        <v>37</v>
      </c>
      <c r="Q2501" t="s">
        <v>1208</v>
      </c>
      <c r="R2501">
        <v>0</v>
      </c>
      <c r="S2501">
        <v>42.01</v>
      </c>
      <c r="T2501" t="s">
        <v>8306</v>
      </c>
    </row>
    <row r="2502" spans="1:20" x14ac:dyDescent="0.25">
      <c r="A2502" s="1" t="str">
        <f>HYPERLINK("https://vegkart.atlas.vegvesen.no/#/@266068.8,6649075.8,18/hva:hva%5B0%5D%5Bfilter%5D%5B0%5D%5Boperator%5D=%21%3D&amp;hva%5B0%5D%5Bfilter%5D%5B0%5D%5Btype_id%5D=4723&amp;hva%5B0%5D%5Bfilter%5D%5B0%5D%5Bverdi%5D=&amp;hva%5B0%5D%5Bid%5D=15/når:2024-10-10", "Vegkart")</f>
        <v>Vegkart</v>
      </c>
      <c r="B2502">
        <v>1019934357</v>
      </c>
      <c r="C2502">
        <v>15</v>
      </c>
      <c r="D2502" t="s">
        <v>5814</v>
      </c>
      <c r="E2502">
        <v>4723</v>
      </c>
      <c r="F2502" t="s">
        <v>23479</v>
      </c>
      <c r="G2502">
        <v>1</v>
      </c>
      <c r="H2502" t="s">
        <v>2279</v>
      </c>
      <c r="J2502" t="s">
        <v>8285</v>
      </c>
      <c r="K2502" t="s">
        <v>335</v>
      </c>
      <c r="L2502" t="s">
        <v>22</v>
      </c>
      <c r="M2502" t="s">
        <v>2280</v>
      </c>
      <c r="N2502" t="s">
        <v>8307</v>
      </c>
      <c r="O2502" t="s">
        <v>8308</v>
      </c>
      <c r="P2502" s="2" t="s">
        <v>37</v>
      </c>
      <c r="Q2502" t="s">
        <v>1208</v>
      </c>
      <c r="R2502">
        <v>0</v>
      </c>
      <c r="S2502">
        <v>62.48</v>
      </c>
      <c r="T2502" t="s">
        <v>8309</v>
      </c>
    </row>
    <row r="2503" spans="1:20" x14ac:dyDescent="0.25">
      <c r="A2503" s="1" t="str">
        <f>HYPERLINK("https://vegkart.atlas.vegvesen.no/#/@266500.0,6649109.6,18/hva:hva%5B0%5D%5Bfilter%5D%5B0%5D%5Boperator%5D=%21%3D&amp;hva%5B0%5D%5Bfilter%5D%5B0%5D%5Btype_id%5D=4723&amp;hva%5B0%5D%5Bfilter%5D%5B0%5D%5Bverdi%5D=&amp;hva%5B0%5D%5Bid%5D=15/når:2024-10-10", "Vegkart")</f>
        <v>Vegkart</v>
      </c>
      <c r="B2503">
        <v>1019934358</v>
      </c>
      <c r="C2503">
        <v>15</v>
      </c>
      <c r="D2503" t="s">
        <v>5814</v>
      </c>
      <c r="E2503">
        <v>4723</v>
      </c>
      <c r="F2503" t="s">
        <v>23479</v>
      </c>
      <c r="G2503">
        <v>1</v>
      </c>
      <c r="H2503" t="s">
        <v>2279</v>
      </c>
      <c r="J2503" t="s">
        <v>8285</v>
      </c>
      <c r="K2503" t="s">
        <v>335</v>
      </c>
      <c r="L2503" t="s">
        <v>22</v>
      </c>
      <c r="M2503" t="s">
        <v>2280</v>
      </c>
      <c r="N2503" t="s">
        <v>8310</v>
      </c>
      <c r="O2503" t="s">
        <v>8311</v>
      </c>
      <c r="P2503" s="2" t="s">
        <v>37</v>
      </c>
      <c r="Q2503" t="s">
        <v>1208</v>
      </c>
      <c r="R2503">
        <v>0</v>
      </c>
      <c r="S2503">
        <v>145.08000000000001</v>
      </c>
      <c r="T2503" t="s">
        <v>8312</v>
      </c>
    </row>
    <row r="2504" spans="1:20" x14ac:dyDescent="0.25">
      <c r="A2504" s="1" t="str">
        <f>HYPERLINK("https://vegkart.atlas.vegvesen.no/#/@265723.0,6649115.7,18/hva:hva%5B0%5D%5Bfilter%5D%5B0%5D%5Boperator%5D=%21%3D&amp;hva%5B0%5D%5Bfilter%5D%5B0%5D%5Btype_id%5D=4723&amp;hva%5B0%5D%5Bfilter%5D%5B0%5D%5Bverdi%5D=&amp;hva%5B0%5D%5Bid%5D=15/når:2024-10-10", "Vegkart")</f>
        <v>Vegkart</v>
      </c>
      <c r="B2504">
        <v>1019934359</v>
      </c>
      <c r="C2504">
        <v>15</v>
      </c>
      <c r="D2504" t="s">
        <v>5814</v>
      </c>
      <c r="E2504">
        <v>4723</v>
      </c>
      <c r="F2504" t="s">
        <v>23479</v>
      </c>
      <c r="G2504">
        <v>1</v>
      </c>
      <c r="H2504" t="s">
        <v>2279</v>
      </c>
      <c r="J2504" t="s">
        <v>8285</v>
      </c>
      <c r="K2504" t="s">
        <v>335</v>
      </c>
      <c r="L2504" t="s">
        <v>22</v>
      </c>
      <c r="M2504" t="s">
        <v>2280</v>
      </c>
      <c r="N2504" t="s">
        <v>8313</v>
      </c>
      <c r="O2504" t="s">
        <v>8314</v>
      </c>
      <c r="P2504" s="2" t="s">
        <v>37</v>
      </c>
      <c r="Q2504" t="s">
        <v>1208</v>
      </c>
      <c r="R2504">
        <v>0</v>
      </c>
      <c r="S2504">
        <v>25.47</v>
      </c>
      <c r="T2504" t="s">
        <v>8315</v>
      </c>
    </row>
    <row r="2505" spans="1:20" x14ac:dyDescent="0.25">
      <c r="A2505" s="1" t="str">
        <f>HYPERLINK("https://vegkart.atlas.vegvesen.no/#/@266456.6,6649098.0,18/hva:hva%5B0%5D%5Bfilter%5D%5B0%5D%5Boperator%5D=%21%3D&amp;hva%5B0%5D%5Bfilter%5D%5B0%5D%5Btype_id%5D=4723&amp;hva%5B0%5D%5Bfilter%5D%5B0%5D%5Bverdi%5D=&amp;hva%5B0%5D%5Bid%5D=15/når:2024-10-10", "Vegkart")</f>
        <v>Vegkart</v>
      </c>
      <c r="B2505">
        <v>1019934360</v>
      </c>
      <c r="C2505">
        <v>15</v>
      </c>
      <c r="D2505" t="s">
        <v>5814</v>
      </c>
      <c r="E2505">
        <v>4723</v>
      </c>
      <c r="F2505" t="s">
        <v>23479</v>
      </c>
      <c r="G2505">
        <v>1</v>
      </c>
      <c r="H2505" t="s">
        <v>2279</v>
      </c>
      <c r="J2505" t="s">
        <v>8285</v>
      </c>
      <c r="K2505" t="s">
        <v>335</v>
      </c>
      <c r="L2505" t="s">
        <v>22</v>
      </c>
      <c r="M2505" t="s">
        <v>2280</v>
      </c>
      <c r="N2505" t="s">
        <v>8316</v>
      </c>
      <c r="O2505" t="s">
        <v>8317</v>
      </c>
      <c r="P2505" s="2" t="s">
        <v>37</v>
      </c>
      <c r="Q2505" t="s">
        <v>1208</v>
      </c>
      <c r="R2505">
        <v>0</v>
      </c>
      <c r="S2505">
        <v>27.52</v>
      </c>
      <c r="T2505" t="s">
        <v>8318</v>
      </c>
    </row>
    <row r="2506" spans="1:20" x14ac:dyDescent="0.25">
      <c r="A2506" s="1" t="str">
        <f>HYPERLINK("https://vegkart.atlas.vegvesen.no/#/@265843.0,6649120.7,18/hva:hva%5B0%5D%5Bfilter%5D%5B0%5D%5Boperator%5D=%21%3D&amp;hva%5B0%5D%5Bfilter%5D%5B0%5D%5Btype_id%5D=4723&amp;hva%5B0%5D%5Bfilter%5D%5B0%5D%5Bverdi%5D=&amp;hva%5B0%5D%5Bid%5D=15/når:2024-10-10", "Vegkart")</f>
        <v>Vegkart</v>
      </c>
      <c r="B2506">
        <v>1019934361</v>
      </c>
      <c r="C2506">
        <v>15</v>
      </c>
      <c r="D2506" t="s">
        <v>5814</v>
      </c>
      <c r="E2506">
        <v>4723</v>
      </c>
      <c r="F2506" t="s">
        <v>23479</v>
      </c>
      <c r="G2506">
        <v>1</v>
      </c>
      <c r="H2506" t="s">
        <v>2279</v>
      </c>
      <c r="J2506" t="s">
        <v>8285</v>
      </c>
      <c r="K2506" t="s">
        <v>335</v>
      </c>
      <c r="L2506" t="s">
        <v>22</v>
      </c>
      <c r="M2506" t="s">
        <v>2280</v>
      </c>
      <c r="N2506" t="s">
        <v>8319</v>
      </c>
      <c r="O2506" t="s">
        <v>8320</v>
      </c>
      <c r="P2506" s="2" t="s">
        <v>37</v>
      </c>
      <c r="Q2506" t="s">
        <v>1208</v>
      </c>
      <c r="R2506">
        <v>0</v>
      </c>
      <c r="S2506">
        <v>420.96</v>
      </c>
      <c r="T2506" t="s">
        <v>8321</v>
      </c>
    </row>
    <row r="2507" spans="1:20" x14ac:dyDescent="0.25">
      <c r="A2507" s="1" t="str">
        <f>HYPERLINK("https://vegkart.atlas.vegvesen.no/#/@266049.1,6649079.3,18/hva:hva%5B0%5D%5Bfilter%5D%5B0%5D%5Boperator%5D=%21%3D&amp;hva%5B0%5D%5Bfilter%5D%5B0%5D%5Btype_id%5D=4723&amp;hva%5B0%5D%5Bfilter%5D%5B0%5D%5Bverdi%5D=&amp;hva%5B0%5D%5Bid%5D=15/når:2024-10-10", "Vegkart")</f>
        <v>Vegkart</v>
      </c>
      <c r="B2507">
        <v>1019934362</v>
      </c>
      <c r="C2507">
        <v>15</v>
      </c>
      <c r="D2507" t="s">
        <v>5814</v>
      </c>
      <c r="E2507">
        <v>4723</v>
      </c>
      <c r="F2507" t="s">
        <v>23479</v>
      </c>
      <c r="G2507">
        <v>1</v>
      </c>
      <c r="H2507" t="s">
        <v>2279</v>
      </c>
      <c r="J2507" t="s">
        <v>8285</v>
      </c>
      <c r="K2507" t="s">
        <v>335</v>
      </c>
      <c r="L2507" t="s">
        <v>22</v>
      </c>
      <c r="M2507" t="s">
        <v>2280</v>
      </c>
      <c r="N2507" t="s">
        <v>8322</v>
      </c>
      <c r="O2507" t="s">
        <v>8323</v>
      </c>
      <c r="P2507" s="2" t="s">
        <v>37</v>
      </c>
      <c r="Q2507" t="s">
        <v>1208</v>
      </c>
      <c r="R2507">
        <v>0</v>
      </c>
      <c r="S2507">
        <v>28.18</v>
      </c>
      <c r="T2507" t="s">
        <v>8324</v>
      </c>
    </row>
    <row r="2508" spans="1:20" x14ac:dyDescent="0.25">
      <c r="A2508" s="1" t="str">
        <f>HYPERLINK("https://vegkart.atlas.vegvesen.no/#/@266587.6,6649045.2,18/hva:hva%5B0%5D%5Bfilter%5D%5B0%5D%5Boperator%5D=%21%3D&amp;hva%5B0%5D%5Bfilter%5D%5B0%5D%5Btype_id%5D=4723&amp;hva%5B0%5D%5Bfilter%5D%5B0%5D%5Bverdi%5D=&amp;hva%5B0%5D%5Bid%5D=15/når:2024-10-10", "Vegkart")</f>
        <v>Vegkart</v>
      </c>
      <c r="B2508">
        <v>1019934363</v>
      </c>
      <c r="C2508">
        <v>15</v>
      </c>
      <c r="D2508" t="s">
        <v>5814</v>
      </c>
      <c r="E2508">
        <v>4723</v>
      </c>
      <c r="F2508" t="s">
        <v>23479</v>
      </c>
      <c r="G2508">
        <v>1</v>
      </c>
      <c r="H2508" t="s">
        <v>2279</v>
      </c>
      <c r="J2508" t="s">
        <v>8285</v>
      </c>
      <c r="K2508" t="s">
        <v>335</v>
      </c>
      <c r="L2508" t="s">
        <v>22</v>
      </c>
      <c r="M2508" t="s">
        <v>2280</v>
      </c>
      <c r="N2508" t="s">
        <v>8325</v>
      </c>
      <c r="O2508" t="s">
        <v>8326</v>
      </c>
      <c r="P2508" s="2" t="s">
        <v>37</v>
      </c>
      <c r="Q2508" t="s">
        <v>1208</v>
      </c>
      <c r="R2508">
        <v>0</v>
      </c>
      <c r="S2508">
        <v>140.66</v>
      </c>
      <c r="T2508" t="s">
        <v>8327</v>
      </c>
    </row>
    <row r="2509" spans="1:20" x14ac:dyDescent="0.25">
      <c r="A2509" s="1" t="str">
        <f>HYPERLINK("https://vegkart.atlas.vegvesen.no/#/@265701.8,6649111.0,18/hva:hva%5B0%5D%5Bfilter%5D%5B0%5D%5Boperator%5D=%21%3D&amp;hva%5B0%5D%5Bfilter%5D%5B0%5D%5Btype_id%5D=4723&amp;hva%5B0%5D%5Bfilter%5D%5B0%5D%5Bverdi%5D=&amp;hva%5B0%5D%5Bid%5D=15/når:2024-10-10", "Vegkart")</f>
        <v>Vegkart</v>
      </c>
      <c r="B2509">
        <v>1019934364</v>
      </c>
      <c r="C2509">
        <v>15</v>
      </c>
      <c r="D2509" t="s">
        <v>5814</v>
      </c>
      <c r="E2509">
        <v>4723</v>
      </c>
      <c r="F2509" t="s">
        <v>23479</v>
      </c>
      <c r="G2509">
        <v>1</v>
      </c>
      <c r="H2509" t="s">
        <v>2279</v>
      </c>
      <c r="J2509" t="s">
        <v>8285</v>
      </c>
      <c r="K2509" t="s">
        <v>335</v>
      </c>
      <c r="L2509" t="s">
        <v>22</v>
      </c>
      <c r="M2509" t="s">
        <v>2280</v>
      </c>
      <c r="N2509" t="s">
        <v>8328</v>
      </c>
      <c r="O2509" t="s">
        <v>8329</v>
      </c>
      <c r="P2509" s="2" t="s">
        <v>37</v>
      </c>
      <c r="Q2509" t="s">
        <v>1208</v>
      </c>
      <c r="R2509">
        <v>0</v>
      </c>
      <c r="S2509">
        <v>24.2</v>
      </c>
      <c r="T2509" t="s">
        <v>8330</v>
      </c>
    </row>
    <row r="2510" spans="1:20" x14ac:dyDescent="0.25">
      <c r="A2510" s="1" t="str">
        <f>HYPERLINK("https://vegkart.atlas.vegvesen.no/#/@265664.6,6649102.7,18/hva:hva%5B0%5D%5Bfilter%5D%5B0%5D%5Boperator%5D=%21%3D&amp;hva%5B0%5D%5Bfilter%5D%5B0%5D%5Btype_id%5D=4723&amp;hva%5B0%5D%5Bfilter%5D%5B0%5D%5Bverdi%5D=&amp;hva%5B0%5D%5Bid%5D=15/når:2024-10-10", "Vegkart")</f>
        <v>Vegkart</v>
      </c>
      <c r="B2510">
        <v>1019934365</v>
      </c>
      <c r="C2510">
        <v>15</v>
      </c>
      <c r="D2510" t="s">
        <v>5814</v>
      </c>
      <c r="E2510">
        <v>4723</v>
      </c>
      <c r="F2510" t="s">
        <v>23479</v>
      </c>
      <c r="G2510">
        <v>1</v>
      </c>
      <c r="H2510" t="s">
        <v>2279</v>
      </c>
      <c r="J2510" t="s">
        <v>8285</v>
      </c>
      <c r="K2510" t="s">
        <v>335</v>
      </c>
      <c r="L2510" t="s">
        <v>22</v>
      </c>
      <c r="M2510" t="s">
        <v>2280</v>
      </c>
      <c r="N2510" t="s">
        <v>8331</v>
      </c>
      <c r="O2510" t="s">
        <v>8332</v>
      </c>
      <c r="P2510" s="2" t="s">
        <v>37</v>
      </c>
      <c r="Q2510" t="s">
        <v>1208</v>
      </c>
      <c r="R2510">
        <v>0</v>
      </c>
      <c r="S2510">
        <v>48.22</v>
      </c>
      <c r="T2510" t="s">
        <v>8333</v>
      </c>
    </row>
    <row r="2511" spans="1:20" x14ac:dyDescent="0.25">
      <c r="A2511" s="1" t="str">
        <f>HYPERLINK("https://vegkart.atlas.vegvesen.no/#/@265680.8,6649106.3,18/hva:hva%5B0%5D%5Bfilter%5D%5B0%5D%5Boperator%5D=%21%3D&amp;hva%5B0%5D%5Bfilter%5D%5B0%5D%5Btype_id%5D=4723&amp;hva%5B0%5D%5Bfilter%5D%5B0%5D%5Bverdi%5D=&amp;hva%5B0%5D%5Bid%5D=15/når:2024-10-10", "Vegkart")</f>
        <v>Vegkart</v>
      </c>
      <c r="B2511">
        <v>1019934366</v>
      </c>
      <c r="C2511">
        <v>15</v>
      </c>
      <c r="D2511" t="s">
        <v>5814</v>
      </c>
      <c r="E2511">
        <v>4723</v>
      </c>
      <c r="F2511" t="s">
        <v>23479</v>
      </c>
      <c r="G2511">
        <v>1</v>
      </c>
      <c r="H2511" t="s">
        <v>2279</v>
      </c>
      <c r="J2511" t="s">
        <v>8285</v>
      </c>
      <c r="K2511" t="s">
        <v>335</v>
      </c>
      <c r="L2511" t="s">
        <v>22</v>
      </c>
      <c r="M2511" t="s">
        <v>2280</v>
      </c>
      <c r="N2511" t="s">
        <v>8334</v>
      </c>
      <c r="O2511" t="s">
        <v>8335</v>
      </c>
      <c r="P2511" s="2" t="s">
        <v>37</v>
      </c>
      <c r="Q2511" t="s">
        <v>1208</v>
      </c>
      <c r="R2511">
        <v>0</v>
      </c>
      <c r="S2511">
        <v>24.29</v>
      </c>
      <c r="T2511" t="s">
        <v>8336</v>
      </c>
    </row>
    <row r="2512" spans="1:20" x14ac:dyDescent="0.25">
      <c r="A2512" s="1" t="str">
        <f>HYPERLINK("https://vegkart.atlas.vegvesen.no/#/@265691.3,6649108.6,18/hva:hva%5B0%5D%5Bfilter%5D%5B0%5D%5Boperator%5D=%21%3D&amp;hva%5B0%5D%5Bfilter%5D%5B0%5D%5Btype_id%5D=4723&amp;hva%5B0%5D%5Bfilter%5D%5B0%5D%5Bverdi%5D=&amp;hva%5B0%5D%5Bid%5D=15/når:2024-10-10", "Vegkart")</f>
        <v>Vegkart</v>
      </c>
      <c r="B2512">
        <v>1019934367</v>
      </c>
      <c r="C2512">
        <v>15</v>
      </c>
      <c r="D2512" t="s">
        <v>5814</v>
      </c>
      <c r="E2512">
        <v>4723</v>
      </c>
      <c r="F2512" t="s">
        <v>23479</v>
      </c>
      <c r="G2512">
        <v>1</v>
      </c>
      <c r="H2512" t="s">
        <v>2279</v>
      </c>
      <c r="J2512" t="s">
        <v>8285</v>
      </c>
      <c r="K2512" t="s">
        <v>335</v>
      </c>
      <c r="L2512" t="s">
        <v>22</v>
      </c>
      <c r="M2512" t="s">
        <v>2280</v>
      </c>
      <c r="N2512" t="s">
        <v>8337</v>
      </c>
      <c r="O2512" t="s">
        <v>8338</v>
      </c>
      <c r="P2512" s="2" t="s">
        <v>37</v>
      </c>
      <c r="Q2512" t="s">
        <v>1208</v>
      </c>
      <c r="R2512">
        <v>0</v>
      </c>
      <c r="S2512">
        <v>24.92</v>
      </c>
      <c r="T2512" t="s">
        <v>8339</v>
      </c>
    </row>
    <row r="2513" spans="1:20" x14ac:dyDescent="0.25">
      <c r="A2513" s="1" t="str">
        <f>HYPERLINK("https://vegkart.atlas.vegvesen.no/#/@265712.2,6649113.3,18/hva:hva%5B0%5D%5Bfilter%5D%5B0%5D%5Boperator%5D=%21%3D&amp;hva%5B0%5D%5Bfilter%5D%5B0%5D%5Btype_id%5D=4723&amp;hva%5B0%5D%5Bfilter%5D%5B0%5D%5Bverdi%5D=&amp;hva%5B0%5D%5Bid%5D=15/når:2024-10-10", "Vegkart")</f>
        <v>Vegkart</v>
      </c>
      <c r="B2513">
        <v>1019934368</v>
      </c>
      <c r="C2513">
        <v>15</v>
      </c>
      <c r="D2513" t="s">
        <v>5814</v>
      </c>
      <c r="E2513">
        <v>4723</v>
      </c>
      <c r="F2513" t="s">
        <v>23479</v>
      </c>
      <c r="G2513">
        <v>1</v>
      </c>
      <c r="H2513" t="s">
        <v>2279</v>
      </c>
      <c r="J2513" t="s">
        <v>8285</v>
      </c>
      <c r="K2513" t="s">
        <v>335</v>
      </c>
      <c r="L2513" t="s">
        <v>22</v>
      </c>
      <c r="M2513" t="s">
        <v>2280</v>
      </c>
      <c r="N2513" t="s">
        <v>8340</v>
      </c>
      <c r="O2513" t="s">
        <v>8341</v>
      </c>
      <c r="P2513" s="2" t="s">
        <v>37</v>
      </c>
      <c r="Q2513" t="s">
        <v>1208</v>
      </c>
      <c r="R2513">
        <v>0</v>
      </c>
      <c r="S2513">
        <v>24.48</v>
      </c>
      <c r="T2513" t="s">
        <v>8342</v>
      </c>
    </row>
    <row r="2514" spans="1:20" x14ac:dyDescent="0.25">
      <c r="A2514" s="1" t="str">
        <f>HYPERLINK("https://vegkart.atlas.vegvesen.no/#/@266542.2,6649074.3,18/hva:hva%5B0%5D%5Bfilter%5D%5B0%5D%5Boperator%5D=%21%3D&amp;hva%5B0%5D%5Bfilter%5D%5B0%5D%5Btype_id%5D=4723&amp;hva%5B0%5D%5Bfilter%5D%5B0%5D%5Bverdi%5D=&amp;hva%5B0%5D%5Bid%5D=15/når:2024-10-10", "Vegkart")</f>
        <v>Vegkart</v>
      </c>
      <c r="B2514">
        <v>1019934369</v>
      </c>
      <c r="C2514">
        <v>15</v>
      </c>
      <c r="D2514" t="s">
        <v>5814</v>
      </c>
      <c r="E2514">
        <v>4723</v>
      </c>
      <c r="F2514" t="s">
        <v>23479</v>
      </c>
      <c r="G2514">
        <v>1</v>
      </c>
      <c r="H2514" t="s">
        <v>2279</v>
      </c>
      <c r="J2514" t="s">
        <v>8285</v>
      </c>
      <c r="K2514" t="s">
        <v>335</v>
      </c>
      <c r="L2514" t="s">
        <v>22</v>
      </c>
      <c r="M2514" t="s">
        <v>2280</v>
      </c>
      <c r="N2514" t="s">
        <v>8343</v>
      </c>
      <c r="O2514" t="s">
        <v>8344</v>
      </c>
      <c r="P2514" s="2" t="s">
        <v>37</v>
      </c>
      <c r="Q2514" t="s">
        <v>1208</v>
      </c>
      <c r="R2514">
        <v>0</v>
      </c>
      <c r="S2514">
        <v>66.47</v>
      </c>
      <c r="T2514" t="s">
        <v>8345</v>
      </c>
    </row>
    <row r="2515" spans="1:20" x14ac:dyDescent="0.25">
      <c r="A2515" s="1" t="str">
        <f>HYPERLINK("https://vegkart.atlas.vegvesen.no/#/@258634.2,6651990.1,18/hva:hva%5B0%5D%5Bfilter%5D%5B0%5D%5Boperator%5D=%21%3D&amp;hva%5B0%5D%5Bfilter%5D%5B0%5D%5Btype_id%5D=4723&amp;hva%5B0%5D%5Bfilter%5D%5B0%5D%5Bverdi%5D=&amp;hva%5B0%5D%5Bid%5D=15/når:2024-10-16", "Vegkart")</f>
        <v>Vegkart</v>
      </c>
      <c r="B2515">
        <v>1020025009</v>
      </c>
      <c r="C2515">
        <v>15</v>
      </c>
      <c r="D2515" t="s">
        <v>5814</v>
      </c>
      <c r="E2515">
        <v>4723</v>
      </c>
      <c r="F2515" t="s">
        <v>23479</v>
      </c>
      <c r="G2515">
        <v>1</v>
      </c>
      <c r="H2515" t="s">
        <v>8346</v>
      </c>
      <c r="J2515" t="s">
        <v>8285</v>
      </c>
      <c r="K2515" t="s">
        <v>335</v>
      </c>
      <c r="L2515" t="s">
        <v>22</v>
      </c>
      <c r="M2515" t="s">
        <v>8347</v>
      </c>
      <c r="N2515" t="s">
        <v>8348</v>
      </c>
      <c r="O2515" t="s">
        <v>8349</v>
      </c>
      <c r="P2515" s="2" t="s">
        <v>37</v>
      </c>
      <c r="Q2515" t="s">
        <v>1208</v>
      </c>
      <c r="R2515">
        <v>0</v>
      </c>
      <c r="S2515">
        <v>31.68</v>
      </c>
      <c r="T2515" t="s">
        <v>8350</v>
      </c>
    </row>
    <row r="2516" spans="1:20" x14ac:dyDescent="0.25">
      <c r="A2516" s="1" t="str">
        <f>HYPERLINK("https://vegkart.atlas.vegvesen.no/#/@258590.3,6651994.9,18/hva:hva%5B0%5D%5Bfilter%5D%5B0%5D%5Boperator%5D=%21%3D&amp;hva%5B0%5D%5Bfilter%5D%5B0%5D%5Btype_id%5D=4723&amp;hva%5B0%5D%5Bfilter%5D%5B0%5D%5Bverdi%5D=&amp;hva%5B0%5D%5Bid%5D=15/når:2024-10-16", "Vegkart")</f>
        <v>Vegkart</v>
      </c>
      <c r="B2516">
        <v>1020025010</v>
      </c>
      <c r="C2516">
        <v>15</v>
      </c>
      <c r="D2516" t="s">
        <v>5814</v>
      </c>
      <c r="E2516">
        <v>4723</v>
      </c>
      <c r="F2516" t="s">
        <v>23479</v>
      </c>
      <c r="G2516">
        <v>1</v>
      </c>
      <c r="H2516" t="s">
        <v>8346</v>
      </c>
      <c r="J2516" t="s">
        <v>8285</v>
      </c>
      <c r="K2516" t="s">
        <v>335</v>
      </c>
      <c r="L2516" t="s">
        <v>22</v>
      </c>
      <c r="M2516" t="s">
        <v>8347</v>
      </c>
      <c r="N2516" t="s">
        <v>8351</v>
      </c>
      <c r="O2516" t="s">
        <v>8352</v>
      </c>
      <c r="P2516" s="2" t="s">
        <v>37</v>
      </c>
      <c r="Q2516" t="s">
        <v>1208</v>
      </c>
      <c r="R2516">
        <v>0</v>
      </c>
      <c r="S2516">
        <v>7.38</v>
      </c>
      <c r="T2516" t="s">
        <v>8353</v>
      </c>
    </row>
    <row r="2517" spans="1:20" x14ac:dyDescent="0.25">
      <c r="A2517" s="1" t="str">
        <f>HYPERLINK("https://vegkart.atlas.vegvesen.no/#/@258613.1,6652003.0,18/hva:hva%5B0%5D%5Bfilter%5D%5B0%5D%5Boperator%5D=%21%3D&amp;hva%5B0%5D%5Bfilter%5D%5B0%5D%5Btype_id%5D=4723&amp;hva%5B0%5D%5Bfilter%5D%5B0%5D%5Bverdi%5D=&amp;hva%5B0%5D%5Bid%5D=15/når:2024-10-16", "Vegkart")</f>
        <v>Vegkart</v>
      </c>
      <c r="B2517">
        <v>1020025011</v>
      </c>
      <c r="C2517">
        <v>15</v>
      </c>
      <c r="D2517" t="s">
        <v>5814</v>
      </c>
      <c r="E2517">
        <v>4723</v>
      </c>
      <c r="F2517" t="s">
        <v>23479</v>
      </c>
      <c r="G2517">
        <v>1</v>
      </c>
      <c r="H2517" t="s">
        <v>8346</v>
      </c>
      <c r="J2517" t="s">
        <v>8285</v>
      </c>
      <c r="K2517" t="s">
        <v>335</v>
      </c>
      <c r="L2517" t="s">
        <v>22</v>
      </c>
      <c r="M2517" t="s">
        <v>8347</v>
      </c>
      <c r="N2517" t="s">
        <v>8354</v>
      </c>
      <c r="O2517" t="s">
        <v>8355</v>
      </c>
      <c r="P2517" s="2" t="s">
        <v>37</v>
      </c>
      <c r="Q2517" t="s">
        <v>1208</v>
      </c>
      <c r="R2517">
        <v>0</v>
      </c>
      <c r="S2517">
        <v>88.51</v>
      </c>
      <c r="T2517" t="s">
        <v>8356</v>
      </c>
    </row>
    <row r="2518" spans="1:20" x14ac:dyDescent="0.25">
      <c r="A2518" s="1" t="str">
        <f>HYPERLINK("https://vegkart.atlas.vegvesen.no/#/@258710.9,6652051.8,18/hva:hva%5B0%5D%5Bfilter%5D%5B0%5D%5Boperator%5D=%21%3D&amp;hva%5B0%5D%5Bfilter%5D%5B0%5D%5Btype_id%5D=4723&amp;hva%5B0%5D%5Bfilter%5D%5B0%5D%5Bverdi%5D=&amp;hva%5B0%5D%5Bid%5D=15/når:2024-10-16", "Vegkart")</f>
        <v>Vegkart</v>
      </c>
      <c r="B2518">
        <v>1020025012</v>
      </c>
      <c r="C2518">
        <v>15</v>
      </c>
      <c r="D2518" t="s">
        <v>5814</v>
      </c>
      <c r="E2518">
        <v>4723</v>
      </c>
      <c r="F2518" t="s">
        <v>23479</v>
      </c>
      <c r="G2518">
        <v>1</v>
      </c>
      <c r="H2518" t="s">
        <v>8346</v>
      </c>
      <c r="J2518" t="s">
        <v>8285</v>
      </c>
      <c r="K2518" t="s">
        <v>335</v>
      </c>
      <c r="L2518" t="s">
        <v>22</v>
      </c>
      <c r="M2518" t="s">
        <v>8347</v>
      </c>
      <c r="N2518" t="s">
        <v>8357</v>
      </c>
      <c r="O2518" t="s">
        <v>8358</v>
      </c>
      <c r="P2518" s="2" t="s">
        <v>37</v>
      </c>
      <c r="Q2518" t="s">
        <v>1208</v>
      </c>
      <c r="R2518">
        <v>0</v>
      </c>
      <c r="S2518">
        <v>182.65</v>
      </c>
      <c r="T2518" t="s">
        <v>8359</v>
      </c>
    </row>
    <row r="2519" spans="1:20" x14ac:dyDescent="0.25">
      <c r="A2519" s="1" t="str">
        <f>HYPERLINK("https://vegkart.atlas.vegvesen.no/#/@258646.9,6652013.3,18/hva:hva%5B0%5D%5Bfilter%5D%5B0%5D%5Boperator%5D=%21%3D&amp;hva%5B0%5D%5Bfilter%5D%5B0%5D%5Btype_id%5D=4723&amp;hva%5B0%5D%5Bfilter%5D%5B0%5D%5Bverdi%5D=&amp;hva%5B0%5D%5Bid%5D=15/når:2024-10-16", "Vegkart")</f>
        <v>Vegkart</v>
      </c>
      <c r="B2519">
        <v>1020025013</v>
      </c>
      <c r="C2519">
        <v>15</v>
      </c>
      <c r="D2519" t="s">
        <v>5814</v>
      </c>
      <c r="E2519">
        <v>4723</v>
      </c>
      <c r="F2519" t="s">
        <v>23479</v>
      </c>
      <c r="G2519">
        <v>1</v>
      </c>
      <c r="H2519" t="s">
        <v>8346</v>
      </c>
      <c r="J2519" t="s">
        <v>8285</v>
      </c>
      <c r="K2519" t="s">
        <v>335</v>
      </c>
      <c r="L2519" t="s">
        <v>22</v>
      </c>
      <c r="M2519" t="s">
        <v>8347</v>
      </c>
      <c r="N2519" t="s">
        <v>8360</v>
      </c>
      <c r="O2519" t="s">
        <v>8361</v>
      </c>
      <c r="P2519" s="2" t="s">
        <v>37</v>
      </c>
      <c r="Q2519" t="s">
        <v>1208</v>
      </c>
      <c r="R2519">
        <v>0</v>
      </c>
      <c r="S2519">
        <v>88.52</v>
      </c>
      <c r="T2519" t="s">
        <v>8362</v>
      </c>
    </row>
    <row r="2520" spans="1:20" x14ac:dyDescent="0.25">
      <c r="A2520" s="1" t="str">
        <f>HYPERLINK("https://vegkart.atlas.vegvesen.no/#/@258712.2,6652068.7,18/hva:hva%5B0%5D%5Bfilter%5D%5B0%5D%5Boperator%5D=%21%3D&amp;hva%5B0%5D%5Bfilter%5D%5B0%5D%5Btype_id%5D=4723&amp;hva%5B0%5D%5Bfilter%5D%5B0%5D%5Bverdi%5D=&amp;hva%5B0%5D%5Bid%5D=15/når:2024-10-16", "Vegkart")</f>
        <v>Vegkart</v>
      </c>
      <c r="B2520">
        <v>1020025014</v>
      </c>
      <c r="C2520">
        <v>15</v>
      </c>
      <c r="D2520" t="s">
        <v>5814</v>
      </c>
      <c r="E2520">
        <v>4723</v>
      </c>
      <c r="F2520" t="s">
        <v>23479</v>
      </c>
      <c r="G2520">
        <v>1</v>
      </c>
      <c r="H2520" t="s">
        <v>8346</v>
      </c>
      <c r="J2520" t="s">
        <v>8285</v>
      </c>
      <c r="K2520" t="s">
        <v>335</v>
      </c>
      <c r="L2520" t="s">
        <v>22</v>
      </c>
      <c r="M2520" t="s">
        <v>8347</v>
      </c>
      <c r="N2520" t="s">
        <v>8363</v>
      </c>
      <c r="O2520" t="s">
        <v>8364</v>
      </c>
      <c r="P2520" s="2" t="s">
        <v>37</v>
      </c>
      <c r="Q2520" t="s">
        <v>1208</v>
      </c>
      <c r="R2520">
        <v>0</v>
      </c>
      <c r="S2520">
        <v>228.46</v>
      </c>
      <c r="T2520" t="s">
        <v>8365</v>
      </c>
    </row>
    <row r="2521" spans="1:20" x14ac:dyDescent="0.25">
      <c r="A2521" s="1" t="str">
        <f>HYPERLINK("https://vegkart.atlas.vegvesen.no/#/@258657.6,6652002.7,18/hva:hva%5B0%5D%5Bfilter%5D%5B0%5D%5Boperator%5D=%21%3D&amp;hva%5B0%5D%5Bfilter%5D%5B0%5D%5Btype_id%5D=4723&amp;hva%5B0%5D%5Bfilter%5D%5B0%5D%5Bverdi%5D=&amp;hva%5B0%5D%5Bid%5D=15/når:2024-10-16", "Vegkart")</f>
        <v>Vegkart</v>
      </c>
      <c r="B2521">
        <v>1020025015</v>
      </c>
      <c r="C2521">
        <v>15</v>
      </c>
      <c r="D2521" t="s">
        <v>5814</v>
      </c>
      <c r="E2521">
        <v>4723</v>
      </c>
      <c r="F2521" t="s">
        <v>23479</v>
      </c>
      <c r="G2521">
        <v>1</v>
      </c>
      <c r="H2521" t="s">
        <v>8346</v>
      </c>
      <c r="J2521" t="s">
        <v>8285</v>
      </c>
      <c r="K2521" t="s">
        <v>335</v>
      </c>
      <c r="L2521" t="s">
        <v>22</v>
      </c>
      <c r="M2521" t="s">
        <v>8347</v>
      </c>
      <c r="N2521" t="s">
        <v>8366</v>
      </c>
      <c r="O2521" t="s">
        <v>8367</v>
      </c>
      <c r="P2521" s="2" t="s">
        <v>37</v>
      </c>
      <c r="Q2521" t="s">
        <v>1208</v>
      </c>
      <c r="R2521">
        <v>0</v>
      </c>
      <c r="S2521">
        <v>51.17</v>
      </c>
      <c r="T2521" t="s">
        <v>8368</v>
      </c>
    </row>
    <row r="2522" spans="1:20" x14ac:dyDescent="0.25">
      <c r="A2522" s="1" t="str">
        <f>HYPERLINK("https://vegkart.atlas.vegvesen.no/#/@258650.0,6652017.9,18/hva:hva%5B0%5D%5Bfilter%5D%5B0%5D%5Boperator%5D=%21%3D&amp;hva%5B0%5D%5Bfilter%5D%5B0%5D%5Btype_id%5D=4723&amp;hva%5B0%5D%5Bfilter%5D%5B0%5D%5Bverdi%5D=&amp;hva%5B0%5D%5Bid%5D=15/når:2024-10-16", "Vegkart")</f>
        <v>Vegkart</v>
      </c>
      <c r="B2522">
        <v>1020025016</v>
      </c>
      <c r="C2522">
        <v>15</v>
      </c>
      <c r="D2522" t="s">
        <v>5814</v>
      </c>
      <c r="E2522">
        <v>4723</v>
      </c>
      <c r="F2522" t="s">
        <v>23479</v>
      </c>
      <c r="G2522">
        <v>1</v>
      </c>
      <c r="H2522" t="s">
        <v>8346</v>
      </c>
      <c r="J2522" t="s">
        <v>8285</v>
      </c>
      <c r="K2522" t="s">
        <v>335</v>
      </c>
      <c r="L2522" t="s">
        <v>22</v>
      </c>
      <c r="M2522" t="s">
        <v>8347</v>
      </c>
      <c r="N2522" t="s">
        <v>8369</v>
      </c>
      <c r="O2522" t="s">
        <v>8370</v>
      </c>
      <c r="P2522" s="2" t="s">
        <v>37</v>
      </c>
      <c r="Q2522" t="s">
        <v>1208</v>
      </c>
      <c r="R2522">
        <v>0</v>
      </c>
      <c r="S2522">
        <v>56.36</v>
      </c>
      <c r="T2522" t="s">
        <v>8371</v>
      </c>
    </row>
    <row r="2523" spans="1:20" x14ac:dyDescent="0.25">
      <c r="A2523" s="1" t="str">
        <f>HYPERLINK("https://vegkart.atlas.vegvesen.no/#/@258618.9,6651987.4,18/hva:hva%5B0%5D%5Bfilter%5D%5B0%5D%5Boperator%5D=%21%3D&amp;hva%5B0%5D%5Bfilter%5D%5B0%5D%5Btype_id%5D=4723&amp;hva%5B0%5D%5Bfilter%5D%5B0%5D%5Bverdi%5D=&amp;hva%5B0%5D%5Bid%5D=15/når:2024-10-16", "Vegkart")</f>
        <v>Vegkart</v>
      </c>
      <c r="B2523">
        <v>1020025017</v>
      </c>
      <c r="C2523">
        <v>15</v>
      </c>
      <c r="D2523" t="s">
        <v>5814</v>
      </c>
      <c r="E2523">
        <v>4723</v>
      </c>
      <c r="F2523" t="s">
        <v>23479</v>
      </c>
      <c r="G2523">
        <v>1</v>
      </c>
      <c r="H2523" t="s">
        <v>8346</v>
      </c>
      <c r="J2523" t="s">
        <v>8285</v>
      </c>
      <c r="K2523" t="s">
        <v>335</v>
      </c>
      <c r="L2523" t="s">
        <v>22</v>
      </c>
      <c r="M2523" t="s">
        <v>8347</v>
      </c>
      <c r="N2523" t="s">
        <v>8372</v>
      </c>
      <c r="O2523" t="s">
        <v>8373</v>
      </c>
      <c r="P2523" s="2" t="s">
        <v>37</v>
      </c>
      <c r="Q2523" t="s">
        <v>1208</v>
      </c>
      <c r="R2523">
        <v>0</v>
      </c>
      <c r="S2523">
        <v>26.35</v>
      </c>
      <c r="T2523" t="s">
        <v>8374</v>
      </c>
    </row>
    <row r="2524" spans="1:20" x14ac:dyDescent="0.25">
      <c r="A2524" s="1" t="str">
        <f>HYPERLINK("https://vegkart.atlas.vegvesen.no/#/@-10158.9,6811374.3,18/hva:hva%5B0%5D%5Bfilter%5D%5B0%5D%5Boperator%5D=%21%3D&amp;hva%5B0%5D%5Bfilter%5D%5B0%5D%5Btype_id%5D=4723&amp;hva%5B0%5D%5Bfilter%5D%5B0%5D%5Bverdi%5D=&amp;hva%5B0%5D%5Bid%5D=15/når:2024-10-24", "Vegkart")</f>
        <v>Vegkart</v>
      </c>
      <c r="B2524">
        <v>1021015183</v>
      </c>
      <c r="C2524">
        <v>15</v>
      </c>
      <c r="D2524" t="s">
        <v>5814</v>
      </c>
      <c r="E2524">
        <v>4723</v>
      </c>
      <c r="F2524" t="s">
        <v>23479</v>
      </c>
      <c r="G2524">
        <v>1</v>
      </c>
      <c r="H2524" t="s">
        <v>1310</v>
      </c>
      <c r="J2524" t="s">
        <v>8285</v>
      </c>
      <c r="K2524" t="s">
        <v>21</v>
      </c>
      <c r="L2524" t="s">
        <v>80</v>
      </c>
      <c r="M2524" t="s">
        <v>81</v>
      </c>
      <c r="N2524" t="s">
        <v>8375</v>
      </c>
      <c r="O2524" t="s">
        <v>8376</v>
      </c>
      <c r="P2524" s="2" t="s">
        <v>37</v>
      </c>
      <c r="Q2524" t="s">
        <v>1208</v>
      </c>
      <c r="R2524">
        <v>0</v>
      </c>
      <c r="S2524">
        <v>192.53</v>
      </c>
      <c r="T2524" t="s">
        <v>8377</v>
      </c>
    </row>
    <row r="2525" spans="1:20" x14ac:dyDescent="0.25">
      <c r="A2525" s="1" t="str">
        <f>HYPERLINK("https://vegkart.atlas.vegvesen.no/#/@-10428.6,6811688.7,18/hva:hva%5B0%5D%5Bfilter%5D%5B0%5D%5Boperator%5D=%21%3D&amp;hva%5B0%5D%5Bfilter%5D%5B0%5D%5Btype_id%5D=4723&amp;hva%5B0%5D%5Bfilter%5D%5B0%5D%5Bverdi%5D=&amp;hva%5B0%5D%5Bid%5D=15/når:2024-10-24", "Vegkart")</f>
        <v>Vegkart</v>
      </c>
      <c r="B2525">
        <v>1021015184</v>
      </c>
      <c r="C2525">
        <v>15</v>
      </c>
      <c r="D2525" t="s">
        <v>5814</v>
      </c>
      <c r="E2525">
        <v>4723</v>
      </c>
      <c r="F2525" t="s">
        <v>23479</v>
      </c>
      <c r="G2525">
        <v>1</v>
      </c>
      <c r="H2525" t="s">
        <v>1310</v>
      </c>
      <c r="J2525" t="s">
        <v>8285</v>
      </c>
      <c r="K2525" t="s">
        <v>21</v>
      </c>
      <c r="L2525" t="s">
        <v>80</v>
      </c>
      <c r="M2525" t="s">
        <v>81</v>
      </c>
      <c r="N2525" t="s">
        <v>8378</v>
      </c>
      <c r="O2525" t="s">
        <v>8379</v>
      </c>
      <c r="P2525" s="2" t="s">
        <v>37</v>
      </c>
      <c r="Q2525" t="s">
        <v>1208</v>
      </c>
      <c r="R2525">
        <v>0</v>
      </c>
      <c r="S2525">
        <v>232.5</v>
      </c>
      <c r="T2525" t="s">
        <v>8380</v>
      </c>
    </row>
    <row r="2526" spans="1:20" x14ac:dyDescent="0.25">
      <c r="A2526" s="1" t="str">
        <f>HYPERLINK("https://vegkart.atlas.vegvesen.no/#/@-10367.9,6811641.3,18/hva:hva%5B0%5D%5Bfilter%5D%5B0%5D%5Boperator%5D=%21%3D&amp;hva%5B0%5D%5Bfilter%5D%5B0%5D%5Btype_id%5D=4723&amp;hva%5B0%5D%5Bfilter%5D%5B0%5D%5Bverdi%5D=&amp;hva%5B0%5D%5Bid%5D=15/når:2024-10-24", "Vegkart")</f>
        <v>Vegkart</v>
      </c>
      <c r="B2526">
        <v>1021015185</v>
      </c>
      <c r="C2526">
        <v>15</v>
      </c>
      <c r="D2526" t="s">
        <v>5814</v>
      </c>
      <c r="E2526">
        <v>4723</v>
      </c>
      <c r="F2526" t="s">
        <v>23479</v>
      </c>
      <c r="G2526">
        <v>1</v>
      </c>
      <c r="H2526" t="s">
        <v>1310</v>
      </c>
      <c r="J2526" t="s">
        <v>8285</v>
      </c>
      <c r="K2526" t="s">
        <v>21</v>
      </c>
      <c r="L2526" t="s">
        <v>33</v>
      </c>
      <c r="M2526" t="s">
        <v>8381</v>
      </c>
      <c r="N2526" t="s">
        <v>8382</v>
      </c>
      <c r="O2526" t="s">
        <v>8383</v>
      </c>
      <c r="P2526" s="2" t="s">
        <v>37</v>
      </c>
      <c r="Q2526" t="s">
        <v>1208</v>
      </c>
      <c r="R2526">
        <v>0</v>
      </c>
      <c r="S2526">
        <v>199.96</v>
      </c>
      <c r="T2526" t="s">
        <v>8384</v>
      </c>
    </row>
    <row r="2527" spans="1:20" x14ac:dyDescent="0.25">
      <c r="A2527" s="1" t="str">
        <f>HYPERLINK("https://vegkart.atlas.vegvesen.no/#/@-10478.4,6811672.2,18/hva:hva%5B0%5D%5Bfilter%5D%5B0%5D%5Boperator%5D=%21%3D&amp;hva%5B0%5D%5Bfilter%5D%5B0%5D%5Btype_id%5D=4723&amp;hva%5B0%5D%5Bfilter%5D%5B0%5D%5Bverdi%5D=&amp;hva%5B0%5D%5Bid%5D=15/når:2024-10-24", "Vegkart")</f>
        <v>Vegkart</v>
      </c>
      <c r="B2527">
        <v>1021015186</v>
      </c>
      <c r="C2527">
        <v>15</v>
      </c>
      <c r="D2527" t="s">
        <v>5814</v>
      </c>
      <c r="E2527">
        <v>4723</v>
      </c>
      <c r="F2527" t="s">
        <v>23479</v>
      </c>
      <c r="G2527">
        <v>1</v>
      </c>
      <c r="H2527" t="s">
        <v>1310</v>
      </c>
      <c r="J2527" t="s">
        <v>8285</v>
      </c>
      <c r="K2527" t="s">
        <v>21</v>
      </c>
      <c r="L2527" t="s">
        <v>80</v>
      </c>
      <c r="M2527" t="s">
        <v>81</v>
      </c>
      <c r="N2527" t="s">
        <v>8385</v>
      </c>
      <c r="O2527" t="s">
        <v>8386</v>
      </c>
      <c r="P2527" s="2" t="s">
        <v>37</v>
      </c>
      <c r="Q2527" t="s">
        <v>1208</v>
      </c>
      <c r="R2527">
        <v>0</v>
      </c>
      <c r="S2527">
        <v>158.87</v>
      </c>
      <c r="T2527" t="s">
        <v>8387</v>
      </c>
    </row>
    <row r="2528" spans="1:20" x14ac:dyDescent="0.25">
      <c r="A2528" s="1" t="str">
        <f>HYPERLINK("https://vegkart.atlas.vegvesen.no/#/@376737.8,7320543.9,18/hva:hva%5B0%5D%5Bfilter%5D%5B0%5D%5Boperator%5D=%21%3D&amp;hva%5B0%5D%5Bfilter%5D%5B0%5D%5Btype_id%5D=4723&amp;hva%5B0%5D%5Bfilter%5D%5B0%5D%5Bverdi%5D=&amp;hva%5B0%5D%5Bid%5D=15/når:2024-11-26", "Vegkart")</f>
        <v>Vegkart</v>
      </c>
      <c r="B2528">
        <v>1021221614</v>
      </c>
      <c r="C2528">
        <v>15</v>
      </c>
      <c r="D2528" t="s">
        <v>5814</v>
      </c>
      <c r="E2528">
        <v>4723</v>
      </c>
      <c r="F2528" t="s">
        <v>23479</v>
      </c>
      <c r="G2528">
        <v>1</v>
      </c>
      <c r="H2528" t="s">
        <v>8388</v>
      </c>
      <c r="J2528" t="s">
        <v>8389</v>
      </c>
      <c r="K2528" t="s">
        <v>53</v>
      </c>
      <c r="L2528" t="s">
        <v>33</v>
      </c>
      <c r="M2528" t="s">
        <v>8390</v>
      </c>
      <c r="N2528" t="s">
        <v>8391</v>
      </c>
      <c r="O2528" t="s">
        <v>8392</v>
      </c>
      <c r="P2528" s="2" t="s">
        <v>37</v>
      </c>
      <c r="Q2528" t="s">
        <v>1208</v>
      </c>
      <c r="R2528">
        <v>0</v>
      </c>
      <c r="S2528">
        <v>87.36</v>
      </c>
      <c r="T2528" t="s">
        <v>8393</v>
      </c>
    </row>
    <row r="2529" spans="1:20" x14ac:dyDescent="0.25">
      <c r="A2529" s="1" t="str">
        <f>HYPERLINK("https://vegkart.atlas.vegvesen.no/#/@376899.1,7320725.6,18/hva:hva%5B0%5D%5Bfilter%5D%5B0%5D%5Boperator%5D=%21%3D&amp;hva%5B0%5D%5Bfilter%5D%5B0%5D%5Btype_id%5D=4723&amp;hva%5B0%5D%5Bfilter%5D%5B0%5D%5Bverdi%5D=&amp;hva%5B0%5D%5Bid%5D=15/når:2024-11-26", "Vegkart")</f>
        <v>Vegkart</v>
      </c>
      <c r="B2529">
        <v>1021221615</v>
      </c>
      <c r="C2529">
        <v>15</v>
      </c>
      <c r="D2529" t="s">
        <v>5814</v>
      </c>
      <c r="E2529">
        <v>4723</v>
      </c>
      <c r="F2529" t="s">
        <v>23479</v>
      </c>
      <c r="G2529">
        <v>1</v>
      </c>
      <c r="H2529" t="s">
        <v>8388</v>
      </c>
      <c r="J2529" t="s">
        <v>8389</v>
      </c>
      <c r="K2529" t="s">
        <v>53</v>
      </c>
      <c r="L2529" t="s">
        <v>33</v>
      </c>
      <c r="M2529" t="s">
        <v>8390</v>
      </c>
      <c r="N2529" t="s">
        <v>8394</v>
      </c>
      <c r="O2529" t="s">
        <v>8395</v>
      </c>
      <c r="P2529" s="2" t="s">
        <v>37</v>
      </c>
      <c r="Q2529" t="s">
        <v>1208</v>
      </c>
      <c r="R2529">
        <v>0</v>
      </c>
      <c r="S2529">
        <v>105.62</v>
      </c>
      <c r="T2529" t="s">
        <v>8396</v>
      </c>
    </row>
    <row r="2530" spans="1:20" x14ac:dyDescent="0.25">
      <c r="A2530" s="1" t="str">
        <f>HYPERLINK("https://vegkart.atlas.vegvesen.no/#/@376827.5,7320608.5,18/hva:hva%5B0%5D%5Bfilter%5D%5B0%5D%5Boperator%5D=%21%3D&amp;hva%5B0%5D%5Bfilter%5D%5B0%5D%5Btype_id%5D=4723&amp;hva%5B0%5D%5Bfilter%5D%5B0%5D%5Bverdi%5D=&amp;hva%5B0%5D%5Bid%5D=15/når:2024-11-26", "Vegkart")</f>
        <v>Vegkart</v>
      </c>
      <c r="B2530">
        <v>1021221616</v>
      </c>
      <c r="C2530">
        <v>15</v>
      </c>
      <c r="D2530" t="s">
        <v>5814</v>
      </c>
      <c r="E2530">
        <v>4723</v>
      </c>
      <c r="F2530" t="s">
        <v>23479</v>
      </c>
      <c r="G2530">
        <v>1</v>
      </c>
      <c r="H2530" t="s">
        <v>8388</v>
      </c>
      <c r="J2530" t="s">
        <v>8389</v>
      </c>
      <c r="K2530" t="s">
        <v>53</v>
      </c>
      <c r="L2530" t="s">
        <v>33</v>
      </c>
      <c r="M2530" t="s">
        <v>8390</v>
      </c>
      <c r="N2530" t="s">
        <v>8397</v>
      </c>
      <c r="O2530" t="s">
        <v>8398</v>
      </c>
      <c r="P2530" s="2" t="s">
        <v>37</v>
      </c>
      <c r="Q2530" t="s">
        <v>1208</v>
      </c>
      <c r="R2530">
        <v>0</v>
      </c>
      <c r="S2530">
        <v>476.61</v>
      </c>
      <c r="T2530" t="s">
        <v>8399</v>
      </c>
    </row>
    <row r="2531" spans="1:20" x14ac:dyDescent="0.25">
      <c r="A2531" s="1" t="str">
        <f>HYPERLINK("https://vegkart.atlas.vegvesen.no/#/@376785.9,7320586.7,18/hva:hva%5B0%5D%5Bfilter%5D%5B0%5D%5Boperator%5D=%21%3D&amp;hva%5B0%5D%5Bfilter%5D%5B0%5D%5Btype_id%5D=4723&amp;hva%5B0%5D%5Bfilter%5D%5B0%5D%5Bverdi%5D=&amp;hva%5B0%5D%5Bid%5D=15/når:2024-11-26", "Vegkart")</f>
        <v>Vegkart</v>
      </c>
      <c r="B2531">
        <v>1021221617</v>
      </c>
      <c r="C2531">
        <v>15</v>
      </c>
      <c r="D2531" t="s">
        <v>5814</v>
      </c>
      <c r="E2531">
        <v>4723</v>
      </c>
      <c r="F2531" t="s">
        <v>23479</v>
      </c>
      <c r="G2531">
        <v>1</v>
      </c>
      <c r="H2531" t="s">
        <v>8388</v>
      </c>
      <c r="J2531" t="s">
        <v>8389</v>
      </c>
      <c r="K2531" t="s">
        <v>53</v>
      </c>
      <c r="L2531" t="s">
        <v>33</v>
      </c>
      <c r="M2531" t="s">
        <v>8390</v>
      </c>
      <c r="N2531" t="s">
        <v>8400</v>
      </c>
      <c r="O2531" t="s">
        <v>8401</v>
      </c>
      <c r="P2531" s="2" t="s">
        <v>37</v>
      </c>
      <c r="Q2531" t="s">
        <v>1208</v>
      </c>
      <c r="R2531">
        <v>0</v>
      </c>
      <c r="S2531">
        <v>131.72999999999999</v>
      </c>
      <c r="T2531" t="s">
        <v>8402</v>
      </c>
    </row>
    <row r="2532" spans="1:20" x14ac:dyDescent="0.25">
      <c r="A2532" s="1" t="str">
        <f>HYPERLINK("https://vegkart.atlas.vegvesen.no/#/@376530.9,7320415.6,18/hva:hva%5B0%5D%5Bfilter%5D%5B0%5D%5Boperator%5D=%21%3D&amp;hva%5B0%5D%5Bfilter%5D%5B0%5D%5Btype_id%5D=4723&amp;hva%5B0%5D%5Bfilter%5D%5B0%5D%5Bverdi%5D=&amp;hva%5B0%5D%5Bid%5D=15/når:2024-11-26", "Vegkart")</f>
        <v>Vegkart</v>
      </c>
      <c r="B2532">
        <v>1021221618</v>
      </c>
      <c r="C2532">
        <v>15</v>
      </c>
      <c r="D2532" t="s">
        <v>5814</v>
      </c>
      <c r="E2532">
        <v>4723</v>
      </c>
      <c r="F2532" t="s">
        <v>23479</v>
      </c>
      <c r="G2532">
        <v>1</v>
      </c>
      <c r="H2532" t="s">
        <v>8388</v>
      </c>
      <c r="J2532" t="s">
        <v>8389</v>
      </c>
      <c r="K2532" t="s">
        <v>53</v>
      </c>
      <c r="L2532" t="s">
        <v>33</v>
      </c>
      <c r="M2532" t="s">
        <v>8390</v>
      </c>
      <c r="N2532" t="s">
        <v>8403</v>
      </c>
      <c r="O2532" t="s">
        <v>8404</v>
      </c>
      <c r="P2532" s="2" t="s">
        <v>37</v>
      </c>
      <c r="Q2532" t="s">
        <v>1208</v>
      </c>
      <c r="R2532">
        <v>0</v>
      </c>
      <c r="S2532">
        <v>53.63</v>
      </c>
      <c r="T2532" t="s">
        <v>8405</v>
      </c>
    </row>
    <row r="2533" spans="1:20" x14ac:dyDescent="0.25">
      <c r="A2533" s="1" t="str">
        <f>HYPERLINK("https://vegkart.atlas.vegvesen.no/#/@376838.8,7320651.1,18/hva:hva%5B0%5D%5Bfilter%5D%5B0%5D%5Boperator%5D=%21%3D&amp;hva%5B0%5D%5Bfilter%5D%5B0%5D%5Btype_id%5D=4723&amp;hva%5B0%5D%5Bfilter%5D%5B0%5D%5Bverdi%5D=&amp;hva%5B0%5D%5Bid%5D=15/når:2024-11-26", "Vegkart")</f>
        <v>Vegkart</v>
      </c>
      <c r="B2533">
        <v>1021221619</v>
      </c>
      <c r="C2533">
        <v>15</v>
      </c>
      <c r="D2533" t="s">
        <v>5814</v>
      </c>
      <c r="E2533">
        <v>4723</v>
      </c>
      <c r="F2533" t="s">
        <v>23479</v>
      </c>
      <c r="G2533">
        <v>1</v>
      </c>
      <c r="H2533" t="s">
        <v>8388</v>
      </c>
      <c r="J2533" t="s">
        <v>8389</v>
      </c>
      <c r="K2533" t="s">
        <v>53</v>
      </c>
      <c r="L2533" t="s">
        <v>33</v>
      </c>
      <c r="M2533" t="s">
        <v>8390</v>
      </c>
      <c r="N2533" t="s">
        <v>8406</v>
      </c>
      <c r="O2533" t="s">
        <v>8407</v>
      </c>
      <c r="P2533" s="2" t="s">
        <v>37</v>
      </c>
      <c r="Q2533" t="s">
        <v>1208</v>
      </c>
      <c r="R2533">
        <v>0</v>
      </c>
      <c r="S2533">
        <v>219.41</v>
      </c>
      <c r="T2533" t="s">
        <v>8408</v>
      </c>
    </row>
    <row r="2534" spans="1:20" x14ac:dyDescent="0.25">
      <c r="A2534" s="1" t="str">
        <f>HYPERLINK("https://vegkart.atlas.vegvesen.no/#/@376903.7,7320682.2,18/hva:hva%5B0%5D%5Bfilter%5D%5B0%5D%5Boperator%5D=%21%3D&amp;hva%5B0%5D%5Bfilter%5D%5B0%5D%5Btype_id%5D=4723&amp;hva%5B0%5D%5Bfilter%5D%5B0%5D%5Bverdi%5D=&amp;hva%5B0%5D%5Bid%5D=15/når:2024-11-26", "Vegkart")</f>
        <v>Vegkart</v>
      </c>
      <c r="B2534">
        <v>1021221620</v>
      </c>
      <c r="C2534">
        <v>15</v>
      </c>
      <c r="D2534" t="s">
        <v>5814</v>
      </c>
      <c r="E2534">
        <v>4723</v>
      </c>
      <c r="F2534" t="s">
        <v>23479</v>
      </c>
      <c r="G2534">
        <v>1</v>
      </c>
      <c r="H2534" t="s">
        <v>8388</v>
      </c>
      <c r="J2534" t="s">
        <v>8389</v>
      </c>
      <c r="K2534" t="s">
        <v>53</v>
      </c>
      <c r="L2534" t="s">
        <v>33</v>
      </c>
      <c r="M2534" t="s">
        <v>8390</v>
      </c>
      <c r="N2534" t="s">
        <v>8409</v>
      </c>
      <c r="O2534" t="s">
        <v>8410</v>
      </c>
      <c r="P2534" s="2" t="s">
        <v>37</v>
      </c>
      <c r="Q2534" t="s">
        <v>1208</v>
      </c>
      <c r="R2534">
        <v>0</v>
      </c>
      <c r="S2534">
        <v>19.52</v>
      </c>
      <c r="T2534" t="s">
        <v>8411</v>
      </c>
    </row>
    <row r="2535" spans="1:20" x14ac:dyDescent="0.25">
      <c r="A2535" s="1" t="str">
        <f>HYPERLINK("https://vegkart.atlas.vegvesen.no/#/@376557.0,7320410.6,18/hva:hva%5B0%5D%5Bfilter%5D%5B0%5D%5Boperator%5D=%21%3D&amp;hva%5B0%5D%5Bfilter%5D%5B0%5D%5Btype_id%5D=4723&amp;hva%5B0%5D%5Bfilter%5D%5B0%5D%5Bverdi%5D=&amp;hva%5B0%5D%5Bid%5D=15/når:2024-11-26", "Vegkart")</f>
        <v>Vegkart</v>
      </c>
      <c r="B2535">
        <v>1021221621</v>
      </c>
      <c r="C2535">
        <v>15</v>
      </c>
      <c r="D2535" t="s">
        <v>5814</v>
      </c>
      <c r="E2535">
        <v>4723</v>
      </c>
      <c r="F2535" t="s">
        <v>23479</v>
      </c>
      <c r="G2535">
        <v>1</v>
      </c>
      <c r="H2535" t="s">
        <v>8388</v>
      </c>
      <c r="J2535" t="s">
        <v>8389</v>
      </c>
      <c r="K2535" t="s">
        <v>53</v>
      </c>
      <c r="L2535" t="s">
        <v>33</v>
      </c>
      <c r="M2535" t="s">
        <v>8390</v>
      </c>
      <c r="N2535" t="s">
        <v>8412</v>
      </c>
      <c r="O2535" t="s">
        <v>8413</v>
      </c>
      <c r="P2535" s="2" t="s">
        <v>37</v>
      </c>
      <c r="Q2535" t="s">
        <v>1208</v>
      </c>
      <c r="R2535">
        <v>0</v>
      </c>
      <c r="S2535">
        <v>163.52000000000001</v>
      </c>
      <c r="T2535" t="s">
        <v>8414</v>
      </c>
    </row>
    <row r="2536" spans="1:20" x14ac:dyDescent="0.25">
      <c r="A2536" s="1" t="str">
        <f>HYPERLINK("https://vegkart.atlas.vegvesen.no/#/@376623.6,7320487.2,18/hva:hva%5B0%5D%5Bfilter%5D%5B0%5D%5Boperator%5D=%21%3D&amp;hva%5B0%5D%5Bfilter%5D%5B0%5D%5Btype_id%5D=4723&amp;hva%5B0%5D%5Bfilter%5D%5B0%5D%5Bverdi%5D=&amp;hva%5B0%5D%5Bid%5D=15/når:2024-11-26", "Vegkart")</f>
        <v>Vegkart</v>
      </c>
      <c r="B2536">
        <v>1021221622</v>
      </c>
      <c r="C2536">
        <v>15</v>
      </c>
      <c r="D2536" t="s">
        <v>5814</v>
      </c>
      <c r="E2536">
        <v>4723</v>
      </c>
      <c r="F2536" t="s">
        <v>23479</v>
      </c>
      <c r="G2536">
        <v>1</v>
      </c>
      <c r="H2536" t="s">
        <v>8388</v>
      </c>
      <c r="J2536" t="s">
        <v>8389</v>
      </c>
      <c r="K2536" t="s">
        <v>53</v>
      </c>
      <c r="L2536" t="s">
        <v>33</v>
      </c>
      <c r="M2536" t="s">
        <v>8390</v>
      </c>
      <c r="N2536" t="s">
        <v>8415</v>
      </c>
      <c r="O2536" t="s">
        <v>8416</v>
      </c>
      <c r="P2536" s="2" t="s">
        <v>37</v>
      </c>
      <c r="Q2536" t="s">
        <v>1208</v>
      </c>
      <c r="R2536">
        <v>0</v>
      </c>
      <c r="S2536">
        <v>370.26</v>
      </c>
      <c r="T2536" t="s">
        <v>8417</v>
      </c>
    </row>
    <row r="2537" spans="1:20" x14ac:dyDescent="0.25">
      <c r="A2537" s="1" t="str">
        <f>HYPERLINK("https://vegkart.atlas.vegvesen.no/#/@376550.9,7320449.9,18/hva:hva%5B0%5D%5Bfilter%5D%5B0%5D%5Boperator%5D=%21%3D&amp;hva%5B0%5D%5Bfilter%5D%5B0%5D%5Btype_id%5D=4723&amp;hva%5B0%5D%5Bfilter%5D%5B0%5D%5Bverdi%5D=&amp;hva%5B0%5D%5Bid%5D=15/når:2024-11-26", "Vegkart")</f>
        <v>Vegkart</v>
      </c>
      <c r="B2537">
        <v>1021221623</v>
      </c>
      <c r="C2537">
        <v>15</v>
      </c>
      <c r="D2537" t="s">
        <v>5814</v>
      </c>
      <c r="E2537">
        <v>4723</v>
      </c>
      <c r="F2537" t="s">
        <v>23479</v>
      </c>
      <c r="G2537">
        <v>1</v>
      </c>
      <c r="H2537" t="s">
        <v>8388</v>
      </c>
      <c r="J2537" t="s">
        <v>8389</v>
      </c>
      <c r="K2537" t="s">
        <v>53</v>
      </c>
      <c r="L2537" t="s">
        <v>33</v>
      </c>
      <c r="M2537" t="s">
        <v>8390</v>
      </c>
      <c r="N2537" t="s">
        <v>8418</v>
      </c>
      <c r="O2537" t="s">
        <v>8419</v>
      </c>
      <c r="P2537" s="2" t="s">
        <v>37</v>
      </c>
      <c r="Q2537" t="s">
        <v>1208</v>
      </c>
      <c r="R2537">
        <v>0</v>
      </c>
      <c r="S2537">
        <v>112.8</v>
      </c>
      <c r="T2537" t="s">
        <v>8420</v>
      </c>
    </row>
    <row r="2538" spans="1:20" x14ac:dyDescent="0.25">
      <c r="A2538" s="1" t="str">
        <f>HYPERLINK("https://vegkart.atlas.vegvesen.no/#/@376546.4,7320462.0,18/hva:hva%5B0%5D%5Bfilter%5D%5B0%5D%5Boperator%5D=%21%3D&amp;hva%5B0%5D%5Bfilter%5D%5B0%5D%5Btype_id%5D=4723&amp;hva%5B0%5D%5Bfilter%5D%5B0%5D%5Bverdi%5D=&amp;hva%5B0%5D%5Bid%5D=15/når:2024-11-26", "Vegkart")</f>
        <v>Vegkart</v>
      </c>
      <c r="B2538">
        <v>1021221624</v>
      </c>
      <c r="C2538">
        <v>15</v>
      </c>
      <c r="D2538" t="s">
        <v>5814</v>
      </c>
      <c r="E2538">
        <v>4723</v>
      </c>
      <c r="F2538" t="s">
        <v>23479</v>
      </c>
      <c r="G2538">
        <v>1</v>
      </c>
      <c r="H2538" t="s">
        <v>8388</v>
      </c>
      <c r="J2538" t="s">
        <v>8389</v>
      </c>
      <c r="K2538" t="s">
        <v>53</v>
      </c>
      <c r="L2538" t="s">
        <v>370</v>
      </c>
      <c r="M2538" t="s">
        <v>8421</v>
      </c>
      <c r="N2538" t="s">
        <v>8422</v>
      </c>
      <c r="O2538" t="s">
        <v>8423</v>
      </c>
      <c r="P2538" s="2" t="s">
        <v>37</v>
      </c>
      <c r="Q2538" t="s">
        <v>1208</v>
      </c>
      <c r="R2538">
        <v>0</v>
      </c>
      <c r="S2538">
        <v>151.87</v>
      </c>
      <c r="T2538" t="s">
        <v>8424</v>
      </c>
    </row>
    <row r="2539" spans="1:20" x14ac:dyDescent="0.25">
      <c r="A2539" s="1" t="str">
        <f>HYPERLINK("https://vegkart.atlas.vegvesen.no/#/@376910.8,7320709.8,18/hva:hva%5B0%5D%5Bfilter%5D%5B0%5D%5Boperator%5D=%21%3D&amp;hva%5B0%5D%5Bfilter%5D%5B0%5D%5Btype_id%5D=4723&amp;hva%5B0%5D%5Bfilter%5D%5B0%5D%5Bverdi%5D=&amp;hva%5B0%5D%5Bid%5D=15/når:2024-11-26", "Vegkart")</f>
        <v>Vegkart</v>
      </c>
      <c r="B2539">
        <v>1021221625</v>
      </c>
      <c r="C2539">
        <v>15</v>
      </c>
      <c r="D2539" t="s">
        <v>5814</v>
      </c>
      <c r="E2539">
        <v>4723</v>
      </c>
      <c r="F2539" t="s">
        <v>23479</v>
      </c>
      <c r="G2539">
        <v>1</v>
      </c>
      <c r="H2539" t="s">
        <v>8388</v>
      </c>
      <c r="J2539" t="s">
        <v>8389</v>
      </c>
      <c r="K2539" t="s">
        <v>53</v>
      </c>
      <c r="L2539" t="s">
        <v>33</v>
      </c>
      <c r="M2539" t="s">
        <v>8390</v>
      </c>
      <c r="N2539" t="s">
        <v>8425</v>
      </c>
      <c r="O2539" t="s">
        <v>8426</v>
      </c>
      <c r="P2539" s="2" t="s">
        <v>37</v>
      </c>
      <c r="Q2539" t="s">
        <v>1208</v>
      </c>
      <c r="R2539">
        <v>0</v>
      </c>
      <c r="S2539">
        <v>103.45</v>
      </c>
      <c r="T2539" t="s">
        <v>8427</v>
      </c>
    </row>
    <row r="2540" spans="1:20" x14ac:dyDescent="0.25">
      <c r="A2540" s="1" t="str">
        <f>HYPERLINK("https://vegkart.atlas.vegvesen.no/#/@376516.4,7320379.6,18/hva:hva%5B0%5D%5Bfilter%5D%5B0%5D%5Boperator%5D=%21%3D&amp;hva%5B0%5D%5Bfilter%5D%5B0%5D%5Btype_id%5D=4723&amp;hva%5B0%5D%5Bfilter%5D%5B0%5D%5Bverdi%5D=&amp;hva%5B0%5D%5Bid%5D=15/når:2024-11-26", "Vegkart")</f>
        <v>Vegkart</v>
      </c>
      <c r="B2540">
        <v>1021221626</v>
      </c>
      <c r="C2540">
        <v>15</v>
      </c>
      <c r="D2540" t="s">
        <v>5814</v>
      </c>
      <c r="E2540">
        <v>4723</v>
      </c>
      <c r="F2540" t="s">
        <v>23479</v>
      </c>
      <c r="G2540">
        <v>1</v>
      </c>
      <c r="H2540" t="s">
        <v>8388</v>
      </c>
      <c r="J2540" t="s">
        <v>8389</v>
      </c>
      <c r="K2540" t="s">
        <v>53</v>
      </c>
      <c r="L2540" t="s">
        <v>33</v>
      </c>
      <c r="M2540" t="s">
        <v>8390</v>
      </c>
      <c r="N2540" t="s">
        <v>8428</v>
      </c>
      <c r="O2540" t="s">
        <v>8429</v>
      </c>
      <c r="P2540" s="2" t="s">
        <v>37</v>
      </c>
      <c r="Q2540" t="s">
        <v>1208</v>
      </c>
      <c r="R2540">
        <v>0</v>
      </c>
      <c r="S2540">
        <v>98.43</v>
      </c>
      <c r="T2540" t="s">
        <v>8430</v>
      </c>
    </row>
    <row r="2541" spans="1:20" x14ac:dyDescent="0.25">
      <c r="A2541" s="1" t="str">
        <f>HYPERLINK("https://vegkart.atlas.vegvesen.no/#/@376763.3,7320528.0,18/hva:hva%5B0%5D%5Bfilter%5D%5B0%5D%5Boperator%5D=%21%3D&amp;hva%5B0%5D%5Bfilter%5D%5B0%5D%5Btype_id%5D=4723&amp;hva%5B0%5D%5Bfilter%5D%5B0%5D%5Bverdi%5D=&amp;hva%5B0%5D%5Bid%5D=15/når:2024-11-26", "Vegkart")</f>
        <v>Vegkart</v>
      </c>
      <c r="B2541">
        <v>1021221627</v>
      </c>
      <c r="C2541">
        <v>15</v>
      </c>
      <c r="D2541" t="s">
        <v>5814</v>
      </c>
      <c r="E2541">
        <v>4723</v>
      </c>
      <c r="F2541" t="s">
        <v>23479</v>
      </c>
      <c r="G2541">
        <v>1</v>
      </c>
      <c r="H2541" t="s">
        <v>8388</v>
      </c>
      <c r="J2541" t="s">
        <v>8389</v>
      </c>
      <c r="K2541" t="s">
        <v>53</v>
      </c>
      <c r="L2541" t="s">
        <v>33</v>
      </c>
      <c r="M2541" t="s">
        <v>8390</v>
      </c>
      <c r="N2541" t="s">
        <v>8431</v>
      </c>
      <c r="O2541" t="s">
        <v>8432</v>
      </c>
      <c r="P2541" s="2" t="s">
        <v>37</v>
      </c>
      <c r="Q2541" t="s">
        <v>1208</v>
      </c>
      <c r="R2541">
        <v>0</v>
      </c>
      <c r="S2541">
        <v>109.67</v>
      </c>
      <c r="T2541" t="s">
        <v>8433</v>
      </c>
    </row>
    <row r="2542" spans="1:20" x14ac:dyDescent="0.25">
      <c r="A2542" s="1" t="str">
        <f>HYPERLINK("https://vegkart.atlas.vegvesen.no/#/@-37040.8,6736842.3,18/hva:hva%5B0%5D%5Bfilter%5D%5B0%5D%5Boperator%5D=%21%3D&amp;hva%5B0%5D%5Bfilter%5D%5B0%5D%5Btype_id%5D=4723&amp;hva%5B0%5D%5Bfilter%5D%5B0%5D%5Bverdi%5D=&amp;hva%5B0%5D%5Bid%5D=15/når:2025-02-25", "Vegkart")</f>
        <v>Vegkart</v>
      </c>
      <c r="B2542">
        <v>1022261058</v>
      </c>
      <c r="C2542">
        <v>15</v>
      </c>
      <c r="D2542" t="s">
        <v>5814</v>
      </c>
      <c r="E2542">
        <v>4723</v>
      </c>
      <c r="F2542" t="s">
        <v>23479</v>
      </c>
      <c r="G2542">
        <v>1</v>
      </c>
      <c r="H2542" t="s">
        <v>1771</v>
      </c>
      <c r="J2542" t="s">
        <v>8389</v>
      </c>
      <c r="K2542" t="s">
        <v>21</v>
      </c>
      <c r="L2542" t="s">
        <v>370</v>
      </c>
      <c r="M2542" t="s">
        <v>2912</v>
      </c>
      <c r="N2542" t="s">
        <v>2913</v>
      </c>
      <c r="O2542" t="s">
        <v>8434</v>
      </c>
      <c r="P2542" s="2" t="s">
        <v>37</v>
      </c>
      <c r="Q2542" t="s">
        <v>1208</v>
      </c>
      <c r="R2542">
        <v>1.66</v>
      </c>
      <c r="S2542">
        <v>180.52</v>
      </c>
      <c r="T2542" t="s">
        <v>8435</v>
      </c>
    </row>
    <row r="2543" spans="1:20" x14ac:dyDescent="0.25">
      <c r="A2543" s="1" t="str">
        <f>HYPERLINK("https://vegkart.atlas.vegvesen.no/#/@-11352.3,6887453.6,18/hva:hva%5B0%5D%5Bfilter%5D%5B0%5D%5Boperator%5D=%21%3D&amp;hva%5B0%5D%5Bfilter%5D%5B0%5D%5Btype_id%5D=4723&amp;hva%5B0%5D%5Bfilter%5D%5B0%5D%5Bverdi%5D=&amp;hva%5B0%5D%5Bid%5D=15/når:2025-03-19", "Vegkart")</f>
        <v>Vegkart</v>
      </c>
      <c r="B2543">
        <v>1022334889</v>
      </c>
      <c r="C2543">
        <v>15</v>
      </c>
      <c r="D2543" t="s">
        <v>5814</v>
      </c>
      <c r="E2543">
        <v>4723</v>
      </c>
      <c r="F2543" t="s">
        <v>23479</v>
      </c>
      <c r="G2543">
        <v>1</v>
      </c>
      <c r="H2543" t="s">
        <v>593</v>
      </c>
      <c r="J2543" t="s">
        <v>8436</v>
      </c>
      <c r="K2543" t="s">
        <v>21</v>
      </c>
      <c r="L2543" t="s">
        <v>22</v>
      </c>
      <c r="M2543" t="s">
        <v>705</v>
      </c>
      <c r="N2543" t="s">
        <v>8437</v>
      </c>
      <c r="O2543" t="s">
        <v>8438</v>
      </c>
      <c r="P2543" s="2" t="s">
        <v>37</v>
      </c>
      <c r="Q2543" t="s">
        <v>1208</v>
      </c>
      <c r="R2543">
        <v>2.17</v>
      </c>
      <c r="S2543">
        <v>91.67</v>
      </c>
      <c r="T2543" t="s">
        <v>8439</v>
      </c>
    </row>
    <row r="2544" spans="1:20" x14ac:dyDescent="0.25">
      <c r="A2544" s="1" t="str">
        <f>HYPERLINK("https://vegkart.atlas.vegvesen.no/#/@-11356.7,6887496.9,18/hva:hva%5B0%5D%5Bfilter%5D%5B0%5D%5Boperator%5D=%21%3D&amp;hva%5B0%5D%5Bfilter%5D%5B0%5D%5Btype_id%5D=4723&amp;hva%5B0%5D%5Bfilter%5D%5B0%5D%5Bverdi%5D=&amp;hva%5B0%5D%5Bid%5D=15/når:2025-03-19", "Vegkart")</f>
        <v>Vegkart</v>
      </c>
      <c r="B2544">
        <v>1022335302</v>
      </c>
      <c r="C2544">
        <v>15</v>
      </c>
      <c r="D2544" t="s">
        <v>5814</v>
      </c>
      <c r="E2544">
        <v>4723</v>
      </c>
      <c r="F2544" t="s">
        <v>23479</v>
      </c>
      <c r="G2544">
        <v>1</v>
      </c>
      <c r="H2544" t="s">
        <v>593</v>
      </c>
      <c r="J2544" t="s">
        <v>8436</v>
      </c>
      <c r="K2544" t="s">
        <v>21</v>
      </c>
      <c r="L2544" t="s">
        <v>22</v>
      </c>
      <c r="M2544" t="s">
        <v>705</v>
      </c>
      <c r="N2544" t="s">
        <v>8440</v>
      </c>
      <c r="O2544" t="s">
        <v>8441</v>
      </c>
      <c r="P2544" s="2" t="s">
        <v>37</v>
      </c>
      <c r="Q2544" t="s">
        <v>1208</v>
      </c>
      <c r="R2544">
        <v>3.46</v>
      </c>
      <c r="S2544">
        <v>165.61</v>
      </c>
      <c r="T2544" t="s">
        <v>8442</v>
      </c>
    </row>
    <row r="2545" spans="1:20" x14ac:dyDescent="0.25">
      <c r="A2545" s="1" t="str">
        <f>HYPERLINK("https://vegkart.atlas.vegvesen.no/#/@-12712.3,6886335.3,18/hva:hva%5B0%5D%5Bfilter%5D%5B0%5D%5Boperator%5D=%21%3D&amp;hva%5B0%5D%5Bfilter%5D%5B0%5D%5Btype_id%5D=4723&amp;hva%5B0%5D%5Bfilter%5D%5B0%5D%5Bverdi%5D=&amp;hva%5B0%5D%5Bid%5D=15/når:2025-03-24", "Vegkart")</f>
        <v>Vegkart</v>
      </c>
      <c r="B2545">
        <v>1022403353</v>
      </c>
      <c r="C2545">
        <v>15</v>
      </c>
      <c r="D2545" t="s">
        <v>5814</v>
      </c>
      <c r="E2545">
        <v>4723</v>
      </c>
      <c r="F2545" t="s">
        <v>23479</v>
      </c>
      <c r="G2545">
        <v>1</v>
      </c>
      <c r="H2545" t="s">
        <v>5746</v>
      </c>
      <c r="J2545" t="s">
        <v>8436</v>
      </c>
      <c r="K2545" t="s">
        <v>21</v>
      </c>
      <c r="L2545" t="s">
        <v>22</v>
      </c>
      <c r="M2545" t="s">
        <v>8443</v>
      </c>
      <c r="N2545" t="s">
        <v>8444</v>
      </c>
      <c r="O2545" t="s">
        <v>8445</v>
      </c>
      <c r="P2545" s="2" t="s">
        <v>37</v>
      </c>
      <c r="Q2545" t="s">
        <v>1208</v>
      </c>
      <c r="R2545">
        <v>3.52</v>
      </c>
      <c r="S2545">
        <v>126.51</v>
      </c>
      <c r="T2545" t="s">
        <v>8446</v>
      </c>
    </row>
    <row r="2546" spans="1:20" x14ac:dyDescent="0.25">
      <c r="A2546" s="1" t="str">
        <f>HYPERLINK("https://vegkart.atlas.vegvesen.no/#/@-11168.6,6886532.9,18/hva:hva%5B0%5D%5Bfilter%5D%5B0%5D%5Boperator%5D=%21%3D&amp;hva%5B0%5D%5Bfilter%5D%5B0%5D%5Btype_id%5D=4723&amp;hva%5B0%5D%5Bfilter%5D%5B0%5D%5Bverdi%5D=&amp;hva%5B0%5D%5Bid%5D=15/når:2025-03-24", "Vegkart")</f>
        <v>Vegkart</v>
      </c>
      <c r="B2546">
        <v>1022403370</v>
      </c>
      <c r="C2546">
        <v>15</v>
      </c>
      <c r="D2546" t="s">
        <v>5814</v>
      </c>
      <c r="E2546">
        <v>4723</v>
      </c>
      <c r="F2546" t="s">
        <v>23479</v>
      </c>
      <c r="G2546">
        <v>1</v>
      </c>
      <c r="H2546" t="s">
        <v>5746</v>
      </c>
      <c r="J2546" t="s">
        <v>8436</v>
      </c>
      <c r="K2546" t="s">
        <v>21</v>
      </c>
      <c r="L2546" t="s">
        <v>22</v>
      </c>
      <c r="M2546" t="s">
        <v>8447</v>
      </c>
      <c r="N2546" t="s">
        <v>8448</v>
      </c>
      <c r="O2546" t="s">
        <v>8449</v>
      </c>
      <c r="P2546" s="2" t="s">
        <v>37</v>
      </c>
      <c r="Q2546" t="s">
        <v>1208</v>
      </c>
      <c r="R2546">
        <v>1.84</v>
      </c>
      <c r="S2546">
        <v>53.38</v>
      </c>
      <c r="T2546" t="s">
        <v>8450</v>
      </c>
    </row>
    <row r="2547" spans="1:20" x14ac:dyDescent="0.25">
      <c r="A2547" s="1" t="str">
        <f>HYPERLINK("https://vegkart.atlas.vegvesen.no/#/@-11496.6,6886565.2,18/hva:hva%5B0%5D%5Bfilter%5D%5B0%5D%5Boperator%5D=%21%3D&amp;hva%5B0%5D%5Bfilter%5D%5B0%5D%5Btype_id%5D=4723&amp;hva%5B0%5D%5Bfilter%5D%5B0%5D%5Bverdi%5D=&amp;hva%5B0%5D%5Bid%5D=15/når:2025-03-24", "Vegkart")</f>
        <v>Vegkart</v>
      </c>
      <c r="B2547">
        <v>1022403373</v>
      </c>
      <c r="C2547">
        <v>15</v>
      </c>
      <c r="D2547" t="s">
        <v>5814</v>
      </c>
      <c r="E2547">
        <v>4723</v>
      </c>
      <c r="F2547" t="s">
        <v>23479</v>
      </c>
      <c r="G2547">
        <v>1</v>
      </c>
      <c r="H2547" t="s">
        <v>5746</v>
      </c>
      <c r="J2547" t="s">
        <v>8436</v>
      </c>
      <c r="K2547" t="s">
        <v>21</v>
      </c>
      <c r="L2547" t="s">
        <v>22</v>
      </c>
      <c r="M2547" t="s">
        <v>8451</v>
      </c>
      <c r="N2547" t="s">
        <v>8452</v>
      </c>
      <c r="O2547" t="s">
        <v>8453</v>
      </c>
      <c r="P2547" s="2" t="s">
        <v>37</v>
      </c>
      <c r="Q2547" t="s">
        <v>1208</v>
      </c>
      <c r="R2547">
        <v>1.81</v>
      </c>
      <c r="S2547">
        <v>111.29</v>
      </c>
      <c r="T2547" t="s">
        <v>8454</v>
      </c>
    </row>
    <row r="2548" spans="1:20" x14ac:dyDescent="0.25">
      <c r="A2548" s="1" t="str">
        <f>HYPERLINK("https://vegkart.atlas.vegvesen.no/#/@-11835.6,6887638.6,18/hva:hva%5B0%5D%5Bfilter%5D%5B0%5D%5Boperator%5D=%21%3D&amp;hva%5B0%5D%5Bfilter%5D%5B0%5D%5Btype_id%5D=4723&amp;hva%5B0%5D%5Bfilter%5D%5B0%5D%5Bverdi%5D=&amp;hva%5B0%5D%5Bid%5D=15/når:2025-03-24", "Vegkart")</f>
        <v>Vegkart</v>
      </c>
      <c r="B2548">
        <v>1022404422</v>
      </c>
      <c r="C2548">
        <v>15</v>
      </c>
      <c r="D2548" t="s">
        <v>5814</v>
      </c>
      <c r="E2548">
        <v>4723</v>
      </c>
      <c r="F2548" t="s">
        <v>23479</v>
      </c>
      <c r="G2548">
        <v>1</v>
      </c>
      <c r="H2548" t="s">
        <v>5746</v>
      </c>
      <c r="J2548" t="s">
        <v>8436</v>
      </c>
      <c r="K2548" t="s">
        <v>21</v>
      </c>
      <c r="L2548" t="s">
        <v>370</v>
      </c>
      <c r="M2548" t="s">
        <v>8455</v>
      </c>
      <c r="N2548" t="s">
        <v>8456</v>
      </c>
      <c r="O2548" t="s">
        <v>8457</v>
      </c>
      <c r="P2548" s="2" t="s">
        <v>37</v>
      </c>
      <c r="Q2548" t="s">
        <v>1208</v>
      </c>
      <c r="R2548">
        <v>2.9</v>
      </c>
      <c r="S2548">
        <v>42.88</v>
      </c>
      <c r="T2548" t="s">
        <v>8458</v>
      </c>
    </row>
    <row r="2549" spans="1:20" x14ac:dyDescent="0.25">
      <c r="A2549" s="1" t="str">
        <f>HYPERLINK("https://vegkart.atlas.vegvesen.no/#/@-11826.4,6887655.4,18/hva:hva%5B0%5D%5Bfilter%5D%5B0%5D%5Boperator%5D=%21%3D&amp;hva%5B0%5D%5Bfilter%5D%5B0%5D%5Btype_id%5D=4723&amp;hva%5B0%5D%5Bfilter%5D%5B0%5D%5Bverdi%5D=&amp;hva%5B0%5D%5Bid%5D=15/når:2025-03-24", "Vegkart")</f>
        <v>Vegkart</v>
      </c>
      <c r="B2549">
        <v>1022404423</v>
      </c>
      <c r="C2549">
        <v>15</v>
      </c>
      <c r="D2549" t="s">
        <v>5814</v>
      </c>
      <c r="E2549">
        <v>4723</v>
      </c>
      <c r="F2549" t="s">
        <v>23479</v>
      </c>
      <c r="G2549">
        <v>1</v>
      </c>
      <c r="H2549" t="s">
        <v>5746</v>
      </c>
      <c r="J2549" t="s">
        <v>8436</v>
      </c>
      <c r="K2549" t="s">
        <v>21</v>
      </c>
      <c r="L2549" t="s">
        <v>370</v>
      </c>
      <c r="M2549" t="s">
        <v>8455</v>
      </c>
      <c r="N2549" t="s">
        <v>8459</v>
      </c>
      <c r="O2549" t="s">
        <v>8460</v>
      </c>
      <c r="P2549" s="2" t="s">
        <v>37</v>
      </c>
      <c r="Q2549" t="s">
        <v>1208</v>
      </c>
      <c r="R2549">
        <v>4.07</v>
      </c>
      <c r="S2549">
        <v>118.35</v>
      </c>
      <c r="T2549" t="s">
        <v>8461</v>
      </c>
    </row>
    <row r="2550" spans="1:20" x14ac:dyDescent="0.25">
      <c r="A2550" s="1" t="str">
        <f>HYPERLINK("https://vegkart.atlas.vegvesen.no/#/@-11866.4,6887646.5,18/hva:hva%5B0%5D%5Bfilter%5D%5B0%5D%5Boperator%5D=%21%3D&amp;hva%5B0%5D%5Bfilter%5D%5B0%5D%5Btype_id%5D=4723&amp;hva%5B0%5D%5Bfilter%5D%5B0%5D%5Bverdi%5D=&amp;hva%5B0%5D%5Bid%5D=15/når:2025-03-24", "Vegkart")</f>
        <v>Vegkart</v>
      </c>
      <c r="B2550">
        <v>1022405442</v>
      </c>
      <c r="C2550">
        <v>15</v>
      </c>
      <c r="D2550" t="s">
        <v>5814</v>
      </c>
      <c r="E2550">
        <v>4723</v>
      </c>
      <c r="F2550" t="s">
        <v>23479</v>
      </c>
      <c r="G2550">
        <v>1</v>
      </c>
      <c r="H2550" t="s">
        <v>5746</v>
      </c>
      <c r="J2550" t="s">
        <v>8436</v>
      </c>
      <c r="K2550" t="s">
        <v>21</v>
      </c>
      <c r="L2550" t="s">
        <v>370</v>
      </c>
      <c r="M2550" t="s">
        <v>8455</v>
      </c>
      <c r="N2550" t="s">
        <v>8462</v>
      </c>
      <c r="O2550" t="s">
        <v>8463</v>
      </c>
      <c r="P2550" s="2" t="s">
        <v>37</v>
      </c>
      <c r="Q2550" t="s">
        <v>1208</v>
      </c>
      <c r="R2550">
        <v>8.75</v>
      </c>
      <c r="S2550">
        <v>122.06</v>
      </c>
      <c r="T2550" t="s">
        <v>8464</v>
      </c>
    </row>
    <row r="2551" spans="1:20" x14ac:dyDescent="0.25">
      <c r="A2551" s="1" t="str">
        <f>HYPERLINK("https://vegkart.atlas.vegvesen.no/#/@-11573.8,6887667.9,18/hva:hva%5B0%5D%5Bfilter%5D%5B0%5D%5Boperator%5D=%21%3D&amp;hva%5B0%5D%5Bfilter%5D%5B0%5D%5Btype_id%5D=4723&amp;hva%5B0%5D%5Bfilter%5D%5B0%5D%5Bverdi%5D=&amp;hva%5B0%5D%5Bid%5D=15/når:2025-03-24", "Vegkart")</f>
        <v>Vegkart</v>
      </c>
      <c r="B2551">
        <v>1022408966</v>
      </c>
      <c r="C2551">
        <v>15</v>
      </c>
      <c r="D2551" t="s">
        <v>5814</v>
      </c>
      <c r="E2551">
        <v>4723</v>
      </c>
      <c r="F2551" t="s">
        <v>23479</v>
      </c>
      <c r="G2551">
        <v>1</v>
      </c>
      <c r="H2551" t="s">
        <v>5746</v>
      </c>
      <c r="J2551" t="s">
        <v>8436</v>
      </c>
      <c r="K2551" t="s">
        <v>21</v>
      </c>
      <c r="L2551" t="s">
        <v>22</v>
      </c>
      <c r="M2551" t="s">
        <v>8465</v>
      </c>
      <c r="N2551" t="s">
        <v>8466</v>
      </c>
      <c r="O2551" t="s">
        <v>8467</v>
      </c>
      <c r="P2551" s="2" t="s">
        <v>37</v>
      </c>
      <c r="Q2551" t="s">
        <v>1208</v>
      </c>
      <c r="R2551">
        <v>4.41</v>
      </c>
      <c r="S2551">
        <v>75.92</v>
      </c>
      <c r="T2551" t="s">
        <v>8468</v>
      </c>
    </row>
    <row r="2552" spans="1:20" x14ac:dyDescent="0.25">
      <c r="A2552" s="1" t="str">
        <f>HYPERLINK("https://vegkart.atlas.vegvesen.no/#/@-11549.4,6887637.0,18/hva:hva%5B0%5D%5Bfilter%5D%5B0%5D%5Boperator%5D=%21%3D&amp;hva%5B0%5D%5Bfilter%5D%5B0%5D%5Btype_id%5D=4723&amp;hva%5B0%5D%5Bfilter%5D%5B0%5D%5Bverdi%5D=&amp;hva%5B0%5D%5Bid%5D=15/når:2025-03-24", "Vegkart")</f>
        <v>Vegkart</v>
      </c>
      <c r="B2552">
        <v>1022408978</v>
      </c>
      <c r="C2552">
        <v>15</v>
      </c>
      <c r="D2552" t="s">
        <v>5814</v>
      </c>
      <c r="E2552">
        <v>4723</v>
      </c>
      <c r="F2552" t="s">
        <v>23479</v>
      </c>
      <c r="G2552">
        <v>1</v>
      </c>
      <c r="H2552" t="s">
        <v>5746</v>
      </c>
      <c r="J2552" t="s">
        <v>8436</v>
      </c>
      <c r="K2552" t="s">
        <v>21</v>
      </c>
      <c r="L2552" t="s">
        <v>22</v>
      </c>
      <c r="M2552" t="s">
        <v>8465</v>
      </c>
      <c r="N2552" t="s">
        <v>8469</v>
      </c>
      <c r="O2552" t="s">
        <v>8470</v>
      </c>
      <c r="P2552" s="2" t="s">
        <v>37</v>
      </c>
      <c r="Q2552" t="s">
        <v>1208</v>
      </c>
      <c r="R2552">
        <v>5.51</v>
      </c>
      <c r="S2552">
        <v>103.21</v>
      </c>
      <c r="T2552" t="s">
        <v>8471</v>
      </c>
    </row>
    <row r="2553" spans="1:20" x14ac:dyDescent="0.25">
      <c r="A2553" s="1" t="str">
        <f>HYPERLINK("https://vegkart.atlas.vegvesen.no/#/@6274.1,6626140.0,18/hva:hva%5B0%5D%5Bfilter%5D%5B0%5D%5Boperator%5D=%21%3D&amp;hva%5B0%5D%5Bfilter%5D%5B0%5D%5Btype_id%5D=4723&amp;hva%5B0%5D%5Bfilter%5D%5B0%5D%5Bverdi%5D=&amp;hva%5B0%5D%5Bid%5D=15/når:2025-04-24", "Vegkart")</f>
        <v>Vegkart</v>
      </c>
      <c r="B2553">
        <v>1022488644</v>
      </c>
      <c r="C2553">
        <v>15</v>
      </c>
      <c r="D2553" t="s">
        <v>5814</v>
      </c>
      <c r="E2553">
        <v>4723</v>
      </c>
      <c r="F2553" t="s">
        <v>23479</v>
      </c>
      <c r="G2553">
        <v>1</v>
      </c>
      <c r="H2553" t="s">
        <v>8472</v>
      </c>
      <c r="J2553" t="s">
        <v>8436</v>
      </c>
      <c r="K2553" t="s">
        <v>170</v>
      </c>
      <c r="L2553" t="s">
        <v>33</v>
      </c>
      <c r="M2553" t="s">
        <v>8473</v>
      </c>
      <c r="N2553" t="s">
        <v>8474</v>
      </c>
      <c r="O2553" t="s">
        <v>8475</v>
      </c>
      <c r="P2553" s="2" t="s">
        <v>37</v>
      </c>
      <c r="Q2553" t="s">
        <v>1208</v>
      </c>
      <c r="R2553">
        <v>0.33</v>
      </c>
      <c r="S2553">
        <v>30.05</v>
      </c>
      <c r="T2553" t="s">
        <v>8476</v>
      </c>
    </row>
    <row r="2554" spans="1:20" x14ac:dyDescent="0.25">
      <c r="A2554" s="1" t="str">
        <f>HYPERLINK("https://vegkart.atlas.vegvesen.no/#/@6472.3,6626053.9,18/hva:hva%5B0%5D%5Bfilter%5D%5B0%5D%5Boperator%5D=%21%3D&amp;hva%5B0%5D%5Bfilter%5D%5B0%5D%5Btype_id%5D=4723&amp;hva%5B0%5D%5Bfilter%5D%5B0%5D%5Bverdi%5D=&amp;hva%5B0%5D%5Bid%5D=15/når:2025-04-24", "Vegkart")</f>
        <v>Vegkart</v>
      </c>
      <c r="B2554">
        <v>1022488651</v>
      </c>
      <c r="C2554">
        <v>15</v>
      </c>
      <c r="D2554" t="s">
        <v>5814</v>
      </c>
      <c r="E2554">
        <v>4723</v>
      </c>
      <c r="F2554" t="s">
        <v>23479</v>
      </c>
      <c r="G2554">
        <v>1</v>
      </c>
      <c r="H2554" t="s">
        <v>8472</v>
      </c>
      <c r="J2554" t="s">
        <v>8436</v>
      </c>
      <c r="K2554" t="s">
        <v>170</v>
      </c>
      <c r="L2554" t="s">
        <v>33</v>
      </c>
      <c r="M2554" t="s">
        <v>8473</v>
      </c>
      <c r="N2554" t="s">
        <v>8477</v>
      </c>
      <c r="O2554" t="s">
        <v>8478</v>
      </c>
      <c r="P2554" s="2" t="s">
        <v>37</v>
      </c>
      <c r="Q2554" t="s">
        <v>1208</v>
      </c>
      <c r="R2554">
        <v>0.37</v>
      </c>
      <c r="S2554">
        <v>260.85000000000002</v>
      </c>
      <c r="T2554" t="s">
        <v>8479</v>
      </c>
    </row>
    <row r="2555" spans="1:20" x14ac:dyDescent="0.25">
      <c r="A2555" s="1" t="str">
        <f>HYPERLINK("https://vegkart.atlas.vegvesen.no/#/@212691.5,6736340.6,18/hva:hva%5B0%5D%5Bfilter%5D%5B0%5D%5Boperator%5D=%21%3D&amp;hva%5B0%5D%5Bfilter%5D%5B0%5D%5Btype_id%5D=4723&amp;hva%5B0%5D%5Bfilter%5D%5B0%5D%5Bverdi%5D=&amp;hva%5B0%5D%5Bid%5D=15/når:2025-04-28", "Vegkart")</f>
        <v>Vegkart</v>
      </c>
      <c r="B2555">
        <v>1022495037</v>
      </c>
      <c r="C2555">
        <v>15</v>
      </c>
      <c r="D2555" t="s">
        <v>5814</v>
      </c>
      <c r="E2555">
        <v>4723</v>
      </c>
      <c r="F2555" t="s">
        <v>23479</v>
      </c>
      <c r="G2555">
        <v>1</v>
      </c>
      <c r="H2555" t="s">
        <v>96</v>
      </c>
      <c r="J2555" t="s">
        <v>8436</v>
      </c>
      <c r="K2555" t="s">
        <v>136</v>
      </c>
      <c r="L2555" t="s">
        <v>80</v>
      </c>
      <c r="M2555" t="s">
        <v>152</v>
      </c>
      <c r="N2555" t="s">
        <v>8480</v>
      </c>
      <c r="O2555" t="s">
        <v>8481</v>
      </c>
      <c r="P2555" s="2" t="s">
        <v>165</v>
      </c>
      <c r="Q2555" t="s">
        <v>166</v>
      </c>
      <c r="R2555">
        <v>0</v>
      </c>
      <c r="S2555">
        <v>18.12</v>
      </c>
      <c r="T2555" t="s">
        <v>167</v>
      </c>
    </row>
    <row r="2556" spans="1:20" x14ac:dyDescent="0.25">
      <c r="A2556" s="1" t="str">
        <f>HYPERLINK("https://vegkart.atlas.vegvesen.no/#/@254024.1,6800995.9,18/hva:hva%5B0%5D%5Bfilter%5D%5B0%5D%5Boperator%5D=%21%3D&amp;hva%5B0%5D%5Bfilter%5D%5B0%5D%5Btype_id%5D=4723&amp;hva%5B0%5D%5Bfilter%5D%5B0%5D%5Bverdi%5D=&amp;hva%5B0%5D%5Bid%5D=15/når:2025-01-01", "Vegkart")</f>
        <v>Vegkart</v>
      </c>
      <c r="B2556">
        <v>1024473913</v>
      </c>
      <c r="C2556">
        <v>15</v>
      </c>
      <c r="D2556" t="s">
        <v>5814</v>
      </c>
      <c r="E2556">
        <v>4723</v>
      </c>
      <c r="F2556" t="s">
        <v>23479</v>
      </c>
      <c r="G2556">
        <v>1</v>
      </c>
      <c r="H2556" t="s">
        <v>8482</v>
      </c>
      <c r="J2556" t="s">
        <v>8436</v>
      </c>
      <c r="K2556" t="s">
        <v>136</v>
      </c>
      <c r="L2556" t="s">
        <v>33</v>
      </c>
      <c r="M2556" t="s">
        <v>8483</v>
      </c>
      <c r="N2556" t="s">
        <v>8484</v>
      </c>
      <c r="O2556" t="s">
        <v>8485</v>
      </c>
      <c r="P2556" s="2" t="s">
        <v>37</v>
      </c>
      <c r="Q2556" t="s">
        <v>1208</v>
      </c>
      <c r="R2556">
        <v>0</v>
      </c>
      <c r="S2556">
        <v>22.13</v>
      </c>
      <c r="T2556" t="s">
        <v>8486</v>
      </c>
    </row>
    <row r="2557" spans="1:20" x14ac:dyDescent="0.25">
      <c r="A2557" s="1" t="str">
        <f>HYPERLINK("https://vegkart.atlas.vegvesen.no/#/@208608.4,6559268.8,18/hva:hva%5B0%5D%5Bfilter%5D%5B0%5D%5Boperator%5D=%21%3D&amp;hva%5B0%5D%5Bfilter%5D%5B0%5D%5Btype_id%5D=4723&amp;hva%5B0%5D%5Bfilter%5D%5B0%5D%5Bverdi%5D=&amp;hva%5B0%5D%5Bid%5D=15/når:2025-06-19", "Vegkart")</f>
        <v>Vegkart</v>
      </c>
      <c r="B2557">
        <v>1024500344</v>
      </c>
      <c r="C2557">
        <v>15</v>
      </c>
      <c r="D2557" t="s">
        <v>5814</v>
      </c>
      <c r="E2557">
        <v>4723</v>
      </c>
      <c r="F2557" t="s">
        <v>23479</v>
      </c>
      <c r="G2557">
        <v>1</v>
      </c>
      <c r="H2557" t="s">
        <v>8487</v>
      </c>
      <c r="J2557" t="s">
        <v>8436</v>
      </c>
      <c r="K2557" t="s">
        <v>81</v>
      </c>
      <c r="L2557" t="s">
        <v>80</v>
      </c>
      <c r="M2557" t="s">
        <v>53</v>
      </c>
      <c r="N2557" t="s">
        <v>8488</v>
      </c>
      <c r="O2557" t="s">
        <v>8489</v>
      </c>
      <c r="P2557" s="2" t="s">
        <v>37</v>
      </c>
      <c r="Q2557" t="s">
        <v>1208</v>
      </c>
      <c r="R2557">
        <v>0</v>
      </c>
      <c r="S2557">
        <v>167.34</v>
      </c>
      <c r="T2557" t="s">
        <v>8490</v>
      </c>
    </row>
    <row r="2558" spans="1:20" x14ac:dyDescent="0.25">
      <c r="A2558" s="1" t="str">
        <f>HYPERLINK("https://vegkart.atlas.vegvesen.no/#/@208561.6,6559326.9,18/hva:hva%5B0%5D%5Bfilter%5D%5B0%5D%5Boperator%5D=%21%3D&amp;hva%5B0%5D%5Bfilter%5D%5B0%5D%5Btype_id%5D=4723&amp;hva%5B0%5D%5Bfilter%5D%5B0%5D%5Bverdi%5D=&amp;hva%5B0%5D%5Bid%5D=15/når:2025-06-19", "Vegkart")</f>
        <v>Vegkart</v>
      </c>
      <c r="B2558">
        <v>1024500345</v>
      </c>
      <c r="C2558">
        <v>15</v>
      </c>
      <c r="D2558" t="s">
        <v>5814</v>
      </c>
      <c r="E2558">
        <v>4723</v>
      </c>
      <c r="F2558" t="s">
        <v>23479</v>
      </c>
      <c r="G2558">
        <v>1</v>
      </c>
      <c r="H2558" t="s">
        <v>8487</v>
      </c>
      <c r="J2558" t="s">
        <v>8436</v>
      </c>
      <c r="K2558" t="s">
        <v>81</v>
      </c>
      <c r="L2558" t="s">
        <v>80</v>
      </c>
      <c r="M2558" t="s">
        <v>53</v>
      </c>
      <c r="N2558" t="s">
        <v>8488</v>
      </c>
      <c r="O2558" t="s">
        <v>8491</v>
      </c>
      <c r="P2558" s="2" t="s">
        <v>37</v>
      </c>
      <c r="Q2558" t="s">
        <v>1208</v>
      </c>
      <c r="R2558">
        <v>0</v>
      </c>
      <c r="S2558">
        <v>287.33</v>
      </c>
      <c r="T2558" t="s">
        <v>8492</v>
      </c>
    </row>
    <row r="2559" spans="1:20" x14ac:dyDescent="0.25">
      <c r="A2559" s="1" t="str">
        <f>HYPERLINK("https://vegkart.atlas.vegvesen.no/#/@208600.5,6559272.9,18/hva:hva%5B0%5D%5Bfilter%5D%5B0%5D%5Boperator%5D=%21%3D&amp;hva%5B0%5D%5Bfilter%5D%5B0%5D%5Btype_id%5D=4723&amp;hva%5B0%5D%5Bfilter%5D%5B0%5D%5Bverdi%5D=&amp;hva%5B0%5D%5Bid%5D=15/når:2025-06-19", "Vegkart")</f>
        <v>Vegkart</v>
      </c>
      <c r="B2559">
        <v>1024500346</v>
      </c>
      <c r="C2559">
        <v>15</v>
      </c>
      <c r="D2559" t="s">
        <v>5814</v>
      </c>
      <c r="E2559">
        <v>4723</v>
      </c>
      <c r="F2559" t="s">
        <v>23479</v>
      </c>
      <c r="G2559">
        <v>1</v>
      </c>
      <c r="H2559" t="s">
        <v>8487</v>
      </c>
      <c r="J2559" t="s">
        <v>8436</v>
      </c>
      <c r="K2559" t="s">
        <v>81</v>
      </c>
      <c r="L2559" t="s">
        <v>80</v>
      </c>
      <c r="M2559" t="s">
        <v>53</v>
      </c>
      <c r="N2559" t="s">
        <v>8488</v>
      </c>
      <c r="O2559" t="s">
        <v>8493</v>
      </c>
      <c r="P2559" s="2" t="s">
        <v>37</v>
      </c>
      <c r="Q2559" t="s">
        <v>1208</v>
      </c>
      <c r="R2559">
        <v>0</v>
      </c>
      <c r="S2559">
        <v>252.87</v>
      </c>
      <c r="T2559" t="s">
        <v>8494</v>
      </c>
    </row>
    <row r="2560" spans="1:20" x14ac:dyDescent="0.25">
      <c r="A2560" s="1" t="str">
        <f>HYPERLINK("https://vegkart.atlas.vegvesen.no/#/@208572.2,6559325.9,18/hva:hva%5B0%5D%5Bfilter%5D%5B0%5D%5Boperator%5D=%21%3D&amp;hva%5B0%5D%5Bfilter%5D%5B0%5D%5Btype_id%5D=4723&amp;hva%5B0%5D%5Bfilter%5D%5B0%5D%5Bverdi%5D=&amp;hva%5B0%5D%5Bid%5D=15/når:2025-06-19", "Vegkart")</f>
        <v>Vegkart</v>
      </c>
      <c r="B2560">
        <v>1024500347</v>
      </c>
      <c r="C2560">
        <v>15</v>
      </c>
      <c r="D2560" t="s">
        <v>5814</v>
      </c>
      <c r="E2560">
        <v>4723</v>
      </c>
      <c r="F2560" t="s">
        <v>23479</v>
      </c>
      <c r="G2560">
        <v>1</v>
      </c>
      <c r="H2560" t="s">
        <v>8487</v>
      </c>
      <c r="J2560" t="s">
        <v>8436</v>
      </c>
      <c r="K2560" t="s">
        <v>81</v>
      </c>
      <c r="L2560" t="s">
        <v>80</v>
      </c>
      <c r="M2560" t="s">
        <v>53</v>
      </c>
      <c r="N2560" t="s">
        <v>8488</v>
      </c>
      <c r="O2560" t="s">
        <v>8495</v>
      </c>
      <c r="P2560" s="2" t="s">
        <v>37</v>
      </c>
      <c r="Q2560" t="s">
        <v>1208</v>
      </c>
      <c r="R2560">
        <v>0</v>
      </c>
      <c r="S2560">
        <v>372.34</v>
      </c>
      <c r="T2560" t="s">
        <v>8496</v>
      </c>
    </row>
    <row r="2561" spans="1:20" x14ac:dyDescent="0.25">
      <c r="A2561" s="1" t="str">
        <f>HYPERLINK("https://vegkart.atlas.vegvesen.no/#/@220244.5,6562600.3,18/hva:hva%5B0%5D%5Bfilter%5D%5B0%5D%5Boperator%5D=%21%3D&amp;hva%5B0%5D%5Bfilter%5D%5B0%5D%5Btype_id%5D=4723&amp;hva%5B0%5D%5Bfilter%5D%5B0%5D%5Bverdi%5D=&amp;hva%5B0%5D%5Bid%5D=15/når:2025-06-19", "Vegkart")</f>
        <v>Vegkart</v>
      </c>
      <c r="B2561">
        <v>1024500349</v>
      </c>
      <c r="C2561">
        <v>15</v>
      </c>
      <c r="D2561" t="s">
        <v>5814</v>
      </c>
      <c r="E2561">
        <v>4723</v>
      </c>
      <c r="F2561" t="s">
        <v>23479</v>
      </c>
      <c r="G2561">
        <v>1</v>
      </c>
      <c r="H2561" t="s">
        <v>8487</v>
      </c>
      <c r="J2561" t="s">
        <v>8436</v>
      </c>
      <c r="K2561" t="s">
        <v>81</v>
      </c>
      <c r="L2561" t="s">
        <v>80</v>
      </c>
      <c r="M2561" t="s">
        <v>53</v>
      </c>
      <c r="N2561" t="s">
        <v>8497</v>
      </c>
      <c r="O2561" t="s">
        <v>8498</v>
      </c>
      <c r="P2561" s="2" t="s">
        <v>37</v>
      </c>
      <c r="Q2561" t="s">
        <v>1208</v>
      </c>
      <c r="R2561">
        <v>16.559999999999999</v>
      </c>
      <c r="S2561">
        <v>218.34</v>
      </c>
      <c r="T2561" t="s">
        <v>8499</v>
      </c>
    </row>
    <row r="2562" spans="1:20" x14ac:dyDescent="0.25">
      <c r="A2562" s="1" t="str">
        <f>HYPERLINK("https://vegkart.atlas.vegvesen.no/#/@203270.7,6561339.8,18/hva:hva%5B0%5D%5Bfilter%5D%5B0%5D%5Boperator%5D=%21%3D&amp;hva%5B0%5D%5Bfilter%5D%5B0%5D%5Btype_id%5D=4723&amp;hva%5B0%5D%5Bfilter%5D%5B0%5D%5Bverdi%5D=&amp;hva%5B0%5D%5Bid%5D=15/når:2025-06-19", "Vegkart")</f>
        <v>Vegkart</v>
      </c>
      <c r="B2562">
        <v>1024500350</v>
      </c>
      <c r="C2562">
        <v>15</v>
      </c>
      <c r="D2562" t="s">
        <v>5814</v>
      </c>
      <c r="E2562">
        <v>4723</v>
      </c>
      <c r="F2562" t="s">
        <v>23479</v>
      </c>
      <c r="G2562">
        <v>1</v>
      </c>
      <c r="H2562" t="s">
        <v>8487</v>
      </c>
      <c r="J2562" t="s">
        <v>8436</v>
      </c>
      <c r="K2562" t="s">
        <v>197</v>
      </c>
      <c r="L2562" t="s">
        <v>80</v>
      </c>
      <c r="M2562" t="s">
        <v>53</v>
      </c>
      <c r="N2562" t="s">
        <v>8500</v>
      </c>
      <c r="O2562" t="s">
        <v>8501</v>
      </c>
      <c r="P2562" s="2" t="s">
        <v>37</v>
      </c>
      <c r="Q2562" t="s">
        <v>1208</v>
      </c>
      <c r="R2562">
        <v>11.06</v>
      </c>
      <c r="S2562">
        <v>269.99</v>
      </c>
      <c r="T2562" t="s">
        <v>8502</v>
      </c>
    </row>
    <row r="2563" spans="1:20" x14ac:dyDescent="0.25">
      <c r="A2563" s="1" t="str">
        <f>HYPERLINK("https://vegkart.atlas.vegvesen.no/#/@237441.9,6590874.6,18/hva:hva%5B0%5D%5Bfilter%5D%5B0%5D%5Boperator%5D=%21%3D&amp;hva%5B0%5D%5Bfilter%5D%5B0%5D%5Btype_id%5D=4723&amp;hva%5B0%5D%5Bfilter%5D%5B0%5D%5Bverdi%5D=&amp;hva%5B0%5D%5Bid%5D=15/når:2025-06-19", "Vegkart")</f>
        <v>Vegkart</v>
      </c>
      <c r="B2563">
        <v>1024500351</v>
      </c>
      <c r="C2563">
        <v>15</v>
      </c>
      <c r="D2563" t="s">
        <v>5814</v>
      </c>
      <c r="E2563">
        <v>4723</v>
      </c>
      <c r="F2563" t="s">
        <v>23479</v>
      </c>
      <c r="G2563">
        <v>1</v>
      </c>
      <c r="H2563" t="s">
        <v>8487</v>
      </c>
      <c r="J2563" t="s">
        <v>8436</v>
      </c>
      <c r="K2563" t="s">
        <v>81</v>
      </c>
      <c r="L2563" t="s">
        <v>80</v>
      </c>
      <c r="M2563" t="s">
        <v>53</v>
      </c>
      <c r="N2563" t="s">
        <v>8503</v>
      </c>
      <c r="O2563" t="s">
        <v>8504</v>
      </c>
      <c r="P2563" s="2" t="s">
        <v>37</v>
      </c>
      <c r="Q2563" t="s">
        <v>1208</v>
      </c>
      <c r="R2563">
        <v>6.17</v>
      </c>
      <c r="S2563">
        <v>116.64</v>
      </c>
      <c r="T2563" t="s">
        <v>8505</v>
      </c>
    </row>
    <row r="2564" spans="1:20" x14ac:dyDescent="0.25">
      <c r="A2564" s="1" t="str">
        <f>HYPERLINK("https://vegkart.atlas.vegvesen.no/#/@224708.7,6567045.9,18/hva:hva%5B0%5D%5Bfilter%5D%5B0%5D%5Boperator%5D=%21%3D&amp;hva%5B0%5D%5Bfilter%5D%5B0%5D%5Btype_id%5D=4723&amp;hva%5B0%5D%5Bfilter%5D%5B0%5D%5Bverdi%5D=&amp;hva%5B0%5D%5Bid%5D=15/når:2025-06-19", "Vegkart")</f>
        <v>Vegkart</v>
      </c>
      <c r="B2564">
        <v>1024500352</v>
      </c>
      <c r="C2564">
        <v>15</v>
      </c>
      <c r="D2564" t="s">
        <v>5814</v>
      </c>
      <c r="E2564">
        <v>4723</v>
      </c>
      <c r="F2564" t="s">
        <v>23479</v>
      </c>
      <c r="G2564">
        <v>1</v>
      </c>
      <c r="H2564" t="s">
        <v>8487</v>
      </c>
      <c r="J2564" t="s">
        <v>8436</v>
      </c>
      <c r="K2564" t="s">
        <v>81</v>
      </c>
      <c r="L2564" t="s">
        <v>80</v>
      </c>
      <c r="M2564" t="s">
        <v>53</v>
      </c>
      <c r="N2564" t="s">
        <v>8506</v>
      </c>
      <c r="O2564" t="s">
        <v>8507</v>
      </c>
      <c r="P2564" s="2" t="s">
        <v>67</v>
      </c>
      <c r="Q2564" t="s">
        <v>68</v>
      </c>
      <c r="R2564">
        <v>95.75</v>
      </c>
      <c r="S2564">
        <v>191.9</v>
      </c>
      <c r="T2564" t="s">
        <v>8508</v>
      </c>
    </row>
    <row r="2565" spans="1:20" x14ac:dyDescent="0.25">
      <c r="A2565" s="1" t="str">
        <f>HYPERLINK("https://vegkart.atlas.vegvesen.no/#/@211418.6,6558122.8,18/hva:hva%5B0%5D%5Bfilter%5D%5B0%5D%5Boperator%5D=%21%3D&amp;hva%5B0%5D%5Bfilter%5D%5B0%5D%5Btype_id%5D=4723&amp;hva%5B0%5D%5Bfilter%5D%5B0%5D%5Bverdi%5D=&amp;hva%5B0%5D%5Bid%5D=15/når:2025-06-19", "Vegkart")</f>
        <v>Vegkart</v>
      </c>
      <c r="B2565">
        <v>1024500353</v>
      </c>
      <c r="C2565">
        <v>15</v>
      </c>
      <c r="D2565" t="s">
        <v>5814</v>
      </c>
      <c r="E2565">
        <v>4723</v>
      </c>
      <c r="F2565" t="s">
        <v>23479</v>
      </c>
      <c r="G2565">
        <v>1</v>
      </c>
      <c r="H2565" t="s">
        <v>8487</v>
      </c>
      <c r="J2565" t="s">
        <v>8436</v>
      </c>
      <c r="K2565" t="s">
        <v>81</v>
      </c>
      <c r="L2565" t="s">
        <v>80</v>
      </c>
      <c r="M2565" t="s">
        <v>53</v>
      </c>
      <c r="N2565" t="s">
        <v>8509</v>
      </c>
      <c r="O2565" t="s">
        <v>8510</v>
      </c>
      <c r="P2565" s="2" t="s">
        <v>37</v>
      </c>
      <c r="Q2565" t="s">
        <v>1208</v>
      </c>
      <c r="R2565">
        <v>0.93</v>
      </c>
      <c r="S2565">
        <v>221.31</v>
      </c>
      <c r="T2565" t="s">
        <v>8511</v>
      </c>
    </row>
    <row r="2566" spans="1:20" x14ac:dyDescent="0.25">
      <c r="A2566" s="1" t="str">
        <f>HYPERLINK("https://vegkart.atlas.vegvesen.no/#/@224746.9,6567193.0,18/hva:hva%5B0%5D%5Bfilter%5D%5B0%5D%5Boperator%5D=%21%3D&amp;hva%5B0%5D%5Bfilter%5D%5B0%5D%5Btype_id%5D=4723&amp;hva%5B0%5D%5Bfilter%5D%5B0%5D%5Bverdi%5D=&amp;hva%5B0%5D%5Bid%5D=15/når:2025-06-19", "Vegkart")</f>
        <v>Vegkart</v>
      </c>
      <c r="B2566">
        <v>1024500354</v>
      </c>
      <c r="C2566">
        <v>15</v>
      </c>
      <c r="D2566" t="s">
        <v>5814</v>
      </c>
      <c r="E2566">
        <v>4723</v>
      </c>
      <c r="F2566" t="s">
        <v>23479</v>
      </c>
      <c r="G2566">
        <v>1</v>
      </c>
      <c r="H2566" t="s">
        <v>8487</v>
      </c>
      <c r="J2566" t="s">
        <v>8436</v>
      </c>
      <c r="K2566" t="s">
        <v>81</v>
      </c>
      <c r="L2566" t="s">
        <v>80</v>
      </c>
      <c r="M2566" t="s">
        <v>53</v>
      </c>
      <c r="N2566" t="s">
        <v>8512</v>
      </c>
      <c r="O2566" t="s">
        <v>8513</v>
      </c>
      <c r="P2566" s="2" t="s">
        <v>67</v>
      </c>
      <c r="Q2566" t="s">
        <v>68</v>
      </c>
      <c r="R2566">
        <v>21.13</v>
      </c>
      <c r="S2566">
        <v>305.55</v>
      </c>
      <c r="T2566" t="s">
        <v>8514</v>
      </c>
    </row>
    <row r="2567" spans="1:20" x14ac:dyDescent="0.25">
      <c r="A2567" s="1" t="str">
        <f>HYPERLINK("https://vegkart.atlas.vegvesen.no/#/@228377.0,6573067.7,18/hva:hva%5B0%5D%5Bfilter%5D%5B0%5D%5Boperator%5D=%21%3D&amp;hva%5B0%5D%5Bfilter%5D%5B0%5D%5Btype_id%5D=4723&amp;hva%5B0%5D%5Bfilter%5D%5B0%5D%5Bverdi%5D=&amp;hva%5B0%5D%5Bid%5D=15/når:2025-06-19", "Vegkart")</f>
        <v>Vegkart</v>
      </c>
      <c r="B2567">
        <v>1024500355</v>
      </c>
      <c r="C2567">
        <v>15</v>
      </c>
      <c r="D2567" t="s">
        <v>5814</v>
      </c>
      <c r="E2567">
        <v>4723</v>
      </c>
      <c r="F2567" t="s">
        <v>23479</v>
      </c>
      <c r="G2567">
        <v>1</v>
      </c>
      <c r="H2567" t="s">
        <v>8487</v>
      </c>
      <c r="J2567" t="s">
        <v>8436</v>
      </c>
      <c r="K2567" t="s">
        <v>81</v>
      </c>
      <c r="L2567" t="s">
        <v>80</v>
      </c>
      <c r="M2567" t="s">
        <v>53</v>
      </c>
      <c r="N2567" t="s">
        <v>8515</v>
      </c>
      <c r="O2567" t="s">
        <v>8516</v>
      </c>
      <c r="P2567" s="2" t="s">
        <v>37</v>
      </c>
      <c r="Q2567" t="s">
        <v>1208</v>
      </c>
      <c r="R2567">
        <v>0.11</v>
      </c>
      <c r="S2567">
        <v>299.48</v>
      </c>
      <c r="T2567" t="s">
        <v>8517</v>
      </c>
    </row>
    <row r="2568" spans="1:20" x14ac:dyDescent="0.25">
      <c r="A2568" s="1" t="str">
        <f>HYPERLINK("https://vegkart.atlas.vegvesen.no/#/@232823.6,6580642.8,18/hva:hva%5B0%5D%5Bfilter%5D%5B0%5D%5Boperator%5D=%21%3D&amp;hva%5B0%5D%5Bfilter%5D%5B0%5D%5Btype_id%5D=4723&amp;hva%5B0%5D%5Bfilter%5D%5B0%5D%5Bverdi%5D=&amp;hva%5B0%5D%5Bid%5D=15/når:2025-06-19", "Vegkart")</f>
        <v>Vegkart</v>
      </c>
      <c r="B2568">
        <v>1024500356</v>
      </c>
      <c r="C2568">
        <v>15</v>
      </c>
      <c r="D2568" t="s">
        <v>5814</v>
      </c>
      <c r="E2568">
        <v>4723</v>
      </c>
      <c r="F2568" t="s">
        <v>23479</v>
      </c>
      <c r="G2568">
        <v>1</v>
      </c>
      <c r="H2568" t="s">
        <v>8487</v>
      </c>
      <c r="J2568" t="s">
        <v>8436</v>
      </c>
      <c r="K2568" t="s">
        <v>81</v>
      </c>
      <c r="L2568" t="s">
        <v>80</v>
      </c>
      <c r="M2568" t="s">
        <v>53</v>
      </c>
      <c r="N2568" t="s">
        <v>8518</v>
      </c>
      <c r="O2568" t="s">
        <v>8519</v>
      </c>
      <c r="P2568" s="2" t="s">
        <v>37</v>
      </c>
      <c r="Q2568" t="s">
        <v>1208</v>
      </c>
      <c r="R2568">
        <v>12.06</v>
      </c>
      <c r="S2568">
        <v>234.65</v>
      </c>
      <c r="T2568" t="s">
        <v>8520</v>
      </c>
    </row>
    <row r="2569" spans="1:20" x14ac:dyDescent="0.25">
      <c r="A2569" s="1" t="str">
        <f>HYPERLINK("https://vegkart.atlas.vegvesen.no/#/@232919.6,6580665.7,18/hva:hva%5B0%5D%5Bfilter%5D%5B0%5D%5Boperator%5D=%21%3D&amp;hva%5B0%5D%5Bfilter%5D%5B0%5D%5Btype_id%5D=4723&amp;hva%5B0%5D%5Bfilter%5D%5B0%5D%5Bverdi%5D=&amp;hva%5B0%5D%5Bid%5D=15/når:2025-06-19", "Vegkart")</f>
        <v>Vegkart</v>
      </c>
      <c r="B2569">
        <v>1024500357</v>
      </c>
      <c r="C2569">
        <v>15</v>
      </c>
      <c r="D2569" t="s">
        <v>5814</v>
      </c>
      <c r="E2569">
        <v>4723</v>
      </c>
      <c r="F2569" t="s">
        <v>23479</v>
      </c>
      <c r="G2569">
        <v>1</v>
      </c>
      <c r="H2569" t="s">
        <v>8487</v>
      </c>
      <c r="J2569" t="s">
        <v>8436</v>
      </c>
      <c r="K2569" t="s">
        <v>81</v>
      </c>
      <c r="L2569" t="s">
        <v>80</v>
      </c>
      <c r="M2569" t="s">
        <v>53</v>
      </c>
      <c r="N2569" t="s">
        <v>8521</v>
      </c>
      <c r="O2569" t="s">
        <v>8522</v>
      </c>
      <c r="P2569" s="2" t="s">
        <v>67</v>
      </c>
      <c r="Q2569" t="s">
        <v>68</v>
      </c>
      <c r="R2569">
        <v>43.84</v>
      </c>
      <c r="S2569">
        <v>96.4</v>
      </c>
      <c r="T2569" t="s">
        <v>8523</v>
      </c>
    </row>
    <row r="2570" spans="1:20" x14ac:dyDescent="0.25">
      <c r="A2570" s="1" t="str">
        <f>HYPERLINK("https://vegkart.atlas.vegvesen.no/#/@227925.1,6613765.2,18/hva:hva%5B0%5D%5Bfilter%5D%5B0%5D%5Boperator%5D=%21%3D&amp;hva%5B0%5D%5Bfilter%5D%5B0%5D%5Btype_id%5D=4723&amp;hva%5B0%5D%5Bfilter%5D%5B0%5D%5Bverdi%5D=&amp;hva%5B0%5D%5Bid%5D=15/når:2025-06-19", "Vegkart")</f>
        <v>Vegkart</v>
      </c>
      <c r="B2570">
        <v>1024500358</v>
      </c>
      <c r="C2570">
        <v>15</v>
      </c>
      <c r="D2570" t="s">
        <v>5814</v>
      </c>
      <c r="E2570">
        <v>4723</v>
      </c>
      <c r="F2570" t="s">
        <v>23479</v>
      </c>
      <c r="G2570">
        <v>1</v>
      </c>
      <c r="H2570" t="s">
        <v>8487</v>
      </c>
      <c r="J2570" t="s">
        <v>8436</v>
      </c>
      <c r="K2570" t="s">
        <v>81</v>
      </c>
      <c r="L2570" t="s">
        <v>80</v>
      </c>
      <c r="M2570" t="s">
        <v>53</v>
      </c>
      <c r="N2570" t="s">
        <v>8524</v>
      </c>
      <c r="O2570" t="s">
        <v>8525</v>
      </c>
      <c r="P2570" s="2" t="s">
        <v>37</v>
      </c>
      <c r="Q2570" t="s">
        <v>1208</v>
      </c>
      <c r="R2570">
        <v>15.38</v>
      </c>
      <c r="S2570">
        <v>237.12</v>
      </c>
      <c r="T2570" t="s">
        <v>8526</v>
      </c>
    </row>
    <row r="2571" spans="1:20" x14ac:dyDescent="0.25">
      <c r="A2571" s="1" t="str">
        <f>HYPERLINK("https://vegkart.atlas.vegvesen.no/#/@237416.6,6590965.8,18/hva:hva%5B0%5D%5Bfilter%5D%5B0%5D%5Boperator%5D=%21%3D&amp;hva%5B0%5D%5Bfilter%5D%5B0%5D%5Btype_id%5D=4723&amp;hva%5B0%5D%5Bfilter%5D%5B0%5D%5Bverdi%5D=&amp;hva%5B0%5D%5Bid%5D=15/når:2025-06-19", "Vegkart")</f>
        <v>Vegkart</v>
      </c>
      <c r="B2571">
        <v>1024500359</v>
      </c>
      <c r="C2571">
        <v>15</v>
      </c>
      <c r="D2571" t="s">
        <v>5814</v>
      </c>
      <c r="E2571">
        <v>4723</v>
      </c>
      <c r="F2571" t="s">
        <v>23479</v>
      </c>
      <c r="G2571">
        <v>1</v>
      </c>
      <c r="H2571" t="s">
        <v>8487</v>
      </c>
      <c r="J2571" t="s">
        <v>8436</v>
      </c>
      <c r="K2571" t="s">
        <v>81</v>
      </c>
      <c r="L2571" t="s">
        <v>80</v>
      </c>
      <c r="M2571" t="s">
        <v>53</v>
      </c>
      <c r="N2571" t="s">
        <v>8527</v>
      </c>
      <c r="O2571" t="s">
        <v>8528</v>
      </c>
      <c r="P2571" s="2" t="s">
        <v>37</v>
      </c>
      <c r="Q2571" t="s">
        <v>1208</v>
      </c>
      <c r="R2571">
        <v>6.66</v>
      </c>
      <c r="S2571">
        <v>119.03</v>
      </c>
      <c r="T2571" t="s">
        <v>8529</v>
      </c>
    </row>
    <row r="2572" spans="1:20" x14ac:dyDescent="0.25">
      <c r="A2572" s="1" t="str">
        <f>HYPERLINK("https://vegkart.atlas.vegvesen.no/#/@220277.4,6562722.9,18/hva:hva%5B0%5D%5Bfilter%5D%5B0%5D%5Boperator%5D=%21%3D&amp;hva%5B0%5D%5Bfilter%5D%5B0%5D%5Btype_id%5D=4723&amp;hva%5B0%5D%5Bfilter%5D%5B0%5D%5Bverdi%5D=&amp;hva%5B0%5D%5Bid%5D=15/når:2025-06-19", "Vegkart")</f>
        <v>Vegkart</v>
      </c>
      <c r="B2572">
        <v>1024500360</v>
      </c>
      <c r="C2572">
        <v>15</v>
      </c>
      <c r="D2572" t="s">
        <v>5814</v>
      </c>
      <c r="E2572">
        <v>4723</v>
      </c>
      <c r="F2572" t="s">
        <v>23479</v>
      </c>
      <c r="G2572">
        <v>1</v>
      </c>
      <c r="H2572" t="s">
        <v>8487</v>
      </c>
      <c r="J2572" t="s">
        <v>8436</v>
      </c>
      <c r="K2572" t="s">
        <v>81</v>
      </c>
      <c r="L2572" t="s">
        <v>80</v>
      </c>
      <c r="M2572" t="s">
        <v>53</v>
      </c>
      <c r="N2572" t="s">
        <v>8530</v>
      </c>
      <c r="O2572" t="s">
        <v>8531</v>
      </c>
      <c r="P2572" s="2" t="s">
        <v>67</v>
      </c>
      <c r="Q2572" t="s">
        <v>68</v>
      </c>
      <c r="R2572">
        <v>20.91</v>
      </c>
      <c r="S2572">
        <v>246.05</v>
      </c>
      <c r="T2572" t="s">
        <v>8532</v>
      </c>
    </row>
    <row r="2573" spans="1:20" x14ac:dyDescent="0.25">
      <c r="A2573" s="1" t="str">
        <f>HYPERLINK("https://vegkart.atlas.vegvesen.no/#/@236351.3,6583994.3,18/hva:hva%5B0%5D%5Bfilter%5D%5B0%5D%5Boperator%5D=%21%3D&amp;hva%5B0%5D%5Bfilter%5D%5B0%5D%5Btype_id%5D=4723&amp;hva%5B0%5D%5Bfilter%5D%5B0%5D%5Bverdi%5D=&amp;hva%5B0%5D%5Bid%5D=15/når:2025-06-19", "Vegkart")</f>
        <v>Vegkart</v>
      </c>
      <c r="B2573">
        <v>1024500361</v>
      </c>
      <c r="C2573">
        <v>15</v>
      </c>
      <c r="D2573" t="s">
        <v>5814</v>
      </c>
      <c r="E2573">
        <v>4723</v>
      </c>
      <c r="F2573" t="s">
        <v>23479</v>
      </c>
      <c r="G2573">
        <v>1</v>
      </c>
      <c r="H2573" t="s">
        <v>8487</v>
      </c>
      <c r="J2573" t="s">
        <v>8436</v>
      </c>
      <c r="K2573" t="s">
        <v>81</v>
      </c>
      <c r="L2573" t="s">
        <v>80</v>
      </c>
      <c r="M2573" t="s">
        <v>53</v>
      </c>
      <c r="N2573" t="s">
        <v>8533</v>
      </c>
      <c r="O2573" t="s">
        <v>8534</v>
      </c>
      <c r="P2573" s="2" t="s">
        <v>37</v>
      </c>
      <c r="Q2573" t="s">
        <v>1208</v>
      </c>
      <c r="R2573">
        <v>0.78</v>
      </c>
      <c r="S2573">
        <v>310.5</v>
      </c>
      <c r="T2573" t="s">
        <v>8535</v>
      </c>
    </row>
    <row r="2574" spans="1:20" x14ac:dyDescent="0.25">
      <c r="A2574" s="1" t="str">
        <f>HYPERLINK("https://vegkart.atlas.vegvesen.no/#/@203242.4,6561284.5,18/hva:hva%5B0%5D%5Bfilter%5D%5B0%5D%5Boperator%5D=%21%3D&amp;hva%5B0%5D%5Bfilter%5D%5B0%5D%5Btype_id%5D=4723&amp;hva%5B0%5D%5Bfilter%5D%5B0%5D%5Bverdi%5D=&amp;hva%5B0%5D%5Bid%5D=15/når:2025-06-19", "Vegkart")</f>
        <v>Vegkart</v>
      </c>
      <c r="B2574">
        <v>1024500362</v>
      </c>
      <c r="C2574">
        <v>15</v>
      </c>
      <c r="D2574" t="s">
        <v>5814</v>
      </c>
      <c r="E2574">
        <v>4723</v>
      </c>
      <c r="F2574" t="s">
        <v>23479</v>
      </c>
      <c r="G2574">
        <v>1</v>
      </c>
      <c r="H2574" t="s">
        <v>8487</v>
      </c>
      <c r="J2574" t="s">
        <v>8436</v>
      </c>
      <c r="K2574" t="s">
        <v>197</v>
      </c>
      <c r="L2574" t="s">
        <v>80</v>
      </c>
      <c r="M2574" t="s">
        <v>53</v>
      </c>
      <c r="N2574" t="s">
        <v>8500</v>
      </c>
      <c r="O2574" t="s">
        <v>8536</v>
      </c>
      <c r="P2574" s="2" t="s">
        <v>67</v>
      </c>
      <c r="Q2574" t="s">
        <v>68</v>
      </c>
      <c r="R2574">
        <v>116.82</v>
      </c>
      <c r="S2574">
        <v>165.77</v>
      </c>
      <c r="T2574" t="s">
        <v>8537</v>
      </c>
    </row>
    <row r="2575" spans="1:20" x14ac:dyDescent="0.25">
      <c r="A2575" s="1" t="str">
        <f>HYPERLINK("https://vegkart.atlas.vegvesen.no/#/@224811.9,6567149.7,18/hva:hva%5B0%5D%5Bfilter%5D%5B0%5D%5Boperator%5D=%21%3D&amp;hva%5B0%5D%5Bfilter%5D%5B0%5D%5Btype_id%5D=4723&amp;hva%5B0%5D%5Bfilter%5D%5B0%5D%5Bverdi%5D=&amp;hva%5B0%5D%5Bid%5D=15/når:2025-06-19", "Vegkart")</f>
        <v>Vegkart</v>
      </c>
      <c r="B2575">
        <v>1024500363</v>
      </c>
      <c r="C2575">
        <v>15</v>
      </c>
      <c r="D2575" t="s">
        <v>5814</v>
      </c>
      <c r="E2575">
        <v>4723</v>
      </c>
      <c r="F2575" t="s">
        <v>23479</v>
      </c>
      <c r="G2575">
        <v>1</v>
      </c>
      <c r="H2575" t="s">
        <v>8487</v>
      </c>
      <c r="J2575" t="s">
        <v>8436</v>
      </c>
      <c r="K2575" t="s">
        <v>81</v>
      </c>
      <c r="L2575" t="s">
        <v>80</v>
      </c>
      <c r="M2575" t="s">
        <v>53</v>
      </c>
      <c r="N2575" t="s">
        <v>8512</v>
      </c>
      <c r="O2575" t="s">
        <v>8538</v>
      </c>
      <c r="P2575" s="2" t="s">
        <v>67</v>
      </c>
      <c r="Q2575" t="s">
        <v>68</v>
      </c>
      <c r="R2575">
        <v>28.79</v>
      </c>
      <c r="S2575">
        <v>373.52</v>
      </c>
      <c r="T2575" t="s">
        <v>8539</v>
      </c>
    </row>
    <row r="2576" spans="1:20" x14ac:dyDescent="0.25">
      <c r="A2576" s="1" t="str">
        <f>HYPERLINK("https://vegkart.atlas.vegvesen.no/#/@211423.9,6558071.5,18/hva:hva%5B0%5D%5Bfilter%5D%5B0%5D%5Boperator%5D=%21%3D&amp;hva%5B0%5D%5Bfilter%5D%5B0%5D%5Btype_id%5D=4723&amp;hva%5B0%5D%5Bfilter%5D%5B0%5D%5Bverdi%5D=&amp;hva%5B0%5D%5Bid%5D=15/når:2025-06-19", "Vegkart")</f>
        <v>Vegkart</v>
      </c>
      <c r="B2576">
        <v>1024500364</v>
      </c>
      <c r="C2576">
        <v>15</v>
      </c>
      <c r="D2576" t="s">
        <v>5814</v>
      </c>
      <c r="E2576">
        <v>4723</v>
      </c>
      <c r="F2576" t="s">
        <v>23479</v>
      </c>
      <c r="G2576">
        <v>1</v>
      </c>
      <c r="H2576" t="s">
        <v>8487</v>
      </c>
      <c r="J2576" t="s">
        <v>8436</v>
      </c>
      <c r="K2576" t="s">
        <v>81</v>
      </c>
      <c r="L2576" t="s">
        <v>80</v>
      </c>
      <c r="M2576" t="s">
        <v>53</v>
      </c>
      <c r="N2576" t="s">
        <v>8509</v>
      </c>
      <c r="O2576" t="s">
        <v>8540</v>
      </c>
      <c r="P2576" s="2" t="s">
        <v>37</v>
      </c>
      <c r="Q2576" t="s">
        <v>1208</v>
      </c>
      <c r="R2576">
        <v>8.7200000000000006</v>
      </c>
      <c r="S2576">
        <v>160.77000000000001</v>
      </c>
      <c r="T2576" t="s">
        <v>8541</v>
      </c>
    </row>
    <row r="2577" spans="1:20" x14ac:dyDescent="0.25">
      <c r="A2577" s="1" t="str">
        <f>HYPERLINK("https://vegkart.atlas.vegvesen.no/#/@220331.4,6562670.1,18/hva:hva%5B0%5D%5Bfilter%5D%5B0%5D%5Boperator%5D=%21%3D&amp;hva%5B0%5D%5Bfilter%5D%5B0%5D%5Btype_id%5D=4723&amp;hva%5B0%5D%5Bfilter%5D%5B0%5D%5Bverdi%5D=&amp;hva%5B0%5D%5Bid%5D=15/når:2025-06-19", "Vegkart")</f>
        <v>Vegkart</v>
      </c>
      <c r="B2577">
        <v>1024500365</v>
      </c>
      <c r="C2577">
        <v>15</v>
      </c>
      <c r="D2577" t="s">
        <v>5814</v>
      </c>
      <c r="E2577">
        <v>4723</v>
      </c>
      <c r="F2577" t="s">
        <v>23479</v>
      </c>
      <c r="G2577">
        <v>1</v>
      </c>
      <c r="H2577" t="s">
        <v>8487</v>
      </c>
      <c r="J2577" t="s">
        <v>8436</v>
      </c>
      <c r="K2577" t="s">
        <v>81</v>
      </c>
      <c r="L2577" t="s">
        <v>80</v>
      </c>
      <c r="M2577" t="s">
        <v>53</v>
      </c>
      <c r="N2577" t="s">
        <v>8530</v>
      </c>
      <c r="O2577" t="s">
        <v>8542</v>
      </c>
      <c r="P2577" s="2" t="s">
        <v>67</v>
      </c>
      <c r="Q2577" t="s">
        <v>68</v>
      </c>
      <c r="R2577">
        <v>31.19</v>
      </c>
      <c r="S2577">
        <v>266.13</v>
      </c>
      <c r="T2577" t="s">
        <v>8543</v>
      </c>
    </row>
    <row r="2578" spans="1:20" x14ac:dyDescent="0.25">
      <c r="A2578" s="1" t="str">
        <f>HYPERLINK("https://vegkart.atlas.vegvesen.no/#/@234774.3,6601501.8,18/hva:hva%5B0%5D%5Bfilter%5D%5B0%5D%5Boperator%5D=%21%3D&amp;hva%5B0%5D%5Bfilter%5D%5B0%5D%5Btype_id%5D=4723&amp;hva%5B0%5D%5Bfilter%5D%5B0%5D%5Bverdi%5D=&amp;hva%5B0%5D%5Bid%5D=15/når:2025-06-19", "Vegkart")</f>
        <v>Vegkart</v>
      </c>
      <c r="B2578">
        <v>1024500366</v>
      </c>
      <c r="C2578">
        <v>15</v>
      </c>
      <c r="D2578" t="s">
        <v>5814</v>
      </c>
      <c r="E2578">
        <v>4723</v>
      </c>
      <c r="F2578" t="s">
        <v>23479</v>
      </c>
      <c r="G2578">
        <v>1</v>
      </c>
      <c r="H2578" t="s">
        <v>8487</v>
      </c>
      <c r="J2578" t="s">
        <v>8436</v>
      </c>
      <c r="K2578" t="s">
        <v>81</v>
      </c>
      <c r="L2578" t="s">
        <v>80</v>
      </c>
      <c r="M2578" t="s">
        <v>53</v>
      </c>
      <c r="N2578" t="s">
        <v>8544</v>
      </c>
      <c r="O2578" t="s">
        <v>8545</v>
      </c>
      <c r="P2578" s="2" t="s">
        <v>67</v>
      </c>
      <c r="Q2578" t="s">
        <v>68</v>
      </c>
      <c r="R2578">
        <v>85.87</v>
      </c>
      <c r="S2578">
        <v>133.6</v>
      </c>
      <c r="T2578" t="s">
        <v>8546</v>
      </c>
    </row>
    <row r="2579" spans="1:20" x14ac:dyDescent="0.25">
      <c r="A2579" s="1" t="str">
        <f>HYPERLINK("https://vegkart.atlas.vegvesen.no/#/@224631.5,6567083.8,18/hva:hva%5B0%5D%5Bfilter%5D%5B0%5D%5Boperator%5D=%21%3D&amp;hva%5B0%5D%5Bfilter%5D%5B0%5D%5Btype_id%5D=4723&amp;hva%5B0%5D%5Bfilter%5D%5B0%5D%5Bverdi%5D=&amp;hva%5B0%5D%5Bid%5D=15/når:2025-06-19", "Vegkart")</f>
        <v>Vegkart</v>
      </c>
      <c r="B2579">
        <v>1024500367</v>
      </c>
      <c r="C2579">
        <v>15</v>
      </c>
      <c r="D2579" t="s">
        <v>5814</v>
      </c>
      <c r="E2579">
        <v>4723</v>
      </c>
      <c r="F2579" t="s">
        <v>23479</v>
      </c>
      <c r="G2579">
        <v>1</v>
      </c>
      <c r="H2579" t="s">
        <v>8487</v>
      </c>
      <c r="J2579" t="s">
        <v>8436</v>
      </c>
      <c r="K2579" t="s">
        <v>81</v>
      </c>
      <c r="L2579" t="s">
        <v>80</v>
      </c>
      <c r="M2579" t="s">
        <v>53</v>
      </c>
      <c r="N2579" t="s">
        <v>8547</v>
      </c>
      <c r="O2579" t="s">
        <v>8548</v>
      </c>
      <c r="P2579" s="2" t="s">
        <v>37</v>
      </c>
      <c r="Q2579" t="s">
        <v>1208</v>
      </c>
      <c r="R2579">
        <v>7.85</v>
      </c>
      <c r="S2579">
        <v>177.36</v>
      </c>
      <c r="T2579" t="s">
        <v>8549</v>
      </c>
    </row>
    <row r="2580" spans="1:20" x14ac:dyDescent="0.25">
      <c r="A2580" s="1" t="str">
        <f>HYPERLINK("https://vegkart.atlas.vegvesen.no/#/@228389.2,6573009.2,18/hva:hva%5B0%5D%5Bfilter%5D%5B0%5D%5Boperator%5D=%21%3D&amp;hva%5B0%5D%5Bfilter%5D%5B0%5D%5Btype_id%5D=4723&amp;hva%5B0%5D%5Bfilter%5D%5B0%5D%5Bverdi%5D=&amp;hva%5B0%5D%5Bid%5D=15/når:2025-06-19", "Vegkart")</f>
        <v>Vegkart</v>
      </c>
      <c r="B2580">
        <v>1024500368</v>
      </c>
      <c r="C2580">
        <v>15</v>
      </c>
      <c r="D2580" t="s">
        <v>5814</v>
      </c>
      <c r="E2580">
        <v>4723</v>
      </c>
      <c r="F2580" t="s">
        <v>23479</v>
      </c>
      <c r="G2580">
        <v>1</v>
      </c>
      <c r="H2580" t="s">
        <v>8487</v>
      </c>
      <c r="J2580" t="s">
        <v>8436</v>
      </c>
      <c r="K2580" t="s">
        <v>81</v>
      </c>
      <c r="L2580" t="s">
        <v>80</v>
      </c>
      <c r="M2580" t="s">
        <v>53</v>
      </c>
      <c r="N2580" t="s">
        <v>8515</v>
      </c>
      <c r="O2580" t="s">
        <v>8550</v>
      </c>
      <c r="P2580" s="2" t="s">
        <v>37</v>
      </c>
      <c r="Q2580" t="s">
        <v>1208</v>
      </c>
      <c r="R2580">
        <v>3.12</v>
      </c>
      <c r="S2580">
        <v>245.81</v>
      </c>
      <c r="T2580" t="s">
        <v>8551</v>
      </c>
    </row>
    <row r="2581" spans="1:20" x14ac:dyDescent="0.25">
      <c r="A2581" s="1" t="str">
        <f>HYPERLINK("https://vegkart.atlas.vegvesen.no/#/@217208.1,6560191.4,18/hva:hva%5B0%5D%5Bfilter%5D%5B0%5D%5Boperator%5D=%21%3D&amp;hva%5B0%5D%5Bfilter%5D%5B0%5D%5Btype_id%5D=4723&amp;hva%5B0%5D%5Bfilter%5D%5B0%5D%5Bverdi%5D=&amp;hva%5B0%5D%5Bid%5D=15/når:2025-06-19", "Vegkart")</f>
        <v>Vegkart</v>
      </c>
      <c r="B2581">
        <v>1024500369</v>
      </c>
      <c r="C2581">
        <v>15</v>
      </c>
      <c r="D2581" t="s">
        <v>5814</v>
      </c>
      <c r="E2581">
        <v>4723</v>
      </c>
      <c r="F2581" t="s">
        <v>23479</v>
      </c>
      <c r="G2581">
        <v>1</v>
      </c>
      <c r="H2581" t="s">
        <v>8487</v>
      </c>
      <c r="J2581" t="s">
        <v>8436</v>
      </c>
      <c r="K2581" t="s">
        <v>81</v>
      </c>
      <c r="L2581" t="s">
        <v>80</v>
      </c>
      <c r="M2581" t="s">
        <v>53</v>
      </c>
      <c r="N2581" t="s">
        <v>8552</v>
      </c>
      <c r="O2581" t="s">
        <v>8553</v>
      </c>
      <c r="P2581" s="2" t="s">
        <v>37</v>
      </c>
      <c r="Q2581" t="s">
        <v>1208</v>
      </c>
      <c r="R2581">
        <v>7.02</v>
      </c>
      <c r="S2581">
        <v>190.34</v>
      </c>
      <c r="T2581" t="s">
        <v>8554</v>
      </c>
    </row>
    <row r="2582" spans="1:20" x14ac:dyDescent="0.25">
      <c r="A2582" s="1" t="str">
        <f>HYPERLINK("https://vegkart.atlas.vegvesen.no/#/@229064.3,6606590.2,18/hva:hva%5B0%5D%5Bfilter%5D%5B0%5D%5Boperator%5D=%21%3D&amp;hva%5B0%5D%5Bfilter%5D%5B0%5D%5Btype_id%5D=4723&amp;hva%5B0%5D%5Bfilter%5D%5B0%5D%5Bverdi%5D=&amp;hva%5B0%5D%5Bid%5D=15/når:2025-06-19", "Vegkart")</f>
        <v>Vegkart</v>
      </c>
      <c r="B2582">
        <v>1024500370</v>
      </c>
      <c r="C2582">
        <v>15</v>
      </c>
      <c r="D2582" t="s">
        <v>5814</v>
      </c>
      <c r="E2582">
        <v>4723</v>
      </c>
      <c r="F2582" t="s">
        <v>23479</v>
      </c>
      <c r="G2582">
        <v>1</v>
      </c>
      <c r="H2582" t="s">
        <v>8487</v>
      </c>
      <c r="J2582" t="s">
        <v>8436</v>
      </c>
      <c r="K2582" t="s">
        <v>81</v>
      </c>
      <c r="L2582" t="s">
        <v>80</v>
      </c>
      <c r="M2582" t="s">
        <v>53</v>
      </c>
      <c r="N2582" t="s">
        <v>8555</v>
      </c>
      <c r="O2582" t="s">
        <v>8556</v>
      </c>
      <c r="P2582" s="2" t="s">
        <v>37</v>
      </c>
      <c r="Q2582" t="s">
        <v>1208</v>
      </c>
      <c r="R2582">
        <v>0.28000000000000003</v>
      </c>
      <c r="S2582">
        <v>108.35</v>
      </c>
      <c r="T2582" t="s">
        <v>8557</v>
      </c>
    </row>
    <row r="2583" spans="1:20" x14ac:dyDescent="0.25">
      <c r="A2583" s="1" t="str">
        <f>HYPERLINK("https://vegkart.atlas.vegvesen.no/#/@227861.1,6613809.9,18/hva:hva%5B0%5D%5Bfilter%5D%5B0%5D%5Boperator%5D=%21%3D&amp;hva%5B0%5D%5Bfilter%5D%5B0%5D%5Btype_id%5D=4723&amp;hva%5B0%5D%5Bfilter%5D%5B0%5D%5Bverdi%5D=&amp;hva%5B0%5D%5Bid%5D=15/når:2025-06-19", "Vegkart")</f>
        <v>Vegkart</v>
      </c>
      <c r="B2583">
        <v>1024500371</v>
      </c>
      <c r="C2583">
        <v>15</v>
      </c>
      <c r="D2583" t="s">
        <v>5814</v>
      </c>
      <c r="E2583">
        <v>4723</v>
      </c>
      <c r="F2583" t="s">
        <v>23479</v>
      </c>
      <c r="G2583">
        <v>1</v>
      </c>
      <c r="H2583" t="s">
        <v>8487</v>
      </c>
      <c r="J2583" t="s">
        <v>8436</v>
      </c>
      <c r="K2583" t="s">
        <v>81</v>
      </c>
      <c r="L2583" t="s">
        <v>80</v>
      </c>
      <c r="M2583" t="s">
        <v>53</v>
      </c>
      <c r="N2583" t="s">
        <v>8558</v>
      </c>
      <c r="O2583" t="s">
        <v>8559</v>
      </c>
      <c r="P2583" s="2" t="s">
        <v>37</v>
      </c>
      <c r="Q2583" t="s">
        <v>1208</v>
      </c>
      <c r="R2583">
        <v>3.96</v>
      </c>
      <c r="S2583">
        <v>279.45</v>
      </c>
      <c r="T2583" t="s">
        <v>8560</v>
      </c>
    </row>
    <row r="2584" spans="1:20" x14ac:dyDescent="0.25">
      <c r="A2584" s="1" t="str">
        <f>HYPERLINK("https://vegkart.atlas.vegvesen.no/#/@203134.8,6561397.0,18/hva:hva%5B0%5D%5Bfilter%5D%5B0%5D%5Boperator%5D=%21%3D&amp;hva%5B0%5D%5Bfilter%5D%5B0%5D%5Btype_id%5D=4723&amp;hva%5B0%5D%5Bfilter%5D%5B0%5D%5Bverdi%5D=&amp;hva%5B0%5D%5Bid%5D=15/når:2025-06-19", "Vegkart")</f>
        <v>Vegkart</v>
      </c>
      <c r="B2584">
        <v>1024500372</v>
      </c>
      <c r="C2584">
        <v>15</v>
      </c>
      <c r="D2584" t="s">
        <v>5814</v>
      </c>
      <c r="E2584">
        <v>4723</v>
      </c>
      <c r="F2584" t="s">
        <v>23479</v>
      </c>
      <c r="G2584">
        <v>1</v>
      </c>
      <c r="H2584" t="s">
        <v>8487</v>
      </c>
      <c r="J2584" t="s">
        <v>8436</v>
      </c>
      <c r="K2584" t="s">
        <v>197</v>
      </c>
      <c r="L2584" t="s">
        <v>80</v>
      </c>
      <c r="M2584" t="s">
        <v>53</v>
      </c>
      <c r="N2584" t="s">
        <v>8561</v>
      </c>
      <c r="O2584" t="s">
        <v>8562</v>
      </c>
      <c r="P2584" s="2" t="s">
        <v>37</v>
      </c>
      <c r="Q2584" t="s">
        <v>1208</v>
      </c>
      <c r="R2584">
        <v>5.44</v>
      </c>
      <c r="S2584">
        <v>341.66</v>
      </c>
      <c r="T2584" t="s">
        <v>8563</v>
      </c>
    </row>
    <row r="2585" spans="1:20" x14ac:dyDescent="0.25">
      <c r="A2585" s="1" t="str">
        <f>HYPERLINK("https://vegkart.atlas.vegvesen.no/#/@234244.7,6581421.6,18/hva:hva%5B0%5D%5Bfilter%5D%5B0%5D%5Boperator%5D=%21%3D&amp;hva%5B0%5D%5Bfilter%5D%5B0%5D%5Btype_id%5D=4723&amp;hva%5B0%5D%5Bfilter%5D%5B0%5D%5Bverdi%5D=&amp;hva%5B0%5D%5Bid%5D=15/når:2025-06-19", "Vegkart")</f>
        <v>Vegkart</v>
      </c>
      <c r="B2585">
        <v>1024500373</v>
      </c>
      <c r="C2585">
        <v>15</v>
      </c>
      <c r="D2585" t="s">
        <v>5814</v>
      </c>
      <c r="E2585">
        <v>4723</v>
      </c>
      <c r="F2585" t="s">
        <v>23479</v>
      </c>
      <c r="G2585">
        <v>1</v>
      </c>
      <c r="H2585" t="s">
        <v>8487</v>
      </c>
      <c r="J2585" t="s">
        <v>8436</v>
      </c>
      <c r="K2585" t="s">
        <v>81</v>
      </c>
      <c r="L2585" t="s">
        <v>80</v>
      </c>
      <c r="M2585" t="s">
        <v>53</v>
      </c>
      <c r="N2585" t="s">
        <v>8564</v>
      </c>
      <c r="O2585" t="s">
        <v>8565</v>
      </c>
      <c r="P2585" s="2" t="s">
        <v>37</v>
      </c>
      <c r="Q2585" t="s">
        <v>1208</v>
      </c>
      <c r="R2585">
        <v>7.54</v>
      </c>
      <c r="S2585">
        <v>258.81</v>
      </c>
      <c r="T2585" t="s">
        <v>8566</v>
      </c>
    </row>
    <row r="2586" spans="1:20" x14ac:dyDescent="0.25">
      <c r="A2586" s="1" t="str">
        <f>HYPERLINK("https://vegkart.atlas.vegvesen.no/#/@232973.5,6580704.9,18/hva:hva%5B0%5D%5Bfilter%5D%5B0%5D%5Boperator%5D=%21%3D&amp;hva%5B0%5D%5Bfilter%5D%5B0%5D%5Btype_id%5D=4723&amp;hva%5B0%5D%5Bfilter%5D%5B0%5D%5Bverdi%5D=&amp;hva%5B0%5D%5Bid%5D=15/når:2025-06-19", "Vegkart")</f>
        <v>Vegkart</v>
      </c>
      <c r="B2586">
        <v>1024500374</v>
      </c>
      <c r="C2586">
        <v>15</v>
      </c>
      <c r="D2586" t="s">
        <v>5814</v>
      </c>
      <c r="E2586">
        <v>4723</v>
      </c>
      <c r="F2586" t="s">
        <v>23479</v>
      </c>
      <c r="G2586">
        <v>1</v>
      </c>
      <c r="H2586" t="s">
        <v>8487</v>
      </c>
      <c r="J2586" t="s">
        <v>8436</v>
      </c>
      <c r="K2586" t="s">
        <v>81</v>
      </c>
      <c r="L2586" t="s">
        <v>80</v>
      </c>
      <c r="M2586" t="s">
        <v>53</v>
      </c>
      <c r="N2586" t="s">
        <v>8567</v>
      </c>
      <c r="O2586" t="s">
        <v>8568</v>
      </c>
      <c r="P2586" s="2" t="s">
        <v>37</v>
      </c>
      <c r="Q2586" t="s">
        <v>1208</v>
      </c>
      <c r="R2586">
        <v>17.440000000000001</v>
      </c>
      <c r="S2586">
        <v>249.23</v>
      </c>
      <c r="T2586" t="s">
        <v>8569</v>
      </c>
    </row>
    <row r="2587" spans="1:20" x14ac:dyDescent="0.25">
      <c r="A2587" s="1" t="str">
        <f>HYPERLINK("https://vegkart.atlas.vegvesen.no/#/@211551.0,6558050.5,18/hva:hva%5B0%5D%5Bfilter%5D%5B0%5D%5Boperator%5D=%21%3D&amp;hva%5B0%5D%5Bfilter%5D%5B0%5D%5Btype_id%5D=4723&amp;hva%5B0%5D%5Bfilter%5D%5B0%5D%5Bverdi%5D=&amp;hva%5B0%5D%5Bid%5D=15/når:2025-06-19", "Vegkart")</f>
        <v>Vegkart</v>
      </c>
      <c r="B2587">
        <v>1024500375</v>
      </c>
      <c r="C2587">
        <v>15</v>
      </c>
      <c r="D2587" t="s">
        <v>5814</v>
      </c>
      <c r="E2587">
        <v>4723</v>
      </c>
      <c r="F2587" t="s">
        <v>23479</v>
      </c>
      <c r="G2587">
        <v>1</v>
      </c>
      <c r="H2587" t="s">
        <v>8487</v>
      </c>
      <c r="J2587" t="s">
        <v>8436</v>
      </c>
      <c r="K2587" t="s">
        <v>81</v>
      </c>
      <c r="L2587" t="s">
        <v>80</v>
      </c>
      <c r="M2587" t="s">
        <v>53</v>
      </c>
      <c r="N2587" t="s">
        <v>8570</v>
      </c>
      <c r="O2587" t="s">
        <v>8571</v>
      </c>
      <c r="P2587" s="2" t="s">
        <v>37</v>
      </c>
      <c r="Q2587" t="s">
        <v>1208</v>
      </c>
      <c r="R2587">
        <v>8.6999999999999993</v>
      </c>
      <c r="S2587">
        <v>137.75</v>
      </c>
      <c r="T2587" t="s">
        <v>8572</v>
      </c>
    </row>
    <row r="2588" spans="1:20" x14ac:dyDescent="0.25">
      <c r="A2588" s="1" t="str">
        <f>HYPERLINK("https://vegkart.atlas.vegvesen.no/#/@228704.7,6607019.2,18/hva:hva%5B0%5D%5Bfilter%5D%5B0%5D%5Boperator%5D=%21%3D&amp;hva%5B0%5D%5Bfilter%5D%5B0%5D%5Btype_id%5D=4723&amp;hva%5B0%5D%5Bfilter%5D%5B0%5D%5Bverdi%5D=&amp;hva%5B0%5D%5Bid%5D=15/når:2025-06-19", "Vegkart")</f>
        <v>Vegkart</v>
      </c>
      <c r="B2588">
        <v>1024500376</v>
      </c>
      <c r="C2588">
        <v>15</v>
      </c>
      <c r="D2588" t="s">
        <v>5814</v>
      </c>
      <c r="E2588">
        <v>4723</v>
      </c>
      <c r="F2588" t="s">
        <v>23479</v>
      </c>
      <c r="G2588">
        <v>1</v>
      </c>
      <c r="H2588" t="s">
        <v>8487</v>
      </c>
      <c r="J2588" t="s">
        <v>8436</v>
      </c>
      <c r="K2588" t="s">
        <v>81</v>
      </c>
      <c r="L2588" t="s">
        <v>80</v>
      </c>
      <c r="M2588" t="s">
        <v>53</v>
      </c>
      <c r="N2588" t="s">
        <v>8573</v>
      </c>
      <c r="O2588" t="s">
        <v>8574</v>
      </c>
      <c r="P2588" s="2" t="s">
        <v>37</v>
      </c>
      <c r="Q2588" t="s">
        <v>1208</v>
      </c>
      <c r="R2588">
        <v>4.5199999999999996</v>
      </c>
      <c r="S2588">
        <v>290.42</v>
      </c>
      <c r="T2588" t="s">
        <v>8575</v>
      </c>
    </row>
    <row r="2589" spans="1:20" x14ac:dyDescent="0.25">
      <c r="A2589" s="1" t="str">
        <f>HYPERLINK("https://vegkart.atlas.vegvesen.no/#/@203120.6,6561341.0,18/hva:hva%5B0%5D%5Bfilter%5D%5B0%5D%5Boperator%5D=%21%3D&amp;hva%5B0%5D%5Bfilter%5D%5B0%5D%5Btype_id%5D=4723&amp;hva%5B0%5D%5Bfilter%5D%5B0%5D%5Bverdi%5D=&amp;hva%5B0%5D%5Bid%5D=15/når:2025-06-19", "Vegkart")</f>
        <v>Vegkart</v>
      </c>
      <c r="B2589">
        <v>1024500377</v>
      </c>
      <c r="C2589">
        <v>15</v>
      </c>
      <c r="D2589" t="s">
        <v>5814</v>
      </c>
      <c r="E2589">
        <v>4723</v>
      </c>
      <c r="F2589" t="s">
        <v>23479</v>
      </c>
      <c r="G2589">
        <v>1</v>
      </c>
      <c r="H2589" t="s">
        <v>8487</v>
      </c>
      <c r="J2589" t="s">
        <v>8436</v>
      </c>
      <c r="K2589" t="s">
        <v>197</v>
      </c>
      <c r="L2589" t="s">
        <v>80</v>
      </c>
      <c r="M2589" t="s">
        <v>53</v>
      </c>
      <c r="N2589" t="s">
        <v>8561</v>
      </c>
      <c r="O2589" t="s">
        <v>8576</v>
      </c>
      <c r="P2589" s="2" t="s">
        <v>37</v>
      </c>
      <c r="Q2589" t="s">
        <v>1208</v>
      </c>
      <c r="R2589">
        <v>15.93</v>
      </c>
      <c r="S2589">
        <v>275.36</v>
      </c>
      <c r="T2589" t="s">
        <v>8577</v>
      </c>
    </row>
    <row r="2590" spans="1:20" x14ac:dyDescent="0.25">
      <c r="A2590" s="1" t="str">
        <f>HYPERLINK("https://vegkart.atlas.vegvesen.no/#/@217188.2,6560083.0,18/hva:hva%5B0%5D%5Bfilter%5D%5B0%5D%5Boperator%5D=%21%3D&amp;hva%5B0%5D%5Bfilter%5D%5B0%5D%5Btype_id%5D=4723&amp;hva%5B0%5D%5Bfilter%5D%5B0%5D%5Bverdi%5D=&amp;hva%5B0%5D%5Bid%5D=15/når:2025-06-19", "Vegkart")</f>
        <v>Vegkart</v>
      </c>
      <c r="B2590">
        <v>1024500378</v>
      </c>
      <c r="C2590">
        <v>15</v>
      </c>
      <c r="D2590" t="s">
        <v>5814</v>
      </c>
      <c r="E2590">
        <v>4723</v>
      </c>
      <c r="F2590" t="s">
        <v>23479</v>
      </c>
      <c r="G2590">
        <v>1</v>
      </c>
      <c r="H2590" t="s">
        <v>8487</v>
      </c>
      <c r="J2590" t="s">
        <v>8436</v>
      </c>
      <c r="K2590" t="s">
        <v>81</v>
      </c>
      <c r="L2590" t="s">
        <v>80</v>
      </c>
      <c r="M2590" t="s">
        <v>53</v>
      </c>
      <c r="N2590" t="s">
        <v>8578</v>
      </c>
      <c r="O2590" t="s">
        <v>8579</v>
      </c>
      <c r="P2590" s="2" t="s">
        <v>37</v>
      </c>
      <c r="Q2590" t="s">
        <v>1208</v>
      </c>
      <c r="R2590">
        <v>7.44</v>
      </c>
      <c r="S2590">
        <v>184.12</v>
      </c>
      <c r="T2590" t="s">
        <v>8580</v>
      </c>
    </row>
    <row r="2591" spans="1:20" x14ac:dyDescent="0.25">
      <c r="A2591" s="1" t="str">
        <f>HYPERLINK("https://vegkart.atlas.vegvesen.no/#/@227907.7,6613874.2,18/hva:hva%5B0%5D%5Bfilter%5D%5B0%5D%5Boperator%5D=%21%3D&amp;hva%5B0%5D%5Bfilter%5D%5B0%5D%5Btype_id%5D=4723&amp;hva%5B0%5D%5Bfilter%5D%5B0%5D%5Bverdi%5D=&amp;hva%5B0%5D%5Bid%5D=15/når:2025-06-19", "Vegkart")</f>
        <v>Vegkart</v>
      </c>
      <c r="B2591">
        <v>1024500379</v>
      </c>
      <c r="C2591">
        <v>15</v>
      </c>
      <c r="D2591" t="s">
        <v>5814</v>
      </c>
      <c r="E2591">
        <v>4723</v>
      </c>
      <c r="F2591" t="s">
        <v>23479</v>
      </c>
      <c r="G2591">
        <v>1</v>
      </c>
      <c r="H2591" t="s">
        <v>8487</v>
      </c>
      <c r="J2591" t="s">
        <v>8436</v>
      </c>
      <c r="K2591" t="s">
        <v>81</v>
      </c>
      <c r="L2591" t="s">
        <v>80</v>
      </c>
      <c r="M2591" t="s">
        <v>53</v>
      </c>
      <c r="N2591" t="s">
        <v>8581</v>
      </c>
      <c r="O2591" t="s">
        <v>8582</v>
      </c>
      <c r="P2591" s="2" t="s">
        <v>67</v>
      </c>
      <c r="Q2591" t="s">
        <v>68</v>
      </c>
      <c r="R2591">
        <v>141.96</v>
      </c>
      <c r="S2591">
        <v>158.19999999999999</v>
      </c>
      <c r="T2591" t="s">
        <v>8583</v>
      </c>
    </row>
    <row r="2592" spans="1:20" x14ac:dyDescent="0.25">
      <c r="A2592" s="1" t="str">
        <f>HYPERLINK("https://vegkart.atlas.vegvesen.no/#/@229078.1,6619062.3,18/hva:hva%5B0%5D%5Bfilter%5D%5B0%5D%5Boperator%5D=%21%3D&amp;hva%5B0%5D%5Bfilter%5D%5B0%5D%5Btype_id%5D=4723&amp;hva%5B0%5D%5Bfilter%5D%5B0%5D%5Bverdi%5D=&amp;hva%5B0%5D%5Bid%5D=15/når:2025-06-19", "Vegkart")</f>
        <v>Vegkart</v>
      </c>
      <c r="B2592">
        <v>1024500380</v>
      </c>
      <c r="C2592">
        <v>15</v>
      </c>
      <c r="D2592" t="s">
        <v>5814</v>
      </c>
      <c r="E2592">
        <v>4723</v>
      </c>
      <c r="F2592" t="s">
        <v>23479</v>
      </c>
      <c r="G2592">
        <v>1</v>
      </c>
      <c r="H2592" t="s">
        <v>8487</v>
      </c>
      <c r="J2592" t="s">
        <v>8436</v>
      </c>
      <c r="K2592" t="s">
        <v>81</v>
      </c>
      <c r="L2592" t="s">
        <v>80</v>
      </c>
      <c r="M2592" t="s">
        <v>53</v>
      </c>
      <c r="N2592" t="s">
        <v>8584</v>
      </c>
      <c r="O2592" t="s">
        <v>8585</v>
      </c>
      <c r="P2592" s="2" t="s">
        <v>67</v>
      </c>
      <c r="Q2592" t="s">
        <v>68</v>
      </c>
      <c r="R2592">
        <v>78.680000000000007</v>
      </c>
      <c r="S2592">
        <v>82.42</v>
      </c>
      <c r="T2592" t="s">
        <v>8586</v>
      </c>
    </row>
    <row r="2593" spans="1:20" x14ac:dyDescent="0.25">
      <c r="A2593" s="1" t="str">
        <f>HYPERLINK("https://vegkart.atlas.vegvesen.no/#/@220198.0,6562653.7,18/hva:hva%5B0%5D%5Bfilter%5D%5B0%5D%5Boperator%5D=%21%3D&amp;hva%5B0%5D%5Bfilter%5D%5B0%5D%5Btype_id%5D=4723&amp;hva%5B0%5D%5Bfilter%5D%5B0%5D%5Bverdi%5D=&amp;hva%5B0%5D%5Bid%5D=15/når:2025-06-19", "Vegkart")</f>
        <v>Vegkart</v>
      </c>
      <c r="B2593">
        <v>1024500381</v>
      </c>
      <c r="C2593">
        <v>15</v>
      </c>
      <c r="D2593" t="s">
        <v>5814</v>
      </c>
      <c r="E2593">
        <v>4723</v>
      </c>
      <c r="F2593" t="s">
        <v>23479</v>
      </c>
      <c r="G2593">
        <v>1</v>
      </c>
      <c r="H2593" t="s">
        <v>8487</v>
      </c>
      <c r="J2593" t="s">
        <v>8436</v>
      </c>
      <c r="K2593" t="s">
        <v>81</v>
      </c>
      <c r="L2593" t="s">
        <v>80</v>
      </c>
      <c r="M2593" t="s">
        <v>53</v>
      </c>
      <c r="N2593" t="s">
        <v>8497</v>
      </c>
      <c r="O2593" t="s">
        <v>8587</v>
      </c>
      <c r="P2593" s="2" t="s">
        <v>67</v>
      </c>
      <c r="Q2593" t="s">
        <v>68</v>
      </c>
      <c r="R2593">
        <v>20.72</v>
      </c>
      <c r="S2593">
        <v>218.13</v>
      </c>
      <c r="T2593" t="s">
        <v>8588</v>
      </c>
    </row>
    <row r="2594" spans="1:20" x14ac:dyDescent="0.25">
      <c r="A2594" s="1" t="str">
        <f>HYPERLINK("https://vegkart.atlas.vegvesen.no/#/@222209.7,6564392.1,18/hva:hva%5B0%5D%5Bfilter%5D%5B0%5D%5Boperator%5D=%21%3D&amp;hva%5B0%5D%5Bfilter%5D%5B0%5D%5Btype_id%5D=4723&amp;hva%5B0%5D%5Bfilter%5D%5B0%5D%5Bverdi%5D=&amp;hva%5B0%5D%5Bid%5D=15/når:2025-06-19", "Vegkart")</f>
        <v>Vegkart</v>
      </c>
      <c r="B2594">
        <v>1024500382</v>
      </c>
      <c r="C2594">
        <v>15</v>
      </c>
      <c r="D2594" t="s">
        <v>5814</v>
      </c>
      <c r="E2594">
        <v>4723</v>
      </c>
      <c r="F2594" t="s">
        <v>23479</v>
      </c>
      <c r="G2594">
        <v>1</v>
      </c>
      <c r="H2594" t="s">
        <v>8487</v>
      </c>
      <c r="J2594" t="s">
        <v>8436</v>
      </c>
      <c r="K2594" t="s">
        <v>81</v>
      </c>
      <c r="L2594" t="s">
        <v>80</v>
      </c>
      <c r="M2594" t="s">
        <v>53</v>
      </c>
      <c r="N2594" t="s">
        <v>8589</v>
      </c>
      <c r="O2594" t="s">
        <v>8590</v>
      </c>
      <c r="P2594" s="2" t="s">
        <v>37</v>
      </c>
      <c r="Q2594" t="s">
        <v>1208</v>
      </c>
      <c r="R2594">
        <v>12.72</v>
      </c>
      <c r="S2594">
        <v>355.8</v>
      </c>
      <c r="T2594" t="s">
        <v>8591</v>
      </c>
    </row>
    <row r="2595" spans="1:20" x14ac:dyDescent="0.25">
      <c r="A2595" s="1" t="str">
        <f>HYPERLINK("https://vegkart.atlas.vegvesen.no/#/@236401.1,6583941.7,18/hva:hva%5B0%5D%5Bfilter%5D%5B0%5D%5Boperator%5D=%21%3D&amp;hva%5B0%5D%5Bfilter%5D%5B0%5D%5Btype_id%5D=4723&amp;hva%5B0%5D%5Bfilter%5D%5B0%5D%5Bverdi%5D=&amp;hva%5B0%5D%5Bid%5D=15/når:2025-06-19", "Vegkart")</f>
        <v>Vegkart</v>
      </c>
      <c r="B2595">
        <v>1024500383</v>
      </c>
      <c r="C2595">
        <v>15</v>
      </c>
      <c r="D2595" t="s">
        <v>5814</v>
      </c>
      <c r="E2595">
        <v>4723</v>
      </c>
      <c r="F2595" t="s">
        <v>23479</v>
      </c>
      <c r="G2595">
        <v>1</v>
      </c>
      <c r="H2595" t="s">
        <v>8487</v>
      </c>
      <c r="J2595" t="s">
        <v>8436</v>
      </c>
      <c r="K2595" t="s">
        <v>81</v>
      </c>
      <c r="L2595" t="s">
        <v>80</v>
      </c>
      <c r="M2595" t="s">
        <v>53</v>
      </c>
      <c r="N2595" t="s">
        <v>8533</v>
      </c>
      <c r="O2595" t="s">
        <v>8592</v>
      </c>
      <c r="P2595" s="2" t="s">
        <v>37</v>
      </c>
      <c r="Q2595" t="s">
        <v>1208</v>
      </c>
      <c r="R2595">
        <v>2.61</v>
      </c>
      <c r="S2595">
        <v>337.64</v>
      </c>
      <c r="T2595" t="s">
        <v>8593</v>
      </c>
    </row>
    <row r="2596" spans="1:20" x14ac:dyDescent="0.25">
      <c r="A2596" s="1" t="str">
        <f>HYPERLINK("https://vegkart.atlas.vegvesen.no/#/@228962.3,6606630.6,18/hva:hva%5B0%5D%5Bfilter%5D%5B0%5D%5Boperator%5D=%21%3D&amp;hva%5B0%5D%5Bfilter%5D%5B0%5D%5Btype_id%5D=4723&amp;hva%5B0%5D%5Bfilter%5D%5B0%5D%5Bverdi%5D=&amp;hva%5B0%5D%5Bid%5D=15/når:2025-06-19", "Vegkart")</f>
        <v>Vegkart</v>
      </c>
      <c r="B2596">
        <v>1024500384</v>
      </c>
      <c r="C2596">
        <v>15</v>
      </c>
      <c r="D2596" t="s">
        <v>5814</v>
      </c>
      <c r="E2596">
        <v>4723</v>
      </c>
      <c r="F2596" t="s">
        <v>23479</v>
      </c>
      <c r="G2596">
        <v>1</v>
      </c>
      <c r="H2596" t="s">
        <v>8487</v>
      </c>
      <c r="J2596" t="s">
        <v>8436</v>
      </c>
      <c r="K2596" t="s">
        <v>81</v>
      </c>
      <c r="L2596" t="s">
        <v>80</v>
      </c>
      <c r="M2596" t="s">
        <v>53</v>
      </c>
      <c r="N2596" t="s">
        <v>8594</v>
      </c>
      <c r="O2596" t="s">
        <v>8595</v>
      </c>
      <c r="P2596" s="2" t="s">
        <v>67</v>
      </c>
      <c r="Q2596" t="s">
        <v>68</v>
      </c>
      <c r="R2596">
        <v>38.049999999999997</v>
      </c>
      <c r="S2596">
        <v>95.46</v>
      </c>
      <c r="T2596" t="s">
        <v>8596</v>
      </c>
    </row>
    <row r="2597" spans="1:20" x14ac:dyDescent="0.25">
      <c r="A2597" s="1" t="str">
        <f>HYPERLINK("https://vegkart.atlas.vegvesen.no/#/@234307.2,6581522.8,18/hva:hva%5B0%5D%5Bfilter%5D%5B0%5D%5Boperator%5D=%21%3D&amp;hva%5B0%5D%5Bfilter%5D%5B0%5D%5Btype_id%5D=4723&amp;hva%5B0%5D%5Bfilter%5D%5B0%5D%5Bverdi%5D=&amp;hva%5B0%5D%5Bid%5D=15/når:2025-06-19", "Vegkart")</f>
        <v>Vegkart</v>
      </c>
      <c r="B2597">
        <v>1024500385</v>
      </c>
      <c r="C2597">
        <v>15</v>
      </c>
      <c r="D2597" t="s">
        <v>5814</v>
      </c>
      <c r="E2597">
        <v>4723</v>
      </c>
      <c r="F2597" t="s">
        <v>23479</v>
      </c>
      <c r="G2597">
        <v>1</v>
      </c>
      <c r="H2597" t="s">
        <v>8487</v>
      </c>
      <c r="J2597" t="s">
        <v>8436</v>
      </c>
      <c r="K2597" t="s">
        <v>81</v>
      </c>
      <c r="L2597" t="s">
        <v>80</v>
      </c>
      <c r="M2597" t="s">
        <v>53</v>
      </c>
      <c r="N2597" t="s">
        <v>8597</v>
      </c>
      <c r="O2597" t="s">
        <v>8598</v>
      </c>
      <c r="P2597" s="2" t="s">
        <v>37</v>
      </c>
      <c r="Q2597" t="s">
        <v>1208</v>
      </c>
      <c r="R2597">
        <v>4.54</v>
      </c>
      <c r="S2597">
        <v>230.52</v>
      </c>
      <c r="T2597" t="s">
        <v>8599</v>
      </c>
    </row>
    <row r="2598" spans="1:20" x14ac:dyDescent="0.25">
      <c r="A2598" s="1" t="str">
        <f>HYPERLINK("https://vegkart.atlas.vegvesen.no/#/@237054.7,6596242.2,18/hva:hva%5B0%5D%5Bfilter%5D%5B0%5D%5Boperator%5D=%21%3D&amp;hva%5B0%5D%5Bfilter%5D%5B0%5D%5Btype_id%5D=4723&amp;hva%5B0%5D%5Bfilter%5D%5B0%5D%5Bverdi%5D=&amp;hva%5B0%5D%5Bid%5D=15/når:2025-06-19", "Vegkart")</f>
        <v>Vegkart</v>
      </c>
      <c r="B2598">
        <v>1024500386</v>
      </c>
      <c r="C2598">
        <v>15</v>
      </c>
      <c r="D2598" t="s">
        <v>5814</v>
      </c>
      <c r="E2598">
        <v>4723</v>
      </c>
      <c r="F2598" t="s">
        <v>23479</v>
      </c>
      <c r="G2598">
        <v>1</v>
      </c>
      <c r="H2598" t="s">
        <v>8487</v>
      </c>
      <c r="J2598" t="s">
        <v>8436</v>
      </c>
      <c r="K2598" t="s">
        <v>81</v>
      </c>
      <c r="L2598" t="s">
        <v>80</v>
      </c>
      <c r="M2598" t="s">
        <v>53</v>
      </c>
      <c r="N2598" t="s">
        <v>8600</v>
      </c>
      <c r="O2598" t="s">
        <v>8601</v>
      </c>
      <c r="P2598" s="2" t="s">
        <v>37</v>
      </c>
      <c r="Q2598" t="s">
        <v>1208</v>
      </c>
      <c r="R2598">
        <v>4.29</v>
      </c>
      <c r="S2598">
        <v>283.75</v>
      </c>
      <c r="T2598" t="s">
        <v>8602</v>
      </c>
    </row>
    <row r="2599" spans="1:20" x14ac:dyDescent="0.25">
      <c r="A2599" s="1" t="str">
        <f>HYPERLINK("https://vegkart.atlas.vegvesen.no/#/@227837.0,6613967.4,18/hva:hva%5B0%5D%5Bfilter%5D%5B0%5D%5Boperator%5D=%21%3D&amp;hva%5B0%5D%5Bfilter%5D%5B0%5D%5Btype_id%5D=4723&amp;hva%5B0%5D%5Bfilter%5D%5B0%5D%5Bverdi%5D=&amp;hva%5B0%5D%5Bid%5D=15/når:2025-06-19", "Vegkart")</f>
        <v>Vegkart</v>
      </c>
      <c r="B2599">
        <v>1024500387</v>
      </c>
      <c r="C2599">
        <v>15</v>
      </c>
      <c r="D2599" t="s">
        <v>5814</v>
      </c>
      <c r="E2599">
        <v>4723</v>
      </c>
      <c r="F2599" t="s">
        <v>23479</v>
      </c>
      <c r="G2599">
        <v>1</v>
      </c>
      <c r="H2599" t="s">
        <v>8487</v>
      </c>
      <c r="J2599" t="s">
        <v>8436</v>
      </c>
      <c r="K2599" t="s">
        <v>81</v>
      </c>
      <c r="L2599" t="s">
        <v>80</v>
      </c>
      <c r="M2599" t="s">
        <v>53</v>
      </c>
      <c r="N2599" t="s">
        <v>8603</v>
      </c>
      <c r="O2599" t="s">
        <v>8604</v>
      </c>
      <c r="P2599" s="2" t="s">
        <v>37</v>
      </c>
      <c r="Q2599" t="s">
        <v>1208</v>
      </c>
      <c r="R2599">
        <v>2.7</v>
      </c>
      <c r="S2599">
        <v>378.67</v>
      </c>
      <c r="T2599" t="s">
        <v>8605</v>
      </c>
    </row>
    <row r="2600" spans="1:20" x14ac:dyDescent="0.25">
      <c r="A2600" s="1" t="str">
        <f>HYPERLINK("https://vegkart.atlas.vegvesen.no/#/@236485.8,6584043.7,18/hva:hva%5B0%5D%5Bfilter%5D%5B0%5D%5Boperator%5D=%21%3D&amp;hva%5B0%5D%5Bfilter%5D%5B0%5D%5Btype_id%5D=4723&amp;hva%5B0%5D%5Bfilter%5D%5B0%5D%5Bverdi%5D=&amp;hva%5B0%5D%5Bid%5D=15/når:2025-06-19", "Vegkart")</f>
        <v>Vegkart</v>
      </c>
      <c r="B2600">
        <v>1024500388</v>
      </c>
      <c r="C2600">
        <v>15</v>
      </c>
      <c r="D2600" t="s">
        <v>5814</v>
      </c>
      <c r="E2600">
        <v>4723</v>
      </c>
      <c r="F2600" t="s">
        <v>23479</v>
      </c>
      <c r="G2600">
        <v>1</v>
      </c>
      <c r="H2600" t="s">
        <v>8487</v>
      </c>
      <c r="J2600" t="s">
        <v>8436</v>
      </c>
      <c r="K2600" t="s">
        <v>81</v>
      </c>
      <c r="L2600" t="s">
        <v>80</v>
      </c>
      <c r="M2600" t="s">
        <v>53</v>
      </c>
      <c r="N2600" t="s">
        <v>8606</v>
      </c>
      <c r="O2600" t="s">
        <v>8607</v>
      </c>
      <c r="P2600" s="2" t="s">
        <v>67</v>
      </c>
      <c r="Q2600" t="s">
        <v>68</v>
      </c>
      <c r="R2600">
        <v>134.29</v>
      </c>
      <c r="S2600">
        <v>188.81</v>
      </c>
      <c r="T2600" t="s">
        <v>8608</v>
      </c>
    </row>
    <row r="2601" spans="1:20" x14ac:dyDescent="0.25">
      <c r="A2601" s="1" t="str">
        <f>HYPERLINK("https://vegkart.atlas.vegvesen.no/#/@237065.6,6596369.4,18/hva:hva%5B0%5D%5Bfilter%5D%5B0%5D%5Boperator%5D=%21%3D&amp;hva%5B0%5D%5Bfilter%5D%5B0%5D%5Btype_id%5D=4723&amp;hva%5B0%5D%5Bfilter%5D%5B0%5D%5Bverdi%5D=&amp;hva%5B0%5D%5Bid%5D=15/når:2025-06-19", "Vegkart")</f>
        <v>Vegkart</v>
      </c>
      <c r="B2601">
        <v>1024500389</v>
      </c>
      <c r="C2601">
        <v>15</v>
      </c>
      <c r="D2601" t="s">
        <v>5814</v>
      </c>
      <c r="E2601">
        <v>4723</v>
      </c>
      <c r="F2601" t="s">
        <v>23479</v>
      </c>
      <c r="G2601">
        <v>1</v>
      </c>
      <c r="H2601" t="s">
        <v>8487</v>
      </c>
      <c r="J2601" t="s">
        <v>8436</v>
      </c>
      <c r="K2601" t="s">
        <v>81</v>
      </c>
      <c r="L2601" t="s">
        <v>80</v>
      </c>
      <c r="M2601" t="s">
        <v>53</v>
      </c>
      <c r="N2601" t="s">
        <v>8609</v>
      </c>
      <c r="O2601" t="s">
        <v>8610</v>
      </c>
      <c r="P2601" s="2" t="s">
        <v>37</v>
      </c>
      <c r="Q2601" t="s">
        <v>1208</v>
      </c>
      <c r="R2601">
        <v>7.87</v>
      </c>
      <c r="S2601">
        <v>247.24</v>
      </c>
      <c r="T2601" t="s">
        <v>8611</v>
      </c>
    </row>
    <row r="2602" spans="1:20" x14ac:dyDescent="0.25">
      <c r="A2602" s="1" t="str">
        <f>HYPERLINK("https://vegkart.atlas.vegvesen.no/#/@228685.8,6607155.9,18/hva:hva%5B0%5D%5Bfilter%5D%5B0%5D%5Boperator%5D=%21%3D&amp;hva%5B0%5D%5Bfilter%5D%5B0%5D%5Btype_id%5D=4723&amp;hva%5B0%5D%5Bfilter%5D%5B0%5D%5Bverdi%5D=&amp;hva%5B0%5D%5Bid%5D=15/når:2025-06-19", "Vegkart")</f>
        <v>Vegkart</v>
      </c>
      <c r="B2602">
        <v>1024500390</v>
      </c>
      <c r="C2602">
        <v>15</v>
      </c>
      <c r="D2602" t="s">
        <v>5814</v>
      </c>
      <c r="E2602">
        <v>4723</v>
      </c>
      <c r="F2602" t="s">
        <v>23479</v>
      </c>
      <c r="G2602">
        <v>1</v>
      </c>
      <c r="H2602" t="s">
        <v>8487</v>
      </c>
      <c r="J2602" t="s">
        <v>8436</v>
      </c>
      <c r="K2602" t="s">
        <v>81</v>
      </c>
      <c r="L2602" t="s">
        <v>80</v>
      </c>
      <c r="M2602" t="s">
        <v>53</v>
      </c>
      <c r="N2602" t="s">
        <v>8612</v>
      </c>
      <c r="O2602" t="s">
        <v>8613</v>
      </c>
      <c r="P2602" s="2" t="s">
        <v>67</v>
      </c>
      <c r="Q2602" t="s">
        <v>68</v>
      </c>
      <c r="R2602">
        <v>105.27</v>
      </c>
      <c r="S2602">
        <v>174.03</v>
      </c>
      <c r="T2602" t="s">
        <v>8614</v>
      </c>
    </row>
    <row r="2603" spans="1:20" x14ac:dyDescent="0.25">
      <c r="A2603" s="1" t="str">
        <f>HYPERLINK("https://vegkart.atlas.vegvesen.no/#/@228783.8,6607017.6,18/hva:hva%5B0%5D%5Bfilter%5D%5B0%5D%5Boperator%5D=%21%3D&amp;hva%5B0%5D%5Bfilter%5D%5B0%5D%5Btype_id%5D=4723&amp;hva%5B0%5D%5Bfilter%5D%5B0%5D%5Bverdi%5D=&amp;hva%5B0%5D%5Bid%5D=15/når:2025-06-19", "Vegkart")</f>
        <v>Vegkart</v>
      </c>
      <c r="B2603">
        <v>1024500391</v>
      </c>
      <c r="C2603">
        <v>15</v>
      </c>
      <c r="D2603" t="s">
        <v>5814</v>
      </c>
      <c r="E2603">
        <v>4723</v>
      </c>
      <c r="F2603" t="s">
        <v>23479</v>
      </c>
      <c r="G2603">
        <v>1</v>
      </c>
      <c r="H2603" t="s">
        <v>8487</v>
      </c>
      <c r="J2603" t="s">
        <v>8436</v>
      </c>
      <c r="K2603" t="s">
        <v>81</v>
      </c>
      <c r="L2603" t="s">
        <v>80</v>
      </c>
      <c r="M2603" t="s">
        <v>53</v>
      </c>
      <c r="N2603" t="s">
        <v>8615</v>
      </c>
      <c r="O2603" t="s">
        <v>8616</v>
      </c>
      <c r="P2603" s="2" t="s">
        <v>67</v>
      </c>
      <c r="Q2603" t="s">
        <v>68</v>
      </c>
      <c r="R2603">
        <v>33.61</v>
      </c>
      <c r="S2603">
        <v>380.1</v>
      </c>
      <c r="T2603" t="s">
        <v>8617</v>
      </c>
    </row>
    <row r="2604" spans="1:20" x14ac:dyDescent="0.25">
      <c r="A2604" s="1" t="str">
        <f>HYPERLINK("https://vegkart.atlas.vegvesen.no/#/@211582.7,6558096.2,18/hva:hva%5B0%5D%5Bfilter%5D%5B0%5D%5Boperator%5D=%21%3D&amp;hva%5B0%5D%5Bfilter%5D%5B0%5D%5Btype_id%5D=4723&amp;hva%5B0%5D%5Bfilter%5D%5B0%5D%5Bverdi%5D=&amp;hva%5B0%5D%5Bid%5D=15/når:2025-06-19", "Vegkart")</f>
        <v>Vegkart</v>
      </c>
      <c r="B2604">
        <v>1024500392</v>
      </c>
      <c r="C2604">
        <v>15</v>
      </c>
      <c r="D2604" t="s">
        <v>5814</v>
      </c>
      <c r="E2604">
        <v>4723</v>
      </c>
      <c r="F2604" t="s">
        <v>23479</v>
      </c>
      <c r="G2604">
        <v>1</v>
      </c>
      <c r="H2604" t="s">
        <v>8487</v>
      </c>
      <c r="J2604" t="s">
        <v>8436</v>
      </c>
      <c r="K2604" t="s">
        <v>81</v>
      </c>
      <c r="L2604" t="s">
        <v>80</v>
      </c>
      <c r="M2604" t="s">
        <v>53</v>
      </c>
      <c r="N2604" t="s">
        <v>8570</v>
      </c>
      <c r="O2604" t="s">
        <v>8618</v>
      </c>
      <c r="P2604" s="2" t="s">
        <v>37</v>
      </c>
      <c r="Q2604" t="s">
        <v>1208</v>
      </c>
      <c r="R2604">
        <v>7.8</v>
      </c>
      <c r="S2604">
        <v>250.02</v>
      </c>
      <c r="T2604" t="s">
        <v>8619</v>
      </c>
    </row>
    <row r="2605" spans="1:20" x14ac:dyDescent="0.25">
      <c r="A2605" s="1" t="str">
        <f>HYPERLINK("https://vegkart.atlas.vegvesen.no/#/@236412.2,6584107.5,18/hva:hva%5B0%5D%5Bfilter%5D%5B0%5D%5Boperator%5D=%21%3D&amp;hva%5B0%5D%5Bfilter%5D%5B0%5D%5Btype_id%5D=4723&amp;hva%5B0%5D%5Bfilter%5D%5B0%5D%5Bverdi%5D=&amp;hva%5B0%5D%5Bid%5D=15/når:2025-06-19", "Vegkart")</f>
        <v>Vegkart</v>
      </c>
      <c r="B2605">
        <v>1024500393</v>
      </c>
      <c r="C2605">
        <v>15</v>
      </c>
      <c r="D2605" t="s">
        <v>5814</v>
      </c>
      <c r="E2605">
        <v>4723</v>
      </c>
      <c r="F2605" t="s">
        <v>23479</v>
      </c>
      <c r="G2605">
        <v>1</v>
      </c>
      <c r="H2605" t="s">
        <v>8487</v>
      </c>
      <c r="J2605" t="s">
        <v>8436</v>
      </c>
      <c r="K2605" t="s">
        <v>81</v>
      </c>
      <c r="L2605" t="s">
        <v>80</v>
      </c>
      <c r="M2605" t="s">
        <v>53</v>
      </c>
      <c r="N2605" t="s">
        <v>8606</v>
      </c>
      <c r="O2605" t="s">
        <v>8620</v>
      </c>
      <c r="P2605" s="2" t="s">
        <v>67</v>
      </c>
      <c r="Q2605" t="s">
        <v>68</v>
      </c>
      <c r="R2605">
        <v>132.88999999999999</v>
      </c>
      <c r="S2605">
        <v>200.37</v>
      </c>
      <c r="T2605" t="s">
        <v>8621</v>
      </c>
    </row>
    <row r="2606" spans="1:20" x14ac:dyDescent="0.25">
      <c r="A2606" s="1" t="str">
        <f>HYPERLINK("https://vegkart.atlas.vegvesen.no/#/@232815.6,6580699.3,18/hva:hva%5B0%5D%5Bfilter%5D%5B0%5D%5Boperator%5D=%21%3D&amp;hva%5B0%5D%5Bfilter%5D%5B0%5D%5Btype_id%5D=4723&amp;hva%5B0%5D%5Bfilter%5D%5B0%5D%5Bverdi%5D=&amp;hva%5B0%5D%5Bid%5D=15/når:2025-06-19", "Vegkart")</f>
        <v>Vegkart</v>
      </c>
      <c r="B2606">
        <v>1024500394</v>
      </c>
      <c r="C2606">
        <v>15</v>
      </c>
      <c r="D2606" t="s">
        <v>5814</v>
      </c>
      <c r="E2606">
        <v>4723</v>
      </c>
      <c r="F2606" t="s">
        <v>23479</v>
      </c>
      <c r="G2606">
        <v>1</v>
      </c>
      <c r="H2606" t="s">
        <v>8487</v>
      </c>
      <c r="J2606" t="s">
        <v>8436</v>
      </c>
      <c r="K2606" t="s">
        <v>81</v>
      </c>
      <c r="L2606" t="s">
        <v>80</v>
      </c>
      <c r="M2606" t="s">
        <v>53</v>
      </c>
      <c r="N2606" t="s">
        <v>8622</v>
      </c>
      <c r="O2606" t="s">
        <v>8623</v>
      </c>
      <c r="P2606" s="2" t="s">
        <v>67</v>
      </c>
      <c r="Q2606" t="s">
        <v>68</v>
      </c>
      <c r="R2606">
        <v>115.6</v>
      </c>
      <c r="S2606">
        <v>467.15</v>
      </c>
      <c r="T2606" t="s">
        <v>8624</v>
      </c>
    </row>
    <row r="2607" spans="1:20" x14ac:dyDescent="0.25">
      <c r="A2607" s="1" t="str">
        <f>HYPERLINK("https://vegkart.atlas.vegvesen.no/#/@228269.0,6573002.6,18/hva:hva%5B0%5D%5Bfilter%5D%5B0%5D%5Boperator%5D=%21%3D&amp;hva%5B0%5D%5Bfilter%5D%5B0%5D%5Btype_id%5D=4723&amp;hva%5B0%5D%5Bfilter%5D%5B0%5D%5Bverdi%5D=&amp;hva%5B0%5D%5Bid%5D=15/når:2025-06-19", "Vegkart")</f>
        <v>Vegkart</v>
      </c>
      <c r="B2607">
        <v>1024500395</v>
      </c>
      <c r="C2607">
        <v>15</v>
      </c>
      <c r="D2607" t="s">
        <v>5814</v>
      </c>
      <c r="E2607">
        <v>4723</v>
      </c>
      <c r="F2607" t="s">
        <v>23479</v>
      </c>
      <c r="G2607">
        <v>1</v>
      </c>
      <c r="H2607" t="s">
        <v>8487</v>
      </c>
      <c r="J2607" t="s">
        <v>8436</v>
      </c>
      <c r="K2607" t="s">
        <v>81</v>
      </c>
      <c r="L2607" t="s">
        <v>80</v>
      </c>
      <c r="M2607" t="s">
        <v>53</v>
      </c>
      <c r="N2607" t="s">
        <v>8625</v>
      </c>
      <c r="O2607" t="s">
        <v>8626</v>
      </c>
      <c r="P2607" s="2" t="s">
        <v>37</v>
      </c>
      <c r="Q2607" t="s">
        <v>1208</v>
      </c>
      <c r="R2607">
        <v>15.79</v>
      </c>
      <c r="S2607">
        <v>268.13</v>
      </c>
      <c r="T2607" t="s">
        <v>8627</v>
      </c>
    </row>
    <row r="2608" spans="1:20" x14ac:dyDescent="0.25">
      <c r="A2608" s="1" t="str">
        <f>HYPERLINK("https://vegkart.atlas.vegvesen.no/#/@222286.4,6564314.1,18/hva:hva%5B0%5D%5Bfilter%5D%5B0%5D%5Boperator%5D=%21%3D&amp;hva%5B0%5D%5Bfilter%5D%5B0%5D%5Btype_id%5D=4723&amp;hva%5B0%5D%5Bfilter%5D%5B0%5D%5Bverdi%5D=&amp;hva%5B0%5D%5Bid%5D=15/når:2025-06-19", "Vegkart")</f>
        <v>Vegkart</v>
      </c>
      <c r="B2608">
        <v>1024500396</v>
      </c>
      <c r="C2608">
        <v>15</v>
      </c>
      <c r="D2608" t="s">
        <v>5814</v>
      </c>
      <c r="E2608">
        <v>4723</v>
      </c>
      <c r="F2608" t="s">
        <v>23479</v>
      </c>
      <c r="G2608">
        <v>1</v>
      </c>
      <c r="H2608" t="s">
        <v>8487</v>
      </c>
      <c r="J2608" t="s">
        <v>8436</v>
      </c>
      <c r="K2608" t="s">
        <v>81</v>
      </c>
      <c r="L2608" t="s">
        <v>80</v>
      </c>
      <c r="M2608" t="s">
        <v>53</v>
      </c>
      <c r="N2608" t="s">
        <v>8589</v>
      </c>
      <c r="O2608" t="s">
        <v>8628</v>
      </c>
      <c r="P2608" s="2" t="s">
        <v>67</v>
      </c>
      <c r="Q2608" t="s">
        <v>68</v>
      </c>
      <c r="R2608">
        <v>105.11</v>
      </c>
      <c r="S2608">
        <v>204.14</v>
      </c>
      <c r="T2608" t="s">
        <v>8629</v>
      </c>
    </row>
    <row r="2609" spans="1:20" x14ac:dyDescent="0.25">
      <c r="A2609" s="1" t="str">
        <f>HYPERLINK("https://vegkart.atlas.vegvesen.no/#/@228316.9,6572962.8,18/hva:hva%5B0%5D%5Bfilter%5D%5B0%5D%5Boperator%5D=%21%3D&amp;hva%5B0%5D%5Bfilter%5D%5B0%5D%5Btype_id%5D=4723&amp;hva%5B0%5D%5Bfilter%5D%5B0%5D%5Bverdi%5D=&amp;hva%5B0%5D%5Bid%5D=15/når:2025-06-19", "Vegkart")</f>
        <v>Vegkart</v>
      </c>
      <c r="B2609">
        <v>1024500397</v>
      </c>
      <c r="C2609">
        <v>15</v>
      </c>
      <c r="D2609" t="s">
        <v>5814</v>
      </c>
      <c r="E2609">
        <v>4723</v>
      </c>
      <c r="F2609" t="s">
        <v>23479</v>
      </c>
      <c r="G2609">
        <v>1</v>
      </c>
      <c r="H2609" t="s">
        <v>8487</v>
      </c>
      <c r="J2609" t="s">
        <v>8436</v>
      </c>
      <c r="K2609" t="s">
        <v>81</v>
      </c>
      <c r="L2609" t="s">
        <v>80</v>
      </c>
      <c r="M2609" t="s">
        <v>53</v>
      </c>
      <c r="N2609" t="s">
        <v>8625</v>
      </c>
      <c r="O2609" t="s">
        <v>8630</v>
      </c>
      <c r="P2609" s="2" t="s">
        <v>37</v>
      </c>
      <c r="Q2609" t="s">
        <v>1208</v>
      </c>
      <c r="R2609">
        <v>12.3</v>
      </c>
      <c r="S2609">
        <v>220.18</v>
      </c>
      <c r="T2609" t="s">
        <v>8631</v>
      </c>
    </row>
    <row r="2610" spans="1:20" x14ac:dyDescent="0.25">
      <c r="A2610" s="1" t="str">
        <f>HYPERLINK("https://vegkart.atlas.vegvesen.no/#/@237117.7,6596245.0,18/hva:hva%5B0%5D%5Bfilter%5D%5B0%5D%5Boperator%5D=%21%3D&amp;hva%5B0%5D%5Bfilter%5D%5B0%5D%5Btype_id%5D=4723&amp;hva%5B0%5D%5Bfilter%5D%5B0%5D%5Bverdi%5D=&amp;hva%5B0%5D%5Bid%5D=15/når:2025-06-19", "Vegkart")</f>
        <v>Vegkart</v>
      </c>
      <c r="B2610">
        <v>1024500398</v>
      </c>
      <c r="C2610">
        <v>15</v>
      </c>
      <c r="D2610" t="s">
        <v>5814</v>
      </c>
      <c r="E2610">
        <v>4723</v>
      </c>
      <c r="F2610" t="s">
        <v>23479</v>
      </c>
      <c r="G2610">
        <v>1</v>
      </c>
      <c r="H2610" t="s">
        <v>8487</v>
      </c>
      <c r="J2610" t="s">
        <v>8436</v>
      </c>
      <c r="K2610" t="s">
        <v>81</v>
      </c>
      <c r="L2610" t="s">
        <v>80</v>
      </c>
      <c r="M2610" t="s">
        <v>53</v>
      </c>
      <c r="N2610" t="s">
        <v>8632</v>
      </c>
      <c r="O2610" t="s">
        <v>8633</v>
      </c>
      <c r="P2610" s="2" t="s">
        <v>37</v>
      </c>
      <c r="Q2610" t="s">
        <v>1208</v>
      </c>
      <c r="R2610">
        <v>1.63</v>
      </c>
      <c r="S2610">
        <v>358.44</v>
      </c>
      <c r="T2610" t="s">
        <v>8634</v>
      </c>
    </row>
    <row r="2611" spans="1:20" x14ac:dyDescent="0.25">
      <c r="A2611" s="1" t="str">
        <f>HYPERLINK("https://vegkart.atlas.vegvesen.no/#/@197316.6,6565377.2,18/hva:hva%5B0%5D%5Bfilter%5D%5B0%5D%5Boperator%5D=%21%3D&amp;hva%5B0%5D%5Bfilter%5D%5B0%5D%5Btype_id%5D=4723&amp;hva%5B0%5D%5Bfilter%5D%5B0%5D%5Bverdi%5D=&amp;hva%5B0%5D%5Bid%5D=15/når:2025-06-19", "Vegkart")</f>
        <v>Vegkart</v>
      </c>
      <c r="B2611">
        <v>1024500399</v>
      </c>
      <c r="C2611">
        <v>15</v>
      </c>
      <c r="D2611" t="s">
        <v>5814</v>
      </c>
      <c r="E2611">
        <v>4723</v>
      </c>
      <c r="F2611" t="s">
        <v>23479</v>
      </c>
      <c r="G2611">
        <v>1</v>
      </c>
      <c r="H2611" t="s">
        <v>8487</v>
      </c>
      <c r="J2611" t="s">
        <v>8436</v>
      </c>
      <c r="K2611" t="s">
        <v>197</v>
      </c>
      <c r="L2611" t="s">
        <v>80</v>
      </c>
      <c r="M2611" t="s">
        <v>53</v>
      </c>
      <c r="N2611" t="s">
        <v>8635</v>
      </c>
      <c r="O2611" t="s">
        <v>8636</v>
      </c>
      <c r="P2611" s="2" t="s">
        <v>37</v>
      </c>
      <c r="Q2611" t="s">
        <v>1208</v>
      </c>
      <c r="R2611">
        <v>1.83</v>
      </c>
      <c r="S2611">
        <v>283.58</v>
      </c>
      <c r="T2611" t="s">
        <v>8637</v>
      </c>
    </row>
    <row r="2612" spans="1:20" x14ac:dyDescent="0.25">
      <c r="A2612" s="1" t="str">
        <f>HYPERLINK("https://vegkart.atlas.vegvesen.no/#/@234715.0,6601606.3,18/hva:hva%5B0%5D%5Bfilter%5D%5B0%5D%5Boperator%5D=%21%3D&amp;hva%5B0%5D%5Bfilter%5D%5B0%5D%5Btype_id%5D=4723&amp;hva%5B0%5D%5Bfilter%5D%5B0%5D%5Bverdi%5D=&amp;hva%5B0%5D%5Bid%5D=15/når:2025-06-19", "Vegkart")</f>
        <v>Vegkart</v>
      </c>
      <c r="B2612">
        <v>1024500400</v>
      </c>
      <c r="C2612">
        <v>15</v>
      </c>
      <c r="D2612" t="s">
        <v>5814</v>
      </c>
      <c r="E2612">
        <v>4723</v>
      </c>
      <c r="F2612" t="s">
        <v>23479</v>
      </c>
      <c r="G2612">
        <v>1</v>
      </c>
      <c r="H2612" t="s">
        <v>8487</v>
      </c>
      <c r="J2612" t="s">
        <v>8436</v>
      </c>
      <c r="K2612" t="s">
        <v>81</v>
      </c>
      <c r="L2612" t="s">
        <v>80</v>
      </c>
      <c r="M2612" t="s">
        <v>53</v>
      </c>
      <c r="N2612" t="s">
        <v>8638</v>
      </c>
      <c r="O2612" t="s">
        <v>8639</v>
      </c>
      <c r="P2612" s="2" t="s">
        <v>67</v>
      </c>
      <c r="Q2612" t="s">
        <v>68</v>
      </c>
      <c r="R2612">
        <v>44.28</v>
      </c>
      <c r="S2612">
        <v>104.31</v>
      </c>
      <c r="T2612" t="s">
        <v>8640</v>
      </c>
    </row>
    <row r="2613" spans="1:20" x14ac:dyDescent="0.25">
      <c r="A2613" s="1" t="str">
        <f>HYPERLINK("https://vegkart.atlas.vegvesen.no/#/@234341.5,6581456.6,18/hva:hva%5B0%5D%5Bfilter%5D%5B0%5D%5Boperator%5D=%21%3D&amp;hva%5B0%5D%5Bfilter%5D%5B0%5D%5Btype_id%5D=4723&amp;hva%5B0%5D%5Bfilter%5D%5B0%5D%5Bverdi%5D=&amp;hva%5B0%5D%5Bid%5D=15/når:2025-06-19", "Vegkart")</f>
        <v>Vegkart</v>
      </c>
      <c r="B2613">
        <v>1024500401</v>
      </c>
      <c r="C2613">
        <v>15</v>
      </c>
      <c r="D2613" t="s">
        <v>5814</v>
      </c>
      <c r="E2613">
        <v>4723</v>
      </c>
      <c r="F2613" t="s">
        <v>23479</v>
      </c>
      <c r="G2613">
        <v>1</v>
      </c>
      <c r="H2613" t="s">
        <v>8487</v>
      </c>
      <c r="J2613" t="s">
        <v>8436</v>
      </c>
      <c r="K2613" t="s">
        <v>81</v>
      </c>
      <c r="L2613" t="s">
        <v>80</v>
      </c>
      <c r="M2613" t="s">
        <v>53</v>
      </c>
      <c r="N2613" t="s">
        <v>8597</v>
      </c>
      <c r="O2613" t="s">
        <v>8641</v>
      </c>
      <c r="P2613" s="2" t="s">
        <v>67</v>
      </c>
      <c r="Q2613" t="s">
        <v>68</v>
      </c>
      <c r="R2613">
        <v>83.55</v>
      </c>
      <c r="S2613">
        <v>198.05</v>
      </c>
      <c r="T2613" t="s">
        <v>8642</v>
      </c>
    </row>
    <row r="2614" spans="1:20" x14ac:dyDescent="0.25">
      <c r="A2614" s="1" t="str">
        <f>HYPERLINK("https://vegkart.atlas.vegvesen.no/#/@228927.0,6618804.5,18/hva:hva%5B0%5D%5Bfilter%5D%5B0%5D%5Boperator%5D=%21%3D&amp;hva%5B0%5D%5Bfilter%5D%5B0%5D%5Btype_id%5D=4723&amp;hva%5B0%5D%5Bfilter%5D%5B0%5D%5Bverdi%5D=&amp;hva%5B0%5D%5Bid%5D=15/når:2025-06-19", "Vegkart")</f>
        <v>Vegkart</v>
      </c>
      <c r="B2614">
        <v>1024500402</v>
      </c>
      <c r="C2614">
        <v>15</v>
      </c>
      <c r="D2614" t="s">
        <v>5814</v>
      </c>
      <c r="E2614">
        <v>4723</v>
      </c>
      <c r="F2614" t="s">
        <v>23479</v>
      </c>
      <c r="G2614">
        <v>1</v>
      </c>
      <c r="H2614" t="s">
        <v>8487</v>
      </c>
      <c r="J2614" t="s">
        <v>8436</v>
      </c>
      <c r="K2614" t="s">
        <v>81</v>
      </c>
      <c r="L2614" t="s">
        <v>80</v>
      </c>
      <c r="M2614" t="s">
        <v>53</v>
      </c>
      <c r="N2614" t="s">
        <v>8643</v>
      </c>
      <c r="O2614" t="s">
        <v>8644</v>
      </c>
      <c r="P2614" s="2" t="s">
        <v>37</v>
      </c>
      <c r="Q2614" t="s">
        <v>1208</v>
      </c>
      <c r="R2614">
        <v>3.34</v>
      </c>
      <c r="S2614">
        <v>419.36</v>
      </c>
      <c r="T2614" t="s">
        <v>8645</v>
      </c>
    </row>
    <row r="2615" spans="1:20" x14ac:dyDescent="0.25">
      <c r="A2615" s="1" t="str">
        <f>HYPERLINK("https://vegkart.atlas.vegvesen.no/#/@-39581.6,6733155.4,18/hva:hva%5B0%5D%5Bfilter%5D%5B0%5D%5Boperator%5D=%21%3D&amp;hva%5B0%5D%5Bfilter%5D%5B0%5D%5Btype_id%5D=4723&amp;hva%5B0%5D%5Bfilter%5D%5B0%5D%5Bverdi%5D=&amp;hva%5B0%5D%5Bid%5D=15/når:2025-08-01", "Vegkart")</f>
        <v>Vegkart</v>
      </c>
      <c r="B2615">
        <v>1025130815</v>
      </c>
      <c r="C2615">
        <v>15</v>
      </c>
      <c r="D2615" t="s">
        <v>5814</v>
      </c>
      <c r="E2615">
        <v>4723</v>
      </c>
      <c r="F2615" t="s">
        <v>23479</v>
      </c>
      <c r="G2615">
        <v>1</v>
      </c>
      <c r="H2615" t="s">
        <v>700</v>
      </c>
      <c r="J2615" t="s">
        <v>8646</v>
      </c>
      <c r="K2615" t="s">
        <v>21</v>
      </c>
      <c r="L2615" t="s">
        <v>33</v>
      </c>
      <c r="M2615" t="s">
        <v>5789</v>
      </c>
      <c r="N2615" t="s">
        <v>8647</v>
      </c>
      <c r="O2615" t="s">
        <v>8648</v>
      </c>
      <c r="P2615" s="2" t="s">
        <v>37</v>
      </c>
      <c r="Q2615" t="s">
        <v>1208</v>
      </c>
      <c r="R2615">
        <v>0</v>
      </c>
      <c r="S2615">
        <v>146.4</v>
      </c>
      <c r="T2615" t="s">
        <v>8649</v>
      </c>
    </row>
    <row r="2616" spans="1:20" x14ac:dyDescent="0.25">
      <c r="A2616" s="1" t="str">
        <f>HYPERLINK("https://vegkart.atlas.vegvesen.no/#/@264641.2,6649678.8,18/hva:hva%5B0%5D%5Bfilter%5D%5B0%5D%5Boperator%5D=%21%3D&amp;hva%5B0%5D%5Bfilter%5D%5B0%5D%5Btype_id%5D=4723&amp;hva%5B0%5D%5Bfilter%5D%5B0%5D%5Bverdi%5D=&amp;hva%5B0%5D%5Bid%5D=15/når:2025-09-04", "Vegkart")</f>
        <v>Vegkart</v>
      </c>
      <c r="B2616">
        <v>1025223783</v>
      </c>
      <c r="C2616">
        <v>15</v>
      </c>
      <c r="D2616" t="s">
        <v>5814</v>
      </c>
      <c r="E2616">
        <v>4723</v>
      </c>
      <c r="F2616" t="s">
        <v>23479</v>
      </c>
      <c r="G2616">
        <v>1</v>
      </c>
      <c r="H2616" t="s">
        <v>8650</v>
      </c>
      <c r="J2616" t="s">
        <v>8646</v>
      </c>
      <c r="K2616" t="s">
        <v>335</v>
      </c>
      <c r="L2616" t="s">
        <v>370</v>
      </c>
      <c r="M2616" t="s">
        <v>8651</v>
      </c>
      <c r="N2616" t="s">
        <v>8652</v>
      </c>
      <c r="O2616" t="s">
        <v>8653</v>
      </c>
      <c r="P2616" s="2" t="s">
        <v>37</v>
      </c>
      <c r="Q2616" t="s">
        <v>1208</v>
      </c>
      <c r="R2616">
        <v>0</v>
      </c>
      <c r="S2616">
        <v>31.25</v>
      </c>
      <c r="T2616" t="s">
        <v>8654</v>
      </c>
    </row>
    <row r="2617" spans="1:20" x14ac:dyDescent="0.25">
      <c r="A2617" s="1" t="str">
        <f>HYPERLINK("https://vegkart.atlas.vegvesen.no/#/@264667.9,6649656.0,18/hva:hva%5B0%5D%5Bfilter%5D%5B0%5D%5Boperator%5D=%21%3D&amp;hva%5B0%5D%5Bfilter%5D%5B0%5D%5Btype_id%5D=4723&amp;hva%5B0%5D%5Bfilter%5D%5B0%5D%5Bverdi%5D=&amp;hva%5B0%5D%5Bid%5D=15/når:2025-09-04", "Vegkart")</f>
        <v>Vegkart</v>
      </c>
      <c r="B2617">
        <v>1025223784</v>
      </c>
      <c r="C2617">
        <v>15</v>
      </c>
      <c r="D2617" t="s">
        <v>5814</v>
      </c>
      <c r="E2617">
        <v>4723</v>
      </c>
      <c r="F2617" t="s">
        <v>23479</v>
      </c>
      <c r="G2617">
        <v>1</v>
      </c>
      <c r="H2617" t="s">
        <v>8650</v>
      </c>
      <c r="J2617" t="s">
        <v>8646</v>
      </c>
      <c r="K2617" t="s">
        <v>335</v>
      </c>
      <c r="L2617" t="s">
        <v>370</v>
      </c>
      <c r="M2617" t="s">
        <v>8651</v>
      </c>
      <c r="N2617" t="s">
        <v>8655</v>
      </c>
      <c r="O2617" t="s">
        <v>8656</v>
      </c>
      <c r="P2617" s="2" t="s">
        <v>37</v>
      </c>
      <c r="Q2617" t="s">
        <v>1208</v>
      </c>
      <c r="R2617">
        <v>0</v>
      </c>
      <c r="S2617">
        <v>21.76</v>
      </c>
      <c r="T2617" t="s">
        <v>8657</v>
      </c>
    </row>
    <row r="2618" spans="1:20" x14ac:dyDescent="0.25">
      <c r="A2618" s="1" t="str">
        <f>HYPERLINK("https://vegkart.atlas.vegvesen.no/#/@264653.9,6649668.1,18/hva:hva%5B0%5D%5Bfilter%5D%5B0%5D%5Boperator%5D=%21%3D&amp;hva%5B0%5D%5Bfilter%5D%5B0%5D%5Btype_id%5D=4723&amp;hva%5B0%5D%5Bfilter%5D%5B0%5D%5Bverdi%5D=&amp;hva%5B0%5D%5Bid%5D=15/når:2025-09-04", "Vegkart")</f>
        <v>Vegkart</v>
      </c>
      <c r="B2618">
        <v>1025223785</v>
      </c>
      <c r="C2618">
        <v>15</v>
      </c>
      <c r="D2618" t="s">
        <v>5814</v>
      </c>
      <c r="E2618">
        <v>4723</v>
      </c>
      <c r="F2618" t="s">
        <v>23479</v>
      </c>
      <c r="G2618">
        <v>1</v>
      </c>
      <c r="H2618" t="s">
        <v>8650</v>
      </c>
      <c r="J2618" t="s">
        <v>8646</v>
      </c>
      <c r="K2618" t="s">
        <v>335</v>
      </c>
      <c r="L2618" t="s">
        <v>370</v>
      </c>
      <c r="M2618" t="s">
        <v>8651</v>
      </c>
      <c r="N2618" t="s">
        <v>8658</v>
      </c>
      <c r="O2618" t="s">
        <v>8659</v>
      </c>
      <c r="P2618" s="2" t="s">
        <v>37</v>
      </c>
      <c r="Q2618" t="s">
        <v>1208</v>
      </c>
      <c r="R2618">
        <v>0</v>
      </c>
      <c r="S2618">
        <v>29.34</v>
      </c>
      <c r="T2618" t="s">
        <v>8660</v>
      </c>
    </row>
    <row r="2619" spans="1:20" x14ac:dyDescent="0.25">
      <c r="A2619" s="1" t="str">
        <f>HYPERLINK("https://vegkart.atlas.vegvesen.no/#/@264644.4,6649603.1,18/hva:hva%5B0%5D%5Bfilter%5D%5B0%5D%5Boperator%5D=%21%3D&amp;hva%5B0%5D%5Bfilter%5D%5B0%5D%5Btype_id%5D=4723&amp;hva%5B0%5D%5Bfilter%5D%5B0%5D%5Bverdi%5D=&amp;hva%5B0%5D%5Bid%5D=15/når:2025-09-04", "Vegkart")</f>
        <v>Vegkart</v>
      </c>
      <c r="B2619">
        <v>1025223786</v>
      </c>
      <c r="C2619">
        <v>15</v>
      </c>
      <c r="D2619" t="s">
        <v>5814</v>
      </c>
      <c r="E2619">
        <v>4723</v>
      </c>
      <c r="F2619" t="s">
        <v>23479</v>
      </c>
      <c r="G2619">
        <v>1</v>
      </c>
      <c r="H2619" t="s">
        <v>8650</v>
      </c>
      <c r="J2619" t="s">
        <v>8646</v>
      </c>
      <c r="K2619" t="s">
        <v>335</v>
      </c>
      <c r="L2619" t="s">
        <v>370</v>
      </c>
      <c r="M2619" t="s">
        <v>8651</v>
      </c>
      <c r="N2619" t="s">
        <v>8661</v>
      </c>
      <c r="O2619" t="s">
        <v>8662</v>
      </c>
      <c r="P2619" s="2" t="s">
        <v>37</v>
      </c>
      <c r="Q2619" t="s">
        <v>1208</v>
      </c>
      <c r="R2619">
        <v>0</v>
      </c>
      <c r="S2619">
        <v>26.6</v>
      </c>
      <c r="T2619" t="s">
        <v>8663</v>
      </c>
    </row>
    <row r="2620" spans="1:20" x14ac:dyDescent="0.25">
      <c r="A2620" s="1" t="str">
        <f>HYPERLINK("https://vegkart.atlas.vegvesen.no/#/@264686.3,6649640.1,18/hva:hva%5B0%5D%5Bfilter%5D%5B0%5D%5Boperator%5D=%21%3D&amp;hva%5B0%5D%5Bfilter%5D%5B0%5D%5Btype_id%5D=4723&amp;hva%5B0%5D%5Bfilter%5D%5B0%5D%5Bverdi%5D=&amp;hva%5B0%5D%5Bid%5D=15/når:2025-09-04", "Vegkart")</f>
        <v>Vegkart</v>
      </c>
      <c r="B2620">
        <v>1025223787</v>
      </c>
      <c r="C2620">
        <v>15</v>
      </c>
      <c r="D2620" t="s">
        <v>5814</v>
      </c>
      <c r="E2620">
        <v>4723</v>
      </c>
      <c r="F2620" t="s">
        <v>23479</v>
      </c>
      <c r="G2620">
        <v>1</v>
      </c>
      <c r="H2620" t="s">
        <v>8650</v>
      </c>
      <c r="J2620" t="s">
        <v>8646</v>
      </c>
      <c r="K2620" t="s">
        <v>335</v>
      </c>
      <c r="L2620" t="s">
        <v>370</v>
      </c>
      <c r="M2620" t="s">
        <v>8651</v>
      </c>
      <c r="N2620" t="s">
        <v>8664</v>
      </c>
      <c r="O2620" t="s">
        <v>8665</v>
      </c>
      <c r="P2620" s="2" t="s">
        <v>37</v>
      </c>
      <c r="Q2620" t="s">
        <v>1208</v>
      </c>
      <c r="R2620">
        <v>0</v>
      </c>
      <c r="S2620">
        <v>23.74</v>
      </c>
      <c r="T2620" t="s">
        <v>8666</v>
      </c>
    </row>
    <row r="2621" spans="1:20" x14ac:dyDescent="0.25">
      <c r="A2621" s="1" t="str">
        <f>HYPERLINK("https://vegkart.atlas.vegvesen.no/#/@264666.4,6649629.0,18/hva:hva%5B0%5D%5Bfilter%5D%5B0%5D%5Boperator%5D=%21%3D&amp;hva%5B0%5D%5Bfilter%5D%5B0%5D%5Btype_id%5D=4723&amp;hva%5B0%5D%5Bfilter%5D%5B0%5D%5Bverdi%5D=&amp;hva%5B0%5D%5Bid%5D=15/når:2025-09-04", "Vegkart")</f>
        <v>Vegkart</v>
      </c>
      <c r="B2621">
        <v>1025223788</v>
      </c>
      <c r="C2621">
        <v>15</v>
      </c>
      <c r="D2621" t="s">
        <v>5814</v>
      </c>
      <c r="E2621">
        <v>4723</v>
      </c>
      <c r="F2621" t="s">
        <v>23479</v>
      </c>
      <c r="G2621">
        <v>1</v>
      </c>
      <c r="H2621" t="s">
        <v>8650</v>
      </c>
      <c r="J2621" t="s">
        <v>8646</v>
      </c>
      <c r="K2621" t="s">
        <v>335</v>
      </c>
      <c r="L2621" t="s">
        <v>370</v>
      </c>
      <c r="M2621" t="s">
        <v>8651</v>
      </c>
      <c r="N2621" t="s">
        <v>8667</v>
      </c>
      <c r="O2621" t="s">
        <v>8668</v>
      </c>
      <c r="P2621" s="2" t="s">
        <v>37</v>
      </c>
      <c r="Q2621" t="s">
        <v>1208</v>
      </c>
      <c r="R2621">
        <v>0</v>
      </c>
      <c r="S2621">
        <v>47.64</v>
      </c>
      <c r="T2621" t="s">
        <v>8669</v>
      </c>
    </row>
    <row r="2622" spans="1:20" x14ac:dyDescent="0.25">
      <c r="A2622" s="1" t="str">
        <f>HYPERLINK("https://vegkart.atlas.vegvesen.no/#/@264693.1,6649672.0,18/hva:hva%5B0%5D%5Bfilter%5D%5B0%5D%5Boperator%5D=%21%3D&amp;hva%5B0%5D%5Bfilter%5D%5B0%5D%5Btype_id%5D=4723&amp;hva%5B0%5D%5Bfilter%5D%5B0%5D%5Bverdi%5D=&amp;hva%5B0%5D%5Bid%5D=15/når:2025-09-04", "Vegkart")</f>
        <v>Vegkart</v>
      </c>
      <c r="B2622">
        <v>1025223789</v>
      </c>
      <c r="C2622">
        <v>15</v>
      </c>
      <c r="D2622" t="s">
        <v>5814</v>
      </c>
      <c r="E2622">
        <v>4723</v>
      </c>
      <c r="F2622" t="s">
        <v>23479</v>
      </c>
      <c r="G2622">
        <v>1</v>
      </c>
      <c r="H2622" t="s">
        <v>8650</v>
      </c>
      <c r="J2622" t="s">
        <v>8646</v>
      </c>
      <c r="K2622" t="s">
        <v>335</v>
      </c>
      <c r="L2622" t="s">
        <v>370</v>
      </c>
      <c r="M2622" t="s">
        <v>8651</v>
      </c>
      <c r="N2622" t="s">
        <v>8670</v>
      </c>
      <c r="O2622" t="s">
        <v>8671</v>
      </c>
      <c r="P2622" s="2" t="s">
        <v>37</v>
      </c>
      <c r="Q2622" t="s">
        <v>1208</v>
      </c>
      <c r="R2622">
        <v>0</v>
      </c>
      <c r="S2622">
        <v>111.42</v>
      </c>
      <c r="T2622" t="s">
        <v>8672</v>
      </c>
    </row>
    <row r="2623" spans="1:20" x14ac:dyDescent="0.25">
      <c r="A2623" s="1" t="str">
        <f>HYPERLINK("https://vegkart.atlas.vegvesen.no/#/@274667.7,6758144.8,18/hva:hva%5B0%5D%5Bfilter%5D%5B0%5D%5Boperator%5D=%21%3D&amp;hva%5B0%5D%5Bfilter%5D%5B0%5D%5Btype_id%5D=4723&amp;hva%5B0%5D%5Bfilter%5D%5B0%5D%5Bverdi%5D=&amp;hva%5B0%5D%5Bid%5D=15/når:2025-10-08", "Vegkart")</f>
        <v>Vegkart</v>
      </c>
      <c r="B2623">
        <v>1025377611</v>
      </c>
      <c r="C2623">
        <v>15</v>
      </c>
      <c r="D2623" t="s">
        <v>5814</v>
      </c>
      <c r="E2623">
        <v>4723</v>
      </c>
      <c r="F2623" t="s">
        <v>23479</v>
      </c>
      <c r="G2623">
        <v>1</v>
      </c>
      <c r="H2623" t="s">
        <v>8673</v>
      </c>
      <c r="J2623" t="s">
        <v>8674</v>
      </c>
      <c r="K2623" t="s">
        <v>136</v>
      </c>
      <c r="L2623" t="s">
        <v>33</v>
      </c>
      <c r="M2623" t="s">
        <v>7977</v>
      </c>
      <c r="N2623" t="s">
        <v>8675</v>
      </c>
      <c r="O2623" t="s">
        <v>8676</v>
      </c>
      <c r="P2623" s="2" t="s">
        <v>37</v>
      </c>
      <c r="Q2623" t="s">
        <v>1208</v>
      </c>
      <c r="R2623">
        <v>0</v>
      </c>
      <c r="S2623">
        <v>307.19</v>
      </c>
      <c r="T2623" t="s">
        <v>8677</v>
      </c>
    </row>
    <row r="2624" spans="1:20" x14ac:dyDescent="0.25">
      <c r="A2624" s="1" t="str">
        <f>HYPERLINK("https://vegkart.atlas.vegvesen.no/#/@274741.5,6758145.6,18/hva:hva%5B0%5D%5Bfilter%5D%5B0%5D%5Boperator%5D=%21%3D&amp;hva%5B0%5D%5Bfilter%5D%5B0%5D%5Btype_id%5D=4723&amp;hva%5B0%5D%5Bfilter%5D%5B0%5D%5Bverdi%5D=&amp;hva%5B0%5D%5Bid%5D=15/når:2025-10-08", "Vegkart")</f>
        <v>Vegkart</v>
      </c>
      <c r="B2624">
        <v>1025377640</v>
      </c>
      <c r="C2624">
        <v>15</v>
      </c>
      <c r="D2624" t="s">
        <v>5814</v>
      </c>
      <c r="E2624">
        <v>4723</v>
      </c>
      <c r="F2624" t="s">
        <v>23479</v>
      </c>
      <c r="G2624">
        <v>1</v>
      </c>
      <c r="H2624" t="s">
        <v>8673</v>
      </c>
      <c r="J2624" t="s">
        <v>8674</v>
      </c>
      <c r="K2624" t="s">
        <v>136</v>
      </c>
      <c r="L2624" t="s">
        <v>33</v>
      </c>
      <c r="M2624" t="s">
        <v>7977</v>
      </c>
      <c r="N2624" t="s">
        <v>8678</v>
      </c>
      <c r="O2624" t="s">
        <v>8679</v>
      </c>
      <c r="P2624" s="2" t="s">
        <v>37</v>
      </c>
      <c r="Q2624" t="s">
        <v>1208</v>
      </c>
      <c r="R2624">
        <v>0</v>
      </c>
      <c r="S2624">
        <v>331.06</v>
      </c>
      <c r="T2624" t="s">
        <v>8680</v>
      </c>
    </row>
    <row r="2625" spans="1:20" x14ac:dyDescent="0.25">
      <c r="A2625" s="1" t="str">
        <f>HYPERLINK("https://vegkart.atlas.vegvesen.no/#/@274662.8,6758118.5,18/hva:hva%5B0%5D%5Bfilter%5D%5B0%5D%5Boperator%5D=%21%3D&amp;hva%5B0%5D%5Bfilter%5D%5B0%5D%5Btype_id%5D=4723&amp;hva%5B0%5D%5Bfilter%5D%5B0%5D%5Bverdi%5D=&amp;hva%5B0%5D%5Bid%5D=15/når:2025-10-08", "Vegkart")</f>
        <v>Vegkart</v>
      </c>
      <c r="B2625">
        <v>1025377651</v>
      </c>
      <c r="C2625">
        <v>15</v>
      </c>
      <c r="D2625" t="s">
        <v>5814</v>
      </c>
      <c r="E2625">
        <v>4723</v>
      </c>
      <c r="F2625" t="s">
        <v>23479</v>
      </c>
      <c r="G2625">
        <v>1</v>
      </c>
      <c r="H2625" t="s">
        <v>8673</v>
      </c>
      <c r="J2625" t="s">
        <v>8674</v>
      </c>
      <c r="K2625" t="s">
        <v>136</v>
      </c>
      <c r="L2625" t="s">
        <v>33</v>
      </c>
      <c r="M2625" t="s">
        <v>7977</v>
      </c>
      <c r="N2625" t="s">
        <v>8681</v>
      </c>
      <c r="O2625" t="s">
        <v>8682</v>
      </c>
      <c r="P2625" s="2" t="s">
        <v>37</v>
      </c>
      <c r="Q2625" t="s">
        <v>1208</v>
      </c>
      <c r="R2625">
        <v>0</v>
      </c>
      <c r="S2625">
        <v>50.61</v>
      </c>
      <c r="T2625" t="s">
        <v>8683</v>
      </c>
    </row>
    <row r="2626" spans="1:20" x14ac:dyDescent="0.25">
      <c r="A2626" s="1" t="str">
        <f>HYPERLINK("https://vegkart.atlas.vegvesen.no/#/@95039.5,6474452.4,18/hva:hva%5B0%5D%5Bfilter%5D%5B0%5D%5Boperator%5D=%21%3D&amp;hva%5B0%5D%5Bfilter%5D%5B0%5D%5Btype_id%5D=4723&amp;hva%5B0%5D%5Bfilter%5D%5B0%5D%5Bverdi%5D=&amp;hva%5B0%5D%5Bid%5D=15/når:2025-11-27", "Vegkart")</f>
        <v>Vegkart</v>
      </c>
      <c r="B2626">
        <v>1025856272</v>
      </c>
      <c r="C2626">
        <v>15</v>
      </c>
      <c r="D2626" t="s">
        <v>5814</v>
      </c>
      <c r="E2626">
        <v>4723</v>
      </c>
      <c r="F2626" t="s">
        <v>23479</v>
      </c>
      <c r="G2626">
        <v>1</v>
      </c>
      <c r="H2626" t="s">
        <v>1319</v>
      </c>
      <c r="J2626" t="s">
        <v>8684</v>
      </c>
      <c r="K2626" t="s">
        <v>86</v>
      </c>
      <c r="L2626" t="s">
        <v>33</v>
      </c>
      <c r="M2626" t="s">
        <v>8685</v>
      </c>
      <c r="N2626" t="s">
        <v>8686</v>
      </c>
      <c r="O2626" t="s">
        <v>8687</v>
      </c>
      <c r="P2626" s="2" t="s">
        <v>37</v>
      </c>
      <c r="Q2626" t="s">
        <v>1208</v>
      </c>
      <c r="R2626">
        <v>0</v>
      </c>
      <c r="S2626">
        <v>75.41</v>
      </c>
      <c r="T2626" t="s">
        <v>8688</v>
      </c>
    </row>
    <row r="2627" spans="1:20" x14ac:dyDescent="0.25">
      <c r="A2627" s="1" t="str">
        <f>HYPERLINK("https://vegkart.atlas.vegvesen.no/#/@95037.2,6474419.4,18/hva:hva%5B0%5D%5Bfilter%5D%5B0%5D%5Boperator%5D=%21%3D&amp;hva%5B0%5D%5Bfilter%5D%5B0%5D%5Btype_id%5D=4723&amp;hva%5B0%5D%5Bfilter%5D%5B0%5D%5Bverdi%5D=&amp;hva%5B0%5D%5Bid%5D=15/når:2025-11-27", "Vegkart")</f>
        <v>Vegkart</v>
      </c>
      <c r="B2627">
        <v>1025856273</v>
      </c>
      <c r="C2627">
        <v>15</v>
      </c>
      <c r="D2627" t="s">
        <v>5814</v>
      </c>
      <c r="E2627">
        <v>4723</v>
      </c>
      <c r="F2627" t="s">
        <v>23479</v>
      </c>
      <c r="G2627">
        <v>1</v>
      </c>
      <c r="H2627" t="s">
        <v>1319</v>
      </c>
      <c r="J2627" t="s">
        <v>8684</v>
      </c>
      <c r="K2627" t="s">
        <v>86</v>
      </c>
      <c r="L2627" t="s">
        <v>33</v>
      </c>
      <c r="M2627" t="s">
        <v>8685</v>
      </c>
      <c r="N2627" t="s">
        <v>8689</v>
      </c>
      <c r="O2627" t="s">
        <v>8690</v>
      </c>
      <c r="P2627" s="2" t="s">
        <v>37</v>
      </c>
      <c r="Q2627" t="s">
        <v>1208</v>
      </c>
      <c r="R2627">
        <v>0</v>
      </c>
      <c r="S2627">
        <v>89.58</v>
      </c>
      <c r="T2627" t="s">
        <v>8691</v>
      </c>
    </row>
    <row r="2628" spans="1:20" x14ac:dyDescent="0.25">
      <c r="A2628" s="1" t="str">
        <f>HYPERLINK("https://vegkart.atlas.vegvesen.no/#/@148524.3,6765269.5,18/hva:hva%5B0%5D%5Bfilter%5D%5B0%5D%5Boperator%5D=%21%3D&amp;hva%5B0%5D%5Bfilter%5D%5B0%5D%5Btype_id%5D=4723&amp;hva%5B0%5D%5Bfilter%5D%5B0%5D%5Bverdi%5D=&amp;hva%5B0%5D%5Bid%5D=15/når:2025-12-03", "Vegkart")</f>
        <v>Vegkart</v>
      </c>
      <c r="B2628">
        <v>1025915695</v>
      </c>
      <c r="C2628">
        <v>15</v>
      </c>
      <c r="D2628" t="s">
        <v>5814</v>
      </c>
      <c r="E2628">
        <v>4723</v>
      </c>
      <c r="F2628" t="s">
        <v>23479</v>
      </c>
      <c r="G2628">
        <v>1</v>
      </c>
      <c r="H2628" t="s">
        <v>8692</v>
      </c>
      <c r="J2628" t="s">
        <v>8693</v>
      </c>
      <c r="K2628" t="s">
        <v>307</v>
      </c>
      <c r="L2628" t="s">
        <v>113</v>
      </c>
      <c r="M2628" t="s">
        <v>3363</v>
      </c>
      <c r="N2628" t="s">
        <v>8694</v>
      </c>
      <c r="O2628" t="s">
        <v>8695</v>
      </c>
      <c r="P2628" s="2" t="s">
        <v>37</v>
      </c>
      <c r="Q2628" t="s">
        <v>1208</v>
      </c>
      <c r="R2628">
        <v>0</v>
      </c>
      <c r="S2628">
        <v>40.36</v>
      </c>
      <c r="T2628" t="s">
        <v>8696</v>
      </c>
    </row>
    <row r="2629" spans="1:20" x14ac:dyDescent="0.25">
      <c r="A2629" s="1" t="str">
        <f>HYPERLINK("https://vegkart.atlas.vegvesen.no/#/@488420.2,7481904.4,18/hva:hva%5B0%5D%5Bfilter%5D%5B0%5D%5Boperator%5D=%21%3D&amp;hva%5B0%5D%5Bfilter%5D%5B0%5D%5Btype_id%5D=4723&amp;hva%5B0%5D%5Bfilter%5D%5B0%5D%5Bverdi%5D=&amp;hva%5B0%5D%5Bid%5D=15/når:2025-12-18", "Vegkart")</f>
        <v>Vegkart</v>
      </c>
      <c r="B2629">
        <v>1026090651</v>
      </c>
      <c r="C2629">
        <v>15</v>
      </c>
      <c r="D2629" t="s">
        <v>5814</v>
      </c>
      <c r="E2629">
        <v>4723</v>
      </c>
      <c r="F2629" t="s">
        <v>23479</v>
      </c>
      <c r="G2629">
        <v>1</v>
      </c>
      <c r="H2629" t="s">
        <v>6088</v>
      </c>
      <c r="J2629" t="s">
        <v>8697</v>
      </c>
      <c r="K2629" t="s">
        <v>53</v>
      </c>
      <c r="L2629" t="s">
        <v>33</v>
      </c>
      <c r="M2629" t="s">
        <v>1448</v>
      </c>
      <c r="N2629" t="s">
        <v>8698</v>
      </c>
      <c r="O2629" t="s">
        <v>8699</v>
      </c>
      <c r="P2629" s="2" t="s">
        <v>37</v>
      </c>
      <c r="Q2629" t="s">
        <v>1208</v>
      </c>
      <c r="R2629">
        <v>0.03</v>
      </c>
      <c r="S2629">
        <v>20.72</v>
      </c>
      <c r="T2629" t="s">
        <v>8700</v>
      </c>
    </row>
    <row r="2630" spans="1:20" x14ac:dyDescent="0.25">
      <c r="A2630" s="1" t="str">
        <f>HYPERLINK("https://vegkart.atlas.vegvesen.no/#/@54648.8,6955927.0,18/hva:hva%5B0%5D%5Bfilter%5D%5B0%5D%5Boperator%5D=%21%3D&amp;hva%5B0%5D%5Bfilter%5D%5B0%5D%5Btype_id%5D=8917&amp;hva%5B0%5D%5Bfilter%5D%5B0%5D%5Bverdi%5D=&amp;hva%5B0%5D%5Bid%5D=49/når:2018-11-27", "Vegkart")</f>
        <v>Vegkart</v>
      </c>
      <c r="B2630">
        <v>80760923</v>
      </c>
      <c r="C2630">
        <v>49</v>
      </c>
      <c r="D2630" t="s">
        <v>8701</v>
      </c>
      <c r="E2630">
        <v>8917</v>
      </c>
      <c r="F2630" t="s">
        <v>23479</v>
      </c>
      <c r="G2630">
        <v>3</v>
      </c>
      <c r="H2630" t="s">
        <v>8702</v>
      </c>
      <c r="J2630" t="s">
        <v>1374</v>
      </c>
      <c r="K2630" t="s">
        <v>32</v>
      </c>
      <c r="L2630" t="s">
        <v>80</v>
      </c>
      <c r="M2630" t="s">
        <v>1217</v>
      </c>
      <c r="N2630" t="s">
        <v>8703</v>
      </c>
      <c r="O2630" t="s">
        <v>8704</v>
      </c>
      <c r="P2630" s="2" t="s">
        <v>26</v>
      </c>
      <c r="Q2630" t="s">
        <v>50</v>
      </c>
      <c r="R2630">
        <v>3.86</v>
      </c>
      <c r="S2630">
        <v>3.86</v>
      </c>
      <c r="T2630" t="s">
        <v>8705</v>
      </c>
    </row>
    <row r="2631" spans="1:20" x14ac:dyDescent="0.25">
      <c r="A2631" s="1" t="str">
        <f>HYPERLINK("https://vegkart.atlas.vegvesen.no/#/@54661.3,6955928.6,18/hva:hva%5B0%5D%5Bfilter%5D%5B0%5D%5Boperator%5D=%21%3D&amp;hva%5B0%5D%5Bfilter%5D%5B0%5D%5Btype_id%5D=8917&amp;hva%5B0%5D%5Bfilter%5D%5B0%5D%5Bverdi%5D=&amp;hva%5B0%5D%5Bid%5D=49/når:2018-11-27", "Vegkart")</f>
        <v>Vegkart</v>
      </c>
      <c r="B2631">
        <v>80760940</v>
      </c>
      <c r="C2631">
        <v>49</v>
      </c>
      <c r="D2631" t="s">
        <v>8701</v>
      </c>
      <c r="E2631">
        <v>8917</v>
      </c>
      <c r="F2631" t="s">
        <v>23479</v>
      </c>
      <c r="G2631">
        <v>3</v>
      </c>
      <c r="H2631" t="s">
        <v>8702</v>
      </c>
      <c r="J2631" t="s">
        <v>1374</v>
      </c>
      <c r="K2631" t="s">
        <v>32</v>
      </c>
      <c r="L2631" t="s">
        <v>80</v>
      </c>
      <c r="M2631" t="s">
        <v>1217</v>
      </c>
      <c r="N2631" t="s">
        <v>8706</v>
      </c>
      <c r="O2631" t="s">
        <v>8707</v>
      </c>
      <c r="P2631" s="2" t="s">
        <v>26</v>
      </c>
      <c r="Q2631" t="s">
        <v>50</v>
      </c>
      <c r="R2631">
        <v>14.22</v>
      </c>
      <c r="S2631">
        <v>14.22</v>
      </c>
      <c r="T2631" t="s">
        <v>8708</v>
      </c>
    </row>
    <row r="2632" spans="1:20" x14ac:dyDescent="0.25">
      <c r="A2632" s="1" t="str">
        <f>HYPERLINK("https://vegkart.atlas.vegvesen.no/#/@74385.1,6956266.1,18/hva:hva%5B0%5D%5Bfilter%5D%5B0%5D%5Boperator%5D=%21%3D&amp;hva%5B0%5D%5Bfilter%5D%5B0%5D%5Btype_id%5D=8917&amp;hva%5B0%5D%5Bfilter%5D%5B0%5D%5Bverdi%5D=&amp;hva%5B0%5D%5Bid%5D=49/når:2024-11-12", "Vegkart")</f>
        <v>Vegkart</v>
      </c>
      <c r="B2632">
        <v>80796236</v>
      </c>
      <c r="C2632">
        <v>49</v>
      </c>
      <c r="D2632" t="s">
        <v>8701</v>
      </c>
      <c r="E2632">
        <v>8917</v>
      </c>
      <c r="F2632" t="s">
        <v>23479</v>
      </c>
      <c r="G2632">
        <v>5</v>
      </c>
      <c r="H2632" t="s">
        <v>2904</v>
      </c>
      <c r="J2632" t="s">
        <v>1374</v>
      </c>
      <c r="K2632" t="s">
        <v>32</v>
      </c>
      <c r="L2632" t="s">
        <v>33</v>
      </c>
      <c r="M2632" t="s">
        <v>2582</v>
      </c>
      <c r="N2632" t="s">
        <v>2583</v>
      </c>
      <c r="O2632" t="s">
        <v>8709</v>
      </c>
      <c r="P2632" s="2" t="s">
        <v>26</v>
      </c>
      <c r="Q2632" t="s">
        <v>50</v>
      </c>
      <c r="R2632">
        <v>22.55</v>
      </c>
      <c r="S2632">
        <v>22.64</v>
      </c>
      <c r="T2632" t="s">
        <v>8710</v>
      </c>
    </row>
    <row r="2633" spans="1:20" x14ac:dyDescent="0.25">
      <c r="A2633" s="1" t="str">
        <f>HYPERLINK("https://vegkart.atlas.vegvesen.no/#/@220808.1,6634315.9,18/hva:hva%5B0%5D%5Bfilter%5D%5B0%5D%5Boperator%5D=%21%3D&amp;hva%5B0%5D%5Bfilter%5D%5B0%5D%5Btype_id%5D=8917&amp;hva%5B0%5D%5Bfilter%5D%5B0%5D%5Bverdi%5D=&amp;hva%5B0%5D%5Bid%5D=49/når:2018-03-05", "Vegkart")</f>
        <v>Vegkart</v>
      </c>
      <c r="B2633">
        <v>81547579</v>
      </c>
      <c r="C2633">
        <v>49</v>
      </c>
      <c r="D2633" t="s">
        <v>8701</v>
      </c>
      <c r="E2633">
        <v>8917</v>
      </c>
      <c r="F2633" t="s">
        <v>23479</v>
      </c>
      <c r="G2633">
        <v>5</v>
      </c>
      <c r="H2633" t="s">
        <v>8711</v>
      </c>
      <c r="J2633" t="s">
        <v>1374</v>
      </c>
      <c r="K2633" t="s">
        <v>307</v>
      </c>
      <c r="L2633" t="s">
        <v>80</v>
      </c>
      <c r="M2633" t="s">
        <v>645</v>
      </c>
      <c r="N2633" t="s">
        <v>8712</v>
      </c>
      <c r="O2633" t="s">
        <v>8713</v>
      </c>
      <c r="P2633" s="2" t="s">
        <v>37</v>
      </c>
      <c r="Q2633" t="s">
        <v>1208</v>
      </c>
      <c r="R2633">
        <v>8.58</v>
      </c>
      <c r="S2633">
        <v>48.87</v>
      </c>
      <c r="T2633" t="s">
        <v>8714</v>
      </c>
    </row>
    <row r="2634" spans="1:20" x14ac:dyDescent="0.25">
      <c r="A2634" s="1" t="str">
        <f>HYPERLINK("https://vegkart.atlas.vegvesen.no/#/@136766.7,6497481.5,18/hva:hva%5B0%5D%5Bfilter%5D%5B0%5D%5Boperator%5D=%21%3D&amp;hva%5B0%5D%5Bfilter%5D%5B0%5D%5Btype_id%5D=8917&amp;hva%5B0%5D%5Bfilter%5D%5B0%5D%5Bverdi%5D=&amp;hva%5B0%5D%5Bid%5D=49/når:2015-07-03", "Vegkart")</f>
        <v>Vegkart</v>
      </c>
      <c r="B2634">
        <v>84422890</v>
      </c>
      <c r="C2634">
        <v>49</v>
      </c>
      <c r="D2634" t="s">
        <v>8701</v>
      </c>
      <c r="E2634">
        <v>8917</v>
      </c>
      <c r="F2634" t="s">
        <v>23479</v>
      </c>
      <c r="G2634">
        <v>4</v>
      </c>
      <c r="H2634" t="s">
        <v>8715</v>
      </c>
      <c r="J2634" t="s">
        <v>8716</v>
      </c>
      <c r="K2634" t="s">
        <v>86</v>
      </c>
      <c r="L2634" t="s">
        <v>33</v>
      </c>
      <c r="M2634" t="s">
        <v>2028</v>
      </c>
      <c r="N2634" t="s">
        <v>8717</v>
      </c>
      <c r="O2634" t="s">
        <v>8718</v>
      </c>
      <c r="P2634" s="2" t="s">
        <v>165</v>
      </c>
      <c r="Q2634" t="s">
        <v>641</v>
      </c>
      <c r="R2634">
        <v>1.1499999999999999</v>
      </c>
      <c r="S2634">
        <v>18.52</v>
      </c>
      <c r="T2634" t="s">
        <v>167</v>
      </c>
    </row>
    <row r="2635" spans="1:20" x14ac:dyDescent="0.25">
      <c r="A2635" s="1" t="str">
        <f>HYPERLINK("https://vegkart.atlas.vegvesen.no/#/@283304.9,6611010.2,18/hva:hva%5B0%5D%5Bfilter%5D%5B0%5D%5Boperator%5D=%21%3D&amp;hva%5B0%5D%5Bfilter%5D%5B0%5D%5Btype_id%5D=8917&amp;hva%5B0%5D%5Bfilter%5D%5B0%5D%5Bverdi%5D=&amp;hva%5B0%5D%5Bid%5D=49/når:2025-10-03", "Vegkart")</f>
        <v>Vegkart</v>
      </c>
      <c r="B2635">
        <v>92234281</v>
      </c>
      <c r="C2635">
        <v>49</v>
      </c>
      <c r="D2635" t="s">
        <v>8701</v>
      </c>
      <c r="E2635">
        <v>8917</v>
      </c>
      <c r="F2635" t="s">
        <v>23479</v>
      </c>
      <c r="G2635">
        <v>4</v>
      </c>
      <c r="H2635" t="s">
        <v>8719</v>
      </c>
      <c r="J2635" t="s">
        <v>8720</v>
      </c>
      <c r="K2635" t="s">
        <v>104</v>
      </c>
      <c r="L2635" t="s">
        <v>33</v>
      </c>
      <c r="M2635" t="s">
        <v>8721</v>
      </c>
      <c r="N2635" t="s">
        <v>8722</v>
      </c>
      <c r="O2635" t="s">
        <v>8723</v>
      </c>
      <c r="P2635" s="2" t="s">
        <v>37</v>
      </c>
      <c r="Q2635" t="s">
        <v>1208</v>
      </c>
      <c r="R2635">
        <v>0</v>
      </c>
      <c r="S2635">
        <v>25.27</v>
      </c>
      <c r="T2635" t="s">
        <v>8724</v>
      </c>
    </row>
    <row r="2636" spans="1:20" x14ac:dyDescent="0.25">
      <c r="A2636" s="1" t="str">
        <f>HYPERLINK("https://vegkart.atlas.vegvesen.no/#/@283798.9,6610989.1,18/hva:hva%5B0%5D%5Bfilter%5D%5B0%5D%5Boperator%5D=%21%3D&amp;hva%5B0%5D%5Bfilter%5D%5B0%5D%5Btype_id%5D=8917&amp;hva%5B0%5D%5Bfilter%5D%5B0%5D%5Bverdi%5D=&amp;hva%5B0%5D%5Bid%5D=49/når:2025-10-03", "Vegkart")</f>
        <v>Vegkart</v>
      </c>
      <c r="B2636">
        <v>92234296</v>
      </c>
      <c r="C2636">
        <v>49</v>
      </c>
      <c r="D2636" t="s">
        <v>8701</v>
      </c>
      <c r="E2636">
        <v>8917</v>
      </c>
      <c r="F2636" t="s">
        <v>23479</v>
      </c>
      <c r="G2636">
        <v>4</v>
      </c>
      <c r="H2636" t="s">
        <v>8719</v>
      </c>
      <c r="J2636" t="s">
        <v>8725</v>
      </c>
      <c r="K2636" t="s">
        <v>104</v>
      </c>
      <c r="L2636" t="s">
        <v>33</v>
      </c>
      <c r="M2636" t="s">
        <v>8721</v>
      </c>
      <c r="N2636" t="s">
        <v>8726</v>
      </c>
      <c r="O2636" t="s">
        <v>8727</v>
      </c>
      <c r="P2636" s="2" t="s">
        <v>37</v>
      </c>
      <c r="Q2636" t="s">
        <v>1208</v>
      </c>
      <c r="R2636">
        <v>0</v>
      </c>
      <c r="S2636">
        <v>49</v>
      </c>
      <c r="T2636" t="s">
        <v>8728</v>
      </c>
    </row>
    <row r="2637" spans="1:20" x14ac:dyDescent="0.25">
      <c r="A2637" s="1" t="str">
        <f>HYPERLINK("https://vegkart.atlas.vegvesen.no/#/@292404.8,6593422.1,18/hva:hva%5B0%5D%5Bfilter%5D%5B0%5D%5Boperator%5D=%21%3D&amp;hva%5B0%5D%5Bfilter%5D%5B0%5D%5Btype_id%5D=8917&amp;hva%5B0%5D%5Bfilter%5D%5B0%5D%5Bverdi%5D=&amp;hva%5B0%5D%5Bid%5D=49/når:2025-09-17", "Vegkart")</f>
        <v>Vegkart</v>
      </c>
      <c r="B2637">
        <v>92234684</v>
      </c>
      <c r="C2637">
        <v>49</v>
      </c>
      <c r="D2637" t="s">
        <v>8701</v>
      </c>
      <c r="E2637">
        <v>8917</v>
      </c>
      <c r="F2637" t="s">
        <v>23479</v>
      </c>
      <c r="G2637">
        <v>5</v>
      </c>
      <c r="H2637" t="s">
        <v>4275</v>
      </c>
      <c r="J2637" t="s">
        <v>8725</v>
      </c>
      <c r="K2637" t="s">
        <v>104</v>
      </c>
      <c r="L2637" t="s">
        <v>33</v>
      </c>
      <c r="M2637" t="s">
        <v>8729</v>
      </c>
      <c r="N2637" t="s">
        <v>8730</v>
      </c>
      <c r="O2637" t="s">
        <v>8731</v>
      </c>
      <c r="P2637" s="2" t="s">
        <v>37</v>
      </c>
      <c r="Q2637" t="s">
        <v>1208</v>
      </c>
      <c r="R2637">
        <v>0</v>
      </c>
      <c r="S2637">
        <v>40.659999999999997</v>
      </c>
      <c r="T2637" t="s">
        <v>8732</v>
      </c>
    </row>
    <row r="2638" spans="1:20" x14ac:dyDescent="0.25">
      <c r="A2638" s="1" t="str">
        <f>HYPERLINK("https://vegkart.atlas.vegvesen.no/#/@310867.8,6598281.5,18/hva:hva%5B0%5D%5Bfilter%5D%5B0%5D%5Boperator%5D=%21%3D&amp;hva%5B0%5D%5Bfilter%5D%5B0%5D%5Btype_id%5D=8917&amp;hva%5B0%5D%5Bfilter%5D%5B0%5D%5Bverdi%5D=&amp;hva%5B0%5D%5Bid%5D=49/når:2025-09-10", "Vegkart")</f>
        <v>Vegkart</v>
      </c>
      <c r="B2638">
        <v>92235229</v>
      </c>
      <c r="C2638">
        <v>49</v>
      </c>
      <c r="D2638" t="s">
        <v>8701</v>
      </c>
      <c r="E2638">
        <v>8917</v>
      </c>
      <c r="F2638" t="s">
        <v>23479</v>
      </c>
      <c r="G2638">
        <v>3</v>
      </c>
      <c r="H2638" t="s">
        <v>8733</v>
      </c>
      <c r="J2638" t="s">
        <v>8725</v>
      </c>
      <c r="K2638" t="s">
        <v>104</v>
      </c>
      <c r="L2638" t="s">
        <v>33</v>
      </c>
      <c r="M2638" t="s">
        <v>8734</v>
      </c>
      <c r="N2638" t="s">
        <v>8735</v>
      </c>
      <c r="O2638" t="s">
        <v>8736</v>
      </c>
      <c r="P2638" s="2" t="s">
        <v>37</v>
      </c>
      <c r="Q2638" t="s">
        <v>1208</v>
      </c>
      <c r="R2638">
        <v>0</v>
      </c>
      <c r="S2638">
        <v>19.48</v>
      </c>
      <c r="T2638" t="s">
        <v>8737</v>
      </c>
    </row>
    <row r="2639" spans="1:20" x14ac:dyDescent="0.25">
      <c r="A2639" s="1" t="str">
        <f>HYPERLINK("https://vegkart.atlas.vegvesen.no/#/@310849.1,6598278.9,18/hva:hva%5B0%5D%5Bfilter%5D%5B0%5D%5Boperator%5D=%21%3D&amp;hva%5B0%5D%5Bfilter%5D%5B0%5D%5Btype_id%5D=8917&amp;hva%5B0%5D%5Bfilter%5D%5B0%5D%5Bverdi%5D=&amp;hva%5B0%5D%5Bid%5D=49/når:2025-09-10", "Vegkart")</f>
        <v>Vegkart</v>
      </c>
      <c r="B2639">
        <v>92235281</v>
      </c>
      <c r="C2639">
        <v>49</v>
      </c>
      <c r="D2639" t="s">
        <v>8701</v>
      </c>
      <c r="E2639">
        <v>8917</v>
      </c>
      <c r="F2639" t="s">
        <v>23479</v>
      </c>
      <c r="G2639">
        <v>4</v>
      </c>
      <c r="H2639" t="s">
        <v>8733</v>
      </c>
      <c r="J2639" t="s">
        <v>8725</v>
      </c>
      <c r="K2639" t="s">
        <v>104</v>
      </c>
      <c r="L2639" t="s">
        <v>33</v>
      </c>
      <c r="M2639" t="s">
        <v>8734</v>
      </c>
      <c r="N2639" t="s">
        <v>8738</v>
      </c>
      <c r="O2639" t="s">
        <v>8739</v>
      </c>
      <c r="P2639" s="2" t="s">
        <v>37</v>
      </c>
      <c r="Q2639" t="s">
        <v>1208</v>
      </c>
      <c r="R2639">
        <v>0</v>
      </c>
      <c r="S2639">
        <v>31.49</v>
      </c>
      <c r="T2639" t="s">
        <v>8740</v>
      </c>
    </row>
    <row r="2640" spans="1:20" x14ac:dyDescent="0.25">
      <c r="A2640" s="1" t="str">
        <f>HYPERLINK("https://vegkart.atlas.vegvesen.no/#/@300179.1,6606172.6,18/hva:hva%5B0%5D%5Bfilter%5D%5B0%5D%5Boperator%5D=%21%3D&amp;hva%5B0%5D%5Bfilter%5D%5B0%5D%5Btype_id%5D=8917&amp;hva%5B0%5D%5Bfilter%5D%5B0%5D%5Bverdi%5D=&amp;hva%5B0%5D%5Bid%5D=49/når:2025-10-03", "Vegkart")</f>
        <v>Vegkart</v>
      </c>
      <c r="B2640">
        <v>92235359</v>
      </c>
      <c r="C2640">
        <v>49</v>
      </c>
      <c r="D2640" t="s">
        <v>8701</v>
      </c>
      <c r="E2640">
        <v>8917</v>
      </c>
      <c r="F2640" t="s">
        <v>23479</v>
      </c>
      <c r="G2640">
        <v>3</v>
      </c>
      <c r="H2640" t="s">
        <v>8719</v>
      </c>
      <c r="J2640" t="s">
        <v>8725</v>
      </c>
      <c r="K2640" t="s">
        <v>104</v>
      </c>
      <c r="L2640" t="s">
        <v>33</v>
      </c>
      <c r="M2640" t="s">
        <v>8721</v>
      </c>
      <c r="N2640" t="s">
        <v>8741</v>
      </c>
      <c r="O2640" t="s">
        <v>8742</v>
      </c>
      <c r="P2640" s="2" t="s">
        <v>37</v>
      </c>
      <c r="Q2640" t="s">
        <v>1208</v>
      </c>
      <c r="R2640">
        <v>0</v>
      </c>
      <c r="S2640">
        <v>37.78</v>
      </c>
      <c r="T2640" t="s">
        <v>8743</v>
      </c>
    </row>
    <row r="2641" spans="1:20" x14ac:dyDescent="0.25">
      <c r="A2641" s="1" t="str">
        <f>HYPERLINK("https://vegkart.atlas.vegvesen.no/#/@300172.3,6606078.9,18/hva:hva%5B0%5D%5Bfilter%5D%5B0%5D%5Boperator%5D=%21%3D&amp;hva%5B0%5D%5Bfilter%5D%5B0%5D%5Btype_id%5D=8917&amp;hva%5B0%5D%5Bfilter%5D%5B0%5D%5Bverdi%5D=&amp;hva%5B0%5D%5Bid%5D=49/når:2025-10-03", "Vegkart")</f>
        <v>Vegkart</v>
      </c>
      <c r="B2641">
        <v>92235395</v>
      </c>
      <c r="C2641">
        <v>49</v>
      </c>
      <c r="D2641" t="s">
        <v>8701</v>
      </c>
      <c r="E2641">
        <v>8917</v>
      </c>
      <c r="F2641" t="s">
        <v>23479</v>
      </c>
      <c r="G2641">
        <v>3</v>
      </c>
      <c r="H2641" t="s">
        <v>8719</v>
      </c>
      <c r="J2641" t="s">
        <v>8725</v>
      </c>
      <c r="K2641" t="s">
        <v>104</v>
      </c>
      <c r="L2641" t="s">
        <v>33</v>
      </c>
      <c r="M2641" t="s">
        <v>8721</v>
      </c>
      <c r="N2641" t="s">
        <v>8744</v>
      </c>
      <c r="O2641" t="s">
        <v>8745</v>
      </c>
      <c r="P2641" s="2" t="s">
        <v>37</v>
      </c>
      <c r="Q2641" t="s">
        <v>1208</v>
      </c>
      <c r="R2641">
        <v>0</v>
      </c>
      <c r="S2641">
        <v>37.51</v>
      </c>
      <c r="T2641" t="s">
        <v>8746</v>
      </c>
    </row>
    <row r="2642" spans="1:20" x14ac:dyDescent="0.25">
      <c r="A2642" s="1" t="str">
        <f>HYPERLINK("https://vegkart.atlas.vegvesen.no/#/@286534.7,6609970.4,18/hva:hva%5B0%5D%5Bfilter%5D%5B0%5D%5Boperator%5D=%21%3D&amp;hva%5B0%5D%5Bfilter%5D%5B0%5D%5Btype_id%5D=8917&amp;hva%5B0%5D%5Bfilter%5D%5B0%5D%5Bverdi%5D=&amp;hva%5B0%5D%5Bid%5D=49/når:2025-10-03", "Vegkart")</f>
        <v>Vegkart</v>
      </c>
      <c r="B2642">
        <v>92235431</v>
      </c>
      <c r="C2642">
        <v>49</v>
      </c>
      <c r="D2642" t="s">
        <v>8701</v>
      </c>
      <c r="E2642">
        <v>8917</v>
      </c>
      <c r="F2642" t="s">
        <v>23479</v>
      </c>
      <c r="G2642">
        <v>4</v>
      </c>
      <c r="H2642" t="s">
        <v>8719</v>
      </c>
      <c r="J2642" t="s">
        <v>8725</v>
      </c>
      <c r="K2642" t="s">
        <v>104</v>
      </c>
      <c r="L2642" t="s">
        <v>33</v>
      </c>
      <c r="M2642" t="s">
        <v>8729</v>
      </c>
      <c r="N2642" t="s">
        <v>8747</v>
      </c>
      <c r="O2642" t="s">
        <v>8748</v>
      </c>
      <c r="P2642" s="2" t="s">
        <v>37</v>
      </c>
      <c r="Q2642" t="s">
        <v>1208</v>
      </c>
      <c r="R2642">
        <v>0</v>
      </c>
      <c r="S2642">
        <v>60.99</v>
      </c>
      <c r="T2642" t="s">
        <v>8749</v>
      </c>
    </row>
    <row r="2643" spans="1:20" x14ac:dyDescent="0.25">
      <c r="A2643" s="1" t="str">
        <f>HYPERLINK("https://vegkart.atlas.vegvesen.no/#/@255722.5,6599538.1,18/hva:hva%5B0%5D%5Bfilter%5D%5B0%5D%5Boperator%5D=%21%3D&amp;hva%5B0%5D%5Bfilter%5D%5B0%5D%5Btype_id%5D=8917&amp;hva%5B0%5D%5Bfilter%5D%5B0%5D%5Bverdi%5D=&amp;hva%5B0%5D%5Bid%5D=49/når:2025-10-30", "Vegkart")</f>
        <v>Vegkart</v>
      </c>
      <c r="B2643">
        <v>92235566</v>
      </c>
      <c r="C2643">
        <v>49</v>
      </c>
      <c r="D2643" t="s">
        <v>8701</v>
      </c>
      <c r="E2643">
        <v>8917</v>
      </c>
      <c r="F2643" t="s">
        <v>23479</v>
      </c>
      <c r="G2643">
        <v>5</v>
      </c>
      <c r="H2643" t="s">
        <v>8750</v>
      </c>
      <c r="J2643" t="s">
        <v>8725</v>
      </c>
      <c r="K2643" t="s">
        <v>104</v>
      </c>
      <c r="L2643" t="s">
        <v>33</v>
      </c>
      <c r="M2643" t="s">
        <v>8751</v>
      </c>
      <c r="N2643" t="s">
        <v>8752</v>
      </c>
      <c r="O2643" t="s">
        <v>8753</v>
      </c>
      <c r="P2643" s="2" t="s">
        <v>37</v>
      </c>
      <c r="Q2643" t="s">
        <v>1208</v>
      </c>
      <c r="R2643">
        <v>0</v>
      </c>
      <c r="S2643">
        <v>26.78</v>
      </c>
      <c r="T2643" t="s">
        <v>8754</v>
      </c>
    </row>
    <row r="2644" spans="1:20" x14ac:dyDescent="0.25">
      <c r="A2644" s="1" t="str">
        <f>HYPERLINK("https://vegkart.atlas.vegvesen.no/#/@255455.2,6597677.7,18/hva:hva%5B0%5D%5Bfilter%5D%5B0%5D%5Boperator%5D=%21%3D&amp;hva%5B0%5D%5Bfilter%5D%5B0%5D%5Btype_id%5D=8917&amp;hva%5B0%5D%5Bfilter%5D%5B0%5D%5Bverdi%5D=&amp;hva%5B0%5D%5Bid%5D=49/når:2025-10-30", "Vegkart")</f>
        <v>Vegkart</v>
      </c>
      <c r="B2644">
        <v>92235613</v>
      </c>
      <c r="C2644">
        <v>49</v>
      </c>
      <c r="D2644" t="s">
        <v>8701</v>
      </c>
      <c r="E2644">
        <v>8917</v>
      </c>
      <c r="F2644" t="s">
        <v>23479</v>
      </c>
      <c r="G2644">
        <v>5</v>
      </c>
      <c r="H2644" t="s">
        <v>8750</v>
      </c>
      <c r="J2644" t="s">
        <v>8725</v>
      </c>
      <c r="K2644" t="s">
        <v>104</v>
      </c>
      <c r="L2644" t="s">
        <v>33</v>
      </c>
      <c r="M2644" t="s">
        <v>8751</v>
      </c>
      <c r="N2644" t="s">
        <v>8755</v>
      </c>
      <c r="O2644" t="s">
        <v>8756</v>
      </c>
      <c r="P2644" s="2" t="s">
        <v>37</v>
      </c>
      <c r="Q2644" t="s">
        <v>1208</v>
      </c>
      <c r="R2644">
        <v>0</v>
      </c>
      <c r="S2644">
        <v>44.06</v>
      </c>
      <c r="T2644" t="s">
        <v>8757</v>
      </c>
    </row>
    <row r="2645" spans="1:20" x14ac:dyDescent="0.25">
      <c r="A2645" s="1" t="str">
        <f>HYPERLINK("https://vegkart.atlas.vegvesen.no/#/@292977.9,6561251.7,18/hva:hva%5B0%5D%5Bfilter%5D%5B0%5D%5Boperator%5D=%21%3D&amp;hva%5B0%5D%5Bfilter%5D%5B0%5D%5Btype_id%5D=8917&amp;hva%5B0%5D%5Bfilter%5D%5B0%5D%5Bverdi%5D=&amp;hva%5B0%5D%5Bid%5D=49/når:2025-10-15", "Vegkart")</f>
        <v>Vegkart</v>
      </c>
      <c r="B2645">
        <v>92235750</v>
      </c>
      <c r="C2645">
        <v>49</v>
      </c>
      <c r="D2645" t="s">
        <v>8701</v>
      </c>
      <c r="E2645">
        <v>8917</v>
      </c>
      <c r="F2645" t="s">
        <v>23479</v>
      </c>
      <c r="G2645">
        <v>2</v>
      </c>
      <c r="H2645" t="s">
        <v>683</v>
      </c>
      <c r="J2645" t="s">
        <v>8725</v>
      </c>
      <c r="K2645" t="s">
        <v>104</v>
      </c>
      <c r="L2645" t="s">
        <v>33</v>
      </c>
      <c r="M2645" t="s">
        <v>8758</v>
      </c>
      <c r="N2645" t="s">
        <v>8759</v>
      </c>
      <c r="O2645" t="s">
        <v>8760</v>
      </c>
      <c r="P2645" s="2" t="s">
        <v>37</v>
      </c>
      <c r="Q2645" t="s">
        <v>1208</v>
      </c>
      <c r="R2645">
        <v>0</v>
      </c>
      <c r="S2645">
        <v>37.270000000000003</v>
      </c>
      <c r="T2645" t="s">
        <v>8761</v>
      </c>
    </row>
    <row r="2646" spans="1:20" x14ac:dyDescent="0.25">
      <c r="A2646" s="1" t="str">
        <f>HYPERLINK("https://vegkart.atlas.vegvesen.no/#/@293540.9,6559412.7,18/hva:hva%5B0%5D%5Bfilter%5D%5B0%5D%5Boperator%5D=%21%3D&amp;hva%5B0%5D%5Bfilter%5D%5B0%5D%5Btype_id%5D=8917&amp;hva%5B0%5D%5Bfilter%5D%5B0%5D%5Bverdi%5D=&amp;hva%5B0%5D%5Bid%5D=49/når:2025-10-15", "Vegkart")</f>
        <v>Vegkart</v>
      </c>
      <c r="B2646">
        <v>92235806</v>
      </c>
      <c r="C2646">
        <v>49</v>
      </c>
      <c r="D2646" t="s">
        <v>8701</v>
      </c>
      <c r="E2646">
        <v>8917</v>
      </c>
      <c r="F2646" t="s">
        <v>23479</v>
      </c>
      <c r="G2646">
        <v>3</v>
      </c>
      <c r="H2646" t="s">
        <v>683</v>
      </c>
      <c r="J2646" t="s">
        <v>8725</v>
      </c>
      <c r="K2646" t="s">
        <v>104</v>
      </c>
      <c r="L2646" t="s">
        <v>33</v>
      </c>
      <c r="M2646" t="s">
        <v>8758</v>
      </c>
      <c r="N2646" t="s">
        <v>8762</v>
      </c>
      <c r="O2646" t="s">
        <v>8763</v>
      </c>
      <c r="P2646" s="2" t="s">
        <v>37</v>
      </c>
      <c r="Q2646" t="s">
        <v>1208</v>
      </c>
      <c r="R2646">
        <v>0</v>
      </c>
      <c r="S2646">
        <v>37.69</v>
      </c>
      <c r="T2646" t="s">
        <v>8764</v>
      </c>
    </row>
    <row r="2647" spans="1:20" x14ac:dyDescent="0.25">
      <c r="A2647" s="1" t="str">
        <f>HYPERLINK("https://vegkart.atlas.vegvesen.no/#/@268567.7,6570455.5,18/hva:hva%5B0%5D%5Bfilter%5D%5B0%5D%5Boperator%5D=%21%3D&amp;hva%5B0%5D%5Bfilter%5D%5B0%5D%5Btype_id%5D=8917&amp;hva%5B0%5D%5Bfilter%5D%5B0%5D%5Bverdi%5D=&amp;hva%5B0%5D%5Bid%5D=49/når:2025-11-28", "Vegkart")</f>
        <v>Vegkart</v>
      </c>
      <c r="B2647">
        <v>92236027</v>
      </c>
      <c r="C2647">
        <v>49</v>
      </c>
      <c r="D2647" t="s">
        <v>8701</v>
      </c>
      <c r="E2647">
        <v>8917</v>
      </c>
      <c r="F2647" t="s">
        <v>23479</v>
      </c>
      <c r="G2647">
        <v>4</v>
      </c>
      <c r="H2647" t="s">
        <v>8765</v>
      </c>
      <c r="J2647" t="s">
        <v>8766</v>
      </c>
      <c r="K2647" t="s">
        <v>104</v>
      </c>
      <c r="L2647" t="s">
        <v>33</v>
      </c>
      <c r="M2647" t="s">
        <v>931</v>
      </c>
      <c r="N2647" t="s">
        <v>8767</v>
      </c>
      <c r="O2647" t="s">
        <v>8768</v>
      </c>
      <c r="P2647" s="2" t="s">
        <v>37</v>
      </c>
      <c r="Q2647" t="s">
        <v>1208</v>
      </c>
      <c r="R2647">
        <v>0</v>
      </c>
      <c r="S2647">
        <v>23.96</v>
      </c>
      <c r="T2647" t="s">
        <v>8769</v>
      </c>
    </row>
    <row r="2648" spans="1:20" x14ac:dyDescent="0.25">
      <c r="A2648" s="1" t="str">
        <f>HYPERLINK("https://vegkart.atlas.vegvesen.no/#/@256628.3,6597521.4,18/hva:hva%5B0%5D%5Bfilter%5D%5B0%5D%5Boperator%5D=%21%3D&amp;hva%5B0%5D%5Bfilter%5D%5B0%5D%5Btype_id%5D=8917&amp;hva%5B0%5D%5Bfilter%5D%5B0%5D%5Bverdi%5D=&amp;hva%5B0%5D%5Bid%5D=49/når:2025-10-30", "Vegkart")</f>
        <v>Vegkart</v>
      </c>
      <c r="B2648">
        <v>92236581</v>
      </c>
      <c r="C2648">
        <v>49</v>
      </c>
      <c r="D2648" t="s">
        <v>8701</v>
      </c>
      <c r="E2648">
        <v>8917</v>
      </c>
      <c r="F2648" t="s">
        <v>23479</v>
      </c>
      <c r="G2648">
        <v>4</v>
      </c>
      <c r="H2648" t="s">
        <v>8750</v>
      </c>
      <c r="J2648" t="s">
        <v>8725</v>
      </c>
      <c r="K2648" t="s">
        <v>104</v>
      </c>
      <c r="L2648" t="s">
        <v>33</v>
      </c>
      <c r="M2648" t="s">
        <v>288</v>
      </c>
      <c r="N2648" t="s">
        <v>8770</v>
      </c>
      <c r="O2648" t="s">
        <v>8771</v>
      </c>
      <c r="P2648" s="2" t="s">
        <v>37</v>
      </c>
      <c r="Q2648" t="s">
        <v>1208</v>
      </c>
      <c r="R2648">
        <v>0</v>
      </c>
      <c r="S2648">
        <v>57.12</v>
      </c>
      <c r="T2648" t="s">
        <v>8772</v>
      </c>
    </row>
    <row r="2649" spans="1:20" x14ac:dyDescent="0.25">
      <c r="A2649" s="1" t="str">
        <f>HYPERLINK("https://vegkart.atlas.vegvesen.no/#/@277607.1,6578099.3,18/hva:hva%5B0%5D%5Bfilter%5D%5B0%5D%5Boperator%5D=%21%3D&amp;hva%5B0%5D%5Bfilter%5D%5B0%5D%5Btype_id%5D=8917&amp;hva%5B0%5D%5Bfilter%5D%5B0%5D%5Bverdi%5D=&amp;hva%5B0%5D%5Bid%5D=49/når:2025-11-11", "Vegkart")</f>
        <v>Vegkart</v>
      </c>
      <c r="B2649">
        <v>92236647</v>
      </c>
      <c r="C2649">
        <v>49</v>
      </c>
      <c r="D2649" t="s">
        <v>8701</v>
      </c>
      <c r="E2649">
        <v>8917</v>
      </c>
      <c r="F2649" t="s">
        <v>23479</v>
      </c>
      <c r="G2649">
        <v>4</v>
      </c>
      <c r="H2649" t="s">
        <v>8773</v>
      </c>
      <c r="J2649" t="s">
        <v>8725</v>
      </c>
      <c r="K2649" t="s">
        <v>104</v>
      </c>
      <c r="L2649" t="s">
        <v>33</v>
      </c>
      <c r="M2649" t="s">
        <v>8774</v>
      </c>
      <c r="N2649" t="s">
        <v>8775</v>
      </c>
      <c r="O2649" t="s">
        <v>8776</v>
      </c>
      <c r="P2649" s="2" t="s">
        <v>37</v>
      </c>
      <c r="Q2649" t="s">
        <v>1208</v>
      </c>
      <c r="R2649">
        <v>0</v>
      </c>
      <c r="S2649">
        <v>68.900000000000006</v>
      </c>
      <c r="T2649" t="s">
        <v>8777</v>
      </c>
    </row>
    <row r="2650" spans="1:20" x14ac:dyDescent="0.25">
      <c r="A2650" s="1" t="str">
        <f>HYPERLINK("https://vegkart.atlas.vegvesen.no/#/@276966.1,6577294.7,18/hva:hva%5B0%5D%5Bfilter%5D%5B0%5D%5Boperator%5D=%21%3D&amp;hva%5B0%5D%5Bfilter%5D%5B0%5D%5Btype_id%5D=8917&amp;hva%5B0%5D%5Bfilter%5D%5B0%5D%5Bverdi%5D=&amp;hva%5B0%5D%5Bid%5D=49/når:2025-11-11", "Vegkart")</f>
        <v>Vegkart</v>
      </c>
      <c r="B2650">
        <v>92236691</v>
      </c>
      <c r="C2650">
        <v>49</v>
      </c>
      <c r="D2650" t="s">
        <v>8701</v>
      </c>
      <c r="E2650">
        <v>8917</v>
      </c>
      <c r="F2650" t="s">
        <v>23479</v>
      </c>
      <c r="G2650">
        <v>4</v>
      </c>
      <c r="H2650" t="s">
        <v>8773</v>
      </c>
      <c r="J2650" t="s">
        <v>8725</v>
      </c>
      <c r="K2650" t="s">
        <v>104</v>
      </c>
      <c r="L2650" t="s">
        <v>33</v>
      </c>
      <c r="M2650" t="s">
        <v>8774</v>
      </c>
      <c r="N2650" t="s">
        <v>8778</v>
      </c>
      <c r="O2650" t="s">
        <v>8779</v>
      </c>
      <c r="P2650" s="2" t="s">
        <v>37</v>
      </c>
      <c r="Q2650" t="s">
        <v>1208</v>
      </c>
      <c r="R2650">
        <v>0</v>
      </c>
      <c r="S2650">
        <v>62.83</v>
      </c>
      <c r="T2650" t="s">
        <v>8780</v>
      </c>
    </row>
    <row r="2651" spans="1:20" x14ac:dyDescent="0.25">
      <c r="A2651" s="1" t="str">
        <f>HYPERLINK("https://vegkart.atlas.vegvesen.no/#/@277056.6,6577516.7,18/hva:hva%5B0%5D%5Bfilter%5D%5B0%5D%5Boperator%5D=%21%3D&amp;hva%5B0%5D%5Bfilter%5D%5B0%5D%5Btype_id%5D=8917&amp;hva%5B0%5D%5Bfilter%5D%5B0%5D%5Bverdi%5D=&amp;hva%5B0%5D%5Bid%5D=49/når:2025-11-11", "Vegkart")</f>
        <v>Vegkart</v>
      </c>
      <c r="B2651">
        <v>92236738</v>
      </c>
      <c r="C2651">
        <v>49</v>
      </c>
      <c r="D2651" t="s">
        <v>8701</v>
      </c>
      <c r="E2651">
        <v>8917</v>
      </c>
      <c r="F2651" t="s">
        <v>23479</v>
      </c>
      <c r="G2651">
        <v>4</v>
      </c>
      <c r="H2651" t="s">
        <v>8773</v>
      </c>
      <c r="J2651" t="s">
        <v>8725</v>
      </c>
      <c r="K2651" t="s">
        <v>104</v>
      </c>
      <c r="L2651" t="s">
        <v>33</v>
      </c>
      <c r="M2651" t="s">
        <v>8774</v>
      </c>
      <c r="N2651" t="s">
        <v>8781</v>
      </c>
      <c r="O2651" t="s">
        <v>8782</v>
      </c>
      <c r="P2651" s="2" t="s">
        <v>37</v>
      </c>
      <c r="Q2651" t="s">
        <v>1208</v>
      </c>
      <c r="R2651">
        <v>0</v>
      </c>
      <c r="S2651">
        <v>56.5</v>
      </c>
      <c r="T2651" t="s">
        <v>8783</v>
      </c>
    </row>
    <row r="2652" spans="1:20" x14ac:dyDescent="0.25">
      <c r="A2652" s="1" t="str">
        <f>HYPERLINK("https://vegkart.atlas.vegvesen.no/#/@272765.1,6576476.3,18/hva:hva%5B0%5D%5Bfilter%5D%5B0%5D%5Boperator%5D=%21%3D&amp;hva%5B0%5D%5Bfilter%5D%5B0%5D%5Btype_id%5D=8917&amp;hva%5B0%5D%5Bfilter%5D%5B0%5D%5Bverdi%5D=&amp;hva%5B0%5D%5Bid%5D=49/når:2025-11-28", "Vegkart")</f>
        <v>Vegkart</v>
      </c>
      <c r="B2652">
        <v>92236839</v>
      </c>
      <c r="C2652">
        <v>49</v>
      </c>
      <c r="D2652" t="s">
        <v>8701</v>
      </c>
      <c r="E2652">
        <v>8917</v>
      </c>
      <c r="F2652" t="s">
        <v>23479</v>
      </c>
      <c r="G2652">
        <v>4</v>
      </c>
      <c r="H2652" t="s">
        <v>8765</v>
      </c>
      <c r="J2652" t="s">
        <v>8766</v>
      </c>
      <c r="K2652" t="s">
        <v>104</v>
      </c>
      <c r="L2652" t="s">
        <v>33</v>
      </c>
      <c r="M2652" t="s">
        <v>8774</v>
      </c>
      <c r="N2652" t="s">
        <v>8784</v>
      </c>
      <c r="O2652" t="s">
        <v>8785</v>
      </c>
      <c r="P2652" s="2" t="s">
        <v>37</v>
      </c>
      <c r="Q2652" t="s">
        <v>1208</v>
      </c>
      <c r="R2652">
        <v>0</v>
      </c>
      <c r="S2652">
        <v>33.770000000000003</v>
      </c>
      <c r="T2652" t="s">
        <v>8786</v>
      </c>
    </row>
    <row r="2653" spans="1:20" x14ac:dyDescent="0.25">
      <c r="A2653" s="1" t="str">
        <f>HYPERLINK("https://vegkart.atlas.vegvesen.no/#/@272290.7,6575871.5,18/hva:hva%5B0%5D%5Bfilter%5D%5B0%5D%5Boperator%5D=%21%3D&amp;hva%5B0%5D%5Bfilter%5D%5B0%5D%5Btype_id%5D=8917&amp;hva%5B0%5D%5Bfilter%5D%5B0%5D%5Bverdi%5D=&amp;hva%5B0%5D%5Bid%5D=49/når:2025-11-28", "Vegkart")</f>
        <v>Vegkart</v>
      </c>
      <c r="B2653">
        <v>92236883</v>
      </c>
      <c r="C2653">
        <v>49</v>
      </c>
      <c r="D2653" t="s">
        <v>8701</v>
      </c>
      <c r="E2653">
        <v>8917</v>
      </c>
      <c r="F2653" t="s">
        <v>23479</v>
      </c>
      <c r="G2653">
        <v>4</v>
      </c>
      <c r="H2653" t="s">
        <v>8765</v>
      </c>
      <c r="J2653" t="s">
        <v>8787</v>
      </c>
      <c r="K2653" t="s">
        <v>104</v>
      </c>
      <c r="L2653" t="s">
        <v>33</v>
      </c>
      <c r="M2653" t="s">
        <v>8774</v>
      </c>
      <c r="N2653" t="s">
        <v>8788</v>
      </c>
      <c r="O2653" t="s">
        <v>8789</v>
      </c>
      <c r="P2653" s="2" t="s">
        <v>37</v>
      </c>
      <c r="Q2653" t="s">
        <v>1208</v>
      </c>
      <c r="R2653">
        <v>0</v>
      </c>
      <c r="S2653">
        <v>43.84</v>
      </c>
      <c r="T2653" t="s">
        <v>8790</v>
      </c>
    </row>
    <row r="2654" spans="1:20" x14ac:dyDescent="0.25">
      <c r="A2654" s="1" t="str">
        <f>HYPERLINK("https://vegkart.atlas.vegvesen.no/#/@271594.4,6575128.9,18/hva:hva%5B0%5D%5Bfilter%5D%5B0%5D%5Boperator%5D=%21%3D&amp;hva%5B0%5D%5Bfilter%5D%5B0%5D%5Btype_id%5D=8917&amp;hva%5B0%5D%5Bfilter%5D%5B0%5D%5Bverdi%5D=&amp;hva%5B0%5D%5Bid%5D=49/når:2025-11-28", "Vegkart")</f>
        <v>Vegkart</v>
      </c>
      <c r="B2654">
        <v>92236927</v>
      </c>
      <c r="C2654">
        <v>49</v>
      </c>
      <c r="D2654" t="s">
        <v>8701</v>
      </c>
      <c r="E2654">
        <v>8917</v>
      </c>
      <c r="F2654" t="s">
        <v>23479</v>
      </c>
      <c r="G2654">
        <v>4</v>
      </c>
      <c r="H2654" t="s">
        <v>8765</v>
      </c>
      <c r="J2654" t="s">
        <v>8787</v>
      </c>
      <c r="K2654" t="s">
        <v>104</v>
      </c>
      <c r="L2654" t="s">
        <v>33</v>
      </c>
      <c r="M2654" t="s">
        <v>8774</v>
      </c>
      <c r="N2654" t="s">
        <v>8791</v>
      </c>
      <c r="O2654" t="s">
        <v>8792</v>
      </c>
      <c r="P2654" s="2" t="s">
        <v>37</v>
      </c>
      <c r="Q2654" t="s">
        <v>1208</v>
      </c>
      <c r="R2654">
        <v>0</v>
      </c>
      <c r="S2654">
        <v>57.26</v>
      </c>
      <c r="T2654" t="s">
        <v>8793</v>
      </c>
    </row>
    <row r="2655" spans="1:20" x14ac:dyDescent="0.25">
      <c r="A2655" s="1" t="str">
        <f>HYPERLINK("https://vegkart.atlas.vegvesen.no/#/@269611.0,6572912.3,18/hva:hva%5B0%5D%5Bfilter%5D%5B0%5D%5Boperator%5D=%21%3D&amp;hva%5B0%5D%5Bfilter%5D%5B0%5D%5Btype_id%5D=8917&amp;hva%5B0%5D%5Bfilter%5D%5B0%5D%5Bverdi%5D=&amp;hva%5B0%5D%5Bid%5D=49/når:2025-11-28", "Vegkart")</f>
        <v>Vegkart</v>
      </c>
      <c r="B2655">
        <v>92237120</v>
      </c>
      <c r="C2655">
        <v>49</v>
      </c>
      <c r="D2655" t="s">
        <v>8701</v>
      </c>
      <c r="E2655">
        <v>8917</v>
      </c>
      <c r="F2655" t="s">
        <v>23479</v>
      </c>
      <c r="G2655">
        <v>4</v>
      </c>
      <c r="H2655" t="s">
        <v>8765</v>
      </c>
      <c r="J2655" t="s">
        <v>8766</v>
      </c>
      <c r="K2655" t="s">
        <v>104</v>
      </c>
      <c r="L2655" t="s">
        <v>33</v>
      </c>
      <c r="M2655" t="s">
        <v>8774</v>
      </c>
      <c r="N2655" t="s">
        <v>8794</v>
      </c>
      <c r="O2655" t="s">
        <v>8795</v>
      </c>
      <c r="P2655" s="2" t="s">
        <v>37</v>
      </c>
      <c r="Q2655" t="s">
        <v>1208</v>
      </c>
      <c r="R2655">
        <v>0</v>
      </c>
      <c r="S2655">
        <v>61.94</v>
      </c>
      <c r="T2655" t="s">
        <v>8796</v>
      </c>
    </row>
    <row r="2656" spans="1:20" x14ac:dyDescent="0.25">
      <c r="A2656" s="1" t="str">
        <f>HYPERLINK("https://vegkart.atlas.vegvesen.no/#/@253334.3,6596410.9,18/hva:hva%5B0%5D%5Bfilter%5D%5B0%5D%5Boperator%5D=%21%3D&amp;hva%5B0%5D%5Bfilter%5D%5B0%5D%5Btype_id%5D=8917&amp;hva%5B0%5D%5Bfilter%5D%5B0%5D%5Bverdi%5D=&amp;hva%5B0%5D%5Bid%5D=49/når:2025-10-30", "Vegkart")</f>
        <v>Vegkart</v>
      </c>
      <c r="B2656">
        <v>92237521</v>
      </c>
      <c r="C2656">
        <v>49</v>
      </c>
      <c r="D2656" t="s">
        <v>8701</v>
      </c>
      <c r="E2656">
        <v>8917</v>
      </c>
      <c r="F2656" t="s">
        <v>23479</v>
      </c>
      <c r="G2656">
        <v>5</v>
      </c>
      <c r="H2656" t="s">
        <v>8750</v>
      </c>
      <c r="J2656" t="s">
        <v>8725</v>
      </c>
      <c r="K2656" t="s">
        <v>104</v>
      </c>
      <c r="L2656" t="s">
        <v>33</v>
      </c>
      <c r="M2656" t="s">
        <v>8797</v>
      </c>
      <c r="N2656" t="s">
        <v>8798</v>
      </c>
      <c r="O2656" t="s">
        <v>8799</v>
      </c>
      <c r="P2656" s="2" t="s">
        <v>37</v>
      </c>
      <c r="Q2656" t="s">
        <v>1208</v>
      </c>
      <c r="R2656">
        <v>0</v>
      </c>
      <c r="S2656">
        <v>34.520000000000003</v>
      </c>
      <c r="T2656" t="s">
        <v>8800</v>
      </c>
    </row>
    <row r="2657" spans="1:20" x14ac:dyDescent="0.25">
      <c r="A2657" s="1" t="str">
        <f>HYPERLINK("https://vegkart.atlas.vegvesen.no/#/@260490.5,6588887.2,18/hva:hva%5B0%5D%5Bfilter%5D%5B0%5D%5Boperator%5D=%21%3D&amp;hva%5B0%5D%5Bfilter%5D%5B0%5D%5Btype_id%5D=8917&amp;hva%5B0%5D%5Bfilter%5D%5B0%5D%5Bverdi%5D=&amp;hva%5B0%5D%5Bid%5D=49/når:2025-09-12", "Vegkart")</f>
        <v>Vegkart</v>
      </c>
      <c r="B2657">
        <v>92239574</v>
      </c>
      <c r="C2657">
        <v>49</v>
      </c>
      <c r="D2657" t="s">
        <v>8701</v>
      </c>
      <c r="E2657">
        <v>8917</v>
      </c>
      <c r="F2657" t="s">
        <v>23479</v>
      </c>
      <c r="G2657">
        <v>5</v>
      </c>
      <c r="H2657" t="s">
        <v>8801</v>
      </c>
      <c r="J2657" t="s">
        <v>8725</v>
      </c>
      <c r="K2657" t="s">
        <v>104</v>
      </c>
      <c r="L2657" t="s">
        <v>33</v>
      </c>
      <c r="M2657" t="s">
        <v>8802</v>
      </c>
      <c r="N2657" t="s">
        <v>8803</v>
      </c>
      <c r="O2657" t="s">
        <v>8804</v>
      </c>
      <c r="P2657" s="2" t="s">
        <v>37</v>
      </c>
      <c r="Q2657" t="s">
        <v>1208</v>
      </c>
      <c r="R2657">
        <v>0</v>
      </c>
      <c r="S2657">
        <v>44</v>
      </c>
      <c r="T2657" t="s">
        <v>8805</v>
      </c>
    </row>
    <row r="2658" spans="1:20" x14ac:dyDescent="0.25">
      <c r="A2658" s="1" t="str">
        <f>HYPERLINK("https://vegkart.atlas.vegvesen.no/#/@272560.2,6549614.0,18/hva:hva%5B0%5D%5Bfilter%5D%5B0%5D%5Boperator%5D=%21%3D&amp;hva%5B0%5D%5Bfilter%5D%5B0%5D%5Btype_id%5D=8917&amp;hva%5B0%5D%5Bfilter%5D%5B0%5D%5Bverdi%5D=&amp;hva%5B0%5D%5Bid%5D=49/når:2025-10-07", "Vegkart")</f>
        <v>Vegkart</v>
      </c>
      <c r="B2658">
        <v>131976678</v>
      </c>
      <c r="C2658">
        <v>49</v>
      </c>
      <c r="D2658" t="s">
        <v>8701</v>
      </c>
      <c r="E2658">
        <v>8917</v>
      </c>
      <c r="F2658" t="s">
        <v>23479</v>
      </c>
      <c r="G2658">
        <v>3</v>
      </c>
      <c r="H2658" t="s">
        <v>8806</v>
      </c>
      <c r="J2658" t="s">
        <v>8807</v>
      </c>
      <c r="K2658" t="s">
        <v>104</v>
      </c>
      <c r="L2658" t="s">
        <v>33</v>
      </c>
      <c r="M2658" t="s">
        <v>931</v>
      </c>
      <c r="N2658" t="s">
        <v>8808</v>
      </c>
      <c r="O2658" t="s">
        <v>8809</v>
      </c>
      <c r="P2658" s="2" t="s">
        <v>37</v>
      </c>
      <c r="Q2658" t="s">
        <v>1208</v>
      </c>
      <c r="R2658">
        <v>0</v>
      </c>
      <c r="S2658">
        <v>19.97</v>
      </c>
      <c r="T2658" t="s">
        <v>8810</v>
      </c>
    </row>
    <row r="2659" spans="1:20" x14ac:dyDescent="0.25">
      <c r="A2659" s="1" t="str">
        <f>HYPERLINK("https://vegkart.atlas.vegvesen.no/#/@283588.8,6610909.5,18/hva:hva%5B0%5D%5Bfilter%5D%5B0%5D%5Boperator%5D=%21%3D&amp;hva%5B0%5D%5Bfilter%5D%5B0%5D%5Btype_id%5D=8917&amp;hva%5B0%5D%5Bfilter%5D%5B0%5D%5Bverdi%5D=&amp;hva%5B0%5D%5Bid%5D=49/når:2025-10-03", "Vegkart")</f>
        <v>Vegkart</v>
      </c>
      <c r="B2659">
        <v>132191660</v>
      </c>
      <c r="C2659">
        <v>49</v>
      </c>
      <c r="D2659" t="s">
        <v>8701</v>
      </c>
      <c r="E2659">
        <v>8917</v>
      </c>
      <c r="F2659" t="s">
        <v>23479</v>
      </c>
      <c r="G2659">
        <v>4</v>
      </c>
      <c r="H2659" t="s">
        <v>8719</v>
      </c>
      <c r="J2659" t="s">
        <v>8807</v>
      </c>
      <c r="K2659" t="s">
        <v>104</v>
      </c>
      <c r="L2659" t="s">
        <v>33</v>
      </c>
      <c r="M2659" t="s">
        <v>8721</v>
      </c>
      <c r="N2659" t="s">
        <v>8811</v>
      </c>
      <c r="O2659" t="s">
        <v>8812</v>
      </c>
      <c r="P2659" s="2" t="s">
        <v>37</v>
      </c>
      <c r="Q2659" t="s">
        <v>1208</v>
      </c>
      <c r="R2659">
        <v>0</v>
      </c>
      <c r="S2659">
        <v>63.22</v>
      </c>
      <c r="T2659" t="s">
        <v>8813</v>
      </c>
    </row>
    <row r="2660" spans="1:20" x14ac:dyDescent="0.25">
      <c r="A2660" s="1" t="str">
        <f>HYPERLINK("https://vegkart.atlas.vegvesen.no/#/@258772.4,6589948.3,18/hva:hva%5B0%5D%5Bfilter%5D%5B0%5D%5Boperator%5D=%21%3D&amp;hva%5B0%5D%5Bfilter%5D%5B0%5D%5Btype_id%5D=8917&amp;hva%5B0%5D%5Bfilter%5D%5B0%5D%5Bverdi%5D=&amp;hva%5B0%5D%5Bid%5D=49/når:2025-10-30", "Vegkart")</f>
        <v>Vegkart</v>
      </c>
      <c r="B2660">
        <v>132260332</v>
      </c>
      <c r="C2660">
        <v>49</v>
      </c>
      <c r="D2660" t="s">
        <v>8701</v>
      </c>
      <c r="E2660">
        <v>8917</v>
      </c>
      <c r="F2660" t="s">
        <v>23479</v>
      </c>
      <c r="G2660">
        <v>3</v>
      </c>
      <c r="H2660" t="s">
        <v>8750</v>
      </c>
      <c r="J2660" t="s">
        <v>8807</v>
      </c>
      <c r="K2660" t="s">
        <v>104</v>
      </c>
      <c r="L2660" t="s">
        <v>33</v>
      </c>
      <c r="M2660" t="s">
        <v>8814</v>
      </c>
      <c r="N2660" t="s">
        <v>8815</v>
      </c>
      <c r="O2660" t="s">
        <v>8816</v>
      </c>
      <c r="P2660" s="2" t="s">
        <v>37</v>
      </c>
      <c r="Q2660" t="s">
        <v>1208</v>
      </c>
      <c r="R2660">
        <v>0</v>
      </c>
      <c r="S2660">
        <v>20.8</v>
      </c>
      <c r="T2660" t="s">
        <v>8817</v>
      </c>
    </row>
    <row r="2661" spans="1:20" x14ac:dyDescent="0.25">
      <c r="A2661" s="1" t="str">
        <f>HYPERLINK("https://vegkart.atlas.vegvesen.no/#/@282549.3,6611145.2,18/hva:hva%5B0%5D%5Bfilter%5D%5B0%5D%5Boperator%5D=%21%3D&amp;hva%5B0%5D%5Bfilter%5D%5B0%5D%5Btype_id%5D=8917&amp;hva%5B0%5D%5Bfilter%5D%5B0%5D%5Bverdi%5D=&amp;hva%5B0%5D%5Bid%5D=49/når:2025-10-03", "Vegkart")</f>
        <v>Vegkart</v>
      </c>
      <c r="B2661">
        <v>135290983</v>
      </c>
      <c r="C2661">
        <v>49</v>
      </c>
      <c r="D2661" t="s">
        <v>8701</v>
      </c>
      <c r="E2661">
        <v>8917</v>
      </c>
      <c r="F2661" t="s">
        <v>23479</v>
      </c>
      <c r="G2661">
        <v>5</v>
      </c>
      <c r="H2661" t="s">
        <v>8719</v>
      </c>
      <c r="J2661" t="s">
        <v>8807</v>
      </c>
      <c r="K2661" t="s">
        <v>104</v>
      </c>
      <c r="L2661" t="s">
        <v>33</v>
      </c>
      <c r="M2661" t="s">
        <v>8721</v>
      </c>
      <c r="N2661" t="s">
        <v>8818</v>
      </c>
      <c r="O2661" t="s">
        <v>8819</v>
      </c>
      <c r="P2661" s="2" t="s">
        <v>37</v>
      </c>
      <c r="Q2661" t="s">
        <v>1208</v>
      </c>
      <c r="R2661">
        <v>0</v>
      </c>
      <c r="S2661">
        <v>56.83</v>
      </c>
      <c r="T2661" t="s">
        <v>8820</v>
      </c>
    </row>
    <row r="2662" spans="1:20" x14ac:dyDescent="0.25">
      <c r="A2662" s="1" t="str">
        <f>HYPERLINK("https://vegkart.atlas.vegvesen.no/#/@292741.6,6592485.4,18/hva:hva%5B0%5D%5Bfilter%5D%5B0%5D%5Boperator%5D=%21%3D&amp;hva%5B0%5D%5Bfilter%5D%5B0%5D%5Btype_id%5D=8917&amp;hva%5B0%5D%5Bfilter%5D%5B0%5D%5Bverdi%5D=&amp;hva%5B0%5D%5Bid%5D=49/når:2025-09-17", "Vegkart")</f>
        <v>Vegkart</v>
      </c>
      <c r="B2662">
        <v>137019273</v>
      </c>
      <c r="C2662">
        <v>49</v>
      </c>
      <c r="D2662" t="s">
        <v>8701</v>
      </c>
      <c r="E2662">
        <v>8917</v>
      </c>
      <c r="F2662" t="s">
        <v>23479</v>
      </c>
      <c r="G2662">
        <v>3</v>
      </c>
      <c r="H2662" t="s">
        <v>4275</v>
      </c>
      <c r="J2662" t="s">
        <v>8807</v>
      </c>
      <c r="K2662" t="s">
        <v>104</v>
      </c>
      <c r="L2662" t="s">
        <v>33</v>
      </c>
      <c r="M2662" t="s">
        <v>8729</v>
      </c>
      <c r="N2662" t="s">
        <v>8821</v>
      </c>
      <c r="O2662" t="s">
        <v>8822</v>
      </c>
      <c r="P2662" s="2" t="s">
        <v>37</v>
      </c>
      <c r="Q2662" t="s">
        <v>1208</v>
      </c>
      <c r="R2662">
        <v>0</v>
      </c>
      <c r="S2662">
        <v>36.6</v>
      </c>
      <c r="T2662" t="s">
        <v>8823</v>
      </c>
    </row>
    <row r="2663" spans="1:20" x14ac:dyDescent="0.25">
      <c r="A2663" s="1" t="str">
        <f>HYPERLINK("https://vegkart.atlas.vegvesen.no/#/@292395.9,6607673.4,18/hva:hva%5B0%5D%5Bfilter%5D%5B0%5D%5Boperator%5D=%21%3D&amp;hva%5B0%5D%5Bfilter%5D%5B0%5D%5Btype_id%5D=8917&amp;hva%5B0%5D%5Bfilter%5D%5B0%5D%5Bverdi%5D=&amp;hva%5B0%5D%5Bid%5D=49/når:2021-05-26", "Vegkart")</f>
        <v>Vegkart</v>
      </c>
      <c r="B2663">
        <v>137581709</v>
      </c>
      <c r="C2663">
        <v>49</v>
      </c>
      <c r="D2663" t="s">
        <v>8701</v>
      </c>
      <c r="E2663">
        <v>8917</v>
      </c>
      <c r="F2663" t="s">
        <v>23479</v>
      </c>
      <c r="G2663">
        <v>4</v>
      </c>
      <c r="H2663" t="s">
        <v>8824</v>
      </c>
      <c r="J2663" t="s">
        <v>8807</v>
      </c>
      <c r="K2663" t="s">
        <v>104</v>
      </c>
      <c r="L2663" t="s">
        <v>33</v>
      </c>
      <c r="M2663" t="s">
        <v>8825</v>
      </c>
      <c r="N2663" t="s">
        <v>8826</v>
      </c>
      <c r="O2663" t="s">
        <v>8827</v>
      </c>
      <c r="P2663" s="2" t="s">
        <v>37</v>
      </c>
      <c r="Q2663" t="s">
        <v>1208</v>
      </c>
      <c r="R2663">
        <v>0.1</v>
      </c>
      <c r="S2663">
        <v>58.15</v>
      </c>
      <c r="T2663" t="s">
        <v>8828</v>
      </c>
    </row>
    <row r="2664" spans="1:20" x14ac:dyDescent="0.25">
      <c r="A2664" s="1" t="str">
        <f>HYPERLINK("https://vegkart.atlas.vegvesen.no/#/@260274.1,6599054.2,18/hva:hva%5B0%5D%5Bfilter%5D%5B0%5D%5Boperator%5D=%21%3D&amp;hva%5B0%5D%5Bfilter%5D%5B0%5D%5Btype_id%5D=8917&amp;hva%5B0%5D%5Bfilter%5D%5B0%5D%5Bverdi%5D=&amp;hva%5B0%5D%5Bid%5D=49/når:2025-09-10", "Vegkart")</f>
        <v>Vegkart</v>
      </c>
      <c r="B2664">
        <v>142100748</v>
      </c>
      <c r="C2664">
        <v>49</v>
      </c>
      <c r="D2664" t="s">
        <v>8701</v>
      </c>
      <c r="E2664">
        <v>8917</v>
      </c>
      <c r="F2664" t="s">
        <v>23479</v>
      </c>
      <c r="G2664">
        <v>5</v>
      </c>
      <c r="H2664" t="s">
        <v>8733</v>
      </c>
      <c r="J2664" t="s">
        <v>8807</v>
      </c>
      <c r="K2664" t="s">
        <v>104</v>
      </c>
      <c r="L2664" t="s">
        <v>33</v>
      </c>
      <c r="M2664" t="s">
        <v>288</v>
      </c>
      <c r="N2664" t="s">
        <v>8829</v>
      </c>
      <c r="O2664" t="s">
        <v>8830</v>
      </c>
      <c r="P2664" s="2" t="s">
        <v>37</v>
      </c>
      <c r="Q2664" t="s">
        <v>1208</v>
      </c>
      <c r="R2664">
        <v>0</v>
      </c>
      <c r="S2664">
        <v>22.49</v>
      </c>
      <c r="T2664" t="s">
        <v>8831</v>
      </c>
    </row>
    <row r="2665" spans="1:20" x14ac:dyDescent="0.25">
      <c r="A2665" s="1" t="str">
        <f>HYPERLINK("https://vegkart.atlas.vegvesen.no/#/@260419.8,6599114.7,18/hva:hva%5B0%5D%5Bfilter%5D%5B0%5D%5Boperator%5D=%21%3D&amp;hva%5B0%5D%5Bfilter%5D%5B0%5D%5Btype_id%5D=8917&amp;hva%5B0%5D%5Bfilter%5D%5B0%5D%5Bverdi%5D=&amp;hva%5B0%5D%5Bid%5D=49/når:2025-09-10", "Vegkart")</f>
        <v>Vegkart</v>
      </c>
      <c r="B2665">
        <v>142100778</v>
      </c>
      <c r="C2665">
        <v>49</v>
      </c>
      <c r="D2665" t="s">
        <v>8701</v>
      </c>
      <c r="E2665">
        <v>8917</v>
      </c>
      <c r="F2665" t="s">
        <v>23479</v>
      </c>
      <c r="G2665">
        <v>4</v>
      </c>
      <c r="H2665" t="s">
        <v>8733</v>
      </c>
      <c r="J2665" t="s">
        <v>8807</v>
      </c>
      <c r="K2665" t="s">
        <v>104</v>
      </c>
      <c r="L2665" t="s">
        <v>33</v>
      </c>
      <c r="M2665" t="s">
        <v>288</v>
      </c>
      <c r="N2665" t="s">
        <v>8832</v>
      </c>
      <c r="O2665" t="s">
        <v>8833</v>
      </c>
      <c r="P2665" s="2" t="s">
        <v>37</v>
      </c>
      <c r="Q2665" t="s">
        <v>1208</v>
      </c>
      <c r="R2665">
        <v>0</v>
      </c>
      <c r="S2665">
        <v>21.95</v>
      </c>
      <c r="T2665" t="s">
        <v>8834</v>
      </c>
    </row>
    <row r="2666" spans="1:20" x14ac:dyDescent="0.25">
      <c r="A2666" s="1" t="str">
        <f>HYPERLINK("https://vegkart.atlas.vegvesen.no/#/@17648.7,6468725.1,18/hva:hva%5B0%5D%5Bfilter%5D%5B0%5D%5Boperator%5D=%21%3D&amp;hva%5B0%5D%5Bfilter%5D%5B0%5D%5Btype_id%5D=8917&amp;hva%5B0%5D%5Bfilter%5D%5B0%5D%5Bverdi%5D=&amp;hva%5B0%5D%5Bid%5D=49/når:2007-09-10", "Vegkart")</f>
        <v>Vegkart</v>
      </c>
      <c r="B2666">
        <v>142512765</v>
      </c>
      <c r="C2666">
        <v>49</v>
      </c>
      <c r="D2666" t="s">
        <v>8701</v>
      </c>
      <c r="E2666">
        <v>8917</v>
      </c>
      <c r="F2666" t="s">
        <v>23479</v>
      </c>
      <c r="G2666">
        <v>1</v>
      </c>
      <c r="H2666" t="s">
        <v>8835</v>
      </c>
      <c r="J2666" t="s">
        <v>8807</v>
      </c>
      <c r="K2666" t="s">
        <v>86</v>
      </c>
      <c r="L2666" t="s">
        <v>22</v>
      </c>
      <c r="M2666" t="s">
        <v>8443</v>
      </c>
      <c r="N2666" t="s">
        <v>8836</v>
      </c>
      <c r="O2666" t="s">
        <v>8837</v>
      </c>
      <c r="P2666" s="2" t="s">
        <v>37</v>
      </c>
      <c r="Q2666" t="s">
        <v>1208</v>
      </c>
      <c r="R2666">
        <v>0.43</v>
      </c>
      <c r="S2666">
        <v>24.02</v>
      </c>
      <c r="T2666" t="s">
        <v>8838</v>
      </c>
    </row>
    <row r="2667" spans="1:20" x14ac:dyDescent="0.25">
      <c r="A2667" s="1" t="str">
        <f>HYPERLINK("https://vegkart.atlas.vegvesen.no/#/@292755.0,6609425.9,18/hva:hva%5B0%5D%5Bfilter%5D%5B0%5D%5Boperator%5D=%21%3D&amp;hva%5B0%5D%5Bfilter%5D%5B0%5D%5Btype_id%5D=8917&amp;hva%5B0%5D%5Bfilter%5D%5B0%5D%5Bverdi%5D=&amp;hva%5B0%5D%5Bid%5D=49/når:2025-10-03", "Vegkart")</f>
        <v>Vegkart</v>
      </c>
      <c r="B2667">
        <v>157087805</v>
      </c>
      <c r="C2667">
        <v>49</v>
      </c>
      <c r="D2667" t="s">
        <v>8701</v>
      </c>
      <c r="E2667">
        <v>8917</v>
      </c>
      <c r="F2667" t="s">
        <v>23479</v>
      </c>
      <c r="G2667">
        <v>5</v>
      </c>
      <c r="H2667" t="s">
        <v>8719</v>
      </c>
      <c r="J2667" t="s">
        <v>1690</v>
      </c>
      <c r="K2667" t="s">
        <v>104</v>
      </c>
      <c r="L2667" t="s">
        <v>33</v>
      </c>
      <c r="M2667" t="s">
        <v>8721</v>
      </c>
      <c r="N2667" t="s">
        <v>8839</v>
      </c>
      <c r="O2667" t="s">
        <v>8840</v>
      </c>
      <c r="P2667" s="2" t="s">
        <v>37</v>
      </c>
      <c r="Q2667" t="s">
        <v>1208</v>
      </c>
      <c r="R2667">
        <v>0</v>
      </c>
      <c r="S2667">
        <v>37.94</v>
      </c>
      <c r="T2667" t="s">
        <v>8841</v>
      </c>
    </row>
    <row r="2668" spans="1:20" x14ac:dyDescent="0.25">
      <c r="A2668" s="1" t="str">
        <f>HYPERLINK("https://vegkart.atlas.vegvesen.no/#/@290082.9,6609962.3,18/hva:hva%5B0%5D%5Bfilter%5D%5B0%5D%5Boperator%5D=%21%3D&amp;hva%5B0%5D%5Bfilter%5D%5B0%5D%5Btype_id%5D=8917&amp;hva%5B0%5D%5Bfilter%5D%5B0%5D%5Bverdi%5D=&amp;hva%5B0%5D%5Bid%5D=49/når:2025-10-03", "Vegkart")</f>
        <v>Vegkart</v>
      </c>
      <c r="B2668">
        <v>157109246</v>
      </c>
      <c r="C2668">
        <v>49</v>
      </c>
      <c r="D2668" t="s">
        <v>8701</v>
      </c>
      <c r="E2668">
        <v>8917</v>
      </c>
      <c r="F2668" t="s">
        <v>23479</v>
      </c>
      <c r="G2668">
        <v>4</v>
      </c>
      <c r="H2668" t="s">
        <v>8719</v>
      </c>
      <c r="J2668" t="s">
        <v>1690</v>
      </c>
      <c r="K2668" t="s">
        <v>104</v>
      </c>
      <c r="L2668" t="s">
        <v>33</v>
      </c>
      <c r="M2668" t="s">
        <v>8721</v>
      </c>
      <c r="N2668" t="s">
        <v>8842</v>
      </c>
      <c r="O2668" t="s">
        <v>8843</v>
      </c>
      <c r="P2668" s="2" t="s">
        <v>37</v>
      </c>
      <c r="Q2668" t="s">
        <v>1208</v>
      </c>
      <c r="R2668">
        <v>0</v>
      </c>
      <c r="S2668">
        <v>62.12</v>
      </c>
      <c r="T2668" t="s">
        <v>8844</v>
      </c>
    </row>
    <row r="2669" spans="1:20" x14ac:dyDescent="0.25">
      <c r="A2669" s="1" t="str">
        <f>HYPERLINK("https://vegkart.atlas.vegvesen.no/#/@290036.0,6610115.3,18/hva:hva%5B0%5D%5Bfilter%5D%5B0%5D%5Boperator%5D=%21%3D&amp;hva%5B0%5D%5Bfilter%5D%5B0%5D%5Btype_id%5D=8917&amp;hva%5B0%5D%5Bfilter%5D%5B0%5D%5Bverdi%5D=&amp;hva%5B0%5D%5Bid%5D=49/når:2025-10-03", "Vegkart")</f>
        <v>Vegkart</v>
      </c>
      <c r="B2669">
        <v>157109333</v>
      </c>
      <c r="C2669">
        <v>49</v>
      </c>
      <c r="D2669" t="s">
        <v>8701</v>
      </c>
      <c r="E2669">
        <v>8917</v>
      </c>
      <c r="F2669" t="s">
        <v>23479</v>
      </c>
      <c r="G2669">
        <v>4</v>
      </c>
      <c r="H2669" t="s">
        <v>8719</v>
      </c>
      <c r="J2669" t="s">
        <v>1690</v>
      </c>
      <c r="K2669" t="s">
        <v>104</v>
      </c>
      <c r="L2669" t="s">
        <v>33</v>
      </c>
      <c r="M2669" t="s">
        <v>8721</v>
      </c>
      <c r="N2669" t="s">
        <v>8845</v>
      </c>
      <c r="O2669" t="s">
        <v>8846</v>
      </c>
      <c r="P2669" s="2" t="s">
        <v>37</v>
      </c>
      <c r="Q2669" t="s">
        <v>1208</v>
      </c>
      <c r="R2669">
        <v>0</v>
      </c>
      <c r="S2669">
        <v>62.5</v>
      </c>
      <c r="T2669" t="s">
        <v>8847</v>
      </c>
    </row>
    <row r="2670" spans="1:20" x14ac:dyDescent="0.25">
      <c r="A2670" s="1" t="str">
        <f>HYPERLINK("https://vegkart.atlas.vegvesen.no/#/@265757.9,6568486.3,18/hva:hva%5B0%5D%5Bfilter%5D%5B0%5D%5Boperator%5D=%21%3D&amp;hva%5B0%5D%5Bfilter%5D%5B0%5D%5Btype_id%5D=8917&amp;hva%5B0%5D%5Bfilter%5D%5B0%5D%5Bverdi%5D=&amp;hva%5B0%5D%5Bid%5D=49/når:2025-11-28", "Vegkart")</f>
        <v>Vegkart</v>
      </c>
      <c r="B2670">
        <v>158068303</v>
      </c>
      <c r="C2670">
        <v>49</v>
      </c>
      <c r="D2670" t="s">
        <v>8701</v>
      </c>
      <c r="E2670">
        <v>8917</v>
      </c>
      <c r="F2670" t="s">
        <v>23479</v>
      </c>
      <c r="G2670">
        <v>5</v>
      </c>
      <c r="H2670" t="s">
        <v>8765</v>
      </c>
      <c r="J2670" t="s">
        <v>8766</v>
      </c>
      <c r="K2670" t="s">
        <v>104</v>
      </c>
      <c r="L2670" t="s">
        <v>33</v>
      </c>
      <c r="M2670" t="s">
        <v>8848</v>
      </c>
      <c r="N2670" t="s">
        <v>8849</v>
      </c>
      <c r="O2670" t="s">
        <v>8850</v>
      </c>
      <c r="P2670" s="2" t="s">
        <v>37</v>
      </c>
      <c r="Q2670" t="s">
        <v>1208</v>
      </c>
      <c r="R2670">
        <v>0</v>
      </c>
      <c r="S2670">
        <v>50.8</v>
      </c>
      <c r="T2670" t="s">
        <v>8851</v>
      </c>
    </row>
    <row r="2671" spans="1:20" x14ac:dyDescent="0.25">
      <c r="A2671" s="1" t="str">
        <f>HYPERLINK("https://vegkart.atlas.vegvesen.no/#/@286046.9,6558461.3,18/hva:hva%5B0%5D%5Bfilter%5D%5B0%5D%5Boperator%5D=%21%3D&amp;hva%5B0%5D%5Bfilter%5D%5B0%5D%5Btype_id%5D=8917&amp;hva%5B0%5D%5Bfilter%5D%5B0%5D%5Bverdi%5D=&amp;hva%5B0%5D%5Bid%5D=49/når:2025-10-15", "Vegkart")</f>
        <v>Vegkart</v>
      </c>
      <c r="B2671">
        <v>159525222</v>
      </c>
      <c r="C2671">
        <v>49</v>
      </c>
      <c r="D2671" t="s">
        <v>8701</v>
      </c>
      <c r="E2671">
        <v>8917</v>
      </c>
      <c r="F2671" t="s">
        <v>23479</v>
      </c>
      <c r="G2671">
        <v>3</v>
      </c>
      <c r="H2671" t="s">
        <v>683</v>
      </c>
      <c r="J2671" t="s">
        <v>1690</v>
      </c>
      <c r="K2671" t="s">
        <v>104</v>
      </c>
      <c r="L2671" t="s">
        <v>33</v>
      </c>
      <c r="M2671" t="s">
        <v>8802</v>
      </c>
      <c r="N2671" t="s">
        <v>8852</v>
      </c>
      <c r="O2671" t="s">
        <v>8853</v>
      </c>
      <c r="P2671" s="2" t="s">
        <v>37</v>
      </c>
      <c r="Q2671" t="s">
        <v>1208</v>
      </c>
      <c r="R2671">
        <v>0</v>
      </c>
      <c r="S2671">
        <v>57.13</v>
      </c>
      <c r="T2671" t="s">
        <v>8854</v>
      </c>
    </row>
    <row r="2672" spans="1:20" x14ac:dyDescent="0.25">
      <c r="A2672" s="1" t="str">
        <f>HYPERLINK("https://vegkart.atlas.vegvesen.no/#/@283507.6,6609764.8,18/hva:hva%5B0%5D%5Bfilter%5D%5B0%5D%5Boperator%5D=%21%3D&amp;hva%5B0%5D%5Bfilter%5D%5B0%5D%5Btype_id%5D=8917&amp;hva%5B0%5D%5Bfilter%5D%5B0%5D%5Bverdi%5D=&amp;hva%5B0%5D%5Bid%5D=49/når:2025-10-03", "Vegkart")</f>
        <v>Vegkart</v>
      </c>
      <c r="B2672">
        <v>159559503</v>
      </c>
      <c r="C2672">
        <v>49</v>
      </c>
      <c r="D2672" t="s">
        <v>8701</v>
      </c>
      <c r="E2672">
        <v>8917</v>
      </c>
      <c r="F2672" t="s">
        <v>23479</v>
      </c>
      <c r="G2672">
        <v>3</v>
      </c>
      <c r="H2672" t="s">
        <v>8719</v>
      </c>
      <c r="J2672" t="s">
        <v>1690</v>
      </c>
      <c r="K2672" t="s">
        <v>104</v>
      </c>
      <c r="L2672" t="s">
        <v>33</v>
      </c>
      <c r="M2672" t="s">
        <v>5979</v>
      </c>
      <c r="N2672" t="s">
        <v>8855</v>
      </c>
      <c r="O2672" t="s">
        <v>8856</v>
      </c>
      <c r="P2672" s="2" t="s">
        <v>37</v>
      </c>
      <c r="Q2672" t="s">
        <v>1208</v>
      </c>
      <c r="R2672">
        <v>0</v>
      </c>
      <c r="S2672">
        <v>62.69</v>
      </c>
      <c r="T2672" t="s">
        <v>8857</v>
      </c>
    </row>
    <row r="2673" spans="1:20" x14ac:dyDescent="0.25">
      <c r="A2673" s="1" t="str">
        <f>HYPERLINK("https://vegkart.atlas.vegvesen.no/#/@283513.5,6609872.0,18/hva:hva%5B0%5D%5Bfilter%5D%5B0%5D%5Boperator%5D=%21%3D&amp;hva%5B0%5D%5Bfilter%5D%5B0%5D%5Btype_id%5D=8917&amp;hva%5B0%5D%5Bfilter%5D%5B0%5D%5Bverdi%5D=&amp;hva%5B0%5D%5Bid%5D=49/når:2025-10-03", "Vegkart")</f>
        <v>Vegkart</v>
      </c>
      <c r="B2673">
        <v>159559510</v>
      </c>
      <c r="C2673">
        <v>49</v>
      </c>
      <c r="D2673" t="s">
        <v>8701</v>
      </c>
      <c r="E2673">
        <v>8917</v>
      </c>
      <c r="F2673" t="s">
        <v>23479</v>
      </c>
      <c r="G2673">
        <v>3</v>
      </c>
      <c r="H2673" t="s">
        <v>8719</v>
      </c>
      <c r="J2673" t="s">
        <v>1690</v>
      </c>
      <c r="K2673" t="s">
        <v>104</v>
      </c>
      <c r="L2673" t="s">
        <v>33</v>
      </c>
      <c r="M2673" t="s">
        <v>5979</v>
      </c>
      <c r="N2673" t="s">
        <v>8858</v>
      </c>
      <c r="O2673" t="s">
        <v>8859</v>
      </c>
      <c r="P2673" s="2" t="s">
        <v>37</v>
      </c>
      <c r="Q2673" t="s">
        <v>1208</v>
      </c>
      <c r="R2673">
        <v>0</v>
      </c>
      <c r="S2673">
        <v>62.49</v>
      </c>
      <c r="T2673" t="s">
        <v>8860</v>
      </c>
    </row>
    <row r="2674" spans="1:20" x14ac:dyDescent="0.25">
      <c r="A2674" s="1" t="str">
        <f>HYPERLINK("https://vegkart.atlas.vegvesen.no/#/@286406.9,6610096.4,18/hva:hva%5B0%5D%5Bfilter%5D%5B0%5D%5Boperator%5D=%21%3D&amp;hva%5B0%5D%5Bfilter%5D%5B0%5D%5Btype_id%5D=8917&amp;hva%5B0%5D%5Bfilter%5D%5B0%5D%5Bverdi%5D=&amp;hva%5B0%5D%5Bid%5D=49/når:2025-10-03", "Vegkart")</f>
        <v>Vegkart</v>
      </c>
      <c r="B2674">
        <v>161646182</v>
      </c>
      <c r="C2674">
        <v>49</v>
      </c>
      <c r="D2674" t="s">
        <v>8701</v>
      </c>
      <c r="E2674">
        <v>8917</v>
      </c>
      <c r="F2674" t="s">
        <v>23479</v>
      </c>
      <c r="G2674">
        <v>2</v>
      </c>
      <c r="H2674" t="s">
        <v>8719</v>
      </c>
      <c r="J2674" t="s">
        <v>8861</v>
      </c>
      <c r="K2674" t="s">
        <v>104</v>
      </c>
      <c r="L2674" t="s">
        <v>33</v>
      </c>
      <c r="M2674" t="s">
        <v>8729</v>
      </c>
      <c r="N2674" t="s">
        <v>8862</v>
      </c>
      <c r="O2674" t="s">
        <v>8863</v>
      </c>
      <c r="P2674" s="2" t="s">
        <v>37</v>
      </c>
      <c r="Q2674" t="s">
        <v>1208</v>
      </c>
      <c r="R2674">
        <v>0</v>
      </c>
      <c r="S2674">
        <v>61.03</v>
      </c>
      <c r="T2674" t="s">
        <v>8864</v>
      </c>
    </row>
    <row r="2675" spans="1:20" x14ac:dyDescent="0.25">
      <c r="A2675" s="1" t="str">
        <f>HYPERLINK("https://vegkart.atlas.vegvesen.no/#/@228731.6,6569610.1,18/hva:hva%5B0%5D%5Bfilter%5D%5B0%5D%5Boperator%5D=%21%3D&amp;hva%5B0%5D%5Bfilter%5D%5B0%5D%5Btype_id%5D=8917&amp;hva%5B0%5D%5Bfilter%5D%5B0%5D%5Bverdi%5D=&amp;hva%5B0%5D%5Bid%5D=49/når:2023-07-25", "Vegkart")</f>
        <v>Vegkart</v>
      </c>
      <c r="B2675">
        <v>166225357</v>
      </c>
      <c r="C2675">
        <v>49</v>
      </c>
      <c r="D2675" t="s">
        <v>8701</v>
      </c>
      <c r="E2675">
        <v>8917</v>
      </c>
      <c r="F2675" t="s">
        <v>23479</v>
      </c>
      <c r="G2675">
        <v>3</v>
      </c>
      <c r="H2675" t="s">
        <v>5565</v>
      </c>
      <c r="J2675" t="s">
        <v>8861</v>
      </c>
      <c r="K2675" t="s">
        <v>81</v>
      </c>
      <c r="L2675" t="s">
        <v>80</v>
      </c>
      <c r="M2675" t="s">
        <v>53</v>
      </c>
      <c r="N2675" t="s">
        <v>8865</v>
      </c>
      <c r="O2675" t="s">
        <v>8866</v>
      </c>
      <c r="P2675" s="2" t="s">
        <v>37</v>
      </c>
      <c r="Q2675" t="s">
        <v>1208</v>
      </c>
      <c r="R2675">
        <v>0.02</v>
      </c>
      <c r="S2675">
        <v>37.630000000000003</v>
      </c>
      <c r="T2675" t="s">
        <v>8867</v>
      </c>
    </row>
    <row r="2676" spans="1:20" x14ac:dyDescent="0.25">
      <c r="A2676" s="1" t="str">
        <f>HYPERLINK("https://vegkart.atlas.vegvesen.no/#/@293120.7,6607227.0,18/hva:hva%5B0%5D%5Bfilter%5D%5B0%5D%5Boperator%5D=%21%3D&amp;hva%5B0%5D%5Bfilter%5D%5B0%5D%5Btype_id%5D=8917&amp;hva%5B0%5D%5Bfilter%5D%5B0%5D%5Bverdi%5D=&amp;hva%5B0%5D%5Bid%5D=49/når:2025-10-03", "Vegkart")</f>
        <v>Vegkart</v>
      </c>
      <c r="B2676">
        <v>168349503</v>
      </c>
      <c r="C2676">
        <v>49</v>
      </c>
      <c r="D2676" t="s">
        <v>8701</v>
      </c>
      <c r="E2676">
        <v>8917</v>
      </c>
      <c r="F2676" t="s">
        <v>23479</v>
      </c>
      <c r="G2676">
        <v>4</v>
      </c>
      <c r="H2676" t="s">
        <v>8719</v>
      </c>
      <c r="J2676" t="s">
        <v>8861</v>
      </c>
      <c r="K2676" t="s">
        <v>104</v>
      </c>
      <c r="L2676" t="s">
        <v>33</v>
      </c>
      <c r="M2676" t="s">
        <v>8825</v>
      </c>
      <c r="N2676" t="s">
        <v>8868</v>
      </c>
      <c r="O2676" t="s">
        <v>8869</v>
      </c>
      <c r="P2676" s="2" t="s">
        <v>37</v>
      </c>
      <c r="Q2676" t="s">
        <v>1208</v>
      </c>
      <c r="R2676">
        <v>0</v>
      </c>
      <c r="S2676">
        <v>24.92</v>
      </c>
      <c r="T2676" t="s">
        <v>8870</v>
      </c>
    </row>
    <row r="2677" spans="1:20" x14ac:dyDescent="0.25">
      <c r="A2677" s="1" t="str">
        <f>HYPERLINK("https://vegkart.atlas.vegvesen.no/#/@278809.0,6615126.3,18/hva:hva%5B0%5D%5Bfilter%5D%5B0%5D%5Boperator%5D=%21%3D&amp;hva%5B0%5D%5Bfilter%5D%5B0%5D%5Btype_id%5D=8917&amp;hva%5B0%5D%5Bfilter%5D%5B0%5D%5Bverdi%5D=&amp;hva%5B0%5D%5Bid%5D=49/når:2025-10-03", "Vegkart")</f>
        <v>Vegkart</v>
      </c>
      <c r="B2677">
        <v>169445880</v>
      </c>
      <c r="C2677">
        <v>49</v>
      </c>
      <c r="D2677" t="s">
        <v>8701</v>
      </c>
      <c r="E2677">
        <v>8917</v>
      </c>
      <c r="F2677" t="s">
        <v>23479</v>
      </c>
      <c r="G2677">
        <v>4</v>
      </c>
      <c r="H2677" t="s">
        <v>8719</v>
      </c>
      <c r="J2677" t="s">
        <v>8861</v>
      </c>
      <c r="K2677" t="s">
        <v>104</v>
      </c>
      <c r="L2677" t="s">
        <v>33</v>
      </c>
      <c r="M2677" t="s">
        <v>8871</v>
      </c>
      <c r="N2677" t="s">
        <v>8872</v>
      </c>
      <c r="O2677" t="s">
        <v>8873</v>
      </c>
      <c r="P2677" s="2" t="s">
        <v>37</v>
      </c>
      <c r="Q2677" t="s">
        <v>1208</v>
      </c>
      <c r="R2677">
        <v>0</v>
      </c>
      <c r="S2677">
        <v>9.57</v>
      </c>
      <c r="T2677" t="s">
        <v>8874</v>
      </c>
    </row>
    <row r="2678" spans="1:20" x14ac:dyDescent="0.25">
      <c r="A2678" s="1" t="str">
        <f>HYPERLINK("https://vegkart.atlas.vegvesen.no/#/@87576.7,6458553.0,18/hva:hva%5B0%5D%5Bfilter%5D%5B0%5D%5Boperator%5D=%21%3D&amp;hva%5B0%5D%5Bfilter%5D%5B0%5D%5Btype_id%5D=8917&amp;hva%5B0%5D%5Bfilter%5D%5B0%5D%5Bverdi%5D=&amp;hva%5B0%5D%5Bid%5D=49/når:2025-02-12", "Vegkart")</f>
        <v>Vegkart</v>
      </c>
      <c r="B2678">
        <v>181796700</v>
      </c>
      <c r="C2678">
        <v>49</v>
      </c>
      <c r="D2678" t="s">
        <v>8701</v>
      </c>
      <c r="E2678">
        <v>8917</v>
      </c>
      <c r="F2678" t="s">
        <v>23479</v>
      </c>
      <c r="G2678">
        <v>3</v>
      </c>
      <c r="H2678" t="s">
        <v>584</v>
      </c>
      <c r="J2678" t="s">
        <v>8875</v>
      </c>
      <c r="K2678" t="s">
        <v>86</v>
      </c>
      <c r="L2678" t="s">
        <v>33</v>
      </c>
      <c r="M2678" t="s">
        <v>8876</v>
      </c>
      <c r="N2678" t="s">
        <v>8877</v>
      </c>
      <c r="O2678" t="s">
        <v>8878</v>
      </c>
      <c r="P2678" s="2" t="s">
        <v>37</v>
      </c>
      <c r="Q2678" t="s">
        <v>1208</v>
      </c>
      <c r="R2678">
        <v>0.02</v>
      </c>
      <c r="S2678">
        <v>15.09</v>
      </c>
      <c r="T2678" t="s">
        <v>8879</v>
      </c>
    </row>
    <row r="2679" spans="1:20" x14ac:dyDescent="0.25">
      <c r="A2679" s="1" t="str">
        <f>HYPERLINK("https://vegkart.atlas.vegvesen.no/#/@87557.1,6458587.8,18/hva:hva%5B0%5D%5Bfilter%5D%5B0%5D%5Boperator%5D=%21%3D&amp;hva%5B0%5D%5Bfilter%5D%5B0%5D%5Btype_id%5D=8917&amp;hva%5B0%5D%5Bfilter%5D%5B0%5D%5Bverdi%5D=&amp;hva%5B0%5D%5Bid%5D=49/når:2025-02-12", "Vegkart")</f>
        <v>Vegkart</v>
      </c>
      <c r="B2679">
        <v>181796702</v>
      </c>
      <c r="C2679">
        <v>49</v>
      </c>
      <c r="D2679" t="s">
        <v>8701</v>
      </c>
      <c r="E2679">
        <v>8917</v>
      </c>
      <c r="F2679" t="s">
        <v>23479</v>
      </c>
      <c r="G2679">
        <v>3</v>
      </c>
      <c r="H2679" t="s">
        <v>584</v>
      </c>
      <c r="J2679" t="s">
        <v>8875</v>
      </c>
      <c r="K2679" t="s">
        <v>86</v>
      </c>
      <c r="L2679" t="s">
        <v>33</v>
      </c>
      <c r="M2679" t="s">
        <v>8876</v>
      </c>
      <c r="N2679" t="s">
        <v>8880</v>
      </c>
      <c r="O2679" t="s">
        <v>8881</v>
      </c>
      <c r="P2679" s="2" t="s">
        <v>37</v>
      </c>
      <c r="Q2679" t="s">
        <v>1208</v>
      </c>
      <c r="R2679">
        <v>2.09</v>
      </c>
      <c r="S2679">
        <v>10.01</v>
      </c>
      <c r="T2679" t="s">
        <v>8882</v>
      </c>
    </row>
    <row r="2680" spans="1:20" x14ac:dyDescent="0.25">
      <c r="A2680" s="1" t="str">
        <f>HYPERLINK("https://vegkart.atlas.vegvesen.no/#/@276180.2,6579678.0,18/hva:hva%5B0%5D%5Bfilter%5D%5B0%5D%5Boperator%5D=%21%3D&amp;hva%5B0%5D%5Bfilter%5D%5B0%5D%5Btype_id%5D=8917&amp;hva%5B0%5D%5Bfilter%5D%5B0%5D%5Bverdi%5D=&amp;hva%5B0%5D%5Bid%5D=49/når:2025-11-11", "Vegkart")</f>
        <v>Vegkart</v>
      </c>
      <c r="B2680">
        <v>204546322</v>
      </c>
      <c r="C2680">
        <v>49</v>
      </c>
      <c r="D2680" t="s">
        <v>8701</v>
      </c>
      <c r="E2680">
        <v>8917</v>
      </c>
      <c r="F2680" t="s">
        <v>23479</v>
      </c>
      <c r="G2680">
        <v>3</v>
      </c>
      <c r="H2680" t="s">
        <v>8773</v>
      </c>
      <c r="J2680" t="s">
        <v>8875</v>
      </c>
      <c r="K2680" t="s">
        <v>104</v>
      </c>
      <c r="L2680" t="s">
        <v>33</v>
      </c>
      <c r="M2680" t="s">
        <v>8883</v>
      </c>
      <c r="N2680" t="s">
        <v>8884</v>
      </c>
      <c r="O2680" t="s">
        <v>8885</v>
      </c>
      <c r="P2680" s="2" t="s">
        <v>37</v>
      </c>
      <c r="Q2680" t="s">
        <v>1208</v>
      </c>
      <c r="R2680">
        <v>0</v>
      </c>
      <c r="S2680">
        <v>56.67</v>
      </c>
      <c r="T2680" t="s">
        <v>8886</v>
      </c>
    </row>
    <row r="2681" spans="1:20" x14ac:dyDescent="0.25">
      <c r="A2681" s="1" t="str">
        <f>HYPERLINK("https://vegkart.atlas.vegvesen.no/#/@276046.7,6579620.0,18/hva:hva%5B0%5D%5Bfilter%5D%5B0%5D%5Boperator%5D=%21%3D&amp;hva%5B0%5D%5Bfilter%5D%5B0%5D%5Btype_id%5D=8917&amp;hva%5B0%5D%5Bfilter%5D%5B0%5D%5Bverdi%5D=&amp;hva%5B0%5D%5Bid%5D=49/når:2025-11-11", "Vegkart")</f>
        <v>Vegkart</v>
      </c>
      <c r="B2681">
        <v>204546340</v>
      </c>
      <c r="C2681">
        <v>49</v>
      </c>
      <c r="D2681" t="s">
        <v>8701</v>
      </c>
      <c r="E2681">
        <v>8917</v>
      </c>
      <c r="F2681" t="s">
        <v>23479</v>
      </c>
      <c r="G2681">
        <v>3</v>
      </c>
      <c r="H2681" t="s">
        <v>8773</v>
      </c>
      <c r="J2681" t="s">
        <v>8875</v>
      </c>
      <c r="K2681" t="s">
        <v>104</v>
      </c>
      <c r="L2681" t="s">
        <v>33</v>
      </c>
      <c r="M2681" t="s">
        <v>8883</v>
      </c>
      <c r="N2681" t="s">
        <v>8887</v>
      </c>
      <c r="O2681" t="s">
        <v>8888</v>
      </c>
      <c r="P2681" s="2" t="s">
        <v>37</v>
      </c>
      <c r="Q2681" t="s">
        <v>1208</v>
      </c>
      <c r="R2681">
        <v>0</v>
      </c>
      <c r="S2681">
        <v>57.19</v>
      </c>
      <c r="T2681" t="s">
        <v>8889</v>
      </c>
    </row>
    <row r="2682" spans="1:20" x14ac:dyDescent="0.25">
      <c r="A2682" s="1" t="str">
        <f>HYPERLINK("https://vegkart.atlas.vegvesen.no/#/@275922.1,6579530.9,18/hva:hva%5B0%5D%5Bfilter%5D%5B0%5D%5Boperator%5D=%21%3D&amp;hva%5B0%5D%5Bfilter%5D%5B0%5D%5Btype_id%5D=8917&amp;hva%5B0%5D%5Bfilter%5D%5B0%5D%5Bverdi%5D=&amp;hva%5B0%5D%5Bid%5D=49/når:2025-11-11", "Vegkart")</f>
        <v>Vegkart</v>
      </c>
      <c r="B2682">
        <v>204546472</v>
      </c>
      <c r="C2682">
        <v>49</v>
      </c>
      <c r="D2682" t="s">
        <v>8701</v>
      </c>
      <c r="E2682">
        <v>8917</v>
      </c>
      <c r="F2682" t="s">
        <v>23479</v>
      </c>
      <c r="G2682">
        <v>4</v>
      </c>
      <c r="H2682" t="s">
        <v>8773</v>
      </c>
      <c r="J2682" t="s">
        <v>8875</v>
      </c>
      <c r="K2682" t="s">
        <v>104</v>
      </c>
      <c r="L2682" t="s">
        <v>33</v>
      </c>
      <c r="M2682" t="s">
        <v>8883</v>
      </c>
      <c r="N2682" t="s">
        <v>8890</v>
      </c>
      <c r="O2682" t="s">
        <v>8891</v>
      </c>
      <c r="P2682" s="2" t="s">
        <v>37</v>
      </c>
      <c r="Q2682" t="s">
        <v>1208</v>
      </c>
      <c r="R2682">
        <v>0</v>
      </c>
      <c r="S2682">
        <v>31.3</v>
      </c>
      <c r="T2682" t="s">
        <v>8892</v>
      </c>
    </row>
    <row r="2683" spans="1:20" x14ac:dyDescent="0.25">
      <c r="A2683" s="1" t="str">
        <f>HYPERLINK("https://vegkart.atlas.vegvesen.no/#/@276719.8,6577210.5,18/hva:hva%5B0%5D%5Bfilter%5D%5B0%5D%5Boperator%5D=%21%3D&amp;hva%5B0%5D%5Bfilter%5D%5B0%5D%5Btype_id%5D=8917&amp;hva%5B0%5D%5Bfilter%5D%5B0%5D%5Bverdi%5D=&amp;hva%5B0%5D%5Bid%5D=49/når:2025-11-11", "Vegkart")</f>
        <v>Vegkart</v>
      </c>
      <c r="B2683">
        <v>211160563</v>
      </c>
      <c r="C2683">
        <v>49</v>
      </c>
      <c r="D2683" t="s">
        <v>8701</v>
      </c>
      <c r="E2683">
        <v>8917</v>
      </c>
      <c r="F2683" t="s">
        <v>23479</v>
      </c>
      <c r="G2683">
        <v>3</v>
      </c>
      <c r="H2683" t="s">
        <v>8773</v>
      </c>
      <c r="J2683" t="s">
        <v>8875</v>
      </c>
      <c r="K2683" t="s">
        <v>104</v>
      </c>
      <c r="L2683" t="s">
        <v>33</v>
      </c>
      <c r="M2683" t="s">
        <v>8774</v>
      </c>
      <c r="N2683" t="s">
        <v>8893</v>
      </c>
      <c r="O2683" t="s">
        <v>8894</v>
      </c>
      <c r="P2683" s="2" t="s">
        <v>37</v>
      </c>
      <c r="Q2683" t="s">
        <v>1208</v>
      </c>
      <c r="R2683">
        <v>0</v>
      </c>
      <c r="S2683">
        <v>81.84</v>
      </c>
      <c r="T2683" t="s">
        <v>8895</v>
      </c>
    </row>
    <row r="2684" spans="1:20" x14ac:dyDescent="0.25">
      <c r="A2684" s="1" t="str">
        <f>HYPERLINK("https://vegkart.atlas.vegvesen.no/#/@276943.8,6577189.8,18/hva:hva%5B0%5D%5Bfilter%5D%5B0%5D%5Boperator%5D=%21%3D&amp;hva%5B0%5D%5Bfilter%5D%5B0%5D%5Btype_id%5D=8917&amp;hva%5B0%5D%5Bfilter%5D%5B0%5D%5Bverdi%5D=&amp;hva%5B0%5D%5Bid%5D=49/når:2025-11-11", "Vegkart")</f>
        <v>Vegkart</v>
      </c>
      <c r="B2684">
        <v>211160776</v>
      </c>
      <c r="C2684">
        <v>49</v>
      </c>
      <c r="D2684" t="s">
        <v>8701</v>
      </c>
      <c r="E2684">
        <v>8917</v>
      </c>
      <c r="F2684" t="s">
        <v>23479</v>
      </c>
      <c r="G2684">
        <v>3</v>
      </c>
      <c r="H2684" t="s">
        <v>8773</v>
      </c>
      <c r="J2684" t="s">
        <v>8875</v>
      </c>
      <c r="K2684" t="s">
        <v>104</v>
      </c>
      <c r="L2684" t="s">
        <v>33</v>
      </c>
      <c r="M2684" t="s">
        <v>8774</v>
      </c>
      <c r="N2684" t="s">
        <v>8896</v>
      </c>
      <c r="O2684" t="s">
        <v>8897</v>
      </c>
      <c r="P2684" s="2" t="s">
        <v>37</v>
      </c>
      <c r="Q2684" t="s">
        <v>1208</v>
      </c>
      <c r="R2684">
        <v>0</v>
      </c>
      <c r="S2684">
        <v>35.76</v>
      </c>
      <c r="T2684" t="s">
        <v>8898</v>
      </c>
    </row>
    <row r="2685" spans="1:20" x14ac:dyDescent="0.25">
      <c r="A2685" s="1" t="str">
        <f>HYPERLINK("https://vegkart.atlas.vegvesen.no/#/@272473.7,6571181.5,18/hva:hva%5B0%5D%5Bfilter%5D%5B0%5D%5Boperator%5D=%21%3D&amp;hva%5B0%5D%5Bfilter%5D%5B0%5D%5Btype_id%5D=8917&amp;hva%5B0%5D%5Bfilter%5D%5B0%5D%5Bverdi%5D=&amp;hva%5B0%5D%5Bid%5D=49/når:2025-11-28", "Vegkart")</f>
        <v>Vegkart</v>
      </c>
      <c r="B2685">
        <v>212033247</v>
      </c>
      <c r="C2685">
        <v>49</v>
      </c>
      <c r="D2685" t="s">
        <v>8701</v>
      </c>
      <c r="E2685">
        <v>8917</v>
      </c>
      <c r="F2685" t="s">
        <v>23479</v>
      </c>
      <c r="G2685">
        <v>3</v>
      </c>
      <c r="H2685" t="s">
        <v>8765</v>
      </c>
      <c r="J2685" t="s">
        <v>8787</v>
      </c>
      <c r="K2685" t="s">
        <v>104</v>
      </c>
      <c r="L2685" t="s">
        <v>33</v>
      </c>
      <c r="M2685" t="s">
        <v>8899</v>
      </c>
      <c r="N2685" t="s">
        <v>8900</v>
      </c>
      <c r="O2685" t="s">
        <v>8901</v>
      </c>
      <c r="P2685" s="2" t="s">
        <v>37</v>
      </c>
      <c r="Q2685" t="s">
        <v>1208</v>
      </c>
      <c r="R2685">
        <v>0</v>
      </c>
      <c r="S2685">
        <v>40.020000000000003</v>
      </c>
      <c r="T2685" t="s">
        <v>8902</v>
      </c>
    </row>
    <row r="2686" spans="1:20" x14ac:dyDescent="0.25">
      <c r="A2686" s="1" t="str">
        <f>HYPERLINK("https://vegkart.atlas.vegvesen.no/#/@281210.0,6570029.6,18/hva:hva%5B0%5D%5Bfilter%5D%5B0%5D%5Boperator%5D=%21%3D&amp;hva%5B0%5D%5Bfilter%5D%5B0%5D%5Btype_id%5D=8917&amp;hva%5B0%5D%5Bfilter%5D%5B0%5D%5Bverdi%5D=&amp;hva%5B0%5D%5Bid%5D=49/når:2025-11-11", "Vegkart")</f>
        <v>Vegkart</v>
      </c>
      <c r="B2686">
        <v>212033288</v>
      </c>
      <c r="C2686">
        <v>49</v>
      </c>
      <c r="D2686" t="s">
        <v>8701</v>
      </c>
      <c r="E2686">
        <v>8917</v>
      </c>
      <c r="F2686" t="s">
        <v>23479</v>
      </c>
      <c r="G2686">
        <v>5</v>
      </c>
      <c r="H2686" t="s">
        <v>8773</v>
      </c>
      <c r="J2686" t="s">
        <v>8875</v>
      </c>
      <c r="K2686" t="s">
        <v>104</v>
      </c>
      <c r="L2686" t="s">
        <v>33</v>
      </c>
      <c r="M2686" t="s">
        <v>8899</v>
      </c>
      <c r="N2686" t="s">
        <v>8903</v>
      </c>
      <c r="O2686" t="s">
        <v>8904</v>
      </c>
      <c r="P2686" s="2" t="s">
        <v>37</v>
      </c>
      <c r="Q2686" t="s">
        <v>1208</v>
      </c>
      <c r="R2686">
        <v>0</v>
      </c>
      <c r="S2686">
        <v>14.83</v>
      </c>
      <c r="T2686" t="s">
        <v>8905</v>
      </c>
    </row>
    <row r="2687" spans="1:20" x14ac:dyDescent="0.25">
      <c r="A2687" s="1" t="str">
        <f>HYPERLINK("https://vegkart.atlas.vegvesen.no/#/@281228.2,6570063.8,18/hva:hva%5B0%5D%5Bfilter%5D%5B0%5D%5Boperator%5D=%21%3D&amp;hva%5B0%5D%5Bfilter%5D%5B0%5D%5Btype_id%5D=8917&amp;hva%5B0%5D%5Bfilter%5D%5B0%5D%5Bverdi%5D=&amp;hva%5B0%5D%5Bid%5D=49/når:2025-11-11", "Vegkart")</f>
        <v>Vegkart</v>
      </c>
      <c r="B2687">
        <v>212033297</v>
      </c>
      <c r="C2687">
        <v>49</v>
      </c>
      <c r="D2687" t="s">
        <v>8701</v>
      </c>
      <c r="E2687">
        <v>8917</v>
      </c>
      <c r="F2687" t="s">
        <v>23479</v>
      </c>
      <c r="G2687">
        <v>3</v>
      </c>
      <c r="H2687" t="s">
        <v>8773</v>
      </c>
      <c r="J2687" t="s">
        <v>8875</v>
      </c>
      <c r="K2687" t="s">
        <v>104</v>
      </c>
      <c r="L2687" t="s">
        <v>33</v>
      </c>
      <c r="M2687" t="s">
        <v>8899</v>
      </c>
      <c r="N2687" t="s">
        <v>8906</v>
      </c>
      <c r="O2687" t="s">
        <v>8907</v>
      </c>
      <c r="P2687" s="2" t="s">
        <v>37</v>
      </c>
      <c r="Q2687" t="s">
        <v>1208</v>
      </c>
      <c r="R2687">
        <v>0</v>
      </c>
      <c r="S2687">
        <v>18.61</v>
      </c>
      <c r="T2687" t="s">
        <v>8908</v>
      </c>
    </row>
    <row r="2688" spans="1:20" x14ac:dyDescent="0.25">
      <c r="A2688" s="1" t="str">
        <f>HYPERLINK("https://vegkart.atlas.vegvesen.no/#/@281218.1,6570046.7,18/hva:hva%5B0%5D%5Bfilter%5D%5B0%5D%5Boperator%5D=%21%3D&amp;hva%5B0%5D%5Bfilter%5D%5B0%5D%5Btype_id%5D=8917&amp;hva%5B0%5D%5Bfilter%5D%5B0%5D%5Bverdi%5D=&amp;hva%5B0%5D%5Bid%5D=49/når:2025-11-11", "Vegkart")</f>
        <v>Vegkart</v>
      </c>
      <c r="B2688">
        <v>212033306</v>
      </c>
      <c r="C2688">
        <v>49</v>
      </c>
      <c r="D2688" t="s">
        <v>8701</v>
      </c>
      <c r="E2688">
        <v>8917</v>
      </c>
      <c r="F2688" t="s">
        <v>23479</v>
      </c>
      <c r="G2688">
        <v>4</v>
      </c>
      <c r="H2688" t="s">
        <v>8773</v>
      </c>
      <c r="J2688" t="s">
        <v>8875</v>
      </c>
      <c r="K2688" t="s">
        <v>104</v>
      </c>
      <c r="L2688" t="s">
        <v>33</v>
      </c>
      <c r="M2688" t="s">
        <v>8899</v>
      </c>
      <c r="N2688" t="s">
        <v>8909</v>
      </c>
      <c r="O2688" t="s">
        <v>8910</v>
      </c>
      <c r="P2688" s="2" t="s">
        <v>37</v>
      </c>
      <c r="Q2688" t="s">
        <v>1208</v>
      </c>
      <c r="R2688">
        <v>0</v>
      </c>
      <c r="S2688">
        <v>50.35</v>
      </c>
      <c r="T2688" t="s">
        <v>8911</v>
      </c>
    </row>
    <row r="2689" spans="1:20" x14ac:dyDescent="0.25">
      <c r="A2689" s="1" t="str">
        <f>HYPERLINK("https://vegkart.atlas.vegvesen.no/#/@272497.4,6571196.0,18/hva:hva%5B0%5D%5Bfilter%5D%5B0%5D%5Boperator%5D=%21%3D&amp;hva%5B0%5D%5Bfilter%5D%5B0%5D%5Btype_id%5D=8917&amp;hva%5B0%5D%5Bfilter%5D%5B0%5D%5Bverdi%5D=&amp;hva%5B0%5D%5Bid%5D=49/når:2025-11-28", "Vegkart")</f>
        <v>Vegkart</v>
      </c>
      <c r="B2689">
        <v>212033337</v>
      </c>
      <c r="C2689">
        <v>49</v>
      </c>
      <c r="D2689" t="s">
        <v>8701</v>
      </c>
      <c r="E2689">
        <v>8917</v>
      </c>
      <c r="F2689" t="s">
        <v>23479</v>
      </c>
      <c r="G2689">
        <v>3</v>
      </c>
      <c r="H2689" t="s">
        <v>8765</v>
      </c>
      <c r="J2689" t="s">
        <v>8766</v>
      </c>
      <c r="K2689" t="s">
        <v>104</v>
      </c>
      <c r="L2689" t="s">
        <v>33</v>
      </c>
      <c r="M2689" t="s">
        <v>8899</v>
      </c>
      <c r="N2689" t="s">
        <v>8912</v>
      </c>
      <c r="O2689" t="s">
        <v>8913</v>
      </c>
      <c r="P2689" s="2" t="s">
        <v>37</v>
      </c>
      <c r="Q2689" t="s">
        <v>1208</v>
      </c>
      <c r="R2689">
        <v>0</v>
      </c>
      <c r="S2689">
        <v>60.27</v>
      </c>
      <c r="T2689" t="s">
        <v>8914</v>
      </c>
    </row>
    <row r="2690" spans="1:20" x14ac:dyDescent="0.25">
      <c r="A2690" s="1" t="str">
        <f>HYPERLINK("https://vegkart.atlas.vegvesen.no/#/@272522.0,6571209.8,18/hva:hva%5B0%5D%5Bfilter%5D%5B0%5D%5Boperator%5D=%21%3D&amp;hva%5B0%5D%5Bfilter%5D%5B0%5D%5Btype_id%5D=8917&amp;hva%5B0%5D%5Bfilter%5D%5B0%5D%5Bverdi%5D=&amp;hva%5B0%5D%5Bid%5D=49/når:2025-11-28", "Vegkart")</f>
        <v>Vegkart</v>
      </c>
      <c r="B2690">
        <v>212033358</v>
      </c>
      <c r="C2690">
        <v>49</v>
      </c>
      <c r="D2690" t="s">
        <v>8701</v>
      </c>
      <c r="E2690">
        <v>8917</v>
      </c>
      <c r="F2690" t="s">
        <v>23479</v>
      </c>
      <c r="G2690">
        <v>4</v>
      </c>
      <c r="H2690" t="s">
        <v>8765</v>
      </c>
      <c r="J2690" t="s">
        <v>8787</v>
      </c>
      <c r="K2690" t="s">
        <v>104</v>
      </c>
      <c r="L2690" t="s">
        <v>33</v>
      </c>
      <c r="M2690" t="s">
        <v>8899</v>
      </c>
      <c r="N2690" t="s">
        <v>8915</v>
      </c>
      <c r="O2690" t="s">
        <v>8916</v>
      </c>
      <c r="P2690" s="2" t="s">
        <v>37</v>
      </c>
      <c r="Q2690" t="s">
        <v>1208</v>
      </c>
      <c r="R2690">
        <v>0</v>
      </c>
      <c r="S2690">
        <v>43.56</v>
      </c>
      <c r="T2690" t="s">
        <v>8917</v>
      </c>
    </row>
    <row r="2691" spans="1:20" x14ac:dyDescent="0.25">
      <c r="A2691" s="1" t="str">
        <f>HYPERLINK("https://vegkart.atlas.vegvesen.no/#/@281059.5,6569887.5,18/hva:hva%5B0%5D%5Bfilter%5D%5B0%5D%5Boperator%5D=%21%3D&amp;hva%5B0%5D%5Bfilter%5D%5B0%5D%5Btype_id%5D=8917&amp;hva%5B0%5D%5Bfilter%5D%5B0%5D%5Bverdi%5D=&amp;hva%5B0%5D%5Bid%5D=49/når:2025-11-11", "Vegkart")</f>
        <v>Vegkart</v>
      </c>
      <c r="B2691">
        <v>212033413</v>
      </c>
      <c r="C2691">
        <v>49</v>
      </c>
      <c r="D2691" t="s">
        <v>8701</v>
      </c>
      <c r="E2691">
        <v>8917</v>
      </c>
      <c r="F2691" t="s">
        <v>23479</v>
      </c>
      <c r="G2691">
        <v>4</v>
      </c>
      <c r="H2691" t="s">
        <v>8773</v>
      </c>
      <c r="J2691" t="s">
        <v>8875</v>
      </c>
      <c r="K2691" t="s">
        <v>104</v>
      </c>
      <c r="L2691" t="s">
        <v>33</v>
      </c>
      <c r="M2691" t="s">
        <v>8899</v>
      </c>
      <c r="N2691" t="s">
        <v>8918</v>
      </c>
      <c r="O2691" t="s">
        <v>8919</v>
      </c>
      <c r="P2691" s="2" t="s">
        <v>37</v>
      </c>
      <c r="Q2691" t="s">
        <v>1208</v>
      </c>
      <c r="R2691">
        <v>0</v>
      </c>
      <c r="S2691">
        <v>20.85</v>
      </c>
      <c r="T2691" t="s">
        <v>8920</v>
      </c>
    </row>
    <row r="2692" spans="1:20" x14ac:dyDescent="0.25">
      <c r="A2692" s="1" t="str">
        <f>HYPERLINK("https://vegkart.atlas.vegvesen.no/#/@281077.1,6569895.9,18/hva:hva%5B0%5D%5Bfilter%5D%5B0%5D%5Boperator%5D=%21%3D&amp;hva%5B0%5D%5Bfilter%5D%5B0%5D%5Btype_id%5D=8917&amp;hva%5B0%5D%5Bfilter%5D%5B0%5D%5Bverdi%5D=&amp;hva%5B0%5D%5Bid%5D=49/når:2025-11-11", "Vegkart")</f>
        <v>Vegkart</v>
      </c>
      <c r="B2692">
        <v>212033432</v>
      </c>
      <c r="C2692">
        <v>49</v>
      </c>
      <c r="D2692" t="s">
        <v>8701</v>
      </c>
      <c r="E2692">
        <v>8917</v>
      </c>
      <c r="F2692" t="s">
        <v>23479</v>
      </c>
      <c r="G2692">
        <v>3</v>
      </c>
      <c r="H2692" t="s">
        <v>8773</v>
      </c>
      <c r="J2692" t="s">
        <v>8875</v>
      </c>
      <c r="K2692" t="s">
        <v>104</v>
      </c>
      <c r="L2692" t="s">
        <v>33</v>
      </c>
      <c r="M2692" t="s">
        <v>8899</v>
      </c>
      <c r="N2692" t="s">
        <v>8921</v>
      </c>
      <c r="O2692" t="s">
        <v>8922</v>
      </c>
      <c r="P2692" s="2" t="s">
        <v>37</v>
      </c>
      <c r="Q2692" t="s">
        <v>1208</v>
      </c>
      <c r="R2692">
        <v>0</v>
      </c>
      <c r="S2692">
        <v>50.59</v>
      </c>
      <c r="T2692" t="s">
        <v>8923</v>
      </c>
    </row>
    <row r="2693" spans="1:20" x14ac:dyDescent="0.25">
      <c r="A2693" s="1" t="str">
        <f>HYPERLINK("https://vegkart.atlas.vegvesen.no/#/@281094.5,6569905.5,18/hva:hva%5B0%5D%5Bfilter%5D%5B0%5D%5Boperator%5D=%21%3D&amp;hva%5B0%5D%5Bfilter%5D%5B0%5D%5Btype_id%5D=8917&amp;hva%5B0%5D%5Bfilter%5D%5B0%5D%5Bverdi%5D=&amp;hva%5B0%5D%5Bid%5D=49/når:2025-11-11", "Vegkart")</f>
        <v>Vegkart</v>
      </c>
      <c r="B2693">
        <v>212033449</v>
      </c>
      <c r="C2693">
        <v>49</v>
      </c>
      <c r="D2693" t="s">
        <v>8701</v>
      </c>
      <c r="E2693">
        <v>8917</v>
      </c>
      <c r="F2693" t="s">
        <v>23479</v>
      </c>
      <c r="G2693">
        <v>4</v>
      </c>
      <c r="H2693" t="s">
        <v>8773</v>
      </c>
      <c r="J2693" t="s">
        <v>8875</v>
      </c>
      <c r="K2693" t="s">
        <v>104</v>
      </c>
      <c r="L2693" t="s">
        <v>33</v>
      </c>
      <c r="M2693" t="s">
        <v>8899</v>
      </c>
      <c r="N2693" t="s">
        <v>8924</v>
      </c>
      <c r="O2693" t="s">
        <v>8925</v>
      </c>
      <c r="P2693" s="2" t="s">
        <v>37</v>
      </c>
      <c r="Q2693" t="s">
        <v>1208</v>
      </c>
      <c r="R2693">
        <v>0</v>
      </c>
      <c r="S2693">
        <v>20.82</v>
      </c>
      <c r="T2693" t="s">
        <v>8926</v>
      </c>
    </row>
    <row r="2694" spans="1:20" x14ac:dyDescent="0.25">
      <c r="A2694" s="1" t="str">
        <f>HYPERLINK("https://vegkart.atlas.vegvesen.no/#/@294440.8,6560475.4,18/hva:hva%5B0%5D%5Bfilter%5D%5B0%5D%5Boperator%5D=%21%3D&amp;hva%5B0%5D%5Bfilter%5D%5B0%5D%5Btype_id%5D=8917&amp;hva%5B0%5D%5Bfilter%5D%5B0%5D%5Bverdi%5D=&amp;hva%5B0%5D%5Bid%5D=49/når:2025-10-15", "Vegkart")</f>
        <v>Vegkart</v>
      </c>
      <c r="B2694">
        <v>212330999</v>
      </c>
      <c r="C2694">
        <v>49</v>
      </c>
      <c r="D2694" t="s">
        <v>8701</v>
      </c>
      <c r="E2694">
        <v>8917</v>
      </c>
      <c r="F2694" t="s">
        <v>23479</v>
      </c>
      <c r="G2694">
        <v>6</v>
      </c>
      <c r="H2694" t="s">
        <v>683</v>
      </c>
      <c r="J2694" t="s">
        <v>8875</v>
      </c>
      <c r="K2694" t="s">
        <v>104</v>
      </c>
      <c r="L2694" t="s">
        <v>33</v>
      </c>
      <c r="M2694" t="s">
        <v>8927</v>
      </c>
      <c r="N2694" t="s">
        <v>8928</v>
      </c>
      <c r="O2694" t="s">
        <v>8929</v>
      </c>
      <c r="P2694" s="2" t="s">
        <v>37</v>
      </c>
      <c r="Q2694" t="s">
        <v>1208</v>
      </c>
      <c r="R2694">
        <v>0</v>
      </c>
      <c r="S2694">
        <v>18.55</v>
      </c>
      <c r="T2694" t="s">
        <v>8930</v>
      </c>
    </row>
    <row r="2695" spans="1:20" x14ac:dyDescent="0.25">
      <c r="A2695" s="1" t="str">
        <f>HYPERLINK("https://vegkart.atlas.vegvesen.no/#/@-38499.1,6723940.1,18/hva:hva%5B0%5D%5Bfilter%5D%5B0%5D%5Boperator%5D=%21%3D&amp;hva%5B0%5D%5Bfilter%5D%5B0%5D%5Btype_id%5D=8917&amp;hva%5B0%5D%5Bfilter%5D%5B0%5D%5Bverdi%5D=&amp;hva%5B0%5D%5Bid%5D=49/når:2009-04-23", "Vegkart")</f>
        <v>Vegkart</v>
      </c>
      <c r="B2695">
        <v>212438467</v>
      </c>
      <c r="C2695">
        <v>49</v>
      </c>
      <c r="D2695" t="s">
        <v>8701</v>
      </c>
      <c r="E2695">
        <v>8917</v>
      </c>
      <c r="F2695" t="s">
        <v>23479</v>
      </c>
      <c r="G2695">
        <v>1</v>
      </c>
      <c r="H2695" t="s">
        <v>8931</v>
      </c>
      <c r="J2695" t="s">
        <v>8875</v>
      </c>
      <c r="K2695" t="s">
        <v>21</v>
      </c>
      <c r="L2695" t="s">
        <v>22</v>
      </c>
      <c r="M2695" t="s">
        <v>8932</v>
      </c>
      <c r="N2695" t="s">
        <v>8933</v>
      </c>
      <c r="O2695" t="s">
        <v>8934</v>
      </c>
      <c r="P2695" s="2" t="s">
        <v>37</v>
      </c>
      <c r="Q2695" t="s">
        <v>1208</v>
      </c>
      <c r="R2695">
        <v>5.66</v>
      </c>
      <c r="S2695">
        <v>6.31</v>
      </c>
      <c r="T2695" t="s">
        <v>8935</v>
      </c>
    </row>
    <row r="2696" spans="1:20" x14ac:dyDescent="0.25">
      <c r="A2696" s="1" t="str">
        <f>HYPERLINK("https://vegkart.atlas.vegvesen.no/#/@-35024.6,6729775.5,18/hva:hva%5B0%5D%5Bfilter%5D%5B0%5D%5Boperator%5D=%21%3D&amp;hva%5B0%5D%5Bfilter%5D%5B0%5D%5Btype_id%5D=8917&amp;hva%5B0%5D%5Bfilter%5D%5B0%5D%5Bverdi%5D=&amp;hva%5B0%5D%5Bid%5D=49/når:2025-07-04", "Vegkart")</f>
        <v>Vegkart</v>
      </c>
      <c r="B2696">
        <v>212578126</v>
      </c>
      <c r="C2696">
        <v>49</v>
      </c>
      <c r="D2696" t="s">
        <v>8701</v>
      </c>
      <c r="E2696">
        <v>8917</v>
      </c>
      <c r="F2696" t="s">
        <v>23479</v>
      </c>
      <c r="G2696">
        <v>2</v>
      </c>
      <c r="H2696" t="s">
        <v>8936</v>
      </c>
      <c r="J2696" t="s">
        <v>8875</v>
      </c>
      <c r="K2696" t="s">
        <v>21</v>
      </c>
      <c r="L2696" t="s">
        <v>33</v>
      </c>
      <c r="M2696" t="s">
        <v>558</v>
      </c>
      <c r="N2696" t="s">
        <v>8937</v>
      </c>
      <c r="O2696" t="s">
        <v>8938</v>
      </c>
      <c r="P2696" s="2" t="s">
        <v>37</v>
      </c>
      <c r="Q2696" t="s">
        <v>1208</v>
      </c>
      <c r="R2696">
        <v>0.02</v>
      </c>
      <c r="S2696">
        <v>43.71</v>
      </c>
      <c r="T2696" t="s">
        <v>8939</v>
      </c>
    </row>
    <row r="2697" spans="1:20" x14ac:dyDescent="0.25">
      <c r="A2697" s="1" t="str">
        <f>HYPERLINK("https://vegkart.atlas.vegvesen.no/#/@227921.7,6629122.4,18/hva:hva%5B0%5D%5Bfilter%5D%5B0%5D%5Boperator%5D=%21%3D&amp;hva%5B0%5D%5Bfilter%5D%5B0%5D%5Btype_id%5D=8917&amp;hva%5B0%5D%5Bfilter%5D%5B0%5D%5Bverdi%5D=&amp;hva%5B0%5D%5Bid%5D=49/når:2019-04-04", "Vegkart")</f>
        <v>Vegkart</v>
      </c>
      <c r="B2697">
        <v>217618832</v>
      </c>
      <c r="C2697">
        <v>49</v>
      </c>
      <c r="D2697" t="s">
        <v>8701</v>
      </c>
      <c r="E2697">
        <v>8917</v>
      </c>
      <c r="F2697" t="s">
        <v>23479</v>
      </c>
      <c r="G2697">
        <v>3</v>
      </c>
      <c r="H2697" t="s">
        <v>8940</v>
      </c>
      <c r="J2697" t="s">
        <v>8875</v>
      </c>
      <c r="K2697" t="s">
        <v>307</v>
      </c>
      <c r="L2697" t="s">
        <v>33</v>
      </c>
      <c r="M2697" t="s">
        <v>8941</v>
      </c>
      <c r="N2697" t="s">
        <v>8942</v>
      </c>
      <c r="O2697" t="s">
        <v>8943</v>
      </c>
      <c r="P2697" s="2" t="s">
        <v>37</v>
      </c>
      <c r="Q2697" t="s">
        <v>1208</v>
      </c>
      <c r="R2697">
        <v>7.28</v>
      </c>
      <c r="S2697">
        <v>51.5</v>
      </c>
      <c r="T2697" t="s">
        <v>8944</v>
      </c>
    </row>
    <row r="2698" spans="1:20" x14ac:dyDescent="0.25">
      <c r="A2698" s="1" t="str">
        <f>HYPERLINK("https://vegkart.atlas.vegvesen.no/#/@-35111.9,6733633.5,18/hva:hva%5B0%5D%5Bfilter%5D%5B0%5D%5Boperator%5D=%21%3D&amp;hva%5B0%5D%5Bfilter%5D%5B0%5D%5Btype_id%5D=8917&amp;hva%5B0%5D%5Bfilter%5D%5B0%5D%5Bverdi%5D=&amp;hva%5B0%5D%5Bid%5D=49/når:2025-07-14", "Vegkart")</f>
        <v>Vegkart</v>
      </c>
      <c r="B2698">
        <v>218015636</v>
      </c>
      <c r="C2698">
        <v>49</v>
      </c>
      <c r="D2698" t="s">
        <v>8701</v>
      </c>
      <c r="E2698">
        <v>8917</v>
      </c>
      <c r="F2698" t="s">
        <v>23479</v>
      </c>
      <c r="G2698">
        <v>4</v>
      </c>
      <c r="H2698" t="s">
        <v>8945</v>
      </c>
      <c r="J2698" t="s">
        <v>8946</v>
      </c>
      <c r="K2698" t="s">
        <v>21</v>
      </c>
      <c r="L2698" t="s">
        <v>33</v>
      </c>
      <c r="M2698" t="s">
        <v>8055</v>
      </c>
      <c r="N2698" t="s">
        <v>8947</v>
      </c>
      <c r="O2698" t="s">
        <v>8948</v>
      </c>
      <c r="P2698" s="2" t="s">
        <v>37</v>
      </c>
      <c r="Q2698" t="s">
        <v>1208</v>
      </c>
      <c r="R2698">
        <v>0</v>
      </c>
      <c r="S2698">
        <v>36.840000000000003</v>
      </c>
      <c r="T2698" t="s">
        <v>8949</v>
      </c>
    </row>
    <row r="2699" spans="1:20" x14ac:dyDescent="0.25">
      <c r="A2699" s="1" t="str">
        <f>HYPERLINK("https://vegkart.atlas.vegvesen.no/#/@192994.4,6569101.4,18/hva:hva%5B0%5D%5Bfilter%5D%5B0%5D%5Boperator%5D=%21%3D&amp;hva%5B0%5D%5Bfilter%5D%5B0%5D%5Btype_id%5D=8917&amp;hva%5B0%5D%5Bfilter%5D%5B0%5D%5Bverdi%5D=&amp;hva%5B0%5D%5Bid%5D=49/når:2023-04-17", "Vegkart")</f>
        <v>Vegkart</v>
      </c>
      <c r="B2699">
        <v>219495979</v>
      </c>
      <c r="C2699">
        <v>49</v>
      </c>
      <c r="D2699" t="s">
        <v>8701</v>
      </c>
      <c r="E2699">
        <v>8917</v>
      </c>
      <c r="F2699" t="s">
        <v>23479</v>
      </c>
      <c r="G2699">
        <v>3</v>
      </c>
      <c r="H2699" t="s">
        <v>8950</v>
      </c>
      <c r="J2699" t="s">
        <v>8946</v>
      </c>
      <c r="K2699" t="s">
        <v>197</v>
      </c>
      <c r="L2699" t="s">
        <v>33</v>
      </c>
      <c r="M2699" t="s">
        <v>8951</v>
      </c>
      <c r="N2699" t="s">
        <v>8952</v>
      </c>
      <c r="O2699" t="s">
        <v>8953</v>
      </c>
      <c r="P2699" s="2" t="s">
        <v>37</v>
      </c>
      <c r="Q2699" t="s">
        <v>1208</v>
      </c>
      <c r="R2699">
        <v>0</v>
      </c>
      <c r="S2699">
        <v>281.14999999999998</v>
      </c>
      <c r="T2699" t="s">
        <v>8954</v>
      </c>
    </row>
    <row r="2700" spans="1:20" x14ac:dyDescent="0.25">
      <c r="A2700" s="1" t="str">
        <f>HYPERLINK("https://vegkart.atlas.vegvesen.no/#/@191815.5,6574300.2,18/hva:hva%5B0%5D%5Bfilter%5D%5B0%5D%5Boperator%5D=%21%3D&amp;hva%5B0%5D%5Bfilter%5D%5B0%5D%5Btype_id%5D=8917&amp;hva%5B0%5D%5Bfilter%5D%5B0%5D%5Bverdi%5D=&amp;hva%5B0%5D%5Bid%5D=49/når:2023-04-17", "Vegkart")</f>
        <v>Vegkart</v>
      </c>
      <c r="B2700">
        <v>219678111</v>
      </c>
      <c r="C2700">
        <v>49</v>
      </c>
      <c r="D2700" t="s">
        <v>8701</v>
      </c>
      <c r="E2700">
        <v>8917</v>
      </c>
      <c r="F2700" t="s">
        <v>23479</v>
      </c>
      <c r="G2700">
        <v>4</v>
      </c>
      <c r="H2700" t="s">
        <v>8950</v>
      </c>
      <c r="J2700" t="s">
        <v>8946</v>
      </c>
      <c r="K2700" t="s">
        <v>197</v>
      </c>
      <c r="L2700" t="s">
        <v>33</v>
      </c>
      <c r="M2700" t="s">
        <v>1994</v>
      </c>
      <c r="N2700" t="s">
        <v>8955</v>
      </c>
      <c r="O2700" t="s">
        <v>8956</v>
      </c>
      <c r="P2700" s="2" t="s">
        <v>37</v>
      </c>
      <c r="Q2700" t="s">
        <v>1208</v>
      </c>
      <c r="R2700">
        <v>0</v>
      </c>
      <c r="S2700">
        <v>47.51</v>
      </c>
      <c r="T2700" t="s">
        <v>8957</v>
      </c>
    </row>
    <row r="2701" spans="1:20" x14ac:dyDescent="0.25">
      <c r="A2701" s="1" t="str">
        <f>HYPERLINK("https://vegkart.atlas.vegvesen.no/#/@287032.3,6560792.4,18/hva:hva%5B0%5D%5Bfilter%5D%5B0%5D%5Boperator%5D=%21%3D&amp;hva%5B0%5D%5Bfilter%5D%5B0%5D%5Btype_id%5D=8917&amp;hva%5B0%5D%5Bfilter%5D%5B0%5D%5Bverdi%5D=&amp;hva%5B0%5D%5Bid%5D=49/når:2025-10-15", "Vegkart")</f>
        <v>Vegkart</v>
      </c>
      <c r="B2701">
        <v>230287418</v>
      </c>
      <c r="C2701">
        <v>49</v>
      </c>
      <c r="D2701" t="s">
        <v>8701</v>
      </c>
      <c r="E2701">
        <v>8917</v>
      </c>
      <c r="F2701" t="s">
        <v>23479</v>
      </c>
      <c r="G2701">
        <v>4</v>
      </c>
      <c r="H2701" t="s">
        <v>683</v>
      </c>
      <c r="J2701" t="s">
        <v>8958</v>
      </c>
      <c r="K2701" t="s">
        <v>104</v>
      </c>
      <c r="L2701" t="s">
        <v>33</v>
      </c>
      <c r="M2701" t="s">
        <v>8959</v>
      </c>
      <c r="N2701" t="s">
        <v>8960</v>
      </c>
      <c r="O2701" t="s">
        <v>8961</v>
      </c>
      <c r="P2701" s="2" t="s">
        <v>37</v>
      </c>
      <c r="Q2701" t="s">
        <v>1208</v>
      </c>
      <c r="R2701">
        <v>0</v>
      </c>
      <c r="S2701">
        <v>23</v>
      </c>
      <c r="T2701" t="s">
        <v>8962</v>
      </c>
    </row>
    <row r="2702" spans="1:20" x14ac:dyDescent="0.25">
      <c r="A2702" s="1" t="str">
        <f>HYPERLINK("https://vegkart.atlas.vegvesen.no/#/@287010.7,6560790.2,18/hva:hva%5B0%5D%5Bfilter%5D%5B0%5D%5Boperator%5D=%21%3D&amp;hva%5B0%5D%5Bfilter%5D%5B0%5D%5Btype_id%5D=8917&amp;hva%5B0%5D%5Bfilter%5D%5B0%5D%5Bverdi%5D=&amp;hva%5B0%5D%5Bid%5D=49/når:2025-10-15", "Vegkart")</f>
        <v>Vegkart</v>
      </c>
      <c r="B2702">
        <v>230634802</v>
      </c>
      <c r="C2702">
        <v>49</v>
      </c>
      <c r="D2702" t="s">
        <v>8701</v>
      </c>
      <c r="E2702">
        <v>8917</v>
      </c>
      <c r="F2702" t="s">
        <v>23479</v>
      </c>
      <c r="G2702">
        <v>3</v>
      </c>
      <c r="H2702" t="s">
        <v>683</v>
      </c>
      <c r="J2702" t="s">
        <v>8958</v>
      </c>
      <c r="K2702" t="s">
        <v>104</v>
      </c>
      <c r="L2702" t="s">
        <v>33</v>
      </c>
      <c r="M2702" t="s">
        <v>8802</v>
      </c>
      <c r="N2702" t="s">
        <v>8963</v>
      </c>
      <c r="O2702" t="s">
        <v>8964</v>
      </c>
      <c r="P2702" s="2" t="s">
        <v>37</v>
      </c>
      <c r="Q2702" t="s">
        <v>1208</v>
      </c>
      <c r="R2702">
        <v>0</v>
      </c>
      <c r="S2702">
        <v>69.31</v>
      </c>
      <c r="T2702" t="s">
        <v>8965</v>
      </c>
    </row>
    <row r="2703" spans="1:20" x14ac:dyDescent="0.25">
      <c r="A2703" s="1" t="str">
        <f>HYPERLINK("https://vegkart.atlas.vegvesen.no/#/@-33986.8,6731122.9,18/hva:hva%5B0%5D%5Bfilter%5D%5B0%5D%5Boperator%5D=%21%3D&amp;hva%5B0%5D%5Bfilter%5D%5B0%5D%5Btype_id%5D=8917&amp;hva%5B0%5D%5Bfilter%5D%5B0%5D%5Bverdi%5D=&amp;hva%5B0%5D%5Bid%5D=49/når:2025-07-09", "Vegkart")</f>
        <v>Vegkart</v>
      </c>
      <c r="B2703">
        <v>230821937</v>
      </c>
      <c r="C2703">
        <v>49</v>
      </c>
      <c r="D2703" t="s">
        <v>8701</v>
      </c>
      <c r="E2703">
        <v>8917</v>
      </c>
      <c r="F2703" t="s">
        <v>23479</v>
      </c>
      <c r="G2703">
        <v>3</v>
      </c>
      <c r="H2703" t="s">
        <v>5782</v>
      </c>
      <c r="J2703" t="s">
        <v>8958</v>
      </c>
      <c r="K2703" t="s">
        <v>21</v>
      </c>
      <c r="L2703" t="s">
        <v>33</v>
      </c>
      <c r="M2703" t="s">
        <v>558</v>
      </c>
      <c r="N2703" t="s">
        <v>8966</v>
      </c>
      <c r="O2703" t="s">
        <v>8967</v>
      </c>
      <c r="P2703" s="2" t="s">
        <v>37</v>
      </c>
      <c r="Q2703" t="s">
        <v>1208</v>
      </c>
      <c r="R2703">
        <v>0.14000000000000001</v>
      </c>
      <c r="S2703">
        <v>69.87</v>
      </c>
      <c r="T2703" t="s">
        <v>8968</v>
      </c>
    </row>
    <row r="2704" spans="1:20" x14ac:dyDescent="0.25">
      <c r="A2704" s="1" t="str">
        <f>HYPERLINK("https://vegkart.atlas.vegvesen.no/#/@272554.2,6549629.7,18/hva:hva%5B0%5D%5Bfilter%5D%5B0%5D%5Boperator%5D=%21%3D&amp;hva%5B0%5D%5Bfilter%5D%5B0%5D%5Btype_id%5D=8917&amp;hva%5B0%5D%5Bfilter%5D%5B0%5D%5Bverdi%5D=&amp;hva%5B0%5D%5Bid%5D=49/når:2025-10-07", "Vegkart")</f>
        <v>Vegkart</v>
      </c>
      <c r="B2704">
        <v>238671667</v>
      </c>
      <c r="C2704">
        <v>49</v>
      </c>
      <c r="D2704" t="s">
        <v>8701</v>
      </c>
      <c r="E2704">
        <v>8917</v>
      </c>
      <c r="F2704" t="s">
        <v>23479</v>
      </c>
      <c r="G2704">
        <v>4</v>
      </c>
      <c r="H2704" t="s">
        <v>8806</v>
      </c>
      <c r="J2704" t="s">
        <v>8958</v>
      </c>
      <c r="K2704" t="s">
        <v>104</v>
      </c>
      <c r="L2704" t="s">
        <v>33</v>
      </c>
      <c r="M2704" t="s">
        <v>931</v>
      </c>
      <c r="N2704" t="s">
        <v>8969</v>
      </c>
      <c r="O2704" t="s">
        <v>8970</v>
      </c>
      <c r="P2704" s="2" t="s">
        <v>37</v>
      </c>
      <c r="Q2704" t="s">
        <v>1208</v>
      </c>
      <c r="R2704">
        <v>0</v>
      </c>
      <c r="S2704">
        <v>22.76</v>
      </c>
      <c r="T2704" t="s">
        <v>8971</v>
      </c>
    </row>
    <row r="2705" spans="1:20" x14ac:dyDescent="0.25">
      <c r="A2705" s="1" t="str">
        <f>HYPERLINK("https://vegkart.atlas.vegvesen.no/#/@275803.2,6579369.6,18/hva:hva%5B0%5D%5Bfilter%5D%5B0%5D%5Boperator%5D=%21%3D&amp;hva%5B0%5D%5Bfilter%5D%5B0%5D%5Btype_id%5D=8917&amp;hva%5B0%5D%5Bfilter%5D%5B0%5D%5Bverdi%5D=&amp;hva%5B0%5D%5Bid%5D=49/når:2025-11-11", "Vegkart")</f>
        <v>Vegkart</v>
      </c>
      <c r="B2705">
        <v>240507049</v>
      </c>
      <c r="C2705">
        <v>49</v>
      </c>
      <c r="D2705" t="s">
        <v>8701</v>
      </c>
      <c r="E2705">
        <v>8917</v>
      </c>
      <c r="F2705" t="s">
        <v>23479</v>
      </c>
      <c r="G2705">
        <v>4</v>
      </c>
      <c r="H2705" t="s">
        <v>8773</v>
      </c>
      <c r="J2705" t="s">
        <v>8958</v>
      </c>
      <c r="K2705" t="s">
        <v>104</v>
      </c>
      <c r="L2705" t="s">
        <v>33</v>
      </c>
      <c r="M2705" t="s">
        <v>8972</v>
      </c>
      <c r="N2705" t="s">
        <v>8973</v>
      </c>
      <c r="O2705" t="s">
        <v>8974</v>
      </c>
      <c r="P2705" s="2" t="s">
        <v>37</v>
      </c>
      <c r="Q2705" t="s">
        <v>1208</v>
      </c>
      <c r="R2705">
        <v>0</v>
      </c>
      <c r="S2705">
        <v>21.01</v>
      </c>
      <c r="T2705" t="s">
        <v>8975</v>
      </c>
    </row>
    <row r="2706" spans="1:20" x14ac:dyDescent="0.25">
      <c r="A2706" s="1" t="str">
        <f>HYPERLINK("https://vegkart.atlas.vegvesen.no/#/@268054.1,6585691.7,18/hva:hva%5B0%5D%5Bfilter%5D%5B0%5D%5Boperator%5D=%21%3D&amp;hva%5B0%5D%5Bfilter%5D%5B0%5D%5Btype_id%5D=8917&amp;hva%5B0%5D%5Bfilter%5D%5B0%5D%5Bverdi%5D=&amp;hva%5B0%5D%5Bid%5D=49/når:2025-09-12", "Vegkart")</f>
        <v>Vegkart</v>
      </c>
      <c r="B2706">
        <v>245011097</v>
      </c>
      <c r="C2706">
        <v>49</v>
      </c>
      <c r="D2706" t="s">
        <v>8701</v>
      </c>
      <c r="E2706">
        <v>8917</v>
      </c>
      <c r="F2706" t="s">
        <v>23479</v>
      </c>
      <c r="G2706">
        <v>4</v>
      </c>
      <c r="H2706" t="s">
        <v>8801</v>
      </c>
      <c r="J2706" t="s">
        <v>8958</v>
      </c>
      <c r="K2706" t="s">
        <v>104</v>
      </c>
      <c r="L2706" t="s">
        <v>33</v>
      </c>
      <c r="M2706" t="s">
        <v>8802</v>
      </c>
      <c r="N2706" t="s">
        <v>8976</v>
      </c>
      <c r="O2706" t="s">
        <v>8977</v>
      </c>
      <c r="P2706" s="2" t="s">
        <v>37</v>
      </c>
      <c r="Q2706" t="s">
        <v>1208</v>
      </c>
      <c r="R2706">
        <v>0</v>
      </c>
      <c r="S2706">
        <v>31.72</v>
      </c>
      <c r="T2706" t="s">
        <v>8978</v>
      </c>
    </row>
    <row r="2707" spans="1:20" x14ac:dyDescent="0.25">
      <c r="A2707" s="1" t="str">
        <f>HYPERLINK("https://vegkart.atlas.vegvesen.no/#/@228929.1,6606531.3,18/hva:hva%5B0%5D%5Bfilter%5D%5B0%5D%5Boperator%5D=%21%3D&amp;hva%5B0%5D%5Bfilter%5D%5B0%5D%5Btype_id%5D=8917&amp;hva%5B0%5D%5Bfilter%5D%5B0%5D%5Bverdi%5D=&amp;hva%5B0%5D%5Bid%5D=49/når:2023-08-07", "Vegkart")</f>
        <v>Vegkart</v>
      </c>
      <c r="B2707">
        <v>248912752</v>
      </c>
      <c r="C2707">
        <v>49</v>
      </c>
      <c r="D2707" t="s">
        <v>8701</v>
      </c>
      <c r="E2707">
        <v>8917</v>
      </c>
      <c r="F2707" t="s">
        <v>23479</v>
      </c>
      <c r="G2707">
        <v>2</v>
      </c>
      <c r="H2707" t="s">
        <v>4561</v>
      </c>
      <c r="J2707" t="s">
        <v>8958</v>
      </c>
      <c r="K2707" t="s">
        <v>81</v>
      </c>
      <c r="L2707" t="s">
        <v>80</v>
      </c>
      <c r="M2707" t="s">
        <v>53</v>
      </c>
      <c r="N2707" t="s">
        <v>8979</v>
      </c>
      <c r="O2707" t="s">
        <v>8980</v>
      </c>
      <c r="P2707" s="2" t="s">
        <v>37</v>
      </c>
      <c r="Q2707" t="s">
        <v>1208</v>
      </c>
      <c r="R2707">
        <v>1.18</v>
      </c>
      <c r="S2707">
        <v>61.4</v>
      </c>
      <c r="T2707" t="s">
        <v>8981</v>
      </c>
    </row>
    <row r="2708" spans="1:20" x14ac:dyDescent="0.25">
      <c r="A2708" s="1" t="str">
        <f>HYPERLINK("https://vegkart.atlas.vegvesen.no/#/@227952.8,6613798.0,18/hva:hva%5B0%5D%5Bfilter%5D%5B0%5D%5Boperator%5D=%21%3D&amp;hva%5B0%5D%5Bfilter%5D%5B0%5D%5Btype_id%5D=8917&amp;hva%5B0%5D%5Bfilter%5D%5B0%5D%5Bverdi%5D=&amp;hva%5B0%5D%5Bid%5D=49/når:2023-07-25", "Vegkart")</f>
        <v>Vegkart</v>
      </c>
      <c r="B2708">
        <v>249223024</v>
      </c>
      <c r="C2708">
        <v>49</v>
      </c>
      <c r="D2708" t="s">
        <v>8701</v>
      </c>
      <c r="E2708">
        <v>8917</v>
      </c>
      <c r="F2708" t="s">
        <v>23479</v>
      </c>
      <c r="G2708">
        <v>2</v>
      </c>
      <c r="H2708" t="s">
        <v>5565</v>
      </c>
      <c r="J2708" t="s">
        <v>8958</v>
      </c>
      <c r="K2708" t="s">
        <v>81</v>
      </c>
      <c r="L2708" t="s">
        <v>80</v>
      </c>
      <c r="M2708" t="s">
        <v>53</v>
      </c>
      <c r="N2708" t="s">
        <v>8982</v>
      </c>
      <c r="O2708" t="s">
        <v>8983</v>
      </c>
      <c r="P2708" s="2" t="s">
        <v>37</v>
      </c>
      <c r="Q2708" t="s">
        <v>1208</v>
      </c>
      <c r="R2708">
        <v>0.02</v>
      </c>
      <c r="S2708">
        <v>43.4</v>
      </c>
      <c r="T2708" t="s">
        <v>8984</v>
      </c>
    </row>
    <row r="2709" spans="1:20" x14ac:dyDescent="0.25">
      <c r="A2709" s="1" t="str">
        <f>HYPERLINK("https://vegkart.atlas.vegvesen.no/#/@231310.3,6622616.3,18/hva:hva%5B0%5D%5Bfilter%5D%5B0%5D%5Boperator%5D=%21%3D&amp;hva%5B0%5D%5Bfilter%5D%5B0%5D%5Btype_id%5D=8917&amp;hva%5B0%5D%5Bfilter%5D%5B0%5D%5Bverdi%5D=&amp;hva%5B0%5D%5Bid%5D=49/når:2023-08-04", "Vegkart")</f>
        <v>Vegkart</v>
      </c>
      <c r="B2709">
        <v>249223083</v>
      </c>
      <c r="C2709">
        <v>49</v>
      </c>
      <c r="D2709" t="s">
        <v>8701</v>
      </c>
      <c r="E2709">
        <v>8917</v>
      </c>
      <c r="F2709" t="s">
        <v>23479</v>
      </c>
      <c r="G2709">
        <v>2</v>
      </c>
      <c r="H2709" t="s">
        <v>8985</v>
      </c>
      <c r="J2709" t="s">
        <v>8958</v>
      </c>
      <c r="K2709" t="s">
        <v>81</v>
      </c>
      <c r="L2709" t="s">
        <v>80</v>
      </c>
      <c r="M2709" t="s">
        <v>53</v>
      </c>
      <c r="N2709" t="s">
        <v>8986</v>
      </c>
      <c r="O2709" t="s">
        <v>8987</v>
      </c>
      <c r="P2709" s="2" t="s">
        <v>37</v>
      </c>
      <c r="Q2709" t="s">
        <v>1208</v>
      </c>
      <c r="R2709">
        <v>0.23</v>
      </c>
      <c r="S2709">
        <v>43.51</v>
      </c>
      <c r="T2709" t="s">
        <v>8988</v>
      </c>
    </row>
    <row r="2710" spans="1:20" x14ac:dyDescent="0.25">
      <c r="A2710" s="1" t="str">
        <f>HYPERLINK("https://vegkart.atlas.vegvesen.no/#/@231217.4,6622701.8,18/hva:hva%5B0%5D%5Bfilter%5D%5B0%5D%5Boperator%5D=%21%3D&amp;hva%5B0%5D%5Bfilter%5D%5B0%5D%5Btype_id%5D=8917&amp;hva%5B0%5D%5Bfilter%5D%5B0%5D%5Bverdi%5D=&amp;hva%5B0%5D%5Bid%5D=49/når:2023-08-03", "Vegkart")</f>
        <v>Vegkart</v>
      </c>
      <c r="B2710">
        <v>249223086</v>
      </c>
      <c r="C2710">
        <v>49</v>
      </c>
      <c r="D2710" t="s">
        <v>8701</v>
      </c>
      <c r="E2710">
        <v>8917</v>
      </c>
      <c r="F2710" t="s">
        <v>23479</v>
      </c>
      <c r="G2710">
        <v>2</v>
      </c>
      <c r="H2710" t="s">
        <v>8989</v>
      </c>
      <c r="J2710" t="s">
        <v>8958</v>
      </c>
      <c r="K2710" t="s">
        <v>81</v>
      </c>
      <c r="L2710" t="s">
        <v>80</v>
      </c>
      <c r="M2710" t="s">
        <v>53</v>
      </c>
      <c r="N2710" t="s">
        <v>8990</v>
      </c>
      <c r="O2710" t="s">
        <v>8991</v>
      </c>
      <c r="P2710" s="2" t="s">
        <v>37</v>
      </c>
      <c r="Q2710" t="s">
        <v>1208</v>
      </c>
      <c r="R2710">
        <v>0.08</v>
      </c>
      <c r="S2710">
        <v>43.91</v>
      </c>
      <c r="T2710" t="s">
        <v>8992</v>
      </c>
    </row>
    <row r="2711" spans="1:20" x14ac:dyDescent="0.25">
      <c r="A2711" s="1" t="str">
        <f>HYPERLINK("https://vegkart.atlas.vegvesen.no/#/@280029.8,6576849.0,18/hva:hva%5B0%5D%5Bfilter%5D%5B0%5D%5Boperator%5D=%21%3D&amp;hva%5B0%5D%5Bfilter%5D%5B0%5D%5Btype_id%5D=8917&amp;hva%5B0%5D%5Bfilter%5D%5B0%5D%5Bverdi%5D=&amp;hva%5B0%5D%5Bid%5D=49/når:2025-11-11", "Vegkart")</f>
        <v>Vegkart</v>
      </c>
      <c r="B2711">
        <v>250032118</v>
      </c>
      <c r="C2711">
        <v>49</v>
      </c>
      <c r="D2711" t="s">
        <v>8701</v>
      </c>
      <c r="E2711">
        <v>8917</v>
      </c>
      <c r="F2711" t="s">
        <v>23479</v>
      </c>
      <c r="G2711">
        <v>3</v>
      </c>
      <c r="H2711" t="s">
        <v>8773</v>
      </c>
      <c r="J2711" t="s">
        <v>8993</v>
      </c>
      <c r="K2711" t="s">
        <v>104</v>
      </c>
      <c r="L2711" t="s">
        <v>33</v>
      </c>
      <c r="M2711" t="s">
        <v>8994</v>
      </c>
      <c r="N2711" t="s">
        <v>8995</v>
      </c>
      <c r="O2711" t="s">
        <v>8996</v>
      </c>
      <c r="P2711" s="2" t="s">
        <v>37</v>
      </c>
      <c r="Q2711" t="s">
        <v>1208</v>
      </c>
      <c r="R2711">
        <v>0</v>
      </c>
      <c r="S2711">
        <v>47.93</v>
      </c>
      <c r="T2711" t="s">
        <v>8997</v>
      </c>
    </row>
    <row r="2712" spans="1:20" x14ac:dyDescent="0.25">
      <c r="A2712" s="1" t="str">
        <f>HYPERLINK("https://vegkart.atlas.vegvesen.no/#/@192162.2,6576742.9,18/hva:hva%5B0%5D%5Bfilter%5D%5B0%5D%5Boperator%5D=%21%3D&amp;hva%5B0%5D%5Bfilter%5D%5B0%5D%5Btype_id%5D=8917&amp;hva%5B0%5D%5Bfilter%5D%5B0%5D%5Bverdi%5D=&amp;hva%5B0%5D%5Bid%5D=49/når:2023-04-17", "Vegkart")</f>
        <v>Vegkart</v>
      </c>
      <c r="B2712">
        <v>252680828</v>
      </c>
      <c r="C2712">
        <v>49</v>
      </c>
      <c r="D2712" t="s">
        <v>8701</v>
      </c>
      <c r="E2712">
        <v>8917</v>
      </c>
      <c r="F2712" t="s">
        <v>23479</v>
      </c>
      <c r="G2712">
        <v>5</v>
      </c>
      <c r="H2712" t="s">
        <v>8950</v>
      </c>
      <c r="J2712" t="s">
        <v>1797</v>
      </c>
      <c r="K2712" t="s">
        <v>197</v>
      </c>
      <c r="L2712" t="s">
        <v>33</v>
      </c>
      <c r="M2712" t="s">
        <v>132</v>
      </c>
      <c r="N2712" t="s">
        <v>8998</v>
      </c>
      <c r="O2712" t="s">
        <v>8999</v>
      </c>
      <c r="P2712" s="2" t="s">
        <v>165</v>
      </c>
      <c r="Q2712" t="s">
        <v>166</v>
      </c>
      <c r="R2712">
        <v>0</v>
      </c>
      <c r="S2712">
        <v>41.1</v>
      </c>
      <c r="T2712" t="s">
        <v>167</v>
      </c>
    </row>
    <row r="2713" spans="1:20" x14ac:dyDescent="0.25">
      <c r="A2713" s="1" t="str">
        <f>HYPERLINK("https://vegkart.atlas.vegvesen.no/#/@271875.8,6572678.5,18/hva:hva%5B0%5D%5Bfilter%5D%5B0%5D%5Boperator%5D=%21%3D&amp;hva%5B0%5D%5Bfilter%5D%5B0%5D%5Btype_id%5D=8917&amp;hva%5B0%5D%5Bfilter%5D%5B0%5D%5Bverdi%5D=&amp;hva%5B0%5D%5Bid%5D=49/når:2025-11-28", "Vegkart")</f>
        <v>Vegkart</v>
      </c>
      <c r="B2713">
        <v>255790295</v>
      </c>
      <c r="C2713">
        <v>49</v>
      </c>
      <c r="D2713" t="s">
        <v>8701</v>
      </c>
      <c r="E2713">
        <v>8917</v>
      </c>
      <c r="F2713" t="s">
        <v>23479</v>
      </c>
      <c r="G2713">
        <v>3</v>
      </c>
      <c r="H2713" t="s">
        <v>8765</v>
      </c>
      <c r="J2713" t="s">
        <v>9000</v>
      </c>
      <c r="K2713" t="s">
        <v>104</v>
      </c>
      <c r="L2713" t="s">
        <v>33</v>
      </c>
      <c r="M2713" t="s">
        <v>9001</v>
      </c>
      <c r="N2713" t="s">
        <v>9002</v>
      </c>
      <c r="O2713" t="s">
        <v>9003</v>
      </c>
      <c r="P2713" s="2" t="s">
        <v>37</v>
      </c>
      <c r="Q2713" t="s">
        <v>1208</v>
      </c>
      <c r="R2713">
        <v>0</v>
      </c>
      <c r="S2713">
        <v>10.86</v>
      </c>
      <c r="T2713" t="s">
        <v>9004</v>
      </c>
    </row>
    <row r="2714" spans="1:20" x14ac:dyDescent="0.25">
      <c r="A2714" s="1" t="str">
        <f>HYPERLINK("https://vegkart.atlas.vegvesen.no/#/@261891.2,6569091.9,18/hva:hva%5B0%5D%5Bfilter%5D%5B0%5D%5Boperator%5D=%21%3D&amp;hva%5B0%5D%5Bfilter%5D%5B0%5D%5Btype_id%5D=8917&amp;hva%5B0%5D%5Bfilter%5D%5B0%5D%5Bverdi%5D=&amp;hva%5B0%5D%5Bid%5D=49/når:2025-11-28", "Vegkart")</f>
        <v>Vegkart</v>
      </c>
      <c r="B2714">
        <v>257311803</v>
      </c>
      <c r="C2714">
        <v>49</v>
      </c>
      <c r="D2714" t="s">
        <v>8701</v>
      </c>
      <c r="E2714">
        <v>8917</v>
      </c>
      <c r="F2714" t="s">
        <v>23479</v>
      </c>
      <c r="G2714">
        <v>3</v>
      </c>
      <c r="H2714" t="s">
        <v>8765</v>
      </c>
      <c r="J2714" t="s">
        <v>8787</v>
      </c>
      <c r="K2714" t="s">
        <v>104</v>
      </c>
      <c r="L2714" t="s">
        <v>33</v>
      </c>
      <c r="M2714" t="s">
        <v>9005</v>
      </c>
      <c r="N2714" t="s">
        <v>9006</v>
      </c>
      <c r="O2714" t="s">
        <v>9007</v>
      </c>
      <c r="P2714" s="2" t="s">
        <v>37</v>
      </c>
      <c r="Q2714" t="s">
        <v>1208</v>
      </c>
      <c r="R2714">
        <v>0</v>
      </c>
      <c r="S2714">
        <v>20.350000000000001</v>
      </c>
      <c r="T2714" t="s">
        <v>9008</v>
      </c>
    </row>
    <row r="2715" spans="1:20" x14ac:dyDescent="0.25">
      <c r="A2715" s="1" t="str">
        <f>HYPERLINK("https://vegkart.atlas.vegvesen.no/#/@267658.8,6564202.7,18/hva:hva%5B0%5D%5Bfilter%5D%5B0%5D%5Boperator%5D=%21%3D&amp;hva%5B0%5D%5Bfilter%5D%5B0%5D%5Btype_id%5D=8917&amp;hva%5B0%5D%5Bfilter%5D%5B0%5D%5Bverdi%5D=&amp;hva%5B0%5D%5Bid%5D=49/når:2025-11-28", "Vegkart")</f>
        <v>Vegkart</v>
      </c>
      <c r="B2715">
        <v>260676584</v>
      </c>
      <c r="C2715">
        <v>49</v>
      </c>
      <c r="D2715" t="s">
        <v>8701</v>
      </c>
      <c r="E2715">
        <v>8917</v>
      </c>
      <c r="F2715" t="s">
        <v>23479</v>
      </c>
      <c r="G2715">
        <v>3</v>
      </c>
      <c r="H2715" t="s">
        <v>8765</v>
      </c>
      <c r="J2715" t="s">
        <v>8787</v>
      </c>
      <c r="K2715" t="s">
        <v>104</v>
      </c>
      <c r="L2715" t="s">
        <v>33</v>
      </c>
      <c r="M2715" t="s">
        <v>931</v>
      </c>
      <c r="N2715" t="s">
        <v>9009</v>
      </c>
      <c r="O2715" t="s">
        <v>9010</v>
      </c>
      <c r="P2715" s="2" t="s">
        <v>37</v>
      </c>
      <c r="Q2715" t="s">
        <v>1208</v>
      </c>
      <c r="R2715">
        <v>0</v>
      </c>
      <c r="S2715">
        <v>21.54</v>
      </c>
      <c r="T2715" t="s">
        <v>9011</v>
      </c>
    </row>
    <row r="2716" spans="1:20" x14ac:dyDescent="0.25">
      <c r="A2716" s="1" t="str">
        <f>HYPERLINK("https://vegkart.atlas.vegvesen.no/#/@265854.1,6559474.0,18/hva:hva%5B0%5D%5Bfilter%5D%5B0%5D%5Boperator%5D=%21%3D&amp;hva%5B0%5D%5Bfilter%5D%5B0%5D%5Btype_id%5D=8917&amp;hva%5B0%5D%5Bfilter%5D%5B0%5D%5Bverdi%5D=&amp;hva%5B0%5D%5Bid%5D=49/når:2025-10-07", "Vegkart")</f>
        <v>Vegkart</v>
      </c>
      <c r="B2716">
        <v>260676676</v>
      </c>
      <c r="C2716">
        <v>49</v>
      </c>
      <c r="D2716" t="s">
        <v>8701</v>
      </c>
      <c r="E2716">
        <v>8917</v>
      </c>
      <c r="F2716" t="s">
        <v>23479</v>
      </c>
      <c r="G2716">
        <v>2</v>
      </c>
      <c r="H2716" t="s">
        <v>8806</v>
      </c>
      <c r="J2716" t="s">
        <v>1797</v>
      </c>
      <c r="K2716" t="s">
        <v>104</v>
      </c>
      <c r="L2716" t="s">
        <v>33</v>
      </c>
      <c r="M2716" t="s">
        <v>931</v>
      </c>
      <c r="N2716" t="s">
        <v>9012</v>
      </c>
      <c r="O2716" t="s">
        <v>9013</v>
      </c>
      <c r="P2716" s="2" t="s">
        <v>37</v>
      </c>
      <c r="Q2716" t="s">
        <v>1208</v>
      </c>
      <c r="R2716">
        <v>0</v>
      </c>
      <c r="S2716">
        <v>21.73</v>
      </c>
      <c r="T2716" t="s">
        <v>9014</v>
      </c>
    </row>
    <row r="2717" spans="1:20" x14ac:dyDescent="0.25">
      <c r="A2717" s="1" t="str">
        <f>HYPERLINK("https://vegkart.atlas.vegvesen.no/#/@259485.3,6581561.3,18/hva:hva%5B0%5D%5Bfilter%5D%5B0%5D%5Boperator%5D=%21%3D&amp;hva%5B0%5D%5Bfilter%5D%5B0%5D%5Btype_id%5D=8917&amp;hva%5B0%5D%5Bfilter%5D%5B0%5D%5Bverdi%5D=&amp;hva%5B0%5D%5Bid%5D=49/når:2025-09-12", "Vegkart")</f>
        <v>Vegkart</v>
      </c>
      <c r="B2717">
        <v>261381101</v>
      </c>
      <c r="C2717">
        <v>49</v>
      </c>
      <c r="D2717" t="s">
        <v>8701</v>
      </c>
      <c r="E2717">
        <v>8917</v>
      </c>
      <c r="F2717" t="s">
        <v>23479</v>
      </c>
      <c r="G2717">
        <v>5</v>
      </c>
      <c r="H2717" t="s">
        <v>8801</v>
      </c>
      <c r="J2717" t="s">
        <v>1797</v>
      </c>
      <c r="K2717" t="s">
        <v>104</v>
      </c>
      <c r="L2717" t="s">
        <v>33</v>
      </c>
      <c r="M2717" t="s">
        <v>9015</v>
      </c>
      <c r="N2717" t="s">
        <v>9016</v>
      </c>
      <c r="O2717" t="s">
        <v>9017</v>
      </c>
      <c r="P2717" s="2" t="s">
        <v>37</v>
      </c>
      <c r="Q2717" t="s">
        <v>1208</v>
      </c>
      <c r="R2717">
        <v>0</v>
      </c>
      <c r="S2717">
        <v>9.3800000000000008</v>
      </c>
      <c r="T2717" t="s">
        <v>9018</v>
      </c>
    </row>
    <row r="2718" spans="1:20" x14ac:dyDescent="0.25">
      <c r="A2718" s="1" t="str">
        <f>HYPERLINK("https://vegkart.atlas.vegvesen.no/#/@259480.4,6581557.5,18/hva:hva%5B0%5D%5Bfilter%5D%5B0%5D%5Boperator%5D=%21%3D&amp;hva%5B0%5D%5Bfilter%5D%5B0%5D%5Btype_id%5D=8917&amp;hva%5B0%5D%5Bfilter%5D%5B0%5D%5Bverdi%5D=&amp;hva%5B0%5D%5Bid%5D=49/når:2025-09-12", "Vegkart")</f>
        <v>Vegkart</v>
      </c>
      <c r="B2718">
        <v>261381105</v>
      </c>
      <c r="C2718">
        <v>49</v>
      </c>
      <c r="D2718" t="s">
        <v>8701</v>
      </c>
      <c r="E2718">
        <v>8917</v>
      </c>
      <c r="F2718" t="s">
        <v>23479</v>
      </c>
      <c r="G2718">
        <v>5</v>
      </c>
      <c r="H2718" t="s">
        <v>8801</v>
      </c>
      <c r="J2718" t="s">
        <v>1797</v>
      </c>
      <c r="K2718" t="s">
        <v>104</v>
      </c>
      <c r="L2718" t="s">
        <v>33</v>
      </c>
      <c r="M2718" t="s">
        <v>9015</v>
      </c>
      <c r="N2718" t="s">
        <v>9019</v>
      </c>
      <c r="O2718" t="s">
        <v>9020</v>
      </c>
      <c r="P2718" s="2" t="s">
        <v>37</v>
      </c>
      <c r="Q2718" t="s">
        <v>1208</v>
      </c>
      <c r="R2718">
        <v>0</v>
      </c>
      <c r="S2718">
        <v>8.9600000000000009</v>
      </c>
      <c r="T2718" t="s">
        <v>9021</v>
      </c>
    </row>
    <row r="2719" spans="1:20" x14ac:dyDescent="0.25">
      <c r="A2719" s="1" t="str">
        <f>HYPERLINK("https://vegkart.atlas.vegvesen.no/#/@258644.5,6580587.2,18/hva:hva%5B0%5D%5Bfilter%5D%5B0%5D%5Boperator%5D=%21%3D&amp;hva%5B0%5D%5Bfilter%5D%5B0%5D%5Btype_id%5D=8917&amp;hva%5B0%5D%5Bfilter%5D%5B0%5D%5Bverdi%5D=&amp;hva%5B0%5D%5Bid%5D=49/når:2025-09-12", "Vegkart")</f>
        <v>Vegkart</v>
      </c>
      <c r="B2719">
        <v>261381132</v>
      </c>
      <c r="C2719">
        <v>49</v>
      </c>
      <c r="D2719" t="s">
        <v>8701</v>
      </c>
      <c r="E2719">
        <v>8917</v>
      </c>
      <c r="F2719" t="s">
        <v>23479</v>
      </c>
      <c r="G2719">
        <v>4</v>
      </c>
      <c r="H2719" t="s">
        <v>8801</v>
      </c>
      <c r="J2719" t="s">
        <v>1797</v>
      </c>
      <c r="K2719" t="s">
        <v>104</v>
      </c>
      <c r="L2719" t="s">
        <v>33</v>
      </c>
      <c r="M2719" t="s">
        <v>9015</v>
      </c>
      <c r="N2719" t="s">
        <v>9022</v>
      </c>
      <c r="O2719" t="s">
        <v>9023</v>
      </c>
      <c r="P2719" s="2" t="s">
        <v>37</v>
      </c>
      <c r="Q2719" t="s">
        <v>1208</v>
      </c>
      <c r="R2719">
        <v>0</v>
      </c>
      <c r="S2719">
        <v>18.98</v>
      </c>
      <c r="T2719" t="s">
        <v>9024</v>
      </c>
    </row>
    <row r="2720" spans="1:20" x14ac:dyDescent="0.25">
      <c r="A2720" s="1" t="str">
        <f>HYPERLINK("https://vegkart.atlas.vegvesen.no/#/@258345.0,6580032.6,18/hva:hva%5B0%5D%5Bfilter%5D%5B0%5D%5Boperator%5D=%21%3D&amp;hva%5B0%5D%5Bfilter%5D%5B0%5D%5Btype_id%5D=8917&amp;hva%5B0%5D%5Bfilter%5D%5B0%5D%5Bverdi%5D=&amp;hva%5B0%5D%5Bid%5D=49/når:2025-09-12", "Vegkart")</f>
        <v>Vegkart</v>
      </c>
      <c r="B2720">
        <v>261381137</v>
      </c>
      <c r="C2720">
        <v>49</v>
      </c>
      <c r="D2720" t="s">
        <v>8701</v>
      </c>
      <c r="E2720">
        <v>8917</v>
      </c>
      <c r="F2720" t="s">
        <v>23479</v>
      </c>
      <c r="G2720">
        <v>4</v>
      </c>
      <c r="H2720" t="s">
        <v>8801</v>
      </c>
      <c r="J2720" t="s">
        <v>1797</v>
      </c>
      <c r="K2720" t="s">
        <v>104</v>
      </c>
      <c r="L2720" t="s">
        <v>33</v>
      </c>
      <c r="M2720" t="s">
        <v>9015</v>
      </c>
      <c r="N2720" t="s">
        <v>9025</v>
      </c>
      <c r="O2720" t="s">
        <v>9026</v>
      </c>
      <c r="P2720" s="2" t="s">
        <v>37</v>
      </c>
      <c r="Q2720" t="s">
        <v>1208</v>
      </c>
      <c r="R2720">
        <v>0</v>
      </c>
      <c r="S2720">
        <v>22.84</v>
      </c>
      <c r="T2720" t="s">
        <v>9027</v>
      </c>
    </row>
    <row r="2721" spans="1:20" x14ac:dyDescent="0.25">
      <c r="A2721" s="1" t="str">
        <f>HYPERLINK("https://vegkart.atlas.vegvesen.no/#/@259280.0,6578385.1,18/hva:hva%5B0%5D%5Bfilter%5D%5B0%5D%5Boperator%5D=%21%3D&amp;hva%5B0%5D%5Bfilter%5D%5B0%5D%5Btype_id%5D=8917&amp;hva%5B0%5D%5Bfilter%5D%5B0%5D%5Bverdi%5D=&amp;hva%5B0%5D%5Bid%5D=49/når:2025-11-28", "Vegkart")</f>
        <v>Vegkart</v>
      </c>
      <c r="B2721">
        <v>261381143</v>
      </c>
      <c r="C2721">
        <v>49</v>
      </c>
      <c r="D2721" t="s">
        <v>8701</v>
      </c>
      <c r="E2721">
        <v>8917</v>
      </c>
      <c r="F2721" t="s">
        <v>23479</v>
      </c>
      <c r="G2721">
        <v>3</v>
      </c>
      <c r="H2721" t="s">
        <v>8765</v>
      </c>
      <c r="J2721" t="s">
        <v>8787</v>
      </c>
      <c r="K2721" t="s">
        <v>104</v>
      </c>
      <c r="L2721" t="s">
        <v>33</v>
      </c>
      <c r="M2721" t="s">
        <v>9015</v>
      </c>
      <c r="N2721" t="s">
        <v>9028</v>
      </c>
      <c r="O2721" t="s">
        <v>9029</v>
      </c>
      <c r="P2721" s="2" t="s">
        <v>37</v>
      </c>
      <c r="Q2721" t="s">
        <v>1208</v>
      </c>
      <c r="R2721">
        <v>0</v>
      </c>
      <c r="S2721">
        <v>8.81</v>
      </c>
      <c r="T2721" t="s">
        <v>9030</v>
      </c>
    </row>
    <row r="2722" spans="1:20" x14ac:dyDescent="0.25">
      <c r="A2722" s="1" t="str">
        <f>HYPERLINK("https://vegkart.atlas.vegvesen.no/#/@259282.2,6578379.3,18/hva:hva%5B0%5D%5Bfilter%5D%5B0%5D%5Boperator%5D=%21%3D&amp;hva%5B0%5D%5Bfilter%5D%5B0%5D%5Btype_id%5D=8917&amp;hva%5B0%5D%5Bfilter%5D%5B0%5D%5Bverdi%5D=&amp;hva%5B0%5D%5Bid%5D=49/når:2025-11-28", "Vegkart")</f>
        <v>Vegkart</v>
      </c>
      <c r="B2722">
        <v>261381147</v>
      </c>
      <c r="C2722">
        <v>49</v>
      </c>
      <c r="D2722" t="s">
        <v>8701</v>
      </c>
      <c r="E2722">
        <v>8917</v>
      </c>
      <c r="F2722" t="s">
        <v>23479</v>
      </c>
      <c r="G2722">
        <v>3</v>
      </c>
      <c r="H2722" t="s">
        <v>8765</v>
      </c>
      <c r="J2722" t="s">
        <v>8787</v>
      </c>
      <c r="K2722" t="s">
        <v>104</v>
      </c>
      <c r="L2722" t="s">
        <v>33</v>
      </c>
      <c r="M2722" t="s">
        <v>9015</v>
      </c>
      <c r="N2722" t="s">
        <v>9031</v>
      </c>
      <c r="O2722" t="s">
        <v>9032</v>
      </c>
      <c r="P2722" s="2" t="s">
        <v>37</v>
      </c>
      <c r="Q2722" t="s">
        <v>1208</v>
      </c>
      <c r="R2722">
        <v>0</v>
      </c>
      <c r="S2722">
        <v>8.86</v>
      </c>
      <c r="T2722" t="s">
        <v>9033</v>
      </c>
    </row>
    <row r="2723" spans="1:20" x14ac:dyDescent="0.25">
      <c r="A2723" s="1" t="str">
        <f>HYPERLINK("https://vegkart.atlas.vegvesen.no/#/@266072.5,6574790.4,18/hva:hva%5B0%5D%5Bfilter%5D%5B0%5D%5Boperator%5D=%21%3D&amp;hva%5B0%5D%5Bfilter%5D%5B0%5D%5Btype_id%5D=8917&amp;hva%5B0%5D%5Bfilter%5D%5B0%5D%5Bverdi%5D=&amp;hva%5B0%5D%5Bid%5D=49/når:2025-11-28", "Vegkart")</f>
        <v>Vegkart</v>
      </c>
      <c r="B2723">
        <v>261381176</v>
      </c>
      <c r="C2723">
        <v>49</v>
      </c>
      <c r="D2723" t="s">
        <v>8701</v>
      </c>
      <c r="E2723">
        <v>8917</v>
      </c>
      <c r="F2723" t="s">
        <v>23479</v>
      </c>
      <c r="G2723">
        <v>4</v>
      </c>
      <c r="H2723" t="s">
        <v>8765</v>
      </c>
      <c r="J2723" t="s">
        <v>8787</v>
      </c>
      <c r="K2723" t="s">
        <v>104</v>
      </c>
      <c r="L2723" t="s">
        <v>33</v>
      </c>
      <c r="M2723" t="s">
        <v>9015</v>
      </c>
      <c r="N2723" t="s">
        <v>9034</v>
      </c>
      <c r="O2723" t="s">
        <v>9035</v>
      </c>
      <c r="P2723" s="2" t="s">
        <v>37</v>
      </c>
      <c r="Q2723" t="s">
        <v>1208</v>
      </c>
      <c r="R2723">
        <v>0</v>
      </c>
      <c r="S2723">
        <v>33.340000000000003</v>
      </c>
      <c r="T2723" t="s">
        <v>9036</v>
      </c>
    </row>
    <row r="2724" spans="1:20" x14ac:dyDescent="0.25">
      <c r="A2724" s="1" t="str">
        <f>HYPERLINK("https://vegkart.atlas.vegvesen.no/#/@272137.8,6575644.1,18/hva:hva%5B0%5D%5Bfilter%5D%5B0%5D%5Boperator%5D=%21%3D&amp;hva%5B0%5D%5Bfilter%5D%5B0%5D%5Btype_id%5D=8917&amp;hva%5B0%5D%5Bfilter%5D%5B0%5D%5Bverdi%5D=&amp;hva%5B0%5D%5Bid%5D=49/når:2025-11-28", "Vegkart")</f>
        <v>Vegkart</v>
      </c>
      <c r="B2724">
        <v>261381526</v>
      </c>
      <c r="C2724">
        <v>49</v>
      </c>
      <c r="D2724" t="s">
        <v>8701</v>
      </c>
      <c r="E2724">
        <v>8917</v>
      </c>
      <c r="F2724" t="s">
        <v>23479</v>
      </c>
      <c r="G2724">
        <v>2</v>
      </c>
      <c r="H2724" t="s">
        <v>8765</v>
      </c>
      <c r="J2724" t="s">
        <v>8787</v>
      </c>
      <c r="K2724" t="s">
        <v>104</v>
      </c>
      <c r="L2724" t="s">
        <v>33</v>
      </c>
      <c r="M2724" t="s">
        <v>8774</v>
      </c>
      <c r="N2724" t="s">
        <v>9037</v>
      </c>
      <c r="O2724" t="s">
        <v>9038</v>
      </c>
      <c r="P2724" s="2" t="s">
        <v>37</v>
      </c>
      <c r="Q2724" t="s">
        <v>1208</v>
      </c>
      <c r="R2724">
        <v>0</v>
      </c>
      <c r="S2724">
        <v>26.43</v>
      </c>
      <c r="T2724" t="s">
        <v>9039</v>
      </c>
    </row>
    <row r="2725" spans="1:20" x14ac:dyDescent="0.25">
      <c r="A2725" s="1" t="str">
        <f>HYPERLINK("https://vegkart.atlas.vegvesen.no/#/@272404.9,6576107.0,18/hva:hva%5B0%5D%5Bfilter%5D%5B0%5D%5Boperator%5D=%21%3D&amp;hva%5B0%5D%5Bfilter%5D%5B0%5D%5Btype_id%5D=8917&amp;hva%5B0%5D%5Bfilter%5D%5B0%5D%5Bverdi%5D=&amp;hva%5B0%5D%5Bid%5D=49/når:2025-11-28", "Vegkart")</f>
        <v>Vegkart</v>
      </c>
      <c r="B2725">
        <v>261381558</v>
      </c>
      <c r="C2725">
        <v>49</v>
      </c>
      <c r="D2725" t="s">
        <v>8701</v>
      </c>
      <c r="E2725">
        <v>8917</v>
      </c>
      <c r="F2725" t="s">
        <v>23479</v>
      </c>
      <c r="G2725">
        <v>2</v>
      </c>
      <c r="H2725" t="s">
        <v>8765</v>
      </c>
      <c r="J2725" t="s">
        <v>8787</v>
      </c>
      <c r="K2725" t="s">
        <v>104</v>
      </c>
      <c r="L2725" t="s">
        <v>33</v>
      </c>
      <c r="M2725" t="s">
        <v>8774</v>
      </c>
      <c r="N2725" t="s">
        <v>9040</v>
      </c>
      <c r="O2725" t="s">
        <v>9041</v>
      </c>
      <c r="P2725" s="2" t="s">
        <v>37</v>
      </c>
      <c r="Q2725" t="s">
        <v>1208</v>
      </c>
      <c r="R2725">
        <v>0</v>
      </c>
      <c r="S2725">
        <v>23.41</v>
      </c>
      <c r="T2725" t="s">
        <v>9042</v>
      </c>
    </row>
    <row r="2726" spans="1:20" x14ac:dyDescent="0.25">
      <c r="A2726" s="1" t="str">
        <f>HYPERLINK("https://vegkart.atlas.vegvesen.no/#/@272787.9,6576476.8,18/hva:hva%5B0%5D%5Bfilter%5D%5B0%5D%5Boperator%5D=%21%3D&amp;hva%5B0%5D%5Bfilter%5D%5B0%5D%5Btype_id%5D=8917&amp;hva%5B0%5D%5Bfilter%5D%5B0%5D%5Bverdi%5D=&amp;hva%5B0%5D%5Bid%5D=49/når:2025-11-28", "Vegkart")</f>
        <v>Vegkart</v>
      </c>
      <c r="B2726">
        <v>261381598</v>
      </c>
      <c r="C2726">
        <v>49</v>
      </c>
      <c r="D2726" t="s">
        <v>8701</v>
      </c>
      <c r="E2726">
        <v>8917</v>
      </c>
      <c r="F2726" t="s">
        <v>23479</v>
      </c>
      <c r="G2726">
        <v>2</v>
      </c>
      <c r="H2726" t="s">
        <v>8765</v>
      </c>
      <c r="J2726" t="s">
        <v>8787</v>
      </c>
      <c r="K2726" t="s">
        <v>104</v>
      </c>
      <c r="L2726" t="s">
        <v>33</v>
      </c>
      <c r="M2726" t="s">
        <v>8774</v>
      </c>
      <c r="N2726" t="s">
        <v>9043</v>
      </c>
      <c r="O2726" t="s">
        <v>9044</v>
      </c>
      <c r="P2726" s="2" t="s">
        <v>37</v>
      </c>
      <c r="Q2726" t="s">
        <v>1208</v>
      </c>
      <c r="R2726">
        <v>0</v>
      </c>
      <c r="S2726">
        <v>31.68</v>
      </c>
      <c r="T2726" t="s">
        <v>9045</v>
      </c>
    </row>
    <row r="2727" spans="1:20" x14ac:dyDescent="0.25">
      <c r="A2727" s="1" t="str">
        <f>HYPERLINK("https://vegkart.atlas.vegvesen.no/#/@276918.0,6577197.9,18/hva:hva%5B0%5D%5Bfilter%5D%5B0%5D%5Boperator%5D=%21%3D&amp;hva%5B0%5D%5Bfilter%5D%5B0%5D%5Btype_id%5D=8917&amp;hva%5B0%5D%5Bfilter%5D%5B0%5D%5Bverdi%5D=&amp;hva%5B0%5D%5Bid%5D=49/når:2025-11-11", "Vegkart")</f>
        <v>Vegkart</v>
      </c>
      <c r="B2727">
        <v>261381781</v>
      </c>
      <c r="C2727">
        <v>49</v>
      </c>
      <c r="D2727" t="s">
        <v>8701</v>
      </c>
      <c r="E2727">
        <v>8917</v>
      </c>
      <c r="F2727" t="s">
        <v>23479</v>
      </c>
      <c r="G2727">
        <v>3</v>
      </c>
      <c r="H2727" t="s">
        <v>8773</v>
      </c>
      <c r="J2727" t="s">
        <v>1797</v>
      </c>
      <c r="K2727" t="s">
        <v>104</v>
      </c>
      <c r="L2727" t="s">
        <v>33</v>
      </c>
      <c r="M2727" t="s">
        <v>8774</v>
      </c>
      <c r="N2727" t="s">
        <v>9046</v>
      </c>
      <c r="O2727" t="s">
        <v>9047</v>
      </c>
      <c r="P2727" s="2" t="s">
        <v>37</v>
      </c>
      <c r="Q2727" t="s">
        <v>1208</v>
      </c>
      <c r="R2727">
        <v>0</v>
      </c>
      <c r="S2727">
        <v>61.7</v>
      </c>
      <c r="T2727" t="s">
        <v>9048</v>
      </c>
    </row>
    <row r="2728" spans="1:20" x14ac:dyDescent="0.25">
      <c r="A2728" s="1" t="str">
        <f>HYPERLINK("https://vegkart.atlas.vegvesen.no/#/@282037.7,6574680.2,18/hva:hva%5B0%5D%5Bfilter%5D%5B0%5D%5Boperator%5D=%21%3D&amp;hva%5B0%5D%5Bfilter%5D%5B0%5D%5Btype_id%5D=8917&amp;hva%5B0%5D%5Bfilter%5D%5B0%5D%5Bverdi%5D=&amp;hva%5B0%5D%5Bid%5D=49/når:2025-11-11", "Vegkart")</f>
        <v>Vegkart</v>
      </c>
      <c r="B2728">
        <v>262047381</v>
      </c>
      <c r="C2728">
        <v>49</v>
      </c>
      <c r="D2728" t="s">
        <v>8701</v>
      </c>
      <c r="E2728">
        <v>8917</v>
      </c>
      <c r="F2728" t="s">
        <v>23479</v>
      </c>
      <c r="G2728">
        <v>4</v>
      </c>
      <c r="H2728" t="s">
        <v>8773</v>
      </c>
      <c r="J2728" t="s">
        <v>1797</v>
      </c>
      <c r="K2728" t="s">
        <v>104</v>
      </c>
      <c r="L2728" t="s">
        <v>33</v>
      </c>
      <c r="M2728" t="s">
        <v>8802</v>
      </c>
      <c r="N2728" t="s">
        <v>9049</v>
      </c>
      <c r="O2728" t="s">
        <v>9050</v>
      </c>
      <c r="P2728" s="2" t="s">
        <v>37</v>
      </c>
      <c r="Q2728" t="s">
        <v>1208</v>
      </c>
      <c r="R2728">
        <v>0</v>
      </c>
      <c r="S2728">
        <v>19.940000000000001</v>
      </c>
      <c r="T2728" t="s">
        <v>9051</v>
      </c>
    </row>
    <row r="2729" spans="1:20" x14ac:dyDescent="0.25">
      <c r="A2729" s="1" t="str">
        <f>HYPERLINK("https://vegkart.atlas.vegvesen.no/#/@280972.5,6575860.6,18/hva:hva%5B0%5D%5Bfilter%5D%5B0%5D%5Boperator%5D=%21%3D&amp;hva%5B0%5D%5Bfilter%5D%5B0%5D%5Btype_id%5D=8917&amp;hva%5B0%5D%5Bfilter%5D%5B0%5D%5Bverdi%5D=&amp;hva%5B0%5D%5Bid%5D=49/når:2025-11-11", "Vegkart")</f>
        <v>Vegkart</v>
      </c>
      <c r="B2729">
        <v>262047431</v>
      </c>
      <c r="C2729">
        <v>49</v>
      </c>
      <c r="D2729" t="s">
        <v>8701</v>
      </c>
      <c r="E2729">
        <v>8917</v>
      </c>
      <c r="F2729" t="s">
        <v>23479</v>
      </c>
      <c r="G2729">
        <v>3</v>
      </c>
      <c r="H2729" t="s">
        <v>8773</v>
      </c>
      <c r="J2729" t="s">
        <v>1797</v>
      </c>
      <c r="K2729" t="s">
        <v>104</v>
      </c>
      <c r="L2729" t="s">
        <v>33</v>
      </c>
      <c r="M2729" t="s">
        <v>8802</v>
      </c>
      <c r="N2729" t="s">
        <v>9052</v>
      </c>
      <c r="O2729" t="s">
        <v>9053</v>
      </c>
      <c r="P2729" s="2" t="s">
        <v>37</v>
      </c>
      <c r="Q2729" t="s">
        <v>1208</v>
      </c>
      <c r="R2729">
        <v>0</v>
      </c>
      <c r="S2729">
        <v>19.87</v>
      </c>
      <c r="T2729" t="s">
        <v>9054</v>
      </c>
    </row>
    <row r="2730" spans="1:20" x14ac:dyDescent="0.25">
      <c r="A2730" s="1" t="str">
        <f>HYPERLINK("https://vegkart.atlas.vegvesen.no/#/@278734.6,6577560.0,18/hva:hva%5B0%5D%5Bfilter%5D%5B0%5D%5Boperator%5D=%21%3D&amp;hva%5B0%5D%5Bfilter%5D%5B0%5D%5Btype_id%5D=8917&amp;hva%5B0%5D%5Bfilter%5D%5B0%5D%5Bverdi%5D=&amp;hva%5B0%5D%5Bid%5D=49/når:2025-11-11", "Vegkart")</f>
        <v>Vegkart</v>
      </c>
      <c r="B2730">
        <v>262148371</v>
      </c>
      <c r="C2730">
        <v>49</v>
      </c>
      <c r="D2730" t="s">
        <v>8701</v>
      </c>
      <c r="E2730">
        <v>8917</v>
      </c>
      <c r="F2730" t="s">
        <v>23479</v>
      </c>
      <c r="G2730">
        <v>2</v>
      </c>
      <c r="H2730" t="s">
        <v>8773</v>
      </c>
      <c r="J2730" t="s">
        <v>5951</v>
      </c>
      <c r="K2730" t="s">
        <v>104</v>
      </c>
      <c r="L2730" t="s">
        <v>33</v>
      </c>
      <c r="M2730" t="s">
        <v>8774</v>
      </c>
      <c r="N2730" t="s">
        <v>9055</v>
      </c>
      <c r="O2730" t="s">
        <v>9056</v>
      </c>
      <c r="P2730" s="2" t="s">
        <v>37</v>
      </c>
      <c r="Q2730" t="s">
        <v>1208</v>
      </c>
      <c r="R2730">
        <v>0</v>
      </c>
      <c r="S2730">
        <v>25.71</v>
      </c>
      <c r="T2730" t="s">
        <v>9057</v>
      </c>
    </row>
    <row r="2731" spans="1:20" x14ac:dyDescent="0.25">
      <c r="A2731" s="1" t="str">
        <f>HYPERLINK("https://vegkart.atlas.vegvesen.no/#/@280490.1,6578406.0,18/hva:hva%5B0%5D%5Bfilter%5D%5B0%5D%5Boperator%5D=%21%3D&amp;hva%5B0%5D%5Bfilter%5D%5B0%5D%5Btype_id%5D=8917&amp;hva%5B0%5D%5Bfilter%5D%5B0%5D%5Bverdi%5D=&amp;hva%5B0%5D%5Bid%5D=49/når:2025-11-11", "Vegkart")</f>
        <v>Vegkart</v>
      </c>
      <c r="B2731">
        <v>262487222</v>
      </c>
      <c r="C2731">
        <v>49</v>
      </c>
      <c r="D2731" t="s">
        <v>8701</v>
      </c>
      <c r="E2731">
        <v>8917</v>
      </c>
      <c r="F2731" t="s">
        <v>23479</v>
      </c>
      <c r="G2731">
        <v>3</v>
      </c>
      <c r="H2731" t="s">
        <v>8773</v>
      </c>
      <c r="J2731" t="s">
        <v>5951</v>
      </c>
      <c r="K2731" t="s">
        <v>104</v>
      </c>
      <c r="L2731" t="s">
        <v>33</v>
      </c>
      <c r="M2731" t="s">
        <v>9058</v>
      </c>
      <c r="N2731" t="s">
        <v>9059</v>
      </c>
      <c r="O2731" t="s">
        <v>9060</v>
      </c>
      <c r="P2731" s="2" t="s">
        <v>37</v>
      </c>
      <c r="Q2731" t="s">
        <v>1208</v>
      </c>
      <c r="R2731">
        <v>0</v>
      </c>
      <c r="S2731">
        <v>15.24</v>
      </c>
      <c r="T2731" t="s">
        <v>9061</v>
      </c>
    </row>
    <row r="2732" spans="1:20" x14ac:dyDescent="0.25">
      <c r="A2732" s="1" t="str">
        <f>HYPERLINK("https://vegkart.atlas.vegvesen.no/#/@280716.1,6579107.0,18/hva:hva%5B0%5D%5Bfilter%5D%5B0%5D%5Boperator%5D=%21%3D&amp;hva%5B0%5D%5Bfilter%5D%5B0%5D%5Btype_id%5D=8917&amp;hva%5B0%5D%5Bfilter%5D%5B0%5D%5Bverdi%5D=&amp;hva%5B0%5D%5Bid%5D=49/når:2025-11-11", "Vegkart")</f>
        <v>Vegkart</v>
      </c>
      <c r="B2732">
        <v>262487252</v>
      </c>
      <c r="C2732">
        <v>49</v>
      </c>
      <c r="D2732" t="s">
        <v>8701</v>
      </c>
      <c r="E2732">
        <v>8917</v>
      </c>
      <c r="F2732" t="s">
        <v>23479</v>
      </c>
      <c r="G2732">
        <v>3</v>
      </c>
      <c r="H2732" t="s">
        <v>8773</v>
      </c>
      <c r="J2732" t="s">
        <v>5951</v>
      </c>
      <c r="K2732" t="s">
        <v>104</v>
      </c>
      <c r="L2732" t="s">
        <v>33</v>
      </c>
      <c r="M2732" t="s">
        <v>9058</v>
      </c>
      <c r="N2732" t="s">
        <v>9062</v>
      </c>
      <c r="O2732" t="s">
        <v>9063</v>
      </c>
      <c r="P2732" s="2" t="s">
        <v>37</v>
      </c>
      <c r="Q2732" t="s">
        <v>1208</v>
      </c>
      <c r="R2732">
        <v>0</v>
      </c>
      <c r="S2732">
        <v>15.88</v>
      </c>
      <c r="T2732" t="s">
        <v>9064</v>
      </c>
    </row>
    <row r="2733" spans="1:20" x14ac:dyDescent="0.25">
      <c r="A2733" s="1" t="str">
        <f>HYPERLINK("https://vegkart.atlas.vegvesen.no/#/@280814.4,6580012.2,18/hva:hva%5B0%5D%5Bfilter%5D%5B0%5D%5Boperator%5D=%21%3D&amp;hva%5B0%5D%5Bfilter%5D%5B0%5D%5Btype_id%5D=8917&amp;hva%5B0%5D%5Bfilter%5D%5B0%5D%5Bverdi%5D=&amp;hva%5B0%5D%5Bid%5D=49/når:2025-11-11", "Vegkart")</f>
        <v>Vegkart</v>
      </c>
      <c r="B2733">
        <v>262487281</v>
      </c>
      <c r="C2733">
        <v>49</v>
      </c>
      <c r="D2733" t="s">
        <v>8701</v>
      </c>
      <c r="E2733">
        <v>8917</v>
      </c>
      <c r="F2733" t="s">
        <v>23479</v>
      </c>
      <c r="G2733">
        <v>3</v>
      </c>
      <c r="H2733" t="s">
        <v>8773</v>
      </c>
      <c r="J2733" t="s">
        <v>5951</v>
      </c>
      <c r="K2733" t="s">
        <v>104</v>
      </c>
      <c r="L2733" t="s">
        <v>33</v>
      </c>
      <c r="M2733" t="s">
        <v>9058</v>
      </c>
      <c r="N2733" t="s">
        <v>9065</v>
      </c>
      <c r="O2733" t="s">
        <v>9066</v>
      </c>
      <c r="P2733" s="2" t="s">
        <v>37</v>
      </c>
      <c r="Q2733" t="s">
        <v>1208</v>
      </c>
      <c r="R2733">
        <v>0</v>
      </c>
      <c r="S2733">
        <v>21.46</v>
      </c>
      <c r="T2733" t="s">
        <v>9067</v>
      </c>
    </row>
    <row r="2734" spans="1:20" x14ac:dyDescent="0.25">
      <c r="A2734" s="1" t="str">
        <f>HYPERLINK("https://vegkart.atlas.vegvesen.no/#/@281472.2,6581748.3,18/hva:hva%5B0%5D%5Bfilter%5D%5B0%5D%5Boperator%5D=%21%3D&amp;hva%5B0%5D%5Bfilter%5D%5B0%5D%5Btype_id%5D=8917&amp;hva%5B0%5D%5Bfilter%5D%5B0%5D%5Bverdi%5D=&amp;hva%5B0%5D%5Bid%5D=49/når:2025-11-11", "Vegkart")</f>
        <v>Vegkart</v>
      </c>
      <c r="B2734">
        <v>262487312</v>
      </c>
      <c r="C2734">
        <v>49</v>
      </c>
      <c r="D2734" t="s">
        <v>8701</v>
      </c>
      <c r="E2734">
        <v>8917</v>
      </c>
      <c r="F2734" t="s">
        <v>23479</v>
      </c>
      <c r="G2734">
        <v>3</v>
      </c>
      <c r="H2734" t="s">
        <v>8773</v>
      </c>
      <c r="J2734" t="s">
        <v>9068</v>
      </c>
      <c r="K2734" t="s">
        <v>104</v>
      </c>
      <c r="L2734" t="s">
        <v>33</v>
      </c>
      <c r="M2734" t="s">
        <v>9058</v>
      </c>
      <c r="N2734" t="s">
        <v>9069</v>
      </c>
      <c r="O2734" t="s">
        <v>9070</v>
      </c>
      <c r="P2734" s="2" t="s">
        <v>37</v>
      </c>
      <c r="Q2734" t="s">
        <v>1208</v>
      </c>
      <c r="R2734">
        <v>0</v>
      </c>
      <c r="S2734">
        <v>16.89</v>
      </c>
      <c r="T2734" t="s">
        <v>9071</v>
      </c>
    </row>
    <row r="2735" spans="1:20" x14ac:dyDescent="0.25">
      <c r="A2735" s="1" t="str">
        <f>HYPERLINK("https://vegkart.atlas.vegvesen.no/#/@255726.9,6593453.0,18/hva:hva%5B0%5D%5Bfilter%5D%5B0%5D%5Boperator%5D=%21%3D&amp;hva%5B0%5D%5Bfilter%5D%5B0%5D%5Btype_id%5D=8917&amp;hva%5B0%5D%5Bfilter%5D%5B0%5D%5Bverdi%5D=&amp;hva%5B0%5D%5Bid%5D=49/når:2025-10-30", "Vegkart")</f>
        <v>Vegkart</v>
      </c>
      <c r="B2735">
        <v>263011428</v>
      </c>
      <c r="C2735">
        <v>49</v>
      </c>
      <c r="D2735" t="s">
        <v>8701</v>
      </c>
      <c r="E2735">
        <v>8917</v>
      </c>
      <c r="F2735" t="s">
        <v>23479</v>
      </c>
      <c r="G2735">
        <v>2</v>
      </c>
      <c r="H2735" t="s">
        <v>8750</v>
      </c>
      <c r="J2735" t="s">
        <v>5951</v>
      </c>
      <c r="K2735" t="s">
        <v>104</v>
      </c>
      <c r="L2735" t="s">
        <v>33</v>
      </c>
      <c r="M2735" t="s">
        <v>8802</v>
      </c>
      <c r="N2735" t="s">
        <v>9072</v>
      </c>
      <c r="O2735" t="s">
        <v>9073</v>
      </c>
      <c r="P2735" s="2" t="s">
        <v>37</v>
      </c>
      <c r="Q2735" t="s">
        <v>1208</v>
      </c>
      <c r="R2735">
        <v>0</v>
      </c>
      <c r="S2735">
        <v>43.34</v>
      </c>
      <c r="T2735" t="s">
        <v>9074</v>
      </c>
    </row>
    <row r="2736" spans="1:20" x14ac:dyDescent="0.25">
      <c r="A2736" s="1" t="str">
        <f>HYPERLINK("https://vegkart.atlas.vegvesen.no/#/@255062.0,6594709.9,18/hva:hva%5B0%5D%5Bfilter%5D%5B0%5D%5Boperator%5D=%21%3D&amp;hva%5B0%5D%5Bfilter%5D%5B0%5D%5Btype_id%5D=8917&amp;hva%5B0%5D%5Bfilter%5D%5B0%5D%5Bverdi%5D=&amp;hva%5B0%5D%5Bid%5D=49/når:2025-10-30", "Vegkart")</f>
        <v>Vegkart</v>
      </c>
      <c r="B2736">
        <v>263011476</v>
      </c>
      <c r="C2736">
        <v>49</v>
      </c>
      <c r="D2736" t="s">
        <v>8701</v>
      </c>
      <c r="E2736">
        <v>8917</v>
      </c>
      <c r="F2736" t="s">
        <v>23479</v>
      </c>
      <c r="G2736">
        <v>3</v>
      </c>
      <c r="H2736" t="s">
        <v>8750</v>
      </c>
      <c r="J2736" t="s">
        <v>5951</v>
      </c>
      <c r="K2736" t="s">
        <v>104</v>
      </c>
      <c r="L2736" t="s">
        <v>33</v>
      </c>
      <c r="M2736" t="s">
        <v>8802</v>
      </c>
      <c r="N2736" t="s">
        <v>9075</v>
      </c>
      <c r="O2736" t="s">
        <v>9076</v>
      </c>
      <c r="P2736" s="2" t="s">
        <v>37</v>
      </c>
      <c r="Q2736" t="s">
        <v>1208</v>
      </c>
      <c r="R2736">
        <v>0</v>
      </c>
      <c r="S2736">
        <v>44.59</v>
      </c>
      <c r="T2736" t="s">
        <v>9077</v>
      </c>
    </row>
    <row r="2737" spans="1:20" x14ac:dyDescent="0.25">
      <c r="A2737" s="1" t="str">
        <f>HYPERLINK("https://vegkart.atlas.vegvesen.no/#/@254245.7,6595235.9,18/hva:hva%5B0%5D%5Bfilter%5D%5B0%5D%5Boperator%5D=%21%3D&amp;hva%5B0%5D%5Bfilter%5D%5B0%5D%5Btype_id%5D=8917&amp;hva%5B0%5D%5Bfilter%5D%5B0%5D%5Bverdi%5D=&amp;hva%5B0%5D%5Bid%5D=49/når:2025-10-30", "Vegkart")</f>
        <v>Vegkart</v>
      </c>
      <c r="B2737">
        <v>263011586</v>
      </c>
      <c r="C2737">
        <v>49</v>
      </c>
      <c r="D2737" t="s">
        <v>8701</v>
      </c>
      <c r="E2737">
        <v>8917</v>
      </c>
      <c r="F2737" t="s">
        <v>23479</v>
      </c>
      <c r="G2737">
        <v>3</v>
      </c>
      <c r="H2737" t="s">
        <v>8750</v>
      </c>
      <c r="J2737" t="s">
        <v>5951</v>
      </c>
      <c r="K2737" t="s">
        <v>104</v>
      </c>
      <c r="L2737" t="s">
        <v>33</v>
      </c>
      <c r="M2737" t="s">
        <v>8802</v>
      </c>
      <c r="N2737" t="s">
        <v>9078</v>
      </c>
      <c r="O2737" t="s">
        <v>9079</v>
      </c>
      <c r="P2737" s="2" t="s">
        <v>37</v>
      </c>
      <c r="Q2737" t="s">
        <v>1208</v>
      </c>
      <c r="R2737">
        <v>0</v>
      </c>
      <c r="S2737">
        <v>55.2</v>
      </c>
      <c r="T2737" t="s">
        <v>9080</v>
      </c>
    </row>
    <row r="2738" spans="1:20" x14ac:dyDescent="0.25">
      <c r="A2738" s="1" t="str">
        <f>HYPERLINK("https://vegkart.atlas.vegvesen.no/#/@283092.3,6566213.7,18/hva:hva%5B0%5D%5Bfilter%5D%5B0%5D%5Boperator%5D=%21%3D&amp;hva%5B0%5D%5Bfilter%5D%5B0%5D%5Btype_id%5D=8917&amp;hva%5B0%5D%5Bfilter%5D%5B0%5D%5Bverdi%5D=&amp;hva%5B0%5D%5Bid%5D=49/når:2025-11-11", "Vegkart")</f>
        <v>Vegkart</v>
      </c>
      <c r="B2738">
        <v>265615769</v>
      </c>
      <c r="C2738">
        <v>49</v>
      </c>
      <c r="D2738" t="s">
        <v>8701</v>
      </c>
      <c r="E2738">
        <v>8917</v>
      </c>
      <c r="F2738" t="s">
        <v>23479</v>
      </c>
      <c r="G2738">
        <v>3</v>
      </c>
      <c r="H2738" t="s">
        <v>8773</v>
      </c>
      <c r="J2738" t="s">
        <v>5951</v>
      </c>
      <c r="K2738" t="s">
        <v>104</v>
      </c>
      <c r="L2738" t="s">
        <v>33</v>
      </c>
      <c r="M2738" t="s">
        <v>9081</v>
      </c>
      <c r="N2738" t="s">
        <v>9082</v>
      </c>
      <c r="O2738" t="s">
        <v>9083</v>
      </c>
      <c r="P2738" s="2" t="s">
        <v>37</v>
      </c>
      <c r="Q2738" t="s">
        <v>1208</v>
      </c>
      <c r="R2738">
        <v>0</v>
      </c>
      <c r="S2738">
        <v>17.96</v>
      </c>
      <c r="T2738" t="s">
        <v>9084</v>
      </c>
    </row>
    <row r="2739" spans="1:20" x14ac:dyDescent="0.25">
      <c r="A2739" s="1" t="str">
        <f>HYPERLINK("https://vegkart.atlas.vegvesen.no/#/@293554.1,6559396.3,18/hva:hva%5B0%5D%5Bfilter%5D%5B0%5D%5Boperator%5D=%21%3D&amp;hva%5B0%5D%5Bfilter%5D%5B0%5D%5Btype_id%5D=8917&amp;hva%5B0%5D%5Bfilter%5D%5B0%5D%5Bverdi%5D=&amp;hva%5B0%5D%5Bid%5D=49/når:2025-10-15", "Vegkart")</f>
        <v>Vegkart</v>
      </c>
      <c r="B2739">
        <v>267062843</v>
      </c>
      <c r="C2739">
        <v>49</v>
      </c>
      <c r="D2739" t="s">
        <v>8701</v>
      </c>
      <c r="E2739">
        <v>8917</v>
      </c>
      <c r="F2739" t="s">
        <v>23479</v>
      </c>
      <c r="G2739">
        <v>2</v>
      </c>
      <c r="H2739" t="s">
        <v>683</v>
      </c>
      <c r="J2739" t="s">
        <v>5951</v>
      </c>
      <c r="K2739" t="s">
        <v>104</v>
      </c>
      <c r="L2739" t="s">
        <v>33</v>
      </c>
      <c r="M2739" t="s">
        <v>8734</v>
      </c>
      <c r="N2739" t="s">
        <v>9085</v>
      </c>
      <c r="O2739" t="s">
        <v>9086</v>
      </c>
      <c r="P2739" s="2" t="s">
        <v>37</v>
      </c>
      <c r="Q2739" t="s">
        <v>1208</v>
      </c>
      <c r="R2739">
        <v>0</v>
      </c>
      <c r="S2739">
        <v>23.39</v>
      </c>
      <c r="T2739" t="s">
        <v>9087</v>
      </c>
    </row>
    <row r="2740" spans="1:20" x14ac:dyDescent="0.25">
      <c r="A2740" s="1" t="str">
        <f>HYPERLINK("https://vegkart.atlas.vegvesen.no/#/@310890.1,6597644.0,18/hva:hva%5B0%5D%5Bfilter%5D%5B0%5D%5Boperator%5D=%21%3D&amp;hva%5B0%5D%5Bfilter%5D%5B0%5D%5Btype_id%5D=8917&amp;hva%5B0%5D%5Bfilter%5D%5B0%5D%5Bverdi%5D=&amp;hva%5B0%5D%5Bid%5D=49/når:2025-09-10", "Vegkart")</f>
        <v>Vegkart</v>
      </c>
      <c r="B2740">
        <v>268478939</v>
      </c>
      <c r="C2740">
        <v>49</v>
      </c>
      <c r="D2740" t="s">
        <v>8701</v>
      </c>
      <c r="E2740">
        <v>8917</v>
      </c>
      <c r="F2740" t="s">
        <v>23479</v>
      </c>
      <c r="G2740">
        <v>2</v>
      </c>
      <c r="H2740" t="s">
        <v>8733</v>
      </c>
      <c r="J2740" t="s">
        <v>5951</v>
      </c>
      <c r="K2740" t="s">
        <v>104</v>
      </c>
      <c r="L2740" t="s">
        <v>33</v>
      </c>
      <c r="M2740" t="s">
        <v>8734</v>
      </c>
      <c r="N2740" t="s">
        <v>9088</v>
      </c>
      <c r="O2740" t="s">
        <v>9089</v>
      </c>
      <c r="P2740" s="2" t="s">
        <v>37</v>
      </c>
      <c r="Q2740" t="s">
        <v>1208</v>
      </c>
      <c r="R2740">
        <v>0</v>
      </c>
      <c r="S2740">
        <v>20.69</v>
      </c>
      <c r="T2740" t="s">
        <v>9090</v>
      </c>
    </row>
    <row r="2741" spans="1:20" x14ac:dyDescent="0.25">
      <c r="A2741" s="1" t="str">
        <f>HYPERLINK("https://vegkart.atlas.vegvesen.no/#/@310848.0,6598259.9,18/hva:hva%5B0%5D%5Bfilter%5D%5B0%5D%5Boperator%5D=%21%3D&amp;hva%5B0%5D%5Bfilter%5D%5B0%5D%5Btype_id%5D=8917&amp;hva%5B0%5D%5Bfilter%5D%5B0%5D%5Bverdi%5D=&amp;hva%5B0%5D%5Bid%5D=49/når:2025-09-10", "Vegkart")</f>
        <v>Vegkart</v>
      </c>
      <c r="B2741">
        <v>268478951</v>
      </c>
      <c r="C2741">
        <v>49</v>
      </c>
      <c r="D2741" t="s">
        <v>8701</v>
      </c>
      <c r="E2741">
        <v>8917</v>
      </c>
      <c r="F2741" t="s">
        <v>23479</v>
      </c>
      <c r="G2741">
        <v>5</v>
      </c>
      <c r="H2741" t="s">
        <v>8733</v>
      </c>
      <c r="J2741" t="s">
        <v>5951</v>
      </c>
      <c r="K2741" t="s">
        <v>104</v>
      </c>
      <c r="L2741" t="s">
        <v>33</v>
      </c>
      <c r="M2741" t="s">
        <v>8734</v>
      </c>
      <c r="N2741" t="s">
        <v>9091</v>
      </c>
      <c r="O2741" t="s">
        <v>9092</v>
      </c>
      <c r="P2741" s="2" t="s">
        <v>37</v>
      </c>
      <c r="Q2741" t="s">
        <v>1208</v>
      </c>
      <c r="R2741">
        <v>0</v>
      </c>
      <c r="S2741">
        <v>20.36</v>
      </c>
      <c r="T2741" t="s">
        <v>9093</v>
      </c>
    </row>
    <row r="2742" spans="1:20" x14ac:dyDescent="0.25">
      <c r="A2742" s="1" t="str">
        <f>HYPERLINK("https://vegkart.atlas.vegvesen.no/#/@310850.6,6598296.5,18/hva:hva%5B0%5D%5Bfilter%5D%5B0%5D%5Boperator%5D=%21%3D&amp;hva%5B0%5D%5Bfilter%5D%5B0%5D%5Btype_id%5D=8917&amp;hva%5B0%5D%5Bfilter%5D%5B0%5D%5Bverdi%5D=&amp;hva%5B0%5D%5Bid%5D=49/når:2025-09-10", "Vegkart")</f>
        <v>Vegkart</v>
      </c>
      <c r="B2742">
        <v>268478957</v>
      </c>
      <c r="C2742">
        <v>49</v>
      </c>
      <c r="D2742" t="s">
        <v>8701</v>
      </c>
      <c r="E2742">
        <v>8917</v>
      </c>
      <c r="F2742" t="s">
        <v>23479</v>
      </c>
      <c r="G2742">
        <v>4</v>
      </c>
      <c r="H2742" t="s">
        <v>8733</v>
      </c>
      <c r="J2742" t="s">
        <v>5951</v>
      </c>
      <c r="K2742" t="s">
        <v>104</v>
      </c>
      <c r="L2742" t="s">
        <v>33</v>
      </c>
      <c r="M2742" t="s">
        <v>8734</v>
      </c>
      <c r="N2742" t="s">
        <v>9094</v>
      </c>
      <c r="O2742" t="s">
        <v>9095</v>
      </c>
      <c r="P2742" s="2" t="s">
        <v>37</v>
      </c>
      <c r="Q2742" t="s">
        <v>1208</v>
      </c>
      <c r="R2742">
        <v>0</v>
      </c>
      <c r="S2742">
        <v>15.08</v>
      </c>
      <c r="T2742" t="s">
        <v>9096</v>
      </c>
    </row>
    <row r="2743" spans="1:20" x14ac:dyDescent="0.25">
      <c r="A2743" s="1" t="str">
        <f>HYPERLINK("https://vegkart.atlas.vegvesen.no/#/@296015.3,7045064.6,18/hva:hva%5B0%5D%5Bfilter%5D%5B0%5D%5Boperator%5D=%21%3D&amp;hva%5B0%5D%5Bfilter%5D%5B0%5D%5Btype_id%5D=8917&amp;hva%5B0%5D%5Bfilter%5D%5B0%5D%5Bverdi%5D=&amp;hva%5B0%5D%5Bid%5D=49/når:2024-09-02", "Vegkart")</f>
        <v>Vegkart</v>
      </c>
      <c r="B2743">
        <v>268496410</v>
      </c>
      <c r="C2743">
        <v>49</v>
      </c>
      <c r="D2743" t="s">
        <v>8701</v>
      </c>
      <c r="E2743">
        <v>8917</v>
      </c>
      <c r="F2743" t="s">
        <v>23479</v>
      </c>
      <c r="G2743">
        <v>2</v>
      </c>
      <c r="H2743" t="s">
        <v>2327</v>
      </c>
      <c r="J2743" t="s">
        <v>5951</v>
      </c>
      <c r="K2743" t="s">
        <v>192</v>
      </c>
      <c r="L2743" t="s">
        <v>80</v>
      </c>
      <c r="M2743" t="s">
        <v>105</v>
      </c>
      <c r="N2743" t="s">
        <v>9097</v>
      </c>
      <c r="O2743" t="s">
        <v>9098</v>
      </c>
      <c r="P2743" s="2" t="s">
        <v>26</v>
      </c>
      <c r="Q2743" t="s">
        <v>50</v>
      </c>
      <c r="R2743">
        <v>15</v>
      </c>
      <c r="S2743">
        <v>15</v>
      </c>
      <c r="T2743" t="s">
        <v>9099</v>
      </c>
    </row>
    <row r="2744" spans="1:20" x14ac:dyDescent="0.25">
      <c r="A2744" s="1" t="str">
        <f>HYPERLINK("https://vegkart.atlas.vegvesen.no/#/@289985.3,6609885.2,18/hva:hva%5B0%5D%5Bfilter%5D%5B0%5D%5Boperator%5D=%21%3D&amp;hva%5B0%5D%5Bfilter%5D%5B0%5D%5Btype_id%5D=8917&amp;hva%5B0%5D%5Bfilter%5D%5B0%5D%5Bverdi%5D=&amp;hva%5B0%5D%5Bid%5D=49/når:2010-11-10", "Vegkart")</f>
        <v>Vegkart</v>
      </c>
      <c r="B2744">
        <v>268704565</v>
      </c>
      <c r="C2744">
        <v>49</v>
      </c>
      <c r="D2744" t="s">
        <v>8701</v>
      </c>
      <c r="E2744">
        <v>8917</v>
      </c>
      <c r="F2744" t="s">
        <v>23479</v>
      </c>
      <c r="G2744">
        <v>1</v>
      </c>
      <c r="H2744" t="s">
        <v>9100</v>
      </c>
      <c r="J2744" t="s">
        <v>5951</v>
      </c>
      <c r="K2744" t="s">
        <v>104</v>
      </c>
      <c r="L2744" t="s">
        <v>80</v>
      </c>
      <c r="M2744" t="s">
        <v>53</v>
      </c>
      <c r="N2744" t="s">
        <v>9101</v>
      </c>
      <c r="O2744" t="s">
        <v>9102</v>
      </c>
      <c r="P2744" s="2" t="s">
        <v>26</v>
      </c>
      <c r="Q2744" t="s">
        <v>50</v>
      </c>
      <c r="R2744">
        <v>67.650000000000006</v>
      </c>
      <c r="S2744">
        <v>67.650000000000006</v>
      </c>
      <c r="T2744" t="s">
        <v>9103</v>
      </c>
    </row>
    <row r="2745" spans="1:20" x14ac:dyDescent="0.25">
      <c r="A2745" s="1" t="str">
        <f>HYPERLINK("https://vegkart.atlas.vegvesen.no/#/@291819.7,6559627.1,18/hva:hva%5B0%5D%5Bfilter%5D%5B0%5D%5Boperator%5D=%21%3D&amp;hva%5B0%5D%5Bfilter%5D%5B0%5D%5Btype_id%5D=8917&amp;hva%5B0%5D%5Bfilter%5D%5B0%5D%5Bverdi%5D=&amp;hva%5B0%5D%5Bid%5D=49/når:2025-10-15", "Vegkart")</f>
        <v>Vegkart</v>
      </c>
      <c r="B2745">
        <v>268766573</v>
      </c>
      <c r="C2745">
        <v>49</v>
      </c>
      <c r="D2745" t="s">
        <v>8701</v>
      </c>
      <c r="E2745">
        <v>8917</v>
      </c>
      <c r="F2745" t="s">
        <v>23479</v>
      </c>
      <c r="G2745">
        <v>3</v>
      </c>
      <c r="H2745" t="s">
        <v>683</v>
      </c>
      <c r="J2745" t="s">
        <v>5951</v>
      </c>
      <c r="K2745" t="s">
        <v>104</v>
      </c>
      <c r="L2745" t="s">
        <v>33</v>
      </c>
      <c r="M2745" t="s">
        <v>8959</v>
      </c>
      <c r="N2745" t="s">
        <v>9104</v>
      </c>
      <c r="O2745" t="s">
        <v>9105</v>
      </c>
      <c r="P2745" s="2" t="s">
        <v>37</v>
      </c>
      <c r="Q2745" t="s">
        <v>1208</v>
      </c>
      <c r="R2745">
        <v>0</v>
      </c>
      <c r="S2745">
        <v>19.8</v>
      </c>
      <c r="T2745" t="s">
        <v>9106</v>
      </c>
    </row>
    <row r="2746" spans="1:20" x14ac:dyDescent="0.25">
      <c r="A2746" s="1" t="str">
        <f>HYPERLINK("https://vegkart.atlas.vegvesen.no/#/@275690.4,6570911.3,18/hva:hva%5B0%5D%5Bfilter%5D%5B0%5D%5Boperator%5D=%21%3D&amp;hva%5B0%5D%5Bfilter%5D%5B0%5D%5Btype_id%5D=8917&amp;hva%5B0%5D%5Bfilter%5D%5B0%5D%5Bverdi%5D=&amp;hva%5B0%5D%5Bid%5D=49/når:2025-11-28", "Vegkart")</f>
        <v>Vegkart</v>
      </c>
      <c r="B2746">
        <v>268830723</v>
      </c>
      <c r="C2746">
        <v>49</v>
      </c>
      <c r="D2746" t="s">
        <v>8701</v>
      </c>
      <c r="E2746">
        <v>8917</v>
      </c>
      <c r="F2746" t="s">
        <v>23479</v>
      </c>
      <c r="G2746">
        <v>3</v>
      </c>
      <c r="H2746" t="s">
        <v>8765</v>
      </c>
      <c r="J2746" t="s">
        <v>8766</v>
      </c>
      <c r="K2746" t="s">
        <v>104</v>
      </c>
      <c r="L2746" t="s">
        <v>33</v>
      </c>
      <c r="M2746" t="s">
        <v>8899</v>
      </c>
      <c r="N2746" t="s">
        <v>9107</v>
      </c>
      <c r="O2746" t="s">
        <v>9108</v>
      </c>
      <c r="P2746" s="2" t="s">
        <v>37</v>
      </c>
      <c r="Q2746" t="s">
        <v>1208</v>
      </c>
      <c r="R2746">
        <v>0</v>
      </c>
      <c r="S2746">
        <v>23.02</v>
      </c>
      <c r="T2746" t="s">
        <v>9109</v>
      </c>
    </row>
    <row r="2747" spans="1:20" x14ac:dyDescent="0.25">
      <c r="A2747" s="1" t="str">
        <f>HYPERLINK("https://vegkart.atlas.vegvesen.no/#/@91020.3,6468107.3,18/hva:hva%5B0%5D%5Bfilter%5D%5B0%5D%5Boperator%5D=%21%3D&amp;hva%5B0%5D%5Bfilter%5D%5B0%5D%5Btype_id%5D=8917&amp;hva%5B0%5D%5Bfilter%5D%5B0%5D%5Bverdi%5D=&amp;hva%5B0%5D%5Bid%5D=49/når:2023-08-30", "Vegkart")</f>
        <v>Vegkart</v>
      </c>
      <c r="B2747">
        <v>271473640</v>
      </c>
      <c r="C2747">
        <v>49</v>
      </c>
      <c r="D2747" t="s">
        <v>8701</v>
      </c>
      <c r="E2747">
        <v>8917</v>
      </c>
      <c r="F2747" t="s">
        <v>23479</v>
      </c>
      <c r="G2747">
        <v>2</v>
      </c>
      <c r="H2747" t="s">
        <v>9110</v>
      </c>
      <c r="J2747" t="s">
        <v>5951</v>
      </c>
      <c r="K2747" t="s">
        <v>86</v>
      </c>
      <c r="L2747" t="s">
        <v>80</v>
      </c>
      <c r="M2747" t="s">
        <v>53</v>
      </c>
      <c r="N2747" t="s">
        <v>9111</v>
      </c>
      <c r="O2747" t="s">
        <v>9112</v>
      </c>
      <c r="P2747" s="2" t="s">
        <v>37</v>
      </c>
      <c r="Q2747" t="s">
        <v>1208</v>
      </c>
      <c r="R2747">
        <v>1.75</v>
      </c>
      <c r="S2747">
        <v>55.2</v>
      </c>
      <c r="T2747" t="s">
        <v>9113</v>
      </c>
    </row>
    <row r="2748" spans="1:20" x14ac:dyDescent="0.25">
      <c r="A2748" s="1" t="str">
        <f>HYPERLINK("https://vegkart.atlas.vegvesen.no/#/@254743.9,6595028.5,18/hva:hva%5B0%5D%5Bfilter%5D%5B0%5D%5Boperator%5D=%21%3D&amp;hva%5B0%5D%5Bfilter%5D%5B0%5D%5Btype_id%5D=8917&amp;hva%5B0%5D%5Bfilter%5D%5B0%5D%5Bverdi%5D=&amp;hva%5B0%5D%5Bid%5D=49/når:2025-10-30", "Vegkart")</f>
        <v>Vegkart</v>
      </c>
      <c r="B2748">
        <v>271842714</v>
      </c>
      <c r="C2748">
        <v>49</v>
      </c>
      <c r="D2748" t="s">
        <v>8701</v>
      </c>
      <c r="E2748">
        <v>8917</v>
      </c>
      <c r="F2748" t="s">
        <v>23479</v>
      </c>
      <c r="G2748">
        <v>3</v>
      </c>
      <c r="H2748" t="s">
        <v>8750</v>
      </c>
      <c r="J2748" t="s">
        <v>5951</v>
      </c>
      <c r="K2748" t="s">
        <v>104</v>
      </c>
      <c r="L2748" t="s">
        <v>33</v>
      </c>
      <c r="M2748" t="s">
        <v>8802</v>
      </c>
      <c r="N2748" t="s">
        <v>9114</v>
      </c>
      <c r="O2748" t="s">
        <v>9115</v>
      </c>
      <c r="P2748" s="2" t="s">
        <v>37</v>
      </c>
      <c r="Q2748" t="s">
        <v>1208</v>
      </c>
      <c r="R2748">
        <v>0</v>
      </c>
      <c r="S2748">
        <v>60.36</v>
      </c>
      <c r="T2748" t="s">
        <v>9116</v>
      </c>
    </row>
    <row r="2749" spans="1:20" x14ac:dyDescent="0.25">
      <c r="A2749" s="1" t="str">
        <f>HYPERLINK("https://vegkart.atlas.vegvesen.no/#/@254761.0,6595013.3,18/hva:hva%5B0%5D%5Bfilter%5D%5B0%5D%5Boperator%5D=%21%3D&amp;hva%5B0%5D%5Bfilter%5D%5B0%5D%5Btype_id%5D=8917&amp;hva%5B0%5D%5Bfilter%5D%5B0%5D%5Bverdi%5D=&amp;hva%5B0%5D%5Bid%5D=49/når:2025-10-30", "Vegkart")</f>
        <v>Vegkart</v>
      </c>
      <c r="B2749">
        <v>271842754</v>
      </c>
      <c r="C2749">
        <v>49</v>
      </c>
      <c r="D2749" t="s">
        <v>8701</v>
      </c>
      <c r="E2749">
        <v>8917</v>
      </c>
      <c r="F2749" t="s">
        <v>23479</v>
      </c>
      <c r="G2749">
        <v>4</v>
      </c>
      <c r="H2749" t="s">
        <v>8750</v>
      </c>
      <c r="J2749" t="s">
        <v>5951</v>
      </c>
      <c r="K2749" t="s">
        <v>104</v>
      </c>
      <c r="L2749" t="s">
        <v>33</v>
      </c>
      <c r="M2749" t="s">
        <v>8802</v>
      </c>
      <c r="N2749" t="s">
        <v>9117</v>
      </c>
      <c r="O2749" t="s">
        <v>9118</v>
      </c>
      <c r="P2749" s="2" t="s">
        <v>37</v>
      </c>
      <c r="Q2749" t="s">
        <v>1208</v>
      </c>
      <c r="R2749">
        <v>0</v>
      </c>
      <c r="S2749">
        <v>28.58</v>
      </c>
      <c r="T2749" t="s">
        <v>9119</v>
      </c>
    </row>
    <row r="2750" spans="1:20" x14ac:dyDescent="0.25">
      <c r="A2750" s="1" t="str">
        <f>HYPERLINK("https://vegkart.atlas.vegvesen.no/#/@254726.8,6595043.8,18/hva:hva%5B0%5D%5Bfilter%5D%5B0%5D%5Boperator%5D=%21%3D&amp;hva%5B0%5D%5Bfilter%5D%5B0%5D%5Btype_id%5D=8917&amp;hva%5B0%5D%5Bfilter%5D%5B0%5D%5Bverdi%5D=&amp;hva%5B0%5D%5Bid%5D=49/når:2025-10-30", "Vegkart")</f>
        <v>Vegkart</v>
      </c>
      <c r="B2750">
        <v>271842778</v>
      </c>
      <c r="C2750">
        <v>49</v>
      </c>
      <c r="D2750" t="s">
        <v>8701</v>
      </c>
      <c r="E2750">
        <v>8917</v>
      </c>
      <c r="F2750" t="s">
        <v>23479</v>
      </c>
      <c r="G2750">
        <v>4</v>
      </c>
      <c r="H2750" t="s">
        <v>8750</v>
      </c>
      <c r="J2750" t="s">
        <v>5951</v>
      </c>
      <c r="K2750" t="s">
        <v>104</v>
      </c>
      <c r="L2750" t="s">
        <v>33</v>
      </c>
      <c r="M2750" t="s">
        <v>8802</v>
      </c>
      <c r="N2750" t="s">
        <v>9120</v>
      </c>
      <c r="O2750" t="s">
        <v>9121</v>
      </c>
      <c r="P2750" s="2" t="s">
        <v>37</v>
      </c>
      <c r="Q2750" t="s">
        <v>1208</v>
      </c>
      <c r="R2750">
        <v>0</v>
      </c>
      <c r="S2750">
        <v>28.2</v>
      </c>
      <c r="T2750" t="s">
        <v>9122</v>
      </c>
    </row>
    <row r="2751" spans="1:20" x14ac:dyDescent="0.25">
      <c r="A2751" s="1" t="str">
        <f>HYPERLINK("https://vegkart.atlas.vegvesen.no/#/@294836.9,6557910.9,18/hva:hva%5B0%5D%5Bfilter%5D%5B0%5D%5Boperator%5D=%21%3D&amp;hva%5B0%5D%5Bfilter%5D%5B0%5D%5Btype_id%5D=8917&amp;hva%5B0%5D%5Bfilter%5D%5B0%5D%5Bverdi%5D=&amp;hva%5B0%5D%5Bid%5D=49/når:2025-10-15", "Vegkart")</f>
        <v>Vegkart</v>
      </c>
      <c r="B2751">
        <v>275483560</v>
      </c>
      <c r="C2751">
        <v>49</v>
      </c>
      <c r="D2751" t="s">
        <v>8701</v>
      </c>
      <c r="E2751">
        <v>8917</v>
      </c>
      <c r="F2751" t="s">
        <v>23479</v>
      </c>
      <c r="G2751">
        <v>2</v>
      </c>
      <c r="H2751" t="s">
        <v>683</v>
      </c>
      <c r="J2751" t="s">
        <v>5951</v>
      </c>
      <c r="K2751" t="s">
        <v>104</v>
      </c>
      <c r="L2751" t="s">
        <v>33</v>
      </c>
      <c r="M2751" t="s">
        <v>8758</v>
      </c>
      <c r="N2751" t="s">
        <v>9123</v>
      </c>
      <c r="O2751" t="s">
        <v>9124</v>
      </c>
      <c r="P2751" s="2" t="s">
        <v>37</v>
      </c>
      <c r="Q2751" t="s">
        <v>1208</v>
      </c>
      <c r="R2751">
        <v>0</v>
      </c>
      <c r="S2751">
        <v>22.3</v>
      </c>
      <c r="T2751" t="s">
        <v>9125</v>
      </c>
    </row>
    <row r="2752" spans="1:20" x14ac:dyDescent="0.25">
      <c r="A2752" s="1" t="str">
        <f>HYPERLINK("https://vegkart.atlas.vegvesen.no/#/@294613.3,6558657.8,18/hva:hva%5B0%5D%5Bfilter%5D%5B0%5D%5Boperator%5D=%21%3D&amp;hva%5B0%5D%5Bfilter%5D%5B0%5D%5Btype_id%5D=8917&amp;hva%5B0%5D%5Bfilter%5D%5B0%5D%5Bverdi%5D=&amp;hva%5B0%5D%5Bid%5D=49/når:2025-10-15", "Vegkart")</f>
        <v>Vegkart</v>
      </c>
      <c r="B2752">
        <v>275483570</v>
      </c>
      <c r="C2752">
        <v>49</v>
      </c>
      <c r="D2752" t="s">
        <v>8701</v>
      </c>
      <c r="E2752">
        <v>8917</v>
      </c>
      <c r="F2752" t="s">
        <v>23479</v>
      </c>
      <c r="G2752">
        <v>4</v>
      </c>
      <c r="H2752" t="s">
        <v>683</v>
      </c>
      <c r="J2752" t="s">
        <v>5951</v>
      </c>
      <c r="K2752" t="s">
        <v>104</v>
      </c>
      <c r="L2752" t="s">
        <v>33</v>
      </c>
      <c r="M2752" t="s">
        <v>8758</v>
      </c>
      <c r="N2752" t="s">
        <v>9126</v>
      </c>
      <c r="O2752" t="s">
        <v>9127</v>
      </c>
      <c r="P2752" s="2" t="s">
        <v>37</v>
      </c>
      <c r="Q2752" t="s">
        <v>1208</v>
      </c>
      <c r="R2752">
        <v>0</v>
      </c>
      <c r="S2752">
        <v>25.76</v>
      </c>
      <c r="T2752" t="s">
        <v>9128</v>
      </c>
    </row>
    <row r="2753" spans="1:20" x14ac:dyDescent="0.25">
      <c r="A2753" s="1" t="str">
        <f>HYPERLINK("https://vegkart.atlas.vegvesen.no/#/@293032.1,6561476.2,18/hva:hva%5B0%5D%5Bfilter%5D%5B0%5D%5Boperator%5D=%21%3D&amp;hva%5B0%5D%5Bfilter%5D%5B0%5D%5Btype_id%5D=8917&amp;hva%5B0%5D%5Bfilter%5D%5B0%5D%5Bverdi%5D=&amp;hva%5B0%5D%5Bid%5D=49/når:2025-10-15", "Vegkart")</f>
        <v>Vegkart</v>
      </c>
      <c r="B2753">
        <v>276016395</v>
      </c>
      <c r="C2753">
        <v>49</v>
      </c>
      <c r="D2753" t="s">
        <v>8701</v>
      </c>
      <c r="E2753">
        <v>8917</v>
      </c>
      <c r="F2753" t="s">
        <v>23479</v>
      </c>
      <c r="G2753">
        <v>5</v>
      </c>
      <c r="H2753" t="s">
        <v>683</v>
      </c>
      <c r="J2753" t="s">
        <v>5951</v>
      </c>
      <c r="K2753" t="s">
        <v>104</v>
      </c>
      <c r="L2753" t="s">
        <v>33</v>
      </c>
      <c r="M2753" t="s">
        <v>8758</v>
      </c>
      <c r="N2753" t="s">
        <v>9129</v>
      </c>
      <c r="O2753" t="s">
        <v>9130</v>
      </c>
      <c r="P2753" s="2" t="s">
        <v>37</v>
      </c>
      <c r="Q2753" t="s">
        <v>1208</v>
      </c>
      <c r="R2753">
        <v>0</v>
      </c>
      <c r="S2753">
        <v>22.48</v>
      </c>
      <c r="T2753" t="s">
        <v>9131</v>
      </c>
    </row>
    <row r="2754" spans="1:20" x14ac:dyDescent="0.25">
      <c r="A2754" s="1" t="str">
        <f>HYPERLINK("https://vegkart.atlas.vegvesen.no/#/@292983.3,6561273.8,18/hva:hva%5B0%5D%5Bfilter%5D%5B0%5D%5Boperator%5D=%21%3D&amp;hva%5B0%5D%5Bfilter%5D%5B0%5D%5Btype_id%5D=8917&amp;hva%5B0%5D%5Bfilter%5D%5B0%5D%5Bverdi%5D=&amp;hva%5B0%5D%5Bid%5D=49/når:2025-10-15", "Vegkart")</f>
        <v>Vegkart</v>
      </c>
      <c r="B2754">
        <v>276016407</v>
      </c>
      <c r="C2754">
        <v>49</v>
      </c>
      <c r="D2754" t="s">
        <v>8701</v>
      </c>
      <c r="E2754">
        <v>8917</v>
      </c>
      <c r="F2754" t="s">
        <v>23479</v>
      </c>
      <c r="G2754">
        <v>4</v>
      </c>
      <c r="H2754" t="s">
        <v>683</v>
      </c>
      <c r="J2754" t="s">
        <v>5951</v>
      </c>
      <c r="K2754" t="s">
        <v>104</v>
      </c>
      <c r="L2754" t="s">
        <v>33</v>
      </c>
      <c r="M2754" t="s">
        <v>8758</v>
      </c>
      <c r="N2754" t="s">
        <v>9132</v>
      </c>
      <c r="O2754" t="s">
        <v>9133</v>
      </c>
      <c r="P2754" s="2" t="s">
        <v>37</v>
      </c>
      <c r="Q2754" t="s">
        <v>1208</v>
      </c>
      <c r="R2754">
        <v>0</v>
      </c>
      <c r="S2754">
        <v>26.43</v>
      </c>
      <c r="T2754" t="s">
        <v>9134</v>
      </c>
    </row>
    <row r="2755" spans="1:20" x14ac:dyDescent="0.25">
      <c r="A2755" s="1" t="str">
        <f>HYPERLINK("https://vegkart.atlas.vegvesen.no/#/@293167.3,6564906.9,18/hva:hva%5B0%5D%5Bfilter%5D%5B0%5D%5Boperator%5D=%21%3D&amp;hva%5B0%5D%5Bfilter%5D%5B0%5D%5Btype_id%5D=8917&amp;hva%5B0%5D%5Bfilter%5D%5B0%5D%5Bverdi%5D=&amp;hva%5B0%5D%5Bid%5D=49/når:2025-10-15", "Vegkart")</f>
        <v>Vegkart</v>
      </c>
      <c r="B2755">
        <v>276016436</v>
      </c>
      <c r="C2755">
        <v>49</v>
      </c>
      <c r="D2755" t="s">
        <v>8701</v>
      </c>
      <c r="E2755">
        <v>8917</v>
      </c>
      <c r="F2755" t="s">
        <v>23479</v>
      </c>
      <c r="G2755">
        <v>5</v>
      </c>
      <c r="H2755" t="s">
        <v>683</v>
      </c>
      <c r="J2755" t="s">
        <v>5951</v>
      </c>
      <c r="K2755" t="s">
        <v>104</v>
      </c>
      <c r="L2755" t="s">
        <v>33</v>
      </c>
      <c r="M2755" t="s">
        <v>8758</v>
      </c>
      <c r="N2755" t="s">
        <v>9135</v>
      </c>
      <c r="O2755" t="s">
        <v>9136</v>
      </c>
      <c r="P2755" s="2" t="s">
        <v>37</v>
      </c>
      <c r="Q2755" t="s">
        <v>1208</v>
      </c>
      <c r="R2755">
        <v>0</v>
      </c>
      <c r="S2755">
        <v>21</v>
      </c>
      <c r="T2755" t="s">
        <v>9137</v>
      </c>
    </row>
    <row r="2756" spans="1:20" x14ac:dyDescent="0.25">
      <c r="A2756" s="1" t="str">
        <f>HYPERLINK("https://vegkart.atlas.vegvesen.no/#/@303040.4,6636566.3,18/hva:hva%5B0%5D%5Bfilter%5D%5B0%5D%5Boperator%5D=%21%3D&amp;hva%5B0%5D%5Bfilter%5D%5B0%5D%5Btype_id%5D=8917&amp;hva%5B0%5D%5Bfilter%5D%5B0%5D%5Bverdi%5D=&amp;hva%5B0%5D%5Bid%5D=49/når:2011-05-09", "Vegkart")</f>
        <v>Vegkart</v>
      </c>
      <c r="B2756">
        <v>276905610</v>
      </c>
      <c r="C2756">
        <v>49</v>
      </c>
      <c r="D2756" t="s">
        <v>8701</v>
      </c>
      <c r="E2756">
        <v>8917</v>
      </c>
      <c r="F2756" t="s">
        <v>23479</v>
      </c>
      <c r="G2756">
        <v>1</v>
      </c>
      <c r="H2756" t="s">
        <v>9138</v>
      </c>
      <c r="J2756" t="s">
        <v>5951</v>
      </c>
      <c r="K2756" t="s">
        <v>132</v>
      </c>
      <c r="L2756" t="s">
        <v>33</v>
      </c>
      <c r="M2756" t="s">
        <v>9139</v>
      </c>
      <c r="N2756" t="s">
        <v>9140</v>
      </c>
      <c r="O2756" t="s">
        <v>9141</v>
      </c>
      <c r="P2756" s="2" t="s">
        <v>26</v>
      </c>
      <c r="Q2756" t="s">
        <v>50</v>
      </c>
      <c r="R2756">
        <v>12.02</v>
      </c>
      <c r="S2756">
        <v>12.02</v>
      </c>
      <c r="T2756" t="s">
        <v>9142</v>
      </c>
    </row>
    <row r="2757" spans="1:20" x14ac:dyDescent="0.25">
      <c r="A2757" s="1" t="str">
        <f>HYPERLINK("https://vegkart.atlas.vegvesen.no/#/@293340.4,6559076.7,18/hva:hva%5B0%5D%5Bfilter%5D%5B0%5D%5Boperator%5D=%21%3D&amp;hva%5B0%5D%5Bfilter%5D%5B0%5D%5Btype_id%5D=8917&amp;hva%5B0%5D%5Bfilter%5D%5B0%5D%5Bverdi%5D=&amp;hva%5B0%5D%5Bid%5D=49/når:2025-10-15", "Vegkart")</f>
        <v>Vegkart</v>
      </c>
      <c r="B2757">
        <v>277114283</v>
      </c>
      <c r="C2757">
        <v>49</v>
      </c>
      <c r="D2757" t="s">
        <v>8701</v>
      </c>
      <c r="E2757">
        <v>8917</v>
      </c>
      <c r="F2757" t="s">
        <v>23479</v>
      </c>
      <c r="G2757">
        <v>3</v>
      </c>
      <c r="H2757" t="s">
        <v>683</v>
      </c>
      <c r="J2757" t="s">
        <v>5951</v>
      </c>
      <c r="K2757" t="s">
        <v>104</v>
      </c>
      <c r="L2757" t="s">
        <v>33</v>
      </c>
      <c r="M2757" t="s">
        <v>8758</v>
      </c>
      <c r="N2757" t="s">
        <v>9143</v>
      </c>
      <c r="O2757" t="s">
        <v>9144</v>
      </c>
      <c r="P2757" s="2" t="s">
        <v>37</v>
      </c>
      <c r="Q2757" t="s">
        <v>1208</v>
      </c>
      <c r="R2757">
        <v>0</v>
      </c>
      <c r="S2757">
        <v>10.96</v>
      </c>
      <c r="T2757" t="s">
        <v>9145</v>
      </c>
    </row>
    <row r="2758" spans="1:20" x14ac:dyDescent="0.25">
      <c r="A2758" s="1" t="str">
        <f>HYPERLINK("https://vegkart.atlas.vegvesen.no/#/@293441.1,6559379.2,18/hva:hva%5B0%5D%5Bfilter%5D%5B0%5D%5Boperator%5D=%21%3D&amp;hva%5B0%5D%5Bfilter%5D%5B0%5D%5Btype_id%5D=8917&amp;hva%5B0%5D%5Bfilter%5D%5B0%5D%5Bverdi%5D=&amp;hva%5B0%5D%5Bid%5D=49/når:2025-10-15", "Vegkart")</f>
        <v>Vegkart</v>
      </c>
      <c r="B2758">
        <v>277114290</v>
      </c>
      <c r="C2758">
        <v>49</v>
      </c>
      <c r="D2758" t="s">
        <v>8701</v>
      </c>
      <c r="E2758">
        <v>8917</v>
      </c>
      <c r="F2758" t="s">
        <v>23479</v>
      </c>
      <c r="G2758">
        <v>2</v>
      </c>
      <c r="H2758" t="s">
        <v>683</v>
      </c>
      <c r="J2758" t="s">
        <v>5951</v>
      </c>
      <c r="K2758" t="s">
        <v>104</v>
      </c>
      <c r="L2758" t="s">
        <v>33</v>
      </c>
      <c r="M2758" t="s">
        <v>8758</v>
      </c>
      <c r="N2758" t="s">
        <v>9146</v>
      </c>
      <c r="O2758" t="s">
        <v>9147</v>
      </c>
      <c r="P2758" s="2" t="s">
        <v>37</v>
      </c>
      <c r="Q2758" t="s">
        <v>1208</v>
      </c>
      <c r="R2758">
        <v>0</v>
      </c>
      <c r="S2758">
        <v>50.91</v>
      </c>
      <c r="T2758" t="s">
        <v>9148</v>
      </c>
    </row>
    <row r="2759" spans="1:20" x14ac:dyDescent="0.25">
      <c r="A2759" s="1" t="str">
        <f>HYPERLINK("https://vegkart.atlas.vegvesen.no/#/@292969.0,6561230.6,18/hva:hva%5B0%5D%5Bfilter%5D%5B0%5D%5Boperator%5D=%21%3D&amp;hva%5B0%5D%5Bfilter%5D%5B0%5D%5Btype_id%5D=8917&amp;hva%5B0%5D%5Bfilter%5D%5B0%5D%5Bverdi%5D=&amp;hva%5B0%5D%5Bid%5D=49/når:2025-12-13", "Vegkart")</f>
        <v>Vegkart</v>
      </c>
      <c r="B2759">
        <v>284349286</v>
      </c>
      <c r="C2759">
        <v>49</v>
      </c>
      <c r="D2759" t="s">
        <v>8701</v>
      </c>
      <c r="E2759">
        <v>8917</v>
      </c>
      <c r="F2759" t="s">
        <v>23479</v>
      </c>
      <c r="G2759">
        <v>5</v>
      </c>
      <c r="H2759" t="s">
        <v>9149</v>
      </c>
      <c r="J2759" t="s">
        <v>9150</v>
      </c>
      <c r="K2759" t="s">
        <v>104</v>
      </c>
      <c r="L2759" t="s">
        <v>33</v>
      </c>
      <c r="M2759" t="s">
        <v>8758</v>
      </c>
      <c r="N2759" t="s">
        <v>9151</v>
      </c>
      <c r="O2759" t="s">
        <v>9152</v>
      </c>
      <c r="P2759" s="2" t="s">
        <v>165</v>
      </c>
      <c r="Q2759" t="s">
        <v>166</v>
      </c>
      <c r="R2759">
        <v>0</v>
      </c>
      <c r="S2759">
        <v>31.23</v>
      </c>
      <c r="T2759" t="s">
        <v>167</v>
      </c>
    </row>
    <row r="2760" spans="1:20" x14ac:dyDescent="0.25">
      <c r="A2760" s="1" t="str">
        <f>HYPERLINK("https://vegkart.atlas.vegvesen.no/#/@291307.3,6559852.8,18/hva:hva%5B0%5D%5Bfilter%5D%5B0%5D%5Boperator%5D=%21%3D&amp;hva%5B0%5D%5Bfilter%5D%5B0%5D%5Btype_id%5D=8917&amp;hva%5B0%5D%5Bfilter%5D%5B0%5D%5Bverdi%5D=&amp;hva%5B0%5D%5Bid%5D=49/når:2025-10-15", "Vegkart")</f>
        <v>Vegkart</v>
      </c>
      <c r="B2760">
        <v>287055372</v>
      </c>
      <c r="C2760">
        <v>49</v>
      </c>
      <c r="D2760" t="s">
        <v>8701</v>
      </c>
      <c r="E2760">
        <v>8917</v>
      </c>
      <c r="F2760" t="s">
        <v>23479</v>
      </c>
      <c r="G2760">
        <v>2</v>
      </c>
      <c r="H2760" t="s">
        <v>683</v>
      </c>
      <c r="J2760" t="s">
        <v>5951</v>
      </c>
      <c r="K2760" t="s">
        <v>104</v>
      </c>
      <c r="L2760" t="s">
        <v>33</v>
      </c>
      <c r="M2760" t="s">
        <v>9153</v>
      </c>
      <c r="N2760" t="s">
        <v>9154</v>
      </c>
      <c r="O2760" t="s">
        <v>9155</v>
      </c>
      <c r="P2760" s="2" t="s">
        <v>37</v>
      </c>
      <c r="Q2760" t="s">
        <v>1208</v>
      </c>
      <c r="R2760">
        <v>0</v>
      </c>
      <c r="S2760">
        <v>22.46</v>
      </c>
      <c r="T2760" t="s">
        <v>9156</v>
      </c>
    </row>
    <row r="2761" spans="1:20" x14ac:dyDescent="0.25">
      <c r="A2761" s="1" t="str">
        <f>HYPERLINK("https://vegkart.atlas.vegvesen.no/#/@291225.8,6560305.4,18/hva:hva%5B0%5D%5Bfilter%5D%5B0%5D%5Boperator%5D=%21%3D&amp;hva%5B0%5D%5Bfilter%5D%5B0%5D%5Btype_id%5D=8917&amp;hva%5B0%5D%5Bfilter%5D%5B0%5D%5Bverdi%5D=&amp;hva%5B0%5D%5Bid%5D=49/når:2025-10-15", "Vegkart")</f>
        <v>Vegkart</v>
      </c>
      <c r="B2761">
        <v>287055442</v>
      </c>
      <c r="C2761">
        <v>49</v>
      </c>
      <c r="D2761" t="s">
        <v>8701</v>
      </c>
      <c r="E2761">
        <v>8917</v>
      </c>
      <c r="F2761" t="s">
        <v>23479</v>
      </c>
      <c r="G2761">
        <v>3</v>
      </c>
      <c r="H2761" t="s">
        <v>683</v>
      </c>
      <c r="J2761" t="s">
        <v>5951</v>
      </c>
      <c r="K2761" t="s">
        <v>104</v>
      </c>
      <c r="L2761" t="s">
        <v>33</v>
      </c>
      <c r="M2761" t="s">
        <v>9153</v>
      </c>
      <c r="N2761" t="s">
        <v>9157</v>
      </c>
      <c r="O2761" t="s">
        <v>9158</v>
      </c>
      <c r="P2761" s="2" t="s">
        <v>37</v>
      </c>
      <c r="Q2761" t="s">
        <v>1208</v>
      </c>
      <c r="R2761">
        <v>0</v>
      </c>
      <c r="S2761">
        <v>44.95</v>
      </c>
      <c r="T2761" t="s">
        <v>9159</v>
      </c>
    </row>
    <row r="2762" spans="1:20" x14ac:dyDescent="0.25">
      <c r="A2762" s="1" t="str">
        <f>HYPERLINK("https://vegkart.atlas.vegvesen.no/#/@293935.6,6560911.6,18/hva:hva%5B0%5D%5Bfilter%5D%5B0%5D%5Boperator%5D=%21%3D&amp;hva%5B0%5D%5Bfilter%5D%5B0%5D%5Btype_id%5D=8917&amp;hva%5B0%5D%5Bfilter%5D%5B0%5D%5Bverdi%5D=&amp;hva%5B0%5D%5Bid%5D=49/når:2025-10-15", "Vegkart")</f>
        <v>Vegkart</v>
      </c>
      <c r="B2762">
        <v>287055604</v>
      </c>
      <c r="C2762">
        <v>49</v>
      </c>
      <c r="D2762" t="s">
        <v>8701</v>
      </c>
      <c r="E2762">
        <v>8917</v>
      </c>
      <c r="F2762" t="s">
        <v>23479</v>
      </c>
      <c r="G2762">
        <v>2</v>
      </c>
      <c r="H2762" t="s">
        <v>683</v>
      </c>
      <c r="J2762" t="s">
        <v>5951</v>
      </c>
      <c r="K2762" t="s">
        <v>104</v>
      </c>
      <c r="L2762" t="s">
        <v>33</v>
      </c>
      <c r="M2762" t="s">
        <v>8927</v>
      </c>
      <c r="N2762" t="s">
        <v>9160</v>
      </c>
      <c r="O2762" t="s">
        <v>9161</v>
      </c>
      <c r="P2762" s="2" t="s">
        <v>37</v>
      </c>
      <c r="Q2762" t="s">
        <v>1208</v>
      </c>
      <c r="R2762">
        <v>0</v>
      </c>
      <c r="S2762">
        <v>28.58</v>
      </c>
      <c r="T2762" t="s">
        <v>9162</v>
      </c>
    </row>
    <row r="2763" spans="1:20" x14ac:dyDescent="0.25">
      <c r="A2763" s="1" t="str">
        <f>HYPERLINK("https://vegkart.atlas.vegvesen.no/#/@293946.7,6560897.2,18/hva:hva%5B0%5D%5Bfilter%5D%5B0%5D%5Boperator%5D=%21%3D&amp;hva%5B0%5D%5Bfilter%5D%5B0%5D%5Btype_id%5D=8917&amp;hva%5B0%5D%5Bfilter%5D%5B0%5D%5Bverdi%5D=&amp;hva%5B0%5D%5Bid%5D=49/når:2025-10-15", "Vegkart")</f>
        <v>Vegkart</v>
      </c>
      <c r="B2763">
        <v>287649645</v>
      </c>
      <c r="C2763">
        <v>49</v>
      </c>
      <c r="D2763" t="s">
        <v>8701</v>
      </c>
      <c r="E2763">
        <v>8917</v>
      </c>
      <c r="F2763" t="s">
        <v>23479</v>
      </c>
      <c r="G2763">
        <v>3</v>
      </c>
      <c r="H2763" t="s">
        <v>683</v>
      </c>
      <c r="J2763" t="s">
        <v>31</v>
      </c>
      <c r="K2763" t="s">
        <v>104</v>
      </c>
      <c r="L2763" t="s">
        <v>33</v>
      </c>
      <c r="M2763" t="s">
        <v>8927</v>
      </c>
      <c r="N2763" t="s">
        <v>9163</v>
      </c>
      <c r="O2763" t="s">
        <v>9164</v>
      </c>
      <c r="P2763" s="2" t="s">
        <v>37</v>
      </c>
      <c r="Q2763" t="s">
        <v>1208</v>
      </c>
      <c r="R2763">
        <v>0</v>
      </c>
      <c r="S2763">
        <v>17.32</v>
      </c>
      <c r="T2763" t="s">
        <v>9165</v>
      </c>
    </row>
    <row r="2764" spans="1:20" x14ac:dyDescent="0.25">
      <c r="A2764" s="1" t="str">
        <f>HYPERLINK("https://vegkart.atlas.vegvesen.no/#/@293001.3,6561251.5,18/hva:hva%5B0%5D%5Bfilter%5D%5B0%5D%5Boperator%5D=%21%3D&amp;hva%5B0%5D%5Bfilter%5D%5B0%5D%5Btype_id%5D=8917&amp;hva%5B0%5D%5Bfilter%5D%5B0%5D%5Bverdi%5D=&amp;hva%5B0%5D%5Bid%5D=49/når:2025-10-15", "Vegkart")</f>
        <v>Vegkart</v>
      </c>
      <c r="B2764">
        <v>287649661</v>
      </c>
      <c r="C2764">
        <v>49</v>
      </c>
      <c r="D2764" t="s">
        <v>8701</v>
      </c>
      <c r="E2764">
        <v>8917</v>
      </c>
      <c r="F2764" t="s">
        <v>23479</v>
      </c>
      <c r="G2764">
        <v>3</v>
      </c>
      <c r="H2764" t="s">
        <v>683</v>
      </c>
      <c r="J2764" t="s">
        <v>31</v>
      </c>
      <c r="K2764" t="s">
        <v>104</v>
      </c>
      <c r="L2764" t="s">
        <v>33</v>
      </c>
      <c r="M2764" t="s">
        <v>8927</v>
      </c>
      <c r="N2764" t="s">
        <v>9166</v>
      </c>
      <c r="O2764" t="s">
        <v>9167</v>
      </c>
      <c r="P2764" s="2" t="s">
        <v>37</v>
      </c>
      <c r="Q2764" t="s">
        <v>1208</v>
      </c>
      <c r="R2764">
        <v>0</v>
      </c>
      <c r="S2764">
        <v>35.79</v>
      </c>
      <c r="T2764" t="s">
        <v>9168</v>
      </c>
    </row>
    <row r="2765" spans="1:20" x14ac:dyDescent="0.25">
      <c r="A2765" s="1" t="str">
        <f>HYPERLINK("https://vegkart.atlas.vegvesen.no/#/@293922.7,6560927.1,18/hva:hva%5B0%5D%5Bfilter%5D%5B0%5D%5Boperator%5D=%21%3D&amp;hva%5B0%5D%5Bfilter%5D%5B0%5D%5Btype_id%5D=8917&amp;hva%5B0%5D%5Bfilter%5D%5B0%5D%5Bverdi%5D=&amp;hva%5B0%5D%5Bid%5D=49/når:2025-10-15", "Vegkart")</f>
        <v>Vegkart</v>
      </c>
      <c r="B2765">
        <v>287649664</v>
      </c>
      <c r="C2765">
        <v>49</v>
      </c>
      <c r="D2765" t="s">
        <v>8701</v>
      </c>
      <c r="E2765">
        <v>8917</v>
      </c>
      <c r="F2765" t="s">
        <v>23479</v>
      </c>
      <c r="G2765">
        <v>3</v>
      </c>
      <c r="H2765" t="s">
        <v>683</v>
      </c>
      <c r="J2765" t="s">
        <v>31</v>
      </c>
      <c r="K2765" t="s">
        <v>104</v>
      </c>
      <c r="L2765" t="s">
        <v>33</v>
      </c>
      <c r="M2765" t="s">
        <v>8927</v>
      </c>
      <c r="N2765" t="s">
        <v>9169</v>
      </c>
      <c r="O2765" t="s">
        <v>9170</v>
      </c>
      <c r="P2765" s="2" t="s">
        <v>37</v>
      </c>
      <c r="Q2765" t="s">
        <v>1208</v>
      </c>
      <c r="R2765">
        <v>0</v>
      </c>
      <c r="S2765">
        <v>15.94</v>
      </c>
      <c r="T2765" t="s">
        <v>9171</v>
      </c>
    </row>
    <row r="2766" spans="1:20" x14ac:dyDescent="0.25">
      <c r="A2766" s="1" t="str">
        <f>HYPERLINK("https://vegkart.atlas.vegvesen.no/#/@310455.4,6598577.7,18/hva:hva%5B0%5D%5Bfilter%5D%5B0%5D%5Boperator%5D=%21%3D&amp;hva%5B0%5D%5Bfilter%5D%5B0%5D%5Btype_id%5D=8917&amp;hva%5B0%5D%5Bfilter%5D%5B0%5D%5Bverdi%5D=&amp;hva%5B0%5D%5Bid%5D=49/når:2025-09-10", "Vegkart")</f>
        <v>Vegkart</v>
      </c>
      <c r="B2766">
        <v>291698106</v>
      </c>
      <c r="C2766">
        <v>49</v>
      </c>
      <c r="D2766" t="s">
        <v>8701</v>
      </c>
      <c r="E2766">
        <v>8917</v>
      </c>
      <c r="F2766" t="s">
        <v>23479</v>
      </c>
      <c r="G2766">
        <v>4</v>
      </c>
      <c r="H2766" t="s">
        <v>8733</v>
      </c>
      <c r="J2766" t="s">
        <v>31</v>
      </c>
      <c r="K2766" t="s">
        <v>104</v>
      </c>
      <c r="L2766" t="s">
        <v>33</v>
      </c>
      <c r="M2766" t="s">
        <v>9172</v>
      </c>
      <c r="N2766" t="s">
        <v>9173</v>
      </c>
      <c r="O2766" t="s">
        <v>9174</v>
      </c>
      <c r="P2766" s="2" t="s">
        <v>37</v>
      </c>
      <c r="Q2766" t="s">
        <v>1208</v>
      </c>
      <c r="R2766">
        <v>0</v>
      </c>
      <c r="S2766">
        <v>34</v>
      </c>
      <c r="T2766" t="s">
        <v>9175</v>
      </c>
    </row>
    <row r="2767" spans="1:20" x14ac:dyDescent="0.25">
      <c r="A2767" s="1" t="str">
        <f>HYPERLINK("https://vegkart.atlas.vegvesen.no/#/@310081.9,6598797.6,18/hva:hva%5B0%5D%5Bfilter%5D%5B0%5D%5Boperator%5D=%21%3D&amp;hva%5B0%5D%5Bfilter%5D%5B0%5D%5Btype_id%5D=8917&amp;hva%5B0%5D%5Bfilter%5D%5B0%5D%5Bverdi%5D=&amp;hva%5B0%5D%5Bid%5D=49/når:2025-09-10", "Vegkart")</f>
        <v>Vegkart</v>
      </c>
      <c r="B2767">
        <v>291698156</v>
      </c>
      <c r="C2767">
        <v>49</v>
      </c>
      <c r="D2767" t="s">
        <v>8701</v>
      </c>
      <c r="E2767">
        <v>8917</v>
      </c>
      <c r="F2767" t="s">
        <v>23479</v>
      </c>
      <c r="G2767">
        <v>3</v>
      </c>
      <c r="H2767" t="s">
        <v>8733</v>
      </c>
      <c r="J2767" t="s">
        <v>31</v>
      </c>
      <c r="K2767" t="s">
        <v>104</v>
      </c>
      <c r="L2767" t="s">
        <v>33</v>
      </c>
      <c r="M2767" t="s">
        <v>8721</v>
      </c>
      <c r="N2767" t="s">
        <v>9176</v>
      </c>
      <c r="O2767" t="s">
        <v>9177</v>
      </c>
      <c r="P2767" s="2" t="s">
        <v>37</v>
      </c>
      <c r="Q2767" t="s">
        <v>1208</v>
      </c>
      <c r="R2767">
        <v>0</v>
      </c>
      <c r="S2767">
        <v>20.5</v>
      </c>
      <c r="T2767" t="s">
        <v>9178</v>
      </c>
    </row>
    <row r="2768" spans="1:20" x14ac:dyDescent="0.25">
      <c r="A2768" s="1" t="str">
        <f>HYPERLINK("https://vegkart.atlas.vegvesen.no/#/@310179.6,6598707.3,18/hva:hva%5B0%5D%5Bfilter%5D%5B0%5D%5Boperator%5D=%21%3D&amp;hva%5B0%5D%5Bfilter%5D%5B0%5D%5Btype_id%5D=8917&amp;hva%5B0%5D%5Bfilter%5D%5B0%5D%5Bverdi%5D=&amp;hva%5B0%5D%5Bid%5D=49/når:2025-09-10", "Vegkart")</f>
        <v>Vegkart</v>
      </c>
      <c r="B2768">
        <v>291698161</v>
      </c>
      <c r="C2768">
        <v>49</v>
      </c>
      <c r="D2768" t="s">
        <v>8701</v>
      </c>
      <c r="E2768">
        <v>8917</v>
      </c>
      <c r="F2768" t="s">
        <v>23479</v>
      </c>
      <c r="G2768">
        <v>4</v>
      </c>
      <c r="H2768" t="s">
        <v>8733</v>
      </c>
      <c r="J2768" t="s">
        <v>31</v>
      </c>
      <c r="K2768" t="s">
        <v>104</v>
      </c>
      <c r="L2768" t="s">
        <v>33</v>
      </c>
      <c r="M2768" t="s">
        <v>8721</v>
      </c>
      <c r="N2768" t="s">
        <v>9179</v>
      </c>
      <c r="O2768" t="s">
        <v>9180</v>
      </c>
      <c r="P2768" s="2" t="s">
        <v>37</v>
      </c>
      <c r="Q2768" t="s">
        <v>1208</v>
      </c>
      <c r="R2768">
        <v>0</v>
      </c>
      <c r="S2768">
        <v>27.8</v>
      </c>
      <c r="T2768" t="s">
        <v>9181</v>
      </c>
    </row>
    <row r="2769" spans="1:20" x14ac:dyDescent="0.25">
      <c r="A2769" s="1" t="str">
        <f>HYPERLINK("https://vegkart.atlas.vegvesen.no/#/@293947.8,6560926.4,18/hva:hva%5B0%5D%5Bfilter%5D%5B0%5D%5Boperator%5D=%21%3D&amp;hva%5B0%5D%5Bfilter%5D%5B0%5D%5Btype_id%5D=8917&amp;hva%5B0%5D%5Bfilter%5D%5B0%5D%5Bverdi%5D=&amp;hva%5B0%5D%5Bid%5D=49/når:2025-10-15", "Vegkart")</f>
        <v>Vegkart</v>
      </c>
      <c r="B2769">
        <v>295053447</v>
      </c>
      <c r="C2769">
        <v>49</v>
      </c>
      <c r="D2769" t="s">
        <v>8701</v>
      </c>
      <c r="E2769">
        <v>8917</v>
      </c>
      <c r="F2769" t="s">
        <v>23479</v>
      </c>
      <c r="G2769">
        <v>2</v>
      </c>
      <c r="H2769" t="s">
        <v>683</v>
      </c>
      <c r="J2769" t="s">
        <v>31</v>
      </c>
      <c r="K2769" t="s">
        <v>104</v>
      </c>
      <c r="L2769" t="s">
        <v>33</v>
      </c>
      <c r="M2769" t="s">
        <v>9182</v>
      </c>
      <c r="N2769" t="s">
        <v>9183</v>
      </c>
      <c r="O2769" t="s">
        <v>9184</v>
      </c>
      <c r="P2769" s="2" t="s">
        <v>37</v>
      </c>
      <c r="Q2769" t="s">
        <v>1208</v>
      </c>
      <c r="R2769">
        <v>0</v>
      </c>
      <c r="S2769">
        <v>20.32</v>
      </c>
      <c r="T2769" t="s">
        <v>9185</v>
      </c>
    </row>
    <row r="2770" spans="1:20" x14ac:dyDescent="0.25">
      <c r="A2770" s="1" t="str">
        <f>HYPERLINK("https://vegkart.atlas.vegvesen.no/#/@280788.7,6576451.2,18/hva:hva%5B0%5D%5Bfilter%5D%5B0%5D%5Boperator%5D=%21%3D&amp;hva%5B0%5D%5Bfilter%5D%5B0%5D%5Btype_id%5D=8917&amp;hva%5B0%5D%5Bfilter%5D%5B0%5D%5Bverdi%5D=&amp;hva%5B0%5D%5Bid%5D=49/når:2025-11-11", "Vegkart")</f>
        <v>Vegkart</v>
      </c>
      <c r="B2770">
        <v>300507749</v>
      </c>
      <c r="C2770">
        <v>49</v>
      </c>
      <c r="D2770" t="s">
        <v>8701</v>
      </c>
      <c r="E2770">
        <v>8917</v>
      </c>
      <c r="F2770" t="s">
        <v>23479</v>
      </c>
      <c r="G2770">
        <v>3</v>
      </c>
      <c r="H2770" t="s">
        <v>8773</v>
      </c>
      <c r="J2770" t="s">
        <v>9186</v>
      </c>
      <c r="K2770" t="s">
        <v>104</v>
      </c>
      <c r="L2770" t="s">
        <v>33</v>
      </c>
      <c r="M2770" t="s">
        <v>8802</v>
      </c>
      <c r="N2770" t="s">
        <v>9187</v>
      </c>
      <c r="O2770" t="s">
        <v>9188</v>
      </c>
      <c r="P2770" s="2" t="s">
        <v>37</v>
      </c>
      <c r="Q2770" t="s">
        <v>1208</v>
      </c>
      <c r="R2770">
        <v>0</v>
      </c>
      <c r="S2770">
        <v>29.37</v>
      </c>
      <c r="T2770" t="s">
        <v>9189</v>
      </c>
    </row>
    <row r="2771" spans="1:20" x14ac:dyDescent="0.25">
      <c r="A2771" s="1" t="str">
        <f>HYPERLINK("https://vegkart.atlas.vegvesen.no/#/@275908.7,6579548.1,18/hva:hva%5B0%5D%5Bfilter%5D%5B0%5D%5Boperator%5D=%21%3D&amp;hva%5B0%5D%5Bfilter%5D%5B0%5D%5Btype_id%5D=8917&amp;hva%5B0%5D%5Bfilter%5D%5B0%5D%5Bverdi%5D=&amp;hva%5B0%5D%5Bid%5D=49/når:2025-11-11", "Vegkart")</f>
        <v>Vegkart</v>
      </c>
      <c r="B2771">
        <v>301716923</v>
      </c>
      <c r="C2771">
        <v>49</v>
      </c>
      <c r="D2771" t="s">
        <v>8701</v>
      </c>
      <c r="E2771">
        <v>8917</v>
      </c>
      <c r="F2771" t="s">
        <v>23479</v>
      </c>
      <c r="G2771">
        <v>3</v>
      </c>
      <c r="H2771" t="s">
        <v>8773</v>
      </c>
      <c r="J2771" t="s">
        <v>31</v>
      </c>
      <c r="K2771" t="s">
        <v>104</v>
      </c>
      <c r="L2771" t="s">
        <v>33</v>
      </c>
      <c r="M2771" t="s">
        <v>8802</v>
      </c>
      <c r="N2771" t="s">
        <v>9190</v>
      </c>
      <c r="O2771" t="s">
        <v>9191</v>
      </c>
      <c r="P2771" s="2" t="s">
        <v>37</v>
      </c>
      <c r="Q2771" t="s">
        <v>1208</v>
      </c>
      <c r="R2771">
        <v>0</v>
      </c>
      <c r="S2771">
        <v>33.83</v>
      </c>
      <c r="T2771" t="s">
        <v>9192</v>
      </c>
    </row>
    <row r="2772" spans="1:20" x14ac:dyDescent="0.25">
      <c r="A2772" s="1" t="str">
        <f>HYPERLINK("https://vegkart.atlas.vegvesen.no/#/@275727.5,6579800.4,18/hva:hva%5B0%5D%5Bfilter%5D%5B0%5D%5Boperator%5D=%21%3D&amp;hva%5B0%5D%5Bfilter%5D%5B0%5D%5Btype_id%5D=8917&amp;hva%5B0%5D%5Bfilter%5D%5B0%5D%5Bverdi%5D=&amp;hva%5B0%5D%5Bid%5D=49/når:2025-11-11", "Vegkart")</f>
        <v>Vegkart</v>
      </c>
      <c r="B2772">
        <v>301716953</v>
      </c>
      <c r="C2772">
        <v>49</v>
      </c>
      <c r="D2772" t="s">
        <v>8701</v>
      </c>
      <c r="E2772">
        <v>8917</v>
      </c>
      <c r="F2772" t="s">
        <v>23479</v>
      </c>
      <c r="G2772">
        <v>3</v>
      </c>
      <c r="H2772" t="s">
        <v>8773</v>
      </c>
      <c r="J2772" t="s">
        <v>31</v>
      </c>
      <c r="K2772" t="s">
        <v>104</v>
      </c>
      <c r="L2772" t="s">
        <v>33</v>
      </c>
      <c r="M2772" t="s">
        <v>8802</v>
      </c>
      <c r="N2772" t="s">
        <v>9193</v>
      </c>
      <c r="O2772" t="s">
        <v>9194</v>
      </c>
      <c r="P2772" s="2" t="s">
        <v>37</v>
      </c>
      <c r="Q2772" t="s">
        <v>1208</v>
      </c>
      <c r="R2772">
        <v>0</v>
      </c>
      <c r="S2772">
        <v>109.22</v>
      </c>
      <c r="T2772" t="s">
        <v>9195</v>
      </c>
    </row>
    <row r="2773" spans="1:20" x14ac:dyDescent="0.25">
      <c r="A2773" s="1" t="str">
        <f>HYPERLINK("https://vegkart.atlas.vegvesen.no/#/@275739.0,6579852.4,18/hva:hva%5B0%5D%5Bfilter%5D%5B0%5D%5Boperator%5D=%21%3D&amp;hva%5B0%5D%5Bfilter%5D%5B0%5D%5Btype_id%5D=8917&amp;hva%5B0%5D%5Bfilter%5D%5B0%5D%5Bverdi%5D=&amp;hva%5B0%5D%5Bid%5D=49/når:2025-11-11", "Vegkart")</f>
        <v>Vegkart</v>
      </c>
      <c r="B2773">
        <v>301716995</v>
      </c>
      <c r="C2773">
        <v>49</v>
      </c>
      <c r="D2773" t="s">
        <v>8701</v>
      </c>
      <c r="E2773">
        <v>8917</v>
      </c>
      <c r="F2773" t="s">
        <v>23479</v>
      </c>
      <c r="G2773">
        <v>3</v>
      </c>
      <c r="H2773" t="s">
        <v>8773</v>
      </c>
      <c r="J2773" t="s">
        <v>31</v>
      </c>
      <c r="K2773" t="s">
        <v>104</v>
      </c>
      <c r="L2773" t="s">
        <v>33</v>
      </c>
      <c r="M2773" t="s">
        <v>8802</v>
      </c>
      <c r="N2773" t="s">
        <v>9196</v>
      </c>
      <c r="O2773" t="s">
        <v>9197</v>
      </c>
      <c r="P2773" s="2" t="s">
        <v>37</v>
      </c>
      <c r="Q2773" t="s">
        <v>1208</v>
      </c>
      <c r="R2773">
        <v>0</v>
      </c>
      <c r="S2773">
        <v>47.7</v>
      </c>
      <c r="T2773" t="s">
        <v>9198</v>
      </c>
    </row>
    <row r="2774" spans="1:20" x14ac:dyDescent="0.25">
      <c r="A2774" s="1" t="str">
        <f>HYPERLINK("https://vegkart.atlas.vegvesen.no/#/@275741.2,6579896.3,18/hva:hva%5B0%5D%5Bfilter%5D%5B0%5D%5Boperator%5D=%21%3D&amp;hva%5B0%5D%5Bfilter%5D%5B0%5D%5Btype_id%5D=8917&amp;hva%5B0%5D%5Bfilter%5D%5B0%5D%5Bverdi%5D=&amp;hva%5B0%5D%5Bid%5D=49/når:2025-11-11", "Vegkart")</f>
        <v>Vegkart</v>
      </c>
      <c r="B2774">
        <v>301717016</v>
      </c>
      <c r="C2774">
        <v>49</v>
      </c>
      <c r="D2774" t="s">
        <v>8701</v>
      </c>
      <c r="E2774">
        <v>8917</v>
      </c>
      <c r="F2774" t="s">
        <v>23479</v>
      </c>
      <c r="G2774">
        <v>3</v>
      </c>
      <c r="H2774" t="s">
        <v>8773</v>
      </c>
      <c r="J2774" t="s">
        <v>31</v>
      </c>
      <c r="K2774" t="s">
        <v>104</v>
      </c>
      <c r="L2774" t="s">
        <v>33</v>
      </c>
      <c r="M2774" t="s">
        <v>8802</v>
      </c>
      <c r="N2774" t="s">
        <v>9199</v>
      </c>
      <c r="O2774" t="s">
        <v>9200</v>
      </c>
      <c r="P2774" s="2" t="s">
        <v>37</v>
      </c>
      <c r="Q2774" t="s">
        <v>1208</v>
      </c>
      <c r="R2774">
        <v>0</v>
      </c>
      <c r="S2774">
        <v>89.91</v>
      </c>
      <c r="T2774" t="s">
        <v>9201</v>
      </c>
    </row>
    <row r="2775" spans="1:20" x14ac:dyDescent="0.25">
      <c r="A2775" s="1" t="str">
        <f>HYPERLINK("https://vegkart.atlas.vegvesen.no/#/@279784.7,6577121.1,18/hva:hva%5B0%5D%5Bfilter%5D%5B0%5D%5Boperator%5D=%21%3D&amp;hva%5B0%5D%5Bfilter%5D%5B0%5D%5Btype_id%5D=8917&amp;hva%5B0%5D%5Bfilter%5D%5B0%5D%5Bverdi%5D=&amp;hva%5B0%5D%5Bid%5D=49/når:2025-11-11", "Vegkart")</f>
        <v>Vegkart</v>
      </c>
      <c r="B2775">
        <v>301717070</v>
      </c>
      <c r="C2775">
        <v>49</v>
      </c>
      <c r="D2775" t="s">
        <v>8701</v>
      </c>
      <c r="E2775">
        <v>8917</v>
      </c>
      <c r="F2775" t="s">
        <v>23479</v>
      </c>
      <c r="G2775">
        <v>3</v>
      </c>
      <c r="H2775" t="s">
        <v>8773</v>
      </c>
      <c r="J2775" t="s">
        <v>31</v>
      </c>
      <c r="K2775" t="s">
        <v>104</v>
      </c>
      <c r="L2775" t="s">
        <v>33</v>
      </c>
      <c r="M2775" t="s">
        <v>8802</v>
      </c>
      <c r="N2775" t="s">
        <v>9202</v>
      </c>
      <c r="O2775" t="s">
        <v>9203</v>
      </c>
      <c r="P2775" s="2" t="s">
        <v>37</v>
      </c>
      <c r="Q2775" t="s">
        <v>1208</v>
      </c>
      <c r="R2775">
        <v>0</v>
      </c>
      <c r="S2775">
        <v>32.49</v>
      </c>
      <c r="T2775" t="s">
        <v>9204</v>
      </c>
    </row>
    <row r="2776" spans="1:20" x14ac:dyDescent="0.25">
      <c r="A2776" s="1" t="str">
        <f>HYPERLINK("https://vegkart.atlas.vegvesen.no/#/@278729.0,6578269.3,18/hva:hva%5B0%5D%5Bfilter%5D%5B0%5D%5Boperator%5D=%21%3D&amp;hva%5B0%5D%5Bfilter%5D%5B0%5D%5Btype_id%5D=8917&amp;hva%5B0%5D%5Bfilter%5D%5B0%5D%5Bverdi%5D=&amp;hva%5B0%5D%5Bid%5D=49/når:2025-11-11", "Vegkart")</f>
        <v>Vegkart</v>
      </c>
      <c r="B2776">
        <v>301717080</v>
      </c>
      <c r="C2776">
        <v>49</v>
      </c>
      <c r="D2776" t="s">
        <v>8701</v>
      </c>
      <c r="E2776">
        <v>8917</v>
      </c>
      <c r="F2776" t="s">
        <v>23479</v>
      </c>
      <c r="G2776">
        <v>4</v>
      </c>
      <c r="H2776" t="s">
        <v>8773</v>
      </c>
      <c r="J2776" t="s">
        <v>31</v>
      </c>
      <c r="K2776" t="s">
        <v>104</v>
      </c>
      <c r="L2776" t="s">
        <v>33</v>
      </c>
      <c r="M2776" t="s">
        <v>8802</v>
      </c>
      <c r="N2776" t="s">
        <v>9205</v>
      </c>
      <c r="O2776" t="s">
        <v>9206</v>
      </c>
      <c r="P2776" s="2" t="s">
        <v>37</v>
      </c>
      <c r="Q2776" t="s">
        <v>1208</v>
      </c>
      <c r="R2776">
        <v>0</v>
      </c>
      <c r="S2776">
        <v>41.96</v>
      </c>
      <c r="T2776" t="s">
        <v>9207</v>
      </c>
    </row>
    <row r="2777" spans="1:20" x14ac:dyDescent="0.25">
      <c r="A2777" s="1" t="str">
        <f>HYPERLINK("https://vegkart.atlas.vegvesen.no/#/@278529.7,6578381.2,18/hva:hva%5B0%5D%5Bfilter%5D%5B0%5D%5Boperator%5D=%21%3D&amp;hva%5B0%5D%5Bfilter%5D%5B0%5D%5Btype_id%5D=8917&amp;hva%5B0%5D%5Bfilter%5D%5B0%5D%5Bverdi%5D=&amp;hva%5B0%5D%5Bid%5D=49/når:2025-11-11", "Vegkart")</f>
        <v>Vegkart</v>
      </c>
      <c r="B2777">
        <v>301819689</v>
      </c>
      <c r="C2777">
        <v>49</v>
      </c>
      <c r="D2777" t="s">
        <v>8701</v>
      </c>
      <c r="E2777">
        <v>8917</v>
      </c>
      <c r="F2777" t="s">
        <v>23479</v>
      </c>
      <c r="G2777">
        <v>2</v>
      </c>
      <c r="H2777" t="s">
        <v>8773</v>
      </c>
      <c r="J2777" t="s">
        <v>31</v>
      </c>
      <c r="K2777" t="s">
        <v>104</v>
      </c>
      <c r="L2777" t="s">
        <v>33</v>
      </c>
      <c r="M2777" t="s">
        <v>8802</v>
      </c>
      <c r="N2777" t="s">
        <v>9208</v>
      </c>
      <c r="O2777" t="s">
        <v>9209</v>
      </c>
      <c r="P2777" s="2" t="s">
        <v>37</v>
      </c>
      <c r="Q2777" t="s">
        <v>1208</v>
      </c>
      <c r="R2777">
        <v>0</v>
      </c>
      <c r="S2777">
        <v>9.23</v>
      </c>
      <c r="T2777" t="s">
        <v>9210</v>
      </c>
    </row>
    <row r="2778" spans="1:20" x14ac:dyDescent="0.25">
      <c r="A2778" s="1" t="str">
        <f>HYPERLINK("https://vegkart.atlas.vegvesen.no/#/@278315.1,6578552.9,18/hva:hva%5B0%5D%5Bfilter%5D%5B0%5D%5Boperator%5D=%21%3D&amp;hva%5B0%5D%5Bfilter%5D%5B0%5D%5Btype_id%5D=8917&amp;hva%5B0%5D%5Bfilter%5D%5B0%5D%5Bverdi%5D=&amp;hva%5B0%5D%5Bid%5D=49/når:2025-11-11", "Vegkart")</f>
        <v>Vegkart</v>
      </c>
      <c r="B2778">
        <v>301819698</v>
      </c>
      <c r="C2778">
        <v>49</v>
      </c>
      <c r="D2778" t="s">
        <v>8701</v>
      </c>
      <c r="E2778">
        <v>8917</v>
      </c>
      <c r="F2778" t="s">
        <v>23479</v>
      </c>
      <c r="G2778">
        <v>3</v>
      </c>
      <c r="H2778" t="s">
        <v>8773</v>
      </c>
      <c r="J2778" t="s">
        <v>31</v>
      </c>
      <c r="K2778" t="s">
        <v>104</v>
      </c>
      <c r="L2778" t="s">
        <v>33</v>
      </c>
      <c r="M2778" t="s">
        <v>8802</v>
      </c>
      <c r="N2778" t="s">
        <v>9211</v>
      </c>
      <c r="O2778" t="s">
        <v>9212</v>
      </c>
      <c r="P2778" s="2" t="s">
        <v>37</v>
      </c>
      <c r="Q2778" t="s">
        <v>1208</v>
      </c>
      <c r="R2778">
        <v>0</v>
      </c>
      <c r="S2778">
        <v>9.61</v>
      </c>
      <c r="T2778" t="s">
        <v>9213</v>
      </c>
    </row>
    <row r="2779" spans="1:20" x14ac:dyDescent="0.25">
      <c r="A2779" s="1" t="str">
        <f>HYPERLINK("https://vegkart.atlas.vegvesen.no/#/@278294.9,6578570.7,18/hva:hva%5B0%5D%5Bfilter%5D%5B0%5D%5Boperator%5D=%21%3D&amp;hva%5B0%5D%5Bfilter%5D%5B0%5D%5Btype_id%5D=8917&amp;hva%5B0%5D%5Bfilter%5D%5B0%5D%5Bverdi%5D=&amp;hva%5B0%5D%5Bid%5D=49/når:2025-11-11", "Vegkart")</f>
        <v>Vegkart</v>
      </c>
      <c r="B2779">
        <v>301819703</v>
      </c>
      <c r="C2779">
        <v>49</v>
      </c>
      <c r="D2779" t="s">
        <v>8701</v>
      </c>
      <c r="E2779">
        <v>8917</v>
      </c>
      <c r="F2779" t="s">
        <v>23479</v>
      </c>
      <c r="G2779">
        <v>3</v>
      </c>
      <c r="H2779" t="s">
        <v>8773</v>
      </c>
      <c r="J2779" t="s">
        <v>31</v>
      </c>
      <c r="K2779" t="s">
        <v>104</v>
      </c>
      <c r="L2779" t="s">
        <v>33</v>
      </c>
      <c r="M2779" t="s">
        <v>8802</v>
      </c>
      <c r="N2779" t="s">
        <v>9214</v>
      </c>
      <c r="O2779" t="s">
        <v>9215</v>
      </c>
      <c r="P2779" s="2" t="s">
        <v>37</v>
      </c>
      <c r="Q2779" t="s">
        <v>1208</v>
      </c>
      <c r="R2779">
        <v>0</v>
      </c>
      <c r="S2779">
        <v>5.73</v>
      </c>
      <c r="T2779" t="s">
        <v>9216</v>
      </c>
    </row>
    <row r="2780" spans="1:20" x14ac:dyDescent="0.25">
      <c r="A2780" s="1" t="str">
        <f>HYPERLINK("https://vegkart.atlas.vegvesen.no/#/@277837.4,6578980.7,18/hva:hva%5B0%5D%5Bfilter%5D%5B0%5D%5Boperator%5D=%21%3D&amp;hva%5B0%5D%5Bfilter%5D%5B0%5D%5Btype_id%5D=8917&amp;hva%5B0%5D%5Bfilter%5D%5B0%5D%5Bverdi%5D=&amp;hva%5B0%5D%5Bid%5D=49/når:2025-11-11", "Vegkart")</f>
        <v>Vegkart</v>
      </c>
      <c r="B2780">
        <v>301819727</v>
      </c>
      <c r="C2780">
        <v>49</v>
      </c>
      <c r="D2780" t="s">
        <v>8701</v>
      </c>
      <c r="E2780">
        <v>8917</v>
      </c>
      <c r="F2780" t="s">
        <v>23479</v>
      </c>
      <c r="G2780">
        <v>2</v>
      </c>
      <c r="H2780" t="s">
        <v>8773</v>
      </c>
      <c r="J2780" t="s">
        <v>31</v>
      </c>
      <c r="K2780" t="s">
        <v>104</v>
      </c>
      <c r="L2780" t="s">
        <v>33</v>
      </c>
      <c r="M2780" t="s">
        <v>8802</v>
      </c>
      <c r="N2780" t="s">
        <v>9217</v>
      </c>
      <c r="O2780" t="s">
        <v>9218</v>
      </c>
      <c r="P2780" s="2" t="s">
        <v>37</v>
      </c>
      <c r="Q2780" t="s">
        <v>1208</v>
      </c>
      <c r="R2780">
        <v>0</v>
      </c>
      <c r="S2780">
        <v>5.83</v>
      </c>
      <c r="T2780" t="s">
        <v>9219</v>
      </c>
    </row>
    <row r="2781" spans="1:20" x14ac:dyDescent="0.25">
      <c r="A2781" s="1" t="str">
        <f>HYPERLINK("https://vegkart.atlas.vegvesen.no/#/@277426.9,6579034.7,18/hva:hva%5B0%5D%5Bfilter%5D%5B0%5D%5Boperator%5D=%21%3D&amp;hva%5B0%5D%5Bfilter%5D%5B0%5D%5Btype_id%5D=8917&amp;hva%5B0%5D%5Bfilter%5D%5B0%5D%5Bverdi%5D=&amp;hva%5B0%5D%5Bid%5D=49/når:2025-11-11", "Vegkart")</f>
        <v>Vegkart</v>
      </c>
      <c r="B2781">
        <v>301819732</v>
      </c>
      <c r="C2781">
        <v>49</v>
      </c>
      <c r="D2781" t="s">
        <v>8701</v>
      </c>
      <c r="E2781">
        <v>8917</v>
      </c>
      <c r="F2781" t="s">
        <v>23479</v>
      </c>
      <c r="G2781">
        <v>2</v>
      </c>
      <c r="H2781" t="s">
        <v>8773</v>
      </c>
      <c r="J2781" t="s">
        <v>9220</v>
      </c>
      <c r="K2781" t="s">
        <v>104</v>
      </c>
      <c r="L2781" t="s">
        <v>33</v>
      </c>
      <c r="M2781" t="s">
        <v>8802</v>
      </c>
      <c r="N2781" t="s">
        <v>9221</v>
      </c>
      <c r="O2781" t="s">
        <v>9222</v>
      </c>
      <c r="P2781" s="2" t="s">
        <v>37</v>
      </c>
      <c r="Q2781" t="s">
        <v>1208</v>
      </c>
      <c r="R2781">
        <v>0</v>
      </c>
      <c r="S2781">
        <v>15.14</v>
      </c>
      <c r="T2781" t="s">
        <v>9223</v>
      </c>
    </row>
    <row r="2782" spans="1:20" x14ac:dyDescent="0.25">
      <c r="A2782" s="1" t="str">
        <f>HYPERLINK("https://vegkart.atlas.vegvesen.no/#/@269995.8,6583421.4,18/hva:hva%5B0%5D%5Bfilter%5D%5B0%5D%5Boperator%5D=%21%3D&amp;hva%5B0%5D%5Bfilter%5D%5B0%5D%5Btype_id%5D=8917&amp;hva%5B0%5D%5Bfilter%5D%5B0%5D%5Bverdi%5D=&amp;hva%5B0%5D%5Bid%5D=49/når:2025-11-11", "Vegkart")</f>
        <v>Vegkart</v>
      </c>
      <c r="B2782">
        <v>301819769</v>
      </c>
      <c r="C2782">
        <v>49</v>
      </c>
      <c r="D2782" t="s">
        <v>8701</v>
      </c>
      <c r="E2782">
        <v>8917</v>
      </c>
      <c r="F2782" t="s">
        <v>23479</v>
      </c>
      <c r="G2782">
        <v>3</v>
      </c>
      <c r="H2782" t="s">
        <v>8773</v>
      </c>
      <c r="J2782" t="s">
        <v>31</v>
      </c>
      <c r="K2782" t="s">
        <v>104</v>
      </c>
      <c r="L2782" t="s">
        <v>33</v>
      </c>
      <c r="M2782" t="s">
        <v>8802</v>
      </c>
      <c r="N2782" t="s">
        <v>9224</v>
      </c>
      <c r="O2782" t="s">
        <v>9225</v>
      </c>
      <c r="P2782" s="2" t="s">
        <v>37</v>
      </c>
      <c r="Q2782" t="s">
        <v>1208</v>
      </c>
      <c r="R2782">
        <v>0</v>
      </c>
      <c r="S2782">
        <v>23.4</v>
      </c>
      <c r="T2782" t="s">
        <v>9226</v>
      </c>
    </row>
    <row r="2783" spans="1:20" x14ac:dyDescent="0.25">
      <c r="A2783" s="1" t="str">
        <f>HYPERLINK("https://vegkart.atlas.vegvesen.no/#/@268660.8,6585537.6,18/hva:hva%5B0%5D%5Bfilter%5D%5B0%5D%5Boperator%5D=%21%3D&amp;hva%5B0%5D%5Bfilter%5D%5B0%5D%5Btype_id%5D=8917&amp;hva%5B0%5D%5Bfilter%5D%5B0%5D%5Bverdi%5D=&amp;hva%5B0%5D%5Bid%5D=49/når:2025-09-12", "Vegkart")</f>
        <v>Vegkart</v>
      </c>
      <c r="B2783">
        <v>301819782</v>
      </c>
      <c r="C2783">
        <v>49</v>
      </c>
      <c r="D2783" t="s">
        <v>8701</v>
      </c>
      <c r="E2783">
        <v>8917</v>
      </c>
      <c r="F2783" t="s">
        <v>23479</v>
      </c>
      <c r="G2783">
        <v>6</v>
      </c>
      <c r="H2783" t="s">
        <v>8801</v>
      </c>
      <c r="J2783" t="s">
        <v>31</v>
      </c>
      <c r="K2783" t="s">
        <v>104</v>
      </c>
      <c r="L2783" t="s">
        <v>33</v>
      </c>
      <c r="M2783" t="s">
        <v>8802</v>
      </c>
      <c r="N2783" t="s">
        <v>9227</v>
      </c>
      <c r="O2783" t="s">
        <v>9228</v>
      </c>
      <c r="P2783" s="2" t="s">
        <v>37</v>
      </c>
      <c r="Q2783" t="s">
        <v>1208</v>
      </c>
      <c r="R2783">
        <v>0</v>
      </c>
      <c r="S2783">
        <v>26.82</v>
      </c>
      <c r="T2783" t="s">
        <v>9229</v>
      </c>
    </row>
    <row r="2784" spans="1:20" x14ac:dyDescent="0.25">
      <c r="A2784" s="1" t="str">
        <f>HYPERLINK("https://vegkart.atlas.vegvesen.no/#/@268638.5,6585564.2,18/hva:hva%5B0%5D%5Bfilter%5D%5B0%5D%5Boperator%5D=%21%3D&amp;hva%5B0%5D%5Bfilter%5D%5B0%5D%5Btype_id%5D=8917&amp;hva%5B0%5D%5Bfilter%5D%5B0%5D%5Bverdi%5D=&amp;hva%5B0%5D%5Bid%5D=49/når:2025-09-12", "Vegkart")</f>
        <v>Vegkart</v>
      </c>
      <c r="B2784">
        <v>301819787</v>
      </c>
      <c r="C2784">
        <v>49</v>
      </c>
      <c r="D2784" t="s">
        <v>8701</v>
      </c>
      <c r="E2784">
        <v>8917</v>
      </c>
      <c r="F2784" t="s">
        <v>23479</v>
      </c>
      <c r="G2784">
        <v>4</v>
      </c>
      <c r="H2784" t="s">
        <v>8801</v>
      </c>
      <c r="J2784" t="s">
        <v>31</v>
      </c>
      <c r="K2784" t="s">
        <v>104</v>
      </c>
      <c r="L2784" t="s">
        <v>33</v>
      </c>
      <c r="M2784" t="s">
        <v>8802</v>
      </c>
      <c r="N2784" t="s">
        <v>9230</v>
      </c>
      <c r="O2784" t="s">
        <v>9231</v>
      </c>
      <c r="P2784" s="2" t="s">
        <v>37</v>
      </c>
      <c r="Q2784" t="s">
        <v>1208</v>
      </c>
      <c r="R2784">
        <v>0</v>
      </c>
      <c r="S2784">
        <v>34.76</v>
      </c>
      <c r="T2784" t="s">
        <v>9232</v>
      </c>
    </row>
    <row r="2785" spans="1:20" x14ac:dyDescent="0.25">
      <c r="A2785" s="1" t="str">
        <f>HYPERLINK("https://vegkart.atlas.vegvesen.no/#/@268069.6,6585680.5,18/hva:hva%5B0%5D%5Bfilter%5D%5B0%5D%5Boperator%5D=%21%3D&amp;hva%5B0%5D%5Bfilter%5D%5B0%5D%5Btype_id%5D=8917&amp;hva%5B0%5D%5Bfilter%5D%5B0%5D%5Bverdi%5D=&amp;hva%5B0%5D%5Bid%5D=49/når:2025-09-12", "Vegkart")</f>
        <v>Vegkart</v>
      </c>
      <c r="B2785">
        <v>301819794</v>
      </c>
      <c r="C2785">
        <v>49</v>
      </c>
      <c r="D2785" t="s">
        <v>8701</v>
      </c>
      <c r="E2785">
        <v>8917</v>
      </c>
      <c r="F2785" t="s">
        <v>23479</v>
      </c>
      <c r="G2785">
        <v>4</v>
      </c>
      <c r="H2785" t="s">
        <v>8801</v>
      </c>
      <c r="J2785" t="s">
        <v>31</v>
      </c>
      <c r="K2785" t="s">
        <v>104</v>
      </c>
      <c r="L2785" t="s">
        <v>33</v>
      </c>
      <c r="M2785" t="s">
        <v>8802</v>
      </c>
      <c r="N2785" t="s">
        <v>9233</v>
      </c>
      <c r="O2785" t="s">
        <v>9234</v>
      </c>
      <c r="P2785" s="2" t="s">
        <v>37</v>
      </c>
      <c r="Q2785" t="s">
        <v>1208</v>
      </c>
      <c r="R2785">
        <v>0</v>
      </c>
      <c r="S2785">
        <v>20</v>
      </c>
      <c r="T2785" t="s">
        <v>9235</v>
      </c>
    </row>
    <row r="2786" spans="1:20" x14ac:dyDescent="0.25">
      <c r="A2786" s="1" t="str">
        <f>HYPERLINK("https://vegkart.atlas.vegvesen.no/#/@268038.4,6585682.9,18/hva:hva%5B0%5D%5Bfilter%5D%5B0%5D%5Boperator%5D=%21%3D&amp;hva%5B0%5D%5Bfilter%5D%5B0%5D%5Btype_id%5D=8917&amp;hva%5B0%5D%5Bfilter%5D%5B0%5D%5Bverdi%5D=&amp;hva%5B0%5D%5Bid%5D=49/når:2025-09-12", "Vegkart")</f>
        <v>Vegkart</v>
      </c>
      <c r="B2786">
        <v>301819797</v>
      </c>
      <c r="C2786">
        <v>49</v>
      </c>
      <c r="D2786" t="s">
        <v>8701</v>
      </c>
      <c r="E2786">
        <v>8917</v>
      </c>
      <c r="F2786" t="s">
        <v>23479</v>
      </c>
      <c r="G2786">
        <v>4</v>
      </c>
      <c r="H2786" t="s">
        <v>8801</v>
      </c>
      <c r="J2786" t="s">
        <v>31</v>
      </c>
      <c r="K2786" t="s">
        <v>104</v>
      </c>
      <c r="L2786" t="s">
        <v>33</v>
      </c>
      <c r="M2786" t="s">
        <v>8802</v>
      </c>
      <c r="N2786" t="s">
        <v>9236</v>
      </c>
      <c r="O2786" t="s">
        <v>9237</v>
      </c>
      <c r="P2786" s="2" t="s">
        <v>37</v>
      </c>
      <c r="Q2786" t="s">
        <v>1208</v>
      </c>
      <c r="R2786">
        <v>0</v>
      </c>
      <c r="S2786">
        <v>14.7</v>
      </c>
      <c r="T2786" t="s">
        <v>9238</v>
      </c>
    </row>
    <row r="2787" spans="1:20" x14ac:dyDescent="0.25">
      <c r="A2787" s="1" t="str">
        <f>HYPERLINK("https://vegkart.atlas.vegvesen.no/#/@265545.3,6586423.6,18/hva:hva%5B0%5D%5Bfilter%5D%5B0%5D%5Boperator%5D=%21%3D&amp;hva%5B0%5D%5Bfilter%5D%5B0%5D%5Btype_id%5D=8917&amp;hva%5B0%5D%5Bfilter%5D%5B0%5D%5Bverdi%5D=&amp;hva%5B0%5D%5Bid%5D=49/når:2025-09-12", "Vegkart")</f>
        <v>Vegkart</v>
      </c>
      <c r="B2787">
        <v>301819836</v>
      </c>
      <c r="C2787">
        <v>49</v>
      </c>
      <c r="D2787" t="s">
        <v>8701</v>
      </c>
      <c r="E2787">
        <v>8917</v>
      </c>
      <c r="F2787" t="s">
        <v>23479</v>
      </c>
      <c r="G2787">
        <v>4</v>
      </c>
      <c r="H2787" t="s">
        <v>8801</v>
      </c>
      <c r="J2787" t="s">
        <v>31</v>
      </c>
      <c r="K2787" t="s">
        <v>104</v>
      </c>
      <c r="L2787" t="s">
        <v>33</v>
      </c>
      <c r="M2787" t="s">
        <v>8802</v>
      </c>
      <c r="N2787" t="s">
        <v>9239</v>
      </c>
      <c r="O2787" t="s">
        <v>9240</v>
      </c>
      <c r="P2787" s="2" t="s">
        <v>37</v>
      </c>
      <c r="Q2787" t="s">
        <v>1208</v>
      </c>
      <c r="R2787">
        <v>0</v>
      </c>
      <c r="S2787">
        <v>19.46</v>
      </c>
      <c r="T2787" t="s">
        <v>9241</v>
      </c>
    </row>
    <row r="2788" spans="1:20" x14ac:dyDescent="0.25">
      <c r="A2788" s="1" t="str">
        <f>HYPERLINK("https://vegkart.atlas.vegvesen.no/#/@265406.8,6586499.6,18/hva:hva%5B0%5D%5Bfilter%5D%5B0%5D%5Boperator%5D=%21%3D&amp;hva%5B0%5D%5Bfilter%5D%5B0%5D%5Btype_id%5D=8917&amp;hva%5B0%5D%5Bfilter%5D%5B0%5D%5Bverdi%5D=&amp;hva%5B0%5D%5Bid%5D=49/når:2025-09-12", "Vegkart")</f>
        <v>Vegkart</v>
      </c>
      <c r="B2788">
        <v>301819840</v>
      </c>
      <c r="C2788">
        <v>49</v>
      </c>
      <c r="D2788" t="s">
        <v>8701</v>
      </c>
      <c r="E2788">
        <v>8917</v>
      </c>
      <c r="F2788" t="s">
        <v>23479</v>
      </c>
      <c r="G2788">
        <v>3</v>
      </c>
      <c r="H2788" t="s">
        <v>8801</v>
      </c>
      <c r="J2788" t="s">
        <v>31</v>
      </c>
      <c r="K2788" t="s">
        <v>104</v>
      </c>
      <c r="L2788" t="s">
        <v>33</v>
      </c>
      <c r="M2788" t="s">
        <v>8802</v>
      </c>
      <c r="N2788" t="s">
        <v>9242</v>
      </c>
      <c r="O2788" t="s">
        <v>9243</v>
      </c>
      <c r="P2788" s="2" t="s">
        <v>37</v>
      </c>
      <c r="Q2788" t="s">
        <v>1208</v>
      </c>
      <c r="R2788">
        <v>0</v>
      </c>
      <c r="S2788">
        <v>7.43</v>
      </c>
      <c r="T2788" t="s">
        <v>9244</v>
      </c>
    </row>
    <row r="2789" spans="1:20" x14ac:dyDescent="0.25">
      <c r="A2789" s="1" t="str">
        <f>HYPERLINK("https://vegkart.atlas.vegvesen.no/#/@265398.5,6586498.1,18/hva:hva%5B0%5D%5Bfilter%5D%5B0%5D%5Boperator%5D=%21%3D&amp;hva%5B0%5D%5Bfilter%5D%5B0%5D%5Btype_id%5D=8917&amp;hva%5B0%5D%5Bfilter%5D%5B0%5D%5Bverdi%5D=&amp;hva%5B0%5D%5Bid%5D=49/når:2025-09-12", "Vegkart")</f>
        <v>Vegkart</v>
      </c>
      <c r="B2789">
        <v>301819847</v>
      </c>
      <c r="C2789">
        <v>49</v>
      </c>
      <c r="D2789" t="s">
        <v>8701</v>
      </c>
      <c r="E2789">
        <v>8917</v>
      </c>
      <c r="F2789" t="s">
        <v>23479</v>
      </c>
      <c r="G2789">
        <v>3</v>
      </c>
      <c r="H2789" t="s">
        <v>8801</v>
      </c>
      <c r="J2789" t="s">
        <v>31</v>
      </c>
      <c r="K2789" t="s">
        <v>104</v>
      </c>
      <c r="L2789" t="s">
        <v>33</v>
      </c>
      <c r="M2789" t="s">
        <v>8802</v>
      </c>
      <c r="N2789" t="s">
        <v>9245</v>
      </c>
      <c r="O2789" t="s">
        <v>9246</v>
      </c>
      <c r="P2789" s="2" t="s">
        <v>37</v>
      </c>
      <c r="Q2789" t="s">
        <v>1208</v>
      </c>
      <c r="R2789">
        <v>0</v>
      </c>
      <c r="S2789">
        <v>22.05</v>
      </c>
      <c r="T2789" t="s">
        <v>9247</v>
      </c>
    </row>
    <row r="2790" spans="1:20" x14ac:dyDescent="0.25">
      <c r="A2790" s="1" t="str">
        <f>HYPERLINK("https://vegkart.atlas.vegvesen.no/#/@260511.6,6588888.3,18/hva:hva%5B0%5D%5Bfilter%5D%5B0%5D%5Boperator%5D=%21%3D&amp;hva%5B0%5D%5Bfilter%5D%5B0%5D%5Btype_id%5D=8917&amp;hva%5B0%5D%5Bfilter%5D%5B0%5D%5Bverdi%5D=&amp;hva%5B0%5D%5Bid%5D=49/når:2025-09-12", "Vegkart")</f>
        <v>Vegkart</v>
      </c>
      <c r="B2790">
        <v>301904093</v>
      </c>
      <c r="C2790">
        <v>49</v>
      </c>
      <c r="D2790" t="s">
        <v>8701</v>
      </c>
      <c r="E2790">
        <v>8917</v>
      </c>
      <c r="F2790" t="s">
        <v>23479</v>
      </c>
      <c r="G2790">
        <v>4</v>
      </c>
      <c r="H2790" t="s">
        <v>8801</v>
      </c>
      <c r="J2790" t="s">
        <v>9248</v>
      </c>
      <c r="K2790" t="s">
        <v>104</v>
      </c>
      <c r="L2790" t="s">
        <v>33</v>
      </c>
      <c r="M2790" t="s">
        <v>8802</v>
      </c>
      <c r="N2790" t="s">
        <v>9249</v>
      </c>
      <c r="O2790" t="s">
        <v>9250</v>
      </c>
      <c r="P2790" s="2" t="s">
        <v>37</v>
      </c>
      <c r="Q2790" t="s">
        <v>1208</v>
      </c>
      <c r="R2790">
        <v>0</v>
      </c>
      <c r="S2790">
        <v>27.84</v>
      </c>
      <c r="T2790" t="s">
        <v>9251</v>
      </c>
    </row>
    <row r="2791" spans="1:20" x14ac:dyDescent="0.25">
      <c r="A2791" s="1" t="str">
        <f>HYPERLINK("https://vegkart.atlas.vegvesen.no/#/@260472.1,6588903.9,18/hva:hva%5B0%5D%5Bfilter%5D%5B0%5D%5Boperator%5D=%21%3D&amp;hva%5B0%5D%5Bfilter%5D%5B0%5D%5Btype_id%5D=8917&amp;hva%5B0%5D%5Bfilter%5D%5B0%5D%5Bverdi%5D=&amp;hva%5B0%5D%5Bid%5D=49/når:2025-09-12", "Vegkart")</f>
        <v>Vegkart</v>
      </c>
      <c r="B2791">
        <v>301904113</v>
      </c>
      <c r="C2791">
        <v>49</v>
      </c>
      <c r="D2791" t="s">
        <v>8701</v>
      </c>
      <c r="E2791">
        <v>8917</v>
      </c>
      <c r="F2791" t="s">
        <v>23479</v>
      </c>
      <c r="G2791">
        <v>4</v>
      </c>
      <c r="H2791" t="s">
        <v>8801</v>
      </c>
      <c r="J2791" t="s">
        <v>31</v>
      </c>
      <c r="K2791" t="s">
        <v>104</v>
      </c>
      <c r="L2791" t="s">
        <v>33</v>
      </c>
      <c r="M2791" t="s">
        <v>8802</v>
      </c>
      <c r="N2791" t="s">
        <v>9252</v>
      </c>
      <c r="O2791" t="s">
        <v>9253</v>
      </c>
      <c r="P2791" s="2" t="s">
        <v>37</v>
      </c>
      <c r="Q2791" t="s">
        <v>1208</v>
      </c>
      <c r="R2791">
        <v>0</v>
      </c>
      <c r="S2791">
        <v>40.6</v>
      </c>
      <c r="T2791" t="s">
        <v>9254</v>
      </c>
    </row>
    <row r="2792" spans="1:20" x14ac:dyDescent="0.25">
      <c r="A2792" s="1" t="str">
        <f>HYPERLINK("https://vegkart.atlas.vegvesen.no/#/@259947.9,6589123.1,18/hva:hva%5B0%5D%5Bfilter%5D%5B0%5D%5Boperator%5D=%21%3D&amp;hva%5B0%5D%5Bfilter%5D%5B0%5D%5Btype_id%5D=8917&amp;hva%5B0%5D%5Bfilter%5D%5B0%5D%5Bverdi%5D=&amp;hva%5B0%5D%5Bid%5D=49/når:2025-10-30", "Vegkart")</f>
        <v>Vegkart</v>
      </c>
      <c r="B2792">
        <v>301904119</v>
      </c>
      <c r="C2792">
        <v>49</v>
      </c>
      <c r="D2792" t="s">
        <v>8701</v>
      </c>
      <c r="E2792">
        <v>8917</v>
      </c>
      <c r="F2792" t="s">
        <v>23479</v>
      </c>
      <c r="G2792">
        <v>3</v>
      </c>
      <c r="H2792" t="s">
        <v>8750</v>
      </c>
      <c r="J2792" t="s">
        <v>31</v>
      </c>
      <c r="K2792" t="s">
        <v>104</v>
      </c>
      <c r="L2792" t="s">
        <v>33</v>
      </c>
      <c r="M2792" t="s">
        <v>8802</v>
      </c>
      <c r="N2792" t="s">
        <v>9255</v>
      </c>
      <c r="O2792" t="s">
        <v>9256</v>
      </c>
      <c r="P2792" s="2" t="s">
        <v>37</v>
      </c>
      <c r="Q2792" t="s">
        <v>1208</v>
      </c>
      <c r="R2792">
        <v>0</v>
      </c>
      <c r="S2792">
        <v>21</v>
      </c>
      <c r="T2792" t="s">
        <v>9257</v>
      </c>
    </row>
    <row r="2793" spans="1:20" x14ac:dyDescent="0.25">
      <c r="A2793" s="1" t="str">
        <f>HYPERLINK("https://vegkart.atlas.vegvesen.no/#/@259924.1,6589137.1,18/hva:hva%5B0%5D%5Bfilter%5D%5B0%5D%5Boperator%5D=%21%3D&amp;hva%5B0%5D%5Bfilter%5D%5B0%5D%5Btype_id%5D=8917&amp;hva%5B0%5D%5Bfilter%5D%5B0%5D%5Bverdi%5D=&amp;hva%5B0%5D%5Bid%5D=49/når:2025-10-30", "Vegkart")</f>
        <v>Vegkart</v>
      </c>
      <c r="B2793">
        <v>301904122</v>
      </c>
      <c r="C2793">
        <v>49</v>
      </c>
      <c r="D2793" t="s">
        <v>8701</v>
      </c>
      <c r="E2793">
        <v>8917</v>
      </c>
      <c r="F2793" t="s">
        <v>23479</v>
      </c>
      <c r="G2793">
        <v>3</v>
      </c>
      <c r="H2793" t="s">
        <v>8750</v>
      </c>
      <c r="J2793" t="s">
        <v>31</v>
      </c>
      <c r="K2793" t="s">
        <v>104</v>
      </c>
      <c r="L2793" t="s">
        <v>33</v>
      </c>
      <c r="M2793" t="s">
        <v>8802</v>
      </c>
      <c r="N2793" t="s">
        <v>9258</v>
      </c>
      <c r="O2793" t="s">
        <v>9259</v>
      </c>
      <c r="P2793" s="2" t="s">
        <v>37</v>
      </c>
      <c r="Q2793" t="s">
        <v>1208</v>
      </c>
      <c r="R2793">
        <v>0</v>
      </c>
      <c r="S2793">
        <v>11.5</v>
      </c>
      <c r="T2793" t="s">
        <v>9260</v>
      </c>
    </row>
    <row r="2794" spans="1:20" x14ac:dyDescent="0.25">
      <c r="A2794" s="1" t="str">
        <f>HYPERLINK("https://vegkart.atlas.vegvesen.no/#/@283760.1,6611116.3,18/hva:hva%5B0%5D%5Bfilter%5D%5B0%5D%5Boperator%5D=%21%3D&amp;hva%5B0%5D%5Bfilter%5D%5B0%5D%5Btype_id%5D=8917&amp;hva%5B0%5D%5Bfilter%5D%5B0%5D%5Bverdi%5D=&amp;hva%5B0%5D%5Bid%5D=49/når:2025-10-03", "Vegkart")</f>
        <v>Vegkart</v>
      </c>
      <c r="B2794">
        <v>305526657</v>
      </c>
      <c r="C2794">
        <v>49</v>
      </c>
      <c r="D2794" t="s">
        <v>8701</v>
      </c>
      <c r="E2794">
        <v>8917</v>
      </c>
      <c r="F2794" t="s">
        <v>23479</v>
      </c>
      <c r="G2794">
        <v>3</v>
      </c>
      <c r="H2794" t="s">
        <v>8719</v>
      </c>
      <c r="J2794" t="s">
        <v>31</v>
      </c>
      <c r="K2794" t="s">
        <v>104</v>
      </c>
      <c r="L2794" t="s">
        <v>33</v>
      </c>
      <c r="M2794" t="s">
        <v>5979</v>
      </c>
      <c r="N2794" t="s">
        <v>9261</v>
      </c>
      <c r="O2794" t="s">
        <v>9262</v>
      </c>
      <c r="P2794" s="2" t="s">
        <v>37</v>
      </c>
      <c r="Q2794" t="s">
        <v>1208</v>
      </c>
      <c r="R2794">
        <v>0</v>
      </c>
      <c r="S2794">
        <v>28.09</v>
      </c>
      <c r="T2794" t="s">
        <v>9263</v>
      </c>
    </row>
    <row r="2795" spans="1:20" x14ac:dyDescent="0.25">
      <c r="A2795" s="1" t="str">
        <f>HYPERLINK("https://vegkart.atlas.vegvesen.no/#/@283980.3,6612033.1,18/hva:hva%5B0%5D%5Bfilter%5D%5B0%5D%5Boperator%5D=%21%3D&amp;hva%5B0%5D%5Bfilter%5D%5B0%5D%5Btype_id%5D=8917&amp;hva%5B0%5D%5Bfilter%5D%5B0%5D%5Bverdi%5D=&amp;hva%5B0%5D%5Bid%5D=49/når:2025-10-03", "Vegkart")</f>
        <v>Vegkart</v>
      </c>
      <c r="B2795">
        <v>305526710</v>
      </c>
      <c r="C2795">
        <v>49</v>
      </c>
      <c r="D2795" t="s">
        <v>8701</v>
      </c>
      <c r="E2795">
        <v>8917</v>
      </c>
      <c r="F2795" t="s">
        <v>23479</v>
      </c>
      <c r="G2795">
        <v>2</v>
      </c>
      <c r="H2795" t="s">
        <v>8719</v>
      </c>
      <c r="J2795" t="s">
        <v>31</v>
      </c>
      <c r="K2795" t="s">
        <v>104</v>
      </c>
      <c r="L2795" t="s">
        <v>33</v>
      </c>
      <c r="M2795" t="s">
        <v>5979</v>
      </c>
      <c r="N2795" t="s">
        <v>9264</v>
      </c>
      <c r="O2795" t="s">
        <v>9265</v>
      </c>
      <c r="P2795" s="2" t="s">
        <v>37</v>
      </c>
      <c r="Q2795" t="s">
        <v>1208</v>
      </c>
      <c r="R2795">
        <v>0</v>
      </c>
      <c r="S2795">
        <v>18.32</v>
      </c>
      <c r="T2795" t="s">
        <v>9266</v>
      </c>
    </row>
    <row r="2796" spans="1:20" x14ac:dyDescent="0.25">
      <c r="A2796" s="1" t="str">
        <f>HYPERLINK("https://vegkart.atlas.vegvesen.no/#/@292211.3,6616798.6,18/hva:hva%5B0%5D%5Bfilter%5D%5B0%5D%5Boperator%5D=%21%3D&amp;hva%5B0%5D%5Bfilter%5D%5B0%5D%5Btype_id%5D=8917&amp;hva%5B0%5D%5Bfilter%5D%5B0%5D%5Bverdi%5D=&amp;hva%5B0%5D%5Bid%5D=49/når:2025-10-03", "Vegkart")</f>
        <v>Vegkart</v>
      </c>
      <c r="B2796">
        <v>305526721</v>
      </c>
      <c r="C2796">
        <v>49</v>
      </c>
      <c r="D2796" t="s">
        <v>8701</v>
      </c>
      <c r="E2796">
        <v>8917</v>
      </c>
      <c r="F2796" t="s">
        <v>23479</v>
      </c>
      <c r="G2796">
        <v>3</v>
      </c>
      <c r="H2796" t="s">
        <v>8719</v>
      </c>
      <c r="J2796" t="s">
        <v>31</v>
      </c>
      <c r="K2796" t="s">
        <v>104</v>
      </c>
      <c r="L2796" t="s">
        <v>33</v>
      </c>
      <c r="M2796" t="s">
        <v>5979</v>
      </c>
      <c r="N2796" t="s">
        <v>9267</v>
      </c>
      <c r="O2796" t="s">
        <v>9268</v>
      </c>
      <c r="P2796" s="2" t="s">
        <v>37</v>
      </c>
      <c r="Q2796" t="s">
        <v>1208</v>
      </c>
      <c r="R2796">
        <v>0</v>
      </c>
      <c r="S2796">
        <v>26.55</v>
      </c>
      <c r="T2796" t="s">
        <v>9269</v>
      </c>
    </row>
    <row r="2797" spans="1:20" x14ac:dyDescent="0.25">
      <c r="A2797" s="1" t="str">
        <f>HYPERLINK("https://vegkart.atlas.vegvesen.no/#/@292368.6,6617185.9,18/hva:hva%5B0%5D%5Bfilter%5D%5B0%5D%5Boperator%5D=%21%3D&amp;hva%5B0%5D%5Bfilter%5D%5B0%5D%5Btype_id%5D=8917&amp;hva%5B0%5D%5Bfilter%5D%5B0%5D%5Bverdi%5D=&amp;hva%5B0%5D%5Bid%5D=49/når:2025-10-03", "Vegkart")</f>
        <v>Vegkart</v>
      </c>
      <c r="B2797">
        <v>305526723</v>
      </c>
      <c r="C2797">
        <v>49</v>
      </c>
      <c r="D2797" t="s">
        <v>8701</v>
      </c>
      <c r="E2797">
        <v>8917</v>
      </c>
      <c r="F2797" t="s">
        <v>23479</v>
      </c>
      <c r="G2797">
        <v>2</v>
      </c>
      <c r="H2797" t="s">
        <v>8719</v>
      </c>
      <c r="J2797" t="s">
        <v>31</v>
      </c>
      <c r="K2797" t="s">
        <v>104</v>
      </c>
      <c r="L2797" t="s">
        <v>33</v>
      </c>
      <c r="M2797" t="s">
        <v>5979</v>
      </c>
      <c r="N2797" t="s">
        <v>9270</v>
      </c>
      <c r="O2797" t="s">
        <v>9271</v>
      </c>
      <c r="P2797" s="2" t="s">
        <v>37</v>
      </c>
      <c r="Q2797" t="s">
        <v>1208</v>
      </c>
      <c r="R2797">
        <v>0</v>
      </c>
      <c r="S2797">
        <v>19.87</v>
      </c>
      <c r="T2797" t="s">
        <v>9272</v>
      </c>
    </row>
    <row r="2798" spans="1:20" x14ac:dyDescent="0.25">
      <c r="A2798" s="1" t="str">
        <f>HYPERLINK("https://vegkart.atlas.vegvesen.no/#/@283746.9,6611098.1,18/hva:hva%5B0%5D%5Bfilter%5D%5B0%5D%5Boperator%5D=%21%3D&amp;hva%5B0%5D%5Bfilter%5D%5B0%5D%5Btype_id%5D=8917&amp;hva%5B0%5D%5Bfilter%5D%5B0%5D%5Bverdi%5D=&amp;hva%5B0%5D%5Bid%5D=49/når:2025-10-03", "Vegkart")</f>
        <v>Vegkart</v>
      </c>
      <c r="B2798">
        <v>305526734</v>
      </c>
      <c r="C2798">
        <v>49</v>
      </c>
      <c r="D2798" t="s">
        <v>8701</v>
      </c>
      <c r="E2798">
        <v>8917</v>
      </c>
      <c r="F2798" t="s">
        <v>23479</v>
      </c>
      <c r="G2798">
        <v>4</v>
      </c>
      <c r="H2798" t="s">
        <v>8719</v>
      </c>
      <c r="J2798" t="s">
        <v>31</v>
      </c>
      <c r="K2798" t="s">
        <v>104</v>
      </c>
      <c r="L2798" t="s">
        <v>33</v>
      </c>
      <c r="M2798" t="s">
        <v>5979</v>
      </c>
      <c r="N2798" t="s">
        <v>9273</v>
      </c>
      <c r="O2798" t="s">
        <v>9274</v>
      </c>
      <c r="P2798" s="2" t="s">
        <v>37</v>
      </c>
      <c r="Q2798" t="s">
        <v>1208</v>
      </c>
      <c r="R2798">
        <v>0</v>
      </c>
      <c r="S2798">
        <v>70.239999999999995</v>
      </c>
      <c r="T2798" t="s">
        <v>9275</v>
      </c>
    </row>
    <row r="2799" spans="1:20" x14ac:dyDescent="0.25">
      <c r="A2799" s="1" t="str">
        <f>HYPERLINK("https://vegkart.atlas.vegvesen.no/#/@286356.7,6610147.2,18/hva:hva%5B0%5D%5Bfilter%5D%5B0%5D%5Boperator%5D=%21%3D&amp;hva%5B0%5D%5Bfilter%5D%5B0%5D%5Btype_id%5D=8917&amp;hva%5B0%5D%5Bfilter%5D%5B0%5D%5Bverdi%5D=&amp;hva%5B0%5D%5Bid%5D=49/når:2025-10-03", "Vegkart")</f>
        <v>Vegkart</v>
      </c>
      <c r="B2799">
        <v>317128559</v>
      </c>
      <c r="C2799">
        <v>49</v>
      </c>
      <c r="D2799" t="s">
        <v>8701</v>
      </c>
      <c r="E2799">
        <v>8917</v>
      </c>
      <c r="F2799" t="s">
        <v>23479</v>
      </c>
      <c r="G2799">
        <v>4</v>
      </c>
      <c r="H2799" t="s">
        <v>8719</v>
      </c>
      <c r="J2799" t="s">
        <v>31</v>
      </c>
      <c r="K2799" t="s">
        <v>104</v>
      </c>
      <c r="L2799" t="s">
        <v>33</v>
      </c>
      <c r="M2799" t="s">
        <v>8729</v>
      </c>
      <c r="N2799" t="s">
        <v>9276</v>
      </c>
      <c r="O2799" t="s">
        <v>9277</v>
      </c>
      <c r="P2799" s="2" t="s">
        <v>37</v>
      </c>
      <c r="Q2799" t="s">
        <v>1208</v>
      </c>
      <c r="R2799">
        <v>0</v>
      </c>
      <c r="S2799">
        <v>24.86</v>
      </c>
      <c r="T2799" t="s">
        <v>9278</v>
      </c>
    </row>
    <row r="2800" spans="1:20" x14ac:dyDescent="0.25">
      <c r="A2800" s="1" t="str">
        <f>HYPERLINK("https://vegkart.atlas.vegvesen.no/#/@286391.4,6610113.1,18/hva:hva%5B0%5D%5Bfilter%5D%5B0%5D%5Boperator%5D=%21%3D&amp;hva%5B0%5D%5Bfilter%5D%5B0%5D%5Btype_id%5D=8917&amp;hva%5B0%5D%5Bfilter%5D%5B0%5D%5Bverdi%5D=&amp;hva%5B0%5D%5Bid%5D=49/når:2025-10-03", "Vegkart")</f>
        <v>Vegkart</v>
      </c>
      <c r="B2800">
        <v>317128576</v>
      </c>
      <c r="C2800">
        <v>49</v>
      </c>
      <c r="D2800" t="s">
        <v>8701</v>
      </c>
      <c r="E2800">
        <v>8917</v>
      </c>
      <c r="F2800" t="s">
        <v>23479</v>
      </c>
      <c r="G2800">
        <v>3</v>
      </c>
      <c r="H2800" t="s">
        <v>8719</v>
      </c>
      <c r="J2800" t="s">
        <v>31</v>
      </c>
      <c r="K2800" t="s">
        <v>104</v>
      </c>
      <c r="L2800" t="s">
        <v>33</v>
      </c>
      <c r="M2800" t="s">
        <v>8729</v>
      </c>
      <c r="N2800" t="s">
        <v>9279</v>
      </c>
      <c r="O2800" t="s">
        <v>9280</v>
      </c>
      <c r="P2800" s="2" t="s">
        <v>37</v>
      </c>
      <c r="Q2800" t="s">
        <v>1208</v>
      </c>
      <c r="R2800">
        <v>0</v>
      </c>
      <c r="S2800">
        <v>26.57</v>
      </c>
      <c r="T2800" t="s">
        <v>9281</v>
      </c>
    </row>
    <row r="2801" spans="1:20" x14ac:dyDescent="0.25">
      <c r="A2801" s="1" t="str">
        <f>HYPERLINK("https://vegkart.atlas.vegvesen.no/#/@286340.7,6610163.0,18/hva:hva%5B0%5D%5Bfilter%5D%5B0%5D%5Boperator%5D=%21%3D&amp;hva%5B0%5D%5Bfilter%5D%5B0%5D%5Btype_id%5D=8917&amp;hva%5B0%5D%5Bfilter%5D%5B0%5D%5Bverdi%5D=&amp;hva%5B0%5D%5Bid%5D=49/når:2025-10-03", "Vegkart")</f>
        <v>Vegkart</v>
      </c>
      <c r="B2801">
        <v>317128604</v>
      </c>
      <c r="C2801">
        <v>49</v>
      </c>
      <c r="D2801" t="s">
        <v>8701</v>
      </c>
      <c r="E2801">
        <v>8917</v>
      </c>
      <c r="F2801" t="s">
        <v>23479</v>
      </c>
      <c r="G2801">
        <v>3</v>
      </c>
      <c r="H2801" t="s">
        <v>8719</v>
      </c>
      <c r="J2801" t="s">
        <v>31</v>
      </c>
      <c r="K2801" t="s">
        <v>104</v>
      </c>
      <c r="L2801" t="s">
        <v>33</v>
      </c>
      <c r="M2801" t="s">
        <v>8729</v>
      </c>
      <c r="N2801" t="s">
        <v>9282</v>
      </c>
      <c r="O2801" t="s">
        <v>9283</v>
      </c>
      <c r="P2801" s="2" t="s">
        <v>37</v>
      </c>
      <c r="Q2801" t="s">
        <v>1208</v>
      </c>
      <c r="R2801">
        <v>0</v>
      </c>
      <c r="S2801">
        <v>62.92</v>
      </c>
      <c r="T2801" t="s">
        <v>9284</v>
      </c>
    </row>
    <row r="2802" spans="1:20" x14ac:dyDescent="0.25">
      <c r="A2802" s="1" t="str">
        <f>HYPERLINK("https://vegkart.atlas.vegvesen.no/#/@286325.3,6610179.6,18/hva:hva%5B0%5D%5Bfilter%5D%5B0%5D%5Boperator%5D=%21%3D&amp;hva%5B0%5D%5Bfilter%5D%5B0%5D%5Btype_id%5D=8917&amp;hva%5B0%5D%5Bfilter%5D%5B0%5D%5Bverdi%5D=&amp;hva%5B0%5D%5Bid%5D=49/når:2025-10-03", "Vegkart")</f>
        <v>Vegkart</v>
      </c>
      <c r="B2802">
        <v>317128651</v>
      </c>
      <c r="C2802">
        <v>49</v>
      </c>
      <c r="D2802" t="s">
        <v>8701</v>
      </c>
      <c r="E2802">
        <v>8917</v>
      </c>
      <c r="F2802" t="s">
        <v>23479</v>
      </c>
      <c r="G2802">
        <v>3</v>
      </c>
      <c r="H2802" t="s">
        <v>8719</v>
      </c>
      <c r="J2802" t="s">
        <v>31</v>
      </c>
      <c r="K2802" t="s">
        <v>104</v>
      </c>
      <c r="L2802" t="s">
        <v>33</v>
      </c>
      <c r="M2802" t="s">
        <v>8729</v>
      </c>
      <c r="N2802" t="s">
        <v>9285</v>
      </c>
      <c r="O2802" t="s">
        <v>9286</v>
      </c>
      <c r="P2802" s="2" t="s">
        <v>37</v>
      </c>
      <c r="Q2802" t="s">
        <v>1208</v>
      </c>
      <c r="R2802">
        <v>0</v>
      </c>
      <c r="S2802">
        <v>25.11</v>
      </c>
      <c r="T2802" t="s">
        <v>9287</v>
      </c>
    </row>
    <row r="2803" spans="1:20" x14ac:dyDescent="0.25">
      <c r="A2803" s="1" t="str">
        <f>HYPERLINK("https://vegkart.atlas.vegvesen.no/#/@286092.7,6610423.9,18/hva:hva%5B0%5D%5Bfilter%5D%5B0%5D%5Boperator%5D=%21%3D&amp;hva%5B0%5D%5Bfilter%5D%5B0%5D%5Btype_id%5D=8917&amp;hva%5B0%5D%5Bfilter%5D%5B0%5D%5Bverdi%5D=&amp;hva%5B0%5D%5Bid%5D=49/når:2025-10-03", "Vegkart")</f>
        <v>Vegkart</v>
      </c>
      <c r="B2803">
        <v>317128691</v>
      </c>
      <c r="C2803">
        <v>49</v>
      </c>
      <c r="D2803" t="s">
        <v>8701</v>
      </c>
      <c r="E2803">
        <v>8917</v>
      </c>
      <c r="F2803" t="s">
        <v>23479</v>
      </c>
      <c r="G2803">
        <v>4</v>
      </c>
      <c r="H2803" t="s">
        <v>8719</v>
      </c>
      <c r="J2803" t="s">
        <v>31</v>
      </c>
      <c r="K2803" t="s">
        <v>104</v>
      </c>
      <c r="L2803" t="s">
        <v>33</v>
      </c>
      <c r="M2803" t="s">
        <v>8729</v>
      </c>
      <c r="N2803" t="s">
        <v>9288</v>
      </c>
      <c r="O2803" t="s">
        <v>9289</v>
      </c>
      <c r="P2803" s="2" t="s">
        <v>37</v>
      </c>
      <c r="Q2803" t="s">
        <v>1208</v>
      </c>
      <c r="R2803">
        <v>0</v>
      </c>
      <c r="S2803">
        <v>36.11</v>
      </c>
      <c r="T2803" t="s">
        <v>9290</v>
      </c>
    </row>
    <row r="2804" spans="1:20" x14ac:dyDescent="0.25">
      <c r="A2804" s="1" t="str">
        <f>HYPERLINK("https://vegkart.atlas.vegvesen.no/#/@290938.2,6594719.8,18/hva:hva%5B0%5D%5Bfilter%5D%5B0%5D%5Boperator%5D=%21%3D&amp;hva%5B0%5D%5Bfilter%5D%5B0%5D%5Btype_id%5D=8917&amp;hva%5B0%5D%5Bfilter%5D%5B0%5D%5Bverdi%5D=&amp;hva%5B0%5D%5Bid%5D=49/når:2025-09-17", "Vegkart")</f>
        <v>Vegkart</v>
      </c>
      <c r="B2804">
        <v>319597182</v>
      </c>
      <c r="C2804">
        <v>49</v>
      </c>
      <c r="D2804" t="s">
        <v>8701</v>
      </c>
      <c r="E2804">
        <v>8917</v>
      </c>
      <c r="F2804" t="s">
        <v>23479</v>
      </c>
      <c r="G2804">
        <v>4</v>
      </c>
      <c r="H2804" t="s">
        <v>4275</v>
      </c>
      <c r="J2804" t="s">
        <v>31</v>
      </c>
      <c r="K2804" t="s">
        <v>104</v>
      </c>
      <c r="L2804" t="s">
        <v>33</v>
      </c>
      <c r="M2804" t="s">
        <v>8729</v>
      </c>
      <c r="N2804" t="s">
        <v>9291</v>
      </c>
      <c r="O2804" t="s">
        <v>9292</v>
      </c>
      <c r="P2804" s="2" t="s">
        <v>37</v>
      </c>
      <c r="Q2804" t="s">
        <v>1208</v>
      </c>
      <c r="R2804">
        <v>0</v>
      </c>
      <c r="S2804">
        <v>22.66</v>
      </c>
      <c r="T2804" t="s">
        <v>9293</v>
      </c>
    </row>
    <row r="2805" spans="1:20" x14ac:dyDescent="0.25">
      <c r="A2805" s="1" t="str">
        <f>HYPERLINK("https://vegkart.atlas.vegvesen.no/#/@293139.6,6607214.9,18/hva:hva%5B0%5D%5Bfilter%5D%5B0%5D%5Boperator%5D=%21%3D&amp;hva%5B0%5D%5Bfilter%5D%5B0%5D%5Btype_id%5D=8917&amp;hva%5B0%5D%5Bfilter%5D%5B0%5D%5Bverdi%5D=&amp;hva%5B0%5D%5Bid%5D=49/når:2025-10-03", "Vegkart")</f>
        <v>Vegkart</v>
      </c>
      <c r="B2805">
        <v>319666186</v>
      </c>
      <c r="C2805">
        <v>49</v>
      </c>
      <c r="D2805" t="s">
        <v>8701</v>
      </c>
      <c r="E2805">
        <v>8917</v>
      </c>
      <c r="F2805" t="s">
        <v>23479</v>
      </c>
      <c r="G2805">
        <v>3</v>
      </c>
      <c r="H2805" t="s">
        <v>8719</v>
      </c>
      <c r="J2805" t="s">
        <v>31</v>
      </c>
      <c r="K2805" t="s">
        <v>104</v>
      </c>
      <c r="L2805" t="s">
        <v>33</v>
      </c>
      <c r="M2805" t="s">
        <v>8825</v>
      </c>
      <c r="N2805" t="s">
        <v>9294</v>
      </c>
      <c r="O2805" t="s">
        <v>9295</v>
      </c>
      <c r="P2805" s="2" t="s">
        <v>37</v>
      </c>
      <c r="Q2805" t="s">
        <v>1208</v>
      </c>
      <c r="R2805">
        <v>0</v>
      </c>
      <c r="S2805">
        <v>41.31</v>
      </c>
      <c r="T2805" t="s">
        <v>9296</v>
      </c>
    </row>
    <row r="2806" spans="1:20" x14ac:dyDescent="0.25">
      <c r="A2806" s="1" t="str">
        <f>HYPERLINK("https://vegkart.atlas.vegvesen.no/#/@293103.2,6607237.5,18/hva:hva%5B0%5D%5Bfilter%5D%5B0%5D%5Boperator%5D=%21%3D&amp;hva%5B0%5D%5Bfilter%5D%5B0%5D%5Btype_id%5D=8917&amp;hva%5B0%5D%5Bfilter%5D%5B0%5D%5Bverdi%5D=&amp;hva%5B0%5D%5Bid%5D=49/når:2025-10-03", "Vegkart")</f>
        <v>Vegkart</v>
      </c>
      <c r="B2806">
        <v>319666197</v>
      </c>
      <c r="C2806">
        <v>49</v>
      </c>
      <c r="D2806" t="s">
        <v>8701</v>
      </c>
      <c r="E2806">
        <v>8917</v>
      </c>
      <c r="F2806" t="s">
        <v>23479</v>
      </c>
      <c r="G2806">
        <v>2</v>
      </c>
      <c r="H2806" t="s">
        <v>8719</v>
      </c>
      <c r="J2806" t="s">
        <v>31</v>
      </c>
      <c r="K2806" t="s">
        <v>104</v>
      </c>
      <c r="L2806" t="s">
        <v>33</v>
      </c>
      <c r="M2806" t="s">
        <v>8825</v>
      </c>
      <c r="N2806" t="s">
        <v>9297</v>
      </c>
      <c r="O2806" t="s">
        <v>9298</v>
      </c>
      <c r="P2806" s="2" t="s">
        <v>37</v>
      </c>
      <c r="Q2806" t="s">
        <v>1208</v>
      </c>
      <c r="R2806">
        <v>0</v>
      </c>
      <c r="S2806">
        <v>30.32</v>
      </c>
      <c r="T2806" t="s">
        <v>9299</v>
      </c>
    </row>
    <row r="2807" spans="1:20" x14ac:dyDescent="0.25">
      <c r="A2807" s="1" t="str">
        <f>HYPERLINK("https://vegkart.atlas.vegvesen.no/#/@-24639.0,6740817.2,18/hva:hva%5B0%5D%5Bfilter%5D%5B0%5D%5Boperator%5D=%21%3D&amp;hva%5B0%5D%5Bfilter%5D%5B0%5D%5Btype_id%5D=8917&amp;hva%5B0%5D%5Bfilter%5D%5B0%5D%5Bverdi%5D=&amp;hva%5B0%5D%5Bid%5D=49/når:2014-07-16", "Vegkart")</f>
        <v>Vegkart</v>
      </c>
      <c r="B2807">
        <v>321638126</v>
      </c>
      <c r="C2807">
        <v>49</v>
      </c>
      <c r="D2807" t="s">
        <v>8701</v>
      </c>
      <c r="E2807">
        <v>8917</v>
      </c>
      <c r="F2807" t="s">
        <v>23479</v>
      </c>
      <c r="G2807">
        <v>2</v>
      </c>
      <c r="H2807" t="s">
        <v>9300</v>
      </c>
      <c r="J2807" t="s">
        <v>31</v>
      </c>
      <c r="K2807" t="s">
        <v>21</v>
      </c>
      <c r="L2807" t="s">
        <v>33</v>
      </c>
      <c r="M2807" t="s">
        <v>9301</v>
      </c>
      <c r="N2807" t="s">
        <v>9302</v>
      </c>
      <c r="O2807" t="s">
        <v>9303</v>
      </c>
      <c r="P2807" s="2" t="s">
        <v>37</v>
      </c>
      <c r="Q2807" t="s">
        <v>1208</v>
      </c>
      <c r="R2807">
        <v>6.09</v>
      </c>
      <c r="S2807">
        <v>9.44</v>
      </c>
      <c r="T2807" t="s">
        <v>9304</v>
      </c>
    </row>
    <row r="2808" spans="1:20" x14ac:dyDescent="0.25">
      <c r="A2808" s="1" t="str">
        <f>HYPERLINK("https://vegkart.atlas.vegvesen.no/#/@283510.1,6609788.7,18/hva:hva%5B0%5D%5Bfilter%5D%5B0%5D%5Boperator%5D=%21%3D&amp;hva%5B0%5D%5Bfilter%5D%5B0%5D%5Btype_id%5D=8917&amp;hva%5B0%5D%5Bfilter%5D%5B0%5D%5Bverdi%5D=&amp;hva%5B0%5D%5Bid%5D=49/når:2025-10-03", "Vegkart")</f>
        <v>Vegkart</v>
      </c>
      <c r="B2808">
        <v>322860688</v>
      </c>
      <c r="C2808">
        <v>49</v>
      </c>
      <c r="D2808" t="s">
        <v>8701</v>
      </c>
      <c r="E2808">
        <v>8917</v>
      </c>
      <c r="F2808" t="s">
        <v>23479</v>
      </c>
      <c r="G2808">
        <v>3</v>
      </c>
      <c r="H2808" t="s">
        <v>8719</v>
      </c>
      <c r="J2808" t="s">
        <v>31</v>
      </c>
      <c r="K2808" t="s">
        <v>104</v>
      </c>
      <c r="L2808" t="s">
        <v>33</v>
      </c>
      <c r="M2808" t="s">
        <v>5979</v>
      </c>
      <c r="N2808" t="s">
        <v>9305</v>
      </c>
      <c r="O2808" t="s">
        <v>9306</v>
      </c>
      <c r="P2808" s="2" t="s">
        <v>37</v>
      </c>
      <c r="Q2808" t="s">
        <v>1208</v>
      </c>
      <c r="R2808">
        <v>0</v>
      </c>
      <c r="S2808">
        <v>31.68</v>
      </c>
      <c r="T2808" t="s">
        <v>9307</v>
      </c>
    </row>
    <row r="2809" spans="1:20" x14ac:dyDescent="0.25">
      <c r="A2809" s="1" t="str">
        <f>HYPERLINK("https://vegkart.atlas.vegvesen.no/#/@283511.5,6609849.5,18/hva:hva%5B0%5D%5Bfilter%5D%5B0%5D%5Boperator%5D=%21%3D&amp;hva%5B0%5D%5Bfilter%5D%5B0%5D%5Btype_id%5D=8917&amp;hva%5B0%5D%5Bfilter%5D%5B0%5D%5Bverdi%5D=&amp;hva%5B0%5D%5Bid%5D=49/når:2025-10-03", "Vegkart")</f>
        <v>Vegkart</v>
      </c>
      <c r="B2809">
        <v>322860694</v>
      </c>
      <c r="C2809">
        <v>49</v>
      </c>
      <c r="D2809" t="s">
        <v>8701</v>
      </c>
      <c r="E2809">
        <v>8917</v>
      </c>
      <c r="F2809" t="s">
        <v>23479</v>
      </c>
      <c r="G2809">
        <v>3</v>
      </c>
      <c r="H2809" t="s">
        <v>8719</v>
      </c>
      <c r="J2809" t="s">
        <v>31</v>
      </c>
      <c r="K2809" t="s">
        <v>104</v>
      </c>
      <c r="L2809" t="s">
        <v>33</v>
      </c>
      <c r="M2809" t="s">
        <v>5979</v>
      </c>
      <c r="N2809" t="s">
        <v>9308</v>
      </c>
      <c r="O2809" t="s">
        <v>9309</v>
      </c>
      <c r="P2809" s="2" t="s">
        <v>37</v>
      </c>
      <c r="Q2809" t="s">
        <v>1208</v>
      </c>
      <c r="R2809">
        <v>0</v>
      </c>
      <c r="S2809">
        <v>26.2</v>
      </c>
      <c r="T2809" t="s">
        <v>9310</v>
      </c>
    </row>
    <row r="2810" spans="1:20" x14ac:dyDescent="0.25">
      <c r="A2810" s="1" t="str">
        <f>HYPERLINK("https://vegkart.atlas.vegvesen.no/#/@283518.8,6609894.1,18/hva:hva%5B0%5D%5Bfilter%5D%5B0%5D%5Boperator%5D=%21%3D&amp;hva%5B0%5D%5Bfilter%5D%5B0%5D%5Btype_id%5D=8917&amp;hva%5B0%5D%5Bfilter%5D%5B0%5D%5Bverdi%5D=&amp;hva%5B0%5D%5Bid%5D=49/når:2025-10-03", "Vegkart")</f>
        <v>Vegkart</v>
      </c>
      <c r="B2810">
        <v>322860702</v>
      </c>
      <c r="C2810">
        <v>49</v>
      </c>
      <c r="D2810" t="s">
        <v>8701</v>
      </c>
      <c r="E2810">
        <v>8917</v>
      </c>
      <c r="F2810" t="s">
        <v>23479</v>
      </c>
      <c r="G2810">
        <v>3</v>
      </c>
      <c r="H2810" t="s">
        <v>8719</v>
      </c>
      <c r="J2810" t="s">
        <v>31</v>
      </c>
      <c r="K2810" t="s">
        <v>104</v>
      </c>
      <c r="L2810" t="s">
        <v>33</v>
      </c>
      <c r="M2810" t="s">
        <v>5979</v>
      </c>
      <c r="N2810" t="s">
        <v>9311</v>
      </c>
      <c r="O2810" t="s">
        <v>9312</v>
      </c>
      <c r="P2810" s="2" t="s">
        <v>37</v>
      </c>
      <c r="Q2810" t="s">
        <v>1208</v>
      </c>
      <c r="R2810">
        <v>0</v>
      </c>
      <c r="S2810">
        <v>26.06</v>
      </c>
      <c r="T2810" t="s">
        <v>9313</v>
      </c>
    </row>
    <row r="2811" spans="1:20" x14ac:dyDescent="0.25">
      <c r="A2811" s="1" t="str">
        <f>HYPERLINK("https://vegkart.atlas.vegvesen.no/#/@283581.3,6610888.2,18/hva:hva%5B0%5D%5Bfilter%5D%5B0%5D%5Boperator%5D=%21%3D&amp;hva%5B0%5D%5Bfilter%5D%5B0%5D%5Btype_id%5D=8917&amp;hva%5B0%5D%5Bfilter%5D%5B0%5D%5Bverdi%5D=&amp;hva%5B0%5D%5Bid%5D=49/når:2025-10-03", "Vegkart")</f>
        <v>Vegkart</v>
      </c>
      <c r="B2811">
        <v>322860715</v>
      </c>
      <c r="C2811">
        <v>49</v>
      </c>
      <c r="D2811" t="s">
        <v>8701</v>
      </c>
      <c r="E2811">
        <v>8917</v>
      </c>
      <c r="F2811" t="s">
        <v>23479</v>
      </c>
      <c r="G2811">
        <v>4</v>
      </c>
      <c r="H2811" t="s">
        <v>8719</v>
      </c>
      <c r="J2811" t="s">
        <v>31</v>
      </c>
      <c r="K2811" t="s">
        <v>104</v>
      </c>
      <c r="L2811" t="s">
        <v>33</v>
      </c>
      <c r="M2811" t="s">
        <v>5979</v>
      </c>
      <c r="N2811" t="s">
        <v>9314</v>
      </c>
      <c r="O2811" t="s">
        <v>9315</v>
      </c>
      <c r="P2811" s="2" t="s">
        <v>37</v>
      </c>
      <c r="Q2811" t="s">
        <v>1208</v>
      </c>
      <c r="R2811">
        <v>0</v>
      </c>
      <c r="S2811">
        <v>27.23</v>
      </c>
      <c r="T2811" t="s">
        <v>9316</v>
      </c>
    </row>
    <row r="2812" spans="1:20" x14ac:dyDescent="0.25">
      <c r="A2812" s="1" t="str">
        <f>HYPERLINK("https://vegkart.atlas.vegvesen.no/#/@257729.1,6577936.8,18/hva:hva%5B0%5D%5Bfilter%5D%5B0%5D%5Boperator%5D=%21%3D&amp;hva%5B0%5D%5Bfilter%5D%5B0%5D%5Btype_id%5D=8917&amp;hva%5B0%5D%5Bfilter%5D%5B0%5D%5Bverdi%5D=&amp;hva%5B0%5D%5Bid%5D=49/når:2025-11-28", "Vegkart")</f>
        <v>Vegkart</v>
      </c>
      <c r="B2812">
        <v>323092443</v>
      </c>
      <c r="C2812">
        <v>49</v>
      </c>
      <c r="D2812" t="s">
        <v>8701</v>
      </c>
      <c r="E2812">
        <v>8917</v>
      </c>
      <c r="F2812" t="s">
        <v>23479</v>
      </c>
      <c r="G2812">
        <v>3</v>
      </c>
      <c r="H2812" t="s">
        <v>8765</v>
      </c>
      <c r="J2812" t="s">
        <v>8766</v>
      </c>
      <c r="K2812" t="s">
        <v>104</v>
      </c>
      <c r="L2812" t="s">
        <v>33</v>
      </c>
      <c r="M2812" t="s">
        <v>9317</v>
      </c>
      <c r="N2812" t="s">
        <v>9318</v>
      </c>
      <c r="O2812" t="s">
        <v>9319</v>
      </c>
      <c r="P2812" s="2" t="s">
        <v>37</v>
      </c>
      <c r="Q2812" t="s">
        <v>1208</v>
      </c>
      <c r="R2812">
        <v>0</v>
      </c>
      <c r="S2812">
        <v>16.920000000000002</v>
      </c>
      <c r="T2812" t="s">
        <v>9320</v>
      </c>
    </row>
    <row r="2813" spans="1:20" x14ac:dyDescent="0.25">
      <c r="A2813" s="1" t="str">
        <f>HYPERLINK("https://vegkart.atlas.vegvesen.no/#/@10901.3,6469733.4,18/hva:hva%5B0%5D%5Bfilter%5D%5B0%5D%5Boperator%5D=%21%3D&amp;hva%5B0%5D%5Bfilter%5D%5B0%5D%5Btype_id%5D=8917&amp;hva%5B0%5D%5Bfilter%5D%5B0%5D%5Bverdi%5D=&amp;hva%5B0%5D%5Bid%5D=49/når:2017-01-04", "Vegkart")</f>
        <v>Vegkart</v>
      </c>
      <c r="B2813">
        <v>323165332</v>
      </c>
      <c r="C2813">
        <v>49</v>
      </c>
      <c r="D2813" t="s">
        <v>8701</v>
      </c>
      <c r="E2813">
        <v>8917</v>
      </c>
      <c r="F2813" t="s">
        <v>23479</v>
      </c>
      <c r="G2813">
        <v>2</v>
      </c>
      <c r="H2813" t="s">
        <v>9321</v>
      </c>
      <c r="J2813" t="s">
        <v>31</v>
      </c>
      <c r="K2813" t="s">
        <v>86</v>
      </c>
      <c r="L2813" t="s">
        <v>33</v>
      </c>
      <c r="M2813" t="s">
        <v>4563</v>
      </c>
      <c r="N2813" t="s">
        <v>9322</v>
      </c>
      <c r="O2813" t="s">
        <v>9323</v>
      </c>
      <c r="P2813" s="2" t="s">
        <v>26</v>
      </c>
      <c r="Q2813" t="s">
        <v>50</v>
      </c>
      <c r="R2813">
        <v>4.55</v>
      </c>
      <c r="S2813">
        <v>4.55</v>
      </c>
      <c r="T2813" t="s">
        <v>9324</v>
      </c>
    </row>
    <row r="2814" spans="1:20" x14ac:dyDescent="0.25">
      <c r="A2814" s="1" t="str">
        <f>HYPERLINK("https://vegkart.atlas.vegvesen.no/#/@10903.3,6469750.6,18/hva:hva%5B0%5D%5Bfilter%5D%5B0%5D%5Boperator%5D=%21%3D&amp;hva%5B0%5D%5Bfilter%5D%5B0%5D%5Btype_id%5D=8917&amp;hva%5B0%5D%5Bfilter%5D%5B0%5D%5Bverdi%5D=&amp;hva%5B0%5D%5Bid%5D=49/når:2017-01-04", "Vegkart")</f>
        <v>Vegkart</v>
      </c>
      <c r="B2814">
        <v>323165340</v>
      </c>
      <c r="C2814">
        <v>49</v>
      </c>
      <c r="D2814" t="s">
        <v>8701</v>
      </c>
      <c r="E2814">
        <v>8917</v>
      </c>
      <c r="F2814" t="s">
        <v>23479</v>
      </c>
      <c r="G2814">
        <v>2</v>
      </c>
      <c r="H2814" t="s">
        <v>9321</v>
      </c>
      <c r="J2814" t="s">
        <v>31</v>
      </c>
      <c r="K2814" t="s">
        <v>86</v>
      </c>
      <c r="L2814" t="s">
        <v>33</v>
      </c>
      <c r="M2814" t="s">
        <v>4563</v>
      </c>
      <c r="N2814" t="s">
        <v>9325</v>
      </c>
      <c r="O2814" t="s">
        <v>9326</v>
      </c>
      <c r="P2814" s="2" t="s">
        <v>26</v>
      </c>
      <c r="Q2814" t="s">
        <v>50</v>
      </c>
      <c r="R2814">
        <v>19.38</v>
      </c>
      <c r="S2814">
        <v>19.38</v>
      </c>
      <c r="T2814" t="s">
        <v>9327</v>
      </c>
    </row>
    <row r="2815" spans="1:20" x14ac:dyDescent="0.25">
      <c r="A2815" s="1" t="str">
        <f>HYPERLINK("https://vegkart.atlas.vegvesen.no/#/@282569.5,6611151.6,18/hva:hva%5B0%5D%5Bfilter%5D%5B0%5D%5Boperator%5D=%21%3D&amp;hva%5B0%5D%5Bfilter%5D%5B0%5D%5Btype_id%5D=8917&amp;hva%5B0%5D%5Bfilter%5D%5B0%5D%5Bverdi%5D=&amp;hva%5B0%5D%5Bid%5D=49/når:2025-10-03", "Vegkart")</f>
        <v>Vegkart</v>
      </c>
      <c r="B2815">
        <v>324687291</v>
      </c>
      <c r="C2815">
        <v>49</v>
      </c>
      <c r="D2815" t="s">
        <v>8701</v>
      </c>
      <c r="E2815">
        <v>8917</v>
      </c>
      <c r="F2815" t="s">
        <v>23479</v>
      </c>
      <c r="G2815">
        <v>2</v>
      </c>
      <c r="H2815" t="s">
        <v>8719</v>
      </c>
      <c r="J2815" t="s">
        <v>9328</v>
      </c>
      <c r="K2815" t="s">
        <v>104</v>
      </c>
      <c r="L2815" t="s">
        <v>33</v>
      </c>
      <c r="M2815" t="s">
        <v>8721</v>
      </c>
      <c r="N2815" t="s">
        <v>9329</v>
      </c>
      <c r="O2815" t="s">
        <v>9330</v>
      </c>
      <c r="P2815" s="2" t="s">
        <v>37</v>
      </c>
      <c r="Q2815" t="s">
        <v>1208</v>
      </c>
      <c r="R2815">
        <v>0</v>
      </c>
      <c r="S2815">
        <v>27.22</v>
      </c>
      <c r="T2815" t="s">
        <v>9331</v>
      </c>
    </row>
    <row r="2816" spans="1:20" x14ac:dyDescent="0.25">
      <c r="A2816" s="1" t="str">
        <f>HYPERLINK("https://vegkart.atlas.vegvesen.no/#/@255726.8,6593453.0,18/hva:hva%5B0%5D%5Bfilter%5D%5B0%5D%5Boperator%5D=%21%3D&amp;hva%5B0%5D%5Bfilter%5D%5B0%5D%5Btype_id%5D=8917&amp;hva%5B0%5D%5Bfilter%5D%5B0%5D%5Bverdi%5D=&amp;hva%5B0%5D%5Bid%5D=49/når:2025-10-30", "Vegkart")</f>
        <v>Vegkart</v>
      </c>
      <c r="B2816">
        <v>333953519</v>
      </c>
      <c r="C2816">
        <v>49</v>
      </c>
      <c r="D2816" t="s">
        <v>8701</v>
      </c>
      <c r="E2816">
        <v>8917</v>
      </c>
      <c r="F2816" t="s">
        <v>23479</v>
      </c>
      <c r="G2816">
        <v>2</v>
      </c>
      <c r="H2816" t="s">
        <v>8750</v>
      </c>
      <c r="J2816" t="s">
        <v>9328</v>
      </c>
      <c r="K2816" t="s">
        <v>104</v>
      </c>
      <c r="L2816" t="s">
        <v>33</v>
      </c>
      <c r="M2816" t="s">
        <v>8802</v>
      </c>
      <c r="N2816" t="s">
        <v>9332</v>
      </c>
      <c r="O2816" t="s">
        <v>9333</v>
      </c>
      <c r="P2816" s="2" t="s">
        <v>37</v>
      </c>
      <c r="Q2816" t="s">
        <v>1208</v>
      </c>
      <c r="R2816">
        <v>0</v>
      </c>
      <c r="S2816">
        <v>56.71</v>
      </c>
      <c r="T2816" t="s">
        <v>9334</v>
      </c>
    </row>
    <row r="2817" spans="1:20" x14ac:dyDescent="0.25">
      <c r="A2817" s="1" t="str">
        <f>HYPERLINK("https://vegkart.atlas.vegvesen.no/#/@255712.3,6593478.0,18/hva:hva%5B0%5D%5Bfilter%5D%5B0%5D%5Boperator%5D=%21%3D&amp;hva%5B0%5D%5Bfilter%5D%5B0%5D%5Btype_id%5D=8917&amp;hva%5B0%5D%5Bfilter%5D%5B0%5D%5Bverdi%5D=&amp;hva%5B0%5D%5Bid%5D=49/når:2025-10-30", "Vegkart")</f>
        <v>Vegkart</v>
      </c>
      <c r="B2817">
        <v>333953521</v>
      </c>
      <c r="C2817">
        <v>49</v>
      </c>
      <c r="D2817" t="s">
        <v>8701</v>
      </c>
      <c r="E2817">
        <v>8917</v>
      </c>
      <c r="F2817" t="s">
        <v>23479</v>
      </c>
      <c r="G2817">
        <v>3</v>
      </c>
      <c r="H2817" t="s">
        <v>8750</v>
      </c>
      <c r="J2817" t="s">
        <v>9328</v>
      </c>
      <c r="K2817" t="s">
        <v>104</v>
      </c>
      <c r="L2817" t="s">
        <v>33</v>
      </c>
      <c r="M2817" t="s">
        <v>8802</v>
      </c>
      <c r="N2817" t="s">
        <v>9335</v>
      </c>
      <c r="O2817" t="s">
        <v>9336</v>
      </c>
      <c r="P2817" s="2" t="s">
        <v>37</v>
      </c>
      <c r="Q2817" t="s">
        <v>1208</v>
      </c>
      <c r="R2817">
        <v>0</v>
      </c>
      <c r="S2817">
        <v>38.49</v>
      </c>
      <c r="T2817" t="s">
        <v>9337</v>
      </c>
    </row>
    <row r="2818" spans="1:20" x14ac:dyDescent="0.25">
      <c r="A2818" s="1" t="str">
        <f>HYPERLINK("https://vegkart.atlas.vegvesen.no/#/@255385.4,6593987.9,18/hva:hva%5B0%5D%5Bfilter%5D%5B0%5D%5Boperator%5D=%21%3D&amp;hva%5B0%5D%5Bfilter%5D%5B0%5D%5Btype_id%5D=8917&amp;hva%5B0%5D%5Bfilter%5D%5B0%5D%5Bverdi%5D=&amp;hva%5B0%5D%5Bid%5D=49/når:2025-10-30", "Vegkart")</f>
        <v>Vegkart</v>
      </c>
      <c r="B2818">
        <v>333953851</v>
      </c>
      <c r="C2818">
        <v>49</v>
      </c>
      <c r="D2818" t="s">
        <v>8701</v>
      </c>
      <c r="E2818">
        <v>8917</v>
      </c>
      <c r="F2818" t="s">
        <v>23479</v>
      </c>
      <c r="G2818">
        <v>3</v>
      </c>
      <c r="H2818" t="s">
        <v>8750</v>
      </c>
      <c r="J2818" t="s">
        <v>9338</v>
      </c>
      <c r="K2818" t="s">
        <v>104</v>
      </c>
      <c r="L2818" t="s">
        <v>33</v>
      </c>
      <c r="M2818" t="s">
        <v>8802</v>
      </c>
      <c r="N2818" t="s">
        <v>9339</v>
      </c>
      <c r="O2818" t="s">
        <v>9340</v>
      </c>
      <c r="P2818" s="2" t="s">
        <v>37</v>
      </c>
      <c r="Q2818" t="s">
        <v>1208</v>
      </c>
      <c r="R2818">
        <v>0</v>
      </c>
      <c r="S2818">
        <v>43.12</v>
      </c>
      <c r="T2818" t="s">
        <v>9341</v>
      </c>
    </row>
    <row r="2819" spans="1:20" x14ac:dyDescent="0.25">
      <c r="A2819" s="1" t="str">
        <f>HYPERLINK("https://vegkart.atlas.vegvesen.no/#/@255248.7,6594394.1,18/hva:hva%5B0%5D%5Bfilter%5D%5B0%5D%5Boperator%5D=%21%3D&amp;hva%5B0%5D%5Bfilter%5D%5B0%5D%5Btype_id%5D=8917&amp;hva%5B0%5D%5Bfilter%5D%5B0%5D%5Bverdi%5D=&amp;hva%5B0%5D%5Bid%5D=49/når:2025-10-30", "Vegkart")</f>
        <v>Vegkart</v>
      </c>
      <c r="B2819">
        <v>333953860</v>
      </c>
      <c r="C2819">
        <v>49</v>
      </c>
      <c r="D2819" t="s">
        <v>8701</v>
      </c>
      <c r="E2819">
        <v>8917</v>
      </c>
      <c r="F2819" t="s">
        <v>23479</v>
      </c>
      <c r="G2819">
        <v>2</v>
      </c>
      <c r="H2819" t="s">
        <v>8750</v>
      </c>
      <c r="J2819" t="s">
        <v>9328</v>
      </c>
      <c r="K2819" t="s">
        <v>104</v>
      </c>
      <c r="L2819" t="s">
        <v>33</v>
      </c>
      <c r="M2819" t="s">
        <v>8802</v>
      </c>
      <c r="N2819" t="s">
        <v>9342</v>
      </c>
      <c r="O2819" t="s">
        <v>9343</v>
      </c>
      <c r="P2819" s="2" t="s">
        <v>37</v>
      </c>
      <c r="Q2819" t="s">
        <v>1208</v>
      </c>
      <c r="R2819">
        <v>0</v>
      </c>
      <c r="S2819">
        <v>55.59</v>
      </c>
      <c r="T2819" t="s">
        <v>9344</v>
      </c>
    </row>
    <row r="2820" spans="1:20" x14ac:dyDescent="0.25">
      <c r="A2820" s="1" t="str">
        <f>HYPERLINK("https://vegkart.atlas.vegvesen.no/#/@275795.6,6615805.5,18/hva:hva%5B0%5D%5Bfilter%5D%5B0%5D%5Boperator%5D=%21%3D&amp;hva%5B0%5D%5Bfilter%5D%5B0%5D%5Btype_id%5D=8917&amp;hva%5B0%5D%5Bfilter%5D%5B0%5D%5Bverdi%5D=&amp;hva%5B0%5D%5Bid%5D=49/når:2025-10-03", "Vegkart")</f>
        <v>Vegkart</v>
      </c>
      <c r="B2820">
        <v>334833224</v>
      </c>
      <c r="C2820">
        <v>49</v>
      </c>
      <c r="D2820" t="s">
        <v>8701</v>
      </c>
      <c r="E2820">
        <v>8917</v>
      </c>
      <c r="F2820" t="s">
        <v>23479</v>
      </c>
      <c r="G2820">
        <v>3</v>
      </c>
      <c r="H2820" t="s">
        <v>8719</v>
      </c>
      <c r="J2820" t="s">
        <v>9328</v>
      </c>
      <c r="K2820" t="s">
        <v>104</v>
      </c>
      <c r="L2820" t="s">
        <v>33</v>
      </c>
      <c r="M2820" t="s">
        <v>9345</v>
      </c>
      <c r="N2820" t="s">
        <v>9346</v>
      </c>
      <c r="O2820" t="s">
        <v>9347</v>
      </c>
      <c r="P2820" s="2" t="s">
        <v>37</v>
      </c>
      <c r="Q2820" t="s">
        <v>1208</v>
      </c>
      <c r="R2820">
        <v>0</v>
      </c>
      <c r="S2820">
        <v>34.76</v>
      </c>
      <c r="T2820" t="s">
        <v>9348</v>
      </c>
    </row>
    <row r="2821" spans="1:20" x14ac:dyDescent="0.25">
      <c r="A2821" s="1" t="str">
        <f>HYPERLINK("https://vegkart.atlas.vegvesen.no/#/@296310.9,7044199.8,18/hva:hva%5B0%5D%5Bfilter%5D%5B0%5D%5Boperator%5D=%21%3D&amp;hva%5B0%5D%5Bfilter%5D%5B0%5D%5Btype_id%5D=8917&amp;hva%5B0%5D%5Bfilter%5D%5B0%5D%5Bverdi%5D=&amp;hva%5B0%5D%5Bid%5D=49/når:2011-10-02", "Vegkart")</f>
        <v>Vegkart</v>
      </c>
      <c r="B2821">
        <v>347555627</v>
      </c>
      <c r="C2821">
        <v>49</v>
      </c>
      <c r="D2821" t="s">
        <v>8701</v>
      </c>
      <c r="E2821">
        <v>8917</v>
      </c>
      <c r="F2821" t="s">
        <v>23479</v>
      </c>
      <c r="G2821">
        <v>1</v>
      </c>
      <c r="H2821" t="s">
        <v>9349</v>
      </c>
      <c r="J2821" t="s">
        <v>9350</v>
      </c>
      <c r="K2821" t="s">
        <v>192</v>
      </c>
      <c r="L2821" t="s">
        <v>80</v>
      </c>
      <c r="M2821" t="s">
        <v>105</v>
      </c>
      <c r="N2821" t="s">
        <v>9351</v>
      </c>
      <c r="O2821" t="s">
        <v>9352</v>
      </c>
      <c r="P2821" s="2" t="s">
        <v>37</v>
      </c>
      <c r="Q2821" t="s">
        <v>1208</v>
      </c>
      <c r="R2821">
        <v>2.5</v>
      </c>
      <c r="S2821">
        <v>242.4</v>
      </c>
      <c r="T2821" t="s">
        <v>9353</v>
      </c>
    </row>
    <row r="2822" spans="1:20" x14ac:dyDescent="0.25">
      <c r="A2822" s="1" t="str">
        <f>HYPERLINK("https://vegkart.atlas.vegvesen.no/#/@265212.3,6650712.8,18/hva:hva%5B0%5D%5Bfilter%5D%5B0%5D%5Boperator%5D=%21%3D&amp;hva%5B0%5D%5Bfilter%5D%5B0%5D%5Btype_id%5D=8917&amp;hva%5B0%5D%5Bfilter%5D%5B0%5D%5Bverdi%5D=&amp;hva%5B0%5D%5Bid%5D=49/når:2013-02-07", "Vegkart")</f>
        <v>Vegkart</v>
      </c>
      <c r="B2822">
        <v>356339606</v>
      </c>
      <c r="C2822">
        <v>49</v>
      </c>
      <c r="D2822" t="s">
        <v>8701</v>
      </c>
      <c r="E2822">
        <v>8917</v>
      </c>
      <c r="F2822" t="s">
        <v>23479</v>
      </c>
      <c r="G2822">
        <v>2</v>
      </c>
      <c r="H2822" t="s">
        <v>9354</v>
      </c>
      <c r="J2822" t="s">
        <v>9350</v>
      </c>
      <c r="K2822" t="s">
        <v>335</v>
      </c>
      <c r="L2822" t="s">
        <v>22</v>
      </c>
      <c r="M2822" t="s">
        <v>9355</v>
      </c>
      <c r="N2822" t="s">
        <v>9356</v>
      </c>
      <c r="O2822" t="s">
        <v>9357</v>
      </c>
      <c r="P2822" s="2" t="s">
        <v>37</v>
      </c>
      <c r="Q2822" t="s">
        <v>1208</v>
      </c>
      <c r="R2822">
        <v>0.01</v>
      </c>
      <c r="S2822">
        <v>79.63</v>
      </c>
      <c r="T2822" t="s">
        <v>9358</v>
      </c>
    </row>
    <row r="2823" spans="1:20" x14ac:dyDescent="0.25">
      <c r="A2823" s="1" t="str">
        <f>HYPERLINK("https://vegkart.atlas.vegvesen.no/#/@265774.9,6650799.4,18/hva:hva%5B0%5D%5Bfilter%5D%5B0%5D%5Boperator%5D=%21%3D&amp;hva%5B0%5D%5Bfilter%5D%5B0%5D%5Btype_id%5D=8917&amp;hva%5B0%5D%5Bfilter%5D%5B0%5D%5Bverdi%5D=&amp;hva%5B0%5D%5Bid%5D=49/når:2010-07-12", "Vegkart")</f>
        <v>Vegkart</v>
      </c>
      <c r="B2823">
        <v>356339607</v>
      </c>
      <c r="C2823">
        <v>49</v>
      </c>
      <c r="D2823" t="s">
        <v>8701</v>
      </c>
      <c r="E2823">
        <v>8917</v>
      </c>
      <c r="F2823" t="s">
        <v>23479</v>
      </c>
      <c r="G2823">
        <v>1</v>
      </c>
      <c r="H2823" t="s">
        <v>9359</v>
      </c>
      <c r="J2823" t="s">
        <v>9350</v>
      </c>
      <c r="K2823" t="s">
        <v>335</v>
      </c>
      <c r="L2823" t="s">
        <v>22</v>
      </c>
      <c r="M2823" t="s">
        <v>9360</v>
      </c>
      <c r="N2823" t="s">
        <v>9361</v>
      </c>
      <c r="O2823" t="s">
        <v>9362</v>
      </c>
      <c r="P2823" s="2" t="s">
        <v>37</v>
      </c>
      <c r="Q2823" t="s">
        <v>1208</v>
      </c>
      <c r="R2823">
        <v>0</v>
      </c>
      <c r="S2823">
        <v>36.76</v>
      </c>
      <c r="T2823" t="s">
        <v>9363</v>
      </c>
    </row>
    <row r="2824" spans="1:20" x14ac:dyDescent="0.25">
      <c r="A2824" s="1" t="str">
        <f>HYPERLINK("https://vegkart.atlas.vegvesen.no/#/@265220.6,6650689.8,18/hva:hva%5B0%5D%5Bfilter%5D%5B0%5D%5Boperator%5D=%21%3D&amp;hva%5B0%5D%5Bfilter%5D%5B0%5D%5Btype_id%5D=8917&amp;hva%5B0%5D%5Bfilter%5D%5B0%5D%5Bverdi%5D=&amp;hva%5B0%5D%5Bid%5D=49/når:2010-07-12", "Vegkart")</f>
        <v>Vegkart</v>
      </c>
      <c r="B2824">
        <v>356339608</v>
      </c>
      <c r="C2824">
        <v>49</v>
      </c>
      <c r="D2824" t="s">
        <v>8701</v>
      </c>
      <c r="E2824">
        <v>8917</v>
      </c>
      <c r="F2824" t="s">
        <v>23479</v>
      </c>
      <c r="G2824">
        <v>1</v>
      </c>
      <c r="H2824" t="s">
        <v>9359</v>
      </c>
      <c r="J2824" t="s">
        <v>9350</v>
      </c>
      <c r="K2824" t="s">
        <v>335</v>
      </c>
      <c r="L2824" t="s">
        <v>22</v>
      </c>
      <c r="M2824" t="s">
        <v>9364</v>
      </c>
      <c r="N2824" t="s">
        <v>9365</v>
      </c>
      <c r="O2824" t="s">
        <v>9366</v>
      </c>
      <c r="P2824" s="2" t="s">
        <v>37</v>
      </c>
      <c r="Q2824" t="s">
        <v>1208</v>
      </c>
      <c r="R2824">
        <v>0</v>
      </c>
      <c r="S2824">
        <v>11.55</v>
      </c>
      <c r="T2824" t="s">
        <v>9367</v>
      </c>
    </row>
    <row r="2825" spans="1:20" x14ac:dyDescent="0.25">
      <c r="A2825" s="1" t="str">
        <f>HYPERLINK("https://vegkart.atlas.vegvesen.no/#/@265755.2,6650809.3,18/hva:hva%5B0%5D%5Bfilter%5D%5B0%5D%5Boperator%5D=%21%3D&amp;hva%5B0%5D%5Bfilter%5D%5B0%5D%5Btype_id%5D=8917&amp;hva%5B0%5D%5Bfilter%5D%5B0%5D%5Bverdi%5D=&amp;hva%5B0%5D%5Bid%5D=49/når:2013-02-08", "Vegkart")</f>
        <v>Vegkart</v>
      </c>
      <c r="B2825">
        <v>356339611</v>
      </c>
      <c r="C2825">
        <v>49</v>
      </c>
      <c r="D2825" t="s">
        <v>8701</v>
      </c>
      <c r="E2825">
        <v>8917</v>
      </c>
      <c r="F2825" t="s">
        <v>23479</v>
      </c>
      <c r="G2825">
        <v>3</v>
      </c>
      <c r="H2825" t="s">
        <v>9368</v>
      </c>
      <c r="J2825" t="s">
        <v>9350</v>
      </c>
      <c r="K2825" t="s">
        <v>335</v>
      </c>
      <c r="L2825" t="s">
        <v>22</v>
      </c>
      <c r="M2825" t="s">
        <v>9360</v>
      </c>
      <c r="N2825" t="s">
        <v>9369</v>
      </c>
      <c r="O2825" t="s">
        <v>9370</v>
      </c>
      <c r="P2825" s="2" t="s">
        <v>37</v>
      </c>
      <c r="Q2825" t="s">
        <v>1208</v>
      </c>
      <c r="R2825">
        <v>0</v>
      </c>
      <c r="S2825">
        <v>42.81</v>
      </c>
      <c r="T2825" t="s">
        <v>9371</v>
      </c>
    </row>
    <row r="2826" spans="1:20" x14ac:dyDescent="0.25">
      <c r="A2826" s="1" t="str">
        <f>HYPERLINK("https://vegkart.atlas.vegvesen.no/#/@84785.1,6470729.1,18/hva:hva%5B0%5D%5Bfilter%5D%5B0%5D%5Boperator%5D=%21%3D&amp;hva%5B0%5D%5Bfilter%5D%5B0%5D%5Btype_id%5D=8917&amp;hva%5B0%5D%5Bfilter%5D%5B0%5D%5Bverdi%5D=&amp;hva%5B0%5D%5Bid%5D=49/når:2023-09-05", "Vegkart")</f>
        <v>Vegkart</v>
      </c>
      <c r="B2826">
        <v>361930465</v>
      </c>
      <c r="C2826">
        <v>49</v>
      </c>
      <c r="D2826" t="s">
        <v>8701</v>
      </c>
      <c r="E2826">
        <v>8917</v>
      </c>
      <c r="F2826" t="s">
        <v>23479</v>
      </c>
      <c r="G2826">
        <v>2</v>
      </c>
      <c r="H2826" t="s">
        <v>9372</v>
      </c>
      <c r="J2826" t="s">
        <v>9350</v>
      </c>
      <c r="K2826" t="s">
        <v>86</v>
      </c>
      <c r="L2826" t="s">
        <v>113</v>
      </c>
      <c r="M2826" t="s">
        <v>667</v>
      </c>
      <c r="N2826" t="s">
        <v>9373</v>
      </c>
      <c r="O2826" t="s">
        <v>9374</v>
      </c>
      <c r="P2826" s="2" t="s">
        <v>26</v>
      </c>
      <c r="Q2826" t="s">
        <v>50</v>
      </c>
      <c r="R2826">
        <v>3.53</v>
      </c>
      <c r="S2826">
        <v>3.67</v>
      </c>
      <c r="T2826" t="s">
        <v>9375</v>
      </c>
    </row>
    <row r="2827" spans="1:20" x14ac:dyDescent="0.25">
      <c r="A2827" s="1" t="str">
        <f>HYPERLINK("https://vegkart.atlas.vegvesen.no/#/@84773.8,6470693.2,18/hva:hva%5B0%5D%5Bfilter%5D%5B0%5D%5Boperator%5D=%21%3D&amp;hva%5B0%5D%5Bfilter%5D%5B0%5D%5Btype_id%5D=8917&amp;hva%5B0%5D%5Bfilter%5D%5B0%5D%5Bverdi%5D=&amp;hva%5B0%5D%5Bid%5D=49/når:2023-09-05", "Vegkart")</f>
        <v>Vegkart</v>
      </c>
      <c r="B2827">
        <v>361930467</v>
      </c>
      <c r="C2827">
        <v>49</v>
      </c>
      <c r="D2827" t="s">
        <v>8701</v>
      </c>
      <c r="E2827">
        <v>8917</v>
      </c>
      <c r="F2827" t="s">
        <v>23479</v>
      </c>
      <c r="G2827">
        <v>2</v>
      </c>
      <c r="H2827" t="s">
        <v>9372</v>
      </c>
      <c r="J2827" t="s">
        <v>9350</v>
      </c>
      <c r="K2827" t="s">
        <v>86</v>
      </c>
      <c r="L2827" t="s">
        <v>113</v>
      </c>
      <c r="M2827" t="s">
        <v>667</v>
      </c>
      <c r="N2827" t="s">
        <v>9376</v>
      </c>
      <c r="O2827" t="s">
        <v>9377</v>
      </c>
      <c r="P2827" s="2" t="s">
        <v>26</v>
      </c>
      <c r="Q2827" t="s">
        <v>50</v>
      </c>
      <c r="R2827">
        <v>3.06</v>
      </c>
      <c r="S2827">
        <v>3.06</v>
      </c>
      <c r="T2827" t="s">
        <v>9378</v>
      </c>
    </row>
    <row r="2828" spans="1:20" x14ac:dyDescent="0.25">
      <c r="A2828" s="1" t="str">
        <f>HYPERLINK("https://vegkart.atlas.vegvesen.no/#/@273780.1,7042581.9,18/hva:hva%5B0%5D%5Bfilter%5D%5B0%5D%5Boperator%5D=%21%3D&amp;hva%5B0%5D%5Bfilter%5D%5B0%5D%5Btype_id%5D=8917&amp;hva%5B0%5D%5Bfilter%5D%5B0%5D%5Bverdi%5D=&amp;hva%5B0%5D%5Bid%5D=49/når:2012-11-20", "Vegkart")</f>
        <v>Vegkart</v>
      </c>
      <c r="B2828">
        <v>367324653</v>
      </c>
      <c r="C2828">
        <v>49</v>
      </c>
      <c r="D2828" t="s">
        <v>8701</v>
      </c>
      <c r="E2828">
        <v>8917</v>
      </c>
      <c r="F2828" t="s">
        <v>23479</v>
      </c>
      <c r="G2828">
        <v>1</v>
      </c>
      <c r="H2828" t="s">
        <v>9379</v>
      </c>
      <c r="J2828" t="s">
        <v>9350</v>
      </c>
      <c r="K2828" t="s">
        <v>192</v>
      </c>
      <c r="L2828" t="s">
        <v>33</v>
      </c>
      <c r="M2828" t="s">
        <v>6311</v>
      </c>
      <c r="N2828" t="s">
        <v>9380</v>
      </c>
      <c r="O2828" t="s">
        <v>9381</v>
      </c>
      <c r="P2828" s="2" t="s">
        <v>37</v>
      </c>
      <c r="Q2828" t="s">
        <v>1208</v>
      </c>
      <c r="R2828">
        <v>2.2599999999999998</v>
      </c>
      <c r="S2828">
        <v>40.65</v>
      </c>
      <c r="T2828" t="s">
        <v>9382</v>
      </c>
    </row>
    <row r="2829" spans="1:20" x14ac:dyDescent="0.25">
      <c r="A2829" s="1" t="str">
        <f>HYPERLINK("https://vegkart.atlas.vegvesen.no/#/@262640.8,6647776.6,18/hva:hva%5B0%5D%5Bfilter%5D%5B0%5D%5Boperator%5D=%21%3D&amp;hva%5B0%5D%5Bfilter%5D%5B0%5D%5Btype_id%5D=8917&amp;hva%5B0%5D%5Bfilter%5D%5B0%5D%5Bverdi%5D=&amp;hva%5B0%5D%5Bid%5D=49/når:2012-12-10", "Vegkart")</f>
        <v>Vegkart</v>
      </c>
      <c r="B2829">
        <v>373698550</v>
      </c>
      <c r="C2829">
        <v>49</v>
      </c>
      <c r="D2829" t="s">
        <v>8701</v>
      </c>
      <c r="E2829">
        <v>8917</v>
      </c>
      <c r="F2829" t="s">
        <v>23479</v>
      </c>
      <c r="G2829">
        <v>1</v>
      </c>
      <c r="H2829" t="s">
        <v>9383</v>
      </c>
      <c r="J2829" t="s">
        <v>9350</v>
      </c>
      <c r="K2829" t="s">
        <v>335</v>
      </c>
      <c r="L2829" t="s">
        <v>113</v>
      </c>
      <c r="M2829" t="s">
        <v>2194</v>
      </c>
      <c r="N2829" t="s">
        <v>9384</v>
      </c>
      <c r="O2829" t="s">
        <v>9385</v>
      </c>
      <c r="P2829" s="2" t="s">
        <v>37</v>
      </c>
      <c r="Q2829" t="s">
        <v>1208</v>
      </c>
      <c r="R2829">
        <v>0</v>
      </c>
      <c r="S2829">
        <v>137.58000000000001</v>
      </c>
      <c r="T2829" t="s">
        <v>9386</v>
      </c>
    </row>
    <row r="2830" spans="1:20" x14ac:dyDescent="0.25">
      <c r="A2830" s="1" t="str">
        <f>HYPERLINK("https://vegkart.atlas.vegvesen.no/#/@262757.0,6649200.2,18/hva:hva%5B0%5D%5Bfilter%5D%5B0%5D%5Boperator%5D=%21%3D&amp;hva%5B0%5D%5Bfilter%5D%5B0%5D%5Btype_id%5D=8917&amp;hva%5B0%5D%5Bfilter%5D%5B0%5D%5Bverdi%5D=&amp;hva%5B0%5D%5Bid%5D=49/når:2021-01-12", "Vegkart")</f>
        <v>Vegkart</v>
      </c>
      <c r="B2830">
        <v>373698551</v>
      </c>
      <c r="C2830">
        <v>49</v>
      </c>
      <c r="D2830" t="s">
        <v>8701</v>
      </c>
      <c r="E2830">
        <v>8917</v>
      </c>
      <c r="F2830" t="s">
        <v>23479</v>
      </c>
      <c r="G2830">
        <v>2</v>
      </c>
      <c r="H2830" t="s">
        <v>9387</v>
      </c>
      <c r="J2830" t="s">
        <v>9350</v>
      </c>
      <c r="K2830" t="s">
        <v>335</v>
      </c>
      <c r="L2830" t="s">
        <v>113</v>
      </c>
      <c r="M2830" t="s">
        <v>2194</v>
      </c>
      <c r="N2830" t="s">
        <v>9388</v>
      </c>
      <c r="O2830" t="s">
        <v>9389</v>
      </c>
      <c r="P2830" s="2" t="s">
        <v>165</v>
      </c>
      <c r="Q2830" t="s">
        <v>641</v>
      </c>
      <c r="R2830">
        <v>0</v>
      </c>
      <c r="S2830">
        <v>26.17</v>
      </c>
      <c r="T2830" t="s">
        <v>167</v>
      </c>
    </row>
    <row r="2831" spans="1:20" x14ac:dyDescent="0.25">
      <c r="A2831" s="1" t="str">
        <f>HYPERLINK("https://vegkart.atlas.vegvesen.no/#/@262869.3,6649240.2,18/hva:hva%5B0%5D%5Bfilter%5D%5B0%5D%5Boperator%5D=%21%3D&amp;hva%5B0%5D%5Bfilter%5D%5B0%5D%5Btype_id%5D=8917&amp;hva%5B0%5D%5Bfilter%5D%5B0%5D%5Bverdi%5D=&amp;hva%5B0%5D%5Bid%5D=49/når:2012-12-10", "Vegkart")</f>
        <v>Vegkart</v>
      </c>
      <c r="B2831">
        <v>373698552</v>
      </c>
      <c r="C2831">
        <v>49</v>
      </c>
      <c r="D2831" t="s">
        <v>8701</v>
      </c>
      <c r="E2831">
        <v>8917</v>
      </c>
      <c r="F2831" t="s">
        <v>23479</v>
      </c>
      <c r="G2831">
        <v>1</v>
      </c>
      <c r="H2831" t="s">
        <v>9383</v>
      </c>
      <c r="J2831" t="s">
        <v>9350</v>
      </c>
      <c r="K2831" t="s">
        <v>335</v>
      </c>
      <c r="L2831" t="s">
        <v>113</v>
      </c>
      <c r="M2831" t="s">
        <v>2194</v>
      </c>
      <c r="N2831" t="s">
        <v>9390</v>
      </c>
      <c r="O2831" t="s">
        <v>9391</v>
      </c>
      <c r="P2831" s="2" t="s">
        <v>37</v>
      </c>
      <c r="Q2831" t="s">
        <v>1208</v>
      </c>
      <c r="R2831">
        <v>0</v>
      </c>
      <c r="S2831">
        <v>96.43</v>
      </c>
      <c r="T2831" t="s">
        <v>9392</v>
      </c>
    </row>
    <row r="2832" spans="1:20" x14ac:dyDescent="0.25">
      <c r="A2832" s="1" t="str">
        <f>HYPERLINK("https://vegkart.atlas.vegvesen.no/#/@262645.3,6649249.2,18/hva:hva%5B0%5D%5Bfilter%5D%5B0%5D%5Boperator%5D=%21%3D&amp;hva%5B0%5D%5Bfilter%5D%5B0%5D%5Btype_id%5D=8917&amp;hva%5B0%5D%5Bfilter%5D%5B0%5D%5Bverdi%5D=&amp;hva%5B0%5D%5Bid%5D=49/når:2021-01-12", "Vegkart")</f>
        <v>Vegkart</v>
      </c>
      <c r="B2832">
        <v>373698553</v>
      </c>
      <c r="C2832">
        <v>49</v>
      </c>
      <c r="D2832" t="s">
        <v>8701</v>
      </c>
      <c r="E2832">
        <v>8917</v>
      </c>
      <c r="F2832" t="s">
        <v>23479</v>
      </c>
      <c r="G2832">
        <v>2</v>
      </c>
      <c r="H2832" t="s">
        <v>9387</v>
      </c>
      <c r="J2832" t="s">
        <v>9350</v>
      </c>
      <c r="K2832" t="s">
        <v>335</v>
      </c>
      <c r="L2832" t="s">
        <v>113</v>
      </c>
      <c r="M2832" t="s">
        <v>2194</v>
      </c>
      <c r="N2832" t="s">
        <v>9393</v>
      </c>
      <c r="O2832" t="s">
        <v>9394</v>
      </c>
      <c r="P2832" s="2" t="s">
        <v>37</v>
      </c>
      <c r="Q2832" t="s">
        <v>1208</v>
      </c>
      <c r="R2832">
        <v>0</v>
      </c>
      <c r="S2832">
        <v>49.97</v>
      </c>
      <c r="T2832" t="s">
        <v>9395</v>
      </c>
    </row>
    <row r="2833" spans="1:20" x14ac:dyDescent="0.25">
      <c r="A2833" s="1" t="str">
        <f>HYPERLINK("https://vegkart.atlas.vegvesen.no/#/@261453.3,6649639.7,18/hva:hva%5B0%5D%5Bfilter%5D%5B0%5D%5Boperator%5D=%21%3D&amp;hva%5B0%5D%5Bfilter%5D%5B0%5D%5Btype_id%5D=8917&amp;hva%5B0%5D%5Bfilter%5D%5B0%5D%5Bverdi%5D=&amp;hva%5B0%5D%5Bid%5D=49/når:2012-12-10", "Vegkart")</f>
        <v>Vegkart</v>
      </c>
      <c r="B2833">
        <v>373698554</v>
      </c>
      <c r="C2833">
        <v>49</v>
      </c>
      <c r="D2833" t="s">
        <v>8701</v>
      </c>
      <c r="E2833">
        <v>8917</v>
      </c>
      <c r="F2833" t="s">
        <v>23479</v>
      </c>
      <c r="G2833">
        <v>1</v>
      </c>
      <c r="H2833" t="s">
        <v>9383</v>
      </c>
      <c r="J2833" t="s">
        <v>9350</v>
      </c>
      <c r="K2833" t="s">
        <v>335</v>
      </c>
      <c r="L2833" t="s">
        <v>113</v>
      </c>
      <c r="M2833" t="s">
        <v>2194</v>
      </c>
      <c r="N2833" t="s">
        <v>9396</v>
      </c>
      <c r="O2833" t="s">
        <v>9397</v>
      </c>
      <c r="P2833" s="2" t="s">
        <v>37</v>
      </c>
      <c r="Q2833" t="s">
        <v>1208</v>
      </c>
      <c r="R2833">
        <v>0</v>
      </c>
      <c r="S2833">
        <v>102.75</v>
      </c>
      <c r="T2833" t="s">
        <v>9398</v>
      </c>
    </row>
    <row r="2834" spans="1:20" x14ac:dyDescent="0.25">
      <c r="A2834" s="1" t="str">
        <f>HYPERLINK("https://vegkart.atlas.vegvesen.no/#/@262861.5,6648010.4,18/hva:hva%5B0%5D%5Bfilter%5D%5B0%5D%5Boperator%5D=%21%3D&amp;hva%5B0%5D%5Bfilter%5D%5B0%5D%5Btype_id%5D=8917&amp;hva%5B0%5D%5Bfilter%5D%5B0%5D%5Bverdi%5D=&amp;hva%5B0%5D%5Bid%5D=49/når:2012-12-10", "Vegkart")</f>
        <v>Vegkart</v>
      </c>
      <c r="B2834">
        <v>373698555</v>
      </c>
      <c r="C2834">
        <v>49</v>
      </c>
      <c r="D2834" t="s">
        <v>8701</v>
      </c>
      <c r="E2834">
        <v>8917</v>
      </c>
      <c r="F2834" t="s">
        <v>23479</v>
      </c>
      <c r="G2834">
        <v>1</v>
      </c>
      <c r="H2834" t="s">
        <v>9383</v>
      </c>
      <c r="J2834" t="s">
        <v>9350</v>
      </c>
      <c r="K2834" t="s">
        <v>335</v>
      </c>
      <c r="L2834" t="s">
        <v>113</v>
      </c>
      <c r="M2834" t="s">
        <v>2194</v>
      </c>
      <c r="N2834" t="s">
        <v>9399</v>
      </c>
      <c r="O2834" t="s">
        <v>9400</v>
      </c>
      <c r="P2834" s="2" t="s">
        <v>37</v>
      </c>
      <c r="Q2834" t="s">
        <v>1208</v>
      </c>
      <c r="R2834">
        <v>0</v>
      </c>
      <c r="S2834">
        <v>33.880000000000003</v>
      </c>
      <c r="T2834" t="s">
        <v>9401</v>
      </c>
    </row>
    <row r="2835" spans="1:20" x14ac:dyDescent="0.25">
      <c r="A2835" s="1" t="str">
        <f>HYPERLINK("https://vegkart.atlas.vegvesen.no/#/@262852.1,6649081.4,18/hva:hva%5B0%5D%5Bfilter%5D%5B0%5D%5Boperator%5D=%21%3D&amp;hva%5B0%5D%5Bfilter%5D%5B0%5D%5Btype_id%5D=8917&amp;hva%5B0%5D%5Bfilter%5D%5B0%5D%5Bverdi%5D=&amp;hva%5B0%5D%5Bid%5D=49/når:2012-12-10", "Vegkart")</f>
        <v>Vegkart</v>
      </c>
      <c r="B2835">
        <v>373698556</v>
      </c>
      <c r="C2835">
        <v>49</v>
      </c>
      <c r="D2835" t="s">
        <v>8701</v>
      </c>
      <c r="E2835">
        <v>8917</v>
      </c>
      <c r="F2835" t="s">
        <v>23479</v>
      </c>
      <c r="G2835">
        <v>1</v>
      </c>
      <c r="H2835" t="s">
        <v>9383</v>
      </c>
      <c r="J2835" t="s">
        <v>9350</v>
      </c>
      <c r="K2835" t="s">
        <v>335</v>
      </c>
      <c r="L2835" t="s">
        <v>113</v>
      </c>
      <c r="M2835" t="s">
        <v>2194</v>
      </c>
      <c r="N2835" t="s">
        <v>9402</v>
      </c>
      <c r="O2835" t="s">
        <v>9403</v>
      </c>
      <c r="P2835" s="2" t="s">
        <v>37</v>
      </c>
      <c r="Q2835" t="s">
        <v>1208</v>
      </c>
      <c r="R2835">
        <v>0</v>
      </c>
      <c r="S2835">
        <v>44.86</v>
      </c>
      <c r="T2835" t="s">
        <v>9404</v>
      </c>
    </row>
    <row r="2836" spans="1:20" x14ac:dyDescent="0.25">
      <c r="A2836" s="1" t="str">
        <f>HYPERLINK("https://vegkart.atlas.vegvesen.no/#/@274742.2,6580744.4,18/hva:hva%5B0%5D%5Bfilter%5D%5B0%5D%5Boperator%5D=%21%3D&amp;hva%5B0%5D%5Bfilter%5D%5B0%5D%5Btype_id%5D=8917&amp;hva%5B0%5D%5Bfilter%5D%5B0%5D%5Bverdi%5D=&amp;hva%5B0%5D%5Bid%5D=49/når:2025-11-11", "Vegkart")</f>
        <v>Vegkart</v>
      </c>
      <c r="B2836">
        <v>374982456</v>
      </c>
      <c r="C2836">
        <v>49</v>
      </c>
      <c r="D2836" t="s">
        <v>8701</v>
      </c>
      <c r="E2836">
        <v>8917</v>
      </c>
      <c r="F2836" t="s">
        <v>23479</v>
      </c>
      <c r="G2836">
        <v>4</v>
      </c>
      <c r="H2836" t="s">
        <v>8773</v>
      </c>
      <c r="J2836" t="s">
        <v>9350</v>
      </c>
      <c r="K2836" t="s">
        <v>104</v>
      </c>
      <c r="L2836" t="s">
        <v>33</v>
      </c>
      <c r="M2836" t="s">
        <v>8972</v>
      </c>
      <c r="N2836" t="s">
        <v>9405</v>
      </c>
      <c r="O2836" t="s">
        <v>9406</v>
      </c>
      <c r="P2836" s="2" t="s">
        <v>37</v>
      </c>
      <c r="Q2836" t="s">
        <v>1208</v>
      </c>
      <c r="R2836">
        <v>0</v>
      </c>
      <c r="S2836">
        <v>16.46</v>
      </c>
      <c r="T2836" t="s">
        <v>9407</v>
      </c>
    </row>
    <row r="2837" spans="1:20" x14ac:dyDescent="0.25">
      <c r="A2837" s="1" t="str">
        <f>HYPERLINK("https://vegkart.atlas.vegvesen.no/#/@273742.2,6576821.3,18/hva:hva%5B0%5D%5Bfilter%5D%5B0%5D%5Boperator%5D=%21%3D&amp;hva%5B0%5D%5Bfilter%5D%5B0%5D%5Btype_id%5D=8917&amp;hva%5B0%5D%5Bfilter%5D%5B0%5D%5Bverdi%5D=&amp;hva%5B0%5D%5Bid%5D=49/når:2025-11-11", "Vegkart")</f>
        <v>Vegkart</v>
      </c>
      <c r="B2837">
        <v>374982471</v>
      </c>
      <c r="C2837">
        <v>49</v>
      </c>
      <c r="D2837" t="s">
        <v>8701</v>
      </c>
      <c r="E2837">
        <v>8917</v>
      </c>
      <c r="F2837" t="s">
        <v>23479</v>
      </c>
      <c r="G2837">
        <v>2</v>
      </c>
      <c r="H2837" t="s">
        <v>8773</v>
      </c>
      <c r="J2837" t="s">
        <v>9350</v>
      </c>
      <c r="K2837" t="s">
        <v>104</v>
      </c>
      <c r="L2837" t="s">
        <v>33</v>
      </c>
      <c r="M2837" t="s">
        <v>8774</v>
      </c>
      <c r="N2837" t="s">
        <v>9408</v>
      </c>
      <c r="O2837" t="s">
        <v>9409</v>
      </c>
      <c r="P2837" s="2" t="s">
        <v>37</v>
      </c>
      <c r="Q2837" t="s">
        <v>1208</v>
      </c>
      <c r="R2837">
        <v>0</v>
      </c>
      <c r="S2837">
        <v>22.19</v>
      </c>
      <c r="T2837" t="s">
        <v>9410</v>
      </c>
    </row>
    <row r="2838" spans="1:20" x14ac:dyDescent="0.25">
      <c r="A2838" s="1" t="str">
        <f>HYPERLINK("https://vegkart.atlas.vegvesen.no/#/@294776.8,6561452.8,18/hva:hva%5B0%5D%5Bfilter%5D%5B0%5D%5Boperator%5D=%21%3D&amp;hva%5B0%5D%5Bfilter%5D%5B0%5D%5Btype_id%5D=8917&amp;hva%5B0%5D%5Bfilter%5D%5B0%5D%5Bverdi%5D=&amp;hva%5B0%5D%5Bid%5D=49/når:2025-10-15", "Vegkart")</f>
        <v>Vegkart</v>
      </c>
      <c r="B2838">
        <v>376114737</v>
      </c>
      <c r="C2838">
        <v>49</v>
      </c>
      <c r="D2838" t="s">
        <v>8701</v>
      </c>
      <c r="E2838">
        <v>8917</v>
      </c>
      <c r="F2838" t="s">
        <v>23479</v>
      </c>
      <c r="G2838">
        <v>3</v>
      </c>
      <c r="H2838" t="s">
        <v>683</v>
      </c>
      <c r="J2838" t="s">
        <v>9350</v>
      </c>
      <c r="K2838" t="s">
        <v>104</v>
      </c>
      <c r="L2838" t="s">
        <v>33</v>
      </c>
      <c r="M2838" t="s">
        <v>9182</v>
      </c>
      <c r="N2838" t="s">
        <v>9411</v>
      </c>
      <c r="O2838" t="s">
        <v>9412</v>
      </c>
      <c r="P2838" s="2" t="s">
        <v>37</v>
      </c>
      <c r="Q2838" t="s">
        <v>1208</v>
      </c>
      <c r="R2838">
        <v>0</v>
      </c>
      <c r="S2838">
        <v>10.97</v>
      </c>
      <c r="T2838" t="s">
        <v>9413</v>
      </c>
    </row>
    <row r="2839" spans="1:20" x14ac:dyDescent="0.25">
      <c r="A2839" s="1" t="str">
        <f>HYPERLINK("https://vegkart.atlas.vegvesen.no/#/@294782.4,6561454.5,18/hva:hva%5B0%5D%5Bfilter%5D%5B0%5D%5Boperator%5D=%21%3D&amp;hva%5B0%5D%5Bfilter%5D%5B0%5D%5Btype_id%5D=8917&amp;hva%5B0%5D%5Bfilter%5D%5B0%5D%5Bverdi%5D=&amp;hva%5B0%5D%5Bid%5D=49/når:2025-10-15", "Vegkart")</f>
        <v>Vegkart</v>
      </c>
      <c r="B2839">
        <v>376114743</v>
      </c>
      <c r="C2839">
        <v>49</v>
      </c>
      <c r="D2839" t="s">
        <v>8701</v>
      </c>
      <c r="E2839">
        <v>8917</v>
      </c>
      <c r="F2839" t="s">
        <v>23479</v>
      </c>
      <c r="G2839">
        <v>5</v>
      </c>
      <c r="H2839" t="s">
        <v>683</v>
      </c>
      <c r="J2839" t="s">
        <v>9350</v>
      </c>
      <c r="K2839" t="s">
        <v>104</v>
      </c>
      <c r="L2839" t="s">
        <v>33</v>
      </c>
      <c r="M2839" t="s">
        <v>9182</v>
      </c>
      <c r="N2839" t="s">
        <v>9414</v>
      </c>
      <c r="O2839" t="s">
        <v>9415</v>
      </c>
      <c r="P2839" s="2" t="s">
        <v>37</v>
      </c>
      <c r="Q2839" t="s">
        <v>1208</v>
      </c>
      <c r="R2839">
        <v>0</v>
      </c>
      <c r="S2839">
        <v>7</v>
      </c>
      <c r="T2839" t="s">
        <v>9416</v>
      </c>
    </row>
    <row r="2840" spans="1:20" x14ac:dyDescent="0.25">
      <c r="A2840" s="1" t="str">
        <f>HYPERLINK("https://vegkart.atlas.vegvesen.no/#/@296382.7,7044112.4,18/hva:hva%5B0%5D%5Bfilter%5D%5B0%5D%5Boperator%5D=%21%3D&amp;hva%5B0%5D%5Bfilter%5D%5B0%5D%5Btype_id%5D=8917&amp;hva%5B0%5D%5Bfilter%5D%5B0%5D%5Bverdi%5D=&amp;hva%5B0%5D%5Bid%5D=49/når:2013-04-17", "Vegkart")</f>
        <v>Vegkart</v>
      </c>
      <c r="B2840">
        <v>376939843</v>
      </c>
      <c r="C2840">
        <v>49</v>
      </c>
      <c r="D2840" t="s">
        <v>8701</v>
      </c>
      <c r="E2840">
        <v>8917</v>
      </c>
      <c r="F2840" t="s">
        <v>23479</v>
      </c>
      <c r="G2840">
        <v>1</v>
      </c>
      <c r="H2840" t="s">
        <v>9417</v>
      </c>
      <c r="J2840" t="s">
        <v>9418</v>
      </c>
      <c r="K2840" t="s">
        <v>192</v>
      </c>
      <c r="L2840" t="s">
        <v>80</v>
      </c>
      <c r="M2840" t="s">
        <v>105</v>
      </c>
      <c r="N2840" t="s">
        <v>9419</v>
      </c>
      <c r="O2840" t="s">
        <v>9420</v>
      </c>
      <c r="P2840" s="2" t="s">
        <v>165</v>
      </c>
      <c r="Q2840" t="s">
        <v>641</v>
      </c>
      <c r="R2840">
        <v>2.29</v>
      </c>
      <c r="S2840">
        <v>22</v>
      </c>
      <c r="T2840" t="s">
        <v>167</v>
      </c>
    </row>
    <row r="2841" spans="1:20" x14ac:dyDescent="0.25">
      <c r="A2841" s="1" t="str">
        <f>HYPERLINK("https://vegkart.atlas.vegvesen.no/#/@292416.6,6593409.3,18/hva:hva%5B0%5D%5Bfilter%5D%5B0%5D%5Boperator%5D=%21%3D&amp;hva%5B0%5D%5Bfilter%5D%5B0%5D%5Btype_id%5D=8917&amp;hva%5B0%5D%5Bfilter%5D%5B0%5D%5Bverdi%5D=&amp;hva%5B0%5D%5Bid%5D=49/når:2025-09-17", "Vegkart")</f>
        <v>Vegkart</v>
      </c>
      <c r="B2841">
        <v>390068019</v>
      </c>
      <c r="C2841">
        <v>49</v>
      </c>
      <c r="D2841" t="s">
        <v>8701</v>
      </c>
      <c r="E2841">
        <v>8917</v>
      </c>
      <c r="F2841" t="s">
        <v>23479</v>
      </c>
      <c r="G2841">
        <v>2</v>
      </c>
      <c r="H2841" t="s">
        <v>4275</v>
      </c>
      <c r="J2841" t="s">
        <v>9418</v>
      </c>
      <c r="K2841" t="s">
        <v>104</v>
      </c>
      <c r="L2841" t="s">
        <v>33</v>
      </c>
      <c r="M2841" t="s">
        <v>8729</v>
      </c>
      <c r="N2841" t="s">
        <v>9421</v>
      </c>
      <c r="O2841" t="s">
        <v>9422</v>
      </c>
      <c r="P2841" s="2" t="s">
        <v>37</v>
      </c>
      <c r="Q2841" t="s">
        <v>1208</v>
      </c>
      <c r="R2841">
        <v>0</v>
      </c>
      <c r="S2841">
        <v>6.36</v>
      </c>
      <c r="T2841" t="s">
        <v>9423</v>
      </c>
    </row>
    <row r="2842" spans="1:20" x14ac:dyDescent="0.25">
      <c r="A2842" s="1" t="str">
        <f>HYPERLINK("https://vegkart.atlas.vegvesen.no/#/@261949.6,6649777.9,18/hva:hva%5B0%5D%5Bfilter%5D%5B0%5D%5Boperator%5D=%21%3D&amp;hva%5B0%5D%5Bfilter%5D%5B0%5D%5Btype_id%5D=8917&amp;hva%5B0%5D%5Bfilter%5D%5B0%5D%5Bverdi%5D=&amp;hva%5B0%5D%5Bid%5D=49/når:2021-01-11", "Vegkart")</f>
        <v>Vegkart</v>
      </c>
      <c r="B2842">
        <v>403639222</v>
      </c>
      <c r="C2842">
        <v>49</v>
      </c>
      <c r="D2842" t="s">
        <v>8701</v>
      </c>
      <c r="E2842">
        <v>8917</v>
      </c>
      <c r="F2842" t="s">
        <v>23479</v>
      </c>
      <c r="G2842">
        <v>2</v>
      </c>
      <c r="H2842" t="s">
        <v>9424</v>
      </c>
      <c r="J2842" t="s">
        <v>9418</v>
      </c>
      <c r="K2842" t="s">
        <v>335</v>
      </c>
      <c r="L2842" t="s">
        <v>113</v>
      </c>
      <c r="M2842" t="s">
        <v>2194</v>
      </c>
      <c r="N2842" t="s">
        <v>9425</v>
      </c>
      <c r="O2842" t="s">
        <v>9426</v>
      </c>
      <c r="P2842" s="2" t="s">
        <v>37</v>
      </c>
      <c r="Q2842" t="s">
        <v>1208</v>
      </c>
      <c r="R2842">
        <v>0</v>
      </c>
      <c r="S2842">
        <v>48.3</v>
      </c>
      <c r="T2842" t="s">
        <v>9427</v>
      </c>
    </row>
    <row r="2843" spans="1:20" x14ac:dyDescent="0.25">
      <c r="A2843" s="1" t="str">
        <f>HYPERLINK("https://vegkart.atlas.vegvesen.no/#/@-47732.5,6623026.5,18/hva:hva%5B0%5D%5Bfilter%5D%5B0%5D%5Boperator%5D=%21%3D&amp;hva%5B0%5D%5Bfilter%5D%5B0%5D%5Btype_id%5D=8917&amp;hva%5B0%5D%5Bfilter%5D%5B0%5D%5Bverdi%5D=&amp;hva%5B0%5D%5Bid%5D=49/når:2013-06-28", "Vegkart")</f>
        <v>Vegkart</v>
      </c>
      <c r="B2843">
        <v>414821123</v>
      </c>
      <c r="C2843">
        <v>49</v>
      </c>
      <c r="D2843" t="s">
        <v>8701</v>
      </c>
      <c r="E2843">
        <v>8917</v>
      </c>
      <c r="F2843" t="s">
        <v>23479</v>
      </c>
      <c r="G2843">
        <v>1</v>
      </c>
      <c r="H2843" t="s">
        <v>1046</v>
      </c>
      <c r="J2843" t="s">
        <v>9418</v>
      </c>
      <c r="K2843" t="s">
        <v>170</v>
      </c>
      <c r="L2843" t="s">
        <v>33</v>
      </c>
      <c r="M2843" t="s">
        <v>1108</v>
      </c>
      <c r="N2843" t="s">
        <v>9428</v>
      </c>
      <c r="O2843" t="s">
        <v>9429</v>
      </c>
      <c r="P2843" s="2" t="s">
        <v>37</v>
      </c>
      <c r="Q2843" t="s">
        <v>1208</v>
      </c>
      <c r="R2843">
        <v>10.79</v>
      </c>
      <c r="S2843">
        <v>17.52</v>
      </c>
      <c r="T2843" t="s">
        <v>9430</v>
      </c>
    </row>
    <row r="2844" spans="1:20" x14ac:dyDescent="0.25">
      <c r="A2844" s="1" t="str">
        <f>HYPERLINK("https://vegkart.atlas.vegvesen.no/#/@-47735.4,6623033.6,18/hva:hva%5B0%5D%5Bfilter%5D%5B0%5D%5Boperator%5D=%21%3D&amp;hva%5B0%5D%5Bfilter%5D%5B0%5D%5Btype_id%5D=8917&amp;hva%5B0%5D%5Bfilter%5D%5B0%5D%5Bverdi%5D=&amp;hva%5B0%5D%5Bid%5D=49/når:2013-06-28", "Vegkart")</f>
        <v>Vegkart</v>
      </c>
      <c r="B2844">
        <v>414821124</v>
      </c>
      <c r="C2844">
        <v>49</v>
      </c>
      <c r="D2844" t="s">
        <v>8701</v>
      </c>
      <c r="E2844">
        <v>8917</v>
      </c>
      <c r="F2844" t="s">
        <v>23479</v>
      </c>
      <c r="G2844">
        <v>1</v>
      </c>
      <c r="H2844" t="s">
        <v>1046</v>
      </c>
      <c r="J2844" t="s">
        <v>9431</v>
      </c>
      <c r="K2844" t="s">
        <v>170</v>
      </c>
      <c r="L2844" t="s">
        <v>33</v>
      </c>
      <c r="M2844" t="s">
        <v>1108</v>
      </c>
      <c r="N2844" t="s">
        <v>9432</v>
      </c>
      <c r="O2844" t="s">
        <v>9433</v>
      </c>
      <c r="P2844" s="2" t="s">
        <v>37</v>
      </c>
      <c r="Q2844" t="s">
        <v>1208</v>
      </c>
      <c r="R2844">
        <v>0.72</v>
      </c>
      <c r="S2844">
        <v>0.78</v>
      </c>
      <c r="T2844" t="s">
        <v>9434</v>
      </c>
    </row>
    <row r="2845" spans="1:20" x14ac:dyDescent="0.25">
      <c r="A2845" s="1" t="str">
        <f>HYPERLINK("https://vegkart.atlas.vegvesen.no/#/@220287.5,6562166.7,18/hva:hva%5B0%5D%5Bfilter%5D%5B0%5D%5Boperator%5D=%21%3D&amp;hva%5B0%5D%5Bfilter%5D%5B0%5D%5Btype_id%5D=8917&amp;hva%5B0%5D%5Bfilter%5D%5B0%5D%5Bverdi%5D=&amp;hva%5B0%5D%5Bid%5D=49/når:2020-10-05", "Vegkart")</f>
        <v>Vegkart</v>
      </c>
      <c r="B2845">
        <v>438335694</v>
      </c>
      <c r="C2845">
        <v>49</v>
      </c>
      <c r="D2845" t="s">
        <v>8701</v>
      </c>
      <c r="E2845">
        <v>8917</v>
      </c>
      <c r="F2845" t="s">
        <v>23479</v>
      </c>
      <c r="G2845">
        <v>2</v>
      </c>
      <c r="H2845" t="s">
        <v>9435</v>
      </c>
      <c r="J2845" t="s">
        <v>9431</v>
      </c>
      <c r="K2845" t="s">
        <v>81</v>
      </c>
      <c r="L2845" t="s">
        <v>33</v>
      </c>
      <c r="M2845" t="s">
        <v>4333</v>
      </c>
      <c r="N2845" t="s">
        <v>9436</v>
      </c>
      <c r="O2845" t="s">
        <v>9437</v>
      </c>
      <c r="P2845" s="2" t="s">
        <v>26</v>
      </c>
      <c r="Q2845" t="s">
        <v>50</v>
      </c>
      <c r="R2845">
        <v>84.96</v>
      </c>
      <c r="S2845">
        <v>84.96</v>
      </c>
      <c r="T2845" t="s">
        <v>9438</v>
      </c>
    </row>
    <row r="2846" spans="1:20" x14ac:dyDescent="0.25">
      <c r="A2846" s="1" t="str">
        <f>HYPERLINK("https://vegkart.atlas.vegvesen.no/#/@267798.0,6572085.6,18/hva:hva%5B0%5D%5Bfilter%5D%5B0%5D%5Boperator%5D=%21%3D&amp;hva%5B0%5D%5Bfilter%5D%5B0%5D%5Btype_id%5D=8917&amp;hva%5B0%5D%5Bfilter%5D%5B0%5D%5Bverdi%5D=&amp;hva%5B0%5D%5Bid%5D=49/når:2025-11-28", "Vegkart")</f>
        <v>Vegkart</v>
      </c>
      <c r="B2846">
        <v>447817571</v>
      </c>
      <c r="C2846">
        <v>49</v>
      </c>
      <c r="D2846" t="s">
        <v>8701</v>
      </c>
      <c r="E2846">
        <v>8917</v>
      </c>
      <c r="F2846" t="s">
        <v>23479</v>
      </c>
      <c r="G2846">
        <v>3</v>
      </c>
      <c r="H2846" t="s">
        <v>8765</v>
      </c>
      <c r="J2846" t="s">
        <v>8787</v>
      </c>
      <c r="K2846" t="s">
        <v>104</v>
      </c>
      <c r="L2846" t="s">
        <v>33</v>
      </c>
      <c r="M2846" t="s">
        <v>9439</v>
      </c>
      <c r="N2846" t="s">
        <v>9440</v>
      </c>
      <c r="O2846" t="s">
        <v>9441</v>
      </c>
      <c r="P2846" s="2" t="s">
        <v>37</v>
      </c>
      <c r="Q2846" t="s">
        <v>1208</v>
      </c>
      <c r="R2846">
        <v>0</v>
      </c>
      <c r="S2846">
        <v>24.34</v>
      </c>
      <c r="T2846" t="s">
        <v>9442</v>
      </c>
    </row>
    <row r="2847" spans="1:20" x14ac:dyDescent="0.25">
      <c r="A2847" s="1" t="str">
        <f>HYPERLINK("https://vegkart.atlas.vegvesen.no/#/@267801.3,6572067.4,18/hva:hva%5B0%5D%5Bfilter%5D%5B0%5D%5Boperator%5D=%21%3D&amp;hva%5B0%5D%5Bfilter%5D%5B0%5D%5Btype_id%5D=8917&amp;hva%5B0%5D%5Bfilter%5D%5B0%5D%5Bverdi%5D=&amp;hva%5B0%5D%5Bid%5D=49/når:2025-11-28", "Vegkart")</f>
        <v>Vegkart</v>
      </c>
      <c r="B2847">
        <v>448424989</v>
      </c>
      <c r="C2847">
        <v>49</v>
      </c>
      <c r="D2847" t="s">
        <v>8701</v>
      </c>
      <c r="E2847">
        <v>8917</v>
      </c>
      <c r="F2847" t="s">
        <v>23479</v>
      </c>
      <c r="G2847">
        <v>2</v>
      </c>
      <c r="H2847" t="s">
        <v>8765</v>
      </c>
      <c r="J2847" t="s">
        <v>8766</v>
      </c>
      <c r="K2847" t="s">
        <v>104</v>
      </c>
      <c r="L2847" t="s">
        <v>33</v>
      </c>
      <c r="M2847" t="s">
        <v>9439</v>
      </c>
      <c r="N2847" t="s">
        <v>9443</v>
      </c>
      <c r="O2847" t="s">
        <v>9444</v>
      </c>
      <c r="P2847" s="2" t="s">
        <v>37</v>
      </c>
      <c r="Q2847" t="s">
        <v>1208</v>
      </c>
      <c r="R2847">
        <v>0</v>
      </c>
      <c r="S2847">
        <v>46.91</v>
      </c>
      <c r="T2847" t="s">
        <v>9445</v>
      </c>
    </row>
    <row r="2848" spans="1:20" x14ac:dyDescent="0.25">
      <c r="A2848" s="1" t="str">
        <f>HYPERLINK("https://vegkart.atlas.vegvesen.no/#/@226821.0,6569572.2,18/hva:hva%5B0%5D%5Bfilter%5D%5B0%5D%5Boperator%5D=%21%3D&amp;hva%5B0%5D%5Bfilter%5D%5B0%5D%5Btype_id%5D=8917&amp;hva%5B0%5D%5Bfilter%5D%5B0%5D%5Bverdi%5D=&amp;hva%5B0%5D%5Bid%5D=49/når:2023-07-24", "Vegkart")</f>
        <v>Vegkart</v>
      </c>
      <c r="B2848">
        <v>456143054</v>
      </c>
      <c r="C2848">
        <v>49</v>
      </c>
      <c r="D2848" t="s">
        <v>8701</v>
      </c>
      <c r="E2848">
        <v>8917</v>
      </c>
      <c r="F2848" t="s">
        <v>23479</v>
      </c>
      <c r="G2848">
        <v>2</v>
      </c>
      <c r="H2848" t="s">
        <v>9446</v>
      </c>
      <c r="J2848" t="s">
        <v>9447</v>
      </c>
      <c r="K2848" t="s">
        <v>81</v>
      </c>
      <c r="L2848" t="s">
        <v>80</v>
      </c>
      <c r="M2848" t="s">
        <v>53</v>
      </c>
      <c r="N2848" t="s">
        <v>9448</v>
      </c>
      <c r="O2848" t="s">
        <v>9449</v>
      </c>
      <c r="P2848" s="2" t="s">
        <v>37</v>
      </c>
      <c r="Q2848" t="s">
        <v>1208</v>
      </c>
      <c r="R2848">
        <v>4.1900000000000004</v>
      </c>
      <c r="S2848">
        <v>4.66</v>
      </c>
      <c r="T2848" t="s">
        <v>9450</v>
      </c>
    </row>
    <row r="2849" spans="1:20" x14ac:dyDescent="0.25">
      <c r="A2849" s="1" t="str">
        <f>HYPERLINK("https://vegkart.atlas.vegvesen.no/#/@263250.8,6568655.8,18/hva:hva%5B0%5D%5Bfilter%5D%5B0%5D%5Boperator%5D=%21%3D&amp;hva%5B0%5D%5Bfilter%5D%5B0%5D%5Btype_id%5D=8917&amp;hva%5B0%5D%5Bfilter%5D%5B0%5D%5Bverdi%5D=&amp;hva%5B0%5D%5Bid%5D=49/når:2025-11-28", "Vegkart")</f>
        <v>Vegkart</v>
      </c>
      <c r="B2849">
        <v>460448148</v>
      </c>
      <c r="C2849">
        <v>49</v>
      </c>
      <c r="D2849" t="s">
        <v>8701</v>
      </c>
      <c r="E2849">
        <v>8917</v>
      </c>
      <c r="F2849" t="s">
        <v>23479</v>
      </c>
      <c r="G2849">
        <v>2</v>
      </c>
      <c r="H2849" t="s">
        <v>8765</v>
      </c>
      <c r="J2849" t="s">
        <v>8787</v>
      </c>
      <c r="K2849" t="s">
        <v>104</v>
      </c>
      <c r="L2849" t="s">
        <v>33</v>
      </c>
      <c r="M2849" t="s">
        <v>9005</v>
      </c>
      <c r="N2849" t="s">
        <v>9451</v>
      </c>
      <c r="O2849" t="s">
        <v>9452</v>
      </c>
      <c r="P2849" s="2" t="s">
        <v>37</v>
      </c>
      <c r="Q2849" t="s">
        <v>1208</v>
      </c>
      <c r="R2849">
        <v>0</v>
      </c>
      <c r="S2849">
        <v>18.66</v>
      </c>
      <c r="T2849" t="s">
        <v>9453</v>
      </c>
    </row>
    <row r="2850" spans="1:20" x14ac:dyDescent="0.25">
      <c r="A2850" s="1" t="str">
        <f>HYPERLINK("https://vegkart.atlas.vegvesen.no/#/@267727.8,6570705.9,18/hva:hva%5B0%5D%5Bfilter%5D%5B0%5D%5Boperator%5D=%21%3D&amp;hva%5B0%5D%5Bfilter%5D%5B0%5D%5Btype_id%5D=8917&amp;hva%5B0%5D%5Bfilter%5D%5B0%5D%5Bverdi%5D=&amp;hva%5B0%5D%5Bid%5D=49/når:2025-11-28", "Vegkart")</f>
        <v>Vegkart</v>
      </c>
      <c r="B2850">
        <v>481155632</v>
      </c>
      <c r="C2850">
        <v>49</v>
      </c>
      <c r="D2850" t="s">
        <v>8701</v>
      </c>
      <c r="E2850">
        <v>8917</v>
      </c>
      <c r="F2850" t="s">
        <v>23479</v>
      </c>
      <c r="G2850">
        <v>3</v>
      </c>
      <c r="H2850" t="s">
        <v>8765</v>
      </c>
      <c r="J2850" t="s">
        <v>8766</v>
      </c>
      <c r="K2850" t="s">
        <v>104</v>
      </c>
      <c r="L2850" t="s">
        <v>33</v>
      </c>
      <c r="M2850" t="s">
        <v>931</v>
      </c>
      <c r="N2850" t="s">
        <v>9454</v>
      </c>
      <c r="O2850" t="s">
        <v>9455</v>
      </c>
      <c r="P2850" s="2" t="s">
        <v>37</v>
      </c>
      <c r="Q2850" t="s">
        <v>1208</v>
      </c>
      <c r="R2850">
        <v>0</v>
      </c>
      <c r="S2850">
        <v>140.29</v>
      </c>
      <c r="T2850" t="s">
        <v>9456</v>
      </c>
    </row>
    <row r="2851" spans="1:20" x14ac:dyDescent="0.25">
      <c r="A2851" s="1" t="str">
        <f>HYPERLINK("https://vegkart.atlas.vegvesen.no/#/@268053.4,6570174.6,18/hva:hva%5B0%5D%5Bfilter%5D%5B0%5D%5Boperator%5D=%21%3D&amp;hva%5B0%5D%5Bfilter%5D%5B0%5D%5Btype_id%5D=8917&amp;hva%5B0%5D%5Bfilter%5D%5B0%5D%5Bverdi%5D=&amp;hva%5B0%5D%5Bid%5D=49/når:2025-11-28", "Vegkart")</f>
        <v>Vegkart</v>
      </c>
      <c r="B2851">
        <v>481155806</v>
      </c>
      <c r="C2851">
        <v>49</v>
      </c>
      <c r="D2851" t="s">
        <v>8701</v>
      </c>
      <c r="E2851">
        <v>8917</v>
      </c>
      <c r="F2851" t="s">
        <v>23479</v>
      </c>
      <c r="G2851">
        <v>2</v>
      </c>
      <c r="H2851" t="s">
        <v>8765</v>
      </c>
      <c r="J2851" t="s">
        <v>8766</v>
      </c>
      <c r="K2851" t="s">
        <v>104</v>
      </c>
      <c r="L2851" t="s">
        <v>33</v>
      </c>
      <c r="M2851" t="s">
        <v>931</v>
      </c>
      <c r="N2851" t="s">
        <v>9457</v>
      </c>
      <c r="O2851" t="s">
        <v>9458</v>
      </c>
      <c r="P2851" s="2" t="s">
        <v>37</v>
      </c>
      <c r="Q2851" t="s">
        <v>1208</v>
      </c>
      <c r="R2851">
        <v>0</v>
      </c>
      <c r="S2851">
        <v>11.96</v>
      </c>
      <c r="T2851" t="s">
        <v>9459</v>
      </c>
    </row>
    <row r="2852" spans="1:20" x14ac:dyDescent="0.25">
      <c r="A2852" s="1" t="str">
        <f>HYPERLINK("https://vegkart.atlas.vegvesen.no/#/@268061.6,6570170.3,18/hva:hva%5B0%5D%5Bfilter%5D%5B0%5D%5Boperator%5D=%21%3D&amp;hva%5B0%5D%5Bfilter%5D%5B0%5D%5Btype_id%5D=8917&amp;hva%5B0%5D%5Bfilter%5D%5B0%5D%5Bverdi%5D=&amp;hva%5B0%5D%5Bid%5D=49/når:2025-11-28", "Vegkart")</f>
        <v>Vegkart</v>
      </c>
      <c r="B2852">
        <v>481155809</v>
      </c>
      <c r="C2852">
        <v>49</v>
      </c>
      <c r="D2852" t="s">
        <v>8701</v>
      </c>
      <c r="E2852">
        <v>8917</v>
      </c>
      <c r="F2852" t="s">
        <v>23479</v>
      </c>
      <c r="G2852">
        <v>2</v>
      </c>
      <c r="H2852" t="s">
        <v>8765</v>
      </c>
      <c r="J2852" t="s">
        <v>9460</v>
      </c>
      <c r="K2852" t="s">
        <v>104</v>
      </c>
      <c r="L2852" t="s">
        <v>33</v>
      </c>
      <c r="M2852" t="s">
        <v>931</v>
      </c>
      <c r="N2852" t="s">
        <v>9461</v>
      </c>
      <c r="O2852" t="s">
        <v>9462</v>
      </c>
      <c r="P2852" s="2" t="s">
        <v>37</v>
      </c>
      <c r="Q2852" t="s">
        <v>1208</v>
      </c>
      <c r="R2852">
        <v>0</v>
      </c>
      <c r="S2852">
        <v>22.47</v>
      </c>
      <c r="T2852" t="s">
        <v>9463</v>
      </c>
    </row>
    <row r="2853" spans="1:20" x14ac:dyDescent="0.25">
      <c r="A2853" s="1" t="str">
        <f>HYPERLINK("https://vegkart.atlas.vegvesen.no/#/@258506.0,6590526.7,18/hva:hva%5B0%5D%5Bfilter%5D%5B0%5D%5Boperator%5D=%21%3D&amp;hva%5B0%5D%5Bfilter%5D%5B0%5D%5Btype_id%5D=8917&amp;hva%5B0%5D%5Bfilter%5D%5B0%5D%5Bverdi%5D=&amp;hva%5B0%5D%5Bid%5D=49/når:2025-10-30", "Vegkart")</f>
        <v>Vegkart</v>
      </c>
      <c r="B2853">
        <v>487728030</v>
      </c>
      <c r="C2853">
        <v>49</v>
      </c>
      <c r="D2853" t="s">
        <v>8701</v>
      </c>
      <c r="E2853">
        <v>8917</v>
      </c>
      <c r="F2853" t="s">
        <v>23479</v>
      </c>
      <c r="G2853">
        <v>3</v>
      </c>
      <c r="H2853" t="s">
        <v>8750</v>
      </c>
      <c r="J2853" t="s">
        <v>9464</v>
      </c>
      <c r="K2853" t="s">
        <v>104</v>
      </c>
      <c r="L2853" t="s">
        <v>33</v>
      </c>
      <c r="M2853" t="s">
        <v>8802</v>
      </c>
      <c r="N2853" t="s">
        <v>9465</v>
      </c>
      <c r="O2853" t="s">
        <v>9466</v>
      </c>
      <c r="P2853" s="2" t="s">
        <v>37</v>
      </c>
      <c r="Q2853" t="s">
        <v>1208</v>
      </c>
      <c r="R2853">
        <v>0</v>
      </c>
      <c r="S2853">
        <v>9.5500000000000007</v>
      </c>
      <c r="T2853" t="s">
        <v>9467</v>
      </c>
    </row>
    <row r="2854" spans="1:20" x14ac:dyDescent="0.25">
      <c r="A2854" s="1" t="str">
        <f>HYPERLINK("https://vegkart.atlas.vegvesen.no/#/@258696.9,6590681.7,18/hva:hva%5B0%5D%5Bfilter%5D%5B0%5D%5Boperator%5D=%21%3D&amp;hva%5B0%5D%5Bfilter%5D%5B0%5D%5Btype_id%5D=8917&amp;hva%5B0%5D%5Bfilter%5D%5B0%5D%5Bverdi%5D=&amp;hva%5B0%5D%5Bid%5D=49/når:2025-10-30", "Vegkart")</f>
        <v>Vegkart</v>
      </c>
      <c r="B2854">
        <v>487728073</v>
      </c>
      <c r="C2854">
        <v>49</v>
      </c>
      <c r="D2854" t="s">
        <v>8701</v>
      </c>
      <c r="E2854">
        <v>8917</v>
      </c>
      <c r="F2854" t="s">
        <v>23479</v>
      </c>
      <c r="G2854">
        <v>2</v>
      </c>
      <c r="H2854" t="s">
        <v>8750</v>
      </c>
      <c r="J2854" t="s">
        <v>9447</v>
      </c>
      <c r="K2854" t="s">
        <v>104</v>
      </c>
      <c r="L2854" t="s">
        <v>33</v>
      </c>
      <c r="M2854" t="s">
        <v>8802</v>
      </c>
      <c r="N2854" t="s">
        <v>9468</v>
      </c>
      <c r="O2854" t="s">
        <v>9469</v>
      </c>
      <c r="P2854" s="2" t="s">
        <v>37</v>
      </c>
      <c r="Q2854" t="s">
        <v>1208</v>
      </c>
      <c r="R2854">
        <v>0</v>
      </c>
      <c r="S2854">
        <v>15.14</v>
      </c>
      <c r="T2854" t="s">
        <v>9470</v>
      </c>
    </row>
    <row r="2855" spans="1:20" x14ac:dyDescent="0.25">
      <c r="A2855" s="1" t="str">
        <f>HYPERLINK("https://vegkart.atlas.vegvesen.no/#/@-45122.8,6547121.7,18/hva:hva%5B0%5D%5Bfilter%5D%5B0%5D%5Boperator%5D=%21%3D&amp;hva%5B0%5D%5Bfilter%5D%5B0%5D%5Btype_id%5D=8917&amp;hva%5B0%5D%5Bfilter%5D%5B0%5D%5Bverdi%5D=&amp;hva%5B0%5D%5Bid%5D=49/når:2021-06-24", "Vegkart")</f>
        <v>Vegkart</v>
      </c>
      <c r="B2855">
        <v>489400247</v>
      </c>
      <c r="C2855">
        <v>49</v>
      </c>
      <c r="D2855" t="s">
        <v>8701</v>
      </c>
      <c r="E2855">
        <v>8917</v>
      </c>
      <c r="F2855" t="s">
        <v>23479</v>
      </c>
      <c r="G2855">
        <v>4</v>
      </c>
      <c r="H2855" t="s">
        <v>9471</v>
      </c>
      <c r="J2855" t="s">
        <v>9447</v>
      </c>
      <c r="K2855" t="s">
        <v>170</v>
      </c>
      <c r="L2855" t="s">
        <v>33</v>
      </c>
      <c r="M2855" t="s">
        <v>9472</v>
      </c>
      <c r="N2855" t="s">
        <v>9473</v>
      </c>
      <c r="O2855" t="s">
        <v>9474</v>
      </c>
      <c r="P2855" s="2" t="s">
        <v>26</v>
      </c>
      <c r="Q2855" t="s">
        <v>50</v>
      </c>
      <c r="R2855">
        <v>7.87</v>
      </c>
      <c r="S2855">
        <v>7.87</v>
      </c>
      <c r="T2855" t="s">
        <v>9475</v>
      </c>
    </row>
    <row r="2856" spans="1:20" x14ac:dyDescent="0.25">
      <c r="A2856" s="1" t="str">
        <f>HYPERLINK("https://vegkart.atlas.vegvesen.no/#/@809609.9,7778501.8,18/hva:hva%5B0%5D%5Bfilter%5D%5B0%5D%5Boperator%5D=%21%3D&amp;hva%5B0%5D%5Bfilter%5D%5B0%5D%5Btype_id%5D=8917&amp;hva%5B0%5D%5Bfilter%5D%5B0%5D%5Bverdi%5D=&amp;hva%5B0%5D%5Bid%5D=49/når:2014-04-22", "Vegkart")</f>
        <v>Vegkart</v>
      </c>
      <c r="B2856">
        <v>494561228</v>
      </c>
      <c r="C2856">
        <v>49</v>
      </c>
      <c r="D2856" t="s">
        <v>8701</v>
      </c>
      <c r="E2856">
        <v>8917</v>
      </c>
      <c r="F2856" t="s">
        <v>23479</v>
      </c>
      <c r="G2856">
        <v>1</v>
      </c>
      <c r="H2856" t="s">
        <v>6155</v>
      </c>
      <c r="J2856" t="s">
        <v>449</v>
      </c>
      <c r="K2856" t="s">
        <v>450</v>
      </c>
      <c r="L2856" t="s">
        <v>80</v>
      </c>
      <c r="M2856" t="s">
        <v>105</v>
      </c>
      <c r="N2856" t="s">
        <v>9476</v>
      </c>
      <c r="O2856" t="s">
        <v>9477</v>
      </c>
      <c r="P2856" s="2" t="s">
        <v>37</v>
      </c>
      <c r="Q2856" t="s">
        <v>1208</v>
      </c>
      <c r="R2856">
        <v>7.65</v>
      </c>
      <c r="S2856">
        <v>360.67</v>
      </c>
      <c r="T2856" t="s">
        <v>9478</v>
      </c>
    </row>
    <row r="2857" spans="1:20" x14ac:dyDescent="0.25">
      <c r="A2857" s="1" t="str">
        <f>HYPERLINK("https://vegkart.atlas.vegvesen.no/#/@809462.1,7778565.8,18/hva:hva%5B0%5D%5Bfilter%5D%5B0%5D%5Boperator%5D=%21%3D&amp;hva%5B0%5D%5Bfilter%5D%5B0%5D%5Btype_id%5D=8917&amp;hva%5B0%5D%5Bfilter%5D%5B0%5D%5Bverdi%5D=&amp;hva%5B0%5D%5Bid%5D=49/når:2014-04-22", "Vegkart")</f>
        <v>Vegkart</v>
      </c>
      <c r="B2857">
        <v>494561230</v>
      </c>
      <c r="C2857">
        <v>49</v>
      </c>
      <c r="D2857" t="s">
        <v>8701</v>
      </c>
      <c r="E2857">
        <v>8917</v>
      </c>
      <c r="F2857" t="s">
        <v>23479</v>
      </c>
      <c r="G2857">
        <v>1</v>
      </c>
      <c r="H2857" t="s">
        <v>6155</v>
      </c>
      <c r="J2857" t="s">
        <v>449</v>
      </c>
      <c r="K2857" t="s">
        <v>450</v>
      </c>
      <c r="L2857" t="s">
        <v>80</v>
      </c>
      <c r="M2857" t="s">
        <v>105</v>
      </c>
      <c r="N2857" t="s">
        <v>9479</v>
      </c>
      <c r="O2857" t="s">
        <v>9480</v>
      </c>
      <c r="P2857" s="2" t="s">
        <v>37</v>
      </c>
      <c r="Q2857" t="s">
        <v>1208</v>
      </c>
      <c r="R2857">
        <v>4.24</v>
      </c>
      <c r="S2857">
        <v>245.04</v>
      </c>
      <c r="T2857" t="s">
        <v>9481</v>
      </c>
    </row>
    <row r="2858" spans="1:20" x14ac:dyDescent="0.25">
      <c r="A2858" s="1" t="str">
        <f>HYPERLINK("https://vegkart.atlas.vegvesen.no/#/@809307.7,7778641.2,18/hva:hva%5B0%5D%5Bfilter%5D%5B0%5D%5Boperator%5D=%21%3D&amp;hva%5B0%5D%5Bfilter%5D%5B0%5D%5Btype_id%5D=8917&amp;hva%5B0%5D%5Bfilter%5D%5B0%5D%5Bverdi%5D=&amp;hva%5B0%5D%5Bid%5D=49/når:2014-04-22", "Vegkart")</f>
        <v>Vegkart</v>
      </c>
      <c r="B2858">
        <v>494561231</v>
      </c>
      <c r="C2858">
        <v>49</v>
      </c>
      <c r="D2858" t="s">
        <v>8701</v>
      </c>
      <c r="E2858">
        <v>8917</v>
      </c>
      <c r="F2858" t="s">
        <v>23479</v>
      </c>
      <c r="G2858">
        <v>1</v>
      </c>
      <c r="H2858" t="s">
        <v>6155</v>
      </c>
      <c r="J2858" t="s">
        <v>449</v>
      </c>
      <c r="K2858" t="s">
        <v>450</v>
      </c>
      <c r="L2858" t="s">
        <v>80</v>
      </c>
      <c r="M2858" t="s">
        <v>105</v>
      </c>
      <c r="N2858" t="s">
        <v>9482</v>
      </c>
      <c r="O2858" t="s">
        <v>9483</v>
      </c>
      <c r="P2858" s="2" t="s">
        <v>37</v>
      </c>
      <c r="Q2858" t="s">
        <v>1208</v>
      </c>
      <c r="R2858">
        <v>3.73</v>
      </c>
      <c r="S2858">
        <v>137.66999999999999</v>
      </c>
      <c r="T2858" t="s">
        <v>9484</v>
      </c>
    </row>
    <row r="2859" spans="1:20" x14ac:dyDescent="0.25">
      <c r="A2859" s="1" t="str">
        <f>HYPERLINK("https://vegkart.atlas.vegvesen.no/#/@220863.6,6634297.4,18/hva:hva%5B0%5D%5Bfilter%5D%5B0%5D%5Boperator%5D=%21%3D&amp;hva%5B0%5D%5Bfilter%5D%5B0%5D%5Btype_id%5D=8917&amp;hva%5B0%5D%5Bfilter%5D%5B0%5D%5Bverdi%5D=&amp;hva%5B0%5D%5Bid%5D=49/når:2017-01-04", "Vegkart")</f>
        <v>Vegkart</v>
      </c>
      <c r="B2859">
        <v>494575471</v>
      </c>
      <c r="C2859">
        <v>49</v>
      </c>
      <c r="D2859" t="s">
        <v>8701</v>
      </c>
      <c r="E2859">
        <v>8917</v>
      </c>
      <c r="F2859" t="s">
        <v>23479</v>
      </c>
      <c r="G2859">
        <v>2</v>
      </c>
      <c r="H2859" t="s">
        <v>9321</v>
      </c>
      <c r="J2859" t="s">
        <v>449</v>
      </c>
      <c r="K2859" t="s">
        <v>307</v>
      </c>
      <c r="L2859" t="s">
        <v>33</v>
      </c>
      <c r="M2859" t="s">
        <v>571</v>
      </c>
      <c r="N2859" t="s">
        <v>9485</v>
      </c>
      <c r="O2859" t="s">
        <v>9486</v>
      </c>
      <c r="P2859" s="2" t="s">
        <v>37</v>
      </c>
      <c r="Q2859" t="s">
        <v>1208</v>
      </c>
      <c r="R2859">
        <v>7.14</v>
      </c>
      <c r="S2859">
        <v>45.28</v>
      </c>
      <c r="T2859" t="s">
        <v>9487</v>
      </c>
    </row>
    <row r="2860" spans="1:20" x14ac:dyDescent="0.25">
      <c r="A2860" s="1" t="str">
        <f>HYPERLINK("https://vegkart.atlas.vegvesen.no/#/@220814.2,6634270.2,18/hva:hva%5B0%5D%5Bfilter%5D%5B0%5D%5Boperator%5D=%21%3D&amp;hva%5B0%5D%5Bfilter%5D%5B0%5D%5Btype_id%5D=8917&amp;hva%5B0%5D%5Bfilter%5D%5B0%5D%5Bverdi%5D=&amp;hva%5B0%5D%5Bid%5D=49/når:2018-03-05", "Vegkart")</f>
        <v>Vegkart</v>
      </c>
      <c r="B2860">
        <v>520132524</v>
      </c>
      <c r="C2860">
        <v>49</v>
      </c>
      <c r="D2860" t="s">
        <v>8701</v>
      </c>
      <c r="E2860">
        <v>8917</v>
      </c>
      <c r="F2860" t="s">
        <v>23479</v>
      </c>
      <c r="G2860">
        <v>3</v>
      </c>
      <c r="H2860" t="s">
        <v>8711</v>
      </c>
      <c r="J2860" t="s">
        <v>449</v>
      </c>
      <c r="K2860" t="s">
        <v>307</v>
      </c>
      <c r="L2860" t="s">
        <v>80</v>
      </c>
      <c r="M2860" t="s">
        <v>645</v>
      </c>
      <c r="N2860" t="s">
        <v>9488</v>
      </c>
      <c r="O2860" t="s">
        <v>9489</v>
      </c>
      <c r="P2860" s="2" t="s">
        <v>37</v>
      </c>
      <c r="Q2860" t="s">
        <v>1208</v>
      </c>
      <c r="R2860">
        <v>6.81</v>
      </c>
      <c r="S2860">
        <v>40.82</v>
      </c>
      <c r="T2860" t="s">
        <v>9490</v>
      </c>
    </row>
    <row r="2861" spans="1:20" x14ac:dyDescent="0.25">
      <c r="A2861" s="1" t="str">
        <f>HYPERLINK("https://vegkart.atlas.vegvesen.no/#/@35246.1,6473575.7,18/hva:hva%5B0%5D%5Bfilter%5D%5B0%5D%5Boperator%5D=%21%3D&amp;hva%5B0%5D%5Bfilter%5D%5B0%5D%5Btype_id%5D=8917&amp;hva%5B0%5D%5Bfilter%5D%5B0%5D%5Bverdi%5D=&amp;hva%5B0%5D%5Bid%5D=49/når:2012-10-25", "Vegkart")</f>
        <v>Vegkart</v>
      </c>
      <c r="B2861">
        <v>527756385</v>
      </c>
      <c r="C2861">
        <v>49</v>
      </c>
      <c r="D2861" t="s">
        <v>8701</v>
      </c>
      <c r="E2861">
        <v>8917</v>
      </c>
      <c r="F2861" t="s">
        <v>23479</v>
      </c>
      <c r="G2861">
        <v>1</v>
      </c>
      <c r="H2861" t="s">
        <v>9491</v>
      </c>
      <c r="J2861" t="s">
        <v>449</v>
      </c>
      <c r="K2861" t="s">
        <v>86</v>
      </c>
      <c r="L2861" t="s">
        <v>33</v>
      </c>
      <c r="M2861" t="s">
        <v>4563</v>
      </c>
      <c r="N2861" t="s">
        <v>9492</v>
      </c>
      <c r="O2861" t="s">
        <v>9493</v>
      </c>
      <c r="P2861" s="2" t="s">
        <v>37</v>
      </c>
      <c r="Q2861" t="s">
        <v>1208</v>
      </c>
      <c r="R2861">
        <v>13.22</v>
      </c>
      <c r="S2861">
        <v>18.489999999999998</v>
      </c>
      <c r="T2861" t="s">
        <v>9494</v>
      </c>
    </row>
    <row r="2862" spans="1:20" x14ac:dyDescent="0.25">
      <c r="A2862" s="1" t="str">
        <f>HYPERLINK("https://vegkart.atlas.vegvesen.no/#/@242078.5,6831258.6,18/hva:hva%5B0%5D%5Bfilter%5D%5B0%5D%5Boperator%5D=%21%3D&amp;hva%5B0%5D%5Bfilter%5D%5B0%5D%5Btype_id%5D=8917&amp;hva%5B0%5D%5Bfilter%5D%5B0%5D%5Bverdi%5D=&amp;hva%5B0%5D%5Bid%5D=49/når:2022-04-06", "Vegkart")</f>
        <v>Vegkart</v>
      </c>
      <c r="B2862">
        <v>537897509</v>
      </c>
      <c r="C2862">
        <v>49</v>
      </c>
      <c r="D2862" t="s">
        <v>8701</v>
      </c>
      <c r="E2862">
        <v>8917</v>
      </c>
      <c r="F2862" t="s">
        <v>23479</v>
      </c>
      <c r="G2862">
        <v>2</v>
      </c>
      <c r="H2862" t="s">
        <v>7878</v>
      </c>
      <c r="J2862" t="s">
        <v>449</v>
      </c>
      <c r="K2862" t="s">
        <v>136</v>
      </c>
      <c r="L2862" t="s">
        <v>80</v>
      </c>
      <c r="M2862" t="s">
        <v>105</v>
      </c>
      <c r="N2862" t="s">
        <v>9495</v>
      </c>
      <c r="O2862" t="s">
        <v>9496</v>
      </c>
      <c r="P2862" s="2" t="s">
        <v>26</v>
      </c>
      <c r="Q2862" t="s">
        <v>50</v>
      </c>
      <c r="R2862">
        <v>9.83</v>
      </c>
      <c r="S2862">
        <v>9.83</v>
      </c>
      <c r="T2862" t="s">
        <v>9497</v>
      </c>
    </row>
    <row r="2863" spans="1:20" x14ac:dyDescent="0.25">
      <c r="A2863" s="1" t="str">
        <f>HYPERLINK("https://vegkart.atlas.vegvesen.no/#/@242016.8,6831326.7,18/hva:hva%5B0%5D%5Bfilter%5D%5B0%5D%5Boperator%5D=%21%3D&amp;hva%5B0%5D%5Bfilter%5D%5B0%5D%5Btype_id%5D=8917&amp;hva%5B0%5D%5Bfilter%5D%5B0%5D%5Bverdi%5D=&amp;hva%5B0%5D%5Bid%5D=49/når:2022-04-06", "Vegkart")</f>
        <v>Vegkart</v>
      </c>
      <c r="B2863">
        <v>537897511</v>
      </c>
      <c r="C2863">
        <v>49</v>
      </c>
      <c r="D2863" t="s">
        <v>8701</v>
      </c>
      <c r="E2863">
        <v>8917</v>
      </c>
      <c r="F2863" t="s">
        <v>23479</v>
      </c>
      <c r="G2863">
        <v>2</v>
      </c>
      <c r="H2863" t="s">
        <v>7878</v>
      </c>
      <c r="J2863" t="s">
        <v>449</v>
      </c>
      <c r="K2863" t="s">
        <v>136</v>
      </c>
      <c r="L2863" t="s">
        <v>80</v>
      </c>
      <c r="M2863" t="s">
        <v>105</v>
      </c>
      <c r="N2863" t="s">
        <v>9498</v>
      </c>
      <c r="O2863" t="s">
        <v>9499</v>
      </c>
      <c r="P2863" s="2" t="s">
        <v>26</v>
      </c>
      <c r="Q2863" t="s">
        <v>50</v>
      </c>
      <c r="R2863">
        <v>8.9700000000000006</v>
      </c>
      <c r="S2863">
        <v>8.9700000000000006</v>
      </c>
      <c r="T2863" t="s">
        <v>9500</v>
      </c>
    </row>
    <row r="2864" spans="1:20" x14ac:dyDescent="0.25">
      <c r="A2864" s="1" t="str">
        <f>HYPERLINK("https://vegkart.atlas.vegvesen.no/#/@241945.7,6831363.4,18/hva:hva%5B0%5D%5Bfilter%5D%5B0%5D%5Boperator%5D=%21%3D&amp;hva%5B0%5D%5Bfilter%5D%5B0%5D%5Btype_id%5D=8917&amp;hva%5B0%5D%5Bfilter%5D%5B0%5D%5Bverdi%5D=&amp;hva%5B0%5D%5Bid%5D=49/når:2022-04-06", "Vegkart")</f>
        <v>Vegkart</v>
      </c>
      <c r="B2864">
        <v>537897515</v>
      </c>
      <c r="C2864">
        <v>49</v>
      </c>
      <c r="D2864" t="s">
        <v>8701</v>
      </c>
      <c r="E2864">
        <v>8917</v>
      </c>
      <c r="F2864" t="s">
        <v>23479</v>
      </c>
      <c r="G2864">
        <v>2</v>
      </c>
      <c r="H2864" t="s">
        <v>7878</v>
      </c>
      <c r="J2864" t="s">
        <v>449</v>
      </c>
      <c r="K2864" t="s">
        <v>136</v>
      </c>
      <c r="L2864" t="s">
        <v>80</v>
      </c>
      <c r="M2864" t="s">
        <v>105</v>
      </c>
      <c r="N2864" t="s">
        <v>9501</v>
      </c>
      <c r="O2864" t="s">
        <v>9502</v>
      </c>
      <c r="P2864" s="2" t="s">
        <v>26</v>
      </c>
      <c r="Q2864" t="s">
        <v>50</v>
      </c>
      <c r="R2864">
        <v>9.94</v>
      </c>
      <c r="S2864">
        <v>9.94</v>
      </c>
      <c r="T2864" t="s">
        <v>9503</v>
      </c>
    </row>
    <row r="2865" spans="1:20" x14ac:dyDescent="0.25">
      <c r="A2865" s="1" t="str">
        <f>HYPERLINK("https://vegkart.atlas.vegvesen.no/#/@241802.9,6831391.6,18/hva:hva%5B0%5D%5Bfilter%5D%5B0%5D%5Boperator%5D=%21%3D&amp;hva%5B0%5D%5Bfilter%5D%5B0%5D%5Btype_id%5D=8917&amp;hva%5B0%5D%5Bfilter%5D%5B0%5D%5Bverdi%5D=&amp;hva%5B0%5D%5Bid%5D=49/når:2022-04-06", "Vegkart")</f>
        <v>Vegkart</v>
      </c>
      <c r="B2865">
        <v>537897518</v>
      </c>
      <c r="C2865">
        <v>49</v>
      </c>
      <c r="D2865" t="s">
        <v>8701</v>
      </c>
      <c r="E2865">
        <v>8917</v>
      </c>
      <c r="F2865" t="s">
        <v>23479</v>
      </c>
      <c r="G2865">
        <v>2</v>
      </c>
      <c r="H2865" t="s">
        <v>7878</v>
      </c>
      <c r="J2865" t="s">
        <v>449</v>
      </c>
      <c r="K2865" t="s">
        <v>136</v>
      </c>
      <c r="L2865" t="s">
        <v>80</v>
      </c>
      <c r="M2865" t="s">
        <v>105</v>
      </c>
      <c r="N2865" t="s">
        <v>9504</v>
      </c>
      <c r="O2865" t="s">
        <v>9505</v>
      </c>
      <c r="P2865" s="2" t="s">
        <v>26</v>
      </c>
      <c r="Q2865" t="s">
        <v>50</v>
      </c>
      <c r="R2865">
        <v>10.27</v>
      </c>
      <c r="S2865">
        <v>10.27</v>
      </c>
      <c r="T2865" t="s">
        <v>9506</v>
      </c>
    </row>
    <row r="2866" spans="1:20" x14ac:dyDescent="0.25">
      <c r="A2866" s="1" t="str">
        <f>HYPERLINK("https://vegkart.atlas.vegvesen.no/#/@241725.9,6831405.3,18/hva:hva%5B0%5D%5Bfilter%5D%5B0%5D%5Boperator%5D=%21%3D&amp;hva%5B0%5D%5Bfilter%5D%5B0%5D%5Btype_id%5D=8917&amp;hva%5B0%5D%5Bfilter%5D%5B0%5D%5Bverdi%5D=&amp;hva%5B0%5D%5Bid%5D=49/når:2022-04-06", "Vegkart")</f>
        <v>Vegkart</v>
      </c>
      <c r="B2866">
        <v>537897525</v>
      </c>
      <c r="C2866">
        <v>49</v>
      </c>
      <c r="D2866" t="s">
        <v>8701</v>
      </c>
      <c r="E2866">
        <v>8917</v>
      </c>
      <c r="F2866" t="s">
        <v>23479</v>
      </c>
      <c r="G2866">
        <v>2</v>
      </c>
      <c r="H2866" t="s">
        <v>7878</v>
      </c>
      <c r="J2866" t="s">
        <v>449</v>
      </c>
      <c r="K2866" t="s">
        <v>136</v>
      </c>
      <c r="L2866" t="s">
        <v>80</v>
      </c>
      <c r="M2866" t="s">
        <v>105</v>
      </c>
      <c r="N2866" t="s">
        <v>9507</v>
      </c>
      <c r="O2866" t="s">
        <v>9508</v>
      </c>
      <c r="P2866" s="2" t="s">
        <v>26</v>
      </c>
      <c r="Q2866" t="s">
        <v>50</v>
      </c>
      <c r="R2866">
        <v>9.3699999999999992</v>
      </c>
      <c r="S2866">
        <v>9.3699999999999992</v>
      </c>
      <c r="T2866" t="s">
        <v>9509</v>
      </c>
    </row>
    <row r="2867" spans="1:20" x14ac:dyDescent="0.25">
      <c r="A2867" s="1" t="str">
        <f>HYPERLINK("https://vegkart.atlas.vegvesen.no/#/@241656.3,6831420.3,18/hva:hva%5B0%5D%5Bfilter%5D%5B0%5D%5Boperator%5D=%21%3D&amp;hva%5B0%5D%5Bfilter%5D%5B0%5D%5Btype_id%5D=8917&amp;hva%5B0%5D%5Bfilter%5D%5B0%5D%5Bverdi%5D=&amp;hva%5B0%5D%5Bid%5D=49/når:2022-04-06", "Vegkart")</f>
        <v>Vegkart</v>
      </c>
      <c r="B2867">
        <v>537897526</v>
      </c>
      <c r="C2867">
        <v>49</v>
      </c>
      <c r="D2867" t="s">
        <v>8701</v>
      </c>
      <c r="E2867">
        <v>8917</v>
      </c>
      <c r="F2867" t="s">
        <v>23479</v>
      </c>
      <c r="G2867">
        <v>2</v>
      </c>
      <c r="H2867" t="s">
        <v>7878</v>
      </c>
      <c r="J2867" t="s">
        <v>449</v>
      </c>
      <c r="K2867" t="s">
        <v>136</v>
      </c>
      <c r="L2867" t="s">
        <v>80</v>
      </c>
      <c r="M2867" t="s">
        <v>105</v>
      </c>
      <c r="N2867" t="s">
        <v>9510</v>
      </c>
      <c r="O2867" t="s">
        <v>9511</v>
      </c>
      <c r="P2867" s="2" t="s">
        <v>26</v>
      </c>
      <c r="Q2867" t="s">
        <v>50</v>
      </c>
      <c r="R2867">
        <v>9.69</v>
      </c>
      <c r="S2867">
        <v>9.6999999999999993</v>
      </c>
      <c r="T2867" t="s">
        <v>9512</v>
      </c>
    </row>
    <row r="2868" spans="1:20" x14ac:dyDescent="0.25">
      <c r="A2868" s="1" t="str">
        <f>HYPERLINK("https://vegkart.atlas.vegvesen.no/#/@241553.0,6831452.7,18/hva:hva%5B0%5D%5Bfilter%5D%5B0%5D%5Boperator%5D=%21%3D&amp;hva%5B0%5D%5Bfilter%5D%5B0%5D%5Btype_id%5D=8917&amp;hva%5B0%5D%5Bfilter%5D%5B0%5D%5Bverdi%5D=&amp;hva%5B0%5D%5Bid%5D=49/når:2022-04-06", "Vegkart")</f>
        <v>Vegkart</v>
      </c>
      <c r="B2868">
        <v>538293793</v>
      </c>
      <c r="C2868">
        <v>49</v>
      </c>
      <c r="D2868" t="s">
        <v>8701</v>
      </c>
      <c r="E2868">
        <v>8917</v>
      </c>
      <c r="F2868" t="s">
        <v>23479</v>
      </c>
      <c r="G2868">
        <v>2</v>
      </c>
      <c r="H2868" t="s">
        <v>7878</v>
      </c>
      <c r="J2868" t="s">
        <v>449</v>
      </c>
      <c r="K2868" t="s">
        <v>136</v>
      </c>
      <c r="L2868" t="s">
        <v>80</v>
      </c>
      <c r="M2868" t="s">
        <v>105</v>
      </c>
      <c r="N2868" t="s">
        <v>9513</v>
      </c>
      <c r="O2868" t="s">
        <v>9514</v>
      </c>
      <c r="P2868" s="2" t="s">
        <v>26</v>
      </c>
      <c r="Q2868" t="s">
        <v>50</v>
      </c>
      <c r="R2868">
        <v>9.99</v>
      </c>
      <c r="S2868">
        <v>9.99</v>
      </c>
      <c r="T2868" t="s">
        <v>9515</v>
      </c>
    </row>
    <row r="2869" spans="1:20" x14ac:dyDescent="0.25">
      <c r="A2869" s="1" t="str">
        <f>HYPERLINK("https://vegkart.atlas.vegvesen.no/#/@241484.1,6831468.3,18/hva:hva%5B0%5D%5Bfilter%5D%5B0%5D%5Boperator%5D=%21%3D&amp;hva%5B0%5D%5Bfilter%5D%5B0%5D%5Btype_id%5D=8917&amp;hva%5B0%5D%5Bfilter%5D%5B0%5D%5Bverdi%5D=&amp;hva%5B0%5D%5Bid%5D=49/når:2022-04-06", "Vegkart")</f>
        <v>Vegkart</v>
      </c>
      <c r="B2869">
        <v>538293795</v>
      </c>
      <c r="C2869">
        <v>49</v>
      </c>
      <c r="D2869" t="s">
        <v>8701</v>
      </c>
      <c r="E2869">
        <v>8917</v>
      </c>
      <c r="F2869" t="s">
        <v>23479</v>
      </c>
      <c r="G2869">
        <v>2</v>
      </c>
      <c r="H2869" t="s">
        <v>7878</v>
      </c>
      <c r="J2869" t="s">
        <v>449</v>
      </c>
      <c r="K2869" t="s">
        <v>136</v>
      </c>
      <c r="L2869" t="s">
        <v>80</v>
      </c>
      <c r="M2869" t="s">
        <v>105</v>
      </c>
      <c r="N2869" t="s">
        <v>9516</v>
      </c>
      <c r="O2869" t="s">
        <v>9517</v>
      </c>
      <c r="P2869" s="2" t="s">
        <v>26</v>
      </c>
      <c r="Q2869" t="s">
        <v>50</v>
      </c>
      <c r="R2869">
        <v>9.74</v>
      </c>
      <c r="S2869">
        <v>9.75</v>
      </c>
      <c r="T2869" t="s">
        <v>9518</v>
      </c>
    </row>
    <row r="2870" spans="1:20" x14ac:dyDescent="0.25">
      <c r="A2870" s="1" t="str">
        <f>HYPERLINK("https://vegkart.atlas.vegvesen.no/#/@254919.9,6784212.0,18/hva:hva%5B0%5D%5Bfilter%5D%5B0%5D%5Boperator%5D=%21%3D&amp;hva%5B0%5D%5Bfilter%5D%5B0%5D%5Btype_id%5D=8917&amp;hva%5B0%5D%5Bfilter%5D%5B0%5D%5Bverdi%5D=&amp;hva%5B0%5D%5Bid%5D=49/når:2022-04-06", "Vegkart")</f>
        <v>Vegkart</v>
      </c>
      <c r="B2870">
        <v>539338867</v>
      </c>
      <c r="C2870">
        <v>49</v>
      </c>
      <c r="D2870" t="s">
        <v>8701</v>
      </c>
      <c r="E2870">
        <v>8917</v>
      </c>
      <c r="F2870" t="s">
        <v>23479</v>
      </c>
      <c r="G2870">
        <v>2</v>
      </c>
      <c r="H2870" t="s">
        <v>7878</v>
      </c>
      <c r="J2870" t="s">
        <v>449</v>
      </c>
      <c r="K2870" t="s">
        <v>136</v>
      </c>
      <c r="L2870" t="s">
        <v>80</v>
      </c>
      <c r="M2870" t="s">
        <v>105</v>
      </c>
      <c r="N2870" t="s">
        <v>9519</v>
      </c>
      <c r="O2870" t="s">
        <v>9520</v>
      </c>
      <c r="P2870" s="2" t="s">
        <v>26</v>
      </c>
      <c r="Q2870" t="s">
        <v>50</v>
      </c>
      <c r="R2870">
        <v>23.08</v>
      </c>
      <c r="S2870">
        <v>23.28</v>
      </c>
      <c r="T2870" t="s">
        <v>9521</v>
      </c>
    </row>
    <row r="2871" spans="1:20" x14ac:dyDescent="0.25">
      <c r="A2871" s="1" t="str">
        <f>HYPERLINK("https://vegkart.atlas.vegvesen.no/#/@-34628.7,6730030.5,18/hva:hva%5B0%5D%5Bfilter%5D%5B0%5D%5Boperator%5D=%21%3D&amp;hva%5B0%5D%5Bfilter%5D%5B0%5D%5Btype_id%5D=8917&amp;hva%5B0%5D%5Bfilter%5D%5B0%5D%5Bverdi%5D=&amp;hva%5B0%5D%5Bid%5D=49/når:2025-07-04", "Vegkart")</f>
        <v>Vegkart</v>
      </c>
      <c r="B2871">
        <v>543537429</v>
      </c>
      <c r="C2871">
        <v>49</v>
      </c>
      <c r="D2871" t="s">
        <v>8701</v>
      </c>
      <c r="E2871">
        <v>8917</v>
      </c>
      <c r="F2871" t="s">
        <v>23479</v>
      </c>
      <c r="G2871">
        <v>2</v>
      </c>
      <c r="H2871" t="s">
        <v>8936</v>
      </c>
      <c r="J2871" t="s">
        <v>449</v>
      </c>
      <c r="K2871" t="s">
        <v>21</v>
      </c>
      <c r="L2871" t="s">
        <v>33</v>
      </c>
      <c r="M2871" t="s">
        <v>558</v>
      </c>
      <c r="N2871" t="s">
        <v>9522</v>
      </c>
      <c r="O2871" t="s">
        <v>9523</v>
      </c>
      <c r="P2871" s="2" t="s">
        <v>37</v>
      </c>
      <c r="Q2871" t="s">
        <v>1208</v>
      </c>
      <c r="R2871">
        <v>0.03</v>
      </c>
      <c r="S2871">
        <v>47.36</v>
      </c>
      <c r="T2871" t="s">
        <v>9524</v>
      </c>
    </row>
    <row r="2872" spans="1:20" x14ac:dyDescent="0.25">
      <c r="A2872" s="1" t="str">
        <f>HYPERLINK("https://vegkart.atlas.vegvesen.no/#/@267417.9,7035458.2,18/hva:hva%5B0%5D%5Bfilter%5D%5B0%5D%5Boperator%5D=%21%3D&amp;hva%5B0%5D%5Bfilter%5D%5B0%5D%5Btype_id%5D=8917&amp;hva%5B0%5D%5Bfilter%5D%5B0%5D%5Bverdi%5D=&amp;hva%5B0%5D%5Bid%5D=49/når:2014-06-04", "Vegkart")</f>
        <v>Vegkart</v>
      </c>
      <c r="B2872">
        <v>559746347</v>
      </c>
      <c r="C2872">
        <v>49</v>
      </c>
      <c r="D2872" t="s">
        <v>8701</v>
      </c>
      <c r="E2872">
        <v>8917</v>
      </c>
      <c r="F2872" t="s">
        <v>23479</v>
      </c>
      <c r="G2872">
        <v>1</v>
      </c>
      <c r="H2872" t="s">
        <v>6169</v>
      </c>
      <c r="J2872" t="s">
        <v>5958</v>
      </c>
      <c r="K2872" t="s">
        <v>192</v>
      </c>
      <c r="L2872" t="s">
        <v>22</v>
      </c>
      <c r="M2872" t="s">
        <v>9525</v>
      </c>
      <c r="N2872" t="s">
        <v>9526</v>
      </c>
      <c r="O2872" t="s">
        <v>9527</v>
      </c>
      <c r="P2872" s="2" t="s">
        <v>26</v>
      </c>
      <c r="Q2872" t="s">
        <v>50</v>
      </c>
      <c r="R2872">
        <v>125.8</v>
      </c>
      <c r="S2872">
        <v>146.12</v>
      </c>
      <c r="T2872" t="s">
        <v>9528</v>
      </c>
    </row>
    <row r="2873" spans="1:20" x14ac:dyDescent="0.25">
      <c r="A2873" s="1" t="str">
        <f>HYPERLINK("https://vegkart.atlas.vegvesen.no/#/@259006.3,6589960.4,18/hva:hva%5B0%5D%5Bfilter%5D%5B0%5D%5Boperator%5D=%21%3D&amp;hva%5B0%5D%5Bfilter%5D%5B0%5D%5Btype_id%5D=8917&amp;hva%5B0%5D%5Bfilter%5D%5B0%5D%5Bverdi%5D=&amp;hva%5B0%5D%5Bid%5D=49/når:2025-10-30", "Vegkart")</f>
        <v>Vegkart</v>
      </c>
      <c r="B2873">
        <v>566925334</v>
      </c>
      <c r="C2873">
        <v>49</v>
      </c>
      <c r="D2873" t="s">
        <v>8701</v>
      </c>
      <c r="E2873">
        <v>8917</v>
      </c>
      <c r="F2873" t="s">
        <v>23479</v>
      </c>
      <c r="G2873">
        <v>2</v>
      </c>
      <c r="H2873" t="s">
        <v>8750</v>
      </c>
      <c r="J2873" t="s">
        <v>5958</v>
      </c>
      <c r="K2873" t="s">
        <v>104</v>
      </c>
      <c r="L2873" t="s">
        <v>33</v>
      </c>
      <c r="M2873" t="s">
        <v>8802</v>
      </c>
      <c r="N2873" t="s">
        <v>9529</v>
      </c>
      <c r="O2873" t="s">
        <v>9530</v>
      </c>
      <c r="P2873" s="2" t="s">
        <v>37</v>
      </c>
      <c r="Q2873" t="s">
        <v>1208</v>
      </c>
      <c r="R2873">
        <v>0</v>
      </c>
      <c r="S2873">
        <v>12.93</v>
      </c>
      <c r="T2873" t="s">
        <v>9531</v>
      </c>
    </row>
    <row r="2874" spans="1:20" x14ac:dyDescent="0.25">
      <c r="A2874" s="1" t="str">
        <f>HYPERLINK("https://vegkart.atlas.vegvesen.no/#/@-31455.9,6720354.5,18/hva:hva%5B0%5D%5Bfilter%5D%5B0%5D%5Boperator%5D=%21%3D&amp;hva%5B0%5D%5Bfilter%5D%5B0%5D%5Btype_id%5D=8917&amp;hva%5B0%5D%5Bfilter%5D%5B0%5D%5Bverdi%5D=&amp;hva%5B0%5D%5Bid%5D=49/når:2023-08-03", "Vegkart")</f>
        <v>Vegkart</v>
      </c>
      <c r="B2874">
        <v>574390503</v>
      </c>
      <c r="C2874">
        <v>49</v>
      </c>
      <c r="D2874" t="s">
        <v>8701</v>
      </c>
      <c r="E2874">
        <v>8917</v>
      </c>
      <c r="F2874" t="s">
        <v>23479</v>
      </c>
      <c r="G2874">
        <v>2</v>
      </c>
      <c r="H2874" t="s">
        <v>8989</v>
      </c>
      <c r="J2874" t="s">
        <v>5958</v>
      </c>
      <c r="K2874" t="s">
        <v>21</v>
      </c>
      <c r="L2874" t="s">
        <v>33</v>
      </c>
      <c r="M2874" t="s">
        <v>9532</v>
      </c>
      <c r="N2874" t="s">
        <v>9533</v>
      </c>
      <c r="O2874" t="s">
        <v>9534</v>
      </c>
      <c r="P2874" s="2" t="s">
        <v>37</v>
      </c>
      <c r="Q2874" t="s">
        <v>1208</v>
      </c>
      <c r="R2874">
        <v>0</v>
      </c>
      <c r="S2874">
        <v>29.99</v>
      </c>
      <c r="T2874" t="s">
        <v>9535</v>
      </c>
    </row>
    <row r="2875" spans="1:20" x14ac:dyDescent="0.25">
      <c r="A2875" s="1" t="str">
        <f>HYPERLINK("https://vegkart.atlas.vegvesen.no/#/@-30326.6,6725158.3,18/hva:hva%5B0%5D%5Bfilter%5D%5B0%5D%5Boperator%5D=%21%3D&amp;hva%5B0%5D%5Bfilter%5D%5B0%5D%5Btype_id%5D=8917&amp;hva%5B0%5D%5Bfilter%5D%5B0%5D%5Bverdi%5D=&amp;hva%5B0%5D%5Bid%5D=49/når:2014-10-14", "Vegkart")</f>
        <v>Vegkart</v>
      </c>
      <c r="B2875">
        <v>578594333</v>
      </c>
      <c r="C2875">
        <v>49</v>
      </c>
      <c r="D2875" t="s">
        <v>8701</v>
      </c>
      <c r="E2875">
        <v>8917</v>
      </c>
      <c r="F2875" t="s">
        <v>23479</v>
      </c>
      <c r="G2875">
        <v>1</v>
      </c>
      <c r="H2875" t="s">
        <v>9536</v>
      </c>
      <c r="J2875" t="s">
        <v>5958</v>
      </c>
      <c r="K2875" t="s">
        <v>21</v>
      </c>
      <c r="L2875" t="s">
        <v>33</v>
      </c>
      <c r="M2875" t="s">
        <v>9537</v>
      </c>
      <c r="N2875" t="s">
        <v>9538</v>
      </c>
      <c r="O2875" t="s">
        <v>9539</v>
      </c>
      <c r="P2875" s="2" t="s">
        <v>165</v>
      </c>
      <c r="Q2875" t="s">
        <v>641</v>
      </c>
      <c r="R2875">
        <v>3.19</v>
      </c>
      <c r="S2875">
        <v>12.88</v>
      </c>
      <c r="T2875" t="s">
        <v>167</v>
      </c>
    </row>
    <row r="2876" spans="1:20" x14ac:dyDescent="0.25">
      <c r="A2876" s="1" t="str">
        <f>HYPERLINK("https://vegkart.atlas.vegvesen.no/#/@311476.7,6569405.8,18/hva:hva%5B0%5D%5Bfilter%5D%5B0%5D%5Boperator%5D=%21%3D&amp;hva%5B0%5D%5Bfilter%5D%5B0%5D%5Btype_id%5D=8917&amp;hva%5B0%5D%5Bfilter%5D%5B0%5D%5Bverdi%5D=&amp;hva%5B0%5D%5Bid%5D=49/når:2025-09-09", "Vegkart")</f>
        <v>Vegkart</v>
      </c>
      <c r="B2876">
        <v>587766314</v>
      </c>
      <c r="C2876">
        <v>49</v>
      </c>
      <c r="D2876" t="s">
        <v>8701</v>
      </c>
      <c r="E2876">
        <v>8917</v>
      </c>
      <c r="F2876" t="s">
        <v>23479</v>
      </c>
      <c r="G2876">
        <v>3</v>
      </c>
      <c r="H2876" t="s">
        <v>9540</v>
      </c>
      <c r="J2876" t="s">
        <v>9541</v>
      </c>
      <c r="K2876" t="s">
        <v>104</v>
      </c>
      <c r="L2876" t="s">
        <v>33</v>
      </c>
      <c r="M2876" t="s">
        <v>705</v>
      </c>
      <c r="N2876" t="s">
        <v>9542</v>
      </c>
      <c r="O2876" t="s">
        <v>9543</v>
      </c>
      <c r="P2876" s="2" t="s">
        <v>37</v>
      </c>
      <c r="Q2876" t="s">
        <v>1208</v>
      </c>
      <c r="R2876">
        <v>0</v>
      </c>
      <c r="S2876">
        <v>26.19</v>
      </c>
      <c r="T2876" t="s">
        <v>9544</v>
      </c>
    </row>
    <row r="2877" spans="1:20" x14ac:dyDescent="0.25">
      <c r="A2877" s="1" t="str">
        <f>HYPERLINK("https://vegkart.atlas.vegvesen.no/#/@265460.3,6570739.4,18/hva:hva%5B0%5D%5Bfilter%5D%5B0%5D%5Boperator%5D=%21%3D&amp;hva%5B0%5D%5Bfilter%5D%5B0%5D%5Btype_id%5D=8917&amp;hva%5B0%5D%5Bfilter%5D%5B0%5D%5Bverdi%5D=&amp;hva%5B0%5D%5Bid%5D=49/når:2025-11-28", "Vegkart")</f>
        <v>Vegkart</v>
      </c>
      <c r="B2877">
        <v>588579329</v>
      </c>
      <c r="C2877">
        <v>49</v>
      </c>
      <c r="D2877" t="s">
        <v>8701</v>
      </c>
      <c r="E2877">
        <v>8917</v>
      </c>
      <c r="F2877" t="s">
        <v>23479</v>
      </c>
      <c r="G2877">
        <v>2</v>
      </c>
      <c r="H2877" t="s">
        <v>8765</v>
      </c>
      <c r="J2877" t="s">
        <v>8787</v>
      </c>
      <c r="K2877" t="s">
        <v>104</v>
      </c>
      <c r="L2877" t="s">
        <v>33</v>
      </c>
      <c r="M2877" t="s">
        <v>9005</v>
      </c>
      <c r="N2877" t="s">
        <v>9545</v>
      </c>
      <c r="O2877" t="s">
        <v>9546</v>
      </c>
      <c r="P2877" s="2" t="s">
        <v>37</v>
      </c>
      <c r="Q2877" t="s">
        <v>1208</v>
      </c>
      <c r="R2877">
        <v>0</v>
      </c>
      <c r="S2877">
        <v>6.88</v>
      </c>
      <c r="T2877" t="s">
        <v>9547</v>
      </c>
    </row>
    <row r="2878" spans="1:20" x14ac:dyDescent="0.25">
      <c r="A2878" s="1" t="str">
        <f>HYPERLINK("https://vegkart.atlas.vegvesen.no/#/@265464.8,6570737.5,18/hva:hva%5B0%5D%5Bfilter%5D%5B0%5D%5Boperator%5D=%21%3D&amp;hva%5B0%5D%5Bfilter%5D%5B0%5D%5Btype_id%5D=8917&amp;hva%5B0%5D%5Bfilter%5D%5B0%5D%5Bverdi%5D=&amp;hva%5B0%5D%5Bid%5D=49/når:2025-11-28", "Vegkart")</f>
        <v>Vegkart</v>
      </c>
      <c r="B2878">
        <v>588579336</v>
      </c>
      <c r="C2878">
        <v>49</v>
      </c>
      <c r="D2878" t="s">
        <v>8701</v>
      </c>
      <c r="E2878">
        <v>8917</v>
      </c>
      <c r="F2878" t="s">
        <v>23479</v>
      </c>
      <c r="G2878">
        <v>2</v>
      </c>
      <c r="H2878" t="s">
        <v>8765</v>
      </c>
      <c r="J2878" t="s">
        <v>8787</v>
      </c>
      <c r="K2878" t="s">
        <v>104</v>
      </c>
      <c r="L2878" t="s">
        <v>33</v>
      </c>
      <c r="M2878" t="s">
        <v>9005</v>
      </c>
      <c r="N2878" t="s">
        <v>9548</v>
      </c>
      <c r="O2878" t="s">
        <v>9549</v>
      </c>
      <c r="P2878" s="2" t="s">
        <v>37</v>
      </c>
      <c r="Q2878" t="s">
        <v>1208</v>
      </c>
      <c r="R2878">
        <v>0</v>
      </c>
      <c r="S2878">
        <v>7.35</v>
      </c>
      <c r="T2878" t="s">
        <v>9550</v>
      </c>
    </row>
    <row r="2879" spans="1:20" x14ac:dyDescent="0.25">
      <c r="A2879" s="1" t="str">
        <f>HYPERLINK("https://vegkart.atlas.vegvesen.no/#/@258490.8,6590491.2,18/hva:hva%5B0%5D%5Bfilter%5D%5B0%5D%5Boperator%5D=%21%3D&amp;hva%5B0%5D%5Bfilter%5D%5B0%5D%5Btype_id%5D=8917&amp;hva%5B0%5D%5Bfilter%5D%5B0%5D%5Bverdi%5D=&amp;hva%5B0%5D%5Bid%5D=49/når:2025-10-30", "Vegkart")</f>
        <v>Vegkart</v>
      </c>
      <c r="B2879">
        <v>589527465</v>
      </c>
      <c r="C2879">
        <v>49</v>
      </c>
      <c r="D2879" t="s">
        <v>8701</v>
      </c>
      <c r="E2879">
        <v>8917</v>
      </c>
      <c r="F2879" t="s">
        <v>23479</v>
      </c>
      <c r="G2879">
        <v>2</v>
      </c>
      <c r="H2879" t="s">
        <v>8750</v>
      </c>
      <c r="J2879" t="s">
        <v>9551</v>
      </c>
      <c r="K2879" t="s">
        <v>104</v>
      </c>
      <c r="L2879" t="s">
        <v>33</v>
      </c>
      <c r="M2879" t="s">
        <v>8802</v>
      </c>
      <c r="N2879" t="s">
        <v>9552</v>
      </c>
      <c r="O2879" t="s">
        <v>9553</v>
      </c>
      <c r="P2879" s="2" t="s">
        <v>37</v>
      </c>
      <c r="Q2879" t="s">
        <v>1208</v>
      </c>
      <c r="R2879">
        <v>0</v>
      </c>
      <c r="S2879">
        <v>20.43</v>
      </c>
      <c r="T2879" t="s">
        <v>9554</v>
      </c>
    </row>
    <row r="2880" spans="1:20" x14ac:dyDescent="0.25">
      <c r="A2880" s="1" t="str">
        <f>HYPERLINK("https://vegkart.atlas.vegvesen.no/#/@819309.4,7861444.7,18/hva:hva%5B0%5D%5Bfilter%5D%5B0%5D%5Boperator%5D=%21%3D&amp;hva%5B0%5D%5Bfilter%5D%5B0%5D%5Btype_id%5D=8917&amp;hva%5B0%5D%5Bfilter%5D%5B0%5D%5Bverdi%5D=&amp;hva%5B0%5D%5Bid%5D=49/når:2015-03-27", "Vegkart")</f>
        <v>Vegkart</v>
      </c>
      <c r="B2880">
        <v>589757623</v>
      </c>
      <c r="C2880">
        <v>49</v>
      </c>
      <c r="D2880" t="s">
        <v>8701</v>
      </c>
      <c r="E2880">
        <v>8917</v>
      </c>
      <c r="F2880" t="s">
        <v>23479</v>
      </c>
      <c r="G2880">
        <v>1</v>
      </c>
      <c r="H2880" t="s">
        <v>9555</v>
      </c>
      <c r="J2880" t="s">
        <v>9551</v>
      </c>
      <c r="K2880" t="s">
        <v>450</v>
      </c>
      <c r="L2880" t="s">
        <v>113</v>
      </c>
      <c r="M2880" t="s">
        <v>1605</v>
      </c>
      <c r="N2880" t="s">
        <v>9556</v>
      </c>
      <c r="O2880" t="s">
        <v>6993</v>
      </c>
      <c r="P2880" s="2" t="s">
        <v>165</v>
      </c>
      <c r="Q2880" t="s">
        <v>641</v>
      </c>
      <c r="R2880">
        <v>0</v>
      </c>
      <c r="S2880">
        <v>117.75</v>
      </c>
      <c r="T2880" t="s">
        <v>167</v>
      </c>
    </row>
    <row r="2881" spans="1:20" x14ac:dyDescent="0.25">
      <c r="A2881" s="1" t="str">
        <f>HYPERLINK("https://vegkart.atlas.vegvesen.no/#/@253968.2,6596299.2,18/hva:hva%5B0%5D%5Bfilter%5D%5B0%5D%5Boperator%5D=%21%3D&amp;hva%5B0%5D%5Bfilter%5D%5B0%5D%5Btype_id%5D=8917&amp;hva%5B0%5D%5Bfilter%5D%5B0%5D%5Bverdi%5D=&amp;hva%5B0%5D%5Bid%5D=49/når:2025-10-30", "Vegkart")</f>
        <v>Vegkart</v>
      </c>
      <c r="B2881">
        <v>591254608</v>
      </c>
      <c r="C2881">
        <v>49</v>
      </c>
      <c r="D2881" t="s">
        <v>8701</v>
      </c>
      <c r="E2881">
        <v>8917</v>
      </c>
      <c r="F2881" t="s">
        <v>23479</v>
      </c>
      <c r="G2881">
        <v>2</v>
      </c>
      <c r="H2881" t="s">
        <v>8750</v>
      </c>
      <c r="J2881" t="s">
        <v>485</v>
      </c>
      <c r="K2881" t="s">
        <v>104</v>
      </c>
      <c r="L2881" t="s">
        <v>33</v>
      </c>
      <c r="M2881" t="s">
        <v>8802</v>
      </c>
      <c r="N2881" t="s">
        <v>9557</v>
      </c>
      <c r="O2881" t="s">
        <v>9558</v>
      </c>
      <c r="P2881" s="2" t="s">
        <v>37</v>
      </c>
      <c r="Q2881" t="s">
        <v>1208</v>
      </c>
      <c r="R2881">
        <v>0</v>
      </c>
      <c r="S2881">
        <v>30.47</v>
      </c>
      <c r="T2881" t="s">
        <v>9559</v>
      </c>
    </row>
    <row r="2882" spans="1:20" x14ac:dyDescent="0.25">
      <c r="A2882" s="1" t="str">
        <f>HYPERLINK("https://vegkart.atlas.vegvesen.no/#/@258504.8,6590515.1,18/hva:hva%5B0%5D%5Bfilter%5D%5B0%5D%5Boperator%5D=%21%3D&amp;hva%5B0%5D%5Bfilter%5D%5B0%5D%5Btype_id%5D=8917&amp;hva%5B0%5D%5Bfilter%5D%5B0%5D%5Bverdi%5D=&amp;hva%5B0%5D%5Bid%5D=49/når:2025-10-30", "Vegkart")</f>
        <v>Vegkart</v>
      </c>
      <c r="B2882">
        <v>591344076</v>
      </c>
      <c r="C2882">
        <v>49</v>
      </c>
      <c r="D2882" t="s">
        <v>8701</v>
      </c>
      <c r="E2882">
        <v>8917</v>
      </c>
      <c r="F2882" t="s">
        <v>23479</v>
      </c>
      <c r="G2882">
        <v>2</v>
      </c>
      <c r="H2882" t="s">
        <v>8750</v>
      </c>
      <c r="J2882" t="s">
        <v>9560</v>
      </c>
      <c r="K2882" t="s">
        <v>104</v>
      </c>
      <c r="L2882" t="s">
        <v>33</v>
      </c>
      <c r="M2882" t="s">
        <v>8802</v>
      </c>
      <c r="N2882" t="s">
        <v>9561</v>
      </c>
      <c r="O2882" t="s">
        <v>9562</v>
      </c>
      <c r="P2882" s="2" t="s">
        <v>37</v>
      </c>
      <c r="Q2882" t="s">
        <v>1208</v>
      </c>
      <c r="R2882">
        <v>0</v>
      </c>
      <c r="S2882">
        <v>17.64</v>
      </c>
      <c r="T2882" t="s">
        <v>9563</v>
      </c>
    </row>
    <row r="2883" spans="1:20" x14ac:dyDescent="0.25">
      <c r="A2883" s="1" t="str">
        <f>HYPERLINK("https://vegkart.atlas.vegvesen.no/#/@253353.8,6596409.3,18/hva:hva%5B0%5D%5Bfilter%5D%5B0%5D%5Boperator%5D=%21%3D&amp;hva%5B0%5D%5Bfilter%5D%5B0%5D%5Btype_id%5D=8917&amp;hva%5B0%5D%5Bfilter%5D%5B0%5D%5Bverdi%5D=&amp;hva%5B0%5D%5Bid%5D=49/når:2025-10-30", "Vegkart")</f>
        <v>Vegkart</v>
      </c>
      <c r="B2883">
        <v>593064751</v>
      </c>
      <c r="C2883">
        <v>49</v>
      </c>
      <c r="D2883" t="s">
        <v>8701</v>
      </c>
      <c r="E2883">
        <v>8917</v>
      </c>
      <c r="F2883" t="s">
        <v>23479</v>
      </c>
      <c r="G2883">
        <v>2</v>
      </c>
      <c r="H2883" t="s">
        <v>8750</v>
      </c>
      <c r="J2883" t="s">
        <v>9560</v>
      </c>
      <c r="K2883" t="s">
        <v>104</v>
      </c>
      <c r="L2883" t="s">
        <v>33</v>
      </c>
      <c r="M2883" t="s">
        <v>8797</v>
      </c>
      <c r="N2883" t="s">
        <v>9564</v>
      </c>
      <c r="O2883" t="s">
        <v>9565</v>
      </c>
      <c r="P2883" s="2" t="s">
        <v>37</v>
      </c>
      <c r="Q2883" t="s">
        <v>1208</v>
      </c>
      <c r="R2883">
        <v>0</v>
      </c>
      <c r="S2883">
        <v>22.19</v>
      </c>
      <c r="T2883" t="s">
        <v>9566</v>
      </c>
    </row>
    <row r="2884" spans="1:20" x14ac:dyDescent="0.25">
      <c r="A2884" s="1" t="str">
        <f>HYPERLINK("https://vegkart.atlas.vegvesen.no/#/@252498.9,6596402.4,18/hva:hva%5B0%5D%5Bfilter%5D%5B0%5D%5Boperator%5D=%21%3D&amp;hva%5B0%5D%5Bfilter%5D%5B0%5D%5Btype_id%5D=8917&amp;hva%5B0%5D%5Bfilter%5D%5B0%5D%5Bverdi%5D=&amp;hva%5B0%5D%5Bid%5D=49/når:2025-10-30", "Vegkart")</f>
        <v>Vegkart</v>
      </c>
      <c r="B2884">
        <v>593064847</v>
      </c>
      <c r="C2884">
        <v>49</v>
      </c>
      <c r="D2884" t="s">
        <v>8701</v>
      </c>
      <c r="E2884">
        <v>8917</v>
      </c>
      <c r="F2884" t="s">
        <v>23479</v>
      </c>
      <c r="G2884">
        <v>2</v>
      </c>
      <c r="H2884" t="s">
        <v>8750</v>
      </c>
      <c r="J2884" t="s">
        <v>485</v>
      </c>
      <c r="K2884" t="s">
        <v>104</v>
      </c>
      <c r="L2884" t="s">
        <v>33</v>
      </c>
      <c r="M2884" t="s">
        <v>8797</v>
      </c>
      <c r="N2884" t="s">
        <v>9567</v>
      </c>
      <c r="O2884" t="s">
        <v>9568</v>
      </c>
      <c r="P2884" s="2" t="s">
        <v>37</v>
      </c>
      <c r="Q2884" t="s">
        <v>1208</v>
      </c>
      <c r="R2884">
        <v>0</v>
      </c>
      <c r="S2884">
        <v>6.59</v>
      </c>
      <c r="T2884" t="s">
        <v>9569</v>
      </c>
    </row>
    <row r="2885" spans="1:20" x14ac:dyDescent="0.25">
      <c r="A2885" s="1" t="str">
        <f>HYPERLINK("https://vegkart.atlas.vegvesen.no/#/@252427.8,6596469.1,18/hva:hva%5B0%5D%5Bfilter%5D%5B0%5D%5Boperator%5D=%21%3D&amp;hva%5B0%5D%5Bfilter%5D%5B0%5D%5Btype_id%5D=8917&amp;hva%5B0%5D%5Bfilter%5D%5B0%5D%5Bverdi%5D=&amp;hva%5B0%5D%5Bid%5D=49/når:2025-10-30", "Vegkart")</f>
        <v>Vegkart</v>
      </c>
      <c r="B2885">
        <v>593064871</v>
      </c>
      <c r="C2885">
        <v>49</v>
      </c>
      <c r="D2885" t="s">
        <v>8701</v>
      </c>
      <c r="E2885">
        <v>8917</v>
      </c>
      <c r="F2885" t="s">
        <v>23479</v>
      </c>
      <c r="G2885">
        <v>2</v>
      </c>
      <c r="H2885" t="s">
        <v>8750</v>
      </c>
      <c r="J2885" t="s">
        <v>9560</v>
      </c>
      <c r="K2885" t="s">
        <v>104</v>
      </c>
      <c r="L2885" t="s">
        <v>33</v>
      </c>
      <c r="M2885" t="s">
        <v>8797</v>
      </c>
      <c r="N2885" t="s">
        <v>9570</v>
      </c>
      <c r="O2885" t="s">
        <v>9571</v>
      </c>
      <c r="P2885" s="2" t="s">
        <v>37</v>
      </c>
      <c r="Q2885" t="s">
        <v>1208</v>
      </c>
      <c r="R2885">
        <v>0</v>
      </c>
      <c r="S2885">
        <v>9.0399999999999991</v>
      </c>
      <c r="T2885" t="s">
        <v>9572</v>
      </c>
    </row>
    <row r="2886" spans="1:20" x14ac:dyDescent="0.25">
      <c r="A2886" s="1" t="str">
        <f>HYPERLINK("https://vegkart.atlas.vegvesen.no/#/@252424.6,6596473.5,18/hva:hva%5B0%5D%5Bfilter%5D%5B0%5D%5Boperator%5D=%21%3D&amp;hva%5B0%5D%5Bfilter%5D%5B0%5D%5Btype_id%5D=8917&amp;hva%5B0%5D%5Bfilter%5D%5B0%5D%5Bverdi%5D=&amp;hva%5B0%5D%5Bid%5D=49/når:2025-10-30", "Vegkart")</f>
        <v>Vegkart</v>
      </c>
      <c r="B2886">
        <v>593064874</v>
      </c>
      <c r="C2886">
        <v>49</v>
      </c>
      <c r="D2886" t="s">
        <v>8701</v>
      </c>
      <c r="E2886">
        <v>8917</v>
      </c>
      <c r="F2886" t="s">
        <v>23479</v>
      </c>
      <c r="G2886">
        <v>2</v>
      </c>
      <c r="H2886" t="s">
        <v>8750</v>
      </c>
      <c r="J2886" t="s">
        <v>485</v>
      </c>
      <c r="K2886" t="s">
        <v>104</v>
      </c>
      <c r="L2886" t="s">
        <v>33</v>
      </c>
      <c r="M2886" t="s">
        <v>8797</v>
      </c>
      <c r="N2886" t="s">
        <v>9573</v>
      </c>
      <c r="O2886" t="s">
        <v>9574</v>
      </c>
      <c r="P2886" s="2" t="s">
        <v>37</v>
      </c>
      <c r="Q2886" t="s">
        <v>1208</v>
      </c>
      <c r="R2886">
        <v>0</v>
      </c>
      <c r="S2886">
        <v>9.17</v>
      </c>
      <c r="T2886" t="s">
        <v>9575</v>
      </c>
    </row>
    <row r="2887" spans="1:20" x14ac:dyDescent="0.25">
      <c r="A2887" s="1" t="str">
        <f>HYPERLINK("https://vegkart.atlas.vegvesen.no/#/@252305.3,6596570.2,18/hva:hva%5B0%5D%5Bfilter%5D%5B0%5D%5Boperator%5D=%21%3D&amp;hva%5B0%5D%5Bfilter%5D%5B0%5D%5Btype_id%5D=8917&amp;hva%5B0%5D%5Bfilter%5D%5B0%5D%5Bverdi%5D=&amp;hva%5B0%5D%5Bid%5D=49/når:2025-10-30", "Vegkart")</f>
        <v>Vegkart</v>
      </c>
      <c r="B2887">
        <v>593064946</v>
      </c>
      <c r="C2887">
        <v>49</v>
      </c>
      <c r="D2887" t="s">
        <v>8701</v>
      </c>
      <c r="E2887">
        <v>8917</v>
      </c>
      <c r="F2887" t="s">
        <v>23479</v>
      </c>
      <c r="G2887">
        <v>2</v>
      </c>
      <c r="H2887" t="s">
        <v>8750</v>
      </c>
      <c r="J2887" t="s">
        <v>9560</v>
      </c>
      <c r="K2887" t="s">
        <v>104</v>
      </c>
      <c r="L2887" t="s">
        <v>33</v>
      </c>
      <c r="M2887" t="s">
        <v>8797</v>
      </c>
      <c r="N2887" t="s">
        <v>9576</v>
      </c>
      <c r="O2887" t="s">
        <v>9577</v>
      </c>
      <c r="P2887" s="2" t="s">
        <v>37</v>
      </c>
      <c r="Q2887" t="s">
        <v>1208</v>
      </c>
      <c r="R2887">
        <v>0</v>
      </c>
      <c r="S2887">
        <v>20.77</v>
      </c>
      <c r="T2887" t="s">
        <v>9578</v>
      </c>
    </row>
    <row r="2888" spans="1:20" x14ac:dyDescent="0.25">
      <c r="A2888" s="1" t="str">
        <f>HYPERLINK("https://vegkart.atlas.vegvesen.no/#/@252267.7,6596590.8,18/hva:hva%5B0%5D%5Bfilter%5D%5B0%5D%5Boperator%5D=%21%3D&amp;hva%5B0%5D%5Bfilter%5D%5B0%5D%5Btype_id%5D=8917&amp;hva%5B0%5D%5Bfilter%5D%5B0%5D%5Bverdi%5D=&amp;hva%5B0%5D%5Bid%5D=49/når:2025-10-30", "Vegkart")</f>
        <v>Vegkart</v>
      </c>
      <c r="B2888">
        <v>593064950</v>
      </c>
      <c r="C2888">
        <v>49</v>
      </c>
      <c r="D2888" t="s">
        <v>8701</v>
      </c>
      <c r="E2888">
        <v>8917</v>
      </c>
      <c r="F2888" t="s">
        <v>23479</v>
      </c>
      <c r="G2888">
        <v>2</v>
      </c>
      <c r="H2888" t="s">
        <v>8750</v>
      </c>
      <c r="J2888" t="s">
        <v>485</v>
      </c>
      <c r="K2888" t="s">
        <v>104</v>
      </c>
      <c r="L2888" t="s">
        <v>33</v>
      </c>
      <c r="M2888" t="s">
        <v>8797</v>
      </c>
      <c r="N2888" t="s">
        <v>9579</v>
      </c>
      <c r="O2888" t="s">
        <v>9580</v>
      </c>
      <c r="P2888" s="2" t="s">
        <v>37</v>
      </c>
      <c r="Q2888" t="s">
        <v>1208</v>
      </c>
      <c r="R2888">
        <v>0</v>
      </c>
      <c r="S2888">
        <v>9.67</v>
      </c>
      <c r="T2888" t="s">
        <v>9581</v>
      </c>
    </row>
    <row r="2889" spans="1:20" x14ac:dyDescent="0.25">
      <c r="A2889" s="1" t="str">
        <f>HYPERLINK("https://vegkart.atlas.vegvesen.no/#/@252260.3,6596594.8,18/hva:hva%5B0%5D%5Bfilter%5D%5B0%5D%5Boperator%5D=%21%3D&amp;hva%5B0%5D%5Bfilter%5D%5B0%5D%5Btype_id%5D=8917&amp;hva%5B0%5D%5Bfilter%5D%5B0%5D%5Bverdi%5D=&amp;hva%5B0%5D%5Bid%5D=49/når:2025-10-30", "Vegkart")</f>
        <v>Vegkart</v>
      </c>
      <c r="B2889">
        <v>593064953</v>
      </c>
      <c r="C2889">
        <v>49</v>
      </c>
      <c r="D2889" t="s">
        <v>8701</v>
      </c>
      <c r="E2889">
        <v>8917</v>
      </c>
      <c r="F2889" t="s">
        <v>23479</v>
      </c>
      <c r="G2889">
        <v>2</v>
      </c>
      <c r="H2889" t="s">
        <v>8750</v>
      </c>
      <c r="J2889" t="s">
        <v>485</v>
      </c>
      <c r="K2889" t="s">
        <v>104</v>
      </c>
      <c r="L2889" t="s">
        <v>33</v>
      </c>
      <c r="M2889" t="s">
        <v>8797</v>
      </c>
      <c r="N2889" t="s">
        <v>9582</v>
      </c>
      <c r="O2889" t="s">
        <v>9583</v>
      </c>
      <c r="P2889" s="2" t="s">
        <v>37</v>
      </c>
      <c r="Q2889" t="s">
        <v>1208</v>
      </c>
      <c r="R2889">
        <v>0</v>
      </c>
      <c r="S2889">
        <v>15.12</v>
      </c>
      <c r="T2889" t="s">
        <v>9584</v>
      </c>
    </row>
    <row r="2890" spans="1:20" x14ac:dyDescent="0.25">
      <c r="A2890" s="1" t="str">
        <f>HYPERLINK("https://vegkart.atlas.vegvesen.no/#/@252034.6,6596680.6,18/hva:hva%5B0%5D%5Bfilter%5D%5B0%5D%5Boperator%5D=%21%3D&amp;hva%5B0%5D%5Bfilter%5D%5B0%5D%5Btype_id%5D=8917&amp;hva%5B0%5D%5Bfilter%5D%5B0%5D%5Bverdi%5D=&amp;hva%5B0%5D%5Bid%5D=49/når:2025-10-30", "Vegkart")</f>
        <v>Vegkart</v>
      </c>
      <c r="B2890">
        <v>593064984</v>
      </c>
      <c r="C2890">
        <v>49</v>
      </c>
      <c r="D2890" t="s">
        <v>8701</v>
      </c>
      <c r="E2890">
        <v>8917</v>
      </c>
      <c r="F2890" t="s">
        <v>23479</v>
      </c>
      <c r="G2890">
        <v>2</v>
      </c>
      <c r="H2890" t="s">
        <v>8750</v>
      </c>
      <c r="J2890" t="s">
        <v>485</v>
      </c>
      <c r="K2890" t="s">
        <v>104</v>
      </c>
      <c r="L2890" t="s">
        <v>33</v>
      </c>
      <c r="M2890" t="s">
        <v>8797</v>
      </c>
      <c r="N2890" t="s">
        <v>9585</v>
      </c>
      <c r="O2890" t="s">
        <v>9586</v>
      </c>
      <c r="P2890" s="2" t="s">
        <v>37</v>
      </c>
      <c r="Q2890" t="s">
        <v>1208</v>
      </c>
      <c r="R2890">
        <v>0</v>
      </c>
      <c r="S2890">
        <v>7.53</v>
      </c>
      <c r="T2890" t="s">
        <v>9587</v>
      </c>
    </row>
    <row r="2891" spans="1:20" x14ac:dyDescent="0.25">
      <c r="A2891" s="1" t="str">
        <f>HYPERLINK("https://vegkart.atlas.vegvesen.no/#/@252026.6,6596682.8,18/hva:hva%5B0%5D%5Bfilter%5D%5B0%5D%5Boperator%5D=%21%3D&amp;hva%5B0%5D%5Bfilter%5D%5B0%5D%5Btype_id%5D=8917&amp;hva%5B0%5D%5Bfilter%5D%5B0%5D%5Bverdi%5D=&amp;hva%5B0%5D%5Bid%5D=49/når:2025-10-30", "Vegkart")</f>
        <v>Vegkart</v>
      </c>
      <c r="B2891">
        <v>593064989</v>
      </c>
      <c r="C2891">
        <v>49</v>
      </c>
      <c r="D2891" t="s">
        <v>8701</v>
      </c>
      <c r="E2891">
        <v>8917</v>
      </c>
      <c r="F2891" t="s">
        <v>23479</v>
      </c>
      <c r="G2891">
        <v>2</v>
      </c>
      <c r="H2891" t="s">
        <v>8750</v>
      </c>
      <c r="J2891" t="s">
        <v>485</v>
      </c>
      <c r="K2891" t="s">
        <v>104</v>
      </c>
      <c r="L2891" t="s">
        <v>33</v>
      </c>
      <c r="M2891" t="s">
        <v>8797</v>
      </c>
      <c r="N2891" t="s">
        <v>9588</v>
      </c>
      <c r="O2891" t="s">
        <v>9589</v>
      </c>
      <c r="P2891" s="2" t="s">
        <v>37</v>
      </c>
      <c r="Q2891" t="s">
        <v>1208</v>
      </c>
      <c r="R2891">
        <v>0</v>
      </c>
      <c r="S2891">
        <v>17.510000000000002</v>
      </c>
      <c r="T2891" t="s">
        <v>9590</v>
      </c>
    </row>
    <row r="2892" spans="1:20" x14ac:dyDescent="0.25">
      <c r="A2892" s="1" t="str">
        <f>HYPERLINK("https://vegkart.atlas.vegvesen.no/#/@251801.0,6596744.5,18/hva:hva%5B0%5D%5Bfilter%5D%5B0%5D%5Boperator%5D=%21%3D&amp;hva%5B0%5D%5Bfilter%5D%5B0%5D%5Btype_id%5D=8917&amp;hva%5B0%5D%5Bfilter%5D%5B0%5D%5Bverdi%5D=&amp;hva%5B0%5D%5Bid%5D=49/når:2025-10-30", "Vegkart")</f>
        <v>Vegkart</v>
      </c>
      <c r="B2892">
        <v>593065008</v>
      </c>
      <c r="C2892">
        <v>49</v>
      </c>
      <c r="D2892" t="s">
        <v>8701</v>
      </c>
      <c r="E2892">
        <v>8917</v>
      </c>
      <c r="F2892" t="s">
        <v>23479</v>
      </c>
      <c r="G2892">
        <v>2</v>
      </c>
      <c r="H2892" t="s">
        <v>8750</v>
      </c>
      <c r="J2892" t="s">
        <v>485</v>
      </c>
      <c r="K2892" t="s">
        <v>104</v>
      </c>
      <c r="L2892" t="s">
        <v>33</v>
      </c>
      <c r="M2892" t="s">
        <v>8797</v>
      </c>
      <c r="N2892" t="s">
        <v>9591</v>
      </c>
      <c r="O2892" t="s">
        <v>9592</v>
      </c>
      <c r="P2892" s="2" t="s">
        <v>37</v>
      </c>
      <c r="Q2892" t="s">
        <v>1208</v>
      </c>
      <c r="R2892">
        <v>0</v>
      </c>
      <c r="S2892">
        <v>16.850000000000001</v>
      </c>
      <c r="T2892" t="s">
        <v>9593</v>
      </c>
    </row>
    <row r="2893" spans="1:20" x14ac:dyDescent="0.25">
      <c r="A2893" s="1" t="str">
        <f>HYPERLINK("https://vegkart.atlas.vegvesen.no/#/@251793.7,6596746.3,18/hva:hva%5B0%5D%5Bfilter%5D%5B0%5D%5Boperator%5D=%21%3D&amp;hva%5B0%5D%5Bfilter%5D%5B0%5D%5Btype_id%5D=8917&amp;hva%5B0%5D%5Bfilter%5D%5B0%5D%5Bverdi%5D=&amp;hva%5B0%5D%5Bid%5D=49/når:2025-10-30", "Vegkart")</f>
        <v>Vegkart</v>
      </c>
      <c r="B2893">
        <v>593065011</v>
      </c>
      <c r="C2893">
        <v>49</v>
      </c>
      <c r="D2893" t="s">
        <v>8701</v>
      </c>
      <c r="E2893">
        <v>8917</v>
      </c>
      <c r="F2893" t="s">
        <v>23479</v>
      </c>
      <c r="G2893">
        <v>2</v>
      </c>
      <c r="H2893" t="s">
        <v>8750</v>
      </c>
      <c r="J2893" t="s">
        <v>9560</v>
      </c>
      <c r="K2893" t="s">
        <v>104</v>
      </c>
      <c r="L2893" t="s">
        <v>33</v>
      </c>
      <c r="M2893" t="s">
        <v>8797</v>
      </c>
      <c r="N2893" t="s">
        <v>9594</v>
      </c>
      <c r="O2893" t="s">
        <v>9595</v>
      </c>
      <c r="P2893" s="2" t="s">
        <v>37</v>
      </c>
      <c r="Q2893" t="s">
        <v>1208</v>
      </c>
      <c r="R2893">
        <v>0</v>
      </c>
      <c r="S2893">
        <v>8.6300000000000008</v>
      </c>
      <c r="T2893" t="s">
        <v>9596</v>
      </c>
    </row>
    <row r="2894" spans="1:20" x14ac:dyDescent="0.25">
      <c r="A2894" s="1" t="str">
        <f>HYPERLINK("https://vegkart.atlas.vegvesen.no/#/@269948.8,6583164.3,18/hva:hva%5B0%5D%5Bfilter%5D%5B0%5D%5Boperator%5D=%21%3D&amp;hva%5B0%5D%5Bfilter%5D%5B0%5D%5Btype_id%5D=8917&amp;hva%5B0%5D%5Bfilter%5D%5B0%5D%5Bverdi%5D=&amp;hva%5B0%5D%5Bid%5D=49/når:2025-11-11", "Vegkart")</f>
        <v>Vegkart</v>
      </c>
      <c r="B2894">
        <v>593821425</v>
      </c>
      <c r="C2894">
        <v>49</v>
      </c>
      <c r="D2894" t="s">
        <v>8701</v>
      </c>
      <c r="E2894">
        <v>8917</v>
      </c>
      <c r="F2894" t="s">
        <v>23479</v>
      </c>
      <c r="G2894">
        <v>2</v>
      </c>
      <c r="H2894" t="s">
        <v>8773</v>
      </c>
      <c r="J2894" t="s">
        <v>485</v>
      </c>
      <c r="K2894" t="s">
        <v>104</v>
      </c>
      <c r="L2894" t="s">
        <v>33</v>
      </c>
      <c r="M2894" t="s">
        <v>9597</v>
      </c>
      <c r="N2894" t="s">
        <v>9598</v>
      </c>
      <c r="O2894" t="s">
        <v>9599</v>
      </c>
      <c r="P2894" s="2" t="s">
        <v>37</v>
      </c>
      <c r="Q2894" t="s">
        <v>1208</v>
      </c>
      <c r="R2894">
        <v>0</v>
      </c>
      <c r="S2894">
        <v>54.35</v>
      </c>
      <c r="T2894" t="s">
        <v>9600</v>
      </c>
    </row>
    <row r="2895" spans="1:20" x14ac:dyDescent="0.25">
      <c r="A2895" s="1" t="str">
        <f>HYPERLINK("https://vegkart.atlas.vegvesen.no/#/@575418.7,7582201.8,18/hva:hva%5B0%5D%5Bfilter%5D%5B0%5D%5Boperator%5D=%21%3D&amp;hva%5B0%5D%5Bfilter%5D%5B0%5D%5Btype_id%5D=8917&amp;hva%5B0%5D%5Bfilter%5D%5B0%5D%5Bverdi%5D=&amp;hva%5B0%5D%5Bid%5D=49/når:2015-05-21", "Vegkart")</f>
        <v>Vegkart</v>
      </c>
      <c r="B2895">
        <v>595485875</v>
      </c>
      <c r="C2895">
        <v>49</v>
      </c>
      <c r="D2895" t="s">
        <v>8701</v>
      </c>
      <c r="E2895">
        <v>8917</v>
      </c>
      <c r="F2895" t="s">
        <v>23479</v>
      </c>
      <c r="G2895">
        <v>1</v>
      </c>
      <c r="H2895" t="s">
        <v>9601</v>
      </c>
      <c r="J2895" t="s">
        <v>485</v>
      </c>
      <c r="K2895" t="s">
        <v>53</v>
      </c>
      <c r="L2895" t="s">
        <v>22</v>
      </c>
      <c r="M2895" t="s">
        <v>9602</v>
      </c>
      <c r="N2895" t="s">
        <v>9603</v>
      </c>
      <c r="O2895" t="s">
        <v>9604</v>
      </c>
      <c r="P2895" s="2" t="s">
        <v>165</v>
      </c>
      <c r="Q2895" t="s">
        <v>641</v>
      </c>
      <c r="R2895">
        <v>0</v>
      </c>
      <c r="S2895">
        <v>12.27</v>
      </c>
      <c r="T2895" t="s">
        <v>167</v>
      </c>
    </row>
    <row r="2896" spans="1:20" x14ac:dyDescent="0.25">
      <c r="A2896" s="1" t="str">
        <f>HYPERLINK("https://vegkart.atlas.vegvesen.no/#/@257616.7,6576072.6,18/hva:hva%5B0%5D%5Bfilter%5D%5B0%5D%5Boperator%5D=%21%3D&amp;hva%5B0%5D%5Bfilter%5D%5B0%5D%5Btype_id%5D=8917&amp;hva%5B0%5D%5Bfilter%5D%5B0%5D%5Bverdi%5D=&amp;hva%5B0%5D%5Bid%5D=49/når:2025-11-28", "Vegkart")</f>
        <v>Vegkart</v>
      </c>
      <c r="B2896">
        <v>595669751</v>
      </c>
      <c r="C2896">
        <v>49</v>
      </c>
      <c r="D2896" t="s">
        <v>8701</v>
      </c>
      <c r="E2896">
        <v>8917</v>
      </c>
      <c r="F2896" t="s">
        <v>23479</v>
      </c>
      <c r="G2896">
        <v>2</v>
      </c>
      <c r="H2896" t="s">
        <v>8765</v>
      </c>
      <c r="J2896" t="s">
        <v>8787</v>
      </c>
      <c r="K2896" t="s">
        <v>104</v>
      </c>
      <c r="L2896" t="s">
        <v>33</v>
      </c>
      <c r="M2896" t="s">
        <v>9605</v>
      </c>
      <c r="N2896" t="s">
        <v>9606</v>
      </c>
      <c r="O2896" t="s">
        <v>9607</v>
      </c>
      <c r="P2896" s="2" t="s">
        <v>37</v>
      </c>
      <c r="Q2896" t="s">
        <v>1208</v>
      </c>
      <c r="R2896">
        <v>0</v>
      </c>
      <c r="S2896">
        <v>15.24</v>
      </c>
      <c r="T2896" t="s">
        <v>9608</v>
      </c>
    </row>
    <row r="2897" spans="1:20" x14ac:dyDescent="0.25">
      <c r="A2897" s="1" t="str">
        <f>HYPERLINK("https://vegkart.atlas.vegvesen.no/#/@270009.8,6583386.5,18/hva:hva%5B0%5D%5Bfilter%5D%5B0%5D%5Boperator%5D=%21%3D&amp;hva%5B0%5D%5Bfilter%5D%5B0%5D%5Btype_id%5D=8917&amp;hva%5B0%5D%5Bfilter%5D%5B0%5D%5Bverdi%5D=&amp;hva%5B0%5D%5Bid%5D=49/når:2025-11-11", "Vegkart")</f>
        <v>Vegkart</v>
      </c>
      <c r="B2897">
        <v>595670469</v>
      </c>
      <c r="C2897">
        <v>49</v>
      </c>
      <c r="D2897" t="s">
        <v>8701</v>
      </c>
      <c r="E2897">
        <v>8917</v>
      </c>
      <c r="F2897" t="s">
        <v>23479</v>
      </c>
      <c r="G2897">
        <v>2</v>
      </c>
      <c r="H2897" t="s">
        <v>8773</v>
      </c>
      <c r="J2897" t="s">
        <v>485</v>
      </c>
      <c r="K2897" t="s">
        <v>104</v>
      </c>
      <c r="L2897" t="s">
        <v>33</v>
      </c>
      <c r="M2897" t="s">
        <v>9597</v>
      </c>
      <c r="N2897" t="s">
        <v>9609</v>
      </c>
      <c r="O2897" t="s">
        <v>9610</v>
      </c>
      <c r="P2897" s="2" t="s">
        <v>165</v>
      </c>
      <c r="Q2897" t="s">
        <v>166</v>
      </c>
      <c r="R2897">
        <v>36.25</v>
      </c>
      <c r="S2897">
        <v>36.369999999999997</v>
      </c>
      <c r="T2897" t="s">
        <v>167</v>
      </c>
    </row>
    <row r="2898" spans="1:20" x14ac:dyDescent="0.25">
      <c r="A2898" s="1" t="str">
        <f>HYPERLINK("https://vegkart.atlas.vegvesen.no/#/@262019.1,6648498.0,18/hva:hva%5B0%5D%5Bfilter%5D%5B0%5D%5Boperator%5D=%21%3D&amp;hva%5B0%5D%5Bfilter%5D%5B0%5D%5Btype_id%5D=8917&amp;hva%5B0%5D%5Bfilter%5D%5B0%5D%5Bverdi%5D=&amp;hva%5B0%5D%5Bid%5D=49/når:2014-07-01", "Vegkart")</f>
        <v>Vegkart</v>
      </c>
      <c r="B2898">
        <v>598625940</v>
      </c>
      <c r="C2898">
        <v>49</v>
      </c>
      <c r="D2898" t="s">
        <v>8701</v>
      </c>
      <c r="E2898">
        <v>8917</v>
      </c>
      <c r="F2898" t="s">
        <v>23479</v>
      </c>
      <c r="G2898">
        <v>1</v>
      </c>
      <c r="H2898" t="s">
        <v>9611</v>
      </c>
      <c r="J2898" t="s">
        <v>9612</v>
      </c>
      <c r="K2898" t="s">
        <v>335</v>
      </c>
      <c r="L2898" t="s">
        <v>80</v>
      </c>
      <c r="M2898" t="s">
        <v>53</v>
      </c>
      <c r="N2898" t="s">
        <v>9613</v>
      </c>
      <c r="O2898" t="s">
        <v>9614</v>
      </c>
      <c r="P2898" s="2" t="s">
        <v>37</v>
      </c>
      <c r="Q2898" t="s">
        <v>1208</v>
      </c>
      <c r="R2898">
        <v>0</v>
      </c>
      <c r="S2898">
        <v>21.55</v>
      </c>
      <c r="T2898" t="s">
        <v>9615</v>
      </c>
    </row>
    <row r="2899" spans="1:20" x14ac:dyDescent="0.25">
      <c r="A2899" s="1" t="str">
        <f>HYPERLINK("https://vegkart.atlas.vegvesen.no/#/@261974.2,6648494.9,18/hva:hva%5B0%5D%5Bfilter%5D%5B0%5D%5Boperator%5D=%21%3D&amp;hva%5B0%5D%5Bfilter%5D%5B0%5D%5Btype_id%5D=8917&amp;hva%5B0%5D%5Bfilter%5D%5B0%5D%5Bverdi%5D=&amp;hva%5B0%5D%5Bid%5D=49/når:2022-03-15", "Vegkart")</f>
        <v>Vegkart</v>
      </c>
      <c r="B2899">
        <v>598625941</v>
      </c>
      <c r="C2899">
        <v>49</v>
      </c>
      <c r="D2899" t="s">
        <v>8701</v>
      </c>
      <c r="E2899">
        <v>8917</v>
      </c>
      <c r="F2899" t="s">
        <v>23479</v>
      </c>
      <c r="G2899">
        <v>2</v>
      </c>
      <c r="H2899" t="s">
        <v>7856</v>
      </c>
      <c r="J2899" t="s">
        <v>9612</v>
      </c>
      <c r="K2899" t="s">
        <v>335</v>
      </c>
      <c r="L2899" t="s">
        <v>80</v>
      </c>
      <c r="M2899" t="s">
        <v>53</v>
      </c>
      <c r="N2899" t="s">
        <v>9616</v>
      </c>
      <c r="O2899" t="s">
        <v>9617</v>
      </c>
      <c r="P2899" s="2" t="s">
        <v>37</v>
      </c>
      <c r="Q2899" t="s">
        <v>1208</v>
      </c>
      <c r="R2899">
        <v>0</v>
      </c>
      <c r="S2899">
        <v>34.82</v>
      </c>
      <c r="T2899" t="s">
        <v>9618</v>
      </c>
    </row>
    <row r="2900" spans="1:20" x14ac:dyDescent="0.25">
      <c r="A2900" s="1" t="str">
        <f>HYPERLINK("https://vegkart.atlas.vegvesen.no/#/@268659.2,6585557.7,18/hva:hva%5B0%5D%5Bfilter%5D%5B0%5D%5Boperator%5D=%21%3D&amp;hva%5B0%5D%5Bfilter%5D%5B0%5D%5Btype_id%5D=8917&amp;hva%5B0%5D%5Bfilter%5D%5B0%5D%5Bverdi%5D=&amp;hva%5B0%5D%5Bid%5D=49/når:2025-09-12", "Vegkart")</f>
        <v>Vegkart</v>
      </c>
      <c r="B2900">
        <v>598698976</v>
      </c>
      <c r="C2900">
        <v>49</v>
      </c>
      <c r="D2900" t="s">
        <v>8701</v>
      </c>
      <c r="E2900">
        <v>8917</v>
      </c>
      <c r="F2900" t="s">
        <v>23479</v>
      </c>
      <c r="G2900">
        <v>3</v>
      </c>
      <c r="H2900" t="s">
        <v>8801</v>
      </c>
      <c r="J2900" t="s">
        <v>9612</v>
      </c>
      <c r="K2900" t="s">
        <v>104</v>
      </c>
      <c r="L2900" t="s">
        <v>33</v>
      </c>
      <c r="M2900" t="s">
        <v>8802</v>
      </c>
      <c r="N2900" t="s">
        <v>9619</v>
      </c>
      <c r="O2900" t="s">
        <v>9620</v>
      </c>
      <c r="P2900" s="2" t="s">
        <v>37</v>
      </c>
      <c r="Q2900" t="s">
        <v>1208</v>
      </c>
      <c r="R2900">
        <v>0</v>
      </c>
      <c r="S2900">
        <v>31.03</v>
      </c>
      <c r="T2900" t="s">
        <v>9621</v>
      </c>
    </row>
    <row r="2901" spans="1:20" x14ac:dyDescent="0.25">
      <c r="A2901" s="1" t="str">
        <f>HYPERLINK("https://vegkart.atlas.vegvesen.no/#/@-38075.9,6564929.5,18/hva:hva%5B0%5D%5Bfilter%5D%5B0%5D%5Boperator%5D=%21%3D&amp;hva%5B0%5D%5Bfilter%5D%5B0%5D%5Btype_id%5D=8917&amp;hva%5B0%5D%5Bfilter%5D%5B0%5D%5Bverdi%5D=&amp;hva%5B0%5D%5Bid%5D=49/når:2021-10-28", "Vegkart")</f>
        <v>Vegkart</v>
      </c>
      <c r="B2901">
        <v>600607142</v>
      </c>
      <c r="C2901">
        <v>49</v>
      </c>
      <c r="D2901" t="s">
        <v>8701</v>
      </c>
      <c r="E2901">
        <v>8917</v>
      </c>
      <c r="F2901" t="s">
        <v>23479</v>
      </c>
      <c r="G2901">
        <v>2</v>
      </c>
      <c r="H2901" t="s">
        <v>9622</v>
      </c>
      <c r="J2901" t="s">
        <v>9612</v>
      </c>
      <c r="K2901" t="s">
        <v>170</v>
      </c>
      <c r="L2901" t="s">
        <v>33</v>
      </c>
      <c r="M2901" t="s">
        <v>9623</v>
      </c>
      <c r="N2901" t="s">
        <v>9624</v>
      </c>
      <c r="O2901" t="s">
        <v>9625</v>
      </c>
      <c r="P2901" s="2" t="s">
        <v>26</v>
      </c>
      <c r="Q2901" t="s">
        <v>50</v>
      </c>
      <c r="R2901">
        <v>106.56</v>
      </c>
      <c r="S2901">
        <v>106.98</v>
      </c>
      <c r="T2901" t="s">
        <v>9626</v>
      </c>
    </row>
    <row r="2902" spans="1:20" x14ac:dyDescent="0.25">
      <c r="A2902" s="1" t="str">
        <f>HYPERLINK("https://vegkart.atlas.vegvesen.no/#/@268080.5,6570164.1,18/hva:hva%5B0%5D%5Bfilter%5D%5B0%5D%5Boperator%5D=%21%3D&amp;hva%5B0%5D%5Bfilter%5D%5B0%5D%5Btype_id%5D=8917&amp;hva%5B0%5D%5Bfilter%5D%5B0%5D%5Bverdi%5D=&amp;hva%5B0%5D%5Bid%5D=49/når:2025-11-28", "Vegkart")</f>
        <v>Vegkart</v>
      </c>
      <c r="B2902">
        <v>603007295</v>
      </c>
      <c r="C2902">
        <v>49</v>
      </c>
      <c r="D2902" t="s">
        <v>8701</v>
      </c>
      <c r="E2902">
        <v>8917</v>
      </c>
      <c r="F2902" t="s">
        <v>23479</v>
      </c>
      <c r="G2902">
        <v>2</v>
      </c>
      <c r="H2902" t="s">
        <v>8765</v>
      </c>
      <c r="J2902" t="s">
        <v>8766</v>
      </c>
      <c r="K2902" t="s">
        <v>104</v>
      </c>
      <c r="L2902" t="s">
        <v>33</v>
      </c>
      <c r="M2902" t="s">
        <v>931</v>
      </c>
      <c r="N2902" t="s">
        <v>9627</v>
      </c>
      <c r="O2902" t="s">
        <v>9628</v>
      </c>
      <c r="P2902" s="2" t="s">
        <v>37</v>
      </c>
      <c r="Q2902" t="s">
        <v>1208</v>
      </c>
      <c r="R2902">
        <v>0</v>
      </c>
      <c r="S2902">
        <v>36.090000000000003</v>
      </c>
      <c r="T2902" t="s">
        <v>9629</v>
      </c>
    </row>
    <row r="2903" spans="1:20" x14ac:dyDescent="0.25">
      <c r="A2903" s="1" t="str">
        <f>HYPERLINK("https://vegkart.atlas.vegvesen.no/#/@270436.9,6570105.4,18/hva:hva%5B0%5D%5Bfilter%5D%5B0%5D%5Boperator%5D=%21%3D&amp;hva%5B0%5D%5Bfilter%5D%5B0%5D%5Btype_id%5D=8917&amp;hva%5B0%5D%5Bfilter%5D%5B0%5D%5Bverdi%5D=&amp;hva%5B0%5D%5Bid%5D=49/når:2025-11-28", "Vegkart")</f>
        <v>Vegkart</v>
      </c>
      <c r="B2903">
        <v>603691562</v>
      </c>
      <c r="C2903">
        <v>49</v>
      </c>
      <c r="D2903" t="s">
        <v>8701</v>
      </c>
      <c r="E2903">
        <v>8917</v>
      </c>
      <c r="F2903" t="s">
        <v>23479</v>
      </c>
      <c r="G2903">
        <v>2</v>
      </c>
      <c r="H2903" t="s">
        <v>8765</v>
      </c>
      <c r="J2903" t="s">
        <v>8766</v>
      </c>
      <c r="K2903" t="s">
        <v>104</v>
      </c>
      <c r="L2903" t="s">
        <v>33</v>
      </c>
      <c r="M2903" t="s">
        <v>8899</v>
      </c>
      <c r="N2903" t="s">
        <v>9630</v>
      </c>
      <c r="O2903" t="s">
        <v>9631</v>
      </c>
      <c r="P2903" s="2" t="s">
        <v>37</v>
      </c>
      <c r="Q2903" t="s">
        <v>1208</v>
      </c>
      <c r="R2903">
        <v>0</v>
      </c>
      <c r="S2903">
        <v>67.52</v>
      </c>
      <c r="T2903" t="s">
        <v>9632</v>
      </c>
    </row>
    <row r="2904" spans="1:20" x14ac:dyDescent="0.25">
      <c r="A2904" s="1" t="str">
        <f>HYPERLINK("https://vegkart.atlas.vegvesen.no/#/@271487.5,6570382.8,18/hva:hva%5B0%5D%5Bfilter%5D%5B0%5D%5Boperator%5D=%21%3D&amp;hva%5B0%5D%5Bfilter%5D%5B0%5D%5Btype_id%5D=8917&amp;hva%5B0%5D%5Bfilter%5D%5B0%5D%5Bverdi%5D=&amp;hva%5B0%5D%5Bid%5D=49/når:2025-11-28", "Vegkart")</f>
        <v>Vegkart</v>
      </c>
      <c r="B2904">
        <v>603691625</v>
      </c>
      <c r="C2904">
        <v>49</v>
      </c>
      <c r="D2904" t="s">
        <v>8701</v>
      </c>
      <c r="E2904">
        <v>8917</v>
      </c>
      <c r="F2904" t="s">
        <v>23479</v>
      </c>
      <c r="G2904">
        <v>2</v>
      </c>
      <c r="H2904" t="s">
        <v>8765</v>
      </c>
      <c r="J2904" t="s">
        <v>8787</v>
      </c>
      <c r="K2904" t="s">
        <v>104</v>
      </c>
      <c r="L2904" t="s">
        <v>33</v>
      </c>
      <c r="M2904" t="s">
        <v>8899</v>
      </c>
      <c r="N2904" t="s">
        <v>9633</v>
      </c>
      <c r="O2904" t="s">
        <v>9634</v>
      </c>
      <c r="P2904" s="2" t="s">
        <v>37</v>
      </c>
      <c r="Q2904" t="s">
        <v>1208</v>
      </c>
      <c r="R2904">
        <v>0</v>
      </c>
      <c r="S2904">
        <v>22.52</v>
      </c>
      <c r="T2904" t="s">
        <v>9635</v>
      </c>
    </row>
    <row r="2905" spans="1:20" x14ac:dyDescent="0.25">
      <c r="A2905" s="1" t="str">
        <f>HYPERLINK("https://vegkart.atlas.vegvesen.no/#/@266715.9,6569508.7,18/hva:hva%5B0%5D%5Bfilter%5D%5B0%5D%5Boperator%5D=%21%3D&amp;hva%5B0%5D%5Bfilter%5D%5B0%5D%5Btype_id%5D=8917&amp;hva%5B0%5D%5Bfilter%5D%5B0%5D%5Bverdi%5D=&amp;hva%5B0%5D%5Bid%5D=49/når:2025-11-28", "Vegkart")</f>
        <v>Vegkart</v>
      </c>
      <c r="B2905">
        <v>608010249</v>
      </c>
      <c r="C2905">
        <v>49</v>
      </c>
      <c r="D2905" t="s">
        <v>8701</v>
      </c>
      <c r="E2905">
        <v>8917</v>
      </c>
      <c r="F2905" t="s">
        <v>23479</v>
      </c>
      <c r="G2905">
        <v>2</v>
      </c>
      <c r="H2905" t="s">
        <v>8765</v>
      </c>
      <c r="J2905" t="s">
        <v>8766</v>
      </c>
      <c r="K2905" t="s">
        <v>104</v>
      </c>
      <c r="L2905" t="s">
        <v>33</v>
      </c>
      <c r="M2905" t="s">
        <v>8848</v>
      </c>
      <c r="N2905" t="s">
        <v>9636</v>
      </c>
      <c r="O2905" t="s">
        <v>9637</v>
      </c>
      <c r="P2905" s="2" t="s">
        <v>37</v>
      </c>
      <c r="Q2905" t="s">
        <v>1208</v>
      </c>
      <c r="R2905">
        <v>0</v>
      </c>
      <c r="S2905">
        <v>15.84</v>
      </c>
      <c r="T2905" t="s">
        <v>9638</v>
      </c>
    </row>
    <row r="2906" spans="1:20" x14ac:dyDescent="0.25">
      <c r="A2906" s="1" t="str">
        <f>HYPERLINK("https://vegkart.atlas.vegvesen.no/#/@266889.1,6569361.6,18/hva:hva%5B0%5D%5Bfilter%5D%5B0%5D%5Boperator%5D=%21%3D&amp;hva%5B0%5D%5Bfilter%5D%5B0%5D%5Btype_id%5D=8917&amp;hva%5B0%5D%5Bfilter%5D%5B0%5D%5Bverdi%5D=&amp;hva%5B0%5D%5Bid%5D=49/når:2025-11-28", "Vegkart")</f>
        <v>Vegkart</v>
      </c>
      <c r="B2906">
        <v>608010644</v>
      </c>
      <c r="C2906">
        <v>49</v>
      </c>
      <c r="D2906" t="s">
        <v>8701</v>
      </c>
      <c r="E2906">
        <v>8917</v>
      </c>
      <c r="F2906" t="s">
        <v>23479</v>
      </c>
      <c r="G2906">
        <v>2</v>
      </c>
      <c r="H2906" t="s">
        <v>8765</v>
      </c>
      <c r="J2906" t="s">
        <v>8766</v>
      </c>
      <c r="K2906" t="s">
        <v>104</v>
      </c>
      <c r="L2906" t="s">
        <v>33</v>
      </c>
      <c r="M2906" t="s">
        <v>9639</v>
      </c>
      <c r="N2906" t="s">
        <v>9640</v>
      </c>
      <c r="O2906" t="s">
        <v>9641</v>
      </c>
      <c r="P2906" s="2" t="s">
        <v>37</v>
      </c>
      <c r="Q2906" t="s">
        <v>1208</v>
      </c>
      <c r="R2906">
        <v>0</v>
      </c>
      <c r="S2906">
        <v>5.51</v>
      </c>
      <c r="T2906" t="s">
        <v>9642</v>
      </c>
    </row>
    <row r="2907" spans="1:20" x14ac:dyDescent="0.25">
      <c r="A2907" s="1" t="str">
        <f>HYPERLINK("https://vegkart.atlas.vegvesen.no/#/@266892.6,6569366.3,18/hva:hva%5B0%5D%5Bfilter%5D%5B0%5D%5Boperator%5D=%21%3D&amp;hva%5B0%5D%5Bfilter%5D%5B0%5D%5Btype_id%5D=8917&amp;hva%5B0%5D%5Bfilter%5D%5B0%5D%5Bverdi%5D=&amp;hva%5B0%5D%5Bid%5D=49/når:2025-11-28", "Vegkart")</f>
        <v>Vegkart</v>
      </c>
      <c r="B2907">
        <v>608010655</v>
      </c>
      <c r="C2907">
        <v>49</v>
      </c>
      <c r="D2907" t="s">
        <v>8701</v>
      </c>
      <c r="E2907">
        <v>8917</v>
      </c>
      <c r="F2907" t="s">
        <v>23479</v>
      </c>
      <c r="G2907">
        <v>2</v>
      </c>
      <c r="H2907" t="s">
        <v>8765</v>
      </c>
      <c r="J2907" t="s">
        <v>8766</v>
      </c>
      <c r="K2907" t="s">
        <v>104</v>
      </c>
      <c r="L2907" t="s">
        <v>33</v>
      </c>
      <c r="M2907" t="s">
        <v>9639</v>
      </c>
      <c r="N2907" t="s">
        <v>9643</v>
      </c>
      <c r="O2907" t="s">
        <v>9644</v>
      </c>
      <c r="P2907" s="2" t="s">
        <v>37</v>
      </c>
      <c r="Q2907" t="s">
        <v>1208</v>
      </c>
      <c r="R2907">
        <v>0</v>
      </c>
      <c r="S2907">
        <v>5.72</v>
      </c>
      <c r="T2907" t="s">
        <v>9645</v>
      </c>
    </row>
    <row r="2908" spans="1:20" x14ac:dyDescent="0.25">
      <c r="A2908" s="1" t="str">
        <f>HYPERLINK("https://vegkart.atlas.vegvesen.no/#/@-45116.8,6547117.0,18/hva:hva%5B0%5D%5Bfilter%5D%5B0%5D%5Boperator%5D=%21%3D&amp;hva%5B0%5D%5Bfilter%5D%5B0%5D%5Btype_id%5D=8917&amp;hva%5B0%5D%5Bfilter%5D%5B0%5D%5Bverdi%5D=&amp;hva%5B0%5D%5Bid%5D=49/når:2021-06-24", "Vegkart")</f>
        <v>Vegkart</v>
      </c>
      <c r="B2908">
        <v>618505459</v>
      </c>
      <c r="C2908">
        <v>49</v>
      </c>
      <c r="D2908" t="s">
        <v>8701</v>
      </c>
      <c r="E2908">
        <v>8917</v>
      </c>
      <c r="F2908" t="s">
        <v>23479</v>
      </c>
      <c r="G2908">
        <v>2</v>
      </c>
      <c r="H2908" t="s">
        <v>9471</v>
      </c>
      <c r="J2908" t="s">
        <v>9646</v>
      </c>
      <c r="K2908" t="s">
        <v>170</v>
      </c>
      <c r="L2908" t="s">
        <v>33</v>
      </c>
      <c r="M2908" t="s">
        <v>9472</v>
      </c>
      <c r="N2908" t="s">
        <v>9647</v>
      </c>
      <c r="O2908" t="s">
        <v>9648</v>
      </c>
      <c r="P2908" s="2" t="s">
        <v>26</v>
      </c>
      <c r="Q2908" t="s">
        <v>50</v>
      </c>
      <c r="R2908">
        <v>2.67</v>
      </c>
      <c r="S2908">
        <v>2.67</v>
      </c>
      <c r="T2908" t="s">
        <v>9649</v>
      </c>
    </row>
    <row r="2909" spans="1:20" x14ac:dyDescent="0.25">
      <c r="A2909" s="1" t="str">
        <f>HYPERLINK("https://vegkart.atlas.vegvesen.no/#/@-26886.8,6710455.6,18/hva:hva%5B0%5D%5Bfilter%5D%5B0%5D%5Boperator%5D=%21%3D&amp;hva%5B0%5D%5Bfilter%5D%5B0%5D%5Btype_id%5D=8917&amp;hva%5B0%5D%5Bfilter%5D%5B0%5D%5Bverdi%5D=&amp;hva%5B0%5D%5Bid%5D=49/når:2015-08-10", "Vegkart")</f>
        <v>Vegkart</v>
      </c>
      <c r="B2909">
        <v>626231925</v>
      </c>
      <c r="C2909">
        <v>49</v>
      </c>
      <c r="D2909" t="s">
        <v>8701</v>
      </c>
      <c r="E2909">
        <v>8917</v>
      </c>
      <c r="F2909" t="s">
        <v>23479</v>
      </c>
      <c r="G2909">
        <v>1</v>
      </c>
      <c r="H2909" t="s">
        <v>9650</v>
      </c>
      <c r="J2909" t="s">
        <v>9651</v>
      </c>
      <c r="K2909" t="s">
        <v>21</v>
      </c>
      <c r="L2909" t="s">
        <v>33</v>
      </c>
      <c r="M2909" t="s">
        <v>5930</v>
      </c>
      <c r="N2909" t="s">
        <v>9652</v>
      </c>
      <c r="O2909" t="s">
        <v>9653</v>
      </c>
      <c r="P2909" s="2" t="s">
        <v>26</v>
      </c>
      <c r="Q2909" t="s">
        <v>50</v>
      </c>
      <c r="R2909">
        <v>2.75</v>
      </c>
      <c r="S2909">
        <v>2.75</v>
      </c>
      <c r="T2909" t="s">
        <v>9654</v>
      </c>
    </row>
    <row r="2910" spans="1:20" x14ac:dyDescent="0.25">
      <c r="A2910" s="1" t="str">
        <f>HYPERLINK("https://vegkart.atlas.vegvesen.no/#/@-26894.5,6710451.5,18/hva:hva%5B0%5D%5Bfilter%5D%5B0%5D%5Boperator%5D=%21%3D&amp;hva%5B0%5D%5Bfilter%5D%5B0%5D%5Btype_id%5D=8917&amp;hva%5B0%5D%5Bfilter%5D%5B0%5D%5Bverdi%5D=&amp;hva%5B0%5D%5Bid%5D=49/når:2015-08-10", "Vegkart")</f>
        <v>Vegkart</v>
      </c>
      <c r="B2910">
        <v>626231929</v>
      </c>
      <c r="C2910">
        <v>49</v>
      </c>
      <c r="D2910" t="s">
        <v>8701</v>
      </c>
      <c r="E2910">
        <v>8917</v>
      </c>
      <c r="F2910" t="s">
        <v>23479</v>
      </c>
      <c r="G2910">
        <v>1</v>
      </c>
      <c r="H2910" t="s">
        <v>9650</v>
      </c>
      <c r="J2910" t="s">
        <v>9651</v>
      </c>
      <c r="K2910" t="s">
        <v>21</v>
      </c>
      <c r="L2910" t="s">
        <v>33</v>
      </c>
      <c r="M2910" t="s">
        <v>5930</v>
      </c>
      <c r="N2910" t="s">
        <v>9655</v>
      </c>
      <c r="O2910" t="s">
        <v>9656</v>
      </c>
      <c r="P2910" s="2" t="s">
        <v>26</v>
      </c>
      <c r="Q2910" t="s">
        <v>50</v>
      </c>
      <c r="R2910">
        <v>8.49</v>
      </c>
      <c r="S2910">
        <v>8.49</v>
      </c>
      <c r="T2910" t="s">
        <v>9657</v>
      </c>
    </row>
    <row r="2911" spans="1:20" x14ac:dyDescent="0.25">
      <c r="A2911" s="1" t="str">
        <f>HYPERLINK("https://vegkart.atlas.vegvesen.no/#/@61333.7,6837518.2,18/hva:hva%5B0%5D%5Bfilter%5D%5B0%5D%5Boperator%5D=%21%3D&amp;hva%5B0%5D%5Bfilter%5D%5B0%5D%5Btype_id%5D=8917&amp;hva%5B0%5D%5Bfilter%5D%5B0%5D%5Bverdi%5D=&amp;hva%5B0%5D%5Bid%5D=49/når:2021-07-15", "Vegkart")</f>
        <v>Vegkart</v>
      </c>
      <c r="B2911">
        <v>629578875</v>
      </c>
      <c r="C2911">
        <v>49</v>
      </c>
      <c r="D2911" t="s">
        <v>8701</v>
      </c>
      <c r="E2911">
        <v>8917</v>
      </c>
      <c r="F2911" t="s">
        <v>23479</v>
      </c>
      <c r="G2911">
        <v>2</v>
      </c>
      <c r="H2911" t="s">
        <v>9658</v>
      </c>
      <c r="J2911" t="s">
        <v>9651</v>
      </c>
      <c r="K2911" t="s">
        <v>21</v>
      </c>
      <c r="L2911" t="s">
        <v>113</v>
      </c>
      <c r="M2911" t="s">
        <v>507</v>
      </c>
      <c r="N2911" t="s">
        <v>9659</v>
      </c>
      <c r="O2911" t="s">
        <v>9660</v>
      </c>
      <c r="P2911" s="2" t="s">
        <v>26</v>
      </c>
      <c r="Q2911" t="s">
        <v>50</v>
      </c>
      <c r="R2911">
        <v>164</v>
      </c>
      <c r="S2911">
        <v>165.47</v>
      </c>
      <c r="T2911" t="s">
        <v>9661</v>
      </c>
    </row>
    <row r="2912" spans="1:20" x14ac:dyDescent="0.25">
      <c r="A2912" s="1" t="str">
        <f>HYPERLINK("https://vegkart.atlas.vegvesen.no/#/@61380.6,6837660.6,18/hva:hva%5B0%5D%5Bfilter%5D%5B0%5D%5Boperator%5D=%21%3D&amp;hva%5B0%5D%5Bfilter%5D%5B0%5D%5Btype_id%5D=8917&amp;hva%5B0%5D%5Bfilter%5D%5B0%5D%5Bverdi%5D=&amp;hva%5B0%5D%5Bid%5D=49/når:2021-07-15", "Vegkart")</f>
        <v>Vegkart</v>
      </c>
      <c r="B2912">
        <v>629578876</v>
      </c>
      <c r="C2912">
        <v>49</v>
      </c>
      <c r="D2912" t="s">
        <v>8701</v>
      </c>
      <c r="E2912">
        <v>8917</v>
      </c>
      <c r="F2912" t="s">
        <v>23479</v>
      </c>
      <c r="G2912">
        <v>2</v>
      </c>
      <c r="H2912" t="s">
        <v>9658</v>
      </c>
      <c r="J2912" t="s">
        <v>9651</v>
      </c>
      <c r="K2912" t="s">
        <v>21</v>
      </c>
      <c r="L2912" t="s">
        <v>113</v>
      </c>
      <c r="M2912" t="s">
        <v>507</v>
      </c>
      <c r="N2912" t="s">
        <v>9662</v>
      </c>
      <c r="O2912" t="s">
        <v>9663</v>
      </c>
      <c r="P2912" s="2" t="s">
        <v>26</v>
      </c>
      <c r="Q2912" t="s">
        <v>50</v>
      </c>
      <c r="R2912">
        <v>93.38</v>
      </c>
      <c r="S2912">
        <v>93.44</v>
      </c>
      <c r="T2912" t="s">
        <v>9664</v>
      </c>
    </row>
    <row r="2913" spans="1:20" x14ac:dyDescent="0.25">
      <c r="A2913" s="1" t="str">
        <f>HYPERLINK("https://vegkart.atlas.vegvesen.no/#/@278842.6,6673522.6,18/hva:hva%5B0%5D%5Bfilter%5D%5B0%5D%5Boperator%5D=%21%3D&amp;hva%5B0%5D%5Bfilter%5D%5B0%5D%5Btype_id%5D=8917&amp;hva%5B0%5D%5Bfilter%5D%5B0%5D%5Bverdi%5D=&amp;hva%5B0%5D%5Bid%5D=49/når:2015-08-01", "Vegkart")</f>
        <v>Vegkart</v>
      </c>
      <c r="B2913">
        <v>629597375</v>
      </c>
      <c r="C2913">
        <v>49</v>
      </c>
      <c r="D2913" t="s">
        <v>8701</v>
      </c>
      <c r="E2913">
        <v>8917</v>
      </c>
      <c r="F2913" t="s">
        <v>23479</v>
      </c>
      <c r="G2913">
        <v>1</v>
      </c>
      <c r="H2913" t="s">
        <v>9665</v>
      </c>
      <c r="J2913" t="s">
        <v>9651</v>
      </c>
      <c r="K2913" t="s">
        <v>132</v>
      </c>
      <c r="L2913" t="s">
        <v>22</v>
      </c>
      <c r="M2913" t="s">
        <v>9666</v>
      </c>
      <c r="N2913" t="s">
        <v>9667</v>
      </c>
      <c r="O2913" t="s">
        <v>9668</v>
      </c>
      <c r="P2913" s="2" t="s">
        <v>26</v>
      </c>
      <c r="Q2913" t="s">
        <v>50</v>
      </c>
      <c r="R2913">
        <v>12.98</v>
      </c>
      <c r="S2913">
        <v>13.39</v>
      </c>
      <c r="T2913" t="s">
        <v>9669</v>
      </c>
    </row>
    <row r="2914" spans="1:20" x14ac:dyDescent="0.25">
      <c r="A2914" s="1" t="str">
        <f>HYPERLINK("https://vegkart.atlas.vegvesen.no/#/@296772.9,6560247.1,18/hva:hva%5B0%5D%5Bfilter%5D%5B0%5D%5Boperator%5D=%21%3D&amp;hva%5B0%5D%5Bfilter%5D%5B0%5D%5Btype_id%5D=8917&amp;hva%5B0%5D%5Bfilter%5D%5B0%5D%5Bverdi%5D=&amp;hva%5B0%5D%5Bid%5D=49/når:2025-10-15", "Vegkart")</f>
        <v>Vegkart</v>
      </c>
      <c r="B2914">
        <v>630914434</v>
      </c>
      <c r="C2914">
        <v>49</v>
      </c>
      <c r="D2914" t="s">
        <v>8701</v>
      </c>
      <c r="E2914">
        <v>8917</v>
      </c>
      <c r="F2914" t="s">
        <v>23479</v>
      </c>
      <c r="G2914">
        <v>2</v>
      </c>
      <c r="H2914" t="s">
        <v>683</v>
      </c>
      <c r="J2914" t="s">
        <v>9651</v>
      </c>
      <c r="K2914" t="s">
        <v>104</v>
      </c>
      <c r="L2914" t="s">
        <v>33</v>
      </c>
      <c r="M2914" t="s">
        <v>9670</v>
      </c>
      <c r="N2914" t="s">
        <v>9671</v>
      </c>
      <c r="O2914" t="s">
        <v>9672</v>
      </c>
      <c r="P2914" s="2" t="s">
        <v>37</v>
      </c>
      <c r="Q2914" t="s">
        <v>1208</v>
      </c>
      <c r="R2914">
        <v>0</v>
      </c>
      <c r="S2914">
        <v>20.57</v>
      </c>
      <c r="T2914" t="s">
        <v>9673</v>
      </c>
    </row>
    <row r="2915" spans="1:20" x14ac:dyDescent="0.25">
      <c r="A2915" s="1" t="str">
        <f>HYPERLINK("https://vegkart.atlas.vegvesen.no/#/@290223.4,6655335.6,18/hva:hva%5B0%5D%5Bfilter%5D%5B0%5D%5Boperator%5D=%21%3D&amp;hva%5B0%5D%5Bfilter%5D%5B0%5D%5Btype_id%5D=8917&amp;hva%5B0%5D%5Bfilter%5D%5B0%5D%5Bverdi%5D=&amp;hva%5B0%5D%5Bid%5D=49/når:2015-08-25", "Vegkart")</f>
        <v>Vegkart</v>
      </c>
      <c r="B2915">
        <v>636844153</v>
      </c>
      <c r="C2915">
        <v>49</v>
      </c>
      <c r="D2915" t="s">
        <v>8701</v>
      </c>
      <c r="E2915">
        <v>8917</v>
      </c>
      <c r="F2915" t="s">
        <v>23479</v>
      </c>
      <c r="G2915">
        <v>1</v>
      </c>
      <c r="H2915" t="s">
        <v>9674</v>
      </c>
      <c r="J2915" t="s">
        <v>9651</v>
      </c>
      <c r="K2915" t="s">
        <v>132</v>
      </c>
      <c r="L2915" t="s">
        <v>33</v>
      </c>
      <c r="M2915" t="s">
        <v>5987</v>
      </c>
      <c r="N2915" t="s">
        <v>9675</v>
      </c>
      <c r="O2915" t="s">
        <v>9676</v>
      </c>
      <c r="P2915" s="2" t="s">
        <v>37</v>
      </c>
      <c r="Q2915" t="s">
        <v>1208</v>
      </c>
      <c r="R2915">
        <v>2.31</v>
      </c>
      <c r="S2915">
        <v>6.25</v>
      </c>
      <c r="T2915" t="s">
        <v>9677</v>
      </c>
    </row>
    <row r="2916" spans="1:20" x14ac:dyDescent="0.25">
      <c r="A2916" s="1" t="str">
        <f>HYPERLINK("https://vegkart.atlas.vegvesen.no/#/@257583.0,6651496.6,18/hva:hva%5B0%5D%5Bfilter%5D%5B0%5D%5Boperator%5D=%21%3D&amp;hva%5B0%5D%5Bfilter%5D%5B0%5D%5Btype_id%5D=8917&amp;hva%5B0%5D%5Bfilter%5D%5B0%5D%5Bverdi%5D=&amp;hva%5B0%5D%5Bid%5D=49/når:2014-07-01", "Vegkart")</f>
        <v>Vegkart</v>
      </c>
      <c r="B2916">
        <v>643618878</v>
      </c>
      <c r="C2916">
        <v>49</v>
      </c>
      <c r="D2916" t="s">
        <v>8701</v>
      </c>
      <c r="E2916">
        <v>8917</v>
      </c>
      <c r="F2916" t="s">
        <v>23479</v>
      </c>
      <c r="G2916">
        <v>1</v>
      </c>
      <c r="H2916" t="s">
        <v>9611</v>
      </c>
      <c r="J2916" t="s">
        <v>493</v>
      </c>
      <c r="K2916" t="s">
        <v>335</v>
      </c>
      <c r="L2916" t="s">
        <v>113</v>
      </c>
      <c r="M2916" t="s">
        <v>336</v>
      </c>
      <c r="N2916" t="s">
        <v>9678</v>
      </c>
      <c r="O2916" t="s">
        <v>9679</v>
      </c>
      <c r="P2916" s="2" t="s">
        <v>37</v>
      </c>
      <c r="Q2916" t="s">
        <v>1208</v>
      </c>
      <c r="R2916">
        <v>0</v>
      </c>
      <c r="S2916">
        <v>65.87</v>
      </c>
      <c r="T2916" t="s">
        <v>9680</v>
      </c>
    </row>
    <row r="2917" spans="1:20" x14ac:dyDescent="0.25">
      <c r="A2917" s="1" t="str">
        <f>HYPERLINK("https://vegkart.atlas.vegvesen.no/#/@258777.0,6589929.9,18/hva:hva%5B0%5D%5Bfilter%5D%5B0%5D%5Boperator%5D=%21%3D&amp;hva%5B0%5D%5Bfilter%5D%5B0%5D%5Btype_id%5D=8917&amp;hva%5B0%5D%5Bfilter%5D%5B0%5D%5Bverdi%5D=&amp;hva%5B0%5D%5Bid%5D=49/når:2025-10-30", "Vegkart")</f>
        <v>Vegkart</v>
      </c>
      <c r="B2917">
        <v>644641601</v>
      </c>
      <c r="C2917">
        <v>49</v>
      </c>
      <c r="D2917" t="s">
        <v>8701</v>
      </c>
      <c r="E2917">
        <v>8917</v>
      </c>
      <c r="F2917" t="s">
        <v>23479</v>
      </c>
      <c r="G2917">
        <v>2</v>
      </c>
      <c r="H2917" t="s">
        <v>8750</v>
      </c>
      <c r="J2917" t="s">
        <v>493</v>
      </c>
      <c r="K2917" t="s">
        <v>104</v>
      </c>
      <c r="L2917" t="s">
        <v>33</v>
      </c>
      <c r="M2917" t="s">
        <v>8814</v>
      </c>
      <c r="N2917" t="s">
        <v>9681</v>
      </c>
      <c r="O2917" t="s">
        <v>9682</v>
      </c>
      <c r="P2917" s="2" t="s">
        <v>37</v>
      </c>
      <c r="Q2917" t="s">
        <v>1208</v>
      </c>
      <c r="R2917">
        <v>0</v>
      </c>
      <c r="S2917">
        <v>20.77</v>
      </c>
      <c r="T2917" t="s">
        <v>9683</v>
      </c>
    </row>
    <row r="2918" spans="1:20" x14ac:dyDescent="0.25">
      <c r="A2918" s="1" t="str">
        <f>HYPERLINK("https://vegkart.atlas.vegvesen.no/#/@257552.0,6589941.3,18/hva:hva%5B0%5D%5Bfilter%5D%5B0%5D%5Boperator%5D=%21%3D&amp;hva%5B0%5D%5Bfilter%5D%5B0%5D%5Btype_id%5D=8917&amp;hva%5B0%5D%5Bfilter%5D%5B0%5D%5Bverdi%5D=&amp;hva%5B0%5D%5Bid%5D=49/når:2025-10-30", "Vegkart")</f>
        <v>Vegkart</v>
      </c>
      <c r="B2918">
        <v>644641615</v>
      </c>
      <c r="C2918">
        <v>49</v>
      </c>
      <c r="D2918" t="s">
        <v>8701</v>
      </c>
      <c r="E2918">
        <v>8917</v>
      </c>
      <c r="F2918" t="s">
        <v>23479</v>
      </c>
      <c r="G2918">
        <v>2</v>
      </c>
      <c r="H2918" t="s">
        <v>8750</v>
      </c>
      <c r="J2918" t="s">
        <v>493</v>
      </c>
      <c r="K2918" t="s">
        <v>104</v>
      </c>
      <c r="L2918" t="s">
        <v>33</v>
      </c>
      <c r="M2918" t="s">
        <v>8814</v>
      </c>
      <c r="N2918" t="s">
        <v>9684</v>
      </c>
      <c r="O2918" t="s">
        <v>9685</v>
      </c>
      <c r="P2918" s="2" t="s">
        <v>37</v>
      </c>
      <c r="Q2918" t="s">
        <v>1208</v>
      </c>
      <c r="R2918">
        <v>0</v>
      </c>
      <c r="S2918">
        <v>19.260000000000002</v>
      </c>
      <c r="T2918" t="s">
        <v>9686</v>
      </c>
    </row>
    <row r="2919" spans="1:20" x14ac:dyDescent="0.25">
      <c r="A2919" s="1" t="str">
        <f>HYPERLINK("https://vegkart.atlas.vegvesen.no/#/@87156.6,6466806.6,18/hva:hva%5B0%5D%5Bfilter%5D%5B0%5D%5Boperator%5D=%21%3D&amp;hva%5B0%5D%5Bfilter%5D%5B0%5D%5Btype_id%5D=8917&amp;hva%5B0%5D%5Bfilter%5D%5B0%5D%5Bverdi%5D=&amp;hva%5B0%5D%5Bid%5D=49/når:2015-11-25", "Vegkart")</f>
        <v>Vegkart</v>
      </c>
      <c r="B2919">
        <v>645632410</v>
      </c>
      <c r="C2919">
        <v>49</v>
      </c>
      <c r="D2919" t="s">
        <v>8701</v>
      </c>
      <c r="E2919">
        <v>8917</v>
      </c>
      <c r="F2919" t="s">
        <v>23479</v>
      </c>
      <c r="G2919">
        <v>4</v>
      </c>
      <c r="H2919" t="s">
        <v>9687</v>
      </c>
      <c r="J2919" t="s">
        <v>493</v>
      </c>
      <c r="K2919" t="s">
        <v>86</v>
      </c>
      <c r="L2919" t="s">
        <v>113</v>
      </c>
      <c r="M2919" t="s">
        <v>667</v>
      </c>
      <c r="N2919" t="s">
        <v>9688</v>
      </c>
      <c r="O2919" t="s">
        <v>9689</v>
      </c>
      <c r="P2919" s="2" t="s">
        <v>37</v>
      </c>
      <c r="Q2919" t="s">
        <v>1208</v>
      </c>
      <c r="R2919">
        <v>3.04</v>
      </c>
      <c r="S2919">
        <v>174.21</v>
      </c>
      <c r="T2919" t="s">
        <v>9690</v>
      </c>
    </row>
    <row r="2920" spans="1:20" x14ac:dyDescent="0.25">
      <c r="A2920" s="1" t="str">
        <f>HYPERLINK("https://vegkart.atlas.vegvesen.no/#/@295864.9,6555074.0,18/hva:hva%5B0%5D%5Bfilter%5D%5B0%5D%5Boperator%5D=%21%3D&amp;hva%5B0%5D%5Bfilter%5D%5B0%5D%5Btype_id%5D=8917&amp;hva%5B0%5D%5Bfilter%5D%5B0%5D%5Bverdi%5D=&amp;hva%5B0%5D%5Bid%5D=49/når:2025-10-15", "Vegkart")</f>
        <v>Vegkart</v>
      </c>
      <c r="B2920">
        <v>671958790</v>
      </c>
      <c r="C2920">
        <v>49</v>
      </c>
      <c r="D2920" t="s">
        <v>8701</v>
      </c>
      <c r="E2920">
        <v>8917</v>
      </c>
      <c r="F2920" t="s">
        <v>23479</v>
      </c>
      <c r="G2920">
        <v>2</v>
      </c>
      <c r="H2920" t="s">
        <v>683</v>
      </c>
      <c r="J2920" t="s">
        <v>9691</v>
      </c>
      <c r="K2920" t="s">
        <v>104</v>
      </c>
      <c r="L2920" t="s">
        <v>33</v>
      </c>
      <c r="M2920" t="s">
        <v>9692</v>
      </c>
      <c r="N2920" t="s">
        <v>9693</v>
      </c>
      <c r="O2920" t="s">
        <v>9694</v>
      </c>
      <c r="P2920" s="2" t="s">
        <v>37</v>
      </c>
      <c r="Q2920" t="s">
        <v>1208</v>
      </c>
      <c r="R2920">
        <v>0</v>
      </c>
      <c r="S2920">
        <v>24.95</v>
      </c>
      <c r="T2920" t="s">
        <v>9695</v>
      </c>
    </row>
    <row r="2921" spans="1:20" x14ac:dyDescent="0.25">
      <c r="A2921" s="1" t="str">
        <f>HYPERLINK("https://vegkart.atlas.vegvesen.no/#/@255731.0,6625081.5,18/hva:hva%5B0%5D%5Bfilter%5D%5B0%5D%5Boperator%5D=%21%3D&amp;hva%5B0%5D%5Bfilter%5D%5B0%5D%5Btype_id%5D=8917&amp;hva%5B0%5D%5Bfilter%5D%5B0%5D%5Bverdi%5D=&amp;hva%5B0%5D%5Bid%5D=49/når:2015-11-02", "Vegkart")</f>
        <v>Vegkart</v>
      </c>
      <c r="B2921">
        <v>672171961</v>
      </c>
      <c r="C2921">
        <v>49</v>
      </c>
      <c r="D2921" t="s">
        <v>8701</v>
      </c>
      <c r="E2921">
        <v>8917</v>
      </c>
      <c r="F2921" t="s">
        <v>23479</v>
      </c>
      <c r="G2921">
        <v>1</v>
      </c>
      <c r="H2921" t="s">
        <v>3439</v>
      </c>
      <c r="J2921" t="s">
        <v>9691</v>
      </c>
      <c r="K2921" t="s">
        <v>132</v>
      </c>
      <c r="L2921" t="s">
        <v>33</v>
      </c>
      <c r="M2921" t="s">
        <v>9696</v>
      </c>
      <c r="N2921" t="s">
        <v>9697</v>
      </c>
      <c r="O2921" t="s">
        <v>9698</v>
      </c>
      <c r="P2921" s="2" t="s">
        <v>37</v>
      </c>
      <c r="Q2921" t="s">
        <v>1208</v>
      </c>
      <c r="R2921">
        <v>2.68</v>
      </c>
      <c r="S2921">
        <v>33.619999999999997</v>
      </c>
      <c r="T2921" t="s">
        <v>9699</v>
      </c>
    </row>
    <row r="2922" spans="1:20" x14ac:dyDescent="0.25">
      <c r="A2922" s="1" t="str">
        <f>HYPERLINK("https://vegkart.atlas.vegvesen.no/#/@295850.6,6554172.1,18/hva:hva%5B0%5D%5Bfilter%5D%5B0%5D%5Boperator%5D=%21%3D&amp;hva%5B0%5D%5Bfilter%5D%5B0%5D%5Btype_id%5D=8917&amp;hva%5B0%5D%5Bfilter%5D%5B0%5D%5Bverdi%5D=&amp;hva%5B0%5D%5Bid%5D=49/når:2025-10-15", "Vegkart")</f>
        <v>Vegkart</v>
      </c>
      <c r="B2922">
        <v>673332102</v>
      </c>
      <c r="C2922">
        <v>49</v>
      </c>
      <c r="D2922" t="s">
        <v>8701</v>
      </c>
      <c r="E2922">
        <v>8917</v>
      </c>
      <c r="F2922" t="s">
        <v>23479</v>
      </c>
      <c r="G2922">
        <v>2</v>
      </c>
      <c r="H2922" t="s">
        <v>683</v>
      </c>
      <c r="J2922" t="s">
        <v>9691</v>
      </c>
      <c r="K2922" t="s">
        <v>104</v>
      </c>
      <c r="L2922" t="s">
        <v>33</v>
      </c>
      <c r="M2922" t="s">
        <v>8758</v>
      </c>
      <c r="N2922" t="s">
        <v>9700</v>
      </c>
      <c r="O2922" t="s">
        <v>9701</v>
      </c>
      <c r="P2922" s="2" t="s">
        <v>37</v>
      </c>
      <c r="Q2922" t="s">
        <v>1208</v>
      </c>
      <c r="R2922">
        <v>0</v>
      </c>
      <c r="S2922">
        <v>31.78</v>
      </c>
      <c r="T2922" t="s">
        <v>9702</v>
      </c>
    </row>
    <row r="2923" spans="1:20" x14ac:dyDescent="0.25">
      <c r="A2923" s="1" t="str">
        <f>HYPERLINK("https://vegkart.atlas.vegvesen.no/#/@311497.8,6569232.2,18/hva:hva%5B0%5D%5Bfilter%5D%5B0%5D%5Boperator%5D=%21%3D&amp;hva%5B0%5D%5Bfilter%5D%5B0%5D%5Btype_id%5D=8917&amp;hva%5B0%5D%5Bfilter%5D%5B0%5D%5Bverdi%5D=&amp;hva%5B0%5D%5Bid%5D=49/når:2025-09-09", "Vegkart")</f>
        <v>Vegkart</v>
      </c>
      <c r="B2923">
        <v>673787381</v>
      </c>
      <c r="C2923">
        <v>49</v>
      </c>
      <c r="D2923" t="s">
        <v>8701</v>
      </c>
      <c r="E2923">
        <v>8917</v>
      </c>
      <c r="F2923" t="s">
        <v>23479</v>
      </c>
      <c r="G2923">
        <v>2</v>
      </c>
      <c r="H2923" t="s">
        <v>9540</v>
      </c>
      <c r="J2923" t="s">
        <v>9703</v>
      </c>
      <c r="K2923" t="s">
        <v>104</v>
      </c>
      <c r="L2923" t="s">
        <v>33</v>
      </c>
      <c r="M2923" t="s">
        <v>8734</v>
      </c>
      <c r="N2923" t="s">
        <v>9704</v>
      </c>
      <c r="O2923" t="s">
        <v>9705</v>
      </c>
      <c r="P2923" s="2" t="s">
        <v>37</v>
      </c>
      <c r="Q2923" t="s">
        <v>1208</v>
      </c>
      <c r="R2923">
        <v>0</v>
      </c>
      <c r="S2923">
        <v>16.98</v>
      </c>
      <c r="T2923" t="s">
        <v>9706</v>
      </c>
    </row>
    <row r="2924" spans="1:20" x14ac:dyDescent="0.25">
      <c r="A2924" s="1" t="str">
        <f>HYPERLINK("https://vegkart.atlas.vegvesen.no/#/@252674.8,6629867.4,18/hva:hva%5B0%5D%5Bfilter%5D%5B0%5D%5Boperator%5D=%21%3D&amp;hva%5B0%5D%5Bfilter%5D%5B0%5D%5Btype_id%5D=8917&amp;hva%5B0%5D%5Bfilter%5D%5B0%5D%5Bverdi%5D=&amp;hva%5B0%5D%5Bid%5D=49/når:2015-11-02", "Vegkart")</f>
        <v>Vegkart</v>
      </c>
      <c r="B2924">
        <v>675222804</v>
      </c>
      <c r="C2924">
        <v>49</v>
      </c>
      <c r="D2924" t="s">
        <v>8701</v>
      </c>
      <c r="E2924">
        <v>8917</v>
      </c>
      <c r="F2924" t="s">
        <v>23479</v>
      </c>
      <c r="G2924">
        <v>1</v>
      </c>
      <c r="H2924" t="s">
        <v>3439</v>
      </c>
      <c r="J2924" t="s">
        <v>9703</v>
      </c>
      <c r="K2924" t="s">
        <v>132</v>
      </c>
      <c r="L2924" t="s">
        <v>33</v>
      </c>
      <c r="M2924" t="s">
        <v>5243</v>
      </c>
      <c r="N2924" t="s">
        <v>9707</v>
      </c>
      <c r="O2924" t="s">
        <v>9708</v>
      </c>
      <c r="P2924" s="2" t="s">
        <v>165</v>
      </c>
      <c r="Q2924" t="s">
        <v>641</v>
      </c>
      <c r="R2924">
        <v>0</v>
      </c>
      <c r="S2924">
        <v>63.46</v>
      </c>
      <c r="T2924" t="s">
        <v>167</v>
      </c>
    </row>
    <row r="2925" spans="1:20" x14ac:dyDescent="0.25">
      <c r="A2925" s="1" t="str">
        <f>HYPERLINK("https://vegkart.atlas.vegvesen.no/#/@307477.2,6644043.8,18/hva:hva%5B0%5D%5Bfilter%5D%5B0%5D%5Boperator%5D=%21%3D&amp;hva%5B0%5D%5Bfilter%5D%5B0%5D%5Btype_id%5D=8917&amp;hva%5B0%5D%5Bfilter%5D%5B0%5D%5Bverdi%5D=&amp;hva%5B0%5D%5Bid%5D=49/når:2016-04-25", "Vegkart")</f>
        <v>Vegkart</v>
      </c>
      <c r="B2925">
        <v>676887108</v>
      </c>
      <c r="C2925">
        <v>49</v>
      </c>
      <c r="D2925" t="s">
        <v>8701</v>
      </c>
      <c r="E2925">
        <v>8917</v>
      </c>
      <c r="F2925" t="s">
        <v>23479</v>
      </c>
      <c r="G2925">
        <v>1</v>
      </c>
      <c r="H2925" t="s">
        <v>9709</v>
      </c>
      <c r="J2925" t="s">
        <v>9703</v>
      </c>
      <c r="K2925" t="s">
        <v>132</v>
      </c>
      <c r="L2925" t="s">
        <v>33</v>
      </c>
      <c r="M2925" t="s">
        <v>2097</v>
      </c>
      <c r="N2925" t="s">
        <v>9710</v>
      </c>
      <c r="O2925" t="s">
        <v>9711</v>
      </c>
      <c r="P2925" s="2" t="s">
        <v>26</v>
      </c>
      <c r="Q2925" t="s">
        <v>50</v>
      </c>
      <c r="R2925">
        <v>27.64</v>
      </c>
      <c r="S2925">
        <v>34.049999999999997</v>
      </c>
      <c r="T2925" t="s">
        <v>9712</v>
      </c>
    </row>
    <row r="2926" spans="1:20" x14ac:dyDescent="0.25">
      <c r="A2926" s="1" t="str">
        <f>HYPERLINK("https://vegkart.atlas.vegvesen.no/#/@293360.1,6559075.8,18/hva:hva%5B0%5D%5Bfilter%5D%5B0%5D%5Boperator%5D=%21%3D&amp;hva%5B0%5D%5Bfilter%5D%5B0%5D%5Btype_id%5D=8917&amp;hva%5B0%5D%5Bfilter%5D%5B0%5D%5Bverdi%5D=&amp;hva%5B0%5D%5Bid%5D=49/når:2025-10-15", "Vegkart")</f>
        <v>Vegkart</v>
      </c>
      <c r="B2926">
        <v>699932344</v>
      </c>
      <c r="C2926">
        <v>49</v>
      </c>
      <c r="D2926" t="s">
        <v>8701</v>
      </c>
      <c r="E2926">
        <v>8917</v>
      </c>
      <c r="F2926" t="s">
        <v>23479</v>
      </c>
      <c r="G2926">
        <v>2</v>
      </c>
      <c r="H2926" t="s">
        <v>683</v>
      </c>
      <c r="J2926" t="s">
        <v>9703</v>
      </c>
      <c r="K2926" t="s">
        <v>104</v>
      </c>
      <c r="L2926" t="s">
        <v>33</v>
      </c>
      <c r="M2926" t="s">
        <v>8758</v>
      </c>
      <c r="N2926" t="s">
        <v>9713</v>
      </c>
      <c r="O2926" t="s">
        <v>9714</v>
      </c>
      <c r="P2926" s="2" t="s">
        <v>37</v>
      </c>
      <c r="Q2926" t="s">
        <v>1208</v>
      </c>
      <c r="R2926">
        <v>0</v>
      </c>
      <c r="S2926">
        <v>30.62</v>
      </c>
      <c r="T2926" t="s">
        <v>9715</v>
      </c>
    </row>
    <row r="2927" spans="1:20" x14ac:dyDescent="0.25">
      <c r="A2927" s="1" t="str">
        <f>HYPERLINK("https://vegkart.atlas.vegvesen.no/#/@291984.9,6560467.0,18/hva:hva%5B0%5D%5Bfilter%5D%5B0%5D%5Boperator%5D=%21%3D&amp;hva%5B0%5D%5Bfilter%5D%5B0%5D%5Btype_id%5D=8917&amp;hva%5B0%5D%5Bfilter%5D%5B0%5D%5Bverdi%5D=&amp;hva%5B0%5D%5Bid%5D=49/når:2025-10-15", "Vegkart")</f>
        <v>Vegkart</v>
      </c>
      <c r="B2927">
        <v>703481127</v>
      </c>
      <c r="C2927">
        <v>49</v>
      </c>
      <c r="D2927" t="s">
        <v>8701</v>
      </c>
      <c r="E2927">
        <v>8917</v>
      </c>
      <c r="F2927" t="s">
        <v>23479</v>
      </c>
      <c r="G2927">
        <v>2</v>
      </c>
      <c r="H2927" t="s">
        <v>683</v>
      </c>
      <c r="J2927" t="s">
        <v>9716</v>
      </c>
      <c r="K2927" t="s">
        <v>104</v>
      </c>
      <c r="L2927" t="s">
        <v>33</v>
      </c>
      <c r="M2927" t="s">
        <v>9153</v>
      </c>
      <c r="N2927" t="s">
        <v>9717</v>
      </c>
      <c r="O2927" t="s">
        <v>9718</v>
      </c>
      <c r="P2927" s="2" t="s">
        <v>37</v>
      </c>
      <c r="Q2927" t="s">
        <v>1208</v>
      </c>
      <c r="R2927">
        <v>0</v>
      </c>
      <c r="S2927">
        <v>14.93</v>
      </c>
      <c r="T2927" t="s">
        <v>9719</v>
      </c>
    </row>
    <row r="2928" spans="1:20" x14ac:dyDescent="0.25">
      <c r="A2928" s="1" t="str">
        <f>HYPERLINK("https://vegkart.atlas.vegvesen.no/#/@271669.9,7037250.3,18/hva:hva%5B0%5D%5Bfilter%5D%5B0%5D%5Boperator%5D=%21%3D&amp;hva%5B0%5D%5Bfilter%5D%5B0%5D%5Btype_id%5D=8917&amp;hva%5B0%5D%5Bfilter%5D%5B0%5D%5Bverdi%5D=&amp;hva%5B0%5D%5Bid%5D=49/når:2016-06-22", "Vegkart")</f>
        <v>Vegkart</v>
      </c>
      <c r="B2928">
        <v>706973981</v>
      </c>
      <c r="C2928">
        <v>49</v>
      </c>
      <c r="D2928" t="s">
        <v>8701</v>
      </c>
      <c r="E2928">
        <v>8917</v>
      </c>
      <c r="F2928" t="s">
        <v>23479</v>
      </c>
      <c r="G2928">
        <v>1</v>
      </c>
      <c r="H2928" t="s">
        <v>9720</v>
      </c>
      <c r="J2928" t="s">
        <v>9703</v>
      </c>
      <c r="K2928" t="s">
        <v>192</v>
      </c>
      <c r="L2928" t="s">
        <v>33</v>
      </c>
      <c r="M2928" t="s">
        <v>9721</v>
      </c>
      <c r="N2928" t="s">
        <v>9722</v>
      </c>
      <c r="O2928" t="s">
        <v>9723</v>
      </c>
      <c r="P2928" s="2" t="s">
        <v>37</v>
      </c>
      <c r="Q2928" t="s">
        <v>1208</v>
      </c>
      <c r="R2928">
        <v>8.65</v>
      </c>
      <c r="S2928">
        <v>31.25</v>
      </c>
      <c r="T2928" t="s">
        <v>9724</v>
      </c>
    </row>
    <row r="2929" spans="1:20" x14ac:dyDescent="0.25">
      <c r="A2929" s="1" t="str">
        <f>HYPERLINK("https://vegkart.atlas.vegvesen.no/#/@248327.6,6649392.3,18/hva:hva%5B0%5D%5Bfilter%5D%5B0%5D%5Boperator%5D=%21%3D&amp;hva%5B0%5D%5Bfilter%5D%5B0%5D%5Btype_id%5D=8917&amp;hva%5B0%5D%5Bfilter%5D%5B0%5D%5Bverdi%5D=&amp;hva%5B0%5D%5Bid%5D=49/når:2016-06-01", "Vegkart")</f>
        <v>Vegkart</v>
      </c>
      <c r="B2929">
        <v>710176257</v>
      </c>
      <c r="C2929">
        <v>49</v>
      </c>
      <c r="D2929" t="s">
        <v>8701</v>
      </c>
      <c r="E2929">
        <v>8917</v>
      </c>
      <c r="F2929" t="s">
        <v>23479</v>
      </c>
      <c r="G2929">
        <v>1</v>
      </c>
      <c r="H2929" t="s">
        <v>6557</v>
      </c>
      <c r="J2929" t="s">
        <v>9703</v>
      </c>
      <c r="K2929" t="s">
        <v>132</v>
      </c>
      <c r="L2929" t="s">
        <v>33</v>
      </c>
      <c r="M2929" t="s">
        <v>9725</v>
      </c>
      <c r="N2929" t="s">
        <v>9726</v>
      </c>
      <c r="O2929" t="s">
        <v>9727</v>
      </c>
      <c r="P2929" s="2" t="s">
        <v>165</v>
      </c>
      <c r="Q2929" t="s">
        <v>641</v>
      </c>
      <c r="R2929">
        <v>0</v>
      </c>
      <c r="S2929">
        <v>65.41</v>
      </c>
      <c r="T2929" t="s">
        <v>167</v>
      </c>
    </row>
    <row r="2930" spans="1:20" x14ac:dyDescent="0.25">
      <c r="A2930" s="1" t="str">
        <f>HYPERLINK("https://vegkart.atlas.vegvesen.no/#/@-12577.6,6766149.0,18/hva:hva%5B0%5D%5Bfilter%5D%5B0%5D%5Boperator%5D=%21%3D&amp;hva%5B0%5D%5Bfilter%5D%5B0%5D%5Btype_id%5D=8917&amp;hva%5B0%5D%5Bfilter%5D%5B0%5D%5Bverdi%5D=&amp;hva%5B0%5D%5Bid%5D=49/når:2016-07-18", "Vegkart")</f>
        <v>Vegkart</v>
      </c>
      <c r="B2930">
        <v>717376954</v>
      </c>
      <c r="C2930">
        <v>49</v>
      </c>
      <c r="D2930" t="s">
        <v>8701</v>
      </c>
      <c r="E2930">
        <v>8917</v>
      </c>
      <c r="F2930" t="s">
        <v>23479</v>
      </c>
      <c r="G2930">
        <v>1</v>
      </c>
      <c r="H2930" t="s">
        <v>9728</v>
      </c>
      <c r="J2930" t="s">
        <v>9729</v>
      </c>
      <c r="K2930" t="s">
        <v>21</v>
      </c>
      <c r="L2930" t="s">
        <v>22</v>
      </c>
      <c r="M2930" t="s">
        <v>9730</v>
      </c>
      <c r="N2930" t="s">
        <v>9731</v>
      </c>
      <c r="O2930" t="s">
        <v>9732</v>
      </c>
      <c r="P2930" s="2" t="s">
        <v>26</v>
      </c>
      <c r="Q2930" t="s">
        <v>50</v>
      </c>
      <c r="R2930">
        <v>4.67</v>
      </c>
      <c r="S2930">
        <v>4.67</v>
      </c>
      <c r="T2930" t="s">
        <v>9733</v>
      </c>
    </row>
    <row r="2931" spans="1:20" x14ac:dyDescent="0.25">
      <c r="A2931" s="1" t="str">
        <f>HYPERLINK("https://vegkart.atlas.vegvesen.no/#/@-19362.3,6759093.0,18/hva:hva%5B0%5D%5Bfilter%5D%5B0%5D%5Boperator%5D=%21%3D&amp;hva%5B0%5D%5Bfilter%5D%5B0%5D%5Btype_id%5D=8917&amp;hva%5B0%5D%5Bfilter%5D%5B0%5D%5Bverdi%5D=&amp;hva%5B0%5D%5Bid%5D=49/når:2016-07-18", "Vegkart")</f>
        <v>Vegkart</v>
      </c>
      <c r="B2931">
        <v>717376956</v>
      </c>
      <c r="C2931">
        <v>49</v>
      </c>
      <c r="D2931" t="s">
        <v>8701</v>
      </c>
      <c r="E2931">
        <v>8917</v>
      </c>
      <c r="F2931" t="s">
        <v>23479</v>
      </c>
      <c r="G2931">
        <v>1</v>
      </c>
      <c r="H2931" t="s">
        <v>9728</v>
      </c>
      <c r="J2931" t="s">
        <v>9729</v>
      </c>
      <c r="K2931" t="s">
        <v>21</v>
      </c>
      <c r="L2931" t="s">
        <v>22</v>
      </c>
      <c r="M2931" t="s">
        <v>9605</v>
      </c>
      <c r="N2931" t="s">
        <v>9734</v>
      </c>
      <c r="O2931" t="s">
        <v>9735</v>
      </c>
      <c r="P2931" s="2" t="s">
        <v>26</v>
      </c>
      <c r="Q2931" t="s">
        <v>50</v>
      </c>
      <c r="R2931">
        <v>12.37</v>
      </c>
      <c r="S2931">
        <v>12.37</v>
      </c>
      <c r="T2931" t="s">
        <v>9736</v>
      </c>
    </row>
    <row r="2932" spans="1:20" x14ac:dyDescent="0.25">
      <c r="A2932" s="1" t="str">
        <f>HYPERLINK("https://vegkart.atlas.vegvesen.no/#/@-19362.2,6759069.5,18/hva:hva%5B0%5D%5Bfilter%5D%5B0%5D%5Boperator%5D=%21%3D&amp;hva%5B0%5D%5Bfilter%5D%5B0%5D%5Btype_id%5D=8917&amp;hva%5B0%5D%5Bfilter%5D%5B0%5D%5Bverdi%5D=&amp;hva%5B0%5D%5Bid%5D=49/når:2016-07-18", "Vegkart")</f>
        <v>Vegkart</v>
      </c>
      <c r="B2932">
        <v>717376958</v>
      </c>
      <c r="C2932">
        <v>49</v>
      </c>
      <c r="D2932" t="s">
        <v>8701</v>
      </c>
      <c r="E2932">
        <v>8917</v>
      </c>
      <c r="F2932" t="s">
        <v>23479</v>
      </c>
      <c r="G2932">
        <v>1</v>
      </c>
      <c r="H2932" t="s">
        <v>9728</v>
      </c>
      <c r="J2932" t="s">
        <v>9729</v>
      </c>
      <c r="K2932" t="s">
        <v>21</v>
      </c>
      <c r="L2932" t="s">
        <v>22</v>
      </c>
      <c r="M2932" t="s">
        <v>9605</v>
      </c>
      <c r="N2932" t="s">
        <v>9737</v>
      </c>
      <c r="O2932" t="s">
        <v>9738</v>
      </c>
      <c r="P2932" s="2" t="s">
        <v>37</v>
      </c>
      <c r="Q2932" t="s">
        <v>1208</v>
      </c>
      <c r="R2932">
        <v>9.92</v>
      </c>
      <c r="S2932">
        <v>10.99</v>
      </c>
      <c r="T2932" t="s">
        <v>9739</v>
      </c>
    </row>
    <row r="2933" spans="1:20" x14ac:dyDescent="0.25">
      <c r="A2933" s="1" t="str">
        <f>HYPERLINK("https://vegkart.atlas.vegvesen.no/#/@-33798.8,6755481.9,18/hva:hva%5B0%5D%5Bfilter%5D%5B0%5D%5Boperator%5D=%21%3D&amp;hva%5B0%5D%5Bfilter%5D%5B0%5D%5Btype_id%5D=8917&amp;hva%5B0%5D%5Bfilter%5D%5B0%5D%5Bverdi%5D=&amp;hva%5B0%5D%5Bid%5D=49/når:2016-07-18", "Vegkart")</f>
        <v>Vegkart</v>
      </c>
      <c r="B2933">
        <v>717376961</v>
      </c>
      <c r="C2933">
        <v>49</v>
      </c>
      <c r="D2933" t="s">
        <v>8701</v>
      </c>
      <c r="E2933">
        <v>8917</v>
      </c>
      <c r="F2933" t="s">
        <v>23479</v>
      </c>
      <c r="G2933">
        <v>1</v>
      </c>
      <c r="H2933" t="s">
        <v>9728</v>
      </c>
      <c r="J2933" t="s">
        <v>9740</v>
      </c>
      <c r="K2933" t="s">
        <v>21</v>
      </c>
      <c r="L2933" t="s">
        <v>22</v>
      </c>
      <c r="M2933" t="s">
        <v>9741</v>
      </c>
      <c r="N2933" t="s">
        <v>9742</v>
      </c>
      <c r="O2933" t="s">
        <v>9743</v>
      </c>
      <c r="P2933" s="2" t="s">
        <v>26</v>
      </c>
      <c r="Q2933" t="s">
        <v>50</v>
      </c>
      <c r="R2933">
        <v>18.04</v>
      </c>
      <c r="S2933">
        <v>18.149999999999999</v>
      </c>
      <c r="T2933" t="s">
        <v>9744</v>
      </c>
    </row>
    <row r="2934" spans="1:20" x14ac:dyDescent="0.25">
      <c r="A2934" s="1" t="str">
        <f>HYPERLINK("https://vegkart.atlas.vegvesen.no/#/@-31584.7,6751642.8,18/hva:hva%5B0%5D%5Bfilter%5D%5B0%5D%5Boperator%5D=%21%3D&amp;hva%5B0%5D%5Bfilter%5D%5B0%5D%5Btype_id%5D=8917&amp;hva%5B0%5D%5Bfilter%5D%5B0%5D%5Bverdi%5D=&amp;hva%5B0%5D%5Bid%5D=49/når:2016-07-18", "Vegkart")</f>
        <v>Vegkart</v>
      </c>
      <c r="B2934">
        <v>717376963</v>
      </c>
      <c r="C2934">
        <v>49</v>
      </c>
      <c r="D2934" t="s">
        <v>8701</v>
      </c>
      <c r="E2934">
        <v>8917</v>
      </c>
      <c r="F2934" t="s">
        <v>23479</v>
      </c>
      <c r="G2934">
        <v>1</v>
      </c>
      <c r="H2934" t="s">
        <v>9728</v>
      </c>
      <c r="J2934" t="s">
        <v>9729</v>
      </c>
      <c r="K2934" t="s">
        <v>21</v>
      </c>
      <c r="L2934" t="s">
        <v>22</v>
      </c>
      <c r="M2934" t="s">
        <v>9745</v>
      </c>
      <c r="N2934" t="s">
        <v>9746</v>
      </c>
      <c r="O2934" t="s">
        <v>9747</v>
      </c>
      <c r="P2934" s="2" t="s">
        <v>26</v>
      </c>
      <c r="Q2934" t="s">
        <v>50</v>
      </c>
      <c r="R2934">
        <v>9.1</v>
      </c>
      <c r="S2934">
        <v>9.1</v>
      </c>
      <c r="T2934" t="s">
        <v>9748</v>
      </c>
    </row>
    <row r="2935" spans="1:20" x14ac:dyDescent="0.25">
      <c r="A2935" s="1" t="str">
        <f>HYPERLINK("https://vegkart.atlas.vegvesen.no/#/@-45153.4,6547142.0,18/hva:hva%5B0%5D%5Bfilter%5D%5B0%5D%5Boperator%5D=%21%3D&amp;hva%5B0%5D%5Bfilter%5D%5B0%5D%5Btype_id%5D=8917&amp;hva%5B0%5D%5Bfilter%5D%5B0%5D%5Bverdi%5D=&amp;hva%5B0%5D%5Bid%5D=49/når:2021-06-24", "Vegkart")</f>
        <v>Vegkart</v>
      </c>
      <c r="B2935">
        <v>724649521</v>
      </c>
      <c r="C2935">
        <v>49</v>
      </c>
      <c r="D2935" t="s">
        <v>8701</v>
      </c>
      <c r="E2935">
        <v>8917</v>
      </c>
      <c r="F2935" t="s">
        <v>23479</v>
      </c>
      <c r="G2935">
        <v>2</v>
      </c>
      <c r="H2935" t="s">
        <v>9471</v>
      </c>
      <c r="J2935" t="s">
        <v>9740</v>
      </c>
      <c r="K2935" t="s">
        <v>170</v>
      </c>
      <c r="L2935" t="s">
        <v>33</v>
      </c>
      <c r="M2935" t="s">
        <v>9472</v>
      </c>
      <c r="N2935" t="s">
        <v>9749</v>
      </c>
      <c r="O2935" t="s">
        <v>9750</v>
      </c>
      <c r="P2935" s="2" t="s">
        <v>26</v>
      </c>
      <c r="Q2935" t="s">
        <v>50</v>
      </c>
      <c r="R2935">
        <v>12.95</v>
      </c>
      <c r="S2935">
        <v>12.95</v>
      </c>
      <c r="T2935" t="s">
        <v>9751</v>
      </c>
    </row>
    <row r="2936" spans="1:20" x14ac:dyDescent="0.25">
      <c r="A2936" s="1" t="str">
        <f>HYPERLINK("https://vegkart.atlas.vegvesen.no/#/@160045.2,6696376.5,18/hva:hva%5B0%5D%5Bfilter%5D%5B0%5D%5Boperator%5D=%21%3D&amp;hva%5B0%5D%5Bfilter%5D%5B0%5D%5Btype_id%5D=8917&amp;hva%5B0%5D%5Bfilter%5D%5B0%5D%5Bverdi%5D=&amp;hva%5B0%5D%5Bid%5D=49/når:2016-08-18", "Vegkart")</f>
        <v>Vegkart</v>
      </c>
      <c r="B2936">
        <v>725993213</v>
      </c>
      <c r="C2936">
        <v>49</v>
      </c>
      <c r="D2936" t="s">
        <v>8701</v>
      </c>
      <c r="E2936">
        <v>8917</v>
      </c>
      <c r="F2936" t="s">
        <v>23479</v>
      </c>
      <c r="G2936">
        <v>1</v>
      </c>
      <c r="H2936" t="s">
        <v>70</v>
      </c>
      <c r="J2936" t="s">
        <v>9740</v>
      </c>
      <c r="K2936" t="s">
        <v>307</v>
      </c>
      <c r="L2936" t="s">
        <v>33</v>
      </c>
      <c r="M2936" t="s">
        <v>9752</v>
      </c>
      <c r="N2936" t="s">
        <v>9753</v>
      </c>
      <c r="O2936" t="s">
        <v>9754</v>
      </c>
      <c r="P2936" s="2" t="s">
        <v>26</v>
      </c>
      <c r="Q2936" t="s">
        <v>50</v>
      </c>
      <c r="R2936">
        <v>0.92</v>
      </c>
      <c r="S2936">
        <v>0.92</v>
      </c>
      <c r="T2936" t="s">
        <v>9755</v>
      </c>
    </row>
    <row r="2937" spans="1:20" x14ac:dyDescent="0.25">
      <c r="A2937" s="1" t="str">
        <f>HYPERLINK("https://vegkart.atlas.vegvesen.no/#/@-43838.4,6742392.3,18/hva:hva%5B0%5D%5Bfilter%5D%5B0%5D%5Boperator%5D=%21%3D&amp;hva%5B0%5D%5Bfilter%5D%5B0%5D%5Btype_id%5D=8917&amp;hva%5B0%5D%5Bfilter%5D%5B0%5D%5Bverdi%5D=&amp;hva%5B0%5D%5Bid%5D=49/når:2016-08-21", "Vegkart")</f>
        <v>Vegkart</v>
      </c>
      <c r="B2937">
        <v>726136057</v>
      </c>
      <c r="C2937">
        <v>49</v>
      </c>
      <c r="D2937" t="s">
        <v>8701</v>
      </c>
      <c r="E2937">
        <v>8917</v>
      </c>
      <c r="F2937" t="s">
        <v>23479</v>
      </c>
      <c r="G2937">
        <v>1</v>
      </c>
      <c r="H2937" t="s">
        <v>9756</v>
      </c>
      <c r="J2937" t="s">
        <v>9729</v>
      </c>
      <c r="K2937" t="s">
        <v>21</v>
      </c>
      <c r="L2937" t="s">
        <v>22</v>
      </c>
      <c r="M2937" t="s">
        <v>9757</v>
      </c>
      <c r="N2937" t="s">
        <v>9758</v>
      </c>
      <c r="O2937" t="s">
        <v>9759</v>
      </c>
      <c r="P2937" s="2" t="s">
        <v>26</v>
      </c>
      <c r="Q2937" t="s">
        <v>50</v>
      </c>
      <c r="R2937">
        <v>3.84</v>
      </c>
      <c r="S2937">
        <v>3.84</v>
      </c>
      <c r="T2937" t="s">
        <v>9760</v>
      </c>
    </row>
    <row r="2938" spans="1:20" x14ac:dyDescent="0.25">
      <c r="A2938" s="1" t="str">
        <f>HYPERLINK("https://vegkart.atlas.vegvesen.no/#/@-40246.2,6743102.6,18/hva:hva%5B0%5D%5Bfilter%5D%5B0%5D%5Boperator%5D=%21%3D&amp;hva%5B0%5D%5Bfilter%5D%5B0%5D%5Btype_id%5D=8917&amp;hva%5B0%5D%5Bfilter%5D%5B0%5D%5Bverdi%5D=&amp;hva%5B0%5D%5Bid%5D=49/når:2016-08-22", "Vegkart")</f>
        <v>Vegkart</v>
      </c>
      <c r="B2938">
        <v>726357139</v>
      </c>
      <c r="C2938">
        <v>49</v>
      </c>
      <c r="D2938" t="s">
        <v>8701</v>
      </c>
      <c r="E2938">
        <v>8917</v>
      </c>
      <c r="F2938" t="s">
        <v>23479</v>
      </c>
      <c r="G2938">
        <v>1</v>
      </c>
      <c r="H2938" t="s">
        <v>9761</v>
      </c>
      <c r="J2938" t="s">
        <v>9729</v>
      </c>
      <c r="K2938" t="s">
        <v>21</v>
      </c>
      <c r="L2938" t="s">
        <v>22</v>
      </c>
      <c r="M2938" t="s">
        <v>9762</v>
      </c>
      <c r="N2938" t="s">
        <v>9763</v>
      </c>
      <c r="O2938" t="s">
        <v>9764</v>
      </c>
      <c r="P2938" s="2" t="s">
        <v>26</v>
      </c>
      <c r="Q2938" t="s">
        <v>50</v>
      </c>
      <c r="R2938">
        <v>1.86</v>
      </c>
      <c r="S2938">
        <v>1.86</v>
      </c>
      <c r="T2938" t="s">
        <v>9765</v>
      </c>
    </row>
    <row r="2939" spans="1:20" x14ac:dyDescent="0.25">
      <c r="A2939" s="1" t="str">
        <f>HYPERLINK("https://vegkart.atlas.vegvesen.no/#/@-40242.8,6743101.3,18/hva:hva%5B0%5D%5Bfilter%5D%5B0%5D%5Boperator%5D=%21%3D&amp;hva%5B0%5D%5Bfilter%5D%5B0%5D%5Btype_id%5D=8917&amp;hva%5B0%5D%5Bfilter%5D%5B0%5D%5Bverdi%5D=&amp;hva%5B0%5D%5Bid%5D=49/når:2016-08-22", "Vegkart")</f>
        <v>Vegkart</v>
      </c>
      <c r="B2939">
        <v>726357148</v>
      </c>
      <c r="C2939">
        <v>49</v>
      </c>
      <c r="D2939" t="s">
        <v>8701</v>
      </c>
      <c r="E2939">
        <v>8917</v>
      </c>
      <c r="F2939" t="s">
        <v>23479</v>
      </c>
      <c r="G2939">
        <v>1</v>
      </c>
      <c r="H2939" t="s">
        <v>9761</v>
      </c>
      <c r="J2939" t="s">
        <v>9740</v>
      </c>
      <c r="K2939" t="s">
        <v>21</v>
      </c>
      <c r="L2939" t="s">
        <v>22</v>
      </c>
      <c r="M2939" t="s">
        <v>9762</v>
      </c>
      <c r="N2939" t="s">
        <v>9766</v>
      </c>
      <c r="O2939" t="s">
        <v>9767</v>
      </c>
      <c r="P2939" s="2" t="s">
        <v>26</v>
      </c>
      <c r="Q2939" t="s">
        <v>50</v>
      </c>
      <c r="R2939">
        <v>1.51</v>
      </c>
      <c r="S2939">
        <v>1.51</v>
      </c>
      <c r="T2939" t="s">
        <v>9768</v>
      </c>
    </row>
    <row r="2940" spans="1:20" x14ac:dyDescent="0.25">
      <c r="A2940" s="1" t="str">
        <f>HYPERLINK("https://vegkart.atlas.vegvesen.no/#/@-38727.2,6737300.5,18/hva:hva%5B0%5D%5Bfilter%5D%5B0%5D%5Boperator%5D=%21%3D&amp;hva%5B0%5D%5Bfilter%5D%5B0%5D%5Btype_id%5D=8917&amp;hva%5B0%5D%5Bfilter%5D%5B0%5D%5Bverdi%5D=&amp;hva%5B0%5D%5Bid%5D=49/når:2016-08-22", "Vegkart")</f>
        <v>Vegkart</v>
      </c>
      <c r="B2940">
        <v>726357466</v>
      </c>
      <c r="C2940">
        <v>49</v>
      </c>
      <c r="D2940" t="s">
        <v>8701</v>
      </c>
      <c r="E2940">
        <v>8917</v>
      </c>
      <c r="F2940" t="s">
        <v>23479</v>
      </c>
      <c r="G2940">
        <v>1</v>
      </c>
      <c r="H2940" t="s">
        <v>9761</v>
      </c>
      <c r="J2940" t="s">
        <v>9729</v>
      </c>
      <c r="K2940" t="s">
        <v>21</v>
      </c>
      <c r="L2940" t="s">
        <v>22</v>
      </c>
      <c r="M2940" t="s">
        <v>9769</v>
      </c>
      <c r="N2940" t="s">
        <v>9770</v>
      </c>
      <c r="O2940" t="s">
        <v>9771</v>
      </c>
      <c r="P2940" s="2" t="s">
        <v>26</v>
      </c>
      <c r="Q2940" t="s">
        <v>50</v>
      </c>
      <c r="R2940">
        <v>12.79</v>
      </c>
      <c r="S2940">
        <v>12.91</v>
      </c>
      <c r="T2940" t="s">
        <v>9772</v>
      </c>
    </row>
    <row r="2941" spans="1:20" x14ac:dyDescent="0.25">
      <c r="A2941" s="1" t="str">
        <f>HYPERLINK("https://vegkart.atlas.vegvesen.no/#/@-39134.8,6778948.4,18/hva:hva%5B0%5D%5Bfilter%5D%5B0%5D%5Boperator%5D=%21%3D&amp;hva%5B0%5D%5Bfilter%5D%5B0%5D%5Btype_id%5D=8917&amp;hva%5B0%5D%5Bfilter%5D%5B0%5D%5Bverdi%5D=&amp;hva%5B0%5D%5Bid%5D=49/når:2016-08-09", "Vegkart")</f>
        <v>Vegkart</v>
      </c>
      <c r="B2941">
        <v>726393546</v>
      </c>
      <c r="C2941">
        <v>49</v>
      </c>
      <c r="D2941" t="s">
        <v>8701</v>
      </c>
      <c r="E2941">
        <v>8917</v>
      </c>
      <c r="F2941" t="s">
        <v>23479</v>
      </c>
      <c r="G2941">
        <v>1</v>
      </c>
      <c r="H2941" t="s">
        <v>9773</v>
      </c>
      <c r="J2941" t="s">
        <v>9729</v>
      </c>
      <c r="K2941" t="s">
        <v>21</v>
      </c>
      <c r="L2941" t="s">
        <v>22</v>
      </c>
      <c r="M2941" t="s">
        <v>9774</v>
      </c>
      <c r="N2941" t="s">
        <v>9775</v>
      </c>
      <c r="O2941" t="s">
        <v>9776</v>
      </c>
      <c r="P2941" s="2" t="s">
        <v>26</v>
      </c>
      <c r="Q2941" t="s">
        <v>50</v>
      </c>
      <c r="R2941">
        <v>9.3699999999999992</v>
      </c>
      <c r="S2941">
        <v>9.3699999999999992</v>
      </c>
      <c r="T2941" t="s">
        <v>9777</v>
      </c>
    </row>
    <row r="2942" spans="1:20" x14ac:dyDescent="0.25">
      <c r="A2942" s="1" t="str">
        <f>HYPERLINK("https://vegkart.atlas.vegvesen.no/#/@99167.4,6981102.7,18/hva:hva%5B0%5D%5Bfilter%5D%5B0%5D%5Boperator%5D=%21%3D&amp;hva%5B0%5D%5Bfilter%5D%5B0%5D%5Btype_id%5D=8917&amp;hva%5B0%5D%5Bfilter%5D%5B0%5D%5Bverdi%5D=&amp;hva%5B0%5D%5Bid%5D=49/når:2017-03-02", "Vegkart")</f>
        <v>Vegkart</v>
      </c>
      <c r="B2942">
        <v>729543429</v>
      </c>
      <c r="C2942">
        <v>49</v>
      </c>
      <c r="D2942" t="s">
        <v>8701</v>
      </c>
      <c r="E2942">
        <v>8917</v>
      </c>
      <c r="F2942" t="s">
        <v>23479</v>
      </c>
      <c r="G2942">
        <v>2</v>
      </c>
      <c r="H2942" t="s">
        <v>9778</v>
      </c>
      <c r="J2942" t="s">
        <v>9740</v>
      </c>
      <c r="K2942" t="s">
        <v>32</v>
      </c>
      <c r="L2942" t="s">
        <v>33</v>
      </c>
      <c r="M2942" t="s">
        <v>9779</v>
      </c>
      <c r="N2942" t="s">
        <v>9780</v>
      </c>
      <c r="O2942" t="s">
        <v>9781</v>
      </c>
      <c r="P2942" s="2" t="s">
        <v>26</v>
      </c>
      <c r="Q2942" t="s">
        <v>50</v>
      </c>
      <c r="R2942">
        <v>2.84</v>
      </c>
      <c r="S2942">
        <v>2.84</v>
      </c>
      <c r="T2942" t="s">
        <v>9782</v>
      </c>
    </row>
    <row r="2943" spans="1:20" x14ac:dyDescent="0.25">
      <c r="A2943" s="1" t="str">
        <f>HYPERLINK("https://vegkart.atlas.vegvesen.no/#/@99200.3,6981095.5,18/hva:hva%5B0%5D%5Bfilter%5D%5B0%5D%5Boperator%5D=%21%3D&amp;hva%5B0%5D%5Bfilter%5D%5B0%5D%5Btype_id%5D=8917&amp;hva%5B0%5D%5Bfilter%5D%5B0%5D%5Bverdi%5D=&amp;hva%5B0%5D%5Bid%5D=49/når:2017-03-02", "Vegkart")</f>
        <v>Vegkart</v>
      </c>
      <c r="B2943">
        <v>729543435</v>
      </c>
      <c r="C2943">
        <v>49</v>
      </c>
      <c r="D2943" t="s">
        <v>8701</v>
      </c>
      <c r="E2943">
        <v>8917</v>
      </c>
      <c r="F2943" t="s">
        <v>23479</v>
      </c>
      <c r="G2943">
        <v>2</v>
      </c>
      <c r="H2943" t="s">
        <v>9778</v>
      </c>
      <c r="J2943" t="s">
        <v>9740</v>
      </c>
      <c r="K2943" t="s">
        <v>32</v>
      </c>
      <c r="L2943" t="s">
        <v>33</v>
      </c>
      <c r="M2943" t="s">
        <v>9779</v>
      </c>
      <c r="N2943" t="s">
        <v>9783</v>
      </c>
      <c r="O2943" t="s">
        <v>9784</v>
      </c>
      <c r="P2943" s="2" t="s">
        <v>26</v>
      </c>
      <c r="Q2943" t="s">
        <v>50</v>
      </c>
      <c r="R2943">
        <v>7.87</v>
      </c>
      <c r="S2943">
        <v>7.87</v>
      </c>
      <c r="T2943" t="s">
        <v>9785</v>
      </c>
    </row>
    <row r="2944" spans="1:20" x14ac:dyDescent="0.25">
      <c r="A2944" s="1" t="str">
        <f>HYPERLINK("https://vegkart.atlas.vegvesen.no/#/@5997846.2,813439.4,18/hva:hva%5B0%5D%5Bfilter%5D%5B0%5D%5Boperator%5D=%21%3D&amp;hva%5B0%5D%5Bfilter%5D%5B0%5D%5Btype_id%5D=8917&amp;hva%5B0%5D%5Bfilter%5D%5B0%5D%5Bverdi%5D=&amp;hva%5B0%5D%5Bid%5D=49/når:2016-08-30", "Vegkart")</f>
        <v>Vegkart</v>
      </c>
      <c r="B2944">
        <v>730028205</v>
      </c>
      <c r="C2944">
        <v>49</v>
      </c>
      <c r="D2944" t="s">
        <v>8701</v>
      </c>
      <c r="E2944">
        <v>8917</v>
      </c>
      <c r="F2944" t="s">
        <v>23479</v>
      </c>
      <c r="G2944">
        <v>1</v>
      </c>
      <c r="H2944" t="s">
        <v>9786</v>
      </c>
      <c r="J2944" t="s">
        <v>9787</v>
      </c>
      <c r="K2944" t="s">
        <v>170</v>
      </c>
      <c r="L2944" t="s">
        <v>22</v>
      </c>
      <c r="M2944" t="s">
        <v>9788</v>
      </c>
      <c r="N2944" t="s">
        <v>9789</v>
      </c>
      <c r="O2944" t="s">
        <v>9790</v>
      </c>
      <c r="P2944" s="2" t="s">
        <v>37</v>
      </c>
      <c r="Q2944" t="s">
        <v>1208</v>
      </c>
      <c r="R2944">
        <v>2.0699999999999998</v>
      </c>
      <c r="S2944">
        <v>41.88</v>
      </c>
      <c r="T2944" t="s">
        <v>9791</v>
      </c>
    </row>
    <row r="2945" spans="1:20" x14ac:dyDescent="0.25">
      <c r="A2945" s="1" t="str">
        <f>HYPERLINK("https://vegkart.atlas.vegvesen.no/#/@99182.5,6981082.8,18/hva:hva%5B0%5D%5Bfilter%5D%5B0%5D%5Boperator%5D=%21%3D&amp;hva%5B0%5D%5Bfilter%5D%5B0%5D%5Btype_id%5D=8917&amp;hva%5B0%5D%5Bfilter%5D%5B0%5D%5Bverdi%5D=&amp;hva%5B0%5D%5Bid%5D=49/når:2017-03-02", "Vegkart")</f>
        <v>Vegkart</v>
      </c>
      <c r="B2945">
        <v>731271782</v>
      </c>
      <c r="C2945">
        <v>49</v>
      </c>
      <c r="D2945" t="s">
        <v>8701</v>
      </c>
      <c r="E2945">
        <v>8917</v>
      </c>
      <c r="F2945" t="s">
        <v>23479</v>
      </c>
      <c r="G2945">
        <v>2</v>
      </c>
      <c r="H2945" t="s">
        <v>9778</v>
      </c>
      <c r="J2945" t="s">
        <v>9740</v>
      </c>
      <c r="K2945" t="s">
        <v>32</v>
      </c>
      <c r="L2945" t="s">
        <v>33</v>
      </c>
      <c r="M2945" t="s">
        <v>9779</v>
      </c>
      <c r="N2945" t="s">
        <v>9792</v>
      </c>
      <c r="O2945" t="s">
        <v>9793</v>
      </c>
      <c r="P2945" s="2" t="s">
        <v>26</v>
      </c>
      <c r="Q2945" t="s">
        <v>50</v>
      </c>
      <c r="R2945">
        <v>1.65</v>
      </c>
      <c r="S2945">
        <v>1.65</v>
      </c>
      <c r="T2945" t="s">
        <v>9794</v>
      </c>
    </row>
    <row r="2946" spans="1:20" x14ac:dyDescent="0.25">
      <c r="A2946" s="1" t="str">
        <f>HYPERLINK("https://vegkart.atlas.vegvesen.no/#/@99182.3,6981076.6,18/hva:hva%5B0%5D%5Bfilter%5D%5B0%5D%5Boperator%5D=%21%3D&amp;hva%5B0%5D%5Bfilter%5D%5B0%5D%5Btype_id%5D=8917&amp;hva%5B0%5D%5Bfilter%5D%5B0%5D%5Bverdi%5D=&amp;hva%5B0%5D%5Bid%5D=49/når:2017-03-02", "Vegkart")</f>
        <v>Vegkart</v>
      </c>
      <c r="B2946">
        <v>731271784</v>
      </c>
      <c r="C2946">
        <v>49</v>
      </c>
      <c r="D2946" t="s">
        <v>8701</v>
      </c>
      <c r="E2946">
        <v>8917</v>
      </c>
      <c r="F2946" t="s">
        <v>23479</v>
      </c>
      <c r="G2946">
        <v>2</v>
      </c>
      <c r="H2946" t="s">
        <v>9778</v>
      </c>
      <c r="J2946" t="s">
        <v>9740</v>
      </c>
      <c r="K2946" t="s">
        <v>32</v>
      </c>
      <c r="L2946" t="s">
        <v>33</v>
      </c>
      <c r="M2946" t="s">
        <v>9779</v>
      </c>
      <c r="N2946" t="s">
        <v>9792</v>
      </c>
      <c r="O2946" t="s">
        <v>9795</v>
      </c>
      <c r="P2946" s="2" t="s">
        <v>26</v>
      </c>
      <c r="Q2946" t="s">
        <v>50</v>
      </c>
      <c r="R2946">
        <v>1.08</v>
      </c>
      <c r="S2946">
        <v>1.08</v>
      </c>
      <c r="T2946" t="s">
        <v>9796</v>
      </c>
    </row>
    <row r="2947" spans="1:20" x14ac:dyDescent="0.25">
      <c r="A2947" s="1" t="str">
        <f>HYPERLINK("https://vegkart.atlas.vegvesen.no/#/@-50239.2,6624502.2,18/hva:hva%5B0%5D%5Bfilter%5D%5B0%5D%5Boperator%5D=%21%3D&amp;hva%5B0%5D%5Bfilter%5D%5B0%5D%5Btype_id%5D=8917&amp;hva%5B0%5D%5Bfilter%5D%5B0%5D%5Bverdi%5D=&amp;hva%5B0%5D%5Bid%5D=49/når:2016-09-12", "Vegkart")</f>
        <v>Vegkart</v>
      </c>
      <c r="B2947">
        <v>735228610</v>
      </c>
      <c r="C2947">
        <v>49</v>
      </c>
      <c r="D2947" t="s">
        <v>8701</v>
      </c>
      <c r="E2947">
        <v>8917</v>
      </c>
      <c r="F2947" t="s">
        <v>23479</v>
      </c>
      <c r="G2947">
        <v>1</v>
      </c>
      <c r="H2947" t="s">
        <v>9797</v>
      </c>
      <c r="J2947" t="s">
        <v>9729</v>
      </c>
      <c r="K2947" t="s">
        <v>170</v>
      </c>
      <c r="L2947" t="s">
        <v>22</v>
      </c>
      <c r="M2947" t="s">
        <v>9798</v>
      </c>
      <c r="N2947" t="s">
        <v>9799</v>
      </c>
      <c r="O2947" t="s">
        <v>9800</v>
      </c>
      <c r="P2947" s="2" t="s">
        <v>26</v>
      </c>
      <c r="Q2947" t="s">
        <v>50</v>
      </c>
      <c r="R2947">
        <v>10.42</v>
      </c>
      <c r="S2947">
        <v>10.42</v>
      </c>
      <c r="T2947" t="s">
        <v>9801</v>
      </c>
    </row>
    <row r="2948" spans="1:20" x14ac:dyDescent="0.25">
      <c r="A2948" s="1" t="str">
        <f>HYPERLINK("https://vegkart.atlas.vegvesen.no/#/@-49511.7,6624641.0,18/hva:hva%5B0%5D%5Bfilter%5D%5B0%5D%5Boperator%5D=%21%3D&amp;hva%5B0%5D%5Bfilter%5D%5B0%5D%5Btype_id%5D=8917&amp;hva%5B0%5D%5Bfilter%5D%5B0%5D%5Bverdi%5D=&amp;hva%5B0%5D%5Bid%5D=49/når:2021-04-29", "Vegkart")</f>
        <v>Vegkart</v>
      </c>
      <c r="B2948">
        <v>735465394</v>
      </c>
      <c r="C2948">
        <v>49</v>
      </c>
      <c r="D2948" t="s">
        <v>8701</v>
      </c>
      <c r="E2948">
        <v>8917</v>
      </c>
      <c r="F2948" t="s">
        <v>23479</v>
      </c>
      <c r="G2948">
        <v>2</v>
      </c>
      <c r="H2948" t="s">
        <v>9802</v>
      </c>
      <c r="J2948" t="s">
        <v>9729</v>
      </c>
      <c r="K2948" t="s">
        <v>170</v>
      </c>
      <c r="L2948" t="s">
        <v>22</v>
      </c>
      <c r="M2948" t="s">
        <v>9803</v>
      </c>
      <c r="N2948" t="s">
        <v>9804</v>
      </c>
      <c r="O2948" t="s">
        <v>9805</v>
      </c>
      <c r="P2948" s="2" t="s">
        <v>26</v>
      </c>
      <c r="Q2948" t="s">
        <v>50</v>
      </c>
      <c r="R2948">
        <v>22.17</v>
      </c>
      <c r="S2948">
        <v>22.17</v>
      </c>
      <c r="T2948" t="s">
        <v>9806</v>
      </c>
    </row>
    <row r="2949" spans="1:20" x14ac:dyDescent="0.25">
      <c r="A2949" s="1" t="str">
        <f>HYPERLINK("https://vegkart.atlas.vegvesen.no/#/@31727.4,6694388.4,18/hva:hva%5B0%5D%5Bfilter%5D%5B0%5D%5Boperator%5D=%21%3D&amp;hva%5B0%5D%5Bfilter%5D%5B0%5D%5Btype_id%5D=8917&amp;hva%5B0%5D%5Bfilter%5D%5B0%5D%5Bverdi%5D=&amp;hva%5B0%5D%5Bid%5D=49/når:2016-10-06", "Vegkart")</f>
        <v>Vegkart</v>
      </c>
      <c r="B2949">
        <v>743569302</v>
      </c>
      <c r="C2949">
        <v>49</v>
      </c>
      <c r="D2949" t="s">
        <v>8701</v>
      </c>
      <c r="E2949">
        <v>8917</v>
      </c>
      <c r="F2949" t="s">
        <v>23479</v>
      </c>
      <c r="G2949">
        <v>1</v>
      </c>
      <c r="H2949" t="s">
        <v>9807</v>
      </c>
      <c r="J2949" t="s">
        <v>9740</v>
      </c>
      <c r="K2949" t="s">
        <v>21</v>
      </c>
      <c r="L2949" t="s">
        <v>22</v>
      </c>
      <c r="M2949" t="s">
        <v>9808</v>
      </c>
      <c r="N2949" t="s">
        <v>9809</v>
      </c>
      <c r="O2949" t="s">
        <v>9810</v>
      </c>
      <c r="P2949" s="2" t="s">
        <v>37</v>
      </c>
      <c r="Q2949" t="s">
        <v>1208</v>
      </c>
      <c r="R2949">
        <v>1.4</v>
      </c>
      <c r="S2949">
        <v>23.83</v>
      </c>
      <c r="T2949" t="s">
        <v>9811</v>
      </c>
    </row>
    <row r="2950" spans="1:20" x14ac:dyDescent="0.25">
      <c r="A2950" s="1" t="str">
        <f>HYPERLINK("https://vegkart.atlas.vegvesen.no/#/@680220.4,7685469.3,18/hva:hva%5B0%5D%5Bfilter%5D%5B0%5D%5Boperator%5D=%21%3D&amp;hva%5B0%5D%5Bfilter%5D%5B0%5D%5Btype_id%5D=8917&amp;hva%5B0%5D%5Bfilter%5D%5B0%5D%5Bverdi%5D=&amp;hva%5B0%5D%5Bid%5D=49/når:2016-10-05", "Vegkart")</f>
        <v>Vegkart</v>
      </c>
      <c r="B2950">
        <v>743792156</v>
      </c>
      <c r="C2950">
        <v>49</v>
      </c>
      <c r="D2950" t="s">
        <v>8701</v>
      </c>
      <c r="E2950">
        <v>8917</v>
      </c>
      <c r="F2950" t="s">
        <v>23479</v>
      </c>
      <c r="G2950">
        <v>1</v>
      </c>
      <c r="H2950" t="s">
        <v>9812</v>
      </c>
      <c r="J2950" t="s">
        <v>9740</v>
      </c>
      <c r="K2950" t="s">
        <v>179</v>
      </c>
      <c r="L2950" t="s">
        <v>80</v>
      </c>
      <c r="M2950" t="s">
        <v>105</v>
      </c>
      <c r="N2950" t="s">
        <v>9813</v>
      </c>
      <c r="O2950" t="s">
        <v>9814</v>
      </c>
      <c r="P2950" s="2" t="s">
        <v>37</v>
      </c>
      <c r="Q2950" t="s">
        <v>1208</v>
      </c>
      <c r="R2950">
        <v>5.04</v>
      </c>
      <c r="S2950">
        <v>93.83</v>
      </c>
      <c r="T2950" t="s">
        <v>9815</v>
      </c>
    </row>
    <row r="2951" spans="1:20" x14ac:dyDescent="0.25">
      <c r="A2951" s="1" t="str">
        <f>HYPERLINK("https://vegkart.atlas.vegvesen.no/#/@286272.1,6557274.8,18/hva:hva%5B0%5D%5Bfilter%5D%5B0%5D%5Boperator%5D=%21%3D&amp;hva%5B0%5D%5Bfilter%5D%5B0%5D%5Btype_id%5D=8917&amp;hva%5B0%5D%5Bfilter%5D%5B0%5D%5Bverdi%5D=&amp;hva%5B0%5D%5Bid%5D=49/når:2025-10-15", "Vegkart")</f>
        <v>Vegkart</v>
      </c>
      <c r="B2951">
        <v>748378661</v>
      </c>
      <c r="C2951">
        <v>49</v>
      </c>
      <c r="D2951" t="s">
        <v>8701</v>
      </c>
      <c r="E2951">
        <v>8917</v>
      </c>
      <c r="F2951" t="s">
        <v>23479</v>
      </c>
      <c r="G2951">
        <v>3</v>
      </c>
      <c r="H2951" t="s">
        <v>683</v>
      </c>
      <c r="J2951" t="s">
        <v>5974</v>
      </c>
      <c r="K2951" t="s">
        <v>104</v>
      </c>
      <c r="L2951" t="s">
        <v>33</v>
      </c>
      <c r="M2951" t="s">
        <v>8802</v>
      </c>
      <c r="N2951" t="s">
        <v>9816</v>
      </c>
      <c r="O2951" t="s">
        <v>9817</v>
      </c>
      <c r="P2951" s="2" t="s">
        <v>37</v>
      </c>
      <c r="Q2951" t="s">
        <v>1208</v>
      </c>
      <c r="R2951">
        <v>0</v>
      </c>
      <c r="S2951">
        <v>33.340000000000003</v>
      </c>
      <c r="T2951" t="s">
        <v>9818</v>
      </c>
    </row>
    <row r="2952" spans="1:20" x14ac:dyDescent="0.25">
      <c r="A2952" s="1" t="str">
        <f>HYPERLINK("https://vegkart.atlas.vegvesen.no/#/@262610.4,6648900.9,18/hva:hva%5B0%5D%5Bfilter%5D%5B0%5D%5Boperator%5D=%21%3D&amp;hva%5B0%5D%5Bfilter%5D%5B0%5D%5Btype_id%5D=8917&amp;hva%5B0%5D%5Bfilter%5D%5B0%5D%5Bverdi%5D=&amp;hva%5B0%5D%5Bid%5D=49/når:2021-01-27", "Vegkart")</f>
        <v>Vegkart</v>
      </c>
      <c r="B2952">
        <v>749086850</v>
      </c>
      <c r="C2952">
        <v>49</v>
      </c>
      <c r="D2952" t="s">
        <v>8701</v>
      </c>
      <c r="E2952">
        <v>8917</v>
      </c>
      <c r="F2952" t="s">
        <v>23479</v>
      </c>
      <c r="G2952">
        <v>2</v>
      </c>
      <c r="H2952" t="s">
        <v>9819</v>
      </c>
      <c r="J2952" t="s">
        <v>5974</v>
      </c>
      <c r="K2952" t="s">
        <v>335</v>
      </c>
      <c r="L2952" t="s">
        <v>80</v>
      </c>
      <c r="M2952" t="s">
        <v>53</v>
      </c>
      <c r="N2952" t="s">
        <v>9820</v>
      </c>
      <c r="O2952" t="s">
        <v>9821</v>
      </c>
      <c r="P2952" s="2" t="s">
        <v>37</v>
      </c>
      <c r="Q2952" t="s">
        <v>1208</v>
      </c>
      <c r="R2952">
        <v>0</v>
      </c>
      <c r="S2952">
        <v>22.37</v>
      </c>
      <c r="T2952" t="s">
        <v>9822</v>
      </c>
    </row>
    <row r="2953" spans="1:20" x14ac:dyDescent="0.25">
      <c r="A2953" s="1" t="str">
        <f>HYPERLINK("https://vegkart.atlas.vegvesen.no/#/@262984.1,6648669.8,18/hva:hva%5B0%5D%5Bfilter%5D%5B0%5D%5Boperator%5D=%21%3D&amp;hva%5B0%5D%5Bfilter%5D%5B0%5D%5Btype_id%5D=8917&amp;hva%5B0%5D%5Bfilter%5D%5B0%5D%5Bverdi%5D=&amp;hva%5B0%5D%5Bid%5D=49/når:2021-02-17", "Vegkart")</f>
        <v>Vegkart</v>
      </c>
      <c r="B2953">
        <v>749086852</v>
      </c>
      <c r="C2953">
        <v>49</v>
      </c>
      <c r="D2953" t="s">
        <v>8701</v>
      </c>
      <c r="E2953">
        <v>8917</v>
      </c>
      <c r="F2953" t="s">
        <v>23479</v>
      </c>
      <c r="G2953">
        <v>2</v>
      </c>
      <c r="H2953" t="s">
        <v>9823</v>
      </c>
      <c r="J2953" t="s">
        <v>5974</v>
      </c>
      <c r="K2953" t="s">
        <v>335</v>
      </c>
      <c r="L2953" t="s">
        <v>80</v>
      </c>
      <c r="M2953" t="s">
        <v>53</v>
      </c>
      <c r="N2953" t="s">
        <v>9824</v>
      </c>
      <c r="O2953" t="s">
        <v>9825</v>
      </c>
      <c r="P2953" s="2" t="s">
        <v>37</v>
      </c>
      <c r="Q2953" t="s">
        <v>1208</v>
      </c>
      <c r="R2953">
        <v>0</v>
      </c>
      <c r="S2953">
        <v>8.4600000000000009</v>
      </c>
      <c r="T2953" t="s">
        <v>9826</v>
      </c>
    </row>
    <row r="2954" spans="1:20" x14ac:dyDescent="0.25">
      <c r="A2954" s="1" t="str">
        <f>HYPERLINK("https://vegkart.atlas.vegvesen.no/#/@262912.3,6648700.6,18/hva:hva%5B0%5D%5Bfilter%5D%5B0%5D%5Boperator%5D=%21%3D&amp;hva%5B0%5D%5Bfilter%5D%5B0%5D%5Btype_id%5D=8917&amp;hva%5B0%5D%5Bfilter%5D%5B0%5D%5Bverdi%5D=&amp;hva%5B0%5D%5Bid%5D=49/når:2016-09-26", "Vegkart")</f>
        <v>Vegkart</v>
      </c>
      <c r="B2954">
        <v>749086853</v>
      </c>
      <c r="C2954">
        <v>49</v>
      </c>
      <c r="D2954" t="s">
        <v>8701</v>
      </c>
      <c r="E2954">
        <v>8917</v>
      </c>
      <c r="F2954" t="s">
        <v>23479</v>
      </c>
      <c r="G2954">
        <v>1</v>
      </c>
      <c r="H2954" t="s">
        <v>1545</v>
      </c>
      <c r="J2954" t="s">
        <v>5974</v>
      </c>
      <c r="K2954" t="s">
        <v>335</v>
      </c>
      <c r="L2954" t="s">
        <v>80</v>
      </c>
      <c r="M2954" t="s">
        <v>53</v>
      </c>
      <c r="N2954" t="s">
        <v>9827</v>
      </c>
      <c r="O2954" t="s">
        <v>9828</v>
      </c>
      <c r="P2954" s="2" t="s">
        <v>37</v>
      </c>
      <c r="Q2954" t="s">
        <v>1208</v>
      </c>
      <c r="R2954">
        <v>0</v>
      </c>
      <c r="S2954">
        <v>8.4600000000000009</v>
      </c>
      <c r="T2954" t="s">
        <v>9829</v>
      </c>
    </row>
    <row r="2955" spans="1:20" x14ac:dyDescent="0.25">
      <c r="A2955" s="1" t="str">
        <f>HYPERLINK("https://vegkart.atlas.vegvesen.no/#/@262979.9,6648662.3,18/hva:hva%5B0%5D%5Bfilter%5D%5B0%5D%5Boperator%5D=%21%3D&amp;hva%5B0%5D%5Bfilter%5D%5B0%5D%5Btype_id%5D=8917&amp;hva%5B0%5D%5Bfilter%5D%5B0%5D%5Bverdi%5D=&amp;hva%5B0%5D%5Bid%5D=49/når:2021-02-17", "Vegkart")</f>
        <v>Vegkart</v>
      </c>
      <c r="B2955">
        <v>749086854</v>
      </c>
      <c r="C2955">
        <v>49</v>
      </c>
      <c r="D2955" t="s">
        <v>8701</v>
      </c>
      <c r="E2955">
        <v>8917</v>
      </c>
      <c r="F2955" t="s">
        <v>23479</v>
      </c>
      <c r="G2955">
        <v>2</v>
      </c>
      <c r="H2955" t="s">
        <v>9823</v>
      </c>
      <c r="J2955" t="s">
        <v>5974</v>
      </c>
      <c r="K2955" t="s">
        <v>335</v>
      </c>
      <c r="L2955" t="s">
        <v>80</v>
      </c>
      <c r="M2955" t="s">
        <v>53</v>
      </c>
      <c r="N2955" t="s">
        <v>9830</v>
      </c>
      <c r="O2955" t="s">
        <v>9831</v>
      </c>
      <c r="P2955" s="2" t="s">
        <v>37</v>
      </c>
      <c r="Q2955" t="s">
        <v>1208</v>
      </c>
      <c r="R2955">
        <v>0</v>
      </c>
      <c r="S2955">
        <v>8.4700000000000006</v>
      </c>
      <c r="T2955" t="s">
        <v>9832</v>
      </c>
    </row>
    <row r="2956" spans="1:20" x14ac:dyDescent="0.25">
      <c r="A2956" s="1" t="str">
        <f>HYPERLINK("https://vegkart.atlas.vegvesen.no/#/@262916.5,6648708.0,18/hva:hva%5B0%5D%5Bfilter%5D%5B0%5D%5Boperator%5D=%21%3D&amp;hva%5B0%5D%5Bfilter%5D%5B0%5D%5Btype_id%5D=8917&amp;hva%5B0%5D%5Bfilter%5D%5B0%5D%5Bverdi%5D=&amp;hva%5B0%5D%5Bid%5D=49/når:2016-09-26", "Vegkart")</f>
        <v>Vegkart</v>
      </c>
      <c r="B2956">
        <v>749086855</v>
      </c>
      <c r="C2956">
        <v>49</v>
      </c>
      <c r="D2956" t="s">
        <v>8701</v>
      </c>
      <c r="E2956">
        <v>8917</v>
      </c>
      <c r="F2956" t="s">
        <v>23479</v>
      </c>
      <c r="G2956">
        <v>1</v>
      </c>
      <c r="H2956" t="s">
        <v>1545</v>
      </c>
      <c r="J2956" t="s">
        <v>5974</v>
      </c>
      <c r="K2956" t="s">
        <v>335</v>
      </c>
      <c r="L2956" t="s">
        <v>80</v>
      </c>
      <c r="M2956" t="s">
        <v>53</v>
      </c>
      <c r="N2956" t="s">
        <v>9833</v>
      </c>
      <c r="O2956" t="s">
        <v>9834</v>
      </c>
      <c r="P2956" s="2" t="s">
        <v>37</v>
      </c>
      <c r="Q2956" t="s">
        <v>1208</v>
      </c>
      <c r="R2956">
        <v>0</v>
      </c>
      <c r="S2956">
        <v>8.48</v>
      </c>
      <c r="T2956" t="s">
        <v>9835</v>
      </c>
    </row>
    <row r="2957" spans="1:20" x14ac:dyDescent="0.25">
      <c r="A2957" s="1" t="str">
        <f>HYPERLINK("https://vegkart.atlas.vegvesen.no/#/@263029.0,6648624.2,18/hva:hva%5B0%5D%5Bfilter%5D%5B0%5D%5Boperator%5D=%21%3D&amp;hva%5B0%5D%5Bfilter%5D%5B0%5D%5Btype_id%5D=8917&amp;hva%5B0%5D%5Bfilter%5D%5B0%5D%5Bverdi%5D=&amp;hva%5B0%5D%5Bid%5D=49/når:2016-09-26", "Vegkart")</f>
        <v>Vegkart</v>
      </c>
      <c r="B2957">
        <v>749086856</v>
      </c>
      <c r="C2957">
        <v>49</v>
      </c>
      <c r="D2957" t="s">
        <v>8701</v>
      </c>
      <c r="E2957">
        <v>8917</v>
      </c>
      <c r="F2957" t="s">
        <v>23479</v>
      </c>
      <c r="G2957">
        <v>1</v>
      </c>
      <c r="H2957" t="s">
        <v>1545</v>
      </c>
      <c r="J2957" t="s">
        <v>5974</v>
      </c>
      <c r="K2957" t="s">
        <v>335</v>
      </c>
      <c r="L2957" t="s">
        <v>80</v>
      </c>
      <c r="M2957" t="s">
        <v>53</v>
      </c>
      <c r="N2957" t="s">
        <v>9836</v>
      </c>
      <c r="O2957" t="s">
        <v>9837</v>
      </c>
      <c r="P2957" s="2" t="s">
        <v>37</v>
      </c>
      <c r="Q2957" t="s">
        <v>1208</v>
      </c>
      <c r="R2957">
        <v>0</v>
      </c>
      <c r="S2957">
        <v>24.79</v>
      </c>
      <c r="T2957" t="s">
        <v>9838</v>
      </c>
    </row>
    <row r="2958" spans="1:20" x14ac:dyDescent="0.25">
      <c r="A2958" s="1" t="str">
        <f>HYPERLINK("https://vegkart.atlas.vegvesen.no/#/@265426.5,6635735.3,18/hva:hva%5B0%5D%5Bfilter%5D%5B0%5D%5Boperator%5D=%21%3D&amp;hva%5B0%5D%5Bfilter%5D%5B0%5D%5Btype_id%5D=8917&amp;hva%5B0%5D%5Bfilter%5D%5B0%5D%5Bverdi%5D=&amp;hva%5B0%5D%5Bid%5D=49/når:2016-10-01", "Vegkart")</f>
        <v>Vegkart</v>
      </c>
      <c r="B2958">
        <v>759037599</v>
      </c>
      <c r="C2958">
        <v>49</v>
      </c>
      <c r="D2958" t="s">
        <v>8701</v>
      </c>
      <c r="E2958">
        <v>8917</v>
      </c>
      <c r="F2958" t="s">
        <v>23479</v>
      </c>
      <c r="G2958">
        <v>1</v>
      </c>
      <c r="H2958" t="s">
        <v>472</v>
      </c>
      <c r="J2958" t="s">
        <v>5974</v>
      </c>
      <c r="K2958" t="s">
        <v>132</v>
      </c>
      <c r="L2958" t="s">
        <v>33</v>
      </c>
      <c r="M2958" t="s">
        <v>9839</v>
      </c>
      <c r="N2958" t="s">
        <v>9840</v>
      </c>
      <c r="O2958" t="s">
        <v>9841</v>
      </c>
      <c r="P2958" s="2" t="s">
        <v>165</v>
      </c>
      <c r="Q2958" t="s">
        <v>641</v>
      </c>
      <c r="R2958">
        <v>0</v>
      </c>
      <c r="S2958">
        <v>7.88</v>
      </c>
      <c r="T2958" t="s">
        <v>167</v>
      </c>
    </row>
    <row r="2959" spans="1:20" x14ac:dyDescent="0.25">
      <c r="A2959" s="1" t="str">
        <f>HYPERLINK("https://vegkart.atlas.vegvesen.no/#/@262729.9,6647271.2,18/hva:hva%5B0%5D%5Bfilter%5D%5B0%5D%5Boperator%5D=%21%3D&amp;hva%5B0%5D%5Bfilter%5D%5B0%5D%5Btype_id%5D=8917&amp;hva%5B0%5D%5Bfilter%5D%5B0%5D%5Bverdi%5D=&amp;hva%5B0%5D%5Bid%5D=49/når:2016-10-01", "Vegkart")</f>
        <v>Vegkart</v>
      </c>
      <c r="B2959">
        <v>759199869</v>
      </c>
      <c r="C2959">
        <v>49</v>
      </c>
      <c r="D2959" t="s">
        <v>8701</v>
      </c>
      <c r="E2959">
        <v>8917</v>
      </c>
      <c r="F2959" t="s">
        <v>23479</v>
      </c>
      <c r="G2959">
        <v>1</v>
      </c>
      <c r="H2959" t="s">
        <v>472</v>
      </c>
      <c r="J2959" t="s">
        <v>5974</v>
      </c>
      <c r="K2959" t="s">
        <v>335</v>
      </c>
      <c r="L2959" t="s">
        <v>80</v>
      </c>
      <c r="M2959" t="s">
        <v>53</v>
      </c>
      <c r="N2959" t="s">
        <v>9842</v>
      </c>
      <c r="O2959" t="s">
        <v>9843</v>
      </c>
      <c r="P2959" s="2" t="s">
        <v>37</v>
      </c>
      <c r="Q2959" t="s">
        <v>1208</v>
      </c>
      <c r="R2959">
        <v>0.03</v>
      </c>
      <c r="S2959">
        <v>31.01</v>
      </c>
      <c r="T2959" t="s">
        <v>9844</v>
      </c>
    </row>
    <row r="2960" spans="1:20" x14ac:dyDescent="0.25">
      <c r="A2960" s="1" t="str">
        <f>HYPERLINK("https://vegkart.atlas.vegvesen.no/#/@262755.0,6647281.1,18/hva:hva%5B0%5D%5Bfilter%5D%5B0%5D%5Boperator%5D=%21%3D&amp;hva%5B0%5D%5Bfilter%5D%5B0%5D%5Btype_id%5D=8917&amp;hva%5B0%5D%5Bfilter%5D%5B0%5D%5Bverdi%5D=&amp;hva%5B0%5D%5Bid%5D=49/når:2016-10-01", "Vegkart")</f>
        <v>Vegkart</v>
      </c>
      <c r="B2960">
        <v>759199870</v>
      </c>
      <c r="C2960">
        <v>49</v>
      </c>
      <c r="D2960" t="s">
        <v>8701</v>
      </c>
      <c r="E2960">
        <v>8917</v>
      </c>
      <c r="F2960" t="s">
        <v>23479</v>
      </c>
      <c r="G2960">
        <v>1</v>
      </c>
      <c r="H2960" t="s">
        <v>472</v>
      </c>
      <c r="J2960" t="s">
        <v>5974</v>
      </c>
      <c r="K2960" t="s">
        <v>335</v>
      </c>
      <c r="L2960" t="s">
        <v>80</v>
      </c>
      <c r="M2960" t="s">
        <v>53</v>
      </c>
      <c r="N2960" t="s">
        <v>9845</v>
      </c>
      <c r="O2960" t="s">
        <v>9846</v>
      </c>
      <c r="P2960" s="2" t="s">
        <v>37</v>
      </c>
      <c r="Q2960" t="s">
        <v>1208</v>
      </c>
      <c r="R2960">
        <v>0.01</v>
      </c>
      <c r="S2960">
        <v>87.96</v>
      </c>
      <c r="T2960" t="s">
        <v>9847</v>
      </c>
    </row>
    <row r="2961" spans="1:20" x14ac:dyDescent="0.25">
      <c r="A2961" s="1" t="str">
        <f>HYPERLINK("https://vegkart.atlas.vegvesen.no/#/@262641.7,6647361.5,18/hva:hva%5B0%5D%5Bfilter%5D%5B0%5D%5Boperator%5D=%21%3D&amp;hva%5B0%5D%5Bfilter%5D%5B0%5D%5Btype_id%5D=8917&amp;hva%5B0%5D%5Bfilter%5D%5B0%5D%5Bverdi%5D=&amp;hva%5B0%5D%5Bid%5D=49/når:2016-10-01", "Vegkart")</f>
        <v>Vegkart</v>
      </c>
      <c r="B2961">
        <v>759199871</v>
      </c>
      <c r="C2961">
        <v>49</v>
      </c>
      <c r="D2961" t="s">
        <v>8701</v>
      </c>
      <c r="E2961">
        <v>8917</v>
      </c>
      <c r="F2961" t="s">
        <v>23479</v>
      </c>
      <c r="G2961">
        <v>1</v>
      </c>
      <c r="H2961" t="s">
        <v>472</v>
      </c>
      <c r="J2961" t="s">
        <v>5974</v>
      </c>
      <c r="K2961" t="s">
        <v>335</v>
      </c>
      <c r="L2961" t="s">
        <v>370</v>
      </c>
      <c r="M2961" t="s">
        <v>9848</v>
      </c>
      <c r="N2961" t="s">
        <v>9849</v>
      </c>
      <c r="O2961" t="s">
        <v>9850</v>
      </c>
      <c r="P2961" s="2" t="s">
        <v>37</v>
      </c>
      <c r="Q2961" t="s">
        <v>1208</v>
      </c>
      <c r="R2961">
        <v>0</v>
      </c>
      <c r="S2961">
        <v>10.55</v>
      </c>
      <c r="T2961" t="s">
        <v>9851</v>
      </c>
    </row>
    <row r="2962" spans="1:20" x14ac:dyDescent="0.25">
      <c r="A2962" s="1" t="str">
        <f>HYPERLINK("https://vegkart.atlas.vegvesen.no/#/@258340.1,6650492.5,18/hva:hva%5B0%5D%5Bfilter%5D%5B0%5D%5Boperator%5D=%21%3D&amp;hva%5B0%5D%5Bfilter%5D%5B0%5D%5Btype_id%5D=8917&amp;hva%5B0%5D%5Bfilter%5D%5B0%5D%5Bverdi%5D=&amp;hva%5B0%5D%5Bid%5D=49/når:2016-12-01", "Vegkart")</f>
        <v>Vegkart</v>
      </c>
      <c r="B2962">
        <v>761445222</v>
      </c>
      <c r="C2962">
        <v>49</v>
      </c>
      <c r="D2962" t="s">
        <v>8701</v>
      </c>
      <c r="E2962">
        <v>8917</v>
      </c>
      <c r="F2962" t="s">
        <v>23479</v>
      </c>
      <c r="G2962">
        <v>1</v>
      </c>
      <c r="H2962" t="s">
        <v>6957</v>
      </c>
      <c r="J2962" t="s">
        <v>5974</v>
      </c>
      <c r="K2962" t="s">
        <v>335</v>
      </c>
      <c r="L2962" t="s">
        <v>80</v>
      </c>
      <c r="M2962" t="s">
        <v>53</v>
      </c>
      <c r="N2962" t="s">
        <v>9852</v>
      </c>
      <c r="O2962" t="s">
        <v>9853</v>
      </c>
      <c r="P2962" s="2" t="s">
        <v>37</v>
      </c>
      <c r="Q2962" t="s">
        <v>1208</v>
      </c>
      <c r="R2962">
        <v>0</v>
      </c>
      <c r="S2962">
        <v>78.25</v>
      </c>
      <c r="T2962" t="s">
        <v>9854</v>
      </c>
    </row>
    <row r="2963" spans="1:20" x14ac:dyDescent="0.25">
      <c r="A2963" s="1" t="str">
        <f>HYPERLINK("https://vegkart.atlas.vegvesen.no/#/@258324.0,6650472.4,18/hva:hva%5B0%5D%5Bfilter%5D%5B0%5D%5Boperator%5D=%21%3D&amp;hva%5B0%5D%5Bfilter%5D%5B0%5D%5Btype_id%5D=8917&amp;hva%5B0%5D%5Bfilter%5D%5B0%5D%5Bverdi%5D=&amp;hva%5B0%5D%5Bid%5D=49/når:2022-03-15", "Vegkart")</f>
        <v>Vegkart</v>
      </c>
      <c r="B2963">
        <v>761445223</v>
      </c>
      <c r="C2963">
        <v>49</v>
      </c>
      <c r="D2963" t="s">
        <v>8701</v>
      </c>
      <c r="E2963">
        <v>8917</v>
      </c>
      <c r="F2963" t="s">
        <v>23479</v>
      </c>
      <c r="G2963">
        <v>2</v>
      </c>
      <c r="H2963" t="s">
        <v>7856</v>
      </c>
      <c r="J2963" t="s">
        <v>5974</v>
      </c>
      <c r="K2963" t="s">
        <v>335</v>
      </c>
      <c r="L2963" t="s">
        <v>80</v>
      </c>
      <c r="M2963" t="s">
        <v>53</v>
      </c>
      <c r="N2963" t="s">
        <v>9855</v>
      </c>
      <c r="O2963" t="s">
        <v>9856</v>
      </c>
      <c r="P2963" s="2" t="s">
        <v>37</v>
      </c>
      <c r="Q2963" t="s">
        <v>1208</v>
      </c>
      <c r="R2963">
        <v>0</v>
      </c>
      <c r="S2963">
        <v>37.03</v>
      </c>
      <c r="T2963" t="s">
        <v>9857</v>
      </c>
    </row>
    <row r="2964" spans="1:20" x14ac:dyDescent="0.25">
      <c r="A2964" s="1" t="str">
        <f>HYPERLINK("https://vegkart.atlas.vegvesen.no/#/@237614.5,6596431.4,18/hva:hva%5B0%5D%5Bfilter%5D%5B0%5D%5Boperator%5D=%21%3D&amp;hva%5B0%5D%5Bfilter%5D%5B0%5D%5Btype_id%5D=8917&amp;hva%5B0%5D%5Bfilter%5D%5B0%5D%5Bverdi%5D=&amp;hva%5B0%5D%5Bid%5D=49/når:2017-02-09", "Vegkart")</f>
        <v>Vegkart</v>
      </c>
      <c r="B2964">
        <v>762233902</v>
      </c>
      <c r="C2964">
        <v>49</v>
      </c>
      <c r="D2964" t="s">
        <v>8701</v>
      </c>
      <c r="E2964">
        <v>8917</v>
      </c>
      <c r="F2964" t="s">
        <v>23479</v>
      </c>
      <c r="G2964">
        <v>1</v>
      </c>
      <c r="H2964" t="s">
        <v>9858</v>
      </c>
      <c r="J2964" t="s">
        <v>9859</v>
      </c>
      <c r="K2964" t="s">
        <v>81</v>
      </c>
      <c r="L2964" t="s">
        <v>22</v>
      </c>
      <c r="M2964" t="s">
        <v>296</v>
      </c>
      <c r="N2964" t="s">
        <v>9860</v>
      </c>
      <c r="O2964" t="s">
        <v>9861</v>
      </c>
      <c r="P2964" s="2" t="s">
        <v>26</v>
      </c>
      <c r="Q2964" t="s">
        <v>50</v>
      </c>
      <c r="R2964">
        <v>9.3800000000000008</v>
      </c>
      <c r="S2964">
        <v>9.3800000000000008</v>
      </c>
      <c r="T2964" t="s">
        <v>9862</v>
      </c>
    </row>
    <row r="2965" spans="1:20" x14ac:dyDescent="0.25">
      <c r="A2965" s="1" t="str">
        <f>HYPERLINK("https://vegkart.atlas.vegvesen.no/#/@6050328.8,831392.6,18/hva:hva%5B0%5D%5Bfilter%5D%5B0%5D%5Boperator%5D=%21%3D&amp;hva%5B0%5D%5Bfilter%5D%5B0%5D%5Btype_id%5D=8917&amp;hva%5B0%5D%5Bfilter%5D%5B0%5D%5Bverdi%5D=&amp;hva%5B0%5D%5Bid%5D=49/når:2017-03-02", "Vegkart")</f>
        <v>Vegkart</v>
      </c>
      <c r="B2965">
        <v>764108121</v>
      </c>
      <c r="C2965">
        <v>49</v>
      </c>
      <c r="D2965" t="s">
        <v>8701</v>
      </c>
      <c r="E2965">
        <v>8917</v>
      </c>
      <c r="F2965" t="s">
        <v>23479</v>
      </c>
      <c r="G2965">
        <v>1</v>
      </c>
      <c r="H2965" t="s">
        <v>9778</v>
      </c>
      <c r="J2965" t="s">
        <v>9787</v>
      </c>
      <c r="K2965" t="s">
        <v>21</v>
      </c>
      <c r="L2965" t="s">
        <v>22</v>
      </c>
      <c r="M2965" t="s">
        <v>9863</v>
      </c>
      <c r="N2965" t="s">
        <v>9864</v>
      </c>
      <c r="O2965" t="s">
        <v>9865</v>
      </c>
      <c r="P2965" s="2" t="s">
        <v>37</v>
      </c>
      <c r="Q2965" t="s">
        <v>1208</v>
      </c>
      <c r="R2965">
        <v>1.55</v>
      </c>
      <c r="S2965">
        <v>74.680000000000007</v>
      </c>
      <c r="T2965" t="s">
        <v>9866</v>
      </c>
    </row>
    <row r="2966" spans="1:20" x14ac:dyDescent="0.25">
      <c r="A2966" s="1" t="str">
        <f>HYPERLINK("https://vegkart.atlas.vegvesen.no/#/@241911.9,6591168.0,18/hva:hva%5B0%5D%5Bfilter%5D%5B0%5D%5Boperator%5D=%21%3D&amp;hva%5B0%5D%5Bfilter%5D%5B0%5D%5Btype_id%5D=8917&amp;hva%5B0%5D%5Bfilter%5D%5B0%5D%5Bverdi%5D=&amp;hva%5B0%5D%5Bid%5D=49/når:2017-03-30", "Vegkart")</f>
        <v>Vegkart</v>
      </c>
      <c r="B2966">
        <v>765105672</v>
      </c>
      <c r="C2966">
        <v>49</v>
      </c>
      <c r="D2966" t="s">
        <v>8701</v>
      </c>
      <c r="E2966">
        <v>8917</v>
      </c>
      <c r="F2966" t="s">
        <v>23479</v>
      </c>
      <c r="G2966">
        <v>1</v>
      </c>
      <c r="H2966" t="s">
        <v>9867</v>
      </c>
      <c r="J2966" t="s">
        <v>9859</v>
      </c>
      <c r="K2966" t="s">
        <v>81</v>
      </c>
      <c r="L2966" t="s">
        <v>22</v>
      </c>
      <c r="M2966" t="s">
        <v>9868</v>
      </c>
      <c r="N2966" t="s">
        <v>9869</v>
      </c>
      <c r="O2966" t="s">
        <v>9870</v>
      </c>
      <c r="P2966" s="2" t="s">
        <v>26</v>
      </c>
      <c r="Q2966" t="s">
        <v>50</v>
      </c>
      <c r="R2966">
        <v>9.4</v>
      </c>
      <c r="S2966">
        <v>9.4</v>
      </c>
      <c r="T2966" t="s">
        <v>9871</v>
      </c>
    </row>
    <row r="2967" spans="1:20" x14ac:dyDescent="0.25">
      <c r="A2967" s="1" t="str">
        <f>HYPERLINK("https://vegkart.atlas.vegvesen.no/#/@241791.5,6591254.5,18/hva:hva%5B0%5D%5Bfilter%5D%5B0%5D%5Boperator%5D=%21%3D&amp;hva%5B0%5D%5Bfilter%5D%5B0%5D%5Btype_id%5D=8917&amp;hva%5B0%5D%5Bfilter%5D%5B0%5D%5Bverdi%5D=&amp;hva%5B0%5D%5Bid%5D=49/når:2017-03-31", "Vegkart")</f>
        <v>Vegkart</v>
      </c>
      <c r="B2967">
        <v>765114392</v>
      </c>
      <c r="C2967">
        <v>49</v>
      </c>
      <c r="D2967" t="s">
        <v>8701</v>
      </c>
      <c r="E2967">
        <v>8917</v>
      </c>
      <c r="F2967" t="s">
        <v>23479</v>
      </c>
      <c r="G2967">
        <v>1</v>
      </c>
      <c r="H2967" t="s">
        <v>3492</v>
      </c>
      <c r="J2967" t="s">
        <v>9859</v>
      </c>
      <c r="K2967" t="s">
        <v>81</v>
      </c>
      <c r="L2967" t="s">
        <v>22</v>
      </c>
      <c r="M2967" t="s">
        <v>9868</v>
      </c>
      <c r="N2967" t="s">
        <v>9872</v>
      </c>
      <c r="O2967" t="s">
        <v>9873</v>
      </c>
      <c r="P2967" s="2" t="s">
        <v>37</v>
      </c>
      <c r="Q2967" t="s">
        <v>1208</v>
      </c>
      <c r="R2967">
        <v>13.8</v>
      </c>
      <c r="S2967">
        <v>14.93</v>
      </c>
      <c r="T2967" t="s">
        <v>9874</v>
      </c>
    </row>
    <row r="2968" spans="1:20" x14ac:dyDescent="0.25">
      <c r="A2968" s="1" t="str">
        <f>HYPERLINK("https://vegkart.atlas.vegvesen.no/#/@241767.6,6591260.1,18/hva:hva%5B0%5D%5Bfilter%5D%5B0%5D%5Boperator%5D=%21%3D&amp;hva%5B0%5D%5Bfilter%5D%5B0%5D%5Btype_id%5D=8917&amp;hva%5B0%5D%5Bfilter%5D%5B0%5D%5Bverdi%5D=&amp;hva%5B0%5D%5Bid%5D=49/når:2017-03-31", "Vegkart")</f>
        <v>Vegkart</v>
      </c>
      <c r="B2968">
        <v>765114393</v>
      </c>
      <c r="C2968">
        <v>49</v>
      </c>
      <c r="D2968" t="s">
        <v>8701</v>
      </c>
      <c r="E2968">
        <v>8917</v>
      </c>
      <c r="F2968" t="s">
        <v>23479</v>
      </c>
      <c r="G2968">
        <v>1</v>
      </c>
      <c r="H2968" t="s">
        <v>3492</v>
      </c>
      <c r="J2968" t="s">
        <v>9859</v>
      </c>
      <c r="K2968" t="s">
        <v>81</v>
      </c>
      <c r="L2968" t="s">
        <v>22</v>
      </c>
      <c r="M2968" t="s">
        <v>9868</v>
      </c>
      <c r="N2968" t="s">
        <v>9875</v>
      </c>
      <c r="O2968" t="s">
        <v>9876</v>
      </c>
      <c r="P2968" s="2" t="s">
        <v>37</v>
      </c>
      <c r="Q2968" t="s">
        <v>1208</v>
      </c>
      <c r="R2968">
        <v>14.39</v>
      </c>
      <c r="S2968">
        <v>15.34</v>
      </c>
      <c r="T2968" t="s">
        <v>9877</v>
      </c>
    </row>
    <row r="2969" spans="1:20" x14ac:dyDescent="0.25">
      <c r="A2969" s="1" t="str">
        <f>HYPERLINK("https://vegkart.atlas.vegvesen.no/#/@266614.4,6643573.2,18/hva:hva%5B0%5D%5Bfilter%5D%5B0%5D%5Boperator%5D=%21%3D&amp;hva%5B0%5D%5Bfilter%5D%5B0%5D%5Btype_id%5D=8917&amp;hva%5B0%5D%5Bfilter%5D%5B0%5D%5Bverdi%5D=&amp;hva%5B0%5D%5Bid%5D=49/når:2022-03-17", "Vegkart")</f>
        <v>Vegkart</v>
      </c>
      <c r="B2969">
        <v>765742318</v>
      </c>
      <c r="C2969">
        <v>49</v>
      </c>
      <c r="D2969" t="s">
        <v>8701</v>
      </c>
      <c r="E2969">
        <v>8917</v>
      </c>
      <c r="F2969" t="s">
        <v>23479</v>
      </c>
      <c r="G2969">
        <v>2</v>
      </c>
      <c r="H2969" t="s">
        <v>9878</v>
      </c>
      <c r="J2969" t="s">
        <v>5974</v>
      </c>
      <c r="K2969" t="s">
        <v>335</v>
      </c>
      <c r="L2969" t="s">
        <v>80</v>
      </c>
      <c r="M2969" t="s">
        <v>105</v>
      </c>
      <c r="N2969" t="s">
        <v>9879</v>
      </c>
      <c r="O2969" t="s">
        <v>9880</v>
      </c>
      <c r="P2969" s="2" t="s">
        <v>37</v>
      </c>
      <c r="Q2969" t="s">
        <v>1208</v>
      </c>
      <c r="R2969">
        <v>0</v>
      </c>
      <c r="S2969">
        <v>83.22</v>
      </c>
      <c r="T2969" t="s">
        <v>9881</v>
      </c>
    </row>
    <row r="2970" spans="1:20" x14ac:dyDescent="0.25">
      <c r="A2970" s="1" t="str">
        <f>HYPERLINK("https://vegkart.atlas.vegvesen.no/#/@266605.8,6643574.4,18/hva:hva%5B0%5D%5Bfilter%5D%5B0%5D%5Boperator%5D=%21%3D&amp;hva%5B0%5D%5Bfilter%5D%5B0%5D%5Btype_id%5D=8917&amp;hva%5B0%5D%5Bfilter%5D%5B0%5D%5Bverdi%5D=&amp;hva%5B0%5D%5Bid%5D=49/når:2022-03-17", "Vegkart")</f>
        <v>Vegkart</v>
      </c>
      <c r="B2970">
        <v>765742319</v>
      </c>
      <c r="C2970">
        <v>49</v>
      </c>
      <c r="D2970" t="s">
        <v>8701</v>
      </c>
      <c r="E2970">
        <v>8917</v>
      </c>
      <c r="F2970" t="s">
        <v>23479</v>
      </c>
      <c r="G2970">
        <v>2</v>
      </c>
      <c r="H2970" t="s">
        <v>9878</v>
      </c>
      <c r="J2970" t="s">
        <v>5974</v>
      </c>
      <c r="K2970" t="s">
        <v>335</v>
      </c>
      <c r="L2970" t="s">
        <v>80</v>
      </c>
      <c r="M2970" t="s">
        <v>105</v>
      </c>
      <c r="N2970" t="s">
        <v>9882</v>
      </c>
      <c r="O2970" t="s">
        <v>9883</v>
      </c>
      <c r="P2970" s="2" t="s">
        <v>37</v>
      </c>
      <c r="Q2970" t="s">
        <v>1208</v>
      </c>
      <c r="R2970">
        <v>0</v>
      </c>
      <c r="S2970">
        <v>158.27000000000001</v>
      </c>
      <c r="T2970" t="s">
        <v>9884</v>
      </c>
    </row>
    <row r="2971" spans="1:20" x14ac:dyDescent="0.25">
      <c r="A2971" s="1" t="str">
        <f>HYPERLINK("https://vegkart.atlas.vegvesen.no/#/@259829.3,6652898.0,18/hva:hva%5B0%5D%5Bfilter%5D%5B0%5D%5Boperator%5D=%21%3D&amp;hva%5B0%5D%5Bfilter%5D%5B0%5D%5Btype_id%5D=8917&amp;hva%5B0%5D%5Bfilter%5D%5B0%5D%5Bverdi%5D=&amp;hva%5B0%5D%5Bid%5D=49/når:2017-01-01", "Vegkart")</f>
        <v>Vegkart</v>
      </c>
      <c r="B2971">
        <v>765755254</v>
      </c>
      <c r="C2971">
        <v>49</v>
      </c>
      <c r="D2971" t="s">
        <v>8701</v>
      </c>
      <c r="E2971">
        <v>8917</v>
      </c>
      <c r="F2971" t="s">
        <v>23479</v>
      </c>
      <c r="G2971">
        <v>1</v>
      </c>
      <c r="H2971" t="s">
        <v>344</v>
      </c>
      <c r="J2971" t="s">
        <v>5974</v>
      </c>
      <c r="K2971" t="s">
        <v>335</v>
      </c>
      <c r="L2971" t="s">
        <v>113</v>
      </c>
      <c r="M2971" t="s">
        <v>336</v>
      </c>
      <c r="N2971" t="s">
        <v>9885</v>
      </c>
      <c r="O2971" t="s">
        <v>9886</v>
      </c>
      <c r="P2971" s="2" t="s">
        <v>37</v>
      </c>
      <c r="Q2971" t="s">
        <v>1208</v>
      </c>
      <c r="R2971">
        <v>0</v>
      </c>
      <c r="S2971">
        <v>76.33</v>
      </c>
      <c r="T2971" t="s">
        <v>9887</v>
      </c>
    </row>
    <row r="2972" spans="1:20" x14ac:dyDescent="0.25">
      <c r="A2972" s="1" t="str">
        <f>HYPERLINK("https://vegkart.atlas.vegvesen.no/#/@259861.0,6652884.0,18/hva:hva%5B0%5D%5Bfilter%5D%5B0%5D%5Boperator%5D=%21%3D&amp;hva%5B0%5D%5Bfilter%5D%5B0%5D%5Btype_id%5D=8917&amp;hva%5B0%5D%5Bfilter%5D%5B0%5D%5Bverdi%5D=&amp;hva%5B0%5D%5Bid%5D=49/når:2017-01-01", "Vegkart")</f>
        <v>Vegkart</v>
      </c>
      <c r="B2972">
        <v>765755255</v>
      </c>
      <c r="C2972">
        <v>49</v>
      </c>
      <c r="D2972" t="s">
        <v>8701</v>
      </c>
      <c r="E2972">
        <v>8917</v>
      </c>
      <c r="F2972" t="s">
        <v>23479</v>
      </c>
      <c r="G2972">
        <v>1</v>
      </c>
      <c r="H2972" t="s">
        <v>344</v>
      </c>
      <c r="J2972" t="s">
        <v>5974</v>
      </c>
      <c r="K2972" t="s">
        <v>335</v>
      </c>
      <c r="L2972" t="s">
        <v>113</v>
      </c>
      <c r="M2972" t="s">
        <v>336</v>
      </c>
      <c r="N2972" t="s">
        <v>9888</v>
      </c>
      <c r="O2972" t="s">
        <v>9889</v>
      </c>
      <c r="P2972" s="2" t="s">
        <v>37</v>
      </c>
      <c r="Q2972" t="s">
        <v>1208</v>
      </c>
      <c r="R2972">
        <v>0</v>
      </c>
      <c r="S2972">
        <v>24.87</v>
      </c>
      <c r="T2972" t="s">
        <v>9890</v>
      </c>
    </row>
    <row r="2973" spans="1:20" x14ac:dyDescent="0.25">
      <c r="A2973" s="1" t="str">
        <f>HYPERLINK("https://vegkart.atlas.vegvesen.no/#/@260820.5,6653084.7,18/hva:hva%5B0%5D%5Bfilter%5D%5B0%5D%5Boperator%5D=%21%3D&amp;hva%5B0%5D%5Bfilter%5D%5B0%5D%5Btype_id%5D=8917&amp;hva%5B0%5D%5Bfilter%5D%5B0%5D%5Bverdi%5D=&amp;hva%5B0%5D%5Bid%5D=49/når:2017-01-01", "Vegkart")</f>
        <v>Vegkart</v>
      </c>
      <c r="B2973">
        <v>765755256</v>
      </c>
      <c r="C2973">
        <v>49</v>
      </c>
      <c r="D2973" t="s">
        <v>8701</v>
      </c>
      <c r="E2973">
        <v>8917</v>
      </c>
      <c r="F2973" t="s">
        <v>23479</v>
      </c>
      <c r="G2973">
        <v>1</v>
      </c>
      <c r="H2973" t="s">
        <v>344</v>
      </c>
      <c r="J2973" t="s">
        <v>5974</v>
      </c>
      <c r="K2973" t="s">
        <v>335</v>
      </c>
      <c r="L2973" t="s">
        <v>113</v>
      </c>
      <c r="M2973" t="s">
        <v>336</v>
      </c>
      <c r="N2973" t="s">
        <v>9891</v>
      </c>
      <c r="O2973" t="s">
        <v>9892</v>
      </c>
      <c r="P2973" s="2" t="s">
        <v>37</v>
      </c>
      <c r="Q2973" t="s">
        <v>1208</v>
      </c>
      <c r="R2973">
        <v>0</v>
      </c>
      <c r="S2973">
        <v>19.77</v>
      </c>
      <c r="T2973" t="s">
        <v>9893</v>
      </c>
    </row>
    <row r="2974" spans="1:20" x14ac:dyDescent="0.25">
      <c r="A2974" s="1" t="str">
        <f>HYPERLINK("https://vegkart.atlas.vegvesen.no/#/@242125.5,6591406.2,18/hva:hva%5B0%5D%5Bfilter%5D%5B0%5D%5Boperator%5D=%21%3D&amp;hva%5B0%5D%5Bfilter%5D%5B0%5D%5Btype_id%5D=8917&amp;hva%5B0%5D%5Bfilter%5D%5B0%5D%5Bverdi%5D=&amp;hva%5B0%5D%5Bid%5D=49/når:2017-04-07", "Vegkart")</f>
        <v>Vegkart</v>
      </c>
      <c r="B2974">
        <v>765820766</v>
      </c>
      <c r="C2974">
        <v>49</v>
      </c>
      <c r="D2974" t="s">
        <v>8701</v>
      </c>
      <c r="E2974">
        <v>8917</v>
      </c>
      <c r="F2974" t="s">
        <v>23479</v>
      </c>
      <c r="G2974">
        <v>1</v>
      </c>
      <c r="H2974" t="s">
        <v>1582</v>
      </c>
      <c r="J2974" t="s">
        <v>9894</v>
      </c>
      <c r="K2974" t="s">
        <v>81</v>
      </c>
      <c r="L2974" t="s">
        <v>22</v>
      </c>
      <c r="M2974" t="s">
        <v>9895</v>
      </c>
      <c r="N2974" t="s">
        <v>9896</v>
      </c>
      <c r="O2974" t="s">
        <v>9897</v>
      </c>
      <c r="P2974" s="2" t="s">
        <v>26</v>
      </c>
      <c r="Q2974" t="s">
        <v>50</v>
      </c>
      <c r="R2974">
        <v>9.61</v>
      </c>
      <c r="S2974">
        <v>9.61</v>
      </c>
      <c r="T2974" t="s">
        <v>9898</v>
      </c>
    </row>
    <row r="2975" spans="1:20" x14ac:dyDescent="0.25">
      <c r="A2975" s="1" t="str">
        <f>HYPERLINK("https://vegkart.atlas.vegvesen.no/#/@242099.3,6591411.7,18/hva:hva%5B0%5D%5Bfilter%5D%5B0%5D%5Boperator%5D=%21%3D&amp;hva%5B0%5D%5Bfilter%5D%5B0%5D%5Btype_id%5D=8917&amp;hva%5B0%5D%5Bfilter%5D%5B0%5D%5Bverdi%5D=&amp;hva%5B0%5D%5Bid%5D=49/når:2017-04-07", "Vegkart")</f>
        <v>Vegkart</v>
      </c>
      <c r="B2975">
        <v>765820768</v>
      </c>
      <c r="C2975">
        <v>49</v>
      </c>
      <c r="D2975" t="s">
        <v>8701</v>
      </c>
      <c r="E2975">
        <v>8917</v>
      </c>
      <c r="F2975" t="s">
        <v>23479</v>
      </c>
      <c r="G2975">
        <v>1</v>
      </c>
      <c r="H2975" t="s">
        <v>1582</v>
      </c>
      <c r="J2975" t="s">
        <v>9894</v>
      </c>
      <c r="K2975" t="s">
        <v>81</v>
      </c>
      <c r="L2975" t="s">
        <v>22</v>
      </c>
      <c r="M2975" t="s">
        <v>9899</v>
      </c>
      <c r="N2975" t="s">
        <v>9900</v>
      </c>
      <c r="O2975" t="s">
        <v>9901</v>
      </c>
      <c r="P2975" s="2" t="s">
        <v>26</v>
      </c>
      <c r="Q2975" t="s">
        <v>50</v>
      </c>
      <c r="R2975">
        <v>12.88</v>
      </c>
      <c r="S2975">
        <v>12.92</v>
      </c>
      <c r="T2975" t="s">
        <v>9902</v>
      </c>
    </row>
    <row r="2976" spans="1:20" x14ac:dyDescent="0.25">
      <c r="A2976" s="1" t="str">
        <f>HYPERLINK("https://vegkart.atlas.vegvesen.no/#/@326105.6,7077943.4,18/hva:hva%5B0%5D%5Bfilter%5D%5B0%5D%5Boperator%5D=%21%3D&amp;hva%5B0%5D%5Bfilter%5D%5B0%5D%5Btype_id%5D=8917&amp;hva%5B0%5D%5Bfilter%5D%5B0%5D%5Bverdi%5D=&amp;hva%5B0%5D%5Bid%5D=49/når:2017-04-18", "Vegkart")</f>
        <v>Vegkart</v>
      </c>
      <c r="B2976">
        <v>766025603</v>
      </c>
      <c r="C2976">
        <v>49</v>
      </c>
      <c r="D2976" t="s">
        <v>8701</v>
      </c>
      <c r="E2976">
        <v>8917</v>
      </c>
      <c r="F2976" t="s">
        <v>23479</v>
      </c>
      <c r="G2976">
        <v>1</v>
      </c>
      <c r="H2976" t="s">
        <v>9903</v>
      </c>
      <c r="J2976" t="s">
        <v>5974</v>
      </c>
      <c r="K2976" t="s">
        <v>192</v>
      </c>
      <c r="L2976" t="s">
        <v>33</v>
      </c>
      <c r="M2976" t="s">
        <v>9904</v>
      </c>
      <c r="N2976" t="s">
        <v>9905</v>
      </c>
      <c r="O2976" t="s">
        <v>9906</v>
      </c>
      <c r="P2976" s="2" t="s">
        <v>165</v>
      </c>
      <c r="Q2976" t="s">
        <v>641</v>
      </c>
      <c r="R2976">
        <v>0</v>
      </c>
      <c r="S2976">
        <v>120.42</v>
      </c>
      <c r="T2976" t="s">
        <v>167</v>
      </c>
    </row>
    <row r="2977" spans="1:20" x14ac:dyDescent="0.25">
      <c r="A2977" s="1" t="str">
        <f>HYPERLINK("https://vegkart.atlas.vegvesen.no/#/@265810.9,6649666.5,18/hva:hva%5B0%5D%5Bfilter%5D%5B0%5D%5Boperator%5D=%21%3D&amp;hva%5B0%5D%5Bfilter%5D%5B0%5D%5Btype_id%5D=8917&amp;hva%5B0%5D%5Bfilter%5D%5B0%5D%5Bverdi%5D=&amp;hva%5B0%5D%5Bid%5D=49/når:2022-03-21", "Vegkart")</f>
        <v>Vegkart</v>
      </c>
      <c r="B2977">
        <v>775521140</v>
      </c>
      <c r="C2977">
        <v>49</v>
      </c>
      <c r="D2977" t="s">
        <v>8701</v>
      </c>
      <c r="E2977">
        <v>8917</v>
      </c>
      <c r="F2977" t="s">
        <v>23479</v>
      </c>
      <c r="G2977">
        <v>2</v>
      </c>
      <c r="H2977" t="s">
        <v>9907</v>
      </c>
      <c r="J2977" t="s">
        <v>9908</v>
      </c>
      <c r="K2977" t="s">
        <v>335</v>
      </c>
      <c r="L2977" t="s">
        <v>80</v>
      </c>
      <c r="M2977" t="s">
        <v>105</v>
      </c>
      <c r="N2977" t="s">
        <v>9909</v>
      </c>
      <c r="O2977" t="s">
        <v>9910</v>
      </c>
      <c r="P2977" s="2" t="s">
        <v>26</v>
      </c>
      <c r="Q2977" t="s">
        <v>50</v>
      </c>
      <c r="R2977">
        <v>58.12</v>
      </c>
      <c r="S2977">
        <v>183.48</v>
      </c>
      <c r="T2977" t="s">
        <v>9911</v>
      </c>
    </row>
    <row r="2978" spans="1:20" x14ac:dyDescent="0.25">
      <c r="A2978" s="1" t="str">
        <f>HYPERLINK("https://vegkart.atlas.vegvesen.no/#/@255937.2,6603197.0,18/hva:hva%5B0%5D%5Bfilter%5D%5B0%5D%5Boperator%5D=%21%3D&amp;hva%5B0%5D%5Bfilter%5D%5B0%5D%5Btype_id%5D=8917&amp;hva%5B0%5D%5Bfilter%5D%5B0%5D%5Bverdi%5D=&amp;hva%5B0%5D%5Bid%5D=49/når:2017-06-02", "Vegkart")</f>
        <v>Vegkart</v>
      </c>
      <c r="B2978">
        <v>777385166</v>
      </c>
      <c r="C2978">
        <v>49</v>
      </c>
      <c r="D2978" t="s">
        <v>8701</v>
      </c>
      <c r="E2978">
        <v>8917</v>
      </c>
      <c r="F2978" t="s">
        <v>23479</v>
      </c>
      <c r="G2978">
        <v>2</v>
      </c>
      <c r="H2978" t="s">
        <v>9912</v>
      </c>
      <c r="J2978" t="s">
        <v>9908</v>
      </c>
      <c r="K2978" t="s">
        <v>132</v>
      </c>
      <c r="L2978" t="s">
        <v>33</v>
      </c>
      <c r="M2978" t="s">
        <v>1463</v>
      </c>
      <c r="N2978" t="s">
        <v>9913</v>
      </c>
      <c r="O2978" t="s">
        <v>9914</v>
      </c>
      <c r="P2978" s="2" t="s">
        <v>165</v>
      </c>
      <c r="Q2978" t="s">
        <v>641</v>
      </c>
      <c r="R2978">
        <v>0.18</v>
      </c>
      <c r="S2978">
        <v>19.62</v>
      </c>
      <c r="T2978" t="s">
        <v>167</v>
      </c>
    </row>
    <row r="2979" spans="1:20" x14ac:dyDescent="0.25">
      <c r="A2979" s="1" t="str">
        <f>HYPERLINK("https://vegkart.atlas.vegvesen.no/#/@-43207.3,6733208.9,18/hva:hva%5B0%5D%5Bfilter%5D%5B0%5D%5Boperator%5D=%21%3D&amp;hva%5B0%5D%5Bfilter%5D%5B0%5D%5Btype_id%5D=8917&amp;hva%5B0%5D%5Bfilter%5D%5B0%5D%5Bverdi%5D=&amp;hva%5B0%5D%5Bid%5D=49/når:2017-05-23", "Vegkart")</f>
        <v>Vegkart</v>
      </c>
      <c r="B2979">
        <v>783521951</v>
      </c>
      <c r="C2979">
        <v>49</v>
      </c>
      <c r="D2979" t="s">
        <v>8701</v>
      </c>
      <c r="E2979">
        <v>8917</v>
      </c>
      <c r="F2979" t="s">
        <v>23479</v>
      </c>
      <c r="G2979">
        <v>1</v>
      </c>
      <c r="H2979" t="s">
        <v>9915</v>
      </c>
      <c r="J2979" t="s">
        <v>9894</v>
      </c>
      <c r="K2979" t="s">
        <v>21</v>
      </c>
      <c r="L2979" t="s">
        <v>22</v>
      </c>
      <c r="M2979" t="s">
        <v>9916</v>
      </c>
      <c r="N2979" t="s">
        <v>9917</v>
      </c>
      <c r="O2979" t="s">
        <v>9918</v>
      </c>
      <c r="P2979" s="2" t="s">
        <v>37</v>
      </c>
      <c r="Q2979" t="s">
        <v>1208</v>
      </c>
      <c r="R2979">
        <v>2.84</v>
      </c>
      <c r="S2979">
        <v>131.04</v>
      </c>
      <c r="T2979" t="s">
        <v>9919</v>
      </c>
    </row>
    <row r="2980" spans="1:20" x14ac:dyDescent="0.25">
      <c r="A2980" s="1" t="str">
        <f>HYPERLINK("https://vegkart.atlas.vegvesen.no/#/@-54094.8,6755661.1,18/hva:hva%5B0%5D%5Bfilter%5D%5B0%5D%5Boperator%5D=%21%3D&amp;hva%5B0%5D%5Bfilter%5D%5B0%5D%5Btype_id%5D=8917&amp;hva%5B0%5D%5Bfilter%5D%5B0%5D%5Bverdi%5D=&amp;hva%5B0%5D%5Bid%5D=49/når:2017-06-09", "Vegkart")</f>
        <v>Vegkart</v>
      </c>
      <c r="B2980">
        <v>789771557</v>
      </c>
      <c r="C2980">
        <v>49</v>
      </c>
      <c r="D2980" t="s">
        <v>8701</v>
      </c>
      <c r="E2980">
        <v>8917</v>
      </c>
      <c r="F2980" t="s">
        <v>23479</v>
      </c>
      <c r="G2980">
        <v>1</v>
      </c>
      <c r="H2980" t="s">
        <v>9920</v>
      </c>
      <c r="J2980" t="s">
        <v>9894</v>
      </c>
      <c r="K2980" t="s">
        <v>21</v>
      </c>
      <c r="L2980" t="s">
        <v>22</v>
      </c>
      <c r="M2980" t="s">
        <v>9921</v>
      </c>
      <c r="N2980" t="s">
        <v>9922</v>
      </c>
      <c r="O2980" t="s">
        <v>9923</v>
      </c>
      <c r="P2980" s="2" t="s">
        <v>26</v>
      </c>
      <c r="Q2980" t="s">
        <v>50</v>
      </c>
      <c r="R2980">
        <v>10.7</v>
      </c>
      <c r="S2980">
        <v>10.71</v>
      </c>
      <c r="T2980" t="s">
        <v>9924</v>
      </c>
    </row>
    <row r="2981" spans="1:20" x14ac:dyDescent="0.25">
      <c r="A2981" s="1" t="str">
        <f>HYPERLINK("https://vegkart.atlas.vegvesen.no/#/@255613.6,6593078.5,18/hva:hva%5B0%5D%5Bfilter%5D%5B0%5D%5Boperator%5D=%21%3D&amp;hva%5B0%5D%5Bfilter%5D%5B0%5D%5Btype_id%5D=8917&amp;hva%5B0%5D%5Bfilter%5D%5B0%5D%5Bverdi%5D=&amp;hva%5B0%5D%5Bid%5D=49/når:2017-06-29", "Vegkart")</f>
        <v>Vegkart</v>
      </c>
      <c r="B2981">
        <v>819237056</v>
      </c>
      <c r="C2981">
        <v>49</v>
      </c>
      <c r="D2981" t="s">
        <v>8701</v>
      </c>
      <c r="E2981">
        <v>8917</v>
      </c>
      <c r="F2981" t="s">
        <v>23479</v>
      </c>
      <c r="G2981">
        <v>1</v>
      </c>
      <c r="H2981" t="s">
        <v>9925</v>
      </c>
      <c r="J2981" t="s">
        <v>9908</v>
      </c>
      <c r="K2981" t="s">
        <v>104</v>
      </c>
      <c r="L2981" t="s">
        <v>33</v>
      </c>
      <c r="M2981" t="s">
        <v>9926</v>
      </c>
      <c r="N2981" t="s">
        <v>9927</v>
      </c>
      <c r="O2981" t="s">
        <v>9928</v>
      </c>
      <c r="P2981" s="2" t="s">
        <v>26</v>
      </c>
      <c r="Q2981" t="s">
        <v>50</v>
      </c>
      <c r="R2981">
        <v>1.92</v>
      </c>
      <c r="S2981">
        <v>1.92</v>
      </c>
      <c r="T2981" t="s">
        <v>9929</v>
      </c>
    </row>
    <row r="2982" spans="1:20" x14ac:dyDescent="0.25">
      <c r="A2982" s="1" t="str">
        <f>HYPERLINK("https://vegkart.atlas.vegvesen.no/#/@257760.2,6650237.2,18/hva:hva%5B0%5D%5Bfilter%5D%5B0%5D%5Boperator%5D=%21%3D&amp;hva%5B0%5D%5Bfilter%5D%5B0%5D%5Btype_id%5D=8917&amp;hva%5B0%5D%5Bfilter%5D%5B0%5D%5Bverdi%5D=&amp;hva%5B0%5D%5Bid%5D=49/når:2017-07-04", "Vegkart")</f>
        <v>Vegkart</v>
      </c>
      <c r="B2982">
        <v>840518412</v>
      </c>
      <c r="C2982">
        <v>49</v>
      </c>
      <c r="D2982" t="s">
        <v>8701</v>
      </c>
      <c r="E2982">
        <v>8917</v>
      </c>
      <c r="F2982" t="s">
        <v>23479</v>
      </c>
      <c r="G2982">
        <v>1</v>
      </c>
      <c r="H2982" t="s">
        <v>9930</v>
      </c>
      <c r="J2982" t="s">
        <v>9931</v>
      </c>
      <c r="K2982" t="s">
        <v>335</v>
      </c>
      <c r="L2982" t="s">
        <v>80</v>
      </c>
      <c r="M2982" t="s">
        <v>53</v>
      </c>
      <c r="N2982" t="s">
        <v>9932</v>
      </c>
      <c r="O2982" t="s">
        <v>9933</v>
      </c>
      <c r="P2982" s="2" t="s">
        <v>37</v>
      </c>
      <c r="Q2982" t="s">
        <v>1208</v>
      </c>
      <c r="R2982">
        <v>0</v>
      </c>
      <c r="S2982">
        <v>108.89</v>
      </c>
      <c r="T2982" t="s">
        <v>9934</v>
      </c>
    </row>
    <row r="2983" spans="1:20" x14ac:dyDescent="0.25">
      <c r="A2983" s="1" t="str">
        <f>HYPERLINK("https://vegkart.atlas.vegvesen.no/#/@257704.8,6650232.7,18/hva:hva%5B0%5D%5Bfilter%5D%5B0%5D%5Boperator%5D=%21%3D&amp;hva%5B0%5D%5Bfilter%5D%5B0%5D%5Btype_id%5D=8917&amp;hva%5B0%5D%5Bfilter%5D%5B0%5D%5Bverdi%5D=&amp;hva%5B0%5D%5Bid%5D=49/når:2017-07-04", "Vegkart")</f>
        <v>Vegkart</v>
      </c>
      <c r="B2983">
        <v>840518413</v>
      </c>
      <c r="C2983">
        <v>49</v>
      </c>
      <c r="D2983" t="s">
        <v>8701</v>
      </c>
      <c r="E2983">
        <v>8917</v>
      </c>
      <c r="F2983" t="s">
        <v>23479</v>
      </c>
      <c r="G2983">
        <v>1</v>
      </c>
      <c r="H2983" t="s">
        <v>9930</v>
      </c>
      <c r="J2983" t="s">
        <v>9931</v>
      </c>
      <c r="K2983" t="s">
        <v>335</v>
      </c>
      <c r="L2983" t="s">
        <v>80</v>
      </c>
      <c r="M2983" t="s">
        <v>53</v>
      </c>
      <c r="N2983" t="s">
        <v>9935</v>
      </c>
      <c r="O2983" t="s">
        <v>9936</v>
      </c>
      <c r="P2983" s="2" t="s">
        <v>37</v>
      </c>
      <c r="Q2983" t="s">
        <v>1208</v>
      </c>
      <c r="R2983">
        <v>0</v>
      </c>
      <c r="S2983">
        <v>169.21</v>
      </c>
      <c r="T2983" t="s">
        <v>9937</v>
      </c>
    </row>
    <row r="2984" spans="1:20" x14ac:dyDescent="0.25">
      <c r="A2984" s="1" t="str">
        <f>HYPERLINK("https://vegkart.atlas.vegvesen.no/#/@257533.7,6650175.8,18/hva:hva%5B0%5D%5Bfilter%5D%5B0%5D%5Boperator%5D=%21%3D&amp;hva%5B0%5D%5Bfilter%5D%5B0%5D%5Btype_id%5D=8917&amp;hva%5B0%5D%5Bfilter%5D%5B0%5D%5Bverdi%5D=&amp;hva%5B0%5D%5Bid%5D=49/når:2017-07-04", "Vegkart")</f>
        <v>Vegkart</v>
      </c>
      <c r="B2984">
        <v>840518414</v>
      </c>
      <c r="C2984">
        <v>49</v>
      </c>
      <c r="D2984" t="s">
        <v>8701</v>
      </c>
      <c r="E2984">
        <v>8917</v>
      </c>
      <c r="F2984" t="s">
        <v>23479</v>
      </c>
      <c r="G2984">
        <v>1</v>
      </c>
      <c r="H2984" t="s">
        <v>9930</v>
      </c>
      <c r="J2984" t="s">
        <v>9931</v>
      </c>
      <c r="K2984" t="s">
        <v>335</v>
      </c>
      <c r="L2984" t="s">
        <v>80</v>
      </c>
      <c r="M2984" t="s">
        <v>53</v>
      </c>
      <c r="N2984" t="s">
        <v>9938</v>
      </c>
      <c r="O2984" t="s">
        <v>9939</v>
      </c>
      <c r="P2984" s="2" t="s">
        <v>37</v>
      </c>
      <c r="Q2984" t="s">
        <v>1208</v>
      </c>
      <c r="R2984">
        <v>0</v>
      </c>
      <c r="S2984">
        <v>193.99</v>
      </c>
      <c r="T2984" t="s">
        <v>9940</v>
      </c>
    </row>
    <row r="2985" spans="1:20" x14ac:dyDescent="0.25">
      <c r="A2985" s="1" t="str">
        <f>HYPERLINK("https://vegkart.atlas.vegvesen.no/#/@257611.9,6650208.2,18/hva:hva%5B0%5D%5Bfilter%5D%5B0%5D%5Boperator%5D=%21%3D&amp;hva%5B0%5D%5Bfilter%5D%5B0%5D%5Btype_id%5D=8917&amp;hva%5B0%5D%5Bfilter%5D%5B0%5D%5Bverdi%5D=&amp;hva%5B0%5D%5Bid%5D=49/når:2017-07-04", "Vegkart")</f>
        <v>Vegkart</v>
      </c>
      <c r="B2985">
        <v>840518415</v>
      </c>
      <c r="C2985">
        <v>49</v>
      </c>
      <c r="D2985" t="s">
        <v>8701</v>
      </c>
      <c r="E2985">
        <v>8917</v>
      </c>
      <c r="F2985" t="s">
        <v>23479</v>
      </c>
      <c r="G2985">
        <v>1</v>
      </c>
      <c r="H2985" t="s">
        <v>9930</v>
      </c>
      <c r="J2985" t="s">
        <v>9931</v>
      </c>
      <c r="K2985" t="s">
        <v>335</v>
      </c>
      <c r="L2985" t="s">
        <v>80</v>
      </c>
      <c r="M2985" t="s">
        <v>53</v>
      </c>
      <c r="N2985" t="s">
        <v>9941</v>
      </c>
      <c r="O2985" t="s">
        <v>9942</v>
      </c>
      <c r="P2985" s="2" t="s">
        <v>37</v>
      </c>
      <c r="Q2985" t="s">
        <v>1208</v>
      </c>
      <c r="R2985">
        <v>0</v>
      </c>
      <c r="S2985">
        <v>26.61</v>
      </c>
      <c r="T2985" t="s">
        <v>9943</v>
      </c>
    </row>
    <row r="2986" spans="1:20" x14ac:dyDescent="0.25">
      <c r="A2986" s="1" t="str">
        <f>HYPERLINK("https://vegkart.atlas.vegvesen.no/#/@257629.3,6650215.2,18/hva:hva%5B0%5D%5Bfilter%5D%5B0%5D%5Boperator%5D=%21%3D&amp;hva%5B0%5D%5Bfilter%5D%5B0%5D%5Btype_id%5D=8917&amp;hva%5B0%5D%5Bfilter%5D%5B0%5D%5Bverdi%5D=&amp;hva%5B0%5D%5Bid%5D=49/når:2017-07-04", "Vegkart")</f>
        <v>Vegkart</v>
      </c>
      <c r="B2986">
        <v>840518416</v>
      </c>
      <c r="C2986">
        <v>49</v>
      </c>
      <c r="D2986" t="s">
        <v>8701</v>
      </c>
      <c r="E2986">
        <v>8917</v>
      </c>
      <c r="F2986" t="s">
        <v>23479</v>
      </c>
      <c r="G2986">
        <v>1</v>
      </c>
      <c r="H2986" t="s">
        <v>9930</v>
      </c>
      <c r="J2986" t="s">
        <v>9931</v>
      </c>
      <c r="K2986" t="s">
        <v>335</v>
      </c>
      <c r="L2986" t="s">
        <v>80</v>
      </c>
      <c r="M2986" t="s">
        <v>53</v>
      </c>
      <c r="N2986" t="s">
        <v>9944</v>
      </c>
      <c r="O2986" t="s">
        <v>9945</v>
      </c>
      <c r="P2986" s="2" t="s">
        <v>37</v>
      </c>
      <c r="Q2986" t="s">
        <v>1208</v>
      </c>
      <c r="R2986">
        <v>0</v>
      </c>
      <c r="S2986">
        <v>19.100000000000001</v>
      </c>
      <c r="T2986" t="s">
        <v>9946</v>
      </c>
    </row>
    <row r="2987" spans="1:20" x14ac:dyDescent="0.25">
      <c r="A2987" s="1" t="str">
        <f>HYPERLINK("https://vegkart.atlas.vegvesen.no/#/@257641.5,6650219.5,18/hva:hva%5B0%5D%5Bfilter%5D%5B0%5D%5Boperator%5D=%21%3D&amp;hva%5B0%5D%5Bfilter%5D%5B0%5D%5Btype_id%5D=8917&amp;hva%5B0%5D%5Bfilter%5D%5B0%5D%5Bverdi%5D=&amp;hva%5B0%5D%5Bid%5D=49/når:2017-07-04", "Vegkart")</f>
        <v>Vegkart</v>
      </c>
      <c r="B2987">
        <v>840518417</v>
      </c>
      <c r="C2987">
        <v>49</v>
      </c>
      <c r="D2987" t="s">
        <v>8701</v>
      </c>
      <c r="E2987">
        <v>8917</v>
      </c>
      <c r="F2987" t="s">
        <v>23479</v>
      </c>
      <c r="G2987">
        <v>1</v>
      </c>
      <c r="H2987" t="s">
        <v>9930</v>
      </c>
      <c r="J2987" t="s">
        <v>9931</v>
      </c>
      <c r="K2987" t="s">
        <v>335</v>
      </c>
      <c r="L2987" t="s">
        <v>80</v>
      </c>
      <c r="M2987" t="s">
        <v>53</v>
      </c>
      <c r="N2987" t="s">
        <v>9947</v>
      </c>
      <c r="O2987" t="s">
        <v>9948</v>
      </c>
      <c r="P2987" s="2" t="s">
        <v>37</v>
      </c>
      <c r="Q2987" t="s">
        <v>1208</v>
      </c>
      <c r="R2987">
        <v>0</v>
      </c>
      <c r="S2987">
        <v>39.64</v>
      </c>
      <c r="T2987" t="s">
        <v>9949</v>
      </c>
    </row>
    <row r="2988" spans="1:20" x14ac:dyDescent="0.25">
      <c r="A2988" s="1" t="str">
        <f>HYPERLINK("https://vegkart.atlas.vegvesen.no/#/@257594.4,6650200.9,18/hva:hva%5B0%5D%5Bfilter%5D%5B0%5D%5Boperator%5D=%21%3D&amp;hva%5B0%5D%5Bfilter%5D%5B0%5D%5Btype_id%5D=8917&amp;hva%5B0%5D%5Bfilter%5D%5B0%5D%5Bverdi%5D=&amp;hva%5B0%5D%5Bid%5D=49/når:2017-07-04", "Vegkart")</f>
        <v>Vegkart</v>
      </c>
      <c r="B2988">
        <v>840518418</v>
      </c>
      <c r="C2988">
        <v>49</v>
      </c>
      <c r="D2988" t="s">
        <v>8701</v>
      </c>
      <c r="E2988">
        <v>8917</v>
      </c>
      <c r="F2988" t="s">
        <v>23479</v>
      </c>
      <c r="G2988">
        <v>1</v>
      </c>
      <c r="H2988" t="s">
        <v>9930</v>
      </c>
      <c r="J2988" t="s">
        <v>9931</v>
      </c>
      <c r="K2988" t="s">
        <v>335</v>
      </c>
      <c r="L2988" t="s">
        <v>80</v>
      </c>
      <c r="M2988" t="s">
        <v>53</v>
      </c>
      <c r="N2988" t="s">
        <v>9950</v>
      </c>
      <c r="O2988" t="s">
        <v>9951</v>
      </c>
      <c r="P2988" s="2" t="s">
        <v>37</v>
      </c>
      <c r="Q2988" t="s">
        <v>1208</v>
      </c>
      <c r="R2988">
        <v>0</v>
      </c>
      <c r="S2988">
        <v>14.35</v>
      </c>
      <c r="T2988" t="s">
        <v>9952</v>
      </c>
    </row>
    <row r="2989" spans="1:20" x14ac:dyDescent="0.25">
      <c r="A2989" s="1" t="str">
        <f>HYPERLINK("https://vegkart.atlas.vegvesen.no/#/@257457.9,6650144.8,18/hva:hva%5B0%5D%5Bfilter%5D%5B0%5D%5Boperator%5D=%21%3D&amp;hva%5B0%5D%5Bfilter%5D%5B0%5D%5Btype_id%5D=8917&amp;hva%5B0%5D%5Bfilter%5D%5B0%5D%5Bverdi%5D=&amp;hva%5B0%5D%5Bid%5D=49/når:2017-07-04", "Vegkart")</f>
        <v>Vegkart</v>
      </c>
      <c r="B2989">
        <v>840518419</v>
      </c>
      <c r="C2989">
        <v>49</v>
      </c>
      <c r="D2989" t="s">
        <v>8701</v>
      </c>
      <c r="E2989">
        <v>8917</v>
      </c>
      <c r="F2989" t="s">
        <v>23479</v>
      </c>
      <c r="G2989">
        <v>1</v>
      </c>
      <c r="H2989" t="s">
        <v>9930</v>
      </c>
      <c r="J2989" t="s">
        <v>9931</v>
      </c>
      <c r="K2989" t="s">
        <v>335</v>
      </c>
      <c r="L2989" t="s">
        <v>80</v>
      </c>
      <c r="M2989" t="s">
        <v>53</v>
      </c>
      <c r="N2989" t="s">
        <v>9953</v>
      </c>
      <c r="O2989" t="s">
        <v>9954</v>
      </c>
      <c r="P2989" s="2" t="s">
        <v>37</v>
      </c>
      <c r="Q2989" t="s">
        <v>1208</v>
      </c>
      <c r="R2989">
        <v>0</v>
      </c>
      <c r="S2989">
        <v>89.97</v>
      </c>
      <c r="T2989" t="s">
        <v>9955</v>
      </c>
    </row>
    <row r="2990" spans="1:20" x14ac:dyDescent="0.25">
      <c r="A2990" s="1" t="str">
        <f>HYPERLINK("https://vegkart.atlas.vegvesen.no/#/@257601.7,6650204.0,18/hva:hva%5B0%5D%5Bfilter%5D%5B0%5D%5Boperator%5D=%21%3D&amp;hva%5B0%5D%5Bfilter%5D%5B0%5D%5Btype_id%5D=8917&amp;hva%5B0%5D%5Bfilter%5D%5B0%5D%5Bverdi%5D=&amp;hva%5B0%5D%5Bid%5D=49/når:2017-07-04", "Vegkart")</f>
        <v>Vegkart</v>
      </c>
      <c r="B2990">
        <v>840518420</v>
      </c>
      <c r="C2990">
        <v>49</v>
      </c>
      <c r="D2990" t="s">
        <v>8701</v>
      </c>
      <c r="E2990">
        <v>8917</v>
      </c>
      <c r="F2990" t="s">
        <v>23479</v>
      </c>
      <c r="G2990">
        <v>1</v>
      </c>
      <c r="H2990" t="s">
        <v>9930</v>
      </c>
      <c r="J2990" t="s">
        <v>9931</v>
      </c>
      <c r="K2990" t="s">
        <v>335</v>
      </c>
      <c r="L2990" t="s">
        <v>80</v>
      </c>
      <c r="M2990" t="s">
        <v>53</v>
      </c>
      <c r="N2990" t="s">
        <v>9956</v>
      </c>
      <c r="O2990" t="s">
        <v>9957</v>
      </c>
      <c r="P2990" s="2" t="s">
        <v>37</v>
      </c>
      <c r="Q2990" t="s">
        <v>1208</v>
      </c>
      <c r="R2990">
        <v>0</v>
      </c>
      <c r="S2990">
        <v>24.79</v>
      </c>
      <c r="T2990" t="s">
        <v>9958</v>
      </c>
    </row>
    <row r="2991" spans="1:20" x14ac:dyDescent="0.25">
      <c r="A2991" s="1" t="str">
        <f>HYPERLINK("https://vegkart.atlas.vegvesen.no/#/@257580.5,6650195.2,18/hva:hva%5B0%5D%5Bfilter%5D%5B0%5D%5Boperator%5D=%21%3D&amp;hva%5B0%5D%5Bfilter%5D%5B0%5D%5Btype_id%5D=8917&amp;hva%5B0%5D%5Bfilter%5D%5B0%5D%5Bverdi%5D=&amp;hva%5B0%5D%5Bid%5D=49/når:2017-07-04", "Vegkart")</f>
        <v>Vegkart</v>
      </c>
      <c r="B2991">
        <v>840518421</v>
      </c>
      <c r="C2991">
        <v>49</v>
      </c>
      <c r="D2991" t="s">
        <v>8701</v>
      </c>
      <c r="E2991">
        <v>8917</v>
      </c>
      <c r="F2991" t="s">
        <v>23479</v>
      </c>
      <c r="G2991">
        <v>1</v>
      </c>
      <c r="H2991" t="s">
        <v>9930</v>
      </c>
      <c r="J2991" t="s">
        <v>9931</v>
      </c>
      <c r="K2991" t="s">
        <v>335</v>
      </c>
      <c r="L2991" t="s">
        <v>80</v>
      </c>
      <c r="M2991" t="s">
        <v>53</v>
      </c>
      <c r="N2991" t="s">
        <v>9959</v>
      </c>
      <c r="O2991" t="s">
        <v>9960</v>
      </c>
      <c r="P2991" s="2" t="s">
        <v>37</v>
      </c>
      <c r="Q2991" t="s">
        <v>1208</v>
      </c>
      <c r="R2991">
        <v>0</v>
      </c>
      <c r="S2991">
        <v>15.95</v>
      </c>
      <c r="T2991" t="s">
        <v>9961</v>
      </c>
    </row>
    <row r="2992" spans="1:20" x14ac:dyDescent="0.25">
      <c r="A2992" s="1" t="str">
        <f>HYPERLINK("https://vegkart.atlas.vegvesen.no/#/@266344.8,6648166.9,18/hva:hva%5B0%5D%5Bfilter%5D%5B0%5D%5Boperator%5D=%21%3D&amp;hva%5B0%5D%5Bfilter%5D%5B0%5D%5Btype_id%5D=8917&amp;hva%5B0%5D%5Bfilter%5D%5B0%5D%5Bverdi%5D=&amp;hva%5B0%5D%5Bid%5D=49/når:2017-12-19", "Vegkart")</f>
        <v>Vegkart</v>
      </c>
      <c r="B2992">
        <v>845030623</v>
      </c>
      <c r="C2992">
        <v>49</v>
      </c>
      <c r="D2992" t="s">
        <v>8701</v>
      </c>
      <c r="E2992">
        <v>8917</v>
      </c>
      <c r="F2992" t="s">
        <v>23479</v>
      </c>
      <c r="G2992">
        <v>1</v>
      </c>
      <c r="H2992" t="s">
        <v>9962</v>
      </c>
      <c r="J2992" t="s">
        <v>9931</v>
      </c>
      <c r="K2992" t="s">
        <v>335</v>
      </c>
      <c r="L2992" t="s">
        <v>80</v>
      </c>
      <c r="M2992" t="s">
        <v>105</v>
      </c>
      <c r="N2992" t="s">
        <v>9963</v>
      </c>
      <c r="O2992" t="s">
        <v>9964</v>
      </c>
      <c r="P2992" s="2" t="s">
        <v>37</v>
      </c>
      <c r="Q2992" t="s">
        <v>1208</v>
      </c>
      <c r="R2992">
        <v>0</v>
      </c>
      <c r="S2992">
        <v>125.24</v>
      </c>
      <c r="T2992" t="s">
        <v>9965</v>
      </c>
    </row>
    <row r="2993" spans="1:20" x14ac:dyDescent="0.25">
      <c r="A2993" s="1" t="str">
        <f>HYPERLINK("https://vegkart.atlas.vegvesen.no/#/@265924.1,6647486.8,18/hva:hva%5B0%5D%5Bfilter%5D%5B0%5D%5Boperator%5D=%21%3D&amp;hva%5B0%5D%5Bfilter%5D%5B0%5D%5Btype_id%5D=8917&amp;hva%5B0%5D%5Bfilter%5D%5B0%5D%5Bverdi%5D=&amp;hva%5B0%5D%5Bid%5D=49/når:2017-12-19", "Vegkart")</f>
        <v>Vegkart</v>
      </c>
      <c r="B2993">
        <v>845030624</v>
      </c>
      <c r="C2993">
        <v>49</v>
      </c>
      <c r="D2993" t="s">
        <v>8701</v>
      </c>
      <c r="E2993">
        <v>8917</v>
      </c>
      <c r="F2993" t="s">
        <v>23479</v>
      </c>
      <c r="G2993">
        <v>1</v>
      </c>
      <c r="H2993" t="s">
        <v>9962</v>
      </c>
      <c r="J2993" t="s">
        <v>9931</v>
      </c>
      <c r="K2993" t="s">
        <v>335</v>
      </c>
      <c r="L2993" t="s">
        <v>80</v>
      </c>
      <c r="M2993" t="s">
        <v>105</v>
      </c>
      <c r="N2993" t="s">
        <v>9966</v>
      </c>
      <c r="O2993" t="s">
        <v>9967</v>
      </c>
      <c r="P2993" s="2" t="s">
        <v>37</v>
      </c>
      <c r="Q2993" t="s">
        <v>1208</v>
      </c>
      <c r="R2993">
        <v>0</v>
      </c>
      <c r="S2993">
        <v>33.9</v>
      </c>
      <c r="T2993" t="s">
        <v>9968</v>
      </c>
    </row>
    <row r="2994" spans="1:20" x14ac:dyDescent="0.25">
      <c r="A2994" s="1" t="str">
        <f>HYPERLINK("https://vegkart.atlas.vegvesen.no/#/@266029.3,6647663.1,18/hva:hva%5B0%5D%5Bfilter%5D%5B0%5D%5Boperator%5D=%21%3D&amp;hva%5B0%5D%5Bfilter%5D%5B0%5D%5Btype_id%5D=8917&amp;hva%5B0%5D%5Bfilter%5D%5B0%5D%5Bverdi%5D=&amp;hva%5B0%5D%5Bid%5D=49/når:2017-12-19", "Vegkart")</f>
        <v>Vegkart</v>
      </c>
      <c r="B2994">
        <v>845030625</v>
      </c>
      <c r="C2994">
        <v>49</v>
      </c>
      <c r="D2994" t="s">
        <v>8701</v>
      </c>
      <c r="E2994">
        <v>8917</v>
      </c>
      <c r="F2994" t="s">
        <v>23479</v>
      </c>
      <c r="G2994">
        <v>1</v>
      </c>
      <c r="H2994" t="s">
        <v>9962</v>
      </c>
      <c r="J2994" t="s">
        <v>9931</v>
      </c>
      <c r="K2994" t="s">
        <v>335</v>
      </c>
      <c r="L2994" t="s">
        <v>80</v>
      </c>
      <c r="M2994" t="s">
        <v>105</v>
      </c>
      <c r="N2994" t="s">
        <v>9969</v>
      </c>
      <c r="O2994" t="s">
        <v>9970</v>
      </c>
      <c r="P2994" s="2" t="s">
        <v>37</v>
      </c>
      <c r="Q2994" t="s">
        <v>1208</v>
      </c>
      <c r="R2994">
        <v>0</v>
      </c>
      <c r="S2994">
        <v>21.89</v>
      </c>
      <c r="T2994" t="s">
        <v>9971</v>
      </c>
    </row>
    <row r="2995" spans="1:20" x14ac:dyDescent="0.25">
      <c r="A2995" s="1" t="str">
        <f>HYPERLINK("https://vegkart.atlas.vegvesen.no/#/@265919.3,6647494.8,18/hva:hva%5B0%5D%5Bfilter%5D%5B0%5D%5Boperator%5D=%21%3D&amp;hva%5B0%5D%5Bfilter%5D%5B0%5D%5Btype_id%5D=8917&amp;hva%5B0%5D%5Bfilter%5D%5B0%5D%5Bverdi%5D=&amp;hva%5B0%5D%5Bid%5D=49/når:2017-12-19", "Vegkart")</f>
        <v>Vegkart</v>
      </c>
      <c r="B2995">
        <v>845030626</v>
      </c>
      <c r="C2995">
        <v>49</v>
      </c>
      <c r="D2995" t="s">
        <v>8701</v>
      </c>
      <c r="E2995">
        <v>8917</v>
      </c>
      <c r="F2995" t="s">
        <v>23479</v>
      </c>
      <c r="G2995">
        <v>1</v>
      </c>
      <c r="H2995" t="s">
        <v>9962</v>
      </c>
      <c r="J2995" t="s">
        <v>9931</v>
      </c>
      <c r="K2995" t="s">
        <v>335</v>
      </c>
      <c r="L2995" t="s">
        <v>80</v>
      </c>
      <c r="M2995" t="s">
        <v>105</v>
      </c>
      <c r="N2995" t="s">
        <v>9972</v>
      </c>
      <c r="O2995" t="s">
        <v>9973</v>
      </c>
      <c r="P2995" s="2" t="s">
        <v>37</v>
      </c>
      <c r="Q2995" t="s">
        <v>1208</v>
      </c>
      <c r="R2995">
        <v>0</v>
      </c>
      <c r="S2995">
        <v>55.03</v>
      </c>
      <c r="T2995" t="s">
        <v>9974</v>
      </c>
    </row>
    <row r="2996" spans="1:20" x14ac:dyDescent="0.25">
      <c r="A2996" s="1" t="str">
        <f>HYPERLINK("https://vegkart.atlas.vegvesen.no/#/@266036.5,6647658.5,18/hva:hva%5B0%5D%5Bfilter%5D%5B0%5D%5Boperator%5D=%21%3D&amp;hva%5B0%5D%5Bfilter%5D%5B0%5D%5Btype_id%5D=8917&amp;hva%5B0%5D%5Bfilter%5D%5B0%5D%5Bverdi%5D=&amp;hva%5B0%5D%5Bid%5D=49/når:2017-12-19", "Vegkart")</f>
        <v>Vegkart</v>
      </c>
      <c r="B2996">
        <v>845030627</v>
      </c>
      <c r="C2996">
        <v>49</v>
      </c>
      <c r="D2996" t="s">
        <v>8701</v>
      </c>
      <c r="E2996">
        <v>8917</v>
      </c>
      <c r="F2996" t="s">
        <v>23479</v>
      </c>
      <c r="G2996">
        <v>1</v>
      </c>
      <c r="H2996" t="s">
        <v>9962</v>
      </c>
      <c r="J2996" t="s">
        <v>9931</v>
      </c>
      <c r="K2996" t="s">
        <v>335</v>
      </c>
      <c r="L2996" t="s">
        <v>80</v>
      </c>
      <c r="M2996" t="s">
        <v>105</v>
      </c>
      <c r="N2996" t="s">
        <v>9975</v>
      </c>
      <c r="O2996" t="s">
        <v>9976</v>
      </c>
      <c r="P2996" s="2" t="s">
        <v>37</v>
      </c>
      <c r="Q2996" t="s">
        <v>1208</v>
      </c>
      <c r="R2996">
        <v>0</v>
      </c>
      <c r="S2996">
        <v>39.61</v>
      </c>
      <c r="T2996" t="s">
        <v>9977</v>
      </c>
    </row>
    <row r="2997" spans="1:20" x14ac:dyDescent="0.25">
      <c r="A2997" s="1" t="str">
        <f>HYPERLINK("https://vegkart.atlas.vegvesen.no/#/@306857.3,6605079.9,18/hva:hva%5B0%5D%5Bfilter%5D%5B0%5D%5Boperator%5D=%21%3D&amp;hva%5B0%5D%5Bfilter%5D%5B0%5D%5Btype_id%5D=8917&amp;hva%5B0%5D%5Bfilter%5D%5B0%5D%5Bverdi%5D=&amp;hva%5B0%5D%5Bid%5D=49/når:2025-09-10", "Vegkart")</f>
        <v>Vegkart</v>
      </c>
      <c r="B2997">
        <v>845291456</v>
      </c>
      <c r="C2997">
        <v>49</v>
      </c>
      <c r="D2997" t="s">
        <v>8701</v>
      </c>
      <c r="E2997">
        <v>8917</v>
      </c>
      <c r="F2997" t="s">
        <v>23479</v>
      </c>
      <c r="G2997">
        <v>2</v>
      </c>
      <c r="H2997" t="s">
        <v>8733</v>
      </c>
      <c r="J2997" t="s">
        <v>9931</v>
      </c>
      <c r="K2997" t="s">
        <v>104</v>
      </c>
      <c r="L2997" t="s">
        <v>33</v>
      </c>
      <c r="M2997" t="s">
        <v>9978</v>
      </c>
      <c r="N2997" t="s">
        <v>9979</v>
      </c>
      <c r="O2997" t="s">
        <v>9980</v>
      </c>
      <c r="P2997" s="2" t="s">
        <v>37</v>
      </c>
      <c r="Q2997" t="s">
        <v>1208</v>
      </c>
      <c r="R2997">
        <v>0</v>
      </c>
      <c r="S2997">
        <v>24.53</v>
      </c>
      <c r="T2997" t="s">
        <v>9981</v>
      </c>
    </row>
    <row r="2998" spans="1:20" x14ac:dyDescent="0.25">
      <c r="A2998" s="1" t="str">
        <f>HYPERLINK("https://vegkart.atlas.vegvesen.no/#/@291598.1,6624116.7,18/hva:hva%5B0%5D%5Bfilter%5D%5B0%5D%5Boperator%5D=%21%3D&amp;hva%5B0%5D%5Bfilter%5D%5B0%5D%5Btype_id%5D=8917&amp;hva%5B0%5D%5Bfilter%5D%5B0%5D%5Bverdi%5D=&amp;hva%5B0%5D%5Bid%5D=49/når:2025-10-03", "Vegkart")</f>
        <v>Vegkart</v>
      </c>
      <c r="B2998">
        <v>845327706</v>
      </c>
      <c r="C2998">
        <v>49</v>
      </c>
      <c r="D2998" t="s">
        <v>8701</v>
      </c>
      <c r="E2998">
        <v>8917</v>
      </c>
      <c r="F2998" t="s">
        <v>23479</v>
      </c>
      <c r="G2998">
        <v>3</v>
      </c>
      <c r="H2998" t="s">
        <v>8719</v>
      </c>
      <c r="J2998" t="s">
        <v>9931</v>
      </c>
      <c r="K2998" t="s">
        <v>104</v>
      </c>
      <c r="L2998" t="s">
        <v>33</v>
      </c>
      <c r="M2998" t="s">
        <v>9982</v>
      </c>
      <c r="N2998" t="s">
        <v>9983</v>
      </c>
      <c r="O2998" t="s">
        <v>9984</v>
      </c>
      <c r="P2998" s="2" t="s">
        <v>37</v>
      </c>
      <c r="Q2998" t="s">
        <v>1208</v>
      </c>
      <c r="R2998">
        <v>0</v>
      </c>
      <c r="S2998">
        <v>25.92</v>
      </c>
      <c r="T2998" t="s">
        <v>9985</v>
      </c>
    </row>
    <row r="2999" spans="1:20" x14ac:dyDescent="0.25">
      <c r="A2999" s="1" t="str">
        <f>HYPERLINK("https://vegkart.atlas.vegvesen.no/#/@286006.2,6610484.2,18/hva:hva%5B0%5D%5Bfilter%5D%5B0%5D%5Boperator%5D=%21%3D&amp;hva%5B0%5D%5Bfilter%5D%5B0%5D%5Btype_id%5D=8917&amp;hva%5B0%5D%5Bfilter%5D%5B0%5D%5Bverdi%5D=&amp;hva%5B0%5D%5Bid%5D=49/når:2025-10-03", "Vegkart")</f>
        <v>Vegkart</v>
      </c>
      <c r="B2999">
        <v>845614650</v>
      </c>
      <c r="C2999">
        <v>49</v>
      </c>
      <c r="D2999" t="s">
        <v>8701</v>
      </c>
      <c r="E2999">
        <v>8917</v>
      </c>
      <c r="F2999" t="s">
        <v>23479</v>
      </c>
      <c r="G2999">
        <v>3</v>
      </c>
      <c r="H2999" t="s">
        <v>8719</v>
      </c>
      <c r="J2999" t="s">
        <v>9931</v>
      </c>
      <c r="K2999" t="s">
        <v>104</v>
      </c>
      <c r="L2999" t="s">
        <v>33</v>
      </c>
      <c r="M2999" t="s">
        <v>9986</v>
      </c>
      <c r="N2999" t="s">
        <v>9987</v>
      </c>
      <c r="O2999" t="s">
        <v>9988</v>
      </c>
      <c r="P2999" s="2" t="s">
        <v>37</v>
      </c>
      <c r="Q2999" t="s">
        <v>1208</v>
      </c>
      <c r="R2999">
        <v>0</v>
      </c>
      <c r="S2999">
        <v>64.52</v>
      </c>
      <c r="T2999" t="s">
        <v>9989</v>
      </c>
    </row>
    <row r="3000" spans="1:20" x14ac:dyDescent="0.25">
      <c r="A3000" s="1" t="str">
        <f>HYPERLINK("https://vegkart.atlas.vegvesen.no/#/@284783.3,6613046.0,18/hva:hva%5B0%5D%5Bfilter%5D%5B0%5D%5Boperator%5D=%21%3D&amp;hva%5B0%5D%5Bfilter%5D%5B0%5D%5Btype_id%5D=8917&amp;hva%5B0%5D%5Bfilter%5D%5B0%5D%5Bverdi%5D=&amp;hva%5B0%5D%5Bid%5D=49/når:2025-10-03", "Vegkart")</f>
        <v>Vegkart</v>
      </c>
      <c r="B3000">
        <v>845614653</v>
      </c>
      <c r="C3000">
        <v>49</v>
      </c>
      <c r="D3000" t="s">
        <v>8701</v>
      </c>
      <c r="E3000">
        <v>8917</v>
      </c>
      <c r="F3000" t="s">
        <v>23479</v>
      </c>
      <c r="G3000">
        <v>3</v>
      </c>
      <c r="H3000" t="s">
        <v>8719</v>
      </c>
      <c r="J3000" t="s">
        <v>9931</v>
      </c>
      <c r="K3000" t="s">
        <v>104</v>
      </c>
      <c r="L3000" t="s">
        <v>33</v>
      </c>
      <c r="M3000" t="s">
        <v>9986</v>
      </c>
      <c r="N3000" t="s">
        <v>9990</v>
      </c>
      <c r="O3000" t="s">
        <v>9991</v>
      </c>
      <c r="P3000" s="2" t="s">
        <v>37</v>
      </c>
      <c r="Q3000" t="s">
        <v>1208</v>
      </c>
      <c r="R3000">
        <v>0</v>
      </c>
      <c r="S3000">
        <v>26.64</v>
      </c>
      <c r="T3000" t="s">
        <v>9992</v>
      </c>
    </row>
    <row r="3001" spans="1:20" x14ac:dyDescent="0.25">
      <c r="A3001" s="1" t="str">
        <f>HYPERLINK("https://vegkart.atlas.vegvesen.no/#/@284784.0,6613072.7,18/hva:hva%5B0%5D%5Bfilter%5D%5B0%5D%5Boperator%5D=%21%3D&amp;hva%5B0%5D%5Bfilter%5D%5B0%5D%5Btype_id%5D=8917&amp;hva%5B0%5D%5Bfilter%5D%5B0%5D%5Bverdi%5D=&amp;hva%5B0%5D%5Bid%5D=49/når:2025-10-03", "Vegkart")</f>
        <v>Vegkart</v>
      </c>
      <c r="B3001">
        <v>845614655</v>
      </c>
      <c r="C3001">
        <v>49</v>
      </c>
      <c r="D3001" t="s">
        <v>8701</v>
      </c>
      <c r="E3001">
        <v>8917</v>
      </c>
      <c r="F3001" t="s">
        <v>23479</v>
      </c>
      <c r="G3001">
        <v>3</v>
      </c>
      <c r="H3001" t="s">
        <v>8719</v>
      </c>
      <c r="J3001" t="s">
        <v>9931</v>
      </c>
      <c r="K3001" t="s">
        <v>104</v>
      </c>
      <c r="L3001" t="s">
        <v>33</v>
      </c>
      <c r="M3001" t="s">
        <v>9986</v>
      </c>
      <c r="N3001" t="s">
        <v>9993</v>
      </c>
      <c r="O3001" t="s">
        <v>9994</v>
      </c>
      <c r="P3001" s="2" t="s">
        <v>37</v>
      </c>
      <c r="Q3001" t="s">
        <v>1208</v>
      </c>
      <c r="R3001">
        <v>0</v>
      </c>
      <c r="S3001">
        <v>23.93</v>
      </c>
      <c r="T3001" t="s">
        <v>9995</v>
      </c>
    </row>
    <row r="3002" spans="1:20" x14ac:dyDescent="0.25">
      <c r="A3002" s="1" t="str">
        <f>HYPERLINK("https://vegkart.atlas.vegvesen.no/#/@297948.6,6606980.3,18/hva:hva%5B0%5D%5Bfilter%5D%5B0%5D%5Boperator%5D=%21%3D&amp;hva%5B0%5D%5Bfilter%5D%5B0%5D%5Btype_id%5D=8917&amp;hva%5B0%5D%5Bfilter%5D%5B0%5D%5Bverdi%5D=&amp;hva%5B0%5D%5Bid%5D=49/når:2025-10-03", "Vegkart")</f>
        <v>Vegkart</v>
      </c>
      <c r="B3002">
        <v>845640283</v>
      </c>
      <c r="C3002">
        <v>49</v>
      </c>
      <c r="D3002" t="s">
        <v>8701</v>
      </c>
      <c r="E3002">
        <v>8917</v>
      </c>
      <c r="F3002" t="s">
        <v>23479</v>
      </c>
      <c r="G3002">
        <v>3</v>
      </c>
      <c r="H3002" t="s">
        <v>8719</v>
      </c>
      <c r="J3002" t="s">
        <v>9931</v>
      </c>
      <c r="K3002" t="s">
        <v>104</v>
      </c>
      <c r="L3002" t="s">
        <v>33</v>
      </c>
      <c r="M3002" t="s">
        <v>9996</v>
      </c>
      <c r="N3002" t="s">
        <v>9997</v>
      </c>
      <c r="O3002" t="s">
        <v>9998</v>
      </c>
      <c r="P3002" s="2" t="s">
        <v>37</v>
      </c>
      <c r="Q3002" t="s">
        <v>1208</v>
      </c>
      <c r="R3002">
        <v>0</v>
      </c>
      <c r="S3002">
        <v>13.49</v>
      </c>
      <c r="T3002" t="s">
        <v>9999</v>
      </c>
    </row>
    <row r="3003" spans="1:20" x14ac:dyDescent="0.25">
      <c r="A3003" s="1" t="str">
        <f>HYPERLINK("https://vegkart.atlas.vegvesen.no/#/@277570.7,6615383.9,18/hva:hva%5B0%5D%5Bfilter%5D%5B0%5D%5Boperator%5D=%21%3D&amp;hva%5B0%5D%5Bfilter%5D%5B0%5D%5Btype_id%5D=8917&amp;hva%5B0%5D%5Bfilter%5D%5B0%5D%5Bverdi%5D=&amp;hva%5B0%5D%5Bid%5D=49/når:2025-10-03", "Vegkart")</f>
        <v>Vegkart</v>
      </c>
      <c r="B3003">
        <v>848733797</v>
      </c>
      <c r="C3003">
        <v>49</v>
      </c>
      <c r="D3003" t="s">
        <v>8701</v>
      </c>
      <c r="E3003">
        <v>8917</v>
      </c>
      <c r="F3003" t="s">
        <v>23479</v>
      </c>
      <c r="G3003">
        <v>2</v>
      </c>
      <c r="H3003" t="s">
        <v>8719</v>
      </c>
      <c r="J3003" t="s">
        <v>10000</v>
      </c>
      <c r="K3003" t="s">
        <v>104</v>
      </c>
      <c r="L3003" t="s">
        <v>33</v>
      </c>
      <c r="M3003" t="s">
        <v>9345</v>
      </c>
      <c r="N3003" t="s">
        <v>10001</v>
      </c>
      <c r="O3003" t="s">
        <v>10002</v>
      </c>
      <c r="P3003" s="2" t="s">
        <v>37</v>
      </c>
      <c r="Q3003" t="s">
        <v>1208</v>
      </c>
      <c r="R3003">
        <v>0</v>
      </c>
      <c r="S3003">
        <v>34.29</v>
      </c>
      <c r="T3003" t="s">
        <v>10003</v>
      </c>
    </row>
    <row r="3004" spans="1:20" x14ac:dyDescent="0.25">
      <c r="A3004" s="1" t="str">
        <f>HYPERLINK("https://vegkart.atlas.vegvesen.no/#/@274706.9,6620442.8,18/hva:hva%5B0%5D%5Bfilter%5D%5B0%5D%5Boperator%5D=%21%3D&amp;hva%5B0%5D%5Bfilter%5D%5B0%5D%5Btype_id%5D=8917&amp;hva%5B0%5D%5Bfilter%5D%5B0%5D%5Bverdi%5D=&amp;hva%5B0%5D%5Bid%5D=49/når:2025-10-03", "Vegkart")</f>
        <v>Vegkart</v>
      </c>
      <c r="B3004">
        <v>848737108</v>
      </c>
      <c r="C3004">
        <v>49</v>
      </c>
      <c r="D3004" t="s">
        <v>8701</v>
      </c>
      <c r="E3004">
        <v>8917</v>
      </c>
      <c r="F3004" t="s">
        <v>23479</v>
      </c>
      <c r="G3004">
        <v>2</v>
      </c>
      <c r="H3004" t="s">
        <v>8719</v>
      </c>
      <c r="J3004" t="s">
        <v>10000</v>
      </c>
      <c r="K3004" t="s">
        <v>104</v>
      </c>
      <c r="L3004" t="s">
        <v>33</v>
      </c>
      <c r="M3004" t="s">
        <v>10004</v>
      </c>
      <c r="N3004" t="s">
        <v>10005</v>
      </c>
      <c r="O3004" t="s">
        <v>10006</v>
      </c>
      <c r="P3004" s="2" t="s">
        <v>37</v>
      </c>
      <c r="Q3004" t="s">
        <v>1208</v>
      </c>
      <c r="R3004">
        <v>0</v>
      </c>
      <c r="S3004">
        <v>16.03</v>
      </c>
      <c r="T3004" t="s">
        <v>10007</v>
      </c>
    </row>
    <row r="3005" spans="1:20" x14ac:dyDescent="0.25">
      <c r="A3005" s="1" t="str">
        <f>HYPERLINK("https://vegkart.atlas.vegvesen.no/#/@292411.1,6607655.7,18/hva:hva%5B0%5D%5Bfilter%5D%5B0%5D%5Boperator%5D=%21%3D&amp;hva%5B0%5D%5Bfilter%5D%5B0%5D%5Btype_id%5D=8917&amp;hva%5B0%5D%5Bfilter%5D%5B0%5D%5Bverdi%5D=&amp;hva%5B0%5D%5Bid%5D=49/når:2025-10-03", "Vegkart")</f>
        <v>Vegkart</v>
      </c>
      <c r="B3005">
        <v>848956572</v>
      </c>
      <c r="C3005">
        <v>49</v>
      </c>
      <c r="D3005" t="s">
        <v>8701</v>
      </c>
      <c r="E3005">
        <v>8917</v>
      </c>
      <c r="F3005" t="s">
        <v>23479</v>
      </c>
      <c r="G3005">
        <v>2</v>
      </c>
      <c r="H3005" t="s">
        <v>8719</v>
      </c>
      <c r="J3005" t="s">
        <v>10000</v>
      </c>
      <c r="K3005" t="s">
        <v>104</v>
      </c>
      <c r="L3005" t="s">
        <v>33</v>
      </c>
      <c r="M3005" t="s">
        <v>8825</v>
      </c>
      <c r="N3005" t="s">
        <v>10008</v>
      </c>
      <c r="O3005" t="s">
        <v>10009</v>
      </c>
      <c r="P3005" s="2" t="s">
        <v>37</v>
      </c>
      <c r="Q3005" t="s">
        <v>1208</v>
      </c>
      <c r="R3005">
        <v>0</v>
      </c>
      <c r="S3005">
        <v>28.59</v>
      </c>
      <c r="T3005" t="s">
        <v>10010</v>
      </c>
    </row>
    <row r="3006" spans="1:20" x14ac:dyDescent="0.25">
      <c r="A3006" s="1" t="str">
        <f>HYPERLINK("https://vegkart.atlas.vegvesen.no/#/@292381.6,6607697.7,18/hva:hva%5B0%5D%5Bfilter%5D%5B0%5D%5Boperator%5D=%21%3D&amp;hva%5B0%5D%5Bfilter%5D%5B0%5D%5Btype_id%5D=8917&amp;hva%5B0%5D%5Bfilter%5D%5B0%5D%5Bverdi%5D=&amp;hva%5B0%5D%5Bid%5D=49/når:2025-10-03", "Vegkart")</f>
        <v>Vegkart</v>
      </c>
      <c r="B3006">
        <v>848956573</v>
      </c>
      <c r="C3006">
        <v>49</v>
      </c>
      <c r="D3006" t="s">
        <v>8701</v>
      </c>
      <c r="E3006">
        <v>8917</v>
      </c>
      <c r="F3006" t="s">
        <v>23479</v>
      </c>
      <c r="G3006">
        <v>3</v>
      </c>
      <c r="H3006" t="s">
        <v>8719</v>
      </c>
      <c r="J3006" t="s">
        <v>10000</v>
      </c>
      <c r="K3006" t="s">
        <v>104</v>
      </c>
      <c r="L3006" t="s">
        <v>33</v>
      </c>
      <c r="M3006" t="s">
        <v>8825</v>
      </c>
      <c r="N3006" t="s">
        <v>10011</v>
      </c>
      <c r="O3006" t="s">
        <v>10012</v>
      </c>
      <c r="P3006" s="2" t="s">
        <v>37</v>
      </c>
      <c r="Q3006" t="s">
        <v>1208</v>
      </c>
      <c r="R3006">
        <v>1.96</v>
      </c>
      <c r="S3006">
        <v>6.38</v>
      </c>
      <c r="T3006" t="s">
        <v>10013</v>
      </c>
    </row>
    <row r="3007" spans="1:20" x14ac:dyDescent="0.25">
      <c r="A3007" s="1" t="str">
        <f>HYPERLINK("https://vegkart.atlas.vegvesen.no/#/@304453.5,6605638.7,18/hva:hva%5B0%5D%5Bfilter%5D%5B0%5D%5Boperator%5D=%21%3D&amp;hva%5B0%5D%5Bfilter%5D%5B0%5D%5Btype_id%5D=8917&amp;hva%5B0%5D%5Bfilter%5D%5B0%5D%5Bverdi%5D=&amp;hva%5B0%5D%5Bid%5D=49/når:2025-10-03", "Vegkart")</f>
        <v>Vegkart</v>
      </c>
      <c r="B3007">
        <v>849333626</v>
      </c>
      <c r="C3007">
        <v>49</v>
      </c>
      <c r="D3007" t="s">
        <v>8701</v>
      </c>
      <c r="E3007">
        <v>8917</v>
      </c>
      <c r="F3007" t="s">
        <v>23479</v>
      </c>
      <c r="G3007">
        <v>3</v>
      </c>
      <c r="H3007" t="s">
        <v>8719</v>
      </c>
      <c r="J3007" t="s">
        <v>10000</v>
      </c>
      <c r="K3007" t="s">
        <v>104</v>
      </c>
      <c r="L3007" t="s">
        <v>33</v>
      </c>
      <c r="M3007" t="s">
        <v>8721</v>
      </c>
      <c r="N3007" t="s">
        <v>10014</v>
      </c>
      <c r="O3007" t="s">
        <v>10015</v>
      </c>
      <c r="P3007" s="2" t="s">
        <v>37</v>
      </c>
      <c r="Q3007" t="s">
        <v>1208</v>
      </c>
      <c r="R3007">
        <v>0</v>
      </c>
      <c r="S3007">
        <v>43.44</v>
      </c>
      <c r="T3007" t="s">
        <v>10016</v>
      </c>
    </row>
    <row r="3008" spans="1:20" x14ac:dyDescent="0.25">
      <c r="A3008" s="1" t="str">
        <f>HYPERLINK("https://vegkart.atlas.vegvesen.no/#/@304478.2,6605640.0,18/hva:hva%5B0%5D%5Bfilter%5D%5B0%5D%5Boperator%5D=%21%3D&amp;hva%5B0%5D%5Bfilter%5D%5B0%5D%5Btype_id%5D=8917&amp;hva%5B0%5D%5Bfilter%5D%5B0%5D%5Bverdi%5D=&amp;hva%5B0%5D%5Bid%5D=49/når:2025-09-10", "Vegkart")</f>
        <v>Vegkart</v>
      </c>
      <c r="B3008">
        <v>849333628</v>
      </c>
      <c r="C3008">
        <v>49</v>
      </c>
      <c r="D3008" t="s">
        <v>8701</v>
      </c>
      <c r="E3008">
        <v>8917</v>
      </c>
      <c r="F3008" t="s">
        <v>23479</v>
      </c>
      <c r="G3008">
        <v>3</v>
      </c>
      <c r="H3008" t="s">
        <v>8733</v>
      </c>
      <c r="J3008" t="s">
        <v>10000</v>
      </c>
      <c r="K3008" t="s">
        <v>104</v>
      </c>
      <c r="L3008" t="s">
        <v>33</v>
      </c>
      <c r="M3008" t="s">
        <v>8721</v>
      </c>
      <c r="N3008" t="s">
        <v>10017</v>
      </c>
      <c r="O3008" t="s">
        <v>10018</v>
      </c>
      <c r="P3008" s="2" t="s">
        <v>37</v>
      </c>
      <c r="Q3008" t="s">
        <v>1208</v>
      </c>
      <c r="R3008">
        <v>0</v>
      </c>
      <c r="S3008">
        <v>35.299999999999997</v>
      </c>
      <c r="T3008" t="s">
        <v>10019</v>
      </c>
    </row>
    <row r="3009" spans="1:20" x14ac:dyDescent="0.25">
      <c r="A3009" s="1" t="str">
        <f>HYPERLINK("https://vegkart.atlas.vegvesen.no/#/@304445.1,6605617.6,18/hva:hva%5B0%5D%5Bfilter%5D%5B0%5D%5Boperator%5D=%21%3D&amp;hva%5B0%5D%5Bfilter%5D%5B0%5D%5Btype_id%5D=8917&amp;hva%5B0%5D%5Bfilter%5D%5B0%5D%5Bverdi%5D=&amp;hva%5B0%5D%5Bid%5D=49/når:2025-10-03", "Vegkart")</f>
        <v>Vegkart</v>
      </c>
      <c r="B3009">
        <v>849720948</v>
      </c>
      <c r="C3009">
        <v>49</v>
      </c>
      <c r="D3009" t="s">
        <v>8701</v>
      </c>
      <c r="E3009">
        <v>8917</v>
      </c>
      <c r="F3009" t="s">
        <v>23479</v>
      </c>
      <c r="G3009">
        <v>2</v>
      </c>
      <c r="H3009" t="s">
        <v>8719</v>
      </c>
      <c r="J3009" t="s">
        <v>10000</v>
      </c>
      <c r="K3009" t="s">
        <v>104</v>
      </c>
      <c r="L3009" t="s">
        <v>33</v>
      </c>
      <c r="M3009" t="s">
        <v>8721</v>
      </c>
      <c r="N3009" t="s">
        <v>10020</v>
      </c>
      <c r="O3009" t="s">
        <v>10021</v>
      </c>
      <c r="P3009" s="2" t="s">
        <v>37</v>
      </c>
      <c r="Q3009" t="s">
        <v>1208</v>
      </c>
      <c r="R3009">
        <v>0</v>
      </c>
      <c r="S3009">
        <v>26.04</v>
      </c>
      <c r="T3009" t="s">
        <v>10022</v>
      </c>
    </row>
    <row r="3010" spans="1:20" x14ac:dyDescent="0.25">
      <c r="A3010" s="1" t="str">
        <f>HYPERLINK("https://vegkart.atlas.vegvesen.no/#/@304442.2,6605658.5,18/hva:hva%5B0%5D%5Bfilter%5D%5B0%5D%5Boperator%5D=%21%3D&amp;hva%5B0%5D%5Bfilter%5D%5B0%5D%5Btype_id%5D=8917&amp;hva%5B0%5D%5Bfilter%5D%5B0%5D%5Bverdi%5D=&amp;hva%5B0%5D%5Bid%5D=49/når:2025-10-03", "Vegkart")</f>
        <v>Vegkart</v>
      </c>
      <c r="B3010">
        <v>849720950</v>
      </c>
      <c r="C3010">
        <v>49</v>
      </c>
      <c r="D3010" t="s">
        <v>8701</v>
      </c>
      <c r="E3010">
        <v>8917</v>
      </c>
      <c r="F3010" t="s">
        <v>23479</v>
      </c>
      <c r="G3010">
        <v>2</v>
      </c>
      <c r="H3010" t="s">
        <v>8719</v>
      </c>
      <c r="J3010" t="s">
        <v>10000</v>
      </c>
      <c r="K3010" t="s">
        <v>104</v>
      </c>
      <c r="L3010" t="s">
        <v>33</v>
      </c>
      <c r="M3010" t="s">
        <v>8721</v>
      </c>
      <c r="N3010" t="s">
        <v>10023</v>
      </c>
      <c r="O3010" t="s">
        <v>10024</v>
      </c>
      <c r="P3010" s="2" t="s">
        <v>37</v>
      </c>
      <c r="Q3010" t="s">
        <v>1208</v>
      </c>
      <c r="R3010">
        <v>0</v>
      </c>
      <c r="S3010">
        <v>25.65</v>
      </c>
      <c r="T3010" t="s">
        <v>10025</v>
      </c>
    </row>
    <row r="3011" spans="1:20" x14ac:dyDescent="0.25">
      <c r="A3011" s="1" t="str">
        <f>HYPERLINK("https://vegkart.atlas.vegvesen.no/#/@300194.7,6606186.0,18/hva:hva%5B0%5D%5Bfilter%5D%5B0%5D%5Boperator%5D=%21%3D&amp;hva%5B0%5D%5Bfilter%5D%5B0%5D%5Btype_id%5D=8917&amp;hva%5B0%5D%5Bfilter%5D%5B0%5D%5Bverdi%5D=&amp;hva%5B0%5D%5Bid%5D=49/når:2025-10-03", "Vegkart")</f>
        <v>Vegkart</v>
      </c>
      <c r="B3011">
        <v>849720955</v>
      </c>
      <c r="C3011">
        <v>49</v>
      </c>
      <c r="D3011" t="s">
        <v>8701</v>
      </c>
      <c r="E3011">
        <v>8917</v>
      </c>
      <c r="F3011" t="s">
        <v>23479</v>
      </c>
      <c r="G3011">
        <v>2</v>
      </c>
      <c r="H3011" t="s">
        <v>8719</v>
      </c>
      <c r="J3011" t="s">
        <v>10000</v>
      </c>
      <c r="K3011" t="s">
        <v>104</v>
      </c>
      <c r="L3011" t="s">
        <v>33</v>
      </c>
      <c r="M3011" t="s">
        <v>8721</v>
      </c>
      <c r="N3011" t="s">
        <v>10026</v>
      </c>
      <c r="O3011" t="s">
        <v>10027</v>
      </c>
      <c r="P3011" s="2" t="s">
        <v>37</v>
      </c>
      <c r="Q3011" t="s">
        <v>1208</v>
      </c>
      <c r="R3011">
        <v>0</v>
      </c>
      <c r="S3011">
        <v>27.2</v>
      </c>
      <c r="T3011" t="s">
        <v>10028</v>
      </c>
    </row>
    <row r="3012" spans="1:20" x14ac:dyDescent="0.25">
      <c r="A3012" s="1" t="str">
        <f>HYPERLINK("https://vegkart.atlas.vegvesen.no/#/@300173.8,6606098.4,18/hva:hva%5B0%5D%5Bfilter%5D%5B0%5D%5Boperator%5D=%21%3D&amp;hva%5B0%5D%5Bfilter%5D%5B0%5D%5Btype_id%5D=8917&amp;hva%5B0%5D%5Bfilter%5D%5B0%5D%5Bverdi%5D=&amp;hva%5B0%5D%5Bid%5D=49/når:2025-10-03", "Vegkart")</f>
        <v>Vegkart</v>
      </c>
      <c r="B3012">
        <v>849721386</v>
      </c>
      <c r="C3012">
        <v>49</v>
      </c>
      <c r="D3012" t="s">
        <v>8701</v>
      </c>
      <c r="E3012">
        <v>8917</v>
      </c>
      <c r="F3012" t="s">
        <v>23479</v>
      </c>
      <c r="G3012">
        <v>2</v>
      </c>
      <c r="H3012" t="s">
        <v>8719</v>
      </c>
      <c r="J3012" t="s">
        <v>10000</v>
      </c>
      <c r="K3012" t="s">
        <v>104</v>
      </c>
      <c r="L3012" t="s">
        <v>33</v>
      </c>
      <c r="M3012" t="s">
        <v>8721</v>
      </c>
      <c r="N3012" t="s">
        <v>10029</v>
      </c>
      <c r="O3012" t="s">
        <v>10030</v>
      </c>
      <c r="P3012" s="2" t="s">
        <v>37</v>
      </c>
      <c r="Q3012" t="s">
        <v>1208</v>
      </c>
      <c r="R3012">
        <v>0</v>
      </c>
      <c r="S3012">
        <v>20.85</v>
      </c>
      <c r="T3012" t="s">
        <v>10031</v>
      </c>
    </row>
    <row r="3013" spans="1:20" x14ac:dyDescent="0.25">
      <c r="A3013" s="1" t="str">
        <f>HYPERLINK("https://vegkart.atlas.vegvesen.no/#/@300154.0,6606072.3,18/hva:hva%5B0%5D%5Bfilter%5D%5B0%5D%5Boperator%5D=%21%3D&amp;hva%5B0%5D%5Bfilter%5D%5B0%5D%5Btype_id%5D=8917&amp;hva%5B0%5D%5Bfilter%5D%5B0%5D%5Bverdi%5D=&amp;hva%5B0%5D%5Bid%5D=49/når:2025-10-03", "Vegkart")</f>
        <v>Vegkart</v>
      </c>
      <c r="B3013">
        <v>849721389</v>
      </c>
      <c r="C3013">
        <v>49</v>
      </c>
      <c r="D3013" t="s">
        <v>8701</v>
      </c>
      <c r="E3013">
        <v>8917</v>
      </c>
      <c r="F3013" t="s">
        <v>23479</v>
      </c>
      <c r="G3013">
        <v>2</v>
      </c>
      <c r="H3013" t="s">
        <v>8719</v>
      </c>
      <c r="J3013" t="s">
        <v>10000</v>
      </c>
      <c r="K3013" t="s">
        <v>104</v>
      </c>
      <c r="L3013" t="s">
        <v>33</v>
      </c>
      <c r="M3013" t="s">
        <v>8721</v>
      </c>
      <c r="N3013" t="s">
        <v>10032</v>
      </c>
      <c r="O3013" t="s">
        <v>10033</v>
      </c>
      <c r="P3013" s="2" t="s">
        <v>37</v>
      </c>
      <c r="Q3013" t="s">
        <v>1208</v>
      </c>
      <c r="R3013">
        <v>0</v>
      </c>
      <c r="S3013">
        <v>19.11</v>
      </c>
      <c r="T3013" t="s">
        <v>10034</v>
      </c>
    </row>
    <row r="3014" spans="1:20" x14ac:dyDescent="0.25">
      <c r="A3014" s="1" t="str">
        <f>HYPERLINK("https://vegkart.atlas.vegvesen.no/#/@290113.7,6609965.4,18/hva:hva%5B0%5D%5Bfilter%5D%5B0%5D%5Boperator%5D=%21%3D&amp;hva%5B0%5D%5Bfilter%5D%5B0%5D%5Btype_id%5D=8917&amp;hva%5B0%5D%5Bfilter%5D%5B0%5D%5Bverdi%5D=&amp;hva%5B0%5D%5Bid%5D=49/når:2025-10-03", "Vegkart")</f>
        <v>Vegkart</v>
      </c>
      <c r="B3014">
        <v>849748501</v>
      </c>
      <c r="C3014">
        <v>49</v>
      </c>
      <c r="D3014" t="s">
        <v>8701</v>
      </c>
      <c r="E3014">
        <v>8917</v>
      </c>
      <c r="F3014" t="s">
        <v>23479</v>
      </c>
      <c r="G3014">
        <v>2</v>
      </c>
      <c r="H3014" t="s">
        <v>8719</v>
      </c>
      <c r="J3014" t="s">
        <v>10000</v>
      </c>
      <c r="K3014" t="s">
        <v>104</v>
      </c>
      <c r="L3014" t="s">
        <v>33</v>
      </c>
      <c r="M3014" t="s">
        <v>8721</v>
      </c>
      <c r="N3014" t="s">
        <v>10035</v>
      </c>
      <c r="O3014" t="s">
        <v>10036</v>
      </c>
      <c r="P3014" s="2" t="s">
        <v>37</v>
      </c>
      <c r="Q3014" t="s">
        <v>1208</v>
      </c>
      <c r="R3014">
        <v>0</v>
      </c>
      <c r="S3014">
        <v>55.95</v>
      </c>
      <c r="T3014" t="s">
        <v>10037</v>
      </c>
    </row>
    <row r="3015" spans="1:20" x14ac:dyDescent="0.25">
      <c r="A3015" s="1" t="str">
        <f>HYPERLINK("https://vegkart.atlas.vegvesen.no/#/@290076.4,6609984.1,18/hva:hva%5B0%5D%5Bfilter%5D%5B0%5D%5Boperator%5D=%21%3D&amp;hva%5B0%5D%5Bfilter%5D%5B0%5D%5Btype_id%5D=8917&amp;hva%5B0%5D%5Bfilter%5D%5B0%5D%5Bverdi%5D=&amp;hva%5B0%5D%5Bid%5D=49/når:2025-10-03", "Vegkart")</f>
        <v>Vegkart</v>
      </c>
      <c r="B3015">
        <v>849748505</v>
      </c>
      <c r="C3015">
        <v>49</v>
      </c>
      <c r="D3015" t="s">
        <v>8701</v>
      </c>
      <c r="E3015">
        <v>8917</v>
      </c>
      <c r="F3015" t="s">
        <v>23479</v>
      </c>
      <c r="G3015">
        <v>2</v>
      </c>
      <c r="H3015" t="s">
        <v>8719</v>
      </c>
      <c r="J3015" t="s">
        <v>10000</v>
      </c>
      <c r="K3015" t="s">
        <v>104</v>
      </c>
      <c r="L3015" t="s">
        <v>33</v>
      </c>
      <c r="M3015" t="s">
        <v>8721</v>
      </c>
      <c r="N3015" t="s">
        <v>10038</v>
      </c>
      <c r="O3015" t="s">
        <v>10039</v>
      </c>
      <c r="P3015" s="2" t="s">
        <v>37</v>
      </c>
      <c r="Q3015" t="s">
        <v>1208</v>
      </c>
      <c r="R3015">
        <v>0</v>
      </c>
      <c r="S3015">
        <v>25.03</v>
      </c>
      <c r="T3015" t="s">
        <v>10040</v>
      </c>
    </row>
    <row r="3016" spans="1:20" x14ac:dyDescent="0.25">
      <c r="A3016" s="1" t="str">
        <f>HYPERLINK("https://vegkart.atlas.vegvesen.no/#/@290043.2,6610093.4,18/hva:hva%5B0%5D%5Bfilter%5D%5B0%5D%5Boperator%5D=%21%3D&amp;hva%5B0%5D%5Bfilter%5D%5B0%5D%5Btype_id%5D=8917&amp;hva%5B0%5D%5Bfilter%5D%5B0%5D%5Bverdi%5D=&amp;hva%5B0%5D%5Bid%5D=49/når:2025-10-03", "Vegkart")</f>
        <v>Vegkart</v>
      </c>
      <c r="B3016">
        <v>849886133</v>
      </c>
      <c r="C3016">
        <v>49</v>
      </c>
      <c r="D3016" t="s">
        <v>8701</v>
      </c>
      <c r="E3016">
        <v>8917</v>
      </c>
      <c r="F3016" t="s">
        <v>23479</v>
      </c>
      <c r="G3016">
        <v>2</v>
      </c>
      <c r="H3016" t="s">
        <v>8719</v>
      </c>
      <c r="J3016" t="s">
        <v>10000</v>
      </c>
      <c r="K3016" t="s">
        <v>104</v>
      </c>
      <c r="L3016" t="s">
        <v>33</v>
      </c>
      <c r="M3016" t="s">
        <v>8721</v>
      </c>
      <c r="N3016" t="s">
        <v>10041</v>
      </c>
      <c r="O3016" t="s">
        <v>10042</v>
      </c>
      <c r="P3016" s="2" t="s">
        <v>37</v>
      </c>
      <c r="Q3016" t="s">
        <v>1208</v>
      </c>
      <c r="R3016">
        <v>0</v>
      </c>
      <c r="S3016">
        <v>26.04</v>
      </c>
      <c r="T3016" t="s">
        <v>10043</v>
      </c>
    </row>
    <row r="3017" spans="1:20" x14ac:dyDescent="0.25">
      <c r="A3017" s="1" t="str">
        <f>HYPERLINK("https://vegkart.atlas.vegvesen.no/#/@290013.5,6610108.2,18/hva:hva%5B0%5D%5Bfilter%5D%5B0%5D%5Boperator%5D=%21%3D&amp;hva%5B0%5D%5Bfilter%5D%5B0%5D%5Btype_id%5D=8917&amp;hva%5B0%5D%5Bfilter%5D%5B0%5D%5Bverdi%5D=&amp;hva%5B0%5D%5Bid%5D=49/når:2025-10-03", "Vegkart")</f>
        <v>Vegkart</v>
      </c>
      <c r="B3017">
        <v>849886136</v>
      </c>
      <c r="C3017">
        <v>49</v>
      </c>
      <c r="D3017" t="s">
        <v>8701</v>
      </c>
      <c r="E3017">
        <v>8917</v>
      </c>
      <c r="F3017" t="s">
        <v>23479</v>
      </c>
      <c r="G3017">
        <v>2</v>
      </c>
      <c r="H3017" t="s">
        <v>8719</v>
      </c>
      <c r="J3017" t="s">
        <v>10000</v>
      </c>
      <c r="K3017" t="s">
        <v>104</v>
      </c>
      <c r="L3017" t="s">
        <v>33</v>
      </c>
      <c r="M3017" t="s">
        <v>8721</v>
      </c>
      <c r="N3017" t="s">
        <v>10044</v>
      </c>
      <c r="O3017" t="s">
        <v>10045</v>
      </c>
      <c r="P3017" s="2" t="s">
        <v>37</v>
      </c>
      <c r="Q3017" t="s">
        <v>1208</v>
      </c>
      <c r="R3017">
        <v>0</v>
      </c>
      <c r="S3017">
        <v>28.53</v>
      </c>
      <c r="T3017" t="s">
        <v>10046</v>
      </c>
    </row>
    <row r="3018" spans="1:20" x14ac:dyDescent="0.25">
      <c r="A3018" s="1" t="str">
        <f>HYPERLINK("https://vegkart.atlas.vegvesen.no/#/@302518.9,6751344.6,18/hva:hva%5B0%5D%5Bfilter%5D%5B0%5D%5Boperator%5D=%21%3D&amp;hva%5B0%5D%5Bfilter%5D%5B0%5D%5Btype_id%5D=8917&amp;hva%5B0%5D%5Bfilter%5D%5B0%5D%5Bverdi%5D=&amp;hva%5B0%5D%5Bid%5D=49/når:2020-07-30", "Vegkart")</f>
        <v>Vegkart</v>
      </c>
      <c r="B3018">
        <v>850344782</v>
      </c>
      <c r="C3018">
        <v>49</v>
      </c>
      <c r="D3018" t="s">
        <v>8701</v>
      </c>
      <c r="E3018">
        <v>8917</v>
      </c>
      <c r="F3018" t="s">
        <v>23479</v>
      </c>
      <c r="G3018">
        <v>2</v>
      </c>
      <c r="H3018" t="s">
        <v>10047</v>
      </c>
      <c r="J3018" t="s">
        <v>10000</v>
      </c>
      <c r="K3018" t="s">
        <v>136</v>
      </c>
      <c r="L3018" t="s">
        <v>33</v>
      </c>
      <c r="M3018" t="s">
        <v>10048</v>
      </c>
      <c r="N3018" t="s">
        <v>10049</v>
      </c>
      <c r="O3018" t="s">
        <v>10050</v>
      </c>
      <c r="P3018" s="2" t="s">
        <v>165</v>
      </c>
      <c r="Q3018" t="s">
        <v>166</v>
      </c>
      <c r="R3018">
        <v>0</v>
      </c>
      <c r="S3018">
        <v>29.89</v>
      </c>
      <c r="T3018" t="s">
        <v>167</v>
      </c>
    </row>
    <row r="3019" spans="1:20" x14ac:dyDescent="0.25">
      <c r="A3019" s="1" t="str">
        <f>HYPERLINK("https://vegkart.atlas.vegvesen.no/#/@243863.0,6594197.5,18/hva:hva%5B0%5D%5Bfilter%5D%5B0%5D%5Boperator%5D=%21%3D&amp;hva%5B0%5D%5Bfilter%5D%5B0%5D%5Btype_id%5D=8917&amp;hva%5B0%5D%5Bfilter%5D%5B0%5D%5Bverdi%5D=&amp;hva%5B0%5D%5Bid%5D=49/når:2018-04-09", "Vegkart")</f>
        <v>Vegkart</v>
      </c>
      <c r="B3019">
        <v>850442100</v>
      </c>
      <c r="C3019">
        <v>49</v>
      </c>
      <c r="D3019" t="s">
        <v>8701</v>
      </c>
      <c r="E3019">
        <v>8917</v>
      </c>
      <c r="F3019" t="s">
        <v>23479</v>
      </c>
      <c r="G3019">
        <v>1</v>
      </c>
      <c r="H3019" t="s">
        <v>2695</v>
      </c>
      <c r="J3019" t="s">
        <v>10051</v>
      </c>
      <c r="K3019" t="s">
        <v>81</v>
      </c>
      <c r="L3019" t="s">
        <v>22</v>
      </c>
      <c r="M3019" t="s">
        <v>10052</v>
      </c>
      <c r="N3019" t="s">
        <v>10053</v>
      </c>
      <c r="O3019" t="s">
        <v>10054</v>
      </c>
      <c r="P3019" s="2" t="s">
        <v>26</v>
      </c>
      <c r="Q3019" t="s">
        <v>50</v>
      </c>
      <c r="R3019">
        <v>17.87</v>
      </c>
      <c r="S3019">
        <v>17.87</v>
      </c>
      <c r="T3019" t="s">
        <v>10055</v>
      </c>
    </row>
    <row r="3020" spans="1:20" x14ac:dyDescent="0.25">
      <c r="A3020" s="1" t="str">
        <f>HYPERLINK("https://vegkart.atlas.vegvesen.no/#/@212487.1,6558223.9,18/hva:hva%5B0%5D%5Bfilter%5D%5B0%5D%5Boperator%5D=%21%3D&amp;hva%5B0%5D%5Bfilter%5D%5B0%5D%5Btype_id%5D=8917&amp;hva%5B0%5D%5Bfilter%5D%5B0%5D%5Bverdi%5D=&amp;hva%5B0%5D%5Bid%5D=49/når:2018-04-24", "Vegkart")</f>
        <v>Vegkart</v>
      </c>
      <c r="B3020">
        <v>851791893</v>
      </c>
      <c r="C3020">
        <v>49</v>
      </c>
      <c r="D3020" t="s">
        <v>8701</v>
      </c>
      <c r="E3020">
        <v>8917</v>
      </c>
      <c r="F3020" t="s">
        <v>23479</v>
      </c>
      <c r="G3020">
        <v>2</v>
      </c>
      <c r="H3020" t="s">
        <v>10056</v>
      </c>
      <c r="J3020" t="s">
        <v>10000</v>
      </c>
      <c r="K3020" t="s">
        <v>81</v>
      </c>
      <c r="L3020" t="s">
        <v>80</v>
      </c>
      <c r="M3020" t="s">
        <v>53</v>
      </c>
      <c r="N3020" t="s">
        <v>10057</v>
      </c>
      <c r="O3020" t="s">
        <v>10058</v>
      </c>
      <c r="P3020" s="2" t="s">
        <v>165</v>
      </c>
      <c r="Q3020" t="s">
        <v>641</v>
      </c>
      <c r="R3020">
        <v>0</v>
      </c>
      <c r="S3020">
        <v>347.94</v>
      </c>
      <c r="T3020" t="s">
        <v>167</v>
      </c>
    </row>
    <row r="3021" spans="1:20" x14ac:dyDescent="0.25">
      <c r="A3021" s="1" t="str">
        <f>HYPERLINK("https://vegkart.atlas.vegvesen.no/#/@260559.3,6599156.3,18/hva:hva%5B0%5D%5Bfilter%5D%5B0%5D%5Boperator%5D=%21%3D&amp;hva%5B0%5D%5Bfilter%5D%5B0%5D%5Btype_id%5D=8917&amp;hva%5B0%5D%5Bfilter%5D%5B0%5D%5Bverdi%5D=&amp;hva%5B0%5D%5Bid%5D=49/når:2025-09-10", "Vegkart")</f>
        <v>Vegkart</v>
      </c>
      <c r="B3021">
        <v>863833705</v>
      </c>
      <c r="C3021">
        <v>49</v>
      </c>
      <c r="D3021" t="s">
        <v>8701</v>
      </c>
      <c r="E3021">
        <v>8917</v>
      </c>
      <c r="F3021" t="s">
        <v>23479</v>
      </c>
      <c r="G3021">
        <v>2</v>
      </c>
      <c r="H3021" t="s">
        <v>8733</v>
      </c>
      <c r="J3021" t="s">
        <v>10000</v>
      </c>
      <c r="K3021" t="s">
        <v>104</v>
      </c>
      <c r="L3021" t="s">
        <v>33</v>
      </c>
      <c r="M3021" t="s">
        <v>288</v>
      </c>
      <c r="N3021" t="s">
        <v>10059</v>
      </c>
      <c r="O3021" t="s">
        <v>10060</v>
      </c>
      <c r="P3021" s="2" t="s">
        <v>37</v>
      </c>
      <c r="Q3021" t="s">
        <v>1208</v>
      </c>
      <c r="R3021">
        <v>0</v>
      </c>
      <c r="S3021">
        <v>161.02000000000001</v>
      </c>
      <c r="T3021" t="s">
        <v>10061</v>
      </c>
    </row>
    <row r="3022" spans="1:20" x14ac:dyDescent="0.25">
      <c r="A3022" s="1" t="str">
        <f>HYPERLINK("https://vegkart.atlas.vegvesen.no/#/@256656.4,6597529.0,18/hva:hva%5B0%5D%5Bfilter%5D%5B0%5D%5Boperator%5D=%21%3D&amp;hva%5B0%5D%5Bfilter%5D%5B0%5D%5Btype_id%5D=8917&amp;hva%5B0%5D%5Bfilter%5D%5B0%5D%5Bverdi%5D=&amp;hva%5B0%5D%5Bid%5D=49/når:2025-10-30", "Vegkart")</f>
        <v>Vegkart</v>
      </c>
      <c r="B3022">
        <v>863833707</v>
      </c>
      <c r="C3022">
        <v>49</v>
      </c>
      <c r="D3022" t="s">
        <v>8701</v>
      </c>
      <c r="E3022">
        <v>8917</v>
      </c>
      <c r="F3022" t="s">
        <v>23479</v>
      </c>
      <c r="G3022">
        <v>2</v>
      </c>
      <c r="H3022" t="s">
        <v>8750</v>
      </c>
      <c r="J3022" t="s">
        <v>10000</v>
      </c>
      <c r="K3022" t="s">
        <v>104</v>
      </c>
      <c r="L3022" t="s">
        <v>33</v>
      </c>
      <c r="M3022" t="s">
        <v>288</v>
      </c>
      <c r="N3022" t="s">
        <v>10062</v>
      </c>
      <c r="O3022" t="s">
        <v>10063</v>
      </c>
      <c r="P3022" s="2" t="s">
        <v>37</v>
      </c>
      <c r="Q3022" t="s">
        <v>1208</v>
      </c>
      <c r="R3022">
        <v>0</v>
      </c>
      <c r="S3022">
        <v>39.57</v>
      </c>
      <c r="T3022" t="s">
        <v>10064</v>
      </c>
    </row>
    <row r="3023" spans="1:20" x14ac:dyDescent="0.25">
      <c r="A3023" s="1" t="str">
        <f>HYPERLINK("https://vegkart.atlas.vegvesen.no/#/@82653.2,6516707.4,18/hva:hva%5B0%5D%5Bfilter%5D%5B0%5D%5Boperator%5D=%21%3D&amp;hva%5B0%5D%5Bfilter%5D%5B0%5D%5Btype_id%5D=8917&amp;hva%5B0%5D%5Bfilter%5D%5B0%5D%5Bverdi%5D=&amp;hva%5B0%5D%5Bid%5D=49/når:2018-06-06", "Vegkart")</f>
        <v>Vegkart</v>
      </c>
      <c r="B3023">
        <v>865186033</v>
      </c>
      <c r="C3023">
        <v>49</v>
      </c>
      <c r="D3023" t="s">
        <v>8701</v>
      </c>
      <c r="E3023">
        <v>8917</v>
      </c>
      <c r="F3023" t="s">
        <v>23479</v>
      </c>
      <c r="G3023">
        <v>1</v>
      </c>
      <c r="H3023" t="s">
        <v>10065</v>
      </c>
      <c r="J3023" t="s">
        <v>10000</v>
      </c>
      <c r="K3023" t="s">
        <v>86</v>
      </c>
      <c r="L3023" t="s">
        <v>33</v>
      </c>
      <c r="M3023" t="s">
        <v>86</v>
      </c>
      <c r="N3023" t="s">
        <v>10066</v>
      </c>
      <c r="O3023" t="s">
        <v>10067</v>
      </c>
      <c r="P3023" s="2" t="s">
        <v>37</v>
      </c>
      <c r="Q3023" t="s">
        <v>1208</v>
      </c>
      <c r="R3023">
        <v>2.5099999999999998</v>
      </c>
      <c r="S3023">
        <v>5.46</v>
      </c>
      <c r="T3023" t="s">
        <v>10068</v>
      </c>
    </row>
    <row r="3024" spans="1:20" x14ac:dyDescent="0.25">
      <c r="A3024" s="1" t="str">
        <f>HYPERLINK("https://vegkart.atlas.vegvesen.no/#/@-7618.9,6740511.8,18/hva:hva%5B0%5D%5Bfilter%5D%5B0%5D%5Boperator%5D=%21%3D&amp;hva%5B0%5D%5Bfilter%5D%5B0%5D%5Btype_id%5D=8917&amp;hva%5B0%5D%5Bfilter%5D%5B0%5D%5Bverdi%5D=&amp;hva%5B0%5D%5Bid%5D=49/når:2018-06-18", "Vegkart")</f>
        <v>Vegkart</v>
      </c>
      <c r="B3024">
        <v>869404528</v>
      </c>
      <c r="C3024">
        <v>49</v>
      </c>
      <c r="D3024" t="s">
        <v>8701</v>
      </c>
      <c r="E3024">
        <v>8917</v>
      </c>
      <c r="F3024" t="s">
        <v>23479</v>
      </c>
      <c r="G3024">
        <v>1</v>
      </c>
      <c r="H3024" t="s">
        <v>10069</v>
      </c>
      <c r="J3024" t="s">
        <v>10000</v>
      </c>
      <c r="K3024" t="s">
        <v>21</v>
      </c>
      <c r="L3024" t="s">
        <v>33</v>
      </c>
      <c r="M3024" t="s">
        <v>10070</v>
      </c>
      <c r="N3024" t="s">
        <v>10071</v>
      </c>
      <c r="O3024" t="s">
        <v>10072</v>
      </c>
      <c r="P3024" s="2" t="s">
        <v>26</v>
      </c>
      <c r="Q3024" t="s">
        <v>50</v>
      </c>
      <c r="R3024">
        <v>0.55000000000000004</v>
      </c>
      <c r="S3024">
        <v>0.55000000000000004</v>
      </c>
      <c r="T3024" t="s">
        <v>10073</v>
      </c>
    </row>
    <row r="3025" spans="1:20" x14ac:dyDescent="0.25">
      <c r="A3025" s="1" t="str">
        <f>HYPERLINK("https://vegkart.atlas.vegvesen.no/#/@15691.5,6726215.4,18/hva:hva%5B0%5D%5Bfilter%5D%5B0%5D%5Boperator%5D=%21%3D&amp;hva%5B0%5D%5Bfilter%5D%5B0%5D%5Btype_id%5D=8917&amp;hva%5B0%5D%5Bfilter%5D%5B0%5D%5Bverdi%5D=&amp;hva%5B0%5D%5Bid%5D=49/når:2018-06-19", "Vegkart")</f>
        <v>Vegkart</v>
      </c>
      <c r="B3025">
        <v>869714548</v>
      </c>
      <c r="C3025">
        <v>49</v>
      </c>
      <c r="D3025" t="s">
        <v>8701</v>
      </c>
      <c r="E3025">
        <v>8917</v>
      </c>
      <c r="F3025" t="s">
        <v>23479</v>
      </c>
      <c r="G3025">
        <v>1</v>
      </c>
      <c r="H3025" t="s">
        <v>10074</v>
      </c>
      <c r="J3025" t="s">
        <v>10000</v>
      </c>
      <c r="K3025" t="s">
        <v>21</v>
      </c>
      <c r="L3025" t="s">
        <v>33</v>
      </c>
      <c r="M3025" t="s">
        <v>1380</v>
      </c>
      <c r="N3025" t="s">
        <v>10075</v>
      </c>
      <c r="O3025" t="s">
        <v>10076</v>
      </c>
      <c r="P3025" s="2" t="s">
        <v>26</v>
      </c>
      <c r="Q3025" t="s">
        <v>50</v>
      </c>
      <c r="R3025">
        <v>4.33</v>
      </c>
      <c r="S3025">
        <v>4.33</v>
      </c>
      <c r="T3025" t="s">
        <v>10077</v>
      </c>
    </row>
    <row r="3026" spans="1:20" x14ac:dyDescent="0.25">
      <c r="A3026" s="1" t="str">
        <f>HYPERLINK("https://vegkart.atlas.vegvesen.no/#/@47061.8,6743168.8,18/hva:hva%5B0%5D%5Bfilter%5D%5B0%5D%5Boperator%5D=%21%3D&amp;hva%5B0%5D%5Bfilter%5D%5B0%5D%5Btype_id%5D=8917&amp;hva%5B0%5D%5Bfilter%5D%5B0%5D%5Bverdi%5D=&amp;hva%5B0%5D%5Bid%5D=49/når:2018-09-20", "Vegkart")</f>
        <v>Vegkart</v>
      </c>
      <c r="B3026">
        <v>904914760</v>
      </c>
      <c r="C3026">
        <v>49</v>
      </c>
      <c r="D3026" t="s">
        <v>8701</v>
      </c>
      <c r="E3026">
        <v>8917</v>
      </c>
      <c r="F3026" t="s">
        <v>23479</v>
      </c>
      <c r="G3026">
        <v>1</v>
      </c>
      <c r="H3026" t="s">
        <v>6093</v>
      </c>
      <c r="J3026" t="s">
        <v>10078</v>
      </c>
      <c r="K3026" t="s">
        <v>21</v>
      </c>
      <c r="L3026" t="s">
        <v>113</v>
      </c>
      <c r="M3026" t="s">
        <v>114</v>
      </c>
      <c r="N3026" t="s">
        <v>10079</v>
      </c>
      <c r="O3026" t="s">
        <v>10080</v>
      </c>
      <c r="P3026" s="2" t="s">
        <v>37</v>
      </c>
      <c r="Q3026" t="s">
        <v>1208</v>
      </c>
      <c r="R3026">
        <v>3.85</v>
      </c>
      <c r="S3026">
        <v>305.70999999999998</v>
      </c>
      <c r="T3026" t="s">
        <v>10081</v>
      </c>
    </row>
    <row r="3027" spans="1:20" x14ac:dyDescent="0.25">
      <c r="A3027" s="1" t="str">
        <f>HYPERLINK("https://vegkart.atlas.vegvesen.no/#/@155903.8,6741240.6,18/hva:hva%5B0%5D%5Bfilter%5D%5B0%5D%5Boperator%5D=%21%3D&amp;hva%5B0%5D%5Bfilter%5D%5B0%5D%5Btype_id%5D=8917&amp;hva%5B0%5D%5Bfilter%5D%5B0%5D%5Bverdi%5D=&amp;hva%5B0%5D%5Bid%5D=49/når:2018-10-17", "Vegkart")</f>
        <v>Vegkart</v>
      </c>
      <c r="B3027">
        <v>909359406</v>
      </c>
      <c r="C3027">
        <v>49</v>
      </c>
      <c r="D3027" t="s">
        <v>8701</v>
      </c>
      <c r="E3027">
        <v>8917</v>
      </c>
      <c r="F3027" t="s">
        <v>23479</v>
      </c>
      <c r="G3027">
        <v>1</v>
      </c>
      <c r="H3027" t="s">
        <v>10082</v>
      </c>
      <c r="J3027" t="s">
        <v>10078</v>
      </c>
      <c r="K3027" t="s">
        <v>307</v>
      </c>
      <c r="L3027" t="s">
        <v>33</v>
      </c>
      <c r="M3027" t="s">
        <v>10083</v>
      </c>
      <c r="N3027" t="s">
        <v>10084</v>
      </c>
      <c r="O3027" t="s">
        <v>10085</v>
      </c>
      <c r="P3027" s="2" t="s">
        <v>26</v>
      </c>
      <c r="Q3027" t="s">
        <v>50</v>
      </c>
      <c r="R3027">
        <v>9.66</v>
      </c>
      <c r="S3027">
        <v>9.66</v>
      </c>
      <c r="T3027" t="s">
        <v>10086</v>
      </c>
    </row>
    <row r="3028" spans="1:20" x14ac:dyDescent="0.25">
      <c r="A3028" s="1" t="str">
        <f>HYPERLINK("https://vegkart.atlas.vegvesen.no/#/@34328.0,6924996.2,18/hva:hva%5B0%5D%5Bfilter%5D%5B0%5D%5Boperator%5D=%21%3D&amp;hva%5B0%5D%5Bfilter%5D%5B0%5D%5Btype_id%5D=8917&amp;hva%5B0%5D%5Bfilter%5D%5B0%5D%5Bverdi%5D=&amp;hva%5B0%5D%5Bid%5D=49/når:2019-12-09", "Vegkart")</f>
        <v>Vegkart</v>
      </c>
      <c r="B3028">
        <v>909972721</v>
      </c>
      <c r="C3028">
        <v>49</v>
      </c>
      <c r="D3028" t="s">
        <v>8701</v>
      </c>
      <c r="E3028">
        <v>8917</v>
      </c>
      <c r="F3028" t="s">
        <v>23479</v>
      </c>
      <c r="G3028">
        <v>2</v>
      </c>
      <c r="H3028" t="s">
        <v>10087</v>
      </c>
      <c r="J3028" t="s">
        <v>10078</v>
      </c>
      <c r="K3028" t="s">
        <v>32</v>
      </c>
      <c r="L3028" t="s">
        <v>33</v>
      </c>
      <c r="M3028" t="s">
        <v>10088</v>
      </c>
      <c r="N3028" t="s">
        <v>10089</v>
      </c>
      <c r="O3028" t="s">
        <v>10090</v>
      </c>
      <c r="P3028" s="2" t="s">
        <v>165</v>
      </c>
      <c r="Q3028" t="s">
        <v>641</v>
      </c>
      <c r="R3028">
        <v>1.01</v>
      </c>
      <c r="S3028">
        <v>16.68</v>
      </c>
      <c r="T3028" t="s">
        <v>167</v>
      </c>
    </row>
    <row r="3029" spans="1:20" x14ac:dyDescent="0.25">
      <c r="A3029" s="1" t="str">
        <f>HYPERLINK("https://vegkart.atlas.vegvesen.no/#/@104304.3,6624440.1,18/hva:hva%5B0%5D%5Bfilter%5D%5B0%5D%5Boperator%5D=%21%3D&amp;hva%5B0%5D%5Bfilter%5D%5B0%5D%5Btype_id%5D=8917&amp;hva%5B0%5D%5Bfilter%5D%5B0%5D%5Bverdi%5D=&amp;hva%5B0%5D%5Bid%5D=49/når:2018-11-14", "Vegkart")</f>
        <v>Vegkart</v>
      </c>
      <c r="B3029">
        <v>910925014</v>
      </c>
      <c r="C3029">
        <v>49</v>
      </c>
      <c r="D3029" t="s">
        <v>8701</v>
      </c>
      <c r="E3029">
        <v>8917</v>
      </c>
      <c r="F3029" t="s">
        <v>23479</v>
      </c>
      <c r="G3029">
        <v>1</v>
      </c>
      <c r="H3029" t="s">
        <v>10091</v>
      </c>
      <c r="J3029" t="s">
        <v>10092</v>
      </c>
      <c r="K3029" t="s">
        <v>197</v>
      </c>
      <c r="L3029" t="s">
        <v>80</v>
      </c>
      <c r="M3029" t="s">
        <v>645</v>
      </c>
      <c r="N3029" t="s">
        <v>10093</v>
      </c>
      <c r="O3029" t="s">
        <v>10094</v>
      </c>
      <c r="P3029" s="2" t="s">
        <v>165</v>
      </c>
      <c r="Q3029" t="s">
        <v>641</v>
      </c>
      <c r="R3029">
        <v>0</v>
      </c>
      <c r="S3029">
        <v>158.65</v>
      </c>
      <c r="T3029" t="s">
        <v>167</v>
      </c>
    </row>
    <row r="3030" spans="1:20" x14ac:dyDescent="0.25">
      <c r="A3030" s="1" t="str">
        <f>HYPERLINK("https://vegkart.atlas.vegvesen.no/#/@265415.7,6646410.9,18/hva:hva%5B0%5D%5Bfilter%5D%5B0%5D%5Boperator%5D=%21%3D&amp;hva%5B0%5D%5Bfilter%5D%5B0%5D%5Btype_id%5D=8917&amp;hva%5B0%5D%5Bfilter%5D%5B0%5D%5Bverdi%5D=&amp;hva%5B0%5D%5Bid%5D=49/når:2018-11-20", "Vegkart")</f>
        <v>Vegkart</v>
      </c>
      <c r="B3030">
        <v>911306002</v>
      </c>
      <c r="C3030">
        <v>49</v>
      </c>
      <c r="D3030" t="s">
        <v>8701</v>
      </c>
      <c r="E3030">
        <v>8917</v>
      </c>
      <c r="F3030" t="s">
        <v>23479</v>
      </c>
      <c r="G3030">
        <v>1</v>
      </c>
      <c r="H3030" t="s">
        <v>1654</v>
      </c>
      <c r="J3030" t="s">
        <v>10092</v>
      </c>
      <c r="K3030" t="s">
        <v>335</v>
      </c>
      <c r="L3030" t="s">
        <v>80</v>
      </c>
      <c r="M3030" t="s">
        <v>105</v>
      </c>
      <c r="N3030" t="s">
        <v>10095</v>
      </c>
      <c r="O3030" t="s">
        <v>10096</v>
      </c>
      <c r="P3030" s="2" t="s">
        <v>37</v>
      </c>
      <c r="Q3030" t="s">
        <v>1208</v>
      </c>
      <c r="R3030">
        <v>0</v>
      </c>
      <c r="S3030">
        <v>102.63</v>
      </c>
      <c r="T3030" t="s">
        <v>10097</v>
      </c>
    </row>
    <row r="3031" spans="1:20" x14ac:dyDescent="0.25">
      <c r="A3031" s="1" t="str">
        <f>HYPERLINK("https://vegkart.atlas.vegvesen.no/#/@-38979.6,6736796.5,18/hva:hva%5B0%5D%5Bfilter%5D%5B0%5D%5Boperator%5D=%21%3D&amp;hva%5B0%5D%5Bfilter%5D%5B0%5D%5Btype_id%5D=8917&amp;hva%5B0%5D%5Bfilter%5D%5B0%5D%5Bverdi%5D=&amp;hva%5B0%5D%5Bid%5D=49/når:2018-11-22", "Vegkart")</f>
        <v>Vegkart</v>
      </c>
      <c r="B3031">
        <v>911679509</v>
      </c>
      <c r="C3031">
        <v>49</v>
      </c>
      <c r="D3031" t="s">
        <v>8701</v>
      </c>
      <c r="E3031">
        <v>8917</v>
      </c>
      <c r="F3031" t="s">
        <v>23479</v>
      </c>
      <c r="G3031">
        <v>1</v>
      </c>
      <c r="H3031" t="s">
        <v>1671</v>
      </c>
      <c r="J3031" t="s">
        <v>10098</v>
      </c>
      <c r="K3031" t="s">
        <v>21</v>
      </c>
      <c r="L3031" t="s">
        <v>22</v>
      </c>
      <c r="M3031" t="s">
        <v>10099</v>
      </c>
      <c r="N3031" t="s">
        <v>10100</v>
      </c>
      <c r="O3031" t="s">
        <v>10101</v>
      </c>
      <c r="P3031" s="2" t="s">
        <v>26</v>
      </c>
      <c r="Q3031" t="s">
        <v>50</v>
      </c>
      <c r="R3031">
        <v>4.76</v>
      </c>
      <c r="S3031">
        <v>4.76</v>
      </c>
      <c r="T3031" t="s">
        <v>10102</v>
      </c>
    </row>
    <row r="3032" spans="1:20" x14ac:dyDescent="0.25">
      <c r="A3032" s="1" t="str">
        <f>HYPERLINK("https://vegkart.atlas.vegvesen.no/#/@-31367.1,6573847.8,18/hva:hva%5B0%5D%5Bfilter%5D%5B0%5D%5Boperator%5D=%21%3D&amp;hva%5B0%5D%5Bfilter%5D%5B0%5D%5Btype_id%5D=8917&amp;hva%5B0%5D%5Bfilter%5D%5B0%5D%5Bverdi%5D=&amp;hva%5B0%5D%5Bid%5D=49/når:2018-11-25", "Vegkart")</f>
        <v>Vegkart</v>
      </c>
      <c r="B3032">
        <v>912093790</v>
      </c>
      <c r="C3032">
        <v>49</v>
      </c>
      <c r="D3032" t="s">
        <v>8701</v>
      </c>
      <c r="E3032">
        <v>8917</v>
      </c>
      <c r="F3032" t="s">
        <v>23479</v>
      </c>
      <c r="G3032">
        <v>1</v>
      </c>
      <c r="H3032" t="s">
        <v>10103</v>
      </c>
      <c r="J3032" t="s">
        <v>10092</v>
      </c>
      <c r="K3032" t="s">
        <v>170</v>
      </c>
      <c r="L3032" t="s">
        <v>33</v>
      </c>
      <c r="M3032" t="s">
        <v>10104</v>
      </c>
      <c r="N3032" t="s">
        <v>10105</v>
      </c>
      <c r="O3032" t="s">
        <v>10106</v>
      </c>
      <c r="P3032" s="2" t="s">
        <v>26</v>
      </c>
      <c r="Q3032" t="s">
        <v>50</v>
      </c>
      <c r="R3032">
        <v>21.79</v>
      </c>
      <c r="S3032">
        <v>21.79</v>
      </c>
      <c r="T3032" t="s">
        <v>10107</v>
      </c>
    </row>
    <row r="3033" spans="1:20" x14ac:dyDescent="0.25">
      <c r="A3033" s="1" t="str">
        <f>HYPERLINK("https://vegkart.atlas.vegvesen.no/#/@-31372.2,6573777.5,18/hva:hva%5B0%5D%5Bfilter%5D%5B0%5D%5Boperator%5D=%21%3D&amp;hva%5B0%5D%5Bfilter%5D%5B0%5D%5Btype_id%5D=8917&amp;hva%5B0%5D%5Bfilter%5D%5B0%5D%5Bverdi%5D=&amp;hva%5B0%5D%5Bid%5D=49/når:2018-11-25", "Vegkart")</f>
        <v>Vegkart</v>
      </c>
      <c r="B3033">
        <v>912093793</v>
      </c>
      <c r="C3033">
        <v>49</v>
      </c>
      <c r="D3033" t="s">
        <v>8701</v>
      </c>
      <c r="E3033">
        <v>8917</v>
      </c>
      <c r="F3033" t="s">
        <v>23479</v>
      </c>
      <c r="G3033">
        <v>1</v>
      </c>
      <c r="H3033" t="s">
        <v>10103</v>
      </c>
      <c r="J3033" t="s">
        <v>10092</v>
      </c>
      <c r="K3033" t="s">
        <v>170</v>
      </c>
      <c r="L3033" t="s">
        <v>33</v>
      </c>
      <c r="M3033" t="s">
        <v>10104</v>
      </c>
      <c r="N3033" t="s">
        <v>10108</v>
      </c>
      <c r="O3033" t="s">
        <v>10109</v>
      </c>
      <c r="P3033" s="2" t="s">
        <v>26</v>
      </c>
      <c r="Q3033" t="s">
        <v>50</v>
      </c>
      <c r="R3033">
        <v>11.39</v>
      </c>
      <c r="S3033">
        <v>11.39</v>
      </c>
      <c r="T3033" t="s">
        <v>10110</v>
      </c>
    </row>
    <row r="3034" spans="1:20" x14ac:dyDescent="0.25">
      <c r="A3034" s="1" t="str">
        <f>HYPERLINK("https://vegkart.atlas.vegvesen.no/#/@-31540.5,6573864.9,18/hva:hva%5B0%5D%5Bfilter%5D%5B0%5D%5Boperator%5D=%21%3D&amp;hva%5B0%5D%5Bfilter%5D%5B0%5D%5Btype_id%5D=8917&amp;hva%5B0%5D%5Bfilter%5D%5B0%5D%5Bverdi%5D=&amp;hva%5B0%5D%5Bid%5D=49/når:2018-11-25", "Vegkart")</f>
        <v>Vegkart</v>
      </c>
      <c r="B3034">
        <v>912093794</v>
      </c>
      <c r="C3034">
        <v>49</v>
      </c>
      <c r="D3034" t="s">
        <v>8701</v>
      </c>
      <c r="E3034">
        <v>8917</v>
      </c>
      <c r="F3034" t="s">
        <v>23479</v>
      </c>
      <c r="G3034">
        <v>1</v>
      </c>
      <c r="H3034" t="s">
        <v>10103</v>
      </c>
      <c r="J3034" t="s">
        <v>10092</v>
      </c>
      <c r="K3034" t="s">
        <v>170</v>
      </c>
      <c r="L3034" t="s">
        <v>33</v>
      </c>
      <c r="M3034" t="s">
        <v>10104</v>
      </c>
      <c r="N3034" t="s">
        <v>10111</v>
      </c>
      <c r="O3034" t="s">
        <v>10112</v>
      </c>
      <c r="P3034" s="2" t="s">
        <v>26</v>
      </c>
      <c r="Q3034" t="s">
        <v>50</v>
      </c>
      <c r="R3034">
        <v>0.81</v>
      </c>
      <c r="S3034">
        <v>0.81</v>
      </c>
      <c r="T3034" t="s">
        <v>10113</v>
      </c>
    </row>
    <row r="3035" spans="1:20" x14ac:dyDescent="0.25">
      <c r="A3035" s="1" t="str">
        <f>HYPERLINK("https://vegkart.atlas.vegvesen.no/#/@-31560.3,6573861.4,18/hva:hva%5B0%5D%5Bfilter%5D%5B0%5D%5Boperator%5D=%21%3D&amp;hva%5B0%5D%5Bfilter%5D%5B0%5D%5Btype_id%5D=8917&amp;hva%5B0%5D%5Bfilter%5D%5B0%5D%5Bverdi%5D=&amp;hva%5B0%5D%5Bid%5D=49/når:2018-11-25", "Vegkart")</f>
        <v>Vegkart</v>
      </c>
      <c r="B3035">
        <v>912093795</v>
      </c>
      <c r="C3035">
        <v>49</v>
      </c>
      <c r="D3035" t="s">
        <v>8701</v>
      </c>
      <c r="E3035">
        <v>8917</v>
      </c>
      <c r="F3035" t="s">
        <v>23479</v>
      </c>
      <c r="G3035">
        <v>1</v>
      </c>
      <c r="H3035" t="s">
        <v>10103</v>
      </c>
      <c r="J3035" t="s">
        <v>10092</v>
      </c>
      <c r="K3035" t="s">
        <v>170</v>
      </c>
      <c r="L3035" t="s">
        <v>33</v>
      </c>
      <c r="M3035" t="s">
        <v>10104</v>
      </c>
      <c r="N3035" t="s">
        <v>10114</v>
      </c>
      <c r="O3035" t="s">
        <v>10115</v>
      </c>
      <c r="P3035" s="2" t="s">
        <v>26</v>
      </c>
      <c r="Q3035" t="s">
        <v>50</v>
      </c>
      <c r="R3035">
        <v>3.94</v>
      </c>
      <c r="S3035">
        <v>3.94</v>
      </c>
      <c r="T3035" t="s">
        <v>10116</v>
      </c>
    </row>
    <row r="3036" spans="1:20" x14ac:dyDescent="0.25">
      <c r="A3036" s="1" t="str">
        <f>HYPERLINK("https://vegkart.atlas.vegvesen.no/#/@-31555.0,6573841.8,18/hva:hva%5B0%5D%5Bfilter%5D%5B0%5D%5Boperator%5D=%21%3D&amp;hva%5B0%5D%5Bfilter%5D%5B0%5D%5Btype_id%5D=8917&amp;hva%5B0%5D%5Bfilter%5D%5B0%5D%5Bverdi%5D=&amp;hva%5B0%5D%5Bid%5D=49/når:2018-11-25", "Vegkart")</f>
        <v>Vegkart</v>
      </c>
      <c r="B3036">
        <v>912093796</v>
      </c>
      <c r="C3036">
        <v>49</v>
      </c>
      <c r="D3036" t="s">
        <v>8701</v>
      </c>
      <c r="E3036">
        <v>8917</v>
      </c>
      <c r="F3036" t="s">
        <v>23479</v>
      </c>
      <c r="G3036">
        <v>1</v>
      </c>
      <c r="H3036" t="s">
        <v>10103</v>
      </c>
      <c r="J3036" t="s">
        <v>10092</v>
      </c>
      <c r="K3036" t="s">
        <v>170</v>
      </c>
      <c r="L3036" t="s">
        <v>33</v>
      </c>
      <c r="M3036" t="s">
        <v>10104</v>
      </c>
      <c r="N3036" t="s">
        <v>10117</v>
      </c>
      <c r="O3036" t="s">
        <v>10118</v>
      </c>
      <c r="P3036" s="2" t="s">
        <v>26</v>
      </c>
      <c r="Q3036" t="s">
        <v>50</v>
      </c>
      <c r="R3036">
        <v>1.92</v>
      </c>
      <c r="S3036">
        <v>1.92</v>
      </c>
      <c r="T3036" t="s">
        <v>10119</v>
      </c>
    </row>
    <row r="3037" spans="1:20" x14ac:dyDescent="0.25">
      <c r="A3037" s="1" t="str">
        <f>HYPERLINK("https://vegkart.atlas.vegvesen.no/#/@260634.6,6629322.6,18/hva:hva%5B0%5D%5Bfilter%5D%5B0%5D%5Boperator%5D=%21%3D&amp;hva%5B0%5D%5Bfilter%5D%5B0%5D%5Btype_id%5D=8917&amp;hva%5B0%5D%5Bfilter%5D%5B0%5D%5Bverdi%5D=&amp;hva%5B0%5D%5Bid%5D=49/når:2018-11-28", "Vegkart")</f>
        <v>Vegkart</v>
      </c>
      <c r="B3037">
        <v>912321882</v>
      </c>
      <c r="C3037">
        <v>49</v>
      </c>
      <c r="D3037" t="s">
        <v>8701</v>
      </c>
      <c r="E3037">
        <v>8917</v>
      </c>
      <c r="F3037" t="s">
        <v>23479</v>
      </c>
      <c r="G3037">
        <v>1</v>
      </c>
      <c r="H3037" t="s">
        <v>10120</v>
      </c>
      <c r="J3037" t="s">
        <v>10092</v>
      </c>
      <c r="K3037" t="s">
        <v>132</v>
      </c>
      <c r="L3037" t="s">
        <v>33</v>
      </c>
      <c r="M3037" t="s">
        <v>1622</v>
      </c>
      <c r="N3037" t="s">
        <v>10121</v>
      </c>
      <c r="O3037" t="s">
        <v>10122</v>
      </c>
      <c r="P3037" s="2" t="s">
        <v>26</v>
      </c>
      <c r="Q3037" t="s">
        <v>50</v>
      </c>
      <c r="R3037">
        <v>0.33</v>
      </c>
      <c r="S3037">
        <v>0.33</v>
      </c>
      <c r="T3037" t="s">
        <v>10123</v>
      </c>
    </row>
    <row r="3038" spans="1:20" x14ac:dyDescent="0.25">
      <c r="A3038" s="1" t="str">
        <f>HYPERLINK("https://vegkart.atlas.vegvesen.no/#/@260651.5,6629331.6,18/hva:hva%5B0%5D%5Bfilter%5D%5B0%5D%5Boperator%5D=%21%3D&amp;hva%5B0%5D%5Bfilter%5D%5B0%5D%5Btype_id%5D=8917&amp;hva%5B0%5D%5Bfilter%5D%5B0%5D%5Bverdi%5D=&amp;hva%5B0%5D%5Bid%5D=49/når:2018-11-28", "Vegkart")</f>
        <v>Vegkart</v>
      </c>
      <c r="B3038">
        <v>912321884</v>
      </c>
      <c r="C3038">
        <v>49</v>
      </c>
      <c r="D3038" t="s">
        <v>8701</v>
      </c>
      <c r="E3038">
        <v>8917</v>
      </c>
      <c r="F3038" t="s">
        <v>23479</v>
      </c>
      <c r="G3038">
        <v>1</v>
      </c>
      <c r="H3038" t="s">
        <v>10120</v>
      </c>
      <c r="J3038" t="s">
        <v>10092</v>
      </c>
      <c r="K3038" t="s">
        <v>132</v>
      </c>
      <c r="L3038" t="s">
        <v>33</v>
      </c>
      <c r="M3038" t="s">
        <v>1622</v>
      </c>
      <c r="N3038" t="s">
        <v>10124</v>
      </c>
      <c r="O3038" t="s">
        <v>10125</v>
      </c>
      <c r="P3038" s="2" t="s">
        <v>37</v>
      </c>
      <c r="Q3038" t="s">
        <v>1208</v>
      </c>
      <c r="R3038">
        <v>17.149999999999999</v>
      </c>
      <c r="S3038">
        <v>18.059999999999999</v>
      </c>
      <c r="T3038" t="s">
        <v>10126</v>
      </c>
    </row>
    <row r="3039" spans="1:20" x14ac:dyDescent="0.25">
      <c r="A3039" s="1" t="str">
        <f>HYPERLINK("https://vegkart.atlas.vegvesen.no/#/@260657.6,6629337.3,18/hva:hva%5B0%5D%5Bfilter%5D%5B0%5D%5Boperator%5D=%21%3D&amp;hva%5B0%5D%5Bfilter%5D%5B0%5D%5Btype_id%5D=8917&amp;hva%5B0%5D%5Bfilter%5D%5B0%5D%5Bverdi%5D=&amp;hva%5B0%5D%5Bid%5D=49/når:2018-11-28", "Vegkart")</f>
        <v>Vegkart</v>
      </c>
      <c r="B3039">
        <v>912321890</v>
      </c>
      <c r="C3039">
        <v>49</v>
      </c>
      <c r="D3039" t="s">
        <v>8701</v>
      </c>
      <c r="E3039">
        <v>8917</v>
      </c>
      <c r="F3039" t="s">
        <v>23479</v>
      </c>
      <c r="G3039">
        <v>1</v>
      </c>
      <c r="H3039" t="s">
        <v>10120</v>
      </c>
      <c r="J3039" t="s">
        <v>10092</v>
      </c>
      <c r="K3039" t="s">
        <v>132</v>
      </c>
      <c r="L3039" t="s">
        <v>33</v>
      </c>
      <c r="M3039" t="s">
        <v>1622</v>
      </c>
      <c r="N3039" t="s">
        <v>10127</v>
      </c>
      <c r="O3039" t="s">
        <v>10128</v>
      </c>
      <c r="P3039" s="2" t="s">
        <v>26</v>
      </c>
      <c r="Q3039" t="s">
        <v>50</v>
      </c>
      <c r="R3039">
        <v>0.04</v>
      </c>
      <c r="S3039">
        <v>0.04</v>
      </c>
      <c r="T3039" t="s">
        <v>10129</v>
      </c>
    </row>
    <row r="3040" spans="1:20" x14ac:dyDescent="0.25">
      <c r="A3040" s="1" t="str">
        <f>HYPERLINK("https://vegkart.atlas.vegvesen.no/#/@130034.9,6501630.9,18/hva:hva%5B0%5D%5Bfilter%5D%5B0%5D%5Boperator%5D=%21%3D&amp;hva%5B0%5D%5Bfilter%5D%5B0%5D%5Btype_id%5D=8917&amp;hva%5B0%5D%5Bfilter%5D%5B0%5D%5Bverdi%5D=&amp;hva%5B0%5D%5Bid%5D=49/når:2023-07-13", "Vegkart")</f>
        <v>Vegkart</v>
      </c>
      <c r="B3040">
        <v>912942710</v>
      </c>
      <c r="C3040">
        <v>49</v>
      </c>
      <c r="D3040" t="s">
        <v>8701</v>
      </c>
      <c r="E3040">
        <v>8917</v>
      </c>
      <c r="F3040" t="s">
        <v>23479</v>
      </c>
      <c r="G3040">
        <v>3</v>
      </c>
      <c r="H3040" t="s">
        <v>10130</v>
      </c>
      <c r="J3040" t="s">
        <v>10092</v>
      </c>
      <c r="K3040" t="s">
        <v>86</v>
      </c>
      <c r="L3040" t="s">
        <v>33</v>
      </c>
      <c r="M3040" t="s">
        <v>86</v>
      </c>
      <c r="N3040" t="s">
        <v>10131</v>
      </c>
      <c r="O3040" t="s">
        <v>10132</v>
      </c>
      <c r="P3040" s="2" t="s">
        <v>165</v>
      </c>
      <c r="Q3040" t="s">
        <v>641</v>
      </c>
      <c r="R3040">
        <v>0</v>
      </c>
      <c r="S3040">
        <v>64.69</v>
      </c>
      <c r="T3040" t="s">
        <v>167</v>
      </c>
    </row>
    <row r="3041" spans="1:20" x14ac:dyDescent="0.25">
      <c r="A3041" s="1" t="str">
        <f>HYPERLINK("https://vegkart.atlas.vegvesen.no/#/@287397.6,6649027.9,18/hva:hva%5B0%5D%5Bfilter%5D%5B0%5D%5Boperator%5D=%21%3D&amp;hva%5B0%5D%5Bfilter%5D%5B0%5D%5Btype_id%5D=8917&amp;hva%5B0%5D%5Bfilter%5D%5B0%5D%5Bverdi%5D=&amp;hva%5B0%5D%5Bid%5D=49/når:2019-01-08", "Vegkart")</f>
        <v>Vegkart</v>
      </c>
      <c r="B3041">
        <v>914652670</v>
      </c>
      <c r="C3041">
        <v>49</v>
      </c>
      <c r="D3041" t="s">
        <v>8701</v>
      </c>
      <c r="E3041">
        <v>8917</v>
      </c>
      <c r="F3041" t="s">
        <v>23479</v>
      </c>
      <c r="G3041">
        <v>1</v>
      </c>
      <c r="H3041" t="s">
        <v>7048</v>
      </c>
      <c r="J3041" t="s">
        <v>10092</v>
      </c>
      <c r="K3041" t="s">
        <v>132</v>
      </c>
      <c r="L3041" t="s">
        <v>33</v>
      </c>
      <c r="M3041" t="s">
        <v>2097</v>
      </c>
      <c r="N3041" t="s">
        <v>10133</v>
      </c>
      <c r="O3041" t="s">
        <v>10134</v>
      </c>
      <c r="P3041" s="2" t="s">
        <v>165</v>
      </c>
      <c r="Q3041" t="s">
        <v>641</v>
      </c>
      <c r="R3041">
        <v>0</v>
      </c>
      <c r="S3041">
        <v>204.91</v>
      </c>
      <c r="T3041" t="s">
        <v>167</v>
      </c>
    </row>
    <row r="3042" spans="1:20" x14ac:dyDescent="0.25">
      <c r="A3042" s="1" t="str">
        <f>HYPERLINK("https://vegkart.atlas.vegvesen.no/#/@-37975.6,6665941.4,18/hva:hva%5B0%5D%5Bfilter%5D%5B0%5D%5Boperator%5D=%21%3D&amp;hva%5B0%5D%5Bfilter%5D%5B0%5D%5Btype_id%5D=8917&amp;hva%5B0%5D%5Bfilter%5D%5B0%5D%5Bverdi%5D=&amp;hva%5B0%5D%5Bid%5D=49/når:2019-01-22", "Vegkart")</f>
        <v>Vegkart</v>
      </c>
      <c r="B3042">
        <v>915276726</v>
      </c>
      <c r="C3042">
        <v>49</v>
      </c>
      <c r="D3042" t="s">
        <v>8701</v>
      </c>
      <c r="E3042">
        <v>8917</v>
      </c>
      <c r="F3042" t="s">
        <v>23479</v>
      </c>
      <c r="G3042">
        <v>1</v>
      </c>
      <c r="H3042" t="s">
        <v>10135</v>
      </c>
      <c r="J3042" t="s">
        <v>10092</v>
      </c>
      <c r="K3042" t="s">
        <v>21</v>
      </c>
      <c r="L3042" t="s">
        <v>33</v>
      </c>
      <c r="M3042" t="s">
        <v>7076</v>
      </c>
      <c r="N3042" t="s">
        <v>10136</v>
      </c>
      <c r="O3042" t="s">
        <v>10137</v>
      </c>
      <c r="P3042" s="2" t="s">
        <v>165</v>
      </c>
      <c r="Q3042" t="s">
        <v>641</v>
      </c>
      <c r="R3042">
        <v>0</v>
      </c>
      <c r="S3042">
        <v>92.6</v>
      </c>
      <c r="T3042" t="s">
        <v>167</v>
      </c>
    </row>
    <row r="3043" spans="1:20" x14ac:dyDescent="0.25">
      <c r="A3043" s="1" t="str">
        <f>HYPERLINK("https://vegkart.atlas.vegvesen.no/#/@-37976.2,6665941.7,18/hva:hva%5B0%5D%5Bfilter%5D%5B0%5D%5Boperator%5D=%21%3D&amp;hva%5B0%5D%5Bfilter%5D%5B0%5D%5Btype_id%5D=8917&amp;hva%5B0%5D%5Bfilter%5D%5B0%5D%5Bverdi%5D=&amp;hva%5B0%5D%5Bid%5D=49/når:2019-01-22", "Vegkart")</f>
        <v>Vegkart</v>
      </c>
      <c r="B3043">
        <v>915276728</v>
      </c>
      <c r="C3043">
        <v>49</v>
      </c>
      <c r="D3043" t="s">
        <v>8701</v>
      </c>
      <c r="E3043">
        <v>8917</v>
      </c>
      <c r="F3043" t="s">
        <v>23479</v>
      </c>
      <c r="G3043">
        <v>1</v>
      </c>
      <c r="H3043" t="s">
        <v>10135</v>
      </c>
      <c r="J3043" t="s">
        <v>10092</v>
      </c>
      <c r="K3043" t="s">
        <v>21</v>
      </c>
      <c r="L3043" t="s">
        <v>33</v>
      </c>
      <c r="M3043" t="s">
        <v>7076</v>
      </c>
      <c r="N3043" t="s">
        <v>10136</v>
      </c>
      <c r="O3043" t="s">
        <v>10138</v>
      </c>
      <c r="P3043" s="2" t="s">
        <v>165</v>
      </c>
      <c r="Q3043" t="s">
        <v>641</v>
      </c>
      <c r="R3043">
        <v>0</v>
      </c>
      <c r="S3043">
        <v>59.02</v>
      </c>
      <c r="T3043" t="s">
        <v>167</v>
      </c>
    </row>
    <row r="3044" spans="1:20" x14ac:dyDescent="0.25">
      <c r="A3044" s="1" t="str">
        <f>HYPERLINK("https://vegkart.atlas.vegvesen.no/#/@89237.9,6467716.0,18/hva:hva%5B0%5D%5Bfilter%5D%5B0%5D%5Boperator%5D=%21%3D&amp;hva%5B0%5D%5Bfilter%5D%5B0%5D%5Btype_id%5D=8917&amp;hva%5B0%5D%5Bfilter%5D%5B0%5D%5Bverdi%5D=&amp;hva%5B0%5D%5Bid%5D=49/når:2019-02-07", "Vegkart")</f>
        <v>Vegkart</v>
      </c>
      <c r="B3044">
        <v>916604572</v>
      </c>
      <c r="C3044">
        <v>49</v>
      </c>
      <c r="D3044" t="s">
        <v>8701</v>
      </c>
      <c r="E3044">
        <v>8917</v>
      </c>
      <c r="F3044" t="s">
        <v>23479</v>
      </c>
      <c r="G3044">
        <v>1</v>
      </c>
      <c r="H3044" t="s">
        <v>489</v>
      </c>
      <c r="J3044" t="s">
        <v>6038</v>
      </c>
      <c r="K3044" t="s">
        <v>86</v>
      </c>
      <c r="L3044" t="s">
        <v>33</v>
      </c>
      <c r="M3044" t="s">
        <v>7033</v>
      </c>
      <c r="N3044" t="s">
        <v>10139</v>
      </c>
      <c r="O3044" t="s">
        <v>10140</v>
      </c>
      <c r="P3044" s="2" t="s">
        <v>26</v>
      </c>
      <c r="Q3044" t="s">
        <v>50</v>
      </c>
      <c r="R3044">
        <v>12.69</v>
      </c>
      <c r="S3044">
        <v>12.9</v>
      </c>
      <c r="T3044" t="s">
        <v>10141</v>
      </c>
    </row>
    <row r="3045" spans="1:20" x14ac:dyDescent="0.25">
      <c r="A3045" s="1" t="str">
        <f>HYPERLINK("https://vegkart.atlas.vegvesen.no/#/@88242.9,6466472.4,18/hva:hva%5B0%5D%5Bfilter%5D%5B0%5D%5Boperator%5D=%21%3D&amp;hva%5B0%5D%5Bfilter%5D%5B0%5D%5Btype_id%5D=8917&amp;hva%5B0%5D%5Bfilter%5D%5B0%5D%5Bverdi%5D=&amp;hva%5B0%5D%5Bid%5D=49/når:2019-02-07", "Vegkart")</f>
        <v>Vegkart</v>
      </c>
      <c r="B3045">
        <v>916604659</v>
      </c>
      <c r="C3045">
        <v>49</v>
      </c>
      <c r="D3045" t="s">
        <v>8701</v>
      </c>
      <c r="E3045">
        <v>8917</v>
      </c>
      <c r="F3045" t="s">
        <v>23479</v>
      </c>
      <c r="G3045">
        <v>1</v>
      </c>
      <c r="H3045" t="s">
        <v>489</v>
      </c>
      <c r="J3045" t="s">
        <v>6038</v>
      </c>
      <c r="K3045" t="s">
        <v>86</v>
      </c>
      <c r="L3045" t="s">
        <v>33</v>
      </c>
      <c r="M3045" t="s">
        <v>10142</v>
      </c>
      <c r="N3045" t="s">
        <v>10143</v>
      </c>
      <c r="O3045" t="s">
        <v>10144</v>
      </c>
      <c r="P3045" s="2" t="s">
        <v>37</v>
      </c>
      <c r="Q3045" t="s">
        <v>1208</v>
      </c>
      <c r="R3045">
        <v>6.26</v>
      </c>
      <c r="S3045">
        <v>131.24</v>
      </c>
      <c r="T3045" t="s">
        <v>10145</v>
      </c>
    </row>
    <row r="3046" spans="1:20" x14ac:dyDescent="0.25">
      <c r="A3046" s="1" t="str">
        <f>HYPERLINK("https://vegkart.atlas.vegvesen.no/#/@-16365.5,6534193.6,18/hva:hva%5B0%5D%5Bfilter%5D%5B0%5D%5Boperator%5D=%21%3D&amp;hva%5B0%5D%5Bfilter%5D%5B0%5D%5Btype_id%5D=8917&amp;hva%5B0%5D%5Bfilter%5D%5B0%5D%5Bverdi%5D=&amp;hva%5B0%5D%5Bid%5D=49/når:2019-02-21", "Vegkart")</f>
        <v>Vegkart</v>
      </c>
      <c r="B3046">
        <v>916857872</v>
      </c>
      <c r="C3046">
        <v>49</v>
      </c>
      <c r="D3046" t="s">
        <v>8701</v>
      </c>
      <c r="E3046">
        <v>8917</v>
      </c>
      <c r="F3046" t="s">
        <v>23479</v>
      </c>
      <c r="G3046">
        <v>1</v>
      </c>
      <c r="H3046" t="s">
        <v>10146</v>
      </c>
      <c r="J3046" t="s">
        <v>6038</v>
      </c>
      <c r="K3046" t="s">
        <v>170</v>
      </c>
      <c r="L3046" t="s">
        <v>33</v>
      </c>
      <c r="M3046" t="s">
        <v>10147</v>
      </c>
      <c r="N3046" t="s">
        <v>10148</v>
      </c>
      <c r="O3046" t="s">
        <v>10149</v>
      </c>
      <c r="P3046" s="2" t="s">
        <v>37</v>
      </c>
      <c r="Q3046" t="s">
        <v>1208</v>
      </c>
      <c r="R3046">
        <v>4.01</v>
      </c>
      <c r="S3046">
        <v>22.58</v>
      </c>
      <c r="T3046" t="s">
        <v>10150</v>
      </c>
    </row>
    <row r="3047" spans="1:20" x14ac:dyDescent="0.25">
      <c r="A3047" s="1" t="str">
        <f>HYPERLINK("https://vegkart.atlas.vegvesen.no/#/@-31214.5,6666074.1,18/hva:hva%5B0%5D%5Bfilter%5D%5B0%5D%5Boperator%5D=%21%3D&amp;hva%5B0%5D%5Bfilter%5D%5B0%5D%5Btype_id%5D=8917&amp;hva%5B0%5D%5Bfilter%5D%5B0%5D%5Bverdi%5D=&amp;hva%5B0%5D%5Bid%5D=49/når:2019-04-08", "Vegkart")</f>
        <v>Vegkart</v>
      </c>
      <c r="B3047">
        <v>920127087</v>
      </c>
      <c r="C3047">
        <v>49</v>
      </c>
      <c r="D3047" t="s">
        <v>8701</v>
      </c>
      <c r="E3047">
        <v>8917</v>
      </c>
      <c r="F3047" t="s">
        <v>23479</v>
      </c>
      <c r="G3047">
        <v>1</v>
      </c>
      <c r="H3047" t="s">
        <v>10151</v>
      </c>
      <c r="J3047" t="s">
        <v>6038</v>
      </c>
      <c r="K3047" t="s">
        <v>21</v>
      </c>
      <c r="L3047" t="s">
        <v>22</v>
      </c>
      <c r="M3047" t="s">
        <v>10152</v>
      </c>
      <c r="N3047" t="s">
        <v>10153</v>
      </c>
      <c r="O3047" t="s">
        <v>10154</v>
      </c>
      <c r="P3047" s="2" t="s">
        <v>26</v>
      </c>
      <c r="Q3047" t="s">
        <v>50</v>
      </c>
      <c r="R3047">
        <v>2.5099999999999998</v>
      </c>
      <c r="S3047">
        <v>2.5099999999999998</v>
      </c>
      <c r="T3047" t="s">
        <v>10155</v>
      </c>
    </row>
    <row r="3048" spans="1:20" x14ac:dyDescent="0.25">
      <c r="A3048" s="1" t="str">
        <f>HYPERLINK("https://vegkart.atlas.vegvesen.no/#/@-31213.0,6666074.6,18/hva:hva%5B0%5D%5Bfilter%5D%5B0%5D%5Boperator%5D=%21%3D&amp;hva%5B0%5D%5Bfilter%5D%5B0%5D%5Btype_id%5D=8917&amp;hva%5B0%5D%5Bfilter%5D%5B0%5D%5Bverdi%5D=&amp;hva%5B0%5D%5Bid%5D=49/når:2019-04-08", "Vegkart")</f>
        <v>Vegkart</v>
      </c>
      <c r="B3048">
        <v>920127088</v>
      </c>
      <c r="C3048">
        <v>49</v>
      </c>
      <c r="D3048" t="s">
        <v>8701</v>
      </c>
      <c r="E3048">
        <v>8917</v>
      </c>
      <c r="F3048" t="s">
        <v>23479</v>
      </c>
      <c r="G3048">
        <v>1</v>
      </c>
      <c r="H3048" t="s">
        <v>10151</v>
      </c>
      <c r="J3048" t="s">
        <v>6038</v>
      </c>
      <c r="K3048" t="s">
        <v>21</v>
      </c>
      <c r="L3048" t="s">
        <v>22</v>
      </c>
      <c r="M3048" t="s">
        <v>10152</v>
      </c>
      <c r="N3048" t="s">
        <v>10153</v>
      </c>
      <c r="O3048" t="s">
        <v>10156</v>
      </c>
      <c r="P3048" s="2" t="s">
        <v>26</v>
      </c>
      <c r="Q3048" t="s">
        <v>50</v>
      </c>
      <c r="R3048">
        <v>2.36</v>
      </c>
      <c r="S3048">
        <v>2.36</v>
      </c>
      <c r="T3048" t="s">
        <v>10157</v>
      </c>
    </row>
    <row r="3049" spans="1:20" x14ac:dyDescent="0.25">
      <c r="A3049" s="1" t="str">
        <f>HYPERLINK("https://vegkart.atlas.vegvesen.no/#/@-30753.1,6667712.8,18/hva:hva%5B0%5D%5Bfilter%5D%5B0%5D%5Boperator%5D=%21%3D&amp;hva%5B0%5D%5Bfilter%5D%5B0%5D%5Btype_id%5D=8917&amp;hva%5B0%5D%5Bfilter%5D%5B0%5D%5Bverdi%5D=&amp;hva%5B0%5D%5Bid%5D=49/når:2019-04-08", "Vegkart")</f>
        <v>Vegkart</v>
      </c>
      <c r="B3049">
        <v>920127089</v>
      </c>
      <c r="C3049">
        <v>49</v>
      </c>
      <c r="D3049" t="s">
        <v>8701</v>
      </c>
      <c r="E3049">
        <v>8917</v>
      </c>
      <c r="F3049" t="s">
        <v>23479</v>
      </c>
      <c r="G3049">
        <v>1</v>
      </c>
      <c r="H3049" t="s">
        <v>10151</v>
      </c>
      <c r="J3049" t="s">
        <v>6038</v>
      </c>
      <c r="K3049" t="s">
        <v>21</v>
      </c>
      <c r="L3049" t="s">
        <v>33</v>
      </c>
      <c r="M3049" t="s">
        <v>10158</v>
      </c>
      <c r="N3049" t="s">
        <v>10159</v>
      </c>
      <c r="O3049" t="s">
        <v>10160</v>
      </c>
      <c r="P3049" s="2" t="s">
        <v>26</v>
      </c>
      <c r="Q3049" t="s">
        <v>50</v>
      </c>
      <c r="R3049">
        <v>3.44</v>
      </c>
      <c r="S3049">
        <v>3.44</v>
      </c>
      <c r="T3049" t="s">
        <v>10161</v>
      </c>
    </row>
    <row r="3050" spans="1:20" x14ac:dyDescent="0.25">
      <c r="A3050" s="1" t="str">
        <f>HYPERLINK("https://vegkart.atlas.vegvesen.no/#/@-30753.1,6667710.4,18/hva:hva%5B0%5D%5Bfilter%5D%5B0%5D%5Boperator%5D=%21%3D&amp;hva%5B0%5D%5Bfilter%5D%5B0%5D%5Btype_id%5D=8917&amp;hva%5B0%5D%5Bfilter%5D%5B0%5D%5Bverdi%5D=&amp;hva%5B0%5D%5Bid%5D=49/når:2019-04-08", "Vegkart")</f>
        <v>Vegkart</v>
      </c>
      <c r="B3050">
        <v>920127090</v>
      </c>
      <c r="C3050">
        <v>49</v>
      </c>
      <c r="D3050" t="s">
        <v>8701</v>
      </c>
      <c r="E3050">
        <v>8917</v>
      </c>
      <c r="F3050" t="s">
        <v>23479</v>
      </c>
      <c r="G3050">
        <v>1</v>
      </c>
      <c r="H3050" t="s">
        <v>10151</v>
      </c>
      <c r="J3050" t="s">
        <v>6038</v>
      </c>
      <c r="K3050" t="s">
        <v>21</v>
      </c>
      <c r="L3050" t="s">
        <v>33</v>
      </c>
      <c r="M3050" t="s">
        <v>10158</v>
      </c>
      <c r="N3050" t="s">
        <v>10159</v>
      </c>
      <c r="O3050" t="s">
        <v>10162</v>
      </c>
      <c r="P3050" s="2" t="s">
        <v>26</v>
      </c>
      <c r="Q3050" t="s">
        <v>50</v>
      </c>
      <c r="R3050">
        <v>3.28</v>
      </c>
      <c r="S3050">
        <v>3.28</v>
      </c>
      <c r="T3050" t="s">
        <v>10163</v>
      </c>
    </row>
    <row r="3051" spans="1:20" x14ac:dyDescent="0.25">
      <c r="A3051" s="1" t="str">
        <f>HYPERLINK("https://vegkart.atlas.vegvesen.no/#/@316599.6,7072432.0,18/hva:hva%5B0%5D%5Bfilter%5D%5B0%5D%5Boperator%5D=%21%3D&amp;hva%5B0%5D%5Bfilter%5D%5B0%5D%5Btype_id%5D=8917&amp;hva%5B0%5D%5Bfilter%5D%5B0%5D%5Bverdi%5D=&amp;hva%5B0%5D%5Bid%5D=49/når:2024-09-02", "Vegkart")</f>
        <v>Vegkart</v>
      </c>
      <c r="B3051">
        <v>945543722</v>
      </c>
      <c r="C3051">
        <v>49</v>
      </c>
      <c r="D3051" t="s">
        <v>8701</v>
      </c>
      <c r="E3051">
        <v>8917</v>
      </c>
      <c r="F3051" t="s">
        <v>23479</v>
      </c>
      <c r="G3051">
        <v>2</v>
      </c>
      <c r="H3051" t="s">
        <v>2327</v>
      </c>
      <c r="J3051" t="s">
        <v>6051</v>
      </c>
      <c r="K3051" t="s">
        <v>192</v>
      </c>
      <c r="L3051" t="s">
        <v>80</v>
      </c>
      <c r="M3051" t="s">
        <v>105</v>
      </c>
      <c r="N3051" t="s">
        <v>10164</v>
      </c>
      <c r="O3051" t="s">
        <v>10165</v>
      </c>
      <c r="P3051" s="2" t="s">
        <v>26</v>
      </c>
      <c r="Q3051" t="s">
        <v>50</v>
      </c>
      <c r="R3051">
        <v>19.57</v>
      </c>
      <c r="S3051">
        <v>19.940000000000001</v>
      </c>
      <c r="T3051" t="s">
        <v>10166</v>
      </c>
    </row>
    <row r="3052" spans="1:20" x14ac:dyDescent="0.25">
      <c r="A3052" s="1" t="str">
        <f>HYPERLINK("https://vegkart.atlas.vegvesen.no/#/@236388.5,6639388.2,18/hva:hva%5B0%5D%5Bfilter%5D%5B0%5D%5Boperator%5D=%21%3D&amp;hva%5B0%5D%5Bfilter%5D%5B0%5D%5Btype_id%5D=8917&amp;hva%5B0%5D%5Bfilter%5D%5B0%5D%5Bverdi%5D=&amp;hva%5B0%5D%5Bid%5D=49/når:2019-09-30", "Vegkart")</f>
        <v>Vegkart</v>
      </c>
      <c r="B3052">
        <v>950473378</v>
      </c>
      <c r="C3052">
        <v>49</v>
      </c>
      <c r="D3052" t="s">
        <v>8701</v>
      </c>
      <c r="E3052">
        <v>8917</v>
      </c>
      <c r="F3052" t="s">
        <v>23479</v>
      </c>
      <c r="G3052">
        <v>2</v>
      </c>
      <c r="H3052" t="s">
        <v>10167</v>
      </c>
      <c r="J3052" t="s">
        <v>6051</v>
      </c>
      <c r="K3052" t="s">
        <v>307</v>
      </c>
      <c r="L3052" t="s">
        <v>33</v>
      </c>
      <c r="M3052" t="s">
        <v>292</v>
      </c>
      <c r="N3052" t="s">
        <v>10168</v>
      </c>
      <c r="O3052" t="s">
        <v>10169</v>
      </c>
      <c r="P3052" s="2" t="s">
        <v>26</v>
      </c>
      <c r="Q3052" t="s">
        <v>50</v>
      </c>
      <c r="R3052">
        <v>20.54</v>
      </c>
      <c r="S3052">
        <v>20.54</v>
      </c>
      <c r="T3052" t="s">
        <v>10170</v>
      </c>
    </row>
    <row r="3053" spans="1:20" x14ac:dyDescent="0.25">
      <c r="A3053" s="1" t="str">
        <f>HYPERLINK("https://vegkart.atlas.vegvesen.no/#/@220610.6,6634200.2,18/hva:hva%5B0%5D%5Bfilter%5D%5B0%5D%5Boperator%5D=%21%3D&amp;hva%5B0%5D%5Bfilter%5D%5B0%5D%5Btype_id%5D=8917&amp;hva%5B0%5D%5Bfilter%5D%5B0%5D%5Bverdi%5D=&amp;hva%5B0%5D%5Bid%5D=49/når:2019-08-07", "Vegkart")</f>
        <v>Vegkart</v>
      </c>
      <c r="B3053">
        <v>958249580</v>
      </c>
      <c r="C3053">
        <v>49</v>
      </c>
      <c r="D3053" t="s">
        <v>8701</v>
      </c>
      <c r="E3053">
        <v>8917</v>
      </c>
      <c r="F3053" t="s">
        <v>23479</v>
      </c>
      <c r="G3053">
        <v>1</v>
      </c>
      <c r="H3053" t="s">
        <v>10171</v>
      </c>
      <c r="J3053" t="s">
        <v>10172</v>
      </c>
      <c r="K3053" t="s">
        <v>307</v>
      </c>
      <c r="L3053" t="s">
        <v>33</v>
      </c>
      <c r="M3053" t="s">
        <v>10173</v>
      </c>
      <c r="N3053" t="s">
        <v>10174</v>
      </c>
      <c r="O3053" t="s">
        <v>10175</v>
      </c>
      <c r="P3053" s="2" t="s">
        <v>26</v>
      </c>
      <c r="Q3053" t="s">
        <v>50</v>
      </c>
      <c r="R3053">
        <v>15.98</v>
      </c>
      <c r="S3053">
        <v>16.02</v>
      </c>
      <c r="T3053" t="s">
        <v>10176</v>
      </c>
    </row>
    <row r="3054" spans="1:20" x14ac:dyDescent="0.25">
      <c r="A3054" s="1" t="str">
        <f>HYPERLINK("https://vegkart.atlas.vegvesen.no/#/@220590.7,6634169.7,18/hva:hva%5B0%5D%5Bfilter%5D%5B0%5D%5Boperator%5D=%21%3D&amp;hva%5B0%5D%5Bfilter%5D%5B0%5D%5Btype_id%5D=8917&amp;hva%5B0%5D%5Bfilter%5D%5B0%5D%5Bverdi%5D=&amp;hva%5B0%5D%5Bid%5D=49/når:2019-08-07", "Vegkart")</f>
        <v>Vegkart</v>
      </c>
      <c r="B3054">
        <v>958249581</v>
      </c>
      <c r="C3054">
        <v>49</v>
      </c>
      <c r="D3054" t="s">
        <v>8701</v>
      </c>
      <c r="E3054">
        <v>8917</v>
      </c>
      <c r="F3054" t="s">
        <v>23479</v>
      </c>
      <c r="G3054">
        <v>1</v>
      </c>
      <c r="H3054" t="s">
        <v>10171</v>
      </c>
      <c r="J3054" t="s">
        <v>10172</v>
      </c>
      <c r="K3054" t="s">
        <v>307</v>
      </c>
      <c r="L3054" t="s">
        <v>33</v>
      </c>
      <c r="M3054" t="s">
        <v>10173</v>
      </c>
      <c r="N3054" t="s">
        <v>10177</v>
      </c>
      <c r="O3054" t="s">
        <v>10178</v>
      </c>
      <c r="P3054" s="2" t="s">
        <v>26</v>
      </c>
      <c r="Q3054" t="s">
        <v>50</v>
      </c>
      <c r="R3054">
        <v>19.36</v>
      </c>
      <c r="S3054">
        <v>19.39</v>
      </c>
      <c r="T3054" t="s">
        <v>10179</v>
      </c>
    </row>
    <row r="3055" spans="1:20" x14ac:dyDescent="0.25">
      <c r="A3055" s="1" t="str">
        <f>HYPERLINK("https://vegkart.atlas.vegvesen.no/#/@7444.7,6833554.9,18/hva:hva%5B0%5D%5Bfilter%5D%5B0%5D%5Boperator%5D=%21%3D&amp;hva%5B0%5D%5Bfilter%5D%5B0%5D%5Btype_id%5D=8917&amp;hva%5B0%5D%5Bfilter%5D%5B0%5D%5Bverdi%5D=&amp;hva%5B0%5D%5Bid%5D=49/når:2019-08-14", "Vegkart")</f>
        <v>Vegkart</v>
      </c>
      <c r="B3055">
        <v>961384744</v>
      </c>
      <c r="C3055">
        <v>49</v>
      </c>
      <c r="D3055" t="s">
        <v>8701</v>
      </c>
      <c r="E3055">
        <v>8917</v>
      </c>
      <c r="F3055" t="s">
        <v>23479</v>
      </c>
      <c r="G3055">
        <v>1</v>
      </c>
      <c r="H3055" t="s">
        <v>10180</v>
      </c>
      <c r="J3055" t="s">
        <v>10172</v>
      </c>
      <c r="K3055" t="s">
        <v>21</v>
      </c>
      <c r="L3055" t="s">
        <v>80</v>
      </c>
      <c r="M3055" t="s">
        <v>81</v>
      </c>
      <c r="N3055" t="s">
        <v>10181</v>
      </c>
      <c r="O3055" t="s">
        <v>10182</v>
      </c>
      <c r="P3055" s="2" t="s">
        <v>165</v>
      </c>
      <c r="Q3055" t="s">
        <v>641</v>
      </c>
      <c r="R3055">
        <v>0</v>
      </c>
      <c r="S3055">
        <v>167.72</v>
      </c>
      <c r="T3055" t="s">
        <v>167</v>
      </c>
    </row>
    <row r="3056" spans="1:20" x14ac:dyDescent="0.25">
      <c r="A3056" s="1" t="str">
        <f>HYPERLINK("https://vegkart.atlas.vegvesen.no/#/@7438.8,6833444.0,18/hva:hva%5B0%5D%5Bfilter%5D%5B0%5D%5Boperator%5D=%21%3D&amp;hva%5B0%5D%5Bfilter%5D%5B0%5D%5Btype_id%5D=8917&amp;hva%5B0%5D%5Bfilter%5D%5B0%5D%5Bverdi%5D=&amp;hva%5B0%5D%5Bid%5D=49/når:2019-08-14", "Vegkart")</f>
        <v>Vegkart</v>
      </c>
      <c r="B3056">
        <v>961384747</v>
      </c>
      <c r="C3056">
        <v>49</v>
      </c>
      <c r="D3056" t="s">
        <v>8701</v>
      </c>
      <c r="E3056">
        <v>8917</v>
      </c>
      <c r="F3056" t="s">
        <v>23479</v>
      </c>
      <c r="G3056">
        <v>1</v>
      </c>
      <c r="H3056" t="s">
        <v>10180</v>
      </c>
      <c r="J3056" t="s">
        <v>10172</v>
      </c>
      <c r="K3056" t="s">
        <v>21</v>
      </c>
      <c r="L3056" t="s">
        <v>80</v>
      </c>
      <c r="M3056" t="s">
        <v>81</v>
      </c>
      <c r="N3056" t="s">
        <v>10183</v>
      </c>
      <c r="O3056" t="s">
        <v>10184</v>
      </c>
      <c r="P3056" s="2" t="s">
        <v>37</v>
      </c>
      <c r="Q3056" t="s">
        <v>1208</v>
      </c>
      <c r="R3056">
        <v>2.42</v>
      </c>
      <c r="S3056">
        <v>201.52</v>
      </c>
      <c r="T3056" t="s">
        <v>10185</v>
      </c>
    </row>
    <row r="3057" spans="1:20" x14ac:dyDescent="0.25">
      <c r="A3057" s="1" t="str">
        <f>HYPERLINK("https://vegkart.atlas.vegvesen.no/#/@279964.3,6659480.4,18/hva:hva%5B0%5D%5Bfilter%5D%5B0%5D%5Boperator%5D=%21%3D&amp;hva%5B0%5D%5Bfilter%5D%5B0%5D%5Btype_id%5D=8917&amp;hva%5B0%5D%5Bfilter%5D%5B0%5D%5Bverdi%5D=&amp;hva%5B0%5D%5Bid%5D=49/når:2019-09-23", "Vegkart")</f>
        <v>Vegkart</v>
      </c>
      <c r="B3057">
        <v>978586783</v>
      </c>
      <c r="C3057">
        <v>49</v>
      </c>
      <c r="D3057" t="s">
        <v>8701</v>
      </c>
      <c r="E3057">
        <v>8917</v>
      </c>
      <c r="F3057" t="s">
        <v>23479</v>
      </c>
      <c r="G3057">
        <v>1</v>
      </c>
      <c r="H3057" t="s">
        <v>3517</v>
      </c>
      <c r="J3057" t="s">
        <v>10172</v>
      </c>
      <c r="K3057" t="s">
        <v>132</v>
      </c>
      <c r="L3057" t="s">
        <v>33</v>
      </c>
      <c r="M3057" t="s">
        <v>10186</v>
      </c>
      <c r="N3057" t="s">
        <v>10187</v>
      </c>
      <c r="O3057" t="s">
        <v>10188</v>
      </c>
      <c r="P3057" s="2" t="s">
        <v>37</v>
      </c>
      <c r="Q3057" t="s">
        <v>1208</v>
      </c>
      <c r="R3057">
        <v>3.52</v>
      </c>
      <c r="S3057">
        <v>218.06</v>
      </c>
      <c r="T3057" t="s">
        <v>10189</v>
      </c>
    </row>
    <row r="3058" spans="1:20" x14ac:dyDescent="0.25">
      <c r="A3058" s="1" t="str">
        <f>HYPERLINK("https://vegkart.atlas.vegvesen.no/#/@145897.4,6513205.3,18/hva:hva%5B0%5D%5Bfilter%5D%5B0%5D%5Boperator%5D=%21%3D&amp;hva%5B0%5D%5Bfilter%5D%5B0%5D%5Btype_id%5D=8917&amp;hva%5B0%5D%5Bfilter%5D%5B0%5D%5Bverdi%5D=&amp;hva%5B0%5D%5Bid%5D=49/når:2019-10-25", "Vegkart")</f>
        <v>Vegkart</v>
      </c>
      <c r="B3058">
        <v>990431281</v>
      </c>
      <c r="C3058">
        <v>49</v>
      </c>
      <c r="D3058" t="s">
        <v>8701</v>
      </c>
      <c r="E3058">
        <v>8917</v>
      </c>
      <c r="F3058" t="s">
        <v>23479</v>
      </c>
      <c r="G3058">
        <v>1</v>
      </c>
      <c r="H3058" t="s">
        <v>10190</v>
      </c>
      <c r="J3058" t="s">
        <v>10172</v>
      </c>
      <c r="K3058" t="s">
        <v>86</v>
      </c>
      <c r="L3058" t="s">
        <v>33</v>
      </c>
      <c r="M3058" t="s">
        <v>638</v>
      </c>
      <c r="N3058" t="s">
        <v>10191</v>
      </c>
      <c r="O3058" t="s">
        <v>10192</v>
      </c>
      <c r="P3058" s="2" t="s">
        <v>165</v>
      </c>
      <c r="Q3058" t="s">
        <v>641</v>
      </c>
      <c r="R3058">
        <v>0</v>
      </c>
      <c r="S3058">
        <v>32.729999999999997</v>
      </c>
      <c r="T3058" t="s">
        <v>167</v>
      </c>
    </row>
    <row r="3059" spans="1:20" x14ac:dyDescent="0.25">
      <c r="A3059" s="1" t="str">
        <f>HYPERLINK("https://vegkart.atlas.vegvesen.no/#/@146400.0,6513836.4,18/hva:hva%5B0%5D%5Bfilter%5D%5B0%5D%5Boperator%5D=%21%3D&amp;hva%5B0%5D%5Bfilter%5D%5B0%5D%5Btype_id%5D=8917&amp;hva%5B0%5D%5Bfilter%5D%5B0%5D%5Bverdi%5D=&amp;hva%5B0%5D%5Bid%5D=49/når:2019-10-25", "Vegkart")</f>
        <v>Vegkart</v>
      </c>
      <c r="B3059">
        <v>990431285</v>
      </c>
      <c r="C3059">
        <v>49</v>
      </c>
      <c r="D3059" t="s">
        <v>8701</v>
      </c>
      <c r="E3059">
        <v>8917</v>
      </c>
      <c r="F3059" t="s">
        <v>23479</v>
      </c>
      <c r="G3059">
        <v>1</v>
      </c>
      <c r="H3059" t="s">
        <v>10190</v>
      </c>
      <c r="J3059" t="s">
        <v>10172</v>
      </c>
      <c r="K3059" t="s">
        <v>86</v>
      </c>
      <c r="L3059" t="s">
        <v>33</v>
      </c>
      <c r="M3059" t="s">
        <v>638</v>
      </c>
      <c r="N3059" t="s">
        <v>10193</v>
      </c>
      <c r="O3059" t="s">
        <v>10194</v>
      </c>
      <c r="P3059" s="2" t="s">
        <v>165</v>
      </c>
      <c r="Q3059" t="s">
        <v>641</v>
      </c>
      <c r="R3059">
        <v>0</v>
      </c>
      <c r="S3059">
        <v>74.41</v>
      </c>
      <c r="T3059" t="s">
        <v>167</v>
      </c>
    </row>
    <row r="3060" spans="1:20" x14ac:dyDescent="0.25">
      <c r="A3060" s="1" t="str">
        <f>HYPERLINK("https://vegkart.atlas.vegvesen.no/#/@85683.2,6463267.4,18/hva:hva%5B0%5D%5Bfilter%5D%5B0%5D%5Boperator%5D=%21%3D&amp;hva%5B0%5D%5Bfilter%5D%5B0%5D%5Btype_id%5D=8917&amp;hva%5B0%5D%5Bfilter%5D%5B0%5D%5Bverdi%5D=&amp;hva%5B0%5D%5Bid%5D=49/når:2019-11-20", "Vegkart")</f>
        <v>Vegkart</v>
      </c>
      <c r="B3060">
        <v>1004722744</v>
      </c>
      <c r="C3060">
        <v>49</v>
      </c>
      <c r="D3060" t="s">
        <v>8701</v>
      </c>
      <c r="E3060">
        <v>8917</v>
      </c>
      <c r="F3060" t="s">
        <v>23479</v>
      </c>
      <c r="G3060">
        <v>1</v>
      </c>
      <c r="H3060" t="s">
        <v>10195</v>
      </c>
      <c r="J3060" t="s">
        <v>10196</v>
      </c>
      <c r="K3060" t="s">
        <v>86</v>
      </c>
      <c r="L3060" t="s">
        <v>33</v>
      </c>
      <c r="M3060" t="s">
        <v>1042</v>
      </c>
      <c r="N3060" t="s">
        <v>10197</v>
      </c>
      <c r="O3060" t="s">
        <v>10198</v>
      </c>
      <c r="P3060" s="2" t="s">
        <v>26</v>
      </c>
      <c r="Q3060" t="s">
        <v>50</v>
      </c>
      <c r="R3060">
        <v>27.19</v>
      </c>
      <c r="S3060">
        <v>27.19</v>
      </c>
      <c r="T3060" t="s">
        <v>10199</v>
      </c>
    </row>
    <row r="3061" spans="1:20" x14ac:dyDescent="0.25">
      <c r="A3061" s="1" t="str">
        <f>HYPERLINK("https://vegkart.atlas.vegvesen.no/#/@85682.3,6463267.2,18/hva:hva%5B0%5D%5Bfilter%5D%5B0%5D%5Boperator%5D=%21%3D&amp;hva%5B0%5D%5Bfilter%5D%5B0%5D%5Btype_id%5D=8917&amp;hva%5B0%5D%5Bfilter%5D%5B0%5D%5Bverdi%5D=&amp;hva%5B0%5D%5Bid%5D=49/når:2019-11-20", "Vegkart")</f>
        <v>Vegkart</v>
      </c>
      <c r="B3061">
        <v>1004722746</v>
      </c>
      <c r="C3061">
        <v>49</v>
      </c>
      <c r="D3061" t="s">
        <v>8701</v>
      </c>
      <c r="E3061">
        <v>8917</v>
      </c>
      <c r="F3061" t="s">
        <v>23479</v>
      </c>
      <c r="G3061">
        <v>1</v>
      </c>
      <c r="H3061" t="s">
        <v>10195</v>
      </c>
      <c r="J3061" t="s">
        <v>10196</v>
      </c>
      <c r="K3061" t="s">
        <v>86</v>
      </c>
      <c r="L3061" t="s">
        <v>33</v>
      </c>
      <c r="M3061" t="s">
        <v>1042</v>
      </c>
      <c r="N3061" t="s">
        <v>10200</v>
      </c>
      <c r="O3061" t="s">
        <v>10201</v>
      </c>
      <c r="P3061" s="2" t="s">
        <v>26</v>
      </c>
      <c r="Q3061" t="s">
        <v>50</v>
      </c>
      <c r="R3061">
        <v>25.69</v>
      </c>
      <c r="S3061">
        <v>25.69</v>
      </c>
      <c r="T3061" t="s">
        <v>10202</v>
      </c>
    </row>
    <row r="3062" spans="1:20" x14ac:dyDescent="0.25">
      <c r="A3062" s="1" t="str">
        <f>HYPERLINK("https://vegkart.atlas.vegvesen.no/#/@85684.4,6463268.5,18/hva:hva%5B0%5D%5Bfilter%5D%5B0%5D%5Boperator%5D=%21%3D&amp;hva%5B0%5D%5Bfilter%5D%5B0%5D%5Btype_id%5D=8917&amp;hva%5B0%5D%5Bfilter%5D%5B0%5D%5Bverdi%5D=&amp;hva%5B0%5D%5Bid%5D=49/når:2019-11-20", "Vegkart")</f>
        <v>Vegkart</v>
      </c>
      <c r="B3062">
        <v>1004722748</v>
      </c>
      <c r="C3062">
        <v>49</v>
      </c>
      <c r="D3062" t="s">
        <v>8701</v>
      </c>
      <c r="E3062">
        <v>8917</v>
      </c>
      <c r="F3062" t="s">
        <v>23479</v>
      </c>
      <c r="G3062">
        <v>1</v>
      </c>
      <c r="H3062" t="s">
        <v>10195</v>
      </c>
      <c r="J3062" t="s">
        <v>10196</v>
      </c>
      <c r="K3062" t="s">
        <v>86</v>
      </c>
      <c r="L3062" t="s">
        <v>33</v>
      </c>
      <c r="M3062" t="s">
        <v>1042</v>
      </c>
      <c r="N3062" t="s">
        <v>10203</v>
      </c>
      <c r="O3062" t="s">
        <v>10204</v>
      </c>
      <c r="P3062" s="2" t="s">
        <v>26</v>
      </c>
      <c r="Q3062" t="s">
        <v>50</v>
      </c>
      <c r="R3062">
        <v>22.31</v>
      </c>
      <c r="S3062">
        <v>22.31</v>
      </c>
      <c r="T3062" t="s">
        <v>10205</v>
      </c>
    </row>
    <row r="3063" spans="1:20" x14ac:dyDescent="0.25">
      <c r="A3063" s="1" t="str">
        <f>HYPERLINK("https://vegkart.atlas.vegvesen.no/#/@85684.2,6463267.6,18/hva:hva%5B0%5D%5Bfilter%5D%5B0%5D%5Boperator%5D=%21%3D&amp;hva%5B0%5D%5Bfilter%5D%5B0%5D%5Btype_id%5D=8917&amp;hva%5B0%5D%5Bfilter%5D%5B0%5D%5Bverdi%5D=&amp;hva%5B0%5D%5Bid%5D=49/når:2019-11-20", "Vegkart")</f>
        <v>Vegkart</v>
      </c>
      <c r="B3063">
        <v>1004722749</v>
      </c>
      <c r="C3063">
        <v>49</v>
      </c>
      <c r="D3063" t="s">
        <v>8701</v>
      </c>
      <c r="E3063">
        <v>8917</v>
      </c>
      <c r="F3063" t="s">
        <v>23479</v>
      </c>
      <c r="G3063">
        <v>1</v>
      </c>
      <c r="H3063" t="s">
        <v>10195</v>
      </c>
      <c r="J3063" t="s">
        <v>10196</v>
      </c>
      <c r="K3063" t="s">
        <v>86</v>
      </c>
      <c r="L3063" t="s">
        <v>33</v>
      </c>
      <c r="M3063" t="s">
        <v>1042</v>
      </c>
      <c r="N3063" t="s">
        <v>10206</v>
      </c>
      <c r="O3063" t="s">
        <v>10207</v>
      </c>
      <c r="P3063" s="2" t="s">
        <v>26</v>
      </c>
      <c r="Q3063" t="s">
        <v>50</v>
      </c>
      <c r="R3063">
        <v>25.89</v>
      </c>
      <c r="S3063">
        <v>25.89</v>
      </c>
      <c r="T3063" t="s">
        <v>10208</v>
      </c>
    </row>
    <row r="3064" spans="1:20" x14ac:dyDescent="0.25">
      <c r="A3064" s="1" t="str">
        <f>HYPERLINK("https://vegkart.atlas.vegvesen.no/#/@85686.3,6463269.3,18/hva:hva%5B0%5D%5Bfilter%5D%5B0%5D%5Boperator%5D=%21%3D&amp;hva%5B0%5D%5Bfilter%5D%5B0%5D%5Btype_id%5D=8917&amp;hva%5B0%5D%5Bfilter%5D%5B0%5D%5Bverdi%5D=&amp;hva%5B0%5D%5Bid%5D=49/når:2019-11-20", "Vegkart")</f>
        <v>Vegkart</v>
      </c>
      <c r="B3064">
        <v>1004722752</v>
      </c>
      <c r="C3064">
        <v>49</v>
      </c>
      <c r="D3064" t="s">
        <v>8701</v>
      </c>
      <c r="E3064">
        <v>8917</v>
      </c>
      <c r="F3064" t="s">
        <v>23479</v>
      </c>
      <c r="G3064">
        <v>1</v>
      </c>
      <c r="H3064" t="s">
        <v>10195</v>
      </c>
      <c r="J3064" t="s">
        <v>10196</v>
      </c>
      <c r="K3064" t="s">
        <v>86</v>
      </c>
      <c r="L3064" t="s">
        <v>33</v>
      </c>
      <c r="M3064" t="s">
        <v>1042</v>
      </c>
      <c r="N3064" t="s">
        <v>10209</v>
      </c>
      <c r="O3064" t="s">
        <v>10210</v>
      </c>
      <c r="P3064" s="2" t="s">
        <v>26</v>
      </c>
      <c r="Q3064" t="s">
        <v>50</v>
      </c>
      <c r="R3064">
        <v>18.12</v>
      </c>
      <c r="S3064">
        <v>18.12</v>
      </c>
      <c r="T3064" t="s">
        <v>10211</v>
      </c>
    </row>
    <row r="3065" spans="1:20" x14ac:dyDescent="0.25">
      <c r="A3065" s="1" t="str">
        <f>HYPERLINK("https://vegkart.atlas.vegvesen.no/#/@266999.1,6640345.7,18/hva:hva%5B0%5D%5Bfilter%5D%5B0%5D%5Boperator%5D=%21%3D&amp;hva%5B0%5D%5Bfilter%5D%5B0%5D%5Btype_id%5D=8917&amp;hva%5B0%5D%5Bfilter%5D%5B0%5D%5Bverdi%5D=&amp;hva%5B0%5D%5Bid%5D=49/når:2020-01-21", "Vegkart")</f>
        <v>Vegkart</v>
      </c>
      <c r="B3065">
        <v>1006512458</v>
      </c>
      <c r="C3065">
        <v>49</v>
      </c>
      <c r="D3065" t="s">
        <v>8701</v>
      </c>
      <c r="E3065">
        <v>8917</v>
      </c>
      <c r="F3065" t="s">
        <v>23479</v>
      </c>
      <c r="G3065">
        <v>1</v>
      </c>
      <c r="H3065" t="s">
        <v>10212</v>
      </c>
      <c r="J3065" t="s">
        <v>10213</v>
      </c>
      <c r="K3065" t="s">
        <v>335</v>
      </c>
      <c r="L3065" t="s">
        <v>22</v>
      </c>
      <c r="M3065" t="s">
        <v>5587</v>
      </c>
      <c r="N3065" t="s">
        <v>10214</v>
      </c>
      <c r="O3065" t="s">
        <v>10215</v>
      </c>
      <c r="P3065" s="2" t="s">
        <v>37</v>
      </c>
      <c r="Q3065" t="s">
        <v>1208</v>
      </c>
      <c r="R3065">
        <v>0.3</v>
      </c>
      <c r="S3065">
        <v>74.08</v>
      </c>
      <c r="T3065" t="s">
        <v>10216</v>
      </c>
    </row>
    <row r="3066" spans="1:20" x14ac:dyDescent="0.25">
      <c r="A3066" s="1" t="str">
        <f>HYPERLINK("https://vegkart.atlas.vegvesen.no/#/@267019.4,6640329.6,18/hva:hva%5B0%5D%5Bfilter%5D%5B0%5D%5Boperator%5D=%21%3D&amp;hva%5B0%5D%5Bfilter%5D%5B0%5D%5Btype_id%5D=8917&amp;hva%5B0%5D%5Bfilter%5D%5B0%5D%5Bverdi%5D=&amp;hva%5B0%5D%5Bid%5D=49/når:2020-01-21", "Vegkart")</f>
        <v>Vegkart</v>
      </c>
      <c r="B3066">
        <v>1006512470</v>
      </c>
      <c r="C3066">
        <v>49</v>
      </c>
      <c r="D3066" t="s">
        <v>8701</v>
      </c>
      <c r="E3066">
        <v>8917</v>
      </c>
      <c r="F3066" t="s">
        <v>23479</v>
      </c>
      <c r="G3066">
        <v>1</v>
      </c>
      <c r="H3066" t="s">
        <v>10212</v>
      </c>
      <c r="J3066" t="s">
        <v>10213</v>
      </c>
      <c r="K3066" t="s">
        <v>335</v>
      </c>
      <c r="L3066" t="s">
        <v>22</v>
      </c>
      <c r="M3066" t="s">
        <v>5587</v>
      </c>
      <c r="N3066" t="s">
        <v>10217</v>
      </c>
      <c r="O3066" t="s">
        <v>10218</v>
      </c>
      <c r="P3066" s="2" t="s">
        <v>26</v>
      </c>
      <c r="Q3066" t="s">
        <v>50</v>
      </c>
      <c r="R3066">
        <v>14.1</v>
      </c>
      <c r="S3066">
        <v>14.1</v>
      </c>
      <c r="T3066" t="s">
        <v>10219</v>
      </c>
    </row>
    <row r="3067" spans="1:20" x14ac:dyDescent="0.25">
      <c r="A3067" s="1" t="str">
        <f>HYPERLINK("https://vegkart.atlas.vegvesen.no/#/@266980.9,6640362.3,18/hva:hva%5B0%5D%5Bfilter%5D%5B0%5D%5Boperator%5D=%21%3D&amp;hva%5B0%5D%5Bfilter%5D%5B0%5D%5Btype_id%5D=8917&amp;hva%5B0%5D%5Bfilter%5D%5B0%5D%5Bverdi%5D=&amp;hva%5B0%5D%5Bid%5D=49/når:2020-01-21", "Vegkart")</f>
        <v>Vegkart</v>
      </c>
      <c r="B3067">
        <v>1006512601</v>
      </c>
      <c r="C3067">
        <v>49</v>
      </c>
      <c r="D3067" t="s">
        <v>8701</v>
      </c>
      <c r="E3067">
        <v>8917</v>
      </c>
      <c r="F3067" t="s">
        <v>23479</v>
      </c>
      <c r="G3067">
        <v>1</v>
      </c>
      <c r="H3067" t="s">
        <v>10212</v>
      </c>
      <c r="J3067" t="s">
        <v>10213</v>
      </c>
      <c r="K3067" t="s">
        <v>335</v>
      </c>
      <c r="L3067" t="s">
        <v>22</v>
      </c>
      <c r="M3067" t="s">
        <v>5587</v>
      </c>
      <c r="N3067" t="s">
        <v>10220</v>
      </c>
      <c r="O3067" t="s">
        <v>10221</v>
      </c>
      <c r="P3067" s="2" t="s">
        <v>26</v>
      </c>
      <c r="Q3067" t="s">
        <v>50</v>
      </c>
      <c r="R3067">
        <v>11.34</v>
      </c>
      <c r="S3067">
        <v>11.34</v>
      </c>
      <c r="T3067" t="s">
        <v>10222</v>
      </c>
    </row>
    <row r="3068" spans="1:20" x14ac:dyDescent="0.25">
      <c r="A3068" s="1" t="str">
        <f>HYPERLINK("https://vegkart.atlas.vegvesen.no/#/@267011.9,6640366.4,18/hva:hva%5B0%5D%5Bfilter%5D%5B0%5D%5Boperator%5D=%21%3D&amp;hva%5B0%5D%5Bfilter%5D%5B0%5D%5Btype_id%5D=8917&amp;hva%5B0%5D%5Bfilter%5D%5B0%5D%5Bverdi%5D=&amp;hva%5B0%5D%5Bid%5D=49/når:2020-01-21", "Vegkart")</f>
        <v>Vegkart</v>
      </c>
      <c r="B3068">
        <v>1006512686</v>
      </c>
      <c r="C3068">
        <v>49</v>
      </c>
      <c r="D3068" t="s">
        <v>8701</v>
      </c>
      <c r="E3068">
        <v>8917</v>
      </c>
      <c r="F3068" t="s">
        <v>23479</v>
      </c>
      <c r="G3068">
        <v>1</v>
      </c>
      <c r="H3068" t="s">
        <v>10212</v>
      </c>
      <c r="J3068" t="s">
        <v>10213</v>
      </c>
      <c r="K3068" t="s">
        <v>335</v>
      </c>
      <c r="L3068" t="s">
        <v>22</v>
      </c>
      <c r="M3068" t="s">
        <v>105</v>
      </c>
      <c r="N3068" t="s">
        <v>10223</v>
      </c>
      <c r="O3068" t="s">
        <v>10224</v>
      </c>
      <c r="P3068" s="2" t="s">
        <v>26</v>
      </c>
      <c r="Q3068" t="s">
        <v>50</v>
      </c>
      <c r="R3068">
        <v>10.79</v>
      </c>
      <c r="S3068">
        <v>10.79</v>
      </c>
      <c r="T3068" t="s">
        <v>10225</v>
      </c>
    </row>
    <row r="3069" spans="1:20" x14ac:dyDescent="0.25">
      <c r="A3069" s="1" t="str">
        <f>HYPERLINK("https://vegkart.atlas.vegvesen.no/#/@264910.6,6642106.2,18/hva:hva%5B0%5D%5Bfilter%5D%5B0%5D%5Boperator%5D=%21%3D&amp;hva%5B0%5D%5Bfilter%5D%5B0%5D%5Btype_id%5D=8917&amp;hva%5B0%5D%5Bfilter%5D%5B0%5D%5Bverdi%5D=&amp;hva%5B0%5D%5Bid%5D=49/når:2020-01-21", "Vegkart")</f>
        <v>Vegkart</v>
      </c>
      <c r="B3069">
        <v>1006512908</v>
      </c>
      <c r="C3069">
        <v>49</v>
      </c>
      <c r="D3069" t="s">
        <v>8701</v>
      </c>
      <c r="E3069">
        <v>8917</v>
      </c>
      <c r="F3069" t="s">
        <v>23479</v>
      </c>
      <c r="G3069">
        <v>1</v>
      </c>
      <c r="H3069" t="s">
        <v>10212</v>
      </c>
      <c r="J3069" t="s">
        <v>10213</v>
      </c>
      <c r="K3069" t="s">
        <v>335</v>
      </c>
      <c r="L3069" t="s">
        <v>22</v>
      </c>
      <c r="M3069" t="s">
        <v>10226</v>
      </c>
      <c r="N3069" t="s">
        <v>10227</v>
      </c>
      <c r="O3069" t="s">
        <v>10228</v>
      </c>
      <c r="P3069" s="2" t="s">
        <v>37</v>
      </c>
      <c r="Q3069" t="s">
        <v>1208</v>
      </c>
      <c r="R3069">
        <v>0.53</v>
      </c>
      <c r="S3069">
        <v>26.09</v>
      </c>
      <c r="T3069" t="s">
        <v>10229</v>
      </c>
    </row>
    <row r="3070" spans="1:20" x14ac:dyDescent="0.25">
      <c r="A3070" s="1" t="str">
        <f>HYPERLINK("https://vegkart.atlas.vegvesen.no/#/@264931.9,6642628.6,18/hva:hva%5B0%5D%5Bfilter%5D%5B0%5D%5Boperator%5D=%21%3D&amp;hva%5B0%5D%5Bfilter%5D%5B0%5D%5Btype_id%5D=8917&amp;hva%5B0%5D%5Bfilter%5D%5B0%5D%5Bverdi%5D=&amp;hva%5B0%5D%5Bid%5D=49/når:2020-01-21", "Vegkart")</f>
        <v>Vegkart</v>
      </c>
      <c r="B3070">
        <v>1006512952</v>
      </c>
      <c r="C3070">
        <v>49</v>
      </c>
      <c r="D3070" t="s">
        <v>8701</v>
      </c>
      <c r="E3070">
        <v>8917</v>
      </c>
      <c r="F3070" t="s">
        <v>23479</v>
      </c>
      <c r="G3070">
        <v>1</v>
      </c>
      <c r="H3070" t="s">
        <v>10212</v>
      </c>
      <c r="J3070" t="s">
        <v>10213</v>
      </c>
      <c r="K3070" t="s">
        <v>335</v>
      </c>
      <c r="L3070" t="s">
        <v>22</v>
      </c>
      <c r="M3070" t="s">
        <v>10226</v>
      </c>
      <c r="N3070" t="s">
        <v>10230</v>
      </c>
      <c r="O3070" t="s">
        <v>10231</v>
      </c>
      <c r="P3070" s="2" t="s">
        <v>37</v>
      </c>
      <c r="Q3070" t="s">
        <v>1208</v>
      </c>
      <c r="R3070">
        <v>0.68</v>
      </c>
      <c r="S3070">
        <v>20.9</v>
      </c>
      <c r="T3070" t="s">
        <v>10232</v>
      </c>
    </row>
    <row r="3071" spans="1:20" x14ac:dyDescent="0.25">
      <c r="A3071" s="1" t="str">
        <f>HYPERLINK("https://vegkart.atlas.vegvesen.no/#/@264955.4,6641607.2,18/hva:hva%5B0%5D%5Bfilter%5D%5B0%5D%5Boperator%5D=%21%3D&amp;hva%5B0%5D%5Bfilter%5D%5B0%5D%5Btype_id%5D=8917&amp;hva%5B0%5D%5Bfilter%5D%5B0%5D%5Bverdi%5D=&amp;hva%5B0%5D%5Bid%5D=49/når:2020-01-21", "Vegkart")</f>
        <v>Vegkart</v>
      </c>
      <c r="B3071">
        <v>1006514981</v>
      </c>
      <c r="C3071">
        <v>49</v>
      </c>
      <c r="D3071" t="s">
        <v>8701</v>
      </c>
      <c r="E3071">
        <v>8917</v>
      </c>
      <c r="F3071" t="s">
        <v>23479</v>
      </c>
      <c r="G3071">
        <v>1</v>
      </c>
      <c r="H3071" t="s">
        <v>10212</v>
      </c>
      <c r="J3071" t="s">
        <v>10213</v>
      </c>
      <c r="K3071" t="s">
        <v>335</v>
      </c>
      <c r="L3071" t="s">
        <v>22</v>
      </c>
      <c r="M3071" t="s">
        <v>10233</v>
      </c>
      <c r="N3071" t="s">
        <v>10234</v>
      </c>
      <c r="O3071" t="s">
        <v>10235</v>
      </c>
      <c r="P3071" s="2" t="s">
        <v>37</v>
      </c>
      <c r="Q3071" t="s">
        <v>1208</v>
      </c>
      <c r="R3071">
        <v>0.44</v>
      </c>
      <c r="S3071">
        <v>63.92</v>
      </c>
      <c r="T3071" t="s">
        <v>10236</v>
      </c>
    </row>
    <row r="3072" spans="1:20" x14ac:dyDescent="0.25">
      <c r="A3072" s="1" t="str">
        <f>HYPERLINK("https://vegkart.atlas.vegvesen.no/#/@264949.0,6641580.7,18/hva:hva%5B0%5D%5Bfilter%5D%5B0%5D%5Boperator%5D=%21%3D&amp;hva%5B0%5D%5Bfilter%5D%5B0%5D%5Btype_id%5D=8917&amp;hva%5B0%5D%5Bfilter%5D%5B0%5D%5Bverdi%5D=&amp;hva%5B0%5D%5Bid%5D=49/når:2020-01-21", "Vegkart")</f>
        <v>Vegkart</v>
      </c>
      <c r="B3072">
        <v>1006514983</v>
      </c>
      <c r="C3072">
        <v>49</v>
      </c>
      <c r="D3072" t="s">
        <v>8701</v>
      </c>
      <c r="E3072">
        <v>8917</v>
      </c>
      <c r="F3072" t="s">
        <v>23479</v>
      </c>
      <c r="G3072">
        <v>1</v>
      </c>
      <c r="H3072" t="s">
        <v>10212</v>
      </c>
      <c r="J3072" t="s">
        <v>10213</v>
      </c>
      <c r="K3072" t="s">
        <v>335</v>
      </c>
      <c r="L3072" t="s">
        <v>22</v>
      </c>
      <c r="M3072" t="s">
        <v>10233</v>
      </c>
      <c r="N3072" t="s">
        <v>10237</v>
      </c>
      <c r="O3072" t="s">
        <v>10238</v>
      </c>
      <c r="P3072" s="2" t="s">
        <v>37</v>
      </c>
      <c r="Q3072" t="s">
        <v>1208</v>
      </c>
      <c r="R3072">
        <v>0.46</v>
      </c>
      <c r="S3072">
        <v>96.97</v>
      </c>
      <c r="T3072" t="s">
        <v>10239</v>
      </c>
    </row>
    <row r="3073" spans="1:20" x14ac:dyDescent="0.25">
      <c r="A3073" s="1" t="str">
        <f>HYPERLINK("https://vegkart.atlas.vegvesen.no/#/@267024.8,6640349.5,18/hva:hva%5B0%5D%5Bfilter%5D%5B0%5D%5Boperator%5D=%21%3D&amp;hva%5B0%5D%5Bfilter%5D%5B0%5D%5Btype_id%5D=8917&amp;hva%5B0%5D%5Bfilter%5D%5B0%5D%5Bverdi%5D=&amp;hva%5B0%5D%5Bid%5D=49/når:2020-01-28", "Vegkart")</f>
        <v>Vegkart</v>
      </c>
      <c r="B3073">
        <v>1006656188</v>
      </c>
      <c r="C3073">
        <v>49</v>
      </c>
      <c r="D3073" t="s">
        <v>8701</v>
      </c>
      <c r="E3073">
        <v>8917</v>
      </c>
      <c r="F3073" t="s">
        <v>23479</v>
      </c>
      <c r="G3073">
        <v>1</v>
      </c>
      <c r="H3073" t="s">
        <v>10240</v>
      </c>
      <c r="J3073" t="s">
        <v>10213</v>
      </c>
      <c r="K3073" t="s">
        <v>335</v>
      </c>
      <c r="L3073" t="s">
        <v>22</v>
      </c>
      <c r="M3073" t="s">
        <v>5587</v>
      </c>
      <c r="N3073" t="s">
        <v>10241</v>
      </c>
      <c r="O3073" t="s">
        <v>10242</v>
      </c>
      <c r="P3073" s="2" t="s">
        <v>26</v>
      </c>
      <c r="Q3073" t="s">
        <v>50</v>
      </c>
      <c r="R3073">
        <v>38.9</v>
      </c>
      <c r="S3073">
        <v>40.04</v>
      </c>
      <c r="T3073" t="s">
        <v>10243</v>
      </c>
    </row>
    <row r="3074" spans="1:20" x14ac:dyDescent="0.25">
      <c r="A3074" s="1" t="str">
        <f>HYPERLINK("https://vegkart.atlas.vegvesen.no/#/@475510.1,7462602.3,18/hva:hva%5B0%5D%5Bfilter%5D%5B0%5D%5Boperator%5D=%21%3D&amp;hva%5B0%5D%5Bfilter%5D%5B0%5D%5Btype_id%5D=8917&amp;hva%5B0%5D%5Bfilter%5D%5B0%5D%5Bverdi%5D=&amp;hva%5B0%5D%5Bid%5D=49/når:2020-02-13", "Vegkart")</f>
        <v>Vegkart</v>
      </c>
      <c r="B3074">
        <v>1006843045</v>
      </c>
      <c r="C3074">
        <v>49</v>
      </c>
      <c r="D3074" t="s">
        <v>8701</v>
      </c>
      <c r="E3074">
        <v>8917</v>
      </c>
      <c r="F3074" t="s">
        <v>23479</v>
      </c>
      <c r="G3074">
        <v>1</v>
      </c>
      <c r="H3074" t="s">
        <v>10244</v>
      </c>
      <c r="J3074" t="s">
        <v>10196</v>
      </c>
      <c r="K3074" t="s">
        <v>53</v>
      </c>
      <c r="L3074" t="s">
        <v>113</v>
      </c>
      <c r="M3074" t="s">
        <v>3519</v>
      </c>
      <c r="N3074" t="s">
        <v>10245</v>
      </c>
      <c r="O3074" t="s">
        <v>10246</v>
      </c>
      <c r="P3074" s="2" t="s">
        <v>165</v>
      </c>
      <c r="Q3074" t="s">
        <v>641</v>
      </c>
      <c r="R3074">
        <v>0.01</v>
      </c>
      <c r="S3074">
        <v>94.86</v>
      </c>
      <c r="T3074" t="s">
        <v>167</v>
      </c>
    </row>
    <row r="3075" spans="1:20" x14ac:dyDescent="0.25">
      <c r="A3075" s="1" t="str">
        <f>HYPERLINK("https://vegkart.atlas.vegvesen.no/#/@478546.9,7462359.5,18/hva:hva%5B0%5D%5Bfilter%5D%5B0%5D%5Boperator%5D=%21%3D&amp;hva%5B0%5D%5Bfilter%5D%5B0%5D%5Btype_id%5D=8917&amp;hva%5B0%5D%5Bfilter%5D%5B0%5D%5Bverdi%5D=&amp;hva%5B0%5D%5Bid%5D=49/når:2020-02-17", "Vegkart")</f>
        <v>Vegkart</v>
      </c>
      <c r="B3075">
        <v>1006857501</v>
      </c>
      <c r="C3075">
        <v>49</v>
      </c>
      <c r="D3075" t="s">
        <v>8701</v>
      </c>
      <c r="E3075">
        <v>8917</v>
      </c>
      <c r="F3075" t="s">
        <v>23479</v>
      </c>
      <c r="G3075">
        <v>1</v>
      </c>
      <c r="H3075" t="s">
        <v>10247</v>
      </c>
      <c r="J3075" t="s">
        <v>10196</v>
      </c>
      <c r="K3075" t="s">
        <v>53</v>
      </c>
      <c r="L3075" t="s">
        <v>113</v>
      </c>
      <c r="M3075" t="s">
        <v>3519</v>
      </c>
      <c r="N3075" t="s">
        <v>10248</v>
      </c>
      <c r="O3075" t="s">
        <v>10249</v>
      </c>
      <c r="P3075" s="2" t="s">
        <v>165</v>
      </c>
      <c r="Q3075" t="s">
        <v>641</v>
      </c>
      <c r="R3075">
        <v>0</v>
      </c>
      <c r="S3075">
        <v>126.81</v>
      </c>
      <c r="T3075" t="s">
        <v>167</v>
      </c>
    </row>
    <row r="3076" spans="1:20" x14ac:dyDescent="0.25">
      <c r="A3076" s="1" t="str">
        <f>HYPERLINK("https://vegkart.atlas.vegvesen.no/#/@258772.5,6652452.2,18/hva:hva%5B0%5D%5Bfilter%5D%5B0%5D%5Boperator%5D=%21%3D&amp;hva%5B0%5D%5Bfilter%5D%5B0%5D%5Btype_id%5D=8917&amp;hva%5B0%5D%5Bfilter%5D%5B0%5D%5Bverdi%5D=&amp;hva%5B0%5D%5Bid%5D=49/når:2020-02-25", "Vegkart")</f>
        <v>Vegkart</v>
      </c>
      <c r="B3076">
        <v>1006891004</v>
      </c>
      <c r="C3076">
        <v>49</v>
      </c>
      <c r="D3076" t="s">
        <v>8701</v>
      </c>
      <c r="E3076">
        <v>8917</v>
      </c>
      <c r="F3076" t="s">
        <v>23479</v>
      </c>
      <c r="G3076">
        <v>1</v>
      </c>
      <c r="H3076" t="s">
        <v>10250</v>
      </c>
      <c r="J3076" t="s">
        <v>10213</v>
      </c>
      <c r="K3076" t="s">
        <v>335</v>
      </c>
      <c r="L3076" t="s">
        <v>22</v>
      </c>
      <c r="M3076" t="s">
        <v>10251</v>
      </c>
      <c r="N3076" t="s">
        <v>10252</v>
      </c>
      <c r="O3076" t="s">
        <v>10253</v>
      </c>
      <c r="P3076" s="2" t="s">
        <v>37</v>
      </c>
      <c r="Q3076" t="s">
        <v>1208</v>
      </c>
      <c r="R3076">
        <v>0.72</v>
      </c>
      <c r="S3076">
        <v>24.26</v>
      </c>
      <c r="T3076" t="s">
        <v>10254</v>
      </c>
    </row>
    <row r="3077" spans="1:20" x14ac:dyDescent="0.25">
      <c r="A3077" s="1" t="str">
        <f>HYPERLINK("https://vegkart.atlas.vegvesen.no/#/@258466.6,6654568.0,18/hva:hva%5B0%5D%5Bfilter%5D%5B0%5D%5Boperator%5D=%21%3D&amp;hva%5B0%5D%5Bfilter%5D%5B0%5D%5Btype_id%5D=8917&amp;hva%5B0%5D%5Bfilter%5D%5B0%5D%5Bverdi%5D=&amp;hva%5B0%5D%5Bid%5D=49/når:2020-02-25", "Vegkart")</f>
        <v>Vegkart</v>
      </c>
      <c r="B3077">
        <v>1006891036</v>
      </c>
      <c r="C3077">
        <v>49</v>
      </c>
      <c r="D3077" t="s">
        <v>8701</v>
      </c>
      <c r="E3077">
        <v>8917</v>
      </c>
      <c r="F3077" t="s">
        <v>23479</v>
      </c>
      <c r="G3077">
        <v>1</v>
      </c>
      <c r="H3077" t="s">
        <v>10250</v>
      </c>
      <c r="J3077" t="s">
        <v>10213</v>
      </c>
      <c r="K3077" t="s">
        <v>335</v>
      </c>
      <c r="L3077" t="s">
        <v>22</v>
      </c>
      <c r="M3077" t="s">
        <v>10251</v>
      </c>
      <c r="N3077" t="s">
        <v>10255</v>
      </c>
      <c r="O3077" t="s">
        <v>10256</v>
      </c>
      <c r="P3077" s="2" t="s">
        <v>37</v>
      </c>
      <c r="Q3077" t="s">
        <v>1208</v>
      </c>
      <c r="R3077">
        <v>0.78</v>
      </c>
      <c r="S3077">
        <v>23.52</v>
      </c>
      <c r="T3077" t="s">
        <v>10257</v>
      </c>
    </row>
    <row r="3078" spans="1:20" x14ac:dyDescent="0.25">
      <c r="A3078" s="1" t="str">
        <f>HYPERLINK("https://vegkart.atlas.vegvesen.no/#/@258137.3,6655014.1,18/hva:hva%5B0%5D%5Bfilter%5D%5B0%5D%5Boperator%5D=%21%3D&amp;hva%5B0%5D%5Bfilter%5D%5B0%5D%5Btype_id%5D=8917&amp;hva%5B0%5D%5Bfilter%5D%5B0%5D%5Bverdi%5D=&amp;hva%5B0%5D%5Bid%5D=49/når:2020-02-27", "Vegkart")</f>
        <v>Vegkart</v>
      </c>
      <c r="B3078">
        <v>1006900323</v>
      </c>
      <c r="C3078">
        <v>49</v>
      </c>
      <c r="D3078" t="s">
        <v>8701</v>
      </c>
      <c r="E3078">
        <v>8917</v>
      </c>
      <c r="F3078" t="s">
        <v>23479</v>
      </c>
      <c r="G3078">
        <v>1</v>
      </c>
      <c r="H3078" t="s">
        <v>10258</v>
      </c>
      <c r="J3078" t="s">
        <v>10213</v>
      </c>
      <c r="K3078" t="s">
        <v>335</v>
      </c>
      <c r="L3078" t="s">
        <v>22</v>
      </c>
      <c r="M3078" t="s">
        <v>10251</v>
      </c>
      <c r="N3078" t="s">
        <v>10259</v>
      </c>
      <c r="O3078" t="s">
        <v>10260</v>
      </c>
      <c r="P3078" s="2" t="s">
        <v>37</v>
      </c>
      <c r="Q3078" t="s">
        <v>1208</v>
      </c>
      <c r="R3078">
        <v>0.9</v>
      </c>
      <c r="S3078">
        <v>81.209999999999994</v>
      </c>
      <c r="T3078" t="s">
        <v>10261</v>
      </c>
    </row>
    <row r="3079" spans="1:20" x14ac:dyDescent="0.25">
      <c r="A3079" s="1" t="str">
        <f>HYPERLINK("https://vegkart.atlas.vegvesen.no/#/@258176.5,6655023.3,18/hva:hva%5B0%5D%5Bfilter%5D%5B0%5D%5Boperator%5D=%21%3D&amp;hva%5B0%5D%5Bfilter%5D%5B0%5D%5Btype_id%5D=8917&amp;hva%5B0%5D%5Bfilter%5D%5B0%5D%5Bverdi%5D=&amp;hva%5B0%5D%5Bid%5D=49/når:2020-02-27", "Vegkart")</f>
        <v>Vegkart</v>
      </c>
      <c r="B3079">
        <v>1006900763</v>
      </c>
      <c r="C3079">
        <v>49</v>
      </c>
      <c r="D3079" t="s">
        <v>8701</v>
      </c>
      <c r="E3079">
        <v>8917</v>
      </c>
      <c r="F3079" t="s">
        <v>23479</v>
      </c>
      <c r="G3079">
        <v>1</v>
      </c>
      <c r="H3079" t="s">
        <v>10258</v>
      </c>
      <c r="J3079" t="s">
        <v>10213</v>
      </c>
      <c r="K3079" t="s">
        <v>335</v>
      </c>
      <c r="L3079" t="s">
        <v>22</v>
      </c>
      <c r="M3079" t="s">
        <v>10251</v>
      </c>
      <c r="N3079" t="s">
        <v>10262</v>
      </c>
      <c r="O3079" t="s">
        <v>10263</v>
      </c>
      <c r="P3079" s="2" t="s">
        <v>37</v>
      </c>
      <c r="Q3079" t="s">
        <v>1208</v>
      </c>
      <c r="R3079">
        <v>0.47</v>
      </c>
      <c r="S3079">
        <v>35.479999999999997</v>
      </c>
      <c r="T3079" t="s">
        <v>10264</v>
      </c>
    </row>
    <row r="3080" spans="1:20" x14ac:dyDescent="0.25">
      <c r="A3080" s="1" t="str">
        <f>HYPERLINK("https://vegkart.atlas.vegvesen.no/#/@266478.2,6643449.2,18/hva:hva%5B0%5D%5Bfilter%5D%5B0%5D%5Boperator%5D=%21%3D&amp;hva%5B0%5D%5Bfilter%5D%5B0%5D%5Btype_id%5D=8917&amp;hva%5B0%5D%5Bfilter%5D%5B0%5D%5Bverdi%5D=&amp;hva%5B0%5D%5Bid%5D=49/når:2020-02-28", "Vegkart")</f>
        <v>Vegkart</v>
      </c>
      <c r="B3080">
        <v>1006944226</v>
      </c>
      <c r="C3080">
        <v>49</v>
      </c>
      <c r="D3080" t="s">
        <v>8701</v>
      </c>
      <c r="E3080">
        <v>8917</v>
      </c>
      <c r="F3080" t="s">
        <v>23479</v>
      </c>
      <c r="G3080">
        <v>1</v>
      </c>
      <c r="H3080" t="s">
        <v>10265</v>
      </c>
      <c r="J3080" t="s">
        <v>10213</v>
      </c>
      <c r="K3080" t="s">
        <v>335</v>
      </c>
      <c r="L3080" t="s">
        <v>22</v>
      </c>
      <c r="M3080" t="s">
        <v>10266</v>
      </c>
      <c r="N3080" t="s">
        <v>10267</v>
      </c>
      <c r="O3080" t="s">
        <v>10268</v>
      </c>
      <c r="P3080" s="2" t="s">
        <v>37</v>
      </c>
      <c r="Q3080" t="s">
        <v>1208</v>
      </c>
      <c r="R3080">
        <v>0.16</v>
      </c>
      <c r="S3080">
        <v>16.89</v>
      </c>
      <c r="T3080" t="s">
        <v>10269</v>
      </c>
    </row>
    <row r="3081" spans="1:20" x14ac:dyDescent="0.25">
      <c r="A3081" s="1" t="str">
        <f>HYPERLINK("https://vegkart.atlas.vegvesen.no/#/@265377.5,6647133.9,18/hva:hva%5B0%5D%5Bfilter%5D%5B0%5D%5Boperator%5D=%21%3D&amp;hva%5B0%5D%5Bfilter%5D%5B0%5D%5Btype_id%5D=8917&amp;hva%5B0%5D%5Bfilter%5D%5B0%5D%5Bverdi%5D=&amp;hva%5B0%5D%5Bid%5D=49/når:2020-02-29", "Vegkart")</f>
        <v>Vegkart</v>
      </c>
      <c r="B3081">
        <v>1006948276</v>
      </c>
      <c r="C3081">
        <v>49</v>
      </c>
      <c r="D3081" t="s">
        <v>8701</v>
      </c>
      <c r="E3081">
        <v>8917</v>
      </c>
      <c r="F3081" t="s">
        <v>23479</v>
      </c>
      <c r="G3081">
        <v>1</v>
      </c>
      <c r="H3081" t="s">
        <v>10270</v>
      </c>
      <c r="J3081" t="s">
        <v>10213</v>
      </c>
      <c r="K3081" t="s">
        <v>335</v>
      </c>
      <c r="L3081" t="s">
        <v>22</v>
      </c>
      <c r="M3081" t="s">
        <v>8232</v>
      </c>
      <c r="N3081" t="s">
        <v>10271</v>
      </c>
      <c r="O3081" t="s">
        <v>10272</v>
      </c>
      <c r="P3081" s="2" t="s">
        <v>37</v>
      </c>
      <c r="Q3081" t="s">
        <v>1208</v>
      </c>
      <c r="R3081">
        <v>0.53</v>
      </c>
      <c r="S3081">
        <v>24.58</v>
      </c>
      <c r="T3081" t="s">
        <v>10273</v>
      </c>
    </row>
    <row r="3082" spans="1:20" x14ac:dyDescent="0.25">
      <c r="A3082" s="1" t="str">
        <f>HYPERLINK("https://vegkart.atlas.vegvesen.no/#/@256583.4,6650936.1,18/hva:hva%5B0%5D%5Bfilter%5D%5B0%5D%5Boperator%5D=%21%3D&amp;hva%5B0%5D%5Bfilter%5D%5B0%5D%5Btype_id%5D=8917&amp;hva%5B0%5D%5Bfilter%5D%5B0%5D%5Bverdi%5D=&amp;hva%5B0%5D%5Bid%5D=49/når:2020-03-02", "Vegkart")</f>
        <v>Vegkart</v>
      </c>
      <c r="B3082">
        <v>1006952779</v>
      </c>
      <c r="C3082">
        <v>49</v>
      </c>
      <c r="D3082" t="s">
        <v>8701</v>
      </c>
      <c r="E3082">
        <v>8917</v>
      </c>
      <c r="F3082" t="s">
        <v>23479</v>
      </c>
      <c r="G3082">
        <v>1</v>
      </c>
      <c r="H3082" t="s">
        <v>10274</v>
      </c>
      <c r="J3082" t="s">
        <v>10213</v>
      </c>
      <c r="K3082" t="s">
        <v>335</v>
      </c>
      <c r="L3082" t="s">
        <v>22</v>
      </c>
      <c r="M3082" t="s">
        <v>10275</v>
      </c>
      <c r="N3082" t="s">
        <v>10276</v>
      </c>
      <c r="O3082" t="s">
        <v>10277</v>
      </c>
      <c r="P3082" s="2" t="s">
        <v>37</v>
      </c>
      <c r="Q3082" t="s">
        <v>1208</v>
      </c>
      <c r="R3082">
        <v>0.41</v>
      </c>
      <c r="S3082">
        <v>17.57</v>
      </c>
      <c r="T3082" t="s">
        <v>10278</v>
      </c>
    </row>
    <row r="3083" spans="1:20" x14ac:dyDescent="0.25">
      <c r="A3083" s="1" t="str">
        <f>HYPERLINK("https://vegkart.atlas.vegvesen.no/#/@271675.9,6654407.7,18/hva:hva%5B0%5D%5Bfilter%5D%5B0%5D%5Boperator%5D=%21%3D&amp;hva%5B0%5D%5Bfilter%5D%5B0%5D%5Btype_id%5D=8917&amp;hva%5B0%5D%5Bfilter%5D%5B0%5D%5Bverdi%5D=&amp;hva%5B0%5D%5Bid%5D=49/når:2020-03-02", "Vegkart")</f>
        <v>Vegkart</v>
      </c>
      <c r="B3083">
        <v>1006954221</v>
      </c>
      <c r="C3083">
        <v>49</v>
      </c>
      <c r="D3083" t="s">
        <v>8701</v>
      </c>
      <c r="E3083">
        <v>8917</v>
      </c>
      <c r="F3083" t="s">
        <v>23479</v>
      </c>
      <c r="G3083">
        <v>1</v>
      </c>
      <c r="H3083" t="s">
        <v>10274</v>
      </c>
      <c r="J3083" t="s">
        <v>10213</v>
      </c>
      <c r="K3083" t="s">
        <v>335</v>
      </c>
      <c r="L3083" t="s">
        <v>22</v>
      </c>
      <c r="M3083" t="s">
        <v>10279</v>
      </c>
      <c r="N3083" t="s">
        <v>10280</v>
      </c>
      <c r="O3083" t="s">
        <v>10281</v>
      </c>
      <c r="P3083" s="2" t="s">
        <v>37</v>
      </c>
      <c r="Q3083" t="s">
        <v>1208</v>
      </c>
      <c r="R3083">
        <v>0.54</v>
      </c>
      <c r="S3083">
        <v>26.18</v>
      </c>
      <c r="T3083" t="s">
        <v>10282</v>
      </c>
    </row>
    <row r="3084" spans="1:20" x14ac:dyDescent="0.25">
      <c r="A3084" s="1" t="str">
        <f>HYPERLINK("https://vegkart.atlas.vegvesen.no/#/@271709.3,6654384.5,18/hva:hva%5B0%5D%5Bfilter%5D%5B0%5D%5Boperator%5D=%21%3D&amp;hva%5B0%5D%5Bfilter%5D%5B0%5D%5Btype_id%5D=8917&amp;hva%5B0%5D%5Bfilter%5D%5B0%5D%5Bverdi%5D=&amp;hva%5B0%5D%5Bid%5D=49/når:2020-03-02", "Vegkart")</f>
        <v>Vegkart</v>
      </c>
      <c r="B3084">
        <v>1006954496</v>
      </c>
      <c r="C3084">
        <v>49</v>
      </c>
      <c r="D3084" t="s">
        <v>8701</v>
      </c>
      <c r="E3084">
        <v>8917</v>
      </c>
      <c r="F3084" t="s">
        <v>23479</v>
      </c>
      <c r="G3084">
        <v>1</v>
      </c>
      <c r="H3084" t="s">
        <v>10274</v>
      </c>
      <c r="J3084" t="s">
        <v>10213</v>
      </c>
      <c r="K3084" t="s">
        <v>335</v>
      </c>
      <c r="L3084" t="s">
        <v>22</v>
      </c>
      <c r="M3084" t="s">
        <v>10279</v>
      </c>
      <c r="N3084" t="s">
        <v>10283</v>
      </c>
      <c r="O3084" t="s">
        <v>10284</v>
      </c>
      <c r="P3084" s="2" t="s">
        <v>37</v>
      </c>
      <c r="Q3084" t="s">
        <v>1208</v>
      </c>
      <c r="R3084">
        <v>0.54</v>
      </c>
      <c r="S3084">
        <v>23.93</v>
      </c>
      <c r="T3084" t="s">
        <v>10285</v>
      </c>
    </row>
    <row r="3085" spans="1:20" x14ac:dyDescent="0.25">
      <c r="A3085" s="1" t="str">
        <f>HYPERLINK("https://vegkart.atlas.vegvesen.no/#/@271693.7,6654397.1,18/hva:hva%5B0%5D%5Bfilter%5D%5B0%5D%5Boperator%5D=%21%3D&amp;hva%5B0%5D%5Bfilter%5D%5B0%5D%5Btype_id%5D=8917&amp;hva%5B0%5D%5Bfilter%5D%5B0%5D%5Bverdi%5D=&amp;hva%5B0%5D%5Bid%5D=49/når:2020-03-02", "Vegkart")</f>
        <v>Vegkart</v>
      </c>
      <c r="B3085">
        <v>1006958075</v>
      </c>
      <c r="C3085">
        <v>49</v>
      </c>
      <c r="D3085" t="s">
        <v>8701</v>
      </c>
      <c r="E3085">
        <v>8917</v>
      </c>
      <c r="F3085" t="s">
        <v>23479</v>
      </c>
      <c r="G3085">
        <v>1</v>
      </c>
      <c r="H3085" t="s">
        <v>10274</v>
      </c>
      <c r="J3085" t="s">
        <v>10213</v>
      </c>
      <c r="K3085" t="s">
        <v>335</v>
      </c>
      <c r="L3085" t="s">
        <v>22</v>
      </c>
      <c r="M3085" t="s">
        <v>10279</v>
      </c>
      <c r="N3085" t="s">
        <v>10286</v>
      </c>
      <c r="O3085" t="s">
        <v>10287</v>
      </c>
      <c r="P3085" s="2" t="s">
        <v>37</v>
      </c>
      <c r="Q3085" t="s">
        <v>1208</v>
      </c>
      <c r="R3085">
        <v>0.46</v>
      </c>
      <c r="S3085">
        <v>29.81</v>
      </c>
      <c r="T3085" t="s">
        <v>10288</v>
      </c>
    </row>
    <row r="3086" spans="1:20" x14ac:dyDescent="0.25">
      <c r="A3086" s="1" t="str">
        <f>HYPERLINK("https://vegkart.atlas.vegvesen.no/#/@256129.6,6650423.9,18/hva:hva%5B0%5D%5Bfilter%5D%5B0%5D%5Boperator%5D=%21%3D&amp;hva%5B0%5D%5Bfilter%5D%5B0%5D%5Btype_id%5D=8917&amp;hva%5B0%5D%5Bfilter%5D%5B0%5D%5Bverdi%5D=&amp;hva%5B0%5D%5Bid%5D=49/når:2025-02-20", "Vegkart")</f>
        <v>Vegkart</v>
      </c>
      <c r="B3086">
        <v>1006958078</v>
      </c>
      <c r="C3086">
        <v>49</v>
      </c>
      <c r="D3086" t="s">
        <v>8701</v>
      </c>
      <c r="E3086">
        <v>8917</v>
      </c>
      <c r="F3086" t="s">
        <v>23479</v>
      </c>
      <c r="G3086">
        <v>2</v>
      </c>
      <c r="H3086" t="s">
        <v>10289</v>
      </c>
      <c r="J3086" t="s">
        <v>10213</v>
      </c>
      <c r="K3086" t="s">
        <v>335</v>
      </c>
      <c r="L3086" t="s">
        <v>22</v>
      </c>
      <c r="M3086" t="s">
        <v>10290</v>
      </c>
      <c r="N3086" t="s">
        <v>10291</v>
      </c>
      <c r="O3086" t="s">
        <v>10292</v>
      </c>
      <c r="P3086" s="2" t="s">
        <v>37</v>
      </c>
      <c r="Q3086" t="s">
        <v>1208</v>
      </c>
      <c r="R3086">
        <v>0.37</v>
      </c>
      <c r="S3086">
        <v>21.68</v>
      </c>
      <c r="T3086" t="s">
        <v>10293</v>
      </c>
    </row>
    <row r="3087" spans="1:20" x14ac:dyDescent="0.25">
      <c r="A3087" s="1" t="str">
        <f>HYPERLINK("https://vegkart.atlas.vegvesen.no/#/@272390.3,6654202.7,18/hva:hva%5B0%5D%5Bfilter%5D%5B0%5D%5Boperator%5D=%21%3D&amp;hva%5B0%5D%5Bfilter%5D%5B0%5D%5Btype_id%5D=8917&amp;hva%5B0%5D%5Bfilter%5D%5B0%5D%5Bverdi%5D=&amp;hva%5B0%5D%5Bid%5D=49/når:2020-03-02", "Vegkart")</f>
        <v>Vegkart</v>
      </c>
      <c r="B3087">
        <v>1006958091</v>
      </c>
      <c r="C3087">
        <v>49</v>
      </c>
      <c r="D3087" t="s">
        <v>8701</v>
      </c>
      <c r="E3087">
        <v>8917</v>
      </c>
      <c r="F3087" t="s">
        <v>23479</v>
      </c>
      <c r="G3087">
        <v>1</v>
      </c>
      <c r="H3087" t="s">
        <v>10274</v>
      </c>
      <c r="J3087" t="s">
        <v>10213</v>
      </c>
      <c r="K3087" t="s">
        <v>335</v>
      </c>
      <c r="L3087" t="s">
        <v>22</v>
      </c>
      <c r="M3087" t="s">
        <v>10279</v>
      </c>
      <c r="N3087" t="s">
        <v>10294</v>
      </c>
      <c r="O3087" t="s">
        <v>10295</v>
      </c>
      <c r="P3087" s="2" t="s">
        <v>37</v>
      </c>
      <c r="Q3087" t="s">
        <v>1208</v>
      </c>
      <c r="R3087">
        <v>0.5</v>
      </c>
      <c r="S3087">
        <v>26.73</v>
      </c>
      <c r="T3087" t="s">
        <v>10296</v>
      </c>
    </row>
    <row r="3088" spans="1:20" x14ac:dyDescent="0.25">
      <c r="A3088" s="1" t="str">
        <f>HYPERLINK("https://vegkart.atlas.vegvesen.no/#/@272398.5,6654185.3,18/hva:hva%5B0%5D%5Bfilter%5D%5B0%5D%5Boperator%5D=%21%3D&amp;hva%5B0%5D%5Bfilter%5D%5B0%5D%5Btype_id%5D=8917&amp;hva%5B0%5D%5Bfilter%5D%5B0%5D%5Bverdi%5D=&amp;hva%5B0%5D%5Bid%5D=49/når:2020-03-02", "Vegkart")</f>
        <v>Vegkart</v>
      </c>
      <c r="B3088">
        <v>1006958115</v>
      </c>
      <c r="C3088">
        <v>49</v>
      </c>
      <c r="D3088" t="s">
        <v>8701</v>
      </c>
      <c r="E3088">
        <v>8917</v>
      </c>
      <c r="F3088" t="s">
        <v>23479</v>
      </c>
      <c r="G3088">
        <v>1</v>
      </c>
      <c r="H3088" t="s">
        <v>10274</v>
      </c>
      <c r="J3088" t="s">
        <v>10213</v>
      </c>
      <c r="K3088" t="s">
        <v>335</v>
      </c>
      <c r="L3088" t="s">
        <v>22</v>
      </c>
      <c r="M3088" t="s">
        <v>10279</v>
      </c>
      <c r="N3088" t="s">
        <v>10297</v>
      </c>
      <c r="O3088" t="s">
        <v>10298</v>
      </c>
      <c r="P3088" s="2" t="s">
        <v>37</v>
      </c>
      <c r="Q3088" t="s">
        <v>1208</v>
      </c>
      <c r="R3088">
        <v>0.54</v>
      </c>
      <c r="S3088">
        <v>42.95</v>
      </c>
      <c r="T3088" t="s">
        <v>10299</v>
      </c>
    </row>
    <row r="3089" spans="1:20" x14ac:dyDescent="0.25">
      <c r="A3089" s="1" t="str">
        <f>HYPERLINK("https://vegkart.atlas.vegvesen.no/#/@256194.1,6650179.8,18/hva:hva%5B0%5D%5Bfilter%5D%5B0%5D%5Boperator%5D=%21%3D&amp;hva%5B0%5D%5Bfilter%5D%5B0%5D%5Btype_id%5D=8917&amp;hva%5B0%5D%5Bfilter%5D%5B0%5D%5Bverdi%5D=&amp;hva%5B0%5D%5Bid%5D=49/når:2020-03-02", "Vegkart")</f>
        <v>Vegkart</v>
      </c>
      <c r="B3089">
        <v>1006958126</v>
      </c>
      <c r="C3089">
        <v>49</v>
      </c>
      <c r="D3089" t="s">
        <v>8701</v>
      </c>
      <c r="E3089">
        <v>8917</v>
      </c>
      <c r="F3089" t="s">
        <v>23479</v>
      </c>
      <c r="G3089">
        <v>1</v>
      </c>
      <c r="H3089" t="s">
        <v>10274</v>
      </c>
      <c r="J3089" t="s">
        <v>10213</v>
      </c>
      <c r="K3089" t="s">
        <v>335</v>
      </c>
      <c r="L3089" t="s">
        <v>22</v>
      </c>
      <c r="M3089" t="s">
        <v>10290</v>
      </c>
      <c r="N3089" t="s">
        <v>10300</v>
      </c>
      <c r="O3089" t="s">
        <v>10301</v>
      </c>
      <c r="P3089" s="2" t="s">
        <v>37</v>
      </c>
      <c r="Q3089" t="s">
        <v>1208</v>
      </c>
      <c r="R3089">
        <v>0.42</v>
      </c>
      <c r="S3089">
        <v>31.18</v>
      </c>
      <c r="T3089" t="s">
        <v>10302</v>
      </c>
    </row>
    <row r="3090" spans="1:20" x14ac:dyDescent="0.25">
      <c r="A3090" s="1" t="str">
        <f>HYPERLINK("https://vegkart.atlas.vegvesen.no/#/@272420.8,6654066.0,18/hva:hva%5B0%5D%5Bfilter%5D%5B0%5D%5Boperator%5D=%21%3D&amp;hva%5B0%5D%5Bfilter%5D%5B0%5D%5Btype_id%5D=8917&amp;hva%5B0%5D%5Bfilter%5D%5B0%5D%5Bverdi%5D=&amp;hva%5B0%5D%5Bid%5D=49/når:2020-03-02", "Vegkart")</f>
        <v>Vegkart</v>
      </c>
      <c r="B3090">
        <v>1006958865</v>
      </c>
      <c r="C3090">
        <v>49</v>
      </c>
      <c r="D3090" t="s">
        <v>8701</v>
      </c>
      <c r="E3090">
        <v>8917</v>
      </c>
      <c r="F3090" t="s">
        <v>23479</v>
      </c>
      <c r="G3090">
        <v>1</v>
      </c>
      <c r="H3090" t="s">
        <v>10274</v>
      </c>
      <c r="J3090" t="s">
        <v>10213</v>
      </c>
      <c r="K3090" t="s">
        <v>335</v>
      </c>
      <c r="L3090" t="s">
        <v>22</v>
      </c>
      <c r="M3090" t="s">
        <v>10279</v>
      </c>
      <c r="N3090" t="s">
        <v>10303</v>
      </c>
      <c r="O3090" t="s">
        <v>10304</v>
      </c>
      <c r="P3090" s="2" t="s">
        <v>37</v>
      </c>
      <c r="Q3090" t="s">
        <v>1208</v>
      </c>
      <c r="R3090">
        <v>0.69</v>
      </c>
      <c r="S3090">
        <v>42.9</v>
      </c>
      <c r="T3090" t="s">
        <v>10305</v>
      </c>
    </row>
    <row r="3091" spans="1:20" x14ac:dyDescent="0.25">
      <c r="A3091" s="1" t="str">
        <f>HYPERLINK("https://vegkart.atlas.vegvesen.no/#/@272422.9,6654046.6,18/hva:hva%5B0%5D%5Bfilter%5D%5B0%5D%5Boperator%5D=%21%3D&amp;hva%5B0%5D%5Bfilter%5D%5B0%5D%5Btype_id%5D=8917&amp;hva%5B0%5D%5Bfilter%5D%5B0%5D%5Bverdi%5D=&amp;hva%5B0%5D%5Bid%5D=49/når:2020-03-02", "Vegkart")</f>
        <v>Vegkart</v>
      </c>
      <c r="B3091">
        <v>1006959646</v>
      </c>
      <c r="C3091">
        <v>49</v>
      </c>
      <c r="D3091" t="s">
        <v>8701</v>
      </c>
      <c r="E3091">
        <v>8917</v>
      </c>
      <c r="F3091" t="s">
        <v>23479</v>
      </c>
      <c r="G3091">
        <v>1</v>
      </c>
      <c r="H3091" t="s">
        <v>10274</v>
      </c>
      <c r="J3091" t="s">
        <v>10213</v>
      </c>
      <c r="K3091" t="s">
        <v>335</v>
      </c>
      <c r="L3091" t="s">
        <v>22</v>
      </c>
      <c r="M3091" t="s">
        <v>10279</v>
      </c>
      <c r="N3091" t="s">
        <v>10306</v>
      </c>
      <c r="O3091" t="s">
        <v>10307</v>
      </c>
      <c r="P3091" s="2" t="s">
        <v>37</v>
      </c>
      <c r="Q3091" t="s">
        <v>1208</v>
      </c>
      <c r="R3091">
        <v>0.65</v>
      </c>
      <c r="S3091">
        <v>26.73</v>
      </c>
      <c r="T3091" t="s">
        <v>10308</v>
      </c>
    </row>
    <row r="3092" spans="1:20" x14ac:dyDescent="0.25">
      <c r="A3092" s="1" t="str">
        <f>HYPERLINK("https://vegkart.atlas.vegvesen.no/#/@256199.9,6650157.8,18/hva:hva%5B0%5D%5Bfilter%5D%5B0%5D%5Boperator%5D=%21%3D&amp;hva%5B0%5D%5Bfilter%5D%5B0%5D%5Btype_id%5D=8917&amp;hva%5B0%5D%5Bfilter%5D%5B0%5D%5Bverdi%5D=&amp;hva%5B0%5D%5Bid%5D=49/når:2020-03-02", "Vegkart")</f>
        <v>Vegkart</v>
      </c>
      <c r="B3092">
        <v>1006959648</v>
      </c>
      <c r="C3092">
        <v>49</v>
      </c>
      <c r="D3092" t="s">
        <v>8701</v>
      </c>
      <c r="E3092">
        <v>8917</v>
      </c>
      <c r="F3092" t="s">
        <v>23479</v>
      </c>
      <c r="G3092">
        <v>1</v>
      </c>
      <c r="H3092" t="s">
        <v>10274</v>
      </c>
      <c r="J3092" t="s">
        <v>10213</v>
      </c>
      <c r="K3092" t="s">
        <v>335</v>
      </c>
      <c r="L3092" t="s">
        <v>22</v>
      </c>
      <c r="M3092" t="s">
        <v>10290</v>
      </c>
      <c r="N3092" t="s">
        <v>10309</v>
      </c>
      <c r="O3092" t="s">
        <v>10310</v>
      </c>
      <c r="P3092" s="2" t="s">
        <v>37</v>
      </c>
      <c r="Q3092" t="s">
        <v>1208</v>
      </c>
      <c r="R3092">
        <v>0.8</v>
      </c>
      <c r="S3092">
        <v>37.5</v>
      </c>
      <c r="T3092" t="s">
        <v>10311</v>
      </c>
    </row>
    <row r="3093" spans="1:20" x14ac:dyDescent="0.25">
      <c r="A3093" s="1" t="str">
        <f>HYPERLINK("https://vegkart.atlas.vegvesen.no/#/@256214.8,6650141.7,18/hva:hva%5B0%5D%5Bfilter%5D%5B0%5D%5Boperator%5D=%21%3D&amp;hva%5B0%5D%5Bfilter%5D%5B0%5D%5Btype_id%5D=8917&amp;hva%5B0%5D%5Bfilter%5D%5B0%5D%5Bverdi%5D=&amp;hva%5B0%5D%5Bid%5D=49/når:2020-03-02", "Vegkart")</f>
        <v>Vegkart</v>
      </c>
      <c r="B3093">
        <v>1006959878</v>
      </c>
      <c r="C3093">
        <v>49</v>
      </c>
      <c r="D3093" t="s">
        <v>8701</v>
      </c>
      <c r="E3093">
        <v>8917</v>
      </c>
      <c r="F3093" t="s">
        <v>23479</v>
      </c>
      <c r="G3093">
        <v>1</v>
      </c>
      <c r="H3093" t="s">
        <v>10274</v>
      </c>
      <c r="J3093" t="s">
        <v>10213</v>
      </c>
      <c r="K3093" t="s">
        <v>335</v>
      </c>
      <c r="L3093" t="s">
        <v>22</v>
      </c>
      <c r="M3093" t="s">
        <v>10290</v>
      </c>
      <c r="N3093" t="s">
        <v>10312</v>
      </c>
      <c r="O3093" t="s">
        <v>10313</v>
      </c>
      <c r="P3093" s="2" t="s">
        <v>37</v>
      </c>
      <c r="Q3093" t="s">
        <v>1208</v>
      </c>
      <c r="R3093">
        <v>0.33</v>
      </c>
      <c r="S3093">
        <v>28.29</v>
      </c>
      <c r="T3093" t="s">
        <v>10314</v>
      </c>
    </row>
    <row r="3094" spans="1:20" x14ac:dyDescent="0.25">
      <c r="A3094" s="1" t="str">
        <f>HYPERLINK("https://vegkart.atlas.vegvesen.no/#/@272437.0,6653935.8,18/hva:hva%5B0%5D%5Bfilter%5D%5B0%5D%5Boperator%5D=%21%3D&amp;hva%5B0%5D%5Bfilter%5D%5B0%5D%5Btype_id%5D=8917&amp;hva%5B0%5D%5Bfilter%5D%5B0%5D%5Bverdi%5D=&amp;hva%5B0%5D%5Bid%5D=49/når:2020-03-02", "Vegkart")</f>
        <v>Vegkart</v>
      </c>
      <c r="B3094">
        <v>1006959911</v>
      </c>
      <c r="C3094">
        <v>49</v>
      </c>
      <c r="D3094" t="s">
        <v>8701</v>
      </c>
      <c r="E3094">
        <v>8917</v>
      </c>
      <c r="F3094" t="s">
        <v>23479</v>
      </c>
      <c r="G3094">
        <v>1</v>
      </c>
      <c r="H3094" t="s">
        <v>10274</v>
      </c>
      <c r="J3094" t="s">
        <v>10213</v>
      </c>
      <c r="K3094" t="s">
        <v>335</v>
      </c>
      <c r="L3094" t="s">
        <v>22</v>
      </c>
      <c r="M3094" t="s">
        <v>10279</v>
      </c>
      <c r="N3094" t="s">
        <v>10315</v>
      </c>
      <c r="O3094" t="s">
        <v>10316</v>
      </c>
      <c r="P3094" s="2" t="s">
        <v>37</v>
      </c>
      <c r="Q3094" t="s">
        <v>1208</v>
      </c>
      <c r="R3094">
        <v>0.78</v>
      </c>
      <c r="S3094">
        <v>27.39</v>
      </c>
      <c r="T3094" t="s">
        <v>10317</v>
      </c>
    </row>
    <row r="3095" spans="1:20" x14ac:dyDescent="0.25">
      <c r="A3095" s="1" t="str">
        <f>HYPERLINK("https://vegkart.atlas.vegvesen.no/#/@272439.9,6653914.3,18/hva:hva%5B0%5D%5Bfilter%5D%5B0%5D%5Boperator%5D=%21%3D&amp;hva%5B0%5D%5Bfilter%5D%5B0%5D%5Btype_id%5D=8917&amp;hva%5B0%5D%5Bfilter%5D%5B0%5D%5Bverdi%5D=&amp;hva%5B0%5D%5Bid%5D=49/når:2020-03-02", "Vegkart")</f>
        <v>Vegkart</v>
      </c>
      <c r="B3095">
        <v>1006960031</v>
      </c>
      <c r="C3095">
        <v>49</v>
      </c>
      <c r="D3095" t="s">
        <v>8701</v>
      </c>
      <c r="E3095">
        <v>8917</v>
      </c>
      <c r="F3095" t="s">
        <v>23479</v>
      </c>
      <c r="G3095">
        <v>1</v>
      </c>
      <c r="H3095" t="s">
        <v>10274</v>
      </c>
      <c r="J3095" t="s">
        <v>10213</v>
      </c>
      <c r="K3095" t="s">
        <v>335</v>
      </c>
      <c r="L3095" t="s">
        <v>22</v>
      </c>
      <c r="M3095" t="s">
        <v>10279</v>
      </c>
      <c r="N3095" t="s">
        <v>10318</v>
      </c>
      <c r="O3095" t="s">
        <v>10319</v>
      </c>
      <c r="P3095" s="2" t="s">
        <v>37</v>
      </c>
      <c r="Q3095" t="s">
        <v>1208</v>
      </c>
      <c r="R3095">
        <v>0.45</v>
      </c>
      <c r="S3095">
        <v>46.84</v>
      </c>
      <c r="T3095" t="s">
        <v>10320</v>
      </c>
    </row>
    <row r="3096" spans="1:20" x14ac:dyDescent="0.25">
      <c r="A3096" s="1" t="str">
        <f>HYPERLINK("https://vegkart.atlas.vegvesen.no/#/@272442.2,6653892.8,18/hva:hva%5B0%5D%5Bfilter%5D%5B0%5D%5Boperator%5D=%21%3D&amp;hva%5B0%5D%5Bfilter%5D%5B0%5D%5Btype_id%5D=8917&amp;hva%5B0%5D%5Bfilter%5D%5B0%5D%5Bverdi%5D=&amp;hva%5B0%5D%5Bid%5D=49/når:2020-03-02", "Vegkart")</f>
        <v>Vegkart</v>
      </c>
      <c r="B3096">
        <v>1006960093</v>
      </c>
      <c r="C3096">
        <v>49</v>
      </c>
      <c r="D3096" t="s">
        <v>8701</v>
      </c>
      <c r="E3096">
        <v>8917</v>
      </c>
      <c r="F3096" t="s">
        <v>23479</v>
      </c>
      <c r="G3096">
        <v>1</v>
      </c>
      <c r="H3096" t="s">
        <v>10274</v>
      </c>
      <c r="J3096" t="s">
        <v>10213</v>
      </c>
      <c r="K3096" t="s">
        <v>335</v>
      </c>
      <c r="L3096" t="s">
        <v>22</v>
      </c>
      <c r="M3096" t="s">
        <v>10279</v>
      </c>
      <c r="N3096" t="s">
        <v>10321</v>
      </c>
      <c r="O3096" t="s">
        <v>10322</v>
      </c>
      <c r="P3096" s="2" t="s">
        <v>37</v>
      </c>
      <c r="Q3096" t="s">
        <v>1208</v>
      </c>
      <c r="R3096">
        <v>0.5</v>
      </c>
      <c r="S3096">
        <v>20.73</v>
      </c>
      <c r="T3096" t="s">
        <v>10323</v>
      </c>
    </row>
    <row r="3097" spans="1:20" x14ac:dyDescent="0.25">
      <c r="A3097" s="1" t="str">
        <f>HYPERLINK("https://vegkart.atlas.vegvesen.no/#/@256336.3,6649871.2,18/hva:hva%5B0%5D%5Bfilter%5D%5B0%5D%5Boperator%5D=%21%3D&amp;hva%5B0%5D%5Bfilter%5D%5B0%5D%5Btype_id%5D=8917&amp;hva%5B0%5D%5Bfilter%5D%5B0%5D%5Bverdi%5D=&amp;hva%5B0%5D%5Bid%5D=49/når:2020-03-02", "Vegkart")</f>
        <v>Vegkart</v>
      </c>
      <c r="B3097">
        <v>1006960108</v>
      </c>
      <c r="C3097">
        <v>49</v>
      </c>
      <c r="D3097" t="s">
        <v>8701</v>
      </c>
      <c r="E3097">
        <v>8917</v>
      </c>
      <c r="F3097" t="s">
        <v>23479</v>
      </c>
      <c r="G3097">
        <v>1</v>
      </c>
      <c r="H3097" t="s">
        <v>10274</v>
      </c>
      <c r="J3097" t="s">
        <v>10213</v>
      </c>
      <c r="K3097" t="s">
        <v>335</v>
      </c>
      <c r="L3097" t="s">
        <v>22</v>
      </c>
      <c r="M3097" t="s">
        <v>10290</v>
      </c>
      <c r="N3097" t="s">
        <v>10324</v>
      </c>
      <c r="O3097" t="s">
        <v>10325</v>
      </c>
      <c r="P3097" s="2" t="s">
        <v>37</v>
      </c>
      <c r="Q3097" t="s">
        <v>1208</v>
      </c>
      <c r="R3097">
        <v>0.21</v>
      </c>
      <c r="S3097">
        <v>24.91</v>
      </c>
      <c r="T3097" t="s">
        <v>10326</v>
      </c>
    </row>
    <row r="3098" spans="1:20" x14ac:dyDescent="0.25">
      <c r="A3098" s="1" t="str">
        <f>HYPERLINK("https://vegkart.atlas.vegvesen.no/#/@256338.8,6649855.1,18/hva:hva%5B0%5D%5Bfilter%5D%5B0%5D%5Boperator%5D=%21%3D&amp;hva%5B0%5D%5Bfilter%5D%5B0%5D%5Btype_id%5D=8917&amp;hva%5B0%5D%5Bfilter%5D%5B0%5D%5Bverdi%5D=&amp;hva%5B0%5D%5Bid%5D=49/når:2020-03-02", "Vegkart")</f>
        <v>Vegkart</v>
      </c>
      <c r="B3098">
        <v>1006960164</v>
      </c>
      <c r="C3098">
        <v>49</v>
      </c>
      <c r="D3098" t="s">
        <v>8701</v>
      </c>
      <c r="E3098">
        <v>8917</v>
      </c>
      <c r="F3098" t="s">
        <v>23479</v>
      </c>
      <c r="G3098">
        <v>1</v>
      </c>
      <c r="H3098" t="s">
        <v>10274</v>
      </c>
      <c r="J3098" t="s">
        <v>10213</v>
      </c>
      <c r="K3098" t="s">
        <v>335</v>
      </c>
      <c r="L3098" t="s">
        <v>22</v>
      </c>
      <c r="M3098" t="s">
        <v>10290</v>
      </c>
      <c r="N3098" t="s">
        <v>10327</v>
      </c>
      <c r="O3098" t="s">
        <v>10328</v>
      </c>
      <c r="P3098" s="2" t="s">
        <v>37</v>
      </c>
      <c r="Q3098" t="s">
        <v>1208</v>
      </c>
      <c r="R3098">
        <v>0.51</v>
      </c>
      <c r="S3098">
        <v>17.63</v>
      </c>
      <c r="T3098" t="s">
        <v>10329</v>
      </c>
    </row>
    <row r="3099" spans="1:20" x14ac:dyDescent="0.25">
      <c r="A3099" s="1" t="str">
        <f>HYPERLINK("https://vegkart.atlas.vegvesen.no/#/@272318.0,6653242.3,18/hva:hva%5B0%5D%5Bfilter%5D%5B0%5D%5Boperator%5D=%21%3D&amp;hva%5B0%5D%5Bfilter%5D%5B0%5D%5Btype_id%5D=8917&amp;hva%5B0%5D%5Bfilter%5D%5B0%5D%5Bverdi%5D=&amp;hva%5B0%5D%5Bid%5D=49/når:2020-03-02", "Vegkart")</f>
        <v>Vegkart</v>
      </c>
      <c r="B3099">
        <v>1006960652</v>
      </c>
      <c r="C3099">
        <v>49</v>
      </c>
      <c r="D3099" t="s">
        <v>8701</v>
      </c>
      <c r="E3099">
        <v>8917</v>
      </c>
      <c r="F3099" t="s">
        <v>23479</v>
      </c>
      <c r="G3099">
        <v>1</v>
      </c>
      <c r="H3099" t="s">
        <v>10274</v>
      </c>
      <c r="J3099" t="s">
        <v>10213</v>
      </c>
      <c r="K3099" t="s">
        <v>335</v>
      </c>
      <c r="L3099" t="s">
        <v>22</v>
      </c>
      <c r="M3099" t="s">
        <v>10279</v>
      </c>
      <c r="N3099" t="s">
        <v>10330</v>
      </c>
      <c r="O3099" t="s">
        <v>10331</v>
      </c>
      <c r="P3099" s="2" t="s">
        <v>37</v>
      </c>
      <c r="Q3099" t="s">
        <v>1208</v>
      </c>
      <c r="R3099">
        <v>0.87</v>
      </c>
      <c r="S3099">
        <v>43.66</v>
      </c>
      <c r="T3099" t="s">
        <v>10332</v>
      </c>
    </row>
    <row r="3100" spans="1:20" x14ac:dyDescent="0.25">
      <c r="A3100" s="1" t="str">
        <f>HYPERLINK("https://vegkart.atlas.vegvesen.no/#/@270885.1,6651682.6,18/hva:hva%5B0%5D%5Bfilter%5D%5B0%5D%5Boperator%5D=%21%3D&amp;hva%5B0%5D%5Bfilter%5D%5B0%5D%5Btype_id%5D=8917&amp;hva%5B0%5D%5Bfilter%5D%5B0%5D%5Bverdi%5D=&amp;hva%5B0%5D%5Bid%5D=49/når:2020-03-03", "Vegkart")</f>
        <v>Vegkart</v>
      </c>
      <c r="B3100">
        <v>1006962410</v>
      </c>
      <c r="C3100">
        <v>49</v>
      </c>
      <c r="D3100" t="s">
        <v>8701</v>
      </c>
      <c r="E3100">
        <v>8917</v>
      </c>
      <c r="F3100" t="s">
        <v>23479</v>
      </c>
      <c r="G3100">
        <v>1</v>
      </c>
      <c r="H3100" t="s">
        <v>10333</v>
      </c>
      <c r="J3100" t="s">
        <v>10213</v>
      </c>
      <c r="K3100" t="s">
        <v>335</v>
      </c>
      <c r="L3100" t="s">
        <v>22</v>
      </c>
      <c r="M3100" t="s">
        <v>10334</v>
      </c>
      <c r="N3100" t="s">
        <v>10335</v>
      </c>
      <c r="O3100" t="s">
        <v>10336</v>
      </c>
      <c r="P3100" s="2" t="s">
        <v>37</v>
      </c>
      <c r="Q3100" t="s">
        <v>1208</v>
      </c>
      <c r="R3100">
        <v>0.68</v>
      </c>
      <c r="S3100">
        <v>42.51</v>
      </c>
      <c r="T3100" t="s">
        <v>10337</v>
      </c>
    </row>
    <row r="3101" spans="1:20" x14ac:dyDescent="0.25">
      <c r="A3101" s="1" t="str">
        <f>HYPERLINK("https://vegkart.atlas.vegvesen.no/#/@270909.1,6651688.5,18/hva:hva%5B0%5D%5Bfilter%5D%5B0%5D%5Boperator%5D=%21%3D&amp;hva%5B0%5D%5Bfilter%5D%5B0%5D%5Btype_id%5D=8917&amp;hva%5B0%5D%5Bfilter%5D%5B0%5D%5Bverdi%5D=&amp;hva%5B0%5D%5Bid%5D=49/når:2020-03-03", "Vegkart")</f>
        <v>Vegkart</v>
      </c>
      <c r="B3101">
        <v>1006976535</v>
      </c>
      <c r="C3101">
        <v>49</v>
      </c>
      <c r="D3101" t="s">
        <v>8701</v>
      </c>
      <c r="E3101">
        <v>8917</v>
      </c>
      <c r="F3101" t="s">
        <v>23479</v>
      </c>
      <c r="G3101">
        <v>1</v>
      </c>
      <c r="H3101" t="s">
        <v>10333</v>
      </c>
      <c r="J3101" t="s">
        <v>10213</v>
      </c>
      <c r="K3101" t="s">
        <v>335</v>
      </c>
      <c r="L3101" t="s">
        <v>22</v>
      </c>
      <c r="M3101" t="s">
        <v>10334</v>
      </c>
      <c r="N3101" t="s">
        <v>10338</v>
      </c>
      <c r="O3101" t="s">
        <v>10339</v>
      </c>
      <c r="P3101" s="2" t="s">
        <v>165</v>
      </c>
      <c r="Q3101" t="s">
        <v>641</v>
      </c>
      <c r="R3101">
        <v>0.54</v>
      </c>
      <c r="S3101">
        <v>47.2</v>
      </c>
      <c r="T3101" t="s">
        <v>167</v>
      </c>
    </row>
    <row r="3102" spans="1:20" x14ac:dyDescent="0.25">
      <c r="A3102" s="1" t="str">
        <f>HYPERLINK("https://vegkart.atlas.vegvesen.no/#/@258825.1,6652765.6,18/hva:hva%5B0%5D%5Bfilter%5D%5B0%5D%5Boperator%5D=%21%3D&amp;hva%5B0%5D%5Bfilter%5D%5B0%5D%5Btype_id%5D=8917&amp;hva%5B0%5D%5Bfilter%5D%5B0%5D%5Bverdi%5D=&amp;hva%5B0%5D%5Bid%5D=49/når:2020-03-03", "Vegkart")</f>
        <v>Vegkart</v>
      </c>
      <c r="B3102">
        <v>1006977332</v>
      </c>
      <c r="C3102">
        <v>49</v>
      </c>
      <c r="D3102" t="s">
        <v>8701</v>
      </c>
      <c r="E3102">
        <v>8917</v>
      </c>
      <c r="F3102" t="s">
        <v>23479</v>
      </c>
      <c r="G3102">
        <v>1</v>
      </c>
      <c r="H3102" t="s">
        <v>10333</v>
      </c>
      <c r="J3102" t="s">
        <v>10213</v>
      </c>
      <c r="K3102" t="s">
        <v>335</v>
      </c>
      <c r="L3102" t="s">
        <v>22</v>
      </c>
      <c r="M3102" t="s">
        <v>10251</v>
      </c>
      <c r="N3102" t="s">
        <v>10340</v>
      </c>
      <c r="O3102" t="s">
        <v>10341</v>
      </c>
      <c r="P3102" s="2" t="s">
        <v>37</v>
      </c>
      <c r="Q3102" t="s">
        <v>1208</v>
      </c>
      <c r="R3102">
        <v>0.93</v>
      </c>
      <c r="S3102">
        <v>15.29</v>
      </c>
      <c r="T3102" t="s">
        <v>10342</v>
      </c>
    </row>
    <row r="3103" spans="1:20" x14ac:dyDescent="0.25">
      <c r="A3103" s="1" t="str">
        <f>HYPERLINK("https://vegkart.atlas.vegvesen.no/#/@272608.8,6651393.3,18/hva:hva%5B0%5D%5Bfilter%5D%5B0%5D%5Boperator%5D=%21%3D&amp;hva%5B0%5D%5Bfilter%5D%5B0%5D%5Btype_id%5D=8917&amp;hva%5B0%5D%5Bfilter%5D%5B0%5D%5Bverdi%5D=&amp;hva%5B0%5D%5Bid%5D=49/når:2020-03-05", "Vegkart")</f>
        <v>Vegkart</v>
      </c>
      <c r="B3103">
        <v>1007051463</v>
      </c>
      <c r="C3103">
        <v>49</v>
      </c>
      <c r="D3103" t="s">
        <v>8701</v>
      </c>
      <c r="E3103">
        <v>8917</v>
      </c>
      <c r="F3103" t="s">
        <v>23479</v>
      </c>
      <c r="G3103">
        <v>1</v>
      </c>
      <c r="H3103" t="s">
        <v>10343</v>
      </c>
      <c r="J3103" t="s">
        <v>10213</v>
      </c>
      <c r="K3103" t="s">
        <v>335</v>
      </c>
      <c r="L3103" t="s">
        <v>22</v>
      </c>
      <c r="M3103" t="s">
        <v>10334</v>
      </c>
      <c r="N3103" t="s">
        <v>10344</v>
      </c>
      <c r="O3103" t="s">
        <v>10345</v>
      </c>
      <c r="P3103" s="2" t="s">
        <v>37</v>
      </c>
      <c r="Q3103" t="s">
        <v>1208</v>
      </c>
      <c r="R3103">
        <v>0.32</v>
      </c>
      <c r="S3103">
        <v>36.69</v>
      </c>
      <c r="T3103" t="s">
        <v>10346</v>
      </c>
    </row>
    <row r="3104" spans="1:20" x14ac:dyDescent="0.25">
      <c r="A3104" s="1" t="str">
        <f>HYPERLINK("https://vegkart.atlas.vegvesen.no/#/@272630.1,6651384.1,18/hva:hva%5B0%5D%5Bfilter%5D%5B0%5D%5Boperator%5D=%21%3D&amp;hva%5B0%5D%5Bfilter%5D%5B0%5D%5Btype_id%5D=8917&amp;hva%5B0%5D%5Bfilter%5D%5B0%5D%5Bverdi%5D=&amp;hva%5B0%5D%5Bid%5D=49/når:2020-03-05", "Vegkart")</f>
        <v>Vegkart</v>
      </c>
      <c r="B3104">
        <v>1007051604</v>
      </c>
      <c r="C3104">
        <v>49</v>
      </c>
      <c r="D3104" t="s">
        <v>8701</v>
      </c>
      <c r="E3104">
        <v>8917</v>
      </c>
      <c r="F3104" t="s">
        <v>23479</v>
      </c>
      <c r="G3104">
        <v>1</v>
      </c>
      <c r="H3104" t="s">
        <v>10343</v>
      </c>
      <c r="J3104" t="s">
        <v>10213</v>
      </c>
      <c r="K3104" t="s">
        <v>335</v>
      </c>
      <c r="L3104" t="s">
        <v>22</v>
      </c>
      <c r="M3104" t="s">
        <v>10334</v>
      </c>
      <c r="N3104" t="s">
        <v>10347</v>
      </c>
      <c r="O3104" t="s">
        <v>10348</v>
      </c>
      <c r="P3104" s="2" t="s">
        <v>37</v>
      </c>
      <c r="Q3104" t="s">
        <v>1208</v>
      </c>
      <c r="R3104">
        <v>0.84</v>
      </c>
      <c r="S3104">
        <v>23.11</v>
      </c>
      <c r="T3104" t="s">
        <v>10349</v>
      </c>
    </row>
    <row r="3105" spans="1:20" x14ac:dyDescent="0.25">
      <c r="A3105" s="1" t="str">
        <f>HYPERLINK("https://vegkart.atlas.vegvesen.no/#/@272647.6,6651371.9,18/hva:hva%5B0%5D%5Bfilter%5D%5B0%5D%5Boperator%5D=%21%3D&amp;hva%5B0%5D%5Bfilter%5D%5B0%5D%5Btype_id%5D=8917&amp;hva%5B0%5D%5Bfilter%5D%5B0%5D%5Bverdi%5D=&amp;hva%5B0%5D%5Bid%5D=49/når:2020-03-05", "Vegkart")</f>
        <v>Vegkart</v>
      </c>
      <c r="B3105">
        <v>1007051611</v>
      </c>
      <c r="C3105">
        <v>49</v>
      </c>
      <c r="D3105" t="s">
        <v>8701</v>
      </c>
      <c r="E3105">
        <v>8917</v>
      </c>
      <c r="F3105" t="s">
        <v>23479</v>
      </c>
      <c r="G3105">
        <v>1</v>
      </c>
      <c r="H3105" t="s">
        <v>10343</v>
      </c>
      <c r="J3105" t="s">
        <v>10213</v>
      </c>
      <c r="K3105" t="s">
        <v>335</v>
      </c>
      <c r="L3105" t="s">
        <v>22</v>
      </c>
      <c r="M3105" t="s">
        <v>10334</v>
      </c>
      <c r="N3105" t="s">
        <v>10350</v>
      </c>
      <c r="O3105" t="s">
        <v>10351</v>
      </c>
      <c r="P3105" s="2" t="s">
        <v>37</v>
      </c>
      <c r="Q3105" t="s">
        <v>1208</v>
      </c>
      <c r="R3105">
        <v>0.11</v>
      </c>
      <c r="S3105">
        <v>33.479999999999997</v>
      </c>
      <c r="T3105" t="s">
        <v>10352</v>
      </c>
    </row>
    <row r="3106" spans="1:20" x14ac:dyDescent="0.25">
      <c r="A3106" s="1" t="str">
        <f>HYPERLINK("https://vegkart.atlas.vegvesen.no/#/@270322.4,6653055.5,18/hva:hva%5B0%5D%5Bfilter%5D%5B0%5D%5Boperator%5D=%21%3D&amp;hva%5B0%5D%5Bfilter%5D%5B0%5D%5Btype_id%5D=8917&amp;hva%5B0%5D%5Bfilter%5D%5B0%5D%5Bverdi%5D=&amp;hva%5B0%5D%5Bid%5D=49/når:2020-03-05", "Vegkart")</f>
        <v>Vegkart</v>
      </c>
      <c r="B3106">
        <v>1007053425</v>
      </c>
      <c r="C3106">
        <v>49</v>
      </c>
      <c r="D3106" t="s">
        <v>8701</v>
      </c>
      <c r="E3106">
        <v>8917</v>
      </c>
      <c r="F3106" t="s">
        <v>23479</v>
      </c>
      <c r="G3106">
        <v>1</v>
      </c>
      <c r="H3106" t="s">
        <v>10343</v>
      </c>
      <c r="J3106" t="s">
        <v>10213</v>
      </c>
      <c r="K3106" t="s">
        <v>335</v>
      </c>
      <c r="L3106" t="s">
        <v>22</v>
      </c>
      <c r="M3106" t="s">
        <v>10353</v>
      </c>
      <c r="N3106" t="s">
        <v>10354</v>
      </c>
      <c r="O3106" t="s">
        <v>10355</v>
      </c>
      <c r="P3106" s="2" t="s">
        <v>37</v>
      </c>
      <c r="Q3106" t="s">
        <v>1208</v>
      </c>
      <c r="R3106">
        <v>0.48</v>
      </c>
      <c r="S3106">
        <v>43.83</v>
      </c>
      <c r="T3106" t="s">
        <v>10356</v>
      </c>
    </row>
    <row r="3107" spans="1:20" x14ac:dyDescent="0.25">
      <c r="A3107" s="1" t="str">
        <f>HYPERLINK("https://vegkart.atlas.vegvesen.no/#/@256809.0,6653851.8,18/hva:hva%5B0%5D%5Bfilter%5D%5B0%5D%5Boperator%5D=%21%3D&amp;hva%5B0%5D%5Bfilter%5D%5B0%5D%5Btype_id%5D=8917&amp;hva%5B0%5D%5Bfilter%5D%5B0%5D%5Bverdi%5D=&amp;hva%5B0%5D%5Bid%5D=49/når:2020-03-05", "Vegkart")</f>
        <v>Vegkart</v>
      </c>
      <c r="B3107">
        <v>1007055758</v>
      </c>
      <c r="C3107">
        <v>49</v>
      </c>
      <c r="D3107" t="s">
        <v>8701</v>
      </c>
      <c r="E3107">
        <v>8917</v>
      </c>
      <c r="F3107" t="s">
        <v>23479</v>
      </c>
      <c r="G3107">
        <v>1</v>
      </c>
      <c r="H3107" t="s">
        <v>10343</v>
      </c>
      <c r="J3107" t="s">
        <v>10213</v>
      </c>
      <c r="K3107" t="s">
        <v>335</v>
      </c>
      <c r="L3107" t="s">
        <v>22</v>
      </c>
      <c r="M3107" t="s">
        <v>10357</v>
      </c>
      <c r="N3107" t="s">
        <v>10358</v>
      </c>
      <c r="O3107" t="s">
        <v>10359</v>
      </c>
      <c r="P3107" s="2" t="s">
        <v>37</v>
      </c>
      <c r="Q3107" t="s">
        <v>1208</v>
      </c>
      <c r="R3107">
        <v>0.44</v>
      </c>
      <c r="S3107">
        <v>23.73</v>
      </c>
      <c r="T3107" t="s">
        <v>10360</v>
      </c>
    </row>
    <row r="3108" spans="1:20" x14ac:dyDescent="0.25">
      <c r="A3108" s="1" t="str">
        <f>HYPERLINK("https://vegkart.atlas.vegvesen.no/#/@256806.6,6653834.8,18/hva:hva%5B0%5D%5Bfilter%5D%5B0%5D%5Boperator%5D=%21%3D&amp;hva%5B0%5D%5Bfilter%5D%5B0%5D%5Btype_id%5D=8917&amp;hva%5B0%5D%5Bfilter%5D%5B0%5D%5Bverdi%5D=&amp;hva%5B0%5D%5Bid%5D=49/når:2020-03-05", "Vegkart")</f>
        <v>Vegkart</v>
      </c>
      <c r="B3108">
        <v>1007056309</v>
      </c>
      <c r="C3108">
        <v>49</v>
      </c>
      <c r="D3108" t="s">
        <v>8701</v>
      </c>
      <c r="E3108">
        <v>8917</v>
      </c>
      <c r="F3108" t="s">
        <v>23479</v>
      </c>
      <c r="G3108">
        <v>1</v>
      </c>
      <c r="H3108" t="s">
        <v>10343</v>
      </c>
      <c r="J3108" t="s">
        <v>10213</v>
      </c>
      <c r="K3108" t="s">
        <v>335</v>
      </c>
      <c r="L3108" t="s">
        <v>22</v>
      </c>
      <c r="M3108" t="s">
        <v>10357</v>
      </c>
      <c r="N3108" t="s">
        <v>10361</v>
      </c>
      <c r="O3108" t="s">
        <v>10362</v>
      </c>
      <c r="P3108" s="2" t="s">
        <v>37</v>
      </c>
      <c r="Q3108" t="s">
        <v>1208</v>
      </c>
      <c r="R3108">
        <v>0.91</v>
      </c>
      <c r="S3108">
        <v>33.869999999999997</v>
      </c>
      <c r="T3108" t="s">
        <v>10363</v>
      </c>
    </row>
    <row r="3109" spans="1:20" x14ac:dyDescent="0.25">
      <c r="A3109" s="1" t="str">
        <f>HYPERLINK("https://vegkart.atlas.vegvesen.no/#/@256795.1,6653821.5,18/hva:hva%5B0%5D%5Bfilter%5D%5B0%5D%5Boperator%5D=%21%3D&amp;hva%5B0%5D%5Bfilter%5D%5B0%5D%5Btype_id%5D=8917&amp;hva%5B0%5D%5Bfilter%5D%5B0%5D%5Bverdi%5D=&amp;hva%5B0%5D%5Bid%5D=49/når:2020-03-05", "Vegkart")</f>
        <v>Vegkart</v>
      </c>
      <c r="B3109">
        <v>1007056320</v>
      </c>
      <c r="C3109">
        <v>49</v>
      </c>
      <c r="D3109" t="s">
        <v>8701</v>
      </c>
      <c r="E3109">
        <v>8917</v>
      </c>
      <c r="F3109" t="s">
        <v>23479</v>
      </c>
      <c r="G3109">
        <v>1</v>
      </c>
      <c r="H3109" t="s">
        <v>10343</v>
      </c>
      <c r="J3109" t="s">
        <v>10213</v>
      </c>
      <c r="K3109" t="s">
        <v>335</v>
      </c>
      <c r="L3109" t="s">
        <v>22</v>
      </c>
      <c r="M3109" t="s">
        <v>10364</v>
      </c>
      <c r="N3109" t="s">
        <v>10365</v>
      </c>
      <c r="O3109" t="s">
        <v>10366</v>
      </c>
      <c r="P3109" s="2" t="s">
        <v>37</v>
      </c>
      <c r="Q3109" t="s">
        <v>1208</v>
      </c>
      <c r="R3109">
        <v>0.93</v>
      </c>
      <c r="S3109">
        <v>23.7</v>
      </c>
      <c r="T3109" t="s">
        <v>10367</v>
      </c>
    </row>
    <row r="3110" spans="1:20" x14ac:dyDescent="0.25">
      <c r="A3110" s="1" t="str">
        <f>HYPERLINK("https://vegkart.atlas.vegvesen.no/#/@270294.3,6654167.4,18/hva:hva%5B0%5D%5Bfilter%5D%5B0%5D%5Boperator%5D=%21%3D&amp;hva%5B0%5D%5Bfilter%5D%5B0%5D%5Btype_id%5D=8917&amp;hva%5B0%5D%5Bfilter%5D%5B0%5D%5Bverdi%5D=&amp;hva%5B0%5D%5Bid%5D=49/når:2020-03-06", "Vegkart")</f>
        <v>Vegkart</v>
      </c>
      <c r="B3110">
        <v>1007066840</v>
      </c>
      <c r="C3110">
        <v>49</v>
      </c>
      <c r="D3110" t="s">
        <v>8701</v>
      </c>
      <c r="E3110">
        <v>8917</v>
      </c>
      <c r="F3110" t="s">
        <v>23479</v>
      </c>
      <c r="G3110">
        <v>1</v>
      </c>
      <c r="H3110" t="s">
        <v>305</v>
      </c>
      <c r="J3110" t="s">
        <v>10213</v>
      </c>
      <c r="K3110" t="s">
        <v>335</v>
      </c>
      <c r="L3110" t="s">
        <v>22</v>
      </c>
      <c r="M3110" t="s">
        <v>10368</v>
      </c>
      <c r="N3110" t="s">
        <v>10369</v>
      </c>
      <c r="O3110" t="s">
        <v>10370</v>
      </c>
      <c r="P3110" s="2" t="s">
        <v>37</v>
      </c>
      <c r="Q3110" t="s">
        <v>1208</v>
      </c>
      <c r="R3110">
        <v>0.39</v>
      </c>
      <c r="S3110">
        <v>13.86</v>
      </c>
      <c r="T3110" t="s">
        <v>10371</v>
      </c>
    </row>
    <row r="3111" spans="1:20" x14ac:dyDescent="0.25">
      <c r="A3111" s="1" t="str">
        <f>HYPERLINK("https://vegkart.atlas.vegvesen.no/#/@270311.6,6654165.5,18/hva:hva%5B0%5D%5Bfilter%5D%5B0%5D%5Boperator%5D=%21%3D&amp;hva%5B0%5D%5Bfilter%5D%5B0%5D%5Btype_id%5D=8917&amp;hva%5B0%5D%5Bfilter%5D%5B0%5D%5Bverdi%5D=&amp;hva%5B0%5D%5Bid%5D=49/når:2020-03-06", "Vegkart")</f>
        <v>Vegkart</v>
      </c>
      <c r="B3111">
        <v>1007066852</v>
      </c>
      <c r="C3111">
        <v>49</v>
      </c>
      <c r="D3111" t="s">
        <v>8701</v>
      </c>
      <c r="E3111">
        <v>8917</v>
      </c>
      <c r="F3111" t="s">
        <v>23479</v>
      </c>
      <c r="G3111">
        <v>1</v>
      </c>
      <c r="H3111" t="s">
        <v>305</v>
      </c>
      <c r="J3111" t="s">
        <v>10213</v>
      </c>
      <c r="K3111" t="s">
        <v>335</v>
      </c>
      <c r="L3111" t="s">
        <v>22</v>
      </c>
      <c r="M3111" t="s">
        <v>10368</v>
      </c>
      <c r="N3111" t="s">
        <v>10372</v>
      </c>
      <c r="O3111" t="s">
        <v>10373</v>
      </c>
      <c r="P3111" s="2" t="s">
        <v>37</v>
      </c>
      <c r="Q3111" t="s">
        <v>1208</v>
      </c>
      <c r="R3111">
        <v>0.76</v>
      </c>
      <c r="S3111">
        <v>55.94</v>
      </c>
      <c r="T3111" t="s">
        <v>10374</v>
      </c>
    </row>
    <row r="3112" spans="1:20" x14ac:dyDescent="0.25">
      <c r="A3112" s="1" t="str">
        <f>HYPERLINK("https://vegkart.atlas.vegvesen.no/#/@256625.3,6650955.6,18/hva:hva%5B0%5D%5Bfilter%5D%5B0%5D%5Boperator%5D=%21%3D&amp;hva%5B0%5D%5Bfilter%5D%5B0%5D%5Btype_id%5D=8917&amp;hva%5B0%5D%5Bfilter%5D%5B0%5D%5Bverdi%5D=&amp;hva%5B0%5D%5Bid%5D=49/når:2020-03-02", "Vegkart")</f>
        <v>Vegkart</v>
      </c>
      <c r="B3112">
        <v>1007082069</v>
      </c>
      <c r="C3112">
        <v>49</v>
      </c>
      <c r="D3112" t="s">
        <v>8701</v>
      </c>
      <c r="E3112">
        <v>8917</v>
      </c>
      <c r="F3112" t="s">
        <v>23479</v>
      </c>
      <c r="G3112">
        <v>1</v>
      </c>
      <c r="H3112" t="s">
        <v>10274</v>
      </c>
      <c r="J3112" t="s">
        <v>10213</v>
      </c>
      <c r="K3112" t="s">
        <v>335</v>
      </c>
      <c r="L3112" t="s">
        <v>22</v>
      </c>
      <c r="M3112" t="s">
        <v>336</v>
      </c>
      <c r="N3112" t="s">
        <v>10375</v>
      </c>
      <c r="O3112" t="s">
        <v>10376</v>
      </c>
      <c r="P3112" s="2" t="s">
        <v>37</v>
      </c>
      <c r="Q3112" t="s">
        <v>1208</v>
      </c>
      <c r="R3112">
        <v>0.71</v>
      </c>
      <c r="S3112">
        <v>36.69</v>
      </c>
      <c r="T3112" t="s">
        <v>10377</v>
      </c>
    </row>
    <row r="3113" spans="1:20" x14ac:dyDescent="0.25">
      <c r="A3113" s="1" t="str">
        <f>HYPERLINK("https://vegkart.atlas.vegvesen.no/#/@270350.9,6653021.8,18/hva:hva%5B0%5D%5Bfilter%5D%5B0%5D%5Boperator%5D=%21%3D&amp;hva%5B0%5D%5Bfilter%5D%5B0%5D%5Btype_id%5D=8917&amp;hva%5B0%5D%5Bfilter%5D%5B0%5D%5Bverdi%5D=&amp;hva%5B0%5D%5Bid%5D=49/når:2020-03-06", "Vegkart")</f>
        <v>Vegkart</v>
      </c>
      <c r="B3113">
        <v>1007083165</v>
      </c>
      <c r="C3113">
        <v>49</v>
      </c>
      <c r="D3113" t="s">
        <v>8701</v>
      </c>
      <c r="E3113">
        <v>8917</v>
      </c>
      <c r="F3113" t="s">
        <v>23479</v>
      </c>
      <c r="G3113">
        <v>1</v>
      </c>
      <c r="H3113" t="s">
        <v>305</v>
      </c>
      <c r="J3113" t="s">
        <v>10213</v>
      </c>
      <c r="K3113" t="s">
        <v>335</v>
      </c>
      <c r="L3113" t="s">
        <v>22</v>
      </c>
      <c r="M3113" t="s">
        <v>10353</v>
      </c>
      <c r="N3113" t="s">
        <v>10378</v>
      </c>
      <c r="O3113" t="s">
        <v>10379</v>
      </c>
      <c r="P3113" s="2" t="s">
        <v>37</v>
      </c>
      <c r="Q3113" t="s">
        <v>1208</v>
      </c>
      <c r="R3113">
        <v>0.14000000000000001</v>
      </c>
      <c r="S3113">
        <v>27.96</v>
      </c>
      <c r="T3113" t="s">
        <v>10380</v>
      </c>
    </row>
    <row r="3114" spans="1:20" x14ac:dyDescent="0.25">
      <c r="A3114" s="1" t="str">
        <f>HYPERLINK("https://vegkart.atlas.vegvesen.no/#/@270332.4,6653031.9,18/hva:hva%5B0%5D%5Bfilter%5D%5B0%5D%5Boperator%5D=%21%3D&amp;hva%5B0%5D%5Bfilter%5D%5B0%5D%5Btype_id%5D=8917&amp;hva%5B0%5D%5Bfilter%5D%5B0%5D%5Bverdi%5D=&amp;hva%5B0%5D%5Bid%5D=49/når:2020-03-06", "Vegkart")</f>
        <v>Vegkart</v>
      </c>
      <c r="B3114">
        <v>1007083476</v>
      </c>
      <c r="C3114">
        <v>49</v>
      </c>
      <c r="D3114" t="s">
        <v>8701</v>
      </c>
      <c r="E3114">
        <v>8917</v>
      </c>
      <c r="F3114" t="s">
        <v>23479</v>
      </c>
      <c r="G3114">
        <v>1</v>
      </c>
      <c r="H3114" t="s">
        <v>305</v>
      </c>
      <c r="J3114" t="s">
        <v>10213</v>
      </c>
      <c r="K3114" t="s">
        <v>335</v>
      </c>
      <c r="L3114" t="s">
        <v>22</v>
      </c>
      <c r="M3114" t="s">
        <v>10353</v>
      </c>
      <c r="N3114" t="s">
        <v>10381</v>
      </c>
      <c r="O3114" t="s">
        <v>10382</v>
      </c>
      <c r="P3114" s="2" t="s">
        <v>37</v>
      </c>
      <c r="Q3114" t="s">
        <v>1208</v>
      </c>
      <c r="R3114">
        <v>0.41</v>
      </c>
      <c r="S3114">
        <v>43.05</v>
      </c>
      <c r="T3114" t="s">
        <v>10383</v>
      </c>
    </row>
    <row r="3115" spans="1:20" x14ac:dyDescent="0.25">
      <c r="A3115" s="1" t="str">
        <f>HYPERLINK("https://vegkart.atlas.vegvesen.no/#/@270320.0,6653306.0,18/hva:hva%5B0%5D%5Bfilter%5D%5B0%5D%5Boperator%5D=%21%3D&amp;hva%5B0%5D%5Bfilter%5D%5B0%5D%5Btype_id%5D=8917&amp;hva%5B0%5D%5Bfilter%5D%5B0%5D%5Bverdi%5D=&amp;hva%5B0%5D%5Bid%5D=49/når:2020-03-06", "Vegkart")</f>
        <v>Vegkart</v>
      </c>
      <c r="B3115">
        <v>1007084299</v>
      </c>
      <c r="C3115">
        <v>49</v>
      </c>
      <c r="D3115" t="s">
        <v>8701</v>
      </c>
      <c r="E3115">
        <v>8917</v>
      </c>
      <c r="F3115" t="s">
        <v>23479</v>
      </c>
      <c r="G3115">
        <v>1</v>
      </c>
      <c r="H3115" t="s">
        <v>305</v>
      </c>
      <c r="J3115" t="s">
        <v>10213</v>
      </c>
      <c r="K3115" t="s">
        <v>335</v>
      </c>
      <c r="L3115" t="s">
        <v>22</v>
      </c>
      <c r="M3115" t="s">
        <v>10384</v>
      </c>
      <c r="N3115" t="s">
        <v>10385</v>
      </c>
      <c r="O3115" t="s">
        <v>10386</v>
      </c>
      <c r="P3115" s="2" t="s">
        <v>37</v>
      </c>
      <c r="Q3115" t="s">
        <v>1208</v>
      </c>
      <c r="R3115">
        <v>7.0000000000000007E-2</v>
      </c>
      <c r="S3115">
        <v>17.77</v>
      </c>
      <c r="T3115" t="s">
        <v>10387</v>
      </c>
    </row>
    <row r="3116" spans="1:20" x14ac:dyDescent="0.25">
      <c r="A3116" s="1" t="str">
        <f>HYPERLINK("https://vegkart.atlas.vegvesen.no/#/@256720.7,6653600.3,18/hva:hva%5B0%5D%5Bfilter%5D%5B0%5D%5Boperator%5D=%21%3D&amp;hva%5B0%5D%5Bfilter%5D%5B0%5D%5Btype_id%5D=8917&amp;hva%5B0%5D%5Bfilter%5D%5B0%5D%5Bverdi%5D=&amp;hva%5B0%5D%5Bid%5D=49/når:2020-03-10", "Vegkart")</f>
        <v>Vegkart</v>
      </c>
      <c r="B3116">
        <v>1007142212</v>
      </c>
      <c r="C3116">
        <v>49</v>
      </c>
      <c r="D3116" t="s">
        <v>8701</v>
      </c>
      <c r="E3116">
        <v>8917</v>
      </c>
      <c r="F3116" t="s">
        <v>23479</v>
      </c>
      <c r="G3116">
        <v>1</v>
      </c>
      <c r="H3116" t="s">
        <v>10388</v>
      </c>
      <c r="J3116" t="s">
        <v>10213</v>
      </c>
      <c r="K3116" t="s">
        <v>335</v>
      </c>
      <c r="L3116" t="s">
        <v>22</v>
      </c>
      <c r="M3116" t="s">
        <v>10364</v>
      </c>
      <c r="N3116" t="s">
        <v>10389</v>
      </c>
      <c r="O3116" t="s">
        <v>10390</v>
      </c>
      <c r="P3116" s="2" t="s">
        <v>37</v>
      </c>
      <c r="Q3116" t="s">
        <v>1208</v>
      </c>
      <c r="R3116">
        <v>0.53</v>
      </c>
      <c r="S3116">
        <v>22.56</v>
      </c>
      <c r="T3116" t="s">
        <v>10391</v>
      </c>
    </row>
    <row r="3117" spans="1:20" x14ac:dyDescent="0.25">
      <c r="A3117" s="1" t="str">
        <f>HYPERLINK("https://vegkart.atlas.vegvesen.no/#/@256712.2,6653575.6,18/hva:hva%5B0%5D%5Bfilter%5D%5B0%5D%5Boperator%5D=%21%3D&amp;hva%5B0%5D%5Bfilter%5D%5B0%5D%5Btype_id%5D=8917&amp;hva%5B0%5D%5Bfilter%5D%5B0%5D%5Bverdi%5D=&amp;hva%5B0%5D%5Bid%5D=49/når:2020-03-10", "Vegkart")</f>
        <v>Vegkart</v>
      </c>
      <c r="B3117">
        <v>1007142271</v>
      </c>
      <c r="C3117">
        <v>49</v>
      </c>
      <c r="D3117" t="s">
        <v>8701</v>
      </c>
      <c r="E3117">
        <v>8917</v>
      </c>
      <c r="F3117" t="s">
        <v>23479</v>
      </c>
      <c r="G3117">
        <v>1</v>
      </c>
      <c r="H3117" t="s">
        <v>10388</v>
      </c>
      <c r="J3117" t="s">
        <v>10213</v>
      </c>
      <c r="K3117" t="s">
        <v>335</v>
      </c>
      <c r="L3117" t="s">
        <v>22</v>
      </c>
      <c r="M3117" t="s">
        <v>10364</v>
      </c>
      <c r="N3117" t="s">
        <v>10392</v>
      </c>
      <c r="O3117" t="s">
        <v>10393</v>
      </c>
      <c r="P3117" s="2" t="s">
        <v>37</v>
      </c>
      <c r="Q3117" t="s">
        <v>1208</v>
      </c>
      <c r="R3117">
        <v>0.65</v>
      </c>
      <c r="S3117">
        <v>22.1</v>
      </c>
      <c r="T3117" t="s">
        <v>10394</v>
      </c>
    </row>
    <row r="3118" spans="1:20" x14ac:dyDescent="0.25">
      <c r="A3118" s="1" t="str">
        <f>HYPERLINK("https://vegkart.atlas.vegvesen.no/#/@256691.8,6653511.6,18/hva:hva%5B0%5D%5Bfilter%5D%5B0%5D%5Boperator%5D=%21%3D&amp;hva%5B0%5D%5Bfilter%5D%5B0%5D%5Btype_id%5D=8917&amp;hva%5B0%5D%5Bfilter%5D%5B0%5D%5Bverdi%5D=&amp;hva%5B0%5D%5Bid%5D=49/når:2020-03-10", "Vegkart")</f>
        <v>Vegkart</v>
      </c>
      <c r="B3118">
        <v>1007142279</v>
      </c>
      <c r="C3118">
        <v>49</v>
      </c>
      <c r="D3118" t="s">
        <v>8701</v>
      </c>
      <c r="E3118">
        <v>8917</v>
      </c>
      <c r="F3118" t="s">
        <v>23479</v>
      </c>
      <c r="G3118">
        <v>1</v>
      </c>
      <c r="H3118" t="s">
        <v>10388</v>
      </c>
      <c r="J3118" t="s">
        <v>10213</v>
      </c>
      <c r="K3118" t="s">
        <v>335</v>
      </c>
      <c r="L3118" t="s">
        <v>22</v>
      </c>
      <c r="M3118" t="s">
        <v>10364</v>
      </c>
      <c r="N3118" t="s">
        <v>10395</v>
      </c>
      <c r="O3118" t="s">
        <v>10396</v>
      </c>
      <c r="P3118" s="2" t="s">
        <v>37</v>
      </c>
      <c r="Q3118" t="s">
        <v>1208</v>
      </c>
      <c r="R3118">
        <v>0.56999999999999995</v>
      </c>
      <c r="S3118">
        <v>28.22</v>
      </c>
      <c r="T3118" t="s">
        <v>10397</v>
      </c>
    </row>
    <row r="3119" spans="1:20" x14ac:dyDescent="0.25">
      <c r="A3119" s="1" t="str">
        <f>HYPERLINK("https://vegkart.atlas.vegvesen.no/#/@268169.3,6646660.8,18/hva:hva%5B0%5D%5Bfilter%5D%5B0%5D%5Boperator%5D=%21%3D&amp;hva%5B0%5D%5Bfilter%5D%5B0%5D%5Btype_id%5D=8917&amp;hva%5B0%5D%5Bfilter%5D%5B0%5D%5Bverdi%5D=&amp;hva%5B0%5D%5Bid%5D=49/når:2020-03-10", "Vegkart")</f>
        <v>Vegkart</v>
      </c>
      <c r="B3119">
        <v>1007158357</v>
      </c>
      <c r="C3119">
        <v>49</v>
      </c>
      <c r="D3119" t="s">
        <v>8701</v>
      </c>
      <c r="E3119">
        <v>8917</v>
      </c>
      <c r="F3119" t="s">
        <v>23479</v>
      </c>
      <c r="G3119">
        <v>1</v>
      </c>
      <c r="H3119" t="s">
        <v>10388</v>
      </c>
      <c r="J3119" t="s">
        <v>10213</v>
      </c>
      <c r="K3119" t="s">
        <v>335</v>
      </c>
      <c r="L3119" t="s">
        <v>22</v>
      </c>
      <c r="M3119" t="s">
        <v>10398</v>
      </c>
      <c r="N3119" t="s">
        <v>10399</v>
      </c>
      <c r="O3119" t="s">
        <v>10400</v>
      </c>
      <c r="P3119" s="2" t="s">
        <v>26</v>
      </c>
      <c r="Q3119" t="s">
        <v>50</v>
      </c>
      <c r="R3119">
        <v>15.54</v>
      </c>
      <c r="S3119">
        <v>15.54</v>
      </c>
      <c r="T3119" t="s">
        <v>10401</v>
      </c>
    </row>
    <row r="3120" spans="1:20" x14ac:dyDescent="0.25">
      <c r="A3120" s="1" t="str">
        <f>HYPERLINK("https://vegkart.atlas.vegvesen.no/#/@268177.8,6646681.9,18/hva:hva%5B0%5D%5Bfilter%5D%5B0%5D%5Boperator%5D=%21%3D&amp;hva%5B0%5D%5Bfilter%5D%5B0%5D%5Btype_id%5D=8917&amp;hva%5B0%5D%5Bfilter%5D%5B0%5D%5Bverdi%5D=&amp;hva%5B0%5D%5Bid%5D=49/når:2020-03-10", "Vegkart")</f>
        <v>Vegkart</v>
      </c>
      <c r="B3120">
        <v>1007158486</v>
      </c>
      <c r="C3120">
        <v>49</v>
      </c>
      <c r="D3120" t="s">
        <v>8701</v>
      </c>
      <c r="E3120">
        <v>8917</v>
      </c>
      <c r="F3120" t="s">
        <v>23479</v>
      </c>
      <c r="G3120">
        <v>1</v>
      </c>
      <c r="H3120" t="s">
        <v>10388</v>
      </c>
      <c r="J3120" t="s">
        <v>10213</v>
      </c>
      <c r="K3120" t="s">
        <v>335</v>
      </c>
      <c r="L3120" t="s">
        <v>22</v>
      </c>
      <c r="M3120" t="s">
        <v>10402</v>
      </c>
      <c r="N3120" t="s">
        <v>10403</v>
      </c>
      <c r="O3120" t="s">
        <v>10404</v>
      </c>
      <c r="P3120" s="2" t="s">
        <v>37</v>
      </c>
      <c r="Q3120" t="s">
        <v>1208</v>
      </c>
      <c r="R3120">
        <v>0.48</v>
      </c>
      <c r="S3120">
        <v>31.23</v>
      </c>
      <c r="T3120" t="s">
        <v>10405</v>
      </c>
    </row>
    <row r="3121" spans="1:20" x14ac:dyDescent="0.25">
      <c r="A3121" s="1" t="str">
        <f>HYPERLINK("https://vegkart.atlas.vegvesen.no/#/@268189.6,6646698.7,18/hva:hva%5B0%5D%5Bfilter%5D%5B0%5D%5Boperator%5D=%21%3D&amp;hva%5B0%5D%5Bfilter%5D%5B0%5D%5Btype_id%5D=8917&amp;hva%5B0%5D%5Bfilter%5D%5B0%5D%5Bverdi%5D=&amp;hva%5B0%5D%5Bid%5D=49/når:2020-03-10", "Vegkart")</f>
        <v>Vegkart</v>
      </c>
      <c r="B3121">
        <v>1007158522</v>
      </c>
      <c r="C3121">
        <v>49</v>
      </c>
      <c r="D3121" t="s">
        <v>8701</v>
      </c>
      <c r="E3121">
        <v>8917</v>
      </c>
      <c r="F3121" t="s">
        <v>23479</v>
      </c>
      <c r="G3121">
        <v>1</v>
      </c>
      <c r="H3121" t="s">
        <v>10388</v>
      </c>
      <c r="J3121" t="s">
        <v>10213</v>
      </c>
      <c r="K3121" t="s">
        <v>335</v>
      </c>
      <c r="L3121" t="s">
        <v>22</v>
      </c>
      <c r="M3121" t="s">
        <v>10406</v>
      </c>
      <c r="N3121" t="s">
        <v>10407</v>
      </c>
      <c r="O3121" t="s">
        <v>10408</v>
      </c>
      <c r="P3121" s="2" t="s">
        <v>26</v>
      </c>
      <c r="Q3121" t="s">
        <v>50</v>
      </c>
      <c r="R3121">
        <v>11.08</v>
      </c>
      <c r="S3121">
        <v>11.08</v>
      </c>
      <c r="T3121" t="s">
        <v>10409</v>
      </c>
    </row>
    <row r="3122" spans="1:20" x14ac:dyDescent="0.25">
      <c r="A3122" s="1" t="str">
        <f>HYPERLINK("https://vegkart.atlas.vegvesen.no/#/@267848.5,6648764.4,18/hva:hva%5B0%5D%5Bfilter%5D%5B0%5D%5Boperator%5D=%21%3D&amp;hva%5B0%5D%5Bfilter%5D%5B0%5D%5Btype_id%5D=8917&amp;hva%5B0%5D%5Bfilter%5D%5B0%5D%5Bverdi%5D=&amp;hva%5B0%5D%5Bid%5D=49/når:2020-03-11", "Vegkart")</f>
        <v>Vegkart</v>
      </c>
      <c r="B3122">
        <v>1007164042</v>
      </c>
      <c r="C3122">
        <v>49</v>
      </c>
      <c r="D3122" t="s">
        <v>8701</v>
      </c>
      <c r="E3122">
        <v>8917</v>
      </c>
      <c r="F3122" t="s">
        <v>23479</v>
      </c>
      <c r="G3122">
        <v>1</v>
      </c>
      <c r="H3122" t="s">
        <v>10410</v>
      </c>
      <c r="J3122" t="s">
        <v>10213</v>
      </c>
      <c r="K3122" t="s">
        <v>335</v>
      </c>
      <c r="L3122" t="s">
        <v>22</v>
      </c>
      <c r="M3122" t="s">
        <v>10411</v>
      </c>
      <c r="N3122" t="s">
        <v>10412</v>
      </c>
      <c r="O3122" t="s">
        <v>10413</v>
      </c>
      <c r="P3122" s="2" t="s">
        <v>26</v>
      </c>
      <c r="Q3122" t="s">
        <v>50</v>
      </c>
      <c r="R3122">
        <v>6.81</v>
      </c>
      <c r="S3122">
        <v>6.81</v>
      </c>
      <c r="T3122" t="s">
        <v>10414</v>
      </c>
    </row>
    <row r="3123" spans="1:20" x14ac:dyDescent="0.25">
      <c r="A3123" s="1" t="str">
        <f>HYPERLINK("https://vegkart.atlas.vegvesen.no/#/@267829.5,6648794.6,18/hva:hva%5B0%5D%5Bfilter%5D%5B0%5D%5Boperator%5D=%21%3D&amp;hva%5B0%5D%5Bfilter%5D%5B0%5D%5Btype_id%5D=8917&amp;hva%5B0%5D%5Bfilter%5D%5B0%5D%5Bverdi%5D=&amp;hva%5B0%5D%5Bid%5D=49/når:2020-03-11", "Vegkart")</f>
        <v>Vegkart</v>
      </c>
      <c r="B3123">
        <v>1007164209</v>
      </c>
      <c r="C3123">
        <v>49</v>
      </c>
      <c r="D3123" t="s">
        <v>8701</v>
      </c>
      <c r="E3123">
        <v>8917</v>
      </c>
      <c r="F3123" t="s">
        <v>23479</v>
      </c>
      <c r="G3123">
        <v>1</v>
      </c>
      <c r="H3123" t="s">
        <v>10410</v>
      </c>
      <c r="J3123" t="s">
        <v>10213</v>
      </c>
      <c r="K3123" t="s">
        <v>335</v>
      </c>
      <c r="L3123" t="s">
        <v>22</v>
      </c>
      <c r="M3123" t="s">
        <v>10415</v>
      </c>
      <c r="N3123" t="s">
        <v>10416</v>
      </c>
      <c r="O3123" t="s">
        <v>10417</v>
      </c>
      <c r="P3123" s="2" t="s">
        <v>26</v>
      </c>
      <c r="Q3123" t="s">
        <v>50</v>
      </c>
      <c r="R3123">
        <v>3.24</v>
      </c>
      <c r="S3123">
        <v>3.24</v>
      </c>
      <c r="T3123" t="s">
        <v>10418</v>
      </c>
    </row>
    <row r="3124" spans="1:20" x14ac:dyDescent="0.25">
      <c r="A3124" s="1" t="str">
        <f>HYPERLINK("https://vegkart.atlas.vegvesen.no/#/@267981.6,6649735.0,18/hva:hva%5B0%5D%5Bfilter%5D%5B0%5D%5Boperator%5D=%21%3D&amp;hva%5B0%5D%5Bfilter%5D%5B0%5D%5Btype_id%5D=8917&amp;hva%5B0%5D%5Bfilter%5D%5B0%5D%5Bverdi%5D=&amp;hva%5B0%5D%5Bid%5D=49/når:2020-03-12", "Vegkart")</f>
        <v>Vegkart</v>
      </c>
      <c r="B3124">
        <v>1007174063</v>
      </c>
      <c r="C3124">
        <v>49</v>
      </c>
      <c r="D3124" t="s">
        <v>8701</v>
      </c>
      <c r="E3124">
        <v>8917</v>
      </c>
      <c r="F3124" t="s">
        <v>23479</v>
      </c>
      <c r="G3124">
        <v>1</v>
      </c>
      <c r="H3124" t="s">
        <v>10419</v>
      </c>
      <c r="J3124" t="s">
        <v>10213</v>
      </c>
      <c r="K3124" t="s">
        <v>335</v>
      </c>
      <c r="L3124" t="s">
        <v>22</v>
      </c>
      <c r="M3124" t="s">
        <v>10415</v>
      </c>
      <c r="N3124" t="s">
        <v>10420</v>
      </c>
      <c r="O3124" t="s">
        <v>10421</v>
      </c>
      <c r="P3124" s="2" t="s">
        <v>37</v>
      </c>
      <c r="Q3124" t="s">
        <v>1208</v>
      </c>
      <c r="R3124">
        <v>0.4</v>
      </c>
      <c r="S3124">
        <v>17.239999999999998</v>
      </c>
      <c r="T3124" t="s">
        <v>10422</v>
      </c>
    </row>
    <row r="3125" spans="1:20" x14ac:dyDescent="0.25">
      <c r="A3125" s="1" t="str">
        <f>HYPERLINK("https://vegkart.atlas.vegvesen.no/#/@268096.1,6650580.7,18/hva:hva%5B0%5D%5Bfilter%5D%5B0%5D%5Boperator%5D=%21%3D&amp;hva%5B0%5D%5Bfilter%5D%5B0%5D%5Btype_id%5D=8917&amp;hva%5B0%5D%5Bfilter%5D%5B0%5D%5Bverdi%5D=&amp;hva%5B0%5D%5Bid%5D=49/når:2020-03-12", "Vegkart")</f>
        <v>Vegkart</v>
      </c>
      <c r="B3125">
        <v>1007176823</v>
      </c>
      <c r="C3125">
        <v>49</v>
      </c>
      <c r="D3125" t="s">
        <v>8701</v>
      </c>
      <c r="E3125">
        <v>8917</v>
      </c>
      <c r="F3125" t="s">
        <v>23479</v>
      </c>
      <c r="G3125">
        <v>1</v>
      </c>
      <c r="H3125" t="s">
        <v>10419</v>
      </c>
      <c r="J3125" t="s">
        <v>10213</v>
      </c>
      <c r="K3125" t="s">
        <v>335</v>
      </c>
      <c r="L3125" t="s">
        <v>22</v>
      </c>
      <c r="M3125" t="s">
        <v>10415</v>
      </c>
      <c r="N3125" t="s">
        <v>10423</v>
      </c>
      <c r="O3125" t="s">
        <v>10424</v>
      </c>
      <c r="P3125" s="2" t="s">
        <v>37</v>
      </c>
      <c r="Q3125" t="s">
        <v>1208</v>
      </c>
      <c r="R3125">
        <v>0.54</v>
      </c>
      <c r="S3125">
        <v>44.61</v>
      </c>
      <c r="T3125" t="s">
        <v>10425</v>
      </c>
    </row>
    <row r="3126" spans="1:20" x14ac:dyDescent="0.25">
      <c r="A3126" s="1" t="str">
        <f>HYPERLINK("https://vegkart.atlas.vegvesen.no/#/@267991.3,6650726.3,18/hva:hva%5B0%5D%5Bfilter%5D%5B0%5D%5Boperator%5D=%21%3D&amp;hva%5B0%5D%5Bfilter%5D%5B0%5D%5Btype_id%5D=8917&amp;hva%5B0%5D%5Bfilter%5D%5B0%5D%5Bverdi%5D=&amp;hva%5B0%5D%5Bid%5D=49/når:2020-03-12", "Vegkart")</f>
        <v>Vegkart</v>
      </c>
      <c r="B3126">
        <v>1007178013</v>
      </c>
      <c r="C3126">
        <v>49</v>
      </c>
      <c r="D3126" t="s">
        <v>8701</v>
      </c>
      <c r="E3126">
        <v>8917</v>
      </c>
      <c r="F3126" t="s">
        <v>23479</v>
      </c>
      <c r="G3126">
        <v>1</v>
      </c>
      <c r="H3126" t="s">
        <v>10419</v>
      </c>
      <c r="J3126" t="s">
        <v>10213</v>
      </c>
      <c r="K3126" t="s">
        <v>335</v>
      </c>
      <c r="L3126" t="s">
        <v>22</v>
      </c>
      <c r="M3126" t="s">
        <v>10426</v>
      </c>
      <c r="N3126" t="s">
        <v>10427</v>
      </c>
      <c r="O3126" t="s">
        <v>10428</v>
      </c>
      <c r="P3126" s="2" t="s">
        <v>37</v>
      </c>
      <c r="Q3126" t="s">
        <v>1208</v>
      </c>
      <c r="R3126">
        <v>0.4</v>
      </c>
      <c r="S3126">
        <v>39.090000000000003</v>
      </c>
      <c r="T3126" t="s">
        <v>10429</v>
      </c>
    </row>
    <row r="3127" spans="1:20" x14ac:dyDescent="0.25">
      <c r="A3127" s="1" t="str">
        <f>HYPERLINK("https://vegkart.atlas.vegvesen.no/#/@263643.3,6641005.9,18/hva:hva%5B0%5D%5Bfilter%5D%5B0%5D%5Boperator%5D=%21%3D&amp;hva%5B0%5D%5Bfilter%5D%5B0%5D%5Btype_id%5D=8917&amp;hva%5B0%5D%5Bfilter%5D%5B0%5D%5Bverdi%5D=&amp;hva%5B0%5D%5Bid%5D=49/når:2020-03-16", "Vegkart")</f>
        <v>Vegkart</v>
      </c>
      <c r="B3127">
        <v>1007189163</v>
      </c>
      <c r="C3127">
        <v>49</v>
      </c>
      <c r="D3127" t="s">
        <v>8701</v>
      </c>
      <c r="E3127">
        <v>8917</v>
      </c>
      <c r="F3127" t="s">
        <v>23479</v>
      </c>
      <c r="G3127">
        <v>1</v>
      </c>
      <c r="H3127" t="s">
        <v>10430</v>
      </c>
      <c r="J3127" t="s">
        <v>10213</v>
      </c>
      <c r="K3127" t="s">
        <v>335</v>
      </c>
      <c r="L3127" t="s">
        <v>22</v>
      </c>
      <c r="M3127" t="s">
        <v>5587</v>
      </c>
      <c r="N3127" t="s">
        <v>10431</v>
      </c>
      <c r="O3127" t="s">
        <v>10432</v>
      </c>
      <c r="P3127" s="2" t="s">
        <v>26</v>
      </c>
      <c r="Q3127" t="s">
        <v>50</v>
      </c>
      <c r="R3127">
        <v>14.61</v>
      </c>
      <c r="S3127">
        <v>14.61</v>
      </c>
      <c r="T3127" t="s">
        <v>10433</v>
      </c>
    </row>
    <row r="3128" spans="1:20" x14ac:dyDescent="0.25">
      <c r="A3128" s="1" t="str">
        <f>HYPERLINK("https://vegkart.atlas.vegvesen.no/#/@258593.7,6649115.1,18/hva:hva%5B0%5D%5Bfilter%5D%5B0%5D%5Boperator%5D=%21%3D&amp;hva%5B0%5D%5Bfilter%5D%5B0%5D%5Btype_id%5D=8917&amp;hva%5B0%5D%5Bfilter%5D%5B0%5D%5Bverdi%5D=&amp;hva%5B0%5D%5Bid%5D=49/når:2020-03-16", "Vegkart")</f>
        <v>Vegkart</v>
      </c>
      <c r="B3128">
        <v>1007191790</v>
      </c>
      <c r="C3128">
        <v>49</v>
      </c>
      <c r="D3128" t="s">
        <v>8701</v>
      </c>
      <c r="E3128">
        <v>8917</v>
      </c>
      <c r="F3128" t="s">
        <v>23479</v>
      </c>
      <c r="G3128">
        <v>1</v>
      </c>
      <c r="H3128" t="s">
        <v>10430</v>
      </c>
      <c r="J3128" t="s">
        <v>10213</v>
      </c>
      <c r="K3128" t="s">
        <v>335</v>
      </c>
      <c r="L3128" t="s">
        <v>22</v>
      </c>
      <c r="M3128" t="s">
        <v>10434</v>
      </c>
      <c r="N3128" t="s">
        <v>10435</v>
      </c>
      <c r="O3128" t="s">
        <v>10436</v>
      </c>
      <c r="P3128" s="2" t="s">
        <v>37</v>
      </c>
      <c r="Q3128" t="s">
        <v>1208</v>
      </c>
      <c r="R3128">
        <v>0.53</v>
      </c>
      <c r="S3128">
        <v>14.85</v>
      </c>
      <c r="T3128" t="s">
        <v>10437</v>
      </c>
    </row>
    <row r="3129" spans="1:20" x14ac:dyDescent="0.25">
      <c r="A3129" s="1" t="str">
        <f>HYPERLINK("https://vegkart.atlas.vegvesen.no/#/@269751.2,6651535.1,18/hva:hva%5B0%5D%5Bfilter%5D%5B0%5D%5Boperator%5D=%21%3D&amp;hva%5B0%5D%5Bfilter%5D%5B0%5D%5Btype_id%5D=8917&amp;hva%5B0%5D%5Bfilter%5D%5B0%5D%5Bverdi%5D=&amp;hva%5B0%5D%5Bid%5D=49/når:2020-03-16", "Vegkart")</f>
        <v>Vegkart</v>
      </c>
      <c r="B3129">
        <v>1007195275</v>
      </c>
      <c r="C3129">
        <v>49</v>
      </c>
      <c r="D3129" t="s">
        <v>8701</v>
      </c>
      <c r="E3129">
        <v>8917</v>
      </c>
      <c r="F3129" t="s">
        <v>23479</v>
      </c>
      <c r="G3129">
        <v>1</v>
      </c>
      <c r="H3129" t="s">
        <v>10430</v>
      </c>
      <c r="J3129" t="s">
        <v>10213</v>
      </c>
      <c r="K3129" t="s">
        <v>335</v>
      </c>
      <c r="L3129" t="s">
        <v>22</v>
      </c>
      <c r="M3129" t="s">
        <v>10438</v>
      </c>
      <c r="N3129" t="s">
        <v>10439</v>
      </c>
      <c r="O3129" t="s">
        <v>10440</v>
      </c>
      <c r="P3129" s="2" t="s">
        <v>37</v>
      </c>
      <c r="Q3129" t="s">
        <v>1208</v>
      </c>
      <c r="R3129">
        <v>0.51</v>
      </c>
      <c r="S3129">
        <v>33.78</v>
      </c>
      <c r="T3129" t="s">
        <v>10441</v>
      </c>
    </row>
    <row r="3130" spans="1:20" x14ac:dyDescent="0.25">
      <c r="A3130" s="1" t="str">
        <f>HYPERLINK("https://vegkart.atlas.vegvesen.no/#/@269436.5,6651356.2,18/hva:hva%5B0%5D%5Bfilter%5D%5B0%5D%5Boperator%5D=%21%3D&amp;hva%5B0%5D%5Bfilter%5D%5B0%5D%5Btype_id%5D=8917&amp;hva%5B0%5D%5Bfilter%5D%5B0%5D%5Bverdi%5D=&amp;hva%5B0%5D%5Bid%5D=49/når:2020-03-16", "Vegkart")</f>
        <v>Vegkart</v>
      </c>
      <c r="B3130">
        <v>1007195368</v>
      </c>
      <c r="C3130">
        <v>49</v>
      </c>
      <c r="D3130" t="s">
        <v>8701</v>
      </c>
      <c r="E3130">
        <v>8917</v>
      </c>
      <c r="F3130" t="s">
        <v>23479</v>
      </c>
      <c r="G3130">
        <v>1</v>
      </c>
      <c r="H3130" t="s">
        <v>10430</v>
      </c>
      <c r="J3130" t="s">
        <v>10213</v>
      </c>
      <c r="K3130" t="s">
        <v>335</v>
      </c>
      <c r="L3130" t="s">
        <v>22</v>
      </c>
      <c r="M3130" t="s">
        <v>10438</v>
      </c>
      <c r="N3130" t="s">
        <v>10442</v>
      </c>
      <c r="O3130" t="s">
        <v>10443</v>
      </c>
      <c r="P3130" s="2" t="s">
        <v>37</v>
      </c>
      <c r="Q3130" t="s">
        <v>1208</v>
      </c>
      <c r="R3130">
        <v>0.48</v>
      </c>
      <c r="S3130">
        <v>47.56</v>
      </c>
      <c r="T3130" t="s">
        <v>10444</v>
      </c>
    </row>
    <row r="3131" spans="1:20" x14ac:dyDescent="0.25">
      <c r="A3131" s="1" t="str">
        <f>HYPERLINK("https://vegkart.atlas.vegvesen.no/#/@266884.8,6647419.6,18/hva:hva%5B0%5D%5Bfilter%5D%5B0%5D%5Boperator%5D=%21%3D&amp;hva%5B0%5D%5Bfilter%5D%5B0%5D%5Btype_id%5D=8917&amp;hva%5B0%5D%5Bfilter%5D%5B0%5D%5Bverdi%5D=&amp;hva%5B0%5D%5Bid%5D=49/når:2020-03-16", "Vegkart")</f>
        <v>Vegkart</v>
      </c>
      <c r="B3131">
        <v>1007196760</v>
      </c>
      <c r="C3131">
        <v>49</v>
      </c>
      <c r="D3131" t="s">
        <v>8701</v>
      </c>
      <c r="E3131">
        <v>8917</v>
      </c>
      <c r="F3131" t="s">
        <v>23479</v>
      </c>
      <c r="G3131">
        <v>1</v>
      </c>
      <c r="H3131" t="s">
        <v>10430</v>
      </c>
      <c r="J3131" t="s">
        <v>10213</v>
      </c>
      <c r="K3131" t="s">
        <v>335</v>
      </c>
      <c r="L3131" t="s">
        <v>22</v>
      </c>
      <c r="M3131" t="s">
        <v>10445</v>
      </c>
      <c r="N3131" t="s">
        <v>10446</v>
      </c>
      <c r="O3131" t="s">
        <v>10447</v>
      </c>
      <c r="P3131" s="2" t="s">
        <v>37</v>
      </c>
      <c r="Q3131" t="s">
        <v>1208</v>
      </c>
      <c r="R3131">
        <v>0.69</v>
      </c>
      <c r="S3131">
        <v>25.8</v>
      </c>
      <c r="T3131" t="s">
        <v>10448</v>
      </c>
    </row>
    <row r="3132" spans="1:20" x14ac:dyDescent="0.25">
      <c r="A3132" s="1" t="str">
        <f>HYPERLINK("https://vegkart.atlas.vegvesen.no/#/@258584.9,6649663.7,18/hva:hva%5B0%5D%5Bfilter%5D%5B0%5D%5Boperator%5D=%21%3D&amp;hva%5B0%5D%5Bfilter%5D%5B0%5D%5Btype_id%5D=8917&amp;hva%5B0%5D%5Bfilter%5D%5B0%5D%5Bverdi%5D=&amp;hva%5B0%5D%5Bid%5D=49/når:2020-03-16", "Vegkart")</f>
        <v>Vegkart</v>
      </c>
      <c r="B3132">
        <v>1007197114</v>
      </c>
      <c r="C3132">
        <v>49</v>
      </c>
      <c r="D3132" t="s">
        <v>8701</v>
      </c>
      <c r="E3132">
        <v>8917</v>
      </c>
      <c r="F3132" t="s">
        <v>23479</v>
      </c>
      <c r="G3132">
        <v>1</v>
      </c>
      <c r="H3132" t="s">
        <v>10430</v>
      </c>
      <c r="J3132" t="s">
        <v>10213</v>
      </c>
      <c r="K3132" t="s">
        <v>335</v>
      </c>
      <c r="L3132" t="s">
        <v>22</v>
      </c>
      <c r="M3132" t="s">
        <v>10449</v>
      </c>
      <c r="N3132" t="s">
        <v>10450</v>
      </c>
      <c r="O3132" t="s">
        <v>10451</v>
      </c>
      <c r="P3132" s="2" t="s">
        <v>37</v>
      </c>
      <c r="Q3132" t="s">
        <v>1208</v>
      </c>
      <c r="R3132">
        <v>0.42</v>
      </c>
      <c r="S3132">
        <v>24.1</v>
      </c>
      <c r="T3132" t="s">
        <v>10452</v>
      </c>
    </row>
    <row r="3133" spans="1:20" x14ac:dyDescent="0.25">
      <c r="A3133" s="1" t="str">
        <f>HYPERLINK("https://vegkart.atlas.vegvesen.no/#/@258609.7,6649108.3,18/hva:hva%5B0%5D%5Bfilter%5D%5B0%5D%5Boperator%5D=%21%3D&amp;hva%5B0%5D%5Bfilter%5D%5B0%5D%5Btype_id%5D=8917&amp;hva%5B0%5D%5Bfilter%5D%5B0%5D%5Bverdi%5D=&amp;hva%5B0%5D%5Bid%5D=49/når:2020-03-16", "Vegkart")</f>
        <v>Vegkart</v>
      </c>
      <c r="B3133">
        <v>1007197187</v>
      </c>
      <c r="C3133">
        <v>49</v>
      </c>
      <c r="D3133" t="s">
        <v>8701</v>
      </c>
      <c r="E3133">
        <v>8917</v>
      </c>
      <c r="F3133" t="s">
        <v>23479</v>
      </c>
      <c r="G3133">
        <v>1</v>
      </c>
      <c r="H3133" t="s">
        <v>10430</v>
      </c>
      <c r="J3133" t="s">
        <v>10213</v>
      </c>
      <c r="K3133" t="s">
        <v>335</v>
      </c>
      <c r="L3133" t="s">
        <v>22</v>
      </c>
      <c r="M3133" t="s">
        <v>10453</v>
      </c>
      <c r="N3133" t="s">
        <v>10454</v>
      </c>
      <c r="O3133" t="s">
        <v>10455</v>
      </c>
      <c r="P3133" s="2" t="s">
        <v>37</v>
      </c>
      <c r="Q3133" t="s">
        <v>1208</v>
      </c>
      <c r="R3133">
        <v>0.03</v>
      </c>
      <c r="S3133">
        <v>16.59</v>
      </c>
      <c r="T3133" t="s">
        <v>10456</v>
      </c>
    </row>
    <row r="3134" spans="1:20" x14ac:dyDescent="0.25">
      <c r="A3134" s="1" t="str">
        <f>HYPERLINK("https://vegkart.atlas.vegvesen.no/#/@266872.3,6647433.8,18/hva:hva%5B0%5D%5Bfilter%5D%5B0%5D%5Boperator%5D=%21%3D&amp;hva%5B0%5D%5Bfilter%5D%5B0%5D%5Btype_id%5D=8917&amp;hva%5B0%5D%5Bfilter%5D%5B0%5D%5Bverdi%5D=&amp;hva%5B0%5D%5Bid%5D=49/når:2020-03-17", "Vegkart")</f>
        <v>Vegkart</v>
      </c>
      <c r="B3134">
        <v>1007199744</v>
      </c>
      <c r="C3134">
        <v>49</v>
      </c>
      <c r="D3134" t="s">
        <v>8701</v>
      </c>
      <c r="E3134">
        <v>8917</v>
      </c>
      <c r="F3134" t="s">
        <v>23479</v>
      </c>
      <c r="G3134">
        <v>1</v>
      </c>
      <c r="H3134" t="s">
        <v>10457</v>
      </c>
      <c r="J3134" t="s">
        <v>10213</v>
      </c>
      <c r="K3134" t="s">
        <v>335</v>
      </c>
      <c r="L3134" t="s">
        <v>22</v>
      </c>
      <c r="M3134" t="s">
        <v>10445</v>
      </c>
      <c r="N3134" t="s">
        <v>10458</v>
      </c>
      <c r="O3134" t="s">
        <v>10459</v>
      </c>
      <c r="P3134" s="2" t="s">
        <v>37</v>
      </c>
      <c r="Q3134" t="s">
        <v>1208</v>
      </c>
      <c r="R3134">
        <v>0.57999999999999996</v>
      </c>
      <c r="S3134">
        <v>30.8</v>
      </c>
      <c r="T3134" t="s">
        <v>10460</v>
      </c>
    </row>
    <row r="3135" spans="1:20" x14ac:dyDescent="0.25">
      <c r="A3135" s="1" t="str">
        <f>HYPERLINK("https://vegkart.atlas.vegvesen.no/#/@266858.8,6647447.3,18/hva:hva%5B0%5D%5Bfilter%5D%5B0%5D%5Boperator%5D=%21%3D&amp;hva%5B0%5D%5Bfilter%5D%5B0%5D%5Btype_id%5D=8917&amp;hva%5B0%5D%5Bfilter%5D%5B0%5D%5Bverdi%5D=&amp;hva%5B0%5D%5Bid%5D=49/når:2020-03-17", "Vegkart")</f>
        <v>Vegkart</v>
      </c>
      <c r="B3135">
        <v>1007199746</v>
      </c>
      <c r="C3135">
        <v>49</v>
      </c>
      <c r="D3135" t="s">
        <v>8701</v>
      </c>
      <c r="E3135">
        <v>8917</v>
      </c>
      <c r="F3135" t="s">
        <v>23479</v>
      </c>
      <c r="G3135">
        <v>1</v>
      </c>
      <c r="H3135" t="s">
        <v>10457</v>
      </c>
      <c r="J3135" t="s">
        <v>10213</v>
      </c>
      <c r="K3135" t="s">
        <v>335</v>
      </c>
      <c r="L3135" t="s">
        <v>22</v>
      </c>
      <c r="M3135" t="s">
        <v>10445</v>
      </c>
      <c r="N3135" t="s">
        <v>10461</v>
      </c>
      <c r="O3135" t="s">
        <v>10462</v>
      </c>
      <c r="P3135" s="2" t="s">
        <v>37</v>
      </c>
      <c r="Q3135" t="s">
        <v>1208</v>
      </c>
      <c r="R3135">
        <v>0.28000000000000003</v>
      </c>
      <c r="S3135">
        <v>25.37</v>
      </c>
      <c r="T3135" t="s">
        <v>10463</v>
      </c>
    </row>
    <row r="3136" spans="1:20" x14ac:dyDescent="0.25">
      <c r="A3136" s="1" t="str">
        <f>HYPERLINK("https://vegkart.atlas.vegvesen.no/#/@266402.5,6648144.4,18/hva:hva%5B0%5D%5Bfilter%5D%5B0%5D%5Boperator%5D=%21%3D&amp;hva%5B0%5D%5Bfilter%5D%5B0%5D%5Btype_id%5D=8917&amp;hva%5B0%5D%5Bfilter%5D%5B0%5D%5Bverdi%5D=&amp;hva%5B0%5D%5Bid%5D=49/når:2020-03-17", "Vegkart")</f>
        <v>Vegkart</v>
      </c>
      <c r="B3136">
        <v>1007200317</v>
      </c>
      <c r="C3136">
        <v>49</v>
      </c>
      <c r="D3136" t="s">
        <v>8701</v>
      </c>
      <c r="E3136">
        <v>8917</v>
      </c>
      <c r="F3136" t="s">
        <v>23479</v>
      </c>
      <c r="G3136">
        <v>1</v>
      </c>
      <c r="H3136" t="s">
        <v>10457</v>
      </c>
      <c r="J3136" t="s">
        <v>10213</v>
      </c>
      <c r="K3136" t="s">
        <v>335</v>
      </c>
      <c r="L3136" t="s">
        <v>22</v>
      </c>
      <c r="M3136" t="s">
        <v>10445</v>
      </c>
      <c r="N3136" t="s">
        <v>10464</v>
      </c>
      <c r="O3136" t="s">
        <v>10465</v>
      </c>
      <c r="P3136" s="2" t="s">
        <v>37</v>
      </c>
      <c r="Q3136" t="s">
        <v>1208</v>
      </c>
      <c r="R3136">
        <v>0.75</v>
      </c>
      <c r="S3136">
        <v>46.81</v>
      </c>
      <c r="T3136" t="s">
        <v>10466</v>
      </c>
    </row>
    <row r="3137" spans="1:20" x14ac:dyDescent="0.25">
      <c r="A3137" s="1" t="str">
        <f>HYPERLINK("https://vegkart.atlas.vegvesen.no/#/@269026.2,6651238.9,18/hva:hva%5B0%5D%5Bfilter%5D%5B0%5D%5Boperator%5D=%21%3D&amp;hva%5B0%5D%5Bfilter%5D%5B0%5D%5Btype_id%5D=8917&amp;hva%5B0%5D%5Bfilter%5D%5B0%5D%5Bverdi%5D=&amp;hva%5B0%5D%5Bid%5D=49/når:2020-03-17", "Vegkart")</f>
        <v>Vegkart</v>
      </c>
      <c r="B3137">
        <v>1007204324</v>
      </c>
      <c r="C3137">
        <v>49</v>
      </c>
      <c r="D3137" t="s">
        <v>8701</v>
      </c>
      <c r="E3137">
        <v>8917</v>
      </c>
      <c r="F3137" t="s">
        <v>23479</v>
      </c>
      <c r="G3137">
        <v>1</v>
      </c>
      <c r="H3137" t="s">
        <v>10457</v>
      </c>
      <c r="J3137" t="s">
        <v>10213</v>
      </c>
      <c r="K3137" t="s">
        <v>335</v>
      </c>
      <c r="L3137" t="s">
        <v>22</v>
      </c>
      <c r="M3137" t="s">
        <v>10426</v>
      </c>
      <c r="N3137" t="s">
        <v>10467</v>
      </c>
      <c r="O3137" t="s">
        <v>10468</v>
      </c>
      <c r="P3137" s="2" t="s">
        <v>37</v>
      </c>
      <c r="Q3137" t="s">
        <v>1208</v>
      </c>
      <c r="R3137">
        <v>0.68</v>
      </c>
      <c r="S3137">
        <v>43.72</v>
      </c>
      <c r="T3137" t="s">
        <v>10469</v>
      </c>
    </row>
    <row r="3138" spans="1:20" x14ac:dyDescent="0.25">
      <c r="A3138" s="1" t="str">
        <f>HYPERLINK("https://vegkart.atlas.vegvesen.no/#/@268003.8,6650741.4,18/hva:hva%5B0%5D%5Bfilter%5D%5B0%5D%5Boperator%5D=%21%3D&amp;hva%5B0%5D%5Bfilter%5D%5B0%5D%5Btype_id%5D=8917&amp;hva%5B0%5D%5Bfilter%5D%5B0%5D%5Bverdi%5D=&amp;hva%5B0%5D%5Bid%5D=49/når:2020-03-17", "Vegkart")</f>
        <v>Vegkart</v>
      </c>
      <c r="B3138">
        <v>1007205374</v>
      </c>
      <c r="C3138">
        <v>49</v>
      </c>
      <c r="D3138" t="s">
        <v>8701</v>
      </c>
      <c r="E3138">
        <v>8917</v>
      </c>
      <c r="F3138" t="s">
        <v>23479</v>
      </c>
      <c r="G3138">
        <v>1</v>
      </c>
      <c r="H3138" t="s">
        <v>10457</v>
      </c>
      <c r="J3138" t="s">
        <v>10213</v>
      </c>
      <c r="K3138" t="s">
        <v>335</v>
      </c>
      <c r="L3138" t="s">
        <v>22</v>
      </c>
      <c r="M3138" t="s">
        <v>10426</v>
      </c>
      <c r="N3138" t="s">
        <v>10470</v>
      </c>
      <c r="O3138" t="s">
        <v>10471</v>
      </c>
      <c r="P3138" s="2" t="s">
        <v>37</v>
      </c>
      <c r="Q3138" t="s">
        <v>1208</v>
      </c>
      <c r="R3138">
        <v>0.44</v>
      </c>
      <c r="S3138">
        <v>22.51</v>
      </c>
      <c r="T3138" t="s">
        <v>10472</v>
      </c>
    </row>
    <row r="3139" spans="1:20" x14ac:dyDescent="0.25">
      <c r="A3139" s="1" t="str">
        <f>HYPERLINK("https://vegkart.atlas.vegvesen.no/#/@264618.9,6643967.4,18/hva:hva%5B0%5D%5Bfilter%5D%5B0%5D%5Boperator%5D=%21%3D&amp;hva%5B0%5D%5Bfilter%5D%5B0%5D%5Btype_id%5D=8917&amp;hva%5B0%5D%5Bfilter%5D%5B0%5D%5Bverdi%5D=&amp;hva%5B0%5D%5Bid%5D=49/når:2020-03-18", "Vegkart")</f>
        <v>Vegkart</v>
      </c>
      <c r="B3139">
        <v>1007225153</v>
      </c>
      <c r="C3139">
        <v>49</v>
      </c>
      <c r="D3139" t="s">
        <v>8701</v>
      </c>
      <c r="E3139">
        <v>8917</v>
      </c>
      <c r="F3139" t="s">
        <v>23479</v>
      </c>
      <c r="G3139">
        <v>1</v>
      </c>
      <c r="H3139" t="s">
        <v>10473</v>
      </c>
      <c r="J3139" t="s">
        <v>10213</v>
      </c>
      <c r="K3139" t="s">
        <v>335</v>
      </c>
      <c r="L3139" t="s">
        <v>22</v>
      </c>
      <c r="M3139" t="s">
        <v>10226</v>
      </c>
      <c r="N3139" t="s">
        <v>10474</v>
      </c>
      <c r="O3139" t="s">
        <v>10475</v>
      </c>
      <c r="P3139" s="2" t="s">
        <v>37</v>
      </c>
      <c r="Q3139" t="s">
        <v>1208</v>
      </c>
      <c r="R3139">
        <v>0.75</v>
      </c>
      <c r="S3139">
        <v>14.37</v>
      </c>
      <c r="T3139" t="s">
        <v>10476</v>
      </c>
    </row>
    <row r="3140" spans="1:20" x14ac:dyDescent="0.25">
      <c r="A3140" s="1" t="str">
        <f>HYPERLINK("https://vegkart.atlas.vegvesen.no/#/@268712.4,6651082.1,18/hva:hva%5B0%5D%5Bfilter%5D%5B0%5D%5Boperator%5D=%21%3D&amp;hva%5B0%5D%5Bfilter%5D%5B0%5D%5Btype_id%5D=8917&amp;hva%5B0%5D%5Bfilter%5D%5B0%5D%5Bverdi%5D=&amp;hva%5B0%5D%5Bid%5D=49/når:2020-03-18", "Vegkart")</f>
        <v>Vegkart</v>
      </c>
      <c r="B3140">
        <v>1007312491</v>
      </c>
      <c r="C3140">
        <v>49</v>
      </c>
      <c r="D3140" t="s">
        <v>8701</v>
      </c>
      <c r="E3140">
        <v>8917</v>
      </c>
      <c r="F3140" t="s">
        <v>23479</v>
      </c>
      <c r="G3140">
        <v>1</v>
      </c>
      <c r="H3140" t="s">
        <v>10473</v>
      </c>
      <c r="J3140" t="s">
        <v>10213</v>
      </c>
      <c r="K3140" t="s">
        <v>335</v>
      </c>
      <c r="L3140" t="s">
        <v>22</v>
      </c>
      <c r="M3140" t="s">
        <v>10426</v>
      </c>
      <c r="N3140" t="s">
        <v>10477</v>
      </c>
      <c r="O3140" t="s">
        <v>10478</v>
      </c>
      <c r="P3140" s="2" t="s">
        <v>37</v>
      </c>
      <c r="Q3140" t="s">
        <v>1208</v>
      </c>
      <c r="R3140">
        <v>0.43</v>
      </c>
      <c r="S3140">
        <v>26.8</v>
      </c>
      <c r="T3140" t="s">
        <v>10479</v>
      </c>
    </row>
    <row r="3141" spans="1:20" x14ac:dyDescent="0.25">
      <c r="A3141" s="1" t="str">
        <f>HYPERLINK("https://vegkart.atlas.vegvesen.no/#/@269233.6,6653234.3,18/hva:hva%5B0%5D%5Bfilter%5D%5B0%5D%5Boperator%5D=%21%3D&amp;hva%5B0%5D%5Bfilter%5D%5B0%5D%5Btype_id%5D=8917&amp;hva%5B0%5D%5Bfilter%5D%5B0%5D%5Bverdi%5D=&amp;hva%5B0%5D%5Bid%5D=49/når:2020-03-18", "Vegkart")</f>
        <v>Vegkart</v>
      </c>
      <c r="B3141">
        <v>1007325291</v>
      </c>
      <c r="C3141">
        <v>49</v>
      </c>
      <c r="D3141" t="s">
        <v>8701</v>
      </c>
      <c r="E3141">
        <v>8917</v>
      </c>
      <c r="F3141" t="s">
        <v>23479</v>
      </c>
      <c r="G3141">
        <v>1</v>
      </c>
      <c r="H3141" t="s">
        <v>10473</v>
      </c>
      <c r="J3141" t="s">
        <v>10213</v>
      </c>
      <c r="K3141" t="s">
        <v>335</v>
      </c>
      <c r="L3141" t="s">
        <v>22</v>
      </c>
      <c r="M3141" t="s">
        <v>10480</v>
      </c>
      <c r="N3141" t="s">
        <v>10481</v>
      </c>
      <c r="O3141" t="s">
        <v>10482</v>
      </c>
      <c r="P3141" s="2" t="s">
        <v>37</v>
      </c>
      <c r="Q3141" t="s">
        <v>1208</v>
      </c>
      <c r="R3141">
        <v>0.4</v>
      </c>
      <c r="S3141">
        <v>31.1</v>
      </c>
      <c r="T3141" t="s">
        <v>10483</v>
      </c>
    </row>
    <row r="3142" spans="1:20" x14ac:dyDescent="0.25">
      <c r="A3142" s="1" t="str">
        <f>HYPERLINK("https://vegkart.atlas.vegvesen.no/#/@259555.4,6653768.9,18/hva:hva%5B0%5D%5Bfilter%5D%5B0%5D%5Boperator%5D=%21%3D&amp;hva%5B0%5D%5Bfilter%5D%5B0%5D%5Btype_id%5D=8917&amp;hva%5B0%5D%5Bfilter%5D%5B0%5D%5Bverdi%5D=&amp;hva%5B0%5D%5Bid%5D=49/når:2020-03-18", "Vegkart")</f>
        <v>Vegkart</v>
      </c>
      <c r="B3142">
        <v>1007336646</v>
      </c>
      <c r="C3142">
        <v>49</v>
      </c>
      <c r="D3142" t="s">
        <v>8701</v>
      </c>
      <c r="E3142">
        <v>8917</v>
      </c>
      <c r="F3142" t="s">
        <v>23479</v>
      </c>
      <c r="G3142">
        <v>1</v>
      </c>
      <c r="H3142" t="s">
        <v>10473</v>
      </c>
      <c r="J3142" t="s">
        <v>10213</v>
      </c>
      <c r="K3142" t="s">
        <v>335</v>
      </c>
      <c r="L3142" t="s">
        <v>22</v>
      </c>
      <c r="M3142" t="s">
        <v>10484</v>
      </c>
      <c r="N3142" t="s">
        <v>10485</v>
      </c>
      <c r="O3142" t="s">
        <v>10486</v>
      </c>
      <c r="P3142" s="2" t="s">
        <v>37</v>
      </c>
      <c r="Q3142" t="s">
        <v>1208</v>
      </c>
      <c r="R3142">
        <v>0.5</v>
      </c>
      <c r="S3142">
        <v>22.52</v>
      </c>
      <c r="T3142" t="s">
        <v>10487</v>
      </c>
    </row>
    <row r="3143" spans="1:20" x14ac:dyDescent="0.25">
      <c r="A3143" s="1" t="str">
        <f>HYPERLINK("https://vegkart.atlas.vegvesen.no/#/@256859.4,6651097.1,18/hva:hva%5B0%5D%5Bfilter%5D%5B0%5D%5Boperator%5D=%21%3D&amp;hva%5B0%5D%5Bfilter%5D%5B0%5D%5Btype_id%5D=8917&amp;hva%5B0%5D%5Bfilter%5D%5B0%5D%5Bverdi%5D=&amp;hva%5B0%5D%5Bid%5D=49/når:2020-03-19", "Vegkart")</f>
        <v>Vegkart</v>
      </c>
      <c r="B3143">
        <v>1007340436</v>
      </c>
      <c r="C3143">
        <v>49</v>
      </c>
      <c r="D3143" t="s">
        <v>8701</v>
      </c>
      <c r="E3143">
        <v>8917</v>
      </c>
      <c r="F3143" t="s">
        <v>23479</v>
      </c>
      <c r="G3143">
        <v>1</v>
      </c>
      <c r="H3143" t="s">
        <v>10488</v>
      </c>
      <c r="J3143" t="s">
        <v>10213</v>
      </c>
      <c r="K3143" t="s">
        <v>335</v>
      </c>
      <c r="L3143" t="s">
        <v>22</v>
      </c>
      <c r="M3143" t="s">
        <v>336</v>
      </c>
      <c r="N3143" t="s">
        <v>10489</v>
      </c>
      <c r="O3143" t="s">
        <v>10490</v>
      </c>
      <c r="P3143" s="2" t="s">
        <v>37</v>
      </c>
      <c r="Q3143" t="s">
        <v>1208</v>
      </c>
      <c r="R3143">
        <v>0.12</v>
      </c>
      <c r="S3143">
        <v>28.71</v>
      </c>
      <c r="T3143" t="s">
        <v>10491</v>
      </c>
    </row>
    <row r="3144" spans="1:20" x14ac:dyDescent="0.25">
      <c r="A3144" s="1" t="str">
        <f>HYPERLINK("https://vegkart.atlas.vegvesen.no/#/@263309.9,6648086.6,18/hva:hva%5B0%5D%5Bfilter%5D%5B0%5D%5Boperator%5D=%21%3D&amp;hva%5B0%5D%5Bfilter%5D%5B0%5D%5Btype_id%5D=8917&amp;hva%5B0%5D%5Bfilter%5D%5B0%5D%5Bverdi%5D=&amp;hva%5B0%5D%5Bid%5D=49/når:2020-03-19", "Vegkart")</f>
        <v>Vegkart</v>
      </c>
      <c r="B3144">
        <v>1007343823</v>
      </c>
      <c r="C3144">
        <v>49</v>
      </c>
      <c r="D3144" t="s">
        <v>8701</v>
      </c>
      <c r="E3144">
        <v>8917</v>
      </c>
      <c r="F3144" t="s">
        <v>23479</v>
      </c>
      <c r="G3144">
        <v>1</v>
      </c>
      <c r="H3144" t="s">
        <v>10488</v>
      </c>
      <c r="J3144" t="s">
        <v>10213</v>
      </c>
      <c r="K3144" t="s">
        <v>335</v>
      </c>
      <c r="L3144" t="s">
        <v>22</v>
      </c>
      <c r="M3144" t="s">
        <v>10492</v>
      </c>
      <c r="N3144" t="s">
        <v>10493</v>
      </c>
      <c r="O3144" t="s">
        <v>10494</v>
      </c>
      <c r="P3144" s="2" t="s">
        <v>37</v>
      </c>
      <c r="Q3144" t="s">
        <v>1208</v>
      </c>
      <c r="R3144">
        <v>0.61</v>
      </c>
      <c r="S3144">
        <v>28.98</v>
      </c>
      <c r="T3144" t="s">
        <v>10495</v>
      </c>
    </row>
    <row r="3145" spans="1:20" x14ac:dyDescent="0.25">
      <c r="A3145" s="1" t="str">
        <f>HYPERLINK("https://vegkart.atlas.vegvesen.no/#/@270410.2,6651652.2,18/hva:hva%5B0%5D%5Bfilter%5D%5B0%5D%5Boperator%5D=%21%3D&amp;hva%5B0%5D%5Bfilter%5D%5B0%5D%5Btype_id%5D=8917&amp;hva%5B0%5D%5Bfilter%5D%5B0%5D%5Bverdi%5D=&amp;hva%5B0%5D%5Bid%5D=49/når:2020-03-20", "Vegkart")</f>
        <v>Vegkart</v>
      </c>
      <c r="B3145">
        <v>1007354526</v>
      </c>
      <c r="C3145">
        <v>49</v>
      </c>
      <c r="D3145" t="s">
        <v>8701</v>
      </c>
      <c r="E3145">
        <v>8917</v>
      </c>
      <c r="F3145" t="s">
        <v>23479</v>
      </c>
      <c r="G3145">
        <v>1</v>
      </c>
      <c r="H3145" t="s">
        <v>10496</v>
      </c>
      <c r="J3145" t="s">
        <v>10213</v>
      </c>
      <c r="K3145" t="s">
        <v>335</v>
      </c>
      <c r="L3145" t="s">
        <v>22</v>
      </c>
      <c r="M3145" t="s">
        <v>10497</v>
      </c>
      <c r="N3145" t="s">
        <v>10498</v>
      </c>
      <c r="O3145" t="s">
        <v>10499</v>
      </c>
      <c r="P3145" s="2" t="s">
        <v>37</v>
      </c>
      <c r="Q3145" t="s">
        <v>1208</v>
      </c>
      <c r="R3145">
        <v>0.61</v>
      </c>
      <c r="S3145">
        <v>16.62</v>
      </c>
      <c r="T3145" t="s">
        <v>10500</v>
      </c>
    </row>
    <row r="3146" spans="1:20" x14ac:dyDescent="0.25">
      <c r="A3146" s="1" t="str">
        <f>HYPERLINK("https://vegkart.atlas.vegvesen.no/#/@264198.9,6648069.6,18/hva:hva%5B0%5D%5Bfilter%5D%5B0%5D%5Boperator%5D=%21%3D&amp;hva%5B0%5D%5Bfilter%5D%5B0%5D%5Btype_id%5D=8917&amp;hva%5B0%5D%5Bfilter%5D%5B0%5D%5Bverdi%5D=&amp;hva%5B0%5D%5Bid%5D=49/når:2020-03-20", "Vegkart")</f>
        <v>Vegkart</v>
      </c>
      <c r="B3146">
        <v>1007354623</v>
      </c>
      <c r="C3146">
        <v>49</v>
      </c>
      <c r="D3146" t="s">
        <v>8701</v>
      </c>
      <c r="E3146">
        <v>8917</v>
      </c>
      <c r="F3146" t="s">
        <v>23479</v>
      </c>
      <c r="G3146">
        <v>1</v>
      </c>
      <c r="H3146" t="s">
        <v>10496</v>
      </c>
      <c r="J3146" t="s">
        <v>10213</v>
      </c>
      <c r="K3146" t="s">
        <v>335</v>
      </c>
      <c r="L3146" t="s">
        <v>22</v>
      </c>
      <c r="M3146" t="s">
        <v>10501</v>
      </c>
      <c r="N3146" t="s">
        <v>10502</v>
      </c>
      <c r="O3146" t="s">
        <v>10503</v>
      </c>
      <c r="P3146" s="2" t="s">
        <v>165</v>
      </c>
      <c r="Q3146" t="s">
        <v>641</v>
      </c>
      <c r="R3146">
        <v>0.13</v>
      </c>
      <c r="S3146">
        <v>17.28</v>
      </c>
      <c r="T3146" t="s">
        <v>167</v>
      </c>
    </row>
    <row r="3147" spans="1:20" x14ac:dyDescent="0.25">
      <c r="A3147" s="1" t="str">
        <f>HYPERLINK("https://vegkart.atlas.vegvesen.no/#/@267700.0,6650364.3,18/hva:hva%5B0%5D%5Bfilter%5D%5B0%5D%5Boperator%5D=%21%3D&amp;hva%5B0%5D%5Bfilter%5D%5B0%5D%5Btype_id%5D=8917&amp;hva%5B0%5D%5Bfilter%5D%5B0%5D%5Bverdi%5D=&amp;hva%5B0%5D%5Bid%5D=49/når:2020-03-20", "Vegkart")</f>
        <v>Vegkart</v>
      </c>
      <c r="B3147">
        <v>1007355378</v>
      </c>
      <c r="C3147">
        <v>49</v>
      </c>
      <c r="D3147" t="s">
        <v>8701</v>
      </c>
      <c r="E3147">
        <v>8917</v>
      </c>
      <c r="F3147" t="s">
        <v>23479</v>
      </c>
      <c r="G3147">
        <v>1</v>
      </c>
      <c r="H3147" t="s">
        <v>10496</v>
      </c>
      <c r="J3147" t="s">
        <v>10213</v>
      </c>
      <c r="K3147" t="s">
        <v>335</v>
      </c>
      <c r="L3147" t="s">
        <v>22</v>
      </c>
      <c r="M3147" t="s">
        <v>10426</v>
      </c>
      <c r="N3147" t="s">
        <v>10504</v>
      </c>
      <c r="O3147" t="s">
        <v>10505</v>
      </c>
      <c r="P3147" s="2" t="s">
        <v>37</v>
      </c>
      <c r="Q3147" t="s">
        <v>1208</v>
      </c>
      <c r="R3147">
        <v>0.77</v>
      </c>
      <c r="S3147">
        <v>25.52</v>
      </c>
      <c r="T3147" t="s">
        <v>10506</v>
      </c>
    </row>
    <row r="3148" spans="1:20" x14ac:dyDescent="0.25">
      <c r="A3148" s="1" t="str">
        <f>HYPERLINK("https://vegkart.atlas.vegvesen.no/#/@264566.8,6647967.1,18/hva:hva%5B0%5D%5Bfilter%5D%5B0%5D%5Boperator%5D=%21%3D&amp;hva%5B0%5D%5Bfilter%5D%5B0%5D%5Btype_id%5D=8917&amp;hva%5B0%5D%5Bfilter%5D%5B0%5D%5Bverdi%5D=&amp;hva%5B0%5D%5Bid%5D=49/når:2020-03-20", "Vegkart")</f>
        <v>Vegkart</v>
      </c>
      <c r="B3148">
        <v>1007355388</v>
      </c>
      <c r="C3148">
        <v>49</v>
      </c>
      <c r="D3148" t="s">
        <v>8701</v>
      </c>
      <c r="E3148">
        <v>8917</v>
      </c>
      <c r="F3148" t="s">
        <v>23479</v>
      </c>
      <c r="G3148">
        <v>1</v>
      </c>
      <c r="H3148" t="s">
        <v>10496</v>
      </c>
      <c r="J3148" t="s">
        <v>10213</v>
      </c>
      <c r="K3148" t="s">
        <v>335</v>
      </c>
      <c r="L3148" t="s">
        <v>22</v>
      </c>
      <c r="M3148" t="s">
        <v>10501</v>
      </c>
      <c r="N3148" t="s">
        <v>10507</v>
      </c>
      <c r="O3148" t="s">
        <v>10508</v>
      </c>
      <c r="P3148" s="2" t="s">
        <v>37</v>
      </c>
      <c r="Q3148" t="s">
        <v>1208</v>
      </c>
      <c r="R3148">
        <v>0.45</v>
      </c>
      <c r="S3148">
        <v>13.52</v>
      </c>
      <c r="T3148" t="s">
        <v>10509</v>
      </c>
    </row>
    <row r="3149" spans="1:20" x14ac:dyDescent="0.25">
      <c r="A3149" s="1" t="str">
        <f>HYPERLINK("https://vegkart.atlas.vegvesen.no/#/@264564.9,6647948.8,18/hva:hva%5B0%5D%5Bfilter%5D%5B0%5D%5Boperator%5D=%21%3D&amp;hva%5B0%5D%5Bfilter%5D%5B0%5D%5Btype_id%5D=8917&amp;hva%5B0%5D%5Bfilter%5D%5B0%5D%5Bverdi%5D=&amp;hva%5B0%5D%5Bid%5D=49/når:2020-03-20", "Vegkart")</f>
        <v>Vegkart</v>
      </c>
      <c r="B3149">
        <v>1007355537</v>
      </c>
      <c r="C3149">
        <v>49</v>
      </c>
      <c r="D3149" t="s">
        <v>8701</v>
      </c>
      <c r="E3149">
        <v>8917</v>
      </c>
      <c r="F3149" t="s">
        <v>23479</v>
      </c>
      <c r="G3149">
        <v>1</v>
      </c>
      <c r="H3149" t="s">
        <v>10496</v>
      </c>
      <c r="J3149" t="s">
        <v>10213</v>
      </c>
      <c r="K3149" t="s">
        <v>335</v>
      </c>
      <c r="L3149" t="s">
        <v>22</v>
      </c>
      <c r="M3149" t="s">
        <v>10510</v>
      </c>
      <c r="N3149" t="s">
        <v>10511</v>
      </c>
      <c r="O3149" t="s">
        <v>10512</v>
      </c>
      <c r="P3149" s="2" t="s">
        <v>37</v>
      </c>
      <c r="Q3149" t="s">
        <v>1208</v>
      </c>
      <c r="R3149">
        <v>0.67</v>
      </c>
      <c r="S3149">
        <v>14.1</v>
      </c>
      <c r="T3149" t="s">
        <v>10513</v>
      </c>
    </row>
    <row r="3150" spans="1:20" x14ac:dyDescent="0.25">
      <c r="A3150" s="1" t="str">
        <f>HYPERLINK("https://vegkart.atlas.vegvesen.no/#/@264448.4,6647918.1,18/hva:hva%5B0%5D%5Bfilter%5D%5B0%5D%5Boperator%5D=%21%3D&amp;hva%5B0%5D%5Bfilter%5D%5B0%5D%5Btype_id%5D=8917&amp;hva%5B0%5D%5Bfilter%5D%5B0%5D%5Bverdi%5D=&amp;hva%5B0%5D%5Bid%5D=49/når:2020-03-20", "Vegkart")</f>
        <v>Vegkart</v>
      </c>
      <c r="B3150">
        <v>1007355833</v>
      </c>
      <c r="C3150">
        <v>49</v>
      </c>
      <c r="D3150" t="s">
        <v>8701</v>
      </c>
      <c r="E3150">
        <v>8917</v>
      </c>
      <c r="F3150" t="s">
        <v>23479</v>
      </c>
      <c r="G3150">
        <v>1</v>
      </c>
      <c r="H3150" t="s">
        <v>10496</v>
      </c>
      <c r="J3150" t="s">
        <v>10213</v>
      </c>
      <c r="K3150" t="s">
        <v>335</v>
      </c>
      <c r="L3150" t="s">
        <v>22</v>
      </c>
      <c r="M3150" t="s">
        <v>10510</v>
      </c>
      <c r="N3150" t="s">
        <v>10514</v>
      </c>
      <c r="O3150" t="s">
        <v>10515</v>
      </c>
      <c r="P3150" s="2" t="s">
        <v>37</v>
      </c>
      <c r="Q3150" t="s">
        <v>1208</v>
      </c>
      <c r="R3150">
        <v>0.71</v>
      </c>
      <c r="S3150">
        <v>13.82</v>
      </c>
      <c r="T3150" t="s">
        <v>10516</v>
      </c>
    </row>
    <row r="3151" spans="1:20" x14ac:dyDescent="0.25">
      <c r="A3151" s="1" t="str">
        <f>HYPERLINK("https://vegkart.atlas.vegvesen.no/#/@262152.5,6649739.0,18/hva:hva%5B0%5D%5Bfilter%5D%5B0%5D%5Boperator%5D=%21%3D&amp;hva%5B0%5D%5Bfilter%5D%5B0%5D%5Btype_id%5D=8917&amp;hva%5B0%5D%5Bfilter%5D%5B0%5D%5Bverdi%5D=&amp;hva%5B0%5D%5Bid%5D=49/når:2020-03-21", "Vegkart")</f>
        <v>Vegkart</v>
      </c>
      <c r="B3151">
        <v>1007369313</v>
      </c>
      <c r="C3151">
        <v>49</v>
      </c>
      <c r="D3151" t="s">
        <v>8701</v>
      </c>
      <c r="E3151">
        <v>8917</v>
      </c>
      <c r="F3151" t="s">
        <v>23479</v>
      </c>
      <c r="G3151">
        <v>1</v>
      </c>
      <c r="H3151" t="s">
        <v>10517</v>
      </c>
      <c r="J3151" t="s">
        <v>10213</v>
      </c>
      <c r="K3151" t="s">
        <v>335</v>
      </c>
      <c r="L3151" t="s">
        <v>22</v>
      </c>
      <c r="M3151" t="s">
        <v>2314</v>
      </c>
      <c r="N3151" t="s">
        <v>10518</v>
      </c>
      <c r="O3151" t="s">
        <v>10519</v>
      </c>
      <c r="P3151" s="2" t="s">
        <v>37</v>
      </c>
      <c r="Q3151" t="s">
        <v>1208</v>
      </c>
      <c r="R3151">
        <v>0.37</v>
      </c>
      <c r="S3151">
        <v>6.37</v>
      </c>
      <c r="T3151" t="s">
        <v>10520</v>
      </c>
    </row>
    <row r="3152" spans="1:20" x14ac:dyDescent="0.25">
      <c r="A3152" s="1" t="str">
        <f>HYPERLINK("https://vegkart.atlas.vegvesen.no/#/@263322.5,6648129.6,18/hva:hva%5B0%5D%5Bfilter%5D%5B0%5D%5Boperator%5D=%21%3D&amp;hva%5B0%5D%5Bfilter%5D%5B0%5D%5Btype_id%5D=8917&amp;hva%5B0%5D%5Bfilter%5D%5B0%5D%5Bverdi%5D=&amp;hva%5B0%5D%5Bid%5D=49/når:2020-03-23", "Vegkart")</f>
        <v>Vegkart</v>
      </c>
      <c r="B3152">
        <v>1007370303</v>
      </c>
      <c r="C3152">
        <v>49</v>
      </c>
      <c r="D3152" t="s">
        <v>8701</v>
      </c>
      <c r="E3152">
        <v>8917</v>
      </c>
      <c r="F3152" t="s">
        <v>23479</v>
      </c>
      <c r="G3152">
        <v>1</v>
      </c>
      <c r="H3152" t="s">
        <v>10521</v>
      </c>
      <c r="J3152" t="s">
        <v>10213</v>
      </c>
      <c r="K3152" t="s">
        <v>335</v>
      </c>
      <c r="L3152" t="s">
        <v>22</v>
      </c>
      <c r="M3152" t="s">
        <v>10522</v>
      </c>
      <c r="N3152" t="s">
        <v>10523</v>
      </c>
      <c r="O3152" t="s">
        <v>10524</v>
      </c>
      <c r="P3152" s="2" t="s">
        <v>37</v>
      </c>
      <c r="Q3152" t="s">
        <v>1208</v>
      </c>
      <c r="R3152">
        <v>0.42</v>
      </c>
      <c r="S3152">
        <v>27.49</v>
      </c>
      <c r="T3152" t="s">
        <v>10525</v>
      </c>
    </row>
    <row r="3153" spans="1:20" x14ac:dyDescent="0.25">
      <c r="A3153" s="1" t="str">
        <f>HYPERLINK("https://vegkart.atlas.vegvesen.no/#/@262139.3,6649913.5,18/hva:hva%5B0%5D%5Bfilter%5D%5B0%5D%5Boperator%5D=%21%3D&amp;hva%5B0%5D%5Bfilter%5D%5B0%5D%5Btype_id%5D=8917&amp;hva%5B0%5D%5Bfilter%5D%5B0%5D%5Bverdi%5D=&amp;hva%5B0%5D%5Bid%5D=49/når:2020-03-21", "Vegkart")</f>
        <v>Vegkart</v>
      </c>
      <c r="B3153">
        <v>1007376004</v>
      </c>
      <c r="C3153">
        <v>49</v>
      </c>
      <c r="D3153" t="s">
        <v>8701</v>
      </c>
      <c r="E3153">
        <v>8917</v>
      </c>
      <c r="F3153" t="s">
        <v>23479</v>
      </c>
      <c r="G3153">
        <v>1</v>
      </c>
      <c r="H3153" t="s">
        <v>10517</v>
      </c>
      <c r="J3153" t="s">
        <v>10526</v>
      </c>
      <c r="K3153" t="s">
        <v>335</v>
      </c>
      <c r="L3153" t="s">
        <v>22</v>
      </c>
      <c r="M3153" t="s">
        <v>2314</v>
      </c>
      <c r="N3153" t="s">
        <v>10527</v>
      </c>
      <c r="O3153" t="s">
        <v>10528</v>
      </c>
      <c r="P3153" s="2" t="s">
        <v>37</v>
      </c>
      <c r="Q3153" t="s">
        <v>1208</v>
      </c>
      <c r="R3153">
        <v>0.55000000000000004</v>
      </c>
      <c r="S3153">
        <v>26.59</v>
      </c>
      <c r="T3153" t="s">
        <v>10529</v>
      </c>
    </row>
    <row r="3154" spans="1:20" x14ac:dyDescent="0.25">
      <c r="A3154" s="1" t="str">
        <f>HYPERLINK("https://vegkart.atlas.vegvesen.no/#/@258485.2,6654571.5,18/hva:hva%5B0%5D%5Bfilter%5D%5B0%5D%5Boperator%5D=%21%3D&amp;hva%5B0%5D%5Bfilter%5D%5B0%5D%5Btype_id%5D=8917&amp;hva%5B0%5D%5Bfilter%5D%5B0%5D%5Bverdi%5D=&amp;hva%5B0%5D%5Bid%5D=49/når:2020-03-21", "Vegkart")</f>
        <v>Vegkart</v>
      </c>
      <c r="B3154">
        <v>1007376087</v>
      </c>
      <c r="C3154">
        <v>49</v>
      </c>
      <c r="D3154" t="s">
        <v>8701</v>
      </c>
      <c r="E3154">
        <v>8917</v>
      </c>
      <c r="F3154" t="s">
        <v>23479</v>
      </c>
      <c r="G3154">
        <v>1</v>
      </c>
      <c r="H3154" t="s">
        <v>10517</v>
      </c>
      <c r="J3154" t="s">
        <v>10526</v>
      </c>
      <c r="K3154" t="s">
        <v>335</v>
      </c>
      <c r="L3154" t="s">
        <v>22</v>
      </c>
      <c r="M3154" t="s">
        <v>10530</v>
      </c>
      <c r="N3154" t="s">
        <v>10531</v>
      </c>
      <c r="O3154" t="s">
        <v>10532</v>
      </c>
      <c r="P3154" s="2" t="s">
        <v>37</v>
      </c>
      <c r="Q3154" t="s">
        <v>1208</v>
      </c>
      <c r="R3154">
        <v>0.59</v>
      </c>
      <c r="S3154">
        <v>14.63</v>
      </c>
      <c r="T3154" t="s">
        <v>10533</v>
      </c>
    </row>
    <row r="3155" spans="1:20" x14ac:dyDescent="0.25">
      <c r="A3155" s="1" t="str">
        <f>HYPERLINK("https://vegkart.atlas.vegvesen.no/#/@263310.1,6648109.7,18/hva:hva%5B0%5D%5Bfilter%5D%5B0%5D%5Boperator%5D=%21%3D&amp;hva%5B0%5D%5Bfilter%5D%5B0%5D%5Btype_id%5D=8917&amp;hva%5B0%5D%5Bfilter%5D%5B0%5D%5Bverdi%5D=&amp;hva%5B0%5D%5Bid%5D=49/når:2020-03-23", "Vegkart")</f>
        <v>Vegkart</v>
      </c>
      <c r="B3155">
        <v>1007376409</v>
      </c>
      <c r="C3155">
        <v>49</v>
      </c>
      <c r="D3155" t="s">
        <v>8701</v>
      </c>
      <c r="E3155">
        <v>8917</v>
      </c>
      <c r="F3155" t="s">
        <v>23479</v>
      </c>
      <c r="G3155">
        <v>1</v>
      </c>
      <c r="H3155" t="s">
        <v>10521</v>
      </c>
      <c r="J3155" t="s">
        <v>10526</v>
      </c>
      <c r="K3155" t="s">
        <v>335</v>
      </c>
      <c r="L3155" t="s">
        <v>22</v>
      </c>
      <c r="M3155" t="s">
        <v>10522</v>
      </c>
      <c r="N3155" t="s">
        <v>10534</v>
      </c>
      <c r="O3155" t="s">
        <v>10535</v>
      </c>
      <c r="P3155" s="2" t="s">
        <v>37</v>
      </c>
      <c r="Q3155" t="s">
        <v>1208</v>
      </c>
      <c r="R3155">
        <v>0.56999999999999995</v>
      </c>
      <c r="S3155">
        <v>62.37</v>
      </c>
      <c r="T3155" t="s">
        <v>10536</v>
      </c>
    </row>
    <row r="3156" spans="1:20" x14ac:dyDescent="0.25">
      <c r="A3156" s="1" t="str">
        <f>HYPERLINK("https://vegkart.atlas.vegvesen.no/#/@267664.0,6650350.9,18/hva:hva%5B0%5D%5Bfilter%5D%5B0%5D%5Boperator%5D=%21%3D&amp;hva%5B0%5D%5Bfilter%5D%5B0%5D%5Btype_id%5D=8917&amp;hva%5B0%5D%5Bfilter%5D%5B0%5D%5Bverdi%5D=&amp;hva%5B0%5D%5Bid%5D=49/når:2020-03-23", "Vegkart")</f>
        <v>Vegkart</v>
      </c>
      <c r="B3156">
        <v>1007394658</v>
      </c>
      <c r="C3156">
        <v>49</v>
      </c>
      <c r="D3156" t="s">
        <v>8701</v>
      </c>
      <c r="E3156">
        <v>8917</v>
      </c>
      <c r="F3156" t="s">
        <v>23479</v>
      </c>
      <c r="G3156">
        <v>1</v>
      </c>
      <c r="H3156" t="s">
        <v>10521</v>
      </c>
      <c r="J3156" t="s">
        <v>10526</v>
      </c>
      <c r="K3156" t="s">
        <v>335</v>
      </c>
      <c r="L3156" t="s">
        <v>22</v>
      </c>
      <c r="M3156" t="s">
        <v>10426</v>
      </c>
      <c r="N3156" t="s">
        <v>10537</v>
      </c>
      <c r="O3156" t="s">
        <v>10538</v>
      </c>
      <c r="P3156" s="2" t="s">
        <v>37</v>
      </c>
      <c r="Q3156" t="s">
        <v>1208</v>
      </c>
      <c r="R3156">
        <v>0.37</v>
      </c>
      <c r="S3156">
        <v>28.01</v>
      </c>
      <c r="T3156" t="s">
        <v>10539</v>
      </c>
    </row>
    <row r="3157" spans="1:20" x14ac:dyDescent="0.25">
      <c r="A3157" s="1" t="str">
        <f>HYPERLINK("https://vegkart.atlas.vegvesen.no/#/@267060.6,6650967.2,18/hva:hva%5B0%5D%5Bfilter%5D%5B0%5D%5Boperator%5D=%21%3D&amp;hva%5B0%5D%5Bfilter%5D%5B0%5D%5Btype_id%5D=8917&amp;hva%5B0%5D%5Bfilter%5D%5B0%5D%5Bverdi%5D=&amp;hva%5B0%5D%5Bid%5D=49/når:2020-03-23", "Vegkart")</f>
        <v>Vegkart</v>
      </c>
      <c r="B3157">
        <v>1007395413</v>
      </c>
      <c r="C3157">
        <v>49</v>
      </c>
      <c r="D3157" t="s">
        <v>8701</v>
      </c>
      <c r="E3157">
        <v>8917</v>
      </c>
      <c r="F3157" t="s">
        <v>23479</v>
      </c>
      <c r="G3157">
        <v>1</v>
      </c>
      <c r="H3157" t="s">
        <v>10521</v>
      </c>
      <c r="J3157" t="s">
        <v>10526</v>
      </c>
      <c r="K3157" t="s">
        <v>335</v>
      </c>
      <c r="L3157" t="s">
        <v>22</v>
      </c>
      <c r="M3157" t="s">
        <v>10540</v>
      </c>
      <c r="N3157" t="s">
        <v>10541</v>
      </c>
      <c r="O3157" t="s">
        <v>10542</v>
      </c>
      <c r="P3157" s="2" t="s">
        <v>37</v>
      </c>
      <c r="Q3157" t="s">
        <v>1208</v>
      </c>
      <c r="R3157">
        <v>0.24</v>
      </c>
      <c r="S3157">
        <v>24.78</v>
      </c>
      <c r="T3157" t="s">
        <v>10543</v>
      </c>
    </row>
    <row r="3158" spans="1:20" x14ac:dyDescent="0.25">
      <c r="A3158" s="1" t="str">
        <f>HYPERLINK("https://vegkart.atlas.vegvesen.no/#/@267055.7,6651013.3,18/hva:hva%5B0%5D%5Bfilter%5D%5B0%5D%5Boperator%5D=%21%3D&amp;hva%5B0%5D%5Bfilter%5D%5B0%5D%5Btype_id%5D=8917&amp;hva%5B0%5D%5Bfilter%5D%5B0%5D%5Bverdi%5D=&amp;hva%5B0%5D%5Bid%5D=49/når:2020-03-23", "Vegkart")</f>
        <v>Vegkart</v>
      </c>
      <c r="B3158">
        <v>1007397124</v>
      </c>
      <c r="C3158">
        <v>49</v>
      </c>
      <c r="D3158" t="s">
        <v>8701</v>
      </c>
      <c r="E3158">
        <v>8917</v>
      </c>
      <c r="F3158" t="s">
        <v>23479</v>
      </c>
      <c r="G3158">
        <v>1</v>
      </c>
      <c r="H3158" t="s">
        <v>10521</v>
      </c>
      <c r="J3158" t="s">
        <v>10526</v>
      </c>
      <c r="K3158" t="s">
        <v>335</v>
      </c>
      <c r="L3158" t="s">
        <v>22</v>
      </c>
      <c r="M3158" t="s">
        <v>10540</v>
      </c>
      <c r="N3158" t="s">
        <v>10544</v>
      </c>
      <c r="O3158" t="s">
        <v>10545</v>
      </c>
      <c r="P3158" s="2" t="s">
        <v>37</v>
      </c>
      <c r="Q3158" t="s">
        <v>1208</v>
      </c>
      <c r="R3158">
        <v>0.1</v>
      </c>
      <c r="S3158">
        <v>27.93</v>
      </c>
      <c r="T3158" t="s">
        <v>10546</v>
      </c>
    </row>
    <row r="3159" spans="1:20" x14ac:dyDescent="0.25">
      <c r="A3159" s="1" t="str">
        <f>HYPERLINK("https://vegkart.atlas.vegvesen.no/#/@267025.0,6651126.0,18/hva:hva%5B0%5D%5Bfilter%5D%5B0%5D%5Boperator%5D=%21%3D&amp;hva%5B0%5D%5Bfilter%5D%5B0%5D%5Btype_id%5D=8917&amp;hva%5B0%5D%5Bfilter%5D%5B0%5D%5Bverdi%5D=&amp;hva%5B0%5D%5Bid%5D=49/når:2020-03-23", "Vegkart")</f>
        <v>Vegkart</v>
      </c>
      <c r="B3159">
        <v>1007398998</v>
      </c>
      <c r="C3159">
        <v>49</v>
      </c>
      <c r="D3159" t="s">
        <v>8701</v>
      </c>
      <c r="E3159">
        <v>8917</v>
      </c>
      <c r="F3159" t="s">
        <v>23479</v>
      </c>
      <c r="G3159">
        <v>1</v>
      </c>
      <c r="H3159" t="s">
        <v>10521</v>
      </c>
      <c r="J3159" t="s">
        <v>10526</v>
      </c>
      <c r="K3159" t="s">
        <v>335</v>
      </c>
      <c r="L3159" t="s">
        <v>22</v>
      </c>
      <c r="M3159" t="s">
        <v>10540</v>
      </c>
      <c r="N3159" t="s">
        <v>10547</v>
      </c>
      <c r="O3159" t="s">
        <v>10548</v>
      </c>
      <c r="P3159" s="2" t="s">
        <v>37</v>
      </c>
      <c r="Q3159" t="s">
        <v>1208</v>
      </c>
      <c r="R3159">
        <v>0.64</v>
      </c>
      <c r="S3159">
        <v>26.63</v>
      </c>
      <c r="T3159" t="s">
        <v>10549</v>
      </c>
    </row>
    <row r="3160" spans="1:20" x14ac:dyDescent="0.25">
      <c r="A3160" s="1" t="str">
        <f>HYPERLINK("https://vegkart.atlas.vegvesen.no/#/@267016.7,6651147.5,18/hva:hva%5B0%5D%5Bfilter%5D%5B0%5D%5Boperator%5D=%21%3D&amp;hva%5B0%5D%5Bfilter%5D%5B0%5D%5Btype_id%5D=8917&amp;hva%5B0%5D%5Bfilter%5D%5B0%5D%5Bverdi%5D=&amp;hva%5B0%5D%5Bid%5D=49/når:2020-03-23", "Vegkart")</f>
        <v>Vegkart</v>
      </c>
      <c r="B3160">
        <v>1007399102</v>
      </c>
      <c r="C3160">
        <v>49</v>
      </c>
      <c r="D3160" t="s">
        <v>8701</v>
      </c>
      <c r="E3160">
        <v>8917</v>
      </c>
      <c r="F3160" t="s">
        <v>23479</v>
      </c>
      <c r="G3160">
        <v>1</v>
      </c>
      <c r="H3160" t="s">
        <v>10521</v>
      </c>
      <c r="J3160" t="s">
        <v>10526</v>
      </c>
      <c r="K3160" t="s">
        <v>335</v>
      </c>
      <c r="L3160" t="s">
        <v>22</v>
      </c>
      <c r="M3160" t="s">
        <v>10540</v>
      </c>
      <c r="N3160" t="s">
        <v>10550</v>
      </c>
      <c r="O3160" t="s">
        <v>10551</v>
      </c>
      <c r="P3160" s="2" t="s">
        <v>37</v>
      </c>
      <c r="Q3160" t="s">
        <v>1208</v>
      </c>
      <c r="R3160">
        <v>0.48</v>
      </c>
      <c r="S3160">
        <v>52.95</v>
      </c>
      <c r="T3160" t="s">
        <v>10552</v>
      </c>
    </row>
    <row r="3161" spans="1:20" x14ac:dyDescent="0.25">
      <c r="A3161" s="1" t="str">
        <f>HYPERLINK("https://vegkart.atlas.vegvesen.no/#/@266977.3,6651222.3,18/hva:hva%5B0%5D%5Bfilter%5D%5B0%5D%5Boperator%5D=%21%3D&amp;hva%5B0%5D%5Bfilter%5D%5B0%5D%5Btype_id%5D=8917&amp;hva%5B0%5D%5Bfilter%5D%5B0%5D%5Bverdi%5D=&amp;hva%5B0%5D%5Bid%5D=49/når:2020-03-23", "Vegkart")</f>
        <v>Vegkart</v>
      </c>
      <c r="B3161">
        <v>1007399547</v>
      </c>
      <c r="C3161">
        <v>49</v>
      </c>
      <c r="D3161" t="s">
        <v>8701</v>
      </c>
      <c r="E3161">
        <v>8917</v>
      </c>
      <c r="F3161" t="s">
        <v>23479</v>
      </c>
      <c r="G3161">
        <v>1</v>
      </c>
      <c r="H3161" t="s">
        <v>10521</v>
      </c>
      <c r="J3161" t="s">
        <v>10526</v>
      </c>
      <c r="K3161" t="s">
        <v>335</v>
      </c>
      <c r="L3161" t="s">
        <v>22</v>
      </c>
      <c r="M3161" t="s">
        <v>10540</v>
      </c>
      <c r="N3161" t="s">
        <v>10553</v>
      </c>
      <c r="O3161" t="s">
        <v>10554</v>
      </c>
      <c r="P3161" s="2" t="s">
        <v>37</v>
      </c>
      <c r="Q3161" t="s">
        <v>1208</v>
      </c>
      <c r="R3161">
        <v>0.36</v>
      </c>
      <c r="S3161">
        <v>63.66</v>
      </c>
      <c r="T3161" t="s">
        <v>10555</v>
      </c>
    </row>
    <row r="3162" spans="1:20" x14ac:dyDescent="0.25">
      <c r="A3162" s="1" t="str">
        <f>HYPERLINK("https://vegkart.atlas.vegvesen.no/#/@266920.3,6651334.5,18/hva:hva%5B0%5D%5Bfilter%5D%5B0%5D%5Boperator%5D=%21%3D&amp;hva%5B0%5D%5Bfilter%5D%5B0%5D%5Btype_id%5D=8917&amp;hva%5B0%5D%5Bfilter%5D%5B0%5D%5Bverdi%5D=&amp;hva%5B0%5D%5Bid%5D=49/når:2020-03-23", "Vegkart")</f>
        <v>Vegkart</v>
      </c>
      <c r="B3162">
        <v>1007444210</v>
      </c>
      <c r="C3162">
        <v>49</v>
      </c>
      <c r="D3162" t="s">
        <v>8701</v>
      </c>
      <c r="E3162">
        <v>8917</v>
      </c>
      <c r="F3162" t="s">
        <v>23479</v>
      </c>
      <c r="G3162">
        <v>1</v>
      </c>
      <c r="H3162" t="s">
        <v>10521</v>
      </c>
      <c r="J3162" t="s">
        <v>10526</v>
      </c>
      <c r="K3162" t="s">
        <v>335</v>
      </c>
      <c r="L3162" t="s">
        <v>22</v>
      </c>
      <c r="M3162" t="s">
        <v>10540</v>
      </c>
      <c r="N3162" t="s">
        <v>10556</v>
      </c>
      <c r="O3162" t="s">
        <v>10557</v>
      </c>
      <c r="P3162" s="2" t="s">
        <v>37</v>
      </c>
      <c r="Q3162" t="s">
        <v>1208</v>
      </c>
      <c r="R3162">
        <v>0.6</v>
      </c>
      <c r="S3162">
        <v>56.36</v>
      </c>
      <c r="T3162" t="s">
        <v>10558</v>
      </c>
    </row>
    <row r="3163" spans="1:20" x14ac:dyDescent="0.25">
      <c r="A3163" s="1" t="str">
        <f>HYPERLINK("https://vegkart.atlas.vegvesen.no/#/@264051.5,6643281.6,18/hva:hva%5B0%5D%5Bfilter%5D%5B0%5D%5Boperator%5D=%21%3D&amp;hva%5B0%5D%5Bfilter%5D%5B0%5D%5Btype_id%5D=8917&amp;hva%5B0%5D%5Bfilter%5D%5B0%5D%5Bverdi%5D=&amp;hva%5B0%5D%5Bid%5D=49/når:2020-03-24", "Vegkart")</f>
        <v>Vegkart</v>
      </c>
      <c r="B3163">
        <v>1007446051</v>
      </c>
      <c r="C3163">
        <v>49</v>
      </c>
      <c r="D3163" t="s">
        <v>8701</v>
      </c>
      <c r="E3163">
        <v>8917</v>
      </c>
      <c r="F3163" t="s">
        <v>23479</v>
      </c>
      <c r="G3163">
        <v>1</v>
      </c>
      <c r="H3163" t="s">
        <v>10559</v>
      </c>
      <c r="J3163" t="s">
        <v>10526</v>
      </c>
      <c r="K3163" t="s">
        <v>335</v>
      </c>
      <c r="L3163" t="s">
        <v>22</v>
      </c>
      <c r="M3163" t="s">
        <v>10560</v>
      </c>
      <c r="N3163" t="s">
        <v>10561</v>
      </c>
      <c r="O3163" t="s">
        <v>10562</v>
      </c>
      <c r="P3163" s="2" t="s">
        <v>37</v>
      </c>
      <c r="Q3163" t="s">
        <v>1208</v>
      </c>
      <c r="R3163">
        <v>0.54</v>
      </c>
      <c r="S3163">
        <v>25.37</v>
      </c>
      <c r="T3163" t="s">
        <v>10563</v>
      </c>
    </row>
    <row r="3164" spans="1:20" x14ac:dyDescent="0.25">
      <c r="A3164" s="1" t="str">
        <f>HYPERLINK("https://vegkart.atlas.vegvesen.no/#/@264047.3,6648145.8,18/hva:hva%5B0%5D%5Bfilter%5D%5B0%5D%5Boperator%5D=%21%3D&amp;hva%5B0%5D%5Bfilter%5D%5B0%5D%5Btype_id%5D=8917&amp;hva%5B0%5D%5Bfilter%5D%5B0%5D%5Bverdi%5D=&amp;hva%5B0%5D%5Bid%5D=49/når:2020-03-24", "Vegkart")</f>
        <v>Vegkart</v>
      </c>
      <c r="B3164">
        <v>1007446715</v>
      </c>
      <c r="C3164">
        <v>49</v>
      </c>
      <c r="D3164" t="s">
        <v>8701</v>
      </c>
      <c r="E3164">
        <v>8917</v>
      </c>
      <c r="F3164" t="s">
        <v>23479</v>
      </c>
      <c r="G3164">
        <v>1</v>
      </c>
      <c r="H3164" t="s">
        <v>10559</v>
      </c>
      <c r="J3164" t="s">
        <v>10526</v>
      </c>
      <c r="K3164" t="s">
        <v>335</v>
      </c>
      <c r="L3164" t="s">
        <v>22</v>
      </c>
      <c r="M3164" t="s">
        <v>10501</v>
      </c>
      <c r="N3164" t="s">
        <v>10564</v>
      </c>
      <c r="O3164" t="s">
        <v>10565</v>
      </c>
      <c r="P3164" s="2" t="s">
        <v>37</v>
      </c>
      <c r="Q3164" t="s">
        <v>1208</v>
      </c>
      <c r="R3164">
        <v>0.74</v>
      </c>
      <c r="S3164">
        <v>20.28</v>
      </c>
      <c r="T3164" t="s">
        <v>10566</v>
      </c>
    </row>
    <row r="3165" spans="1:20" x14ac:dyDescent="0.25">
      <c r="A3165" s="1" t="str">
        <f>HYPERLINK("https://vegkart.atlas.vegvesen.no/#/@267126.1,6650288.8,18/hva:hva%5B0%5D%5Bfilter%5D%5B0%5D%5Boperator%5D=%21%3D&amp;hva%5B0%5D%5Bfilter%5D%5B0%5D%5Btype_id%5D=8917&amp;hva%5B0%5D%5Bfilter%5D%5B0%5D%5Bverdi%5D=&amp;hva%5B0%5D%5Bid%5D=49/når:2020-03-24", "Vegkart")</f>
        <v>Vegkart</v>
      </c>
      <c r="B3165">
        <v>1007452677</v>
      </c>
      <c r="C3165">
        <v>49</v>
      </c>
      <c r="D3165" t="s">
        <v>8701</v>
      </c>
      <c r="E3165">
        <v>8917</v>
      </c>
      <c r="F3165" t="s">
        <v>23479</v>
      </c>
      <c r="G3165">
        <v>1</v>
      </c>
      <c r="H3165" t="s">
        <v>10559</v>
      </c>
      <c r="J3165" t="s">
        <v>10526</v>
      </c>
      <c r="K3165" t="s">
        <v>335</v>
      </c>
      <c r="L3165" t="s">
        <v>22</v>
      </c>
      <c r="M3165" t="s">
        <v>10540</v>
      </c>
      <c r="N3165" t="s">
        <v>10567</v>
      </c>
      <c r="O3165" t="s">
        <v>10568</v>
      </c>
      <c r="P3165" s="2" t="s">
        <v>37</v>
      </c>
      <c r="Q3165" t="s">
        <v>1208</v>
      </c>
      <c r="R3165">
        <v>0.48</v>
      </c>
      <c r="S3165">
        <v>30.87</v>
      </c>
      <c r="T3165" t="s">
        <v>10569</v>
      </c>
    </row>
    <row r="3166" spans="1:20" x14ac:dyDescent="0.25">
      <c r="A3166" s="1" t="str">
        <f>HYPERLINK("https://vegkart.atlas.vegvesen.no/#/@266438.2,6650311.5,18/hva:hva%5B0%5D%5Bfilter%5D%5B0%5D%5Boperator%5D=%21%3D&amp;hva%5B0%5D%5Bfilter%5D%5B0%5D%5Btype_id%5D=8917&amp;hva%5B0%5D%5Bfilter%5D%5B0%5D%5Bverdi%5D=&amp;hva%5B0%5D%5Bid%5D=49/når:2020-03-25", "Vegkart")</f>
        <v>Vegkart</v>
      </c>
      <c r="B3166">
        <v>1007458478</v>
      </c>
      <c r="C3166">
        <v>49</v>
      </c>
      <c r="D3166" t="s">
        <v>8701</v>
      </c>
      <c r="E3166">
        <v>8917</v>
      </c>
      <c r="F3166" t="s">
        <v>23479</v>
      </c>
      <c r="G3166">
        <v>1</v>
      </c>
      <c r="H3166" t="s">
        <v>10570</v>
      </c>
      <c r="J3166" t="s">
        <v>10526</v>
      </c>
      <c r="K3166" t="s">
        <v>335</v>
      </c>
      <c r="L3166" t="s">
        <v>22</v>
      </c>
      <c r="M3166" t="s">
        <v>10571</v>
      </c>
      <c r="N3166" t="s">
        <v>10572</v>
      </c>
      <c r="O3166" t="s">
        <v>10573</v>
      </c>
      <c r="P3166" s="2" t="s">
        <v>37</v>
      </c>
      <c r="Q3166" t="s">
        <v>1208</v>
      </c>
      <c r="R3166">
        <v>0.59</v>
      </c>
      <c r="S3166">
        <v>31.58</v>
      </c>
      <c r="T3166" t="s">
        <v>10574</v>
      </c>
    </row>
    <row r="3167" spans="1:20" x14ac:dyDescent="0.25">
      <c r="A3167" s="1" t="str">
        <f>HYPERLINK("https://vegkart.atlas.vegvesen.no/#/@266796.3,6650345.3,18/hva:hva%5B0%5D%5Bfilter%5D%5B0%5D%5Boperator%5D=%21%3D&amp;hva%5B0%5D%5Bfilter%5D%5B0%5D%5Btype_id%5D=8917&amp;hva%5B0%5D%5Bfilter%5D%5B0%5D%5Bverdi%5D=&amp;hva%5B0%5D%5Bid%5D=49/når:2020-03-25", "Vegkart")</f>
        <v>Vegkart</v>
      </c>
      <c r="B3167">
        <v>1007458530</v>
      </c>
      <c r="C3167">
        <v>49</v>
      </c>
      <c r="D3167" t="s">
        <v>8701</v>
      </c>
      <c r="E3167">
        <v>8917</v>
      </c>
      <c r="F3167" t="s">
        <v>23479</v>
      </c>
      <c r="G3167">
        <v>1</v>
      </c>
      <c r="H3167" t="s">
        <v>10570</v>
      </c>
      <c r="J3167" t="s">
        <v>10526</v>
      </c>
      <c r="K3167" t="s">
        <v>335</v>
      </c>
      <c r="L3167" t="s">
        <v>22</v>
      </c>
      <c r="M3167" t="s">
        <v>10571</v>
      </c>
      <c r="N3167" t="s">
        <v>10575</v>
      </c>
      <c r="O3167" t="s">
        <v>10576</v>
      </c>
      <c r="P3167" s="2" t="s">
        <v>37</v>
      </c>
      <c r="Q3167" t="s">
        <v>1208</v>
      </c>
      <c r="R3167">
        <v>0.81</v>
      </c>
      <c r="S3167">
        <v>30.84</v>
      </c>
      <c r="T3167" t="s">
        <v>10577</v>
      </c>
    </row>
    <row r="3168" spans="1:20" x14ac:dyDescent="0.25">
      <c r="A3168" s="1" t="str">
        <f>HYPERLINK("https://vegkart.atlas.vegvesen.no/#/@266421.0,6650300.3,18/hva:hva%5B0%5D%5Bfilter%5D%5B0%5D%5Boperator%5D=%21%3D&amp;hva%5B0%5D%5Bfilter%5D%5B0%5D%5Btype_id%5D=8917&amp;hva%5B0%5D%5Bfilter%5D%5B0%5D%5Bverdi%5D=&amp;hva%5B0%5D%5Bid%5D=49/når:2020-03-25", "Vegkart")</f>
        <v>Vegkart</v>
      </c>
      <c r="B3168">
        <v>1007458535</v>
      </c>
      <c r="C3168">
        <v>49</v>
      </c>
      <c r="D3168" t="s">
        <v>8701</v>
      </c>
      <c r="E3168">
        <v>8917</v>
      </c>
      <c r="F3168" t="s">
        <v>23479</v>
      </c>
      <c r="G3168">
        <v>1</v>
      </c>
      <c r="H3168" t="s">
        <v>10570</v>
      </c>
      <c r="J3168" t="s">
        <v>10526</v>
      </c>
      <c r="K3168" t="s">
        <v>335</v>
      </c>
      <c r="L3168" t="s">
        <v>22</v>
      </c>
      <c r="M3168" t="s">
        <v>10571</v>
      </c>
      <c r="N3168" t="s">
        <v>10578</v>
      </c>
      <c r="O3168" t="s">
        <v>10579</v>
      </c>
      <c r="P3168" s="2" t="s">
        <v>37</v>
      </c>
      <c r="Q3168" t="s">
        <v>1208</v>
      </c>
      <c r="R3168">
        <v>0.78</v>
      </c>
      <c r="S3168">
        <v>30.09</v>
      </c>
      <c r="T3168" t="s">
        <v>10580</v>
      </c>
    </row>
    <row r="3169" spans="1:20" x14ac:dyDescent="0.25">
      <c r="A3169" s="1" t="str">
        <f>HYPERLINK("https://vegkart.atlas.vegvesen.no/#/@266398.5,6650309.1,18/hva:hva%5B0%5D%5Bfilter%5D%5B0%5D%5Boperator%5D=%21%3D&amp;hva%5B0%5D%5Bfilter%5D%5B0%5D%5Btype_id%5D=8917&amp;hva%5B0%5D%5Bfilter%5D%5B0%5D%5Bverdi%5D=&amp;hva%5B0%5D%5Bid%5D=49/når:2020-03-25", "Vegkart")</f>
        <v>Vegkart</v>
      </c>
      <c r="B3169">
        <v>1007458538</v>
      </c>
      <c r="C3169">
        <v>49</v>
      </c>
      <c r="D3169" t="s">
        <v>8701</v>
      </c>
      <c r="E3169">
        <v>8917</v>
      </c>
      <c r="F3169" t="s">
        <v>23479</v>
      </c>
      <c r="G3169">
        <v>1</v>
      </c>
      <c r="H3169" t="s">
        <v>10570</v>
      </c>
      <c r="J3169" t="s">
        <v>10526</v>
      </c>
      <c r="K3169" t="s">
        <v>335</v>
      </c>
      <c r="L3169" t="s">
        <v>22</v>
      </c>
      <c r="M3169" t="s">
        <v>10571</v>
      </c>
      <c r="N3169" t="s">
        <v>10581</v>
      </c>
      <c r="O3169" t="s">
        <v>10582</v>
      </c>
      <c r="P3169" s="2" t="s">
        <v>37</v>
      </c>
      <c r="Q3169" t="s">
        <v>1208</v>
      </c>
      <c r="R3169">
        <v>0.31</v>
      </c>
      <c r="S3169">
        <v>47.27</v>
      </c>
      <c r="T3169" t="s">
        <v>10583</v>
      </c>
    </row>
    <row r="3170" spans="1:20" x14ac:dyDescent="0.25">
      <c r="A3170" s="1" t="str">
        <f>HYPERLINK("https://vegkart.atlas.vegvesen.no/#/@264915.2,6651629.6,18/hva:hva%5B0%5D%5Bfilter%5D%5B0%5D%5Boperator%5D=%21%3D&amp;hva%5B0%5D%5Bfilter%5D%5B0%5D%5Btype_id%5D=8917&amp;hva%5B0%5D%5Bfilter%5D%5B0%5D%5Bverdi%5D=&amp;hva%5B0%5D%5Bid%5D=49/når:2020-03-26", "Vegkart")</f>
        <v>Vegkart</v>
      </c>
      <c r="B3170">
        <v>1007458597</v>
      </c>
      <c r="C3170">
        <v>49</v>
      </c>
      <c r="D3170" t="s">
        <v>8701</v>
      </c>
      <c r="E3170">
        <v>8917</v>
      </c>
      <c r="F3170" t="s">
        <v>23479</v>
      </c>
      <c r="G3170">
        <v>2</v>
      </c>
      <c r="H3170" t="s">
        <v>10584</v>
      </c>
      <c r="J3170" t="s">
        <v>10526</v>
      </c>
      <c r="K3170" t="s">
        <v>335</v>
      </c>
      <c r="L3170" t="s">
        <v>22</v>
      </c>
      <c r="M3170" t="s">
        <v>10585</v>
      </c>
      <c r="N3170" t="s">
        <v>10586</v>
      </c>
      <c r="O3170" t="s">
        <v>10587</v>
      </c>
      <c r="P3170" s="2" t="s">
        <v>37</v>
      </c>
      <c r="Q3170" t="s">
        <v>1208</v>
      </c>
      <c r="R3170">
        <v>0.17</v>
      </c>
      <c r="S3170">
        <v>19.670000000000002</v>
      </c>
      <c r="T3170" t="s">
        <v>10588</v>
      </c>
    </row>
    <row r="3171" spans="1:20" x14ac:dyDescent="0.25">
      <c r="A3171" s="1" t="str">
        <f>HYPERLINK("https://vegkart.atlas.vegvesen.no/#/@265503.1,6651121.0,18/hva:hva%5B0%5D%5Bfilter%5D%5B0%5D%5Boperator%5D=%21%3D&amp;hva%5B0%5D%5Bfilter%5D%5B0%5D%5Btype_id%5D=8917&amp;hva%5B0%5D%5Bfilter%5D%5B0%5D%5Bverdi%5D=&amp;hva%5B0%5D%5Bid%5D=49/når:2020-03-25", "Vegkart")</f>
        <v>Vegkart</v>
      </c>
      <c r="B3171">
        <v>1007462810</v>
      </c>
      <c r="C3171">
        <v>49</v>
      </c>
      <c r="D3171" t="s">
        <v>8701</v>
      </c>
      <c r="E3171">
        <v>8917</v>
      </c>
      <c r="F3171" t="s">
        <v>23479</v>
      </c>
      <c r="G3171">
        <v>1</v>
      </c>
      <c r="H3171" t="s">
        <v>10570</v>
      </c>
      <c r="J3171" t="s">
        <v>10526</v>
      </c>
      <c r="K3171" t="s">
        <v>335</v>
      </c>
      <c r="L3171" t="s">
        <v>22</v>
      </c>
      <c r="M3171" t="s">
        <v>9355</v>
      </c>
      <c r="N3171" t="s">
        <v>10589</v>
      </c>
      <c r="O3171" t="s">
        <v>10590</v>
      </c>
      <c r="P3171" s="2" t="s">
        <v>37</v>
      </c>
      <c r="Q3171" t="s">
        <v>1208</v>
      </c>
      <c r="R3171">
        <v>0.16</v>
      </c>
      <c r="S3171">
        <v>46.47</v>
      </c>
      <c r="T3171" t="s">
        <v>10591</v>
      </c>
    </row>
    <row r="3172" spans="1:20" x14ac:dyDescent="0.25">
      <c r="A3172" s="1" t="str">
        <f>HYPERLINK("https://vegkart.atlas.vegvesen.no/#/@258542.7,6650686.5,18/hva:hva%5B0%5D%5Bfilter%5D%5B0%5D%5Boperator%5D=%21%3D&amp;hva%5B0%5D%5Bfilter%5D%5B0%5D%5Btype_id%5D=8917&amp;hva%5B0%5D%5Bfilter%5D%5B0%5D%5Bverdi%5D=&amp;hva%5B0%5D%5Bid%5D=49/når:2020-03-25", "Vegkart")</f>
        <v>Vegkart</v>
      </c>
      <c r="B3172">
        <v>1007465792</v>
      </c>
      <c r="C3172">
        <v>49</v>
      </c>
      <c r="D3172" t="s">
        <v>8701</v>
      </c>
      <c r="E3172">
        <v>8917</v>
      </c>
      <c r="F3172" t="s">
        <v>23479</v>
      </c>
      <c r="G3172">
        <v>1</v>
      </c>
      <c r="H3172" t="s">
        <v>10570</v>
      </c>
      <c r="J3172" t="s">
        <v>10526</v>
      </c>
      <c r="K3172" t="s">
        <v>335</v>
      </c>
      <c r="L3172" t="s">
        <v>22</v>
      </c>
      <c r="M3172" t="s">
        <v>8347</v>
      </c>
      <c r="N3172" t="s">
        <v>10592</v>
      </c>
      <c r="O3172" t="s">
        <v>10593</v>
      </c>
      <c r="P3172" s="2" t="s">
        <v>37</v>
      </c>
      <c r="Q3172" t="s">
        <v>1208</v>
      </c>
      <c r="R3172">
        <v>1.1200000000000001</v>
      </c>
      <c r="S3172">
        <v>26.55</v>
      </c>
      <c r="T3172" t="s">
        <v>10594</v>
      </c>
    </row>
    <row r="3173" spans="1:20" x14ac:dyDescent="0.25">
      <c r="A3173" s="1" t="str">
        <f>HYPERLINK("https://vegkart.atlas.vegvesen.no/#/@258356.3,6650872.0,18/hva:hva%5B0%5D%5Bfilter%5D%5B0%5D%5Boperator%5D=%21%3D&amp;hva%5B0%5D%5Bfilter%5D%5B0%5D%5Btype_id%5D=8917&amp;hva%5B0%5D%5Bfilter%5D%5B0%5D%5Bverdi%5D=&amp;hva%5B0%5D%5Bid%5D=49/når:2020-03-25", "Vegkart")</f>
        <v>Vegkart</v>
      </c>
      <c r="B3173">
        <v>1007478262</v>
      </c>
      <c r="C3173">
        <v>49</v>
      </c>
      <c r="D3173" t="s">
        <v>8701</v>
      </c>
      <c r="E3173">
        <v>8917</v>
      </c>
      <c r="F3173" t="s">
        <v>23479</v>
      </c>
      <c r="G3173">
        <v>1</v>
      </c>
      <c r="H3173" t="s">
        <v>10570</v>
      </c>
      <c r="J3173" t="s">
        <v>10526</v>
      </c>
      <c r="K3173" t="s">
        <v>335</v>
      </c>
      <c r="L3173" t="s">
        <v>22</v>
      </c>
      <c r="M3173" t="s">
        <v>8347</v>
      </c>
      <c r="N3173" t="s">
        <v>10595</v>
      </c>
      <c r="O3173" t="s">
        <v>10596</v>
      </c>
      <c r="P3173" s="2" t="s">
        <v>37</v>
      </c>
      <c r="Q3173" t="s">
        <v>1208</v>
      </c>
      <c r="R3173">
        <v>0.57999999999999996</v>
      </c>
      <c r="S3173">
        <v>24.87</v>
      </c>
      <c r="T3173" t="s">
        <v>10597</v>
      </c>
    </row>
    <row r="3174" spans="1:20" x14ac:dyDescent="0.25">
      <c r="A3174" s="1" t="str">
        <f>HYPERLINK("https://vegkart.atlas.vegvesen.no/#/@258353.9,6650889.8,18/hva:hva%5B0%5D%5Bfilter%5D%5B0%5D%5Boperator%5D=%21%3D&amp;hva%5B0%5D%5Bfilter%5D%5B0%5D%5Btype_id%5D=8917&amp;hva%5B0%5D%5Bfilter%5D%5B0%5D%5Bverdi%5D=&amp;hva%5B0%5D%5Bid%5D=49/når:2020-03-25", "Vegkart")</f>
        <v>Vegkart</v>
      </c>
      <c r="B3174">
        <v>1007478264</v>
      </c>
      <c r="C3174">
        <v>49</v>
      </c>
      <c r="D3174" t="s">
        <v>8701</v>
      </c>
      <c r="E3174">
        <v>8917</v>
      </c>
      <c r="F3174" t="s">
        <v>23479</v>
      </c>
      <c r="G3174">
        <v>1</v>
      </c>
      <c r="H3174" t="s">
        <v>10570</v>
      </c>
      <c r="J3174" t="s">
        <v>10526</v>
      </c>
      <c r="K3174" t="s">
        <v>335</v>
      </c>
      <c r="L3174" t="s">
        <v>22</v>
      </c>
      <c r="M3174" t="s">
        <v>8347</v>
      </c>
      <c r="N3174" t="s">
        <v>10598</v>
      </c>
      <c r="O3174" t="s">
        <v>10599</v>
      </c>
      <c r="P3174" s="2" t="s">
        <v>37</v>
      </c>
      <c r="Q3174" t="s">
        <v>1208</v>
      </c>
      <c r="R3174">
        <v>0.61</v>
      </c>
      <c r="S3174">
        <v>20.87</v>
      </c>
      <c r="T3174" t="s">
        <v>10600</v>
      </c>
    </row>
    <row r="3175" spans="1:20" x14ac:dyDescent="0.25">
      <c r="A3175" s="1" t="str">
        <f>HYPERLINK("https://vegkart.atlas.vegvesen.no/#/@258355.4,6650908.5,18/hva:hva%5B0%5D%5Bfilter%5D%5B0%5D%5Boperator%5D=%21%3D&amp;hva%5B0%5D%5Bfilter%5D%5B0%5D%5Btype_id%5D=8917&amp;hva%5B0%5D%5Bfilter%5D%5B0%5D%5Bverdi%5D=&amp;hva%5B0%5D%5Bid%5D=49/når:2020-03-25", "Vegkart")</f>
        <v>Vegkart</v>
      </c>
      <c r="B3175">
        <v>1007478541</v>
      </c>
      <c r="C3175">
        <v>49</v>
      </c>
      <c r="D3175" t="s">
        <v>8701</v>
      </c>
      <c r="E3175">
        <v>8917</v>
      </c>
      <c r="F3175" t="s">
        <v>23479</v>
      </c>
      <c r="G3175">
        <v>1</v>
      </c>
      <c r="H3175" t="s">
        <v>10570</v>
      </c>
      <c r="J3175" t="s">
        <v>10526</v>
      </c>
      <c r="K3175" t="s">
        <v>335</v>
      </c>
      <c r="L3175" t="s">
        <v>22</v>
      </c>
      <c r="M3175" t="s">
        <v>8347</v>
      </c>
      <c r="N3175" t="s">
        <v>10601</v>
      </c>
      <c r="O3175" t="s">
        <v>10602</v>
      </c>
      <c r="P3175" s="2" t="s">
        <v>37</v>
      </c>
      <c r="Q3175" t="s">
        <v>1208</v>
      </c>
      <c r="R3175">
        <v>0.53</v>
      </c>
      <c r="S3175">
        <v>28.69</v>
      </c>
      <c r="T3175" t="s">
        <v>10603</v>
      </c>
    </row>
    <row r="3176" spans="1:20" x14ac:dyDescent="0.25">
      <c r="A3176" s="1" t="str">
        <f>HYPERLINK("https://vegkart.atlas.vegvesen.no/#/@261496.5,6652442.0,18/hva:hva%5B0%5D%5Bfilter%5D%5B0%5D%5Boperator%5D=%21%3D&amp;hva%5B0%5D%5Bfilter%5D%5B0%5D%5Btype_id%5D=8917&amp;hva%5B0%5D%5Bfilter%5D%5B0%5D%5Bverdi%5D=&amp;hva%5B0%5D%5Bid%5D=49/når:2020-03-26", "Vegkart")</f>
        <v>Vegkart</v>
      </c>
      <c r="B3176">
        <v>1007479289</v>
      </c>
      <c r="C3176">
        <v>49</v>
      </c>
      <c r="D3176" t="s">
        <v>8701</v>
      </c>
      <c r="E3176">
        <v>8917</v>
      </c>
      <c r="F3176" t="s">
        <v>23479</v>
      </c>
      <c r="G3176">
        <v>1</v>
      </c>
      <c r="H3176" t="s">
        <v>10584</v>
      </c>
      <c r="J3176" t="s">
        <v>10526</v>
      </c>
      <c r="K3176" t="s">
        <v>335</v>
      </c>
      <c r="L3176" t="s">
        <v>22</v>
      </c>
      <c r="M3176" t="s">
        <v>7343</v>
      </c>
      <c r="N3176" t="s">
        <v>10604</v>
      </c>
      <c r="O3176" t="s">
        <v>10605</v>
      </c>
      <c r="P3176" s="2" t="s">
        <v>37</v>
      </c>
      <c r="Q3176" t="s">
        <v>1208</v>
      </c>
      <c r="R3176">
        <v>0.85</v>
      </c>
      <c r="S3176">
        <v>59.54</v>
      </c>
      <c r="T3176" t="s">
        <v>10606</v>
      </c>
    </row>
    <row r="3177" spans="1:20" x14ac:dyDescent="0.25">
      <c r="A3177" s="1" t="str">
        <f>HYPERLINK("https://vegkart.atlas.vegvesen.no/#/@261497.9,6652467.8,18/hva:hva%5B0%5D%5Bfilter%5D%5B0%5D%5Boperator%5D=%21%3D&amp;hva%5B0%5D%5Bfilter%5D%5B0%5D%5Btype_id%5D=8917&amp;hva%5B0%5D%5Bfilter%5D%5B0%5D%5Bverdi%5D=&amp;hva%5B0%5D%5Bid%5D=49/når:2020-03-26", "Vegkart")</f>
        <v>Vegkart</v>
      </c>
      <c r="B3177">
        <v>1007479303</v>
      </c>
      <c r="C3177">
        <v>49</v>
      </c>
      <c r="D3177" t="s">
        <v>8701</v>
      </c>
      <c r="E3177">
        <v>8917</v>
      </c>
      <c r="F3177" t="s">
        <v>23479</v>
      </c>
      <c r="G3177">
        <v>1</v>
      </c>
      <c r="H3177" t="s">
        <v>10584</v>
      </c>
      <c r="J3177" t="s">
        <v>10526</v>
      </c>
      <c r="K3177" t="s">
        <v>335</v>
      </c>
      <c r="L3177" t="s">
        <v>22</v>
      </c>
      <c r="M3177" t="s">
        <v>7343</v>
      </c>
      <c r="N3177" t="s">
        <v>10607</v>
      </c>
      <c r="O3177" t="s">
        <v>10608</v>
      </c>
      <c r="P3177" s="2" t="s">
        <v>37</v>
      </c>
      <c r="Q3177" t="s">
        <v>1208</v>
      </c>
      <c r="R3177">
        <v>0.71</v>
      </c>
      <c r="S3177">
        <v>44.37</v>
      </c>
      <c r="T3177" t="s">
        <v>10609</v>
      </c>
    </row>
    <row r="3178" spans="1:20" x14ac:dyDescent="0.25">
      <c r="A3178" s="1" t="str">
        <f>HYPERLINK("https://vegkart.atlas.vegvesen.no/#/@261713.7,6653265.4,18/hva:hva%5B0%5D%5Bfilter%5D%5B0%5D%5Boperator%5D=%21%3D&amp;hva%5B0%5D%5Bfilter%5D%5B0%5D%5Btype_id%5D=8917&amp;hva%5B0%5D%5Bfilter%5D%5B0%5D%5Bverdi%5D=&amp;hva%5B0%5D%5Bid%5D=49/når:2020-03-26", "Vegkart")</f>
        <v>Vegkart</v>
      </c>
      <c r="B3178">
        <v>1007481410</v>
      </c>
      <c r="C3178">
        <v>49</v>
      </c>
      <c r="D3178" t="s">
        <v>8701</v>
      </c>
      <c r="E3178">
        <v>8917</v>
      </c>
      <c r="F3178" t="s">
        <v>23479</v>
      </c>
      <c r="G3178">
        <v>1</v>
      </c>
      <c r="H3178" t="s">
        <v>10584</v>
      </c>
      <c r="J3178" t="s">
        <v>10526</v>
      </c>
      <c r="K3178" t="s">
        <v>335</v>
      </c>
      <c r="L3178" t="s">
        <v>22</v>
      </c>
      <c r="M3178" t="s">
        <v>7343</v>
      </c>
      <c r="N3178" t="s">
        <v>10610</v>
      </c>
      <c r="O3178" t="s">
        <v>10611</v>
      </c>
      <c r="P3178" s="2" t="s">
        <v>37</v>
      </c>
      <c r="Q3178" t="s">
        <v>1208</v>
      </c>
      <c r="R3178">
        <v>0.73</v>
      </c>
      <c r="S3178">
        <v>44.78</v>
      </c>
      <c r="T3178" t="s">
        <v>10612</v>
      </c>
    </row>
    <row r="3179" spans="1:20" x14ac:dyDescent="0.25">
      <c r="A3179" s="1" t="str">
        <f>HYPERLINK("https://vegkart.atlas.vegvesen.no/#/@261459.1,6653725.6,18/hva:hva%5B0%5D%5Bfilter%5D%5B0%5D%5Boperator%5D=%21%3D&amp;hva%5B0%5D%5Bfilter%5D%5B0%5D%5Btype_id%5D=8917&amp;hva%5B0%5D%5Bfilter%5D%5B0%5D%5Bverdi%5D=&amp;hva%5B0%5D%5Bid%5D=49/når:2020-03-26", "Vegkart")</f>
        <v>Vegkart</v>
      </c>
      <c r="B3179">
        <v>1007481887</v>
      </c>
      <c r="C3179">
        <v>49</v>
      </c>
      <c r="D3179" t="s">
        <v>8701</v>
      </c>
      <c r="E3179">
        <v>8917</v>
      </c>
      <c r="F3179" t="s">
        <v>23479</v>
      </c>
      <c r="G3179">
        <v>1</v>
      </c>
      <c r="H3179" t="s">
        <v>10584</v>
      </c>
      <c r="J3179" t="s">
        <v>10526</v>
      </c>
      <c r="K3179" t="s">
        <v>335</v>
      </c>
      <c r="L3179" t="s">
        <v>22</v>
      </c>
      <c r="M3179" t="s">
        <v>7343</v>
      </c>
      <c r="N3179" t="s">
        <v>10613</v>
      </c>
      <c r="O3179" t="s">
        <v>10614</v>
      </c>
      <c r="P3179" s="2" t="s">
        <v>37</v>
      </c>
      <c r="Q3179" t="s">
        <v>1208</v>
      </c>
      <c r="R3179">
        <v>0.64</v>
      </c>
      <c r="S3179">
        <v>29.82</v>
      </c>
      <c r="T3179" t="s">
        <v>10615</v>
      </c>
    </row>
    <row r="3180" spans="1:20" x14ac:dyDescent="0.25">
      <c r="A3180" s="1" t="str">
        <f>HYPERLINK("https://vegkart.atlas.vegvesen.no/#/@261165.0,6653383.5,18/hva:hva%5B0%5D%5Bfilter%5D%5B0%5D%5Boperator%5D=%21%3D&amp;hva%5B0%5D%5Bfilter%5D%5B0%5D%5Btype_id%5D=8917&amp;hva%5B0%5D%5Bfilter%5D%5B0%5D%5Bverdi%5D=&amp;hva%5B0%5D%5Bid%5D=49/når:2020-03-26", "Vegkart")</f>
        <v>Vegkart</v>
      </c>
      <c r="B3180">
        <v>1007482655</v>
      </c>
      <c r="C3180">
        <v>49</v>
      </c>
      <c r="D3180" t="s">
        <v>8701</v>
      </c>
      <c r="E3180">
        <v>8917</v>
      </c>
      <c r="F3180" t="s">
        <v>23479</v>
      </c>
      <c r="G3180">
        <v>1</v>
      </c>
      <c r="H3180" t="s">
        <v>10584</v>
      </c>
      <c r="J3180" t="s">
        <v>10526</v>
      </c>
      <c r="K3180" t="s">
        <v>335</v>
      </c>
      <c r="L3180" t="s">
        <v>22</v>
      </c>
      <c r="M3180" t="s">
        <v>10616</v>
      </c>
      <c r="N3180" t="s">
        <v>10617</v>
      </c>
      <c r="O3180" t="s">
        <v>10618</v>
      </c>
      <c r="P3180" s="2" t="s">
        <v>37</v>
      </c>
      <c r="Q3180" t="s">
        <v>1208</v>
      </c>
      <c r="R3180">
        <v>0.46</v>
      </c>
      <c r="S3180">
        <v>19.86</v>
      </c>
      <c r="T3180" t="s">
        <v>10619</v>
      </c>
    </row>
    <row r="3181" spans="1:20" x14ac:dyDescent="0.25">
      <c r="A3181" s="1" t="str">
        <f>HYPERLINK("https://vegkart.atlas.vegvesen.no/#/@265768.8,6650796.9,18/hva:hva%5B0%5D%5Bfilter%5D%5B0%5D%5Boperator%5D=%21%3D&amp;hva%5B0%5D%5Bfilter%5D%5B0%5D%5Btype_id%5D=8917&amp;hva%5B0%5D%5Bfilter%5D%5B0%5D%5Bverdi%5D=&amp;hva%5B0%5D%5Bid%5D=49/når:2020-03-26", "Vegkart")</f>
        <v>Vegkart</v>
      </c>
      <c r="B3181">
        <v>1007483933</v>
      </c>
      <c r="C3181">
        <v>49</v>
      </c>
      <c r="D3181" t="s">
        <v>8701</v>
      </c>
      <c r="E3181">
        <v>8917</v>
      </c>
      <c r="F3181" t="s">
        <v>23479</v>
      </c>
      <c r="G3181">
        <v>1</v>
      </c>
      <c r="H3181" t="s">
        <v>10584</v>
      </c>
      <c r="J3181" t="s">
        <v>10526</v>
      </c>
      <c r="K3181" t="s">
        <v>335</v>
      </c>
      <c r="L3181" t="s">
        <v>22</v>
      </c>
      <c r="M3181" t="s">
        <v>9360</v>
      </c>
      <c r="N3181" t="s">
        <v>10620</v>
      </c>
      <c r="O3181" t="s">
        <v>10621</v>
      </c>
      <c r="P3181" s="2" t="s">
        <v>37</v>
      </c>
      <c r="Q3181" t="s">
        <v>1208</v>
      </c>
      <c r="R3181">
        <v>7.0000000000000007E-2</v>
      </c>
      <c r="S3181">
        <v>13.03</v>
      </c>
      <c r="T3181" t="s">
        <v>10622</v>
      </c>
    </row>
    <row r="3182" spans="1:20" x14ac:dyDescent="0.25">
      <c r="A3182" s="1" t="str">
        <f>HYPERLINK("https://vegkart.atlas.vegvesen.no/#/@261793.6,6654410.1,18/hva:hva%5B0%5D%5Bfilter%5D%5B0%5D%5Boperator%5D=%21%3D&amp;hva%5B0%5D%5Bfilter%5D%5B0%5D%5Btype_id%5D=8917&amp;hva%5B0%5D%5Bfilter%5D%5B0%5D%5Bverdi%5D=&amp;hva%5B0%5D%5Bid%5D=49/når:2020-03-26", "Vegkart")</f>
        <v>Vegkart</v>
      </c>
      <c r="B3182">
        <v>1007484204</v>
      </c>
      <c r="C3182">
        <v>49</v>
      </c>
      <c r="D3182" t="s">
        <v>8701</v>
      </c>
      <c r="E3182">
        <v>8917</v>
      </c>
      <c r="F3182" t="s">
        <v>23479</v>
      </c>
      <c r="G3182">
        <v>1</v>
      </c>
      <c r="H3182" t="s">
        <v>10584</v>
      </c>
      <c r="J3182" t="s">
        <v>10526</v>
      </c>
      <c r="K3182" t="s">
        <v>335</v>
      </c>
      <c r="L3182" t="s">
        <v>22</v>
      </c>
      <c r="M3182" t="s">
        <v>7343</v>
      </c>
      <c r="N3182" t="s">
        <v>10623</v>
      </c>
      <c r="O3182" t="s">
        <v>10624</v>
      </c>
      <c r="P3182" s="2" t="s">
        <v>37</v>
      </c>
      <c r="Q3182" t="s">
        <v>1208</v>
      </c>
      <c r="R3182">
        <v>0.63</v>
      </c>
      <c r="S3182">
        <v>4.79</v>
      </c>
      <c r="T3182" t="s">
        <v>10625</v>
      </c>
    </row>
    <row r="3183" spans="1:20" x14ac:dyDescent="0.25">
      <c r="A3183" s="1" t="str">
        <f>HYPERLINK("https://vegkart.atlas.vegvesen.no/#/@261794.2,6654415.7,18/hva:hva%5B0%5D%5Bfilter%5D%5B0%5D%5Boperator%5D=%21%3D&amp;hva%5B0%5D%5Bfilter%5D%5B0%5D%5Btype_id%5D=8917&amp;hva%5B0%5D%5Bfilter%5D%5B0%5D%5Bverdi%5D=&amp;hva%5B0%5D%5Bid%5D=49/når:2020-03-26", "Vegkart")</f>
        <v>Vegkart</v>
      </c>
      <c r="B3183">
        <v>1007484205</v>
      </c>
      <c r="C3183">
        <v>49</v>
      </c>
      <c r="D3183" t="s">
        <v>8701</v>
      </c>
      <c r="E3183">
        <v>8917</v>
      </c>
      <c r="F3183" t="s">
        <v>23479</v>
      </c>
      <c r="G3183">
        <v>1</v>
      </c>
      <c r="H3183" t="s">
        <v>10584</v>
      </c>
      <c r="J3183" t="s">
        <v>10526</v>
      </c>
      <c r="K3183" t="s">
        <v>335</v>
      </c>
      <c r="L3183" t="s">
        <v>22</v>
      </c>
      <c r="M3183" t="s">
        <v>7343</v>
      </c>
      <c r="N3183" t="s">
        <v>10626</v>
      </c>
      <c r="O3183" t="s">
        <v>10627</v>
      </c>
      <c r="P3183" s="2" t="s">
        <v>37</v>
      </c>
      <c r="Q3183" t="s">
        <v>1208</v>
      </c>
      <c r="R3183">
        <v>0.69</v>
      </c>
      <c r="S3183">
        <v>4.09</v>
      </c>
      <c r="T3183" t="s">
        <v>10628</v>
      </c>
    </row>
    <row r="3184" spans="1:20" x14ac:dyDescent="0.25">
      <c r="A3184" s="1" t="str">
        <f>HYPERLINK("https://vegkart.atlas.vegvesen.no/#/@261795.8,6654435.1,18/hva:hva%5B0%5D%5Bfilter%5D%5B0%5D%5Boperator%5D=%21%3D&amp;hva%5B0%5D%5Bfilter%5D%5B0%5D%5Btype_id%5D=8917&amp;hva%5B0%5D%5Bfilter%5D%5B0%5D%5Bverdi%5D=&amp;hva%5B0%5D%5Bid%5D=49/når:2020-03-26", "Vegkart")</f>
        <v>Vegkart</v>
      </c>
      <c r="B3184">
        <v>1007484235</v>
      </c>
      <c r="C3184">
        <v>49</v>
      </c>
      <c r="D3184" t="s">
        <v>8701</v>
      </c>
      <c r="E3184">
        <v>8917</v>
      </c>
      <c r="F3184" t="s">
        <v>23479</v>
      </c>
      <c r="G3184">
        <v>1</v>
      </c>
      <c r="H3184" t="s">
        <v>10584</v>
      </c>
      <c r="J3184" t="s">
        <v>10526</v>
      </c>
      <c r="K3184" t="s">
        <v>335</v>
      </c>
      <c r="L3184" t="s">
        <v>22</v>
      </c>
      <c r="M3184" t="s">
        <v>7343</v>
      </c>
      <c r="N3184" t="s">
        <v>10629</v>
      </c>
      <c r="O3184" t="s">
        <v>10630</v>
      </c>
      <c r="P3184" s="2" t="s">
        <v>37</v>
      </c>
      <c r="Q3184" t="s">
        <v>1208</v>
      </c>
      <c r="R3184">
        <v>0.53</v>
      </c>
      <c r="S3184">
        <v>4.3499999999999996</v>
      </c>
      <c r="T3184" t="s">
        <v>10631</v>
      </c>
    </row>
    <row r="3185" spans="1:20" x14ac:dyDescent="0.25">
      <c r="A3185" s="1" t="str">
        <f>HYPERLINK("https://vegkart.atlas.vegvesen.no/#/@261796.1,6654440.6,18/hva:hva%5B0%5D%5Bfilter%5D%5B0%5D%5Boperator%5D=%21%3D&amp;hva%5B0%5D%5Bfilter%5D%5B0%5D%5Btype_id%5D=8917&amp;hva%5B0%5D%5Bfilter%5D%5B0%5D%5Bverdi%5D=&amp;hva%5B0%5D%5Bid%5D=49/når:2020-03-26", "Vegkart")</f>
        <v>Vegkart</v>
      </c>
      <c r="B3185">
        <v>1007484236</v>
      </c>
      <c r="C3185">
        <v>49</v>
      </c>
      <c r="D3185" t="s">
        <v>8701</v>
      </c>
      <c r="E3185">
        <v>8917</v>
      </c>
      <c r="F3185" t="s">
        <v>23479</v>
      </c>
      <c r="G3185">
        <v>1</v>
      </c>
      <c r="H3185" t="s">
        <v>10584</v>
      </c>
      <c r="J3185" t="s">
        <v>10526</v>
      </c>
      <c r="K3185" t="s">
        <v>335</v>
      </c>
      <c r="L3185" t="s">
        <v>22</v>
      </c>
      <c r="M3185" t="s">
        <v>7343</v>
      </c>
      <c r="N3185" t="s">
        <v>10632</v>
      </c>
      <c r="O3185" t="s">
        <v>10633</v>
      </c>
      <c r="P3185" s="2" t="s">
        <v>37</v>
      </c>
      <c r="Q3185" t="s">
        <v>1208</v>
      </c>
      <c r="R3185">
        <v>0.78</v>
      </c>
      <c r="S3185">
        <v>4.6900000000000004</v>
      </c>
      <c r="T3185" t="s">
        <v>10634</v>
      </c>
    </row>
    <row r="3186" spans="1:20" x14ac:dyDescent="0.25">
      <c r="A3186" s="1" t="str">
        <f>HYPERLINK("https://vegkart.atlas.vegvesen.no/#/@266218.9,6650187.1,18/hva:hva%5B0%5D%5Bfilter%5D%5B0%5D%5Boperator%5D=%21%3D&amp;hva%5B0%5D%5Bfilter%5D%5B0%5D%5Btype_id%5D=8917&amp;hva%5B0%5D%5Bfilter%5D%5B0%5D%5Bverdi%5D=&amp;hva%5B0%5D%5Bid%5D=49/når:2020-03-26", "Vegkart")</f>
        <v>Vegkart</v>
      </c>
      <c r="B3186">
        <v>1007484486</v>
      </c>
      <c r="C3186">
        <v>49</v>
      </c>
      <c r="D3186" t="s">
        <v>8701</v>
      </c>
      <c r="E3186">
        <v>8917</v>
      </c>
      <c r="F3186" t="s">
        <v>23479</v>
      </c>
      <c r="G3186">
        <v>1</v>
      </c>
      <c r="H3186" t="s">
        <v>10584</v>
      </c>
      <c r="J3186" t="s">
        <v>10526</v>
      </c>
      <c r="K3186" t="s">
        <v>335</v>
      </c>
      <c r="L3186" t="s">
        <v>22</v>
      </c>
      <c r="M3186" t="s">
        <v>9360</v>
      </c>
      <c r="N3186" t="s">
        <v>10635</v>
      </c>
      <c r="O3186" t="s">
        <v>10636</v>
      </c>
      <c r="P3186" s="2" t="s">
        <v>37</v>
      </c>
      <c r="Q3186" t="s">
        <v>1208</v>
      </c>
      <c r="R3186">
        <v>0.56999999999999995</v>
      </c>
      <c r="S3186">
        <v>29.79</v>
      </c>
      <c r="T3186" t="s">
        <v>10637</v>
      </c>
    </row>
    <row r="3187" spans="1:20" x14ac:dyDescent="0.25">
      <c r="A3187" s="1" t="str">
        <f>HYPERLINK("https://vegkart.atlas.vegvesen.no/#/@263325.7,6653825.0,18/hva:hva%5B0%5D%5Bfilter%5D%5B0%5D%5Boperator%5D=%21%3D&amp;hva%5B0%5D%5Bfilter%5D%5B0%5D%5Btype_id%5D=8917&amp;hva%5B0%5D%5Bfilter%5D%5B0%5D%5Bverdi%5D=&amp;hva%5B0%5D%5Bid%5D=49/når:2020-03-26", "Vegkart")</f>
        <v>Vegkart</v>
      </c>
      <c r="B3187">
        <v>1007484594</v>
      </c>
      <c r="C3187">
        <v>49</v>
      </c>
      <c r="D3187" t="s">
        <v>8701</v>
      </c>
      <c r="E3187">
        <v>8917</v>
      </c>
      <c r="F3187" t="s">
        <v>23479</v>
      </c>
      <c r="G3187">
        <v>1</v>
      </c>
      <c r="H3187" t="s">
        <v>10584</v>
      </c>
      <c r="J3187" t="s">
        <v>10526</v>
      </c>
      <c r="K3187" t="s">
        <v>335</v>
      </c>
      <c r="L3187" t="s">
        <v>22</v>
      </c>
      <c r="M3187" t="s">
        <v>10638</v>
      </c>
      <c r="N3187" t="s">
        <v>10639</v>
      </c>
      <c r="O3187" t="s">
        <v>10640</v>
      </c>
      <c r="P3187" s="2" t="s">
        <v>37</v>
      </c>
      <c r="Q3187" t="s">
        <v>1208</v>
      </c>
      <c r="R3187">
        <v>1.06</v>
      </c>
      <c r="S3187">
        <v>34.840000000000003</v>
      </c>
      <c r="T3187" t="s">
        <v>10641</v>
      </c>
    </row>
    <row r="3188" spans="1:20" x14ac:dyDescent="0.25">
      <c r="A3188" s="1" t="str">
        <f>HYPERLINK("https://vegkart.atlas.vegvesen.no/#/@261937.6,6654753.5,18/hva:hva%5B0%5D%5Bfilter%5D%5B0%5D%5Boperator%5D=%21%3D&amp;hva%5B0%5D%5Bfilter%5D%5B0%5D%5Btype_id%5D=8917&amp;hva%5B0%5D%5Bfilter%5D%5B0%5D%5Bverdi%5D=&amp;hva%5B0%5D%5Bid%5D=49/når:2020-03-26", "Vegkart")</f>
        <v>Vegkart</v>
      </c>
      <c r="B3188">
        <v>1007484708</v>
      </c>
      <c r="C3188">
        <v>49</v>
      </c>
      <c r="D3188" t="s">
        <v>8701</v>
      </c>
      <c r="E3188">
        <v>8917</v>
      </c>
      <c r="F3188" t="s">
        <v>23479</v>
      </c>
      <c r="G3188">
        <v>1</v>
      </c>
      <c r="H3188" t="s">
        <v>10584</v>
      </c>
      <c r="J3188" t="s">
        <v>10526</v>
      </c>
      <c r="K3188" t="s">
        <v>335</v>
      </c>
      <c r="L3188" t="s">
        <v>22</v>
      </c>
      <c r="M3188" t="s">
        <v>7343</v>
      </c>
      <c r="N3188" t="s">
        <v>10642</v>
      </c>
      <c r="O3188" t="s">
        <v>10643</v>
      </c>
      <c r="P3188" s="2" t="s">
        <v>37</v>
      </c>
      <c r="Q3188" t="s">
        <v>1208</v>
      </c>
      <c r="R3188">
        <v>0.5</v>
      </c>
      <c r="S3188">
        <v>29.46</v>
      </c>
      <c r="T3188" t="s">
        <v>10644</v>
      </c>
    </row>
    <row r="3189" spans="1:20" x14ac:dyDescent="0.25">
      <c r="A3189" s="1" t="str">
        <f>HYPERLINK("https://vegkart.atlas.vegvesen.no/#/@261950.2,6654766.4,18/hva:hva%5B0%5D%5Bfilter%5D%5B0%5D%5Boperator%5D=%21%3D&amp;hva%5B0%5D%5Bfilter%5D%5B0%5D%5Btype_id%5D=8917&amp;hva%5B0%5D%5Bfilter%5D%5B0%5D%5Bverdi%5D=&amp;hva%5B0%5D%5Bid%5D=49/når:2020-03-26", "Vegkart")</f>
        <v>Vegkart</v>
      </c>
      <c r="B3189">
        <v>1007485086</v>
      </c>
      <c r="C3189">
        <v>49</v>
      </c>
      <c r="D3189" t="s">
        <v>8701</v>
      </c>
      <c r="E3189">
        <v>8917</v>
      </c>
      <c r="F3189" t="s">
        <v>23479</v>
      </c>
      <c r="G3189">
        <v>1</v>
      </c>
      <c r="H3189" t="s">
        <v>10584</v>
      </c>
      <c r="J3189" t="s">
        <v>10526</v>
      </c>
      <c r="K3189" t="s">
        <v>335</v>
      </c>
      <c r="L3189" t="s">
        <v>22</v>
      </c>
      <c r="M3189" t="s">
        <v>7343</v>
      </c>
      <c r="N3189" t="s">
        <v>10645</v>
      </c>
      <c r="O3189" t="s">
        <v>10646</v>
      </c>
      <c r="P3189" s="2" t="s">
        <v>37</v>
      </c>
      <c r="Q3189" t="s">
        <v>1208</v>
      </c>
      <c r="R3189">
        <v>0.52</v>
      </c>
      <c r="S3189">
        <v>31.63</v>
      </c>
      <c r="T3189" t="s">
        <v>10647</v>
      </c>
    </row>
    <row r="3190" spans="1:20" x14ac:dyDescent="0.25">
      <c r="A3190" s="1" t="str">
        <f>HYPERLINK("https://vegkart.atlas.vegvesen.no/#/@261942.5,6654780.1,18/hva:hva%5B0%5D%5Bfilter%5D%5B0%5D%5Boperator%5D=%21%3D&amp;hva%5B0%5D%5Bfilter%5D%5B0%5D%5Btype_id%5D=8917&amp;hva%5B0%5D%5Bfilter%5D%5B0%5D%5Bverdi%5D=&amp;hva%5B0%5D%5Bid%5D=49/når:2020-03-26", "Vegkart")</f>
        <v>Vegkart</v>
      </c>
      <c r="B3190">
        <v>1007485183</v>
      </c>
      <c r="C3190">
        <v>49</v>
      </c>
      <c r="D3190" t="s">
        <v>8701</v>
      </c>
      <c r="E3190">
        <v>8917</v>
      </c>
      <c r="F3190" t="s">
        <v>23479</v>
      </c>
      <c r="G3190">
        <v>1</v>
      </c>
      <c r="H3190" t="s">
        <v>10584</v>
      </c>
      <c r="J3190" t="s">
        <v>10526</v>
      </c>
      <c r="K3190" t="s">
        <v>335</v>
      </c>
      <c r="L3190" t="s">
        <v>22</v>
      </c>
      <c r="M3190" t="s">
        <v>7343</v>
      </c>
      <c r="N3190" t="s">
        <v>10648</v>
      </c>
      <c r="O3190" t="s">
        <v>10649</v>
      </c>
      <c r="P3190" s="2" t="s">
        <v>37</v>
      </c>
      <c r="Q3190" t="s">
        <v>1208</v>
      </c>
      <c r="R3190">
        <v>0.54</v>
      </c>
      <c r="S3190">
        <v>17.309999999999999</v>
      </c>
      <c r="T3190" t="s">
        <v>10650</v>
      </c>
    </row>
    <row r="3191" spans="1:20" x14ac:dyDescent="0.25">
      <c r="A3191" s="1" t="str">
        <f>HYPERLINK("https://vegkart.atlas.vegvesen.no/#/@262509.5,6651520.0,18/hva:hva%5B0%5D%5Bfilter%5D%5B0%5D%5Boperator%5D=%21%3D&amp;hva%5B0%5D%5Bfilter%5D%5B0%5D%5Btype_id%5D=8917&amp;hva%5B0%5D%5Bfilter%5D%5B0%5D%5Bverdi%5D=&amp;hva%5B0%5D%5Bid%5D=49/når:2020-03-26", "Vegkart")</f>
        <v>Vegkart</v>
      </c>
      <c r="B3191">
        <v>1007488695</v>
      </c>
      <c r="C3191">
        <v>49</v>
      </c>
      <c r="D3191" t="s">
        <v>8701</v>
      </c>
      <c r="E3191">
        <v>8917</v>
      </c>
      <c r="F3191" t="s">
        <v>23479</v>
      </c>
      <c r="G3191">
        <v>1</v>
      </c>
      <c r="H3191" t="s">
        <v>10584</v>
      </c>
      <c r="J3191" t="s">
        <v>10526</v>
      </c>
      <c r="K3191" t="s">
        <v>335</v>
      </c>
      <c r="L3191" t="s">
        <v>22</v>
      </c>
      <c r="M3191" t="s">
        <v>10651</v>
      </c>
      <c r="N3191" t="s">
        <v>10652</v>
      </c>
      <c r="O3191" t="s">
        <v>10653</v>
      </c>
      <c r="P3191" s="2" t="s">
        <v>37</v>
      </c>
      <c r="Q3191" t="s">
        <v>1208</v>
      </c>
      <c r="R3191">
        <v>0.81</v>
      </c>
      <c r="S3191">
        <v>26.82</v>
      </c>
      <c r="T3191" t="s">
        <v>10654</v>
      </c>
    </row>
    <row r="3192" spans="1:20" x14ac:dyDescent="0.25">
      <c r="A3192" s="1" t="str">
        <f>HYPERLINK("https://vegkart.atlas.vegvesen.no/#/@262584.6,6652061.4,18/hva:hva%5B0%5D%5Bfilter%5D%5B0%5D%5Boperator%5D=%21%3D&amp;hva%5B0%5D%5Bfilter%5D%5B0%5D%5Btype_id%5D=8917&amp;hva%5B0%5D%5Bfilter%5D%5B0%5D%5Bverdi%5D=&amp;hva%5B0%5D%5Bid%5D=49/når:2020-03-26", "Vegkart")</f>
        <v>Vegkart</v>
      </c>
      <c r="B3192">
        <v>1007488766</v>
      </c>
      <c r="C3192">
        <v>49</v>
      </c>
      <c r="D3192" t="s">
        <v>8701</v>
      </c>
      <c r="E3192">
        <v>8917</v>
      </c>
      <c r="F3192" t="s">
        <v>23479</v>
      </c>
      <c r="G3192">
        <v>1</v>
      </c>
      <c r="H3192" t="s">
        <v>10584</v>
      </c>
      <c r="J3192" t="s">
        <v>10526</v>
      </c>
      <c r="K3192" t="s">
        <v>335</v>
      </c>
      <c r="L3192" t="s">
        <v>22</v>
      </c>
      <c r="M3192" t="s">
        <v>10655</v>
      </c>
      <c r="N3192" t="s">
        <v>10656</v>
      </c>
      <c r="O3192" t="s">
        <v>10657</v>
      </c>
      <c r="P3192" s="2" t="s">
        <v>37</v>
      </c>
      <c r="Q3192" t="s">
        <v>1208</v>
      </c>
      <c r="R3192">
        <v>0.72</v>
      </c>
      <c r="S3192">
        <v>22.78</v>
      </c>
      <c r="T3192" t="s">
        <v>10658</v>
      </c>
    </row>
    <row r="3193" spans="1:20" x14ac:dyDescent="0.25">
      <c r="A3193" s="1" t="str">
        <f>HYPERLINK("https://vegkart.atlas.vegvesen.no/#/@262627.8,6652477.7,18/hva:hva%5B0%5D%5Bfilter%5D%5B0%5D%5Boperator%5D=%21%3D&amp;hva%5B0%5D%5Bfilter%5D%5B0%5D%5Btype_id%5D=8917&amp;hva%5B0%5D%5Bfilter%5D%5B0%5D%5Bverdi%5D=&amp;hva%5B0%5D%5Bid%5D=49/når:2020-03-26", "Vegkart")</f>
        <v>Vegkart</v>
      </c>
      <c r="B3193">
        <v>1007488772</v>
      </c>
      <c r="C3193">
        <v>49</v>
      </c>
      <c r="D3193" t="s">
        <v>8701</v>
      </c>
      <c r="E3193">
        <v>8917</v>
      </c>
      <c r="F3193" t="s">
        <v>23479</v>
      </c>
      <c r="G3193">
        <v>1</v>
      </c>
      <c r="H3193" t="s">
        <v>10584</v>
      </c>
      <c r="J3193" t="s">
        <v>10526</v>
      </c>
      <c r="K3193" t="s">
        <v>335</v>
      </c>
      <c r="L3193" t="s">
        <v>22</v>
      </c>
      <c r="M3193" t="s">
        <v>10659</v>
      </c>
      <c r="N3193" t="s">
        <v>10660</v>
      </c>
      <c r="O3193" t="s">
        <v>10661</v>
      </c>
      <c r="P3193" s="2" t="s">
        <v>37</v>
      </c>
      <c r="Q3193" t="s">
        <v>1208</v>
      </c>
      <c r="R3193">
        <v>1.01</v>
      </c>
      <c r="S3193">
        <v>63.8</v>
      </c>
      <c r="T3193" t="s">
        <v>10662</v>
      </c>
    </row>
    <row r="3194" spans="1:20" x14ac:dyDescent="0.25">
      <c r="A3194" s="1" t="str">
        <f>HYPERLINK("https://vegkart.atlas.vegvesen.no/#/@262554.5,6652789.9,18/hva:hva%5B0%5D%5Bfilter%5D%5B0%5D%5Boperator%5D=%21%3D&amp;hva%5B0%5D%5Bfilter%5D%5B0%5D%5Btype_id%5D=8917&amp;hva%5B0%5D%5Bfilter%5D%5B0%5D%5Bverdi%5D=&amp;hva%5B0%5D%5Bid%5D=49/når:2023-12-15", "Vegkart")</f>
        <v>Vegkart</v>
      </c>
      <c r="B3194">
        <v>1007488855</v>
      </c>
      <c r="C3194">
        <v>49</v>
      </c>
      <c r="D3194" t="s">
        <v>8701</v>
      </c>
      <c r="E3194">
        <v>8917</v>
      </c>
      <c r="F3194" t="s">
        <v>23479</v>
      </c>
      <c r="G3194">
        <v>2</v>
      </c>
      <c r="H3194" t="s">
        <v>10663</v>
      </c>
      <c r="J3194" t="s">
        <v>10526</v>
      </c>
      <c r="K3194" t="s">
        <v>335</v>
      </c>
      <c r="L3194" t="s">
        <v>22</v>
      </c>
      <c r="M3194" t="s">
        <v>10664</v>
      </c>
      <c r="N3194" t="s">
        <v>10665</v>
      </c>
      <c r="O3194" t="s">
        <v>10666</v>
      </c>
      <c r="P3194" s="2" t="s">
        <v>37</v>
      </c>
      <c r="Q3194" t="s">
        <v>1208</v>
      </c>
      <c r="R3194">
        <v>0.64</v>
      </c>
      <c r="S3194">
        <v>21.67</v>
      </c>
      <c r="T3194" t="s">
        <v>10667</v>
      </c>
    </row>
    <row r="3195" spans="1:20" x14ac:dyDescent="0.25">
      <c r="A3195" s="1" t="str">
        <f>HYPERLINK("https://vegkart.atlas.vegvesen.no/#/@262568.6,6652844.0,18/hva:hva%5B0%5D%5Bfilter%5D%5B0%5D%5Boperator%5D=%21%3D&amp;hva%5B0%5D%5Bfilter%5D%5B0%5D%5Btype_id%5D=8917&amp;hva%5B0%5D%5Bfilter%5D%5B0%5D%5Bverdi%5D=&amp;hva%5B0%5D%5Bid%5D=49/når:2023-12-15", "Vegkart")</f>
        <v>Vegkart</v>
      </c>
      <c r="B3195">
        <v>1007489052</v>
      </c>
      <c r="C3195">
        <v>49</v>
      </c>
      <c r="D3195" t="s">
        <v>8701</v>
      </c>
      <c r="E3195">
        <v>8917</v>
      </c>
      <c r="F3195" t="s">
        <v>23479</v>
      </c>
      <c r="G3195">
        <v>2</v>
      </c>
      <c r="H3195" t="s">
        <v>10663</v>
      </c>
      <c r="J3195" t="s">
        <v>10526</v>
      </c>
      <c r="K3195" t="s">
        <v>335</v>
      </c>
      <c r="L3195" t="s">
        <v>22</v>
      </c>
      <c r="M3195" t="s">
        <v>10664</v>
      </c>
      <c r="N3195" t="s">
        <v>10668</v>
      </c>
      <c r="O3195" t="s">
        <v>10669</v>
      </c>
      <c r="P3195" s="2" t="s">
        <v>37</v>
      </c>
      <c r="Q3195" t="s">
        <v>1208</v>
      </c>
      <c r="R3195">
        <v>0.54</v>
      </c>
      <c r="S3195">
        <v>16.18</v>
      </c>
      <c r="T3195" t="s">
        <v>10670</v>
      </c>
    </row>
    <row r="3196" spans="1:20" x14ac:dyDescent="0.25">
      <c r="A3196" s="1" t="str">
        <f>HYPERLINK("https://vegkart.atlas.vegvesen.no/#/@262742.2,6653504.8,18/hva:hva%5B0%5D%5Bfilter%5D%5B0%5D%5Boperator%5D=%21%3D&amp;hva%5B0%5D%5Bfilter%5D%5B0%5D%5Btype_id%5D=8917&amp;hva%5B0%5D%5Bfilter%5D%5B0%5D%5Bverdi%5D=&amp;hva%5B0%5D%5Bid%5D=49/når:2023-12-15", "Vegkart")</f>
        <v>Vegkart</v>
      </c>
      <c r="B3196">
        <v>1007489156</v>
      </c>
      <c r="C3196">
        <v>49</v>
      </c>
      <c r="D3196" t="s">
        <v>8701</v>
      </c>
      <c r="E3196">
        <v>8917</v>
      </c>
      <c r="F3196" t="s">
        <v>23479</v>
      </c>
      <c r="G3196">
        <v>2</v>
      </c>
      <c r="H3196" t="s">
        <v>10663</v>
      </c>
      <c r="J3196" t="s">
        <v>10526</v>
      </c>
      <c r="K3196" t="s">
        <v>335</v>
      </c>
      <c r="L3196" t="s">
        <v>22</v>
      </c>
      <c r="M3196" t="s">
        <v>10671</v>
      </c>
      <c r="N3196" t="s">
        <v>10672</v>
      </c>
      <c r="O3196" t="s">
        <v>10673</v>
      </c>
      <c r="P3196" s="2" t="s">
        <v>37</v>
      </c>
      <c r="Q3196" t="s">
        <v>1208</v>
      </c>
      <c r="R3196">
        <v>0.38</v>
      </c>
      <c r="S3196">
        <v>52.45</v>
      </c>
      <c r="T3196" t="s">
        <v>10674</v>
      </c>
    </row>
    <row r="3197" spans="1:20" x14ac:dyDescent="0.25">
      <c r="A3197" s="1" t="str">
        <f>HYPERLINK("https://vegkart.atlas.vegvesen.no/#/@262765.0,6653580.2,18/hva:hva%5B0%5D%5Bfilter%5D%5B0%5D%5Boperator%5D=%21%3D&amp;hva%5B0%5D%5Bfilter%5D%5B0%5D%5Btype_id%5D=8917&amp;hva%5B0%5D%5Bfilter%5D%5B0%5D%5Bverdi%5D=&amp;hva%5B0%5D%5Bid%5D=49/når:2023-12-15", "Vegkart")</f>
        <v>Vegkart</v>
      </c>
      <c r="B3197">
        <v>1007489185</v>
      </c>
      <c r="C3197">
        <v>49</v>
      </c>
      <c r="D3197" t="s">
        <v>8701</v>
      </c>
      <c r="E3197">
        <v>8917</v>
      </c>
      <c r="F3197" t="s">
        <v>23479</v>
      </c>
      <c r="G3197">
        <v>2</v>
      </c>
      <c r="H3197" t="s">
        <v>10663</v>
      </c>
      <c r="J3197" t="s">
        <v>10526</v>
      </c>
      <c r="K3197" t="s">
        <v>335</v>
      </c>
      <c r="L3197" t="s">
        <v>22</v>
      </c>
      <c r="M3197" t="s">
        <v>10671</v>
      </c>
      <c r="N3197" t="s">
        <v>10675</v>
      </c>
      <c r="O3197" t="s">
        <v>10676</v>
      </c>
      <c r="P3197" s="2" t="s">
        <v>37</v>
      </c>
      <c r="Q3197" t="s">
        <v>1208</v>
      </c>
      <c r="R3197">
        <v>0.76</v>
      </c>
      <c r="S3197">
        <v>21.15</v>
      </c>
      <c r="T3197" t="s">
        <v>10677</v>
      </c>
    </row>
    <row r="3198" spans="1:20" x14ac:dyDescent="0.25">
      <c r="A3198" s="1" t="str">
        <f>HYPERLINK("https://vegkart.atlas.vegvesen.no/#/@262742.2,6653722.2,18/hva:hva%5B0%5D%5Bfilter%5D%5B0%5D%5Boperator%5D=%21%3D&amp;hva%5B0%5D%5Bfilter%5D%5B0%5D%5Btype_id%5D=8917&amp;hva%5B0%5D%5Bfilter%5D%5B0%5D%5Bverdi%5D=&amp;hva%5B0%5D%5Bid%5D=49/når:2023-12-15", "Vegkart")</f>
        <v>Vegkart</v>
      </c>
      <c r="B3198">
        <v>1007489245</v>
      </c>
      <c r="C3198">
        <v>49</v>
      </c>
      <c r="D3198" t="s">
        <v>8701</v>
      </c>
      <c r="E3198">
        <v>8917</v>
      </c>
      <c r="F3198" t="s">
        <v>23479</v>
      </c>
      <c r="G3198">
        <v>2</v>
      </c>
      <c r="H3198" t="s">
        <v>10663</v>
      </c>
      <c r="J3198" t="s">
        <v>10526</v>
      </c>
      <c r="K3198" t="s">
        <v>335</v>
      </c>
      <c r="L3198" t="s">
        <v>22</v>
      </c>
      <c r="M3198" t="s">
        <v>10671</v>
      </c>
      <c r="N3198" t="s">
        <v>10678</v>
      </c>
      <c r="O3198" t="s">
        <v>10679</v>
      </c>
      <c r="P3198" s="2" t="s">
        <v>165</v>
      </c>
      <c r="Q3198" t="s">
        <v>641</v>
      </c>
      <c r="R3198">
        <v>0.11</v>
      </c>
      <c r="S3198">
        <v>38.770000000000003</v>
      </c>
      <c r="T3198" t="s">
        <v>167</v>
      </c>
    </row>
    <row r="3199" spans="1:20" x14ac:dyDescent="0.25">
      <c r="A3199" s="1" t="str">
        <f>HYPERLINK("https://vegkart.atlas.vegvesen.no/#/@262704.5,6649857.5,18/hva:hva%5B0%5D%5Bfilter%5D%5B0%5D%5Boperator%5D=%21%3D&amp;hva%5B0%5D%5Bfilter%5D%5B0%5D%5Btype_id%5D=8917&amp;hva%5B0%5D%5Bfilter%5D%5B0%5D%5Bverdi%5D=&amp;hva%5B0%5D%5Bid%5D=49/når:2020-03-27", "Vegkart")</f>
        <v>Vegkart</v>
      </c>
      <c r="B3199">
        <v>1007492599</v>
      </c>
      <c r="C3199">
        <v>49</v>
      </c>
      <c r="D3199" t="s">
        <v>8701</v>
      </c>
      <c r="E3199">
        <v>8917</v>
      </c>
      <c r="F3199" t="s">
        <v>23479</v>
      </c>
      <c r="G3199">
        <v>1</v>
      </c>
      <c r="H3199" t="s">
        <v>1567</v>
      </c>
      <c r="J3199" t="s">
        <v>10526</v>
      </c>
      <c r="K3199" t="s">
        <v>335</v>
      </c>
      <c r="L3199" t="s">
        <v>22</v>
      </c>
      <c r="M3199" t="s">
        <v>10680</v>
      </c>
      <c r="N3199" t="s">
        <v>10681</v>
      </c>
      <c r="O3199" t="s">
        <v>10682</v>
      </c>
      <c r="P3199" s="2" t="s">
        <v>37</v>
      </c>
      <c r="Q3199" t="s">
        <v>1208</v>
      </c>
      <c r="R3199">
        <v>0.14000000000000001</v>
      </c>
      <c r="S3199">
        <v>21.07</v>
      </c>
      <c r="T3199" t="s">
        <v>10683</v>
      </c>
    </row>
    <row r="3200" spans="1:20" x14ac:dyDescent="0.25">
      <c r="A3200" s="1" t="str">
        <f>HYPERLINK("https://vegkart.atlas.vegvesen.no/#/@263753.0,6655354.8,18/hva:hva%5B0%5D%5Bfilter%5D%5B0%5D%5Boperator%5D=%21%3D&amp;hva%5B0%5D%5Bfilter%5D%5B0%5D%5Btype_id%5D=8917&amp;hva%5B0%5D%5Bfilter%5D%5B0%5D%5Bverdi%5D=&amp;hva%5B0%5D%5Bid%5D=49/når:2020-03-27", "Vegkart")</f>
        <v>Vegkart</v>
      </c>
      <c r="B3200">
        <v>1007495108</v>
      </c>
      <c r="C3200">
        <v>49</v>
      </c>
      <c r="D3200" t="s">
        <v>8701</v>
      </c>
      <c r="E3200">
        <v>8917</v>
      </c>
      <c r="F3200" t="s">
        <v>23479</v>
      </c>
      <c r="G3200">
        <v>1</v>
      </c>
      <c r="H3200" t="s">
        <v>1567</v>
      </c>
      <c r="J3200" t="s">
        <v>10526</v>
      </c>
      <c r="K3200" t="s">
        <v>335</v>
      </c>
      <c r="L3200" t="s">
        <v>22</v>
      </c>
      <c r="M3200" t="s">
        <v>10684</v>
      </c>
      <c r="N3200" t="s">
        <v>10685</v>
      </c>
      <c r="O3200" t="s">
        <v>10686</v>
      </c>
      <c r="P3200" s="2" t="s">
        <v>37</v>
      </c>
      <c r="Q3200" t="s">
        <v>1208</v>
      </c>
      <c r="R3200">
        <v>0.48</v>
      </c>
      <c r="S3200">
        <v>20.83</v>
      </c>
      <c r="T3200" t="s">
        <v>10687</v>
      </c>
    </row>
    <row r="3201" spans="1:20" x14ac:dyDescent="0.25">
      <c r="A3201" s="1" t="str">
        <f>HYPERLINK("https://vegkart.atlas.vegvesen.no/#/@262563.6,6650046.9,18/hva:hva%5B0%5D%5Bfilter%5D%5B0%5D%5Boperator%5D=%21%3D&amp;hva%5B0%5D%5Bfilter%5D%5B0%5D%5Btype_id%5D=8917&amp;hva%5B0%5D%5Bfilter%5D%5B0%5D%5Bverdi%5D=&amp;hva%5B0%5D%5Bid%5D=49/når:2020-03-27", "Vegkart")</f>
        <v>Vegkart</v>
      </c>
      <c r="B3201">
        <v>1007495477</v>
      </c>
      <c r="C3201">
        <v>49</v>
      </c>
      <c r="D3201" t="s">
        <v>8701</v>
      </c>
      <c r="E3201">
        <v>8917</v>
      </c>
      <c r="F3201" t="s">
        <v>23479</v>
      </c>
      <c r="G3201">
        <v>1</v>
      </c>
      <c r="H3201" t="s">
        <v>1567</v>
      </c>
      <c r="J3201" t="s">
        <v>10526</v>
      </c>
      <c r="K3201" t="s">
        <v>335</v>
      </c>
      <c r="L3201" t="s">
        <v>22</v>
      </c>
      <c r="M3201" t="s">
        <v>10680</v>
      </c>
      <c r="N3201" t="s">
        <v>10688</v>
      </c>
      <c r="O3201" t="s">
        <v>10689</v>
      </c>
      <c r="P3201" s="2" t="s">
        <v>37</v>
      </c>
      <c r="Q3201" t="s">
        <v>1208</v>
      </c>
      <c r="R3201">
        <v>0.73</v>
      </c>
      <c r="S3201">
        <v>34.47</v>
      </c>
      <c r="T3201" t="s">
        <v>10690</v>
      </c>
    </row>
    <row r="3202" spans="1:20" x14ac:dyDescent="0.25">
      <c r="A3202" s="1" t="str">
        <f>HYPERLINK("https://vegkart.atlas.vegvesen.no/#/@262562.7,6650241.0,18/hva:hva%5B0%5D%5Bfilter%5D%5B0%5D%5Boperator%5D=%21%3D&amp;hva%5B0%5D%5Bfilter%5D%5B0%5D%5Btype_id%5D=8917&amp;hva%5B0%5D%5Bfilter%5D%5B0%5D%5Bverdi%5D=&amp;hva%5B0%5D%5Bid%5D=49/når:2020-03-27", "Vegkart")</f>
        <v>Vegkart</v>
      </c>
      <c r="B3202">
        <v>1007495676</v>
      </c>
      <c r="C3202">
        <v>49</v>
      </c>
      <c r="D3202" t="s">
        <v>8701</v>
      </c>
      <c r="E3202">
        <v>8917</v>
      </c>
      <c r="F3202" t="s">
        <v>23479</v>
      </c>
      <c r="G3202">
        <v>1</v>
      </c>
      <c r="H3202" t="s">
        <v>1567</v>
      </c>
      <c r="J3202" t="s">
        <v>10526</v>
      </c>
      <c r="K3202" t="s">
        <v>335</v>
      </c>
      <c r="L3202" t="s">
        <v>22</v>
      </c>
      <c r="M3202" t="s">
        <v>10638</v>
      </c>
      <c r="N3202" t="s">
        <v>10691</v>
      </c>
      <c r="O3202" t="s">
        <v>10692</v>
      </c>
      <c r="P3202" s="2" t="s">
        <v>37</v>
      </c>
      <c r="Q3202" t="s">
        <v>1208</v>
      </c>
      <c r="R3202">
        <v>0.61</v>
      </c>
      <c r="S3202">
        <v>28.5</v>
      </c>
      <c r="T3202" t="s">
        <v>10693</v>
      </c>
    </row>
    <row r="3203" spans="1:20" x14ac:dyDescent="0.25">
      <c r="A3203" s="1" t="str">
        <f>HYPERLINK("https://vegkart.atlas.vegvesen.no/#/@262553.7,6650259.0,18/hva:hva%5B0%5D%5Bfilter%5D%5B0%5D%5Boperator%5D=%21%3D&amp;hva%5B0%5D%5Bfilter%5D%5B0%5D%5Btype_id%5D=8917&amp;hva%5B0%5D%5Bfilter%5D%5B0%5D%5Bverdi%5D=&amp;hva%5B0%5D%5Bid%5D=49/når:2020-03-27", "Vegkart")</f>
        <v>Vegkart</v>
      </c>
      <c r="B3203">
        <v>1007495727</v>
      </c>
      <c r="C3203">
        <v>49</v>
      </c>
      <c r="D3203" t="s">
        <v>8701</v>
      </c>
      <c r="E3203">
        <v>8917</v>
      </c>
      <c r="F3203" t="s">
        <v>23479</v>
      </c>
      <c r="G3203">
        <v>1</v>
      </c>
      <c r="H3203" t="s">
        <v>1567</v>
      </c>
      <c r="J3203" t="s">
        <v>10526</v>
      </c>
      <c r="K3203" t="s">
        <v>335</v>
      </c>
      <c r="L3203" t="s">
        <v>22</v>
      </c>
      <c r="M3203" t="s">
        <v>10638</v>
      </c>
      <c r="N3203" t="s">
        <v>10694</v>
      </c>
      <c r="O3203" t="s">
        <v>10695</v>
      </c>
      <c r="P3203" s="2" t="s">
        <v>37</v>
      </c>
      <c r="Q3203" t="s">
        <v>1208</v>
      </c>
      <c r="R3203">
        <v>0.64</v>
      </c>
      <c r="S3203">
        <v>36.32</v>
      </c>
      <c r="T3203" t="s">
        <v>10696</v>
      </c>
    </row>
    <row r="3204" spans="1:20" x14ac:dyDescent="0.25">
      <c r="A3204" s="1" t="str">
        <f>HYPERLINK("https://vegkart.atlas.vegvesen.no/#/@262547.9,6650277.6,18/hva:hva%5B0%5D%5Bfilter%5D%5B0%5D%5Boperator%5D=%21%3D&amp;hva%5B0%5D%5Bfilter%5D%5B0%5D%5Btype_id%5D=8917&amp;hva%5B0%5D%5Bfilter%5D%5B0%5D%5Bverdi%5D=&amp;hva%5B0%5D%5Bid%5D=49/når:2020-03-27", "Vegkart")</f>
        <v>Vegkart</v>
      </c>
      <c r="B3204">
        <v>1007496359</v>
      </c>
      <c r="C3204">
        <v>49</v>
      </c>
      <c r="D3204" t="s">
        <v>8701</v>
      </c>
      <c r="E3204">
        <v>8917</v>
      </c>
      <c r="F3204" t="s">
        <v>23479</v>
      </c>
      <c r="G3204">
        <v>1</v>
      </c>
      <c r="H3204" t="s">
        <v>1567</v>
      </c>
      <c r="J3204" t="s">
        <v>10526</v>
      </c>
      <c r="K3204" t="s">
        <v>335</v>
      </c>
      <c r="L3204" t="s">
        <v>22</v>
      </c>
      <c r="M3204" t="s">
        <v>10638</v>
      </c>
      <c r="N3204" t="s">
        <v>10697</v>
      </c>
      <c r="O3204" t="s">
        <v>10698</v>
      </c>
      <c r="P3204" s="2" t="s">
        <v>37</v>
      </c>
      <c r="Q3204" t="s">
        <v>1208</v>
      </c>
      <c r="R3204">
        <v>0.79</v>
      </c>
      <c r="S3204">
        <v>23.41</v>
      </c>
      <c r="T3204" t="s">
        <v>10699</v>
      </c>
    </row>
    <row r="3205" spans="1:20" x14ac:dyDescent="0.25">
      <c r="A3205" s="1" t="str">
        <f>HYPERLINK("https://vegkart.atlas.vegvesen.no/#/@262552.4,6650560.9,18/hva:hva%5B0%5D%5Bfilter%5D%5B0%5D%5Boperator%5D=%21%3D&amp;hva%5B0%5D%5Bfilter%5D%5B0%5D%5Btype_id%5D=8917&amp;hva%5B0%5D%5Bfilter%5D%5B0%5D%5Bverdi%5D=&amp;hva%5B0%5D%5Bid%5D=49/når:2020-03-27", "Vegkart")</f>
        <v>Vegkart</v>
      </c>
      <c r="B3205">
        <v>1007496857</v>
      </c>
      <c r="C3205">
        <v>49</v>
      </c>
      <c r="D3205" t="s">
        <v>8701</v>
      </c>
      <c r="E3205">
        <v>8917</v>
      </c>
      <c r="F3205" t="s">
        <v>23479</v>
      </c>
      <c r="G3205">
        <v>1</v>
      </c>
      <c r="H3205" t="s">
        <v>1567</v>
      </c>
      <c r="J3205" t="s">
        <v>10526</v>
      </c>
      <c r="K3205" t="s">
        <v>335</v>
      </c>
      <c r="L3205" t="s">
        <v>22</v>
      </c>
      <c r="M3205" t="s">
        <v>10638</v>
      </c>
      <c r="N3205" t="s">
        <v>10700</v>
      </c>
      <c r="O3205" t="s">
        <v>10701</v>
      </c>
      <c r="P3205" s="2" t="s">
        <v>37</v>
      </c>
      <c r="Q3205" t="s">
        <v>1208</v>
      </c>
      <c r="R3205">
        <v>1</v>
      </c>
      <c r="S3205">
        <v>35.5</v>
      </c>
      <c r="T3205" t="s">
        <v>10702</v>
      </c>
    </row>
    <row r="3206" spans="1:20" x14ac:dyDescent="0.25">
      <c r="A3206" s="1" t="str">
        <f>HYPERLINK("https://vegkart.atlas.vegvesen.no/#/@262525.8,6651012.0,18/hva:hva%5B0%5D%5Bfilter%5D%5B0%5D%5Boperator%5D=%21%3D&amp;hva%5B0%5D%5Bfilter%5D%5B0%5D%5Btype_id%5D=8917&amp;hva%5B0%5D%5Bfilter%5D%5B0%5D%5Bverdi%5D=&amp;hva%5B0%5D%5Bid%5D=49/når:2020-03-27", "Vegkart")</f>
        <v>Vegkart</v>
      </c>
      <c r="B3206">
        <v>1007497709</v>
      </c>
      <c r="C3206">
        <v>49</v>
      </c>
      <c r="D3206" t="s">
        <v>8701</v>
      </c>
      <c r="E3206">
        <v>8917</v>
      </c>
      <c r="F3206" t="s">
        <v>23479</v>
      </c>
      <c r="G3206">
        <v>1</v>
      </c>
      <c r="H3206" t="s">
        <v>1567</v>
      </c>
      <c r="J3206" t="s">
        <v>10526</v>
      </c>
      <c r="K3206" t="s">
        <v>335</v>
      </c>
      <c r="L3206" t="s">
        <v>22</v>
      </c>
      <c r="M3206" t="s">
        <v>10659</v>
      </c>
      <c r="N3206" t="s">
        <v>10703</v>
      </c>
      <c r="O3206" t="s">
        <v>10704</v>
      </c>
      <c r="P3206" s="2" t="s">
        <v>37</v>
      </c>
      <c r="Q3206" t="s">
        <v>1208</v>
      </c>
      <c r="R3206">
        <v>0.92</v>
      </c>
      <c r="S3206">
        <v>25.79</v>
      </c>
      <c r="T3206" t="s">
        <v>10705</v>
      </c>
    </row>
    <row r="3207" spans="1:20" x14ac:dyDescent="0.25">
      <c r="A3207" s="1" t="str">
        <f>HYPERLINK("https://vegkart.atlas.vegvesen.no/#/@262525.5,6651032.5,18/hva:hva%5B0%5D%5Bfilter%5D%5B0%5D%5Boperator%5D=%21%3D&amp;hva%5B0%5D%5Bfilter%5D%5B0%5D%5Btype_id%5D=8917&amp;hva%5B0%5D%5Bfilter%5D%5B0%5D%5Bverdi%5D=&amp;hva%5B0%5D%5Bid%5D=49/når:2020-03-27", "Vegkart")</f>
        <v>Vegkart</v>
      </c>
      <c r="B3207">
        <v>1007500811</v>
      </c>
      <c r="C3207">
        <v>49</v>
      </c>
      <c r="D3207" t="s">
        <v>8701</v>
      </c>
      <c r="E3207">
        <v>8917</v>
      </c>
      <c r="F3207" t="s">
        <v>23479</v>
      </c>
      <c r="G3207">
        <v>1</v>
      </c>
      <c r="H3207" t="s">
        <v>1567</v>
      </c>
      <c r="J3207" t="s">
        <v>10526</v>
      </c>
      <c r="K3207" t="s">
        <v>335</v>
      </c>
      <c r="L3207" t="s">
        <v>22</v>
      </c>
      <c r="M3207" t="s">
        <v>10659</v>
      </c>
      <c r="N3207" t="s">
        <v>10706</v>
      </c>
      <c r="O3207" t="s">
        <v>10707</v>
      </c>
      <c r="P3207" s="2" t="s">
        <v>37</v>
      </c>
      <c r="Q3207" t="s">
        <v>1208</v>
      </c>
      <c r="R3207">
        <v>0.57999999999999996</v>
      </c>
      <c r="S3207">
        <v>50.53</v>
      </c>
      <c r="T3207" t="s">
        <v>10708</v>
      </c>
    </row>
    <row r="3208" spans="1:20" x14ac:dyDescent="0.25">
      <c r="A3208" s="1" t="str">
        <f>HYPERLINK("https://vegkart.atlas.vegvesen.no/#/@262603.5,6652071.7,18/hva:hva%5B0%5D%5Bfilter%5D%5B0%5D%5Boperator%5D=%21%3D&amp;hva%5B0%5D%5Bfilter%5D%5B0%5D%5Btype_id%5D=8917&amp;hva%5B0%5D%5Bfilter%5D%5B0%5D%5Bverdi%5D=&amp;hva%5B0%5D%5Bid%5D=49/når:2020-03-28", "Vegkart")</f>
        <v>Vegkart</v>
      </c>
      <c r="B3208">
        <v>1007506394</v>
      </c>
      <c r="C3208">
        <v>49</v>
      </c>
      <c r="D3208" t="s">
        <v>8701</v>
      </c>
      <c r="E3208">
        <v>8917</v>
      </c>
      <c r="F3208" t="s">
        <v>23479</v>
      </c>
      <c r="G3208">
        <v>1</v>
      </c>
      <c r="H3208" t="s">
        <v>10709</v>
      </c>
      <c r="J3208" t="s">
        <v>10526</v>
      </c>
      <c r="K3208" t="s">
        <v>335</v>
      </c>
      <c r="L3208" t="s">
        <v>22</v>
      </c>
      <c r="M3208" t="s">
        <v>10659</v>
      </c>
      <c r="N3208" t="s">
        <v>10710</v>
      </c>
      <c r="O3208" t="s">
        <v>10711</v>
      </c>
      <c r="P3208" s="2" t="s">
        <v>37</v>
      </c>
      <c r="Q3208" t="s">
        <v>1208</v>
      </c>
      <c r="R3208">
        <v>0.5</v>
      </c>
      <c r="S3208">
        <v>39.29</v>
      </c>
      <c r="T3208" t="s">
        <v>10712</v>
      </c>
    </row>
    <row r="3209" spans="1:20" x14ac:dyDescent="0.25">
      <c r="A3209" s="1" t="str">
        <f>HYPERLINK("https://vegkart.atlas.vegvesen.no/#/@262634.3,6652450.0,18/hva:hva%5B0%5D%5Bfilter%5D%5B0%5D%5Boperator%5D=%21%3D&amp;hva%5B0%5D%5Bfilter%5D%5B0%5D%5Btype_id%5D=8917&amp;hva%5B0%5D%5Bfilter%5D%5B0%5D%5Bverdi%5D=&amp;hva%5B0%5D%5Bid%5D=49/når:2020-03-28", "Vegkart")</f>
        <v>Vegkart</v>
      </c>
      <c r="B3209">
        <v>1007506473</v>
      </c>
      <c r="C3209">
        <v>49</v>
      </c>
      <c r="D3209" t="s">
        <v>8701</v>
      </c>
      <c r="E3209">
        <v>8917</v>
      </c>
      <c r="F3209" t="s">
        <v>23479</v>
      </c>
      <c r="G3209">
        <v>1</v>
      </c>
      <c r="H3209" t="s">
        <v>10709</v>
      </c>
      <c r="J3209" t="s">
        <v>10526</v>
      </c>
      <c r="K3209" t="s">
        <v>335</v>
      </c>
      <c r="L3209" t="s">
        <v>22</v>
      </c>
      <c r="M3209" t="s">
        <v>10659</v>
      </c>
      <c r="N3209" t="s">
        <v>10713</v>
      </c>
      <c r="O3209" t="s">
        <v>10714</v>
      </c>
      <c r="P3209" s="2" t="s">
        <v>37</v>
      </c>
      <c r="Q3209" t="s">
        <v>1208</v>
      </c>
      <c r="R3209">
        <v>0.31</v>
      </c>
      <c r="S3209">
        <v>37.840000000000003</v>
      </c>
      <c r="T3209" t="s">
        <v>10715</v>
      </c>
    </row>
    <row r="3210" spans="1:20" x14ac:dyDescent="0.25">
      <c r="A3210" s="1" t="str">
        <f>HYPERLINK("https://vegkart.atlas.vegvesen.no/#/@261609.0,6650118.8,18/hva:hva%5B0%5D%5Bfilter%5D%5B0%5D%5Boperator%5D=%21%3D&amp;hva%5B0%5D%5Bfilter%5D%5B0%5D%5Btype_id%5D=8917&amp;hva%5B0%5D%5Bfilter%5D%5B0%5D%5Bverdi%5D=&amp;hva%5B0%5D%5Bid%5D=49/når:2020-03-29", "Vegkart")</f>
        <v>Vegkart</v>
      </c>
      <c r="B3210">
        <v>1007507049</v>
      </c>
      <c r="C3210">
        <v>49</v>
      </c>
      <c r="D3210" t="s">
        <v>8701</v>
      </c>
      <c r="E3210">
        <v>8917</v>
      </c>
      <c r="F3210" t="s">
        <v>23479</v>
      </c>
      <c r="G3210">
        <v>1</v>
      </c>
      <c r="H3210" t="s">
        <v>10716</v>
      </c>
      <c r="J3210" t="s">
        <v>10526</v>
      </c>
      <c r="K3210" t="s">
        <v>335</v>
      </c>
      <c r="L3210" t="s">
        <v>22</v>
      </c>
      <c r="M3210" t="s">
        <v>10717</v>
      </c>
      <c r="N3210" t="s">
        <v>10718</v>
      </c>
      <c r="O3210" t="s">
        <v>10719</v>
      </c>
      <c r="P3210" s="2" t="s">
        <v>37</v>
      </c>
      <c r="Q3210" t="s">
        <v>1208</v>
      </c>
      <c r="R3210">
        <v>0.64</v>
      </c>
      <c r="S3210">
        <v>59.18</v>
      </c>
      <c r="T3210" t="s">
        <v>10720</v>
      </c>
    </row>
    <row r="3211" spans="1:20" x14ac:dyDescent="0.25">
      <c r="A3211" s="1" t="str">
        <f>HYPERLINK("https://vegkart.atlas.vegvesen.no/#/@266522.0,6649093.4,18/hva:hva%5B0%5D%5Bfilter%5D%5B0%5D%5Boperator%5D=%21%3D&amp;hva%5B0%5D%5Bfilter%5D%5B0%5D%5Btype_id%5D=8917&amp;hva%5B0%5D%5Bfilter%5D%5B0%5D%5Bverdi%5D=&amp;hva%5B0%5D%5Bid%5D=49/når:2024-10-10", "Vegkart")</f>
        <v>Vegkart</v>
      </c>
      <c r="B3211">
        <v>1007507158</v>
      </c>
      <c r="C3211">
        <v>49</v>
      </c>
      <c r="D3211" t="s">
        <v>8701</v>
      </c>
      <c r="E3211">
        <v>8917</v>
      </c>
      <c r="F3211" t="s">
        <v>23479</v>
      </c>
      <c r="G3211">
        <v>2</v>
      </c>
      <c r="H3211" t="s">
        <v>2279</v>
      </c>
      <c r="J3211" t="s">
        <v>10526</v>
      </c>
      <c r="K3211" t="s">
        <v>335</v>
      </c>
      <c r="L3211" t="s">
        <v>22</v>
      </c>
      <c r="M3211" t="s">
        <v>2280</v>
      </c>
      <c r="N3211" t="s">
        <v>10721</v>
      </c>
      <c r="O3211" t="s">
        <v>10722</v>
      </c>
      <c r="P3211" s="2" t="s">
        <v>37</v>
      </c>
      <c r="Q3211" t="s">
        <v>1208</v>
      </c>
      <c r="R3211">
        <v>0.84</v>
      </c>
      <c r="S3211">
        <v>63.71</v>
      </c>
      <c r="T3211" t="s">
        <v>10723</v>
      </c>
    </row>
    <row r="3212" spans="1:20" x14ac:dyDescent="0.25">
      <c r="A3212" s="1" t="str">
        <f>HYPERLINK("https://vegkart.atlas.vegvesen.no/#/@266111.7,6648954.9,18/hva:hva%5B0%5D%5Bfilter%5D%5B0%5D%5Boperator%5D=%21%3D&amp;hva%5B0%5D%5Bfilter%5D%5B0%5D%5Btype_id%5D=8917&amp;hva%5B0%5D%5Bfilter%5D%5B0%5D%5Bverdi%5D=&amp;hva%5B0%5D%5Bid%5D=49/når:2020-03-30", "Vegkart")</f>
        <v>Vegkart</v>
      </c>
      <c r="B3212">
        <v>1007507331</v>
      </c>
      <c r="C3212">
        <v>49</v>
      </c>
      <c r="D3212" t="s">
        <v>8701</v>
      </c>
      <c r="E3212">
        <v>8917</v>
      </c>
      <c r="F3212" t="s">
        <v>23479</v>
      </c>
      <c r="G3212">
        <v>1</v>
      </c>
      <c r="H3212" t="s">
        <v>10724</v>
      </c>
      <c r="J3212" t="s">
        <v>10526</v>
      </c>
      <c r="K3212" t="s">
        <v>335</v>
      </c>
      <c r="L3212" t="s">
        <v>22</v>
      </c>
      <c r="M3212" t="s">
        <v>10725</v>
      </c>
      <c r="N3212" t="s">
        <v>10726</v>
      </c>
      <c r="O3212" t="s">
        <v>10727</v>
      </c>
      <c r="P3212" s="2" t="s">
        <v>37</v>
      </c>
      <c r="Q3212" t="s">
        <v>1208</v>
      </c>
      <c r="R3212">
        <v>0.85</v>
      </c>
      <c r="S3212">
        <v>16.68</v>
      </c>
      <c r="T3212" t="s">
        <v>10728</v>
      </c>
    </row>
    <row r="3213" spans="1:20" x14ac:dyDescent="0.25">
      <c r="A3213" s="1" t="str">
        <f>HYPERLINK("https://vegkart.atlas.vegvesen.no/#/@259399.7,6650235.1,18/hva:hva%5B0%5D%5Bfilter%5D%5B0%5D%5Boperator%5D=%21%3D&amp;hva%5B0%5D%5Bfilter%5D%5B0%5D%5Btype_id%5D=8917&amp;hva%5B0%5D%5Bfilter%5D%5B0%5D%5Bverdi%5D=&amp;hva%5B0%5D%5Bid%5D=49/når:2020-03-30", "Vegkart")</f>
        <v>Vegkart</v>
      </c>
      <c r="B3213">
        <v>1007507377</v>
      </c>
      <c r="C3213">
        <v>49</v>
      </c>
      <c r="D3213" t="s">
        <v>8701</v>
      </c>
      <c r="E3213">
        <v>8917</v>
      </c>
      <c r="F3213" t="s">
        <v>23479</v>
      </c>
      <c r="G3213">
        <v>1</v>
      </c>
      <c r="H3213" t="s">
        <v>10724</v>
      </c>
      <c r="J3213" t="s">
        <v>10526</v>
      </c>
      <c r="K3213" t="s">
        <v>335</v>
      </c>
      <c r="L3213" t="s">
        <v>22</v>
      </c>
      <c r="M3213" t="s">
        <v>10729</v>
      </c>
      <c r="N3213" t="s">
        <v>10730</v>
      </c>
      <c r="O3213" t="s">
        <v>10731</v>
      </c>
      <c r="P3213" s="2" t="s">
        <v>37</v>
      </c>
      <c r="Q3213" t="s">
        <v>1208</v>
      </c>
      <c r="R3213">
        <v>0.46</v>
      </c>
      <c r="S3213">
        <v>89.53</v>
      </c>
      <c r="T3213" t="s">
        <v>10732</v>
      </c>
    </row>
    <row r="3214" spans="1:20" x14ac:dyDescent="0.25">
      <c r="A3214" s="1" t="str">
        <f>HYPERLINK("https://vegkart.atlas.vegvesen.no/#/@259411.6,6650250.1,18/hva:hva%5B0%5D%5Bfilter%5D%5B0%5D%5Boperator%5D=%21%3D&amp;hva%5B0%5D%5Bfilter%5D%5B0%5D%5Btype_id%5D=8917&amp;hva%5B0%5D%5Bfilter%5D%5B0%5D%5Bverdi%5D=&amp;hva%5B0%5D%5Bid%5D=49/når:2020-03-30", "Vegkart")</f>
        <v>Vegkart</v>
      </c>
      <c r="B3214">
        <v>1007507609</v>
      </c>
      <c r="C3214">
        <v>49</v>
      </c>
      <c r="D3214" t="s">
        <v>8701</v>
      </c>
      <c r="E3214">
        <v>8917</v>
      </c>
      <c r="F3214" t="s">
        <v>23479</v>
      </c>
      <c r="G3214">
        <v>1</v>
      </c>
      <c r="H3214" t="s">
        <v>10724</v>
      </c>
      <c r="J3214" t="s">
        <v>10526</v>
      </c>
      <c r="K3214" t="s">
        <v>335</v>
      </c>
      <c r="L3214" t="s">
        <v>22</v>
      </c>
      <c r="M3214" t="s">
        <v>10729</v>
      </c>
      <c r="N3214" t="s">
        <v>10733</v>
      </c>
      <c r="O3214" t="s">
        <v>10734</v>
      </c>
      <c r="P3214" s="2" t="s">
        <v>37</v>
      </c>
      <c r="Q3214" t="s">
        <v>1208</v>
      </c>
      <c r="R3214">
        <v>0.15</v>
      </c>
      <c r="S3214">
        <v>36.36</v>
      </c>
      <c r="T3214" t="s">
        <v>10735</v>
      </c>
    </row>
    <row r="3215" spans="1:20" x14ac:dyDescent="0.25">
      <c r="A3215" s="1" t="str">
        <f>HYPERLINK("https://vegkart.atlas.vegvesen.no/#/@259379.8,6650253.6,18/hva:hva%5B0%5D%5Bfilter%5D%5B0%5D%5Boperator%5D=%21%3D&amp;hva%5B0%5D%5Bfilter%5D%5B0%5D%5Btype_id%5D=8917&amp;hva%5B0%5D%5Bfilter%5D%5B0%5D%5Bverdi%5D=&amp;hva%5B0%5D%5Bid%5D=49/når:2020-03-30", "Vegkart")</f>
        <v>Vegkart</v>
      </c>
      <c r="B3215">
        <v>1007507621</v>
      </c>
      <c r="C3215">
        <v>49</v>
      </c>
      <c r="D3215" t="s">
        <v>8701</v>
      </c>
      <c r="E3215">
        <v>8917</v>
      </c>
      <c r="F3215" t="s">
        <v>23479</v>
      </c>
      <c r="G3215">
        <v>1</v>
      </c>
      <c r="H3215" t="s">
        <v>10724</v>
      </c>
      <c r="J3215" t="s">
        <v>10526</v>
      </c>
      <c r="K3215" t="s">
        <v>335</v>
      </c>
      <c r="L3215" t="s">
        <v>22</v>
      </c>
      <c r="M3215" t="s">
        <v>10729</v>
      </c>
      <c r="N3215" t="s">
        <v>10736</v>
      </c>
      <c r="O3215" t="s">
        <v>10737</v>
      </c>
      <c r="P3215" s="2" t="s">
        <v>37</v>
      </c>
      <c r="Q3215" t="s">
        <v>1208</v>
      </c>
      <c r="R3215">
        <v>0.53</v>
      </c>
      <c r="S3215">
        <v>35.83</v>
      </c>
      <c r="T3215" t="s">
        <v>10738</v>
      </c>
    </row>
    <row r="3216" spans="1:20" x14ac:dyDescent="0.25">
      <c r="A3216" s="1" t="str">
        <f>HYPERLINK("https://vegkart.atlas.vegvesen.no/#/@266385.1,6648166.5,18/hva:hva%5B0%5D%5Bfilter%5D%5B0%5D%5Boperator%5D=%21%3D&amp;hva%5B0%5D%5Bfilter%5D%5B0%5D%5Btype_id%5D=8917&amp;hva%5B0%5D%5Bfilter%5D%5B0%5D%5Bverdi%5D=&amp;hva%5B0%5D%5Bid%5D=49/når:2020-03-30", "Vegkart")</f>
        <v>Vegkart</v>
      </c>
      <c r="B3216">
        <v>1007507637</v>
      </c>
      <c r="C3216">
        <v>49</v>
      </c>
      <c r="D3216" t="s">
        <v>8701</v>
      </c>
      <c r="E3216">
        <v>8917</v>
      </c>
      <c r="F3216" t="s">
        <v>23479</v>
      </c>
      <c r="G3216">
        <v>1</v>
      </c>
      <c r="H3216" t="s">
        <v>10724</v>
      </c>
      <c r="J3216" t="s">
        <v>10526</v>
      </c>
      <c r="K3216" t="s">
        <v>335</v>
      </c>
      <c r="L3216" t="s">
        <v>22</v>
      </c>
      <c r="M3216" t="s">
        <v>10445</v>
      </c>
      <c r="N3216" t="s">
        <v>10739</v>
      </c>
      <c r="O3216" t="s">
        <v>10740</v>
      </c>
      <c r="P3216" s="2" t="s">
        <v>37</v>
      </c>
      <c r="Q3216" t="s">
        <v>1208</v>
      </c>
      <c r="R3216">
        <v>0.73</v>
      </c>
      <c r="S3216">
        <v>40.15</v>
      </c>
      <c r="T3216" t="s">
        <v>10741</v>
      </c>
    </row>
    <row r="3217" spans="1:20" x14ac:dyDescent="0.25">
      <c r="A3217" s="1" t="str">
        <f>HYPERLINK("https://vegkart.atlas.vegvesen.no/#/@266381.0,6648193.6,18/hva:hva%5B0%5D%5Bfilter%5D%5B0%5D%5Boperator%5D=%21%3D&amp;hva%5B0%5D%5Bfilter%5D%5B0%5D%5Btype_id%5D=8917&amp;hva%5B0%5D%5Bfilter%5D%5B0%5D%5Bverdi%5D=&amp;hva%5B0%5D%5Bid%5D=49/når:2020-03-30", "Vegkart")</f>
        <v>Vegkart</v>
      </c>
      <c r="B3217">
        <v>1007507645</v>
      </c>
      <c r="C3217">
        <v>49</v>
      </c>
      <c r="D3217" t="s">
        <v>8701</v>
      </c>
      <c r="E3217">
        <v>8917</v>
      </c>
      <c r="F3217" t="s">
        <v>23479</v>
      </c>
      <c r="G3217">
        <v>1</v>
      </c>
      <c r="H3217" t="s">
        <v>10724</v>
      </c>
      <c r="J3217" t="s">
        <v>10526</v>
      </c>
      <c r="K3217" t="s">
        <v>335</v>
      </c>
      <c r="L3217" t="s">
        <v>22</v>
      </c>
      <c r="M3217" t="s">
        <v>10445</v>
      </c>
      <c r="N3217" t="s">
        <v>10742</v>
      </c>
      <c r="O3217" t="s">
        <v>10743</v>
      </c>
      <c r="P3217" s="2" t="s">
        <v>37</v>
      </c>
      <c r="Q3217" t="s">
        <v>1208</v>
      </c>
      <c r="R3217">
        <v>0.57999999999999996</v>
      </c>
      <c r="S3217">
        <v>49.22</v>
      </c>
      <c r="T3217" t="s">
        <v>10744</v>
      </c>
    </row>
    <row r="3218" spans="1:20" x14ac:dyDescent="0.25">
      <c r="A3218" s="1" t="str">
        <f>HYPERLINK("https://vegkart.atlas.vegvesen.no/#/@258977.4,6650154.5,18/hva:hva%5B0%5D%5Bfilter%5D%5B0%5D%5Boperator%5D=%21%3D&amp;hva%5B0%5D%5Bfilter%5D%5B0%5D%5Btype_id%5D=8917&amp;hva%5B0%5D%5Bfilter%5D%5B0%5D%5Bverdi%5D=&amp;hva%5B0%5D%5Bid%5D=49/når:2020-03-30", "Vegkart")</f>
        <v>Vegkart</v>
      </c>
      <c r="B3218">
        <v>1007507851</v>
      </c>
      <c r="C3218">
        <v>49</v>
      </c>
      <c r="D3218" t="s">
        <v>8701</v>
      </c>
      <c r="E3218">
        <v>8917</v>
      </c>
      <c r="F3218" t="s">
        <v>23479</v>
      </c>
      <c r="G3218">
        <v>1</v>
      </c>
      <c r="H3218" t="s">
        <v>10724</v>
      </c>
      <c r="J3218" t="s">
        <v>10526</v>
      </c>
      <c r="K3218" t="s">
        <v>335</v>
      </c>
      <c r="L3218" t="s">
        <v>22</v>
      </c>
      <c r="M3218" t="s">
        <v>10745</v>
      </c>
      <c r="N3218" t="s">
        <v>10746</v>
      </c>
      <c r="O3218" t="s">
        <v>10747</v>
      </c>
      <c r="P3218" s="2" t="s">
        <v>37</v>
      </c>
      <c r="Q3218" t="s">
        <v>1208</v>
      </c>
      <c r="R3218">
        <v>0.73</v>
      </c>
      <c r="S3218">
        <v>39.619999999999997</v>
      </c>
      <c r="T3218" t="s">
        <v>10748</v>
      </c>
    </row>
    <row r="3219" spans="1:20" x14ac:dyDescent="0.25">
      <c r="A3219" s="1" t="str">
        <f>HYPERLINK("https://vegkart.atlas.vegvesen.no/#/@260612.6,6649663.7,18/hva:hva%5B0%5D%5Bfilter%5D%5B0%5D%5Boperator%5D=%21%3D&amp;hva%5B0%5D%5Bfilter%5D%5B0%5D%5Btype_id%5D=8917&amp;hva%5B0%5D%5Bfilter%5D%5B0%5D%5Bverdi%5D=&amp;hva%5B0%5D%5Bid%5D=49/når:2020-03-30", "Vegkart")</f>
        <v>Vegkart</v>
      </c>
      <c r="B3219">
        <v>1007507869</v>
      </c>
      <c r="C3219">
        <v>49</v>
      </c>
      <c r="D3219" t="s">
        <v>8701</v>
      </c>
      <c r="E3219">
        <v>8917</v>
      </c>
      <c r="F3219" t="s">
        <v>23479</v>
      </c>
      <c r="G3219">
        <v>1</v>
      </c>
      <c r="H3219" t="s">
        <v>10724</v>
      </c>
      <c r="J3219" t="s">
        <v>10526</v>
      </c>
      <c r="K3219" t="s">
        <v>335</v>
      </c>
      <c r="L3219" t="s">
        <v>22</v>
      </c>
      <c r="M3219" t="s">
        <v>10745</v>
      </c>
      <c r="N3219" t="s">
        <v>10749</v>
      </c>
      <c r="O3219" t="s">
        <v>10750</v>
      </c>
      <c r="P3219" s="2" t="s">
        <v>37</v>
      </c>
      <c r="Q3219" t="s">
        <v>1208</v>
      </c>
      <c r="R3219">
        <v>0.6</v>
      </c>
      <c r="S3219">
        <v>43.82</v>
      </c>
      <c r="T3219" t="s">
        <v>10751</v>
      </c>
    </row>
    <row r="3220" spans="1:20" x14ac:dyDescent="0.25">
      <c r="A3220" s="1" t="str">
        <f>HYPERLINK("https://vegkart.atlas.vegvesen.no/#/@260641.5,6649654.7,18/hva:hva%5B0%5D%5Bfilter%5D%5B0%5D%5Boperator%5D=%21%3D&amp;hva%5B0%5D%5Bfilter%5D%5B0%5D%5Btype_id%5D=8917&amp;hva%5B0%5D%5Bfilter%5D%5B0%5D%5Bverdi%5D=&amp;hva%5B0%5D%5Bid%5D=49/når:2020-03-30", "Vegkart")</f>
        <v>Vegkart</v>
      </c>
      <c r="B3220">
        <v>1007508391</v>
      </c>
      <c r="C3220">
        <v>49</v>
      </c>
      <c r="D3220" t="s">
        <v>8701</v>
      </c>
      <c r="E3220">
        <v>8917</v>
      </c>
      <c r="F3220" t="s">
        <v>23479</v>
      </c>
      <c r="G3220">
        <v>1</v>
      </c>
      <c r="H3220" t="s">
        <v>10724</v>
      </c>
      <c r="J3220" t="s">
        <v>10526</v>
      </c>
      <c r="K3220" t="s">
        <v>335</v>
      </c>
      <c r="L3220" t="s">
        <v>22</v>
      </c>
      <c r="M3220" t="s">
        <v>10745</v>
      </c>
      <c r="N3220" t="s">
        <v>10752</v>
      </c>
      <c r="O3220" t="s">
        <v>10753</v>
      </c>
      <c r="P3220" s="2" t="s">
        <v>37</v>
      </c>
      <c r="Q3220" t="s">
        <v>1208</v>
      </c>
      <c r="R3220">
        <v>0.75</v>
      </c>
      <c r="S3220">
        <v>59.82</v>
      </c>
      <c r="T3220" t="s">
        <v>10754</v>
      </c>
    </row>
    <row r="3221" spans="1:20" x14ac:dyDescent="0.25">
      <c r="A3221" s="1" t="str">
        <f>HYPERLINK("https://vegkart.atlas.vegvesen.no/#/@260918.3,6649703.6,18/hva:hva%5B0%5D%5Bfilter%5D%5B0%5D%5Boperator%5D=%21%3D&amp;hva%5B0%5D%5Bfilter%5D%5B0%5D%5Btype_id%5D=8917&amp;hva%5B0%5D%5Bfilter%5D%5B0%5D%5Bverdi%5D=&amp;hva%5B0%5D%5Bid%5D=49/når:2020-03-30", "Vegkart")</f>
        <v>Vegkart</v>
      </c>
      <c r="B3221">
        <v>1007508403</v>
      </c>
      <c r="C3221">
        <v>49</v>
      </c>
      <c r="D3221" t="s">
        <v>8701</v>
      </c>
      <c r="E3221">
        <v>8917</v>
      </c>
      <c r="F3221" t="s">
        <v>23479</v>
      </c>
      <c r="G3221">
        <v>1</v>
      </c>
      <c r="H3221" t="s">
        <v>10724</v>
      </c>
      <c r="J3221" t="s">
        <v>10526</v>
      </c>
      <c r="K3221" t="s">
        <v>335</v>
      </c>
      <c r="L3221" t="s">
        <v>22</v>
      </c>
      <c r="M3221" t="s">
        <v>10755</v>
      </c>
      <c r="N3221" t="s">
        <v>10756</v>
      </c>
      <c r="O3221" t="s">
        <v>10757</v>
      </c>
      <c r="P3221" s="2" t="s">
        <v>37</v>
      </c>
      <c r="Q3221" t="s">
        <v>1208</v>
      </c>
      <c r="R3221">
        <v>1.02</v>
      </c>
      <c r="S3221">
        <v>32.36</v>
      </c>
      <c r="T3221" t="s">
        <v>10758</v>
      </c>
    </row>
    <row r="3222" spans="1:20" x14ac:dyDescent="0.25">
      <c r="A3222" s="1" t="str">
        <f>HYPERLINK("https://vegkart.atlas.vegvesen.no/#/@266249.1,6648471.8,18/hva:hva%5B0%5D%5Bfilter%5D%5B0%5D%5Boperator%5D=%21%3D&amp;hva%5B0%5D%5Bfilter%5D%5B0%5D%5Btype_id%5D=8917&amp;hva%5B0%5D%5Bfilter%5D%5B0%5D%5Bverdi%5D=&amp;hva%5B0%5D%5Bid%5D=49/når:2020-03-30", "Vegkart")</f>
        <v>Vegkart</v>
      </c>
      <c r="B3222">
        <v>1007508481</v>
      </c>
      <c r="C3222">
        <v>49</v>
      </c>
      <c r="D3222" t="s">
        <v>8701</v>
      </c>
      <c r="E3222">
        <v>8917</v>
      </c>
      <c r="F3222" t="s">
        <v>23479</v>
      </c>
      <c r="G3222">
        <v>1</v>
      </c>
      <c r="H3222" t="s">
        <v>10724</v>
      </c>
      <c r="J3222" t="s">
        <v>10526</v>
      </c>
      <c r="K3222" t="s">
        <v>335</v>
      </c>
      <c r="L3222" t="s">
        <v>22</v>
      </c>
      <c r="M3222" t="s">
        <v>10445</v>
      </c>
      <c r="N3222" t="s">
        <v>10759</v>
      </c>
      <c r="O3222" t="s">
        <v>10760</v>
      </c>
      <c r="P3222" s="2" t="s">
        <v>37</v>
      </c>
      <c r="Q3222" t="s">
        <v>1208</v>
      </c>
      <c r="R3222">
        <v>0.65</v>
      </c>
      <c r="S3222">
        <v>15.23</v>
      </c>
      <c r="T3222" t="s">
        <v>10761</v>
      </c>
    </row>
    <row r="3223" spans="1:20" x14ac:dyDescent="0.25">
      <c r="A3223" s="1" t="str">
        <f>HYPERLINK("https://vegkart.atlas.vegvesen.no/#/@266239.2,6648490.7,18/hva:hva%5B0%5D%5Bfilter%5D%5B0%5D%5Boperator%5D=%21%3D&amp;hva%5B0%5D%5Bfilter%5D%5B0%5D%5Btype_id%5D=8917&amp;hva%5B0%5D%5Bfilter%5D%5B0%5D%5Bverdi%5D=&amp;hva%5B0%5D%5Bid%5D=49/når:2020-03-30", "Vegkart")</f>
        <v>Vegkart</v>
      </c>
      <c r="B3223">
        <v>1007508505</v>
      </c>
      <c r="C3223">
        <v>49</v>
      </c>
      <c r="D3223" t="s">
        <v>8701</v>
      </c>
      <c r="E3223">
        <v>8917</v>
      </c>
      <c r="F3223" t="s">
        <v>23479</v>
      </c>
      <c r="G3223">
        <v>1</v>
      </c>
      <c r="H3223" t="s">
        <v>10724</v>
      </c>
      <c r="J3223" t="s">
        <v>10526</v>
      </c>
      <c r="K3223" t="s">
        <v>335</v>
      </c>
      <c r="L3223" t="s">
        <v>22</v>
      </c>
      <c r="M3223" t="s">
        <v>10445</v>
      </c>
      <c r="N3223" t="s">
        <v>10762</v>
      </c>
      <c r="O3223" t="s">
        <v>10763</v>
      </c>
      <c r="P3223" s="2" t="s">
        <v>37</v>
      </c>
      <c r="Q3223" t="s">
        <v>1208</v>
      </c>
      <c r="R3223">
        <v>0.81</v>
      </c>
      <c r="S3223">
        <v>24.04</v>
      </c>
      <c r="T3223" t="s">
        <v>10764</v>
      </c>
    </row>
    <row r="3224" spans="1:20" x14ac:dyDescent="0.25">
      <c r="A3224" s="1" t="str">
        <f>HYPERLINK("https://vegkart.atlas.vegvesen.no/#/@266222.6,6648490.0,18/hva:hva%5B0%5D%5Bfilter%5D%5B0%5D%5Boperator%5D=%21%3D&amp;hva%5B0%5D%5Bfilter%5D%5B0%5D%5Btype_id%5D=8917&amp;hva%5B0%5D%5Bfilter%5D%5B0%5D%5Bverdi%5D=&amp;hva%5B0%5D%5Bid%5D=49/når:2020-03-30", "Vegkart")</f>
        <v>Vegkart</v>
      </c>
      <c r="B3224">
        <v>1007508584</v>
      </c>
      <c r="C3224">
        <v>49</v>
      </c>
      <c r="D3224" t="s">
        <v>8701</v>
      </c>
      <c r="E3224">
        <v>8917</v>
      </c>
      <c r="F3224" t="s">
        <v>23479</v>
      </c>
      <c r="G3224">
        <v>1</v>
      </c>
      <c r="H3224" t="s">
        <v>10724</v>
      </c>
      <c r="J3224" t="s">
        <v>10526</v>
      </c>
      <c r="K3224" t="s">
        <v>335</v>
      </c>
      <c r="L3224" t="s">
        <v>22</v>
      </c>
      <c r="M3224" t="s">
        <v>10445</v>
      </c>
      <c r="N3224" t="s">
        <v>10765</v>
      </c>
      <c r="O3224" t="s">
        <v>10766</v>
      </c>
      <c r="P3224" s="2" t="s">
        <v>37</v>
      </c>
      <c r="Q3224" t="s">
        <v>1208</v>
      </c>
      <c r="R3224">
        <v>0.75</v>
      </c>
      <c r="S3224">
        <v>20.149999999999999</v>
      </c>
      <c r="T3224" t="s">
        <v>10767</v>
      </c>
    </row>
    <row r="3225" spans="1:20" x14ac:dyDescent="0.25">
      <c r="A3225" s="1" t="str">
        <f>HYPERLINK("https://vegkart.atlas.vegvesen.no/#/@265894.9,6648882.3,18/hva:hva%5B0%5D%5Bfilter%5D%5B0%5D%5Boperator%5D=%21%3D&amp;hva%5B0%5D%5Bfilter%5D%5B0%5D%5Btype_id%5D=8917&amp;hva%5B0%5D%5Bfilter%5D%5B0%5D%5Bverdi%5D=&amp;hva%5B0%5D%5Bid%5D=49/når:2020-03-30", "Vegkart")</f>
        <v>Vegkart</v>
      </c>
      <c r="B3225">
        <v>1007509045</v>
      </c>
      <c r="C3225">
        <v>49</v>
      </c>
      <c r="D3225" t="s">
        <v>8701</v>
      </c>
      <c r="E3225">
        <v>8917</v>
      </c>
      <c r="F3225" t="s">
        <v>23479</v>
      </c>
      <c r="G3225">
        <v>1</v>
      </c>
      <c r="H3225" t="s">
        <v>10724</v>
      </c>
      <c r="J3225" t="s">
        <v>10526</v>
      </c>
      <c r="K3225" t="s">
        <v>335</v>
      </c>
      <c r="L3225" t="s">
        <v>22</v>
      </c>
      <c r="M3225" t="s">
        <v>10445</v>
      </c>
      <c r="N3225" t="s">
        <v>10768</v>
      </c>
      <c r="O3225" t="s">
        <v>10769</v>
      </c>
      <c r="P3225" s="2" t="s">
        <v>37</v>
      </c>
      <c r="Q3225" t="s">
        <v>1208</v>
      </c>
      <c r="R3225">
        <v>0.77</v>
      </c>
      <c r="S3225">
        <v>13.31</v>
      </c>
      <c r="T3225" t="s">
        <v>10770</v>
      </c>
    </row>
    <row r="3226" spans="1:20" x14ac:dyDescent="0.25">
      <c r="A3226" s="1" t="str">
        <f>HYPERLINK("https://vegkart.atlas.vegvesen.no/#/@265588.1,6649045.0,18/hva:hva%5B0%5D%5Bfilter%5D%5B0%5D%5Boperator%5D=%21%3D&amp;hva%5B0%5D%5Bfilter%5D%5B0%5D%5Btype_id%5D=8917&amp;hva%5B0%5D%5Bfilter%5D%5B0%5D%5Bverdi%5D=&amp;hva%5B0%5D%5Bid%5D=49/når:2020-03-30", "Vegkart")</f>
        <v>Vegkart</v>
      </c>
      <c r="B3226">
        <v>1007509488</v>
      </c>
      <c r="C3226">
        <v>49</v>
      </c>
      <c r="D3226" t="s">
        <v>8701</v>
      </c>
      <c r="E3226">
        <v>8917</v>
      </c>
      <c r="F3226" t="s">
        <v>23479</v>
      </c>
      <c r="G3226">
        <v>1</v>
      </c>
      <c r="H3226" t="s">
        <v>10724</v>
      </c>
      <c r="J3226" t="s">
        <v>10526</v>
      </c>
      <c r="K3226" t="s">
        <v>335</v>
      </c>
      <c r="L3226" t="s">
        <v>22</v>
      </c>
      <c r="M3226" t="s">
        <v>10445</v>
      </c>
      <c r="N3226" t="s">
        <v>10771</v>
      </c>
      <c r="O3226" t="s">
        <v>10772</v>
      </c>
      <c r="P3226" s="2" t="s">
        <v>37</v>
      </c>
      <c r="Q3226" t="s">
        <v>1208</v>
      </c>
      <c r="R3226">
        <v>0.84</v>
      </c>
      <c r="S3226">
        <v>40.590000000000003</v>
      </c>
      <c r="T3226" t="s">
        <v>10773</v>
      </c>
    </row>
    <row r="3227" spans="1:20" x14ac:dyDescent="0.25">
      <c r="A3227" s="1" t="str">
        <f>HYPERLINK("https://vegkart.atlas.vegvesen.no/#/@265569.4,6649063.7,18/hva:hva%5B0%5D%5Bfilter%5D%5B0%5D%5Boperator%5D=%21%3D&amp;hva%5B0%5D%5Bfilter%5D%5B0%5D%5Btype_id%5D=8917&amp;hva%5B0%5D%5Bfilter%5D%5B0%5D%5Bverdi%5D=&amp;hva%5B0%5D%5Bid%5D=49/når:2020-03-30", "Vegkart")</f>
        <v>Vegkart</v>
      </c>
      <c r="B3227">
        <v>1007509935</v>
      </c>
      <c r="C3227">
        <v>49</v>
      </c>
      <c r="D3227" t="s">
        <v>8701</v>
      </c>
      <c r="E3227">
        <v>8917</v>
      </c>
      <c r="F3227" t="s">
        <v>23479</v>
      </c>
      <c r="G3227">
        <v>1</v>
      </c>
      <c r="H3227" t="s">
        <v>10724</v>
      </c>
      <c r="J3227" t="s">
        <v>10526</v>
      </c>
      <c r="K3227" t="s">
        <v>335</v>
      </c>
      <c r="L3227" t="s">
        <v>22</v>
      </c>
      <c r="M3227" t="s">
        <v>10445</v>
      </c>
      <c r="N3227" t="s">
        <v>10774</v>
      </c>
      <c r="O3227" t="s">
        <v>10775</v>
      </c>
      <c r="P3227" s="2" t="s">
        <v>37</v>
      </c>
      <c r="Q3227" t="s">
        <v>1208</v>
      </c>
      <c r="R3227">
        <v>0.85</v>
      </c>
      <c r="S3227">
        <v>34.89</v>
      </c>
      <c r="T3227" t="s">
        <v>10776</v>
      </c>
    </row>
    <row r="3228" spans="1:20" x14ac:dyDescent="0.25">
      <c r="A3228" s="1" t="str">
        <f>HYPERLINK("https://vegkart.atlas.vegvesen.no/#/@265283.6,6649473.7,18/hva:hva%5B0%5D%5Bfilter%5D%5B0%5D%5Boperator%5D=%21%3D&amp;hva%5B0%5D%5Bfilter%5D%5B0%5D%5Btype_id%5D=8917&amp;hva%5B0%5D%5Bfilter%5D%5B0%5D%5Bverdi%5D=&amp;hva%5B0%5D%5Bid%5D=49/når:2020-03-30", "Vegkart")</f>
        <v>Vegkart</v>
      </c>
      <c r="B3228">
        <v>1007510818</v>
      </c>
      <c r="C3228">
        <v>49</v>
      </c>
      <c r="D3228" t="s">
        <v>8701</v>
      </c>
      <c r="E3228">
        <v>8917</v>
      </c>
      <c r="F3228" t="s">
        <v>23479</v>
      </c>
      <c r="G3228">
        <v>1</v>
      </c>
      <c r="H3228" t="s">
        <v>10724</v>
      </c>
      <c r="J3228" t="s">
        <v>10526</v>
      </c>
      <c r="K3228" t="s">
        <v>335</v>
      </c>
      <c r="L3228" t="s">
        <v>22</v>
      </c>
      <c r="M3228" t="s">
        <v>10777</v>
      </c>
      <c r="N3228" t="s">
        <v>10778</v>
      </c>
      <c r="O3228" t="s">
        <v>10779</v>
      </c>
      <c r="P3228" s="2" t="s">
        <v>37</v>
      </c>
      <c r="Q3228" t="s">
        <v>1208</v>
      </c>
      <c r="R3228">
        <v>0.93</v>
      </c>
      <c r="S3228">
        <v>20.83</v>
      </c>
      <c r="T3228" t="s">
        <v>10780</v>
      </c>
    </row>
    <row r="3229" spans="1:20" x14ac:dyDescent="0.25">
      <c r="A3229" s="1" t="str">
        <f>HYPERLINK("https://vegkart.atlas.vegvesen.no/#/@264906.3,6650227.9,18/hva:hva%5B0%5D%5Bfilter%5D%5B0%5D%5Boperator%5D=%21%3D&amp;hva%5B0%5D%5Bfilter%5D%5B0%5D%5Btype_id%5D=8917&amp;hva%5B0%5D%5Bfilter%5D%5B0%5D%5Bverdi%5D=&amp;hva%5B0%5D%5Bid%5D=49/når:2020-03-30", "Vegkart")</f>
        <v>Vegkart</v>
      </c>
      <c r="B3229">
        <v>1007512086</v>
      </c>
      <c r="C3229">
        <v>49</v>
      </c>
      <c r="D3229" t="s">
        <v>8701</v>
      </c>
      <c r="E3229">
        <v>8917</v>
      </c>
      <c r="F3229" t="s">
        <v>23479</v>
      </c>
      <c r="G3229">
        <v>1</v>
      </c>
      <c r="H3229" t="s">
        <v>10724</v>
      </c>
      <c r="J3229" t="s">
        <v>10526</v>
      </c>
      <c r="K3229" t="s">
        <v>335</v>
      </c>
      <c r="L3229" t="s">
        <v>22</v>
      </c>
      <c r="M3229" t="s">
        <v>10777</v>
      </c>
      <c r="N3229" t="s">
        <v>10781</v>
      </c>
      <c r="O3229" t="s">
        <v>10782</v>
      </c>
      <c r="P3229" s="2" t="s">
        <v>26</v>
      </c>
      <c r="Q3229" t="s">
        <v>50</v>
      </c>
      <c r="R3229">
        <v>2.21</v>
      </c>
      <c r="S3229">
        <v>47.9</v>
      </c>
      <c r="T3229" t="s">
        <v>10783</v>
      </c>
    </row>
    <row r="3230" spans="1:20" x14ac:dyDescent="0.25">
      <c r="A3230" s="1" t="str">
        <f>HYPERLINK("https://vegkart.atlas.vegvesen.no/#/@264809.8,6650440.3,18/hva:hva%5B0%5D%5Bfilter%5D%5B0%5D%5Boperator%5D=%21%3D&amp;hva%5B0%5D%5Bfilter%5D%5B0%5D%5Btype_id%5D=8917&amp;hva%5B0%5D%5Bfilter%5D%5B0%5D%5Bverdi%5D=&amp;hva%5B0%5D%5Bid%5D=49/når:2020-03-30", "Vegkart")</f>
        <v>Vegkart</v>
      </c>
      <c r="B3230">
        <v>1007513727</v>
      </c>
      <c r="C3230">
        <v>49</v>
      </c>
      <c r="D3230" t="s">
        <v>8701</v>
      </c>
      <c r="E3230">
        <v>8917</v>
      </c>
      <c r="F3230" t="s">
        <v>23479</v>
      </c>
      <c r="G3230">
        <v>1</v>
      </c>
      <c r="H3230" t="s">
        <v>10724</v>
      </c>
      <c r="J3230" t="s">
        <v>10526</v>
      </c>
      <c r="K3230" t="s">
        <v>335</v>
      </c>
      <c r="L3230" t="s">
        <v>22</v>
      </c>
      <c r="M3230" t="s">
        <v>10777</v>
      </c>
      <c r="N3230" t="s">
        <v>10784</v>
      </c>
      <c r="O3230" t="s">
        <v>10785</v>
      </c>
      <c r="P3230" s="2" t="s">
        <v>37</v>
      </c>
      <c r="Q3230" t="s">
        <v>1208</v>
      </c>
      <c r="R3230">
        <v>0.27</v>
      </c>
      <c r="S3230">
        <v>17.38</v>
      </c>
      <c r="T3230" t="s">
        <v>10786</v>
      </c>
    </row>
    <row r="3231" spans="1:20" x14ac:dyDescent="0.25">
      <c r="A3231" s="1" t="str">
        <f>HYPERLINK("https://vegkart.atlas.vegvesen.no/#/@264013.0,6650702.3,18/hva:hva%5B0%5D%5Bfilter%5D%5B0%5D%5Boperator%5D=%21%3D&amp;hva%5B0%5D%5Bfilter%5D%5B0%5D%5Btype_id%5D=8917&amp;hva%5B0%5D%5Bfilter%5D%5B0%5D%5Bverdi%5D=&amp;hva%5B0%5D%5Bid%5D=49/når:2020-03-30", "Vegkart")</f>
        <v>Vegkart</v>
      </c>
      <c r="B3231">
        <v>1007513933</v>
      </c>
      <c r="C3231">
        <v>49</v>
      </c>
      <c r="D3231" t="s">
        <v>8701</v>
      </c>
      <c r="E3231">
        <v>8917</v>
      </c>
      <c r="F3231" t="s">
        <v>23479</v>
      </c>
      <c r="G3231">
        <v>1</v>
      </c>
      <c r="H3231" t="s">
        <v>10724</v>
      </c>
      <c r="J3231" t="s">
        <v>10526</v>
      </c>
      <c r="K3231" t="s">
        <v>335</v>
      </c>
      <c r="L3231" t="s">
        <v>22</v>
      </c>
      <c r="M3231" t="s">
        <v>10777</v>
      </c>
      <c r="N3231" t="s">
        <v>10787</v>
      </c>
      <c r="O3231" t="s">
        <v>10788</v>
      </c>
      <c r="P3231" s="2" t="s">
        <v>37</v>
      </c>
      <c r="Q3231" t="s">
        <v>1208</v>
      </c>
      <c r="R3231">
        <v>0.51</v>
      </c>
      <c r="S3231">
        <v>77.040000000000006</v>
      </c>
      <c r="T3231" t="s">
        <v>10789</v>
      </c>
    </row>
    <row r="3232" spans="1:20" x14ac:dyDescent="0.25">
      <c r="A3232" s="1" t="str">
        <f>HYPERLINK("https://vegkart.atlas.vegvesen.no/#/@267737.6,6649121.6,18/hva:hva%5B0%5D%5Bfilter%5D%5B0%5D%5Boperator%5D=%21%3D&amp;hva%5B0%5D%5Bfilter%5D%5B0%5D%5Btype_id%5D=8917&amp;hva%5B0%5D%5Bfilter%5D%5B0%5D%5Bverdi%5D=&amp;hva%5B0%5D%5Bid%5D=49/når:2020-03-31", "Vegkart")</f>
        <v>Vegkart</v>
      </c>
      <c r="B3232">
        <v>1007516418</v>
      </c>
      <c r="C3232">
        <v>49</v>
      </c>
      <c r="D3232" t="s">
        <v>8701</v>
      </c>
      <c r="E3232">
        <v>8917</v>
      </c>
      <c r="F3232" t="s">
        <v>23479</v>
      </c>
      <c r="G3232">
        <v>1</v>
      </c>
      <c r="H3232" t="s">
        <v>10790</v>
      </c>
      <c r="J3232" t="s">
        <v>10526</v>
      </c>
      <c r="K3232" t="s">
        <v>335</v>
      </c>
      <c r="L3232" t="s">
        <v>22</v>
      </c>
      <c r="M3232" t="s">
        <v>2280</v>
      </c>
      <c r="N3232" t="s">
        <v>10791</v>
      </c>
      <c r="O3232" t="s">
        <v>10792</v>
      </c>
      <c r="P3232" s="2" t="s">
        <v>37</v>
      </c>
      <c r="Q3232" t="s">
        <v>1208</v>
      </c>
      <c r="R3232">
        <v>0.32</v>
      </c>
      <c r="S3232">
        <v>30.98</v>
      </c>
      <c r="T3232" t="s">
        <v>10793</v>
      </c>
    </row>
    <row r="3233" spans="1:20" x14ac:dyDescent="0.25">
      <c r="A3233" s="1" t="str">
        <f>HYPERLINK("https://vegkart.atlas.vegvesen.no/#/@267948.9,6649320.4,18/hva:hva%5B0%5D%5Bfilter%5D%5B0%5D%5Boperator%5D=%21%3D&amp;hva%5B0%5D%5Bfilter%5D%5B0%5D%5Btype_id%5D=8917&amp;hva%5B0%5D%5Bfilter%5D%5B0%5D%5Bverdi%5D=&amp;hva%5B0%5D%5Bid%5D=49/når:2020-03-31", "Vegkart")</f>
        <v>Vegkart</v>
      </c>
      <c r="B3233">
        <v>1007516432</v>
      </c>
      <c r="C3233">
        <v>49</v>
      </c>
      <c r="D3233" t="s">
        <v>8701</v>
      </c>
      <c r="E3233">
        <v>8917</v>
      </c>
      <c r="F3233" t="s">
        <v>23479</v>
      </c>
      <c r="G3233">
        <v>1</v>
      </c>
      <c r="H3233" t="s">
        <v>10790</v>
      </c>
      <c r="J3233" t="s">
        <v>10526</v>
      </c>
      <c r="K3233" t="s">
        <v>335</v>
      </c>
      <c r="L3233" t="s">
        <v>22</v>
      </c>
      <c r="M3233" t="s">
        <v>2280</v>
      </c>
      <c r="N3233" t="s">
        <v>10794</v>
      </c>
      <c r="O3233" t="s">
        <v>10795</v>
      </c>
      <c r="P3233" s="2" t="s">
        <v>37</v>
      </c>
      <c r="Q3233" t="s">
        <v>1208</v>
      </c>
      <c r="R3233">
        <v>0.85</v>
      </c>
      <c r="S3233">
        <v>25.51</v>
      </c>
      <c r="T3233" t="s">
        <v>10796</v>
      </c>
    </row>
    <row r="3234" spans="1:20" x14ac:dyDescent="0.25">
      <c r="A3234" s="1" t="str">
        <f>HYPERLINK("https://vegkart.atlas.vegvesen.no/#/@267959.2,6649337.0,18/hva:hva%5B0%5D%5Bfilter%5D%5B0%5D%5Boperator%5D=%21%3D&amp;hva%5B0%5D%5Bfilter%5D%5B0%5D%5Btype_id%5D=8917&amp;hva%5B0%5D%5Bfilter%5D%5B0%5D%5Bverdi%5D=&amp;hva%5B0%5D%5Bid%5D=49/når:2020-03-31", "Vegkart")</f>
        <v>Vegkart</v>
      </c>
      <c r="B3234">
        <v>1007516434</v>
      </c>
      <c r="C3234">
        <v>49</v>
      </c>
      <c r="D3234" t="s">
        <v>8701</v>
      </c>
      <c r="E3234">
        <v>8917</v>
      </c>
      <c r="F3234" t="s">
        <v>23479</v>
      </c>
      <c r="G3234">
        <v>1</v>
      </c>
      <c r="H3234" t="s">
        <v>10790</v>
      </c>
      <c r="J3234" t="s">
        <v>10526</v>
      </c>
      <c r="K3234" t="s">
        <v>335</v>
      </c>
      <c r="L3234" t="s">
        <v>22</v>
      </c>
      <c r="M3234" t="s">
        <v>2280</v>
      </c>
      <c r="N3234" t="s">
        <v>10797</v>
      </c>
      <c r="O3234" t="s">
        <v>10798</v>
      </c>
      <c r="P3234" s="2" t="s">
        <v>37</v>
      </c>
      <c r="Q3234" t="s">
        <v>1208</v>
      </c>
      <c r="R3234">
        <v>0.91</v>
      </c>
      <c r="S3234">
        <v>36.75</v>
      </c>
      <c r="T3234" t="s">
        <v>10799</v>
      </c>
    </row>
    <row r="3235" spans="1:20" x14ac:dyDescent="0.25">
      <c r="A3235" s="1" t="str">
        <f>HYPERLINK("https://vegkart.atlas.vegvesen.no/#/@267971.5,6649352.2,18/hva:hva%5B0%5D%5Bfilter%5D%5B0%5D%5Boperator%5D=%21%3D&amp;hva%5B0%5D%5Bfilter%5D%5B0%5D%5Btype_id%5D=8917&amp;hva%5B0%5D%5Bfilter%5D%5B0%5D%5Bverdi%5D=&amp;hva%5B0%5D%5Bid%5D=49/når:2020-03-31", "Vegkart")</f>
        <v>Vegkart</v>
      </c>
      <c r="B3235">
        <v>1007516436</v>
      </c>
      <c r="C3235">
        <v>49</v>
      </c>
      <c r="D3235" t="s">
        <v>8701</v>
      </c>
      <c r="E3235">
        <v>8917</v>
      </c>
      <c r="F3235" t="s">
        <v>23479</v>
      </c>
      <c r="G3235">
        <v>1</v>
      </c>
      <c r="H3235" t="s">
        <v>10790</v>
      </c>
      <c r="J3235" t="s">
        <v>10526</v>
      </c>
      <c r="K3235" t="s">
        <v>335</v>
      </c>
      <c r="L3235" t="s">
        <v>22</v>
      </c>
      <c r="M3235" t="s">
        <v>2280</v>
      </c>
      <c r="N3235" t="s">
        <v>10800</v>
      </c>
      <c r="O3235" t="s">
        <v>10801</v>
      </c>
      <c r="P3235" s="2" t="s">
        <v>37</v>
      </c>
      <c r="Q3235" t="s">
        <v>1208</v>
      </c>
      <c r="R3235">
        <v>0.45</v>
      </c>
      <c r="S3235">
        <v>21.63</v>
      </c>
      <c r="T3235" t="s">
        <v>10802</v>
      </c>
    </row>
    <row r="3236" spans="1:20" x14ac:dyDescent="0.25">
      <c r="A3236" s="1" t="str">
        <f>HYPERLINK("https://vegkart.atlas.vegvesen.no/#/@268081.1,6649537.3,18/hva:hva%5B0%5D%5Bfilter%5D%5B0%5D%5Boperator%5D=%21%3D&amp;hva%5B0%5D%5Bfilter%5D%5B0%5D%5Btype_id%5D=8917&amp;hva%5B0%5D%5Bfilter%5D%5B0%5D%5Bverdi%5D=&amp;hva%5B0%5D%5Bid%5D=49/når:2020-03-31", "Vegkart")</f>
        <v>Vegkart</v>
      </c>
      <c r="B3236">
        <v>1007516457</v>
      </c>
      <c r="C3236">
        <v>49</v>
      </c>
      <c r="D3236" t="s">
        <v>8701</v>
      </c>
      <c r="E3236">
        <v>8917</v>
      </c>
      <c r="F3236" t="s">
        <v>23479</v>
      </c>
      <c r="G3236">
        <v>1</v>
      </c>
      <c r="H3236" t="s">
        <v>10790</v>
      </c>
      <c r="J3236" t="s">
        <v>10526</v>
      </c>
      <c r="K3236" t="s">
        <v>335</v>
      </c>
      <c r="L3236" t="s">
        <v>22</v>
      </c>
      <c r="M3236" t="s">
        <v>2280</v>
      </c>
      <c r="N3236" t="s">
        <v>10803</v>
      </c>
      <c r="O3236" t="s">
        <v>10804</v>
      </c>
      <c r="P3236" s="2" t="s">
        <v>37</v>
      </c>
      <c r="Q3236" t="s">
        <v>1208</v>
      </c>
      <c r="R3236">
        <v>0.75</v>
      </c>
      <c r="S3236">
        <v>21.93</v>
      </c>
      <c r="T3236" t="s">
        <v>10805</v>
      </c>
    </row>
    <row r="3237" spans="1:20" x14ac:dyDescent="0.25">
      <c r="A3237" s="1" t="str">
        <f>HYPERLINK("https://vegkart.atlas.vegvesen.no/#/@268092.7,6649553.9,18/hva:hva%5B0%5D%5Bfilter%5D%5B0%5D%5Boperator%5D=%21%3D&amp;hva%5B0%5D%5Bfilter%5D%5B0%5D%5Btype_id%5D=8917&amp;hva%5B0%5D%5Bfilter%5D%5B0%5D%5Bverdi%5D=&amp;hva%5B0%5D%5Bid%5D=49/når:2020-03-31", "Vegkart")</f>
        <v>Vegkart</v>
      </c>
      <c r="B3237">
        <v>1007516461</v>
      </c>
      <c r="C3237">
        <v>49</v>
      </c>
      <c r="D3237" t="s">
        <v>8701</v>
      </c>
      <c r="E3237">
        <v>8917</v>
      </c>
      <c r="F3237" t="s">
        <v>23479</v>
      </c>
      <c r="G3237">
        <v>1</v>
      </c>
      <c r="H3237" t="s">
        <v>10790</v>
      </c>
      <c r="J3237" t="s">
        <v>10526</v>
      </c>
      <c r="K3237" t="s">
        <v>335</v>
      </c>
      <c r="L3237" t="s">
        <v>22</v>
      </c>
      <c r="M3237" t="s">
        <v>2280</v>
      </c>
      <c r="N3237" t="s">
        <v>10806</v>
      </c>
      <c r="O3237" t="s">
        <v>10807</v>
      </c>
      <c r="P3237" s="2" t="s">
        <v>37</v>
      </c>
      <c r="Q3237" t="s">
        <v>1208</v>
      </c>
      <c r="R3237">
        <v>0.6</v>
      </c>
      <c r="S3237">
        <v>38.270000000000003</v>
      </c>
      <c r="T3237" t="s">
        <v>10808</v>
      </c>
    </row>
    <row r="3238" spans="1:20" x14ac:dyDescent="0.25">
      <c r="A3238" s="1" t="str">
        <f>HYPERLINK("https://vegkart.atlas.vegvesen.no/#/@268104.8,6649572.3,18/hva:hva%5B0%5D%5Bfilter%5D%5B0%5D%5Boperator%5D=%21%3D&amp;hva%5B0%5D%5Bfilter%5D%5B0%5D%5Btype_id%5D=8917&amp;hva%5B0%5D%5Bfilter%5D%5B0%5D%5Bverdi%5D=&amp;hva%5B0%5D%5Bid%5D=49/når:2020-03-31", "Vegkart")</f>
        <v>Vegkart</v>
      </c>
      <c r="B3238">
        <v>1007516464</v>
      </c>
      <c r="C3238">
        <v>49</v>
      </c>
      <c r="D3238" t="s">
        <v>8701</v>
      </c>
      <c r="E3238">
        <v>8917</v>
      </c>
      <c r="F3238" t="s">
        <v>23479</v>
      </c>
      <c r="G3238">
        <v>1</v>
      </c>
      <c r="H3238" t="s">
        <v>10790</v>
      </c>
      <c r="J3238" t="s">
        <v>10526</v>
      </c>
      <c r="K3238" t="s">
        <v>335</v>
      </c>
      <c r="L3238" t="s">
        <v>22</v>
      </c>
      <c r="M3238" t="s">
        <v>2280</v>
      </c>
      <c r="N3238" t="s">
        <v>10809</v>
      </c>
      <c r="O3238" t="s">
        <v>10810</v>
      </c>
      <c r="P3238" s="2" t="s">
        <v>37</v>
      </c>
      <c r="Q3238" t="s">
        <v>1208</v>
      </c>
      <c r="R3238">
        <v>0.63</v>
      </c>
      <c r="S3238">
        <v>25.89</v>
      </c>
      <c r="T3238" t="s">
        <v>10811</v>
      </c>
    </row>
    <row r="3239" spans="1:20" x14ac:dyDescent="0.25">
      <c r="A3239" s="1" t="str">
        <f>HYPERLINK("https://vegkart.atlas.vegvesen.no/#/@268620.0,6650302.9,18/hva:hva%5B0%5D%5Bfilter%5D%5B0%5D%5Boperator%5D=%21%3D&amp;hva%5B0%5D%5Bfilter%5D%5B0%5D%5Btype_id%5D=8917&amp;hva%5B0%5D%5Bfilter%5D%5B0%5D%5Bverdi%5D=&amp;hva%5B0%5D%5Bid%5D=49/når:2020-03-31", "Vegkart")</f>
        <v>Vegkart</v>
      </c>
      <c r="B3239">
        <v>1007516546</v>
      </c>
      <c r="C3239">
        <v>49</v>
      </c>
      <c r="D3239" t="s">
        <v>8701</v>
      </c>
      <c r="E3239">
        <v>8917</v>
      </c>
      <c r="F3239" t="s">
        <v>23479</v>
      </c>
      <c r="G3239">
        <v>1</v>
      </c>
      <c r="H3239" t="s">
        <v>10790</v>
      </c>
      <c r="J3239" t="s">
        <v>10526</v>
      </c>
      <c r="K3239" t="s">
        <v>335</v>
      </c>
      <c r="L3239" t="s">
        <v>22</v>
      </c>
      <c r="M3239" t="s">
        <v>2280</v>
      </c>
      <c r="N3239" t="s">
        <v>10812</v>
      </c>
      <c r="O3239" t="s">
        <v>10813</v>
      </c>
      <c r="P3239" s="2" t="s">
        <v>37</v>
      </c>
      <c r="Q3239" t="s">
        <v>1208</v>
      </c>
      <c r="R3239">
        <v>0.95</v>
      </c>
      <c r="S3239">
        <v>23.09</v>
      </c>
      <c r="T3239" t="s">
        <v>10814</v>
      </c>
    </row>
    <row r="3240" spans="1:20" x14ac:dyDescent="0.25">
      <c r="A3240" s="1" t="str">
        <f>HYPERLINK("https://vegkart.atlas.vegvesen.no/#/@268637.0,6650316.6,18/hva:hva%5B0%5D%5Bfilter%5D%5B0%5D%5Boperator%5D=%21%3D&amp;hva%5B0%5D%5Bfilter%5D%5B0%5D%5Btype_id%5D=8917&amp;hva%5B0%5D%5Bfilter%5D%5B0%5D%5Bverdi%5D=&amp;hva%5B0%5D%5Bid%5D=49/når:2020-03-31", "Vegkart")</f>
        <v>Vegkart</v>
      </c>
      <c r="B3240">
        <v>1007516550</v>
      </c>
      <c r="C3240">
        <v>49</v>
      </c>
      <c r="D3240" t="s">
        <v>8701</v>
      </c>
      <c r="E3240">
        <v>8917</v>
      </c>
      <c r="F3240" t="s">
        <v>23479</v>
      </c>
      <c r="G3240">
        <v>1</v>
      </c>
      <c r="H3240" t="s">
        <v>10790</v>
      </c>
      <c r="J3240" t="s">
        <v>10526</v>
      </c>
      <c r="K3240" t="s">
        <v>335</v>
      </c>
      <c r="L3240" t="s">
        <v>22</v>
      </c>
      <c r="M3240" t="s">
        <v>2280</v>
      </c>
      <c r="N3240" t="s">
        <v>10815</v>
      </c>
      <c r="O3240" t="s">
        <v>10816</v>
      </c>
      <c r="P3240" s="2" t="s">
        <v>37</v>
      </c>
      <c r="Q3240" t="s">
        <v>1208</v>
      </c>
      <c r="R3240">
        <v>0.95</v>
      </c>
      <c r="S3240">
        <v>47.14</v>
      </c>
      <c r="T3240" t="s">
        <v>10817</v>
      </c>
    </row>
    <row r="3241" spans="1:20" x14ac:dyDescent="0.25">
      <c r="A3241" s="1" t="str">
        <f>HYPERLINK("https://vegkart.atlas.vegvesen.no/#/@268657.7,6650335.5,18/hva:hva%5B0%5D%5Bfilter%5D%5B0%5D%5Boperator%5D=%21%3D&amp;hva%5B0%5D%5Bfilter%5D%5B0%5D%5Btype_id%5D=8917&amp;hva%5B0%5D%5Bfilter%5D%5B0%5D%5Bverdi%5D=&amp;hva%5B0%5D%5Bid%5D=49/når:2020-03-31", "Vegkart")</f>
        <v>Vegkart</v>
      </c>
      <c r="B3241">
        <v>1007516558</v>
      </c>
      <c r="C3241">
        <v>49</v>
      </c>
      <c r="D3241" t="s">
        <v>8701</v>
      </c>
      <c r="E3241">
        <v>8917</v>
      </c>
      <c r="F3241" t="s">
        <v>23479</v>
      </c>
      <c r="G3241">
        <v>1</v>
      </c>
      <c r="H3241" t="s">
        <v>10790</v>
      </c>
      <c r="J3241" t="s">
        <v>10526</v>
      </c>
      <c r="K3241" t="s">
        <v>335</v>
      </c>
      <c r="L3241" t="s">
        <v>22</v>
      </c>
      <c r="M3241" t="s">
        <v>2280</v>
      </c>
      <c r="N3241" t="s">
        <v>10818</v>
      </c>
      <c r="O3241" t="s">
        <v>10819</v>
      </c>
      <c r="P3241" s="2" t="s">
        <v>37</v>
      </c>
      <c r="Q3241" t="s">
        <v>1208</v>
      </c>
      <c r="R3241">
        <v>0.34</v>
      </c>
      <c r="S3241">
        <v>52.01</v>
      </c>
      <c r="T3241" t="s">
        <v>10820</v>
      </c>
    </row>
    <row r="3242" spans="1:20" x14ac:dyDescent="0.25">
      <c r="A3242" s="1" t="str">
        <f>HYPERLINK("https://vegkart.atlas.vegvesen.no/#/@267396.9,6648989.5,18/hva:hva%5B0%5D%5Bfilter%5D%5B0%5D%5Boperator%5D=%21%3D&amp;hva%5B0%5D%5Bfilter%5D%5B0%5D%5Btype_id%5D=8917&amp;hva%5B0%5D%5Bfilter%5D%5B0%5D%5Bverdi%5D=&amp;hva%5B0%5D%5Bid%5D=49/når:2020-03-31", "Vegkart")</f>
        <v>Vegkart</v>
      </c>
      <c r="B3242">
        <v>1007516629</v>
      </c>
      <c r="C3242">
        <v>49</v>
      </c>
      <c r="D3242" t="s">
        <v>8701</v>
      </c>
      <c r="E3242">
        <v>8917</v>
      </c>
      <c r="F3242" t="s">
        <v>23479</v>
      </c>
      <c r="G3242">
        <v>1</v>
      </c>
      <c r="H3242" t="s">
        <v>10790</v>
      </c>
      <c r="J3242" t="s">
        <v>10526</v>
      </c>
      <c r="K3242" t="s">
        <v>335</v>
      </c>
      <c r="L3242" t="s">
        <v>22</v>
      </c>
      <c r="M3242" t="s">
        <v>2280</v>
      </c>
      <c r="N3242" t="s">
        <v>10821</v>
      </c>
      <c r="O3242" t="s">
        <v>10822</v>
      </c>
      <c r="P3242" s="2" t="s">
        <v>37</v>
      </c>
      <c r="Q3242" t="s">
        <v>1208</v>
      </c>
      <c r="R3242">
        <v>1</v>
      </c>
      <c r="S3242">
        <v>43.4</v>
      </c>
      <c r="T3242" t="s">
        <v>10823</v>
      </c>
    </row>
    <row r="3243" spans="1:20" x14ac:dyDescent="0.25">
      <c r="A3243" s="1" t="str">
        <f>HYPERLINK("https://vegkart.atlas.vegvesen.no/#/@267661.2,6649071.4,18/hva:hva%5B0%5D%5Bfilter%5D%5B0%5D%5Boperator%5D=%21%3D&amp;hva%5B0%5D%5Bfilter%5D%5B0%5D%5Btype_id%5D=8917&amp;hva%5B0%5D%5Bfilter%5D%5B0%5D%5Bverdi%5D=&amp;hva%5B0%5D%5Bid%5D=49/når:2020-03-31", "Vegkart")</f>
        <v>Vegkart</v>
      </c>
      <c r="B3243">
        <v>1007516643</v>
      </c>
      <c r="C3243">
        <v>49</v>
      </c>
      <c r="D3243" t="s">
        <v>8701</v>
      </c>
      <c r="E3243">
        <v>8917</v>
      </c>
      <c r="F3243" t="s">
        <v>23479</v>
      </c>
      <c r="G3243">
        <v>1</v>
      </c>
      <c r="H3243" t="s">
        <v>10790</v>
      </c>
      <c r="J3243" t="s">
        <v>10526</v>
      </c>
      <c r="K3243" t="s">
        <v>335</v>
      </c>
      <c r="L3243" t="s">
        <v>22</v>
      </c>
      <c r="M3243" t="s">
        <v>2280</v>
      </c>
      <c r="N3243" t="s">
        <v>10824</v>
      </c>
      <c r="O3243" t="s">
        <v>10825</v>
      </c>
      <c r="P3243" s="2" t="s">
        <v>37</v>
      </c>
      <c r="Q3243" t="s">
        <v>1208</v>
      </c>
      <c r="R3243">
        <v>0.76</v>
      </c>
      <c r="S3243">
        <v>10.53</v>
      </c>
      <c r="T3243" t="s">
        <v>10826</v>
      </c>
    </row>
    <row r="3244" spans="1:20" x14ac:dyDescent="0.25">
      <c r="A3244" s="1" t="str">
        <f>HYPERLINK("https://vegkart.atlas.vegvesen.no/#/@266553.8,6649083.6,18/hva:hva%5B0%5D%5Bfilter%5D%5B0%5D%5Boperator%5D=%21%3D&amp;hva%5B0%5D%5Bfilter%5D%5B0%5D%5Btype_id%5D=8917&amp;hva%5B0%5D%5Bfilter%5D%5B0%5D%5Bverdi%5D=&amp;hva%5B0%5D%5Bid%5D=49/når:2020-03-31", "Vegkart")</f>
        <v>Vegkart</v>
      </c>
      <c r="B3244">
        <v>1007517064</v>
      </c>
      <c r="C3244">
        <v>49</v>
      </c>
      <c r="D3244" t="s">
        <v>8701</v>
      </c>
      <c r="E3244">
        <v>8917</v>
      </c>
      <c r="F3244" t="s">
        <v>23479</v>
      </c>
      <c r="G3244">
        <v>1</v>
      </c>
      <c r="H3244" t="s">
        <v>10790</v>
      </c>
      <c r="J3244" t="s">
        <v>10526</v>
      </c>
      <c r="K3244" t="s">
        <v>335</v>
      </c>
      <c r="L3244" t="s">
        <v>22</v>
      </c>
      <c r="M3244" t="s">
        <v>2280</v>
      </c>
      <c r="N3244" t="s">
        <v>10827</v>
      </c>
      <c r="O3244" t="s">
        <v>10828</v>
      </c>
      <c r="P3244" s="2" t="s">
        <v>37</v>
      </c>
      <c r="Q3244" t="s">
        <v>1208</v>
      </c>
      <c r="R3244">
        <v>0.89</v>
      </c>
      <c r="S3244">
        <v>68.94</v>
      </c>
      <c r="T3244" t="s">
        <v>10829</v>
      </c>
    </row>
    <row r="3245" spans="1:20" x14ac:dyDescent="0.25">
      <c r="A3245" s="1" t="str">
        <f>HYPERLINK("https://vegkart.atlas.vegvesen.no/#/@266289.5,6648363.1,18/hva:hva%5B0%5D%5Bfilter%5D%5B0%5D%5Boperator%5D=%21%3D&amp;hva%5B0%5D%5Bfilter%5D%5B0%5D%5Btype_id%5D=8917&amp;hva%5B0%5D%5Bfilter%5D%5B0%5D%5Bverdi%5D=&amp;hva%5B0%5D%5Bid%5D=49/når:2020-03-31", "Vegkart")</f>
        <v>Vegkart</v>
      </c>
      <c r="B3245">
        <v>1007521623</v>
      </c>
      <c r="C3245">
        <v>49</v>
      </c>
      <c r="D3245" t="s">
        <v>8701</v>
      </c>
      <c r="E3245">
        <v>8917</v>
      </c>
      <c r="F3245" t="s">
        <v>23479</v>
      </c>
      <c r="G3245">
        <v>1</v>
      </c>
      <c r="H3245" t="s">
        <v>10790</v>
      </c>
      <c r="J3245" t="s">
        <v>10526</v>
      </c>
      <c r="K3245" t="s">
        <v>335</v>
      </c>
      <c r="L3245" t="s">
        <v>22</v>
      </c>
      <c r="M3245" t="s">
        <v>10445</v>
      </c>
      <c r="N3245" t="s">
        <v>10830</v>
      </c>
      <c r="O3245" t="s">
        <v>10831</v>
      </c>
      <c r="P3245" s="2" t="s">
        <v>37</v>
      </c>
      <c r="Q3245" t="s">
        <v>1208</v>
      </c>
      <c r="R3245">
        <v>0.6</v>
      </c>
      <c r="S3245">
        <v>21.73</v>
      </c>
      <c r="T3245" t="s">
        <v>10832</v>
      </c>
    </row>
    <row r="3246" spans="1:20" x14ac:dyDescent="0.25">
      <c r="A3246" s="1" t="str">
        <f>HYPERLINK("https://vegkart.atlas.vegvesen.no/#/@264160.2,6649610.5,18/hva:hva%5B0%5D%5Bfilter%5D%5B0%5D%5Boperator%5D=%21%3D&amp;hva%5B0%5D%5Bfilter%5D%5B0%5D%5Btype_id%5D=8917&amp;hva%5B0%5D%5Bfilter%5D%5B0%5D%5Bverdi%5D=&amp;hva%5B0%5D%5Bid%5D=49/når:2020-03-31", "Vegkart")</f>
        <v>Vegkart</v>
      </c>
      <c r="B3246">
        <v>1007550284</v>
      </c>
      <c r="C3246">
        <v>49</v>
      </c>
      <c r="D3246" t="s">
        <v>8701</v>
      </c>
      <c r="E3246">
        <v>8917</v>
      </c>
      <c r="F3246" t="s">
        <v>23479</v>
      </c>
      <c r="G3246">
        <v>1</v>
      </c>
      <c r="H3246" t="s">
        <v>10790</v>
      </c>
      <c r="J3246" t="s">
        <v>10526</v>
      </c>
      <c r="K3246" t="s">
        <v>335</v>
      </c>
      <c r="L3246" t="s">
        <v>22</v>
      </c>
      <c r="M3246" t="s">
        <v>10833</v>
      </c>
      <c r="N3246" t="s">
        <v>10834</v>
      </c>
      <c r="O3246" t="s">
        <v>10835</v>
      </c>
      <c r="P3246" s="2" t="s">
        <v>26</v>
      </c>
      <c r="Q3246" t="s">
        <v>50</v>
      </c>
      <c r="R3246">
        <v>13.48</v>
      </c>
      <c r="S3246">
        <v>13.48</v>
      </c>
      <c r="T3246" t="s">
        <v>10836</v>
      </c>
    </row>
    <row r="3247" spans="1:20" x14ac:dyDescent="0.25">
      <c r="A3247" s="1" t="str">
        <f>HYPERLINK("https://vegkart.atlas.vegvesen.no/#/@264144.3,6649630.5,18/hva:hva%5B0%5D%5Bfilter%5D%5B0%5D%5Boperator%5D=%21%3D&amp;hva%5B0%5D%5Bfilter%5D%5B0%5D%5Btype_id%5D=8917&amp;hva%5B0%5D%5Bfilter%5D%5B0%5D%5Bverdi%5D=&amp;hva%5B0%5D%5Bid%5D=49/når:2020-04-01", "Vegkart")</f>
        <v>Vegkart</v>
      </c>
      <c r="B3247">
        <v>1007553098</v>
      </c>
      <c r="C3247">
        <v>49</v>
      </c>
      <c r="D3247" t="s">
        <v>8701</v>
      </c>
      <c r="E3247">
        <v>8917</v>
      </c>
      <c r="F3247" t="s">
        <v>23479</v>
      </c>
      <c r="G3247">
        <v>1</v>
      </c>
      <c r="H3247" t="s">
        <v>1020</v>
      </c>
      <c r="J3247" t="s">
        <v>10526</v>
      </c>
      <c r="K3247" t="s">
        <v>335</v>
      </c>
      <c r="L3247" t="s">
        <v>22</v>
      </c>
      <c r="M3247" t="s">
        <v>9355</v>
      </c>
      <c r="N3247" t="s">
        <v>10837</v>
      </c>
      <c r="O3247" t="s">
        <v>10838</v>
      </c>
      <c r="P3247" s="2" t="s">
        <v>37</v>
      </c>
      <c r="Q3247" t="s">
        <v>1208</v>
      </c>
      <c r="R3247">
        <v>0.52</v>
      </c>
      <c r="S3247">
        <v>22.36</v>
      </c>
      <c r="T3247" t="s">
        <v>10839</v>
      </c>
    </row>
    <row r="3248" spans="1:20" x14ac:dyDescent="0.25">
      <c r="A3248" s="1" t="str">
        <f>HYPERLINK("https://vegkart.atlas.vegvesen.no/#/@263785.8,6649468.3,18/hva:hva%5B0%5D%5Bfilter%5D%5B0%5D%5Boperator%5D=%21%3D&amp;hva%5B0%5D%5Bfilter%5D%5B0%5D%5Btype_id%5D=8917&amp;hva%5B0%5D%5Bfilter%5D%5B0%5D%5Bverdi%5D=&amp;hva%5B0%5D%5Bid%5D=49/når:2020-04-01", "Vegkart")</f>
        <v>Vegkart</v>
      </c>
      <c r="B3248">
        <v>1007553246</v>
      </c>
      <c r="C3248">
        <v>49</v>
      </c>
      <c r="D3248" t="s">
        <v>8701</v>
      </c>
      <c r="E3248">
        <v>8917</v>
      </c>
      <c r="F3248" t="s">
        <v>23479</v>
      </c>
      <c r="G3248">
        <v>1</v>
      </c>
      <c r="H3248" t="s">
        <v>1020</v>
      </c>
      <c r="J3248" t="s">
        <v>10526</v>
      </c>
      <c r="K3248" t="s">
        <v>335</v>
      </c>
      <c r="L3248" t="s">
        <v>22</v>
      </c>
      <c r="M3248" t="s">
        <v>10840</v>
      </c>
      <c r="N3248" t="s">
        <v>10841</v>
      </c>
      <c r="O3248" t="s">
        <v>10842</v>
      </c>
      <c r="P3248" s="2" t="s">
        <v>37</v>
      </c>
      <c r="Q3248" t="s">
        <v>1208</v>
      </c>
      <c r="R3248">
        <v>0.91</v>
      </c>
      <c r="S3248">
        <v>17.899999999999999</v>
      </c>
      <c r="T3248" t="s">
        <v>10843</v>
      </c>
    </row>
    <row r="3249" spans="1:20" x14ac:dyDescent="0.25">
      <c r="A3249" s="1" t="str">
        <f>HYPERLINK("https://vegkart.atlas.vegvesen.no/#/@263475.0,6649617.6,18/hva:hva%5B0%5D%5Bfilter%5D%5B0%5D%5Boperator%5D=%21%3D&amp;hva%5B0%5D%5Bfilter%5D%5B0%5D%5Btype_id%5D=8917&amp;hva%5B0%5D%5Bfilter%5D%5B0%5D%5Bverdi%5D=&amp;hva%5B0%5D%5Bid%5D=49/når:2020-04-01", "Vegkart")</f>
        <v>Vegkart</v>
      </c>
      <c r="B3249">
        <v>1007554289</v>
      </c>
      <c r="C3249">
        <v>49</v>
      </c>
      <c r="D3249" t="s">
        <v>8701</v>
      </c>
      <c r="E3249">
        <v>8917</v>
      </c>
      <c r="F3249" t="s">
        <v>23479</v>
      </c>
      <c r="G3249">
        <v>1</v>
      </c>
      <c r="H3249" t="s">
        <v>1020</v>
      </c>
      <c r="J3249" t="s">
        <v>10526</v>
      </c>
      <c r="K3249" t="s">
        <v>335</v>
      </c>
      <c r="L3249" t="s">
        <v>22</v>
      </c>
      <c r="M3249" t="s">
        <v>1761</v>
      </c>
      <c r="N3249" t="s">
        <v>10844</v>
      </c>
      <c r="O3249" t="s">
        <v>10845</v>
      </c>
      <c r="P3249" s="2" t="s">
        <v>37</v>
      </c>
      <c r="Q3249" t="s">
        <v>1208</v>
      </c>
      <c r="R3249">
        <v>0.98</v>
      </c>
      <c r="S3249">
        <v>25.73</v>
      </c>
      <c r="T3249" t="s">
        <v>10846</v>
      </c>
    </row>
    <row r="3250" spans="1:20" x14ac:dyDescent="0.25">
      <c r="A3250" s="1" t="str">
        <f>HYPERLINK("https://vegkart.atlas.vegvesen.no/#/@263323.0,6653799.2,18/hva:hva%5B0%5D%5Bfilter%5D%5B0%5D%5Boperator%5D=%21%3D&amp;hva%5B0%5D%5Bfilter%5D%5B0%5D%5Btype_id%5D=8917&amp;hva%5B0%5D%5Bfilter%5D%5B0%5D%5Bverdi%5D=&amp;hva%5B0%5D%5Bid%5D=49/når:2020-04-01", "Vegkart")</f>
        <v>Vegkart</v>
      </c>
      <c r="B3250">
        <v>1007618699</v>
      </c>
      <c r="C3250">
        <v>49</v>
      </c>
      <c r="D3250" t="s">
        <v>8701</v>
      </c>
      <c r="E3250">
        <v>8917</v>
      </c>
      <c r="F3250" t="s">
        <v>23479</v>
      </c>
      <c r="G3250">
        <v>1</v>
      </c>
      <c r="H3250" t="s">
        <v>1020</v>
      </c>
      <c r="J3250" t="s">
        <v>10526</v>
      </c>
      <c r="K3250" t="s">
        <v>335</v>
      </c>
      <c r="L3250" t="s">
        <v>22</v>
      </c>
      <c r="M3250" t="s">
        <v>10638</v>
      </c>
      <c r="N3250" t="s">
        <v>10847</v>
      </c>
      <c r="O3250" t="s">
        <v>10848</v>
      </c>
      <c r="P3250" s="2" t="s">
        <v>37</v>
      </c>
      <c r="Q3250" t="s">
        <v>1208</v>
      </c>
      <c r="R3250">
        <v>0.42</v>
      </c>
      <c r="S3250">
        <v>56.5</v>
      </c>
      <c r="T3250" t="s">
        <v>10849</v>
      </c>
    </row>
    <row r="3251" spans="1:20" x14ac:dyDescent="0.25">
      <c r="A3251" s="1" t="str">
        <f>HYPERLINK("https://vegkart.atlas.vegvesen.no/#/@263326.1,6653773.2,18/hva:hva%5B0%5D%5Bfilter%5D%5B0%5D%5Boperator%5D=%21%3D&amp;hva%5B0%5D%5Bfilter%5D%5B0%5D%5Btype_id%5D=8917&amp;hva%5B0%5D%5Bfilter%5D%5B0%5D%5Bverdi%5D=&amp;hva%5B0%5D%5Bid%5D=49/når:2020-04-01", "Vegkart")</f>
        <v>Vegkart</v>
      </c>
      <c r="B3251">
        <v>1007618704</v>
      </c>
      <c r="C3251">
        <v>49</v>
      </c>
      <c r="D3251" t="s">
        <v>8701</v>
      </c>
      <c r="E3251">
        <v>8917</v>
      </c>
      <c r="F3251" t="s">
        <v>23479</v>
      </c>
      <c r="G3251">
        <v>1</v>
      </c>
      <c r="H3251" t="s">
        <v>1020</v>
      </c>
      <c r="J3251" t="s">
        <v>10526</v>
      </c>
      <c r="K3251" t="s">
        <v>335</v>
      </c>
      <c r="L3251" t="s">
        <v>22</v>
      </c>
      <c r="M3251" t="s">
        <v>10638</v>
      </c>
      <c r="N3251" t="s">
        <v>10850</v>
      </c>
      <c r="O3251" t="s">
        <v>10851</v>
      </c>
      <c r="P3251" s="2" t="s">
        <v>37</v>
      </c>
      <c r="Q3251" t="s">
        <v>1208</v>
      </c>
      <c r="R3251">
        <v>1.01</v>
      </c>
      <c r="S3251">
        <v>40.65</v>
      </c>
      <c r="T3251" t="s">
        <v>10852</v>
      </c>
    </row>
    <row r="3252" spans="1:20" x14ac:dyDescent="0.25">
      <c r="A3252" s="1" t="str">
        <f>HYPERLINK("https://vegkart.atlas.vegvesen.no/#/@257703.1,6653076.4,18/hva:hva%5B0%5D%5Bfilter%5D%5B0%5D%5Boperator%5D=%21%3D&amp;hva%5B0%5D%5Bfilter%5D%5B0%5D%5Btype_id%5D=8917&amp;hva%5B0%5D%5Bfilter%5D%5B0%5D%5Bverdi%5D=&amp;hva%5B0%5D%5Bid%5D=49/når:2020-04-01", "Vegkart")</f>
        <v>Vegkart</v>
      </c>
      <c r="B3252">
        <v>1007620540</v>
      </c>
      <c r="C3252">
        <v>49</v>
      </c>
      <c r="D3252" t="s">
        <v>8701</v>
      </c>
      <c r="E3252">
        <v>8917</v>
      </c>
      <c r="F3252" t="s">
        <v>23479</v>
      </c>
      <c r="G3252">
        <v>1</v>
      </c>
      <c r="H3252" t="s">
        <v>1020</v>
      </c>
      <c r="J3252" t="s">
        <v>10526</v>
      </c>
      <c r="K3252" t="s">
        <v>335</v>
      </c>
      <c r="L3252" t="s">
        <v>22</v>
      </c>
      <c r="M3252" t="s">
        <v>10853</v>
      </c>
      <c r="N3252" t="s">
        <v>10854</v>
      </c>
      <c r="O3252" t="s">
        <v>10855</v>
      </c>
      <c r="P3252" s="2" t="s">
        <v>37</v>
      </c>
      <c r="Q3252" t="s">
        <v>1208</v>
      </c>
      <c r="R3252">
        <v>0.76</v>
      </c>
      <c r="S3252">
        <v>25.95</v>
      </c>
      <c r="T3252" t="s">
        <v>10856</v>
      </c>
    </row>
    <row r="3253" spans="1:20" x14ac:dyDescent="0.25">
      <c r="A3253" s="1" t="str">
        <f>HYPERLINK("https://vegkart.atlas.vegvesen.no/#/@263243.1,6653031.2,18/hva:hva%5B0%5D%5Bfilter%5D%5B0%5D%5Boperator%5D=%21%3D&amp;hva%5B0%5D%5Bfilter%5D%5B0%5D%5Btype_id%5D=8917&amp;hva%5B0%5D%5Bfilter%5D%5B0%5D%5Bverdi%5D=&amp;hva%5B0%5D%5Bid%5D=49/når:2020-04-01", "Vegkart")</f>
        <v>Vegkart</v>
      </c>
      <c r="B3253">
        <v>1007620541</v>
      </c>
      <c r="C3253">
        <v>49</v>
      </c>
      <c r="D3253" t="s">
        <v>8701</v>
      </c>
      <c r="E3253">
        <v>8917</v>
      </c>
      <c r="F3253" t="s">
        <v>23479</v>
      </c>
      <c r="G3253">
        <v>1</v>
      </c>
      <c r="H3253" t="s">
        <v>1020</v>
      </c>
      <c r="J3253" t="s">
        <v>10526</v>
      </c>
      <c r="K3253" t="s">
        <v>335</v>
      </c>
      <c r="L3253" t="s">
        <v>22</v>
      </c>
      <c r="M3253" t="s">
        <v>10638</v>
      </c>
      <c r="N3253" t="s">
        <v>10857</v>
      </c>
      <c r="O3253" t="s">
        <v>10858</v>
      </c>
      <c r="P3253" s="2" t="s">
        <v>37</v>
      </c>
      <c r="Q3253" t="s">
        <v>1208</v>
      </c>
      <c r="R3253">
        <v>0.69</v>
      </c>
      <c r="S3253">
        <v>27.74</v>
      </c>
      <c r="T3253" t="s">
        <v>10859</v>
      </c>
    </row>
    <row r="3254" spans="1:20" x14ac:dyDescent="0.25">
      <c r="A3254" s="1" t="str">
        <f>HYPERLINK("https://vegkart.atlas.vegvesen.no/#/@263251.7,6653011.5,18/hva:hva%5B0%5D%5Bfilter%5D%5B0%5D%5Boperator%5D=%21%3D&amp;hva%5B0%5D%5Bfilter%5D%5B0%5D%5Btype_id%5D=8917&amp;hva%5B0%5D%5Bfilter%5D%5B0%5D%5Bverdi%5D=&amp;hva%5B0%5D%5Bid%5D=49/når:2020-04-01", "Vegkart")</f>
        <v>Vegkart</v>
      </c>
      <c r="B3254">
        <v>1007620556</v>
      </c>
      <c r="C3254">
        <v>49</v>
      </c>
      <c r="D3254" t="s">
        <v>8701</v>
      </c>
      <c r="E3254">
        <v>8917</v>
      </c>
      <c r="F3254" t="s">
        <v>23479</v>
      </c>
      <c r="G3254">
        <v>1</v>
      </c>
      <c r="H3254" t="s">
        <v>1020</v>
      </c>
      <c r="J3254" t="s">
        <v>10526</v>
      </c>
      <c r="K3254" t="s">
        <v>335</v>
      </c>
      <c r="L3254" t="s">
        <v>22</v>
      </c>
      <c r="M3254" t="s">
        <v>10638</v>
      </c>
      <c r="N3254" t="s">
        <v>10860</v>
      </c>
      <c r="O3254" t="s">
        <v>10861</v>
      </c>
      <c r="P3254" s="2" t="s">
        <v>37</v>
      </c>
      <c r="Q3254" t="s">
        <v>1208</v>
      </c>
      <c r="R3254">
        <v>0.08</v>
      </c>
      <c r="S3254">
        <v>44.08</v>
      </c>
      <c r="T3254" t="s">
        <v>10862</v>
      </c>
    </row>
    <row r="3255" spans="1:20" x14ac:dyDescent="0.25">
      <c r="A3255" s="1" t="str">
        <f>HYPERLINK("https://vegkart.atlas.vegvesen.no/#/@263206.3,6652779.0,18/hva:hva%5B0%5D%5Bfilter%5D%5B0%5D%5Boperator%5D=%21%3D&amp;hva%5B0%5D%5Bfilter%5D%5B0%5D%5Btype_id%5D=8917&amp;hva%5B0%5D%5Bfilter%5D%5B0%5D%5Bverdi%5D=&amp;hva%5B0%5D%5Bid%5D=49/når:2020-04-01", "Vegkart")</f>
        <v>Vegkart</v>
      </c>
      <c r="B3255">
        <v>1007620563</v>
      </c>
      <c r="C3255">
        <v>49</v>
      </c>
      <c r="D3255" t="s">
        <v>8701</v>
      </c>
      <c r="E3255">
        <v>8917</v>
      </c>
      <c r="F3255" t="s">
        <v>23479</v>
      </c>
      <c r="G3255">
        <v>1</v>
      </c>
      <c r="H3255" t="s">
        <v>1020</v>
      </c>
      <c r="J3255" t="s">
        <v>10526</v>
      </c>
      <c r="K3255" t="s">
        <v>335</v>
      </c>
      <c r="L3255" t="s">
        <v>22</v>
      </c>
      <c r="M3255" t="s">
        <v>10863</v>
      </c>
      <c r="N3255" t="s">
        <v>10864</v>
      </c>
      <c r="O3255" t="s">
        <v>10865</v>
      </c>
      <c r="P3255" s="2" t="s">
        <v>37</v>
      </c>
      <c r="Q3255" t="s">
        <v>1208</v>
      </c>
      <c r="R3255">
        <v>0.35</v>
      </c>
      <c r="S3255">
        <v>31.37</v>
      </c>
      <c r="T3255" t="s">
        <v>10866</v>
      </c>
    </row>
    <row r="3256" spans="1:20" x14ac:dyDescent="0.25">
      <c r="A3256" s="1" t="str">
        <f>HYPERLINK("https://vegkart.atlas.vegvesen.no/#/@263244.4,6652990.2,18/hva:hva%5B0%5D%5Bfilter%5D%5B0%5D%5Boperator%5D=%21%3D&amp;hva%5B0%5D%5Bfilter%5D%5B0%5D%5Btype_id%5D=8917&amp;hva%5B0%5D%5Bfilter%5D%5B0%5D%5Bverdi%5D=&amp;hva%5B0%5D%5Bid%5D=49/når:2020-04-01", "Vegkart")</f>
        <v>Vegkart</v>
      </c>
      <c r="B3256">
        <v>1007620699</v>
      </c>
      <c r="C3256">
        <v>49</v>
      </c>
      <c r="D3256" t="s">
        <v>8701</v>
      </c>
      <c r="E3256">
        <v>8917</v>
      </c>
      <c r="F3256" t="s">
        <v>23479</v>
      </c>
      <c r="G3256">
        <v>1</v>
      </c>
      <c r="H3256" t="s">
        <v>1020</v>
      </c>
      <c r="J3256" t="s">
        <v>10526</v>
      </c>
      <c r="K3256" t="s">
        <v>335</v>
      </c>
      <c r="L3256" t="s">
        <v>22</v>
      </c>
      <c r="M3256" t="s">
        <v>10638</v>
      </c>
      <c r="N3256" t="s">
        <v>10867</v>
      </c>
      <c r="O3256" t="s">
        <v>10868</v>
      </c>
      <c r="P3256" s="2" t="s">
        <v>37</v>
      </c>
      <c r="Q3256" t="s">
        <v>1208</v>
      </c>
      <c r="R3256">
        <v>0.33</v>
      </c>
      <c r="S3256">
        <v>31.68</v>
      </c>
      <c r="T3256" t="s">
        <v>10869</v>
      </c>
    </row>
    <row r="3257" spans="1:20" x14ac:dyDescent="0.25">
      <c r="A3257" s="1" t="str">
        <f>HYPERLINK("https://vegkart.atlas.vegvesen.no/#/@259977.9,6650579.1,18/hva:hva%5B0%5D%5Bfilter%5D%5B0%5D%5Boperator%5D=%21%3D&amp;hva%5B0%5D%5Bfilter%5D%5B0%5D%5Btype_id%5D=8917&amp;hva%5B0%5D%5Bfilter%5D%5B0%5D%5Bverdi%5D=&amp;hva%5B0%5D%5Bid%5D=49/når:2020-04-01", "Vegkart")</f>
        <v>Vegkart</v>
      </c>
      <c r="B3257">
        <v>1007620702</v>
      </c>
      <c r="C3257">
        <v>49</v>
      </c>
      <c r="D3257" t="s">
        <v>8701</v>
      </c>
      <c r="E3257">
        <v>8917</v>
      </c>
      <c r="F3257" t="s">
        <v>23479</v>
      </c>
      <c r="G3257">
        <v>1</v>
      </c>
      <c r="H3257" t="s">
        <v>1020</v>
      </c>
      <c r="J3257" t="s">
        <v>10526</v>
      </c>
      <c r="K3257" t="s">
        <v>335</v>
      </c>
      <c r="L3257" t="s">
        <v>22</v>
      </c>
      <c r="M3257" t="s">
        <v>4178</v>
      </c>
      <c r="N3257" t="s">
        <v>10870</v>
      </c>
      <c r="O3257" t="s">
        <v>10871</v>
      </c>
      <c r="P3257" s="2" t="s">
        <v>37</v>
      </c>
      <c r="Q3257" t="s">
        <v>1208</v>
      </c>
      <c r="R3257">
        <v>0.6</v>
      </c>
      <c r="S3257">
        <v>142.05000000000001</v>
      </c>
      <c r="T3257" t="s">
        <v>10872</v>
      </c>
    </row>
    <row r="3258" spans="1:20" x14ac:dyDescent="0.25">
      <c r="A3258" s="1" t="str">
        <f>HYPERLINK("https://vegkart.atlas.vegvesen.no/#/@267018.2,6650175.5,18/hva:hva%5B0%5D%5Bfilter%5D%5B0%5D%5Boperator%5D=%21%3D&amp;hva%5B0%5D%5Bfilter%5D%5B0%5D%5Btype_id%5D=8917&amp;hva%5B0%5D%5Bfilter%5D%5B0%5D%5Bverdi%5D=&amp;hva%5B0%5D%5Bid%5D=49/når:2020-04-01", "Vegkart")</f>
        <v>Vegkart</v>
      </c>
      <c r="B3258">
        <v>1007621103</v>
      </c>
      <c r="C3258">
        <v>49</v>
      </c>
      <c r="D3258" t="s">
        <v>8701</v>
      </c>
      <c r="E3258">
        <v>8917</v>
      </c>
      <c r="F3258" t="s">
        <v>23479</v>
      </c>
      <c r="G3258">
        <v>1</v>
      </c>
      <c r="H3258" t="s">
        <v>1020</v>
      </c>
      <c r="J3258" t="s">
        <v>10526</v>
      </c>
      <c r="K3258" t="s">
        <v>335</v>
      </c>
      <c r="L3258" t="s">
        <v>22</v>
      </c>
      <c r="M3258" t="s">
        <v>10873</v>
      </c>
      <c r="N3258" t="s">
        <v>10874</v>
      </c>
      <c r="O3258" t="s">
        <v>10875</v>
      </c>
      <c r="P3258" s="2" t="s">
        <v>26</v>
      </c>
      <c r="Q3258" t="s">
        <v>50</v>
      </c>
      <c r="R3258">
        <v>10.3</v>
      </c>
      <c r="S3258">
        <v>10.3</v>
      </c>
      <c r="T3258" t="s">
        <v>10876</v>
      </c>
    </row>
    <row r="3259" spans="1:20" x14ac:dyDescent="0.25">
      <c r="A3259" s="1" t="str">
        <f>HYPERLINK("https://vegkart.atlas.vegvesen.no/#/@263972.3,6650721.0,18/hva:hva%5B0%5D%5Bfilter%5D%5B0%5D%5Boperator%5D=%21%3D&amp;hva%5B0%5D%5Bfilter%5D%5B0%5D%5Btype_id%5D=8917&amp;hva%5B0%5D%5Bfilter%5D%5B0%5D%5Bverdi%5D=&amp;hva%5B0%5D%5Bid%5D=49/når:2020-04-01", "Vegkart")</f>
        <v>Vegkart</v>
      </c>
      <c r="B3259">
        <v>1007621123</v>
      </c>
      <c r="C3259">
        <v>49</v>
      </c>
      <c r="D3259" t="s">
        <v>8701</v>
      </c>
      <c r="E3259">
        <v>8917</v>
      </c>
      <c r="F3259" t="s">
        <v>23479</v>
      </c>
      <c r="G3259">
        <v>1</v>
      </c>
      <c r="H3259" t="s">
        <v>1020</v>
      </c>
      <c r="J3259" t="s">
        <v>10526</v>
      </c>
      <c r="K3259" t="s">
        <v>335</v>
      </c>
      <c r="L3259" t="s">
        <v>22</v>
      </c>
      <c r="M3259" t="s">
        <v>1575</v>
      </c>
      <c r="N3259" t="s">
        <v>10877</v>
      </c>
      <c r="O3259" t="s">
        <v>10878</v>
      </c>
      <c r="P3259" s="2" t="s">
        <v>37</v>
      </c>
      <c r="Q3259" t="s">
        <v>1208</v>
      </c>
      <c r="R3259">
        <v>1.44</v>
      </c>
      <c r="S3259">
        <v>106.46</v>
      </c>
      <c r="T3259" t="s">
        <v>10879</v>
      </c>
    </row>
    <row r="3260" spans="1:20" x14ac:dyDescent="0.25">
      <c r="A3260" s="1" t="str">
        <f>HYPERLINK("https://vegkart.atlas.vegvesen.no/#/@263584.6,6650069.6,18/hva:hva%5B0%5D%5Bfilter%5D%5B0%5D%5Boperator%5D=%21%3D&amp;hva%5B0%5D%5Bfilter%5D%5B0%5D%5Btype_id%5D=8917&amp;hva%5B0%5D%5Bfilter%5D%5B0%5D%5Bverdi%5D=&amp;hva%5B0%5D%5Bid%5D=49/når:2020-04-01", "Vegkart")</f>
        <v>Vegkart</v>
      </c>
      <c r="B3260">
        <v>1007622071</v>
      </c>
      <c r="C3260">
        <v>49</v>
      </c>
      <c r="D3260" t="s">
        <v>8701</v>
      </c>
      <c r="E3260">
        <v>8917</v>
      </c>
      <c r="F3260" t="s">
        <v>23479</v>
      </c>
      <c r="G3260">
        <v>1</v>
      </c>
      <c r="H3260" t="s">
        <v>1020</v>
      </c>
      <c r="J3260" t="s">
        <v>10526</v>
      </c>
      <c r="K3260" t="s">
        <v>335</v>
      </c>
      <c r="L3260" t="s">
        <v>22</v>
      </c>
      <c r="M3260" t="s">
        <v>1575</v>
      </c>
      <c r="N3260" t="s">
        <v>10880</v>
      </c>
      <c r="O3260" t="s">
        <v>10881</v>
      </c>
      <c r="P3260" s="2" t="s">
        <v>37</v>
      </c>
      <c r="Q3260" t="s">
        <v>1208</v>
      </c>
      <c r="R3260">
        <v>0.6</v>
      </c>
      <c r="S3260">
        <v>17.78</v>
      </c>
      <c r="T3260" t="s">
        <v>10882</v>
      </c>
    </row>
    <row r="3261" spans="1:20" x14ac:dyDescent="0.25">
      <c r="A3261" s="1" t="str">
        <f>HYPERLINK("https://vegkart.atlas.vegvesen.no/#/@263999.8,6648703.0,18/hva:hva%5B0%5D%5Bfilter%5D%5B0%5D%5Boperator%5D=%21%3D&amp;hva%5B0%5D%5Bfilter%5D%5B0%5D%5Btype_id%5D=8917&amp;hva%5B0%5D%5Bfilter%5D%5B0%5D%5Bverdi%5D=&amp;hva%5B0%5D%5Bid%5D=49/når:2020-04-01", "Vegkart")</f>
        <v>Vegkart</v>
      </c>
      <c r="B3261">
        <v>1007622622</v>
      </c>
      <c r="C3261">
        <v>49</v>
      </c>
      <c r="D3261" t="s">
        <v>8701</v>
      </c>
      <c r="E3261">
        <v>8917</v>
      </c>
      <c r="F3261" t="s">
        <v>23479</v>
      </c>
      <c r="G3261">
        <v>1</v>
      </c>
      <c r="H3261" t="s">
        <v>1020</v>
      </c>
      <c r="J3261" t="s">
        <v>10526</v>
      </c>
      <c r="K3261" t="s">
        <v>335</v>
      </c>
      <c r="L3261" t="s">
        <v>22</v>
      </c>
      <c r="M3261" t="s">
        <v>4178</v>
      </c>
      <c r="N3261" t="s">
        <v>10883</v>
      </c>
      <c r="O3261" t="s">
        <v>10884</v>
      </c>
      <c r="P3261" s="2" t="s">
        <v>37</v>
      </c>
      <c r="Q3261" t="s">
        <v>1208</v>
      </c>
      <c r="R3261">
        <v>0.67</v>
      </c>
      <c r="S3261">
        <v>16.96</v>
      </c>
      <c r="T3261" t="s">
        <v>10885</v>
      </c>
    </row>
    <row r="3262" spans="1:20" x14ac:dyDescent="0.25">
      <c r="A3262" s="1" t="str">
        <f>HYPERLINK("https://vegkart.atlas.vegvesen.no/#/@257098.0,6650015.7,18/hva:hva%5B0%5D%5Bfilter%5D%5B0%5D%5Boperator%5D=%21%3D&amp;hva%5B0%5D%5Bfilter%5D%5B0%5D%5Btype_id%5D=8917&amp;hva%5B0%5D%5Bfilter%5D%5B0%5D%5Bverdi%5D=&amp;hva%5B0%5D%5Bid%5D=49/når:2020-04-01", "Vegkart")</f>
        <v>Vegkart</v>
      </c>
      <c r="B3262">
        <v>1007622811</v>
      </c>
      <c r="C3262">
        <v>49</v>
      </c>
      <c r="D3262" t="s">
        <v>8701</v>
      </c>
      <c r="E3262">
        <v>8917</v>
      </c>
      <c r="F3262" t="s">
        <v>23479</v>
      </c>
      <c r="G3262">
        <v>1</v>
      </c>
      <c r="H3262" t="s">
        <v>1020</v>
      </c>
      <c r="J3262" t="s">
        <v>10526</v>
      </c>
      <c r="K3262" t="s">
        <v>335</v>
      </c>
      <c r="L3262" t="s">
        <v>22</v>
      </c>
      <c r="M3262" t="s">
        <v>53</v>
      </c>
      <c r="N3262" t="s">
        <v>10886</v>
      </c>
      <c r="O3262" t="s">
        <v>10887</v>
      </c>
      <c r="P3262" s="2" t="s">
        <v>37</v>
      </c>
      <c r="Q3262" t="s">
        <v>1208</v>
      </c>
      <c r="R3262">
        <v>0.53</v>
      </c>
      <c r="S3262">
        <v>37.450000000000003</v>
      </c>
      <c r="T3262" t="s">
        <v>10888</v>
      </c>
    </row>
    <row r="3263" spans="1:20" x14ac:dyDescent="0.25">
      <c r="A3263" s="1" t="str">
        <f>HYPERLINK("https://vegkart.atlas.vegvesen.no/#/@263187.3,6652758.6,18/hva:hva%5B0%5D%5Bfilter%5D%5B0%5D%5Boperator%5D=%21%3D&amp;hva%5B0%5D%5Bfilter%5D%5B0%5D%5Btype_id%5D=8917&amp;hva%5B0%5D%5Bfilter%5D%5B0%5D%5Bverdi%5D=&amp;hva%5B0%5D%5Bid%5D=49/når:2020-04-01", "Vegkart")</f>
        <v>Vegkart</v>
      </c>
      <c r="B3263">
        <v>1007622905</v>
      </c>
      <c r="C3263">
        <v>49</v>
      </c>
      <c r="D3263" t="s">
        <v>8701</v>
      </c>
      <c r="E3263">
        <v>8917</v>
      </c>
      <c r="F3263" t="s">
        <v>23479</v>
      </c>
      <c r="G3263">
        <v>1</v>
      </c>
      <c r="H3263" t="s">
        <v>1020</v>
      </c>
      <c r="J3263" t="s">
        <v>10526</v>
      </c>
      <c r="K3263" t="s">
        <v>335</v>
      </c>
      <c r="L3263" t="s">
        <v>22</v>
      </c>
      <c r="M3263" t="s">
        <v>10863</v>
      </c>
      <c r="N3263" t="s">
        <v>10889</v>
      </c>
      <c r="O3263" t="s">
        <v>10890</v>
      </c>
      <c r="P3263" s="2" t="s">
        <v>37</v>
      </c>
      <c r="Q3263" t="s">
        <v>1208</v>
      </c>
      <c r="R3263">
        <v>0.69</v>
      </c>
      <c r="S3263">
        <v>74.36</v>
      </c>
      <c r="T3263" t="s">
        <v>10891</v>
      </c>
    </row>
    <row r="3264" spans="1:20" x14ac:dyDescent="0.25">
      <c r="A3264" s="1" t="str">
        <f>HYPERLINK("https://vegkart.atlas.vegvesen.no/#/@263269.7,6653022.8,18/hva:hva%5B0%5D%5Bfilter%5D%5B0%5D%5Boperator%5D=%21%3D&amp;hva%5B0%5D%5Bfilter%5D%5B0%5D%5Btype_id%5D=8917&amp;hva%5B0%5D%5Bfilter%5D%5B0%5D%5Bverdi%5D=&amp;hva%5B0%5D%5Bid%5D=49/når:2020-04-01", "Vegkart")</f>
        <v>Vegkart</v>
      </c>
      <c r="B3264">
        <v>1007622969</v>
      </c>
      <c r="C3264">
        <v>49</v>
      </c>
      <c r="D3264" t="s">
        <v>8701</v>
      </c>
      <c r="E3264">
        <v>8917</v>
      </c>
      <c r="F3264" t="s">
        <v>23479</v>
      </c>
      <c r="G3264">
        <v>1</v>
      </c>
      <c r="H3264" t="s">
        <v>1020</v>
      </c>
      <c r="J3264" t="s">
        <v>10526</v>
      </c>
      <c r="K3264" t="s">
        <v>335</v>
      </c>
      <c r="L3264" t="s">
        <v>22</v>
      </c>
      <c r="M3264" t="s">
        <v>10892</v>
      </c>
      <c r="N3264" t="s">
        <v>10893</v>
      </c>
      <c r="O3264" t="s">
        <v>10894</v>
      </c>
      <c r="P3264" s="2" t="s">
        <v>37</v>
      </c>
      <c r="Q3264" t="s">
        <v>1208</v>
      </c>
      <c r="R3264">
        <v>0.25</v>
      </c>
      <c r="S3264">
        <v>28.04</v>
      </c>
      <c r="T3264" t="s">
        <v>10895</v>
      </c>
    </row>
    <row r="3265" spans="1:20" x14ac:dyDescent="0.25">
      <c r="A3265" s="1" t="str">
        <f>HYPERLINK("https://vegkart.atlas.vegvesen.no/#/@263414.1,6653081.7,18/hva:hva%5B0%5D%5Bfilter%5D%5B0%5D%5Boperator%5D=%21%3D&amp;hva%5B0%5D%5Bfilter%5D%5B0%5D%5Btype_id%5D=8917&amp;hva%5B0%5D%5Bfilter%5D%5B0%5D%5Bverdi%5D=&amp;hva%5B0%5D%5Bid%5D=49/når:2020-04-01", "Vegkart")</f>
        <v>Vegkart</v>
      </c>
      <c r="B3265">
        <v>1007622984</v>
      </c>
      <c r="C3265">
        <v>49</v>
      </c>
      <c r="D3265" t="s">
        <v>8701</v>
      </c>
      <c r="E3265">
        <v>8917</v>
      </c>
      <c r="F3265" t="s">
        <v>23479</v>
      </c>
      <c r="G3265">
        <v>1</v>
      </c>
      <c r="H3265" t="s">
        <v>1020</v>
      </c>
      <c r="J3265" t="s">
        <v>10526</v>
      </c>
      <c r="K3265" t="s">
        <v>335</v>
      </c>
      <c r="L3265" t="s">
        <v>22</v>
      </c>
      <c r="M3265" t="s">
        <v>10892</v>
      </c>
      <c r="N3265" t="s">
        <v>10896</v>
      </c>
      <c r="O3265" t="s">
        <v>10897</v>
      </c>
      <c r="P3265" s="2" t="s">
        <v>37</v>
      </c>
      <c r="Q3265" t="s">
        <v>1208</v>
      </c>
      <c r="R3265">
        <v>0.19</v>
      </c>
      <c r="S3265">
        <v>23.12</v>
      </c>
      <c r="T3265" t="s">
        <v>10898</v>
      </c>
    </row>
    <row r="3266" spans="1:20" x14ac:dyDescent="0.25">
      <c r="A3266" s="1" t="str">
        <f>HYPERLINK("https://vegkart.atlas.vegvesen.no/#/@263433.5,6653084.9,18/hva:hva%5B0%5D%5Bfilter%5D%5B0%5D%5Boperator%5D=%21%3D&amp;hva%5B0%5D%5Bfilter%5D%5B0%5D%5Btype_id%5D=8917&amp;hva%5B0%5D%5Bfilter%5D%5B0%5D%5Bverdi%5D=&amp;hva%5B0%5D%5Bid%5D=49/når:2020-04-01", "Vegkart")</f>
        <v>Vegkart</v>
      </c>
      <c r="B3266">
        <v>1007622996</v>
      </c>
      <c r="C3266">
        <v>49</v>
      </c>
      <c r="D3266" t="s">
        <v>8701</v>
      </c>
      <c r="E3266">
        <v>8917</v>
      </c>
      <c r="F3266" t="s">
        <v>23479</v>
      </c>
      <c r="G3266">
        <v>1</v>
      </c>
      <c r="H3266" t="s">
        <v>1020</v>
      </c>
      <c r="J3266" t="s">
        <v>10526</v>
      </c>
      <c r="K3266" t="s">
        <v>335</v>
      </c>
      <c r="L3266" t="s">
        <v>22</v>
      </c>
      <c r="M3266" t="s">
        <v>10892</v>
      </c>
      <c r="N3266" t="s">
        <v>10899</v>
      </c>
      <c r="O3266" t="s">
        <v>10900</v>
      </c>
      <c r="P3266" s="2" t="s">
        <v>37</v>
      </c>
      <c r="Q3266" t="s">
        <v>1208</v>
      </c>
      <c r="R3266">
        <v>0.06</v>
      </c>
      <c r="S3266">
        <v>43.88</v>
      </c>
      <c r="T3266" t="s">
        <v>10901</v>
      </c>
    </row>
    <row r="3267" spans="1:20" x14ac:dyDescent="0.25">
      <c r="A3267" s="1" t="str">
        <f>HYPERLINK("https://vegkart.atlas.vegvesen.no/#/@263450.9,6653075.4,18/hva:hva%5B0%5D%5Bfilter%5D%5B0%5D%5Boperator%5D=%21%3D&amp;hva%5B0%5D%5Bfilter%5D%5B0%5D%5Btype_id%5D=8917&amp;hva%5B0%5D%5Bfilter%5D%5B0%5D%5Bverdi%5D=&amp;hva%5B0%5D%5Bid%5D=49/når:2020-04-01", "Vegkart")</f>
        <v>Vegkart</v>
      </c>
      <c r="B3267">
        <v>1007623005</v>
      </c>
      <c r="C3267">
        <v>49</v>
      </c>
      <c r="D3267" t="s">
        <v>8701</v>
      </c>
      <c r="E3267">
        <v>8917</v>
      </c>
      <c r="F3267" t="s">
        <v>23479</v>
      </c>
      <c r="G3267">
        <v>1</v>
      </c>
      <c r="H3267" t="s">
        <v>1020</v>
      </c>
      <c r="J3267" t="s">
        <v>10526</v>
      </c>
      <c r="K3267" t="s">
        <v>335</v>
      </c>
      <c r="L3267" t="s">
        <v>22</v>
      </c>
      <c r="M3267" t="s">
        <v>10892</v>
      </c>
      <c r="N3267" t="s">
        <v>10902</v>
      </c>
      <c r="O3267" t="s">
        <v>10903</v>
      </c>
      <c r="P3267" s="2" t="s">
        <v>37</v>
      </c>
      <c r="Q3267" t="s">
        <v>1208</v>
      </c>
      <c r="R3267">
        <v>0.14000000000000001</v>
      </c>
      <c r="S3267">
        <v>23.14</v>
      </c>
      <c r="T3267" t="s">
        <v>10904</v>
      </c>
    </row>
    <row r="3268" spans="1:20" x14ac:dyDescent="0.25">
      <c r="A3268" s="1" t="str">
        <f>HYPERLINK("https://vegkart.atlas.vegvesen.no/#/@263842.0,6653074.5,18/hva:hva%5B0%5D%5Bfilter%5D%5B0%5D%5Boperator%5D=%21%3D&amp;hva%5B0%5D%5Bfilter%5D%5B0%5D%5Btype_id%5D=8917&amp;hva%5B0%5D%5Bfilter%5D%5B0%5D%5Bverdi%5D=&amp;hva%5B0%5D%5Bid%5D=49/når:2020-04-02", "Vegkart")</f>
        <v>Vegkart</v>
      </c>
      <c r="B3268">
        <v>1007623160</v>
      </c>
      <c r="C3268">
        <v>49</v>
      </c>
      <c r="D3268" t="s">
        <v>8701</v>
      </c>
      <c r="E3268">
        <v>8917</v>
      </c>
      <c r="F3268" t="s">
        <v>23479</v>
      </c>
      <c r="G3268">
        <v>1</v>
      </c>
      <c r="H3268" t="s">
        <v>1160</v>
      </c>
      <c r="J3268" t="s">
        <v>10526</v>
      </c>
      <c r="K3268" t="s">
        <v>335</v>
      </c>
      <c r="L3268" t="s">
        <v>22</v>
      </c>
      <c r="M3268" t="s">
        <v>10905</v>
      </c>
      <c r="N3268" t="s">
        <v>10906</v>
      </c>
      <c r="O3268" t="s">
        <v>10907</v>
      </c>
      <c r="P3268" s="2" t="s">
        <v>37</v>
      </c>
      <c r="Q3268" t="s">
        <v>1208</v>
      </c>
      <c r="R3268">
        <v>0.2</v>
      </c>
      <c r="S3268">
        <v>43.8</v>
      </c>
      <c r="T3268" t="s">
        <v>10908</v>
      </c>
    </row>
    <row r="3269" spans="1:20" x14ac:dyDescent="0.25">
      <c r="A3269" s="1" t="str">
        <f>HYPERLINK("https://vegkart.atlas.vegvesen.no/#/@263864.9,6653069.1,18/hva:hva%5B0%5D%5Bfilter%5D%5B0%5D%5Boperator%5D=%21%3D&amp;hva%5B0%5D%5Bfilter%5D%5B0%5D%5Btype_id%5D=8917&amp;hva%5B0%5D%5Bfilter%5D%5B0%5D%5Bverdi%5D=&amp;hva%5B0%5D%5Bid%5D=49/når:2020-04-02", "Vegkart")</f>
        <v>Vegkart</v>
      </c>
      <c r="B3269">
        <v>1007623162</v>
      </c>
      <c r="C3269">
        <v>49</v>
      </c>
      <c r="D3269" t="s">
        <v>8701</v>
      </c>
      <c r="E3269">
        <v>8917</v>
      </c>
      <c r="F3269" t="s">
        <v>23479</v>
      </c>
      <c r="G3269">
        <v>1</v>
      </c>
      <c r="H3269" t="s">
        <v>1160</v>
      </c>
      <c r="J3269" t="s">
        <v>10526</v>
      </c>
      <c r="K3269" t="s">
        <v>335</v>
      </c>
      <c r="L3269" t="s">
        <v>22</v>
      </c>
      <c r="M3269" t="s">
        <v>10909</v>
      </c>
      <c r="N3269" t="s">
        <v>10910</v>
      </c>
      <c r="O3269" t="s">
        <v>10911</v>
      </c>
      <c r="P3269" s="2" t="s">
        <v>37</v>
      </c>
      <c r="Q3269" t="s">
        <v>1208</v>
      </c>
      <c r="R3269">
        <v>0.4</v>
      </c>
      <c r="S3269">
        <v>29.12</v>
      </c>
      <c r="T3269" t="s">
        <v>10912</v>
      </c>
    </row>
    <row r="3270" spans="1:20" x14ac:dyDescent="0.25">
      <c r="A3270" s="1" t="str">
        <f>HYPERLINK("https://vegkart.atlas.vegvesen.no/#/@263944.5,6653032.9,18/hva:hva%5B0%5D%5Bfilter%5D%5B0%5D%5Boperator%5D=%21%3D&amp;hva%5B0%5D%5Bfilter%5D%5B0%5D%5Btype_id%5D=8917&amp;hva%5B0%5D%5Bfilter%5D%5B0%5D%5Bverdi%5D=&amp;hva%5B0%5D%5Bid%5D=49/når:2020-04-02", "Vegkart")</f>
        <v>Vegkart</v>
      </c>
      <c r="B3270">
        <v>1007623180</v>
      </c>
      <c r="C3270">
        <v>49</v>
      </c>
      <c r="D3270" t="s">
        <v>8701</v>
      </c>
      <c r="E3270">
        <v>8917</v>
      </c>
      <c r="F3270" t="s">
        <v>23479</v>
      </c>
      <c r="G3270">
        <v>1</v>
      </c>
      <c r="H3270" t="s">
        <v>1160</v>
      </c>
      <c r="J3270" t="s">
        <v>10526</v>
      </c>
      <c r="K3270" t="s">
        <v>335</v>
      </c>
      <c r="L3270" t="s">
        <v>22</v>
      </c>
      <c r="M3270" t="s">
        <v>10909</v>
      </c>
      <c r="N3270" t="s">
        <v>10913</v>
      </c>
      <c r="O3270" t="s">
        <v>10914</v>
      </c>
      <c r="P3270" s="2" t="s">
        <v>37</v>
      </c>
      <c r="Q3270" t="s">
        <v>1208</v>
      </c>
      <c r="R3270">
        <v>0.38</v>
      </c>
      <c r="S3270">
        <v>25.39</v>
      </c>
      <c r="T3270" t="s">
        <v>10915</v>
      </c>
    </row>
    <row r="3271" spans="1:20" x14ac:dyDescent="0.25">
      <c r="A3271" s="1" t="str">
        <f>HYPERLINK("https://vegkart.atlas.vegvesen.no/#/@263961.8,6653018.3,18/hva:hva%5B0%5D%5Bfilter%5D%5B0%5D%5Boperator%5D=%21%3D&amp;hva%5B0%5D%5Bfilter%5D%5B0%5D%5Btype_id%5D=8917&amp;hva%5B0%5D%5Bfilter%5D%5B0%5D%5Bverdi%5D=&amp;hva%5B0%5D%5Bid%5D=49/når:2020-04-02", "Vegkart")</f>
        <v>Vegkart</v>
      </c>
      <c r="B3271">
        <v>1007623188</v>
      </c>
      <c r="C3271">
        <v>49</v>
      </c>
      <c r="D3271" t="s">
        <v>8701</v>
      </c>
      <c r="E3271">
        <v>8917</v>
      </c>
      <c r="F3271" t="s">
        <v>23479</v>
      </c>
      <c r="G3271">
        <v>1</v>
      </c>
      <c r="H3271" t="s">
        <v>1160</v>
      </c>
      <c r="J3271" t="s">
        <v>10526</v>
      </c>
      <c r="K3271" t="s">
        <v>335</v>
      </c>
      <c r="L3271" t="s">
        <v>22</v>
      </c>
      <c r="M3271" t="s">
        <v>10916</v>
      </c>
      <c r="N3271" t="s">
        <v>10917</v>
      </c>
      <c r="O3271" t="s">
        <v>10918</v>
      </c>
      <c r="P3271" s="2" t="s">
        <v>37</v>
      </c>
      <c r="Q3271" t="s">
        <v>1208</v>
      </c>
      <c r="R3271">
        <v>0.85</v>
      </c>
      <c r="S3271">
        <v>43.08</v>
      </c>
      <c r="T3271" t="s">
        <v>10919</v>
      </c>
    </row>
    <row r="3272" spans="1:20" x14ac:dyDescent="0.25">
      <c r="A3272" s="1" t="str">
        <f>HYPERLINK("https://vegkart.atlas.vegvesen.no/#/@264199.7,6652839.4,18/hva:hva%5B0%5D%5Bfilter%5D%5B0%5D%5Boperator%5D=%21%3D&amp;hva%5B0%5D%5Bfilter%5D%5B0%5D%5Btype_id%5D=8917&amp;hva%5B0%5D%5Bfilter%5D%5B0%5D%5Bverdi%5D=&amp;hva%5B0%5D%5Bid%5D=49/når:2020-04-02", "Vegkart")</f>
        <v>Vegkart</v>
      </c>
      <c r="B3272">
        <v>1007623889</v>
      </c>
      <c r="C3272">
        <v>49</v>
      </c>
      <c r="D3272" t="s">
        <v>8701</v>
      </c>
      <c r="E3272">
        <v>8917</v>
      </c>
      <c r="F3272" t="s">
        <v>23479</v>
      </c>
      <c r="G3272">
        <v>1</v>
      </c>
      <c r="H3272" t="s">
        <v>1160</v>
      </c>
      <c r="J3272" t="s">
        <v>10526</v>
      </c>
      <c r="K3272" t="s">
        <v>335</v>
      </c>
      <c r="L3272" t="s">
        <v>22</v>
      </c>
      <c r="M3272" t="s">
        <v>10909</v>
      </c>
      <c r="N3272" t="s">
        <v>10920</v>
      </c>
      <c r="O3272" t="s">
        <v>10921</v>
      </c>
      <c r="P3272" s="2" t="s">
        <v>37</v>
      </c>
      <c r="Q3272" t="s">
        <v>1208</v>
      </c>
      <c r="R3272">
        <v>0.48</v>
      </c>
      <c r="S3272">
        <v>25.74</v>
      </c>
      <c r="T3272" t="s">
        <v>10922</v>
      </c>
    </row>
    <row r="3273" spans="1:20" x14ac:dyDescent="0.25">
      <c r="A3273" s="1" t="str">
        <f>HYPERLINK("https://vegkart.atlas.vegvesen.no/#/@267978.7,6650706.0,18/hva:hva%5B0%5D%5Bfilter%5D%5B0%5D%5Boperator%5D=%21%3D&amp;hva%5B0%5D%5Bfilter%5D%5B0%5D%5Btype_id%5D=8917&amp;hva%5B0%5D%5Bfilter%5D%5B0%5D%5Bverdi%5D=&amp;hva%5B0%5D%5Bid%5D=49/når:2020-04-02", "Vegkart")</f>
        <v>Vegkart</v>
      </c>
      <c r="B3273">
        <v>1007624241</v>
      </c>
      <c r="C3273">
        <v>49</v>
      </c>
      <c r="D3273" t="s">
        <v>8701</v>
      </c>
      <c r="E3273">
        <v>8917</v>
      </c>
      <c r="F3273" t="s">
        <v>23479</v>
      </c>
      <c r="G3273">
        <v>1</v>
      </c>
      <c r="H3273" t="s">
        <v>1160</v>
      </c>
      <c r="J3273" t="s">
        <v>10526</v>
      </c>
      <c r="K3273" t="s">
        <v>335</v>
      </c>
      <c r="L3273" t="s">
        <v>22</v>
      </c>
      <c r="M3273" t="s">
        <v>10426</v>
      </c>
      <c r="N3273" t="s">
        <v>10923</v>
      </c>
      <c r="O3273" t="s">
        <v>10924</v>
      </c>
      <c r="P3273" s="2" t="s">
        <v>37</v>
      </c>
      <c r="Q3273" t="s">
        <v>1208</v>
      </c>
      <c r="R3273">
        <v>0.6</v>
      </c>
      <c r="S3273">
        <v>41.04</v>
      </c>
      <c r="T3273" t="s">
        <v>10925</v>
      </c>
    </row>
    <row r="3274" spans="1:20" x14ac:dyDescent="0.25">
      <c r="A3274" s="1" t="str">
        <f>HYPERLINK("https://vegkart.atlas.vegvesen.no/#/@264898.4,6651643.6,18/hva:hva%5B0%5D%5Bfilter%5D%5B0%5D%5Boperator%5D=%21%3D&amp;hva%5B0%5D%5Bfilter%5D%5B0%5D%5Btype_id%5D=8917&amp;hva%5B0%5D%5Bfilter%5D%5B0%5D%5Bverdi%5D=&amp;hva%5B0%5D%5Bid%5D=49/når:2020-04-02", "Vegkart")</f>
        <v>Vegkart</v>
      </c>
      <c r="B3274">
        <v>1007624247</v>
      </c>
      <c r="C3274">
        <v>49</v>
      </c>
      <c r="D3274" t="s">
        <v>8701</v>
      </c>
      <c r="E3274">
        <v>8917</v>
      </c>
      <c r="F3274" t="s">
        <v>23479</v>
      </c>
      <c r="G3274">
        <v>1</v>
      </c>
      <c r="H3274" t="s">
        <v>1160</v>
      </c>
      <c r="J3274" t="s">
        <v>10526</v>
      </c>
      <c r="K3274" t="s">
        <v>335</v>
      </c>
      <c r="L3274" t="s">
        <v>22</v>
      </c>
      <c r="M3274" t="s">
        <v>10585</v>
      </c>
      <c r="N3274" t="s">
        <v>10926</v>
      </c>
      <c r="O3274" t="s">
        <v>10927</v>
      </c>
      <c r="P3274" s="2" t="s">
        <v>37</v>
      </c>
      <c r="Q3274" t="s">
        <v>1208</v>
      </c>
      <c r="R3274">
        <v>0.71</v>
      </c>
      <c r="S3274">
        <v>70.42</v>
      </c>
      <c r="T3274" t="s">
        <v>10928</v>
      </c>
    </row>
    <row r="3275" spans="1:20" x14ac:dyDescent="0.25">
      <c r="A3275" s="1" t="str">
        <f>HYPERLINK("https://vegkart.atlas.vegvesen.no/#/@264167.9,6651496.8,18/hva:hva%5B0%5D%5Bfilter%5D%5B0%5D%5Boperator%5D=%21%3D&amp;hva%5B0%5D%5Bfilter%5D%5B0%5D%5Btype_id%5D=8917&amp;hva%5B0%5D%5Bfilter%5D%5B0%5D%5Bverdi%5D=&amp;hva%5B0%5D%5Bid%5D=49/når:2020-04-02", "Vegkart")</f>
        <v>Vegkart</v>
      </c>
      <c r="B3275">
        <v>1007633967</v>
      </c>
      <c r="C3275">
        <v>49</v>
      </c>
      <c r="D3275" t="s">
        <v>8701</v>
      </c>
      <c r="E3275">
        <v>8917</v>
      </c>
      <c r="F3275" t="s">
        <v>23479</v>
      </c>
      <c r="G3275">
        <v>1</v>
      </c>
      <c r="H3275" t="s">
        <v>1160</v>
      </c>
      <c r="J3275" t="s">
        <v>10526</v>
      </c>
      <c r="K3275" t="s">
        <v>335</v>
      </c>
      <c r="L3275" t="s">
        <v>22</v>
      </c>
      <c r="M3275" t="s">
        <v>1575</v>
      </c>
      <c r="N3275" t="s">
        <v>10929</v>
      </c>
      <c r="O3275" t="s">
        <v>10930</v>
      </c>
      <c r="P3275" s="2" t="s">
        <v>37</v>
      </c>
      <c r="Q3275" t="s">
        <v>1208</v>
      </c>
      <c r="R3275">
        <v>2.2599999999999998</v>
      </c>
      <c r="S3275">
        <v>114.61</v>
      </c>
      <c r="T3275" t="s">
        <v>10931</v>
      </c>
    </row>
    <row r="3276" spans="1:20" x14ac:dyDescent="0.25">
      <c r="A3276" s="1" t="str">
        <f>HYPERLINK("https://vegkart.atlas.vegvesen.no/#/@299390.9,6542692.9,18/hva:hva%5B0%5D%5Bfilter%5D%5B0%5D%5Boperator%5D=%21%3D&amp;hva%5B0%5D%5Bfilter%5D%5B0%5D%5Btype_id%5D=8917&amp;hva%5B0%5D%5Bfilter%5D%5B0%5D%5Bverdi%5D=&amp;hva%5B0%5D%5Bid%5D=49/når:2025-10-15", "Vegkart")</f>
        <v>Vegkart</v>
      </c>
      <c r="B3276">
        <v>1008897426</v>
      </c>
      <c r="C3276">
        <v>49</v>
      </c>
      <c r="D3276" t="s">
        <v>8701</v>
      </c>
      <c r="E3276">
        <v>8917</v>
      </c>
      <c r="F3276" t="s">
        <v>23479</v>
      </c>
      <c r="G3276">
        <v>2</v>
      </c>
      <c r="H3276" t="s">
        <v>683</v>
      </c>
      <c r="J3276" t="s">
        <v>10932</v>
      </c>
      <c r="K3276" t="s">
        <v>104</v>
      </c>
      <c r="L3276" t="s">
        <v>33</v>
      </c>
      <c r="M3276" t="s">
        <v>10933</v>
      </c>
      <c r="N3276" t="s">
        <v>10934</v>
      </c>
      <c r="O3276" t="s">
        <v>10935</v>
      </c>
      <c r="P3276" s="2" t="s">
        <v>37</v>
      </c>
      <c r="Q3276" t="s">
        <v>1208</v>
      </c>
      <c r="R3276">
        <v>0</v>
      </c>
      <c r="S3276">
        <v>48.41</v>
      </c>
      <c r="T3276" t="s">
        <v>10936</v>
      </c>
    </row>
    <row r="3277" spans="1:20" x14ac:dyDescent="0.25">
      <c r="A3277" s="1" t="str">
        <f>HYPERLINK("https://vegkart.atlas.vegvesen.no/#/@291221.7,6560386.8,18/hva:hva%5B0%5D%5Bfilter%5D%5B0%5D%5Boperator%5D=%21%3D&amp;hva%5B0%5D%5Bfilter%5D%5B0%5D%5Btype_id%5D=8917&amp;hva%5B0%5D%5Bfilter%5D%5B0%5D%5Bverdi%5D=&amp;hva%5B0%5D%5Bid%5D=49/når:2025-10-15", "Vegkart")</f>
        <v>Vegkart</v>
      </c>
      <c r="B3277">
        <v>1008912144</v>
      </c>
      <c r="C3277">
        <v>49</v>
      </c>
      <c r="D3277" t="s">
        <v>8701</v>
      </c>
      <c r="E3277">
        <v>8917</v>
      </c>
      <c r="F3277" t="s">
        <v>23479</v>
      </c>
      <c r="G3277">
        <v>2</v>
      </c>
      <c r="H3277" t="s">
        <v>683</v>
      </c>
      <c r="J3277" t="s">
        <v>10932</v>
      </c>
      <c r="K3277" t="s">
        <v>104</v>
      </c>
      <c r="L3277" t="s">
        <v>33</v>
      </c>
      <c r="M3277" t="s">
        <v>9153</v>
      </c>
      <c r="N3277" t="s">
        <v>10937</v>
      </c>
      <c r="O3277" t="s">
        <v>10938</v>
      </c>
      <c r="P3277" s="2" t="s">
        <v>37</v>
      </c>
      <c r="Q3277" t="s">
        <v>1208</v>
      </c>
      <c r="R3277">
        <v>0</v>
      </c>
      <c r="S3277">
        <v>218.06</v>
      </c>
      <c r="T3277" t="s">
        <v>10939</v>
      </c>
    </row>
    <row r="3278" spans="1:20" x14ac:dyDescent="0.25">
      <c r="A3278" s="1" t="str">
        <f>HYPERLINK("https://vegkart.atlas.vegvesen.no/#/@291360.0,6560563.3,18/hva:hva%5B0%5D%5Bfilter%5D%5B0%5D%5Boperator%5D=%21%3D&amp;hva%5B0%5D%5Bfilter%5D%5B0%5D%5Btype_id%5D=8917&amp;hva%5B0%5D%5Bfilter%5D%5B0%5D%5Bverdi%5D=&amp;hva%5B0%5D%5Bid%5D=49/når:2025-10-15", "Vegkart")</f>
        <v>Vegkart</v>
      </c>
      <c r="B3278">
        <v>1008934835</v>
      </c>
      <c r="C3278">
        <v>49</v>
      </c>
      <c r="D3278" t="s">
        <v>8701</v>
      </c>
      <c r="E3278">
        <v>8917</v>
      </c>
      <c r="F3278" t="s">
        <v>23479</v>
      </c>
      <c r="G3278">
        <v>2</v>
      </c>
      <c r="H3278" t="s">
        <v>683</v>
      </c>
      <c r="J3278" t="s">
        <v>10932</v>
      </c>
      <c r="K3278" t="s">
        <v>104</v>
      </c>
      <c r="L3278" t="s">
        <v>33</v>
      </c>
      <c r="M3278" t="s">
        <v>8959</v>
      </c>
      <c r="N3278" t="s">
        <v>10940</v>
      </c>
      <c r="O3278" t="s">
        <v>10941</v>
      </c>
      <c r="P3278" s="2" t="s">
        <v>37</v>
      </c>
      <c r="Q3278" t="s">
        <v>1208</v>
      </c>
      <c r="R3278">
        <v>0</v>
      </c>
      <c r="S3278">
        <v>21.58</v>
      </c>
      <c r="T3278" t="s">
        <v>10942</v>
      </c>
    </row>
    <row r="3279" spans="1:20" x14ac:dyDescent="0.25">
      <c r="A3279" s="1" t="str">
        <f>HYPERLINK("https://vegkart.atlas.vegvesen.no/#/@296486.5,6559538.2,18/hva:hva%5B0%5D%5Bfilter%5D%5B0%5D%5Boperator%5D=%21%3D&amp;hva%5B0%5D%5Bfilter%5D%5B0%5D%5Btype_id%5D=8917&amp;hva%5B0%5D%5Bfilter%5D%5B0%5D%5Bverdi%5D=&amp;hva%5B0%5D%5Bid%5D=49/når:2025-10-15", "Vegkart")</f>
        <v>Vegkart</v>
      </c>
      <c r="B3279">
        <v>1008941090</v>
      </c>
      <c r="C3279">
        <v>49</v>
      </c>
      <c r="D3279" t="s">
        <v>8701</v>
      </c>
      <c r="E3279">
        <v>8917</v>
      </c>
      <c r="F3279" t="s">
        <v>23479</v>
      </c>
      <c r="G3279">
        <v>2</v>
      </c>
      <c r="H3279" t="s">
        <v>683</v>
      </c>
      <c r="J3279" t="s">
        <v>10932</v>
      </c>
      <c r="K3279" t="s">
        <v>104</v>
      </c>
      <c r="L3279" t="s">
        <v>33</v>
      </c>
      <c r="M3279" t="s">
        <v>10943</v>
      </c>
      <c r="N3279" t="s">
        <v>10944</v>
      </c>
      <c r="O3279" t="s">
        <v>10945</v>
      </c>
      <c r="P3279" s="2" t="s">
        <v>37</v>
      </c>
      <c r="Q3279" t="s">
        <v>1208</v>
      </c>
      <c r="R3279">
        <v>0</v>
      </c>
      <c r="S3279">
        <v>16.39</v>
      </c>
      <c r="T3279" t="s">
        <v>10946</v>
      </c>
    </row>
    <row r="3280" spans="1:20" x14ac:dyDescent="0.25">
      <c r="A3280" s="1" t="str">
        <f>HYPERLINK("https://vegkart.atlas.vegvesen.no/#/@233078.2,6580753.5,18/hva:hva%5B0%5D%5Bfilter%5D%5B0%5D%5Boperator%5D=%21%3D&amp;hva%5B0%5D%5Bfilter%5D%5B0%5D%5Btype_id%5D=8917&amp;hva%5B0%5D%5Bfilter%5D%5B0%5D%5Bverdi%5D=&amp;hva%5B0%5D%5Bid%5D=49/når:2020-10-05", "Vegkart")</f>
        <v>Vegkart</v>
      </c>
      <c r="B3280">
        <v>1009929900</v>
      </c>
      <c r="C3280">
        <v>49</v>
      </c>
      <c r="D3280" t="s">
        <v>8701</v>
      </c>
      <c r="E3280">
        <v>8917</v>
      </c>
      <c r="F3280" t="s">
        <v>23479</v>
      </c>
      <c r="G3280">
        <v>1</v>
      </c>
      <c r="H3280" t="s">
        <v>9435</v>
      </c>
      <c r="J3280" t="s">
        <v>10932</v>
      </c>
      <c r="K3280" t="s">
        <v>81</v>
      </c>
      <c r="L3280" t="s">
        <v>33</v>
      </c>
      <c r="M3280" t="s">
        <v>10947</v>
      </c>
      <c r="N3280" t="s">
        <v>10948</v>
      </c>
      <c r="O3280" t="s">
        <v>10949</v>
      </c>
      <c r="P3280" s="2" t="s">
        <v>26</v>
      </c>
      <c r="Q3280" t="s">
        <v>50</v>
      </c>
      <c r="R3280">
        <v>44.34</v>
      </c>
      <c r="S3280">
        <v>44.34</v>
      </c>
      <c r="T3280" t="s">
        <v>10950</v>
      </c>
    </row>
    <row r="3281" spans="1:20" x14ac:dyDescent="0.25">
      <c r="A3281" s="1" t="str">
        <f>HYPERLINK("https://vegkart.atlas.vegvesen.no/#/@220333.6,6562572.7,18/hva:hva%5B0%5D%5Bfilter%5D%5B0%5D%5Boperator%5D=%21%3D&amp;hva%5B0%5D%5Bfilter%5D%5B0%5D%5Btype_id%5D=8917&amp;hva%5B0%5D%5Bfilter%5D%5B0%5D%5Bverdi%5D=&amp;hva%5B0%5D%5Bid%5D=49/når:2020-10-05", "Vegkart")</f>
        <v>Vegkart</v>
      </c>
      <c r="B3281">
        <v>1009931822</v>
      </c>
      <c r="C3281">
        <v>49</v>
      </c>
      <c r="D3281" t="s">
        <v>8701</v>
      </c>
      <c r="E3281">
        <v>8917</v>
      </c>
      <c r="F3281" t="s">
        <v>23479</v>
      </c>
      <c r="G3281">
        <v>1</v>
      </c>
      <c r="H3281" t="s">
        <v>9435</v>
      </c>
      <c r="J3281" t="s">
        <v>10932</v>
      </c>
      <c r="K3281" t="s">
        <v>81</v>
      </c>
      <c r="L3281" t="s">
        <v>33</v>
      </c>
      <c r="M3281" t="s">
        <v>10951</v>
      </c>
      <c r="N3281" t="s">
        <v>10952</v>
      </c>
      <c r="O3281" t="s">
        <v>10953</v>
      </c>
      <c r="P3281" s="2" t="s">
        <v>26</v>
      </c>
      <c r="Q3281" t="s">
        <v>50</v>
      </c>
      <c r="R3281">
        <v>2.6</v>
      </c>
      <c r="S3281">
        <v>2.6</v>
      </c>
      <c r="T3281" t="s">
        <v>10954</v>
      </c>
    </row>
    <row r="3282" spans="1:20" x14ac:dyDescent="0.25">
      <c r="A3282" s="1" t="str">
        <f>HYPERLINK("https://vegkart.atlas.vegvesen.no/#/@220338.8,6562566.4,18/hva:hva%5B0%5D%5Bfilter%5D%5B0%5D%5Boperator%5D=%21%3D&amp;hva%5B0%5D%5Bfilter%5D%5B0%5D%5Btype_id%5D=8917&amp;hva%5B0%5D%5Bfilter%5D%5B0%5D%5Bverdi%5D=&amp;hva%5B0%5D%5Bid%5D=49/når:2020-10-05", "Vegkart")</f>
        <v>Vegkart</v>
      </c>
      <c r="B3282">
        <v>1009931823</v>
      </c>
      <c r="C3282">
        <v>49</v>
      </c>
      <c r="D3282" t="s">
        <v>8701</v>
      </c>
      <c r="E3282">
        <v>8917</v>
      </c>
      <c r="F3282" t="s">
        <v>23479</v>
      </c>
      <c r="G3282">
        <v>1</v>
      </c>
      <c r="H3282" t="s">
        <v>9435</v>
      </c>
      <c r="J3282" t="s">
        <v>10932</v>
      </c>
      <c r="K3282" t="s">
        <v>81</v>
      </c>
      <c r="L3282" t="s">
        <v>33</v>
      </c>
      <c r="M3282" t="s">
        <v>10951</v>
      </c>
      <c r="N3282" t="s">
        <v>10955</v>
      </c>
      <c r="O3282" t="s">
        <v>10956</v>
      </c>
      <c r="P3282" s="2" t="s">
        <v>26</v>
      </c>
      <c r="Q3282" t="s">
        <v>50</v>
      </c>
      <c r="R3282">
        <v>13.54</v>
      </c>
      <c r="S3282">
        <v>13.54</v>
      </c>
      <c r="T3282" t="s">
        <v>10957</v>
      </c>
    </row>
    <row r="3283" spans="1:20" x14ac:dyDescent="0.25">
      <c r="A3283" s="1" t="str">
        <f>HYPERLINK("https://vegkart.atlas.vegvesen.no/#/@220423.8,6562301.6,18/hva:hva%5B0%5D%5Bfilter%5D%5B0%5D%5Boperator%5D=%21%3D&amp;hva%5B0%5D%5Bfilter%5D%5B0%5D%5Btype_id%5D=8917&amp;hva%5B0%5D%5Bfilter%5D%5B0%5D%5Bverdi%5D=&amp;hva%5B0%5D%5Bid%5D=49/når:2020-10-05", "Vegkart")</f>
        <v>Vegkart</v>
      </c>
      <c r="B3283">
        <v>1009931824</v>
      </c>
      <c r="C3283">
        <v>49</v>
      </c>
      <c r="D3283" t="s">
        <v>8701</v>
      </c>
      <c r="E3283">
        <v>8917</v>
      </c>
      <c r="F3283" t="s">
        <v>23479</v>
      </c>
      <c r="G3283">
        <v>1</v>
      </c>
      <c r="H3283" t="s">
        <v>9435</v>
      </c>
      <c r="J3283" t="s">
        <v>10932</v>
      </c>
      <c r="K3283" t="s">
        <v>81</v>
      </c>
      <c r="L3283" t="s">
        <v>33</v>
      </c>
      <c r="M3283" t="s">
        <v>4333</v>
      </c>
      <c r="N3283" t="s">
        <v>10958</v>
      </c>
      <c r="O3283" t="s">
        <v>10959</v>
      </c>
      <c r="P3283" s="2" t="s">
        <v>26</v>
      </c>
      <c r="Q3283" t="s">
        <v>50</v>
      </c>
      <c r="R3283">
        <v>66.14</v>
      </c>
      <c r="S3283">
        <v>66.900000000000006</v>
      </c>
      <c r="T3283" t="s">
        <v>10960</v>
      </c>
    </row>
    <row r="3284" spans="1:20" x14ac:dyDescent="0.25">
      <c r="A3284" s="1" t="str">
        <f>HYPERLINK("https://vegkart.atlas.vegvesen.no/#/@220369.4,6562236.7,18/hva:hva%5B0%5D%5Bfilter%5D%5B0%5D%5Boperator%5D=%21%3D&amp;hva%5B0%5D%5Bfilter%5D%5B0%5D%5Btype_id%5D=8917&amp;hva%5B0%5D%5Bfilter%5D%5B0%5D%5Bverdi%5D=&amp;hva%5B0%5D%5Bid%5D=49/når:2020-10-05", "Vegkart")</f>
        <v>Vegkart</v>
      </c>
      <c r="B3284">
        <v>1009931825</v>
      </c>
      <c r="C3284">
        <v>49</v>
      </c>
      <c r="D3284" t="s">
        <v>8701</v>
      </c>
      <c r="E3284">
        <v>8917</v>
      </c>
      <c r="F3284" t="s">
        <v>23479</v>
      </c>
      <c r="G3284">
        <v>1</v>
      </c>
      <c r="H3284" t="s">
        <v>9435</v>
      </c>
      <c r="J3284" t="s">
        <v>10961</v>
      </c>
      <c r="K3284" t="s">
        <v>81</v>
      </c>
      <c r="L3284" t="s">
        <v>33</v>
      </c>
      <c r="M3284" t="s">
        <v>4333</v>
      </c>
      <c r="N3284" t="s">
        <v>10962</v>
      </c>
      <c r="O3284" t="s">
        <v>10963</v>
      </c>
      <c r="P3284" s="2" t="s">
        <v>26</v>
      </c>
      <c r="Q3284" t="s">
        <v>50</v>
      </c>
      <c r="R3284">
        <v>93.22</v>
      </c>
      <c r="S3284">
        <v>93.27</v>
      </c>
      <c r="T3284" t="s">
        <v>10964</v>
      </c>
    </row>
    <row r="3285" spans="1:20" x14ac:dyDescent="0.25">
      <c r="A3285" s="1" t="str">
        <f>HYPERLINK("https://vegkart.atlas.vegvesen.no/#/@272773.5,6651277.3,18/hva:hva%5B0%5D%5Bfilter%5D%5B0%5D%5Boperator%5D=%21%3D&amp;hva%5B0%5D%5Bfilter%5D%5B0%5D%5Btype_id%5D=8917&amp;hva%5B0%5D%5Bfilter%5D%5B0%5D%5Bverdi%5D=&amp;hva%5B0%5D%5Bid%5D=49/når:2020-10-23", "Vegkart")</f>
        <v>Vegkart</v>
      </c>
      <c r="B3285">
        <v>1010205365</v>
      </c>
      <c r="C3285">
        <v>49</v>
      </c>
      <c r="D3285" t="s">
        <v>8701</v>
      </c>
      <c r="E3285">
        <v>8917</v>
      </c>
      <c r="F3285" t="s">
        <v>23479</v>
      </c>
      <c r="G3285">
        <v>1</v>
      </c>
      <c r="H3285" t="s">
        <v>10965</v>
      </c>
      <c r="J3285" t="s">
        <v>10961</v>
      </c>
      <c r="K3285" t="s">
        <v>132</v>
      </c>
      <c r="L3285" t="s">
        <v>33</v>
      </c>
      <c r="M3285" t="s">
        <v>296</v>
      </c>
      <c r="N3285" t="s">
        <v>10966</v>
      </c>
      <c r="O3285" t="s">
        <v>10967</v>
      </c>
      <c r="P3285" s="2" t="s">
        <v>26</v>
      </c>
      <c r="Q3285" t="s">
        <v>50</v>
      </c>
      <c r="R3285">
        <v>12.71</v>
      </c>
      <c r="S3285">
        <v>12.72</v>
      </c>
      <c r="T3285" t="s">
        <v>10968</v>
      </c>
    </row>
    <row r="3286" spans="1:20" x14ac:dyDescent="0.25">
      <c r="A3286" s="1" t="str">
        <f>HYPERLINK("https://vegkart.atlas.vegvesen.no/#/@285163.7,6650342.2,18/hva:hva%5B0%5D%5Bfilter%5D%5B0%5D%5Boperator%5D=%21%3D&amp;hva%5B0%5D%5Bfilter%5D%5B0%5D%5Btype_id%5D=8917&amp;hva%5B0%5D%5Bfilter%5D%5B0%5D%5Bverdi%5D=&amp;hva%5B0%5D%5Bid%5D=49/når:2025-05-27", "Vegkart")</f>
        <v>Vegkart</v>
      </c>
      <c r="B3286">
        <v>1010862828</v>
      </c>
      <c r="C3286">
        <v>49</v>
      </c>
      <c r="D3286" t="s">
        <v>8701</v>
      </c>
      <c r="E3286">
        <v>8917</v>
      </c>
      <c r="F3286" t="s">
        <v>23479</v>
      </c>
      <c r="G3286">
        <v>2</v>
      </c>
      <c r="H3286" t="s">
        <v>10969</v>
      </c>
      <c r="J3286" t="s">
        <v>10961</v>
      </c>
      <c r="K3286" t="s">
        <v>132</v>
      </c>
      <c r="L3286" t="s">
        <v>33</v>
      </c>
      <c r="M3286" t="s">
        <v>10970</v>
      </c>
      <c r="N3286" t="s">
        <v>10971</v>
      </c>
      <c r="O3286" t="s">
        <v>10972</v>
      </c>
      <c r="P3286" s="2" t="s">
        <v>165</v>
      </c>
      <c r="Q3286" t="s">
        <v>641</v>
      </c>
      <c r="R3286">
        <v>0</v>
      </c>
      <c r="S3286">
        <v>212</v>
      </c>
      <c r="T3286" t="s">
        <v>167</v>
      </c>
    </row>
    <row r="3287" spans="1:20" x14ac:dyDescent="0.25">
      <c r="A3287" s="1" t="str">
        <f>HYPERLINK("https://vegkart.atlas.vegvesen.no/#/@283861.6,6611391.4,18/hva:hva%5B0%5D%5Bfilter%5D%5B0%5D%5Boperator%5D=%21%3D&amp;hva%5B0%5D%5Bfilter%5D%5B0%5D%5Btype_id%5D=8917&amp;hva%5B0%5D%5Bfilter%5D%5B0%5D%5Bverdi%5D=&amp;hva%5B0%5D%5Bid%5D=49/når:2025-10-03", "Vegkart")</f>
        <v>Vegkart</v>
      </c>
      <c r="B3287">
        <v>1013326661</v>
      </c>
      <c r="C3287">
        <v>49</v>
      </c>
      <c r="D3287" t="s">
        <v>8701</v>
      </c>
      <c r="E3287">
        <v>8917</v>
      </c>
      <c r="F3287" t="s">
        <v>23479</v>
      </c>
      <c r="G3287">
        <v>3</v>
      </c>
      <c r="H3287" t="s">
        <v>8719</v>
      </c>
      <c r="J3287" t="s">
        <v>10961</v>
      </c>
      <c r="K3287" t="s">
        <v>104</v>
      </c>
      <c r="L3287" t="s">
        <v>33</v>
      </c>
      <c r="M3287" t="s">
        <v>9868</v>
      </c>
      <c r="N3287" t="s">
        <v>10973</v>
      </c>
      <c r="O3287" t="s">
        <v>10974</v>
      </c>
      <c r="P3287" s="2" t="s">
        <v>37</v>
      </c>
      <c r="Q3287" t="s">
        <v>1208</v>
      </c>
      <c r="R3287">
        <v>0</v>
      </c>
      <c r="S3287">
        <v>18.579999999999998</v>
      </c>
      <c r="T3287" t="s">
        <v>10975</v>
      </c>
    </row>
    <row r="3288" spans="1:20" x14ac:dyDescent="0.25">
      <c r="A3288" s="1" t="str">
        <f>HYPERLINK("https://vegkart.atlas.vegvesen.no/#/@282178.5,6611167.7,18/hva:hva%5B0%5D%5Bfilter%5D%5B0%5D%5Boperator%5D=%21%3D&amp;hva%5B0%5D%5Bfilter%5D%5B0%5D%5Btype_id%5D=8917&amp;hva%5B0%5D%5Bfilter%5D%5B0%5D%5Bverdi%5D=&amp;hva%5B0%5D%5Bid%5D=49/når:2025-10-03", "Vegkart")</f>
        <v>Vegkart</v>
      </c>
      <c r="B3288">
        <v>1013333605</v>
      </c>
      <c r="C3288">
        <v>49</v>
      </c>
      <c r="D3288" t="s">
        <v>8701</v>
      </c>
      <c r="E3288">
        <v>8917</v>
      </c>
      <c r="F3288" t="s">
        <v>23479</v>
      </c>
      <c r="G3288">
        <v>2</v>
      </c>
      <c r="H3288" t="s">
        <v>8719</v>
      </c>
      <c r="J3288" t="s">
        <v>10961</v>
      </c>
      <c r="K3288" t="s">
        <v>104</v>
      </c>
      <c r="L3288" t="s">
        <v>33</v>
      </c>
      <c r="M3288" t="s">
        <v>9916</v>
      </c>
      <c r="N3288" t="s">
        <v>10976</v>
      </c>
      <c r="O3288" t="s">
        <v>10977</v>
      </c>
      <c r="P3288" s="2" t="s">
        <v>37</v>
      </c>
      <c r="Q3288" t="s">
        <v>1208</v>
      </c>
      <c r="R3288">
        <v>0</v>
      </c>
      <c r="S3288">
        <v>27.88</v>
      </c>
      <c r="T3288" t="s">
        <v>10978</v>
      </c>
    </row>
    <row r="3289" spans="1:20" x14ac:dyDescent="0.25">
      <c r="A3289" s="1" t="str">
        <f>HYPERLINK("https://vegkart.atlas.vegvesen.no/#/@290028.7,6610137.2,18/hva:hva%5B0%5D%5Bfilter%5D%5B0%5D%5Boperator%5D=%21%3D&amp;hva%5B0%5D%5Bfilter%5D%5B0%5D%5Btype_id%5D=8917&amp;hva%5B0%5D%5Bfilter%5D%5B0%5D%5Bverdi%5D=&amp;hva%5B0%5D%5Bid%5D=49/når:2025-10-03", "Vegkart")</f>
        <v>Vegkart</v>
      </c>
      <c r="B3289">
        <v>1013336941</v>
      </c>
      <c r="C3289">
        <v>49</v>
      </c>
      <c r="D3289" t="s">
        <v>8701</v>
      </c>
      <c r="E3289">
        <v>8917</v>
      </c>
      <c r="F3289" t="s">
        <v>23479</v>
      </c>
      <c r="G3289">
        <v>3</v>
      </c>
      <c r="H3289" t="s">
        <v>8719</v>
      </c>
      <c r="J3289" t="s">
        <v>10961</v>
      </c>
      <c r="K3289" t="s">
        <v>104</v>
      </c>
      <c r="L3289" t="s">
        <v>33</v>
      </c>
      <c r="M3289" t="s">
        <v>10979</v>
      </c>
      <c r="N3289" t="s">
        <v>10980</v>
      </c>
      <c r="O3289" t="s">
        <v>10981</v>
      </c>
      <c r="P3289" s="2" t="s">
        <v>37</v>
      </c>
      <c r="Q3289" t="s">
        <v>1208</v>
      </c>
      <c r="R3289">
        <v>2.64</v>
      </c>
      <c r="S3289">
        <v>21.41</v>
      </c>
      <c r="T3289" t="s">
        <v>10982</v>
      </c>
    </row>
    <row r="3290" spans="1:20" x14ac:dyDescent="0.25">
      <c r="A3290" s="1" t="str">
        <f>HYPERLINK("https://vegkart.atlas.vegvesen.no/#/@289948.0,6610275.3,18/hva:hva%5B0%5D%5Bfilter%5D%5B0%5D%5Boperator%5D=%21%3D&amp;hva%5B0%5D%5Bfilter%5D%5B0%5D%5Btype_id%5D=8917&amp;hva%5B0%5D%5Bfilter%5D%5B0%5D%5Bverdi%5D=&amp;hva%5B0%5D%5Bid%5D=49/når:2025-10-03", "Vegkart")</f>
        <v>Vegkart</v>
      </c>
      <c r="B3290">
        <v>1013337140</v>
      </c>
      <c r="C3290">
        <v>49</v>
      </c>
      <c r="D3290" t="s">
        <v>8701</v>
      </c>
      <c r="E3290">
        <v>8917</v>
      </c>
      <c r="F3290" t="s">
        <v>23479</v>
      </c>
      <c r="G3290">
        <v>2</v>
      </c>
      <c r="H3290" t="s">
        <v>8719</v>
      </c>
      <c r="J3290" t="s">
        <v>10961</v>
      </c>
      <c r="K3290" t="s">
        <v>104</v>
      </c>
      <c r="L3290" t="s">
        <v>33</v>
      </c>
      <c r="M3290" t="s">
        <v>10979</v>
      </c>
      <c r="N3290" t="s">
        <v>10983</v>
      </c>
      <c r="O3290" t="s">
        <v>10984</v>
      </c>
      <c r="P3290" s="2" t="s">
        <v>37</v>
      </c>
      <c r="Q3290" t="s">
        <v>1208</v>
      </c>
      <c r="R3290">
        <v>0</v>
      </c>
      <c r="S3290">
        <v>88.63</v>
      </c>
      <c r="T3290" t="s">
        <v>10985</v>
      </c>
    </row>
    <row r="3291" spans="1:20" x14ac:dyDescent="0.25">
      <c r="A3291" s="1" t="str">
        <f>HYPERLINK("https://vegkart.atlas.vegvesen.no/#/@289940.4,6610318.3,18/hva:hva%5B0%5D%5Bfilter%5D%5B0%5D%5Boperator%5D=%21%3D&amp;hva%5B0%5D%5Bfilter%5D%5B0%5D%5Btype_id%5D=8917&amp;hva%5B0%5D%5Bfilter%5D%5B0%5D%5Bverdi%5D=&amp;hva%5B0%5D%5Bid%5D=49/når:2025-10-03", "Vegkart")</f>
        <v>Vegkart</v>
      </c>
      <c r="B3291">
        <v>1013337148</v>
      </c>
      <c r="C3291">
        <v>49</v>
      </c>
      <c r="D3291" t="s">
        <v>8701</v>
      </c>
      <c r="E3291">
        <v>8917</v>
      </c>
      <c r="F3291" t="s">
        <v>23479</v>
      </c>
      <c r="G3291">
        <v>2</v>
      </c>
      <c r="H3291" t="s">
        <v>8719</v>
      </c>
      <c r="J3291" t="s">
        <v>10961</v>
      </c>
      <c r="K3291" t="s">
        <v>104</v>
      </c>
      <c r="L3291" t="s">
        <v>33</v>
      </c>
      <c r="M3291" t="s">
        <v>10979</v>
      </c>
      <c r="N3291" t="s">
        <v>10986</v>
      </c>
      <c r="O3291" t="s">
        <v>10987</v>
      </c>
      <c r="P3291" s="2" t="s">
        <v>37</v>
      </c>
      <c r="Q3291" t="s">
        <v>1208</v>
      </c>
      <c r="R3291">
        <v>0</v>
      </c>
      <c r="S3291">
        <v>37.72</v>
      </c>
      <c r="T3291" t="s">
        <v>10988</v>
      </c>
    </row>
    <row r="3292" spans="1:20" x14ac:dyDescent="0.25">
      <c r="A3292" s="1" t="str">
        <f>HYPERLINK("https://vegkart.atlas.vegvesen.no/#/@293617.5,6606597.6,18/hva:hva%5B0%5D%5Bfilter%5D%5B0%5D%5Boperator%5D=%21%3D&amp;hva%5B0%5D%5Bfilter%5D%5B0%5D%5Btype_id%5D=8917&amp;hva%5B0%5D%5Bfilter%5D%5B0%5D%5Bverdi%5D=&amp;hva%5B0%5D%5Bid%5D=49/når:2025-10-03", "Vegkart")</f>
        <v>Vegkart</v>
      </c>
      <c r="B3292">
        <v>1013349379</v>
      </c>
      <c r="C3292">
        <v>49</v>
      </c>
      <c r="D3292" t="s">
        <v>8701</v>
      </c>
      <c r="E3292">
        <v>8917</v>
      </c>
      <c r="F3292" t="s">
        <v>23479</v>
      </c>
      <c r="G3292">
        <v>2</v>
      </c>
      <c r="H3292" t="s">
        <v>8719</v>
      </c>
      <c r="J3292" t="s">
        <v>10961</v>
      </c>
      <c r="K3292" t="s">
        <v>104</v>
      </c>
      <c r="L3292" t="s">
        <v>33</v>
      </c>
      <c r="M3292" t="s">
        <v>10989</v>
      </c>
      <c r="N3292" t="s">
        <v>10990</v>
      </c>
      <c r="O3292" t="s">
        <v>10991</v>
      </c>
      <c r="P3292" s="2" t="s">
        <v>37</v>
      </c>
      <c r="Q3292" t="s">
        <v>1208</v>
      </c>
      <c r="R3292">
        <v>0</v>
      </c>
      <c r="S3292">
        <v>22.65</v>
      </c>
      <c r="T3292" t="s">
        <v>10992</v>
      </c>
    </row>
    <row r="3293" spans="1:20" x14ac:dyDescent="0.25">
      <c r="A3293" s="1" t="str">
        <f>HYPERLINK("https://vegkart.atlas.vegvesen.no/#/@288902.1,6610592.9,18/hva:hva%5B0%5D%5Bfilter%5D%5B0%5D%5Boperator%5D=%21%3D&amp;hva%5B0%5D%5Bfilter%5D%5B0%5D%5Btype_id%5D=8917&amp;hva%5B0%5D%5Bfilter%5D%5B0%5D%5Bverdi%5D=&amp;hva%5B0%5D%5Bid%5D=49/når:2025-10-03", "Vegkart")</f>
        <v>Vegkart</v>
      </c>
      <c r="B3293">
        <v>1013354514</v>
      </c>
      <c r="C3293">
        <v>49</v>
      </c>
      <c r="D3293" t="s">
        <v>8701</v>
      </c>
      <c r="E3293">
        <v>8917</v>
      </c>
      <c r="F3293" t="s">
        <v>23479</v>
      </c>
      <c r="G3293">
        <v>2</v>
      </c>
      <c r="H3293" t="s">
        <v>8719</v>
      </c>
      <c r="J3293" t="s">
        <v>10961</v>
      </c>
      <c r="K3293" t="s">
        <v>104</v>
      </c>
      <c r="L3293" t="s">
        <v>33</v>
      </c>
      <c r="M3293" t="s">
        <v>10993</v>
      </c>
      <c r="N3293" t="s">
        <v>10994</v>
      </c>
      <c r="O3293" t="s">
        <v>10995</v>
      </c>
      <c r="P3293" s="2" t="s">
        <v>37</v>
      </c>
      <c r="Q3293" t="s">
        <v>1208</v>
      </c>
      <c r="R3293">
        <v>0</v>
      </c>
      <c r="S3293">
        <v>17.04</v>
      </c>
      <c r="T3293" t="s">
        <v>10996</v>
      </c>
    </row>
    <row r="3294" spans="1:20" x14ac:dyDescent="0.25">
      <c r="A3294" s="1" t="str">
        <f>HYPERLINK("https://vegkart.atlas.vegvesen.no/#/@288911.5,6610621.0,18/hva:hva%5B0%5D%5Bfilter%5D%5B0%5D%5Boperator%5D=%21%3D&amp;hva%5B0%5D%5Bfilter%5D%5B0%5D%5Btype_id%5D=8917&amp;hva%5B0%5D%5Bfilter%5D%5B0%5D%5Bverdi%5D=&amp;hva%5B0%5D%5Bid%5D=49/når:2025-10-03", "Vegkart")</f>
        <v>Vegkart</v>
      </c>
      <c r="B3294">
        <v>1013354517</v>
      </c>
      <c r="C3294">
        <v>49</v>
      </c>
      <c r="D3294" t="s">
        <v>8701</v>
      </c>
      <c r="E3294">
        <v>8917</v>
      </c>
      <c r="F3294" t="s">
        <v>23479</v>
      </c>
      <c r="G3294">
        <v>2</v>
      </c>
      <c r="H3294" t="s">
        <v>8719</v>
      </c>
      <c r="J3294" t="s">
        <v>10961</v>
      </c>
      <c r="K3294" t="s">
        <v>104</v>
      </c>
      <c r="L3294" t="s">
        <v>33</v>
      </c>
      <c r="M3294" t="s">
        <v>10993</v>
      </c>
      <c r="N3294" t="s">
        <v>10997</v>
      </c>
      <c r="O3294" t="s">
        <v>10998</v>
      </c>
      <c r="P3294" s="2" t="s">
        <v>37</v>
      </c>
      <c r="Q3294" t="s">
        <v>1208</v>
      </c>
      <c r="R3294">
        <v>0</v>
      </c>
      <c r="S3294">
        <v>29.24</v>
      </c>
      <c r="T3294" t="s">
        <v>10999</v>
      </c>
    </row>
    <row r="3295" spans="1:20" x14ac:dyDescent="0.25">
      <c r="A3295" s="1" t="str">
        <f>HYPERLINK("https://vegkart.atlas.vegvesen.no/#/@291940.6,6613779.7,18/hva:hva%5B0%5D%5Bfilter%5D%5B0%5D%5Boperator%5D=%21%3D&amp;hva%5B0%5D%5Bfilter%5D%5B0%5D%5Btype_id%5D=8917&amp;hva%5B0%5D%5Bfilter%5D%5B0%5D%5Bverdi%5D=&amp;hva%5B0%5D%5Bid%5D=49/når:2025-10-03", "Vegkart")</f>
        <v>Vegkart</v>
      </c>
      <c r="B3295">
        <v>1013354564</v>
      </c>
      <c r="C3295">
        <v>49</v>
      </c>
      <c r="D3295" t="s">
        <v>8701</v>
      </c>
      <c r="E3295">
        <v>8917</v>
      </c>
      <c r="F3295" t="s">
        <v>23479</v>
      </c>
      <c r="G3295">
        <v>2</v>
      </c>
      <c r="H3295" t="s">
        <v>8719</v>
      </c>
      <c r="J3295" t="s">
        <v>10961</v>
      </c>
      <c r="K3295" t="s">
        <v>104</v>
      </c>
      <c r="L3295" t="s">
        <v>33</v>
      </c>
      <c r="M3295" t="s">
        <v>10993</v>
      </c>
      <c r="N3295" t="s">
        <v>11000</v>
      </c>
      <c r="O3295" t="s">
        <v>11001</v>
      </c>
      <c r="P3295" s="2" t="s">
        <v>37</v>
      </c>
      <c r="Q3295" t="s">
        <v>1208</v>
      </c>
      <c r="R3295">
        <v>0</v>
      </c>
      <c r="S3295">
        <v>18.420000000000002</v>
      </c>
      <c r="T3295" t="s">
        <v>11002</v>
      </c>
    </row>
    <row r="3296" spans="1:20" x14ac:dyDescent="0.25">
      <c r="A3296" s="1" t="str">
        <f>HYPERLINK("https://vegkart.atlas.vegvesen.no/#/@294112.9,6601948.5,18/hva:hva%5B0%5D%5Bfilter%5D%5B0%5D%5Boperator%5D=%21%3D&amp;hva%5B0%5D%5Bfilter%5D%5B0%5D%5Btype_id%5D=8917&amp;hva%5B0%5D%5Bfilter%5D%5B0%5D%5Bverdi%5D=&amp;hva%5B0%5D%5Bid%5D=49/når:2025-10-03", "Vegkart")</f>
        <v>Vegkart</v>
      </c>
      <c r="B3296">
        <v>1013368645</v>
      </c>
      <c r="C3296">
        <v>49</v>
      </c>
      <c r="D3296" t="s">
        <v>8701</v>
      </c>
      <c r="E3296">
        <v>8917</v>
      </c>
      <c r="F3296" t="s">
        <v>23479</v>
      </c>
      <c r="G3296">
        <v>2</v>
      </c>
      <c r="H3296" t="s">
        <v>8719</v>
      </c>
      <c r="J3296" t="s">
        <v>10961</v>
      </c>
      <c r="K3296" t="s">
        <v>104</v>
      </c>
      <c r="L3296" t="s">
        <v>33</v>
      </c>
      <c r="M3296" t="s">
        <v>713</v>
      </c>
      <c r="N3296" t="s">
        <v>11003</v>
      </c>
      <c r="O3296" t="s">
        <v>11004</v>
      </c>
      <c r="P3296" s="2" t="s">
        <v>37</v>
      </c>
      <c r="Q3296" t="s">
        <v>1208</v>
      </c>
      <c r="R3296">
        <v>0</v>
      </c>
      <c r="S3296">
        <v>6.93</v>
      </c>
      <c r="T3296" t="s">
        <v>11005</v>
      </c>
    </row>
    <row r="3297" spans="1:20" x14ac:dyDescent="0.25">
      <c r="A3297" s="1" t="str">
        <f>HYPERLINK("https://vegkart.atlas.vegvesen.no/#/@294128.8,6601955.6,18/hva:hva%5B0%5D%5Bfilter%5D%5B0%5D%5Boperator%5D=%21%3D&amp;hva%5B0%5D%5Bfilter%5D%5B0%5D%5Btype_id%5D=8917&amp;hva%5B0%5D%5Bfilter%5D%5B0%5D%5Bverdi%5D=&amp;hva%5B0%5D%5Bid%5D=49/når:2025-10-03", "Vegkart")</f>
        <v>Vegkart</v>
      </c>
      <c r="B3297">
        <v>1013368649</v>
      </c>
      <c r="C3297">
        <v>49</v>
      </c>
      <c r="D3297" t="s">
        <v>8701</v>
      </c>
      <c r="E3297">
        <v>8917</v>
      </c>
      <c r="F3297" t="s">
        <v>23479</v>
      </c>
      <c r="G3297">
        <v>2</v>
      </c>
      <c r="H3297" t="s">
        <v>8719</v>
      </c>
      <c r="J3297" t="s">
        <v>10961</v>
      </c>
      <c r="K3297" t="s">
        <v>104</v>
      </c>
      <c r="L3297" t="s">
        <v>33</v>
      </c>
      <c r="M3297" t="s">
        <v>713</v>
      </c>
      <c r="N3297" t="s">
        <v>11006</v>
      </c>
      <c r="O3297" t="s">
        <v>11007</v>
      </c>
      <c r="P3297" s="2" t="s">
        <v>37</v>
      </c>
      <c r="Q3297" t="s">
        <v>1208</v>
      </c>
      <c r="R3297">
        <v>0</v>
      </c>
      <c r="S3297">
        <v>6.9</v>
      </c>
      <c r="T3297" t="s">
        <v>11008</v>
      </c>
    </row>
    <row r="3298" spans="1:20" x14ac:dyDescent="0.25">
      <c r="A3298" s="1" t="str">
        <f>HYPERLINK("https://vegkart.atlas.vegvesen.no/#/@283327.3,6585281.9,18/hva:hva%5B0%5D%5Bfilter%5D%5B0%5D%5Boperator%5D=%21%3D&amp;hva%5B0%5D%5Bfilter%5D%5B0%5D%5Btype_id%5D=8917&amp;hva%5B0%5D%5Bfilter%5D%5B0%5D%5Bverdi%5D=&amp;hva%5B0%5D%5Bid%5D=49/når:2025-11-11", "Vegkart")</f>
        <v>Vegkart</v>
      </c>
      <c r="B3298">
        <v>1013411194</v>
      </c>
      <c r="C3298">
        <v>49</v>
      </c>
      <c r="D3298" t="s">
        <v>8701</v>
      </c>
      <c r="E3298">
        <v>8917</v>
      </c>
      <c r="F3298" t="s">
        <v>23479</v>
      </c>
      <c r="G3298">
        <v>2</v>
      </c>
      <c r="H3298" t="s">
        <v>8773</v>
      </c>
      <c r="J3298" t="s">
        <v>11009</v>
      </c>
      <c r="K3298" t="s">
        <v>104</v>
      </c>
      <c r="L3298" t="s">
        <v>33</v>
      </c>
      <c r="M3298" t="s">
        <v>8443</v>
      </c>
      <c r="N3298" t="s">
        <v>11010</v>
      </c>
      <c r="O3298" t="s">
        <v>11011</v>
      </c>
      <c r="P3298" s="2" t="s">
        <v>37</v>
      </c>
      <c r="Q3298" t="s">
        <v>1208</v>
      </c>
      <c r="R3298">
        <v>0</v>
      </c>
      <c r="S3298">
        <v>17.05</v>
      </c>
      <c r="T3298" t="s">
        <v>11012</v>
      </c>
    </row>
    <row r="3299" spans="1:20" x14ac:dyDescent="0.25">
      <c r="A3299" s="1" t="str">
        <f>HYPERLINK("https://vegkart.atlas.vegvesen.no/#/@283057.9,6605576.8,18/hva:hva%5B0%5D%5Bfilter%5D%5B0%5D%5Boperator%5D=%21%3D&amp;hva%5B0%5D%5Bfilter%5D%5B0%5D%5Btype_id%5D=8917&amp;hva%5B0%5D%5Bfilter%5D%5B0%5D%5Bverdi%5D=&amp;hva%5B0%5D%5Bid%5D=49/når:2025-09-12", "Vegkart")</f>
        <v>Vegkart</v>
      </c>
      <c r="B3299">
        <v>1013477477</v>
      </c>
      <c r="C3299">
        <v>49</v>
      </c>
      <c r="D3299" t="s">
        <v>8701</v>
      </c>
      <c r="E3299">
        <v>8917</v>
      </c>
      <c r="F3299" t="s">
        <v>23479</v>
      </c>
      <c r="G3299">
        <v>3</v>
      </c>
      <c r="H3299" t="s">
        <v>8801</v>
      </c>
      <c r="J3299" t="s">
        <v>11013</v>
      </c>
      <c r="K3299" t="s">
        <v>104</v>
      </c>
      <c r="L3299" t="s">
        <v>33</v>
      </c>
      <c r="M3299" t="s">
        <v>1583</v>
      </c>
      <c r="N3299" t="s">
        <v>11014</v>
      </c>
      <c r="O3299" t="s">
        <v>11015</v>
      </c>
      <c r="P3299" s="2" t="s">
        <v>37</v>
      </c>
      <c r="Q3299" t="s">
        <v>1208</v>
      </c>
      <c r="R3299">
        <v>0</v>
      </c>
      <c r="S3299">
        <v>19.940000000000001</v>
      </c>
      <c r="T3299" t="s">
        <v>11016</v>
      </c>
    </row>
    <row r="3300" spans="1:20" x14ac:dyDescent="0.25">
      <c r="A3300" s="1" t="str">
        <f>HYPERLINK("https://vegkart.atlas.vegvesen.no/#/@266271.7,6601566.7,18/hva:hva%5B0%5D%5Bfilter%5D%5B0%5D%5Boperator%5D=%21%3D&amp;hva%5B0%5D%5Bfilter%5D%5B0%5D%5Btype_id%5D=8917&amp;hva%5B0%5D%5Bfilter%5D%5B0%5D%5Bverdi%5D=&amp;hva%5B0%5D%5Bid%5D=49/når:2025-09-10", "Vegkart")</f>
        <v>Vegkart</v>
      </c>
      <c r="B3300">
        <v>1013494303</v>
      </c>
      <c r="C3300">
        <v>49</v>
      </c>
      <c r="D3300" t="s">
        <v>8701</v>
      </c>
      <c r="E3300">
        <v>8917</v>
      </c>
      <c r="F3300" t="s">
        <v>23479</v>
      </c>
      <c r="G3300">
        <v>2</v>
      </c>
      <c r="H3300" t="s">
        <v>8733</v>
      </c>
      <c r="J3300" t="s">
        <v>11009</v>
      </c>
      <c r="K3300" t="s">
        <v>104</v>
      </c>
      <c r="L3300" t="s">
        <v>33</v>
      </c>
      <c r="M3300" t="s">
        <v>11017</v>
      </c>
      <c r="N3300" t="s">
        <v>11018</v>
      </c>
      <c r="O3300" t="s">
        <v>11019</v>
      </c>
      <c r="P3300" s="2" t="s">
        <v>37</v>
      </c>
      <c r="Q3300" t="s">
        <v>1208</v>
      </c>
      <c r="R3300">
        <v>0</v>
      </c>
      <c r="S3300">
        <v>13.51</v>
      </c>
      <c r="T3300" t="s">
        <v>11020</v>
      </c>
    </row>
    <row r="3301" spans="1:20" x14ac:dyDescent="0.25">
      <c r="A3301" s="1" t="str">
        <f>HYPERLINK("https://vegkart.atlas.vegvesen.no/#/@256104.8,6988611.9,18/hva:hva%5B0%5D%5Bfilter%5D%5B0%5D%5Boperator%5D=%21%3D&amp;hva%5B0%5D%5Bfilter%5D%5B0%5D%5Btype_id%5D=8917&amp;hva%5B0%5D%5Bfilter%5D%5B0%5D%5Bverdi%5D=&amp;hva%5B0%5D%5Bid%5D=49/når:2021-04-23", "Vegkart")</f>
        <v>Vegkart</v>
      </c>
      <c r="B3301">
        <v>1013499012</v>
      </c>
      <c r="C3301">
        <v>49</v>
      </c>
      <c r="D3301" t="s">
        <v>8701</v>
      </c>
      <c r="E3301">
        <v>8917</v>
      </c>
      <c r="F3301" t="s">
        <v>23479</v>
      </c>
      <c r="G3301">
        <v>1</v>
      </c>
      <c r="H3301" t="s">
        <v>11021</v>
      </c>
      <c r="J3301" t="s">
        <v>11009</v>
      </c>
      <c r="K3301" t="s">
        <v>192</v>
      </c>
      <c r="L3301" t="s">
        <v>80</v>
      </c>
      <c r="M3301" t="s">
        <v>105</v>
      </c>
      <c r="N3301" t="s">
        <v>11022</v>
      </c>
      <c r="O3301" t="s">
        <v>11023</v>
      </c>
      <c r="P3301" s="2" t="s">
        <v>165</v>
      </c>
      <c r="Q3301" t="s">
        <v>641</v>
      </c>
      <c r="R3301">
        <v>0</v>
      </c>
      <c r="S3301">
        <v>221.47</v>
      </c>
      <c r="T3301" t="s">
        <v>167</v>
      </c>
    </row>
    <row r="3302" spans="1:20" x14ac:dyDescent="0.25">
      <c r="A3302" s="1" t="str">
        <f>HYPERLINK("https://vegkart.atlas.vegvesen.no/#/@292375.2,6607660.6,18/hva:hva%5B0%5D%5Bfilter%5D%5B0%5D%5Boperator%5D=%21%3D&amp;hva%5B0%5D%5Bfilter%5D%5B0%5D%5Btype_id%5D=8917&amp;hva%5B0%5D%5Bfilter%5D%5B0%5D%5Bverdi%5D=&amp;hva%5B0%5D%5Bid%5D=49/når:2025-10-03", "Vegkart")</f>
        <v>Vegkart</v>
      </c>
      <c r="B3302">
        <v>1013543057</v>
      </c>
      <c r="C3302">
        <v>49</v>
      </c>
      <c r="D3302" t="s">
        <v>8701</v>
      </c>
      <c r="E3302">
        <v>8917</v>
      </c>
      <c r="F3302" t="s">
        <v>23479</v>
      </c>
      <c r="G3302">
        <v>2</v>
      </c>
      <c r="H3302" t="s">
        <v>8719</v>
      </c>
      <c r="J3302" t="s">
        <v>11009</v>
      </c>
      <c r="K3302" t="s">
        <v>104</v>
      </c>
      <c r="L3302" t="s">
        <v>33</v>
      </c>
      <c r="M3302" t="s">
        <v>11024</v>
      </c>
      <c r="N3302" t="s">
        <v>11025</v>
      </c>
      <c r="O3302" t="s">
        <v>11026</v>
      </c>
      <c r="P3302" s="2" t="s">
        <v>37</v>
      </c>
      <c r="Q3302" t="s">
        <v>1208</v>
      </c>
      <c r="R3302">
        <v>0</v>
      </c>
      <c r="S3302">
        <v>34.56</v>
      </c>
      <c r="T3302" t="s">
        <v>11027</v>
      </c>
    </row>
    <row r="3303" spans="1:20" x14ac:dyDescent="0.25">
      <c r="A3303" s="1" t="str">
        <f>HYPERLINK("https://vegkart.atlas.vegvesen.no/#/@268682.5,6585564.0,18/hva:hva%5B0%5D%5Bfilter%5D%5B0%5D%5Boperator%5D=%21%3D&amp;hva%5B0%5D%5Bfilter%5D%5B0%5D%5Btype_id%5D=8917&amp;hva%5B0%5D%5Bfilter%5D%5B0%5D%5Bverdi%5D=&amp;hva%5B0%5D%5Bid%5D=49/når:2025-09-12", "Vegkart")</f>
        <v>Vegkart</v>
      </c>
      <c r="B3303">
        <v>1013563554</v>
      </c>
      <c r="C3303">
        <v>49</v>
      </c>
      <c r="D3303" t="s">
        <v>8701</v>
      </c>
      <c r="E3303">
        <v>8917</v>
      </c>
      <c r="F3303" t="s">
        <v>23479</v>
      </c>
      <c r="G3303">
        <v>3</v>
      </c>
      <c r="H3303" t="s">
        <v>8801</v>
      </c>
      <c r="J3303" t="s">
        <v>11009</v>
      </c>
      <c r="K3303" t="s">
        <v>104</v>
      </c>
      <c r="L3303" t="s">
        <v>33</v>
      </c>
      <c r="M3303" t="s">
        <v>11028</v>
      </c>
      <c r="N3303" t="s">
        <v>11029</v>
      </c>
      <c r="O3303" t="s">
        <v>11030</v>
      </c>
      <c r="P3303" s="2" t="s">
        <v>37</v>
      </c>
      <c r="Q3303" t="s">
        <v>1208</v>
      </c>
      <c r="R3303">
        <v>0</v>
      </c>
      <c r="S3303">
        <v>46.68</v>
      </c>
      <c r="T3303" t="s">
        <v>11031</v>
      </c>
    </row>
    <row r="3304" spans="1:20" x14ac:dyDescent="0.25">
      <c r="A3304" s="1" t="str">
        <f>HYPERLINK("https://vegkart.atlas.vegvesen.no/#/@293640.6,6606832.2,18/hva:hva%5B0%5D%5Bfilter%5D%5B0%5D%5Boperator%5D=%21%3D&amp;hva%5B0%5D%5Bfilter%5D%5B0%5D%5Btype_id%5D=8917&amp;hva%5B0%5D%5Bfilter%5D%5B0%5D%5Bverdi%5D=&amp;hva%5B0%5D%5Bid%5D=49/når:2025-10-03", "Vegkart")</f>
        <v>Vegkart</v>
      </c>
      <c r="B3304">
        <v>1013574494</v>
      </c>
      <c r="C3304">
        <v>49</v>
      </c>
      <c r="D3304" t="s">
        <v>8701</v>
      </c>
      <c r="E3304">
        <v>8917</v>
      </c>
      <c r="F3304" t="s">
        <v>23479</v>
      </c>
      <c r="G3304">
        <v>2</v>
      </c>
      <c r="H3304" t="s">
        <v>8719</v>
      </c>
      <c r="J3304" t="s">
        <v>11009</v>
      </c>
      <c r="K3304" t="s">
        <v>104</v>
      </c>
      <c r="L3304" t="s">
        <v>33</v>
      </c>
      <c r="M3304" t="s">
        <v>8825</v>
      </c>
      <c r="N3304" t="s">
        <v>11032</v>
      </c>
      <c r="O3304" t="s">
        <v>11033</v>
      </c>
      <c r="P3304" s="2" t="s">
        <v>37</v>
      </c>
      <c r="Q3304" t="s">
        <v>1208</v>
      </c>
      <c r="R3304">
        <v>0</v>
      </c>
      <c r="S3304">
        <v>52.46</v>
      </c>
      <c r="T3304" t="s">
        <v>11034</v>
      </c>
    </row>
    <row r="3305" spans="1:20" x14ac:dyDescent="0.25">
      <c r="A3305" s="1" t="str">
        <f>HYPERLINK("https://vegkart.atlas.vegvesen.no/#/@292818.9,6607402.9,18/hva:hva%5B0%5D%5Bfilter%5D%5B0%5D%5Boperator%5D=%21%3D&amp;hva%5B0%5D%5Bfilter%5D%5B0%5D%5Btype_id%5D=8917&amp;hva%5B0%5D%5Bfilter%5D%5B0%5D%5Bverdi%5D=&amp;hva%5B0%5D%5Bid%5D=49/når:2025-10-03", "Vegkart")</f>
        <v>Vegkart</v>
      </c>
      <c r="B3305">
        <v>1013574543</v>
      </c>
      <c r="C3305">
        <v>49</v>
      </c>
      <c r="D3305" t="s">
        <v>8701</v>
      </c>
      <c r="E3305">
        <v>8917</v>
      </c>
      <c r="F3305" t="s">
        <v>23479</v>
      </c>
      <c r="G3305">
        <v>2</v>
      </c>
      <c r="H3305" t="s">
        <v>8719</v>
      </c>
      <c r="J3305" t="s">
        <v>11009</v>
      </c>
      <c r="K3305" t="s">
        <v>104</v>
      </c>
      <c r="L3305" t="s">
        <v>33</v>
      </c>
      <c r="M3305" t="s">
        <v>8825</v>
      </c>
      <c r="N3305" t="s">
        <v>11035</v>
      </c>
      <c r="O3305" t="s">
        <v>11036</v>
      </c>
      <c r="P3305" s="2" t="s">
        <v>37</v>
      </c>
      <c r="Q3305" t="s">
        <v>1208</v>
      </c>
      <c r="R3305">
        <v>0</v>
      </c>
      <c r="S3305">
        <v>34.200000000000003</v>
      </c>
      <c r="T3305" t="s">
        <v>11037</v>
      </c>
    </row>
    <row r="3306" spans="1:20" x14ac:dyDescent="0.25">
      <c r="A3306" s="1" t="str">
        <f>HYPERLINK("https://vegkart.atlas.vegvesen.no/#/@292754.0,6609405.4,18/hva:hva%5B0%5D%5Bfilter%5D%5B0%5D%5Boperator%5D=%21%3D&amp;hva%5B0%5D%5Bfilter%5D%5B0%5D%5Btype_id%5D=8917&amp;hva%5B0%5D%5Bfilter%5D%5B0%5D%5Bverdi%5D=&amp;hva%5B0%5D%5Bid%5D=49/når:2025-10-03", "Vegkart")</f>
        <v>Vegkart</v>
      </c>
      <c r="B3306">
        <v>1013574641</v>
      </c>
      <c r="C3306">
        <v>49</v>
      </c>
      <c r="D3306" t="s">
        <v>8701</v>
      </c>
      <c r="E3306">
        <v>8917</v>
      </c>
      <c r="F3306" t="s">
        <v>23479</v>
      </c>
      <c r="G3306">
        <v>2</v>
      </c>
      <c r="H3306" t="s">
        <v>8719</v>
      </c>
      <c r="J3306" t="s">
        <v>11009</v>
      </c>
      <c r="K3306" t="s">
        <v>104</v>
      </c>
      <c r="L3306" t="s">
        <v>33</v>
      </c>
      <c r="M3306" t="s">
        <v>8825</v>
      </c>
      <c r="N3306" t="s">
        <v>11038</v>
      </c>
      <c r="O3306" t="s">
        <v>11039</v>
      </c>
      <c r="P3306" s="2" t="s">
        <v>37</v>
      </c>
      <c r="Q3306" t="s">
        <v>1208</v>
      </c>
      <c r="R3306">
        <v>0</v>
      </c>
      <c r="S3306">
        <v>23.79</v>
      </c>
      <c r="T3306" t="s">
        <v>11040</v>
      </c>
    </row>
    <row r="3307" spans="1:20" x14ac:dyDescent="0.25">
      <c r="A3307" s="1" t="str">
        <f>HYPERLINK("https://vegkart.atlas.vegvesen.no/#/@292484.2,6609941.6,18/hva:hva%5B0%5D%5Bfilter%5D%5B0%5D%5Boperator%5D=%21%3D&amp;hva%5B0%5D%5Bfilter%5D%5B0%5D%5Btype_id%5D=8917&amp;hva%5B0%5D%5Bfilter%5D%5B0%5D%5Bverdi%5D=&amp;hva%5B0%5D%5Bid%5D=49/når:2025-10-03", "Vegkart")</f>
        <v>Vegkart</v>
      </c>
      <c r="B3307">
        <v>1013574653</v>
      </c>
      <c r="C3307">
        <v>49</v>
      </c>
      <c r="D3307" t="s">
        <v>8701</v>
      </c>
      <c r="E3307">
        <v>8917</v>
      </c>
      <c r="F3307" t="s">
        <v>23479</v>
      </c>
      <c r="G3307">
        <v>2</v>
      </c>
      <c r="H3307" t="s">
        <v>8719</v>
      </c>
      <c r="J3307" t="s">
        <v>11009</v>
      </c>
      <c r="K3307" t="s">
        <v>104</v>
      </c>
      <c r="L3307" t="s">
        <v>33</v>
      </c>
      <c r="M3307" t="s">
        <v>8825</v>
      </c>
      <c r="N3307" t="s">
        <v>11041</v>
      </c>
      <c r="O3307" t="s">
        <v>11042</v>
      </c>
      <c r="P3307" s="2" t="s">
        <v>37</v>
      </c>
      <c r="Q3307" t="s">
        <v>1208</v>
      </c>
      <c r="R3307">
        <v>0</v>
      </c>
      <c r="S3307">
        <v>27.09</v>
      </c>
      <c r="T3307" t="s">
        <v>11043</v>
      </c>
    </row>
    <row r="3308" spans="1:20" x14ac:dyDescent="0.25">
      <c r="A3308" s="1" t="str">
        <f>HYPERLINK("https://vegkart.atlas.vegvesen.no/#/@264541.1,6602774.1,18/hva:hva%5B0%5D%5Bfilter%5D%5B0%5D%5Boperator%5D=%21%3D&amp;hva%5B0%5D%5Bfilter%5D%5B0%5D%5Btype_id%5D=8917&amp;hva%5B0%5D%5Bfilter%5D%5B0%5D%5Bverdi%5D=&amp;hva%5B0%5D%5Bid%5D=49/når:2025-09-10", "Vegkart")</f>
        <v>Vegkart</v>
      </c>
      <c r="B3308">
        <v>1013576216</v>
      </c>
      <c r="C3308">
        <v>49</v>
      </c>
      <c r="D3308" t="s">
        <v>8701</v>
      </c>
      <c r="E3308">
        <v>8917</v>
      </c>
      <c r="F3308" t="s">
        <v>23479</v>
      </c>
      <c r="G3308">
        <v>2</v>
      </c>
      <c r="H3308" t="s">
        <v>8733</v>
      </c>
      <c r="J3308" t="s">
        <v>11009</v>
      </c>
      <c r="K3308" t="s">
        <v>104</v>
      </c>
      <c r="L3308" t="s">
        <v>33</v>
      </c>
      <c r="M3308" t="s">
        <v>11044</v>
      </c>
      <c r="N3308" t="s">
        <v>11045</v>
      </c>
      <c r="O3308" t="s">
        <v>11046</v>
      </c>
      <c r="P3308" s="2" t="s">
        <v>37</v>
      </c>
      <c r="Q3308" t="s">
        <v>1208</v>
      </c>
      <c r="R3308">
        <v>0</v>
      </c>
      <c r="S3308">
        <v>18.29</v>
      </c>
      <c r="T3308" t="s">
        <v>11047</v>
      </c>
    </row>
    <row r="3309" spans="1:20" x14ac:dyDescent="0.25">
      <c r="A3309" s="1" t="str">
        <f>HYPERLINK("https://vegkart.atlas.vegvesen.no/#/@300177.8,6606153.0,18/hva:hva%5B0%5D%5Bfilter%5D%5B0%5D%5Boperator%5D=%21%3D&amp;hva%5B0%5D%5Bfilter%5D%5B0%5D%5Btype_id%5D=8917&amp;hva%5B0%5D%5Bfilter%5D%5B0%5D%5Bverdi%5D=&amp;hva%5B0%5D%5Bid%5D=49/når:2025-10-03", "Vegkart")</f>
        <v>Vegkart</v>
      </c>
      <c r="B3309">
        <v>1013685552</v>
      </c>
      <c r="C3309">
        <v>49</v>
      </c>
      <c r="D3309" t="s">
        <v>8701</v>
      </c>
      <c r="E3309">
        <v>8917</v>
      </c>
      <c r="F3309" t="s">
        <v>23479</v>
      </c>
      <c r="G3309">
        <v>2</v>
      </c>
      <c r="H3309" t="s">
        <v>8719</v>
      </c>
      <c r="J3309" t="s">
        <v>11009</v>
      </c>
      <c r="K3309" t="s">
        <v>104</v>
      </c>
      <c r="L3309" t="s">
        <v>33</v>
      </c>
      <c r="M3309" t="s">
        <v>8721</v>
      </c>
      <c r="N3309" t="s">
        <v>11048</v>
      </c>
      <c r="O3309" t="s">
        <v>11049</v>
      </c>
      <c r="P3309" s="2" t="s">
        <v>37</v>
      </c>
      <c r="Q3309" t="s">
        <v>1208</v>
      </c>
      <c r="R3309">
        <v>0</v>
      </c>
      <c r="S3309">
        <v>20.03</v>
      </c>
      <c r="T3309" t="s">
        <v>11050</v>
      </c>
    </row>
    <row r="3310" spans="1:20" x14ac:dyDescent="0.25">
      <c r="A3310" s="1" t="str">
        <f>HYPERLINK("https://vegkart.atlas.vegvesen.no/#/@292775.9,6609425.7,18/hva:hva%5B0%5D%5Bfilter%5D%5B0%5D%5Boperator%5D=%21%3D&amp;hva%5B0%5D%5Bfilter%5D%5B0%5D%5Btype_id%5D=8917&amp;hva%5B0%5D%5Bfilter%5D%5B0%5D%5Bverdi%5D=&amp;hva%5B0%5D%5Bid%5D=49/når:2025-10-03", "Vegkart")</f>
        <v>Vegkart</v>
      </c>
      <c r="B3310">
        <v>1013689854</v>
      </c>
      <c r="C3310">
        <v>49</v>
      </c>
      <c r="D3310" t="s">
        <v>8701</v>
      </c>
      <c r="E3310">
        <v>8917</v>
      </c>
      <c r="F3310" t="s">
        <v>23479</v>
      </c>
      <c r="G3310">
        <v>2</v>
      </c>
      <c r="H3310" t="s">
        <v>8719</v>
      </c>
      <c r="J3310" t="s">
        <v>11009</v>
      </c>
      <c r="K3310" t="s">
        <v>104</v>
      </c>
      <c r="L3310" t="s">
        <v>33</v>
      </c>
      <c r="M3310" t="s">
        <v>8721</v>
      </c>
      <c r="N3310" t="s">
        <v>11051</v>
      </c>
      <c r="O3310" t="s">
        <v>11052</v>
      </c>
      <c r="P3310" s="2" t="s">
        <v>37</v>
      </c>
      <c r="Q3310" t="s">
        <v>1208</v>
      </c>
      <c r="R3310">
        <v>0</v>
      </c>
      <c r="S3310">
        <v>25.26</v>
      </c>
      <c r="T3310" t="s">
        <v>11053</v>
      </c>
    </row>
    <row r="3311" spans="1:20" x14ac:dyDescent="0.25">
      <c r="A3311" s="1" t="str">
        <f>HYPERLINK("https://vegkart.atlas.vegvesen.no/#/@292734.7,6609422.9,18/hva:hva%5B0%5D%5Bfilter%5D%5B0%5D%5Boperator%5D=%21%3D&amp;hva%5B0%5D%5Bfilter%5D%5B0%5D%5Btype_id%5D=8917&amp;hva%5B0%5D%5Bfilter%5D%5B0%5D%5Bverdi%5D=&amp;hva%5B0%5D%5Bid%5D=49/når:2025-10-03", "Vegkart")</f>
        <v>Vegkart</v>
      </c>
      <c r="B3311">
        <v>1013689857</v>
      </c>
      <c r="C3311">
        <v>49</v>
      </c>
      <c r="D3311" t="s">
        <v>8701</v>
      </c>
      <c r="E3311">
        <v>8917</v>
      </c>
      <c r="F3311" t="s">
        <v>23479</v>
      </c>
      <c r="G3311">
        <v>2</v>
      </c>
      <c r="H3311" t="s">
        <v>8719</v>
      </c>
      <c r="J3311" t="s">
        <v>11009</v>
      </c>
      <c r="K3311" t="s">
        <v>104</v>
      </c>
      <c r="L3311" t="s">
        <v>33</v>
      </c>
      <c r="M3311" t="s">
        <v>8721</v>
      </c>
      <c r="N3311" t="s">
        <v>11054</v>
      </c>
      <c r="O3311" t="s">
        <v>11055</v>
      </c>
      <c r="P3311" s="2" t="s">
        <v>37</v>
      </c>
      <c r="Q3311" t="s">
        <v>1208</v>
      </c>
      <c r="R3311">
        <v>0</v>
      </c>
      <c r="S3311">
        <v>22.31</v>
      </c>
      <c r="T3311" t="s">
        <v>11056</v>
      </c>
    </row>
    <row r="3312" spans="1:20" x14ac:dyDescent="0.25">
      <c r="A3312" s="1" t="str">
        <f>HYPERLINK("https://vegkart.atlas.vegvesen.no/#/@-35549.3,6557265.1,18/hva:hva%5B0%5D%5Bfilter%5D%5B0%5D%5Boperator%5D=%21%3D&amp;hva%5B0%5D%5Bfilter%5D%5B0%5D%5Btype_id%5D=8917&amp;hva%5B0%5D%5Bfilter%5D%5B0%5D%5Bverdi%5D=&amp;hva%5B0%5D%5Bid%5D=49/når:2021-07-07", "Vegkart")</f>
        <v>Vegkart</v>
      </c>
      <c r="B3312">
        <v>1013778289</v>
      </c>
      <c r="C3312">
        <v>49</v>
      </c>
      <c r="D3312" t="s">
        <v>8701</v>
      </c>
      <c r="E3312">
        <v>8917</v>
      </c>
      <c r="F3312" t="s">
        <v>23479</v>
      </c>
      <c r="G3312">
        <v>1</v>
      </c>
      <c r="H3312" t="s">
        <v>11057</v>
      </c>
      <c r="J3312" t="s">
        <v>11009</v>
      </c>
      <c r="K3312" t="s">
        <v>170</v>
      </c>
      <c r="L3312" t="s">
        <v>33</v>
      </c>
      <c r="M3312" t="s">
        <v>414</v>
      </c>
      <c r="N3312" t="s">
        <v>11058</v>
      </c>
      <c r="O3312" t="s">
        <v>11059</v>
      </c>
      <c r="P3312" s="2" t="s">
        <v>26</v>
      </c>
      <c r="Q3312" t="s">
        <v>50</v>
      </c>
      <c r="R3312">
        <v>21.36</v>
      </c>
      <c r="S3312">
        <v>21.36</v>
      </c>
      <c r="T3312" t="s">
        <v>11060</v>
      </c>
    </row>
    <row r="3313" spans="1:20" x14ac:dyDescent="0.25">
      <c r="A3313" s="1" t="str">
        <f>HYPERLINK("https://vegkart.atlas.vegvesen.no/#/@288970.0,6610589.5,18/hva:hva%5B0%5D%5Bfilter%5D%5B0%5D%5Boperator%5D=%21%3D&amp;hva%5B0%5D%5Bfilter%5D%5B0%5D%5Btype_id%5D=8917&amp;hva%5B0%5D%5Bfilter%5D%5B0%5D%5Bverdi%5D=&amp;hva%5B0%5D%5Bid%5D=49/når:2025-10-03", "Vegkart")</f>
        <v>Vegkart</v>
      </c>
      <c r="B3313">
        <v>1013798655</v>
      </c>
      <c r="C3313">
        <v>49</v>
      </c>
      <c r="D3313" t="s">
        <v>8701</v>
      </c>
      <c r="E3313">
        <v>8917</v>
      </c>
      <c r="F3313" t="s">
        <v>23479</v>
      </c>
      <c r="G3313">
        <v>2</v>
      </c>
      <c r="H3313" t="s">
        <v>8719</v>
      </c>
      <c r="J3313" t="s">
        <v>11009</v>
      </c>
      <c r="K3313" t="s">
        <v>104</v>
      </c>
      <c r="L3313" t="s">
        <v>33</v>
      </c>
      <c r="M3313" t="s">
        <v>8721</v>
      </c>
      <c r="N3313" t="s">
        <v>11061</v>
      </c>
      <c r="O3313" t="s">
        <v>11062</v>
      </c>
      <c r="P3313" s="2" t="s">
        <v>37</v>
      </c>
      <c r="Q3313" t="s">
        <v>1208</v>
      </c>
      <c r="R3313">
        <v>0</v>
      </c>
      <c r="S3313">
        <v>209.34</v>
      </c>
      <c r="T3313" t="s">
        <v>11063</v>
      </c>
    </row>
    <row r="3314" spans="1:20" x14ac:dyDescent="0.25">
      <c r="A3314" s="1" t="str">
        <f>HYPERLINK("https://vegkart.atlas.vegvesen.no/#/@288843.2,6610621.1,18/hva:hva%5B0%5D%5Bfilter%5D%5B0%5D%5Boperator%5D=%21%3D&amp;hva%5B0%5D%5Bfilter%5D%5B0%5D%5Btype_id%5D=8917&amp;hva%5B0%5D%5Bfilter%5D%5B0%5D%5Bverdi%5D=&amp;hva%5B0%5D%5Bid%5D=49/når:2025-10-03", "Vegkart")</f>
        <v>Vegkart</v>
      </c>
      <c r="B3314">
        <v>1013798659</v>
      </c>
      <c r="C3314">
        <v>49</v>
      </c>
      <c r="D3314" t="s">
        <v>8701</v>
      </c>
      <c r="E3314">
        <v>8917</v>
      </c>
      <c r="F3314" t="s">
        <v>23479</v>
      </c>
      <c r="G3314">
        <v>2</v>
      </c>
      <c r="H3314" t="s">
        <v>8719</v>
      </c>
      <c r="J3314" t="s">
        <v>11009</v>
      </c>
      <c r="K3314" t="s">
        <v>104</v>
      </c>
      <c r="L3314" t="s">
        <v>33</v>
      </c>
      <c r="M3314" t="s">
        <v>8721</v>
      </c>
      <c r="N3314" t="s">
        <v>11064</v>
      </c>
      <c r="O3314" t="s">
        <v>11065</v>
      </c>
      <c r="P3314" s="2" t="s">
        <v>37</v>
      </c>
      <c r="Q3314" t="s">
        <v>1208</v>
      </c>
      <c r="R3314">
        <v>0</v>
      </c>
      <c r="S3314">
        <v>204.1</v>
      </c>
      <c r="T3314" t="s">
        <v>11066</v>
      </c>
    </row>
    <row r="3315" spans="1:20" x14ac:dyDescent="0.25">
      <c r="A3315" s="1" t="str">
        <f>HYPERLINK("https://vegkart.atlas.vegvesen.no/#/@286102.9,6610457.9,18/hva:hva%5B0%5D%5Bfilter%5D%5B0%5D%5Boperator%5D=%21%3D&amp;hva%5B0%5D%5Bfilter%5D%5B0%5D%5Btype_id%5D=8917&amp;hva%5B0%5D%5Bfilter%5D%5B0%5D%5Bverdi%5D=&amp;hva%5B0%5D%5Bid%5D=49/når:2025-10-03", "Vegkart")</f>
        <v>Vegkart</v>
      </c>
      <c r="B3315">
        <v>1013816563</v>
      </c>
      <c r="C3315">
        <v>49</v>
      </c>
      <c r="D3315" t="s">
        <v>8701</v>
      </c>
      <c r="E3315">
        <v>8917</v>
      </c>
      <c r="F3315" t="s">
        <v>23479</v>
      </c>
      <c r="G3315">
        <v>2</v>
      </c>
      <c r="H3315" t="s">
        <v>8719</v>
      </c>
      <c r="J3315" t="s">
        <v>11009</v>
      </c>
      <c r="K3315" t="s">
        <v>104</v>
      </c>
      <c r="L3315" t="s">
        <v>33</v>
      </c>
      <c r="M3315" t="s">
        <v>8721</v>
      </c>
      <c r="N3315" t="s">
        <v>11067</v>
      </c>
      <c r="O3315" t="s">
        <v>11068</v>
      </c>
      <c r="P3315" s="2" t="s">
        <v>37</v>
      </c>
      <c r="Q3315" t="s">
        <v>1208</v>
      </c>
      <c r="R3315">
        <v>0</v>
      </c>
      <c r="S3315">
        <v>25.86</v>
      </c>
      <c r="T3315" t="s">
        <v>11069</v>
      </c>
    </row>
    <row r="3316" spans="1:20" x14ac:dyDescent="0.25">
      <c r="A3316" s="1" t="str">
        <f>HYPERLINK("https://vegkart.atlas.vegvesen.no/#/@286043.6,6610459.7,18/hva:hva%5B0%5D%5Bfilter%5D%5B0%5D%5Boperator%5D=%21%3D&amp;hva%5B0%5D%5Bfilter%5D%5B0%5D%5Btype_id%5D=8917&amp;hva%5B0%5D%5Bfilter%5D%5B0%5D%5Bverdi%5D=&amp;hva%5B0%5D%5Bid%5D=49/når:2025-10-03", "Vegkart")</f>
        <v>Vegkart</v>
      </c>
      <c r="B3316">
        <v>1013816566</v>
      </c>
      <c r="C3316">
        <v>49</v>
      </c>
      <c r="D3316" t="s">
        <v>8701</v>
      </c>
      <c r="E3316">
        <v>8917</v>
      </c>
      <c r="F3316" t="s">
        <v>23479</v>
      </c>
      <c r="G3316">
        <v>2</v>
      </c>
      <c r="H3316" t="s">
        <v>8719</v>
      </c>
      <c r="J3316" t="s">
        <v>11009</v>
      </c>
      <c r="K3316" t="s">
        <v>104</v>
      </c>
      <c r="L3316" t="s">
        <v>33</v>
      </c>
      <c r="M3316" t="s">
        <v>8721</v>
      </c>
      <c r="N3316" t="s">
        <v>11070</v>
      </c>
      <c r="O3316" t="s">
        <v>11071</v>
      </c>
      <c r="P3316" s="2" t="s">
        <v>37</v>
      </c>
      <c r="Q3316" t="s">
        <v>1208</v>
      </c>
      <c r="R3316">
        <v>0</v>
      </c>
      <c r="S3316">
        <v>121.17</v>
      </c>
      <c r="T3316" t="s">
        <v>11072</v>
      </c>
    </row>
    <row r="3317" spans="1:20" x14ac:dyDescent="0.25">
      <c r="A3317" s="1" t="str">
        <f>HYPERLINK("https://vegkart.atlas.vegvesen.no/#/@285947.7,6610457.3,18/hva:hva%5B0%5D%5Bfilter%5D%5B0%5D%5Boperator%5D=%21%3D&amp;hva%5B0%5D%5Bfilter%5D%5B0%5D%5Btype_id%5D=8917&amp;hva%5B0%5D%5Bfilter%5D%5B0%5D%5Bverdi%5D=&amp;hva%5B0%5D%5Bid%5D=49/når:2025-10-03", "Vegkart")</f>
        <v>Vegkart</v>
      </c>
      <c r="B3317">
        <v>1013816579</v>
      </c>
      <c r="C3317">
        <v>49</v>
      </c>
      <c r="D3317" t="s">
        <v>8701</v>
      </c>
      <c r="E3317">
        <v>8917</v>
      </c>
      <c r="F3317" t="s">
        <v>23479</v>
      </c>
      <c r="G3317">
        <v>2</v>
      </c>
      <c r="H3317" t="s">
        <v>8719</v>
      </c>
      <c r="J3317" t="s">
        <v>11009</v>
      </c>
      <c r="K3317" t="s">
        <v>104</v>
      </c>
      <c r="L3317" t="s">
        <v>33</v>
      </c>
      <c r="M3317" t="s">
        <v>8721</v>
      </c>
      <c r="N3317" t="s">
        <v>11073</v>
      </c>
      <c r="O3317" t="s">
        <v>11074</v>
      </c>
      <c r="P3317" s="2" t="s">
        <v>37</v>
      </c>
      <c r="Q3317" t="s">
        <v>1208</v>
      </c>
      <c r="R3317">
        <v>0</v>
      </c>
      <c r="S3317">
        <v>214.24</v>
      </c>
      <c r="T3317" t="s">
        <v>11075</v>
      </c>
    </row>
    <row r="3318" spans="1:20" x14ac:dyDescent="0.25">
      <c r="A3318" s="1" t="str">
        <f>HYPERLINK("https://vegkart.atlas.vegvesen.no/#/@283914.1,6610982.2,18/hva:hva%5B0%5D%5Bfilter%5D%5B0%5D%5Boperator%5D=%21%3D&amp;hva%5B0%5D%5Bfilter%5D%5B0%5D%5Btype_id%5D=8917&amp;hva%5B0%5D%5Bfilter%5D%5B0%5D%5Bverdi%5D=&amp;hva%5B0%5D%5Bid%5D=49/når:2025-10-03", "Vegkart")</f>
        <v>Vegkart</v>
      </c>
      <c r="B3318">
        <v>1013816605</v>
      </c>
      <c r="C3318">
        <v>49</v>
      </c>
      <c r="D3318" t="s">
        <v>8701</v>
      </c>
      <c r="E3318">
        <v>8917</v>
      </c>
      <c r="F3318" t="s">
        <v>23479</v>
      </c>
      <c r="G3318">
        <v>2</v>
      </c>
      <c r="H3318" t="s">
        <v>8719</v>
      </c>
      <c r="J3318" t="s">
        <v>11009</v>
      </c>
      <c r="K3318" t="s">
        <v>104</v>
      </c>
      <c r="L3318" t="s">
        <v>33</v>
      </c>
      <c r="M3318" t="s">
        <v>8721</v>
      </c>
      <c r="N3318" t="s">
        <v>11076</v>
      </c>
      <c r="O3318" t="s">
        <v>11077</v>
      </c>
      <c r="P3318" s="2" t="s">
        <v>37</v>
      </c>
      <c r="Q3318" t="s">
        <v>1208</v>
      </c>
      <c r="R3318">
        <v>0</v>
      </c>
      <c r="S3318">
        <v>104.39</v>
      </c>
      <c r="T3318" t="s">
        <v>11078</v>
      </c>
    </row>
    <row r="3319" spans="1:20" x14ac:dyDescent="0.25">
      <c r="A3319" s="1" t="str">
        <f>HYPERLINK("https://vegkart.atlas.vegvesen.no/#/@283725.2,6610960.8,18/hva:hva%5B0%5D%5Bfilter%5D%5B0%5D%5Boperator%5D=%21%3D&amp;hva%5B0%5D%5Bfilter%5D%5B0%5D%5Btype_id%5D=8917&amp;hva%5B0%5D%5Bfilter%5D%5B0%5D%5Bverdi%5D=&amp;hva%5B0%5D%5Bid%5D=49/når:2025-10-03", "Vegkart")</f>
        <v>Vegkart</v>
      </c>
      <c r="B3319">
        <v>1013816627</v>
      </c>
      <c r="C3319">
        <v>49</v>
      </c>
      <c r="D3319" t="s">
        <v>8701</v>
      </c>
      <c r="E3319">
        <v>8917</v>
      </c>
      <c r="F3319" t="s">
        <v>23479</v>
      </c>
      <c r="G3319">
        <v>2</v>
      </c>
      <c r="H3319" t="s">
        <v>8719</v>
      </c>
      <c r="J3319" t="s">
        <v>11009</v>
      </c>
      <c r="K3319" t="s">
        <v>104</v>
      </c>
      <c r="L3319" t="s">
        <v>33</v>
      </c>
      <c r="M3319" t="s">
        <v>8721</v>
      </c>
      <c r="N3319" t="s">
        <v>11079</v>
      </c>
      <c r="O3319" t="s">
        <v>11080</v>
      </c>
      <c r="P3319" s="2" t="s">
        <v>37</v>
      </c>
      <c r="Q3319" t="s">
        <v>1208</v>
      </c>
      <c r="R3319">
        <v>0</v>
      </c>
      <c r="S3319">
        <v>245.68</v>
      </c>
      <c r="T3319" t="s">
        <v>11081</v>
      </c>
    </row>
    <row r="3320" spans="1:20" x14ac:dyDescent="0.25">
      <c r="A3320" s="1" t="str">
        <f>HYPERLINK("https://vegkart.atlas.vegvesen.no/#/@283610.8,6610914.2,18/hva:hva%5B0%5D%5Bfilter%5D%5B0%5D%5Boperator%5D=%21%3D&amp;hva%5B0%5D%5Bfilter%5D%5B0%5D%5Btype_id%5D=8917&amp;hva%5B0%5D%5Bfilter%5D%5B0%5D%5Bverdi%5D=&amp;hva%5B0%5D%5Bid%5D=49/når:2025-10-03", "Vegkart")</f>
        <v>Vegkart</v>
      </c>
      <c r="B3320">
        <v>1013816634</v>
      </c>
      <c r="C3320">
        <v>49</v>
      </c>
      <c r="D3320" t="s">
        <v>8701</v>
      </c>
      <c r="E3320">
        <v>8917</v>
      </c>
      <c r="F3320" t="s">
        <v>23479</v>
      </c>
      <c r="G3320">
        <v>2</v>
      </c>
      <c r="H3320" t="s">
        <v>8719</v>
      </c>
      <c r="J3320" t="s">
        <v>11009</v>
      </c>
      <c r="K3320" t="s">
        <v>104</v>
      </c>
      <c r="L3320" t="s">
        <v>33</v>
      </c>
      <c r="M3320" t="s">
        <v>8721</v>
      </c>
      <c r="N3320" t="s">
        <v>11082</v>
      </c>
      <c r="O3320" t="s">
        <v>11083</v>
      </c>
      <c r="P3320" s="2" t="s">
        <v>37</v>
      </c>
      <c r="Q3320" t="s">
        <v>1208</v>
      </c>
      <c r="R3320">
        <v>0</v>
      </c>
      <c r="S3320">
        <v>27.93</v>
      </c>
      <c r="T3320" t="s">
        <v>11084</v>
      </c>
    </row>
    <row r="3321" spans="1:20" x14ac:dyDescent="0.25">
      <c r="A3321" s="1" t="str">
        <f>HYPERLINK("https://vegkart.atlas.vegvesen.no/#/@283567.9,6610918.1,18/hva:hva%5B0%5D%5Bfilter%5D%5B0%5D%5Boperator%5D=%21%3D&amp;hva%5B0%5D%5Bfilter%5D%5B0%5D%5Btype_id%5D=8917&amp;hva%5B0%5D%5Bfilter%5D%5B0%5D%5Bverdi%5D=&amp;hva%5B0%5D%5Bid%5D=49/når:2025-10-03", "Vegkart")</f>
        <v>Vegkart</v>
      </c>
      <c r="B3321">
        <v>1013816640</v>
      </c>
      <c r="C3321">
        <v>49</v>
      </c>
      <c r="D3321" t="s">
        <v>8701</v>
      </c>
      <c r="E3321">
        <v>8917</v>
      </c>
      <c r="F3321" t="s">
        <v>23479</v>
      </c>
      <c r="G3321">
        <v>2</v>
      </c>
      <c r="H3321" t="s">
        <v>8719</v>
      </c>
      <c r="J3321" t="s">
        <v>11009</v>
      </c>
      <c r="K3321" t="s">
        <v>104</v>
      </c>
      <c r="L3321" t="s">
        <v>33</v>
      </c>
      <c r="M3321" t="s">
        <v>8721</v>
      </c>
      <c r="N3321" t="s">
        <v>11085</v>
      </c>
      <c r="O3321" t="s">
        <v>11086</v>
      </c>
      <c r="P3321" s="2" t="s">
        <v>37</v>
      </c>
      <c r="Q3321" t="s">
        <v>1208</v>
      </c>
      <c r="R3321">
        <v>0</v>
      </c>
      <c r="S3321">
        <v>26.98</v>
      </c>
      <c r="T3321" t="s">
        <v>11087</v>
      </c>
    </row>
    <row r="3322" spans="1:20" x14ac:dyDescent="0.25">
      <c r="A3322" s="1" t="str">
        <f>HYPERLINK("https://vegkart.atlas.vegvesen.no/#/@283387.4,6611001.3,18/hva:hva%5B0%5D%5Bfilter%5D%5B0%5D%5Boperator%5D=%21%3D&amp;hva%5B0%5D%5Bfilter%5D%5B0%5D%5Btype_id%5D=8917&amp;hva%5B0%5D%5Bfilter%5D%5B0%5D%5Bverdi%5D=&amp;hva%5B0%5D%5Bid%5D=49/når:2025-10-03", "Vegkart")</f>
        <v>Vegkart</v>
      </c>
      <c r="B3322">
        <v>1013816647</v>
      </c>
      <c r="C3322">
        <v>49</v>
      </c>
      <c r="D3322" t="s">
        <v>8701</v>
      </c>
      <c r="E3322">
        <v>8917</v>
      </c>
      <c r="F3322" t="s">
        <v>23479</v>
      </c>
      <c r="G3322">
        <v>2</v>
      </c>
      <c r="H3322" t="s">
        <v>8719</v>
      </c>
      <c r="J3322" t="s">
        <v>11009</v>
      </c>
      <c r="K3322" t="s">
        <v>104</v>
      </c>
      <c r="L3322" t="s">
        <v>33</v>
      </c>
      <c r="M3322" t="s">
        <v>8721</v>
      </c>
      <c r="N3322" t="s">
        <v>11088</v>
      </c>
      <c r="O3322" t="s">
        <v>11089</v>
      </c>
      <c r="P3322" s="2" t="s">
        <v>37</v>
      </c>
      <c r="Q3322" t="s">
        <v>1208</v>
      </c>
      <c r="R3322">
        <v>0</v>
      </c>
      <c r="S3322">
        <v>274.27999999999997</v>
      </c>
      <c r="T3322" t="s">
        <v>11090</v>
      </c>
    </row>
    <row r="3323" spans="1:20" x14ac:dyDescent="0.25">
      <c r="A3323" s="1" t="str">
        <f>HYPERLINK("https://vegkart.atlas.vegvesen.no/#/@283250.4,6611040.9,18/hva:hva%5B0%5D%5Bfilter%5D%5B0%5D%5Boperator%5D=%21%3D&amp;hva%5B0%5D%5Bfilter%5D%5B0%5D%5Btype_id%5D=8917&amp;hva%5B0%5D%5Bfilter%5D%5B0%5D%5Bverdi%5D=&amp;hva%5B0%5D%5Bid%5D=49/når:2025-10-03", "Vegkart")</f>
        <v>Vegkart</v>
      </c>
      <c r="B3323">
        <v>1013816675</v>
      </c>
      <c r="C3323">
        <v>49</v>
      </c>
      <c r="D3323" t="s">
        <v>8701</v>
      </c>
      <c r="E3323">
        <v>8917</v>
      </c>
      <c r="F3323" t="s">
        <v>23479</v>
      </c>
      <c r="G3323">
        <v>2</v>
      </c>
      <c r="H3323" t="s">
        <v>8719</v>
      </c>
      <c r="J3323" t="s">
        <v>11009</v>
      </c>
      <c r="K3323" t="s">
        <v>104</v>
      </c>
      <c r="L3323" t="s">
        <v>33</v>
      </c>
      <c r="M3323" t="s">
        <v>8721</v>
      </c>
      <c r="N3323" t="s">
        <v>11091</v>
      </c>
      <c r="O3323" t="s">
        <v>11092</v>
      </c>
      <c r="P3323" s="2" t="s">
        <v>37</v>
      </c>
      <c r="Q3323" t="s">
        <v>1208</v>
      </c>
      <c r="R3323">
        <v>0</v>
      </c>
      <c r="S3323">
        <v>198.58</v>
      </c>
      <c r="T3323" t="s">
        <v>11093</v>
      </c>
    </row>
    <row r="3324" spans="1:20" x14ac:dyDescent="0.25">
      <c r="A3324" s="1" t="str">
        <f>HYPERLINK("https://vegkart.atlas.vegvesen.no/#/@283180.7,6611110.9,18/hva:hva%5B0%5D%5Bfilter%5D%5B0%5D%5Boperator%5D=%21%3D&amp;hva%5B0%5D%5Bfilter%5D%5B0%5D%5Btype_id%5D=8917&amp;hva%5B0%5D%5Bfilter%5D%5B0%5D%5Bverdi%5D=&amp;hva%5B0%5D%5Bid%5D=49/når:2025-10-03", "Vegkart")</f>
        <v>Vegkart</v>
      </c>
      <c r="B3324">
        <v>1013816695</v>
      </c>
      <c r="C3324">
        <v>49</v>
      </c>
      <c r="D3324" t="s">
        <v>8701</v>
      </c>
      <c r="E3324">
        <v>8917</v>
      </c>
      <c r="F3324" t="s">
        <v>23479</v>
      </c>
      <c r="G3324">
        <v>2</v>
      </c>
      <c r="H3324" t="s">
        <v>8719</v>
      </c>
      <c r="J3324" t="s">
        <v>11009</v>
      </c>
      <c r="K3324" t="s">
        <v>104</v>
      </c>
      <c r="L3324" t="s">
        <v>33</v>
      </c>
      <c r="M3324" t="s">
        <v>8721</v>
      </c>
      <c r="N3324" t="s">
        <v>11094</v>
      </c>
      <c r="O3324" t="s">
        <v>11095</v>
      </c>
      <c r="P3324" s="2" t="s">
        <v>37</v>
      </c>
      <c r="Q3324" t="s">
        <v>1208</v>
      </c>
      <c r="R3324">
        <v>0</v>
      </c>
      <c r="S3324">
        <v>150</v>
      </c>
      <c r="T3324" t="s">
        <v>11096</v>
      </c>
    </row>
    <row r="3325" spans="1:20" x14ac:dyDescent="0.25">
      <c r="A3325" s="1" t="str">
        <f>HYPERLINK("https://vegkart.atlas.vegvesen.no/#/@282225.0,6611163.7,18/hva:hva%5B0%5D%5Bfilter%5D%5B0%5D%5Boperator%5D=%21%3D&amp;hva%5B0%5D%5Bfilter%5D%5B0%5D%5Btype_id%5D=8917&amp;hva%5B0%5D%5Bfilter%5D%5B0%5D%5Bverdi%5D=&amp;hva%5B0%5D%5Bid%5D=49/når:2025-10-03", "Vegkart")</f>
        <v>Vegkart</v>
      </c>
      <c r="B3325">
        <v>1013816731</v>
      </c>
      <c r="C3325">
        <v>49</v>
      </c>
      <c r="D3325" t="s">
        <v>8701</v>
      </c>
      <c r="E3325">
        <v>8917</v>
      </c>
      <c r="F3325" t="s">
        <v>23479</v>
      </c>
      <c r="G3325">
        <v>2</v>
      </c>
      <c r="H3325" t="s">
        <v>8719</v>
      </c>
      <c r="J3325" t="s">
        <v>11009</v>
      </c>
      <c r="K3325" t="s">
        <v>104</v>
      </c>
      <c r="L3325" t="s">
        <v>33</v>
      </c>
      <c r="M3325" t="s">
        <v>8721</v>
      </c>
      <c r="N3325" t="s">
        <v>11097</v>
      </c>
      <c r="O3325" t="s">
        <v>11098</v>
      </c>
      <c r="P3325" s="2" t="s">
        <v>37</v>
      </c>
      <c r="Q3325" t="s">
        <v>1208</v>
      </c>
      <c r="R3325">
        <v>0</v>
      </c>
      <c r="S3325">
        <v>139.85</v>
      </c>
      <c r="T3325" t="s">
        <v>11099</v>
      </c>
    </row>
    <row r="3326" spans="1:20" x14ac:dyDescent="0.25">
      <c r="A3326" s="1" t="str">
        <f>HYPERLINK("https://vegkart.atlas.vegvesen.no/#/@282135.3,6611197.6,18/hva:hva%5B0%5D%5Bfilter%5D%5B0%5D%5Boperator%5D=%21%3D&amp;hva%5B0%5D%5Bfilter%5D%5B0%5D%5Btype_id%5D=8917&amp;hva%5B0%5D%5Bfilter%5D%5B0%5D%5Bverdi%5D=&amp;hva%5B0%5D%5Bid%5D=49/når:2025-10-03", "Vegkart")</f>
        <v>Vegkart</v>
      </c>
      <c r="B3326">
        <v>1013816734</v>
      </c>
      <c r="C3326">
        <v>49</v>
      </c>
      <c r="D3326" t="s">
        <v>8701</v>
      </c>
      <c r="E3326">
        <v>8917</v>
      </c>
      <c r="F3326" t="s">
        <v>23479</v>
      </c>
      <c r="G3326">
        <v>2</v>
      </c>
      <c r="H3326" t="s">
        <v>8719</v>
      </c>
      <c r="J3326" t="s">
        <v>11009</v>
      </c>
      <c r="K3326" t="s">
        <v>104</v>
      </c>
      <c r="L3326" t="s">
        <v>33</v>
      </c>
      <c r="M3326" t="s">
        <v>8721</v>
      </c>
      <c r="N3326" t="s">
        <v>11100</v>
      </c>
      <c r="O3326" t="s">
        <v>11101</v>
      </c>
      <c r="P3326" s="2" t="s">
        <v>37</v>
      </c>
      <c r="Q3326" t="s">
        <v>1208</v>
      </c>
      <c r="R3326">
        <v>0</v>
      </c>
      <c r="S3326">
        <v>166.74</v>
      </c>
      <c r="T3326" t="s">
        <v>11102</v>
      </c>
    </row>
    <row r="3327" spans="1:20" x14ac:dyDescent="0.25">
      <c r="A3327" s="1" t="str">
        <f>HYPERLINK("https://vegkart.atlas.vegvesen.no/#/@281772.2,6611471.8,18/hva:hva%5B0%5D%5Bfilter%5D%5B0%5D%5Boperator%5D=%21%3D&amp;hva%5B0%5D%5Bfilter%5D%5B0%5D%5Btype_id%5D=8917&amp;hva%5B0%5D%5Bfilter%5D%5B0%5D%5Bverdi%5D=&amp;hva%5B0%5D%5Bid%5D=49/når:2025-10-03", "Vegkart")</f>
        <v>Vegkart</v>
      </c>
      <c r="B3327">
        <v>1013816760</v>
      </c>
      <c r="C3327">
        <v>49</v>
      </c>
      <c r="D3327" t="s">
        <v>8701</v>
      </c>
      <c r="E3327">
        <v>8917</v>
      </c>
      <c r="F3327" t="s">
        <v>23479</v>
      </c>
      <c r="G3327">
        <v>2</v>
      </c>
      <c r="H3327" t="s">
        <v>8719</v>
      </c>
      <c r="J3327" t="s">
        <v>11009</v>
      </c>
      <c r="K3327" t="s">
        <v>104</v>
      </c>
      <c r="L3327" t="s">
        <v>33</v>
      </c>
      <c r="M3327" t="s">
        <v>8721</v>
      </c>
      <c r="N3327" t="s">
        <v>11103</v>
      </c>
      <c r="O3327" t="s">
        <v>11104</v>
      </c>
      <c r="P3327" s="2" t="s">
        <v>37</v>
      </c>
      <c r="Q3327" t="s">
        <v>1208</v>
      </c>
      <c r="R3327">
        <v>0</v>
      </c>
      <c r="S3327">
        <v>117.85</v>
      </c>
      <c r="T3327" t="s">
        <v>11105</v>
      </c>
    </row>
    <row r="3328" spans="1:20" x14ac:dyDescent="0.25">
      <c r="A3328" s="1" t="str">
        <f>HYPERLINK("https://vegkart.atlas.vegvesen.no/#/@281700.8,6611512.9,18/hva:hva%5B0%5D%5Bfilter%5D%5B0%5D%5Boperator%5D=%21%3D&amp;hva%5B0%5D%5Bfilter%5D%5B0%5D%5Btype_id%5D=8917&amp;hva%5B0%5D%5Bfilter%5D%5B0%5D%5Bverdi%5D=&amp;hva%5B0%5D%5Bid%5D=49/når:2025-10-03", "Vegkart")</f>
        <v>Vegkart</v>
      </c>
      <c r="B3328">
        <v>1013816769</v>
      </c>
      <c r="C3328">
        <v>49</v>
      </c>
      <c r="D3328" t="s">
        <v>8701</v>
      </c>
      <c r="E3328">
        <v>8917</v>
      </c>
      <c r="F3328" t="s">
        <v>23479</v>
      </c>
      <c r="G3328">
        <v>2</v>
      </c>
      <c r="H3328" t="s">
        <v>8719</v>
      </c>
      <c r="J3328" t="s">
        <v>11009</v>
      </c>
      <c r="K3328" t="s">
        <v>104</v>
      </c>
      <c r="L3328" t="s">
        <v>33</v>
      </c>
      <c r="M3328" t="s">
        <v>8721</v>
      </c>
      <c r="N3328" t="s">
        <v>11106</v>
      </c>
      <c r="O3328" t="s">
        <v>11107</v>
      </c>
      <c r="P3328" s="2" t="s">
        <v>37</v>
      </c>
      <c r="Q3328" t="s">
        <v>1208</v>
      </c>
      <c r="R3328">
        <v>0</v>
      </c>
      <c r="S3328">
        <v>148.88999999999999</v>
      </c>
      <c r="T3328" t="s">
        <v>11108</v>
      </c>
    </row>
    <row r="3329" spans="1:20" x14ac:dyDescent="0.25">
      <c r="A3329" s="1" t="str">
        <f>HYPERLINK("https://vegkart.atlas.vegvesen.no/#/@281631.5,6611548.8,18/hva:hva%5B0%5D%5Bfilter%5D%5B0%5D%5Boperator%5D=%21%3D&amp;hva%5B0%5D%5Bfilter%5D%5B0%5D%5Btype_id%5D=8917&amp;hva%5B0%5D%5Bfilter%5D%5B0%5D%5Bverdi%5D=&amp;hva%5B0%5D%5Bid%5D=49/når:2025-10-03", "Vegkart")</f>
        <v>Vegkart</v>
      </c>
      <c r="B3329">
        <v>1013816779</v>
      </c>
      <c r="C3329">
        <v>49</v>
      </c>
      <c r="D3329" t="s">
        <v>8701</v>
      </c>
      <c r="E3329">
        <v>8917</v>
      </c>
      <c r="F3329" t="s">
        <v>23479</v>
      </c>
      <c r="G3329">
        <v>2</v>
      </c>
      <c r="H3329" t="s">
        <v>8719</v>
      </c>
      <c r="J3329" t="s">
        <v>11009</v>
      </c>
      <c r="K3329" t="s">
        <v>104</v>
      </c>
      <c r="L3329" t="s">
        <v>33</v>
      </c>
      <c r="M3329" t="s">
        <v>8721</v>
      </c>
      <c r="N3329" t="s">
        <v>11109</v>
      </c>
      <c r="O3329" t="s">
        <v>11110</v>
      </c>
      <c r="P3329" s="2" t="s">
        <v>37</v>
      </c>
      <c r="Q3329" t="s">
        <v>1208</v>
      </c>
      <c r="R3329">
        <v>0</v>
      </c>
      <c r="S3329">
        <v>96.84</v>
      </c>
      <c r="T3329" t="s">
        <v>11111</v>
      </c>
    </row>
    <row r="3330" spans="1:20" x14ac:dyDescent="0.25">
      <c r="A3330" s="1" t="str">
        <f>HYPERLINK("https://vegkart.atlas.vegvesen.no/#/@279730.6,6614453.5,18/hva:hva%5B0%5D%5Bfilter%5D%5B0%5D%5Boperator%5D=%21%3D&amp;hva%5B0%5D%5Bfilter%5D%5B0%5D%5Btype_id%5D=8917&amp;hva%5B0%5D%5Bfilter%5D%5B0%5D%5Bverdi%5D=&amp;hva%5B0%5D%5Bid%5D=49/når:2025-10-03", "Vegkart")</f>
        <v>Vegkart</v>
      </c>
      <c r="B3330">
        <v>1013816913</v>
      </c>
      <c r="C3330">
        <v>49</v>
      </c>
      <c r="D3330" t="s">
        <v>8701</v>
      </c>
      <c r="E3330">
        <v>8917</v>
      </c>
      <c r="F3330" t="s">
        <v>23479</v>
      </c>
      <c r="G3330">
        <v>2</v>
      </c>
      <c r="H3330" t="s">
        <v>8719</v>
      </c>
      <c r="J3330" t="s">
        <v>11009</v>
      </c>
      <c r="K3330" t="s">
        <v>104</v>
      </c>
      <c r="L3330" t="s">
        <v>33</v>
      </c>
      <c r="M3330" t="s">
        <v>8721</v>
      </c>
      <c r="N3330" t="s">
        <v>11112</v>
      </c>
      <c r="O3330" t="s">
        <v>11113</v>
      </c>
      <c r="P3330" s="2" t="s">
        <v>37</v>
      </c>
      <c r="Q3330" t="s">
        <v>1208</v>
      </c>
      <c r="R3330">
        <v>0</v>
      </c>
      <c r="S3330">
        <v>228.65</v>
      </c>
      <c r="T3330" t="s">
        <v>11114</v>
      </c>
    </row>
    <row r="3331" spans="1:20" x14ac:dyDescent="0.25">
      <c r="A3331" s="1" t="str">
        <f>HYPERLINK("https://vegkart.atlas.vegvesen.no/#/@279591.7,6614560.1,18/hva:hva%5B0%5D%5Bfilter%5D%5B0%5D%5Boperator%5D=%21%3D&amp;hva%5B0%5D%5Bfilter%5D%5B0%5D%5Btype_id%5D=8917&amp;hva%5B0%5D%5Bfilter%5D%5B0%5D%5Bverdi%5D=&amp;hva%5B0%5D%5Bid%5D=49/når:2025-10-03", "Vegkart")</f>
        <v>Vegkart</v>
      </c>
      <c r="B3331">
        <v>1013816923</v>
      </c>
      <c r="C3331">
        <v>49</v>
      </c>
      <c r="D3331" t="s">
        <v>8701</v>
      </c>
      <c r="E3331">
        <v>8917</v>
      </c>
      <c r="F3331" t="s">
        <v>23479</v>
      </c>
      <c r="G3331">
        <v>2</v>
      </c>
      <c r="H3331" t="s">
        <v>8719</v>
      </c>
      <c r="J3331" t="s">
        <v>11009</v>
      </c>
      <c r="K3331" t="s">
        <v>104</v>
      </c>
      <c r="L3331" t="s">
        <v>33</v>
      </c>
      <c r="M3331" t="s">
        <v>8721</v>
      </c>
      <c r="N3331" t="s">
        <v>11115</v>
      </c>
      <c r="O3331" t="s">
        <v>11116</v>
      </c>
      <c r="P3331" s="2" t="s">
        <v>37</v>
      </c>
      <c r="Q3331" t="s">
        <v>1208</v>
      </c>
      <c r="R3331">
        <v>0</v>
      </c>
      <c r="S3331">
        <v>121.22</v>
      </c>
      <c r="T3331" t="s">
        <v>11117</v>
      </c>
    </row>
    <row r="3332" spans="1:20" x14ac:dyDescent="0.25">
      <c r="A3332" s="1" t="str">
        <f>HYPERLINK("https://vegkart.atlas.vegvesen.no/#/@279031.4,6614925.7,18/hva:hva%5B0%5D%5Bfilter%5D%5B0%5D%5Boperator%5D=%21%3D&amp;hva%5B0%5D%5Bfilter%5D%5B0%5D%5Btype_id%5D=8917&amp;hva%5B0%5D%5Bfilter%5D%5B0%5D%5Bverdi%5D=&amp;hva%5B0%5D%5Bid%5D=49/når:2025-10-03", "Vegkart")</f>
        <v>Vegkart</v>
      </c>
      <c r="B3332">
        <v>1013816942</v>
      </c>
      <c r="C3332">
        <v>49</v>
      </c>
      <c r="D3332" t="s">
        <v>8701</v>
      </c>
      <c r="E3332">
        <v>8917</v>
      </c>
      <c r="F3332" t="s">
        <v>23479</v>
      </c>
      <c r="G3332">
        <v>2</v>
      </c>
      <c r="H3332" t="s">
        <v>8719</v>
      </c>
      <c r="J3332" t="s">
        <v>11009</v>
      </c>
      <c r="K3332" t="s">
        <v>104</v>
      </c>
      <c r="L3332" t="s">
        <v>33</v>
      </c>
      <c r="M3332" t="s">
        <v>8721</v>
      </c>
      <c r="N3332" t="s">
        <v>11118</v>
      </c>
      <c r="O3332" t="s">
        <v>11119</v>
      </c>
      <c r="P3332" s="2" t="s">
        <v>37</v>
      </c>
      <c r="Q3332" t="s">
        <v>1208</v>
      </c>
      <c r="R3332">
        <v>0</v>
      </c>
      <c r="S3332">
        <v>132.91</v>
      </c>
      <c r="T3332" t="s">
        <v>11120</v>
      </c>
    </row>
    <row r="3333" spans="1:20" x14ac:dyDescent="0.25">
      <c r="A3333" s="1" t="str">
        <f>HYPERLINK("https://vegkart.atlas.vegvesen.no/#/@278956.3,6614986.1,18/hva:hva%5B0%5D%5Bfilter%5D%5B0%5D%5Boperator%5D=%21%3D&amp;hva%5B0%5D%5Bfilter%5D%5B0%5D%5Btype_id%5D=8917&amp;hva%5B0%5D%5Bfilter%5D%5B0%5D%5Bverdi%5D=&amp;hva%5B0%5D%5Bid%5D=49/når:2025-10-03", "Vegkart")</f>
        <v>Vegkart</v>
      </c>
      <c r="B3333">
        <v>1013816954</v>
      </c>
      <c r="C3333">
        <v>49</v>
      </c>
      <c r="D3333" t="s">
        <v>8701</v>
      </c>
      <c r="E3333">
        <v>8917</v>
      </c>
      <c r="F3333" t="s">
        <v>23479</v>
      </c>
      <c r="G3333">
        <v>2</v>
      </c>
      <c r="H3333" t="s">
        <v>8719</v>
      </c>
      <c r="J3333" t="s">
        <v>11009</v>
      </c>
      <c r="K3333" t="s">
        <v>104</v>
      </c>
      <c r="L3333" t="s">
        <v>33</v>
      </c>
      <c r="M3333" t="s">
        <v>8721</v>
      </c>
      <c r="N3333" t="s">
        <v>11121</v>
      </c>
      <c r="O3333" t="s">
        <v>11122</v>
      </c>
      <c r="P3333" s="2" t="s">
        <v>37</v>
      </c>
      <c r="Q3333" t="s">
        <v>1208</v>
      </c>
      <c r="R3333">
        <v>0</v>
      </c>
      <c r="S3333">
        <v>199.64</v>
      </c>
      <c r="T3333" t="s">
        <v>11123</v>
      </c>
    </row>
    <row r="3334" spans="1:20" x14ac:dyDescent="0.25">
      <c r="A3334" s="1" t="str">
        <f>HYPERLINK("https://vegkart.atlas.vegvesen.no/#/@278234.9,6615216.7,18/hva:hva%5B0%5D%5Bfilter%5D%5B0%5D%5Boperator%5D=%21%3D&amp;hva%5B0%5D%5Bfilter%5D%5B0%5D%5Btype_id%5D=8917&amp;hva%5B0%5D%5Bfilter%5D%5B0%5D%5Bverdi%5D=&amp;hva%5B0%5D%5Bid%5D=49/når:2025-10-03", "Vegkart")</f>
        <v>Vegkart</v>
      </c>
      <c r="B3334">
        <v>1013816968</v>
      </c>
      <c r="C3334">
        <v>49</v>
      </c>
      <c r="D3334" t="s">
        <v>8701</v>
      </c>
      <c r="E3334">
        <v>8917</v>
      </c>
      <c r="F3334" t="s">
        <v>23479</v>
      </c>
      <c r="G3334">
        <v>2</v>
      </c>
      <c r="H3334" t="s">
        <v>8719</v>
      </c>
      <c r="J3334" t="s">
        <v>11009</v>
      </c>
      <c r="K3334" t="s">
        <v>104</v>
      </c>
      <c r="L3334" t="s">
        <v>33</v>
      </c>
      <c r="M3334" t="s">
        <v>8721</v>
      </c>
      <c r="N3334" t="s">
        <v>11124</v>
      </c>
      <c r="O3334" t="s">
        <v>11125</v>
      </c>
      <c r="P3334" s="2" t="s">
        <v>37</v>
      </c>
      <c r="Q3334" t="s">
        <v>1208</v>
      </c>
      <c r="R3334">
        <v>0</v>
      </c>
      <c r="S3334">
        <v>336.7</v>
      </c>
      <c r="T3334" t="s">
        <v>11126</v>
      </c>
    </row>
    <row r="3335" spans="1:20" x14ac:dyDescent="0.25">
      <c r="A3335" s="1" t="str">
        <f>HYPERLINK("https://vegkart.atlas.vegvesen.no/#/@278092.2,6615206.7,18/hva:hva%5B0%5D%5Bfilter%5D%5B0%5D%5Boperator%5D=%21%3D&amp;hva%5B0%5D%5Bfilter%5D%5B0%5D%5Btype_id%5D=8917&amp;hva%5B0%5D%5Bfilter%5D%5B0%5D%5Bverdi%5D=&amp;hva%5B0%5D%5Bid%5D=49/når:2025-10-03", "Vegkart")</f>
        <v>Vegkart</v>
      </c>
      <c r="B3335">
        <v>1013816972</v>
      </c>
      <c r="C3335">
        <v>49</v>
      </c>
      <c r="D3335" t="s">
        <v>8701</v>
      </c>
      <c r="E3335">
        <v>8917</v>
      </c>
      <c r="F3335" t="s">
        <v>23479</v>
      </c>
      <c r="G3335">
        <v>2</v>
      </c>
      <c r="H3335" t="s">
        <v>8719</v>
      </c>
      <c r="J3335" t="s">
        <v>11009</v>
      </c>
      <c r="K3335" t="s">
        <v>104</v>
      </c>
      <c r="L3335" t="s">
        <v>33</v>
      </c>
      <c r="M3335" t="s">
        <v>8721</v>
      </c>
      <c r="N3335" t="s">
        <v>11127</v>
      </c>
      <c r="O3335" t="s">
        <v>11128</v>
      </c>
      <c r="P3335" s="2" t="s">
        <v>37</v>
      </c>
      <c r="Q3335" t="s">
        <v>1208</v>
      </c>
      <c r="R3335">
        <v>0</v>
      </c>
      <c r="S3335">
        <v>154.09</v>
      </c>
      <c r="T3335" t="s">
        <v>11129</v>
      </c>
    </row>
    <row r="3336" spans="1:20" x14ac:dyDescent="0.25">
      <c r="A3336" s="1" t="str">
        <f>HYPERLINK("https://vegkart.atlas.vegvesen.no/#/@277578.8,6615375.3,18/hva:hva%5B0%5D%5Bfilter%5D%5B0%5D%5Boperator%5D=%21%3D&amp;hva%5B0%5D%5Bfilter%5D%5B0%5D%5Btype_id%5D=8917&amp;hva%5B0%5D%5Bfilter%5D%5B0%5D%5Bverdi%5D=&amp;hva%5B0%5D%5Bid%5D=49/når:2025-10-03", "Vegkart")</f>
        <v>Vegkart</v>
      </c>
      <c r="B3336">
        <v>1013816992</v>
      </c>
      <c r="C3336">
        <v>49</v>
      </c>
      <c r="D3336" t="s">
        <v>8701</v>
      </c>
      <c r="E3336">
        <v>8917</v>
      </c>
      <c r="F3336" t="s">
        <v>23479</v>
      </c>
      <c r="G3336">
        <v>2</v>
      </c>
      <c r="H3336" t="s">
        <v>8719</v>
      </c>
      <c r="J3336" t="s">
        <v>11009</v>
      </c>
      <c r="K3336" t="s">
        <v>104</v>
      </c>
      <c r="L3336" t="s">
        <v>33</v>
      </c>
      <c r="M3336" t="s">
        <v>8721</v>
      </c>
      <c r="N3336" t="s">
        <v>11130</v>
      </c>
      <c r="O3336" t="s">
        <v>11131</v>
      </c>
      <c r="P3336" s="2" t="s">
        <v>37</v>
      </c>
      <c r="Q3336" t="s">
        <v>1208</v>
      </c>
      <c r="R3336">
        <v>0</v>
      </c>
      <c r="S3336">
        <v>18.48</v>
      </c>
      <c r="T3336" t="s">
        <v>11132</v>
      </c>
    </row>
    <row r="3337" spans="1:20" x14ac:dyDescent="0.25">
      <c r="A3337" s="1" t="str">
        <f>HYPERLINK("https://vegkart.atlas.vegvesen.no/#/@275801.9,6615795.6,18/hva:hva%5B0%5D%5Bfilter%5D%5B0%5D%5Boperator%5D=%21%3D&amp;hva%5B0%5D%5Bfilter%5D%5B0%5D%5Btype_id%5D=8917&amp;hva%5B0%5D%5Bfilter%5D%5B0%5D%5Bverdi%5D=&amp;hva%5B0%5D%5Bid%5D=49/når:2025-10-03", "Vegkart")</f>
        <v>Vegkart</v>
      </c>
      <c r="B3337">
        <v>1013817010</v>
      </c>
      <c r="C3337">
        <v>49</v>
      </c>
      <c r="D3337" t="s">
        <v>8701</v>
      </c>
      <c r="E3337">
        <v>8917</v>
      </c>
      <c r="F3337" t="s">
        <v>23479</v>
      </c>
      <c r="G3337">
        <v>2</v>
      </c>
      <c r="H3337" t="s">
        <v>8719</v>
      </c>
      <c r="J3337" t="s">
        <v>11009</v>
      </c>
      <c r="K3337" t="s">
        <v>104</v>
      </c>
      <c r="L3337" t="s">
        <v>33</v>
      </c>
      <c r="M3337" t="s">
        <v>8721</v>
      </c>
      <c r="N3337" t="s">
        <v>11133</v>
      </c>
      <c r="O3337" t="s">
        <v>11134</v>
      </c>
      <c r="P3337" s="2" t="s">
        <v>37</v>
      </c>
      <c r="Q3337" t="s">
        <v>1208</v>
      </c>
      <c r="R3337">
        <v>0</v>
      </c>
      <c r="S3337">
        <v>25.95</v>
      </c>
      <c r="T3337" t="s">
        <v>11135</v>
      </c>
    </row>
    <row r="3338" spans="1:20" x14ac:dyDescent="0.25">
      <c r="A3338" s="1" t="str">
        <f>HYPERLINK("https://vegkart.atlas.vegvesen.no/#/@278487.2,6613935.5,18/hva:hva%5B0%5D%5Bfilter%5D%5B0%5D%5Boperator%5D=%21%3D&amp;hva%5B0%5D%5Bfilter%5D%5B0%5D%5Btype_id%5D=8917&amp;hva%5B0%5D%5Bfilter%5D%5B0%5D%5Bverdi%5D=&amp;hva%5B0%5D%5Bid%5D=49/når:2025-10-03", "Vegkart")</f>
        <v>Vegkart</v>
      </c>
      <c r="B3338">
        <v>1013847087</v>
      </c>
      <c r="C3338">
        <v>49</v>
      </c>
      <c r="D3338" t="s">
        <v>8701</v>
      </c>
      <c r="E3338">
        <v>8917</v>
      </c>
      <c r="F3338" t="s">
        <v>23479</v>
      </c>
      <c r="G3338">
        <v>2</v>
      </c>
      <c r="H3338" t="s">
        <v>8719</v>
      </c>
      <c r="J3338" t="s">
        <v>11009</v>
      </c>
      <c r="K3338" t="s">
        <v>104</v>
      </c>
      <c r="L3338" t="s">
        <v>33</v>
      </c>
      <c r="M3338" t="s">
        <v>8871</v>
      </c>
      <c r="N3338" t="s">
        <v>11136</v>
      </c>
      <c r="O3338" t="s">
        <v>11137</v>
      </c>
      <c r="P3338" s="2" t="s">
        <v>37</v>
      </c>
      <c r="Q3338" t="s">
        <v>1208</v>
      </c>
      <c r="R3338">
        <v>0</v>
      </c>
      <c r="S3338">
        <v>17.57</v>
      </c>
      <c r="T3338" t="s">
        <v>11138</v>
      </c>
    </row>
    <row r="3339" spans="1:20" x14ac:dyDescent="0.25">
      <c r="A3339" s="1" t="str">
        <f>HYPERLINK("https://vegkart.atlas.vegvesen.no/#/@278488.6,6613968.2,18/hva:hva%5B0%5D%5Bfilter%5D%5B0%5D%5Boperator%5D=%21%3D&amp;hva%5B0%5D%5Bfilter%5D%5B0%5D%5Btype_id%5D=8917&amp;hva%5B0%5D%5Bfilter%5D%5B0%5D%5Bverdi%5D=&amp;hva%5B0%5D%5Bid%5D=49/når:2025-10-03", "Vegkart")</f>
        <v>Vegkart</v>
      </c>
      <c r="B3339">
        <v>1013847090</v>
      </c>
      <c r="C3339">
        <v>49</v>
      </c>
      <c r="D3339" t="s">
        <v>8701</v>
      </c>
      <c r="E3339">
        <v>8917</v>
      </c>
      <c r="F3339" t="s">
        <v>23479</v>
      </c>
      <c r="G3339">
        <v>2</v>
      </c>
      <c r="H3339" t="s">
        <v>8719</v>
      </c>
      <c r="J3339" t="s">
        <v>11009</v>
      </c>
      <c r="K3339" t="s">
        <v>104</v>
      </c>
      <c r="L3339" t="s">
        <v>33</v>
      </c>
      <c r="M3339" t="s">
        <v>8871</v>
      </c>
      <c r="N3339" t="s">
        <v>11139</v>
      </c>
      <c r="O3339" t="s">
        <v>11140</v>
      </c>
      <c r="P3339" s="2" t="s">
        <v>37</v>
      </c>
      <c r="Q3339" t="s">
        <v>1208</v>
      </c>
      <c r="R3339">
        <v>0</v>
      </c>
      <c r="S3339">
        <v>16.84</v>
      </c>
      <c r="T3339" t="s">
        <v>11141</v>
      </c>
    </row>
    <row r="3340" spans="1:20" x14ac:dyDescent="0.25">
      <c r="A3340" s="1" t="str">
        <f>HYPERLINK("https://vegkart.atlas.vegvesen.no/#/@278897.7,6615004.8,18/hva:hva%5B0%5D%5Bfilter%5D%5B0%5D%5Boperator%5D=%21%3D&amp;hva%5B0%5D%5Bfilter%5D%5B0%5D%5Btype_id%5D=8917&amp;hva%5B0%5D%5Bfilter%5D%5B0%5D%5Bverdi%5D=&amp;hva%5B0%5D%5Bid%5D=49/når:2025-10-03", "Vegkart")</f>
        <v>Vegkart</v>
      </c>
      <c r="B3340">
        <v>1013847100</v>
      </c>
      <c r="C3340">
        <v>49</v>
      </c>
      <c r="D3340" t="s">
        <v>8701</v>
      </c>
      <c r="E3340">
        <v>8917</v>
      </c>
      <c r="F3340" t="s">
        <v>23479</v>
      </c>
      <c r="G3340">
        <v>2</v>
      </c>
      <c r="H3340" t="s">
        <v>8719</v>
      </c>
      <c r="J3340" t="s">
        <v>11009</v>
      </c>
      <c r="K3340" t="s">
        <v>104</v>
      </c>
      <c r="L3340" t="s">
        <v>33</v>
      </c>
      <c r="M3340" t="s">
        <v>8871</v>
      </c>
      <c r="N3340" t="s">
        <v>11142</v>
      </c>
      <c r="O3340" t="s">
        <v>11143</v>
      </c>
      <c r="P3340" s="2" t="s">
        <v>37</v>
      </c>
      <c r="Q3340" t="s">
        <v>1208</v>
      </c>
      <c r="R3340">
        <v>0</v>
      </c>
      <c r="S3340">
        <v>34.92</v>
      </c>
      <c r="T3340" t="s">
        <v>11144</v>
      </c>
    </row>
    <row r="3341" spans="1:20" x14ac:dyDescent="0.25">
      <c r="A3341" s="1" t="str">
        <f>HYPERLINK("https://vegkart.atlas.vegvesen.no/#/@278803.5,6615100.5,18/hva:hva%5B0%5D%5Bfilter%5D%5B0%5D%5Boperator%5D=%21%3D&amp;hva%5B0%5D%5Bfilter%5D%5B0%5D%5Btype_id%5D=8917&amp;hva%5B0%5D%5Bfilter%5D%5B0%5D%5Bverdi%5D=&amp;hva%5B0%5D%5Bid%5D=49/når:2025-10-03", "Vegkart")</f>
        <v>Vegkart</v>
      </c>
      <c r="B3341">
        <v>1013847110</v>
      </c>
      <c r="C3341">
        <v>49</v>
      </c>
      <c r="D3341" t="s">
        <v>8701</v>
      </c>
      <c r="E3341">
        <v>8917</v>
      </c>
      <c r="F3341" t="s">
        <v>23479</v>
      </c>
      <c r="G3341">
        <v>2</v>
      </c>
      <c r="H3341" t="s">
        <v>8719</v>
      </c>
      <c r="J3341" t="s">
        <v>11009</v>
      </c>
      <c r="K3341" t="s">
        <v>104</v>
      </c>
      <c r="L3341" t="s">
        <v>33</v>
      </c>
      <c r="M3341" t="s">
        <v>8871</v>
      </c>
      <c r="N3341" t="s">
        <v>11145</v>
      </c>
      <c r="O3341" t="s">
        <v>11146</v>
      </c>
      <c r="P3341" s="2" t="s">
        <v>37</v>
      </c>
      <c r="Q3341" t="s">
        <v>1208</v>
      </c>
      <c r="R3341">
        <v>0</v>
      </c>
      <c r="S3341">
        <v>90.32</v>
      </c>
      <c r="T3341" t="s">
        <v>11147</v>
      </c>
    </row>
    <row r="3342" spans="1:20" x14ac:dyDescent="0.25">
      <c r="A3342" s="1" t="str">
        <f>HYPERLINK("https://vegkart.atlas.vegvesen.no/#/@292804.9,6592374.2,18/hva:hva%5B0%5D%5Bfilter%5D%5B0%5D%5Boperator%5D=%21%3D&amp;hva%5B0%5D%5Bfilter%5D%5B0%5D%5Btype_id%5D=8917&amp;hva%5B0%5D%5Bfilter%5D%5B0%5D%5Bverdi%5D=&amp;hva%5B0%5D%5Bid%5D=49/når:2025-09-17", "Vegkart")</f>
        <v>Vegkart</v>
      </c>
      <c r="B3342">
        <v>1013870635</v>
      </c>
      <c r="C3342">
        <v>49</v>
      </c>
      <c r="D3342" t="s">
        <v>8701</v>
      </c>
      <c r="E3342">
        <v>8917</v>
      </c>
      <c r="F3342" t="s">
        <v>23479</v>
      </c>
      <c r="G3342">
        <v>2</v>
      </c>
      <c r="H3342" t="s">
        <v>4275</v>
      </c>
      <c r="J3342" t="s">
        <v>11009</v>
      </c>
      <c r="K3342" t="s">
        <v>104</v>
      </c>
      <c r="L3342" t="s">
        <v>33</v>
      </c>
      <c r="M3342" t="s">
        <v>8729</v>
      </c>
      <c r="N3342" t="s">
        <v>11148</v>
      </c>
      <c r="O3342" t="s">
        <v>11149</v>
      </c>
      <c r="P3342" s="2" t="s">
        <v>37</v>
      </c>
      <c r="Q3342" t="s">
        <v>1208</v>
      </c>
      <c r="R3342">
        <v>0</v>
      </c>
      <c r="S3342">
        <v>21.2</v>
      </c>
      <c r="T3342" t="s">
        <v>11150</v>
      </c>
    </row>
    <row r="3343" spans="1:20" x14ac:dyDescent="0.25">
      <c r="A3343" s="1" t="str">
        <f>HYPERLINK("https://vegkart.atlas.vegvesen.no/#/@292750.8,6592468.3,18/hva:hva%5B0%5D%5Bfilter%5D%5B0%5D%5Boperator%5D=%21%3D&amp;hva%5B0%5D%5Bfilter%5D%5B0%5D%5Btype_id%5D=8917&amp;hva%5B0%5D%5Bfilter%5D%5B0%5D%5Bverdi%5D=&amp;hva%5B0%5D%5Bid%5D=49/når:2025-09-17", "Vegkart")</f>
        <v>Vegkart</v>
      </c>
      <c r="B3343">
        <v>1013870640</v>
      </c>
      <c r="C3343">
        <v>49</v>
      </c>
      <c r="D3343" t="s">
        <v>8701</v>
      </c>
      <c r="E3343">
        <v>8917</v>
      </c>
      <c r="F3343" t="s">
        <v>23479</v>
      </c>
      <c r="G3343">
        <v>2</v>
      </c>
      <c r="H3343" t="s">
        <v>4275</v>
      </c>
      <c r="J3343" t="s">
        <v>11009</v>
      </c>
      <c r="K3343" t="s">
        <v>104</v>
      </c>
      <c r="L3343" t="s">
        <v>33</v>
      </c>
      <c r="M3343" t="s">
        <v>8729</v>
      </c>
      <c r="N3343" t="s">
        <v>11151</v>
      </c>
      <c r="O3343" t="s">
        <v>11152</v>
      </c>
      <c r="P3343" s="2" t="s">
        <v>37</v>
      </c>
      <c r="Q3343" t="s">
        <v>1208</v>
      </c>
      <c r="R3343">
        <v>0</v>
      </c>
      <c r="S3343">
        <v>22.01</v>
      </c>
      <c r="T3343" t="s">
        <v>11153</v>
      </c>
    </row>
    <row r="3344" spans="1:20" x14ac:dyDescent="0.25">
      <c r="A3344" s="1" t="str">
        <f>HYPERLINK("https://vegkart.atlas.vegvesen.no/#/@292732.5,6592502.4,18/hva:hva%5B0%5D%5Bfilter%5D%5B0%5D%5Boperator%5D=%21%3D&amp;hva%5B0%5D%5Bfilter%5D%5B0%5D%5Btype_id%5D=8917&amp;hva%5B0%5D%5Bfilter%5D%5B0%5D%5Bverdi%5D=&amp;hva%5B0%5D%5Bid%5D=49/når:2025-09-17", "Vegkart")</f>
        <v>Vegkart</v>
      </c>
      <c r="B3344">
        <v>1013870654</v>
      </c>
      <c r="C3344">
        <v>49</v>
      </c>
      <c r="D3344" t="s">
        <v>8701</v>
      </c>
      <c r="E3344">
        <v>8917</v>
      </c>
      <c r="F3344" t="s">
        <v>23479</v>
      </c>
      <c r="G3344">
        <v>2</v>
      </c>
      <c r="H3344" t="s">
        <v>4275</v>
      </c>
      <c r="J3344" t="s">
        <v>11009</v>
      </c>
      <c r="K3344" t="s">
        <v>104</v>
      </c>
      <c r="L3344" t="s">
        <v>33</v>
      </c>
      <c r="M3344" t="s">
        <v>8729</v>
      </c>
      <c r="N3344" t="s">
        <v>11154</v>
      </c>
      <c r="O3344" t="s">
        <v>11155</v>
      </c>
      <c r="P3344" s="2" t="s">
        <v>37</v>
      </c>
      <c r="Q3344" t="s">
        <v>1208</v>
      </c>
      <c r="R3344">
        <v>0</v>
      </c>
      <c r="S3344">
        <v>21.64</v>
      </c>
      <c r="T3344" t="s">
        <v>11156</v>
      </c>
    </row>
    <row r="3345" spans="1:20" x14ac:dyDescent="0.25">
      <c r="A3345" s="1" t="str">
        <f>HYPERLINK("https://vegkart.atlas.vegvesen.no/#/@292391.7,6593433.6,18/hva:hva%5B0%5D%5Bfilter%5D%5B0%5D%5Boperator%5D=%21%3D&amp;hva%5B0%5D%5Bfilter%5D%5B0%5D%5Btype_id%5D=8917&amp;hva%5B0%5D%5Bfilter%5D%5B0%5D%5Bverdi%5D=&amp;hva%5B0%5D%5Bid%5D=49/når:2025-09-17", "Vegkart")</f>
        <v>Vegkart</v>
      </c>
      <c r="B3345">
        <v>1013870703</v>
      </c>
      <c r="C3345">
        <v>49</v>
      </c>
      <c r="D3345" t="s">
        <v>8701</v>
      </c>
      <c r="E3345">
        <v>8917</v>
      </c>
      <c r="F3345" t="s">
        <v>23479</v>
      </c>
      <c r="G3345">
        <v>2</v>
      </c>
      <c r="H3345" t="s">
        <v>4275</v>
      </c>
      <c r="J3345" t="s">
        <v>11009</v>
      </c>
      <c r="K3345" t="s">
        <v>104</v>
      </c>
      <c r="L3345" t="s">
        <v>33</v>
      </c>
      <c r="M3345" t="s">
        <v>8729</v>
      </c>
      <c r="N3345" t="s">
        <v>11157</v>
      </c>
      <c r="O3345" t="s">
        <v>11158</v>
      </c>
      <c r="P3345" s="2" t="s">
        <v>37</v>
      </c>
      <c r="Q3345" t="s">
        <v>1208</v>
      </c>
      <c r="R3345">
        <v>0</v>
      </c>
      <c r="S3345">
        <v>6.18</v>
      </c>
      <c r="T3345" t="s">
        <v>11159</v>
      </c>
    </row>
    <row r="3346" spans="1:20" x14ac:dyDescent="0.25">
      <c r="A3346" s="1" t="str">
        <f>HYPERLINK("https://vegkart.atlas.vegvesen.no/#/@292419.6,6593430.9,18/hva:hva%5B0%5D%5Bfilter%5D%5B0%5D%5Boperator%5D=%21%3D&amp;hva%5B0%5D%5Bfilter%5D%5B0%5D%5Btype_id%5D=8917&amp;hva%5B0%5D%5Bfilter%5D%5B0%5D%5Bverdi%5D=&amp;hva%5B0%5D%5Bid%5D=49/når:2025-09-17", "Vegkart")</f>
        <v>Vegkart</v>
      </c>
      <c r="B3346">
        <v>1013870704</v>
      </c>
      <c r="C3346">
        <v>49</v>
      </c>
      <c r="D3346" t="s">
        <v>8701</v>
      </c>
      <c r="E3346">
        <v>8917</v>
      </c>
      <c r="F3346" t="s">
        <v>23479</v>
      </c>
      <c r="G3346">
        <v>2</v>
      </c>
      <c r="H3346" t="s">
        <v>4275</v>
      </c>
      <c r="J3346" t="s">
        <v>11160</v>
      </c>
      <c r="K3346" t="s">
        <v>104</v>
      </c>
      <c r="L3346" t="s">
        <v>33</v>
      </c>
      <c r="M3346" t="s">
        <v>8729</v>
      </c>
      <c r="N3346" t="s">
        <v>11161</v>
      </c>
      <c r="O3346" t="s">
        <v>11162</v>
      </c>
      <c r="P3346" s="2" t="s">
        <v>37</v>
      </c>
      <c r="Q3346" t="s">
        <v>1208</v>
      </c>
      <c r="R3346">
        <v>0</v>
      </c>
      <c r="S3346">
        <v>6.72</v>
      </c>
      <c r="T3346" t="s">
        <v>11163</v>
      </c>
    </row>
    <row r="3347" spans="1:20" x14ac:dyDescent="0.25">
      <c r="A3347" s="1" t="str">
        <f>HYPERLINK("https://vegkart.atlas.vegvesen.no/#/@286550.5,6609954.0,18/hva:hva%5B0%5D%5Bfilter%5D%5B0%5D%5Boperator%5D=%21%3D&amp;hva%5B0%5D%5Bfilter%5D%5B0%5D%5Btype_id%5D=8917&amp;hva%5B0%5D%5Bfilter%5D%5B0%5D%5Bverdi%5D=&amp;hva%5B0%5D%5Bid%5D=49/når:2025-10-03", "Vegkart")</f>
        <v>Vegkart</v>
      </c>
      <c r="B3347">
        <v>1013870848</v>
      </c>
      <c r="C3347">
        <v>49</v>
      </c>
      <c r="D3347" t="s">
        <v>8701</v>
      </c>
      <c r="E3347">
        <v>8917</v>
      </c>
      <c r="F3347" t="s">
        <v>23479</v>
      </c>
      <c r="G3347">
        <v>2</v>
      </c>
      <c r="H3347" t="s">
        <v>8719</v>
      </c>
      <c r="J3347" t="s">
        <v>11009</v>
      </c>
      <c r="K3347" t="s">
        <v>104</v>
      </c>
      <c r="L3347" t="s">
        <v>33</v>
      </c>
      <c r="M3347" t="s">
        <v>8729</v>
      </c>
      <c r="N3347" t="s">
        <v>11164</v>
      </c>
      <c r="O3347" t="s">
        <v>11165</v>
      </c>
      <c r="P3347" s="2" t="s">
        <v>37</v>
      </c>
      <c r="Q3347" t="s">
        <v>1208</v>
      </c>
      <c r="R3347">
        <v>0</v>
      </c>
      <c r="S3347">
        <v>26.21</v>
      </c>
      <c r="T3347" t="s">
        <v>11166</v>
      </c>
    </row>
    <row r="3348" spans="1:20" x14ac:dyDescent="0.25">
      <c r="A3348" s="1" t="str">
        <f>HYPERLINK("https://vegkart.atlas.vegvesen.no/#/@286519.1,6609986.8,18/hva:hva%5B0%5D%5Bfilter%5D%5B0%5D%5Boperator%5D=%21%3D&amp;hva%5B0%5D%5Bfilter%5D%5B0%5D%5Btype_id%5D=8917&amp;hva%5B0%5D%5Bfilter%5D%5B0%5D%5Bverdi%5D=&amp;hva%5B0%5D%5Bid%5D=49/når:2025-10-03", "Vegkart")</f>
        <v>Vegkart</v>
      </c>
      <c r="B3348">
        <v>1013870851</v>
      </c>
      <c r="C3348">
        <v>49</v>
      </c>
      <c r="D3348" t="s">
        <v>8701</v>
      </c>
      <c r="E3348">
        <v>8917</v>
      </c>
      <c r="F3348" t="s">
        <v>23479</v>
      </c>
      <c r="G3348">
        <v>2</v>
      </c>
      <c r="H3348" t="s">
        <v>8719</v>
      </c>
      <c r="J3348" t="s">
        <v>11009</v>
      </c>
      <c r="K3348" t="s">
        <v>104</v>
      </c>
      <c r="L3348" t="s">
        <v>33</v>
      </c>
      <c r="M3348" t="s">
        <v>8729</v>
      </c>
      <c r="N3348" t="s">
        <v>11167</v>
      </c>
      <c r="O3348" t="s">
        <v>11168</v>
      </c>
      <c r="P3348" s="2" t="s">
        <v>37</v>
      </c>
      <c r="Q3348" t="s">
        <v>1208</v>
      </c>
      <c r="R3348">
        <v>0</v>
      </c>
      <c r="S3348">
        <v>26.45</v>
      </c>
      <c r="T3348" t="s">
        <v>11169</v>
      </c>
    </row>
    <row r="3349" spans="1:20" x14ac:dyDescent="0.25">
      <c r="A3349" s="1" t="str">
        <f>HYPERLINK("https://vegkart.atlas.vegvesen.no/#/@286422.8,6610080.2,18/hva:hva%5B0%5D%5Bfilter%5D%5B0%5D%5Boperator%5D=%21%3D&amp;hva%5B0%5D%5Bfilter%5D%5B0%5D%5Btype_id%5D=8917&amp;hva%5B0%5D%5Bfilter%5D%5B0%5D%5Bverdi%5D=&amp;hva%5B0%5D%5Bid%5D=49/når:2025-10-03", "Vegkart")</f>
        <v>Vegkart</v>
      </c>
      <c r="B3349">
        <v>1013870862</v>
      </c>
      <c r="C3349">
        <v>49</v>
      </c>
      <c r="D3349" t="s">
        <v>8701</v>
      </c>
      <c r="E3349">
        <v>8917</v>
      </c>
      <c r="F3349" t="s">
        <v>23479</v>
      </c>
      <c r="G3349">
        <v>2</v>
      </c>
      <c r="H3349" t="s">
        <v>8719</v>
      </c>
      <c r="J3349" t="s">
        <v>11009</v>
      </c>
      <c r="K3349" t="s">
        <v>104</v>
      </c>
      <c r="L3349" t="s">
        <v>33</v>
      </c>
      <c r="M3349" t="s">
        <v>8729</v>
      </c>
      <c r="N3349" t="s">
        <v>11170</v>
      </c>
      <c r="O3349" t="s">
        <v>11171</v>
      </c>
      <c r="P3349" s="2" t="s">
        <v>37</v>
      </c>
      <c r="Q3349" t="s">
        <v>1208</v>
      </c>
      <c r="R3349">
        <v>0</v>
      </c>
      <c r="S3349">
        <v>26.3</v>
      </c>
      <c r="T3349" t="s">
        <v>11172</v>
      </c>
    </row>
    <row r="3350" spans="1:20" x14ac:dyDescent="0.25">
      <c r="A3350" s="1" t="str">
        <f>HYPERLINK("https://vegkart.atlas.vegvesen.no/#/@260634.0,6599166.9,18/hva:hva%5B0%5D%5Bfilter%5D%5B0%5D%5Boperator%5D=%21%3D&amp;hva%5B0%5D%5Bfilter%5D%5B0%5D%5Btype_id%5D=8917&amp;hva%5B0%5D%5Bfilter%5D%5B0%5D%5Bverdi%5D=&amp;hva%5B0%5D%5Bid%5D=49/når:2025-09-10", "Vegkart")</f>
        <v>Vegkart</v>
      </c>
      <c r="B3350">
        <v>1013879807</v>
      </c>
      <c r="C3350">
        <v>49</v>
      </c>
      <c r="D3350" t="s">
        <v>8701</v>
      </c>
      <c r="E3350">
        <v>8917</v>
      </c>
      <c r="F3350" t="s">
        <v>23479</v>
      </c>
      <c r="G3350">
        <v>2</v>
      </c>
      <c r="H3350" t="s">
        <v>8733</v>
      </c>
      <c r="J3350" t="s">
        <v>11009</v>
      </c>
      <c r="K3350" t="s">
        <v>104</v>
      </c>
      <c r="L3350" t="s">
        <v>33</v>
      </c>
      <c r="M3350" t="s">
        <v>5979</v>
      </c>
      <c r="N3350" t="s">
        <v>11173</v>
      </c>
      <c r="O3350" t="s">
        <v>11174</v>
      </c>
      <c r="P3350" s="2" t="s">
        <v>37</v>
      </c>
      <c r="Q3350" t="s">
        <v>1208</v>
      </c>
      <c r="R3350">
        <v>0</v>
      </c>
      <c r="S3350">
        <v>72.41</v>
      </c>
      <c r="T3350" t="s">
        <v>11175</v>
      </c>
    </row>
    <row r="3351" spans="1:20" x14ac:dyDescent="0.25">
      <c r="A3351" s="1" t="str">
        <f>HYPERLINK("https://vegkart.atlas.vegvesen.no/#/@282352.2,6605046.1,18/hva:hva%5B0%5D%5Bfilter%5D%5B0%5D%5Boperator%5D=%21%3D&amp;hva%5B0%5D%5Bfilter%5D%5B0%5D%5Btype_id%5D=8917&amp;hva%5B0%5D%5Bfilter%5D%5B0%5D%5Bverdi%5D=&amp;hva%5B0%5D%5Bid%5D=49/når:2025-09-12", "Vegkart")</f>
        <v>Vegkart</v>
      </c>
      <c r="B3351">
        <v>1013900305</v>
      </c>
      <c r="C3351">
        <v>49</v>
      </c>
      <c r="D3351" t="s">
        <v>8701</v>
      </c>
      <c r="E3351">
        <v>8917</v>
      </c>
      <c r="F3351" t="s">
        <v>23479</v>
      </c>
      <c r="G3351">
        <v>3</v>
      </c>
      <c r="H3351" t="s">
        <v>8801</v>
      </c>
      <c r="J3351" t="s">
        <v>11009</v>
      </c>
      <c r="K3351" t="s">
        <v>104</v>
      </c>
      <c r="L3351" t="s">
        <v>33</v>
      </c>
      <c r="M3351" t="s">
        <v>5979</v>
      </c>
      <c r="N3351" t="s">
        <v>11176</v>
      </c>
      <c r="O3351" t="s">
        <v>11177</v>
      </c>
      <c r="P3351" s="2" t="s">
        <v>37</v>
      </c>
      <c r="Q3351" t="s">
        <v>1208</v>
      </c>
      <c r="R3351">
        <v>0</v>
      </c>
      <c r="S3351">
        <v>25.47</v>
      </c>
      <c r="T3351" t="s">
        <v>11178</v>
      </c>
    </row>
    <row r="3352" spans="1:20" x14ac:dyDescent="0.25">
      <c r="A3352" s="1" t="str">
        <f>HYPERLINK("https://vegkart.atlas.vegvesen.no/#/@283516.9,6609744.0,18/hva:hva%5B0%5D%5Bfilter%5D%5B0%5D%5Boperator%5D=%21%3D&amp;hva%5B0%5D%5Bfilter%5D%5B0%5D%5Btype_id%5D=8917&amp;hva%5B0%5D%5Bfilter%5D%5B0%5D%5Bverdi%5D=&amp;hva%5B0%5D%5Bid%5D=49/når:2025-10-03", "Vegkart")</f>
        <v>Vegkart</v>
      </c>
      <c r="B3352">
        <v>1013900349</v>
      </c>
      <c r="C3352">
        <v>49</v>
      </c>
      <c r="D3352" t="s">
        <v>8701</v>
      </c>
      <c r="E3352">
        <v>8917</v>
      </c>
      <c r="F3352" t="s">
        <v>23479</v>
      </c>
      <c r="G3352">
        <v>2</v>
      </c>
      <c r="H3352" t="s">
        <v>8719</v>
      </c>
      <c r="J3352" t="s">
        <v>11009</v>
      </c>
      <c r="K3352" t="s">
        <v>104</v>
      </c>
      <c r="L3352" t="s">
        <v>33</v>
      </c>
      <c r="M3352" t="s">
        <v>5979</v>
      </c>
      <c r="N3352" t="s">
        <v>11179</v>
      </c>
      <c r="O3352" t="s">
        <v>11180</v>
      </c>
      <c r="P3352" s="2" t="s">
        <v>37</v>
      </c>
      <c r="Q3352" t="s">
        <v>1208</v>
      </c>
      <c r="R3352">
        <v>0</v>
      </c>
      <c r="S3352">
        <v>25.83</v>
      </c>
      <c r="T3352" t="s">
        <v>11181</v>
      </c>
    </row>
    <row r="3353" spans="1:20" x14ac:dyDescent="0.25">
      <c r="A3353" s="1" t="str">
        <f>HYPERLINK("https://vegkart.atlas.vegvesen.no/#/@283992.3,6612189.1,18/hva:hva%5B0%5D%5Bfilter%5D%5B0%5D%5Boperator%5D=%21%3D&amp;hva%5B0%5D%5Bfilter%5D%5B0%5D%5Btype_id%5D=8917&amp;hva%5B0%5D%5Bfilter%5D%5B0%5D%5Bverdi%5D=&amp;hva%5B0%5D%5Bid%5D=49/når:2025-10-03", "Vegkart")</f>
        <v>Vegkart</v>
      </c>
      <c r="B3353">
        <v>1013905386</v>
      </c>
      <c r="C3353">
        <v>49</v>
      </c>
      <c r="D3353" t="s">
        <v>8701</v>
      </c>
      <c r="E3353">
        <v>8917</v>
      </c>
      <c r="F3353" t="s">
        <v>23479</v>
      </c>
      <c r="G3353">
        <v>2</v>
      </c>
      <c r="H3353" t="s">
        <v>8719</v>
      </c>
      <c r="J3353" t="s">
        <v>11009</v>
      </c>
      <c r="K3353" t="s">
        <v>104</v>
      </c>
      <c r="L3353" t="s">
        <v>33</v>
      </c>
      <c r="M3353" t="s">
        <v>5979</v>
      </c>
      <c r="N3353" t="s">
        <v>11182</v>
      </c>
      <c r="O3353" t="s">
        <v>11183</v>
      </c>
      <c r="P3353" s="2" t="s">
        <v>37</v>
      </c>
      <c r="Q3353" t="s">
        <v>1208</v>
      </c>
      <c r="R3353">
        <v>0</v>
      </c>
      <c r="S3353">
        <v>153.94</v>
      </c>
      <c r="T3353" t="s">
        <v>11184</v>
      </c>
    </row>
    <row r="3354" spans="1:20" x14ac:dyDescent="0.25">
      <c r="A3354" s="1" t="str">
        <f>HYPERLINK("https://vegkart.atlas.vegvesen.no/#/@284032.7,6612261.0,18/hva:hva%5B0%5D%5Bfilter%5D%5B0%5D%5Boperator%5D=%21%3D&amp;hva%5B0%5D%5Bfilter%5D%5B0%5D%5Btype_id%5D=8917&amp;hva%5B0%5D%5Bfilter%5D%5B0%5D%5Bverdi%5D=&amp;hva%5B0%5D%5Bid%5D=49/når:2025-10-03", "Vegkart")</f>
        <v>Vegkart</v>
      </c>
      <c r="B3354">
        <v>1013905394</v>
      </c>
      <c r="C3354">
        <v>49</v>
      </c>
      <c r="D3354" t="s">
        <v>8701</v>
      </c>
      <c r="E3354">
        <v>8917</v>
      </c>
      <c r="F3354" t="s">
        <v>23479</v>
      </c>
      <c r="G3354">
        <v>2</v>
      </c>
      <c r="H3354" t="s">
        <v>8719</v>
      </c>
      <c r="J3354" t="s">
        <v>11009</v>
      </c>
      <c r="K3354" t="s">
        <v>104</v>
      </c>
      <c r="L3354" t="s">
        <v>33</v>
      </c>
      <c r="M3354" t="s">
        <v>5979</v>
      </c>
      <c r="N3354" t="s">
        <v>11185</v>
      </c>
      <c r="O3354" t="s">
        <v>11186</v>
      </c>
      <c r="P3354" s="2" t="s">
        <v>37</v>
      </c>
      <c r="Q3354" t="s">
        <v>1208</v>
      </c>
      <c r="R3354">
        <v>0</v>
      </c>
      <c r="S3354">
        <v>115.55</v>
      </c>
      <c r="T3354" t="s">
        <v>11187</v>
      </c>
    </row>
    <row r="3355" spans="1:20" x14ac:dyDescent="0.25">
      <c r="A3355" s="1" t="str">
        <f>HYPERLINK("https://vegkart.atlas.vegvesen.no/#/@285159.3,6563284.6,18/hva:hva%5B0%5D%5Bfilter%5D%5B0%5D%5Boperator%5D=%21%3D&amp;hva%5B0%5D%5Bfilter%5D%5B0%5D%5Btype_id%5D=8917&amp;hva%5B0%5D%5Bfilter%5D%5B0%5D%5Bverdi%5D=&amp;hva%5B0%5D%5Bid%5D=49/når:2025-10-15", "Vegkart")</f>
        <v>Vegkart</v>
      </c>
      <c r="B3355">
        <v>1013918853</v>
      </c>
      <c r="C3355">
        <v>49</v>
      </c>
      <c r="D3355" t="s">
        <v>8701</v>
      </c>
      <c r="E3355">
        <v>8917</v>
      </c>
      <c r="F3355" t="s">
        <v>23479</v>
      </c>
      <c r="G3355">
        <v>2</v>
      </c>
      <c r="H3355" t="s">
        <v>683</v>
      </c>
      <c r="J3355" t="s">
        <v>11009</v>
      </c>
      <c r="K3355" t="s">
        <v>104</v>
      </c>
      <c r="L3355" t="s">
        <v>33</v>
      </c>
      <c r="M3355" t="s">
        <v>11188</v>
      </c>
      <c r="N3355" t="s">
        <v>11189</v>
      </c>
      <c r="O3355" t="s">
        <v>11190</v>
      </c>
      <c r="P3355" s="2" t="s">
        <v>37</v>
      </c>
      <c r="Q3355" t="s">
        <v>1208</v>
      </c>
      <c r="R3355">
        <v>0</v>
      </c>
      <c r="S3355">
        <v>25.81</v>
      </c>
      <c r="T3355" t="s">
        <v>11191</v>
      </c>
    </row>
    <row r="3356" spans="1:20" x14ac:dyDescent="0.25">
      <c r="A3356" s="1" t="str">
        <f>HYPERLINK("https://vegkart.atlas.vegvesen.no/#/@282433.7,6570017.1,18/hva:hva%5B0%5D%5Bfilter%5D%5B0%5D%5Boperator%5D=%21%3D&amp;hva%5B0%5D%5Bfilter%5D%5B0%5D%5Btype_id%5D=8917&amp;hva%5B0%5D%5Bfilter%5D%5B0%5D%5Bverdi%5D=&amp;hva%5B0%5D%5Bid%5D=49/når:2025-11-11", "Vegkart")</f>
        <v>Vegkart</v>
      </c>
      <c r="B3356">
        <v>1013921125</v>
      </c>
      <c r="C3356">
        <v>49</v>
      </c>
      <c r="D3356" t="s">
        <v>8701</v>
      </c>
      <c r="E3356">
        <v>8917</v>
      </c>
      <c r="F3356" t="s">
        <v>23479</v>
      </c>
      <c r="G3356">
        <v>2</v>
      </c>
      <c r="H3356" t="s">
        <v>8773</v>
      </c>
      <c r="J3356" t="s">
        <v>11009</v>
      </c>
      <c r="K3356" t="s">
        <v>104</v>
      </c>
      <c r="L3356" t="s">
        <v>33</v>
      </c>
      <c r="M3356" t="s">
        <v>11192</v>
      </c>
      <c r="N3356" t="s">
        <v>11193</v>
      </c>
      <c r="O3356" t="s">
        <v>11194</v>
      </c>
      <c r="P3356" s="2" t="s">
        <v>37</v>
      </c>
      <c r="Q3356" t="s">
        <v>1208</v>
      </c>
      <c r="R3356">
        <v>0</v>
      </c>
      <c r="S3356">
        <v>11.68</v>
      </c>
      <c r="T3356" t="s">
        <v>11195</v>
      </c>
    </row>
    <row r="3357" spans="1:20" x14ac:dyDescent="0.25">
      <c r="A3357" s="1" t="str">
        <f>HYPERLINK("https://vegkart.atlas.vegvesen.no/#/@279447.5,6569162.0,18/hva:hva%5B0%5D%5Bfilter%5D%5B0%5D%5Boperator%5D=%21%3D&amp;hva%5B0%5D%5Bfilter%5D%5B0%5D%5Btype_id%5D=8917&amp;hva%5B0%5D%5Bfilter%5D%5B0%5D%5Bverdi%5D=&amp;hva%5B0%5D%5Bid%5D=49/når:2025-11-11", "Vegkart")</f>
        <v>Vegkart</v>
      </c>
      <c r="B3357">
        <v>1013922840</v>
      </c>
      <c r="C3357">
        <v>49</v>
      </c>
      <c r="D3357" t="s">
        <v>8701</v>
      </c>
      <c r="E3357">
        <v>8917</v>
      </c>
      <c r="F3357" t="s">
        <v>23479</v>
      </c>
      <c r="G3357">
        <v>2</v>
      </c>
      <c r="H3357" t="s">
        <v>8773</v>
      </c>
      <c r="J3357" t="s">
        <v>11009</v>
      </c>
      <c r="K3357" t="s">
        <v>104</v>
      </c>
      <c r="L3357" t="s">
        <v>33</v>
      </c>
      <c r="M3357" t="s">
        <v>11196</v>
      </c>
      <c r="N3357" t="s">
        <v>11197</v>
      </c>
      <c r="O3357" t="s">
        <v>11198</v>
      </c>
      <c r="P3357" s="2" t="s">
        <v>37</v>
      </c>
      <c r="Q3357" t="s">
        <v>1208</v>
      </c>
      <c r="R3357">
        <v>0</v>
      </c>
      <c r="S3357">
        <v>23.32</v>
      </c>
      <c r="T3357" t="s">
        <v>11199</v>
      </c>
    </row>
    <row r="3358" spans="1:20" x14ac:dyDescent="0.25">
      <c r="A3358" s="1" t="str">
        <f>HYPERLINK("https://vegkart.atlas.vegvesen.no/#/@280708.5,6572660.3,18/hva:hva%5B0%5D%5Bfilter%5D%5B0%5D%5Boperator%5D=%21%3D&amp;hva%5B0%5D%5Bfilter%5D%5B0%5D%5Btype_id%5D=8917&amp;hva%5B0%5D%5Bfilter%5D%5B0%5D%5Bverdi%5D=&amp;hva%5B0%5D%5Bid%5D=49/når:2025-11-11", "Vegkart")</f>
        <v>Vegkart</v>
      </c>
      <c r="B3358">
        <v>1013925374</v>
      </c>
      <c r="C3358">
        <v>49</v>
      </c>
      <c r="D3358" t="s">
        <v>8701</v>
      </c>
      <c r="E3358">
        <v>8917</v>
      </c>
      <c r="F3358" t="s">
        <v>23479</v>
      </c>
      <c r="G3358">
        <v>2</v>
      </c>
      <c r="H3358" t="s">
        <v>8773</v>
      </c>
      <c r="J3358" t="s">
        <v>11009</v>
      </c>
      <c r="K3358" t="s">
        <v>104</v>
      </c>
      <c r="L3358" t="s">
        <v>33</v>
      </c>
      <c r="M3358" t="s">
        <v>8994</v>
      </c>
      <c r="N3358" t="s">
        <v>11200</v>
      </c>
      <c r="O3358" t="s">
        <v>11201</v>
      </c>
      <c r="P3358" s="2" t="s">
        <v>37</v>
      </c>
      <c r="Q3358" t="s">
        <v>1208</v>
      </c>
      <c r="R3358">
        <v>0</v>
      </c>
      <c r="S3358">
        <v>11.98</v>
      </c>
      <c r="T3358" t="s">
        <v>11202</v>
      </c>
    </row>
    <row r="3359" spans="1:20" x14ac:dyDescent="0.25">
      <c r="A3359" s="1" t="str">
        <f>HYPERLINK("https://vegkart.atlas.vegvesen.no/#/@275354.5,6579585.1,18/hva:hva%5B0%5D%5Bfilter%5D%5B0%5D%5Boperator%5D=%21%3D&amp;hva%5B0%5D%5Bfilter%5D%5B0%5D%5Btype_id%5D=8917&amp;hva%5B0%5D%5Bfilter%5D%5B0%5D%5Bverdi%5D=&amp;hva%5B0%5D%5Bid%5D=49/når:2025-11-11", "Vegkart")</f>
        <v>Vegkart</v>
      </c>
      <c r="B3359">
        <v>1013925756</v>
      </c>
      <c r="C3359">
        <v>49</v>
      </c>
      <c r="D3359" t="s">
        <v>8701</v>
      </c>
      <c r="E3359">
        <v>8917</v>
      </c>
      <c r="F3359" t="s">
        <v>23479</v>
      </c>
      <c r="G3359">
        <v>2</v>
      </c>
      <c r="H3359" t="s">
        <v>8773</v>
      </c>
      <c r="J3359" t="s">
        <v>11009</v>
      </c>
      <c r="K3359" t="s">
        <v>104</v>
      </c>
      <c r="L3359" t="s">
        <v>33</v>
      </c>
      <c r="M3359" t="s">
        <v>8972</v>
      </c>
      <c r="N3359" t="s">
        <v>11203</v>
      </c>
      <c r="O3359" t="s">
        <v>11204</v>
      </c>
      <c r="P3359" s="2" t="s">
        <v>37</v>
      </c>
      <c r="Q3359" t="s">
        <v>1208</v>
      </c>
      <c r="R3359">
        <v>0</v>
      </c>
      <c r="S3359">
        <v>30.73</v>
      </c>
      <c r="T3359" t="s">
        <v>11205</v>
      </c>
    </row>
    <row r="3360" spans="1:20" x14ac:dyDescent="0.25">
      <c r="A3360" s="1" t="str">
        <f>HYPERLINK("https://vegkart.atlas.vegvesen.no/#/@275026.1,6579660.3,18/hva:hva%5B0%5D%5Bfilter%5D%5B0%5D%5Boperator%5D=%21%3D&amp;hva%5B0%5D%5Bfilter%5D%5B0%5D%5Btype_id%5D=8917&amp;hva%5B0%5D%5Bfilter%5D%5B0%5D%5Bverdi%5D=&amp;hva%5B0%5D%5Bid%5D=49/når:2025-11-11", "Vegkart")</f>
        <v>Vegkart</v>
      </c>
      <c r="B3360">
        <v>1013925771</v>
      </c>
      <c r="C3360">
        <v>49</v>
      </c>
      <c r="D3360" t="s">
        <v>8701</v>
      </c>
      <c r="E3360">
        <v>8917</v>
      </c>
      <c r="F3360" t="s">
        <v>23479</v>
      </c>
      <c r="G3360">
        <v>2</v>
      </c>
      <c r="H3360" t="s">
        <v>8773</v>
      </c>
      <c r="J3360" t="s">
        <v>11206</v>
      </c>
      <c r="K3360" t="s">
        <v>104</v>
      </c>
      <c r="L3360" t="s">
        <v>33</v>
      </c>
      <c r="M3360" t="s">
        <v>8972</v>
      </c>
      <c r="N3360" t="s">
        <v>11207</v>
      </c>
      <c r="O3360" t="s">
        <v>11208</v>
      </c>
      <c r="P3360" s="2" t="s">
        <v>37</v>
      </c>
      <c r="Q3360" t="s">
        <v>1208</v>
      </c>
      <c r="R3360">
        <v>0</v>
      </c>
      <c r="S3360">
        <v>22.8</v>
      </c>
      <c r="T3360" t="s">
        <v>11209</v>
      </c>
    </row>
    <row r="3361" spans="1:20" x14ac:dyDescent="0.25">
      <c r="A3361" s="1" t="str">
        <f>HYPERLINK("https://vegkart.atlas.vegvesen.no/#/@273714.7,6576785.9,18/hva:hva%5B0%5D%5Bfilter%5D%5B0%5D%5Boperator%5D=%21%3D&amp;hva%5B0%5D%5Bfilter%5D%5B0%5D%5Btype_id%5D=8917&amp;hva%5B0%5D%5Bfilter%5D%5B0%5D%5Bverdi%5D=&amp;hva%5B0%5D%5Bid%5D=49/når:2025-11-11", "Vegkart")</f>
        <v>Vegkart</v>
      </c>
      <c r="B3361">
        <v>1013931304</v>
      </c>
      <c r="C3361">
        <v>49</v>
      </c>
      <c r="D3361" t="s">
        <v>8701</v>
      </c>
      <c r="E3361">
        <v>8917</v>
      </c>
      <c r="F3361" t="s">
        <v>23479</v>
      </c>
      <c r="G3361">
        <v>2</v>
      </c>
      <c r="H3361" t="s">
        <v>8773</v>
      </c>
      <c r="J3361" t="s">
        <v>11009</v>
      </c>
      <c r="K3361" t="s">
        <v>104</v>
      </c>
      <c r="L3361" t="s">
        <v>33</v>
      </c>
      <c r="M3361" t="s">
        <v>11210</v>
      </c>
      <c r="N3361" t="s">
        <v>11211</v>
      </c>
      <c r="O3361" t="s">
        <v>11212</v>
      </c>
      <c r="P3361" s="2" t="s">
        <v>37</v>
      </c>
      <c r="Q3361" t="s">
        <v>1208</v>
      </c>
      <c r="R3361">
        <v>0</v>
      </c>
      <c r="S3361">
        <v>44.95</v>
      </c>
      <c r="T3361" t="s">
        <v>11213</v>
      </c>
    </row>
    <row r="3362" spans="1:20" x14ac:dyDescent="0.25">
      <c r="A3362" s="1" t="str">
        <f>HYPERLINK("https://vegkart.atlas.vegvesen.no/#/@273722.4,6576775.1,18/hva:hva%5B0%5D%5Bfilter%5D%5B0%5D%5Boperator%5D=%21%3D&amp;hva%5B0%5D%5Bfilter%5D%5B0%5D%5Btype_id%5D=8917&amp;hva%5B0%5D%5Bfilter%5D%5B0%5D%5Bverdi%5D=&amp;hva%5B0%5D%5Bid%5D=49/når:2025-11-11", "Vegkart")</f>
        <v>Vegkart</v>
      </c>
      <c r="B3362">
        <v>1013931417</v>
      </c>
      <c r="C3362">
        <v>49</v>
      </c>
      <c r="D3362" t="s">
        <v>8701</v>
      </c>
      <c r="E3362">
        <v>8917</v>
      </c>
      <c r="F3362" t="s">
        <v>23479</v>
      </c>
      <c r="G3362">
        <v>2</v>
      </c>
      <c r="H3362" t="s">
        <v>8773</v>
      </c>
      <c r="J3362" t="s">
        <v>11009</v>
      </c>
      <c r="K3362" t="s">
        <v>104</v>
      </c>
      <c r="L3362" t="s">
        <v>33</v>
      </c>
      <c r="M3362" t="s">
        <v>8774</v>
      </c>
      <c r="N3362" t="s">
        <v>11214</v>
      </c>
      <c r="O3362" t="s">
        <v>11215</v>
      </c>
      <c r="P3362" s="2" t="s">
        <v>37</v>
      </c>
      <c r="Q3362" t="s">
        <v>1208</v>
      </c>
      <c r="R3362">
        <v>0</v>
      </c>
      <c r="S3362">
        <v>25.36</v>
      </c>
      <c r="T3362" t="s">
        <v>11216</v>
      </c>
    </row>
    <row r="3363" spans="1:20" x14ac:dyDescent="0.25">
      <c r="A3363" s="1" t="str">
        <f>HYPERLINK("https://vegkart.atlas.vegvesen.no/#/@278566.0,6578399.1,18/hva:hva%5B0%5D%5Bfilter%5D%5B0%5D%5Boperator%5D=%21%3D&amp;hva%5B0%5D%5Bfilter%5D%5B0%5D%5Btype_id%5D=8917&amp;hva%5B0%5D%5Bfilter%5D%5B0%5D%5Bverdi%5D=&amp;hva%5B0%5D%5Bid%5D=49/når:2025-11-11", "Vegkart")</f>
        <v>Vegkart</v>
      </c>
      <c r="B3363">
        <v>1013932103</v>
      </c>
      <c r="C3363">
        <v>49</v>
      </c>
      <c r="D3363" t="s">
        <v>8701</v>
      </c>
      <c r="E3363">
        <v>8917</v>
      </c>
      <c r="F3363" t="s">
        <v>23479</v>
      </c>
      <c r="G3363">
        <v>2</v>
      </c>
      <c r="H3363" t="s">
        <v>8773</v>
      </c>
      <c r="J3363" t="s">
        <v>11009</v>
      </c>
      <c r="K3363" t="s">
        <v>104</v>
      </c>
      <c r="L3363" t="s">
        <v>33</v>
      </c>
      <c r="M3363" t="s">
        <v>11217</v>
      </c>
      <c r="N3363" t="s">
        <v>11218</v>
      </c>
      <c r="O3363" t="s">
        <v>11219</v>
      </c>
      <c r="P3363" s="2" t="s">
        <v>37</v>
      </c>
      <c r="Q3363" t="s">
        <v>1208</v>
      </c>
      <c r="R3363">
        <v>0</v>
      </c>
      <c r="S3363">
        <v>98.47</v>
      </c>
      <c r="T3363" t="s">
        <v>11220</v>
      </c>
    </row>
    <row r="3364" spans="1:20" x14ac:dyDescent="0.25">
      <c r="A3364" s="1" t="str">
        <f>HYPERLINK("https://vegkart.atlas.vegvesen.no/#/@278715.7,6578881.8,18/hva:hva%5B0%5D%5Bfilter%5D%5B0%5D%5Boperator%5D=%21%3D&amp;hva%5B0%5D%5Bfilter%5D%5B0%5D%5Btype_id%5D=8917&amp;hva%5B0%5D%5Bfilter%5D%5B0%5D%5Bverdi%5D=&amp;hva%5B0%5D%5Bid%5D=49/når:2025-11-11", "Vegkart")</f>
        <v>Vegkart</v>
      </c>
      <c r="B3364">
        <v>1013932132</v>
      </c>
      <c r="C3364">
        <v>49</v>
      </c>
      <c r="D3364" t="s">
        <v>8701</v>
      </c>
      <c r="E3364">
        <v>8917</v>
      </c>
      <c r="F3364" t="s">
        <v>23479</v>
      </c>
      <c r="G3364">
        <v>2</v>
      </c>
      <c r="H3364" t="s">
        <v>8773</v>
      </c>
      <c r="J3364" t="s">
        <v>11009</v>
      </c>
      <c r="K3364" t="s">
        <v>104</v>
      </c>
      <c r="L3364" t="s">
        <v>33</v>
      </c>
      <c r="M3364" t="s">
        <v>11217</v>
      </c>
      <c r="N3364" t="s">
        <v>11221</v>
      </c>
      <c r="O3364" t="s">
        <v>11222</v>
      </c>
      <c r="P3364" s="2" t="s">
        <v>37</v>
      </c>
      <c r="Q3364" t="s">
        <v>1208</v>
      </c>
      <c r="R3364">
        <v>0</v>
      </c>
      <c r="S3364">
        <v>38.21</v>
      </c>
      <c r="T3364" t="s">
        <v>11223</v>
      </c>
    </row>
    <row r="3365" spans="1:20" x14ac:dyDescent="0.25">
      <c r="A3365" s="1" t="str">
        <f>HYPERLINK("https://vegkart.atlas.vegvesen.no/#/@278736.0,6578934.0,18/hva:hva%5B0%5D%5Bfilter%5D%5B0%5D%5Boperator%5D=%21%3D&amp;hva%5B0%5D%5Bfilter%5D%5B0%5D%5Btype_id%5D=8917&amp;hva%5B0%5D%5Bfilter%5D%5B0%5D%5Bverdi%5D=&amp;hva%5B0%5D%5Bid%5D=49/når:2025-11-11", "Vegkart")</f>
        <v>Vegkart</v>
      </c>
      <c r="B3365">
        <v>1013932136</v>
      </c>
      <c r="C3365">
        <v>49</v>
      </c>
      <c r="D3365" t="s">
        <v>8701</v>
      </c>
      <c r="E3365">
        <v>8917</v>
      </c>
      <c r="F3365" t="s">
        <v>23479</v>
      </c>
      <c r="G3365">
        <v>2</v>
      </c>
      <c r="H3365" t="s">
        <v>8773</v>
      </c>
      <c r="J3365" t="s">
        <v>11009</v>
      </c>
      <c r="K3365" t="s">
        <v>104</v>
      </c>
      <c r="L3365" t="s">
        <v>33</v>
      </c>
      <c r="M3365" t="s">
        <v>11217</v>
      </c>
      <c r="N3365" t="s">
        <v>11224</v>
      </c>
      <c r="O3365" t="s">
        <v>11225</v>
      </c>
      <c r="P3365" s="2" t="s">
        <v>37</v>
      </c>
      <c r="Q3365" t="s">
        <v>1208</v>
      </c>
      <c r="R3365">
        <v>0</v>
      </c>
      <c r="S3365">
        <v>83.18</v>
      </c>
      <c r="T3365" t="s">
        <v>11226</v>
      </c>
    </row>
    <row r="3366" spans="1:20" x14ac:dyDescent="0.25">
      <c r="A3366" s="1" t="str">
        <f>HYPERLINK("https://vegkart.atlas.vegvesen.no/#/@278630.8,6579057.0,18/hva:hva%5B0%5D%5Bfilter%5D%5B0%5D%5Boperator%5D=%21%3D&amp;hva%5B0%5D%5Bfilter%5D%5B0%5D%5Btype_id%5D=8917&amp;hva%5B0%5D%5Bfilter%5D%5B0%5D%5Bverdi%5D=&amp;hva%5B0%5D%5Bid%5D=49/når:2025-11-11", "Vegkart")</f>
        <v>Vegkart</v>
      </c>
      <c r="B3366">
        <v>1013934095</v>
      </c>
      <c r="C3366">
        <v>49</v>
      </c>
      <c r="D3366" t="s">
        <v>8701</v>
      </c>
      <c r="E3366">
        <v>8917</v>
      </c>
      <c r="F3366" t="s">
        <v>23479</v>
      </c>
      <c r="G3366">
        <v>2</v>
      </c>
      <c r="H3366" t="s">
        <v>8773</v>
      </c>
      <c r="J3366" t="s">
        <v>11227</v>
      </c>
      <c r="K3366" t="s">
        <v>104</v>
      </c>
      <c r="L3366" t="s">
        <v>33</v>
      </c>
      <c r="M3366" t="s">
        <v>11217</v>
      </c>
      <c r="N3366" t="s">
        <v>11228</v>
      </c>
      <c r="O3366" t="s">
        <v>11229</v>
      </c>
      <c r="P3366" s="2" t="s">
        <v>37</v>
      </c>
      <c r="Q3366" t="s">
        <v>1208</v>
      </c>
      <c r="R3366">
        <v>0</v>
      </c>
      <c r="S3366">
        <v>33.57</v>
      </c>
      <c r="T3366" t="s">
        <v>11230</v>
      </c>
    </row>
    <row r="3367" spans="1:20" x14ac:dyDescent="0.25">
      <c r="A3367" s="1" t="str">
        <f>HYPERLINK("https://vegkart.atlas.vegvesen.no/#/@274030.4,6567234.0,18/hva:hva%5B0%5D%5Bfilter%5D%5B0%5D%5Boperator%5D=%21%3D&amp;hva%5B0%5D%5Bfilter%5D%5B0%5D%5Btype_id%5D=8917&amp;hva%5B0%5D%5Bfilter%5D%5B0%5D%5Bverdi%5D=&amp;hva%5B0%5D%5Bid%5D=49/når:2025-11-28", "Vegkart")</f>
        <v>Vegkart</v>
      </c>
      <c r="B3367">
        <v>1013943279</v>
      </c>
      <c r="C3367">
        <v>49</v>
      </c>
      <c r="D3367" t="s">
        <v>8701</v>
      </c>
      <c r="E3367">
        <v>8917</v>
      </c>
      <c r="F3367" t="s">
        <v>23479</v>
      </c>
      <c r="G3367">
        <v>2</v>
      </c>
      <c r="H3367" t="s">
        <v>8765</v>
      </c>
      <c r="J3367" t="s">
        <v>8766</v>
      </c>
      <c r="K3367" t="s">
        <v>104</v>
      </c>
      <c r="L3367" t="s">
        <v>33</v>
      </c>
      <c r="M3367" t="s">
        <v>10099</v>
      </c>
      <c r="N3367" t="s">
        <v>11231</v>
      </c>
      <c r="O3367" t="s">
        <v>11232</v>
      </c>
      <c r="P3367" s="2" t="s">
        <v>37</v>
      </c>
      <c r="Q3367" t="s">
        <v>1208</v>
      </c>
      <c r="R3367">
        <v>0</v>
      </c>
      <c r="S3367">
        <v>25.79</v>
      </c>
      <c r="T3367" t="s">
        <v>11233</v>
      </c>
    </row>
    <row r="3368" spans="1:20" x14ac:dyDescent="0.25">
      <c r="A3368" s="1" t="str">
        <f>HYPERLINK("https://vegkart.atlas.vegvesen.no/#/@267489.8,6553665.6,18/hva:hva%5B0%5D%5Bfilter%5D%5B0%5D%5Boperator%5D=%21%3D&amp;hva%5B0%5D%5Bfilter%5D%5B0%5D%5Btype_id%5D=8917&amp;hva%5B0%5D%5Bfilter%5D%5B0%5D%5Bverdi%5D=&amp;hva%5B0%5D%5Bid%5D=49/når:2025-10-07", "Vegkart")</f>
        <v>Vegkart</v>
      </c>
      <c r="B3368">
        <v>1013953988</v>
      </c>
      <c r="C3368">
        <v>49</v>
      </c>
      <c r="D3368" t="s">
        <v>8701</v>
      </c>
      <c r="E3368">
        <v>8917</v>
      </c>
      <c r="F3368" t="s">
        <v>23479</v>
      </c>
      <c r="G3368">
        <v>2</v>
      </c>
      <c r="H3368" t="s">
        <v>8806</v>
      </c>
      <c r="J3368" t="s">
        <v>11009</v>
      </c>
      <c r="K3368" t="s">
        <v>104</v>
      </c>
      <c r="L3368" t="s">
        <v>33</v>
      </c>
      <c r="M3368" t="s">
        <v>11234</v>
      </c>
      <c r="N3368" t="s">
        <v>11235</v>
      </c>
      <c r="O3368" t="s">
        <v>11236</v>
      </c>
      <c r="P3368" s="2" t="s">
        <v>37</v>
      </c>
      <c r="Q3368" t="s">
        <v>1208</v>
      </c>
      <c r="R3368">
        <v>0</v>
      </c>
      <c r="S3368">
        <v>16.36</v>
      </c>
      <c r="T3368" t="s">
        <v>11237</v>
      </c>
    </row>
    <row r="3369" spans="1:20" x14ac:dyDescent="0.25">
      <c r="A3369" s="1" t="str">
        <f>HYPERLINK("https://vegkart.atlas.vegvesen.no/#/@267764.4,6552872.1,18/hva:hva%5B0%5D%5Bfilter%5D%5B0%5D%5Boperator%5D=%21%3D&amp;hva%5B0%5D%5Bfilter%5D%5B0%5D%5Btype_id%5D=8917&amp;hva%5B0%5D%5Bfilter%5D%5B0%5D%5Bverdi%5D=&amp;hva%5B0%5D%5Bid%5D=49/når:2025-10-07", "Vegkart")</f>
        <v>Vegkart</v>
      </c>
      <c r="B3369">
        <v>1013954020</v>
      </c>
      <c r="C3369">
        <v>49</v>
      </c>
      <c r="D3369" t="s">
        <v>8701</v>
      </c>
      <c r="E3369">
        <v>8917</v>
      </c>
      <c r="F3369" t="s">
        <v>23479</v>
      </c>
      <c r="G3369">
        <v>2</v>
      </c>
      <c r="H3369" t="s">
        <v>8806</v>
      </c>
      <c r="J3369" t="s">
        <v>11009</v>
      </c>
      <c r="K3369" t="s">
        <v>104</v>
      </c>
      <c r="L3369" t="s">
        <v>33</v>
      </c>
      <c r="M3369" t="s">
        <v>11238</v>
      </c>
      <c r="N3369" t="s">
        <v>11239</v>
      </c>
      <c r="O3369" t="s">
        <v>11240</v>
      </c>
      <c r="P3369" s="2" t="s">
        <v>37</v>
      </c>
      <c r="Q3369" t="s">
        <v>1208</v>
      </c>
      <c r="R3369">
        <v>0</v>
      </c>
      <c r="S3369">
        <v>28.68</v>
      </c>
      <c r="T3369" t="s">
        <v>11241</v>
      </c>
    </row>
    <row r="3370" spans="1:20" x14ac:dyDescent="0.25">
      <c r="A3370" s="1" t="str">
        <f>HYPERLINK("https://vegkart.atlas.vegvesen.no/#/@267490.5,6553601.2,18/hva:hva%5B0%5D%5Bfilter%5D%5B0%5D%5Boperator%5D=%21%3D&amp;hva%5B0%5D%5Bfilter%5D%5B0%5D%5Btype_id%5D=8917&amp;hva%5B0%5D%5Bfilter%5D%5B0%5D%5Bverdi%5D=&amp;hva%5B0%5D%5Bid%5D=49/når:2025-10-07", "Vegkart")</f>
        <v>Vegkart</v>
      </c>
      <c r="B3370">
        <v>1013954085</v>
      </c>
      <c r="C3370">
        <v>49</v>
      </c>
      <c r="D3370" t="s">
        <v>8701</v>
      </c>
      <c r="E3370">
        <v>8917</v>
      </c>
      <c r="F3370" t="s">
        <v>23479</v>
      </c>
      <c r="G3370">
        <v>2</v>
      </c>
      <c r="H3370" t="s">
        <v>8806</v>
      </c>
      <c r="J3370" t="s">
        <v>11009</v>
      </c>
      <c r="K3370" t="s">
        <v>104</v>
      </c>
      <c r="L3370" t="s">
        <v>33</v>
      </c>
      <c r="M3370" t="s">
        <v>11242</v>
      </c>
      <c r="N3370" t="s">
        <v>11243</v>
      </c>
      <c r="O3370" t="s">
        <v>11244</v>
      </c>
      <c r="P3370" s="2" t="s">
        <v>37</v>
      </c>
      <c r="Q3370" t="s">
        <v>1208</v>
      </c>
      <c r="R3370">
        <v>0</v>
      </c>
      <c r="S3370">
        <v>19.32</v>
      </c>
      <c r="T3370" t="s">
        <v>11245</v>
      </c>
    </row>
    <row r="3371" spans="1:20" x14ac:dyDescent="0.25">
      <c r="A3371" s="1" t="str">
        <f>HYPERLINK("https://vegkart.atlas.vegvesen.no/#/@258783.4,6635745.4,18/hva:hva%5B0%5D%5Bfilter%5D%5B0%5D%5Boperator%5D=%21%3D&amp;hva%5B0%5D%5Bfilter%5D%5B0%5D%5Btype_id%5D=8917&amp;hva%5B0%5D%5Bfilter%5D%5B0%5D%5Bverdi%5D=&amp;hva%5B0%5D%5Bid%5D=49/når:2021-09-08", "Vegkart")</f>
        <v>Vegkart</v>
      </c>
      <c r="B3371">
        <v>1013983919</v>
      </c>
      <c r="C3371">
        <v>49</v>
      </c>
      <c r="D3371" t="s">
        <v>8701</v>
      </c>
      <c r="E3371">
        <v>8917</v>
      </c>
      <c r="F3371" t="s">
        <v>23479</v>
      </c>
      <c r="G3371">
        <v>1</v>
      </c>
      <c r="H3371" t="s">
        <v>7613</v>
      </c>
      <c r="J3371" t="s">
        <v>11009</v>
      </c>
      <c r="K3371" t="s">
        <v>132</v>
      </c>
      <c r="L3371" t="s">
        <v>22</v>
      </c>
      <c r="M3371" t="s">
        <v>11246</v>
      </c>
      <c r="N3371" t="s">
        <v>11247</v>
      </c>
      <c r="O3371" t="s">
        <v>11248</v>
      </c>
      <c r="P3371" s="2" t="s">
        <v>37</v>
      </c>
      <c r="Q3371" t="s">
        <v>1208</v>
      </c>
      <c r="R3371">
        <v>2.99</v>
      </c>
      <c r="S3371">
        <v>16.88</v>
      </c>
      <c r="T3371" t="s">
        <v>11249</v>
      </c>
    </row>
    <row r="3372" spans="1:20" x14ac:dyDescent="0.25">
      <c r="A3372" s="1" t="str">
        <f>HYPERLINK("https://vegkart.atlas.vegvesen.no/#/@228296.6,6633071.0,18/hva:hva%5B0%5D%5Bfilter%5D%5B0%5D%5Boperator%5D=%21%3D&amp;hva%5B0%5D%5Bfilter%5D%5B0%5D%5Btype_id%5D=8917&amp;hva%5B0%5D%5Bfilter%5D%5B0%5D%5Bverdi%5D=&amp;hva%5B0%5D%5Bid%5D=49/når:2021-09-30", "Vegkart")</f>
        <v>Vegkart</v>
      </c>
      <c r="B3372">
        <v>1014055588</v>
      </c>
      <c r="C3372">
        <v>49</v>
      </c>
      <c r="D3372" t="s">
        <v>8701</v>
      </c>
      <c r="E3372">
        <v>8917</v>
      </c>
      <c r="F3372" t="s">
        <v>23479</v>
      </c>
      <c r="G3372">
        <v>1</v>
      </c>
      <c r="H3372" t="s">
        <v>11250</v>
      </c>
      <c r="J3372" t="s">
        <v>11251</v>
      </c>
      <c r="K3372" t="s">
        <v>307</v>
      </c>
      <c r="L3372" t="s">
        <v>33</v>
      </c>
      <c r="M3372" t="s">
        <v>10173</v>
      </c>
      <c r="N3372" t="s">
        <v>11252</v>
      </c>
      <c r="O3372" t="s">
        <v>11253</v>
      </c>
      <c r="P3372" s="2" t="s">
        <v>26</v>
      </c>
      <c r="Q3372" t="s">
        <v>50</v>
      </c>
      <c r="R3372">
        <v>5.08</v>
      </c>
      <c r="S3372">
        <v>5.08</v>
      </c>
      <c r="T3372" t="s">
        <v>11254</v>
      </c>
    </row>
    <row r="3373" spans="1:20" x14ac:dyDescent="0.25">
      <c r="A3373" s="1" t="str">
        <f>HYPERLINK("https://vegkart.atlas.vegvesen.no/#/@272490.2,6571223.0,18/hva:hva%5B0%5D%5Bfilter%5D%5B0%5D%5Boperator%5D=%21%3D&amp;hva%5B0%5D%5Bfilter%5D%5B0%5D%5Btype_id%5D=8917&amp;hva%5B0%5D%5Bfilter%5D%5B0%5D%5Bverdi%5D=&amp;hva%5B0%5D%5Bid%5D=49/når:2025-11-28", "Vegkart")</f>
        <v>Vegkart</v>
      </c>
      <c r="B3373">
        <v>1014055623</v>
      </c>
      <c r="C3373">
        <v>49</v>
      </c>
      <c r="D3373" t="s">
        <v>8701</v>
      </c>
      <c r="E3373">
        <v>8917</v>
      </c>
      <c r="F3373" t="s">
        <v>23479</v>
      </c>
      <c r="G3373">
        <v>2</v>
      </c>
      <c r="H3373" t="s">
        <v>8765</v>
      </c>
      <c r="J3373" t="s">
        <v>8766</v>
      </c>
      <c r="K3373" t="s">
        <v>104</v>
      </c>
      <c r="L3373" t="s">
        <v>33</v>
      </c>
      <c r="M3373" t="s">
        <v>11255</v>
      </c>
      <c r="N3373" t="s">
        <v>11256</v>
      </c>
      <c r="O3373" t="s">
        <v>11257</v>
      </c>
      <c r="P3373" s="2" t="s">
        <v>37</v>
      </c>
      <c r="Q3373" t="s">
        <v>1208</v>
      </c>
      <c r="R3373">
        <v>0</v>
      </c>
      <c r="S3373">
        <v>39.67</v>
      </c>
      <c r="T3373" t="s">
        <v>11258</v>
      </c>
    </row>
    <row r="3374" spans="1:20" x14ac:dyDescent="0.25">
      <c r="A3374" s="1" t="str">
        <f>HYPERLINK("https://vegkart.atlas.vegvesen.no/#/@271676.6,6572204.3,18/hva:hva%5B0%5D%5Bfilter%5D%5B0%5D%5Boperator%5D=%21%3D&amp;hva%5B0%5D%5Bfilter%5D%5B0%5D%5Btype_id%5D=8917&amp;hva%5B0%5D%5Bfilter%5D%5B0%5D%5Bverdi%5D=&amp;hva%5B0%5D%5Bid%5D=49/når:2025-11-28", "Vegkart")</f>
        <v>Vegkart</v>
      </c>
      <c r="B3374">
        <v>1014055984</v>
      </c>
      <c r="C3374">
        <v>49</v>
      </c>
      <c r="D3374" t="s">
        <v>8701</v>
      </c>
      <c r="E3374">
        <v>8917</v>
      </c>
      <c r="F3374" t="s">
        <v>23479</v>
      </c>
      <c r="G3374">
        <v>2</v>
      </c>
      <c r="H3374" t="s">
        <v>8765</v>
      </c>
      <c r="J3374" t="s">
        <v>8787</v>
      </c>
      <c r="K3374" t="s">
        <v>104</v>
      </c>
      <c r="L3374" t="s">
        <v>33</v>
      </c>
      <c r="M3374" t="s">
        <v>11255</v>
      </c>
      <c r="N3374" t="s">
        <v>11259</v>
      </c>
      <c r="O3374" t="s">
        <v>11260</v>
      </c>
      <c r="P3374" s="2" t="s">
        <v>37</v>
      </c>
      <c r="Q3374" t="s">
        <v>1208</v>
      </c>
      <c r="R3374">
        <v>0</v>
      </c>
      <c r="S3374">
        <v>46.58</v>
      </c>
      <c r="T3374" t="s">
        <v>11261</v>
      </c>
    </row>
    <row r="3375" spans="1:20" x14ac:dyDescent="0.25">
      <c r="A3375" s="1" t="str">
        <f>HYPERLINK("https://vegkart.atlas.vegvesen.no/#/@265477.8,6558927.6,18/hva:hva%5B0%5D%5Bfilter%5D%5B0%5D%5Boperator%5D=%21%3D&amp;hva%5B0%5D%5Bfilter%5D%5B0%5D%5Btype_id%5D=8917&amp;hva%5B0%5D%5Bfilter%5D%5B0%5D%5Bverdi%5D=&amp;hva%5B0%5D%5Bid%5D=49/når:2025-10-07", "Vegkart")</f>
        <v>Vegkart</v>
      </c>
      <c r="B3375">
        <v>1014080259</v>
      </c>
      <c r="C3375">
        <v>49</v>
      </c>
      <c r="D3375" t="s">
        <v>8701</v>
      </c>
      <c r="E3375">
        <v>8917</v>
      </c>
      <c r="F3375" t="s">
        <v>23479</v>
      </c>
      <c r="G3375">
        <v>2</v>
      </c>
      <c r="H3375" t="s">
        <v>8806</v>
      </c>
      <c r="J3375" t="s">
        <v>11251</v>
      </c>
      <c r="K3375" t="s">
        <v>104</v>
      </c>
      <c r="L3375" t="s">
        <v>33</v>
      </c>
      <c r="M3375" t="s">
        <v>11262</v>
      </c>
      <c r="N3375" t="s">
        <v>11263</v>
      </c>
      <c r="O3375" t="s">
        <v>11264</v>
      </c>
      <c r="P3375" s="2" t="s">
        <v>37</v>
      </c>
      <c r="Q3375" t="s">
        <v>1208</v>
      </c>
      <c r="R3375">
        <v>0</v>
      </c>
      <c r="S3375">
        <v>18.399999999999999</v>
      </c>
      <c r="T3375" t="s">
        <v>11265</v>
      </c>
    </row>
    <row r="3376" spans="1:20" x14ac:dyDescent="0.25">
      <c r="A3376" s="1" t="str">
        <f>HYPERLINK("https://vegkart.atlas.vegvesen.no/#/@267915.4,6568309.7,18/hva:hva%5B0%5D%5Bfilter%5D%5B0%5D%5Boperator%5D=%21%3D&amp;hva%5B0%5D%5Bfilter%5D%5B0%5D%5Btype_id%5D=8917&amp;hva%5B0%5D%5Bfilter%5D%5B0%5D%5Bverdi%5D=&amp;hva%5B0%5D%5Bid%5D=49/når:2025-11-28", "Vegkart")</f>
        <v>Vegkart</v>
      </c>
      <c r="B3376">
        <v>1014080431</v>
      </c>
      <c r="C3376">
        <v>49</v>
      </c>
      <c r="D3376" t="s">
        <v>8701</v>
      </c>
      <c r="E3376">
        <v>8917</v>
      </c>
      <c r="F3376" t="s">
        <v>23479</v>
      </c>
      <c r="G3376">
        <v>2</v>
      </c>
      <c r="H3376" t="s">
        <v>8765</v>
      </c>
      <c r="J3376" t="s">
        <v>8766</v>
      </c>
      <c r="K3376" t="s">
        <v>104</v>
      </c>
      <c r="L3376" t="s">
        <v>33</v>
      </c>
      <c r="M3376" t="s">
        <v>11266</v>
      </c>
      <c r="N3376" t="s">
        <v>11267</v>
      </c>
      <c r="O3376" t="s">
        <v>11268</v>
      </c>
      <c r="P3376" s="2" t="s">
        <v>37</v>
      </c>
      <c r="Q3376" t="s">
        <v>1208</v>
      </c>
      <c r="R3376">
        <v>0</v>
      </c>
      <c r="S3376">
        <v>22.53</v>
      </c>
      <c r="T3376" t="s">
        <v>11269</v>
      </c>
    </row>
    <row r="3377" spans="1:20" x14ac:dyDescent="0.25">
      <c r="A3377" s="1" t="str">
        <f>HYPERLINK("https://vegkart.atlas.vegvesen.no/#/@265767.9,6568501.5,18/hva:hva%5B0%5D%5Bfilter%5D%5B0%5D%5Boperator%5D=%21%3D&amp;hva%5B0%5D%5Bfilter%5D%5B0%5D%5Btype_id%5D=8917&amp;hva%5B0%5D%5Bfilter%5D%5B0%5D%5Bverdi%5D=&amp;hva%5B0%5D%5Bid%5D=49/når:2025-11-28", "Vegkart")</f>
        <v>Vegkart</v>
      </c>
      <c r="B3377">
        <v>1014084169</v>
      </c>
      <c r="C3377">
        <v>49</v>
      </c>
      <c r="D3377" t="s">
        <v>8701</v>
      </c>
      <c r="E3377">
        <v>8917</v>
      </c>
      <c r="F3377" t="s">
        <v>23479</v>
      </c>
      <c r="G3377">
        <v>2</v>
      </c>
      <c r="H3377" t="s">
        <v>8765</v>
      </c>
      <c r="J3377" t="s">
        <v>8766</v>
      </c>
      <c r="K3377" t="s">
        <v>104</v>
      </c>
      <c r="L3377" t="s">
        <v>33</v>
      </c>
      <c r="M3377" t="s">
        <v>8848</v>
      </c>
      <c r="N3377" t="s">
        <v>11270</v>
      </c>
      <c r="O3377" t="s">
        <v>11271</v>
      </c>
      <c r="P3377" s="2" t="s">
        <v>37</v>
      </c>
      <c r="Q3377" t="s">
        <v>1208</v>
      </c>
      <c r="R3377">
        <v>0</v>
      </c>
      <c r="S3377">
        <v>19.45</v>
      </c>
      <c r="T3377" t="s">
        <v>11272</v>
      </c>
    </row>
    <row r="3378" spans="1:20" x14ac:dyDescent="0.25">
      <c r="A3378" s="1" t="str">
        <f>HYPERLINK("https://vegkart.atlas.vegvesen.no/#/@265746.4,6568472.4,18/hva:hva%5B0%5D%5Bfilter%5D%5B0%5D%5Boperator%5D=%21%3D&amp;hva%5B0%5D%5Bfilter%5D%5B0%5D%5Btype_id%5D=8917&amp;hva%5B0%5D%5Bfilter%5D%5B0%5D%5Bverdi%5D=&amp;hva%5B0%5D%5Bid%5D=49/når:2025-11-28", "Vegkart")</f>
        <v>Vegkart</v>
      </c>
      <c r="B3378">
        <v>1014084178</v>
      </c>
      <c r="C3378">
        <v>49</v>
      </c>
      <c r="D3378" t="s">
        <v>8701</v>
      </c>
      <c r="E3378">
        <v>8917</v>
      </c>
      <c r="F3378" t="s">
        <v>23479</v>
      </c>
      <c r="G3378">
        <v>2</v>
      </c>
      <c r="H3378" t="s">
        <v>8765</v>
      </c>
      <c r="J3378" t="s">
        <v>8766</v>
      </c>
      <c r="K3378" t="s">
        <v>104</v>
      </c>
      <c r="L3378" t="s">
        <v>33</v>
      </c>
      <c r="M3378" t="s">
        <v>8848</v>
      </c>
      <c r="N3378" t="s">
        <v>11273</v>
      </c>
      <c r="O3378" t="s">
        <v>11274</v>
      </c>
      <c r="P3378" s="2" t="s">
        <v>37</v>
      </c>
      <c r="Q3378" t="s">
        <v>1208</v>
      </c>
      <c r="R3378">
        <v>0</v>
      </c>
      <c r="S3378">
        <v>19.920000000000002</v>
      </c>
      <c r="T3378" t="s">
        <v>11275</v>
      </c>
    </row>
    <row r="3379" spans="1:20" x14ac:dyDescent="0.25">
      <c r="A3379" s="1" t="str">
        <f>HYPERLINK("https://vegkart.atlas.vegvesen.no/#/@269910.8,6570060.3,18/hva:hva%5B0%5D%5Bfilter%5D%5B0%5D%5Boperator%5D=%21%3D&amp;hva%5B0%5D%5Bfilter%5D%5B0%5D%5Btype_id%5D=8917&amp;hva%5B0%5D%5Bfilter%5D%5B0%5D%5Bverdi%5D=&amp;hva%5B0%5D%5Bid%5D=49/når:2025-11-28", "Vegkart")</f>
        <v>Vegkart</v>
      </c>
      <c r="B3379">
        <v>1014090862</v>
      </c>
      <c r="C3379">
        <v>49</v>
      </c>
      <c r="D3379" t="s">
        <v>8701</v>
      </c>
      <c r="E3379">
        <v>8917</v>
      </c>
      <c r="F3379" t="s">
        <v>23479</v>
      </c>
      <c r="G3379">
        <v>2</v>
      </c>
      <c r="H3379" t="s">
        <v>8765</v>
      </c>
      <c r="J3379" t="s">
        <v>8766</v>
      </c>
      <c r="K3379" t="s">
        <v>104</v>
      </c>
      <c r="L3379" t="s">
        <v>33</v>
      </c>
      <c r="M3379" t="s">
        <v>9001</v>
      </c>
      <c r="N3379" t="s">
        <v>11276</v>
      </c>
      <c r="O3379" t="s">
        <v>11277</v>
      </c>
      <c r="P3379" s="2" t="s">
        <v>37</v>
      </c>
      <c r="Q3379" t="s">
        <v>1208</v>
      </c>
      <c r="R3379">
        <v>0.64</v>
      </c>
      <c r="S3379">
        <v>15.94</v>
      </c>
      <c r="T3379" t="s">
        <v>11278</v>
      </c>
    </row>
    <row r="3380" spans="1:20" x14ac:dyDescent="0.25">
      <c r="A3380" s="1" t="str">
        <f>HYPERLINK("https://vegkart.atlas.vegvesen.no/#/@271885.9,6572672.8,18/hva:hva%5B0%5D%5Bfilter%5D%5B0%5D%5Boperator%5D=%21%3D&amp;hva%5B0%5D%5Bfilter%5D%5B0%5D%5Btype_id%5D=8917&amp;hva%5B0%5D%5Bfilter%5D%5B0%5D%5Bverdi%5D=&amp;hva%5B0%5D%5Bid%5D=49/når:2025-11-28", "Vegkart")</f>
        <v>Vegkart</v>
      </c>
      <c r="B3380">
        <v>1014090927</v>
      </c>
      <c r="C3380">
        <v>49</v>
      </c>
      <c r="D3380" t="s">
        <v>8701</v>
      </c>
      <c r="E3380">
        <v>8917</v>
      </c>
      <c r="F3380" t="s">
        <v>23479</v>
      </c>
      <c r="G3380">
        <v>2</v>
      </c>
      <c r="H3380" t="s">
        <v>8765</v>
      </c>
      <c r="J3380" t="s">
        <v>8766</v>
      </c>
      <c r="K3380" t="s">
        <v>104</v>
      </c>
      <c r="L3380" t="s">
        <v>33</v>
      </c>
      <c r="M3380" t="s">
        <v>9001</v>
      </c>
      <c r="N3380" t="s">
        <v>11279</v>
      </c>
      <c r="O3380" t="s">
        <v>11280</v>
      </c>
      <c r="P3380" s="2" t="s">
        <v>37</v>
      </c>
      <c r="Q3380" t="s">
        <v>1208</v>
      </c>
      <c r="R3380">
        <v>0</v>
      </c>
      <c r="S3380">
        <v>35.72</v>
      </c>
      <c r="T3380" t="s">
        <v>11281</v>
      </c>
    </row>
    <row r="3381" spans="1:20" x14ac:dyDescent="0.25">
      <c r="A3381" s="1" t="str">
        <f>HYPERLINK("https://vegkart.atlas.vegvesen.no/#/@136399.9,7018318.6,18/hva:hva%5B0%5D%5Bfilter%5D%5B0%5D%5Boperator%5D=%21%3D&amp;hva%5B0%5D%5Bfilter%5D%5B0%5D%5Btype_id%5D=8917&amp;hva%5B0%5D%5Bfilter%5D%5B0%5D%5Bverdi%5D=&amp;hva%5B0%5D%5Bid%5D=49/når:2021-10-15", "Vegkart")</f>
        <v>Vegkart</v>
      </c>
      <c r="B3381">
        <v>1014116088</v>
      </c>
      <c r="C3381">
        <v>49</v>
      </c>
      <c r="D3381" t="s">
        <v>8701</v>
      </c>
      <c r="E3381">
        <v>8917</v>
      </c>
      <c r="F3381" t="s">
        <v>23479</v>
      </c>
      <c r="G3381">
        <v>1</v>
      </c>
      <c r="H3381" t="s">
        <v>11282</v>
      </c>
      <c r="J3381" t="s">
        <v>11251</v>
      </c>
      <c r="K3381" t="s">
        <v>32</v>
      </c>
      <c r="L3381" t="s">
        <v>113</v>
      </c>
      <c r="M3381" t="s">
        <v>1002</v>
      </c>
      <c r="N3381" t="s">
        <v>11283</v>
      </c>
      <c r="O3381" t="s">
        <v>11284</v>
      </c>
      <c r="P3381" s="2" t="s">
        <v>165</v>
      </c>
      <c r="Q3381" t="s">
        <v>641</v>
      </c>
      <c r="R3381">
        <v>0</v>
      </c>
      <c r="S3381">
        <v>87.62</v>
      </c>
      <c r="T3381" t="s">
        <v>167</v>
      </c>
    </row>
    <row r="3382" spans="1:20" x14ac:dyDescent="0.25">
      <c r="A3382" s="1" t="str">
        <f>HYPERLINK("https://vegkart.atlas.vegvesen.no/#/@266103.3,6572633.7,18/hva:hva%5B0%5D%5Bfilter%5D%5B0%5D%5Boperator%5D=%21%3D&amp;hva%5B0%5D%5Bfilter%5D%5B0%5D%5Btype_id%5D=8917&amp;hva%5B0%5D%5Bfilter%5D%5B0%5D%5Bverdi%5D=&amp;hva%5B0%5D%5Bid%5D=49/når:2025-11-28", "Vegkart")</f>
        <v>Vegkart</v>
      </c>
      <c r="B3382">
        <v>1014127093</v>
      </c>
      <c r="C3382">
        <v>49</v>
      </c>
      <c r="D3382" t="s">
        <v>8701</v>
      </c>
      <c r="E3382">
        <v>8917</v>
      </c>
      <c r="F3382" t="s">
        <v>23479</v>
      </c>
      <c r="G3382">
        <v>2</v>
      </c>
      <c r="H3382" t="s">
        <v>8765</v>
      </c>
      <c r="J3382" t="s">
        <v>8766</v>
      </c>
      <c r="K3382" t="s">
        <v>104</v>
      </c>
      <c r="L3382" t="s">
        <v>33</v>
      </c>
      <c r="M3382" t="s">
        <v>11285</v>
      </c>
      <c r="N3382" t="s">
        <v>11286</v>
      </c>
      <c r="O3382" t="s">
        <v>11287</v>
      </c>
      <c r="P3382" s="2" t="s">
        <v>37</v>
      </c>
      <c r="Q3382" t="s">
        <v>1208</v>
      </c>
      <c r="R3382">
        <v>0</v>
      </c>
      <c r="S3382">
        <v>25.11</v>
      </c>
      <c r="T3382" t="s">
        <v>11288</v>
      </c>
    </row>
    <row r="3383" spans="1:20" x14ac:dyDescent="0.25">
      <c r="A3383" s="1" t="str">
        <f>HYPERLINK("https://vegkart.atlas.vegvesen.no/#/@265261.8,6570391.9,18/hva:hva%5B0%5D%5Bfilter%5D%5B0%5D%5Boperator%5D=%21%3D&amp;hva%5B0%5D%5Bfilter%5D%5B0%5D%5Btype_id%5D=8917&amp;hva%5B0%5D%5Bfilter%5D%5B0%5D%5Bverdi%5D=&amp;hva%5B0%5D%5Bid%5D=49/når:2025-11-28", "Vegkart")</f>
        <v>Vegkart</v>
      </c>
      <c r="B3383">
        <v>1014127107</v>
      </c>
      <c r="C3383">
        <v>49</v>
      </c>
      <c r="D3383" t="s">
        <v>8701</v>
      </c>
      <c r="E3383">
        <v>8917</v>
      </c>
      <c r="F3383" t="s">
        <v>23479</v>
      </c>
      <c r="G3383">
        <v>2</v>
      </c>
      <c r="H3383" t="s">
        <v>8765</v>
      </c>
      <c r="J3383" t="s">
        <v>8766</v>
      </c>
      <c r="K3383" t="s">
        <v>104</v>
      </c>
      <c r="L3383" t="s">
        <v>33</v>
      </c>
      <c r="M3383" t="s">
        <v>11285</v>
      </c>
      <c r="N3383" t="s">
        <v>11289</v>
      </c>
      <c r="O3383" t="s">
        <v>11290</v>
      </c>
      <c r="P3383" s="2" t="s">
        <v>37</v>
      </c>
      <c r="Q3383" t="s">
        <v>1208</v>
      </c>
      <c r="R3383">
        <v>0</v>
      </c>
      <c r="S3383">
        <v>29.05</v>
      </c>
      <c r="T3383" t="s">
        <v>11291</v>
      </c>
    </row>
    <row r="3384" spans="1:20" x14ac:dyDescent="0.25">
      <c r="A3384" s="1" t="str">
        <f>HYPERLINK("https://vegkart.atlas.vegvesen.no/#/@265414.4,6570757.0,18/hva:hva%5B0%5D%5Bfilter%5D%5B0%5D%5Boperator%5D=%21%3D&amp;hva%5B0%5D%5Bfilter%5D%5B0%5D%5Btype_id%5D=8917&amp;hva%5B0%5D%5Bfilter%5D%5B0%5D%5Bverdi%5D=&amp;hva%5B0%5D%5Bid%5D=49/når:2025-11-28", "Vegkart")</f>
        <v>Vegkart</v>
      </c>
      <c r="B3384">
        <v>1014127163</v>
      </c>
      <c r="C3384">
        <v>49</v>
      </c>
      <c r="D3384" t="s">
        <v>8701</v>
      </c>
      <c r="E3384">
        <v>8917</v>
      </c>
      <c r="F3384" t="s">
        <v>23479</v>
      </c>
      <c r="G3384">
        <v>2</v>
      </c>
      <c r="H3384" t="s">
        <v>8765</v>
      </c>
      <c r="J3384" t="s">
        <v>8787</v>
      </c>
      <c r="K3384" t="s">
        <v>104</v>
      </c>
      <c r="L3384" t="s">
        <v>33</v>
      </c>
      <c r="M3384" t="s">
        <v>11285</v>
      </c>
      <c r="N3384" t="s">
        <v>11292</v>
      </c>
      <c r="O3384" t="s">
        <v>11293</v>
      </c>
      <c r="P3384" s="2" t="s">
        <v>37</v>
      </c>
      <c r="Q3384" t="s">
        <v>1208</v>
      </c>
      <c r="R3384">
        <v>0</v>
      </c>
      <c r="S3384">
        <v>41.71</v>
      </c>
      <c r="T3384" t="s">
        <v>11294</v>
      </c>
    </row>
    <row r="3385" spans="1:20" x14ac:dyDescent="0.25">
      <c r="A3385" s="1" t="str">
        <f>HYPERLINK("https://vegkart.atlas.vegvesen.no/#/@263580.0,6639289.8,18/hva:hva%5B0%5D%5Bfilter%5D%5B0%5D%5Boperator%5D=%21%3D&amp;hva%5B0%5D%5Bfilter%5D%5B0%5D%5Btype_id%5D=8917&amp;hva%5B0%5D%5Bfilter%5D%5B0%5D%5Bverdi%5D=&amp;hva%5B0%5D%5Bid%5D=49/når:2021-10-25", "Vegkart")</f>
        <v>Vegkart</v>
      </c>
      <c r="B3385">
        <v>1014135197</v>
      </c>
      <c r="C3385">
        <v>49</v>
      </c>
      <c r="D3385" t="s">
        <v>8701</v>
      </c>
      <c r="E3385">
        <v>8917</v>
      </c>
      <c r="F3385" t="s">
        <v>23479</v>
      </c>
      <c r="G3385">
        <v>1</v>
      </c>
      <c r="H3385" t="s">
        <v>11295</v>
      </c>
      <c r="J3385" t="s">
        <v>11251</v>
      </c>
      <c r="K3385" t="s">
        <v>132</v>
      </c>
      <c r="L3385" t="s">
        <v>33</v>
      </c>
      <c r="M3385" t="s">
        <v>9696</v>
      </c>
      <c r="N3385" t="s">
        <v>11296</v>
      </c>
      <c r="O3385" t="s">
        <v>11297</v>
      </c>
      <c r="P3385" s="2" t="s">
        <v>37</v>
      </c>
      <c r="Q3385" t="s">
        <v>1208</v>
      </c>
      <c r="R3385">
        <v>1.05</v>
      </c>
      <c r="S3385">
        <v>53.23</v>
      </c>
      <c r="T3385" t="s">
        <v>11298</v>
      </c>
    </row>
    <row r="3386" spans="1:20" x14ac:dyDescent="0.25">
      <c r="A3386" s="1" t="str">
        <f>HYPERLINK("https://vegkart.atlas.vegvesen.no/#/@263579.9,6639289.8,18/hva:hva%5B0%5D%5Bfilter%5D%5B0%5D%5Boperator%5D=%21%3D&amp;hva%5B0%5D%5Bfilter%5D%5B0%5D%5Btype_id%5D=8917&amp;hva%5B0%5D%5Bfilter%5D%5B0%5D%5Bverdi%5D=&amp;hva%5B0%5D%5Bid%5D=49/når:2021-10-25", "Vegkart")</f>
        <v>Vegkart</v>
      </c>
      <c r="B3386">
        <v>1014135198</v>
      </c>
      <c r="C3386">
        <v>49</v>
      </c>
      <c r="D3386" t="s">
        <v>8701</v>
      </c>
      <c r="E3386">
        <v>8917</v>
      </c>
      <c r="F3386" t="s">
        <v>23479</v>
      </c>
      <c r="G3386">
        <v>1</v>
      </c>
      <c r="H3386" t="s">
        <v>11295</v>
      </c>
      <c r="J3386" t="s">
        <v>11251</v>
      </c>
      <c r="K3386" t="s">
        <v>132</v>
      </c>
      <c r="L3386" t="s">
        <v>33</v>
      </c>
      <c r="M3386" t="s">
        <v>9696</v>
      </c>
      <c r="N3386" t="s">
        <v>11299</v>
      </c>
      <c r="O3386" t="s">
        <v>11300</v>
      </c>
      <c r="P3386" s="2" t="s">
        <v>37</v>
      </c>
      <c r="Q3386" t="s">
        <v>1208</v>
      </c>
      <c r="R3386">
        <v>1</v>
      </c>
      <c r="S3386">
        <v>53.62</v>
      </c>
      <c r="T3386" t="s">
        <v>11301</v>
      </c>
    </row>
    <row r="3387" spans="1:20" x14ac:dyDescent="0.25">
      <c r="A3387" s="1" t="str">
        <f>HYPERLINK("https://vegkart.atlas.vegvesen.no/#/@263569.5,6639269.4,18/hva:hva%5B0%5D%5Bfilter%5D%5B0%5D%5Boperator%5D=%21%3D&amp;hva%5B0%5D%5Bfilter%5D%5B0%5D%5Btype_id%5D=8917&amp;hva%5B0%5D%5Bfilter%5D%5B0%5D%5Bverdi%5D=&amp;hva%5B0%5D%5Bid%5D=49/når:2021-10-25", "Vegkart")</f>
        <v>Vegkart</v>
      </c>
      <c r="B3387">
        <v>1014135203</v>
      </c>
      <c r="C3387">
        <v>49</v>
      </c>
      <c r="D3387" t="s">
        <v>8701</v>
      </c>
      <c r="E3387">
        <v>8917</v>
      </c>
      <c r="F3387" t="s">
        <v>23479</v>
      </c>
      <c r="G3387">
        <v>1</v>
      </c>
      <c r="H3387" t="s">
        <v>11295</v>
      </c>
      <c r="J3387" t="s">
        <v>11251</v>
      </c>
      <c r="K3387" t="s">
        <v>132</v>
      </c>
      <c r="L3387" t="s">
        <v>22</v>
      </c>
      <c r="M3387" t="s">
        <v>11302</v>
      </c>
      <c r="N3387" t="s">
        <v>11303</v>
      </c>
      <c r="O3387" t="s">
        <v>11304</v>
      </c>
      <c r="P3387" s="2" t="s">
        <v>37</v>
      </c>
      <c r="Q3387" t="s">
        <v>1208</v>
      </c>
      <c r="R3387">
        <v>2.0699999999999998</v>
      </c>
      <c r="S3387">
        <v>23.73</v>
      </c>
      <c r="T3387" t="s">
        <v>11305</v>
      </c>
    </row>
    <row r="3388" spans="1:20" x14ac:dyDescent="0.25">
      <c r="A3388" s="1" t="str">
        <f>HYPERLINK("https://vegkart.atlas.vegvesen.no/#/@265900.2,6576389.3,18/hva:hva%5B0%5D%5Bfilter%5D%5B0%5D%5Boperator%5D=%21%3D&amp;hva%5B0%5D%5Bfilter%5D%5B0%5D%5Btype_id%5D=8917&amp;hva%5B0%5D%5Bfilter%5D%5B0%5D%5Bverdi%5D=&amp;hva%5B0%5D%5Bid%5D=49/når:2025-11-28", "Vegkart")</f>
        <v>Vegkart</v>
      </c>
      <c r="B3388">
        <v>1014202195</v>
      </c>
      <c r="C3388">
        <v>49</v>
      </c>
      <c r="D3388" t="s">
        <v>8701</v>
      </c>
      <c r="E3388">
        <v>8917</v>
      </c>
      <c r="F3388" t="s">
        <v>23479</v>
      </c>
      <c r="G3388">
        <v>2</v>
      </c>
      <c r="H3388" t="s">
        <v>8765</v>
      </c>
      <c r="J3388" t="s">
        <v>8766</v>
      </c>
      <c r="K3388" t="s">
        <v>104</v>
      </c>
      <c r="L3388" t="s">
        <v>33</v>
      </c>
      <c r="M3388" t="s">
        <v>11306</v>
      </c>
      <c r="N3388" t="s">
        <v>11307</v>
      </c>
      <c r="O3388" t="s">
        <v>11308</v>
      </c>
      <c r="P3388" s="2" t="s">
        <v>37</v>
      </c>
      <c r="Q3388" t="s">
        <v>1208</v>
      </c>
      <c r="R3388">
        <v>0</v>
      </c>
      <c r="S3388">
        <v>26</v>
      </c>
      <c r="T3388" t="s">
        <v>11309</v>
      </c>
    </row>
    <row r="3389" spans="1:20" x14ac:dyDescent="0.25">
      <c r="A3389" s="1" t="str">
        <f>HYPERLINK("https://vegkart.atlas.vegvesen.no/#/@265928.9,6576404.5,18/hva:hva%5B0%5D%5Bfilter%5D%5B0%5D%5Boperator%5D=%21%3D&amp;hva%5B0%5D%5Bfilter%5D%5B0%5D%5Btype_id%5D=8917&amp;hva%5B0%5D%5Bfilter%5D%5B0%5D%5Bverdi%5D=&amp;hva%5B0%5D%5Bid%5D=49/når:2025-11-28", "Vegkart")</f>
        <v>Vegkart</v>
      </c>
      <c r="B3389">
        <v>1014202198</v>
      </c>
      <c r="C3389">
        <v>49</v>
      </c>
      <c r="D3389" t="s">
        <v>8701</v>
      </c>
      <c r="E3389">
        <v>8917</v>
      </c>
      <c r="F3389" t="s">
        <v>23479</v>
      </c>
      <c r="G3389">
        <v>2</v>
      </c>
      <c r="H3389" t="s">
        <v>8765</v>
      </c>
      <c r="J3389" t="s">
        <v>8787</v>
      </c>
      <c r="K3389" t="s">
        <v>104</v>
      </c>
      <c r="L3389" t="s">
        <v>33</v>
      </c>
      <c r="M3389" t="s">
        <v>11306</v>
      </c>
      <c r="N3389" t="s">
        <v>11310</v>
      </c>
      <c r="O3389" t="s">
        <v>11311</v>
      </c>
      <c r="P3389" s="2" t="s">
        <v>37</v>
      </c>
      <c r="Q3389" t="s">
        <v>1208</v>
      </c>
      <c r="R3389">
        <v>0</v>
      </c>
      <c r="S3389">
        <v>22.79</v>
      </c>
      <c r="T3389" t="s">
        <v>11312</v>
      </c>
    </row>
    <row r="3390" spans="1:20" x14ac:dyDescent="0.25">
      <c r="A3390" s="1" t="str">
        <f>HYPERLINK("https://vegkart.atlas.vegvesen.no/#/@252936.2,6596610.8,18/hva:hva%5B0%5D%5Bfilter%5D%5B0%5D%5Boperator%5D=%21%3D&amp;hva%5B0%5D%5Bfilter%5D%5B0%5D%5Btype_id%5D=8917&amp;hva%5B0%5D%5Bfilter%5D%5B0%5D%5Bverdi%5D=&amp;hva%5B0%5D%5Bid%5D=49/når:2025-10-30", "Vegkart")</f>
        <v>Vegkart</v>
      </c>
      <c r="B3390">
        <v>1014238127</v>
      </c>
      <c r="C3390">
        <v>49</v>
      </c>
      <c r="D3390" t="s">
        <v>8701</v>
      </c>
      <c r="E3390">
        <v>8917</v>
      </c>
      <c r="F3390" t="s">
        <v>23479</v>
      </c>
      <c r="G3390">
        <v>2</v>
      </c>
      <c r="H3390" t="s">
        <v>8750</v>
      </c>
      <c r="J3390" t="s">
        <v>11251</v>
      </c>
      <c r="K3390" t="s">
        <v>104</v>
      </c>
      <c r="L3390" t="s">
        <v>33</v>
      </c>
      <c r="M3390" t="s">
        <v>11313</v>
      </c>
      <c r="N3390" t="s">
        <v>11314</v>
      </c>
      <c r="O3390" t="s">
        <v>11315</v>
      </c>
      <c r="P3390" s="2" t="s">
        <v>37</v>
      </c>
      <c r="Q3390" t="s">
        <v>1208</v>
      </c>
      <c r="R3390">
        <v>0</v>
      </c>
      <c r="S3390">
        <v>16.82</v>
      </c>
      <c r="T3390" t="s">
        <v>11316</v>
      </c>
    </row>
    <row r="3391" spans="1:20" x14ac:dyDescent="0.25">
      <c r="A3391" s="1" t="str">
        <f>HYPERLINK("https://vegkart.atlas.vegvesen.no/#/@253081.2,6597341.5,18/hva:hva%5B0%5D%5Bfilter%5D%5B0%5D%5Boperator%5D=%21%3D&amp;hva%5B0%5D%5Bfilter%5D%5B0%5D%5Btype_id%5D=8917&amp;hva%5B0%5D%5Bfilter%5D%5B0%5D%5Bverdi%5D=&amp;hva%5B0%5D%5Bid%5D=49/når:2025-10-30", "Vegkart")</f>
        <v>Vegkart</v>
      </c>
      <c r="B3391">
        <v>1014238149</v>
      </c>
      <c r="C3391">
        <v>49</v>
      </c>
      <c r="D3391" t="s">
        <v>8701</v>
      </c>
      <c r="E3391">
        <v>8917</v>
      </c>
      <c r="F3391" t="s">
        <v>23479</v>
      </c>
      <c r="G3391">
        <v>2</v>
      </c>
      <c r="H3391" t="s">
        <v>8750</v>
      </c>
      <c r="J3391" t="s">
        <v>11251</v>
      </c>
      <c r="K3391" t="s">
        <v>104</v>
      </c>
      <c r="L3391" t="s">
        <v>33</v>
      </c>
      <c r="M3391" t="s">
        <v>11313</v>
      </c>
      <c r="N3391" t="s">
        <v>11317</v>
      </c>
      <c r="O3391" t="s">
        <v>11318</v>
      </c>
      <c r="P3391" s="2" t="s">
        <v>37</v>
      </c>
      <c r="Q3391" t="s">
        <v>1208</v>
      </c>
      <c r="R3391">
        <v>0</v>
      </c>
      <c r="S3391">
        <v>15.27</v>
      </c>
      <c r="T3391" t="s">
        <v>11319</v>
      </c>
    </row>
    <row r="3392" spans="1:20" x14ac:dyDescent="0.25">
      <c r="A3392" s="1" t="str">
        <f>HYPERLINK("https://vegkart.atlas.vegvesen.no/#/@256469.6,6602244.4,18/hva:hva%5B0%5D%5Bfilter%5D%5B0%5D%5Boperator%5D=%21%3D&amp;hva%5B0%5D%5Bfilter%5D%5B0%5D%5Btype_id%5D=8917&amp;hva%5B0%5D%5Bfilter%5D%5B0%5D%5Bverdi%5D=&amp;hva%5B0%5D%5Bid%5D=49/når:2025-10-30", "Vegkart")</f>
        <v>Vegkart</v>
      </c>
      <c r="B3392">
        <v>1014240078</v>
      </c>
      <c r="C3392">
        <v>49</v>
      </c>
      <c r="D3392" t="s">
        <v>8701</v>
      </c>
      <c r="E3392">
        <v>8917</v>
      </c>
      <c r="F3392" t="s">
        <v>23479</v>
      </c>
      <c r="G3392">
        <v>2</v>
      </c>
      <c r="H3392" t="s">
        <v>8750</v>
      </c>
      <c r="J3392" t="s">
        <v>11251</v>
      </c>
      <c r="K3392" t="s">
        <v>104</v>
      </c>
      <c r="L3392" t="s">
        <v>33</v>
      </c>
      <c r="M3392" t="s">
        <v>1463</v>
      </c>
      <c r="N3392" t="s">
        <v>11320</v>
      </c>
      <c r="O3392" t="s">
        <v>11321</v>
      </c>
      <c r="P3392" s="2" t="s">
        <v>37</v>
      </c>
      <c r="Q3392" t="s">
        <v>1208</v>
      </c>
      <c r="R3392">
        <v>0</v>
      </c>
      <c r="S3392">
        <v>14.74</v>
      </c>
      <c r="T3392" t="s">
        <v>11322</v>
      </c>
    </row>
    <row r="3393" spans="1:20" x14ac:dyDescent="0.25">
      <c r="A3393" s="1" t="str">
        <f>HYPERLINK("https://vegkart.atlas.vegvesen.no/#/@256180.5,6602317.2,18/hva:hva%5B0%5D%5Bfilter%5D%5B0%5D%5Boperator%5D=%21%3D&amp;hva%5B0%5D%5Bfilter%5D%5B0%5D%5Btype_id%5D=8917&amp;hva%5B0%5D%5Bfilter%5D%5B0%5D%5Bverdi%5D=&amp;hva%5B0%5D%5Bid%5D=49/når:2025-10-30", "Vegkart")</f>
        <v>Vegkart</v>
      </c>
      <c r="B3393">
        <v>1014240085</v>
      </c>
      <c r="C3393">
        <v>49</v>
      </c>
      <c r="D3393" t="s">
        <v>8701</v>
      </c>
      <c r="E3393">
        <v>8917</v>
      </c>
      <c r="F3393" t="s">
        <v>23479</v>
      </c>
      <c r="G3393">
        <v>2</v>
      </c>
      <c r="H3393" t="s">
        <v>8750</v>
      </c>
      <c r="J3393" t="s">
        <v>11251</v>
      </c>
      <c r="K3393" t="s">
        <v>104</v>
      </c>
      <c r="L3393" t="s">
        <v>33</v>
      </c>
      <c r="M3393" t="s">
        <v>1463</v>
      </c>
      <c r="N3393" t="s">
        <v>11323</v>
      </c>
      <c r="O3393" t="s">
        <v>11324</v>
      </c>
      <c r="P3393" s="2" t="s">
        <v>37</v>
      </c>
      <c r="Q3393" t="s">
        <v>1208</v>
      </c>
      <c r="R3393">
        <v>0</v>
      </c>
      <c r="S3393">
        <v>124.32</v>
      </c>
      <c r="T3393" t="s">
        <v>11325</v>
      </c>
    </row>
    <row r="3394" spans="1:20" x14ac:dyDescent="0.25">
      <c r="A3394" s="1" t="str">
        <f>HYPERLINK("https://vegkart.atlas.vegvesen.no/#/@256132.4,6602353.4,18/hva:hva%5B0%5D%5Bfilter%5D%5B0%5D%5Boperator%5D=%21%3D&amp;hva%5B0%5D%5Bfilter%5D%5B0%5D%5Btype_id%5D=8917&amp;hva%5B0%5D%5Bfilter%5D%5B0%5D%5Bverdi%5D=&amp;hva%5B0%5D%5Bid%5D=49/når:2025-10-30", "Vegkart")</f>
        <v>Vegkart</v>
      </c>
      <c r="B3394">
        <v>1014240092</v>
      </c>
      <c r="C3394">
        <v>49</v>
      </c>
      <c r="D3394" t="s">
        <v>8701</v>
      </c>
      <c r="E3394">
        <v>8917</v>
      </c>
      <c r="F3394" t="s">
        <v>23479</v>
      </c>
      <c r="G3394">
        <v>2</v>
      </c>
      <c r="H3394" t="s">
        <v>8750</v>
      </c>
      <c r="J3394" t="s">
        <v>11251</v>
      </c>
      <c r="K3394" t="s">
        <v>104</v>
      </c>
      <c r="L3394" t="s">
        <v>33</v>
      </c>
      <c r="M3394" t="s">
        <v>1463</v>
      </c>
      <c r="N3394" t="s">
        <v>11326</v>
      </c>
      <c r="O3394" t="s">
        <v>11327</v>
      </c>
      <c r="P3394" s="2" t="s">
        <v>37</v>
      </c>
      <c r="Q3394" t="s">
        <v>1208</v>
      </c>
      <c r="R3394">
        <v>0</v>
      </c>
      <c r="S3394">
        <v>63.23</v>
      </c>
      <c r="T3394" t="s">
        <v>11328</v>
      </c>
    </row>
    <row r="3395" spans="1:20" x14ac:dyDescent="0.25">
      <c r="A3395" s="1" t="str">
        <f>HYPERLINK("https://vegkart.atlas.vegvesen.no/#/@271930.0,6572699.1,18/hva:hva%5B0%5D%5Bfilter%5D%5B0%5D%5Boperator%5D=%21%3D&amp;hva%5B0%5D%5Bfilter%5D%5B0%5D%5Btype_id%5D=8917&amp;hva%5B0%5D%5Bfilter%5D%5B0%5D%5Bverdi%5D=&amp;hva%5B0%5D%5Bid%5D=49/når:2025-11-28", "Vegkart")</f>
        <v>Vegkart</v>
      </c>
      <c r="B3395">
        <v>1014243039</v>
      </c>
      <c r="C3395">
        <v>49</v>
      </c>
      <c r="D3395" t="s">
        <v>8701</v>
      </c>
      <c r="E3395">
        <v>8917</v>
      </c>
      <c r="F3395" t="s">
        <v>23479</v>
      </c>
      <c r="G3395">
        <v>2</v>
      </c>
      <c r="H3395" t="s">
        <v>8765</v>
      </c>
      <c r="J3395" t="s">
        <v>8787</v>
      </c>
      <c r="K3395" t="s">
        <v>104</v>
      </c>
      <c r="L3395" t="s">
        <v>33</v>
      </c>
      <c r="M3395" t="s">
        <v>11329</v>
      </c>
      <c r="N3395" t="s">
        <v>11330</v>
      </c>
      <c r="O3395" t="s">
        <v>11331</v>
      </c>
      <c r="P3395" s="2" t="s">
        <v>37</v>
      </c>
      <c r="Q3395" t="s">
        <v>1208</v>
      </c>
      <c r="R3395">
        <v>0</v>
      </c>
      <c r="S3395">
        <v>26.57</v>
      </c>
      <c r="T3395" t="s">
        <v>11332</v>
      </c>
    </row>
    <row r="3396" spans="1:20" x14ac:dyDescent="0.25">
      <c r="A3396" s="1" t="str">
        <f>HYPERLINK("https://vegkart.atlas.vegvesen.no/#/@272146.6,6570944.2,18/hva:hva%5B0%5D%5Bfilter%5D%5B0%5D%5Boperator%5D=%21%3D&amp;hva%5B0%5D%5Bfilter%5D%5B0%5D%5Btype_id%5D=8917&amp;hva%5B0%5D%5Bfilter%5D%5B0%5D%5Bverdi%5D=&amp;hva%5B0%5D%5Bid%5D=49/når:2025-11-28", "Vegkart")</f>
        <v>Vegkart</v>
      </c>
      <c r="B3396">
        <v>1014251826</v>
      </c>
      <c r="C3396">
        <v>49</v>
      </c>
      <c r="D3396" t="s">
        <v>8701</v>
      </c>
      <c r="E3396">
        <v>8917</v>
      </c>
      <c r="F3396" t="s">
        <v>23479</v>
      </c>
      <c r="G3396">
        <v>2</v>
      </c>
      <c r="H3396" t="s">
        <v>8765</v>
      </c>
      <c r="J3396" t="s">
        <v>9460</v>
      </c>
      <c r="K3396" t="s">
        <v>104</v>
      </c>
      <c r="L3396" t="s">
        <v>33</v>
      </c>
      <c r="M3396" t="s">
        <v>8899</v>
      </c>
      <c r="N3396" t="s">
        <v>11333</v>
      </c>
      <c r="O3396" t="s">
        <v>11334</v>
      </c>
      <c r="P3396" s="2" t="s">
        <v>37</v>
      </c>
      <c r="Q3396" t="s">
        <v>1208</v>
      </c>
      <c r="R3396">
        <v>0</v>
      </c>
      <c r="S3396">
        <v>21.93</v>
      </c>
      <c r="T3396" t="s">
        <v>11335</v>
      </c>
    </row>
    <row r="3397" spans="1:20" x14ac:dyDescent="0.25">
      <c r="A3397" s="1" t="str">
        <f>HYPERLINK("https://vegkart.atlas.vegvesen.no/#/@258983.5,6652361.3,18/hva:hva%5B0%5D%5Bfilter%5D%5B0%5D%5Boperator%5D=%21%3D&amp;hva%5B0%5D%5Bfilter%5D%5B0%5D%5Btype_id%5D=8917&amp;hva%5B0%5D%5Bfilter%5D%5B0%5D%5Bverdi%5D=&amp;hva%5B0%5D%5Bid%5D=49/når:2024-06-19", "Vegkart")</f>
        <v>Vegkart</v>
      </c>
      <c r="B3397">
        <v>1014582910</v>
      </c>
      <c r="C3397">
        <v>49</v>
      </c>
      <c r="D3397" t="s">
        <v>8701</v>
      </c>
      <c r="E3397">
        <v>8917</v>
      </c>
      <c r="F3397" t="s">
        <v>23479</v>
      </c>
      <c r="G3397">
        <v>4</v>
      </c>
      <c r="H3397" t="s">
        <v>11336</v>
      </c>
      <c r="J3397" t="s">
        <v>11337</v>
      </c>
      <c r="K3397" t="s">
        <v>335</v>
      </c>
      <c r="L3397" t="s">
        <v>370</v>
      </c>
      <c r="M3397" t="s">
        <v>11338</v>
      </c>
      <c r="N3397" t="s">
        <v>11339</v>
      </c>
      <c r="O3397" t="s">
        <v>11340</v>
      </c>
      <c r="P3397" s="2" t="s">
        <v>37</v>
      </c>
      <c r="Q3397" t="s">
        <v>1208</v>
      </c>
      <c r="R3397">
        <v>0</v>
      </c>
      <c r="S3397">
        <v>15.5</v>
      </c>
      <c r="T3397" t="s">
        <v>11341</v>
      </c>
    </row>
    <row r="3398" spans="1:20" x14ac:dyDescent="0.25">
      <c r="A3398" s="1" t="str">
        <f>HYPERLINK("https://vegkart.atlas.vegvesen.no/#/@258976.2,6652356.5,18/hva:hva%5B0%5D%5Bfilter%5D%5B0%5D%5Boperator%5D=%21%3D&amp;hva%5B0%5D%5Bfilter%5D%5B0%5D%5Btype_id%5D=8917&amp;hva%5B0%5D%5Bfilter%5D%5B0%5D%5Bverdi%5D=&amp;hva%5B0%5D%5Bid%5D=49/når:2024-06-19", "Vegkart")</f>
        <v>Vegkart</v>
      </c>
      <c r="B3398">
        <v>1014582922</v>
      </c>
      <c r="C3398">
        <v>49</v>
      </c>
      <c r="D3398" t="s">
        <v>8701</v>
      </c>
      <c r="E3398">
        <v>8917</v>
      </c>
      <c r="F3398" t="s">
        <v>23479</v>
      </c>
      <c r="G3398">
        <v>4</v>
      </c>
      <c r="H3398" t="s">
        <v>11336</v>
      </c>
      <c r="J3398" t="s">
        <v>11337</v>
      </c>
      <c r="K3398" t="s">
        <v>335</v>
      </c>
      <c r="L3398" t="s">
        <v>370</v>
      </c>
      <c r="M3398" t="s">
        <v>11338</v>
      </c>
      <c r="N3398" t="s">
        <v>11342</v>
      </c>
      <c r="O3398" t="s">
        <v>11343</v>
      </c>
      <c r="P3398" s="2" t="s">
        <v>37</v>
      </c>
      <c r="Q3398" t="s">
        <v>1208</v>
      </c>
      <c r="R3398">
        <v>0</v>
      </c>
      <c r="S3398">
        <v>25.4</v>
      </c>
      <c r="T3398" t="s">
        <v>11344</v>
      </c>
    </row>
    <row r="3399" spans="1:20" x14ac:dyDescent="0.25">
      <c r="A3399" s="1" t="str">
        <f>HYPERLINK("https://vegkart.atlas.vegvesen.no/#/@47216.3,6739499.0,18/hva:hva%5B0%5D%5Bfilter%5D%5B0%5D%5Boperator%5D=%21%3D&amp;hva%5B0%5D%5Bfilter%5D%5B0%5D%5Btype_id%5D=8917&amp;hva%5B0%5D%5Bfilter%5D%5B0%5D%5Bverdi%5D=&amp;hva%5B0%5D%5Bid%5D=49/når:2022-02-09", "Vegkart")</f>
        <v>Vegkart</v>
      </c>
      <c r="B3399">
        <v>1014978385</v>
      </c>
      <c r="C3399">
        <v>49</v>
      </c>
      <c r="D3399" t="s">
        <v>8701</v>
      </c>
      <c r="E3399">
        <v>8917</v>
      </c>
      <c r="F3399" t="s">
        <v>23479</v>
      </c>
      <c r="G3399">
        <v>1</v>
      </c>
      <c r="H3399" t="s">
        <v>11345</v>
      </c>
      <c r="J3399" t="s">
        <v>11346</v>
      </c>
      <c r="K3399" t="s">
        <v>21</v>
      </c>
      <c r="L3399" t="s">
        <v>113</v>
      </c>
      <c r="M3399" t="s">
        <v>114</v>
      </c>
      <c r="N3399" t="s">
        <v>11347</v>
      </c>
      <c r="O3399" t="s">
        <v>11348</v>
      </c>
      <c r="P3399" s="2" t="s">
        <v>26</v>
      </c>
      <c r="Q3399" t="s">
        <v>50</v>
      </c>
      <c r="R3399">
        <v>82.21</v>
      </c>
      <c r="S3399">
        <v>82.45</v>
      </c>
      <c r="T3399" t="s">
        <v>11349</v>
      </c>
    </row>
    <row r="3400" spans="1:20" x14ac:dyDescent="0.25">
      <c r="A3400" s="1" t="str">
        <f>HYPERLINK("https://vegkart.atlas.vegvesen.no/#/@103855.6,6981045.7,18/hva:hva%5B0%5D%5Bfilter%5D%5B0%5D%5Boperator%5D=%21%3D&amp;hva%5B0%5D%5Bfilter%5D%5B0%5D%5Btype_id%5D=8917&amp;hva%5B0%5D%5Bfilter%5D%5B0%5D%5Bverdi%5D=&amp;hva%5B0%5D%5Bid%5D=49/når:2022-03-13", "Vegkart")</f>
        <v>Vegkart</v>
      </c>
      <c r="B3400">
        <v>1015131978</v>
      </c>
      <c r="C3400">
        <v>49</v>
      </c>
      <c r="D3400" t="s">
        <v>8701</v>
      </c>
      <c r="E3400">
        <v>8917</v>
      </c>
      <c r="F3400" t="s">
        <v>23479</v>
      </c>
      <c r="G3400">
        <v>1</v>
      </c>
      <c r="H3400" t="s">
        <v>11350</v>
      </c>
      <c r="J3400" t="s">
        <v>11346</v>
      </c>
      <c r="K3400" t="s">
        <v>32</v>
      </c>
      <c r="L3400" t="s">
        <v>22</v>
      </c>
      <c r="M3400" t="s">
        <v>11351</v>
      </c>
      <c r="N3400" t="s">
        <v>11352</v>
      </c>
      <c r="O3400" t="s">
        <v>11353</v>
      </c>
      <c r="P3400" s="2" t="s">
        <v>165</v>
      </c>
      <c r="Q3400" t="s">
        <v>311</v>
      </c>
      <c r="R3400">
        <v>35.99</v>
      </c>
      <c r="S3400">
        <v>36</v>
      </c>
      <c r="T3400" t="s">
        <v>167</v>
      </c>
    </row>
    <row r="3401" spans="1:20" x14ac:dyDescent="0.25">
      <c r="A3401" s="1" t="str">
        <f>HYPERLINK("https://vegkart.atlas.vegvesen.no/#/@193299.9,6568476.7,18/hva:hva%5B0%5D%5Bfilter%5D%5B0%5D%5Boperator%5D=%21%3D&amp;hva%5B0%5D%5Bfilter%5D%5B0%5D%5Btype_id%5D=8917&amp;hva%5B0%5D%5Bfilter%5D%5B0%5D%5Bverdi%5D=&amp;hva%5B0%5D%5Bid%5D=49/når:2022-09-01", "Vegkart")</f>
        <v>Vegkart</v>
      </c>
      <c r="B3401">
        <v>1016281873</v>
      </c>
      <c r="C3401">
        <v>49</v>
      </c>
      <c r="D3401" t="s">
        <v>8701</v>
      </c>
      <c r="E3401">
        <v>8917</v>
      </c>
      <c r="F3401" t="s">
        <v>23479</v>
      </c>
      <c r="G3401">
        <v>1</v>
      </c>
      <c r="H3401" t="s">
        <v>11354</v>
      </c>
      <c r="J3401" t="s">
        <v>11355</v>
      </c>
      <c r="K3401" t="s">
        <v>197</v>
      </c>
      <c r="L3401" t="s">
        <v>33</v>
      </c>
      <c r="M3401" t="s">
        <v>11356</v>
      </c>
      <c r="N3401" t="s">
        <v>11357</v>
      </c>
      <c r="O3401" t="s">
        <v>11358</v>
      </c>
      <c r="P3401" s="2" t="s">
        <v>26</v>
      </c>
      <c r="Q3401" t="s">
        <v>50</v>
      </c>
      <c r="R3401">
        <v>12.08</v>
      </c>
      <c r="S3401">
        <v>12.11</v>
      </c>
      <c r="T3401" t="s">
        <v>11359</v>
      </c>
    </row>
    <row r="3402" spans="1:20" x14ac:dyDescent="0.25">
      <c r="A3402" s="1" t="str">
        <f>HYPERLINK("https://vegkart.atlas.vegvesen.no/#/@256671.7,6653443.5,18/hva:hva%5B0%5D%5Bfilter%5D%5B0%5D%5Boperator%5D=%21%3D&amp;hva%5B0%5D%5Bfilter%5D%5B0%5D%5Btype_id%5D=8917&amp;hva%5B0%5D%5Bfilter%5D%5B0%5D%5Bverdi%5D=&amp;hva%5B0%5D%5Bid%5D=49/når:2022-09-14", "Vegkart")</f>
        <v>Vegkart</v>
      </c>
      <c r="B3402">
        <v>1016319830</v>
      </c>
      <c r="C3402">
        <v>49</v>
      </c>
      <c r="D3402" t="s">
        <v>8701</v>
      </c>
      <c r="E3402">
        <v>8917</v>
      </c>
      <c r="F3402" t="s">
        <v>23479</v>
      </c>
      <c r="G3402">
        <v>1</v>
      </c>
      <c r="H3402" t="s">
        <v>11360</v>
      </c>
      <c r="J3402" t="s">
        <v>11355</v>
      </c>
      <c r="K3402" t="s">
        <v>335</v>
      </c>
      <c r="L3402" t="s">
        <v>22</v>
      </c>
      <c r="M3402" t="s">
        <v>10364</v>
      </c>
      <c r="N3402" t="s">
        <v>11361</v>
      </c>
      <c r="O3402" t="s">
        <v>11362</v>
      </c>
      <c r="P3402" s="2" t="s">
        <v>37</v>
      </c>
      <c r="Q3402" t="s">
        <v>1208</v>
      </c>
      <c r="R3402">
        <v>0</v>
      </c>
      <c r="S3402">
        <v>18.989999999999998</v>
      </c>
      <c r="T3402" t="s">
        <v>11363</v>
      </c>
    </row>
    <row r="3403" spans="1:20" x14ac:dyDescent="0.25">
      <c r="A3403" s="1" t="str">
        <f>HYPERLINK("https://vegkart.atlas.vegvesen.no/#/@133635.2,7018674.9,18/hva:hva%5B0%5D%5Bfilter%5D%5B0%5D%5Boperator%5D=%21%3D&amp;hva%5B0%5D%5Bfilter%5D%5B0%5D%5Btype_id%5D=8917&amp;hva%5B0%5D%5Bfilter%5D%5B0%5D%5Bverdi%5D=&amp;hva%5B0%5D%5Bid%5D=49/når:2022-10-14", "Vegkart")</f>
        <v>Vegkart</v>
      </c>
      <c r="B3403">
        <v>1016426822</v>
      </c>
      <c r="C3403">
        <v>49</v>
      </c>
      <c r="D3403" t="s">
        <v>8701</v>
      </c>
      <c r="E3403">
        <v>8917</v>
      </c>
      <c r="F3403" t="s">
        <v>23479</v>
      </c>
      <c r="G3403">
        <v>1</v>
      </c>
      <c r="H3403" t="s">
        <v>11364</v>
      </c>
      <c r="J3403" t="s">
        <v>11355</v>
      </c>
      <c r="K3403" t="s">
        <v>32</v>
      </c>
      <c r="L3403" t="s">
        <v>113</v>
      </c>
      <c r="M3403" t="s">
        <v>1002</v>
      </c>
      <c r="N3403" t="s">
        <v>11365</v>
      </c>
      <c r="O3403" t="s">
        <v>11366</v>
      </c>
      <c r="P3403" s="2" t="s">
        <v>26</v>
      </c>
      <c r="Q3403" t="s">
        <v>50</v>
      </c>
      <c r="R3403">
        <v>19.88</v>
      </c>
      <c r="S3403">
        <v>19.88</v>
      </c>
      <c r="T3403" t="s">
        <v>11367</v>
      </c>
    </row>
    <row r="3404" spans="1:20" x14ac:dyDescent="0.25">
      <c r="A3404" s="1" t="str">
        <f>HYPERLINK("https://vegkart.atlas.vegvesen.no/#/@133639.2,7018676.1,18/hva:hva%5B0%5D%5Bfilter%5D%5B0%5D%5Boperator%5D=%21%3D&amp;hva%5B0%5D%5Bfilter%5D%5B0%5D%5Btype_id%5D=8917&amp;hva%5B0%5D%5Bfilter%5D%5B0%5D%5Bverdi%5D=&amp;hva%5B0%5D%5Bid%5D=49/når:2022-10-14", "Vegkart")</f>
        <v>Vegkart</v>
      </c>
      <c r="B3404">
        <v>1016426824</v>
      </c>
      <c r="C3404">
        <v>49</v>
      </c>
      <c r="D3404" t="s">
        <v>8701</v>
      </c>
      <c r="E3404">
        <v>8917</v>
      </c>
      <c r="F3404" t="s">
        <v>23479</v>
      </c>
      <c r="G3404">
        <v>1</v>
      </c>
      <c r="H3404" t="s">
        <v>11364</v>
      </c>
      <c r="J3404" t="s">
        <v>11355</v>
      </c>
      <c r="K3404" t="s">
        <v>32</v>
      </c>
      <c r="L3404" t="s">
        <v>113</v>
      </c>
      <c r="M3404" t="s">
        <v>1002</v>
      </c>
      <c r="N3404" t="s">
        <v>11368</v>
      </c>
      <c r="O3404" t="s">
        <v>11369</v>
      </c>
      <c r="P3404" s="2" t="s">
        <v>26</v>
      </c>
      <c r="Q3404" t="s">
        <v>50</v>
      </c>
      <c r="R3404">
        <v>30.31</v>
      </c>
      <c r="S3404">
        <v>32.68</v>
      </c>
      <c r="T3404" t="s">
        <v>11370</v>
      </c>
    </row>
    <row r="3405" spans="1:20" x14ac:dyDescent="0.25">
      <c r="A3405" s="1" t="str">
        <f>HYPERLINK("https://vegkart.atlas.vegvesen.no/#/@-32320.7,6633601.7,18/hva:hva%5B0%5D%5Bfilter%5D%5B0%5D%5Boperator%5D=%21%3D&amp;hva%5B0%5D%5Bfilter%5D%5B0%5D%5Btype_id%5D=8917&amp;hva%5B0%5D%5Bfilter%5D%5B0%5D%5Bverdi%5D=&amp;hva%5B0%5D%5Bid%5D=49/når:2023-02-22", "Vegkart")</f>
        <v>Vegkart</v>
      </c>
      <c r="B3405">
        <v>1017350474</v>
      </c>
      <c r="C3405">
        <v>49</v>
      </c>
      <c r="D3405" t="s">
        <v>8701</v>
      </c>
      <c r="E3405">
        <v>8917</v>
      </c>
      <c r="F3405" t="s">
        <v>23479</v>
      </c>
      <c r="G3405">
        <v>1</v>
      </c>
      <c r="H3405" t="s">
        <v>3296</v>
      </c>
      <c r="J3405" t="s">
        <v>11355</v>
      </c>
      <c r="K3405" t="s">
        <v>170</v>
      </c>
      <c r="L3405" t="s">
        <v>80</v>
      </c>
      <c r="M3405" t="s">
        <v>645</v>
      </c>
      <c r="N3405" t="s">
        <v>11371</v>
      </c>
      <c r="O3405" t="s">
        <v>11372</v>
      </c>
      <c r="P3405" s="2" t="s">
        <v>37</v>
      </c>
      <c r="Q3405" t="s">
        <v>1208</v>
      </c>
      <c r="R3405">
        <v>0</v>
      </c>
      <c r="S3405">
        <v>16.739999999999998</v>
      </c>
      <c r="T3405" t="s">
        <v>11373</v>
      </c>
    </row>
    <row r="3406" spans="1:20" x14ac:dyDescent="0.25">
      <c r="A3406" s="1" t="str">
        <f>HYPERLINK("https://vegkart.atlas.vegvesen.no/#/@92616.4,6465727.6,18/hva:hva%5B0%5D%5Bfilter%5D%5B0%5D%5Boperator%5D=%21%3D&amp;hva%5B0%5D%5Bfilter%5D%5B0%5D%5Btype_id%5D=8917&amp;hva%5B0%5D%5Bfilter%5D%5B0%5D%5Bverdi%5D=&amp;hva%5B0%5D%5Bid%5D=49/når:2023-03-06", "Vegkart")</f>
        <v>Vegkart</v>
      </c>
      <c r="B3406">
        <v>1017385154</v>
      </c>
      <c r="C3406">
        <v>49</v>
      </c>
      <c r="D3406" t="s">
        <v>8701</v>
      </c>
      <c r="E3406">
        <v>8917</v>
      </c>
      <c r="F3406" t="s">
        <v>23479</v>
      </c>
      <c r="G3406">
        <v>1</v>
      </c>
      <c r="H3406" t="s">
        <v>143</v>
      </c>
      <c r="J3406" t="s">
        <v>11355</v>
      </c>
      <c r="K3406" t="s">
        <v>86</v>
      </c>
      <c r="L3406" t="s">
        <v>33</v>
      </c>
      <c r="M3406" t="s">
        <v>11374</v>
      </c>
      <c r="N3406" t="s">
        <v>11375</v>
      </c>
      <c r="O3406" t="s">
        <v>11376</v>
      </c>
      <c r="P3406" s="2" t="s">
        <v>37</v>
      </c>
      <c r="Q3406" t="s">
        <v>1208</v>
      </c>
      <c r="R3406">
        <v>0.03</v>
      </c>
      <c r="S3406">
        <v>20.29</v>
      </c>
      <c r="T3406" t="s">
        <v>11377</v>
      </c>
    </row>
    <row r="3407" spans="1:20" x14ac:dyDescent="0.25">
      <c r="A3407" s="1" t="str">
        <f>HYPERLINK("https://vegkart.atlas.vegvesen.no/#/@92819.7,6465748.1,18/hva:hva%5B0%5D%5Bfilter%5D%5B0%5D%5Boperator%5D=%21%3D&amp;hva%5B0%5D%5Bfilter%5D%5B0%5D%5Btype_id%5D=8917&amp;hva%5B0%5D%5Bfilter%5D%5B0%5D%5Bverdi%5D=&amp;hva%5B0%5D%5Bid%5D=49/når:2023-03-06", "Vegkart")</f>
        <v>Vegkart</v>
      </c>
      <c r="B3407">
        <v>1017385155</v>
      </c>
      <c r="C3407">
        <v>49</v>
      </c>
      <c r="D3407" t="s">
        <v>8701</v>
      </c>
      <c r="E3407">
        <v>8917</v>
      </c>
      <c r="F3407" t="s">
        <v>23479</v>
      </c>
      <c r="G3407">
        <v>1</v>
      </c>
      <c r="H3407" t="s">
        <v>143</v>
      </c>
      <c r="J3407" t="s">
        <v>11355</v>
      </c>
      <c r="K3407" t="s">
        <v>86</v>
      </c>
      <c r="L3407" t="s">
        <v>33</v>
      </c>
      <c r="M3407" t="s">
        <v>11374</v>
      </c>
      <c r="N3407" t="s">
        <v>11378</v>
      </c>
      <c r="O3407" t="s">
        <v>11379</v>
      </c>
      <c r="P3407" s="2" t="s">
        <v>37</v>
      </c>
      <c r="Q3407" t="s">
        <v>1208</v>
      </c>
      <c r="R3407">
        <v>0.03</v>
      </c>
      <c r="S3407">
        <v>5.95</v>
      </c>
      <c r="T3407" t="s">
        <v>11380</v>
      </c>
    </row>
    <row r="3408" spans="1:20" x14ac:dyDescent="0.25">
      <c r="A3408" s="1" t="str">
        <f>HYPERLINK("https://vegkart.atlas.vegvesen.no/#/@92826.2,6465746.7,18/hva:hva%5B0%5D%5Bfilter%5D%5B0%5D%5Boperator%5D=%21%3D&amp;hva%5B0%5D%5Bfilter%5D%5B0%5D%5Btype_id%5D=8917&amp;hva%5B0%5D%5Bfilter%5D%5B0%5D%5Bverdi%5D=&amp;hva%5B0%5D%5Bid%5D=49/når:2023-03-06", "Vegkart")</f>
        <v>Vegkart</v>
      </c>
      <c r="B3408">
        <v>1017385160</v>
      </c>
      <c r="C3408">
        <v>49</v>
      </c>
      <c r="D3408" t="s">
        <v>8701</v>
      </c>
      <c r="E3408">
        <v>8917</v>
      </c>
      <c r="F3408" t="s">
        <v>23479</v>
      </c>
      <c r="G3408">
        <v>1</v>
      </c>
      <c r="H3408" t="s">
        <v>143</v>
      </c>
      <c r="J3408" t="s">
        <v>11355</v>
      </c>
      <c r="K3408" t="s">
        <v>86</v>
      </c>
      <c r="L3408" t="s">
        <v>33</v>
      </c>
      <c r="M3408" t="s">
        <v>11374</v>
      </c>
      <c r="N3408" t="s">
        <v>11381</v>
      </c>
      <c r="O3408" t="s">
        <v>11382</v>
      </c>
      <c r="P3408" s="2" t="s">
        <v>37</v>
      </c>
      <c r="Q3408" t="s">
        <v>1208</v>
      </c>
      <c r="R3408">
        <v>0.06</v>
      </c>
      <c r="S3408">
        <v>10.89</v>
      </c>
      <c r="T3408" t="s">
        <v>11383</v>
      </c>
    </row>
    <row r="3409" spans="1:20" x14ac:dyDescent="0.25">
      <c r="A3409" s="1" t="str">
        <f>HYPERLINK("https://vegkart.atlas.vegvesen.no/#/@92665.2,6465763.7,18/hva:hva%5B0%5D%5Bfilter%5D%5B0%5D%5Boperator%5D=%21%3D&amp;hva%5B0%5D%5Bfilter%5D%5B0%5D%5Btype_id%5D=8917&amp;hva%5B0%5D%5Bfilter%5D%5B0%5D%5Bverdi%5D=&amp;hva%5B0%5D%5Bid%5D=49/når:2023-03-06", "Vegkart")</f>
        <v>Vegkart</v>
      </c>
      <c r="B3409">
        <v>1017385163</v>
      </c>
      <c r="C3409">
        <v>49</v>
      </c>
      <c r="D3409" t="s">
        <v>8701</v>
      </c>
      <c r="E3409">
        <v>8917</v>
      </c>
      <c r="F3409" t="s">
        <v>23479</v>
      </c>
      <c r="G3409">
        <v>1</v>
      </c>
      <c r="H3409" t="s">
        <v>143</v>
      </c>
      <c r="J3409" t="s">
        <v>11355</v>
      </c>
      <c r="K3409" t="s">
        <v>86</v>
      </c>
      <c r="L3409" t="s">
        <v>33</v>
      </c>
      <c r="M3409" t="s">
        <v>11374</v>
      </c>
      <c r="N3409" t="s">
        <v>11384</v>
      </c>
      <c r="O3409" t="s">
        <v>11385</v>
      </c>
      <c r="P3409" s="2" t="s">
        <v>37</v>
      </c>
      <c r="Q3409" t="s">
        <v>1208</v>
      </c>
      <c r="R3409">
        <v>0.21</v>
      </c>
      <c r="S3409">
        <v>30.34</v>
      </c>
      <c r="T3409" t="s">
        <v>11386</v>
      </c>
    </row>
    <row r="3410" spans="1:20" x14ac:dyDescent="0.25">
      <c r="A3410" s="1" t="str">
        <f>HYPERLINK("https://vegkart.atlas.vegvesen.no/#/@-34890.2,6773432.4,18/hva:hva%5B0%5D%5Bfilter%5D%5B0%5D%5Boperator%5D=%21%3D&amp;hva%5B0%5D%5Bfilter%5D%5B0%5D%5Btype_id%5D=8917&amp;hva%5B0%5D%5Bfilter%5D%5B0%5D%5Bverdi%5D=&amp;hva%5B0%5D%5Bid%5D=49/når:2023-03-13", "Vegkart")</f>
        <v>Vegkart</v>
      </c>
      <c r="B3410">
        <v>1017411888</v>
      </c>
      <c r="C3410">
        <v>49</v>
      </c>
      <c r="D3410" t="s">
        <v>8701</v>
      </c>
      <c r="E3410">
        <v>8917</v>
      </c>
      <c r="F3410" t="s">
        <v>23479</v>
      </c>
      <c r="G3410">
        <v>1</v>
      </c>
      <c r="H3410" t="s">
        <v>11387</v>
      </c>
      <c r="J3410" t="s">
        <v>11355</v>
      </c>
      <c r="K3410" t="s">
        <v>21</v>
      </c>
      <c r="L3410" t="s">
        <v>33</v>
      </c>
      <c r="M3410" t="s">
        <v>11388</v>
      </c>
      <c r="N3410" t="s">
        <v>11389</v>
      </c>
      <c r="O3410" t="s">
        <v>11390</v>
      </c>
      <c r="P3410" s="2" t="s">
        <v>37</v>
      </c>
      <c r="Q3410" t="s">
        <v>1208</v>
      </c>
      <c r="R3410">
        <v>0</v>
      </c>
      <c r="S3410">
        <v>21.35</v>
      </c>
      <c r="T3410" t="s">
        <v>11391</v>
      </c>
    </row>
    <row r="3411" spans="1:20" x14ac:dyDescent="0.25">
      <c r="A3411" s="1" t="str">
        <f>HYPERLINK("https://vegkart.atlas.vegvesen.no/#/@-34854.5,6773473.7,18/hva:hva%5B0%5D%5Bfilter%5D%5B0%5D%5Boperator%5D=%21%3D&amp;hva%5B0%5D%5Bfilter%5D%5B0%5D%5Btype_id%5D=8917&amp;hva%5B0%5D%5Bfilter%5D%5B0%5D%5Bverdi%5D=&amp;hva%5B0%5D%5Bid%5D=49/når:2023-03-13", "Vegkart")</f>
        <v>Vegkart</v>
      </c>
      <c r="B3411">
        <v>1017411889</v>
      </c>
      <c r="C3411">
        <v>49</v>
      </c>
      <c r="D3411" t="s">
        <v>8701</v>
      </c>
      <c r="E3411">
        <v>8917</v>
      </c>
      <c r="F3411" t="s">
        <v>23479</v>
      </c>
      <c r="G3411">
        <v>1</v>
      </c>
      <c r="H3411" t="s">
        <v>11387</v>
      </c>
      <c r="J3411" t="s">
        <v>11355</v>
      </c>
      <c r="K3411" t="s">
        <v>21</v>
      </c>
      <c r="L3411" t="s">
        <v>33</v>
      </c>
      <c r="M3411" t="s">
        <v>11392</v>
      </c>
      <c r="N3411" t="s">
        <v>11393</v>
      </c>
      <c r="O3411" t="s">
        <v>11394</v>
      </c>
      <c r="P3411" s="2" t="s">
        <v>37</v>
      </c>
      <c r="Q3411" t="s">
        <v>1208</v>
      </c>
      <c r="R3411">
        <v>0</v>
      </c>
      <c r="S3411">
        <v>42.23</v>
      </c>
      <c r="T3411" t="s">
        <v>11395</v>
      </c>
    </row>
    <row r="3412" spans="1:20" x14ac:dyDescent="0.25">
      <c r="A3412" s="1" t="str">
        <f>HYPERLINK("https://vegkart.atlas.vegvesen.no/#/@213041.2,6863285.5,18/hva:hva%5B0%5D%5Bfilter%5D%5B0%5D%5Boperator%5D=%21%3D&amp;hva%5B0%5D%5Bfilter%5D%5B0%5D%5Btype_id%5D=8917&amp;hva%5B0%5D%5Bfilter%5D%5B0%5D%5Bverdi%5D=&amp;hva%5B0%5D%5Bid%5D=49/når:2023-03-16", "Vegkart")</f>
        <v>Vegkart</v>
      </c>
      <c r="B3412">
        <v>1017493834</v>
      </c>
      <c r="C3412">
        <v>49</v>
      </c>
      <c r="D3412" t="s">
        <v>8701</v>
      </c>
      <c r="E3412">
        <v>8917</v>
      </c>
      <c r="F3412" t="s">
        <v>23479</v>
      </c>
      <c r="G3412">
        <v>1</v>
      </c>
      <c r="H3412" t="s">
        <v>5534</v>
      </c>
      <c r="J3412" t="s">
        <v>11355</v>
      </c>
      <c r="K3412" t="s">
        <v>136</v>
      </c>
      <c r="L3412" t="s">
        <v>22</v>
      </c>
      <c r="M3412" t="s">
        <v>11396</v>
      </c>
      <c r="N3412" t="s">
        <v>11397</v>
      </c>
      <c r="O3412" t="s">
        <v>11398</v>
      </c>
      <c r="P3412" s="2" t="s">
        <v>37</v>
      </c>
      <c r="Q3412" t="s">
        <v>1208</v>
      </c>
      <c r="R3412">
        <v>0.26</v>
      </c>
      <c r="S3412">
        <v>24.71</v>
      </c>
      <c r="T3412" t="s">
        <v>11399</v>
      </c>
    </row>
    <row r="3413" spans="1:20" x14ac:dyDescent="0.25">
      <c r="A3413" s="1" t="str">
        <f>HYPERLINK("https://vegkart.atlas.vegvesen.no/#/@212260.5,6860926.7,18/hva:hva%5B0%5D%5Bfilter%5D%5B0%5D%5Boperator%5D=%21%3D&amp;hva%5B0%5D%5Bfilter%5D%5B0%5D%5Btype_id%5D=8917&amp;hva%5B0%5D%5Bfilter%5D%5B0%5D%5Bverdi%5D=&amp;hva%5B0%5D%5Bid%5D=49/når:2023-03-16", "Vegkart")</f>
        <v>Vegkart</v>
      </c>
      <c r="B3413">
        <v>1017494418</v>
      </c>
      <c r="C3413">
        <v>49</v>
      </c>
      <c r="D3413" t="s">
        <v>8701</v>
      </c>
      <c r="E3413">
        <v>8917</v>
      </c>
      <c r="F3413" t="s">
        <v>23479</v>
      </c>
      <c r="G3413">
        <v>1</v>
      </c>
      <c r="H3413" t="s">
        <v>5534</v>
      </c>
      <c r="J3413" t="s">
        <v>11355</v>
      </c>
      <c r="K3413" t="s">
        <v>136</v>
      </c>
      <c r="L3413" t="s">
        <v>22</v>
      </c>
      <c r="M3413" t="s">
        <v>11400</v>
      </c>
      <c r="N3413" t="s">
        <v>11401</v>
      </c>
      <c r="O3413" t="s">
        <v>11402</v>
      </c>
      <c r="P3413" s="2" t="s">
        <v>37</v>
      </c>
      <c r="Q3413" t="s">
        <v>1208</v>
      </c>
      <c r="R3413">
        <v>0.61</v>
      </c>
      <c r="S3413">
        <v>38.71</v>
      </c>
      <c r="T3413" t="s">
        <v>11403</v>
      </c>
    </row>
    <row r="3414" spans="1:20" x14ac:dyDescent="0.25">
      <c r="A3414" s="1" t="str">
        <f>HYPERLINK("https://vegkart.atlas.vegvesen.no/#/@212267.1,6860876.9,18/hva:hva%5B0%5D%5Bfilter%5D%5B0%5D%5Boperator%5D=%21%3D&amp;hva%5B0%5D%5Bfilter%5D%5B0%5D%5Btype_id%5D=8917&amp;hva%5B0%5D%5Bfilter%5D%5B0%5D%5Bverdi%5D=&amp;hva%5B0%5D%5Bid%5D=49/når:2023-03-16", "Vegkart")</f>
        <v>Vegkart</v>
      </c>
      <c r="B3414">
        <v>1017494544</v>
      </c>
      <c r="C3414">
        <v>49</v>
      </c>
      <c r="D3414" t="s">
        <v>8701</v>
      </c>
      <c r="E3414">
        <v>8917</v>
      </c>
      <c r="F3414" t="s">
        <v>23479</v>
      </c>
      <c r="G3414">
        <v>1</v>
      </c>
      <c r="H3414" t="s">
        <v>5534</v>
      </c>
      <c r="J3414" t="s">
        <v>11355</v>
      </c>
      <c r="K3414" t="s">
        <v>136</v>
      </c>
      <c r="L3414" t="s">
        <v>22</v>
      </c>
      <c r="M3414" t="s">
        <v>11404</v>
      </c>
      <c r="N3414" t="s">
        <v>11405</v>
      </c>
      <c r="O3414" t="s">
        <v>11406</v>
      </c>
      <c r="P3414" s="2" t="s">
        <v>37</v>
      </c>
      <c r="Q3414" t="s">
        <v>1208</v>
      </c>
      <c r="R3414">
        <v>0.26</v>
      </c>
      <c r="S3414">
        <v>32.31</v>
      </c>
      <c r="T3414" t="s">
        <v>11407</v>
      </c>
    </row>
    <row r="3415" spans="1:20" x14ac:dyDescent="0.25">
      <c r="A3415" s="1" t="str">
        <f>HYPERLINK("https://vegkart.atlas.vegvesen.no/#/@212889.0,6862452.8,18/hva:hva%5B0%5D%5Bfilter%5D%5B0%5D%5Boperator%5D=%21%3D&amp;hva%5B0%5D%5Bfilter%5D%5B0%5D%5Btype_id%5D=8917&amp;hva%5B0%5D%5Bfilter%5D%5B0%5D%5Bverdi%5D=&amp;hva%5B0%5D%5Bid%5D=49/når:2023-03-21", "Vegkart")</f>
        <v>Vegkart</v>
      </c>
      <c r="B3415">
        <v>1017504143</v>
      </c>
      <c r="C3415">
        <v>49</v>
      </c>
      <c r="D3415" t="s">
        <v>8701</v>
      </c>
      <c r="E3415">
        <v>8917</v>
      </c>
      <c r="F3415" t="s">
        <v>23479</v>
      </c>
      <c r="G3415">
        <v>1</v>
      </c>
      <c r="H3415" t="s">
        <v>2824</v>
      </c>
      <c r="J3415" t="s">
        <v>11355</v>
      </c>
      <c r="K3415" t="s">
        <v>136</v>
      </c>
      <c r="L3415" t="s">
        <v>22</v>
      </c>
      <c r="M3415" t="s">
        <v>11408</v>
      </c>
      <c r="N3415" t="s">
        <v>11409</v>
      </c>
      <c r="O3415" t="s">
        <v>11410</v>
      </c>
      <c r="P3415" s="2" t="s">
        <v>37</v>
      </c>
      <c r="Q3415" t="s">
        <v>1208</v>
      </c>
      <c r="R3415">
        <v>0.38</v>
      </c>
      <c r="S3415">
        <v>20.170000000000002</v>
      </c>
      <c r="T3415" t="s">
        <v>11411</v>
      </c>
    </row>
    <row r="3416" spans="1:20" x14ac:dyDescent="0.25">
      <c r="A3416" s="1" t="str">
        <f>HYPERLINK("https://vegkart.atlas.vegvesen.no/#/@212399.3,6861202.6,18/hva:hva%5B0%5D%5Bfilter%5D%5B0%5D%5Boperator%5D=%21%3D&amp;hva%5B0%5D%5Bfilter%5D%5B0%5D%5Btype_id%5D=8917&amp;hva%5B0%5D%5Bfilter%5D%5B0%5D%5Bverdi%5D=&amp;hva%5B0%5D%5Bid%5D=49/når:2023-03-21", "Vegkart")</f>
        <v>Vegkart</v>
      </c>
      <c r="B3416">
        <v>1017504201</v>
      </c>
      <c r="C3416">
        <v>49</v>
      </c>
      <c r="D3416" t="s">
        <v>8701</v>
      </c>
      <c r="E3416">
        <v>8917</v>
      </c>
      <c r="F3416" t="s">
        <v>23479</v>
      </c>
      <c r="G3416">
        <v>1</v>
      </c>
      <c r="H3416" t="s">
        <v>2824</v>
      </c>
      <c r="J3416" t="s">
        <v>11355</v>
      </c>
      <c r="K3416" t="s">
        <v>136</v>
      </c>
      <c r="L3416" t="s">
        <v>22</v>
      </c>
      <c r="M3416" t="s">
        <v>11412</v>
      </c>
      <c r="N3416" t="s">
        <v>11413</v>
      </c>
      <c r="O3416" t="s">
        <v>11414</v>
      </c>
      <c r="P3416" s="2" t="s">
        <v>37</v>
      </c>
      <c r="Q3416" t="s">
        <v>1208</v>
      </c>
      <c r="R3416">
        <v>0.28000000000000003</v>
      </c>
      <c r="S3416">
        <v>23.09</v>
      </c>
      <c r="T3416" t="s">
        <v>11415</v>
      </c>
    </row>
    <row r="3417" spans="1:20" x14ac:dyDescent="0.25">
      <c r="A3417" s="1" t="str">
        <f>HYPERLINK("https://vegkart.atlas.vegvesen.no/#/@210515.8,6861209.1,18/hva:hva%5B0%5D%5Bfilter%5D%5B0%5D%5Boperator%5D=%21%3D&amp;hva%5B0%5D%5Bfilter%5D%5B0%5D%5Btype_id%5D=8917&amp;hva%5B0%5D%5Bfilter%5D%5B0%5D%5Bverdi%5D=&amp;hva%5B0%5D%5Bid%5D=49/når:2023-03-21", "Vegkart")</f>
        <v>Vegkart</v>
      </c>
      <c r="B3417">
        <v>1017505673</v>
      </c>
      <c r="C3417">
        <v>49</v>
      </c>
      <c r="D3417" t="s">
        <v>8701</v>
      </c>
      <c r="E3417">
        <v>8917</v>
      </c>
      <c r="F3417" t="s">
        <v>23479</v>
      </c>
      <c r="G3417">
        <v>1</v>
      </c>
      <c r="H3417" t="s">
        <v>2824</v>
      </c>
      <c r="J3417" t="s">
        <v>11355</v>
      </c>
      <c r="K3417" t="s">
        <v>136</v>
      </c>
      <c r="L3417" t="s">
        <v>22</v>
      </c>
      <c r="M3417" t="s">
        <v>11416</v>
      </c>
      <c r="N3417" t="s">
        <v>11417</v>
      </c>
      <c r="O3417" t="s">
        <v>11418</v>
      </c>
      <c r="P3417" s="2" t="s">
        <v>37</v>
      </c>
      <c r="Q3417" t="s">
        <v>1208</v>
      </c>
      <c r="R3417">
        <v>0.47</v>
      </c>
      <c r="S3417">
        <v>39.869999999999997</v>
      </c>
      <c r="T3417" t="s">
        <v>11419</v>
      </c>
    </row>
    <row r="3418" spans="1:20" x14ac:dyDescent="0.25">
      <c r="A3418" s="1" t="str">
        <f>HYPERLINK("https://vegkart.atlas.vegvesen.no/#/@211941.5,6855723.8,18/hva:hva%5B0%5D%5Bfilter%5D%5B0%5D%5Boperator%5D=%21%3D&amp;hva%5B0%5D%5Bfilter%5D%5B0%5D%5Btype_id%5D=8917&amp;hva%5B0%5D%5Bfilter%5D%5B0%5D%5Bverdi%5D=&amp;hva%5B0%5D%5Bid%5D=49/når:2023-03-23", "Vegkart")</f>
        <v>Vegkart</v>
      </c>
      <c r="B3418">
        <v>1017517709</v>
      </c>
      <c r="C3418">
        <v>49</v>
      </c>
      <c r="D3418" t="s">
        <v>8701</v>
      </c>
      <c r="E3418">
        <v>8917</v>
      </c>
      <c r="F3418" t="s">
        <v>23479</v>
      </c>
      <c r="G3418">
        <v>1</v>
      </c>
      <c r="H3418" t="s">
        <v>1180</v>
      </c>
      <c r="J3418" t="s">
        <v>11355</v>
      </c>
      <c r="K3418" t="s">
        <v>136</v>
      </c>
      <c r="L3418" t="s">
        <v>22</v>
      </c>
      <c r="M3418" t="s">
        <v>11420</v>
      </c>
      <c r="N3418" t="s">
        <v>11421</v>
      </c>
      <c r="O3418" t="s">
        <v>11422</v>
      </c>
      <c r="P3418" s="2" t="s">
        <v>37</v>
      </c>
      <c r="Q3418" t="s">
        <v>1208</v>
      </c>
      <c r="R3418">
        <v>0.36</v>
      </c>
      <c r="S3418">
        <v>21.17</v>
      </c>
      <c r="T3418" t="s">
        <v>11423</v>
      </c>
    </row>
    <row r="3419" spans="1:20" x14ac:dyDescent="0.25">
      <c r="A3419" s="1" t="str">
        <f>HYPERLINK("https://vegkart.atlas.vegvesen.no/#/@-50331.5,6610748.2,18/hva:hva%5B0%5D%5Bfilter%5D%5B0%5D%5Boperator%5D=%21%3D&amp;hva%5B0%5D%5Bfilter%5D%5B0%5D%5Btype_id%5D=8917&amp;hva%5B0%5D%5Bfilter%5D%5B0%5D%5Bverdi%5D=&amp;hva%5B0%5D%5Bid%5D=49/når:2023-05-04", "Vegkart")</f>
        <v>Vegkart</v>
      </c>
      <c r="B3419">
        <v>1017630774</v>
      </c>
      <c r="C3419">
        <v>49</v>
      </c>
      <c r="D3419" t="s">
        <v>8701</v>
      </c>
      <c r="E3419">
        <v>8917</v>
      </c>
      <c r="F3419" t="s">
        <v>23479</v>
      </c>
      <c r="G3419">
        <v>1</v>
      </c>
      <c r="H3419" t="s">
        <v>11424</v>
      </c>
      <c r="J3419" t="s">
        <v>11355</v>
      </c>
      <c r="K3419" t="s">
        <v>170</v>
      </c>
      <c r="L3419" t="s">
        <v>33</v>
      </c>
      <c r="M3419" t="s">
        <v>11425</v>
      </c>
      <c r="N3419" t="s">
        <v>11426</v>
      </c>
      <c r="O3419" t="s">
        <v>11427</v>
      </c>
      <c r="P3419" s="2" t="s">
        <v>37</v>
      </c>
      <c r="Q3419" t="s">
        <v>1208</v>
      </c>
      <c r="R3419">
        <v>0</v>
      </c>
      <c r="S3419">
        <v>21.59</v>
      </c>
      <c r="T3419" t="s">
        <v>11428</v>
      </c>
    </row>
    <row r="3420" spans="1:20" x14ac:dyDescent="0.25">
      <c r="A3420" s="1" t="str">
        <f>HYPERLINK("https://vegkart.atlas.vegvesen.no/#/@280406.6,6756192.0,18/hva:hva%5B0%5D%5Bfilter%5D%5B0%5D%5Boperator%5D=%21%3D&amp;hva%5B0%5D%5Bfilter%5D%5B0%5D%5Btype_id%5D=8917&amp;hva%5B0%5D%5Bfilter%5D%5B0%5D%5Bverdi%5D=&amp;hva%5B0%5D%5Bid%5D=49/når:2023-05-31", "Vegkart")</f>
        <v>Vegkart</v>
      </c>
      <c r="B3420">
        <v>1017693134</v>
      </c>
      <c r="C3420">
        <v>49</v>
      </c>
      <c r="D3420" t="s">
        <v>8701</v>
      </c>
      <c r="E3420">
        <v>8917</v>
      </c>
      <c r="F3420" t="s">
        <v>23479</v>
      </c>
      <c r="G3420">
        <v>1</v>
      </c>
      <c r="H3420" t="s">
        <v>4298</v>
      </c>
      <c r="J3420" t="s">
        <v>11355</v>
      </c>
      <c r="K3420" t="s">
        <v>136</v>
      </c>
      <c r="L3420" t="s">
        <v>370</v>
      </c>
      <c r="M3420" t="s">
        <v>11429</v>
      </c>
      <c r="N3420" t="s">
        <v>11430</v>
      </c>
      <c r="O3420" t="s">
        <v>11431</v>
      </c>
      <c r="P3420" s="2" t="s">
        <v>37</v>
      </c>
      <c r="Q3420" t="s">
        <v>1208</v>
      </c>
      <c r="R3420">
        <v>0</v>
      </c>
      <c r="S3420">
        <v>14.62</v>
      </c>
      <c r="T3420" t="s">
        <v>11432</v>
      </c>
    </row>
    <row r="3421" spans="1:20" x14ac:dyDescent="0.25">
      <c r="A3421" s="1" t="str">
        <f>HYPERLINK("https://vegkart.atlas.vegvesen.no/#/@280418.7,6756146.7,18/hva:hva%5B0%5D%5Bfilter%5D%5B0%5D%5Boperator%5D=%21%3D&amp;hva%5B0%5D%5Bfilter%5D%5B0%5D%5Btype_id%5D=8917&amp;hva%5B0%5D%5Bfilter%5D%5B0%5D%5Bverdi%5D=&amp;hva%5B0%5D%5Bid%5D=49/når:2023-05-31", "Vegkart")</f>
        <v>Vegkart</v>
      </c>
      <c r="B3421">
        <v>1017693135</v>
      </c>
      <c r="C3421">
        <v>49</v>
      </c>
      <c r="D3421" t="s">
        <v>8701</v>
      </c>
      <c r="E3421">
        <v>8917</v>
      </c>
      <c r="F3421" t="s">
        <v>23479</v>
      </c>
      <c r="G3421">
        <v>1</v>
      </c>
      <c r="H3421" t="s">
        <v>4298</v>
      </c>
      <c r="J3421" t="s">
        <v>11355</v>
      </c>
      <c r="K3421" t="s">
        <v>136</v>
      </c>
      <c r="L3421" t="s">
        <v>33</v>
      </c>
      <c r="M3421" t="s">
        <v>7977</v>
      </c>
      <c r="N3421" t="s">
        <v>11433</v>
      </c>
      <c r="O3421" t="s">
        <v>11434</v>
      </c>
      <c r="P3421" s="2" t="s">
        <v>165</v>
      </c>
      <c r="Q3421" t="s">
        <v>166</v>
      </c>
      <c r="R3421">
        <v>0</v>
      </c>
      <c r="S3421">
        <v>19.149999999999999</v>
      </c>
      <c r="T3421" t="s">
        <v>167</v>
      </c>
    </row>
    <row r="3422" spans="1:20" x14ac:dyDescent="0.25">
      <c r="A3422" s="1" t="str">
        <f>HYPERLINK("https://vegkart.atlas.vegvesen.no/#/@280427.8,6756179.0,18/hva:hva%5B0%5D%5Bfilter%5D%5B0%5D%5Boperator%5D=%21%3D&amp;hva%5B0%5D%5Bfilter%5D%5B0%5D%5Btype_id%5D=8917&amp;hva%5B0%5D%5Bfilter%5D%5B0%5D%5Bverdi%5D=&amp;hva%5B0%5D%5Bid%5D=49/når:2023-05-31", "Vegkart")</f>
        <v>Vegkart</v>
      </c>
      <c r="B3422">
        <v>1017693136</v>
      </c>
      <c r="C3422">
        <v>49</v>
      </c>
      <c r="D3422" t="s">
        <v>8701</v>
      </c>
      <c r="E3422">
        <v>8917</v>
      </c>
      <c r="F3422" t="s">
        <v>23479</v>
      </c>
      <c r="G3422">
        <v>1</v>
      </c>
      <c r="H3422" t="s">
        <v>4298</v>
      </c>
      <c r="J3422" t="s">
        <v>11435</v>
      </c>
      <c r="K3422" t="s">
        <v>136</v>
      </c>
      <c r="L3422" t="s">
        <v>33</v>
      </c>
      <c r="M3422" t="s">
        <v>11436</v>
      </c>
      <c r="N3422" t="s">
        <v>11437</v>
      </c>
      <c r="O3422" t="s">
        <v>11438</v>
      </c>
      <c r="P3422" s="2" t="s">
        <v>165</v>
      </c>
      <c r="Q3422" t="s">
        <v>166</v>
      </c>
      <c r="R3422">
        <v>0</v>
      </c>
      <c r="S3422">
        <v>13.28</v>
      </c>
      <c r="T3422" t="s">
        <v>167</v>
      </c>
    </row>
    <row r="3423" spans="1:20" x14ac:dyDescent="0.25">
      <c r="A3423" s="1" t="str">
        <f>HYPERLINK("https://vegkart.atlas.vegvesen.no/#/@280380.8,6756188.7,18/hva:hva%5B0%5D%5Bfilter%5D%5B0%5D%5Boperator%5D=%21%3D&amp;hva%5B0%5D%5Bfilter%5D%5B0%5D%5Btype_id%5D=8917&amp;hva%5B0%5D%5Bfilter%5D%5B0%5D%5Bverdi%5D=&amp;hva%5B0%5D%5Bid%5D=49/når:2023-05-31", "Vegkart")</f>
        <v>Vegkart</v>
      </c>
      <c r="B3423">
        <v>1017693137</v>
      </c>
      <c r="C3423">
        <v>49</v>
      </c>
      <c r="D3423" t="s">
        <v>8701</v>
      </c>
      <c r="E3423">
        <v>8917</v>
      </c>
      <c r="F3423" t="s">
        <v>23479</v>
      </c>
      <c r="G3423">
        <v>1</v>
      </c>
      <c r="H3423" t="s">
        <v>4298</v>
      </c>
      <c r="J3423" t="s">
        <v>11355</v>
      </c>
      <c r="K3423" t="s">
        <v>136</v>
      </c>
      <c r="L3423" t="s">
        <v>33</v>
      </c>
      <c r="M3423" t="s">
        <v>7977</v>
      </c>
      <c r="N3423" t="s">
        <v>11439</v>
      </c>
      <c r="O3423" t="s">
        <v>11440</v>
      </c>
      <c r="P3423" s="2" t="s">
        <v>165</v>
      </c>
      <c r="Q3423" t="s">
        <v>166</v>
      </c>
      <c r="R3423">
        <v>0</v>
      </c>
      <c r="S3423">
        <v>14.67</v>
      </c>
      <c r="T3423" t="s">
        <v>167</v>
      </c>
    </row>
    <row r="3424" spans="1:20" x14ac:dyDescent="0.25">
      <c r="A3424" s="1" t="str">
        <f>HYPERLINK("https://vegkart.atlas.vegvesen.no/#/@279139.2,6756275.6,18/hva:hva%5B0%5D%5Bfilter%5D%5B0%5D%5Boperator%5D=%21%3D&amp;hva%5B0%5D%5Bfilter%5D%5B0%5D%5Btype_id%5D=8917&amp;hva%5B0%5D%5Bfilter%5D%5B0%5D%5Bverdi%5D=&amp;hva%5B0%5D%5Bid%5D=49/når:2023-05-31", "Vegkart")</f>
        <v>Vegkart</v>
      </c>
      <c r="B3424">
        <v>1017693139</v>
      </c>
      <c r="C3424">
        <v>49</v>
      </c>
      <c r="D3424" t="s">
        <v>8701</v>
      </c>
      <c r="E3424">
        <v>8917</v>
      </c>
      <c r="F3424" t="s">
        <v>23479</v>
      </c>
      <c r="G3424">
        <v>1</v>
      </c>
      <c r="H3424" t="s">
        <v>4298</v>
      </c>
      <c r="J3424" t="s">
        <v>11441</v>
      </c>
      <c r="K3424" t="s">
        <v>136</v>
      </c>
      <c r="L3424" t="s">
        <v>33</v>
      </c>
      <c r="M3424" t="s">
        <v>2300</v>
      </c>
      <c r="N3424" t="s">
        <v>11442</v>
      </c>
      <c r="O3424" t="s">
        <v>11443</v>
      </c>
      <c r="P3424" s="2" t="s">
        <v>37</v>
      </c>
      <c r="Q3424" t="s">
        <v>1208</v>
      </c>
      <c r="R3424">
        <v>0</v>
      </c>
      <c r="S3424">
        <v>25.92</v>
      </c>
      <c r="T3424" t="s">
        <v>11444</v>
      </c>
    </row>
    <row r="3425" spans="1:20" x14ac:dyDescent="0.25">
      <c r="A3425" s="1" t="str">
        <f>HYPERLINK("https://vegkart.atlas.vegvesen.no/#/@280373.7,6756196.6,18/hva:hva%5B0%5D%5Bfilter%5D%5B0%5D%5Boperator%5D=%21%3D&amp;hva%5B0%5D%5Bfilter%5D%5B0%5D%5Btype_id%5D=8917&amp;hva%5B0%5D%5Bfilter%5D%5B0%5D%5Bverdi%5D=&amp;hva%5B0%5D%5Bid%5D=49/når:2023-05-31", "Vegkart")</f>
        <v>Vegkart</v>
      </c>
      <c r="B3425">
        <v>1017693140</v>
      </c>
      <c r="C3425">
        <v>49</v>
      </c>
      <c r="D3425" t="s">
        <v>8701</v>
      </c>
      <c r="E3425">
        <v>8917</v>
      </c>
      <c r="F3425" t="s">
        <v>23479</v>
      </c>
      <c r="G3425">
        <v>1</v>
      </c>
      <c r="H3425" t="s">
        <v>4298</v>
      </c>
      <c r="J3425" t="s">
        <v>11355</v>
      </c>
      <c r="K3425" t="s">
        <v>136</v>
      </c>
      <c r="L3425" t="s">
        <v>33</v>
      </c>
      <c r="M3425" t="s">
        <v>7977</v>
      </c>
      <c r="N3425" t="s">
        <v>11445</v>
      </c>
      <c r="O3425" t="s">
        <v>11446</v>
      </c>
      <c r="P3425" s="2" t="s">
        <v>165</v>
      </c>
      <c r="Q3425" t="s">
        <v>166</v>
      </c>
      <c r="R3425">
        <v>0</v>
      </c>
      <c r="S3425">
        <v>16.899999999999999</v>
      </c>
      <c r="T3425" t="s">
        <v>167</v>
      </c>
    </row>
    <row r="3426" spans="1:20" x14ac:dyDescent="0.25">
      <c r="A3426" s="1" t="str">
        <f>HYPERLINK("https://vegkart.atlas.vegvesen.no/#/@280364.3,6756160.7,18/hva:hva%5B0%5D%5Bfilter%5D%5B0%5D%5Boperator%5D=%21%3D&amp;hva%5B0%5D%5Bfilter%5D%5B0%5D%5Btype_id%5D=8917&amp;hva%5B0%5D%5Bfilter%5D%5B0%5D%5Bverdi%5D=&amp;hva%5B0%5D%5Bid%5D=49/når:2023-05-31", "Vegkart")</f>
        <v>Vegkart</v>
      </c>
      <c r="B3426">
        <v>1017693141</v>
      </c>
      <c r="C3426">
        <v>49</v>
      </c>
      <c r="D3426" t="s">
        <v>8701</v>
      </c>
      <c r="E3426">
        <v>8917</v>
      </c>
      <c r="F3426" t="s">
        <v>23479</v>
      </c>
      <c r="G3426">
        <v>1</v>
      </c>
      <c r="H3426" t="s">
        <v>4298</v>
      </c>
      <c r="J3426" t="s">
        <v>11355</v>
      </c>
      <c r="K3426" t="s">
        <v>136</v>
      </c>
      <c r="L3426" t="s">
        <v>22</v>
      </c>
      <c r="M3426" t="s">
        <v>7531</v>
      </c>
      <c r="N3426" t="s">
        <v>11447</v>
      </c>
      <c r="O3426" t="s">
        <v>11448</v>
      </c>
      <c r="P3426" s="2" t="s">
        <v>37</v>
      </c>
      <c r="Q3426" t="s">
        <v>1208</v>
      </c>
      <c r="R3426">
        <v>0</v>
      </c>
      <c r="S3426">
        <v>18.21</v>
      </c>
      <c r="T3426" t="s">
        <v>11449</v>
      </c>
    </row>
    <row r="3427" spans="1:20" x14ac:dyDescent="0.25">
      <c r="A3427" s="1" t="str">
        <f>HYPERLINK("https://vegkart.atlas.vegvesen.no/#/@280410.3,6756199.2,18/hva:hva%5B0%5D%5Bfilter%5D%5B0%5D%5Boperator%5D=%21%3D&amp;hva%5B0%5D%5Bfilter%5D%5B0%5D%5Btype_id%5D=8917&amp;hva%5B0%5D%5Bfilter%5D%5B0%5D%5Bverdi%5D=&amp;hva%5B0%5D%5Bid%5D=49/når:2023-05-31", "Vegkart")</f>
        <v>Vegkart</v>
      </c>
      <c r="B3427">
        <v>1017693142</v>
      </c>
      <c r="C3427">
        <v>49</v>
      </c>
      <c r="D3427" t="s">
        <v>8701</v>
      </c>
      <c r="E3427">
        <v>8917</v>
      </c>
      <c r="F3427" t="s">
        <v>23479</v>
      </c>
      <c r="G3427">
        <v>1</v>
      </c>
      <c r="H3427" t="s">
        <v>4298</v>
      </c>
      <c r="J3427" t="s">
        <v>11355</v>
      </c>
      <c r="K3427" t="s">
        <v>136</v>
      </c>
      <c r="L3427" t="s">
        <v>370</v>
      </c>
      <c r="M3427" t="s">
        <v>11429</v>
      </c>
      <c r="N3427" t="s">
        <v>11450</v>
      </c>
      <c r="O3427" t="s">
        <v>11451</v>
      </c>
      <c r="P3427" s="2" t="s">
        <v>37</v>
      </c>
      <c r="Q3427" t="s">
        <v>1208</v>
      </c>
      <c r="R3427">
        <v>0</v>
      </c>
      <c r="S3427">
        <v>6.83</v>
      </c>
      <c r="T3427" t="s">
        <v>11452</v>
      </c>
    </row>
    <row r="3428" spans="1:20" x14ac:dyDescent="0.25">
      <c r="A3428" s="1" t="str">
        <f>HYPERLINK("https://vegkart.atlas.vegvesen.no/#/@280411.3,6756155.0,18/hva:hva%5B0%5D%5Bfilter%5D%5B0%5D%5Boperator%5D=%21%3D&amp;hva%5B0%5D%5Bfilter%5D%5B0%5D%5Btype_id%5D=8917&amp;hva%5B0%5D%5Bfilter%5D%5B0%5D%5Bverdi%5D=&amp;hva%5B0%5D%5Bid%5D=49/når:2023-05-31", "Vegkart")</f>
        <v>Vegkart</v>
      </c>
      <c r="B3428">
        <v>1017693145</v>
      </c>
      <c r="C3428">
        <v>49</v>
      </c>
      <c r="D3428" t="s">
        <v>8701</v>
      </c>
      <c r="E3428">
        <v>8917</v>
      </c>
      <c r="F3428" t="s">
        <v>23479</v>
      </c>
      <c r="G3428">
        <v>1</v>
      </c>
      <c r="H3428" t="s">
        <v>4298</v>
      </c>
      <c r="J3428" t="s">
        <v>11453</v>
      </c>
      <c r="K3428" t="s">
        <v>136</v>
      </c>
      <c r="L3428" t="s">
        <v>33</v>
      </c>
      <c r="M3428" t="s">
        <v>7977</v>
      </c>
      <c r="N3428" t="s">
        <v>11454</v>
      </c>
      <c r="O3428" t="s">
        <v>11455</v>
      </c>
      <c r="P3428" s="2" t="s">
        <v>165</v>
      </c>
      <c r="Q3428" t="s">
        <v>166</v>
      </c>
      <c r="R3428">
        <v>0</v>
      </c>
      <c r="S3428">
        <v>14.96</v>
      </c>
      <c r="T3428" t="s">
        <v>167</v>
      </c>
    </row>
    <row r="3429" spans="1:20" x14ac:dyDescent="0.25">
      <c r="A3429" s="1" t="str">
        <f>HYPERLINK("https://vegkart.atlas.vegvesen.no/#/@280417.9,6756178.0,18/hva:hva%5B0%5D%5Bfilter%5D%5B0%5D%5Boperator%5D=%21%3D&amp;hva%5B0%5D%5Bfilter%5D%5B0%5D%5Btype_id%5D=8917&amp;hva%5B0%5D%5Bfilter%5D%5B0%5D%5Bverdi%5D=&amp;hva%5B0%5D%5Bid%5D=49/når:2023-05-31", "Vegkart")</f>
        <v>Vegkart</v>
      </c>
      <c r="B3429">
        <v>1017693146</v>
      </c>
      <c r="C3429">
        <v>49</v>
      </c>
      <c r="D3429" t="s">
        <v>8701</v>
      </c>
      <c r="E3429">
        <v>8917</v>
      </c>
      <c r="F3429" t="s">
        <v>23479</v>
      </c>
      <c r="G3429">
        <v>1</v>
      </c>
      <c r="H3429" t="s">
        <v>4298</v>
      </c>
      <c r="J3429" t="s">
        <v>11456</v>
      </c>
      <c r="K3429" t="s">
        <v>136</v>
      </c>
      <c r="L3429" t="s">
        <v>33</v>
      </c>
      <c r="M3429" t="s">
        <v>11436</v>
      </c>
      <c r="N3429" t="s">
        <v>11457</v>
      </c>
      <c r="O3429" t="s">
        <v>11458</v>
      </c>
      <c r="P3429" s="2" t="s">
        <v>165</v>
      </c>
      <c r="Q3429" t="s">
        <v>166</v>
      </c>
      <c r="R3429">
        <v>0</v>
      </c>
      <c r="S3429">
        <v>15.92</v>
      </c>
      <c r="T3429" t="s">
        <v>167</v>
      </c>
    </row>
    <row r="3430" spans="1:20" x14ac:dyDescent="0.25">
      <c r="A3430" s="1" t="str">
        <f>HYPERLINK("https://vegkart.atlas.vegvesen.no/#/@280396.0,6756171.8,18/hva:hva%5B0%5D%5Bfilter%5D%5B0%5D%5Boperator%5D=%21%3D&amp;hva%5B0%5D%5Bfilter%5D%5B0%5D%5Btype_id%5D=8917&amp;hva%5B0%5D%5Bfilter%5D%5B0%5D%5Bverdi%5D=&amp;hva%5B0%5D%5Bid%5D=49/når:2023-05-31", "Vegkart")</f>
        <v>Vegkart</v>
      </c>
      <c r="B3430">
        <v>1017693147</v>
      </c>
      <c r="C3430">
        <v>49</v>
      </c>
      <c r="D3430" t="s">
        <v>8701</v>
      </c>
      <c r="E3430">
        <v>8917</v>
      </c>
      <c r="F3430" t="s">
        <v>23479</v>
      </c>
      <c r="G3430">
        <v>1</v>
      </c>
      <c r="H3430" t="s">
        <v>4298</v>
      </c>
      <c r="J3430" t="s">
        <v>11355</v>
      </c>
      <c r="K3430" t="s">
        <v>136</v>
      </c>
      <c r="L3430" t="s">
        <v>33</v>
      </c>
      <c r="M3430" t="s">
        <v>7977</v>
      </c>
      <c r="N3430" t="s">
        <v>11459</v>
      </c>
      <c r="O3430" t="s">
        <v>11460</v>
      </c>
      <c r="P3430" s="2" t="s">
        <v>165</v>
      </c>
      <c r="Q3430" t="s">
        <v>166</v>
      </c>
      <c r="R3430">
        <v>0</v>
      </c>
      <c r="S3430">
        <v>84.71</v>
      </c>
      <c r="T3430" t="s">
        <v>167</v>
      </c>
    </row>
    <row r="3431" spans="1:20" x14ac:dyDescent="0.25">
      <c r="A3431" s="1" t="str">
        <f>HYPERLINK("https://vegkart.atlas.vegvesen.no/#/@382954.5,7312789.5,18/hva:hva%5B0%5D%5Bfilter%5D%5B0%5D%5Boperator%5D=%21%3D&amp;hva%5B0%5D%5Bfilter%5D%5B0%5D%5Btype_id%5D=8917&amp;hva%5B0%5D%5Bfilter%5D%5B0%5D%5Bverdi%5D=&amp;hva%5B0%5D%5Bid%5D=49/når:2023-06-05", "Vegkart")</f>
        <v>Vegkart</v>
      </c>
      <c r="B3431">
        <v>1017717236</v>
      </c>
      <c r="C3431">
        <v>49</v>
      </c>
      <c r="D3431" t="s">
        <v>8701</v>
      </c>
      <c r="E3431">
        <v>8917</v>
      </c>
      <c r="F3431" t="s">
        <v>23479</v>
      </c>
      <c r="G3431">
        <v>1</v>
      </c>
      <c r="H3431" t="s">
        <v>11461</v>
      </c>
      <c r="J3431" t="s">
        <v>11355</v>
      </c>
      <c r="K3431" t="s">
        <v>53</v>
      </c>
      <c r="L3431" t="s">
        <v>22</v>
      </c>
      <c r="M3431" t="s">
        <v>11462</v>
      </c>
      <c r="N3431" t="s">
        <v>11463</v>
      </c>
      <c r="O3431" t="s">
        <v>11464</v>
      </c>
      <c r="P3431" s="2" t="s">
        <v>37</v>
      </c>
      <c r="Q3431" t="s">
        <v>1208</v>
      </c>
      <c r="R3431">
        <v>0.42</v>
      </c>
      <c r="S3431">
        <v>26.48</v>
      </c>
      <c r="T3431" t="s">
        <v>11465</v>
      </c>
    </row>
    <row r="3432" spans="1:20" x14ac:dyDescent="0.25">
      <c r="A3432" s="1" t="str">
        <f>HYPERLINK("https://vegkart.atlas.vegvesen.no/#/@-44292.2,6598922.3,18/hva:hva%5B0%5D%5Bfilter%5D%5B0%5D%5Boperator%5D=%21%3D&amp;hva%5B0%5D%5Bfilter%5D%5B0%5D%5Btype_id%5D=8917&amp;hva%5B0%5D%5Bfilter%5D%5B0%5D%5Bverdi%5D=&amp;hva%5B0%5D%5Bid%5D=49/når:2023-06-09", "Vegkart")</f>
        <v>Vegkart</v>
      </c>
      <c r="B3432">
        <v>1017727834</v>
      </c>
      <c r="C3432">
        <v>49</v>
      </c>
      <c r="D3432" t="s">
        <v>8701</v>
      </c>
      <c r="E3432">
        <v>8917</v>
      </c>
      <c r="F3432" t="s">
        <v>23479</v>
      </c>
      <c r="G3432">
        <v>1</v>
      </c>
      <c r="H3432" t="s">
        <v>11466</v>
      </c>
      <c r="J3432" t="s">
        <v>11355</v>
      </c>
      <c r="K3432" t="s">
        <v>170</v>
      </c>
      <c r="L3432" t="s">
        <v>80</v>
      </c>
      <c r="M3432" t="s">
        <v>81</v>
      </c>
      <c r="N3432" t="s">
        <v>11467</v>
      </c>
      <c r="O3432" t="s">
        <v>11468</v>
      </c>
      <c r="P3432" s="2" t="s">
        <v>37</v>
      </c>
      <c r="Q3432" t="s">
        <v>1208</v>
      </c>
      <c r="R3432">
        <v>0</v>
      </c>
      <c r="S3432">
        <v>27.38</v>
      </c>
      <c r="T3432" t="s">
        <v>11469</v>
      </c>
    </row>
    <row r="3433" spans="1:20" x14ac:dyDescent="0.25">
      <c r="A3433" s="1" t="str">
        <f>HYPERLINK("https://vegkart.atlas.vegvesen.no/#/@394473.5,7324261.6,18/hva:hva%5B0%5D%5Bfilter%5D%5B0%5D%5Boperator%5D=%21%3D&amp;hva%5B0%5D%5Bfilter%5D%5B0%5D%5Btype_id%5D=8917&amp;hva%5B0%5D%5Bfilter%5D%5B0%5D%5Bverdi%5D=&amp;hva%5B0%5D%5Bid%5D=49/når:2023-06-09", "Vegkart")</f>
        <v>Vegkart</v>
      </c>
      <c r="B3433">
        <v>1017728368</v>
      </c>
      <c r="C3433">
        <v>49</v>
      </c>
      <c r="D3433" t="s">
        <v>8701</v>
      </c>
      <c r="E3433">
        <v>8917</v>
      </c>
      <c r="F3433" t="s">
        <v>23479</v>
      </c>
      <c r="G3433">
        <v>1</v>
      </c>
      <c r="H3433" t="s">
        <v>11466</v>
      </c>
      <c r="J3433" t="s">
        <v>11355</v>
      </c>
      <c r="K3433" t="s">
        <v>53</v>
      </c>
      <c r="L3433" t="s">
        <v>22</v>
      </c>
      <c r="M3433" t="s">
        <v>11266</v>
      </c>
      <c r="N3433" t="s">
        <v>11470</v>
      </c>
      <c r="O3433" t="s">
        <v>11471</v>
      </c>
      <c r="P3433" s="2" t="s">
        <v>37</v>
      </c>
      <c r="Q3433" t="s">
        <v>1208</v>
      </c>
      <c r="R3433">
        <v>0.17</v>
      </c>
      <c r="S3433">
        <v>25.33</v>
      </c>
      <c r="T3433" t="s">
        <v>11472</v>
      </c>
    </row>
    <row r="3434" spans="1:20" x14ac:dyDescent="0.25">
      <c r="A3434" s="1" t="str">
        <f>HYPERLINK("https://vegkart.atlas.vegvesen.no/#/@392066.3,7323375.5,18/hva:hva%5B0%5D%5Bfilter%5D%5B0%5D%5Boperator%5D=%21%3D&amp;hva%5B0%5D%5Bfilter%5D%5B0%5D%5Btype_id%5D=8917&amp;hva%5B0%5D%5Bfilter%5D%5B0%5D%5Bverdi%5D=&amp;hva%5B0%5D%5Bid%5D=49/når:2023-06-12", "Vegkart")</f>
        <v>Vegkart</v>
      </c>
      <c r="B3434">
        <v>1017730251</v>
      </c>
      <c r="C3434">
        <v>49</v>
      </c>
      <c r="D3434" t="s">
        <v>8701</v>
      </c>
      <c r="E3434">
        <v>8917</v>
      </c>
      <c r="F3434" t="s">
        <v>23479</v>
      </c>
      <c r="G3434">
        <v>1</v>
      </c>
      <c r="H3434" t="s">
        <v>11473</v>
      </c>
      <c r="J3434" t="s">
        <v>11355</v>
      </c>
      <c r="K3434" t="s">
        <v>53</v>
      </c>
      <c r="L3434" t="s">
        <v>22</v>
      </c>
      <c r="M3434" t="s">
        <v>11474</v>
      </c>
      <c r="N3434" t="s">
        <v>11475</v>
      </c>
      <c r="O3434" t="s">
        <v>11476</v>
      </c>
      <c r="P3434" s="2" t="s">
        <v>37</v>
      </c>
      <c r="Q3434" t="s">
        <v>1208</v>
      </c>
      <c r="R3434">
        <v>0.32</v>
      </c>
      <c r="S3434">
        <v>27.16</v>
      </c>
      <c r="T3434" t="s">
        <v>11477</v>
      </c>
    </row>
    <row r="3435" spans="1:20" x14ac:dyDescent="0.25">
      <c r="A3435" s="1" t="str">
        <f>HYPERLINK("https://vegkart.atlas.vegvesen.no/#/@391369.4,7322678.7,18/hva:hva%5B0%5D%5Bfilter%5D%5B0%5D%5Boperator%5D=%21%3D&amp;hva%5B0%5D%5Bfilter%5D%5B0%5D%5Btype_id%5D=8917&amp;hva%5B0%5D%5Bfilter%5D%5B0%5D%5Bverdi%5D=&amp;hva%5B0%5D%5Bid%5D=49/når:2023-06-13", "Vegkart")</f>
        <v>Vegkart</v>
      </c>
      <c r="B3435">
        <v>1017732769</v>
      </c>
      <c r="C3435">
        <v>49</v>
      </c>
      <c r="D3435" t="s">
        <v>8701</v>
      </c>
      <c r="E3435">
        <v>8917</v>
      </c>
      <c r="F3435" t="s">
        <v>23479</v>
      </c>
      <c r="G3435">
        <v>1</v>
      </c>
      <c r="H3435" t="s">
        <v>11478</v>
      </c>
      <c r="J3435" t="s">
        <v>11355</v>
      </c>
      <c r="K3435" t="s">
        <v>53</v>
      </c>
      <c r="L3435" t="s">
        <v>22</v>
      </c>
      <c r="M3435" t="s">
        <v>11479</v>
      </c>
      <c r="N3435" t="s">
        <v>11480</v>
      </c>
      <c r="O3435" t="s">
        <v>11481</v>
      </c>
      <c r="P3435" s="2" t="s">
        <v>37</v>
      </c>
      <c r="Q3435" t="s">
        <v>1208</v>
      </c>
      <c r="R3435">
        <v>0.22</v>
      </c>
      <c r="S3435">
        <v>25.66</v>
      </c>
      <c r="T3435" t="s">
        <v>11482</v>
      </c>
    </row>
    <row r="3436" spans="1:20" x14ac:dyDescent="0.25">
      <c r="A3436" s="1" t="str">
        <f>HYPERLINK("https://vegkart.atlas.vegvesen.no/#/@391272.6,7323587.1,18/hva:hva%5B0%5D%5Bfilter%5D%5B0%5D%5Boperator%5D=%21%3D&amp;hva%5B0%5D%5Bfilter%5D%5B0%5D%5Btype_id%5D=8917&amp;hva%5B0%5D%5Bfilter%5D%5B0%5D%5Bverdi%5D=&amp;hva%5B0%5D%5Bid%5D=49/når:2023-06-13", "Vegkart")</f>
        <v>Vegkart</v>
      </c>
      <c r="B3436">
        <v>1017733846</v>
      </c>
      <c r="C3436">
        <v>49</v>
      </c>
      <c r="D3436" t="s">
        <v>8701</v>
      </c>
      <c r="E3436">
        <v>8917</v>
      </c>
      <c r="F3436" t="s">
        <v>23479</v>
      </c>
      <c r="G3436">
        <v>1</v>
      </c>
      <c r="H3436" t="s">
        <v>11478</v>
      </c>
      <c r="J3436" t="s">
        <v>11355</v>
      </c>
      <c r="K3436" t="s">
        <v>53</v>
      </c>
      <c r="L3436" t="s">
        <v>22</v>
      </c>
      <c r="M3436" t="s">
        <v>11483</v>
      </c>
      <c r="N3436" t="s">
        <v>11484</v>
      </c>
      <c r="O3436" t="s">
        <v>11485</v>
      </c>
      <c r="P3436" s="2" t="s">
        <v>37</v>
      </c>
      <c r="Q3436" t="s">
        <v>1208</v>
      </c>
      <c r="R3436">
        <v>0.54</v>
      </c>
      <c r="S3436">
        <v>24.84</v>
      </c>
      <c r="T3436" t="s">
        <v>11486</v>
      </c>
    </row>
    <row r="3437" spans="1:20" x14ac:dyDescent="0.25">
      <c r="A3437" s="1" t="str">
        <f>HYPERLINK("https://vegkart.atlas.vegvesen.no/#/@392980.4,7324499.1,18/hva:hva%5B0%5D%5Bfilter%5D%5B0%5D%5Boperator%5D=%21%3D&amp;hva%5B0%5D%5Bfilter%5D%5B0%5D%5Btype_id%5D=8917&amp;hva%5B0%5D%5Bfilter%5D%5B0%5D%5Bverdi%5D=&amp;hva%5B0%5D%5Bid%5D=49/når:2023-06-14", "Vegkart")</f>
        <v>Vegkart</v>
      </c>
      <c r="B3437">
        <v>1017736547</v>
      </c>
      <c r="C3437">
        <v>49</v>
      </c>
      <c r="D3437" t="s">
        <v>8701</v>
      </c>
      <c r="E3437">
        <v>8917</v>
      </c>
      <c r="F3437" t="s">
        <v>23479</v>
      </c>
      <c r="G3437">
        <v>1</v>
      </c>
      <c r="H3437" t="s">
        <v>11487</v>
      </c>
      <c r="J3437" t="s">
        <v>11355</v>
      </c>
      <c r="K3437" t="s">
        <v>53</v>
      </c>
      <c r="L3437" t="s">
        <v>22</v>
      </c>
      <c r="M3437" t="s">
        <v>11488</v>
      </c>
      <c r="N3437" t="s">
        <v>11489</v>
      </c>
      <c r="O3437" t="s">
        <v>11490</v>
      </c>
      <c r="P3437" s="2" t="s">
        <v>37</v>
      </c>
      <c r="Q3437" t="s">
        <v>1208</v>
      </c>
      <c r="R3437">
        <v>0.6</v>
      </c>
      <c r="S3437">
        <v>41.02</v>
      </c>
      <c r="T3437" t="s">
        <v>11491</v>
      </c>
    </row>
    <row r="3438" spans="1:20" x14ac:dyDescent="0.25">
      <c r="A3438" s="1" t="str">
        <f>HYPERLINK("https://vegkart.atlas.vegvesen.no/#/@392166.2,7323491.8,18/hva:hva%5B0%5D%5Bfilter%5D%5B0%5D%5Boperator%5D=%21%3D&amp;hva%5B0%5D%5Bfilter%5D%5B0%5D%5Btype_id%5D=8917&amp;hva%5B0%5D%5Bfilter%5D%5B0%5D%5Bverdi%5D=&amp;hva%5B0%5D%5Bid%5D=49/når:2023-06-15", "Vegkart")</f>
        <v>Vegkart</v>
      </c>
      <c r="B3438">
        <v>1017738733</v>
      </c>
      <c r="C3438">
        <v>49</v>
      </c>
      <c r="D3438" t="s">
        <v>8701</v>
      </c>
      <c r="E3438">
        <v>8917</v>
      </c>
      <c r="F3438" t="s">
        <v>23479</v>
      </c>
      <c r="G3438">
        <v>1</v>
      </c>
      <c r="H3438" t="s">
        <v>11492</v>
      </c>
      <c r="J3438" t="s">
        <v>11355</v>
      </c>
      <c r="K3438" t="s">
        <v>53</v>
      </c>
      <c r="L3438" t="s">
        <v>22</v>
      </c>
      <c r="M3438" t="s">
        <v>11493</v>
      </c>
      <c r="N3438" t="s">
        <v>11494</v>
      </c>
      <c r="O3438" t="s">
        <v>11495</v>
      </c>
      <c r="P3438" s="2" t="s">
        <v>37</v>
      </c>
      <c r="Q3438" t="s">
        <v>1208</v>
      </c>
      <c r="R3438">
        <v>0.21</v>
      </c>
      <c r="S3438">
        <v>24.67</v>
      </c>
      <c r="T3438" t="s">
        <v>11496</v>
      </c>
    </row>
    <row r="3439" spans="1:20" x14ac:dyDescent="0.25">
      <c r="A3439" s="1" t="str">
        <f>HYPERLINK("https://vegkart.atlas.vegvesen.no/#/@226523.4,6569446.8,18/hva:hva%5B0%5D%5Bfilter%5D%5B0%5D%5Boperator%5D=%21%3D&amp;hva%5B0%5D%5Bfilter%5D%5B0%5D%5Btype_id%5D=8917&amp;hva%5B0%5D%5Bfilter%5D%5B0%5D%5Bverdi%5D=&amp;hva%5B0%5D%5Bid%5D=49/når:2023-07-24", "Vegkart")</f>
        <v>Vegkart</v>
      </c>
      <c r="B3439">
        <v>1017842098</v>
      </c>
      <c r="C3439">
        <v>49</v>
      </c>
      <c r="D3439" t="s">
        <v>8701</v>
      </c>
      <c r="E3439">
        <v>8917</v>
      </c>
      <c r="F3439" t="s">
        <v>23479</v>
      </c>
      <c r="G3439">
        <v>1</v>
      </c>
      <c r="H3439" t="s">
        <v>9446</v>
      </c>
      <c r="J3439" t="s">
        <v>11497</v>
      </c>
      <c r="K3439" t="s">
        <v>81</v>
      </c>
      <c r="L3439" t="s">
        <v>80</v>
      </c>
      <c r="M3439" t="s">
        <v>53</v>
      </c>
      <c r="N3439" t="s">
        <v>11498</v>
      </c>
      <c r="O3439" t="s">
        <v>11499</v>
      </c>
      <c r="P3439" s="2" t="s">
        <v>165</v>
      </c>
      <c r="Q3439" t="s">
        <v>166</v>
      </c>
      <c r="R3439">
        <v>5.85</v>
      </c>
      <c r="S3439">
        <v>30.17</v>
      </c>
      <c r="T3439" t="s">
        <v>167</v>
      </c>
    </row>
    <row r="3440" spans="1:20" x14ac:dyDescent="0.25">
      <c r="A3440" s="1" t="str">
        <f>HYPERLINK("https://vegkart.atlas.vegvesen.no/#/@285265.8,6665934.2,18/hva:hva%5B0%5D%5Bfilter%5D%5B0%5D%5Boperator%5D=%21%3D&amp;hva%5B0%5D%5Bfilter%5D%5B0%5D%5Btype_id%5D=8917&amp;hva%5B0%5D%5Bfilter%5D%5B0%5D%5Bverdi%5D=&amp;hva%5B0%5D%5Bid%5D=49/når:2023-08-08", "Vegkart")</f>
        <v>Vegkart</v>
      </c>
      <c r="B3440">
        <v>1017864933</v>
      </c>
      <c r="C3440">
        <v>49</v>
      </c>
      <c r="D3440" t="s">
        <v>8701</v>
      </c>
      <c r="E3440">
        <v>8917</v>
      </c>
      <c r="F3440" t="s">
        <v>23479</v>
      </c>
      <c r="G3440">
        <v>1</v>
      </c>
      <c r="H3440" t="s">
        <v>11500</v>
      </c>
      <c r="J3440" t="s">
        <v>11497</v>
      </c>
      <c r="K3440" t="s">
        <v>132</v>
      </c>
      <c r="L3440" t="s">
        <v>22</v>
      </c>
      <c r="M3440" t="s">
        <v>11501</v>
      </c>
      <c r="N3440" t="s">
        <v>11502</v>
      </c>
      <c r="O3440" t="s">
        <v>11503</v>
      </c>
      <c r="P3440" s="2" t="s">
        <v>37</v>
      </c>
      <c r="Q3440" t="s">
        <v>1208</v>
      </c>
      <c r="R3440">
        <v>0.17</v>
      </c>
      <c r="S3440">
        <v>25.44</v>
      </c>
      <c r="T3440" t="s">
        <v>11504</v>
      </c>
    </row>
    <row r="3441" spans="1:20" x14ac:dyDescent="0.25">
      <c r="A3441" s="1" t="str">
        <f>HYPERLINK("https://vegkart.atlas.vegvesen.no/#/@284967.2,6664864.9,18/hva:hva%5B0%5D%5Bfilter%5D%5B0%5D%5Boperator%5D=%21%3D&amp;hva%5B0%5D%5Bfilter%5D%5B0%5D%5Btype_id%5D=8917&amp;hva%5B0%5D%5Bfilter%5D%5B0%5D%5Bverdi%5D=&amp;hva%5B0%5D%5Bid%5D=49/når:2023-08-08", "Vegkart")</f>
        <v>Vegkart</v>
      </c>
      <c r="B3441">
        <v>1017865224</v>
      </c>
      <c r="C3441">
        <v>49</v>
      </c>
      <c r="D3441" t="s">
        <v>8701</v>
      </c>
      <c r="E3441">
        <v>8917</v>
      </c>
      <c r="F3441" t="s">
        <v>23479</v>
      </c>
      <c r="G3441">
        <v>1</v>
      </c>
      <c r="H3441" t="s">
        <v>11500</v>
      </c>
      <c r="J3441" t="s">
        <v>11497</v>
      </c>
      <c r="K3441" t="s">
        <v>132</v>
      </c>
      <c r="L3441" t="s">
        <v>22</v>
      </c>
      <c r="M3441" t="s">
        <v>11505</v>
      </c>
      <c r="N3441" t="s">
        <v>11506</v>
      </c>
      <c r="O3441" t="s">
        <v>11507</v>
      </c>
      <c r="P3441" s="2" t="s">
        <v>37</v>
      </c>
      <c r="Q3441" t="s">
        <v>1208</v>
      </c>
      <c r="R3441">
        <v>0.68</v>
      </c>
      <c r="S3441">
        <v>23.61</v>
      </c>
      <c r="T3441" t="s">
        <v>11508</v>
      </c>
    </row>
    <row r="3442" spans="1:20" x14ac:dyDescent="0.25">
      <c r="A3442" s="1" t="str">
        <f>HYPERLINK("https://vegkart.atlas.vegvesen.no/#/@284932.7,6665497.9,18/hva:hva%5B0%5D%5Bfilter%5D%5B0%5D%5Boperator%5D=%21%3D&amp;hva%5B0%5D%5Bfilter%5D%5B0%5D%5Btype_id%5D=8917&amp;hva%5B0%5D%5Bfilter%5D%5B0%5D%5Bverdi%5D=&amp;hva%5B0%5D%5Bid%5D=49/når:2023-08-08", "Vegkart")</f>
        <v>Vegkart</v>
      </c>
      <c r="B3442">
        <v>1017865733</v>
      </c>
      <c r="C3442">
        <v>49</v>
      </c>
      <c r="D3442" t="s">
        <v>8701</v>
      </c>
      <c r="E3442">
        <v>8917</v>
      </c>
      <c r="F3442" t="s">
        <v>23479</v>
      </c>
      <c r="G3442">
        <v>1</v>
      </c>
      <c r="H3442" t="s">
        <v>11500</v>
      </c>
      <c r="J3442" t="s">
        <v>11497</v>
      </c>
      <c r="K3442" t="s">
        <v>132</v>
      </c>
      <c r="L3442" t="s">
        <v>22</v>
      </c>
      <c r="M3442" t="s">
        <v>9899</v>
      </c>
      <c r="N3442" t="s">
        <v>11509</v>
      </c>
      <c r="O3442" t="s">
        <v>11510</v>
      </c>
      <c r="P3442" s="2" t="s">
        <v>37</v>
      </c>
      <c r="Q3442" t="s">
        <v>1208</v>
      </c>
      <c r="R3442">
        <v>0.47</v>
      </c>
      <c r="S3442">
        <v>29.6</v>
      </c>
      <c r="T3442" t="s">
        <v>11511</v>
      </c>
    </row>
    <row r="3443" spans="1:20" x14ac:dyDescent="0.25">
      <c r="A3443" s="1" t="str">
        <f>HYPERLINK("https://vegkart.atlas.vegvesen.no/#/@284906.3,6665544.5,18/hva:hva%5B0%5D%5Bfilter%5D%5B0%5D%5Boperator%5D=%21%3D&amp;hva%5B0%5D%5Bfilter%5D%5B0%5D%5Btype_id%5D=8917&amp;hva%5B0%5D%5Bfilter%5D%5B0%5D%5Bverdi%5D=&amp;hva%5B0%5D%5Bid%5D=49/når:2023-08-08", "Vegkart")</f>
        <v>Vegkart</v>
      </c>
      <c r="B3443">
        <v>1017865744</v>
      </c>
      <c r="C3443">
        <v>49</v>
      </c>
      <c r="D3443" t="s">
        <v>8701</v>
      </c>
      <c r="E3443">
        <v>8917</v>
      </c>
      <c r="F3443" t="s">
        <v>23479</v>
      </c>
      <c r="G3443">
        <v>1</v>
      </c>
      <c r="H3443" t="s">
        <v>11500</v>
      </c>
      <c r="J3443" t="s">
        <v>11497</v>
      </c>
      <c r="K3443" t="s">
        <v>132</v>
      </c>
      <c r="L3443" t="s">
        <v>22</v>
      </c>
      <c r="M3443" t="s">
        <v>11512</v>
      </c>
      <c r="N3443" t="s">
        <v>11513</v>
      </c>
      <c r="O3443" t="s">
        <v>11514</v>
      </c>
      <c r="P3443" s="2" t="s">
        <v>37</v>
      </c>
      <c r="Q3443" t="s">
        <v>1208</v>
      </c>
      <c r="R3443">
        <v>0.27</v>
      </c>
      <c r="S3443">
        <v>24.64</v>
      </c>
      <c r="T3443" t="s">
        <v>11515</v>
      </c>
    </row>
    <row r="3444" spans="1:20" x14ac:dyDescent="0.25">
      <c r="A3444" s="1" t="str">
        <f>HYPERLINK("https://vegkart.atlas.vegvesen.no/#/@284250.9,6664758.3,18/hva:hva%5B0%5D%5Bfilter%5D%5B0%5D%5Boperator%5D=%21%3D&amp;hva%5B0%5D%5Bfilter%5D%5B0%5D%5Btype_id%5D=8917&amp;hva%5B0%5D%5Bfilter%5D%5B0%5D%5Bverdi%5D=&amp;hva%5B0%5D%5Bid%5D=49/når:2023-08-08", "Vegkart")</f>
        <v>Vegkart</v>
      </c>
      <c r="B3444">
        <v>1017865817</v>
      </c>
      <c r="C3444">
        <v>49</v>
      </c>
      <c r="D3444" t="s">
        <v>8701</v>
      </c>
      <c r="E3444">
        <v>8917</v>
      </c>
      <c r="F3444" t="s">
        <v>23479</v>
      </c>
      <c r="G3444">
        <v>1</v>
      </c>
      <c r="H3444" t="s">
        <v>11500</v>
      </c>
      <c r="J3444" t="s">
        <v>11497</v>
      </c>
      <c r="K3444" t="s">
        <v>132</v>
      </c>
      <c r="L3444" t="s">
        <v>22</v>
      </c>
      <c r="M3444" t="s">
        <v>661</v>
      </c>
      <c r="N3444" t="s">
        <v>11516</v>
      </c>
      <c r="O3444" t="s">
        <v>11517</v>
      </c>
      <c r="P3444" s="2" t="s">
        <v>37</v>
      </c>
      <c r="Q3444" t="s">
        <v>1208</v>
      </c>
      <c r="R3444">
        <v>0.57999999999999996</v>
      </c>
      <c r="S3444">
        <v>22.22</v>
      </c>
      <c r="T3444" t="s">
        <v>11518</v>
      </c>
    </row>
    <row r="3445" spans="1:20" x14ac:dyDescent="0.25">
      <c r="A3445" s="1" t="str">
        <f>HYPERLINK("https://vegkart.atlas.vegvesen.no/#/@284605.6,6666261.8,18/hva:hva%5B0%5D%5Bfilter%5D%5B0%5D%5Boperator%5D=%21%3D&amp;hva%5B0%5D%5Bfilter%5D%5B0%5D%5Btype_id%5D=8917&amp;hva%5B0%5D%5Bfilter%5D%5B0%5D%5Bverdi%5D=&amp;hva%5B0%5D%5Bid%5D=49/når:2023-08-08", "Vegkart")</f>
        <v>Vegkart</v>
      </c>
      <c r="B3445">
        <v>1017866331</v>
      </c>
      <c r="C3445">
        <v>49</v>
      </c>
      <c r="D3445" t="s">
        <v>8701</v>
      </c>
      <c r="E3445">
        <v>8917</v>
      </c>
      <c r="F3445" t="s">
        <v>23479</v>
      </c>
      <c r="G3445">
        <v>1</v>
      </c>
      <c r="H3445" t="s">
        <v>11500</v>
      </c>
      <c r="J3445" t="s">
        <v>11497</v>
      </c>
      <c r="K3445" t="s">
        <v>132</v>
      </c>
      <c r="L3445" t="s">
        <v>22</v>
      </c>
      <c r="M3445" t="s">
        <v>661</v>
      </c>
      <c r="N3445" t="s">
        <v>11519</v>
      </c>
      <c r="O3445" t="s">
        <v>11520</v>
      </c>
      <c r="P3445" s="2" t="s">
        <v>37</v>
      </c>
      <c r="Q3445" t="s">
        <v>1208</v>
      </c>
      <c r="R3445">
        <v>0.77</v>
      </c>
      <c r="S3445">
        <v>12.95</v>
      </c>
      <c r="T3445" t="s">
        <v>11521</v>
      </c>
    </row>
    <row r="3446" spans="1:20" x14ac:dyDescent="0.25">
      <c r="A3446" s="1" t="str">
        <f>HYPERLINK("https://vegkart.atlas.vegvesen.no/#/@285119.2,6666323.6,18/hva:hva%5B0%5D%5Bfilter%5D%5B0%5D%5Boperator%5D=%21%3D&amp;hva%5B0%5D%5Bfilter%5D%5B0%5D%5Btype_id%5D=8917&amp;hva%5B0%5D%5Bfilter%5D%5B0%5D%5Bverdi%5D=&amp;hva%5B0%5D%5Bid%5D=49/når:2023-08-09", "Vegkart")</f>
        <v>Vegkart</v>
      </c>
      <c r="B3446">
        <v>1017867305</v>
      </c>
      <c r="C3446">
        <v>49</v>
      </c>
      <c r="D3446" t="s">
        <v>8701</v>
      </c>
      <c r="E3446">
        <v>8917</v>
      </c>
      <c r="F3446" t="s">
        <v>23479</v>
      </c>
      <c r="G3446">
        <v>1</v>
      </c>
      <c r="H3446" t="s">
        <v>11522</v>
      </c>
      <c r="J3446" t="s">
        <v>11497</v>
      </c>
      <c r="K3446" t="s">
        <v>132</v>
      </c>
      <c r="L3446" t="s">
        <v>22</v>
      </c>
      <c r="M3446" t="s">
        <v>11523</v>
      </c>
      <c r="N3446" t="s">
        <v>11524</v>
      </c>
      <c r="O3446" t="s">
        <v>11525</v>
      </c>
      <c r="P3446" s="2" t="s">
        <v>37</v>
      </c>
      <c r="Q3446" t="s">
        <v>1208</v>
      </c>
      <c r="R3446">
        <v>0.68</v>
      </c>
      <c r="S3446">
        <v>24.69</v>
      </c>
      <c r="T3446" t="s">
        <v>11526</v>
      </c>
    </row>
    <row r="3447" spans="1:20" x14ac:dyDescent="0.25">
      <c r="A3447" s="1" t="str">
        <f>HYPERLINK("https://vegkart.atlas.vegvesen.no/#/@284915.6,6667216.3,18/hva:hva%5B0%5D%5Bfilter%5D%5B0%5D%5Boperator%5D=%21%3D&amp;hva%5B0%5D%5Bfilter%5D%5B0%5D%5Btype_id%5D=8917&amp;hva%5B0%5D%5Bfilter%5D%5B0%5D%5Bverdi%5D=&amp;hva%5B0%5D%5Bid%5D=49/når:2023-08-09", "Vegkart")</f>
        <v>Vegkart</v>
      </c>
      <c r="B3447">
        <v>1017867537</v>
      </c>
      <c r="C3447">
        <v>49</v>
      </c>
      <c r="D3447" t="s">
        <v>8701</v>
      </c>
      <c r="E3447">
        <v>8917</v>
      </c>
      <c r="F3447" t="s">
        <v>23479</v>
      </c>
      <c r="G3447">
        <v>1</v>
      </c>
      <c r="H3447" t="s">
        <v>11522</v>
      </c>
      <c r="J3447" t="s">
        <v>11497</v>
      </c>
      <c r="K3447" t="s">
        <v>132</v>
      </c>
      <c r="L3447" t="s">
        <v>22</v>
      </c>
      <c r="M3447" t="s">
        <v>11527</v>
      </c>
      <c r="N3447" t="s">
        <v>11528</v>
      </c>
      <c r="O3447" t="s">
        <v>11529</v>
      </c>
      <c r="P3447" s="2" t="s">
        <v>37</v>
      </c>
      <c r="Q3447" t="s">
        <v>1208</v>
      </c>
      <c r="R3447">
        <v>0.71</v>
      </c>
      <c r="S3447">
        <v>11.83</v>
      </c>
      <c r="T3447" t="s">
        <v>11530</v>
      </c>
    </row>
    <row r="3448" spans="1:20" x14ac:dyDescent="0.25">
      <c r="A3448" s="1" t="str">
        <f>HYPERLINK("https://vegkart.atlas.vegvesen.no/#/@285035.6,6666810.0,18/hva:hva%5B0%5D%5Bfilter%5D%5B0%5D%5Boperator%5D=%21%3D&amp;hva%5B0%5D%5Bfilter%5D%5B0%5D%5Btype_id%5D=8917&amp;hva%5B0%5D%5Bfilter%5D%5B0%5D%5Bverdi%5D=&amp;hva%5B0%5D%5Bid%5D=49/når:2023-08-09", "Vegkart")</f>
        <v>Vegkart</v>
      </c>
      <c r="B3448">
        <v>1017867552</v>
      </c>
      <c r="C3448">
        <v>49</v>
      </c>
      <c r="D3448" t="s">
        <v>8701</v>
      </c>
      <c r="E3448">
        <v>8917</v>
      </c>
      <c r="F3448" t="s">
        <v>23479</v>
      </c>
      <c r="G3448">
        <v>1</v>
      </c>
      <c r="H3448" t="s">
        <v>11522</v>
      </c>
      <c r="J3448" t="s">
        <v>11497</v>
      </c>
      <c r="K3448" t="s">
        <v>132</v>
      </c>
      <c r="L3448" t="s">
        <v>22</v>
      </c>
      <c r="M3448" t="s">
        <v>11531</v>
      </c>
      <c r="N3448" t="s">
        <v>11532</v>
      </c>
      <c r="O3448" t="s">
        <v>11533</v>
      </c>
      <c r="P3448" s="2" t="s">
        <v>37</v>
      </c>
      <c r="Q3448" t="s">
        <v>1208</v>
      </c>
      <c r="R3448">
        <v>0.45</v>
      </c>
      <c r="S3448">
        <v>29.99</v>
      </c>
      <c r="T3448" t="s">
        <v>11534</v>
      </c>
    </row>
    <row r="3449" spans="1:20" x14ac:dyDescent="0.25">
      <c r="A3449" s="1" t="str">
        <f>HYPERLINK("https://vegkart.atlas.vegvesen.no/#/@285025.7,6666807.3,18/hva:hva%5B0%5D%5Bfilter%5D%5B0%5D%5Boperator%5D=%21%3D&amp;hva%5B0%5D%5Bfilter%5D%5B0%5D%5Btype_id%5D=8917&amp;hva%5B0%5D%5Bfilter%5D%5B0%5D%5Bverdi%5D=&amp;hva%5B0%5D%5Bid%5D=49/når:2023-08-09", "Vegkart")</f>
        <v>Vegkart</v>
      </c>
      <c r="B3449">
        <v>1017867561</v>
      </c>
      <c r="C3449">
        <v>49</v>
      </c>
      <c r="D3449" t="s">
        <v>8701</v>
      </c>
      <c r="E3449">
        <v>8917</v>
      </c>
      <c r="F3449" t="s">
        <v>23479</v>
      </c>
      <c r="G3449">
        <v>1</v>
      </c>
      <c r="H3449" t="s">
        <v>11522</v>
      </c>
      <c r="J3449" t="s">
        <v>11497</v>
      </c>
      <c r="K3449" t="s">
        <v>132</v>
      </c>
      <c r="L3449" t="s">
        <v>22</v>
      </c>
      <c r="M3449" t="s">
        <v>11531</v>
      </c>
      <c r="N3449" t="s">
        <v>11535</v>
      </c>
      <c r="O3449" t="s">
        <v>11536</v>
      </c>
      <c r="P3449" s="2" t="s">
        <v>37</v>
      </c>
      <c r="Q3449" t="s">
        <v>1208</v>
      </c>
      <c r="R3449">
        <v>0.62</v>
      </c>
      <c r="S3449">
        <v>4.84</v>
      </c>
      <c r="T3449" t="s">
        <v>11537</v>
      </c>
    </row>
    <row r="3450" spans="1:20" x14ac:dyDescent="0.25">
      <c r="A3450" s="1" t="str">
        <f>HYPERLINK("https://vegkart.atlas.vegvesen.no/#/@285295.3,6667187.1,18/hva:hva%5B0%5D%5Bfilter%5D%5B0%5D%5Boperator%5D=%21%3D&amp;hva%5B0%5D%5Bfilter%5D%5B0%5D%5Btype_id%5D=8917&amp;hva%5B0%5D%5Bfilter%5D%5B0%5D%5Bverdi%5D=&amp;hva%5B0%5D%5Bid%5D=49/når:2023-08-09", "Vegkart")</f>
        <v>Vegkart</v>
      </c>
      <c r="B3450">
        <v>1017867585</v>
      </c>
      <c r="C3450">
        <v>49</v>
      </c>
      <c r="D3450" t="s">
        <v>8701</v>
      </c>
      <c r="E3450">
        <v>8917</v>
      </c>
      <c r="F3450" t="s">
        <v>23479</v>
      </c>
      <c r="G3450">
        <v>1</v>
      </c>
      <c r="H3450" t="s">
        <v>11522</v>
      </c>
      <c r="J3450" t="s">
        <v>11497</v>
      </c>
      <c r="K3450" t="s">
        <v>132</v>
      </c>
      <c r="L3450" t="s">
        <v>22</v>
      </c>
      <c r="M3450" t="s">
        <v>11531</v>
      </c>
      <c r="N3450" t="s">
        <v>11538</v>
      </c>
      <c r="O3450" t="s">
        <v>11539</v>
      </c>
      <c r="P3450" s="2" t="s">
        <v>37</v>
      </c>
      <c r="Q3450" t="s">
        <v>1208</v>
      </c>
      <c r="R3450">
        <v>0.9</v>
      </c>
      <c r="S3450">
        <v>42.95</v>
      </c>
      <c r="T3450" t="s">
        <v>11540</v>
      </c>
    </row>
    <row r="3451" spans="1:20" x14ac:dyDescent="0.25">
      <c r="A3451" s="1" t="str">
        <f>HYPERLINK("https://vegkart.atlas.vegvesen.no/#/@285588.8,6666391.6,18/hva:hva%5B0%5D%5Bfilter%5D%5B0%5D%5Boperator%5D=%21%3D&amp;hva%5B0%5D%5Bfilter%5D%5B0%5D%5Btype_id%5D=8917&amp;hva%5B0%5D%5Bfilter%5D%5B0%5D%5Bverdi%5D=&amp;hva%5B0%5D%5Bid%5D=49/når:2023-08-09", "Vegkart")</f>
        <v>Vegkart</v>
      </c>
      <c r="B3451">
        <v>1017867831</v>
      </c>
      <c r="C3451">
        <v>49</v>
      </c>
      <c r="D3451" t="s">
        <v>8701</v>
      </c>
      <c r="E3451">
        <v>8917</v>
      </c>
      <c r="F3451" t="s">
        <v>23479</v>
      </c>
      <c r="G3451">
        <v>1</v>
      </c>
      <c r="H3451" t="s">
        <v>11522</v>
      </c>
      <c r="J3451" t="s">
        <v>11497</v>
      </c>
      <c r="K3451" t="s">
        <v>132</v>
      </c>
      <c r="L3451" t="s">
        <v>22</v>
      </c>
      <c r="M3451" t="s">
        <v>11541</v>
      </c>
      <c r="N3451" t="s">
        <v>11542</v>
      </c>
      <c r="O3451" t="s">
        <v>11543</v>
      </c>
      <c r="P3451" s="2" t="s">
        <v>37</v>
      </c>
      <c r="Q3451" t="s">
        <v>1208</v>
      </c>
      <c r="R3451">
        <v>0.55000000000000004</v>
      </c>
      <c r="S3451">
        <v>45.32</v>
      </c>
      <c r="T3451" t="s">
        <v>11544</v>
      </c>
    </row>
    <row r="3452" spans="1:20" x14ac:dyDescent="0.25">
      <c r="A3452" s="1" t="str">
        <f>HYPERLINK("https://vegkart.atlas.vegvesen.no/#/@289005.3,6672985.0,18/hva:hva%5B0%5D%5Bfilter%5D%5B0%5D%5Boperator%5D=%21%3D&amp;hva%5B0%5D%5Bfilter%5D%5B0%5D%5Btype_id%5D=8917&amp;hva%5B0%5D%5Bfilter%5D%5B0%5D%5Bverdi%5D=&amp;hva%5B0%5D%5Bid%5D=49/når:2023-08-11", "Vegkart")</f>
        <v>Vegkart</v>
      </c>
      <c r="B3452">
        <v>1017871542</v>
      </c>
      <c r="C3452">
        <v>49</v>
      </c>
      <c r="D3452" t="s">
        <v>8701</v>
      </c>
      <c r="E3452">
        <v>8917</v>
      </c>
      <c r="F3452" t="s">
        <v>23479</v>
      </c>
      <c r="G3452">
        <v>1</v>
      </c>
      <c r="H3452" t="s">
        <v>506</v>
      </c>
      <c r="J3452" t="s">
        <v>11497</v>
      </c>
      <c r="K3452" t="s">
        <v>132</v>
      </c>
      <c r="L3452" t="s">
        <v>22</v>
      </c>
      <c r="M3452" t="s">
        <v>11545</v>
      </c>
      <c r="N3452" t="s">
        <v>11546</v>
      </c>
      <c r="O3452" t="s">
        <v>11547</v>
      </c>
      <c r="P3452" s="2" t="s">
        <v>37</v>
      </c>
      <c r="Q3452" t="s">
        <v>1208</v>
      </c>
      <c r="R3452">
        <v>0.64</v>
      </c>
      <c r="S3452">
        <v>95.15</v>
      </c>
      <c r="T3452" t="s">
        <v>11548</v>
      </c>
    </row>
    <row r="3453" spans="1:20" x14ac:dyDescent="0.25">
      <c r="A3453" s="1" t="str">
        <f>HYPERLINK("https://vegkart.atlas.vegvesen.no/#/@289020.2,6673146.9,18/hva:hva%5B0%5D%5Bfilter%5D%5B0%5D%5Boperator%5D=%21%3D&amp;hva%5B0%5D%5Bfilter%5D%5B0%5D%5Btype_id%5D=8917&amp;hva%5B0%5D%5Bfilter%5D%5B0%5D%5Bverdi%5D=&amp;hva%5B0%5D%5Bid%5D=49/når:2023-08-11", "Vegkart")</f>
        <v>Vegkart</v>
      </c>
      <c r="B3453">
        <v>1017871552</v>
      </c>
      <c r="C3453">
        <v>49</v>
      </c>
      <c r="D3453" t="s">
        <v>8701</v>
      </c>
      <c r="E3453">
        <v>8917</v>
      </c>
      <c r="F3453" t="s">
        <v>23479</v>
      </c>
      <c r="G3453">
        <v>1</v>
      </c>
      <c r="H3453" t="s">
        <v>506</v>
      </c>
      <c r="J3453" t="s">
        <v>11497</v>
      </c>
      <c r="K3453" t="s">
        <v>132</v>
      </c>
      <c r="L3453" t="s">
        <v>22</v>
      </c>
      <c r="M3453" t="s">
        <v>11545</v>
      </c>
      <c r="N3453" t="s">
        <v>11549</v>
      </c>
      <c r="O3453" t="s">
        <v>11550</v>
      </c>
      <c r="P3453" s="2" t="s">
        <v>37</v>
      </c>
      <c r="Q3453" t="s">
        <v>1208</v>
      </c>
      <c r="R3453">
        <v>0.23</v>
      </c>
      <c r="S3453">
        <v>21.16</v>
      </c>
      <c r="T3453" t="s">
        <v>11551</v>
      </c>
    </row>
    <row r="3454" spans="1:20" x14ac:dyDescent="0.25">
      <c r="A3454" s="1" t="str">
        <f>HYPERLINK("https://vegkart.atlas.vegvesen.no/#/@288860.2,6672405.8,18/hva:hva%5B0%5D%5Bfilter%5D%5B0%5D%5Boperator%5D=%21%3D&amp;hva%5B0%5D%5Bfilter%5D%5B0%5D%5Btype_id%5D=8917&amp;hva%5B0%5D%5Bfilter%5D%5B0%5D%5Bverdi%5D=&amp;hva%5B0%5D%5Bid%5D=49/når:2023-08-11", "Vegkart")</f>
        <v>Vegkart</v>
      </c>
      <c r="B3454">
        <v>1017871580</v>
      </c>
      <c r="C3454">
        <v>49</v>
      </c>
      <c r="D3454" t="s">
        <v>8701</v>
      </c>
      <c r="E3454">
        <v>8917</v>
      </c>
      <c r="F3454" t="s">
        <v>23479</v>
      </c>
      <c r="G3454">
        <v>1</v>
      </c>
      <c r="H3454" t="s">
        <v>506</v>
      </c>
      <c r="J3454" t="s">
        <v>11497</v>
      </c>
      <c r="K3454" t="s">
        <v>132</v>
      </c>
      <c r="L3454" t="s">
        <v>22</v>
      </c>
      <c r="M3454" t="s">
        <v>11552</v>
      </c>
      <c r="N3454" t="s">
        <v>11553</v>
      </c>
      <c r="O3454" t="s">
        <v>11554</v>
      </c>
      <c r="P3454" s="2" t="s">
        <v>37</v>
      </c>
      <c r="Q3454" t="s">
        <v>1208</v>
      </c>
      <c r="R3454">
        <v>0.38</v>
      </c>
      <c r="S3454">
        <v>45.47</v>
      </c>
      <c r="T3454" t="s">
        <v>11555</v>
      </c>
    </row>
    <row r="3455" spans="1:20" x14ac:dyDescent="0.25">
      <c r="A3455" s="1" t="str">
        <f>HYPERLINK("https://vegkart.atlas.vegvesen.no/#/@288588.2,6673050.0,18/hva:hva%5B0%5D%5Bfilter%5D%5B0%5D%5Boperator%5D=%21%3D&amp;hva%5B0%5D%5Bfilter%5D%5B0%5D%5Btype_id%5D=8917&amp;hva%5B0%5D%5Bfilter%5D%5B0%5D%5Bverdi%5D=&amp;hva%5B0%5D%5Bid%5D=49/når:2023-08-11", "Vegkart")</f>
        <v>Vegkart</v>
      </c>
      <c r="B3455">
        <v>1017871609</v>
      </c>
      <c r="C3455">
        <v>49</v>
      </c>
      <c r="D3455" t="s">
        <v>8701</v>
      </c>
      <c r="E3455">
        <v>8917</v>
      </c>
      <c r="F3455" t="s">
        <v>23479</v>
      </c>
      <c r="G3455">
        <v>1</v>
      </c>
      <c r="H3455" t="s">
        <v>506</v>
      </c>
      <c r="J3455" t="s">
        <v>11497</v>
      </c>
      <c r="K3455" t="s">
        <v>132</v>
      </c>
      <c r="L3455" t="s">
        <v>22</v>
      </c>
      <c r="M3455" t="s">
        <v>11556</v>
      </c>
      <c r="N3455" t="s">
        <v>11557</v>
      </c>
      <c r="O3455" t="s">
        <v>11558</v>
      </c>
      <c r="P3455" s="2" t="s">
        <v>37</v>
      </c>
      <c r="Q3455" t="s">
        <v>1208</v>
      </c>
      <c r="R3455">
        <v>0.43</v>
      </c>
      <c r="S3455">
        <v>28.73</v>
      </c>
      <c r="T3455" t="s">
        <v>11559</v>
      </c>
    </row>
    <row r="3456" spans="1:20" x14ac:dyDescent="0.25">
      <c r="A3456" s="1" t="str">
        <f>HYPERLINK("https://vegkart.atlas.vegvesen.no/#/@288515.1,6672484.4,18/hva:hva%5B0%5D%5Bfilter%5D%5B0%5D%5Boperator%5D=%21%3D&amp;hva%5B0%5D%5Bfilter%5D%5B0%5D%5Btype_id%5D=8917&amp;hva%5B0%5D%5Bfilter%5D%5B0%5D%5Bverdi%5D=&amp;hva%5B0%5D%5Bid%5D=49/når:2023-08-11", "Vegkart")</f>
        <v>Vegkart</v>
      </c>
      <c r="B3456">
        <v>1017871758</v>
      </c>
      <c r="C3456">
        <v>49</v>
      </c>
      <c r="D3456" t="s">
        <v>8701</v>
      </c>
      <c r="E3456">
        <v>8917</v>
      </c>
      <c r="F3456" t="s">
        <v>23479</v>
      </c>
      <c r="G3456">
        <v>1</v>
      </c>
      <c r="H3456" t="s">
        <v>506</v>
      </c>
      <c r="J3456" t="s">
        <v>11497</v>
      </c>
      <c r="K3456" t="s">
        <v>132</v>
      </c>
      <c r="L3456" t="s">
        <v>22</v>
      </c>
      <c r="M3456" t="s">
        <v>11560</v>
      </c>
      <c r="N3456" t="s">
        <v>11561</v>
      </c>
      <c r="O3456" t="s">
        <v>11562</v>
      </c>
      <c r="P3456" s="2" t="s">
        <v>37</v>
      </c>
      <c r="Q3456" t="s">
        <v>1208</v>
      </c>
      <c r="R3456">
        <v>0.53</v>
      </c>
      <c r="S3456">
        <v>46.61</v>
      </c>
      <c r="T3456" t="s">
        <v>11563</v>
      </c>
    </row>
    <row r="3457" spans="1:20" x14ac:dyDescent="0.25">
      <c r="A3457" s="1" t="str">
        <f>HYPERLINK("https://vegkart.atlas.vegvesen.no/#/@289498.1,6672170.3,18/hva:hva%5B0%5D%5Bfilter%5D%5B0%5D%5Boperator%5D=%21%3D&amp;hva%5B0%5D%5Bfilter%5D%5B0%5D%5Btype_id%5D=8917&amp;hva%5B0%5D%5Bfilter%5D%5B0%5D%5Bverdi%5D=&amp;hva%5B0%5D%5Bid%5D=49/når:2023-08-11", "Vegkart")</f>
        <v>Vegkart</v>
      </c>
      <c r="B3457">
        <v>1017872454</v>
      </c>
      <c r="C3457">
        <v>49</v>
      </c>
      <c r="D3457" t="s">
        <v>8701</v>
      </c>
      <c r="E3457">
        <v>8917</v>
      </c>
      <c r="F3457" t="s">
        <v>23479</v>
      </c>
      <c r="G3457">
        <v>1</v>
      </c>
      <c r="H3457" t="s">
        <v>506</v>
      </c>
      <c r="J3457" t="s">
        <v>11497</v>
      </c>
      <c r="K3457" t="s">
        <v>132</v>
      </c>
      <c r="L3457" t="s">
        <v>22</v>
      </c>
      <c r="M3457" t="s">
        <v>11564</v>
      </c>
      <c r="N3457" t="s">
        <v>11565</v>
      </c>
      <c r="O3457" t="s">
        <v>11566</v>
      </c>
      <c r="P3457" s="2" t="s">
        <v>37</v>
      </c>
      <c r="Q3457" t="s">
        <v>1208</v>
      </c>
      <c r="R3457">
        <v>0.62</v>
      </c>
      <c r="S3457">
        <v>12.21</v>
      </c>
      <c r="T3457" t="s">
        <v>11567</v>
      </c>
    </row>
    <row r="3458" spans="1:20" x14ac:dyDescent="0.25">
      <c r="A3458" s="1" t="str">
        <f>HYPERLINK("https://vegkart.atlas.vegvesen.no/#/@289368.1,6672203.7,18/hva:hva%5B0%5D%5Bfilter%5D%5B0%5D%5Boperator%5D=%21%3D&amp;hva%5B0%5D%5Bfilter%5D%5B0%5D%5Btype_id%5D=8917&amp;hva%5B0%5D%5Bfilter%5D%5B0%5D%5Bverdi%5D=&amp;hva%5B0%5D%5Bid%5D=49/når:2023-08-11", "Vegkart")</f>
        <v>Vegkart</v>
      </c>
      <c r="B3458">
        <v>1017872460</v>
      </c>
      <c r="C3458">
        <v>49</v>
      </c>
      <c r="D3458" t="s">
        <v>8701</v>
      </c>
      <c r="E3458">
        <v>8917</v>
      </c>
      <c r="F3458" t="s">
        <v>23479</v>
      </c>
      <c r="G3458">
        <v>1</v>
      </c>
      <c r="H3458" t="s">
        <v>506</v>
      </c>
      <c r="J3458" t="s">
        <v>11497</v>
      </c>
      <c r="K3458" t="s">
        <v>132</v>
      </c>
      <c r="L3458" t="s">
        <v>22</v>
      </c>
      <c r="M3458" t="s">
        <v>11568</v>
      </c>
      <c r="N3458" t="s">
        <v>11569</v>
      </c>
      <c r="O3458" t="s">
        <v>11570</v>
      </c>
      <c r="P3458" s="2" t="s">
        <v>37</v>
      </c>
      <c r="Q3458" t="s">
        <v>1208</v>
      </c>
      <c r="R3458">
        <v>0.53</v>
      </c>
      <c r="S3458">
        <v>20.9</v>
      </c>
      <c r="T3458" t="s">
        <v>11571</v>
      </c>
    </row>
    <row r="3459" spans="1:20" x14ac:dyDescent="0.25">
      <c r="A3459" s="1" t="str">
        <f>HYPERLINK("https://vegkart.atlas.vegvesen.no/#/@287119.5,6672064.7,18/hva:hva%5B0%5D%5Bfilter%5D%5B0%5D%5Boperator%5D=%21%3D&amp;hva%5B0%5D%5Bfilter%5D%5B0%5D%5Btype_id%5D=8917&amp;hva%5B0%5D%5Bfilter%5D%5B0%5D%5Bverdi%5D=&amp;hva%5B0%5D%5Bid%5D=49/når:2023-08-11", "Vegkart")</f>
        <v>Vegkart</v>
      </c>
      <c r="B3459">
        <v>1017873181</v>
      </c>
      <c r="C3459">
        <v>49</v>
      </c>
      <c r="D3459" t="s">
        <v>8701</v>
      </c>
      <c r="E3459">
        <v>8917</v>
      </c>
      <c r="F3459" t="s">
        <v>23479</v>
      </c>
      <c r="G3459">
        <v>1</v>
      </c>
      <c r="H3459" t="s">
        <v>506</v>
      </c>
      <c r="J3459" t="s">
        <v>11497</v>
      </c>
      <c r="K3459" t="s">
        <v>132</v>
      </c>
      <c r="L3459" t="s">
        <v>22</v>
      </c>
      <c r="M3459" t="s">
        <v>11572</v>
      </c>
      <c r="N3459" t="s">
        <v>11573</v>
      </c>
      <c r="O3459" t="s">
        <v>11574</v>
      </c>
      <c r="P3459" s="2" t="s">
        <v>37</v>
      </c>
      <c r="Q3459" t="s">
        <v>1208</v>
      </c>
      <c r="R3459">
        <v>0.48</v>
      </c>
      <c r="S3459">
        <v>38.68</v>
      </c>
      <c r="T3459" t="s">
        <v>11575</v>
      </c>
    </row>
    <row r="3460" spans="1:20" x14ac:dyDescent="0.25">
      <c r="A3460" s="1" t="str">
        <f>HYPERLINK("https://vegkart.atlas.vegvesen.no/#/@287548.0,6672959.1,18/hva:hva%5B0%5D%5Bfilter%5D%5B0%5D%5Boperator%5D=%21%3D&amp;hva%5B0%5D%5Bfilter%5D%5B0%5D%5Btype_id%5D=8917&amp;hva%5B0%5D%5Bfilter%5D%5B0%5D%5Bverdi%5D=&amp;hva%5B0%5D%5Bid%5D=49/når:2023-08-11", "Vegkart")</f>
        <v>Vegkart</v>
      </c>
      <c r="B3460">
        <v>1017873184</v>
      </c>
      <c r="C3460">
        <v>49</v>
      </c>
      <c r="D3460" t="s">
        <v>8701</v>
      </c>
      <c r="E3460">
        <v>8917</v>
      </c>
      <c r="F3460" t="s">
        <v>23479</v>
      </c>
      <c r="G3460">
        <v>1</v>
      </c>
      <c r="H3460" t="s">
        <v>506</v>
      </c>
      <c r="J3460" t="s">
        <v>11497</v>
      </c>
      <c r="K3460" t="s">
        <v>132</v>
      </c>
      <c r="L3460" t="s">
        <v>22</v>
      </c>
      <c r="M3460" t="s">
        <v>11576</v>
      </c>
      <c r="N3460" t="s">
        <v>11577</v>
      </c>
      <c r="O3460" t="s">
        <v>11578</v>
      </c>
      <c r="P3460" s="2" t="s">
        <v>37</v>
      </c>
      <c r="Q3460" t="s">
        <v>1208</v>
      </c>
      <c r="R3460">
        <v>0.28999999999999998</v>
      </c>
      <c r="S3460">
        <v>11.59</v>
      </c>
      <c r="T3460" t="s">
        <v>11579</v>
      </c>
    </row>
    <row r="3461" spans="1:20" x14ac:dyDescent="0.25">
      <c r="A3461" s="1" t="str">
        <f>HYPERLINK("https://vegkart.atlas.vegvesen.no/#/@254084.4,6596349.9,18/hva:hva%5B0%5D%5Bfilter%5D%5B0%5D%5Boperator%5D=%21%3D&amp;hva%5B0%5D%5Bfilter%5D%5B0%5D%5Btype_id%5D=8917&amp;hva%5B0%5D%5Bfilter%5D%5B0%5D%5Bverdi%5D=&amp;hva%5B0%5D%5Bid%5D=49/når:2023-08-11", "Vegkart")</f>
        <v>Vegkart</v>
      </c>
      <c r="B3461">
        <v>1017873186</v>
      </c>
      <c r="C3461">
        <v>49</v>
      </c>
      <c r="D3461" t="s">
        <v>8701</v>
      </c>
      <c r="E3461">
        <v>8917</v>
      </c>
      <c r="F3461" t="s">
        <v>23479</v>
      </c>
      <c r="G3461">
        <v>1</v>
      </c>
      <c r="H3461" t="s">
        <v>506</v>
      </c>
      <c r="J3461" t="s">
        <v>11497</v>
      </c>
      <c r="K3461" t="s">
        <v>104</v>
      </c>
      <c r="L3461" t="s">
        <v>113</v>
      </c>
      <c r="M3461" t="s">
        <v>2383</v>
      </c>
      <c r="N3461" t="s">
        <v>11580</v>
      </c>
      <c r="O3461" t="s">
        <v>11581</v>
      </c>
      <c r="P3461" s="2" t="s">
        <v>37</v>
      </c>
      <c r="Q3461" t="s">
        <v>1208</v>
      </c>
      <c r="R3461">
        <v>0.19</v>
      </c>
      <c r="S3461">
        <v>56.59</v>
      </c>
      <c r="T3461" t="s">
        <v>11582</v>
      </c>
    </row>
    <row r="3462" spans="1:20" x14ac:dyDescent="0.25">
      <c r="A3462" s="1" t="str">
        <f>HYPERLINK("https://vegkart.atlas.vegvesen.no/#/@254174.8,6596392.7,18/hva:hva%5B0%5D%5Bfilter%5D%5B0%5D%5Boperator%5D=%21%3D&amp;hva%5B0%5D%5Bfilter%5D%5B0%5D%5Btype_id%5D=8917&amp;hva%5B0%5D%5Bfilter%5D%5B0%5D%5Bverdi%5D=&amp;hva%5B0%5D%5Bid%5D=49/når:2023-08-11", "Vegkart")</f>
        <v>Vegkart</v>
      </c>
      <c r="B3462">
        <v>1017873187</v>
      </c>
      <c r="C3462">
        <v>49</v>
      </c>
      <c r="D3462" t="s">
        <v>8701</v>
      </c>
      <c r="E3462">
        <v>8917</v>
      </c>
      <c r="F3462" t="s">
        <v>23479</v>
      </c>
      <c r="G3462">
        <v>1</v>
      </c>
      <c r="H3462" t="s">
        <v>506</v>
      </c>
      <c r="J3462" t="s">
        <v>11497</v>
      </c>
      <c r="K3462" t="s">
        <v>104</v>
      </c>
      <c r="L3462" t="s">
        <v>113</v>
      </c>
      <c r="M3462" t="s">
        <v>2383</v>
      </c>
      <c r="N3462" t="s">
        <v>11583</v>
      </c>
      <c r="O3462" t="s">
        <v>11584</v>
      </c>
      <c r="P3462" s="2" t="s">
        <v>37</v>
      </c>
      <c r="Q3462" t="s">
        <v>1208</v>
      </c>
      <c r="R3462">
        <v>0.21</v>
      </c>
      <c r="S3462">
        <v>7.54</v>
      </c>
      <c r="T3462" t="s">
        <v>11585</v>
      </c>
    </row>
    <row r="3463" spans="1:20" x14ac:dyDescent="0.25">
      <c r="A3463" s="1" t="str">
        <f>HYPERLINK("https://vegkart.atlas.vegvesen.no/#/@253939.5,6596325.4,18/hva:hva%5B0%5D%5Bfilter%5D%5B0%5D%5Boperator%5D=%21%3D&amp;hva%5B0%5D%5Bfilter%5D%5B0%5D%5Btype_id%5D=8917&amp;hva%5B0%5D%5Bfilter%5D%5B0%5D%5Bverdi%5D=&amp;hva%5B0%5D%5Bid%5D=49/når:2023-08-11", "Vegkart")</f>
        <v>Vegkart</v>
      </c>
      <c r="B3463">
        <v>1017873188</v>
      </c>
      <c r="C3463">
        <v>49</v>
      </c>
      <c r="D3463" t="s">
        <v>8701</v>
      </c>
      <c r="E3463">
        <v>8917</v>
      </c>
      <c r="F3463" t="s">
        <v>23479</v>
      </c>
      <c r="G3463">
        <v>1</v>
      </c>
      <c r="H3463" t="s">
        <v>506</v>
      </c>
      <c r="J3463" t="s">
        <v>11497</v>
      </c>
      <c r="K3463" t="s">
        <v>104</v>
      </c>
      <c r="L3463" t="s">
        <v>113</v>
      </c>
      <c r="M3463" t="s">
        <v>2383</v>
      </c>
      <c r="N3463" t="s">
        <v>11586</v>
      </c>
      <c r="O3463" t="s">
        <v>11587</v>
      </c>
      <c r="P3463" s="2" t="s">
        <v>37</v>
      </c>
      <c r="Q3463" t="s">
        <v>1208</v>
      </c>
      <c r="R3463">
        <v>0.13</v>
      </c>
      <c r="S3463">
        <v>12.11</v>
      </c>
      <c r="T3463" t="s">
        <v>11588</v>
      </c>
    </row>
    <row r="3464" spans="1:20" x14ac:dyDescent="0.25">
      <c r="A3464" s="1" t="str">
        <f>HYPERLINK("https://vegkart.atlas.vegvesen.no/#/@254180.6,6596394.5,18/hva:hva%5B0%5D%5Bfilter%5D%5B0%5D%5Boperator%5D=%21%3D&amp;hva%5B0%5D%5Bfilter%5D%5B0%5D%5Btype_id%5D=8917&amp;hva%5B0%5D%5Bfilter%5D%5B0%5D%5Bverdi%5D=&amp;hva%5B0%5D%5Bid%5D=49/når:2023-08-11", "Vegkart")</f>
        <v>Vegkart</v>
      </c>
      <c r="B3464">
        <v>1017873189</v>
      </c>
      <c r="C3464">
        <v>49</v>
      </c>
      <c r="D3464" t="s">
        <v>8701</v>
      </c>
      <c r="E3464">
        <v>8917</v>
      </c>
      <c r="F3464" t="s">
        <v>23479</v>
      </c>
      <c r="G3464">
        <v>1</v>
      </c>
      <c r="H3464" t="s">
        <v>506</v>
      </c>
      <c r="J3464" t="s">
        <v>11497</v>
      </c>
      <c r="K3464" t="s">
        <v>104</v>
      </c>
      <c r="L3464" t="s">
        <v>113</v>
      </c>
      <c r="M3464" t="s">
        <v>2383</v>
      </c>
      <c r="N3464" t="s">
        <v>11589</v>
      </c>
      <c r="O3464" t="s">
        <v>11590</v>
      </c>
      <c r="P3464" s="2" t="s">
        <v>37</v>
      </c>
      <c r="Q3464" t="s">
        <v>1208</v>
      </c>
      <c r="R3464">
        <v>0.2</v>
      </c>
      <c r="S3464">
        <v>7.37</v>
      </c>
      <c r="T3464" t="s">
        <v>11591</v>
      </c>
    </row>
    <row r="3465" spans="1:20" x14ac:dyDescent="0.25">
      <c r="A3465" s="1" t="str">
        <f>HYPERLINK("https://vegkart.atlas.vegvesen.no/#/@287523.8,6672934.5,18/hva:hva%5B0%5D%5Bfilter%5D%5B0%5D%5Boperator%5D=%21%3D&amp;hva%5B0%5D%5Bfilter%5D%5B0%5D%5Btype_id%5D=8917&amp;hva%5B0%5D%5Bfilter%5D%5B0%5D%5Bverdi%5D=&amp;hva%5B0%5D%5Bid%5D=49/når:2023-08-11", "Vegkart")</f>
        <v>Vegkart</v>
      </c>
      <c r="B3465">
        <v>1017873395</v>
      </c>
      <c r="C3465">
        <v>49</v>
      </c>
      <c r="D3465" t="s">
        <v>8701</v>
      </c>
      <c r="E3465">
        <v>8917</v>
      </c>
      <c r="F3465" t="s">
        <v>23479</v>
      </c>
      <c r="G3465">
        <v>1</v>
      </c>
      <c r="H3465" t="s">
        <v>506</v>
      </c>
      <c r="J3465" t="s">
        <v>11497</v>
      </c>
      <c r="K3465" t="s">
        <v>132</v>
      </c>
      <c r="L3465" t="s">
        <v>22</v>
      </c>
      <c r="M3465" t="s">
        <v>11592</v>
      </c>
      <c r="N3465" t="s">
        <v>11593</v>
      </c>
      <c r="O3465" t="s">
        <v>11594</v>
      </c>
      <c r="P3465" s="2" t="s">
        <v>37</v>
      </c>
      <c r="Q3465" t="s">
        <v>1208</v>
      </c>
      <c r="R3465">
        <v>0.4</v>
      </c>
      <c r="S3465">
        <v>12.39</v>
      </c>
      <c r="T3465" t="s">
        <v>11595</v>
      </c>
    </row>
    <row r="3466" spans="1:20" x14ac:dyDescent="0.25">
      <c r="A3466" s="1" t="str">
        <f>HYPERLINK("https://vegkart.atlas.vegvesen.no/#/@287236.3,6672619.1,18/hva:hva%5B0%5D%5Bfilter%5D%5B0%5D%5Boperator%5D=%21%3D&amp;hva%5B0%5D%5Bfilter%5D%5B0%5D%5Btype_id%5D=8917&amp;hva%5B0%5D%5Bfilter%5D%5B0%5D%5Bverdi%5D=&amp;hva%5B0%5D%5Bid%5D=49/når:2023-08-11", "Vegkart")</f>
        <v>Vegkart</v>
      </c>
      <c r="B3466">
        <v>1017873455</v>
      </c>
      <c r="C3466">
        <v>49</v>
      </c>
      <c r="D3466" t="s">
        <v>8701</v>
      </c>
      <c r="E3466">
        <v>8917</v>
      </c>
      <c r="F3466" t="s">
        <v>23479</v>
      </c>
      <c r="G3466">
        <v>1</v>
      </c>
      <c r="H3466" t="s">
        <v>506</v>
      </c>
      <c r="J3466" t="s">
        <v>11497</v>
      </c>
      <c r="K3466" t="s">
        <v>132</v>
      </c>
      <c r="L3466" t="s">
        <v>22</v>
      </c>
      <c r="M3466" t="s">
        <v>11596</v>
      </c>
      <c r="N3466" t="s">
        <v>11597</v>
      </c>
      <c r="O3466" t="s">
        <v>11598</v>
      </c>
      <c r="P3466" s="2" t="s">
        <v>37</v>
      </c>
      <c r="Q3466" t="s">
        <v>1208</v>
      </c>
      <c r="R3466">
        <v>0.33</v>
      </c>
      <c r="S3466">
        <v>10.26</v>
      </c>
      <c r="T3466" t="s">
        <v>11599</v>
      </c>
    </row>
    <row r="3467" spans="1:20" x14ac:dyDescent="0.25">
      <c r="A3467" s="1" t="str">
        <f>HYPERLINK("https://vegkart.atlas.vegvesen.no/#/@286631.0,6673378.1,18/hva:hva%5B0%5D%5Bfilter%5D%5B0%5D%5Boperator%5D=%21%3D&amp;hva%5B0%5D%5Bfilter%5D%5B0%5D%5Btype_id%5D=8917&amp;hva%5B0%5D%5Bfilter%5D%5B0%5D%5Bverdi%5D=&amp;hva%5B0%5D%5Bid%5D=49/når:2023-08-11", "Vegkart")</f>
        <v>Vegkart</v>
      </c>
      <c r="B3467">
        <v>1017873520</v>
      </c>
      <c r="C3467">
        <v>49</v>
      </c>
      <c r="D3467" t="s">
        <v>8701</v>
      </c>
      <c r="E3467">
        <v>8917</v>
      </c>
      <c r="F3467" t="s">
        <v>23479</v>
      </c>
      <c r="G3467">
        <v>1</v>
      </c>
      <c r="H3467" t="s">
        <v>506</v>
      </c>
      <c r="J3467" t="s">
        <v>11497</v>
      </c>
      <c r="K3467" t="s">
        <v>132</v>
      </c>
      <c r="L3467" t="s">
        <v>22</v>
      </c>
      <c r="M3467" t="s">
        <v>11600</v>
      </c>
      <c r="N3467" t="s">
        <v>11601</v>
      </c>
      <c r="O3467" t="s">
        <v>11602</v>
      </c>
      <c r="P3467" s="2" t="s">
        <v>37</v>
      </c>
      <c r="Q3467" t="s">
        <v>1208</v>
      </c>
      <c r="R3467">
        <v>0.59</v>
      </c>
      <c r="S3467">
        <v>19.440000000000001</v>
      </c>
      <c r="T3467" t="s">
        <v>11603</v>
      </c>
    </row>
    <row r="3468" spans="1:20" x14ac:dyDescent="0.25">
      <c r="A3468" s="1" t="str">
        <f>HYPERLINK("https://vegkart.atlas.vegvesen.no/#/@286640.6,6673379.4,18/hva:hva%5B0%5D%5Bfilter%5D%5B0%5D%5Boperator%5D=%21%3D&amp;hva%5B0%5D%5Bfilter%5D%5B0%5D%5Btype_id%5D=8917&amp;hva%5B0%5D%5Bfilter%5D%5B0%5D%5Bverdi%5D=&amp;hva%5B0%5D%5Bid%5D=49/når:2023-08-11", "Vegkart")</f>
        <v>Vegkart</v>
      </c>
      <c r="B3468">
        <v>1017873537</v>
      </c>
      <c r="C3468">
        <v>49</v>
      </c>
      <c r="D3468" t="s">
        <v>8701</v>
      </c>
      <c r="E3468">
        <v>8917</v>
      </c>
      <c r="F3468" t="s">
        <v>23479</v>
      </c>
      <c r="G3468">
        <v>1</v>
      </c>
      <c r="H3468" t="s">
        <v>506</v>
      </c>
      <c r="J3468" t="s">
        <v>11497</v>
      </c>
      <c r="K3468" t="s">
        <v>132</v>
      </c>
      <c r="L3468" t="s">
        <v>22</v>
      </c>
      <c r="M3468" t="s">
        <v>11600</v>
      </c>
      <c r="N3468" t="s">
        <v>11604</v>
      </c>
      <c r="O3468" t="s">
        <v>11605</v>
      </c>
      <c r="P3468" s="2" t="s">
        <v>37</v>
      </c>
      <c r="Q3468" t="s">
        <v>1208</v>
      </c>
      <c r="R3468">
        <v>0.41</v>
      </c>
      <c r="S3468">
        <v>14.42</v>
      </c>
      <c r="T3468" t="s">
        <v>11606</v>
      </c>
    </row>
    <row r="3469" spans="1:20" x14ac:dyDescent="0.25">
      <c r="A3469" s="1" t="str">
        <f>HYPERLINK("https://vegkart.atlas.vegvesen.no/#/@287212.5,6673558.1,18/hva:hva%5B0%5D%5Bfilter%5D%5B0%5D%5Boperator%5D=%21%3D&amp;hva%5B0%5D%5Bfilter%5D%5B0%5D%5Btype_id%5D=8917&amp;hva%5B0%5D%5Bfilter%5D%5B0%5D%5Bverdi%5D=&amp;hva%5B0%5D%5Bid%5D=49/når:2023-08-11", "Vegkart")</f>
        <v>Vegkart</v>
      </c>
      <c r="B3469">
        <v>1017873677</v>
      </c>
      <c r="C3469">
        <v>49</v>
      </c>
      <c r="D3469" t="s">
        <v>8701</v>
      </c>
      <c r="E3469">
        <v>8917</v>
      </c>
      <c r="F3469" t="s">
        <v>23479</v>
      </c>
      <c r="G3469">
        <v>1</v>
      </c>
      <c r="H3469" t="s">
        <v>506</v>
      </c>
      <c r="J3469" t="s">
        <v>11497</v>
      </c>
      <c r="K3469" t="s">
        <v>132</v>
      </c>
      <c r="L3469" t="s">
        <v>22</v>
      </c>
      <c r="M3469" t="s">
        <v>11607</v>
      </c>
      <c r="N3469" t="s">
        <v>11608</v>
      </c>
      <c r="O3469" t="s">
        <v>11609</v>
      </c>
      <c r="P3469" s="2" t="s">
        <v>37</v>
      </c>
      <c r="Q3469" t="s">
        <v>1208</v>
      </c>
      <c r="R3469">
        <v>0.38</v>
      </c>
      <c r="S3469">
        <v>10.64</v>
      </c>
      <c r="T3469" t="s">
        <v>11610</v>
      </c>
    </row>
    <row r="3470" spans="1:20" x14ac:dyDescent="0.25">
      <c r="A3470" s="1" t="str">
        <f>HYPERLINK("https://vegkart.atlas.vegvesen.no/#/@287208.5,6673552.8,18/hva:hva%5B0%5D%5Bfilter%5D%5B0%5D%5Boperator%5D=%21%3D&amp;hva%5B0%5D%5Bfilter%5D%5B0%5D%5Btype_id%5D=8917&amp;hva%5B0%5D%5Bfilter%5D%5B0%5D%5Bverdi%5D=&amp;hva%5B0%5D%5Bid%5D=49/når:2023-08-11", "Vegkart")</f>
        <v>Vegkart</v>
      </c>
      <c r="B3470">
        <v>1017873679</v>
      </c>
      <c r="C3470">
        <v>49</v>
      </c>
      <c r="D3470" t="s">
        <v>8701</v>
      </c>
      <c r="E3470">
        <v>8917</v>
      </c>
      <c r="F3470" t="s">
        <v>23479</v>
      </c>
      <c r="G3470">
        <v>1</v>
      </c>
      <c r="H3470" t="s">
        <v>506</v>
      </c>
      <c r="J3470" t="s">
        <v>11497</v>
      </c>
      <c r="K3470" t="s">
        <v>132</v>
      </c>
      <c r="L3470" t="s">
        <v>22</v>
      </c>
      <c r="M3470" t="s">
        <v>11607</v>
      </c>
      <c r="N3470" t="s">
        <v>11611</v>
      </c>
      <c r="O3470" t="s">
        <v>11612</v>
      </c>
      <c r="P3470" s="2" t="s">
        <v>37</v>
      </c>
      <c r="Q3470" t="s">
        <v>1208</v>
      </c>
      <c r="R3470">
        <v>0.67</v>
      </c>
      <c r="S3470">
        <v>7.63</v>
      </c>
      <c r="T3470" t="s">
        <v>11613</v>
      </c>
    </row>
    <row r="3471" spans="1:20" x14ac:dyDescent="0.25">
      <c r="A3471" s="1" t="str">
        <f>HYPERLINK("https://vegkart.atlas.vegvesen.no/#/@286583.7,6673371.8,18/hva:hva%5B0%5D%5Bfilter%5D%5B0%5D%5Boperator%5D=%21%3D&amp;hva%5B0%5D%5Bfilter%5D%5B0%5D%5Btype_id%5D=8917&amp;hva%5B0%5D%5Bfilter%5D%5B0%5D%5Bverdi%5D=&amp;hva%5B0%5D%5Bid%5D=49/når:2023-08-11", "Vegkart")</f>
        <v>Vegkart</v>
      </c>
      <c r="B3471">
        <v>1017873698</v>
      </c>
      <c r="C3471">
        <v>49</v>
      </c>
      <c r="D3471" t="s">
        <v>8701</v>
      </c>
      <c r="E3471">
        <v>8917</v>
      </c>
      <c r="F3471" t="s">
        <v>23479</v>
      </c>
      <c r="G3471">
        <v>1</v>
      </c>
      <c r="H3471" t="s">
        <v>506</v>
      </c>
      <c r="J3471" t="s">
        <v>11497</v>
      </c>
      <c r="K3471" t="s">
        <v>132</v>
      </c>
      <c r="L3471" t="s">
        <v>22</v>
      </c>
      <c r="M3471" t="s">
        <v>11614</v>
      </c>
      <c r="N3471" t="s">
        <v>11615</v>
      </c>
      <c r="O3471" t="s">
        <v>11616</v>
      </c>
      <c r="P3471" s="2" t="s">
        <v>37</v>
      </c>
      <c r="Q3471" t="s">
        <v>1208</v>
      </c>
      <c r="R3471">
        <v>0.6</v>
      </c>
      <c r="S3471">
        <v>44.27</v>
      </c>
      <c r="T3471" t="s">
        <v>11617</v>
      </c>
    </row>
    <row r="3472" spans="1:20" x14ac:dyDescent="0.25">
      <c r="A3472" s="1" t="str">
        <f>HYPERLINK("https://vegkart.atlas.vegvesen.no/#/@287272.4,6673645.5,18/hva:hva%5B0%5D%5Bfilter%5D%5B0%5D%5Boperator%5D=%21%3D&amp;hva%5B0%5D%5Bfilter%5D%5B0%5D%5Btype_id%5D=8917&amp;hva%5B0%5D%5Bfilter%5D%5B0%5D%5Bverdi%5D=&amp;hva%5B0%5D%5Bid%5D=49/når:2023-08-11", "Vegkart")</f>
        <v>Vegkart</v>
      </c>
      <c r="B3472">
        <v>1017873727</v>
      </c>
      <c r="C3472">
        <v>49</v>
      </c>
      <c r="D3472" t="s">
        <v>8701</v>
      </c>
      <c r="E3472">
        <v>8917</v>
      </c>
      <c r="F3472" t="s">
        <v>23479</v>
      </c>
      <c r="G3472">
        <v>1</v>
      </c>
      <c r="H3472" t="s">
        <v>506</v>
      </c>
      <c r="J3472" t="s">
        <v>11497</v>
      </c>
      <c r="K3472" t="s">
        <v>132</v>
      </c>
      <c r="L3472" t="s">
        <v>22</v>
      </c>
      <c r="M3472" t="s">
        <v>11618</v>
      </c>
      <c r="N3472" t="s">
        <v>11619</v>
      </c>
      <c r="O3472" t="s">
        <v>11620</v>
      </c>
      <c r="P3472" s="2" t="s">
        <v>37</v>
      </c>
      <c r="Q3472" t="s">
        <v>1208</v>
      </c>
      <c r="R3472">
        <v>0.88</v>
      </c>
      <c r="S3472">
        <v>27.59</v>
      </c>
      <c r="T3472" t="s">
        <v>11621</v>
      </c>
    </row>
    <row r="3473" spans="1:20" x14ac:dyDescent="0.25">
      <c r="A3473" s="1" t="str">
        <f>HYPERLINK("https://vegkart.atlas.vegvesen.no/#/@287236.5,6673593.2,18/hva:hva%5B0%5D%5Bfilter%5D%5B0%5D%5Boperator%5D=%21%3D&amp;hva%5B0%5D%5Bfilter%5D%5B0%5D%5Btype_id%5D=8917&amp;hva%5B0%5D%5Bfilter%5D%5B0%5D%5Bverdi%5D=&amp;hva%5B0%5D%5Bid%5D=49/når:2023-08-11", "Vegkart")</f>
        <v>Vegkart</v>
      </c>
      <c r="B3473">
        <v>1017873730</v>
      </c>
      <c r="C3473">
        <v>49</v>
      </c>
      <c r="D3473" t="s">
        <v>8701</v>
      </c>
      <c r="E3473">
        <v>8917</v>
      </c>
      <c r="F3473" t="s">
        <v>23479</v>
      </c>
      <c r="G3473">
        <v>1</v>
      </c>
      <c r="H3473" t="s">
        <v>506</v>
      </c>
      <c r="J3473" t="s">
        <v>11497</v>
      </c>
      <c r="K3473" t="s">
        <v>132</v>
      </c>
      <c r="L3473" t="s">
        <v>22</v>
      </c>
      <c r="M3473" t="s">
        <v>11618</v>
      </c>
      <c r="N3473" t="s">
        <v>11622</v>
      </c>
      <c r="O3473" t="s">
        <v>11623</v>
      </c>
      <c r="P3473" s="2" t="s">
        <v>37</v>
      </c>
      <c r="Q3473" t="s">
        <v>1208</v>
      </c>
      <c r="R3473">
        <v>0.48</v>
      </c>
      <c r="S3473">
        <v>8.6199999999999992</v>
      </c>
      <c r="T3473" t="s">
        <v>11624</v>
      </c>
    </row>
    <row r="3474" spans="1:20" x14ac:dyDescent="0.25">
      <c r="A3474" s="1" t="str">
        <f>HYPERLINK("https://vegkart.atlas.vegvesen.no/#/@287232.6,6673587.5,18/hva:hva%5B0%5D%5Bfilter%5D%5B0%5D%5Boperator%5D=%21%3D&amp;hva%5B0%5D%5Bfilter%5D%5B0%5D%5Btype_id%5D=8917&amp;hva%5B0%5D%5Bfilter%5D%5B0%5D%5Bverdi%5D=&amp;hva%5B0%5D%5Bid%5D=49/når:2023-08-11", "Vegkart")</f>
        <v>Vegkart</v>
      </c>
      <c r="B3474">
        <v>1017873741</v>
      </c>
      <c r="C3474">
        <v>49</v>
      </c>
      <c r="D3474" t="s">
        <v>8701</v>
      </c>
      <c r="E3474">
        <v>8917</v>
      </c>
      <c r="F3474" t="s">
        <v>23479</v>
      </c>
      <c r="G3474">
        <v>1</v>
      </c>
      <c r="H3474" t="s">
        <v>506</v>
      </c>
      <c r="J3474" t="s">
        <v>11497</v>
      </c>
      <c r="K3474" t="s">
        <v>132</v>
      </c>
      <c r="L3474" t="s">
        <v>22</v>
      </c>
      <c r="M3474" t="s">
        <v>11618</v>
      </c>
      <c r="N3474" t="s">
        <v>11625</v>
      </c>
      <c r="O3474" t="s">
        <v>11626</v>
      </c>
      <c r="P3474" s="2" t="s">
        <v>37</v>
      </c>
      <c r="Q3474" t="s">
        <v>1208</v>
      </c>
      <c r="R3474">
        <v>0.38</v>
      </c>
      <c r="S3474">
        <v>11.57</v>
      </c>
      <c r="T3474" t="s">
        <v>11627</v>
      </c>
    </row>
    <row r="3475" spans="1:20" x14ac:dyDescent="0.25">
      <c r="A3475" s="1" t="str">
        <f>HYPERLINK("https://vegkart.atlas.vegvesen.no/#/@287645.0,6673301.3,18/hva:hva%5B0%5D%5Bfilter%5D%5B0%5D%5Boperator%5D=%21%3D&amp;hva%5B0%5D%5Bfilter%5D%5B0%5D%5Btype_id%5D=8917&amp;hva%5B0%5D%5Bfilter%5D%5B0%5D%5Bverdi%5D=&amp;hva%5B0%5D%5Bid%5D=49/når:2023-08-11", "Vegkart")</f>
        <v>Vegkart</v>
      </c>
      <c r="B3475">
        <v>1017873918</v>
      </c>
      <c r="C3475">
        <v>49</v>
      </c>
      <c r="D3475" t="s">
        <v>8701</v>
      </c>
      <c r="E3475">
        <v>8917</v>
      </c>
      <c r="F3475" t="s">
        <v>23479</v>
      </c>
      <c r="G3475">
        <v>1</v>
      </c>
      <c r="H3475" t="s">
        <v>506</v>
      </c>
      <c r="J3475" t="s">
        <v>11497</v>
      </c>
      <c r="K3475" t="s">
        <v>132</v>
      </c>
      <c r="L3475" t="s">
        <v>22</v>
      </c>
      <c r="M3475" t="s">
        <v>1359</v>
      </c>
      <c r="N3475" t="s">
        <v>11628</v>
      </c>
      <c r="O3475" t="s">
        <v>11629</v>
      </c>
      <c r="P3475" s="2" t="s">
        <v>37</v>
      </c>
      <c r="Q3475" t="s">
        <v>1208</v>
      </c>
      <c r="R3475">
        <v>0.62</v>
      </c>
      <c r="S3475">
        <v>11.76</v>
      </c>
      <c r="T3475" t="s">
        <v>11630</v>
      </c>
    </row>
    <row r="3476" spans="1:20" x14ac:dyDescent="0.25">
      <c r="A3476" s="1" t="str">
        <f>HYPERLINK("https://vegkart.atlas.vegvesen.no/#/@287641.8,6673279.4,18/hva:hva%5B0%5D%5Bfilter%5D%5B0%5D%5Boperator%5D=%21%3D&amp;hva%5B0%5D%5Bfilter%5D%5B0%5D%5Btype_id%5D=8917&amp;hva%5B0%5D%5Bfilter%5D%5B0%5D%5Bverdi%5D=&amp;hva%5B0%5D%5Bid%5D=49/når:2023-08-11", "Vegkart")</f>
        <v>Vegkart</v>
      </c>
      <c r="B3476">
        <v>1017873922</v>
      </c>
      <c r="C3476">
        <v>49</v>
      </c>
      <c r="D3476" t="s">
        <v>8701</v>
      </c>
      <c r="E3476">
        <v>8917</v>
      </c>
      <c r="F3476" t="s">
        <v>23479</v>
      </c>
      <c r="G3476">
        <v>1</v>
      </c>
      <c r="H3476" t="s">
        <v>506</v>
      </c>
      <c r="J3476" t="s">
        <v>11497</v>
      </c>
      <c r="K3476" t="s">
        <v>132</v>
      </c>
      <c r="L3476" t="s">
        <v>22</v>
      </c>
      <c r="M3476" t="s">
        <v>1359</v>
      </c>
      <c r="N3476" t="s">
        <v>11631</v>
      </c>
      <c r="O3476" t="s">
        <v>11632</v>
      </c>
      <c r="P3476" s="2" t="s">
        <v>37</v>
      </c>
      <c r="Q3476" t="s">
        <v>1208</v>
      </c>
      <c r="R3476">
        <v>0.38</v>
      </c>
      <c r="S3476">
        <v>71.11</v>
      </c>
      <c r="T3476" t="s">
        <v>11633</v>
      </c>
    </row>
    <row r="3477" spans="1:20" x14ac:dyDescent="0.25">
      <c r="A3477" s="1" t="str">
        <f>HYPERLINK("https://vegkart.atlas.vegvesen.no/#/@287626.9,6673245.4,18/hva:hva%5B0%5D%5Bfilter%5D%5B0%5D%5Boperator%5D=%21%3D&amp;hva%5B0%5D%5Bfilter%5D%5B0%5D%5Btype_id%5D=8917&amp;hva%5B0%5D%5Bfilter%5D%5B0%5D%5Bverdi%5D=&amp;hva%5B0%5D%5Bid%5D=49/når:2023-08-11", "Vegkart")</f>
        <v>Vegkart</v>
      </c>
      <c r="B3477">
        <v>1017873924</v>
      </c>
      <c r="C3477">
        <v>49</v>
      </c>
      <c r="D3477" t="s">
        <v>8701</v>
      </c>
      <c r="E3477">
        <v>8917</v>
      </c>
      <c r="F3477" t="s">
        <v>23479</v>
      </c>
      <c r="G3477">
        <v>1</v>
      </c>
      <c r="H3477" t="s">
        <v>506</v>
      </c>
      <c r="J3477" t="s">
        <v>11497</v>
      </c>
      <c r="K3477" t="s">
        <v>132</v>
      </c>
      <c r="L3477" t="s">
        <v>22</v>
      </c>
      <c r="M3477" t="s">
        <v>1359</v>
      </c>
      <c r="N3477" t="s">
        <v>11634</v>
      </c>
      <c r="O3477" t="s">
        <v>11635</v>
      </c>
      <c r="P3477" s="2" t="s">
        <v>37</v>
      </c>
      <c r="Q3477" t="s">
        <v>1208</v>
      </c>
      <c r="R3477">
        <v>0.6</v>
      </c>
      <c r="S3477">
        <v>33.49</v>
      </c>
      <c r="T3477" t="s">
        <v>11636</v>
      </c>
    </row>
    <row r="3478" spans="1:20" x14ac:dyDescent="0.25">
      <c r="A3478" s="1" t="str">
        <f>HYPERLINK("https://vegkart.atlas.vegvesen.no/#/@287398.7,6673567.0,18/hva:hva%5B0%5D%5Bfilter%5D%5B0%5D%5Boperator%5D=%21%3D&amp;hva%5B0%5D%5Bfilter%5D%5B0%5D%5Btype_id%5D=8917&amp;hva%5B0%5D%5Bfilter%5D%5B0%5D%5Bverdi%5D=&amp;hva%5B0%5D%5Bid%5D=49/når:2023-08-11", "Vegkart")</f>
        <v>Vegkart</v>
      </c>
      <c r="B3478">
        <v>1017874184</v>
      </c>
      <c r="C3478">
        <v>49</v>
      </c>
      <c r="D3478" t="s">
        <v>8701</v>
      </c>
      <c r="E3478">
        <v>8917</v>
      </c>
      <c r="F3478" t="s">
        <v>23479</v>
      </c>
      <c r="G3478">
        <v>1</v>
      </c>
      <c r="H3478" t="s">
        <v>506</v>
      </c>
      <c r="J3478" t="s">
        <v>11497</v>
      </c>
      <c r="K3478" t="s">
        <v>132</v>
      </c>
      <c r="L3478" t="s">
        <v>22</v>
      </c>
      <c r="M3478" t="s">
        <v>251</v>
      </c>
      <c r="N3478" t="s">
        <v>11637</v>
      </c>
      <c r="O3478" t="s">
        <v>11638</v>
      </c>
      <c r="P3478" s="2" t="s">
        <v>37</v>
      </c>
      <c r="Q3478" t="s">
        <v>1208</v>
      </c>
      <c r="R3478">
        <v>0.64</v>
      </c>
      <c r="S3478">
        <v>21.95</v>
      </c>
      <c r="T3478" t="s">
        <v>11639</v>
      </c>
    </row>
    <row r="3479" spans="1:20" x14ac:dyDescent="0.25">
      <c r="A3479" s="1" t="str">
        <f>HYPERLINK("https://vegkart.atlas.vegvesen.no/#/@287693.1,6673458.2,18/hva:hva%5B0%5D%5Bfilter%5D%5B0%5D%5Boperator%5D=%21%3D&amp;hva%5B0%5D%5Bfilter%5D%5B0%5D%5Btype_id%5D=8917&amp;hva%5B0%5D%5Bfilter%5D%5B0%5D%5Bverdi%5D=&amp;hva%5B0%5D%5Bid%5D=49/når:2023-08-11", "Vegkart")</f>
        <v>Vegkart</v>
      </c>
      <c r="B3479">
        <v>1017874254</v>
      </c>
      <c r="C3479">
        <v>49</v>
      </c>
      <c r="D3479" t="s">
        <v>8701</v>
      </c>
      <c r="E3479">
        <v>8917</v>
      </c>
      <c r="F3479" t="s">
        <v>23479</v>
      </c>
      <c r="G3479">
        <v>1</v>
      </c>
      <c r="H3479" t="s">
        <v>506</v>
      </c>
      <c r="J3479" t="s">
        <v>11497</v>
      </c>
      <c r="K3479" t="s">
        <v>132</v>
      </c>
      <c r="L3479" t="s">
        <v>22</v>
      </c>
      <c r="M3479" t="s">
        <v>251</v>
      </c>
      <c r="N3479" t="s">
        <v>11640</v>
      </c>
      <c r="O3479" t="s">
        <v>11641</v>
      </c>
      <c r="P3479" s="2" t="s">
        <v>37</v>
      </c>
      <c r="Q3479" t="s">
        <v>1208</v>
      </c>
      <c r="R3479">
        <v>0.24</v>
      </c>
      <c r="S3479">
        <v>10.039999999999999</v>
      </c>
      <c r="T3479" t="s">
        <v>11642</v>
      </c>
    </row>
    <row r="3480" spans="1:20" x14ac:dyDescent="0.25">
      <c r="A3480" s="1" t="str">
        <f>HYPERLINK("https://vegkart.atlas.vegvesen.no/#/@287677.4,6673807.4,18/hva:hva%5B0%5D%5Bfilter%5D%5B0%5D%5Boperator%5D=%21%3D&amp;hva%5B0%5D%5Bfilter%5D%5B0%5D%5Btype_id%5D=8917&amp;hva%5B0%5D%5Bfilter%5D%5B0%5D%5Bverdi%5D=&amp;hva%5B0%5D%5Bid%5D=49/når:2023-08-11", "Vegkart")</f>
        <v>Vegkart</v>
      </c>
      <c r="B3480">
        <v>1017874257</v>
      </c>
      <c r="C3480">
        <v>49</v>
      </c>
      <c r="D3480" t="s">
        <v>8701</v>
      </c>
      <c r="E3480">
        <v>8917</v>
      </c>
      <c r="F3480" t="s">
        <v>23479</v>
      </c>
      <c r="G3480">
        <v>1</v>
      </c>
      <c r="H3480" t="s">
        <v>506</v>
      </c>
      <c r="J3480" t="s">
        <v>11497</v>
      </c>
      <c r="K3480" t="s">
        <v>132</v>
      </c>
      <c r="L3480" t="s">
        <v>22</v>
      </c>
      <c r="M3480" t="s">
        <v>11643</v>
      </c>
      <c r="N3480" t="s">
        <v>11644</v>
      </c>
      <c r="O3480" t="s">
        <v>11645</v>
      </c>
      <c r="P3480" s="2" t="s">
        <v>37</v>
      </c>
      <c r="Q3480" t="s">
        <v>1208</v>
      </c>
      <c r="R3480">
        <v>0.45</v>
      </c>
      <c r="S3480">
        <v>13.92</v>
      </c>
      <c r="T3480" t="s">
        <v>11646</v>
      </c>
    </row>
    <row r="3481" spans="1:20" x14ac:dyDescent="0.25">
      <c r="A3481" s="1" t="str">
        <f>HYPERLINK("https://vegkart.atlas.vegvesen.no/#/@287145.7,6674059.8,18/hva:hva%5B0%5D%5Bfilter%5D%5B0%5D%5Boperator%5D=%21%3D&amp;hva%5B0%5D%5Bfilter%5D%5B0%5D%5Btype_id%5D=8917&amp;hva%5B0%5D%5Bfilter%5D%5B0%5D%5Bverdi%5D=&amp;hva%5B0%5D%5Bid%5D=49/når:2023-08-12", "Vegkart")</f>
        <v>Vegkart</v>
      </c>
      <c r="B3481">
        <v>1017874459</v>
      </c>
      <c r="C3481">
        <v>49</v>
      </c>
      <c r="D3481" t="s">
        <v>8701</v>
      </c>
      <c r="E3481">
        <v>8917</v>
      </c>
      <c r="F3481" t="s">
        <v>23479</v>
      </c>
      <c r="G3481">
        <v>1</v>
      </c>
      <c r="H3481" t="s">
        <v>11647</v>
      </c>
      <c r="J3481" t="s">
        <v>11497</v>
      </c>
      <c r="K3481" t="s">
        <v>132</v>
      </c>
      <c r="L3481" t="s">
        <v>22</v>
      </c>
      <c r="M3481" t="s">
        <v>11648</v>
      </c>
      <c r="N3481" t="s">
        <v>11649</v>
      </c>
      <c r="O3481" t="s">
        <v>11650</v>
      </c>
      <c r="P3481" s="2" t="s">
        <v>37</v>
      </c>
      <c r="Q3481" t="s">
        <v>1208</v>
      </c>
      <c r="R3481">
        <v>0.48</v>
      </c>
      <c r="S3481">
        <v>17.059999999999999</v>
      </c>
      <c r="T3481" t="s">
        <v>11651</v>
      </c>
    </row>
    <row r="3482" spans="1:20" x14ac:dyDescent="0.25">
      <c r="A3482" s="1" t="str">
        <f>HYPERLINK("https://vegkart.atlas.vegvesen.no/#/@286379.6,6674234.2,18/hva:hva%5B0%5D%5Bfilter%5D%5B0%5D%5Boperator%5D=%21%3D&amp;hva%5B0%5D%5Bfilter%5D%5B0%5D%5Btype_id%5D=8917&amp;hva%5B0%5D%5Bfilter%5D%5B0%5D%5Bverdi%5D=&amp;hva%5B0%5D%5Bid%5D=49/når:2023-08-12", "Vegkart")</f>
        <v>Vegkart</v>
      </c>
      <c r="B3482">
        <v>1017874473</v>
      </c>
      <c r="C3482">
        <v>49</v>
      </c>
      <c r="D3482" t="s">
        <v>8701</v>
      </c>
      <c r="E3482">
        <v>8917</v>
      </c>
      <c r="F3482" t="s">
        <v>23479</v>
      </c>
      <c r="G3482">
        <v>1</v>
      </c>
      <c r="H3482" t="s">
        <v>11647</v>
      </c>
      <c r="J3482" t="s">
        <v>11497</v>
      </c>
      <c r="K3482" t="s">
        <v>132</v>
      </c>
      <c r="L3482" t="s">
        <v>22</v>
      </c>
      <c r="M3482" t="s">
        <v>11652</v>
      </c>
      <c r="N3482" t="s">
        <v>11653</v>
      </c>
      <c r="O3482" t="s">
        <v>11654</v>
      </c>
      <c r="P3482" s="2" t="s">
        <v>37</v>
      </c>
      <c r="Q3482" t="s">
        <v>1208</v>
      </c>
      <c r="R3482">
        <v>0.43</v>
      </c>
      <c r="S3482">
        <v>24.35</v>
      </c>
      <c r="T3482" t="s">
        <v>11655</v>
      </c>
    </row>
    <row r="3483" spans="1:20" x14ac:dyDescent="0.25">
      <c r="A3483" s="1" t="str">
        <f>HYPERLINK("https://vegkart.atlas.vegvesen.no/#/@287531.3,6674399.6,18/hva:hva%5B0%5D%5Bfilter%5D%5B0%5D%5Boperator%5D=%21%3D&amp;hva%5B0%5D%5Bfilter%5D%5B0%5D%5Btype_id%5D=8917&amp;hva%5B0%5D%5Bfilter%5D%5B0%5D%5Bverdi%5D=&amp;hva%5B0%5D%5Bid%5D=49/når:2023-08-12", "Vegkart")</f>
        <v>Vegkart</v>
      </c>
      <c r="B3483">
        <v>1017874488</v>
      </c>
      <c r="C3483">
        <v>49</v>
      </c>
      <c r="D3483" t="s">
        <v>8701</v>
      </c>
      <c r="E3483">
        <v>8917</v>
      </c>
      <c r="F3483" t="s">
        <v>23479</v>
      </c>
      <c r="G3483">
        <v>1</v>
      </c>
      <c r="H3483" t="s">
        <v>11647</v>
      </c>
      <c r="J3483" t="s">
        <v>11497</v>
      </c>
      <c r="K3483" t="s">
        <v>132</v>
      </c>
      <c r="L3483" t="s">
        <v>22</v>
      </c>
      <c r="M3483" t="s">
        <v>11656</v>
      </c>
      <c r="N3483" t="s">
        <v>11657</v>
      </c>
      <c r="O3483" t="s">
        <v>11658</v>
      </c>
      <c r="P3483" s="2" t="s">
        <v>37</v>
      </c>
      <c r="Q3483" t="s">
        <v>1208</v>
      </c>
      <c r="R3483">
        <v>0.67</v>
      </c>
      <c r="S3483">
        <v>33.770000000000003</v>
      </c>
      <c r="T3483" t="s">
        <v>11659</v>
      </c>
    </row>
    <row r="3484" spans="1:20" x14ac:dyDescent="0.25">
      <c r="A3484" s="1" t="str">
        <f>HYPERLINK("https://vegkart.atlas.vegvesen.no/#/@287707.0,6673831.7,18/hva:hva%5B0%5D%5Bfilter%5D%5B0%5D%5Boperator%5D=%21%3D&amp;hva%5B0%5D%5Bfilter%5D%5B0%5D%5Btype_id%5D=8917&amp;hva%5B0%5D%5Bfilter%5D%5B0%5D%5Bverdi%5D=&amp;hva%5B0%5D%5Bid%5D=49/når:2023-08-12", "Vegkart")</f>
        <v>Vegkart</v>
      </c>
      <c r="B3484">
        <v>1017874497</v>
      </c>
      <c r="C3484">
        <v>49</v>
      </c>
      <c r="D3484" t="s">
        <v>8701</v>
      </c>
      <c r="E3484">
        <v>8917</v>
      </c>
      <c r="F3484" t="s">
        <v>23479</v>
      </c>
      <c r="G3484">
        <v>1</v>
      </c>
      <c r="H3484" t="s">
        <v>11647</v>
      </c>
      <c r="J3484" t="s">
        <v>11497</v>
      </c>
      <c r="K3484" t="s">
        <v>132</v>
      </c>
      <c r="L3484" t="s">
        <v>22</v>
      </c>
      <c r="M3484" t="s">
        <v>11643</v>
      </c>
      <c r="N3484" t="s">
        <v>11660</v>
      </c>
      <c r="O3484" t="s">
        <v>11661</v>
      </c>
      <c r="P3484" s="2" t="s">
        <v>37</v>
      </c>
      <c r="Q3484" t="s">
        <v>1208</v>
      </c>
      <c r="R3484">
        <v>0.61</v>
      </c>
      <c r="S3484">
        <v>21.13</v>
      </c>
      <c r="T3484" t="s">
        <v>11662</v>
      </c>
    </row>
    <row r="3485" spans="1:20" x14ac:dyDescent="0.25">
      <c r="A3485" s="1" t="str">
        <f>HYPERLINK("https://vegkart.atlas.vegvesen.no/#/@287541.9,6674613.2,18/hva:hva%5B0%5D%5Bfilter%5D%5B0%5D%5Boperator%5D=%21%3D&amp;hva%5B0%5D%5Bfilter%5D%5B0%5D%5Btype_id%5D=8917&amp;hva%5B0%5D%5Bfilter%5D%5B0%5D%5Bverdi%5D=&amp;hva%5B0%5D%5Bid%5D=49/når:2023-08-14", "Vegkart")</f>
        <v>Vegkart</v>
      </c>
      <c r="B3485">
        <v>1017874685</v>
      </c>
      <c r="C3485">
        <v>49</v>
      </c>
      <c r="D3485" t="s">
        <v>8701</v>
      </c>
      <c r="E3485">
        <v>8917</v>
      </c>
      <c r="F3485" t="s">
        <v>23479</v>
      </c>
      <c r="G3485">
        <v>1</v>
      </c>
      <c r="H3485" t="s">
        <v>11663</v>
      </c>
      <c r="J3485" t="s">
        <v>11497</v>
      </c>
      <c r="K3485" t="s">
        <v>132</v>
      </c>
      <c r="L3485" t="s">
        <v>22</v>
      </c>
      <c r="M3485" t="s">
        <v>11664</v>
      </c>
      <c r="N3485" t="s">
        <v>11665</v>
      </c>
      <c r="O3485" t="s">
        <v>11666</v>
      </c>
      <c r="P3485" s="2" t="s">
        <v>37</v>
      </c>
      <c r="Q3485" t="s">
        <v>1208</v>
      </c>
      <c r="R3485">
        <v>0.82</v>
      </c>
      <c r="S3485">
        <v>16.309999999999999</v>
      </c>
      <c r="T3485" t="s">
        <v>11667</v>
      </c>
    </row>
    <row r="3486" spans="1:20" x14ac:dyDescent="0.25">
      <c r="A3486" s="1" t="str">
        <f>HYPERLINK("https://vegkart.atlas.vegvesen.no/#/@287535.2,6674615.7,18/hva:hva%5B0%5D%5Bfilter%5D%5B0%5D%5Boperator%5D=%21%3D&amp;hva%5B0%5D%5Bfilter%5D%5B0%5D%5Btype_id%5D=8917&amp;hva%5B0%5D%5Bfilter%5D%5B0%5D%5Bverdi%5D=&amp;hva%5B0%5D%5Bid%5D=49/når:2023-08-14", "Vegkart")</f>
        <v>Vegkart</v>
      </c>
      <c r="B3486">
        <v>1017874687</v>
      </c>
      <c r="C3486">
        <v>49</v>
      </c>
      <c r="D3486" t="s">
        <v>8701</v>
      </c>
      <c r="E3486">
        <v>8917</v>
      </c>
      <c r="F3486" t="s">
        <v>23479</v>
      </c>
      <c r="G3486">
        <v>1</v>
      </c>
      <c r="H3486" t="s">
        <v>11663</v>
      </c>
      <c r="J3486" t="s">
        <v>11497</v>
      </c>
      <c r="K3486" t="s">
        <v>132</v>
      </c>
      <c r="L3486" t="s">
        <v>22</v>
      </c>
      <c r="M3486" t="s">
        <v>11664</v>
      </c>
      <c r="N3486" t="s">
        <v>11668</v>
      </c>
      <c r="O3486" t="s">
        <v>11669</v>
      </c>
      <c r="P3486" s="2" t="s">
        <v>37</v>
      </c>
      <c r="Q3486" t="s">
        <v>1208</v>
      </c>
      <c r="R3486">
        <v>0.71</v>
      </c>
      <c r="S3486">
        <v>6.86</v>
      </c>
      <c r="T3486" t="s">
        <v>11670</v>
      </c>
    </row>
    <row r="3487" spans="1:20" x14ac:dyDescent="0.25">
      <c r="A3487" s="1" t="str">
        <f>HYPERLINK("https://vegkart.atlas.vegvesen.no/#/@288764.7,6675225.6,18/hva:hva%5B0%5D%5Bfilter%5D%5B0%5D%5Boperator%5D=%21%3D&amp;hva%5B0%5D%5Bfilter%5D%5B0%5D%5Btype_id%5D=8917&amp;hva%5B0%5D%5Bfilter%5D%5B0%5D%5Bverdi%5D=&amp;hva%5B0%5D%5Bid%5D=49/når:2023-08-14", "Vegkart")</f>
        <v>Vegkart</v>
      </c>
      <c r="B3487">
        <v>1017874703</v>
      </c>
      <c r="C3487">
        <v>49</v>
      </c>
      <c r="D3487" t="s">
        <v>8701</v>
      </c>
      <c r="E3487">
        <v>8917</v>
      </c>
      <c r="F3487" t="s">
        <v>23479</v>
      </c>
      <c r="G3487">
        <v>1</v>
      </c>
      <c r="H3487" t="s">
        <v>11663</v>
      </c>
      <c r="J3487" t="s">
        <v>11497</v>
      </c>
      <c r="K3487" t="s">
        <v>132</v>
      </c>
      <c r="L3487" t="s">
        <v>22</v>
      </c>
      <c r="M3487" t="s">
        <v>11671</v>
      </c>
      <c r="N3487" t="s">
        <v>11672</v>
      </c>
      <c r="O3487" t="s">
        <v>11673</v>
      </c>
      <c r="P3487" s="2" t="s">
        <v>37</v>
      </c>
      <c r="Q3487" t="s">
        <v>1208</v>
      </c>
      <c r="R3487">
        <v>0.66</v>
      </c>
      <c r="S3487">
        <v>28.4</v>
      </c>
      <c r="T3487" t="s">
        <v>11674</v>
      </c>
    </row>
    <row r="3488" spans="1:20" x14ac:dyDescent="0.25">
      <c r="A3488" s="1" t="str">
        <f>HYPERLINK("https://vegkart.atlas.vegvesen.no/#/@287668.6,6675310.0,18/hva:hva%5B0%5D%5Bfilter%5D%5B0%5D%5Boperator%5D=%21%3D&amp;hva%5B0%5D%5Bfilter%5D%5B0%5D%5Btype_id%5D=8917&amp;hva%5B0%5D%5Bfilter%5D%5B0%5D%5Bverdi%5D=&amp;hva%5B0%5D%5Bid%5D=49/når:2023-08-14", "Vegkart")</f>
        <v>Vegkart</v>
      </c>
      <c r="B3488">
        <v>1017875306</v>
      </c>
      <c r="C3488">
        <v>49</v>
      </c>
      <c r="D3488" t="s">
        <v>8701</v>
      </c>
      <c r="E3488">
        <v>8917</v>
      </c>
      <c r="F3488" t="s">
        <v>23479</v>
      </c>
      <c r="G3488">
        <v>1</v>
      </c>
      <c r="H3488" t="s">
        <v>11663</v>
      </c>
      <c r="J3488" t="s">
        <v>11497</v>
      </c>
      <c r="K3488" t="s">
        <v>132</v>
      </c>
      <c r="L3488" t="s">
        <v>22</v>
      </c>
      <c r="M3488" t="s">
        <v>11675</v>
      </c>
      <c r="N3488" t="s">
        <v>11676</v>
      </c>
      <c r="O3488" t="s">
        <v>11677</v>
      </c>
      <c r="P3488" s="2" t="s">
        <v>37</v>
      </c>
      <c r="Q3488" t="s">
        <v>1208</v>
      </c>
      <c r="R3488">
        <v>0.46</v>
      </c>
      <c r="S3488">
        <v>15.72</v>
      </c>
      <c r="T3488" t="s">
        <v>11678</v>
      </c>
    </row>
    <row r="3489" spans="1:20" x14ac:dyDescent="0.25">
      <c r="A3489" s="1" t="str">
        <f>HYPERLINK("https://vegkart.atlas.vegvesen.no/#/@287661.3,6675310.5,18/hva:hva%5B0%5D%5Bfilter%5D%5B0%5D%5Boperator%5D=%21%3D&amp;hva%5B0%5D%5Bfilter%5D%5B0%5D%5Btype_id%5D=8917&amp;hva%5B0%5D%5Bfilter%5D%5B0%5D%5Bverdi%5D=&amp;hva%5B0%5D%5Bid%5D=49/når:2023-08-14", "Vegkart")</f>
        <v>Vegkart</v>
      </c>
      <c r="B3489">
        <v>1017875368</v>
      </c>
      <c r="C3489">
        <v>49</v>
      </c>
      <c r="D3489" t="s">
        <v>8701</v>
      </c>
      <c r="E3489">
        <v>8917</v>
      </c>
      <c r="F3489" t="s">
        <v>23479</v>
      </c>
      <c r="G3489">
        <v>1</v>
      </c>
      <c r="H3489" t="s">
        <v>11663</v>
      </c>
      <c r="J3489" t="s">
        <v>11497</v>
      </c>
      <c r="K3489" t="s">
        <v>132</v>
      </c>
      <c r="L3489" t="s">
        <v>22</v>
      </c>
      <c r="M3489" t="s">
        <v>11675</v>
      </c>
      <c r="N3489" t="s">
        <v>11679</v>
      </c>
      <c r="O3489" t="s">
        <v>11680</v>
      </c>
      <c r="P3489" s="2" t="s">
        <v>37</v>
      </c>
      <c r="Q3489" t="s">
        <v>1208</v>
      </c>
      <c r="R3489">
        <v>0.47</v>
      </c>
      <c r="S3489">
        <v>8.9</v>
      </c>
      <c r="T3489" t="s">
        <v>11681</v>
      </c>
    </row>
    <row r="3490" spans="1:20" x14ac:dyDescent="0.25">
      <c r="A3490" s="1" t="str">
        <f>HYPERLINK("https://vegkart.atlas.vegvesen.no/#/@289880.6,6673164.5,18/hva:hva%5B0%5D%5Bfilter%5D%5B0%5D%5Boperator%5D=%21%3D&amp;hva%5B0%5D%5Bfilter%5D%5B0%5D%5Btype_id%5D=8917&amp;hva%5B0%5D%5Bfilter%5D%5B0%5D%5Bverdi%5D=&amp;hva%5B0%5D%5Bid%5D=49/når:2023-08-14", "Vegkart")</f>
        <v>Vegkart</v>
      </c>
      <c r="B3490">
        <v>1017875637</v>
      </c>
      <c r="C3490">
        <v>49</v>
      </c>
      <c r="D3490" t="s">
        <v>8701</v>
      </c>
      <c r="E3490">
        <v>8917</v>
      </c>
      <c r="F3490" t="s">
        <v>23479</v>
      </c>
      <c r="G3490">
        <v>1</v>
      </c>
      <c r="H3490" t="s">
        <v>11663</v>
      </c>
      <c r="J3490" t="s">
        <v>11497</v>
      </c>
      <c r="K3490" t="s">
        <v>132</v>
      </c>
      <c r="L3490" t="s">
        <v>22</v>
      </c>
      <c r="M3490" t="s">
        <v>11682</v>
      </c>
      <c r="N3490" t="s">
        <v>11683</v>
      </c>
      <c r="O3490" t="s">
        <v>11684</v>
      </c>
      <c r="P3490" s="2" t="s">
        <v>37</v>
      </c>
      <c r="Q3490" t="s">
        <v>1208</v>
      </c>
      <c r="R3490">
        <v>0.64</v>
      </c>
      <c r="S3490">
        <v>13.67</v>
      </c>
      <c r="T3490" t="s">
        <v>11685</v>
      </c>
    </row>
    <row r="3491" spans="1:20" x14ac:dyDescent="0.25">
      <c r="A3491" s="1" t="str">
        <f>HYPERLINK("https://vegkart.atlas.vegvesen.no/#/@287854.4,6673250.6,18/hva:hva%5B0%5D%5Bfilter%5D%5B0%5D%5Boperator%5D=%21%3D&amp;hva%5B0%5D%5Bfilter%5D%5B0%5D%5Btype_id%5D=8917&amp;hva%5B0%5D%5Bfilter%5D%5B0%5D%5Bverdi%5D=&amp;hva%5B0%5D%5Bid%5D=49/når:2023-08-14", "Vegkart")</f>
        <v>Vegkart</v>
      </c>
      <c r="B3491">
        <v>1017875645</v>
      </c>
      <c r="C3491">
        <v>49</v>
      </c>
      <c r="D3491" t="s">
        <v>8701</v>
      </c>
      <c r="E3491">
        <v>8917</v>
      </c>
      <c r="F3491" t="s">
        <v>23479</v>
      </c>
      <c r="G3491">
        <v>1</v>
      </c>
      <c r="H3491" t="s">
        <v>11663</v>
      </c>
      <c r="J3491" t="s">
        <v>11497</v>
      </c>
      <c r="K3491" t="s">
        <v>132</v>
      </c>
      <c r="L3491" t="s">
        <v>22</v>
      </c>
      <c r="M3491" t="s">
        <v>11686</v>
      </c>
      <c r="N3491" t="s">
        <v>11687</v>
      </c>
      <c r="O3491" t="s">
        <v>11688</v>
      </c>
      <c r="P3491" s="2" t="s">
        <v>37</v>
      </c>
      <c r="Q3491" t="s">
        <v>1208</v>
      </c>
      <c r="R3491">
        <v>0.47</v>
      </c>
      <c r="S3491">
        <v>37.51</v>
      </c>
      <c r="T3491" t="s">
        <v>11689</v>
      </c>
    </row>
    <row r="3492" spans="1:20" x14ac:dyDescent="0.25">
      <c r="A3492" s="1" t="str">
        <f>HYPERLINK("https://vegkart.atlas.vegvesen.no/#/@288403.7,6673304.4,18/hva:hva%5B0%5D%5Bfilter%5D%5B0%5D%5Boperator%5D=%21%3D&amp;hva%5B0%5D%5Bfilter%5D%5B0%5D%5Btype_id%5D=8917&amp;hva%5B0%5D%5Bfilter%5D%5B0%5D%5Bverdi%5D=&amp;hva%5B0%5D%5Bid%5D=49/når:2023-08-14", "Vegkart")</f>
        <v>Vegkart</v>
      </c>
      <c r="B3492">
        <v>1017876479</v>
      </c>
      <c r="C3492">
        <v>49</v>
      </c>
      <c r="D3492" t="s">
        <v>8701</v>
      </c>
      <c r="E3492">
        <v>8917</v>
      </c>
      <c r="F3492" t="s">
        <v>23479</v>
      </c>
      <c r="G3492">
        <v>1</v>
      </c>
      <c r="H3492" t="s">
        <v>11663</v>
      </c>
      <c r="J3492" t="s">
        <v>11497</v>
      </c>
      <c r="K3492" t="s">
        <v>132</v>
      </c>
      <c r="L3492" t="s">
        <v>22</v>
      </c>
      <c r="M3492" t="s">
        <v>11690</v>
      </c>
      <c r="N3492" t="s">
        <v>11691</v>
      </c>
      <c r="O3492" t="s">
        <v>11692</v>
      </c>
      <c r="P3492" s="2" t="s">
        <v>37</v>
      </c>
      <c r="Q3492" t="s">
        <v>1208</v>
      </c>
      <c r="R3492">
        <v>0.6</v>
      </c>
      <c r="S3492">
        <v>38.01</v>
      </c>
      <c r="T3492" t="s">
        <v>11693</v>
      </c>
    </row>
    <row r="3493" spans="1:20" x14ac:dyDescent="0.25">
      <c r="A3493" s="1" t="str">
        <f>HYPERLINK("https://vegkart.atlas.vegvesen.no/#/@287938.4,6673594.2,18/hva:hva%5B0%5D%5Bfilter%5D%5B0%5D%5Boperator%5D=%21%3D&amp;hva%5B0%5D%5Bfilter%5D%5B0%5D%5Btype_id%5D=8917&amp;hva%5B0%5D%5Bfilter%5D%5B0%5D%5Bverdi%5D=&amp;hva%5B0%5D%5Bid%5D=49/når:2023-08-14", "Vegkart")</f>
        <v>Vegkart</v>
      </c>
      <c r="B3493">
        <v>1017876519</v>
      </c>
      <c r="C3493">
        <v>49</v>
      </c>
      <c r="D3493" t="s">
        <v>8701</v>
      </c>
      <c r="E3493">
        <v>8917</v>
      </c>
      <c r="F3493" t="s">
        <v>23479</v>
      </c>
      <c r="G3493">
        <v>1</v>
      </c>
      <c r="H3493" t="s">
        <v>11663</v>
      </c>
      <c r="J3493" t="s">
        <v>11497</v>
      </c>
      <c r="K3493" t="s">
        <v>132</v>
      </c>
      <c r="L3493" t="s">
        <v>22</v>
      </c>
      <c r="M3493" t="s">
        <v>11694</v>
      </c>
      <c r="N3493" t="s">
        <v>11695</v>
      </c>
      <c r="O3493" t="s">
        <v>11696</v>
      </c>
      <c r="P3493" s="2" t="s">
        <v>37</v>
      </c>
      <c r="Q3493" t="s">
        <v>1208</v>
      </c>
      <c r="R3493">
        <v>0.63</v>
      </c>
      <c r="S3493">
        <v>19.149999999999999</v>
      </c>
      <c r="T3493" t="s">
        <v>11697</v>
      </c>
    </row>
    <row r="3494" spans="1:20" x14ac:dyDescent="0.25">
      <c r="A3494" s="1" t="str">
        <f>HYPERLINK("https://vegkart.atlas.vegvesen.no/#/@287960.8,6673259.4,18/hva:hva%5B0%5D%5Bfilter%5D%5B0%5D%5Boperator%5D=%21%3D&amp;hva%5B0%5D%5Bfilter%5D%5B0%5D%5Btype_id%5D=8917&amp;hva%5B0%5D%5Bfilter%5D%5B0%5D%5Bverdi%5D=&amp;hva%5B0%5D%5Bid%5D=49/når:2023-08-14", "Vegkart")</f>
        <v>Vegkart</v>
      </c>
      <c r="B3494">
        <v>1017876542</v>
      </c>
      <c r="C3494">
        <v>49</v>
      </c>
      <c r="D3494" t="s">
        <v>8701</v>
      </c>
      <c r="E3494">
        <v>8917</v>
      </c>
      <c r="F3494" t="s">
        <v>23479</v>
      </c>
      <c r="G3494">
        <v>1</v>
      </c>
      <c r="H3494" t="s">
        <v>11663</v>
      </c>
      <c r="J3494" t="s">
        <v>11497</v>
      </c>
      <c r="K3494" t="s">
        <v>132</v>
      </c>
      <c r="L3494" t="s">
        <v>22</v>
      </c>
      <c r="M3494" t="s">
        <v>11694</v>
      </c>
      <c r="N3494" t="s">
        <v>11698</v>
      </c>
      <c r="O3494" t="s">
        <v>11699</v>
      </c>
      <c r="P3494" s="2" t="s">
        <v>37</v>
      </c>
      <c r="Q3494" t="s">
        <v>1208</v>
      </c>
      <c r="R3494">
        <v>0.71</v>
      </c>
      <c r="S3494">
        <v>25.71</v>
      </c>
      <c r="T3494" t="s">
        <v>11700</v>
      </c>
    </row>
    <row r="3495" spans="1:20" x14ac:dyDescent="0.25">
      <c r="A3495" s="1" t="str">
        <f>HYPERLINK("https://vegkart.atlas.vegvesen.no/#/@287923.4,6673617.8,18/hva:hva%5B0%5D%5Bfilter%5D%5B0%5D%5Boperator%5D=%21%3D&amp;hva%5B0%5D%5Bfilter%5D%5B0%5D%5Btype_id%5D=8917&amp;hva%5B0%5D%5Bfilter%5D%5B0%5D%5Bverdi%5D=&amp;hva%5B0%5D%5Bid%5D=49/når:2023-08-14", "Vegkart")</f>
        <v>Vegkart</v>
      </c>
      <c r="B3495">
        <v>1017877646</v>
      </c>
      <c r="C3495">
        <v>49</v>
      </c>
      <c r="D3495" t="s">
        <v>8701</v>
      </c>
      <c r="E3495">
        <v>8917</v>
      </c>
      <c r="F3495" t="s">
        <v>23479</v>
      </c>
      <c r="G3495">
        <v>1</v>
      </c>
      <c r="H3495" t="s">
        <v>11663</v>
      </c>
      <c r="J3495" t="s">
        <v>11497</v>
      </c>
      <c r="K3495" t="s">
        <v>132</v>
      </c>
      <c r="L3495" t="s">
        <v>22</v>
      </c>
      <c r="M3495" t="s">
        <v>11701</v>
      </c>
      <c r="N3495" t="s">
        <v>11702</v>
      </c>
      <c r="O3495" t="s">
        <v>11703</v>
      </c>
      <c r="P3495" s="2" t="s">
        <v>37</v>
      </c>
      <c r="Q3495" t="s">
        <v>1208</v>
      </c>
      <c r="R3495">
        <v>0.25</v>
      </c>
      <c r="S3495">
        <v>28.72</v>
      </c>
      <c r="T3495" t="s">
        <v>11704</v>
      </c>
    </row>
    <row r="3496" spans="1:20" x14ac:dyDescent="0.25">
      <c r="A3496" s="1" t="str">
        <f>HYPERLINK("https://vegkart.atlas.vegvesen.no/#/@288124.7,6673568.5,18/hva:hva%5B0%5D%5Bfilter%5D%5B0%5D%5Boperator%5D=%21%3D&amp;hva%5B0%5D%5Bfilter%5D%5B0%5D%5Btype_id%5D=8917&amp;hva%5B0%5D%5Bfilter%5D%5B0%5D%5Bverdi%5D=&amp;hva%5B0%5D%5Bid%5D=49/når:2023-08-14", "Vegkart")</f>
        <v>Vegkart</v>
      </c>
      <c r="B3496">
        <v>1017877680</v>
      </c>
      <c r="C3496">
        <v>49</v>
      </c>
      <c r="D3496" t="s">
        <v>8701</v>
      </c>
      <c r="E3496">
        <v>8917</v>
      </c>
      <c r="F3496" t="s">
        <v>23479</v>
      </c>
      <c r="G3496">
        <v>1</v>
      </c>
      <c r="H3496" t="s">
        <v>11663</v>
      </c>
      <c r="J3496" t="s">
        <v>11497</v>
      </c>
      <c r="K3496" t="s">
        <v>132</v>
      </c>
      <c r="L3496" t="s">
        <v>22</v>
      </c>
      <c r="M3496" t="s">
        <v>11701</v>
      </c>
      <c r="N3496" t="s">
        <v>11705</v>
      </c>
      <c r="O3496" t="s">
        <v>11706</v>
      </c>
      <c r="P3496" s="2" t="s">
        <v>37</v>
      </c>
      <c r="Q3496" t="s">
        <v>1208</v>
      </c>
      <c r="R3496">
        <v>0.69</v>
      </c>
      <c r="S3496">
        <v>49.42</v>
      </c>
      <c r="T3496" t="s">
        <v>11707</v>
      </c>
    </row>
    <row r="3497" spans="1:20" x14ac:dyDescent="0.25">
      <c r="A3497" s="1" t="str">
        <f>HYPERLINK("https://vegkart.atlas.vegvesen.no/#/@288143.7,6673565.8,18/hva:hva%5B0%5D%5Bfilter%5D%5B0%5D%5Boperator%5D=%21%3D&amp;hva%5B0%5D%5Bfilter%5D%5B0%5D%5Btype_id%5D=8917&amp;hva%5B0%5D%5Bfilter%5D%5B0%5D%5Bverdi%5D=&amp;hva%5B0%5D%5Bid%5D=49/når:2023-08-14", "Vegkart")</f>
        <v>Vegkart</v>
      </c>
      <c r="B3497">
        <v>1017877689</v>
      </c>
      <c r="C3497">
        <v>49</v>
      </c>
      <c r="D3497" t="s">
        <v>8701</v>
      </c>
      <c r="E3497">
        <v>8917</v>
      </c>
      <c r="F3497" t="s">
        <v>23479</v>
      </c>
      <c r="G3497">
        <v>1</v>
      </c>
      <c r="H3497" t="s">
        <v>11663</v>
      </c>
      <c r="J3497" t="s">
        <v>11497</v>
      </c>
      <c r="K3497" t="s">
        <v>132</v>
      </c>
      <c r="L3497" t="s">
        <v>22</v>
      </c>
      <c r="M3497" t="s">
        <v>11701</v>
      </c>
      <c r="N3497" t="s">
        <v>11708</v>
      </c>
      <c r="O3497" t="s">
        <v>11709</v>
      </c>
      <c r="P3497" s="2" t="s">
        <v>37</v>
      </c>
      <c r="Q3497" t="s">
        <v>1208</v>
      </c>
      <c r="R3497">
        <v>0.42</v>
      </c>
      <c r="S3497">
        <v>25.3</v>
      </c>
      <c r="T3497" t="s">
        <v>11710</v>
      </c>
    </row>
    <row r="3498" spans="1:20" x14ac:dyDescent="0.25">
      <c r="A3498" s="1" t="str">
        <f>HYPERLINK("https://vegkart.atlas.vegvesen.no/#/@288381.9,6673501.7,18/hva:hva%5B0%5D%5Bfilter%5D%5B0%5D%5Boperator%5D=%21%3D&amp;hva%5B0%5D%5Bfilter%5D%5B0%5D%5Btype_id%5D=8917&amp;hva%5B0%5D%5Bfilter%5D%5B0%5D%5Bverdi%5D=&amp;hva%5B0%5D%5Bid%5D=49/når:2023-08-14", "Vegkart")</f>
        <v>Vegkart</v>
      </c>
      <c r="B3498">
        <v>1017878022</v>
      </c>
      <c r="C3498">
        <v>49</v>
      </c>
      <c r="D3498" t="s">
        <v>8701</v>
      </c>
      <c r="E3498">
        <v>8917</v>
      </c>
      <c r="F3498" t="s">
        <v>23479</v>
      </c>
      <c r="G3498">
        <v>1</v>
      </c>
      <c r="H3498" t="s">
        <v>11663</v>
      </c>
      <c r="J3498" t="s">
        <v>11497</v>
      </c>
      <c r="K3498" t="s">
        <v>132</v>
      </c>
      <c r="L3498" t="s">
        <v>22</v>
      </c>
      <c r="M3498" t="s">
        <v>11701</v>
      </c>
      <c r="N3498" t="s">
        <v>11711</v>
      </c>
      <c r="O3498" t="s">
        <v>11712</v>
      </c>
      <c r="P3498" s="2" t="s">
        <v>37</v>
      </c>
      <c r="Q3498" t="s">
        <v>1208</v>
      </c>
      <c r="R3498">
        <v>0.65</v>
      </c>
      <c r="S3498">
        <v>28.1</v>
      </c>
      <c r="T3498" t="s">
        <v>11713</v>
      </c>
    </row>
    <row r="3499" spans="1:20" x14ac:dyDescent="0.25">
      <c r="A3499" s="1" t="str">
        <f>HYPERLINK("https://vegkart.atlas.vegvesen.no/#/@288549.7,6673422.6,18/hva:hva%5B0%5D%5Bfilter%5D%5B0%5D%5Boperator%5D=%21%3D&amp;hva%5B0%5D%5Bfilter%5D%5B0%5D%5Btype_id%5D=8917&amp;hva%5B0%5D%5Bfilter%5D%5B0%5D%5Bverdi%5D=&amp;hva%5B0%5D%5Bid%5D=49/når:2023-08-14", "Vegkart")</f>
        <v>Vegkart</v>
      </c>
      <c r="B3499">
        <v>1017878093</v>
      </c>
      <c r="C3499">
        <v>49</v>
      </c>
      <c r="D3499" t="s">
        <v>8701</v>
      </c>
      <c r="E3499">
        <v>8917</v>
      </c>
      <c r="F3499" t="s">
        <v>23479</v>
      </c>
      <c r="G3499">
        <v>1</v>
      </c>
      <c r="H3499" t="s">
        <v>11663</v>
      </c>
      <c r="J3499" t="s">
        <v>11497</v>
      </c>
      <c r="K3499" t="s">
        <v>132</v>
      </c>
      <c r="L3499" t="s">
        <v>22</v>
      </c>
      <c r="M3499" t="s">
        <v>11701</v>
      </c>
      <c r="N3499" t="s">
        <v>11714</v>
      </c>
      <c r="O3499" t="s">
        <v>11715</v>
      </c>
      <c r="P3499" s="2" t="s">
        <v>37</v>
      </c>
      <c r="Q3499" t="s">
        <v>1208</v>
      </c>
      <c r="R3499">
        <v>0.69</v>
      </c>
      <c r="S3499">
        <v>31.29</v>
      </c>
      <c r="T3499" t="s">
        <v>11716</v>
      </c>
    </row>
    <row r="3500" spans="1:20" x14ac:dyDescent="0.25">
      <c r="A3500" s="1" t="str">
        <f>HYPERLINK("https://vegkart.atlas.vegvesen.no/#/@288449.1,6673476.5,18/hva:hva%5B0%5D%5Bfilter%5D%5B0%5D%5Boperator%5D=%21%3D&amp;hva%5B0%5D%5Bfilter%5D%5B0%5D%5Btype_id%5D=8917&amp;hva%5B0%5D%5Bfilter%5D%5B0%5D%5Bverdi%5D=&amp;hva%5B0%5D%5Bid%5D=49/når:2023-08-14", "Vegkart")</f>
        <v>Vegkart</v>
      </c>
      <c r="B3500">
        <v>1017878100</v>
      </c>
      <c r="C3500">
        <v>49</v>
      </c>
      <c r="D3500" t="s">
        <v>8701</v>
      </c>
      <c r="E3500">
        <v>8917</v>
      </c>
      <c r="F3500" t="s">
        <v>23479</v>
      </c>
      <c r="G3500">
        <v>1</v>
      </c>
      <c r="H3500" t="s">
        <v>11663</v>
      </c>
      <c r="J3500" t="s">
        <v>11497</v>
      </c>
      <c r="K3500" t="s">
        <v>132</v>
      </c>
      <c r="L3500" t="s">
        <v>22</v>
      </c>
      <c r="M3500" t="s">
        <v>11701</v>
      </c>
      <c r="N3500" t="s">
        <v>11717</v>
      </c>
      <c r="O3500" t="s">
        <v>11718</v>
      </c>
      <c r="P3500" s="2" t="s">
        <v>37</v>
      </c>
      <c r="Q3500" t="s">
        <v>1208</v>
      </c>
      <c r="R3500">
        <v>0.49</v>
      </c>
      <c r="S3500">
        <v>62.6</v>
      </c>
      <c r="T3500" t="s">
        <v>11719</v>
      </c>
    </row>
    <row r="3501" spans="1:20" x14ac:dyDescent="0.25">
      <c r="A3501" s="1" t="str">
        <f>HYPERLINK("https://vegkart.atlas.vegvesen.no/#/@288428.8,6673486.4,18/hva:hva%5B0%5D%5Bfilter%5D%5B0%5D%5Boperator%5D=%21%3D&amp;hva%5B0%5D%5Bfilter%5D%5B0%5D%5Btype_id%5D=8917&amp;hva%5B0%5D%5Bfilter%5D%5B0%5D%5Bverdi%5D=&amp;hva%5B0%5D%5Bid%5D=49/når:2023-08-14", "Vegkart")</f>
        <v>Vegkart</v>
      </c>
      <c r="B3501">
        <v>1017878102</v>
      </c>
      <c r="C3501">
        <v>49</v>
      </c>
      <c r="D3501" t="s">
        <v>8701</v>
      </c>
      <c r="E3501">
        <v>8917</v>
      </c>
      <c r="F3501" t="s">
        <v>23479</v>
      </c>
      <c r="G3501">
        <v>1</v>
      </c>
      <c r="H3501" t="s">
        <v>11663</v>
      </c>
      <c r="J3501" t="s">
        <v>11497</v>
      </c>
      <c r="K3501" t="s">
        <v>132</v>
      </c>
      <c r="L3501" t="s">
        <v>22</v>
      </c>
      <c r="M3501" t="s">
        <v>11701</v>
      </c>
      <c r="N3501" t="s">
        <v>11720</v>
      </c>
      <c r="O3501" t="s">
        <v>11721</v>
      </c>
      <c r="P3501" s="2" t="s">
        <v>37</v>
      </c>
      <c r="Q3501" t="s">
        <v>1208</v>
      </c>
      <c r="R3501">
        <v>0.8</v>
      </c>
      <c r="S3501">
        <v>27.28</v>
      </c>
      <c r="T3501" t="s">
        <v>11722</v>
      </c>
    </row>
    <row r="3502" spans="1:20" x14ac:dyDescent="0.25">
      <c r="A3502" s="1" t="str">
        <f>HYPERLINK("https://vegkart.atlas.vegvesen.no/#/@288105.2,6673570.7,18/hva:hva%5B0%5D%5Bfilter%5D%5B0%5D%5Boperator%5D=%21%3D&amp;hva%5B0%5D%5Bfilter%5D%5B0%5D%5Btype_id%5D=8917&amp;hva%5B0%5D%5Bfilter%5D%5B0%5D%5Bverdi%5D=&amp;hva%5B0%5D%5Bid%5D=49/når:2023-08-14", "Vegkart")</f>
        <v>Vegkart</v>
      </c>
      <c r="B3502">
        <v>1017878115</v>
      </c>
      <c r="C3502">
        <v>49</v>
      </c>
      <c r="D3502" t="s">
        <v>8701</v>
      </c>
      <c r="E3502">
        <v>8917</v>
      </c>
      <c r="F3502" t="s">
        <v>23479</v>
      </c>
      <c r="G3502">
        <v>1</v>
      </c>
      <c r="H3502" t="s">
        <v>11663</v>
      </c>
      <c r="J3502" t="s">
        <v>11497</v>
      </c>
      <c r="K3502" t="s">
        <v>132</v>
      </c>
      <c r="L3502" t="s">
        <v>22</v>
      </c>
      <c r="M3502" t="s">
        <v>11701</v>
      </c>
      <c r="N3502" t="s">
        <v>11723</v>
      </c>
      <c r="O3502" t="s">
        <v>11724</v>
      </c>
      <c r="P3502" s="2" t="s">
        <v>37</v>
      </c>
      <c r="Q3502" t="s">
        <v>1208</v>
      </c>
      <c r="R3502">
        <v>0.82</v>
      </c>
      <c r="S3502">
        <v>26.83</v>
      </c>
      <c r="T3502" t="s">
        <v>11725</v>
      </c>
    </row>
    <row r="3503" spans="1:20" x14ac:dyDescent="0.25">
      <c r="A3503" s="1" t="str">
        <f>HYPERLINK("https://vegkart.atlas.vegvesen.no/#/@287962.8,6673607.1,18/hva:hva%5B0%5D%5Bfilter%5D%5B0%5D%5Boperator%5D=%21%3D&amp;hva%5B0%5D%5Bfilter%5D%5B0%5D%5Btype_id%5D=8917&amp;hva%5B0%5D%5Bfilter%5D%5B0%5D%5Bverdi%5D=&amp;hva%5B0%5D%5Bid%5D=49/når:2023-08-14", "Vegkart")</f>
        <v>Vegkart</v>
      </c>
      <c r="B3503">
        <v>1017878151</v>
      </c>
      <c r="C3503">
        <v>49</v>
      </c>
      <c r="D3503" t="s">
        <v>8701</v>
      </c>
      <c r="E3503">
        <v>8917</v>
      </c>
      <c r="F3503" t="s">
        <v>23479</v>
      </c>
      <c r="G3503">
        <v>1</v>
      </c>
      <c r="H3503" t="s">
        <v>11663</v>
      </c>
      <c r="J3503" t="s">
        <v>11497</v>
      </c>
      <c r="K3503" t="s">
        <v>132</v>
      </c>
      <c r="L3503" t="s">
        <v>22</v>
      </c>
      <c r="M3503" t="s">
        <v>11701</v>
      </c>
      <c r="N3503" t="s">
        <v>11726</v>
      </c>
      <c r="O3503" t="s">
        <v>11727</v>
      </c>
      <c r="P3503" s="2" t="s">
        <v>37</v>
      </c>
      <c r="Q3503" t="s">
        <v>1208</v>
      </c>
      <c r="R3503">
        <v>0.56999999999999995</v>
      </c>
      <c r="S3503">
        <v>26.65</v>
      </c>
      <c r="T3503" t="s">
        <v>11728</v>
      </c>
    </row>
    <row r="3504" spans="1:20" x14ac:dyDescent="0.25">
      <c r="A3504" s="1" t="str">
        <f>HYPERLINK("https://vegkart.atlas.vegvesen.no/#/@287943.2,6673612.1,18/hva:hva%5B0%5D%5Bfilter%5D%5B0%5D%5Boperator%5D=%21%3D&amp;hva%5B0%5D%5Bfilter%5D%5B0%5D%5Btype_id%5D=8917&amp;hva%5B0%5D%5Bfilter%5D%5B0%5D%5Bverdi%5D=&amp;hva%5B0%5D%5Bid%5D=49/når:2023-08-14", "Vegkart")</f>
        <v>Vegkart</v>
      </c>
      <c r="B3504">
        <v>1017878166</v>
      </c>
      <c r="C3504">
        <v>49</v>
      </c>
      <c r="D3504" t="s">
        <v>8701</v>
      </c>
      <c r="E3504">
        <v>8917</v>
      </c>
      <c r="F3504" t="s">
        <v>23479</v>
      </c>
      <c r="G3504">
        <v>1</v>
      </c>
      <c r="H3504" t="s">
        <v>11663</v>
      </c>
      <c r="J3504" t="s">
        <v>11497</v>
      </c>
      <c r="K3504" t="s">
        <v>132</v>
      </c>
      <c r="L3504" t="s">
        <v>22</v>
      </c>
      <c r="M3504" t="s">
        <v>11701</v>
      </c>
      <c r="N3504" t="s">
        <v>11729</v>
      </c>
      <c r="O3504" t="s">
        <v>11730</v>
      </c>
      <c r="P3504" s="2" t="s">
        <v>37</v>
      </c>
      <c r="Q3504" t="s">
        <v>1208</v>
      </c>
      <c r="R3504">
        <v>0.7</v>
      </c>
      <c r="S3504">
        <v>45.86</v>
      </c>
      <c r="T3504" t="s">
        <v>11731</v>
      </c>
    </row>
    <row r="3505" spans="1:20" x14ac:dyDescent="0.25">
      <c r="A3505" s="1" t="str">
        <f>HYPERLINK("https://vegkart.atlas.vegvesen.no/#/@288204.1,6673897.9,18/hva:hva%5B0%5D%5Bfilter%5D%5B0%5D%5Boperator%5D=%21%3D&amp;hva%5B0%5D%5Bfilter%5D%5B0%5D%5Btype_id%5D=8917&amp;hva%5B0%5D%5Bfilter%5D%5B0%5D%5Bverdi%5D=&amp;hva%5B0%5D%5Bid%5D=49/når:2023-08-14", "Vegkart")</f>
        <v>Vegkart</v>
      </c>
      <c r="B3505">
        <v>1017878305</v>
      </c>
      <c r="C3505">
        <v>49</v>
      </c>
      <c r="D3505" t="s">
        <v>8701</v>
      </c>
      <c r="E3505">
        <v>8917</v>
      </c>
      <c r="F3505" t="s">
        <v>23479</v>
      </c>
      <c r="G3505">
        <v>1</v>
      </c>
      <c r="H3505" t="s">
        <v>11663</v>
      </c>
      <c r="J3505" t="s">
        <v>11497</v>
      </c>
      <c r="K3505" t="s">
        <v>132</v>
      </c>
      <c r="L3505" t="s">
        <v>22</v>
      </c>
      <c r="M3505" t="s">
        <v>11732</v>
      </c>
      <c r="N3505" t="s">
        <v>11733</v>
      </c>
      <c r="O3505" t="s">
        <v>11734</v>
      </c>
      <c r="P3505" s="2" t="s">
        <v>37</v>
      </c>
      <c r="Q3505" t="s">
        <v>1208</v>
      </c>
      <c r="R3505">
        <v>0.51</v>
      </c>
      <c r="S3505">
        <v>29.97</v>
      </c>
      <c r="T3505" t="s">
        <v>11735</v>
      </c>
    </row>
    <row r="3506" spans="1:20" x14ac:dyDescent="0.25">
      <c r="A3506" s="1" t="str">
        <f>HYPERLINK("https://vegkart.atlas.vegvesen.no/#/@288420.0,6674499.0,18/hva:hva%5B0%5D%5Bfilter%5D%5B0%5D%5Boperator%5D=%21%3D&amp;hva%5B0%5D%5Bfilter%5D%5B0%5D%5Btype_id%5D=8917&amp;hva%5B0%5D%5Bfilter%5D%5B0%5D%5Bverdi%5D=&amp;hva%5B0%5D%5Bid%5D=49/når:2023-08-14", "Vegkart")</f>
        <v>Vegkart</v>
      </c>
      <c r="B3506">
        <v>1017878318</v>
      </c>
      <c r="C3506">
        <v>49</v>
      </c>
      <c r="D3506" t="s">
        <v>8701</v>
      </c>
      <c r="E3506">
        <v>8917</v>
      </c>
      <c r="F3506" t="s">
        <v>23479</v>
      </c>
      <c r="G3506">
        <v>1</v>
      </c>
      <c r="H3506" t="s">
        <v>11663</v>
      </c>
      <c r="J3506" t="s">
        <v>11497</v>
      </c>
      <c r="K3506" t="s">
        <v>132</v>
      </c>
      <c r="L3506" t="s">
        <v>22</v>
      </c>
      <c r="M3506" t="s">
        <v>11732</v>
      </c>
      <c r="N3506" t="s">
        <v>11736</v>
      </c>
      <c r="O3506" t="s">
        <v>11737</v>
      </c>
      <c r="P3506" s="2" t="s">
        <v>37</v>
      </c>
      <c r="Q3506" t="s">
        <v>1208</v>
      </c>
      <c r="R3506">
        <v>0.4</v>
      </c>
      <c r="S3506">
        <v>33.96</v>
      </c>
      <c r="T3506" t="s">
        <v>11738</v>
      </c>
    </row>
    <row r="3507" spans="1:20" x14ac:dyDescent="0.25">
      <c r="A3507" s="1" t="str">
        <f>HYPERLINK("https://vegkart.atlas.vegvesen.no/#/@288332.0,6673693.3,18/hva:hva%5B0%5D%5Bfilter%5D%5B0%5D%5Boperator%5D=%21%3D&amp;hva%5B0%5D%5Bfilter%5D%5B0%5D%5Btype_id%5D=8917&amp;hva%5B0%5D%5Bfilter%5D%5B0%5D%5Bverdi%5D=&amp;hva%5B0%5D%5Bid%5D=49/når:2023-08-14", "Vegkart")</f>
        <v>Vegkart</v>
      </c>
      <c r="B3507">
        <v>1017878322</v>
      </c>
      <c r="C3507">
        <v>49</v>
      </c>
      <c r="D3507" t="s">
        <v>8701</v>
      </c>
      <c r="E3507">
        <v>8917</v>
      </c>
      <c r="F3507" t="s">
        <v>23479</v>
      </c>
      <c r="G3507">
        <v>1</v>
      </c>
      <c r="H3507" t="s">
        <v>11663</v>
      </c>
      <c r="J3507" t="s">
        <v>11497</v>
      </c>
      <c r="K3507" t="s">
        <v>132</v>
      </c>
      <c r="L3507" t="s">
        <v>22</v>
      </c>
      <c r="M3507" t="s">
        <v>3451</v>
      </c>
      <c r="N3507" t="s">
        <v>11739</v>
      </c>
      <c r="O3507" t="s">
        <v>11740</v>
      </c>
      <c r="P3507" s="2" t="s">
        <v>37</v>
      </c>
      <c r="Q3507" t="s">
        <v>1208</v>
      </c>
      <c r="R3507">
        <v>0.68</v>
      </c>
      <c r="S3507">
        <v>35.33</v>
      </c>
      <c r="T3507" t="s">
        <v>11741</v>
      </c>
    </row>
    <row r="3508" spans="1:20" x14ac:dyDescent="0.25">
      <c r="A3508" s="1" t="str">
        <f>HYPERLINK("https://vegkart.atlas.vegvesen.no/#/@288211.8,6673916.9,18/hva:hva%5B0%5D%5Bfilter%5D%5B0%5D%5Boperator%5D=%21%3D&amp;hva%5B0%5D%5Bfilter%5D%5B0%5D%5Btype_id%5D=8917&amp;hva%5B0%5D%5Bfilter%5D%5B0%5D%5Bverdi%5D=&amp;hva%5B0%5D%5Bid%5D=49/når:2023-08-14", "Vegkart")</f>
        <v>Vegkart</v>
      </c>
      <c r="B3508">
        <v>1017878329</v>
      </c>
      <c r="C3508">
        <v>49</v>
      </c>
      <c r="D3508" t="s">
        <v>8701</v>
      </c>
      <c r="E3508">
        <v>8917</v>
      </c>
      <c r="F3508" t="s">
        <v>23479</v>
      </c>
      <c r="G3508">
        <v>1</v>
      </c>
      <c r="H3508" t="s">
        <v>11663</v>
      </c>
      <c r="J3508" t="s">
        <v>11497</v>
      </c>
      <c r="K3508" t="s">
        <v>132</v>
      </c>
      <c r="L3508" t="s">
        <v>22</v>
      </c>
      <c r="M3508" t="s">
        <v>11732</v>
      </c>
      <c r="N3508" t="s">
        <v>11742</v>
      </c>
      <c r="O3508" t="s">
        <v>11743</v>
      </c>
      <c r="P3508" s="2" t="s">
        <v>37</v>
      </c>
      <c r="Q3508" t="s">
        <v>1208</v>
      </c>
      <c r="R3508">
        <v>0.75</v>
      </c>
      <c r="S3508">
        <v>42.36</v>
      </c>
      <c r="T3508" t="s">
        <v>11744</v>
      </c>
    </row>
    <row r="3509" spans="1:20" x14ac:dyDescent="0.25">
      <c r="A3509" s="1" t="str">
        <f>HYPERLINK("https://vegkart.atlas.vegvesen.no/#/@288198.8,6673929.5,18/hva:hva%5B0%5D%5Bfilter%5D%5B0%5D%5Boperator%5D=%21%3D&amp;hva%5B0%5D%5Bfilter%5D%5B0%5D%5Btype_id%5D=8917&amp;hva%5B0%5D%5Bfilter%5D%5B0%5D%5Bverdi%5D=&amp;hva%5B0%5D%5Bid%5D=49/når:2023-08-14", "Vegkart")</f>
        <v>Vegkart</v>
      </c>
      <c r="B3509">
        <v>1017878331</v>
      </c>
      <c r="C3509">
        <v>49</v>
      </c>
      <c r="D3509" t="s">
        <v>8701</v>
      </c>
      <c r="E3509">
        <v>8917</v>
      </c>
      <c r="F3509" t="s">
        <v>23479</v>
      </c>
      <c r="G3509">
        <v>1</v>
      </c>
      <c r="H3509" t="s">
        <v>11663</v>
      </c>
      <c r="J3509" t="s">
        <v>11497</v>
      </c>
      <c r="K3509" t="s">
        <v>132</v>
      </c>
      <c r="L3509" t="s">
        <v>22</v>
      </c>
      <c r="M3509" t="s">
        <v>11732</v>
      </c>
      <c r="N3509" t="s">
        <v>11745</v>
      </c>
      <c r="O3509" t="s">
        <v>11746</v>
      </c>
      <c r="P3509" s="2" t="s">
        <v>37</v>
      </c>
      <c r="Q3509" t="s">
        <v>1208</v>
      </c>
      <c r="R3509">
        <v>0.3</v>
      </c>
      <c r="S3509">
        <v>22.02</v>
      </c>
      <c r="T3509" t="s">
        <v>11747</v>
      </c>
    </row>
    <row r="3510" spans="1:20" x14ac:dyDescent="0.25">
      <c r="A3510" s="1" t="str">
        <f>HYPERLINK("https://vegkart.atlas.vegvesen.no/#/@288192.9,6673935.8,18/hva:hva%5B0%5D%5Bfilter%5D%5B0%5D%5Boperator%5D=%21%3D&amp;hva%5B0%5D%5Bfilter%5D%5B0%5D%5Btype_id%5D=8917&amp;hva%5B0%5D%5Bfilter%5D%5B0%5D%5Bverdi%5D=&amp;hva%5B0%5D%5Bid%5D=49/når:2023-08-14", "Vegkart")</f>
        <v>Vegkart</v>
      </c>
      <c r="B3510">
        <v>1017878336</v>
      </c>
      <c r="C3510">
        <v>49</v>
      </c>
      <c r="D3510" t="s">
        <v>8701</v>
      </c>
      <c r="E3510">
        <v>8917</v>
      </c>
      <c r="F3510" t="s">
        <v>23479</v>
      </c>
      <c r="G3510">
        <v>1</v>
      </c>
      <c r="H3510" t="s">
        <v>11663</v>
      </c>
      <c r="J3510" t="s">
        <v>11497</v>
      </c>
      <c r="K3510" t="s">
        <v>132</v>
      </c>
      <c r="L3510" t="s">
        <v>22</v>
      </c>
      <c r="M3510" t="s">
        <v>11732</v>
      </c>
      <c r="N3510" t="s">
        <v>11748</v>
      </c>
      <c r="O3510" t="s">
        <v>11749</v>
      </c>
      <c r="P3510" s="2" t="s">
        <v>37</v>
      </c>
      <c r="Q3510" t="s">
        <v>1208</v>
      </c>
      <c r="R3510">
        <v>0.6</v>
      </c>
      <c r="S3510">
        <v>8.07</v>
      </c>
      <c r="T3510" t="s">
        <v>11750</v>
      </c>
    </row>
    <row r="3511" spans="1:20" x14ac:dyDescent="0.25">
      <c r="A3511" s="1" t="str">
        <f>HYPERLINK("https://vegkart.atlas.vegvesen.no/#/@288400.3,6673951.2,18/hva:hva%5B0%5D%5Bfilter%5D%5B0%5D%5Boperator%5D=%21%3D&amp;hva%5B0%5D%5Bfilter%5D%5B0%5D%5Btype_id%5D=8917&amp;hva%5B0%5D%5Bfilter%5D%5B0%5D%5Bverdi%5D=&amp;hva%5B0%5D%5Bid%5D=49/når:2023-08-14", "Vegkart")</f>
        <v>Vegkart</v>
      </c>
      <c r="B3511">
        <v>1017878349</v>
      </c>
      <c r="C3511">
        <v>49</v>
      </c>
      <c r="D3511" t="s">
        <v>8701</v>
      </c>
      <c r="E3511">
        <v>8917</v>
      </c>
      <c r="F3511" t="s">
        <v>23479</v>
      </c>
      <c r="G3511">
        <v>1</v>
      </c>
      <c r="H3511" t="s">
        <v>11663</v>
      </c>
      <c r="J3511" t="s">
        <v>11497</v>
      </c>
      <c r="K3511" t="s">
        <v>132</v>
      </c>
      <c r="L3511" t="s">
        <v>22</v>
      </c>
      <c r="M3511" t="s">
        <v>11751</v>
      </c>
      <c r="N3511" t="s">
        <v>11752</v>
      </c>
      <c r="O3511" t="s">
        <v>11753</v>
      </c>
      <c r="P3511" s="2" t="s">
        <v>37</v>
      </c>
      <c r="Q3511" t="s">
        <v>1208</v>
      </c>
      <c r="R3511">
        <v>0.7</v>
      </c>
      <c r="S3511">
        <v>28.8</v>
      </c>
      <c r="T3511" t="s">
        <v>11754</v>
      </c>
    </row>
    <row r="3512" spans="1:20" x14ac:dyDescent="0.25">
      <c r="A3512" s="1" t="str">
        <f>HYPERLINK("https://vegkart.atlas.vegvesen.no/#/@288233.0,6673918.4,18/hva:hva%5B0%5D%5Bfilter%5D%5B0%5D%5Boperator%5D=%21%3D&amp;hva%5B0%5D%5Bfilter%5D%5B0%5D%5Btype_id%5D=8917&amp;hva%5B0%5D%5Bfilter%5D%5B0%5D%5Bverdi%5D=&amp;hva%5B0%5D%5Bid%5D=49/når:2023-08-14", "Vegkart")</f>
        <v>Vegkart</v>
      </c>
      <c r="B3512">
        <v>1017878351</v>
      </c>
      <c r="C3512">
        <v>49</v>
      </c>
      <c r="D3512" t="s">
        <v>8701</v>
      </c>
      <c r="E3512">
        <v>8917</v>
      </c>
      <c r="F3512" t="s">
        <v>23479</v>
      </c>
      <c r="G3512">
        <v>1</v>
      </c>
      <c r="H3512" t="s">
        <v>11663</v>
      </c>
      <c r="J3512" t="s">
        <v>11497</v>
      </c>
      <c r="K3512" t="s">
        <v>132</v>
      </c>
      <c r="L3512" t="s">
        <v>22</v>
      </c>
      <c r="M3512" t="s">
        <v>11751</v>
      </c>
      <c r="N3512" t="s">
        <v>11755</v>
      </c>
      <c r="O3512" t="s">
        <v>11756</v>
      </c>
      <c r="P3512" s="2" t="s">
        <v>37</v>
      </c>
      <c r="Q3512" t="s">
        <v>1208</v>
      </c>
      <c r="R3512">
        <v>0.74</v>
      </c>
      <c r="S3512">
        <v>31.19</v>
      </c>
      <c r="T3512" t="s">
        <v>11757</v>
      </c>
    </row>
    <row r="3513" spans="1:20" x14ac:dyDescent="0.25">
      <c r="A3513" s="1" t="str">
        <f>HYPERLINK("https://vegkart.atlas.vegvesen.no/#/@288290.5,6675712.7,18/hva:hva%5B0%5D%5Bfilter%5D%5B0%5D%5Boperator%5D=%21%3D&amp;hva%5B0%5D%5Bfilter%5D%5B0%5D%5Btype_id%5D=8917&amp;hva%5B0%5D%5Bfilter%5D%5B0%5D%5Bverdi%5D=&amp;hva%5B0%5D%5Bid%5D=49/når:2023-08-15", "Vegkart")</f>
        <v>Vegkart</v>
      </c>
      <c r="B3513">
        <v>1017878838</v>
      </c>
      <c r="C3513">
        <v>49</v>
      </c>
      <c r="D3513" t="s">
        <v>8701</v>
      </c>
      <c r="E3513">
        <v>8917</v>
      </c>
      <c r="F3513" t="s">
        <v>23479</v>
      </c>
      <c r="G3513">
        <v>1</v>
      </c>
      <c r="H3513" t="s">
        <v>11758</v>
      </c>
      <c r="J3513" t="s">
        <v>11497</v>
      </c>
      <c r="K3513" t="s">
        <v>132</v>
      </c>
      <c r="L3513" t="s">
        <v>22</v>
      </c>
      <c r="M3513" t="s">
        <v>11759</v>
      </c>
      <c r="N3513" t="s">
        <v>11760</v>
      </c>
      <c r="O3513" t="s">
        <v>11761</v>
      </c>
      <c r="P3513" s="2" t="s">
        <v>37</v>
      </c>
      <c r="Q3513" t="s">
        <v>1208</v>
      </c>
      <c r="R3513">
        <v>0.45</v>
      </c>
      <c r="S3513">
        <v>61.01</v>
      </c>
      <c r="T3513" t="s">
        <v>11762</v>
      </c>
    </row>
    <row r="3514" spans="1:20" x14ac:dyDescent="0.25">
      <c r="A3514" s="1" t="str">
        <f>HYPERLINK("https://vegkart.atlas.vegvesen.no/#/@288690.2,6673345.8,18/hva:hva%5B0%5D%5Bfilter%5D%5B0%5D%5Boperator%5D=%21%3D&amp;hva%5B0%5D%5Bfilter%5D%5B0%5D%5Btype_id%5D=8917&amp;hva%5B0%5D%5Bfilter%5D%5B0%5D%5Bverdi%5D=&amp;hva%5B0%5D%5Bid%5D=49/når:2023-08-15", "Vegkart")</f>
        <v>Vegkart</v>
      </c>
      <c r="B3514">
        <v>1017879215</v>
      </c>
      <c r="C3514">
        <v>49</v>
      </c>
      <c r="D3514" t="s">
        <v>8701</v>
      </c>
      <c r="E3514">
        <v>8917</v>
      </c>
      <c r="F3514" t="s">
        <v>23479</v>
      </c>
      <c r="G3514">
        <v>1</v>
      </c>
      <c r="H3514" t="s">
        <v>11758</v>
      </c>
      <c r="J3514" t="s">
        <v>11497</v>
      </c>
      <c r="K3514" t="s">
        <v>132</v>
      </c>
      <c r="L3514" t="s">
        <v>22</v>
      </c>
      <c r="M3514" t="s">
        <v>11701</v>
      </c>
      <c r="N3514" t="s">
        <v>11763</v>
      </c>
      <c r="O3514" t="s">
        <v>11764</v>
      </c>
      <c r="P3514" s="2" t="s">
        <v>37</v>
      </c>
      <c r="Q3514" t="s">
        <v>1208</v>
      </c>
      <c r="R3514">
        <v>0.71</v>
      </c>
      <c r="S3514">
        <v>57.53</v>
      </c>
      <c r="T3514" t="s">
        <v>11765</v>
      </c>
    </row>
    <row r="3515" spans="1:20" x14ac:dyDescent="0.25">
      <c r="A3515" s="1" t="str">
        <f>HYPERLINK("https://vegkart.atlas.vegvesen.no/#/@288708.7,6673888.7,18/hva:hva%5B0%5D%5Bfilter%5D%5B0%5D%5Boperator%5D=%21%3D&amp;hva%5B0%5D%5Bfilter%5D%5B0%5D%5Btype_id%5D=8917&amp;hva%5B0%5D%5Bfilter%5D%5B0%5D%5Bverdi%5D=&amp;hva%5B0%5D%5Bid%5D=49/når:2023-08-15", "Vegkart")</f>
        <v>Vegkart</v>
      </c>
      <c r="B3515">
        <v>1017879224</v>
      </c>
      <c r="C3515">
        <v>49</v>
      </c>
      <c r="D3515" t="s">
        <v>8701</v>
      </c>
      <c r="E3515">
        <v>8917</v>
      </c>
      <c r="F3515" t="s">
        <v>23479</v>
      </c>
      <c r="G3515">
        <v>1</v>
      </c>
      <c r="H3515" t="s">
        <v>11758</v>
      </c>
      <c r="J3515" t="s">
        <v>11497</v>
      </c>
      <c r="K3515" t="s">
        <v>132</v>
      </c>
      <c r="L3515" t="s">
        <v>22</v>
      </c>
      <c r="M3515" t="s">
        <v>11766</v>
      </c>
      <c r="N3515" t="s">
        <v>11767</v>
      </c>
      <c r="O3515" t="s">
        <v>11768</v>
      </c>
      <c r="P3515" s="2" t="s">
        <v>37</v>
      </c>
      <c r="Q3515" t="s">
        <v>1208</v>
      </c>
      <c r="R3515">
        <v>0.28999999999999998</v>
      </c>
      <c r="S3515">
        <v>28.33</v>
      </c>
      <c r="T3515" t="s">
        <v>11769</v>
      </c>
    </row>
    <row r="3516" spans="1:20" x14ac:dyDescent="0.25">
      <c r="A3516" s="1" t="str">
        <f>HYPERLINK("https://vegkart.atlas.vegvesen.no/#/@284938.4,6674098.5,18/hva:hva%5B0%5D%5Bfilter%5D%5B0%5D%5Boperator%5D=%21%3D&amp;hva%5B0%5D%5Bfilter%5D%5B0%5D%5Btype_id%5D=8917&amp;hva%5B0%5D%5Bfilter%5D%5B0%5D%5Bverdi%5D=&amp;hva%5B0%5D%5Bid%5D=49/når:2023-08-15", "Vegkart")</f>
        <v>Vegkart</v>
      </c>
      <c r="B3516">
        <v>1017879491</v>
      </c>
      <c r="C3516">
        <v>49</v>
      </c>
      <c r="D3516" t="s">
        <v>8701</v>
      </c>
      <c r="E3516">
        <v>8917</v>
      </c>
      <c r="F3516" t="s">
        <v>23479</v>
      </c>
      <c r="G3516">
        <v>1</v>
      </c>
      <c r="H3516" t="s">
        <v>11758</v>
      </c>
      <c r="J3516" t="s">
        <v>11497</v>
      </c>
      <c r="K3516" t="s">
        <v>132</v>
      </c>
      <c r="L3516" t="s">
        <v>22</v>
      </c>
      <c r="M3516" t="s">
        <v>11770</v>
      </c>
      <c r="N3516" t="s">
        <v>11771</v>
      </c>
      <c r="O3516" t="s">
        <v>11772</v>
      </c>
      <c r="P3516" s="2" t="s">
        <v>37</v>
      </c>
      <c r="Q3516" t="s">
        <v>1208</v>
      </c>
      <c r="R3516">
        <v>0.47</v>
      </c>
      <c r="S3516">
        <v>19.809999999999999</v>
      </c>
      <c r="T3516" t="s">
        <v>11773</v>
      </c>
    </row>
    <row r="3517" spans="1:20" x14ac:dyDescent="0.25">
      <c r="A3517" s="1" t="str">
        <f>HYPERLINK("https://vegkart.atlas.vegvesen.no/#/@285214.6,6674792.8,18/hva:hva%5B0%5D%5Bfilter%5D%5B0%5D%5Boperator%5D=%21%3D&amp;hva%5B0%5D%5Bfilter%5D%5B0%5D%5Btype_id%5D=8917&amp;hva%5B0%5D%5Bfilter%5D%5B0%5D%5Bverdi%5D=&amp;hva%5B0%5D%5Bid%5D=49/når:2023-08-15", "Vegkart")</f>
        <v>Vegkart</v>
      </c>
      <c r="B3517">
        <v>1017879639</v>
      </c>
      <c r="C3517">
        <v>49</v>
      </c>
      <c r="D3517" t="s">
        <v>8701</v>
      </c>
      <c r="E3517">
        <v>8917</v>
      </c>
      <c r="F3517" t="s">
        <v>23479</v>
      </c>
      <c r="G3517">
        <v>1</v>
      </c>
      <c r="H3517" t="s">
        <v>11758</v>
      </c>
      <c r="J3517" t="s">
        <v>11497</v>
      </c>
      <c r="K3517" t="s">
        <v>132</v>
      </c>
      <c r="L3517" t="s">
        <v>22</v>
      </c>
      <c r="M3517" t="s">
        <v>104</v>
      </c>
      <c r="N3517" t="s">
        <v>11774</v>
      </c>
      <c r="O3517" t="s">
        <v>11775</v>
      </c>
      <c r="P3517" s="2" t="s">
        <v>37</v>
      </c>
      <c r="Q3517" t="s">
        <v>1208</v>
      </c>
      <c r="R3517">
        <v>0.22</v>
      </c>
      <c r="S3517">
        <v>14.22</v>
      </c>
      <c r="T3517" t="s">
        <v>11776</v>
      </c>
    </row>
    <row r="3518" spans="1:20" x14ac:dyDescent="0.25">
      <c r="A3518" s="1" t="str">
        <f>HYPERLINK("https://vegkart.atlas.vegvesen.no/#/@284582.4,6675436.6,18/hva:hva%5B0%5D%5Bfilter%5D%5B0%5D%5Boperator%5D=%21%3D&amp;hva%5B0%5D%5Bfilter%5D%5B0%5D%5Btype_id%5D=8917&amp;hva%5B0%5D%5Bfilter%5D%5B0%5D%5Bverdi%5D=&amp;hva%5B0%5D%5Bid%5D=49/når:2023-08-15", "Vegkart")</f>
        <v>Vegkart</v>
      </c>
      <c r="B3518">
        <v>1017879943</v>
      </c>
      <c r="C3518">
        <v>49</v>
      </c>
      <c r="D3518" t="s">
        <v>8701</v>
      </c>
      <c r="E3518">
        <v>8917</v>
      </c>
      <c r="F3518" t="s">
        <v>23479</v>
      </c>
      <c r="G3518">
        <v>1</v>
      </c>
      <c r="H3518" t="s">
        <v>11758</v>
      </c>
      <c r="J3518" t="s">
        <v>11497</v>
      </c>
      <c r="K3518" t="s">
        <v>132</v>
      </c>
      <c r="L3518" t="s">
        <v>22</v>
      </c>
      <c r="M3518" t="s">
        <v>11777</v>
      </c>
      <c r="N3518" t="s">
        <v>11778</v>
      </c>
      <c r="O3518" t="s">
        <v>11779</v>
      </c>
      <c r="P3518" s="2" t="s">
        <v>37</v>
      </c>
      <c r="Q3518" t="s">
        <v>1208</v>
      </c>
      <c r="R3518">
        <v>0.98</v>
      </c>
      <c r="S3518">
        <v>49.01</v>
      </c>
      <c r="T3518" t="s">
        <v>11780</v>
      </c>
    </row>
    <row r="3519" spans="1:20" x14ac:dyDescent="0.25">
      <c r="A3519" s="1" t="str">
        <f>HYPERLINK("https://vegkart.atlas.vegvesen.no/#/@284942.6,6674128.7,18/hva:hva%5B0%5D%5Bfilter%5D%5B0%5D%5Boperator%5D=%21%3D&amp;hva%5B0%5D%5Bfilter%5D%5B0%5D%5Btype_id%5D=8917&amp;hva%5B0%5D%5Bfilter%5D%5B0%5D%5Bverdi%5D=&amp;hva%5B0%5D%5Bid%5D=49/når:2023-08-15", "Vegkart")</f>
        <v>Vegkart</v>
      </c>
      <c r="B3519">
        <v>1017879945</v>
      </c>
      <c r="C3519">
        <v>49</v>
      </c>
      <c r="D3519" t="s">
        <v>8701</v>
      </c>
      <c r="E3519">
        <v>8917</v>
      </c>
      <c r="F3519" t="s">
        <v>23479</v>
      </c>
      <c r="G3519">
        <v>1</v>
      </c>
      <c r="H3519" t="s">
        <v>11758</v>
      </c>
      <c r="J3519" t="s">
        <v>11497</v>
      </c>
      <c r="K3519" t="s">
        <v>132</v>
      </c>
      <c r="L3519" t="s">
        <v>22</v>
      </c>
      <c r="M3519" t="s">
        <v>11781</v>
      </c>
      <c r="N3519" t="s">
        <v>11782</v>
      </c>
      <c r="O3519" t="s">
        <v>11783</v>
      </c>
      <c r="P3519" s="2" t="s">
        <v>37</v>
      </c>
      <c r="Q3519" t="s">
        <v>1208</v>
      </c>
      <c r="R3519">
        <v>0.43</v>
      </c>
      <c r="S3519">
        <v>17</v>
      </c>
      <c r="T3519" t="s">
        <v>11784</v>
      </c>
    </row>
    <row r="3520" spans="1:20" x14ac:dyDescent="0.25">
      <c r="A3520" s="1" t="str">
        <f>HYPERLINK("https://vegkart.atlas.vegvesen.no/#/@281992.6,6678669.9,18/hva:hva%5B0%5D%5Bfilter%5D%5B0%5D%5Boperator%5D=%21%3D&amp;hva%5B0%5D%5Bfilter%5D%5B0%5D%5Btype_id%5D=8917&amp;hva%5B0%5D%5Bfilter%5D%5B0%5D%5Bverdi%5D=&amp;hva%5B0%5D%5Bid%5D=49/når:2023-08-15", "Vegkart")</f>
        <v>Vegkart</v>
      </c>
      <c r="B3520">
        <v>1017880878</v>
      </c>
      <c r="C3520">
        <v>49</v>
      </c>
      <c r="D3520" t="s">
        <v>8701</v>
      </c>
      <c r="E3520">
        <v>8917</v>
      </c>
      <c r="F3520" t="s">
        <v>23479</v>
      </c>
      <c r="G3520">
        <v>1</v>
      </c>
      <c r="H3520" t="s">
        <v>11758</v>
      </c>
      <c r="J3520" t="s">
        <v>11497</v>
      </c>
      <c r="K3520" t="s">
        <v>132</v>
      </c>
      <c r="L3520" t="s">
        <v>22</v>
      </c>
      <c r="M3520" t="s">
        <v>672</v>
      </c>
      <c r="N3520" t="s">
        <v>11785</v>
      </c>
      <c r="O3520" t="s">
        <v>11786</v>
      </c>
      <c r="P3520" s="2" t="s">
        <v>37</v>
      </c>
      <c r="Q3520" t="s">
        <v>1208</v>
      </c>
      <c r="R3520">
        <v>0.28000000000000003</v>
      </c>
      <c r="S3520">
        <v>18.13</v>
      </c>
      <c r="T3520" t="s">
        <v>11787</v>
      </c>
    </row>
    <row r="3521" spans="1:20" x14ac:dyDescent="0.25">
      <c r="A3521" s="1" t="str">
        <f>HYPERLINK("https://vegkart.atlas.vegvesen.no/#/@281878.6,6679144.4,18/hva:hva%5B0%5D%5Bfilter%5D%5B0%5D%5Boperator%5D=%21%3D&amp;hva%5B0%5D%5Bfilter%5D%5B0%5D%5Btype_id%5D=8917&amp;hva%5B0%5D%5Bfilter%5D%5B0%5D%5Bverdi%5D=&amp;hva%5B0%5D%5Bid%5D=49/når:2023-08-15", "Vegkart")</f>
        <v>Vegkart</v>
      </c>
      <c r="B3521">
        <v>1017881377</v>
      </c>
      <c r="C3521">
        <v>49</v>
      </c>
      <c r="D3521" t="s">
        <v>8701</v>
      </c>
      <c r="E3521">
        <v>8917</v>
      </c>
      <c r="F3521" t="s">
        <v>23479</v>
      </c>
      <c r="G3521">
        <v>1</v>
      </c>
      <c r="H3521" t="s">
        <v>11758</v>
      </c>
      <c r="J3521" t="s">
        <v>11497</v>
      </c>
      <c r="K3521" t="s">
        <v>132</v>
      </c>
      <c r="L3521" t="s">
        <v>22</v>
      </c>
      <c r="M3521" t="s">
        <v>11788</v>
      </c>
      <c r="N3521" t="s">
        <v>11789</v>
      </c>
      <c r="O3521" t="s">
        <v>11790</v>
      </c>
      <c r="P3521" s="2" t="s">
        <v>37</v>
      </c>
      <c r="Q3521" t="s">
        <v>1208</v>
      </c>
      <c r="R3521">
        <v>0.89</v>
      </c>
      <c r="S3521">
        <v>41.27</v>
      </c>
      <c r="T3521" t="s">
        <v>11791</v>
      </c>
    </row>
    <row r="3522" spans="1:20" x14ac:dyDescent="0.25">
      <c r="A3522" s="1" t="str">
        <f>HYPERLINK("https://vegkart.atlas.vegvesen.no/#/@282082.2,6679467.3,18/hva:hva%5B0%5D%5Bfilter%5D%5B0%5D%5Boperator%5D=%21%3D&amp;hva%5B0%5D%5Bfilter%5D%5B0%5D%5Btype_id%5D=8917&amp;hva%5B0%5D%5Bfilter%5D%5B0%5D%5Bverdi%5D=&amp;hva%5B0%5D%5Bid%5D=49/når:2023-08-15", "Vegkart")</f>
        <v>Vegkart</v>
      </c>
      <c r="B3522">
        <v>1017881419</v>
      </c>
      <c r="C3522">
        <v>49</v>
      </c>
      <c r="D3522" t="s">
        <v>8701</v>
      </c>
      <c r="E3522">
        <v>8917</v>
      </c>
      <c r="F3522" t="s">
        <v>23479</v>
      </c>
      <c r="G3522">
        <v>1</v>
      </c>
      <c r="H3522" t="s">
        <v>11758</v>
      </c>
      <c r="J3522" t="s">
        <v>11497</v>
      </c>
      <c r="K3522" t="s">
        <v>132</v>
      </c>
      <c r="L3522" t="s">
        <v>22</v>
      </c>
      <c r="M3522" t="s">
        <v>11792</v>
      </c>
      <c r="N3522" t="s">
        <v>11793</v>
      </c>
      <c r="O3522" t="s">
        <v>11794</v>
      </c>
      <c r="P3522" s="2" t="s">
        <v>37</v>
      </c>
      <c r="Q3522" t="s">
        <v>1208</v>
      </c>
      <c r="R3522">
        <v>0.46</v>
      </c>
      <c r="S3522">
        <v>10.85</v>
      </c>
      <c r="T3522" t="s">
        <v>11795</v>
      </c>
    </row>
    <row r="3523" spans="1:20" x14ac:dyDescent="0.25">
      <c r="A3523" s="1" t="str">
        <f>HYPERLINK("https://vegkart.atlas.vegvesen.no/#/@282382.4,6679902.9,18/hva:hva%5B0%5D%5Bfilter%5D%5B0%5D%5Boperator%5D=%21%3D&amp;hva%5B0%5D%5Bfilter%5D%5B0%5D%5Btype_id%5D=8917&amp;hva%5B0%5D%5Bfilter%5D%5B0%5D%5Bverdi%5D=&amp;hva%5B0%5D%5Bid%5D=49/når:2023-08-15", "Vegkart")</f>
        <v>Vegkart</v>
      </c>
      <c r="B3523">
        <v>1017881425</v>
      </c>
      <c r="C3523">
        <v>49</v>
      </c>
      <c r="D3523" t="s">
        <v>8701</v>
      </c>
      <c r="E3523">
        <v>8917</v>
      </c>
      <c r="F3523" t="s">
        <v>23479</v>
      </c>
      <c r="G3523">
        <v>1</v>
      </c>
      <c r="H3523" t="s">
        <v>11758</v>
      </c>
      <c r="J3523" t="s">
        <v>11497</v>
      </c>
      <c r="K3523" t="s">
        <v>132</v>
      </c>
      <c r="L3523" t="s">
        <v>22</v>
      </c>
      <c r="M3523" t="s">
        <v>11792</v>
      </c>
      <c r="N3523" t="s">
        <v>11796</v>
      </c>
      <c r="O3523" t="s">
        <v>11797</v>
      </c>
      <c r="P3523" s="2" t="s">
        <v>37</v>
      </c>
      <c r="Q3523" t="s">
        <v>1208</v>
      </c>
      <c r="R3523">
        <v>0.73</v>
      </c>
      <c r="S3523">
        <v>29.41</v>
      </c>
      <c r="T3523" t="s">
        <v>11798</v>
      </c>
    </row>
    <row r="3524" spans="1:20" x14ac:dyDescent="0.25">
      <c r="A3524" s="1" t="str">
        <f>HYPERLINK("https://vegkart.atlas.vegvesen.no/#/@282078.5,6679453.2,18/hva:hva%5B0%5D%5Bfilter%5D%5B0%5D%5Boperator%5D=%21%3D&amp;hva%5B0%5D%5Bfilter%5D%5B0%5D%5Btype_id%5D=8917&amp;hva%5B0%5D%5Bfilter%5D%5B0%5D%5Bverdi%5D=&amp;hva%5B0%5D%5Bid%5D=49/når:2023-08-15", "Vegkart")</f>
        <v>Vegkart</v>
      </c>
      <c r="B3524">
        <v>1017881429</v>
      </c>
      <c r="C3524">
        <v>49</v>
      </c>
      <c r="D3524" t="s">
        <v>8701</v>
      </c>
      <c r="E3524">
        <v>8917</v>
      </c>
      <c r="F3524" t="s">
        <v>23479</v>
      </c>
      <c r="G3524">
        <v>1</v>
      </c>
      <c r="H3524" t="s">
        <v>11758</v>
      </c>
      <c r="J3524" t="s">
        <v>11497</v>
      </c>
      <c r="K3524" t="s">
        <v>132</v>
      </c>
      <c r="L3524" t="s">
        <v>22</v>
      </c>
      <c r="M3524" t="s">
        <v>11792</v>
      </c>
      <c r="N3524" t="s">
        <v>11799</v>
      </c>
      <c r="O3524" t="s">
        <v>11800</v>
      </c>
      <c r="P3524" s="2" t="s">
        <v>37</v>
      </c>
      <c r="Q3524" t="s">
        <v>1208</v>
      </c>
      <c r="R3524">
        <v>0.87</v>
      </c>
      <c r="S3524">
        <v>29.43</v>
      </c>
      <c r="T3524" t="s">
        <v>11801</v>
      </c>
    </row>
    <row r="3525" spans="1:20" x14ac:dyDescent="0.25">
      <c r="A3525" s="1" t="str">
        <f>HYPERLINK("https://vegkart.atlas.vegvesen.no/#/@281977.2,6679476.1,18/hva:hva%5B0%5D%5Bfilter%5D%5B0%5D%5Boperator%5D=%21%3D&amp;hva%5B0%5D%5Bfilter%5D%5B0%5D%5Btype_id%5D=8917&amp;hva%5B0%5D%5Bfilter%5D%5B0%5D%5Bverdi%5D=&amp;hva%5B0%5D%5Bid%5D=49/når:2023-08-15", "Vegkart")</f>
        <v>Vegkart</v>
      </c>
      <c r="B3525">
        <v>1017881433</v>
      </c>
      <c r="C3525">
        <v>49</v>
      </c>
      <c r="D3525" t="s">
        <v>8701</v>
      </c>
      <c r="E3525">
        <v>8917</v>
      </c>
      <c r="F3525" t="s">
        <v>23479</v>
      </c>
      <c r="G3525">
        <v>1</v>
      </c>
      <c r="H3525" t="s">
        <v>11758</v>
      </c>
      <c r="J3525" t="s">
        <v>11497</v>
      </c>
      <c r="K3525" t="s">
        <v>132</v>
      </c>
      <c r="L3525" t="s">
        <v>22</v>
      </c>
      <c r="M3525" t="s">
        <v>11792</v>
      </c>
      <c r="N3525" t="s">
        <v>11802</v>
      </c>
      <c r="O3525" t="s">
        <v>11803</v>
      </c>
      <c r="P3525" s="2" t="s">
        <v>37</v>
      </c>
      <c r="Q3525" t="s">
        <v>1208</v>
      </c>
      <c r="R3525">
        <v>0.48</v>
      </c>
      <c r="S3525">
        <v>30.86</v>
      </c>
      <c r="T3525" t="s">
        <v>11804</v>
      </c>
    </row>
    <row r="3526" spans="1:20" x14ac:dyDescent="0.25">
      <c r="A3526" s="1" t="str">
        <f>HYPERLINK("https://vegkart.atlas.vegvesen.no/#/@282063.9,6679456.0,18/hva:hva%5B0%5D%5Bfilter%5D%5B0%5D%5Boperator%5D=%21%3D&amp;hva%5B0%5D%5Bfilter%5D%5B0%5D%5Btype_id%5D=8917&amp;hva%5B0%5D%5Bfilter%5D%5B0%5D%5Bverdi%5D=&amp;hva%5B0%5D%5Bid%5D=49/når:2023-08-15", "Vegkart")</f>
        <v>Vegkart</v>
      </c>
      <c r="B3526">
        <v>1017881435</v>
      </c>
      <c r="C3526">
        <v>49</v>
      </c>
      <c r="D3526" t="s">
        <v>8701</v>
      </c>
      <c r="E3526">
        <v>8917</v>
      </c>
      <c r="F3526" t="s">
        <v>23479</v>
      </c>
      <c r="G3526">
        <v>1</v>
      </c>
      <c r="H3526" t="s">
        <v>11758</v>
      </c>
      <c r="J3526" t="s">
        <v>11497</v>
      </c>
      <c r="K3526" t="s">
        <v>132</v>
      </c>
      <c r="L3526" t="s">
        <v>22</v>
      </c>
      <c r="M3526" t="s">
        <v>11792</v>
      </c>
      <c r="N3526" t="s">
        <v>11805</v>
      </c>
      <c r="O3526" t="s">
        <v>11806</v>
      </c>
      <c r="P3526" s="2" t="s">
        <v>37</v>
      </c>
      <c r="Q3526" t="s">
        <v>1208</v>
      </c>
      <c r="R3526">
        <v>0.61</v>
      </c>
      <c r="S3526">
        <v>13.54</v>
      </c>
      <c r="T3526" t="s">
        <v>11807</v>
      </c>
    </row>
    <row r="3527" spans="1:20" x14ac:dyDescent="0.25">
      <c r="A3527" s="1" t="str">
        <f>HYPERLINK("https://vegkart.atlas.vegvesen.no/#/@282075.1,6679439.4,18/hva:hva%5B0%5D%5Bfilter%5D%5B0%5D%5Boperator%5D=%21%3D&amp;hva%5B0%5D%5Bfilter%5D%5B0%5D%5Btype_id%5D=8917&amp;hva%5B0%5D%5Bfilter%5D%5B0%5D%5Bverdi%5D=&amp;hva%5B0%5D%5Bid%5D=49/når:2023-08-15", "Vegkart")</f>
        <v>Vegkart</v>
      </c>
      <c r="B3527">
        <v>1017881440</v>
      </c>
      <c r="C3527">
        <v>49</v>
      </c>
      <c r="D3527" t="s">
        <v>8701</v>
      </c>
      <c r="E3527">
        <v>8917</v>
      </c>
      <c r="F3527" t="s">
        <v>23479</v>
      </c>
      <c r="G3527">
        <v>1</v>
      </c>
      <c r="H3527" t="s">
        <v>11758</v>
      </c>
      <c r="J3527" t="s">
        <v>11497</v>
      </c>
      <c r="K3527" t="s">
        <v>132</v>
      </c>
      <c r="L3527" t="s">
        <v>22</v>
      </c>
      <c r="M3527" t="s">
        <v>11792</v>
      </c>
      <c r="N3527" t="s">
        <v>11808</v>
      </c>
      <c r="O3527" t="s">
        <v>11809</v>
      </c>
      <c r="P3527" s="2" t="s">
        <v>37</v>
      </c>
      <c r="Q3527" t="s">
        <v>1208</v>
      </c>
      <c r="R3527">
        <v>0.42</v>
      </c>
      <c r="S3527">
        <v>14.13</v>
      </c>
      <c r="T3527" t="s">
        <v>11810</v>
      </c>
    </row>
    <row r="3528" spans="1:20" x14ac:dyDescent="0.25">
      <c r="A3528" s="1" t="str">
        <f>HYPERLINK("https://vegkart.atlas.vegvesen.no/#/@286740.8,6676196.4,18/hva:hva%5B0%5D%5Bfilter%5D%5B0%5D%5Boperator%5D=%21%3D&amp;hva%5B0%5D%5Bfilter%5D%5B0%5D%5Btype_id%5D=8917&amp;hva%5B0%5D%5Bfilter%5D%5B0%5D%5Bverdi%5D=&amp;hva%5B0%5D%5Bid%5D=49/når:2023-08-16", "Vegkart")</f>
        <v>Vegkart</v>
      </c>
      <c r="B3528">
        <v>1017883080</v>
      </c>
      <c r="C3528">
        <v>49</v>
      </c>
      <c r="D3528" t="s">
        <v>8701</v>
      </c>
      <c r="E3528">
        <v>8917</v>
      </c>
      <c r="F3528" t="s">
        <v>23479</v>
      </c>
      <c r="G3528">
        <v>1</v>
      </c>
      <c r="H3528" t="s">
        <v>896</v>
      </c>
      <c r="J3528" t="s">
        <v>11497</v>
      </c>
      <c r="K3528" t="s">
        <v>132</v>
      </c>
      <c r="L3528" t="s">
        <v>22</v>
      </c>
      <c r="M3528" t="s">
        <v>11811</v>
      </c>
      <c r="N3528" t="s">
        <v>11812</v>
      </c>
      <c r="O3528" t="s">
        <v>11813</v>
      </c>
      <c r="P3528" s="2" t="s">
        <v>37</v>
      </c>
      <c r="Q3528" t="s">
        <v>1208</v>
      </c>
      <c r="R3528">
        <v>0.57999999999999996</v>
      </c>
      <c r="S3528">
        <v>21.96</v>
      </c>
      <c r="T3528" t="s">
        <v>11814</v>
      </c>
    </row>
    <row r="3529" spans="1:20" x14ac:dyDescent="0.25">
      <c r="A3529" s="1" t="str">
        <f>HYPERLINK("https://vegkart.atlas.vegvesen.no/#/@287603.6,6677600.6,18/hva:hva%5B0%5D%5Bfilter%5D%5B0%5D%5Boperator%5D=%21%3D&amp;hva%5B0%5D%5Bfilter%5D%5B0%5D%5Btype_id%5D=8917&amp;hva%5B0%5D%5Bfilter%5D%5B0%5D%5Bverdi%5D=&amp;hva%5B0%5D%5Bid%5D=49/når:2023-08-16", "Vegkart")</f>
        <v>Vegkart</v>
      </c>
      <c r="B3529">
        <v>1017883093</v>
      </c>
      <c r="C3529">
        <v>49</v>
      </c>
      <c r="D3529" t="s">
        <v>8701</v>
      </c>
      <c r="E3529">
        <v>8917</v>
      </c>
      <c r="F3529" t="s">
        <v>23479</v>
      </c>
      <c r="G3529">
        <v>1</v>
      </c>
      <c r="H3529" t="s">
        <v>896</v>
      </c>
      <c r="J3529" t="s">
        <v>11497</v>
      </c>
      <c r="K3529" t="s">
        <v>132</v>
      </c>
      <c r="L3529" t="s">
        <v>22</v>
      </c>
      <c r="M3529" t="s">
        <v>11811</v>
      </c>
      <c r="N3529" t="s">
        <v>11815</v>
      </c>
      <c r="O3529" t="s">
        <v>11816</v>
      </c>
      <c r="P3529" s="2" t="s">
        <v>37</v>
      </c>
      <c r="Q3529" t="s">
        <v>1208</v>
      </c>
      <c r="R3529">
        <v>0.34</v>
      </c>
      <c r="S3529">
        <v>28.53</v>
      </c>
      <c r="T3529" t="s">
        <v>11817</v>
      </c>
    </row>
    <row r="3530" spans="1:20" x14ac:dyDescent="0.25">
      <c r="A3530" s="1" t="str">
        <f>HYPERLINK("https://vegkart.atlas.vegvesen.no/#/@286722.6,6676184.4,18/hva:hva%5B0%5D%5Bfilter%5D%5B0%5D%5Boperator%5D=%21%3D&amp;hva%5B0%5D%5Bfilter%5D%5B0%5D%5Btype_id%5D=8917&amp;hva%5B0%5D%5Bfilter%5D%5B0%5D%5Bverdi%5D=&amp;hva%5B0%5D%5Bid%5D=49/når:2023-08-16", "Vegkart")</f>
        <v>Vegkart</v>
      </c>
      <c r="B3530">
        <v>1017883096</v>
      </c>
      <c r="C3530">
        <v>49</v>
      </c>
      <c r="D3530" t="s">
        <v>8701</v>
      </c>
      <c r="E3530">
        <v>8917</v>
      </c>
      <c r="F3530" t="s">
        <v>23479</v>
      </c>
      <c r="G3530">
        <v>1</v>
      </c>
      <c r="H3530" t="s">
        <v>896</v>
      </c>
      <c r="J3530" t="s">
        <v>11497</v>
      </c>
      <c r="K3530" t="s">
        <v>132</v>
      </c>
      <c r="L3530" t="s">
        <v>22</v>
      </c>
      <c r="M3530" t="s">
        <v>11811</v>
      </c>
      <c r="N3530" t="s">
        <v>11818</v>
      </c>
      <c r="O3530" t="s">
        <v>11819</v>
      </c>
      <c r="P3530" s="2" t="s">
        <v>37</v>
      </c>
      <c r="Q3530" t="s">
        <v>1208</v>
      </c>
      <c r="R3530">
        <v>0.68</v>
      </c>
      <c r="S3530">
        <v>46.24</v>
      </c>
      <c r="T3530" t="s">
        <v>11820</v>
      </c>
    </row>
    <row r="3531" spans="1:20" x14ac:dyDescent="0.25">
      <c r="A3531" s="1" t="str">
        <f>HYPERLINK("https://vegkart.atlas.vegvesen.no/#/@286704.9,6676170.9,18/hva:hva%5B0%5D%5Bfilter%5D%5B0%5D%5Boperator%5D=%21%3D&amp;hva%5B0%5D%5Bfilter%5D%5B0%5D%5Btype_id%5D=8917&amp;hva%5B0%5D%5Bfilter%5D%5B0%5D%5Bverdi%5D=&amp;hva%5B0%5D%5Bid%5D=49/når:2023-08-16", "Vegkart")</f>
        <v>Vegkart</v>
      </c>
      <c r="B3531">
        <v>1017883098</v>
      </c>
      <c r="C3531">
        <v>49</v>
      </c>
      <c r="D3531" t="s">
        <v>8701</v>
      </c>
      <c r="E3531">
        <v>8917</v>
      </c>
      <c r="F3531" t="s">
        <v>23479</v>
      </c>
      <c r="G3531">
        <v>1</v>
      </c>
      <c r="H3531" t="s">
        <v>896</v>
      </c>
      <c r="J3531" t="s">
        <v>11497</v>
      </c>
      <c r="K3531" t="s">
        <v>132</v>
      </c>
      <c r="L3531" t="s">
        <v>22</v>
      </c>
      <c r="M3531" t="s">
        <v>11811</v>
      </c>
      <c r="N3531" t="s">
        <v>11821</v>
      </c>
      <c r="O3531" t="s">
        <v>11822</v>
      </c>
      <c r="P3531" s="2" t="s">
        <v>37</v>
      </c>
      <c r="Q3531" t="s">
        <v>1208</v>
      </c>
      <c r="R3531">
        <v>0.5</v>
      </c>
      <c r="S3531">
        <v>22.4</v>
      </c>
      <c r="T3531" t="s">
        <v>11823</v>
      </c>
    </row>
    <row r="3532" spans="1:20" x14ac:dyDescent="0.25">
      <c r="A3532" s="1" t="str">
        <f>HYPERLINK("https://vegkart.atlas.vegvesen.no/#/@286682.4,6676145.9,18/hva:hva%5B0%5D%5Bfilter%5D%5B0%5D%5Boperator%5D=%21%3D&amp;hva%5B0%5D%5Bfilter%5D%5B0%5D%5Btype_id%5D=8917&amp;hva%5B0%5D%5Bfilter%5D%5B0%5D%5Bverdi%5D=&amp;hva%5B0%5D%5Bid%5D=49/når:2023-08-16", "Vegkart")</f>
        <v>Vegkart</v>
      </c>
      <c r="B3532">
        <v>1017883099</v>
      </c>
      <c r="C3532">
        <v>49</v>
      </c>
      <c r="D3532" t="s">
        <v>8701</v>
      </c>
      <c r="E3532">
        <v>8917</v>
      </c>
      <c r="F3532" t="s">
        <v>23479</v>
      </c>
      <c r="G3532">
        <v>1</v>
      </c>
      <c r="H3532" t="s">
        <v>896</v>
      </c>
      <c r="J3532" t="s">
        <v>11497</v>
      </c>
      <c r="K3532" t="s">
        <v>132</v>
      </c>
      <c r="L3532" t="s">
        <v>22</v>
      </c>
      <c r="M3532" t="s">
        <v>11811</v>
      </c>
      <c r="N3532" t="s">
        <v>11824</v>
      </c>
      <c r="O3532" t="s">
        <v>11825</v>
      </c>
      <c r="P3532" s="2" t="s">
        <v>37</v>
      </c>
      <c r="Q3532" t="s">
        <v>1208</v>
      </c>
      <c r="R3532">
        <v>0.52</v>
      </c>
      <c r="S3532">
        <v>7.81</v>
      </c>
      <c r="T3532" t="s">
        <v>11826</v>
      </c>
    </row>
    <row r="3533" spans="1:20" x14ac:dyDescent="0.25">
      <c r="A3533" s="1" t="str">
        <f>HYPERLINK("https://vegkart.atlas.vegvesen.no/#/@286677.3,6676137.0,18/hva:hva%5B0%5D%5Bfilter%5D%5B0%5D%5Boperator%5D=%21%3D&amp;hva%5B0%5D%5Bfilter%5D%5B0%5D%5Btype_id%5D=8917&amp;hva%5B0%5D%5Bfilter%5D%5B0%5D%5Bverdi%5D=&amp;hva%5B0%5D%5Bid%5D=49/når:2023-08-16", "Vegkart")</f>
        <v>Vegkart</v>
      </c>
      <c r="B3533">
        <v>1017883103</v>
      </c>
      <c r="C3533">
        <v>49</v>
      </c>
      <c r="D3533" t="s">
        <v>8701</v>
      </c>
      <c r="E3533">
        <v>8917</v>
      </c>
      <c r="F3533" t="s">
        <v>23479</v>
      </c>
      <c r="G3533">
        <v>1</v>
      </c>
      <c r="H3533" t="s">
        <v>896</v>
      </c>
      <c r="J3533" t="s">
        <v>11497</v>
      </c>
      <c r="K3533" t="s">
        <v>132</v>
      </c>
      <c r="L3533" t="s">
        <v>22</v>
      </c>
      <c r="M3533" t="s">
        <v>11811</v>
      </c>
      <c r="N3533" t="s">
        <v>11827</v>
      </c>
      <c r="O3533" t="s">
        <v>11828</v>
      </c>
      <c r="P3533" s="2" t="s">
        <v>37</v>
      </c>
      <c r="Q3533" t="s">
        <v>1208</v>
      </c>
      <c r="R3533">
        <v>0.48</v>
      </c>
      <c r="S3533">
        <v>25.91</v>
      </c>
      <c r="T3533" t="s">
        <v>11829</v>
      </c>
    </row>
    <row r="3534" spans="1:20" x14ac:dyDescent="0.25">
      <c r="A3534" s="1" t="str">
        <f>HYPERLINK("https://vegkart.atlas.vegvesen.no/#/@287802.4,6683047.5,18/hva:hva%5B0%5D%5Bfilter%5D%5B0%5D%5Boperator%5D=%21%3D&amp;hva%5B0%5D%5Bfilter%5D%5B0%5D%5Btype_id%5D=8917&amp;hva%5B0%5D%5Bfilter%5D%5B0%5D%5Bverdi%5D=&amp;hva%5B0%5D%5Bid%5D=49/når:2023-08-16", "Vegkart")</f>
        <v>Vegkart</v>
      </c>
      <c r="B3534">
        <v>1017883405</v>
      </c>
      <c r="C3534">
        <v>49</v>
      </c>
      <c r="D3534" t="s">
        <v>8701</v>
      </c>
      <c r="E3534">
        <v>8917</v>
      </c>
      <c r="F3534" t="s">
        <v>23479</v>
      </c>
      <c r="G3534">
        <v>1</v>
      </c>
      <c r="H3534" t="s">
        <v>896</v>
      </c>
      <c r="J3534" t="s">
        <v>11497</v>
      </c>
      <c r="K3534" t="s">
        <v>132</v>
      </c>
      <c r="L3534" t="s">
        <v>22</v>
      </c>
      <c r="M3534" t="s">
        <v>11830</v>
      </c>
      <c r="N3534" t="s">
        <v>11831</v>
      </c>
      <c r="O3534" t="s">
        <v>11832</v>
      </c>
      <c r="P3534" s="2" t="s">
        <v>37</v>
      </c>
      <c r="Q3534" t="s">
        <v>1208</v>
      </c>
      <c r="R3534">
        <v>0.6</v>
      </c>
      <c r="S3534">
        <v>28.02</v>
      </c>
      <c r="T3534" t="s">
        <v>11833</v>
      </c>
    </row>
    <row r="3535" spans="1:20" x14ac:dyDescent="0.25">
      <c r="A3535" s="1" t="str">
        <f>HYPERLINK("https://vegkart.atlas.vegvesen.no/#/@287784.2,6683057.0,18/hva:hva%5B0%5D%5Bfilter%5D%5B0%5D%5Boperator%5D=%21%3D&amp;hva%5B0%5D%5Bfilter%5D%5B0%5D%5Btype_id%5D=8917&amp;hva%5B0%5D%5Bfilter%5D%5B0%5D%5Bverdi%5D=&amp;hva%5B0%5D%5Bid%5D=49/når:2023-08-16", "Vegkart")</f>
        <v>Vegkart</v>
      </c>
      <c r="B3535">
        <v>1017883527</v>
      </c>
      <c r="C3535">
        <v>49</v>
      </c>
      <c r="D3535" t="s">
        <v>8701</v>
      </c>
      <c r="E3535">
        <v>8917</v>
      </c>
      <c r="F3535" t="s">
        <v>23479</v>
      </c>
      <c r="G3535">
        <v>1</v>
      </c>
      <c r="H3535" t="s">
        <v>896</v>
      </c>
      <c r="J3535" t="s">
        <v>11497</v>
      </c>
      <c r="K3535" t="s">
        <v>132</v>
      </c>
      <c r="L3535" t="s">
        <v>370</v>
      </c>
      <c r="M3535" t="s">
        <v>11834</v>
      </c>
      <c r="N3535" t="s">
        <v>11835</v>
      </c>
      <c r="O3535" t="s">
        <v>11836</v>
      </c>
      <c r="P3535" s="2" t="s">
        <v>37</v>
      </c>
      <c r="Q3535" t="s">
        <v>1208</v>
      </c>
      <c r="R3535">
        <v>0.64</v>
      </c>
      <c r="S3535">
        <v>45.05</v>
      </c>
      <c r="T3535" t="s">
        <v>11837</v>
      </c>
    </row>
    <row r="3536" spans="1:20" x14ac:dyDescent="0.25">
      <c r="A3536" s="1" t="str">
        <f>HYPERLINK("https://vegkart.atlas.vegvesen.no/#/@289460.7,6684362.6,18/hva:hva%5B0%5D%5Bfilter%5D%5B0%5D%5Boperator%5D=%21%3D&amp;hva%5B0%5D%5Bfilter%5D%5B0%5D%5Btype_id%5D=8917&amp;hva%5B0%5D%5Bfilter%5D%5B0%5D%5Bverdi%5D=&amp;hva%5B0%5D%5Bid%5D=49/når:2023-08-16", "Vegkart")</f>
        <v>Vegkart</v>
      </c>
      <c r="B3536">
        <v>1017884290</v>
      </c>
      <c r="C3536">
        <v>49</v>
      </c>
      <c r="D3536" t="s">
        <v>8701</v>
      </c>
      <c r="E3536">
        <v>8917</v>
      </c>
      <c r="F3536" t="s">
        <v>23479</v>
      </c>
      <c r="G3536">
        <v>1</v>
      </c>
      <c r="H3536" t="s">
        <v>896</v>
      </c>
      <c r="J3536" t="s">
        <v>11497</v>
      </c>
      <c r="K3536" t="s">
        <v>132</v>
      </c>
      <c r="L3536" t="s">
        <v>22</v>
      </c>
      <c r="M3536" t="s">
        <v>11838</v>
      </c>
      <c r="N3536" t="s">
        <v>11839</v>
      </c>
      <c r="O3536" t="s">
        <v>11840</v>
      </c>
      <c r="P3536" s="2" t="s">
        <v>37</v>
      </c>
      <c r="Q3536" t="s">
        <v>1208</v>
      </c>
      <c r="R3536">
        <v>0.6</v>
      </c>
      <c r="S3536">
        <v>22.91</v>
      </c>
      <c r="T3536" t="s">
        <v>11841</v>
      </c>
    </row>
    <row r="3537" spans="1:20" x14ac:dyDescent="0.25">
      <c r="A3537" s="1" t="str">
        <f>HYPERLINK("https://vegkart.atlas.vegvesen.no/#/@289775.7,6668848.2,18/hva:hva%5B0%5D%5Bfilter%5D%5B0%5D%5Boperator%5D=%21%3D&amp;hva%5B0%5D%5Bfilter%5D%5B0%5D%5Btype_id%5D=8917&amp;hva%5B0%5D%5Bfilter%5D%5B0%5D%5Bverdi%5D=&amp;hva%5B0%5D%5Bid%5D=49/når:2023-08-22", "Vegkart")</f>
        <v>Vegkart</v>
      </c>
      <c r="B3537">
        <v>1017897969</v>
      </c>
      <c r="C3537">
        <v>49</v>
      </c>
      <c r="D3537" t="s">
        <v>8701</v>
      </c>
      <c r="E3537">
        <v>8917</v>
      </c>
      <c r="F3537" t="s">
        <v>23479</v>
      </c>
      <c r="G3537">
        <v>1</v>
      </c>
      <c r="H3537" t="s">
        <v>6548</v>
      </c>
      <c r="J3537" t="s">
        <v>11497</v>
      </c>
      <c r="K3537" t="s">
        <v>132</v>
      </c>
      <c r="L3537" t="s">
        <v>22</v>
      </c>
      <c r="M3537" t="s">
        <v>11842</v>
      </c>
      <c r="N3537" t="s">
        <v>11843</v>
      </c>
      <c r="O3537" t="s">
        <v>11844</v>
      </c>
      <c r="P3537" s="2" t="s">
        <v>37</v>
      </c>
      <c r="Q3537" t="s">
        <v>1208</v>
      </c>
      <c r="R3537">
        <v>0.78</v>
      </c>
      <c r="S3537">
        <v>63.09</v>
      </c>
      <c r="T3537" t="s">
        <v>11845</v>
      </c>
    </row>
    <row r="3538" spans="1:20" x14ac:dyDescent="0.25">
      <c r="A3538" s="1" t="str">
        <f>HYPERLINK("https://vegkart.atlas.vegvesen.no/#/@289576.0,6668923.4,18/hva:hva%5B0%5D%5Bfilter%5D%5B0%5D%5Boperator%5D=%21%3D&amp;hva%5B0%5D%5Bfilter%5D%5B0%5D%5Btype_id%5D=8917&amp;hva%5B0%5D%5Bfilter%5D%5B0%5D%5Bverdi%5D=&amp;hva%5B0%5D%5Bid%5D=49/når:2023-08-22", "Vegkart")</f>
        <v>Vegkart</v>
      </c>
      <c r="B3538">
        <v>1017897981</v>
      </c>
      <c r="C3538">
        <v>49</v>
      </c>
      <c r="D3538" t="s">
        <v>8701</v>
      </c>
      <c r="E3538">
        <v>8917</v>
      </c>
      <c r="F3538" t="s">
        <v>23479</v>
      </c>
      <c r="G3538">
        <v>1</v>
      </c>
      <c r="H3538" t="s">
        <v>6548</v>
      </c>
      <c r="J3538" t="s">
        <v>11497</v>
      </c>
      <c r="K3538" t="s">
        <v>132</v>
      </c>
      <c r="L3538" t="s">
        <v>22</v>
      </c>
      <c r="M3538" t="s">
        <v>11846</v>
      </c>
      <c r="N3538" t="s">
        <v>11847</v>
      </c>
      <c r="O3538" t="s">
        <v>11848</v>
      </c>
      <c r="P3538" s="2" t="s">
        <v>37</v>
      </c>
      <c r="Q3538" t="s">
        <v>1208</v>
      </c>
      <c r="R3538">
        <v>0.93</v>
      </c>
      <c r="S3538">
        <v>67.11</v>
      </c>
      <c r="T3538" t="s">
        <v>11849</v>
      </c>
    </row>
    <row r="3539" spans="1:20" x14ac:dyDescent="0.25">
      <c r="A3539" s="1" t="str">
        <f>HYPERLINK("https://vegkart.atlas.vegvesen.no/#/@289768.7,6668944.9,18/hva:hva%5B0%5D%5Bfilter%5D%5B0%5D%5Boperator%5D=%21%3D&amp;hva%5B0%5D%5Bfilter%5D%5B0%5D%5Btype_id%5D=8917&amp;hva%5B0%5D%5Bfilter%5D%5B0%5D%5Bverdi%5D=&amp;hva%5B0%5D%5Bid%5D=49/når:2023-08-22", "Vegkart")</f>
        <v>Vegkart</v>
      </c>
      <c r="B3539">
        <v>1017897983</v>
      </c>
      <c r="C3539">
        <v>49</v>
      </c>
      <c r="D3539" t="s">
        <v>8701</v>
      </c>
      <c r="E3539">
        <v>8917</v>
      </c>
      <c r="F3539" t="s">
        <v>23479</v>
      </c>
      <c r="G3539">
        <v>1</v>
      </c>
      <c r="H3539" t="s">
        <v>6548</v>
      </c>
      <c r="J3539" t="s">
        <v>11497</v>
      </c>
      <c r="K3539" t="s">
        <v>132</v>
      </c>
      <c r="L3539" t="s">
        <v>22</v>
      </c>
      <c r="M3539" t="s">
        <v>11850</v>
      </c>
      <c r="N3539" t="s">
        <v>11851</v>
      </c>
      <c r="O3539" t="s">
        <v>11852</v>
      </c>
      <c r="P3539" s="2" t="s">
        <v>37</v>
      </c>
      <c r="Q3539" t="s">
        <v>1208</v>
      </c>
      <c r="R3539">
        <v>0.62</v>
      </c>
      <c r="S3539">
        <v>62.31</v>
      </c>
      <c r="T3539" t="s">
        <v>11853</v>
      </c>
    </row>
    <row r="3540" spans="1:20" x14ac:dyDescent="0.25">
      <c r="A3540" s="1" t="str">
        <f>HYPERLINK("https://vegkart.atlas.vegvesen.no/#/@288098.2,6675348.0,18/hva:hva%5B0%5D%5Bfilter%5D%5B0%5D%5Boperator%5D=%21%3D&amp;hva%5B0%5D%5Bfilter%5D%5B0%5D%5Btype_id%5D=8917&amp;hva%5B0%5D%5Bfilter%5D%5B0%5D%5Bverdi%5D=&amp;hva%5B0%5D%5Bid%5D=49/når:2023-09-07", "Vegkart")</f>
        <v>Vegkart</v>
      </c>
      <c r="B3540">
        <v>1017937665</v>
      </c>
      <c r="C3540">
        <v>49</v>
      </c>
      <c r="D3540" t="s">
        <v>8701</v>
      </c>
      <c r="E3540">
        <v>8917</v>
      </c>
      <c r="F3540" t="s">
        <v>23479</v>
      </c>
      <c r="G3540">
        <v>1</v>
      </c>
      <c r="H3540" t="s">
        <v>11854</v>
      </c>
      <c r="J3540" t="s">
        <v>11497</v>
      </c>
      <c r="K3540" t="s">
        <v>132</v>
      </c>
      <c r="L3540" t="s">
        <v>22</v>
      </c>
      <c r="M3540" t="s">
        <v>11855</v>
      </c>
      <c r="N3540" t="s">
        <v>11856</v>
      </c>
      <c r="O3540" t="s">
        <v>11857</v>
      </c>
      <c r="P3540" s="2" t="s">
        <v>37</v>
      </c>
      <c r="Q3540" t="s">
        <v>1208</v>
      </c>
      <c r="R3540">
        <v>2.41</v>
      </c>
      <c r="S3540">
        <v>92.29</v>
      </c>
      <c r="T3540" t="s">
        <v>11858</v>
      </c>
    </row>
    <row r="3541" spans="1:20" x14ac:dyDescent="0.25">
      <c r="A3541" s="1" t="str">
        <f>HYPERLINK("https://vegkart.atlas.vegvesen.no/#/@287745.6,6673655.0,18/hva:hva%5B0%5D%5Bfilter%5D%5B0%5D%5Boperator%5D=%21%3D&amp;hva%5B0%5D%5Bfilter%5D%5B0%5D%5Btype_id%5D=8917&amp;hva%5B0%5D%5Bfilter%5D%5B0%5D%5Bverdi%5D=&amp;hva%5B0%5D%5Bid%5D=49/når:2023-09-13", "Vegkart")</f>
        <v>Vegkart</v>
      </c>
      <c r="B3541">
        <v>1017940999</v>
      </c>
      <c r="C3541">
        <v>49</v>
      </c>
      <c r="D3541" t="s">
        <v>8701</v>
      </c>
      <c r="E3541">
        <v>8917</v>
      </c>
      <c r="F3541" t="s">
        <v>23479</v>
      </c>
      <c r="G3541">
        <v>2</v>
      </c>
      <c r="H3541" t="s">
        <v>11859</v>
      </c>
      <c r="J3541" t="s">
        <v>11497</v>
      </c>
      <c r="K3541" t="s">
        <v>132</v>
      </c>
      <c r="L3541" t="s">
        <v>22</v>
      </c>
      <c r="M3541" t="s">
        <v>1222</v>
      </c>
      <c r="N3541" t="s">
        <v>11860</v>
      </c>
      <c r="O3541" t="s">
        <v>11861</v>
      </c>
      <c r="P3541" s="2" t="s">
        <v>37</v>
      </c>
      <c r="Q3541" t="s">
        <v>1208</v>
      </c>
      <c r="R3541">
        <v>1.1100000000000001</v>
      </c>
      <c r="S3541">
        <v>9.8699999999999992</v>
      </c>
      <c r="T3541" t="s">
        <v>11862</v>
      </c>
    </row>
    <row r="3542" spans="1:20" x14ac:dyDescent="0.25">
      <c r="A3542" s="1" t="str">
        <f>HYPERLINK("https://vegkart.atlas.vegvesen.no/#/@287525.8,6673201.3,18/hva:hva%5B0%5D%5Bfilter%5D%5B0%5D%5Boperator%5D=%21%3D&amp;hva%5B0%5D%5Bfilter%5D%5B0%5D%5Btype_id%5D=8917&amp;hva%5B0%5D%5Bfilter%5D%5B0%5D%5Bverdi%5D=&amp;hva%5B0%5D%5Bid%5D=49/når:2023-09-12", "Vegkart")</f>
        <v>Vegkart</v>
      </c>
      <c r="B3542">
        <v>1017963561</v>
      </c>
      <c r="C3542">
        <v>49</v>
      </c>
      <c r="D3542" t="s">
        <v>8701</v>
      </c>
      <c r="E3542">
        <v>8917</v>
      </c>
      <c r="F3542" t="s">
        <v>23479</v>
      </c>
      <c r="G3542">
        <v>1</v>
      </c>
      <c r="H3542" t="s">
        <v>11863</v>
      </c>
      <c r="J3542" t="s">
        <v>11497</v>
      </c>
      <c r="K3542" t="s">
        <v>132</v>
      </c>
      <c r="L3542" t="s">
        <v>22</v>
      </c>
      <c r="M3542" t="s">
        <v>1359</v>
      </c>
      <c r="N3542" t="s">
        <v>11864</v>
      </c>
      <c r="O3542" t="s">
        <v>11865</v>
      </c>
      <c r="P3542" s="2" t="s">
        <v>37</v>
      </c>
      <c r="Q3542" t="s">
        <v>1208</v>
      </c>
      <c r="R3542">
        <v>0.38</v>
      </c>
      <c r="S3542">
        <v>10.43</v>
      </c>
      <c r="T3542" t="s">
        <v>11866</v>
      </c>
    </row>
    <row r="3543" spans="1:20" x14ac:dyDescent="0.25">
      <c r="A3543" s="1" t="str">
        <f>HYPERLINK("https://vegkart.atlas.vegvesen.no/#/@288484.9,6673456.3,18/hva:hva%5B0%5D%5Bfilter%5D%5B0%5D%5Boperator%5D=%21%3D&amp;hva%5B0%5D%5Bfilter%5D%5B0%5D%5Btype_id%5D=8917&amp;hva%5B0%5D%5Bfilter%5D%5B0%5D%5Bverdi%5D=&amp;hva%5B0%5D%5Bid%5D=49/når:2023-09-13", "Vegkart")</f>
        <v>Vegkart</v>
      </c>
      <c r="B3543">
        <v>1017966703</v>
      </c>
      <c r="C3543">
        <v>49</v>
      </c>
      <c r="D3543" t="s">
        <v>8701</v>
      </c>
      <c r="E3543">
        <v>8917</v>
      </c>
      <c r="F3543" t="s">
        <v>23479</v>
      </c>
      <c r="G3543">
        <v>1</v>
      </c>
      <c r="H3543" t="s">
        <v>11859</v>
      </c>
      <c r="J3543" t="s">
        <v>11497</v>
      </c>
      <c r="K3543" t="s">
        <v>132</v>
      </c>
      <c r="L3543" t="s">
        <v>22</v>
      </c>
      <c r="M3543" t="s">
        <v>11701</v>
      </c>
      <c r="N3543" t="s">
        <v>11867</v>
      </c>
      <c r="O3543" t="s">
        <v>11868</v>
      </c>
      <c r="P3543" s="2" t="s">
        <v>37</v>
      </c>
      <c r="Q3543" t="s">
        <v>1208</v>
      </c>
      <c r="R3543">
        <v>0.78</v>
      </c>
      <c r="S3543">
        <v>32.369999999999997</v>
      </c>
      <c r="T3543" t="s">
        <v>11869</v>
      </c>
    </row>
    <row r="3544" spans="1:20" x14ac:dyDescent="0.25">
      <c r="A3544" s="1" t="str">
        <f>HYPERLINK("https://vegkart.atlas.vegvesen.no/#/@288519.4,6673438.1,18/hva:hva%5B0%5D%5Bfilter%5D%5B0%5D%5Boperator%5D=%21%3D&amp;hva%5B0%5D%5Bfilter%5D%5B0%5D%5Btype_id%5D=8917&amp;hva%5B0%5D%5Bfilter%5D%5B0%5D%5Bverdi%5D=&amp;hva%5B0%5D%5Bid%5D=49/når:2023-09-13", "Vegkart")</f>
        <v>Vegkart</v>
      </c>
      <c r="B3544">
        <v>1017966705</v>
      </c>
      <c r="C3544">
        <v>49</v>
      </c>
      <c r="D3544" t="s">
        <v>8701</v>
      </c>
      <c r="E3544">
        <v>8917</v>
      </c>
      <c r="F3544" t="s">
        <v>23479</v>
      </c>
      <c r="G3544">
        <v>1</v>
      </c>
      <c r="H3544" t="s">
        <v>11859</v>
      </c>
      <c r="J3544" t="s">
        <v>11497</v>
      </c>
      <c r="K3544" t="s">
        <v>132</v>
      </c>
      <c r="L3544" t="s">
        <v>22</v>
      </c>
      <c r="M3544" t="s">
        <v>11701</v>
      </c>
      <c r="N3544" t="s">
        <v>11870</v>
      </c>
      <c r="O3544" t="s">
        <v>11871</v>
      </c>
      <c r="P3544" s="2" t="s">
        <v>37</v>
      </c>
      <c r="Q3544" t="s">
        <v>1208</v>
      </c>
      <c r="R3544">
        <v>0.55000000000000004</v>
      </c>
      <c r="S3544">
        <v>56.92</v>
      </c>
      <c r="T3544" t="s">
        <v>11872</v>
      </c>
    </row>
    <row r="3545" spans="1:20" x14ac:dyDescent="0.25">
      <c r="A3545" s="1" t="str">
        <f>HYPERLINK("https://vegkart.atlas.vegvesen.no/#/@288534.9,6673430.0,18/hva:hva%5B0%5D%5Bfilter%5D%5B0%5D%5Boperator%5D=%21%3D&amp;hva%5B0%5D%5Bfilter%5D%5B0%5D%5Btype_id%5D=8917&amp;hva%5B0%5D%5Bfilter%5D%5B0%5D%5Bverdi%5D=&amp;hva%5B0%5D%5Bid%5D=49/når:2023-09-13", "Vegkart")</f>
        <v>Vegkart</v>
      </c>
      <c r="B3545">
        <v>1017966709</v>
      </c>
      <c r="C3545">
        <v>49</v>
      </c>
      <c r="D3545" t="s">
        <v>8701</v>
      </c>
      <c r="E3545">
        <v>8917</v>
      </c>
      <c r="F3545" t="s">
        <v>23479</v>
      </c>
      <c r="G3545">
        <v>1</v>
      </c>
      <c r="H3545" t="s">
        <v>11859</v>
      </c>
      <c r="J3545" t="s">
        <v>11497</v>
      </c>
      <c r="K3545" t="s">
        <v>132</v>
      </c>
      <c r="L3545" t="s">
        <v>22</v>
      </c>
      <c r="M3545" t="s">
        <v>11701</v>
      </c>
      <c r="N3545" t="s">
        <v>11873</v>
      </c>
      <c r="O3545" t="s">
        <v>11874</v>
      </c>
      <c r="P3545" s="2" t="s">
        <v>37</v>
      </c>
      <c r="Q3545" t="s">
        <v>1208</v>
      </c>
      <c r="R3545">
        <v>0.5</v>
      </c>
      <c r="S3545">
        <v>11.5</v>
      </c>
      <c r="T3545" t="s">
        <v>11875</v>
      </c>
    </row>
    <row r="3546" spans="1:20" x14ac:dyDescent="0.25">
      <c r="A3546" s="1" t="str">
        <f>HYPERLINK("https://vegkart.atlas.vegvesen.no/#/@159875.0,6565990.6,18/hva:hva%5B0%5D%5Bfilter%5D%5B0%5D%5Boperator%5D=%21%3D&amp;hva%5B0%5D%5Bfilter%5D%5B0%5D%5Btype_id%5D=8917&amp;hva%5B0%5D%5Bfilter%5D%5B0%5D%5Bverdi%5D=&amp;hva%5B0%5D%5Bid%5D=49/når:2023-09-28", "Vegkart")</f>
        <v>Vegkart</v>
      </c>
      <c r="B3546">
        <v>1018012785</v>
      </c>
      <c r="C3546">
        <v>49</v>
      </c>
      <c r="D3546" t="s">
        <v>8701</v>
      </c>
      <c r="E3546">
        <v>8917</v>
      </c>
      <c r="F3546" t="s">
        <v>23479</v>
      </c>
      <c r="G3546">
        <v>1</v>
      </c>
      <c r="H3546" t="s">
        <v>655</v>
      </c>
      <c r="J3546" t="s">
        <v>11497</v>
      </c>
      <c r="K3546" t="s">
        <v>197</v>
      </c>
      <c r="L3546" t="s">
        <v>22</v>
      </c>
      <c r="M3546" t="s">
        <v>11483</v>
      </c>
      <c r="N3546" t="s">
        <v>11876</v>
      </c>
      <c r="O3546" t="s">
        <v>11877</v>
      </c>
      <c r="P3546" s="2" t="s">
        <v>165</v>
      </c>
      <c r="Q3546" t="s">
        <v>641</v>
      </c>
      <c r="R3546">
        <v>0</v>
      </c>
      <c r="S3546">
        <v>6.01</v>
      </c>
      <c r="T3546" t="s">
        <v>167</v>
      </c>
    </row>
    <row r="3547" spans="1:20" x14ac:dyDescent="0.25">
      <c r="A3547" s="1" t="str">
        <f>HYPERLINK("https://vegkart.atlas.vegvesen.no/#/@265662.6,6627642.5,18/hva:hva%5B0%5D%5Bfilter%5D%5B0%5D%5Boperator%5D=%21%3D&amp;hva%5B0%5D%5Bfilter%5D%5B0%5D%5Btype_id%5D=8917&amp;hva%5B0%5D%5Bfilter%5D%5B0%5D%5Bverdi%5D=&amp;hva%5B0%5D%5Bid%5D=49/når:2023-10-04", "Vegkart")</f>
        <v>Vegkart</v>
      </c>
      <c r="B3547">
        <v>1018042003</v>
      </c>
      <c r="C3547">
        <v>49</v>
      </c>
      <c r="D3547" t="s">
        <v>8701</v>
      </c>
      <c r="E3547">
        <v>8917</v>
      </c>
      <c r="F3547" t="s">
        <v>23479</v>
      </c>
      <c r="G3547">
        <v>1</v>
      </c>
      <c r="H3547" t="s">
        <v>11878</v>
      </c>
      <c r="J3547" t="s">
        <v>11497</v>
      </c>
      <c r="K3547" t="s">
        <v>132</v>
      </c>
      <c r="L3547" t="s">
        <v>22</v>
      </c>
      <c r="M3547" t="s">
        <v>11879</v>
      </c>
      <c r="N3547" t="s">
        <v>11880</v>
      </c>
      <c r="O3547" t="s">
        <v>11881</v>
      </c>
      <c r="P3547" s="2" t="s">
        <v>37</v>
      </c>
      <c r="Q3547" t="s">
        <v>1208</v>
      </c>
      <c r="R3547">
        <v>0</v>
      </c>
      <c r="S3547">
        <v>29.07</v>
      </c>
      <c r="T3547" t="s">
        <v>11882</v>
      </c>
    </row>
    <row r="3548" spans="1:20" x14ac:dyDescent="0.25">
      <c r="A3548" s="1" t="str">
        <f>HYPERLINK("https://vegkart.atlas.vegvesen.no/#/@265660.2,6627664.2,18/hva:hva%5B0%5D%5Bfilter%5D%5B0%5D%5Boperator%5D=%21%3D&amp;hva%5B0%5D%5Bfilter%5D%5B0%5D%5Btype_id%5D=8917&amp;hva%5B0%5D%5Bfilter%5D%5B0%5D%5Bverdi%5D=&amp;hva%5B0%5D%5Bid%5D=49/når:2023-10-04", "Vegkart")</f>
        <v>Vegkart</v>
      </c>
      <c r="B3548">
        <v>1018042004</v>
      </c>
      <c r="C3548">
        <v>49</v>
      </c>
      <c r="D3548" t="s">
        <v>8701</v>
      </c>
      <c r="E3548">
        <v>8917</v>
      </c>
      <c r="F3548" t="s">
        <v>23479</v>
      </c>
      <c r="G3548">
        <v>1</v>
      </c>
      <c r="H3548" t="s">
        <v>11878</v>
      </c>
      <c r="J3548" t="s">
        <v>11497</v>
      </c>
      <c r="K3548" t="s">
        <v>132</v>
      </c>
      <c r="L3548" t="s">
        <v>33</v>
      </c>
      <c r="M3548" t="s">
        <v>11883</v>
      </c>
      <c r="N3548" t="s">
        <v>11884</v>
      </c>
      <c r="O3548" t="s">
        <v>11885</v>
      </c>
      <c r="P3548" s="2" t="s">
        <v>37</v>
      </c>
      <c r="Q3548" t="s">
        <v>1208</v>
      </c>
      <c r="R3548">
        <v>0</v>
      </c>
      <c r="S3548">
        <v>53.37</v>
      </c>
      <c r="T3548" t="s">
        <v>11886</v>
      </c>
    </row>
    <row r="3549" spans="1:20" x14ac:dyDescent="0.25">
      <c r="A3549" s="1" t="str">
        <f>HYPERLINK("https://vegkart.atlas.vegvesen.no/#/@265638.2,6627662.1,18/hva:hva%5B0%5D%5Bfilter%5D%5B0%5D%5Boperator%5D=%21%3D&amp;hva%5B0%5D%5Bfilter%5D%5B0%5D%5Btype_id%5D=8917&amp;hva%5B0%5D%5Bfilter%5D%5B0%5D%5Bverdi%5D=&amp;hva%5B0%5D%5Bid%5D=49/når:2023-10-04", "Vegkart")</f>
        <v>Vegkart</v>
      </c>
      <c r="B3549">
        <v>1018042005</v>
      </c>
      <c r="C3549">
        <v>49</v>
      </c>
      <c r="D3549" t="s">
        <v>8701</v>
      </c>
      <c r="E3549">
        <v>8917</v>
      </c>
      <c r="F3549" t="s">
        <v>23479</v>
      </c>
      <c r="G3549">
        <v>1</v>
      </c>
      <c r="H3549" t="s">
        <v>11878</v>
      </c>
      <c r="J3549" t="s">
        <v>11497</v>
      </c>
      <c r="K3549" t="s">
        <v>132</v>
      </c>
      <c r="L3549" t="s">
        <v>33</v>
      </c>
      <c r="M3549" t="s">
        <v>11883</v>
      </c>
      <c r="N3549" t="s">
        <v>11887</v>
      </c>
      <c r="O3549" t="s">
        <v>11888</v>
      </c>
      <c r="P3549" s="2" t="s">
        <v>37</v>
      </c>
      <c r="Q3549" t="s">
        <v>1208</v>
      </c>
      <c r="R3549">
        <v>0</v>
      </c>
      <c r="S3549">
        <v>30.97</v>
      </c>
      <c r="T3549" t="s">
        <v>11889</v>
      </c>
    </row>
    <row r="3550" spans="1:20" x14ac:dyDescent="0.25">
      <c r="A3550" s="1" t="str">
        <f>HYPERLINK("https://vegkart.atlas.vegvesen.no/#/@265665.6,6627685.2,18/hva:hva%5B0%5D%5Bfilter%5D%5B0%5D%5Boperator%5D=%21%3D&amp;hva%5B0%5D%5Bfilter%5D%5B0%5D%5Btype_id%5D=8917&amp;hva%5B0%5D%5Bfilter%5D%5B0%5D%5Bverdi%5D=&amp;hva%5B0%5D%5Bid%5D=49/når:2023-10-04", "Vegkart")</f>
        <v>Vegkart</v>
      </c>
      <c r="B3550">
        <v>1018042006</v>
      </c>
      <c r="C3550">
        <v>49</v>
      </c>
      <c r="D3550" t="s">
        <v>8701</v>
      </c>
      <c r="E3550">
        <v>8917</v>
      </c>
      <c r="F3550" t="s">
        <v>23479</v>
      </c>
      <c r="G3550">
        <v>1</v>
      </c>
      <c r="H3550" t="s">
        <v>11878</v>
      </c>
      <c r="J3550" t="s">
        <v>11497</v>
      </c>
      <c r="K3550" t="s">
        <v>132</v>
      </c>
      <c r="L3550" t="s">
        <v>22</v>
      </c>
      <c r="M3550" t="s">
        <v>11890</v>
      </c>
      <c r="N3550" t="s">
        <v>11891</v>
      </c>
      <c r="O3550" t="s">
        <v>11892</v>
      </c>
      <c r="P3550" s="2" t="s">
        <v>37</v>
      </c>
      <c r="Q3550" t="s">
        <v>1208</v>
      </c>
      <c r="R3550">
        <v>0</v>
      </c>
      <c r="S3550">
        <v>26.94</v>
      </c>
      <c r="T3550" t="s">
        <v>11893</v>
      </c>
    </row>
    <row r="3551" spans="1:20" x14ac:dyDescent="0.25">
      <c r="A3551" s="1" t="str">
        <f>HYPERLINK("https://vegkart.atlas.vegvesen.no/#/@265562.9,6627642.9,18/hva:hva%5B0%5D%5Bfilter%5D%5B0%5D%5Boperator%5D=%21%3D&amp;hva%5B0%5D%5Bfilter%5D%5B0%5D%5Btype_id%5D=8917&amp;hva%5B0%5D%5Bfilter%5D%5B0%5D%5Bverdi%5D=&amp;hva%5B0%5D%5Bid%5D=49/når:2023-10-04", "Vegkart")</f>
        <v>Vegkart</v>
      </c>
      <c r="B3551">
        <v>1018042007</v>
      </c>
      <c r="C3551">
        <v>49</v>
      </c>
      <c r="D3551" t="s">
        <v>8701</v>
      </c>
      <c r="E3551">
        <v>8917</v>
      </c>
      <c r="F3551" t="s">
        <v>23479</v>
      </c>
      <c r="G3551">
        <v>1</v>
      </c>
      <c r="H3551" t="s">
        <v>11878</v>
      </c>
      <c r="J3551" t="s">
        <v>11497</v>
      </c>
      <c r="K3551" t="s">
        <v>132</v>
      </c>
      <c r="L3551" t="s">
        <v>33</v>
      </c>
      <c r="M3551" t="s">
        <v>11883</v>
      </c>
      <c r="N3551" t="s">
        <v>11894</v>
      </c>
      <c r="O3551" t="s">
        <v>11895</v>
      </c>
      <c r="P3551" s="2" t="s">
        <v>37</v>
      </c>
      <c r="Q3551" t="s">
        <v>1208</v>
      </c>
      <c r="R3551">
        <v>0</v>
      </c>
      <c r="S3551">
        <v>37.93</v>
      </c>
      <c r="T3551" t="s">
        <v>11896</v>
      </c>
    </row>
    <row r="3552" spans="1:20" x14ac:dyDescent="0.25">
      <c r="A3552" s="1" t="str">
        <f>HYPERLINK("https://vegkart.atlas.vegvesen.no/#/@285509.7,6667307.1,18/hva:hva%5B0%5D%5Bfilter%5D%5B0%5D%5Boperator%5D=%21%3D&amp;hva%5B0%5D%5Bfilter%5D%5B0%5D%5Btype_id%5D=8917&amp;hva%5B0%5D%5Bfilter%5D%5B0%5D%5Bverdi%5D=&amp;hva%5B0%5D%5Bid%5D=49/når:2023-10-05", "Vegkart")</f>
        <v>Vegkart</v>
      </c>
      <c r="B3552">
        <v>1018050667</v>
      </c>
      <c r="C3552">
        <v>49</v>
      </c>
      <c r="D3552" t="s">
        <v>8701</v>
      </c>
      <c r="E3552">
        <v>8917</v>
      </c>
      <c r="F3552" t="s">
        <v>23479</v>
      </c>
      <c r="G3552">
        <v>1</v>
      </c>
      <c r="H3552" t="s">
        <v>11897</v>
      </c>
      <c r="J3552" t="s">
        <v>11497</v>
      </c>
      <c r="K3552" t="s">
        <v>132</v>
      </c>
      <c r="L3552" t="s">
        <v>22</v>
      </c>
      <c r="M3552" t="s">
        <v>11541</v>
      </c>
      <c r="N3552" t="s">
        <v>11898</v>
      </c>
      <c r="O3552" t="s">
        <v>11899</v>
      </c>
      <c r="P3552" s="2" t="s">
        <v>37</v>
      </c>
      <c r="Q3552" t="s">
        <v>1208</v>
      </c>
      <c r="R3552">
        <v>0.73</v>
      </c>
      <c r="S3552">
        <v>110.88</v>
      </c>
      <c r="T3552" t="s">
        <v>11900</v>
      </c>
    </row>
    <row r="3553" spans="1:20" x14ac:dyDescent="0.25">
      <c r="A3553" s="1" t="str">
        <f>HYPERLINK("https://vegkart.atlas.vegvesen.no/#/@-23039.8,6746667.2,18/hva:hva%5B0%5D%5Bfilter%5D%5B0%5D%5Boperator%5D=%21%3D&amp;hva%5B0%5D%5Bfilter%5D%5B0%5D%5Btype_id%5D=8917&amp;hva%5B0%5D%5Bfilter%5D%5B0%5D%5Bverdi%5D=&amp;hva%5B0%5D%5Bid%5D=49/når:2023-10-09", "Vegkart")</f>
        <v>Vegkart</v>
      </c>
      <c r="B3553">
        <v>1018059402</v>
      </c>
      <c r="C3553">
        <v>49</v>
      </c>
      <c r="D3553" t="s">
        <v>8701</v>
      </c>
      <c r="E3553">
        <v>8917</v>
      </c>
      <c r="F3553" t="s">
        <v>23479</v>
      </c>
      <c r="G3553">
        <v>1</v>
      </c>
      <c r="H3553" t="s">
        <v>11901</v>
      </c>
      <c r="J3553" t="s">
        <v>11497</v>
      </c>
      <c r="K3553" t="s">
        <v>21</v>
      </c>
      <c r="L3553" t="s">
        <v>33</v>
      </c>
      <c r="M3553" t="s">
        <v>1415</v>
      </c>
      <c r="N3553" t="s">
        <v>11902</v>
      </c>
      <c r="O3553" t="s">
        <v>11903</v>
      </c>
      <c r="P3553" s="2" t="s">
        <v>37</v>
      </c>
      <c r="Q3553" t="s">
        <v>1208</v>
      </c>
      <c r="R3553">
        <v>0</v>
      </c>
      <c r="S3553">
        <v>26.43</v>
      </c>
      <c r="T3553" t="s">
        <v>11904</v>
      </c>
    </row>
    <row r="3554" spans="1:20" x14ac:dyDescent="0.25">
      <c r="A3554" s="1" t="str">
        <f>HYPERLINK("https://vegkart.atlas.vegvesen.no/#/@310497.6,6755304.0,18/hva:hva%5B0%5D%5Bfilter%5D%5B0%5D%5Boperator%5D=%21%3D&amp;hva%5B0%5D%5Bfilter%5D%5B0%5D%5Btype_id%5D=8917&amp;hva%5B0%5D%5Bfilter%5D%5B0%5D%5Bverdi%5D=&amp;hva%5B0%5D%5Bid%5D=49/når:2023-10-16", "Vegkart")</f>
        <v>Vegkart</v>
      </c>
      <c r="B3554">
        <v>1018082729</v>
      </c>
      <c r="C3554">
        <v>49</v>
      </c>
      <c r="D3554" t="s">
        <v>8701</v>
      </c>
      <c r="E3554">
        <v>8917</v>
      </c>
      <c r="F3554" t="s">
        <v>23479</v>
      </c>
      <c r="G3554">
        <v>1</v>
      </c>
      <c r="H3554" t="s">
        <v>511</v>
      </c>
      <c r="J3554" t="s">
        <v>11497</v>
      </c>
      <c r="K3554" t="s">
        <v>136</v>
      </c>
      <c r="L3554" t="s">
        <v>113</v>
      </c>
      <c r="M3554" t="s">
        <v>335</v>
      </c>
      <c r="N3554" t="s">
        <v>11905</v>
      </c>
      <c r="O3554" t="s">
        <v>11906</v>
      </c>
      <c r="P3554" s="2" t="s">
        <v>37</v>
      </c>
      <c r="Q3554" t="s">
        <v>1208</v>
      </c>
      <c r="R3554">
        <v>0</v>
      </c>
      <c r="S3554">
        <v>64.650000000000006</v>
      </c>
      <c r="T3554" t="s">
        <v>11907</v>
      </c>
    </row>
    <row r="3555" spans="1:20" x14ac:dyDescent="0.25">
      <c r="A3555" s="1" t="str">
        <f>HYPERLINK("https://vegkart.atlas.vegvesen.no/#/@253286.7,6631247.3,18/hva:hva%5B0%5D%5Bfilter%5D%5B0%5D%5Boperator%5D=%21%3D&amp;hva%5B0%5D%5Bfilter%5D%5B0%5D%5Btype_id%5D=8917&amp;hva%5B0%5D%5Bfilter%5D%5B0%5D%5Bverdi%5D=&amp;hva%5B0%5D%5Bid%5D=49/når:2023-10-31", "Vegkart")</f>
        <v>Vegkart</v>
      </c>
      <c r="B3555">
        <v>1018121546</v>
      </c>
      <c r="C3555">
        <v>49</v>
      </c>
      <c r="D3555" t="s">
        <v>8701</v>
      </c>
      <c r="E3555">
        <v>8917</v>
      </c>
      <c r="F3555" t="s">
        <v>23479</v>
      </c>
      <c r="G3555">
        <v>1</v>
      </c>
      <c r="H3555" t="s">
        <v>11908</v>
      </c>
      <c r="J3555" t="s">
        <v>11497</v>
      </c>
      <c r="K3555" t="s">
        <v>132</v>
      </c>
      <c r="L3555" t="s">
        <v>33</v>
      </c>
      <c r="M3555" t="s">
        <v>11909</v>
      </c>
      <c r="N3555" t="s">
        <v>11910</v>
      </c>
      <c r="O3555" t="s">
        <v>11911</v>
      </c>
      <c r="P3555" s="2" t="s">
        <v>37</v>
      </c>
      <c r="Q3555" t="s">
        <v>1208</v>
      </c>
      <c r="R3555">
        <v>0</v>
      </c>
      <c r="S3555">
        <v>16.91</v>
      </c>
      <c r="T3555" t="s">
        <v>11912</v>
      </c>
    </row>
    <row r="3556" spans="1:20" x14ac:dyDescent="0.25">
      <c r="A3556" s="1" t="str">
        <f>HYPERLINK("https://vegkart.atlas.vegvesen.no/#/@253264.6,6631216.7,18/hva:hva%5B0%5D%5Bfilter%5D%5B0%5D%5Boperator%5D=%21%3D&amp;hva%5B0%5D%5Bfilter%5D%5B0%5D%5Btype_id%5D=8917&amp;hva%5B0%5D%5Bfilter%5D%5B0%5D%5Bverdi%5D=&amp;hva%5B0%5D%5Bid%5D=49/når:2023-10-31", "Vegkart")</f>
        <v>Vegkart</v>
      </c>
      <c r="B3556">
        <v>1018121547</v>
      </c>
      <c r="C3556">
        <v>49</v>
      </c>
      <c r="D3556" t="s">
        <v>8701</v>
      </c>
      <c r="E3556">
        <v>8917</v>
      </c>
      <c r="F3556" t="s">
        <v>23479</v>
      </c>
      <c r="G3556">
        <v>1</v>
      </c>
      <c r="H3556" t="s">
        <v>11908</v>
      </c>
      <c r="J3556" t="s">
        <v>11497</v>
      </c>
      <c r="K3556" t="s">
        <v>132</v>
      </c>
      <c r="L3556" t="s">
        <v>33</v>
      </c>
      <c r="M3556" t="s">
        <v>11909</v>
      </c>
      <c r="N3556" t="s">
        <v>11913</v>
      </c>
      <c r="O3556" t="s">
        <v>11914</v>
      </c>
      <c r="P3556" s="2" t="s">
        <v>37</v>
      </c>
      <c r="Q3556" t="s">
        <v>1208</v>
      </c>
      <c r="R3556">
        <v>0</v>
      </c>
      <c r="S3556">
        <v>31.29</v>
      </c>
      <c r="T3556" t="s">
        <v>11915</v>
      </c>
    </row>
    <row r="3557" spans="1:20" x14ac:dyDescent="0.25">
      <c r="A3557" s="1" t="str">
        <f>HYPERLINK("https://vegkart.atlas.vegvesen.no/#/@253307.0,6631250.0,18/hva:hva%5B0%5D%5Bfilter%5D%5B0%5D%5Boperator%5D=%21%3D&amp;hva%5B0%5D%5Bfilter%5D%5B0%5D%5Btype_id%5D=8917&amp;hva%5B0%5D%5Bfilter%5D%5B0%5D%5Bverdi%5D=&amp;hva%5B0%5D%5Bid%5D=49/når:2023-10-31", "Vegkart")</f>
        <v>Vegkart</v>
      </c>
      <c r="B3557">
        <v>1018121548</v>
      </c>
      <c r="C3557">
        <v>49</v>
      </c>
      <c r="D3557" t="s">
        <v>8701</v>
      </c>
      <c r="E3557">
        <v>8917</v>
      </c>
      <c r="F3557" t="s">
        <v>23479</v>
      </c>
      <c r="G3557">
        <v>1</v>
      </c>
      <c r="H3557" t="s">
        <v>11908</v>
      </c>
      <c r="J3557" t="s">
        <v>11497</v>
      </c>
      <c r="K3557" t="s">
        <v>132</v>
      </c>
      <c r="L3557" t="s">
        <v>33</v>
      </c>
      <c r="M3557" t="s">
        <v>11909</v>
      </c>
      <c r="N3557" t="s">
        <v>11916</v>
      </c>
      <c r="O3557" t="s">
        <v>11917</v>
      </c>
      <c r="P3557" s="2" t="s">
        <v>37</v>
      </c>
      <c r="Q3557" t="s">
        <v>1208</v>
      </c>
      <c r="R3557">
        <v>0</v>
      </c>
      <c r="S3557">
        <v>24.13</v>
      </c>
      <c r="T3557" t="s">
        <v>11918</v>
      </c>
    </row>
    <row r="3558" spans="1:20" x14ac:dyDescent="0.25">
      <c r="A3558" s="1" t="str">
        <f>HYPERLINK("https://vegkart.atlas.vegvesen.no/#/@253299.3,6631251.8,18/hva:hva%5B0%5D%5Bfilter%5D%5B0%5D%5Boperator%5D=%21%3D&amp;hva%5B0%5D%5Bfilter%5D%5B0%5D%5Btype_id%5D=8917&amp;hva%5B0%5D%5Bfilter%5D%5B0%5D%5Bverdi%5D=&amp;hva%5B0%5D%5Bid%5D=49/når:2023-10-31", "Vegkart")</f>
        <v>Vegkart</v>
      </c>
      <c r="B3558">
        <v>1018121549</v>
      </c>
      <c r="C3558">
        <v>49</v>
      </c>
      <c r="D3558" t="s">
        <v>8701</v>
      </c>
      <c r="E3558">
        <v>8917</v>
      </c>
      <c r="F3558" t="s">
        <v>23479</v>
      </c>
      <c r="G3558">
        <v>1</v>
      </c>
      <c r="H3558" t="s">
        <v>11908</v>
      </c>
      <c r="J3558" t="s">
        <v>11497</v>
      </c>
      <c r="K3558" t="s">
        <v>132</v>
      </c>
      <c r="L3558" t="s">
        <v>33</v>
      </c>
      <c r="M3558" t="s">
        <v>11909</v>
      </c>
      <c r="N3558" t="s">
        <v>11919</v>
      </c>
      <c r="O3558" t="s">
        <v>11920</v>
      </c>
      <c r="P3558" s="2" t="s">
        <v>37</v>
      </c>
      <c r="Q3558" t="s">
        <v>1208</v>
      </c>
      <c r="R3558">
        <v>0</v>
      </c>
      <c r="S3558">
        <v>18.07</v>
      </c>
      <c r="T3558" t="s">
        <v>11921</v>
      </c>
    </row>
    <row r="3559" spans="1:20" x14ac:dyDescent="0.25">
      <c r="A3559" s="1" t="str">
        <f>HYPERLINK("https://vegkart.atlas.vegvesen.no/#/@-35279.2,6556136.4,18/hva:hva%5B0%5D%5Bfilter%5D%5B0%5D%5Boperator%5D=%21%3D&amp;hva%5B0%5D%5Bfilter%5D%5B0%5D%5Btype_id%5D=8917&amp;hva%5B0%5D%5Bfilter%5D%5B0%5D%5Bverdi%5D=&amp;hva%5B0%5D%5Bid%5D=49/når:2023-11-08", "Vegkart")</f>
        <v>Vegkart</v>
      </c>
      <c r="B3559">
        <v>1018187204</v>
      </c>
      <c r="C3559">
        <v>49</v>
      </c>
      <c r="D3559" t="s">
        <v>8701</v>
      </c>
      <c r="E3559">
        <v>8917</v>
      </c>
      <c r="F3559" t="s">
        <v>23479</v>
      </c>
      <c r="G3559">
        <v>1</v>
      </c>
      <c r="H3559" t="s">
        <v>11922</v>
      </c>
      <c r="J3559" t="s">
        <v>11497</v>
      </c>
      <c r="K3559" t="s">
        <v>170</v>
      </c>
      <c r="L3559" t="s">
        <v>33</v>
      </c>
      <c r="M3559" t="s">
        <v>11923</v>
      </c>
      <c r="N3559" t="s">
        <v>11924</v>
      </c>
      <c r="O3559" t="s">
        <v>11925</v>
      </c>
      <c r="P3559" s="2" t="s">
        <v>37</v>
      </c>
      <c r="Q3559" t="s">
        <v>1208</v>
      </c>
      <c r="R3559">
        <v>0</v>
      </c>
      <c r="S3559">
        <v>25.99</v>
      </c>
      <c r="T3559" t="s">
        <v>11926</v>
      </c>
    </row>
    <row r="3560" spans="1:20" x14ac:dyDescent="0.25">
      <c r="A3560" s="1" t="str">
        <f>HYPERLINK("https://vegkart.atlas.vegvesen.no/#/@-35314.1,6556133.0,18/hva:hva%5B0%5D%5Bfilter%5D%5B0%5D%5Boperator%5D=%21%3D&amp;hva%5B0%5D%5Bfilter%5D%5B0%5D%5Btype_id%5D=8917&amp;hva%5B0%5D%5Bfilter%5D%5B0%5D%5Bverdi%5D=&amp;hva%5B0%5D%5Bid%5D=49/når:2023-11-08", "Vegkart")</f>
        <v>Vegkart</v>
      </c>
      <c r="B3560">
        <v>1018187205</v>
      </c>
      <c r="C3560">
        <v>49</v>
      </c>
      <c r="D3560" t="s">
        <v>8701</v>
      </c>
      <c r="E3560">
        <v>8917</v>
      </c>
      <c r="F3560" t="s">
        <v>23479</v>
      </c>
      <c r="G3560">
        <v>1</v>
      </c>
      <c r="H3560" t="s">
        <v>11922</v>
      </c>
      <c r="J3560" t="s">
        <v>11497</v>
      </c>
      <c r="K3560" t="s">
        <v>170</v>
      </c>
      <c r="L3560" t="s">
        <v>33</v>
      </c>
      <c r="M3560" t="s">
        <v>11923</v>
      </c>
      <c r="N3560" t="s">
        <v>11927</v>
      </c>
      <c r="O3560" t="s">
        <v>11928</v>
      </c>
      <c r="P3560" s="2" t="s">
        <v>37</v>
      </c>
      <c r="Q3560" t="s">
        <v>1208</v>
      </c>
      <c r="R3560">
        <v>0</v>
      </c>
      <c r="S3560">
        <v>24.62</v>
      </c>
      <c r="T3560" t="s">
        <v>11929</v>
      </c>
    </row>
    <row r="3561" spans="1:20" x14ac:dyDescent="0.25">
      <c r="A3561" s="1" t="str">
        <f>HYPERLINK("https://vegkart.atlas.vegvesen.no/#/@-35318.7,6556166.0,18/hva:hva%5B0%5D%5Bfilter%5D%5B0%5D%5Boperator%5D=%21%3D&amp;hva%5B0%5D%5Bfilter%5D%5B0%5D%5Btype_id%5D=8917&amp;hva%5B0%5D%5Bfilter%5D%5B0%5D%5Bverdi%5D=&amp;hva%5B0%5D%5Bid%5D=49/når:2023-11-08", "Vegkart")</f>
        <v>Vegkart</v>
      </c>
      <c r="B3561">
        <v>1018187206</v>
      </c>
      <c r="C3561">
        <v>49</v>
      </c>
      <c r="D3561" t="s">
        <v>8701</v>
      </c>
      <c r="E3561">
        <v>8917</v>
      </c>
      <c r="F3561" t="s">
        <v>23479</v>
      </c>
      <c r="G3561">
        <v>1</v>
      </c>
      <c r="H3561" t="s">
        <v>11922</v>
      </c>
      <c r="J3561" t="s">
        <v>11497</v>
      </c>
      <c r="K3561" t="s">
        <v>170</v>
      </c>
      <c r="L3561" t="s">
        <v>33</v>
      </c>
      <c r="M3561" t="s">
        <v>11923</v>
      </c>
      <c r="N3561" t="s">
        <v>11930</v>
      </c>
      <c r="O3561" t="s">
        <v>11931</v>
      </c>
      <c r="P3561" s="2" t="s">
        <v>37</v>
      </c>
      <c r="Q3561" t="s">
        <v>1208</v>
      </c>
      <c r="R3561">
        <v>0</v>
      </c>
      <c r="S3561">
        <v>25.38</v>
      </c>
      <c r="T3561" t="s">
        <v>11932</v>
      </c>
    </row>
    <row r="3562" spans="1:20" x14ac:dyDescent="0.25">
      <c r="A3562" s="1" t="str">
        <f>HYPERLINK("https://vegkart.atlas.vegvesen.no/#/@-34812.7,6555627.0,18/hva:hva%5B0%5D%5Bfilter%5D%5B0%5D%5Boperator%5D=%21%3D&amp;hva%5B0%5D%5Bfilter%5D%5B0%5D%5Btype_id%5D=8917&amp;hva%5B0%5D%5Bfilter%5D%5B0%5D%5Bverdi%5D=&amp;hva%5B0%5D%5Bid%5D=49/når:2023-11-08", "Vegkart")</f>
        <v>Vegkart</v>
      </c>
      <c r="B3562">
        <v>1018187207</v>
      </c>
      <c r="C3562">
        <v>49</v>
      </c>
      <c r="D3562" t="s">
        <v>8701</v>
      </c>
      <c r="E3562">
        <v>8917</v>
      </c>
      <c r="F3562" t="s">
        <v>23479</v>
      </c>
      <c r="G3562">
        <v>1</v>
      </c>
      <c r="H3562" t="s">
        <v>11922</v>
      </c>
      <c r="J3562" t="s">
        <v>11497</v>
      </c>
      <c r="K3562" t="s">
        <v>170</v>
      </c>
      <c r="L3562" t="s">
        <v>33</v>
      </c>
      <c r="M3562" t="s">
        <v>11923</v>
      </c>
      <c r="N3562" t="s">
        <v>11933</v>
      </c>
      <c r="O3562" t="s">
        <v>11934</v>
      </c>
      <c r="P3562" s="2" t="s">
        <v>37</v>
      </c>
      <c r="Q3562" t="s">
        <v>1208</v>
      </c>
      <c r="R3562">
        <v>0</v>
      </c>
      <c r="S3562">
        <v>26.85</v>
      </c>
      <c r="T3562" t="s">
        <v>11935</v>
      </c>
    </row>
    <row r="3563" spans="1:20" x14ac:dyDescent="0.25">
      <c r="A3563" s="1" t="str">
        <f>HYPERLINK("https://vegkart.atlas.vegvesen.no/#/@-36179.4,6556498.7,18/hva:hva%5B0%5D%5Bfilter%5D%5B0%5D%5Boperator%5D=%21%3D&amp;hva%5B0%5D%5Bfilter%5D%5B0%5D%5Btype_id%5D=8917&amp;hva%5B0%5D%5Bfilter%5D%5B0%5D%5Bverdi%5D=&amp;hva%5B0%5D%5Bid%5D=49/når:2023-11-08", "Vegkart")</f>
        <v>Vegkart</v>
      </c>
      <c r="B3563">
        <v>1018187208</v>
      </c>
      <c r="C3563">
        <v>49</v>
      </c>
      <c r="D3563" t="s">
        <v>8701</v>
      </c>
      <c r="E3563">
        <v>8917</v>
      </c>
      <c r="F3563" t="s">
        <v>23479</v>
      </c>
      <c r="G3563">
        <v>1</v>
      </c>
      <c r="H3563" t="s">
        <v>11922</v>
      </c>
      <c r="J3563" t="s">
        <v>11497</v>
      </c>
      <c r="K3563" t="s">
        <v>170</v>
      </c>
      <c r="L3563" t="s">
        <v>33</v>
      </c>
      <c r="M3563" t="s">
        <v>11923</v>
      </c>
      <c r="N3563" t="s">
        <v>11936</v>
      </c>
      <c r="O3563" t="s">
        <v>11937</v>
      </c>
      <c r="P3563" s="2" t="s">
        <v>37</v>
      </c>
      <c r="Q3563" t="s">
        <v>1208</v>
      </c>
      <c r="R3563">
        <v>0</v>
      </c>
      <c r="S3563">
        <v>152.4</v>
      </c>
      <c r="T3563" t="s">
        <v>11938</v>
      </c>
    </row>
    <row r="3564" spans="1:20" x14ac:dyDescent="0.25">
      <c r="A3564" s="1" t="str">
        <f>HYPERLINK("https://vegkart.atlas.vegvesen.no/#/@-34850.5,6555633.7,18/hva:hva%5B0%5D%5Bfilter%5D%5B0%5D%5Boperator%5D=%21%3D&amp;hva%5B0%5D%5Bfilter%5D%5B0%5D%5Btype_id%5D=8917&amp;hva%5B0%5D%5Bfilter%5D%5B0%5D%5Bverdi%5D=&amp;hva%5B0%5D%5Bid%5D=49/når:2023-11-08", "Vegkart")</f>
        <v>Vegkart</v>
      </c>
      <c r="B3564">
        <v>1018187209</v>
      </c>
      <c r="C3564">
        <v>49</v>
      </c>
      <c r="D3564" t="s">
        <v>8701</v>
      </c>
      <c r="E3564">
        <v>8917</v>
      </c>
      <c r="F3564" t="s">
        <v>23479</v>
      </c>
      <c r="G3564">
        <v>1</v>
      </c>
      <c r="H3564" t="s">
        <v>11922</v>
      </c>
      <c r="J3564" t="s">
        <v>11497</v>
      </c>
      <c r="K3564" t="s">
        <v>170</v>
      </c>
      <c r="L3564" t="s">
        <v>33</v>
      </c>
      <c r="M3564" t="s">
        <v>11923</v>
      </c>
      <c r="N3564" t="s">
        <v>11939</v>
      </c>
      <c r="O3564" t="s">
        <v>11940</v>
      </c>
      <c r="P3564" s="2" t="s">
        <v>37</v>
      </c>
      <c r="Q3564" t="s">
        <v>1208</v>
      </c>
      <c r="R3564">
        <v>0</v>
      </c>
      <c r="S3564">
        <v>33.590000000000003</v>
      </c>
      <c r="T3564" t="s">
        <v>11941</v>
      </c>
    </row>
    <row r="3565" spans="1:20" x14ac:dyDescent="0.25">
      <c r="A3565" s="1" t="str">
        <f>HYPERLINK("https://vegkart.atlas.vegvesen.no/#/@-35298.4,6556151.9,18/hva:hva%5B0%5D%5Bfilter%5D%5B0%5D%5Boperator%5D=%21%3D&amp;hva%5B0%5D%5Bfilter%5D%5B0%5D%5Btype_id%5D=8917&amp;hva%5B0%5D%5Bfilter%5D%5B0%5D%5Bverdi%5D=&amp;hva%5B0%5D%5Bid%5D=49/når:2023-11-08", "Vegkart")</f>
        <v>Vegkart</v>
      </c>
      <c r="B3565">
        <v>1018187210</v>
      </c>
      <c r="C3565">
        <v>49</v>
      </c>
      <c r="D3565" t="s">
        <v>8701</v>
      </c>
      <c r="E3565">
        <v>8917</v>
      </c>
      <c r="F3565" t="s">
        <v>23479</v>
      </c>
      <c r="G3565">
        <v>1</v>
      </c>
      <c r="H3565" t="s">
        <v>11922</v>
      </c>
      <c r="J3565" t="s">
        <v>11497</v>
      </c>
      <c r="K3565" t="s">
        <v>170</v>
      </c>
      <c r="L3565" t="s">
        <v>33</v>
      </c>
      <c r="M3565" t="s">
        <v>11923</v>
      </c>
      <c r="N3565" t="s">
        <v>11942</v>
      </c>
      <c r="O3565" t="s">
        <v>11943</v>
      </c>
      <c r="P3565" s="2" t="s">
        <v>37</v>
      </c>
      <c r="Q3565" t="s">
        <v>1208</v>
      </c>
      <c r="R3565">
        <v>0</v>
      </c>
      <c r="S3565">
        <v>80.45</v>
      </c>
      <c r="T3565" t="s">
        <v>11944</v>
      </c>
    </row>
    <row r="3566" spans="1:20" x14ac:dyDescent="0.25">
      <c r="A3566" s="1" t="str">
        <f>HYPERLINK("https://vegkart.atlas.vegvesen.no/#/@-35287.8,6556175.0,18/hva:hva%5B0%5D%5Bfilter%5D%5B0%5D%5Boperator%5D=%21%3D&amp;hva%5B0%5D%5Bfilter%5D%5B0%5D%5Btype_id%5D=8917&amp;hva%5B0%5D%5Bfilter%5D%5B0%5D%5Bverdi%5D=&amp;hva%5B0%5D%5Bid%5D=49/når:2023-11-08", "Vegkart")</f>
        <v>Vegkart</v>
      </c>
      <c r="B3566">
        <v>1018187211</v>
      </c>
      <c r="C3566">
        <v>49</v>
      </c>
      <c r="D3566" t="s">
        <v>8701</v>
      </c>
      <c r="E3566">
        <v>8917</v>
      </c>
      <c r="F3566" t="s">
        <v>23479</v>
      </c>
      <c r="G3566">
        <v>1</v>
      </c>
      <c r="H3566" t="s">
        <v>11922</v>
      </c>
      <c r="J3566" t="s">
        <v>11497</v>
      </c>
      <c r="K3566" t="s">
        <v>170</v>
      </c>
      <c r="L3566" t="s">
        <v>33</v>
      </c>
      <c r="M3566" t="s">
        <v>11923</v>
      </c>
      <c r="N3566" t="s">
        <v>11945</v>
      </c>
      <c r="O3566" t="s">
        <v>11946</v>
      </c>
      <c r="P3566" s="2" t="s">
        <v>37</v>
      </c>
      <c r="Q3566" t="s">
        <v>1208</v>
      </c>
      <c r="R3566">
        <v>0</v>
      </c>
      <c r="S3566">
        <v>27.1</v>
      </c>
      <c r="T3566" t="s">
        <v>11947</v>
      </c>
    </row>
    <row r="3567" spans="1:20" x14ac:dyDescent="0.25">
      <c r="A3567" s="1" t="str">
        <f>HYPERLINK("https://vegkart.atlas.vegvesen.no/#/@-34842.7,6555665.5,18/hva:hva%5B0%5D%5Bfilter%5D%5B0%5D%5Boperator%5D=%21%3D&amp;hva%5B0%5D%5Bfilter%5D%5B0%5D%5Btype_id%5D=8917&amp;hva%5B0%5D%5Bfilter%5D%5B0%5D%5Bverdi%5D=&amp;hva%5B0%5D%5Bid%5D=49/når:2023-11-08", "Vegkart")</f>
        <v>Vegkart</v>
      </c>
      <c r="B3567">
        <v>1018187212</v>
      </c>
      <c r="C3567">
        <v>49</v>
      </c>
      <c r="D3567" t="s">
        <v>8701</v>
      </c>
      <c r="E3567">
        <v>8917</v>
      </c>
      <c r="F3567" t="s">
        <v>23479</v>
      </c>
      <c r="G3567">
        <v>1</v>
      </c>
      <c r="H3567" t="s">
        <v>11922</v>
      </c>
      <c r="J3567" t="s">
        <v>11497</v>
      </c>
      <c r="K3567" t="s">
        <v>170</v>
      </c>
      <c r="L3567" t="s">
        <v>33</v>
      </c>
      <c r="M3567" t="s">
        <v>11923</v>
      </c>
      <c r="N3567" t="s">
        <v>11948</v>
      </c>
      <c r="O3567" t="s">
        <v>11949</v>
      </c>
      <c r="P3567" s="2" t="s">
        <v>37</v>
      </c>
      <c r="Q3567" t="s">
        <v>1208</v>
      </c>
      <c r="R3567">
        <v>0</v>
      </c>
      <c r="S3567">
        <v>26.39</v>
      </c>
      <c r="T3567" t="s">
        <v>11950</v>
      </c>
    </row>
    <row r="3568" spans="1:20" x14ac:dyDescent="0.25">
      <c r="A3568" s="1" t="str">
        <f>HYPERLINK("https://vegkart.atlas.vegvesen.no/#/@-34827.7,6555646.3,18/hva:hva%5B0%5D%5Bfilter%5D%5B0%5D%5Boperator%5D=%21%3D&amp;hva%5B0%5D%5Bfilter%5D%5B0%5D%5Btype_id%5D=8917&amp;hva%5B0%5D%5Bfilter%5D%5B0%5D%5Bverdi%5D=&amp;hva%5B0%5D%5Bid%5D=49/når:2023-11-08", "Vegkart")</f>
        <v>Vegkart</v>
      </c>
      <c r="B3568">
        <v>1018187213</v>
      </c>
      <c r="C3568">
        <v>49</v>
      </c>
      <c r="D3568" t="s">
        <v>8701</v>
      </c>
      <c r="E3568">
        <v>8917</v>
      </c>
      <c r="F3568" t="s">
        <v>23479</v>
      </c>
      <c r="G3568">
        <v>1</v>
      </c>
      <c r="H3568" t="s">
        <v>11922</v>
      </c>
      <c r="J3568" t="s">
        <v>11497</v>
      </c>
      <c r="K3568" t="s">
        <v>170</v>
      </c>
      <c r="L3568" t="s">
        <v>33</v>
      </c>
      <c r="M3568" t="s">
        <v>11923</v>
      </c>
      <c r="N3568" t="s">
        <v>11951</v>
      </c>
      <c r="O3568" t="s">
        <v>11952</v>
      </c>
      <c r="P3568" s="2" t="s">
        <v>37</v>
      </c>
      <c r="Q3568" t="s">
        <v>1208</v>
      </c>
      <c r="R3568">
        <v>0</v>
      </c>
      <c r="S3568">
        <v>80.25</v>
      </c>
      <c r="T3568" t="s">
        <v>11953</v>
      </c>
    </row>
    <row r="3569" spans="1:20" x14ac:dyDescent="0.25">
      <c r="A3569" s="1" t="str">
        <f>HYPERLINK("https://vegkart.atlas.vegvesen.no/#/@-34809.1,6555662.1,18/hva:hva%5B0%5D%5Bfilter%5D%5B0%5D%5Boperator%5D=%21%3D&amp;hva%5B0%5D%5Bfilter%5D%5B0%5D%5Btype_id%5D=8917&amp;hva%5B0%5D%5Bfilter%5D%5B0%5D%5Bverdi%5D=&amp;hva%5B0%5D%5Bid%5D=49/når:2023-11-08", "Vegkart")</f>
        <v>Vegkart</v>
      </c>
      <c r="B3569">
        <v>1018187214</v>
      </c>
      <c r="C3569">
        <v>49</v>
      </c>
      <c r="D3569" t="s">
        <v>8701</v>
      </c>
      <c r="E3569">
        <v>8917</v>
      </c>
      <c r="F3569" t="s">
        <v>23479</v>
      </c>
      <c r="G3569">
        <v>1</v>
      </c>
      <c r="H3569" t="s">
        <v>11922</v>
      </c>
      <c r="J3569" t="s">
        <v>11497</v>
      </c>
      <c r="K3569" t="s">
        <v>170</v>
      </c>
      <c r="L3569" t="s">
        <v>33</v>
      </c>
      <c r="M3569" t="s">
        <v>11923</v>
      </c>
      <c r="N3569" t="s">
        <v>11954</v>
      </c>
      <c r="O3569" t="s">
        <v>11955</v>
      </c>
      <c r="P3569" s="2" t="s">
        <v>37</v>
      </c>
      <c r="Q3569" t="s">
        <v>1208</v>
      </c>
      <c r="R3569">
        <v>0</v>
      </c>
      <c r="S3569">
        <v>26.12</v>
      </c>
      <c r="T3569" t="s">
        <v>11956</v>
      </c>
    </row>
    <row r="3570" spans="1:20" x14ac:dyDescent="0.25">
      <c r="A3570" s="1" t="str">
        <f>HYPERLINK("https://vegkart.atlas.vegvesen.no/#/@251514.4,6597354.7,18/hva:hva%5B0%5D%5Bfilter%5D%5B0%5D%5Boperator%5D=%21%3D&amp;hva%5B0%5D%5Bfilter%5D%5B0%5D%5Btype_id%5D=8917&amp;hva%5B0%5D%5Bfilter%5D%5B0%5D%5Bverdi%5D=&amp;hva%5B0%5D%5Bid%5D=49/når:2023-11-13", "Vegkart")</f>
        <v>Vegkart</v>
      </c>
      <c r="B3570">
        <v>1018195045</v>
      </c>
      <c r="C3570">
        <v>49</v>
      </c>
      <c r="D3570" t="s">
        <v>8701</v>
      </c>
      <c r="E3570">
        <v>8917</v>
      </c>
      <c r="F3570" t="s">
        <v>23479</v>
      </c>
      <c r="G3570">
        <v>1</v>
      </c>
      <c r="H3570" t="s">
        <v>334</v>
      </c>
      <c r="J3570" t="s">
        <v>11497</v>
      </c>
      <c r="K3570" t="s">
        <v>104</v>
      </c>
      <c r="L3570" t="s">
        <v>22</v>
      </c>
      <c r="M3570" t="s">
        <v>11957</v>
      </c>
      <c r="N3570" t="s">
        <v>11958</v>
      </c>
      <c r="O3570" t="s">
        <v>11959</v>
      </c>
      <c r="P3570" s="2" t="s">
        <v>37</v>
      </c>
      <c r="Q3570" t="s">
        <v>1208</v>
      </c>
      <c r="R3570">
        <v>0.41</v>
      </c>
      <c r="S3570">
        <v>6.93</v>
      </c>
      <c r="T3570" t="s">
        <v>11960</v>
      </c>
    </row>
    <row r="3571" spans="1:20" x14ac:dyDescent="0.25">
      <c r="A3571" s="1" t="str">
        <f>HYPERLINK("https://vegkart.atlas.vegvesen.no/#/@251771.6,6596774.2,18/hva:hva%5B0%5D%5Bfilter%5D%5B0%5D%5Boperator%5D=%21%3D&amp;hva%5B0%5D%5Bfilter%5D%5B0%5D%5Btype_id%5D=8917&amp;hva%5B0%5D%5Bfilter%5D%5B0%5D%5Bverdi%5D=&amp;hva%5B0%5D%5Bid%5D=49/når:2023-11-13", "Vegkart")</f>
        <v>Vegkart</v>
      </c>
      <c r="B3571">
        <v>1018195806</v>
      </c>
      <c r="C3571">
        <v>49</v>
      </c>
      <c r="D3571" t="s">
        <v>8701</v>
      </c>
      <c r="E3571">
        <v>8917</v>
      </c>
      <c r="F3571" t="s">
        <v>23479</v>
      </c>
      <c r="G3571">
        <v>1</v>
      </c>
      <c r="H3571" t="s">
        <v>334</v>
      </c>
      <c r="J3571" t="s">
        <v>11497</v>
      </c>
      <c r="K3571" t="s">
        <v>104</v>
      </c>
      <c r="L3571" t="s">
        <v>22</v>
      </c>
      <c r="M3571" t="s">
        <v>11961</v>
      </c>
      <c r="N3571" t="s">
        <v>11962</v>
      </c>
      <c r="O3571" t="s">
        <v>11963</v>
      </c>
      <c r="P3571" s="2" t="s">
        <v>37</v>
      </c>
      <c r="Q3571" t="s">
        <v>1208</v>
      </c>
      <c r="R3571">
        <v>0.2</v>
      </c>
      <c r="S3571">
        <v>19.07</v>
      </c>
      <c r="T3571" t="s">
        <v>11964</v>
      </c>
    </row>
    <row r="3572" spans="1:20" x14ac:dyDescent="0.25">
      <c r="A3572" s="1" t="str">
        <f>HYPERLINK("https://vegkart.atlas.vegvesen.no/#/@251714.3,6597118.0,18/hva:hva%5B0%5D%5Bfilter%5D%5B0%5D%5Boperator%5D=%21%3D&amp;hva%5B0%5D%5Bfilter%5D%5B0%5D%5Btype_id%5D=8917&amp;hva%5B0%5D%5Bfilter%5D%5B0%5D%5Bverdi%5D=&amp;hva%5B0%5D%5Bid%5D=49/når:2023-11-13", "Vegkart")</f>
        <v>Vegkart</v>
      </c>
      <c r="B3572">
        <v>1018195904</v>
      </c>
      <c r="C3572">
        <v>49</v>
      </c>
      <c r="D3572" t="s">
        <v>8701</v>
      </c>
      <c r="E3572">
        <v>8917</v>
      </c>
      <c r="F3572" t="s">
        <v>23479</v>
      </c>
      <c r="G3572">
        <v>1</v>
      </c>
      <c r="H3572" t="s">
        <v>334</v>
      </c>
      <c r="J3572" t="s">
        <v>11497</v>
      </c>
      <c r="K3572" t="s">
        <v>104</v>
      </c>
      <c r="L3572" t="s">
        <v>22</v>
      </c>
      <c r="M3572" t="s">
        <v>11961</v>
      </c>
      <c r="N3572" t="s">
        <v>11965</v>
      </c>
      <c r="O3572" t="s">
        <v>11966</v>
      </c>
      <c r="P3572" s="2" t="s">
        <v>37</v>
      </c>
      <c r="Q3572" t="s">
        <v>1208</v>
      </c>
      <c r="R3572">
        <v>0.46</v>
      </c>
      <c r="S3572">
        <v>11.88</v>
      </c>
      <c r="T3572" t="s">
        <v>11967</v>
      </c>
    </row>
    <row r="3573" spans="1:20" x14ac:dyDescent="0.25">
      <c r="A3573" s="1" t="str">
        <f>HYPERLINK("https://vegkart.atlas.vegvesen.no/#/@251728.8,6597411.3,18/hva:hva%5B0%5D%5Bfilter%5D%5B0%5D%5Boperator%5D=%21%3D&amp;hva%5B0%5D%5Bfilter%5D%5B0%5D%5Btype_id%5D=8917&amp;hva%5B0%5D%5Bfilter%5D%5B0%5D%5Bverdi%5D=&amp;hva%5B0%5D%5Bid%5D=49/når:2023-11-13", "Vegkart")</f>
        <v>Vegkart</v>
      </c>
      <c r="B3573">
        <v>1018195925</v>
      </c>
      <c r="C3573">
        <v>49</v>
      </c>
      <c r="D3573" t="s">
        <v>8701</v>
      </c>
      <c r="E3573">
        <v>8917</v>
      </c>
      <c r="F3573" t="s">
        <v>23479</v>
      </c>
      <c r="G3573">
        <v>1</v>
      </c>
      <c r="H3573" t="s">
        <v>334</v>
      </c>
      <c r="J3573" t="s">
        <v>11497</v>
      </c>
      <c r="K3573" t="s">
        <v>104</v>
      </c>
      <c r="L3573" t="s">
        <v>22</v>
      </c>
      <c r="M3573" t="s">
        <v>11968</v>
      </c>
      <c r="N3573" t="s">
        <v>11969</v>
      </c>
      <c r="O3573" t="s">
        <v>11970</v>
      </c>
      <c r="P3573" s="2" t="s">
        <v>37</v>
      </c>
      <c r="Q3573" t="s">
        <v>1208</v>
      </c>
      <c r="R3573">
        <v>0.49</v>
      </c>
      <c r="S3573">
        <v>26.84</v>
      </c>
      <c r="T3573" t="s">
        <v>11971</v>
      </c>
    </row>
    <row r="3574" spans="1:20" x14ac:dyDescent="0.25">
      <c r="A3574" s="1" t="str">
        <f>HYPERLINK("https://vegkart.atlas.vegvesen.no/#/@251875.0,6596743.6,18/hva:hva%5B0%5D%5Bfilter%5D%5B0%5D%5Boperator%5D=%21%3D&amp;hva%5B0%5D%5Bfilter%5D%5B0%5D%5Btype_id%5D=8917&amp;hva%5B0%5D%5Bfilter%5D%5B0%5D%5Bverdi%5D=&amp;hva%5B0%5D%5Bid%5D=49/når:2023-11-14", "Vegkart")</f>
        <v>Vegkart</v>
      </c>
      <c r="B3574">
        <v>1018198271</v>
      </c>
      <c r="C3574">
        <v>49</v>
      </c>
      <c r="D3574" t="s">
        <v>8701</v>
      </c>
      <c r="E3574">
        <v>8917</v>
      </c>
      <c r="F3574" t="s">
        <v>23479</v>
      </c>
      <c r="G3574">
        <v>1</v>
      </c>
      <c r="H3574" t="s">
        <v>11972</v>
      </c>
      <c r="J3574" t="s">
        <v>11497</v>
      </c>
      <c r="K3574" t="s">
        <v>104</v>
      </c>
      <c r="L3574" t="s">
        <v>22</v>
      </c>
      <c r="M3574" t="s">
        <v>11968</v>
      </c>
      <c r="N3574" t="s">
        <v>11973</v>
      </c>
      <c r="O3574" t="s">
        <v>11974</v>
      </c>
      <c r="P3574" s="2" t="s">
        <v>37</v>
      </c>
      <c r="Q3574" t="s">
        <v>1208</v>
      </c>
      <c r="R3574">
        <v>0.31</v>
      </c>
      <c r="S3574">
        <v>13.72</v>
      </c>
      <c r="T3574" t="s">
        <v>11975</v>
      </c>
    </row>
    <row r="3575" spans="1:20" x14ac:dyDescent="0.25">
      <c r="A3575" s="1" t="str">
        <f>HYPERLINK("https://vegkart.atlas.vegvesen.no/#/@251336.1,6596856.1,18/hva:hva%5B0%5D%5Bfilter%5D%5B0%5D%5Boperator%5D=%21%3D&amp;hva%5B0%5D%5Bfilter%5D%5B0%5D%5Btype_id%5D=8917&amp;hva%5B0%5D%5Bfilter%5D%5B0%5D%5Bverdi%5D=&amp;hva%5B0%5D%5Bid%5D=49/når:2023-11-14", "Vegkart")</f>
        <v>Vegkart</v>
      </c>
      <c r="B3575">
        <v>1018198401</v>
      </c>
      <c r="C3575">
        <v>49</v>
      </c>
      <c r="D3575" t="s">
        <v>8701</v>
      </c>
      <c r="E3575">
        <v>8917</v>
      </c>
      <c r="F3575" t="s">
        <v>23479</v>
      </c>
      <c r="G3575">
        <v>1</v>
      </c>
      <c r="H3575" t="s">
        <v>11972</v>
      </c>
      <c r="J3575" t="s">
        <v>11497</v>
      </c>
      <c r="K3575" t="s">
        <v>104</v>
      </c>
      <c r="L3575" t="s">
        <v>22</v>
      </c>
      <c r="M3575" t="s">
        <v>11976</v>
      </c>
      <c r="N3575" t="s">
        <v>11977</v>
      </c>
      <c r="O3575" t="s">
        <v>11978</v>
      </c>
      <c r="P3575" s="2" t="s">
        <v>37</v>
      </c>
      <c r="Q3575" t="s">
        <v>1208</v>
      </c>
      <c r="R3575">
        <v>0.67</v>
      </c>
      <c r="S3575">
        <v>14.1</v>
      </c>
      <c r="T3575" t="s">
        <v>11979</v>
      </c>
    </row>
    <row r="3576" spans="1:20" x14ac:dyDescent="0.25">
      <c r="A3576" s="1" t="str">
        <f>HYPERLINK("https://vegkart.atlas.vegvesen.no/#/@253352.6,6597837.6,18/hva:hva%5B0%5D%5Bfilter%5D%5B0%5D%5Boperator%5D=%21%3D&amp;hva%5B0%5D%5Bfilter%5D%5B0%5D%5Btype_id%5D=8917&amp;hva%5B0%5D%5Bfilter%5D%5B0%5D%5Bverdi%5D=&amp;hva%5B0%5D%5Bid%5D=49/når:2023-11-16", "Vegkart")</f>
        <v>Vegkart</v>
      </c>
      <c r="B3576">
        <v>1018207095</v>
      </c>
      <c r="C3576">
        <v>49</v>
      </c>
      <c r="D3576" t="s">
        <v>8701</v>
      </c>
      <c r="E3576">
        <v>8917</v>
      </c>
      <c r="F3576" t="s">
        <v>23479</v>
      </c>
      <c r="G3576">
        <v>1</v>
      </c>
      <c r="H3576" t="s">
        <v>5593</v>
      </c>
      <c r="J3576" t="s">
        <v>11497</v>
      </c>
      <c r="K3576" t="s">
        <v>104</v>
      </c>
      <c r="L3576" t="s">
        <v>22</v>
      </c>
      <c r="M3576" t="s">
        <v>11980</v>
      </c>
      <c r="N3576" t="s">
        <v>11981</v>
      </c>
      <c r="O3576" t="s">
        <v>11982</v>
      </c>
      <c r="P3576" s="2" t="s">
        <v>37</v>
      </c>
      <c r="Q3576" t="s">
        <v>1208</v>
      </c>
      <c r="R3576">
        <v>0.55000000000000004</v>
      </c>
      <c r="S3576">
        <v>11.22</v>
      </c>
      <c r="T3576" t="s">
        <v>11983</v>
      </c>
    </row>
    <row r="3577" spans="1:20" x14ac:dyDescent="0.25">
      <c r="A3577" s="1" t="str">
        <f>HYPERLINK("https://vegkart.atlas.vegvesen.no/#/@252310.6,6597019.1,18/hva:hva%5B0%5D%5Bfilter%5D%5B0%5D%5Boperator%5D=%21%3D&amp;hva%5B0%5D%5Bfilter%5D%5B0%5D%5Btype_id%5D=8917&amp;hva%5B0%5D%5Bfilter%5D%5B0%5D%5Bverdi%5D=&amp;hva%5B0%5D%5Bid%5D=49/når:2023-11-16", "Vegkart")</f>
        <v>Vegkart</v>
      </c>
      <c r="B3577">
        <v>1018208764</v>
      </c>
      <c r="C3577">
        <v>49</v>
      </c>
      <c r="D3577" t="s">
        <v>8701</v>
      </c>
      <c r="E3577">
        <v>8917</v>
      </c>
      <c r="F3577" t="s">
        <v>23479</v>
      </c>
      <c r="G3577">
        <v>1</v>
      </c>
      <c r="H3577" t="s">
        <v>5593</v>
      </c>
      <c r="J3577" t="s">
        <v>11497</v>
      </c>
      <c r="K3577" t="s">
        <v>104</v>
      </c>
      <c r="L3577" t="s">
        <v>22</v>
      </c>
      <c r="M3577" t="s">
        <v>11984</v>
      </c>
      <c r="N3577" t="s">
        <v>11985</v>
      </c>
      <c r="O3577" t="s">
        <v>11986</v>
      </c>
      <c r="P3577" s="2" t="s">
        <v>37</v>
      </c>
      <c r="Q3577" t="s">
        <v>1208</v>
      </c>
      <c r="R3577">
        <v>0.46</v>
      </c>
      <c r="S3577">
        <v>23.91</v>
      </c>
      <c r="T3577" t="s">
        <v>11987</v>
      </c>
    </row>
    <row r="3578" spans="1:20" x14ac:dyDescent="0.25">
      <c r="A3578" s="1" t="str">
        <f>HYPERLINK("https://vegkart.atlas.vegvesen.no/#/@252286.7,6596599.1,18/hva:hva%5B0%5D%5Bfilter%5D%5B0%5D%5Boperator%5D=%21%3D&amp;hva%5B0%5D%5Bfilter%5D%5B0%5D%5Btype_id%5D=8917&amp;hva%5B0%5D%5Bfilter%5D%5B0%5D%5Bverdi%5D=&amp;hva%5B0%5D%5Bid%5D=49/når:2023-11-16", "Vegkart")</f>
        <v>Vegkart</v>
      </c>
      <c r="B3578">
        <v>1018208801</v>
      </c>
      <c r="C3578">
        <v>49</v>
      </c>
      <c r="D3578" t="s">
        <v>8701</v>
      </c>
      <c r="E3578">
        <v>8917</v>
      </c>
      <c r="F3578" t="s">
        <v>23479</v>
      </c>
      <c r="G3578">
        <v>1</v>
      </c>
      <c r="H3578" t="s">
        <v>5593</v>
      </c>
      <c r="J3578" t="s">
        <v>11497</v>
      </c>
      <c r="K3578" t="s">
        <v>104</v>
      </c>
      <c r="L3578" t="s">
        <v>22</v>
      </c>
      <c r="M3578" t="s">
        <v>11984</v>
      </c>
      <c r="N3578" t="s">
        <v>11988</v>
      </c>
      <c r="O3578" t="s">
        <v>11989</v>
      </c>
      <c r="P3578" s="2" t="s">
        <v>37</v>
      </c>
      <c r="Q3578" t="s">
        <v>1208</v>
      </c>
      <c r="R3578">
        <v>0.43</v>
      </c>
      <c r="S3578">
        <v>18.690000000000001</v>
      </c>
      <c r="T3578" t="s">
        <v>11990</v>
      </c>
    </row>
    <row r="3579" spans="1:20" x14ac:dyDescent="0.25">
      <c r="A3579" s="1" t="str">
        <f>HYPERLINK("https://vegkart.atlas.vegvesen.no/#/@252442.9,6596465.9,18/hva:hva%5B0%5D%5Bfilter%5D%5B0%5D%5Boperator%5D=%21%3D&amp;hva%5B0%5D%5Bfilter%5D%5B0%5D%5Btype_id%5D=8917&amp;hva%5B0%5D%5Bfilter%5D%5B0%5D%5Bverdi%5D=&amp;hva%5B0%5D%5Bid%5D=49/når:2023-11-16", "Vegkart")</f>
        <v>Vegkart</v>
      </c>
      <c r="B3579">
        <v>1018209102</v>
      </c>
      <c r="C3579">
        <v>49</v>
      </c>
      <c r="D3579" t="s">
        <v>8701</v>
      </c>
      <c r="E3579">
        <v>8917</v>
      </c>
      <c r="F3579" t="s">
        <v>23479</v>
      </c>
      <c r="G3579">
        <v>1</v>
      </c>
      <c r="H3579" t="s">
        <v>5593</v>
      </c>
      <c r="J3579" t="s">
        <v>11497</v>
      </c>
      <c r="K3579" t="s">
        <v>104</v>
      </c>
      <c r="L3579" t="s">
        <v>22</v>
      </c>
      <c r="M3579" t="s">
        <v>11991</v>
      </c>
      <c r="N3579" t="s">
        <v>11992</v>
      </c>
      <c r="O3579" t="s">
        <v>11993</v>
      </c>
      <c r="P3579" s="2" t="s">
        <v>37</v>
      </c>
      <c r="Q3579" t="s">
        <v>1208</v>
      </c>
      <c r="R3579">
        <v>0.41</v>
      </c>
      <c r="S3579">
        <v>15.46</v>
      </c>
      <c r="T3579" t="s">
        <v>11994</v>
      </c>
    </row>
    <row r="3580" spans="1:20" x14ac:dyDescent="0.25">
      <c r="A3580" s="1" t="str">
        <f>HYPERLINK("https://vegkart.atlas.vegvesen.no/#/@253440.6,6596425.9,18/hva:hva%5B0%5D%5Bfilter%5D%5B0%5D%5Boperator%5D=%21%3D&amp;hva%5B0%5D%5Bfilter%5D%5B0%5D%5Btype_id%5D=8917&amp;hva%5B0%5D%5Bfilter%5D%5B0%5D%5Bverdi%5D=&amp;hva%5B0%5D%5Bid%5D=49/når:2023-11-20", "Vegkart")</f>
        <v>Vegkart</v>
      </c>
      <c r="B3580">
        <v>1018219277</v>
      </c>
      <c r="C3580">
        <v>49</v>
      </c>
      <c r="D3580" t="s">
        <v>8701</v>
      </c>
      <c r="E3580">
        <v>8917</v>
      </c>
      <c r="F3580" t="s">
        <v>23479</v>
      </c>
      <c r="G3580">
        <v>1</v>
      </c>
      <c r="H3580" t="s">
        <v>11995</v>
      </c>
      <c r="J3580" t="s">
        <v>11497</v>
      </c>
      <c r="K3580" t="s">
        <v>104</v>
      </c>
      <c r="L3580" t="s">
        <v>22</v>
      </c>
      <c r="M3580" t="s">
        <v>11996</v>
      </c>
      <c r="N3580" t="s">
        <v>11997</v>
      </c>
      <c r="O3580" t="s">
        <v>11998</v>
      </c>
      <c r="P3580" s="2" t="s">
        <v>37</v>
      </c>
      <c r="Q3580" t="s">
        <v>1208</v>
      </c>
      <c r="R3580">
        <v>0.39</v>
      </c>
      <c r="S3580">
        <v>19.07</v>
      </c>
      <c r="T3580" t="s">
        <v>11999</v>
      </c>
    </row>
    <row r="3581" spans="1:20" x14ac:dyDescent="0.25">
      <c r="A3581" s="1" t="str">
        <f>HYPERLINK("https://vegkart.atlas.vegvesen.no/#/@253329.6,6596433.0,18/hva:hva%5B0%5D%5Bfilter%5D%5B0%5D%5Boperator%5D=%21%3D&amp;hva%5B0%5D%5Bfilter%5D%5B0%5D%5Btype_id%5D=8917&amp;hva%5B0%5D%5Bfilter%5D%5B0%5D%5Bverdi%5D=&amp;hva%5B0%5D%5Bid%5D=49/når:2023-11-21", "Vegkart")</f>
        <v>Vegkart</v>
      </c>
      <c r="B3581">
        <v>1018221744</v>
      </c>
      <c r="C3581">
        <v>49</v>
      </c>
      <c r="D3581" t="s">
        <v>8701</v>
      </c>
      <c r="E3581">
        <v>8917</v>
      </c>
      <c r="F3581" t="s">
        <v>23479</v>
      </c>
      <c r="G3581">
        <v>1</v>
      </c>
      <c r="H3581" t="s">
        <v>12000</v>
      </c>
      <c r="J3581" t="s">
        <v>11497</v>
      </c>
      <c r="K3581" t="s">
        <v>104</v>
      </c>
      <c r="L3581" t="s">
        <v>22</v>
      </c>
      <c r="M3581" t="s">
        <v>12001</v>
      </c>
      <c r="N3581" t="s">
        <v>12002</v>
      </c>
      <c r="O3581" t="s">
        <v>12003</v>
      </c>
      <c r="P3581" s="2" t="s">
        <v>37</v>
      </c>
      <c r="Q3581" t="s">
        <v>1208</v>
      </c>
      <c r="R3581">
        <v>0.52</v>
      </c>
      <c r="S3581">
        <v>38</v>
      </c>
      <c r="T3581" t="s">
        <v>12004</v>
      </c>
    </row>
    <row r="3582" spans="1:20" x14ac:dyDescent="0.25">
      <c r="A3582" s="1" t="str">
        <f>HYPERLINK("https://vegkart.atlas.vegvesen.no/#/@258397.7,6651175.4,18/hva:hva%5B0%5D%5Bfilter%5D%5B0%5D%5Boperator%5D=%21%3D&amp;hva%5B0%5D%5Bfilter%5D%5B0%5D%5Btype_id%5D=8917&amp;hva%5B0%5D%5Bfilter%5D%5B0%5D%5Bverdi%5D=&amp;hva%5B0%5D%5Bid%5D=49/når:2023-08-29", "Vegkart")</f>
        <v>Vegkart</v>
      </c>
      <c r="B3582">
        <v>1018223131</v>
      </c>
      <c r="C3582">
        <v>49</v>
      </c>
      <c r="D3582" t="s">
        <v>8701</v>
      </c>
      <c r="E3582">
        <v>8917</v>
      </c>
      <c r="F3582" t="s">
        <v>23479</v>
      </c>
      <c r="G3582">
        <v>1</v>
      </c>
      <c r="H3582" t="s">
        <v>12005</v>
      </c>
      <c r="J3582" t="s">
        <v>11497</v>
      </c>
      <c r="K3582" t="s">
        <v>335</v>
      </c>
      <c r="L3582" t="s">
        <v>22</v>
      </c>
      <c r="M3582" t="s">
        <v>12006</v>
      </c>
      <c r="N3582" t="s">
        <v>12007</v>
      </c>
      <c r="O3582" t="s">
        <v>12008</v>
      </c>
      <c r="P3582" s="2" t="s">
        <v>37</v>
      </c>
      <c r="Q3582" t="s">
        <v>1208</v>
      </c>
      <c r="R3582">
        <v>0</v>
      </c>
      <c r="S3582">
        <v>14.8</v>
      </c>
      <c r="T3582" t="s">
        <v>12009</v>
      </c>
    </row>
    <row r="3583" spans="1:20" x14ac:dyDescent="0.25">
      <c r="A3583" s="1" t="str">
        <f>HYPERLINK("https://vegkart.atlas.vegvesen.no/#/@258530.5,6651975.8,18/hva:hva%5B0%5D%5Bfilter%5D%5B0%5D%5Boperator%5D=%21%3D&amp;hva%5B0%5D%5Bfilter%5D%5B0%5D%5Btype_id%5D=8917&amp;hva%5B0%5D%5Bfilter%5D%5B0%5D%5Bverdi%5D=&amp;hva%5B0%5D%5Bid%5D=49/når:2023-08-29", "Vegkart")</f>
        <v>Vegkart</v>
      </c>
      <c r="B3583">
        <v>1018223132</v>
      </c>
      <c r="C3583">
        <v>49</v>
      </c>
      <c r="D3583" t="s">
        <v>8701</v>
      </c>
      <c r="E3583">
        <v>8917</v>
      </c>
      <c r="F3583" t="s">
        <v>23479</v>
      </c>
      <c r="G3583">
        <v>1</v>
      </c>
      <c r="H3583" t="s">
        <v>12005</v>
      </c>
      <c r="J3583" t="s">
        <v>11497</v>
      </c>
      <c r="K3583" t="s">
        <v>335</v>
      </c>
      <c r="L3583" t="s">
        <v>22</v>
      </c>
      <c r="M3583" t="s">
        <v>8347</v>
      </c>
      <c r="N3583" t="s">
        <v>12010</v>
      </c>
      <c r="O3583" t="s">
        <v>12011</v>
      </c>
      <c r="P3583" s="2" t="s">
        <v>37</v>
      </c>
      <c r="Q3583" t="s">
        <v>1208</v>
      </c>
      <c r="R3583">
        <v>0</v>
      </c>
      <c r="S3583">
        <v>17.97</v>
      </c>
      <c r="T3583" t="s">
        <v>12012</v>
      </c>
    </row>
    <row r="3584" spans="1:20" x14ac:dyDescent="0.25">
      <c r="A3584" s="1" t="str">
        <f>HYPERLINK("https://vegkart.atlas.vegvesen.no/#/@258483.0,6651934.8,18/hva:hva%5B0%5D%5Bfilter%5D%5B0%5D%5Boperator%5D=%21%3D&amp;hva%5B0%5D%5Bfilter%5D%5B0%5D%5Btype_id%5D=8917&amp;hva%5B0%5D%5Bfilter%5D%5B0%5D%5Bverdi%5D=&amp;hva%5B0%5D%5Bid%5D=49/når:2023-08-29", "Vegkart")</f>
        <v>Vegkart</v>
      </c>
      <c r="B3584">
        <v>1018223133</v>
      </c>
      <c r="C3584">
        <v>49</v>
      </c>
      <c r="D3584" t="s">
        <v>8701</v>
      </c>
      <c r="E3584">
        <v>8917</v>
      </c>
      <c r="F3584" t="s">
        <v>23479</v>
      </c>
      <c r="G3584">
        <v>1</v>
      </c>
      <c r="H3584" t="s">
        <v>12005</v>
      </c>
      <c r="J3584" t="s">
        <v>11497</v>
      </c>
      <c r="K3584" t="s">
        <v>335</v>
      </c>
      <c r="L3584" t="s">
        <v>22</v>
      </c>
      <c r="M3584" t="s">
        <v>8347</v>
      </c>
      <c r="N3584" t="s">
        <v>12013</v>
      </c>
      <c r="O3584" t="s">
        <v>12014</v>
      </c>
      <c r="P3584" s="2" t="s">
        <v>37</v>
      </c>
      <c r="Q3584" t="s">
        <v>1208</v>
      </c>
      <c r="R3584">
        <v>0</v>
      </c>
      <c r="S3584">
        <v>78.2</v>
      </c>
      <c r="T3584" t="s">
        <v>12015</v>
      </c>
    </row>
    <row r="3585" spans="1:20" x14ac:dyDescent="0.25">
      <c r="A3585" s="1" t="str">
        <f>HYPERLINK("https://vegkart.atlas.vegvesen.no/#/@258402.1,6651195.0,18/hva:hva%5B0%5D%5Bfilter%5D%5B0%5D%5Boperator%5D=%21%3D&amp;hva%5B0%5D%5Bfilter%5D%5B0%5D%5Btype_id%5D=8917&amp;hva%5B0%5D%5Bfilter%5D%5B0%5D%5Bverdi%5D=&amp;hva%5B0%5D%5Bid%5D=49/når:2023-08-29", "Vegkart")</f>
        <v>Vegkart</v>
      </c>
      <c r="B3585">
        <v>1018223134</v>
      </c>
      <c r="C3585">
        <v>49</v>
      </c>
      <c r="D3585" t="s">
        <v>8701</v>
      </c>
      <c r="E3585">
        <v>8917</v>
      </c>
      <c r="F3585" t="s">
        <v>23479</v>
      </c>
      <c r="G3585">
        <v>1</v>
      </c>
      <c r="H3585" t="s">
        <v>12005</v>
      </c>
      <c r="J3585" t="s">
        <v>11497</v>
      </c>
      <c r="K3585" t="s">
        <v>335</v>
      </c>
      <c r="L3585" t="s">
        <v>22</v>
      </c>
      <c r="M3585" t="s">
        <v>12016</v>
      </c>
      <c r="N3585" t="s">
        <v>12017</v>
      </c>
      <c r="O3585" t="s">
        <v>12018</v>
      </c>
      <c r="P3585" s="2" t="s">
        <v>37</v>
      </c>
      <c r="Q3585" t="s">
        <v>1208</v>
      </c>
      <c r="R3585">
        <v>0</v>
      </c>
      <c r="S3585">
        <v>13.56</v>
      </c>
      <c r="T3585" t="s">
        <v>12019</v>
      </c>
    </row>
    <row r="3586" spans="1:20" x14ac:dyDescent="0.25">
      <c r="A3586" s="1" t="str">
        <f>HYPERLINK("https://vegkart.atlas.vegvesen.no/#/@258380.7,6651208.7,18/hva:hva%5B0%5D%5Bfilter%5D%5B0%5D%5Boperator%5D=%21%3D&amp;hva%5B0%5D%5Bfilter%5D%5B0%5D%5Btype_id%5D=8917&amp;hva%5B0%5D%5Bfilter%5D%5B0%5D%5Bverdi%5D=&amp;hva%5B0%5D%5Bid%5D=49/når:2023-08-29", "Vegkart")</f>
        <v>Vegkart</v>
      </c>
      <c r="B3586">
        <v>1018223135</v>
      </c>
      <c r="C3586">
        <v>49</v>
      </c>
      <c r="D3586" t="s">
        <v>8701</v>
      </c>
      <c r="E3586">
        <v>8917</v>
      </c>
      <c r="F3586" t="s">
        <v>23479</v>
      </c>
      <c r="G3586">
        <v>1</v>
      </c>
      <c r="H3586" t="s">
        <v>12005</v>
      </c>
      <c r="J3586" t="s">
        <v>11497</v>
      </c>
      <c r="K3586" t="s">
        <v>335</v>
      </c>
      <c r="L3586" t="s">
        <v>22</v>
      </c>
      <c r="M3586" t="s">
        <v>8347</v>
      </c>
      <c r="N3586" t="s">
        <v>12020</v>
      </c>
      <c r="O3586" t="s">
        <v>12021</v>
      </c>
      <c r="P3586" s="2" t="s">
        <v>37</v>
      </c>
      <c r="Q3586" t="s">
        <v>1208</v>
      </c>
      <c r="R3586">
        <v>0</v>
      </c>
      <c r="S3586">
        <v>16.86</v>
      </c>
      <c r="T3586" t="s">
        <v>12022</v>
      </c>
    </row>
    <row r="3587" spans="1:20" x14ac:dyDescent="0.25">
      <c r="A3587" s="1" t="str">
        <f>HYPERLINK("https://vegkart.atlas.vegvesen.no/#/@258376.9,6651168.6,18/hva:hva%5B0%5D%5Bfilter%5D%5B0%5D%5Boperator%5D=%21%3D&amp;hva%5B0%5D%5Bfilter%5D%5B0%5D%5Btype_id%5D=8917&amp;hva%5B0%5D%5Bfilter%5D%5B0%5D%5Bverdi%5D=&amp;hva%5B0%5D%5Bid%5D=49/når:2023-08-29", "Vegkart")</f>
        <v>Vegkart</v>
      </c>
      <c r="B3587">
        <v>1018223136</v>
      </c>
      <c r="C3587">
        <v>49</v>
      </c>
      <c r="D3587" t="s">
        <v>8701</v>
      </c>
      <c r="E3587">
        <v>8917</v>
      </c>
      <c r="F3587" t="s">
        <v>23479</v>
      </c>
      <c r="G3587">
        <v>1</v>
      </c>
      <c r="H3587" t="s">
        <v>12005</v>
      </c>
      <c r="J3587" t="s">
        <v>11497</v>
      </c>
      <c r="K3587" t="s">
        <v>335</v>
      </c>
      <c r="L3587" t="s">
        <v>22</v>
      </c>
      <c r="M3587" t="s">
        <v>8347</v>
      </c>
      <c r="N3587" t="s">
        <v>12023</v>
      </c>
      <c r="O3587" t="s">
        <v>12024</v>
      </c>
      <c r="P3587" s="2" t="s">
        <v>37</v>
      </c>
      <c r="Q3587" t="s">
        <v>1208</v>
      </c>
      <c r="R3587">
        <v>0</v>
      </c>
      <c r="S3587">
        <v>27.2</v>
      </c>
      <c r="T3587" t="s">
        <v>12025</v>
      </c>
    </row>
    <row r="3588" spans="1:20" x14ac:dyDescent="0.25">
      <c r="A3588" s="1" t="str">
        <f>HYPERLINK("https://vegkart.atlas.vegvesen.no/#/@253335.0,6596388.9,18/hva:hva%5B0%5D%5Bfilter%5D%5B0%5D%5Boperator%5D=%21%3D&amp;hva%5B0%5D%5Bfilter%5D%5B0%5D%5Btype_id%5D=8917&amp;hva%5B0%5D%5Bfilter%5D%5B0%5D%5Bverdi%5D=&amp;hva%5B0%5D%5Bid%5D=49/når:2023-11-21", "Vegkart")</f>
        <v>Vegkart</v>
      </c>
      <c r="B3588">
        <v>1018223156</v>
      </c>
      <c r="C3588">
        <v>49</v>
      </c>
      <c r="D3588" t="s">
        <v>8701</v>
      </c>
      <c r="E3588">
        <v>8917</v>
      </c>
      <c r="F3588" t="s">
        <v>23479</v>
      </c>
      <c r="G3588">
        <v>1</v>
      </c>
      <c r="H3588" t="s">
        <v>12000</v>
      </c>
      <c r="J3588" t="s">
        <v>11497</v>
      </c>
      <c r="K3588" t="s">
        <v>104</v>
      </c>
      <c r="L3588" t="s">
        <v>22</v>
      </c>
      <c r="M3588" t="s">
        <v>1631</v>
      </c>
      <c r="N3588" t="s">
        <v>12026</v>
      </c>
      <c r="O3588" t="s">
        <v>12027</v>
      </c>
      <c r="P3588" s="2" t="s">
        <v>37</v>
      </c>
      <c r="Q3588" t="s">
        <v>1208</v>
      </c>
      <c r="R3588">
        <v>0.56999999999999995</v>
      </c>
      <c r="S3588">
        <v>33.94</v>
      </c>
      <c r="T3588" t="s">
        <v>12028</v>
      </c>
    </row>
    <row r="3589" spans="1:20" x14ac:dyDescent="0.25">
      <c r="A3589" s="1" t="str">
        <f>HYPERLINK("https://vegkart.atlas.vegvesen.no/#/@56899.6,6457082.7,18/hva:hva%5B0%5D%5Bfilter%5D%5B0%5D%5Boperator%5D=%21%3D&amp;hva%5B0%5D%5Bfilter%5D%5B0%5D%5Btype_id%5D=8917&amp;hva%5B0%5D%5Bfilter%5D%5B0%5D%5Bverdi%5D=&amp;hva%5B0%5D%5Bid%5D=49/når:2023-11-23", "Vegkart")</f>
        <v>Vegkart</v>
      </c>
      <c r="B3589">
        <v>1018228675</v>
      </c>
      <c r="C3589">
        <v>49</v>
      </c>
      <c r="D3589" t="s">
        <v>8701</v>
      </c>
      <c r="E3589">
        <v>8917</v>
      </c>
      <c r="F3589" t="s">
        <v>23479</v>
      </c>
      <c r="G3589">
        <v>1</v>
      </c>
      <c r="H3589" t="s">
        <v>2251</v>
      </c>
      <c r="J3589" t="s">
        <v>11497</v>
      </c>
      <c r="K3589" t="s">
        <v>86</v>
      </c>
      <c r="L3589" t="s">
        <v>22</v>
      </c>
      <c r="M3589" t="s">
        <v>12029</v>
      </c>
      <c r="N3589" t="s">
        <v>12030</v>
      </c>
      <c r="O3589" t="s">
        <v>12031</v>
      </c>
      <c r="P3589" s="2" t="s">
        <v>37</v>
      </c>
      <c r="Q3589" t="s">
        <v>1208</v>
      </c>
      <c r="R3589">
        <v>0</v>
      </c>
      <c r="S3589">
        <v>12.57</v>
      </c>
      <c r="T3589" t="s">
        <v>12032</v>
      </c>
    </row>
    <row r="3590" spans="1:20" x14ac:dyDescent="0.25">
      <c r="A3590" s="1" t="str">
        <f>HYPERLINK("https://vegkart.atlas.vegvesen.no/#/@56866.3,6457092.7,18/hva:hva%5B0%5D%5Bfilter%5D%5B0%5D%5Boperator%5D=%21%3D&amp;hva%5B0%5D%5Bfilter%5D%5B0%5D%5Btype_id%5D=8917&amp;hva%5B0%5D%5Bfilter%5D%5B0%5D%5Bverdi%5D=&amp;hva%5B0%5D%5Bid%5D=49/når:2023-11-23", "Vegkart")</f>
        <v>Vegkart</v>
      </c>
      <c r="B3590">
        <v>1018228676</v>
      </c>
      <c r="C3590">
        <v>49</v>
      </c>
      <c r="D3590" t="s">
        <v>8701</v>
      </c>
      <c r="E3590">
        <v>8917</v>
      </c>
      <c r="F3590" t="s">
        <v>23479</v>
      </c>
      <c r="G3590">
        <v>1</v>
      </c>
      <c r="H3590" t="s">
        <v>2251</v>
      </c>
      <c r="J3590" t="s">
        <v>11497</v>
      </c>
      <c r="K3590" t="s">
        <v>86</v>
      </c>
      <c r="L3590" t="s">
        <v>80</v>
      </c>
      <c r="M3590" t="s">
        <v>81</v>
      </c>
      <c r="N3590" t="s">
        <v>12033</v>
      </c>
      <c r="O3590" t="s">
        <v>12034</v>
      </c>
      <c r="P3590" s="2" t="s">
        <v>37</v>
      </c>
      <c r="Q3590" t="s">
        <v>1208</v>
      </c>
      <c r="R3590">
        <v>0</v>
      </c>
      <c r="S3590">
        <v>46.07</v>
      </c>
      <c r="T3590" t="s">
        <v>12035</v>
      </c>
    </row>
    <row r="3591" spans="1:20" x14ac:dyDescent="0.25">
      <c r="A3591" s="1" t="str">
        <f>HYPERLINK("https://vegkart.atlas.vegvesen.no/#/@56921.3,6457112.5,18/hva:hva%5B0%5D%5Bfilter%5D%5B0%5D%5Boperator%5D=%21%3D&amp;hva%5B0%5D%5Bfilter%5D%5B0%5D%5Btype_id%5D=8917&amp;hva%5B0%5D%5Bfilter%5D%5B0%5D%5Bverdi%5D=&amp;hva%5B0%5D%5Bid%5D=49/når:2023-11-23", "Vegkart")</f>
        <v>Vegkart</v>
      </c>
      <c r="B3591">
        <v>1018228677</v>
      </c>
      <c r="C3591">
        <v>49</v>
      </c>
      <c r="D3591" t="s">
        <v>8701</v>
      </c>
      <c r="E3591">
        <v>8917</v>
      </c>
      <c r="F3591" t="s">
        <v>23479</v>
      </c>
      <c r="G3591">
        <v>1</v>
      </c>
      <c r="H3591" t="s">
        <v>2251</v>
      </c>
      <c r="J3591" t="s">
        <v>11497</v>
      </c>
      <c r="K3591" t="s">
        <v>86</v>
      </c>
      <c r="L3591" t="s">
        <v>80</v>
      </c>
      <c r="M3591" t="s">
        <v>81</v>
      </c>
      <c r="N3591" t="s">
        <v>12036</v>
      </c>
      <c r="O3591" t="s">
        <v>12037</v>
      </c>
      <c r="P3591" s="2" t="s">
        <v>37</v>
      </c>
      <c r="Q3591" t="s">
        <v>1208</v>
      </c>
      <c r="R3591">
        <v>0</v>
      </c>
      <c r="S3591">
        <v>46.45</v>
      </c>
      <c r="T3591" t="s">
        <v>12038</v>
      </c>
    </row>
    <row r="3592" spans="1:20" x14ac:dyDescent="0.25">
      <c r="A3592" s="1" t="str">
        <f>HYPERLINK("https://vegkart.atlas.vegvesen.no/#/@56893.4,6457103.8,18/hva:hva%5B0%5D%5Bfilter%5D%5B0%5D%5Boperator%5D=%21%3D&amp;hva%5B0%5D%5Bfilter%5D%5B0%5D%5Btype_id%5D=8917&amp;hva%5B0%5D%5Bfilter%5D%5B0%5D%5Bverdi%5D=&amp;hva%5B0%5D%5Bid%5D=49/når:2023-11-23", "Vegkart")</f>
        <v>Vegkart</v>
      </c>
      <c r="B3592">
        <v>1018228679</v>
      </c>
      <c r="C3592">
        <v>49</v>
      </c>
      <c r="D3592" t="s">
        <v>8701</v>
      </c>
      <c r="E3592">
        <v>8917</v>
      </c>
      <c r="F3592" t="s">
        <v>23479</v>
      </c>
      <c r="G3592">
        <v>1</v>
      </c>
      <c r="H3592" t="s">
        <v>2251</v>
      </c>
      <c r="J3592" t="s">
        <v>11497</v>
      </c>
      <c r="K3592" t="s">
        <v>86</v>
      </c>
      <c r="L3592" t="s">
        <v>80</v>
      </c>
      <c r="M3592" t="s">
        <v>81</v>
      </c>
      <c r="N3592" t="s">
        <v>2917</v>
      </c>
      <c r="O3592" t="s">
        <v>12039</v>
      </c>
      <c r="P3592" s="2" t="s">
        <v>37</v>
      </c>
      <c r="Q3592" t="s">
        <v>1208</v>
      </c>
      <c r="R3592">
        <v>0</v>
      </c>
      <c r="S3592">
        <v>60.81</v>
      </c>
      <c r="T3592" t="s">
        <v>12040</v>
      </c>
    </row>
    <row r="3593" spans="1:20" x14ac:dyDescent="0.25">
      <c r="A3593" s="1" t="str">
        <f>HYPERLINK("https://vegkart.atlas.vegvesen.no/#/@56893.4,6457103.8,18/hva:hva%5B0%5D%5Bfilter%5D%5B0%5D%5Boperator%5D=%21%3D&amp;hva%5B0%5D%5Bfilter%5D%5B0%5D%5Btype_id%5D=8917&amp;hva%5B0%5D%5Bfilter%5D%5B0%5D%5Bverdi%5D=&amp;hva%5B0%5D%5Bid%5D=49/når:2023-11-23", "Vegkart")</f>
        <v>Vegkart</v>
      </c>
      <c r="B3593">
        <v>1018228680</v>
      </c>
      <c r="C3593">
        <v>49</v>
      </c>
      <c r="D3593" t="s">
        <v>8701</v>
      </c>
      <c r="E3593">
        <v>8917</v>
      </c>
      <c r="F3593" t="s">
        <v>23479</v>
      </c>
      <c r="G3593">
        <v>1</v>
      </c>
      <c r="H3593" t="s">
        <v>2251</v>
      </c>
      <c r="J3593" t="s">
        <v>11497</v>
      </c>
      <c r="K3593" t="s">
        <v>86</v>
      </c>
      <c r="L3593" t="s">
        <v>80</v>
      </c>
      <c r="M3593" t="s">
        <v>81</v>
      </c>
      <c r="N3593" t="s">
        <v>2917</v>
      </c>
      <c r="O3593" t="s">
        <v>12041</v>
      </c>
      <c r="P3593" s="2" t="s">
        <v>37</v>
      </c>
      <c r="Q3593" t="s">
        <v>1208</v>
      </c>
      <c r="R3593">
        <v>0</v>
      </c>
      <c r="S3593">
        <v>75.56</v>
      </c>
      <c r="T3593" t="s">
        <v>12042</v>
      </c>
    </row>
    <row r="3594" spans="1:20" x14ac:dyDescent="0.25">
      <c r="A3594" s="1" t="str">
        <f>HYPERLINK("https://vegkart.atlas.vegvesen.no/#/@252643.8,6595951.5,18/hva:hva%5B0%5D%5Bfilter%5D%5B0%5D%5Boperator%5D=%21%3D&amp;hva%5B0%5D%5Bfilter%5D%5B0%5D%5Btype_id%5D=8917&amp;hva%5B0%5D%5Bfilter%5D%5B0%5D%5Bverdi%5D=&amp;hva%5B0%5D%5Bid%5D=49/når:2023-11-23", "Vegkart")</f>
        <v>Vegkart</v>
      </c>
      <c r="B3594">
        <v>1018228701</v>
      </c>
      <c r="C3594">
        <v>49</v>
      </c>
      <c r="D3594" t="s">
        <v>8701</v>
      </c>
      <c r="E3594">
        <v>8917</v>
      </c>
      <c r="F3594" t="s">
        <v>23479</v>
      </c>
      <c r="G3594">
        <v>1</v>
      </c>
      <c r="H3594" t="s">
        <v>2251</v>
      </c>
      <c r="J3594" t="s">
        <v>11497</v>
      </c>
      <c r="K3594" t="s">
        <v>104</v>
      </c>
      <c r="L3594" t="s">
        <v>22</v>
      </c>
      <c r="M3594" t="s">
        <v>12043</v>
      </c>
      <c r="N3594" t="s">
        <v>12044</v>
      </c>
      <c r="O3594" t="s">
        <v>12045</v>
      </c>
      <c r="P3594" s="2" t="s">
        <v>37</v>
      </c>
      <c r="Q3594" t="s">
        <v>1208</v>
      </c>
      <c r="R3594">
        <v>0.55000000000000004</v>
      </c>
      <c r="S3594">
        <v>25.76</v>
      </c>
      <c r="T3594" t="s">
        <v>12046</v>
      </c>
    </row>
    <row r="3595" spans="1:20" x14ac:dyDescent="0.25">
      <c r="A3595" s="1" t="str">
        <f>HYPERLINK("https://vegkart.atlas.vegvesen.no/#/@252649.9,6595928.4,18/hva:hva%5B0%5D%5Bfilter%5D%5B0%5D%5Boperator%5D=%21%3D&amp;hva%5B0%5D%5Bfilter%5D%5B0%5D%5Btype_id%5D=8917&amp;hva%5B0%5D%5Bfilter%5D%5B0%5D%5Bverdi%5D=&amp;hva%5B0%5D%5Bid%5D=49/når:2023-11-23", "Vegkart")</f>
        <v>Vegkart</v>
      </c>
      <c r="B3595">
        <v>1018228704</v>
      </c>
      <c r="C3595">
        <v>49</v>
      </c>
      <c r="D3595" t="s">
        <v>8701</v>
      </c>
      <c r="E3595">
        <v>8917</v>
      </c>
      <c r="F3595" t="s">
        <v>23479</v>
      </c>
      <c r="G3595">
        <v>1</v>
      </c>
      <c r="H3595" t="s">
        <v>2251</v>
      </c>
      <c r="J3595" t="s">
        <v>11497</v>
      </c>
      <c r="K3595" t="s">
        <v>104</v>
      </c>
      <c r="L3595" t="s">
        <v>22</v>
      </c>
      <c r="M3595" t="s">
        <v>12047</v>
      </c>
      <c r="N3595" t="s">
        <v>12048</v>
      </c>
      <c r="O3595" t="s">
        <v>12049</v>
      </c>
      <c r="P3595" s="2" t="s">
        <v>37</v>
      </c>
      <c r="Q3595" t="s">
        <v>1208</v>
      </c>
      <c r="R3595">
        <v>0.63</v>
      </c>
      <c r="S3595">
        <v>20.02</v>
      </c>
      <c r="T3595" t="s">
        <v>12050</v>
      </c>
    </row>
    <row r="3596" spans="1:20" x14ac:dyDescent="0.25">
      <c r="A3596" s="1" t="str">
        <f>HYPERLINK("https://vegkart.atlas.vegvesen.no/#/@252061.1,6596657.8,18/hva:hva%5B0%5D%5Bfilter%5D%5B0%5D%5Boperator%5D=%21%3D&amp;hva%5B0%5D%5Bfilter%5D%5B0%5D%5Btype_id%5D=8917&amp;hva%5B0%5D%5Bfilter%5D%5B0%5D%5Bverdi%5D=&amp;hva%5B0%5D%5Bid%5D=49/når:2023-11-23", "Vegkart")</f>
        <v>Vegkart</v>
      </c>
      <c r="B3596">
        <v>1018229367</v>
      </c>
      <c r="C3596">
        <v>49</v>
      </c>
      <c r="D3596" t="s">
        <v>8701</v>
      </c>
      <c r="E3596">
        <v>8917</v>
      </c>
      <c r="F3596" t="s">
        <v>23479</v>
      </c>
      <c r="G3596">
        <v>1</v>
      </c>
      <c r="H3596" t="s">
        <v>2251</v>
      </c>
      <c r="J3596" t="s">
        <v>11497</v>
      </c>
      <c r="K3596" t="s">
        <v>104</v>
      </c>
      <c r="L3596" t="s">
        <v>22</v>
      </c>
      <c r="M3596" t="s">
        <v>12051</v>
      </c>
      <c r="N3596" t="s">
        <v>12052</v>
      </c>
      <c r="O3596" t="s">
        <v>12053</v>
      </c>
      <c r="P3596" s="2" t="s">
        <v>37</v>
      </c>
      <c r="Q3596" t="s">
        <v>1208</v>
      </c>
      <c r="R3596">
        <v>0.41</v>
      </c>
      <c r="S3596">
        <v>28.16</v>
      </c>
      <c r="T3596" t="s">
        <v>12054</v>
      </c>
    </row>
    <row r="3597" spans="1:20" x14ac:dyDescent="0.25">
      <c r="A3597" s="1" t="str">
        <f>HYPERLINK("https://vegkart.atlas.vegvesen.no/#/@292580.1,6678527.5,18/hva:hva%5B0%5D%5Bfilter%5D%5B0%5D%5Boperator%5D=%21%3D&amp;hva%5B0%5D%5Bfilter%5D%5B0%5D%5Btype_id%5D=8917&amp;hva%5B0%5D%5Bfilter%5D%5B0%5D%5Bverdi%5D=&amp;hva%5B0%5D%5Bid%5D=49/når:2023-11-27", "Vegkart")</f>
        <v>Vegkart</v>
      </c>
      <c r="B3597">
        <v>1018235500</v>
      </c>
      <c r="C3597">
        <v>49</v>
      </c>
      <c r="D3597" t="s">
        <v>8701</v>
      </c>
      <c r="E3597">
        <v>8917</v>
      </c>
      <c r="F3597" t="s">
        <v>23479</v>
      </c>
      <c r="G3597">
        <v>1</v>
      </c>
      <c r="H3597" t="s">
        <v>12055</v>
      </c>
      <c r="J3597" t="s">
        <v>11497</v>
      </c>
      <c r="K3597" t="s">
        <v>132</v>
      </c>
      <c r="L3597" t="s">
        <v>22</v>
      </c>
      <c r="M3597" t="s">
        <v>713</v>
      </c>
      <c r="N3597" t="s">
        <v>12056</v>
      </c>
      <c r="O3597" t="s">
        <v>12057</v>
      </c>
      <c r="P3597" s="2" t="s">
        <v>37</v>
      </c>
      <c r="Q3597" t="s">
        <v>1208</v>
      </c>
      <c r="R3597">
        <v>0.34</v>
      </c>
      <c r="S3597">
        <v>25.02</v>
      </c>
      <c r="T3597" t="s">
        <v>12058</v>
      </c>
    </row>
    <row r="3598" spans="1:20" x14ac:dyDescent="0.25">
      <c r="A3598" s="1" t="str">
        <f>HYPERLINK("https://vegkart.atlas.vegvesen.no/#/@292858.3,6678682.3,18/hva:hva%5B0%5D%5Bfilter%5D%5B0%5D%5Boperator%5D=%21%3D&amp;hva%5B0%5D%5Bfilter%5D%5B0%5D%5Btype_id%5D=8917&amp;hva%5B0%5D%5Bfilter%5D%5B0%5D%5Bverdi%5D=&amp;hva%5B0%5D%5Bid%5D=49/når:2023-11-27", "Vegkart")</f>
        <v>Vegkart</v>
      </c>
      <c r="B3598">
        <v>1018235524</v>
      </c>
      <c r="C3598">
        <v>49</v>
      </c>
      <c r="D3598" t="s">
        <v>8701</v>
      </c>
      <c r="E3598">
        <v>8917</v>
      </c>
      <c r="F3598" t="s">
        <v>23479</v>
      </c>
      <c r="G3598">
        <v>1</v>
      </c>
      <c r="H3598" t="s">
        <v>12055</v>
      </c>
      <c r="J3598" t="s">
        <v>11497</v>
      </c>
      <c r="K3598" t="s">
        <v>132</v>
      </c>
      <c r="L3598" t="s">
        <v>22</v>
      </c>
      <c r="M3598" t="s">
        <v>713</v>
      </c>
      <c r="N3598" t="s">
        <v>12059</v>
      </c>
      <c r="O3598" t="s">
        <v>12060</v>
      </c>
      <c r="P3598" s="2" t="s">
        <v>37</v>
      </c>
      <c r="Q3598" t="s">
        <v>1208</v>
      </c>
      <c r="R3598">
        <v>0.28999999999999998</v>
      </c>
      <c r="S3598">
        <v>29.01</v>
      </c>
      <c r="T3598" t="s">
        <v>12061</v>
      </c>
    </row>
    <row r="3599" spans="1:20" x14ac:dyDescent="0.25">
      <c r="A3599" s="1" t="str">
        <f>HYPERLINK("https://vegkart.atlas.vegvesen.no/#/@253727.6,6596057.9,18/hva:hva%5B0%5D%5Bfilter%5D%5B0%5D%5Boperator%5D=%21%3D&amp;hva%5B0%5D%5Bfilter%5D%5B0%5D%5Btype_id%5D=8917&amp;hva%5B0%5D%5Bfilter%5D%5B0%5D%5Bverdi%5D=&amp;hva%5B0%5D%5Bid%5D=49/når:2023-11-28", "Vegkart")</f>
        <v>Vegkart</v>
      </c>
      <c r="B3599">
        <v>1018238639</v>
      </c>
      <c r="C3599">
        <v>49</v>
      </c>
      <c r="D3599" t="s">
        <v>8701</v>
      </c>
      <c r="E3599">
        <v>8917</v>
      </c>
      <c r="F3599" t="s">
        <v>23479</v>
      </c>
      <c r="G3599">
        <v>1</v>
      </c>
      <c r="H3599" t="s">
        <v>12062</v>
      </c>
      <c r="J3599" t="s">
        <v>11497</v>
      </c>
      <c r="K3599" t="s">
        <v>104</v>
      </c>
      <c r="L3599" t="s">
        <v>22</v>
      </c>
      <c r="M3599" t="s">
        <v>12063</v>
      </c>
      <c r="N3599" t="s">
        <v>12064</v>
      </c>
      <c r="O3599" t="s">
        <v>12065</v>
      </c>
      <c r="P3599" s="2" t="s">
        <v>37</v>
      </c>
      <c r="Q3599" t="s">
        <v>1208</v>
      </c>
      <c r="R3599">
        <v>0.11</v>
      </c>
      <c r="S3599">
        <v>48.77</v>
      </c>
      <c r="T3599" t="s">
        <v>12066</v>
      </c>
    </row>
    <row r="3600" spans="1:20" x14ac:dyDescent="0.25">
      <c r="A3600" s="1" t="str">
        <f>HYPERLINK("https://vegkart.atlas.vegvesen.no/#/@253554.3,6596378.3,18/hva:hva%5B0%5D%5Bfilter%5D%5B0%5D%5Boperator%5D=%21%3D&amp;hva%5B0%5D%5Bfilter%5D%5B0%5D%5Btype_id%5D=8917&amp;hva%5B0%5D%5Bfilter%5D%5B0%5D%5Bverdi%5D=&amp;hva%5B0%5D%5Bid%5D=49/når:2023-11-28", "Vegkart")</f>
        <v>Vegkart</v>
      </c>
      <c r="B3600">
        <v>1018239040</v>
      </c>
      <c r="C3600">
        <v>49</v>
      </c>
      <c r="D3600" t="s">
        <v>8701</v>
      </c>
      <c r="E3600">
        <v>8917</v>
      </c>
      <c r="F3600" t="s">
        <v>23479</v>
      </c>
      <c r="G3600">
        <v>1</v>
      </c>
      <c r="H3600" t="s">
        <v>12062</v>
      </c>
      <c r="J3600" t="s">
        <v>11497</v>
      </c>
      <c r="K3600" t="s">
        <v>104</v>
      </c>
      <c r="L3600" t="s">
        <v>22</v>
      </c>
      <c r="M3600" t="s">
        <v>12067</v>
      </c>
      <c r="N3600" t="s">
        <v>12068</v>
      </c>
      <c r="O3600" t="s">
        <v>12069</v>
      </c>
      <c r="P3600" s="2" t="s">
        <v>37</v>
      </c>
      <c r="Q3600" t="s">
        <v>1208</v>
      </c>
      <c r="R3600">
        <v>0.57999999999999996</v>
      </c>
      <c r="S3600">
        <v>14.66</v>
      </c>
      <c r="T3600" t="s">
        <v>12070</v>
      </c>
    </row>
    <row r="3601" spans="1:20" x14ac:dyDescent="0.25">
      <c r="A3601" s="1" t="str">
        <f>HYPERLINK("https://vegkart.atlas.vegvesen.no/#/@253965.3,6596660.5,18/hva:hva%5B0%5D%5Bfilter%5D%5B0%5D%5Boperator%5D=%21%3D&amp;hva%5B0%5D%5Bfilter%5D%5B0%5D%5Btype_id%5D=8917&amp;hva%5B0%5D%5Bfilter%5D%5B0%5D%5Bverdi%5D=&amp;hva%5B0%5D%5Bid%5D=49/når:2023-11-28", "Vegkart")</f>
        <v>Vegkart</v>
      </c>
      <c r="B3601">
        <v>1018239131</v>
      </c>
      <c r="C3601">
        <v>49</v>
      </c>
      <c r="D3601" t="s">
        <v>8701</v>
      </c>
      <c r="E3601">
        <v>8917</v>
      </c>
      <c r="F3601" t="s">
        <v>23479</v>
      </c>
      <c r="G3601">
        <v>1</v>
      </c>
      <c r="H3601" t="s">
        <v>12062</v>
      </c>
      <c r="J3601" t="s">
        <v>11497</v>
      </c>
      <c r="K3601" t="s">
        <v>104</v>
      </c>
      <c r="L3601" t="s">
        <v>22</v>
      </c>
      <c r="M3601" t="s">
        <v>12071</v>
      </c>
      <c r="N3601" t="s">
        <v>12072</v>
      </c>
      <c r="O3601" t="s">
        <v>12073</v>
      </c>
      <c r="P3601" s="2" t="s">
        <v>37</v>
      </c>
      <c r="Q3601" t="s">
        <v>1208</v>
      </c>
      <c r="R3601">
        <v>0.27</v>
      </c>
      <c r="S3601">
        <v>3.21</v>
      </c>
      <c r="T3601" t="s">
        <v>12074</v>
      </c>
    </row>
    <row r="3602" spans="1:20" x14ac:dyDescent="0.25">
      <c r="A3602" s="1" t="str">
        <f>HYPERLINK("https://vegkart.atlas.vegvesen.no/#/@253954.4,6596347.9,18/hva:hva%5B0%5D%5Bfilter%5D%5B0%5D%5Boperator%5D=%21%3D&amp;hva%5B0%5D%5Bfilter%5D%5B0%5D%5Btype_id%5D=8917&amp;hva%5B0%5D%5Bfilter%5D%5B0%5D%5Bverdi%5D=&amp;hva%5B0%5D%5Bid%5D=49/når:2023-11-30", "Vegkart")</f>
        <v>Vegkart</v>
      </c>
      <c r="B3602">
        <v>1018242256</v>
      </c>
      <c r="C3602">
        <v>49</v>
      </c>
      <c r="D3602" t="s">
        <v>8701</v>
      </c>
      <c r="E3602">
        <v>8917</v>
      </c>
      <c r="F3602" t="s">
        <v>23479</v>
      </c>
      <c r="G3602">
        <v>1</v>
      </c>
      <c r="H3602" t="s">
        <v>8012</v>
      </c>
      <c r="J3602" t="s">
        <v>11497</v>
      </c>
      <c r="K3602" t="s">
        <v>104</v>
      </c>
      <c r="L3602" t="s">
        <v>22</v>
      </c>
      <c r="M3602" t="s">
        <v>12075</v>
      </c>
      <c r="N3602" t="s">
        <v>12076</v>
      </c>
      <c r="O3602" t="s">
        <v>12077</v>
      </c>
      <c r="P3602" s="2" t="s">
        <v>165</v>
      </c>
      <c r="Q3602" t="s">
        <v>641</v>
      </c>
      <c r="R3602">
        <v>0.39</v>
      </c>
      <c r="S3602">
        <v>26.41</v>
      </c>
      <c r="T3602" t="s">
        <v>167</v>
      </c>
    </row>
    <row r="3603" spans="1:20" x14ac:dyDescent="0.25">
      <c r="A3603" s="1" t="str">
        <f>HYPERLINK("https://vegkart.atlas.vegvesen.no/#/@253983.8,6596574.4,18/hva:hva%5B0%5D%5Bfilter%5D%5B0%5D%5Boperator%5D=%21%3D&amp;hva%5B0%5D%5Bfilter%5D%5B0%5D%5Btype_id%5D=8917&amp;hva%5B0%5D%5Bfilter%5D%5B0%5D%5Bverdi%5D=&amp;hva%5B0%5D%5Bid%5D=49/når:2023-11-30", "Vegkart")</f>
        <v>Vegkart</v>
      </c>
      <c r="B3603">
        <v>1018242378</v>
      </c>
      <c r="C3603">
        <v>49</v>
      </c>
      <c r="D3603" t="s">
        <v>8701</v>
      </c>
      <c r="E3603">
        <v>8917</v>
      </c>
      <c r="F3603" t="s">
        <v>23479</v>
      </c>
      <c r="G3603">
        <v>1</v>
      </c>
      <c r="H3603" t="s">
        <v>8012</v>
      </c>
      <c r="J3603" t="s">
        <v>11497</v>
      </c>
      <c r="K3603" t="s">
        <v>104</v>
      </c>
      <c r="L3603" t="s">
        <v>22</v>
      </c>
      <c r="M3603" t="s">
        <v>12075</v>
      </c>
      <c r="N3603" t="s">
        <v>12078</v>
      </c>
      <c r="O3603" t="s">
        <v>12079</v>
      </c>
      <c r="P3603" s="2" t="s">
        <v>37</v>
      </c>
      <c r="Q3603" t="s">
        <v>1208</v>
      </c>
      <c r="R3603">
        <v>1.1599999999999999</v>
      </c>
      <c r="S3603">
        <v>12.25</v>
      </c>
      <c r="T3603" t="s">
        <v>12080</v>
      </c>
    </row>
    <row r="3604" spans="1:20" x14ac:dyDescent="0.25">
      <c r="A3604" s="1" t="str">
        <f>HYPERLINK("https://vegkart.atlas.vegvesen.no/#/@29971.0,6492129.7,18/hva:hva%5B0%5D%5Bfilter%5D%5B0%5D%5Boperator%5D=%21%3D&amp;hva%5B0%5D%5Bfilter%5D%5B0%5D%5Btype_id%5D=8917&amp;hva%5B0%5D%5Bfilter%5D%5B0%5D%5Bverdi%5D=&amp;hva%5B0%5D%5Bid%5D=49/når:2023-11-30", "Vegkart")</f>
        <v>Vegkart</v>
      </c>
      <c r="B3604">
        <v>1018242654</v>
      </c>
      <c r="C3604">
        <v>49</v>
      </c>
      <c r="D3604" t="s">
        <v>8701</v>
      </c>
      <c r="E3604">
        <v>8917</v>
      </c>
      <c r="F3604" t="s">
        <v>23479</v>
      </c>
      <c r="G3604">
        <v>1</v>
      </c>
      <c r="H3604" t="s">
        <v>8012</v>
      </c>
      <c r="J3604" t="s">
        <v>11497</v>
      </c>
      <c r="K3604" t="s">
        <v>86</v>
      </c>
      <c r="L3604" t="s">
        <v>33</v>
      </c>
      <c r="M3604" t="s">
        <v>5580</v>
      </c>
      <c r="N3604" t="s">
        <v>12081</v>
      </c>
      <c r="O3604" t="s">
        <v>12082</v>
      </c>
      <c r="P3604" s="2" t="s">
        <v>37</v>
      </c>
      <c r="Q3604" t="s">
        <v>1208</v>
      </c>
      <c r="R3604">
        <v>0</v>
      </c>
      <c r="S3604">
        <v>110.34</v>
      </c>
      <c r="T3604" t="s">
        <v>12083</v>
      </c>
    </row>
    <row r="3605" spans="1:20" x14ac:dyDescent="0.25">
      <c r="A3605" s="1" t="str">
        <f>HYPERLINK("https://vegkart.atlas.vegvesen.no/#/@253977.6,6596666.9,18/hva:hva%5B0%5D%5Bfilter%5D%5B0%5D%5Boperator%5D=%21%3D&amp;hva%5B0%5D%5Bfilter%5D%5B0%5D%5Btype_id%5D=8917&amp;hva%5B0%5D%5Bfilter%5D%5B0%5D%5Bverdi%5D=&amp;hva%5B0%5D%5Bid%5D=49/når:2023-11-30", "Vegkart")</f>
        <v>Vegkart</v>
      </c>
      <c r="B3605">
        <v>1018243648</v>
      </c>
      <c r="C3605">
        <v>49</v>
      </c>
      <c r="D3605" t="s">
        <v>8701</v>
      </c>
      <c r="E3605">
        <v>8917</v>
      </c>
      <c r="F3605" t="s">
        <v>23479</v>
      </c>
      <c r="G3605">
        <v>1</v>
      </c>
      <c r="H3605" t="s">
        <v>8012</v>
      </c>
      <c r="J3605" t="s">
        <v>11497</v>
      </c>
      <c r="K3605" t="s">
        <v>104</v>
      </c>
      <c r="L3605" t="s">
        <v>22</v>
      </c>
      <c r="M3605" t="s">
        <v>12071</v>
      </c>
      <c r="N3605" t="s">
        <v>12084</v>
      </c>
      <c r="O3605" t="s">
        <v>12085</v>
      </c>
      <c r="P3605" s="2" t="s">
        <v>37</v>
      </c>
      <c r="Q3605" t="s">
        <v>1208</v>
      </c>
      <c r="R3605">
        <v>0.8</v>
      </c>
      <c r="S3605">
        <v>13.21</v>
      </c>
      <c r="T3605" t="s">
        <v>12086</v>
      </c>
    </row>
    <row r="3606" spans="1:20" x14ac:dyDescent="0.25">
      <c r="A3606" s="1" t="str">
        <f>HYPERLINK("https://vegkart.atlas.vegvesen.no/#/@254307.6,6596692.0,18/hva:hva%5B0%5D%5Bfilter%5D%5B0%5D%5Boperator%5D=%21%3D&amp;hva%5B0%5D%5Bfilter%5D%5B0%5D%5Btype_id%5D=8917&amp;hva%5B0%5D%5Bfilter%5D%5B0%5D%5Bverdi%5D=&amp;hva%5B0%5D%5Bid%5D=49/når:2023-11-30", "Vegkart")</f>
        <v>Vegkart</v>
      </c>
      <c r="B3606">
        <v>1018243701</v>
      </c>
      <c r="C3606">
        <v>49</v>
      </c>
      <c r="D3606" t="s">
        <v>8701</v>
      </c>
      <c r="E3606">
        <v>8917</v>
      </c>
      <c r="F3606" t="s">
        <v>23479</v>
      </c>
      <c r="G3606">
        <v>1</v>
      </c>
      <c r="H3606" t="s">
        <v>8012</v>
      </c>
      <c r="J3606" t="s">
        <v>11497</v>
      </c>
      <c r="K3606" t="s">
        <v>104</v>
      </c>
      <c r="L3606" t="s">
        <v>22</v>
      </c>
      <c r="M3606" t="s">
        <v>12087</v>
      </c>
      <c r="N3606" t="s">
        <v>12088</v>
      </c>
      <c r="O3606" t="s">
        <v>12089</v>
      </c>
      <c r="P3606" s="2" t="s">
        <v>37</v>
      </c>
      <c r="Q3606" t="s">
        <v>1208</v>
      </c>
      <c r="R3606">
        <v>0.42</v>
      </c>
      <c r="S3606">
        <v>71</v>
      </c>
      <c r="T3606" t="s">
        <v>12090</v>
      </c>
    </row>
    <row r="3607" spans="1:20" x14ac:dyDescent="0.25">
      <c r="A3607" s="1" t="str">
        <f>HYPERLINK("https://vegkart.atlas.vegvesen.no/#/@253978.8,6596680.4,18/hva:hva%5B0%5D%5Bfilter%5D%5B0%5D%5Boperator%5D=%21%3D&amp;hva%5B0%5D%5Bfilter%5D%5B0%5D%5Btype_id%5D=8917&amp;hva%5B0%5D%5Bfilter%5D%5B0%5D%5Bverdi%5D=&amp;hva%5B0%5D%5Bid%5D=49/når:2023-11-30", "Vegkart")</f>
        <v>Vegkart</v>
      </c>
      <c r="B3607">
        <v>1018243865</v>
      </c>
      <c r="C3607">
        <v>49</v>
      </c>
      <c r="D3607" t="s">
        <v>8701</v>
      </c>
      <c r="E3607">
        <v>8917</v>
      </c>
      <c r="F3607" t="s">
        <v>23479</v>
      </c>
      <c r="G3607">
        <v>1</v>
      </c>
      <c r="H3607" t="s">
        <v>8012</v>
      </c>
      <c r="J3607" t="s">
        <v>11497</v>
      </c>
      <c r="K3607" t="s">
        <v>104</v>
      </c>
      <c r="L3607" t="s">
        <v>22</v>
      </c>
      <c r="M3607" t="s">
        <v>12071</v>
      </c>
      <c r="N3607" t="s">
        <v>12091</v>
      </c>
      <c r="O3607" t="s">
        <v>12092</v>
      </c>
      <c r="P3607" s="2" t="s">
        <v>37</v>
      </c>
      <c r="Q3607" t="s">
        <v>1208</v>
      </c>
      <c r="R3607">
        <v>0.32</v>
      </c>
      <c r="S3607">
        <v>6.44</v>
      </c>
      <c r="T3607" t="s">
        <v>12093</v>
      </c>
    </row>
    <row r="3608" spans="1:20" x14ac:dyDescent="0.25">
      <c r="A3608" s="1" t="str">
        <f>HYPERLINK("https://vegkart.atlas.vegvesen.no/#/@254920.2,6596637.6,18/hva:hva%5B0%5D%5Bfilter%5D%5B0%5D%5Boperator%5D=%21%3D&amp;hva%5B0%5D%5Bfilter%5D%5B0%5D%5Btype_id%5D=8917&amp;hva%5B0%5D%5Bfilter%5D%5B0%5D%5Bverdi%5D=&amp;hva%5B0%5D%5Bid%5D=49/når:2023-11-30", "Vegkart")</f>
        <v>Vegkart</v>
      </c>
      <c r="B3608">
        <v>1018243961</v>
      </c>
      <c r="C3608">
        <v>49</v>
      </c>
      <c r="D3608" t="s">
        <v>8701</v>
      </c>
      <c r="E3608">
        <v>8917</v>
      </c>
      <c r="F3608" t="s">
        <v>23479</v>
      </c>
      <c r="G3608">
        <v>1</v>
      </c>
      <c r="H3608" t="s">
        <v>8012</v>
      </c>
      <c r="J3608" t="s">
        <v>11497</v>
      </c>
      <c r="K3608" t="s">
        <v>104</v>
      </c>
      <c r="L3608" t="s">
        <v>22</v>
      </c>
      <c r="M3608" t="s">
        <v>12094</v>
      </c>
      <c r="N3608" t="s">
        <v>12095</v>
      </c>
      <c r="O3608" t="s">
        <v>12096</v>
      </c>
      <c r="P3608" s="2" t="s">
        <v>37</v>
      </c>
      <c r="Q3608" t="s">
        <v>1208</v>
      </c>
      <c r="R3608">
        <v>0.43</v>
      </c>
      <c r="S3608">
        <v>28.9</v>
      </c>
      <c r="T3608" t="s">
        <v>12097</v>
      </c>
    </row>
    <row r="3609" spans="1:20" x14ac:dyDescent="0.25">
      <c r="A3609" s="1" t="str">
        <f>HYPERLINK("https://vegkart.atlas.vegvesen.no/#/@254579.3,6596595.6,18/hva:hva%5B0%5D%5Bfilter%5D%5B0%5D%5Boperator%5D=%21%3D&amp;hva%5B0%5D%5Bfilter%5D%5B0%5D%5Btype_id%5D=8917&amp;hva%5B0%5D%5Bfilter%5D%5B0%5D%5Bverdi%5D=&amp;hva%5B0%5D%5Bid%5D=49/når:2023-12-04", "Vegkart")</f>
        <v>Vegkart</v>
      </c>
      <c r="B3609">
        <v>1018249053</v>
      </c>
      <c r="C3609">
        <v>49</v>
      </c>
      <c r="D3609" t="s">
        <v>8701</v>
      </c>
      <c r="E3609">
        <v>8917</v>
      </c>
      <c r="F3609" t="s">
        <v>23479</v>
      </c>
      <c r="G3609">
        <v>1</v>
      </c>
      <c r="H3609" t="s">
        <v>2890</v>
      </c>
      <c r="J3609" t="s">
        <v>11497</v>
      </c>
      <c r="K3609" t="s">
        <v>104</v>
      </c>
      <c r="L3609" t="s">
        <v>22</v>
      </c>
      <c r="M3609" t="s">
        <v>12098</v>
      </c>
      <c r="N3609" t="s">
        <v>12099</v>
      </c>
      <c r="O3609" t="s">
        <v>12100</v>
      </c>
      <c r="P3609" s="2" t="s">
        <v>37</v>
      </c>
      <c r="Q3609" t="s">
        <v>1208</v>
      </c>
      <c r="R3609">
        <v>0.54</v>
      </c>
      <c r="S3609">
        <v>11.41</v>
      </c>
      <c r="T3609" t="s">
        <v>12101</v>
      </c>
    </row>
    <row r="3610" spans="1:20" x14ac:dyDescent="0.25">
      <c r="A3610" s="1" t="str">
        <f>HYPERLINK("https://vegkart.atlas.vegvesen.no/#/@254554.4,6596607.3,18/hva:hva%5B0%5D%5Bfilter%5D%5B0%5D%5Boperator%5D=%21%3D&amp;hva%5B0%5D%5Bfilter%5D%5B0%5D%5Btype_id%5D=8917&amp;hva%5B0%5D%5Bfilter%5D%5B0%5D%5Bverdi%5D=&amp;hva%5B0%5D%5Bid%5D=49/når:2023-12-04", "Vegkart")</f>
        <v>Vegkart</v>
      </c>
      <c r="B3610">
        <v>1018249404</v>
      </c>
      <c r="C3610">
        <v>49</v>
      </c>
      <c r="D3610" t="s">
        <v>8701</v>
      </c>
      <c r="E3610">
        <v>8917</v>
      </c>
      <c r="F3610" t="s">
        <v>23479</v>
      </c>
      <c r="G3610">
        <v>1</v>
      </c>
      <c r="H3610" t="s">
        <v>2890</v>
      </c>
      <c r="J3610" t="s">
        <v>11497</v>
      </c>
      <c r="K3610" t="s">
        <v>104</v>
      </c>
      <c r="L3610" t="s">
        <v>22</v>
      </c>
      <c r="M3610" t="s">
        <v>12102</v>
      </c>
      <c r="N3610" t="s">
        <v>12103</v>
      </c>
      <c r="O3610" t="s">
        <v>12104</v>
      </c>
      <c r="P3610" s="2" t="s">
        <v>26</v>
      </c>
      <c r="Q3610" t="s">
        <v>50</v>
      </c>
      <c r="R3610">
        <v>1.51</v>
      </c>
      <c r="S3610">
        <v>15.17</v>
      </c>
      <c r="T3610" t="s">
        <v>12105</v>
      </c>
    </row>
    <row r="3611" spans="1:20" x14ac:dyDescent="0.25">
      <c r="A3611" s="1" t="str">
        <f>HYPERLINK("https://vegkart.atlas.vegvesen.no/#/@254429.3,6596433.6,18/hva:hva%5B0%5D%5Bfilter%5D%5B0%5D%5Boperator%5D=%21%3D&amp;hva%5B0%5D%5Bfilter%5D%5B0%5D%5Btype_id%5D=8917&amp;hva%5B0%5D%5Bfilter%5D%5B0%5D%5Bverdi%5D=&amp;hva%5B0%5D%5Bid%5D=49/når:2023-12-04", "Vegkart")</f>
        <v>Vegkart</v>
      </c>
      <c r="B3611">
        <v>1018249820</v>
      </c>
      <c r="C3611">
        <v>49</v>
      </c>
      <c r="D3611" t="s">
        <v>8701</v>
      </c>
      <c r="E3611">
        <v>8917</v>
      </c>
      <c r="F3611" t="s">
        <v>23479</v>
      </c>
      <c r="G3611">
        <v>1</v>
      </c>
      <c r="H3611" t="s">
        <v>2890</v>
      </c>
      <c r="J3611" t="s">
        <v>11497</v>
      </c>
      <c r="K3611" t="s">
        <v>104</v>
      </c>
      <c r="L3611" t="s">
        <v>22</v>
      </c>
      <c r="M3611" t="s">
        <v>12106</v>
      </c>
      <c r="N3611" t="s">
        <v>12107</v>
      </c>
      <c r="O3611" t="s">
        <v>12108</v>
      </c>
      <c r="P3611" s="2" t="s">
        <v>37</v>
      </c>
      <c r="Q3611" t="s">
        <v>1208</v>
      </c>
      <c r="R3611">
        <v>0.66</v>
      </c>
      <c r="S3611">
        <v>40.950000000000003</v>
      </c>
      <c r="T3611" t="s">
        <v>12109</v>
      </c>
    </row>
    <row r="3612" spans="1:20" x14ac:dyDescent="0.25">
      <c r="A3612" s="1" t="str">
        <f>HYPERLINK("https://vegkart.atlas.vegvesen.no/#/@255058.9,6597576.0,18/hva:hva%5B0%5D%5Bfilter%5D%5B0%5D%5Boperator%5D=%21%3D&amp;hva%5B0%5D%5Bfilter%5D%5B0%5D%5Btype_id%5D=8917&amp;hva%5B0%5D%5Bfilter%5D%5B0%5D%5Bverdi%5D=&amp;hva%5B0%5D%5Bid%5D=49/når:2023-12-04", "Vegkart")</f>
        <v>Vegkart</v>
      </c>
      <c r="B3612">
        <v>1018250945</v>
      </c>
      <c r="C3612">
        <v>49</v>
      </c>
      <c r="D3612" t="s">
        <v>8701</v>
      </c>
      <c r="E3612">
        <v>8917</v>
      </c>
      <c r="F3612" t="s">
        <v>23479</v>
      </c>
      <c r="G3612">
        <v>1</v>
      </c>
      <c r="H3612" t="s">
        <v>2890</v>
      </c>
      <c r="J3612" t="s">
        <v>11497</v>
      </c>
      <c r="K3612" t="s">
        <v>104</v>
      </c>
      <c r="L3612" t="s">
        <v>22</v>
      </c>
      <c r="M3612" t="s">
        <v>12110</v>
      </c>
      <c r="N3612" t="s">
        <v>12111</v>
      </c>
      <c r="O3612" t="s">
        <v>12112</v>
      </c>
      <c r="P3612" s="2" t="s">
        <v>37</v>
      </c>
      <c r="Q3612" t="s">
        <v>1208</v>
      </c>
      <c r="R3612">
        <v>0.63</v>
      </c>
      <c r="S3612">
        <v>29.11</v>
      </c>
      <c r="T3612" t="s">
        <v>12113</v>
      </c>
    </row>
    <row r="3613" spans="1:20" x14ac:dyDescent="0.25">
      <c r="A3613" s="1" t="str">
        <f>HYPERLINK("https://vegkart.atlas.vegvesen.no/#/@255436.4,6597682.0,18/hva:hva%5B0%5D%5Bfilter%5D%5B0%5D%5Boperator%5D=%21%3D&amp;hva%5B0%5D%5Bfilter%5D%5B0%5D%5Btype_id%5D=8917&amp;hva%5B0%5D%5Bfilter%5D%5B0%5D%5Bverdi%5D=&amp;hva%5B0%5D%5Bid%5D=49/når:2023-12-04", "Vegkart")</f>
        <v>Vegkart</v>
      </c>
      <c r="B3613">
        <v>1018251072</v>
      </c>
      <c r="C3613">
        <v>49</v>
      </c>
      <c r="D3613" t="s">
        <v>8701</v>
      </c>
      <c r="E3613">
        <v>8917</v>
      </c>
      <c r="F3613" t="s">
        <v>23479</v>
      </c>
      <c r="G3613">
        <v>1</v>
      </c>
      <c r="H3613" t="s">
        <v>2890</v>
      </c>
      <c r="J3613" t="s">
        <v>11497</v>
      </c>
      <c r="K3613" t="s">
        <v>104</v>
      </c>
      <c r="L3613" t="s">
        <v>22</v>
      </c>
      <c r="M3613" t="s">
        <v>12110</v>
      </c>
      <c r="N3613" t="s">
        <v>12114</v>
      </c>
      <c r="O3613" t="s">
        <v>12115</v>
      </c>
      <c r="P3613" s="2" t="s">
        <v>37</v>
      </c>
      <c r="Q3613" t="s">
        <v>1208</v>
      </c>
      <c r="R3613">
        <v>0.61</v>
      </c>
      <c r="S3613">
        <v>23.01</v>
      </c>
      <c r="T3613" t="s">
        <v>12116</v>
      </c>
    </row>
    <row r="3614" spans="1:20" x14ac:dyDescent="0.25">
      <c r="A3614" s="1" t="str">
        <f>HYPERLINK("https://vegkart.atlas.vegvesen.no/#/@-32825.7,6724722.5,18/hva:hva%5B0%5D%5Bfilter%5D%5B0%5D%5Boperator%5D=%21%3D&amp;hva%5B0%5D%5Bfilter%5D%5B0%5D%5Btype_id%5D=8917&amp;hva%5B0%5D%5Bfilter%5D%5B0%5D%5Bverdi%5D=&amp;hva%5B0%5D%5Bid%5D=49/når:2023-12-07", "Vegkart")</f>
        <v>Vegkart</v>
      </c>
      <c r="B3614">
        <v>1018267152</v>
      </c>
      <c r="C3614">
        <v>49</v>
      </c>
      <c r="D3614" t="s">
        <v>8701</v>
      </c>
      <c r="E3614">
        <v>8917</v>
      </c>
      <c r="F3614" t="s">
        <v>23479</v>
      </c>
      <c r="G3614">
        <v>1</v>
      </c>
      <c r="H3614" t="s">
        <v>12117</v>
      </c>
      <c r="J3614" t="s">
        <v>11497</v>
      </c>
      <c r="K3614" t="s">
        <v>21</v>
      </c>
      <c r="L3614" t="s">
        <v>33</v>
      </c>
      <c r="M3614" t="s">
        <v>12118</v>
      </c>
      <c r="N3614" t="s">
        <v>12119</v>
      </c>
      <c r="O3614" t="s">
        <v>12120</v>
      </c>
      <c r="P3614" s="2" t="s">
        <v>37</v>
      </c>
      <c r="Q3614" t="s">
        <v>1208</v>
      </c>
      <c r="R3614">
        <v>0</v>
      </c>
      <c r="S3614">
        <v>31.43</v>
      </c>
      <c r="T3614" t="s">
        <v>12121</v>
      </c>
    </row>
    <row r="3615" spans="1:20" x14ac:dyDescent="0.25">
      <c r="A3615" s="1" t="str">
        <f>HYPERLINK("https://vegkart.atlas.vegvesen.no/#/@255638.9,6598362.1,18/hva:hva%5B0%5D%5Bfilter%5D%5B0%5D%5Boperator%5D=%21%3D&amp;hva%5B0%5D%5Bfilter%5D%5B0%5D%5Btype_id%5D=8917&amp;hva%5B0%5D%5Bfilter%5D%5B0%5D%5Bverdi%5D=&amp;hva%5B0%5D%5Bid%5D=49/når:2023-12-07", "Vegkart")</f>
        <v>Vegkart</v>
      </c>
      <c r="B3615">
        <v>1018267573</v>
      </c>
      <c r="C3615">
        <v>49</v>
      </c>
      <c r="D3615" t="s">
        <v>8701</v>
      </c>
      <c r="E3615">
        <v>8917</v>
      </c>
      <c r="F3615" t="s">
        <v>23479</v>
      </c>
      <c r="G3615">
        <v>1</v>
      </c>
      <c r="H3615" t="s">
        <v>12117</v>
      </c>
      <c r="J3615" t="s">
        <v>11497</v>
      </c>
      <c r="K3615" t="s">
        <v>104</v>
      </c>
      <c r="L3615" t="s">
        <v>22</v>
      </c>
      <c r="M3615" t="s">
        <v>12122</v>
      </c>
      <c r="N3615" t="s">
        <v>12123</v>
      </c>
      <c r="O3615" t="s">
        <v>12124</v>
      </c>
      <c r="P3615" s="2" t="s">
        <v>37</v>
      </c>
      <c r="Q3615" t="s">
        <v>1208</v>
      </c>
      <c r="R3615">
        <v>0.45</v>
      </c>
      <c r="S3615">
        <v>32.840000000000003</v>
      </c>
      <c r="T3615" t="s">
        <v>12125</v>
      </c>
    </row>
    <row r="3616" spans="1:20" x14ac:dyDescent="0.25">
      <c r="A3616" s="1" t="str">
        <f>HYPERLINK("https://vegkart.atlas.vegvesen.no/#/@255628.7,6598352.5,18/hva:hva%5B0%5D%5Bfilter%5D%5B0%5D%5Boperator%5D=%21%3D&amp;hva%5B0%5D%5Bfilter%5D%5B0%5D%5Btype_id%5D=8917&amp;hva%5B0%5D%5Bfilter%5D%5B0%5D%5Bverdi%5D=&amp;hva%5B0%5D%5Bid%5D=49/når:2023-12-07", "Vegkart")</f>
        <v>Vegkart</v>
      </c>
      <c r="B3616">
        <v>1018267579</v>
      </c>
      <c r="C3616">
        <v>49</v>
      </c>
      <c r="D3616" t="s">
        <v>8701</v>
      </c>
      <c r="E3616">
        <v>8917</v>
      </c>
      <c r="F3616" t="s">
        <v>23479</v>
      </c>
      <c r="G3616">
        <v>1</v>
      </c>
      <c r="H3616" t="s">
        <v>12117</v>
      </c>
      <c r="J3616" t="s">
        <v>11497</v>
      </c>
      <c r="K3616" t="s">
        <v>104</v>
      </c>
      <c r="L3616" t="s">
        <v>22</v>
      </c>
      <c r="M3616" t="s">
        <v>12122</v>
      </c>
      <c r="N3616" t="s">
        <v>12126</v>
      </c>
      <c r="O3616" t="s">
        <v>12127</v>
      </c>
      <c r="P3616" s="2" t="s">
        <v>37</v>
      </c>
      <c r="Q3616" t="s">
        <v>1208</v>
      </c>
      <c r="R3616">
        <v>0.62</v>
      </c>
      <c r="S3616">
        <v>26.28</v>
      </c>
      <c r="T3616" t="s">
        <v>12128</v>
      </c>
    </row>
    <row r="3617" spans="1:20" x14ac:dyDescent="0.25">
      <c r="A3617" s="1" t="str">
        <f>HYPERLINK("https://vegkart.atlas.vegvesen.no/#/@256080.5,6598939.7,18/hva:hva%5B0%5D%5Bfilter%5D%5B0%5D%5Boperator%5D=%21%3D&amp;hva%5B0%5D%5Bfilter%5D%5B0%5D%5Btype_id%5D=8917&amp;hva%5B0%5D%5Bfilter%5D%5B0%5D%5Bverdi%5D=&amp;hva%5B0%5D%5Bid%5D=49/når:2023-12-07", "Vegkart")</f>
        <v>Vegkart</v>
      </c>
      <c r="B3617">
        <v>1018267730</v>
      </c>
      <c r="C3617">
        <v>49</v>
      </c>
      <c r="D3617" t="s">
        <v>8701</v>
      </c>
      <c r="E3617">
        <v>8917</v>
      </c>
      <c r="F3617" t="s">
        <v>23479</v>
      </c>
      <c r="G3617">
        <v>1</v>
      </c>
      <c r="H3617" t="s">
        <v>12117</v>
      </c>
      <c r="J3617" t="s">
        <v>11497</v>
      </c>
      <c r="K3617" t="s">
        <v>104</v>
      </c>
      <c r="L3617" t="s">
        <v>22</v>
      </c>
      <c r="M3617" t="s">
        <v>12129</v>
      </c>
      <c r="N3617" t="s">
        <v>12130</v>
      </c>
      <c r="O3617" t="s">
        <v>12131</v>
      </c>
      <c r="P3617" s="2" t="s">
        <v>37</v>
      </c>
      <c r="Q3617" t="s">
        <v>1208</v>
      </c>
      <c r="R3617">
        <v>1.36</v>
      </c>
      <c r="S3617">
        <v>35.26</v>
      </c>
      <c r="T3617" t="s">
        <v>12132</v>
      </c>
    </row>
    <row r="3618" spans="1:20" x14ac:dyDescent="0.25">
      <c r="A3618" s="1" t="str">
        <f>HYPERLINK("https://vegkart.atlas.vegvesen.no/#/@256143.5,6601410.5,18/hva:hva%5B0%5D%5Bfilter%5D%5B0%5D%5Boperator%5D=%21%3D&amp;hva%5B0%5D%5Bfilter%5D%5B0%5D%5Btype_id%5D=8917&amp;hva%5B0%5D%5Bfilter%5D%5B0%5D%5Bverdi%5D=&amp;hva%5B0%5D%5Bid%5D=49/når:2023-12-12", "Vegkart")</f>
        <v>Vegkart</v>
      </c>
      <c r="B3618">
        <v>1018282480</v>
      </c>
      <c r="C3618">
        <v>49</v>
      </c>
      <c r="D3618" t="s">
        <v>8701</v>
      </c>
      <c r="E3618">
        <v>8917</v>
      </c>
      <c r="F3618" t="s">
        <v>23479</v>
      </c>
      <c r="G3618">
        <v>1</v>
      </c>
      <c r="H3618" t="s">
        <v>12133</v>
      </c>
      <c r="J3618" t="s">
        <v>11497</v>
      </c>
      <c r="K3618" t="s">
        <v>104</v>
      </c>
      <c r="L3618" t="s">
        <v>22</v>
      </c>
      <c r="M3618" t="s">
        <v>12134</v>
      </c>
      <c r="N3618" t="s">
        <v>12135</v>
      </c>
      <c r="O3618" t="s">
        <v>12136</v>
      </c>
      <c r="P3618" s="2" t="s">
        <v>37</v>
      </c>
      <c r="Q3618" t="s">
        <v>1208</v>
      </c>
      <c r="R3618">
        <v>0.41</v>
      </c>
      <c r="S3618">
        <v>19.97</v>
      </c>
      <c r="T3618" t="s">
        <v>12137</v>
      </c>
    </row>
    <row r="3619" spans="1:20" x14ac:dyDescent="0.25">
      <c r="A3619" s="1" t="str">
        <f>HYPERLINK("https://vegkart.atlas.vegvesen.no/#/@256329.4,6601697.3,18/hva:hva%5B0%5D%5Bfilter%5D%5B0%5D%5Boperator%5D=%21%3D&amp;hva%5B0%5D%5Bfilter%5D%5B0%5D%5Btype_id%5D=8917&amp;hva%5B0%5D%5Bfilter%5D%5B0%5D%5Bverdi%5D=&amp;hva%5B0%5D%5Bid%5D=49/når:2023-12-12", "Vegkart")</f>
        <v>Vegkart</v>
      </c>
      <c r="B3619">
        <v>1018282512</v>
      </c>
      <c r="C3619">
        <v>49</v>
      </c>
      <c r="D3619" t="s">
        <v>8701</v>
      </c>
      <c r="E3619">
        <v>8917</v>
      </c>
      <c r="F3619" t="s">
        <v>23479</v>
      </c>
      <c r="G3619">
        <v>1</v>
      </c>
      <c r="H3619" t="s">
        <v>12133</v>
      </c>
      <c r="J3619" t="s">
        <v>11497</v>
      </c>
      <c r="K3619" t="s">
        <v>104</v>
      </c>
      <c r="L3619" t="s">
        <v>22</v>
      </c>
      <c r="M3619" t="s">
        <v>12138</v>
      </c>
      <c r="N3619" t="s">
        <v>12139</v>
      </c>
      <c r="O3619" t="s">
        <v>12140</v>
      </c>
      <c r="P3619" s="2" t="s">
        <v>37</v>
      </c>
      <c r="Q3619" t="s">
        <v>1208</v>
      </c>
      <c r="R3619">
        <v>0.65</v>
      </c>
      <c r="S3619">
        <v>15.29</v>
      </c>
      <c r="T3619" t="s">
        <v>12141</v>
      </c>
    </row>
    <row r="3620" spans="1:20" x14ac:dyDescent="0.25">
      <c r="A3620" s="1" t="str">
        <f>HYPERLINK("https://vegkart.atlas.vegvesen.no/#/@256138.4,6602326.3,18/hva:hva%5B0%5D%5Bfilter%5D%5B0%5D%5Boperator%5D=%21%3D&amp;hva%5B0%5D%5Bfilter%5D%5B0%5D%5Btype_id%5D=8917&amp;hva%5B0%5D%5Bfilter%5D%5B0%5D%5Bverdi%5D=&amp;hva%5B0%5D%5Bid%5D=49/når:2023-12-12", "Vegkart")</f>
        <v>Vegkart</v>
      </c>
      <c r="B3620">
        <v>1018283462</v>
      </c>
      <c r="C3620">
        <v>49</v>
      </c>
      <c r="D3620" t="s">
        <v>8701</v>
      </c>
      <c r="E3620">
        <v>8917</v>
      </c>
      <c r="F3620" t="s">
        <v>23479</v>
      </c>
      <c r="G3620">
        <v>1</v>
      </c>
      <c r="H3620" t="s">
        <v>12133</v>
      </c>
      <c r="J3620" t="s">
        <v>11497</v>
      </c>
      <c r="K3620" t="s">
        <v>104</v>
      </c>
      <c r="L3620" t="s">
        <v>22</v>
      </c>
      <c r="M3620" t="s">
        <v>12142</v>
      </c>
      <c r="N3620" t="s">
        <v>12143</v>
      </c>
      <c r="O3620" t="s">
        <v>12144</v>
      </c>
      <c r="P3620" s="2" t="s">
        <v>37</v>
      </c>
      <c r="Q3620" t="s">
        <v>1208</v>
      </c>
      <c r="R3620">
        <v>0.76</v>
      </c>
      <c r="S3620">
        <v>28.57</v>
      </c>
      <c r="T3620" t="s">
        <v>12145</v>
      </c>
    </row>
    <row r="3621" spans="1:20" x14ac:dyDescent="0.25">
      <c r="A3621" s="1" t="str">
        <f>HYPERLINK("https://vegkart.atlas.vegvesen.no/#/@256086.9,6597297.6,18/hva:hva%5B0%5D%5Bfilter%5D%5B0%5D%5Boperator%5D=%21%3D&amp;hva%5B0%5D%5Bfilter%5D%5B0%5D%5Btype_id%5D=8917&amp;hva%5B0%5D%5Bfilter%5D%5B0%5D%5Bverdi%5D=&amp;hva%5B0%5D%5Bid%5D=49/når:2023-12-12", "Vegkart")</f>
        <v>Vegkart</v>
      </c>
      <c r="B3621">
        <v>1018283908</v>
      </c>
      <c r="C3621">
        <v>49</v>
      </c>
      <c r="D3621" t="s">
        <v>8701</v>
      </c>
      <c r="E3621">
        <v>8917</v>
      </c>
      <c r="F3621" t="s">
        <v>23479</v>
      </c>
      <c r="G3621">
        <v>1</v>
      </c>
      <c r="H3621" t="s">
        <v>12133</v>
      </c>
      <c r="J3621" t="s">
        <v>11497</v>
      </c>
      <c r="K3621" t="s">
        <v>104</v>
      </c>
      <c r="L3621" t="s">
        <v>22</v>
      </c>
      <c r="M3621" t="s">
        <v>9525</v>
      </c>
      <c r="N3621" t="s">
        <v>12146</v>
      </c>
      <c r="O3621" t="s">
        <v>12147</v>
      </c>
      <c r="P3621" s="2" t="s">
        <v>37</v>
      </c>
      <c r="Q3621" t="s">
        <v>1208</v>
      </c>
      <c r="R3621">
        <v>0.68</v>
      </c>
      <c r="S3621">
        <v>24.49</v>
      </c>
      <c r="T3621" t="s">
        <v>12148</v>
      </c>
    </row>
    <row r="3622" spans="1:20" x14ac:dyDescent="0.25">
      <c r="A3622" s="1" t="str">
        <f>HYPERLINK("https://vegkart.atlas.vegvesen.no/#/@255535.4,6596939.0,18/hva:hva%5B0%5D%5Bfilter%5D%5B0%5D%5Boperator%5D=%21%3D&amp;hva%5B0%5D%5Bfilter%5D%5B0%5D%5Btype_id%5D=8917&amp;hva%5B0%5D%5Bfilter%5D%5B0%5D%5Bverdi%5D=&amp;hva%5B0%5D%5Bid%5D=49/når:2023-12-12", "Vegkart")</f>
        <v>Vegkart</v>
      </c>
      <c r="B3622">
        <v>1018284606</v>
      </c>
      <c r="C3622">
        <v>49</v>
      </c>
      <c r="D3622" t="s">
        <v>8701</v>
      </c>
      <c r="E3622">
        <v>8917</v>
      </c>
      <c r="F3622" t="s">
        <v>23479</v>
      </c>
      <c r="G3622">
        <v>1</v>
      </c>
      <c r="H3622" t="s">
        <v>12133</v>
      </c>
      <c r="J3622" t="s">
        <v>11497</v>
      </c>
      <c r="K3622" t="s">
        <v>104</v>
      </c>
      <c r="L3622" t="s">
        <v>22</v>
      </c>
      <c r="M3622" t="s">
        <v>12149</v>
      </c>
      <c r="N3622" t="s">
        <v>12150</v>
      </c>
      <c r="O3622" t="s">
        <v>12151</v>
      </c>
      <c r="P3622" s="2" t="s">
        <v>37</v>
      </c>
      <c r="Q3622" t="s">
        <v>1208</v>
      </c>
      <c r="R3622">
        <v>0.54</v>
      </c>
      <c r="S3622">
        <v>13.45</v>
      </c>
      <c r="T3622" t="s">
        <v>12152</v>
      </c>
    </row>
    <row r="3623" spans="1:20" x14ac:dyDescent="0.25">
      <c r="A3623" s="1" t="str">
        <f>HYPERLINK("https://vegkart.atlas.vegvesen.no/#/@302498.2,6648650.8,18/hva:hva%5B0%5D%5Bfilter%5D%5B0%5D%5Boperator%5D=%21%3D&amp;hva%5B0%5D%5Bfilter%5D%5B0%5D%5Btype_id%5D=8917&amp;hva%5B0%5D%5Bfilter%5D%5B0%5D%5Bverdi%5D=&amp;hva%5B0%5D%5Bid%5D=49/når:2023-12-15", "Vegkart")</f>
        <v>Vegkart</v>
      </c>
      <c r="B3623">
        <v>1018314157</v>
      </c>
      <c r="C3623">
        <v>49</v>
      </c>
      <c r="D3623" t="s">
        <v>8701</v>
      </c>
      <c r="E3623">
        <v>8917</v>
      </c>
      <c r="F3623" t="s">
        <v>23479</v>
      </c>
      <c r="G3623">
        <v>1</v>
      </c>
      <c r="H3623" t="s">
        <v>10663</v>
      </c>
      <c r="J3623" t="s">
        <v>11497</v>
      </c>
      <c r="K3623" t="s">
        <v>132</v>
      </c>
      <c r="L3623" t="s">
        <v>33</v>
      </c>
      <c r="M3623" t="s">
        <v>2097</v>
      </c>
      <c r="N3623" t="s">
        <v>12153</v>
      </c>
      <c r="O3623" t="s">
        <v>12154</v>
      </c>
      <c r="P3623" s="2" t="s">
        <v>26</v>
      </c>
      <c r="Q3623" t="s">
        <v>50</v>
      </c>
      <c r="R3623">
        <v>82.85</v>
      </c>
      <c r="S3623">
        <v>82.85</v>
      </c>
      <c r="T3623" t="s">
        <v>12155</v>
      </c>
    </row>
    <row r="3624" spans="1:20" x14ac:dyDescent="0.25">
      <c r="A3624" s="1" t="str">
        <f>HYPERLINK("https://vegkart.atlas.vegvesen.no/#/@595206.0,7714339.7,18/hva:hva%5B0%5D%5Bfilter%5D%5B0%5D%5Boperator%5D=%21%3D&amp;hva%5B0%5D%5Bfilter%5D%5B0%5D%5Btype_id%5D=8917&amp;hva%5B0%5D%5Bfilter%5D%5B0%5D%5Bverdi%5D=&amp;hva%5B0%5D%5Bid%5D=49/når:2024-01-04", "Vegkart")</f>
        <v>Vegkart</v>
      </c>
      <c r="B3624">
        <v>1018345435</v>
      </c>
      <c r="C3624">
        <v>49</v>
      </c>
      <c r="D3624" t="s">
        <v>8701</v>
      </c>
      <c r="E3624">
        <v>8917</v>
      </c>
      <c r="F3624" t="s">
        <v>23479</v>
      </c>
      <c r="G3624">
        <v>1</v>
      </c>
      <c r="H3624" t="s">
        <v>526</v>
      </c>
      <c r="J3624" t="s">
        <v>11497</v>
      </c>
      <c r="K3624" t="s">
        <v>179</v>
      </c>
      <c r="L3624" t="s">
        <v>33</v>
      </c>
      <c r="M3624" t="s">
        <v>527</v>
      </c>
      <c r="N3624" t="s">
        <v>8052</v>
      </c>
      <c r="O3624" t="s">
        <v>12156</v>
      </c>
      <c r="P3624" s="2" t="s">
        <v>37</v>
      </c>
      <c r="Q3624" t="s">
        <v>1208</v>
      </c>
      <c r="R3624">
        <v>0</v>
      </c>
      <c r="S3624">
        <v>13.86</v>
      </c>
      <c r="T3624" t="s">
        <v>12157</v>
      </c>
    </row>
    <row r="3625" spans="1:20" x14ac:dyDescent="0.25">
      <c r="A3625" s="1" t="str">
        <f>HYPERLINK("https://vegkart.atlas.vegvesen.no/#/@595204.3,7714388.4,18/hva:hva%5B0%5D%5Bfilter%5D%5B0%5D%5Boperator%5D=%21%3D&amp;hva%5B0%5D%5Bfilter%5D%5B0%5D%5Btype_id%5D=8917&amp;hva%5B0%5D%5Bfilter%5D%5B0%5D%5Bverdi%5D=&amp;hva%5B0%5D%5Bid%5D=49/når:2024-01-04", "Vegkart")</f>
        <v>Vegkart</v>
      </c>
      <c r="B3625">
        <v>1018345436</v>
      </c>
      <c r="C3625">
        <v>49</v>
      </c>
      <c r="D3625" t="s">
        <v>8701</v>
      </c>
      <c r="E3625">
        <v>8917</v>
      </c>
      <c r="F3625" t="s">
        <v>23479</v>
      </c>
      <c r="G3625">
        <v>1</v>
      </c>
      <c r="H3625" t="s">
        <v>526</v>
      </c>
      <c r="J3625" t="s">
        <v>11497</v>
      </c>
      <c r="K3625" t="s">
        <v>179</v>
      </c>
      <c r="L3625" t="s">
        <v>33</v>
      </c>
      <c r="M3625" t="s">
        <v>527</v>
      </c>
      <c r="N3625" t="s">
        <v>12158</v>
      </c>
      <c r="O3625" t="s">
        <v>12159</v>
      </c>
      <c r="P3625" s="2" t="s">
        <v>37</v>
      </c>
      <c r="Q3625" t="s">
        <v>1208</v>
      </c>
      <c r="R3625">
        <v>0</v>
      </c>
      <c r="S3625">
        <v>58.94</v>
      </c>
      <c r="T3625" t="s">
        <v>12160</v>
      </c>
    </row>
    <row r="3626" spans="1:20" x14ac:dyDescent="0.25">
      <c r="A3626" s="1" t="str">
        <f>HYPERLINK("https://vegkart.atlas.vegvesen.no/#/@536651.8,7532764.5,18/hva:hva%5B0%5D%5Bfilter%5D%5B0%5D%5Boperator%5D=%21%3D&amp;hva%5B0%5D%5Bfilter%5D%5B0%5D%5Btype_id%5D=8917&amp;hva%5B0%5D%5Bfilter%5D%5B0%5D%5Bverdi%5D=&amp;hva%5B0%5D%5Bid%5D=49/når:2024-01-08", "Vegkart")</f>
        <v>Vegkart</v>
      </c>
      <c r="B3626">
        <v>1018353495</v>
      </c>
      <c r="C3626">
        <v>49</v>
      </c>
      <c r="D3626" t="s">
        <v>8701</v>
      </c>
      <c r="E3626">
        <v>8917</v>
      </c>
      <c r="F3626" t="s">
        <v>23479</v>
      </c>
      <c r="G3626">
        <v>1</v>
      </c>
      <c r="H3626" t="s">
        <v>12161</v>
      </c>
      <c r="J3626" t="s">
        <v>11497</v>
      </c>
      <c r="K3626" t="s">
        <v>53</v>
      </c>
      <c r="L3626" t="s">
        <v>22</v>
      </c>
      <c r="M3626" t="s">
        <v>12162</v>
      </c>
      <c r="N3626" t="s">
        <v>12163</v>
      </c>
      <c r="O3626" t="s">
        <v>12164</v>
      </c>
      <c r="P3626" s="2" t="s">
        <v>37</v>
      </c>
      <c r="Q3626" t="s">
        <v>1208</v>
      </c>
      <c r="R3626">
        <v>0.64</v>
      </c>
      <c r="S3626">
        <v>25.02</v>
      </c>
      <c r="T3626" t="s">
        <v>12165</v>
      </c>
    </row>
    <row r="3627" spans="1:20" x14ac:dyDescent="0.25">
      <c r="A3627" s="1" t="str">
        <f>HYPERLINK("https://vegkart.atlas.vegvesen.no/#/@536214.2,7531359.9,18/hva:hva%5B0%5D%5Bfilter%5D%5B0%5D%5Boperator%5D=%21%3D&amp;hva%5B0%5D%5Bfilter%5D%5B0%5D%5Btype_id%5D=8917&amp;hva%5B0%5D%5Bfilter%5D%5B0%5D%5Bverdi%5D=&amp;hva%5B0%5D%5Bid%5D=49/når:2024-01-08", "Vegkart")</f>
        <v>Vegkart</v>
      </c>
      <c r="B3627">
        <v>1018353675</v>
      </c>
      <c r="C3627">
        <v>49</v>
      </c>
      <c r="D3627" t="s">
        <v>8701</v>
      </c>
      <c r="E3627">
        <v>8917</v>
      </c>
      <c r="F3627" t="s">
        <v>23479</v>
      </c>
      <c r="G3627">
        <v>1</v>
      </c>
      <c r="H3627" t="s">
        <v>12161</v>
      </c>
      <c r="J3627" t="s">
        <v>11497</v>
      </c>
      <c r="K3627" t="s">
        <v>53</v>
      </c>
      <c r="L3627" t="s">
        <v>22</v>
      </c>
      <c r="M3627" t="s">
        <v>12162</v>
      </c>
      <c r="N3627" t="s">
        <v>12166</v>
      </c>
      <c r="O3627" t="s">
        <v>12167</v>
      </c>
      <c r="P3627" s="2" t="s">
        <v>37</v>
      </c>
      <c r="Q3627" t="s">
        <v>1208</v>
      </c>
      <c r="R3627">
        <v>0.33</v>
      </c>
      <c r="S3627">
        <v>22.52</v>
      </c>
      <c r="T3627" t="s">
        <v>12168</v>
      </c>
    </row>
    <row r="3628" spans="1:20" x14ac:dyDescent="0.25">
      <c r="A3628" s="1" t="str">
        <f>HYPERLINK("https://vegkart.atlas.vegvesen.no/#/@538978.4,7539052.6,18/hva:hva%5B0%5D%5Bfilter%5D%5B0%5D%5Boperator%5D=%21%3D&amp;hva%5B0%5D%5Bfilter%5D%5B0%5D%5Btype_id%5D=8917&amp;hva%5B0%5D%5Bfilter%5D%5B0%5D%5Bverdi%5D=&amp;hva%5B0%5D%5Bid%5D=49/når:2024-01-08", "Vegkart")</f>
        <v>Vegkart</v>
      </c>
      <c r="B3628">
        <v>1018353726</v>
      </c>
      <c r="C3628">
        <v>49</v>
      </c>
      <c r="D3628" t="s">
        <v>8701</v>
      </c>
      <c r="E3628">
        <v>8917</v>
      </c>
      <c r="F3628" t="s">
        <v>23479</v>
      </c>
      <c r="G3628">
        <v>1</v>
      </c>
      <c r="H3628" t="s">
        <v>12161</v>
      </c>
      <c r="J3628" t="s">
        <v>11497</v>
      </c>
      <c r="K3628" t="s">
        <v>53</v>
      </c>
      <c r="L3628" t="s">
        <v>22</v>
      </c>
      <c r="M3628" t="s">
        <v>12169</v>
      </c>
      <c r="N3628" t="s">
        <v>12170</v>
      </c>
      <c r="O3628" t="s">
        <v>12171</v>
      </c>
      <c r="P3628" s="2" t="s">
        <v>37</v>
      </c>
      <c r="Q3628" t="s">
        <v>1208</v>
      </c>
      <c r="R3628">
        <v>0.51</v>
      </c>
      <c r="S3628">
        <v>23.02</v>
      </c>
      <c r="T3628" t="s">
        <v>12172</v>
      </c>
    </row>
    <row r="3629" spans="1:20" x14ac:dyDescent="0.25">
      <c r="A3629" s="1" t="str">
        <f>HYPERLINK("https://vegkart.atlas.vegvesen.no/#/@256253.7,6597507.8,18/hva:hva%5B0%5D%5Bfilter%5D%5B0%5D%5Boperator%5D=%21%3D&amp;hva%5B0%5D%5Bfilter%5D%5B0%5D%5Btype_id%5D=8917&amp;hva%5B0%5D%5Bfilter%5D%5B0%5D%5Bverdi%5D=&amp;hva%5B0%5D%5Bid%5D=49/når:2024-01-08", "Vegkart")</f>
        <v>Vegkart</v>
      </c>
      <c r="B3629">
        <v>1018353771</v>
      </c>
      <c r="C3629">
        <v>49</v>
      </c>
      <c r="D3629" t="s">
        <v>8701</v>
      </c>
      <c r="E3629">
        <v>8917</v>
      </c>
      <c r="F3629" t="s">
        <v>23479</v>
      </c>
      <c r="G3629">
        <v>1</v>
      </c>
      <c r="H3629" t="s">
        <v>12161</v>
      </c>
      <c r="J3629" t="s">
        <v>11497</v>
      </c>
      <c r="K3629" t="s">
        <v>104</v>
      </c>
      <c r="L3629" t="s">
        <v>22</v>
      </c>
      <c r="M3629" t="s">
        <v>12173</v>
      </c>
      <c r="N3629" t="s">
        <v>12174</v>
      </c>
      <c r="O3629" t="s">
        <v>12175</v>
      </c>
      <c r="P3629" s="2" t="s">
        <v>37</v>
      </c>
      <c r="Q3629" t="s">
        <v>1208</v>
      </c>
      <c r="R3629">
        <v>0.41</v>
      </c>
      <c r="S3629">
        <v>37.57</v>
      </c>
      <c r="T3629" t="s">
        <v>12176</v>
      </c>
    </row>
    <row r="3630" spans="1:20" x14ac:dyDescent="0.25">
      <c r="A3630" s="1" t="str">
        <f>HYPERLINK("https://vegkart.atlas.vegvesen.no/#/@256095.2,6597329.3,18/hva:hva%5B0%5D%5Bfilter%5D%5B0%5D%5Boperator%5D=%21%3D&amp;hva%5B0%5D%5Bfilter%5D%5B0%5D%5Btype_id%5D=8917&amp;hva%5B0%5D%5Bfilter%5D%5B0%5D%5Bverdi%5D=&amp;hva%5B0%5D%5Bid%5D=49/når:2024-01-08", "Vegkart")</f>
        <v>Vegkart</v>
      </c>
      <c r="B3630">
        <v>1018353790</v>
      </c>
      <c r="C3630">
        <v>49</v>
      </c>
      <c r="D3630" t="s">
        <v>8701</v>
      </c>
      <c r="E3630">
        <v>8917</v>
      </c>
      <c r="F3630" t="s">
        <v>23479</v>
      </c>
      <c r="G3630">
        <v>1</v>
      </c>
      <c r="H3630" t="s">
        <v>12161</v>
      </c>
      <c r="J3630" t="s">
        <v>11497</v>
      </c>
      <c r="K3630" t="s">
        <v>104</v>
      </c>
      <c r="L3630" t="s">
        <v>22</v>
      </c>
      <c r="M3630" t="s">
        <v>12173</v>
      </c>
      <c r="N3630" t="s">
        <v>12177</v>
      </c>
      <c r="O3630" t="s">
        <v>12178</v>
      </c>
      <c r="P3630" s="2" t="s">
        <v>37</v>
      </c>
      <c r="Q3630" t="s">
        <v>1208</v>
      </c>
      <c r="R3630">
        <v>0.6</v>
      </c>
      <c r="S3630">
        <v>70.61</v>
      </c>
      <c r="T3630" t="s">
        <v>12179</v>
      </c>
    </row>
    <row r="3631" spans="1:20" x14ac:dyDescent="0.25">
      <c r="A3631" s="1" t="str">
        <f>HYPERLINK("https://vegkart.atlas.vegvesen.no/#/@256061.5,6597295.1,18/hva:hva%5B0%5D%5Bfilter%5D%5B0%5D%5Boperator%5D=%21%3D&amp;hva%5B0%5D%5Bfilter%5D%5B0%5D%5Btype_id%5D=8917&amp;hva%5B0%5D%5Bfilter%5D%5B0%5D%5Bverdi%5D=&amp;hva%5B0%5D%5Bid%5D=49/når:2024-01-08", "Vegkart")</f>
        <v>Vegkart</v>
      </c>
      <c r="B3631">
        <v>1018353795</v>
      </c>
      <c r="C3631">
        <v>49</v>
      </c>
      <c r="D3631" t="s">
        <v>8701</v>
      </c>
      <c r="E3631">
        <v>8917</v>
      </c>
      <c r="F3631" t="s">
        <v>23479</v>
      </c>
      <c r="G3631">
        <v>1</v>
      </c>
      <c r="H3631" t="s">
        <v>12161</v>
      </c>
      <c r="J3631" t="s">
        <v>11497</v>
      </c>
      <c r="K3631" t="s">
        <v>104</v>
      </c>
      <c r="L3631" t="s">
        <v>22</v>
      </c>
      <c r="M3631" t="s">
        <v>12173</v>
      </c>
      <c r="N3631" t="s">
        <v>12180</v>
      </c>
      <c r="O3631" t="s">
        <v>12181</v>
      </c>
      <c r="P3631" s="2" t="s">
        <v>37</v>
      </c>
      <c r="Q3631" t="s">
        <v>1208</v>
      </c>
      <c r="R3631">
        <v>0.72</v>
      </c>
      <c r="S3631">
        <v>20.83</v>
      </c>
      <c r="T3631" t="s">
        <v>12182</v>
      </c>
    </row>
    <row r="3632" spans="1:20" x14ac:dyDescent="0.25">
      <c r="A3632" s="1" t="str">
        <f>HYPERLINK("https://vegkart.atlas.vegvesen.no/#/@255936.3,6597140.0,18/hva:hva%5B0%5D%5Bfilter%5D%5B0%5D%5Boperator%5D=%21%3D&amp;hva%5B0%5D%5Bfilter%5D%5B0%5D%5Btype_id%5D=8917&amp;hva%5B0%5D%5Bfilter%5D%5B0%5D%5Bverdi%5D=&amp;hva%5B0%5D%5Bid%5D=49/når:2024-01-08", "Vegkart")</f>
        <v>Vegkart</v>
      </c>
      <c r="B3632">
        <v>1018353995</v>
      </c>
      <c r="C3632">
        <v>49</v>
      </c>
      <c r="D3632" t="s">
        <v>8701</v>
      </c>
      <c r="E3632">
        <v>8917</v>
      </c>
      <c r="F3632" t="s">
        <v>23479</v>
      </c>
      <c r="G3632">
        <v>1</v>
      </c>
      <c r="H3632" t="s">
        <v>12161</v>
      </c>
      <c r="J3632" t="s">
        <v>11497</v>
      </c>
      <c r="K3632" t="s">
        <v>104</v>
      </c>
      <c r="L3632" t="s">
        <v>22</v>
      </c>
      <c r="M3632" t="s">
        <v>12173</v>
      </c>
      <c r="N3632" t="s">
        <v>12183</v>
      </c>
      <c r="O3632" t="s">
        <v>12184</v>
      </c>
      <c r="P3632" s="2" t="s">
        <v>37</v>
      </c>
      <c r="Q3632" t="s">
        <v>1208</v>
      </c>
      <c r="R3632">
        <v>0.65</v>
      </c>
      <c r="S3632">
        <v>33.520000000000003</v>
      </c>
      <c r="T3632" t="s">
        <v>12185</v>
      </c>
    </row>
    <row r="3633" spans="1:20" x14ac:dyDescent="0.25">
      <c r="A3633" s="1" t="str">
        <f>HYPERLINK("https://vegkart.atlas.vegvesen.no/#/@256616.9,6597547.2,18/hva:hva%5B0%5D%5Bfilter%5D%5B0%5D%5Boperator%5D=%21%3D&amp;hva%5B0%5D%5Bfilter%5D%5B0%5D%5Btype_id%5D=8917&amp;hva%5B0%5D%5Bfilter%5D%5B0%5D%5Bverdi%5D=&amp;hva%5B0%5D%5Bid%5D=49/når:2024-01-08", "Vegkart")</f>
        <v>Vegkart</v>
      </c>
      <c r="B3633">
        <v>1018355028</v>
      </c>
      <c r="C3633">
        <v>49</v>
      </c>
      <c r="D3633" t="s">
        <v>8701</v>
      </c>
      <c r="E3633">
        <v>8917</v>
      </c>
      <c r="F3633" t="s">
        <v>23479</v>
      </c>
      <c r="G3633">
        <v>1</v>
      </c>
      <c r="H3633" t="s">
        <v>12161</v>
      </c>
      <c r="J3633" t="s">
        <v>11497</v>
      </c>
      <c r="K3633" t="s">
        <v>104</v>
      </c>
      <c r="L3633" t="s">
        <v>22</v>
      </c>
      <c r="M3633" t="s">
        <v>12186</v>
      </c>
      <c r="N3633" t="s">
        <v>12187</v>
      </c>
      <c r="O3633" t="s">
        <v>12188</v>
      </c>
      <c r="P3633" s="2" t="s">
        <v>37</v>
      </c>
      <c r="Q3633" t="s">
        <v>1208</v>
      </c>
      <c r="R3633">
        <v>0.65</v>
      </c>
      <c r="S3633">
        <v>32.43</v>
      </c>
      <c r="T3633" t="s">
        <v>12189</v>
      </c>
    </row>
    <row r="3634" spans="1:20" x14ac:dyDescent="0.25">
      <c r="A3634" s="1" t="str">
        <f>HYPERLINK("https://vegkart.atlas.vegvesen.no/#/@256878.8,6596901.8,18/hva:hva%5B0%5D%5Bfilter%5D%5B0%5D%5Boperator%5D=%21%3D&amp;hva%5B0%5D%5Bfilter%5D%5B0%5D%5Btype_id%5D=8917&amp;hva%5B0%5D%5Bfilter%5D%5B0%5D%5Bverdi%5D=&amp;hva%5B0%5D%5Bid%5D=49/når:2024-01-10", "Vegkart")</f>
        <v>Vegkart</v>
      </c>
      <c r="B3634">
        <v>1018361191</v>
      </c>
      <c r="C3634">
        <v>49</v>
      </c>
      <c r="D3634" t="s">
        <v>8701</v>
      </c>
      <c r="E3634">
        <v>8917</v>
      </c>
      <c r="F3634" t="s">
        <v>23479</v>
      </c>
      <c r="G3634">
        <v>1</v>
      </c>
      <c r="H3634" t="s">
        <v>12190</v>
      </c>
      <c r="J3634" t="s">
        <v>11497</v>
      </c>
      <c r="K3634" t="s">
        <v>104</v>
      </c>
      <c r="L3634" t="s">
        <v>22</v>
      </c>
      <c r="M3634" t="s">
        <v>12191</v>
      </c>
      <c r="N3634" t="s">
        <v>12192</v>
      </c>
      <c r="O3634" t="s">
        <v>12193</v>
      </c>
      <c r="P3634" s="2" t="s">
        <v>37</v>
      </c>
      <c r="Q3634" t="s">
        <v>1208</v>
      </c>
      <c r="R3634">
        <v>0.67</v>
      </c>
      <c r="S3634">
        <v>63.74</v>
      </c>
      <c r="T3634" t="s">
        <v>12194</v>
      </c>
    </row>
    <row r="3635" spans="1:20" x14ac:dyDescent="0.25">
      <c r="A3635" s="1" t="str">
        <f>HYPERLINK("https://vegkart.atlas.vegvesen.no/#/@256637.5,6597498.3,18/hva:hva%5B0%5D%5Bfilter%5D%5B0%5D%5Boperator%5D=%21%3D&amp;hva%5B0%5D%5Bfilter%5D%5B0%5D%5Btype_id%5D=8917&amp;hva%5B0%5D%5Bfilter%5D%5B0%5D%5Bverdi%5D=&amp;hva%5B0%5D%5Bid%5D=49/når:2024-01-10", "Vegkart")</f>
        <v>Vegkart</v>
      </c>
      <c r="B3635">
        <v>1018361196</v>
      </c>
      <c r="C3635">
        <v>49</v>
      </c>
      <c r="D3635" t="s">
        <v>8701</v>
      </c>
      <c r="E3635">
        <v>8917</v>
      </c>
      <c r="F3635" t="s">
        <v>23479</v>
      </c>
      <c r="G3635">
        <v>1</v>
      </c>
      <c r="H3635" t="s">
        <v>12190</v>
      </c>
      <c r="J3635" t="s">
        <v>11497</v>
      </c>
      <c r="K3635" t="s">
        <v>104</v>
      </c>
      <c r="L3635" t="s">
        <v>22</v>
      </c>
      <c r="M3635" t="s">
        <v>12191</v>
      </c>
      <c r="N3635" t="s">
        <v>12195</v>
      </c>
      <c r="O3635" t="s">
        <v>12196</v>
      </c>
      <c r="P3635" s="2" t="s">
        <v>37</v>
      </c>
      <c r="Q3635" t="s">
        <v>1208</v>
      </c>
      <c r="R3635">
        <v>0.47</v>
      </c>
      <c r="S3635">
        <v>22.12</v>
      </c>
      <c r="T3635" t="s">
        <v>12197</v>
      </c>
    </row>
    <row r="3636" spans="1:20" x14ac:dyDescent="0.25">
      <c r="A3636" s="1" t="str">
        <f>HYPERLINK("https://vegkart.atlas.vegvesen.no/#/@258612.2,6598135.8,18/hva:hva%5B0%5D%5Bfilter%5D%5B0%5D%5Boperator%5D=%21%3D&amp;hva%5B0%5D%5Bfilter%5D%5B0%5D%5Btype_id%5D=8917&amp;hva%5B0%5D%5Bfilter%5D%5B0%5D%5Bverdi%5D=&amp;hva%5B0%5D%5Bid%5D=49/når:2024-01-10", "Vegkart")</f>
        <v>Vegkart</v>
      </c>
      <c r="B3636">
        <v>1018362158</v>
      </c>
      <c r="C3636">
        <v>49</v>
      </c>
      <c r="D3636" t="s">
        <v>8701</v>
      </c>
      <c r="E3636">
        <v>8917</v>
      </c>
      <c r="F3636" t="s">
        <v>23479</v>
      </c>
      <c r="G3636">
        <v>1</v>
      </c>
      <c r="H3636" t="s">
        <v>12190</v>
      </c>
      <c r="J3636" t="s">
        <v>11497</v>
      </c>
      <c r="K3636" t="s">
        <v>104</v>
      </c>
      <c r="L3636" t="s">
        <v>22</v>
      </c>
      <c r="M3636" t="s">
        <v>12198</v>
      </c>
      <c r="N3636" t="s">
        <v>12199</v>
      </c>
      <c r="O3636" t="s">
        <v>12200</v>
      </c>
      <c r="P3636" s="2" t="s">
        <v>37</v>
      </c>
      <c r="Q3636" t="s">
        <v>1208</v>
      </c>
      <c r="R3636">
        <v>0.53</v>
      </c>
      <c r="S3636">
        <v>28.11</v>
      </c>
      <c r="T3636" t="s">
        <v>12201</v>
      </c>
    </row>
    <row r="3637" spans="1:20" x14ac:dyDescent="0.25">
      <c r="A3637" s="1" t="str">
        <f>HYPERLINK("https://vegkart.atlas.vegvesen.no/#/@258680.3,6598105.9,18/hva:hva%5B0%5D%5Bfilter%5D%5B0%5D%5Boperator%5D=%21%3D&amp;hva%5B0%5D%5Bfilter%5D%5B0%5D%5Btype_id%5D=8917&amp;hva%5B0%5D%5Bfilter%5D%5B0%5D%5Bverdi%5D=&amp;hva%5B0%5D%5Bid%5D=49/når:2024-01-10", "Vegkart")</f>
        <v>Vegkart</v>
      </c>
      <c r="B3637">
        <v>1018362650</v>
      </c>
      <c r="C3637">
        <v>49</v>
      </c>
      <c r="D3637" t="s">
        <v>8701</v>
      </c>
      <c r="E3637">
        <v>8917</v>
      </c>
      <c r="F3637" t="s">
        <v>23479</v>
      </c>
      <c r="G3637">
        <v>1</v>
      </c>
      <c r="H3637" t="s">
        <v>12190</v>
      </c>
      <c r="J3637" t="s">
        <v>11497</v>
      </c>
      <c r="K3637" t="s">
        <v>104</v>
      </c>
      <c r="L3637" t="s">
        <v>22</v>
      </c>
      <c r="M3637" t="s">
        <v>12202</v>
      </c>
      <c r="N3637" t="s">
        <v>12203</v>
      </c>
      <c r="O3637" t="s">
        <v>12204</v>
      </c>
      <c r="P3637" s="2" t="s">
        <v>37</v>
      </c>
      <c r="Q3637" t="s">
        <v>1208</v>
      </c>
      <c r="R3637">
        <v>0.7</v>
      </c>
      <c r="S3637">
        <v>24.49</v>
      </c>
      <c r="T3637" t="s">
        <v>12205</v>
      </c>
    </row>
    <row r="3638" spans="1:20" x14ac:dyDescent="0.25">
      <c r="A3638" s="1" t="str">
        <f>HYPERLINK("https://vegkart.atlas.vegvesen.no/#/@545030.0,7548229.4,18/hva:hva%5B0%5D%5Bfilter%5D%5B0%5D%5Boperator%5D=%21%3D&amp;hva%5B0%5D%5Bfilter%5D%5B0%5D%5Btype_id%5D=8917&amp;hva%5B0%5D%5Bfilter%5D%5B0%5D%5Bverdi%5D=&amp;hva%5B0%5D%5Bid%5D=49/når:2024-01-10", "Vegkart")</f>
        <v>Vegkart</v>
      </c>
      <c r="B3638">
        <v>1018363034</v>
      </c>
      <c r="C3638">
        <v>49</v>
      </c>
      <c r="D3638" t="s">
        <v>8701</v>
      </c>
      <c r="E3638">
        <v>8917</v>
      </c>
      <c r="F3638" t="s">
        <v>23479</v>
      </c>
      <c r="G3638">
        <v>1</v>
      </c>
      <c r="H3638" t="s">
        <v>12190</v>
      </c>
      <c r="J3638" t="s">
        <v>11497</v>
      </c>
      <c r="K3638" t="s">
        <v>53</v>
      </c>
      <c r="L3638" t="s">
        <v>22</v>
      </c>
      <c r="M3638" t="s">
        <v>12206</v>
      </c>
      <c r="N3638" t="s">
        <v>12207</v>
      </c>
      <c r="O3638" t="s">
        <v>12208</v>
      </c>
      <c r="P3638" s="2" t="s">
        <v>37</v>
      </c>
      <c r="Q3638" t="s">
        <v>1208</v>
      </c>
      <c r="R3638">
        <v>0.41</v>
      </c>
      <c r="S3638">
        <v>20.29</v>
      </c>
      <c r="T3638" t="s">
        <v>12209</v>
      </c>
    </row>
    <row r="3639" spans="1:20" x14ac:dyDescent="0.25">
      <c r="A3639" s="1" t="str">
        <f>HYPERLINK("https://vegkart.atlas.vegvesen.no/#/@255292.7,6595242.9,18/hva:hva%5B0%5D%5Bfilter%5D%5B0%5D%5Boperator%5D=%21%3D&amp;hva%5B0%5D%5Bfilter%5D%5B0%5D%5Btype_id%5D=8917&amp;hva%5B0%5D%5Bfilter%5D%5B0%5D%5Bverdi%5D=&amp;hva%5B0%5D%5Bid%5D=49/når:2024-01-11", "Vegkart")</f>
        <v>Vegkart</v>
      </c>
      <c r="B3639">
        <v>1018365960</v>
      </c>
      <c r="C3639">
        <v>49</v>
      </c>
      <c r="D3639" t="s">
        <v>8701</v>
      </c>
      <c r="E3639">
        <v>8917</v>
      </c>
      <c r="F3639" t="s">
        <v>23479</v>
      </c>
      <c r="G3639">
        <v>1</v>
      </c>
      <c r="H3639" t="s">
        <v>12210</v>
      </c>
      <c r="J3639" t="s">
        <v>11497</v>
      </c>
      <c r="K3639" t="s">
        <v>104</v>
      </c>
      <c r="L3639" t="s">
        <v>22</v>
      </c>
      <c r="M3639" t="s">
        <v>12211</v>
      </c>
      <c r="N3639" t="s">
        <v>12212</v>
      </c>
      <c r="O3639" t="s">
        <v>12213</v>
      </c>
      <c r="P3639" s="2" t="s">
        <v>37</v>
      </c>
      <c r="Q3639" t="s">
        <v>1208</v>
      </c>
      <c r="R3639">
        <v>0.76</v>
      </c>
      <c r="S3639">
        <v>17.66</v>
      </c>
      <c r="T3639" t="s">
        <v>12214</v>
      </c>
    </row>
    <row r="3640" spans="1:20" x14ac:dyDescent="0.25">
      <c r="A3640" s="1" t="str">
        <f>HYPERLINK("https://vegkart.atlas.vegvesen.no/#/@255076.9,6594726.7,18/hva:hva%5B0%5D%5Bfilter%5D%5B0%5D%5Boperator%5D=%21%3D&amp;hva%5B0%5D%5Bfilter%5D%5B0%5D%5Btype_id%5D=8917&amp;hva%5B0%5D%5Bfilter%5D%5B0%5D%5Bverdi%5D=&amp;hva%5B0%5D%5Bid%5D=49/når:2024-01-11", "Vegkart")</f>
        <v>Vegkart</v>
      </c>
      <c r="B3640">
        <v>1018366213</v>
      </c>
      <c r="C3640">
        <v>49</v>
      </c>
      <c r="D3640" t="s">
        <v>8701</v>
      </c>
      <c r="E3640">
        <v>8917</v>
      </c>
      <c r="F3640" t="s">
        <v>23479</v>
      </c>
      <c r="G3640">
        <v>1</v>
      </c>
      <c r="H3640" t="s">
        <v>12210</v>
      </c>
      <c r="J3640" t="s">
        <v>11497</v>
      </c>
      <c r="K3640" t="s">
        <v>104</v>
      </c>
      <c r="L3640" t="s">
        <v>22</v>
      </c>
      <c r="M3640" t="s">
        <v>12211</v>
      </c>
      <c r="N3640" t="s">
        <v>12215</v>
      </c>
      <c r="O3640" t="s">
        <v>12216</v>
      </c>
      <c r="P3640" s="2" t="s">
        <v>37</v>
      </c>
      <c r="Q3640" t="s">
        <v>1208</v>
      </c>
      <c r="R3640">
        <v>0.3</v>
      </c>
      <c r="S3640">
        <v>17.350000000000001</v>
      </c>
      <c r="T3640" t="s">
        <v>12217</v>
      </c>
    </row>
    <row r="3641" spans="1:20" x14ac:dyDescent="0.25">
      <c r="A3641" s="1" t="str">
        <f>HYPERLINK("https://vegkart.atlas.vegvesen.no/#/@254527.0,6596416.6,18/hva:hva%5B0%5D%5Bfilter%5D%5B0%5D%5Boperator%5D=%21%3D&amp;hva%5B0%5D%5Bfilter%5D%5B0%5D%5Btype_id%5D=8917&amp;hva%5B0%5D%5Bfilter%5D%5B0%5D%5Bverdi%5D=&amp;hva%5B0%5D%5Bid%5D=49/når:2024-01-11", "Vegkart")</f>
        <v>Vegkart</v>
      </c>
      <c r="B3641">
        <v>1018366928</v>
      </c>
      <c r="C3641">
        <v>49</v>
      </c>
      <c r="D3641" t="s">
        <v>8701</v>
      </c>
      <c r="E3641">
        <v>8917</v>
      </c>
      <c r="F3641" t="s">
        <v>23479</v>
      </c>
      <c r="G3641">
        <v>1</v>
      </c>
      <c r="H3641" t="s">
        <v>12210</v>
      </c>
      <c r="J3641" t="s">
        <v>11497</v>
      </c>
      <c r="K3641" t="s">
        <v>104</v>
      </c>
      <c r="L3641" t="s">
        <v>22</v>
      </c>
      <c r="M3641" t="s">
        <v>23</v>
      </c>
      <c r="N3641" t="s">
        <v>12218</v>
      </c>
      <c r="O3641" t="s">
        <v>12219</v>
      </c>
      <c r="P3641" s="2" t="s">
        <v>37</v>
      </c>
      <c r="Q3641" t="s">
        <v>1208</v>
      </c>
      <c r="R3641">
        <v>0.4</v>
      </c>
      <c r="S3641">
        <v>39.97</v>
      </c>
      <c r="T3641" t="s">
        <v>12220</v>
      </c>
    </row>
    <row r="3642" spans="1:20" x14ac:dyDescent="0.25">
      <c r="A3642" s="1" t="str">
        <f>HYPERLINK("https://vegkart.atlas.vegvesen.no/#/@481511.2,7463226.9,18/hva:hva%5B0%5D%5Bfilter%5D%5B0%5D%5Boperator%5D=%21%3D&amp;hva%5B0%5D%5Bfilter%5D%5B0%5D%5Btype_id%5D=8917&amp;hva%5B0%5D%5Bfilter%5D%5B0%5D%5Bverdi%5D=&amp;hva%5B0%5D%5Bid%5D=49/når:2024-01-13", "Vegkart")</f>
        <v>Vegkart</v>
      </c>
      <c r="B3642">
        <v>1018368735</v>
      </c>
      <c r="C3642">
        <v>49</v>
      </c>
      <c r="D3642" t="s">
        <v>8701</v>
      </c>
      <c r="E3642">
        <v>8917</v>
      </c>
      <c r="F3642" t="s">
        <v>23479</v>
      </c>
      <c r="G3642">
        <v>1</v>
      </c>
      <c r="H3642" t="s">
        <v>12221</v>
      </c>
      <c r="J3642" t="s">
        <v>11497</v>
      </c>
      <c r="K3642" t="s">
        <v>53</v>
      </c>
      <c r="L3642" t="s">
        <v>22</v>
      </c>
      <c r="M3642" t="s">
        <v>12222</v>
      </c>
      <c r="N3642" t="s">
        <v>12223</v>
      </c>
      <c r="O3642" t="s">
        <v>12224</v>
      </c>
      <c r="P3642" s="2" t="s">
        <v>37</v>
      </c>
      <c r="Q3642" t="s">
        <v>1208</v>
      </c>
      <c r="R3642">
        <v>0</v>
      </c>
      <c r="S3642">
        <v>42.57</v>
      </c>
      <c r="T3642" t="s">
        <v>12225</v>
      </c>
    </row>
    <row r="3643" spans="1:20" x14ac:dyDescent="0.25">
      <c r="A3643" s="1" t="str">
        <f>HYPERLINK("https://vegkart.atlas.vegvesen.no/#/@481482.1,7463244.1,18/hva:hva%5B0%5D%5Bfilter%5D%5B0%5D%5Boperator%5D=%21%3D&amp;hva%5B0%5D%5Bfilter%5D%5B0%5D%5Btype_id%5D=8917&amp;hva%5B0%5D%5Bfilter%5D%5B0%5D%5Bverdi%5D=&amp;hva%5B0%5D%5Bid%5D=49/når:2024-01-13", "Vegkart")</f>
        <v>Vegkart</v>
      </c>
      <c r="B3643">
        <v>1018368736</v>
      </c>
      <c r="C3643">
        <v>49</v>
      </c>
      <c r="D3643" t="s">
        <v>8701</v>
      </c>
      <c r="E3643">
        <v>8917</v>
      </c>
      <c r="F3643" t="s">
        <v>23479</v>
      </c>
      <c r="G3643">
        <v>1</v>
      </c>
      <c r="H3643" t="s">
        <v>12221</v>
      </c>
      <c r="J3643" t="s">
        <v>11497</v>
      </c>
      <c r="K3643" t="s">
        <v>53</v>
      </c>
      <c r="L3643" t="s">
        <v>113</v>
      </c>
      <c r="M3643" t="s">
        <v>3519</v>
      </c>
      <c r="N3643" t="s">
        <v>12226</v>
      </c>
      <c r="O3643" t="s">
        <v>12227</v>
      </c>
      <c r="P3643" s="2" t="s">
        <v>37</v>
      </c>
      <c r="Q3643" t="s">
        <v>1208</v>
      </c>
      <c r="R3643">
        <v>0</v>
      </c>
      <c r="S3643">
        <v>46.71</v>
      </c>
      <c r="T3643" t="s">
        <v>12228</v>
      </c>
    </row>
    <row r="3644" spans="1:20" x14ac:dyDescent="0.25">
      <c r="A3644" s="1" t="str">
        <f>HYPERLINK("https://vegkart.atlas.vegvesen.no/#/@481507.2,7463252.8,18/hva:hva%5B0%5D%5Bfilter%5D%5B0%5D%5Boperator%5D=%21%3D&amp;hva%5B0%5D%5Bfilter%5D%5B0%5D%5Btype_id%5D=8917&amp;hva%5B0%5D%5Bfilter%5D%5B0%5D%5Bverdi%5D=&amp;hva%5B0%5D%5Bid%5D=49/når:2024-09-11", "Vegkart")</f>
        <v>Vegkart</v>
      </c>
      <c r="B3644">
        <v>1018368737</v>
      </c>
      <c r="C3644">
        <v>49</v>
      </c>
      <c r="D3644" t="s">
        <v>8701</v>
      </c>
      <c r="E3644">
        <v>8917</v>
      </c>
      <c r="F3644" t="s">
        <v>23479</v>
      </c>
      <c r="G3644">
        <v>2</v>
      </c>
      <c r="H3644" t="s">
        <v>12229</v>
      </c>
      <c r="J3644" t="s">
        <v>11497</v>
      </c>
      <c r="K3644" t="s">
        <v>53</v>
      </c>
      <c r="L3644" t="s">
        <v>113</v>
      </c>
      <c r="M3644" t="s">
        <v>3519</v>
      </c>
      <c r="N3644" t="s">
        <v>12230</v>
      </c>
      <c r="O3644" t="s">
        <v>12231</v>
      </c>
      <c r="P3644" s="2" t="s">
        <v>37</v>
      </c>
      <c r="Q3644" t="s">
        <v>1208</v>
      </c>
      <c r="R3644">
        <v>0</v>
      </c>
      <c r="S3644">
        <v>78.319999999999993</v>
      </c>
      <c r="T3644" t="s">
        <v>12232</v>
      </c>
    </row>
    <row r="3645" spans="1:20" x14ac:dyDescent="0.25">
      <c r="A3645" s="1" t="str">
        <f>HYPERLINK("https://vegkart.atlas.vegvesen.no/#/@481533.5,7463257.8,18/hva:hva%5B0%5D%5Bfilter%5D%5B0%5D%5Boperator%5D=%21%3D&amp;hva%5B0%5D%5Bfilter%5D%5B0%5D%5Btype_id%5D=8917&amp;hva%5B0%5D%5Bfilter%5D%5B0%5D%5Bverdi%5D=&amp;hva%5B0%5D%5Bid%5D=49/når:2024-01-13", "Vegkart")</f>
        <v>Vegkart</v>
      </c>
      <c r="B3645">
        <v>1018368738</v>
      </c>
      <c r="C3645">
        <v>49</v>
      </c>
      <c r="D3645" t="s">
        <v>8701</v>
      </c>
      <c r="E3645">
        <v>8917</v>
      </c>
      <c r="F3645" t="s">
        <v>23479</v>
      </c>
      <c r="G3645">
        <v>1</v>
      </c>
      <c r="H3645" t="s">
        <v>12221</v>
      </c>
      <c r="J3645" t="s">
        <v>11497</v>
      </c>
      <c r="K3645" t="s">
        <v>53</v>
      </c>
      <c r="L3645" t="s">
        <v>113</v>
      </c>
      <c r="M3645" t="s">
        <v>3519</v>
      </c>
      <c r="N3645" t="s">
        <v>12233</v>
      </c>
      <c r="O3645" t="s">
        <v>12234</v>
      </c>
      <c r="P3645" s="2" t="s">
        <v>37</v>
      </c>
      <c r="Q3645" t="s">
        <v>1208</v>
      </c>
      <c r="R3645">
        <v>0</v>
      </c>
      <c r="S3645">
        <v>46.27</v>
      </c>
      <c r="T3645" t="s">
        <v>12235</v>
      </c>
    </row>
    <row r="3646" spans="1:20" x14ac:dyDescent="0.25">
      <c r="A3646" s="1" t="str">
        <f>HYPERLINK("https://vegkart.atlas.vegvesen.no/#/@254470.1,6596314.3,18/hva:hva%5B0%5D%5Bfilter%5D%5B0%5D%5Boperator%5D=%21%3D&amp;hva%5B0%5D%5Bfilter%5D%5B0%5D%5Btype_id%5D=8917&amp;hva%5B0%5D%5Bfilter%5D%5B0%5D%5Bverdi%5D=&amp;hva%5B0%5D%5Bid%5D=49/når:2024-01-15", "Vegkart")</f>
        <v>Vegkart</v>
      </c>
      <c r="B3646">
        <v>1018460889</v>
      </c>
      <c r="C3646">
        <v>49</v>
      </c>
      <c r="D3646" t="s">
        <v>8701</v>
      </c>
      <c r="E3646">
        <v>8917</v>
      </c>
      <c r="F3646" t="s">
        <v>23479</v>
      </c>
      <c r="G3646">
        <v>1</v>
      </c>
      <c r="H3646" t="s">
        <v>12236</v>
      </c>
      <c r="J3646" t="s">
        <v>11497</v>
      </c>
      <c r="K3646" t="s">
        <v>104</v>
      </c>
      <c r="L3646" t="s">
        <v>22</v>
      </c>
      <c r="M3646" t="s">
        <v>12237</v>
      </c>
      <c r="N3646" t="s">
        <v>12238</v>
      </c>
      <c r="O3646" t="s">
        <v>12239</v>
      </c>
      <c r="P3646" s="2" t="s">
        <v>37</v>
      </c>
      <c r="Q3646" t="s">
        <v>1208</v>
      </c>
      <c r="R3646">
        <v>0.44</v>
      </c>
      <c r="S3646">
        <v>6.73</v>
      </c>
      <c r="T3646" t="s">
        <v>12240</v>
      </c>
    </row>
    <row r="3647" spans="1:20" x14ac:dyDescent="0.25">
      <c r="A3647" s="1" t="str">
        <f>HYPERLINK("https://vegkart.atlas.vegvesen.no/#/@254493.3,6595719.0,18/hva:hva%5B0%5D%5Bfilter%5D%5B0%5D%5Boperator%5D=%21%3D&amp;hva%5B0%5D%5Bfilter%5D%5B0%5D%5Btype_id%5D=8917&amp;hva%5B0%5D%5Bfilter%5D%5B0%5D%5Bverdi%5D=&amp;hva%5B0%5D%5Bid%5D=49/når:2024-01-16", "Vegkart")</f>
        <v>Vegkart</v>
      </c>
      <c r="B3647">
        <v>1018464043</v>
      </c>
      <c r="C3647">
        <v>49</v>
      </c>
      <c r="D3647" t="s">
        <v>8701</v>
      </c>
      <c r="E3647">
        <v>8917</v>
      </c>
      <c r="F3647" t="s">
        <v>23479</v>
      </c>
      <c r="G3647">
        <v>1</v>
      </c>
      <c r="H3647" t="s">
        <v>531</v>
      </c>
      <c r="J3647" t="s">
        <v>11497</v>
      </c>
      <c r="K3647" t="s">
        <v>104</v>
      </c>
      <c r="L3647" t="s">
        <v>22</v>
      </c>
      <c r="M3647" t="s">
        <v>12241</v>
      </c>
      <c r="N3647" t="s">
        <v>12242</v>
      </c>
      <c r="O3647" t="s">
        <v>12243</v>
      </c>
      <c r="P3647" s="2" t="s">
        <v>37</v>
      </c>
      <c r="Q3647" t="s">
        <v>1208</v>
      </c>
      <c r="R3647">
        <v>0.56000000000000005</v>
      </c>
      <c r="S3647">
        <v>23.91</v>
      </c>
      <c r="T3647" t="s">
        <v>12244</v>
      </c>
    </row>
    <row r="3648" spans="1:20" x14ac:dyDescent="0.25">
      <c r="A3648" s="1" t="str">
        <f>HYPERLINK("https://vegkart.atlas.vegvesen.no/#/@254238.5,6595269.7,18/hva:hva%5B0%5D%5Bfilter%5D%5B0%5D%5Boperator%5D=%21%3D&amp;hva%5B0%5D%5Bfilter%5D%5B0%5D%5Btype_id%5D=8917&amp;hva%5B0%5D%5Bfilter%5D%5B0%5D%5Bverdi%5D=&amp;hva%5B0%5D%5Bid%5D=49/når:2024-01-16", "Vegkart")</f>
        <v>Vegkart</v>
      </c>
      <c r="B3648">
        <v>1018467158</v>
      </c>
      <c r="C3648">
        <v>49</v>
      </c>
      <c r="D3648" t="s">
        <v>8701</v>
      </c>
      <c r="E3648">
        <v>8917</v>
      </c>
      <c r="F3648" t="s">
        <v>23479</v>
      </c>
      <c r="G3648">
        <v>1</v>
      </c>
      <c r="H3648" t="s">
        <v>531</v>
      </c>
      <c r="J3648" t="s">
        <v>11497</v>
      </c>
      <c r="K3648" t="s">
        <v>104</v>
      </c>
      <c r="L3648" t="s">
        <v>22</v>
      </c>
      <c r="M3648" t="s">
        <v>12241</v>
      </c>
      <c r="N3648" t="s">
        <v>12245</v>
      </c>
      <c r="O3648" t="s">
        <v>12246</v>
      </c>
      <c r="P3648" s="2" t="s">
        <v>37</v>
      </c>
      <c r="Q3648" t="s">
        <v>1208</v>
      </c>
      <c r="R3648">
        <v>1.07</v>
      </c>
      <c r="S3648">
        <v>34.17</v>
      </c>
      <c r="T3648" t="s">
        <v>12247</v>
      </c>
    </row>
    <row r="3649" spans="1:20" x14ac:dyDescent="0.25">
      <c r="A3649" s="1" t="str">
        <f>HYPERLINK("https://vegkart.atlas.vegvesen.no/#/@254247.9,6595261.8,18/hva:hva%5B0%5D%5Bfilter%5D%5B0%5D%5Boperator%5D=%21%3D&amp;hva%5B0%5D%5Bfilter%5D%5B0%5D%5Btype_id%5D=8917&amp;hva%5B0%5D%5Bfilter%5D%5B0%5D%5Bverdi%5D=&amp;hva%5B0%5D%5Bid%5D=49/når:2024-01-16", "Vegkart")</f>
        <v>Vegkart</v>
      </c>
      <c r="B3649">
        <v>1018467196</v>
      </c>
      <c r="C3649">
        <v>49</v>
      </c>
      <c r="D3649" t="s">
        <v>8701</v>
      </c>
      <c r="E3649">
        <v>8917</v>
      </c>
      <c r="F3649" t="s">
        <v>23479</v>
      </c>
      <c r="G3649">
        <v>1</v>
      </c>
      <c r="H3649" t="s">
        <v>531</v>
      </c>
      <c r="J3649" t="s">
        <v>11497</v>
      </c>
      <c r="K3649" t="s">
        <v>104</v>
      </c>
      <c r="L3649" t="s">
        <v>22</v>
      </c>
      <c r="M3649" t="s">
        <v>12241</v>
      </c>
      <c r="N3649" t="s">
        <v>12248</v>
      </c>
      <c r="O3649" t="s">
        <v>12249</v>
      </c>
      <c r="P3649" s="2" t="s">
        <v>37</v>
      </c>
      <c r="Q3649" t="s">
        <v>1208</v>
      </c>
      <c r="R3649">
        <v>0.31</v>
      </c>
      <c r="S3649">
        <v>24.13</v>
      </c>
      <c r="T3649" t="s">
        <v>12250</v>
      </c>
    </row>
    <row r="3650" spans="1:20" x14ac:dyDescent="0.25">
      <c r="A3650" s="1" t="str">
        <f>HYPERLINK("https://vegkart.atlas.vegvesen.no/#/@254630.5,6595149.1,18/hva:hva%5B0%5D%5Bfilter%5D%5B0%5D%5Boperator%5D=%21%3D&amp;hva%5B0%5D%5Bfilter%5D%5B0%5D%5Btype_id%5D=8917&amp;hva%5B0%5D%5Bfilter%5D%5B0%5D%5Bverdi%5D=&amp;hva%5B0%5D%5Bid%5D=49/når:2024-01-18", "Vegkart")</f>
        <v>Vegkart</v>
      </c>
      <c r="B3650">
        <v>1018475120</v>
      </c>
      <c r="C3650">
        <v>49</v>
      </c>
      <c r="D3650" t="s">
        <v>8701</v>
      </c>
      <c r="E3650">
        <v>8917</v>
      </c>
      <c r="F3650" t="s">
        <v>23479</v>
      </c>
      <c r="G3650">
        <v>1</v>
      </c>
      <c r="H3650" t="s">
        <v>12251</v>
      </c>
      <c r="J3650" t="s">
        <v>11497</v>
      </c>
      <c r="K3650" t="s">
        <v>104</v>
      </c>
      <c r="L3650" t="s">
        <v>22</v>
      </c>
      <c r="M3650" t="s">
        <v>12252</v>
      </c>
      <c r="N3650" t="s">
        <v>12253</v>
      </c>
      <c r="O3650" t="s">
        <v>12254</v>
      </c>
      <c r="P3650" s="2" t="s">
        <v>37</v>
      </c>
      <c r="Q3650" t="s">
        <v>1208</v>
      </c>
      <c r="R3650">
        <v>0.45</v>
      </c>
      <c r="S3650">
        <v>25.63</v>
      </c>
      <c r="T3650" t="s">
        <v>12255</v>
      </c>
    </row>
    <row r="3651" spans="1:20" x14ac:dyDescent="0.25">
      <c r="A3651" s="1" t="str">
        <f>HYPERLINK("https://vegkart.atlas.vegvesen.no/#/@255288.7,6595223.6,18/hva:hva%5B0%5D%5Bfilter%5D%5B0%5D%5Boperator%5D=%21%3D&amp;hva%5B0%5D%5Bfilter%5D%5B0%5D%5Btype_id%5D=8917&amp;hva%5B0%5D%5Bfilter%5D%5B0%5D%5Bverdi%5D=&amp;hva%5B0%5D%5Bid%5D=49/når:2024-01-22", "Vegkart")</f>
        <v>Vegkart</v>
      </c>
      <c r="B3651">
        <v>1018546032</v>
      </c>
      <c r="C3651">
        <v>49</v>
      </c>
      <c r="D3651" t="s">
        <v>8701</v>
      </c>
      <c r="E3651">
        <v>8917</v>
      </c>
      <c r="F3651" t="s">
        <v>23479</v>
      </c>
      <c r="G3651">
        <v>1</v>
      </c>
      <c r="H3651" t="s">
        <v>4644</v>
      </c>
      <c r="J3651" t="s">
        <v>11497</v>
      </c>
      <c r="K3651" t="s">
        <v>104</v>
      </c>
      <c r="L3651" t="s">
        <v>22</v>
      </c>
      <c r="M3651" t="s">
        <v>12256</v>
      </c>
      <c r="N3651" t="s">
        <v>12257</v>
      </c>
      <c r="O3651" t="s">
        <v>12258</v>
      </c>
      <c r="P3651" s="2" t="s">
        <v>37</v>
      </c>
      <c r="Q3651" t="s">
        <v>1208</v>
      </c>
      <c r="R3651">
        <v>0.31</v>
      </c>
      <c r="S3651">
        <v>9.1199999999999992</v>
      </c>
      <c r="T3651" t="s">
        <v>12259</v>
      </c>
    </row>
    <row r="3652" spans="1:20" x14ac:dyDescent="0.25">
      <c r="A3652" s="1" t="str">
        <f>HYPERLINK("https://vegkart.atlas.vegvesen.no/#/@255719.5,6595124.7,18/hva:hva%5B0%5D%5Bfilter%5D%5B0%5D%5Boperator%5D=%21%3D&amp;hva%5B0%5D%5Bfilter%5D%5B0%5D%5Btype_id%5D=8917&amp;hva%5B0%5D%5Bfilter%5D%5B0%5D%5Bverdi%5D=&amp;hva%5B0%5D%5Bid%5D=49/når:2024-01-25", "Vegkart")</f>
        <v>Vegkart</v>
      </c>
      <c r="B3652">
        <v>1018555458</v>
      </c>
      <c r="C3652">
        <v>49</v>
      </c>
      <c r="D3652" t="s">
        <v>8701</v>
      </c>
      <c r="E3652">
        <v>8917</v>
      </c>
      <c r="F3652" t="s">
        <v>23479</v>
      </c>
      <c r="G3652">
        <v>1</v>
      </c>
      <c r="H3652" t="s">
        <v>12260</v>
      </c>
      <c r="J3652" t="s">
        <v>11497</v>
      </c>
      <c r="K3652" t="s">
        <v>104</v>
      </c>
      <c r="L3652" t="s">
        <v>22</v>
      </c>
      <c r="M3652" t="s">
        <v>12261</v>
      </c>
      <c r="N3652" t="s">
        <v>12262</v>
      </c>
      <c r="O3652" t="s">
        <v>12263</v>
      </c>
      <c r="P3652" s="2" t="s">
        <v>37</v>
      </c>
      <c r="Q3652" t="s">
        <v>1208</v>
      </c>
      <c r="R3652">
        <v>0.46</v>
      </c>
      <c r="S3652">
        <v>44.19</v>
      </c>
      <c r="T3652" t="s">
        <v>12264</v>
      </c>
    </row>
    <row r="3653" spans="1:20" x14ac:dyDescent="0.25">
      <c r="A3653" s="1" t="str">
        <f>HYPERLINK("https://vegkart.atlas.vegvesen.no/#/@815566.6,7777085.0,18/hva:hva%5B0%5D%5Bfilter%5D%5B0%5D%5Boperator%5D=%21%3D&amp;hva%5B0%5D%5Bfilter%5D%5B0%5D%5Btype_id%5D=8917&amp;hva%5B0%5D%5Bfilter%5D%5B0%5D%5Bverdi%5D=&amp;hva%5B0%5D%5Bid%5D=49/når:2024-01-25", "Vegkart")</f>
        <v>Vegkart</v>
      </c>
      <c r="B3653">
        <v>1018644603</v>
      </c>
      <c r="C3653">
        <v>49</v>
      </c>
      <c r="D3653" t="s">
        <v>8701</v>
      </c>
      <c r="E3653">
        <v>8917</v>
      </c>
      <c r="F3653" t="s">
        <v>23479</v>
      </c>
      <c r="G3653">
        <v>1</v>
      </c>
      <c r="H3653" t="s">
        <v>12260</v>
      </c>
      <c r="J3653" t="s">
        <v>11497</v>
      </c>
      <c r="K3653" t="s">
        <v>450</v>
      </c>
      <c r="L3653" t="s">
        <v>80</v>
      </c>
      <c r="M3653" t="s">
        <v>7050</v>
      </c>
      <c r="N3653" t="s">
        <v>12265</v>
      </c>
      <c r="O3653" t="s">
        <v>12266</v>
      </c>
      <c r="P3653" s="2" t="s">
        <v>37</v>
      </c>
      <c r="Q3653" t="s">
        <v>1208</v>
      </c>
      <c r="R3653">
        <v>0</v>
      </c>
      <c r="S3653">
        <v>10.7</v>
      </c>
      <c r="T3653" t="s">
        <v>12267</v>
      </c>
    </row>
    <row r="3654" spans="1:20" x14ac:dyDescent="0.25">
      <c r="A3654" s="1" t="str">
        <f>HYPERLINK("https://vegkart.atlas.vegvesen.no/#/@815560.5,7777085.3,18/hva:hva%5B0%5D%5Bfilter%5D%5B0%5D%5Boperator%5D=%21%3D&amp;hva%5B0%5D%5Bfilter%5D%5B0%5D%5Btype_id%5D=8917&amp;hva%5B0%5D%5Bfilter%5D%5B0%5D%5Bverdi%5D=&amp;hva%5B0%5D%5Bid%5D=49/når:2024-01-25", "Vegkart")</f>
        <v>Vegkart</v>
      </c>
      <c r="B3654">
        <v>1018644604</v>
      </c>
      <c r="C3654">
        <v>49</v>
      </c>
      <c r="D3654" t="s">
        <v>8701</v>
      </c>
      <c r="E3654">
        <v>8917</v>
      </c>
      <c r="F3654" t="s">
        <v>23479</v>
      </c>
      <c r="G3654">
        <v>1</v>
      </c>
      <c r="H3654" t="s">
        <v>12260</v>
      </c>
      <c r="J3654" t="s">
        <v>11497</v>
      </c>
      <c r="K3654" t="s">
        <v>450</v>
      </c>
      <c r="L3654" t="s">
        <v>80</v>
      </c>
      <c r="M3654" t="s">
        <v>7050</v>
      </c>
      <c r="N3654" t="s">
        <v>12268</v>
      </c>
      <c r="O3654" t="s">
        <v>12269</v>
      </c>
      <c r="P3654" s="2" t="s">
        <v>37</v>
      </c>
      <c r="Q3654" t="s">
        <v>1208</v>
      </c>
      <c r="R3654">
        <v>0</v>
      </c>
      <c r="S3654">
        <v>9.92</v>
      </c>
      <c r="T3654" t="s">
        <v>12270</v>
      </c>
    </row>
    <row r="3655" spans="1:20" x14ac:dyDescent="0.25">
      <c r="A3655" s="1" t="str">
        <f>HYPERLINK("https://vegkart.atlas.vegvesen.no/#/@255792.4,6594178.4,18/hva:hva%5B0%5D%5Bfilter%5D%5B0%5D%5Boperator%5D=%21%3D&amp;hva%5B0%5D%5Bfilter%5D%5B0%5D%5Btype_id%5D=8917&amp;hva%5B0%5D%5Bfilter%5D%5B0%5D%5Bverdi%5D=&amp;hva%5B0%5D%5Bid%5D=49/når:2024-01-25", "Vegkart")</f>
        <v>Vegkart</v>
      </c>
      <c r="B3655">
        <v>1018656626</v>
      </c>
      <c r="C3655">
        <v>49</v>
      </c>
      <c r="D3655" t="s">
        <v>8701</v>
      </c>
      <c r="E3655">
        <v>8917</v>
      </c>
      <c r="F3655" t="s">
        <v>23479</v>
      </c>
      <c r="G3655">
        <v>1</v>
      </c>
      <c r="H3655" t="s">
        <v>12260</v>
      </c>
      <c r="J3655" t="s">
        <v>11497</v>
      </c>
      <c r="K3655" t="s">
        <v>104</v>
      </c>
      <c r="L3655" t="s">
        <v>22</v>
      </c>
      <c r="M3655" t="s">
        <v>12271</v>
      </c>
      <c r="N3655" t="s">
        <v>12272</v>
      </c>
      <c r="O3655" t="s">
        <v>12273</v>
      </c>
      <c r="P3655" s="2" t="s">
        <v>37</v>
      </c>
      <c r="Q3655" t="s">
        <v>1208</v>
      </c>
      <c r="R3655">
        <v>0.17</v>
      </c>
      <c r="S3655">
        <v>30.81</v>
      </c>
      <c r="T3655" t="s">
        <v>12274</v>
      </c>
    </row>
    <row r="3656" spans="1:20" x14ac:dyDescent="0.25">
      <c r="A3656" s="1" t="str">
        <f>HYPERLINK("https://vegkart.atlas.vegvesen.no/#/@255360.2,6594390.2,18/hva:hva%5B0%5D%5Bfilter%5D%5B0%5D%5Boperator%5D=%21%3D&amp;hva%5B0%5D%5Bfilter%5D%5B0%5D%5Btype_id%5D=8917&amp;hva%5B0%5D%5Bfilter%5D%5B0%5D%5Bverdi%5D=&amp;hva%5B0%5D%5Bid%5D=49/når:2024-01-25", "Vegkart")</f>
        <v>Vegkart</v>
      </c>
      <c r="B3656">
        <v>1018657328</v>
      </c>
      <c r="C3656">
        <v>49</v>
      </c>
      <c r="D3656" t="s">
        <v>8701</v>
      </c>
      <c r="E3656">
        <v>8917</v>
      </c>
      <c r="F3656" t="s">
        <v>23479</v>
      </c>
      <c r="G3656">
        <v>1</v>
      </c>
      <c r="H3656" t="s">
        <v>12260</v>
      </c>
      <c r="J3656" t="s">
        <v>11497</v>
      </c>
      <c r="K3656" t="s">
        <v>104</v>
      </c>
      <c r="L3656" t="s">
        <v>22</v>
      </c>
      <c r="M3656" t="s">
        <v>12275</v>
      </c>
      <c r="N3656" t="s">
        <v>12276</v>
      </c>
      <c r="O3656" t="s">
        <v>12277</v>
      </c>
      <c r="P3656" s="2" t="s">
        <v>37</v>
      </c>
      <c r="Q3656" t="s">
        <v>1208</v>
      </c>
      <c r="R3656">
        <v>0.61</v>
      </c>
      <c r="S3656">
        <v>11.9</v>
      </c>
      <c r="T3656" t="s">
        <v>12278</v>
      </c>
    </row>
    <row r="3657" spans="1:20" x14ac:dyDescent="0.25">
      <c r="A3657" s="1" t="str">
        <f>HYPERLINK("https://vegkart.atlas.vegvesen.no/#/@255274.5,6594398.6,18/hva:hva%5B0%5D%5Bfilter%5D%5B0%5D%5Boperator%5D=%21%3D&amp;hva%5B0%5D%5Bfilter%5D%5B0%5D%5Btype_id%5D=8917&amp;hva%5B0%5D%5Bfilter%5D%5B0%5D%5Bverdi%5D=&amp;hva%5B0%5D%5Bid%5D=49/når:2024-01-29", "Vegkart")</f>
        <v>Vegkart</v>
      </c>
      <c r="B3657">
        <v>1018705162</v>
      </c>
      <c r="C3657">
        <v>49</v>
      </c>
      <c r="D3657" t="s">
        <v>8701</v>
      </c>
      <c r="E3657">
        <v>8917</v>
      </c>
      <c r="F3657" t="s">
        <v>23479</v>
      </c>
      <c r="G3657">
        <v>1</v>
      </c>
      <c r="H3657" t="s">
        <v>12279</v>
      </c>
      <c r="J3657" t="s">
        <v>11497</v>
      </c>
      <c r="K3657" t="s">
        <v>104</v>
      </c>
      <c r="L3657" t="s">
        <v>22</v>
      </c>
      <c r="M3657" t="s">
        <v>12280</v>
      </c>
      <c r="N3657" t="s">
        <v>12281</v>
      </c>
      <c r="O3657" t="s">
        <v>12282</v>
      </c>
      <c r="P3657" s="2" t="s">
        <v>37</v>
      </c>
      <c r="Q3657" t="s">
        <v>1208</v>
      </c>
      <c r="R3657">
        <v>0.28000000000000003</v>
      </c>
      <c r="S3657">
        <v>29.83</v>
      </c>
      <c r="T3657" t="s">
        <v>12283</v>
      </c>
    </row>
    <row r="3658" spans="1:20" x14ac:dyDescent="0.25">
      <c r="A3658" s="1" t="str">
        <f>HYPERLINK("https://vegkart.atlas.vegvesen.no/#/@255604.0,6594552.0,18/hva:hva%5B0%5D%5Bfilter%5D%5B0%5D%5Boperator%5D=%21%3D&amp;hva%5B0%5D%5Bfilter%5D%5B0%5D%5Btype_id%5D=8917&amp;hva%5B0%5D%5Bfilter%5D%5B0%5D%5Bverdi%5D=&amp;hva%5B0%5D%5Bid%5D=49/når:2024-01-29", "Vegkart")</f>
        <v>Vegkart</v>
      </c>
      <c r="B3658">
        <v>1018705164</v>
      </c>
      <c r="C3658">
        <v>49</v>
      </c>
      <c r="D3658" t="s">
        <v>8701</v>
      </c>
      <c r="E3658">
        <v>8917</v>
      </c>
      <c r="F3658" t="s">
        <v>23479</v>
      </c>
      <c r="G3658">
        <v>1</v>
      </c>
      <c r="H3658" t="s">
        <v>12279</v>
      </c>
      <c r="J3658" t="s">
        <v>11497</v>
      </c>
      <c r="K3658" t="s">
        <v>104</v>
      </c>
      <c r="L3658" t="s">
        <v>22</v>
      </c>
      <c r="M3658" t="s">
        <v>12284</v>
      </c>
      <c r="N3658" t="s">
        <v>12285</v>
      </c>
      <c r="O3658" t="s">
        <v>12286</v>
      </c>
      <c r="P3658" s="2" t="s">
        <v>37</v>
      </c>
      <c r="Q3658" t="s">
        <v>1208</v>
      </c>
      <c r="R3658">
        <v>0.41</v>
      </c>
      <c r="S3658">
        <v>8.9</v>
      </c>
      <c r="T3658" t="s">
        <v>12287</v>
      </c>
    </row>
    <row r="3659" spans="1:20" x14ac:dyDescent="0.25">
      <c r="A3659" s="1" t="str">
        <f>HYPERLINK("https://vegkart.atlas.vegvesen.no/#/@255310.0,6594413.1,18/hva:hva%5B0%5D%5Bfilter%5D%5B0%5D%5Boperator%5D=%21%3D&amp;hva%5B0%5D%5Bfilter%5D%5B0%5D%5Btype_id%5D=8917&amp;hva%5B0%5D%5Bfilter%5D%5B0%5D%5Bverdi%5D=&amp;hva%5B0%5D%5Bid%5D=49/når:2024-01-29", "Vegkart")</f>
        <v>Vegkart</v>
      </c>
      <c r="B3659">
        <v>1018705262</v>
      </c>
      <c r="C3659">
        <v>49</v>
      </c>
      <c r="D3659" t="s">
        <v>8701</v>
      </c>
      <c r="E3659">
        <v>8917</v>
      </c>
      <c r="F3659" t="s">
        <v>23479</v>
      </c>
      <c r="G3659">
        <v>1</v>
      </c>
      <c r="H3659" t="s">
        <v>12279</v>
      </c>
      <c r="J3659" t="s">
        <v>11497</v>
      </c>
      <c r="K3659" t="s">
        <v>104</v>
      </c>
      <c r="L3659" t="s">
        <v>22</v>
      </c>
      <c r="M3659" t="s">
        <v>12288</v>
      </c>
      <c r="N3659" t="s">
        <v>12289</v>
      </c>
      <c r="O3659" t="s">
        <v>12290</v>
      </c>
      <c r="P3659" s="2" t="s">
        <v>37</v>
      </c>
      <c r="Q3659" t="s">
        <v>1208</v>
      </c>
      <c r="R3659">
        <v>0.57999999999999996</v>
      </c>
      <c r="S3659">
        <v>13.85</v>
      </c>
      <c r="T3659" t="s">
        <v>12291</v>
      </c>
    </row>
    <row r="3660" spans="1:20" x14ac:dyDescent="0.25">
      <c r="A3660" s="1" t="str">
        <f>HYPERLINK("https://vegkart.atlas.vegvesen.no/#/@255089.2,6594414.9,18/hva:hva%5B0%5D%5Bfilter%5D%5B0%5D%5Boperator%5D=%21%3D&amp;hva%5B0%5D%5Bfilter%5D%5B0%5D%5Btype_id%5D=8917&amp;hva%5B0%5D%5Bfilter%5D%5B0%5D%5Bverdi%5D=&amp;hva%5B0%5D%5Bid%5D=49/når:2024-01-29", "Vegkart")</f>
        <v>Vegkart</v>
      </c>
      <c r="B3660">
        <v>1018705357</v>
      </c>
      <c r="C3660">
        <v>49</v>
      </c>
      <c r="D3660" t="s">
        <v>8701</v>
      </c>
      <c r="E3660">
        <v>8917</v>
      </c>
      <c r="F3660" t="s">
        <v>23479</v>
      </c>
      <c r="G3660">
        <v>1</v>
      </c>
      <c r="H3660" t="s">
        <v>12279</v>
      </c>
      <c r="J3660" t="s">
        <v>11497</v>
      </c>
      <c r="K3660" t="s">
        <v>104</v>
      </c>
      <c r="L3660" t="s">
        <v>22</v>
      </c>
      <c r="M3660" t="s">
        <v>12292</v>
      </c>
      <c r="N3660" t="s">
        <v>12293</v>
      </c>
      <c r="O3660" t="s">
        <v>12294</v>
      </c>
      <c r="P3660" s="2" t="s">
        <v>37</v>
      </c>
      <c r="Q3660" t="s">
        <v>1208</v>
      </c>
      <c r="R3660">
        <v>0.17</v>
      </c>
      <c r="S3660">
        <v>22.09</v>
      </c>
      <c r="T3660" t="s">
        <v>12295</v>
      </c>
    </row>
    <row r="3661" spans="1:20" x14ac:dyDescent="0.25">
      <c r="A3661" s="1" t="str">
        <f>HYPERLINK("https://vegkart.atlas.vegvesen.no/#/@269379.9,6652436.6,18/hva:hva%5B0%5D%5Bfilter%5D%5B0%5D%5Boperator%5D=%21%3D&amp;hva%5B0%5D%5Bfilter%5D%5B0%5D%5Btype_id%5D=8917&amp;hva%5B0%5D%5Bfilter%5D%5B0%5D%5Bverdi%5D=&amp;hva%5B0%5D%5Bid%5D=49/når:2024-02-01", "Vegkart")</f>
        <v>Vegkart</v>
      </c>
      <c r="B3661">
        <v>1018713454</v>
      </c>
      <c r="C3661">
        <v>49</v>
      </c>
      <c r="D3661" t="s">
        <v>8701</v>
      </c>
      <c r="E3661">
        <v>8917</v>
      </c>
      <c r="F3661" t="s">
        <v>23479</v>
      </c>
      <c r="G3661">
        <v>1</v>
      </c>
      <c r="H3661" t="s">
        <v>2259</v>
      </c>
      <c r="J3661" t="s">
        <v>11497</v>
      </c>
      <c r="K3661" t="s">
        <v>335</v>
      </c>
      <c r="L3661" t="s">
        <v>113</v>
      </c>
      <c r="M3661" t="s">
        <v>2260</v>
      </c>
      <c r="N3661" t="s">
        <v>12296</v>
      </c>
      <c r="O3661" t="s">
        <v>12297</v>
      </c>
      <c r="P3661" s="2" t="s">
        <v>37</v>
      </c>
      <c r="Q3661" t="s">
        <v>1208</v>
      </c>
      <c r="R3661">
        <v>0</v>
      </c>
      <c r="S3661">
        <v>54.63</v>
      </c>
      <c r="T3661" t="s">
        <v>12298</v>
      </c>
    </row>
    <row r="3662" spans="1:20" x14ac:dyDescent="0.25">
      <c r="A3662" s="1" t="str">
        <f>HYPERLINK("https://vegkart.atlas.vegvesen.no/#/@266519.1,6650990.0,18/hva:hva%5B0%5D%5Bfilter%5D%5B0%5D%5Boperator%5D=%21%3D&amp;hva%5B0%5D%5Bfilter%5D%5B0%5D%5Btype_id%5D=8917&amp;hva%5B0%5D%5Bfilter%5D%5B0%5D%5Bverdi%5D=&amp;hva%5B0%5D%5Bid%5D=49/når:2024-02-01", "Vegkart")</f>
        <v>Vegkart</v>
      </c>
      <c r="B3662">
        <v>1018713455</v>
      </c>
      <c r="C3662">
        <v>49</v>
      </c>
      <c r="D3662" t="s">
        <v>8701</v>
      </c>
      <c r="E3662">
        <v>8917</v>
      </c>
      <c r="F3662" t="s">
        <v>23479</v>
      </c>
      <c r="G3662">
        <v>1</v>
      </c>
      <c r="H3662" t="s">
        <v>2259</v>
      </c>
      <c r="J3662" t="s">
        <v>11497</v>
      </c>
      <c r="K3662" t="s">
        <v>335</v>
      </c>
      <c r="L3662" t="s">
        <v>113</v>
      </c>
      <c r="M3662" t="s">
        <v>2260</v>
      </c>
      <c r="N3662" t="s">
        <v>12299</v>
      </c>
      <c r="O3662" t="s">
        <v>12300</v>
      </c>
      <c r="P3662" s="2" t="s">
        <v>37</v>
      </c>
      <c r="Q3662" t="s">
        <v>1208</v>
      </c>
      <c r="R3662">
        <v>0</v>
      </c>
      <c r="S3662">
        <v>25.45</v>
      </c>
      <c r="T3662" t="s">
        <v>12301</v>
      </c>
    </row>
    <row r="3663" spans="1:20" x14ac:dyDescent="0.25">
      <c r="A3663" s="1" t="str">
        <f>HYPERLINK("https://vegkart.atlas.vegvesen.no/#/@266517.6,6650995.3,18/hva:hva%5B0%5D%5Bfilter%5D%5B0%5D%5Boperator%5D=%21%3D&amp;hva%5B0%5D%5Bfilter%5D%5B0%5D%5Btype_id%5D=8917&amp;hva%5B0%5D%5Bfilter%5D%5B0%5D%5Bverdi%5D=&amp;hva%5B0%5D%5Bid%5D=49/når:2024-02-01", "Vegkart")</f>
        <v>Vegkart</v>
      </c>
      <c r="B3663">
        <v>1018713456</v>
      </c>
      <c r="C3663">
        <v>49</v>
      </c>
      <c r="D3663" t="s">
        <v>8701</v>
      </c>
      <c r="E3663">
        <v>8917</v>
      </c>
      <c r="F3663" t="s">
        <v>23479</v>
      </c>
      <c r="G3663">
        <v>1</v>
      </c>
      <c r="H3663" t="s">
        <v>2259</v>
      </c>
      <c r="J3663" t="s">
        <v>11497</v>
      </c>
      <c r="K3663" t="s">
        <v>335</v>
      </c>
      <c r="L3663" t="s">
        <v>113</v>
      </c>
      <c r="M3663" t="s">
        <v>2260</v>
      </c>
      <c r="N3663" t="s">
        <v>12302</v>
      </c>
      <c r="O3663" t="s">
        <v>12303</v>
      </c>
      <c r="P3663" s="2" t="s">
        <v>37</v>
      </c>
      <c r="Q3663" t="s">
        <v>1208</v>
      </c>
      <c r="R3663">
        <v>0</v>
      </c>
      <c r="S3663">
        <v>41.62</v>
      </c>
      <c r="T3663" t="s">
        <v>12304</v>
      </c>
    </row>
    <row r="3664" spans="1:20" x14ac:dyDescent="0.25">
      <c r="A3664" s="1" t="str">
        <f>HYPERLINK("https://vegkart.atlas.vegvesen.no/#/@266521.8,6650984.7,18/hva:hva%5B0%5D%5Bfilter%5D%5B0%5D%5Boperator%5D=%21%3D&amp;hva%5B0%5D%5Bfilter%5D%5B0%5D%5Btype_id%5D=8917&amp;hva%5B0%5D%5Bfilter%5D%5B0%5D%5Bverdi%5D=&amp;hva%5B0%5D%5Bid%5D=49/når:2024-02-01", "Vegkart")</f>
        <v>Vegkart</v>
      </c>
      <c r="B3664">
        <v>1018713457</v>
      </c>
      <c r="C3664">
        <v>49</v>
      </c>
      <c r="D3664" t="s">
        <v>8701</v>
      </c>
      <c r="E3664">
        <v>8917</v>
      </c>
      <c r="F3664" t="s">
        <v>23479</v>
      </c>
      <c r="G3664">
        <v>1</v>
      </c>
      <c r="H3664" t="s">
        <v>2259</v>
      </c>
      <c r="J3664" t="s">
        <v>11497</v>
      </c>
      <c r="K3664" t="s">
        <v>335</v>
      </c>
      <c r="L3664" t="s">
        <v>113</v>
      </c>
      <c r="M3664" t="s">
        <v>2260</v>
      </c>
      <c r="N3664" t="s">
        <v>12305</v>
      </c>
      <c r="O3664" t="s">
        <v>12306</v>
      </c>
      <c r="P3664" s="2" t="s">
        <v>37</v>
      </c>
      <c r="Q3664" t="s">
        <v>1208</v>
      </c>
      <c r="R3664">
        <v>0</v>
      </c>
      <c r="S3664">
        <v>5.66</v>
      </c>
      <c r="T3664" t="s">
        <v>12307</v>
      </c>
    </row>
    <row r="3665" spans="1:20" x14ac:dyDescent="0.25">
      <c r="A3665" s="1" t="str">
        <f>HYPERLINK("https://vegkart.atlas.vegvesen.no/#/@269372.5,6652444.4,18/hva:hva%5B0%5D%5Bfilter%5D%5B0%5D%5Boperator%5D=%21%3D&amp;hva%5B0%5D%5Bfilter%5D%5B0%5D%5Btype_id%5D=8917&amp;hva%5B0%5D%5Bfilter%5D%5B0%5D%5Bverdi%5D=&amp;hva%5B0%5D%5Bid%5D=49/når:2024-02-01", "Vegkart")</f>
        <v>Vegkart</v>
      </c>
      <c r="B3665">
        <v>1018713458</v>
      </c>
      <c r="C3665">
        <v>49</v>
      </c>
      <c r="D3665" t="s">
        <v>8701</v>
      </c>
      <c r="E3665">
        <v>8917</v>
      </c>
      <c r="F3665" t="s">
        <v>23479</v>
      </c>
      <c r="G3665">
        <v>1</v>
      </c>
      <c r="H3665" t="s">
        <v>2259</v>
      </c>
      <c r="J3665" t="s">
        <v>11497</v>
      </c>
      <c r="K3665" t="s">
        <v>335</v>
      </c>
      <c r="L3665" t="s">
        <v>113</v>
      </c>
      <c r="M3665" t="s">
        <v>2260</v>
      </c>
      <c r="N3665" t="s">
        <v>12296</v>
      </c>
      <c r="O3665" t="s">
        <v>12308</v>
      </c>
      <c r="P3665" s="2" t="s">
        <v>37</v>
      </c>
      <c r="Q3665" t="s">
        <v>1208</v>
      </c>
      <c r="R3665">
        <v>0</v>
      </c>
      <c r="S3665">
        <v>59.64</v>
      </c>
      <c r="T3665" t="s">
        <v>12309</v>
      </c>
    </row>
    <row r="3666" spans="1:20" x14ac:dyDescent="0.25">
      <c r="A3666" s="1" t="str">
        <f>HYPERLINK("https://vegkart.atlas.vegvesen.no/#/@268480.2,6652014.4,18/hva:hva%5B0%5D%5Bfilter%5D%5B0%5D%5Boperator%5D=%21%3D&amp;hva%5B0%5D%5Bfilter%5D%5B0%5D%5Btype_id%5D=8917&amp;hva%5B0%5D%5Bfilter%5D%5B0%5D%5Bverdi%5D=&amp;hva%5B0%5D%5Bid%5D=49/når:2024-02-01", "Vegkart")</f>
        <v>Vegkart</v>
      </c>
      <c r="B3666">
        <v>1018713459</v>
      </c>
      <c r="C3666">
        <v>49</v>
      </c>
      <c r="D3666" t="s">
        <v>8701</v>
      </c>
      <c r="E3666">
        <v>8917</v>
      </c>
      <c r="F3666" t="s">
        <v>23479</v>
      </c>
      <c r="G3666">
        <v>1</v>
      </c>
      <c r="H3666" t="s">
        <v>2259</v>
      </c>
      <c r="J3666" t="s">
        <v>11497</v>
      </c>
      <c r="K3666" t="s">
        <v>335</v>
      </c>
      <c r="L3666" t="s">
        <v>113</v>
      </c>
      <c r="M3666" t="s">
        <v>2260</v>
      </c>
      <c r="N3666" t="s">
        <v>12310</v>
      </c>
      <c r="O3666" t="s">
        <v>12311</v>
      </c>
      <c r="P3666" s="2" t="s">
        <v>37</v>
      </c>
      <c r="Q3666" t="s">
        <v>1208</v>
      </c>
      <c r="R3666">
        <v>0</v>
      </c>
      <c r="S3666">
        <v>41.51</v>
      </c>
      <c r="T3666" t="s">
        <v>12312</v>
      </c>
    </row>
    <row r="3667" spans="1:20" x14ac:dyDescent="0.25">
      <c r="A3667" s="1" t="str">
        <f>HYPERLINK("https://vegkart.atlas.vegvesen.no/#/@268482.3,6652019.9,18/hva:hva%5B0%5D%5Bfilter%5D%5B0%5D%5Boperator%5D=%21%3D&amp;hva%5B0%5D%5Bfilter%5D%5B0%5D%5Btype_id%5D=8917&amp;hva%5B0%5D%5Bfilter%5D%5B0%5D%5Bverdi%5D=&amp;hva%5B0%5D%5Bid%5D=49/når:2024-02-01", "Vegkart")</f>
        <v>Vegkart</v>
      </c>
      <c r="B3667">
        <v>1018713460</v>
      </c>
      <c r="C3667">
        <v>49</v>
      </c>
      <c r="D3667" t="s">
        <v>8701</v>
      </c>
      <c r="E3667">
        <v>8917</v>
      </c>
      <c r="F3667" t="s">
        <v>23479</v>
      </c>
      <c r="G3667">
        <v>1</v>
      </c>
      <c r="H3667" t="s">
        <v>2259</v>
      </c>
      <c r="J3667" t="s">
        <v>11497</v>
      </c>
      <c r="K3667" t="s">
        <v>335</v>
      </c>
      <c r="L3667" t="s">
        <v>113</v>
      </c>
      <c r="M3667" t="s">
        <v>2260</v>
      </c>
      <c r="N3667" t="s">
        <v>12310</v>
      </c>
      <c r="O3667" t="s">
        <v>12313</v>
      </c>
      <c r="P3667" s="2" t="s">
        <v>37</v>
      </c>
      <c r="Q3667" t="s">
        <v>1208</v>
      </c>
      <c r="R3667">
        <v>0</v>
      </c>
      <c r="S3667">
        <v>65.45</v>
      </c>
      <c r="T3667" t="s">
        <v>12314</v>
      </c>
    </row>
    <row r="3668" spans="1:20" x14ac:dyDescent="0.25">
      <c r="A3668" s="1" t="str">
        <f>HYPERLINK("https://vegkart.atlas.vegvesen.no/#/@258321.5,6591897.6,18/hva:hva%5B0%5D%5Bfilter%5D%5B0%5D%5Boperator%5D=%21%3D&amp;hva%5B0%5D%5Bfilter%5D%5B0%5D%5Btype_id%5D=8917&amp;hva%5B0%5D%5Bfilter%5D%5B0%5D%5Bverdi%5D=&amp;hva%5B0%5D%5Bid%5D=49/når:2024-02-04", "Vegkart")</f>
        <v>Vegkart</v>
      </c>
      <c r="B3668">
        <v>1018720406</v>
      </c>
      <c r="C3668">
        <v>49</v>
      </c>
      <c r="D3668" t="s">
        <v>8701</v>
      </c>
      <c r="E3668">
        <v>8917</v>
      </c>
      <c r="F3668" t="s">
        <v>23479</v>
      </c>
      <c r="G3668">
        <v>1</v>
      </c>
      <c r="H3668" t="s">
        <v>12315</v>
      </c>
      <c r="J3668" t="s">
        <v>11497</v>
      </c>
      <c r="K3668" t="s">
        <v>104</v>
      </c>
      <c r="L3668" t="s">
        <v>22</v>
      </c>
      <c r="M3668" t="s">
        <v>12316</v>
      </c>
      <c r="N3668" t="s">
        <v>12317</v>
      </c>
      <c r="O3668" t="s">
        <v>12318</v>
      </c>
      <c r="P3668" s="2" t="s">
        <v>37</v>
      </c>
      <c r="Q3668" t="s">
        <v>1208</v>
      </c>
      <c r="R3668">
        <v>1.51</v>
      </c>
      <c r="S3668">
        <v>13.51</v>
      </c>
      <c r="T3668" t="s">
        <v>12319</v>
      </c>
    </row>
    <row r="3669" spans="1:20" x14ac:dyDescent="0.25">
      <c r="A3669" s="1" t="str">
        <f>HYPERLINK("https://vegkart.atlas.vegvesen.no/#/@254704.6,6594425.4,18/hva:hva%5B0%5D%5Bfilter%5D%5B0%5D%5Boperator%5D=%21%3D&amp;hva%5B0%5D%5Bfilter%5D%5B0%5D%5Btype_id%5D=8917&amp;hva%5B0%5D%5Bfilter%5D%5B0%5D%5Bverdi%5D=&amp;hva%5B0%5D%5Bid%5D=49/når:2024-02-13", "Vegkart")</f>
        <v>Vegkart</v>
      </c>
      <c r="B3669">
        <v>1018743302</v>
      </c>
      <c r="C3669">
        <v>49</v>
      </c>
      <c r="D3669" t="s">
        <v>8701</v>
      </c>
      <c r="E3669">
        <v>8917</v>
      </c>
      <c r="F3669" t="s">
        <v>23479</v>
      </c>
      <c r="G3669">
        <v>1</v>
      </c>
      <c r="H3669" t="s">
        <v>12320</v>
      </c>
      <c r="J3669" t="s">
        <v>11497</v>
      </c>
      <c r="K3669" t="s">
        <v>104</v>
      </c>
      <c r="L3669" t="s">
        <v>22</v>
      </c>
      <c r="M3669" t="s">
        <v>12321</v>
      </c>
      <c r="N3669" t="s">
        <v>12322</v>
      </c>
      <c r="O3669" t="s">
        <v>12323</v>
      </c>
      <c r="P3669" s="2" t="s">
        <v>37</v>
      </c>
      <c r="Q3669" t="s">
        <v>1208</v>
      </c>
      <c r="R3669">
        <v>0.56000000000000005</v>
      </c>
      <c r="S3669">
        <v>13.1</v>
      </c>
      <c r="T3669" t="s">
        <v>12324</v>
      </c>
    </row>
    <row r="3670" spans="1:20" x14ac:dyDescent="0.25">
      <c r="A3670" s="1" t="str">
        <f>HYPERLINK("https://vegkart.atlas.vegvesen.no/#/@254343.8,6594516.7,18/hva:hva%5B0%5D%5Bfilter%5D%5B0%5D%5Boperator%5D=%21%3D&amp;hva%5B0%5D%5Bfilter%5D%5B0%5D%5Btype_id%5D=8917&amp;hva%5B0%5D%5Bfilter%5D%5B0%5D%5Bverdi%5D=&amp;hva%5B0%5D%5Bid%5D=49/når:2024-02-13", "Vegkart")</f>
        <v>Vegkart</v>
      </c>
      <c r="B3670">
        <v>1018744959</v>
      </c>
      <c r="C3670">
        <v>49</v>
      </c>
      <c r="D3670" t="s">
        <v>8701</v>
      </c>
      <c r="E3670">
        <v>8917</v>
      </c>
      <c r="F3670" t="s">
        <v>23479</v>
      </c>
      <c r="G3670">
        <v>1</v>
      </c>
      <c r="H3670" t="s">
        <v>12320</v>
      </c>
      <c r="J3670" t="s">
        <v>11497</v>
      </c>
      <c r="K3670" t="s">
        <v>104</v>
      </c>
      <c r="L3670" t="s">
        <v>22</v>
      </c>
      <c r="M3670" t="s">
        <v>12325</v>
      </c>
      <c r="N3670" t="s">
        <v>12326</v>
      </c>
      <c r="O3670" t="s">
        <v>12327</v>
      </c>
      <c r="P3670" s="2" t="s">
        <v>37</v>
      </c>
      <c r="Q3670" t="s">
        <v>1208</v>
      </c>
      <c r="R3670">
        <v>0.46</v>
      </c>
      <c r="S3670">
        <v>24.4</v>
      </c>
      <c r="T3670" t="s">
        <v>12328</v>
      </c>
    </row>
    <row r="3671" spans="1:20" x14ac:dyDescent="0.25">
      <c r="A3671" s="1" t="str">
        <f>HYPERLINK("https://vegkart.atlas.vegvesen.no/#/@254732.6,6594421.5,18/hva:hva%5B0%5D%5Bfilter%5D%5B0%5D%5Boperator%5D=%21%3D&amp;hva%5B0%5D%5Bfilter%5D%5B0%5D%5Btype_id%5D=8917&amp;hva%5B0%5D%5Bfilter%5D%5B0%5D%5Bverdi%5D=&amp;hva%5B0%5D%5Bid%5D=49/når:2024-02-13", "Vegkart")</f>
        <v>Vegkart</v>
      </c>
      <c r="B3671">
        <v>1018745244</v>
      </c>
      <c r="C3671">
        <v>49</v>
      </c>
      <c r="D3671" t="s">
        <v>8701</v>
      </c>
      <c r="E3671">
        <v>8917</v>
      </c>
      <c r="F3671" t="s">
        <v>23479</v>
      </c>
      <c r="G3671">
        <v>1</v>
      </c>
      <c r="H3671" t="s">
        <v>12320</v>
      </c>
      <c r="J3671" t="s">
        <v>11497</v>
      </c>
      <c r="K3671" t="s">
        <v>104</v>
      </c>
      <c r="L3671" t="s">
        <v>22</v>
      </c>
      <c r="M3671" t="s">
        <v>12321</v>
      </c>
      <c r="N3671" t="s">
        <v>12329</v>
      </c>
      <c r="O3671" t="s">
        <v>12330</v>
      </c>
      <c r="P3671" s="2" t="s">
        <v>37</v>
      </c>
      <c r="Q3671" t="s">
        <v>1208</v>
      </c>
      <c r="R3671">
        <v>0.75</v>
      </c>
      <c r="S3671">
        <v>5.76</v>
      </c>
      <c r="T3671" t="s">
        <v>12331</v>
      </c>
    </row>
    <row r="3672" spans="1:20" x14ac:dyDescent="0.25">
      <c r="A3672" s="1" t="str">
        <f>HYPERLINK("https://vegkart.atlas.vegvesen.no/#/@254719.5,6594421.8,18/hva:hva%5B0%5D%5Bfilter%5D%5B0%5D%5Boperator%5D=%21%3D&amp;hva%5B0%5D%5Bfilter%5D%5B0%5D%5Btype_id%5D=8917&amp;hva%5B0%5D%5Bfilter%5D%5B0%5D%5Bverdi%5D=&amp;hva%5B0%5D%5Bid%5D=49/når:2024-02-13", "Vegkart")</f>
        <v>Vegkart</v>
      </c>
      <c r="B3672">
        <v>1018745246</v>
      </c>
      <c r="C3672">
        <v>49</v>
      </c>
      <c r="D3672" t="s">
        <v>8701</v>
      </c>
      <c r="E3672">
        <v>8917</v>
      </c>
      <c r="F3672" t="s">
        <v>23479</v>
      </c>
      <c r="G3672">
        <v>1</v>
      </c>
      <c r="H3672" t="s">
        <v>12320</v>
      </c>
      <c r="J3672" t="s">
        <v>11497</v>
      </c>
      <c r="K3672" t="s">
        <v>104</v>
      </c>
      <c r="L3672" t="s">
        <v>22</v>
      </c>
      <c r="M3672" t="s">
        <v>12321</v>
      </c>
      <c r="N3672" t="s">
        <v>12332</v>
      </c>
      <c r="O3672" t="s">
        <v>12333</v>
      </c>
      <c r="P3672" s="2" t="s">
        <v>37</v>
      </c>
      <c r="Q3672" t="s">
        <v>1208</v>
      </c>
      <c r="R3672">
        <v>0.66</v>
      </c>
      <c r="S3672">
        <v>17.55</v>
      </c>
      <c r="T3672" t="s">
        <v>12334</v>
      </c>
    </row>
    <row r="3673" spans="1:20" x14ac:dyDescent="0.25">
      <c r="A3673" s="1" t="str">
        <f>HYPERLINK("https://vegkart.atlas.vegvesen.no/#/@254956.7,6594393.2,18/hva:hva%5B0%5D%5Bfilter%5D%5B0%5D%5Boperator%5D=%21%3D&amp;hva%5B0%5D%5Bfilter%5D%5B0%5D%5Btype_id%5D=8917&amp;hva%5B0%5D%5Bfilter%5D%5B0%5D%5Bverdi%5D=&amp;hva%5B0%5D%5Bid%5D=49/når:2024-02-13", "Vegkart")</f>
        <v>Vegkart</v>
      </c>
      <c r="B3673">
        <v>1018745263</v>
      </c>
      <c r="C3673">
        <v>49</v>
      </c>
      <c r="D3673" t="s">
        <v>8701</v>
      </c>
      <c r="E3673">
        <v>8917</v>
      </c>
      <c r="F3673" t="s">
        <v>23479</v>
      </c>
      <c r="G3673">
        <v>1</v>
      </c>
      <c r="H3673" t="s">
        <v>12320</v>
      </c>
      <c r="J3673" t="s">
        <v>11497</v>
      </c>
      <c r="K3673" t="s">
        <v>104</v>
      </c>
      <c r="L3673" t="s">
        <v>22</v>
      </c>
      <c r="M3673" t="s">
        <v>12321</v>
      </c>
      <c r="N3673" t="s">
        <v>12335</v>
      </c>
      <c r="O3673" t="s">
        <v>12336</v>
      </c>
      <c r="P3673" s="2" t="s">
        <v>37</v>
      </c>
      <c r="Q3673" t="s">
        <v>1208</v>
      </c>
      <c r="R3673">
        <v>0.85</v>
      </c>
      <c r="S3673">
        <v>39.64</v>
      </c>
      <c r="T3673" t="s">
        <v>12337</v>
      </c>
    </row>
    <row r="3674" spans="1:20" x14ac:dyDescent="0.25">
      <c r="A3674" s="1" t="str">
        <f>HYPERLINK("https://vegkart.atlas.vegvesen.no/#/@254932.8,6594396.5,18/hva:hva%5B0%5D%5Bfilter%5D%5B0%5D%5Boperator%5D=%21%3D&amp;hva%5B0%5D%5Bfilter%5D%5B0%5D%5Btype_id%5D=8917&amp;hva%5B0%5D%5Bfilter%5D%5B0%5D%5Bverdi%5D=&amp;hva%5B0%5D%5Bid%5D=49/når:2024-02-13", "Vegkart")</f>
        <v>Vegkart</v>
      </c>
      <c r="B3674">
        <v>1018745268</v>
      </c>
      <c r="C3674">
        <v>49</v>
      </c>
      <c r="D3674" t="s">
        <v>8701</v>
      </c>
      <c r="E3674">
        <v>8917</v>
      </c>
      <c r="F3674" t="s">
        <v>23479</v>
      </c>
      <c r="G3674">
        <v>1</v>
      </c>
      <c r="H3674" t="s">
        <v>12320</v>
      </c>
      <c r="J3674" t="s">
        <v>11497</v>
      </c>
      <c r="K3674" t="s">
        <v>104</v>
      </c>
      <c r="L3674" t="s">
        <v>22</v>
      </c>
      <c r="M3674" t="s">
        <v>12321</v>
      </c>
      <c r="N3674" t="s">
        <v>12338</v>
      </c>
      <c r="O3674" t="s">
        <v>12339</v>
      </c>
      <c r="P3674" s="2" t="s">
        <v>37</v>
      </c>
      <c r="Q3674" t="s">
        <v>1208</v>
      </c>
      <c r="R3674">
        <v>0.35</v>
      </c>
      <c r="S3674">
        <v>29.4</v>
      </c>
      <c r="T3674" t="s">
        <v>12340</v>
      </c>
    </row>
    <row r="3675" spans="1:20" x14ac:dyDescent="0.25">
      <c r="A3675" s="1" t="str">
        <f>HYPERLINK("https://vegkart.atlas.vegvesen.no/#/@254982.7,6594390.9,18/hva:hva%5B0%5D%5Bfilter%5D%5B0%5D%5Boperator%5D=%21%3D&amp;hva%5B0%5D%5Bfilter%5D%5B0%5D%5Btype_id%5D=8917&amp;hva%5B0%5D%5Bfilter%5D%5B0%5D%5Bverdi%5D=&amp;hva%5B0%5D%5Bid%5D=49/når:2024-02-13", "Vegkart")</f>
        <v>Vegkart</v>
      </c>
      <c r="B3675">
        <v>1018746135</v>
      </c>
      <c r="C3675">
        <v>49</v>
      </c>
      <c r="D3675" t="s">
        <v>8701</v>
      </c>
      <c r="E3675">
        <v>8917</v>
      </c>
      <c r="F3675" t="s">
        <v>23479</v>
      </c>
      <c r="G3675">
        <v>1</v>
      </c>
      <c r="H3675" t="s">
        <v>12320</v>
      </c>
      <c r="J3675" t="s">
        <v>11497</v>
      </c>
      <c r="K3675" t="s">
        <v>104</v>
      </c>
      <c r="L3675" t="s">
        <v>22</v>
      </c>
      <c r="M3675" t="s">
        <v>12321</v>
      </c>
      <c r="N3675" t="s">
        <v>12341</v>
      </c>
      <c r="O3675" t="s">
        <v>12342</v>
      </c>
      <c r="P3675" s="2" t="s">
        <v>37</v>
      </c>
      <c r="Q3675" t="s">
        <v>1208</v>
      </c>
      <c r="R3675">
        <v>0.39</v>
      </c>
      <c r="S3675">
        <v>37.15</v>
      </c>
      <c r="T3675" t="s">
        <v>12343</v>
      </c>
    </row>
    <row r="3676" spans="1:20" x14ac:dyDescent="0.25">
      <c r="A3676" s="1" t="str">
        <f>HYPERLINK("https://vegkart.atlas.vegvesen.no/#/@255074.7,6594397.3,18/hva:hva%5B0%5D%5Bfilter%5D%5B0%5D%5Boperator%5D=%21%3D&amp;hva%5B0%5D%5Bfilter%5D%5B0%5D%5Btype_id%5D=8917&amp;hva%5B0%5D%5Bfilter%5D%5B0%5D%5Bverdi%5D=&amp;hva%5B0%5D%5Bid%5D=49/når:2024-02-13", "Vegkart")</f>
        <v>Vegkart</v>
      </c>
      <c r="B3676">
        <v>1018746183</v>
      </c>
      <c r="C3676">
        <v>49</v>
      </c>
      <c r="D3676" t="s">
        <v>8701</v>
      </c>
      <c r="E3676">
        <v>8917</v>
      </c>
      <c r="F3676" t="s">
        <v>23479</v>
      </c>
      <c r="G3676">
        <v>1</v>
      </c>
      <c r="H3676" t="s">
        <v>12320</v>
      </c>
      <c r="J3676" t="s">
        <v>11497</v>
      </c>
      <c r="K3676" t="s">
        <v>104</v>
      </c>
      <c r="L3676" t="s">
        <v>22</v>
      </c>
      <c r="M3676" t="s">
        <v>12321</v>
      </c>
      <c r="N3676" t="s">
        <v>12344</v>
      </c>
      <c r="O3676" t="s">
        <v>12345</v>
      </c>
      <c r="P3676" s="2" t="s">
        <v>37</v>
      </c>
      <c r="Q3676" t="s">
        <v>1208</v>
      </c>
      <c r="R3676">
        <v>0.53</v>
      </c>
      <c r="S3676">
        <v>13.01</v>
      </c>
      <c r="T3676" t="s">
        <v>12346</v>
      </c>
    </row>
    <row r="3677" spans="1:20" x14ac:dyDescent="0.25">
      <c r="A3677" s="1" t="str">
        <f>HYPERLINK("https://vegkart.atlas.vegvesen.no/#/@255063.6,6594396.0,18/hva:hva%5B0%5D%5Bfilter%5D%5B0%5D%5Boperator%5D=%21%3D&amp;hva%5B0%5D%5Bfilter%5D%5B0%5D%5Btype_id%5D=8917&amp;hva%5B0%5D%5Bfilter%5D%5B0%5D%5Bverdi%5D=&amp;hva%5B0%5D%5Bid%5D=49/når:2024-02-13", "Vegkart")</f>
        <v>Vegkart</v>
      </c>
      <c r="B3677">
        <v>1018746186</v>
      </c>
      <c r="C3677">
        <v>49</v>
      </c>
      <c r="D3677" t="s">
        <v>8701</v>
      </c>
      <c r="E3677">
        <v>8917</v>
      </c>
      <c r="F3677" t="s">
        <v>23479</v>
      </c>
      <c r="G3677">
        <v>1</v>
      </c>
      <c r="H3677" t="s">
        <v>12320</v>
      </c>
      <c r="J3677" t="s">
        <v>11497</v>
      </c>
      <c r="K3677" t="s">
        <v>104</v>
      </c>
      <c r="L3677" t="s">
        <v>22</v>
      </c>
      <c r="M3677" t="s">
        <v>12321</v>
      </c>
      <c r="N3677" t="s">
        <v>12347</v>
      </c>
      <c r="O3677" t="s">
        <v>12348</v>
      </c>
      <c r="P3677" s="2" t="s">
        <v>37</v>
      </c>
      <c r="Q3677" t="s">
        <v>1208</v>
      </c>
      <c r="R3677">
        <v>0.39</v>
      </c>
      <c r="S3677">
        <v>25.1</v>
      </c>
      <c r="T3677" t="s">
        <v>12349</v>
      </c>
    </row>
    <row r="3678" spans="1:20" x14ac:dyDescent="0.25">
      <c r="A3678" s="1" t="str">
        <f>HYPERLINK("https://vegkart.atlas.vegvesen.no/#/@255092.0,6594397.7,18/hva:hva%5B0%5D%5Bfilter%5D%5B0%5D%5Boperator%5D=%21%3D&amp;hva%5B0%5D%5Bfilter%5D%5B0%5D%5Btype_id%5D=8917&amp;hva%5B0%5D%5Bfilter%5D%5B0%5D%5Bverdi%5D=&amp;hva%5B0%5D%5Bid%5D=49/når:2024-02-13", "Vegkart")</f>
        <v>Vegkart</v>
      </c>
      <c r="B3678">
        <v>1018746189</v>
      </c>
      <c r="C3678">
        <v>49</v>
      </c>
      <c r="D3678" t="s">
        <v>8701</v>
      </c>
      <c r="E3678">
        <v>8917</v>
      </c>
      <c r="F3678" t="s">
        <v>23479</v>
      </c>
      <c r="G3678">
        <v>1</v>
      </c>
      <c r="H3678" t="s">
        <v>12320</v>
      </c>
      <c r="J3678" t="s">
        <v>11497</v>
      </c>
      <c r="K3678" t="s">
        <v>104</v>
      </c>
      <c r="L3678" t="s">
        <v>22</v>
      </c>
      <c r="M3678" t="s">
        <v>12321</v>
      </c>
      <c r="N3678" t="s">
        <v>12350</v>
      </c>
      <c r="O3678" t="s">
        <v>12351</v>
      </c>
      <c r="P3678" s="2" t="s">
        <v>37</v>
      </c>
      <c r="Q3678" t="s">
        <v>1208</v>
      </c>
      <c r="R3678">
        <v>0.59</v>
      </c>
      <c r="S3678">
        <v>25.83</v>
      </c>
      <c r="T3678" t="s">
        <v>12352</v>
      </c>
    </row>
    <row r="3679" spans="1:20" x14ac:dyDescent="0.25">
      <c r="A3679" s="1" t="str">
        <f>HYPERLINK("https://vegkart.atlas.vegvesen.no/#/@254950.1,6594370.2,18/hva:hva%5B0%5D%5Bfilter%5D%5B0%5D%5Boperator%5D=%21%3D&amp;hva%5B0%5D%5Bfilter%5D%5B0%5D%5Btype_id%5D=8917&amp;hva%5B0%5D%5Bfilter%5D%5B0%5D%5Bverdi%5D=&amp;hva%5B0%5D%5Bid%5D=49/når:2024-02-14", "Vegkart")</f>
        <v>Vegkart</v>
      </c>
      <c r="B3679">
        <v>1018748804</v>
      </c>
      <c r="C3679">
        <v>49</v>
      </c>
      <c r="D3679" t="s">
        <v>8701</v>
      </c>
      <c r="E3679">
        <v>8917</v>
      </c>
      <c r="F3679" t="s">
        <v>23479</v>
      </c>
      <c r="G3679">
        <v>1</v>
      </c>
      <c r="H3679" t="s">
        <v>5314</v>
      </c>
      <c r="J3679" t="s">
        <v>11497</v>
      </c>
      <c r="K3679" t="s">
        <v>104</v>
      </c>
      <c r="L3679" t="s">
        <v>22</v>
      </c>
      <c r="M3679" t="s">
        <v>12353</v>
      </c>
      <c r="N3679" t="s">
        <v>12354</v>
      </c>
      <c r="O3679" t="s">
        <v>12355</v>
      </c>
      <c r="P3679" s="2" t="s">
        <v>37</v>
      </c>
      <c r="Q3679" t="s">
        <v>1208</v>
      </c>
      <c r="R3679">
        <v>0.61</v>
      </c>
      <c r="S3679">
        <v>25.99</v>
      </c>
      <c r="T3679" t="s">
        <v>12356</v>
      </c>
    </row>
    <row r="3680" spans="1:20" x14ac:dyDescent="0.25">
      <c r="A3680" s="1" t="str">
        <f>HYPERLINK("https://vegkart.atlas.vegvesen.no/#/@254781.0,6593819.8,18/hva:hva%5B0%5D%5Bfilter%5D%5B0%5D%5Boperator%5D=%21%3D&amp;hva%5B0%5D%5Bfilter%5D%5B0%5D%5Btype_id%5D=8917&amp;hva%5B0%5D%5Bfilter%5D%5B0%5D%5Bverdi%5D=&amp;hva%5B0%5D%5Bid%5D=49/når:2024-02-14", "Vegkart")</f>
        <v>Vegkart</v>
      </c>
      <c r="B3680">
        <v>1018748995</v>
      </c>
      <c r="C3680">
        <v>49</v>
      </c>
      <c r="D3680" t="s">
        <v>8701</v>
      </c>
      <c r="E3680">
        <v>8917</v>
      </c>
      <c r="F3680" t="s">
        <v>23479</v>
      </c>
      <c r="G3680">
        <v>1</v>
      </c>
      <c r="H3680" t="s">
        <v>5314</v>
      </c>
      <c r="J3680" t="s">
        <v>11497</v>
      </c>
      <c r="K3680" t="s">
        <v>104</v>
      </c>
      <c r="L3680" t="s">
        <v>22</v>
      </c>
      <c r="M3680" t="s">
        <v>12357</v>
      </c>
      <c r="N3680" t="s">
        <v>12358</v>
      </c>
      <c r="O3680" t="s">
        <v>12359</v>
      </c>
      <c r="P3680" s="2" t="s">
        <v>37</v>
      </c>
      <c r="Q3680" t="s">
        <v>1208</v>
      </c>
      <c r="R3680">
        <v>0.72</v>
      </c>
      <c r="S3680">
        <v>8.2200000000000006</v>
      </c>
      <c r="T3680" t="s">
        <v>12360</v>
      </c>
    </row>
    <row r="3681" spans="1:20" x14ac:dyDescent="0.25">
      <c r="A3681" s="1" t="str">
        <f>HYPERLINK("https://vegkart.atlas.vegvesen.no/#/@254716.8,6594409.3,18/hva:hva%5B0%5D%5Bfilter%5D%5B0%5D%5Boperator%5D=%21%3D&amp;hva%5B0%5D%5Bfilter%5D%5B0%5D%5Btype_id%5D=8917&amp;hva%5B0%5D%5Bfilter%5D%5B0%5D%5Bverdi%5D=&amp;hva%5B0%5D%5Bid%5D=49/når:2024-02-15", "Vegkart")</f>
        <v>Vegkart</v>
      </c>
      <c r="B3681">
        <v>1018752422</v>
      </c>
      <c r="C3681">
        <v>49</v>
      </c>
      <c r="D3681" t="s">
        <v>8701</v>
      </c>
      <c r="E3681">
        <v>8917</v>
      </c>
      <c r="F3681" t="s">
        <v>23479</v>
      </c>
      <c r="G3681">
        <v>1</v>
      </c>
      <c r="H3681" t="s">
        <v>516</v>
      </c>
      <c r="J3681" t="s">
        <v>11497</v>
      </c>
      <c r="K3681" t="s">
        <v>104</v>
      </c>
      <c r="L3681" t="s">
        <v>22</v>
      </c>
      <c r="M3681" t="s">
        <v>12361</v>
      </c>
      <c r="N3681" t="s">
        <v>12362</v>
      </c>
      <c r="O3681" t="s">
        <v>12363</v>
      </c>
      <c r="P3681" s="2" t="s">
        <v>37</v>
      </c>
      <c r="Q3681" t="s">
        <v>1208</v>
      </c>
      <c r="R3681">
        <v>0.28000000000000003</v>
      </c>
      <c r="S3681">
        <v>5.94</v>
      </c>
      <c r="T3681" t="s">
        <v>12364</v>
      </c>
    </row>
    <row r="3682" spans="1:20" x14ac:dyDescent="0.25">
      <c r="A3682" s="1" t="str">
        <f>HYPERLINK("https://vegkart.atlas.vegvesen.no/#/@254074.7,6594020.8,18/hva:hva%5B0%5D%5Bfilter%5D%5B0%5D%5Boperator%5D=%21%3D&amp;hva%5B0%5D%5Bfilter%5D%5B0%5D%5Btype_id%5D=8917&amp;hva%5B0%5D%5Bfilter%5D%5B0%5D%5Bverdi%5D=&amp;hva%5B0%5D%5Bid%5D=49/når:2024-02-15", "Vegkart")</f>
        <v>Vegkart</v>
      </c>
      <c r="B3682">
        <v>1018752778</v>
      </c>
      <c r="C3682">
        <v>49</v>
      </c>
      <c r="D3682" t="s">
        <v>8701</v>
      </c>
      <c r="E3682">
        <v>8917</v>
      </c>
      <c r="F3682" t="s">
        <v>23479</v>
      </c>
      <c r="G3682">
        <v>1</v>
      </c>
      <c r="H3682" t="s">
        <v>516</v>
      </c>
      <c r="J3682" t="s">
        <v>11497</v>
      </c>
      <c r="K3682" t="s">
        <v>104</v>
      </c>
      <c r="L3682" t="s">
        <v>22</v>
      </c>
      <c r="M3682" t="s">
        <v>12357</v>
      </c>
      <c r="N3682" t="s">
        <v>12365</v>
      </c>
      <c r="O3682" t="s">
        <v>12366</v>
      </c>
      <c r="P3682" s="2" t="s">
        <v>37</v>
      </c>
      <c r="Q3682" t="s">
        <v>1208</v>
      </c>
      <c r="R3682">
        <v>0.76</v>
      </c>
      <c r="S3682">
        <v>8.98</v>
      </c>
      <c r="T3682" t="s">
        <v>12367</v>
      </c>
    </row>
    <row r="3683" spans="1:20" x14ac:dyDescent="0.25">
      <c r="A3683" s="1" t="str">
        <f>HYPERLINK("https://vegkart.atlas.vegvesen.no/#/@254421.7,6593921.5,18/hva:hva%5B0%5D%5Bfilter%5D%5B0%5D%5Boperator%5D=%21%3D&amp;hva%5B0%5D%5Bfilter%5D%5B0%5D%5Btype_id%5D=8917&amp;hva%5B0%5D%5Bfilter%5D%5B0%5D%5Bverdi%5D=&amp;hva%5B0%5D%5Bid%5D=49/når:2024-02-15", "Vegkart")</f>
        <v>Vegkart</v>
      </c>
      <c r="B3683">
        <v>1018752972</v>
      </c>
      <c r="C3683">
        <v>49</v>
      </c>
      <c r="D3683" t="s">
        <v>8701</v>
      </c>
      <c r="E3683">
        <v>8917</v>
      </c>
      <c r="F3683" t="s">
        <v>23479</v>
      </c>
      <c r="G3683">
        <v>1</v>
      </c>
      <c r="H3683" t="s">
        <v>516</v>
      </c>
      <c r="J3683" t="s">
        <v>11497</v>
      </c>
      <c r="K3683" t="s">
        <v>104</v>
      </c>
      <c r="L3683" t="s">
        <v>22</v>
      </c>
      <c r="M3683" t="s">
        <v>12357</v>
      </c>
      <c r="N3683" t="s">
        <v>12368</v>
      </c>
      <c r="O3683" t="s">
        <v>12369</v>
      </c>
      <c r="P3683" s="2" t="s">
        <v>37</v>
      </c>
      <c r="Q3683" t="s">
        <v>1208</v>
      </c>
      <c r="R3683">
        <v>0.57999999999999996</v>
      </c>
      <c r="S3683">
        <v>11.91</v>
      </c>
      <c r="T3683" t="s">
        <v>12370</v>
      </c>
    </row>
    <row r="3684" spans="1:20" x14ac:dyDescent="0.25">
      <c r="A3684" s="1" t="str">
        <f>HYPERLINK("https://vegkart.atlas.vegvesen.no/#/@254331.7,6594499.6,18/hva:hva%5B0%5D%5Bfilter%5D%5B0%5D%5Boperator%5D=%21%3D&amp;hva%5B0%5D%5Bfilter%5D%5B0%5D%5Btype_id%5D=8917&amp;hva%5B0%5D%5Bfilter%5D%5B0%5D%5Bverdi%5D=&amp;hva%5B0%5D%5Bid%5D=49/når:2024-02-16", "Vegkart")</f>
        <v>Vegkart</v>
      </c>
      <c r="B3684">
        <v>1018800882</v>
      </c>
      <c r="C3684">
        <v>49</v>
      </c>
      <c r="D3684" t="s">
        <v>8701</v>
      </c>
      <c r="E3684">
        <v>8917</v>
      </c>
      <c r="F3684" t="s">
        <v>23479</v>
      </c>
      <c r="G3684">
        <v>1</v>
      </c>
      <c r="H3684" t="s">
        <v>4657</v>
      </c>
      <c r="J3684" t="s">
        <v>11497</v>
      </c>
      <c r="K3684" t="s">
        <v>104</v>
      </c>
      <c r="L3684" t="s">
        <v>22</v>
      </c>
      <c r="M3684" t="s">
        <v>12325</v>
      </c>
      <c r="N3684" t="s">
        <v>12371</v>
      </c>
      <c r="O3684" t="s">
        <v>12372</v>
      </c>
      <c r="P3684" s="2" t="s">
        <v>37</v>
      </c>
      <c r="Q3684" t="s">
        <v>1208</v>
      </c>
      <c r="R3684">
        <v>0.38</v>
      </c>
      <c r="S3684">
        <v>26.11</v>
      </c>
      <c r="T3684" t="s">
        <v>12373</v>
      </c>
    </row>
    <row r="3685" spans="1:20" x14ac:dyDescent="0.25">
      <c r="A3685" s="1" t="str">
        <f>HYPERLINK("https://vegkart.atlas.vegvesen.no/#/@254022.8,6594698.5,18/hva:hva%5B0%5D%5Bfilter%5D%5B0%5D%5Boperator%5D=%21%3D&amp;hva%5B0%5D%5Bfilter%5D%5B0%5D%5Btype_id%5D=8917&amp;hva%5B0%5D%5Bfilter%5D%5B0%5D%5Bverdi%5D=&amp;hva%5B0%5D%5Bid%5D=49/når:2024-02-16", "Vegkart")</f>
        <v>Vegkart</v>
      </c>
      <c r="B3685">
        <v>1018800897</v>
      </c>
      <c r="C3685">
        <v>49</v>
      </c>
      <c r="D3685" t="s">
        <v>8701</v>
      </c>
      <c r="E3685">
        <v>8917</v>
      </c>
      <c r="F3685" t="s">
        <v>23479</v>
      </c>
      <c r="G3685">
        <v>1</v>
      </c>
      <c r="H3685" t="s">
        <v>4657</v>
      </c>
      <c r="J3685" t="s">
        <v>11497</v>
      </c>
      <c r="K3685" t="s">
        <v>104</v>
      </c>
      <c r="L3685" t="s">
        <v>22</v>
      </c>
      <c r="M3685" t="s">
        <v>12321</v>
      </c>
      <c r="N3685" t="s">
        <v>12374</v>
      </c>
      <c r="O3685" t="s">
        <v>12375</v>
      </c>
      <c r="P3685" s="2" t="s">
        <v>37</v>
      </c>
      <c r="Q3685" t="s">
        <v>1208</v>
      </c>
      <c r="R3685">
        <v>0.6</v>
      </c>
      <c r="S3685">
        <v>25.76</v>
      </c>
      <c r="T3685" t="s">
        <v>12376</v>
      </c>
    </row>
    <row r="3686" spans="1:20" x14ac:dyDescent="0.25">
      <c r="A3686" s="1" t="str">
        <f>HYPERLINK("https://vegkart.atlas.vegvesen.no/#/@255363.4,6593974.1,18/hva:hva%5B0%5D%5Bfilter%5D%5B0%5D%5Boperator%5D=%21%3D&amp;hva%5B0%5D%5Bfilter%5D%5B0%5D%5Btype_id%5D=8917&amp;hva%5B0%5D%5Bfilter%5D%5B0%5D%5Bverdi%5D=&amp;hva%5B0%5D%5Bid%5D=49/når:2024-02-19", "Vegkart")</f>
        <v>Vegkart</v>
      </c>
      <c r="B3686">
        <v>1018803621</v>
      </c>
      <c r="C3686">
        <v>49</v>
      </c>
      <c r="D3686" t="s">
        <v>8701</v>
      </c>
      <c r="E3686">
        <v>8917</v>
      </c>
      <c r="F3686" t="s">
        <v>23479</v>
      </c>
      <c r="G3686">
        <v>1</v>
      </c>
      <c r="H3686" t="s">
        <v>12377</v>
      </c>
      <c r="J3686" t="s">
        <v>11497</v>
      </c>
      <c r="K3686" t="s">
        <v>104</v>
      </c>
      <c r="L3686" t="s">
        <v>22</v>
      </c>
      <c r="M3686" t="s">
        <v>12357</v>
      </c>
      <c r="N3686" t="s">
        <v>12378</v>
      </c>
      <c r="O3686" t="s">
        <v>12379</v>
      </c>
      <c r="P3686" s="2" t="s">
        <v>37</v>
      </c>
      <c r="Q3686" t="s">
        <v>1208</v>
      </c>
      <c r="R3686">
        <v>0.78</v>
      </c>
      <c r="S3686">
        <v>23.12</v>
      </c>
      <c r="T3686" t="s">
        <v>12380</v>
      </c>
    </row>
    <row r="3687" spans="1:20" x14ac:dyDescent="0.25">
      <c r="A3687" s="1" t="str">
        <f>HYPERLINK("https://vegkart.atlas.vegvesen.no/#/@255661.2,6593279.1,18/hva:hva%5B0%5D%5Bfilter%5D%5B0%5D%5Boperator%5D=%21%3D&amp;hva%5B0%5D%5Bfilter%5D%5B0%5D%5Btype_id%5D=8917&amp;hva%5B0%5D%5Bfilter%5D%5B0%5D%5Bverdi%5D=&amp;hva%5B0%5D%5Bid%5D=49/når:2024-02-19", "Vegkart")</f>
        <v>Vegkart</v>
      </c>
      <c r="B3687">
        <v>1018809520</v>
      </c>
      <c r="C3687">
        <v>49</v>
      </c>
      <c r="D3687" t="s">
        <v>8701</v>
      </c>
      <c r="E3687">
        <v>8917</v>
      </c>
      <c r="F3687" t="s">
        <v>23479</v>
      </c>
      <c r="G3687">
        <v>1</v>
      </c>
      <c r="H3687" t="s">
        <v>12377</v>
      </c>
      <c r="J3687" t="s">
        <v>11497</v>
      </c>
      <c r="K3687" t="s">
        <v>104</v>
      </c>
      <c r="L3687" t="s">
        <v>22</v>
      </c>
      <c r="M3687" t="s">
        <v>10729</v>
      </c>
      <c r="N3687" t="s">
        <v>12381</v>
      </c>
      <c r="O3687" t="s">
        <v>12382</v>
      </c>
      <c r="P3687" s="2" t="s">
        <v>37</v>
      </c>
      <c r="Q3687" t="s">
        <v>1208</v>
      </c>
      <c r="R3687">
        <v>0.49</v>
      </c>
      <c r="S3687">
        <v>37.19</v>
      </c>
      <c r="T3687" t="s">
        <v>12383</v>
      </c>
    </row>
    <row r="3688" spans="1:20" x14ac:dyDescent="0.25">
      <c r="A3688" s="1" t="str">
        <f>HYPERLINK("https://vegkart.atlas.vegvesen.no/#/@255681.4,6594099.5,18/hva:hva%5B0%5D%5Bfilter%5D%5B0%5D%5Boperator%5D=%21%3D&amp;hva%5B0%5D%5Bfilter%5D%5B0%5D%5Btype_id%5D=8917&amp;hva%5B0%5D%5Bfilter%5D%5B0%5D%5Bverdi%5D=&amp;hva%5B0%5D%5Bid%5D=49/når:2024-02-20", "Vegkart")</f>
        <v>Vegkart</v>
      </c>
      <c r="B3688">
        <v>1018810410</v>
      </c>
      <c r="C3688">
        <v>49</v>
      </c>
      <c r="D3688" t="s">
        <v>8701</v>
      </c>
      <c r="E3688">
        <v>8917</v>
      </c>
      <c r="F3688" t="s">
        <v>23479</v>
      </c>
      <c r="G3688">
        <v>1</v>
      </c>
      <c r="H3688" t="s">
        <v>4661</v>
      </c>
      <c r="J3688" t="s">
        <v>11497</v>
      </c>
      <c r="K3688" t="s">
        <v>104</v>
      </c>
      <c r="L3688" t="s">
        <v>22</v>
      </c>
      <c r="M3688" t="s">
        <v>12384</v>
      </c>
      <c r="N3688" t="s">
        <v>12385</v>
      </c>
      <c r="O3688" t="s">
        <v>12386</v>
      </c>
      <c r="P3688" s="2" t="s">
        <v>37</v>
      </c>
      <c r="Q3688" t="s">
        <v>1208</v>
      </c>
      <c r="R3688">
        <v>0.31</v>
      </c>
      <c r="S3688">
        <v>39.54</v>
      </c>
      <c r="T3688" t="s">
        <v>12387</v>
      </c>
    </row>
    <row r="3689" spans="1:20" x14ac:dyDescent="0.25">
      <c r="A3689" s="1" t="str">
        <f>HYPERLINK("https://vegkart.atlas.vegvesen.no/#/@255746.0,6593467.2,18/hva:hva%5B0%5D%5Bfilter%5D%5B0%5D%5Boperator%5D=%21%3D&amp;hva%5B0%5D%5Bfilter%5D%5B0%5D%5Btype_id%5D=8917&amp;hva%5B0%5D%5Bfilter%5D%5B0%5D%5Bverdi%5D=&amp;hva%5B0%5D%5Bid%5D=49/når:2024-02-20", "Vegkart")</f>
        <v>Vegkart</v>
      </c>
      <c r="B3689">
        <v>1018810516</v>
      </c>
      <c r="C3689">
        <v>49</v>
      </c>
      <c r="D3689" t="s">
        <v>8701</v>
      </c>
      <c r="E3689">
        <v>8917</v>
      </c>
      <c r="F3689" t="s">
        <v>23479</v>
      </c>
      <c r="G3689">
        <v>1</v>
      </c>
      <c r="H3689" t="s">
        <v>4661</v>
      </c>
      <c r="J3689" t="s">
        <v>11497</v>
      </c>
      <c r="K3689" t="s">
        <v>104</v>
      </c>
      <c r="L3689" t="s">
        <v>22</v>
      </c>
      <c r="M3689" t="s">
        <v>12388</v>
      </c>
      <c r="N3689" t="s">
        <v>12389</v>
      </c>
      <c r="O3689" t="s">
        <v>12390</v>
      </c>
      <c r="P3689" s="2" t="s">
        <v>37</v>
      </c>
      <c r="Q3689" t="s">
        <v>1208</v>
      </c>
      <c r="R3689">
        <v>0.26</v>
      </c>
      <c r="S3689">
        <v>17.53</v>
      </c>
      <c r="T3689" t="s">
        <v>12391</v>
      </c>
    </row>
    <row r="3690" spans="1:20" x14ac:dyDescent="0.25">
      <c r="A3690" s="1" t="str">
        <f>HYPERLINK("https://vegkart.atlas.vegvesen.no/#/@255694.0,6593322.8,18/hva:hva%5B0%5D%5Bfilter%5D%5B0%5D%5Boperator%5D=%21%3D&amp;hva%5B0%5D%5Bfilter%5D%5B0%5D%5Btype_id%5D=8917&amp;hva%5B0%5D%5Bfilter%5D%5B0%5D%5Bverdi%5D=&amp;hva%5B0%5D%5Bid%5D=49/når:2024-02-20", "Vegkart")</f>
        <v>Vegkart</v>
      </c>
      <c r="B3690">
        <v>1018811469</v>
      </c>
      <c r="C3690">
        <v>49</v>
      </c>
      <c r="D3690" t="s">
        <v>8701</v>
      </c>
      <c r="E3690">
        <v>8917</v>
      </c>
      <c r="F3690" t="s">
        <v>23479</v>
      </c>
      <c r="G3690">
        <v>1</v>
      </c>
      <c r="H3690" t="s">
        <v>4661</v>
      </c>
      <c r="J3690" t="s">
        <v>11497</v>
      </c>
      <c r="K3690" t="s">
        <v>104</v>
      </c>
      <c r="L3690" t="s">
        <v>22</v>
      </c>
      <c r="M3690" t="s">
        <v>12392</v>
      </c>
      <c r="N3690" t="s">
        <v>12393</v>
      </c>
      <c r="O3690" t="s">
        <v>12394</v>
      </c>
      <c r="P3690" s="2" t="s">
        <v>37</v>
      </c>
      <c r="Q3690" t="s">
        <v>1208</v>
      </c>
      <c r="R3690">
        <v>0.79</v>
      </c>
      <c r="S3690">
        <v>14.22</v>
      </c>
      <c r="T3690" t="s">
        <v>12395</v>
      </c>
    </row>
    <row r="3691" spans="1:20" x14ac:dyDescent="0.25">
      <c r="A3691" s="1" t="str">
        <f>HYPERLINK("https://vegkart.atlas.vegvesen.no/#/@258732.0,6590267.4,18/hva:hva%5B0%5D%5Bfilter%5D%5B0%5D%5Boperator%5D=%21%3D&amp;hva%5B0%5D%5Bfilter%5D%5B0%5D%5Btype_id%5D=8917&amp;hva%5B0%5D%5Bfilter%5D%5B0%5D%5Bverdi%5D=&amp;hva%5B0%5D%5Bid%5D=49/når:2024-02-21", "Vegkart")</f>
        <v>Vegkart</v>
      </c>
      <c r="B3691">
        <v>1018851649</v>
      </c>
      <c r="C3691">
        <v>49</v>
      </c>
      <c r="D3691" t="s">
        <v>8701</v>
      </c>
      <c r="E3691">
        <v>8917</v>
      </c>
      <c r="F3691" t="s">
        <v>23479</v>
      </c>
      <c r="G3691">
        <v>1</v>
      </c>
      <c r="H3691" t="s">
        <v>1743</v>
      </c>
      <c r="J3691" t="s">
        <v>5340</v>
      </c>
      <c r="K3691" t="s">
        <v>104</v>
      </c>
      <c r="L3691" t="s">
        <v>22</v>
      </c>
      <c r="M3691" t="s">
        <v>12396</v>
      </c>
      <c r="N3691" t="s">
        <v>12397</v>
      </c>
      <c r="O3691" t="s">
        <v>12398</v>
      </c>
      <c r="P3691" s="2" t="s">
        <v>37</v>
      </c>
      <c r="Q3691" t="s">
        <v>1208</v>
      </c>
      <c r="R3691">
        <v>0.4</v>
      </c>
      <c r="S3691">
        <v>8.2899999999999991</v>
      </c>
      <c r="T3691" t="s">
        <v>12399</v>
      </c>
    </row>
    <row r="3692" spans="1:20" x14ac:dyDescent="0.25">
      <c r="A3692" s="1" t="str">
        <f>HYPERLINK("https://vegkart.atlas.vegvesen.no/#/@258752.6,6589950.8,18/hva:hva%5B0%5D%5Bfilter%5D%5B0%5D%5Boperator%5D=%21%3D&amp;hva%5B0%5D%5Bfilter%5D%5B0%5D%5Btype_id%5D=8917&amp;hva%5B0%5D%5Bfilter%5D%5B0%5D%5Bverdi%5D=&amp;hva%5B0%5D%5Bid%5D=49/når:2024-02-21", "Vegkart")</f>
        <v>Vegkart</v>
      </c>
      <c r="B3692">
        <v>1018866344</v>
      </c>
      <c r="C3692">
        <v>49</v>
      </c>
      <c r="D3692" t="s">
        <v>8701</v>
      </c>
      <c r="E3692">
        <v>8917</v>
      </c>
      <c r="F3692" t="s">
        <v>23479</v>
      </c>
      <c r="G3692">
        <v>1</v>
      </c>
      <c r="H3692" t="s">
        <v>1743</v>
      </c>
      <c r="J3692" t="s">
        <v>5340</v>
      </c>
      <c r="K3692" t="s">
        <v>104</v>
      </c>
      <c r="L3692" t="s">
        <v>22</v>
      </c>
      <c r="M3692" t="s">
        <v>12400</v>
      </c>
      <c r="N3692" t="s">
        <v>12401</v>
      </c>
      <c r="O3692" t="s">
        <v>12402</v>
      </c>
      <c r="P3692" s="2" t="s">
        <v>37</v>
      </c>
      <c r="Q3692" t="s">
        <v>1208</v>
      </c>
      <c r="R3692">
        <v>0.3</v>
      </c>
      <c r="S3692">
        <v>23.09</v>
      </c>
      <c r="T3692" t="s">
        <v>12403</v>
      </c>
    </row>
    <row r="3693" spans="1:20" x14ac:dyDescent="0.25">
      <c r="A3693" s="1" t="str">
        <f>HYPERLINK("https://vegkart.atlas.vegvesen.no/#/@259018.7,6589953.1,18/hva:hva%5B0%5D%5Bfilter%5D%5B0%5D%5Boperator%5D=%21%3D&amp;hva%5B0%5D%5Bfilter%5D%5B0%5D%5Btype_id%5D=8917&amp;hva%5B0%5D%5Bfilter%5D%5B0%5D%5Bverdi%5D=&amp;hva%5B0%5D%5Bid%5D=49/når:2024-02-21", "Vegkart")</f>
        <v>Vegkart</v>
      </c>
      <c r="B3693">
        <v>1018870284</v>
      </c>
      <c r="C3693">
        <v>49</v>
      </c>
      <c r="D3693" t="s">
        <v>8701</v>
      </c>
      <c r="E3693">
        <v>8917</v>
      </c>
      <c r="F3693" t="s">
        <v>23479</v>
      </c>
      <c r="G3693">
        <v>1</v>
      </c>
      <c r="H3693" t="s">
        <v>1743</v>
      </c>
      <c r="J3693" t="s">
        <v>5340</v>
      </c>
      <c r="K3693" t="s">
        <v>104</v>
      </c>
      <c r="L3693" t="s">
        <v>22</v>
      </c>
      <c r="M3693" t="s">
        <v>12404</v>
      </c>
      <c r="N3693" t="s">
        <v>12405</v>
      </c>
      <c r="O3693" t="s">
        <v>12406</v>
      </c>
      <c r="P3693" s="2" t="s">
        <v>37</v>
      </c>
      <c r="Q3693" t="s">
        <v>1208</v>
      </c>
      <c r="R3693">
        <v>0.59</v>
      </c>
      <c r="S3693">
        <v>11.12</v>
      </c>
      <c r="T3693" t="s">
        <v>12407</v>
      </c>
    </row>
    <row r="3694" spans="1:20" x14ac:dyDescent="0.25">
      <c r="A3694" s="1" t="str">
        <f>HYPERLINK("https://vegkart.atlas.vegvesen.no/#/@260012.5,6589100.3,18/hva:hva%5B0%5D%5Bfilter%5D%5B0%5D%5Boperator%5D=%21%3D&amp;hva%5B0%5D%5Bfilter%5D%5B0%5D%5Btype_id%5D=8917&amp;hva%5B0%5D%5Bfilter%5D%5B0%5D%5Bverdi%5D=&amp;hva%5B0%5D%5Bid%5D=49/når:2024-02-22", "Vegkart")</f>
        <v>Vegkart</v>
      </c>
      <c r="B3694">
        <v>1018895724</v>
      </c>
      <c r="C3694">
        <v>49</v>
      </c>
      <c r="D3694" t="s">
        <v>8701</v>
      </c>
      <c r="E3694">
        <v>8917</v>
      </c>
      <c r="F3694" t="s">
        <v>23479</v>
      </c>
      <c r="G3694">
        <v>1</v>
      </c>
      <c r="H3694" t="s">
        <v>8087</v>
      </c>
      <c r="J3694" t="s">
        <v>5340</v>
      </c>
      <c r="K3694" t="s">
        <v>104</v>
      </c>
      <c r="L3694" t="s">
        <v>22</v>
      </c>
      <c r="M3694" t="s">
        <v>12408</v>
      </c>
      <c r="N3694" t="s">
        <v>12409</v>
      </c>
      <c r="O3694" t="s">
        <v>12410</v>
      </c>
      <c r="P3694" s="2" t="s">
        <v>37</v>
      </c>
      <c r="Q3694" t="s">
        <v>1208</v>
      </c>
      <c r="R3694">
        <v>0.75</v>
      </c>
      <c r="S3694">
        <v>6.94</v>
      </c>
      <c r="T3694" t="s">
        <v>12411</v>
      </c>
    </row>
    <row r="3695" spans="1:20" x14ac:dyDescent="0.25">
      <c r="A3695" s="1" t="str">
        <f>HYPERLINK("https://vegkart.atlas.vegvesen.no/#/@259931.1,6589123.1,18/hva:hva%5B0%5D%5Bfilter%5D%5B0%5D%5Boperator%5D=%21%3D&amp;hva%5B0%5D%5Bfilter%5D%5B0%5D%5Btype_id%5D=8917&amp;hva%5B0%5D%5Bfilter%5D%5B0%5D%5Bverdi%5D=&amp;hva%5B0%5D%5Bid%5D=49/når:2024-02-22", "Vegkart")</f>
        <v>Vegkart</v>
      </c>
      <c r="B3695">
        <v>1018898111</v>
      </c>
      <c r="C3695">
        <v>49</v>
      </c>
      <c r="D3695" t="s">
        <v>8701</v>
      </c>
      <c r="E3695">
        <v>8917</v>
      </c>
      <c r="F3695" t="s">
        <v>23479</v>
      </c>
      <c r="G3695">
        <v>1</v>
      </c>
      <c r="H3695" t="s">
        <v>8087</v>
      </c>
      <c r="J3695" t="s">
        <v>5340</v>
      </c>
      <c r="K3695" t="s">
        <v>104</v>
      </c>
      <c r="L3695" t="s">
        <v>22</v>
      </c>
      <c r="M3695" t="s">
        <v>12412</v>
      </c>
      <c r="N3695" t="s">
        <v>12413</v>
      </c>
      <c r="O3695" t="s">
        <v>12414</v>
      </c>
      <c r="P3695" s="2" t="s">
        <v>37</v>
      </c>
      <c r="Q3695" t="s">
        <v>1208</v>
      </c>
      <c r="R3695">
        <v>0.49</v>
      </c>
      <c r="S3695">
        <v>6.82</v>
      </c>
      <c r="T3695" t="s">
        <v>12415</v>
      </c>
    </row>
    <row r="3696" spans="1:20" x14ac:dyDescent="0.25">
      <c r="A3696" s="1" t="str">
        <f>HYPERLINK("https://vegkart.atlas.vegvesen.no/#/@88494.9,6459169.2,18/hva:hva%5B0%5D%5Bfilter%5D%5B0%5D%5Boperator%5D=%21%3D&amp;hva%5B0%5D%5Bfilter%5D%5B0%5D%5Btype_id%5D=8917&amp;hva%5B0%5D%5Bfilter%5D%5B0%5D%5Bverdi%5D=&amp;hva%5B0%5D%5Bid%5D=49/når:2024-02-22", "Vegkart")</f>
        <v>Vegkart</v>
      </c>
      <c r="B3696">
        <v>1018899567</v>
      </c>
      <c r="C3696">
        <v>49</v>
      </c>
      <c r="D3696" t="s">
        <v>8701</v>
      </c>
      <c r="E3696">
        <v>8917</v>
      </c>
      <c r="F3696" t="s">
        <v>23479</v>
      </c>
      <c r="G3696">
        <v>1</v>
      </c>
      <c r="H3696" t="s">
        <v>8087</v>
      </c>
      <c r="J3696" t="s">
        <v>5340</v>
      </c>
      <c r="K3696" t="s">
        <v>86</v>
      </c>
      <c r="L3696" t="s">
        <v>33</v>
      </c>
      <c r="M3696" t="s">
        <v>8876</v>
      </c>
      <c r="N3696" t="s">
        <v>12416</v>
      </c>
      <c r="O3696" t="s">
        <v>12417</v>
      </c>
      <c r="P3696" s="2" t="s">
        <v>37</v>
      </c>
      <c r="Q3696" t="s">
        <v>1208</v>
      </c>
      <c r="R3696">
        <v>0.11</v>
      </c>
      <c r="S3696">
        <v>11.9</v>
      </c>
      <c r="T3696" t="s">
        <v>12418</v>
      </c>
    </row>
    <row r="3697" spans="1:20" x14ac:dyDescent="0.25">
      <c r="A3697" s="1" t="str">
        <f>HYPERLINK("https://vegkart.atlas.vegvesen.no/#/@258757.7,6589815.1,18/hva:hva%5B0%5D%5Bfilter%5D%5B0%5D%5Boperator%5D=%21%3D&amp;hva%5B0%5D%5Bfilter%5D%5B0%5D%5Btype_id%5D=8917&amp;hva%5B0%5D%5Bfilter%5D%5B0%5D%5Bverdi%5D=&amp;hva%5B0%5D%5Bid%5D=49/når:2024-02-22", "Vegkart")</f>
        <v>Vegkart</v>
      </c>
      <c r="B3697">
        <v>1018900327</v>
      </c>
      <c r="C3697">
        <v>49</v>
      </c>
      <c r="D3697" t="s">
        <v>8701</v>
      </c>
      <c r="E3697">
        <v>8917</v>
      </c>
      <c r="F3697" t="s">
        <v>23479</v>
      </c>
      <c r="G3697">
        <v>1</v>
      </c>
      <c r="H3697" t="s">
        <v>8087</v>
      </c>
      <c r="J3697" t="s">
        <v>5340</v>
      </c>
      <c r="K3697" t="s">
        <v>104</v>
      </c>
      <c r="L3697" t="s">
        <v>22</v>
      </c>
      <c r="M3697" t="s">
        <v>12419</v>
      </c>
      <c r="N3697" t="s">
        <v>12420</v>
      </c>
      <c r="O3697" t="s">
        <v>12421</v>
      </c>
      <c r="P3697" s="2" t="s">
        <v>37</v>
      </c>
      <c r="Q3697" t="s">
        <v>1208</v>
      </c>
      <c r="R3697">
        <v>0.64</v>
      </c>
      <c r="S3697">
        <v>19.059999999999999</v>
      </c>
      <c r="T3697" t="s">
        <v>12422</v>
      </c>
    </row>
    <row r="3698" spans="1:20" x14ac:dyDescent="0.25">
      <c r="A3698" s="1" t="str">
        <f>HYPERLINK("https://vegkart.atlas.vegvesen.no/#/@-17167.1,6671357.2,18/hva:hva%5B0%5D%5Bfilter%5D%5B0%5D%5Boperator%5D=%21%3D&amp;hva%5B0%5D%5Bfilter%5D%5B0%5D%5Btype_id%5D=8917&amp;hva%5B0%5D%5Bfilter%5D%5B0%5D%5Bverdi%5D=&amp;hva%5B0%5D%5Bid%5D=49/når:2024-03-12", "Vegkart")</f>
        <v>Vegkart</v>
      </c>
      <c r="B3698">
        <v>1018993454</v>
      </c>
      <c r="C3698">
        <v>49</v>
      </c>
      <c r="D3698" t="s">
        <v>8701</v>
      </c>
      <c r="E3698">
        <v>8917</v>
      </c>
      <c r="F3698" t="s">
        <v>23479</v>
      </c>
      <c r="G3698">
        <v>1</v>
      </c>
      <c r="H3698" t="s">
        <v>12423</v>
      </c>
      <c r="J3698" t="s">
        <v>5340</v>
      </c>
      <c r="K3698" t="s">
        <v>21</v>
      </c>
      <c r="L3698" t="s">
        <v>22</v>
      </c>
      <c r="M3698" t="s">
        <v>12424</v>
      </c>
      <c r="N3698" t="s">
        <v>12425</v>
      </c>
      <c r="O3698" t="s">
        <v>12426</v>
      </c>
      <c r="P3698" s="2" t="s">
        <v>37</v>
      </c>
      <c r="Q3698" t="s">
        <v>1208</v>
      </c>
      <c r="R3698">
        <v>0.44</v>
      </c>
      <c r="S3698">
        <v>22.32</v>
      </c>
      <c r="T3698" t="s">
        <v>12427</v>
      </c>
    </row>
    <row r="3699" spans="1:20" x14ac:dyDescent="0.25">
      <c r="A3699" s="1" t="str">
        <f>HYPERLINK("https://vegkart.atlas.vegvesen.no/#/@-17160.6,6671366.0,18/hva:hva%5B0%5D%5Bfilter%5D%5B0%5D%5Boperator%5D=%21%3D&amp;hva%5B0%5D%5Bfilter%5D%5B0%5D%5Btype_id%5D=8917&amp;hva%5B0%5D%5Bfilter%5D%5B0%5D%5Bverdi%5D=&amp;hva%5B0%5D%5Bid%5D=49/når:2024-03-12", "Vegkart")</f>
        <v>Vegkart</v>
      </c>
      <c r="B3699">
        <v>1018993466</v>
      </c>
      <c r="C3699">
        <v>49</v>
      </c>
      <c r="D3699" t="s">
        <v>8701</v>
      </c>
      <c r="E3699">
        <v>8917</v>
      </c>
      <c r="F3699" t="s">
        <v>23479</v>
      </c>
      <c r="G3699">
        <v>1</v>
      </c>
      <c r="H3699" t="s">
        <v>12423</v>
      </c>
      <c r="J3699" t="s">
        <v>5340</v>
      </c>
      <c r="K3699" t="s">
        <v>21</v>
      </c>
      <c r="L3699" t="s">
        <v>22</v>
      </c>
      <c r="M3699" t="s">
        <v>12424</v>
      </c>
      <c r="N3699" t="s">
        <v>12428</v>
      </c>
      <c r="O3699" t="s">
        <v>12429</v>
      </c>
      <c r="P3699" s="2" t="s">
        <v>37</v>
      </c>
      <c r="Q3699" t="s">
        <v>1208</v>
      </c>
      <c r="R3699">
        <v>0.88</v>
      </c>
      <c r="S3699">
        <v>22.56</v>
      </c>
      <c r="T3699" t="s">
        <v>12430</v>
      </c>
    </row>
    <row r="3700" spans="1:20" x14ac:dyDescent="0.25">
      <c r="A3700" s="1" t="str">
        <f>HYPERLINK("https://vegkart.atlas.vegvesen.no/#/@-17139.5,6671390.5,18/hva:hva%5B0%5D%5Bfilter%5D%5B0%5D%5Boperator%5D=%21%3D&amp;hva%5B0%5D%5Bfilter%5D%5B0%5D%5Btype_id%5D=8917&amp;hva%5B0%5D%5Bfilter%5D%5B0%5D%5Bverdi%5D=&amp;hva%5B0%5D%5Bid%5D=49/når:2024-03-12", "Vegkart")</f>
        <v>Vegkart</v>
      </c>
      <c r="B3700">
        <v>1018993472</v>
      </c>
      <c r="C3700">
        <v>49</v>
      </c>
      <c r="D3700" t="s">
        <v>8701</v>
      </c>
      <c r="E3700">
        <v>8917</v>
      </c>
      <c r="F3700" t="s">
        <v>23479</v>
      </c>
      <c r="G3700">
        <v>1</v>
      </c>
      <c r="H3700" t="s">
        <v>12423</v>
      </c>
      <c r="J3700" t="s">
        <v>5340</v>
      </c>
      <c r="K3700" t="s">
        <v>21</v>
      </c>
      <c r="L3700" t="s">
        <v>22</v>
      </c>
      <c r="M3700" t="s">
        <v>12424</v>
      </c>
      <c r="N3700" t="s">
        <v>12431</v>
      </c>
      <c r="O3700" t="s">
        <v>12432</v>
      </c>
      <c r="P3700" s="2" t="s">
        <v>37</v>
      </c>
      <c r="Q3700" t="s">
        <v>1208</v>
      </c>
      <c r="R3700">
        <v>0.3</v>
      </c>
      <c r="S3700">
        <v>22.83</v>
      </c>
      <c r="T3700" t="s">
        <v>12433</v>
      </c>
    </row>
    <row r="3701" spans="1:20" x14ac:dyDescent="0.25">
      <c r="A3701" s="1" t="str">
        <f>HYPERLINK("https://vegkart.atlas.vegvesen.no/#/@-16406.1,6672292.6,18/hva:hva%5B0%5D%5Bfilter%5D%5B0%5D%5Boperator%5D=%21%3D&amp;hva%5B0%5D%5Bfilter%5D%5B0%5D%5Btype_id%5D=8917&amp;hva%5B0%5D%5Bfilter%5D%5B0%5D%5Bverdi%5D=&amp;hva%5B0%5D%5Bid%5D=49/når:2024-04-11", "Vegkart")</f>
        <v>Vegkart</v>
      </c>
      <c r="B3701">
        <v>1018993933</v>
      </c>
      <c r="C3701">
        <v>49</v>
      </c>
      <c r="D3701" t="s">
        <v>8701</v>
      </c>
      <c r="E3701">
        <v>8917</v>
      </c>
      <c r="F3701" t="s">
        <v>23479</v>
      </c>
      <c r="G3701">
        <v>2</v>
      </c>
      <c r="H3701" t="s">
        <v>8218</v>
      </c>
      <c r="J3701" t="s">
        <v>5340</v>
      </c>
      <c r="K3701" t="s">
        <v>21</v>
      </c>
      <c r="L3701" t="s">
        <v>22</v>
      </c>
      <c r="M3701" t="s">
        <v>12424</v>
      </c>
      <c r="N3701" t="s">
        <v>12434</v>
      </c>
      <c r="O3701" t="s">
        <v>12435</v>
      </c>
      <c r="P3701" s="2" t="s">
        <v>37</v>
      </c>
      <c r="Q3701" t="s">
        <v>1208</v>
      </c>
      <c r="R3701">
        <v>0.38</v>
      </c>
      <c r="S3701">
        <v>23.12</v>
      </c>
      <c r="T3701" t="s">
        <v>12436</v>
      </c>
    </row>
    <row r="3702" spans="1:20" x14ac:dyDescent="0.25">
      <c r="A3702" s="1" t="str">
        <f>HYPERLINK("https://vegkart.atlas.vegvesen.no/#/@-17283.7,6671435.4,18/hva:hva%5B0%5D%5Bfilter%5D%5B0%5D%5Boperator%5D=%21%3D&amp;hva%5B0%5D%5Bfilter%5D%5B0%5D%5Btype_id%5D=8917&amp;hva%5B0%5D%5Bfilter%5D%5B0%5D%5Bverdi%5D=&amp;hva%5B0%5D%5Bid%5D=49/når:2024-03-18", "Vegkart")</f>
        <v>Vegkart</v>
      </c>
      <c r="B3702">
        <v>1019010254</v>
      </c>
      <c r="C3702">
        <v>49</v>
      </c>
      <c r="D3702" t="s">
        <v>8701</v>
      </c>
      <c r="E3702">
        <v>8917</v>
      </c>
      <c r="F3702" t="s">
        <v>23479</v>
      </c>
      <c r="G3702">
        <v>1</v>
      </c>
      <c r="H3702" t="s">
        <v>12437</v>
      </c>
      <c r="J3702" t="s">
        <v>5340</v>
      </c>
      <c r="K3702" t="s">
        <v>21</v>
      </c>
      <c r="L3702" t="s">
        <v>22</v>
      </c>
      <c r="M3702" t="s">
        <v>11017</v>
      </c>
      <c r="N3702" t="s">
        <v>12438</v>
      </c>
      <c r="O3702" t="s">
        <v>12439</v>
      </c>
      <c r="P3702" s="2" t="s">
        <v>37</v>
      </c>
      <c r="Q3702" t="s">
        <v>1208</v>
      </c>
      <c r="R3702">
        <v>0.48</v>
      </c>
      <c r="S3702">
        <v>64.459999999999994</v>
      </c>
      <c r="T3702" t="s">
        <v>12440</v>
      </c>
    </row>
    <row r="3703" spans="1:20" x14ac:dyDescent="0.25">
      <c r="A3703" s="1" t="str">
        <f>HYPERLINK("https://vegkart.atlas.vegvesen.no/#/@-17386.2,6671429.3,18/hva:hva%5B0%5D%5Bfilter%5D%5B0%5D%5Boperator%5D=%21%3D&amp;hva%5B0%5D%5Bfilter%5D%5B0%5D%5Btype_id%5D=8917&amp;hva%5B0%5D%5Bfilter%5D%5B0%5D%5Bverdi%5D=&amp;hva%5B0%5D%5Bid%5D=49/når:2024-03-18", "Vegkart")</f>
        <v>Vegkart</v>
      </c>
      <c r="B3703">
        <v>1019010514</v>
      </c>
      <c r="C3703">
        <v>49</v>
      </c>
      <c r="D3703" t="s">
        <v>8701</v>
      </c>
      <c r="E3703">
        <v>8917</v>
      </c>
      <c r="F3703" t="s">
        <v>23479</v>
      </c>
      <c r="G3703">
        <v>1</v>
      </c>
      <c r="H3703" t="s">
        <v>12437</v>
      </c>
      <c r="J3703" t="s">
        <v>5340</v>
      </c>
      <c r="K3703" t="s">
        <v>21</v>
      </c>
      <c r="L3703" t="s">
        <v>22</v>
      </c>
      <c r="M3703" t="s">
        <v>11017</v>
      </c>
      <c r="N3703" t="s">
        <v>12441</v>
      </c>
      <c r="O3703" t="s">
        <v>12442</v>
      </c>
      <c r="P3703" s="2" t="s">
        <v>37</v>
      </c>
      <c r="Q3703" t="s">
        <v>1208</v>
      </c>
      <c r="R3703">
        <v>0.38</v>
      </c>
      <c r="S3703">
        <v>25.75</v>
      </c>
      <c r="T3703" t="s">
        <v>12443</v>
      </c>
    </row>
    <row r="3704" spans="1:20" x14ac:dyDescent="0.25">
      <c r="A3704" s="1" t="str">
        <f>HYPERLINK("https://vegkart.atlas.vegvesen.no/#/@-34649.9,6729937.0,18/hva:hva%5B0%5D%5Bfilter%5D%5B0%5D%5Boperator%5D=%21%3D&amp;hva%5B0%5D%5Bfilter%5D%5B0%5D%5Btype_id%5D=8917&amp;hva%5B0%5D%5Bfilter%5D%5B0%5D%5Bverdi%5D=&amp;hva%5B0%5D%5Bid%5D=49/når:2024-04-03", "Vegkart")</f>
        <v>Vegkart</v>
      </c>
      <c r="B3704">
        <v>1019035672</v>
      </c>
      <c r="C3704">
        <v>49</v>
      </c>
      <c r="D3704" t="s">
        <v>8701</v>
      </c>
      <c r="E3704">
        <v>8917</v>
      </c>
      <c r="F3704" t="s">
        <v>23479</v>
      </c>
      <c r="G3704">
        <v>1</v>
      </c>
      <c r="H3704" t="s">
        <v>904</v>
      </c>
      <c r="J3704" t="s">
        <v>5340</v>
      </c>
      <c r="K3704" t="s">
        <v>21</v>
      </c>
      <c r="L3704" t="s">
        <v>33</v>
      </c>
      <c r="M3704" t="s">
        <v>558</v>
      </c>
      <c r="N3704" t="s">
        <v>12444</v>
      </c>
      <c r="O3704" t="s">
        <v>12445</v>
      </c>
      <c r="P3704" s="2" t="s">
        <v>37</v>
      </c>
      <c r="Q3704" t="s">
        <v>1208</v>
      </c>
      <c r="R3704">
        <v>0</v>
      </c>
      <c r="S3704">
        <v>24.28</v>
      </c>
      <c r="T3704" t="s">
        <v>12446</v>
      </c>
    </row>
    <row r="3705" spans="1:20" x14ac:dyDescent="0.25">
      <c r="A3705" s="1" t="str">
        <f>HYPERLINK("https://vegkart.atlas.vegvesen.no/#/@-31397.8,6713822.6,18/hva:hva%5B0%5D%5Bfilter%5D%5B0%5D%5Boperator%5D=%21%3D&amp;hva%5B0%5D%5Bfilter%5D%5B0%5D%5Btype_id%5D=8917&amp;hva%5B0%5D%5Bfilter%5D%5B0%5D%5Bverdi%5D=&amp;hva%5B0%5D%5Bid%5D=49/når:2024-04-08", "Vegkart")</f>
        <v>Vegkart</v>
      </c>
      <c r="B3705">
        <v>1019042664</v>
      </c>
      <c r="C3705">
        <v>49</v>
      </c>
      <c r="D3705" t="s">
        <v>8701</v>
      </c>
      <c r="E3705">
        <v>8917</v>
      </c>
      <c r="F3705" t="s">
        <v>23479</v>
      </c>
      <c r="G3705">
        <v>1</v>
      </c>
      <c r="H3705" t="s">
        <v>12447</v>
      </c>
      <c r="J3705" t="s">
        <v>5340</v>
      </c>
      <c r="K3705" t="s">
        <v>21</v>
      </c>
      <c r="L3705" t="s">
        <v>22</v>
      </c>
      <c r="M3705" t="s">
        <v>12448</v>
      </c>
      <c r="N3705" t="s">
        <v>12449</v>
      </c>
      <c r="O3705" t="s">
        <v>12450</v>
      </c>
      <c r="P3705" s="2" t="s">
        <v>26</v>
      </c>
      <c r="Q3705" t="s">
        <v>50</v>
      </c>
      <c r="R3705">
        <v>15.34</v>
      </c>
      <c r="S3705">
        <v>15.35</v>
      </c>
      <c r="T3705" t="s">
        <v>12451</v>
      </c>
    </row>
    <row r="3706" spans="1:20" x14ac:dyDescent="0.25">
      <c r="A3706" s="1" t="str">
        <f>HYPERLINK("https://vegkart.atlas.vegvesen.no/#/@-31383.4,6713834.5,18/hva:hva%5B0%5D%5Bfilter%5D%5B0%5D%5Boperator%5D=%21%3D&amp;hva%5B0%5D%5Bfilter%5D%5B0%5D%5Btype_id%5D=8917&amp;hva%5B0%5D%5Bfilter%5D%5B0%5D%5Bverdi%5D=&amp;hva%5B0%5D%5Bid%5D=49/når:2024-04-08", "Vegkart")</f>
        <v>Vegkart</v>
      </c>
      <c r="B3706">
        <v>1019042671</v>
      </c>
      <c r="C3706">
        <v>49</v>
      </c>
      <c r="D3706" t="s">
        <v>8701</v>
      </c>
      <c r="E3706">
        <v>8917</v>
      </c>
      <c r="F3706" t="s">
        <v>23479</v>
      </c>
      <c r="G3706">
        <v>1</v>
      </c>
      <c r="H3706" t="s">
        <v>12447</v>
      </c>
      <c r="J3706" t="s">
        <v>5340</v>
      </c>
      <c r="K3706" t="s">
        <v>21</v>
      </c>
      <c r="L3706" t="s">
        <v>22</v>
      </c>
      <c r="M3706" t="s">
        <v>12448</v>
      </c>
      <c r="N3706" t="s">
        <v>12452</v>
      </c>
      <c r="O3706" t="s">
        <v>12453</v>
      </c>
      <c r="P3706" s="2" t="s">
        <v>26</v>
      </c>
      <c r="Q3706" t="s">
        <v>50</v>
      </c>
      <c r="R3706">
        <v>17.52</v>
      </c>
      <c r="S3706">
        <v>17.52</v>
      </c>
      <c r="T3706" t="s">
        <v>12454</v>
      </c>
    </row>
    <row r="3707" spans="1:20" x14ac:dyDescent="0.25">
      <c r="A3707" s="1" t="str">
        <f>HYPERLINK("https://vegkart.atlas.vegvesen.no/#/@-34898.1,6648480.4,18/hva:hva%5B0%5D%5Bfilter%5D%5B0%5D%5Boperator%5D=%21%3D&amp;hva%5B0%5D%5Bfilter%5D%5B0%5D%5Btype_id%5D=8917&amp;hva%5B0%5D%5Bfilter%5D%5B0%5D%5Bverdi%5D=&amp;hva%5B0%5D%5Bid%5D=49/når:2024-04-23", "Vegkart")</f>
        <v>Vegkart</v>
      </c>
      <c r="B3707">
        <v>1019077553</v>
      </c>
      <c r="C3707">
        <v>49</v>
      </c>
      <c r="D3707" t="s">
        <v>8701</v>
      </c>
      <c r="E3707">
        <v>8917</v>
      </c>
      <c r="F3707" t="s">
        <v>23479</v>
      </c>
      <c r="G3707">
        <v>1</v>
      </c>
      <c r="H3707" t="s">
        <v>12455</v>
      </c>
      <c r="J3707" t="s">
        <v>5340</v>
      </c>
      <c r="K3707" t="s">
        <v>21</v>
      </c>
      <c r="L3707" t="s">
        <v>22</v>
      </c>
      <c r="M3707" t="s">
        <v>12456</v>
      </c>
      <c r="N3707" t="s">
        <v>12457</v>
      </c>
      <c r="O3707" t="s">
        <v>12458</v>
      </c>
      <c r="P3707" s="2" t="s">
        <v>37</v>
      </c>
      <c r="Q3707" t="s">
        <v>1208</v>
      </c>
      <c r="R3707">
        <v>0</v>
      </c>
      <c r="S3707">
        <v>17.579999999999998</v>
      </c>
      <c r="T3707" t="s">
        <v>12459</v>
      </c>
    </row>
    <row r="3708" spans="1:20" x14ac:dyDescent="0.25">
      <c r="A3708" s="1" t="str">
        <f>HYPERLINK("https://vegkart.atlas.vegvesen.no/#/@303714.4,7058591.4,18/hva:hva%5B0%5D%5Bfilter%5D%5B0%5D%5Boperator%5D=%21%3D&amp;hva%5B0%5D%5Bfilter%5D%5B0%5D%5Btype_id%5D=8917&amp;hva%5B0%5D%5Bfilter%5D%5B0%5D%5Bverdi%5D=&amp;hva%5B0%5D%5Bid%5D=49/når:2024-09-02", "Vegkart")</f>
        <v>Vegkart</v>
      </c>
      <c r="B3708">
        <v>1019158830</v>
      </c>
      <c r="C3708">
        <v>49</v>
      </c>
      <c r="D3708" t="s">
        <v>8701</v>
      </c>
      <c r="E3708">
        <v>8917</v>
      </c>
      <c r="F3708" t="s">
        <v>23479</v>
      </c>
      <c r="G3708">
        <v>2</v>
      </c>
      <c r="H3708" t="s">
        <v>2327</v>
      </c>
      <c r="J3708" t="s">
        <v>5340</v>
      </c>
      <c r="K3708" t="s">
        <v>192</v>
      </c>
      <c r="L3708" t="s">
        <v>80</v>
      </c>
      <c r="M3708" t="s">
        <v>105</v>
      </c>
      <c r="N3708" t="s">
        <v>12460</v>
      </c>
      <c r="O3708" t="s">
        <v>12461</v>
      </c>
      <c r="P3708" s="2" t="s">
        <v>37</v>
      </c>
      <c r="Q3708" t="s">
        <v>1208</v>
      </c>
      <c r="R3708">
        <v>0</v>
      </c>
      <c r="S3708">
        <v>62.55</v>
      </c>
      <c r="T3708" t="s">
        <v>12462</v>
      </c>
    </row>
    <row r="3709" spans="1:20" x14ac:dyDescent="0.25">
      <c r="A3709" s="1" t="str">
        <f>HYPERLINK("https://vegkart.atlas.vegvesen.no/#/@303714.4,7058591.4,18/hva:hva%5B0%5D%5Bfilter%5D%5B0%5D%5Boperator%5D=%21%3D&amp;hva%5B0%5D%5Bfilter%5D%5B0%5D%5Btype_id%5D=8917&amp;hva%5B0%5D%5Bfilter%5D%5B0%5D%5Bverdi%5D=&amp;hva%5B0%5D%5Bid%5D=49/når:2024-05-08", "Vegkart")</f>
        <v>Vegkart</v>
      </c>
      <c r="B3709">
        <v>1019158831</v>
      </c>
      <c r="C3709">
        <v>49</v>
      </c>
      <c r="D3709" t="s">
        <v>8701</v>
      </c>
      <c r="E3709">
        <v>8917</v>
      </c>
      <c r="F3709" t="s">
        <v>23479</v>
      </c>
      <c r="G3709">
        <v>1</v>
      </c>
      <c r="H3709" t="s">
        <v>12463</v>
      </c>
      <c r="J3709" t="s">
        <v>5340</v>
      </c>
      <c r="K3709" t="s">
        <v>192</v>
      </c>
      <c r="L3709" t="s">
        <v>80</v>
      </c>
      <c r="M3709" t="s">
        <v>105</v>
      </c>
      <c r="N3709" t="s">
        <v>12460</v>
      </c>
      <c r="O3709" t="s">
        <v>12464</v>
      </c>
      <c r="P3709" s="2" t="s">
        <v>37</v>
      </c>
      <c r="Q3709" t="s">
        <v>1208</v>
      </c>
      <c r="R3709">
        <v>0</v>
      </c>
      <c r="S3709">
        <v>75.17</v>
      </c>
      <c r="T3709" t="s">
        <v>12465</v>
      </c>
    </row>
    <row r="3710" spans="1:20" x14ac:dyDescent="0.25">
      <c r="A3710" s="1" t="str">
        <f>HYPERLINK("https://vegkart.atlas.vegvesen.no/#/@303703.4,7058614.9,18/hva:hva%5B0%5D%5Bfilter%5D%5B0%5D%5Boperator%5D=%21%3D&amp;hva%5B0%5D%5Bfilter%5D%5B0%5D%5Btype_id%5D=8917&amp;hva%5B0%5D%5Bfilter%5D%5B0%5D%5Bverdi%5D=&amp;hva%5B0%5D%5Bid%5D=49/når:2024-05-08", "Vegkart")</f>
        <v>Vegkart</v>
      </c>
      <c r="B3710">
        <v>1019158832</v>
      </c>
      <c r="C3710">
        <v>49</v>
      </c>
      <c r="D3710" t="s">
        <v>8701</v>
      </c>
      <c r="E3710">
        <v>8917</v>
      </c>
      <c r="F3710" t="s">
        <v>23479</v>
      </c>
      <c r="G3710">
        <v>1</v>
      </c>
      <c r="H3710" t="s">
        <v>12463</v>
      </c>
      <c r="J3710" t="s">
        <v>5340</v>
      </c>
      <c r="K3710" t="s">
        <v>192</v>
      </c>
      <c r="L3710" t="s">
        <v>80</v>
      </c>
      <c r="M3710" t="s">
        <v>105</v>
      </c>
      <c r="N3710" t="s">
        <v>12466</v>
      </c>
      <c r="O3710" t="s">
        <v>12467</v>
      </c>
      <c r="P3710" s="2" t="s">
        <v>37</v>
      </c>
      <c r="Q3710" t="s">
        <v>1208</v>
      </c>
      <c r="R3710">
        <v>0</v>
      </c>
      <c r="S3710">
        <v>25.51</v>
      </c>
      <c r="T3710" t="s">
        <v>12468</v>
      </c>
    </row>
    <row r="3711" spans="1:20" x14ac:dyDescent="0.25">
      <c r="A3711" s="1" t="str">
        <f>HYPERLINK("https://vegkart.atlas.vegvesen.no/#/@303725.4,7058568.0,18/hva:hva%5B0%5D%5Bfilter%5D%5B0%5D%5Boperator%5D=%21%3D&amp;hva%5B0%5D%5Bfilter%5D%5B0%5D%5Btype_id%5D=8917&amp;hva%5B0%5D%5Bfilter%5D%5B0%5D%5Bverdi%5D=&amp;hva%5B0%5D%5Bid%5D=49/når:2024-05-08", "Vegkart")</f>
        <v>Vegkart</v>
      </c>
      <c r="B3711">
        <v>1019158833</v>
      </c>
      <c r="C3711">
        <v>49</v>
      </c>
      <c r="D3711" t="s">
        <v>8701</v>
      </c>
      <c r="E3711">
        <v>8917</v>
      </c>
      <c r="F3711" t="s">
        <v>23479</v>
      </c>
      <c r="G3711">
        <v>1</v>
      </c>
      <c r="H3711" t="s">
        <v>12463</v>
      </c>
      <c r="J3711" t="s">
        <v>5340</v>
      </c>
      <c r="K3711" t="s">
        <v>192</v>
      </c>
      <c r="L3711" t="s">
        <v>80</v>
      </c>
      <c r="M3711" t="s">
        <v>105</v>
      </c>
      <c r="N3711" t="s">
        <v>12469</v>
      </c>
      <c r="O3711" t="s">
        <v>12470</v>
      </c>
      <c r="P3711" s="2" t="s">
        <v>37</v>
      </c>
      <c r="Q3711" t="s">
        <v>1208</v>
      </c>
      <c r="R3711">
        <v>0</v>
      </c>
      <c r="S3711">
        <v>25.59</v>
      </c>
      <c r="T3711" t="s">
        <v>12471</v>
      </c>
    </row>
    <row r="3712" spans="1:20" x14ac:dyDescent="0.25">
      <c r="A3712" s="1" t="str">
        <f>HYPERLINK("https://vegkart.atlas.vegvesen.no/#/@-35171.4,6773660.8,18/hva:hva%5B0%5D%5Bfilter%5D%5B0%5D%5Boperator%5D=%21%3D&amp;hva%5B0%5D%5Bfilter%5D%5B0%5D%5Btype_id%5D=8917&amp;hva%5B0%5D%5Bfilter%5D%5B0%5D%5Bverdi%5D=&amp;hva%5B0%5D%5Bid%5D=49/når:2024-05-14", "Vegkart")</f>
        <v>Vegkart</v>
      </c>
      <c r="B3712">
        <v>1019166043</v>
      </c>
      <c r="C3712">
        <v>49</v>
      </c>
      <c r="D3712" t="s">
        <v>8701</v>
      </c>
      <c r="E3712">
        <v>8917</v>
      </c>
      <c r="F3712" t="s">
        <v>23479</v>
      </c>
      <c r="G3712">
        <v>1</v>
      </c>
      <c r="H3712" t="s">
        <v>5615</v>
      </c>
      <c r="J3712" t="s">
        <v>5340</v>
      </c>
      <c r="K3712" t="s">
        <v>21</v>
      </c>
      <c r="L3712" t="s">
        <v>33</v>
      </c>
      <c r="M3712" t="s">
        <v>11392</v>
      </c>
      <c r="N3712" t="s">
        <v>12472</v>
      </c>
      <c r="O3712" t="s">
        <v>12473</v>
      </c>
      <c r="P3712" s="2" t="s">
        <v>37</v>
      </c>
      <c r="Q3712" t="s">
        <v>1208</v>
      </c>
      <c r="R3712">
        <v>0</v>
      </c>
      <c r="S3712">
        <v>23.22</v>
      </c>
      <c r="T3712" t="s">
        <v>12474</v>
      </c>
    </row>
    <row r="3713" spans="1:20" x14ac:dyDescent="0.25">
      <c r="A3713" s="1" t="str">
        <f>HYPERLINK("https://vegkart.atlas.vegvesen.no/#/@-33210.5,6706724.9,18/hva:hva%5B0%5D%5Bfilter%5D%5B0%5D%5Boperator%5D=%21%3D&amp;hva%5B0%5D%5Bfilter%5D%5B0%5D%5Btype_id%5D=8917&amp;hva%5B0%5D%5Bfilter%5D%5B0%5D%5Bverdi%5D=&amp;hva%5B0%5D%5Bid%5D=49/når:2024-05-28", "Vegkart")</f>
        <v>Vegkart</v>
      </c>
      <c r="B3713">
        <v>1019187711</v>
      </c>
      <c r="C3713">
        <v>49</v>
      </c>
      <c r="D3713" t="s">
        <v>8701</v>
      </c>
      <c r="E3713">
        <v>8917</v>
      </c>
      <c r="F3713" t="s">
        <v>23479</v>
      </c>
      <c r="G3713">
        <v>1</v>
      </c>
      <c r="H3713" t="s">
        <v>12475</v>
      </c>
      <c r="J3713" t="s">
        <v>5340</v>
      </c>
      <c r="K3713" t="s">
        <v>21</v>
      </c>
      <c r="L3713" t="s">
        <v>22</v>
      </c>
      <c r="M3713" t="s">
        <v>9001</v>
      </c>
      <c r="N3713" t="s">
        <v>12476</v>
      </c>
      <c r="O3713" t="s">
        <v>12477</v>
      </c>
      <c r="P3713" s="2" t="s">
        <v>26</v>
      </c>
      <c r="Q3713" t="s">
        <v>50</v>
      </c>
      <c r="R3713">
        <v>9.5</v>
      </c>
      <c r="S3713">
        <v>9.5</v>
      </c>
      <c r="T3713" t="s">
        <v>12478</v>
      </c>
    </row>
    <row r="3714" spans="1:20" x14ac:dyDescent="0.25">
      <c r="A3714" s="1" t="str">
        <f>HYPERLINK("https://vegkart.atlas.vegvesen.no/#/@411484.3,7378415.7,18/hva:hva%5B0%5D%5Bfilter%5D%5B0%5D%5Boperator%5D=%21%3D&amp;hva%5B0%5D%5Bfilter%5D%5B0%5D%5Btype_id%5D=8917&amp;hva%5B0%5D%5Bfilter%5D%5B0%5D%5Bverdi%5D=&amp;hva%5B0%5D%5Bid%5D=49/når:2024-06-07", "Vegkart")</f>
        <v>Vegkart</v>
      </c>
      <c r="B3714">
        <v>1019232824</v>
      </c>
      <c r="C3714">
        <v>49</v>
      </c>
      <c r="D3714" t="s">
        <v>8701</v>
      </c>
      <c r="E3714">
        <v>8917</v>
      </c>
      <c r="F3714" t="s">
        <v>23479</v>
      </c>
      <c r="G3714">
        <v>1</v>
      </c>
      <c r="H3714" t="s">
        <v>12479</v>
      </c>
      <c r="J3714" t="s">
        <v>5340</v>
      </c>
      <c r="K3714" t="s">
        <v>53</v>
      </c>
      <c r="L3714" t="s">
        <v>33</v>
      </c>
      <c r="M3714" t="s">
        <v>12480</v>
      </c>
      <c r="N3714" t="s">
        <v>12481</v>
      </c>
      <c r="O3714" t="s">
        <v>12482</v>
      </c>
      <c r="P3714" s="2" t="s">
        <v>37</v>
      </c>
      <c r="Q3714" t="s">
        <v>1208</v>
      </c>
      <c r="R3714">
        <v>1.2</v>
      </c>
      <c r="S3714">
        <v>189.05</v>
      </c>
      <c r="T3714" t="s">
        <v>12483</v>
      </c>
    </row>
    <row r="3715" spans="1:20" x14ac:dyDescent="0.25">
      <c r="A3715" s="1" t="str">
        <f>HYPERLINK("https://vegkart.atlas.vegvesen.no/#/@411487.8,7378407.6,18/hva:hva%5B0%5D%5Bfilter%5D%5B0%5D%5Boperator%5D=%21%3D&amp;hva%5B0%5D%5Bfilter%5D%5B0%5D%5Btype_id%5D=8917&amp;hva%5B0%5D%5Bfilter%5D%5B0%5D%5Bverdi%5D=&amp;hva%5B0%5D%5Bid%5D=49/når:2024-06-07", "Vegkart")</f>
        <v>Vegkart</v>
      </c>
      <c r="B3715">
        <v>1019232825</v>
      </c>
      <c r="C3715">
        <v>49</v>
      </c>
      <c r="D3715" t="s">
        <v>8701</v>
      </c>
      <c r="E3715">
        <v>8917</v>
      </c>
      <c r="F3715" t="s">
        <v>23479</v>
      </c>
      <c r="G3715">
        <v>1</v>
      </c>
      <c r="H3715" t="s">
        <v>12479</v>
      </c>
      <c r="J3715" t="s">
        <v>5340</v>
      </c>
      <c r="K3715" t="s">
        <v>53</v>
      </c>
      <c r="L3715" t="s">
        <v>33</v>
      </c>
      <c r="M3715" t="s">
        <v>12480</v>
      </c>
      <c r="N3715" t="s">
        <v>12484</v>
      </c>
      <c r="O3715" t="s">
        <v>12485</v>
      </c>
      <c r="P3715" s="2" t="s">
        <v>37</v>
      </c>
      <c r="Q3715" t="s">
        <v>1208</v>
      </c>
      <c r="R3715">
        <v>3.29</v>
      </c>
      <c r="S3715">
        <v>195.82</v>
      </c>
      <c r="T3715" t="s">
        <v>12486</v>
      </c>
    </row>
    <row r="3716" spans="1:20" x14ac:dyDescent="0.25">
      <c r="A3716" s="1" t="str">
        <f>HYPERLINK("https://vegkart.atlas.vegvesen.no/#/@267253.5,6638465.9,18/hva:hva%5B0%5D%5Bfilter%5D%5B0%5D%5Boperator%5D=%21%3D&amp;hva%5B0%5D%5Bfilter%5D%5B0%5D%5Btype_id%5D=8917&amp;hva%5B0%5D%5Bfilter%5D%5B0%5D%5Bverdi%5D=&amp;hva%5B0%5D%5Bid%5D=49/når:2024-07-02", "Vegkart")</f>
        <v>Vegkart</v>
      </c>
      <c r="B3716">
        <v>1019342548</v>
      </c>
      <c r="C3716">
        <v>49</v>
      </c>
      <c r="D3716" t="s">
        <v>8701</v>
      </c>
      <c r="E3716">
        <v>8917</v>
      </c>
      <c r="F3716" t="s">
        <v>23479</v>
      </c>
      <c r="G3716">
        <v>1</v>
      </c>
      <c r="H3716" t="s">
        <v>12487</v>
      </c>
      <c r="J3716" t="s">
        <v>5340</v>
      </c>
      <c r="K3716" t="s">
        <v>335</v>
      </c>
      <c r="L3716" t="s">
        <v>80</v>
      </c>
      <c r="M3716" t="s">
        <v>105</v>
      </c>
      <c r="N3716" t="s">
        <v>12488</v>
      </c>
      <c r="O3716" t="s">
        <v>12489</v>
      </c>
      <c r="P3716" s="2" t="s">
        <v>37</v>
      </c>
      <c r="Q3716" t="s">
        <v>1208</v>
      </c>
      <c r="R3716">
        <v>0</v>
      </c>
      <c r="S3716">
        <v>36.72</v>
      </c>
      <c r="T3716" t="s">
        <v>12490</v>
      </c>
    </row>
    <row r="3717" spans="1:20" x14ac:dyDescent="0.25">
      <c r="A3717" s="1" t="str">
        <f>HYPERLINK("https://vegkart.atlas.vegvesen.no/#/@267273.8,6638478.2,18/hva:hva%5B0%5D%5Bfilter%5D%5B0%5D%5Boperator%5D=%21%3D&amp;hva%5B0%5D%5Bfilter%5D%5B0%5D%5Btype_id%5D=8917&amp;hva%5B0%5D%5Bfilter%5D%5B0%5D%5Bverdi%5D=&amp;hva%5B0%5D%5Bid%5D=49/når:2024-07-02", "Vegkart")</f>
        <v>Vegkart</v>
      </c>
      <c r="B3717">
        <v>1019342549</v>
      </c>
      <c r="C3717">
        <v>49</v>
      </c>
      <c r="D3717" t="s">
        <v>8701</v>
      </c>
      <c r="E3717">
        <v>8917</v>
      </c>
      <c r="F3717" t="s">
        <v>23479</v>
      </c>
      <c r="G3717">
        <v>1</v>
      </c>
      <c r="H3717" t="s">
        <v>12487</v>
      </c>
      <c r="J3717" t="s">
        <v>5340</v>
      </c>
      <c r="K3717" t="s">
        <v>335</v>
      </c>
      <c r="L3717" t="s">
        <v>80</v>
      </c>
      <c r="M3717" t="s">
        <v>105</v>
      </c>
      <c r="N3717" t="s">
        <v>12491</v>
      </c>
      <c r="O3717" t="s">
        <v>12492</v>
      </c>
      <c r="P3717" s="2" t="s">
        <v>37</v>
      </c>
      <c r="Q3717" t="s">
        <v>1208</v>
      </c>
      <c r="R3717">
        <v>0</v>
      </c>
      <c r="S3717">
        <v>56.33</v>
      </c>
      <c r="T3717" t="s">
        <v>12493</v>
      </c>
    </row>
    <row r="3718" spans="1:20" x14ac:dyDescent="0.25">
      <c r="A3718" s="1" t="str">
        <f>HYPERLINK("https://vegkart.atlas.vegvesen.no/#/@253397.0,6596411.4,18/hva:hva%5B0%5D%5Bfilter%5D%5B0%5D%5Boperator%5D=%21%3D&amp;hva%5B0%5D%5Bfilter%5D%5B0%5D%5Btype_id%5D=8917&amp;hva%5B0%5D%5Bfilter%5D%5B0%5D%5Bverdi%5D=&amp;hva%5B0%5D%5Bid%5D=49/når:2023-04-01", "Vegkart")</f>
        <v>Vegkart</v>
      </c>
      <c r="B3718">
        <v>1019345007</v>
      </c>
      <c r="C3718">
        <v>49</v>
      </c>
      <c r="D3718" t="s">
        <v>8701</v>
      </c>
      <c r="E3718">
        <v>8917</v>
      </c>
      <c r="F3718" t="s">
        <v>23479</v>
      </c>
      <c r="G3718">
        <v>1</v>
      </c>
      <c r="H3718" t="s">
        <v>12494</v>
      </c>
      <c r="J3718" t="s">
        <v>5340</v>
      </c>
      <c r="K3718" t="s">
        <v>104</v>
      </c>
      <c r="L3718" t="s">
        <v>33</v>
      </c>
      <c r="M3718" t="s">
        <v>8797</v>
      </c>
      <c r="N3718" t="s">
        <v>12495</v>
      </c>
      <c r="O3718" t="s">
        <v>12496</v>
      </c>
      <c r="P3718" s="2" t="s">
        <v>165</v>
      </c>
      <c r="Q3718" t="s">
        <v>166</v>
      </c>
      <c r="R3718">
        <v>76.430000000000007</v>
      </c>
      <c r="S3718">
        <v>76.45</v>
      </c>
      <c r="T3718" t="s">
        <v>167</v>
      </c>
    </row>
    <row r="3719" spans="1:20" x14ac:dyDescent="0.25">
      <c r="A3719" s="1" t="str">
        <f>HYPERLINK("https://vegkart.atlas.vegvesen.no/#/@-28289.7,6709894.0,18/hva:hva%5B0%5D%5Bfilter%5D%5B0%5D%5Boperator%5D=%21%3D&amp;hva%5B0%5D%5Bfilter%5D%5B0%5D%5Btype_id%5D=8917&amp;hva%5B0%5D%5Bfilter%5D%5B0%5D%5Bverdi%5D=&amp;hva%5B0%5D%5Bid%5D=49/når:2024-07-22", "Vegkart")</f>
        <v>Vegkart</v>
      </c>
      <c r="B3719">
        <v>1019519276</v>
      </c>
      <c r="C3719">
        <v>49</v>
      </c>
      <c r="D3719" t="s">
        <v>8701</v>
      </c>
      <c r="E3719">
        <v>8917</v>
      </c>
      <c r="F3719" t="s">
        <v>23479</v>
      </c>
      <c r="G3719">
        <v>1</v>
      </c>
      <c r="H3719" t="s">
        <v>12497</v>
      </c>
      <c r="J3719" t="s">
        <v>5340</v>
      </c>
      <c r="K3719" t="s">
        <v>21</v>
      </c>
      <c r="L3719" t="s">
        <v>22</v>
      </c>
      <c r="M3719" t="s">
        <v>12498</v>
      </c>
      <c r="N3719" t="s">
        <v>12499</v>
      </c>
      <c r="O3719" t="s">
        <v>12500</v>
      </c>
      <c r="P3719" s="2" t="s">
        <v>26</v>
      </c>
      <c r="Q3719" t="s">
        <v>50</v>
      </c>
      <c r="R3719">
        <v>8.0299999999999994</v>
      </c>
      <c r="S3719">
        <v>8.0399999999999991</v>
      </c>
      <c r="T3719" t="s">
        <v>12501</v>
      </c>
    </row>
    <row r="3720" spans="1:20" x14ac:dyDescent="0.25">
      <c r="A3720" s="1" t="str">
        <f>HYPERLINK("https://vegkart.atlas.vegvesen.no/#/@31459.0,6493155.9,18/hva:hva%5B0%5D%5Bfilter%5D%5B0%5D%5Boperator%5D=%21%3D&amp;hva%5B0%5D%5Bfilter%5D%5B0%5D%5Btype_id%5D=8917&amp;hva%5B0%5D%5Bfilter%5D%5B0%5D%5Bverdi%5D=&amp;hva%5B0%5D%5Bid%5D=49/når:2024-07-26", "Vegkart")</f>
        <v>Vegkart</v>
      </c>
      <c r="B3720">
        <v>1019529044</v>
      </c>
      <c r="C3720">
        <v>49</v>
      </c>
      <c r="D3720" t="s">
        <v>8701</v>
      </c>
      <c r="E3720">
        <v>8917</v>
      </c>
      <c r="F3720" t="s">
        <v>23479</v>
      </c>
      <c r="G3720">
        <v>1</v>
      </c>
      <c r="H3720" t="s">
        <v>12502</v>
      </c>
      <c r="J3720" t="s">
        <v>5340</v>
      </c>
      <c r="K3720" t="s">
        <v>86</v>
      </c>
      <c r="L3720" t="s">
        <v>22</v>
      </c>
      <c r="M3720" t="s">
        <v>12503</v>
      </c>
      <c r="N3720" t="s">
        <v>12504</v>
      </c>
      <c r="O3720" t="s">
        <v>12505</v>
      </c>
      <c r="P3720" s="2" t="s">
        <v>37</v>
      </c>
      <c r="Q3720" t="s">
        <v>1208</v>
      </c>
      <c r="R3720">
        <v>0.28000000000000003</v>
      </c>
      <c r="S3720">
        <v>6.01</v>
      </c>
      <c r="T3720" t="s">
        <v>12506</v>
      </c>
    </row>
    <row r="3721" spans="1:20" x14ac:dyDescent="0.25">
      <c r="A3721" s="1" t="str">
        <f>HYPERLINK("https://vegkart.atlas.vegvesen.no/#/@29579.1,6491915.9,18/hva:hva%5B0%5D%5Bfilter%5D%5B0%5D%5Boperator%5D=%21%3D&amp;hva%5B0%5D%5Bfilter%5D%5B0%5D%5Btype_id%5D=8917&amp;hva%5B0%5D%5Bfilter%5D%5B0%5D%5Bverdi%5D=&amp;hva%5B0%5D%5Bid%5D=49/når:2024-08-05", "Vegkart")</f>
        <v>Vegkart</v>
      </c>
      <c r="B3721">
        <v>1019562398</v>
      </c>
      <c r="C3721">
        <v>49</v>
      </c>
      <c r="D3721" t="s">
        <v>8701</v>
      </c>
      <c r="E3721">
        <v>8917</v>
      </c>
      <c r="F3721" t="s">
        <v>23479</v>
      </c>
      <c r="G3721">
        <v>1</v>
      </c>
      <c r="H3721" t="s">
        <v>12507</v>
      </c>
      <c r="J3721" t="s">
        <v>5340</v>
      </c>
      <c r="K3721" t="s">
        <v>86</v>
      </c>
      <c r="L3721" t="s">
        <v>22</v>
      </c>
      <c r="M3721" t="s">
        <v>12508</v>
      </c>
      <c r="N3721" t="s">
        <v>12509</v>
      </c>
      <c r="O3721" t="s">
        <v>12510</v>
      </c>
      <c r="P3721" s="2" t="s">
        <v>37</v>
      </c>
      <c r="Q3721" t="s">
        <v>1208</v>
      </c>
      <c r="R3721">
        <v>0.64</v>
      </c>
      <c r="S3721">
        <v>28.54</v>
      </c>
      <c r="T3721" t="s">
        <v>12511</v>
      </c>
    </row>
    <row r="3722" spans="1:20" x14ac:dyDescent="0.25">
      <c r="A3722" s="1" t="str">
        <f>HYPERLINK("https://vegkart.atlas.vegvesen.no/#/@29576.9,6491937.8,18/hva:hva%5B0%5D%5Bfilter%5D%5B0%5D%5Boperator%5D=%21%3D&amp;hva%5B0%5D%5Bfilter%5D%5B0%5D%5Btype_id%5D=8917&amp;hva%5B0%5D%5Bfilter%5D%5B0%5D%5Bverdi%5D=&amp;hva%5B0%5D%5Bid%5D=49/når:2024-08-05", "Vegkart")</f>
        <v>Vegkart</v>
      </c>
      <c r="B3722">
        <v>1019562798</v>
      </c>
      <c r="C3722">
        <v>49</v>
      </c>
      <c r="D3722" t="s">
        <v>8701</v>
      </c>
      <c r="E3722">
        <v>8917</v>
      </c>
      <c r="F3722" t="s">
        <v>23479</v>
      </c>
      <c r="G3722">
        <v>1</v>
      </c>
      <c r="H3722" t="s">
        <v>12507</v>
      </c>
      <c r="J3722" t="s">
        <v>5340</v>
      </c>
      <c r="K3722" t="s">
        <v>86</v>
      </c>
      <c r="L3722" t="s">
        <v>22</v>
      </c>
      <c r="M3722" t="s">
        <v>12508</v>
      </c>
      <c r="N3722" t="s">
        <v>12512</v>
      </c>
      <c r="O3722" t="s">
        <v>12513</v>
      </c>
      <c r="P3722" s="2" t="s">
        <v>37</v>
      </c>
      <c r="Q3722" t="s">
        <v>1208</v>
      </c>
      <c r="R3722">
        <v>0.82</v>
      </c>
      <c r="S3722">
        <v>43.44</v>
      </c>
      <c r="T3722" t="s">
        <v>12514</v>
      </c>
    </row>
    <row r="3723" spans="1:20" x14ac:dyDescent="0.25">
      <c r="A3723" s="1" t="str">
        <f>HYPERLINK("https://vegkart.atlas.vegvesen.no/#/@29469.1,6491991.5,18/hva:hva%5B0%5D%5Bfilter%5D%5B0%5D%5Boperator%5D=%21%3D&amp;hva%5B0%5D%5Bfilter%5D%5B0%5D%5Btype_id%5D=8917&amp;hva%5B0%5D%5Bfilter%5D%5B0%5D%5Bverdi%5D=&amp;hva%5B0%5D%5Bid%5D=49/når:2024-08-06", "Vegkart")</f>
        <v>Vegkart</v>
      </c>
      <c r="B3723">
        <v>1019563305</v>
      </c>
      <c r="C3723">
        <v>49</v>
      </c>
      <c r="D3723" t="s">
        <v>8701</v>
      </c>
      <c r="E3723">
        <v>8917</v>
      </c>
      <c r="F3723" t="s">
        <v>23479</v>
      </c>
      <c r="G3723">
        <v>1</v>
      </c>
      <c r="H3723" t="s">
        <v>12515</v>
      </c>
      <c r="J3723" t="s">
        <v>5340</v>
      </c>
      <c r="K3723" t="s">
        <v>86</v>
      </c>
      <c r="L3723" t="s">
        <v>370</v>
      </c>
      <c r="M3723" t="s">
        <v>12516</v>
      </c>
      <c r="N3723" t="s">
        <v>12517</v>
      </c>
      <c r="O3723" t="s">
        <v>12518</v>
      </c>
      <c r="P3723" s="2" t="s">
        <v>37</v>
      </c>
      <c r="Q3723" t="s">
        <v>1208</v>
      </c>
      <c r="R3723">
        <v>0.55000000000000004</v>
      </c>
      <c r="S3723">
        <v>25.73</v>
      </c>
      <c r="T3723" t="s">
        <v>12519</v>
      </c>
    </row>
    <row r="3724" spans="1:20" x14ac:dyDescent="0.25">
      <c r="A3724" s="1" t="str">
        <f>HYPERLINK("https://vegkart.atlas.vegvesen.no/#/@29585.9,6491920.1,18/hva:hva%5B0%5D%5Bfilter%5D%5B0%5D%5Boperator%5D=%21%3D&amp;hva%5B0%5D%5Bfilter%5D%5B0%5D%5Btype_id%5D=8917&amp;hva%5B0%5D%5Bfilter%5D%5B0%5D%5Bverdi%5D=&amp;hva%5B0%5D%5Bid%5D=49/når:2024-08-06", "Vegkart")</f>
        <v>Vegkart</v>
      </c>
      <c r="B3724">
        <v>1019563732</v>
      </c>
      <c r="C3724">
        <v>49</v>
      </c>
      <c r="D3724" t="s">
        <v>8701</v>
      </c>
      <c r="E3724">
        <v>8917</v>
      </c>
      <c r="F3724" t="s">
        <v>23479</v>
      </c>
      <c r="G3724">
        <v>1</v>
      </c>
      <c r="H3724" t="s">
        <v>12515</v>
      </c>
      <c r="J3724" t="s">
        <v>5340</v>
      </c>
      <c r="K3724" t="s">
        <v>86</v>
      </c>
      <c r="L3724" t="s">
        <v>22</v>
      </c>
      <c r="M3724" t="s">
        <v>12508</v>
      </c>
      <c r="N3724" t="s">
        <v>12520</v>
      </c>
      <c r="O3724" t="s">
        <v>12521</v>
      </c>
      <c r="P3724" s="2" t="s">
        <v>37</v>
      </c>
      <c r="Q3724" t="s">
        <v>1208</v>
      </c>
      <c r="R3724">
        <v>0.44</v>
      </c>
      <c r="S3724">
        <v>56.51</v>
      </c>
      <c r="T3724" t="s">
        <v>12522</v>
      </c>
    </row>
    <row r="3725" spans="1:20" x14ac:dyDescent="0.25">
      <c r="A3725" s="1" t="str">
        <f>HYPERLINK("https://vegkart.atlas.vegvesen.no/#/@29559.6,6491539.5,18/hva:hva%5B0%5D%5Bfilter%5D%5B0%5D%5Boperator%5D=%21%3D&amp;hva%5B0%5D%5Bfilter%5D%5B0%5D%5Btype_id%5D=8917&amp;hva%5B0%5D%5Bfilter%5D%5B0%5D%5Bverdi%5D=&amp;hva%5B0%5D%5Bid%5D=49/når:2024-08-06", "Vegkart")</f>
        <v>Vegkart</v>
      </c>
      <c r="B3725">
        <v>1019564765</v>
      </c>
      <c r="C3725">
        <v>49</v>
      </c>
      <c r="D3725" t="s">
        <v>8701</v>
      </c>
      <c r="E3725">
        <v>8917</v>
      </c>
      <c r="F3725" t="s">
        <v>23479</v>
      </c>
      <c r="G3725">
        <v>1</v>
      </c>
      <c r="H3725" t="s">
        <v>12515</v>
      </c>
      <c r="J3725" t="s">
        <v>5340</v>
      </c>
      <c r="K3725" t="s">
        <v>86</v>
      </c>
      <c r="L3725" t="s">
        <v>22</v>
      </c>
      <c r="M3725" t="s">
        <v>12523</v>
      </c>
      <c r="N3725" t="s">
        <v>12524</v>
      </c>
      <c r="O3725" t="s">
        <v>12525</v>
      </c>
      <c r="P3725" s="2" t="s">
        <v>37</v>
      </c>
      <c r="Q3725" t="s">
        <v>1208</v>
      </c>
      <c r="R3725">
        <v>0.56999999999999995</v>
      </c>
      <c r="S3725">
        <v>24.67</v>
      </c>
      <c r="T3725" t="s">
        <v>12526</v>
      </c>
    </row>
    <row r="3726" spans="1:20" x14ac:dyDescent="0.25">
      <c r="A3726" s="1" t="str">
        <f>HYPERLINK("https://vegkart.atlas.vegvesen.no/#/@276233.4,6920443.4,18/hva:hva%5B0%5D%5Bfilter%5D%5B0%5D%5Boperator%5D=%21%3D&amp;hva%5B0%5D%5Bfilter%5D%5B0%5D%5Btype_id%5D=8917&amp;hva%5B0%5D%5Bfilter%5D%5B0%5D%5Bverdi%5D=&amp;hva%5B0%5D%5Bid%5D=49/når:2024-08-19", "Vegkart")</f>
        <v>Vegkart</v>
      </c>
      <c r="B3726">
        <v>1019625627</v>
      </c>
      <c r="C3726">
        <v>49</v>
      </c>
      <c r="D3726" t="s">
        <v>8701</v>
      </c>
      <c r="E3726">
        <v>8917</v>
      </c>
      <c r="F3726" t="s">
        <v>23479</v>
      </c>
      <c r="G3726">
        <v>1</v>
      </c>
      <c r="H3726" t="s">
        <v>12527</v>
      </c>
      <c r="J3726" t="s">
        <v>5340</v>
      </c>
      <c r="K3726" t="s">
        <v>136</v>
      </c>
      <c r="L3726" t="s">
        <v>113</v>
      </c>
      <c r="M3726" t="s">
        <v>335</v>
      </c>
      <c r="N3726" t="s">
        <v>12528</v>
      </c>
      <c r="O3726" t="s">
        <v>12529</v>
      </c>
      <c r="P3726" s="2" t="s">
        <v>37</v>
      </c>
      <c r="Q3726" t="s">
        <v>1208</v>
      </c>
      <c r="R3726">
        <v>0</v>
      </c>
      <c r="S3726">
        <v>21.21</v>
      </c>
      <c r="T3726" t="s">
        <v>12530</v>
      </c>
    </row>
    <row r="3727" spans="1:20" x14ac:dyDescent="0.25">
      <c r="A3727" s="1" t="str">
        <f>HYPERLINK("https://vegkart.atlas.vegvesen.no/#/@130093.7,6502412.5,18/hva:hva%5B0%5D%5Bfilter%5D%5B0%5D%5Boperator%5D=%21%3D&amp;hva%5B0%5D%5Bfilter%5D%5B0%5D%5Btype_id%5D=8917&amp;hva%5B0%5D%5Bfilter%5D%5B0%5D%5Bverdi%5D=&amp;hva%5B0%5D%5Bid%5D=49/når:2024-08-21", "Vegkart")</f>
        <v>Vegkart</v>
      </c>
      <c r="B3727">
        <v>1019651510</v>
      </c>
      <c r="C3727">
        <v>49</v>
      </c>
      <c r="D3727" t="s">
        <v>8701</v>
      </c>
      <c r="E3727">
        <v>8917</v>
      </c>
      <c r="F3727" t="s">
        <v>23479</v>
      </c>
      <c r="G3727">
        <v>1</v>
      </c>
      <c r="H3727" t="s">
        <v>12531</v>
      </c>
      <c r="J3727" t="s">
        <v>5340</v>
      </c>
      <c r="K3727" t="s">
        <v>86</v>
      </c>
      <c r="L3727" t="s">
        <v>33</v>
      </c>
      <c r="M3727" t="s">
        <v>86</v>
      </c>
      <c r="N3727" t="s">
        <v>12532</v>
      </c>
      <c r="O3727" t="s">
        <v>12533</v>
      </c>
      <c r="P3727" s="2" t="s">
        <v>37</v>
      </c>
      <c r="Q3727" t="s">
        <v>1208</v>
      </c>
      <c r="R3727">
        <v>0</v>
      </c>
      <c r="S3727">
        <v>31.17</v>
      </c>
      <c r="T3727" t="s">
        <v>12534</v>
      </c>
    </row>
    <row r="3728" spans="1:20" x14ac:dyDescent="0.25">
      <c r="A3728" s="1" t="str">
        <f>HYPERLINK("https://vegkart.atlas.vegvesen.no/#/@130086.3,6502402.5,18/hva:hva%5B0%5D%5Bfilter%5D%5B0%5D%5Boperator%5D=%21%3D&amp;hva%5B0%5D%5Bfilter%5D%5B0%5D%5Btype_id%5D=8917&amp;hva%5B0%5D%5Bfilter%5D%5B0%5D%5Bverdi%5D=&amp;hva%5B0%5D%5Bid%5D=49/når:2024-08-21", "Vegkart")</f>
        <v>Vegkart</v>
      </c>
      <c r="B3728">
        <v>1019651511</v>
      </c>
      <c r="C3728">
        <v>49</v>
      </c>
      <c r="D3728" t="s">
        <v>8701</v>
      </c>
      <c r="E3728">
        <v>8917</v>
      </c>
      <c r="F3728" t="s">
        <v>23479</v>
      </c>
      <c r="G3728">
        <v>1</v>
      </c>
      <c r="H3728" t="s">
        <v>12531</v>
      </c>
      <c r="J3728" t="s">
        <v>5340</v>
      </c>
      <c r="K3728" t="s">
        <v>86</v>
      </c>
      <c r="L3728" t="s">
        <v>33</v>
      </c>
      <c r="M3728" t="s">
        <v>86</v>
      </c>
      <c r="N3728" t="s">
        <v>12535</v>
      </c>
      <c r="O3728" t="s">
        <v>12536</v>
      </c>
      <c r="P3728" s="2" t="s">
        <v>37</v>
      </c>
      <c r="Q3728" t="s">
        <v>1208</v>
      </c>
      <c r="R3728">
        <v>0</v>
      </c>
      <c r="S3728">
        <v>15.29</v>
      </c>
      <c r="T3728" t="s">
        <v>12537</v>
      </c>
    </row>
    <row r="3729" spans="1:20" x14ac:dyDescent="0.25">
      <c r="A3729" s="1" t="str">
        <f>HYPERLINK("https://vegkart.atlas.vegvesen.no/#/@293459.0,6559380.0,18/hva:hva%5B0%5D%5Bfilter%5D%5B0%5D%5Boperator%5D=%21%3D&amp;hva%5B0%5D%5Bfilter%5D%5B0%5D%5Btype_id%5D=8917&amp;hva%5B0%5D%5Bfilter%5D%5B0%5D%5Bverdi%5D=&amp;hva%5B0%5D%5Bid%5D=49/når:2024-08-22", "Vegkart")</f>
        <v>Vegkart</v>
      </c>
      <c r="B3729">
        <v>1019661484</v>
      </c>
      <c r="C3729">
        <v>49</v>
      </c>
      <c r="D3729" t="s">
        <v>8701</v>
      </c>
      <c r="E3729">
        <v>8917</v>
      </c>
      <c r="F3729" t="s">
        <v>23479</v>
      </c>
      <c r="G3729">
        <v>1</v>
      </c>
      <c r="H3729" t="s">
        <v>12538</v>
      </c>
      <c r="J3729" t="s">
        <v>5340</v>
      </c>
      <c r="K3729" t="s">
        <v>104</v>
      </c>
      <c r="L3729" t="s">
        <v>33</v>
      </c>
      <c r="M3729" t="s">
        <v>8758</v>
      </c>
      <c r="N3729" t="s">
        <v>12539</v>
      </c>
      <c r="O3729" t="s">
        <v>12540</v>
      </c>
      <c r="P3729" s="2" t="s">
        <v>37</v>
      </c>
      <c r="Q3729" t="s">
        <v>1208</v>
      </c>
      <c r="R3729">
        <v>0</v>
      </c>
      <c r="S3729">
        <v>8.6999999999999993</v>
      </c>
      <c r="T3729" t="s">
        <v>12541</v>
      </c>
    </row>
    <row r="3730" spans="1:20" x14ac:dyDescent="0.25">
      <c r="A3730" s="1" t="str">
        <f>HYPERLINK("https://vegkart.atlas.vegvesen.no/#/@293422.2,6559358.3,18/hva:hva%5B0%5D%5Bfilter%5D%5B0%5D%5Boperator%5D=%21%3D&amp;hva%5B0%5D%5Bfilter%5D%5B0%5D%5Btype_id%5D=8917&amp;hva%5B0%5D%5Bfilter%5D%5B0%5D%5Bverdi%5D=&amp;hva%5B0%5D%5Bid%5D=49/når:2024-08-22", "Vegkart")</f>
        <v>Vegkart</v>
      </c>
      <c r="B3730">
        <v>1019661485</v>
      </c>
      <c r="C3730">
        <v>49</v>
      </c>
      <c r="D3730" t="s">
        <v>8701</v>
      </c>
      <c r="E3730">
        <v>8917</v>
      </c>
      <c r="F3730" t="s">
        <v>23479</v>
      </c>
      <c r="G3730">
        <v>1</v>
      </c>
      <c r="H3730" t="s">
        <v>12538</v>
      </c>
      <c r="J3730" t="s">
        <v>5340</v>
      </c>
      <c r="K3730" t="s">
        <v>104</v>
      </c>
      <c r="L3730" t="s">
        <v>33</v>
      </c>
      <c r="M3730" t="s">
        <v>8758</v>
      </c>
      <c r="N3730" t="s">
        <v>12542</v>
      </c>
      <c r="O3730" t="s">
        <v>12543</v>
      </c>
      <c r="P3730" s="2" t="s">
        <v>37</v>
      </c>
      <c r="Q3730" t="s">
        <v>1208</v>
      </c>
      <c r="R3730">
        <v>0</v>
      </c>
      <c r="S3730">
        <v>154.08000000000001</v>
      </c>
      <c r="T3730" t="s">
        <v>12544</v>
      </c>
    </row>
    <row r="3731" spans="1:20" x14ac:dyDescent="0.25">
      <c r="A3731" s="1" t="str">
        <f>HYPERLINK("https://vegkart.atlas.vegvesen.no/#/@262006.1,6650410.7,18/hva:hva%5B0%5D%5Bfilter%5D%5B0%5D%5Boperator%5D=%21%3D&amp;hva%5B0%5D%5Bfilter%5D%5B0%5D%5Btype_id%5D=8917&amp;hva%5B0%5D%5Bfilter%5D%5B0%5D%5Bverdi%5D=&amp;hva%5B0%5D%5Bid%5D=49/når:2024-01-15", "Vegkart")</f>
        <v>Vegkart</v>
      </c>
      <c r="B3731">
        <v>1019870193</v>
      </c>
      <c r="C3731">
        <v>49</v>
      </c>
      <c r="D3731" t="s">
        <v>8701</v>
      </c>
      <c r="E3731">
        <v>8917</v>
      </c>
      <c r="F3731" t="s">
        <v>23479</v>
      </c>
      <c r="G3731">
        <v>1</v>
      </c>
      <c r="H3731" t="s">
        <v>12236</v>
      </c>
      <c r="J3731" t="s">
        <v>5340</v>
      </c>
      <c r="K3731" t="s">
        <v>335</v>
      </c>
      <c r="L3731" t="s">
        <v>22</v>
      </c>
      <c r="M3731" t="s">
        <v>12545</v>
      </c>
      <c r="N3731" t="s">
        <v>12546</v>
      </c>
      <c r="O3731" t="s">
        <v>12547</v>
      </c>
      <c r="P3731" s="2" t="s">
        <v>37</v>
      </c>
      <c r="Q3731" t="s">
        <v>1208</v>
      </c>
      <c r="R3731">
        <v>0</v>
      </c>
      <c r="S3731">
        <v>16.2</v>
      </c>
      <c r="T3731" t="s">
        <v>12548</v>
      </c>
    </row>
    <row r="3732" spans="1:20" x14ac:dyDescent="0.25">
      <c r="A3732" s="1" t="str">
        <f>HYPERLINK("https://vegkart.atlas.vegvesen.no/#/@262045.0,6650285.7,18/hva:hva%5B0%5D%5Bfilter%5D%5B0%5D%5Boperator%5D=%21%3D&amp;hva%5B0%5D%5Bfilter%5D%5B0%5D%5Btype_id%5D=8917&amp;hva%5B0%5D%5Bfilter%5D%5B0%5D%5Bverdi%5D=&amp;hva%5B0%5D%5Bid%5D=49/når:2024-01-15", "Vegkart")</f>
        <v>Vegkart</v>
      </c>
      <c r="B3732">
        <v>1019870194</v>
      </c>
      <c r="C3732">
        <v>49</v>
      </c>
      <c r="D3732" t="s">
        <v>8701</v>
      </c>
      <c r="E3732">
        <v>8917</v>
      </c>
      <c r="F3732" t="s">
        <v>23479</v>
      </c>
      <c r="G3732">
        <v>1</v>
      </c>
      <c r="H3732" t="s">
        <v>12236</v>
      </c>
      <c r="J3732" t="s">
        <v>5340</v>
      </c>
      <c r="K3732" t="s">
        <v>335</v>
      </c>
      <c r="L3732" t="s">
        <v>22</v>
      </c>
      <c r="M3732" t="s">
        <v>12545</v>
      </c>
      <c r="N3732" t="s">
        <v>12549</v>
      </c>
      <c r="O3732" t="s">
        <v>12550</v>
      </c>
      <c r="P3732" s="2" t="s">
        <v>37</v>
      </c>
      <c r="Q3732" t="s">
        <v>1208</v>
      </c>
      <c r="R3732">
        <v>0</v>
      </c>
      <c r="S3732">
        <v>15.99</v>
      </c>
      <c r="T3732" t="s">
        <v>12551</v>
      </c>
    </row>
    <row r="3733" spans="1:20" x14ac:dyDescent="0.25">
      <c r="A3733" s="1" t="str">
        <f>HYPERLINK("https://vegkart.atlas.vegvesen.no/#/@261893.8,6650917.5,18/hva:hva%5B0%5D%5Bfilter%5D%5B0%5D%5Boperator%5D=%21%3D&amp;hva%5B0%5D%5Bfilter%5D%5B0%5D%5Btype_id%5D=8917&amp;hva%5B0%5D%5Bfilter%5D%5B0%5D%5Bverdi%5D=&amp;hva%5B0%5D%5Bid%5D=49/når:2024-01-15", "Vegkart")</f>
        <v>Vegkart</v>
      </c>
      <c r="B3733">
        <v>1019870195</v>
      </c>
      <c r="C3733">
        <v>49</v>
      </c>
      <c r="D3733" t="s">
        <v>8701</v>
      </c>
      <c r="E3733">
        <v>8917</v>
      </c>
      <c r="F3733" t="s">
        <v>23479</v>
      </c>
      <c r="G3733">
        <v>1</v>
      </c>
      <c r="H3733" t="s">
        <v>12236</v>
      </c>
      <c r="J3733" t="s">
        <v>5340</v>
      </c>
      <c r="K3733" t="s">
        <v>335</v>
      </c>
      <c r="L3733" t="s">
        <v>22</v>
      </c>
      <c r="M3733" t="s">
        <v>12545</v>
      </c>
      <c r="N3733" t="s">
        <v>12552</v>
      </c>
      <c r="O3733" t="s">
        <v>12553</v>
      </c>
      <c r="P3733" s="2" t="s">
        <v>37</v>
      </c>
      <c r="Q3733" t="s">
        <v>1208</v>
      </c>
      <c r="R3733">
        <v>0</v>
      </c>
      <c r="S3733">
        <v>12.29</v>
      </c>
      <c r="T3733" t="s">
        <v>12554</v>
      </c>
    </row>
    <row r="3734" spans="1:20" x14ac:dyDescent="0.25">
      <c r="A3734" s="1" t="str">
        <f>HYPERLINK("https://vegkart.atlas.vegvesen.no/#/@261908.2,6650994.2,18/hva:hva%5B0%5D%5Bfilter%5D%5B0%5D%5Boperator%5D=%21%3D&amp;hva%5B0%5D%5Bfilter%5D%5B0%5D%5Btype_id%5D=8917&amp;hva%5B0%5D%5Bfilter%5D%5B0%5D%5Bverdi%5D=&amp;hva%5B0%5D%5Bid%5D=49/når:2024-01-15", "Vegkart")</f>
        <v>Vegkart</v>
      </c>
      <c r="B3734">
        <v>1019870196</v>
      </c>
      <c r="C3734">
        <v>49</v>
      </c>
      <c r="D3734" t="s">
        <v>8701</v>
      </c>
      <c r="E3734">
        <v>8917</v>
      </c>
      <c r="F3734" t="s">
        <v>23479</v>
      </c>
      <c r="G3734">
        <v>1</v>
      </c>
      <c r="H3734" t="s">
        <v>12236</v>
      </c>
      <c r="J3734" t="s">
        <v>5340</v>
      </c>
      <c r="K3734" t="s">
        <v>335</v>
      </c>
      <c r="L3734" t="s">
        <v>22</v>
      </c>
      <c r="M3734" t="s">
        <v>12400</v>
      </c>
      <c r="N3734" t="s">
        <v>12555</v>
      </c>
      <c r="O3734" t="s">
        <v>12556</v>
      </c>
      <c r="P3734" s="2" t="s">
        <v>37</v>
      </c>
      <c r="Q3734" t="s">
        <v>1208</v>
      </c>
      <c r="R3734">
        <v>0</v>
      </c>
      <c r="S3734">
        <v>19.77</v>
      </c>
      <c r="T3734" t="s">
        <v>12557</v>
      </c>
    </row>
    <row r="3735" spans="1:20" x14ac:dyDescent="0.25">
      <c r="A3735" s="1" t="str">
        <f>HYPERLINK("https://vegkart.atlas.vegvesen.no/#/@262125.6,6650062.1,18/hva:hva%5B0%5D%5Bfilter%5D%5B0%5D%5Boperator%5D=%21%3D&amp;hva%5B0%5D%5Bfilter%5D%5B0%5D%5Btype_id%5D=8917&amp;hva%5B0%5D%5Bfilter%5D%5B0%5D%5Bverdi%5D=&amp;hva%5B0%5D%5Bid%5D=49/når:2024-01-15", "Vegkart")</f>
        <v>Vegkart</v>
      </c>
      <c r="B3735">
        <v>1019870197</v>
      </c>
      <c r="C3735">
        <v>49</v>
      </c>
      <c r="D3735" t="s">
        <v>8701</v>
      </c>
      <c r="E3735">
        <v>8917</v>
      </c>
      <c r="F3735" t="s">
        <v>23479</v>
      </c>
      <c r="G3735">
        <v>1</v>
      </c>
      <c r="H3735" t="s">
        <v>12236</v>
      </c>
      <c r="J3735" t="s">
        <v>5340</v>
      </c>
      <c r="K3735" t="s">
        <v>335</v>
      </c>
      <c r="L3735" t="s">
        <v>22</v>
      </c>
      <c r="M3735" t="s">
        <v>12545</v>
      </c>
      <c r="N3735" t="s">
        <v>12558</v>
      </c>
      <c r="O3735" t="s">
        <v>12559</v>
      </c>
      <c r="P3735" s="2" t="s">
        <v>37</v>
      </c>
      <c r="Q3735" t="s">
        <v>1208</v>
      </c>
      <c r="R3735">
        <v>0</v>
      </c>
      <c r="S3735">
        <v>16.3</v>
      </c>
      <c r="T3735" t="s">
        <v>12560</v>
      </c>
    </row>
    <row r="3736" spans="1:20" x14ac:dyDescent="0.25">
      <c r="A3736" s="1" t="str">
        <f>HYPERLINK("https://vegkart.atlas.vegvesen.no/#/@261970.4,6650515.2,18/hva:hva%5B0%5D%5Bfilter%5D%5B0%5D%5Boperator%5D=%21%3D&amp;hva%5B0%5D%5Bfilter%5D%5B0%5D%5Btype_id%5D=8917&amp;hva%5B0%5D%5Bfilter%5D%5B0%5D%5Bverdi%5D=&amp;hva%5B0%5D%5Bid%5D=49/når:2024-01-15", "Vegkart")</f>
        <v>Vegkart</v>
      </c>
      <c r="B3736">
        <v>1019870198</v>
      </c>
      <c r="C3736">
        <v>49</v>
      </c>
      <c r="D3736" t="s">
        <v>8701</v>
      </c>
      <c r="E3736">
        <v>8917</v>
      </c>
      <c r="F3736" t="s">
        <v>23479</v>
      </c>
      <c r="G3736">
        <v>1</v>
      </c>
      <c r="H3736" t="s">
        <v>12236</v>
      </c>
      <c r="J3736" t="s">
        <v>5340</v>
      </c>
      <c r="K3736" t="s">
        <v>335</v>
      </c>
      <c r="L3736" t="s">
        <v>22</v>
      </c>
      <c r="M3736" t="s">
        <v>12561</v>
      </c>
      <c r="N3736" t="s">
        <v>12562</v>
      </c>
      <c r="O3736" t="s">
        <v>12563</v>
      </c>
      <c r="P3736" s="2" t="s">
        <v>37</v>
      </c>
      <c r="Q3736" t="s">
        <v>1208</v>
      </c>
      <c r="R3736">
        <v>0</v>
      </c>
      <c r="S3736">
        <v>45.9</v>
      </c>
      <c r="T3736" t="s">
        <v>12564</v>
      </c>
    </row>
    <row r="3737" spans="1:20" x14ac:dyDescent="0.25">
      <c r="A3737" s="1" t="str">
        <f>HYPERLINK("https://vegkart.atlas.vegvesen.no/#/@262000.2,6650434.6,18/hva:hva%5B0%5D%5Bfilter%5D%5B0%5D%5Boperator%5D=%21%3D&amp;hva%5B0%5D%5Bfilter%5D%5B0%5D%5Btype_id%5D=8917&amp;hva%5B0%5D%5Bfilter%5D%5B0%5D%5Bverdi%5D=&amp;hva%5B0%5D%5Bid%5D=49/når:2024-09-25", "Vegkart")</f>
        <v>Vegkart</v>
      </c>
      <c r="B3737">
        <v>1019879481</v>
      </c>
      <c r="C3737">
        <v>49</v>
      </c>
      <c r="D3737" t="s">
        <v>8701</v>
      </c>
      <c r="E3737">
        <v>8917</v>
      </c>
      <c r="F3737" t="s">
        <v>23479</v>
      </c>
      <c r="G3737">
        <v>1</v>
      </c>
      <c r="H3737" t="s">
        <v>12565</v>
      </c>
      <c r="J3737" t="s">
        <v>5340</v>
      </c>
      <c r="K3737" t="s">
        <v>335</v>
      </c>
      <c r="L3737" t="s">
        <v>22</v>
      </c>
      <c r="M3737" t="s">
        <v>12545</v>
      </c>
      <c r="N3737" t="s">
        <v>12566</v>
      </c>
      <c r="O3737" t="s">
        <v>12567</v>
      </c>
      <c r="P3737" s="2" t="s">
        <v>37</v>
      </c>
      <c r="Q3737" t="s">
        <v>1208</v>
      </c>
      <c r="R3737">
        <v>0.34</v>
      </c>
      <c r="S3737">
        <v>12.24</v>
      </c>
      <c r="T3737" t="s">
        <v>12568</v>
      </c>
    </row>
    <row r="3738" spans="1:20" x14ac:dyDescent="0.25">
      <c r="A3738" s="1" t="str">
        <f>HYPERLINK("https://vegkart.atlas.vegvesen.no/#/@13266.4,6469484.5,18/hva:hva%5B0%5D%5Bfilter%5D%5B0%5D%5Boperator%5D=%21%3D&amp;hva%5B0%5D%5Bfilter%5D%5B0%5D%5Btype_id%5D=8917&amp;hva%5B0%5D%5Bfilter%5D%5B0%5D%5Bverdi%5D=&amp;hva%5B0%5D%5Bid%5D=49/når:2024-09-30", "Vegkart")</f>
        <v>Vegkart</v>
      </c>
      <c r="B3738">
        <v>1019887989</v>
      </c>
      <c r="C3738">
        <v>49</v>
      </c>
      <c r="D3738" t="s">
        <v>8701</v>
      </c>
      <c r="E3738">
        <v>8917</v>
      </c>
      <c r="F3738" t="s">
        <v>23479</v>
      </c>
      <c r="G3738">
        <v>1</v>
      </c>
      <c r="H3738" t="s">
        <v>12569</v>
      </c>
      <c r="J3738" t="s">
        <v>5340</v>
      </c>
      <c r="K3738" t="s">
        <v>86</v>
      </c>
      <c r="L3738" t="s">
        <v>22</v>
      </c>
      <c r="M3738" t="s">
        <v>12570</v>
      </c>
      <c r="N3738" t="s">
        <v>12571</v>
      </c>
      <c r="O3738" t="s">
        <v>12572</v>
      </c>
      <c r="P3738" s="2" t="s">
        <v>37</v>
      </c>
      <c r="Q3738" t="s">
        <v>1208</v>
      </c>
      <c r="R3738">
        <v>0.56000000000000005</v>
      </c>
      <c r="S3738">
        <v>26</v>
      </c>
      <c r="T3738" t="s">
        <v>12573</v>
      </c>
    </row>
    <row r="3739" spans="1:20" x14ac:dyDescent="0.25">
      <c r="A3739" s="1" t="str">
        <f>HYPERLINK("https://vegkart.atlas.vegvesen.no/#/@13304.2,6469509.7,18/hva:hva%5B0%5D%5Bfilter%5D%5B0%5D%5Boperator%5D=%21%3D&amp;hva%5B0%5D%5Bfilter%5D%5B0%5D%5Btype_id%5D=8917&amp;hva%5B0%5D%5Bfilter%5D%5B0%5D%5Bverdi%5D=&amp;hva%5B0%5D%5Bid%5D=49/når:2024-09-30", "Vegkart")</f>
        <v>Vegkart</v>
      </c>
      <c r="B3739">
        <v>1019888025</v>
      </c>
      <c r="C3739">
        <v>49</v>
      </c>
      <c r="D3739" t="s">
        <v>8701</v>
      </c>
      <c r="E3739">
        <v>8917</v>
      </c>
      <c r="F3739" t="s">
        <v>23479</v>
      </c>
      <c r="G3739">
        <v>1</v>
      </c>
      <c r="H3739" t="s">
        <v>12569</v>
      </c>
      <c r="J3739" t="s">
        <v>5340</v>
      </c>
      <c r="K3739" t="s">
        <v>86</v>
      </c>
      <c r="L3739" t="s">
        <v>22</v>
      </c>
      <c r="M3739" t="s">
        <v>12570</v>
      </c>
      <c r="N3739" t="s">
        <v>12574</v>
      </c>
      <c r="O3739" t="s">
        <v>12575</v>
      </c>
      <c r="P3739" s="2" t="s">
        <v>37</v>
      </c>
      <c r="Q3739" t="s">
        <v>1208</v>
      </c>
      <c r="R3739">
        <v>0.83</v>
      </c>
      <c r="S3739">
        <v>25.45</v>
      </c>
      <c r="T3739" t="s">
        <v>12576</v>
      </c>
    </row>
    <row r="3740" spans="1:20" x14ac:dyDescent="0.25">
      <c r="A3740" s="1" t="str">
        <f>HYPERLINK("https://vegkart.atlas.vegvesen.no/#/@16459.7,6467787.2,18/hva:hva%5B0%5D%5Bfilter%5D%5B0%5D%5Boperator%5D=%21%3D&amp;hva%5B0%5D%5Bfilter%5D%5B0%5D%5Btype_id%5D=8917&amp;hva%5B0%5D%5Bfilter%5D%5B0%5D%5Bverdi%5D=&amp;hva%5B0%5D%5Bid%5D=49/når:2024-10-10", "Vegkart")</f>
        <v>Vegkart</v>
      </c>
      <c r="B3740">
        <v>1019937414</v>
      </c>
      <c r="C3740">
        <v>49</v>
      </c>
      <c r="D3740" t="s">
        <v>8701</v>
      </c>
      <c r="E3740">
        <v>8917</v>
      </c>
      <c r="F3740" t="s">
        <v>23479</v>
      </c>
      <c r="G3740">
        <v>1</v>
      </c>
      <c r="H3740" t="s">
        <v>2279</v>
      </c>
      <c r="J3740" t="s">
        <v>5340</v>
      </c>
      <c r="K3740" t="s">
        <v>86</v>
      </c>
      <c r="L3740" t="s">
        <v>22</v>
      </c>
      <c r="M3740" t="s">
        <v>11416</v>
      </c>
      <c r="N3740" t="s">
        <v>12577</v>
      </c>
      <c r="O3740" t="s">
        <v>12578</v>
      </c>
      <c r="P3740" s="2" t="s">
        <v>37</v>
      </c>
      <c r="Q3740" t="s">
        <v>1208</v>
      </c>
      <c r="R3740">
        <v>0.49</v>
      </c>
      <c r="S3740">
        <v>37.94</v>
      </c>
      <c r="T3740" t="s">
        <v>12579</v>
      </c>
    </row>
    <row r="3741" spans="1:20" x14ac:dyDescent="0.25">
      <c r="A3741" s="1" t="str">
        <f>HYPERLINK("https://vegkart.atlas.vegvesen.no/#/@215855.8,6635829.5,18/hva:hva%5B0%5D%5Bfilter%5D%5B0%5D%5Boperator%5D=%21%3D&amp;hva%5B0%5D%5Bfilter%5D%5B0%5D%5Btype_id%5D=8917&amp;hva%5B0%5D%5Bfilter%5D%5B0%5D%5Bverdi%5D=&amp;hva%5B0%5D%5Bid%5D=49/når:2024-10-14", "Vegkart")</f>
        <v>Vegkart</v>
      </c>
      <c r="B3741">
        <v>1019972248</v>
      </c>
      <c r="C3741">
        <v>49</v>
      </c>
      <c r="D3741" t="s">
        <v>8701</v>
      </c>
      <c r="E3741">
        <v>8917</v>
      </c>
      <c r="F3741" t="s">
        <v>23479</v>
      </c>
      <c r="G3741">
        <v>1</v>
      </c>
      <c r="H3741" t="s">
        <v>12580</v>
      </c>
      <c r="J3741" t="s">
        <v>5340</v>
      </c>
      <c r="K3741" t="s">
        <v>307</v>
      </c>
      <c r="L3741" t="s">
        <v>22</v>
      </c>
      <c r="M3741" t="s">
        <v>12581</v>
      </c>
      <c r="N3741" t="s">
        <v>12582</v>
      </c>
      <c r="O3741" t="s">
        <v>12583</v>
      </c>
      <c r="P3741" s="2" t="s">
        <v>37</v>
      </c>
      <c r="Q3741" t="s">
        <v>1208</v>
      </c>
      <c r="R3741">
        <v>0</v>
      </c>
      <c r="S3741">
        <v>13.37</v>
      </c>
      <c r="T3741" t="s">
        <v>12584</v>
      </c>
    </row>
    <row r="3742" spans="1:20" x14ac:dyDescent="0.25">
      <c r="A3742" s="1" t="str">
        <f>HYPERLINK("https://vegkart.atlas.vegvesen.no/#/@216173.1,6635683.4,18/hva:hva%5B0%5D%5Bfilter%5D%5B0%5D%5Boperator%5D=%21%3D&amp;hva%5B0%5D%5Bfilter%5D%5B0%5D%5Btype_id%5D=8917&amp;hva%5B0%5D%5Bfilter%5D%5B0%5D%5Bverdi%5D=&amp;hva%5B0%5D%5Bid%5D=49/når:2024-10-14", "Vegkart")</f>
        <v>Vegkart</v>
      </c>
      <c r="B3742">
        <v>1019972255</v>
      </c>
      <c r="C3742">
        <v>49</v>
      </c>
      <c r="D3742" t="s">
        <v>8701</v>
      </c>
      <c r="E3742">
        <v>8917</v>
      </c>
      <c r="F3742" t="s">
        <v>23479</v>
      </c>
      <c r="G3742">
        <v>1</v>
      </c>
      <c r="H3742" t="s">
        <v>12580</v>
      </c>
      <c r="J3742" t="s">
        <v>5340</v>
      </c>
      <c r="K3742" t="s">
        <v>307</v>
      </c>
      <c r="L3742" t="s">
        <v>22</v>
      </c>
      <c r="M3742" t="s">
        <v>12585</v>
      </c>
      <c r="N3742" t="s">
        <v>12586</v>
      </c>
      <c r="O3742" t="s">
        <v>12587</v>
      </c>
      <c r="P3742" s="2" t="s">
        <v>37</v>
      </c>
      <c r="Q3742" t="s">
        <v>1208</v>
      </c>
      <c r="R3742">
        <v>0.02</v>
      </c>
      <c r="S3742">
        <v>24.39</v>
      </c>
      <c r="T3742" t="s">
        <v>12588</v>
      </c>
    </row>
    <row r="3743" spans="1:20" x14ac:dyDescent="0.25">
      <c r="A3743" s="1" t="str">
        <f>HYPERLINK("https://vegkart.atlas.vegvesen.no/#/@215235.7,6636462.0,18/hva:hva%5B0%5D%5Bfilter%5D%5B0%5D%5Boperator%5D=%21%3D&amp;hva%5B0%5D%5Bfilter%5D%5B0%5D%5Btype_id%5D=8917&amp;hva%5B0%5D%5Bfilter%5D%5B0%5D%5Bverdi%5D=&amp;hva%5B0%5D%5Bid%5D=49/når:2024-10-14", "Vegkart")</f>
        <v>Vegkart</v>
      </c>
      <c r="B3743">
        <v>1019972257</v>
      </c>
      <c r="C3743">
        <v>49</v>
      </c>
      <c r="D3743" t="s">
        <v>8701</v>
      </c>
      <c r="E3743">
        <v>8917</v>
      </c>
      <c r="F3743" t="s">
        <v>23479</v>
      </c>
      <c r="G3743">
        <v>1</v>
      </c>
      <c r="H3743" t="s">
        <v>12580</v>
      </c>
      <c r="J3743" t="s">
        <v>5340</v>
      </c>
      <c r="K3743" t="s">
        <v>307</v>
      </c>
      <c r="L3743" t="s">
        <v>22</v>
      </c>
      <c r="M3743" t="s">
        <v>12589</v>
      </c>
      <c r="N3743" t="s">
        <v>12590</v>
      </c>
      <c r="O3743" t="s">
        <v>12591</v>
      </c>
      <c r="P3743" s="2" t="s">
        <v>37</v>
      </c>
      <c r="Q3743" t="s">
        <v>1208</v>
      </c>
      <c r="R3743">
        <v>0.21</v>
      </c>
      <c r="S3743">
        <v>19.079999999999998</v>
      </c>
      <c r="T3743" t="s">
        <v>12592</v>
      </c>
    </row>
    <row r="3744" spans="1:20" x14ac:dyDescent="0.25">
      <c r="A3744" s="1" t="str">
        <f>HYPERLINK("https://vegkart.atlas.vegvesen.no/#/@215226.9,6636453.2,18/hva:hva%5B0%5D%5Bfilter%5D%5B0%5D%5Boperator%5D=%21%3D&amp;hva%5B0%5D%5Bfilter%5D%5B0%5D%5Btype_id%5D=8917&amp;hva%5B0%5D%5Bfilter%5D%5B0%5D%5Bverdi%5D=&amp;hva%5B0%5D%5Bid%5D=49/når:2024-10-14", "Vegkart")</f>
        <v>Vegkart</v>
      </c>
      <c r="B3744">
        <v>1019972258</v>
      </c>
      <c r="C3744">
        <v>49</v>
      </c>
      <c r="D3744" t="s">
        <v>8701</v>
      </c>
      <c r="E3744">
        <v>8917</v>
      </c>
      <c r="F3744" t="s">
        <v>23479</v>
      </c>
      <c r="G3744">
        <v>1</v>
      </c>
      <c r="H3744" t="s">
        <v>12580</v>
      </c>
      <c r="J3744" t="s">
        <v>5340</v>
      </c>
      <c r="K3744" t="s">
        <v>307</v>
      </c>
      <c r="L3744" t="s">
        <v>22</v>
      </c>
      <c r="M3744" t="s">
        <v>12589</v>
      </c>
      <c r="N3744" t="s">
        <v>12593</v>
      </c>
      <c r="O3744" t="s">
        <v>12594</v>
      </c>
      <c r="P3744" s="2" t="s">
        <v>37</v>
      </c>
      <c r="Q3744" t="s">
        <v>1208</v>
      </c>
      <c r="R3744">
        <v>0.1</v>
      </c>
      <c r="S3744">
        <v>12.25</v>
      </c>
      <c r="T3744" t="s">
        <v>12595</v>
      </c>
    </row>
    <row r="3745" spans="1:20" x14ac:dyDescent="0.25">
      <c r="A3745" s="1" t="str">
        <f>HYPERLINK("https://vegkart.atlas.vegvesen.no/#/@214190.7,6636983.2,18/hva:hva%5B0%5D%5Bfilter%5D%5B0%5D%5Boperator%5D=%21%3D&amp;hva%5B0%5D%5Bfilter%5D%5B0%5D%5Btype_id%5D=8917&amp;hva%5B0%5D%5Bfilter%5D%5B0%5D%5Bverdi%5D=&amp;hva%5B0%5D%5Bid%5D=49/når:2024-10-14", "Vegkart")</f>
        <v>Vegkart</v>
      </c>
      <c r="B3745">
        <v>1019972289</v>
      </c>
      <c r="C3745">
        <v>49</v>
      </c>
      <c r="D3745" t="s">
        <v>8701</v>
      </c>
      <c r="E3745">
        <v>8917</v>
      </c>
      <c r="F3745" t="s">
        <v>23479</v>
      </c>
      <c r="G3745">
        <v>1</v>
      </c>
      <c r="H3745" t="s">
        <v>12580</v>
      </c>
      <c r="J3745" t="s">
        <v>5340</v>
      </c>
      <c r="K3745" t="s">
        <v>307</v>
      </c>
      <c r="L3745" t="s">
        <v>22</v>
      </c>
      <c r="M3745" t="s">
        <v>12596</v>
      </c>
      <c r="N3745" t="s">
        <v>12597</v>
      </c>
      <c r="O3745" t="s">
        <v>12598</v>
      </c>
      <c r="P3745" s="2" t="s">
        <v>37</v>
      </c>
      <c r="Q3745" t="s">
        <v>1208</v>
      </c>
      <c r="R3745">
        <v>0.55000000000000004</v>
      </c>
      <c r="S3745">
        <v>11.11</v>
      </c>
      <c r="T3745" t="s">
        <v>12599</v>
      </c>
    </row>
    <row r="3746" spans="1:20" x14ac:dyDescent="0.25">
      <c r="A3746" s="1" t="str">
        <f>HYPERLINK("https://vegkart.atlas.vegvesen.no/#/@16978.6,6467976.5,18/hva:hva%5B0%5D%5Bfilter%5D%5B0%5D%5Boperator%5D=%21%3D&amp;hva%5B0%5D%5Bfilter%5D%5B0%5D%5Btype_id%5D=8917&amp;hva%5B0%5D%5Bfilter%5D%5B0%5D%5Bverdi%5D=&amp;hva%5B0%5D%5Bid%5D=49/når:2024-10-15", "Vegkart")</f>
        <v>Vegkart</v>
      </c>
      <c r="B3746">
        <v>1019982038</v>
      </c>
      <c r="C3746">
        <v>49</v>
      </c>
      <c r="D3746" t="s">
        <v>8701</v>
      </c>
      <c r="E3746">
        <v>8917</v>
      </c>
      <c r="F3746" t="s">
        <v>23479</v>
      </c>
      <c r="G3746">
        <v>1</v>
      </c>
      <c r="H3746" t="s">
        <v>390</v>
      </c>
      <c r="J3746" t="s">
        <v>5340</v>
      </c>
      <c r="K3746" t="s">
        <v>86</v>
      </c>
      <c r="L3746" t="s">
        <v>22</v>
      </c>
      <c r="M3746" t="s">
        <v>3418</v>
      </c>
      <c r="N3746" t="s">
        <v>12600</v>
      </c>
      <c r="O3746" t="s">
        <v>12601</v>
      </c>
      <c r="P3746" s="2" t="s">
        <v>37</v>
      </c>
      <c r="Q3746" t="s">
        <v>1208</v>
      </c>
      <c r="R3746">
        <v>0.5</v>
      </c>
      <c r="S3746">
        <v>11.94</v>
      </c>
      <c r="T3746" t="s">
        <v>12602</v>
      </c>
    </row>
    <row r="3747" spans="1:20" x14ac:dyDescent="0.25">
      <c r="A3747" s="1" t="str">
        <f>HYPERLINK("https://vegkart.atlas.vegvesen.no/#/@15328.5,6466897.5,18/hva:hva%5B0%5D%5Bfilter%5D%5B0%5D%5Boperator%5D=%21%3D&amp;hva%5B0%5D%5Bfilter%5D%5B0%5D%5Btype_id%5D=8917&amp;hva%5B0%5D%5Bfilter%5D%5B0%5D%5Bverdi%5D=&amp;hva%5B0%5D%5Bid%5D=49/når:2024-10-15", "Vegkart")</f>
        <v>Vegkart</v>
      </c>
      <c r="B3747">
        <v>1019982357</v>
      </c>
      <c r="C3747">
        <v>49</v>
      </c>
      <c r="D3747" t="s">
        <v>8701</v>
      </c>
      <c r="E3747">
        <v>8917</v>
      </c>
      <c r="F3747" t="s">
        <v>23479</v>
      </c>
      <c r="G3747">
        <v>1</v>
      </c>
      <c r="H3747" t="s">
        <v>390</v>
      </c>
      <c r="J3747" t="s">
        <v>5340</v>
      </c>
      <c r="K3747" t="s">
        <v>86</v>
      </c>
      <c r="L3747" t="s">
        <v>22</v>
      </c>
      <c r="M3747" t="s">
        <v>12603</v>
      </c>
      <c r="N3747" t="s">
        <v>12604</v>
      </c>
      <c r="O3747" t="s">
        <v>12605</v>
      </c>
      <c r="P3747" s="2" t="s">
        <v>37</v>
      </c>
      <c r="Q3747" t="s">
        <v>1208</v>
      </c>
      <c r="R3747">
        <v>0.8</v>
      </c>
      <c r="S3747">
        <v>43.87</v>
      </c>
      <c r="T3747" t="s">
        <v>12606</v>
      </c>
    </row>
    <row r="3748" spans="1:20" x14ac:dyDescent="0.25">
      <c r="A3748" s="1" t="str">
        <f>HYPERLINK("https://vegkart.atlas.vegvesen.no/#/@16751.4,6467808.9,18/hva:hva%5B0%5D%5Bfilter%5D%5B0%5D%5Boperator%5D=%21%3D&amp;hva%5B0%5D%5Bfilter%5D%5B0%5D%5Btype_id%5D=8917&amp;hva%5B0%5D%5Bfilter%5D%5B0%5D%5Bverdi%5D=&amp;hva%5B0%5D%5Bid%5D=49/når:2024-10-15", "Vegkart")</f>
        <v>Vegkart</v>
      </c>
      <c r="B3748">
        <v>1019982400</v>
      </c>
      <c r="C3748">
        <v>49</v>
      </c>
      <c r="D3748" t="s">
        <v>8701</v>
      </c>
      <c r="E3748">
        <v>8917</v>
      </c>
      <c r="F3748" t="s">
        <v>23479</v>
      </c>
      <c r="G3748">
        <v>1</v>
      </c>
      <c r="H3748" t="s">
        <v>390</v>
      </c>
      <c r="J3748" t="s">
        <v>5340</v>
      </c>
      <c r="K3748" t="s">
        <v>86</v>
      </c>
      <c r="L3748" t="s">
        <v>22</v>
      </c>
      <c r="M3748" t="s">
        <v>12607</v>
      </c>
      <c r="N3748" t="s">
        <v>12608</v>
      </c>
      <c r="O3748" t="s">
        <v>12609</v>
      </c>
      <c r="P3748" s="2" t="s">
        <v>37</v>
      </c>
      <c r="Q3748" t="s">
        <v>1208</v>
      </c>
      <c r="R3748">
        <v>0.22</v>
      </c>
      <c r="S3748">
        <v>21.83</v>
      </c>
      <c r="T3748" t="s">
        <v>12610</v>
      </c>
    </row>
    <row r="3749" spans="1:20" x14ac:dyDescent="0.25">
      <c r="A3749" s="1" t="str">
        <f>HYPERLINK("https://vegkart.atlas.vegvesen.no/#/@16108.4,6467883.6,18/hva:hva%5B0%5D%5Bfilter%5D%5B0%5D%5Boperator%5D=%21%3D&amp;hva%5B0%5D%5Bfilter%5D%5B0%5D%5Btype_id%5D=8917&amp;hva%5B0%5D%5Bfilter%5D%5B0%5D%5Bverdi%5D=&amp;hva%5B0%5D%5Bid%5D=49/når:2024-10-15", "Vegkart")</f>
        <v>Vegkart</v>
      </c>
      <c r="B3749">
        <v>1019982495</v>
      </c>
      <c r="C3749">
        <v>49</v>
      </c>
      <c r="D3749" t="s">
        <v>8701</v>
      </c>
      <c r="E3749">
        <v>8917</v>
      </c>
      <c r="F3749" t="s">
        <v>23479</v>
      </c>
      <c r="G3749">
        <v>1</v>
      </c>
      <c r="H3749" t="s">
        <v>390</v>
      </c>
      <c r="J3749" t="s">
        <v>5340</v>
      </c>
      <c r="K3749" t="s">
        <v>86</v>
      </c>
      <c r="L3749" t="s">
        <v>22</v>
      </c>
      <c r="M3749" t="s">
        <v>5148</v>
      </c>
      <c r="N3749" t="s">
        <v>12611</v>
      </c>
      <c r="O3749" t="s">
        <v>12612</v>
      </c>
      <c r="P3749" s="2" t="s">
        <v>37</v>
      </c>
      <c r="Q3749" t="s">
        <v>1208</v>
      </c>
      <c r="R3749">
        <v>0.62</v>
      </c>
      <c r="S3749">
        <v>31.89</v>
      </c>
      <c r="T3749" t="s">
        <v>12613</v>
      </c>
    </row>
    <row r="3750" spans="1:20" x14ac:dyDescent="0.25">
      <c r="A3750" s="1" t="str">
        <f>HYPERLINK("https://vegkart.atlas.vegvesen.no/#/@16077.4,6467866.8,18/hva:hva%5B0%5D%5Bfilter%5D%5B0%5D%5Boperator%5D=%21%3D&amp;hva%5B0%5D%5Bfilter%5D%5B0%5D%5Btype_id%5D=8917&amp;hva%5B0%5D%5Bfilter%5D%5B0%5D%5Bverdi%5D=&amp;hva%5B0%5D%5Bid%5D=49/når:2024-10-15", "Vegkart")</f>
        <v>Vegkart</v>
      </c>
      <c r="B3750">
        <v>1019982509</v>
      </c>
      <c r="C3750">
        <v>49</v>
      </c>
      <c r="D3750" t="s">
        <v>8701</v>
      </c>
      <c r="E3750">
        <v>8917</v>
      </c>
      <c r="F3750" t="s">
        <v>23479</v>
      </c>
      <c r="G3750">
        <v>1</v>
      </c>
      <c r="H3750" t="s">
        <v>390</v>
      </c>
      <c r="J3750" t="s">
        <v>5340</v>
      </c>
      <c r="K3750" t="s">
        <v>86</v>
      </c>
      <c r="L3750" t="s">
        <v>22</v>
      </c>
      <c r="M3750" t="s">
        <v>152</v>
      </c>
      <c r="N3750" t="s">
        <v>12614</v>
      </c>
      <c r="O3750" t="s">
        <v>12615</v>
      </c>
      <c r="P3750" s="2" t="s">
        <v>37</v>
      </c>
      <c r="Q3750" t="s">
        <v>1208</v>
      </c>
      <c r="R3750">
        <v>0.25</v>
      </c>
      <c r="S3750">
        <v>32.74</v>
      </c>
      <c r="T3750" t="s">
        <v>12616</v>
      </c>
    </row>
    <row r="3751" spans="1:20" x14ac:dyDescent="0.25">
      <c r="A3751" s="1" t="str">
        <f>HYPERLINK("https://vegkart.atlas.vegvesen.no/#/@16443.0,6468519.7,18/hva:hva%5B0%5D%5Bfilter%5D%5B0%5D%5Boperator%5D=%21%3D&amp;hva%5B0%5D%5Bfilter%5D%5B0%5D%5Btype_id%5D=8917&amp;hva%5B0%5D%5Bfilter%5D%5B0%5D%5Bverdi%5D=&amp;hva%5B0%5D%5Bid%5D=49/når:2024-10-16", "Vegkart")</f>
        <v>Vegkart</v>
      </c>
      <c r="B3751">
        <v>1020023698</v>
      </c>
      <c r="C3751">
        <v>49</v>
      </c>
      <c r="D3751" t="s">
        <v>8701</v>
      </c>
      <c r="E3751">
        <v>8917</v>
      </c>
      <c r="F3751" t="s">
        <v>23479</v>
      </c>
      <c r="G3751">
        <v>1</v>
      </c>
      <c r="H3751" t="s">
        <v>8346</v>
      </c>
      <c r="J3751" t="s">
        <v>5340</v>
      </c>
      <c r="K3751" t="s">
        <v>86</v>
      </c>
      <c r="L3751" t="s">
        <v>22</v>
      </c>
      <c r="M3751" t="s">
        <v>12617</v>
      </c>
      <c r="N3751" t="s">
        <v>12618</v>
      </c>
      <c r="O3751" t="s">
        <v>12619</v>
      </c>
      <c r="P3751" s="2" t="s">
        <v>37</v>
      </c>
      <c r="Q3751" t="s">
        <v>1208</v>
      </c>
      <c r="R3751">
        <v>1.07</v>
      </c>
      <c r="S3751">
        <v>36.46</v>
      </c>
      <c r="T3751" t="s">
        <v>12620</v>
      </c>
    </row>
    <row r="3752" spans="1:20" x14ac:dyDescent="0.25">
      <c r="A3752" s="1" t="str">
        <f>HYPERLINK("https://vegkart.atlas.vegvesen.no/#/@16120.9,6468662.0,18/hva:hva%5B0%5D%5Bfilter%5D%5B0%5D%5Boperator%5D=%21%3D&amp;hva%5B0%5D%5Bfilter%5D%5B0%5D%5Btype_id%5D=8917&amp;hva%5B0%5D%5Bfilter%5D%5B0%5D%5Bverdi%5D=&amp;hva%5B0%5D%5Bid%5D=49/når:2024-10-16", "Vegkart")</f>
        <v>Vegkart</v>
      </c>
      <c r="B3752">
        <v>1020023710</v>
      </c>
      <c r="C3752">
        <v>49</v>
      </c>
      <c r="D3752" t="s">
        <v>8701</v>
      </c>
      <c r="E3752">
        <v>8917</v>
      </c>
      <c r="F3752" t="s">
        <v>23479</v>
      </c>
      <c r="G3752">
        <v>1</v>
      </c>
      <c r="H3752" t="s">
        <v>8346</v>
      </c>
      <c r="J3752" t="s">
        <v>5340</v>
      </c>
      <c r="K3752" t="s">
        <v>86</v>
      </c>
      <c r="L3752" t="s">
        <v>22</v>
      </c>
      <c r="M3752" t="s">
        <v>12617</v>
      </c>
      <c r="N3752" t="s">
        <v>12621</v>
      </c>
      <c r="O3752" t="s">
        <v>12622</v>
      </c>
      <c r="P3752" s="2" t="s">
        <v>37</v>
      </c>
      <c r="Q3752" t="s">
        <v>1208</v>
      </c>
      <c r="R3752">
        <v>0.63</v>
      </c>
      <c r="S3752">
        <v>27.68</v>
      </c>
      <c r="T3752" t="s">
        <v>12623</v>
      </c>
    </row>
    <row r="3753" spans="1:20" x14ac:dyDescent="0.25">
      <c r="A3753" s="1" t="str">
        <f>HYPERLINK("https://vegkart.atlas.vegvesen.no/#/@16059.5,6468699.3,18/hva:hva%5B0%5D%5Bfilter%5D%5B0%5D%5Boperator%5D=%21%3D&amp;hva%5B0%5D%5Bfilter%5D%5B0%5D%5Btype_id%5D=8917&amp;hva%5B0%5D%5Bfilter%5D%5B0%5D%5Bverdi%5D=&amp;hva%5B0%5D%5Bid%5D=49/når:2024-10-16", "Vegkart")</f>
        <v>Vegkart</v>
      </c>
      <c r="B3753">
        <v>1020023872</v>
      </c>
      <c r="C3753">
        <v>49</v>
      </c>
      <c r="D3753" t="s">
        <v>8701</v>
      </c>
      <c r="E3753">
        <v>8917</v>
      </c>
      <c r="F3753" t="s">
        <v>23479</v>
      </c>
      <c r="G3753">
        <v>1</v>
      </c>
      <c r="H3753" t="s">
        <v>8346</v>
      </c>
      <c r="J3753" t="s">
        <v>5340</v>
      </c>
      <c r="K3753" t="s">
        <v>86</v>
      </c>
      <c r="L3753" t="s">
        <v>22</v>
      </c>
      <c r="M3753" t="s">
        <v>8734</v>
      </c>
      <c r="N3753" t="s">
        <v>12624</v>
      </c>
      <c r="O3753" t="s">
        <v>12625</v>
      </c>
      <c r="P3753" s="2" t="s">
        <v>37</v>
      </c>
      <c r="Q3753" t="s">
        <v>1208</v>
      </c>
      <c r="R3753">
        <v>0.26</v>
      </c>
      <c r="S3753">
        <v>22.61</v>
      </c>
      <c r="T3753" t="s">
        <v>12626</v>
      </c>
    </row>
    <row r="3754" spans="1:20" x14ac:dyDescent="0.25">
      <c r="A3754" s="1" t="str">
        <f>HYPERLINK("https://vegkart.atlas.vegvesen.no/#/@16131.8,6468618.6,18/hva:hva%5B0%5D%5Bfilter%5D%5B0%5D%5Boperator%5D=%21%3D&amp;hva%5B0%5D%5Bfilter%5D%5B0%5D%5Btype_id%5D=8917&amp;hva%5B0%5D%5Bfilter%5D%5B0%5D%5Bverdi%5D=&amp;hva%5B0%5D%5Bid%5D=49/når:2024-10-16", "Vegkart")</f>
        <v>Vegkart</v>
      </c>
      <c r="B3754">
        <v>1020024268</v>
      </c>
      <c r="C3754">
        <v>49</v>
      </c>
      <c r="D3754" t="s">
        <v>8701</v>
      </c>
      <c r="E3754">
        <v>8917</v>
      </c>
      <c r="F3754" t="s">
        <v>23479</v>
      </c>
      <c r="G3754">
        <v>1</v>
      </c>
      <c r="H3754" t="s">
        <v>8346</v>
      </c>
      <c r="J3754" t="s">
        <v>5340</v>
      </c>
      <c r="K3754" t="s">
        <v>86</v>
      </c>
      <c r="L3754" t="s">
        <v>22</v>
      </c>
      <c r="M3754" t="s">
        <v>12617</v>
      </c>
      <c r="N3754" t="s">
        <v>12627</v>
      </c>
      <c r="O3754" t="s">
        <v>12628</v>
      </c>
      <c r="P3754" s="2" t="s">
        <v>37</v>
      </c>
      <c r="Q3754" t="s">
        <v>1208</v>
      </c>
      <c r="R3754">
        <v>0.91</v>
      </c>
      <c r="S3754">
        <v>45.47</v>
      </c>
      <c r="T3754" t="s">
        <v>12629</v>
      </c>
    </row>
    <row r="3755" spans="1:20" x14ac:dyDescent="0.25">
      <c r="A3755" s="1" t="str">
        <f>HYPERLINK("https://vegkart.atlas.vegvesen.no/#/@258384.0,6651189.4,18/hva:hva%5B0%5D%5Bfilter%5D%5B0%5D%5Boperator%5D=%21%3D&amp;hva%5B0%5D%5Bfilter%5D%5B0%5D%5Btype_id%5D=8917&amp;hva%5B0%5D%5Bfilter%5D%5B0%5D%5Bverdi%5D=&amp;hva%5B0%5D%5Bid%5D=49/når:2024-10-16", "Vegkart")</f>
        <v>Vegkart</v>
      </c>
      <c r="B3755">
        <v>1020027278</v>
      </c>
      <c r="C3755">
        <v>49</v>
      </c>
      <c r="D3755" t="s">
        <v>8701</v>
      </c>
      <c r="E3755">
        <v>8917</v>
      </c>
      <c r="F3755" t="s">
        <v>23479</v>
      </c>
      <c r="G3755">
        <v>1</v>
      </c>
      <c r="H3755" t="s">
        <v>8346</v>
      </c>
      <c r="J3755" t="s">
        <v>5340</v>
      </c>
      <c r="K3755" t="s">
        <v>335</v>
      </c>
      <c r="L3755" t="s">
        <v>22</v>
      </c>
      <c r="M3755" t="s">
        <v>8347</v>
      </c>
      <c r="N3755" t="s">
        <v>12630</v>
      </c>
      <c r="O3755" t="s">
        <v>12631</v>
      </c>
      <c r="P3755" s="2" t="s">
        <v>37</v>
      </c>
      <c r="Q3755" t="s">
        <v>1208</v>
      </c>
      <c r="R3755">
        <v>1.58</v>
      </c>
      <c r="S3755">
        <v>52.35</v>
      </c>
      <c r="T3755" t="s">
        <v>12632</v>
      </c>
    </row>
    <row r="3756" spans="1:20" x14ac:dyDescent="0.25">
      <c r="A3756" s="1" t="str">
        <f>HYPERLINK("https://vegkart.atlas.vegvesen.no/#/@16059.4,6468699.2,18/hva:hva%5B0%5D%5Bfilter%5D%5B0%5D%5Boperator%5D=%21%3D&amp;hva%5B0%5D%5Bfilter%5D%5B0%5D%5Btype_id%5D=8917&amp;hva%5B0%5D%5Bfilter%5D%5B0%5D%5Bverdi%5D=&amp;hva%5B0%5D%5Bid%5D=49/når:2024-10-17", "Vegkart")</f>
        <v>Vegkart</v>
      </c>
      <c r="B3756">
        <v>1020028116</v>
      </c>
      <c r="C3756">
        <v>49</v>
      </c>
      <c r="D3756" t="s">
        <v>8701</v>
      </c>
      <c r="E3756">
        <v>8917</v>
      </c>
      <c r="F3756" t="s">
        <v>23479</v>
      </c>
      <c r="G3756">
        <v>1</v>
      </c>
      <c r="H3756" t="s">
        <v>2799</v>
      </c>
      <c r="J3756" t="s">
        <v>5340</v>
      </c>
      <c r="K3756" t="s">
        <v>86</v>
      </c>
      <c r="L3756" t="s">
        <v>22</v>
      </c>
      <c r="M3756" t="s">
        <v>8734</v>
      </c>
      <c r="N3756" t="s">
        <v>12633</v>
      </c>
      <c r="O3756" t="s">
        <v>12634</v>
      </c>
      <c r="P3756" s="2" t="s">
        <v>37</v>
      </c>
      <c r="Q3756" t="s">
        <v>1208</v>
      </c>
      <c r="R3756">
        <v>0.6</v>
      </c>
      <c r="S3756">
        <v>23.36</v>
      </c>
      <c r="T3756" t="s">
        <v>12635</v>
      </c>
    </row>
    <row r="3757" spans="1:20" x14ac:dyDescent="0.25">
      <c r="A3757" s="1" t="str">
        <f>HYPERLINK("https://vegkart.atlas.vegvesen.no/#/@15624.8,6469287.2,18/hva:hva%5B0%5D%5Bfilter%5D%5B0%5D%5Boperator%5D=%21%3D&amp;hva%5B0%5D%5Bfilter%5D%5B0%5D%5Btype_id%5D=8917&amp;hva%5B0%5D%5Bfilter%5D%5B0%5D%5Bverdi%5D=&amp;hva%5B0%5D%5Bid%5D=49/når:2024-10-17", "Vegkart")</f>
        <v>Vegkart</v>
      </c>
      <c r="B3757">
        <v>1020028500</v>
      </c>
      <c r="C3757">
        <v>49</v>
      </c>
      <c r="D3757" t="s">
        <v>8701</v>
      </c>
      <c r="E3757">
        <v>8917</v>
      </c>
      <c r="F3757" t="s">
        <v>23479</v>
      </c>
      <c r="G3757">
        <v>1</v>
      </c>
      <c r="H3757" t="s">
        <v>2799</v>
      </c>
      <c r="J3757" t="s">
        <v>5340</v>
      </c>
      <c r="K3757" t="s">
        <v>86</v>
      </c>
      <c r="L3757" t="s">
        <v>22</v>
      </c>
      <c r="M3757" t="s">
        <v>2083</v>
      </c>
      <c r="N3757" t="s">
        <v>12636</v>
      </c>
      <c r="O3757" t="s">
        <v>12637</v>
      </c>
      <c r="P3757" s="2" t="s">
        <v>37</v>
      </c>
      <c r="Q3757" t="s">
        <v>1208</v>
      </c>
      <c r="R3757">
        <v>0.87</v>
      </c>
      <c r="S3757">
        <v>24.54</v>
      </c>
      <c r="T3757" t="s">
        <v>12638</v>
      </c>
    </row>
    <row r="3758" spans="1:20" x14ac:dyDescent="0.25">
      <c r="A3758" s="1" t="str">
        <f>HYPERLINK("https://vegkart.atlas.vegvesen.no/#/@29541.6,6691949.8,18/hva:hva%5B0%5D%5Bfilter%5D%5B0%5D%5Boperator%5D=%21%3D&amp;hva%5B0%5D%5Bfilter%5D%5B0%5D%5Btype_id%5D=8917&amp;hva%5B0%5D%5Bfilter%5D%5B0%5D%5Bverdi%5D=&amp;hva%5B0%5D%5Bid%5D=49/når:2024-10-23", "Vegkart")</f>
        <v>Vegkart</v>
      </c>
      <c r="B3758">
        <v>1021010181</v>
      </c>
      <c r="C3758">
        <v>49</v>
      </c>
      <c r="D3758" t="s">
        <v>8701</v>
      </c>
      <c r="E3758">
        <v>8917</v>
      </c>
      <c r="F3758" t="s">
        <v>23479</v>
      </c>
      <c r="G3758">
        <v>1</v>
      </c>
      <c r="H3758" t="s">
        <v>2375</v>
      </c>
      <c r="J3758" t="s">
        <v>5340</v>
      </c>
      <c r="K3758" t="s">
        <v>21</v>
      </c>
      <c r="L3758" t="s">
        <v>22</v>
      </c>
      <c r="M3758" t="s">
        <v>1355</v>
      </c>
      <c r="N3758" t="s">
        <v>12639</v>
      </c>
      <c r="O3758" t="s">
        <v>12640</v>
      </c>
      <c r="P3758" s="2" t="s">
        <v>37</v>
      </c>
      <c r="Q3758" t="s">
        <v>1208</v>
      </c>
      <c r="R3758">
        <v>0.6</v>
      </c>
      <c r="S3758">
        <v>29.24</v>
      </c>
      <c r="T3758" t="s">
        <v>12641</v>
      </c>
    </row>
    <row r="3759" spans="1:20" x14ac:dyDescent="0.25">
      <c r="A3759" s="1" t="str">
        <f>HYPERLINK("https://vegkart.atlas.vegvesen.no/#/@233275.5,6753677.7,18/hva:hva%5B0%5D%5Bfilter%5D%5B0%5D%5Boperator%5D=%21%3D&amp;hva%5B0%5D%5Bfilter%5D%5B0%5D%5Btype_id%5D=8917&amp;hva%5B0%5D%5Bfilter%5D%5B0%5D%5Bverdi%5D=&amp;hva%5B0%5D%5Bid%5D=49/når:2024-10-23", "Vegkart")</f>
        <v>Vegkart</v>
      </c>
      <c r="B3759">
        <v>1021010221</v>
      </c>
      <c r="C3759">
        <v>49</v>
      </c>
      <c r="D3759" t="s">
        <v>8701</v>
      </c>
      <c r="E3759">
        <v>8917</v>
      </c>
      <c r="F3759" t="s">
        <v>23479</v>
      </c>
      <c r="G3759">
        <v>1</v>
      </c>
      <c r="H3759" t="s">
        <v>2375</v>
      </c>
      <c r="J3759" t="s">
        <v>5340</v>
      </c>
      <c r="K3759" t="s">
        <v>136</v>
      </c>
      <c r="L3759" t="s">
        <v>22</v>
      </c>
      <c r="M3759" t="s">
        <v>12642</v>
      </c>
      <c r="N3759" t="s">
        <v>12643</v>
      </c>
      <c r="O3759" t="s">
        <v>12644</v>
      </c>
      <c r="P3759" s="2" t="s">
        <v>37</v>
      </c>
      <c r="Q3759" t="s">
        <v>1208</v>
      </c>
      <c r="R3759">
        <v>0.36</v>
      </c>
      <c r="S3759">
        <v>29.78</v>
      </c>
      <c r="T3759" t="s">
        <v>12645</v>
      </c>
    </row>
    <row r="3760" spans="1:20" x14ac:dyDescent="0.25">
      <c r="A3760" s="1" t="str">
        <f>HYPERLINK("https://vegkart.atlas.vegvesen.no/#/@232608.9,6754658.4,18/hva:hva%5B0%5D%5Bfilter%5D%5B0%5D%5Boperator%5D=%21%3D&amp;hva%5B0%5D%5Bfilter%5D%5B0%5D%5Btype_id%5D=8917&amp;hva%5B0%5D%5Bfilter%5D%5B0%5D%5Bverdi%5D=&amp;hva%5B0%5D%5Bid%5D=49/når:2024-10-24", "Vegkart")</f>
        <v>Vegkart</v>
      </c>
      <c r="B3760">
        <v>1021012932</v>
      </c>
      <c r="C3760">
        <v>49</v>
      </c>
      <c r="D3760" t="s">
        <v>8701</v>
      </c>
      <c r="E3760">
        <v>8917</v>
      </c>
      <c r="F3760" t="s">
        <v>23479</v>
      </c>
      <c r="G3760">
        <v>1</v>
      </c>
      <c r="H3760" t="s">
        <v>1310</v>
      </c>
      <c r="J3760" t="s">
        <v>5340</v>
      </c>
      <c r="K3760" t="s">
        <v>136</v>
      </c>
      <c r="L3760" t="s">
        <v>22</v>
      </c>
      <c r="M3760" t="s">
        <v>12646</v>
      </c>
      <c r="N3760" t="s">
        <v>12647</v>
      </c>
      <c r="O3760" t="s">
        <v>12648</v>
      </c>
      <c r="P3760" s="2" t="s">
        <v>37</v>
      </c>
      <c r="Q3760" t="s">
        <v>1208</v>
      </c>
      <c r="R3760">
        <v>0.88</v>
      </c>
      <c r="S3760">
        <v>23.88</v>
      </c>
      <c r="T3760" t="s">
        <v>12649</v>
      </c>
    </row>
    <row r="3761" spans="1:20" x14ac:dyDescent="0.25">
      <c r="A3761" s="1" t="str">
        <f>HYPERLINK("https://vegkart.atlas.vegvesen.no/#/@227453.7,6563552.7,18/hva:hva%5B0%5D%5Bfilter%5D%5B0%5D%5Boperator%5D=%21%3D&amp;hva%5B0%5D%5Bfilter%5D%5B0%5D%5Btype_id%5D=8917&amp;hva%5B0%5D%5Bfilter%5D%5B0%5D%5Bverdi%5D=&amp;hva%5B0%5D%5Bid%5D=49/når:2024-10-24", "Vegkart")</f>
        <v>Vegkart</v>
      </c>
      <c r="B3761">
        <v>1021017677</v>
      </c>
      <c r="C3761">
        <v>49</v>
      </c>
      <c r="D3761" t="s">
        <v>8701</v>
      </c>
      <c r="E3761">
        <v>8917</v>
      </c>
      <c r="F3761" t="s">
        <v>23479</v>
      </c>
      <c r="G3761">
        <v>1</v>
      </c>
      <c r="H3761" t="s">
        <v>1310</v>
      </c>
      <c r="J3761" t="s">
        <v>5340</v>
      </c>
      <c r="K3761" t="s">
        <v>81</v>
      </c>
      <c r="L3761" t="s">
        <v>33</v>
      </c>
      <c r="M3761" t="s">
        <v>12650</v>
      </c>
      <c r="N3761" t="s">
        <v>12651</v>
      </c>
      <c r="O3761" t="s">
        <v>12652</v>
      </c>
      <c r="P3761" s="2" t="s">
        <v>37</v>
      </c>
      <c r="Q3761" t="s">
        <v>1208</v>
      </c>
      <c r="R3761">
        <v>0</v>
      </c>
      <c r="S3761">
        <v>13.63</v>
      </c>
      <c r="T3761" t="s">
        <v>12653</v>
      </c>
    </row>
    <row r="3762" spans="1:20" x14ac:dyDescent="0.25">
      <c r="A3762" s="1" t="str">
        <f>HYPERLINK("https://vegkart.atlas.vegvesen.no/#/@30058.5,6689444.7,18/hva:hva%5B0%5D%5Bfilter%5D%5B0%5D%5Boperator%5D=%21%3D&amp;hva%5B0%5D%5Bfilter%5D%5B0%5D%5Btype_id%5D=8917&amp;hva%5B0%5D%5Bfilter%5D%5B0%5D%5Bverdi%5D=&amp;hva%5B0%5D%5Bid%5D=49/når:2024-10-24", "Vegkart")</f>
        <v>Vegkart</v>
      </c>
      <c r="B3762">
        <v>1021017767</v>
      </c>
      <c r="C3762">
        <v>49</v>
      </c>
      <c r="D3762" t="s">
        <v>8701</v>
      </c>
      <c r="E3762">
        <v>8917</v>
      </c>
      <c r="F3762" t="s">
        <v>23479</v>
      </c>
      <c r="G3762">
        <v>1</v>
      </c>
      <c r="H3762" t="s">
        <v>1310</v>
      </c>
      <c r="J3762" t="s">
        <v>5340</v>
      </c>
      <c r="K3762" t="s">
        <v>21</v>
      </c>
      <c r="L3762" t="s">
        <v>22</v>
      </c>
      <c r="M3762" t="s">
        <v>1355</v>
      </c>
      <c r="N3762" t="s">
        <v>12654</v>
      </c>
      <c r="O3762" t="s">
        <v>12655</v>
      </c>
      <c r="P3762" s="2" t="s">
        <v>37</v>
      </c>
      <c r="Q3762" t="s">
        <v>1208</v>
      </c>
      <c r="R3762">
        <v>0.64</v>
      </c>
      <c r="S3762">
        <v>7.88</v>
      </c>
      <c r="T3762" t="s">
        <v>12656</v>
      </c>
    </row>
    <row r="3763" spans="1:20" x14ac:dyDescent="0.25">
      <c r="A3763" s="1" t="str">
        <f>HYPERLINK("https://vegkart.atlas.vegvesen.no/#/@-38752.6,6733501.1,18/hva:hva%5B0%5D%5Bfilter%5D%5B0%5D%5Boperator%5D=%21%3D&amp;hva%5B0%5D%5Bfilter%5D%5B0%5D%5Btype_id%5D=8917&amp;hva%5B0%5D%5Bfilter%5D%5B0%5D%5Bverdi%5D=&amp;hva%5B0%5D%5Bid%5D=49/når:2024-10-25", "Vegkart")</f>
        <v>Vegkart</v>
      </c>
      <c r="B3763">
        <v>1021021057</v>
      </c>
      <c r="C3763">
        <v>49</v>
      </c>
      <c r="D3763" t="s">
        <v>8701</v>
      </c>
      <c r="E3763">
        <v>8917</v>
      </c>
      <c r="F3763" t="s">
        <v>23479</v>
      </c>
      <c r="G3763">
        <v>1</v>
      </c>
      <c r="H3763" t="s">
        <v>12657</v>
      </c>
      <c r="J3763" t="s">
        <v>5340</v>
      </c>
      <c r="K3763" t="s">
        <v>21</v>
      </c>
      <c r="L3763" t="s">
        <v>33</v>
      </c>
      <c r="M3763" t="s">
        <v>1406</v>
      </c>
      <c r="N3763" t="s">
        <v>12658</v>
      </c>
      <c r="O3763" t="s">
        <v>12659</v>
      </c>
      <c r="P3763" s="2" t="s">
        <v>37</v>
      </c>
      <c r="Q3763" t="s">
        <v>1208</v>
      </c>
      <c r="R3763">
        <v>0</v>
      </c>
      <c r="S3763">
        <v>13.3</v>
      </c>
      <c r="T3763" t="s">
        <v>12660</v>
      </c>
    </row>
    <row r="3764" spans="1:20" x14ac:dyDescent="0.25">
      <c r="A3764" s="1" t="str">
        <f>HYPERLINK("https://vegkart.atlas.vegvesen.no/#/@-38765.6,6733495.5,18/hva:hva%5B0%5D%5Bfilter%5D%5B0%5D%5Boperator%5D=%21%3D&amp;hva%5B0%5D%5Bfilter%5D%5B0%5D%5Btype_id%5D=8917&amp;hva%5B0%5D%5Bfilter%5D%5B0%5D%5Bverdi%5D=&amp;hva%5B0%5D%5Bid%5D=49/når:2024-10-25", "Vegkart")</f>
        <v>Vegkart</v>
      </c>
      <c r="B3764">
        <v>1021021058</v>
      </c>
      <c r="C3764">
        <v>49</v>
      </c>
      <c r="D3764" t="s">
        <v>8701</v>
      </c>
      <c r="E3764">
        <v>8917</v>
      </c>
      <c r="F3764" t="s">
        <v>23479</v>
      </c>
      <c r="G3764">
        <v>1</v>
      </c>
      <c r="H3764" t="s">
        <v>12657</v>
      </c>
      <c r="J3764" t="s">
        <v>5340</v>
      </c>
      <c r="K3764" t="s">
        <v>21</v>
      </c>
      <c r="L3764" t="s">
        <v>33</v>
      </c>
      <c r="M3764" t="s">
        <v>5639</v>
      </c>
      <c r="N3764" t="s">
        <v>12661</v>
      </c>
      <c r="O3764" t="s">
        <v>12662</v>
      </c>
      <c r="P3764" s="2" t="s">
        <v>37</v>
      </c>
      <c r="Q3764" t="s">
        <v>1208</v>
      </c>
      <c r="R3764">
        <v>0</v>
      </c>
      <c r="S3764">
        <v>7.44</v>
      </c>
      <c r="T3764" t="s">
        <v>12663</v>
      </c>
    </row>
    <row r="3765" spans="1:20" x14ac:dyDescent="0.25">
      <c r="A3765" s="1" t="str">
        <f>HYPERLINK("https://vegkart.atlas.vegvesen.no/#/@232339.7,6754651.3,18/hva:hva%5B0%5D%5Bfilter%5D%5B0%5D%5Boperator%5D=%21%3D&amp;hva%5B0%5D%5Bfilter%5D%5B0%5D%5Btype_id%5D=8917&amp;hva%5B0%5D%5Bfilter%5D%5B0%5D%5Bverdi%5D=&amp;hva%5B0%5D%5Bid%5D=49/når:2024-10-28", "Vegkart")</f>
        <v>Vegkart</v>
      </c>
      <c r="B3765">
        <v>1021024239</v>
      </c>
      <c r="C3765">
        <v>49</v>
      </c>
      <c r="D3765" t="s">
        <v>8701</v>
      </c>
      <c r="E3765">
        <v>8917</v>
      </c>
      <c r="F3765" t="s">
        <v>23479</v>
      </c>
      <c r="G3765">
        <v>1</v>
      </c>
      <c r="H3765" t="s">
        <v>12664</v>
      </c>
      <c r="J3765" t="s">
        <v>5340</v>
      </c>
      <c r="K3765" t="s">
        <v>136</v>
      </c>
      <c r="L3765" t="s">
        <v>370</v>
      </c>
      <c r="M3765" t="s">
        <v>12665</v>
      </c>
      <c r="N3765" t="s">
        <v>12666</v>
      </c>
      <c r="O3765" t="s">
        <v>12667</v>
      </c>
      <c r="P3765" s="2" t="s">
        <v>37</v>
      </c>
      <c r="Q3765" t="s">
        <v>1208</v>
      </c>
      <c r="R3765">
        <v>0.9</v>
      </c>
      <c r="S3765">
        <v>58.48</v>
      </c>
      <c r="T3765" t="s">
        <v>12668</v>
      </c>
    </row>
    <row r="3766" spans="1:20" x14ac:dyDescent="0.25">
      <c r="A3766" s="1" t="str">
        <f>HYPERLINK("https://vegkart.atlas.vegvesen.no/#/@232039.1,6754197.8,18/hva:hva%5B0%5D%5Bfilter%5D%5B0%5D%5Boperator%5D=%21%3D&amp;hva%5B0%5D%5Bfilter%5D%5B0%5D%5Btype_id%5D=8917&amp;hva%5B0%5D%5Bfilter%5D%5B0%5D%5Bverdi%5D=&amp;hva%5B0%5D%5Bid%5D=49/når:2024-10-28", "Vegkart")</f>
        <v>Vegkart</v>
      </c>
      <c r="B3766">
        <v>1021024654</v>
      </c>
      <c r="C3766">
        <v>49</v>
      </c>
      <c r="D3766" t="s">
        <v>8701</v>
      </c>
      <c r="E3766">
        <v>8917</v>
      </c>
      <c r="F3766" t="s">
        <v>23479</v>
      </c>
      <c r="G3766">
        <v>1</v>
      </c>
      <c r="H3766" t="s">
        <v>12664</v>
      </c>
      <c r="J3766" t="s">
        <v>5340</v>
      </c>
      <c r="K3766" t="s">
        <v>136</v>
      </c>
      <c r="L3766" t="s">
        <v>22</v>
      </c>
      <c r="M3766" t="s">
        <v>728</v>
      </c>
      <c r="N3766" t="s">
        <v>12669</v>
      </c>
      <c r="O3766" t="s">
        <v>12670</v>
      </c>
      <c r="P3766" s="2" t="s">
        <v>37</v>
      </c>
      <c r="Q3766" t="s">
        <v>1208</v>
      </c>
      <c r="R3766">
        <v>0.28999999999999998</v>
      </c>
      <c r="S3766">
        <v>21.6</v>
      </c>
      <c r="T3766" t="s">
        <v>12671</v>
      </c>
    </row>
    <row r="3767" spans="1:20" x14ac:dyDescent="0.25">
      <c r="A3767" s="1" t="str">
        <f>HYPERLINK("https://vegkart.atlas.vegvesen.no/#/@30079.1,6687636.3,18/hva:hva%5B0%5D%5Bfilter%5D%5B0%5D%5Boperator%5D=%21%3D&amp;hva%5B0%5D%5Bfilter%5D%5B0%5D%5Btype_id%5D=8917&amp;hva%5B0%5D%5Bfilter%5D%5B0%5D%5Bverdi%5D=&amp;hva%5B0%5D%5Bid%5D=49/når:2024-10-28", "Vegkart")</f>
        <v>Vegkart</v>
      </c>
      <c r="B3767">
        <v>1021025046</v>
      </c>
      <c r="C3767">
        <v>49</v>
      </c>
      <c r="D3767" t="s">
        <v>8701</v>
      </c>
      <c r="E3767">
        <v>8917</v>
      </c>
      <c r="F3767" t="s">
        <v>23479</v>
      </c>
      <c r="G3767">
        <v>1</v>
      </c>
      <c r="H3767" t="s">
        <v>12664</v>
      </c>
      <c r="J3767" t="s">
        <v>5340</v>
      </c>
      <c r="K3767" t="s">
        <v>21</v>
      </c>
      <c r="L3767" t="s">
        <v>22</v>
      </c>
      <c r="M3767" t="s">
        <v>12672</v>
      </c>
      <c r="N3767" t="s">
        <v>12673</v>
      </c>
      <c r="O3767" t="s">
        <v>12674</v>
      </c>
      <c r="P3767" s="2" t="s">
        <v>37</v>
      </c>
      <c r="Q3767" t="s">
        <v>1208</v>
      </c>
      <c r="R3767">
        <v>0.75</v>
      </c>
      <c r="S3767">
        <v>42.53</v>
      </c>
      <c r="T3767" t="s">
        <v>12675</v>
      </c>
    </row>
    <row r="3768" spans="1:20" x14ac:dyDescent="0.25">
      <c r="A3768" s="1" t="str">
        <f>HYPERLINK("https://vegkart.atlas.vegvesen.no/#/@231901.3,6754871.6,18/hva:hva%5B0%5D%5Bfilter%5D%5B0%5D%5Boperator%5D=%21%3D&amp;hva%5B0%5D%5Bfilter%5D%5B0%5D%5Btype_id%5D=8917&amp;hva%5B0%5D%5Bfilter%5D%5B0%5D%5Bverdi%5D=&amp;hva%5B0%5D%5Bid%5D=49/når:2024-10-28", "Vegkart")</f>
        <v>Vegkart</v>
      </c>
      <c r="B3768">
        <v>1021025862</v>
      </c>
      <c r="C3768">
        <v>49</v>
      </c>
      <c r="D3768" t="s">
        <v>8701</v>
      </c>
      <c r="E3768">
        <v>8917</v>
      </c>
      <c r="F3768" t="s">
        <v>23479</v>
      </c>
      <c r="G3768">
        <v>1</v>
      </c>
      <c r="H3768" t="s">
        <v>12664</v>
      </c>
      <c r="J3768" t="s">
        <v>5340</v>
      </c>
      <c r="K3768" t="s">
        <v>136</v>
      </c>
      <c r="L3768" t="s">
        <v>22</v>
      </c>
      <c r="M3768" t="s">
        <v>9899</v>
      </c>
      <c r="N3768" t="s">
        <v>12676</v>
      </c>
      <c r="O3768" t="s">
        <v>12677</v>
      </c>
      <c r="P3768" s="2" t="s">
        <v>37</v>
      </c>
      <c r="Q3768" t="s">
        <v>1208</v>
      </c>
      <c r="R3768">
        <v>0.63</v>
      </c>
      <c r="S3768">
        <v>9.73</v>
      </c>
      <c r="T3768" t="s">
        <v>12678</v>
      </c>
    </row>
    <row r="3769" spans="1:20" x14ac:dyDescent="0.25">
      <c r="A3769" s="1" t="str">
        <f>HYPERLINK("https://vegkart.atlas.vegvesen.no/#/@30332.0,6688769.9,18/hva:hva%5B0%5D%5Bfilter%5D%5B0%5D%5Boperator%5D=%21%3D&amp;hva%5B0%5D%5Bfilter%5D%5B0%5D%5Btype_id%5D=8917&amp;hva%5B0%5D%5Bfilter%5D%5B0%5D%5Bverdi%5D=&amp;hva%5B0%5D%5Bid%5D=49/når:2024-10-29", "Vegkart")</f>
        <v>Vegkart</v>
      </c>
      <c r="B3769">
        <v>1021029926</v>
      </c>
      <c r="C3769">
        <v>49</v>
      </c>
      <c r="D3769" t="s">
        <v>8701</v>
      </c>
      <c r="E3769">
        <v>8917</v>
      </c>
      <c r="F3769" t="s">
        <v>23479</v>
      </c>
      <c r="G3769">
        <v>1</v>
      </c>
      <c r="H3769" t="s">
        <v>4291</v>
      </c>
      <c r="J3769" t="s">
        <v>5340</v>
      </c>
      <c r="K3769" t="s">
        <v>21</v>
      </c>
      <c r="L3769" t="s">
        <v>370</v>
      </c>
      <c r="M3769" t="s">
        <v>12679</v>
      </c>
      <c r="N3769" t="s">
        <v>12680</v>
      </c>
      <c r="O3769" t="s">
        <v>12681</v>
      </c>
      <c r="P3769" s="2" t="s">
        <v>37</v>
      </c>
      <c r="Q3769" t="s">
        <v>1208</v>
      </c>
      <c r="R3769">
        <v>0.64</v>
      </c>
      <c r="S3769">
        <v>10.83</v>
      </c>
      <c r="T3769" t="s">
        <v>12682</v>
      </c>
    </row>
    <row r="3770" spans="1:20" x14ac:dyDescent="0.25">
      <c r="A3770" s="1" t="str">
        <f>HYPERLINK("https://vegkart.atlas.vegvesen.no/#/@231904.6,6755076.5,18/hva:hva%5B0%5D%5Bfilter%5D%5B0%5D%5Boperator%5D=%21%3D&amp;hva%5B0%5D%5Bfilter%5D%5B0%5D%5Btype_id%5D=8917&amp;hva%5B0%5D%5Bfilter%5D%5B0%5D%5Bverdi%5D=&amp;hva%5B0%5D%5Bid%5D=49/når:2024-10-29", "Vegkart")</f>
        <v>Vegkart</v>
      </c>
      <c r="B3770">
        <v>1021031333</v>
      </c>
      <c r="C3770">
        <v>49</v>
      </c>
      <c r="D3770" t="s">
        <v>8701</v>
      </c>
      <c r="E3770">
        <v>8917</v>
      </c>
      <c r="F3770" t="s">
        <v>23479</v>
      </c>
      <c r="G3770">
        <v>1</v>
      </c>
      <c r="H3770" t="s">
        <v>4291</v>
      </c>
      <c r="J3770" t="s">
        <v>5340</v>
      </c>
      <c r="K3770" t="s">
        <v>136</v>
      </c>
      <c r="L3770" t="s">
        <v>22</v>
      </c>
      <c r="M3770" t="s">
        <v>9899</v>
      </c>
      <c r="N3770" t="s">
        <v>12683</v>
      </c>
      <c r="O3770" t="s">
        <v>12684</v>
      </c>
      <c r="P3770" s="2" t="s">
        <v>37</v>
      </c>
      <c r="Q3770" t="s">
        <v>1208</v>
      </c>
      <c r="R3770">
        <v>0.57999999999999996</v>
      </c>
      <c r="S3770">
        <v>68.97</v>
      </c>
      <c r="T3770" t="s">
        <v>12685</v>
      </c>
    </row>
    <row r="3771" spans="1:20" x14ac:dyDescent="0.25">
      <c r="A3771" s="1" t="str">
        <f>HYPERLINK("https://vegkart.atlas.vegvesen.no/#/@-30338.7,6732201.8,18/hva:hva%5B0%5D%5Bfilter%5D%5B0%5D%5Boperator%5D=%21%3D&amp;hva%5B0%5D%5Bfilter%5D%5B0%5D%5Btype_id%5D=8917&amp;hva%5B0%5D%5Bfilter%5D%5B0%5D%5Bverdi%5D=&amp;hva%5B0%5D%5Bid%5D=49/når:2024-10-30", "Vegkart")</f>
        <v>Vegkart</v>
      </c>
      <c r="B3771">
        <v>1021040590</v>
      </c>
      <c r="C3771">
        <v>49</v>
      </c>
      <c r="D3771" t="s">
        <v>8701</v>
      </c>
      <c r="E3771">
        <v>8917</v>
      </c>
      <c r="F3771" t="s">
        <v>23479</v>
      </c>
      <c r="G3771">
        <v>1</v>
      </c>
      <c r="H3771" t="s">
        <v>12686</v>
      </c>
      <c r="J3771" t="s">
        <v>5340</v>
      </c>
      <c r="K3771" t="s">
        <v>21</v>
      </c>
      <c r="L3771" t="s">
        <v>33</v>
      </c>
      <c r="M3771" t="s">
        <v>5671</v>
      </c>
      <c r="N3771" t="s">
        <v>12687</v>
      </c>
      <c r="O3771" t="s">
        <v>12688</v>
      </c>
      <c r="P3771" s="2" t="s">
        <v>37</v>
      </c>
      <c r="Q3771" t="s">
        <v>1208</v>
      </c>
      <c r="R3771">
        <v>0</v>
      </c>
      <c r="S3771">
        <v>20.52</v>
      </c>
      <c r="T3771" t="s">
        <v>12689</v>
      </c>
    </row>
    <row r="3772" spans="1:20" x14ac:dyDescent="0.25">
      <c r="A3772" s="1" t="str">
        <f>HYPERLINK("https://vegkart.atlas.vegvesen.no/#/@-30326.5,6732211.0,18/hva:hva%5B0%5D%5Bfilter%5D%5B0%5D%5Boperator%5D=%21%3D&amp;hva%5B0%5D%5Bfilter%5D%5B0%5D%5Btype_id%5D=8917&amp;hva%5B0%5D%5Bfilter%5D%5B0%5D%5Bverdi%5D=&amp;hva%5B0%5D%5Bid%5D=49/når:2024-10-30", "Vegkart")</f>
        <v>Vegkart</v>
      </c>
      <c r="B3772">
        <v>1021040591</v>
      </c>
      <c r="C3772">
        <v>49</v>
      </c>
      <c r="D3772" t="s">
        <v>8701</v>
      </c>
      <c r="E3772">
        <v>8917</v>
      </c>
      <c r="F3772" t="s">
        <v>23479</v>
      </c>
      <c r="G3772">
        <v>1</v>
      </c>
      <c r="H3772" t="s">
        <v>12686</v>
      </c>
      <c r="J3772" t="s">
        <v>5340</v>
      </c>
      <c r="K3772" t="s">
        <v>21</v>
      </c>
      <c r="L3772" t="s">
        <v>33</v>
      </c>
      <c r="M3772" t="s">
        <v>5671</v>
      </c>
      <c r="N3772" t="s">
        <v>12690</v>
      </c>
      <c r="O3772" t="s">
        <v>12691</v>
      </c>
      <c r="P3772" s="2" t="s">
        <v>37</v>
      </c>
      <c r="Q3772" t="s">
        <v>1208</v>
      </c>
      <c r="R3772">
        <v>0</v>
      </c>
      <c r="S3772">
        <v>4.91</v>
      </c>
      <c r="T3772" t="s">
        <v>12692</v>
      </c>
    </row>
    <row r="3773" spans="1:20" x14ac:dyDescent="0.25">
      <c r="A3773" s="1" t="str">
        <f>HYPERLINK("https://vegkart.atlas.vegvesen.no/#/@-30331.6,6732203.3,18/hva:hva%5B0%5D%5Bfilter%5D%5B0%5D%5Boperator%5D=%21%3D&amp;hva%5B0%5D%5Bfilter%5D%5B0%5D%5Btype_id%5D=8917&amp;hva%5B0%5D%5Bfilter%5D%5B0%5D%5Bverdi%5D=&amp;hva%5B0%5D%5Bid%5D=49/når:2024-10-30", "Vegkart")</f>
        <v>Vegkart</v>
      </c>
      <c r="B3773">
        <v>1021040592</v>
      </c>
      <c r="C3773">
        <v>49</v>
      </c>
      <c r="D3773" t="s">
        <v>8701</v>
      </c>
      <c r="E3773">
        <v>8917</v>
      </c>
      <c r="F3773" t="s">
        <v>23479</v>
      </c>
      <c r="G3773">
        <v>1</v>
      </c>
      <c r="H3773" t="s">
        <v>12686</v>
      </c>
      <c r="J3773" t="s">
        <v>5340</v>
      </c>
      <c r="K3773" t="s">
        <v>21</v>
      </c>
      <c r="L3773" t="s">
        <v>33</v>
      </c>
      <c r="M3773" t="s">
        <v>5671</v>
      </c>
      <c r="N3773" t="s">
        <v>12693</v>
      </c>
      <c r="O3773" t="s">
        <v>12694</v>
      </c>
      <c r="P3773" s="2" t="s">
        <v>37</v>
      </c>
      <c r="Q3773" t="s">
        <v>1208</v>
      </c>
      <c r="R3773">
        <v>0</v>
      </c>
      <c r="S3773">
        <v>7.22</v>
      </c>
      <c r="T3773" t="s">
        <v>12695</v>
      </c>
    </row>
    <row r="3774" spans="1:20" x14ac:dyDescent="0.25">
      <c r="A3774" s="1" t="str">
        <f>HYPERLINK("https://vegkart.atlas.vegvesen.no/#/@-30341.3,6732216.3,18/hva:hva%5B0%5D%5Bfilter%5D%5B0%5D%5Boperator%5D=%21%3D&amp;hva%5B0%5D%5Bfilter%5D%5B0%5D%5Btype_id%5D=8917&amp;hva%5B0%5D%5Bfilter%5D%5B0%5D%5Bverdi%5D=&amp;hva%5B0%5D%5Bid%5D=49/når:2024-10-30", "Vegkart")</f>
        <v>Vegkart</v>
      </c>
      <c r="B3774">
        <v>1021040593</v>
      </c>
      <c r="C3774">
        <v>49</v>
      </c>
      <c r="D3774" t="s">
        <v>8701</v>
      </c>
      <c r="E3774">
        <v>8917</v>
      </c>
      <c r="F3774" t="s">
        <v>23479</v>
      </c>
      <c r="G3774">
        <v>1</v>
      </c>
      <c r="H3774" t="s">
        <v>12686</v>
      </c>
      <c r="J3774" t="s">
        <v>5340</v>
      </c>
      <c r="K3774" t="s">
        <v>21</v>
      </c>
      <c r="L3774" t="s">
        <v>33</v>
      </c>
      <c r="M3774" t="s">
        <v>5671</v>
      </c>
      <c r="N3774" t="s">
        <v>12696</v>
      </c>
      <c r="O3774" t="s">
        <v>12697</v>
      </c>
      <c r="P3774" s="2" t="s">
        <v>37</v>
      </c>
      <c r="Q3774" t="s">
        <v>1208</v>
      </c>
      <c r="R3774">
        <v>0</v>
      </c>
      <c r="S3774">
        <v>31.97</v>
      </c>
      <c r="T3774" t="s">
        <v>12698</v>
      </c>
    </row>
    <row r="3775" spans="1:20" x14ac:dyDescent="0.25">
      <c r="A3775" s="1" t="str">
        <f>HYPERLINK("https://vegkart.atlas.vegvesen.no/#/@-30320.3,6732209.5,18/hva:hva%5B0%5D%5Bfilter%5D%5B0%5D%5Boperator%5D=%21%3D&amp;hva%5B0%5D%5Bfilter%5D%5B0%5D%5Btype_id%5D=8917&amp;hva%5B0%5D%5Bfilter%5D%5B0%5D%5Bverdi%5D=&amp;hva%5B0%5D%5Bid%5D=49/når:2024-10-30", "Vegkart")</f>
        <v>Vegkart</v>
      </c>
      <c r="B3775">
        <v>1021040594</v>
      </c>
      <c r="C3775">
        <v>49</v>
      </c>
      <c r="D3775" t="s">
        <v>8701</v>
      </c>
      <c r="E3775">
        <v>8917</v>
      </c>
      <c r="F3775" t="s">
        <v>23479</v>
      </c>
      <c r="G3775">
        <v>1</v>
      </c>
      <c r="H3775" t="s">
        <v>12686</v>
      </c>
      <c r="J3775" t="s">
        <v>5340</v>
      </c>
      <c r="K3775" t="s">
        <v>21</v>
      </c>
      <c r="L3775" t="s">
        <v>22</v>
      </c>
      <c r="M3775" t="s">
        <v>12699</v>
      </c>
      <c r="N3775" t="s">
        <v>12700</v>
      </c>
      <c r="O3775" t="s">
        <v>12701</v>
      </c>
      <c r="P3775" s="2" t="s">
        <v>37</v>
      </c>
      <c r="Q3775" t="s">
        <v>1208</v>
      </c>
      <c r="R3775">
        <v>0</v>
      </c>
      <c r="S3775">
        <v>13.14</v>
      </c>
      <c r="T3775" t="s">
        <v>12702</v>
      </c>
    </row>
    <row r="3776" spans="1:20" x14ac:dyDescent="0.25">
      <c r="A3776" s="1" t="str">
        <f>HYPERLINK("https://vegkart.atlas.vegvesen.no/#/@-30325.3,6732246.1,18/hva:hva%5B0%5D%5Bfilter%5D%5B0%5D%5Boperator%5D=%21%3D&amp;hva%5B0%5D%5Bfilter%5D%5B0%5D%5Btype_id%5D=8917&amp;hva%5B0%5D%5Bfilter%5D%5B0%5D%5Bverdi%5D=&amp;hva%5B0%5D%5Bid%5D=49/når:2024-10-30", "Vegkart")</f>
        <v>Vegkart</v>
      </c>
      <c r="B3776">
        <v>1021040595</v>
      </c>
      <c r="C3776">
        <v>49</v>
      </c>
      <c r="D3776" t="s">
        <v>8701</v>
      </c>
      <c r="E3776">
        <v>8917</v>
      </c>
      <c r="F3776" t="s">
        <v>23479</v>
      </c>
      <c r="G3776">
        <v>1</v>
      </c>
      <c r="H3776" t="s">
        <v>12686</v>
      </c>
      <c r="J3776" t="s">
        <v>5340</v>
      </c>
      <c r="K3776" t="s">
        <v>21</v>
      </c>
      <c r="L3776" t="s">
        <v>33</v>
      </c>
      <c r="M3776" t="s">
        <v>5671</v>
      </c>
      <c r="N3776" t="s">
        <v>12703</v>
      </c>
      <c r="O3776" t="s">
        <v>12704</v>
      </c>
      <c r="P3776" s="2" t="s">
        <v>37</v>
      </c>
      <c r="Q3776" t="s">
        <v>1208</v>
      </c>
      <c r="R3776">
        <v>0</v>
      </c>
      <c r="S3776">
        <v>107.53</v>
      </c>
      <c r="T3776" t="s">
        <v>12705</v>
      </c>
    </row>
    <row r="3777" spans="1:20" x14ac:dyDescent="0.25">
      <c r="A3777" s="1" t="str">
        <f>HYPERLINK("https://vegkart.atlas.vegvesen.no/#/@85653.3,6468542.2,18/hva:hva%5B0%5D%5Bfilter%5D%5B0%5D%5Boperator%5D=%21%3D&amp;hva%5B0%5D%5Bfilter%5D%5B0%5D%5Btype_id%5D=8917&amp;hva%5B0%5D%5Bfilter%5D%5B0%5D%5Bverdi%5D=&amp;hva%5B0%5D%5Bid%5D=49/når:2024-11-06", "Vegkart")</f>
        <v>Vegkart</v>
      </c>
      <c r="B3777">
        <v>1021057273</v>
      </c>
      <c r="C3777">
        <v>49</v>
      </c>
      <c r="D3777" t="s">
        <v>8701</v>
      </c>
      <c r="E3777">
        <v>8917</v>
      </c>
      <c r="F3777" t="s">
        <v>23479</v>
      </c>
      <c r="G3777">
        <v>1</v>
      </c>
      <c r="H3777" t="s">
        <v>5678</v>
      </c>
      <c r="J3777" t="s">
        <v>5340</v>
      </c>
      <c r="K3777" t="s">
        <v>86</v>
      </c>
      <c r="L3777" t="s">
        <v>113</v>
      </c>
      <c r="M3777" t="s">
        <v>667</v>
      </c>
      <c r="N3777" t="s">
        <v>12706</v>
      </c>
      <c r="O3777" t="s">
        <v>12707</v>
      </c>
      <c r="P3777" s="2" t="s">
        <v>37</v>
      </c>
      <c r="Q3777" t="s">
        <v>1208</v>
      </c>
      <c r="R3777">
        <v>0.02</v>
      </c>
      <c r="S3777">
        <v>30.79</v>
      </c>
      <c r="T3777" t="s">
        <v>12708</v>
      </c>
    </row>
    <row r="3778" spans="1:20" x14ac:dyDescent="0.25">
      <c r="A3778" s="1" t="str">
        <f>HYPERLINK("https://vegkart.atlas.vegvesen.no/#/@31668.2,6671197.4,18/hva:hva%5B0%5D%5Bfilter%5D%5B0%5D%5Boperator%5D=%21%3D&amp;hva%5B0%5D%5Bfilter%5D%5B0%5D%5Btype_id%5D=8917&amp;hva%5B0%5D%5Bfilter%5D%5B0%5D%5Bverdi%5D=&amp;hva%5B0%5D%5Bid%5D=49/når:2024-11-07", "Vegkart")</f>
        <v>Vegkart</v>
      </c>
      <c r="B3778">
        <v>1021065249</v>
      </c>
      <c r="C3778">
        <v>49</v>
      </c>
      <c r="D3778" t="s">
        <v>8701</v>
      </c>
      <c r="E3778">
        <v>8917</v>
      </c>
      <c r="F3778" t="s">
        <v>23479</v>
      </c>
      <c r="G3778">
        <v>1</v>
      </c>
      <c r="H3778" t="s">
        <v>12709</v>
      </c>
      <c r="J3778" t="s">
        <v>5340</v>
      </c>
      <c r="K3778" t="s">
        <v>21</v>
      </c>
      <c r="L3778" t="s">
        <v>22</v>
      </c>
      <c r="M3778" t="s">
        <v>12710</v>
      </c>
      <c r="N3778" t="s">
        <v>12711</v>
      </c>
      <c r="O3778" t="s">
        <v>12712</v>
      </c>
      <c r="P3778" s="2" t="s">
        <v>37</v>
      </c>
      <c r="Q3778" t="s">
        <v>1208</v>
      </c>
      <c r="R3778">
        <v>0.11</v>
      </c>
      <c r="S3778">
        <v>19.13</v>
      </c>
      <c r="T3778" t="s">
        <v>12713</v>
      </c>
    </row>
    <row r="3779" spans="1:20" x14ac:dyDescent="0.25">
      <c r="A3779" s="1" t="str">
        <f>HYPERLINK("https://vegkart.atlas.vegvesen.no/#/@-5982.6,6749222.1,18/hva:hva%5B0%5D%5Bfilter%5D%5B0%5D%5Boperator%5D=%21%3D&amp;hva%5B0%5D%5Bfilter%5D%5B0%5D%5Btype_id%5D=8917&amp;hva%5B0%5D%5Bfilter%5D%5B0%5D%5Bverdi%5D=&amp;hva%5B0%5D%5Bid%5D=49/når:2024-11-18", "Vegkart")</f>
        <v>Vegkart</v>
      </c>
      <c r="B3779">
        <v>1021189766</v>
      </c>
      <c r="C3779">
        <v>49</v>
      </c>
      <c r="D3779" t="s">
        <v>8701</v>
      </c>
      <c r="E3779">
        <v>8917</v>
      </c>
      <c r="F3779" t="s">
        <v>23479</v>
      </c>
      <c r="G3779">
        <v>1</v>
      </c>
      <c r="H3779" t="s">
        <v>5014</v>
      </c>
      <c r="J3779" t="s">
        <v>5340</v>
      </c>
      <c r="K3779" t="s">
        <v>21</v>
      </c>
      <c r="L3779" t="s">
        <v>22</v>
      </c>
      <c r="M3779" t="s">
        <v>12714</v>
      </c>
      <c r="N3779" t="s">
        <v>12715</v>
      </c>
      <c r="O3779" t="s">
        <v>12716</v>
      </c>
      <c r="P3779" s="2" t="s">
        <v>26</v>
      </c>
      <c r="Q3779" t="s">
        <v>50</v>
      </c>
      <c r="R3779">
        <v>13.43</v>
      </c>
      <c r="S3779">
        <v>13.43</v>
      </c>
      <c r="T3779" t="s">
        <v>12717</v>
      </c>
    </row>
    <row r="3780" spans="1:20" x14ac:dyDescent="0.25">
      <c r="A3780" s="1" t="str">
        <f>HYPERLINK("https://vegkart.atlas.vegvesen.no/#/@-35048.5,6785725.1,18/hva:hva%5B0%5D%5Bfilter%5D%5B0%5D%5Boperator%5D=%21%3D&amp;hva%5B0%5D%5Bfilter%5D%5B0%5D%5Btype_id%5D=8917&amp;hva%5B0%5D%5Bfilter%5D%5B0%5D%5Bverdi%5D=&amp;hva%5B0%5D%5Bid%5D=49/når:2024-12-02", "Vegkart")</f>
        <v>Vegkart</v>
      </c>
      <c r="B3780">
        <v>1021246022</v>
      </c>
      <c r="C3780">
        <v>49</v>
      </c>
      <c r="D3780" t="s">
        <v>8701</v>
      </c>
      <c r="E3780">
        <v>8917</v>
      </c>
      <c r="F3780" t="s">
        <v>23479</v>
      </c>
      <c r="G3780">
        <v>1</v>
      </c>
      <c r="H3780" t="s">
        <v>1274</v>
      </c>
      <c r="J3780" t="s">
        <v>5340</v>
      </c>
      <c r="K3780" t="s">
        <v>21</v>
      </c>
      <c r="L3780" t="s">
        <v>22</v>
      </c>
      <c r="M3780" t="s">
        <v>12718</v>
      </c>
      <c r="N3780" t="s">
        <v>12719</v>
      </c>
      <c r="O3780" t="s">
        <v>12720</v>
      </c>
      <c r="P3780" s="2" t="s">
        <v>37</v>
      </c>
      <c r="Q3780" t="s">
        <v>1208</v>
      </c>
      <c r="R3780">
        <v>0.5</v>
      </c>
      <c r="S3780">
        <v>72.86</v>
      </c>
      <c r="T3780" t="s">
        <v>12721</v>
      </c>
    </row>
    <row r="3781" spans="1:20" x14ac:dyDescent="0.25">
      <c r="A3781" s="1" t="str">
        <f>HYPERLINK("https://vegkart.atlas.vegvesen.no/#/@-50566.0,6625392.1,18/hva:hva%5B0%5D%5Bfilter%5D%5B0%5D%5Boperator%5D=%21%3D&amp;hva%5B0%5D%5Bfilter%5D%5B0%5D%5Btype_id%5D=8917&amp;hva%5B0%5D%5Bfilter%5D%5B0%5D%5Bverdi%5D=&amp;hva%5B0%5D%5Bid%5D=49/når:2024-12-02", "Vegkart")</f>
        <v>Vegkart</v>
      </c>
      <c r="B3781">
        <v>1021246779</v>
      </c>
      <c r="C3781">
        <v>49</v>
      </c>
      <c r="D3781" t="s">
        <v>8701</v>
      </c>
      <c r="E3781">
        <v>8917</v>
      </c>
      <c r="F3781" t="s">
        <v>23479</v>
      </c>
      <c r="G3781">
        <v>1</v>
      </c>
      <c r="H3781" t="s">
        <v>1274</v>
      </c>
      <c r="J3781" t="s">
        <v>5340</v>
      </c>
      <c r="K3781" t="s">
        <v>170</v>
      </c>
      <c r="L3781" t="s">
        <v>33</v>
      </c>
      <c r="M3781" t="s">
        <v>12722</v>
      </c>
      <c r="N3781" t="s">
        <v>12723</v>
      </c>
      <c r="O3781" t="s">
        <v>12724</v>
      </c>
      <c r="P3781" s="2" t="s">
        <v>165</v>
      </c>
      <c r="Q3781" t="s">
        <v>166</v>
      </c>
      <c r="R3781">
        <v>7.02</v>
      </c>
      <c r="S3781">
        <v>7.02</v>
      </c>
      <c r="T3781" t="s">
        <v>167</v>
      </c>
    </row>
    <row r="3782" spans="1:20" x14ac:dyDescent="0.25">
      <c r="A3782" s="1" t="str">
        <f>HYPERLINK("https://vegkart.atlas.vegvesen.no/#/@-50558.5,6625394.0,18/hva:hva%5B0%5D%5Bfilter%5D%5B0%5D%5Boperator%5D=%21%3D&amp;hva%5B0%5D%5Bfilter%5D%5B0%5D%5Btype_id%5D=8917&amp;hva%5B0%5D%5Bfilter%5D%5B0%5D%5Bverdi%5D=&amp;hva%5B0%5D%5Bid%5D=49/når:2024-12-02", "Vegkart")</f>
        <v>Vegkart</v>
      </c>
      <c r="B3782">
        <v>1021246889</v>
      </c>
      <c r="C3782">
        <v>49</v>
      </c>
      <c r="D3782" t="s">
        <v>8701</v>
      </c>
      <c r="E3782">
        <v>8917</v>
      </c>
      <c r="F3782" t="s">
        <v>23479</v>
      </c>
      <c r="G3782">
        <v>1</v>
      </c>
      <c r="H3782" t="s">
        <v>1274</v>
      </c>
      <c r="J3782" t="s">
        <v>5340</v>
      </c>
      <c r="K3782" t="s">
        <v>170</v>
      </c>
      <c r="L3782" t="s">
        <v>33</v>
      </c>
      <c r="M3782" t="s">
        <v>12722</v>
      </c>
      <c r="N3782" t="s">
        <v>12725</v>
      </c>
      <c r="O3782" t="s">
        <v>12726</v>
      </c>
      <c r="P3782" s="2" t="s">
        <v>165</v>
      </c>
      <c r="Q3782" t="s">
        <v>166</v>
      </c>
      <c r="R3782">
        <v>2.39</v>
      </c>
      <c r="S3782">
        <v>2.39</v>
      </c>
      <c r="T3782" t="s">
        <v>167</v>
      </c>
    </row>
    <row r="3783" spans="1:20" x14ac:dyDescent="0.25">
      <c r="A3783" s="1" t="str">
        <f>HYPERLINK("https://vegkart.atlas.vegvesen.no/#/@-50573.7,6625372.7,18/hva:hva%5B0%5D%5Bfilter%5D%5B0%5D%5Boperator%5D=%21%3D&amp;hva%5B0%5D%5Bfilter%5D%5B0%5D%5Btype_id%5D=8917&amp;hva%5B0%5D%5Bfilter%5D%5B0%5D%5Bverdi%5D=&amp;hva%5B0%5D%5Bid%5D=49/når:2024-12-02", "Vegkart")</f>
        <v>Vegkart</v>
      </c>
      <c r="B3783">
        <v>1021247021</v>
      </c>
      <c r="C3783">
        <v>49</v>
      </c>
      <c r="D3783" t="s">
        <v>8701</v>
      </c>
      <c r="E3783">
        <v>8917</v>
      </c>
      <c r="F3783" t="s">
        <v>23479</v>
      </c>
      <c r="G3783">
        <v>1</v>
      </c>
      <c r="H3783" t="s">
        <v>1274</v>
      </c>
      <c r="J3783" t="s">
        <v>5340</v>
      </c>
      <c r="K3783" t="s">
        <v>170</v>
      </c>
      <c r="L3783" t="s">
        <v>33</v>
      </c>
      <c r="M3783" t="s">
        <v>12722</v>
      </c>
      <c r="N3783" t="s">
        <v>12727</v>
      </c>
      <c r="O3783" t="s">
        <v>12728</v>
      </c>
      <c r="P3783" s="2" t="s">
        <v>165</v>
      </c>
      <c r="Q3783" t="s">
        <v>166</v>
      </c>
      <c r="R3783">
        <v>5.58</v>
      </c>
      <c r="S3783">
        <v>5.58</v>
      </c>
      <c r="T3783" t="s">
        <v>167</v>
      </c>
    </row>
    <row r="3784" spans="1:20" x14ac:dyDescent="0.25">
      <c r="A3784" s="1" t="str">
        <f>HYPERLINK("https://vegkart.atlas.vegvesen.no/#/@-50408.8,6624905.9,18/hva:hva%5B0%5D%5Bfilter%5D%5B0%5D%5Boperator%5D=%21%3D&amp;hva%5B0%5D%5Bfilter%5D%5B0%5D%5Btype_id%5D=8917&amp;hva%5B0%5D%5Bfilter%5D%5B0%5D%5Bverdi%5D=&amp;hva%5B0%5D%5Bid%5D=49/når:2024-12-06", "Vegkart")</f>
        <v>Vegkart</v>
      </c>
      <c r="B3784">
        <v>1021276304</v>
      </c>
      <c r="C3784">
        <v>49</v>
      </c>
      <c r="D3784" t="s">
        <v>8701</v>
      </c>
      <c r="E3784">
        <v>8917</v>
      </c>
      <c r="F3784" t="s">
        <v>23479</v>
      </c>
      <c r="G3784">
        <v>1</v>
      </c>
      <c r="H3784" t="s">
        <v>1370</v>
      </c>
      <c r="J3784" t="s">
        <v>5340</v>
      </c>
      <c r="K3784" t="s">
        <v>170</v>
      </c>
      <c r="L3784" t="s">
        <v>33</v>
      </c>
      <c r="M3784" t="s">
        <v>12722</v>
      </c>
      <c r="N3784" t="s">
        <v>12729</v>
      </c>
      <c r="O3784" t="s">
        <v>12730</v>
      </c>
      <c r="P3784" s="2" t="s">
        <v>165</v>
      </c>
      <c r="Q3784" t="s">
        <v>166</v>
      </c>
      <c r="R3784">
        <v>13.74</v>
      </c>
      <c r="S3784">
        <v>13.74</v>
      </c>
      <c r="T3784" t="s">
        <v>167</v>
      </c>
    </row>
    <row r="3785" spans="1:20" x14ac:dyDescent="0.25">
      <c r="A3785" s="1" t="str">
        <f>HYPERLINK("https://vegkart.atlas.vegvesen.no/#/@270826.0,6764374.6,18/hva:hva%5B0%5D%5Bfilter%5D%5B0%5D%5Boperator%5D=%21%3D&amp;hva%5B0%5D%5Bfilter%5D%5B0%5D%5Btype_id%5D=8917&amp;hva%5B0%5D%5Bfilter%5D%5B0%5D%5Bverdi%5D=&amp;hva%5B0%5D%5Bid%5D=49/når:2022-07-01", "Vegkart")</f>
        <v>Vegkart</v>
      </c>
      <c r="B3785">
        <v>1021345419</v>
      </c>
      <c r="C3785">
        <v>49</v>
      </c>
      <c r="D3785" t="s">
        <v>8701</v>
      </c>
      <c r="E3785">
        <v>8917</v>
      </c>
      <c r="F3785" t="s">
        <v>23479</v>
      </c>
      <c r="G3785">
        <v>1</v>
      </c>
      <c r="H3785" t="s">
        <v>12731</v>
      </c>
      <c r="J3785" t="s">
        <v>5340</v>
      </c>
      <c r="K3785" t="s">
        <v>136</v>
      </c>
      <c r="L3785" t="s">
        <v>33</v>
      </c>
      <c r="M3785" t="s">
        <v>12732</v>
      </c>
      <c r="N3785" t="s">
        <v>12733</v>
      </c>
      <c r="O3785" t="s">
        <v>12734</v>
      </c>
      <c r="P3785" s="2" t="s">
        <v>165</v>
      </c>
      <c r="Q3785" t="s">
        <v>166</v>
      </c>
      <c r="R3785">
        <v>0</v>
      </c>
      <c r="S3785">
        <v>13.81</v>
      </c>
      <c r="T3785" t="s">
        <v>167</v>
      </c>
    </row>
    <row r="3786" spans="1:20" x14ac:dyDescent="0.25">
      <c r="A3786" s="1" t="str">
        <f>HYPERLINK("https://vegkart.atlas.vegvesen.no/#/@270875.1,6651891.5,18/hva:hva%5B0%5D%5Bfilter%5D%5B0%5D%5Boperator%5D=%21%3D&amp;hva%5B0%5D%5Bfilter%5D%5B0%5D%5Btype_id%5D=8917&amp;hva%5B0%5D%5Bfilter%5D%5B0%5D%5Bverdi%5D=&amp;hva%5B0%5D%5Bid%5D=49/når:2024-12-10", "Vegkart")</f>
        <v>Vegkart</v>
      </c>
      <c r="B3786">
        <v>1021350412</v>
      </c>
      <c r="C3786">
        <v>49</v>
      </c>
      <c r="D3786" t="s">
        <v>8701</v>
      </c>
      <c r="E3786">
        <v>8917</v>
      </c>
      <c r="F3786" t="s">
        <v>23479</v>
      </c>
      <c r="G3786">
        <v>1</v>
      </c>
      <c r="H3786" t="s">
        <v>12735</v>
      </c>
      <c r="J3786" t="s">
        <v>5340</v>
      </c>
      <c r="K3786" t="s">
        <v>335</v>
      </c>
      <c r="L3786" t="s">
        <v>22</v>
      </c>
      <c r="M3786" t="s">
        <v>12736</v>
      </c>
      <c r="N3786" t="s">
        <v>12737</v>
      </c>
      <c r="O3786" t="s">
        <v>12738</v>
      </c>
      <c r="P3786" s="2" t="s">
        <v>37</v>
      </c>
      <c r="Q3786" t="s">
        <v>1208</v>
      </c>
      <c r="R3786">
        <v>0</v>
      </c>
      <c r="S3786">
        <v>12.76</v>
      </c>
      <c r="T3786" t="s">
        <v>12739</v>
      </c>
    </row>
    <row r="3787" spans="1:20" x14ac:dyDescent="0.25">
      <c r="A3787" s="1" t="str">
        <f>HYPERLINK("https://vegkart.atlas.vegvesen.no/#/@266097.9,6649039.5,18/hva:hva%5B0%5D%5Bfilter%5D%5B0%5D%5Boperator%5D=%21%3D&amp;hva%5B0%5D%5Bfilter%5D%5B0%5D%5Btype_id%5D=8917&amp;hva%5B0%5D%5Bfilter%5D%5B0%5D%5Bverdi%5D=&amp;hva%5B0%5D%5Bid%5D=49/når:2025-01-10", "Vegkart")</f>
        <v>Vegkart</v>
      </c>
      <c r="B3787">
        <v>1021428201</v>
      </c>
      <c r="C3787">
        <v>49</v>
      </c>
      <c r="D3787" t="s">
        <v>8701</v>
      </c>
      <c r="E3787">
        <v>8917</v>
      </c>
      <c r="F3787" t="s">
        <v>23479</v>
      </c>
      <c r="G3787">
        <v>1</v>
      </c>
      <c r="H3787" t="s">
        <v>12740</v>
      </c>
      <c r="J3787" t="s">
        <v>12741</v>
      </c>
      <c r="K3787" t="s">
        <v>335</v>
      </c>
      <c r="L3787" t="s">
        <v>22</v>
      </c>
      <c r="M3787" t="s">
        <v>2280</v>
      </c>
      <c r="N3787" t="s">
        <v>12742</v>
      </c>
      <c r="O3787" t="s">
        <v>12743</v>
      </c>
      <c r="P3787" s="2" t="s">
        <v>37</v>
      </c>
      <c r="Q3787" t="s">
        <v>1208</v>
      </c>
      <c r="R3787">
        <v>0</v>
      </c>
      <c r="S3787">
        <v>26.96</v>
      </c>
      <c r="T3787" t="s">
        <v>12744</v>
      </c>
    </row>
    <row r="3788" spans="1:20" x14ac:dyDescent="0.25">
      <c r="A3788" s="1" t="str">
        <f>HYPERLINK("https://vegkart.atlas.vegvesen.no/#/@266120.5,6649068.0,18/hva:hva%5B0%5D%5Bfilter%5D%5B0%5D%5Boperator%5D=%21%3D&amp;hva%5B0%5D%5Bfilter%5D%5B0%5D%5Btype_id%5D=8917&amp;hva%5B0%5D%5Bfilter%5D%5B0%5D%5Bverdi%5D=&amp;hva%5B0%5D%5Bid%5D=49/når:2025-01-10", "Vegkart")</f>
        <v>Vegkart</v>
      </c>
      <c r="B3788">
        <v>1021428202</v>
      </c>
      <c r="C3788">
        <v>49</v>
      </c>
      <c r="D3788" t="s">
        <v>8701</v>
      </c>
      <c r="E3788">
        <v>8917</v>
      </c>
      <c r="F3788" t="s">
        <v>23479</v>
      </c>
      <c r="G3788">
        <v>1</v>
      </c>
      <c r="H3788" t="s">
        <v>12740</v>
      </c>
      <c r="J3788" t="s">
        <v>12741</v>
      </c>
      <c r="K3788" t="s">
        <v>335</v>
      </c>
      <c r="L3788" t="s">
        <v>22</v>
      </c>
      <c r="M3788" t="s">
        <v>2280</v>
      </c>
      <c r="N3788" t="s">
        <v>12745</v>
      </c>
      <c r="O3788" t="s">
        <v>12746</v>
      </c>
      <c r="P3788" s="2" t="s">
        <v>37</v>
      </c>
      <c r="Q3788" t="s">
        <v>1208</v>
      </c>
      <c r="R3788">
        <v>0</v>
      </c>
      <c r="S3788">
        <v>49.32</v>
      </c>
      <c r="T3788" t="s">
        <v>12747</v>
      </c>
    </row>
    <row r="3789" spans="1:20" x14ac:dyDescent="0.25">
      <c r="A3789" s="1" t="str">
        <f>HYPERLINK("https://vegkart.atlas.vegvesen.no/#/@266063.1,6649066.9,18/hva:hva%5B0%5D%5Bfilter%5D%5B0%5D%5Boperator%5D=%21%3D&amp;hva%5B0%5D%5Bfilter%5D%5B0%5D%5Btype_id%5D=8917&amp;hva%5B0%5D%5Bfilter%5D%5B0%5D%5Bverdi%5D=&amp;hva%5B0%5D%5Bid%5D=49/når:2025-01-10", "Vegkart")</f>
        <v>Vegkart</v>
      </c>
      <c r="B3789">
        <v>1021428203</v>
      </c>
      <c r="C3789">
        <v>49</v>
      </c>
      <c r="D3789" t="s">
        <v>8701</v>
      </c>
      <c r="E3789">
        <v>8917</v>
      </c>
      <c r="F3789" t="s">
        <v>23479</v>
      </c>
      <c r="G3789">
        <v>1</v>
      </c>
      <c r="H3789" t="s">
        <v>12740</v>
      </c>
      <c r="J3789" t="s">
        <v>12741</v>
      </c>
      <c r="K3789" t="s">
        <v>335</v>
      </c>
      <c r="L3789" t="s">
        <v>22</v>
      </c>
      <c r="M3789" t="s">
        <v>2280</v>
      </c>
      <c r="N3789" t="s">
        <v>12748</v>
      </c>
      <c r="O3789" t="s">
        <v>12749</v>
      </c>
      <c r="P3789" s="2" t="s">
        <v>37</v>
      </c>
      <c r="Q3789" t="s">
        <v>1208</v>
      </c>
      <c r="R3789">
        <v>0</v>
      </c>
      <c r="S3789">
        <v>72.19</v>
      </c>
      <c r="T3789" t="s">
        <v>12750</v>
      </c>
    </row>
    <row r="3790" spans="1:20" x14ac:dyDescent="0.25">
      <c r="A3790" s="1" t="str">
        <f>HYPERLINK("https://vegkart.atlas.vegvesen.no/#/@266532.4,6649122.9,18/hva:hva%5B0%5D%5Bfilter%5D%5B0%5D%5Boperator%5D=%21%3D&amp;hva%5B0%5D%5Bfilter%5D%5B0%5D%5Btype_id%5D=8917&amp;hva%5B0%5D%5Bfilter%5D%5B0%5D%5Bverdi%5D=&amp;hva%5B0%5D%5Bid%5D=49/når:2025-01-10", "Vegkart")</f>
        <v>Vegkart</v>
      </c>
      <c r="B3790">
        <v>1021428204</v>
      </c>
      <c r="C3790">
        <v>49</v>
      </c>
      <c r="D3790" t="s">
        <v>8701</v>
      </c>
      <c r="E3790">
        <v>8917</v>
      </c>
      <c r="F3790" t="s">
        <v>23479</v>
      </c>
      <c r="G3790">
        <v>1</v>
      </c>
      <c r="H3790" t="s">
        <v>12740</v>
      </c>
      <c r="J3790" t="s">
        <v>12741</v>
      </c>
      <c r="K3790" t="s">
        <v>335</v>
      </c>
      <c r="L3790" t="s">
        <v>22</v>
      </c>
      <c r="M3790" t="s">
        <v>12751</v>
      </c>
      <c r="N3790" t="s">
        <v>12752</v>
      </c>
      <c r="O3790" t="s">
        <v>12753</v>
      </c>
      <c r="P3790" s="2" t="s">
        <v>37</v>
      </c>
      <c r="Q3790" t="s">
        <v>1208</v>
      </c>
      <c r="R3790">
        <v>0</v>
      </c>
      <c r="S3790">
        <v>53.73</v>
      </c>
      <c r="T3790" t="s">
        <v>12754</v>
      </c>
    </row>
    <row r="3791" spans="1:20" x14ac:dyDescent="0.25">
      <c r="A3791" s="1" t="str">
        <f>HYPERLINK("https://vegkart.atlas.vegvesen.no/#/@266095.4,6649060.2,18/hva:hva%5B0%5D%5Bfilter%5D%5B0%5D%5Boperator%5D=%21%3D&amp;hva%5B0%5D%5Bfilter%5D%5B0%5D%5Btype_id%5D=8917&amp;hva%5B0%5D%5Bfilter%5D%5B0%5D%5Bverdi%5D=&amp;hva%5B0%5D%5Bid%5D=49/når:2025-01-10", "Vegkart")</f>
        <v>Vegkart</v>
      </c>
      <c r="B3791">
        <v>1021428205</v>
      </c>
      <c r="C3791">
        <v>49</v>
      </c>
      <c r="D3791" t="s">
        <v>8701</v>
      </c>
      <c r="E3791">
        <v>8917</v>
      </c>
      <c r="F3791" t="s">
        <v>23479</v>
      </c>
      <c r="G3791">
        <v>1</v>
      </c>
      <c r="H3791" t="s">
        <v>12740</v>
      </c>
      <c r="J3791" t="s">
        <v>12741</v>
      </c>
      <c r="K3791" t="s">
        <v>335</v>
      </c>
      <c r="L3791" t="s">
        <v>22</v>
      </c>
      <c r="M3791" t="s">
        <v>2280</v>
      </c>
      <c r="N3791" t="s">
        <v>12755</v>
      </c>
      <c r="O3791" t="s">
        <v>12756</v>
      </c>
      <c r="P3791" s="2" t="s">
        <v>37</v>
      </c>
      <c r="Q3791" t="s">
        <v>1208</v>
      </c>
      <c r="R3791">
        <v>0</v>
      </c>
      <c r="S3791">
        <v>25.14</v>
      </c>
      <c r="T3791" t="s">
        <v>12757</v>
      </c>
    </row>
    <row r="3792" spans="1:20" x14ac:dyDescent="0.25">
      <c r="A3792" s="1" t="str">
        <f>HYPERLINK("https://vegkart.atlas.vegvesen.no/#/@265972.3,6649089.3,18/hva:hva%5B0%5D%5Bfilter%5D%5B0%5D%5Boperator%5D=%21%3D&amp;hva%5B0%5D%5Bfilter%5D%5B0%5D%5Btype_id%5D=8917&amp;hva%5B0%5D%5Bfilter%5D%5B0%5D%5Bverdi%5D=&amp;hva%5B0%5D%5Bid%5D=49/når:2025-01-10", "Vegkart")</f>
        <v>Vegkart</v>
      </c>
      <c r="B3792">
        <v>1021428206</v>
      </c>
      <c r="C3792">
        <v>49</v>
      </c>
      <c r="D3792" t="s">
        <v>8701</v>
      </c>
      <c r="E3792">
        <v>8917</v>
      </c>
      <c r="F3792" t="s">
        <v>23479</v>
      </c>
      <c r="G3792">
        <v>1</v>
      </c>
      <c r="H3792" t="s">
        <v>12740</v>
      </c>
      <c r="J3792" t="s">
        <v>12741</v>
      </c>
      <c r="K3792" t="s">
        <v>335</v>
      </c>
      <c r="L3792" t="s">
        <v>22</v>
      </c>
      <c r="M3792" t="s">
        <v>2280</v>
      </c>
      <c r="N3792" t="s">
        <v>12758</v>
      </c>
      <c r="O3792" t="s">
        <v>12759</v>
      </c>
      <c r="P3792" s="2" t="s">
        <v>37</v>
      </c>
      <c r="Q3792" t="s">
        <v>1208</v>
      </c>
      <c r="R3792">
        <v>0</v>
      </c>
      <c r="S3792">
        <v>66.23</v>
      </c>
      <c r="T3792" t="s">
        <v>12760</v>
      </c>
    </row>
    <row r="3793" spans="1:20" x14ac:dyDescent="0.25">
      <c r="A3793" s="1" t="str">
        <f>HYPERLINK("https://vegkart.atlas.vegvesen.no/#/@265733.6,6649111.9,18/hva:hva%5B0%5D%5Bfilter%5D%5B0%5D%5Boperator%5D=%21%3D&amp;hva%5B0%5D%5Bfilter%5D%5B0%5D%5Btype_id%5D=8917&amp;hva%5B0%5D%5Bfilter%5D%5B0%5D%5Bverdi%5D=&amp;hva%5B0%5D%5Bid%5D=49/når:2025-01-10", "Vegkart")</f>
        <v>Vegkart</v>
      </c>
      <c r="B3793">
        <v>1021428207</v>
      </c>
      <c r="C3793">
        <v>49</v>
      </c>
      <c r="D3793" t="s">
        <v>8701</v>
      </c>
      <c r="E3793">
        <v>8917</v>
      </c>
      <c r="F3793" t="s">
        <v>23479</v>
      </c>
      <c r="G3793">
        <v>1</v>
      </c>
      <c r="H3793" t="s">
        <v>12740</v>
      </c>
      <c r="J3793" t="s">
        <v>12741</v>
      </c>
      <c r="K3793" t="s">
        <v>335</v>
      </c>
      <c r="L3793" t="s">
        <v>22</v>
      </c>
      <c r="M3793" t="s">
        <v>2280</v>
      </c>
      <c r="N3793" t="s">
        <v>12761</v>
      </c>
      <c r="O3793" t="s">
        <v>12762</v>
      </c>
      <c r="P3793" s="2" t="s">
        <v>37</v>
      </c>
      <c r="Q3793" t="s">
        <v>1208</v>
      </c>
      <c r="R3793">
        <v>0</v>
      </c>
      <c r="S3793">
        <v>132.36000000000001</v>
      </c>
      <c r="T3793" t="s">
        <v>12763</v>
      </c>
    </row>
    <row r="3794" spans="1:20" x14ac:dyDescent="0.25">
      <c r="A3794" s="1" t="str">
        <f>HYPERLINK("https://vegkart.atlas.vegvesen.no/#/@84529.7,6543625.2,18/hva:hva%5B0%5D%5Bfilter%5D%5B0%5D%5Boperator%5D=%21%3D&amp;hva%5B0%5D%5Bfilter%5D%5B0%5D%5Btype_id%5D=8917&amp;hva%5B0%5D%5Bfilter%5D%5B0%5D%5Bverdi%5D=&amp;hva%5B0%5D%5Bid%5D=49/når:2025-01-20", "Vegkart")</f>
        <v>Vegkart</v>
      </c>
      <c r="B3794">
        <v>1021979553</v>
      </c>
      <c r="C3794">
        <v>49</v>
      </c>
      <c r="D3794" t="s">
        <v>8701</v>
      </c>
      <c r="E3794">
        <v>8917</v>
      </c>
      <c r="F3794" t="s">
        <v>23479</v>
      </c>
      <c r="G3794">
        <v>1</v>
      </c>
      <c r="H3794" t="s">
        <v>920</v>
      </c>
      <c r="J3794" t="s">
        <v>12741</v>
      </c>
      <c r="K3794" t="s">
        <v>86</v>
      </c>
      <c r="L3794" t="s">
        <v>113</v>
      </c>
      <c r="M3794" t="s">
        <v>667</v>
      </c>
      <c r="N3794" t="s">
        <v>12764</v>
      </c>
      <c r="O3794" t="s">
        <v>12765</v>
      </c>
      <c r="P3794" s="2" t="s">
        <v>37</v>
      </c>
      <c r="Q3794" t="s">
        <v>1208</v>
      </c>
      <c r="R3794">
        <v>0</v>
      </c>
      <c r="S3794">
        <v>16.25</v>
      </c>
      <c r="T3794" t="s">
        <v>12766</v>
      </c>
    </row>
    <row r="3795" spans="1:20" x14ac:dyDescent="0.25">
      <c r="A3795" s="1" t="str">
        <f>HYPERLINK("https://vegkart.atlas.vegvesen.no/#/@84513.9,6543595.8,18/hva:hva%5B0%5D%5Bfilter%5D%5B0%5D%5Boperator%5D=%21%3D&amp;hva%5B0%5D%5Bfilter%5D%5B0%5D%5Btype_id%5D=8917&amp;hva%5B0%5D%5Bfilter%5D%5B0%5D%5Bverdi%5D=&amp;hva%5B0%5D%5Bid%5D=49/når:2025-01-20", "Vegkart")</f>
        <v>Vegkart</v>
      </c>
      <c r="B3795">
        <v>1021979554</v>
      </c>
      <c r="C3795">
        <v>49</v>
      </c>
      <c r="D3795" t="s">
        <v>8701</v>
      </c>
      <c r="E3795">
        <v>8917</v>
      </c>
      <c r="F3795" t="s">
        <v>23479</v>
      </c>
      <c r="G3795">
        <v>1</v>
      </c>
      <c r="H3795" t="s">
        <v>920</v>
      </c>
      <c r="J3795" t="s">
        <v>12741</v>
      </c>
      <c r="K3795" t="s">
        <v>86</v>
      </c>
      <c r="L3795" t="s">
        <v>113</v>
      </c>
      <c r="M3795" t="s">
        <v>667</v>
      </c>
      <c r="N3795" t="s">
        <v>12767</v>
      </c>
      <c r="O3795" t="s">
        <v>12768</v>
      </c>
      <c r="P3795" s="2" t="s">
        <v>37</v>
      </c>
      <c r="Q3795" t="s">
        <v>1208</v>
      </c>
      <c r="R3795">
        <v>0</v>
      </c>
      <c r="S3795">
        <v>23.27</v>
      </c>
      <c r="T3795" t="s">
        <v>12769</v>
      </c>
    </row>
    <row r="3796" spans="1:20" x14ac:dyDescent="0.25">
      <c r="A3796" s="1" t="str">
        <f>HYPERLINK("https://vegkart.atlas.vegvesen.no/#/@84534.7,6543604.4,18/hva:hva%5B0%5D%5Bfilter%5D%5B0%5D%5Boperator%5D=%21%3D&amp;hva%5B0%5D%5Bfilter%5D%5B0%5D%5Btype_id%5D=8917&amp;hva%5B0%5D%5Bfilter%5D%5B0%5D%5Bverdi%5D=&amp;hva%5B0%5D%5Bid%5D=49/når:2025-01-20", "Vegkart")</f>
        <v>Vegkart</v>
      </c>
      <c r="B3796">
        <v>1021979555</v>
      </c>
      <c r="C3796">
        <v>49</v>
      </c>
      <c r="D3796" t="s">
        <v>8701</v>
      </c>
      <c r="E3796">
        <v>8917</v>
      </c>
      <c r="F3796" t="s">
        <v>23479</v>
      </c>
      <c r="G3796">
        <v>1</v>
      </c>
      <c r="H3796" t="s">
        <v>920</v>
      </c>
      <c r="J3796" t="s">
        <v>12741</v>
      </c>
      <c r="K3796" t="s">
        <v>86</v>
      </c>
      <c r="L3796" t="s">
        <v>113</v>
      </c>
      <c r="M3796" t="s">
        <v>667</v>
      </c>
      <c r="N3796" t="s">
        <v>12770</v>
      </c>
      <c r="O3796" t="s">
        <v>12771</v>
      </c>
      <c r="P3796" s="2" t="s">
        <v>37</v>
      </c>
      <c r="Q3796" t="s">
        <v>1208</v>
      </c>
      <c r="R3796">
        <v>0</v>
      </c>
      <c r="S3796">
        <v>65.75</v>
      </c>
      <c r="T3796" t="s">
        <v>12772</v>
      </c>
    </row>
    <row r="3797" spans="1:20" x14ac:dyDescent="0.25">
      <c r="A3797" s="1" t="str">
        <f>HYPERLINK("https://vegkart.atlas.vegvesen.no/#/@84555.4,6543610.6,18/hva:hva%5B0%5D%5Bfilter%5D%5B0%5D%5Boperator%5D=%21%3D&amp;hva%5B0%5D%5Bfilter%5D%5B0%5D%5Btype_id%5D=8917&amp;hva%5B0%5D%5Bfilter%5D%5B0%5D%5Bverdi%5D=&amp;hva%5B0%5D%5Bid%5D=49/når:2025-01-20", "Vegkart")</f>
        <v>Vegkart</v>
      </c>
      <c r="B3797">
        <v>1021979556</v>
      </c>
      <c r="C3797">
        <v>49</v>
      </c>
      <c r="D3797" t="s">
        <v>8701</v>
      </c>
      <c r="E3797">
        <v>8917</v>
      </c>
      <c r="F3797" t="s">
        <v>23479</v>
      </c>
      <c r="G3797">
        <v>1</v>
      </c>
      <c r="H3797" t="s">
        <v>920</v>
      </c>
      <c r="J3797" t="s">
        <v>12741</v>
      </c>
      <c r="K3797" t="s">
        <v>86</v>
      </c>
      <c r="L3797" t="s">
        <v>113</v>
      </c>
      <c r="M3797" t="s">
        <v>667</v>
      </c>
      <c r="N3797" t="s">
        <v>12773</v>
      </c>
      <c r="O3797" t="s">
        <v>12774</v>
      </c>
      <c r="P3797" s="2" t="s">
        <v>37</v>
      </c>
      <c r="Q3797" t="s">
        <v>1208</v>
      </c>
      <c r="R3797">
        <v>0</v>
      </c>
      <c r="S3797">
        <v>21.68</v>
      </c>
      <c r="T3797" t="s">
        <v>12775</v>
      </c>
    </row>
    <row r="3798" spans="1:20" x14ac:dyDescent="0.25">
      <c r="A3798" s="1" t="str">
        <f>HYPERLINK("https://vegkart.atlas.vegvesen.no/#/@84540.3,6543580.3,18/hva:hva%5B0%5D%5Bfilter%5D%5B0%5D%5Boperator%5D=%21%3D&amp;hva%5B0%5D%5Bfilter%5D%5B0%5D%5Btype_id%5D=8917&amp;hva%5B0%5D%5Bfilter%5D%5B0%5D%5Bverdi%5D=&amp;hva%5B0%5D%5Bid%5D=49/når:2025-01-20", "Vegkart")</f>
        <v>Vegkart</v>
      </c>
      <c r="B3798">
        <v>1021979557</v>
      </c>
      <c r="C3798">
        <v>49</v>
      </c>
      <c r="D3798" t="s">
        <v>8701</v>
      </c>
      <c r="E3798">
        <v>8917</v>
      </c>
      <c r="F3798" t="s">
        <v>23479</v>
      </c>
      <c r="G3798">
        <v>1</v>
      </c>
      <c r="H3798" t="s">
        <v>920</v>
      </c>
      <c r="J3798" t="s">
        <v>12741</v>
      </c>
      <c r="K3798" t="s">
        <v>86</v>
      </c>
      <c r="L3798" t="s">
        <v>113</v>
      </c>
      <c r="M3798" t="s">
        <v>667</v>
      </c>
      <c r="N3798" t="s">
        <v>12776</v>
      </c>
      <c r="O3798" t="s">
        <v>12777</v>
      </c>
      <c r="P3798" s="2" t="s">
        <v>37</v>
      </c>
      <c r="Q3798" t="s">
        <v>1208</v>
      </c>
      <c r="R3798">
        <v>0</v>
      </c>
      <c r="S3798">
        <v>34.630000000000003</v>
      </c>
      <c r="T3798" t="s">
        <v>12778</v>
      </c>
    </row>
    <row r="3799" spans="1:20" x14ac:dyDescent="0.25">
      <c r="A3799" s="1" t="str">
        <f>HYPERLINK("https://vegkart.atlas.vegvesen.no/#/@-25711.4,6636010.9,18/hva:hva%5B0%5D%5Bfilter%5D%5B0%5D%5Boperator%5D=%21%3D&amp;hva%5B0%5D%5Bfilter%5D%5B0%5D%5Btype_id%5D=8917&amp;hva%5B0%5D%5Bfilter%5D%5B0%5D%5Bverdi%5D=&amp;hva%5B0%5D%5Bid%5D=49/når:2025-02-03", "Vegkart")</f>
        <v>Vegkart</v>
      </c>
      <c r="B3799">
        <v>1022038633</v>
      </c>
      <c r="C3799">
        <v>49</v>
      </c>
      <c r="D3799" t="s">
        <v>8701</v>
      </c>
      <c r="E3799">
        <v>8917</v>
      </c>
      <c r="F3799" t="s">
        <v>23479</v>
      </c>
      <c r="G3799">
        <v>1</v>
      </c>
      <c r="H3799" t="s">
        <v>5742</v>
      </c>
      <c r="J3799" t="s">
        <v>12741</v>
      </c>
      <c r="K3799" t="s">
        <v>170</v>
      </c>
      <c r="L3799" t="s">
        <v>80</v>
      </c>
      <c r="M3799" t="s">
        <v>645</v>
      </c>
      <c r="N3799" t="s">
        <v>12779</v>
      </c>
      <c r="O3799" t="s">
        <v>12780</v>
      </c>
      <c r="P3799" s="2" t="s">
        <v>37</v>
      </c>
      <c r="Q3799" t="s">
        <v>1208</v>
      </c>
      <c r="R3799">
        <v>0.05</v>
      </c>
      <c r="S3799">
        <v>292.02</v>
      </c>
      <c r="T3799" t="s">
        <v>12781</v>
      </c>
    </row>
    <row r="3800" spans="1:20" x14ac:dyDescent="0.25">
      <c r="A3800" s="1" t="str">
        <f>HYPERLINK("https://vegkart.atlas.vegvesen.no/#/@-25795.1,6635971.4,18/hva:hva%5B0%5D%5Bfilter%5D%5B0%5D%5Boperator%5D=%21%3D&amp;hva%5B0%5D%5Bfilter%5D%5B0%5D%5Btype_id%5D=8917&amp;hva%5B0%5D%5Bfilter%5D%5B0%5D%5Bverdi%5D=&amp;hva%5B0%5D%5Bid%5D=49/når:2025-02-03", "Vegkart")</f>
        <v>Vegkart</v>
      </c>
      <c r="B3800">
        <v>1022038634</v>
      </c>
      <c r="C3800">
        <v>49</v>
      </c>
      <c r="D3800" t="s">
        <v>8701</v>
      </c>
      <c r="E3800">
        <v>8917</v>
      </c>
      <c r="F3800" t="s">
        <v>23479</v>
      </c>
      <c r="G3800">
        <v>1</v>
      </c>
      <c r="H3800" t="s">
        <v>5742</v>
      </c>
      <c r="J3800" t="s">
        <v>12741</v>
      </c>
      <c r="K3800" t="s">
        <v>170</v>
      </c>
      <c r="L3800" t="s">
        <v>80</v>
      </c>
      <c r="M3800" t="s">
        <v>645</v>
      </c>
      <c r="N3800" t="s">
        <v>12782</v>
      </c>
      <c r="O3800" t="s">
        <v>12783</v>
      </c>
      <c r="P3800" s="2" t="s">
        <v>37</v>
      </c>
      <c r="Q3800" t="s">
        <v>1208</v>
      </c>
      <c r="R3800">
        <v>0.03</v>
      </c>
      <c r="S3800">
        <v>20.46</v>
      </c>
      <c r="T3800" t="s">
        <v>12784</v>
      </c>
    </row>
    <row r="3801" spans="1:20" x14ac:dyDescent="0.25">
      <c r="A3801" s="1" t="str">
        <f>HYPERLINK("https://vegkart.atlas.vegvesen.no/#/@27999.2,6896436.3,18/hva:hva%5B0%5D%5Bfilter%5D%5B0%5D%5Boperator%5D=%21%3D&amp;hva%5B0%5D%5Bfilter%5D%5B0%5D%5Btype_id%5D=8917&amp;hva%5B0%5D%5Bfilter%5D%5B0%5D%5Bverdi%5D=&amp;hva%5B0%5D%5Bid%5D=49/når:2025-02-04", "Vegkart")</f>
        <v>Vegkart</v>
      </c>
      <c r="B3801">
        <v>1022048014</v>
      </c>
      <c r="C3801">
        <v>49</v>
      </c>
      <c r="D3801" t="s">
        <v>8701</v>
      </c>
      <c r="E3801">
        <v>8917</v>
      </c>
      <c r="F3801" t="s">
        <v>23479</v>
      </c>
      <c r="G3801">
        <v>1</v>
      </c>
      <c r="H3801" t="s">
        <v>4164</v>
      </c>
      <c r="J3801" t="s">
        <v>12741</v>
      </c>
      <c r="K3801" t="s">
        <v>21</v>
      </c>
      <c r="L3801" t="s">
        <v>80</v>
      </c>
      <c r="M3801" t="s">
        <v>81</v>
      </c>
      <c r="N3801" t="s">
        <v>12785</v>
      </c>
      <c r="O3801" t="s">
        <v>12786</v>
      </c>
      <c r="P3801" s="2" t="s">
        <v>37</v>
      </c>
      <c r="Q3801" t="s">
        <v>1208</v>
      </c>
      <c r="R3801">
        <v>0</v>
      </c>
      <c r="S3801">
        <v>5.04</v>
      </c>
      <c r="T3801" t="s">
        <v>12787</v>
      </c>
    </row>
    <row r="3802" spans="1:20" x14ac:dyDescent="0.25">
      <c r="A3802" s="1" t="str">
        <f>HYPERLINK("https://vegkart.atlas.vegvesen.no/#/@27995.9,6896432.2,18/hva:hva%5B0%5D%5Bfilter%5D%5B0%5D%5Boperator%5D=%21%3D&amp;hva%5B0%5D%5Bfilter%5D%5B0%5D%5Btype_id%5D=8917&amp;hva%5B0%5D%5Bfilter%5D%5B0%5D%5Bverdi%5D=&amp;hva%5B0%5D%5Bid%5D=49/når:2025-02-04", "Vegkart")</f>
        <v>Vegkart</v>
      </c>
      <c r="B3802">
        <v>1022048015</v>
      </c>
      <c r="C3802">
        <v>49</v>
      </c>
      <c r="D3802" t="s">
        <v>8701</v>
      </c>
      <c r="E3802">
        <v>8917</v>
      </c>
      <c r="F3802" t="s">
        <v>23479</v>
      </c>
      <c r="G3802">
        <v>1</v>
      </c>
      <c r="H3802" t="s">
        <v>4164</v>
      </c>
      <c r="J3802" t="s">
        <v>12741</v>
      </c>
      <c r="K3802" t="s">
        <v>21</v>
      </c>
      <c r="L3802" t="s">
        <v>22</v>
      </c>
      <c r="M3802" t="s">
        <v>12788</v>
      </c>
      <c r="N3802" t="s">
        <v>12789</v>
      </c>
      <c r="O3802" t="s">
        <v>12790</v>
      </c>
      <c r="P3802" s="2" t="s">
        <v>37</v>
      </c>
      <c r="Q3802" t="s">
        <v>1208</v>
      </c>
      <c r="R3802">
        <v>0</v>
      </c>
      <c r="S3802">
        <v>9.3800000000000008</v>
      </c>
      <c r="T3802" t="s">
        <v>12791</v>
      </c>
    </row>
    <row r="3803" spans="1:20" x14ac:dyDescent="0.25">
      <c r="A3803" s="1" t="str">
        <f>HYPERLINK("https://vegkart.atlas.vegvesen.no/#/@545057.6,7548230.2,18/hva:hva%5B0%5D%5Bfilter%5D%5B0%5D%5Boperator%5D=%21%3D&amp;hva%5B0%5D%5Bfilter%5D%5B0%5D%5Btype_id%5D=8917&amp;hva%5B0%5D%5Bfilter%5D%5B0%5D%5Bverdi%5D=&amp;hva%5B0%5D%5Bid%5D=49/når:2025-02-04", "Vegkart")</f>
        <v>Vegkart</v>
      </c>
      <c r="B3803">
        <v>1022054851</v>
      </c>
      <c r="C3803">
        <v>49</v>
      </c>
      <c r="D3803" t="s">
        <v>8701</v>
      </c>
      <c r="E3803">
        <v>8917</v>
      </c>
      <c r="F3803" t="s">
        <v>23479</v>
      </c>
      <c r="G3803">
        <v>1</v>
      </c>
      <c r="H3803" t="s">
        <v>4164</v>
      </c>
      <c r="J3803" t="s">
        <v>12741</v>
      </c>
      <c r="K3803" t="s">
        <v>53</v>
      </c>
      <c r="L3803" t="s">
        <v>33</v>
      </c>
      <c r="M3803" t="s">
        <v>12792</v>
      </c>
      <c r="N3803" t="s">
        <v>12793</v>
      </c>
      <c r="O3803" t="s">
        <v>12794</v>
      </c>
      <c r="P3803" s="2" t="s">
        <v>37</v>
      </c>
      <c r="Q3803" t="s">
        <v>1208</v>
      </c>
      <c r="R3803">
        <v>0</v>
      </c>
      <c r="S3803">
        <v>18.43</v>
      </c>
      <c r="T3803" t="s">
        <v>12795</v>
      </c>
    </row>
    <row r="3804" spans="1:20" x14ac:dyDescent="0.25">
      <c r="A3804" s="1" t="str">
        <f>HYPERLINK("https://vegkart.atlas.vegvesen.no/#/@-47481.5,6724815.1,18/hva:hva%5B0%5D%5Bfilter%5D%5B0%5D%5Boperator%5D=%21%3D&amp;hva%5B0%5D%5Bfilter%5D%5B0%5D%5Btype_id%5D=8917&amp;hva%5B0%5D%5Bfilter%5D%5B0%5D%5Bverdi%5D=&amp;hva%5B0%5D%5Bid%5D=49/når:2025-02-14", "Vegkart")</f>
        <v>Vegkart</v>
      </c>
      <c r="B3804">
        <v>1022142147</v>
      </c>
      <c r="C3804">
        <v>49</v>
      </c>
      <c r="D3804" t="s">
        <v>8701</v>
      </c>
      <c r="E3804">
        <v>8917</v>
      </c>
      <c r="F3804" t="s">
        <v>23479</v>
      </c>
      <c r="G3804">
        <v>1</v>
      </c>
      <c r="H3804" t="s">
        <v>1760</v>
      </c>
      <c r="J3804" t="s">
        <v>12741</v>
      </c>
      <c r="K3804" t="s">
        <v>21</v>
      </c>
      <c r="L3804" t="s">
        <v>33</v>
      </c>
      <c r="M3804" t="s">
        <v>1346</v>
      </c>
      <c r="N3804" t="s">
        <v>12796</v>
      </c>
      <c r="O3804" t="s">
        <v>12797</v>
      </c>
      <c r="P3804" s="2" t="s">
        <v>37</v>
      </c>
      <c r="Q3804" t="s">
        <v>1208</v>
      </c>
      <c r="R3804">
        <v>0.19</v>
      </c>
      <c r="S3804">
        <v>23.68</v>
      </c>
      <c r="T3804" t="s">
        <v>12798</v>
      </c>
    </row>
    <row r="3805" spans="1:20" x14ac:dyDescent="0.25">
      <c r="A3805" s="1" t="str">
        <f>HYPERLINK("https://vegkart.atlas.vegvesen.no/#/@-47495.9,6724822.8,18/hva:hva%5B0%5D%5Bfilter%5D%5B0%5D%5Boperator%5D=%21%3D&amp;hva%5B0%5D%5Bfilter%5D%5B0%5D%5Btype_id%5D=8917&amp;hva%5B0%5D%5Bfilter%5D%5B0%5D%5Bverdi%5D=&amp;hva%5B0%5D%5Bid%5D=49/når:2025-02-14", "Vegkart")</f>
        <v>Vegkart</v>
      </c>
      <c r="B3805">
        <v>1022142148</v>
      </c>
      <c r="C3805">
        <v>49</v>
      </c>
      <c r="D3805" t="s">
        <v>8701</v>
      </c>
      <c r="E3805">
        <v>8917</v>
      </c>
      <c r="F3805" t="s">
        <v>23479</v>
      </c>
      <c r="G3805">
        <v>1</v>
      </c>
      <c r="H3805" t="s">
        <v>1760</v>
      </c>
      <c r="J3805" t="s">
        <v>12741</v>
      </c>
      <c r="K3805" t="s">
        <v>21</v>
      </c>
      <c r="L3805" t="s">
        <v>33</v>
      </c>
      <c r="M3805" t="s">
        <v>1346</v>
      </c>
      <c r="N3805" t="s">
        <v>12799</v>
      </c>
      <c r="O3805" t="s">
        <v>12800</v>
      </c>
      <c r="P3805" s="2" t="s">
        <v>37</v>
      </c>
      <c r="Q3805" t="s">
        <v>1208</v>
      </c>
      <c r="R3805">
        <v>0.06</v>
      </c>
      <c r="S3805">
        <v>17.59</v>
      </c>
      <c r="T3805" t="s">
        <v>12801</v>
      </c>
    </row>
    <row r="3806" spans="1:20" x14ac:dyDescent="0.25">
      <c r="A3806" s="1" t="str">
        <f>HYPERLINK("https://vegkart.atlas.vegvesen.no/#/@165012.5,6523120.7,18/hva:hva%5B0%5D%5Bfilter%5D%5B0%5D%5Boperator%5D=%21%3D&amp;hva%5B0%5D%5Bfilter%5D%5B0%5D%5Btype_id%5D=8917&amp;hva%5B0%5D%5Bfilter%5D%5B0%5D%5Bverdi%5D=&amp;hva%5B0%5D%5Bid%5D=49/når:2025-02-21", "Vegkart")</f>
        <v>Vegkart</v>
      </c>
      <c r="B3806">
        <v>1022250614</v>
      </c>
      <c r="C3806">
        <v>49</v>
      </c>
      <c r="D3806" t="s">
        <v>8701</v>
      </c>
      <c r="E3806">
        <v>8917</v>
      </c>
      <c r="F3806" t="s">
        <v>23479</v>
      </c>
      <c r="G3806">
        <v>1</v>
      </c>
      <c r="H3806" t="s">
        <v>12802</v>
      </c>
      <c r="J3806" t="s">
        <v>12741</v>
      </c>
      <c r="K3806" t="s">
        <v>86</v>
      </c>
      <c r="L3806" t="s">
        <v>33</v>
      </c>
      <c r="M3806" t="s">
        <v>12803</v>
      </c>
      <c r="N3806" t="s">
        <v>12804</v>
      </c>
      <c r="O3806" t="s">
        <v>12805</v>
      </c>
      <c r="P3806" s="2" t="s">
        <v>37</v>
      </c>
      <c r="Q3806" t="s">
        <v>1208</v>
      </c>
      <c r="R3806">
        <v>0</v>
      </c>
      <c r="S3806">
        <v>16.84</v>
      </c>
      <c r="T3806" t="s">
        <v>12806</v>
      </c>
    </row>
    <row r="3807" spans="1:20" x14ac:dyDescent="0.25">
      <c r="A3807" s="1" t="str">
        <f>HYPERLINK("https://vegkart.atlas.vegvesen.no/#/@155089.6,6525370.8,18/hva:hva%5B0%5D%5Bfilter%5D%5B0%5D%5Boperator%5D=%21%3D&amp;hva%5B0%5D%5Bfilter%5D%5B0%5D%5Btype_id%5D=8917&amp;hva%5B0%5D%5Bfilter%5D%5B0%5D%5Bverdi%5D=&amp;hva%5B0%5D%5Bid%5D=49/når:2025-02-21", "Vegkart")</f>
        <v>Vegkart</v>
      </c>
      <c r="B3807">
        <v>1022250615</v>
      </c>
      <c r="C3807">
        <v>49</v>
      </c>
      <c r="D3807" t="s">
        <v>8701</v>
      </c>
      <c r="E3807">
        <v>8917</v>
      </c>
      <c r="F3807" t="s">
        <v>23479</v>
      </c>
      <c r="G3807">
        <v>1</v>
      </c>
      <c r="H3807" t="s">
        <v>12802</v>
      </c>
      <c r="J3807" t="s">
        <v>12741</v>
      </c>
      <c r="K3807" t="s">
        <v>86</v>
      </c>
      <c r="L3807" t="s">
        <v>33</v>
      </c>
      <c r="M3807" t="s">
        <v>12807</v>
      </c>
      <c r="N3807" t="s">
        <v>12808</v>
      </c>
      <c r="O3807" t="s">
        <v>12809</v>
      </c>
      <c r="P3807" s="2" t="s">
        <v>37</v>
      </c>
      <c r="Q3807" t="s">
        <v>1208</v>
      </c>
      <c r="R3807">
        <v>0</v>
      </c>
      <c r="S3807">
        <v>18.350000000000001</v>
      </c>
      <c r="T3807" t="s">
        <v>12810</v>
      </c>
    </row>
    <row r="3808" spans="1:20" x14ac:dyDescent="0.25">
      <c r="A3808" s="1" t="str">
        <f>HYPERLINK("https://vegkart.atlas.vegvesen.no/#/@158076.7,6535227.7,18/hva:hva%5B0%5D%5Bfilter%5D%5B0%5D%5Boperator%5D=%21%3D&amp;hva%5B0%5D%5Bfilter%5D%5B0%5D%5Btype_id%5D=8917&amp;hva%5B0%5D%5Bfilter%5D%5B0%5D%5Bverdi%5D=&amp;hva%5B0%5D%5Bid%5D=49/når:2025-02-21", "Vegkart")</f>
        <v>Vegkart</v>
      </c>
      <c r="B3808">
        <v>1022250616</v>
      </c>
      <c r="C3808">
        <v>49</v>
      </c>
      <c r="D3808" t="s">
        <v>8701</v>
      </c>
      <c r="E3808">
        <v>8917</v>
      </c>
      <c r="F3808" t="s">
        <v>23479</v>
      </c>
      <c r="G3808">
        <v>1</v>
      </c>
      <c r="H3808" t="s">
        <v>12802</v>
      </c>
      <c r="J3808" t="s">
        <v>12741</v>
      </c>
      <c r="K3808" t="s">
        <v>86</v>
      </c>
      <c r="L3808" t="s">
        <v>33</v>
      </c>
      <c r="M3808" t="s">
        <v>12811</v>
      </c>
      <c r="N3808" t="s">
        <v>12812</v>
      </c>
      <c r="O3808" t="s">
        <v>12813</v>
      </c>
      <c r="P3808" s="2" t="s">
        <v>37</v>
      </c>
      <c r="Q3808" t="s">
        <v>1208</v>
      </c>
      <c r="R3808">
        <v>0</v>
      </c>
      <c r="S3808">
        <v>25.56</v>
      </c>
      <c r="T3808" t="s">
        <v>12814</v>
      </c>
    </row>
    <row r="3809" spans="1:20" x14ac:dyDescent="0.25">
      <c r="A3809" s="1" t="str">
        <f>HYPERLINK("https://vegkart.atlas.vegvesen.no/#/@144598.9,6503889.7,18/hva:hva%5B0%5D%5Bfilter%5D%5B0%5D%5Boperator%5D=%21%3D&amp;hva%5B0%5D%5Bfilter%5D%5B0%5D%5Btype_id%5D=8917&amp;hva%5B0%5D%5Bfilter%5D%5B0%5D%5Bverdi%5D=&amp;hva%5B0%5D%5Bid%5D=49/når:2025-02-21", "Vegkart")</f>
        <v>Vegkart</v>
      </c>
      <c r="B3809">
        <v>1022250617</v>
      </c>
      <c r="C3809">
        <v>49</v>
      </c>
      <c r="D3809" t="s">
        <v>8701</v>
      </c>
      <c r="E3809">
        <v>8917</v>
      </c>
      <c r="F3809" t="s">
        <v>23479</v>
      </c>
      <c r="G3809">
        <v>1</v>
      </c>
      <c r="H3809" t="s">
        <v>12802</v>
      </c>
      <c r="J3809" t="s">
        <v>12741</v>
      </c>
      <c r="K3809" t="s">
        <v>86</v>
      </c>
      <c r="L3809" t="s">
        <v>33</v>
      </c>
      <c r="M3809" t="s">
        <v>12815</v>
      </c>
      <c r="N3809" t="s">
        <v>12816</v>
      </c>
      <c r="O3809" t="s">
        <v>12817</v>
      </c>
      <c r="P3809" s="2" t="s">
        <v>37</v>
      </c>
      <c r="Q3809" t="s">
        <v>1208</v>
      </c>
      <c r="R3809">
        <v>0</v>
      </c>
      <c r="S3809">
        <v>25.43</v>
      </c>
      <c r="T3809" t="s">
        <v>12818</v>
      </c>
    </row>
    <row r="3810" spans="1:20" x14ac:dyDescent="0.25">
      <c r="A3810" s="1" t="str">
        <f>HYPERLINK("https://vegkart.atlas.vegvesen.no/#/@147785.8,6528814.7,18/hva:hva%5B0%5D%5Bfilter%5D%5B0%5D%5Boperator%5D=%21%3D&amp;hva%5B0%5D%5Bfilter%5D%5B0%5D%5Btype_id%5D=8917&amp;hva%5B0%5D%5Bfilter%5D%5B0%5D%5Bverdi%5D=&amp;hva%5B0%5D%5Bid%5D=49/når:2025-02-21", "Vegkart")</f>
        <v>Vegkart</v>
      </c>
      <c r="B3810">
        <v>1022250618</v>
      </c>
      <c r="C3810">
        <v>49</v>
      </c>
      <c r="D3810" t="s">
        <v>8701</v>
      </c>
      <c r="E3810">
        <v>8917</v>
      </c>
      <c r="F3810" t="s">
        <v>23479</v>
      </c>
      <c r="G3810">
        <v>1</v>
      </c>
      <c r="H3810" t="s">
        <v>12802</v>
      </c>
      <c r="J3810" t="s">
        <v>12741</v>
      </c>
      <c r="K3810" t="s">
        <v>86</v>
      </c>
      <c r="L3810" t="s">
        <v>33</v>
      </c>
      <c r="M3810" t="s">
        <v>12819</v>
      </c>
      <c r="N3810" t="s">
        <v>12820</v>
      </c>
      <c r="O3810" t="s">
        <v>12821</v>
      </c>
      <c r="P3810" s="2" t="s">
        <v>37</v>
      </c>
      <c r="Q3810" t="s">
        <v>1208</v>
      </c>
      <c r="R3810">
        <v>0</v>
      </c>
      <c r="S3810">
        <v>27.03</v>
      </c>
      <c r="T3810" t="s">
        <v>12822</v>
      </c>
    </row>
    <row r="3811" spans="1:20" x14ac:dyDescent="0.25">
      <c r="A3811" s="1" t="str">
        <f>HYPERLINK("https://vegkart.atlas.vegvesen.no/#/@145153.1,6528394.2,18/hva:hva%5B0%5D%5Bfilter%5D%5B0%5D%5Boperator%5D=%21%3D&amp;hva%5B0%5D%5Bfilter%5D%5B0%5D%5Btype_id%5D=8917&amp;hva%5B0%5D%5Bfilter%5D%5B0%5D%5Bverdi%5D=&amp;hva%5B0%5D%5Bid%5D=49/når:2025-02-21", "Vegkart")</f>
        <v>Vegkart</v>
      </c>
      <c r="B3811">
        <v>1022250620</v>
      </c>
      <c r="C3811">
        <v>49</v>
      </c>
      <c r="D3811" t="s">
        <v>8701</v>
      </c>
      <c r="E3811">
        <v>8917</v>
      </c>
      <c r="F3811" t="s">
        <v>23479</v>
      </c>
      <c r="G3811">
        <v>1</v>
      </c>
      <c r="H3811" t="s">
        <v>12802</v>
      </c>
      <c r="J3811" t="s">
        <v>12741</v>
      </c>
      <c r="K3811" t="s">
        <v>86</v>
      </c>
      <c r="L3811" t="s">
        <v>33</v>
      </c>
      <c r="M3811" t="s">
        <v>12807</v>
      </c>
      <c r="N3811" t="s">
        <v>12823</v>
      </c>
      <c r="O3811" t="s">
        <v>12824</v>
      </c>
      <c r="P3811" s="2" t="s">
        <v>37</v>
      </c>
      <c r="Q3811" t="s">
        <v>1208</v>
      </c>
      <c r="R3811">
        <v>0</v>
      </c>
      <c r="S3811">
        <v>27.01</v>
      </c>
      <c r="T3811" t="s">
        <v>12825</v>
      </c>
    </row>
    <row r="3812" spans="1:20" x14ac:dyDescent="0.25">
      <c r="A3812" s="1" t="str">
        <f>HYPERLINK("https://vegkart.atlas.vegvesen.no/#/@164882.4,6523034.8,18/hva:hva%5B0%5D%5Bfilter%5D%5B0%5D%5Boperator%5D=%21%3D&amp;hva%5B0%5D%5Bfilter%5D%5B0%5D%5Btype_id%5D=8917&amp;hva%5B0%5D%5Bfilter%5D%5B0%5D%5Bverdi%5D=&amp;hva%5B0%5D%5Bid%5D=49/når:2025-02-21", "Vegkart")</f>
        <v>Vegkart</v>
      </c>
      <c r="B3812">
        <v>1022250621</v>
      </c>
      <c r="C3812">
        <v>49</v>
      </c>
      <c r="D3812" t="s">
        <v>8701</v>
      </c>
      <c r="E3812">
        <v>8917</v>
      </c>
      <c r="F3812" t="s">
        <v>23479</v>
      </c>
      <c r="G3812">
        <v>1</v>
      </c>
      <c r="H3812" t="s">
        <v>12802</v>
      </c>
      <c r="J3812" t="s">
        <v>12741</v>
      </c>
      <c r="K3812" t="s">
        <v>86</v>
      </c>
      <c r="L3812" t="s">
        <v>33</v>
      </c>
      <c r="M3812" t="s">
        <v>12826</v>
      </c>
      <c r="N3812" t="s">
        <v>12827</v>
      </c>
      <c r="O3812" t="s">
        <v>12828</v>
      </c>
      <c r="P3812" s="2" t="s">
        <v>37</v>
      </c>
      <c r="Q3812" t="s">
        <v>1208</v>
      </c>
      <c r="R3812">
        <v>0</v>
      </c>
      <c r="S3812">
        <v>12.41</v>
      </c>
      <c r="T3812" t="s">
        <v>12829</v>
      </c>
    </row>
    <row r="3813" spans="1:20" x14ac:dyDescent="0.25">
      <c r="A3813" s="1" t="str">
        <f>HYPERLINK("https://vegkart.atlas.vegvesen.no/#/@165517.1,6522785.2,18/hva:hva%5B0%5D%5Bfilter%5D%5B0%5D%5Boperator%5D=%21%3D&amp;hva%5B0%5D%5Bfilter%5D%5B0%5D%5Btype_id%5D=8917&amp;hva%5B0%5D%5Bfilter%5D%5B0%5D%5Bverdi%5D=&amp;hva%5B0%5D%5Bid%5D=49/når:2025-02-21", "Vegkart")</f>
        <v>Vegkart</v>
      </c>
      <c r="B3813">
        <v>1022250623</v>
      </c>
      <c r="C3813">
        <v>49</v>
      </c>
      <c r="D3813" t="s">
        <v>8701</v>
      </c>
      <c r="E3813">
        <v>8917</v>
      </c>
      <c r="F3813" t="s">
        <v>23479</v>
      </c>
      <c r="G3813">
        <v>1</v>
      </c>
      <c r="H3813" t="s">
        <v>12802</v>
      </c>
      <c r="J3813" t="s">
        <v>12741</v>
      </c>
      <c r="K3813" t="s">
        <v>86</v>
      </c>
      <c r="L3813" t="s">
        <v>33</v>
      </c>
      <c r="M3813" t="s">
        <v>12826</v>
      </c>
      <c r="N3813" t="s">
        <v>12830</v>
      </c>
      <c r="O3813" t="s">
        <v>12831</v>
      </c>
      <c r="P3813" s="2" t="s">
        <v>37</v>
      </c>
      <c r="Q3813" t="s">
        <v>1208</v>
      </c>
      <c r="R3813">
        <v>0</v>
      </c>
      <c r="S3813">
        <v>38.049999999999997</v>
      </c>
      <c r="T3813" t="s">
        <v>12832</v>
      </c>
    </row>
    <row r="3814" spans="1:20" x14ac:dyDescent="0.25">
      <c r="A3814" s="1" t="str">
        <f>HYPERLINK("https://vegkart.atlas.vegvesen.no/#/@165010.2,6523128.0,18/hva:hva%5B0%5D%5Bfilter%5D%5B0%5D%5Boperator%5D=%21%3D&amp;hva%5B0%5D%5Bfilter%5D%5B0%5D%5Btype_id%5D=8917&amp;hva%5B0%5D%5Bfilter%5D%5B0%5D%5Bverdi%5D=&amp;hva%5B0%5D%5Bid%5D=49/når:2025-02-21", "Vegkart")</f>
        <v>Vegkart</v>
      </c>
      <c r="B3814">
        <v>1022250624</v>
      </c>
      <c r="C3814">
        <v>49</v>
      </c>
      <c r="D3814" t="s">
        <v>8701</v>
      </c>
      <c r="E3814">
        <v>8917</v>
      </c>
      <c r="F3814" t="s">
        <v>23479</v>
      </c>
      <c r="G3814">
        <v>1</v>
      </c>
      <c r="H3814" t="s">
        <v>12802</v>
      </c>
      <c r="J3814" t="s">
        <v>12741</v>
      </c>
      <c r="K3814" t="s">
        <v>86</v>
      </c>
      <c r="L3814" t="s">
        <v>33</v>
      </c>
      <c r="M3814" t="s">
        <v>12803</v>
      </c>
      <c r="N3814" t="s">
        <v>12833</v>
      </c>
      <c r="O3814" t="s">
        <v>12834</v>
      </c>
      <c r="P3814" s="2" t="s">
        <v>37</v>
      </c>
      <c r="Q3814" t="s">
        <v>1208</v>
      </c>
      <c r="R3814">
        <v>0</v>
      </c>
      <c r="S3814">
        <v>5.64</v>
      </c>
      <c r="T3814" t="s">
        <v>12835</v>
      </c>
    </row>
    <row r="3815" spans="1:20" x14ac:dyDescent="0.25">
      <c r="A3815" s="1" t="str">
        <f>HYPERLINK("https://vegkart.atlas.vegvesen.no/#/@154829.9,6526486.9,18/hva:hva%5B0%5D%5Bfilter%5D%5B0%5D%5Boperator%5D=%21%3D&amp;hva%5B0%5D%5Bfilter%5D%5B0%5D%5Btype_id%5D=8917&amp;hva%5B0%5D%5Bfilter%5D%5B0%5D%5Bverdi%5D=&amp;hva%5B0%5D%5Bid%5D=49/når:2025-02-21", "Vegkart")</f>
        <v>Vegkart</v>
      </c>
      <c r="B3815">
        <v>1022250626</v>
      </c>
      <c r="C3815">
        <v>49</v>
      </c>
      <c r="D3815" t="s">
        <v>8701</v>
      </c>
      <c r="E3815">
        <v>8917</v>
      </c>
      <c r="F3815" t="s">
        <v>23479</v>
      </c>
      <c r="G3815">
        <v>1</v>
      </c>
      <c r="H3815" t="s">
        <v>12802</v>
      </c>
      <c r="J3815" t="s">
        <v>12741</v>
      </c>
      <c r="K3815" t="s">
        <v>86</v>
      </c>
      <c r="L3815" t="s">
        <v>33</v>
      </c>
      <c r="M3815" t="s">
        <v>12807</v>
      </c>
      <c r="N3815" t="s">
        <v>12836</v>
      </c>
      <c r="O3815" t="s">
        <v>12837</v>
      </c>
      <c r="P3815" s="2" t="s">
        <v>37</v>
      </c>
      <c r="Q3815" t="s">
        <v>1208</v>
      </c>
      <c r="R3815">
        <v>0</v>
      </c>
      <c r="S3815">
        <v>16</v>
      </c>
      <c r="T3815" t="s">
        <v>12838</v>
      </c>
    </row>
    <row r="3816" spans="1:20" x14ac:dyDescent="0.25">
      <c r="A3816" s="1" t="str">
        <f>HYPERLINK("https://vegkart.atlas.vegvesen.no/#/@159498.4,6523307.6,18/hva:hva%5B0%5D%5Bfilter%5D%5B0%5D%5Boperator%5D=%21%3D&amp;hva%5B0%5D%5Bfilter%5D%5B0%5D%5Btype_id%5D=8917&amp;hva%5B0%5D%5Bfilter%5D%5B0%5D%5Bverdi%5D=&amp;hva%5B0%5D%5Bid%5D=49/når:2025-02-21", "Vegkart")</f>
        <v>Vegkart</v>
      </c>
      <c r="B3816">
        <v>1022250627</v>
      </c>
      <c r="C3816">
        <v>49</v>
      </c>
      <c r="D3816" t="s">
        <v>8701</v>
      </c>
      <c r="E3816">
        <v>8917</v>
      </c>
      <c r="F3816" t="s">
        <v>23479</v>
      </c>
      <c r="G3816">
        <v>1</v>
      </c>
      <c r="H3816" t="s">
        <v>12802</v>
      </c>
      <c r="J3816" t="s">
        <v>12741</v>
      </c>
      <c r="K3816" t="s">
        <v>86</v>
      </c>
      <c r="L3816" t="s">
        <v>33</v>
      </c>
      <c r="M3816" t="s">
        <v>12839</v>
      </c>
      <c r="N3816" t="s">
        <v>12840</v>
      </c>
      <c r="O3816" t="s">
        <v>12841</v>
      </c>
      <c r="P3816" s="2" t="s">
        <v>37</v>
      </c>
      <c r="Q3816" t="s">
        <v>1208</v>
      </c>
      <c r="R3816">
        <v>0</v>
      </c>
      <c r="S3816">
        <v>22.75</v>
      </c>
      <c r="T3816" t="s">
        <v>12842</v>
      </c>
    </row>
    <row r="3817" spans="1:20" x14ac:dyDescent="0.25">
      <c r="A3817" s="1" t="str">
        <f>HYPERLINK("https://vegkart.atlas.vegvesen.no/#/@155077.4,6526894.3,18/hva:hva%5B0%5D%5Bfilter%5D%5B0%5D%5Boperator%5D=%21%3D&amp;hva%5B0%5D%5Bfilter%5D%5B0%5D%5Btype_id%5D=8917&amp;hva%5B0%5D%5Bfilter%5D%5B0%5D%5Bverdi%5D=&amp;hva%5B0%5D%5Bid%5D=49/når:2025-02-21", "Vegkart")</f>
        <v>Vegkart</v>
      </c>
      <c r="B3817">
        <v>1022250628</v>
      </c>
      <c r="C3817">
        <v>49</v>
      </c>
      <c r="D3817" t="s">
        <v>8701</v>
      </c>
      <c r="E3817">
        <v>8917</v>
      </c>
      <c r="F3817" t="s">
        <v>23479</v>
      </c>
      <c r="G3817">
        <v>1</v>
      </c>
      <c r="H3817" t="s">
        <v>12802</v>
      </c>
      <c r="J3817" t="s">
        <v>12741</v>
      </c>
      <c r="K3817" t="s">
        <v>86</v>
      </c>
      <c r="L3817" t="s">
        <v>33</v>
      </c>
      <c r="M3817" t="s">
        <v>12807</v>
      </c>
      <c r="N3817" t="s">
        <v>12843</v>
      </c>
      <c r="O3817" t="s">
        <v>12844</v>
      </c>
      <c r="P3817" s="2" t="s">
        <v>37</v>
      </c>
      <c r="Q3817" t="s">
        <v>1208</v>
      </c>
      <c r="R3817">
        <v>0</v>
      </c>
      <c r="S3817">
        <v>23.75</v>
      </c>
      <c r="T3817" t="s">
        <v>12845</v>
      </c>
    </row>
    <row r="3818" spans="1:20" x14ac:dyDescent="0.25">
      <c r="A3818" s="1" t="str">
        <f>HYPERLINK("https://vegkart.atlas.vegvesen.no/#/@155338.2,6526092.9,18/hva:hva%5B0%5D%5Bfilter%5D%5B0%5D%5Boperator%5D=%21%3D&amp;hva%5B0%5D%5Bfilter%5D%5B0%5D%5Btype_id%5D=8917&amp;hva%5B0%5D%5Bfilter%5D%5B0%5D%5Bverdi%5D=&amp;hva%5B0%5D%5Bid%5D=49/når:2025-02-21", "Vegkart")</f>
        <v>Vegkart</v>
      </c>
      <c r="B3818">
        <v>1022250629</v>
      </c>
      <c r="C3818">
        <v>49</v>
      </c>
      <c r="D3818" t="s">
        <v>8701</v>
      </c>
      <c r="E3818">
        <v>8917</v>
      </c>
      <c r="F3818" t="s">
        <v>23479</v>
      </c>
      <c r="G3818">
        <v>1</v>
      </c>
      <c r="H3818" t="s">
        <v>12802</v>
      </c>
      <c r="J3818" t="s">
        <v>12741</v>
      </c>
      <c r="K3818" t="s">
        <v>86</v>
      </c>
      <c r="L3818" t="s">
        <v>33</v>
      </c>
      <c r="M3818" t="s">
        <v>12807</v>
      </c>
      <c r="N3818" t="s">
        <v>12846</v>
      </c>
      <c r="O3818" t="s">
        <v>12847</v>
      </c>
      <c r="P3818" s="2" t="s">
        <v>37</v>
      </c>
      <c r="Q3818" t="s">
        <v>1208</v>
      </c>
      <c r="R3818">
        <v>0</v>
      </c>
      <c r="S3818">
        <v>26.94</v>
      </c>
      <c r="T3818" t="s">
        <v>12848</v>
      </c>
    </row>
    <row r="3819" spans="1:20" x14ac:dyDescent="0.25">
      <c r="A3819" s="1" t="str">
        <f>HYPERLINK("https://vegkart.atlas.vegvesen.no/#/@164993.9,6523087.1,18/hva:hva%5B0%5D%5Bfilter%5D%5B0%5D%5Boperator%5D=%21%3D&amp;hva%5B0%5D%5Bfilter%5D%5B0%5D%5Btype_id%5D=8917&amp;hva%5B0%5D%5Bfilter%5D%5B0%5D%5Bverdi%5D=&amp;hva%5B0%5D%5Bid%5D=49/når:2025-02-21", "Vegkart")</f>
        <v>Vegkart</v>
      </c>
      <c r="B3819">
        <v>1022250630</v>
      </c>
      <c r="C3819">
        <v>49</v>
      </c>
      <c r="D3819" t="s">
        <v>8701</v>
      </c>
      <c r="E3819">
        <v>8917</v>
      </c>
      <c r="F3819" t="s">
        <v>23479</v>
      </c>
      <c r="G3819">
        <v>1</v>
      </c>
      <c r="H3819" t="s">
        <v>12802</v>
      </c>
      <c r="J3819" t="s">
        <v>12741</v>
      </c>
      <c r="K3819" t="s">
        <v>86</v>
      </c>
      <c r="L3819" t="s">
        <v>33</v>
      </c>
      <c r="M3819" t="s">
        <v>12807</v>
      </c>
      <c r="N3819" t="s">
        <v>12849</v>
      </c>
      <c r="O3819" t="s">
        <v>12850</v>
      </c>
      <c r="P3819" s="2" t="s">
        <v>37</v>
      </c>
      <c r="Q3819" t="s">
        <v>1208</v>
      </c>
      <c r="R3819">
        <v>0</v>
      </c>
      <c r="S3819">
        <v>4.87</v>
      </c>
      <c r="T3819" t="s">
        <v>12851</v>
      </c>
    </row>
    <row r="3820" spans="1:20" x14ac:dyDescent="0.25">
      <c r="A3820" s="1" t="str">
        <f>HYPERLINK("https://vegkart.atlas.vegvesen.no/#/@164885.5,6523028.1,18/hva:hva%5B0%5D%5Bfilter%5D%5B0%5D%5Boperator%5D=%21%3D&amp;hva%5B0%5D%5Bfilter%5D%5B0%5D%5Btype_id%5D=8917&amp;hva%5B0%5D%5Bfilter%5D%5B0%5D%5Bverdi%5D=&amp;hva%5B0%5D%5Bid%5D=49/når:2025-02-21", "Vegkart")</f>
        <v>Vegkart</v>
      </c>
      <c r="B3820">
        <v>1022250631</v>
      </c>
      <c r="C3820">
        <v>49</v>
      </c>
      <c r="D3820" t="s">
        <v>8701</v>
      </c>
      <c r="E3820">
        <v>8917</v>
      </c>
      <c r="F3820" t="s">
        <v>23479</v>
      </c>
      <c r="G3820">
        <v>1</v>
      </c>
      <c r="H3820" t="s">
        <v>12802</v>
      </c>
      <c r="J3820" t="s">
        <v>12741</v>
      </c>
      <c r="K3820" t="s">
        <v>86</v>
      </c>
      <c r="L3820" t="s">
        <v>33</v>
      </c>
      <c r="M3820" t="s">
        <v>12826</v>
      </c>
      <c r="N3820" t="s">
        <v>12852</v>
      </c>
      <c r="O3820" t="s">
        <v>12853</v>
      </c>
      <c r="P3820" s="2" t="s">
        <v>37</v>
      </c>
      <c r="Q3820" t="s">
        <v>1208</v>
      </c>
      <c r="R3820">
        <v>0</v>
      </c>
      <c r="S3820">
        <v>11.51</v>
      </c>
      <c r="T3820" t="s">
        <v>12854</v>
      </c>
    </row>
    <row r="3821" spans="1:20" x14ac:dyDescent="0.25">
      <c r="A3821" s="1" t="str">
        <f>HYPERLINK("https://vegkart.atlas.vegvesen.no/#/@165046.9,6523102.7,18/hva:hva%5B0%5D%5Bfilter%5D%5B0%5D%5Boperator%5D=%21%3D&amp;hva%5B0%5D%5Bfilter%5D%5B0%5D%5Btype_id%5D=8917&amp;hva%5B0%5D%5Bfilter%5D%5B0%5D%5Bverdi%5D=&amp;hva%5B0%5D%5Bid%5D=49/når:2025-02-21", "Vegkart")</f>
        <v>Vegkart</v>
      </c>
      <c r="B3821">
        <v>1022250632</v>
      </c>
      <c r="C3821">
        <v>49</v>
      </c>
      <c r="D3821" t="s">
        <v>8701</v>
      </c>
      <c r="E3821">
        <v>8917</v>
      </c>
      <c r="F3821" t="s">
        <v>23479</v>
      </c>
      <c r="G3821">
        <v>1</v>
      </c>
      <c r="H3821" t="s">
        <v>12802</v>
      </c>
      <c r="J3821" t="s">
        <v>12741</v>
      </c>
      <c r="K3821" t="s">
        <v>86</v>
      </c>
      <c r="L3821" t="s">
        <v>33</v>
      </c>
      <c r="M3821" t="s">
        <v>12807</v>
      </c>
      <c r="N3821" t="s">
        <v>12855</v>
      </c>
      <c r="O3821" t="s">
        <v>12856</v>
      </c>
      <c r="P3821" s="2" t="s">
        <v>37</v>
      </c>
      <c r="Q3821" t="s">
        <v>1208</v>
      </c>
      <c r="R3821">
        <v>0</v>
      </c>
      <c r="S3821">
        <v>5.07</v>
      </c>
      <c r="T3821" t="s">
        <v>12857</v>
      </c>
    </row>
    <row r="3822" spans="1:20" x14ac:dyDescent="0.25">
      <c r="A3822" s="1" t="str">
        <f>HYPERLINK("https://vegkart.atlas.vegvesen.no/#/@158117.1,6533433.3,18/hva:hva%5B0%5D%5Bfilter%5D%5B0%5D%5Boperator%5D=%21%3D&amp;hva%5B0%5D%5Bfilter%5D%5B0%5D%5Btype_id%5D=8917&amp;hva%5B0%5D%5Bfilter%5D%5B0%5D%5Bverdi%5D=&amp;hva%5B0%5D%5Bid%5D=49/når:2025-02-21", "Vegkart")</f>
        <v>Vegkart</v>
      </c>
      <c r="B3822">
        <v>1022250634</v>
      </c>
      <c r="C3822">
        <v>49</v>
      </c>
      <c r="D3822" t="s">
        <v>8701</v>
      </c>
      <c r="E3822">
        <v>8917</v>
      </c>
      <c r="F3822" t="s">
        <v>23479</v>
      </c>
      <c r="G3822">
        <v>1</v>
      </c>
      <c r="H3822" t="s">
        <v>12802</v>
      </c>
      <c r="J3822" t="s">
        <v>12741</v>
      </c>
      <c r="K3822" t="s">
        <v>86</v>
      </c>
      <c r="L3822" t="s">
        <v>33</v>
      </c>
      <c r="M3822" t="s">
        <v>12811</v>
      </c>
      <c r="N3822" t="s">
        <v>12858</v>
      </c>
      <c r="O3822" t="s">
        <v>12859</v>
      </c>
      <c r="P3822" s="2" t="s">
        <v>37</v>
      </c>
      <c r="Q3822" t="s">
        <v>1208</v>
      </c>
      <c r="R3822">
        <v>0</v>
      </c>
      <c r="S3822">
        <v>122.04</v>
      </c>
      <c r="T3822" t="s">
        <v>12860</v>
      </c>
    </row>
    <row r="3823" spans="1:20" x14ac:dyDescent="0.25">
      <c r="A3823" s="1" t="str">
        <f>HYPERLINK("https://vegkart.atlas.vegvesen.no/#/@158128.7,6533531.0,18/hva:hva%5B0%5D%5Bfilter%5D%5B0%5D%5Boperator%5D=%21%3D&amp;hva%5B0%5D%5Bfilter%5D%5B0%5D%5Btype_id%5D=8917&amp;hva%5B0%5D%5Bfilter%5D%5B0%5D%5Bverdi%5D=&amp;hva%5B0%5D%5Bid%5D=49/når:2025-02-21", "Vegkart")</f>
        <v>Vegkart</v>
      </c>
      <c r="B3823">
        <v>1022250636</v>
      </c>
      <c r="C3823">
        <v>49</v>
      </c>
      <c r="D3823" t="s">
        <v>8701</v>
      </c>
      <c r="E3823">
        <v>8917</v>
      </c>
      <c r="F3823" t="s">
        <v>23479</v>
      </c>
      <c r="G3823">
        <v>1</v>
      </c>
      <c r="H3823" t="s">
        <v>12802</v>
      </c>
      <c r="J3823" t="s">
        <v>12741</v>
      </c>
      <c r="K3823" t="s">
        <v>86</v>
      </c>
      <c r="L3823" t="s">
        <v>33</v>
      </c>
      <c r="M3823" t="s">
        <v>12811</v>
      </c>
      <c r="N3823" t="s">
        <v>12861</v>
      </c>
      <c r="O3823" t="s">
        <v>12862</v>
      </c>
      <c r="P3823" s="2" t="s">
        <v>37</v>
      </c>
      <c r="Q3823" t="s">
        <v>1208</v>
      </c>
      <c r="R3823">
        <v>0</v>
      </c>
      <c r="S3823">
        <v>185.49</v>
      </c>
      <c r="T3823" t="s">
        <v>12863</v>
      </c>
    </row>
    <row r="3824" spans="1:20" x14ac:dyDescent="0.25">
      <c r="A3824" s="1" t="str">
        <f>HYPERLINK("https://vegkart.atlas.vegvesen.no/#/@158076.4,6535267.4,18/hva:hva%5B0%5D%5Bfilter%5D%5B0%5D%5Boperator%5D=%21%3D&amp;hva%5B0%5D%5Bfilter%5D%5B0%5D%5Btype_id%5D=8917&amp;hva%5B0%5D%5Bfilter%5D%5B0%5D%5Bverdi%5D=&amp;hva%5B0%5D%5Bid%5D=49/når:2025-02-21", "Vegkart")</f>
        <v>Vegkart</v>
      </c>
      <c r="B3824">
        <v>1022250637</v>
      </c>
      <c r="C3824">
        <v>49</v>
      </c>
      <c r="D3824" t="s">
        <v>8701</v>
      </c>
      <c r="E3824">
        <v>8917</v>
      </c>
      <c r="F3824" t="s">
        <v>23479</v>
      </c>
      <c r="G3824">
        <v>1</v>
      </c>
      <c r="H3824" t="s">
        <v>12802</v>
      </c>
      <c r="J3824" t="s">
        <v>12741</v>
      </c>
      <c r="K3824" t="s">
        <v>86</v>
      </c>
      <c r="L3824" t="s">
        <v>33</v>
      </c>
      <c r="M3824" t="s">
        <v>12811</v>
      </c>
      <c r="N3824" t="s">
        <v>12864</v>
      </c>
      <c r="O3824" t="s">
        <v>12865</v>
      </c>
      <c r="P3824" s="2" t="s">
        <v>37</v>
      </c>
      <c r="Q3824" t="s">
        <v>1208</v>
      </c>
      <c r="R3824">
        <v>0</v>
      </c>
      <c r="S3824">
        <v>25.87</v>
      </c>
      <c r="T3824" t="s">
        <v>12866</v>
      </c>
    </row>
    <row r="3825" spans="1:20" x14ac:dyDescent="0.25">
      <c r="A3825" s="1" t="str">
        <f>HYPERLINK("https://vegkart.atlas.vegvesen.no/#/@158978.0,6536703.0,18/hva:hva%5B0%5D%5Bfilter%5D%5B0%5D%5Boperator%5D=%21%3D&amp;hva%5B0%5D%5Bfilter%5D%5B0%5D%5Btype_id%5D=8917&amp;hva%5B0%5D%5Bfilter%5D%5B0%5D%5Bverdi%5D=&amp;hva%5B0%5D%5Bid%5D=49/når:2025-02-21", "Vegkart")</f>
        <v>Vegkart</v>
      </c>
      <c r="B3825">
        <v>1022250638</v>
      </c>
      <c r="C3825">
        <v>49</v>
      </c>
      <c r="D3825" t="s">
        <v>8701</v>
      </c>
      <c r="E3825">
        <v>8917</v>
      </c>
      <c r="F3825" t="s">
        <v>23479</v>
      </c>
      <c r="G3825">
        <v>1</v>
      </c>
      <c r="H3825" t="s">
        <v>12802</v>
      </c>
      <c r="J3825" t="s">
        <v>12741</v>
      </c>
      <c r="K3825" t="s">
        <v>86</v>
      </c>
      <c r="L3825" t="s">
        <v>33</v>
      </c>
      <c r="M3825" t="s">
        <v>12811</v>
      </c>
      <c r="N3825" t="s">
        <v>12867</v>
      </c>
      <c r="O3825" t="s">
        <v>12868</v>
      </c>
      <c r="P3825" s="2" t="s">
        <v>37</v>
      </c>
      <c r="Q3825" t="s">
        <v>1208</v>
      </c>
      <c r="R3825">
        <v>0</v>
      </c>
      <c r="S3825">
        <v>23.59</v>
      </c>
      <c r="T3825" t="s">
        <v>12869</v>
      </c>
    </row>
    <row r="3826" spans="1:20" x14ac:dyDescent="0.25">
      <c r="A3826" s="1" t="str">
        <f>HYPERLINK("https://vegkart.atlas.vegvesen.no/#/@165511.7,6522768.2,18/hva:hva%5B0%5D%5Bfilter%5D%5B0%5D%5Boperator%5D=%21%3D&amp;hva%5B0%5D%5Bfilter%5D%5B0%5D%5Btype_id%5D=8917&amp;hva%5B0%5D%5Bfilter%5D%5B0%5D%5Bverdi%5D=&amp;hva%5B0%5D%5Bid%5D=49/når:2025-02-21", "Vegkart")</f>
        <v>Vegkart</v>
      </c>
      <c r="B3826">
        <v>1022250639</v>
      </c>
      <c r="C3826">
        <v>49</v>
      </c>
      <c r="D3826" t="s">
        <v>8701</v>
      </c>
      <c r="E3826">
        <v>8917</v>
      </c>
      <c r="F3826" t="s">
        <v>23479</v>
      </c>
      <c r="G3826">
        <v>1</v>
      </c>
      <c r="H3826" t="s">
        <v>12802</v>
      </c>
      <c r="J3826" t="s">
        <v>12741</v>
      </c>
      <c r="K3826" t="s">
        <v>86</v>
      </c>
      <c r="L3826" t="s">
        <v>33</v>
      </c>
      <c r="M3826" t="s">
        <v>12826</v>
      </c>
      <c r="N3826" t="s">
        <v>12870</v>
      </c>
      <c r="O3826" t="s">
        <v>12871</v>
      </c>
      <c r="P3826" s="2" t="s">
        <v>37</v>
      </c>
      <c r="Q3826" t="s">
        <v>1208</v>
      </c>
      <c r="R3826">
        <v>0</v>
      </c>
      <c r="S3826">
        <v>27.68</v>
      </c>
      <c r="T3826" t="s">
        <v>12872</v>
      </c>
    </row>
    <row r="3827" spans="1:20" x14ac:dyDescent="0.25">
      <c r="A3827" s="1" t="str">
        <f>HYPERLINK("https://vegkart.atlas.vegvesen.no/#/@143561.1,6515183.7,18/hva:hva%5B0%5D%5Bfilter%5D%5B0%5D%5Boperator%5D=%21%3D&amp;hva%5B0%5D%5Bfilter%5D%5B0%5D%5Btype_id%5D=8917&amp;hva%5B0%5D%5Bfilter%5D%5B0%5D%5Bverdi%5D=&amp;hva%5B0%5D%5Bid%5D=49/når:2025-02-21", "Vegkart")</f>
        <v>Vegkart</v>
      </c>
      <c r="B3827">
        <v>1022250640</v>
      </c>
      <c r="C3827">
        <v>49</v>
      </c>
      <c r="D3827" t="s">
        <v>8701</v>
      </c>
      <c r="E3827">
        <v>8917</v>
      </c>
      <c r="F3827" t="s">
        <v>23479</v>
      </c>
      <c r="G3827">
        <v>1</v>
      </c>
      <c r="H3827" t="s">
        <v>12802</v>
      </c>
      <c r="J3827" t="s">
        <v>12741</v>
      </c>
      <c r="K3827" t="s">
        <v>86</v>
      </c>
      <c r="L3827" t="s">
        <v>33</v>
      </c>
      <c r="M3827" t="s">
        <v>12873</v>
      </c>
      <c r="N3827" t="s">
        <v>12874</v>
      </c>
      <c r="O3827" t="s">
        <v>12875</v>
      </c>
      <c r="P3827" s="2" t="s">
        <v>37</v>
      </c>
      <c r="Q3827" t="s">
        <v>1208</v>
      </c>
      <c r="R3827">
        <v>0</v>
      </c>
      <c r="S3827">
        <v>6.63</v>
      </c>
      <c r="T3827" t="s">
        <v>12876</v>
      </c>
    </row>
    <row r="3828" spans="1:20" x14ac:dyDescent="0.25">
      <c r="A3828" s="1" t="str">
        <f>HYPERLINK("https://vegkart.atlas.vegvesen.no/#/@141460.7,6500145.7,18/hva:hva%5B0%5D%5Bfilter%5D%5B0%5D%5Boperator%5D=%21%3D&amp;hva%5B0%5D%5Bfilter%5D%5B0%5D%5Btype_id%5D=8917&amp;hva%5B0%5D%5Bfilter%5D%5B0%5D%5Bverdi%5D=&amp;hva%5B0%5D%5Bid%5D=49/når:2025-02-21", "Vegkart")</f>
        <v>Vegkart</v>
      </c>
      <c r="B3828">
        <v>1022250641</v>
      </c>
      <c r="C3828">
        <v>49</v>
      </c>
      <c r="D3828" t="s">
        <v>8701</v>
      </c>
      <c r="E3828">
        <v>8917</v>
      </c>
      <c r="F3828" t="s">
        <v>23479</v>
      </c>
      <c r="G3828">
        <v>1</v>
      </c>
      <c r="H3828" t="s">
        <v>12802</v>
      </c>
      <c r="J3828" t="s">
        <v>12741</v>
      </c>
      <c r="K3828" t="s">
        <v>86</v>
      </c>
      <c r="L3828" t="s">
        <v>33</v>
      </c>
      <c r="M3828" t="s">
        <v>12877</v>
      </c>
      <c r="N3828" t="s">
        <v>12878</v>
      </c>
      <c r="O3828" t="s">
        <v>12879</v>
      </c>
      <c r="P3828" s="2" t="s">
        <v>37</v>
      </c>
      <c r="Q3828" t="s">
        <v>1208</v>
      </c>
      <c r="R3828">
        <v>0</v>
      </c>
      <c r="S3828">
        <v>8.36</v>
      </c>
      <c r="T3828" t="s">
        <v>12880</v>
      </c>
    </row>
    <row r="3829" spans="1:20" x14ac:dyDescent="0.25">
      <c r="A3829" s="1" t="str">
        <f>HYPERLINK("https://vegkart.atlas.vegvesen.no/#/@165038.8,6523103.0,18/hva:hva%5B0%5D%5Bfilter%5D%5B0%5D%5Boperator%5D=%21%3D&amp;hva%5B0%5D%5Bfilter%5D%5B0%5D%5Btype_id%5D=8917&amp;hva%5B0%5D%5Bfilter%5D%5B0%5D%5Bverdi%5D=&amp;hva%5B0%5D%5Bid%5D=49/når:2025-02-21", "Vegkart")</f>
        <v>Vegkart</v>
      </c>
      <c r="B3829">
        <v>1022250642</v>
      </c>
      <c r="C3829">
        <v>49</v>
      </c>
      <c r="D3829" t="s">
        <v>8701</v>
      </c>
      <c r="E3829">
        <v>8917</v>
      </c>
      <c r="F3829" t="s">
        <v>23479</v>
      </c>
      <c r="G3829">
        <v>1</v>
      </c>
      <c r="H3829" t="s">
        <v>12802</v>
      </c>
      <c r="J3829" t="s">
        <v>12741</v>
      </c>
      <c r="K3829" t="s">
        <v>86</v>
      </c>
      <c r="L3829" t="s">
        <v>33</v>
      </c>
      <c r="M3829" t="s">
        <v>12807</v>
      </c>
      <c r="N3829" t="s">
        <v>12881</v>
      </c>
      <c r="O3829" t="s">
        <v>12882</v>
      </c>
      <c r="P3829" s="2" t="s">
        <v>37</v>
      </c>
      <c r="Q3829" t="s">
        <v>1208</v>
      </c>
      <c r="R3829">
        <v>0</v>
      </c>
      <c r="S3829">
        <v>18.59</v>
      </c>
      <c r="T3829" t="s">
        <v>12883</v>
      </c>
    </row>
    <row r="3830" spans="1:20" x14ac:dyDescent="0.25">
      <c r="A3830" s="1" t="str">
        <f>HYPERLINK("https://vegkart.atlas.vegvesen.no/#/@165517.0,6522803.3,18/hva:hva%5B0%5D%5Bfilter%5D%5B0%5D%5Boperator%5D=%21%3D&amp;hva%5B0%5D%5Bfilter%5D%5B0%5D%5Btype_id%5D=8917&amp;hva%5B0%5D%5Bfilter%5D%5B0%5D%5Bverdi%5D=&amp;hva%5B0%5D%5Bid%5D=49/når:2025-02-21", "Vegkart")</f>
        <v>Vegkart</v>
      </c>
      <c r="B3830">
        <v>1022250643</v>
      </c>
      <c r="C3830">
        <v>49</v>
      </c>
      <c r="D3830" t="s">
        <v>8701</v>
      </c>
      <c r="E3830">
        <v>8917</v>
      </c>
      <c r="F3830" t="s">
        <v>23479</v>
      </c>
      <c r="G3830">
        <v>1</v>
      </c>
      <c r="H3830" t="s">
        <v>12802</v>
      </c>
      <c r="J3830" t="s">
        <v>12741</v>
      </c>
      <c r="K3830" t="s">
        <v>86</v>
      </c>
      <c r="L3830" t="s">
        <v>33</v>
      </c>
      <c r="M3830" t="s">
        <v>12826</v>
      </c>
      <c r="N3830" t="s">
        <v>12884</v>
      </c>
      <c r="O3830" t="s">
        <v>12885</v>
      </c>
      <c r="P3830" s="2" t="s">
        <v>37</v>
      </c>
      <c r="Q3830" t="s">
        <v>1208</v>
      </c>
      <c r="R3830">
        <v>0</v>
      </c>
      <c r="S3830">
        <v>26.97</v>
      </c>
      <c r="T3830" t="s">
        <v>12886</v>
      </c>
    </row>
    <row r="3831" spans="1:20" x14ac:dyDescent="0.25">
      <c r="A3831" s="1" t="str">
        <f>HYPERLINK("https://vegkart.atlas.vegvesen.no/#/@165000.4,6523092.0,18/hva:hva%5B0%5D%5Bfilter%5D%5B0%5D%5Boperator%5D=%21%3D&amp;hva%5B0%5D%5Bfilter%5D%5B0%5D%5Btype_id%5D=8917&amp;hva%5B0%5D%5Bfilter%5D%5B0%5D%5Bverdi%5D=&amp;hva%5B0%5D%5Bid%5D=49/når:2025-02-21", "Vegkart")</f>
        <v>Vegkart</v>
      </c>
      <c r="B3831">
        <v>1022250644</v>
      </c>
      <c r="C3831">
        <v>49</v>
      </c>
      <c r="D3831" t="s">
        <v>8701</v>
      </c>
      <c r="E3831">
        <v>8917</v>
      </c>
      <c r="F3831" t="s">
        <v>23479</v>
      </c>
      <c r="G3831">
        <v>1</v>
      </c>
      <c r="H3831" t="s">
        <v>12802</v>
      </c>
      <c r="J3831" t="s">
        <v>12741</v>
      </c>
      <c r="K3831" t="s">
        <v>86</v>
      </c>
      <c r="L3831" t="s">
        <v>33</v>
      </c>
      <c r="M3831" t="s">
        <v>12807</v>
      </c>
      <c r="N3831" t="s">
        <v>12887</v>
      </c>
      <c r="O3831" t="s">
        <v>12888</v>
      </c>
      <c r="P3831" s="2" t="s">
        <v>37</v>
      </c>
      <c r="Q3831" t="s">
        <v>1208</v>
      </c>
      <c r="R3831">
        <v>0</v>
      </c>
      <c r="S3831">
        <v>17.920000000000002</v>
      </c>
      <c r="T3831" t="s">
        <v>12889</v>
      </c>
    </row>
    <row r="3832" spans="1:20" x14ac:dyDescent="0.25">
      <c r="A3832" s="1" t="str">
        <f>HYPERLINK("https://vegkart.atlas.vegvesen.no/#/@130119.0,6502450.1,18/hva:hva%5B0%5D%5Bfilter%5D%5B0%5D%5Boperator%5D=%21%3D&amp;hva%5B0%5D%5Bfilter%5D%5B0%5D%5Btype_id%5D=8917&amp;hva%5B0%5D%5Bfilter%5D%5B0%5D%5Bverdi%5D=&amp;hva%5B0%5D%5Bid%5D=49/når:2025-02-24", "Vegkart")</f>
        <v>Vegkart</v>
      </c>
      <c r="B3832">
        <v>1022250645</v>
      </c>
      <c r="C3832">
        <v>49</v>
      </c>
      <c r="D3832" t="s">
        <v>8701</v>
      </c>
      <c r="E3832">
        <v>8917</v>
      </c>
      <c r="F3832" t="s">
        <v>23479</v>
      </c>
      <c r="G3832">
        <v>2</v>
      </c>
      <c r="H3832" t="s">
        <v>12890</v>
      </c>
      <c r="J3832" t="s">
        <v>12741</v>
      </c>
      <c r="K3832" t="s">
        <v>86</v>
      </c>
      <c r="L3832" t="s">
        <v>33</v>
      </c>
      <c r="M3832" t="s">
        <v>12891</v>
      </c>
      <c r="N3832" t="s">
        <v>12892</v>
      </c>
      <c r="O3832" t="s">
        <v>12893</v>
      </c>
      <c r="P3832" s="2" t="s">
        <v>37</v>
      </c>
      <c r="Q3832" t="s">
        <v>1208</v>
      </c>
      <c r="R3832">
        <v>0</v>
      </c>
      <c r="S3832">
        <v>23.29</v>
      </c>
      <c r="T3832" t="s">
        <v>12894</v>
      </c>
    </row>
    <row r="3833" spans="1:20" x14ac:dyDescent="0.25">
      <c r="A3833" s="1" t="str">
        <f>HYPERLINK("https://vegkart.atlas.vegvesen.no/#/@147448.0,6513886.5,18/hva:hva%5B0%5D%5Bfilter%5D%5B0%5D%5Boperator%5D=%21%3D&amp;hva%5B0%5D%5Bfilter%5D%5B0%5D%5Btype_id%5D=8917&amp;hva%5B0%5D%5Bfilter%5D%5B0%5D%5Bverdi%5D=&amp;hva%5B0%5D%5Bid%5D=49/når:2025-02-21", "Vegkart")</f>
        <v>Vegkart</v>
      </c>
      <c r="B3833">
        <v>1022250646</v>
      </c>
      <c r="C3833">
        <v>49</v>
      </c>
      <c r="D3833" t="s">
        <v>8701</v>
      </c>
      <c r="E3833">
        <v>8917</v>
      </c>
      <c r="F3833" t="s">
        <v>23479</v>
      </c>
      <c r="G3833">
        <v>1</v>
      </c>
      <c r="H3833" t="s">
        <v>12802</v>
      </c>
      <c r="J3833" t="s">
        <v>12741</v>
      </c>
      <c r="K3833" t="s">
        <v>86</v>
      </c>
      <c r="L3833" t="s">
        <v>33</v>
      </c>
      <c r="M3833" t="s">
        <v>2028</v>
      </c>
      <c r="N3833" t="s">
        <v>12895</v>
      </c>
      <c r="O3833" t="s">
        <v>12896</v>
      </c>
      <c r="P3833" s="2" t="s">
        <v>37</v>
      </c>
      <c r="Q3833" t="s">
        <v>1208</v>
      </c>
      <c r="R3833">
        <v>0</v>
      </c>
      <c r="S3833">
        <v>21.15</v>
      </c>
      <c r="T3833" t="s">
        <v>12897</v>
      </c>
    </row>
    <row r="3834" spans="1:20" x14ac:dyDescent="0.25">
      <c r="A3834" s="1" t="str">
        <f>HYPERLINK("https://vegkart.atlas.vegvesen.no/#/@143560.9,6515189.0,18/hva:hva%5B0%5D%5Bfilter%5D%5B0%5D%5Boperator%5D=%21%3D&amp;hva%5B0%5D%5Bfilter%5D%5B0%5D%5Btype_id%5D=8917&amp;hva%5B0%5D%5Bfilter%5D%5B0%5D%5Bverdi%5D=&amp;hva%5B0%5D%5Bid%5D=49/når:2025-02-21", "Vegkart")</f>
        <v>Vegkart</v>
      </c>
      <c r="B3834">
        <v>1022250647</v>
      </c>
      <c r="C3834">
        <v>49</v>
      </c>
      <c r="D3834" t="s">
        <v>8701</v>
      </c>
      <c r="E3834">
        <v>8917</v>
      </c>
      <c r="F3834" t="s">
        <v>23479</v>
      </c>
      <c r="G3834">
        <v>1</v>
      </c>
      <c r="H3834" t="s">
        <v>12802</v>
      </c>
      <c r="J3834" t="s">
        <v>12741</v>
      </c>
      <c r="K3834" t="s">
        <v>86</v>
      </c>
      <c r="L3834" t="s">
        <v>33</v>
      </c>
      <c r="M3834" t="s">
        <v>12873</v>
      </c>
      <c r="N3834" t="s">
        <v>12898</v>
      </c>
      <c r="O3834" t="s">
        <v>12899</v>
      </c>
      <c r="P3834" s="2" t="s">
        <v>37</v>
      </c>
      <c r="Q3834" t="s">
        <v>1208</v>
      </c>
      <c r="R3834">
        <v>0</v>
      </c>
      <c r="S3834">
        <v>6.4</v>
      </c>
      <c r="T3834" t="s">
        <v>12900</v>
      </c>
    </row>
    <row r="3835" spans="1:20" x14ac:dyDescent="0.25">
      <c r="A3835" s="1" t="str">
        <f>HYPERLINK("https://vegkart.atlas.vegvesen.no/#/@-39392.9,6622756.9,18/hva:hva%5B0%5D%5Bfilter%5D%5B0%5D%5Boperator%5D=%21%3D&amp;hva%5B0%5D%5Bfilter%5D%5B0%5D%5Btype_id%5D=8917&amp;hva%5B0%5D%5Bfilter%5D%5B0%5D%5Bverdi%5D=&amp;hva%5B0%5D%5Bid%5D=49/når:2025-02-28", "Vegkart")</f>
        <v>Vegkart</v>
      </c>
      <c r="B3835">
        <v>1022269552</v>
      </c>
      <c r="C3835">
        <v>49</v>
      </c>
      <c r="D3835" t="s">
        <v>8701</v>
      </c>
      <c r="E3835">
        <v>8917</v>
      </c>
      <c r="F3835" t="s">
        <v>23479</v>
      </c>
      <c r="G3835">
        <v>1</v>
      </c>
      <c r="H3835" t="s">
        <v>2478</v>
      </c>
      <c r="J3835" t="s">
        <v>12741</v>
      </c>
      <c r="K3835" t="s">
        <v>170</v>
      </c>
      <c r="L3835" t="s">
        <v>33</v>
      </c>
      <c r="M3835" t="s">
        <v>12901</v>
      </c>
      <c r="N3835" t="s">
        <v>12902</v>
      </c>
      <c r="O3835" t="s">
        <v>12903</v>
      </c>
      <c r="P3835" s="2" t="s">
        <v>37</v>
      </c>
      <c r="Q3835" t="s">
        <v>1208</v>
      </c>
      <c r="R3835">
        <v>0</v>
      </c>
      <c r="S3835">
        <v>19.36</v>
      </c>
      <c r="T3835" t="s">
        <v>12904</v>
      </c>
    </row>
    <row r="3836" spans="1:20" x14ac:dyDescent="0.25">
      <c r="A3836" s="1" t="str">
        <f>HYPERLINK("https://vegkart.atlas.vegvesen.no/#/@-57634.9,6610963.6,18/hva:hva%5B0%5D%5Bfilter%5D%5B0%5D%5Boperator%5D=%21%3D&amp;hva%5B0%5D%5Bfilter%5D%5B0%5D%5Btype_id%5D=8917&amp;hva%5B0%5D%5Bfilter%5D%5B0%5D%5Bverdi%5D=&amp;hva%5B0%5D%5Bid%5D=49/når:2025-03-03", "Vegkart")</f>
        <v>Vegkart</v>
      </c>
      <c r="B3836">
        <v>1022274909</v>
      </c>
      <c r="C3836">
        <v>49</v>
      </c>
      <c r="D3836" t="s">
        <v>8701</v>
      </c>
      <c r="E3836">
        <v>8917</v>
      </c>
      <c r="F3836" t="s">
        <v>23479</v>
      </c>
      <c r="G3836">
        <v>1</v>
      </c>
      <c r="H3836" t="s">
        <v>12905</v>
      </c>
      <c r="J3836" t="s">
        <v>12741</v>
      </c>
      <c r="K3836" t="s">
        <v>170</v>
      </c>
      <c r="L3836" t="s">
        <v>33</v>
      </c>
      <c r="M3836" t="s">
        <v>512</v>
      </c>
      <c r="N3836" t="s">
        <v>12906</v>
      </c>
      <c r="O3836" t="s">
        <v>12907</v>
      </c>
      <c r="P3836" s="2" t="s">
        <v>37</v>
      </c>
      <c r="Q3836" t="s">
        <v>1208</v>
      </c>
      <c r="R3836">
        <v>0</v>
      </c>
      <c r="S3836">
        <v>30.97</v>
      </c>
      <c r="T3836" t="s">
        <v>12908</v>
      </c>
    </row>
    <row r="3837" spans="1:20" x14ac:dyDescent="0.25">
      <c r="A3837" s="1" t="str">
        <f>HYPERLINK("https://vegkart.atlas.vegvesen.no/#/@-50324.7,6610771.3,18/hva:hva%5B0%5D%5Bfilter%5D%5B0%5D%5Boperator%5D=%21%3D&amp;hva%5B0%5D%5Bfilter%5D%5B0%5D%5Btype_id%5D=8917&amp;hva%5B0%5D%5Bfilter%5D%5B0%5D%5Bverdi%5D=&amp;hva%5B0%5D%5Bid%5D=49/når:2025-03-03", "Vegkart")</f>
        <v>Vegkart</v>
      </c>
      <c r="B3837">
        <v>1022274910</v>
      </c>
      <c r="C3837">
        <v>49</v>
      </c>
      <c r="D3837" t="s">
        <v>8701</v>
      </c>
      <c r="E3837">
        <v>8917</v>
      </c>
      <c r="F3837" t="s">
        <v>23479</v>
      </c>
      <c r="G3837">
        <v>1</v>
      </c>
      <c r="H3837" t="s">
        <v>12905</v>
      </c>
      <c r="J3837" t="s">
        <v>12741</v>
      </c>
      <c r="K3837" t="s">
        <v>170</v>
      </c>
      <c r="L3837" t="s">
        <v>33</v>
      </c>
      <c r="M3837" t="s">
        <v>11425</v>
      </c>
      <c r="N3837" t="s">
        <v>12909</v>
      </c>
      <c r="O3837" t="s">
        <v>12910</v>
      </c>
      <c r="P3837" s="2" t="s">
        <v>37</v>
      </c>
      <c r="Q3837" t="s">
        <v>1208</v>
      </c>
      <c r="R3837">
        <v>0</v>
      </c>
      <c r="S3837">
        <v>11.32</v>
      </c>
      <c r="T3837" t="s">
        <v>12911</v>
      </c>
    </row>
    <row r="3838" spans="1:20" x14ac:dyDescent="0.25">
      <c r="A3838" s="1" t="str">
        <f>HYPERLINK("https://vegkart.atlas.vegvesen.no/#/@36476.9,6645995.5,18/hva:hva%5B0%5D%5Bfilter%5D%5B0%5D%5Boperator%5D=%21%3D&amp;hva%5B0%5D%5Bfilter%5D%5B0%5D%5Btype_id%5D=8917&amp;hva%5B0%5D%5Bfilter%5D%5B0%5D%5Bverdi%5D=&amp;hva%5B0%5D%5Bid%5D=49/når:2025-03-17", "Vegkart")</f>
        <v>Vegkart</v>
      </c>
      <c r="B3838">
        <v>1022327705</v>
      </c>
      <c r="C3838">
        <v>49</v>
      </c>
      <c r="D3838" t="s">
        <v>8701</v>
      </c>
      <c r="E3838">
        <v>8917</v>
      </c>
      <c r="F3838" t="s">
        <v>23479</v>
      </c>
      <c r="G3838">
        <v>1</v>
      </c>
      <c r="H3838" t="s">
        <v>1775</v>
      </c>
      <c r="J3838" t="s">
        <v>12741</v>
      </c>
      <c r="K3838" t="s">
        <v>170</v>
      </c>
      <c r="L3838" t="s">
        <v>113</v>
      </c>
      <c r="M3838" t="s">
        <v>114</v>
      </c>
      <c r="N3838" t="s">
        <v>12912</v>
      </c>
      <c r="O3838" t="s">
        <v>12913</v>
      </c>
      <c r="P3838" s="2" t="s">
        <v>26</v>
      </c>
      <c r="Q3838" t="s">
        <v>50</v>
      </c>
      <c r="R3838">
        <v>56.13</v>
      </c>
      <c r="S3838">
        <v>56.13</v>
      </c>
      <c r="T3838" t="s">
        <v>12914</v>
      </c>
    </row>
    <row r="3839" spans="1:20" x14ac:dyDescent="0.25">
      <c r="A3839" s="1" t="str">
        <f>HYPERLINK("https://vegkart.atlas.vegvesen.no/#/@36475.2,6645993.9,18/hva:hva%5B0%5D%5Bfilter%5D%5B0%5D%5Boperator%5D=%21%3D&amp;hva%5B0%5D%5Bfilter%5D%5B0%5D%5Btype_id%5D=8917&amp;hva%5B0%5D%5Bfilter%5D%5B0%5D%5Bverdi%5D=&amp;hva%5B0%5D%5Bid%5D=49/når:2025-03-17", "Vegkart")</f>
        <v>Vegkart</v>
      </c>
      <c r="B3839">
        <v>1022327706</v>
      </c>
      <c r="C3839">
        <v>49</v>
      </c>
      <c r="D3839" t="s">
        <v>8701</v>
      </c>
      <c r="E3839">
        <v>8917</v>
      </c>
      <c r="F3839" t="s">
        <v>23479</v>
      </c>
      <c r="G3839">
        <v>1</v>
      </c>
      <c r="H3839" t="s">
        <v>1775</v>
      </c>
      <c r="J3839" t="s">
        <v>12741</v>
      </c>
      <c r="K3839" t="s">
        <v>170</v>
      </c>
      <c r="L3839" t="s">
        <v>113</v>
      </c>
      <c r="M3839" t="s">
        <v>114</v>
      </c>
      <c r="N3839" t="s">
        <v>12915</v>
      </c>
      <c r="O3839" t="s">
        <v>12916</v>
      </c>
      <c r="P3839" s="2" t="s">
        <v>26</v>
      </c>
      <c r="Q3839" t="s">
        <v>50</v>
      </c>
      <c r="R3839">
        <v>56.13</v>
      </c>
      <c r="S3839">
        <v>67.81</v>
      </c>
      <c r="T3839" t="s">
        <v>12917</v>
      </c>
    </row>
    <row r="3840" spans="1:20" x14ac:dyDescent="0.25">
      <c r="A3840" s="1" t="str">
        <f>HYPERLINK("https://vegkart.atlas.vegvesen.no/#/@283988.5,6702023.5,18/hva:hva%5B0%5D%5Bfilter%5D%5B0%5D%5Boperator%5D=%21%3D&amp;hva%5B0%5D%5Bfilter%5D%5B0%5D%5Btype_id%5D=8917&amp;hva%5B0%5D%5Bfilter%5D%5B0%5D%5Bverdi%5D=&amp;hva%5B0%5D%5Bid%5D=49/når:2025-03-20", "Vegkart")</f>
        <v>Vegkart</v>
      </c>
      <c r="B3840">
        <v>1022346453</v>
      </c>
      <c r="C3840">
        <v>49</v>
      </c>
      <c r="D3840" t="s">
        <v>8701</v>
      </c>
      <c r="E3840">
        <v>8917</v>
      </c>
      <c r="F3840" t="s">
        <v>23479</v>
      </c>
      <c r="G3840">
        <v>1</v>
      </c>
      <c r="H3840" t="s">
        <v>12918</v>
      </c>
      <c r="J3840" t="s">
        <v>12741</v>
      </c>
      <c r="K3840" t="s">
        <v>132</v>
      </c>
      <c r="L3840" t="s">
        <v>33</v>
      </c>
      <c r="M3840" t="s">
        <v>6226</v>
      </c>
      <c r="N3840" t="s">
        <v>12919</v>
      </c>
      <c r="O3840" t="s">
        <v>12920</v>
      </c>
      <c r="P3840" s="2" t="s">
        <v>37</v>
      </c>
      <c r="Q3840" t="s">
        <v>1208</v>
      </c>
      <c r="R3840">
        <v>0</v>
      </c>
      <c r="S3840">
        <v>17.78</v>
      </c>
      <c r="T3840" t="s">
        <v>12921</v>
      </c>
    </row>
    <row r="3841" spans="1:20" x14ac:dyDescent="0.25">
      <c r="A3841" s="1" t="str">
        <f>HYPERLINK("https://vegkart.atlas.vegvesen.no/#/@-41622.7,6730954.7,18/hva:hva%5B0%5D%5Bfilter%5D%5B0%5D%5Boperator%5D=%21%3D&amp;hva%5B0%5D%5Bfilter%5D%5B0%5D%5Btype_id%5D=8917&amp;hva%5B0%5D%5Bfilter%5D%5B0%5D%5Bverdi%5D=&amp;hva%5B0%5D%5Bid%5D=49/når:2025-03-21", "Vegkart")</f>
        <v>Vegkart</v>
      </c>
      <c r="B3841">
        <v>1022352105</v>
      </c>
      <c r="C3841">
        <v>49</v>
      </c>
      <c r="D3841" t="s">
        <v>8701</v>
      </c>
      <c r="E3841">
        <v>8917</v>
      </c>
      <c r="F3841" t="s">
        <v>23479</v>
      </c>
      <c r="G3841">
        <v>1</v>
      </c>
      <c r="H3841" t="s">
        <v>12922</v>
      </c>
      <c r="J3841" t="s">
        <v>12741</v>
      </c>
      <c r="K3841" t="s">
        <v>21</v>
      </c>
      <c r="L3841" t="s">
        <v>33</v>
      </c>
      <c r="M3841" t="s">
        <v>12923</v>
      </c>
      <c r="N3841" t="s">
        <v>12924</v>
      </c>
      <c r="O3841" t="s">
        <v>12925</v>
      </c>
      <c r="P3841" s="2" t="s">
        <v>37</v>
      </c>
      <c r="Q3841" t="s">
        <v>1208</v>
      </c>
      <c r="R3841">
        <v>0</v>
      </c>
      <c r="S3841">
        <v>40.909999999999997</v>
      </c>
      <c r="T3841" t="s">
        <v>12926</v>
      </c>
    </row>
    <row r="3842" spans="1:20" x14ac:dyDescent="0.25">
      <c r="A3842" s="1" t="str">
        <f>HYPERLINK("https://vegkart.atlas.vegvesen.no/#/@-41867.2,6731073.1,18/hva:hva%5B0%5D%5Bfilter%5D%5B0%5D%5Boperator%5D=%21%3D&amp;hva%5B0%5D%5Bfilter%5D%5B0%5D%5Btype_id%5D=8917&amp;hva%5B0%5D%5Bfilter%5D%5B0%5D%5Bverdi%5D=&amp;hva%5B0%5D%5Bid%5D=49/når:2025-03-21", "Vegkart")</f>
        <v>Vegkart</v>
      </c>
      <c r="B3842">
        <v>1022352106</v>
      </c>
      <c r="C3842">
        <v>49</v>
      </c>
      <c r="D3842" t="s">
        <v>8701</v>
      </c>
      <c r="E3842">
        <v>8917</v>
      </c>
      <c r="F3842" t="s">
        <v>23479</v>
      </c>
      <c r="G3842">
        <v>1</v>
      </c>
      <c r="H3842" t="s">
        <v>12922</v>
      </c>
      <c r="J3842" t="s">
        <v>12741</v>
      </c>
      <c r="K3842" t="s">
        <v>21</v>
      </c>
      <c r="L3842" t="s">
        <v>33</v>
      </c>
      <c r="M3842" t="s">
        <v>12923</v>
      </c>
      <c r="N3842" t="s">
        <v>12927</v>
      </c>
      <c r="O3842" t="s">
        <v>12928</v>
      </c>
      <c r="P3842" s="2" t="s">
        <v>37</v>
      </c>
      <c r="Q3842" t="s">
        <v>1208</v>
      </c>
      <c r="R3842">
        <v>0</v>
      </c>
      <c r="S3842">
        <v>16.37</v>
      </c>
      <c r="T3842" t="s">
        <v>12929</v>
      </c>
    </row>
    <row r="3843" spans="1:20" x14ac:dyDescent="0.25">
      <c r="A3843" s="1" t="str">
        <f>HYPERLINK("https://vegkart.atlas.vegvesen.no/#/@-49655.7,6738384.8,18/hva:hva%5B0%5D%5Bfilter%5D%5B0%5D%5Boperator%5D=%21%3D&amp;hva%5B0%5D%5Bfilter%5D%5B0%5D%5Btype_id%5D=8917&amp;hva%5B0%5D%5Bfilter%5D%5B0%5D%5Bverdi%5D=&amp;hva%5B0%5D%5Bid%5D=49/når:2025-03-28", "Vegkart")</f>
        <v>Vegkart</v>
      </c>
      <c r="B3843">
        <v>1022430262</v>
      </c>
      <c r="C3843">
        <v>49</v>
      </c>
      <c r="D3843" t="s">
        <v>8701</v>
      </c>
      <c r="E3843">
        <v>8917</v>
      </c>
      <c r="F3843" t="s">
        <v>23479</v>
      </c>
      <c r="G3843">
        <v>1</v>
      </c>
      <c r="H3843" t="s">
        <v>12930</v>
      </c>
      <c r="J3843" t="s">
        <v>12741</v>
      </c>
      <c r="K3843" t="s">
        <v>21</v>
      </c>
      <c r="L3843" t="s">
        <v>33</v>
      </c>
      <c r="M3843" t="s">
        <v>97</v>
      </c>
      <c r="N3843" t="s">
        <v>12931</v>
      </c>
      <c r="O3843" t="s">
        <v>12932</v>
      </c>
      <c r="P3843" s="2" t="s">
        <v>37</v>
      </c>
      <c r="Q3843" t="s">
        <v>1208</v>
      </c>
      <c r="R3843">
        <v>0</v>
      </c>
      <c r="S3843">
        <v>10.76</v>
      </c>
      <c r="T3843" t="s">
        <v>12933</v>
      </c>
    </row>
    <row r="3844" spans="1:20" x14ac:dyDescent="0.25">
      <c r="A3844" s="1" t="str">
        <f>HYPERLINK("https://vegkart.atlas.vegvesen.no/#/@-49658.8,6738379.5,18/hva:hva%5B0%5D%5Bfilter%5D%5B0%5D%5Boperator%5D=%21%3D&amp;hva%5B0%5D%5Bfilter%5D%5B0%5D%5Btype_id%5D=8917&amp;hva%5B0%5D%5Bfilter%5D%5B0%5D%5Bverdi%5D=&amp;hva%5B0%5D%5Bid%5D=49/når:2025-03-28", "Vegkart")</f>
        <v>Vegkart</v>
      </c>
      <c r="B3844">
        <v>1022430263</v>
      </c>
      <c r="C3844">
        <v>49</v>
      </c>
      <c r="D3844" t="s">
        <v>8701</v>
      </c>
      <c r="E3844">
        <v>8917</v>
      </c>
      <c r="F3844" t="s">
        <v>23479</v>
      </c>
      <c r="G3844">
        <v>1</v>
      </c>
      <c r="H3844" t="s">
        <v>12930</v>
      </c>
      <c r="J3844" t="s">
        <v>12741</v>
      </c>
      <c r="K3844" t="s">
        <v>21</v>
      </c>
      <c r="L3844" t="s">
        <v>33</v>
      </c>
      <c r="M3844" t="s">
        <v>97</v>
      </c>
      <c r="N3844" t="s">
        <v>12934</v>
      </c>
      <c r="O3844" t="s">
        <v>12935</v>
      </c>
      <c r="P3844" s="2" t="s">
        <v>37</v>
      </c>
      <c r="Q3844" t="s">
        <v>1208</v>
      </c>
      <c r="R3844">
        <v>0</v>
      </c>
      <c r="S3844">
        <v>8.6</v>
      </c>
      <c r="T3844" t="s">
        <v>12936</v>
      </c>
    </row>
    <row r="3845" spans="1:20" x14ac:dyDescent="0.25">
      <c r="A3845" s="1" t="str">
        <f>HYPERLINK("https://vegkart.atlas.vegvesen.no/#/@212692.5,6736351.6,18/hva:hva%5B0%5D%5Bfilter%5D%5B0%5D%5Boperator%5D=%21%3D&amp;hva%5B0%5D%5Bfilter%5D%5B0%5D%5Btype_id%5D=8917&amp;hva%5B0%5D%5Bfilter%5D%5B0%5D%5Bverdi%5D=&amp;hva%5B0%5D%5Bid%5D=49/når:2025-04-28", "Vegkart")</f>
        <v>Vegkart</v>
      </c>
      <c r="B3845">
        <v>1022494875</v>
      </c>
      <c r="C3845">
        <v>49</v>
      </c>
      <c r="D3845" t="s">
        <v>8701</v>
      </c>
      <c r="E3845">
        <v>8917</v>
      </c>
      <c r="F3845" t="s">
        <v>23479</v>
      </c>
      <c r="G3845">
        <v>1</v>
      </c>
      <c r="H3845" t="s">
        <v>96</v>
      </c>
      <c r="J3845" t="s">
        <v>12741</v>
      </c>
      <c r="K3845" t="s">
        <v>136</v>
      </c>
      <c r="L3845" t="s">
        <v>80</v>
      </c>
      <c r="M3845" t="s">
        <v>152</v>
      </c>
      <c r="N3845" t="s">
        <v>12937</v>
      </c>
      <c r="O3845" t="s">
        <v>12938</v>
      </c>
      <c r="P3845" s="2" t="s">
        <v>165</v>
      </c>
      <c r="Q3845" t="s">
        <v>166</v>
      </c>
      <c r="R3845">
        <v>2.39</v>
      </c>
      <c r="S3845">
        <v>3</v>
      </c>
      <c r="T3845" t="s">
        <v>167</v>
      </c>
    </row>
    <row r="3846" spans="1:20" x14ac:dyDescent="0.25">
      <c r="A3846" s="1" t="str">
        <f>HYPERLINK("https://vegkart.atlas.vegvesen.no/#/@212689.9,6736339.9,18/hva:hva%5B0%5D%5Bfilter%5D%5B0%5D%5Boperator%5D=%21%3D&amp;hva%5B0%5D%5Bfilter%5D%5B0%5D%5Btype_id%5D=8917&amp;hva%5B0%5D%5Bfilter%5D%5B0%5D%5Bverdi%5D=&amp;hva%5B0%5D%5Bid%5D=49/når:2025-04-28", "Vegkart")</f>
        <v>Vegkart</v>
      </c>
      <c r="B3846">
        <v>1022495038</v>
      </c>
      <c r="C3846">
        <v>49</v>
      </c>
      <c r="D3846" t="s">
        <v>8701</v>
      </c>
      <c r="E3846">
        <v>8917</v>
      </c>
      <c r="F3846" t="s">
        <v>23479</v>
      </c>
      <c r="G3846">
        <v>1</v>
      </c>
      <c r="H3846" t="s">
        <v>96</v>
      </c>
      <c r="J3846" t="s">
        <v>12741</v>
      </c>
      <c r="K3846" t="s">
        <v>136</v>
      </c>
      <c r="L3846" t="s">
        <v>80</v>
      </c>
      <c r="M3846" t="s">
        <v>152</v>
      </c>
      <c r="N3846" t="s">
        <v>8480</v>
      </c>
      <c r="O3846" t="s">
        <v>12939</v>
      </c>
      <c r="P3846" s="2" t="s">
        <v>165</v>
      </c>
      <c r="Q3846" t="s">
        <v>166</v>
      </c>
      <c r="R3846">
        <v>5.72</v>
      </c>
      <c r="S3846">
        <v>5.72</v>
      </c>
      <c r="T3846" t="s">
        <v>167</v>
      </c>
    </row>
    <row r="3847" spans="1:20" x14ac:dyDescent="0.25">
      <c r="A3847" s="1" t="str">
        <f>HYPERLINK("https://vegkart.atlas.vegvesen.no/#/@218697.8,6734642.3,18/hva:hva%5B0%5D%5Bfilter%5D%5B0%5D%5Boperator%5D=%21%3D&amp;hva%5B0%5D%5Bfilter%5D%5B0%5D%5Btype_id%5D=8917&amp;hva%5B0%5D%5Bfilter%5D%5B0%5D%5Bverdi%5D=&amp;hva%5B0%5D%5Bid%5D=49/når:2025-04-28", "Vegkart")</f>
        <v>Vegkart</v>
      </c>
      <c r="B3847">
        <v>1022495061</v>
      </c>
      <c r="C3847">
        <v>49</v>
      </c>
      <c r="D3847" t="s">
        <v>8701</v>
      </c>
      <c r="E3847">
        <v>8917</v>
      </c>
      <c r="F3847" t="s">
        <v>23479</v>
      </c>
      <c r="G3847">
        <v>1</v>
      </c>
      <c r="H3847" t="s">
        <v>96</v>
      </c>
      <c r="J3847" t="s">
        <v>12741</v>
      </c>
      <c r="K3847" t="s">
        <v>136</v>
      </c>
      <c r="L3847" t="s">
        <v>80</v>
      </c>
      <c r="M3847" t="s">
        <v>152</v>
      </c>
      <c r="N3847" t="s">
        <v>12940</v>
      </c>
      <c r="O3847" t="s">
        <v>12941</v>
      </c>
      <c r="P3847" s="2" t="s">
        <v>165</v>
      </c>
      <c r="Q3847" t="s">
        <v>166</v>
      </c>
      <c r="R3847">
        <v>0</v>
      </c>
      <c r="S3847">
        <v>16.420000000000002</v>
      </c>
      <c r="T3847" t="s">
        <v>167</v>
      </c>
    </row>
    <row r="3848" spans="1:20" x14ac:dyDescent="0.25">
      <c r="A3848" s="1" t="str">
        <f>HYPERLINK("https://vegkart.atlas.vegvesen.no/#/@218606.2,6734699.0,18/hva:hva%5B0%5D%5Bfilter%5D%5B0%5D%5Boperator%5D=%21%3D&amp;hva%5B0%5D%5Bfilter%5D%5B0%5D%5Btype_id%5D=8917&amp;hva%5B0%5D%5Bfilter%5D%5B0%5D%5Bverdi%5D=&amp;hva%5B0%5D%5Bid%5D=49/når:2025-04-28", "Vegkart")</f>
        <v>Vegkart</v>
      </c>
      <c r="B3848">
        <v>1022495163</v>
      </c>
      <c r="C3848">
        <v>49</v>
      </c>
      <c r="D3848" t="s">
        <v>8701</v>
      </c>
      <c r="E3848">
        <v>8917</v>
      </c>
      <c r="F3848" t="s">
        <v>23479</v>
      </c>
      <c r="G3848">
        <v>1</v>
      </c>
      <c r="H3848" t="s">
        <v>96</v>
      </c>
      <c r="J3848" t="s">
        <v>12741</v>
      </c>
      <c r="K3848" t="s">
        <v>136</v>
      </c>
      <c r="L3848" t="s">
        <v>80</v>
      </c>
      <c r="M3848" t="s">
        <v>152</v>
      </c>
      <c r="N3848" t="s">
        <v>12942</v>
      </c>
      <c r="O3848" t="s">
        <v>12943</v>
      </c>
      <c r="P3848" s="2" t="s">
        <v>165</v>
      </c>
      <c r="Q3848" t="s">
        <v>166</v>
      </c>
      <c r="R3848">
        <v>0</v>
      </c>
      <c r="S3848">
        <v>355.17</v>
      </c>
      <c r="T3848" t="s">
        <v>167</v>
      </c>
    </row>
    <row r="3849" spans="1:20" x14ac:dyDescent="0.25">
      <c r="A3849" s="1" t="str">
        <f>HYPERLINK("https://vegkart.atlas.vegvesen.no/#/@218721.2,6734606.2,18/hva:hva%5B0%5D%5Bfilter%5D%5B0%5D%5Boperator%5D=%21%3D&amp;hva%5B0%5D%5Bfilter%5D%5B0%5D%5Btype_id%5D=8917&amp;hva%5B0%5D%5Bfilter%5D%5B0%5D%5Bverdi%5D=&amp;hva%5B0%5D%5Bid%5D=49/når:2025-04-28", "Vegkart")</f>
        <v>Vegkart</v>
      </c>
      <c r="B3849">
        <v>1022495512</v>
      </c>
      <c r="C3849">
        <v>49</v>
      </c>
      <c r="D3849" t="s">
        <v>8701</v>
      </c>
      <c r="E3849">
        <v>8917</v>
      </c>
      <c r="F3849" t="s">
        <v>23479</v>
      </c>
      <c r="G3849">
        <v>1</v>
      </c>
      <c r="H3849" t="s">
        <v>96</v>
      </c>
      <c r="J3849" t="s">
        <v>12741</v>
      </c>
      <c r="K3849" t="s">
        <v>136</v>
      </c>
      <c r="L3849" t="s">
        <v>80</v>
      </c>
      <c r="M3849" t="s">
        <v>152</v>
      </c>
      <c r="N3849" t="s">
        <v>12944</v>
      </c>
      <c r="O3849" t="s">
        <v>12945</v>
      </c>
      <c r="P3849" s="2" t="s">
        <v>165</v>
      </c>
      <c r="Q3849" t="s">
        <v>166</v>
      </c>
      <c r="R3849">
        <v>0</v>
      </c>
      <c r="S3849">
        <v>189.38</v>
      </c>
      <c r="T3849" t="s">
        <v>167</v>
      </c>
    </row>
    <row r="3850" spans="1:20" x14ac:dyDescent="0.25">
      <c r="A3850" s="1" t="str">
        <f>HYPERLINK("https://vegkart.atlas.vegvesen.no/#/@220361.0,6733124.9,18/hva:hva%5B0%5D%5Bfilter%5D%5B0%5D%5Boperator%5D=%21%3D&amp;hva%5B0%5D%5Bfilter%5D%5B0%5D%5Btype_id%5D=8917&amp;hva%5B0%5D%5Bfilter%5D%5B0%5D%5Bverdi%5D=&amp;hva%5B0%5D%5Bid%5D=49/når:2025-04-28", "Vegkart")</f>
        <v>Vegkart</v>
      </c>
      <c r="B3850">
        <v>1022495521</v>
      </c>
      <c r="C3850">
        <v>49</v>
      </c>
      <c r="D3850" t="s">
        <v>8701</v>
      </c>
      <c r="E3850">
        <v>8917</v>
      </c>
      <c r="F3850" t="s">
        <v>23479</v>
      </c>
      <c r="G3850">
        <v>1</v>
      </c>
      <c r="H3850" t="s">
        <v>96</v>
      </c>
      <c r="J3850" t="s">
        <v>12741</v>
      </c>
      <c r="K3850" t="s">
        <v>136</v>
      </c>
      <c r="L3850" t="s">
        <v>80</v>
      </c>
      <c r="M3850" t="s">
        <v>152</v>
      </c>
      <c r="N3850" t="s">
        <v>12946</v>
      </c>
      <c r="O3850" t="s">
        <v>12947</v>
      </c>
      <c r="P3850" s="2" t="s">
        <v>165</v>
      </c>
      <c r="Q3850" t="s">
        <v>166</v>
      </c>
      <c r="R3850">
        <v>0</v>
      </c>
      <c r="S3850">
        <v>25.51</v>
      </c>
      <c r="T3850" t="s">
        <v>167</v>
      </c>
    </row>
    <row r="3851" spans="1:20" x14ac:dyDescent="0.25">
      <c r="A3851" s="1" t="str">
        <f>HYPERLINK("https://vegkart.atlas.vegvesen.no/#/@-33042.4,6664800.2,18/hva:hva%5B0%5D%5Bfilter%5D%5B0%5D%5Boperator%5D=%21%3D&amp;hva%5B0%5D%5Bfilter%5D%5B0%5D%5Btype_id%5D=8917&amp;hva%5B0%5D%5Bfilter%5D%5B0%5D%5Bverdi%5D=&amp;hva%5B0%5D%5Bid%5D=49/når:2025-04-28", "Vegkart")</f>
        <v>Vegkart</v>
      </c>
      <c r="B3851">
        <v>1022495587</v>
      </c>
      <c r="C3851">
        <v>49</v>
      </c>
      <c r="D3851" t="s">
        <v>8701</v>
      </c>
      <c r="E3851">
        <v>8917</v>
      </c>
      <c r="F3851" t="s">
        <v>23479</v>
      </c>
      <c r="G3851">
        <v>1</v>
      </c>
      <c r="H3851" t="s">
        <v>96</v>
      </c>
      <c r="J3851" t="s">
        <v>12741</v>
      </c>
      <c r="K3851" t="s">
        <v>21</v>
      </c>
      <c r="L3851" t="s">
        <v>33</v>
      </c>
      <c r="M3851" t="s">
        <v>5660</v>
      </c>
      <c r="N3851" t="s">
        <v>12948</v>
      </c>
      <c r="O3851" t="s">
        <v>12949</v>
      </c>
      <c r="P3851" s="2" t="s">
        <v>37</v>
      </c>
      <c r="Q3851" t="s">
        <v>1208</v>
      </c>
      <c r="R3851">
        <v>0</v>
      </c>
      <c r="S3851">
        <v>11.89</v>
      </c>
      <c r="T3851" t="s">
        <v>12950</v>
      </c>
    </row>
    <row r="3852" spans="1:20" x14ac:dyDescent="0.25">
      <c r="A3852" s="1" t="str">
        <f>HYPERLINK("https://vegkart.atlas.vegvesen.no/#/@98142.7,6470160.8,18/hva:hva%5B0%5D%5Bfilter%5D%5B0%5D%5Boperator%5D=%21%3D&amp;hva%5B0%5D%5Bfilter%5D%5B0%5D%5Btype_id%5D=8917&amp;hva%5B0%5D%5Bfilter%5D%5B0%5D%5Bverdi%5D=&amp;hva%5B0%5D%5Bid%5D=49/når:2025-05-14", "Vegkart")</f>
        <v>Vegkart</v>
      </c>
      <c r="B3852">
        <v>1022558899</v>
      </c>
      <c r="C3852">
        <v>49</v>
      </c>
      <c r="D3852" t="s">
        <v>8701</v>
      </c>
      <c r="E3852">
        <v>8917</v>
      </c>
      <c r="F3852" t="s">
        <v>23479</v>
      </c>
      <c r="G3852">
        <v>1</v>
      </c>
      <c r="H3852" t="s">
        <v>12951</v>
      </c>
      <c r="J3852" t="s">
        <v>12741</v>
      </c>
      <c r="K3852" t="s">
        <v>86</v>
      </c>
      <c r="L3852" t="s">
        <v>22</v>
      </c>
      <c r="M3852" t="s">
        <v>12952</v>
      </c>
      <c r="N3852" t="s">
        <v>12953</v>
      </c>
      <c r="O3852" t="s">
        <v>12954</v>
      </c>
      <c r="P3852" s="2" t="s">
        <v>37</v>
      </c>
      <c r="Q3852" t="s">
        <v>1208</v>
      </c>
      <c r="R3852">
        <v>0.53</v>
      </c>
      <c r="S3852">
        <v>63.6</v>
      </c>
      <c r="T3852" t="s">
        <v>12955</v>
      </c>
    </row>
    <row r="3853" spans="1:20" x14ac:dyDescent="0.25">
      <c r="A3853" s="1" t="str">
        <f>HYPERLINK("https://vegkart.atlas.vegvesen.no/#/@98090.8,6470219.9,18/hva:hva%5B0%5D%5Bfilter%5D%5B0%5D%5Boperator%5D=%21%3D&amp;hva%5B0%5D%5Bfilter%5D%5B0%5D%5Btype_id%5D=8917&amp;hva%5B0%5D%5Bfilter%5D%5B0%5D%5Bverdi%5D=&amp;hva%5B0%5D%5Bid%5D=49/når:2025-05-14", "Vegkart")</f>
        <v>Vegkart</v>
      </c>
      <c r="B3853">
        <v>1022558919</v>
      </c>
      <c r="C3853">
        <v>49</v>
      </c>
      <c r="D3853" t="s">
        <v>8701</v>
      </c>
      <c r="E3853">
        <v>8917</v>
      </c>
      <c r="F3853" t="s">
        <v>23479</v>
      </c>
      <c r="G3853">
        <v>1</v>
      </c>
      <c r="H3853" t="s">
        <v>12951</v>
      </c>
      <c r="J3853" t="s">
        <v>12741</v>
      </c>
      <c r="K3853" t="s">
        <v>86</v>
      </c>
      <c r="L3853" t="s">
        <v>22</v>
      </c>
      <c r="M3853" t="s">
        <v>12952</v>
      </c>
      <c r="N3853" t="s">
        <v>12956</v>
      </c>
      <c r="O3853" t="s">
        <v>12957</v>
      </c>
      <c r="P3853" s="2" t="s">
        <v>37</v>
      </c>
      <c r="Q3853" t="s">
        <v>1208</v>
      </c>
      <c r="R3853">
        <v>1.02</v>
      </c>
      <c r="S3853">
        <v>239.38</v>
      </c>
      <c r="T3853" t="s">
        <v>12958</v>
      </c>
    </row>
    <row r="3854" spans="1:20" x14ac:dyDescent="0.25">
      <c r="A3854" s="1" t="str">
        <f>HYPERLINK("https://vegkart.atlas.vegvesen.no/#/@107385.2,6472842.2,18/hva:hva%5B0%5D%5Bfilter%5D%5B0%5D%5Boperator%5D=%21%3D&amp;hva%5B0%5D%5Bfilter%5D%5B0%5D%5Btype_id%5D=8917&amp;hva%5B0%5D%5Bfilter%5D%5B0%5D%5Bverdi%5D=&amp;hva%5B0%5D%5Bid%5D=49/når:2025-05-18", "Vegkart")</f>
        <v>Vegkart</v>
      </c>
      <c r="B3854">
        <v>1022577945</v>
      </c>
      <c r="C3854">
        <v>49</v>
      </c>
      <c r="D3854" t="s">
        <v>8701</v>
      </c>
      <c r="E3854">
        <v>8917</v>
      </c>
      <c r="F3854" t="s">
        <v>23479</v>
      </c>
      <c r="G3854">
        <v>1</v>
      </c>
      <c r="H3854" t="s">
        <v>12959</v>
      </c>
      <c r="J3854" t="s">
        <v>12741</v>
      </c>
      <c r="K3854" t="s">
        <v>86</v>
      </c>
      <c r="L3854" t="s">
        <v>22</v>
      </c>
      <c r="M3854" t="s">
        <v>12960</v>
      </c>
      <c r="N3854" t="s">
        <v>12961</v>
      </c>
      <c r="O3854" t="s">
        <v>12962</v>
      </c>
      <c r="P3854" s="2" t="s">
        <v>37</v>
      </c>
      <c r="Q3854" t="s">
        <v>1208</v>
      </c>
      <c r="R3854">
        <v>0.46</v>
      </c>
      <c r="S3854">
        <v>29.17</v>
      </c>
      <c r="T3854" t="s">
        <v>12963</v>
      </c>
    </row>
    <row r="3855" spans="1:20" x14ac:dyDescent="0.25">
      <c r="A3855" s="1" t="str">
        <f>HYPERLINK("https://vegkart.atlas.vegvesen.no/#/@109830.0,6474780.9,18/hva:hva%5B0%5D%5Bfilter%5D%5B0%5D%5Boperator%5D=%21%3D&amp;hva%5B0%5D%5Bfilter%5D%5B0%5D%5Btype_id%5D=8917&amp;hva%5B0%5D%5Bfilter%5D%5B0%5D%5Bverdi%5D=&amp;hva%5B0%5D%5Bid%5D=49/når:2025-05-19", "Vegkart")</f>
        <v>Vegkart</v>
      </c>
      <c r="B3855">
        <v>1022578010</v>
      </c>
      <c r="C3855">
        <v>49</v>
      </c>
      <c r="D3855" t="s">
        <v>8701</v>
      </c>
      <c r="E3855">
        <v>8917</v>
      </c>
      <c r="F3855" t="s">
        <v>23479</v>
      </c>
      <c r="G3855">
        <v>1</v>
      </c>
      <c r="H3855" t="s">
        <v>12964</v>
      </c>
      <c r="J3855" t="s">
        <v>12741</v>
      </c>
      <c r="K3855" t="s">
        <v>86</v>
      </c>
      <c r="L3855" t="s">
        <v>22</v>
      </c>
      <c r="M3855" t="s">
        <v>12965</v>
      </c>
      <c r="N3855" t="s">
        <v>12966</v>
      </c>
      <c r="O3855" t="s">
        <v>12967</v>
      </c>
      <c r="P3855" s="2" t="s">
        <v>37</v>
      </c>
      <c r="Q3855" t="s">
        <v>1208</v>
      </c>
      <c r="R3855">
        <v>0.18</v>
      </c>
      <c r="S3855">
        <v>31.3</v>
      </c>
      <c r="T3855" t="s">
        <v>12968</v>
      </c>
    </row>
    <row r="3856" spans="1:20" x14ac:dyDescent="0.25">
      <c r="A3856" s="1" t="str">
        <f>HYPERLINK("https://vegkart.atlas.vegvesen.no/#/@109011.7,6478249.5,18/hva:hva%5B0%5D%5Bfilter%5D%5B0%5D%5Boperator%5D=%21%3D&amp;hva%5B0%5D%5Bfilter%5D%5B0%5D%5Btype_id%5D=8917&amp;hva%5B0%5D%5Bfilter%5D%5B0%5D%5Bverdi%5D=&amp;hva%5B0%5D%5Bid%5D=49/når:2025-05-27", "Vegkart")</f>
        <v>Vegkart</v>
      </c>
      <c r="B3856">
        <v>1022828383</v>
      </c>
      <c r="C3856">
        <v>49</v>
      </c>
      <c r="D3856" t="s">
        <v>8701</v>
      </c>
      <c r="E3856">
        <v>8917</v>
      </c>
      <c r="F3856" t="s">
        <v>23479</v>
      </c>
      <c r="G3856">
        <v>1</v>
      </c>
      <c r="H3856" t="s">
        <v>10969</v>
      </c>
      <c r="J3856" t="s">
        <v>12741</v>
      </c>
      <c r="K3856" t="s">
        <v>86</v>
      </c>
      <c r="L3856" t="s">
        <v>370</v>
      </c>
      <c r="M3856" t="s">
        <v>12969</v>
      </c>
      <c r="N3856" t="s">
        <v>12970</v>
      </c>
      <c r="O3856" t="s">
        <v>12971</v>
      </c>
      <c r="P3856" s="2" t="s">
        <v>37</v>
      </c>
      <c r="Q3856" t="s">
        <v>1208</v>
      </c>
      <c r="R3856">
        <v>0.48</v>
      </c>
      <c r="S3856">
        <v>15.45</v>
      </c>
      <c r="T3856" t="s">
        <v>12972</v>
      </c>
    </row>
    <row r="3857" spans="1:20" x14ac:dyDescent="0.25">
      <c r="A3857" s="1" t="str">
        <f>HYPERLINK("https://vegkart.atlas.vegvesen.no/#/@107075.8,6474713.4,18/hva:hva%5B0%5D%5Bfilter%5D%5B0%5D%5Boperator%5D=%21%3D&amp;hva%5B0%5D%5Bfilter%5D%5B0%5D%5Btype_id%5D=8917&amp;hva%5B0%5D%5Bfilter%5D%5B0%5D%5Bverdi%5D=&amp;hva%5B0%5D%5Bid%5D=49/når:2025-05-27", "Vegkart")</f>
        <v>Vegkart</v>
      </c>
      <c r="B3857">
        <v>1022828429</v>
      </c>
      <c r="C3857">
        <v>49</v>
      </c>
      <c r="D3857" t="s">
        <v>8701</v>
      </c>
      <c r="E3857">
        <v>8917</v>
      </c>
      <c r="F3857" t="s">
        <v>23479</v>
      </c>
      <c r="G3857">
        <v>1</v>
      </c>
      <c r="H3857" t="s">
        <v>10969</v>
      </c>
      <c r="J3857" t="s">
        <v>12741</v>
      </c>
      <c r="K3857" t="s">
        <v>86</v>
      </c>
      <c r="L3857" t="s">
        <v>370</v>
      </c>
      <c r="M3857" t="s">
        <v>12973</v>
      </c>
      <c r="N3857" t="s">
        <v>12974</v>
      </c>
      <c r="O3857" t="s">
        <v>12975</v>
      </c>
      <c r="P3857" s="2" t="s">
        <v>165</v>
      </c>
      <c r="Q3857" t="s">
        <v>641</v>
      </c>
      <c r="R3857">
        <v>0.42</v>
      </c>
      <c r="S3857">
        <v>33.58</v>
      </c>
      <c r="T3857" t="s">
        <v>167</v>
      </c>
    </row>
    <row r="3858" spans="1:20" x14ac:dyDescent="0.25">
      <c r="A3858" s="1" t="str">
        <f>HYPERLINK("https://vegkart.atlas.vegvesen.no/#/@110891.0,6476766.8,18/hva:hva%5B0%5D%5Bfilter%5D%5B0%5D%5Boperator%5D=%21%3D&amp;hva%5B0%5D%5Bfilter%5D%5B0%5D%5Btype_id%5D=8917&amp;hva%5B0%5D%5Bfilter%5D%5B0%5D%5Bverdi%5D=&amp;hva%5B0%5D%5Bid%5D=49/når:2025-05-28", "Vegkart")</f>
        <v>Vegkart</v>
      </c>
      <c r="B3858">
        <v>1022962222</v>
      </c>
      <c r="C3858">
        <v>49</v>
      </c>
      <c r="D3858" t="s">
        <v>8701</v>
      </c>
      <c r="E3858">
        <v>8917</v>
      </c>
      <c r="F3858" t="s">
        <v>23479</v>
      </c>
      <c r="G3858">
        <v>1</v>
      </c>
      <c r="H3858" t="s">
        <v>12976</v>
      </c>
      <c r="J3858" t="s">
        <v>12741</v>
      </c>
      <c r="K3858" t="s">
        <v>86</v>
      </c>
      <c r="L3858" t="s">
        <v>22</v>
      </c>
      <c r="M3858" t="s">
        <v>12102</v>
      </c>
      <c r="N3858" t="s">
        <v>12977</v>
      </c>
      <c r="O3858" t="s">
        <v>12978</v>
      </c>
      <c r="P3858" s="2" t="s">
        <v>37</v>
      </c>
      <c r="Q3858" t="s">
        <v>1208</v>
      </c>
      <c r="R3858">
        <v>0.13</v>
      </c>
      <c r="S3858">
        <v>33.869999999999997</v>
      </c>
      <c r="T3858" t="s">
        <v>12979</v>
      </c>
    </row>
    <row r="3859" spans="1:20" x14ac:dyDescent="0.25">
      <c r="A3859" s="1" t="str">
        <f>HYPERLINK("https://vegkart.atlas.vegvesen.no/#/@109829.7,6474745.3,18/hva:hva%5B0%5D%5Bfilter%5D%5B0%5D%5Boperator%5D=%21%3D&amp;hva%5B0%5D%5Bfilter%5D%5B0%5D%5Btype_id%5D=8917&amp;hva%5B0%5D%5Bfilter%5D%5B0%5D%5Bverdi%5D=&amp;hva%5B0%5D%5Bid%5D=49/når:2025-05-29", "Vegkart")</f>
        <v>Vegkart</v>
      </c>
      <c r="B3859">
        <v>1023107663</v>
      </c>
      <c r="C3859">
        <v>49</v>
      </c>
      <c r="D3859" t="s">
        <v>8701</v>
      </c>
      <c r="E3859">
        <v>8917</v>
      </c>
      <c r="F3859" t="s">
        <v>23479</v>
      </c>
      <c r="G3859">
        <v>1</v>
      </c>
      <c r="H3859" t="s">
        <v>12980</v>
      </c>
      <c r="J3859" t="s">
        <v>12741</v>
      </c>
      <c r="K3859" t="s">
        <v>86</v>
      </c>
      <c r="L3859" t="s">
        <v>22</v>
      </c>
      <c r="M3859" t="s">
        <v>12981</v>
      </c>
      <c r="N3859" t="s">
        <v>12982</v>
      </c>
      <c r="O3859" t="s">
        <v>12983</v>
      </c>
      <c r="P3859" s="2" t="s">
        <v>37</v>
      </c>
      <c r="Q3859" t="s">
        <v>1208</v>
      </c>
      <c r="R3859">
        <v>0.28999999999999998</v>
      </c>
      <c r="S3859">
        <v>33.229999999999997</v>
      </c>
      <c r="T3859" t="s">
        <v>12984</v>
      </c>
    </row>
    <row r="3860" spans="1:20" x14ac:dyDescent="0.25">
      <c r="A3860" s="1" t="str">
        <f>HYPERLINK("https://vegkart.atlas.vegvesen.no/#/@109863.0,6474780.2,18/hva:hva%5B0%5D%5Bfilter%5D%5B0%5D%5Boperator%5D=%21%3D&amp;hva%5B0%5D%5Bfilter%5D%5B0%5D%5Btype_id%5D=8917&amp;hva%5B0%5D%5Bfilter%5D%5B0%5D%5Bverdi%5D=&amp;hva%5B0%5D%5Bid%5D=49/når:2025-05-30", "Vegkart")</f>
        <v>Vegkart</v>
      </c>
      <c r="B3860">
        <v>1023140699</v>
      </c>
      <c r="C3860">
        <v>49</v>
      </c>
      <c r="D3860" t="s">
        <v>8701</v>
      </c>
      <c r="E3860">
        <v>8917</v>
      </c>
      <c r="F3860" t="s">
        <v>23479</v>
      </c>
      <c r="G3860">
        <v>1</v>
      </c>
      <c r="H3860" t="s">
        <v>5773</v>
      </c>
      <c r="J3860" t="s">
        <v>12741</v>
      </c>
      <c r="K3860" t="s">
        <v>86</v>
      </c>
      <c r="L3860" t="s">
        <v>22</v>
      </c>
      <c r="M3860" t="s">
        <v>12985</v>
      </c>
      <c r="N3860" t="s">
        <v>12986</v>
      </c>
      <c r="O3860" t="s">
        <v>12987</v>
      </c>
      <c r="P3860" s="2" t="s">
        <v>37</v>
      </c>
      <c r="Q3860" t="s">
        <v>1208</v>
      </c>
      <c r="R3860">
        <v>0.41</v>
      </c>
      <c r="S3860">
        <v>21.54</v>
      </c>
      <c r="T3860" t="s">
        <v>12988</v>
      </c>
    </row>
    <row r="3861" spans="1:20" x14ac:dyDescent="0.25">
      <c r="A3861" s="1" t="str">
        <f>HYPERLINK("https://vegkart.atlas.vegvesen.no/#/@98125.0,6470144.0,18/hva:hva%5B0%5D%5Bfilter%5D%5B0%5D%5Boperator%5D=%21%3D&amp;hva%5B0%5D%5Bfilter%5D%5B0%5D%5Btype_id%5D=8917&amp;hva%5B0%5D%5Bfilter%5D%5B0%5D%5Bverdi%5D=&amp;hva%5B0%5D%5Bid%5D=49/når:2025-06-05", "Vegkart")</f>
        <v>Vegkart</v>
      </c>
      <c r="B3861">
        <v>1023924725</v>
      </c>
      <c r="C3861">
        <v>49</v>
      </c>
      <c r="D3861" t="s">
        <v>8701</v>
      </c>
      <c r="E3861">
        <v>8917</v>
      </c>
      <c r="F3861" t="s">
        <v>23479</v>
      </c>
      <c r="G3861">
        <v>1</v>
      </c>
      <c r="H3861" t="s">
        <v>12989</v>
      </c>
      <c r="J3861" t="s">
        <v>12741</v>
      </c>
      <c r="K3861" t="s">
        <v>86</v>
      </c>
      <c r="L3861" t="s">
        <v>22</v>
      </c>
      <c r="M3861" t="s">
        <v>12952</v>
      </c>
      <c r="N3861" t="s">
        <v>12990</v>
      </c>
      <c r="O3861" t="s">
        <v>12991</v>
      </c>
      <c r="P3861" s="2" t="s">
        <v>37</v>
      </c>
      <c r="Q3861" t="s">
        <v>1208</v>
      </c>
      <c r="R3861">
        <v>0.45</v>
      </c>
      <c r="S3861">
        <v>23.55</v>
      </c>
      <c r="T3861" t="s">
        <v>12992</v>
      </c>
    </row>
    <row r="3862" spans="1:20" x14ac:dyDescent="0.25">
      <c r="A3862" s="1" t="str">
        <f>HYPERLINK("https://vegkart.atlas.vegvesen.no/#/@98117.7,6470137.3,18/hva:hva%5B0%5D%5Bfilter%5D%5B0%5D%5Boperator%5D=%21%3D&amp;hva%5B0%5D%5Bfilter%5D%5B0%5D%5Btype_id%5D=8917&amp;hva%5B0%5D%5Bfilter%5D%5B0%5D%5Bverdi%5D=&amp;hva%5B0%5D%5Bid%5D=49/når:2025-06-05", "Vegkart")</f>
        <v>Vegkart</v>
      </c>
      <c r="B3862">
        <v>1023924753</v>
      </c>
      <c r="C3862">
        <v>49</v>
      </c>
      <c r="D3862" t="s">
        <v>8701</v>
      </c>
      <c r="E3862">
        <v>8917</v>
      </c>
      <c r="F3862" t="s">
        <v>23479</v>
      </c>
      <c r="G3862">
        <v>1</v>
      </c>
      <c r="H3862" t="s">
        <v>12989</v>
      </c>
      <c r="J3862" t="s">
        <v>12741</v>
      </c>
      <c r="K3862" t="s">
        <v>86</v>
      </c>
      <c r="L3862" t="s">
        <v>22</v>
      </c>
      <c r="M3862" t="s">
        <v>12952</v>
      </c>
      <c r="N3862" t="s">
        <v>12993</v>
      </c>
      <c r="O3862" t="s">
        <v>12994</v>
      </c>
      <c r="P3862" s="2" t="s">
        <v>37</v>
      </c>
      <c r="Q3862" t="s">
        <v>1208</v>
      </c>
      <c r="R3862">
        <v>0.4</v>
      </c>
      <c r="S3862">
        <v>9.09</v>
      </c>
      <c r="T3862" t="s">
        <v>12995</v>
      </c>
    </row>
    <row r="3863" spans="1:20" x14ac:dyDescent="0.25">
      <c r="A3863" s="1" t="str">
        <f>HYPERLINK("https://vegkart.atlas.vegvesen.no/#/@98335.7,6470061.9,18/hva:hva%5B0%5D%5Bfilter%5D%5B0%5D%5Boperator%5D=%21%3D&amp;hva%5B0%5D%5Bfilter%5D%5B0%5D%5Btype_id%5D=8917&amp;hva%5B0%5D%5Bfilter%5D%5B0%5D%5Bverdi%5D=&amp;hva%5B0%5D%5Bid%5D=49/når:2025-06-05", "Vegkart")</f>
        <v>Vegkart</v>
      </c>
      <c r="B3863">
        <v>1023924848</v>
      </c>
      <c r="C3863">
        <v>49</v>
      </c>
      <c r="D3863" t="s">
        <v>8701</v>
      </c>
      <c r="E3863">
        <v>8917</v>
      </c>
      <c r="F3863" t="s">
        <v>23479</v>
      </c>
      <c r="G3863">
        <v>1</v>
      </c>
      <c r="H3863" t="s">
        <v>12989</v>
      </c>
      <c r="J3863" t="s">
        <v>12741</v>
      </c>
      <c r="K3863" t="s">
        <v>86</v>
      </c>
      <c r="L3863" t="s">
        <v>22</v>
      </c>
      <c r="M3863" t="s">
        <v>12952</v>
      </c>
      <c r="N3863" t="s">
        <v>12996</v>
      </c>
      <c r="O3863" t="s">
        <v>12997</v>
      </c>
      <c r="P3863" s="2" t="s">
        <v>37</v>
      </c>
      <c r="Q3863" t="s">
        <v>1208</v>
      </c>
      <c r="R3863">
        <v>0.57999999999999996</v>
      </c>
      <c r="S3863">
        <v>63.38</v>
      </c>
      <c r="T3863" t="s">
        <v>12998</v>
      </c>
    </row>
    <row r="3864" spans="1:20" x14ac:dyDescent="0.25">
      <c r="A3864" s="1" t="str">
        <f>HYPERLINK("https://vegkart.atlas.vegvesen.no/#/@98327.5,6470040.6,18/hva:hva%5B0%5D%5Bfilter%5D%5B0%5D%5Boperator%5D=%21%3D&amp;hva%5B0%5D%5Bfilter%5D%5B0%5D%5Btype_id%5D=8917&amp;hva%5B0%5D%5Bfilter%5D%5B0%5D%5Bverdi%5D=&amp;hva%5B0%5D%5Bid%5D=49/når:2025-06-05", "Vegkart")</f>
        <v>Vegkart</v>
      </c>
      <c r="B3864">
        <v>1023924856</v>
      </c>
      <c r="C3864">
        <v>49</v>
      </c>
      <c r="D3864" t="s">
        <v>8701</v>
      </c>
      <c r="E3864">
        <v>8917</v>
      </c>
      <c r="F3864" t="s">
        <v>23479</v>
      </c>
      <c r="G3864">
        <v>1</v>
      </c>
      <c r="H3864" t="s">
        <v>12989</v>
      </c>
      <c r="J3864" t="s">
        <v>12741</v>
      </c>
      <c r="K3864" t="s">
        <v>86</v>
      </c>
      <c r="L3864" t="s">
        <v>22</v>
      </c>
      <c r="M3864" t="s">
        <v>12952</v>
      </c>
      <c r="N3864" t="s">
        <v>12999</v>
      </c>
      <c r="O3864" t="s">
        <v>13000</v>
      </c>
      <c r="P3864" s="2" t="s">
        <v>37</v>
      </c>
      <c r="Q3864" t="s">
        <v>1208</v>
      </c>
      <c r="R3864">
        <v>0.44</v>
      </c>
      <c r="S3864">
        <v>14.07</v>
      </c>
      <c r="T3864" t="s">
        <v>13001</v>
      </c>
    </row>
    <row r="3865" spans="1:20" x14ac:dyDescent="0.25">
      <c r="A3865" s="1" t="str">
        <f>HYPERLINK("https://vegkart.atlas.vegvesen.no/#/@98324.9,6470033.9,18/hva:hva%5B0%5D%5Bfilter%5D%5B0%5D%5Boperator%5D=%21%3D&amp;hva%5B0%5D%5Bfilter%5D%5B0%5D%5Btype_id%5D=8917&amp;hva%5B0%5D%5Bfilter%5D%5B0%5D%5Bverdi%5D=&amp;hva%5B0%5D%5Bid%5D=49/når:2025-06-05", "Vegkart")</f>
        <v>Vegkart</v>
      </c>
      <c r="B3865">
        <v>1023924867</v>
      </c>
      <c r="C3865">
        <v>49</v>
      </c>
      <c r="D3865" t="s">
        <v>8701</v>
      </c>
      <c r="E3865">
        <v>8917</v>
      </c>
      <c r="F3865" t="s">
        <v>23479</v>
      </c>
      <c r="G3865">
        <v>1</v>
      </c>
      <c r="H3865" t="s">
        <v>12989</v>
      </c>
      <c r="J3865" t="s">
        <v>12741</v>
      </c>
      <c r="K3865" t="s">
        <v>86</v>
      </c>
      <c r="L3865" t="s">
        <v>22</v>
      </c>
      <c r="M3865" t="s">
        <v>12952</v>
      </c>
      <c r="N3865" t="s">
        <v>13002</v>
      </c>
      <c r="O3865" t="s">
        <v>13003</v>
      </c>
      <c r="P3865" s="2" t="s">
        <v>37</v>
      </c>
      <c r="Q3865" t="s">
        <v>1208</v>
      </c>
      <c r="R3865">
        <v>0.19</v>
      </c>
      <c r="S3865">
        <v>7.52</v>
      </c>
      <c r="T3865" t="s">
        <v>13004</v>
      </c>
    </row>
    <row r="3866" spans="1:20" x14ac:dyDescent="0.25">
      <c r="A3866" s="1" t="str">
        <f>HYPERLINK("https://vegkart.atlas.vegvesen.no/#/@98312.5,6470010.7,18/hva:hva%5B0%5D%5Bfilter%5D%5B0%5D%5Boperator%5D=%21%3D&amp;hva%5B0%5D%5Bfilter%5D%5B0%5D%5Btype_id%5D=8917&amp;hva%5B0%5D%5Bfilter%5D%5B0%5D%5Bverdi%5D=&amp;hva%5B0%5D%5Bid%5D=49/når:2025-06-05", "Vegkart")</f>
        <v>Vegkart</v>
      </c>
      <c r="B3866">
        <v>1023924875</v>
      </c>
      <c r="C3866">
        <v>49</v>
      </c>
      <c r="D3866" t="s">
        <v>8701</v>
      </c>
      <c r="E3866">
        <v>8917</v>
      </c>
      <c r="F3866" t="s">
        <v>23479</v>
      </c>
      <c r="G3866">
        <v>1</v>
      </c>
      <c r="H3866" t="s">
        <v>12989</v>
      </c>
      <c r="J3866" t="s">
        <v>12741</v>
      </c>
      <c r="K3866" t="s">
        <v>86</v>
      </c>
      <c r="L3866" t="s">
        <v>22</v>
      </c>
      <c r="M3866" t="s">
        <v>12952</v>
      </c>
      <c r="N3866" t="s">
        <v>13005</v>
      </c>
      <c r="O3866" t="s">
        <v>13006</v>
      </c>
      <c r="P3866" s="2" t="s">
        <v>37</v>
      </c>
      <c r="Q3866" t="s">
        <v>1208</v>
      </c>
      <c r="R3866">
        <v>0.36</v>
      </c>
      <c r="S3866">
        <v>17.2</v>
      </c>
      <c r="T3866" t="s">
        <v>13007</v>
      </c>
    </row>
    <row r="3867" spans="1:20" x14ac:dyDescent="0.25">
      <c r="A3867" s="1" t="str">
        <f>HYPERLINK("https://vegkart.atlas.vegvesen.no/#/@98297.6,6469996.1,18/hva:hva%5B0%5D%5Bfilter%5D%5B0%5D%5Boperator%5D=%21%3D&amp;hva%5B0%5D%5Bfilter%5D%5B0%5D%5Btype_id%5D=8917&amp;hva%5B0%5D%5Bfilter%5D%5B0%5D%5Bverdi%5D=&amp;hva%5B0%5D%5Bid%5D=49/når:2025-06-05", "Vegkart")</f>
        <v>Vegkart</v>
      </c>
      <c r="B3867">
        <v>1023924914</v>
      </c>
      <c r="C3867">
        <v>49</v>
      </c>
      <c r="D3867" t="s">
        <v>8701</v>
      </c>
      <c r="E3867">
        <v>8917</v>
      </c>
      <c r="F3867" t="s">
        <v>23479</v>
      </c>
      <c r="G3867">
        <v>1</v>
      </c>
      <c r="H3867" t="s">
        <v>12989</v>
      </c>
      <c r="J3867" t="s">
        <v>12741</v>
      </c>
      <c r="K3867" t="s">
        <v>86</v>
      </c>
      <c r="L3867" t="s">
        <v>370</v>
      </c>
      <c r="M3867" t="s">
        <v>13008</v>
      </c>
      <c r="N3867" t="s">
        <v>13009</v>
      </c>
      <c r="O3867" t="s">
        <v>13010</v>
      </c>
      <c r="P3867" s="2" t="s">
        <v>37</v>
      </c>
      <c r="Q3867" t="s">
        <v>1208</v>
      </c>
      <c r="R3867">
        <v>0.8</v>
      </c>
      <c r="S3867">
        <v>57.02</v>
      </c>
      <c r="T3867" t="s">
        <v>13011</v>
      </c>
    </row>
    <row r="3868" spans="1:20" x14ac:dyDescent="0.25">
      <c r="A3868" s="1" t="str">
        <f>HYPERLINK("https://vegkart.atlas.vegvesen.no/#/@74172.6,6587661.3,18/hva:hva%5B0%5D%5Bfilter%5D%5B0%5D%5Boperator%5D=%21%3D&amp;hva%5B0%5D%5Bfilter%5D%5B0%5D%5Btype_id%5D=8917&amp;hva%5B0%5D%5Bfilter%5D%5B0%5D%5Bverdi%5D=&amp;hva%5B0%5D%5Bid%5D=49/når:2023-11-01", "Vegkart")</f>
        <v>Vegkart</v>
      </c>
      <c r="B3868">
        <v>1024040477</v>
      </c>
      <c r="C3868">
        <v>49</v>
      </c>
      <c r="D3868" t="s">
        <v>8701</v>
      </c>
      <c r="E3868">
        <v>8917</v>
      </c>
      <c r="F3868" t="s">
        <v>23479</v>
      </c>
      <c r="G3868">
        <v>1</v>
      </c>
      <c r="H3868" t="s">
        <v>6259</v>
      </c>
      <c r="J3868" t="s">
        <v>12741</v>
      </c>
      <c r="K3868" t="s">
        <v>86</v>
      </c>
      <c r="L3868" t="s">
        <v>113</v>
      </c>
      <c r="M3868" t="s">
        <v>667</v>
      </c>
      <c r="N3868" t="s">
        <v>13012</v>
      </c>
      <c r="O3868" t="s">
        <v>13013</v>
      </c>
      <c r="P3868" s="2" t="s">
        <v>37</v>
      </c>
      <c r="Q3868" t="s">
        <v>1208</v>
      </c>
      <c r="R3868">
        <v>0</v>
      </c>
      <c r="S3868">
        <v>32.479999999999997</v>
      </c>
      <c r="T3868" t="s">
        <v>13014</v>
      </c>
    </row>
    <row r="3869" spans="1:20" x14ac:dyDescent="0.25">
      <c r="A3869" s="1" t="str">
        <f>HYPERLINK("https://vegkart.atlas.vegvesen.no/#/@74213.5,6587672.4,18/hva:hva%5B0%5D%5Bfilter%5D%5B0%5D%5Boperator%5D=%21%3D&amp;hva%5B0%5D%5Bfilter%5D%5B0%5D%5Btype_id%5D=8917&amp;hva%5B0%5D%5Bfilter%5D%5B0%5D%5Bverdi%5D=&amp;hva%5B0%5D%5Bid%5D=49/når:2023-11-01", "Vegkart")</f>
        <v>Vegkart</v>
      </c>
      <c r="B3869">
        <v>1024040478</v>
      </c>
      <c r="C3869">
        <v>49</v>
      </c>
      <c r="D3869" t="s">
        <v>8701</v>
      </c>
      <c r="E3869">
        <v>8917</v>
      </c>
      <c r="F3869" t="s">
        <v>23479</v>
      </c>
      <c r="G3869">
        <v>1</v>
      </c>
      <c r="H3869" t="s">
        <v>6259</v>
      </c>
      <c r="J3869" t="s">
        <v>12741</v>
      </c>
      <c r="K3869" t="s">
        <v>86</v>
      </c>
      <c r="L3869" t="s">
        <v>33</v>
      </c>
      <c r="M3869" t="s">
        <v>1485</v>
      </c>
      <c r="N3869" t="s">
        <v>13015</v>
      </c>
      <c r="O3869" t="s">
        <v>13016</v>
      </c>
      <c r="P3869" s="2" t="s">
        <v>37</v>
      </c>
      <c r="Q3869" t="s">
        <v>1208</v>
      </c>
      <c r="R3869">
        <v>0</v>
      </c>
      <c r="S3869">
        <v>13.35</v>
      </c>
      <c r="T3869" t="s">
        <v>13017</v>
      </c>
    </row>
    <row r="3870" spans="1:20" x14ac:dyDescent="0.25">
      <c r="A3870" s="1" t="str">
        <f>HYPERLINK("https://vegkart.atlas.vegvesen.no/#/@74205.5,6587676.4,18/hva:hva%5B0%5D%5Bfilter%5D%5B0%5D%5Boperator%5D=%21%3D&amp;hva%5B0%5D%5Bfilter%5D%5B0%5D%5Btype_id%5D=8917&amp;hva%5B0%5D%5Bfilter%5D%5B0%5D%5Bverdi%5D=&amp;hva%5B0%5D%5Bid%5D=49/når:2023-11-01", "Vegkart")</f>
        <v>Vegkart</v>
      </c>
      <c r="B3870">
        <v>1024040479</v>
      </c>
      <c r="C3870">
        <v>49</v>
      </c>
      <c r="D3870" t="s">
        <v>8701</v>
      </c>
      <c r="E3870">
        <v>8917</v>
      </c>
      <c r="F3870" t="s">
        <v>23479</v>
      </c>
      <c r="G3870">
        <v>1</v>
      </c>
      <c r="H3870" t="s">
        <v>6259</v>
      </c>
      <c r="J3870" t="s">
        <v>12741</v>
      </c>
      <c r="K3870" t="s">
        <v>86</v>
      </c>
      <c r="L3870" t="s">
        <v>33</v>
      </c>
      <c r="M3870" t="s">
        <v>1485</v>
      </c>
      <c r="N3870" t="s">
        <v>13018</v>
      </c>
      <c r="O3870" t="s">
        <v>13019</v>
      </c>
      <c r="P3870" s="2" t="s">
        <v>37</v>
      </c>
      <c r="Q3870" t="s">
        <v>1208</v>
      </c>
      <c r="R3870">
        <v>0</v>
      </c>
      <c r="S3870">
        <v>16.010000000000002</v>
      </c>
      <c r="T3870" t="s">
        <v>13020</v>
      </c>
    </row>
    <row r="3871" spans="1:20" x14ac:dyDescent="0.25">
      <c r="A3871" s="1" t="str">
        <f>HYPERLINK("https://vegkart.atlas.vegvesen.no/#/@74196.0,6587711.3,18/hva:hva%5B0%5D%5Bfilter%5D%5B0%5D%5Boperator%5D=%21%3D&amp;hva%5B0%5D%5Bfilter%5D%5B0%5D%5Btype_id%5D=8917&amp;hva%5B0%5D%5Bfilter%5D%5B0%5D%5Bverdi%5D=&amp;hva%5B0%5D%5Bid%5D=49/når:2023-11-01", "Vegkart")</f>
        <v>Vegkart</v>
      </c>
      <c r="B3871">
        <v>1024040480</v>
      </c>
      <c r="C3871">
        <v>49</v>
      </c>
      <c r="D3871" t="s">
        <v>8701</v>
      </c>
      <c r="E3871">
        <v>8917</v>
      </c>
      <c r="F3871" t="s">
        <v>23479</v>
      </c>
      <c r="G3871">
        <v>1</v>
      </c>
      <c r="H3871" t="s">
        <v>6259</v>
      </c>
      <c r="J3871" t="s">
        <v>12741</v>
      </c>
      <c r="K3871" t="s">
        <v>86</v>
      </c>
      <c r="L3871" t="s">
        <v>113</v>
      </c>
      <c r="M3871" t="s">
        <v>667</v>
      </c>
      <c r="N3871" t="s">
        <v>13021</v>
      </c>
      <c r="O3871" t="s">
        <v>13022</v>
      </c>
      <c r="P3871" s="2" t="s">
        <v>37</v>
      </c>
      <c r="Q3871" t="s">
        <v>1208</v>
      </c>
      <c r="R3871">
        <v>0</v>
      </c>
      <c r="S3871">
        <v>32.5</v>
      </c>
      <c r="T3871" t="s">
        <v>13023</v>
      </c>
    </row>
    <row r="3872" spans="1:20" x14ac:dyDescent="0.25">
      <c r="A3872" s="1" t="str">
        <f>HYPERLINK("https://vegkart.atlas.vegvesen.no/#/@98433.8,6469940.0,18/hva:hva%5B0%5D%5Bfilter%5D%5B0%5D%5Boperator%5D=%21%3D&amp;hva%5B0%5D%5Bfilter%5D%5B0%5D%5Btype_id%5D=8917&amp;hva%5B0%5D%5Bfilter%5D%5B0%5D%5Bverdi%5D=&amp;hva%5B0%5D%5Bid%5D=49/når:2025-06-06", "Vegkart")</f>
        <v>Vegkart</v>
      </c>
      <c r="B3872">
        <v>1024045139</v>
      </c>
      <c r="C3872">
        <v>49</v>
      </c>
      <c r="D3872" t="s">
        <v>8701</v>
      </c>
      <c r="E3872">
        <v>8917</v>
      </c>
      <c r="F3872" t="s">
        <v>23479</v>
      </c>
      <c r="G3872">
        <v>1</v>
      </c>
      <c r="H3872" t="s">
        <v>1659</v>
      </c>
      <c r="J3872" t="s">
        <v>12741</v>
      </c>
      <c r="K3872" t="s">
        <v>86</v>
      </c>
      <c r="L3872" t="s">
        <v>22</v>
      </c>
      <c r="M3872" t="s">
        <v>12952</v>
      </c>
      <c r="N3872" t="s">
        <v>13024</v>
      </c>
      <c r="O3872" t="s">
        <v>13025</v>
      </c>
      <c r="P3872" s="2" t="s">
        <v>37</v>
      </c>
      <c r="Q3872" t="s">
        <v>1208</v>
      </c>
      <c r="R3872">
        <v>1.1399999999999999</v>
      </c>
      <c r="S3872">
        <v>62.6</v>
      </c>
      <c r="T3872" t="s">
        <v>13026</v>
      </c>
    </row>
    <row r="3873" spans="1:20" x14ac:dyDescent="0.25">
      <c r="A3873" s="1" t="str">
        <f>HYPERLINK("https://vegkart.atlas.vegvesen.no/#/@98412.4,6469934.3,18/hva:hva%5B0%5D%5Bfilter%5D%5B0%5D%5Boperator%5D=%21%3D&amp;hva%5B0%5D%5Bfilter%5D%5B0%5D%5Btype_id%5D=8917&amp;hva%5B0%5D%5Bfilter%5D%5B0%5D%5Bverdi%5D=&amp;hva%5B0%5D%5Bid%5D=49/når:2025-06-06", "Vegkart")</f>
        <v>Vegkart</v>
      </c>
      <c r="B3873">
        <v>1024045230</v>
      </c>
      <c r="C3873">
        <v>49</v>
      </c>
      <c r="D3873" t="s">
        <v>8701</v>
      </c>
      <c r="E3873">
        <v>8917</v>
      </c>
      <c r="F3873" t="s">
        <v>23479</v>
      </c>
      <c r="G3873">
        <v>1</v>
      </c>
      <c r="H3873" t="s">
        <v>1659</v>
      </c>
      <c r="J3873" t="s">
        <v>12741</v>
      </c>
      <c r="K3873" t="s">
        <v>86</v>
      </c>
      <c r="L3873" t="s">
        <v>22</v>
      </c>
      <c r="M3873" t="s">
        <v>12952</v>
      </c>
      <c r="N3873" t="s">
        <v>13027</v>
      </c>
      <c r="O3873" t="s">
        <v>13028</v>
      </c>
      <c r="P3873" s="2" t="s">
        <v>37</v>
      </c>
      <c r="Q3873" t="s">
        <v>1208</v>
      </c>
      <c r="R3873">
        <v>0.28999999999999998</v>
      </c>
      <c r="S3873">
        <v>13.38</v>
      </c>
      <c r="T3873" t="s">
        <v>13029</v>
      </c>
    </row>
    <row r="3874" spans="1:20" x14ac:dyDescent="0.25">
      <c r="A3874" s="1" t="str">
        <f>HYPERLINK("https://vegkart.atlas.vegvesen.no/#/@98405.1,6469932.7,18/hva:hva%5B0%5D%5Bfilter%5D%5B0%5D%5Boperator%5D=%21%3D&amp;hva%5B0%5D%5Bfilter%5D%5B0%5D%5Btype_id%5D=8917&amp;hva%5B0%5D%5Bfilter%5D%5B0%5D%5Bverdi%5D=&amp;hva%5B0%5D%5Bid%5D=49/når:2025-06-06", "Vegkart")</f>
        <v>Vegkart</v>
      </c>
      <c r="B3874">
        <v>1024045278</v>
      </c>
      <c r="C3874">
        <v>49</v>
      </c>
      <c r="D3874" t="s">
        <v>8701</v>
      </c>
      <c r="E3874">
        <v>8917</v>
      </c>
      <c r="F3874" t="s">
        <v>23479</v>
      </c>
      <c r="G3874">
        <v>1</v>
      </c>
      <c r="H3874" t="s">
        <v>1659</v>
      </c>
      <c r="J3874" t="s">
        <v>12741</v>
      </c>
      <c r="K3874" t="s">
        <v>86</v>
      </c>
      <c r="L3874" t="s">
        <v>22</v>
      </c>
      <c r="M3874" t="s">
        <v>12952</v>
      </c>
      <c r="N3874" t="s">
        <v>13030</v>
      </c>
      <c r="O3874" t="s">
        <v>13031</v>
      </c>
      <c r="P3874" s="2" t="s">
        <v>37</v>
      </c>
      <c r="Q3874" t="s">
        <v>1208</v>
      </c>
      <c r="R3874">
        <v>0.16</v>
      </c>
      <c r="S3874">
        <v>7.67</v>
      </c>
      <c r="T3874" t="s">
        <v>13032</v>
      </c>
    </row>
    <row r="3875" spans="1:20" x14ac:dyDescent="0.25">
      <c r="A3875" s="1" t="str">
        <f>HYPERLINK("https://vegkart.atlas.vegvesen.no/#/@98432.7,6469917.6,18/hva:hva%5B0%5D%5Bfilter%5D%5B0%5D%5Boperator%5D=%21%3D&amp;hva%5B0%5D%5Bfilter%5D%5B0%5D%5Btype_id%5D=8917&amp;hva%5B0%5D%5Bfilter%5D%5B0%5D%5Bverdi%5D=&amp;hva%5B0%5D%5Bid%5D=49/når:2025-06-06", "Vegkart")</f>
        <v>Vegkart</v>
      </c>
      <c r="B3875">
        <v>1024047207</v>
      </c>
      <c r="C3875">
        <v>49</v>
      </c>
      <c r="D3875" t="s">
        <v>8701</v>
      </c>
      <c r="E3875">
        <v>8917</v>
      </c>
      <c r="F3875" t="s">
        <v>23479</v>
      </c>
      <c r="G3875">
        <v>1</v>
      </c>
      <c r="H3875" t="s">
        <v>1659</v>
      </c>
      <c r="J3875" t="s">
        <v>12741</v>
      </c>
      <c r="K3875" t="s">
        <v>86</v>
      </c>
      <c r="L3875" t="s">
        <v>22</v>
      </c>
      <c r="M3875" t="s">
        <v>12952</v>
      </c>
      <c r="N3875" t="s">
        <v>13033</v>
      </c>
      <c r="O3875" t="s">
        <v>13034</v>
      </c>
      <c r="P3875" s="2" t="s">
        <v>37</v>
      </c>
      <c r="Q3875" t="s">
        <v>1208</v>
      </c>
      <c r="R3875">
        <v>0.56000000000000005</v>
      </c>
      <c r="S3875">
        <v>10.98</v>
      </c>
      <c r="T3875" t="s">
        <v>13035</v>
      </c>
    </row>
    <row r="3876" spans="1:20" x14ac:dyDescent="0.25">
      <c r="A3876" s="1" t="str">
        <f>HYPERLINK("https://vegkart.atlas.vegvesen.no/#/@98432.2,6469909.6,18/hva:hva%5B0%5D%5Bfilter%5D%5B0%5D%5Boperator%5D=%21%3D&amp;hva%5B0%5D%5Bfilter%5D%5B0%5D%5Btype_id%5D=8917&amp;hva%5B0%5D%5Bfilter%5D%5B0%5D%5Bverdi%5D=&amp;hva%5B0%5D%5Bid%5D=49/når:2025-06-06", "Vegkart")</f>
        <v>Vegkart</v>
      </c>
      <c r="B3876">
        <v>1024047210</v>
      </c>
      <c r="C3876">
        <v>49</v>
      </c>
      <c r="D3876" t="s">
        <v>8701</v>
      </c>
      <c r="E3876">
        <v>8917</v>
      </c>
      <c r="F3876" t="s">
        <v>23479</v>
      </c>
      <c r="G3876">
        <v>1</v>
      </c>
      <c r="H3876" t="s">
        <v>1659</v>
      </c>
      <c r="J3876" t="s">
        <v>12741</v>
      </c>
      <c r="K3876" t="s">
        <v>86</v>
      </c>
      <c r="L3876" t="s">
        <v>22</v>
      </c>
      <c r="M3876" t="s">
        <v>12952</v>
      </c>
      <c r="N3876" t="s">
        <v>13036</v>
      </c>
      <c r="O3876" t="s">
        <v>13037</v>
      </c>
      <c r="P3876" s="2" t="s">
        <v>37</v>
      </c>
      <c r="Q3876" t="s">
        <v>1208</v>
      </c>
      <c r="R3876">
        <v>0.51</v>
      </c>
      <c r="S3876">
        <v>13.34</v>
      </c>
      <c r="T3876" t="s">
        <v>13038</v>
      </c>
    </row>
    <row r="3877" spans="1:20" x14ac:dyDescent="0.25">
      <c r="A3877" s="1" t="str">
        <f>HYPERLINK("https://vegkart.atlas.vegvesen.no/#/@98414.9,6469735.8,18/hva:hva%5B0%5D%5Bfilter%5D%5B0%5D%5Boperator%5D=%21%3D&amp;hva%5B0%5D%5Bfilter%5D%5B0%5D%5Btype_id%5D=8917&amp;hva%5B0%5D%5Bfilter%5D%5B0%5D%5Bverdi%5D=&amp;hva%5B0%5D%5Bid%5D=49/når:2025-06-06", "Vegkart")</f>
        <v>Vegkart</v>
      </c>
      <c r="B3877">
        <v>1024047459</v>
      </c>
      <c r="C3877">
        <v>49</v>
      </c>
      <c r="D3877" t="s">
        <v>8701</v>
      </c>
      <c r="E3877">
        <v>8917</v>
      </c>
      <c r="F3877" t="s">
        <v>23479</v>
      </c>
      <c r="G3877">
        <v>1</v>
      </c>
      <c r="H3877" t="s">
        <v>1659</v>
      </c>
      <c r="J3877" t="s">
        <v>12741</v>
      </c>
      <c r="K3877" t="s">
        <v>86</v>
      </c>
      <c r="L3877" t="s">
        <v>22</v>
      </c>
      <c r="M3877" t="s">
        <v>12952</v>
      </c>
      <c r="N3877" t="s">
        <v>13039</v>
      </c>
      <c r="O3877" t="s">
        <v>13040</v>
      </c>
      <c r="P3877" s="2" t="s">
        <v>37</v>
      </c>
      <c r="Q3877" t="s">
        <v>1208</v>
      </c>
      <c r="R3877">
        <v>0.4</v>
      </c>
      <c r="S3877">
        <v>23.47</v>
      </c>
      <c r="T3877" t="s">
        <v>13041</v>
      </c>
    </row>
    <row r="3878" spans="1:20" x14ac:dyDescent="0.25">
      <c r="A3878" s="1" t="str">
        <f>HYPERLINK("https://vegkart.atlas.vegvesen.no/#/@98414.8,6469735.8,18/hva:hva%5B0%5D%5Bfilter%5D%5B0%5D%5Boperator%5D=%21%3D&amp;hva%5B0%5D%5Bfilter%5D%5B0%5D%5Btype_id%5D=8917&amp;hva%5B0%5D%5Bfilter%5D%5B0%5D%5Bverdi%5D=&amp;hva%5B0%5D%5Bid%5D=49/når:2025-06-06", "Vegkart")</f>
        <v>Vegkart</v>
      </c>
      <c r="B3878">
        <v>1024047627</v>
      </c>
      <c r="C3878">
        <v>49</v>
      </c>
      <c r="D3878" t="s">
        <v>8701</v>
      </c>
      <c r="E3878">
        <v>8917</v>
      </c>
      <c r="F3878" t="s">
        <v>23479</v>
      </c>
      <c r="G3878">
        <v>1</v>
      </c>
      <c r="H3878" t="s">
        <v>1659</v>
      </c>
      <c r="J3878" t="s">
        <v>12741</v>
      </c>
      <c r="K3878" t="s">
        <v>86</v>
      </c>
      <c r="L3878" t="s">
        <v>22</v>
      </c>
      <c r="M3878" t="s">
        <v>12952</v>
      </c>
      <c r="N3878" t="s">
        <v>13039</v>
      </c>
      <c r="O3878" t="s">
        <v>13042</v>
      </c>
      <c r="P3878" s="2" t="s">
        <v>37</v>
      </c>
      <c r="Q3878" t="s">
        <v>1208</v>
      </c>
      <c r="R3878">
        <v>0.18</v>
      </c>
      <c r="S3878">
        <v>23.11</v>
      </c>
      <c r="T3878" t="s">
        <v>13043</v>
      </c>
    </row>
    <row r="3879" spans="1:20" x14ac:dyDescent="0.25">
      <c r="A3879" s="1" t="str">
        <f>HYPERLINK("https://vegkart.atlas.vegvesen.no/#/@98406.4,6469712.1,18/hva:hva%5B0%5D%5Bfilter%5D%5B0%5D%5Boperator%5D=%21%3D&amp;hva%5B0%5D%5Bfilter%5D%5B0%5D%5Btype_id%5D=8917&amp;hva%5B0%5D%5Bfilter%5D%5B0%5D%5Bverdi%5D=&amp;hva%5B0%5D%5Bid%5D=49/når:2025-06-06", "Vegkart")</f>
        <v>Vegkart</v>
      </c>
      <c r="B3879">
        <v>1024047728</v>
      </c>
      <c r="C3879">
        <v>49</v>
      </c>
      <c r="D3879" t="s">
        <v>8701</v>
      </c>
      <c r="E3879">
        <v>8917</v>
      </c>
      <c r="F3879" t="s">
        <v>23479</v>
      </c>
      <c r="G3879">
        <v>1</v>
      </c>
      <c r="H3879" t="s">
        <v>1659</v>
      </c>
      <c r="J3879" t="s">
        <v>12741</v>
      </c>
      <c r="K3879" t="s">
        <v>86</v>
      </c>
      <c r="L3879" t="s">
        <v>22</v>
      </c>
      <c r="M3879" t="s">
        <v>12952</v>
      </c>
      <c r="N3879" t="s">
        <v>13044</v>
      </c>
      <c r="O3879" t="s">
        <v>13045</v>
      </c>
      <c r="P3879" s="2" t="s">
        <v>37</v>
      </c>
      <c r="Q3879" t="s">
        <v>1208</v>
      </c>
      <c r="R3879">
        <v>0.82</v>
      </c>
      <c r="S3879">
        <v>85.77</v>
      </c>
      <c r="T3879" t="s">
        <v>13046</v>
      </c>
    </row>
    <row r="3880" spans="1:20" x14ac:dyDescent="0.25">
      <c r="A3880" s="1" t="str">
        <f>HYPERLINK("https://vegkart.atlas.vegvesen.no/#/@98397.6,6469688.5,18/hva:hva%5B0%5D%5Bfilter%5D%5B0%5D%5Boperator%5D=%21%3D&amp;hva%5B0%5D%5Bfilter%5D%5B0%5D%5Btype_id%5D=8917&amp;hva%5B0%5D%5Bfilter%5D%5B0%5D%5Bverdi%5D=&amp;hva%5B0%5D%5Bid%5D=49/når:2025-06-06", "Vegkart")</f>
        <v>Vegkart</v>
      </c>
      <c r="B3880">
        <v>1024047828</v>
      </c>
      <c r="C3880">
        <v>49</v>
      </c>
      <c r="D3880" t="s">
        <v>8701</v>
      </c>
      <c r="E3880">
        <v>8917</v>
      </c>
      <c r="F3880" t="s">
        <v>23479</v>
      </c>
      <c r="G3880">
        <v>1</v>
      </c>
      <c r="H3880" t="s">
        <v>1659</v>
      </c>
      <c r="J3880" t="s">
        <v>12741</v>
      </c>
      <c r="K3880" t="s">
        <v>86</v>
      </c>
      <c r="L3880" t="s">
        <v>22</v>
      </c>
      <c r="M3880" t="s">
        <v>12952</v>
      </c>
      <c r="N3880" t="s">
        <v>13047</v>
      </c>
      <c r="O3880" t="s">
        <v>13048</v>
      </c>
      <c r="P3880" s="2" t="s">
        <v>37</v>
      </c>
      <c r="Q3880" t="s">
        <v>1208</v>
      </c>
      <c r="R3880">
        <v>0.45</v>
      </c>
      <c r="S3880">
        <v>22.79</v>
      </c>
      <c r="T3880" t="s">
        <v>13049</v>
      </c>
    </row>
    <row r="3881" spans="1:20" x14ac:dyDescent="0.25">
      <c r="A3881" s="1" t="str">
        <f>HYPERLINK("https://vegkart.atlas.vegvesen.no/#/@273936.0,7041757.6,18/hva:hva%5B0%5D%5Bfilter%5D%5B0%5D%5Boperator%5D=%21%3D&amp;hva%5B0%5D%5Bfilter%5D%5B0%5D%5Btype_id%5D=8917&amp;hva%5B0%5D%5Bfilter%5D%5B0%5D%5Bverdi%5D=&amp;hva%5B0%5D%5Bid%5D=49/når:2025-06-06", "Vegkart")</f>
        <v>Vegkart</v>
      </c>
      <c r="B3881">
        <v>1024071527</v>
      </c>
      <c r="C3881">
        <v>49</v>
      </c>
      <c r="D3881" t="s">
        <v>8701</v>
      </c>
      <c r="E3881">
        <v>8917</v>
      </c>
      <c r="F3881" t="s">
        <v>23479</v>
      </c>
      <c r="G3881">
        <v>1</v>
      </c>
      <c r="H3881" t="s">
        <v>1659</v>
      </c>
      <c r="J3881" t="s">
        <v>12741</v>
      </c>
      <c r="K3881" t="s">
        <v>192</v>
      </c>
      <c r="L3881" t="s">
        <v>22</v>
      </c>
      <c r="M3881" t="s">
        <v>13050</v>
      </c>
      <c r="N3881" t="s">
        <v>13051</v>
      </c>
      <c r="O3881" t="s">
        <v>13052</v>
      </c>
      <c r="P3881" s="2" t="s">
        <v>165</v>
      </c>
      <c r="Q3881" t="s">
        <v>641</v>
      </c>
      <c r="R3881">
        <v>0</v>
      </c>
      <c r="S3881">
        <v>38.5</v>
      </c>
      <c r="T3881" t="s">
        <v>167</v>
      </c>
    </row>
    <row r="3882" spans="1:20" x14ac:dyDescent="0.25">
      <c r="A3882" s="1" t="str">
        <f>HYPERLINK("https://vegkart.atlas.vegvesen.no/#/@98429.0,6469710.0,18/hva:hva%5B0%5D%5Bfilter%5D%5B0%5D%5Boperator%5D=%21%3D&amp;hva%5B0%5D%5Bfilter%5D%5B0%5D%5Btype_id%5D=8917&amp;hva%5B0%5D%5Bfilter%5D%5B0%5D%5Bverdi%5D=&amp;hva%5B0%5D%5Bid%5D=49/når:2025-06-09", "Vegkart")</f>
        <v>Vegkart</v>
      </c>
      <c r="B3882">
        <v>1024456545</v>
      </c>
      <c r="C3882">
        <v>49</v>
      </c>
      <c r="D3882" t="s">
        <v>8701</v>
      </c>
      <c r="E3882">
        <v>8917</v>
      </c>
      <c r="F3882" t="s">
        <v>23479</v>
      </c>
      <c r="G3882">
        <v>1</v>
      </c>
      <c r="H3882" t="s">
        <v>13053</v>
      </c>
      <c r="J3882" t="s">
        <v>12741</v>
      </c>
      <c r="K3882" t="s">
        <v>86</v>
      </c>
      <c r="L3882" t="s">
        <v>22</v>
      </c>
      <c r="M3882" t="s">
        <v>12952</v>
      </c>
      <c r="N3882" t="s">
        <v>13054</v>
      </c>
      <c r="O3882" t="s">
        <v>13055</v>
      </c>
      <c r="P3882" s="2" t="s">
        <v>37</v>
      </c>
      <c r="Q3882" t="s">
        <v>1208</v>
      </c>
      <c r="R3882">
        <v>0.75</v>
      </c>
      <c r="S3882">
        <v>15.33</v>
      </c>
      <c r="T3882" t="s">
        <v>13056</v>
      </c>
    </row>
    <row r="3883" spans="1:20" x14ac:dyDescent="0.25">
      <c r="A3883" s="1" t="str">
        <f>HYPERLINK("https://vegkart.atlas.vegvesen.no/#/@98437.7,6469709.4,18/hva:hva%5B0%5D%5Bfilter%5D%5B0%5D%5Boperator%5D=%21%3D&amp;hva%5B0%5D%5Bfilter%5D%5B0%5D%5Btype_id%5D=8917&amp;hva%5B0%5D%5Bfilter%5D%5B0%5D%5Bverdi%5D=&amp;hva%5B0%5D%5Bid%5D=49/når:2025-06-09", "Vegkart")</f>
        <v>Vegkart</v>
      </c>
      <c r="B3883">
        <v>1024456547</v>
      </c>
      <c r="C3883">
        <v>49</v>
      </c>
      <c r="D3883" t="s">
        <v>8701</v>
      </c>
      <c r="E3883">
        <v>8917</v>
      </c>
      <c r="F3883" t="s">
        <v>23479</v>
      </c>
      <c r="G3883">
        <v>1</v>
      </c>
      <c r="H3883" t="s">
        <v>13053</v>
      </c>
      <c r="J3883" t="s">
        <v>12741</v>
      </c>
      <c r="K3883" t="s">
        <v>86</v>
      </c>
      <c r="L3883" t="s">
        <v>22</v>
      </c>
      <c r="M3883" t="s">
        <v>12952</v>
      </c>
      <c r="N3883" t="s">
        <v>13057</v>
      </c>
      <c r="O3883" t="s">
        <v>13058</v>
      </c>
      <c r="P3883" s="2" t="s">
        <v>37</v>
      </c>
      <c r="Q3883" t="s">
        <v>1208</v>
      </c>
      <c r="R3883">
        <v>0.67</v>
      </c>
      <c r="S3883">
        <v>16.09</v>
      </c>
      <c r="T3883" t="s">
        <v>13059</v>
      </c>
    </row>
    <row r="3884" spans="1:20" x14ac:dyDescent="0.25">
      <c r="A3884" s="1" t="str">
        <f>HYPERLINK("https://vegkart.atlas.vegvesen.no/#/@98460.9,6469944.4,18/hva:hva%5B0%5D%5Bfilter%5D%5B0%5D%5Boperator%5D=%21%3D&amp;hva%5B0%5D%5Bfilter%5D%5B0%5D%5Btype_id%5D=8917&amp;hva%5B0%5D%5Bfilter%5D%5B0%5D%5Bverdi%5D=&amp;hva%5B0%5D%5Bid%5D=49/når:2025-06-09", "Vegkart")</f>
        <v>Vegkart</v>
      </c>
      <c r="B3884">
        <v>1024456593</v>
      </c>
      <c r="C3884">
        <v>49</v>
      </c>
      <c r="D3884" t="s">
        <v>8701</v>
      </c>
      <c r="E3884">
        <v>8917</v>
      </c>
      <c r="F3884" t="s">
        <v>23479</v>
      </c>
      <c r="G3884">
        <v>1</v>
      </c>
      <c r="H3884" t="s">
        <v>13053</v>
      </c>
      <c r="J3884" t="s">
        <v>12741</v>
      </c>
      <c r="K3884" t="s">
        <v>86</v>
      </c>
      <c r="L3884" t="s">
        <v>22</v>
      </c>
      <c r="M3884" t="s">
        <v>13060</v>
      </c>
      <c r="N3884" t="s">
        <v>13061</v>
      </c>
      <c r="O3884" t="s">
        <v>13062</v>
      </c>
      <c r="P3884" s="2" t="s">
        <v>37</v>
      </c>
      <c r="Q3884" t="s">
        <v>1208</v>
      </c>
      <c r="R3884">
        <v>1.2</v>
      </c>
      <c r="S3884">
        <v>33.24</v>
      </c>
      <c r="T3884" t="s">
        <v>13063</v>
      </c>
    </row>
    <row r="3885" spans="1:20" x14ac:dyDescent="0.25">
      <c r="A3885" s="1" t="str">
        <f>HYPERLINK("https://vegkart.atlas.vegvesen.no/#/@-34612.7,6730070.7,18/hva:hva%5B0%5D%5Bfilter%5D%5B0%5D%5Boperator%5D=%21%3D&amp;hva%5B0%5D%5Bfilter%5D%5B0%5D%5Btype_id%5D=8917&amp;hva%5B0%5D%5Bfilter%5D%5B0%5D%5Bverdi%5D=&amp;hva%5B0%5D%5Bid%5D=49/når:2025-07-08", "Vegkart")</f>
        <v>Vegkart</v>
      </c>
      <c r="B3885">
        <v>1024573981</v>
      </c>
      <c r="C3885">
        <v>49</v>
      </c>
      <c r="D3885" t="s">
        <v>8701</v>
      </c>
      <c r="E3885">
        <v>8917</v>
      </c>
      <c r="F3885" t="s">
        <v>23479</v>
      </c>
      <c r="G3885">
        <v>1</v>
      </c>
      <c r="H3885" t="s">
        <v>2916</v>
      </c>
      <c r="J3885" t="s">
        <v>12741</v>
      </c>
      <c r="K3885" t="s">
        <v>21</v>
      </c>
      <c r="L3885" t="s">
        <v>33</v>
      </c>
      <c r="M3885" t="s">
        <v>558</v>
      </c>
      <c r="N3885" t="s">
        <v>13064</v>
      </c>
      <c r="O3885" t="s">
        <v>13065</v>
      </c>
      <c r="P3885" s="2" t="s">
        <v>37</v>
      </c>
      <c r="Q3885" t="s">
        <v>1208</v>
      </c>
      <c r="R3885">
        <v>0.02</v>
      </c>
      <c r="S3885">
        <v>106.48</v>
      </c>
      <c r="T3885" t="s">
        <v>13066</v>
      </c>
    </row>
    <row r="3886" spans="1:20" x14ac:dyDescent="0.25">
      <c r="A3886" s="1" t="str">
        <f>HYPERLINK("https://vegkart.atlas.vegvesen.no/#/@-34525.1,6730205.6,18/hva:hva%5B0%5D%5Bfilter%5D%5B0%5D%5Boperator%5D=%21%3D&amp;hva%5B0%5D%5Bfilter%5D%5B0%5D%5Btype_id%5D=8917&amp;hva%5B0%5D%5Bfilter%5D%5B0%5D%5Bverdi%5D=&amp;hva%5B0%5D%5Bid%5D=49/når:2025-07-08", "Vegkart")</f>
        <v>Vegkart</v>
      </c>
      <c r="B3886">
        <v>1024574976</v>
      </c>
      <c r="C3886">
        <v>49</v>
      </c>
      <c r="D3886" t="s">
        <v>8701</v>
      </c>
      <c r="E3886">
        <v>8917</v>
      </c>
      <c r="F3886" t="s">
        <v>23479</v>
      </c>
      <c r="G3886">
        <v>1</v>
      </c>
      <c r="H3886" t="s">
        <v>2916</v>
      </c>
      <c r="J3886" t="s">
        <v>12741</v>
      </c>
      <c r="K3886" t="s">
        <v>21</v>
      </c>
      <c r="L3886" t="s">
        <v>33</v>
      </c>
      <c r="M3886" t="s">
        <v>558</v>
      </c>
      <c r="N3886" t="s">
        <v>13067</v>
      </c>
      <c r="O3886" t="s">
        <v>13068</v>
      </c>
      <c r="P3886" s="2" t="s">
        <v>37</v>
      </c>
      <c r="Q3886" t="s">
        <v>1208</v>
      </c>
      <c r="R3886">
        <v>7.0000000000000007E-2</v>
      </c>
      <c r="S3886">
        <v>60.91</v>
      </c>
      <c r="T3886" t="s">
        <v>13069</v>
      </c>
    </row>
    <row r="3887" spans="1:20" x14ac:dyDescent="0.25">
      <c r="A3887" s="1" t="str">
        <f>HYPERLINK("https://vegkart.atlas.vegvesen.no/#/@-34381.1,6730393.7,18/hva:hva%5B0%5D%5Bfilter%5D%5B0%5D%5Boperator%5D=%21%3D&amp;hva%5B0%5D%5Bfilter%5D%5B0%5D%5Btype_id%5D=8917&amp;hva%5B0%5D%5Bfilter%5D%5B0%5D%5Bverdi%5D=&amp;hva%5B0%5D%5Bid%5D=49/når:2025-07-08", "Vegkart")</f>
        <v>Vegkart</v>
      </c>
      <c r="B3887">
        <v>1024575250</v>
      </c>
      <c r="C3887">
        <v>49</v>
      </c>
      <c r="D3887" t="s">
        <v>8701</v>
      </c>
      <c r="E3887">
        <v>8917</v>
      </c>
      <c r="F3887" t="s">
        <v>23479</v>
      </c>
      <c r="G3887">
        <v>1</v>
      </c>
      <c r="H3887" t="s">
        <v>2916</v>
      </c>
      <c r="J3887" t="s">
        <v>12741</v>
      </c>
      <c r="K3887" t="s">
        <v>21</v>
      </c>
      <c r="L3887" t="s">
        <v>33</v>
      </c>
      <c r="M3887" t="s">
        <v>558</v>
      </c>
      <c r="N3887" t="s">
        <v>13070</v>
      </c>
      <c r="O3887" t="s">
        <v>13071</v>
      </c>
      <c r="P3887" s="2" t="s">
        <v>37</v>
      </c>
      <c r="Q3887" t="s">
        <v>1208</v>
      </c>
      <c r="R3887">
        <v>0.02</v>
      </c>
      <c r="S3887">
        <v>11.1</v>
      </c>
      <c r="T3887" t="s">
        <v>13072</v>
      </c>
    </row>
    <row r="3888" spans="1:20" x14ac:dyDescent="0.25">
      <c r="A3888" s="1" t="str">
        <f>HYPERLINK("https://vegkart.atlas.vegvesen.no/#/@-34234.2,6730632.1,18/hva:hva%5B0%5D%5Bfilter%5D%5B0%5D%5Boperator%5D=%21%3D&amp;hva%5B0%5D%5Bfilter%5D%5B0%5D%5Btype_id%5D=8917&amp;hva%5B0%5D%5Bfilter%5D%5B0%5D%5Bverdi%5D=&amp;hva%5B0%5D%5Bid%5D=49/når:2025-07-09", "Vegkart")</f>
        <v>Vegkart</v>
      </c>
      <c r="B3888">
        <v>1024578672</v>
      </c>
      <c r="C3888">
        <v>49</v>
      </c>
      <c r="D3888" t="s">
        <v>8701</v>
      </c>
      <c r="E3888">
        <v>8917</v>
      </c>
      <c r="F3888" t="s">
        <v>23479</v>
      </c>
      <c r="G3888">
        <v>1</v>
      </c>
      <c r="H3888" t="s">
        <v>5782</v>
      </c>
      <c r="J3888" t="s">
        <v>12741</v>
      </c>
      <c r="K3888" t="s">
        <v>21</v>
      </c>
      <c r="L3888" t="s">
        <v>33</v>
      </c>
      <c r="M3888" t="s">
        <v>13073</v>
      </c>
      <c r="N3888" t="s">
        <v>13074</v>
      </c>
      <c r="O3888" t="s">
        <v>13075</v>
      </c>
      <c r="P3888" s="2" t="s">
        <v>37</v>
      </c>
      <c r="Q3888" t="s">
        <v>1208</v>
      </c>
      <c r="R3888">
        <v>0.03</v>
      </c>
      <c r="S3888">
        <v>13.33</v>
      </c>
      <c r="T3888" t="s">
        <v>13076</v>
      </c>
    </row>
    <row r="3889" spans="1:20" x14ac:dyDescent="0.25">
      <c r="A3889" s="1" t="str">
        <f>HYPERLINK("https://vegkart.atlas.vegvesen.no/#/@302973.7,6792190.5,18/hva:hva%5B0%5D%5Bfilter%5D%5B0%5D%5Boperator%5D=%21%3D&amp;hva%5B0%5D%5Bfilter%5D%5B0%5D%5Btype_id%5D=8917&amp;hva%5B0%5D%5Bfilter%5D%5B0%5D%5Bverdi%5D=&amp;hva%5B0%5D%5Bid%5D=49/når:2025-09-15", "Vegkart")</f>
        <v>Vegkart</v>
      </c>
      <c r="B3889">
        <v>1025245567</v>
      </c>
      <c r="C3889">
        <v>49</v>
      </c>
      <c r="D3889" t="s">
        <v>8701</v>
      </c>
      <c r="E3889">
        <v>8917</v>
      </c>
      <c r="F3889" t="s">
        <v>23479</v>
      </c>
      <c r="G3889">
        <v>1</v>
      </c>
      <c r="H3889" t="s">
        <v>13077</v>
      </c>
      <c r="J3889" t="s">
        <v>12741</v>
      </c>
      <c r="K3889" t="s">
        <v>136</v>
      </c>
      <c r="L3889" t="s">
        <v>113</v>
      </c>
      <c r="M3889" t="s">
        <v>335</v>
      </c>
      <c r="N3889" t="s">
        <v>13078</v>
      </c>
      <c r="O3889" t="s">
        <v>13079</v>
      </c>
      <c r="P3889" s="2" t="s">
        <v>37</v>
      </c>
      <c r="Q3889" t="s">
        <v>1208</v>
      </c>
      <c r="R3889">
        <v>0</v>
      </c>
      <c r="S3889">
        <v>27.94</v>
      </c>
      <c r="T3889" t="s">
        <v>13080</v>
      </c>
    </row>
    <row r="3890" spans="1:20" x14ac:dyDescent="0.25">
      <c r="A3890" s="1" t="str">
        <f>HYPERLINK("https://vegkart.atlas.vegvesen.no/#/@94087.3,6466558.3,18/hva:hva%5B0%5D%5Bfilter%5D%5B0%5D%5Boperator%5D=%21%3D&amp;hva%5B0%5D%5Bfilter%5D%5B0%5D%5Btype_id%5D=8917&amp;hva%5B0%5D%5Bfilter%5D%5B0%5D%5Bverdi%5D=&amp;hva%5B0%5D%5Bid%5D=49/når:2025-09-18", "Vegkart")</f>
        <v>Vegkart</v>
      </c>
      <c r="B3890">
        <v>1025269748</v>
      </c>
      <c r="C3890">
        <v>49</v>
      </c>
      <c r="D3890" t="s">
        <v>8701</v>
      </c>
      <c r="E3890">
        <v>8917</v>
      </c>
      <c r="F3890" t="s">
        <v>23479</v>
      </c>
      <c r="G3890">
        <v>1</v>
      </c>
      <c r="H3890" t="s">
        <v>2450</v>
      </c>
      <c r="J3890" t="s">
        <v>12741</v>
      </c>
      <c r="K3890" t="s">
        <v>86</v>
      </c>
      <c r="L3890" t="s">
        <v>33</v>
      </c>
      <c r="M3890" t="s">
        <v>7560</v>
      </c>
      <c r="N3890" t="s">
        <v>13081</v>
      </c>
      <c r="O3890" t="s">
        <v>13082</v>
      </c>
      <c r="P3890" s="2" t="s">
        <v>37</v>
      </c>
      <c r="Q3890" t="s">
        <v>1208</v>
      </c>
      <c r="R3890">
        <v>0</v>
      </c>
      <c r="S3890">
        <v>91.93</v>
      </c>
      <c r="T3890" t="s">
        <v>13083</v>
      </c>
    </row>
    <row r="3891" spans="1:20" x14ac:dyDescent="0.25">
      <c r="A3891" s="1" t="str">
        <f>HYPERLINK("https://vegkart.atlas.vegvesen.no/#/@94009.9,6466646.8,18/hva:hva%5B0%5D%5Bfilter%5D%5B0%5D%5Boperator%5D=%21%3D&amp;hva%5B0%5D%5Bfilter%5D%5B0%5D%5Btype_id%5D=8917&amp;hva%5B0%5D%5Bfilter%5D%5B0%5D%5Bverdi%5D=&amp;hva%5B0%5D%5Bid%5D=49/når:2025-09-18", "Vegkart")</f>
        <v>Vegkart</v>
      </c>
      <c r="B3891">
        <v>1025269749</v>
      </c>
      <c r="C3891">
        <v>49</v>
      </c>
      <c r="D3891" t="s">
        <v>8701</v>
      </c>
      <c r="E3891">
        <v>8917</v>
      </c>
      <c r="F3891" t="s">
        <v>23479</v>
      </c>
      <c r="G3891">
        <v>1</v>
      </c>
      <c r="H3891" t="s">
        <v>2450</v>
      </c>
      <c r="J3891" t="s">
        <v>12741</v>
      </c>
      <c r="K3891" t="s">
        <v>86</v>
      </c>
      <c r="L3891" t="s">
        <v>33</v>
      </c>
      <c r="M3891" t="s">
        <v>7560</v>
      </c>
      <c r="N3891" t="s">
        <v>13084</v>
      </c>
      <c r="O3891" t="s">
        <v>13085</v>
      </c>
      <c r="P3891" s="2" t="s">
        <v>37</v>
      </c>
      <c r="Q3891" t="s">
        <v>1208</v>
      </c>
      <c r="R3891">
        <v>0</v>
      </c>
      <c r="S3891">
        <v>7.07</v>
      </c>
      <c r="T3891" t="s">
        <v>13086</v>
      </c>
    </row>
    <row r="3892" spans="1:20" x14ac:dyDescent="0.25">
      <c r="A3892" s="1" t="str">
        <f>HYPERLINK("https://vegkart.atlas.vegvesen.no/#/@94006.5,6466650.4,18/hva:hva%5B0%5D%5Bfilter%5D%5B0%5D%5Boperator%5D=%21%3D&amp;hva%5B0%5D%5Bfilter%5D%5B0%5D%5Btype_id%5D=8917&amp;hva%5B0%5D%5Bfilter%5D%5B0%5D%5Bverdi%5D=&amp;hva%5B0%5D%5Bid%5D=49/når:2025-09-18", "Vegkart")</f>
        <v>Vegkart</v>
      </c>
      <c r="B3892">
        <v>1025269750</v>
      </c>
      <c r="C3892">
        <v>49</v>
      </c>
      <c r="D3892" t="s">
        <v>8701</v>
      </c>
      <c r="E3892">
        <v>8917</v>
      </c>
      <c r="F3892" t="s">
        <v>23479</v>
      </c>
      <c r="G3892">
        <v>1</v>
      </c>
      <c r="H3892" t="s">
        <v>2450</v>
      </c>
      <c r="J3892" t="s">
        <v>12741</v>
      </c>
      <c r="K3892" t="s">
        <v>86</v>
      </c>
      <c r="L3892" t="s">
        <v>33</v>
      </c>
      <c r="M3892" t="s">
        <v>7560</v>
      </c>
      <c r="N3892" t="s">
        <v>13087</v>
      </c>
      <c r="O3892" t="s">
        <v>13088</v>
      </c>
      <c r="P3892" s="2" t="s">
        <v>37</v>
      </c>
      <c r="Q3892" t="s">
        <v>1208</v>
      </c>
      <c r="R3892">
        <v>0</v>
      </c>
      <c r="S3892">
        <v>7</v>
      </c>
      <c r="T3892" t="s">
        <v>13089</v>
      </c>
    </row>
    <row r="3893" spans="1:20" x14ac:dyDescent="0.25">
      <c r="A3893" s="1" t="str">
        <f>HYPERLINK("https://vegkart.atlas.vegvesen.no/#/@94124.1,6466512.4,18/hva:hva%5B0%5D%5Bfilter%5D%5B0%5D%5Boperator%5D=%21%3D&amp;hva%5B0%5D%5Bfilter%5D%5B0%5D%5Btype_id%5D=8917&amp;hva%5B0%5D%5Bfilter%5D%5B0%5D%5Bverdi%5D=&amp;hva%5B0%5D%5Bid%5D=49/når:2025-09-18", "Vegkart")</f>
        <v>Vegkart</v>
      </c>
      <c r="B3893">
        <v>1025269751</v>
      </c>
      <c r="C3893">
        <v>49</v>
      </c>
      <c r="D3893" t="s">
        <v>8701</v>
      </c>
      <c r="E3893">
        <v>8917</v>
      </c>
      <c r="F3893" t="s">
        <v>23479</v>
      </c>
      <c r="G3893">
        <v>1</v>
      </c>
      <c r="H3893" t="s">
        <v>2450</v>
      </c>
      <c r="J3893" t="s">
        <v>12741</v>
      </c>
      <c r="K3893" t="s">
        <v>86</v>
      </c>
      <c r="L3893" t="s">
        <v>33</v>
      </c>
      <c r="M3893" t="s">
        <v>7560</v>
      </c>
      <c r="N3893" t="s">
        <v>13090</v>
      </c>
      <c r="O3893" t="s">
        <v>13091</v>
      </c>
      <c r="P3893" s="2" t="s">
        <v>37</v>
      </c>
      <c r="Q3893" t="s">
        <v>1208</v>
      </c>
      <c r="R3893">
        <v>0</v>
      </c>
      <c r="S3893">
        <v>81.66</v>
      </c>
      <c r="T3893" t="s">
        <v>13092</v>
      </c>
    </row>
    <row r="3894" spans="1:20" x14ac:dyDescent="0.25">
      <c r="A3894" s="1" t="str">
        <f>HYPERLINK("https://vegkart.atlas.vegvesen.no/#/@-31249.7,6729378.4,18/hva:hva%5B0%5D%5Bfilter%5D%5B0%5D%5Boperator%5D=%21%3D&amp;hva%5B0%5D%5Bfilter%5D%5B0%5D%5Btype_id%5D=8917&amp;hva%5B0%5D%5Bfilter%5D%5B0%5D%5Bverdi%5D=&amp;hva%5B0%5D%5Bid%5D=49/når:2025-09-26", "Vegkart")</f>
        <v>Vegkart</v>
      </c>
      <c r="B3894">
        <v>1025293767</v>
      </c>
      <c r="C3894">
        <v>49</v>
      </c>
      <c r="D3894" t="s">
        <v>8701</v>
      </c>
      <c r="E3894">
        <v>8917</v>
      </c>
      <c r="F3894" t="s">
        <v>23479</v>
      </c>
      <c r="G3894">
        <v>1</v>
      </c>
      <c r="H3894" t="s">
        <v>13093</v>
      </c>
      <c r="J3894" t="s">
        <v>12741</v>
      </c>
      <c r="K3894" t="s">
        <v>21</v>
      </c>
      <c r="L3894" t="s">
        <v>33</v>
      </c>
      <c r="M3894" t="s">
        <v>12118</v>
      </c>
      <c r="N3894" t="s">
        <v>13094</v>
      </c>
      <c r="O3894" t="s">
        <v>13095</v>
      </c>
      <c r="P3894" s="2" t="s">
        <v>37</v>
      </c>
      <c r="Q3894" t="s">
        <v>1208</v>
      </c>
      <c r="R3894">
        <v>0.2</v>
      </c>
      <c r="S3894">
        <v>12.34</v>
      </c>
      <c r="T3894" t="s">
        <v>13096</v>
      </c>
    </row>
    <row r="3895" spans="1:20" x14ac:dyDescent="0.25">
      <c r="A3895" s="1" t="str">
        <f>HYPERLINK("https://vegkart.atlas.vegvesen.no/#/@-31258.6,6729378.8,18/hva:hva%5B0%5D%5Bfilter%5D%5B0%5D%5Boperator%5D=%21%3D&amp;hva%5B0%5D%5Bfilter%5D%5B0%5D%5Btype_id%5D=8917&amp;hva%5B0%5D%5Bfilter%5D%5B0%5D%5Bverdi%5D=&amp;hva%5B0%5D%5Bid%5D=49/når:2025-09-26", "Vegkart")</f>
        <v>Vegkart</v>
      </c>
      <c r="B3895">
        <v>1025293768</v>
      </c>
      <c r="C3895">
        <v>49</v>
      </c>
      <c r="D3895" t="s">
        <v>8701</v>
      </c>
      <c r="E3895">
        <v>8917</v>
      </c>
      <c r="F3895" t="s">
        <v>23479</v>
      </c>
      <c r="G3895">
        <v>1</v>
      </c>
      <c r="H3895" t="s">
        <v>13093</v>
      </c>
      <c r="J3895" t="s">
        <v>12741</v>
      </c>
      <c r="K3895" t="s">
        <v>21</v>
      </c>
      <c r="L3895" t="s">
        <v>33</v>
      </c>
      <c r="M3895" t="s">
        <v>12118</v>
      </c>
      <c r="N3895" t="s">
        <v>13097</v>
      </c>
      <c r="O3895" t="s">
        <v>13098</v>
      </c>
      <c r="P3895" s="2" t="s">
        <v>37</v>
      </c>
      <c r="Q3895" t="s">
        <v>1208</v>
      </c>
      <c r="R3895">
        <v>0.46</v>
      </c>
      <c r="S3895">
        <v>11.75</v>
      </c>
      <c r="T3895" t="s">
        <v>13099</v>
      </c>
    </row>
    <row r="3896" spans="1:20" x14ac:dyDescent="0.25">
      <c r="A3896" s="1" t="str">
        <f>HYPERLINK("https://vegkart.atlas.vegvesen.no/#/@195814.7,6562751.2,18/hva:hva%5B0%5D%5Bfilter%5D%5B0%5D%5Boperator%5D=%21%3D&amp;hva%5B0%5D%5Bfilter%5D%5B0%5D%5Btype_id%5D=8917&amp;hva%5B0%5D%5Bfilter%5D%5B0%5D%5Bverdi%5D=&amp;hva%5B0%5D%5Bid%5D=49/når:2025-10-01", "Vegkart")</f>
        <v>Vegkart</v>
      </c>
      <c r="B3896">
        <v>1025316148</v>
      </c>
      <c r="C3896">
        <v>49</v>
      </c>
      <c r="D3896" t="s">
        <v>8701</v>
      </c>
      <c r="E3896">
        <v>8917</v>
      </c>
      <c r="F3896" t="s">
        <v>23479</v>
      </c>
      <c r="G3896">
        <v>1</v>
      </c>
      <c r="H3896" t="s">
        <v>6247</v>
      </c>
      <c r="J3896" t="s">
        <v>12741</v>
      </c>
      <c r="K3896" t="s">
        <v>197</v>
      </c>
      <c r="L3896" t="s">
        <v>33</v>
      </c>
      <c r="M3896" t="s">
        <v>2012</v>
      </c>
      <c r="N3896" t="s">
        <v>13100</v>
      </c>
      <c r="O3896" t="s">
        <v>13101</v>
      </c>
      <c r="P3896" s="2" t="s">
        <v>37</v>
      </c>
      <c r="Q3896" t="s">
        <v>1208</v>
      </c>
      <c r="R3896">
        <v>0.1</v>
      </c>
      <c r="S3896">
        <v>5.96</v>
      </c>
      <c r="T3896" t="s">
        <v>13102</v>
      </c>
    </row>
    <row r="3897" spans="1:20" x14ac:dyDescent="0.25">
      <c r="A3897" s="1" t="str">
        <f>HYPERLINK("https://vegkart.atlas.vegvesen.no/#/@516703.6,7619974.1,18/hva:hva%5B0%5D%5Bfilter%5D%5B0%5D%5Boperator%5D=%21%3D&amp;hva%5B0%5D%5Bfilter%5D%5B0%5D%5Btype_id%5D=8917&amp;hva%5B0%5D%5Bfilter%5D%5B0%5D%5Bverdi%5D=&amp;hva%5B0%5D%5Bid%5D=49/når:2025-10-07", "Vegkart")</f>
        <v>Vegkart</v>
      </c>
      <c r="B3897">
        <v>1025360673</v>
      </c>
      <c r="C3897">
        <v>49</v>
      </c>
      <c r="D3897" t="s">
        <v>8701</v>
      </c>
      <c r="E3897">
        <v>8917</v>
      </c>
      <c r="F3897" t="s">
        <v>23479</v>
      </c>
      <c r="G3897">
        <v>1</v>
      </c>
      <c r="H3897" t="s">
        <v>8806</v>
      </c>
      <c r="J3897" t="s">
        <v>12741</v>
      </c>
      <c r="K3897" t="s">
        <v>53</v>
      </c>
      <c r="L3897" t="s">
        <v>33</v>
      </c>
      <c r="M3897" t="s">
        <v>5735</v>
      </c>
      <c r="N3897" t="s">
        <v>13103</v>
      </c>
      <c r="O3897" t="s">
        <v>13104</v>
      </c>
      <c r="P3897" s="2" t="s">
        <v>37</v>
      </c>
      <c r="Q3897" t="s">
        <v>1208</v>
      </c>
      <c r="R3897">
        <v>0</v>
      </c>
      <c r="S3897">
        <v>29.16</v>
      </c>
      <c r="T3897" t="s">
        <v>13105</v>
      </c>
    </row>
    <row r="3898" spans="1:20" x14ac:dyDescent="0.25">
      <c r="A3898" s="1" t="str">
        <f>HYPERLINK("https://vegkart.atlas.vegvesen.no/#/@516698.9,7619932.2,18/hva:hva%5B0%5D%5Bfilter%5D%5B0%5D%5Boperator%5D=%21%3D&amp;hva%5B0%5D%5Bfilter%5D%5B0%5D%5Btype_id%5D=8917&amp;hva%5B0%5D%5Bfilter%5D%5B0%5D%5Bverdi%5D=&amp;hva%5B0%5D%5Bid%5D=49/når:2025-10-07", "Vegkart")</f>
        <v>Vegkart</v>
      </c>
      <c r="B3898">
        <v>1025360675</v>
      </c>
      <c r="C3898">
        <v>49</v>
      </c>
      <c r="D3898" t="s">
        <v>8701</v>
      </c>
      <c r="E3898">
        <v>8917</v>
      </c>
      <c r="F3898" t="s">
        <v>23479</v>
      </c>
      <c r="G3898">
        <v>1</v>
      </c>
      <c r="H3898" t="s">
        <v>8806</v>
      </c>
      <c r="J3898" t="s">
        <v>12741</v>
      </c>
      <c r="K3898" t="s">
        <v>53</v>
      </c>
      <c r="L3898" t="s">
        <v>33</v>
      </c>
      <c r="M3898" t="s">
        <v>5735</v>
      </c>
      <c r="N3898" t="s">
        <v>13106</v>
      </c>
      <c r="O3898" t="s">
        <v>13107</v>
      </c>
      <c r="P3898" s="2" t="s">
        <v>37</v>
      </c>
      <c r="Q3898" t="s">
        <v>1208</v>
      </c>
      <c r="R3898">
        <v>0</v>
      </c>
      <c r="S3898">
        <v>26.6</v>
      </c>
      <c r="T3898" t="s">
        <v>13108</v>
      </c>
    </row>
    <row r="3899" spans="1:20" x14ac:dyDescent="0.25">
      <c r="A3899" s="1" t="str">
        <f>HYPERLINK("https://vegkart.atlas.vegvesen.no/#/@516717.5,7619964.8,18/hva:hva%5B0%5D%5Bfilter%5D%5B0%5D%5Boperator%5D=%21%3D&amp;hva%5B0%5D%5Bfilter%5D%5B0%5D%5Btype_id%5D=8917&amp;hva%5B0%5D%5Bfilter%5D%5B0%5D%5Bverdi%5D=&amp;hva%5B0%5D%5Bid%5D=49/når:2025-10-07", "Vegkart")</f>
        <v>Vegkart</v>
      </c>
      <c r="B3899">
        <v>1025360677</v>
      </c>
      <c r="C3899">
        <v>49</v>
      </c>
      <c r="D3899" t="s">
        <v>8701</v>
      </c>
      <c r="E3899">
        <v>8917</v>
      </c>
      <c r="F3899" t="s">
        <v>23479</v>
      </c>
      <c r="G3899">
        <v>1</v>
      </c>
      <c r="H3899" t="s">
        <v>8806</v>
      </c>
      <c r="J3899" t="s">
        <v>12741</v>
      </c>
      <c r="K3899" t="s">
        <v>53</v>
      </c>
      <c r="L3899" t="s">
        <v>2473</v>
      </c>
      <c r="M3899" t="s">
        <v>13109</v>
      </c>
      <c r="N3899" t="s">
        <v>13110</v>
      </c>
      <c r="O3899" t="s">
        <v>13111</v>
      </c>
      <c r="P3899" s="2" t="s">
        <v>37</v>
      </c>
      <c r="Q3899" t="s">
        <v>1208</v>
      </c>
      <c r="R3899">
        <v>0</v>
      </c>
      <c r="S3899">
        <v>51.63</v>
      </c>
      <c r="T3899" t="s">
        <v>13112</v>
      </c>
    </row>
    <row r="3900" spans="1:20" x14ac:dyDescent="0.25">
      <c r="A3900" s="1" t="str">
        <f>HYPERLINK("https://vegkart.atlas.vegvesen.no/#/@516715.0,7619938.0,18/hva:hva%5B0%5D%5Bfilter%5D%5B0%5D%5Boperator%5D=%21%3D&amp;hva%5B0%5D%5Bfilter%5D%5B0%5D%5Btype_id%5D=8917&amp;hva%5B0%5D%5Bfilter%5D%5B0%5D%5Bverdi%5D=&amp;hva%5B0%5D%5Bid%5D=49/når:2025-10-07", "Vegkart")</f>
        <v>Vegkart</v>
      </c>
      <c r="B3900">
        <v>1025360679</v>
      </c>
      <c r="C3900">
        <v>49</v>
      </c>
      <c r="D3900" t="s">
        <v>8701</v>
      </c>
      <c r="E3900">
        <v>8917</v>
      </c>
      <c r="F3900" t="s">
        <v>23479</v>
      </c>
      <c r="G3900">
        <v>1</v>
      </c>
      <c r="H3900" t="s">
        <v>8806</v>
      </c>
      <c r="J3900" t="s">
        <v>12741</v>
      </c>
      <c r="K3900" t="s">
        <v>53</v>
      </c>
      <c r="L3900" t="s">
        <v>2473</v>
      </c>
      <c r="M3900" t="s">
        <v>13109</v>
      </c>
      <c r="N3900" t="s">
        <v>13113</v>
      </c>
      <c r="O3900" t="s">
        <v>13114</v>
      </c>
      <c r="P3900" s="2" t="s">
        <v>37</v>
      </c>
      <c r="Q3900" t="s">
        <v>1208</v>
      </c>
      <c r="R3900">
        <v>0</v>
      </c>
      <c r="S3900">
        <v>47.81</v>
      </c>
      <c r="T3900" t="s">
        <v>13115</v>
      </c>
    </row>
    <row r="3901" spans="1:20" x14ac:dyDescent="0.25">
      <c r="A3901" s="1" t="str">
        <f>HYPERLINK("https://vegkart.atlas.vegvesen.no/#/@516725.0,7619950.3,18/hva:hva%5B0%5D%5Bfilter%5D%5B0%5D%5Boperator%5D=%21%3D&amp;hva%5B0%5D%5Bfilter%5D%5B0%5D%5Btype_id%5D=8917&amp;hva%5B0%5D%5Bfilter%5D%5B0%5D%5Bverdi%5D=&amp;hva%5B0%5D%5Bid%5D=49/når:2025-10-07", "Vegkart")</f>
        <v>Vegkart</v>
      </c>
      <c r="B3901">
        <v>1025360681</v>
      </c>
      <c r="C3901">
        <v>49</v>
      </c>
      <c r="D3901" t="s">
        <v>8701</v>
      </c>
      <c r="E3901">
        <v>8917</v>
      </c>
      <c r="F3901" t="s">
        <v>23479</v>
      </c>
      <c r="G3901">
        <v>1</v>
      </c>
      <c r="H3901" t="s">
        <v>8806</v>
      </c>
      <c r="J3901" t="s">
        <v>12741</v>
      </c>
      <c r="K3901" t="s">
        <v>53</v>
      </c>
      <c r="L3901" t="s">
        <v>22</v>
      </c>
      <c r="M3901" t="s">
        <v>13116</v>
      </c>
      <c r="N3901" t="s">
        <v>13117</v>
      </c>
      <c r="O3901" t="s">
        <v>13118</v>
      </c>
      <c r="P3901" s="2" t="s">
        <v>37</v>
      </c>
      <c r="Q3901" t="s">
        <v>1208</v>
      </c>
      <c r="R3901">
        <v>0</v>
      </c>
      <c r="S3901">
        <v>28.97</v>
      </c>
      <c r="T3901" t="s">
        <v>13119</v>
      </c>
    </row>
    <row r="3902" spans="1:20" x14ac:dyDescent="0.25">
      <c r="A3902" s="1" t="str">
        <f>HYPERLINK("https://vegkart.atlas.vegvesen.no/#/@516690.2,7619954.5,18/hva:hva%5B0%5D%5Bfilter%5D%5B0%5D%5Boperator%5D=%21%3D&amp;hva%5B0%5D%5Bfilter%5D%5B0%5D%5Btype_id%5D=8917&amp;hva%5B0%5D%5Bfilter%5D%5B0%5D%5Bverdi%5D=&amp;hva%5B0%5D%5Bid%5D=49/når:2025-10-07", "Vegkart")</f>
        <v>Vegkart</v>
      </c>
      <c r="B3902">
        <v>1025360683</v>
      </c>
      <c r="C3902">
        <v>49</v>
      </c>
      <c r="D3902" t="s">
        <v>8701</v>
      </c>
      <c r="E3902">
        <v>8917</v>
      </c>
      <c r="F3902" t="s">
        <v>23479</v>
      </c>
      <c r="G3902">
        <v>1</v>
      </c>
      <c r="H3902" t="s">
        <v>8806</v>
      </c>
      <c r="J3902" t="s">
        <v>12741</v>
      </c>
      <c r="K3902" t="s">
        <v>53</v>
      </c>
      <c r="L3902" t="s">
        <v>33</v>
      </c>
      <c r="M3902" t="s">
        <v>5735</v>
      </c>
      <c r="N3902" t="s">
        <v>13120</v>
      </c>
      <c r="O3902" t="s">
        <v>13121</v>
      </c>
      <c r="P3902" s="2" t="s">
        <v>37</v>
      </c>
      <c r="Q3902" t="s">
        <v>1208</v>
      </c>
      <c r="R3902">
        <v>0</v>
      </c>
      <c r="S3902">
        <v>94.52</v>
      </c>
      <c r="T3902" t="s">
        <v>13122</v>
      </c>
    </row>
    <row r="3903" spans="1:20" x14ac:dyDescent="0.25">
      <c r="A3903" s="1" t="str">
        <f>HYPERLINK("https://vegkart.atlas.vegvesen.no/#/@516703.5,7619952.5,18/hva:hva%5B0%5D%5Bfilter%5D%5B0%5D%5Boperator%5D=%21%3D&amp;hva%5B0%5D%5Bfilter%5D%5B0%5D%5Btype_id%5D=8917&amp;hva%5B0%5D%5Bfilter%5D%5B0%5D%5Bverdi%5D=&amp;hva%5B0%5D%5Bid%5D=49/når:2025-10-07", "Vegkart")</f>
        <v>Vegkart</v>
      </c>
      <c r="B3903">
        <v>1025360685</v>
      </c>
      <c r="C3903">
        <v>49</v>
      </c>
      <c r="D3903" t="s">
        <v>8701</v>
      </c>
      <c r="E3903">
        <v>8917</v>
      </c>
      <c r="F3903" t="s">
        <v>23479</v>
      </c>
      <c r="G3903">
        <v>1</v>
      </c>
      <c r="H3903" t="s">
        <v>8806</v>
      </c>
      <c r="J3903" t="s">
        <v>12741</v>
      </c>
      <c r="K3903" t="s">
        <v>53</v>
      </c>
      <c r="L3903" t="s">
        <v>33</v>
      </c>
      <c r="M3903" t="s">
        <v>5735</v>
      </c>
      <c r="N3903" t="s">
        <v>13123</v>
      </c>
      <c r="O3903" t="s">
        <v>13124</v>
      </c>
      <c r="P3903" s="2" t="s">
        <v>37</v>
      </c>
      <c r="Q3903" t="s">
        <v>1208</v>
      </c>
      <c r="R3903">
        <v>0</v>
      </c>
      <c r="S3903">
        <v>51.65</v>
      </c>
      <c r="T3903" t="s">
        <v>13125</v>
      </c>
    </row>
    <row r="3904" spans="1:20" x14ac:dyDescent="0.25">
      <c r="A3904" s="1" t="str">
        <f>HYPERLINK("https://vegkart.atlas.vegvesen.no/#/@273007.8,6760328.8,18/hva:hva%5B0%5D%5Bfilter%5D%5B0%5D%5Boperator%5D=%21%3D&amp;hva%5B0%5D%5Bfilter%5D%5B0%5D%5Btype_id%5D=8917&amp;hva%5B0%5D%5Bfilter%5D%5B0%5D%5Bverdi%5D=&amp;hva%5B0%5D%5Bid%5D=49/når:2025-10-08", "Vegkart")</f>
        <v>Vegkart</v>
      </c>
      <c r="B3904">
        <v>1025377913</v>
      </c>
      <c r="C3904">
        <v>49</v>
      </c>
      <c r="D3904" t="s">
        <v>8701</v>
      </c>
      <c r="E3904">
        <v>8917</v>
      </c>
      <c r="F3904" t="s">
        <v>23479</v>
      </c>
      <c r="G3904">
        <v>1</v>
      </c>
      <c r="H3904" t="s">
        <v>8673</v>
      </c>
      <c r="J3904" t="s">
        <v>12741</v>
      </c>
      <c r="K3904" t="s">
        <v>136</v>
      </c>
      <c r="L3904" t="s">
        <v>370</v>
      </c>
      <c r="M3904" t="s">
        <v>13126</v>
      </c>
      <c r="N3904" t="s">
        <v>13127</v>
      </c>
      <c r="O3904" t="s">
        <v>13128</v>
      </c>
      <c r="P3904" s="2" t="s">
        <v>37</v>
      </c>
      <c r="Q3904" t="s">
        <v>1208</v>
      </c>
      <c r="R3904">
        <v>0</v>
      </c>
      <c r="S3904">
        <v>25.19</v>
      </c>
      <c r="T3904" t="s">
        <v>13129</v>
      </c>
    </row>
    <row r="3905" spans="1:20" x14ac:dyDescent="0.25">
      <c r="A3905" s="1" t="str">
        <f>HYPERLINK("https://vegkart.atlas.vegvesen.no/#/@195600.1,6558907.6,18/hva:hva%5B0%5D%5Bfilter%5D%5B0%5D%5Boperator%5D=%21%3D&amp;hva%5B0%5D%5Bfilter%5D%5B0%5D%5Btype_id%5D=8917&amp;hva%5B0%5D%5Bfilter%5D%5B0%5D%5Bverdi%5D=&amp;hva%5B0%5D%5Bid%5D=49/når:2025-10-12", "Vegkart")</f>
        <v>Vegkart</v>
      </c>
      <c r="B3905">
        <v>1025384122</v>
      </c>
      <c r="C3905">
        <v>49</v>
      </c>
      <c r="D3905" t="s">
        <v>8701</v>
      </c>
      <c r="E3905">
        <v>8917</v>
      </c>
      <c r="F3905" t="s">
        <v>23479</v>
      </c>
      <c r="G3905">
        <v>1</v>
      </c>
      <c r="H3905" t="s">
        <v>13130</v>
      </c>
      <c r="J3905" t="s">
        <v>12741</v>
      </c>
      <c r="K3905" t="s">
        <v>197</v>
      </c>
      <c r="L3905" t="s">
        <v>22</v>
      </c>
      <c r="M3905" t="s">
        <v>13131</v>
      </c>
      <c r="N3905" t="s">
        <v>13132</v>
      </c>
      <c r="O3905" t="s">
        <v>13133</v>
      </c>
      <c r="P3905" s="2" t="s">
        <v>37</v>
      </c>
      <c r="Q3905" t="s">
        <v>1208</v>
      </c>
      <c r="R3905">
        <v>0.38</v>
      </c>
      <c r="S3905">
        <v>42.91</v>
      </c>
      <c r="T3905" t="s">
        <v>13134</v>
      </c>
    </row>
    <row r="3906" spans="1:20" x14ac:dyDescent="0.25">
      <c r="A3906" s="1" t="str">
        <f>HYPERLINK("https://vegkart.atlas.vegvesen.no/#/@195596.9,6558896.2,18/hva:hva%5B0%5D%5Bfilter%5D%5B0%5D%5Boperator%5D=%21%3D&amp;hva%5B0%5D%5Bfilter%5D%5B0%5D%5Btype_id%5D=8917&amp;hva%5B0%5D%5Bfilter%5D%5B0%5D%5Bverdi%5D=&amp;hva%5B0%5D%5Bid%5D=49/når:2025-10-12", "Vegkart")</f>
        <v>Vegkart</v>
      </c>
      <c r="B3906">
        <v>1025384125</v>
      </c>
      <c r="C3906">
        <v>49</v>
      </c>
      <c r="D3906" t="s">
        <v>8701</v>
      </c>
      <c r="E3906">
        <v>8917</v>
      </c>
      <c r="F3906" t="s">
        <v>23479</v>
      </c>
      <c r="G3906">
        <v>1</v>
      </c>
      <c r="H3906" t="s">
        <v>13130</v>
      </c>
      <c r="J3906" t="s">
        <v>12741</v>
      </c>
      <c r="K3906" t="s">
        <v>197</v>
      </c>
      <c r="L3906" t="s">
        <v>22</v>
      </c>
      <c r="M3906" t="s">
        <v>13131</v>
      </c>
      <c r="N3906" t="s">
        <v>13135</v>
      </c>
      <c r="O3906" t="s">
        <v>13136</v>
      </c>
      <c r="P3906" s="2" t="s">
        <v>37</v>
      </c>
      <c r="Q3906" t="s">
        <v>1208</v>
      </c>
      <c r="R3906">
        <v>0.77</v>
      </c>
      <c r="S3906">
        <v>35.659999999999997</v>
      </c>
      <c r="T3906" t="s">
        <v>13137</v>
      </c>
    </row>
    <row r="3907" spans="1:20" x14ac:dyDescent="0.25">
      <c r="A3907" s="1" t="str">
        <f>HYPERLINK("https://vegkart.atlas.vegvesen.no/#/@195496.1,6560019.5,18/hva:hva%5B0%5D%5Bfilter%5D%5B0%5D%5Boperator%5D=%21%3D&amp;hva%5B0%5D%5Bfilter%5D%5B0%5D%5Btype_id%5D=8917&amp;hva%5B0%5D%5Bfilter%5D%5B0%5D%5Bverdi%5D=&amp;hva%5B0%5D%5Bid%5D=49/når:2025-10-12", "Vegkart")</f>
        <v>Vegkart</v>
      </c>
      <c r="B3907">
        <v>1025384250</v>
      </c>
      <c r="C3907">
        <v>49</v>
      </c>
      <c r="D3907" t="s">
        <v>8701</v>
      </c>
      <c r="E3907">
        <v>8917</v>
      </c>
      <c r="F3907" t="s">
        <v>23479</v>
      </c>
      <c r="G3907">
        <v>1</v>
      </c>
      <c r="H3907" t="s">
        <v>13130</v>
      </c>
      <c r="J3907" t="s">
        <v>12741</v>
      </c>
      <c r="K3907" t="s">
        <v>197</v>
      </c>
      <c r="L3907" t="s">
        <v>22</v>
      </c>
      <c r="M3907" t="s">
        <v>11592</v>
      </c>
      <c r="N3907" t="s">
        <v>13138</v>
      </c>
      <c r="O3907" t="s">
        <v>13139</v>
      </c>
      <c r="P3907" s="2" t="s">
        <v>37</v>
      </c>
      <c r="Q3907" t="s">
        <v>1208</v>
      </c>
      <c r="R3907">
        <v>0.37</v>
      </c>
      <c r="S3907">
        <v>9.06</v>
      </c>
      <c r="T3907" t="s">
        <v>13140</v>
      </c>
    </row>
    <row r="3908" spans="1:20" x14ac:dyDescent="0.25">
      <c r="A3908" s="1" t="str">
        <f>HYPERLINK("https://vegkart.atlas.vegvesen.no/#/@195489.4,6560016.2,18/hva:hva%5B0%5D%5Bfilter%5D%5B0%5D%5Boperator%5D=%21%3D&amp;hva%5B0%5D%5Bfilter%5D%5B0%5D%5Btype_id%5D=8917&amp;hva%5B0%5D%5Bfilter%5D%5B0%5D%5Bverdi%5D=&amp;hva%5B0%5D%5Bid%5D=49/når:2025-10-12", "Vegkart")</f>
        <v>Vegkart</v>
      </c>
      <c r="B3908">
        <v>1025384252</v>
      </c>
      <c r="C3908">
        <v>49</v>
      </c>
      <c r="D3908" t="s">
        <v>8701</v>
      </c>
      <c r="E3908">
        <v>8917</v>
      </c>
      <c r="F3908" t="s">
        <v>23479</v>
      </c>
      <c r="G3908">
        <v>1</v>
      </c>
      <c r="H3908" t="s">
        <v>13130</v>
      </c>
      <c r="J3908" t="s">
        <v>12741</v>
      </c>
      <c r="K3908" t="s">
        <v>197</v>
      </c>
      <c r="L3908" t="s">
        <v>22</v>
      </c>
      <c r="M3908" t="s">
        <v>11592</v>
      </c>
      <c r="N3908" t="s">
        <v>13141</v>
      </c>
      <c r="O3908" t="s">
        <v>13142</v>
      </c>
      <c r="P3908" s="2" t="s">
        <v>37</v>
      </c>
      <c r="Q3908" t="s">
        <v>1208</v>
      </c>
      <c r="R3908">
        <v>0.72</v>
      </c>
      <c r="S3908">
        <v>12.92</v>
      </c>
      <c r="T3908" t="s">
        <v>13143</v>
      </c>
    </row>
    <row r="3909" spans="1:20" x14ac:dyDescent="0.25">
      <c r="A3909" s="1" t="str">
        <f>HYPERLINK("https://vegkart.atlas.vegvesen.no/#/@194693.4,6560593.9,18/hva:hva%5B0%5D%5Bfilter%5D%5B0%5D%5Boperator%5D=%21%3D&amp;hva%5B0%5D%5Bfilter%5D%5B0%5D%5Btype_id%5D=8917&amp;hva%5B0%5D%5Bfilter%5D%5B0%5D%5Bverdi%5D=&amp;hva%5B0%5D%5Bid%5D=49/når:2025-10-13", "Vegkart")</f>
        <v>Vegkart</v>
      </c>
      <c r="B3909">
        <v>1025385345</v>
      </c>
      <c r="C3909">
        <v>49</v>
      </c>
      <c r="D3909" t="s">
        <v>8701</v>
      </c>
      <c r="E3909">
        <v>8917</v>
      </c>
      <c r="F3909" t="s">
        <v>23479</v>
      </c>
      <c r="G3909">
        <v>1</v>
      </c>
      <c r="H3909" t="s">
        <v>13144</v>
      </c>
      <c r="J3909" t="s">
        <v>12741</v>
      </c>
      <c r="K3909" t="s">
        <v>197</v>
      </c>
      <c r="L3909" t="s">
        <v>22</v>
      </c>
      <c r="M3909" t="s">
        <v>13145</v>
      </c>
      <c r="N3909" t="s">
        <v>13146</v>
      </c>
      <c r="O3909" t="s">
        <v>13147</v>
      </c>
      <c r="P3909" s="2" t="s">
        <v>37</v>
      </c>
      <c r="Q3909" t="s">
        <v>1208</v>
      </c>
      <c r="R3909">
        <v>0.48</v>
      </c>
      <c r="S3909">
        <v>27.64</v>
      </c>
      <c r="T3909" t="s">
        <v>13148</v>
      </c>
    </row>
    <row r="3910" spans="1:20" x14ac:dyDescent="0.25">
      <c r="A3910" s="1" t="str">
        <f>HYPERLINK("https://vegkart.atlas.vegvesen.no/#/@195438.4,6560577.9,18/hva:hva%5B0%5D%5Bfilter%5D%5B0%5D%5Boperator%5D=%21%3D&amp;hva%5B0%5D%5Bfilter%5D%5B0%5D%5Btype_id%5D=8917&amp;hva%5B0%5D%5Bfilter%5D%5B0%5D%5Bverdi%5D=&amp;hva%5B0%5D%5Bid%5D=49/når:2025-10-13", "Vegkart")</f>
        <v>Vegkart</v>
      </c>
      <c r="B3910">
        <v>1025385677</v>
      </c>
      <c r="C3910">
        <v>49</v>
      </c>
      <c r="D3910" t="s">
        <v>8701</v>
      </c>
      <c r="E3910">
        <v>8917</v>
      </c>
      <c r="F3910" t="s">
        <v>23479</v>
      </c>
      <c r="G3910">
        <v>1</v>
      </c>
      <c r="H3910" t="s">
        <v>13144</v>
      </c>
      <c r="J3910" t="s">
        <v>12741</v>
      </c>
      <c r="K3910" t="s">
        <v>197</v>
      </c>
      <c r="L3910" t="s">
        <v>22</v>
      </c>
      <c r="M3910" t="s">
        <v>13149</v>
      </c>
      <c r="N3910" t="s">
        <v>13150</v>
      </c>
      <c r="O3910" t="s">
        <v>13151</v>
      </c>
      <c r="P3910" s="2" t="s">
        <v>37</v>
      </c>
      <c r="Q3910" t="s">
        <v>1208</v>
      </c>
      <c r="R3910">
        <v>0.7</v>
      </c>
      <c r="S3910">
        <v>22.82</v>
      </c>
      <c r="T3910" t="s">
        <v>13152</v>
      </c>
    </row>
    <row r="3911" spans="1:20" x14ac:dyDescent="0.25">
      <c r="A3911" s="1" t="str">
        <f>HYPERLINK("https://vegkart.atlas.vegvesen.no/#/@195726.8,6560824.3,18/hva:hva%5B0%5D%5Bfilter%5D%5B0%5D%5Boperator%5D=%21%3D&amp;hva%5B0%5D%5Bfilter%5D%5B0%5D%5Btype_id%5D=8917&amp;hva%5B0%5D%5Bfilter%5D%5B0%5D%5Bverdi%5D=&amp;hva%5B0%5D%5Bid%5D=49/når:2025-10-13", "Vegkart")</f>
        <v>Vegkart</v>
      </c>
      <c r="B3911">
        <v>1025389091</v>
      </c>
      <c r="C3911">
        <v>49</v>
      </c>
      <c r="D3911" t="s">
        <v>8701</v>
      </c>
      <c r="E3911">
        <v>8917</v>
      </c>
      <c r="F3911" t="s">
        <v>23479</v>
      </c>
      <c r="G3911">
        <v>1</v>
      </c>
      <c r="H3911" t="s">
        <v>13144</v>
      </c>
      <c r="J3911" t="s">
        <v>12741</v>
      </c>
      <c r="K3911" t="s">
        <v>197</v>
      </c>
      <c r="L3911" t="s">
        <v>22</v>
      </c>
      <c r="M3911" t="s">
        <v>13153</v>
      </c>
      <c r="N3911" t="s">
        <v>13154</v>
      </c>
      <c r="O3911" t="s">
        <v>13155</v>
      </c>
      <c r="P3911" s="2" t="s">
        <v>37</v>
      </c>
      <c r="Q3911" t="s">
        <v>1208</v>
      </c>
      <c r="R3911">
        <v>0.22</v>
      </c>
      <c r="S3911">
        <v>18.350000000000001</v>
      </c>
      <c r="T3911" t="s">
        <v>13156</v>
      </c>
    </row>
    <row r="3912" spans="1:20" x14ac:dyDescent="0.25">
      <c r="A3912" s="1" t="str">
        <f>HYPERLINK("https://vegkart.atlas.vegvesen.no/#/@195997.2,6563292.1,18/hva:hva%5B0%5D%5Bfilter%5D%5B0%5D%5Boperator%5D=%21%3D&amp;hva%5B0%5D%5Bfilter%5D%5B0%5D%5Btype_id%5D=8917&amp;hva%5B0%5D%5Bfilter%5D%5B0%5D%5Bverdi%5D=&amp;hva%5B0%5D%5Bid%5D=49/når:2025-10-14", "Vegkart")</f>
        <v>Vegkart</v>
      </c>
      <c r="B3912">
        <v>1025395152</v>
      </c>
      <c r="C3912">
        <v>49</v>
      </c>
      <c r="D3912" t="s">
        <v>8701</v>
      </c>
      <c r="E3912">
        <v>8917</v>
      </c>
      <c r="F3912" t="s">
        <v>23479</v>
      </c>
      <c r="G3912">
        <v>1</v>
      </c>
      <c r="H3912" t="s">
        <v>13157</v>
      </c>
      <c r="J3912" t="s">
        <v>12741</v>
      </c>
      <c r="K3912" t="s">
        <v>197</v>
      </c>
      <c r="L3912" t="s">
        <v>22</v>
      </c>
      <c r="M3912" t="s">
        <v>13158</v>
      </c>
      <c r="N3912" t="s">
        <v>13159</v>
      </c>
      <c r="O3912" t="s">
        <v>13160</v>
      </c>
      <c r="P3912" s="2" t="s">
        <v>37</v>
      </c>
      <c r="Q3912" t="s">
        <v>1208</v>
      </c>
      <c r="R3912">
        <v>0.32</v>
      </c>
      <c r="S3912">
        <v>44.55</v>
      </c>
      <c r="T3912" t="s">
        <v>13161</v>
      </c>
    </row>
    <row r="3913" spans="1:20" x14ac:dyDescent="0.25">
      <c r="A3913" s="1" t="str">
        <f>HYPERLINK("https://vegkart.atlas.vegvesen.no/#/@193429.6,6565010.1,18/hva:hva%5B0%5D%5Bfilter%5D%5B0%5D%5Boperator%5D=%21%3D&amp;hva%5B0%5D%5Bfilter%5D%5B0%5D%5Btype_id%5D=8917&amp;hva%5B0%5D%5Bfilter%5D%5B0%5D%5Bverdi%5D=&amp;hva%5B0%5D%5Bid%5D=49/når:2025-10-18", "Vegkart")</f>
        <v>Vegkart</v>
      </c>
      <c r="B3913">
        <v>1025406974</v>
      </c>
      <c r="C3913">
        <v>49</v>
      </c>
      <c r="D3913" t="s">
        <v>8701</v>
      </c>
      <c r="E3913">
        <v>8917</v>
      </c>
      <c r="F3913" t="s">
        <v>23479</v>
      </c>
      <c r="G3913">
        <v>1</v>
      </c>
      <c r="H3913" t="s">
        <v>13162</v>
      </c>
      <c r="J3913" t="s">
        <v>12741</v>
      </c>
      <c r="K3913" t="s">
        <v>197</v>
      </c>
      <c r="L3913" t="s">
        <v>22</v>
      </c>
      <c r="M3913" t="s">
        <v>13163</v>
      </c>
      <c r="N3913" t="s">
        <v>13164</v>
      </c>
      <c r="O3913" t="s">
        <v>13165</v>
      </c>
      <c r="P3913" s="2" t="s">
        <v>37</v>
      </c>
      <c r="Q3913" t="s">
        <v>1208</v>
      </c>
      <c r="R3913">
        <v>0.46</v>
      </c>
      <c r="S3913">
        <v>3.17</v>
      </c>
      <c r="T3913" t="s">
        <v>13166</v>
      </c>
    </row>
    <row r="3914" spans="1:20" x14ac:dyDescent="0.25">
      <c r="A3914" s="1" t="str">
        <f>HYPERLINK("https://vegkart.atlas.vegvesen.no/#/@193424.6,6565016.3,18/hva:hva%5B0%5D%5Bfilter%5D%5B0%5D%5Boperator%5D=%21%3D&amp;hva%5B0%5D%5Bfilter%5D%5B0%5D%5Btype_id%5D=8917&amp;hva%5B0%5D%5Bfilter%5D%5B0%5D%5Bverdi%5D=&amp;hva%5B0%5D%5Bid%5D=49/når:2025-10-18", "Vegkart")</f>
        <v>Vegkart</v>
      </c>
      <c r="B3914">
        <v>1025406976</v>
      </c>
      <c r="C3914">
        <v>49</v>
      </c>
      <c r="D3914" t="s">
        <v>8701</v>
      </c>
      <c r="E3914">
        <v>8917</v>
      </c>
      <c r="F3914" t="s">
        <v>23479</v>
      </c>
      <c r="G3914">
        <v>1</v>
      </c>
      <c r="H3914" t="s">
        <v>13162</v>
      </c>
      <c r="J3914" t="s">
        <v>12741</v>
      </c>
      <c r="K3914" t="s">
        <v>197</v>
      </c>
      <c r="L3914" t="s">
        <v>22</v>
      </c>
      <c r="M3914" t="s">
        <v>13163</v>
      </c>
      <c r="N3914" t="s">
        <v>13167</v>
      </c>
      <c r="O3914" t="s">
        <v>13168</v>
      </c>
      <c r="P3914" s="2" t="s">
        <v>37</v>
      </c>
      <c r="Q3914" t="s">
        <v>1208</v>
      </c>
      <c r="R3914">
        <v>0.45</v>
      </c>
      <c r="S3914">
        <v>19.760000000000002</v>
      </c>
      <c r="T3914" t="s">
        <v>13169</v>
      </c>
    </row>
    <row r="3915" spans="1:20" x14ac:dyDescent="0.25">
      <c r="A3915" s="1" t="str">
        <f>HYPERLINK("https://vegkart.atlas.vegvesen.no/#/@193927.0,6565772.0,18/hva:hva%5B0%5D%5Bfilter%5D%5B0%5D%5Boperator%5D=%21%3D&amp;hva%5B0%5D%5Bfilter%5D%5B0%5D%5Btype_id%5D=8917&amp;hva%5B0%5D%5Bfilter%5D%5B0%5D%5Bverdi%5D=&amp;hva%5B0%5D%5Bid%5D=49/når:2025-10-22", "Vegkart")</f>
        <v>Vegkart</v>
      </c>
      <c r="B3915">
        <v>1025414894</v>
      </c>
      <c r="C3915">
        <v>49</v>
      </c>
      <c r="D3915" t="s">
        <v>8701</v>
      </c>
      <c r="E3915">
        <v>8917</v>
      </c>
      <c r="F3915" t="s">
        <v>23479</v>
      </c>
      <c r="G3915">
        <v>1</v>
      </c>
      <c r="H3915" t="s">
        <v>4007</v>
      </c>
      <c r="J3915" t="s">
        <v>12741</v>
      </c>
      <c r="K3915" t="s">
        <v>197</v>
      </c>
      <c r="L3915" t="s">
        <v>22</v>
      </c>
      <c r="M3915" t="s">
        <v>13170</v>
      </c>
      <c r="N3915" t="s">
        <v>13171</v>
      </c>
      <c r="O3915" t="s">
        <v>13172</v>
      </c>
      <c r="P3915" s="2" t="s">
        <v>37</v>
      </c>
      <c r="Q3915" t="s">
        <v>1208</v>
      </c>
      <c r="R3915">
        <v>0.31</v>
      </c>
      <c r="S3915">
        <v>24.44</v>
      </c>
      <c r="T3915" t="s">
        <v>13173</v>
      </c>
    </row>
    <row r="3916" spans="1:20" x14ac:dyDescent="0.25">
      <c r="A3916" s="1" t="str">
        <f>HYPERLINK("https://vegkart.atlas.vegvesen.no/#/@193230.0,6566980.5,18/hva:hva%5B0%5D%5Bfilter%5D%5B0%5D%5Boperator%5D=%21%3D&amp;hva%5B0%5D%5Bfilter%5D%5B0%5D%5Btype_id%5D=8917&amp;hva%5B0%5D%5Bfilter%5D%5B0%5D%5Bverdi%5D=&amp;hva%5B0%5D%5Bid%5D=49/når:2025-10-22", "Vegkart")</f>
        <v>Vegkart</v>
      </c>
      <c r="B3916">
        <v>1025414949</v>
      </c>
      <c r="C3916">
        <v>49</v>
      </c>
      <c r="D3916" t="s">
        <v>8701</v>
      </c>
      <c r="E3916">
        <v>8917</v>
      </c>
      <c r="F3916" t="s">
        <v>23479</v>
      </c>
      <c r="G3916">
        <v>1</v>
      </c>
      <c r="H3916" t="s">
        <v>4007</v>
      </c>
      <c r="J3916" t="s">
        <v>12741</v>
      </c>
      <c r="K3916" t="s">
        <v>197</v>
      </c>
      <c r="L3916" t="s">
        <v>22</v>
      </c>
      <c r="M3916" t="s">
        <v>13174</v>
      </c>
      <c r="N3916" t="s">
        <v>13175</v>
      </c>
      <c r="O3916" t="s">
        <v>13176</v>
      </c>
      <c r="P3916" s="2" t="s">
        <v>37</v>
      </c>
      <c r="Q3916" t="s">
        <v>1208</v>
      </c>
      <c r="R3916">
        <v>1.17</v>
      </c>
      <c r="S3916">
        <v>15.61</v>
      </c>
      <c r="T3916" t="s">
        <v>13177</v>
      </c>
    </row>
    <row r="3917" spans="1:20" x14ac:dyDescent="0.25">
      <c r="A3917" s="1" t="str">
        <f>HYPERLINK("https://vegkart.atlas.vegvesen.no/#/@194451.7,6565878.9,18/hva:hva%5B0%5D%5Bfilter%5D%5B0%5D%5Boperator%5D=%21%3D&amp;hva%5B0%5D%5Bfilter%5D%5B0%5D%5Btype_id%5D=8917&amp;hva%5B0%5D%5Bfilter%5D%5B0%5D%5Bverdi%5D=&amp;hva%5B0%5D%5Bid%5D=49/når:2025-10-22", "Vegkart")</f>
        <v>Vegkart</v>
      </c>
      <c r="B3917">
        <v>1025415239</v>
      </c>
      <c r="C3917">
        <v>49</v>
      </c>
      <c r="D3917" t="s">
        <v>8701</v>
      </c>
      <c r="E3917">
        <v>8917</v>
      </c>
      <c r="F3917" t="s">
        <v>23479</v>
      </c>
      <c r="G3917">
        <v>1</v>
      </c>
      <c r="H3917" t="s">
        <v>4007</v>
      </c>
      <c r="J3917" t="s">
        <v>12741</v>
      </c>
      <c r="K3917" t="s">
        <v>197</v>
      </c>
      <c r="L3917" t="s">
        <v>22</v>
      </c>
      <c r="M3917" t="s">
        <v>11957</v>
      </c>
      <c r="N3917" t="s">
        <v>13178</v>
      </c>
      <c r="O3917" t="s">
        <v>13179</v>
      </c>
      <c r="P3917" s="2" t="s">
        <v>37</v>
      </c>
      <c r="Q3917" t="s">
        <v>1208</v>
      </c>
      <c r="R3917">
        <v>0.49</v>
      </c>
      <c r="S3917">
        <v>9.01</v>
      </c>
      <c r="T3917" t="s">
        <v>13180</v>
      </c>
    </row>
    <row r="3918" spans="1:20" x14ac:dyDescent="0.25">
      <c r="A3918" s="1" t="str">
        <f>HYPERLINK("https://vegkart.atlas.vegvesen.no/#/@194445.5,6565876.2,18/hva:hva%5B0%5D%5Bfilter%5D%5B0%5D%5Boperator%5D=%21%3D&amp;hva%5B0%5D%5Bfilter%5D%5B0%5D%5Btype_id%5D=8917&amp;hva%5B0%5D%5Bfilter%5D%5B0%5D%5Bverdi%5D=&amp;hva%5B0%5D%5Bid%5D=49/når:2025-10-22", "Vegkart")</f>
        <v>Vegkart</v>
      </c>
      <c r="B3918">
        <v>1025415242</v>
      </c>
      <c r="C3918">
        <v>49</v>
      </c>
      <c r="D3918" t="s">
        <v>8701</v>
      </c>
      <c r="E3918">
        <v>8917</v>
      </c>
      <c r="F3918" t="s">
        <v>23479</v>
      </c>
      <c r="G3918">
        <v>1</v>
      </c>
      <c r="H3918" t="s">
        <v>4007</v>
      </c>
      <c r="J3918" t="s">
        <v>12741</v>
      </c>
      <c r="K3918" t="s">
        <v>197</v>
      </c>
      <c r="L3918" t="s">
        <v>22</v>
      </c>
      <c r="M3918" t="s">
        <v>11957</v>
      </c>
      <c r="N3918" t="s">
        <v>13181</v>
      </c>
      <c r="O3918" t="s">
        <v>13182</v>
      </c>
      <c r="P3918" s="2" t="s">
        <v>37</v>
      </c>
      <c r="Q3918" t="s">
        <v>1208</v>
      </c>
      <c r="R3918">
        <v>0.39</v>
      </c>
      <c r="S3918">
        <v>13.21</v>
      </c>
      <c r="T3918" t="s">
        <v>13183</v>
      </c>
    </row>
    <row r="3919" spans="1:20" x14ac:dyDescent="0.25">
      <c r="A3919" s="1" t="str">
        <f>HYPERLINK("https://vegkart.atlas.vegvesen.no/#/@194646.7,6567601.9,18/hva:hva%5B0%5D%5Bfilter%5D%5B0%5D%5Boperator%5D=%21%3D&amp;hva%5B0%5D%5Bfilter%5D%5B0%5D%5Btype_id%5D=8917&amp;hva%5B0%5D%5Bfilter%5D%5B0%5D%5Bverdi%5D=&amp;hva%5B0%5D%5Bid%5D=49/når:2025-10-22", "Vegkart")</f>
        <v>Vegkart</v>
      </c>
      <c r="B3919">
        <v>1025431279</v>
      </c>
      <c r="C3919">
        <v>49</v>
      </c>
      <c r="D3919" t="s">
        <v>8701</v>
      </c>
      <c r="E3919">
        <v>8917</v>
      </c>
      <c r="F3919" t="s">
        <v>23479</v>
      </c>
      <c r="G3919">
        <v>1</v>
      </c>
      <c r="H3919" t="s">
        <v>4007</v>
      </c>
      <c r="J3919" t="s">
        <v>12741</v>
      </c>
      <c r="K3919" t="s">
        <v>197</v>
      </c>
      <c r="L3919" t="s">
        <v>22</v>
      </c>
      <c r="M3919" t="s">
        <v>13184</v>
      </c>
      <c r="N3919" t="s">
        <v>13185</v>
      </c>
      <c r="O3919" t="s">
        <v>13186</v>
      </c>
      <c r="P3919" s="2" t="s">
        <v>37</v>
      </c>
      <c r="Q3919" t="s">
        <v>1208</v>
      </c>
      <c r="R3919">
        <v>0.63</v>
      </c>
      <c r="S3919">
        <v>18.68</v>
      </c>
      <c r="T3919" t="s">
        <v>13187</v>
      </c>
    </row>
    <row r="3920" spans="1:20" x14ac:dyDescent="0.25">
      <c r="A3920" s="1" t="str">
        <f>HYPERLINK("https://vegkart.atlas.vegvesen.no/#/@193345.9,6567443.0,18/hva:hva%5B0%5D%5Bfilter%5D%5B0%5D%5Boperator%5D=%21%3D&amp;hva%5B0%5D%5Bfilter%5D%5B0%5D%5Btype_id%5D=8917&amp;hva%5B0%5D%5Bfilter%5D%5B0%5D%5Bverdi%5D=&amp;hva%5B0%5D%5Bid%5D=49/når:2025-10-23", "Vegkart")</f>
        <v>Vegkart</v>
      </c>
      <c r="B3920">
        <v>1025433878</v>
      </c>
      <c r="C3920">
        <v>49</v>
      </c>
      <c r="D3920" t="s">
        <v>8701</v>
      </c>
      <c r="E3920">
        <v>8917</v>
      </c>
      <c r="F3920" t="s">
        <v>23479</v>
      </c>
      <c r="G3920">
        <v>1</v>
      </c>
      <c r="H3920" t="s">
        <v>13188</v>
      </c>
      <c r="J3920" t="s">
        <v>12741</v>
      </c>
      <c r="K3920" t="s">
        <v>197</v>
      </c>
      <c r="L3920" t="s">
        <v>22</v>
      </c>
      <c r="M3920" t="s">
        <v>13189</v>
      </c>
      <c r="N3920" t="s">
        <v>13190</v>
      </c>
      <c r="O3920" t="s">
        <v>13191</v>
      </c>
      <c r="P3920" s="2" t="s">
        <v>37</v>
      </c>
      <c r="Q3920" t="s">
        <v>1208</v>
      </c>
      <c r="R3920">
        <v>0.25</v>
      </c>
      <c r="S3920">
        <v>16.739999999999998</v>
      </c>
      <c r="T3920" t="s">
        <v>13192</v>
      </c>
    </row>
    <row r="3921" spans="1:20" x14ac:dyDescent="0.25">
      <c r="A3921" s="1" t="str">
        <f>HYPERLINK("https://vegkart.atlas.vegvesen.no/#/@193359.3,6567454.6,18/hva:hva%5B0%5D%5Bfilter%5D%5B0%5D%5Boperator%5D=%21%3D&amp;hva%5B0%5D%5Bfilter%5D%5B0%5D%5Btype_id%5D=8917&amp;hva%5B0%5D%5Bfilter%5D%5B0%5D%5Bverdi%5D=&amp;hva%5B0%5D%5Bid%5D=49/når:2025-10-23", "Vegkart")</f>
        <v>Vegkart</v>
      </c>
      <c r="B3921">
        <v>1025433896</v>
      </c>
      <c r="C3921">
        <v>49</v>
      </c>
      <c r="D3921" t="s">
        <v>8701</v>
      </c>
      <c r="E3921">
        <v>8917</v>
      </c>
      <c r="F3921" t="s">
        <v>23479</v>
      </c>
      <c r="G3921">
        <v>1</v>
      </c>
      <c r="H3921" t="s">
        <v>13188</v>
      </c>
      <c r="J3921" t="s">
        <v>12741</v>
      </c>
      <c r="K3921" t="s">
        <v>197</v>
      </c>
      <c r="L3921" t="s">
        <v>22</v>
      </c>
      <c r="M3921" t="s">
        <v>13193</v>
      </c>
      <c r="N3921" t="s">
        <v>13194</v>
      </c>
      <c r="O3921" t="s">
        <v>13195</v>
      </c>
      <c r="P3921" s="2" t="s">
        <v>37</v>
      </c>
      <c r="Q3921" t="s">
        <v>1208</v>
      </c>
      <c r="R3921">
        <v>0.54</v>
      </c>
      <c r="S3921">
        <v>43.17</v>
      </c>
      <c r="T3921" t="s">
        <v>13196</v>
      </c>
    </row>
    <row r="3922" spans="1:20" x14ac:dyDescent="0.25">
      <c r="A3922" s="1" t="str">
        <f>HYPERLINK("https://vegkart.atlas.vegvesen.no/#/@193372.3,6567466.1,18/hva:hva%5B0%5D%5Bfilter%5D%5B0%5D%5Boperator%5D=%21%3D&amp;hva%5B0%5D%5Bfilter%5D%5B0%5D%5Btype_id%5D=8917&amp;hva%5B0%5D%5Bfilter%5D%5B0%5D%5Bverdi%5D=&amp;hva%5B0%5D%5Bid%5D=49/når:2025-10-27", "Vegkart")</f>
        <v>Vegkart</v>
      </c>
      <c r="B3922">
        <v>1025437587</v>
      </c>
      <c r="C3922">
        <v>49</v>
      </c>
      <c r="D3922" t="s">
        <v>8701</v>
      </c>
      <c r="E3922">
        <v>8917</v>
      </c>
      <c r="F3922" t="s">
        <v>23479</v>
      </c>
      <c r="G3922">
        <v>1</v>
      </c>
      <c r="H3922" t="s">
        <v>13197</v>
      </c>
      <c r="J3922" t="s">
        <v>12741</v>
      </c>
      <c r="K3922" t="s">
        <v>197</v>
      </c>
      <c r="L3922" t="s">
        <v>22</v>
      </c>
      <c r="M3922" t="s">
        <v>13189</v>
      </c>
      <c r="N3922" t="s">
        <v>13198</v>
      </c>
      <c r="O3922" t="s">
        <v>13199</v>
      </c>
      <c r="P3922" s="2" t="s">
        <v>37</v>
      </c>
      <c r="Q3922" t="s">
        <v>1208</v>
      </c>
      <c r="R3922">
        <v>0.59</v>
      </c>
      <c r="S3922">
        <v>15.35</v>
      </c>
      <c r="T3922" t="s">
        <v>13200</v>
      </c>
    </row>
    <row r="3923" spans="1:20" x14ac:dyDescent="0.25">
      <c r="A3923" s="1" t="str">
        <f>HYPERLINK("https://vegkart.atlas.vegvesen.no/#/@193347.5,6567467.8,18/hva:hva%5B0%5D%5Bfilter%5D%5B0%5D%5Boperator%5D=%21%3D&amp;hva%5B0%5D%5Bfilter%5D%5B0%5D%5Btype_id%5D=8917&amp;hva%5B0%5D%5Bfilter%5D%5B0%5D%5Bverdi%5D=&amp;hva%5B0%5D%5Bid%5D=49/når:2025-10-27", "Vegkart")</f>
        <v>Vegkart</v>
      </c>
      <c r="B3923">
        <v>1025437758</v>
      </c>
      <c r="C3923">
        <v>49</v>
      </c>
      <c r="D3923" t="s">
        <v>8701</v>
      </c>
      <c r="E3923">
        <v>8917</v>
      </c>
      <c r="F3923" t="s">
        <v>23479</v>
      </c>
      <c r="G3923">
        <v>1</v>
      </c>
      <c r="H3923" t="s">
        <v>13197</v>
      </c>
      <c r="J3923" t="s">
        <v>12741</v>
      </c>
      <c r="K3923" t="s">
        <v>197</v>
      </c>
      <c r="L3923" t="s">
        <v>22</v>
      </c>
      <c r="M3923" t="s">
        <v>13193</v>
      </c>
      <c r="N3923" t="s">
        <v>13201</v>
      </c>
      <c r="O3923" t="s">
        <v>13202</v>
      </c>
      <c r="P3923" s="2" t="s">
        <v>37</v>
      </c>
      <c r="Q3923" t="s">
        <v>1208</v>
      </c>
      <c r="R3923">
        <v>0.46</v>
      </c>
      <c r="S3923">
        <v>15.85</v>
      </c>
      <c r="T3923" t="s">
        <v>13203</v>
      </c>
    </row>
    <row r="3924" spans="1:20" x14ac:dyDescent="0.25">
      <c r="A3924" s="1" t="str">
        <f>HYPERLINK("https://vegkart.atlas.vegvesen.no/#/@195266.0,6567336.6,18/hva:hva%5B0%5D%5Bfilter%5D%5B0%5D%5Boperator%5D=%21%3D&amp;hva%5B0%5D%5Bfilter%5D%5B0%5D%5Btype_id%5D=8917&amp;hva%5B0%5D%5Bfilter%5D%5B0%5D%5Bverdi%5D=&amp;hva%5B0%5D%5Bid%5D=49/når:2025-10-28", "Vegkart")</f>
        <v>Vegkart</v>
      </c>
      <c r="B3924">
        <v>1025442058</v>
      </c>
      <c r="C3924">
        <v>49</v>
      </c>
      <c r="D3924" t="s">
        <v>8701</v>
      </c>
      <c r="E3924">
        <v>8917</v>
      </c>
      <c r="F3924" t="s">
        <v>23479</v>
      </c>
      <c r="G3924">
        <v>1</v>
      </c>
      <c r="H3924" t="s">
        <v>1230</v>
      </c>
      <c r="J3924" t="s">
        <v>12741</v>
      </c>
      <c r="K3924" t="s">
        <v>197</v>
      </c>
      <c r="L3924" t="s">
        <v>22</v>
      </c>
      <c r="M3924" t="s">
        <v>13204</v>
      </c>
      <c r="N3924" t="s">
        <v>13205</v>
      </c>
      <c r="O3924" t="s">
        <v>13206</v>
      </c>
      <c r="P3924" s="2" t="s">
        <v>37</v>
      </c>
      <c r="Q3924" t="s">
        <v>1208</v>
      </c>
      <c r="R3924">
        <v>0.49</v>
      </c>
      <c r="S3924">
        <v>34.81</v>
      </c>
      <c r="T3924" t="s">
        <v>13207</v>
      </c>
    </row>
    <row r="3925" spans="1:20" x14ac:dyDescent="0.25">
      <c r="A3925" s="1" t="str">
        <f>HYPERLINK("https://vegkart.atlas.vegvesen.no/#/@195565.5,6567431.7,18/hva:hva%5B0%5D%5Bfilter%5D%5B0%5D%5Boperator%5D=%21%3D&amp;hva%5B0%5D%5Bfilter%5D%5B0%5D%5Btype_id%5D=8917&amp;hva%5B0%5D%5Bfilter%5D%5B0%5D%5Bverdi%5D=&amp;hva%5B0%5D%5Bid%5D=49/når:2025-10-28", "Vegkart")</f>
        <v>Vegkart</v>
      </c>
      <c r="B3925">
        <v>1025442263</v>
      </c>
      <c r="C3925">
        <v>49</v>
      </c>
      <c r="D3925" t="s">
        <v>8701</v>
      </c>
      <c r="E3925">
        <v>8917</v>
      </c>
      <c r="F3925" t="s">
        <v>23479</v>
      </c>
      <c r="G3925">
        <v>1</v>
      </c>
      <c r="H3925" t="s">
        <v>1230</v>
      </c>
      <c r="J3925" t="s">
        <v>12741</v>
      </c>
      <c r="K3925" t="s">
        <v>197</v>
      </c>
      <c r="L3925" t="s">
        <v>22</v>
      </c>
      <c r="M3925" t="s">
        <v>13208</v>
      </c>
      <c r="N3925" t="s">
        <v>13209</v>
      </c>
      <c r="O3925" t="s">
        <v>13210</v>
      </c>
      <c r="P3925" s="2" t="s">
        <v>37</v>
      </c>
      <c r="Q3925" t="s">
        <v>1208</v>
      </c>
      <c r="R3925">
        <v>0.39</v>
      </c>
      <c r="S3925">
        <v>25.32</v>
      </c>
      <c r="T3925" t="s">
        <v>13211</v>
      </c>
    </row>
    <row r="3926" spans="1:20" x14ac:dyDescent="0.25">
      <c r="A3926" s="1" t="str">
        <f>HYPERLINK("https://vegkart.atlas.vegvesen.no/#/@195569.3,6567412.3,18/hva:hva%5B0%5D%5Bfilter%5D%5B0%5D%5Boperator%5D=%21%3D&amp;hva%5B0%5D%5Bfilter%5D%5B0%5D%5Btype_id%5D=8917&amp;hva%5B0%5D%5Bfilter%5D%5B0%5D%5Bverdi%5D=&amp;hva%5B0%5D%5Bid%5D=49/når:2025-10-28", "Vegkart")</f>
        <v>Vegkart</v>
      </c>
      <c r="B3926">
        <v>1025442988</v>
      </c>
      <c r="C3926">
        <v>49</v>
      </c>
      <c r="D3926" t="s">
        <v>8701</v>
      </c>
      <c r="E3926">
        <v>8917</v>
      </c>
      <c r="F3926" t="s">
        <v>23479</v>
      </c>
      <c r="G3926">
        <v>1</v>
      </c>
      <c r="H3926" t="s">
        <v>1230</v>
      </c>
      <c r="J3926" t="s">
        <v>12741</v>
      </c>
      <c r="K3926" t="s">
        <v>197</v>
      </c>
      <c r="L3926" t="s">
        <v>22</v>
      </c>
      <c r="M3926" t="s">
        <v>13208</v>
      </c>
      <c r="N3926" t="s">
        <v>13212</v>
      </c>
      <c r="O3926" t="s">
        <v>13213</v>
      </c>
      <c r="P3926" s="2" t="s">
        <v>37</v>
      </c>
      <c r="Q3926" t="s">
        <v>1208</v>
      </c>
      <c r="R3926">
        <v>0.55000000000000004</v>
      </c>
      <c r="S3926">
        <v>43.49</v>
      </c>
      <c r="T3926" t="s">
        <v>13214</v>
      </c>
    </row>
    <row r="3927" spans="1:20" x14ac:dyDescent="0.25">
      <c r="A3927" s="1" t="str">
        <f>HYPERLINK("https://vegkart.atlas.vegvesen.no/#/@195570.9,6567392.5,18/hva:hva%5B0%5D%5Bfilter%5D%5B0%5D%5Boperator%5D=%21%3D&amp;hva%5B0%5D%5Bfilter%5D%5B0%5D%5Btype_id%5D=8917&amp;hva%5B0%5D%5Bfilter%5D%5B0%5D%5Bverdi%5D=&amp;hva%5B0%5D%5Bid%5D=49/når:2025-10-28", "Vegkart")</f>
        <v>Vegkart</v>
      </c>
      <c r="B3927">
        <v>1025442994</v>
      </c>
      <c r="C3927">
        <v>49</v>
      </c>
      <c r="D3927" t="s">
        <v>8701</v>
      </c>
      <c r="E3927">
        <v>8917</v>
      </c>
      <c r="F3927" t="s">
        <v>23479</v>
      </c>
      <c r="G3927">
        <v>1</v>
      </c>
      <c r="H3927" t="s">
        <v>1230</v>
      </c>
      <c r="J3927" t="s">
        <v>12741</v>
      </c>
      <c r="K3927" t="s">
        <v>197</v>
      </c>
      <c r="L3927" t="s">
        <v>22</v>
      </c>
      <c r="M3927" t="s">
        <v>13208</v>
      </c>
      <c r="N3927" t="s">
        <v>13215</v>
      </c>
      <c r="O3927" t="s">
        <v>13216</v>
      </c>
      <c r="P3927" s="2" t="s">
        <v>37</v>
      </c>
      <c r="Q3927" t="s">
        <v>1208</v>
      </c>
      <c r="R3927">
        <v>0.24</v>
      </c>
      <c r="S3927">
        <v>23.65</v>
      </c>
      <c r="T3927" t="s">
        <v>13217</v>
      </c>
    </row>
    <row r="3928" spans="1:20" x14ac:dyDescent="0.25">
      <c r="A3928" s="1" t="str">
        <f>HYPERLINK("https://vegkart.atlas.vegvesen.no/#/@194675.5,6567670.9,18/hva:hva%5B0%5D%5Bfilter%5D%5B0%5D%5Boperator%5D=%21%3D&amp;hva%5B0%5D%5Bfilter%5D%5B0%5D%5Btype_id%5D=8917&amp;hva%5B0%5D%5Bfilter%5D%5B0%5D%5Bverdi%5D=&amp;hva%5B0%5D%5Bid%5D=49/når:2025-10-29", "Vegkart")</f>
        <v>Vegkart</v>
      </c>
      <c r="B3928">
        <v>1025444228</v>
      </c>
      <c r="C3928">
        <v>49</v>
      </c>
      <c r="D3928" t="s">
        <v>8701</v>
      </c>
      <c r="E3928">
        <v>8917</v>
      </c>
      <c r="F3928" t="s">
        <v>23479</v>
      </c>
      <c r="G3928">
        <v>1</v>
      </c>
      <c r="H3928" t="s">
        <v>1379</v>
      </c>
      <c r="J3928" t="s">
        <v>12741</v>
      </c>
      <c r="K3928" t="s">
        <v>197</v>
      </c>
      <c r="L3928" t="s">
        <v>22</v>
      </c>
      <c r="M3928" t="s">
        <v>13218</v>
      </c>
      <c r="N3928" t="s">
        <v>13219</v>
      </c>
      <c r="O3928" t="s">
        <v>13220</v>
      </c>
      <c r="P3928" s="2" t="s">
        <v>37</v>
      </c>
      <c r="Q3928" t="s">
        <v>1208</v>
      </c>
      <c r="R3928">
        <v>0.69</v>
      </c>
      <c r="S3928">
        <v>51.85</v>
      </c>
      <c r="T3928" t="s">
        <v>13221</v>
      </c>
    </row>
    <row r="3929" spans="1:20" x14ac:dyDescent="0.25">
      <c r="A3929" s="1" t="str">
        <f>HYPERLINK("https://vegkart.atlas.vegvesen.no/#/@193372.6,6567442.3,18/hva:hva%5B0%5D%5Bfilter%5D%5B0%5D%5Boperator%5D=%21%3D&amp;hva%5B0%5D%5Bfilter%5D%5B0%5D%5Btype_id%5D=8917&amp;hva%5B0%5D%5Bfilter%5D%5B0%5D%5Bverdi%5D=&amp;hva%5B0%5D%5Bid%5D=49/når:2025-10-29", "Vegkart")</f>
        <v>Vegkart</v>
      </c>
      <c r="B3929">
        <v>1025444370</v>
      </c>
      <c r="C3929">
        <v>49</v>
      </c>
      <c r="D3929" t="s">
        <v>8701</v>
      </c>
      <c r="E3929">
        <v>8917</v>
      </c>
      <c r="F3929" t="s">
        <v>23479</v>
      </c>
      <c r="G3929">
        <v>1</v>
      </c>
      <c r="H3929" t="s">
        <v>1379</v>
      </c>
      <c r="J3929" t="s">
        <v>12741</v>
      </c>
      <c r="K3929" t="s">
        <v>197</v>
      </c>
      <c r="L3929" t="s">
        <v>22</v>
      </c>
      <c r="M3929" t="s">
        <v>13222</v>
      </c>
      <c r="N3929" t="s">
        <v>13223</v>
      </c>
      <c r="O3929" t="s">
        <v>13224</v>
      </c>
      <c r="P3929" s="2" t="s">
        <v>37</v>
      </c>
      <c r="Q3929" t="s">
        <v>1208</v>
      </c>
      <c r="R3929">
        <v>0.17</v>
      </c>
      <c r="S3929">
        <v>18.559999999999999</v>
      </c>
      <c r="T3929" t="s">
        <v>13225</v>
      </c>
    </row>
    <row r="3930" spans="1:20" x14ac:dyDescent="0.25">
      <c r="A3930" s="1" t="str">
        <f>HYPERLINK("https://vegkart.atlas.vegvesen.no/#/@193806.0,6567827.3,18/hva:hva%5B0%5D%5Bfilter%5D%5B0%5D%5Boperator%5D=%21%3D&amp;hva%5B0%5D%5Bfilter%5D%5B0%5D%5Btype_id%5D=8917&amp;hva%5B0%5D%5Bfilter%5D%5B0%5D%5Bverdi%5D=&amp;hva%5B0%5D%5Bid%5D=49/når:2025-10-30", "Vegkart")</f>
        <v>Vegkart</v>
      </c>
      <c r="B3930">
        <v>1025447758</v>
      </c>
      <c r="C3930">
        <v>49</v>
      </c>
      <c r="D3930" t="s">
        <v>8701</v>
      </c>
      <c r="E3930">
        <v>8917</v>
      </c>
      <c r="F3930" t="s">
        <v>23479</v>
      </c>
      <c r="G3930">
        <v>1</v>
      </c>
      <c r="H3930" t="s">
        <v>8750</v>
      </c>
      <c r="J3930" t="s">
        <v>12741</v>
      </c>
      <c r="K3930" t="s">
        <v>197</v>
      </c>
      <c r="L3930" t="s">
        <v>370</v>
      </c>
      <c r="M3930" t="s">
        <v>13226</v>
      </c>
      <c r="N3930" t="s">
        <v>13227</v>
      </c>
      <c r="O3930" t="s">
        <v>13228</v>
      </c>
      <c r="P3930" s="2" t="s">
        <v>37</v>
      </c>
      <c r="Q3930" t="s">
        <v>1208</v>
      </c>
      <c r="R3930">
        <v>0.32</v>
      </c>
      <c r="S3930">
        <v>12.14</v>
      </c>
      <c r="T3930" t="s">
        <v>13229</v>
      </c>
    </row>
    <row r="3931" spans="1:20" x14ac:dyDescent="0.25">
      <c r="A3931" s="1" t="str">
        <f>HYPERLINK("https://vegkart.atlas.vegvesen.no/#/@195199.5,6568808.8,18/hva:hva%5B0%5D%5Bfilter%5D%5B0%5D%5Boperator%5D=%21%3D&amp;hva%5B0%5D%5Bfilter%5D%5B0%5D%5Btype_id%5D=8917&amp;hva%5B0%5D%5Bfilter%5D%5B0%5D%5Bverdi%5D=&amp;hva%5B0%5D%5Bid%5D=49/når:2025-10-31", "Vegkart")</f>
        <v>Vegkart</v>
      </c>
      <c r="B3931">
        <v>1025451038</v>
      </c>
      <c r="C3931">
        <v>49</v>
      </c>
      <c r="D3931" t="s">
        <v>8701</v>
      </c>
      <c r="E3931">
        <v>8917</v>
      </c>
      <c r="F3931" t="s">
        <v>23479</v>
      </c>
      <c r="G3931">
        <v>1</v>
      </c>
      <c r="H3931" t="s">
        <v>13230</v>
      </c>
      <c r="J3931" t="s">
        <v>12741</v>
      </c>
      <c r="K3931" t="s">
        <v>197</v>
      </c>
      <c r="L3931" t="s">
        <v>22</v>
      </c>
      <c r="M3931" t="s">
        <v>13231</v>
      </c>
      <c r="N3931" t="s">
        <v>13232</v>
      </c>
      <c r="O3931" t="s">
        <v>13233</v>
      </c>
      <c r="P3931" s="2" t="s">
        <v>37</v>
      </c>
      <c r="Q3931" t="s">
        <v>1208</v>
      </c>
      <c r="R3931">
        <v>0.65</v>
      </c>
      <c r="S3931">
        <v>23.47</v>
      </c>
      <c r="T3931" t="s">
        <v>13234</v>
      </c>
    </row>
    <row r="3932" spans="1:20" x14ac:dyDescent="0.25">
      <c r="A3932" s="1" t="str">
        <f>HYPERLINK("https://vegkart.atlas.vegvesen.no/#/@194678.7,6568669.1,18/hva:hva%5B0%5D%5Bfilter%5D%5B0%5D%5Boperator%5D=%21%3D&amp;hva%5B0%5D%5Bfilter%5D%5B0%5D%5Btype_id%5D=8917&amp;hva%5B0%5D%5Bfilter%5D%5B0%5D%5Bverdi%5D=&amp;hva%5B0%5D%5Bid%5D=49/når:2025-10-31", "Vegkart")</f>
        <v>Vegkart</v>
      </c>
      <c r="B3932">
        <v>1025454498</v>
      </c>
      <c r="C3932">
        <v>49</v>
      </c>
      <c r="D3932" t="s">
        <v>8701</v>
      </c>
      <c r="E3932">
        <v>8917</v>
      </c>
      <c r="F3932" t="s">
        <v>23479</v>
      </c>
      <c r="G3932">
        <v>1</v>
      </c>
      <c r="H3932" t="s">
        <v>13230</v>
      </c>
      <c r="J3932" t="s">
        <v>12741</v>
      </c>
      <c r="K3932" t="s">
        <v>197</v>
      </c>
      <c r="L3932" t="s">
        <v>22</v>
      </c>
      <c r="M3932" t="s">
        <v>13235</v>
      </c>
      <c r="N3932" t="s">
        <v>13236</v>
      </c>
      <c r="O3932" t="s">
        <v>13237</v>
      </c>
      <c r="P3932" s="2" t="s">
        <v>37</v>
      </c>
      <c r="Q3932" t="s">
        <v>1208</v>
      </c>
      <c r="R3932">
        <v>0.44</v>
      </c>
      <c r="S3932">
        <v>47.11</v>
      </c>
      <c r="T3932" t="s">
        <v>13238</v>
      </c>
    </row>
    <row r="3933" spans="1:20" x14ac:dyDescent="0.25">
      <c r="A3933" s="1" t="str">
        <f>HYPERLINK("https://vegkart.atlas.vegvesen.no/#/@194645.8,6568682.3,18/hva:hva%5B0%5D%5Bfilter%5D%5B0%5D%5Boperator%5D=%21%3D&amp;hva%5B0%5D%5Bfilter%5D%5B0%5D%5Btype_id%5D=8917&amp;hva%5B0%5D%5Bfilter%5D%5B0%5D%5Bverdi%5D=&amp;hva%5B0%5D%5Bid%5D=49/når:2025-10-31", "Vegkart")</f>
        <v>Vegkart</v>
      </c>
      <c r="B3933">
        <v>1025456879</v>
      </c>
      <c r="C3933">
        <v>49</v>
      </c>
      <c r="D3933" t="s">
        <v>8701</v>
      </c>
      <c r="E3933">
        <v>8917</v>
      </c>
      <c r="F3933" t="s">
        <v>23479</v>
      </c>
      <c r="G3933">
        <v>1</v>
      </c>
      <c r="H3933" t="s">
        <v>13230</v>
      </c>
      <c r="J3933" t="s">
        <v>12741</v>
      </c>
      <c r="K3933" t="s">
        <v>197</v>
      </c>
      <c r="L3933" t="s">
        <v>22</v>
      </c>
      <c r="M3933" t="s">
        <v>13235</v>
      </c>
      <c r="N3933" t="s">
        <v>13239</v>
      </c>
      <c r="O3933" t="s">
        <v>13240</v>
      </c>
      <c r="P3933" s="2" t="s">
        <v>37</v>
      </c>
      <c r="Q3933" t="s">
        <v>1208</v>
      </c>
      <c r="R3933">
        <v>0.12</v>
      </c>
      <c r="S3933">
        <v>22.41</v>
      </c>
      <c r="T3933" t="s">
        <v>13241</v>
      </c>
    </row>
    <row r="3934" spans="1:20" x14ac:dyDescent="0.25">
      <c r="A3934" s="1" t="str">
        <f>HYPERLINK("https://vegkart.atlas.vegvesen.no/#/@195640.2,6569295.7,18/hva:hva%5B0%5D%5Bfilter%5D%5B0%5D%5Boperator%5D=%21%3D&amp;hva%5B0%5D%5Bfilter%5D%5B0%5D%5Btype_id%5D=8917&amp;hva%5B0%5D%5Bfilter%5D%5B0%5D%5Bverdi%5D=&amp;hva%5B0%5D%5Bid%5D=49/når:2025-11-03", "Vegkart")</f>
        <v>Vegkart</v>
      </c>
      <c r="B3934">
        <v>1025466494</v>
      </c>
      <c r="C3934">
        <v>49</v>
      </c>
      <c r="D3934" t="s">
        <v>8701</v>
      </c>
      <c r="E3934">
        <v>8917</v>
      </c>
      <c r="F3934" t="s">
        <v>23479</v>
      </c>
      <c r="G3934">
        <v>1</v>
      </c>
      <c r="H3934" t="s">
        <v>13242</v>
      </c>
      <c r="J3934" t="s">
        <v>12741</v>
      </c>
      <c r="K3934" t="s">
        <v>197</v>
      </c>
      <c r="L3934" t="s">
        <v>22</v>
      </c>
      <c r="M3934" t="s">
        <v>13243</v>
      </c>
      <c r="N3934" t="s">
        <v>13244</v>
      </c>
      <c r="O3934" t="s">
        <v>13245</v>
      </c>
      <c r="P3934" s="2" t="s">
        <v>37</v>
      </c>
      <c r="Q3934" t="s">
        <v>1208</v>
      </c>
      <c r="R3934">
        <v>1.1100000000000001</v>
      </c>
      <c r="S3934">
        <v>35.049999999999997</v>
      </c>
      <c r="T3934" t="s">
        <v>13246</v>
      </c>
    </row>
    <row r="3935" spans="1:20" x14ac:dyDescent="0.25">
      <c r="A3935" s="1" t="str">
        <f>HYPERLINK("https://vegkart.atlas.vegvesen.no/#/@192851.7,6567687.7,18/hva:hva%5B0%5D%5Bfilter%5D%5B0%5D%5Boperator%5D=%21%3D&amp;hva%5B0%5D%5Bfilter%5D%5B0%5D%5Btype_id%5D=8917&amp;hva%5B0%5D%5Bfilter%5D%5B0%5D%5Bverdi%5D=&amp;hva%5B0%5D%5Bid%5D=49/når:2025-11-03", "Vegkart")</f>
        <v>Vegkart</v>
      </c>
      <c r="B3935">
        <v>1025486291</v>
      </c>
      <c r="C3935">
        <v>49</v>
      </c>
      <c r="D3935" t="s">
        <v>8701</v>
      </c>
      <c r="E3935">
        <v>8917</v>
      </c>
      <c r="F3935" t="s">
        <v>23479</v>
      </c>
      <c r="G3935">
        <v>1</v>
      </c>
      <c r="H3935" t="s">
        <v>13242</v>
      </c>
      <c r="J3935" t="s">
        <v>12741</v>
      </c>
      <c r="K3935" t="s">
        <v>197</v>
      </c>
      <c r="L3935" t="s">
        <v>22</v>
      </c>
      <c r="M3935" t="s">
        <v>13247</v>
      </c>
      <c r="N3935" t="s">
        <v>13248</v>
      </c>
      <c r="O3935" t="s">
        <v>13249</v>
      </c>
      <c r="P3935" s="2" t="s">
        <v>37</v>
      </c>
      <c r="Q3935" t="s">
        <v>1208</v>
      </c>
      <c r="R3935">
        <v>0.43</v>
      </c>
      <c r="S3935">
        <v>36.08</v>
      </c>
      <c r="T3935" t="s">
        <v>13250</v>
      </c>
    </row>
    <row r="3936" spans="1:20" x14ac:dyDescent="0.25">
      <c r="A3936" s="1" t="str">
        <f>HYPERLINK("https://vegkart.atlas.vegvesen.no/#/@193038.6,6567861.0,18/hva:hva%5B0%5D%5Bfilter%5D%5B0%5D%5Boperator%5D=%21%3D&amp;hva%5B0%5D%5Bfilter%5D%5B0%5D%5Btype_id%5D=8917&amp;hva%5B0%5D%5Bfilter%5D%5B0%5D%5Bverdi%5D=&amp;hva%5B0%5D%5Bid%5D=49/når:2025-11-04", "Vegkart")</f>
        <v>Vegkart</v>
      </c>
      <c r="B3936">
        <v>1025486912</v>
      </c>
      <c r="C3936">
        <v>49</v>
      </c>
      <c r="D3936" t="s">
        <v>8701</v>
      </c>
      <c r="E3936">
        <v>8917</v>
      </c>
      <c r="F3936" t="s">
        <v>23479</v>
      </c>
      <c r="G3936">
        <v>1</v>
      </c>
      <c r="H3936" t="s">
        <v>13251</v>
      </c>
      <c r="J3936" t="s">
        <v>12741</v>
      </c>
      <c r="K3936" t="s">
        <v>197</v>
      </c>
      <c r="L3936" t="s">
        <v>22</v>
      </c>
      <c r="M3936" t="s">
        <v>1481</v>
      </c>
      <c r="N3936" t="s">
        <v>13252</v>
      </c>
      <c r="O3936" t="s">
        <v>13253</v>
      </c>
      <c r="P3936" s="2" t="s">
        <v>37</v>
      </c>
      <c r="Q3936" t="s">
        <v>1208</v>
      </c>
      <c r="R3936">
        <v>0.63</v>
      </c>
      <c r="S3936">
        <v>15.46</v>
      </c>
      <c r="T3936" t="s">
        <v>13254</v>
      </c>
    </row>
    <row r="3937" spans="1:20" x14ac:dyDescent="0.25">
      <c r="A3937" s="1" t="str">
        <f>HYPERLINK("https://vegkart.atlas.vegvesen.no/#/@194127.3,6568852.8,18/hva:hva%5B0%5D%5Bfilter%5D%5B0%5D%5Boperator%5D=%21%3D&amp;hva%5B0%5D%5Bfilter%5D%5B0%5D%5Btype_id%5D=8917&amp;hva%5B0%5D%5Bfilter%5D%5B0%5D%5Bverdi%5D=&amp;hva%5B0%5D%5Bid%5D=49/når:2025-11-06", "Vegkart")</f>
        <v>Vegkart</v>
      </c>
      <c r="B3937">
        <v>1025523133</v>
      </c>
      <c r="C3937">
        <v>49</v>
      </c>
      <c r="D3937" t="s">
        <v>8701</v>
      </c>
      <c r="E3937">
        <v>8917</v>
      </c>
      <c r="F3937" t="s">
        <v>23479</v>
      </c>
      <c r="G3937">
        <v>1</v>
      </c>
      <c r="H3937" t="s">
        <v>13255</v>
      </c>
      <c r="J3937" t="s">
        <v>13256</v>
      </c>
      <c r="K3937" t="s">
        <v>197</v>
      </c>
      <c r="L3937" t="s">
        <v>370</v>
      </c>
      <c r="M3937" t="s">
        <v>13257</v>
      </c>
      <c r="N3937" t="s">
        <v>13258</v>
      </c>
      <c r="O3937" t="s">
        <v>13259</v>
      </c>
      <c r="P3937" s="2" t="s">
        <v>37</v>
      </c>
      <c r="Q3937" t="s">
        <v>1208</v>
      </c>
      <c r="R3937">
        <v>1.0900000000000001</v>
      </c>
      <c r="S3937">
        <v>36.03</v>
      </c>
      <c r="T3937" t="s">
        <v>13260</v>
      </c>
    </row>
    <row r="3938" spans="1:20" x14ac:dyDescent="0.25">
      <c r="A3938" s="1" t="str">
        <f>HYPERLINK("https://vegkart.atlas.vegvesen.no/#/@203229.2,6561414.2,18/hva:hva%5B0%5D%5Bfilter%5D%5B0%5D%5Boperator%5D=%21%3D&amp;hva%5B0%5D%5Bfilter%5D%5B0%5D%5Btype_id%5D=8917&amp;hva%5B0%5D%5Bfilter%5D%5B0%5D%5Bverdi%5D=&amp;hva%5B0%5D%5Bid%5D=49/når:2025-11-07", "Vegkart")</f>
        <v>Vegkart</v>
      </c>
      <c r="B3938">
        <v>1025536221</v>
      </c>
      <c r="C3938">
        <v>49</v>
      </c>
      <c r="D3938" t="s">
        <v>8701</v>
      </c>
      <c r="E3938">
        <v>8917</v>
      </c>
      <c r="F3938" t="s">
        <v>23479</v>
      </c>
      <c r="G3938">
        <v>1</v>
      </c>
      <c r="H3938" t="s">
        <v>13261</v>
      </c>
      <c r="J3938" t="s">
        <v>13256</v>
      </c>
      <c r="K3938" t="s">
        <v>197</v>
      </c>
      <c r="L3938" t="s">
        <v>22</v>
      </c>
      <c r="M3938" t="s">
        <v>13262</v>
      </c>
      <c r="N3938" t="s">
        <v>13263</v>
      </c>
      <c r="O3938" t="s">
        <v>13264</v>
      </c>
      <c r="P3938" s="2" t="s">
        <v>37</v>
      </c>
      <c r="Q3938" t="s">
        <v>1208</v>
      </c>
      <c r="R3938">
        <v>0.43</v>
      </c>
      <c r="S3938">
        <v>26.15</v>
      </c>
      <c r="T3938" t="s">
        <v>13265</v>
      </c>
    </row>
    <row r="3939" spans="1:20" x14ac:dyDescent="0.25">
      <c r="A3939" s="1" t="str">
        <f>HYPERLINK("https://vegkart.atlas.vegvesen.no/#/@194645.5,6568654.9,18/hva:hva%5B0%5D%5Bfilter%5D%5B0%5D%5Boperator%5D=%21%3D&amp;hva%5B0%5D%5Bfilter%5D%5B0%5D%5Btype_id%5D=8917&amp;hva%5B0%5D%5Bfilter%5D%5B0%5D%5Bverdi%5D=&amp;hva%5B0%5D%5Bid%5D=49/når:2025-11-11", "Vegkart")</f>
        <v>Vegkart</v>
      </c>
      <c r="B3939">
        <v>1025561079</v>
      </c>
      <c r="C3939">
        <v>49</v>
      </c>
      <c r="D3939" t="s">
        <v>8701</v>
      </c>
      <c r="E3939">
        <v>8917</v>
      </c>
      <c r="F3939" t="s">
        <v>23479</v>
      </c>
      <c r="G3939">
        <v>1</v>
      </c>
      <c r="H3939" t="s">
        <v>8773</v>
      </c>
      <c r="J3939" t="s">
        <v>13256</v>
      </c>
      <c r="K3939" t="s">
        <v>197</v>
      </c>
      <c r="L3939" t="s">
        <v>22</v>
      </c>
      <c r="M3939" t="s">
        <v>13235</v>
      </c>
      <c r="N3939" t="s">
        <v>13266</v>
      </c>
      <c r="O3939" t="s">
        <v>13267</v>
      </c>
      <c r="P3939" s="2" t="s">
        <v>37</v>
      </c>
      <c r="Q3939" t="s">
        <v>1208</v>
      </c>
      <c r="R3939">
        <v>0.4</v>
      </c>
      <c r="S3939">
        <v>19.64</v>
      </c>
      <c r="T3939" t="s">
        <v>13268</v>
      </c>
    </row>
    <row r="3940" spans="1:20" x14ac:dyDescent="0.25">
      <c r="A3940" s="1" t="str">
        <f>HYPERLINK("https://vegkart.atlas.vegvesen.no/#/@54909.5,6457227.9,18/hva:hva%5B0%5D%5Bfilter%5D%5B0%5D%5Boperator%5D=%21%3D&amp;hva%5B0%5D%5Bfilter%5D%5B0%5D%5Btype_id%5D=8917&amp;hva%5B0%5D%5Bfilter%5D%5B0%5D%5Bverdi%5D=&amp;hva%5B0%5D%5Bid%5D=49/når:2025-11-19", "Vegkart")</f>
        <v>Vegkart</v>
      </c>
      <c r="B3940">
        <v>1025729804</v>
      </c>
      <c r="C3940">
        <v>49</v>
      </c>
      <c r="D3940" t="s">
        <v>8701</v>
      </c>
      <c r="E3940">
        <v>8917</v>
      </c>
      <c r="F3940" t="s">
        <v>23479</v>
      </c>
      <c r="G3940">
        <v>1</v>
      </c>
      <c r="H3940" t="s">
        <v>2925</v>
      </c>
      <c r="J3940" t="s">
        <v>13256</v>
      </c>
      <c r="K3940" t="s">
        <v>86</v>
      </c>
      <c r="L3940" t="s">
        <v>33</v>
      </c>
      <c r="M3940" t="s">
        <v>13269</v>
      </c>
      <c r="N3940" t="s">
        <v>13270</v>
      </c>
      <c r="O3940" t="s">
        <v>13271</v>
      </c>
      <c r="P3940" s="2" t="s">
        <v>37</v>
      </c>
      <c r="Q3940" t="s">
        <v>1208</v>
      </c>
      <c r="R3940">
        <v>0</v>
      </c>
      <c r="S3940">
        <v>29.5</v>
      </c>
      <c r="T3940" t="s">
        <v>13272</v>
      </c>
    </row>
    <row r="3941" spans="1:20" x14ac:dyDescent="0.25">
      <c r="A3941" s="1" t="str">
        <f>HYPERLINK("https://vegkart.atlas.vegvesen.no/#/@95037.6,6474434.7,18/hva:hva%5B0%5D%5Bfilter%5D%5B0%5D%5Boperator%5D=%21%3D&amp;hva%5B0%5D%5Bfilter%5D%5B0%5D%5Btype_id%5D=8917&amp;hva%5B0%5D%5Bfilter%5D%5B0%5D%5Bverdi%5D=&amp;hva%5B0%5D%5Bid%5D=49/når:2025-11-26", "Vegkart")</f>
        <v>Vegkart</v>
      </c>
      <c r="B3941">
        <v>1025850293</v>
      </c>
      <c r="C3941">
        <v>49</v>
      </c>
      <c r="D3941" t="s">
        <v>8701</v>
      </c>
      <c r="E3941">
        <v>8917</v>
      </c>
      <c r="F3941" t="s">
        <v>23479</v>
      </c>
      <c r="G3941">
        <v>1</v>
      </c>
      <c r="H3941" t="s">
        <v>778</v>
      </c>
      <c r="J3941" t="s">
        <v>13273</v>
      </c>
      <c r="K3941" t="s">
        <v>86</v>
      </c>
      <c r="L3941" t="s">
        <v>33</v>
      </c>
      <c r="M3941" t="s">
        <v>8685</v>
      </c>
      <c r="N3941" t="s">
        <v>13274</v>
      </c>
      <c r="O3941" t="s">
        <v>13275</v>
      </c>
      <c r="P3941" s="2" t="s">
        <v>37</v>
      </c>
      <c r="Q3941" t="s">
        <v>1208</v>
      </c>
      <c r="R3941">
        <v>2.27</v>
      </c>
      <c r="S3941">
        <v>86.96</v>
      </c>
      <c r="T3941" t="s">
        <v>13276</v>
      </c>
    </row>
    <row r="3942" spans="1:20" x14ac:dyDescent="0.25">
      <c r="A3942" s="1" t="str">
        <f>HYPERLINK("https://vegkart.atlas.vegvesen.no/#/@95052.0,6474413.1,18/hva:hva%5B0%5D%5Bfilter%5D%5B0%5D%5Boperator%5D=%21%3D&amp;hva%5B0%5D%5Bfilter%5D%5B0%5D%5Btype_id%5D=8917&amp;hva%5B0%5D%5Bfilter%5D%5B0%5D%5Bverdi%5D=&amp;hva%5B0%5D%5Bid%5D=49/når:2025-11-26", "Vegkart")</f>
        <v>Vegkart</v>
      </c>
      <c r="B3942">
        <v>1025850294</v>
      </c>
      <c r="C3942">
        <v>49</v>
      </c>
      <c r="D3942" t="s">
        <v>8701</v>
      </c>
      <c r="E3942">
        <v>8917</v>
      </c>
      <c r="F3942" t="s">
        <v>23479</v>
      </c>
      <c r="G3942">
        <v>1</v>
      </c>
      <c r="H3942" t="s">
        <v>778</v>
      </c>
      <c r="J3942" t="s">
        <v>13273</v>
      </c>
      <c r="K3942" t="s">
        <v>86</v>
      </c>
      <c r="L3942" t="s">
        <v>33</v>
      </c>
      <c r="M3942" t="s">
        <v>8685</v>
      </c>
      <c r="N3942" t="s">
        <v>13277</v>
      </c>
      <c r="O3942" t="s">
        <v>13278</v>
      </c>
      <c r="P3942" s="2" t="s">
        <v>37</v>
      </c>
      <c r="Q3942" t="s">
        <v>1208</v>
      </c>
      <c r="R3942">
        <v>0</v>
      </c>
      <c r="S3942">
        <v>27.76</v>
      </c>
      <c r="T3942" t="s">
        <v>13279</v>
      </c>
    </row>
    <row r="3943" spans="1:20" x14ac:dyDescent="0.25">
      <c r="A3943" s="1" t="str">
        <f>HYPERLINK("https://vegkart.atlas.vegvesen.no/#/@268705.6,6651542.2,18/hva:hva%5B0%5D%5Bfilter%5D%5B0%5D%5Boperator%5D=%21%3D&amp;hva%5B0%5D%5Bfilter%5D%5B0%5D%5Btype_id%5D=8917&amp;hva%5B0%5D%5Bfilter%5D%5B0%5D%5Bverdi%5D=&amp;hva%5B0%5D%5Bid%5D=49/når:2025-12-04", "Vegkart")</f>
        <v>Vegkart</v>
      </c>
      <c r="B3943">
        <v>1025926279</v>
      </c>
      <c r="C3943">
        <v>49</v>
      </c>
      <c r="D3943" t="s">
        <v>8701</v>
      </c>
      <c r="E3943">
        <v>8917</v>
      </c>
      <c r="F3943" t="s">
        <v>23479</v>
      </c>
      <c r="G3943">
        <v>1</v>
      </c>
      <c r="H3943" t="s">
        <v>13280</v>
      </c>
      <c r="J3943" t="s">
        <v>13281</v>
      </c>
      <c r="K3943" t="s">
        <v>335</v>
      </c>
      <c r="L3943" t="s">
        <v>113</v>
      </c>
      <c r="M3943" t="s">
        <v>13282</v>
      </c>
      <c r="N3943" t="s">
        <v>13283</v>
      </c>
      <c r="O3943" t="s">
        <v>13284</v>
      </c>
      <c r="P3943" s="2" t="s">
        <v>37</v>
      </c>
      <c r="Q3943" t="s">
        <v>1208</v>
      </c>
      <c r="R3943">
        <v>0</v>
      </c>
      <c r="S3943">
        <v>34.520000000000003</v>
      </c>
      <c r="T3943" t="s">
        <v>13285</v>
      </c>
    </row>
    <row r="3944" spans="1:20" x14ac:dyDescent="0.25">
      <c r="A3944" s="1" t="str">
        <f>HYPERLINK("https://vegkart.atlas.vegvesen.no/#/@238231.7,6591120.9,18/hva:hva%5B0%5D%5Bfilter%5D%5B0%5D%5Boperator%5D=%21%3D&amp;hva%5B0%5D%5Bfilter%5D%5B0%5D%5Btype_id%5D=8917&amp;hva%5B0%5D%5Bfilter%5D%5B0%5D%5Bverdi%5D=&amp;hva%5B0%5D%5Bid%5D=49/når:2025-12-08", "Vegkart")</f>
        <v>Vegkart</v>
      </c>
      <c r="B3944">
        <v>1025970564</v>
      </c>
      <c r="C3944">
        <v>49</v>
      </c>
      <c r="D3944" t="s">
        <v>8701</v>
      </c>
      <c r="E3944">
        <v>8917</v>
      </c>
      <c r="F3944" t="s">
        <v>23479</v>
      </c>
      <c r="G3944">
        <v>1</v>
      </c>
      <c r="H3944" t="s">
        <v>412</v>
      </c>
      <c r="J3944" t="s">
        <v>13286</v>
      </c>
      <c r="K3944" t="s">
        <v>81</v>
      </c>
      <c r="L3944" t="s">
        <v>113</v>
      </c>
      <c r="M3944" t="s">
        <v>2383</v>
      </c>
      <c r="N3944" t="s">
        <v>13287</v>
      </c>
      <c r="O3944" t="s">
        <v>13288</v>
      </c>
      <c r="P3944" s="2" t="s">
        <v>37</v>
      </c>
      <c r="Q3944" t="s">
        <v>1208</v>
      </c>
      <c r="R3944">
        <v>0</v>
      </c>
      <c r="S3944">
        <v>25.19</v>
      </c>
      <c r="T3944" t="s">
        <v>13289</v>
      </c>
    </row>
    <row r="3945" spans="1:20" x14ac:dyDescent="0.25">
      <c r="A3945" s="1" t="str">
        <f>HYPERLINK("https://vegkart.atlas.vegvesen.no/#/@238257.0,6591122.8,18/hva:hva%5B0%5D%5Bfilter%5D%5B0%5D%5Boperator%5D=%21%3D&amp;hva%5B0%5D%5Bfilter%5D%5B0%5D%5Btype_id%5D=8917&amp;hva%5B0%5D%5Bfilter%5D%5B0%5D%5Bverdi%5D=&amp;hva%5B0%5D%5Bid%5D=49/når:2025-12-08", "Vegkart")</f>
        <v>Vegkart</v>
      </c>
      <c r="B3945">
        <v>1025970565</v>
      </c>
      <c r="C3945">
        <v>49</v>
      </c>
      <c r="D3945" t="s">
        <v>8701</v>
      </c>
      <c r="E3945">
        <v>8917</v>
      </c>
      <c r="F3945" t="s">
        <v>23479</v>
      </c>
      <c r="G3945">
        <v>1</v>
      </c>
      <c r="H3945" t="s">
        <v>412</v>
      </c>
      <c r="J3945" t="s">
        <v>13286</v>
      </c>
      <c r="K3945" t="s">
        <v>81</v>
      </c>
      <c r="L3945" t="s">
        <v>113</v>
      </c>
      <c r="M3945" t="s">
        <v>2383</v>
      </c>
      <c r="N3945" t="s">
        <v>13290</v>
      </c>
      <c r="O3945" t="s">
        <v>13291</v>
      </c>
      <c r="P3945" s="2" t="s">
        <v>37</v>
      </c>
      <c r="Q3945" t="s">
        <v>1208</v>
      </c>
      <c r="R3945">
        <v>0.05</v>
      </c>
      <c r="S3945">
        <v>76.02</v>
      </c>
      <c r="T3945" t="s">
        <v>13292</v>
      </c>
    </row>
    <row r="3946" spans="1:20" x14ac:dyDescent="0.25">
      <c r="A3946" s="1" t="str">
        <f>HYPERLINK("https://vegkart.atlas.vegvesen.no/#/@238283.1,6591123.8,18/hva:hva%5B0%5D%5Bfilter%5D%5B0%5D%5Boperator%5D=%21%3D&amp;hva%5B0%5D%5Bfilter%5D%5B0%5D%5Btype_id%5D=8917&amp;hva%5B0%5D%5Bfilter%5D%5B0%5D%5Bverdi%5D=&amp;hva%5B0%5D%5Bid%5D=49/når:2025-12-08", "Vegkart")</f>
        <v>Vegkart</v>
      </c>
      <c r="B3946">
        <v>1025970566</v>
      </c>
      <c r="C3946">
        <v>49</v>
      </c>
      <c r="D3946" t="s">
        <v>8701</v>
      </c>
      <c r="E3946">
        <v>8917</v>
      </c>
      <c r="F3946" t="s">
        <v>23479</v>
      </c>
      <c r="G3946">
        <v>1</v>
      </c>
      <c r="H3946" t="s">
        <v>412</v>
      </c>
      <c r="J3946" t="s">
        <v>13286</v>
      </c>
      <c r="K3946" t="s">
        <v>81</v>
      </c>
      <c r="L3946" t="s">
        <v>113</v>
      </c>
      <c r="M3946" t="s">
        <v>2383</v>
      </c>
      <c r="N3946" t="s">
        <v>13293</v>
      </c>
      <c r="O3946" t="s">
        <v>13294</v>
      </c>
      <c r="P3946" s="2" t="s">
        <v>37</v>
      </c>
      <c r="Q3946" t="s">
        <v>1208</v>
      </c>
      <c r="R3946">
        <v>0</v>
      </c>
      <c r="S3946">
        <v>28.57</v>
      </c>
      <c r="T3946" t="s">
        <v>13295</v>
      </c>
    </row>
    <row r="3947" spans="1:20" x14ac:dyDescent="0.25">
      <c r="A3947" s="1" t="str">
        <f>HYPERLINK("https://vegkart.atlas.vegvesen.no/#/@55303.4,6456856.4,18/hva:hva%5B0%5D%5Bfilter%5D%5B0%5D%5Boperator%5D=%21%3D&amp;hva%5B0%5D%5Bfilter%5D%5B0%5D%5Btype_id%5D=8917&amp;hva%5B0%5D%5Bfilter%5D%5B0%5D%5Bverdi%5D=&amp;hva%5B0%5D%5Bid%5D=49/når:2025-12-09", "Vegkart")</f>
        <v>Vegkart</v>
      </c>
      <c r="B3947">
        <v>1025984980</v>
      </c>
      <c r="C3947">
        <v>49</v>
      </c>
      <c r="D3947" t="s">
        <v>8701</v>
      </c>
      <c r="E3947">
        <v>8917</v>
      </c>
      <c r="F3947" t="s">
        <v>23479</v>
      </c>
      <c r="G3947">
        <v>1</v>
      </c>
      <c r="H3947" t="s">
        <v>13296</v>
      </c>
      <c r="J3947" t="s">
        <v>13297</v>
      </c>
      <c r="K3947" t="s">
        <v>86</v>
      </c>
      <c r="L3947" t="s">
        <v>22</v>
      </c>
      <c r="M3947" t="s">
        <v>11400</v>
      </c>
      <c r="N3947" t="s">
        <v>13298</v>
      </c>
      <c r="O3947" t="s">
        <v>13299</v>
      </c>
      <c r="P3947" s="2" t="s">
        <v>37</v>
      </c>
      <c r="Q3947" t="s">
        <v>1208</v>
      </c>
      <c r="R3947">
        <v>0.18</v>
      </c>
      <c r="S3947">
        <v>17.18</v>
      </c>
      <c r="T3947" t="s">
        <v>13300</v>
      </c>
    </row>
    <row r="3948" spans="1:20" x14ac:dyDescent="0.25">
      <c r="A3948" s="1" t="str">
        <f>HYPERLINK("https://vegkart.atlas.vegvesen.no/#/@55433.3,6456837.5,18/hva:hva%5B0%5D%5Bfilter%5D%5B0%5D%5Boperator%5D=%21%3D&amp;hva%5B0%5D%5Bfilter%5D%5B0%5D%5Btype_id%5D=8917&amp;hva%5B0%5D%5Bfilter%5D%5B0%5D%5Bverdi%5D=&amp;hva%5B0%5D%5Bid%5D=49/når:2025-12-10", "Vegkart")</f>
        <v>Vegkart</v>
      </c>
      <c r="B3948">
        <v>1025990449</v>
      </c>
      <c r="C3948">
        <v>49</v>
      </c>
      <c r="D3948" t="s">
        <v>8701</v>
      </c>
      <c r="E3948">
        <v>8917</v>
      </c>
      <c r="F3948" t="s">
        <v>23479</v>
      </c>
      <c r="G3948">
        <v>1</v>
      </c>
      <c r="H3948" t="s">
        <v>2660</v>
      </c>
      <c r="J3948" t="s">
        <v>13301</v>
      </c>
      <c r="K3948" t="s">
        <v>86</v>
      </c>
      <c r="L3948" t="s">
        <v>22</v>
      </c>
      <c r="M3948" t="s">
        <v>12357</v>
      </c>
      <c r="N3948" t="s">
        <v>13302</v>
      </c>
      <c r="O3948" t="s">
        <v>13303</v>
      </c>
      <c r="P3948" s="2" t="s">
        <v>37</v>
      </c>
      <c r="Q3948" t="s">
        <v>1208</v>
      </c>
      <c r="R3948">
        <v>0.56000000000000005</v>
      </c>
      <c r="S3948">
        <v>9.5299999999999994</v>
      </c>
      <c r="T3948" t="s">
        <v>13304</v>
      </c>
    </row>
    <row r="3949" spans="1:20" x14ac:dyDescent="0.25">
      <c r="A3949" s="1" t="str">
        <f>HYPERLINK("https://vegkart.atlas.vegvesen.no/#/@53870.2,6458176.4,18/hva:hva%5B0%5D%5Bfilter%5D%5B0%5D%5Boperator%5D=%21%3D&amp;hva%5B0%5D%5Bfilter%5D%5B0%5D%5Btype_id%5D=8917&amp;hva%5B0%5D%5Bfilter%5D%5B0%5D%5Bverdi%5D=&amp;hva%5B0%5D%5Bid%5D=49/når:2025-12-10", "Vegkart")</f>
        <v>Vegkart</v>
      </c>
      <c r="B3949">
        <v>1025993050</v>
      </c>
      <c r="C3949">
        <v>49</v>
      </c>
      <c r="D3949" t="s">
        <v>8701</v>
      </c>
      <c r="E3949">
        <v>8917</v>
      </c>
      <c r="F3949" t="s">
        <v>23479</v>
      </c>
      <c r="G3949">
        <v>1</v>
      </c>
      <c r="H3949" t="s">
        <v>2660</v>
      </c>
      <c r="J3949" t="s">
        <v>13305</v>
      </c>
      <c r="K3949" t="s">
        <v>86</v>
      </c>
      <c r="L3949" t="s">
        <v>22</v>
      </c>
      <c r="M3949" t="s">
        <v>13306</v>
      </c>
      <c r="N3949" t="s">
        <v>13307</v>
      </c>
      <c r="O3949" t="s">
        <v>13308</v>
      </c>
      <c r="P3949" s="2" t="s">
        <v>37</v>
      </c>
      <c r="Q3949" t="s">
        <v>1208</v>
      </c>
      <c r="R3949">
        <v>0.22</v>
      </c>
      <c r="S3949">
        <v>11.76</v>
      </c>
      <c r="T3949" t="s">
        <v>13309</v>
      </c>
    </row>
    <row r="3950" spans="1:20" x14ac:dyDescent="0.25">
      <c r="A3950" s="1" t="str">
        <f>HYPERLINK("https://vegkart.atlas.vegvesen.no/#/@54821.2,6456634.8,18/hva:hva%5B0%5D%5Bfilter%5D%5B0%5D%5Boperator%5D=%21%3D&amp;hva%5B0%5D%5Bfilter%5D%5B0%5D%5Btype_id%5D=8917&amp;hva%5B0%5D%5Bfilter%5D%5B0%5D%5Bverdi%5D=&amp;hva%5B0%5D%5Bid%5D=49/når:2025-12-11", "Vegkart")</f>
        <v>Vegkart</v>
      </c>
      <c r="B3950">
        <v>1026010014</v>
      </c>
      <c r="C3950">
        <v>49</v>
      </c>
      <c r="D3950" t="s">
        <v>8701</v>
      </c>
      <c r="E3950">
        <v>8917</v>
      </c>
      <c r="F3950" t="s">
        <v>23479</v>
      </c>
      <c r="G3950">
        <v>1</v>
      </c>
      <c r="H3950" t="s">
        <v>13310</v>
      </c>
      <c r="J3950" t="s">
        <v>13311</v>
      </c>
      <c r="K3950" t="s">
        <v>86</v>
      </c>
      <c r="L3950" t="s">
        <v>22</v>
      </c>
      <c r="M3950" t="s">
        <v>13312</v>
      </c>
      <c r="N3950" t="s">
        <v>13313</v>
      </c>
      <c r="O3950" t="s">
        <v>13314</v>
      </c>
      <c r="P3950" s="2" t="s">
        <v>37</v>
      </c>
      <c r="Q3950" t="s">
        <v>1208</v>
      </c>
      <c r="R3950">
        <v>0.43</v>
      </c>
      <c r="S3950">
        <v>23.49</v>
      </c>
      <c r="T3950" t="s">
        <v>13315</v>
      </c>
    </row>
    <row r="3951" spans="1:20" x14ac:dyDescent="0.25">
      <c r="A3951" s="1" t="str">
        <f>HYPERLINK("https://vegkart.atlas.vegvesen.no/#/@293264.6,6559220.8,18/hva:hva%5B0%5D%5Bfilter%5D%5B0%5D%5Boperator%5D=%21%3D&amp;hva%5B0%5D%5Bfilter%5D%5B0%5D%5Btype_id%5D=8917&amp;hva%5B0%5D%5Bfilter%5D%5B0%5D%5Bverdi%5D=&amp;hva%5B0%5D%5Bid%5D=49/når:2025-12-13", "Vegkart")</f>
        <v>Vegkart</v>
      </c>
      <c r="B3951">
        <v>1026024777</v>
      </c>
      <c r="C3951">
        <v>49</v>
      </c>
      <c r="D3951" t="s">
        <v>8701</v>
      </c>
      <c r="E3951">
        <v>8917</v>
      </c>
      <c r="F3951" t="s">
        <v>23479</v>
      </c>
      <c r="G3951">
        <v>1</v>
      </c>
      <c r="H3951" t="s">
        <v>9149</v>
      </c>
      <c r="J3951" t="s">
        <v>13316</v>
      </c>
      <c r="K3951" t="s">
        <v>104</v>
      </c>
      <c r="L3951" t="s">
        <v>33</v>
      </c>
      <c r="M3951" t="s">
        <v>8758</v>
      </c>
      <c r="N3951" t="s">
        <v>13317</v>
      </c>
      <c r="O3951" t="s">
        <v>13318</v>
      </c>
      <c r="P3951" s="2" t="s">
        <v>165</v>
      </c>
      <c r="Q3951" t="s">
        <v>166</v>
      </c>
      <c r="R3951">
        <v>0.01</v>
      </c>
      <c r="S3951">
        <v>34.25</v>
      </c>
      <c r="T3951" t="s">
        <v>167</v>
      </c>
    </row>
    <row r="3952" spans="1:20" x14ac:dyDescent="0.25">
      <c r="A3952" s="1" t="str">
        <f>HYPERLINK("https://vegkart.atlas.vegvesen.no/#/@293252.8,6559208.5,18/hva:hva%5B0%5D%5Bfilter%5D%5B0%5D%5Boperator%5D=%21%3D&amp;hva%5B0%5D%5Bfilter%5D%5B0%5D%5Btype_id%5D=8917&amp;hva%5B0%5D%5Bfilter%5D%5B0%5D%5Bverdi%5D=&amp;hva%5B0%5D%5Bid%5D=49/når:2025-12-13", "Vegkart")</f>
        <v>Vegkart</v>
      </c>
      <c r="B3952">
        <v>1026024778</v>
      </c>
      <c r="C3952">
        <v>49</v>
      </c>
      <c r="D3952" t="s">
        <v>8701</v>
      </c>
      <c r="E3952">
        <v>8917</v>
      </c>
      <c r="F3952" t="s">
        <v>23479</v>
      </c>
      <c r="G3952">
        <v>1</v>
      </c>
      <c r="H3952" t="s">
        <v>9149</v>
      </c>
      <c r="J3952" t="s">
        <v>9150</v>
      </c>
      <c r="K3952" t="s">
        <v>104</v>
      </c>
      <c r="L3952" t="s">
        <v>33</v>
      </c>
      <c r="M3952" t="s">
        <v>8758</v>
      </c>
      <c r="N3952" t="s">
        <v>13319</v>
      </c>
      <c r="O3952" t="s">
        <v>13320</v>
      </c>
      <c r="P3952" s="2" t="s">
        <v>37</v>
      </c>
      <c r="Q3952" t="s">
        <v>1208</v>
      </c>
      <c r="R3952">
        <v>0.02</v>
      </c>
      <c r="S3952">
        <v>10.81</v>
      </c>
      <c r="T3952" t="s">
        <v>13321</v>
      </c>
    </row>
    <row r="3953" spans="1:20" x14ac:dyDescent="0.25">
      <c r="A3953" s="1" t="str">
        <f>HYPERLINK("https://vegkart.atlas.vegvesen.no/#/@36874.7,6460749.9,18/hva:hva%5B0%5D%5Bfilter%5D%5B0%5D%5Boperator%5D=%21%3D&amp;hva%5B0%5D%5Bfilter%5D%5B0%5D%5Btype_id%5D=8917&amp;hva%5B0%5D%5Bfilter%5D%5B0%5D%5Bverdi%5D=&amp;hva%5B0%5D%5Bid%5D=49/når:2025-12-14", "Vegkart")</f>
        <v>Vegkart</v>
      </c>
      <c r="B3953">
        <v>1026025279</v>
      </c>
      <c r="C3953">
        <v>49</v>
      </c>
      <c r="D3953" t="s">
        <v>8701</v>
      </c>
      <c r="E3953">
        <v>8917</v>
      </c>
      <c r="F3953" t="s">
        <v>23479</v>
      </c>
      <c r="G3953">
        <v>1</v>
      </c>
      <c r="H3953" t="s">
        <v>13322</v>
      </c>
      <c r="J3953" t="s">
        <v>13323</v>
      </c>
      <c r="K3953" t="s">
        <v>86</v>
      </c>
      <c r="L3953" t="s">
        <v>22</v>
      </c>
      <c r="M3953" t="s">
        <v>13324</v>
      </c>
      <c r="N3953" t="s">
        <v>13325</v>
      </c>
      <c r="O3953" t="s">
        <v>13326</v>
      </c>
      <c r="P3953" s="2" t="s">
        <v>37</v>
      </c>
      <c r="Q3953" t="s">
        <v>1208</v>
      </c>
      <c r="R3953">
        <v>0.5</v>
      </c>
      <c r="S3953">
        <v>40.78</v>
      </c>
      <c r="T3953" t="s">
        <v>13327</v>
      </c>
    </row>
    <row r="3954" spans="1:20" x14ac:dyDescent="0.25">
      <c r="A3954" s="1" t="str">
        <f>HYPERLINK("https://vegkart.atlas.vegvesen.no/#/@54407.4,6457010.2,18/hva:hva%5B0%5D%5Bfilter%5D%5B0%5D%5Boperator%5D=%21%3D&amp;hva%5B0%5D%5Bfilter%5D%5B0%5D%5Btype_id%5D=8917&amp;hva%5B0%5D%5Bfilter%5D%5B0%5D%5Bverdi%5D=&amp;hva%5B0%5D%5Bid%5D=49/når:2025-12-15", "Vegkart")</f>
        <v>Vegkart</v>
      </c>
      <c r="B3954">
        <v>1026054678</v>
      </c>
      <c r="C3954">
        <v>49</v>
      </c>
      <c r="D3954" t="s">
        <v>8701</v>
      </c>
      <c r="E3954">
        <v>8917</v>
      </c>
      <c r="F3954" t="s">
        <v>23479</v>
      </c>
      <c r="G3954">
        <v>1</v>
      </c>
      <c r="H3954" t="s">
        <v>608</v>
      </c>
      <c r="J3954" t="s">
        <v>13328</v>
      </c>
      <c r="K3954" t="s">
        <v>86</v>
      </c>
      <c r="L3954" t="s">
        <v>22</v>
      </c>
      <c r="M3954" t="s">
        <v>13329</v>
      </c>
      <c r="N3954" t="s">
        <v>13330</v>
      </c>
      <c r="O3954" t="s">
        <v>13331</v>
      </c>
      <c r="P3954" s="2" t="s">
        <v>37</v>
      </c>
      <c r="Q3954" t="s">
        <v>1208</v>
      </c>
      <c r="R3954">
        <v>0.36</v>
      </c>
      <c r="S3954">
        <v>37.159999999999997</v>
      </c>
      <c r="T3954" t="s">
        <v>13332</v>
      </c>
    </row>
    <row r="3955" spans="1:20" x14ac:dyDescent="0.25">
      <c r="A3955" s="1" t="str">
        <f>HYPERLINK("https://vegkart.atlas.vegvesen.no/#/@54378.8,6457115.8,18/hva:hva%5B0%5D%5Bfilter%5D%5B0%5D%5Boperator%5D=%21%3D&amp;hva%5B0%5D%5Bfilter%5D%5B0%5D%5Btype_id%5D=8917&amp;hva%5B0%5D%5Bfilter%5D%5B0%5D%5Bverdi%5D=&amp;hva%5B0%5D%5Bid%5D=49/når:2025-12-20", "Vegkart")</f>
        <v>Vegkart</v>
      </c>
      <c r="B3955">
        <v>1026095068</v>
      </c>
      <c r="C3955">
        <v>49</v>
      </c>
      <c r="D3955" t="s">
        <v>8701</v>
      </c>
      <c r="E3955">
        <v>8917</v>
      </c>
      <c r="F3955" t="s">
        <v>23479</v>
      </c>
      <c r="G3955">
        <v>1</v>
      </c>
      <c r="H3955" t="s">
        <v>13333</v>
      </c>
      <c r="J3955" t="s">
        <v>13334</v>
      </c>
      <c r="K3955" t="s">
        <v>86</v>
      </c>
      <c r="L3955" t="s">
        <v>22</v>
      </c>
      <c r="M3955" t="s">
        <v>13335</v>
      </c>
      <c r="N3955" t="s">
        <v>13336</v>
      </c>
      <c r="O3955" t="s">
        <v>13337</v>
      </c>
      <c r="P3955" s="2" t="s">
        <v>37</v>
      </c>
      <c r="Q3955" t="s">
        <v>1208</v>
      </c>
      <c r="R3955">
        <v>0.43</v>
      </c>
      <c r="S3955">
        <v>30.48</v>
      </c>
      <c r="T3955" t="s">
        <v>13338</v>
      </c>
    </row>
    <row r="3956" spans="1:20" x14ac:dyDescent="0.25">
      <c r="A3956" s="1" t="str">
        <f>HYPERLINK("https://vegkart.atlas.vegvesen.no/#/@47011.6,6463662.4,18/hva:hva%5B0%5D%5Bfilter%5D%5B0%5D%5Boperator%5D=%21%3D&amp;hva%5B0%5D%5Bfilter%5D%5B0%5D%5Btype_id%5D=8917&amp;hva%5B0%5D%5Bfilter%5D%5B0%5D%5Bverdi%5D=&amp;hva%5B0%5D%5Bid%5D=49/når:2026-01-05", "Vegkart")</f>
        <v>Vegkart</v>
      </c>
      <c r="B3956">
        <v>1026108863</v>
      </c>
      <c r="C3956">
        <v>49</v>
      </c>
      <c r="D3956" t="s">
        <v>8701</v>
      </c>
      <c r="E3956">
        <v>8917</v>
      </c>
      <c r="F3956" t="s">
        <v>23479</v>
      </c>
      <c r="G3956">
        <v>1</v>
      </c>
      <c r="H3956" t="s">
        <v>13339</v>
      </c>
      <c r="J3956" t="s">
        <v>13340</v>
      </c>
      <c r="K3956" t="s">
        <v>86</v>
      </c>
      <c r="L3956" t="s">
        <v>22</v>
      </c>
      <c r="M3956" t="s">
        <v>13341</v>
      </c>
      <c r="N3956" t="s">
        <v>13342</v>
      </c>
      <c r="O3956" t="s">
        <v>13343</v>
      </c>
      <c r="P3956" s="2" t="s">
        <v>37</v>
      </c>
      <c r="Q3956" t="s">
        <v>1208</v>
      </c>
      <c r="R3956">
        <v>0.56000000000000005</v>
      </c>
      <c r="S3956">
        <v>25.59</v>
      </c>
      <c r="T3956" t="s">
        <v>13344</v>
      </c>
    </row>
    <row r="3957" spans="1:20" x14ac:dyDescent="0.25">
      <c r="A3957" s="1" t="str">
        <f>HYPERLINK("https://vegkart.atlas.vegvesen.no/#/@203191.7,6619539.9,18/hva:hva%5B0%5D%5Bfilter%5D%5B0%5D%5Boperator%5D=%21%3D&amp;hva%5B0%5D%5Bfilter%5D%5B0%5D%5Btype_id%5D=4820&amp;hva%5B0%5D%5Bfilter%5D%5B0%5D%5Bverdi%5D=&amp;hva%5B0%5D%5Bid%5D=144/når:2018-08-02", "Vegkart")</f>
        <v>Vegkart</v>
      </c>
      <c r="B3957">
        <v>81578470</v>
      </c>
      <c r="C3957">
        <v>144</v>
      </c>
      <c r="D3957" t="s">
        <v>13345</v>
      </c>
      <c r="E3957">
        <v>4820</v>
      </c>
      <c r="F3957" t="s">
        <v>23479</v>
      </c>
      <c r="G3957">
        <v>2</v>
      </c>
      <c r="H3957" t="s">
        <v>13346</v>
      </c>
      <c r="J3957" t="s">
        <v>13347</v>
      </c>
      <c r="K3957" t="s">
        <v>307</v>
      </c>
      <c r="L3957" t="s">
        <v>33</v>
      </c>
      <c r="M3957" t="s">
        <v>197</v>
      </c>
      <c r="N3957" t="s">
        <v>13348</v>
      </c>
      <c r="O3957" t="s">
        <v>13349</v>
      </c>
      <c r="P3957" s="2" t="s">
        <v>67</v>
      </c>
      <c r="Q3957" t="s">
        <v>68</v>
      </c>
      <c r="R3957">
        <v>35.93</v>
      </c>
      <c r="S3957">
        <v>35.93</v>
      </c>
      <c r="T3957" t="s">
        <v>13350</v>
      </c>
    </row>
    <row r="3958" spans="1:20" x14ac:dyDescent="0.25">
      <c r="A3958" s="1" t="str">
        <f>HYPERLINK("https://vegkart.atlas.vegvesen.no/#/@203262.6,6619524.1,18/hva:hva%5B0%5D%5Bfilter%5D%5B0%5D%5Boperator%5D=%21%3D&amp;hva%5B0%5D%5Bfilter%5D%5B0%5D%5Btype_id%5D=4820&amp;hva%5B0%5D%5Bfilter%5D%5B0%5D%5Bverdi%5D=&amp;hva%5B0%5D%5Bid%5D=144/når:2018-08-02", "Vegkart")</f>
        <v>Vegkart</v>
      </c>
      <c r="B3958">
        <v>81578471</v>
      </c>
      <c r="C3958">
        <v>144</v>
      </c>
      <c r="D3958" t="s">
        <v>13345</v>
      </c>
      <c r="E3958">
        <v>4820</v>
      </c>
      <c r="F3958" t="s">
        <v>23479</v>
      </c>
      <c r="G3958">
        <v>2</v>
      </c>
      <c r="H3958" t="s">
        <v>13346</v>
      </c>
      <c r="J3958" t="s">
        <v>13347</v>
      </c>
      <c r="K3958" t="s">
        <v>307</v>
      </c>
      <c r="L3958" t="s">
        <v>33</v>
      </c>
      <c r="M3958" t="s">
        <v>197</v>
      </c>
      <c r="N3958" t="s">
        <v>13351</v>
      </c>
      <c r="O3958" t="s">
        <v>13352</v>
      </c>
      <c r="P3958" s="2" t="s">
        <v>67</v>
      </c>
      <c r="Q3958" t="s">
        <v>68</v>
      </c>
      <c r="R3958">
        <v>16.68</v>
      </c>
      <c r="S3958">
        <v>16.68</v>
      </c>
      <c r="T3958" t="s">
        <v>13353</v>
      </c>
    </row>
    <row r="3959" spans="1:20" x14ac:dyDescent="0.25">
      <c r="A3959" s="1" t="str">
        <f>HYPERLINK("https://vegkart.atlas.vegvesen.no/#/@211338.4,6647715.6,18/hva:hva%5B0%5D%5Bfilter%5D%5B0%5D%5Boperator%5D=%21%3D&amp;hva%5B0%5D%5Bfilter%5D%5B0%5D%5Btype_id%5D=4820&amp;hva%5B0%5D%5Bfilter%5D%5B0%5D%5Bverdi%5D=&amp;hva%5B0%5D%5Bid%5D=144/når:2018-07-09", "Vegkart")</f>
        <v>Vegkart</v>
      </c>
      <c r="B3959">
        <v>81579314</v>
      </c>
      <c r="C3959">
        <v>144</v>
      </c>
      <c r="D3959" t="s">
        <v>13345</v>
      </c>
      <c r="E3959">
        <v>4820</v>
      </c>
      <c r="F3959" t="s">
        <v>23479</v>
      </c>
      <c r="G3959">
        <v>2</v>
      </c>
      <c r="H3959" t="s">
        <v>13354</v>
      </c>
      <c r="J3959" t="s">
        <v>13347</v>
      </c>
      <c r="K3959" t="s">
        <v>307</v>
      </c>
      <c r="L3959" t="s">
        <v>33</v>
      </c>
      <c r="M3959" t="s">
        <v>13355</v>
      </c>
      <c r="N3959" t="s">
        <v>13356</v>
      </c>
      <c r="O3959" t="s">
        <v>13357</v>
      </c>
      <c r="P3959" s="2" t="s">
        <v>67</v>
      </c>
      <c r="Q3959" t="s">
        <v>68</v>
      </c>
      <c r="R3959">
        <v>81.819999999999993</v>
      </c>
      <c r="S3959">
        <v>84.05</v>
      </c>
      <c r="T3959" t="s">
        <v>13358</v>
      </c>
    </row>
    <row r="3960" spans="1:20" x14ac:dyDescent="0.25">
      <c r="A3960" s="1" t="str">
        <f>HYPERLINK("https://vegkart.atlas.vegvesen.no/#/@211725.3,6646875.3,18/hva:hva%5B0%5D%5Bfilter%5D%5B0%5D%5Boperator%5D=%21%3D&amp;hva%5B0%5D%5Bfilter%5D%5B0%5D%5Btype_id%5D=4820&amp;hva%5B0%5D%5Bfilter%5D%5B0%5D%5Bverdi%5D=&amp;hva%5B0%5D%5Bid%5D=144/når:2018-07-09", "Vegkart")</f>
        <v>Vegkart</v>
      </c>
      <c r="B3960">
        <v>81579332</v>
      </c>
      <c r="C3960">
        <v>144</v>
      </c>
      <c r="D3960" t="s">
        <v>13345</v>
      </c>
      <c r="E3960">
        <v>4820</v>
      </c>
      <c r="F3960" t="s">
        <v>23479</v>
      </c>
      <c r="G3960">
        <v>3</v>
      </c>
      <c r="H3960" t="s">
        <v>13354</v>
      </c>
      <c r="J3960" t="s">
        <v>13347</v>
      </c>
      <c r="K3960" t="s">
        <v>307</v>
      </c>
      <c r="L3960" t="s">
        <v>33</v>
      </c>
      <c r="M3960" t="s">
        <v>13355</v>
      </c>
      <c r="N3960" t="s">
        <v>13359</v>
      </c>
      <c r="O3960" t="s">
        <v>13360</v>
      </c>
      <c r="P3960" s="2" t="s">
        <v>67</v>
      </c>
      <c r="Q3960" t="s">
        <v>68</v>
      </c>
      <c r="R3960">
        <v>33.08</v>
      </c>
      <c r="S3960">
        <v>33.28</v>
      </c>
      <c r="T3960" t="s">
        <v>13361</v>
      </c>
    </row>
    <row r="3961" spans="1:20" x14ac:dyDescent="0.25">
      <c r="A3961" s="1" t="str">
        <f>HYPERLINK("https://vegkart.atlas.vegvesen.no/#/@197697.4,6630340.3,18/hva:hva%5B0%5D%5Bfilter%5D%5B0%5D%5Boperator%5D=%21%3D&amp;hva%5B0%5D%5Bfilter%5D%5B0%5D%5Btype_id%5D=4820&amp;hva%5B0%5D%5Bfilter%5D%5B0%5D%5Bverdi%5D=&amp;hva%5B0%5D%5Bid%5D=144/når:2018-07-09", "Vegkart")</f>
        <v>Vegkart</v>
      </c>
      <c r="B3961">
        <v>160027496</v>
      </c>
      <c r="C3961">
        <v>144</v>
      </c>
      <c r="D3961" t="s">
        <v>13345</v>
      </c>
      <c r="E3961">
        <v>4820</v>
      </c>
      <c r="F3961" t="s">
        <v>23479</v>
      </c>
      <c r="G3961">
        <v>2</v>
      </c>
      <c r="H3961" t="s">
        <v>13354</v>
      </c>
      <c r="J3961" t="s">
        <v>13347</v>
      </c>
      <c r="K3961" t="s">
        <v>307</v>
      </c>
      <c r="L3961" t="s">
        <v>33</v>
      </c>
      <c r="M3961" t="s">
        <v>13362</v>
      </c>
      <c r="N3961" t="s">
        <v>13363</v>
      </c>
      <c r="O3961" t="s">
        <v>13364</v>
      </c>
      <c r="P3961" s="2" t="s">
        <v>67</v>
      </c>
      <c r="Q3961" t="s">
        <v>68</v>
      </c>
      <c r="R3961">
        <v>73.06</v>
      </c>
      <c r="S3961">
        <v>74.25</v>
      </c>
      <c r="T3961" t="s">
        <v>13365</v>
      </c>
    </row>
    <row r="3962" spans="1:20" x14ac:dyDescent="0.25">
      <c r="A3962" s="1" t="str">
        <f>HYPERLINK("https://vegkart.atlas.vegvesen.no/#/@147587.8,6739452.9,18/hva:hva%5B0%5D%5Bfilter%5D%5B0%5D%5Boperator%5D=%21%3D&amp;hva%5B0%5D%5Bfilter%5D%5B0%5D%5Btype_id%5D=4820&amp;hva%5B0%5D%5Bfilter%5D%5B0%5D%5Bverdi%5D=&amp;hva%5B0%5D%5Bid%5D=144/når:2018-07-26", "Vegkart")</f>
        <v>Vegkart</v>
      </c>
      <c r="B3962">
        <v>163196284</v>
      </c>
      <c r="C3962">
        <v>144</v>
      </c>
      <c r="D3962" t="s">
        <v>13345</v>
      </c>
      <c r="E3962">
        <v>4820</v>
      </c>
      <c r="F3962" t="s">
        <v>23479</v>
      </c>
      <c r="G3962">
        <v>2</v>
      </c>
      <c r="H3962" t="s">
        <v>13366</v>
      </c>
      <c r="J3962" t="s">
        <v>13347</v>
      </c>
      <c r="K3962" t="s">
        <v>307</v>
      </c>
      <c r="L3962" t="s">
        <v>33</v>
      </c>
      <c r="M3962" t="s">
        <v>13367</v>
      </c>
      <c r="N3962" t="s">
        <v>13368</v>
      </c>
      <c r="O3962" t="s">
        <v>13369</v>
      </c>
      <c r="P3962" s="2" t="s">
        <v>67</v>
      </c>
      <c r="Q3962" t="s">
        <v>68</v>
      </c>
      <c r="R3962">
        <v>20.73</v>
      </c>
      <c r="S3962">
        <v>20.73</v>
      </c>
      <c r="T3962" t="s">
        <v>13370</v>
      </c>
    </row>
    <row r="3963" spans="1:20" x14ac:dyDescent="0.25">
      <c r="A3963" s="1" t="str">
        <f>HYPERLINK("https://vegkart.atlas.vegvesen.no/#/@167873.6,6746901.2,18/hva:hva%5B0%5D%5Bfilter%5D%5B0%5D%5Boperator%5D=%21%3D&amp;hva%5B0%5D%5Bfilter%5D%5B0%5D%5Btype_id%5D=4820&amp;hva%5B0%5D%5Bfilter%5D%5B0%5D%5Bverdi%5D=&amp;hva%5B0%5D%5Bid%5D=144/når:2018-07-12", "Vegkart")</f>
        <v>Vegkart</v>
      </c>
      <c r="B3963">
        <v>163553827</v>
      </c>
      <c r="C3963">
        <v>144</v>
      </c>
      <c r="D3963" t="s">
        <v>13345</v>
      </c>
      <c r="E3963">
        <v>4820</v>
      </c>
      <c r="F3963" t="s">
        <v>23479</v>
      </c>
      <c r="G3963">
        <v>3</v>
      </c>
      <c r="H3963" t="s">
        <v>13371</v>
      </c>
      <c r="J3963" t="s">
        <v>13347</v>
      </c>
      <c r="K3963" t="s">
        <v>307</v>
      </c>
      <c r="L3963" t="s">
        <v>113</v>
      </c>
      <c r="M3963" t="s">
        <v>3363</v>
      </c>
      <c r="N3963" t="s">
        <v>13372</v>
      </c>
      <c r="O3963" t="s">
        <v>13373</v>
      </c>
      <c r="P3963" s="2" t="s">
        <v>67</v>
      </c>
      <c r="Q3963" t="s">
        <v>68</v>
      </c>
      <c r="R3963">
        <v>10.83</v>
      </c>
      <c r="S3963">
        <v>10.83</v>
      </c>
      <c r="T3963" t="s">
        <v>13374</v>
      </c>
    </row>
    <row r="3964" spans="1:20" x14ac:dyDescent="0.25">
      <c r="A3964" s="1" t="str">
        <f>HYPERLINK("https://vegkart.atlas.vegvesen.no/#/@165540.1,6750497.7,18/hva:hva%5B0%5D%5Bfilter%5D%5B0%5D%5Boperator%5D=%21%3D&amp;hva%5B0%5D%5Bfilter%5D%5B0%5D%5Btype_id%5D=4820&amp;hva%5B0%5D%5Bfilter%5D%5B0%5D%5Bverdi%5D=&amp;hva%5B0%5D%5Bid%5D=144/når:2018-07-16", "Vegkart")</f>
        <v>Vegkart</v>
      </c>
      <c r="B3964">
        <v>163565348</v>
      </c>
      <c r="C3964">
        <v>144</v>
      </c>
      <c r="D3964" t="s">
        <v>13345</v>
      </c>
      <c r="E3964">
        <v>4820</v>
      </c>
      <c r="F3964" t="s">
        <v>23479</v>
      </c>
      <c r="G3964">
        <v>3</v>
      </c>
      <c r="H3964" t="s">
        <v>13375</v>
      </c>
      <c r="J3964" t="s">
        <v>13347</v>
      </c>
      <c r="K3964" t="s">
        <v>307</v>
      </c>
      <c r="L3964" t="s">
        <v>113</v>
      </c>
      <c r="M3964" t="s">
        <v>3363</v>
      </c>
      <c r="N3964" t="s">
        <v>13376</v>
      </c>
      <c r="O3964" t="s">
        <v>13377</v>
      </c>
      <c r="P3964" s="2" t="s">
        <v>67</v>
      </c>
      <c r="Q3964" t="s">
        <v>68</v>
      </c>
      <c r="R3964">
        <v>54.9</v>
      </c>
      <c r="S3964">
        <v>54.91</v>
      </c>
      <c r="T3964" t="s">
        <v>13378</v>
      </c>
    </row>
    <row r="3965" spans="1:20" x14ac:dyDescent="0.25">
      <c r="A3965" s="1" t="str">
        <f>HYPERLINK("https://vegkart.atlas.vegvesen.no/#/@165902.1,6724749.1,18/hva:hva%5B0%5D%5Bfilter%5D%5B0%5D%5Boperator%5D=%21%3D&amp;hva%5B0%5D%5Bfilter%5D%5B0%5D%5Btype_id%5D=4820&amp;hva%5B0%5D%5Bfilter%5D%5B0%5D%5Bverdi%5D=&amp;hva%5B0%5D%5Bid%5D=144/når:2018-07-11", "Vegkart")</f>
        <v>Vegkart</v>
      </c>
      <c r="B3965">
        <v>163678521</v>
      </c>
      <c r="C3965">
        <v>144</v>
      </c>
      <c r="D3965" t="s">
        <v>13345</v>
      </c>
      <c r="E3965">
        <v>4820</v>
      </c>
      <c r="F3965" t="s">
        <v>23479</v>
      </c>
      <c r="G3965">
        <v>2</v>
      </c>
      <c r="H3965" t="s">
        <v>13379</v>
      </c>
      <c r="J3965" t="s">
        <v>13347</v>
      </c>
      <c r="K3965" t="s">
        <v>307</v>
      </c>
      <c r="L3965" t="s">
        <v>33</v>
      </c>
      <c r="M3965" t="s">
        <v>13380</v>
      </c>
      <c r="N3965" t="s">
        <v>13381</v>
      </c>
      <c r="O3965" t="s">
        <v>13382</v>
      </c>
      <c r="P3965" s="2" t="s">
        <v>67</v>
      </c>
      <c r="Q3965" t="s">
        <v>68</v>
      </c>
      <c r="R3965">
        <v>46.08</v>
      </c>
      <c r="S3965">
        <v>46.09</v>
      </c>
      <c r="T3965" t="s">
        <v>13383</v>
      </c>
    </row>
    <row r="3966" spans="1:20" x14ac:dyDescent="0.25">
      <c r="A3966" s="1" t="str">
        <f>HYPERLINK("https://vegkart.atlas.vegvesen.no/#/@165802.1,6724608.0,18/hva:hva%5B0%5D%5Bfilter%5D%5B0%5D%5Boperator%5D=%21%3D&amp;hva%5B0%5D%5Bfilter%5D%5B0%5D%5Btype_id%5D=4820&amp;hva%5B0%5D%5Bfilter%5D%5B0%5D%5Bverdi%5D=&amp;hva%5B0%5D%5Bid%5D=144/når:2018-07-11", "Vegkart")</f>
        <v>Vegkart</v>
      </c>
      <c r="B3966">
        <v>163678522</v>
      </c>
      <c r="C3966">
        <v>144</v>
      </c>
      <c r="D3966" t="s">
        <v>13345</v>
      </c>
      <c r="E3966">
        <v>4820</v>
      </c>
      <c r="F3966" t="s">
        <v>23479</v>
      </c>
      <c r="G3966">
        <v>2</v>
      </c>
      <c r="H3966" t="s">
        <v>13379</v>
      </c>
      <c r="J3966" t="s">
        <v>13347</v>
      </c>
      <c r="K3966" t="s">
        <v>307</v>
      </c>
      <c r="L3966" t="s">
        <v>33</v>
      </c>
      <c r="M3966" t="s">
        <v>13380</v>
      </c>
      <c r="N3966" t="s">
        <v>13384</v>
      </c>
      <c r="O3966" t="s">
        <v>13385</v>
      </c>
      <c r="P3966" s="2" t="s">
        <v>67</v>
      </c>
      <c r="Q3966" t="s">
        <v>68</v>
      </c>
      <c r="R3966">
        <v>18.38</v>
      </c>
      <c r="S3966">
        <v>18.38</v>
      </c>
      <c r="T3966" t="s">
        <v>13386</v>
      </c>
    </row>
    <row r="3967" spans="1:20" x14ac:dyDescent="0.25">
      <c r="A3967" s="1" t="str">
        <f>HYPERLINK("https://vegkart.atlas.vegvesen.no/#/@243853.3,6632022.1,18/hva:hva%5B0%5D%5Bfilter%5D%5B0%5D%5Boperator%5D=%21%3D&amp;hva%5B0%5D%5Bfilter%5D%5B0%5D%5Btype_id%5D=4820&amp;hva%5B0%5D%5Bfilter%5D%5B0%5D%5Bverdi%5D=&amp;hva%5B0%5D%5Bid%5D=144/når:2019-04-23", "Vegkart")</f>
        <v>Vegkart</v>
      </c>
      <c r="B3967">
        <v>217949913</v>
      </c>
      <c r="C3967">
        <v>144</v>
      </c>
      <c r="D3967" t="s">
        <v>13345</v>
      </c>
      <c r="E3967">
        <v>4820</v>
      </c>
      <c r="F3967" t="s">
        <v>23479</v>
      </c>
      <c r="G3967">
        <v>2</v>
      </c>
      <c r="H3967" t="s">
        <v>13387</v>
      </c>
      <c r="J3967" t="s">
        <v>13347</v>
      </c>
      <c r="K3967" t="s">
        <v>132</v>
      </c>
      <c r="L3967" t="s">
        <v>33</v>
      </c>
      <c r="M3967" t="s">
        <v>6042</v>
      </c>
      <c r="N3967" t="s">
        <v>13388</v>
      </c>
      <c r="O3967" t="s">
        <v>13389</v>
      </c>
      <c r="P3967" s="2" t="s">
        <v>67</v>
      </c>
      <c r="Q3967" t="s">
        <v>68</v>
      </c>
      <c r="R3967">
        <v>4.08</v>
      </c>
      <c r="S3967">
        <v>4.08</v>
      </c>
      <c r="T3967" t="s">
        <v>13390</v>
      </c>
    </row>
    <row r="3968" spans="1:20" x14ac:dyDescent="0.25">
      <c r="A3968" s="1" t="str">
        <f>HYPERLINK("https://vegkart.atlas.vegvesen.no/#/@243874.0,6632236.8,18/hva:hva%5B0%5D%5Bfilter%5D%5B0%5D%5Boperator%5D=%21%3D&amp;hva%5B0%5D%5Bfilter%5D%5B0%5D%5Btype_id%5D=4820&amp;hva%5B0%5D%5Bfilter%5D%5B0%5D%5Bverdi%5D=&amp;hva%5B0%5D%5Bid%5D=144/når:2019-04-23", "Vegkart")</f>
        <v>Vegkart</v>
      </c>
      <c r="B3968">
        <v>217949914</v>
      </c>
      <c r="C3968">
        <v>144</v>
      </c>
      <c r="D3968" t="s">
        <v>13345</v>
      </c>
      <c r="E3968">
        <v>4820</v>
      </c>
      <c r="F3968" t="s">
        <v>23479</v>
      </c>
      <c r="G3968">
        <v>2</v>
      </c>
      <c r="H3968" t="s">
        <v>13387</v>
      </c>
      <c r="J3968" t="s">
        <v>13347</v>
      </c>
      <c r="K3968" t="s">
        <v>132</v>
      </c>
      <c r="L3968" t="s">
        <v>33</v>
      </c>
      <c r="M3968" t="s">
        <v>6042</v>
      </c>
      <c r="N3968" t="s">
        <v>13391</v>
      </c>
      <c r="O3968" t="s">
        <v>13392</v>
      </c>
      <c r="P3968" s="2" t="s">
        <v>67</v>
      </c>
      <c r="Q3968" t="s">
        <v>68</v>
      </c>
      <c r="R3968">
        <v>50.5</v>
      </c>
      <c r="S3968">
        <v>51.08</v>
      </c>
      <c r="T3968" t="s">
        <v>13393</v>
      </c>
    </row>
    <row r="3969" spans="1:20" x14ac:dyDescent="0.25">
      <c r="A3969" s="1" t="str">
        <f>HYPERLINK("https://vegkart.atlas.vegvesen.no/#/@226452.2,7043549.6,18/hva:hva%5B0%5D%5Bfilter%5D%5B0%5D%5Boperator%5D=%21%3D&amp;hva%5B0%5D%5Bfilter%5D%5B0%5D%5Btype_id%5D=4820&amp;hva%5B0%5D%5Bfilter%5D%5B0%5D%5Bverdi%5D=&amp;hva%5B0%5D%5Bid%5D=144/når:2018-12-19", "Vegkart")</f>
        <v>Vegkart</v>
      </c>
      <c r="B3969">
        <v>317127757</v>
      </c>
      <c r="C3969">
        <v>144</v>
      </c>
      <c r="D3969" t="s">
        <v>13345</v>
      </c>
      <c r="E3969">
        <v>4820</v>
      </c>
      <c r="F3969" t="s">
        <v>23479</v>
      </c>
      <c r="G3969">
        <v>2</v>
      </c>
      <c r="H3969" t="s">
        <v>13394</v>
      </c>
      <c r="J3969" t="s">
        <v>13347</v>
      </c>
      <c r="K3969" t="s">
        <v>192</v>
      </c>
      <c r="L3969" t="s">
        <v>2473</v>
      </c>
      <c r="M3969" t="s">
        <v>13395</v>
      </c>
      <c r="N3969" t="s">
        <v>13396</v>
      </c>
      <c r="O3969" t="s">
        <v>13397</v>
      </c>
      <c r="P3969" s="2" t="s">
        <v>67</v>
      </c>
      <c r="Q3969" t="s">
        <v>68</v>
      </c>
      <c r="R3969">
        <v>487.33</v>
      </c>
      <c r="S3969">
        <v>496.28</v>
      </c>
      <c r="T3969" t="s">
        <v>13398</v>
      </c>
    </row>
    <row r="3970" spans="1:20" x14ac:dyDescent="0.25">
      <c r="A3970" s="1" t="str">
        <f>HYPERLINK("https://vegkart.atlas.vegvesen.no/#/@226818.8,7044378.7,18/hva:hva%5B0%5D%5Bfilter%5D%5B0%5D%5Boperator%5D=%21%3D&amp;hva%5B0%5D%5Bfilter%5D%5B0%5D%5Btype_id%5D=4820&amp;hva%5B0%5D%5Bfilter%5D%5B0%5D%5Bverdi%5D=&amp;hva%5B0%5D%5Bid%5D=144/når:2011-11-21", "Vegkart")</f>
        <v>Vegkart</v>
      </c>
      <c r="B3970">
        <v>317127758</v>
      </c>
      <c r="C3970">
        <v>144</v>
      </c>
      <c r="D3970" t="s">
        <v>13345</v>
      </c>
      <c r="E3970">
        <v>4820</v>
      </c>
      <c r="F3970" t="s">
        <v>23479</v>
      </c>
      <c r="G3970">
        <v>1</v>
      </c>
      <c r="H3970" t="s">
        <v>13399</v>
      </c>
      <c r="J3970" t="s">
        <v>13347</v>
      </c>
      <c r="K3970" t="s">
        <v>192</v>
      </c>
      <c r="L3970" t="s">
        <v>33</v>
      </c>
      <c r="M3970" t="s">
        <v>13400</v>
      </c>
      <c r="N3970" t="s">
        <v>13401</v>
      </c>
      <c r="O3970" t="s">
        <v>13402</v>
      </c>
      <c r="P3970" s="2" t="s">
        <v>67</v>
      </c>
      <c r="Q3970" t="s">
        <v>68</v>
      </c>
      <c r="R3970">
        <v>380.11</v>
      </c>
      <c r="S3970">
        <v>387.25</v>
      </c>
      <c r="T3970" t="s">
        <v>13403</v>
      </c>
    </row>
    <row r="3971" spans="1:20" x14ac:dyDescent="0.25">
      <c r="A3971" s="1" t="str">
        <f>HYPERLINK("https://vegkart.atlas.vegvesen.no/#/@210639.8,6647683.1,18/hva:hva%5B0%5D%5Bfilter%5D%5B0%5D%5Boperator%5D=%21%3D&amp;hva%5B0%5D%5Bfilter%5D%5B0%5D%5Btype_id%5D=4820&amp;hva%5B0%5D%5Bfilter%5D%5B0%5D%5Bverdi%5D=&amp;hva%5B0%5D%5Bid%5D=144/når:2018-07-31", "Vegkart")</f>
        <v>Vegkart</v>
      </c>
      <c r="B3971">
        <v>329624176</v>
      </c>
      <c r="C3971">
        <v>144</v>
      </c>
      <c r="D3971" t="s">
        <v>13345</v>
      </c>
      <c r="E3971">
        <v>4820</v>
      </c>
      <c r="F3971" t="s">
        <v>23479</v>
      </c>
      <c r="G3971">
        <v>2</v>
      </c>
      <c r="H3971" t="s">
        <v>13404</v>
      </c>
      <c r="J3971" t="s">
        <v>13347</v>
      </c>
      <c r="K3971" t="s">
        <v>307</v>
      </c>
      <c r="L3971" t="s">
        <v>33</v>
      </c>
      <c r="M3971" t="s">
        <v>13405</v>
      </c>
      <c r="N3971" t="s">
        <v>13406</v>
      </c>
      <c r="O3971" t="s">
        <v>13407</v>
      </c>
      <c r="P3971" s="2" t="s">
        <v>67</v>
      </c>
      <c r="Q3971" t="s">
        <v>68</v>
      </c>
      <c r="R3971">
        <v>24.41</v>
      </c>
      <c r="S3971">
        <v>24.45</v>
      </c>
      <c r="T3971" t="s">
        <v>13408</v>
      </c>
    </row>
    <row r="3972" spans="1:20" x14ac:dyDescent="0.25">
      <c r="A3972" s="1" t="str">
        <f>HYPERLINK("https://vegkart.atlas.vegvesen.no/#/@210582.6,6647683.6,18/hva:hva%5B0%5D%5Bfilter%5D%5B0%5D%5Boperator%5D=%21%3D&amp;hva%5B0%5D%5Bfilter%5D%5B0%5D%5Btype_id%5D=4820&amp;hva%5B0%5D%5Bfilter%5D%5B0%5D%5Bverdi%5D=&amp;hva%5B0%5D%5Bid%5D=144/når:2018-07-31", "Vegkart")</f>
        <v>Vegkart</v>
      </c>
      <c r="B3972">
        <v>329624181</v>
      </c>
      <c r="C3972">
        <v>144</v>
      </c>
      <c r="D3972" t="s">
        <v>13345</v>
      </c>
      <c r="E3972">
        <v>4820</v>
      </c>
      <c r="F3972" t="s">
        <v>23479</v>
      </c>
      <c r="G3972">
        <v>2</v>
      </c>
      <c r="H3972" t="s">
        <v>13404</v>
      </c>
      <c r="J3972" t="s">
        <v>13347</v>
      </c>
      <c r="K3972" t="s">
        <v>307</v>
      </c>
      <c r="L3972" t="s">
        <v>33</v>
      </c>
      <c r="M3972" t="s">
        <v>13405</v>
      </c>
      <c r="N3972" t="s">
        <v>13409</v>
      </c>
      <c r="O3972" t="s">
        <v>13410</v>
      </c>
      <c r="P3972" s="2" t="s">
        <v>67</v>
      </c>
      <c r="Q3972" t="s">
        <v>68</v>
      </c>
      <c r="R3972">
        <v>24.58</v>
      </c>
      <c r="S3972">
        <v>24.63</v>
      </c>
      <c r="T3972" t="s">
        <v>13411</v>
      </c>
    </row>
    <row r="3973" spans="1:20" x14ac:dyDescent="0.25">
      <c r="A3973" s="1" t="str">
        <f>HYPERLINK("https://vegkart.atlas.vegvesen.no/#/@179042.1,6610754.8,18/hva:hva%5B0%5D%5Bfilter%5D%5B0%5D%5Boperator%5D=%21%3D&amp;hva%5B0%5D%5Bfilter%5D%5B0%5D%5Btype_id%5D=4820&amp;hva%5B0%5D%5Bfilter%5D%5B0%5D%5Bverdi%5D=&amp;hva%5B0%5D%5Bid%5D=144/når:2022-07-13", "Vegkart")</f>
        <v>Vegkart</v>
      </c>
      <c r="B3973">
        <v>370396999</v>
      </c>
      <c r="C3973">
        <v>144</v>
      </c>
      <c r="D3973" t="s">
        <v>13345</v>
      </c>
      <c r="E3973">
        <v>4820</v>
      </c>
      <c r="F3973" t="s">
        <v>23479</v>
      </c>
      <c r="G3973">
        <v>3</v>
      </c>
      <c r="H3973" t="s">
        <v>2139</v>
      </c>
      <c r="J3973" t="s">
        <v>13347</v>
      </c>
      <c r="K3973" t="s">
        <v>197</v>
      </c>
      <c r="L3973" t="s">
        <v>33</v>
      </c>
      <c r="M3973" t="s">
        <v>13412</v>
      </c>
      <c r="N3973" t="s">
        <v>13413</v>
      </c>
      <c r="O3973" t="s">
        <v>13414</v>
      </c>
      <c r="P3973" s="2" t="s">
        <v>67</v>
      </c>
      <c r="Q3973" t="s">
        <v>68</v>
      </c>
      <c r="R3973">
        <v>91.88</v>
      </c>
      <c r="S3973">
        <v>93.42</v>
      </c>
      <c r="T3973" t="s">
        <v>13415</v>
      </c>
    </row>
    <row r="3974" spans="1:20" x14ac:dyDescent="0.25">
      <c r="A3974" s="1" t="str">
        <f>HYPERLINK("https://vegkart.atlas.vegvesen.no/#/@-34122.0,6722953.5,18/hva:hva%5B0%5D%5Bfilter%5D%5B0%5D%5Boperator%5D=%21%3D&amp;hva%5B0%5D%5Bfilter%5D%5B0%5D%5Btype_id%5D=4820&amp;hva%5B0%5D%5Bfilter%5D%5B0%5D%5Bverdi%5D=&amp;hva%5B0%5D%5Bid%5D=144/når:2013-01-11", "Vegkart")</f>
        <v>Vegkart</v>
      </c>
      <c r="B3974">
        <v>373935365</v>
      </c>
      <c r="C3974">
        <v>144</v>
      </c>
      <c r="D3974" t="s">
        <v>13345</v>
      </c>
      <c r="E3974">
        <v>4820</v>
      </c>
      <c r="F3974" t="s">
        <v>23479</v>
      </c>
      <c r="G3974">
        <v>1</v>
      </c>
      <c r="H3974" t="s">
        <v>962</v>
      </c>
      <c r="J3974" t="s">
        <v>13347</v>
      </c>
      <c r="K3974" t="s">
        <v>21</v>
      </c>
      <c r="L3974" t="s">
        <v>33</v>
      </c>
      <c r="M3974" t="s">
        <v>13416</v>
      </c>
      <c r="N3974" t="s">
        <v>13417</v>
      </c>
      <c r="O3974" t="s">
        <v>13418</v>
      </c>
      <c r="P3974" s="2" t="s">
        <v>67</v>
      </c>
      <c r="Q3974" t="s">
        <v>68</v>
      </c>
      <c r="R3974">
        <v>6.94</v>
      </c>
      <c r="S3974">
        <v>7.02</v>
      </c>
      <c r="T3974" t="s">
        <v>13419</v>
      </c>
    </row>
    <row r="3975" spans="1:20" x14ac:dyDescent="0.25">
      <c r="A3975" s="1" t="str">
        <f>HYPERLINK("https://vegkart.atlas.vegvesen.no/#/@-34123.6,6722953.3,18/hva:hva%5B0%5D%5Bfilter%5D%5B0%5D%5Boperator%5D=%21%3D&amp;hva%5B0%5D%5Bfilter%5D%5B0%5D%5Btype_id%5D=4820&amp;hva%5B0%5D%5Bfilter%5D%5B0%5D%5Bverdi%5D=&amp;hva%5B0%5D%5Bid%5D=144/når:2013-01-11", "Vegkart")</f>
        <v>Vegkart</v>
      </c>
      <c r="B3975">
        <v>373935366</v>
      </c>
      <c r="C3975">
        <v>144</v>
      </c>
      <c r="D3975" t="s">
        <v>13345</v>
      </c>
      <c r="E3975">
        <v>4820</v>
      </c>
      <c r="F3975" t="s">
        <v>23479</v>
      </c>
      <c r="G3975">
        <v>1</v>
      </c>
      <c r="H3975" t="s">
        <v>962</v>
      </c>
      <c r="J3975" t="s">
        <v>13347</v>
      </c>
      <c r="K3975" t="s">
        <v>21</v>
      </c>
      <c r="L3975" t="s">
        <v>33</v>
      </c>
      <c r="M3975" t="s">
        <v>13416</v>
      </c>
      <c r="N3975" t="s">
        <v>13420</v>
      </c>
      <c r="O3975" t="s">
        <v>13421</v>
      </c>
      <c r="P3975" s="2" t="s">
        <v>67</v>
      </c>
      <c r="Q3975" t="s">
        <v>68</v>
      </c>
      <c r="R3975">
        <v>6.47</v>
      </c>
      <c r="S3975">
        <v>6.48</v>
      </c>
      <c r="T3975" t="s">
        <v>13422</v>
      </c>
    </row>
    <row r="3976" spans="1:20" x14ac:dyDescent="0.25">
      <c r="A3976" s="1" t="str">
        <f>HYPERLINK("https://vegkart.atlas.vegvesen.no/#/@158219.2,7011258.7,18/hva:hva%5B0%5D%5Bfilter%5D%5B0%5D%5Boperator%5D=%21%3D&amp;hva%5B0%5D%5Bfilter%5D%5B0%5D%5Btype_id%5D=4820&amp;hva%5B0%5D%5Bfilter%5D%5B0%5D%5Bverdi%5D=&amp;hva%5B0%5D%5Bid%5D=144/når:2012-10-22", "Vegkart")</f>
        <v>Vegkart</v>
      </c>
      <c r="B3976">
        <v>375703672</v>
      </c>
      <c r="C3976">
        <v>144</v>
      </c>
      <c r="D3976" t="s">
        <v>13345</v>
      </c>
      <c r="E3976">
        <v>4820</v>
      </c>
      <c r="F3976" t="s">
        <v>23479</v>
      </c>
      <c r="G3976">
        <v>1</v>
      </c>
      <c r="H3976" t="s">
        <v>13423</v>
      </c>
      <c r="J3976" t="s">
        <v>13347</v>
      </c>
      <c r="K3976" t="s">
        <v>192</v>
      </c>
      <c r="L3976" t="s">
        <v>80</v>
      </c>
      <c r="M3976" t="s">
        <v>81</v>
      </c>
      <c r="N3976" t="s">
        <v>13424</v>
      </c>
      <c r="O3976" t="s">
        <v>13425</v>
      </c>
      <c r="P3976" s="2" t="s">
        <v>67</v>
      </c>
      <c r="Q3976" t="s">
        <v>68</v>
      </c>
      <c r="R3976">
        <v>4.83</v>
      </c>
      <c r="S3976">
        <v>4.9400000000000004</v>
      </c>
      <c r="T3976" t="s">
        <v>13426</v>
      </c>
    </row>
    <row r="3977" spans="1:20" x14ac:dyDescent="0.25">
      <c r="A3977" s="1" t="str">
        <f>HYPERLINK("https://vegkart.atlas.vegvesen.no/#/@158225.9,7011234.5,18/hva:hva%5B0%5D%5Bfilter%5D%5B0%5D%5Boperator%5D=%21%3D&amp;hva%5B0%5D%5Bfilter%5D%5B0%5D%5Btype_id%5D=4820&amp;hva%5B0%5D%5Bfilter%5D%5B0%5D%5Bverdi%5D=&amp;hva%5B0%5D%5Bid%5D=144/når:2012-10-22", "Vegkart")</f>
        <v>Vegkart</v>
      </c>
      <c r="B3977">
        <v>375703673</v>
      </c>
      <c r="C3977">
        <v>144</v>
      </c>
      <c r="D3977" t="s">
        <v>13345</v>
      </c>
      <c r="E3977">
        <v>4820</v>
      </c>
      <c r="F3977" t="s">
        <v>23479</v>
      </c>
      <c r="G3977">
        <v>1</v>
      </c>
      <c r="H3977" t="s">
        <v>13423</v>
      </c>
      <c r="J3977" t="s">
        <v>13347</v>
      </c>
      <c r="K3977" t="s">
        <v>192</v>
      </c>
      <c r="L3977" t="s">
        <v>80</v>
      </c>
      <c r="M3977" t="s">
        <v>81</v>
      </c>
      <c r="N3977" t="s">
        <v>13427</v>
      </c>
      <c r="O3977" t="s">
        <v>13428</v>
      </c>
      <c r="P3977" s="2" t="s">
        <v>37</v>
      </c>
      <c r="Q3977" t="s">
        <v>1208</v>
      </c>
      <c r="R3977">
        <v>10.08</v>
      </c>
      <c r="S3977">
        <v>11.38</v>
      </c>
      <c r="T3977" t="s">
        <v>13429</v>
      </c>
    </row>
    <row r="3978" spans="1:20" x14ac:dyDescent="0.25">
      <c r="A3978" s="1" t="str">
        <f>HYPERLINK("https://vegkart.atlas.vegvesen.no/#/@583649.2,7695851.2,18/hva:hva%5B0%5D%5Bfilter%5D%5B0%5D%5Boperator%5D=%21%3D&amp;hva%5B0%5D%5Bfilter%5D%5B0%5D%5Btype_id%5D=4820&amp;hva%5B0%5D%5Bfilter%5D%5B0%5D%5Bverdi%5D=&amp;hva%5B0%5D%5Bid%5D=144/når:2013-03-12", "Vegkart")</f>
        <v>Vegkart</v>
      </c>
      <c r="B3978">
        <v>377095274</v>
      </c>
      <c r="C3978">
        <v>144</v>
      </c>
      <c r="D3978" t="s">
        <v>13345</v>
      </c>
      <c r="E3978">
        <v>4820</v>
      </c>
      <c r="F3978" t="s">
        <v>23479</v>
      </c>
      <c r="G3978">
        <v>1</v>
      </c>
      <c r="H3978" t="s">
        <v>13430</v>
      </c>
      <c r="J3978" t="s">
        <v>13347</v>
      </c>
      <c r="K3978" t="s">
        <v>179</v>
      </c>
      <c r="L3978" t="s">
        <v>33</v>
      </c>
      <c r="M3978" t="s">
        <v>1257</v>
      </c>
      <c r="N3978" t="s">
        <v>13431</v>
      </c>
      <c r="O3978" t="s">
        <v>13432</v>
      </c>
      <c r="P3978" s="2" t="s">
        <v>67</v>
      </c>
      <c r="Q3978" t="s">
        <v>68</v>
      </c>
      <c r="R3978">
        <v>47.78</v>
      </c>
      <c r="S3978">
        <v>173.01</v>
      </c>
      <c r="T3978" t="s">
        <v>13433</v>
      </c>
    </row>
    <row r="3979" spans="1:20" x14ac:dyDescent="0.25">
      <c r="A3979" s="1" t="str">
        <f>HYPERLINK("https://vegkart.atlas.vegvesen.no/#/@583550.3,7695516.9,18/hva:hva%5B0%5D%5Bfilter%5D%5B0%5D%5Boperator%5D=%21%3D&amp;hva%5B0%5D%5Bfilter%5D%5B0%5D%5Btype_id%5D=4820&amp;hva%5B0%5D%5Bfilter%5D%5B0%5D%5Bverdi%5D=&amp;hva%5B0%5D%5Bid%5D=144/når:2013-03-12", "Vegkart")</f>
        <v>Vegkart</v>
      </c>
      <c r="B3979">
        <v>377095276</v>
      </c>
      <c r="C3979">
        <v>144</v>
      </c>
      <c r="D3979" t="s">
        <v>13345</v>
      </c>
      <c r="E3979">
        <v>4820</v>
      </c>
      <c r="F3979" t="s">
        <v>23479</v>
      </c>
      <c r="G3979">
        <v>1</v>
      </c>
      <c r="H3979" t="s">
        <v>13430</v>
      </c>
      <c r="J3979" t="s">
        <v>13347</v>
      </c>
      <c r="K3979" t="s">
        <v>179</v>
      </c>
      <c r="L3979" t="s">
        <v>33</v>
      </c>
      <c r="M3979" t="s">
        <v>1257</v>
      </c>
      <c r="N3979" t="s">
        <v>13434</v>
      </c>
      <c r="O3979" t="s">
        <v>13435</v>
      </c>
      <c r="P3979" s="2" t="s">
        <v>67</v>
      </c>
      <c r="Q3979" t="s">
        <v>68</v>
      </c>
      <c r="R3979">
        <v>42.08</v>
      </c>
      <c r="S3979">
        <v>179.8</v>
      </c>
      <c r="T3979" t="s">
        <v>13436</v>
      </c>
    </row>
    <row r="3980" spans="1:20" x14ac:dyDescent="0.25">
      <c r="A3980" s="1" t="str">
        <f>HYPERLINK("https://vegkart.atlas.vegvesen.no/#/@169009.3,6746966.2,18/hva:hva%5B0%5D%5Bfilter%5D%5B0%5D%5Boperator%5D=%21%3D&amp;hva%5B0%5D%5Bfilter%5D%5B0%5D%5Btype_id%5D=4820&amp;hva%5B0%5D%5Bfilter%5D%5B0%5D%5Bverdi%5D=&amp;hva%5B0%5D%5Bid%5D=144/når:2018-07-10", "Vegkart")</f>
        <v>Vegkart</v>
      </c>
      <c r="B3980">
        <v>406674698</v>
      </c>
      <c r="C3980">
        <v>144</v>
      </c>
      <c r="D3980" t="s">
        <v>13345</v>
      </c>
      <c r="E3980">
        <v>4820</v>
      </c>
      <c r="F3980" t="s">
        <v>23479</v>
      </c>
      <c r="G3980">
        <v>2</v>
      </c>
      <c r="H3980" t="s">
        <v>13437</v>
      </c>
      <c r="J3980" t="s">
        <v>13347</v>
      </c>
      <c r="K3980" t="s">
        <v>307</v>
      </c>
      <c r="L3980" t="s">
        <v>33</v>
      </c>
      <c r="M3980" t="s">
        <v>1222</v>
      </c>
      <c r="N3980" t="s">
        <v>13438</v>
      </c>
      <c r="O3980" t="s">
        <v>13439</v>
      </c>
      <c r="P3980" s="2" t="s">
        <v>67</v>
      </c>
      <c r="Q3980" t="s">
        <v>68</v>
      </c>
      <c r="R3980">
        <v>40.72</v>
      </c>
      <c r="S3980">
        <v>40.85</v>
      </c>
      <c r="T3980" t="s">
        <v>13440</v>
      </c>
    </row>
    <row r="3981" spans="1:20" x14ac:dyDescent="0.25">
      <c r="A3981" s="1" t="str">
        <f>HYPERLINK("https://vegkart.atlas.vegvesen.no/#/@156273.0,7035910.0,18/hva:hva%5B0%5D%5Bfilter%5D%5B0%5D%5Boperator%5D=%21%3D&amp;hva%5B0%5D%5Bfilter%5D%5B0%5D%5Btype_id%5D=4820&amp;hva%5B0%5D%5Bfilter%5D%5B0%5D%5Bverdi%5D=&amp;hva%5B0%5D%5Bid%5D=144/når:2013-09-09", "Vegkart")</f>
        <v>Vegkart</v>
      </c>
      <c r="B3981">
        <v>449265510</v>
      </c>
      <c r="C3981">
        <v>144</v>
      </c>
      <c r="D3981" t="s">
        <v>13345</v>
      </c>
      <c r="E3981">
        <v>4820</v>
      </c>
      <c r="F3981" t="s">
        <v>23479</v>
      </c>
      <c r="G3981">
        <v>1</v>
      </c>
      <c r="H3981" t="s">
        <v>13441</v>
      </c>
      <c r="J3981" t="s">
        <v>13347</v>
      </c>
      <c r="K3981" t="s">
        <v>32</v>
      </c>
      <c r="L3981" t="s">
        <v>33</v>
      </c>
      <c r="M3981" t="s">
        <v>34</v>
      </c>
      <c r="N3981" t="s">
        <v>13442</v>
      </c>
      <c r="O3981" t="s">
        <v>13443</v>
      </c>
      <c r="P3981" s="2" t="s">
        <v>37</v>
      </c>
      <c r="Q3981" t="s">
        <v>1208</v>
      </c>
      <c r="R3981">
        <v>8.34</v>
      </c>
      <c r="S3981">
        <v>9.4</v>
      </c>
      <c r="T3981" t="s">
        <v>13444</v>
      </c>
    </row>
    <row r="3982" spans="1:20" x14ac:dyDescent="0.25">
      <c r="A3982" s="1" t="str">
        <f>HYPERLINK("https://vegkart.atlas.vegvesen.no/#/@171491.9,6989686.1,18/hva:hva%5B0%5D%5Bfilter%5D%5B0%5D%5Boperator%5D=%21%3D&amp;hva%5B0%5D%5Bfilter%5D%5B0%5D%5Btype_id%5D=4820&amp;hva%5B0%5D%5Bfilter%5D%5B0%5D%5Bverdi%5D=&amp;hva%5B0%5D%5Bid%5D=144/når:2013-09-09", "Vegkart")</f>
        <v>Vegkart</v>
      </c>
      <c r="B3982">
        <v>449821577</v>
      </c>
      <c r="C3982">
        <v>144</v>
      </c>
      <c r="D3982" t="s">
        <v>13345</v>
      </c>
      <c r="E3982">
        <v>4820</v>
      </c>
      <c r="F3982" t="s">
        <v>23479</v>
      </c>
      <c r="G3982">
        <v>1</v>
      </c>
      <c r="H3982" t="s">
        <v>13441</v>
      </c>
      <c r="J3982" t="s">
        <v>13347</v>
      </c>
      <c r="K3982" t="s">
        <v>32</v>
      </c>
      <c r="L3982" t="s">
        <v>33</v>
      </c>
      <c r="M3982" t="s">
        <v>40</v>
      </c>
      <c r="N3982" t="s">
        <v>13445</v>
      </c>
      <c r="O3982" t="s">
        <v>13446</v>
      </c>
      <c r="P3982" s="2" t="s">
        <v>67</v>
      </c>
      <c r="Q3982" t="s">
        <v>68</v>
      </c>
      <c r="R3982">
        <v>27.82</v>
      </c>
      <c r="S3982">
        <v>32.31</v>
      </c>
      <c r="T3982" t="s">
        <v>13447</v>
      </c>
    </row>
    <row r="3983" spans="1:20" x14ac:dyDescent="0.25">
      <c r="A3983" s="1" t="str">
        <f>HYPERLINK("https://vegkart.atlas.vegvesen.no/#/@132579.5,7000289.9,18/hva:hva%5B0%5D%5Bfilter%5D%5B0%5D%5Boperator%5D=%21%3D&amp;hva%5B0%5D%5Bfilter%5D%5B0%5D%5Btype_id%5D=4820&amp;hva%5B0%5D%5Bfilter%5D%5B0%5D%5Bverdi%5D=&amp;hva%5B0%5D%5Bid%5D=144/når:2013-09-09", "Vegkart")</f>
        <v>Vegkart</v>
      </c>
      <c r="B3983">
        <v>460896322</v>
      </c>
      <c r="C3983">
        <v>144</v>
      </c>
      <c r="D3983" t="s">
        <v>13345</v>
      </c>
      <c r="E3983">
        <v>4820</v>
      </c>
      <c r="F3983" t="s">
        <v>23479</v>
      </c>
      <c r="G3983">
        <v>1</v>
      </c>
      <c r="H3983" t="s">
        <v>13441</v>
      </c>
      <c r="J3983" t="s">
        <v>13347</v>
      </c>
      <c r="K3983" t="s">
        <v>32</v>
      </c>
      <c r="L3983" t="s">
        <v>80</v>
      </c>
      <c r="M3983" t="s">
        <v>81</v>
      </c>
      <c r="N3983" t="s">
        <v>13448</v>
      </c>
      <c r="O3983" t="s">
        <v>13449</v>
      </c>
      <c r="P3983" s="2" t="s">
        <v>67</v>
      </c>
      <c r="Q3983" t="s">
        <v>68</v>
      </c>
      <c r="R3983">
        <v>1362.76</v>
      </c>
      <c r="S3983">
        <v>1367.17</v>
      </c>
      <c r="T3983" t="s">
        <v>13450</v>
      </c>
    </row>
    <row r="3984" spans="1:20" x14ac:dyDescent="0.25">
      <c r="A3984" s="1" t="str">
        <f>HYPERLINK("https://vegkart.atlas.vegvesen.no/#/@230947.6,7064743.1,18/hva:hva%5B0%5D%5Bfilter%5D%5B0%5D%5Boperator%5D=%21%3D&amp;hva%5B0%5D%5Bfilter%5D%5B0%5D%5Btype_id%5D=4820&amp;hva%5B0%5D%5Bfilter%5D%5B0%5D%5Bverdi%5D=&amp;hva%5B0%5D%5Bid%5D=144/når:2013-11-12", "Vegkart")</f>
        <v>Vegkart</v>
      </c>
      <c r="B3984">
        <v>465780495</v>
      </c>
      <c r="C3984">
        <v>144</v>
      </c>
      <c r="D3984" t="s">
        <v>13345</v>
      </c>
      <c r="E3984">
        <v>4820</v>
      </c>
      <c r="F3984" t="s">
        <v>23479</v>
      </c>
      <c r="G3984">
        <v>1</v>
      </c>
      <c r="H3984" t="s">
        <v>13451</v>
      </c>
      <c r="J3984" t="s">
        <v>13347</v>
      </c>
      <c r="K3984" t="s">
        <v>192</v>
      </c>
      <c r="L3984" t="s">
        <v>33</v>
      </c>
      <c r="M3984" t="s">
        <v>13452</v>
      </c>
      <c r="N3984" t="s">
        <v>13453</v>
      </c>
      <c r="O3984" t="s">
        <v>13454</v>
      </c>
      <c r="P3984" s="2" t="s">
        <v>67</v>
      </c>
      <c r="Q3984" t="s">
        <v>68</v>
      </c>
      <c r="R3984">
        <v>4.25</v>
      </c>
      <c r="S3984">
        <v>4.25</v>
      </c>
      <c r="T3984" t="s">
        <v>13455</v>
      </c>
    </row>
    <row r="3985" spans="1:20" x14ac:dyDescent="0.25">
      <c r="A3985" s="1" t="str">
        <f>HYPERLINK("https://vegkart.atlas.vegvesen.no/#/@233563.2,7065910.6,18/hva:hva%5B0%5D%5Bfilter%5D%5B0%5D%5Boperator%5D=%21%3D&amp;hva%5B0%5D%5Bfilter%5D%5B0%5D%5Btype_id%5D=4820&amp;hva%5B0%5D%5Bfilter%5D%5B0%5D%5Bverdi%5D=&amp;hva%5B0%5D%5Bid%5D=144/når:2013-11-12", "Vegkart")</f>
        <v>Vegkart</v>
      </c>
      <c r="B3985">
        <v>465780496</v>
      </c>
      <c r="C3985">
        <v>144</v>
      </c>
      <c r="D3985" t="s">
        <v>13345</v>
      </c>
      <c r="E3985">
        <v>4820</v>
      </c>
      <c r="F3985" t="s">
        <v>23479</v>
      </c>
      <c r="G3985">
        <v>1</v>
      </c>
      <c r="H3985" t="s">
        <v>13451</v>
      </c>
      <c r="J3985" t="s">
        <v>13347</v>
      </c>
      <c r="K3985" t="s">
        <v>192</v>
      </c>
      <c r="L3985" t="s">
        <v>33</v>
      </c>
      <c r="M3985" t="s">
        <v>13452</v>
      </c>
      <c r="N3985" t="s">
        <v>13456</v>
      </c>
      <c r="O3985" t="s">
        <v>13457</v>
      </c>
      <c r="P3985" s="2" t="s">
        <v>67</v>
      </c>
      <c r="Q3985" t="s">
        <v>68</v>
      </c>
      <c r="R3985">
        <v>7.45</v>
      </c>
      <c r="S3985">
        <v>7.45</v>
      </c>
      <c r="T3985" t="s">
        <v>13458</v>
      </c>
    </row>
    <row r="3986" spans="1:20" x14ac:dyDescent="0.25">
      <c r="A3986" s="1" t="str">
        <f>HYPERLINK("https://vegkart.atlas.vegvesen.no/#/@233555.3,7065908.9,18/hva:hva%5B0%5D%5Bfilter%5D%5B0%5D%5Boperator%5D=%21%3D&amp;hva%5B0%5D%5Bfilter%5D%5B0%5D%5Btype_id%5D=4820&amp;hva%5B0%5D%5Bfilter%5D%5B0%5D%5Bverdi%5D=&amp;hva%5B0%5D%5Bid%5D=144/når:2013-11-12", "Vegkart")</f>
        <v>Vegkart</v>
      </c>
      <c r="B3986">
        <v>465780497</v>
      </c>
      <c r="C3986">
        <v>144</v>
      </c>
      <c r="D3986" t="s">
        <v>13345</v>
      </c>
      <c r="E3986">
        <v>4820</v>
      </c>
      <c r="F3986" t="s">
        <v>23479</v>
      </c>
      <c r="G3986">
        <v>1</v>
      </c>
      <c r="H3986" t="s">
        <v>13451</v>
      </c>
      <c r="J3986" t="s">
        <v>13347</v>
      </c>
      <c r="K3986" t="s">
        <v>192</v>
      </c>
      <c r="L3986" t="s">
        <v>33</v>
      </c>
      <c r="M3986" t="s">
        <v>13452</v>
      </c>
      <c r="N3986" t="s">
        <v>13459</v>
      </c>
      <c r="O3986" t="s">
        <v>13460</v>
      </c>
      <c r="P3986" s="2" t="s">
        <v>67</v>
      </c>
      <c r="Q3986" t="s">
        <v>68</v>
      </c>
      <c r="R3986">
        <v>7.2</v>
      </c>
      <c r="S3986">
        <v>7.21</v>
      </c>
      <c r="T3986" t="s">
        <v>13461</v>
      </c>
    </row>
    <row r="3987" spans="1:20" x14ac:dyDescent="0.25">
      <c r="A3987" s="1" t="str">
        <f>HYPERLINK("https://vegkart.atlas.vegvesen.no/#/@233376.4,7065994.9,18/hva:hva%5B0%5D%5Bfilter%5D%5B0%5D%5Boperator%5D=%21%3D&amp;hva%5B0%5D%5Bfilter%5D%5B0%5D%5Btype_id%5D=4820&amp;hva%5B0%5D%5Bfilter%5D%5B0%5D%5Bverdi%5D=&amp;hva%5B0%5D%5Bid%5D=144/når:2013-11-12", "Vegkart")</f>
        <v>Vegkart</v>
      </c>
      <c r="B3987">
        <v>465780498</v>
      </c>
      <c r="C3987">
        <v>144</v>
      </c>
      <c r="D3987" t="s">
        <v>13345</v>
      </c>
      <c r="E3987">
        <v>4820</v>
      </c>
      <c r="F3987" t="s">
        <v>23479</v>
      </c>
      <c r="G3987">
        <v>1</v>
      </c>
      <c r="H3987" t="s">
        <v>13451</v>
      </c>
      <c r="J3987" t="s">
        <v>13347</v>
      </c>
      <c r="K3987" t="s">
        <v>192</v>
      </c>
      <c r="L3987" t="s">
        <v>33</v>
      </c>
      <c r="M3987" t="s">
        <v>13452</v>
      </c>
      <c r="N3987" t="s">
        <v>13462</v>
      </c>
      <c r="O3987" t="s">
        <v>13463</v>
      </c>
      <c r="P3987" s="2" t="s">
        <v>67</v>
      </c>
      <c r="Q3987" t="s">
        <v>68</v>
      </c>
      <c r="R3987">
        <v>4.21</v>
      </c>
      <c r="S3987">
        <v>4.21</v>
      </c>
      <c r="T3987" t="s">
        <v>13464</v>
      </c>
    </row>
    <row r="3988" spans="1:20" x14ac:dyDescent="0.25">
      <c r="A3988" s="1" t="str">
        <f>HYPERLINK("https://vegkart.atlas.vegvesen.no/#/@233344.9,7065988.7,18/hva:hva%5B0%5D%5Bfilter%5D%5B0%5D%5Boperator%5D=%21%3D&amp;hva%5B0%5D%5Bfilter%5D%5B0%5D%5Btype_id%5D=4820&amp;hva%5B0%5D%5Bfilter%5D%5B0%5D%5Bverdi%5D=&amp;hva%5B0%5D%5Bid%5D=144/når:2013-11-12", "Vegkart")</f>
        <v>Vegkart</v>
      </c>
      <c r="B3988">
        <v>465780499</v>
      </c>
      <c r="C3988">
        <v>144</v>
      </c>
      <c r="D3988" t="s">
        <v>13345</v>
      </c>
      <c r="E3988">
        <v>4820</v>
      </c>
      <c r="F3988" t="s">
        <v>23479</v>
      </c>
      <c r="G3988">
        <v>1</v>
      </c>
      <c r="H3988" t="s">
        <v>13451</v>
      </c>
      <c r="J3988" t="s">
        <v>13347</v>
      </c>
      <c r="K3988" t="s">
        <v>192</v>
      </c>
      <c r="L3988" t="s">
        <v>33</v>
      </c>
      <c r="M3988" t="s">
        <v>13452</v>
      </c>
      <c r="N3988" t="s">
        <v>13465</v>
      </c>
      <c r="O3988" t="s">
        <v>13466</v>
      </c>
      <c r="P3988" s="2" t="s">
        <v>67</v>
      </c>
      <c r="Q3988" t="s">
        <v>68</v>
      </c>
      <c r="R3988">
        <v>4.83</v>
      </c>
      <c r="S3988">
        <v>4.83</v>
      </c>
      <c r="T3988" t="s">
        <v>13467</v>
      </c>
    </row>
    <row r="3989" spans="1:20" x14ac:dyDescent="0.25">
      <c r="A3989" s="1" t="str">
        <f>HYPERLINK("https://vegkart.atlas.vegvesen.no/#/@233199.2,7065973.6,18/hva:hva%5B0%5D%5Bfilter%5D%5B0%5D%5Boperator%5D=%21%3D&amp;hva%5B0%5D%5Bfilter%5D%5B0%5D%5Btype_id%5D=4820&amp;hva%5B0%5D%5Bfilter%5D%5B0%5D%5Bverdi%5D=&amp;hva%5B0%5D%5Bid%5D=144/når:2013-11-12", "Vegkart")</f>
        <v>Vegkart</v>
      </c>
      <c r="B3989">
        <v>465780500</v>
      </c>
      <c r="C3989">
        <v>144</v>
      </c>
      <c r="D3989" t="s">
        <v>13345</v>
      </c>
      <c r="E3989">
        <v>4820</v>
      </c>
      <c r="F3989" t="s">
        <v>23479</v>
      </c>
      <c r="G3989">
        <v>1</v>
      </c>
      <c r="H3989" t="s">
        <v>13451</v>
      </c>
      <c r="J3989" t="s">
        <v>13347</v>
      </c>
      <c r="K3989" t="s">
        <v>192</v>
      </c>
      <c r="L3989" t="s">
        <v>33</v>
      </c>
      <c r="M3989" t="s">
        <v>13452</v>
      </c>
      <c r="N3989" t="s">
        <v>13468</v>
      </c>
      <c r="O3989" t="s">
        <v>13469</v>
      </c>
      <c r="P3989" s="2" t="s">
        <v>67</v>
      </c>
      <c r="Q3989" t="s">
        <v>68</v>
      </c>
      <c r="R3989">
        <v>3.58</v>
      </c>
      <c r="S3989">
        <v>3.58</v>
      </c>
      <c r="T3989" t="s">
        <v>13470</v>
      </c>
    </row>
    <row r="3990" spans="1:20" x14ac:dyDescent="0.25">
      <c r="A3990" s="1" t="str">
        <f>HYPERLINK("https://vegkart.atlas.vegvesen.no/#/@233280.8,7065981.2,18/hva:hva%5B0%5D%5Bfilter%5D%5B0%5D%5Boperator%5D=%21%3D&amp;hva%5B0%5D%5Bfilter%5D%5B0%5D%5Btype_id%5D=4820&amp;hva%5B0%5D%5Bfilter%5D%5B0%5D%5Bverdi%5D=&amp;hva%5B0%5D%5Bid%5D=144/når:2013-11-12", "Vegkart")</f>
        <v>Vegkart</v>
      </c>
      <c r="B3990">
        <v>465780501</v>
      </c>
      <c r="C3990">
        <v>144</v>
      </c>
      <c r="D3990" t="s">
        <v>13345</v>
      </c>
      <c r="E3990">
        <v>4820</v>
      </c>
      <c r="F3990" t="s">
        <v>23479</v>
      </c>
      <c r="G3990">
        <v>1</v>
      </c>
      <c r="H3990" t="s">
        <v>13451</v>
      </c>
      <c r="J3990" t="s">
        <v>13347</v>
      </c>
      <c r="K3990" t="s">
        <v>192</v>
      </c>
      <c r="L3990" t="s">
        <v>33</v>
      </c>
      <c r="M3990" t="s">
        <v>13452</v>
      </c>
      <c r="N3990" t="s">
        <v>13471</v>
      </c>
      <c r="O3990" t="s">
        <v>13472</v>
      </c>
      <c r="P3990" s="2" t="s">
        <v>67</v>
      </c>
      <c r="Q3990" t="s">
        <v>68</v>
      </c>
      <c r="R3990">
        <v>5.66</v>
      </c>
      <c r="S3990">
        <v>5.66</v>
      </c>
      <c r="T3990" t="s">
        <v>13473</v>
      </c>
    </row>
    <row r="3991" spans="1:20" x14ac:dyDescent="0.25">
      <c r="A3991" s="1" t="str">
        <f>HYPERLINK("https://vegkart.atlas.vegvesen.no/#/@233103.5,7065966.5,18/hva:hva%5B0%5D%5Bfilter%5D%5B0%5D%5Boperator%5D=%21%3D&amp;hva%5B0%5D%5Bfilter%5D%5B0%5D%5Btype_id%5D=4820&amp;hva%5B0%5D%5Bfilter%5D%5B0%5D%5Bverdi%5D=&amp;hva%5B0%5D%5Bid%5D=144/når:2013-11-12", "Vegkart")</f>
        <v>Vegkart</v>
      </c>
      <c r="B3991">
        <v>465780502</v>
      </c>
      <c r="C3991">
        <v>144</v>
      </c>
      <c r="D3991" t="s">
        <v>13345</v>
      </c>
      <c r="E3991">
        <v>4820</v>
      </c>
      <c r="F3991" t="s">
        <v>23479</v>
      </c>
      <c r="G3991">
        <v>1</v>
      </c>
      <c r="H3991" t="s">
        <v>13451</v>
      </c>
      <c r="J3991" t="s">
        <v>13347</v>
      </c>
      <c r="K3991" t="s">
        <v>192</v>
      </c>
      <c r="L3991" t="s">
        <v>33</v>
      </c>
      <c r="M3991" t="s">
        <v>13452</v>
      </c>
      <c r="N3991" t="s">
        <v>13474</v>
      </c>
      <c r="O3991" t="s">
        <v>13475</v>
      </c>
      <c r="P3991" s="2" t="s">
        <v>67</v>
      </c>
      <c r="Q3991" t="s">
        <v>68</v>
      </c>
      <c r="R3991">
        <v>3.58</v>
      </c>
      <c r="S3991">
        <v>3.58</v>
      </c>
      <c r="T3991" t="s">
        <v>13476</v>
      </c>
    </row>
    <row r="3992" spans="1:20" x14ac:dyDescent="0.25">
      <c r="A3992" s="1" t="str">
        <f>HYPERLINK("https://vegkart.atlas.vegvesen.no/#/@232665.2,7065791.1,18/hva:hva%5B0%5D%5Bfilter%5D%5B0%5D%5Boperator%5D=%21%3D&amp;hva%5B0%5D%5Bfilter%5D%5B0%5D%5Btype_id%5D=4820&amp;hva%5B0%5D%5Bfilter%5D%5B0%5D%5Bverdi%5D=&amp;hva%5B0%5D%5Bid%5D=144/når:2013-11-12", "Vegkart")</f>
        <v>Vegkart</v>
      </c>
      <c r="B3992">
        <v>465780503</v>
      </c>
      <c r="C3992">
        <v>144</v>
      </c>
      <c r="D3992" t="s">
        <v>13345</v>
      </c>
      <c r="E3992">
        <v>4820</v>
      </c>
      <c r="F3992" t="s">
        <v>23479</v>
      </c>
      <c r="G3992">
        <v>1</v>
      </c>
      <c r="H3992" t="s">
        <v>13451</v>
      </c>
      <c r="J3992" t="s">
        <v>13347</v>
      </c>
      <c r="K3992" t="s">
        <v>192</v>
      </c>
      <c r="L3992" t="s">
        <v>33</v>
      </c>
      <c r="M3992" t="s">
        <v>13452</v>
      </c>
      <c r="N3992" t="s">
        <v>13477</v>
      </c>
      <c r="O3992" t="s">
        <v>13478</v>
      </c>
      <c r="P3992" s="2" t="s">
        <v>67</v>
      </c>
      <c r="Q3992" t="s">
        <v>68</v>
      </c>
      <c r="R3992">
        <v>2.33</v>
      </c>
      <c r="S3992">
        <v>2.33</v>
      </c>
      <c r="T3992" t="s">
        <v>13479</v>
      </c>
    </row>
    <row r="3993" spans="1:20" x14ac:dyDescent="0.25">
      <c r="A3993" s="1" t="str">
        <f>HYPERLINK("https://vegkart.atlas.vegvesen.no/#/@232671.2,7065777.4,18/hva:hva%5B0%5D%5Bfilter%5D%5B0%5D%5Boperator%5D=%21%3D&amp;hva%5B0%5D%5Bfilter%5D%5B0%5D%5Btype_id%5D=4820&amp;hva%5B0%5D%5Bfilter%5D%5B0%5D%5Bverdi%5D=&amp;hva%5B0%5D%5Bid%5D=144/når:2013-11-12", "Vegkart")</f>
        <v>Vegkart</v>
      </c>
      <c r="B3993">
        <v>465780504</v>
      </c>
      <c r="C3993">
        <v>144</v>
      </c>
      <c r="D3993" t="s">
        <v>13345</v>
      </c>
      <c r="E3993">
        <v>4820</v>
      </c>
      <c r="F3993" t="s">
        <v>23479</v>
      </c>
      <c r="G3993">
        <v>1</v>
      </c>
      <c r="H3993" t="s">
        <v>13451</v>
      </c>
      <c r="J3993" t="s">
        <v>13347</v>
      </c>
      <c r="K3993" t="s">
        <v>192</v>
      </c>
      <c r="L3993" t="s">
        <v>33</v>
      </c>
      <c r="M3993" t="s">
        <v>13452</v>
      </c>
      <c r="N3993" t="s">
        <v>13480</v>
      </c>
      <c r="O3993" t="s">
        <v>13481</v>
      </c>
      <c r="P3993" s="2" t="s">
        <v>67</v>
      </c>
      <c r="Q3993" t="s">
        <v>68</v>
      </c>
      <c r="R3993">
        <v>4.08</v>
      </c>
      <c r="S3993">
        <v>4.08</v>
      </c>
      <c r="T3993" t="s">
        <v>13482</v>
      </c>
    </row>
    <row r="3994" spans="1:20" x14ac:dyDescent="0.25">
      <c r="A3994" s="1" t="str">
        <f>HYPERLINK("https://vegkart.atlas.vegvesen.no/#/@232574.5,7065712.7,18/hva:hva%5B0%5D%5Bfilter%5D%5B0%5D%5Boperator%5D=%21%3D&amp;hva%5B0%5D%5Bfilter%5D%5B0%5D%5Btype_id%5D=4820&amp;hva%5B0%5D%5Bfilter%5D%5B0%5D%5Bverdi%5D=&amp;hva%5B0%5D%5Bid%5D=144/når:2013-11-12", "Vegkart")</f>
        <v>Vegkart</v>
      </c>
      <c r="B3994">
        <v>465780505</v>
      </c>
      <c r="C3994">
        <v>144</v>
      </c>
      <c r="D3994" t="s">
        <v>13345</v>
      </c>
      <c r="E3994">
        <v>4820</v>
      </c>
      <c r="F3994" t="s">
        <v>23479</v>
      </c>
      <c r="G3994">
        <v>1</v>
      </c>
      <c r="H3994" t="s">
        <v>13451</v>
      </c>
      <c r="J3994" t="s">
        <v>13347</v>
      </c>
      <c r="K3994" t="s">
        <v>192</v>
      </c>
      <c r="L3994" t="s">
        <v>370</v>
      </c>
      <c r="M3994" t="s">
        <v>13483</v>
      </c>
      <c r="N3994" t="s">
        <v>13484</v>
      </c>
      <c r="O3994" t="s">
        <v>13485</v>
      </c>
      <c r="P3994" s="2" t="s">
        <v>67</v>
      </c>
      <c r="Q3994" t="s">
        <v>68</v>
      </c>
      <c r="R3994">
        <v>2.36</v>
      </c>
      <c r="S3994">
        <v>2.36</v>
      </c>
      <c r="T3994" t="s">
        <v>13486</v>
      </c>
    </row>
    <row r="3995" spans="1:20" x14ac:dyDescent="0.25">
      <c r="A3995" s="1" t="str">
        <f>HYPERLINK("https://vegkart.atlas.vegvesen.no/#/@232582.7,7065704.4,18/hva:hva%5B0%5D%5Bfilter%5D%5B0%5D%5Boperator%5D=%21%3D&amp;hva%5B0%5D%5Bfilter%5D%5B0%5D%5Btype_id%5D=4820&amp;hva%5B0%5D%5Bfilter%5D%5B0%5D%5Bverdi%5D=&amp;hva%5B0%5D%5Bid%5D=144/når:2013-11-12", "Vegkart")</f>
        <v>Vegkart</v>
      </c>
      <c r="B3995">
        <v>465780506</v>
      </c>
      <c r="C3995">
        <v>144</v>
      </c>
      <c r="D3995" t="s">
        <v>13345</v>
      </c>
      <c r="E3995">
        <v>4820</v>
      </c>
      <c r="F3995" t="s">
        <v>23479</v>
      </c>
      <c r="G3995">
        <v>1</v>
      </c>
      <c r="H3995" t="s">
        <v>13451</v>
      </c>
      <c r="J3995" t="s">
        <v>13347</v>
      </c>
      <c r="K3995" t="s">
        <v>192</v>
      </c>
      <c r="L3995" t="s">
        <v>33</v>
      </c>
      <c r="M3995" t="s">
        <v>13452</v>
      </c>
      <c r="N3995" t="s">
        <v>13487</v>
      </c>
      <c r="O3995" t="s">
        <v>13488</v>
      </c>
      <c r="P3995" s="2" t="s">
        <v>67</v>
      </c>
      <c r="Q3995" t="s">
        <v>68</v>
      </c>
      <c r="R3995">
        <v>2.4300000000000002</v>
      </c>
      <c r="S3995">
        <v>2.4300000000000002</v>
      </c>
      <c r="T3995" t="s">
        <v>13489</v>
      </c>
    </row>
    <row r="3996" spans="1:20" x14ac:dyDescent="0.25">
      <c r="A3996" s="1" t="str">
        <f>HYPERLINK("https://vegkart.atlas.vegvesen.no/#/@232331.2,7065554.9,18/hva:hva%5B0%5D%5Bfilter%5D%5B0%5D%5Boperator%5D=%21%3D&amp;hva%5B0%5D%5Bfilter%5D%5B0%5D%5Btype_id%5D=4820&amp;hva%5B0%5D%5Bfilter%5D%5B0%5D%5Bverdi%5D=&amp;hva%5B0%5D%5Bid%5D=144/når:2013-11-12", "Vegkart")</f>
        <v>Vegkart</v>
      </c>
      <c r="B3996">
        <v>465780507</v>
      </c>
      <c r="C3996">
        <v>144</v>
      </c>
      <c r="D3996" t="s">
        <v>13345</v>
      </c>
      <c r="E3996">
        <v>4820</v>
      </c>
      <c r="F3996" t="s">
        <v>23479</v>
      </c>
      <c r="G3996">
        <v>1</v>
      </c>
      <c r="H3996" t="s">
        <v>13451</v>
      </c>
      <c r="J3996" t="s">
        <v>13347</v>
      </c>
      <c r="K3996" t="s">
        <v>192</v>
      </c>
      <c r="L3996" t="s">
        <v>33</v>
      </c>
      <c r="M3996" t="s">
        <v>13452</v>
      </c>
      <c r="N3996" t="s">
        <v>13490</v>
      </c>
      <c r="O3996" t="s">
        <v>13491</v>
      </c>
      <c r="P3996" s="2" t="s">
        <v>67</v>
      </c>
      <c r="Q3996" t="s">
        <v>68</v>
      </c>
      <c r="R3996">
        <v>4.33</v>
      </c>
      <c r="S3996">
        <v>4.33</v>
      </c>
      <c r="T3996" t="s">
        <v>13492</v>
      </c>
    </row>
    <row r="3997" spans="1:20" x14ac:dyDescent="0.25">
      <c r="A3997" s="1" t="str">
        <f>HYPERLINK("https://vegkart.atlas.vegvesen.no/#/@232357.2,7065562.8,18/hva:hva%5B0%5D%5Bfilter%5D%5B0%5D%5Boperator%5D=%21%3D&amp;hva%5B0%5D%5Bfilter%5D%5B0%5D%5Btype_id%5D=4820&amp;hva%5B0%5D%5Bfilter%5D%5B0%5D%5Bverdi%5D=&amp;hva%5B0%5D%5Bid%5D=144/når:2013-11-12", "Vegkart")</f>
        <v>Vegkart</v>
      </c>
      <c r="B3997">
        <v>465780508</v>
      </c>
      <c r="C3997">
        <v>144</v>
      </c>
      <c r="D3997" t="s">
        <v>13345</v>
      </c>
      <c r="E3997">
        <v>4820</v>
      </c>
      <c r="F3997" t="s">
        <v>23479</v>
      </c>
      <c r="G3997">
        <v>1</v>
      </c>
      <c r="H3997" t="s">
        <v>13451</v>
      </c>
      <c r="J3997" t="s">
        <v>13347</v>
      </c>
      <c r="K3997" t="s">
        <v>192</v>
      </c>
      <c r="L3997" t="s">
        <v>33</v>
      </c>
      <c r="M3997" t="s">
        <v>13452</v>
      </c>
      <c r="N3997" t="s">
        <v>13493</v>
      </c>
      <c r="O3997" t="s">
        <v>13494</v>
      </c>
      <c r="P3997" s="2" t="s">
        <v>67</v>
      </c>
      <c r="Q3997" t="s">
        <v>68</v>
      </c>
      <c r="R3997">
        <v>3.71</v>
      </c>
      <c r="S3997">
        <v>3.71</v>
      </c>
      <c r="T3997" t="s">
        <v>13495</v>
      </c>
    </row>
    <row r="3998" spans="1:20" x14ac:dyDescent="0.25">
      <c r="A3998" s="1" t="str">
        <f>HYPERLINK("https://vegkart.atlas.vegvesen.no/#/@232241.2,7065547.9,18/hva:hva%5B0%5D%5Bfilter%5D%5B0%5D%5Boperator%5D=%21%3D&amp;hva%5B0%5D%5Bfilter%5D%5B0%5D%5Btype_id%5D=4820&amp;hva%5B0%5D%5Bfilter%5D%5B0%5D%5Bverdi%5D=&amp;hva%5B0%5D%5Bid%5D=144/når:2013-11-12", "Vegkart")</f>
        <v>Vegkart</v>
      </c>
      <c r="B3998">
        <v>465780509</v>
      </c>
      <c r="C3998">
        <v>144</v>
      </c>
      <c r="D3998" t="s">
        <v>13345</v>
      </c>
      <c r="E3998">
        <v>4820</v>
      </c>
      <c r="F3998" t="s">
        <v>23479</v>
      </c>
      <c r="G3998">
        <v>1</v>
      </c>
      <c r="H3998" t="s">
        <v>13451</v>
      </c>
      <c r="J3998" t="s">
        <v>13347</v>
      </c>
      <c r="K3998" t="s">
        <v>192</v>
      </c>
      <c r="L3998" t="s">
        <v>33</v>
      </c>
      <c r="M3998" t="s">
        <v>13452</v>
      </c>
      <c r="N3998" t="s">
        <v>13496</v>
      </c>
      <c r="O3998" t="s">
        <v>13497</v>
      </c>
      <c r="P3998" s="2" t="s">
        <v>67</v>
      </c>
      <c r="Q3998" t="s">
        <v>68</v>
      </c>
      <c r="R3998">
        <v>2.87</v>
      </c>
      <c r="S3998">
        <v>2.87</v>
      </c>
      <c r="T3998" t="s">
        <v>13498</v>
      </c>
    </row>
    <row r="3999" spans="1:20" x14ac:dyDescent="0.25">
      <c r="A3999" s="1" t="str">
        <f>HYPERLINK("https://vegkart.atlas.vegvesen.no/#/@232366.0,7065547.0,18/hva:hva%5B0%5D%5Bfilter%5D%5B0%5D%5Boperator%5D=%21%3D&amp;hva%5B0%5D%5Bfilter%5D%5B0%5D%5Btype_id%5D=4820&amp;hva%5B0%5D%5Bfilter%5D%5B0%5D%5Bverdi%5D=&amp;hva%5B0%5D%5Bid%5D=144/når:2013-11-12", "Vegkart")</f>
        <v>Vegkart</v>
      </c>
      <c r="B3999">
        <v>465780510</v>
      </c>
      <c r="C3999">
        <v>144</v>
      </c>
      <c r="D3999" t="s">
        <v>13345</v>
      </c>
      <c r="E3999">
        <v>4820</v>
      </c>
      <c r="F3999" t="s">
        <v>23479</v>
      </c>
      <c r="G3999">
        <v>1</v>
      </c>
      <c r="H3999" t="s">
        <v>13451</v>
      </c>
      <c r="J3999" t="s">
        <v>13347</v>
      </c>
      <c r="K3999" t="s">
        <v>192</v>
      </c>
      <c r="L3999" t="s">
        <v>33</v>
      </c>
      <c r="M3999" t="s">
        <v>13452</v>
      </c>
      <c r="N3999" t="s">
        <v>13499</v>
      </c>
      <c r="O3999" t="s">
        <v>13500</v>
      </c>
      <c r="P3999" s="2" t="s">
        <v>67</v>
      </c>
      <c r="Q3999" t="s">
        <v>68</v>
      </c>
      <c r="R3999">
        <v>3.87</v>
      </c>
      <c r="S3999">
        <v>3.87</v>
      </c>
      <c r="T3999" t="s">
        <v>13501</v>
      </c>
    </row>
    <row r="4000" spans="1:20" x14ac:dyDescent="0.25">
      <c r="A4000" s="1" t="str">
        <f>HYPERLINK("https://vegkart.atlas.vegvesen.no/#/@232101.8,7065487.5,18/hva:hva%5B0%5D%5Bfilter%5D%5B0%5D%5Boperator%5D=%21%3D&amp;hva%5B0%5D%5Bfilter%5D%5B0%5D%5Btype_id%5D=4820&amp;hva%5B0%5D%5Bfilter%5D%5B0%5D%5Bverdi%5D=&amp;hva%5B0%5D%5Bid%5D=144/når:2013-11-12", "Vegkart")</f>
        <v>Vegkart</v>
      </c>
      <c r="B4000">
        <v>465780511</v>
      </c>
      <c r="C4000">
        <v>144</v>
      </c>
      <c r="D4000" t="s">
        <v>13345</v>
      </c>
      <c r="E4000">
        <v>4820</v>
      </c>
      <c r="F4000" t="s">
        <v>23479</v>
      </c>
      <c r="G4000">
        <v>1</v>
      </c>
      <c r="H4000" t="s">
        <v>13451</v>
      </c>
      <c r="J4000" t="s">
        <v>13347</v>
      </c>
      <c r="K4000" t="s">
        <v>192</v>
      </c>
      <c r="L4000" t="s">
        <v>33</v>
      </c>
      <c r="M4000" t="s">
        <v>13452</v>
      </c>
      <c r="N4000" t="s">
        <v>13502</v>
      </c>
      <c r="O4000" t="s">
        <v>13503</v>
      </c>
      <c r="P4000" s="2" t="s">
        <v>67</v>
      </c>
      <c r="Q4000" t="s">
        <v>68</v>
      </c>
      <c r="R4000">
        <v>6.54</v>
      </c>
      <c r="S4000">
        <v>6.54</v>
      </c>
      <c r="T4000" t="s">
        <v>13504</v>
      </c>
    </row>
    <row r="4001" spans="1:20" x14ac:dyDescent="0.25">
      <c r="A4001" s="1" t="str">
        <f>HYPERLINK("https://vegkart.atlas.vegvesen.no/#/@231160.2,7064895.5,18/hva:hva%5B0%5D%5Bfilter%5D%5B0%5D%5Boperator%5D=%21%3D&amp;hva%5B0%5D%5Bfilter%5D%5B0%5D%5Btype_id%5D=4820&amp;hva%5B0%5D%5Bfilter%5D%5B0%5D%5Bverdi%5D=&amp;hva%5B0%5D%5Bid%5D=144/når:2013-11-12", "Vegkart")</f>
        <v>Vegkart</v>
      </c>
      <c r="B4001">
        <v>465780512</v>
      </c>
      <c r="C4001">
        <v>144</v>
      </c>
      <c r="D4001" t="s">
        <v>13345</v>
      </c>
      <c r="E4001">
        <v>4820</v>
      </c>
      <c r="F4001" t="s">
        <v>23479</v>
      </c>
      <c r="G4001">
        <v>1</v>
      </c>
      <c r="H4001" t="s">
        <v>13451</v>
      </c>
      <c r="J4001" t="s">
        <v>13347</v>
      </c>
      <c r="K4001" t="s">
        <v>192</v>
      </c>
      <c r="L4001" t="s">
        <v>33</v>
      </c>
      <c r="M4001" t="s">
        <v>13452</v>
      </c>
      <c r="N4001" t="s">
        <v>13505</v>
      </c>
      <c r="O4001" t="s">
        <v>13506</v>
      </c>
      <c r="P4001" s="2" t="s">
        <v>67</v>
      </c>
      <c r="Q4001" t="s">
        <v>68</v>
      </c>
      <c r="R4001">
        <v>2.62</v>
      </c>
      <c r="S4001">
        <v>2.62</v>
      </c>
      <c r="T4001" t="s">
        <v>13507</v>
      </c>
    </row>
    <row r="4002" spans="1:20" x14ac:dyDescent="0.25">
      <c r="A4002" s="1" t="str">
        <f>HYPERLINK("https://vegkart.atlas.vegvesen.no/#/@231150.6,7064906.0,18/hva:hva%5B0%5D%5Bfilter%5D%5B0%5D%5Boperator%5D=%21%3D&amp;hva%5B0%5D%5Bfilter%5D%5B0%5D%5Btype_id%5D=4820&amp;hva%5B0%5D%5Bfilter%5D%5B0%5D%5Bverdi%5D=&amp;hva%5B0%5D%5Bid%5D=144/når:2013-11-12", "Vegkart")</f>
        <v>Vegkart</v>
      </c>
      <c r="B4002">
        <v>465780513</v>
      </c>
      <c r="C4002">
        <v>144</v>
      </c>
      <c r="D4002" t="s">
        <v>13345</v>
      </c>
      <c r="E4002">
        <v>4820</v>
      </c>
      <c r="F4002" t="s">
        <v>23479</v>
      </c>
      <c r="G4002">
        <v>1</v>
      </c>
      <c r="H4002" t="s">
        <v>13451</v>
      </c>
      <c r="J4002" t="s">
        <v>13347</v>
      </c>
      <c r="K4002" t="s">
        <v>192</v>
      </c>
      <c r="L4002" t="s">
        <v>33</v>
      </c>
      <c r="M4002" t="s">
        <v>13452</v>
      </c>
      <c r="N4002" t="s">
        <v>13508</v>
      </c>
      <c r="O4002" t="s">
        <v>13509</v>
      </c>
      <c r="P4002" s="2" t="s">
        <v>67</v>
      </c>
      <c r="Q4002" t="s">
        <v>68</v>
      </c>
      <c r="R4002">
        <v>4.34</v>
      </c>
      <c r="S4002">
        <v>4.34</v>
      </c>
      <c r="T4002" t="s">
        <v>13510</v>
      </c>
    </row>
    <row r="4003" spans="1:20" x14ac:dyDescent="0.25">
      <c r="A4003" s="1" t="str">
        <f>HYPERLINK("https://vegkart.atlas.vegvesen.no/#/@231153.8,7064906.7,18/hva:hva%5B0%5D%5Bfilter%5D%5B0%5D%5Boperator%5D=%21%3D&amp;hva%5B0%5D%5Bfilter%5D%5B0%5D%5Btype_id%5D=4820&amp;hva%5B0%5D%5Bfilter%5D%5B0%5D%5Bverdi%5D=&amp;hva%5B0%5D%5Bid%5D=144/når:2013-11-12", "Vegkart")</f>
        <v>Vegkart</v>
      </c>
      <c r="B4003">
        <v>465780514</v>
      </c>
      <c r="C4003">
        <v>144</v>
      </c>
      <c r="D4003" t="s">
        <v>13345</v>
      </c>
      <c r="E4003">
        <v>4820</v>
      </c>
      <c r="F4003" t="s">
        <v>23479</v>
      </c>
      <c r="G4003">
        <v>1</v>
      </c>
      <c r="H4003" t="s">
        <v>13451</v>
      </c>
      <c r="J4003" t="s">
        <v>13347</v>
      </c>
      <c r="K4003" t="s">
        <v>192</v>
      </c>
      <c r="L4003" t="s">
        <v>33</v>
      </c>
      <c r="M4003" t="s">
        <v>13452</v>
      </c>
      <c r="N4003" t="s">
        <v>13511</v>
      </c>
      <c r="O4003" t="s">
        <v>13512</v>
      </c>
      <c r="P4003" s="2" t="s">
        <v>67</v>
      </c>
      <c r="Q4003" t="s">
        <v>68</v>
      </c>
      <c r="R4003">
        <v>3.21</v>
      </c>
      <c r="S4003">
        <v>3.21</v>
      </c>
      <c r="T4003" t="s">
        <v>13513</v>
      </c>
    </row>
    <row r="4004" spans="1:20" x14ac:dyDescent="0.25">
      <c r="A4004" s="1" t="str">
        <f>HYPERLINK("https://vegkart.atlas.vegvesen.no/#/@231302.6,7065020.2,18/hva:hva%5B0%5D%5Bfilter%5D%5B0%5D%5Boperator%5D=%21%3D&amp;hva%5B0%5D%5Bfilter%5D%5B0%5D%5Btype_id%5D=4820&amp;hva%5B0%5D%5Bfilter%5D%5B0%5D%5Bverdi%5D=&amp;hva%5B0%5D%5Bid%5D=144/når:2013-11-12", "Vegkart")</f>
        <v>Vegkart</v>
      </c>
      <c r="B4004">
        <v>465780515</v>
      </c>
      <c r="C4004">
        <v>144</v>
      </c>
      <c r="D4004" t="s">
        <v>13345</v>
      </c>
      <c r="E4004">
        <v>4820</v>
      </c>
      <c r="F4004" t="s">
        <v>23479</v>
      </c>
      <c r="G4004">
        <v>1</v>
      </c>
      <c r="H4004" t="s">
        <v>13451</v>
      </c>
      <c r="J4004" t="s">
        <v>13347</v>
      </c>
      <c r="K4004" t="s">
        <v>192</v>
      </c>
      <c r="L4004" t="s">
        <v>33</v>
      </c>
      <c r="M4004" t="s">
        <v>13452</v>
      </c>
      <c r="N4004" t="s">
        <v>13514</v>
      </c>
      <c r="O4004" t="s">
        <v>13515</v>
      </c>
      <c r="P4004" s="2" t="s">
        <v>67</v>
      </c>
      <c r="Q4004" t="s">
        <v>68</v>
      </c>
      <c r="R4004">
        <v>1.97</v>
      </c>
      <c r="S4004">
        <v>1.97</v>
      </c>
      <c r="T4004" t="s">
        <v>13516</v>
      </c>
    </row>
    <row r="4005" spans="1:20" x14ac:dyDescent="0.25">
      <c r="A4005" s="1" t="str">
        <f>HYPERLINK("https://vegkart.atlas.vegvesen.no/#/@231358.3,7065095.7,18/hva:hva%5B0%5D%5Bfilter%5D%5B0%5D%5Boperator%5D=%21%3D&amp;hva%5B0%5D%5Bfilter%5D%5B0%5D%5Btype_id%5D=4820&amp;hva%5B0%5D%5Bfilter%5D%5B0%5D%5Bverdi%5D=&amp;hva%5B0%5D%5Bid%5D=144/når:2013-11-12", "Vegkart")</f>
        <v>Vegkart</v>
      </c>
      <c r="B4005">
        <v>465780516</v>
      </c>
      <c r="C4005">
        <v>144</v>
      </c>
      <c r="D4005" t="s">
        <v>13345</v>
      </c>
      <c r="E4005">
        <v>4820</v>
      </c>
      <c r="F4005" t="s">
        <v>23479</v>
      </c>
      <c r="G4005">
        <v>1</v>
      </c>
      <c r="H4005" t="s">
        <v>13451</v>
      </c>
      <c r="J4005" t="s">
        <v>13517</v>
      </c>
      <c r="K4005" t="s">
        <v>192</v>
      </c>
      <c r="L4005" t="s">
        <v>33</v>
      </c>
      <c r="M4005" t="s">
        <v>13452</v>
      </c>
      <c r="N4005" t="s">
        <v>13518</v>
      </c>
      <c r="O4005" t="s">
        <v>13519</v>
      </c>
      <c r="P4005" s="2" t="s">
        <v>67</v>
      </c>
      <c r="Q4005" t="s">
        <v>68</v>
      </c>
      <c r="R4005">
        <v>4.74</v>
      </c>
      <c r="S4005">
        <v>4.74</v>
      </c>
      <c r="T4005" t="s">
        <v>13520</v>
      </c>
    </row>
    <row r="4006" spans="1:20" x14ac:dyDescent="0.25">
      <c r="A4006" s="1" t="str">
        <f>HYPERLINK("https://vegkart.atlas.vegvesen.no/#/@231411.9,7065134.5,18/hva:hva%5B0%5D%5Bfilter%5D%5B0%5D%5Boperator%5D=%21%3D&amp;hva%5B0%5D%5Bfilter%5D%5B0%5D%5Btype_id%5D=4820&amp;hva%5B0%5D%5Bfilter%5D%5B0%5D%5Bverdi%5D=&amp;hva%5B0%5D%5Bid%5D=144/når:2013-11-12", "Vegkart")</f>
        <v>Vegkart</v>
      </c>
      <c r="B4006">
        <v>465780517</v>
      </c>
      <c r="C4006">
        <v>144</v>
      </c>
      <c r="D4006" t="s">
        <v>13345</v>
      </c>
      <c r="E4006">
        <v>4820</v>
      </c>
      <c r="F4006" t="s">
        <v>23479</v>
      </c>
      <c r="G4006">
        <v>1</v>
      </c>
      <c r="H4006" t="s">
        <v>13451</v>
      </c>
      <c r="J4006" t="s">
        <v>13517</v>
      </c>
      <c r="K4006" t="s">
        <v>192</v>
      </c>
      <c r="L4006" t="s">
        <v>33</v>
      </c>
      <c r="M4006" t="s">
        <v>13452</v>
      </c>
      <c r="N4006" t="s">
        <v>13521</v>
      </c>
      <c r="O4006" t="s">
        <v>13522</v>
      </c>
      <c r="P4006" s="2" t="s">
        <v>67</v>
      </c>
      <c r="Q4006" t="s">
        <v>68</v>
      </c>
      <c r="R4006">
        <v>2.89</v>
      </c>
      <c r="S4006">
        <v>2.89</v>
      </c>
      <c r="T4006" t="s">
        <v>13523</v>
      </c>
    </row>
    <row r="4007" spans="1:20" x14ac:dyDescent="0.25">
      <c r="A4007" s="1" t="str">
        <f>HYPERLINK("https://vegkart.atlas.vegvesen.no/#/@230763.5,7064534.1,18/hva:hva%5B0%5D%5Bfilter%5D%5B0%5D%5Boperator%5D=%21%3D&amp;hva%5B0%5D%5Bfilter%5D%5B0%5D%5Btype_id%5D=4820&amp;hva%5B0%5D%5Bfilter%5D%5B0%5D%5Bverdi%5D=&amp;hva%5B0%5D%5Bid%5D=144/når:2013-11-12", "Vegkart")</f>
        <v>Vegkart</v>
      </c>
      <c r="B4007">
        <v>465780518</v>
      </c>
      <c r="C4007">
        <v>144</v>
      </c>
      <c r="D4007" t="s">
        <v>13345</v>
      </c>
      <c r="E4007">
        <v>4820</v>
      </c>
      <c r="F4007" t="s">
        <v>23479</v>
      </c>
      <c r="G4007">
        <v>1</v>
      </c>
      <c r="H4007" t="s">
        <v>13451</v>
      </c>
      <c r="J4007" t="s">
        <v>13517</v>
      </c>
      <c r="K4007" t="s">
        <v>192</v>
      </c>
      <c r="L4007" t="s">
        <v>33</v>
      </c>
      <c r="M4007" t="s">
        <v>13452</v>
      </c>
      <c r="N4007" t="s">
        <v>13524</v>
      </c>
      <c r="O4007" t="s">
        <v>13525</v>
      </c>
      <c r="P4007" s="2" t="s">
        <v>67</v>
      </c>
      <c r="Q4007" t="s">
        <v>68</v>
      </c>
      <c r="R4007">
        <v>7.82</v>
      </c>
      <c r="S4007">
        <v>7.82</v>
      </c>
      <c r="T4007" t="s">
        <v>13526</v>
      </c>
    </row>
    <row r="4008" spans="1:20" x14ac:dyDescent="0.25">
      <c r="A4008" s="1" t="str">
        <f>HYPERLINK("https://vegkart.atlas.vegvesen.no/#/@230629.1,7064521.0,18/hva:hva%5B0%5D%5Bfilter%5D%5B0%5D%5Boperator%5D=%21%3D&amp;hva%5B0%5D%5Bfilter%5D%5B0%5D%5Btype_id%5D=4820&amp;hva%5B0%5D%5Bfilter%5D%5B0%5D%5Bverdi%5D=&amp;hva%5B0%5D%5Bid%5D=144/når:2013-11-12", "Vegkart")</f>
        <v>Vegkart</v>
      </c>
      <c r="B4008">
        <v>465780519</v>
      </c>
      <c r="C4008">
        <v>144</v>
      </c>
      <c r="D4008" t="s">
        <v>13345</v>
      </c>
      <c r="E4008">
        <v>4820</v>
      </c>
      <c r="F4008" t="s">
        <v>23479</v>
      </c>
      <c r="G4008">
        <v>1</v>
      </c>
      <c r="H4008" t="s">
        <v>13451</v>
      </c>
      <c r="J4008" t="s">
        <v>13517</v>
      </c>
      <c r="K4008" t="s">
        <v>192</v>
      </c>
      <c r="L4008" t="s">
        <v>33</v>
      </c>
      <c r="M4008" t="s">
        <v>13452</v>
      </c>
      <c r="N4008" t="s">
        <v>13527</v>
      </c>
      <c r="O4008" t="s">
        <v>13528</v>
      </c>
      <c r="P4008" s="2" t="s">
        <v>67</v>
      </c>
      <c r="Q4008" t="s">
        <v>68</v>
      </c>
      <c r="R4008">
        <v>4.28</v>
      </c>
      <c r="S4008">
        <v>4.28</v>
      </c>
      <c r="T4008" t="s">
        <v>13529</v>
      </c>
    </row>
    <row r="4009" spans="1:20" x14ac:dyDescent="0.25">
      <c r="A4009" s="1" t="str">
        <f>HYPERLINK("https://vegkart.atlas.vegvesen.no/#/@230285.8,7064355.8,18/hva:hva%5B0%5D%5Bfilter%5D%5B0%5D%5Boperator%5D=%21%3D&amp;hva%5B0%5D%5Bfilter%5D%5B0%5D%5Btype_id%5D=4820&amp;hva%5B0%5D%5Bfilter%5D%5B0%5D%5Bverdi%5D=&amp;hva%5B0%5D%5Bid%5D=144/når:2013-11-12", "Vegkart")</f>
        <v>Vegkart</v>
      </c>
      <c r="B4009">
        <v>465780520</v>
      </c>
      <c r="C4009">
        <v>144</v>
      </c>
      <c r="D4009" t="s">
        <v>13345</v>
      </c>
      <c r="E4009">
        <v>4820</v>
      </c>
      <c r="F4009" t="s">
        <v>23479</v>
      </c>
      <c r="G4009">
        <v>1</v>
      </c>
      <c r="H4009" t="s">
        <v>13451</v>
      </c>
      <c r="J4009" t="s">
        <v>13517</v>
      </c>
      <c r="K4009" t="s">
        <v>192</v>
      </c>
      <c r="L4009" t="s">
        <v>33</v>
      </c>
      <c r="M4009" t="s">
        <v>13452</v>
      </c>
      <c r="N4009" t="s">
        <v>13530</v>
      </c>
      <c r="O4009" t="s">
        <v>13531</v>
      </c>
      <c r="P4009" s="2" t="s">
        <v>67</v>
      </c>
      <c r="Q4009" t="s">
        <v>68</v>
      </c>
      <c r="R4009">
        <v>8.82</v>
      </c>
      <c r="S4009">
        <v>8.82</v>
      </c>
      <c r="T4009" t="s">
        <v>13532</v>
      </c>
    </row>
    <row r="4010" spans="1:20" x14ac:dyDescent="0.25">
      <c r="A4010" s="1" t="str">
        <f>HYPERLINK("https://vegkart.atlas.vegvesen.no/#/@230290.8,7064338.7,18/hva:hva%5B0%5D%5Bfilter%5D%5B0%5D%5Boperator%5D=%21%3D&amp;hva%5B0%5D%5Bfilter%5D%5B0%5D%5Btype_id%5D=4820&amp;hva%5B0%5D%5Bfilter%5D%5B0%5D%5Bverdi%5D=&amp;hva%5B0%5D%5Bid%5D=144/når:2013-11-12", "Vegkart")</f>
        <v>Vegkart</v>
      </c>
      <c r="B4010">
        <v>465780521</v>
      </c>
      <c r="C4010">
        <v>144</v>
      </c>
      <c r="D4010" t="s">
        <v>13345</v>
      </c>
      <c r="E4010">
        <v>4820</v>
      </c>
      <c r="F4010" t="s">
        <v>23479</v>
      </c>
      <c r="G4010">
        <v>1</v>
      </c>
      <c r="H4010" t="s">
        <v>13451</v>
      </c>
      <c r="J4010" t="s">
        <v>13517</v>
      </c>
      <c r="K4010" t="s">
        <v>192</v>
      </c>
      <c r="L4010" t="s">
        <v>33</v>
      </c>
      <c r="M4010" t="s">
        <v>13452</v>
      </c>
      <c r="N4010" t="s">
        <v>13533</v>
      </c>
      <c r="O4010" t="s">
        <v>13534</v>
      </c>
      <c r="P4010" s="2" t="s">
        <v>67</v>
      </c>
      <c r="Q4010" t="s">
        <v>68</v>
      </c>
      <c r="R4010">
        <v>3.57</v>
      </c>
      <c r="S4010">
        <v>3.57</v>
      </c>
      <c r="T4010" t="s">
        <v>13535</v>
      </c>
    </row>
    <row r="4011" spans="1:20" x14ac:dyDescent="0.25">
      <c r="A4011" s="1" t="str">
        <f>HYPERLINK("https://vegkart.atlas.vegvesen.no/#/@230632.1,7064507.8,18/hva:hva%5B0%5D%5Bfilter%5D%5B0%5D%5Boperator%5D=%21%3D&amp;hva%5B0%5D%5Bfilter%5D%5B0%5D%5Btype_id%5D=4820&amp;hva%5B0%5D%5Bfilter%5D%5B0%5D%5Bverdi%5D=&amp;hva%5B0%5D%5Bid%5D=144/når:2013-11-12", "Vegkart")</f>
        <v>Vegkart</v>
      </c>
      <c r="B4011">
        <v>465780522</v>
      </c>
      <c r="C4011">
        <v>144</v>
      </c>
      <c r="D4011" t="s">
        <v>13345</v>
      </c>
      <c r="E4011">
        <v>4820</v>
      </c>
      <c r="F4011" t="s">
        <v>23479</v>
      </c>
      <c r="G4011">
        <v>1</v>
      </c>
      <c r="H4011" t="s">
        <v>13451</v>
      </c>
      <c r="J4011" t="s">
        <v>13517</v>
      </c>
      <c r="K4011" t="s">
        <v>192</v>
      </c>
      <c r="L4011" t="s">
        <v>33</v>
      </c>
      <c r="M4011" t="s">
        <v>13452</v>
      </c>
      <c r="N4011" t="s">
        <v>13536</v>
      </c>
      <c r="O4011" t="s">
        <v>13537</v>
      </c>
      <c r="P4011" s="2" t="s">
        <v>67</v>
      </c>
      <c r="Q4011" t="s">
        <v>68</v>
      </c>
      <c r="R4011">
        <v>4.6100000000000003</v>
      </c>
      <c r="S4011">
        <v>4.6100000000000003</v>
      </c>
      <c r="T4011" t="s">
        <v>13538</v>
      </c>
    </row>
    <row r="4012" spans="1:20" x14ac:dyDescent="0.25">
      <c r="A4012" s="1" t="str">
        <f>HYPERLINK("https://vegkart.atlas.vegvesen.no/#/@230957.5,7064734.0,18/hva:hva%5B0%5D%5Bfilter%5D%5B0%5D%5Boperator%5D=%21%3D&amp;hva%5B0%5D%5Bfilter%5D%5B0%5D%5Btype_id%5D=4820&amp;hva%5B0%5D%5Bfilter%5D%5B0%5D%5Bverdi%5D=&amp;hva%5B0%5D%5Bid%5D=144/når:2013-11-12", "Vegkart")</f>
        <v>Vegkart</v>
      </c>
      <c r="B4012">
        <v>465780523</v>
      </c>
      <c r="C4012">
        <v>144</v>
      </c>
      <c r="D4012" t="s">
        <v>13345</v>
      </c>
      <c r="E4012">
        <v>4820</v>
      </c>
      <c r="F4012" t="s">
        <v>23479</v>
      </c>
      <c r="G4012">
        <v>1</v>
      </c>
      <c r="H4012" t="s">
        <v>13451</v>
      </c>
      <c r="J4012" t="s">
        <v>13517</v>
      </c>
      <c r="K4012" t="s">
        <v>192</v>
      </c>
      <c r="L4012" t="s">
        <v>33</v>
      </c>
      <c r="M4012" t="s">
        <v>13452</v>
      </c>
      <c r="N4012" t="s">
        <v>13539</v>
      </c>
      <c r="O4012" t="s">
        <v>13540</v>
      </c>
      <c r="P4012" s="2" t="s">
        <v>67</v>
      </c>
      <c r="Q4012" t="s">
        <v>68</v>
      </c>
      <c r="R4012">
        <v>7.18</v>
      </c>
      <c r="S4012">
        <v>7.19</v>
      </c>
      <c r="T4012" t="s">
        <v>13541</v>
      </c>
    </row>
    <row r="4013" spans="1:20" x14ac:dyDescent="0.25">
      <c r="A4013" s="1" t="str">
        <f>HYPERLINK("https://vegkart.atlas.vegvesen.no/#/@229659.7,7064178.4,18/hva:hva%5B0%5D%5Bfilter%5D%5B0%5D%5Boperator%5D=%21%3D&amp;hva%5B0%5D%5Bfilter%5D%5B0%5D%5Btype_id%5D=4820&amp;hva%5B0%5D%5Bfilter%5D%5B0%5D%5Bverdi%5D=&amp;hva%5B0%5D%5Bid%5D=144/når:2013-11-12", "Vegkart")</f>
        <v>Vegkart</v>
      </c>
      <c r="B4013">
        <v>465780524</v>
      </c>
      <c r="C4013">
        <v>144</v>
      </c>
      <c r="D4013" t="s">
        <v>13345</v>
      </c>
      <c r="E4013">
        <v>4820</v>
      </c>
      <c r="F4013" t="s">
        <v>23479</v>
      </c>
      <c r="G4013">
        <v>1</v>
      </c>
      <c r="H4013" t="s">
        <v>13451</v>
      </c>
      <c r="J4013" t="s">
        <v>13517</v>
      </c>
      <c r="K4013" t="s">
        <v>192</v>
      </c>
      <c r="L4013" t="s">
        <v>33</v>
      </c>
      <c r="M4013" t="s">
        <v>13452</v>
      </c>
      <c r="N4013" t="s">
        <v>13542</v>
      </c>
      <c r="O4013" t="s">
        <v>13543</v>
      </c>
      <c r="P4013" s="2" t="s">
        <v>67</v>
      </c>
      <c r="Q4013" t="s">
        <v>68</v>
      </c>
      <c r="R4013">
        <v>1.4</v>
      </c>
      <c r="S4013">
        <v>1.4</v>
      </c>
      <c r="T4013" t="s">
        <v>13544</v>
      </c>
    </row>
    <row r="4014" spans="1:20" x14ac:dyDescent="0.25">
      <c r="A4014" s="1" t="str">
        <f>HYPERLINK("https://vegkart.atlas.vegvesen.no/#/@229213.3,7063929.5,18/hva:hva%5B0%5D%5Bfilter%5D%5B0%5D%5Boperator%5D=%21%3D&amp;hva%5B0%5D%5Bfilter%5D%5B0%5D%5Btype_id%5D=4820&amp;hva%5B0%5D%5Bfilter%5D%5B0%5D%5Bverdi%5D=&amp;hva%5B0%5D%5Bid%5D=144/når:2013-11-12", "Vegkart")</f>
        <v>Vegkart</v>
      </c>
      <c r="B4014">
        <v>465780525</v>
      </c>
      <c r="C4014">
        <v>144</v>
      </c>
      <c r="D4014" t="s">
        <v>13345</v>
      </c>
      <c r="E4014">
        <v>4820</v>
      </c>
      <c r="F4014" t="s">
        <v>23479</v>
      </c>
      <c r="G4014">
        <v>1</v>
      </c>
      <c r="H4014" t="s">
        <v>13451</v>
      </c>
      <c r="J4014" t="s">
        <v>13517</v>
      </c>
      <c r="K4014" t="s">
        <v>192</v>
      </c>
      <c r="L4014" t="s">
        <v>33</v>
      </c>
      <c r="M4014" t="s">
        <v>13452</v>
      </c>
      <c r="N4014" t="s">
        <v>13545</v>
      </c>
      <c r="O4014" t="s">
        <v>13546</v>
      </c>
      <c r="P4014" s="2" t="s">
        <v>67</v>
      </c>
      <c r="Q4014" t="s">
        <v>68</v>
      </c>
      <c r="R4014">
        <v>3.4</v>
      </c>
      <c r="S4014">
        <v>3.4</v>
      </c>
      <c r="T4014" t="s">
        <v>13547</v>
      </c>
    </row>
    <row r="4015" spans="1:20" x14ac:dyDescent="0.25">
      <c r="A4015" s="1" t="str">
        <f>HYPERLINK("https://vegkart.atlas.vegvesen.no/#/@229308.4,7063975.6,18/hva:hva%5B0%5D%5Bfilter%5D%5B0%5D%5Boperator%5D=%21%3D&amp;hva%5B0%5D%5Bfilter%5D%5B0%5D%5Btype_id%5D=4820&amp;hva%5B0%5D%5Bfilter%5D%5B0%5D%5Bverdi%5D=&amp;hva%5B0%5D%5Bid%5D=144/når:2013-11-12", "Vegkart")</f>
        <v>Vegkart</v>
      </c>
      <c r="B4015">
        <v>465780526</v>
      </c>
      <c r="C4015">
        <v>144</v>
      </c>
      <c r="D4015" t="s">
        <v>13345</v>
      </c>
      <c r="E4015">
        <v>4820</v>
      </c>
      <c r="F4015" t="s">
        <v>23479</v>
      </c>
      <c r="G4015">
        <v>1</v>
      </c>
      <c r="H4015" t="s">
        <v>13451</v>
      </c>
      <c r="J4015" t="s">
        <v>13517</v>
      </c>
      <c r="K4015" t="s">
        <v>192</v>
      </c>
      <c r="L4015" t="s">
        <v>33</v>
      </c>
      <c r="M4015" t="s">
        <v>13452</v>
      </c>
      <c r="N4015" t="s">
        <v>13548</v>
      </c>
      <c r="O4015" t="s">
        <v>13549</v>
      </c>
      <c r="P4015" s="2" t="s">
        <v>67</v>
      </c>
      <c r="Q4015" t="s">
        <v>68</v>
      </c>
      <c r="R4015">
        <v>2.89</v>
      </c>
      <c r="S4015">
        <v>2.89</v>
      </c>
      <c r="T4015" t="s">
        <v>13550</v>
      </c>
    </row>
    <row r="4016" spans="1:20" x14ac:dyDescent="0.25">
      <c r="A4016" s="1" t="str">
        <f>HYPERLINK("https://vegkart.atlas.vegvesen.no/#/@229348.2,7063995.3,18/hva:hva%5B0%5D%5Bfilter%5D%5B0%5D%5Boperator%5D=%21%3D&amp;hva%5B0%5D%5Bfilter%5D%5B0%5D%5Btype_id%5D=4820&amp;hva%5B0%5D%5Bfilter%5D%5B0%5D%5Bverdi%5D=&amp;hva%5B0%5D%5Bid%5D=144/når:2013-11-12", "Vegkart")</f>
        <v>Vegkart</v>
      </c>
      <c r="B4016">
        <v>465780527</v>
      </c>
      <c r="C4016">
        <v>144</v>
      </c>
      <c r="D4016" t="s">
        <v>13345</v>
      </c>
      <c r="E4016">
        <v>4820</v>
      </c>
      <c r="F4016" t="s">
        <v>23479</v>
      </c>
      <c r="G4016">
        <v>1</v>
      </c>
      <c r="H4016" t="s">
        <v>13451</v>
      </c>
      <c r="J4016" t="s">
        <v>13517</v>
      </c>
      <c r="K4016" t="s">
        <v>192</v>
      </c>
      <c r="L4016" t="s">
        <v>33</v>
      </c>
      <c r="M4016" t="s">
        <v>13452</v>
      </c>
      <c r="N4016" t="s">
        <v>13551</v>
      </c>
      <c r="O4016" t="s">
        <v>13552</v>
      </c>
      <c r="P4016" s="2" t="s">
        <v>67</v>
      </c>
      <c r="Q4016" t="s">
        <v>68</v>
      </c>
      <c r="R4016">
        <v>3.8</v>
      </c>
      <c r="S4016">
        <v>3.8</v>
      </c>
      <c r="T4016" t="s">
        <v>13553</v>
      </c>
    </row>
    <row r="4017" spans="1:20" x14ac:dyDescent="0.25">
      <c r="A4017" s="1" t="str">
        <f>HYPERLINK("https://vegkart.atlas.vegvesen.no/#/@230759.3,7064552.3,18/hva:hva%5B0%5D%5Bfilter%5D%5B0%5D%5Boperator%5D=%21%3D&amp;hva%5B0%5D%5Bfilter%5D%5B0%5D%5Btype_id%5D=4820&amp;hva%5B0%5D%5Bfilter%5D%5B0%5D%5Bverdi%5D=&amp;hva%5B0%5D%5Bid%5D=144/når:2013-11-12", "Vegkart")</f>
        <v>Vegkart</v>
      </c>
      <c r="B4017">
        <v>465780529</v>
      </c>
      <c r="C4017">
        <v>144</v>
      </c>
      <c r="D4017" t="s">
        <v>13345</v>
      </c>
      <c r="E4017">
        <v>4820</v>
      </c>
      <c r="F4017" t="s">
        <v>23479</v>
      </c>
      <c r="G4017">
        <v>1</v>
      </c>
      <c r="H4017" t="s">
        <v>13451</v>
      </c>
      <c r="J4017" t="s">
        <v>13517</v>
      </c>
      <c r="K4017" t="s">
        <v>192</v>
      </c>
      <c r="L4017" t="s">
        <v>33</v>
      </c>
      <c r="M4017" t="s">
        <v>13452</v>
      </c>
      <c r="N4017" t="s">
        <v>13554</v>
      </c>
      <c r="O4017" t="s">
        <v>13555</v>
      </c>
      <c r="P4017" s="2" t="s">
        <v>67</v>
      </c>
      <c r="Q4017" t="s">
        <v>68</v>
      </c>
      <c r="R4017">
        <v>6.19</v>
      </c>
      <c r="S4017">
        <v>6.19</v>
      </c>
      <c r="T4017" t="s">
        <v>13556</v>
      </c>
    </row>
    <row r="4018" spans="1:20" x14ac:dyDescent="0.25">
      <c r="A4018" s="1" t="str">
        <f>HYPERLINK("https://vegkart.atlas.vegvesen.no/#/@51866.1,6731567.0,18/hva:hva%5B0%5D%5Bfilter%5D%5B0%5D%5Boperator%5D=%21%3D&amp;hva%5B0%5D%5Bfilter%5D%5B0%5D%5Btype_id%5D=4820&amp;hva%5B0%5D%5Bfilter%5D%5B0%5D%5Bverdi%5D=&amp;hva%5B0%5D%5Bid%5D=144/når:2013-10-14", "Vegkart")</f>
        <v>Vegkart</v>
      </c>
      <c r="B4018">
        <v>469698303</v>
      </c>
      <c r="C4018">
        <v>144</v>
      </c>
      <c r="D4018" t="s">
        <v>13345</v>
      </c>
      <c r="E4018">
        <v>4820</v>
      </c>
      <c r="F4018" t="s">
        <v>23479</v>
      </c>
      <c r="G4018">
        <v>1</v>
      </c>
      <c r="H4018" t="s">
        <v>1118</v>
      </c>
      <c r="J4018" t="s">
        <v>13517</v>
      </c>
      <c r="K4018" t="s">
        <v>21</v>
      </c>
      <c r="L4018" t="s">
        <v>113</v>
      </c>
      <c r="M4018" t="s">
        <v>308</v>
      </c>
      <c r="N4018" t="s">
        <v>13557</v>
      </c>
      <c r="O4018" t="s">
        <v>13558</v>
      </c>
      <c r="P4018" s="2" t="s">
        <v>165</v>
      </c>
      <c r="Q4018" t="s">
        <v>641</v>
      </c>
      <c r="R4018">
        <v>0</v>
      </c>
      <c r="S4018">
        <v>339.99</v>
      </c>
      <c r="T4018" t="s">
        <v>167</v>
      </c>
    </row>
    <row r="4019" spans="1:20" x14ac:dyDescent="0.25">
      <c r="A4019" s="1" t="str">
        <f>HYPERLINK("https://vegkart.atlas.vegvesen.no/#/@51687.0,6731579.9,18/hva:hva%5B0%5D%5Bfilter%5D%5B0%5D%5Boperator%5D=%21%3D&amp;hva%5B0%5D%5Bfilter%5D%5B0%5D%5Btype_id%5D=4820&amp;hva%5B0%5D%5Bfilter%5D%5B0%5D%5Bverdi%5D=&amp;hva%5B0%5D%5Bid%5D=144/når:2013-10-14", "Vegkart")</f>
        <v>Vegkart</v>
      </c>
      <c r="B4019">
        <v>469698307</v>
      </c>
      <c r="C4019">
        <v>144</v>
      </c>
      <c r="D4019" t="s">
        <v>13345</v>
      </c>
      <c r="E4019">
        <v>4820</v>
      </c>
      <c r="F4019" t="s">
        <v>23479</v>
      </c>
      <c r="G4019">
        <v>1</v>
      </c>
      <c r="H4019" t="s">
        <v>1118</v>
      </c>
      <c r="J4019" t="s">
        <v>13517</v>
      </c>
      <c r="K4019" t="s">
        <v>21</v>
      </c>
      <c r="L4019" t="s">
        <v>113</v>
      </c>
      <c r="M4019" t="s">
        <v>308</v>
      </c>
      <c r="N4019" t="s">
        <v>13559</v>
      </c>
      <c r="O4019" t="s">
        <v>13560</v>
      </c>
      <c r="P4019" s="2" t="s">
        <v>165</v>
      </c>
      <c r="Q4019" t="s">
        <v>641</v>
      </c>
      <c r="R4019">
        <v>0</v>
      </c>
      <c r="S4019">
        <v>100.1</v>
      </c>
      <c r="T4019" t="s">
        <v>167</v>
      </c>
    </row>
    <row r="4020" spans="1:20" x14ac:dyDescent="0.25">
      <c r="A4020" s="1" t="str">
        <f>HYPERLINK("https://vegkart.atlas.vegvesen.no/#/@954031.0,7862252.4,18/hva:hva%5B0%5D%5Bfilter%5D%5B0%5D%5Boperator%5D=%21%3D&amp;hva%5B0%5D%5Bfilter%5D%5B0%5D%5Btype_id%5D=4820&amp;hva%5B0%5D%5Bfilter%5D%5B0%5D%5Bverdi%5D=&amp;hva%5B0%5D%5Bid%5D=144/når:2013-11-05", "Vegkart")</f>
        <v>Vegkart</v>
      </c>
      <c r="B4020">
        <v>469901522</v>
      </c>
      <c r="C4020">
        <v>144</v>
      </c>
      <c r="D4020" t="s">
        <v>13345</v>
      </c>
      <c r="E4020">
        <v>4820</v>
      </c>
      <c r="F4020" t="s">
        <v>23479</v>
      </c>
      <c r="G4020">
        <v>1</v>
      </c>
      <c r="H4020" t="s">
        <v>13561</v>
      </c>
      <c r="J4020" t="s">
        <v>13517</v>
      </c>
      <c r="K4020" t="s">
        <v>450</v>
      </c>
      <c r="L4020" t="s">
        <v>33</v>
      </c>
      <c r="M4020" t="s">
        <v>1278</v>
      </c>
      <c r="N4020" t="s">
        <v>13562</v>
      </c>
      <c r="O4020" t="s">
        <v>13563</v>
      </c>
      <c r="P4020" s="2" t="s">
        <v>165</v>
      </c>
      <c r="Q4020" t="s">
        <v>641</v>
      </c>
      <c r="R4020">
        <v>0</v>
      </c>
      <c r="S4020">
        <v>24.36</v>
      </c>
      <c r="T4020" t="s">
        <v>167</v>
      </c>
    </row>
    <row r="4021" spans="1:20" x14ac:dyDescent="0.25">
      <c r="A4021" s="1" t="str">
        <f>HYPERLINK("https://vegkart.atlas.vegvesen.no/#/@802581.4,7790123.4,18/hva:hva%5B0%5D%5Bfilter%5D%5B0%5D%5Boperator%5D=%21%3D&amp;hva%5B0%5D%5Bfilter%5D%5B0%5D%5Btype_id%5D=4820&amp;hva%5B0%5D%5Bfilter%5D%5B0%5D%5Bverdi%5D=&amp;hva%5B0%5D%5Bid%5D=144/når:2014-01-02", "Vegkart")</f>
        <v>Vegkart</v>
      </c>
      <c r="B4021">
        <v>481036371</v>
      </c>
      <c r="C4021">
        <v>144</v>
      </c>
      <c r="D4021" t="s">
        <v>13345</v>
      </c>
      <c r="E4021">
        <v>4820</v>
      </c>
      <c r="F4021" t="s">
        <v>23479</v>
      </c>
      <c r="G4021">
        <v>1</v>
      </c>
      <c r="H4021" t="s">
        <v>6128</v>
      </c>
      <c r="J4021" t="s">
        <v>13517</v>
      </c>
      <c r="K4021" t="s">
        <v>450</v>
      </c>
      <c r="L4021" t="s">
        <v>80</v>
      </c>
      <c r="M4021" t="s">
        <v>105</v>
      </c>
      <c r="N4021" t="s">
        <v>13564</v>
      </c>
      <c r="O4021" t="s">
        <v>13565</v>
      </c>
      <c r="P4021" s="2" t="s">
        <v>67</v>
      </c>
      <c r="Q4021" t="s">
        <v>68</v>
      </c>
      <c r="R4021">
        <v>38.94</v>
      </c>
      <c r="S4021">
        <v>38.99</v>
      </c>
      <c r="T4021" t="s">
        <v>13566</v>
      </c>
    </row>
    <row r="4022" spans="1:20" x14ac:dyDescent="0.25">
      <c r="A4022" s="1" t="str">
        <f>HYPERLINK("https://vegkart.atlas.vegvesen.no/#/@56723.0,6736053.8,18/hva:hva%5B0%5D%5Bfilter%5D%5B0%5D%5Boperator%5D=%21%3D&amp;hva%5B0%5D%5Bfilter%5D%5B0%5D%5Btype_id%5D=4820&amp;hva%5B0%5D%5Bfilter%5D%5B0%5D%5Bverdi%5D=&amp;hva%5B0%5D%5Bid%5D=144/når:2013-09-01", "Vegkart")</f>
        <v>Vegkart</v>
      </c>
      <c r="B4022">
        <v>481082675</v>
      </c>
      <c r="C4022">
        <v>144</v>
      </c>
      <c r="D4022" t="s">
        <v>13345</v>
      </c>
      <c r="E4022">
        <v>4820</v>
      </c>
      <c r="F4022" t="s">
        <v>23479</v>
      </c>
      <c r="G4022">
        <v>1</v>
      </c>
      <c r="H4022" t="s">
        <v>13567</v>
      </c>
      <c r="J4022" t="s">
        <v>13517</v>
      </c>
      <c r="K4022" t="s">
        <v>21</v>
      </c>
      <c r="L4022" t="s">
        <v>33</v>
      </c>
      <c r="M4022" t="s">
        <v>1135</v>
      </c>
      <c r="N4022" t="s">
        <v>13568</v>
      </c>
      <c r="O4022" t="s">
        <v>13569</v>
      </c>
      <c r="P4022" s="2" t="s">
        <v>67</v>
      </c>
      <c r="Q4022" t="s">
        <v>68</v>
      </c>
      <c r="R4022">
        <v>78.209999999999994</v>
      </c>
      <c r="S4022">
        <v>80.760000000000005</v>
      </c>
      <c r="T4022" t="s">
        <v>13570</v>
      </c>
    </row>
    <row r="4023" spans="1:20" x14ac:dyDescent="0.25">
      <c r="A4023" s="1" t="str">
        <f>HYPERLINK("https://vegkart.atlas.vegvesen.no/#/@56224.8,6735414.9,18/hva:hva%5B0%5D%5Bfilter%5D%5B0%5D%5Boperator%5D=%21%3D&amp;hva%5B0%5D%5Bfilter%5D%5B0%5D%5Btype_id%5D=4820&amp;hva%5B0%5D%5Bfilter%5D%5B0%5D%5Bverdi%5D=&amp;hva%5B0%5D%5Bid%5D=144/når:2013-09-01", "Vegkart")</f>
        <v>Vegkart</v>
      </c>
      <c r="B4023">
        <v>481082676</v>
      </c>
      <c r="C4023">
        <v>144</v>
      </c>
      <c r="D4023" t="s">
        <v>13345</v>
      </c>
      <c r="E4023">
        <v>4820</v>
      </c>
      <c r="F4023" t="s">
        <v>23479</v>
      </c>
      <c r="G4023">
        <v>1</v>
      </c>
      <c r="H4023" t="s">
        <v>13567</v>
      </c>
      <c r="J4023" t="s">
        <v>13517</v>
      </c>
      <c r="K4023" t="s">
        <v>21</v>
      </c>
      <c r="L4023" t="s">
        <v>33</v>
      </c>
      <c r="M4023" t="s">
        <v>1135</v>
      </c>
      <c r="N4023" t="s">
        <v>13571</v>
      </c>
      <c r="O4023" t="s">
        <v>13572</v>
      </c>
      <c r="P4023" s="2" t="s">
        <v>67</v>
      </c>
      <c r="Q4023" t="s">
        <v>68</v>
      </c>
      <c r="R4023">
        <v>48.18</v>
      </c>
      <c r="S4023">
        <v>50.52</v>
      </c>
      <c r="T4023" t="s">
        <v>13573</v>
      </c>
    </row>
    <row r="4024" spans="1:20" x14ac:dyDescent="0.25">
      <c r="A4024" s="1" t="str">
        <f>HYPERLINK("https://vegkart.atlas.vegvesen.no/#/@508.3,6689313.1,18/hva:hva%5B0%5D%5Bfilter%5D%5B0%5D%5Boperator%5D=%21%3D&amp;hva%5B0%5D%5Bfilter%5D%5B0%5D%5Btype_id%5D=4820&amp;hva%5B0%5D%5Bfilter%5D%5B0%5D%5Bverdi%5D=&amp;hva%5B0%5D%5Bid%5D=144/når:2013-09-01", "Vegkart")</f>
        <v>Vegkart</v>
      </c>
      <c r="B4024">
        <v>481084114</v>
      </c>
      <c r="C4024">
        <v>144</v>
      </c>
      <c r="D4024" t="s">
        <v>13345</v>
      </c>
      <c r="E4024">
        <v>4820</v>
      </c>
      <c r="F4024" t="s">
        <v>23479</v>
      </c>
      <c r="G4024">
        <v>1</v>
      </c>
      <c r="H4024" t="s">
        <v>13567</v>
      </c>
      <c r="J4024" t="s">
        <v>13517</v>
      </c>
      <c r="K4024" t="s">
        <v>21</v>
      </c>
      <c r="L4024" t="s">
        <v>33</v>
      </c>
      <c r="M4024" t="s">
        <v>1650</v>
      </c>
      <c r="N4024" t="s">
        <v>13574</v>
      </c>
      <c r="O4024" t="s">
        <v>13575</v>
      </c>
      <c r="P4024" s="2" t="s">
        <v>67</v>
      </c>
      <c r="Q4024" t="s">
        <v>68</v>
      </c>
      <c r="R4024">
        <v>2.98</v>
      </c>
      <c r="S4024">
        <v>2.98</v>
      </c>
      <c r="T4024" t="s">
        <v>13576</v>
      </c>
    </row>
    <row r="4025" spans="1:20" x14ac:dyDescent="0.25">
      <c r="A4025" s="1" t="str">
        <f>HYPERLINK("https://vegkart.atlas.vegvesen.no/#/@637.8,6689519.5,18/hva:hva%5B0%5D%5Bfilter%5D%5B0%5D%5Boperator%5D=%21%3D&amp;hva%5B0%5D%5Bfilter%5D%5B0%5D%5Btype_id%5D=4820&amp;hva%5B0%5D%5Bfilter%5D%5B0%5D%5Bverdi%5D=&amp;hva%5B0%5D%5Bid%5D=144/når:2013-09-01", "Vegkart")</f>
        <v>Vegkart</v>
      </c>
      <c r="B4025">
        <v>481084118</v>
      </c>
      <c r="C4025">
        <v>144</v>
      </c>
      <c r="D4025" t="s">
        <v>13345</v>
      </c>
      <c r="E4025">
        <v>4820</v>
      </c>
      <c r="F4025" t="s">
        <v>23479</v>
      </c>
      <c r="G4025">
        <v>1</v>
      </c>
      <c r="H4025" t="s">
        <v>13567</v>
      </c>
      <c r="J4025" t="s">
        <v>13517</v>
      </c>
      <c r="K4025" t="s">
        <v>21</v>
      </c>
      <c r="L4025" t="s">
        <v>33</v>
      </c>
      <c r="M4025" t="s">
        <v>1650</v>
      </c>
      <c r="N4025" t="s">
        <v>13577</v>
      </c>
      <c r="O4025" t="s">
        <v>13578</v>
      </c>
      <c r="P4025" s="2" t="s">
        <v>67</v>
      </c>
      <c r="Q4025" t="s">
        <v>68</v>
      </c>
      <c r="R4025">
        <v>4.43</v>
      </c>
      <c r="S4025">
        <v>4.49</v>
      </c>
      <c r="T4025" t="s">
        <v>13579</v>
      </c>
    </row>
    <row r="4026" spans="1:20" x14ac:dyDescent="0.25">
      <c r="A4026" s="1" t="str">
        <f>HYPERLINK("https://vegkart.atlas.vegvesen.no/#/@678.6,6689558.5,18/hva:hva%5B0%5D%5Bfilter%5D%5B0%5D%5Boperator%5D=%21%3D&amp;hva%5B0%5D%5Bfilter%5D%5B0%5D%5Btype_id%5D=4820&amp;hva%5B0%5D%5Bfilter%5D%5B0%5D%5Bverdi%5D=&amp;hva%5B0%5D%5Bid%5D=144/når:2013-09-01", "Vegkart")</f>
        <v>Vegkart</v>
      </c>
      <c r="B4026">
        <v>481084124</v>
      </c>
      <c r="C4026">
        <v>144</v>
      </c>
      <c r="D4026" t="s">
        <v>13345</v>
      </c>
      <c r="E4026">
        <v>4820</v>
      </c>
      <c r="F4026" t="s">
        <v>23479</v>
      </c>
      <c r="G4026">
        <v>1</v>
      </c>
      <c r="H4026" t="s">
        <v>13567</v>
      </c>
      <c r="J4026" t="s">
        <v>13517</v>
      </c>
      <c r="K4026" t="s">
        <v>21</v>
      </c>
      <c r="L4026" t="s">
        <v>33</v>
      </c>
      <c r="M4026" t="s">
        <v>1650</v>
      </c>
      <c r="N4026" t="s">
        <v>13580</v>
      </c>
      <c r="O4026" t="s">
        <v>13581</v>
      </c>
      <c r="P4026" s="2" t="s">
        <v>67</v>
      </c>
      <c r="Q4026" t="s">
        <v>68</v>
      </c>
      <c r="R4026">
        <v>4.29</v>
      </c>
      <c r="S4026">
        <v>4.29</v>
      </c>
      <c r="T4026" t="s">
        <v>13582</v>
      </c>
    </row>
    <row r="4027" spans="1:20" x14ac:dyDescent="0.25">
      <c r="A4027" s="1" t="str">
        <f>HYPERLINK("https://vegkart.atlas.vegvesen.no/#/@559.7,6689419.2,18/hva:hva%5B0%5D%5Bfilter%5D%5B0%5D%5Boperator%5D=%21%3D&amp;hva%5B0%5D%5Bfilter%5D%5B0%5D%5Btype_id%5D=4820&amp;hva%5B0%5D%5Bfilter%5D%5B0%5D%5Bverdi%5D=&amp;hva%5B0%5D%5Bid%5D=144/når:2013-09-01", "Vegkart")</f>
        <v>Vegkart</v>
      </c>
      <c r="B4027">
        <v>481084127</v>
      </c>
      <c r="C4027">
        <v>144</v>
      </c>
      <c r="D4027" t="s">
        <v>13345</v>
      </c>
      <c r="E4027">
        <v>4820</v>
      </c>
      <c r="F4027" t="s">
        <v>23479</v>
      </c>
      <c r="G4027">
        <v>1</v>
      </c>
      <c r="H4027" t="s">
        <v>13567</v>
      </c>
      <c r="J4027" t="s">
        <v>13517</v>
      </c>
      <c r="K4027" t="s">
        <v>21</v>
      </c>
      <c r="L4027" t="s">
        <v>33</v>
      </c>
      <c r="M4027" t="s">
        <v>1650</v>
      </c>
      <c r="N4027" t="s">
        <v>13583</v>
      </c>
      <c r="O4027" t="s">
        <v>13584</v>
      </c>
      <c r="P4027" s="2" t="s">
        <v>67</v>
      </c>
      <c r="Q4027" t="s">
        <v>68</v>
      </c>
      <c r="R4027">
        <v>4.5999999999999996</v>
      </c>
      <c r="S4027">
        <v>4.5999999999999996</v>
      </c>
      <c r="T4027" t="s">
        <v>13585</v>
      </c>
    </row>
    <row r="4028" spans="1:20" x14ac:dyDescent="0.25">
      <c r="A4028" s="1" t="str">
        <f>HYPERLINK("https://vegkart.atlas.vegvesen.no/#/@554.2,6689418.5,18/hva:hva%5B0%5D%5Bfilter%5D%5B0%5D%5Boperator%5D=%21%3D&amp;hva%5B0%5D%5Bfilter%5D%5B0%5D%5Btype_id%5D=4820&amp;hva%5B0%5D%5Bfilter%5D%5B0%5D%5Bverdi%5D=&amp;hva%5B0%5D%5Bid%5D=144/når:2013-09-01", "Vegkart")</f>
        <v>Vegkart</v>
      </c>
      <c r="B4028">
        <v>481084131</v>
      </c>
      <c r="C4028">
        <v>144</v>
      </c>
      <c r="D4028" t="s">
        <v>13345</v>
      </c>
      <c r="E4028">
        <v>4820</v>
      </c>
      <c r="F4028" t="s">
        <v>23479</v>
      </c>
      <c r="G4028">
        <v>1</v>
      </c>
      <c r="H4028" t="s">
        <v>13567</v>
      </c>
      <c r="J4028" t="s">
        <v>13517</v>
      </c>
      <c r="K4028" t="s">
        <v>21</v>
      </c>
      <c r="L4028" t="s">
        <v>33</v>
      </c>
      <c r="M4028" t="s">
        <v>1650</v>
      </c>
      <c r="N4028" t="s">
        <v>13586</v>
      </c>
      <c r="O4028" t="s">
        <v>13587</v>
      </c>
      <c r="P4028" s="2" t="s">
        <v>37</v>
      </c>
      <c r="Q4028" t="s">
        <v>1208</v>
      </c>
      <c r="R4028">
        <v>7.8</v>
      </c>
      <c r="S4028">
        <v>8.26</v>
      </c>
      <c r="T4028" t="s">
        <v>13588</v>
      </c>
    </row>
    <row r="4029" spans="1:20" x14ac:dyDescent="0.25">
      <c r="A4029" s="1" t="str">
        <f>HYPERLINK("https://vegkart.atlas.vegvesen.no/#/@510.1,6689314.8,18/hva:hva%5B0%5D%5Bfilter%5D%5B0%5D%5Boperator%5D=%21%3D&amp;hva%5B0%5D%5Bfilter%5D%5B0%5D%5Btype_id%5D=4820&amp;hva%5B0%5D%5Bfilter%5D%5B0%5D%5Bverdi%5D=&amp;hva%5B0%5D%5Bid%5D=144/når:2013-09-01", "Vegkart")</f>
        <v>Vegkart</v>
      </c>
      <c r="B4029">
        <v>481084133</v>
      </c>
      <c r="C4029">
        <v>144</v>
      </c>
      <c r="D4029" t="s">
        <v>13345</v>
      </c>
      <c r="E4029">
        <v>4820</v>
      </c>
      <c r="F4029" t="s">
        <v>23479</v>
      </c>
      <c r="G4029">
        <v>1</v>
      </c>
      <c r="H4029" t="s">
        <v>13567</v>
      </c>
      <c r="J4029" t="s">
        <v>13517</v>
      </c>
      <c r="K4029" t="s">
        <v>21</v>
      </c>
      <c r="L4029" t="s">
        <v>33</v>
      </c>
      <c r="M4029" t="s">
        <v>1650</v>
      </c>
      <c r="N4029" t="s">
        <v>13589</v>
      </c>
      <c r="O4029" t="s">
        <v>13590</v>
      </c>
      <c r="P4029" s="2" t="s">
        <v>67</v>
      </c>
      <c r="Q4029" t="s">
        <v>68</v>
      </c>
      <c r="R4029">
        <v>4.3499999999999996</v>
      </c>
      <c r="S4029">
        <v>4.3600000000000003</v>
      </c>
      <c r="T4029" t="s">
        <v>13591</v>
      </c>
    </row>
    <row r="4030" spans="1:20" x14ac:dyDescent="0.25">
      <c r="A4030" s="1" t="str">
        <f>HYPERLINK("https://vegkart.atlas.vegvesen.no/#/@806.3,6689689.9,18/hva:hva%5B0%5D%5Bfilter%5D%5B0%5D%5Boperator%5D=%21%3D&amp;hva%5B0%5D%5Bfilter%5D%5B0%5D%5Btype_id%5D=4820&amp;hva%5B0%5D%5Bfilter%5D%5B0%5D%5Bverdi%5D=&amp;hva%5B0%5D%5Bid%5D=144/når:2013-09-01", "Vegkart")</f>
        <v>Vegkart</v>
      </c>
      <c r="B4030">
        <v>481084134</v>
      </c>
      <c r="C4030">
        <v>144</v>
      </c>
      <c r="D4030" t="s">
        <v>13345</v>
      </c>
      <c r="E4030">
        <v>4820</v>
      </c>
      <c r="F4030" t="s">
        <v>23479</v>
      </c>
      <c r="G4030">
        <v>1</v>
      </c>
      <c r="H4030" t="s">
        <v>13567</v>
      </c>
      <c r="J4030" t="s">
        <v>13517</v>
      </c>
      <c r="K4030" t="s">
        <v>21</v>
      </c>
      <c r="L4030" t="s">
        <v>33</v>
      </c>
      <c r="M4030" t="s">
        <v>1650</v>
      </c>
      <c r="N4030" t="s">
        <v>13592</v>
      </c>
      <c r="O4030" t="s">
        <v>13593</v>
      </c>
      <c r="P4030" s="2" t="s">
        <v>37</v>
      </c>
      <c r="Q4030" t="s">
        <v>1208</v>
      </c>
      <c r="R4030">
        <v>5.84</v>
      </c>
      <c r="S4030">
        <v>7.02</v>
      </c>
      <c r="T4030" t="s">
        <v>13594</v>
      </c>
    </row>
    <row r="4031" spans="1:20" x14ac:dyDescent="0.25">
      <c r="A4031" s="1" t="str">
        <f>HYPERLINK("https://vegkart.atlas.vegvesen.no/#/@651.2,6689504.3,18/hva:hva%5B0%5D%5Bfilter%5D%5B0%5D%5Boperator%5D=%21%3D&amp;hva%5B0%5D%5Bfilter%5D%5B0%5D%5Btype_id%5D=4820&amp;hva%5B0%5D%5Bfilter%5D%5B0%5D%5Bverdi%5D=&amp;hva%5B0%5D%5Bid%5D=144/når:2013-09-01", "Vegkart")</f>
        <v>Vegkart</v>
      </c>
      <c r="B4031">
        <v>481084139</v>
      </c>
      <c r="C4031">
        <v>144</v>
      </c>
      <c r="D4031" t="s">
        <v>13345</v>
      </c>
      <c r="E4031">
        <v>4820</v>
      </c>
      <c r="F4031" t="s">
        <v>23479</v>
      </c>
      <c r="G4031">
        <v>1</v>
      </c>
      <c r="H4031" t="s">
        <v>13567</v>
      </c>
      <c r="J4031" t="s">
        <v>13517</v>
      </c>
      <c r="K4031" t="s">
        <v>21</v>
      </c>
      <c r="L4031" t="s">
        <v>33</v>
      </c>
      <c r="M4031" t="s">
        <v>1650</v>
      </c>
      <c r="N4031" t="s">
        <v>13595</v>
      </c>
      <c r="O4031" t="s">
        <v>13596</v>
      </c>
      <c r="P4031" s="2" t="s">
        <v>67</v>
      </c>
      <c r="Q4031" t="s">
        <v>68</v>
      </c>
      <c r="R4031">
        <v>8.75</v>
      </c>
      <c r="S4031">
        <v>8.75</v>
      </c>
      <c r="T4031" t="s">
        <v>13597</v>
      </c>
    </row>
    <row r="4032" spans="1:20" x14ac:dyDescent="0.25">
      <c r="A4032" s="1" t="str">
        <f>HYPERLINK("https://vegkart.atlas.vegvesen.no/#/@657.0,6689510.3,18/hva:hva%5B0%5D%5Bfilter%5D%5B0%5D%5Boperator%5D=%21%3D&amp;hva%5B0%5D%5Bfilter%5D%5B0%5D%5Btype_id%5D=4820&amp;hva%5B0%5D%5Bfilter%5D%5B0%5D%5Bverdi%5D=&amp;hva%5B0%5D%5Bid%5D=144/når:2013-09-01", "Vegkart")</f>
        <v>Vegkart</v>
      </c>
      <c r="B4032">
        <v>481084140</v>
      </c>
      <c r="C4032">
        <v>144</v>
      </c>
      <c r="D4032" t="s">
        <v>13345</v>
      </c>
      <c r="E4032">
        <v>4820</v>
      </c>
      <c r="F4032" t="s">
        <v>23479</v>
      </c>
      <c r="G4032">
        <v>1</v>
      </c>
      <c r="H4032" t="s">
        <v>13567</v>
      </c>
      <c r="J4032" t="s">
        <v>13517</v>
      </c>
      <c r="K4032" t="s">
        <v>21</v>
      </c>
      <c r="L4032" t="s">
        <v>33</v>
      </c>
      <c r="M4032" t="s">
        <v>1650</v>
      </c>
      <c r="N4032" t="s">
        <v>13598</v>
      </c>
      <c r="O4032" t="s">
        <v>13599</v>
      </c>
      <c r="P4032" s="2" t="s">
        <v>37</v>
      </c>
      <c r="Q4032" t="s">
        <v>1208</v>
      </c>
      <c r="R4032">
        <v>6.94</v>
      </c>
      <c r="S4032">
        <v>18.260000000000002</v>
      </c>
      <c r="T4032" t="s">
        <v>13600</v>
      </c>
    </row>
    <row r="4033" spans="1:20" x14ac:dyDescent="0.25">
      <c r="A4033" s="1" t="str">
        <f>HYPERLINK("https://vegkart.atlas.vegvesen.no/#/@-8652.5,6897169.6,18/hva:hva%5B0%5D%5Bfilter%5D%5B0%5D%5Boperator%5D=%21%3D&amp;hva%5B0%5D%5Bfilter%5D%5B0%5D%5Btype_id%5D=4820&amp;hva%5B0%5D%5Bfilter%5D%5B0%5D%5Bverdi%5D=&amp;hva%5B0%5D%5Bid%5D=144/når:2013-12-13", "Vegkart")</f>
        <v>Vegkart</v>
      </c>
      <c r="B4033">
        <v>487753572</v>
      </c>
      <c r="C4033">
        <v>144</v>
      </c>
      <c r="D4033" t="s">
        <v>13345</v>
      </c>
      <c r="E4033">
        <v>4820</v>
      </c>
      <c r="F4033" t="s">
        <v>23479</v>
      </c>
      <c r="G4033">
        <v>1</v>
      </c>
      <c r="H4033" t="s">
        <v>13601</v>
      </c>
      <c r="J4033" t="s">
        <v>13517</v>
      </c>
      <c r="K4033" t="s">
        <v>21</v>
      </c>
      <c r="L4033" t="s">
        <v>33</v>
      </c>
      <c r="M4033" t="s">
        <v>13602</v>
      </c>
      <c r="N4033" t="s">
        <v>13603</v>
      </c>
      <c r="O4033" t="s">
        <v>13604</v>
      </c>
      <c r="P4033" s="2" t="s">
        <v>67</v>
      </c>
      <c r="Q4033" t="s">
        <v>68</v>
      </c>
      <c r="R4033">
        <v>62.94</v>
      </c>
      <c r="S4033">
        <v>62.94</v>
      </c>
      <c r="T4033" t="s">
        <v>13605</v>
      </c>
    </row>
    <row r="4034" spans="1:20" x14ac:dyDescent="0.25">
      <c r="A4034" s="1" t="str">
        <f>HYPERLINK("https://vegkart.atlas.vegvesen.no/#/@-8233.7,6896822.4,18/hva:hva%5B0%5D%5Bfilter%5D%5B0%5D%5Boperator%5D=%21%3D&amp;hva%5B0%5D%5Bfilter%5D%5B0%5D%5Btype_id%5D=4820&amp;hva%5B0%5D%5Bfilter%5D%5B0%5D%5Bverdi%5D=&amp;hva%5B0%5D%5Bid%5D=144/når:2013-12-13", "Vegkart")</f>
        <v>Vegkart</v>
      </c>
      <c r="B4034">
        <v>487753573</v>
      </c>
      <c r="C4034">
        <v>144</v>
      </c>
      <c r="D4034" t="s">
        <v>13345</v>
      </c>
      <c r="E4034">
        <v>4820</v>
      </c>
      <c r="F4034" t="s">
        <v>23479</v>
      </c>
      <c r="G4034">
        <v>1</v>
      </c>
      <c r="H4034" t="s">
        <v>13601</v>
      </c>
      <c r="J4034" t="s">
        <v>13517</v>
      </c>
      <c r="K4034" t="s">
        <v>21</v>
      </c>
      <c r="L4034" t="s">
        <v>33</v>
      </c>
      <c r="M4034" t="s">
        <v>13602</v>
      </c>
      <c r="N4034" t="s">
        <v>13606</v>
      </c>
      <c r="O4034" t="s">
        <v>13607</v>
      </c>
      <c r="P4034" s="2" t="s">
        <v>67</v>
      </c>
      <c r="Q4034" t="s">
        <v>68</v>
      </c>
      <c r="R4034">
        <v>28.27</v>
      </c>
      <c r="S4034">
        <v>28.47</v>
      </c>
      <c r="T4034" t="s">
        <v>13608</v>
      </c>
    </row>
    <row r="4035" spans="1:20" x14ac:dyDescent="0.25">
      <c r="A4035" s="1" t="str">
        <f>HYPERLINK("https://vegkart.atlas.vegvesen.no/#/@-8235.0,6896840.4,18/hva:hva%5B0%5D%5Bfilter%5D%5B0%5D%5Boperator%5D=%21%3D&amp;hva%5B0%5D%5Bfilter%5D%5B0%5D%5Btype_id%5D=4820&amp;hva%5B0%5D%5Bfilter%5D%5B0%5D%5Bverdi%5D=&amp;hva%5B0%5D%5Bid%5D=144/når:2013-12-13", "Vegkart")</f>
        <v>Vegkart</v>
      </c>
      <c r="B4035">
        <v>487753574</v>
      </c>
      <c r="C4035">
        <v>144</v>
      </c>
      <c r="D4035" t="s">
        <v>13345</v>
      </c>
      <c r="E4035">
        <v>4820</v>
      </c>
      <c r="F4035" t="s">
        <v>23479</v>
      </c>
      <c r="G4035">
        <v>1</v>
      </c>
      <c r="H4035" t="s">
        <v>13601</v>
      </c>
      <c r="J4035" t="s">
        <v>13517</v>
      </c>
      <c r="K4035" t="s">
        <v>21</v>
      </c>
      <c r="L4035" t="s">
        <v>33</v>
      </c>
      <c r="M4035" t="s">
        <v>13602</v>
      </c>
      <c r="N4035" t="s">
        <v>13609</v>
      </c>
      <c r="O4035" t="s">
        <v>13610</v>
      </c>
      <c r="P4035" s="2" t="s">
        <v>67</v>
      </c>
      <c r="Q4035" t="s">
        <v>68</v>
      </c>
      <c r="R4035">
        <v>7.92</v>
      </c>
      <c r="S4035">
        <v>7.93</v>
      </c>
      <c r="T4035" t="s">
        <v>13611</v>
      </c>
    </row>
    <row r="4036" spans="1:20" x14ac:dyDescent="0.25">
      <c r="A4036" s="1" t="str">
        <f>HYPERLINK("https://vegkart.atlas.vegvesen.no/#/@-8448.2,6896674.6,18/hva:hva%5B0%5D%5Bfilter%5D%5B0%5D%5Boperator%5D=%21%3D&amp;hva%5B0%5D%5Bfilter%5D%5B0%5D%5Btype_id%5D=4820&amp;hva%5B0%5D%5Bfilter%5D%5B0%5D%5Bverdi%5D=&amp;hva%5B0%5D%5Bid%5D=144/når:2013-12-13", "Vegkart")</f>
        <v>Vegkart</v>
      </c>
      <c r="B4036">
        <v>487753575</v>
      </c>
      <c r="C4036">
        <v>144</v>
      </c>
      <c r="D4036" t="s">
        <v>13345</v>
      </c>
      <c r="E4036">
        <v>4820</v>
      </c>
      <c r="F4036" t="s">
        <v>23479</v>
      </c>
      <c r="G4036">
        <v>1</v>
      </c>
      <c r="H4036" t="s">
        <v>13601</v>
      </c>
      <c r="J4036" t="s">
        <v>13517</v>
      </c>
      <c r="K4036" t="s">
        <v>21</v>
      </c>
      <c r="L4036" t="s">
        <v>33</v>
      </c>
      <c r="M4036" t="s">
        <v>13602</v>
      </c>
      <c r="N4036" t="s">
        <v>13612</v>
      </c>
      <c r="O4036" t="s">
        <v>13613</v>
      </c>
      <c r="P4036" s="2" t="s">
        <v>67</v>
      </c>
      <c r="Q4036" t="s">
        <v>68</v>
      </c>
      <c r="R4036">
        <v>54.41</v>
      </c>
      <c r="S4036">
        <v>55.31</v>
      </c>
      <c r="T4036" t="s">
        <v>13614</v>
      </c>
    </row>
    <row r="4037" spans="1:20" x14ac:dyDescent="0.25">
      <c r="A4037" s="1" t="str">
        <f>HYPERLINK("https://vegkart.atlas.vegvesen.no/#/@-8246.0,6896834.4,18/hva:hva%5B0%5D%5Bfilter%5D%5B0%5D%5Boperator%5D=%21%3D&amp;hva%5B0%5D%5Bfilter%5D%5B0%5D%5Btype_id%5D=4820&amp;hva%5B0%5D%5Bfilter%5D%5B0%5D%5Bverdi%5D=&amp;hva%5B0%5D%5Bid%5D=144/når:2013-12-13", "Vegkart")</f>
        <v>Vegkart</v>
      </c>
      <c r="B4037">
        <v>487753576</v>
      </c>
      <c r="C4037">
        <v>144</v>
      </c>
      <c r="D4037" t="s">
        <v>13345</v>
      </c>
      <c r="E4037">
        <v>4820</v>
      </c>
      <c r="F4037" t="s">
        <v>23479</v>
      </c>
      <c r="G4037">
        <v>1</v>
      </c>
      <c r="H4037" t="s">
        <v>13601</v>
      </c>
      <c r="J4037" t="s">
        <v>13517</v>
      </c>
      <c r="K4037" t="s">
        <v>21</v>
      </c>
      <c r="L4037" t="s">
        <v>33</v>
      </c>
      <c r="M4037" t="s">
        <v>13602</v>
      </c>
      <c r="N4037" t="s">
        <v>13615</v>
      </c>
      <c r="O4037" t="s">
        <v>13616</v>
      </c>
      <c r="P4037" s="2" t="s">
        <v>67</v>
      </c>
      <c r="Q4037" t="s">
        <v>68</v>
      </c>
      <c r="R4037">
        <v>69.48</v>
      </c>
      <c r="S4037">
        <v>73.92</v>
      </c>
      <c r="T4037" t="s">
        <v>13617</v>
      </c>
    </row>
    <row r="4038" spans="1:20" x14ac:dyDescent="0.25">
      <c r="A4038" s="1" t="str">
        <f>HYPERLINK("https://vegkart.atlas.vegvesen.no/#/@-8682.1,6897034.0,18/hva:hva%5B0%5D%5Bfilter%5D%5B0%5D%5Boperator%5D=%21%3D&amp;hva%5B0%5D%5Bfilter%5D%5B0%5D%5Btype_id%5D=4820&amp;hva%5B0%5D%5Bfilter%5D%5B0%5D%5Bverdi%5D=&amp;hva%5B0%5D%5Bid%5D=144/når:2013-12-13", "Vegkart")</f>
        <v>Vegkart</v>
      </c>
      <c r="B4038">
        <v>487753577</v>
      </c>
      <c r="C4038">
        <v>144</v>
      </c>
      <c r="D4038" t="s">
        <v>13345</v>
      </c>
      <c r="E4038">
        <v>4820</v>
      </c>
      <c r="F4038" t="s">
        <v>23479</v>
      </c>
      <c r="G4038">
        <v>1</v>
      </c>
      <c r="H4038" t="s">
        <v>13601</v>
      </c>
      <c r="J4038" t="s">
        <v>13517</v>
      </c>
      <c r="K4038" t="s">
        <v>21</v>
      </c>
      <c r="L4038" t="s">
        <v>33</v>
      </c>
      <c r="M4038" t="s">
        <v>13602</v>
      </c>
      <c r="N4038" t="s">
        <v>13618</v>
      </c>
      <c r="O4038" t="s">
        <v>13619</v>
      </c>
      <c r="P4038" s="2" t="s">
        <v>67</v>
      </c>
      <c r="Q4038" t="s">
        <v>68</v>
      </c>
      <c r="R4038">
        <v>43.75</v>
      </c>
      <c r="S4038">
        <v>43.99</v>
      </c>
      <c r="T4038" t="s">
        <v>13620</v>
      </c>
    </row>
    <row r="4039" spans="1:20" x14ac:dyDescent="0.25">
      <c r="A4039" s="1" t="str">
        <f>HYPERLINK("https://vegkart.atlas.vegvesen.no/#/@-8350.4,6897625.6,18/hva:hva%5B0%5D%5Bfilter%5D%5B0%5D%5Boperator%5D=%21%3D&amp;hva%5B0%5D%5Bfilter%5D%5B0%5D%5Btype_id%5D=4820&amp;hva%5B0%5D%5Bfilter%5D%5B0%5D%5Bverdi%5D=&amp;hva%5B0%5D%5Bid%5D=144/når:2013-12-13", "Vegkart")</f>
        <v>Vegkart</v>
      </c>
      <c r="B4039">
        <v>487753578</v>
      </c>
      <c r="C4039">
        <v>144</v>
      </c>
      <c r="D4039" t="s">
        <v>13345</v>
      </c>
      <c r="E4039">
        <v>4820</v>
      </c>
      <c r="F4039" t="s">
        <v>23479</v>
      </c>
      <c r="G4039">
        <v>1</v>
      </c>
      <c r="H4039" t="s">
        <v>13601</v>
      </c>
      <c r="J4039" t="s">
        <v>13517</v>
      </c>
      <c r="K4039" t="s">
        <v>21</v>
      </c>
      <c r="L4039" t="s">
        <v>33</v>
      </c>
      <c r="M4039" t="s">
        <v>13602</v>
      </c>
      <c r="N4039" t="s">
        <v>13621</v>
      </c>
      <c r="O4039" t="s">
        <v>13622</v>
      </c>
      <c r="P4039" s="2" t="s">
        <v>67</v>
      </c>
      <c r="Q4039" t="s">
        <v>68</v>
      </c>
      <c r="R4039">
        <v>5.91</v>
      </c>
      <c r="S4039">
        <v>5.91</v>
      </c>
      <c r="T4039" t="s">
        <v>13623</v>
      </c>
    </row>
    <row r="4040" spans="1:20" x14ac:dyDescent="0.25">
      <c r="A4040" s="1" t="str">
        <f>HYPERLINK("https://vegkart.atlas.vegvesen.no/#/@-8505.9,6896647.1,18/hva:hva%5B0%5D%5Bfilter%5D%5B0%5D%5Boperator%5D=%21%3D&amp;hva%5B0%5D%5Bfilter%5D%5B0%5D%5Btype_id%5D=4820&amp;hva%5B0%5D%5Bfilter%5D%5B0%5D%5Bverdi%5D=&amp;hva%5B0%5D%5Bid%5D=144/når:2013-12-13", "Vegkart")</f>
        <v>Vegkart</v>
      </c>
      <c r="B4040">
        <v>487753579</v>
      </c>
      <c r="C4040">
        <v>144</v>
      </c>
      <c r="D4040" t="s">
        <v>13345</v>
      </c>
      <c r="E4040">
        <v>4820</v>
      </c>
      <c r="F4040" t="s">
        <v>23479</v>
      </c>
      <c r="G4040">
        <v>1</v>
      </c>
      <c r="H4040" t="s">
        <v>13601</v>
      </c>
      <c r="J4040" t="s">
        <v>13517</v>
      </c>
      <c r="K4040" t="s">
        <v>21</v>
      </c>
      <c r="L4040" t="s">
        <v>33</v>
      </c>
      <c r="M4040" t="s">
        <v>13602</v>
      </c>
      <c r="N4040" t="s">
        <v>13624</v>
      </c>
      <c r="O4040" t="s">
        <v>13625</v>
      </c>
      <c r="P4040" s="2" t="s">
        <v>67</v>
      </c>
      <c r="Q4040" t="s">
        <v>68</v>
      </c>
      <c r="R4040">
        <v>8.16</v>
      </c>
      <c r="S4040">
        <v>8.16</v>
      </c>
      <c r="T4040" t="s">
        <v>13626</v>
      </c>
    </row>
    <row r="4041" spans="1:20" x14ac:dyDescent="0.25">
      <c r="A4041" s="1" t="str">
        <f>HYPERLINK("https://vegkart.atlas.vegvesen.no/#/@-8569.4,6896633.1,18/hva:hva%5B0%5D%5Bfilter%5D%5B0%5D%5Boperator%5D=%21%3D&amp;hva%5B0%5D%5Bfilter%5D%5B0%5D%5Btype_id%5D=4820&amp;hva%5B0%5D%5Bfilter%5D%5B0%5D%5Bverdi%5D=&amp;hva%5B0%5D%5Bid%5D=144/når:2013-12-13", "Vegkart")</f>
        <v>Vegkart</v>
      </c>
      <c r="B4041">
        <v>487753580</v>
      </c>
      <c r="C4041">
        <v>144</v>
      </c>
      <c r="D4041" t="s">
        <v>13345</v>
      </c>
      <c r="E4041">
        <v>4820</v>
      </c>
      <c r="F4041" t="s">
        <v>23479</v>
      </c>
      <c r="G4041">
        <v>1</v>
      </c>
      <c r="H4041" t="s">
        <v>13601</v>
      </c>
      <c r="J4041" t="s">
        <v>13517</v>
      </c>
      <c r="K4041" t="s">
        <v>21</v>
      </c>
      <c r="L4041" t="s">
        <v>33</v>
      </c>
      <c r="M4041" t="s">
        <v>13602</v>
      </c>
      <c r="N4041" t="s">
        <v>13627</v>
      </c>
      <c r="O4041" t="s">
        <v>13628</v>
      </c>
      <c r="P4041" s="2" t="s">
        <v>67</v>
      </c>
      <c r="Q4041" t="s">
        <v>68</v>
      </c>
      <c r="R4041">
        <v>8.66</v>
      </c>
      <c r="S4041">
        <v>8.66</v>
      </c>
      <c r="T4041" t="s">
        <v>13629</v>
      </c>
    </row>
    <row r="4042" spans="1:20" x14ac:dyDescent="0.25">
      <c r="A4042" s="1" t="str">
        <f>HYPERLINK("https://vegkart.atlas.vegvesen.no/#/@-8468.6,6896397.0,18/hva:hva%5B0%5D%5Bfilter%5D%5B0%5D%5Boperator%5D=%21%3D&amp;hva%5B0%5D%5Bfilter%5D%5B0%5D%5Btype_id%5D=4820&amp;hva%5B0%5D%5Bfilter%5D%5B0%5D%5Bverdi%5D=&amp;hva%5B0%5D%5Bid%5D=144/når:2013-12-13", "Vegkart")</f>
        <v>Vegkart</v>
      </c>
      <c r="B4042">
        <v>487753581</v>
      </c>
      <c r="C4042">
        <v>144</v>
      </c>
      <c r="D4042" t="s">
        <v>13345</v>
      </c>
      <c r="E4042">
        <v>4820</v>
      </c>
      <c r="F4042" t="s">
        <v>23479</v>
      </c>
      <c r="G4042">
        <v>1</v>
      </c>
      <c r="H4042" t="s">
        <v>13601</v>
      </c>
      <c r="J4042" t="s">
        <v>13517</v>
      </c>
      <c r="K4042" t="s">
        <v>21</v>
      </c>
      <c r="L4042" t="s">
        <v>33</v>
      </c>
      <c r="M4042" t="s">
        <v>13602</v>
      </c>
      <c r="N4042" t="s">
        <v>13630</v>
      </c>
      <c r="O4042" t="s">
        <v>13631</v>
      </c>
      <c r="P4042" s="2" t="s">
        <v>67</v>
      </c>
      <c r="Q4042" t="s">
        <v>68</v>
      </c>
      <c r="R4042">
        <v>9.4700000000000006</v>
      </c>
      <c r="S4042">
        <v>9.4700000000000006</v>
      </c>
      <c r="T4042" t="s">
        <v>13632</v>
      </c>
    </row>
    <row r="4043" spans="1:20" x14ac:dyDescent="0.25">
      <c r="A4043" s="1" t="str">
        <f>HYPERLINK("https://vegkart.atlas.vegvesen.no/#/@-7756.1,6895966.2,18/hva:hva%5B0%5D%5Bfilter%5D%5B0%5D%5Boperator%5D=%21%3D&amp;hva%5B0%5D%5Bfilter%5D%5B0%5D%5Btype_id%5D=4820&amp;hva%5B0%5D%5Bfilter%5D%5B0%5D%5Bverdi%5D=&amp;hva%5B0%5D%5Bid%5D=144/når:2013-12-13", "Vegkart")</f>
        <v>Vegkart</v>
      </c>
      <c r="B4043">
        <v>487753582</v>
      </c>
      <c r="C4043">
        <v>144</v>
      </c>
      <c r="D4043" t="s">
        <v>13345</v>
      </c>
      <c r="E4043">
        <v>4820</v>
      </c>
      <c r="F4043" t="s">
        <v>23479</v>
      </c>
      <c r="G4043">
        <v>1</v>
      </c>
      <c r="H4043" t="s">
        <v>13601</v>
      </c>
      <c r="J4043" t="s">
        <v>13517</v>
      </c>
      <c r="K4043" t="s">
        <v>21</v>
      </c>
      <c r="L4043" t="s">
        <v>33</v>
      </c>
      <c r="M4043" t="s">
        <v>13602</v>
      </c>
      <c r="N4043" t="s">
        <v>13633</v>
      </c>
      <c r="O4043" t="s">
        <v>13634</v>
      </c>
      <c r="P4043" s="2" t="s">
        <v>67</v>
      </c>
      <c r="Q4043" t="s">
        <v>68</v>
      </c>
      <c r="R4043">
        <v>10.119999999999999</v>
      </c>
      <c r="S4043">
        <v>10.119999999999999</v>
      </c>
      <c r="T4043" t="s">
        <v>13635</v>
      </c>
    </row>
    <row r="4044" spans="1:20" x14ac:dyDescent="0.25">
      <c r="A4044" s="1" t="str">
        <f>HYPERLINK("https://vegkart.atlas.vegvesen.no/#/@-7797.6,6896036.2,18/hva:hva%5B0%5D%5Bfilter%5D%5B0%5D%5Boperator%5D=%21%3D&amp;hva%5B0%5D%5Bfilter%5D%5B0%5D%5Btype_id%5D=4820&amp;hva%5B0%5D%5Bfilter%5D%5B0%5D%5Bverdi%5D=&amp;hva%5B0%5D%5Bid%5D=144/når:2013-12-13", "Vegkart")</f>
        <v>Vegkart</v>
      </c>
      <c r="B4044">
        <v>487753583</v>
      </c>
      <c r="C4044">
        <v>144</v>
      </c>
      <c r="D4044" t="s">
        <v>13345</v>
      </c>
      <c r="E4044">
        <v>4820</v>
      </c>
      <c r="F4044" t="s">
        <v>23479</v>
      </c>
      <c r="G4044">
        <v>1</v>
      </c>
      <c r="H4044" t="s">
        <v>13601</v>
      </c>
      <c r="J4044" t="s">
        <v>13517</v>
      </c>
      <c r="K4044" t="s">
        <v>21</v>
      </c>
      <c r="L4044" t="s">
        <v>33</v>
      </c>
      <c r="M4044" t="s">
        <v>13602</v>
      </c>
      <c r="N4044" t="s">
        <v>13636</v>
      </c>
      <c r="O4044" t="s">
        <v>13637</v>
      </c>
      <c r="P4044" s="2" t="s">
        <v>67</v>
      </c>
      <c r="Q4044" t="s">
        <v>68</v>
      </c>
      <c r="R4044">
        <v>17.38</v>
      </c>
      <c r="S4044">
        <v>17.38</v>
      </c>
      <c r="T4044" t="s">
        <v>13638</v>
      </c>
    </row>
    <row r="4045" spans="1:20" x14ac:dyDescent="0.25">
      <c r="A4045" s="1" t="str">
        <f>HYPERLINK("https://vegkart.atlas.vegvesen.no/#/@-7842.9,6896084.8,18/hva:hva%5B0%5D%5Bfilter%5D%5B0%5D%5Boperator%5D=%21%3D&amp;hva%5B0%5D%5Bfilter%5D%5B0%5D%5Btype_id%5D=4820&amp;hva%5B0%5D%5Bfilter%5D%5B0%5D%5Bverdi%5D=&amp;hva%5B0%5D%5Bid%5D=144/når:2013-12-13", "Vegkart")</f>
        <v>Vegkart</v>
      </c>
      <c r="B4045">
        <v>487753584</v>
      </c>
      <c r="C4045">
        <v>144</v>
      </c>
      <c r="D4045" t="s">
        <v>13345</v>
      </c>
      <c r="E4045">
        <v>4820</v>
      </c>
      <c r="F4045" t="s">
        <v>23479</v>
      </c>
      <c r="G4045">
        <v>1</v>
      </c>
      <c r="H4045" t="s">
        <v>13601</v>
      </c>
      <c r="J4045" t="s">
        <v>13517</v>
      </c>
      <c r="K4045" t="s">
        <v>21</v>
      </c>
      <c r="L4045" t="s">
        <v>33</v>
      </c>
      <c r="M4045" t="s">
        <v>13602</v>
      </c>
      <c r="N4045" t="s">
        <v>13639</v>
      </c>
      <c r="O4045" t="s">
        <v>13640</v>
      </c>
      <c r="P4045" s="2" t="s">
        <v>67</v>
      </c>
      <c r="Q4045" t="s">
        <v>68</v>
      </c>
      <c r="R4045">
        <v>41.95</v>
      </c>
      <c r="S4045">
        <v>42.03</v>
      </c>
      <c r="T4045" t="s">
        <v>13641</v>
      </c>
    </row>
    <row r="4046" spans="1:20" x14ac:dyDescent="0.25">
      <c r="A4046" s="1" t="str">
        <f>HYPERLINK("https://vegkart.atlas.vegvesen.no/#/@-7953.4,6896142.0,18/hva:hva%5B0%5D%5Bfilter%5D%5B0%5D%5Boperator%5D=%21%3D&amp;hva%5B0%5D%5Bfilter%5D%5B0%5D%5Btype_id%5D=4820&amp;hva%5B0%5D%5Bfilter%5D%5B0%5D%5Bverdi%5D=&amp;hva%5B0%5D%5Bid%5D=144/når:2013-12-13", "Vegkart")</f>
        <v>Vegkart</v>
      </c>
      <c r="B4046">
        <v>487753585</v>
      </c>
      <c r="C4046">
        <v>144</v>
      </c>
      <c r="D4046" t="s">
        <v>13345</v>
      </c>
      <c r="E4046">
        <v>4820</v>
      </c>
      <c r="F4046" t="s">
        <v>23479</v>
      </c>
      <c r="G4046">
        <v>1</v>
      </c>
      <c r="H4046" t="s">
        <v>13601</v>
      </c>
      <c r="J4046" t="s">
        <v>13517</v>
      </c>
      <c r="K4046" t="s">
        <v>21</v>
      </c>
      <c r="L4046" t="s">
        <v>33</v>
      </c>
      <c r="M4046" t="s">
        <v>13602</v>
      </c>
      <c r="N4046" t="s">
        <v>13642</v>
      </c>
      <c r="O4046" t="s">
        <v>13643</v>
      </c>
      <c r="P4046" s="2" t="s">
        <v>67</v>
      </c>
      <c r="Q4046" t="s">
        <v>68</v>
      </c>
      <c r="R4046">
        <v>23.15</v>
      </c>
      <c r="S4046">
        <v>23.15</v>
      </c>
      <c r="T4046" t="s">
        <v>13644</v>
      </c>
    </row>
    <row r="4047" spans="1:20" x14ac:dyDescent="0.25">
      <c r="A4047" s="1" t="str">
        <f>HYPERLINK("https://vegkart.atlas.vegvesen.no/#/@-8121.6,6896216.0,18/hva:hva%5B0%5D%5Bfilter%5D%5B0%5D%5Boperator%5D=%21%3D&amp;hva%5B0%5D%5Bfilter%5D%5B0%5D%5Btype_id%5D=4820&amp;hva%5B0%5D%5Bfilter%5D%5B0%5D%5Bverdi%5D=&amp;hva%5B0%5D%5Bid%5D=144/når:2013-12-13", "Vegkart")</f>
        <v>Vegkart</v>
      </c>
      <c r="B4047">
        <v>487753586</v>
      </c>
      <c r="C4047">
        <v>144</v>
      </c>
      <c r="D4047" t="s">
        <v>13345</v>
      </c>
      <c r="E4047">
        <v>4820</v>
      </c>
      <c r="F4047" t="s">
        <v>23479</v>
      </c>
      <c r="G4047">
        <v>1</v>
      </c>
      <c r="H4047" t="s">
        <v>13601</v>
      </c>
      <c r="J4047" t="s">
        <v>13517</v>
      </c>
      <c r="K4047" t="s">
        <v>21</v>
      </c>
      <c r="L4047" t="s">
        <v>33</v>
      </c>
      <c r="M4047" t="s">
        <v>13602</v>
      </c>
      <c r="N4047" t="s">
        <v>13645</v>
      </c>
      <c r="O4047" t="s">
        <v>13646</v>
      </c>
      <c r="P4047" s="2" t="s">
        <v>67</v>
      </c>
      <c r="Q4047" t="s">
        <v>68</v>
      </c>
      <c r="R4047">
        <v>6.69</v>
      </c>
      <c r="S4047">
        <v>6.69</v>
      </c>
      <c r="T4047" t="s">
        <v>13647</v>
      </c>
    </row>
    <row r="4048" spans="1:20" x14ac:dyDescent="0.25">
      <c r="A4048" s="1" t="str">
        <f>HYPERLINK("https://vegkart.atlas.vegvesen.no/#/@-6837.1,6895315.9,18/hva:hva%5B0%5D%5Bfilter%5D%5B0%5D%5Boperator%5D=%21%3D&amp;hva%5B0%5D%5Bfilter%5D%5B0%5D%5Btype_id%5D=4820&amp;hva%5B0%5D%5Bfilter%5D%5B0%5D%5Bverdi%5D=&amp;hva%5B0%5D%5Bid%5D=144/når:2013-12-13", "Vegkart")</f>
        <v>Vegkart</v>
      </c>
      <c r="B4048">
        <v>487753587</v>
      </c>
      <c r="C4048">
        <v>144</v>
      </c>
      <c r="D4048" t="s">
        <v>13345</v>
      </c>
      <c r="E4048">
        <v>4820</v>
      </c>
      <c r="F4048" t="s">
        <v>23479</v>
      </c>
      <c r="G4048">
        <v>1</v>
      </c>
      <c r="H4048" t="s">
        <v>13601</v>
      </c>
      <c r="J4048" t="s">
        <v>13517</v>
      </c>
      <c r="K4048" t="s">
        <v>21</v>
      </c>
      <c r="L4048" t="s">
        <v>33</v>
      </c>
      <c r="M4048" t="s">
        <v>13602</v>
      </c>
      <c r="N4048" t="s">
        <v>13648</v>
      </c>
      <c r="O4048" t="s">
        <v>13649</v>
      </c>
      <c r="P4048" s="2" t="s">
        <v>67</v>
      </c>
      <c r="Q4048" t="s">
        <v>68</v>
      </c>
      <c r="R4048">
        <v>31.47</v>
      </c>
      <c r="S4048">
        <v>31.49</v>
      </c>
      <c r="T4048" t="s">
        <v>13650</v>
      </c>
    </row>
    <row r="4049" spans="1:20" x14ac:dyDescent="0.25">
      <c r="A4049" s="1" t="str">
        <f>HYPERLINK("https://vegkart.atlas.vegvesen.no/#/@-6057.4,6895059.9,18/hva:hva%5B0%5D%5Bfilter%5D%5B0%5D%5Boperator%5D=%21%3D&amp;hva%5B0%5D%5Bfilter%5D%5B0%5D%5Btype_id%5D=4820&amp;hva%5B0%5D%5Bfilter%5D%5B0%5D%5Bverdi%5D=&amp;hva%5B0%5D%5Bid%5D=144/når:2013-12-13", "Vegkart")</f>
        <v>Vegkart</v>
      </c>
      <c r="B4049">
        <v>487753588</v>
      </c>
      <c r="C4049">
        <v>144</v>
      </c>
      <c r="D4049" t="s">
        <v>13345</v>
      </c>
      <c r="E4049">
        <v>4820</v>
      </c>
      <c r="F4049" t="s">
        <v>23479</v>
      </c>
      <c r="G4049">
        <v>1</v>
      </c>
      <c r="H4049" t="s">
        <v>13601</v>
      </c>
      <c r="J4049" t="s">
        <v>13517</v>
      </c>
      <c r="K4049" t="s">
        <v>21</v>
      </c>
      <c r="L4049" t="s">
        <v>33</v>
      </c>
      <c r="M4049" t="s">
        <v>13602</v>
      </c>
      <c r="N4049" t="s">
        <v>13651</v>
      </c>
      <c r="O4049" t="s">
        <v>13652</v>
      </c>
      <c r="P4049" s="2" t="s">
        <v>67</v>
      </c>
      <c r="Q4049" t="s">
        <v>68</v>
      </c>
      <c r="R4049">
        <v>10.07</v>
      </c>
      <c r="S4049">
        <v>10.07</v>
      </c>
      <c r="T4049" t="s">
        <v>13653</v>
      </c>
    </row>
    <row r="4050" spans="1:20" x14ac:dyDescent="0.25">
      <c r="A4050" s="1" t="str">
        <f>HYPERLINK("https://vegkart.atlas.vegvesen.no/#/@-8551.1,6897286.8,18/hva:hva%5B0%5D%5Bfilter%5D%5B0%5D%5Boperator%5D=%21%3D&amp;hva%5B0%5D%5Bfilter%5D%5B0%5D%5Btype_id%5D=4820&amp;hva%5B0%5D%5Bfilter%5D%5B0%5D%5Bverdi%5D=&amp;hva%5B0%5D%5Bid%5D=144/når:2013-12-13", "Vegkart")</f>
        <v>Vegkart</v>
      </c>
      <c r="B4050">
        <v>487753589</v>
      </c>
      <c r="C4050">
        <v>144</v>
      </c>
      <c r="D4050" t="s">
        <v>13345</v>
      </c>
      <c r="E4050">
        <v>4820</v>
      </c>
      <c r="F4050" t="s">
        <v>23479</v>
      </c>
      <c r="G4050">
        <v>1</v>
      </c>
      <c r="H4050" t="s">
        <v>13601</v>
      </c>
      <c r="J4050" t="s">
        <v>13517</v>
      </c>
      <c r="K4050" t="s">
        <v>21</v>
      </c>
      <c r="L4050" t="s">
        <v>33</v>
      </c>
      <c r="M4050" t="s">
        <v>13602</v>
      </c>
      <c r="N4050" t="s">
        <v>13654</v>
      </c>
      <c r="O4050" t="s">
        <v>13655</v>
      </c>
      <c r="P4050" s="2" t="s">
        <v>67</v>
      </c>
      <c r="Q4050" t="s">
        <v>68</v>
      </c>
      <c r="R4050">
        <v>11.36</v>
      </c>
      <c r="S4050">
        <v>11.36</v>
      </c>
      <c r="T4050" t="s">
        <v>13656</v>
      </c>
    </row>
    <row r="4051" spans="1:20" x14ac:dyDescent="0.25">
      <c r="A4051" s="1" t="str">
        <f>HYPERLINK("https://vegkart.atlas.vegvesen.no/#/@-48121.2,6721541.8,18/hva:hva%5B0%5D%5Bfilter%5D%5B0%5D%5Boperator%5D=%21%3D&amp;hva%5B0%5D%5Bfilter%5D%5B0%5D%5Btype_id%5D=4820&amp;hva%5B0%5D%5Bfilter%5D%5B0%5D%5Bverdi%5D=&amp;hva%5B0%5D%5Bid%5D=144/når:2014-01-01", "Vegkart")</f>
        <v>Vegkart</v>
      </c>
      <c r="B4051">
        <v>489821575</v>
      </c>
      <c r="C4051">
        <v>144</v>
      </c>
      <c r="D4051" t="s">
        <v>13345</v>
      </c>
      <c r="E4051">
        <v>4820</v>
      </c>
      <c r="F4051" t="s">
        <v>23479</v>
      </c>
      <c r="G4051">
        <v>1</v>
      </c>
      <c r="H4051" t="s">
        <v>6165</v>
      </c>
      <c r="J4051" t="s">
        <v>13517</v>
      </c>
      <c r="K4051" t="s">
        <v>21</v>
      </c>
      <c r="L4051" t="s">
        <v>33</v>
      </c>
      <c r="M4051" t="s">
        <v>1346</v>
      </c>
      <c r="N4051" t="s">
        <v>13657</v>
      </c>
      <c r="O4051" t="s">
        <v>13658</v>
      </c>
      <c r="P4051" s="2" t="s">
        <v>67</v>
      </c>
      <c r="Q4051" t="s">
        <v>68</v>
      </c>
      <c r="R4051">
        <v>8.35</v>
      </c>
      <c r="S4051">
        <v>8.73</v>
      </c>
      <c r="T4051" t="s">
        <v>13659</v>
      </c>
    </row>
    <row r="4052" spans="1:20" x14ac:dyDescent="0.25">
      <c r="A4052" s="1" t="str">
        <f>HYPERLINK("https://vegkart.atlas.vegvesen.no/#/@-48118.4,6721542.5,18/hva:hva%5B0%5D%5Bfilter%5D%5B0%5D%5Boperator%5D=%21%3D&amp;hva%5B0%5D%5Bfilter%5D%5B0%5D%5Btype_id%5D=4820&amp;hva%5B0%5D%5Bfilter%5D%5B0%5D%5Bverdi%5D=&amp;hva%5B0%5D%5Bid%5D=144/når:2014-01-01", "Vegkart")</f>
        <v>Vegkart</v>
      </c>
      <c r="B4052">
        <v>489821576</v>
      </c>
      <c r="C4052">
        <v>144</v>
      </c>
      <c r="D4052" t="s">
        <v>13345</v>
      </c>
      <c r="E4052">
        <v>4820</v>
      </c>
      <c r="F4052" t="s">
        <v>23479</v>
      </c>
      <c r="G4052">
        <v>1</v>
      </c>
      <c r="H4052" t="s">
        <v>6165</v>
      </c>
      <c r="J4052" t="s">
        <v>13517</v>
      </c>
      <c r="K4052" t="s">
        <v>21</v>
      </c>
      <c r="L4052" t="s">
        <v>33</v>
      </c>
      <c r="M4052" t="s">
        <v>1346</v>
      </c>
      <c r="N4052" t="s">
        <v>13660</v>
      </c>
      <c r="O4052" t="s">
        <v>13661</v>
      </c>
      <c r="P4052" s="2" t="s">
        <v>67</v>
      </c>
      <c r="Q4052" t="s">
        <v>68</v>
      </c>
      <c r="R4052">
        <v>7.95</v>
      </c>
      <c r="S4052">
        <v>8.4</v>
      </c>
      <c r="T4052" t="s">
        <v>13662</v>
      </c>
    </row>
    <row r="4053" spans="1:20" x14ac:dyDescent="0.25">
      <c r="A4053" s="1" t="str">
        <f>HYPERLINK("https://vegkart.atlas.vegvesen.no/#/@-48124.8,6721528.6,18/hva:hva%5B0%5D%5Bfilter%5D%5B0%5D%5Boperator%5D=%21%3D&amp;hva%5B0%5D%5Bfilter%5D%5B0%5D%5Btype_id%5D=4820&amp;hva%5B0%5D%5Bfilter%5D%5B0%5D%5Bverdi%5D=&amp;hva%5B0%5D%5Bid%5D=144/når:2014-01-01", "Vegkart")</f>
        <v>Vegkart</v>
      </c>
      <c r="B4053">
        <v>489821577</v>
      </c>
      <c r="C4053">
        <v>144</v>
      </c>
      <c r="D4053" t="s">
        <v>13345</v>
      </c>
      <c r="E4053">
        <v>4820</v>
      </c>
      <c r="F4053" t="s">
        <v>23479</v>
      </c>
      <c r="G4053">
        <v>1</v>
      </c>
      <c r="H4053" t="s">
        <v>6165</v>
      </c>
      <c r="J4053" t="s">
        <v>13517</v>
      </c>
      <c r="K4053" t="s">
        <v>21</v>
      </c>
      <c r="L4053" t="s">
        <v>33</v>
      </c>
      <c r="M4053" t="s">
        <v>1346</v>
      </c>
      <c r="N4053" t="s">
        <v>13663</v>
      </c>
      <c r="O4053" t="s">
        <v>13664</v>
      </c>
      <c r="P4053" s="2" t="s">
        <v>37</v>
      </c>
      <c r="Q4053" t="s">
        <v>1208</v>
      </c>
      <c r="R4053">
        <v>3.89</v>
      </c>
      <c r="S4053">
        <v>4.09</v>
      </c>
      <c r="T4053" t="s">
        <v>13665</v>
      </c>
    </row>
    <row r="4054" spans="1:20" x14ac:dyDescent="0.25">
      <c r="A4054" s="1" t="str">
        <f>HYPERLINK("https://vegkart.atlas.vegvesen.no/#/@-48126.7,6721527.5,18/hva:hva%5B0%5D%5Bfilter%5D%5B0%5D%5Boperator%5D=%21%3D&amp;hva%5B0%5D%5Bfilter%5D%5B0%5D%5Btype_id%5D=4820&amp;hva%5B0%5D%5Bfilter%5D%5B0%5D%5Bverdi%5D=&amp;hva%5B0%5D%5Bid%5D=144/når:2014-01-01", "Vegkart")</f>
        <v>Vegkart</v>
      </c>
      <c r="B4054">
        <v>489821578</v>
      </c>
      <c r="C4054">
        <v>144</v>
      </c>
      <c r="D4054" t="s">
        <v>13345</v>
      </c>
      <c r="E4054">
        <v>4820</v>
      </c>
      <c r="F4054" t="s">
        <v>23479</v>
      </c>
      <c r="G4054">
        <v>1</v>
      </c>
      <c r="H4054" t="s">
        <v>6165</v>
      </c>
      <c r="J4054" t="s">
        <v>13517</v>
      </c>
      <c r="K4054" t="s">
        <v>21</v>
      </c>
      <c r="L4054" t="s">
        <v>33</v>
      </c>
      <c r="M4054" t="s">
        <v>1346</v>
      </c>
      <c r="N4054" t="s">
        <v>13666</v>
      </c>
      <c r="O4054" t="s">
        <v>13667</v>
      </c>
      <c r="P4054" s="2" t="s">
        <v>67</v>
      </c>
      <c r="Q4054" t="s">
        <v>68</v>
      </c>
      <c r="R4054">
        <v>2.2000000000000002</v>
      </c>
      <c r="S4054">
        <v>2.25</v>
      </c>
      <c r="T4054" t="s">
        <v>13668</v>
      </c>
    </row>
    <row r="4055" spans="1:20" x14ac:dyDescent="0.25">
      <c r="A4055" s="1" t="str">
        <f>HYPERLINK("https://vegkart.atlas.vegvesen.no/#/@-13720.1,6798348.4,18/hva:hva%5B0%5D%5Bfilter%5D%5B0%5D%5Boperator%5D=%21%3D&amp;hva%5B0%5D%5Bfilter%5D%5B0%5D%5Btype_id%5D=4820&amp;hva%5B0%5D%5Bfilter%5D%5B0%5D%5Bverdi%5D=&amp;hva%5B0%5D%5Bid%5D=144/når:2014-05-22", "Vegkart")</f>
        <v>Vegkart</v>
      </c>
      <c r="B4055">
        <v>509896909</v>
      </c>
      <c r="C4055">
        <v>144</v>
      </c>
      <c r="D4055" t="s">
        <v>13345</v>
      </c>
      <c r="E4055">
        <v>4820</v>
      </c>
      <c r="F4055" t="s">
        <v>23479</v>
      </c>
      <c r="G4055">
        <v>1</v>
      </c>
      <c r="H4055" t="s">
        <v>13669</v>
      </c>
      <c r="J4055" t="s">
        <v>13517</v>
      </c>
      <c r="K4055" t="s">
        <v>21</v>
      </c>
      <c r="L4055" t="s">
        <v>33</v>
      </c>
      <c r="M4055" t="s">
        <v>13670</v>
      </c>
      <c r="N4055" t="s">
        <v>13671</v>
      </c>
      <c r="O4055" t="s">
        <v>13672</v>
      </c>
      <c r="P4055" s="2" t="s">
        <v>67</v>
      </c>
      <c r="Q4055" t="s">
        <v>68</v>
      </c>
      <c r="R4055">
        <v>49.87</v>
      </c>
      <c r="S4055">
        <v>53.58</v>
      </c>
      <c r="T4055" t="s">
        <v>13673</v>
      </c>
    </row>
    <row r="4056" spans="1:20" x14ac:dyDescent="0.25">
      <c r="A4056" s="1" t="str">
        <f>HYPERLINK("https://vegkart.atlas.vegvesen.no/#/@-13736.9,6798342.6,18/hva:hva%5B0%5D%5Bfilter%5D%5B0%5D%5Boperator%5D=%21%3D&amp;hva%5B0%5D%5Bfilter%5D%5B0%5D%5Btype_id%5D=4820&amp;hva%5B0%5D%5Bfilter%5D%5B0%5D%5Bverdi%5D=&amp;hva%5B0%5D%5Bid%5D=144/når:2014-05-22", "Vegkart")</f>
        <v>Vegkart</v>
      </c>
      <c r="B4056">
        <v>509896911</v>
      </c>
      <c r="C4056">
        <v>144</v>
      </c>
      <c r="D4056" t="s">
        <v>13345</v>
      </c>
      <c r="E4056">
        <v>4820</v>
      </c>
      <c r="F4056" t="s">
        <v>23479</v>
      </c>
      <c r="G4056">
        <v>1</v>
      </c>
      <c r="H4056" t="s">
        <v>13669</v>
      </c>
      <c r="J4056" t="s">
        <v>13517</v>
      </c>
      <c r="K4056" t="s">
        <v>21</v>
      </c>
      <c r="L4056" t="s">
        <v>33</v>
      </c>
      <c r="M4056" t="s">
        <v>13670</v>
      </c>
      <c r="N4056" t="s">
        <v>13674</v>
      </c>
      <c r="O4056" t="s">
        <v>13675</v>
      </c>
      <c r="P4056" s="2" t="s">
        <v>37</v>
      </c>
      <c r="Q4056" t="s">
        <v>1208</v>
      </c>
      <c r="R4056">
        <v>7.98</v>
      </c>
      <c r="S4056">
        <v>10.1</v>
      </c>
      <c r="T4056" t="s">
        <v>13676</v>
      </c>
    </row>
    <row r="4057" spans="1:20" x14ac:dyDescent="0.25">
      <c r="A4057" s="1" t="str">
        <f>HYPERLINK("https://vegkart.atlas.vegvesen.no/#/@-13727.4,6798339.8,18/hva:hva%5B0%5D%5Bfilter%5D%5B0%5D%5Boperator%5D=%21%3D&amp;hva%5B0%5D%5Bfilter%5D%5B0%5D%5Btype_id%5D=4820&amp;hva%5B0%5D%5Bfilter%5D%5B0%5D%5Bverdi%5D=&amp;hva%5B0%5D%5Bid%5D=144/når:2014-05-22", "Vegkart")</f>
        <v>Vegkart</v>
      </c>
      <c r="B4057">
        <v>509896912</v>
      </c>
      <c r="C4057">
        <v>144</v>
      </c>
      <c r="D4057" t="s">
        <v>13345</v>
      </c>
      <c r="E4057">
        <v>4820</v>
      </c>
      <c r="F4057" t="s">
        <v>23479</v>
      </c>
      <c r="G4057">
        <v>1</v>
      </c>
      <c r="H4057" t="s">
        <v>13669</v>
      </c>
      <c r="J4057" t="s">
        <v>13517</v>
      </c>
      <c r="K4057" t="s">
        <v>21</v>
      </c>
      <c r="L4057" t="s">
        <v>33</v>
      </c>
      <c r="M4057" t="s">
        <v>13670</v>
      </c>
      <c r="N4057" t="s">
        <v>13677</v>
      </c>
      <c r="O4057" t="s">
        <v>13678</v>
      </c>
      <c r="P4057" s="2" t="s">
        <v>67</v>
      </c>
      <c r="Q4057" t="s">
        <v>68</v>
      </c>
      <c r="R4057">
        <v>0.46</v>
      </c>
      <c r="S4057">
        <v>0.46</v>
      </c>
      <c r="T4057" t="s">
        <v>13679</v>
      </c>
    </row>
    <row r="4058" spans="1:20" x14ac:dyDescent="0.25">
      <c r="A4058" s="1" t="str">
        <f>HYPERLINK("https://vegkart.atlas.vegvesen.no/#/@-13712.4,6798357.8,18/hva:hva%5B0%5D%5Bfilter%5D%5B0%5D%5Boperator%5D=%21%3D&amp;hva%5B0%5D%5Bfilter%5D%5B0%5D%5Btype_id%5D=4820&amp;hva%5B0%5D%5Bfilter%5D%5B0%5D%5Bverdi%5D=&amp;hva%5B0%5D%5Bid%5D=144/når:2014-05-22", "Vegkart")</f>
        <v>Vegkart</v>
      </c>
      <c r="B4058">
        <v>509896913</v>
      </c>
      <c r="C4058">
        <v>144</v>
      </c>
      <c r="D4058" t="s">
        <v>13345</v>
      </c>
      <c r="E4058">
        <v>4820</v>
      </c>
      <c r="F4058" t="s">
        <v>23479</v>
      </c>
      <c r="G4058">
        <v>1</v>
      </c>
      <c r="H4058" t="s">
        <v>13669</v>
      </c>
      <c r="J4058" t="s">
        <v>13517</v>
      </c>
      <c r="K4058" t="s">
        <v>21</v>
      </c>
      <c r="L4058" t="s">
        <v>33</v>
      </c>
      <c r="M4058" t="s">
        <v>13670</v>
      </c>
      <c r="N4058" t="s">
        <v>13680</v>
      </c>
      <c r="O4058" t="s">
        <v>13681</v>
      </c>
      <c r="P4058" s="2" t="s">
        <v>67</v>
      </c>
      <c r="Q4058" t="s">
        <v>68</v>
      </c>
      <c r="R4058">
        <v>28.01</v>
      </c>
      <c r="S4058">
        <v>28.56</v>
      </c>
      <c r="T4058" t="s">
        <v>13682</v>
      </c>
    </row>
    <row r="4059" spans="1:20" x14ac:dyDescent="0.25">
      <c r="A4059" s="1" t="str">
        <f>HYPERLINK("https://vegkart.atlas.vegvesen.no/#/@-13712.4,6798357.8,18/hva:hva%5B0%5D%5Bfilter%5D%5B0%5D%5Boperator%5D=%21%3D&amp;hva%5B0%5D%5Bfilter%5D%5B0%5D%5Btype_id%5D=4820&amp;hva%5B0%5D%5Bfilter%5D%5B0%5D%5Bverdi%5D=&amp;hva%5B0%5D%5Bid%5D=144/når:2014-05-22", "Vegkart")</f>
        <v>Vegkart</v>
      </c>
      <c r="B4059">
        <v>514973810</v>
      </c>
      <c r="C4059">
        <v>144</v>
      </c>
      <c r="D4059" t="s">
        <v>13345</v>
      </c>
      <c r="E4059">
        <v>4820</v>
      </c>
      <c r="F4059" t="s">
        <v>23479</v>
      </c>
      <c r="G4059">
        <v>1</v>
      </c>
      <c r="H4059" t="s">
        <v>13669</v>
      </c>
      <c r="J4059" t="s">
        <v>13517</v>
      </c>
      <c r="K4059" t="s">
        <v>21</v>
      </c>
      <c r="L4059" t="s">
        <v>33</v>
      </c>
      <c r="M4059" t="s">
        <v>13670</v>
      </c>
      <c r="N4059" t="s">
        <v>13680</v>
      </c>
      <c r="O4059" t="s">
        <v>13681</v>
      </c>
      <c r="P4059" s="2" t="s">
        <v>67</v>
      </c>
      <c r="Q4059" t="s">
        <v>68</v>
      </c>
      <c r="R4059">
        <v>28.01</v>
      </c>
      <c r="S4059">
        <v>28.56</v>
      </c>
      <c r="T4059" t="s">
        <v>13682</v>
      </c>
    </row>
    <row r="4060" spans="1:20" x14ac:dyDescent="0.25">
      <c r="A4060" s="1" t="str">
        <f>HYPERLINK("https://vegkart.atlas.vegvesen.no/#/@243809.3,6632007.1,18/hva:hva%5B0%5D%5Bfilter%5D%5B0%5D%5Boperator%5D=%21%3D&amp;hva%5B0%5D%5Bfilter%5D%5B0%5D%5Btype_id%5D=4820&amp;hva%5B0%5D%5Bfilter%5D%5B0%5D%5Bverdi%5D=&amp;hva%5B0%5D%5Bid%5D=144/når:2019-04-23", "Vegkart")</f>
        <v>Vegkart</v>
      </c>
      <c r="B4060">
        <v>518065043</v>
      </c>
      <c r="C4060">
        <v>144</v>
      </c>
      <c r="D4060" t="s">
        <v>13345</v>
      </c>
      <c r="E4060">
        <v>4820</v>
      </c>
      <c r="F4060" t="s">
        <v>23479</v>
      </c>
      <c r="G4060">
        <v>2</v>
      </c>
      <c r="H4060" t="s">
        <v>13387</v>
      </c>
      <c r="J4060" t="s">
        <v>13517</v>
      </c>
      <c r="K4060" t="s">
        <v>132</v>
      </c>
      <c r="L4060" t="s">
        <v>33</v>
      </c>
      <c r="M4060" t="s">
        <v>6042</v>
      </c>
      <c r="N4060" t="s">
        <v>13683</v>
      </c>
      <c r="O4060" t="s">
        <v>13684</v>
      </c>
      <c r="P4060" s="2" t="s">
        <v>67</v>
      </c>
      <c r="Q4060" t="s">
        <v>68</v>
      </c>
      <c r="R4060">
        <v>4.22</v>
      </c>
      <c r="S4060">
        <v>4.22</v>
      </c>
      <c r="T4060" t="s">
        <v>13685</v>
      </c>
    </row>
    <row r="4061" spans="1:20" x14ac:dyDescent="0.25">
      <c r="A4061" s="1" t="str">
        <f>HYPERLINK("https://vegkart.atlas.vegvesen.no/#/@243822.0,6632006.7,18/hva:hva%5B0%5D%5Bfilter%5D%5B0%5D%5Boperator%5D=%21%3D&amp;hva%5B0%5D%5Bfilter%5D%5B0%5D%5Btype_id%5D=4820&amp;hva%5B0%5D%5Bfilter%5D%5B0%5D%5Bverdi%5D=&amp;hva%5B0%5D%5Bid%5D=144/når:2019-04-23", "Vegkart")</f>
        <v>Vegkart</v>
      </c>
      <c r="B4061">
        <v>518065044</v>
      </c>
      <c r="C4061">
        <v>144</v>
      </c>
      <c r="D4061" t="s">
        <v>13345</v>
      </c>
      <c r="E4061">
        <v>4820</v>
      </c>
      <c r="F4061" t="s">
        <v>23479</v>
      </c>
      <c r="G4061">
        <v>2</v>
      </c>
      <c r="H4061" t="s">
        <v>13387</v>
      </c>
      <c r="J4061" t="s">
        <v>13517</v>
      </c>
      <c r="K4061" t="s">
        <v>132</v>
      </c>
      <c r="L4061" t="s">
        <v>33</v>
      </c>
      <c r="M4061" t="s">
        <v>6042</v>
      </c>
      <c r="N4061" t="s">
        <v>13686</v>
      </c>
      <c r="O4061" t="s">
        <v>13687</v>
      </c>
      <c r="P4061" s="2" t="s">
        <v>67</v>
      </c>
      <c r="Q4061" t="s">
        <v>68</v>
      </c>
      <c r="R4061">
        <v>3.99</v>
      </c>
      <c r="S4061">
        <v>3.99</v>
      </c>
      <c r="T4061" t="s">
        <v>13688</v>
      </c>
    </row>
    <row r="4062" spans="1:20" x14ac:dyDescent="0.25">
      <c r="A4062" s="1" t="str">
        <f>HYPERLINK("https://vegkart.atlas.vegvesen.no/#/@243857.6,6632123.4,18/hva:hva%5B0%5D%5Bfilter%5D%5B0%5D%5Boperator%5D=%21%3D&amp;hva%5B0%5D%5Bfilter%5D%5B0%5D%5Btype_id%5D=4820&amp;hva%5B0%5D%5Bfilter%5D%5B0%5D%5Bverdi%5D=&amp;hva%5B0%5D%5Bid%5D=144/når:2019-04-23", "Vegkart")</f>
        <v>Vegkart</v>
      </c>
      <c r="B4062">
        <v>518065045</v>
      </c>
      <c r="C4062">
        <v>144</v>
      </c>
      <c r="D4062" t="s">
        <v>13345</v>
      </c>
      <c r="E4062">
        <v>4820</v>
      </c>
      <c r="F4062" t="s">
        <v>23479</v>
      </c>
      <c r="G4062">
        <v>2</v>
      </c>
      <c r="H4062" t="s">
        <v>13387</v>
      </c>
      <c r="J4062" t="s">
        <v>13517</v>
      </c>
      <c r="K4062" t="s">
        <v>132</v>
      </c>
      <c r="L4062" t="s">
        <v>33</v>
      </c>
      <c r="M4062" t="s">
        <v>6042</v>
      </c>
      <c r="N4062" t="s">
        <v>13689</v>
      </c>
      <c r="O4062" t="s">
        <v>13690</v>
      </c>
      <c r="P4062" s="2" t="s">
        <v>67</v>
      </c>
      <c r="Q4062" t="s">
        <v>68</v>
      </c>
      <c r="R4062">
        <v>5.32</v>
      </c>
      <c r="S4062">
        <v>5.32</v>
      </c>
      <c r="T4062" t="s">
        <v>13691</v>
      </c>
    </row>
    <row r="4063" spans="1:20" x14ac:dyDescent="0.25">
      <c r="A4063" s="1" t="str">
        <f>HYPERLINK("https://vegkart.atlas.vegvesen.no/#/@243858.7,6632167.4,18/hva:hva%5B0%5D%5Bfilter%5D%5B0%5D%5Boperator%5D=%21%3D&amp;hva%5B0%5D%5Bfilter%5D%5B0%5D%5Btype_id%5D=4820&amp;hva%5B0%5D%5Bfilter%5D%5B0%5D%5Bverdi%5D=&amp;hva%5B0%5D%5Bid%5D=144/når:2019-04-23", "Vegkart")</f>
        <v>Vegkart</v>
      </c>
      <c r="B4063">
        <v>518065046</v>
      </c>
      <c r="C4063">
        <v>144</v>
      </c>
      <c r="D4063" t="s">
        <v>13345</v>
      </c>
      <c r="E4063">
        <v>4820</v>
      </c>
      <c r="F4063" t="s">
        <v>23479</v>
      </c>
      <c r="G4063">
        <v>2</v>
      </c>
      <c r="H4063" t="s">
        <v>13387</v>
      </c>
      <c r="J4063" t="s">
        <v>13517</v>
      </c>
      <c r="K4063" t="s">
        <v>132</v>
      </c>
      <c r="L4063" t="s">
        <v>33</v>
      </c>
      <c r="M4063" t="s">
        <v>6042</v>
      </c>
      <c r="N4063" t="s">
        <v>13692</v>
      </c>
      <c r="O4063" t="s">
        <v>13693</v>
      </c>
      <c r="P4063" s="2" t="s">
        <v>67</v>
      </c>
      <c r="Q4063" t="s">
        <v>68</v>
      </c>
      <c r="R4063">
        <v>3.58</v>
      </c>
      <c r="S4063">
        <v>3.58</v>
      </c>
      <c r="T4063" t="s">
        <v>13694</v>
      </c>
    </row>
    <row r="4064" spans="1:20" x14ac:dyDescent="0.25">
      <c r="A4064" s="1" t="str">
        <f>HYPERLINK("https://vegkart.atlas.vegvesen.no/#/@127652.9,6993852.3,18/hva:hva%5B0%5D%5Bfilter%5D%5B0%5D%5Boperator%5D=%21%3D&amp;hva%5B0%5D%5Bfilter%5D%5B0%5D%5Btype_id%5D=4820&amp;hva%5B0%5D%5Bfilter%5D%5B0%5D%5Bverdi%5D=&amp;hva%5B0%5D%5Bid%5D=144/når:2014-03-03", "Vegkart")</f>
        <v>Vegkart</v>
      </c>
      <c r="B4064">
        <v>527271028</v>
      </c>
      <c r="C4064">
        <v>144</v>
      </c>
      <c r="D4064" t="s">
        <v>13345</v>
      </c>
      <c r="E4064">
        <v>4820</v>
      </c>
      <c r="F4064" t="s">
        <v>23479</v>
      </c>
      <c r="G4064">
        <v>1</v>
      </c>
      <c r="H4064" t="s">
        <v>13695</v>
      </c>
      <c r="J4064" t="s">
        <v>13517</v>
      </c>
      <c r="K4064" t="s">
        <v>32</v>
      </c>
      <c r="L4064" t="s">
        <v>80</v>
      </c>
      <c r="M4064" t="s">
        <v>81</v>
      </c>
      <c r="N4064" t="s">
        <v>13696</v>
      </c>
      <c r="O4064" t="s">
        <v>13697</v>
      </c>
      <c r="P4064" s="2" t="s">
        <v>67</v>
      </c>
      <c r="Q4064" t="s">
        <v>68</v>
      </c>
      <c r="R4064">
        <v>299.01</v>
      </c>
      <c r="S4064">
        <v>300.51</v>
      </c>
      <c r="T4064" t="s">
        <v>13698</v>
      </c>
    </row>
    <row r="4065" spans="1:20" x14ac:dyDescent="0.25">
      <c r="A4065" s="1" t="str">
        <f>HYPERLINK("https://vegkart.atlas.vegvesen.no/#/@248537.6,6806415.4,18/hva:hva%5B0%5D%5Bfilter%5D%5B0%5D%5Boperator%5D=%21%3D&amp;hva%5B0%5D%5Bfilter%5D%5B0%5D%5Btype_id%5D=4820&amp;hva%5B0%5D%5Bfilter%5D%5B0%5D%5Bverdi%5D=&amp;hva%5B0%5D%5Bid%5D=144/når:2012-12-12", "Vegkart")</f>
        <v>Vegkart</v>
      </c>
      <c r="B4065">
        <v>553364419</v>
      </c>
      <c r="C4065">
        <v>144</v>
      </c>
      <c r="D4065" t="s">
        <v>13345</v>
      </c>
      <c r="E4065">
        <v>4820</v>
      </c>
      <c r="F4065" t="s">
        <v>23479</v>
      </c>
      <c r="G4065">
        <v>1</v>
      </c>
      <c r="H4065" t="s">
        <v>1422</v>
      </c>
      <c r="J4065" t="s">
        <v>13517</v>
      </c>
      <c r="K4065" t="s">
        <v>136</v>
      </c>
      <c r="L4065" t="s">
        <v>80</v>
      </c>
      <c r="M4065" t="s">
        <v>105</v>
      </c>
      <c r="N4065" t="s">
        <v>13699</v>
      </c>
      <c r="O4065" t="s">
        <v>13700</v>
      </c>
      <c r="P4065" s="2" t="s">
        <v>67</v>
      </c>
      <c r="Q4065" t="s">
        <v>68</v>
      </c>
      <c r="R4065">
        <v>275.70999999999998</v>
      </c>
      <c r="S4065">
        <v>276.52999999999997</v>
      </c>
      <c r="T4065" t="s">
        <v>13701</v>
      </c>
    </row>
    <row r="4066" spans="1:20" x14ac:dyDescent="0.25">
      <c r="A4066" s="1" t="str">
        <f>HYPERLINK("https://vegkart.atlas.vegvesen.no/#/@252284.8,7027786.7,18/hva:hva%5B0%5D%5Bfilter%5D%5B0%5D%5Boperator%5D=%21%3D&amp;hva%5B0%5D%5Bfilter%5D%5B0%5D%5Btype_id%5D=4820&amp;hva%5B0%5D%5Bfilter%5D%5B0%5D%5Bverdi%5D=&amp;hva%5B0%5D%5Bid%5D=144/når:2014-09-09", "Vegkart")</f>
        <v>Vegkart</v>
      </c>
      <c r="B4066">
        <v>554521735</v>
      </c>
      <c r="C4066">
        <v>144</v>
      </c>
      <c r="D4066" t="s">
        <v>13345</v>
      </c>
      <c r="E4066">
        <v>4820</v>
      </c>
      <c r="F4066" t="s">
        <v>23479</v>
      </c>
      <c r="G4066">
        <v>1</v>
      </c>
      <c r="H4066" t="s">
        <v>13702</v>
      </c>
      <c r="J4066" t="s">
        <v>13517</v>
      </c>
      <c r="K4066" t="s">
        <v>192</v>
      </c>
      <c r="L4066" t="s">
        <v>33</v>
      </c>
      <c r="M4066" t="s">
        <v>13703</v>
      </c>
      <c r="N4066" t="s">
        <v>13704</v>
      </c>
      <c r="O4066" t="s">
        <v>13705</v>
      </c>
      <c r="P4066" s="2" t="s">
        <v>67</v>
      </c>
      <c r="Q4066" t="s">
        <v>68</v>
      </c>
      <c r="R4066">
        <v>128.58000000000001</v>
      </c>
      <c r="S4066">
        <v>132.1</v>
      </c>
      <c r="T4066" t="s">
        <v>13706</v>
      </c>
    </row>
    <row r="4067" spans="1:20" x14ac:dyDescent="0.25">
      <c r="A4067" s="1" t="str">
        <f>HYPERLINK("https://vegkart.atlas.vegvesen.no/#/@544495.9,7690586.4,18/hva:hva%5B0%5D%5Bfilter%5D%5B0%5D%5Boperator%5D=%21%3D&amp;hva%5B0%5D%5Bfilter%5D%5B0%5D%5Btype_id%5D=4820&amp;hva%5B0%5D%5Bfilter%5D%5B0%5D%5Bverdi%5D=&amp;hva%5B0%5D%5Bid%5D=144/når:2014-09-10", "Vegkart")</f>
        <v>Vegkart</v>
      </c>
      <c r="B4067">
        <v>556316792</v>
      </c>
      <c r="C4067">
        <v>144</v>
      </c>
      <c r="D4067" t="s">
        <v>13345</v>
      </c>
      <c r="E4067">
        <v>4820</v>
      </c>
      <c r="F4067" t="s">
        <v>23479</v>
      </c>
      <c r="G4067">
        <v>1</v>
      </c>
      <c r="H4067" t="s">
        <v>13707</v>
      </c>
      <c r="J4067" t="s">
        <v>13517</v>
      </c>
      <c r="K4067" t="s">
        <v>53</v>
      </c>
      <c r="L4067" t="s">
        <v>2473</v>
      </c>
      <c r="M4067" t="s">
        <v>13708</v>
      </c>
      <c r="N4067" t="s">
        <v>13709</v>
      </c>
      <c r="O4067" t="s">
        <v>13710</v>
      </c>
      <c r="P4067" s="2" t="s">
        <v>37</v>
      </c>
      <c r="Q4067" t="s">
        <v>1208</v>
      </c>
      <c r="R4067">
        <v>9.42</v>
      </c>
      <c r="S4067">
        <v>730.61</v>
      </c>
      <c r="T4067" t="s">
        <v>13711</v>
      </c>
    </row>
    <row r="4068" spans="1:20" x14ac:dyDescent="0.25">
      <c r="A4068" s="1" t="str">
        <f>HYPERLINK("https://vegkart.atlas.vegvesen.no/#/@380653.9,7162824.7,18/hva:hva%5B0%5D%5Bfilter%5D%5B0%5D%5Boperator%5D=%21%3D&amp;hva%5B0%5D%5Bfilter%5D%5B0%5D%5Btype_id%5D=4820&amp;hva%5B0%5D%5Bfilter%5D%5B0%5D%5Bverdi%5D=&amp;hva%5B0%5D%5Bid%5D=144/når:2014-09-24", "Vegkart")</f>
        <v>Vegkart</v>
      </c>
      <c r="B4068">
        <v>562101049</v>
      </c>
      <c r="C4068">
        <v>144</v>
      </c>
      <c r="D4068" t="s">
        <v>13345</v>
      </c>
      <c r="E4068">
        <v>4820</v>
      </c>
      <c r="F4068" t="s">
        <v>23479</v>
      </c>
      <c r="G4068">
        <v>1</v>
      </c>
      <c r="H4068" t="s">
        <v>13712</v>
      </c>
      <c r="J4068" t="s">
        <v>13517</v>
      </c>
      <c r="K4068" t="s">
        <v>192</v>
      </c>
      <c r="L4068" t="s">
        <v>80</v>
      </c>
      <c r="M4068" t="s">
        <v>105</v>
      </c>
      <c r="N4068" t="s">
        <v>13713</v>
      </c>
      <c r="O4068" t="s">
        <v>13714</v>
      </c>
      <c r="P4068" s="2" t="s">
        <v>67</v>
      </c>
      <c r="Q4068" t="s">
        <v>68</v>
      </c>
      <c r="R4068">
        <v>586.5</v>
      </c>
      <c r="S4068">
        <v>591.59</v>
      </c>
      <c r="T4068" t="s">
        <v>13715</v>
      </c>
    </row>
    <row r="4069" spans="1:20" x14ac:dyDescent="0.25">
      <c r="A4069" s="1" t="str">
        <f>HYPERLINK("https://vegkart.atlas.vegvesen.no/#/@380640.8,7162829.2,18/hva:hva%5B0%5D%5Bfilter%5D%5B0%5D%5Boperator%5D=%21%3D&amp;hva%5B0%5D%5Bfilter%5D%5B0%5D%5Btype_id%5D=4820&amp;hva%5B0%5D%5Bfilter%5D%5B0%5D%5Bverdi%5D=&amp;hva%5B0%5D%5Bid%5D=144/når:2014-09-24", "Vegkart")</f>
        <v>Vegkart</v>
      </c>
      <c r="B4069">
        <v>562101050</v>
      </c>
      <c r="C4069">
        <v>144</v>
      </c>
      <c r="D4069" t="s">
        <v>13345</v>
      </c>
      <c r="E4069">
        <v>4820</v>
      </c>
      <c r="F4069" t="s">
        <v>23479</v>
      </c>
      <c r="G4069">
        <v>1</v>
      </c>
      <c r="H4069" t="s">
        <v>13712</v>
      </c>
      <c r="J4069" t="s">
        <v>13517</v>
      </c>
      <c r="K4069" t="s">
        <v>192</v>
      </c>
      <c r="L4069" t="s">
        <v>80</v>
      </c>
      <c r="M4069" t="s">
        <v>105</v>
      </c>
      <c r="N4069" t="s">
        <v>13716</v>
      </c>
      <c r="O4069" t="s">
        <v>13717</v>
      </c>
      <c r="P4069" s="2" t="s">
        <v>67</v>
      </c>
      <c r="Q4069" t="s">
        <v>68</v>
      </c>
      <c r="R4069">
        <v>586.72</v>
      </c>
      <c r="S4069">
        <v>590.91999999999996</v>
      </c>
      <c r="T4069" t="s">
        <v>13718</v>
      </c>
    </row>
    <row r="4070" spans="1:20" x14ac:dyDescent="0.25">
      <c r="A4070" s="1" t="str">
        <f>HYPERLINK("https://vegkart.atlas.vegvesen.no/#/@253292.6,6750056.0,18/hva:hva%5B0%5D%5Bfilter%5D%5B0%5D%5Boperator%5D=%21%3D&amp;hva%5B0%5D%5Bfilter%5D%5B0%5D%5Btype_id%5D=4820&amp;hva%5B0%5D%5Bfilter%5D%5B0%5D%5Bverdi%5D=&amp;hva%5B0%5D%5Bid%5D=144/når:2015-01-07", "Vegkart")</f>
        <v>Vegkart</v>
      </c>
      <c r="B4070">
        <v>579088500</v>
      </c>
      <c r="C4070">
        <v>144</v>
      </c>
      <c r="D4070" t="s">
        <v>13345</v>
      </c>
      <c r="E4070">
        <v>4820</v>
      </c>
      <c r="F4070" t="s">
        <v>23479</v>
      </c>
      <c r="G4070">
        <v>1</v>
      </c>
      <c r="H4070" t="s">
        <v>13719</v>
      </c>
      <c r="J4070" t="s">
        <v>13517</v>
      </c>
      <c r="K4070" t="s">
        <v>136</v>
      </c>
      <c r="L4070" t="s">
        <v>33</v>
      </c>
      <c r="M4070" t="s">
        <v>13720</v>
      </c>
      <c r="N4070" t="s">
        <v>13721</v>
      </c>
      <c r="O4070" t="s">
        <v>13722</v>
      </c>
      <c r="P4070" s="2" t="s">
        <v>67</v>
      </c>
      <c r="Q4070" t="s">
        <v>68</v>
      </c>
      <c r="R4070">
        <v>39.92</v>
      </c>
      <c r="S4070">
        <v>40.17</v>
      </c>
      <c r="T4070" t="s">
        <v>13723</v>
      </c>
    </row>
    <row r="4071" spans="1:20" x14ac:dyDescent="0.25">
      <c r="A4071" s="1" t="str">
        <f>HYPERLINK("https://vegkart.atlas.vegvesen.no/#/@253291.6,6750055.6,18/hva:hva%5B0%5D%5Bfilter%5D%5B0%5D%5Boperator%5D=%21%3D&amp;hva%5B0%5D%5Bfilter%5D%5B0%5D%5Btype_id%5D=4820&amp;hva%5B0%5D%5Bfilter%5D%5B0%5D%5Bverdi%5D=&amp;hva%5B0%5D%5Bid%5D=144/når:2015-01-07", "Vegkart")</f>
        <v>Vegkart</v>
      </c>
      <c r="B4071">
        <v>579088501</v>
      </c>
      <c r="C4071">
        <v>144</v>
      </c>
      <c r="D4071" t="s">
        <v>13345</v>
      </c>
      <c r="E4071">
        <v>4820</v>
      </c>
      <c r="F4071" t="s">
        <v>23479</v>
      </c>
      <c r="G4071">
        <v>1</v>
      </c>
      <c r="H4071" t="s">
        <v>13719</v>
      </c>
      <c r="J4071" t="s">
        <v>13517</v>
      </c>
      <c r="K4071" t="s">
        <v>136</v>
      </c>
      <c r="L4071" t="s">
        <v>33</v>
      </c>
      <c r="M4071" t="s">
        <v>13720</v>
      </c>
      <c r="N4071" t="s">
        <v>13724</v>
      </c>
      <c r="O4071" t="s">
        <v>13725</v>
      </c>
      <c r="P4071" s="2" t="s">
        <v>67</v>
      </c>
      <c r="Q4071" t="s">
        <v>68</v>
      </c>
      <c r="R4071">
        <v>40.72</v>
      </c>
      <c r="S4071">
        <v>40.770000000000003</v>
      </c>
      <c r="T4071" t="s">
        <v>13726</v>
      </c>
    </row>
    <row r="4072" spans="1:20" x14ac:dyDescent="0.25">
      <c r="A4072" s="1" t="str">
        <f>HYPERLINK("https://vegkart.atlas.vegvesen.no/#/@253210.9,6750106.0,18/hva:hva%5B0%5D%5Bfilter%5D%5B0%5D%5Boperator%5D=%21%3D&amp;hva%5B0%5D%5Bfilter%5D%5B0%5D%5Btype_id%5D=4820&amp;hva%5B0%5D%5Bfilter%5D%5B0%5D%5Bverdi%5D=&amp;hva%5B0%5D%5Bid%5D=144/når:2015-01-07", "Vegkart")</f>
        <v>Vegkart</v>
      </c>
      <c r="B4072">
        <v>579088502</v>
      </c>
      <c r="C4072">
        <v>144</v>
      </c>
      <c r="D4072" t="s">
        <v>13345</v>
      </c>
      <c r="E4072">
        <v>4820</v>
      </c>
      <c r="F4072" t="s">
        <v>23479</v>
      </c>
      <c r="G4072">
        <v>1</v>
      </c>
      <c r="H4072" t="s">
        <v>13719</v>
      </c>
      <c r="J4072" t="s">
        <v>13517</v>
      </c>
      <c r="K4072" t="s">
        <v>136</v>
      </c>
      <c r="L4072" t="s">
        <v>33</v>
      </c>
      <c r="M4072" t="s">
        <v>13720</v>
      </c>
      <c r="N4072" t="s">
        <v>13727</v>
      </c>
      <c r="O4072" t="s">
        <v>13728</v>
      </c>
      <c r="P4072" s="2" t="s">
        <v>67</v>
      </c>
      <c r="Q4072" t="s">
        <v>68</v>
      </c>
      <c r="R4072">
        <v>34.11</v>
      </c>
      <c r="S4072">
        <v>37.86</v>
      </c>
      <c r="T4072" t="s">
        <v>13729</v>
      </c>
    </row>
    <row r="4073" spans="1:20" x14ac:dyDescent="0.25">
      <c r="A4073" s="1" t="str">
        <f>HYPERLINK("https://vegkart.atlas.vegvesen.no/#/@252764.5,6750183.4,18/hva:hva%5B0%5D%5Bfilter%5D%5B0%5D%5Boperator%5D=%21%3D&amp;hva%5B0%5D%5Bfilter%5D%5B0%5D%5Btype_id%5D=4820&amp;hva%5B0%5D%5Bfilter%5D%5B0%5D%5Bverdi%5D=&amp;hva%5B0%5D%5Bid%5D=144/når:2015-01-07", "Vegkart")</f>
        <v>Vegkart</v>
      </c>
      <c r="B4073">
        <v>579088503</v>
      </c>
      <c r="C4073">
        <v>144</v>
      </c>
      <c r="D4073" t="s">
        <v>13345</v>
      </c>
      <c r="E4073">
        <v>4820</v>
      </c>
      <c r="F4073" t="s">
        <v>23479</v>
      </c>
      <c r="G4073">
        <v>1</v>
      </c>
      <c r="H4073" t="s">
        <v>13719</v>
      </c>
      <c r="J4073" t="s">
        <v>13517</v>
      </c>
      <c r="K4073" t="s">
        <v>136</v>
      </c>
      <c r="L4073" t="s">
        <v>33</v>
      </c>
      <c r="M4073" t="s">
        <v>13720</v>
      </c>
      <c r="N4073" t="s">
        <v>13730</v>
      </c>
      <c r="O4073" t="s">
        <v>13731</v>
      </c>
      <c r="P4073" s="2" t="s">
        <v>67</v>
      </c>
      <c r="Q4073" t="s">
        <v>68</v>
      </c>
      <c r="R4073">
        <v>2.66</v>
      </c>
      <c r="S4073">
        <v>2.72</v>
      </c>
      <c r="T4073" t="s">
        <v>13732</v>
      </c>
    </row>
    <row r="4074" spans="1:20" x14ac:dyDescent="0.25">
      <c r="A4074" s="1" t="str">
        <f>HYPERLINK("https://vegkart.atlas.vegvesen.no/#/@252753.8,6750181.5,18/hva:hva%5B0%5D%5Bfilter%5D%5B0%5D%5Boperator%5D=%21%3D&amp;hva%5B0%5D%5Bfilter%5D%5B0%5D%5Btype_id%5D=4820&amp;hva%5B0%5D%5Bfilter%5D%5B0%5D%5Bverdi%5D=&amp;hva%5B0%5D%5Bid%5D=144/når:2015-01-07", "Vegkart")</f>
        <v>Vegkart</v>
      </c>
      <c r="B4074">
        <v>579088504</v>
      </c>
      <c r="C4074">
        <v>144</v>
      </c>
      <c r="D4074" t="s">
        <v>13345</v>
      </c>
      <c r="E4074">
        <v>4820</v>
      </c>
      <c r="F4074" t="s">
        <v>23479</v>
      </c>
      <c r="G4074">
        <v>1</v>
      </c>
      <c r="H4074" t="s">
        <v>13719</v>
      </c>
      <c r="J4074" t="s">
        <v>13517</v>
      </c>
      <c r="K4074" t="s">
        <v>136</v>
      </c>
      <c r="L4074" t="s">
        <v>33</v>
      </c>
      <c r="M4074" t="s">
        <v>13720</v>
      </c>
      <c r="N4074" t="s">
        <v>13733</v>
      </c>
      <c r="O4074" t="s">
        <v>13734</v>
      </c>
      <c r="P4074" s="2" t="s">
        <v>67</v>
      </c>
      <c r="Q4074" t="s">
        <v>68</v>
      </c>
      <c r="R4074">
        <v>168.03</v>
      </c>
      <c r="S4074">
        <v>173.76</v>
      </c>
      <c r="T4074" t="s">
        <v>13735</v>
      </c>
    </row>
    <row r="4075" spans="1:20" x14ac:dyDescent="0.25">
      <c r="A4075" s="1" t="str">
        <f>HYPERLINK("https://vegkart.atlas.vegvesen.no/#/@252775.1,6750173.4,18/hva:hva%5B0%5D%5Bfilter%5D%5B0%5D%5Boperator%5D=%21%3D&amp;hva%5B0%5D%5Bfilter%5D%5B0%5D%5Btype_id%5D=4820&amp;hva%5B0%5D%5Bfilter%5D%5B0%5D%5Bverdi%5D=&amp;hva%5B0%5D%5Bid%5D=144/når:2015-01-07", "Vegkart")</f>
        <v>Vegkart</v>
      </c>
      <c r="B4075">
        <v>579088505</v>
      </c>
      <c r="C4075">
        <v>144</v>
      </c>
      <c r="D4075" t="s">
        <v>13345</v>
      </c>
      <c r="E4075">
        <v>4820</v>
      </c>
      <c r="F4075" t="s">
        <v>23479</v>
      </c>
      <c r="G4075">
        <v>1</v>
      </c>
      <c r="H4075" t="s">
        <v>13719</v>
      </c>
      <c r="J4075" t="s">
        <v>13517</v>
      </c>
      <c r="K4075" t="s">
        <v>136</v>
      </c>
      <c r="L4075" t="s">
        <v>33</v>
      </c>
      <c r="M4075" t="s">
        <v>13720</v>
      </c>
      <c r="N4075" t="s">
        <v>13736</v>
      </c>
      <c r="O4075" t="s">
        <v>13737</v>
      </c>
      <c r="P4075" s="2" t="s">
        <v>67</v>
      </c>
      <c r="Q4075" t="s">
        <v>68</v>
      </c>
      <c r="R4075">
        <v>206.61</v>
      </c>
      <c r="S4075">
        <v>235.26</v>
      </c>
      <c r="T4075" t="s">
        <v>13738</v>
      </c>
    </row>
    <row r="4076" spans="1:20" x14ac:dyDescent="0.25">
      <c r="A4076" s="1" t="str">
        <f>HYPERLINK("https://vegkart.atlas.vegvesen.no/#/@252632.1,6750109.0,18/hva:hva%5B0%5D%5Bfilter%5D%5B0%5D%5Boperator%5D=%21%3D&amp;hva%5B0%5D%5Bfilter%5D%5B0%5D%5Btype_id%5D=4820&amp;hva%5B0%5D%5Bfilter%5D%5B0%5D%5Bverdi%5D=&amp;hva%5B0%5D%5Bid%5D=144/når:2015-01-07", "Vegkart")</f>
        <v>Vegkart</v>
      </c>
      <c r="B4076">
        <v>579088506</v>
      </c>
      <c r="C4076">
        <v>144</v>
      </c>
      <c r="D4076" t="s">
        <v>13345</v>
      </c>
      <c r="E4076">
        <v>4820</v>
      </c>
      <c r="F4076" t="s">
        <v>23479</v>
      </c>
      <c r="G4076">
        <v>1</v>
      </c>
      <c r="H4076" t="s">
        <v>13719</v>
      </c>
      <c r="J4076" t="s">
        <v>13517</v>
      </c>
      <c r="K4076" t="s">
        <v>136</v>
      </c>
      <c r="L4076" t="s">
        <v>33</v>
      </c>
      <c r="M4076" t="s">
        <v>13720</v>
      </c>
      <c r="N4076" t="s">
        <v>13739</v>
      </c>
      <c r="O4076" t="s">
        <v>13740</v>
      </c>
      <c r="P4076" s="2" t="s">
        <v>67</v>
      </c>
      <c r="Q4076" t="s">
        <v>68</v>
      </c>
      <c r="R4076">
        <v>64.33</v>
      </c>
      <c r="S4076">
        <v>65.569999999999993</v>
      </c>
      <c r="T4076" t="s">
        <v>13741</v>
      </c>
    </row>
    <row r="4077" spans="1:20" x14ac:dyDescent="0.25">
      <c r="A4077" s="1" t="str">
        <f>HYPERLINK("https://vegkart.atlas.vegvesen.no/#/@252636.6,6750124.2,18/hva:hva%5B0%5D%5Bfilter%5D%5B0%5D%5Boperator%5D=%21%3D&amp;hva%5B0%5D%5Bfilter%5D%5B0%5D%5Btype_id%5D=4820&amp;hva%5B0%5D%5Bfilter%5D%5B0%5D%5Bverdi%5D=&amp;hva%5B0%5D%5Bid%5D=144/når:2015-01-07", "Vegkart")</f>
        <v>Vegkart</v>
      </c>
      <c r="B4077">
        <v>579088507</v>
      </c>
      <c r="C4077">
        <v>144</v>
      </c>
      <c r="D4077" t="s">
        <v>13345</v>
      </c>
      <c r="E4077">
        <v>4820</v>
      </c>
      <c r="F4077" t="s">
        <v>23479</v>
      </c>
      <c r="G4077">
        <v>1</v>
      </c>
      <c r="H4077" t="s">
        <v>13719</v>
      </c>
      <c r="J4077" t="s">
        <v>13517</v>
      </c>
      <c r="K4077" t="s">
        <v>136</v>
      </c>
      <c r="L4077" t="s">
        <v>33</v>
      </c>
      <c r="M4077" t="s">
        <v>13720</v>
      </c>
      <c r="N4077" t="s">
        <v>13742</v>
      </c>
      <c r="O4077" t="s">
        <v>13743</v>
      </c>
      <c r="P4077" s="2" t="s">
        <v>67</v>
      </c>
      <c r="Q4077" t="s">
        <v>68</v>
      </c>
      <c r="R4077">
        <v>85.85</v>
      </c>
      <c r="S4077">
        <v>94.22</v>
      </c>
      <c r="T4077" t="s">
        <v>13744</v>
      </c>
    </row>
    <row r="4078" spans="1:20" x14ac:dyDescent="0.25">
      <c r="A4078" s="1" t="str">
        <f>HYPERLINK("https://vegkart.atlas.vegvesen.no/#/@252771.2,6750186.3,18/hva:hva%5B0%5D%5Bfilter%5D%5B0%5D%5Boperator%5D=%21%3D&amp;hva%5B0%5D%5Bfilter%5D%5B0%5D%5Btype_id%5D=4820&amp;hva%5B0%5D%5Bfilter%5D%5B0%5D%5Bverdi%5D=&amp;hva%5B0%5D%5Bid%5D=144/når:2015-01-07", "Vegkart")</f>
        <v>Vegkart</v>
      </c>
      <c r="B4078">
        <v>579088509</v>
      </c>
      <c r="C4078">
        <v>144</v>
      </c>
      <c r="D4078" t="s">
        <v>13345</v>
      </c>
      <c r="E4078">
        <v>4820</v>
      </c>
      <c r="F4078" t="s">
        <v>23479</v>
      </c>
      <c r="G4078">
        <v>1</v>
      </c>
      <c r="H4078" t="s">
        <v>13719</v>
      </c>
      <c r="J4078" t="s">
        <v>13517</v>
      </c>
      <c r="K4078" t="s">
        <v>136</v>
      </c>
      <c r="L4078" t="s">
        <v>33</v>
      </c>
      <c r="M4078" t="s">
        <v>13720</v>
      </c>
      <c r="N4078" t="s">
        <v>13745</v>
      </c>
      <c r="O4078" t="s">
        <v>13746</v>
      </c>
      <c r="P4078" s="2" t="s">
        <v>67</v>
      </c>
      <c r="Q4078" t="s">
        <v>68</v>
      </c>
      <c r="R4078">
        <v>2.2999999999999998</v>
      </c>
      <c r="S4078">
        <v>2.2999999999999998</v>
      </c>
      <c r="T4078" t="s">
        <v>13747</v>
      </c>
    </row>
    <row r="4079" spans="1:20" x14ac:dyDescent="0.25">
      <c r="A4079" s="1" t="str">
        <f>HYPERLINK("https://vegkart.atlas.vegvesen.no/#/@252877.3,6750197.2,18/hva:hva%5B0%5D%5Bfilter%5D%5B0%5D%5Boperator%5D=%21%3D&amp;hva%5B0%5D%5Bfilter%5D%5B0%5D%5Btype_id%5D=4820&amp;hva%5B0%5D%5Bfilter%5D%5B0%5D%5Bverdi%5D=&amp;hva%5B0%5D%5Bid%5D=144/når:2015-01-07", "Vegkart")</f>
        <v>Vegkart</v>
      </c>
      <c r="B4079">
        <v>579088510</v>
      </c>
      <c r="C4079">
        <v>144</v>
      </c>
      <c r="D4079" t="s">
        <v>13345</v>
      </c>
      <c r="E4079">
        <v>4820</v>
      </c>
      <c r="F4079" t="s">
        <v>23479</v>
      </c>
      <c r="G4079">
        <v>1</v>
      </c>
      <c r="H4079" t="s">
        <v>13719</v>
      </c>
      <c r="J4079" t="s">
        <v>13517</v>
      </c>
      <c r="K4079" t="s">
        <v>136</v>
      </c>
      <c r="L4079" t="s">
        <v>33</v>
      </c>
      <c r="M4079" t="s">
        <v>13720</v>
      </c>
      <c r="N4079" t="s">
        <v>13748</v>
      </c>
      <c r="O4079" t="s">
        <v>13749</v>
      </c>
      <c r="P4079" s="2" t="s">
        <v>37</v>
      </c>
      <c r="Q4079" t="s">
        <v>1208</v>
      </c>
      <c r="R4079">
        <v>11.22</v>
      </c>
      <c r="S4079">
        <v>31.91</v>
      </c>
      <c r="T4079" t="s">
        <v>13750</v>
      </c>
    </row>
    <row r="4080" spans="1:20" x14ac:dyDescent="0.25">
      <c r="A4080" s="1" t="str">
        <f>HYPERLINK("https://vegkart.atlas.vegvesen.no/#/@423925.9,7541086.1,18/hva:hva%5B0%5D%5Bfilter%5D%5B0%5D%5Boperator%5D=%21%3D&amp;hva%5B0%5D%5Bfilter%5D%5B0%5D%5Btype_id%5D=4820&amp;hva%5B0%5D%5Bfilter%5D%5B0%5D%5Bverdi%5D=&amp;hva%5B0%5D%5Bid%5D=144/når:2015-01-20", "Vegkart")</f>
        <v>Vegkart</v>
      </c>
      <c r="B4080">
        <v>579137284</v>
      </c>
      <c r="C4080">
        <v>144</v>
      </c>
      <c r="D4080" t="s">
        <v>13345</v>
      </c>
      <c r="E4080">
        <v>4820</v>
      </c>
      <c r="F4080" t="s">
        <v>23479</v>
      </c>
      <c r="G4080">
        <v>1</v>
      </c>
      <c r="H4080" t="s">
        <v>13751</v>
      </c>
      <c r="J4080" t="s">
        <v>13517</v>
      </c>
      <c r="K4080" t="s">
        <v>53</v>
      </c>
      <c r="L4080" t="s">
        <v>80</v>
      </c>
      <c r="M4080" t="s">
        <v>522</v>
      </c>
      <c r="N4080" t="s">
        <v>13752</v>
      </c>
      <c r="O4080" t="s">
        <v>13753</v>
      </c>
      <c r="P4080" s="2" t="s">
        <v>67</v>
      </c>
      <c r="Q4080" t="s">
        <v>68</v>
      </c>
      <c r="R4080">
        <v>104.33</v>
      </c>
      <c r="S4080">
        <v>107.63</v>
      </c>
      <c r="T4080" t="s">
        <v>13754</v>
      </c>
    </row>
    <row r="4081" spans="1:20" x14ac:dyDescent="0.25">
      <c r="A4081" s="1" t="str">
        <f>HYPERLINK("https://vegkart.atlas.vegvesen.no/#/@423919.1,7541095.4,18/hva:hva%5B0%5D%5Bfilter%5D%5B0%5D%5Boperator%5D=%21%3D&amp;hva%5B0%5D%5Bfilter%5D%5B0%5D%5Btype_id%5D=4820&amp;hva%5B0%5D%5Bfilter%5D%5B0%5D%5Bverdi%5D=&amp;hva%5B0%5D%5Bid%5D=144/når:2015-01-20", "Vegkart")</f>
        <v>Vegkart</v>
      </c>
      <c r="B4081">
        <v>579137285</v>
      </c>
      <c r="C4081">
        <v>144</v>
      </c>
      <c r="D4081" t="s">
        <v>13345</v>
      </c>
      <c r="E4081">
        <v>4820</v>
      </c>
      <c r="F4081" t="s">
        <v>23479</v>
      </c>
      <c r="G4081">
        <v>1</v>
      </c>
      <c r="H4081" t="s">
        <v>13751</v>
      </c>
      <c r="J4081" t="s">
        <v>13517</v>
      </c>
      <c r="K4081" t="s">
        <v>53</v>
      </c>
      <c r="L4081" t="s">
        <v>80</v>
      </c>
      <c r="M4081" t="s">
        <v>522</v>
      </c>
      <c r="N4081" t="s">
        <v>13755</v>
      </c>
      <c r="O4081" t="s">
        <v>13756</v>
      </c>
      <c r="P4081" s="2" t="s">
        <v>67</v>
      </c>
      <c r="Q4081" t="s">
        <v>68</v>
      </c>
      <c r="R4081">
        <v>110.83</v>
      </c>
      <c r="S4081">
        <v>113</v>
      </c>
      <c r="T4081" t="s">
        <v>13757</v>
      </c>
    </row>
    <row r="4082" spans="1:20" x14ac:dyDescent="0.25">
      <c r="A4082" s="1" t="str">
        <f>HYPERLINK("https://vegkart.atlas.vegvesen.no/#/@239826.1,7062654.2,18/hva:hva%5B0%5D%5Bfilter%5D%5B0%5D%5Boperator%5D=%21%3D&amp;hva%5B0%5D%5Bfilter%5D%5B0%5D%5Btype_id%5D=4820&amp;hva%5B0%5D%5Bfilter%5D%5B0%5D%5Bverdi%5D=&amp;hva%5B0%5D%5Bid%5D=144/når:2015-01-27", "Vegkart")</f>
        <v>Vegkart</v>
      </c>
      <c r="B4082">
        <v>579672934</v>
      </c>
      <c r="C4082">
        <v>144</v>
      </c>
      <c r="D4082" t="s">
        <v>13345</v>
      </c>
      <c r="E4082">
        <v>4820</v>
      </c>
      <c r="F4082" t="s">
        <v>23479</v>
      </c>
      <c r="G4082">
        <v>1</v>
      </c>
      <c r="H4082" t="s">
        <v>13758</v>
      </c>
      <c r="J4082" t="s">
        <v>13517</v>
      </c>
      <c r="K4082" t="s">
        <v>192</v>
      </c>
      <c r="L4082" t="s">
        <v>33</v>
      </c>
      <c r="M4082" t="s">
        <v>13759</v>
      </c>
      <c r="N4082" t="s">
        <v>13760</v>
      </c>
      <c r="O4082" t="s">
        <v>13761</v>
      </c>
      <c r="P4082" s="2" t="s">
        <v>37</v>
      </c>
      <c r="Q4082" t="s">
        <v>1208</v>
      </c>
      <c r="R4082">
        <v>9.1199999999999992</v>
      </c>
      <c r="S4082">
        <v>84.36</v>
      </c>
      <c r="T4082" t="s">
        <v>13762</v>
      </c>
    </row>
    <row r="4083" spans="1:20" x14ac:dyDescent="0.25">
      <c r="A4083" s="1" t="str">
        <f>HYPERLINK("https://vegkart.atlas.vegvesen.no/#/@236033.0,6583344.2,18/hva:hva%5B0%5D%5Bfilter%5D%5B0%5D%5Boperator%5D=%21%3D&amp;hva%5B0%5D%5Bfilter%5D%5B0%5D%5Btype_id%5D=4820&amp;hva%5B0%5D%5Bfilter%5D%5B0%5D%5Bverdi%5D=&amp;hva%5B0%5D%5Bid%5D=144/når:2014-12-19", "Vegkart")</f>
        <v>Vegkart</v>
      </c>
      <c r="B4083">
        <v>588312998</v>
      </c>
      <c r="C4083">
        <v>144</v>
      </c>
      <c r="D4083" t="s">
        <v>13345</v>
      </c>
      <c r="E4083">
        <v>4820</v>
      </c>
      <c r="F4083" t="s">
        <v>23479</v>
      </c>
      <c r="G4083">
        <v>1</v>
      </c>
      <c r="H4083" t="s">
        <v>13763</v>
      </c>
      <c r="J4083" t="s">
        <v>13517</v>
      </c>
      <c r="K4083" t="s">
        <v>81</v>
      </c>
      <c r="L4083" t="s">
        <v>80</v>
      </c>
      <c r="M4083" t="s">
        <v>53</v>
      </c>
      <c r="N4083" t="s">
        <v>13764</v>
      </c>
      <c r="O4083" t="s">
        <v>13765</v>
      </c>
      <c r="P4083" s="2" t="s">
        <v>67</v>
      </c>
      <c r="Q4083" t="s">
        <v>68</v>
      </c>
      <c r="R4083">
        <v>314.68</v>
      </c>
      <c r="S4083">
        <v>314.70999999999998</v>
      </c>
      <c r="T4083" t="s">
        <v>13766</v>
      </c>
    </row>
    <row r="4084" spans="1:20" x14ac:dyDescent="0.25">
      <c r="A4084" s="1" t="str">
        <f>HYPERLINK("https://vegkart.atlas.vegvesen.no/#/@235202.5,6582127.7,18/hva:hva%5B0%5D%5Bfilter%5D%5B0%5D%5Boperator%5D=%21%3D&amp;hva%5B0%5D%5Bfilter%5D%5B0%5D%5Btype_id%5D=4820&amp;hva%5B0%5D%5Bfilter%5D%5B0%5D%5Bverdi%5D=&amp;hva%5B0%5D%5Bid%5D=144/når:2014-12-19", "Vegkart")</f>
        <v>Vegkart</v>
      </c>
      <c r="B4084">
        <v>588313001</v>
      </c>
      <c r="C4084">
        <v>144</v>
      </c>
      <c r="D4084" t="s">
        <v>13345</v>
      </c>
      <c r="E4084">
        <v>4820</v>
      </c>
      <c r="F4084" t="s">
        <v>23479</v>
      </c>
      <c r="G4084">
        <v>1</v>
      </c>
      <c r="H4084" t="s">
        <v>13763</v>
      </c>
      <c r="J4084" t="s">
        <v>13517</v>
      </c>
      <c r="K4084" t="s">
        <v>81</v>
      </c>
      <c r="L4084" t="s">
        <v>80</v>
      </c>
      <c r="M4084" t="s">
        <v>53</v>
      </c>
      <c r="N4084" t="s">
        <v>13767</v>
      </c>
      <c r="O4084" t="s">
        <v>13768</v>
      </c>
      <c r="P4084" s="2" t="s">
        <v>67</v>
      </c>
      <c r="Q4084" t="s">
        <v>68</v>
      </c>
      <c r="R4084">
        <v>118.32</v>
      </c>
      <c r="S4084">
        <v>118.33</v>
      </c>
      <c r="T4084" t="s">
        <v>13769</v>
      </c>
    </row>
    <row r="4085" spans="1:20" x14ac:dyDescent="0.25">
      <c r="A4085" s="1" t="str">
        <f>HYPERLINK("https://vegkart.atlas.vegvesen.no/#/@719877.0,7693689.8,18/hva:hva%5B0%5D%5Bfilter%5D%5B0%5D%5Boperator%5D=%21%3D&amp;hva%5B0%5D%5Bfilter%5D%5B0%5D%5Btype_id%5D=4820&amp;hva%5B0%5D%5Bfilter%5D%5B0%5D%5Bverdi%5D=&amp;hva%5B0%5D%5Bid%5D=144/når:2015-03-20", "Vegkart")</f>
        <v>Vegkart</v>
      </c>
      <c r="B4085">
        <v>589328743</v>
      </c>
      <c r="C4085">
        <v>144</v>
      </c>
      <c r="D4085" t="s">
        <v>13345</v>
      </c>
      <c r="E4085">
        <v>4820</v>
      </c>
      <c r="F4085" t="s">
        <v>23479</v>
      </c>
      <c r="G4085">
        <v>1</v>
      </c>
      <c r="H4085" t="s">
        <v>13770</v>
      </c>
      <c r="J4085" t="s">
        <v>13771</v>
      </c>
      <c r="K4085" t="s">
        <v>179</v>
      </c>
      <c r="L4085" t="s">
        <v>80</v>
      </c>
      <c r="M4085" t="s">
        <v>180</v>
      </c>
      <c r="N4085" t="s">
        <v>13772</v>
      </c>
      <c r="O4085" t="s">
        <v>13773</v>
      </c>
      <c r="P4085" s="2" t="s">
        <v>37</v>
      </c>
      <c r="Q4085" t="s">
        <v>1208</v>
      </c>
      <c r="R4085">
        <v>2.9</v>
      </c>
      <c r="S4085">
        <v>746.65</v>
      </c>
      <c r="T4085" t="s">
        <v>13774</v>
      </c>
    </row>
    <row r="4086" spans="1:20" x14ac:dyDescent="0.25">
      <c r="A4086" s="1" t="str">
        <f>HYPERLINK("https://vegkart.atlas.vegvesen.no/#/@720346.3,7693162.4,18/hva:hva%5B0%5D%5Bfilter%5D%5B0%5D%5Boperator%5D=%21%3D&amp;hva%5B0%5D%5Bfilter%5D%5B0%5D%5Btype_id%5D=4820&amp;hva%5B0%5D%5Bfilter%5D%5B0%5D%5Bverdi%5D=&amp;hva%5B0%5D%5Bid%5D=144/når:2015-03-20", "Vegkart")</f>
        <v>Vegkart</v>
      </c>
      <c r="B4086">
        <v>589328744</v>
      </c>
      <c r="C4086">
        <v>144</v>
      </c>
      <c r="D4086" t="s">
        <v>13345</v>
      </c>
      <c r="E4086">
        <v>4820</v>
      </c>
      <c r="F4086" t="s">
        <v>23479</v>
      </c>
      <c r="G4086">
        <v>1</v>
      </c>
      <c r="H4086" t="s">
        <v>13770</v>
      </c>
      <c r="J4086" t="s">
        <v>13771</v>
      </c>
      <c r="K4086" t="s">
        <v>179</v>
      </c>
      <c r="L4086" t="s">
        <v>80</v>
      </c>
      <c r="M4086" t="s">
        <v>180</v>
      </c>
      <c r="N4086" t="s">
        <v>13775</v>
      </c>
      <c r="O4086" t="s">
        <v>13776</v>
      </c>
      <c r="P4086" s="2" t="s">
        <v>37</v>
      </c>
      <c r="Q4086" t="s">
        <v>1208</v>
      </c>
      <c r="R4086">
        <v>2.2000000000000002</v>
      </c>
      <c r="S4086">
        <v>12.38</v>
      </c>
      <c r="T4086" t="s">
        <v>13777</v>
      </c>
    </row>
    <row r="4087" spans="1:20" x14ac:dyDescent="0.25">
      <c r="A4087" s="1" t="str">
        <f>HYPERLINK("https://vegkart.atlas.vegvesen.no/#/@720113.8,7693534.1,18/hva:hva%5B0%5D%5Bfilter%5D%5B0%5D%5Boperator%5D=%21%3D&amp;hva%5B0%5D%5Bfilter%5D%5B0%5D%5Btype_id%5D=4820&amp;hva%5B0%5D%5Bfilter%5D%5B0%5D%5Bverdi%5D=&amp;hva%5B0%5D%5Bid%5D=144/når:2015-03-20", "Vegkart")</f>
        <v>Vegkart</v>
      </c>
      <c r="B4087">
        <v>589328745</v>
      </c>
      <c r="C4087">
        <v>144</v>
      </c>
      <c r="D4087" t="s">
        <v>13345</v>
      </c>
      <c r="E4087">
        <v>4820</v>
      </c>
      <c r="F4087" t="s">
        <v>23479</v>
      </c>
      <c r="G4087">
        <v>1</v>
      </c>
      <c r="H4087" t="s">
        <v>13770</v>
      </c>
      <c r="J4087" t="s">
        <v>13771</v>
      </c>
      <c r="K4087" t="s">
        <v>179</v>
      </c>
      <c r="L4087" t="s">
        <v>80</v>
      </c>
      <c r="M4087" t="s">
        <v>180</v>
      </c>
      <c r="N4087" t="s">
        <v>13778</v>
      </c>
      <c r="O4087" t="s">
        <v>13779</v>
      </c>
      <c r="P4087" s="2" t="s">
        <v>37</v>
      </c>
      <c r="Q4087" t="s">
        <v>1208</v>
      </c>
      <c r="R4087">
        <v>2.04</v>
      </c>
      <c r="S4087">
        <v>48.22</v>
      </c>
      <c r="T4087" t="s">
        <v>13780</v>
      </c>
    </row>
    <row r="4088" spans="1:20" x14ac:dyDescent="0.25">
      <c r="A4088" s="1" t="str">
        <f>HYPERLINK("https://vegkart.atlas.vegvesen.no/#/@719637.6,7693754.3,18/hva:hva%5B0%5D%5Bfilter%5D%5B0%5D%5Boperator%5D=%21%3D&amp;hva%5B0%5D%5Bfilter%5D%5B0%5D%5Btype_id%5D=4820&amp;hva%5B0%5D%5Bfilter%5D%5B0%5D%5Bverdi%5D=&amp;hva%5B0%5D%5Bid%5D=144/når:2015-03-20", "Vegkart")</f>
        <v>Vegkart</v>
      </c>
      <c r="B4088">
        <v>589328750</v>
      </c>
      <c r="C4088">
        <v>144</v>
      </c>
      <c r="D4088" t="s">
        <v>13345</v>
      </c>
      <c r="E4088">
        <v>4820</v>
      </c>
      <c r="F4088" t="s">
        <v>23479</v>
      </c>
      <c r="G4088">
        <v>1</v>
      </c>
      <c r="H4088" t="s">
        <v>13770</v>
      </c>
      <c r="J4088" t="s">
        <v>13771</v>
      </c>
      <c r="K4088" t="s">
        <v>179</v>
      </c>
      <c r="L4088" t="s">
        <v>80</v>
      </c>
      <c r="M4088" t="s">
        <v>180</v>
      </c>
      <c r="N4088" t="s">
        <v>13781</v>
      </c>
      <c r="O4088" t="s">
        <v>13782</v>
      </c>
      <c r="P4088" s="2" t="s">
        <v>37</v>
      </c>
      <c r="Q4088" t="s">
        <v>1208</v>
      </c>
      <c r="R4088">
        <v>2.31</v>
      </c>
      <c r="S4088">
        <v>28.32</v>
      </c>
      <c r="T4088" t="s">
        <v>13783</v>
      </c>
    </row>
    <row r="4089" spans="1:20" x14ac:dyDescent="0.25">
      <c r="A4089" s="1" t="str">
        <f>HYPERLINK("https://vegkart.atlas.vegvesen.no/#/@719367.6,7693880.5,18/hva:hva%5B0%5D%5Bfilter%5D%5B0%5D%5Boperator%5D=%21%3D&amp;hva%5B0%5D%5Bfilter%5D%5B0%5D%5Btype_id%5D=4820&amp;hva%5B0%5D%5Bfilter%5D%5B0%5D%5Bverdi%5D=&amp;hva%5B0%5D%5Bid%5D=144/når:2015-03-20", "Vegkart")</f>
        <v>Vegkart</v>
      </c>
      <c r="B4089">
        <v>589328751</v>
      </c>
      <c r="C4089">
        <v>144</v>
      </c>
      <c r="D4089" t="s">
        <v>13345</v>
      </c>
      <c r="E4089">
        <v>4820</v>
      </c>
      <c r="F4089" t="s">
        <v>23479</v>
      </c>
      <c r="G4089">
        <v>1</v>
      </c>
      <c r="H4089" t="s">
        <v>13770</v>
      </c>
      <c r="J4089" t="s">
        <v>13771</v>
      </c>
      <c r="K4089" t="s">
        <v>179</v>
      </c>
      <c r="L4089" t="s">
        <v>80</v>
      </c>
      <c r="M4089" t="s">
        <v>180</v>
      </c>
      <c r="N4089" t="s">
        <v>13784</v>
      </c>
      <c r="O4089" t="s">
        <v>13785</v>
      </c>
      <c r="P4089" s="2" t="s">
        <v>37</v>
      </c>
      <c r="Q4089" t="s">
        <v>1208</v>
      </c>
      <c r="R4089">
        <v>2.62</v>
      </c>
      <c r="S4089">
        <v>20.149999999999999</v>
      </c>
      <c r="T4089" t="s">
        <v>13786</v>
      </c>
    </row>
    <row r="4090" spans="1:20" x14ac:dyDescent="0.25">
      <c r="A4090" s="1" t="str">
        <f>HYPERLINK("https://vegkart.atlas.vegvesen.no/#/@718474.1,7694239.9,18/hva:hva%5B0%5D%5Bfilter%5D%5B0%5D%5Boperator%5D=%21%3D&amp;hva%5B0%5D%5Bfilter%5D%5B0%5D%5Btype_id%5D=4820&amp;hva%5B0%5D%5Bfilter%5D%5B0%5D%5Bverdi%5D=&amp;hva%5B0%5D%5Bid%5D=144/når:2015-03-20", "Vegkart")</f>
        <v>Vegkart</v>
      </c>
      <c r="B4090">
        <v>589328756</v>
      </c>
      <c r="C4090">
        <v>144</v>
      </c>
      <c r="D4090" t="s">
        <v>13345</v>
      </c>
      <c r="E4090">
        <v>4820</v>
      </c>
      <c r="F4090" t="s">
        <v>23479</v>
      </c>
      <c r="G4090">
        <v>1</v>
      </c>
      <c r="H4090" t="s">
        <v>13770</v>
      </c>
      <c r="J4090" t="s">
        <v>13771</v>
      </c>
      <c r="K4090" t="s">
        <v>179</v>
      </c>
      <c r="L4090" t="s">
        <v>80</v>
      </c>
      <c r="M4090" t="s">
        <v>180</v>
      </c>
      <c r="N4090" t="s">
        <v>13787</v>
      </c>
      <c r="O4090" t="s">
        <v>13788</v>
      </c>
      <c r="P4090" s="2" t="s">
        <v>37</v>
      </c>
      <c r="Q4090" t="s">
        <v>1208</v>
      </c>
      <c r="R4090">
        <v>2.15</v>
      </c>
      <c r="S4090">
        <v>24.72</v>
      </c>
      <c r="T4090" t="s">
        <v>13789</v>
      </c>
    </row>
    <row r="4091" spans="1:20" x14ac:dyDescent="0.25">
      <c r="A4091" s="1" t="str">
        <f>HYPERLINK("https://vegkart.atlas.vegvesen.no/#/@715546.4,7695783.0,18/hva:hva%5B0%5D%5Bfilter%5D%5B0%5D%5Boperator%5D=%21%3D&amp;hva%5B0%5D%5Bfilter%5D%5B0%5D%5Btype_id%5D=4820&amp;hva%5B0%5D%5Bfilter%5D%5B0%5D%5Bverdi%5D=&amp;hva%5B0%5D%5Bid%5D=144/når:2015-03-20", "Vegkart")</f>
        <v>Vegkart</v>
      </c>
      <c r="B4091">
        <v>589328770</v>
      </c>
      <c r="C4091">
        <v>144</v>
      </c>
      <c r="D4091" t="s">
        <v>13345</v>
      </c>
      <c r="E4091">
        <v>4820</v>
      </c>
      <c r="F4091" t="s">
        <v>23479</v>
      </c>
      <c r="G4091">
        <v>1</v>
      </c>
      <c r="H4091" t="s">
        <v>13770</v>
      </c>
      <c r="J4091" t="s">
        <v>13771</v>
      </c>
      <c r="K4091" t="s">
        <v>179</v>
      </c>
      <c r="L4091" t="s">
        <v>80</v>
      </c>
      <c r="M4091" t="s">
        <v>180</v>
      </c>
      <c r="N4091" t="s">
        <v>13790</v>
      </c>
      <c r="O4091" t="s">
        <v>13791</v>
      </c>
      <c r="P4091" s="2" t="s">
        <v>37</v>
      </c>
      <c r="Q4091" t="s">
        <v>1208</v>
      </c>
      <c r="R4091">
        <v>2.0299999999999998</v>
      </c>
      <c r="S4091">
        <v>11.83</v>
      </c>
      <c r="T4091" t="s">
        <v>13792</v>
      </c>
    </row>
    <row r="4092" spans="1:20" x14ac:dyDescent="0.25">
      <c r="A4092" s="1" t="str">
        <f>HYPERLINK("https://vegkart.atlas.vegvesen.no/#/@348892.5,6752876.1,18/hva:hva%5B0%5D%5Bfilter%5D%5B0%5D%5Boperator%5D=%21%3D&amp;hva%5B0%5D%5Bfilter%5D%5B0%5D%5Btype_id%5D=4820&amp;hva%5B0%5D%5Bfilter%5D%5B0%5D%5Bverdi%5D=&amp;hva%5B0%5D%5Bid%5D=144/når:2015-04-07", "Vegkart")</f>
        <v>Vegkart</v>
      </c>
      <c r="B4092">
        <v>590485729</v>
      </c>
      <c r="C4092">
        <v>144</v>
      </c>
      <c r="D4092" t="s">
        <v>13345</v>
      </c>
      <c r="E4092">
        <v>4820</v>
      </c>
      <c r="F4092" t="s">
        <v>23479</v>
      </c>
      <c r="G4092">
        <v>1</v>
      </c>
      <c r="H4092" t="s">
        <v>13793</v>
      </c>
      <c r="J4092" t="s">
        <v>13771</v>
      </c>
      <c r="K4092" t="s">
        <v>136</v>
      </c>
      <c r="L4092" t="s">
        <v>33</v>
      </c>
      <c r="M4092" t="s">
        <v>13794</v>
      </c>
      <c r="N4092" t="s">
        <v>13795</v>
      </c>
      <c r="O4092" t="s">
        <v>13796</v>
      </c>
      <c r="P4092" s="2" t="s">
        <v>37</v>
      </c>
      <c r="Q4092" t="s">
        <v>1208</v>
      </c>
      <c r="R4092">
        <v>0.64</v>
      </c>
      <c r="S4092">
        <v>0.74</v>
      </c>
      <c r="T4092" t="s">
        <v>13797</v>
      </c>
    </row>
    <row r="4093" spans="1:20" x14ac:dyDescent="0.25">
      <c r="A4093" s="1" t="str">
        <f>HYPERLINK("https://vegkart.atlas.vegvesen.no/#/@348892.1,6752876.4,18/hva:hva%5B0%5D%5Bfilter%5D%5B0%5D%5Boperator%5D=%21%3D&amp;hva%5B0%5D%5Bfilter%5D%5B0%5D%5Btype_id%5D=4820&amp;hva%5B0%5D%5Bfilter%5D%5B0%5D%5Bverdi%5D=&amp;hva%5B0%5D%5Bid%5D=144/når:2015-04-07", "Vegkart")</f>
        <v>Vegkart</v>
      </c>
      <c r="B4093">
        <v>590485730</v>
      </c>
      <c r="C4093">
        <v>144</v>
      </c>
      <c r="D4093" t="s">
        <v>13345</v>
      </c>
      <c r="E4093">
        <v>4820</v>
      </c>
      <c r="F4093" t="s">
        <v>23479</v>
      </c>
      <c r="G4093">
        <v>1</v>
      </c>
      <c r="H4093" t="s">
        <v>13793</v>
      </c>
      <c r="J4093" t="s">
        <v>13771</v>
      </c>
      <c r="K4093" t="s">
        <v>136</v>
      </c>
      <c r="L4093" t="s">
        <v>33</v>
      </c>
      <c r="M4093" t="s">
        <v>13794</v>
      </c>
      <c r="N4093" t="s">
        <v>13795</v>
      </c>
      <c r="O4093" t="s">
        <v>13798</v>
      </c>
      <c r="P4093" s="2" t="s">
        <v>37</v>
      </c>
      <c r="Q4093" t="s">
        <v>1208</v>
      </c>
      <c r="R4093">
        <v>0.63</v>
      </c>
      <c r="S4093">
        <v>0.73</v>
      </c>
      <c r="T4093" t="s">
        <v>13799</v>
      </c>
    </row>
    <row r="4094" spans="1:20" x14ac:dyDescent="0.25">
      <c r="A4094" s="1" t="str">
        <f>HYPERLINK("https://vegkart.atlas.vegvesen.no/#/@348892.6,6752876.6,18/hva:hva%5B0%5D%5Bfilter%5D%5B0%5D%5Boperator%5D=%21%3D&amp;hva%5B0%5D%5Bfilter%5D%5B0%5D%5Btype_id%5D=4820&amp;hva%5B0%5D%5Bfilter%5D%5B0%5D%5Bverdi%5D=&amp;hva%5B0%5D%5Bid%5D=144/når:2015-04-07", "Vegkart")</f>
        <v>Vegkart</v>
      </c>
      <c r="B4094">
        <v>590485731</v>
      </c>
      <c r="C4094">
        <v>144</v>
      </c>
      <c r="D4094" t="s">
        <v>13345</v>
      </c>
      <c r="E4094">
        <v>4820</v>
      </c>
      <c r="F4094" t="s">
        <v>23479</v>
      </c>
      <c r="G4094">
        <v>1</v>
      </c>
      <c r="H4094" t="s">
        <v>13793</v>
      </c>
      <c r="J4094" t="s">
        <v>13771</v>
      </c>
      <c r="K4094" t="s">
        <v>136</v>
      </c>
      <c r="L4094" t="s">
        <v>33</v>
      </c>
      <c r="M4094" t="s">
        <v>13794</v>
      </c>
      <c r="N4094" t="s">
        <v>13800</v>
      </c>
      <c r="O4094" t="s">
        <v>13801</v>
      </c>
      <c r="P4094" s="2" t="s">
        <v>37</v>
      </c>
      <c r="Q4094" t="s">
        <v>1208</v>
      </c>
      <c r="R4094">
        <v>0.63</v>
      </c>
      <c r="S4094">
        <v>0.73</v>
      </c>
      <c r="T4094" t="s">
        <v>13802</v>
      </c>
    </row>
    <row r="4095" spans="1:20" x14ac:dyDescent="0.25">
      <c r="A4095" s="1" t="str">
        <f>HYPERLINK("https://vegkart.atlas.vegvesen.no/#/@341927.7,6748114.7,18/hva:hva%5B0%5D%5Bfilter%5D%5B0%5D%5Boperator%5D=%21%3D&amp;hva%5B0%5D%5Bfilter%5D%5B0%5D%5Btype_id%5D=4820&amp;hva%5B0%5D%5Bfilter%5D%5B0%5D%5Bverdi%5D=&amp;hva%5B0%5D%5Bid%5D=144/når:2015-04-07", "Vegkart")</f>
        <v>Vegkart</v>
      </c>
      <c r="B4095">
        <v>590485871</v>
      </c>
      <c r="C4095">
        <v>144</v>
      </c>
      <c r="D4095" t="s">
        <v>13345</v>
      </c>
      <c r="E4095">
        <v>4820</v>
      </c>
      <c r="F4095" t="s">
        <v>23479</v>
      </c>
      <c r="G4095">
        <v>1</v>
      </c>
      <c r="H4095" t="s">
        <v>13793</v>
      </c>
      <c r="J4095" t="s">
        <v>13771</v>
      </c>
      <c r="K4095" t="s">
        <v>136</v>
      </c>
      <c r="L4095" t="s">
        <v>33</v>
      </c>
      <c r="M4095" t="s">
        <v>13794</v>
      </c>
      <c r="N4095" t="s">
        <v>13803</v>
      </c>
      <c r="O4095" t="s">
        <v>13804</v>
      </c>
      <c r="P4095" s="2" t="s">
        <v>165</v>
      </c>
      <c r="Q4095" t="s">
        <v>641</v>
      </c>
      <c r="R4095">
        <v>0</v>
      </c>
      <c r="S4095">
        <v>22.45</v>
      </c>
      <c r="T4095" t="s">
        <v>167</v>
      </c>
    </row>
    <row r="4096" spans="1:20" x14ac:dyDescent="0.25">
      <c r="A4096" s="1" t="str">
        <f>HYPERLINK("https://vegkart.atlas.vegvesen.no/#/@343127.1,6748440.3,18/hva:hva%5B0%5D%5Bfilter%5D%5B0%5D%5Boperator%5D=%21%3D&amp;hva%5B0%5D%5Bfilter%5D%5B0%5D%5Btype_id%5D=4820&amp;hva%5B0%5D%5Bfilter%5D%5B0%5D%5Bverdi%5D=&amp;hva%5B0%5D%5Bid%5D=144/når:2015-04-07", "Vegkart")</f>
        <v>Vegkart</v>
      </c>
      <c r="B4096">
        <v>590485893</v>
      </c>
      <c r="C4096">
        <v>144</v>
      </c>
      <c r="D4096" t="s">
        <v>13345</v>
      </c>
      <c r="E4096">
        <v>4820</v>
      </c>
      <c r="F4096" t="s">
        <v>23479</v>
      </c>
      <c r="G4096">
        <v>1</v>
      </c>
      <c r="H4096" t="s">
        <v>13793</v>
      </c>
      <c r="J4096" t="s">
        <v>13771</v>
      </c>
      <c r="K4096" t="s">
        <v>136</v>
      </c>
      <c r="L4096" t="s">
        <v>33</v>
      </c>
      <c r="M4096" t="s">
        <v>13794</v>
      </c>
      <c r="N4096" t="s">
        <v>13805</v>
      </c>
      <c r="O4096" t="s">
        <v>13806</v>
      </c>
      <c r="P4096" s="2" t="s">
        <v>37</v>
      </c>
      <c r="Q4096" t="s">
        <v>1208</v>
      </c>
      <c r="R4096">
        <v>0.85</v>
      </c>
      <c r="S4096">
        <v>0.97</v>
      </c>
      <c r="T4096" t="s">
        <v>13807</v>
      </c>
    </row>
    <row r="4097" spans="1:20" x14ac:dyDescent="0.25">
      <c r="A4097" s="1" t="str">
        <f>HYPERLINK("https://vegkart.atlas.vegvesen.no/#/@343126.6,6748440.7,18/hva:hva%5B0%5D%5Bfilter%5D%5B0%5D%5Boperator%5D=%21%3D&amp;hva%5B0%5D%5Bfilter%5D%5B0%5D%5Btype_id%5D=4820&amp;hva%5B0%5D%5Bfilter%5D%5B0%5D%5Bverdi%5D=&amp;hva%5B0%5D%5Bid%5D=144/når:2015-04-07", "Vegkart")</f>
        <v>Vegkart</v>
      </c>
      <c r="B4097">
        <v>590485894</v>
      </c>
      <c r="C4097">
        <v>144</v>
      </c>
      <c r="D4097" t="s">
        <v>13345</v>
      </c>
      <c r="E4097">
        <v>4820</v>
      </c>
      <c r="F4097" t="s">
        <v>23479</v>
      </c>
      <c r="G4097">
        <v>1</v>
      </c>
      <c r="H4097" t="s">
        <v>13793</v>
      </c>
      <c r="J4097" t="s">
        <v>13771</v>
      </c>
      <c r="K4097" t="s">
        <v>136</v>
      </c>
      <c r="L4097" t="s">
        <v>33</v>
      </c>
      <c r="M4097" t="s">
        <v>13794</v>
      </c>
      <c r="N4097" t="s">
        <v>13805</v>
      </c>
      <c r="O4097" t="s">
        <v>13808</v>
      </c>
      <c r="P4097" s="2" t="s">
        <v>37</v>
      </c>
      <c r="Q4097" t="s">
        <v>1208</v>
      </c>
      <c r="R4097">
        <v>0.85</v>
      </c>
      <c r="S4097">
        <v>0.98</v>
      </c>
      <c r="T4097" t="s">
        <v>13809</v>
      </c>
    </row>
    <row r="4098" spans="1:20" x14ac:dyDescent="0.25">
      <c r="A4098" s="1" t="str">
        <f>HYPERLINK("https://vegkart.atlas.vegvesen.no/#/@343127.2,6748441.0,18/hva:hva%5B0%5D%5Bfilter%5D%5B0%5D%5Boperator%5D=%21%3D&amp;hva%5B0%5D%5Bfilter%5D%5B0%5D%5Btype_id%5D=4820&amp;hva%5B0%5D%5Bfilter%5D%5B0%5D%5Bverdi%5D=&amp;hva%5B0%5D%5Bid%5D=144/når:2015-04-07", "Vegkart")</f>
        <v>Vegkart</v>
      </c>
      <c r="B4098">
        <v>590485895</v>
      </c>
      <c r="C4098">
        <v>144</v>
      </c>
      <c r="D4098" t="s">
        <v>13345</v>
      </c>
      <c r="E4098">
        <v>4820</v>
      </c>
      <c r="F4098" t="s">
        <v>23479</v>
      </c>
      <c r="G4098">
        <v>1</v>
      </c>
      <c r="H4098" t="s">
        <v>13793</v>
      </c>
      <c r="J4098" t="s">
        <v>13771</v>
      </c>
      <c r="K4098" t="s">
        <v>136</v>
      </c>
      <c r="L4098" t="s">
        <v>33</v>
      </c>
      <c r="M4098" t="s">
        <v>13794</v>
      </c>
      <c r="N4098" t="s">
        <v>13805</v>
      </c>
      <c r="O4098" t="s">
        <v>13810</v>
      </c>
      <c r="P4098" s="2" t="s">
        <v>37</v>
      </c>
      <c r="Q4098" t="s">
        <v>1208</v>
      </c>
      <c r="R4098">
        <v>0.85</v>
      </c>
      <c r="S4098">
        <v>0.99</v>
      </c>
      <c r="T4098" t="s">
        <v>13811</v>
      </c>
    </row>
    <row r="4099" spans="1:20" x14ac:dyDescent="0.25">
      <c r="A4099" s="1" t="str">
        <f>HYPERLINK("https://vegkart.atlas.vegvesen.no/#/@212072.1,6554759.0,18/hva:hva%5B0%5D%5Bfilter%5D%5B0%5D%5Boperator%5D=%21%3D&amp;hva%5B0%5D%5Bfilter%5D%5B0%5D%5Btype_id%5D=4820&amp;hva%5B0%5D%5Bfilter%5D%5B0%5D%5Bverdi%5D=&amp;hva%5B0%5D%5Bid%5D=144/når:2022-07-13", "Vegkart")</f>
        <v>Vegkart</v>
      </c>
      <c r="B4099">
        <v>591262619</v>
      </c>
      <c r="C4099">
        <v>144</v>
      </c>
      <c r="D4099" t="s">
        <v>13345</v>
      </c>
      <c r="E4099">
        <v>4820</v>
      </c>
      <c r="F4099" t="s">
        <v>23479</v>
      </c>
      <c r="G4099">
        <v>2</v>
      </c>
      <c r="H4099" t="s">
        <v>2139</v>
      </c>
      <c r="J4099" t="s">
        <v>13771</v>
      </c>
      <c r="K4099" t="s">
        <v>81</v>
      </c>
      <c r="L4099" t="s">
        <v>33</v>
      </c>
      <c r="M4099" t="s">
        <v>4576</v>
      </c>
      <c r="N4099" t="s">
        <v>13812</v>
      </c>
      <c r="O4099" t="s">
        <v>13813</v>
      </c>
      <c r="P4099" s="2" t="s">
        <v>67</v>
      </c>
      <c r="Q4099" t="s">
        <v>68</v>
      </c>
      <c r="R4099">
        <v>227.53</v>
      </c>
      <c r="S4099">
        <v>230.79</v>
      </c>
      <c r="T4099" t="s">
        <v>13814</v>
      </c>
    </row>
    <row r="4100" spans="1:20" x14ac:dyDescent="0.25">
      <c r="A4100" s="1" t="str">
        <f>HYPERLINK("https://vegkart.atlas.vegvesen.no/#/@295555.4,7045930.3,18/hva:hva%5B0%5D%5Bfilter%5D%5B0%5D%5Boperator%5D=%21%3D&amp;hva%5B0%5D%5Bfilter%5D%5B0%5D%5Btype_id%5D=4820&amp;hva%5B0%5D%5Bfilter%5D%5B0%5D%5Bverdi%5D=&amp;hva%5B0%5D%5Bid%5D=144/når:2015-04-24", "Vegkart")</f>
        <v>Vegkart</v>
      </c>
      <c r="B4100">
        <v>592355197</v>
      </c>
      <c r="C4100">
        <v>144</v>
      </c>
      <c r="D4100" t="s">
        <v>13345</v>
      </c>
      <c r="E4100">
        <v>4820</v>
      </c>
      <c r="F4100" t="s">
        <v>23479</v>
      </c>
      <c r="G4100">
        <v>1</v>
      </c>
      <c r="H4100" t="s">
        <v>6447</v>
      </c>
      <c r="J4100" t="s">
        <v>13771</v>
      </c>
      <c r="K4100" t="s">
        <v>192</v>
      </c>
      <c r="L4100" t="s">
        <v>80</v>
      </c>
      <c r="M4100" t="s">
        <v>105</v>
      </c>
      <c r="N4100" t="s">
        <v>13815</v>
      </c>
      <c r="O4100" t="s">
        <v>13816</v>
      </c>
      <c r="P4100" s="2" t="s">
        <v>67</v>
      </c>
      <c r="Q4100" t="s">
        <v>68</v>
      </c>
      <c r="R4100">
        <v>16.5</v>
      </c>
      <c r="S4100">
        <v>16.5</v>
      </c>
      <c r="T4100" t="s">
        <v>13817</v>
      </c>
    </row>
    <row r="4101" spans="1:20" x14ac:dyDescent="0.25">
      <c r="A4101" s="1" t="str">
        <f>HYPERLINK("https://vegkart.atlas.vegvesen.no/#/@295178.5,7046800.3,18/hva:hva%5B0%5D%5Bfilter%5D%5B0%5D%5Boperator%5D=%21%3D&amp;hva%5B0%5D%5Bfilter%5D%5B0%5D%5Btype_id%5D=4820&amp;hva%5B0%5D%5Bfilter%5D%5B0%5D%5Bverdi%5D=&amp;hva%5B0%5D%5Bid%5D=144/når:2024-05-06", "Vegkart")</f>
        <v>Vegkart</v>
      </c>
      <c r="B4101">
        <v>592355198</v>
      </c>
      <c r="C4101">
        <v>144</v>
      </c>
      <c r="D4101" t="s">
        <v>13345</v>
      </c>
      <c r="E4101">
        <v>4820</v>
      </c>
      <c r="F4101" t="s">
        <v>23479</v>
      </c>
      <c r="G4101">
        <v>2</v>
      </c>
      <c r="H4101" t="s">
        <v>13818</v>
      </c>
      <c r="J4101" t="s">
        <v>13771</v>
      </c>
      <c r="K4101" t="s">
        <v>192</v>
      </c>
      <c r="L4101" t="s">
        <v>6333</v>
      </c>
      <c r="M4101" t="s">
        <v>13819</v>
      </c>
      <c r="N4101" t="s">
        <v>13820</v>
      </c>
      <c r="O4101" t="s">
        <v>13821</v>
      </c>
      <c r="P4101" s="2" t="s">
        <v>67</v>
      </c>
      <c r="Q4101" t="s">
        <v>68</v>
      </c>
      <c r="R4101">
        <v>15.62</v>
      </c>
      <c r="S4101">
        <v>15.62</v>
      </c>
      <c r="T4101" t="s">
        <v>13822</v>
      </c>
    </row>
    <row r="4102" spans="1:20" x14ac:dyDescent="0.25">
      <c r="A4102" s="1" t="str">
        <f>HYPERLINK("https://vegkart.atlas.vegvesen.no/#/@295771.2,7045637.3,18/hva:hva%5B0%5D%5Bfilter%5D%5B0%5D%5Boperator%5D=%21%3D&amp;hva%5B0%5D%5Bfilter%5D%5B0%5D%5Btype_id%5D=4820&amp;hva%5B0%5D%5Bfilter%5D%5B0%5D%5Bverdi%5D=&amp;hva%5B0%5D%5Bid%5D=144/når:2015-04-24", "Vegkart")</f>
        <v>Vegkart</v>
      </c>
      <c r="B4102">
        <v>592368454</v>
      </c>
      <c r="C4102">
        <v>144</v>
      </c>
      <c r="D4102" t="s">
        <v>13345</v>
      </c>
      <c r="E4102">
        <v>4820</v>
      </c>
      <c r="F4102" t="s">
        <v>23479</v>
      </c>
      <c r="G4102">
        <v>1</v>
      </c>
      <c r="H4102" t="s">
        <v>6447</v>
      </c>
      <c r="J4102" t="s">
        <v>13771</v>
      </c>
      <c r="K4102" t="s">
        <v>192</v>
      </c>
      <c r="L4102" t="s">
        <v>80</v>
      </c>
      <c r="M4102" t="s">
        <v>105</v>
      </c>
      <c r="N4102" t="s">
        <v>13823</v>
      </c>
      <c r="O4102" t="s">
        <v>13824</v>
      </c>
      <c r="P4102" s="2" t="s">
        <v>67</v>
      </c>
      <c r="Q4102" t="s">
        <v>68</v>
      </c>
      <c r="R4102">
        <v>17.39</v>
      </c>
      <c r="S4102">
        <v>17.39</v>
      </c>
      <c r="T4102" t="s">
        <v>13825</v>
      </c>
    </row>
    <row r="4103" spans="1:20" x14ac:dyDescent="0.25">
      <c r="A4103" s="1" t="str">
        <f>HYPERLINK("https://vegkart.atlas.vegvesen.no/#/@295178.5,7046800.3,18/hva:hva%5B0%5D%5Bfilter%5D%5B0%5D%5Boperator%5D=%21%3D&amp;hva%5B0%5D%5Bfilter%5D%5B0%5D%5Btype_id%5D=4820&amp;hva%5B0%5D%5Bfilter%5D%5B0%5D%5Bverdi%5D=&amp;hva%5B0%5D%5Bid%5D=144/når:2024-05-06", "Vegkart")</f>
        <v>Vegkart</v>
      </c>
      <c r="B4103">
        <v>592368456</v>
      </c>
      <c r="C4103">
        <v>144</v>
      </c>
      <c r="D4103" t="s">
        <v>13345</v>
      </c>
      <c r="E4103">
        <v>4820</v>
      </c>
      <c r="F4103" t="s">
        <v>23479</v>
      </c>
      <c r="G4103">
        <v>2</v>
      </c>
      <c r="H4103" t="s">
        <v>13818</v>
      </c>
      <c r="J4103" t="s">
        <v>13771</v>
      </c>
      <c r="K4103" t="s">
        <v>192</v>
      </c>
      <c r="L4103" t="s">
        <v>6333</v>
      </c>
      <c r="M4103" t="s">
        <v>13819</v>
      </c>
      <c r="N4103" t="s">
        <v>13820</v>
      </c>
      <c r="O4103" t="s">
        <v>13821</v>
      </c>
      <c r="P4103" s="2" t="s">
        <v>67</v>
      </c>
      <c r="Q4103" t="s">
        <v>68</v>
      </c>
      <c r="R4103">
        <v>15.62</v>
      </c>
      <c r="S4103">
        <v>15.62</v>
      </c>
      <c r="T4103" t="s">
        <v>13822</v>
      </c>
    </row>
    <row r="4104" spans="1:20" x14ac:dyDescent="0.25">
      <c r="A4104" s="1" t="str">
        <f>HYPERLINK("https://vegkart.atlas.vegvesen.no/#/@295158.7,7046801.6,18/hva:hva%5B0%5D%5Bfilter%5D%5B0%5D%5Boperator%5D=%21%3D&amp;hva%5B0%5D%5Bfilter%5D%5B0%5D%5Btype_id%5D=4820&amp;hva%5B0%5D%5Bfilter%5D%5B0%5D%5Bverdi%5D=&amp;hva%5B0%5D%5Bid%5D=144/når:2015-04-24", "Vegkart")</f>
        <v>Vegkart</v>
      </c>
      <c r="B4104">
        <v>592368457</v>
      </c>
      <c r="C4104">
        <v>144</v>
      </c>
      <c r="D4104" t="s">
        <v>13345</v>
      </c>
      <c r="E4104">
        <v>4820</v>
      </c>
      <c r="F4104" t="s">
        <v>23479</v>
      </c>
      <c r="G4104">
        <v>1</v>
      </c>
      <c r="H4104" t="s">
        <v>6447</v>
      </c>
      <c r="J4104" t="s">
        <v>13771</v>
      </c>
      <c r="K4104" t="s">
        <v>192</v>
      </c>
      <c r="L4104" t="s">
        <v>80</v>
      </c>
      <c r="M4104" t="s">
        <v>105</v>
      </c>
      <c r="N4104" t="s">
        <v>13826</v>
      </c>
      <c r="O4104" t="s">
        <v>13827</v>
      </c>
      <c r="P4104" s="2" t="s">
        <v>67</v>
      </c>
      <c r="Q4104" t="s">
        <v>68</v>
      </c>
      <c r="R4104">
        <v>22.06</v>
      </c>
      <c r="S4104">
        <v>22.06</v>
      </c>
      <c r="T4104" t="s">
        <v>13828</v>
      </c>
    </row>
    <row r="4105" spans="1:20" x14ac:dyDescent="0.25">
      <c r="A4105" s="1" t="str">
        <f>HYPERLINK("https://vegkart.atlas.vegvesen.no/#/@295541.4,7045916.8,18/hva:hva%5B0%5D%5Bfilter%5D%5B0%5D%5Boperator%5D=%21%3D&amp;hva%5B0%5D%5Bfilter%5D%5B0%5D%5Btype_id%5D=4820&amp;hva%5B0%5D%5Bfilter%5D%5B0%5D%5Bverdi%5D=&amp;hva%5B0%5D%5Bid%5D=144/når:2015-04-24", "Vegkart")</f>
        <v>Vegkart</v>
      </c>
      <c r="B4105">
        <v>592368458</v>
      </c>
      <c r="C4105">
        <v>144</v>
      </c>
      <c r="D4105" t="s">
        <v>13345</v>
      </c>
      <c r="E4105">
        <v>4820</v>
      </c>
      <c r="F4105" t="s">
        <v>23479</v>
      </c>
      <c r="G4105">
        <v>1</v>
      </c>
      <c r="H4105" t="s">
        <v>6447</v>
      </c>
      <c r="J4105" t="s">
        <v>13771</v>
      </c>
      <c r="K4105" t="s">
        <v>192</v>
      </c>
      <c r="L4105" t="s">
        <v>80</v>
      </c>
      <c r="M4105" t="s">
        <v>105</v>
      </c>
      <c r="N4105" t="s">
        <v>13829</v>
      </c>
      <c r="O4105" t="s">
        <v>13830</v>
      </c>
      <c r="P4105" s="2" t="s">
        <v>67</v>
      </c>
      <c r="Q4105" t="s">
        <v>68</v>
      </c>
      <c r="R4105">
        <v>16.47</v>
      </c>
      <c r="S4105">
        <v>16.47</v>
      </c>
      <c r="T4105" t="s">
        <v>13831</v>
      </c>
    </row>
    <row r="4106" spans="1:20" x14ac:dyDescent="0.25">
      <c r="A4106" s="1" t="str">
        <f>HYPERLINK("https://vegkart.atlas.vegvesen.no/#/@295754.7,7045627.2,18/hva:hva%5B0%5D%5Bfilter%5D%5B0%5D%5Boperator%5D=%21%3D&amp;hva%5B0%5D%5Bfilter%5D%5B0%5D%5Btype_id%5D=4820&amp;hva%5B0%5D%5Bfilter%5D%5B0%5D%5Bverdi%5D=&amp;hva%5B0%5D%5Bid%5D=144/når:2015-04-24", "Vegkart")</f>
        <v>Vegkart</v>
      </c>
      <c r="B4106">
        <v>592368459</v>
      </c>
      <c r="C4106">
        <v>144</v>
      </c>
      <c r="D4106" t="s">
        <v>13345</v>
      </c>
      <c r="E4106">
        <v>4820</v>
      </c>
      <c r="F4106" t="s">
        <v>23479</v>
      </c>
      <c r="G4106">
        <v>1</v>
      </c>
      <c r="H4106" t="s">
        <v>6447</v>
      </c>
      <c r="J4106" t="s">
        <v>13771</v>
      </c>
      <c r="K4106" t="s">
        <v>192</v>
      </c>
      <c r="L4106" t="s">
        <v>80</v>
      </c>
      <c r="M4106" t="s">
        <v>105</v>
      </c>
      <c r="N4106" t="s">
        <v>13832</v>
      </c>
      <c r="O4106" t="s">
        <v>13833</v>
      </c>
      <c r="P4106" s="2" t="s">
        <v>67</v>
      </c>
      <c r="Q4106" t="s">
        <v>68</v>
      </c>
      <c r="R4106">
        <v>16.190000000000001</v>
      </c>
      <c r="S4106">
        <v>16.190000000000001</v>
      </c>
      <c r="T4106" t="s">
        <v>13834</v>
      </c>
    </row>
    <row r="4107" spans="1:20" x14ac:dyDescent="0.25">
      <c r="A4107" s="1" t="str">
        <f>HYPERLINK("https://vegkart.atlas.vegvesen.no/#/@47335.9,6913217.4,18/hva:hva%5B0%5D%5Bfilter%5D%5B0%5D%5Boperator%5D=%21%3D&amp;hva%5B0%5D%5Bfilter%5D%5B0%5D%5Btype_id%5D=4820&amp;hva%5B0%5D%5Bfilter%5D%5B0%5D%5Bverdi%5D=&amp;hva%5B0%5D%5Bid%5D=144/når:2015-04-27", "Vegkart")</f>
        <v>Vegkart</v>
      </c>
      <c r="B4107">
        <v>592568079</v>
      </c>
      <c r="C4107">
        <v>144</v>
      </c>
      <c r="D4107" t="s">
        <v>13345</v>
      </c>
      <c r="E4107">
        <v>4820</v>
      </c>
      <c r="F4107" t="s">
        <v>23479</v>
      </c>
      <c r="G4107">
        <v>1</v>
      </c>
      <c r="H4107" t="s">
        <v>13835</v>
      </c>
      <c r="J4107" t="s">
        <v>13771</v>
      </c>
      <c r="K4107" t="s">
        <v>32</v>
      </c>
      <c r="L4107" t="s">
        <v>80</v>
      </c>
      <c r="M4107" t="s">
        <v>81</v>
      </c>
      <c r="N4107" t="s">
        <v>13836</v>
      </c>
      <c r="O4107" t="s">
        <v>13837</v>
      </c>
      <c r="P4107" s="2" t="s">
        <v>37</v>
      </c>
      <c r="Q4107" t="s">
        <v>1208</v>
      </c>
      <c r="R4107">
        <v>2.16</v>
      </c>
      <c r="S4107">
        <v>27.53</v>
      </c>
      <c r="T4107" t="s">
        <v>13838</v>
      </c>
    </row>
    <row r="4108" spans="1:20" x14ac:dyDescent="0.25">
      <c r="A4108" s="1" t="str">
        <f>HYPERLINK("https://vegkart.atlas.vegvesen.no/#/@47307.8,6913281.1,18/hva:hva%5B0%5D%5Bfilter%5D%5B0%5D%5Boperator%5D=%21%3D&amp;hva%5B0%5D%5Bfilter%5D%5B0%5D%5Btype_id%5D=4820&amp;hva%5B0%5D%5Bfilter%5D%5B0%5D%5Bverdi%5D=&amp;hva%5B0%5D%5Bid%5D=144/når:2015-04-27", "Vegkart")</f>
        <v>Vegkart</v>
      </c>
      <c r="B4108">
        <v>592568080</v>
      </c>
      <c r="C4108">
        <v>144</v>
      </c>
      <c r="D4108" t="s">
        <v>13345</v>
      </c>
      <c r="E4108">
        <v>4820</v>
      </c>
      <c r="F4108" t="s">
        <v>23479</v>
      </c>
      <c r="G4108">
        <v>1</v>
      </c>
      <c r="H4108" t="s">
        <v>13835</v>
      </c>
      <c r="J4108" t="s">
        <v>13771</v>
      </c>
      <c r="K4108" t="s">
        <v>32</v>
      </c>
      <c r="L4108" t="s">
        <v>80</v>
      </c>
      <c r="M4108" t="s">
        <v>81</v>
      </c>
      <c r="N4108" t="s">
        <v>13839</v>
      </c>
      <c r="O4108" t="s">
        <v>13840</v>
      </c>
      <c r="P4108" s="2" t="s">
        <v>37</v>
      </c>
      <c r="Q4108" t="s">
        <v>1208</v>
      </c>
      <c r="R4108">
        <v>2.54</v>
      </c>
      <c r="S4108">
        <v>33.840000000000003</v>
      </c>
      <c r="T4108" t="s">
        <v>13841</v>
      </c>
    </row>
    <row r="4109" spans="1:20" x14ac:dyDescent="0.25">
      <c r="A4109" s="1" t="str">
        <f>HYPERLINK("https://vegkart.atlas.vegvesen.no/#/@-3024.6,6527321.8,18/hva:hva%5B0%5D%5Bfilter%5D%5B0%5D%5Boperator%5D=%21%3D&amp;hva%5B0%5D%5Bfilter%5D%5B0%5D%5Btype_id%5D=4820&amp;hva%5B0%5D%5Bfilter%5D%5B0%5D%5Bverdi%5D=&amp;hva%5B0%5D%5Bid%5D=144/når:2015-04-27", "Vegkart")</f>
        <v>Vegkart</v>
      </c>
      <c r="B4109">
        <v>592609836</v>
      </c>
      <c r="C4109">
        <v>144</v>
      </c>
      <c r="D4109" t="s">
        <v>13345</v>
      </c>
      <c r="E4109">
        <v>4820</v>
      </c>
      <c r="F4109" t="s">
        <v>23479</v>
      </c>
      <c r="G4109">
        <v>1</v>
      </c>
      <c r="H4109" t="s">
        <v>13835</v>
      </c>
      <c r="J4109" t="s">
        <v>13771</v>
      </c>
      <c r="K4109" t="s">
        <v>170</v>
      </c>
      <c r="L4109" t="s">
        <v>33</v>
      </c>
      <c r="M4109" t="s">
        <v>86</v>
      </c>
      <c r="N4109" t="s">
        <v>13842</v>
      </c>
      <c r="O4109" t="s">
        <v>13843</v>
      </c>
      <c r="P4109" s="2" t="s">
        <v>165</v>
      </c>
      <c r="Q4109" t="s">
        <v>641</v>
      </c>
      <c r="R4109">
        <v>0</v>
      </c>
      <c r="S4109">
        <v>258.57</v>
      </c>
      <c r="T4109" t="s">
        <v>167</v>
      </c>
    </row>
    <row r="4110" spans="1:20" x14ac:dyDescent="0.25">
      <c r="A4110" s="1" t="str">
        <f>HYPERLINK("https://vegkart.atlas.vegvesen.no/#/@86351.5,6466292.1,18/hva:hva%5B0%5D%5Bfilter%5D%5B0%5D%5Boperator%5D=%21%3D&amp;hva%5B0%5D%5Bfilter%5D%5B0%5D%5Btype_id%5D=4820&amp;hva%5B0%5D%5Bfilter%5D%5B0%5D%5Bverdi%5D=&amp;hva%5B0%5D%5Bid%5D=144/når:2015-05-07", "Vegkart")</f>
        <v>Vegkart</v>
      </c>
      <c r="B4110">
        <v>593879139</v>
      </c>
      <c r="C4110">
        <v>144</v>
      </c>
      <c r="D4110" t="s">
        <v>13345</v>
      </c>
      <c r="E4110">
        <v>4820</v>
      </c>
      <c r="F4110" t="s">
        <v>23479</v>
      </c>
      <c r="G4110">
        <v>1</v>
      </c>
      <c r="H4110" t="s">
        <v>13844</v>
      </c>
      <c r="J4110" t="s">
        <v>13771</v>
      </c>
      <c r="K4110" t="s">
        <v>86</v>
      </c>
      <c r="L4110" t="s">
        <v>22</v>
      </c>
      <c r="M4110" t="s">
        <v>6338</v>
      </c>
      <c r="N4110" t="s">
        <v>13845</v>
      </c>
      <c r="O4110" t="s">
        <v>13846</v>
      </c>
      <c r="P4110" s="2" t="s">
        <v>165</v>
      </c>
      <c r="Q4110" t="s">
        <v>641</v>
      </c>
      <c r="R4110">
        <v>0</v>
      </c>
      <c r="S4110">
        <v>306.02999999999997</v>
      </c>
      <c r="T4110" t="s">
        <v>167</v>
      </c>
    </row>
    <row r="4111" spans="1:20" x14ac:dyDescent="0.25">
      <c r="A4111" s="1" t="str">
        <f>HYPERLINK("https://vegkart.atlas.vegvesen.no/#/@237244.1,6591340.3,18/hva:hva%5B0%5D%5Bfilter%5D%5B0%5D%5Boperator%5D=%21%3D&amp;hva%5B0%5D%5Bfilter%5D%5B0%5D%5Btype_id%5D=4820&amp;hva%5B0%5D%5Bfilter%5D%5B0%5D%5Bverdi%5D=&amp;hva%5B0%5D%5Bid%5D=144/når:2014-11-06", "Vegkart")</f>
        <v>Vegkart</v>
      </c>
      <c r="B4111">
        <v>601236450</v>
      </c>
      <c r="C4111">
        <v>144</v>
      </c>
      <c r="D4111" t="s">
        <v>13345</v>
      </c>
      <c r="E4111">
        <v>4820</v>
      </c>
      <c r="F4111" t="s">
        <v>23479</v>
      </c>
      <c r="G4111">
        <v>1</v>
      </c>
      <c r="H4111" t="s">
        <v>13847</v>
      </c>
      <c r="J4111" t="s">
        <v>13848</v>
      </c>
      <c r="K4111" t="s">
        <v>81</v>
      </c>
      <c r="L4111" t="s">
        <v>33</v>
      </c>
      <c r="M4111" t="s">
        <v>4316</v>
      </c>
      <c r="N4111" t="s">
        <v>13849</v>
      </c>
      <c r="O4111" t="s">
        <v>13850</v>
      </c>
      <c r="P4111" s="2" t="s">
        <v>67</v>
      </c>
      <c r="Q4111" t="s">
        <v>68</v>
      </c>
      <c r="R4111">
        <v>23.96</v>
      </c>
      <c r="S4111">
        <v>27.22</v>
      </c>
      <c r="T4111" t="s">
        <v>13851</v>
      </c>
    </row>
    <row r="4112" spans="1:20" x14ac:dyDescent="0.25">
      <c r="A4112" s="1" t="str">
        <f>HYPERLINK("https://vegkart.atlas.vegvesen.no/#/@237249.5,6591338.5,18/hva:hva%5B0%5D%5Bfilter%5D%5B0%5D%5Boperator%5D=%21%3D&amp;hva%5B0%5D%5Bfilter%5D%5B0%5D%5Btype_id%5D=4820&amp;hva%5B0%5D%5Bfilter%5D%5B0%5D%5Bverdi%5D=&amp;hva%5B0%5D%5Bid%5D=144/når:2014-11-06", "Vegkart")</f>
        <v>Vegkart</v>
      </c>
      <c r="B4112">
        <v>601236451</v>
      </c>
      <c r="C4112">
        <v>144</v>
      </c>
      <c r="D4112" t="s">
        <v>13345</v>
      </c>
      <c r="E4112">
        <v>4820</v>
      </c>
      <c r="F4112" t="s">
        <v>23479</v>
      </c>
      <c r="G4112">
        <v>1</v>
      </c>
      <c r="H4112" t="s">
        <v>13847</v>
      </c>
      <c r="J4112" t="s">
        <v>13848</v>
      </c>
      <c r="K4112" t="s">
        <v>81</v>
      </c>
      <c r="L4112" t="s">
        <v>33</v>
      </c>
      <c r="M4112" t="s">
        <v>4316</v>
      </c>
      <c r="N4112" t="s">
        <v>13852</v>
      </c>
      <c r="O4112" t="s">
        <v>13853</v>
      </c>
      <c r="P4112" s="2" t="s">
        <v>67</v>
      </c>
      <c r="Q4112" t="s">
        <v>68</v>
      </c>
      <c r="R4112">
        <v>20.68</v>
      </c>
      <c r="S4112">
        <v>24.77</v>
      </c>
      <c r="T4112" t="s">
        <v>13854</v>
      </c>
    </row>
    <row r="4113" spans="1:20" x14ac:dyDescent="0.25">
      <c r="A4113" s="1" t="str">
        <f>HYPERLINK("https://vegkart.atlas.vegvesen.no/#/@-2278.2,6618994.6,18/hva:hva%5B0%5D%5Bfilter%5D%5B0%5D%5Boperator%5D=%21%3D&amp;hva%5B0%5D%5Bfilter%5D%5B0%5D%5Btype_id%5D=4820&amp;hva%5B0%5D%5Bfilter%5D%5B0%5D%5Bverdi%5D=&amp;hva%5B0%5D%5Bid%5D=144/når:2015-08-05", "Vegkart")</f>
        <v>Vegkart</v>
      </c>
      <c r="B4113">
        <v>618970806</v>
      </c>
      <c r="C4113">
        <v>144</v>
      </c>
      <c r="D4113" t="s">
        <v>13345</v>
      </c>
      <c r="E4113">
        <v>4820</v>
      </c>
      <c r="F4113" t="s">
        <v>23479</v>
      </c>
      <c r="G4113">
        <v>1</v>
      </c>
      <c r="H4113" t="s">
        <v>13855</v>
      </c>
      <c r="J4113" t="s">
        <v>13848</v>
      </c>
      <c r="K4113" t="s">
        <v>170</v>
      </c>
      <c r="L4113" t="s">
        <v>33</v>
      </c>
      <c r="M4113" t="s">
        <v>21</v>
      </c>
      <c r="N4113" t="s">
        <v>13856</v>
      </c>
      <c r="O4113" t="s">
        <v>13857</v>
      </c>
      <c r="P4113" s="2" t="s">
        <v>67</v>
      </c>
      <c r="Q4113" t="s">
        <v>68</v>
      </c>
      <c r="R4113">
        <v>26.89</v>
      </c>
      <c r="S4113">
        <v>26.95</v>
      </c>
      <c r="T4113" t="s">
        <v>13858</v>
      </c>
    </row>
    <row r="4114" spans="1:20" x14ac:dyDescent="0.25">
      <c r="A4114" s="1" t="str">
        <f>HYPERLINK("https://vegkart.atlas.vegvesen.no/#/@-2288.8,6618986.8,18/hva:hva%5B0%5D%5Bfilter%5D%5B0%5D%5Boperator%5D=%21%3D&amp;hva%5B0%5D%5Bfilter%5D%5B0%5D%5Btype_id%5D=4820&amp;hva%5B0%5D%5Bfilter%5D%5B0%5D%5Bverdi%5D=&amp;hva%5B0%5D%5Bid%5D=144/når:2015-08-05", "Vegkart")</f>
        <v>Vegkart</v>
      </c>
      <c r="B4114">
        <v>618970807</v>
      </c>
      <c r="C4114">
        <v>144</v>
      </c>
      <c r="D4114" t="s">
        <v>13345</v>
      </c>
      <c r="E4114">
        <v>4820</v>
      </c>
      <c r="F4114" t="s">
        <v>23479</v>
      </c>
      <c r="G4114">
        <v>1</v>
      </c>
      <c r="H4114" t="s">
        <v>13855</v>
      </c>
      <c r="J4114" t="s">
        <v>13848</v>
      </c>
      <c r="K4114" t="s">
        <v>170</v>
      </c>
      <c r="L4114" t="s">
        <v>33</v>
      </c>
      <c r="M4114" t="s">
        <v>21</v>
      </c>
      <c r="N4114" t="s">
        <v>13856</v>
      </c>
      <c r="O4114" t="s">
        <v>13859</v>
      </c>
      <c r="P4114" s="2" t="s">
        <v>67</v>
      </c>
      <c r="Q4114" t="s">
        <v>68</v>
      </c>
      <c r="R4114">
        <v>0.67</v>
      </c>
      <c r="S4114">
        <v>0.67</v>
      </c>
      <c r="T4114" t="s">
        <v>13860</v>
      </c>
    </row>
    <row r="4115" spans="1:20" x14ac:dyDescent="0.25">
      <c r="A4115" s="1" t="str">
        <f>HYPERLINK("https://vegkart.atlas.vegvesen.no/#/@-2289.0,6618988.2,18/hva:hva%5B0%5D%5Bfilter%5D%5B0%5D%5Boperator%5D=%21%3D&amp;hva%5B0%5D%5Bfilter%5D%5B0%5D%5Btype_id%5D=4820&amp;hva%5B0%5D%5Bfilter%5D%5B0%5D%5Bverdi%5D=&amp;hva%5B0%5D%5Bid%5D=144/når:2015-08-05", "Vegkart")</f>
        <v>Vegkart</v>
      </c>
      <c r="B4115">
        <v>618970808</v>
      </c>
      <c r="C4115">
        <v>144</v>
      </c>
      <c r="D4115" t="s">
        <v>13345</v>
      </c>
      <c r="E4115">
        <v>4820</v>
      </c>
      <c r="F4115" t="s">
        <v>23479</v>
      </c>
      <c r="G4115">
        <v>1</v>
      </c>
      <c r="H4115" t="s">
        <v>13855</v>
      </c>
      <c r="J4115" t="s">
        <v>13848</v>
      </c>
      <c r="K4115" t="s">
        <v>170</v>
      </c>
      <c r="L4115" t="s">
        <v>33</v>
      </c>
      <c r="M4115" t="s">
        <v>21</v>
      </c>
      <c r="N4115" t="s">
        <v>13861</v>
      </c>
      <c r="O4115" t="s">
        <v>13862</v>
      </c>
      <c r="P4115" s="2" t="s">
        <v>67</v>
      </c>
      <c r="Q4115" t="s">
        <v>68</v>
      </c>
      <c r="R4115">
        <v>2.67</v>
      </c>
      <c r="S4115">
        <v>2.67</v>
      </c>
      <c r="T4115" t="s">
        <v>13863</v>
      </c>
    </row>
    <row r="4116" spans="1:20" x14ac:dyDescent="0.25">
      <c r="A4116" s="1" t="str">
        <f>HYPERLINK("https://vegkart.atlas.vegvesen.no/#/@-5697.0,6728842.0,18/hva:hva%5B0%5D%5Bfilter%5D%5B0%5D%5Boperator%5D=%21%3D&amp;hva%5B0%5D%5Bfilter%5D%5B0%5D%5Btype_id%5D=4820&amp;hva%5B0%5D%5Bfilter%5D%5B0%5D%5Bverdi%5D=&amp;hva%5B0%5D%5Bid%5D=144/når:2015-10-01", "Vegkart")</f>
        <v>Vegkart</v>
      </c>
      <c r="B4116">
        <v>636516421</v>
      </c>
      <c r="C4116">
        <v>144</v>
      </c>
      <c r="D4116" t="s">
        <v>13345</v>
      </c>
      <c r="E4116">
        <v>4820</v>
      </c>
      <c r="F4116" t="s">
        <v>23479</v>
      </c>
      <c r="G4116">
        <v>1</v>
      </c>
      <c r="H4116" t="s">
        <v>1462</v>
      </c>
      <c r="J4116" t="s">
        <v>13848</v>
      </c>
      <c r="K4116" t="s">
        <v>21</v>
      </c>
      <c r="L4116" t="s">
        <v>33</v>
      </c>
      <c r="M4116" t="s">
        <v>13864</v>
      </c>
      <c r="N4116" t="s">
        <v>13865</v>
      </c>
      <c r="O4116" t="s">
        <v>13866</v>
      </c>
      <c r="P4116" s="2" t="s">
        <v>67</v>
      </c>
      <c r="Q4116" t="s">
        <v>68</v>
      </c>
      <c r="R4116">
        <v>28.11</v>
      </c>
      <c r="S4116">
        <v>28.2</v>
      </c>
      <c r="T4116" t="s">
        <v>13867</v>
      </c>
    </row>
    <row r="4117" spans="1:20" x14ac:dyDescent="0.25">
      <c r="A4117" s="1" t="str">
        <f>HYPERLINK("https://vegkart.atlas.vegvesen.no/#/@-11086.1,6728563.0,18/hva:hva%5B0%5D%5Bfilter%5D%5B0%5D%5Boperator%5D=%21%3D&amp;hva%5B0%5D%5Bfilter%5D%5B0%5D%5Btype_id%5D=4820&amp;hva%5B0%5D%5Bfilter%5D%5B0%5D%5Bverdi%5D=&amp;hva%5B0%5D%5Bid%5D=144/når:2015-10-01", "Vegkart")</f>
        <v>Vegkart</v>
      </c>
      <c r="B4117">
        <v>636516423</v>
      </c>
      <c r="C4117">
        <v>144</v>
      </c>
      <c r="D4117" t="s">
        <v>13345</v>
      </c>
      <c r="E4117">
        <v>4820</v>
      </c>
      <c r="F4117" t="s">
        <v>23479</v>
      </c>
      <c r="G4117">
        <v>1</v>
      </c>
      <c r="H4117" t="s">
        <v>1462</v>
      </c>
      <c r="J4117" t="s">
        <v>13848</v>
      </c>
      <c r="K4117" t="s">
        <v>21</v>
      </c>
      <c r="L4117" t="s">
        <v>33</v>
      </c>
      <c r="M4117" t="s">
        <v>13868</v>
      </c>
      <c r="N4117" t="s">
        <v>13869</v>
      </c>
      <c r="O4117" t="s">
        <v>13870</v>
      </c>
      <c r="P4117" s="2" t="s">
        <v>67</v>
      </c>
      <c r="Q4117" t="s">
        <v>68</v>
      </c>
      <c r="R4117">
        <v>70.22</v>
      </c>
      <c r="S4117">
        <v>70.31</v>
      </c>
      <c r="T4117" t="s">
        <v>13871</v>
      </c>
    </row>
    <row r="4118" spans="1:20" x14ac:dyDescent="0.25">
      <c r="A4118" s="1" t="str">
        <f>HYPERLINK("https://vegkart.atlas.vegvesen.no/#/@-5849.6,6728880.0,18/hva:hva%5B0%5D%5Bfilter%5D%5B0%5D%5Boperator%5D=%21%3D&amp;hva%5B0%5D%5Bfilter%5D%5B0%5D%5Btype_id%5D=4820&amp;hva%5B0%5D%5Bfilter%5D%5B0%5D%5Bverdi%5D=&amp;hva%5B0%5D%5Bid%5D=144/når:2015-10-01", "Vegkart")</f>
        <v>Vegkart</v>
      </c>
      <c r="B4118">
        <v>636516424</v>
      </c>
      <c r="C4118">
        <v>144</v>
      </c>
      <c r="D4118" t="s">
        <v>13345</v>
      </c>
      <c r="E4118">
        <v>4820</v>
      </c>
      <c r="F4118" t="s">
        <v>23479</v>
      </c>
      <c r="G4118">
        <v>1</v>
      </c>
      <c r="H4118" t="s">
        <v>1462</v>
      </c>
      <c r="J4118" t="s">
        <v>13848</v>
      </c>
      <c r="K4118" t="s">
        <v>21</v>
      </c>
      <c r="L4118" t="s">
        <v>33</v>
      </c>
      <c r="M4118" t="s">
        <v>963</v>
      </c>
      <c r="N4118" t="s">
        <v>13872</v>
      </c>
      <c r="O4118" t="s">
        <v>13873</v>
      </c>
      <c r="P4118" s="2" t="s">
        <v>67</v>
      </c>
      <c r="Q4118" t="s">
        <v>68</v>
      </c>
      <c r="R4118">
        <v>35.29</v>
      </c>
      <c r="S4118">
        <v>38.58</v>
      </c>
      <c r="T4118" t="s">
        <v>13874</v>
      </c>
    </row>
    <row r="4119" spans="1:20" x14ac:dyDescent="0.25">
      <c r="A4119" s="1" t="str">
        <f>HYPERLINK("https://vegkart.atlas.vegvesen.no/#/@107607.0,6962932.0,18/hva:hva%5B0%5D%5Bfilter%5D%5B0%5D%5Boperator%5D=%21%3D&amp;hva%5B0%5D%5Bfilter%5D%5B0%5D%5Btype_id%5D=4820&amp;hva%5B0%5D%5Bfilter%5D%5B0%5D%5Bverdi%5D=&amp;hva%5B0%5D%5Bid%5D=144/når:2015-10-07", "Vegkart")</f>
        <v>Vegkart</v>
      </c>
      <c r="B4119">
        <v>639331982</v>
      </c>
      <c r="C4119">
        <v>144</v>
      </c>
      <c r="D4119" t="s">
        <v>13345</v>
      </c>
      <c r="E4119">
        <v>4820</v>
      </c>
      <c r="F4119" t="s">
        <v>23479</v>
      </c>
      <c r="G4119">
        <v>1</v>
      </c>
      <c r="H4119" t="s">
        <v>6541</v>
      </c>
      <c r="J4119" t="s">
        <v>13848</v>
      </c>
      <c r="K4119" t="s">
        <v>32</v>
      </c>
      <c r="L4119" t="s">
        <v>80</v>
      </c>
      <c r="M4119" t="s">
        <v>1217</v>
      </c>
      <c r="N4119" t="s">
        <v>13875</v>
      </c>
      <c r="O4119" t="s">
        <v>13876</v>
      </c>
      <c r="P4119" s="2" t="s">
        <v>37</v>
      </c>
      <c r="Q4119" t="s">
        <v>1208</v>
      </c>
      <c r="R4119">
        <v>5.36</v>
      </c>
      <c r="S4119">
        <v>131.62</v>
      </c>
      <c r="T4119" t="s">
        <v>13877</v>
      </c>
    </row>
    <row r="4120" spans="1:20" x14ac:dyDescent="0.25">
      <c r="A4120" s="1" t="str">
        <f>HYPERLINK("https://vegkart.atlas.vegvesen.no/#/@107616.0,6962899.2,18/hva:hva%5B0%5D%5Bfilter%5D%5B0%5D%5Boperator%5D=%21%3D&amp;hva%5B0%5D%5Bfilter%5D%5B0%5D%5Btype_id%5D=4820&amp;hva%5B0%5D%5Bfilter%5D%5B0%5D%5Bverdi%5D=&amp;hva%5B0%5D%5Bid%5D=144/når:2015-10-07", "Vegkart")</f>
        <v>Vegkart</v>
      </c>
      <c r="B4120">
        <v>639331991</v>
      </c>
      <c r="C4120">
        <v>144</v>
      </c>
      <c r="D4120" t="s">
        <v>13345</v>
      </c>
      <c r="E4120">
        <v>4820</v>
      </c>
      <c r="F4120" t="s">
        <v>23479</v>
      </c>
      <c r="G4120">
        <v>1</v>
      </c>
      <c r="H4120" t="s">
        <v>6541</v>
      </c>
      <c r="J4120" t="s">
        <v>13848</v>
      </c>
      <c r="K4120" t="s">
        <v>32</v>
      </c>
      <c r="L4120" t="s">
        <v>80</v>
      </c>
      <c r="M4120" t="s">
        <v>1217</v>
      </c>
      <c r="N4120" t="s">
        <v>13878</v>
      </c>
      <c r="O4120" t="s">
        <v>13879</v>
      </c>
      <c r="P4120" s="2" t="s">
        <v>165</v>
      </c>
      <c r="Q4120" t="s">
        <v>641</v>
      </c>
      <c r="R4120">
        <v>0</v>
      </c>
      <c r="S4120">
        <v>35.26</v>
      </c>
      <c r="T4120" t="s">
        <v>167</v>
      </c>
    </row>
    <row r="4121" spans="1:20" x14ac:dyDescent="0.25">
      <c r="A4121" s="1" t="str">
        <f>HYPERLINK("https://vegkart.atlas.vegvesen.no/#/@325437.8,7144370.2,18/hva:hva%5B0%5D%5Bfilter%5D%5B0%5D%5Boperator%5D=%21%3D&amp;hva%5B0%5D%5Bfilter%5D%5B0%5D%5Btype_id%5D=4820&amp;hva%5B0%5D%5Bfilter%5D%5B0%5D%5Bverdi%5D=&amp;hva%5B0%5D%5Bid%5D=144/når:2015-10-29", "Vegkart")</f>
        <v>Vegkart</v>
      </c>
      <c r="B4121">
        <v>643170746</v>
      </c>
      <c r="C4121">
        <v>144</v>
      </c>
      <c r="D4121" t="s">
        <v>13345</v>
      </c>
      <c r="E4121">
        <v>4820</v>
      </c>
      <c r="F4121" t="s">
        <v>23479</v>
      </c>
      <c r="G4121">
        <v>1</v>
      </c>
      <c r="H4121" t="s">
        <v>13880</v>
      </c>
      <c r="J4121" t="s">
        <v>13848</v>
      </c>
      <c r="K4121" t="s">
        <v>192</v>
      </c>
      <c r="L4121" t="s">
        <v>33</v>
      </c>
      <c r="M4121" t="s">
        <v>473</v>
      </c>
      <c r="N4121" t="s">
        <v>13881</v>
      </c>
      <c r="O4121" t="s">
        <v>13882</v>
      </c>
      <c r="P4121" s="2" t="s">
        <v>67</v>
      </c>
      <c r="Q4121" t="s">
        <v>68</v>
      </c>
      <c r="R4121">
        <v>106.84</v>
      </c>
      <c r="S4121">
        <v>114.3</v>
      </c>
      <c r="T4121" t="s">
        <v>13883</v>
      </c>
    </row>
    <row r="4122" spans="1:20" x14ac:dyDescent="0.25">
      <c r="A4122" s="1" t="str">
        <f>HYPERLINK("https://vegkart.atlas.vegvesen.no/#/@325207.4,7144028.3,18/hva:hva%5B0%5D%5Bfilter%5D%5B0%5D%5Boperator%5D=%21%3D&amp;hva%5B0%5D%5Bfilter%5D%5B0%5D%5Btype_id%5D=4820&amp;hva%5B0%5D%5Bfilter%5D%5B0%5D%5Bverdi%5D=&amp;hva%5B0%5D%5Bid%5D=144/når:2015-10-29", "Vegkart")</f>
        <v>Vegkart</v>
      </c>
      <c r="B4122">
        <v>643170747</v>
      </c>
      <c r="C4122">
        <v>144</v>
      </c>
      <c r="D4122" t="s">
        <v>13345</v>
      </c>
      <c r="E4122">
        <v>4820</v>
      </c>
      <c r="F4122" t="s">
        <v>23479</v>
      </c>
      <c r="G4122">
        <v>1</v>
      </c>
      <c r="H4122" t="s">
        <v>13880</v>
      </c>
      <c r="J4122" t="s">
        <v>13848</v>
      </c>
      <c r="K4122" t="s">
        <v>192</v>
      </c>
      <c r="L4122" t="s">
        <v>33</v>
      </c>
      <c r="M4122" t="s">
        <v>473</v>
      </c>
      <c r="N4122" t="s">
        <v>13884</v>
      </c>
      <c r="O4122" t="s">
        <v>13885</v>
      </c>
      <c r="P4122" s="2" t="s">
        <v>67</v>
      </c>
      <c r="Q4122" t="s">
        <v>68</v>
      </c>
      <c r="R4122">
        <v>10.76</v>
      </c>
      <c r="S4122">
        <v>22.33</v>
      </c>
      <c r="T4122" t="s">
        <v>13886</v>
      </c>
    </row>
    <row r="4123" spans="1:20" x14ac:dyDescent="0.25">
      <c r="A4123" s="1" t="str">
        <f>HYPERLINK("https://vegkart.atlas.vegvesen.no/#/@325479.6,7144433.6,18/hva:hva%5B0%5D%5Bfilter%5D%5B0%5D%5Boperator%5D=%21%3D&amp;hva%5B0%5D%5Bfilter%5D%5B0%5D%5Btype_id%5D=4820&amp;hva%5B0%5D%5Bfilter%5D%5B0%5D%5Bverdi%5D=&amp;hva%5B0%5D%5Bid%5D=144/når:2015-10-29", "Vegkart")</f>
        <v>Vegkart</v>
      </c>
      <c r="B4123">
        <v>643170748</v>
      </c>
      <c r="C4123">
        <v>144</v>
      </c>
      <c r="D4123" t="s">
        <v>13345</v>
      </c>
      <c r="E4123">
        <v>4820</v>
      </c>
      <c r="F4123" t="s">
        <v>23479</v>
      </c>
      <c r="G4123">
        <v>1</v>
      </c>
      <c r="H4123" t="s">
        <v>13880</v>
      </c>
      <c r="J4123" t="s">
        <v>13848</v>
      </c>
      <c r="K4123" t="s">
        <v>192</v>
      </c>
      <c r="L4123" t="s">
        <v>33</v>
      </c>
      <c r="M4123" t="s">
        <v>473</v>
      </c>
      <c r="N4123" t="s">
        <v>13887</v>
      </c>
      <c r="O4123" t="s">
        <v>13888</v>
      </c>
      <c r="P4123" s="2" t="s">
        <v>67</v>
      </c>
      <c r="Q4123" t="s">
        <v>68</v>
      </c>
      <c r="R4123">
        <v>60.96</v>
      </c>
      <c r="S4123">
        <v>70.290000000000006</v>
      </c>
      <c r="T4123" t="s">
        <v>13889</v>
      </c>
    </row>
    <row r="4124" spans="1:20" x14ac:dyDescent="0.25">
      <c r="A4124" s="1" t="str">
        <f>HYPERLINK("https://vegkart.atlas.vegvesen.no/#/@325229.9,7144123.9,18/hva:hva%5B0%5D%5Bfilter%5D%5B0%5D%5Boperator%5D=%21%3D&amp;hva%5B0%5D%5Bfilter%5D%5B0%5D%5Btype_id%5D=4820&amp;hva%5B0%5D%5Bfilter%5D%5B0%5D%5Bverdi%5D=&amp;hva%5B0%5D%5Bid%5D=144/når:2015-10-29", "Vegkart")</f>
        <v>Vegkart</v>
      </c>
      <c r="B4124">
        <v>643170749</v>
      </c>
      <c r="C4124">
        <v>144</v>
      </c>
      <c r="D4124" t="s">
        <v>13345</v>
      </c>
      <c r="E4124">
        <v>4820</v>
      </c>
      <c r="F4124" t="s">
        <v>23479</v>
      </c>
      <c r="G4124">
        <v>1</v>
      </c>
      <c r="H4124" t="s">
        <v>13880</v>
      </c>
      <c r="J4124" t="s">
        <v>13848</v>
      </c>
      <c r="K4124" t="s">
        <v>192</v>
      </c>
      <c r="L4124" t="s">
        <v>33</v>
      </c>
      <c r="M4124" t="s">
        <v>473</v>
      </c>
      <c r="N4124" t="s">
        <v>13890</v>
      </c>
      <c r="O4124" t="s">
        <v>13891</v>
      </c>
      <c r="P4124" s="2" t="s">
        <v>37</v>
      </c>
      <c r="Q4124" t="s">
        <v>1208</v>
      </c>
      <c r="R4124">
        <v>8.6199999999999992</v>
      </c>
      <c r="S4124">
        <v>387.38</v>
      </c>
      <c r="T4124" t="s">
        <v>13892</v>
      </c>
    </row>
    <row r="4125" spans="1:20" x14ac:dyDescent="0.25">
      <c r="A4125" s="1" t="str">
        <f>HYPERLINK("https://vegkart.atlas.vegvesen.no/#/@17676.4,6844189.0,18/hva:hva%5B0%5D%5Bfilter%5D%5B0%5D%5Boperator%5D=%21%3D&amp;hva%5B0%5D%5Bfilter%5D%5B0%5D%5Btype_id%5D=4820&amp;hva%5B0%5D%5Bfilter%5D%5B0%5D%5Bverdi%5D=&amp;hva%5B0%5D%5Bid%5D=144/når:2015-11-16", "Vegkart")</f>
        <v>Vegkart</v>
      </c>
      <c r="B4125">
        <v>645407243</v>
      </c>
      <c r="C4125">
        <v>144</v>
      </c>
      <c r="D4125" t="s">
        <v>13345</v>
      </c>
      <c r="E4125">
        <v>4820</v>
      </c>
      <c r="F4125" t="s">
        <v>23479</v>
      </c>
      <c r="G4125">
        <v>1</v>
      </c>
      <c r="H4125" t="s">
        <v>3352</v>
      </c>
      <c r="J4125" t="s">
        <v>13848</v>
      </c>
      <c r="K4125" t="s">
        <v>21</v>
      </c>
      <c r="L4125" t="s">
        <v>80</v>
      </c>
      <c r="M4125" t="s">
        <v>81</v>
      </c>
      <c r="N4125" t="s">
        <v>13893</v>
      </c>
      <c r="O4125" t="s">
        <v>13894</v>
      </c>
      <c r="P4125" s="2" t="s">
        <v>37</v>
      </c>
      <c r="Q4125" t="s">
        <v>1208</v>
      </c>
      <c r="R4125">
        <v>2.12</v>
      </c>
      <c r="S4125">
        <v>76.72</v>
      </c>
      <c r="T4125" t="s">
        <v>13895</v>
      </c>
    </row>
    <row r="4126" spans="1:20" x14ac:dyDescent="0.25">
      <c r="A4126" s="1" t="str">
        <f>HYPERLINK("https://vegkart.atlas.vegvesen.no/#/@164307.2,6541119.8,18/hva:hva%5B0%5D%5Bfilter%5D%5B0%5D%5Boperator%5D=%21%3D&amp;hva%5B0%5D%5Bfilter%5D%5B0%5D%5Btype_id%5D=4820&amp;hva%5B0%5D%5Bfilter%5D%5B0%5D%5Bverdi%5D=&amp;hva%5B0%5D%5Bid%5D=144/når:2015-11-20", "Vegkart")</f>
        <v>Vegkart</v>
      </c>
      <c r="B4126">
        <v>645902888</v>
      </c>
      <c r="C4126">
        <v>144</v>
      </c>
      <c r="D4126" t="s">
        <v>13345</v>
      </c>
      <c r="E4126">
        <v>4820</v>
      </c>
      <c r="F4126" t="s">
        <v>23479</v>
      </c>
      <c r="G4126">
        <v>1</v>
      </c>
      <c r="H4126" t="s">
        <v>13896</v>
      </c>
      <c r="J4126" t="s">
        <v>13848</v>
      </c>
      <c r="K4126" t="s">
        <v>197</v>
      </c>
      <c r="L4126" t="s">
        <v>80</v>
      </c>
      <c r="M4126" t="s">
        <v>53</v>
      </c>
      <c r="N4126" t="s">
        <v>13897</v>
      </c>
      <c r="O4126" t="s">
        <v>13898</v>
      </c>
      <c r="P4126" s="2" t="s">
        <v>67</v>
      </c>
      <c r="Q4126" t="s">
        <v>68</v>
      </c>
      <c r="R4126">
        <v>11.1</v>
      </c>
      <c r="S4126">
        <v>11.18</v>
      </c>
      <c r="T4126" t="s">
        <v>13899</v>
      </c>
    </row>
    <row r="4127" spans="1:20" x14ac:dyDescent="0.25">
      <c r="A4127" s="1" t="str">
        <f>HYPERLINK("https://vegkart.atlas.vegvesen.no/#/@164316.3,6541104.3,18/hva:hva%5B0%5D%5Bfilter%5D%5B0%5D%5Boperator%5D=%21%3D&amp;hva%5B0%5D%5Bfilter%5D%5B0%5D%5Btype_id%5D=4820&amp;hva%5B0%5D%5Bfilter%5D%5B0%5D%5Bverdi%5D=&amp;hva%5B0%5D%5Bid%5D=144/når:2015-11-20", "Vegkart")</f>
        <v>Vegkart</v>
      </c>
      <c r="B4127">
        <v>645902889</v>
      </c>
      <c r="C4127">
        <v>144</v>
      </c>
      <c r="D4127" t="s">
        <v>13345</v>
      </c>
      <c r="E4127">
        <v>4820</v>
      </c>
      <c r="F4127" t="s">
        <v>23479</v>
      </c>
      <c r="G4127">
        <v>1</v>
      </c>
      <c r="H4127" t="s">
        <v>13896</v>
      </c>
      <c r="J4127" t="s">
        <v>13848</v>
      </c>
      <c r="K4127" t="s">
        <v>197</v>
      </c>
      <c r="L4127" t="s">
        <v>80</v>
      </c>
      <c r="M4127" t="s">
        <v>53</v>
      </c>
      <c r="N4127" t="s">
        <v>13900</v>
      </c>
      <c r="O4127" t="s">
        <v>13901</v>
      </c>
      <c r="P4127" s="2" t="s">
        <v>67</v>
      </c>
      <c r="Q4127" t="s">
        <v>68</v>
      </c>
      <c r="R4127">
        <v>10.67</v>
      </c>
      <c r="S4127">
        <v>10.68</v>
      </c>
      <c r="T4127" t="s">
        <v>13902</v>
      </c>
    </row>
    <row r="4128" spans="1:20" x14ac:dyDescent="0.25">
      <c r="A4128" s="1" t="str">
        <f>HYPERLINK("https://vegkart.atlas.vegvesen.no/#/@164336.4,6541114.6,18/hva:hva%5B0%5D%5Bfilter%5D%5B0%5D%5Boperator%5D=%21%3D&amp;hva%5B0%5D%5Bfilter%5D%5B0%5D%5Btype_id%5D=4820&amp;hva%5B0%5D%5Bfilter%5D%5B0%5D%5Bverdi%5D=&amp;hva%5B0%5D%5Bid%5D=144/når:2015-11-20", "Vegkart")</f>
        <v>Vegkart</v>
      </c>
      <c r="B4128">
        <v>645902890</v>
      </c>
      <c r="C4128">
        <v>144</v>
      </c>
      <c r="D4128" t="s">
        <v>13345</v>
      </c>
      <c r="E4128">
        <v>4820</v>
      </c>
      <c r="F4128" t="s">
        <v>23479</v>
      </c>
      <c r="G4128">
        <v>1</v>
      </c>
      <c r="H4128" t="s">
        <v>13896</v>
      </c>
      <c r="J4128" t="s">
        <v>13848</v>
      </c>
      <c r="K4128" t="s">
        <v>197</v>
      </c>
      <c r="L4128" t="s">
        <v>80</v>
      </c>
      <c r="M4128" t="s">
        <v>53</v>
      </c>
      <c r="N4128" t="s">
        <v>13903</v>
      </c>
      <c r="O4128" t="s">
        <v>13904</v>
      </c>
      <c r="P4128" s="2" t="s">
        <v>67</v>
      </c>
      <c r="Q4128" t="s">
        <v>68</v>
      </c>
      <c r="R4128">
        <v>12.5</v>
      </c>
      <c r="S4128">
        <v>12.52</v>
      </c>
      <c r="T4128" t="s">
        <v>13905</v>
      </c>
    </row>
    <row r="4129" spans="1:20" x14ac:dyDescent="0.25">
      <c r="A4129" s="1" t="str">
        <f>HYPERLINK("https://vegkart.atlas.vegvesen.no/#/@147.8,6653284.0,18/hva:hva%5B0%5D%5Bfilter%5D%5B0%5D%5Boperator%5D=%21%3D&amp;hva%5B0%5D%5Bfilter%5D%5B0%5D%5Btype_id%5D=4820&amp;hva%5B0%5D%5Bfilter%5D%5B0%5D%5Bverdi%5D=&amp;hva%5B0%5D%5Bid%5D=144/når:2019-06-25", "Vegkart")</f>
        <v>Vegkart</v>
      </c>
      <c r="B4129">
        <v>646597219</v>
      </c>
      <c r="C4129">
        <v>144</v>
      </c>
      <c r="D4129" t="s">
        <v>13345</v>
      </c>
      <c r="E4129">
        <v>4820</v>
      </c>
      <c r="F4129" t="s">
        <v>23479</v>
      </c>
      <c r="G4129">
        <v>3</v>
      </c>
      <c r="H4129" t="s">
        <v>13906</v>
      </c>
      <c r="J4129" t="s">
        <v>13848</v>
      </c>
      <c r="K4129" t="s">
        <v>21</v>
      </c>
      <c r="L4129" t="s">
        <v>80</v>
      </c>
      <c r="M4129" t="s">
        <v>645</v>
      </c>
      <c r="N4129" t="s">
        <v>13907</v>
      </c>
      <c r="O4129" t="s">
        <v>13908</v>
      </c>
      <c r="P4129" s="2" t="s">
        <v>37</v>
      </c>
      <c r="Q4129" t="s">
        <v>1208</v>
      </c>
      <c r="R4129">
        <v>2.06</v>
      </c>
      <c r="S4129">
        <v>269.86</v>
      </c>
      <c r="T4129" t="s">
        <v>13909</v>
      </c>
    </row>
    <row r="4130" spans="1:20" x14ac:dyDescent="0.25">
      <c r="A4130" s="1" t="str">
        <f>HYPERLINK("https://vegkart.atlas.vegvesen.no/#/@541921.4,7523427.8,18/hva:hva%5B0%5D%5Bfilter%5D%5B0%5D%5Boperator%5D=%21%3D&amp;hva%5B0%5D%5Bfilter%5D%5B0%5D%5Btype_id%5D=4820&amp;hva%5B0%5D%5Bfilter%5D%5B0%5D%5Bverdi%5D=&amp;hva%5B0%5D%5Bid%5D=144/når:2015-12-10", "Vegkart")</f>
        <v>Vegkart</v>
      </c>
      <c r="B4130">
        <v>656378341</v>
      </c>
      <c r="C4130">
        <v>144</v>
      </c>
      <c r="D4130" t="s">
        <v>13345</v>
      </c>
      <c r="E4130">
        <v>4820</v>
      </c>
      <c r="F4130" t="s">
        <v>23479</v>
      </c>
      <c r="G4130">
        <v>1</v>
      </c>
      <c r="H4130" t="s">
        <v>13910</v>
      </c>
      <c r="J4130" t="s">
        <v>13848</v>
      </c>
      <c r="K4130" t="s">
        <v>53</v>
      </c>
      <c r="L4130" t="s">
        <v>80</v>
      </c>
      <c r="M4130" t="s">
        <v>105</v>
      </c>
      <c r="N4130" t="s">
        <v>13911</v>
      </c>
      <c r="O4130" t="s">
        <v>13912</v>
      </c>
      <c r="P4130" s="2" t="s">
        <v>67</v>
      </c>
      <c r="Q4130" t="s">
        <v>68</v>
      </c>
      <c r="R4130">
        <v>10.87</v>
      </c>
      <c r="S4130">
        <v>10.87</v>
      </c>
      <c r="T4130" t="s">
        <v>13913</v>
      </c>
    </row>
    <row r="4131" spans="1:20" x14ac:dyDescent="0.25">
      <c r="A4131" s="1" t="str">
        <f>HYPERLINK("https://vegkart.atlas.vegvesen.no/#/@541873.3,7522965.8,18/hva:hva%5B0%5D%5Bfilter%5D%5B0%5D%5Boperator%5D=%21%3D&amp;hva%5B0%5D%5Bfilter%5D%5B0%5D%5Btype_id%5D=4820&amp;hva%5B0%5D%5Bfilter%5D%5B0%5D%5Bverdi%5D=&amp;hva%5B0%5D%5Bid%5D=144/når:2015-12-10", "Vegkart")</f>
        <v>Vegkart</v>
      </c>
      <c r="B4131">
        <v>656378344</v>
      </c>
      <c r="C4131">
        <v>144</v>
      </c>
      <c r="D4131" t="s">
        <v>13345</v>
      </c>
      <c r="E4131">
        <v>4820</v>
      </c>
      <c r="F4131" t="s">
        <v>23479</v>
      </c>
      <c r="G4131">
        <v>1</v>
      </c>
      <c r="H4131" t="s">
        <v>13910</v>
      </c>
      <c r="J4131" t="s">
        <v>13848</v>
      </c>
      <c r="K4131" t="s">
        <v>53</v>
      </c>
      <c r="L4131" t="s">
        <v>80</v>
      </c>
      <c r="M4131" t="s">
        <v>105</v>
      </c>
      <c r="N4131" t="s">
        <v>13914</v>
      </c>
      <c r="O4131" t="s">
        <v>13915</v>
      </c>
      <c r="P4131" s="2" t="s">
        <v>37</v>
      </c>
      <c r="Q4131" t="s">
        <v>1208</v>
      </c>
      <c r="R4131">
        <v>4.2300000000000004</v>
      </c>
      <c r="S4131">
        <v>95.08</v>
      </c>
      <c r="T4131" t="s">
        <v>13916</v>
      </c>
    </row>
    <row r="4132" spans="1:20" x14ac:dyDescent="0.25">
      <c r="A4132" s="1" t="str">
        <f>HYPERLINK("https://vegkart.atlas.vegvesen.no/#/@541859.6,7522942.7,18/hva:hva%5B0%5D%5Bfilter%5D%5B0%5D%5Boperator%5D=%21%3D&amp;hva%5B0%5D%5Bfilter%5D%5B0%5D%5Btype_id%5D=4820&amp;hva%5B0%5D%5Bfilter%5D%5B0%5D%5Bverdi%5D=&amp;hva%5B0%5D%5Bid%5D=144/når:2015-12-10", "Vegkart")</f>
        <v>Vegkart</v>
      </c>
      <c r="B4132">
        <v>656378345</v>
      </c>
      <c r="C4132">
        <v>144</v>
      </c>
      <c r="D4132" t="s">
        <v>13345</v>
      </c>
      <c r="E4132">
        <v>4820</v>
      </c>
      <c r="F4132" t="s">
        <v>23479</v>
      </c>
      <c r="G4132">
        <v>1</v>
      </c>
      <c r="H4132" t="s">
        <v>13910</v>
      </c>
      <c r="J4132" t="s">
        <v>13848</v>
      </c>
      <c r="K4132" t="s">
        <v>53</v>
      </c>
      <c r="L4132" t="s">
        <v>80</v>
      </c>
      <c r="M4132" t="s">
        <v>105</v>
      </c>
      <c r="N4132" t="s">
        <v>13917</v>
      </c>
      <c r="O4132" t="s">
        <v>13918</v>
      </c>
      <c r="P4132" s="2" t="s">
        <v>67</v>
      </c>
      <c r="Q4132" t="s">
        <v>68</v>
      </c>
      <c r="R4132">
        <v>21.57</v>
      </c>
      <c r="S4132">
        <v>21.66</v>
      </c>
      <c r="T4132" t="s">
        <v>13919</v>
      </c>
    </row>
    <row r="4133" spans="1:20" x14ac:dyDescent="0.25">
      <c r="A4133" s="1" t="str">
        <f>HYPERLINK("https://vegkart.atlas.vegvesen.no/#/@541862.9,7522917.6,18/hva:hva%5B0%5D%5Bfilter%5D%5B0%5D%5Boperator%5D=%21%3D&amp;hva%5B0%5D%5Bfilter%5D%5B0%5D%5Btype_id%5D=4820&amp;hva%5B0%5D%5Bfilter%5D%5B0%5D%5Bverdi%5D=&amp;hva%5B0%5D%5Bid%5D=144/når:2015-12-10", "Vegkart")</f>
        <v>Vegkart</v>
      </c>
      <c r="B4133">
        <v>656378347</v>
      </c>
      <c r="C4133">
        <v>144</v>
      </c>
      <c r="D4133" t="s">
        <v>13345</v>
      </c>
      <c r="E4133">
        <v>4820</v>
      </c>
      <c r="F4133" t="s">
        <v>23479</v>
      </c>
      <c r="G4133">
        <v>1</v>
      </c>
      <c r="H4133" t="s">
        <v>13910</v>
      </c>
      <c r="J4133" t="s">
        <v>13848</v>
      </c>
      <c r="K4133" t="s">
        <v>53</v>
      </c>
      <c r="L4133" t="s">
        <v>80</v>
      </c>
      <c r="M4133" t="s">
        <v>105</v>
      </c>
      <c r="N4133" t="s">
        <v>13920</v>
      </c>
      <c r="O4133" t="s">
        <v>13921</v>
      </c>
      <c r="P4133" s="2" t="s">
        <v>37</v>
      </c>
      <c r="Q4133" t="s">
        <v>1208</v>
      </c>
      <c r="R4133">
        <v>3.1</v>
      </c>
      <c r="S4133">
        <v>96.53</v>
      </c>
      <c r="T4133" t="s">
        <v>13922</v>
      </c>
    </row>
    <row r="4134" spans="1:20" x14ac:dyDescent="0.25">
      <c r="A4134" s="1" t="str">
        <f>HYPERLINK("https://vegkart.atlas.vegvesen.no/#/@541851.7,7522861.2,18/hva:hva%5B0%5D%5Bfilter%5D%5B0%5D%5Boperator%5D=%21%3D&amp;hva%5B0%5D%5Bfilter%5D%5B0%5D%5Btype_id%5D=4820&amp;hva%5B0%5D%5Bfilter%5D%5B0%5D%5Bverdi%5D=&amp;hva%5B0%5D%5Bid%5D=144/når:2015-12-10", "Vegkart")</f>
        <v>Vegkart</v>
      </c>
      <c r="B4134">
        <v>656378348</v>
      </c>
      <c r="C4134">
        <v>144</v>
      </c>
      <c r="D4134" t="s">
        <v>13345</v>
      </c>
      <c r="E4134">
        <v>4820</v>
      </c>
      <c r="F4134" t="s">
        <v>23479</v>
      </c>
      <c r="G4134">
        <v>1</v>
      </c>
      <c r="H4134" t="s">
        <v>13910</v>
      </c>
      <c r="J4134" t="s">
        <v>13848</v>
      </c>
      <c r="K4134" t="s">
        <v>53</v>
      </c>
      <c r="L4134" t="s">
        <v>80</v>
      </c>
      <c r="M4134" t="s">
        <v>105</v>
      </c>
      <c r="N4134" t="s">
        <v>13923</v>
      </c>
      <c r="O4134" t="s">
        <v>13924</v>
      </c>
      <c r="P4134" s="2" t="s">
        <v>37</v>
      </c>
      <c r="Q4134" t="s">
        <v>1208</v>
      </c>
      <c r="R4134">
        <v>2.78</v>
      </c>
      <c r="S4134">
        <v>117.59</v>
      </c>
      <c r="T4134" t="s">
        <v>13925</v>
      </c>
    </row>
    <row r="4135" spans="1:20" x14ac:dyDescent="0.25">
      <c r="A4135" s="1" t="str">
        <f>HYPERLINK("https://vegkart.atlas.vegvesen.no/#/@541849.3,7522893.9,18/hva:hva%5B0%5D%5Bfilter%5D%5B0%5D%5Boperator%5D=%21%3D&amp;hva%5B0%5D%5Bfilter%5D%5B0%5D%5Btype_id%5D=4820&amp;hva%5B0%5D%5Bfilter%5D%5B0%5D%5Bverdi%5D=&amp;hva%5B0%5D%5Bid%5D=144/når:2015-12-10", "Vegkart")</f>
        <v>Vegkart</v>
      </c>
      <c r="B4135">
        <v>656378349</v>
      </c>
      <c r="C4135">
        <v>144</v>
      </c>
      <c r="D4135" t="s">
        <v>13345</v>
      </c>
      <c r="E4135">
        <v>4820</v>
      </c>
      <c r="F4135" t="s">
        <v>23479</v>
      </c>
      <c r="G4135">
        <v>1</v>
      </c>
      <c r="H4135" t="s">
        <v>13910</v>
      </c>
      <c r="J4135" t="s">
        <v>13848</v>
      </c>
      <c r="K4135" t="s">
        <v>53</v>
      </c>
      <c r="L4135" t="s">
        <v>80</v>
      </c>
      <c r="M4135" t="s">
        <v>105</v>
      </c>
      <c r="N4135" t="s">
        <v>13926</v>
      </c>
      <c r="O4135" t="s">
        <v>13927</v>
      </c>
      <c r="P4135" s="2" t="s">
        <v>67</v>
      </c>
      <c r="Q4135" t="s">
        <v>68</v>
      </c>
      <c r="R4135">
        <v>19.48</v>
      </c>
      <c r="S4135">
        <v>19.54</v>
      </c>
      <c r="T4135" t="s">
        <v>13928</v>
      </c>
    </row>
    <row r="4136" spans="1:20" x14ac:dyDescent="0.25">
      <c r="A4136" s="1" t="str">
        <f>HYPERLINK("https://vegkart.atlas.vegvesen.no/#/@541835.8,7522817.0,18/hva:hva%5B0%5D%5Bfilter%5D%5B0%5D%5Boperator%5D=%21%3D&amp;hva%5B0%5D%5Bfilter%5D%5B0%5D%5Btype_id%5D=4820&amp;hva%5B0%5D%5Bfilter%5D%5B0%5D%5Bverdi%5D=&amp;hva%5B0%5D%5Bid%5D=144/når:2015-12-10", "Vegkart")</f>
        <v>Vegkart</v>
      </c>
      <c r="B4136">
        <v>656378351</v>
      </c>
      <c r="C4136">
        <v>144</v>
      </c>
      <c r="D4136" t="s">
        <v>13345</v>
      </c>
      <c r="E4136">
        <v>4820</v>
      </c>
      <c r="F4136" t="s">
        <v>23479</v>
      </c>
      <c r="G4136">
        <v>1</v>
      </c>
      <c r="H4136" t="s">
        <v>13910</v>
      </c>
      <c r="J4136" t="s">
        <v>13848</v>
      </c>
      <c r="K4136" t="s">
        <v>53</v>
      </c>
      <c r="L4136" t="s">
        <v>80</v>
      </c>
      <c r="M4136" t="s">
        <v>105</v>
      </c>
      <c r="N4136" t="s">
        <v>13929</v>
      </c>
      <c r="O4136" t="s">
        <v>13930</v>
      </c>
      <c r="P4136" s="2" t="s">
        <v>67</v>
      </c>
      <c r="Q4136" t="s">
        <v>68</v>
      </c>
      <c r="R4136">
        <v>15.3</v>
      </c>
      <c r="S4136">
        <v>15.35</v>
      </c>
      <c r="T4136" t="s">
        <v>13931</v>
      </c>
    </row>
    <row r="4137" spans="1:20" x14ac:dyDescent="0.25">
      <c r="A4137" s="1" t="str">
        <f>HYPERLINK("https://vegkart.atlas.vegvesen.no/#/@541834.8,7522820.0,18/hva:hva%5B0%5D%5Bfilter%5D%5B0%5D%5Boperator%5D=%21%3D&amp;hva%5B0%5D%5Bfilter%5D%5B0%5D%5Btype_id%5D=4820&amp;hva%5B0%5D%5Bfilter%5D%5B0%5D%5Bverdi%5D=&amp;hva%5B0%5D%5Bid%5D=144/når:2015-12-10", "Vegkart")</f>
        <v>Vegkart</v>
      </c>
      <c r="B4137">
        <v>656378352</v>
      </c>
      <c r="C4137">
        <v>144</v>
      </c>
      <c r="D4137" t="s">
        <v>13345</v>
      </c>
      <c r="E4137">
        <v>4820</v>
      </c>
      <c r="F4137" t="s">
        <v>23479</v>
      </c>
      <c r="G4137">
        <v>1</v>
      </c>
      <c r="H4137" t="s">
        <v>13910</v>
      </c>
      <c r="J4137" t="s">
        <v>13848</v>
      </c>
      <c r="K4137" t="s">
        <v>53</v>
      </c>
      <c r="L4137" t="s">
        <v>80</v>
      </c>
      <c r="M4137" t="s">
        <v>105</v>
      </c>
      <c r="N4137" t="s">
        <v>13932</v>
      </c>
      <c r="O4137" t="s">
        <v>13933</v>
      </c>
      <c r="P4137" s="2" t="s">
        <v>37</v>
      </c>
      <c r="Q4137" t="s">
        <v>1208</v>
      </c>
      <c r="R4137">
        <v>16.22</v>
      </c>
      <c r="S4137">
        <v>19.29</v>
      </c>
      <c r="T4137" t="s">
        <v>13934</v>
      </c>
    </row>
    <row r="4138" spans="1:20" x14ac:dyDescent="0.25">
      <c r="A4138" s="1" t="str">
        <f>HYPERLINK("https://vegkart.atlas.vegvesen.no/#/@541833.6,7522813.7,18/hva:hva%5B0%5D%5Bfilter%5D%5B0%5D%5Boperator%5D=%21%3D&amp;hva%5B0%5D%5Bfilter%5D%5B0%5D%5Btype_id%5D=4820&amp;hva%5B0%5D%5Bfilter%5D%5B0%5D%5Bverdi%5D=&amp;hva%5B0%5D%5Bid%5D=144/når:2015-12-10", "Vegkart")</f>
        <v>Vegkart</v>
      </c>
      <c r="B4138">
        <v>656378353</v>
      </c>
      <c r="C4138">
        <v>144</v>
      </c>
      <c r="D4138" t="s">
        <v>13345</v>
      </c>
      <c r="E4138">
        <v>4820</v>
      </c>
      <c r="F4138" t="s">
        <v>23479</v>
      </c>
      <c r="G4138">
        <v>1</v>
      </c>
      <c r="H4138" t="s">
        <v>13910</v>
      </c>
      <c r="J4138" t="s">
        <v>13848</v>
      </c>
      <c r="K4138" t="s">
        <v>53</v>
      </c>
      <c r="L4138" t="s">
        <v>80</v>
      </c>
      <c r="M4138" t="s">
        <v>105</v>
      </c>
      <c r="N4138" t="s">
        <v>13935</v>
      </c>
      <c r="O4138" t="s">
        <v>13936</v>
      </c>
      <c r="P4138" s="2" t="s">
        <v>37</v>
      </c>
      <c r="Q4138" t="s">
        <v>1208</v>
      </c>
      <c r="R4138">
        <v>15.53</v>
      </c>
      <c r="S4138">
        <v>20.82</v>
      </c>
      <c r="T4138" t="s">
        <v>13937</v>
      </c>
    </row>
    <row r="4139" spans="1:20" x14ac:dyDescent="0.25">
      <c r="A4139" s="1" t="str">
        <f>HYPERLINK("https://vegkart.atlas.vegvesen.no/#/@541783.1,7522711.0,18/hva:hva%5B0%5D%5Bfilter%5D%5B0%5D%5Boperator%5D=%21%3D&amp;hva%5B0%5D%5Bfilter%5D%5B0%5D%5Btype_id%5D=4820&amp;hva%5B0%5D%5Bfilter%5D%5B0%5D%5Bverdi%5D=&amp;hva%5B0%5D%5Bid%5D=144/når:2015-12-10", "Vegkart")</f>
        <v>Vegkart</v>
      </c>
      <c r="B4139">
        <v>656378354</v>
      </c>
      <c r="C4139">
        <v>144</v>
      </c>
      <c r="D4139" t="s">
        <v>13345</v>
      </c>
      <c r="E4139">
        <v>4820</v>
      </c>
      <c r="F4139" t="s">
        <v>23479</v>
      </c>
      <c r="G4139">
        <v>1</v>
      </c>
      <c r="H4139" t="s">
        <v>13910</v>
      </c>
      <c r="J4139" t="s">
        <v>13848</v>
      </c>
      <c r="K4139" t="s">
        <v>53</v>
      </c>
      <c r="L4139" t="s">
        <v>80</v>
      </c>
      <c r="M4139" t="s">
        <v>105</v>
      </c>
      <c r="N4139" t="s">
        <v>13938</v>
      </c>
      <c r="O4139" t="s">
        <v>13939</v>
      </c>
      <c r="P4139" s="2" t="s">
        <v>67</v>
      </c>
      <c r="Q4139" t="s">
        <v>68</v>
      </c>
      <c r="R4139">
        <v>30.82</v>
      </c>
      <c r="S4139">
        <v>30.82</v>
      </c>
      <c r="T4139" t="s">
        <v>13940</v>
      </c>
    </row>
    <row r="4140" spans="1:20" x14ac:dyDescent="0.25">
      <c r="A4140" s="1" t="str">
        <f>HYPERLINK("https://vegkart.atlas.vegvesen.no/#/@541783.6,7522713.9,18/hva:hva%5B0%5D%5Bfilter%5D%5B0%5D%5Boperator%5D=%21%3D&amp;hva%5B0%5D%5Bfilter%5D%5B0%5D%5Btype_id%5D=4820&amp;hva%5B0%5D%5Bfilter%5D%5B0%5D%5Bverdi%5D=&amp;hva%5B0%5D%5Bid%5D=144/når:2015-12-10", "Vegkart")</f>
        <v>Vegkart</v>
      </c>
      <c r="B4140">
        <v>656378355</v>
      </c>
      <c r="C4140">
        <v>144</v>
      </c>
      <c r="D4140" t="s">
        <v>13345</v>
      </c>
      <c r="E4140">
        <v>4820</v>
      </c>
      <c r="F4140" t="s">
        <v>23479</v>
      </c>
      <c r="G4140">
        <v>1</v>
      </c>
      <c r="H4140" t="s">
        <v>13910</v>
      </c>
      <c r="J4140" t="s">
        <v>13848</v>
      </c>
      <c r="K4140" t="s">
        <v>53</v>
      </c>
      <c r="L4140" t="s">
        <v>80</v>
      </c>
      <c r="M4140" t="s">
        <v>105</v>
      </c>
      <c r="N4140" t="s">
        <v>13941</v>
      </c>
      <c r="O4140" t="s">
        <v>13942</v>
      </c>
      <c r="P4140" s="2" t="s">
        <v>67</v>
      </c>
      <c r="Q4140" t="s">
        <v>68</v>
      </c>
      <c r="R4140">
        <v>30.77</v>
      </c>
      <c r="S4140">
        <v>30.81</v>
      </c>
      <c r="T4140" t="s">
        <v>13943</v>
      </c>
    </row>
    <row r="4141" spans="1:20" x14ac:dyDescent="0.25">
      <c r="A4141" s="1" t="str">
        <f>HYPERLINK("https://vegkart.atlas.vegvesen.no/#/@541819.7,7522707.8,18/hva:hva%5B0%5D%5Bfilter%5D%5B0%5D%5Boperator%5D=%21%3D&amp;hva%5B0%5D%5Bfilter%5D%5B0%5D%5Btype_id%5D=4820&amp;hva%5B0%5D%5Bfilter%5D%5B0%5D%5Bverdi%5D=&amp;hva%5B0%5D%5Bid%5D=144/når:2015-12-10", "Vegkart")</f>
        <v>Vegkart</v>
      </c>
      <c r="B4141">
        <v>656378356</v>
      </c>
      <c r="C4141">
        <v>144</v>
      </c>
      <c r="D4141" t="s">
        <v>13345</v>
      </c>
      <c r="E4141">
        <v>4820</v>
      </c>
      <c r="F4141" t="s">
        <v>23479</v>
      </c>
      <c r="G4141">
        <v>1</v>
      </c>
      <c r="H4141" t="s">
        <v>13910</v>
      </c>
      <c r="J4141" t="s">
        <v>13848</v>
      </c>
      <c r="K4141" t="s">
        <v>53</v>
      </c>
      <c r="L4141" t="s">
        <v>80</v>
      </c>
      <c r="M4141" t="s">
        <v>105</v>
      </c>
      <c r="N4141" t="s">
        <v>13944</v>
      </c>
      <c r="O4141" t="s">
        <v>13945</v>
      </c>
      <c r="P4141" s="2" t="s">
        <v>67</v>
      </c>
      <c r="Q4141" t="s">
        <v>68</v>
      </c>
      <c r="R4141">
        <v>2.02</v>
      </c>
      <c r="S4141">
        <v>2.04</v>
      </c>
      <c r="T4141" t="s">
        <v>13946</v>
      </c>
    </row>
    <row r="4142" spans="1:20" x14ac:dyDescent="0.25">
      <c r="A4142" s="1" t="str">
        <f>HYPERLINK("https://vegkart.atlas.vegvesen.no/#/@541786.1,7522564.9,18/hva:hva%5B0%5D%5Bfilter%5D%5B0%5D%5Boperator%5D=%21%3D&amp;hva%5B0%5D%5Bfilter%5D%5B0%5D%5Btype_id%5D=4820&amp;hva%5B0%5D%5Bfilter%5D%5B0%5D%5Bverdi%5D=&amp;hva%5B0%5D%5Bid%5D=144/når:2015-12-10", "Vegkart")</f>
        <v>Vegkart</v>
      </c>
      <c r="B4142">
        <v>656378358</v>
      </c>
      <c r="C4142">
        <v>144</v>
      </c>
      <c r="D4142" t="s">
        <v>13345</v>
      </c>
      <c r="E4142">
        <v>4820</v>
      </c>
      <c r="F4142" t="s">
        <v>23479</v>
      </c>
      <c r="G4142">
        <v>1</v>
      </c>
      <c r="H4142" t="s">
        <v>13910</v>
      </c>
      <c r="J4142" t="s">
        <v>13848</v>
      </c>
      <c r="K4142" t="s">
        <v>53</v>
      </c>
      <c r="L4142" t="s">
        <v>80</v>
      </c>
      <c r="M4142" t="s">
        <v>105</v>
      </c>
      <c r="N4142" t="s">
        <v>13947</v>
      </c>
      <c r="O4142" t="s">
        <v>13948</v>
      </c>
      <c r="P4142" s="2" t="s">
        <v>67</v>
      </c>
      <c r="Q4142" t="s">
        <v>68</v>
      </c>
      <c r="R4142">
        <v>4.4800000000000004</v>
      </c>
      <c r="S4142">
        <v>4.4800000000000004</v>
      </c>
      <c r="T4142" t="s">
        <v>13949</v>
      </c>
    </row>
    <row r="4143" spans="1:20" x14ac:dyDescent="0.25">
      <c r="A4143" s="1" t="str">
        <f>HYPERLINK("https://vegkart.atlas.vegvesen.no/#/@541787.0,7522562.4,18/hva:hva%5B0%5D%5Bfilter%5D%5B0%5D%5Boperator%5D=%21%3D&amp;hva%5B0%5D%5Bfilter%5D%5B0%5D%5Btype_id%5D=4820&amp;hva%5B0%5D%5Bfilter%5D%5B0%5D%5Bverdi%5D=&amp;hva%5B0%5D%5Bid%5D=144/når:2015-12-10", "Vegkart")</f>
        <v>Vegkart</v>
      </c>
      <c r="B4143">
        <v>656378359</v>
      </c>
      <c r="C4143">
        <v>144</v>
      </c>
      <c r="D4143" t="s">
        <v>13345</v>
      </c>
      <c r="E4143">
        <v>4820</v>
      </c>
      <c r="F4143" t="s">
        <v>23479</v>
      </c>
      <c r="G4143">
        <v>1</v>
      </c>
      <c r="H4143" t="s">
        <v>13910</v>
      </c>
      <c r="J4143" t="s">
        <v>13848</v>
      </c>
      <c r="K4143" t="s">
        <v>53</v>
      </c>
      <c r="L4143" t="s">
        <v>80</v>
      </c>
      <c r="M4143" t="s">
        <v>105</v>
      </c>
      <c r="N4143" t="s">
        <v>13950</v>
      </c>
      <c r="O4143" t="s">
        <v>13951</v>
      </c>
      <c r="P4143" s="2" t="s">
        <v>37</v>
      </c>
      <c r="Q4143" t="s">
        <v>1208</v>
      </c>
      <c r="R4143">
        <v>5.38</v>
      </c>
      <c r="S4143">
        <v>7.62</v>
      </c>
      <c r="T4143" t="s">
        <v>13952</v>
      </c>
    </row>
    <row r="4144" spans="1:20" x14ac:dyDescent="0.25">
      <c r="A4144" s="1" t="str">
        <f>HYPERLINK("https://vegkart.atlas.vegvesen.no/#/@541787.2,7522568.2,18/hva:hva%5B0%5D%5Bfilter%5D%5B0%5D%5Boperator%5D=%21%3D&amp;hva%5B0%5D%5Bfilter%5D%5B0%5D%5Btype_id%5D=4820&amp;hva%5B0%5D%5Bfilter%5D%5B0%5D%5Bverdi%5D=&amp;hva%5B0%5D%5Bid%5D=144/når:2015-12-10", "Vegkart")</f>
        <v>Vegkart</v>
      </c>
      <c r="B4144">
        <v>656378360</v>
      </c>
      <c r="C4144">
        <v>144</v>
      </c>
      <c r="D4144" t="s">
        <v>13345</v>
      </c>
      <c r="E4144">
        <v>4820</v>
      </c>
      <c r="F4144" t="s">
        <v>23479</v>
      </c>
      <c r="G4144">
        <v>1</v>
      </c>
      <c r="H4144" t="s">
        <v>13910</v>
      </c>
      <c r="J4144" t="s">
        <v>13848</v>
      </c>
      <c r="K4144" t="s">
        <v>53</v>
      </c>
      <c r="L4144" t="s">
        <v>80</v>
      </c>
      <c r="M4144" t="s">
        <v>105</v>
      </c>
      <c r="N4144" t="s">
        <v>13953</v>
      </c>
      <c r="O4144" t="s">
        <v>13954</v>
      </c>
      <c r="P4144" s="2" t="s">
        <v>37</v>
      </c>
      <c r="Q4144" t="s">
        <v>1208</v>
      </c>
      <c r="R4144">
        <v>6.28</v>
      </c>
      <c r="S4144">
        <v>8.86</v>
      </c>
      <c r="T4144" t="s">
        <v>13955</v>
      </c>
    </row>
    <row r="4145" spans="1:20" x14ac:dyDescent="0.25">
      <c r="A4145" s="1" t="str">
        <f>HYPERLINK("https://vegkart.atlas.vegvesen.no/#/@541789.8,7522470.2,18/hva:hva%5B0%5D%5Bfilter%5D%5B0%5D%5Boperator%5D=%21%3D&amp;hva%5B0%5D%5Bfilter%5D%5B0%5D%5Btype_id%5D=4820&amp;hva%5B0%5D%5Bfilter%5D%5B0%5D%5Bverdi%5D=&amp;hva%5B0%5D%5Bid%5D=144/når:2015-12-10", "Vegkart")</f>
        <v>Vegkart</v>
      </c>
      <c r="B4145">
        <v>656378361</v>
      </c>
      <c r="C4145">
        <v>144</v>
      </c>
      <c r="D4145" t="s">
        <v>13345</v>
      </c>
      <c r="E4145">
        <v>4820</v>
      </c>
      <c r="F4145" t="s">
        <v>23479</v>
      </c>
      <c r="G4145">
        <v>1</v>
      </c>
      <c r="H4145" t="s">
        <v>13910</v>
      </c>
      <c r="J4145" t="s">
        <v>13848</v>
      </c>
      <c r="K4145" t="s">
        <v>53</v>
      </c>
      <c r="L4145" t="s">
        <v>80</v>
      </c>
      <c r="M4145" t="s">
        <v>105</v>
      </c>
      <c r="N4145" t="s">
        <v>13956</v>
      </c>
      <c r="O4145" t="s">
        <v>13957</v>
      </c>
      <c r="P4145" s="2" t="s">
        <v>67</v>
      </c>
      <c r="Q4145" t="s">
        <v>68</v>
      </c>
      <c r="R4145">
        <v>4.59</v>
      </c>
      <c r="S4145">
        <v>4.59</v>
      </c>
      <c r="T4145" t="s">
        <v>13958</v>
      </c>
    </row>
    <row r="4146" spans="1:20" x14ac:dyDescent="0.25">
      <c r="A4146" s="1" t="str">
        <f>HYPERLINK("https://vegkart.atlas.vegvesen.no/#/@541790.7,7522472.9,18/hva:hva%5B0%5D%5Bfilter%5D%5B0%5D%5Boperator%5D=%21%3D&amp;hva%5B0%5D%5Bfilter%5D%5B0%5D%5Btype_id%5D=4820&amp;hva%5B0%5D%5Bfilter%5D%5B0%5D%5Bverdi%5D=&amp;hva%5B0%5D%5Bid%5D=144/når:2015-12-10", "Vegkart")</f>
        <v>Vegkart</v>
      </c>
      <c r="B4146">
        <v>656378362</v>
      </c>
      <c r="C4146">
        <v>144</v>
      </c>
      <c r="D4146" t="s">
        <v>13345</v>
      </c>
      <c r="E4146">
        <v>4820</v>
      </c>
      <c r="F4146" t="s">
        <v>23479</v>
      </c>
      <c r="G4146">
        <v>1</v>
      </c>
      <c r="H4146" t="s">
        <v>13910</v>
      </c>
      <c r="J4146" t="s">
        <v>13848</v>
      </c>
      <c r="K4146" t="s">
        <v>53</v>
      </c>
      <c r="L4146" t="s">
        <v>80</v>
      </c>
      <c r="M4146" t="s">
        <v>105</v>
      </c>
      <c r="N4146" t="s">
        <v>13959</v>
      </c>
      <c r="O4146" t="s">
        <v>13960</v>
      </c>
      <c r="P4146" s="2" t="s">
        <v>37</v>
      </c>
      <c r="Q4146" t="s">
        <v>1208</v>
      </c>
      <c r="R4146">
        <v>5.75</v>
      </c>
      <c r="S4146">
        <v>7.95</v>
      </c>
      <c r="T4146" t="s">
        <v>13961</v>
      </c>
    </row>
    <row r="4147" spans="1:20" x14ac:dyDescent="0.25">
      <c r="A4147" s="1" t="str">
        <f>HYPERLINK("https://vegkart.atlas.vegvesen.no/#/@541790.9,7522467.6,18/hva:hva%5B0%5D%5Bfilter%5D%5B0%5D%5Boperator%5D=%21%3D&amp;hva%5B0%5D%5Bfilter%5D%5B0%5D%5Btype_id%5D=4820&amp;hva%5B0%5D%5Bfilter%5D%5B0%5D%5Bverdi%5D=&amp;hva%5B0%5D%5Bid%5D=144/når:2015-12-10", "Vegkart")</f>
        <v>Vegkart</v>
      </c>
      <c r="B4147">
        <v>656378363</v>
      </c>
      <c r="C4147">
        <v>144</v>
      </c>
      <c r="D4147" t="s">
        <v>13345</v>
      </c>
      <c r="E4147">
        <v>4820</v>
      </c>
      <c r="F4147" t="s">
        <v>23479</v>
      </c>
      <c r="G4147">
        <v>1</v>
      </c>
      <c r="H4147" t="s">
        <v>13910</v>
      </c>
      <c r="J4147" t="s">
        <v>13848</v>
      </c>
      <c r="K4147" t="s">
        <v>53</v>
      </c>
      <c r="L4147" t="s">
        <v>80</v>
      </c>
      <c r="M4147" t="s">
        <v>105</v>
      </c>
      <c r="N4147" t="s">
        <v>13962</v>
      </c>
      <c r="O4147" t="s">
        <v>13963</v>
      </c>
      <c r="P4147" s="2" t="s">
        <v>37</v>
      </c>
      <c r="Q4147" t="s">
        <v>1208</v>
      </c>
      <c r="R4147">
        <v>5.61</v>
      </c>
      <c r="S4147">
        <v>8.26</v>
      </c>
      <c r="T4147" t="s">
        <v>13964</v>
      </c>
    </row>
    <row r="4148" spans="1:20" x14ac:dyDescent="0.25">
      <c r="A4148" s="1" t="str">
        <f>HYPERLINK("https://vegkart.atlas.vegvesen.no/#/@541792.1,7522391.1,18/hva:hva%5B0%5D%5Bfilter%5D%5B0%5D%5Boperator%5D=%21%3D&amp;hva%5B0%5D%5Bfilter%5D%5B0%5D%5Btype_id%5D=4820&amp;hva%5B0%5D%5Bfilter%5D%5B0%5D%5Bverdi%5D=&amp;hva%5B0%5D%5Bid%5D=144/når:2015-12-10", "Vegkart")</f>
        <v>Vegkart</v>
      </c>
      <c r="B4148">
        <v>656378364</v>
      </c>
      <c r="C4148">
        <v>144</v>
      </c>
      <c r="D4148" t="s">
        <v>13345</v>
      </c>
      <c r="E4148">
        <v>4820</v>
      </c>
      <c r="F4148" t="s">
        <v>23479</v>
      </c>
      <c r="G4148">
        <v>1</v>
      </c>
      <c r="H4148" t="s">
        <v>13910</v>
      </c>
      <c r="J4148" t="s">
        <v>13848</v>
      </c>
      <c r="K4148" t="s">
        <v>53</v>
      </c>
      <c r="L4148" t="s">
        <v>80</v>
      </c>
      <c r="M4148" t="s">
        <v>105</v>
      </c>
      <c r="N4148" t="s">
        <v>13965</v>
      </c>
      <c r="O4148" t="s">
        <v>13966</v>
      </c>
      <c r="P4148" s="2" t="s">
        <v>67</v>
      </c>
      <c r="Q4148" t="s">
        <v>68</v>
      </c>
      <c r="R4148">
        <v>4.7</v>
      </c>
      <c r="S4148">
        <v>4.7</v>
      </c>
      <c r="T4148" t="s">
        <v>13967</v>
      </c>
    </row>
    <row r="4149" spans="1:20" x14ac:dyDescent="0.25">
      <c r="A4149" s="1" t="str">
        <f>HYPERLINK("https://vegkart.atlas.vegvesen.no/#/@541792.2,7522386.9,18/hva:hva%5B0%5D%5Bfilter%5D%5B0%5D%5Boperator%5D=%21%3D&amp;hva%5B0%5D%5Bfilter%5D%5B0%5D%5Btype_id%5D=4820&amp;hva%5B0%5D%5Bfilter%5D%5B0%5D%5Bverdi%5D=&amp;hva%5B0%5D%5Bid%5D=144/når:2015-12-10", "Vegkart")</f>
        <v>Vegkart</v>
      </c>
      <c r="B4149">
        <v>656378365</v>
      </c>
      <c r="C4149">
        <v>144</v>
      </c>
      <c r="D4149" t="s">
        <v>13345</v>
      </c>
      <c r="E4149">
        <v>4820</v>
      </c>
      <c r="F4149" t="s">
        <v>23479</v>
      </c>
      <c r="G4149">
        <v>1</v>
      </c>
      <c r="H4149" t="s">
        <v>13910</v>
      </c>
      <c r="J4149" t="s">
        <v>13848</v>
      </c>
      <c r="K4149" t="s">
        <v>53</v>
      </c>
      <c r="L4149" t="s">
        <v>80</v>
      </c>
      <c r="M4149" t="s">
        <v>105</v>
      </c>
      <c r="N4149" t="s">
        <v>13968</v>
      </c>
      <c r="O4149" t="s">
        <v>13969</v>
      </c>
      <c r="P4149" s="2" t="s">
        <v>67</v>
      </c>
      <c r="Q4149" t="s">
        <v>68</v>
      </c>
      <c r="R4149">
        <v>4.68</v>
      </c>
      <c r="S4149">
        <v>4.68</v>
      </c>
      <c r="T4149" t="s">
        <v>13970</v>
      </c>
    </row>
    <row r="4150" spans="1:20" x14ac:dyDescent="0.25">
      <c r="A4150" s="1" t="str">
        <f>HYPERLINK("https://vegkart.atlas.vegvesen.no/#/@541792.3,7522383.2,18/hva:hva%5B0%5D%5Bfilter%5D%5B0%5D%5Boperator%5D=%21%3D&amp;hva%5B0%5D%5Bfilter%5D%5B0%5D%5Btype_id%5D=4820&amp;hva%5B0%5D%5Bfilter%5D%5B0%5D%5Bverdi%5D=&amp;hva%5B0%5D%5Bid%5D=144/når:2015-12-10", "Vegkart")</f>
        <v>Vegkart</v>
      </c>
      <c r="B4150">
        <v>656378366</v>
      </c>
      <c r="C4150">
        <v>144</v>
      </c>
      <c r="D4150" t="s">
        <v>13345</v>
      </c>
      <c r="E4150">
        <v>4820</v>
      </c>
      <c r="F4150" t="s">
        <v>23479</v>
      </c>
      <c r="G4150">
        <v>1</v>
      </c>
      <c r="H4150" t="s">
        <v>13910</v>
      </c>
      <c r="J4150" t="s">
        <v>13848</v>
      </c>
      <c r="K4150" t="s">
        <v>53</v>
      </c>
      <c r="L4150" t="s">
        <v>80</v>
      </c>
      <c r="M4150" t="s">
        <v>105</v>
      </c>
      <c r="N4150" t="s">
        <v>13971</v>
      </c>
      <c r="O4150" t="s">
        <v>13972</v>
      </c>
      <c r="P4150" s="2" t="s">
        <v>67</v>
      </c>
      <c r="Q4150" t="s">
        <v>68</v>
      </c>
      <c r="R4150">
        <v>4.68</v>
      </c>
      <c r="S4150">
        <v>4.68</v>
      </c>
      <c r="T4150" t="s">
        <v>13973</v>
      </c>
    </row>
    <row r="4151" spans="1:20" x14ac:dyDescent="0.25">
      <c r="A4151" s="1" t="str">
        <f>HYPERLINK("https://vegkart.atlas.vegvesen.no/#/@541808.1,7521938.4,18/hva:hva%5B0%5D%5Bfilter%5D%5B0%5D%5Boperator%5D=%21%3D&amp;hva%5B0%5D%5Bfilter%5D%5B0%5D%5Btype_id%5D=4820&amp;hva%5B0%5D%5Bfilter%5D%5B0%5D%5Bverdi%5D=&amp;hva%5B0%5D%5Bid%5D=144/når:2015-12-10", "Vegkart")</f>
        <v>Vegkart</v>
      </c>
      <c r="B4151">
        <v>656378367</v>
      </c>
      <c r="C4151">
        <v>144</v>
      </c>
      <c r="D4151" t="s">
        <v>13345</v>
      </c>
      <c r="E4151">
        <v>4820</v>
      </c>
      <c r="F4151" t="s">
        <v>23479</v>
      </c>
      <c r="G4151">
        <v>1</v>
      </c>
      <c r="H4151" t="s">
        <v>13910</v>
      </c>
      <c r="J4151" t="s">
        <v>13848</v>
      </c>
      <c r="K4151" t="s">
        <v>53</v>
      </c>
      <c r="L4151" t="s">
        <v>80</v>
      </c>
      <c r="M4151" t="s">
        <v>105</v>
      </c>
      <c r="N4151" t="s">
        <v>13974</v>
      </c>
      <c r="O4151" t="s">
        <v>13975</v>
      </c>
      <c r="P4151" s="2" t="s">
        <v>67</v>
      </c>
      <c r="Q4151" t="s">
        <v>68</v>
      </c>
      <c r="R4151">
        <v>20.56</v>
      </c>
      <c r="S4151">
        <v>20.83</v>
      </c>
      <c r="T4151" t="s">
        <v>13976</v>
      </c>
    </row>
    <row r="4152" spans="1:20" x14ac:dyDescent="0.25">
      <c r="A4152" s="1" t="str">
        <f>HYPERLINK("https://vegkart.atlas.vegvesen.no/#/@541808.8,7521936.8,18/hva:hva%5B0%5D%5Bfilter%5D%5B0%5D%5Boperator%5D=%21%3D&amp;hva%5B0%5D%5Bfilter%5D%5B0%5D%5Btype_id%5D=4820&amp;hva%5B0%5D%5Bfilter%5D%5B0%5D%5Bverdi%5D=&amp;hva%5B0%5D%5Bid%5D=144/når:2015-12-10", "Vegkart")</f>
        <v>Vegkart</v>
      </c>
      <c r="B4152">
        <v>656378368</v>
      </c>
      <c r="C4152">
        <v>144</v>
      </c>
      <c r="D4152" t="s">
        <v>13345</v>
      </c>
      <c r="E4152">
        <v>4820</v>
      </c>
      <c r="F4152" t="s">
        <v>23479</v>
      </c>
      <c r="G4152">
        <v>1</v>
      </c>
      <c r="H4152" t="s">
        <v>13910</v>
      </c>
      <c r="J4152" t="s">
        <v>13848</v>
      </c>
      <c r="K4152" t="s">
        <v>53</v>
      </c>
      <c r="L4152" t="s">
        <v>80</v>
      </c>
      <c r="M4152" t="s">
        <v>105</v>
      </c>
      <c r="N4152" t="s">
        <v>13977</v>
      </c>
      <c r="O4152" t="s">
        <v>13978</v>
      </c>
      <c r="P4152" s="2" t="s">
        <v>67</v>
      </c>
      <c r="Q4152" t="s">
        <v>68</v>
      </c>
      <c r="R4152">
        <v>20.53</v>
      </c>
      <c r="S4152">
        <v>21.74</v>
      </c>
      <c r="T4152" t="s">
        <v>13979</v>
      </c>
    </row>
    <row r="4153" spans="1:20" x14ac:dyDescent="0.25">
      <c r="A4153" s="1" t="str">
        <f>HYPERLINK("https://vegkart.atlas.vegvesen.no/#/@541808.5,7521940.4,18/hva:hva%5B0%5D%5Bfilter%5D%5B0%5D%5Boperator%5D=%21%3D&amp;hva%5B0%5D%5Bfilter%5D%5B0%5D%5Btype_id%5D=4820&amp;hva%5B0%5D%5Bfilter%5D%5B0%5D%5Bverdi%5D=&amp;hva%5B0%5D%5Bid%5D=144/når:2015-12-10", "Vegkart")</f>
        <v>Vegkart</v>
      </c>
      <c r="B4153">
        <v>656378369</v>
      </c>
      <c r="C4153">
        <v>144</v>
      </c>
      <c r="D4153" t="s">
        <v>13345</v>
      </c>
      <c r="E4153">
        <v>4820</v>
      </c>
      <c r="F4153" t="s">
        <v>23479</v>
      </c>
      <c r="G4153">
        <v>1</v>
      </c>
      <c r="H4153" t="s">
        <v>13910</v>
      </c>
      <c r="J4153" t="s">
        <v>13848</v>
      </c>
      <c r="K4153" t="s">
        <v>53</v>
      </c>
      <c r="L4153" t="s">
        <v>80</v>
      </c>
      <c r="M4153" t="s">
        <v>105</v>
      </c>
      <c r="N4153" t="s">
        <v>13980</v>
      </c>
      <c r="O4153" t="s">
        <v>13981</v>
      </c>
      <c r="P4153" s="2" t="s">
        <v>67</v>
      </c>
      <c r="Q4153" t="s">
        <v>68</v>
      </c>
      <c r="R4153">
        <v>20.36</v>
      </c>
      <c r="S4153">
        <v>21.98</v>
      </c>
      <c r="T4153" t="s">
        <v>13982</v>
      </c>
    </row>
    <row r="4154" spans="1:20" x14ac:dyDescent="0.25">
      <c r="A4154" s="1" t="str">
        <f>HYPERLINK("https://vegkart.atlas.vegvesen.no/#/@541804.2,7521844.6,18/hva:hva%5B0%5D%5Bfilter%5D%5B0%5D%5Boperator%5D=%21%3D&amp;hva%5B0%5D%5Bfilter%5D%5B0%5D%5Btype_id%5D=4820&amp;hva%5B0%5D%5Bfilter%5D%5B0%5D%5Bverdi%5D=&amp;hva%5B0%5D%5Bid%5D=144/når:2015-12-10", "Vegkart")</f>
        <v>Vegkart</v>
      </c>
      <c r="B4154">
        <v>656378370</v>
      </c>
      <c r="C4154">
        <v>144</v>
      </c>
      <c r="D4154" t="s">
        <v>13345</v>
      </c>
      <c r="E4154">
        <v>4820</v>
      </c>
      <c r="F4154" t="s">
        <v>23479</v>
      </c>
      <c r="G4154">
        <v>1</v>
      </c>
      <c r="H4154" t="s">
        <v>13910</v>
      </c>
      <c r="J4154" t="s">
        <v>13848</v>
      </c>
      <c r="K4154" t="s">
        <v>53</v>
      </c>
      <c r="L4154" t="s">
        <v>80</v>
      </c>
      <c r="M4154" t="s">
        <v>105</v>
      </c>
      <c r="N4154" t="s">
        <v>13983</v>
      </c>
      <c r="O4154" t="s">
        <v>13984</v>
      </c>
      <c r="P4154" s="2" t="s">
        <v>67</v>
      </c>
      <c r="Q4154" t="s">
        <v>68</v>
      </c>
      <c r="R4154">
        <v>39.32</v>
      </c>
      <c r="S4154">
        <v>42.67</v>
      </c>
      <c r="T4154" t="s">
        <v>13985</v>
      </c>
    </row>
    <row r="4155" spans="1:20" x14ac:dyDescent="0.25">
      <c r="A4155" s="1" t="str">
        <f>HYPERLINK("https://vegkart.atlas.vegvesen.no/#/@541802.9,7521848.8,18/hva:hva%5B0%5D%5Bfilter%5D%5B0%5D%5Boperator%5D=%21%3D&amp;hva%5B0%5D%5Bfilter%5D%5B0%5D%5Btype_id%5D=4820&amp;hva%5B0%5D%5Bfilter%5D%5B0%5D%5Bverdi%5D=&amp;hva%5B0%5D%5Bid%5D=144/når:2015-12-10", "Vegkart")</f>
        <v>Vegkart</v>
      </c>
      <c r="B4155">
        <v>656378371</v>
      </c>
      <c r="C4155">
        <v>144</v>
      </c>
      <c r="D4155" t="s">
        <v>13345</v>
      </c>
      <c r="E4155">
        <v>4820</v>
      </c>
      <c r="F4155" t="s">
        <v>23479</v>
      </c>
      <c r="G4155">
        <v>1</v>
      </c>
      <c r="H4155" t="s">
        <v>13910</v>
      </c>
      <c r="J4155" t="s">
        <v>13848</v>
      </c>
      <c r="K4155" t="s">
        <v>53</v>
      </c>
      <c r="L4155" t="s">
        <v>80</v>
      </c>
      <c r="M4155" t="s">
        <v>105</v>
      </c>
      <c r="N4155" t="s">
        <v>13986</v>
      </c>
      <c r="O4155" t="s">
        <v>13987</v>
      </c>
      <c r="P4155" s="2" t="s">
        <v>67</v>
      </c>
      <c r="Q4155" t="s">
        <v>68</v>
      </c>
      <c r="R4155">
        <v>39.69</v>
      </c>
      <c r="S4155">
        <v>39.76</v>
      </c>
      <c r="T4155" t="s">
        <v>13988</v>
      </c>
    </row>
    <row r="4156" spans="1:20" x14ac:dyDescent="0.25">
      <c r="A4156" s="1" t="str">
        <f>HYPERLINK("https://vegkart.atlas.vegvesen.no/#/@541803.4,7521852.7,18/hva:hva%5B0%5D%5Bfilter%5D%5B0%5D%5Boperator%5D=%21%3D&amp;hva%5B0%5D%5Bfilter%5D%5B0%5D%5Btype_id%5D=4820&amp;hva%5B0%5D%5Bfilter%5D%5B0%5D%5Bverdi%5D=&amp;hva%5B0%5D%5Bid%5D=144/når:2015-12-10", "Vegkart")</f>
        <v>Vegkart</v>
      </c>
      <c r="B4156">
        <v>656378372</v>
      </c>
      <c r="C4156">
        <v>144</v>
      </c>
      <c r="D4156" t="s">
        <v>13345</v>
      </c>
      <c r="E4156">
        <v>4820</v>
      </c>
      <c r="F4156" t="s">
        <v>23479</v>
      </c>
      <c r="G4156">
        <v>1</v>
      </c>
      <c r="H4156" t="s">
        <v>13910</v>
      </c>
      <c r="J4156" t="s">
        <v>13848</v>
      </c>
      <c r="K4156" t="s">
        <v>53</v>
      </c>
      <c r="L4156" t="s">
        <v>80</v>
      </c>
      <c r="M4156" t="s">
        <v>105</v>
      </c>
      <c r="N4156" t="s">
        <v>13989</v>
      </c>
      <c r="O4156" t="s">
        <v>13990</v>
      </c>
      <c r="P4156" s="2" t="s">
        <v>67</v>
      </c>
      <c r="Q4156" t="s">
        <v>68</v>
      </c>
      <c r="R4156">
        <v>40.31</v>
      </c>
      <c r="S4156">
        <v>41.35</v>
      </c>
      <c r="T4156" t="s">
        <v>13991</v>
      </c>
    </row>
    <row r="4157" spans="1:20" x14ac:dyDescent="0.25">
      <c r="A4157" s="1" t="str">
        <f>HYPERLINK("https://vegkart.atlas.vegvesen.no/#/@541819.5,7521714.2,18/hva:hva%5B0%5D%5Bfilter%5D%5B0%5D%5Boperator%5D=%21%3D&amp;hva%5B0%5D%5Bfilter%5D%5B0%5D%5Btype_id%5D=4820&amp;hva%5B0%5D%5Bfilter%5D%5B0%5D%5Bverdi%5D=&amp;hva%5B0%5D%5Bid%5D=144/når:2015-12-10", "Vegkart")</f>
        <v>Vegkart</v>
      </c>
      <c r="B4157">
        <v>656378373</v>
      </c>
      <c r="C4157">
        <v>144</v>
      </c>
      <c r="D4157" t="s">
        <v>13345</v>
      </c>
      <c r="E4157">
        <v>4820</v>
      </c>
      <c r="F4157" t="s">
        <v>23479</v>
      </c>
      <c r="G4157">
        <v>1</v>
      </c>
      <c r="H4157" t="s">
        <v>13910</v>
      </c>
      <c r="J4157" t="s">
        <v>13848</v>
      </c>
      <c r="K4157" t="s">
        <v>53</v>
      </c>
      <c r="L4157" t="s">
        <v>80</v>
      </c>
      <c r="M4157" t="s">
        <v>105</v>
      </c>
      <c r="N4157" t="s">
        <v>13992</v>
      </c>
      <c r="O4157" t="s">
        <v>13993</v>
      </c>
      <c r="P4157" s="2" t="s">
        <v>37</v>
      </c>
      <c r="Q4157" t="s">
        <v>1208</v>
      </c>
      <c r="R4157">
        <v>16.75</v>
      </c>
      <c r="S4157">
        <v>18.04</v>
      </c>
      <c r="T4157" t="s">
        <v>13994</v>
      </c>
    </row>
    <row r="4158" spans="1:20" x14ac:dyDescent="0.25">
      <c r="A4158" s="1" t="str">
        <f>HYPERLINK("https://vegkart.atlas.vegvesen.no/#/@541820.2,7521719.6,18/hva:hva%5B0%5D%5Bfilter%5D%5B0%5D%5Boperator%5D=%21%3D&amp;hva%5B0%5D%5Bfilter%5D%5B0%5D%5Btype_id%5D=4820&amp;hva%5B0%5D%5Bfilter%5D%5B0%5D%5Bverdi%5D=&amp;hva%5B0%5D%5Bid%5D=144/når:2015-12-10", "Vegkart")</f>
        <v>Vegkart</v>
      </c>
      <c r="B4158">
        <v>656378374</v>
      </c>
      <c r="C4158">
        <v>144</v>
      </c>
      <c r="D4158" t="s">
        <v>13345</v>
      </c>
      <c r="E4158">
        <v>4820</v>
      </c>
      <c r="F4158" t="s">
        <v>23479</v>
      </c>
      <c r="G4158">
        <v>1</v>
      </c>
      <c r="H4158" t="s">
        <v>13910</v>
      </c>
      <c r="J4158" t="s">
        <v>13848</v>
      </c>
      <c r="K4158" t="s">
        <v>53</v>
      </c>
      <c r="L4158" t="s">
        <v>80</v>
      </c>
      <c r="M4158" t="s">
        <v>105</v>
      </c>
      <c r="N4158" t="s">
        <v>13995</v>
      </c>
      <c r="O4158" t="s">
        <v>13996</v>
      </c>
      <c r="P4158" s="2" t="s">
        <v>37</v>
      </c>
      <c r="Q4158" t="s">
        <v>1208</v>
      </c>
      <c r="R4158">
        <v>16.899999999999999</v>
      </c>
      <c r="S4158">
        <v>18.57</v>
      </c>
      <c r="T4158" t="s">
        <v>13997</v>
      </c>
    </row>
    <row r="4159" spans="1:20" x14ac:dyDescent="0.25">
      <c r="A4159" s="1" t="str">
        <f>HYPERLINK("https://vegkart.atlas.vegvesen.no/#/@541740.1,7521419.3,18/hva:hva%5B0%5D%5Bfilter%5D%5B0%5D%5Boperator%5D=%21%3D&amp;hva%5B0%5D%5Bfilter%5D%5B0%5D%5Btype_id%5D=4820&amp;hva%5B0%5D%5Bfilter%5D%5B0%5D%5Bverdi%5D=&amp;hva%5B0%5D%5Bid%5D=144/når:2015-12-10", "Vegkart")</f>
        <v>Vegkart</v>
      </c>
      <c r="B4159">
        <v>656378375</v>
      </c>
      <c r="C4159">
        <v>144</v>
      </c>
      <c r="D4159" t="s">
        <v>13345</v>
      </c>
      <c r="E4159">
        <v>4820</v>
      </c>
      <c r="F4159" t="s">
        <v>23479</v>
      </c>
      <c r="G4159">
        <v>1</v>
      </c>
      <c r="H4159" t="s">
        <v>13910</v>
      </c>
      <c r="J4159" t="s">
        <v>13848</v>
      </c>
      <c r="K4159" t="s">
        <v>53</v>
      </c>
      <c r="L4159" t="s">
        <v>80</v>
      </c>
      <c r="M4159" t="s">
        <v>105</v>
      </c>
      <c r="N4159" t="s">
        <v>13998</v>
      </c>
      <c r="O4159" t="s">
        <v>13999</v>
      </c>
      <c r="P4159" s="2" t="s">
        <v>67</v>
      </c>
      <c r="Q4159" t="s">
        <v>68</v>
      </c>
      <c r="R4159">
        <v>3.99</v>
      </c>
      <c r="S4159">
        <v>3.99</v>
      </c>
      <c r="T4159" t="s">
        <v>14000</v>
      </c>
    </row>
    <row r="4160" spans="1:20" x14ac:dyDescent="0.25">
      <c r="A4160" s="1" t="str">
        <f>HYPERLINK("https://vegkart.atlas.vegvesen.no/#/@541738.3,7521416.9,18/hva:hva%5B0%5D%5Bfilter%5D%5B0%5D%5Boperator%5D=%21%3D&amp;hva%5B0%5D%5Bfilter%5D%5B0%5D%5Btype_id%5D=4820&amp;hva%5B0%5D%5Bfilter%5D%5B0%5D%5Bverdi%5D=&amp;hva%5B0%5D%5Bid%5D=144/når:2015-12-10", "Vegkart")</f>
        <v>Vegkart</v>
      </c>
      <c r="B4160">
        <v>656378376</v>
      </c>
      <c r="C4160">
        <v>144</v>
      </c>
      <c r="D4160" t="s">
        <v>13345</v>
      </c>
      <c r="E4160">
        <v>4820</v>
      </c>
      <c r="F4160" t="s">
        <v>23479</v>
      </c>
      <c r="G4160">
        <v>1</v>
      </c>
      <c r="H4160" t="s">
        <v>13910</v>
      </c>
      <c r="J4160" t="s">
        <v>13848</v>
      </c>
      <c r="K4160" t="s">
        <v>53</v>
      </c>
      <c r="L4160" t="s">
        <v>80</v>
      </c>
      <c r="M4160" t="s">
        <v>105</v>
      </c>
      <c r="N4160" t="s">
        <v>14001</v>
      </c>
      <c r="O4160" t="s">
        <v>14002</v>
      </c>
      <c r="P4160" s="2" t="s">
        <v>67</v>
      </c>
      <c r="Q4160" t="s">
        <v>68</v>
      </c>
      <c r="R4160">
        <v>3.99</v>
      </c>
      <c r="S4160">
        <v>3.99</v>
      </c>
      <c r="T4160" t="s">
        <v>14003</v>
      </c>
    </row>
    <row r="4161" spans="1:20" x14ac:dyDescent="0.25">
      <c r="A4161" s="1" t="str">
        <f>HYPERLINK("https://vegkart.atlas.vegvesen.no/#/@541735.8,7521413.7,18/hva:hva%5B0%5D%5Bfilter%5D%5B0%5D%5Boperator%5D=%21%3D&amp;hva%5B0%5D%5Bfilter%5D%5B0%5D%5Btype_id%5D=4820&amp;hva%5B0%5D%5Bfilter%5D%5B0%5D%5Bverdi%5D=&amp;hva%5B0%5D%5Bid%5D=144/når:2015-12-10", "Vegkart")</f>
        <v>Vegkart</v>
      </c>
      <c r="B4161">
        <v>656378377</v>
      </c>
      <c r="C4161">
        <v>144</v>
      </c>
      <c r="D4161" t="s">
        <v>13345</v>
      </c>
      <c r="E4161">
        <v>4820</v>
      </c>
      <c r="F4161" t="s">
        <v>23479</v>
      </c>
      <c r="G4161">
        <v>1</v>
      </c>
      <c r="H4161" t="s">
        <v>13910</v>
      </c>
      <c r="J4161" t="s">
        <v>13848</v>
      </c>
      <c r="K4161" t="s">
        <v>53</v>
      </c>
      <c r="L4161" t="s">
        <v>80</v>
      </c>
      <c r="M4161" t="s">
        <v>105</v>
      </c>
      <c r="N4161" t="s">
        <v>14004</v>
      </c>
      <c r="O4161" t="s">
        <v>14005</v>
      </c>
      <c r="P4161" s="2" t="s">
        <v>67</v>
      </c>
      <c r="Q4161" t="s">
        <v>68</v>
      </c>
      <c r="R4161">
        <v>3.99</v>
      </c>
      <c r="S4161">
        <v>3.99</v>
      </c>
      <c r="T4161" t="s">
        <v>14006</v>
      </c>
    </row>
    <row r="4162" spans="1:20" x14ac:dyDescent="0.25">
      <c r="A4162" s="1" t="str">
        <f>HYPERLINK("https://vegkart.atlas.vegvesen.no/#/@541705.9,7521366.2,18/hva:hva%5B0%5D%5Bfilter%5D%5B0%5D%5Boperator%5D=%21%3D&amp;hva%5B0%5D%5Bfilter%5D%5B0%5D%5Btype_id%5D=4820&amp;hva%5B0%5D%5Bfilter%5D%5B0%5D%5Bverdi%5D=&amp;hva%5B0%5D%5Bid%5D=144/når:2015-12-10", "Vegkart")</f>
        <v>Vegkart</v>
      </c>
      <c r="B4162">
        <v>656378378</v>
      </c>
      <c r="C4162">
        <v>144</v>
      </c>
      <c r="D4162" t="s">
        <v>13345</v>
      </c>
      <c r="E4162">
        <v>4820</v>
      </c>
      <c r="F4162" t="s">
        <v>23479</v>
      </c>
      <c r="G4162">
        <v>1</v>
      </c>
      <c r="H4162" t="s">
        <v>13910</v>
      </c>
      <c r="J4162" t="s">
        <v>13848</v>
      </c>
      <c r="K4162" t="s">
        <v>53</v>
      </c>
      <c r="L4162" t="s">
        <v>80</v>
      </c>
      <c r="M4162" t="s">
        <v>105</v>
      </c>
      <c r="N4162" t="s">
        <v>14007</v>
      </c>
      <c r="O4162" t="s">
        <v>14008</v>
      </c>
      <c r="P4162" s="2" t="s">
        <v>67</v>
      </c>
      <c r="Q4162" t="s">
        <v>68</v>
      </c>
      <c r="R4162">
        <v>4.57</v>
      </c>
      <c r="S4162">
        <v>4.57</v>
      </c>
      <c r="T4162" t="s">
        <v>14009</v>
      </c>
    </row>
    <row r="4163" spans="1:20" x14ac:dyDescent="0.25">
      <c r="A4163" s="1" t="str">
        <f>HYPERLINK("https://vegkart.atlas.vegvesen.no/#/@541704.5,7521363.6,18/hva:hva%5B0%5D%5Bfilter%5D%5B0%5D%5Boperator%5D=%21%3D&amp;hva%5B0%5D%5Bfilter%5D%5B0%5D%5Btype_id%5D=4820&amp;hva%5B0%5D%5Bfilter%5D%5B0%5D%5Bverdi%5D=&amp;hva%5B0%5D%5Bid%5D=144/når:2015-12-10", "Vegkart")</f>
        <v>Vegkart</v>
      </c>
      <c r="B4163">
        <v>656378379</v>
      </c>
      <c r="C4163">
        <v>144</v>
      </c>
      <c r="D4163" t="s">
        <v>13345</v>
      </c>
      <c r="E4163">
        <v>4820</v>
      </c>
      <c r="F4163" t="s">
        <v>23479</v>
      </c>
      <c r="G4163">
        <v>1</v>
      </c>
      <c r="H4163" t="s">
        <v>13910</v>
      </c>
      <c r="J4163" t="s">
        <v>13848</v>
      </c>
      <c r="K4163" t="s">
        <v>53</v>
      </c>
      <c r="L4163" t="s">
        <v>80</v>
      </c>
      <c r="M4163" t="s">
        <v>105</v>
      </c>
      <c r="N4163" t="s">
        <v>14010</v>
      </c>
      <c r="O4163" t="s">
        <v>14011</v>
      </c>
      <c r="P4163" s="2" t="s">
        <v>67</v>
      </c>
      <c r="Q4163" t="s">
        <v>68</v>
      </c>
      <c r="R4163">
        <v>4.57</v>
      </c>
      <c r="S4163">
        <v>4.57</v>
      </c>
      <c r="T4163" t="s">
        <v>14012</v>
      </c>
    </row>
    <row r="4164" spans="1:20" x14ac:dyDescent="0.25">
      <c r="A4164" s="1" t="str">
        <f>HYPERLINK("https://vegkart.atlas.vegvesen.no/#/@541703.0,7521361.0,18/hva:hva%5B0%5D%5Bfilter%5D%5B0%5D%5Boperator%5D=%21%3D&amp;hva%5B0%5D%5Bfilter%5D%5B0%5D%5Btype_id%5D=4820&amp;hva%5B0%5D%5Bfilter%5D%5B0%5D%5Bverdi%5D=&amp;hva%5B0%5D%5Bid%5D=144/når:2015-12-10", "Vegkart")</f>
        <v>Vegkart</v>
      </c>
      <c r="B4164">
        <v>656378380</v>
      </c>
      <c r="C4164">
        <v>144</v>
      </c>
      <c r="D4164" t="s">
        <v>13345</v>
      </c>
      <c r="E4164">
        <v>4820</v>
      </c>
      <c r="F4164" t="s">
        <v>23479</v>
      </c>
      <c r="G4164">
        <v>1</v>
      </c>
      <c r="H4164" t="s">
        <v>13910</v>
      </c>
      <c r="J4164" t="s">
        <v>13848</v>
      </c>
      <c r="K4164" t="s">
        <v>53</v>
      </c>
      <c r="L4164" t="s">
        <v>80</v>
      </c>
      <c r="M4164" t="s">
        <v>105</v>
      </c>
      <c r="N4164" t="s">
        <v>14013</v>
      </c>
      <c r="O4164" t="s">
        <v>14014</v>
      </c>
      <c r="P4164" s="2" t="s">
        <v>67</v>
      </c>
      <c r="Q4164" t="s">
        <v>68</v>
      </c>
      <c r="R4164">
        <v>4.57</v>
      </c>
      <c r="S4164">
        <v>4.57</v>
      </c>
      <c r="T4164" t="s">
        <v>14015</v>
      </c>
    </row>
    <row r="4165" spans="1:20" x14ac:dyDescent="0.25">
      <c r="A4165" s="1" t="str">
        <f>HYPERLINK("https://vegkart.atlas.vegvesen.no/#/@541570.5,7521155.6,18/hva:hva%5B0%5D%5Bfilter%5D%5B0%5D%5Boperator%5D=%21%3D&amp;hva%5B0%5D%5Bfilter%5D%5B0%5D%5Btype_id%5D=4820&amp;hva%5B0%5D%5Bfilter%5D%5B0%5D%5Bverdi%5D=&amp;hva%5B0%5D%5Bid%5D=144/når:2015-12-10", "Vegkart")</f>
        <v>Vegkart</v>
      </c>
      <c r="B4165">
        <v>656378381</v>
      </c>
      <c r="C4165">
        <v>144</v>
      </c>
      <c r="D4165" t="s">
        <v>13345</v>
      </c>
      <c r="E4165">
        <v>4820</v>
      </c>
      <c r="F4165" t="s">
        <v>23479</v>
      </c>
      <c r="G4165">
        <v>1</v>
      </c>
      <c r="H4165" t="s">
        <v>13910</v>
      </c>
      <c r="J4165" t="s">
        <v>13848</v>
      </c>
      <c r="K4165" t="s">
        <v>53</v>
      </c>
      <c r="L4165" t="s">
        <v>80</v>
      </c>
      <c r="M4165" t="s">
        <v>105</v>
      </c>
      <c r="N4165" t="s">
        <v>14016</v>
      </c>
      <c r="O4165" t="s">
        <v>14017</v>
      </c>
      <c r="P4165" s="2" t="s">
        <v>67</v>
      </c>
      <c r="Q4165" t="s">
        <v>68</v>
      </c>
      <c r="R4165">
        <v>4</v>
      </c>
      <c r="S4165">
        <v>4</v>
      </c>
      <c r="T4165" t="s">
        <v>14018</v>
      </c>
    </row>
    <row r="4166" spans="1:20" x14ac:dyDescent="0.25">
      <c r="A4166" s="1" t="str">
        <f>HYPERLINK("https://vegkart.atlas.vegvesen.no/#/@541569.6,7521152.2,18/hva:hva%5B0%5D%5Bfilter%5D%5B0%5D%5Boperator%5D=%21%3D&amp;hva%5B0%5D%5Bfilter%5D%5B0%5D%5Btype_id%5D=4820&amp;hva%5B0%5D%5Bfilter%5D%5B0%5D%5Bverdi%5D=&amp;hva%5B0%5D%5Bid%5D=144/når:2015-12-10", "Vegkart")</f>
        <v>Vegkart</v>
      </c>
      <c r="B4166">
        <v>656378382</v>
      </c>
      <c r="C4166">
        <v>144</v>
      </c>
      <c r="D4166" t="s">
        <v>13345</v>
      </c>
      <c r="E4166">
        <v>4820</v>
      </c>
      <c r="F4166" t="s">
        <v>23479</v>
      </c>
      <c r="G4166">
        <v>1</v>
      </c>
      <c r="H4166" t="s">
        <v>13910</v>
      </c>
      <c r="J4166" t="s">
        <v>13848</v>
      </c>
      <c r="K4166" t="s">
        <v>53</v>
      </c>
      <c r="L4166" t="s">
        <v>80</v>
      </c>
      <c r="M4166" t="s">
        <v>105</v>
      </c>
      <c r="N4166" t="s">
        <v>14019</v>
      </c>
      <c r="O4166" t="s">
        <v>14020</v>
      </c>
      <c r="P4166" s="2" t="s">
        <v>67</v>
      </c>
      <c r="Q4166" t="s">
        <v>68</v>
      </c>
      <c r="R4166">
        <v>4.17</v>
      </c>
      <c r="S4166">
        <v>4.18</v>
      </c>
      <c r="T4166" t="s">
        <v>14021</v>
      </c>
    </row>
    <row r="4167" spans="1:20" x14ac:dyDescent="0.25">
      <c r="A4167" s="1" t="str">
        <f>HYPERLINK("https://vegkart.atlas.vegvesen.no/#/@541567.6,7521149.2,18/hva:hva%5B0%5D%5Bfilter%5D%5B0%5D%5Boperator%5D=%21%3D&amp;hva%5B0%5D%5Bfilter%5D%5B0%5D%5Btype_id%5D=4820&amp;hva%5B0%5D%5Bfilter%5D%5B0%5D%5Bverdi%5D=&amp;hva%5B0%5D%5Bid%5D=144/når:2015-12-10", "Vegkart")</f>
        <v>Vegkart</v>
      </c>
      <c r="B4167">
        <v>656378383</v>
      </c>
      <c r="C4167">
        <v>144</v>
      </c>
      <c r="D4167" t="s">
        <v>13345</v>
      </c>
      <c r="E4167">
        <v>4820</v>
      </c>
      <c r="F4167" t="s">
        <v>23479</v>
      </c>
      <c r="G4167">
        <v>1</v>
      </c>
      <c r="H4167" t="s">
        <v>13910</v>
      </c>
      <c r="J4167" t="s">
        <v>13848</v>
      </c>
      <c r="K4167" t="s">
        <v>53</v>
      </c>
      <c r="L4167" t="s">
        <v>80</v>
      </c>
      <c r="M4167" t="s">
        <v>105</v>
      </c>
      <c r="N4167" t="s">
        <v>14022</v>
      </c>
      <c r="O4167" t="s">
        <v>14023</v>
      </c>
      <c r="P4167" s="2" t="s">
        <v>67</v>
      </c>
      <c r="Q4167" t="s">
        <v>68</v>
      </c>
      <c r="R4167">
        <v>2.62</v>
      </c>
      <c r="S4167">
        <v>2.62</v>
      </c>
      <c r="T4167" t="s">
        <v>14024</v>
      </c>
    </row>
    <row r="4168" spans="1:20" x14ac:dyDescent="0.25">
      <c r="A4168" s="1" t="str">
        <f>HYPERLINK("https://vegkart.atlas.vegvesen.no/#/@539894.6,7520319.2,18/hva:hva%5B0%5D%5Bfilter%5D%5B0%5D%5Boperator%5D=%21%3D&amp;hva%5B0%5D%5Bfilter%5D%5B0%5D%5Btype_id%5D=4820&amp;hva%5B0%5D%5Bfilter%5D%5B0%5D%5Bverdi%5D=&amp;hva%5B0%5D%5Bid%5D=144/når:2015-12-10", "Vegkart")</f>
        <v>Vegkart</v>
      </c>
      <c r="B4168">
        <v>656378384</v>
      </c>
      <c r="C4168">
        <v>144</v>
      </c>
      <c r="D4168" t="s">
        <v>13345</v>
      </c>
      <c r="E4168">
        <v>4820</v>
      </c>
      <c r="F4168" t="s">
        <v>23479</v>
      </c>
      <c r="G4168">
        <v>1</v>
      </c>
      <c r="H4168" t="s">
        <v>13910</v>
      </c>
      <c r="J4168" t="s">
        <v>13848</v>
      </c>
      <c r="K4168" t="s">
        <v>53</v>
      </c>
      <c r="L4168" t="s">
        <v>80</v>
      </c>
      <c r="M4168" t="s">
        <v>105</v>
      </c>
      <c r="N4168" t="s">
        <v>14025</v>
      </c>
      <c r="O4168" t="s">
        <v>14026</v>
      </c>
      <c r="P4168" s="2" t="s">
        <v>67</v>
      </c>
      <c r="Q4168" t="s">
        <v>68</v>
      </c>
      <c r="R4168">
        <v>9.44</v>
      </c>
      <c r="S4168">
        <v>9.44</v>
      </c>
      <c r="T4168" t="s">
        <v>14027</v>
      </c>
    </row>
    <row r="4169" spans="1:20" x14ac:dyDescent="0.25">
      <c r="A4169" s="1" t="str">
        <f>HYPERLINK("https://vegkart.atlas.vegvesen.no/#/@539893.3,7520318.1,18/hva:hva%5B0%5D%5Bfilter%5D%5B0%5D%5Boperator%5D=%21%3D&amp;hva%5B0%5D%5Bfilter%5D%5B0%5D%5Btype_id%5D=4820&amp;hva%5B0%5D%5Bfilter%5D%5B0%5D%5Bverdi%5D=&amp;hva%5B0%5D%5Bid%5D=144/når:2015-12-10", "Vegkart")</f>
        <v>Vegkart</v>
      </c>
      <c r="B4169">
        <v>656378385</v>
      </c>
      <c r="C4169">
        <v>144</v>
      </c>
      <c r="D4169" t="s">
        <v>13345</v>
      </c>
      <c r="E4169">
        <v>4820</v>
      </c>
      <c r="F4169" t="s">
        <v>23479</v>
      </c>
      <c r="G4169">
        <v>1</v>
      </c>
      <c r="H4169" t="s">
        <v>13910</v>
      </c>
      <c r="J4169" t="s">
        <v>13848</v>
      </c>
      <c r="K4169" t="s">
        <v>53</v>
      </c>
      <c r="L4169" t="s">
        <v>80</v>
      </c>
      <c r="M4169" t="s">
        <v>105</v>
      </c>
      <c r="N4169" t="s">
        <v>14028</v>
      </c>
      <c r="O4169" t="s">
        <v>14029</v>
      </c>
      <c r="P4169" s="2" t="s">
        <v>67</v>
      </c>
      <c r="Q4169" t="s">
        <v>68</v>
      </c>
      <c r="R4169">
        <v>10.99</v>
      </c>
      <c r="S4169">
        <v>11.02</v>
      </c>
      <c r="T4169" t="s">
        <v>14030</v>
      </c>
    </row>
    <row r="4170" spans="1:20" x14ac:dyDescent="0.25">
      <c r="A4170" s="1" t="str">
        <f>HYPERLINK("https://vegkart.atlas.vegvesen.no/#/@539892.0,7520317.3,18/hva:hva%5B0%5D%5Bfilter%5D%5B0%5D%5Boperator%5D=%21%3D&amp;hva%5B0%5D%5Bfilter%5D%5B0%5D%5Btype_id%5D=4820&amp;hva%5B0%5D%5Bfilter%5D%5B0%5D%5Bverdi%5D=&amp;hva%5B0%5D%5Bid%5D=144/når:2015-12-10", "Vegkart")</f>
        <v>Vegkart</v>
      </c>
      <c r="B4170">
        <v>656378386</v>
      </c>
      <c r="C4170">
        <v>144</v>
      </c>
      <c r="D4170" t="s">
        <v>13345</v>
      </c>
      <c r="E4170">
        <v>4820</v>
      </c>
      <c r="F4170" t="s">
        <v>23479</v>
      </c>
      <c r="G4170">
        <v>1</v>
      </c>
      <c r="H4170" t="s">
        <v>13910</v>
      </c>
      <c r="J4170" t="s">
        <v>13848</v>
      </c>
      <c r="K4170" t="s">
        <v>53</v>
      </c>
      <c r="L4170" t="s">
        <v>80</v>
      </c>
      <c r="M4170" t="s">
        <v>105</v>
      </c>
      <c r="N4170" t="s">
        <v>14031</v>
      </c>
      <c r="O4170" t="s">
        <v>14032</v>
      </c>
      <c r="P4170" s="2" t="s">
        <v>67</v>
      </c>
      <c r="Q4170" t="s">
        <v>68</v>
      </c>
      <c r="R4170">
        <v>9.9600000000000009</v>
      </c>
      <c r="S4170">
        <v>9.99</v>
      </c>
      <c r="T4170" t="s">
        <v>14033</v>
      </c>
    </row>
    <row r="4171" spans="1:20" x14ac:dyDescent="0.25">
      <c r="A4171" s="1" t="str">
        <f>HYPERLINK("https://vegkart.atlas.vegvesen.no/#/@539830.6,7520270.0,18/hva:hva%5B0%5D%5Bfilter%5D%5B0%5D%5Boperator%5D=%21%3D&amp;hva%5B0%5D%5Bfilter%5D%5B0%5D%5Btype_id%5D=4820&amp;hva%5B0%5D%5Bfilter%5D%5B0%5D%5Bverdi%5D=&amp;hva%5B0%5D%5Bid%5D=144/når:2015-12-10", "Vegkart")</f>
        <v>Vegkart</v>
      </c>
      <c r="B4171">
        <v>656378387</v>
      </c>
      <c r="C4171">
        <v>144</v>
      </c>
      <c r="D4171" t="s">
        <v>13345</v>
      </c>
      <c r="E4171">
        <v>4820</v>
      </c>
      <c r="F4171" t="s">
        <v>23479</v>
      </c>
      <c r="G4171">
        <v>1</v>
      </c>
      <c r="H4171" t="s">
        <v>13910</v>
      </c>
      <c r="J4171" t="s">
        <v>13848</v>
      </c>
      <c r="K4171" t="s">
        <v>53</v>
      </c>
      <c r="L4171" t="s">
        <v>80</v>
      </c>
      <c r="M4171" t="s">
        <v>105</v>
      </c>
      <c r="N4171" t="s">
        <v>14034</v>
      </c>
      <c r="O4171" t="s">
        <v>14035</v>
      </c>
      <c r="P4171" s="2" t="s">
        <v>67</v>
      </c>
      <c r="Q4171" t="s">
        <v>68</v>
      </c>
      <c r="R4171">
        <v>12.76</v>
      </c>
      <c r="S4171">
        <v>12.91</v>
      </c>
      <c r="T4171" t="s">
        <v>14036</v>
      </c>
    </row>
    <row r="4172" spans="1:20" x14ac:dyDescent="0.25">
      <c r="A4172" s="1" t="str">
        <f>HYPERLINK("https://vegkart.atlas.vegvesen.no/#/@539829.5,7520268.9,18/hva:hva%5B0%5D%5Bfilter%5D%5B0%5D%5Boperator%5D=%21%3D&amp;hva%5B0%5D%5Bfilter%5D%5B0%5D%5Btype_id%5D=4820&amp;hva%5B0%5D%5Bfilter%5D%5B0%5D%5Bverdi%5D=&amp;hva%5B0%5D%5Bid%5D=144/når:2015-12-10", "Vegkart")</f>
        <v>Vegkart</v>
      </c>
      <c r="B4172">
        <v>656378388</v>
      </c>
      <c r="C4172">
        <v>144</v>
      </c>
      <c r="D4172" t="s">
        <v>13345</v>
      </c>
      <c r="E4172">
        <v>4820</v>
      </c>
      <c r="F4172" t="s">
        <v>23479</v>
      </c>
      <c r="G4172">
        <v>1</v>
      </c>
      <c r="H4172" t="s">
        <v>13910</v>
      </c>
      <c r="J4172" t="s">
        <v>13848</v>
      </c>
      <c r="K4172" t="s">
        <v>53</v>
      </c>
      <c r="L4172" t="s">
        <v>80</v>
      </c>
      <c r="M4172" t="s">
        <v>105</v>
      </c>
      <c r="N4172" t="s">
        <v>14037</v>
      </c>
      <c r="O4172" t="s">
        <v>14038</v>
      </c>
      <c r="P4172" s="2" t="s">
        <v>67</v>
      </c>
      <c r="Q4172" t="s">
        <v>68</v>
      </c>
      <c r="R4172">
        <v>12.53</v>
      </c>
      <c r="S4172">
        <v>12.62</v>
      </c>
      <c r="T4172" t="s">
        <v>14039</v>
      </c>
    </row>
    <row r="4173" spans="1:20" x14ac:dyDescent="0.25">
      <c r="A4173" s="1" t="str">
        <f>HYPERLINK("https://vegkart.atlas.vegvesen.no/#/@539828.3,7520268.4,18/hva:hva%5B0%5D%5Bfilter%5D%5B0%5D%5Boperator%5D=%21%3D&amp;hva%5B0%5D%5Bfilter%5D%5B0%5D%5Btype_id%5D=4820&amp;hva%5B0%5D%5Bfilter%5D%5B0%5D%5Bverdi%5D=&amp;hva%5B0%5D%5Bid%5D=144/når:2015-12-10", "Vegkart")</f>
        <v>Vegkart</v>
      </c>
      <c r="B4173">
        <v>656378389</v>
      </c>
      <c r="C4173">
        <v>144</v>
      </c>
      <c r="D4173" t="s">
        <v>13345</v>
      </c>
      <c r="E4173">
        <v>4820</v>
      </c>
      <c r="F4173" t="s">
        <v>23479</v>
      </c>
      <c r="G4173">
        <v>1</v>
      </c>
      <c r="H4173" t="s">
        <v>13910</v>
      </c>
      <c r="J4173" t="s">
        <v>13848</v>
      </c>
      <c r="K4173" t="s">
        <v>53</v>
      </c>
      <c r="L4173" t="s">
        <v>80</v>
      </c>
      <c r="M4173" t="s">
        <v>105</v>
      </c>
      <c r="N4173" t="s">
        <v>14040</v>
      </c>
      <c r="O4173" t="s">
        <v>14041</v>
      </c>
      <c r="P4173" s="2" t="s">
        <v>67</v>
      </c>
      <c r="Q4173" t="s">
        <v>68</v>
      </c>
      <c r="R4173">
        <v>12.61</v>
      </c>
      <c r="S4173">
        <v>12.75</v>
      </c>
      <c r="T4173" t="s">
        <v>14042</v>
      </c>
    </row>
    <row r="4174" spans="1:20" x14ac:dyDescent="0.25">
      <c r="A4174" s="1" t="str">
        <f>HYPERLINK("https://vegkart.atlas.vegvesen.no/#/@539744.6,7520205.3,18/hva:hva%5B0%5D%5Bfilter%5D%5B0%5D%5Boperator%5D=%21%3D&amp;hva%5B0%5D%5Bfilter%5D%5B0%5D%5Btype_id%5D=4820&amp;hva%5B0%5D%5Bfilter%5D%5B0%5D%5Bverdi%5D=&amp;hva%5B0%5D%5Bid%5D=144/når:2015-12-10", "Vegkart")</f>
        <v>Vegkart</v>
      </c>
      <c r="B4174">
        <v>656378390</v>
      </c>
      <c r="C4174">
        <v>144</v>
      </c>
      <c r="D4174" t="s">
        <v>13345</v>
      </c>
      <c r="E4174">
        <v>4820</v>
      </c>
      <c r="F4174" t="s">
        <v>23479</v>
      </c>
      <c r="G4174">
        <v>1</v>
      </c>
      <c r="H4174" t="s">
        <v>13910</v>
      </c>
      <c r="J4174" t="s">
        <v>13848</v>
      </c>
      <c r="K4174" t="s">
        <v>53</v>
      </c>
      <c r="L4174" t="s">
        <v>80</v>
      </c>
      <c r="M4174" t="s">
        <v>105</v>
      </c>
      <c r="N4174" t="s">
        <v>14043</v>
      </c>
      <c r="O4174" t="s">
        <v>14044</v>
      </c>
      <c r="P4174" s="2" t="s">
        <v>67</v>
      </c>
      <c r="Q4174" t="s">
        <v>68</v>
      </c>
      <c r="R4174">
        <v>15.68</v>
      </c>
      <c r="S4174">
        <v>15.69</v>
      </c>
      <c r="T4174" t="s">
        <v>14045</v>
      </c>
    </row>
    <row r="4175" spans="1:20" x14ac:dyDescent="0.25">
      <c r="A4175" s="1" t="str">
        <f>HYPERLINK("https://vegkart.atlas.vegvesen.no/#/@539720.9,7520232.5,18/hva:hva%5B0%5D%5Bfilter%5D%5B0%5D%5Boperator%5D=%21%3D&amp;hva%5B0%5D%5Bfilter%5D%5B0%5D%5Btype_id%5D=4820&amp;hva%5B0%5D%5Bfilter%5D%5B0%5D%5Bverdi%5D=&amp;hva%5B0%5D%5Bid%5D=144/når:2015-12-10", "Vegkart")</f>
        <v>Vegkart</v>
      </c>
      <c r="B4175">
        <v>656378393</v>
      </c>
      <c r="C4175">
        <v>144</v>
      </c>
      <c r="D4175" t="s">
        <v>13345</v>
      </c>
      <c r="E4175">
        <v>4820</v>
      </c>
      <c r="F4175" t="s">
        <v>23479</v>
      </c>
      <c r="G4175">
        <v>1</v>
      </c>
      <c r="H4175" t="s">
        <v>13910</v>
      </c>
      <c r="J4175" t="s">
        <v>13848</v>
      </c>
      <c r="K4175" t="s">
        <v>53</v>
      </c>
      <c r="L4175" t="s">
        <v>80</v>
      </c>
      <c r="M4175" t="s">
        <v>105</v>
      </c>
      <c r="N4175" t="s">
        <v>14046</v>
      </c>
      <c r="O4175" t="s">
        <v>14047</v>
      </c>
      <c r="P4175" s="2" t="s">
        <v>67</v>
      </c>
      <c r="Q4175" t="s">
        <v>68</v>
      </c>
      <c r="R4175">
        <v>11.93</v>
      </c>
      <c r="S4175">
        <v>11.94</v>
      </c>
      <c r="T4175" t="s">
        <v>14048</v>
      </c>
    </row>
    <row r="4176" spans="1:20" x14ac:dyDescent="0.25">
      <c r="A4176" s="1" t="str">
        <f>HYPERLINK("https://vegkart.atlas.vegvesen.no/#/@539722.7,7520234.2,18/hva:hva%5B0%5D%5Bfilter%5D%5B0%5D%5Boperator%5D=%21%3D&amp;hva%5B0%5D%5Bfilter%5D%5B0%5D%5Btype_id%5D=4820&amp;hva%5B0%5D%5Bfilter%5D%5B0%5D%5Bverdi%5D=&amp;hva%5B0%5D%5Bid%5D=144/når:2015-12-10", "Vegkart")</f>
        <v>Vegkart</v>
      </c>
      <c r="B4176">
        <v>656378394</v>
      </c>
      <c r="C4176">
        <v>144</v>
      </c>
      <c r="D4176" t="s">
        <v>13345</v>
      </c>
      <c r="E4176">
        <v>4820</v>
      </c>
      <c r="F4176" t="s">
        <v>23479</v>
      </c>
      <c r="G4176">
        <v>1</v>
      </c>
      <c r="H4176" t="s">
        <v>13910</v>
      </c>
      <c r="J4176" t="s">
        <v>13848</v>
      </c>
      <c r="K4176" t="s">
        <v>53</v>
      </c>
      <c r="L4176" t="s">
        <v>80</v>
      </c>
      <c r="M4176" t="s">
        <v>105</v>
      </c>
      <c r="N4176" t="s">
        <v>14043</v>
      </c>
      <c r="O4176" t="s">
        <v>14049</v>
      </c>
      <c r="P4176" s="2" t="s">
        <v>67</v>
      </c>
      <c r="Q4176" t="s">
        <v>68</v>
      </c>
      <c r="R4176">
        <v>11.5</v>
      </c>
      <c r="S4176">
        <v>11.55</v>
      </c>
      <c r="T4176" t="s">
        <v>14050</v>
      </c>
    </row>
    <row r="4177" spans="1:20" x14ac:dyDescent="0.25">
      <c r="A4177" s="1" t="str">
        <f>HYPERLINK("https://vegkart.atlas.vegvesen.no/#/@539719.1,7520231.4,18/hva:hva%5B0%5D%5Bfilter%5D%5B0%5D%5Boperator%5D=%21%3D&amp;hva%5B0%5D%5Bfilter%5D%5B0%5D%5Btype_id%5D=4820&amp;hva%5B0%5D%5Bfilter%5D%5B0%5D%5Bverdi%5D=&amp;hva%5B0%5D%5Bid%5D=144/når:2015-12-10", "Vegkart")</f>
        <v>Vegkart</v>
      </c>
      <c r="B4177">
        <v>656378395</v>
      </c>
      <c r="C4177">
        <v>144</v>
      </c>
      <c r="D4177" t="s">
        <v>13345</v>
      </c>
      <c r="E4177">
        <v>4820</v>
      </c>
      <c r="F4177" t="s">
        <v>23479</v>
      </c>
      <c r="G4177">
        <v>1</v>
      </c>
      <c r="H4177" t="s">
        <v>13910</v>
      </c>
      <c r="J4177" t="s">
        <v>13848</v>
      </c>
      <c r="K4177" t="s">
        <v>53</v>
      </c>
      <c r="L4177" t="s">
        <v>80</v>
      </c>
      <c r="M4177" t="s">
        <v>105</v>
      </c>
      <c r="N4177" t="s">
        <v>14051</v>
      </c>
      <c r="O4177" t="s">
        <v>14052</v>
      </c>
      <c r="P4177" s="2" t="s">
        <v>67</v>
      </c>
      <c r="Q4177" t="s">
        <v>68</v>
      </c>
      <c r="R4177">
        <v>11.97</v>
      </c>
      <c r="S4177">
        <v>11.99</v>
      </c>
      <c r="T4177" t="s">
        <v>14053</v>
      </c>
    </row>
    <row r="4178" spans="1:20" x14ac:dyDescent="0.25">
      <c r="A4178" s="1" t="str">
        <f>HYPERLINK("https://vegkart.atlas.vegvesen.no/#/@539628.1,7520118.4,18/hva:hva%5B0%5D%5Bfilter%5D%5B0%5D%5Boperator%5D=%21%3D&amp;hva%5B0%5D%5Bfilter%5D%5B0%5D%5Btype_id%5D=4820&amp;hva%5B0%5D%5Bfilter%5D%5B0%5D%5Bverdi%5D=&amp;hva%5B0%5D%5Bid%5D=144/når:2015-12-10", "Vegkart")</f>
        <v>Vegkart</v>
      </c>
      <c r="B4178">
        <v>656378396</v>
      </c>
      <c r="C4178">
        <v>144</v>
      </c>
      <c r="D4178" t="s">
        <v>13345</v>
      </c>
      <c r="E4178">
        <v>4820</v>
      </c>
      <c r="F4178" t="s">
        <v>23479</v>
      </c>
      <c r="G4178">
        <v>1</v>
      </c>
      <c r="H4178" t="s">
        <v>13910</v>
      </c>
      <c r="J4178" t="s">
        <v>13848</v>
      </c>
      <c r="K4178" t="s">
        <v>53</v>
      </c>
      <c r="L4178" t="s">
        <v>80</v>
      </c>
      <c r="M4178" t="s">
        <v>105</v>
      </c>
      <c r="N4178" t="s">
        <v>14054</v>
      </c>
      <c r="O4178" t="s">
        <v>14055</v>
      </c>
      <c r="P4178" s="2" t="s">
        <v>67</v>
      </c>
      <c r="Q4178" t="s">
        <v>68</v>
      </c>
      <c r="R4178">
        <v>3</v>
      </c>
      <c r="S4178">
        <v>3</v>
      </c>
      <c r="T4178" t="s">
        <v>14056</v>
      </c>
    </row>
    <row r="4179" spans="1:20" x14ac:dyDescent="0.25">
      <c r="A4179" s="1" t="str">
        <f>HYPERLINK("https://vegkart.atlas.vegvesen.no/#/@539637.7,7520111.3,18/hva:hva%5B0%5D%5Bfilter%5D%5B0%5D%5Boperator%5D=%21%3D&amp;hva%5B0%5D%5Bfilter%5D%5B0%5D%5Btype_id%5D=4820&amp;hva%5B0%5D%5Bfilter%5D%5B0%5D%5Bverdi%5D=&amp;hva%5B0%5D%5Bid%5D=144/når:2015-12-10", "Vegkart")</f>
        <v>Vegkart</v>
      </c>
      <c r="B4179">
        <v>656378397</v>
      </c>
      <c r="C4179">
        <v>144</v>
      </c>
      <c r="D4179" t="s">
        <v>13345</v>
      </c>
      <c r="E4179">
        <v>4820</v>
      </c>
      <c r="F4179" t="s">
        <v>23479</v>
      </c>
      <c r="G4179">
        <v>1</v>
      </c>
      <c r="H4179" t="s">
        <v>13910</v>
      </c>
      <c r="J4179" t="s">
        <v>13848</v>
      </c>
      <c r="K4179" t="s">
        <v>53</v>
      </c>
      <c r="L4179" t="s">
        <v>80</v>
      </c>
      <c r="M4179" t="s">
        <v>105</v>
      </c>
      <c r="N4179" t="s">
        <v>14057</v>
      </c>
      <c r="O4179" t="s">
        <v>14058</v>
      </c>
      <c r="P4179" s="2" t="s">
        <v>67</v>
      </c>
      <c r="Q4179" t="s">
        <v>68</v>
      </c>
      <c r="R4179">
        <v>23.96</v>
      </c>
      <c r="S4179">
        <v>23.97</v>
      </c>
      <c r="T4179" t="s">
        <v>14059</v>
      </c>
    </row>
    <row r="4180" spans="1:20" x14ac:dyDescent="0.25">
      <c r="A4180" s="1" t="str">
        <f>HYPERLINK("https://vegkart.atlas.vegvesen.no/#/@539635.2,7520109.0,18/hva:hva%5B0%5D%5Bfilter%5D%5B0%5D%5Boperator%5D=%21%3D&amp;hva%5B0%5D%5Bfilter%5D%5B0%5D%5Btype_id%5D=4820&amp;hva%5B0%5D%5Bfilter%5D%5B0%5D%5Bverdi%5D=&amp;hva%5B0%5D%5Bid%5D=144/når:2015-12-10", "Vegkart")</f>
        <v>Vegkart</v>
      </c>
      <c r="B4180">
        <v>656378398</v>
      </c>
      <c r="C4180">
        <v>144</v>
      </c>
      <c r="D4180" t="s">
        <v>13345</v>
      </c>
      <c r="E4180">
        <v>4820</v>
      </c>
      <c r="F4180" t="s">
        <v>23479</v>
      </c>
      <c r="G4180">
        <v>1</v>
      </c>
      <c r="H4180" t="s">
        <v>13910</v>
      </c>
      <c r="J4180" t="s">
        <v>13848</v>
      </c>
      <c r="K4180" t="s">
        <v>53</v>
      </c>
      <c r="L4180" t="s">
        <v>80</v>
      </c>
      <c r="M4180" t="s">
        <v>105</v>
      </c>
      <c r="N4180" t="s">
        <v>14060</v>
      </c>
      <c r="O4180" t="s">
        <v>14061</v>
      </c>
      <c r="P4180" s="2" t="s">
        <v>67</v>
      </c>
      <c r="Q4180" t="s">
        <v>68</v>
      </c>
      <c r="R4180">
        <v>23.07</v>
      </c>
      <c r="S4180">
        <v>23.08</v>
      </c>
      <c r="T4180" t="s">
        <v>14062</v>
      </c>
    </row>
    <row r="4181" spans="1:20" x14ac:dyDescent="0.25">
      <c r="A4181" s="1" t="str">
        <f>HYPERLINK("https://vegkart.atlas.vegvesen.no/#/@539638.7,7520114.1,18/hva:hva%5B0%5D%5Bfilter%5D%5B0%5D%5Boperator%5D=%21%3D&amp;hva%5B0%5D%5Bfilter%5D%5B0%5D%5Btype_id%5D=4820&amp;hva%5B0%5D%5Bfilter%5D%5B0%5D%5Bverdi%5D=&amp;hva%5B0%5D%5Bid%5D=144/når:2015-12-10", "Vegkart")</f>
        <v>Vegkart</v>
      </c>
      <c r="B4181">
        <v>656378399</v>
      </c>
      <c r="C4181">
        <v>144</v>
      </c>
      <c r="D4181" t="s">
        <v>13345</v>
      </c>
      <c r="E4181">
        <v>4820</v>
      </c>
      <c r="F4181" t="s">
        <v>23479</v>
      </c>
      <c r="G4181">
        <v>1</v>
      </c>
      <c r="H4181" t="s">
        <v>13910</v>
      </c>
      <c r="J4181" t="s">
        <v>13848</v>
      </c>
      <c r="K4181" t="s">
        <v>53</v>
      </c>
      <c r="L4181" t="s">
        <v>80</v>
      </c>
      <c r="M4181" t="s">
        <v>105</v>
      </c>
      <c r="N4181" t="s">
        <v>14063</v>
      </c>
      <c r="O4181" t="s">
        <v>14064</v>
      </c>
      <c r="P4181" s="2" t="s">
        <v>67</v>
      </c>
      <c r="Q4181" t="s">
        <v>68</v>
      </c>
      <c r="R4181">
        <v>22.72</v>
      </c>
      <c r="S4181">
        <v>23.9</v>
      </c>
      <c r="T4181" t="s">
        <v>14065</v>
      </c>
    </row>
    <row r="4182" spans="1:20" x14ac:dyDescent="0.25">
      <c r="A4182" s="1" t="str">
        <f>HYPERLINK("https://vegkart.atlas.vegvesen.no/#/@539632.7,7520108.5,18/hva:hva%5B0%5D%5Bfilter%5D%5B0%5D%5Boperator%5D=%21%3D&amp;hva%5B0%5D%5Bfilter%5D%5B0%5D%5Btype_id%5D=4820&amp;hva%5B0%5D%5Bfilter%5D%5B0%5D%5Bverdi%5D=&amp;hva%5B0%5D%5Bid%5D=144/når:2015-12-10", "Vegkart")</f>
        <v>Vegkart</v>
      </c>
      <c r="B4182">
        <v>656378400</v>
      </c>
      <c r="C4182">
        <v>144</v>
      </c>
      <c r="D4182" t="s">
        <v>13345</v>
      </c>
      <c r="E4182">
        <v>4820</v>
      </c>
      <c r="F4182" t="s">
        <v>23479</v>
      </c>
      <c r="G4182">
        <v>1</v>
      </c>
      <c r="H4182" t="s">
        <v>13910</v>
      </c>
      <c r="J4182" t="s">
        <v>13848</v>
      </c>
      <c r="K4182" t="s">
        <v>53</v>
      </c>
      <c r="L4182" t="s">
        <v>80</v>
      </c>
      <c r="M4182" t="s">
        <v>105</v>
      </c>
      <c r="N4182" t="s">
        <v>14066</v>
      </c>
      <c r="O4182" t="s">
        <v>14067</v>
      </c>
      <c r="P4182" s="2" t="s">
        <v>67</v>
      </c>
      <c r="Q4182" t="s">
        <v>68</v>
      </c>
      <c r="R4182">
        <v>21.79</v>
      </c>
      <c r="S4182">
        <v>23.57</v>
      </c>
      <c r="T4182" t="s">
        <v>14068</v>
      </c>
    </row>
    <row r="4183" spans="1:20" x14ac:dyDescent="0.25">
      <c r="A4183" s="1" t="str">
        <f>HYPERLINK("https://vegkart.atlas.vegvesen.no/#/@539608.8,7520143.6,18/hva:hva%5B0%5D%5Bfilter%5D%5B0%5D%5Boperator%5D=%21%3D&amp;hva%5B0%5D%5Bfilter%5D%5B0%5D%5Btype_id%5D=4820&amp;hva%5B0%5D%5Bfilter%5D%5B0%5D%5Bverdi%5D=&amp;hva%5B0%5D%5Bid%5D=144/når:2015-12-10", "Vegkart")</f>
        <v>Vegkart</v>
      </c>
      <c r="B4183">
        <v>656378401</v>
      </c>
      <c r="C4183">
        <v>144</v>
      </c>
      <c r="D4183" t="s">
        <v>13345</v>
      </c>
      <c r="E4183">
        <v>4820</v>
      </c>
      <c r="F4183" t="s">
        <v>23479</v>
      </c>
      <c r="G4183">
        <v>1</v>
      </c>
      <c r="H4183" t="s">
        <v>13910</v>
      </c>
      <c r="J4183" t="s">
        <v>13848</v>
      </c>
      <c r="K4183" t="s">
        <v>53</v>
      </c>
      <c r="L4183" t="s">
        <v>80</v>
      </c>
      <c r="M4183" t="s">
        <v>105</v>
      </c>
      <c r="N4183" t="s">
        <v>14069</v>
      </c>
      <c r="O4183" t="s">
        <v>14070</v>
      </c>
      <c r="P4183" s="2" t="s">
        <v>67</v>
      </c>
      <c r="Q4183" t="s">
        <v>68</v>
      </c>
      <c r="R4183">
        <v>26.17</v>
      </c>
      <c r="S4183">
        <v>26.2</v>
      </c>
      <c r="T4183" t="s">
        <v>14071</v>
      </c>
    </row>
    <row r="4184" spans="1:20" x14ac:dyDescent="0.25">
      <c r="A4184" s="1" t="str">
        <f>HYPERLINK("https://vegkart.atlas.vegvesen.no/#/@539610.1,7520143.3,18/hva:hva%5B0%5D%5Bfilter%5D%5B0%5D%5Boperator%5D=%21%3D&amp;hva%5B0%5D%5Bfilter%5D%5B0%5D%5Btype_id%5D=4820&amp;hva%5B0%5D%5Bfilter%5D%5B0%5D%5Bverdi%5D=&amp;hva%5B0%5D%5Bid%5D=144/når:2015-12-10", "Vegkart")</f>
        <v>Vegkart</v>
      </c>
      <c r="B4184">
        <v>656378402</v>
      </c>
      <c r="C4184">
        <v>144</v>
      </c>
      <c r="D4184" t="s">
        <v>13345</v>
      </c>
      <c r="E4184">
        <v>4820</v>
      </c>
      <c r="F4184" t="s">
        <v>23479</v>
      </c>
      <c r="G4184">
        <v>1</v>
      </c>
      <c r="H4184" t="s">
        <v>13910</v>
      </c>
      <c r="J4184" t="s">
        <v>13848</v>
      </c>
      <c r="K4184" t="s">
        <v>53</v>
      </c>
      <c r="L4184" t="s">
        <v>80</v>
      </c>
      <c r="M4184" t="s">
        <v>105</v>
      </c>
      <c r="N4184" t="s">
        <v>14072</v>
      </c>
      <c r="O4184" t="s">
        <v>14073</v>
      </c>
      <c r="P4184" s="2" t="s">
        <v>67</v>
      </c>
      <c r="Q4184" t="s">
        <v>68</v>
      </c>
      <c r="R4184">
        <v>26.14</v>
      </c>
      <c r="S4184">
        <v>26.17</v>
      </c>
      <c r="T4184" t="s">
        <v>14074</v>
      </c>
    </row>
    <row r="4185" spans="1:20" x14ac:dyDescent="0.25">
      <c r="A4185" s="1" t="str">
        <f>HYPERLINK("https://vegkart.atlas.vegvesen.no/#/@539607.4,7520143.8,18/hva:hva%5B0%5D%5Bfilter%5D%5B0%5D%5Boperator%5D=%21%3D&amp;hva%5B0%5D%5Bfilter%5D%5B0%5D%5Btype_id%5D=4820&amp;hva%5B0%5D%5Bfilter%5D%5B0%5D%5Bverdi%5D=&amp;hva%5B0%5D%5Bid%5D=144/når:2015-12-10", "Vegkart")</f>
        <v>Vegkart</v>
      </c>
      <c r="B4185">
        <v>656378403</v>
      </c>
      <c r="C4185">
        <v>144</v>
      </c>
      <c r="D4185" t="s">
        <v>13345</v>
      </c>
      <c r="E4185">
        <v>4820</v>
      </c>
      <c r="F4185" t="s">
        <v>23479</v>
      </c>
      <c r="G4185">
        <v>1</v>
      </c>
      <c r="H4185" t="s">
        <v>13910</v>
      </c>
      <c r="J4185" t="s">
        <v>13848</v>
      </c>
      <c r="K4185" t="s">
        <v>53</v>
      </c>
      <c r="L4185" t="s">
        <v>80</v>
      </c>
      <c r="M4185" t="s">
        <v>105</v>
      </c>
      <c r="N4185" t="s">
        <v>14075</v>
      </c>
      <c r="O4185" t="s">
        <v>14076</v>
      </c>
      <c r="P4185" s="2" t="s">
        <v>67</v>
      </c>
      <c r="Q4185" t="s">
        <v>68</v>
      </c>
      <c r="R4185">
        <v>26.27</v>
      </c>
      <c r="S4185">
        <v>26.32</v>
      </c>
      <c r="T4185" t="s">
        <v>14077</v>
      </c>
    </row>
    <row r="4186" spans="1:20" x14ac:dyDescent="0.25">
      <c r="A4186" s="1" t="str">
        <f>HYPERLINK("https://vegkart.atlas.vegvesen.no/#/@539562.2,7520017.7,18/hva:hva%5B0%5D%5Bfilter%5D%5B0%5D%5Boperator%5D=%21%3D&amp;hva%5B0%5D%5Bfilter%5D%5B0%5D%5Btype_id%5D=4820&amp;hva%5B0%5D%5Bfilter%5D%5B0%5D%5Bverdi%5D=&amp;hva%5B0%5D%5Bid%5D=144/når:2015-12-10", "Vegkart")</f>
        <v>Vegkart</v>
      </c>
      <c r="B4186">
        <v>656378404</v>
      </c>
      <c r="C4186">
        <v>144</v>
      </c>
      <c r="D4186" t="s">
        <v>13345</v>
      </c>
      <c r="E4186">
        <v>4820</v>
      </c>
      <c r="F4186" t="s">
        <v>23479</v>
      </c>
      <c r="G4186">
        <v>1</v>
      </c>
      <c r="H4186" t="s">
        <v>13910</v>
      </c>
      <c r="J4186" t="s">
        <v>13848</v>
      </c>
      <c r="K4186" t="s">
        <v>53</v>
      </c>
      <c r="L4186" t="s">
        <v>80</v>
      </c>
      <c r="M4186" t="s">
        <v>105</v>
      </c>
      <c r="N4186" t="s">
        <v>14078</v>
      </c>
      <c r="O4186" t="s">
        <v>14079</v>
      </c>
      <c r="P4186" s="2" t="s">
        <v>67</v>
      </c>
      <c r="Q4186" t="s">
        <v>68</v>
      </c>
      <c r="R4186">
        <v>18.48</v>
      </c>
      <c r="S4186">
        <v>18.48</v>
      </c>
      <c r="T4186" t="s">
        <v>14080</v>
      </c>
    </row>
    <row r="4187" spans="1:20" x14ac:dyDescent="0.25">
      <c r="A4187" s="1" t="str">
        <f>HYPERLINK("https://vegkart.atlas.vegvesen.no/#/@539562.4,7520015.8,18/hva:hva%5B0%5D%5Bfilter%5D%5B0%5D%5Boperator%5D=%21%3D&amp;hva%5B0%5D%5Bfilter%5D%5B0%5D%5Btype_id%5D=4820&amp;hva%5B0%5D%5Bfilter%5D%5B0%5D%5Bverdi%5D=&amp;hva%5B0%5D%5Bid%5D=144/når:2015-12-10", "Vegkart")</f>
        <v>Vegkart</v>
      </c>
      <c r="B4187">
        <v>656378405</v>
      </c>
      <c r="C4187">
        <v>144</v>
      </c>
      <c r="D4187" t="s">
        <v>13345</v>
      </c>
      <c r="E4187">
        <v>4820</v>
      </c>
      <c r="F4187" t="s">
        <v>23479</v>
      </c>
      <c r="G4187">
        <v>1</v>
      </c>
      <c r="H4187" t="s">
        <v>13910</v>
      </c>
      <c r="J4187" t="s">
        <v>13848</v>
      </c>
      <c r="K4187" t="s">
        <v>53</v>
      </c>
      <c r="L4187" t="s">
        <v>80</v>
      </c>
      <c r="M4187" t="s">
        <v>105</v>
      </c>
      <c r="N4187" t="s">
        <v>14081</v>
      </c>
      <c r="O4187" t="s">
        <v>14082</v>
      </c>
      <c r="P4187" s="2" t="s">
        <v>67</v>
      </c>
      <c r="Q4187" t="s">
        <v>68</v>
      </c>
      <c r="R4187">
        <v>20.23</v>
      </c>
      <c r="S4187">
        <v>20.239999999999998</v>
      </c>
      <c r="T4187" t="s">
        <v>14083</v>
      </c>
    </row>
    <row r="4188" spans="1:20" x14ac:dyDescent="0.25">
      <c r="A4188" s="1" t="str">
        <f>HYPERLINK("https://vegkart.atlas.vegvesen.no/#/@539561.0,7520014.5,18/hva:hva%5B0%5D%5Bfilter%5D%5B0%5D%5Boperator%5D=%21%3D&amp;hva%5B0%5D%5Bfilter%5D%5B0%5D%5Btype_id%5D=4820&amp;hva%5B0%5D%5Bfilter%5D%5B0%5D%5Bverdi%5D=&amp;hva%5B0%5D%5Bid%5D=144/når:2015-12-10", "Vegkart")</f>
        <v>Vegkart</v>
      </c>
      <c r="B4188">
        <v>656378406</v>
      </c>
      <c r="C4188">
        <v>144</v>
      </c>
      <c r="D4188" t="s">
        <v>13345</v>
      </c>
      <c r="E4188">
        <v>4820</v>
      </c>
      <c r="F4188" t="s">
        <v>23479</v>
      </c>
      <c r="G4188">
        <v>1</v>
      </c>
      <c r="H4188" t="s">
        <v>13910</v>
      </c>
      <c r="J4188" t="s">
        <v>13848</v>
      </c>
      <c r="K4188" t="s">
        <v>53</v>
      </c>
      <c r="L4188" t="s">
        <v>80</v>
      </c>
      <c r="M4188" t="s">
        <v>105</v>
      </c>
      <c r="N4188" t="s">
        <v>14084</v>
      </c>
      <c r="O4188" t="s">
        <v>14085</v>
      </c>
      <c r="P4188" s="2" t="s">
        <v>67</v>
      </c>
      <c r="Q4188" t="s">
        <v>68</v>
      </c>
      <c r="R4188">
        <v>18.96</v>
      </c>
      <c r="S4188">
        <v>19</v>
      </c>
      <c r="T4188" t="s">
        <v>14086</v>
      </c>
    </row>
    <row r="4189" spans="1:20" x14ac:dyDescent="0.25">
      <c r="A4189" s="1" t="str">
        <f>HYPERLINK("https://vegkart.atlas.vegvesen.no/#/@539543.2,7519992.3,18/hva:hva%5B0%5D%5Bfilter%5D%5B0%5D%5Boperator%5D=%21%3D&amp;hva%5B0%5D%5Bfilter%5D%5B0%5D%5Btype_id%5D=4820&amp;hva%5B0%5D%5Bfilter%5D%5B0%5D%5Bverdi%5D=&amp;hva%5B0%5D%5Bid%5D=144/når:2015-12-10", "Vegkart")</f>
        <v>Vegkart</v>
      </c>
      <c r="B4189">
        <v>656378407</v>
      </c>
      <c r="C4189">
        <v>144</v>
      </c>
      <c r="D4189" t="s">
        <v>13345</v>
      </c>
      <c r="E4189">
        <v>4820</v>
      </c>
      <c r="F4189" t="s">
        <v>23479</v>
      </c>
      <c r="G4189">
        <v>1</v>
      </c>
      <c r="H4189" t="s">
        <v>13910</v>
      </c>
      <c r="J4189" t="s">
        <v>13848</v>
      </c>
      <c r="K4189" t="s">
        <v>53</v>
      </c>
      <c r="L4189" t="s">
        <v>80</v>
      </c>
      <c r="M4189" t="s">
        <v>105</v>
      </c>
      <c r="N4189" t="s">
        <v>14087</v>
      </c>
      <c r="O4189" t="s">
        <v>14088</v>
      </c>
      <c r="P4189" s="2" t="s">
        <v>67</v>
      </c>
      <c r="Q4189" t="s">
        <v>68</v>
      </c>
      <c r="R4189">
        <v>15.2</v>
      </c>
      <c r="S4189">
        <v>15.43</v>
      </c>
      <c r="T4189" t="s">
        <v>14089</v>
      </c>
    </row>
    <row r="4190" spans="1:20" x14ac:dyDescent="0.25">
      <c r="A4190" s="1" t="str">
        <f>HYPERLINK("https://vegkart.atlas.vegvesen.no/#/@539543.1,7519994.0,18/hva:hva%5B0%5D%5Bfilter%5D%5B0%5D%5Boperator%5D=%21%3D&amp;hva%5B0%5D%5Bfilter%5D%5B0%5D%5Btype_id%5D=4820&amp;hva%5B0%5D%5Bfilter%5D%5B0%5D%5Bverdi%5D=&amp;hva%5B0%5D%5Bid%5D=144/når:2015-12-10", "Vegkart")</f>
        <v>Vegkart</v>
      </c>
      <c r="B4190">
        <v>656378408</v>
      </c>
      <c r="C4190">
        <v>144</v>
      </c>
      <c r="D4190" t="s">
        <v>13345</v>
      </c>
      <c r="E4190">
        <v>4820</v>
      </c>
      <c r="F4190" t="s">
        <v>23479</v>
      </c>
      <c r="G4190">
        <v>1</v>
      </c>
      <c r="H4190" t="s">
        <v>13910</v>
      </c>
      <c r="J4190" t="s">
        <v>13848</v>
      </c>
      <c r="K4190" t="s">
        <v>53</v>
      </c>
      <c r="L4190" t="s">
        <v>80</v>
      </c>
      <c r="M4190" t="s">
        <v>105</v>
      </c>
      <c r="N4190" t="s">
        <v>14090</v>
      </c>
      <c r="O4190" t="s">
        <v>14091</v>
      </c>
      <c r="P4190" s="2" t="s">
        <v>67</v>
      </c>
      <c r="Q4190" t="s">
        <v>68</v>
      </c>
      <c r="R4190">
        <v>14.16</v>
      </c>
      <c r="S4190">
        <v>14.27</v>
      </c>
      <c r="T4190" t="s">
        <v>14092</v>
      </c>
    </row>
    <row r="4191" spans="1:20" x14ac:dyDescent="0.25">
      <c r="A4191" s="1" t="str">
        <f>HYPERLINK("https://vegkart.atlas.vegvesen.no/#/@539542.8,7519990.6,18/hva:hva%5B0%5D%5Bfilter%5D%5B0%5D%5Boperator%5D=%21%3D&amp;hva%5B0%5D%5Bfilter%5D%5B0%5D%5Btype_id%5D=4820&amp;hva%5B0%5D%5Bfilter%5D%5B0%5D%5Bverdi%5D=&amp;hva%5B0%5D%5Bid%5D=144/når:2015-12-10", "Vegkart")</f>
        <v>Vegkart</v>
      </c>
      <c r="B4191">
        <v>656378409</v>
      </c>
      <c r="C4191">
        <v>144</v>
      </c>
      <c r="D4191" t="s">
        <v>13345</v>
      </c>
      <c r="E4191">
        <v>4820</v>
      </c>
      <c r="F4191" t="s">
        <v>23479</v>
      </c>
      <c r="G4191">
        <v>1</v>
      </c>
      <c r="H4191" t="s">
        <v>13910</v>
      </c>
      <c r="J4191" t="s">
        <v>13848</v>
      </c>
      <c r="K4191" t="s">
        <v>53</v>
      </c>
      <c r="L4191" t="s">
        <v>80</v>
      </c>
      <c r="M4191" t="s">
        <v>105</v>
      </c>
      <c r="N4191" t="s">
        <v>14093</v>
      </c>
      <c r="O4191" t="s">
        <v>14094</v>
      </c>
      <c r="P4191" s="2" t="s">
        <v>67</v>
      </c>
      <c r="Q4191" t="s">
        <v>68</v>
      </c>
      <c r="R4191">
        <v>15.5</v>
      </c>
      <c r="S4191">
        <v>15.86</v>
      </c>
      <c r="T4191" t="s">
        <v>14095</v>
      </c>
    </row>
    <row r="4192" spans="1:20" x14ac:dyDescent="0.25">
      <c r="A4192" s="1" t="str">
        <f>HYPERLINK("https://vegkart.atlas.vegvesen.no/#/@539550.1,7520019.8,18/hva:hva%5B0%5D%5Bfilter%5D%5B0%5D%5Boperator%5D=%21%3D&amp;hva%5B0%5D%5Bfilter%5D%5B0%5D%5Btype_id%5D=4820&amp;hva%5B0%5D%5Bfilter%5D%5B0%5D%5Bverdi%5D=&amp;hva%5B0%5D%5Bid%5D=144/når:2015-12-10", "Vegkart")</f>
        <v>Vegkart</v>
      </c>
      <c r="B4192">
        <v>656378410</v>
      </c>
      <c r="C4192">
        <v>144</v>
      </c>
      <c r="D4192" t="s">
        <v>13345</v>
      </c>
      <c r="E4192">
        <v>4820</v>
      </c>
      <c r="F4192" t="s">
        <v>23479</v>
      </c>
      <c r="G4192">
        <v>1</v>
      </c>
      <c r="H4192" t="s">
        <v>13910</v>
      </c>
      <c r="J4192" t="s">
        <v>13848</v>
      </c>
      <c r="K4192" t="s">
        <v>53</v>
      </c>
      <c r="L4192" t="s">
        <v>80</v>
      </c>
      <c r="M4192" t="s">
        <v>105</v>
      </c>
      <c r="N4192" t="s">
        <v>14096</v>
      </c>
      <c r="O4192" t="s">
        <v>14097</v>
      </c>
      <c r="P4192" s="2" t="s">
        <v>37</v>
      </c>
      <c r="Q4192" t="s">
        <v>1208</v>
      </c>
      <c r="R4192">
        <v>4.6900000000000004</v>
      </c>
      <c r="S4192">
        <v>5.38</v>
      </c>
      <c r="T4192" t="s">
        <v>14098</v>
      </c>
    </row>
    <row r="4193" spans="1:20" x14ac:dyDescent="0.25">
      <c r="A4193" s="1" t="str">
        <f>HYPERLINK("https://vegkart.atlas.vegvesen.no/#/@539551.1,7520022.0,18/hva:hva%5B0%5D%5Bfilter%5D%5B0%5D%5Boperator%5D=%21%3D&amp;hva%5B0%5D%5Bfilter%5D%5B0%5D%5Btype_id%5D=4820&amp;hva%5B0%5D%5Bfilter%5D%5B0%5D%5Bverdi%5D=&amp;hva%5B0%5D%5Bid%5D=144/når:2015-12-10", "Vegkart")</f>
        <v>Vegkart</v>
      </c>
      <c r="B4193">
        <v>656378411</v>
      </c>
      <c r="C4193">
        <v>144</v>
      </c>
      <c r="D4193" t="s">
        <v>13345</v>
      </c>
      <c r="E4193">
        <v>4820</v>
      </c>
      <c r="F4193" t="s">
        <v>23479</v>
      </c>
      <c r="G4193">
        <v>1</v>
      </c>
      <c r="H4193" t="s">
        <v>13910</v>
      </c>
      <c r="J4193" t="s">
        <v>13848</v>
      </c>
      <c r="K4193" t="s">
        <v>53</v>
      </c>
      <c r="L4193" t="s">
        <v>80</v>
      </c>
      <c r="M4193" t="s">
        <v>105</v>
      </c>
      <c r="N4193" t="s">
        <v>14099</v>
      </c>
      <c r="O4193" t="s">
        <v>14100</v>
      </c>
      <c r="P4193" s="2" t="s">
        <v>37</v>
      </c>
      <c r="Q4193" t="s">
        <v>1208</v>
      </c>
      <c r="R4193">
        <v>4.74</v>
      </c>
      <c r="S4193">
        <v>5.45</v>
      </c>
      <c r="T4193" t="s">
        <v>14101</v>
      </c>
    </row>
    <row r="4194" spans="1:20" x14ac:dyDescent="0.25">
      <c r="A4194" s="1" t="str">
        <f>HYPERLINK("https://vegkart.atlas.vegvesen.no/#/@539551.0,7520020.8,18/hva:hva%5B0%5D%5Bfilter%5D%5B0%5D%5Boperator%5D=%21%3D&amp;hva%5B0%5D%5Bfilter%5D%5B0%5D%5Btype_id%5D=4820&amp;hva%5B0%5D%5Bfilter%5D%5B0%5D%5Bverdi%5D=&amp;hva%5B0%5D%5Bid%5D=144/når:2015-12-10", "Vegkart")</f>
        <v>Vegkart</v>
      </c>
      <c r="B4194">
        <v>656378412</v>
      </c>
      <c r="C4194">
        <v>144</v>
      </c>
      <c r="D4194" t="s">
        <v>13345</v>
      </c>
      <c r="E4194">
        <v>4820</v>
      </c>
      <c r="F4194" t="s">
        <v>23479</v>
      </c>
      <c r="G4194">
        <v>1</v>
      </c>
      <c r="H4194" t="s">
        <v>13910</v>
      </c>
      <c r="J4194" t="s">
        <v>13848</v>
      </c>
      <c r="K4194" t="s">
        <v>53</v>
      </c>
      <c r="L4194" t="s">
        <v>80</v>
      </c>
      <c r="M4194" t="s">
        <v>105</v>
      </c>
      <c r="N4194" t="s">
        <v>14102</v>
      </c>
      <c r="O4194" t="s">
        <v>14103</v>
      </c>
      <c r="P4194" s="2" t="s">
        <v>67</v>
      </c>
      <c r="Q4194" t="s">
        <v>68</v>
      </c>
      <c r="R4194">
        <v>4.49</v>
      </c>
      <c r="S4194">
        <v>4.5</v>
      </c>
      <c r="T4194" t="s">
        <v>14104</v>
      </c>
    </row>
    <row r="4195" spans="1:20" x14ac:dyDescent="0.25">
      <c r="A4195" s="1" t="str">
        <f>HYPERLINK("https://vegkart.atlas.vegvesen.no/#/@539533.7,7519996.0,18/hva:hva%5B0%5D%5Bfilter%5D%5B0%5D%5Boperator%5D=%21%3D&amp;hva%5B0%5D%5Bfilter%5D%5B0%5D%5Btype_id%5D=4820&amp;hva%5B0%5D%5Bfilter%5D%5B0%5D%5Bverdi%5D=&amp;hva%5B0%5D%5Bid%5D=144/når:2015-12-10", "Vegkart")</f>
        <v>Vegkart</v>
      </c>
      <c r="B4195">
        <v>656378413</v>
      </c>
      <c r="C4195">
        <v>144</v>
      </c>
      <c r="D4195" t="s">
        <v>13345</v>
      </c>
      <c r="E4195">
        <v>4820</v>
      </c>
      <c r="F4195" t="s">
        <v>23479</v>
      </c>
      <c r="G4195">
        <v>1</v>
      </c>
      <c r="H4195" t="s">
        <v>13910</v>
      </c>
      <c r="J4195" t="s">
        <v>13848</v>
      </c>
      <c r="K4195" t="s">
        <v>53</v>
      </c>
      <c r="L4195" t="s">
        <v>80</v>
      </c>
      <c r="M4195" t="s">
        <v>105</v>
      </c>
      <c r="N4195" t="s">
        <v>14105</v>
      </c>
      <c r="O4195" t="s">
        <v>14106</v>
      </c>
      <c r="P4195" s="2" t="s">
        <v>37</v>
      </c>
      <c r="Q4195" t="s">
        <v>1208</v>
      </c>
      <c r="R4195">
        <v>4.7300000000000004</v>
      </c>
      <c r="S4195">
        <v>5.31</v>
      </c>
      <c r="T4195" t="s">
        <v>14107</v>
      </c>
    </row>
    <row r="4196" spans="1:20" x14ac:dyDescent="0.25">
      <c r="A4196" s="1" t="str">
        <f>HYPERLINK("https://vegkart.atlas.vegvesen.no/#/@539532.4,7519993.4,18/hva:hva%5B0%5D%5Bfilter%5D%5B0%5D%5Boperator%5D=%21%3D&amp;hva%5B0%5D%5Bfilter%5D%5B0%5D%5Btype_id%5D=4820&amp;hva%5B0%5D%5Bfilter%5D%5B0%5D%5Bverdi%5D=&amp;hva%5B0%5D%5Bid%5D=144/når:2015-12-10", "Vegkart")</f>
        <v>Vegkart</v>
      </c>
      <c r="B4196">
        <v>656378414</v>
      </c>
      <c r="C4196">
        <v>144</v>
      </c>
      <c r="D4196" t="s">
        <v>13345</v>
      </c>
      <c r="E4196">
        <v>4820</v>
      </c>
      <c r="F4196" t="s">
        <v>23479</v>
      </c>
      <c r="G4196">
        <v>1</v>
      </c>
      <c r="H4196" t="s">
        <v>13910</v>
      </c>
      <c r="J4196" t="s">
        <v>13848</v>
      </c>
      <c r="K4196" t="s">
        <v>53</v>
      </c>
      <c r="L4196" t="s">
        <v>80</v>
      </c>
      <c r="M4196" t="s">
        <v>105</v>
      </c>
      <c r="N4196" t="s">
        <v>14108</v>
      </c>
      <c r="O4196" t="s">
        <v>14109</v>
      </c>
      <c r="P4196" s="2" t="s">
        <v>37</v>
      </c>
      <c r="Q4196" t="s">
        <v>1208</v>
      </c>
      <c r="R4196">
        <v>5.42</v>
      </c>
      <c r="S4196">
        <v>6.64</v>
      </c>
      <c r="T4196" t="s">
        <v>14110</v>
      </c>
    </row>
    <row r="4197" spans="1:20" x14ac:dyDescent="0.25">
      <c r="A4197" s="1" t="str">
        <f>HYPERLINK("https://vegkart.atlas.vegvesen.no/#/@539533.5,7519994.5,18/hva:hva%5B0%5D%5Bfilter%5D%5B0%5D%5Boperator%5D=%21%3D&amp;hva%5B0%5D%5Bfilter%5D%5B0%5D%5Btype_id%5D=4820&amp;hva%5B0%5D%5Bfilter%5D%5B0%5D%5Bverdi%5D=&amp;hva%5B0%5D%5Bid%5D=144/når:2015-12-10", "Vegkart")</f>
        <v>Vegkart</v>
      </c>
      <c r="B4197">
        <v>656378415</v>
      </c>
      <c r="C4197">
        <v>144</v>
      </c>
      <c r="D4197" t="s">
        <v>13345</v>
      </c>
      <c r="E4197">
        <v>4820</v>
      </c>
      <c r="F4197" t="s">
        <v>23479</v>
      </c>
      <c r="G4197">
        <v>1</v>
      </c>
      <c r="H4197" t="s">
        <v>13910</v>
      </c>
      <c r="J4197" t="s">
        <v>13848</v>
      </c>
      <c r="K4197" t="s">
        <v>53</v>
      </c>
      <c r="L4197" t="s">
        <v>80</v>
      </c>
      <c r="M4197" t="s">
        <v>105</v>
      </c>
      <c r="N4197" t="s">
        <v>14111</v>
      </c>
      <c r="O4197" t="s">
        <v>14112</v>
      </c>
      <c r="P4197" s="2" t="s">
        <v>67</v>
      </c>
      <c r="Q4197" t="s">
        <v>68</v>
      </c>
      <c r="R4197">
        <v>4.8099999999999996</v>
      </c>
      <c r="S4197">
        <v>4.88</v>
      </c>
      <c r="T4197" t="s">
        <v>14113</v>
      </c>
    </row>
    <row r="4198" spans="1:20" x14ac:dyDescent="0.25">
      <c r="A4198" s="1" t="str">
        <f>HYPERLINK("https://vegkart.atlas.vegvesen.no/#/@327696.0,7080677.2,18/hva:hva%5B0%5D%5Bfilter%5D%5B0%5D%5Boperator%5D=%21%3D&amp;hva%5B0%5D%5Bfilter%5D%5B0%5D%5Btype_id%5D=4820&amp;hva%5B0%5D%5Bfilter%5D%5B0%5D%5Bverdi%5D=&amp;hva%5B0%5D%5Bid%5D=144/når:2015-12-15", "Vegkart")</f>
        <v>Vegkart</v>
      </c>
      <c r="B4198">
        <v>657116906</v>
      </c>
      <c r="C4198">
        <v>144</v>
      </c>
      <c r="D4198" t="s">
        <v>13345</v>
      </c>
      <c r="E4198">
        <v>4820</v>
      </c>
      <c r="F4198" t="s">
        <v>23479</v>
      </c>
      <c r="G4198">
        <v>1</v>
      </c>
      <c r="H4198" t="s">
        <v>3416</v>
      </c>
      <c r="J4198" t="s">
        <v>13848</v>
      </c>
      <c r="K4198" t="s">
        <v>192</v>
      </c>
      <c r="L4198" t="s">
        <v>33</v>
      </c>
      <c r="M4198" t="s">
        <v>14114</v>
      </c>
      <c r="N4198" t="s">
        <v>14115</v>
      </c>
      <c r="O4198" t="s">
        <v>14116</v>
      </c>
      <c r="P4198" s="2" t="s">
        <v>67</v>
      </c>
      <c r="Q4198" t="s">
        <v>68</v>
      </c>
      <c r="R4198">
        <v>681.94</v>
      </c>
      <c r="S4198">
        <v>790.44</v>
      </c>
      <c r="T4198" t="s">
        <v>14117</v>
      </c>
    </row>
    <row r="4199" spans="1:20" x14ac:dyDescent="0.25">
      <c r="A4199" s="1" t="str">
        <f>HYPERLINK("https://vegkart.atlas.vegvesen.no/#/@327708.6,7080674.8,18/hva:hva%5B0%5D%5Bfilter%5D%5B0%5D%5Boperator%5D=%21%3D&amp;hva%5B0%5D%5Bfilter%5D%5B0%5D%5Btype_id%5D=4820&amp;hva%5B0%5D%5Bfilter%5D%5B0%5D%5Bverdi%5D=&amp;hva%5B0%5D%5Bid%5D=144/når:2015-12-15", "Vegkart")</f>
        <v>Vegkart</v>
      </c>
      <c r="B4199">
        <v>657116907</v>
      </c>
      <c r="C4199">
        <v>144</v>
      </c>
      <c r="D4199" t="s">
        <v>13345</v>
      </c>
      <c r="E4199">
        <v>4820</v>
      </c>
      <c r="F4199" t="s">
        <v>23479</v>
      </c>
      <c r="G4199">
        <v>1</v>
      </c>
      <c r="H4199" t="s">
        <v>3416</v>
      </c>
      <c r="J4199" t="s">
        <v>13848</v>
      </c>
      <c r="K4199" t="s">
        <v>192</v>
      </c>
      <c r="L4199" t="s">
        <v>33</v>
      </c>
      <c r="M4199" t="s">
        <v>14114</v>
      </c>
      <c r="N4199" t="s">
        <v>14118</v>
      </c>
      <c r="O4199" t="s">
        <v>14119</v>
      </c>
      <c r="P4199" s="2" t="s">
        <v>67</v>
      </c>
      <c r="Q4199" t="s">
        <v>68</v>
      </c>
      <c r="R4199">
        <v>686.93</v>
      </c>
      <c r="S4199">
        <v>807.35</v>
      </c>
      <c r="T4199" t="s">
        <v>14120</v>
      </c>
    </row>
    <row r="4200" spans="1:20" x14ac:dyDescent="0.25">
      <c r="A4200" s="1" t="str">
        <f>HYPERLINK("https://vegkart.atlas.vegvesen.no/#/@327702.3,7080674.8,18/hva:hva%5B0%5D%5Bfilter%5D%5B0%5D%5Boperator%5D=%21%3D&amp;hva%5B0%5D%5Bfilter%5D%5B0%5D%5Btype_id%5D=4820&amp;hva%5B0%5D%5Bfilter%5D%5B0%5D%5Bverdi%5D=&amp;hva%5B0%5D%5Bid%5D=144/når:2015-12-15", "Vegkart")</f>
        <v>Vegkart</v>
      </c>
      <c r="B4200">
        <v>657116908</v>
      </c>
      <c r="C4200">
        <v>144</v>
      </c>
      <c r="D4200" t="s">
        <v>13345</v>
      </c>
      <c r="E4200">
        <v>4820</v>
      </c>
      <c r="F4200" t="s">
        <v>23479</v>
      </c>
      <c r="G4200">
        <v>1</v>
      </c>
      <c r="H4200" t="s">
        <v>3416</v>
      </c>
      <c r="J4200" t="s">
        <v>13848</v>
      </c>
      <c r="K4200" t="s">
        <v>192</v>
      </c>
      <c r="L4200" t="s">
        <v>33</v>
      </c>
      <c r="M4200" t="s">
        <v>14114</v>
      </c>
      <c r="N4200" t="s">
        <v>14121</v>
      </c>
      <c r="O4200" t="s">
        <v>14122</v>
      </c>
      <c r="P4200" s="2" t="s">
        <v>37</v>
      </c>
      <c r="Q4200" t="s">
        <v>1208</v>
      </c>
      <c r="R4200">
        <v>2.44</v>
      </c>
      <c r="S4200">
        <v>1574.99</v>
      </c>
      <c r="T4200" t="s">
        <v>14123</v>
      </c>
    </row>
    <row r="4201" spans="1:20" x14ac:dyDescent="0.25">
      <c r="A4201" s="1" t="str">
        <f>HYPERLINK("https://vegkart.atlas.vegvesen.no/#/@327653.9,7080381.4,18/hva:hva%5B0%5D%5Bfilter%5D%5B0%5D%5Boperator%5D=%21%3D&amp;hva%5B0%5D%5Bfilter%5D%5B0%5D%5Btype_id%5D=4820&amp;hva%5B0%5D%5Bfilter%5D%5B0%5D%5Bverdi%5D=&amp;hva%5B0%5D%5Bid%5D=144/når:2015-12-15", "Vegkart")</f>
        <v>Vegkart</v>
      </c>
      <c r="B4201">
        <v>657116909</v>
      </c>
      <c r="C4201">
        <v>144</v>
      </c>
      <c r="D4201" t="s">
        <v>13345</v>
      </c>
      <c r="E4201">
        <v>4820</v>
      </c>
      <c r="F4201" t="s">
        <v>23479</v>
      </c>
      <c r="G4201">
        <v>1</v>
      </c>
      <c r="H4201" t="s">
        <v>3416</v>
      </c>
      <c r="J4201" t="s">
        <v>13848</v>
      </c>
      <c r="K4201" t="s">
        <v>192</v>
      </c>
      <c r="L4201" t="s">
        <v>33</v>
      </c>
      <c r="M4201" t="s">
        <v>14124</v>
      </c>
      <c r="N4201" t="s">
        <v>14125</v>
      </c>
      <c r="O4201" t="s">
        <v>14126</v>
      </c>
      <c r="P4201" s="2" t="s">
        <v>37</v>
      </c>
      <c r="Q4201" t="s">
        <v>1208</v>
      </c>
      <c r="R4201">
        <v>5.38</v>
      </c>
      <c r="S4201">
        <v>378.05</v>
      </c>
      <c r="T4201" t="s">
        <v>14127</v>
      </c>
    </row>
    <row r="4202" spans="1:20" x14ac:dyDescent="0.25">
      <c r="A4202" s="1" t="str">
        <f>HYPERLINK("https://vegkart.atlas.vegvesen.no/#/@607432.4,7598270.3,18/hva:hva%5B0%5D%5Bfilter%5D%5B0%5D%5Boperator%5D=%21%3D&amp;hva%5B0%5D%5Bfilter%5D%5B0%5D%5Btype_id%5D=4820&amp;hva%5B0%5D%5Bfilter%5D%5B0%5D%5Bverdi%5D=&amp;hva%5B0%5D%5Bid%5D=144/når:2016-01-21", "Vegkart")</f>
        <v>Vegkart</v>
      </c>
      <c r="B4202">
        <v>657532804</v>
      </c>
      <c r="C4202">
        <v>144</v>
      </c>
      <c r="D4202" t="s">
        <v>13345</v>
      </c>
      <c r="E4202">
        <v>4820</v>
      </c>
      <c r="F4202" t="s">
        <v>23479</v>
      </c>
      <c r="G4202">
        <v>1</v>
      </c>
      <c r="H4202" t="s">
        <v>14128</v>
      </c>
      <c r="J4202" t="s">
        <v>13848</v>
      </c>
      <c r="K4202" t="s">
        <v>53</v>
      </c>
      <c r="L4202" t="s">
        <v>80</v>
      </c>
      <c r="M4202" t="s">
        <v>522</v>
      </c>
      <c r="N4202" t="s">
        <v>14129</v>
      </c>
      <c r="O4202" t="s">
        <v>14130</v>
      </c>
      <c r="P4202" s="2" t="s">
        <v>37</v>
      </c>
      <c r="Q4202" t="s">
        <v>1208</v>
      </c>
      <c r="R4202">
        <v>2.11</v>
      </c>
      <c r="S4202">
        <v>5.79</v>
      </c>
      <c r="T4202" t="s">
        <v>14131</v>
      </c>
    </row>
    <row r="4203" spans="1:20" x14ac:dyDescent="0.25">
      <c r="A4203" s="1" t="str">
        <f>HYPERLINK("https://vegkart.atlas.vegvesen.no/#/@607332.3,7598265.3,18/hva:hva%5B0%5D%5Bfilter%5D%5B0%5D%5Boperator%5D=%21%3D&amp;hva%5B0%5D%5Bfilter%5D%5B0%5D%5Btype_id%5D=4820&amp;hva%5B0%5D%5Bfilter%5D%5B0%5D%5Bverdi%5D=&amp;hva%5B0%5D%5Bid%5D=144/når:2016-01-21", "Vegkart")</f>
        <v>Vegkart</v>
      </c>
      <c r="B4203">
        <v>657532806</v>
      </c>
      <c r="C4203">
        <v>144</v>
      </c>
      <c r="D4203" t="s">
        <v>13345</v>
      </c>
      <c r="E4203">
        <v>4820</v>
      </c>
      <c r="F4203" t="s">
        <v>23479</v>
      </c>
      <c r="G4203">
        <v>1</v>
      </c>
      <c r="H4203" t="s">
        <v>14128</v>
      </c>
      <c r="J4203" t="s">
        <v>13848</v>
      </c>
      <c r="K4203" t="s">
        <v>53</v>
      </c>
      <c r="L4203" t="s">
        <v>80</v>
      </c>
      <c r="M4203" t="s">
        <v>522</v>
      </c>
      <c r="N4203" t="s">
        <v>14132</v>
      </c>
      <c r="O4203" t="s">
        <v>14133</v>
      </c>
      <c r="P4203" s="2" t="s">
        <v>37</v>
      </c>
      <c r="Q4203" t="s">
        <v>1208</v>
      </c>
      <c r="R4203">
        <v>2.08</v>
      </c>
      <c r="S4203">
        <v>5.47</v>
      </c>
      <c r="T4203" t="s">
        <v>14134</v>
      </c>
    </row>
    <row r="4204" spans="1:20" x14ac:dyDescent="0.25">
      <c r="A4204" s="1" t="str">
        <f>HYPERLINK("https://vegkart.atlas.vegvesen.no/#/@607233.2,7598249.1,18/hva:hva%5B0%5D%5Bfilter%5D%5B0%5D%5Boperator%5D=%21%3D&amp;hva%5B0%5D%5Bfilter%5D%5B0%5D%5Btype_id%5D=4820&amp;hva%5B0%5D%5Bfilter%5D%5B0%5D%5Bverdi%5D=&amp;hva%5B0%5D%5Bid%5D=144/når:2016-01-21", "Vegkart")</f>
        <v>Vegkart</v>
      </c>
      <c r="B4204">
        <v>657532807</v>
      </c>
      <c r="C4204">
        <v>144</v>
      </c>
      <c r="D4204" t="s">
        <v>13345</v>
      </c>
      <c r="E4204">
        <v>4820</v>
      </c>
      <c r="F4204" t="s">
        <v>23479</v>
      </c>
      <c r="G4204">
        <v>1</v>
      </c>
      <c r="H4204" t="s">
        <v>14128</v>
      </c>
      <c r="J4204" t="s">
        <v>13848</v>
      </c>
      <c r="K4204" t="s">
        <v>53</v>
      </c>
      <c r="L4204" t="s">
        <v>80</v>
      </c>
      <c r="M4204" t="s">
        <v>522</v>
      </c>
      <c r="N4204" t="s">
        <v>14135</v>
      </c>
      <c r="O4204" t="s">
        <v>14136</v>
      </c>
      <c r="P4204" s="2" t="s">
        <v>37</v>
      </c>
      <c r="Q4204" t="s">
        <v>1208</v>
      </c>
      <c r="R4204">
        <v>2.0499999999999998</v>
      </c>
      <c r="S4204">
        <v>13.14</v>
      </c>
      <c r="T4204" t="s">
        <v>14137</v>
      </c>
    </row>
    <row r="4205" spans="1:20" x14ac:dyDescent="0.25">
      <c r="A4205" s="1" t="str">
        <f>HYPERLINK("https://vegkart.atlas.vegvesen.no/#/@607235.8,7598267.6,18/hva:hva%5B0%5D%5Bfilter%5D%5B0%5D%5Boperator%5D=%21%3D&amp;hva%5B0%5D%5Bfilter%5D%5B0%5D%5Btype_id%5D=4820&amp;hva%5B0%5D%5Bfilter%5D%5B0%5D%5Bverdi%5D=&amp;hva%5B0%5D%5Bid%5D=144/når:2016-01-21", "Vegkart")</f>
        <v>Vegkart</v>
      </c>
      <c r="B4205">
        <v>657532808</v>
      </c>
      <c r="C4205">
        <v>144</v>
      </c>
      <c r="D4205" t="s">
        <v>13345</v>
      </c>
      <c r="E4205">
        <v>4820</v>
      </c>
      <c r="F4205" t="s">
        <v>23479</v>
      </c>
      <c r="G4205">
        <v>1</v>
      </c>
      <c r="H4205" t="s">
        <v>14128</v>
      </c>
      <c r="J4205" t="s">
        <v>13848</v>
      </c>
      <c r="K4205" t="s">
        <v>53</v>
      </c>
      <c r="L4205" t="s">
        <v>80</v>
      </c>
      <c r="M4205" t="s">
        <v>522</v>
      </c>
      <c r="N4205" t="s">
        <v>14138</v>
      </c>
      <c r="O4205" t="s">
        <v>14139</v>
      </c>
      <c r="P4205" s="2" t="s">
        <v>37</v>
      </c>
      <c r="Q4205" t="s">
        <v>1208</v>
      </c>
      <c r="R4205">
        <v>2.2999999999999998</v>
      </c>
      <c r="S4205">
        <v>6.99</v>
      </c>
      <c r="T4205" t="s">
        <v>14140</v>
      </c>
    </row>
    <row r="4206" spans="1:20" x14ac:dyDescent="0.25">
      <c r="A4206" s="1" t="str">
        <f>HYPERLINK("https://vegkart.atlas.vegvesen.no/#/@606148.6,7598193.1,18/hva:hva%5B0%5D%5Bfilter%5D%5B0%5D%5Boperator%5D=%21%3D&amp;hva%5B0%5D%5Bfilter%5D%5B0%5D%5Btype_id%5D=4820&amp;hva%5B0%5D%5Bfilter%5D%5B0%5D%5Bverdi%5D=&amp;hva%5B0%5D%5Bid%5D=144/når:2016-01-21", "Vegkart")</f>
        <v>Vegkart</v>
      </c>
      <c r="B4206">
        <v>657532809</v>
      </c>
      <c r="C4206">
        <v>144</v>
      </c>
      <c r="D4206" t="s">
        <v>13345</v>
      </c>
      <c r="E4206">
        <v>4820</v>
      </c>
      <c r="F4206" t="s">
        <v>23479</v>
      </c>
      <c r="G4206">
        <v>1</v>
      </c>
      <c r="H4206" t="s">
        <v>14128</v>
      </c>
      <c r="J4206" t="s">
        <v>13848</v>
      </c>
      <c r="K4206" t="s">
        <v>53</v>
      </c>
      <c r="L4206" t="s">
        <v>80</v>
      </c>
      <c r="M4206" t="s">
        <v>522</v>
      </c>
      <c r="N4206" t="s">
        <v>14141</v>
      </c>
      <c r="O4206" t="s">
        <v>14142</v>
      </c>
      <c r="P4206" s="2" t="s">
        <v>37</v>
      </c>
      <c r="Q4206" t="s">
        <v>1208</v>
      </c>
      <c r="R4206">
        <v>2.37</v>
      </c>
      <c r="S4206">
        <v>7.19</v>
      </c>
      <c r="T4206" t="s">
        <v>14143</v>
      </c>
    </row>
    <row r="4207" spans="1:20" x14ac:dyDescent="0.25">
      <c r="A4207" s="1" t="str">
        <f>HYPERLINK("https://vegkart.atlas.vegvesen.no/#/@606107.8,7598158.9,18/hva:hva%5B0%5D%5Bfilter%5D%5B0%5D%5Boperator%5D=%21%3D&amp;hva%5B0%5D%5Bfilter%5D%5B0%5D%5Btype_id%5D=4820&amp;hva%5B0%5D%5Bfilter%5D%5B0%5D%5Bverdi%5D=&amp;hva%5B0%5D%5Bid%5D=144/når:2016-01-21", "Vegkart")</f>
        <v>Vegkart</v>
      </c>
      <c r="B4207">
        <v>657532811</v>
      </c>
      <c r="C4207">
        <v>144</v>
      </c>
      <c r="D4207" t="s">
        <v>13345</v>
      </c>
      <c r="E4207">
        <v>4820</v>
      </c>
      <c r="F4207" t="s">
        <v>23479</v>
      </c>
      <c r="G4207">
        <v>1</v>
      </c>
      <c r="H4207" t="s">
        <v>14128</v>
      </c>
      <c r="J4207" t="s">
        <v>13848</v>
      </c>
      <c r="K4207" t="s">
        <v>53</v>
      </c>
      <c r="L4207" t="s">
        <v>80</v>
      </c>
      <c r="M4207" t="s">
        <v>522</v>
      </c>
      <c r="N4207" t="s">
        <v>14144</v>
      </c>
      <c r="O4207" t="s">
        <v>14145</v>
      </c>
      <c r="P4207" s="2" t="s">
        <v>37</v>
      </c>
      <c r="Q4207" t="s">
        <v>1208</v>
      </c>
      <c r="R4207">
        <v>3.15</v>
      </c>
      <c r="S4207">
        <v>7.34</v>
      </c>
      <c r="T4207" t="s">
        <v>14146</v>
      </c>
    </row>
    <row r="4208" spans="1:20" x14ac:dyDescent="0.25">
      <c r="A4208" s="1" t="str">
        <f>HYPERLINK("https://vegkart.atlas.vegvesen.no/#/@606071.1,7598165.3,18/hva:hva%5B0%5D%5Bfilter%5D%5B0%5D%5Boperator%5D=%21%3D&amp;hva%5B0%5D%5Bfilter%5D%5B0%5D%5Btype_id%5D=4820&amp;hva%5B0%5D%5Bfilter%5D%5B0%5D%5Bverdi%5D=&amp;hva%5B0%5D%5Bid%5D=144/når:2016-01-21", "Vegkart")</f>
        <v>Vegkart</v>
      </c>
      <c r="B4208">
        <v>657532812</v>
      </c>
      <c r="C4208">
        <v>144</v>
      </c>
      <c r="D4208" t="s">
        <v>13345</v>
      </c>
      <c r="E4208">
        <v>4820</v>
      </c>
      <c r="F4208" t="s">
        <v>23479</v>
      </c>
      <c r="G4208">
        <v>1</v>
      </c>
      <c r="H4208" t="s">
        <v>14128</v>
      </c>
      <c r="J4208" t="s">
        <v>13848</v>
      </c>
      <c r="K4208" t="s">
        <v>53</v>
      </c>
      <c r="L4208" t="s">
        <v>80</v>
      </c>
      <c r="M4208" t="s">
        <v>522</v>
      </c>
      <c r="N4208" t="s">
        <v>14147</v>
      </c>
      <c r="O4208" t="s">
        <v>14148</v>
      </c>
      <c r="P4208" s="2" t="s">
        <v>37</v>
      </c>
      <c r="Q4208" t="s">
        <v>1208</v>
      </c>
      <c r="R4208">
        <v>2.33</v>
      </c>
      <c r="S4208">
        <v>6.45</v>
      </c>
      <c r="T4208" t="s">
        <v>14149</v>
      </c>
    </row>
    <row r="4209" spans="1:20" x14ac:dyDescent="0.25">
      <c r="A4209" s="1" t="str">
        <f>HYPERLINK("https://vegkart.atlas.vegvesen.no/#/@514392.6,7622134.5,18/hva:hva%5B0%5D%5Bfilter%5D%5B0%5D%5Boperator%5D=%21%3D&amp;hva%5B0%5D%5Bfilter%5D%5B0%5D%5Btype_id%5D=4820&amp;hva%5B0%5D%5Bfilter%5D%5B0%5D%5Bverdi%5D=&amp;hva%5B0%5D%5Bid%5D=144/når:2016-01-27", "Vegkart")</f>
        <v>Vegkart</v>
      </c>
      <c r="B4209">
        <v>657583926</v>
      </c>
      <c r="C4209">
        <v>144</v>
      </c>
      <c r="D4209" t="s">
        <v>13345</v>
      </c>
      <c r="E4209">
        <v>4820</v>
      </c>
      <c r="F4209" t="s">
        <v>23479</v>
      </c>
      <c r="G4209">
        <v>1</v>
      </c>
      <c r="H4209" t="s">
        <v>14150</v>
      </c>
      <c r="J4209" t="s">
        <v>13848</v>
      </c>
      <c r="K4209" t="s">
        <v>53</v>
      </c>
      <c r="L4209" t="s">
        <v>33</v>
      </c>
      <c r="M4209" t="s">
        <v>14151</v>
      </c>
      <c r="N4209" t="s">
        <v>14152</v>
      </c>
      <c r="O4209" t="s">
        <v>14153</v>
      </c>
      <c r="P4209" s="2" t="s">
        <v>67</v>
      </c>
      <c r="Q4209" t="s">
        <v>68</v>
      </c>
      <c r="R4209">
        <v>55.7</v>
      </c>
      <c r="S4209">
        <v>56.43</v>
      </c>
      <c r="T4209" t="s">
        <v>14154</v>
      </c>
    </row>
    <row r="4210" spans="1:20" x14ac:dyDescent="0.25">
      <c r="A4210" s="1" t="str">
        <f>HYPERLINK("https://vegkart.atlas.vegvesen.no/#/@514318.5,7622100.9,18/hva:hva%5B0%5D%5Bfilter%5D%5B0%5D%5Boperator%5D=%21%3D&amp;hva%5B0%5D%5Bfilter%5D%5B0%5D%5Btype_id%5D=4820&amp;hva%5B0%5D%5Bfilter%5D%5B0%5D%5Bverdi%5D=&amp;hva%5B0%5D%5Bid%5D=144/når:2016-01-27", "Vegkart")</f>
        <v>Vegkart</v>
      </c>
      <c r="B4210">
        <v>657583927</v>
      </c>
      <c r="C4210">
        <v>144</v>
      </c>
      <c r="D4210" t="s">
        <v>13345</v>
      </c>
      <c r="E4210">
        <v>4820</v>
      </c>
      <c r="F4210" t="s">
        <v>23479</v>
      </c>
      <c r="G4210">
        <v>1</v>
      </c>
      <c r="H4210" t="s">
        <v>14150</v>
      </c>
      <c r="J4210" t="s">
        <v>13848</v>
      </c>
      <c r="K4210" t="s">
        <v>53</v>
      </c>
      <c r="L4210" t="s">
        <v>33</v>
      </c>
      <c r="M4210" t="s">
        <v>14151</v>
      </c>
      <c r="N4210" t="s">
        <v>14155</v>
      </c>
      <c r="O4210" t="s">
        <v>14156</v>
      </c>
      <c r="P4210" s="2" t="s">
        <v>67</v>
      </c>
      <c r="Q4210" t="s">
        <v>68</v>
      </c>
      <c r="R4210">
        <v>77.400000000000006</v>
      </c>
      <c r="S4210">
        <v>78.06</v>
      </c>
      <c r="T4210" t="s">
        <v>14157</v>
      </c>
    </row>
    <row r="4211" spans="1:20" x14ac:dyDescent="0.25">
      <c r="A4211" s="1" t="str">
        <f>HYPERLINK("https://vegkart.atlas.vegvesen.no/#/@256639.0,6786260.1,18/hva:hva%5B0%5D%5Bfilter%5D%5B0%5D%5Boperator%5D=%21%3D&amp;hva%5B0%5D%5Bfilter%5D%5B0%5D%5Btype_id%5D=4820&amp;hva%5B0%5D%5Bfilter%5D%5B0%5D%5Bverdi%5D=&amp;hva%5B0%5D%5Bid%5D=144/når:2015-11-17", "Vegkart")</f>
        <v>Vegkart</v>
      </c>
      <c r="B4211">
        <v>667794192</v>
      </c>
      <c r="C4211">
        <v>144</v>
      </c>
      <c r="D4211" t="s">
        <v>13345</v>
      </c>
      <c r="E4211">
        <v>4820</v>
      </c>
      <c r="F4211" t="s">
        <v>23479</v>
      </c>
      <c r="G4211">
        <v>1</v>
      </c>
      <c r="H4211" t="s">
        <v>14158</v>
      </c>
      <c r="J4211" t="s">
        <v>13848</v>
      </c>
      <c r="K4211" t="s">
        <v>136</v>
      </c>
      <c r="L4211" t="s">
        <v>33</v>
      </c>
      <c r="M4211" t="s">
        <v>14159</v>
      </c>
      <c r="N4211" t="s">
        <v>14160</v>
      </c>
      <c r="O4211" t="s">
        <v>14161</v>
      </c>
      <c r="P4211" s="2" t="s">
        <v>165</v>
      </c>
      <c r="Q4211" t="s">
        <v>641</v>
      </c>
      <c r="R4211">
        <v>0</v>
      </c>
      <c r="S4211">
        <v>39.64</v>
      </c>
      <c r="T4211" t="s">
        <v>167</v>
      </c>
    </row>
    <row r="4212" spans="1:20" x14ac:dyDescent="0.25">
      <c r="A4212" s="1" t="str">
        <f>HYPERLINK("https://vegkart.atlas.vegvesen.no/#/@227972.9,7025348.9,18/hva:hva%5B0%5D%5Bfilter%5D%5B0%5D%5Boperator%5D=%21%3D&amp;hva%5B0%5D%5Bfilter%5D%5B0%5D%5Btype_id%5D=4820&amp;hva%5B0%5D%5Bfilter%5D%5B0%5D%5Bverdi%5D=&amp;hva%5B0%5D%5Bid%5D=144/når:2016-03-14", "Vegkart")</f>
        <v>Vegkart</v>
      </c>
      <c r="B4212">
        <v>671754075</v>
      </c>
      <c r="C4212">
        <v>144</v>
      </c>
      <c r="D4212" t="s">
        <v>13345</v>
      </c>
      <c r="E4212">
        <v>4820</v>
      </c>
      <c r="F4212" t="s">
        <v>23479</v>
      </c>
      <c r="G4212">
        <v>1</v>
      </c>
      <c r="H4212" t="s">
        <v>14162</v>
      </c>
      <c r="J4212" t="s">
        <v>14163</v>
      </c>
      <c r="K4212" t="s">
        <v>192</v>
      </c>
      <c r="L4212" t="s">
        <v>80</v>
      </c>
      <c r="M4212" t="s">
        <v>81</v>
      </c>
      <c r="N4212" t="s">
        <v>14164</v>
      </c>
      <c r="O4212" t="s">
        <v>14165</v>
      </c>
      <c r="P4212" s="2" t="s">
        <v>165</v>
      </c>
      <c r="Q4212" t="s">
        <v>641</v>
      </c>
      <c r="R4212">
        <v>0</v>
      </c>
      <c r="S4212">
        <v>79.66</v>
      </c>
      <c r="T4212" t="s">
        <v>167</v>
      </c>
    </row>
    <row r="4213" spans="1:20" x14ac:dyDescent="0.25">
      <c r="A4213" s="1" t="str">
        <f>HYPERLINK("https://vegkart.atlas.vegvesen.no/#/@263378.7,7061637.2,18/hva:hva%5B0%5D%5Bfilter%5D%5B0%5D%5Boperator%5D=%21%3D&amp;hva%5B0%5D%5Bfilter%5D%5B0%5D%5Btype_id%5D=4820&amp;hva%5B0%5D%5Bfilter%5D%5B0%5D%5Bverdi%5D=&amp;hva%5B0%5D%5Bid%5D=144/når:2016-03-15", "Vegkart")</f>
        <v>Vegkart</v>
      </c>
      <c r="B4213">
        <v>671818790</v>
      </c>
      <c r="C4213">
        <v>144</v>
      </c>
      <c r="D4213" t="s">
        <v>13345</v>
      </c>
      <c r="E4213">
        <v>4820</v>
      </c>
      <c r="F4213" t="s">
        <v>23479</v>
      </c>
      <c r="G4213">
        <v>1</v>
      </c>
      <c r="H4213" t="s">
        <v>14166</v>
      </c>
      <c r="J4213" t="s">
        <v>14163</v>
      </c>
      <c r="K4213" t="s">
        <v>192</v>
      </c>
      <c r="L4213" t="s">
        <v>33</v>
      </c>
      <c r="M4213" t="s">
        <v>6448</v>
      </c>
      <c r="N4213" t="s">
        <v>14167</v>
      </c>
      <c r="O4213" t="s">
        <v>14168</v>
      </c>
      <c r="P4213" s="2" t="s">
        <v>67</v>
      </c>
      <c r="Q4213" t="s">
        <v>68</v>
      </c>
      <c r="R4213">
        <v>12.12</v>
      </c>
      <c r="S4213">
        <v>12.12</v>
      </c>
      <c r="T4213" t="s">
        <v>14169</v>
      </c>
    </row>
    <row r="4214" spans="1:20" x14ac:dyDescent="0.25">
      <c r="A4214" s="1" t="str">
        <f>HYPERLINK("https://vegkart.atlas.vegvesen.no/#/@263338.4,7061565.8,18/hva:hva%5B0%5D%5Bfilter%5D%5B0%5D%5Boperator%5D=%21%3D&amp;hva%5B0%5D%5Bfilter%5D%5B0%5D%5Btype_id%5D=4820&amp;hva%5B0%5D%5Bfilter%5D%5B0%5D%5Bverdi%5D=&amp;hva%5B0%5D%5Bid%5D=144/når:2016-03-15", "Vegkart")</f>
        <v>Vegkart</v>
      </c>
      <c r="B4214">
        <v>671818791</v>
      </c>
      <c r="C4214">
        <v>144</v>
      </c>
      <c r="D4214" t="s">
        <v>13345</v>
      </c>
      <c r="E4214">
        <v>4820</v>
      </c>
      <c r="F4214" t="s">
        <v>23479</v>
      </c>
      <c r="G4214">
        <v>1</v>
      </c>
      <c r="H4214" t="s">
        <v>14166</v>
      </c>
      <c r="J4214" t="s">
        <v>14163</v>
      </c>
      <c r="K4214" t="s">
        <v>192</v>
      </c>
      <c r="L4214" t="s">
        <v>33</v>
      </c>
      <c r="M4214" t="s">
        <v>6448</v>
      </c>
      <c r="N4214" t="s">
        <v>14170</v>
      </c>
      <c r="O4214" t="s">
        <v>14171</v>
      </c>
      <c r="P4214" s="2" t="s">
        <v>67</v>
      </c>
      <c r="Q4214" t="s">
        <v>68</v>
      </c>
      <c r="R4214">
        <v>18.62</v>
      </c>
      <c r="S4214">
        <v>18.95</v>
      </c>
      <c r="T4214" t="s">
        <v>14172</v>
      </c>
    </row>
    <row r="4215" spans="1:20" x14ac:dyDescent="0.25">
      <c r="A4215" s="1" t="str">
        <f>HYPERLINK("https://vegkart.atlas.vegvesen.no/#/@262713.7,7060721.1,18/hva:hva%5B0%5D%5Bfilter%5D%5B0%5D%5Boperator%5D=%21%3D&amp;hva%5B0%5D%5Bfilter%5D%5B0%5D%5Btype_id%5D=4820&amp;hva%5B0%5D%5Bfilter%5D%5B0%5D%5Bverdi%5D=&amp;hva%5B0%5D%5Bid%5D=144/når:2016-03-15", "Vegkart")</f>
        <v>Vegkart</v>
      </c>
      <c r="B4215">
        <v>671818792</v>
      </c>
      <c r="C4215">
        <v>144</v>
      </c>
      <c r="D4215" t="s">
        <v>13345</v>
      </c>
      <c r="E4215">
        <v>4820</v>
      </c>
      <c r="F4215" t="s">
        <v>23479</v>
      </c>
      <c r="G4215">
        <v>1</v>
      </c>
      <c r="H4215" t="s">
        <v>14166</v>
      </c>
      <c r="J4215" t="s">
        <v>14163</v>
      </c>
      <c r="K4215" t="s">
        <v>192</v>
      </c>
      <c r="L4215" t="s">
        <v>33</v>
      </c>
      <c r="M4215" t="s">
        <v>6448</v>
      </c>
      <c r="N4215" t="s">
        <v>14173</v>
      </c>
      <c r="O4215" t="s">
        <v>14174</v>
      </c>
      <c r="P4215" s="2" t="s">
        <v>67</v>
      </c>
      <c r="Q4215" t="s">
        <v>68</v>
      </c>
      <c r="R4215">
        <v>87.13</v>
      </c>
      <c r="S4215">
        <v>87.13</v>
      </c>
      <c r="T4215" t="s">
        <v>14175</v>
      </c>
    </row>
    <row r="4216" spans="1:20" x14ac:dyDescent="0.25">
      <c r="A4216" s="1" t="str">
        <f>HYPERLINK("https://vegkart.atlas.vegvesen.no/#/@261503.6,7060150.8,18/hva:hva%5B0%5D%5Bfilter%5D%5B0%5D%5Boperator%5D=%21%3D&amp;hva%5B0%5D%5Bfilter%5D%5B0%5D%5Btype_id%5D=4820&amp;hva%5B0%5D%5Bfilter%5D%5B0%5D%5Bverdi%5D=&amp;hva%5B0%5D%5Bid%5D=144/når:2016-03-15", "Vegkart")</f>
        <v>Vegkart</v>
      </c>
      <c r="B4216">
        <v>671818793</v>
      </c>
      <c r="C4216">
        <v>144</v>
      </c>
      <c r="D4216" t="s">
        <v>13345</v>
      </c>
      <c r="E4216">
        <v>4820</v>
      </c>
      <c r="F4216" t="s">
        <v>23479</v>
      </c>
      <c r="G4216">
        <v>1</v>
      </c>
      <c r="H4216" t="s">
        <v>14166</v>
      </c>
      <c r="J4216" t="s">
        <v>14163</v>
      </c>
      <c r="K4216" t="s">
        <v>192</v>
      </c>
      <c r="L4216" t="s">
        <v>33</v>
      </c>
      <c r="M4216" t="s">
        <v>6448</v>
      </c>
      <c r="N4216" t="s">
        <v>14176</v>
      </c>
      <c r="O4216" t="s">
        <v>14177</v>
      </c>
      <c r="P4216" s="2" t="s">
        <v>67</v>
      </c>
      <c r="Q4216" t="s">
        <v>68</v>
      </c>
      <c r="R4216">
        <v>57.79</v>
      </c>
      <c r="S4216">
        <v>58.78</v>
      </c>
      <c r="T4216" t="s">
        <v>14178</v>
      </c>
    </row>
    <row r="4217" spans="1:20" x14ac:dyDescent="0.25">
      <c r="A4217" s="1" t="str">
        <f>HYPERLINK("https://vegkart.atlas.vegvesen.no/#/@261452.2,7060015.5,18/hva:hva%5B0%5D%5Bfilter%5D%5B0%5D%5Boperator%5D=%21%3D&amp;hva%5B0%5D%5Bfilter%5D%5B0%5D%5Btype_id%5D=4820&amp;hva%5B0%5D%5Bfilter%5D%5B0%5D%5Bverdi%5D=&amp;hva%5B0%5D%5Bid%5D=144/når:2016-03-15", "Vegkart")</f>
        <v>Vegkart</v>
      </c>
      <c r="B4217">
        <v>671818794</v>
      </c>
      <c r="C4217">
        <v>144</v>
      </c>
      <c r="D4217" t="s">
        <v>13345</v>
      </c>
      <c r="E4217">
        <v>4820</v>
      </c>
      <c r="F4217" t="s">
        <v>23479</v>
      </c>
      <c r="G4217">
        <v>1</v>
      </c>
      <c r="H4217" t="s">
        <v>14166</v>
      </c>
      <c r="J4217" t="s">
        <v>14163</v>
      </c>
      <c r="K4217" t="s">
        <v>192</v>
      </c>
      <c r="L4217" t="s">
        <v>33</v>
      </c>
      <c r="M4217" t="s">
        <v>6448</v>
      </c>
      <c r="N4217" t="s">
        <v>14179</v>
      </c>
      <c r="O4217" t="s">
        <v>14180</v>
      </c>
      <c r="P4217" s="2" t="s">
        <v>67</v>
      </c>
      <c r="Q4217" t="s">
        <v>68</v>
      </c>
      <c r="R4217">
        <v>25.94</v>
      </c>
      <c r="S4217">
        <v>26.49</v>
      </c>
      <c r="T4217" t="s">
        <v>14181</v>
      </c>
    </row>
    <row r="4218" spans="1:20" x14ac:dyDescent="0.25">
      <c r="A4218" s="1" t="str">
        <f>HYPERLINK("https://vegkart.atlas.vegvesen.no/#/@261370.9,7059569.1,18/hva:hva%5B0%5D%5Bfilter%5D%5B0%5D%5Boperator%5D=%21%3D&amp;hva%5B0%5D%5Bfilter%5D%5B0%5D%5Btype_id%5D=4820&amp;hva%5B0%5D%5Bfilter%5D%5B0%5D%5Bverdi%5D=&amp;hva%5B0%5D%5Bid%5D=144/når:2016-03-15", "Vegkart")</f>
        <v>Vegkart</v>
      </c>
      <c r="B4218">
        <v>671818795</v>
      </c>
      <c r="C4218">
        <v>144</v>
      </c>
      <c r="D4218" t="s">
        <v>13345</v>
      </c>
      <c r="E4218">
        <v>4820</v>
      </c>
      <c r="F4218" t="s">
        <v>23479</v>
      </c>
      <c r="G4218">
        <v>1</v>
      </c>
      <c r="H4218" t="s">
        <v>14166</v>
      </c>
      <c r="J4218" t="s">
        <v>14163</v>
      </c>
      <c r="K4218" t="s">
        <v>192</v>
      </c>
      <c r="L4218" t="s">
        <v>33</v>
      </c>
      <c r="M4218" t="s">
        <v>6448</v>
      </c>
      <c r="N4218" t="s">
        <v>14182</v>
      </c>
      <c r="O4218" t="s">
        <v>14183</v>
      </c>
      <c r="P4218" s="2" t="s">
        <v>67</v>
      </c>
      <c r="Q4218" t="s">
        <v>68</v>
      </c>
      <c r="R4218">
        <v>36.08</v>
      </c>
      <c r="S4218">
        <v>37.78</v>
      </c>
      <c r="T4218" t="s">
        <v>14184</v>
      </c>
    </row>
    <row r="4219" spans="1:20" x14ac:dyDescent="0.25">
      <c r="A4219" s="1" t="str">
        <f>HYPERLINK("https://vegkart.atlas.vegvesen.no/#/@261130.2,7058962.4,18/hva:hva%5B0%5D%5Bfilter%5D%5B0%5D%5Boperator%5D=%21%3D&amp;hva%5B0%5D%5Bfilter%5D%5B0%5D%5Btype_id%5D=4820&amp;hva%5B0%5D%5Bfilter%5D%5B0%5D%5Bverdi%5D=&amp;hva%5B0%5D%5Bid%5D=144/når:2016-03-15", "Vegkart")</f>
        <v>Vegkart</v>
      </c>
      <c r="B4219">
        <v>671818796</v>
      </c>
      <c r="C4219">
        <v>144</v>
      </c>
      <c r="D4219" t="s">
        <v>13345</v>
      </c>
      <c r="E4219">
        <v>4820</v>
      </c>
      <c r="F4219" t="s">
        <v>23479</v>
      </c>
      <c r="G4219">
        <v>1</v>
      </c>
      <c r="H4219" t="s">
        <v>14166</v>
      </c>
      <c r="J4219" t="s">
        <v>14163</v>
      </c>
      <c r="K4219" t="s">
        <v>192</v>
      </c>
      <c r="L4219" t="s">
        <v>33</v>
      </c>
      <c r="M4219" t="s">
        <v>6448</v>
      </c>
      <c r="N4219" t="s">
        <v>14185</v>
      </c>
      <c r="O4219" t="s">
        <v>14186</v>
      </c>
      <c r="P4219" s="2" t="s">
        <v>67</v>
      </c>
      <c r="Q4219" t="s">
        <v>68</v>
      </c>
      <c r="R4219">
        <v>31.28</v>
      </c>
      <c r="S4219">
        <v>31.28</v>
      </c>
      <c r="T4219" t="s">
        <v>14187</v>
      </c>
    </row>
    <row r="4220" spans="1:20" x14ac:dyDescent="0.25">
      <c r="A4220" s="1" t="str">
        <f>HYPERLINK("https://vegkart.atlas.vegvesen.no/#/@260731.4,7058448.6,18/hva:hva%5B0%5D%5Bfilter%5D%5B0%5D%5Boperator%5D=%21%3D&amp;hva%5B0%5D%5Bfilter%5D%5B0%5D%5Btype_id%5D=4820&amp;hva%5B0%5D%5Bfilter%5D%5B0%5D%5Bverdi%5D=&amp;hva%5B0%5D%5Bid%5D=144/når:2016-03-15", "Vegkart")</f>
        <v>Vegkart</v>
      </c>
      <c r="B4220">
        <v>671818797</v>
      </c>
      <c r="C4220">
        <v>144</v>
      </c>
      <c r="D4220" t="s">
        <v>13345</v>
      </c>
      <c r="E4220">
        <v>4820</v>
      </c>
      <c r="F4220" t="s">
        <v>23479</v>
      </c>
      <c r="G4220">
        <v>1</v>
      </c>
      <c r="H4220" t="s">
        <v>14166</v>
      </c>
      <c r="J4220" t="s">
        <v>14163</v>
      </c>
      <c r="K4220" t="s">
        <v>192</v>
      </c>
      <c r="L4220" t="s">
        <v>33</v>
      </c>
      <c r="M4220" t="s">
        <v>6448</v>
      </c>
      <c r="N4220" t="s">
        <v>14188</v>
      </c>
      <c r="O4220" t="s">
        <v>14189</v>
      </c>
      <c r="P4220" s="2" t="s">
        <v>67</v>
      </c>
      <c r="Q4220" t="s">
        <v>68</v>
      </c>
      <c r="R4220">
        <v>58.32</v>
      </c>
      <c r="S4220">
        <v>58.46</v>
      </c>
      <c r="T4220" t="s">
        <v>14190</v>
      </c>
    </row>
    <row r="4221" spans="1:20" x14ac:dyDescent="0.25">
      <c r="A4221" s="1" t="str">
        <f>HYPERLINK("https://vegkart.atlas.vegvesen.no/#/@263422.9,7061727.7,18/hva:hva%5B0%5D%5Bfilter%5D%5B0%5D%5Boperator%5D=%21%3D&amp;hva%5B0%5D%5Bfilter%5D%5B0%5D%5Btype_id%5D=4820&amp;hva%5B0%5D%5Bfilter%5D%5B0%5D%5Bverdi%5D=&amp;hva%5B0%5D%5Bid%5D=144/når:2016-03-15", "Vegkart")</f>
        <v>Vegkart</v>
      </c>
      <c r="B4221">
        <v>671818798</v>
      </c>
      <c r="C4221">
        <v>144</v>
      </c>
      <c r="D4221" t="s">
        <v>13345</v>
      </c>
      <c r="E4221">
        <v>4820</v>
      </c>
      <c r="F4221" t="s">
        <v>23479</v>
      </c>
      <c r="G4221">
        <v>1</v>
      </c>
      <c r="H4221" t="s">
        <v>14166</v>
      </c>
      <c r="J4221" t="s">
        <v>14163</v>
      </c>
      <c r="K4221" t="s">
        <v>192</v>
      </c>
      <c r="L4221" t="s">
        <v>33</v>
      </c>
      <c r="M4221" t="s">
        <v>6448</v>
      </c>
      <c r="N4221" t="s">
        <v>14191</v>
      </c>
      <c r="O4221" t="s">
        <v>14192</v>
      </c>
      <c r="P4221" s="2" t="s">
        <v>67</v>
      </c>
      <c r="Q4221" t="s">
        <v>68</v>
      </c>
      <c r="R4221">
        <v>10.87</v>
      </c>
      <c r="S4221">
        <v>10.87</v>
      </c>
      <c r="T4221" t="s">
        <v>14193</v>
      </c>
    </row>
    <row r="4222" spans="1:20" x14ac:dyDescent="0.25">
      <c r="A4222" s="1" t="str">
        <f>HYPERLINK("https://vegkart.atlas.vegvesen.no/#/@264859.0,7068003.5,18/hva:hva%5B0%5D%5Bfilter%5D%5B0%5D%5Boperator%5D=%21%3D&amp;hva%5B0%5D%5Bfilter%5D%5B0%5D%5Btype_id%5D=4820&amp;hva%5B0%5D%5Bfilter%5D%5B0%5D%5Bverdi%5D=&amp;hva%5B0%5D%5Bid%5D=144/når:2016-03-15", "Vegkart")</f>
        <v>Vegkart</v>
      </c>
      <c r="B4222">
        <v>671818799</v>
      </c>
      <c r="C4222">
        <v>144</v>
      </c>
      <c r="D4222" t="s">
        <v>13345</v>
      </c>
      <c r="E4222">
        <v>4820</v>
      </c>
      <c r="F4222" t="s">
        <v>23479</v>
      </c>
      <c r="G4222">
        <v>1</v>
      </c>
      <c r="H4222" t="s">
        <v>14166</v>
      </c>
      <c r="J4222" t="s">
        <v>14163</v>
      </c>
      <c r="K4222" t="s">
        <v>192</v>
      </c>
      <c r="L4222" t="s">
        <v>33</v>
      </c>
      <c r="M4222" t="s">
        <v>6448</v>
      </c>
      <c r="N4222" t="s">
        <v>14194</v>
      </c>
      <c r="O4222" t="s">
        <v>14195</v>
      </c>
      <c r="P4222" s="2" t="s">
        <v>67</v>
      </c>
      <c r="Q4222" t="s">
        <v>68</v>
      </c>
      <c r="R4222">
        <v>10.97</v>
      </c>
      <c r="S4222">
        <v>10.97</v>
      </c>
      <c r="T4222" t="s">
        <v>14196</v>
      </c>
    </row>
    <row r="4223" spans="1:20" x14ac:dyDescent="0.25">
      <c r="A4223" s="1" t="str">
        <f>HYPERLINK("https://vegkart.atlas.vegvesen.no/#/@264811.4,7067988.9,18/hva:hva%5B0%5D%5Bfilter%5D%5B0%5D%5Boperator%5D=%21%3D&amp;hva%5B0%5D%5Bfilter%5D%5B0%5D%5Btype_id%5D=4820&amp;hva%5B0%5D%5Bfilter%5D%5B0%5D%5Bverdi%5D=&amp;hva%5B0%5D%5Bid%5D=144/når:2016-03-15", "Vegkart")</f>
        <v>Vegkart</v>
      </c>
      <c r="B4223">
        <v>671818800</v>
      </c>
      <c r="C4223">
        <v>144</v>
      </c>
      <c r="D4223" t="s">
        <v>13345</v>
      </c>
      <c r="E4223">
        <v>4820</v>
      </c>
      <c r="F4223" t="s">
        <v>23479</v>
      </c>
      <c r="G4223">
        <v>1</v>
      </c>
      <c r="H4223" t="s">
        <v>14166</v>
      </c>
      <c r="J4223" t="s">
        <v>14163</v>
      </c>
      <c r="K4223" t="s">
        <v>192</v>
      </c>
      <c r="L4223" t="s">
        <v>33</v>
      </c>
      <c r="M4223" t="s">
        <v>6448</v>
      </c>
      <c r="N4223" t="s">
        <v>14197</v>
      </c>
      <c r="O4223" t="s">
        <v>14198</v>
      </c>
      <c r="P4223" s="2" t="s">
        <v>67</v>
      </c>
      <c r="Q4223" t="s">
        <v>68</v>
      </c>
      <c r="R4223">
        <v>21.63</v>
      </c>
      <c r="S4223">
        <v>21.67</v>
      </c>
      <c r="T4223" t="s">
        <v>14199</v>
      </c>
    </row>
    <row r="4224" spans="1:20" x14ac:dyDescent="0.25">
      <c r="A4224" s="1" t="str">
        <f>HYPERLINK("https://vegkart.atlas.vegvesen.no/#/@264756.1,7067351.9,18/hva:hva%5B0%5D%5Bfilter%5D%5B0%5D%5Boperator%5D=%21%3D&amp;hva%5B0%5D%5Bfilter%5D%5B0%5D%5Btype_id%5D=4820&amp;hva%5B0%5D%5Bfilter%5D%5B0%5D%5Bverdi%5D=&amp;hva%5B0%5D%5Bid%5D=144/når:2016-03-15", "Vegkart")</f>
        <v>Vegkart</v>
      </c>
      <c r="B4224">
        <v>671818801</v>
      </c>
      <c r="C4224">
        <v>144</v>
      </c>
      <c r="D4224" t="s">
        <v>13345</v>
      </c>
      <c r="E4224">
        <v>4820</v>
      </c>
      <c r="F4224" t="s">
        <v>23479</v>
      </c>
      <c r="G4224">
        <v>1</v>
      </c>
      <c r="H4224" t="s">
        <v>14166</v>
      </c>
      <c r="J4224" t="s">
        <v>14163</v>
      </c>
      <c r="K4224" t="s">
        <v>192</v>
      </c>
      <c r="L4224" t="s">
        <v>33</v>
      </c>
      <c r="M4224" t="s">
        <v>6448</v>
      </c>
      <c r="N4224" t="s">
        <v>14200</v>
      </c>
      <c r="O4224" t="s">
        <v>14201</v>
      </c>
      <c r="P4224" s="2" t="s">
        <v>67</v>
      </c>
      <c r="Q4224" t="s">
        <v>68</v>
      </c>
      <c r="R4224">
        <v>146.11000000000001</v>
      </c>
      <c r="S4224">
        <v>149.77000000000001</v>
      </c>
      <c r="T4224" t="s">
        <v>14202</v>
      </c>
    </row>
    <row r="4225" spans="1:20" x14ac:dyDescent="0.25">
      <c r="A4225" s="1" t="str">
        <f>HYPERLINK("https://vegkart.atlas.vegvesen.no/#/@265105.2,7067141.3,18/hva:hva%5B0%5D%5Bfilter%5D%5B0%5D%5Boperator%5D=%21%3D&amp;hva%5B0%5D%5Bfilter%5D%5B0%5D%5Btype_id%5D=4820&amp;hva%5B0%5D%5Bfilter%5D%5B0%5D%5Bverdi%5D=&amp;hva%5B0%5D%5Bid%5D=144/når:2016-03-15", "Vegkart")</f>
        <v>Vegkart</v>
      </c>
      <c r="B4225">
        <v>671818802</v>
      </c>
      <c r="C4225">
        <v>144</v>
      </c>
      <c r="D4225" t="s">
        <v>13345</v>
      </c>
      <c r="E4225">
        <v>4820</v>
      </c>
      <c r="F4225" t="s">
        <v>23479</v>
      </c>
      <c r="G4225">
        <v>1</v>
      </c>
      <c r="H4225" t="s">
        <v>14166</v>
      </c>
      <c r="J4225" t="s">
        <v>14163</v>
      </c>
      <c r="K4225" t="s">
        <v>192</v>
      </c>
      <c r="L4225" t="s">
        <v>33</v>
      </c>
      <c r="M4225" t="s">
        <v>6448</v>
      </c>
      <c r="N4225" t="s">
        <v>14203</v>
      </c>
      <c r="O4225" t="s">
        <v>14204</v>
      </c>
      <c r="P4225" s="2" t="s">
        <v>67</v>
      </c>
      <c r="Q4225" t="s">
        <v>68</v>
      </c>
      <c r="R4225">
        <v>19.28</v>
      </c>
      <c r="S4225">
        <v>19.28</v>
      </c>
      <c r="T4225" t="s">
        <v>14205</v>
      </c>
    </row>
    <row r="4226" spans="1:20" x14ac:dyDescent="0.25">
      <c r="A4226" s="1" t="str">
        <f>HYPERLINK("https://vegkart.atlas.vegvesen.no/#/@265822.4,7066012.6,18/hva:hva%5B0%5D%5Bfilter%5D%5B0%5D%5Boperator%5D=%21%3D&amp;hva%5B0%5D%5Bfilter%5D%5B0%5D%5Btype_id%5D=4820&amp;hva%5B0%5D%5Bfilter%5D%5B0%5D%5Bverdi%5D=&amp;hva%5B0%5D%5Bid%5D=144/når:2016-03-15", "Vegkart")</f>
        <v>Vegkart</v>
      </c>
      <c r="B4226">
        <v>671818803</v>
      </c>
      <c r="C4226">
        <v>144</v>
      </c>
      <c r="D4226" t="s">
        <v>13345</v>
      </c>
      <c r="E4226">
        <v>4820</v>
      </c>
      <c r="F4226" t="s">
        <v>23479</v>
      </c>
      <c r="G4226">
        <v>1</v>
      </c>
      <c r="H4226" t="s">
        <v>14166</v>
      </c>
      <c r="J4226" t="s">
        <v>14163</v>
      </c>
      <c r="K4226" t="s">
        <v>192</v>
      </c>
      <c r="L4226" t="s">
        <v>33</v>
      </c>
      <c r="M4226" t="s">
        <v>6448</v>
      </c>
      <c r="N4226" t="s">
        <v>14206</v>
      </c>
      <c r="O4226" t="s">
        <v>14207</v>
      </c>
      <c r="P4226" s="2" t="s">
        <v>67</v>
      </c>
      <c r="Q4226" t="s">
        <v>68</v>
      </c>
      <c r="R4226">
        <v>15.12</v>
      </c>
      <c r="S4226">
        <v>15.12</v>
      </c>
      <c r="T4226" t="s">
        <v>14208</v>
      </c>
    </row>
    <row r="4227" spans="1:20" x14ac:dyDescent="0.25">
      <c r="A4227" s="1" t="str">
        <f>HYPERLINK("https://vegkart.atlas.vegvesen.no/#/@265872.4,7065637.7,18/hva:hva%5B0%5D%5Bfilter%5D%5B0%5D%5Boperator%5D=%21%3D&amp;hva%5B0%5D%5Bfilter%5D%5B0%5D%5Btype_id%5D=4820&amp;hva%5B0%5D%5Bfilter%5D%5B0%5D%5Bverdi%5D=&amp;hva%5B0%5D%5Bid%5D=144/når:2016-03-15", "Vegkart")</f>
        <v>Vegkart</v>
      </c>
      <c r="B4227">
        <v>671818804</v>
      </c>
      <c r="C4227">
        <v>144</v>
      </c>
      <c r="D4227" t="s">
        <v>13345</v>
      </c>
      <c r="E4227">
        <v>4820</v>
      </c>
      <c r="F4227" t="s">
        <v>23479</v>
      </c>
      <c r="G4227">
        <v>1</v>
      </c>
      <c r="H4227" t="s">
        <v>14166</v>
      </c>
      <c r="J4227" t="s">
        <v>14163</v>
      </c>
      <c r="K4227" t="s">
        <v>192</v>
      </c>
      <c r="L4227" t="s">
        <v>33</v>
      </c>
      <c r="M4227" t="s">
        <v>6448</v>
      </c>
      <c r="N4227" t="s">
        <v>14209</v>
      </c>
      <c r="O4227" t="s">
        <v>14210</v>
      </c>
      <c r="P4227" s="2" t="s">
        <v>67</v>
      </c>
      <c r="Q4227" t="s">
        <v>68</v>
      </c>
      <c r="R4227">
        <v>22.45</v>
      </c>
      <c r="S4227">
        <v>23.16</v>
      </c>
      <c r="T4227" t="s">
        <v>14211</v>
      </c>
    </row>
    <row r="4228" spans="1:20" x14ac:dyDescent="0.25">
      <c r="A4228" s="1" t="str">
        <f>HYPERLINK("https://vegkart.atlas.vegvesen.no/#/@265031.2,7064403.0,18/hva:hva%5B0%5D%5Bfilter%5D%5B0%5D%5Boperator%5D=%21%3D&amp;hva%5B0%5D%5Bfilter%5D%5B0%5D%5Btype_id%5D=4820&amp;hva%5B0%5D%5Bfilter%5D%5B0%5D%5Bverdi%5D=&amp;hva%5B0%5D%5Bid%5D=144/når:2016-03-15", "Vegkart")</f>
        <v>Vegkart</v>
      </c>
      <c r="B4228">
        <v>671818805</v>
      </c>
      <c r="C4228">
        <v>144</v>
      </c>
      <c r="D4228" t="s">
        <v>13345</v>
      </c>
      <c r="E4228">
        <v>4820</v>
      </c>
      <c r="F4228" t="s">
        <v>23479</v>
      </c>
      <c r="G4228">
        <v>1</v>
      </c>
      <c r="H4228" t="s">
        <v>14166</v>
      </c>
      <c r="J4228" t="s">
        <v>14163</v>
      </c>
      <c r="K4228" t="s">
        <v>192</v>
      </c>
      <c r="L4228" t="s">
        <v>33</v>
      </c>
      <c r="M4228" t="s">
        <v>6448</v>
      </c>
      <c r="N4228" t="s">
        <v>14212</v>
      </c>
      <c r="O4228" t="s">
        <v>14213</v>
      </c>
      <c r="P4228" s="2" t="s">
        <v>67</v>
      </c>
      <c r="Q4228" t="s">
        <v>68</v>
      </c>
      <c r="R4228">
        <v>102.81</v>
      </c>
      <c r="S4228">
        <v>110.85</v>
      </c>
      <c r="T4228" t="s">
        <v>14214</v>
      </c>
    </row>
    <row r="4229" spans="1:20" x14ac:dyDescent="0.25">
      <c r="A4229" s="1" t="str">
        <f>HYPERLINK("https://vegkart.atlas.vegvesen.no/#/@264377.0,7063745.2,18/hva:hva%5B0%5D%5Bfilter%5D%5B0%5D%5Boperator%5D=%21%3D&amp;hva%5B0%5D%5Bfilter%5D%5B0%5D%5Btype_id%5D=4820&amp;hva%5B0%5D%5Bfilter%5D%5B0%5D%5Bverdi%5D=&amp;hva%5B0%5D%5Bid%5D=144/når:2016-03-15", "Vegkart")</f>
        <v>Vegkart</v>
      </c>
      <c r="B4229">
        <v>671818806</v>
      </c>
      <c r="C4229">
        <v>144</v>
      </c>
      <c r="D4229" t="s">
        <v>13345</v>
      </c>
      <c r="E4229">
        <v>4820</v>
      </c>
      <c r="F4229" t="s">
        <v>23479</v>
      </c>
      <c r="G4229">
        <v>1</v>
      </c>
      <c r="H4229" t="s">
        <v>14166</v>
      </c>
      <c r="J4229" t="s">
        <v>14163</v>
      </c>
      <c r="K4229" t="s">
        <v>192</v>
      </c>
      <c r="L4229" t="s">
        <v>33</v>
      </c>
      <c r="M4229" t="s">
        <v>6448</v>
      </c>
      <c r="N4229" t="s">
        <v>14215</v>
      </c>
      <c r="O4229" t="s">
        <v>14216</v>
      </c>
      <c r="P4229" s="2" t="s">
        <v>67</v>
      </c>
      <c r="Q4229" t="s">
        <v>68</v>
      </c>
      <c r="R4229">
        <v>10.119999999999999</v>
      </c>
      <c r="S4229">
        <v>10.119999999999999</v>
      </c>
      <c r="T4229" t="s">
        <v>14217</v>
      </c>
    </row>
    <row r="4230" spans="1:20" x14ac:dyDescent="0.25">
      <c r="A4230" s="1" t="str">
        <f>HYPERLINK("https://vegkart.atlas.vegvesen.no/#/@263773.7,7062022.5,18/hva:hva%5B0%5D%5Bfilter%5D%5B0%5D%5Boperator%5D=%21%3D&amp;hva%5B0%5D%5Bfilter%5D%5B0%5D%5Btype_id%5D=4820&amp;hva%5B0%5D%5Bfilter%5D%5B0%5D%5Bverdi%5D=&amp;hva%5B0%5D%5Bid%5D=144/når:2016-03-15", "Vegkart")</f>
        <v>Vegkart</v>
      </c>
      <c r="B4230">
        <v>671818807</v>
      </c>
      <c r="C4230">
        <v>144</v>
      </c>
      <c r="D4230" t="s">
        <v>13345</v>
      </c>
      <c r="E4230">
        <v>4820</v>
      </c>
      <c r="F4230" t="s">
        <v>23479</v>
      </c>
      <c r="G4230">
        <v>1</v>
      </c>
      <c r="H4230" t="s">
        <v>14166</v>
      </c>
      <c r="J4230" t="s">
        <v>14163</v>
      </c>
      <c r="K4230" t="s">
        <v>192</v>
      </c>
      <c r="L4230" t="s">
        <v>33</v>
      </c>
      <c r="M4230" t="s">
        <v>6448</v>
      </c>
      <c r="N4230" t="s">
        <v>14218</v>
      </c>
      <c r="O4230" t="s">
        <v>14219</v>
      </c>
      <c r="P4230" s="2" t="s">
        <v>67</v>
      </c>
      <c r="Q4230" t="s">
        <v>68</v>
      </c>
      <c r="R4230">
        <v>253.45</v>
      </c>
      <c r="S4230">
        <v>254.12</v>
      </c>
      <c r="T4230" t="s">
        <v>14220</v>
      </c>
    </row>
    <row r="4231" spans="1:20" x14ac:dyDescent="0.25">
      <c r="A4231" s="1" t="str">
        <f>HYPERLINK("https://vegkart.atlas.vegvesen.no/#/@263486.7,7061811.6,18/hva:hva%5B0%5D%5Bfilter%5D%5B0%5D%5Boperator%5D=%21%3D&amp;hva%5B0%5D%5Bfilter%5D%5B0%5D%5Btype_id%5D=4820&amp;hva%5B0%5D%5Bfilter%5D%5B0%5D%5Bverdi%5D=&amp;hva%5B0%5D%5Bid%5D=144/når:2016-03-15", "Vegkart")</f>
        <v>Vegkart</v>
      </c>
      <c r="B4231">
        <v>671818808</v>
      </c>
      <c r="C4231">
        <v>144</v>
      </c>
      <c r="D4231" t="s">
        <v>13345</v>
      </c>
      <c r="E4231">
        <v>4820</v>
      </c>
      <c r="F4231" t="s">
        <v>23479</v>
      </c>
      <c r="G4231">
        <v>1</v>
      </c>
      <c r="H4231" t="s">
        <v>14166</v>
      </c>
      <c r="J4231" t="s">
        <v>14163</v>
      </c>
      <c r="K4231" t="s">
        <v>192</v>
      </c>
      <c r="L4231" t="s">
        <v>33</v>
      </c>
      <c r="M4231" t="s">
        <v>6448</v>
      </c>
      <c r="N4231" t="s">
        <v>14221</v>
      </c>
      <c r="O4231" t="s">
        <v>14222</v>
      </c>
      <c r="P4231" s="2" t="s">
        <v>67</v>
      </c>
      <c r="Q4231" t="s">
        <v>68</v>
      </c>
      <c r="R4231">
        <v>22.15</v>
      </c>
      <c r="S4231">
        <v>22.38</v>
      </c>
      <c r="T4231" t="s">
        <v>14223</v>
      </c>
    </row>
    <row r="4232" spans="1:20" x14ac:dyDescent="0.25">
      <c r="A4232" s="1" t="str">
        <f>HYPERLINK("https://vegkart.atlas.vegvesen.no/#/@263444.3,7061762.1,18/hva:hva%5B0%5D%5Bfilter%5D%5B0%5D%5Boperator%5D=%21%3D&amp;hva%5B0%5D%5Bfilter%5D%5B0%5D%5Btype_id%5D=4820&amp;hva%5B0%5D%5Bfilter%5D%5B0%5D%5Bverdi%5D=&amp;hva%5B0%5D%5Bid%5D=144/når:2016-03-15", "Vegkart")</f>
        <v>Vegkart</v>
      </c>
      <c r="B4232">
        <v>671818809</v>
      </c>
      <c r="C4232">
        <v>144</v>
      </c>
      <c r="D4232" t="s">
        <v>13345</v>
      </c>
      <c r="E4232">
        <v>4820</v>
      </c>
      <c r="F4232" t="s">
        <v>23479</v>
      </c>
      <c r="G4232">
        <v>1</v>
      </c>
      <c r="H4232" t="s">
        <v>14166</v>
      </c>
      <c r="J4232" t="s">
        <v>14163</v>
      </c>
      <c r="K4232" t="s">
        <v>192</v>
      </c>
      <c r="L4232" t="s">
        <v>33</v>
      </c>
      <c r="M4232" t="s">
        <v>6448</v>
      </c>
      <c r="N4232" t="s">
        <v>14224</v>
      </c>
      <c r="O4232" t="s">
        <v>14225</v>
      </c>
      <c r="P4232" s="2" t="s">
        <v>67</v>
      </c>
      <c r="Q4232" t="s">
        <v>68</v>
      </c>
      <c r="R4232">
        <v>11.96</v>
      </c>
      <c r="S4232">
        <v>11.96</v>
      </c>
      <c r="T4232" t="s">
        <v>14226</v>
      </c>
    </row>
    <row r="4233" spans="1:20" x14ac:dyDescent="0.25">
      <c r="A4233" s="1" t="str">
        <f>HYPERLINK("https://vegkart.atlas.vegvesen.no/#/@263520.6,7061851.0,18/hva:hva%5B0%5D%5Bfilter%5D%5B0%5D%5Boperator%5D=%21%3D&amp;hva%5B0%5D%5Bfilter%5D%5B0%5D%5Btype_id%5D=4820&amp;hva%5B0%5D%5Bfilter%5D%5B0%5D%5Bverdi%5D=&amp;hva%5B0%5D%5Bid%5D=144/når:2016-03-15", "Vegkart")</f>
        <v>Vegkart</v>
      </c>
      <c r="B4233">
        <v>671818810</v>
      </c>
      <c r="C4233">
        <v>144</v>
      </c>
      <c r="D4233" t="s">
        <v>13345</v>
      </c>
      <c r="E4233">
        <v>4820</v>
      </c>
      <c r="F4233" t="s">
        <v>23479</v>
      </c>
      <c r="G4233">
        <v>1</v>
      </c>
      <c r="H4233" t="s">
        <v>14166</v>
      </c>
      <c r="J4233" t="s">
        <v>14163</v>
      </c>
      <c r="K4233" t="s">
        <v>192</v>
      </c>
      <c r="L4233" t="s">
        <v>33</v>
      </c>
      <c r="M4233" t="s">
        <v>6448</v>
      </c>
      <c r="N4233" t="s">
        <v>14227</v>
      </c>
      <c r="O4233" t="s">
        <v>14228</v>
      </c>
      <c r="P4233" s="2" t="s">
        <v>67</v>
      </c>
      <c r="Q4233" t="s">
        <v>68</v>
      </c>
      <c r="R4233">
        <v>341.94</v>
      </c>
      <c r="S4233">
        <v>345.9</v>
      </c>
      <c r="T4233" t="s">
        <v>14229</v>
      </c>
    </row>
    <row r="4234" spans="1:20" x14ac:dyDescent="0.25">
      <c r="A4234" s="1" t="str">
        <f>HYPERLINK("https://vegkart.atlas.vegvesen.no/#/@263349.5,7061570.4,18/hva:hva%5B0%5D%5Bfilter%5D%5B0%5D%5Boperator%5D=%21%3D&amp;hva%5B0%5D%5Bfilter%5D%5B0%5D%5Btype_id%5D=4820&amp;hva%5B0%5D%5Bfilter%5D%5B0%5D%5Bverdi%5D=&amp;hva%5B0%5D%5Bid%5D=144/når:2016-03-15", "Vegkart")</f>
        <v>Vegkart</v>
      </c>
      <c r="B4234">
        <v>671818811</v>
      </c>
      <c r="C4234">
        <v>144</v>
      </c>
      <c r="D4234" t="s">
        <v>13345</v>
      </c>
      <c r="E4234">
        <v>4820</v>
      </c>
      <c r="F4234" t="s">
        <v>23479</v>
      </c>
      <c r="G4234">
        <v>1</v>
      </c>
      <c r="H4234" t="s">
        <v>14166</v>
      </c>
      <c r="J4234" t="s">
        <v>14163</v>
      </c>
      <c r="K4234" t="s">
        <v>192</v>
      </c>
      <c r="L4234" t="s">
        <v>33</v>
      </c>
      <c r="M4234" t="s">
        <v>6448</v>
      </c>
      <c r="N4234" t="s">
        <v>14230</v>
      </c>
      <c r="O4234" t="s">
        <v>14231</v>
      </c>
      <c r="P4234" s="2" t="s">
        <v>67</v>
      </c>
      <c r="Q4234" t="s">
        <v>68</v>
      </c>
      <c r="R4234">
        <v>16.57</v>
      </c>
      <c r="S4234">
        <v>16.57</v>
      </c>
      <c r="T4234" t="s">
        <v>14232</v>
      </c>
    </row>
    <row r="4235" spans="1:20" x14ac:dyDescent="0.25">
      <c r="A4235" s="1" t="str">
        <f>HYPERLINK("https://vegkart.atlas.vegvesen.no/#/@263370.8,7061634.5,18/hva:hva%5B0%5D%5Bfilter%5D%5B0%5D%5Boperator%5D=%21%3D&amp;hva%5B0%5D%5Bfilter%5D%5B0%5D%5Btype_id%5D=4820&amp;hva%5B0%5D%5Bfilter%5D%5B0%5D%5Bverdi%5D=&amp;hva%5B0%5D%5Bid%5D=144/når:2016-03-15", "Vegkart")</f>
        <v>Vegkart</v>
      </c>
      <c r="B4235">
        <v>671818812</v>
      </c>
      <c r="C4235">
        <v>144</v>
      </c>
      <c r="D4235" t="s">
        <v>13345</v>
      </c>
      <c r="E4235">
        <v>4820</v>
      </c>
      <c r="F4235" t="s">
        <v>23479</v>
      </c>
      <c r="G4235">
        <v>1</v>
      </c>
      <c r="H4235" t="s">
        <v>14166</v>
      </c>
      <c r="J4235" t="s">
        <v>14163</v>
      </c>
      <c r="K4235" t="s">
        <v>192</v>
      </c>
      <c r="L4235" t="s">
        <v>33</v>
      </c>
      <c r="M4235" t="s">
        <v>6448</v>
      </c>
      <c r="N4235" t="s">
        <v>14233</v>
      </c>
      <c r="O4235" t="s">
        <v>14234</v>
      </c>
      <c r="P4235" s="2" t="s">
        <v>67</v>
      </c>
      <c r="Q4235" t="s">
        <v>68</v>
      </c>
      <c r="R4235">
        <v>11.79</v>
      </c>
      <c r="S4235">
        <v>11.79</v>
      </c>
      <c r="T4235" t="s">
        <v>14235</v>
      </c>
    </row>
    <row r="4236" spans="1:20" x14ac:dyDescent="0.25">
      <c r="A4236" s="1" t="str">
        <f>HYPERLINK("https://vegkart.atlas.vegvesen.no/#/@261430.8,7059980.7,18/hva:hva%5B0%5D%5Bfilter%5D%5B0%5D%5Boperator%5D=%21%3D&amp;hva%5B0%5D%5Bfilter%5D%5B0%5D%5Btype_id%5D=4820&amp;hva%5B0%5D%5Bfilter%5D%5B0%5D%5Bverdi%5D=&amp;hva%5B0%5D%5Bid%5D=144/når:2016-03-15", "Vegkart")</f>
        <v>Vegkart</v>
      </c>
      <c r="B4236">
        <v>671818813</v>
      </c>
      <c r="C4236">
        <v>144</v>
      </c>
      <c r="D4236" t="s">
        <v>13345</v>
      </c>
      <c r="E4236">
        <v>4820</v>
      </c>
      <c r="F4236" t="s">
        <v>23479</v>
      </c>
      <c r="G4236">
        <v>1</v>
      </c>
      <c r="H4236" t="s">
        <v>14166</v>
      </c>
      <c r="J4236" t="s">
        <v>14163</v>
      </c>
      <c r="K4236" t="s">
        <v>192</v>
      </c>
      <c r="L4236" t="s">
        <v>33</v>
      </c>
      <c r="M4236" t="s">
        <v>6448</v>
      </c>
      <c r="N4236" t="s">
        <v>14236</v>
      </c>
      <c r="O4236" t="s">
        <v>14237</v>
      </c>
      <c r="P4236" s="2" t="s">
        <v>67</v>
      </c>
      <c r="Q4236" t="s">
        <v>68</v>
      </c>
      <c r="R4236">
        <v>9.16</v>
      </c>
      <c r="S4236">
        <v>9.16</v>
      </c>
      <c r="T4236" t="s">
        <v>14238</v>
      </c>
    </row>
    <row r="4237" spans="1:20" x14ac:dyDescent="0.25">
      <c r="A4237" s="1" t="str">
        <f>HYPERLINK("https://vegkart.atlas.vegvesen.no/#/@261433.0,7059984.5,18/hva:hva%5B0%5D%5Bfilter%5D%5B0%5D%5Boperator%5D=%21%3D&amp;hva%5B0%5D%5Bfilter%5D%5B0%5D%5Btype_id%5D=4820&amp;hva%5B0%5D%5Bfilter%5D%5B0%5D%5Bverdi%5D=&amp;hva%5B0%5D%5Bid%5D=144/når:2016-03-15", "Vegkart")</f>
        <v>Vegkart</v>
      </c>
      <c r="B4237">
        <v>671818814</v>
      </c>
      <c r="C4237">
        <v>144</v>
      </c>
      <c r="D4237" t="s">
        <v>13345</v>
      </c>
      <c r="E4237">
        <v>4820</v>
      </c>
      <c r="F4237" t="s">
        <v>23479</v>
      </c>
      <c r="G4237">
        <v>1</v>
      </c>
      <c r="H4237" t="s">
        <v>14166</v>
      </c>
      <c r="J4237" t="s">
        <v>14163</v>
      </c>
      <c r="K4237" t="s">
        <v>192</v>
      </c>
      <c r="L4237" t="s">
        <v>33</v>
      </c>
      <c r="M4237" t="s">
        <v>6448</v>
      </c>
      <c r="N4237" t="s">
        <v>14239</v>
      </c>
      <c r="O4237" t="s">
        <v>14240</v>
      </c>
      <c r="P4237" s="2" t="s">
        <v>67</v>
      </c>
      <c r="Q4237" t="s">
        <v>68</v>
      </c>
      <c r="R4237">
        <v>11.09</v>
      </c>
      <c r="S4237">
        <v>11.09</v>
      </c>
      <c r="T4237" t="s">
        <v>14241</v>
      </c>
    </row>
    <row r="4238" spans="1:20" x14ac:dyDescent="0.25">
      <c r="A4238" s="1" t="str">
        <f>HYPERLINK("https://vegkart.atlas.vegvesen.no/#/@261404.4,7059782.3,18/hva:hva%5B0%5D%5Bfilter%5D%5B0%5D%5Boperator%5D=%21%3D&amp;hva%5B0%5D%5Bfilter%5D%5B0%5D%5Btype_id%5D=4820&amp;hva%5B0%5D%5Bfilter%5D%5B0%5D%5Bverdi%5D=&amp;hva%5B0%5D%5Bid%5D=144/når:2016-03-15", "Vegkart")</f>
        <v>Vegkart</v>
      </c>
      <c r="B4238">
        <v>671818815</v>
      </c>
      <c r="C4238">
        <v>144</v>
      </c>
      <c r="D4238" t="s">
        <v>13345</v>
      </c>
      <c r="E4238">
        <v>4820</v>
      </c>
      <c r="F4238" t="s">
        <v>23479</v>
      </c>
      <c r="G4238">
        <v>1</v>
      </c>
      <c r="H4238" t="s">
        <v>14166</v>
      </c>
      <c r="J4238" t="s">
        <v>14163</v>
      </c>
      <c r="K4238" t="s">
        <v>192</v>
      </c>
      <c r="L4238" t="s">
        <v>33</v>
      </c>
      <c r="M4238" t="s">
        <v>6448</v>
      </c>
      <c r="N4238" t="s">
        <v>14242</v>
      </c>
      <c r="O4238" t="s">
        <v>14243</v>
      </c>
      <c r="P4238" s="2" t="s">
        <v>67</v>
      </c>
      <c r="Q4238" t="s">
        <v>68</v>
      </c>
      <c r="R4238">
        <v>5.93</v>
      </c>
      <c r="S4238">
        <v>5.93</v>
      </c>
      <c r="T4238" t="s">
        <v>14244</v>
      </c>
    </row>
    <row r="4239" spans="1:20" x14ac:dyDescent="0.25">
      <c r="A4239" s="1" t="str">
        <f>HYPERLINK("https://vegkart.atlas.vegvesen.no/#/@261403.0,7059794.8,18/hva:hva%5B0%5D%5Bfilter%5D%5B0%5D%5Boperator%5D=%21%3D&amp;hva%5B0%5D%5Bfilter%5D%5B0%5D%5Btype_id%5D=4820&amp;hva%5B0%5D%5Bfilter%5D%5B0%5D%5Bverdi%5D=&amp;hva%5B0%5D%5Bid%5D=144/når:2016-03-15", "Vegkart")</f>
        <v>Vegkart</v>
      </c>
      <c r="B4239">
        <v>671818816</v>
      </c>
      <c r="C4239">
        <v>144</v>
      </c>
      <c r="D4239" t="s">
        <v>13345</v>
      </c>
      <c r="E4239">
        <v>4820</v>
      </c>
      <c r="F4239" t="s">
        <v>23479</v>
      </c>
      <c r="G4239">
        <v>1</v>
      </c>
      <c r="H4239" t="s">
        <v>14166</v>
      </c>
      <c r="J4239" t="s">
        <v>14163</v>
      </c>
      <c r="K4239" t="s">
        <v>192</v>
      </c>
      <c r="L4239" t="s">
        <v>33</v>
      </c>
      <c r="M4239" t="s">
        <v>6448</v>
      </c>
      <c r="N4239" t="s">
        <v>14245</v>
      </c>
      <c r="O4239" t="s">
        <v>14246</v>
      </c>
      <c r="P4239" s="2" t="s">
        <v>67</v>
      </c>
      <c r="Q4239" t="s">
        <v>68</v>
      </c>
      <c r="R4239">
        <v>6.08</v>
      </c>
      <c r="S4239">
        <v>6.08</v>
      </c>
      <c r="T4239" t="s">
        <v>14247</v>
      </c>
    </row>
    <row r="4240" spans="1:20" x14ac:dyDescent="0.25">
      <c r="A4240" s="1" t="str">
        <f>HYPERLINK("https://vegkart.atlas.vegvesen.no/#/@303647.5,7018724.0,18/hva:hva%5B0%5D%5Bfilter%5D%5B0%5D%5Boperator%5D=%21%3D&amp;hva%5B0%5D%5Bfilter%5D%5B0%5D%5Btype_id%5D=4820&amp;hva%5B0%5D%5Bfilter%5D%5B0%5D%5Bverdi%5D=&amp;hva%5B0%5D%5Bid%5D=144/når:2016-03-18", "Vegkart")</f>
        <v>Vegkart</v>
      </c>
      <c r="B4240">
        <v>672003797</v>
      </c>
      <c r="C4240">
        <v>144</v>
      </c>
      <c r="D4240" t="s">
        <v>13345</v>
      </c>
      <c r="E4240">
        <v>4820</v>
      </c>
      <c r="F4240" t="s">
        <v>23479</v>
      </c>
      <c r="G4240">
        <v>1</v>
      </c>
      <c r="H4240" t="s">
        <v>14248</v>
      </c>
      <c r="J4240" t="s">
        <v>14163</v>
      </c>
      <c r="K4240" t="s">
        <v>192</v>
      </c>
      <c r="L4240" t="s">
        <v>33</v>
      </c>
      <c r="M4240" t="s">
        <v>14249</v>
      </c>
      <c r="N4240" t="s">
        <v>14250</v>
      </c>
      <c r="O4240" t="s">
        <v>14251</v>
      </c>
      <c r="P4240" s="2" t="s">
        <v>37</v>
      </c>
      <c r="Q4240" t="s">
        <v>1208</v>
      </c>
      <c r="R4240">
        <v>4.67</v>
      </c>
      <c r="S4240">
        <v>83.32</v>
      </c>
      <c r="T4240" t="s">
        <v>14252</v>
      </c>
    </row>
    <row r="4241" spans="1:20" x14ac:dyDescent="0.25">
      <c r="A4241" s="1" t="str">
        <f>HYPERLINK("https://vegkart.atlas.vegvesen.no/#/@319577.1,6683296.3,18/hva:hva%5B0%5D%5Bfilter%5D%5B0%5D%5Boperator%5D=%21%3D&amp;hva%5B0%5D%5Bfilter%5D%5B0%5D%5Btype_id%5D=4820&amp;hva%5B0%5D%5Bfilter%5D%5B0%5D%5Bverdi%5D=&amp;hva%5B0%5D%5Bid%5D=144/når:2014-11-27", "Vegkart")</f>
        <v>Vegkart</v>
      </c>
      <c r="B4241">
        <v>673780660</v>
      </c>
      <c r="C4241">
        <v>144</v>
      </c>
      <c r="D4241" t="s">
        <v>13345</v>
      </c>
      <c r="E4241">
        <v>4820</v>
      </c>
      <c r="F4241" t="s">
        <v>23479</v>
      </c>
      <c r="G4241">
        <v>1</v>
      </c>
      <c r="H4241" t="s">
        <v>14253</v>
      </c>
      <c r="J4241" t="s">
        <v>14163</v>
      </c>
      <c r="K4241" t="s">
        <v>136</v>
      </c>
      <c r="L4241" t="s">
        <v>22</v>
      </c>
      <c r="M4241" t="s">
        <v>14254</v>
      </c>
      <c r="N4241" t="s">
        <v>14255</v>
      </c>
      <c r="O4241" t="s">
        <v>14256</v>
      </c>
      <c r="P4241" s="2" t="s">
        <v>37</v>
      </c>
      <c r="Q4241" t="s">
        <v>1208</v>
      </c>
      <c r="R4241">
        <v>2.89</v>
      </c>
      <c r="S4241">
        <v>32.39</v>
      </c>
      <c r="T4241" t="s">
        <v>14257</v>
      </c>
    </row>
    <row r="4242" spans="1:20" x14ac:dyDescent="0.25">
      <c r="A4242" s="1" t="str">
        <f>HYPERLINK("https://vegkart.atlas.vegvesen.no/#/@326482.9,6679822.6,18/hva:hva%5B0%5D%5Bfilter%5D%5B0%5D%5Boperator%5D=%21%3D&amp;hva%5B0%5D%5Bfilter%5D%5B0%5D%5Btype_id%5D=4820&amp;hva%5B0%5D%5Bfilter%5D%5B0%5D%5Bverdi%5D=&amp;hva%5B0%5D%5Bid%5D=144/når:2014-11-27", "Vegkart")</f>
        <v>Vegkart</v>
      </c>
      <c r="B4242">
        <v>673780676</v>
      </c>
      <c r="C4242">
        <v>144</v>
      </c>
      <c r="D4242" t="s">
        <v>13345</v>
      </c>
      <c r="E4242">
        <v>4820</v>
      </c>
      <c r="F4242" t="s">
        <v>23479</v>
      </c>
      <c r="G4242">
        <v>1</v>
      </c>
      <c r="H4242" t="s">
        <v>14253</v>
      </c>
      <c r="J4242" t="s">
        <v>14163</v>
      </c>
      <c r="K4242" t="s">
        <v>136</v>
      </c>
      <c r="L4242" t="s">
        <v>370</v>
      </c>
      <c r="M4242" t="s">
        <v>14258</v>
      </c>
      <c r="N4242" t="s">
        <v>14259</v>
      </c>
      <c r="O4242" t="s">
        <v>14260</v>
      </c>
      <c r="P4242" s="2" t="s">
        <v>67</v>
      </c>
      <c r="Q4242" t="s">
        <v>68</v>
      </c>
      <c r="R4242">
        <v>43.69</v>
      </c>
      <c r="S4242">
        <v>62.26</v>
      </c>
      <c r="T4242" t="s">
        <v>14261</v>
      </c>
    </row>
    <row r="4243" spans="1:20" x14ac:dyDescent="0.25">
      <c r="A4243" s="1" t="str">
        <f>HYPERLINK("https://vegkart.atlas.vegvesen.no/#/@587399.9,7631683.7,18/hva:hva%5B0%5D%5Bfilter%5D%5B0%5D%5Boperator%5D=%21%3D&amp;hva%5B0%5D%5Bfilter%5D%5B0%5D%5Btype_id%5D=4820&amp;hva%5B0%5D%5Bfilter%5D%5B0%5D%5Bverdi%5D=&amp;hva%5B0%5D%5Bid%5D=144/når:2016-04-19", "Vegkart")</f>
        <v>Vegkart</v>
      </c>
      <c r="B4243">
        <v>674967168</v>
      </c>
      <c r="C4243">
        <v>144</v>
      </c>
      <c r="D4243" t="s">
        <v>13345</v>
      </c>
      <c r="E4243">
        <v>4820</v>
      </c>
      <c r="F4243" t="s">
        <v>23479</v>
      </c>
      <c r="G4243">
        <v>1</v>
      </c>
      <c r="H4243" t="s">
        <v>14262</v>
      </c>
      <c r="J4243" t="s">
        <v>14163</v>
      </c>
      <c r="K4243" t="s">
        <v>179</v>
      </c>
      <c r="L4243" t="s">
        <v>33</v>
      </c>
      <c r="M4243" t="s">
        <v>14263</v>
      </c>
      <c r="N4243" t="s">
        <v>14264</v>
      </c>
      <c r="O4243" t="s">
        <v>14265</v>
      </c>
      <c r="P4243" s="2" t="s">
        <v>67</v>
      </c>
      <c r="Q4243" t="s">
        <v>68</v>
      </c>
      <c r="R4243">
        <v>40.5</v>
      </c>
      <c r="S4243">
        <v>40.51</v>
      </c>
      <c r="T4243" t="s">
        <v>14266</v>
      </c>
    </row>
    <row r="4244" spans="1:20" x14ac:dyDescent="0.25">
      <c r="A4244" s="1" t="str">
        <f>HYPERLINK("https://vegkart.atlas.vegvesen.no/#/@144081.0,6511665.6,18/hva:hva%5B0%5D%5Bfilter%5D%5B0%5D%5Boperator%5D=%21%3D&amp;hva%5B0%5D%5Bfilter%5D%5B0%5D%5Btype_id%5D=4820&amp;hva%5B0%5D%5Bfilter%5D%5B0%5D%5Bverdi%5D=&amp;hva%5B0%5D%5Bid%5D=144/når:2016-04-27", "Vegkart")</f>
        <v>Vegkart</v>
      </c>
      <c r="B4244">
        <v>676181303</v>
      </c>
      <c r="C4244">
        <v>144</v>
      </c>
      <c r="D4244" t="s">
        <v>13345</v>
      </c>
      <c r="E4244">
        <v>4820</v>
      </c>
      <c r="F4244" t="s">
        <v>23479</v>
      </c>
      <c r="G4244">
        <v>1</v>
      </c>
      <c r="H4244" t="s">
        <v>14267</v>
      </c>
      <c r="J4244" t="s">
        <v>14163</v>
      </c>
      <c r="K4244" t="s">
        <v>86</v>
      </c>
      <c r="L4244" t="s">
        <v>33</v>
      </c>
      <c r="M4244" t="s">
        <v>638</v>
      </c>
      <c r="N4244" t="s">
        <v>14268</v>
      </c>
      <c r="O4244" t="s">
        <v>14269</v>
      </c>
      <c r="P4244" s="2" t="s">
        <v>67</v>
      </c>
      <c r="Q4244" t="s">
        <v>68</v>
      </c>
      <c r="R4244">
        <v>26.81</v>
      </c>
      <c r="S4244">
        <v>28.62</v>
      </c>
      <c r="T4244" t="s">
        <v>14270</v>
      </c>
    </row>
    <row r="4245" spans="1:20" x14ac:dyDescent="0.25">
      <c r="A4245" s="1" t="str">
        <f>HYPERLINK("https://vegkart.atlas.vegvesen.no/#/@169692.5,6977895.8,18/hva:hva%5B0%5D%5Bfilter%5D%5B0%5D%5Boperator%5D=%21%3D&amp;hva%5B0%5D%5Bfilter%5D%5B0%5D%5Btype_id%5D=4820&amp;hva%5B0%5D%5Bfilter%5D%5B0%5D%5Bverdi%5D=&amp;hva%5B0%5D%5Bid%5D=144/når:2016-04-28", "Vegkart")</f>
        <v>Vegkart</v>
      </c>
      <c r="B4245">
        <v>676869209</v>
      </c>
      <c r="C4245">
        <v>144</v>
      </c>
      <c r="D4245" t="s">
        <v>13345</v>
      </c>
      <c r="E4245">
        <v>4820</v>
      </c>
      <c r="F4245" t="s">
        <v>23479</v>
      </c>
      <c r="G4245">
        <v>1</v>
      </c>
      <c r="H4245" t="s">
        <v>14271</v>
      </c>
      <c r="J4245" t="s">
        <v>14163</v>
      </c>
      <c r="K4245" t="s">
        <v>32</v>
      </c>
      <c r="L4245" t="s">
        <v>113</v>
      </c>
      <c r="M4245" t="s">
        <v>1002</v>
      </c>
      <c r="N4245" t="s">
        <v>14272</v>
      </c>
      <c r="O4245" t="s">
        <v>14273</v>
      </c>
      <c r="P4245" s="2" t="s">
        <v>37</v>
      </c>
      <c r="Q4245" t="s">
        <v>1208</v>
      </c>
      <c r="R4245">
        <v>2.5</v>
      </c>
      <c r="S4245">
        <v>5.58</v>
      </c>
      <c r="T4245" t="s">
        <v>14274</v>
      </c>
    </row>
    <row r="4246" spans="1:20" x14ac:dyDescent="0.25">
      <c r="A4246" s="1" t="str">
        <f>HYPERLINK("https://vegkart.atlas.vegvesen.no/#/@-34259.8,6684067.6,18/hva:hva%5B0%5D%5Bfilter%5D%5B0%5D%5Boperator%5D=%21%3D&amp;hva%5B0%5D%5Bfilter%5D%5B0%5D%5Btype_id%5D=4820&amp;hva%5B0%5D%5Bfilter%5D%5B0%5D%5Bverdi%5D=&amp;hva%5B0%5D%5Bid%5D=144/når:2019-07-05", "Vegkart")</f>
        <v>Vegkart</v>
      </c>
      <c r="B4246">
        <v>710175170</v>
      </c>
      <c r="C4246">
        <v>144</v>
      </c>
      <c r="D4246" t="s">
        <v>13345</v>
      </c>
      <c r="E4246">
        <v>4820</v>
      </c>
      <c r="F4246" t="s">
        <v>23479</v>
      </c>
      <c r="G4246">
        <v>3</v>
      </c>
      <c r="H4246" t="s">
        <v>14275</v>
      </c>
      <c r="J4246" t="s">
        <v>14163</v>
      </c>
      <c r="K4246" t="s">
        <v>21</v>
      </c>
      <c r="L4246" t="s">
        <v>80</v>
      </c>
      <c r="M4246" t="s">
        <v>81</v>
      </c>
      <c r="N4246" t="s">
        <v>14276</v>
      </c>
      <c r="O4246" t="s">
        <v>14277</v>
      </c>
      <c r="P4246" s="2" t="s">
        <v>165</v>
      </c>
      <c r="Q4246" t="s">
        <v>641</v>
      </c>
      <c r="R4246">
        <v>0</v>
      </c>
      <c r="S4246">
        <v>9.7899999999999991</v>
      </c>
      <c r="T4246" t="s">
        <v>167</v>
      </c>
    </row>
    <row r="4247" spans="1:20" x14ac:dyDescent="0.25">
      <c r="A4247" s="1" t="str">
        <f>HYPERLINK("https://vegkart.atlas.vegvesen.no/#/@-35253.5,6684856.8,18/hva:hva%5B0%5D%5Bfilter%5D%5B0%5D%5Boperator%5D=%21%3D&amp;hva%5B0%5D%5Bfilter%5D%5B0%5D%5Btype_id%5D=4820&amp;hva%5B0%5D%5Bfilter%5D%5B0%5D%5Bverdi%5D=&amp;hva%5B0%5D%5Bid%5D=144/når:2019-07-05", "Vegkart")</f>
        <v>Vegkart</v>
      </c>
      <c r="B4247">
        <v>710175180</v>
      </c>
      <c r="C4247">
        <v>144</v>
      </c>
      <c r="D4247" t="s">
        <v>13345</v>
      </c>
      <c r="E4247">
        <v>4820</v>
      </c>
      <c r="F4247" t="s">
        <v>23479</v>
      </c>
      <c r="G4247">
        <v>3</v>
      </c>
      <c r="H4247" t="s">
        <v>14275</v>
      </c>
      <c r="J4247" t="s">
        <v>14163</v>
      </c>
      <c r="K4247" t="s">
        <v>21</v>
      </c>
      <c r="L4247" t="s">
        <v>80</v>
      </c>
      <c r="M4247" t="s">
        <v>81</v>
      </c>
      <c r="N4247" t="s">
        <v>14278</v>
      </c>
      <c r="O4247" t="s">
        <v>14279</v>
      </c>
      <c r="P4247" s="2" t="s">
        <v>165</v>
      </c>
      <c r="Q4247" t="s">
        <v>641</v>
      </c>
      <c r="R4247">
        <v>0</v>
      </c>
      <c r="S4247">
        <v>29.55</v>
      </c>
      <c r="T4247" t="s">
        <v>167</v>
      </c>
    </row>
    <row r="4248" spans="1:20" x14ac:dyDescent="0.25">
      <c r="A4248" s="1" t="str">
        <f>HYPERLINK("https://vegkart.atlas.vegvesen.no/#/@266828.8,7031941.4,18/hva:hva%5B0%5D%5Bfilter%5D%5B0%5D%5Boperator%5D=%21%3D&amp;hva%5B0%5D%5Bfilter%5D%5B0%5D%5Btype_id%5D=4820&amp;hva%5B0%5D%5Bfilter%5D%5B0%5D%5Bverdi%5D=&amp;hva%5B0%5D%5Bid%5D=144/når:2016-07-05", "Vegkart")</f>
        <v>Vegkart</v>
      </c>
      <c r="B4248">
        <v>712225364</v>
      </c>
      <c r="C4248">
        <v>144</v>
      </c>
      <c r="D4248" t="s">
        <v>13345</v>
      </c>
      <c r="E4248">
        <v>4820</v>
      </c>
      <c r="F4248" t="s">
        <v>23479</v>
      </c>
      <c r="G4248">
        <v>1</v>
      </c>
      <c r="H4248" t="s">
        <v>14280</v>
      </c>
      <c r="J4248" t="s">
        <v>14163</v>
      </c>
      <c r="K4248" t="s">
        <v>192</v>
      </c>
      <c r="L4248" t="s">
        <v>33</v>
      </c>
      <c r="M4248" t="s">
        <v>1419</v>
      </c>
      <c r="N4248" t="s">
        <v>14281</v>
      </c>
      <c r="O4248" t="s">
        <v>14282</v>
      </c>
      <c r="P4248" s="2" t="s">
        <v>37</v>
      </c>
      <c r="Q4248" t="s">
        <v>1208</v>
      </c>
      <c r="R4248">
        <v>18.45</v>
      </c>
      <c r="S4248">
        <v>537.26</v>
      </c>
      <c r="T4248" t="s">
        <v>14283</v>
      </c>
    </row>
    <row r="4249" spans="1:20" x14ac:dyDescent="0.25">
      <c r="A4249" s="1" t="str">
        <f>HYPERLINK("https://vegkart.atlas.vegvesen.no/#/@266861.2,7031833.5,18/hva:hva%5B0%5D%5Bfilter%5D%5B0%5D%5Boperator%5D=%21%3D&amp;hva%5B0%5D%5Bfilter%5D%5B0%5D%5Btype_id%5D=4820&amp;hva%5B0%5D%5Bfilter%5D%5B0%5D%5Bverdi%5D=&amp;hva%5B0%5D%5Bid%5D=144/når:2016-07-05", "Vegkart")</f>
        <v>Vegkart</v>
      </c>
      <c r="B4249">
        <v>712225365</v>
      </c>
      <c r="C4249">
        <v>144</v>
      </c>
      <c r="D4249" t="s">
        <v>13345</v>
      </c>
      <c r="E4249">
        <v>4820</v>
      </c>
      <c r="F4249" t="s">
        <v>23479</v>
      </c>
      <c r="G4249">
        <v>1</v>
      </c>
      <c r="H4249" t="s">
        <v>14280</v>
      </c>
      <c r="J4249" t="s">
        <v>14163</v>
      </c>
      <c r="K4249" t="s">
        <v>192</v>
      </c>
      <c r="L4249" t="s">
        <v>33</v>
      </c>
      <c r="M4249" t="s">
        <v>1419</v>
      </c>
      <c r="N4249" t="s">
        <v>14284</v>
      </c>
      <c r="O4249" t="s">
        <v>14285</v>
      </c>
      <c r="P4249" s="2" t="s">
        <v>67</v>
      </c>
      <c r="Q4249" t="s">
        <v>68</v>
      </c>
      <c r="R4249">
        <v>1.95</v>
      </c>
      <c r="S4249">
        <v>1.95</v>
      </c>
      <c r="T4249" t="s">
        <v>14286</v>
      </c>
    </row>
    <row r="4250" spans="1:20" x14ac:dyDescent="0.25">
      <c r="A4250" s="1" t="str">
        <f>HYPERLINK("https://vegkart.atlas.vegvesen.no/#/@266806.3,7031758.6,18/hva:hva%5B0%5D%5Bfilter%5D%5B0%5D%5Boperator%5D=%21%3D&amp;hva%5B0%5D%5Bfilter%5D%5B0%5D%5Btype_id%5D=4820&amp;hva%5B0%5D%5Bfilter%5D%5B0%5D%5Bverdi%5D=&amp;hva%5B0%5D%5Bid%5D=144/når:2016-07-05", "Vegkart")</f>
        <v>Vegkart</v>
      </c>
      <c r="B4250">
        <v>712225366</v>
      </c>
      <c r="C4250">
        <v>144</v>
      </c>
      <c r="D4250" t="s">
        <v>13345</v>
      </c>
      <c r="E4250">
        <v>4820</v>
      </c>
      <c r="F4250" t="s">
        <v>23479</v>
      </c>
      <c r="G4250">
        <v>1</v>
      </c>
      <c r="H4250" t="s">
        <v>14280</v>
      </c>
      <c r="J4250" t="s">
        <v>14163</v>
      </c>
      <c r="K4250" t="s">
        <v>192</v>
      </c>
      <c r="L4250" t="s">
        <v>33</v>
      </c>
      <c r="M4250" t="s">
        <v>1419</v>
      </c>
      <c r="N4250" t="s">
        <v>14287</v>
      </c>
      <c r="O4250" t="s">
        <v>14288</v>
      </c>
      <c r="P4250" s="2" t="s">
        <v>67</v>
      </c>
      <c r="Q4250" t="s">
        <v>68</v>
      </c>
      <c r="R4250">
        <v>95.77</v>
      </c>
      <c r="S4250">
        <v>100</v>
      </c>
      <c r="T4250" t="s">
        <v>14289</v>
      </c>
    </row>
    <row r="4251" spans="1:20" x14ac:dyDescent="0.25">
      <c r="A4251" s="1" t="str">
        <f>HYPERLINK("https://vegkart.atlas.vegvesen.no/#/@266851.1,7031806.4,18/hva:hva%5B0%5D%5Bfilter%5D%5B0%5D%5Boperator%5D=%21%3D&amp;hva%5B0%5D%5Bfilter%5D%5B0%5D%5Btype_id%5D=4820&amp;hva%5B0%5D%5Bfilter%5D%5B0%5D%5Bverdi%5D=&amp;hva%5B0%5D%5Bid%5D=144/når:2016-07-05", "Vegkart")</f>
        <v>Vegkart</v>
      </c>
      <c r="B4251">
        <v>712225367</v>
      </c>
      <c r="C4251">
        <v>144</v>
      </c>
      <c r="D4251" t="s">
        <v>13345</v>
      </c>
      <c r="E4251">
        <v>4820</v>
      </c>
      <c r="F4251" t="s">
        <v>23479</v>
      </c>
      <c r="G4251">
        <v>1</v>
      </c>
      <c r="H4251" t="s">
        <v>14280</v>
      </c>
      <c r="J4251" t="s">
        <v>14163</v>
      </c>
      <c r="K4251" t="s">
        <v>192</v>
      </c>
      <c r="L4251" t="s">
        <v>33</v>
      </c>
      <c r="M4251" t="s">
        <v>1419</v>
      </c>
      <c r="N4251" t="s">
        <v>14290</v>
      </c>
      <c r="O4251" t="s">
        <v>14291</v>
      </c>
      <c r="P4251" s="2" t="s">
        <v>67</v>
      </c>
      <c r="Q4251" t="s">
        <v>68</v>
      </c>
      <c r="R4251">
        <v>32.270000000000003</v>
      </c>
      <c r="S4251">
        <v>35.159999999999997</v>
      </c>
      <c r="T4251" t="s">
        <v>14292</v>
      </c>
    </row>
    <row r="4252" spans="1:20" x14ac:dyDescent="0.25">
      <c r="A4252" s="1" t="str">
        <f>HYPERLINK("https://vegkart.atlas.vegvesen.no/#/@267198.6,7032375.9,18/hva:hva%5B0%5D%5Bfilter%5D%5B0%5D%5Boperator%5D=%21%3D&amp;hva%5B0%5D%5Bfilter%5D%5B0%5D%5Btype_id%5D=4820&amp;hva%5B0%5D%5Bfilter%5D%5B0%5D%5Bverdi%5D=&amp;hva%5B0%5D%5Bid%5D=144/når:2016-07-05", "Vegkart")</f>
        <v>Vegkart</v>
      </c>
      <c r="B4252">
        <v>712225371</v>
      </c>
      <c r="C4252">
        <v>144</v>
      </c>
      <c r="D4252" t="s">
        <v>13345</v>
      </c>
      <c r="E4252">
        <v>4820</v>
      </c>
      <c r="F4252" t="s">
        <v>23479</v>
      </c>
      <c r="G4252">
        <v>1</v>
      </c>
      <c r="H4252" t="s">
        <v>14280</v>
      </c>
      <c r="J4252" t="s">
        <v>14163</v>
      </c>
      <c r="K4252" t="s">
        <v>192</v>
      </c>
      <c r="L4252" t="s">
        <v>33</v>
      </c>
      <c r="M4252" t="s">
        <v>1419</v>
      </c>
      <c r="N4252" t="s">
        <v>14293</v>
      </c>
      <c r="O4252" t="s">
        <v>14294</v>
      </c>
      <c r="P4252" s="2" t="s">
        <v>67</v>
      </c>
      <c r="Q4252" t="s">
        <v>68</v>
      </c>
      <c r="R4252">
        <v>0.76</v>
      </c>
      <c r="S4252">
        <v>0.76</v>
      </c>
      <c r="T4252" t="s">
        <v>14295</v>
      </c>
    </row>
    <row r="4253" spans="1:20" x14ac:dyDescent="0.25">
      <c r="A4253" s="1" t="str">
        <f>HYPERLINK("https://vegkart.atlas.vegvesen.no/#/@267256.1,7032441.8,18/hva:hva%5B0%5D%5Bfilter%5D%5B0%5D%5Boperator%5D=%21%3D&amp;hva%5B0%5D%5Bfilter%5D%5B0%5D%5Btype_id%5D=4820&amp;hva%5B0%5D%5Bfilter%5D%5B0%5D%5Bverdi%5D=&amp;hva%5B0%5D%5Bid%5D=144/når:2016-07-05", "Vegkart")</f>
        <v>Vegkart</v>
      </c>
      <c r="B4253">
        <v>712225373</v>
      </c>
      <c r="C4253">
        <v>144</v>
      </c>
      <c r="D4253" t="s">
        <v>13345</v>
      </c>
      <c r="E4253">
        <v>4820</v>
      </c>
      <c r="F4253" t="s">
        <v>23479</v>
      </c>
      <c r="G4253">
        <v>1</v>
      </c>
      <c r="H4253" t="s">
        <v>14280</v>
      </c>
      <c r="J4253" t="s">
        <v>14163</v>
      </c>
      <c r="K4253" t="s">
        <v>192</v>
      </c>
      <c r="L4253" t="s">
        <v>33</v>
      </c>
      <c r="M4253" t="s">
        <v>1419</v>
      </c>
      <c r="N4253" t="s">
        <v>14296</v>
      </c>
      <c r="O4253" t="s">
        <v>14297</v>
      </c>
      <c r="P4253" s="2" t="s">
        <v>37</v>
      </c>
      <c r="Q4253" t="s">
        <v>1208</v>
      </c>
      <c r="R4253">
        <v>7.3</v>
      </c>
      <c r="S4253">
        <v>84.47</v>
      </c>
      <c r="T4253" t="s">
        <v>14298</v>
      </c>
    </row>
    <row r="4254" spans="1:20" x14ac:dyDescent="0.25">
      <c r="A4254" s="1" t="str">
        <f>HYPERLINK("https://vegkart.atlas.vegvesen.no/#/@266677.6,7031648.4,18/hva:hva%5B0%5D%5Bfilter%5D%5B0%5D%5Boperator%5D=%21%3D&amp;hva%5B0%5D%5Bfilter%5D%5B0%5D%5Btype_id%5D=4820&amp;hva%5B0%5D%5Bfilter%5D%5B0%5D%5Bverdi%5D=&amp;hva%5B0%5D%5Bid%5D=144/når:2016-07-05", "Vegkart")</f>
        <v>Vegkart</v>
      </c>
      <c r="B4254">
        <v>712225383</v>
      </c>
      <c r="C4254">
        <v>144</v>
      </c>
      <c r="D4254" t="s">
        <v>13345</v>
      </c>
      <c r="E4254">
        <v>4820</v>
      </c>
      <c r="F4254" t="s">
        <v>23479</v>
      </c>
      <c r="G4254">
        <v>1</v>
      </c>
      <c r="H4254" t="s">
        <v>14280</v>
      </c>
      <c r="J4254" t="s">
        <v>14163</v>
      </c>
      <c r="K4254" t="s">
        <v>192</v>
      </c>
      <c r="L4254" t="s">
        <v>33</v>
      </c>
      <c r="M4254" t="s">
        <v>1419</v>
      </c>
      <c r="N4254" t="s">
        <v>14299</v>
      </c>
      <c r="O4254" t="s">
        <v>14300</v>
      </c>
      <c r="P4254" s="2" t="s">
        <v>67</v>
      </c>
      <c r="Q4254" t="s">
        <v>68</v>
      </c>
      <c r="R4254">
        <v>25.77</v>
      </c>
      <c r="S4254">
        <v>51.4</v>
      </c>
      <c r="T4254" t="s">
        <v>14301</v>
      </c>
    </row>
    <row r="4255" spans="1:20" x14ac:dyDescent="0.25">
      <c r="A4255" s="1" t="str">
        <f>HYPERLINK("https://vegkart.atlas.vegvesen.no/#/@267434.1,7032521.9,18/hva:hva%5B0%5D%5Bfilter%5D%5B0%5D%5Boperator%5D=%21%3D&amp;hva%5B0%5D%5Bfilter%5D%5B0%5D%5Btype_id%5D=4820&amp;hva%5B0%5D%5Bfilter%5D%5B0%5D%5Bverdi%5D=&amp;hva%5B0%5D%5Bid%5D=144/når:2016-07-05", "Vegkart")</f>
        <v>Vegkart</v>
      </c>
      <c r="B4255">
        <v>712225389</v>
      </c>
      <c r="C4255">
        <v>144</v>
      </c>
      <c r="D4255" t="s">
        <v>13345</v>
      </c>
      <c r="E4255">
        <v>4820</v>
      </c>
      <c r="F4255" t="s">
        <v>23479</v>
      </c>
      <c r="G4255">
        <v>1</v>
      </c>
      <c r="H4255" t="s">
        <v>14280</v>
      </c>
      <c r="J4255" t="s">
        <v>14163</v>
      </c>
      <c r="K4255" t="s">
        <v>192</v>
      </c>
      <c r="L4255" t="s">
        <v>33</v>
      </c>
      <c r="M4255" t="s">
        <v>1419</v>
      </c>
      <c r="N4255" t="s">
        <v>14302</v>
      </c>
      <c r="O4255" t="s">
        <v>14303</v>
      </c>
      <c r="P4255" s="2" t="s">
        <v>67</v>
      </c>
      <c r="Q4255" t="s">
        <v>68</v>
      </c>
      <c r="R4255">
        <v>0.94</v>
      </c>
      <c r="S4255">
        <v>0.94</v>
      </c>
      <c r="T4255" t="s">
        <v>14304</v>
      </c>
    </row>
    <row r="4256" spans="1:20" x14ac:dyDescent="0.25">
      <c r="A4256" s="1" t="str">
        <f>HYPERLINK("https://vegkart.atlas.vegvesen.no/#/@267049.5,7032206.1,18/hva:hva%5B0%5D%5Bfilter%5D%5B0%5D%5Boperator%5D=%21%3D&amp;hva%5B0%5D%5Bfilter%5D%5B0%5D%5Btype_id%5D=4820&amp;hva%5B0%5D%5Bfilter%5D%5B0%5D%5Bverdi%5D=&amp;hva%5B0%5D%5Bid%5D=144/når:2016-07-05", "Vegkart")</f>
        <v>Vegkart</v>
      </c>
      <c r="B4256">
        <v>712225391</v>
      </c>
      <c r="C4256">
        <v>144</v>
      </c>
      <c r="D4256" t="s">
        <v>13345</v>
      </c>
      <c r="E4256">
        <v>4820</v>
      </c>
      <c r="F4256" t="s">
        <v>23479</v>
      </c>
      <c r="G4256">
        <v>1</v>
      </c>
      <c r="H4256" t="s">
        <v>14280</v>
      </c>
      <c r="J4256" t="s">
        <v>14163</v>
      </c>
      <c r="K4256" t="s">
        <v>192</v>
      </c>
      <c r="L4256" t="s">
        <v>33</v>
      </c>
      <c r="M4256" t="s">
        <v>1419</v>
      </c>
      <c r="N4256" t="s">
        <v>14305</v>
      </c>
      <c r="O4256" t="s">
        <v>14306</v>
      </c>
      <c r="P4256" s="2" t="s">
        <v>67</v>
      </c>
      <c r="Q4256" t="s">
        <v>68</v>
      </c>
      <c r="R4256">
        <v>3.65</v>
      </c>
      <c r="S4256">
        <v>3.65</v>
      </c>
      <c r="T4256" t="s">
        <v>14307</v>
      </c>
    </row>
    <row r="4257" spans="1:20" x14ac:dyDescent="0.25">
      <c r="A4257" s="1" t="str">
        <f>HYPERLINK("https://vegkart.atlas.vegvesen.no/#/@267055.7,7032251.6,18/hva:hva%5B0%5D%5Bfilter%5D%5B0%5D%5Boperator%5D=%21%3D&amp;hva%5B0%5D%5Bfilter%5D%5B0%5D%5Btype_id%5D=4820&amp;hva%5B0%5D%5Bfilter%5D%5B0%5D%5Bverdi%5D=&amp;hva%5B0%5D%5Bid%5D=144/når:2016-07-05", "Vegkart")</f>
        <v>Vegkart</v>
      </c>
      <c r="B4257">
        <v>712225393</v>
      </c>
      <c r="C4257">
        <v>144</v>
      </c>
      <c r="D4257" t="s">
        <v>13345</v>
      </c>
      <c r="E4257">
        <v>4820</v>
      </c>
      <c r="F4257" t="s">
        <v>23479</v>
      </c>
      <c r="G4257">
        <v>1</v>
      </c>
      <c r="H4257" t="s">
        <v>14280</v>
      </c>
      <c r="J4257" t="s">
        <v>14163</v>
      </c>
      <c r="K4257" t="s">
        <v>192</v>
      </c>
      <c r="L4257" t="s">
        <v>33</v>
      </c>
      <c r="M4257" t="s">
        <v>1419</v>
      </c>
      <c r="N4257" t="s">
        <v>14308</v>
      </c>
      <c r="O4257" t="s">
        <v>14309</v>
      </c>
      <c r="P4257" s="2" t="s">
        <v>67</v>
      </c>
      <c r="Q4257" t="s">
        <v>68</v>
      </c>
      <c r="R4257">
        <v>370.46</v>
      </c>
      <c r="S4257">
        <v>401.79</v>
      </c>
      <c r="T4257" t="s">
        <v>14310</v>
      </c>
    </row>
    <row r="4258" spans="1:20" x14ac:dyDescent="0.25">
      <c r="A4258" s="1" t="str">
        <f>HYPERLINK("https://vegkart.atlas.vegvesen.no/#/@267194.2,7032373.0,18/hva:hva%5B0%5D%5Bfilter%5D%5B0%5D%5Boperator%5D=%21%3D&amp;hva%5B0%5D%5Bfilter%5D%5B0%5D%5Btype_id%5D=4820&amp;hva%5B0%5D%5Bfilter%5D%5B0%5D%5Bverdi%5D=&amp;hva%5B0%5D%5Bid%5D=144/når:2016-07-05", "Vegkart")</f>
        <v>Vegkart</v>
      </c>
      <c r="B4258">
        <v>712225394</v>
      </c>
      <c r="C4258">
        <v>144</v>
      </c>
      <c r="D4258" t="s">
        <v>13345</v>
      </c>
      <c r="E4258">
        <v>4820</v>
      </c>
      <c r="F4258" t="s">
        <v>23479</v>
      </c>
      <c r="G4258">
        <v>1</v>
      </c>
      <c r="H4258" t="s">
        <v>14280</v>
      </c>
      <c r="J4258" t="s">
        <v>14163</v>
      </c>
      <c r="K4258" t="s">
        <v>192</v>
      </c>
      <c r="L4258" t="s">
        <v>33</v>
      </c>
      <c r="M4258" t="s">
        <v>1419</v>
      </c>
      <c r="N4258" t="s">
        <v>14311</v>
      </c>
      <c r="O4258" t="s">
        <v>14312</v>
      </c>
      <c r="P4258" s="2" t="s">
        <v>67</v>
      </c>
      <c r="Q4258" t="s">
        <v>68</v>
      </c>
      <c r="R4258">
        <v>1.01</v>
      </c>
      <c r="S4258">
        <v>1.01</v>
      </c>
      <c r="T4258" t="s">
        <v>14313</v>
      </c>
    </row>
    <row r="4259" spans="1:20" x14ac:dyDescent="0.25">
      <c r="A4259" s="1" t="str">
        <f>HYPERLINK("https://vegkart.atlas.vegvesen.no/#/@267006.5,7032207.9,18/hva:hva%5B0%5D%5Bfilter%5D%5B0%5D%5Boperator%5D=%21%3D&amp;hva%5B0%5D%5Bfilter%5D%5B0%5D%5Btype_id%5D=4820&amp;hva%5B0%5D%5Bfilter%5D%5B0%5D%5Bverdi%5D=&amp;hva%5B0%5D%5Bid%5D=144/når:2016-07-05", "Vegkart")</f>
        <v>Vegkart</v>
      </c>
      <c r="B4259">
        <v>712225395</v>
      </c>
      <c r="C4259">
        <v>144</v>
      </c>
      <c r="D4259" t="s">
        <v>13345</v>
      </c>
      <c r="E4259">
        <v>4820</v>
      </c>
      <c r="F4259" t="s">
        <v>23479</v>
      </c>
      <c r="G4259">
        <v>1</v>
      </c>
      <c r="H4259" t="s">
        <v>14280</v>
      </c>
      <c r="J4259" t="s">
        <v>14163</v>
      </c>
      <c r="K4259" t="s">
        <v>192</v>
      </c>
      <c r="L4259" t="s">
        <v>33</v>
      </c>
      <c r="M4259" t="s">
        <v>1419</v>
      </c>
      <c r="N4259" t="s">
        <v>14314</v>
      </c>
      <c r="O4259" t="s">
        <v>14315</v>
      </c>
      <c r="P4259" s="2" t="s">
        <v>67</v>
      </c>
      <c r="Q4259" t="s">
        <v>68</v>
      </c>
      <c r="R4259">
        <v>496.16</v>
      </c>
      <c r="S4259">
        <v>528.5</v>
      </c>
      <c r="T4259" t="s">
        <v>14316</v>
      </c>
    </row>
    <row r="4260" spans="1:20" x14ac:dyDescent="0.25">
      <c r="A4260" s="1" t="str">
        <f>HYPERLINK("https://vegkart.atlas.vegvesen.no/#/@266897.5,7032127.2,18/hva:hva%5B0%5D%5Bfilter%5D%5B0%5D%5Boperator%5D=%21%3D&amp;hva%5B0%5D%5Bfilter%5D%5B0%5D%5Btype_id%5D=4820&amp;hva%5B0%5D%5Bfilter%5D%5B0%5D%5Bverdi%5D=&amp;hva%5B0%5D%5Bid%5D=144/når:2016-07-05", "Vegkart")</f>
        <v>Vegkart</v>
      </c>
      <c r="B4260">
        <v>712225397</v>
      </c>
      <c r="C4260">
        <v>144</v>
      </c>
      <c r="D4260" t="s">
        <v>13345</v>
      </c>
      <c r="E4260">
        <v>4820</v>
      </c>
      <c r="F4260" t="s">
        <v>23479</v>
      </c>
      <c r="G4260">
        <v>1</v>
      </c>
      <c r="H4260" t="s">
        <v>14280</v>
      </c>
      <c r="J4260" t="s">
        <v>14163</v>
      </c>
      <c r="K4260" t="s">
        <v>192</v>
      </c>
      <c r="L4260" t="s">
        <v>33</v>
      </c>
      <c r="M4260" t="s">
        <v>1419</v>
      </c>
      <c r="N4260" t="s">
        <v>14317</v>
      </c>
      <c r="O4260" t="s">
        <v>14318</v>
      </c>
      <c r="P4260" s="2" t="s">
        <v>67</v>
      </c>
      <c r="Q4260" t="s">
        <v>68</v>
      </c>
      <c r="R4260">
        <v>24.64</v>
      </c>
      <c r="S4260">
        <v>24.64</v>
      </c>
      <c r="T4260" t="s">
        <v>14319</v>
      </c>
    </row>
    <row r="4261" spans="1:20" x14ac:dyDescent="0.25">
      <c r="A4261" s="1" t="str">
        <f>HYPERLINK("https://vegkart.atlas.vegvesen.no/#/@266835.8,7032092.0,18/hva:hva%5B0%5D%5Bfilter%5D%5B0%5D%5Boperator%5D=%21%3D&amp;hva%5B0%5D%5Bfilter%5D%5B0%5D%5Btype_id%5D=4820&amp;hva%5B0%5D%5Bfilter%5D%5B0%5D%5Bverdi%5D=&amp;hva%5B0%5D%5Bid%5D=144/når:2016-07-05", "Vegkart")</f>
        <v>Vegkart</v>
      </c>
      <c r="B4261">
        <v>712225398</v>
      </c>
      <c r="C4261">
        <v>144</v>
      </c>
      <c r="D4261" t="s">
        <v>13345</v>
      </c>
      <c r="E4261">
        <v>4820</v>
      </c>
      <c r="F4261" t="s">
        <v>23479</v>
      </c>
      <c r="G4261">
        <v>1</v>
      </c>
      <c r="H4261" t="s">
        <v>14280</v>
      </c>
      <c r="J4261" t="s">
        <v>14163</v>
      </c>
      <c r="K4261" t="s">
        <v>192</v>
      </c>
      <c r="L4261" t="s">
        <v>33</v>
      </c>
      <c r="M4261" t="s">
        <v>1419</v>
      </c>
      <c r="N4261" t="s">
        <v>14320</v>
      </c>
      <c r="O4261" t="s">
        <v>14321</v>
      </c>
      <c r="P4261" s="2" t="s">
        <v>67</v>
      </c>
      <c r="Q4261" t="s">
        <v>68</v>
      </c>
      <c r="R4261">
        <v>101.03</v>
      </c>
      <c r="S4261">
        <v>117.08</v>
      </c>
      <c r="T4261" t="s">
        <v>14322</v>
      </c>
    </row>
    <row r="4262" spans="1:20" x14ac:dyDescent="0.25">
      <c r="A4262" s="1" t="str">
        <f>HYPERLINK("https://vegkart.atlas.vegvesen.no/#/@266804.6,7032051.0,18/hva:hva%5B0%5D%5Bfilter%5D%5B0%5D%5Boperator%5D=%21%3D&amp;hva%5B0%5D%5Bfilter%5D%5B0%5D%5Btype_id%5D=4820&amp;hva%5B0%5D%5Bfilter%5D%5B0%5D%5Bverdi%5D=&amp;hva%5B0%5D%5Bid%5D=144/når:2016-07-05", "Vegkart")</f>
        <v>Vegkart</v>
      </c>
      <c r="B4262">
        <v>712225399</v>
      </c>
      <c r="C4262">
        <v>144</v>
      </c>
      <c r="D4262" t="s">
        <v>13345</v>
      </c>
      <c r="E4262">
        <v>4820</v>
      </c>
      <c r="F4262" t="s">
        <v>23479</v>
      </c>
      <c r="G4262">
        <v>1</v>
      </c>
      <c r="H4262" t="s">
        <v>14280</v>
      </c>
      <c r="J4262" t="s">
        <v>14163</v>
      </c>
      <c r="K4262" t="s">
        <v>192</v>
      </c>
      <c r="L4262" t="s">
        <v>33</v>
      </c>
      <c r="M4262" t="s">
        <v>1419</v>
      </c>
      <c r="N4262" t="s">
        <v>14323</v>
      </c>
      <c r="O4262" t="s">
        <v>14324</v>
      </c>
      <c r="P4262" s="2" t="s">
        <v>37</v>
      </c>
      <c r="Q4262" t="s">
        <v>1208</v>
      </c>
      <c r="R4262">
        <v>4.42</v>
      </c>
      <c r="S4262">
        <v>8.1199999999999992</v>
      </c>
      <c r="T4262" t="s">
        <v>14325</v>
      </c>
    </row>
    <row r="4263" spans="1:20" x14ac:dyDescent="0.25">
      <c r="A4263" s="1" t="str">
        <f>HYPERLINK("https://vegkart.atlas.vegvesen.no/#/@266796.6,7031992.6,18/hva:hva%5B0%5D%5Bfilter%5D%5B0%5D%5Boperator%5D=%21%3D&amp;hva%5B0%5D%5Bfilter%5D%5B0%5D%5Btype_id%5D=4820&amp;hva%5B0%5D%5Bfilter%5D%5B0%5D%5Bverdi%5D=&amp;hva%5B0%5D%5Bid%5D=144/når:2016-07-05", "Vegkart")</f>
        <v>Vegkart</v>
      </c>
      <c r="B4263">
        <v>712225400</v>
      </c>
      <c r="C4263">
        <v>144</v>
      </c>
      <c r="D4263" t="s">
        <v>13345</v>
      </c>
      <c r="E4263">
        <v>4820</v>
      </c>
      <c r="F4263" t="s">
        <v>23479</v>
      </c>
      <c r="G4263">
        <v>1</v>
      </c>
      <c r="H4263" t="s">
        <v>14280</v>
      </c>
      <c r="J4263" t="s">
        <v>14163</v>
      </c>
      <c r="K4263" t="s">
        <v>192</v>
      </c>
      <c r="L4263" t="s">
        <v>33</v>
      </c>
      <c r="M4263" t="s">
        <v>1419</v>
      </c>
      <c r="N4263" t="s">
        <v>14326</v>
      </c>
      <c r="O4263" t="s">
        <v>14327</v>
      </c>
      <c r="P4263" s="2" t="s">
        <v>67</v>
      </c>
      <c r="Q4263" t="s">
        <v>68</v>
      </c>
      <c r="R4263">
        <v>0.86</v>
      </c>
      <c r="S4263">
        <v>0.86</v>
      </c>
      <c r="T4263" t="s">
        <v>14328</v>
      </c>
    </row>
    <row r="4264" spans="1:20" x14ac:dyDescent="0.25">
      <c r="A4264" s="1" t="str">
        <f>HYPERLINK("https://vegkart.atlas.vegvesen.no/#/@266816.9,7032028.2,18/hva:hva%5B0%5D%5Bfilter%5D%5B0%5D%5Boperator%5D=%21%3D&amp;hva%5B0%5D%5Bfilter%5D%5B0%5D%5Btype_id%5D=4820&amp;hva%5B0%5D%5Bfilter%5D%5B0%5D%5Bverdi%5D=&amp;hva%5B0%5D%5Bid%5D=144/når:2016-07-05", "Vegkart")</f>
        <v>Vegkart</v>
      </c>
      <c r="B4264">
        <v>712225401</v>
      </c>
      <c r="C4264">
        <v>144</v>
      </c>
      <c r="D4264" t="s">
        <v>13345</v>
      </c>
      <c r="E4264">
        <v>4820</v>
      </c>
      <c r="F4264" t="s">
        <v>23479</v>
      </c>
      <c r="G4264">
        <v>1</v>
      </c>
      <c r="H4264" t="s">
        <v>14280</v>
      </c>
      <c r="J4264" t="s">
        <v>14163</v>
      </c>
      <c r="K4264" t="s">
        <v>192</v>
      </c>
      <c r="L4264" t="s">
        <v>33</v>
      </c>
      <c r="M4264" t="s">
        <v>1419</v>
      </c>
      <c r="N4264" t="s">
        <v>14329</v>
      </c>
      <c r="O4264" t="s">
        <v>14330</v>
      </c>
      <c r="P4264" s="2" t="s">
        <v>67</v>
      </c>
      <c r="Q4264" t="s">
        <v>68</v>
      </c>
      <c r="R4264">
        <v>46.05</v>
      </c>
      <c r="S4264">
        <v>65.260000000000005</v>
      </c>
      <c r="T4264" t="s">
        <v>14331</v>
      </c>
    </row>
    <row r="4265" spans="1:20" x14ac:dyDescent="0.25">
      <c r="A4265" s="1" t="str">
        <f>HYPERLINK("https://vegkart.atlas.vegvesen.no/#/@266677.6,7031648.4,18/hva:hva%5B0%5D%5Bfilter%5D%5B0%5D%5Boperator%5D=%21%3D&amp;hva%5B0%5D%5Bfilter%5D%5B0%5D%5Btype_id%5D=4820&amp;hva%5B0%5D%5Bfilter%5D%5B0%5D%5Bverdi%5D=&amp;hva%5B0%5D%5Bid%5D=144/når:2016-07-05", "Vegkart")</f>
        <v>Vegkart</v>
      </c>
      <c r="B4265">
        <v>712225402</v>
      </c>
      <c r="C4265">
        <v>144</v>
      </c>
      <c r="D4265" t="s">
        <v>13345</v>
      </c>
      <c r="E4265">
        <v>4820</v>
      </c>
      <c r="F4265" t="s">
        <v>23479</v>
      </c>
      <c r="G4265">
        <v>1</v>
      </c>
      <c r="H4265" t="s">
        <v>14280</v>
      </c>
      <c r="J4265" t="s">
        <v>14163</v>
      </c>
      <c r="K4265" t="s">
        <v>192</v>
      </c>
      <c r="L4265" t="s">
        <v>33</v>
      </c>
      <c r="M4265" t="s">
        <v>1419</v>
      </c>
      <c r="N4265" t="s">
        <v>14299</v>
      </c>
      <c r="O4265" t="s">
        <v>14300</v>
      </c>
      <c r="P4265" s="2" t="s">
        <v>67</v>
      </c>
      <c r="Q4265" t="s">
        <v>68</v>
      </c>
      <c r="R4265">
        <v>25.77</v>
      </c>
      <c r="S4265">
        <v>51.4</v>
      </c>
      <c r="T4265" t="s">
        <v>14301</v>
      </c>
    </row>
    <row r="4266" spans="1:20" x14ac:dyDescent="0.25">
      <c r="A4266" s="1" t="str">
        <f>HYPERLINK("https://vegkart.atlas.vegvesen.no/#/@266856.2,7031820.6,18/hva:hva%5B0%5D%5Bfilter%5D%5B0%5D%5Boperator%5D=%21%3D&amp;hva%5B0%5D%5Bfilter%5D%5B0%5D%5Btype_id%5D=4820&amp;hva%5B0%5D%5Bfilter%5D%5B0%5D%5Bverdi%5D=&amp;hva%5B0%5D%5Bid%5D=144/når:2016-07-05", "Vegkart")</f>
        <v>Vegkart</v>
      </c>
      <c r="B4266">
        <v>712225403</v>
      </c>
      <c r="C4266">
        <v>144</v>
      </c>
      <c r="D4266" t="s">
        <v>13345</v>
      </c>
      <c r="E4266">
        <v>4820</v>
      </c>
      <c r="F4266" t="s">
        <v>23479</v>
      </c>
      <c r="G4266">
        <v>1</v>
      </c>
      <c r="H4266" t="s">
        <v>14280</v>
      </c>
      <c r="J4266" t="s">
        <v>14163</v>
      </c>
      <c r="K4266" t="s">
        <v>192</v>
      </c>
      <c r="L4266" t="s">
        <v>33</v>
      </c>
      <c r="M4266" t="s">
        <v>1419</v>
      </c>
      <c r="N4266" t="s">
        <v>14332</v>
      </c>
      <c r="O4266" t="s">
        <v>14333</v>
      </c>
      <c r="P4266" s="2" t="s">
        <v>67</v>
      </c>
      <c r="Q4266" t="s">
        <v>68</v>
      </c>
      <c r="R4266">
        <v>1.6</v>
      </c>
      <c r="S4266">
        <v>1.6</v>
      </c>
      <c r="T4266" t="s">
        <v>14334</v>
      </c>
    </row>
    <row r="4267" spans="1:20" x14ac:dyDescent="0.25">
      <c r="A4267" s="1" t="str">
        <f>HYPERLINK("https://vegkart.atlas.vegvesen.no/#/@266857.8,7031827.3,18/hva:hva%5B0%5D%5Bfilter%5D%5B0%5D%5Boperator%5D=%21%3D&amp;hva%5B0%5D%5Bfilter%5D%5B0%5D%5Btype_id%5D=4820&amp;hva%5B0%5D%5Bfilter%5D%5B0%5D%5Bverdi%5D=&amp;hva%5B0%5D%5Bid%5D=144/når:2016-07-05", "Vegkart")</f>
        <v>Vegkart</v>
      </c>
      <c r="B4267">
        <v>712225404</v>
      </c>
      <c r="C4267">
        <v>144</v>
      </c>
      <c r="D4267" t="s">
        <v>13345</v>
      </c>
      <c r="E4267">
        <v>4820</v>
      </c>
      <c r="F4267" t="s">
        <v>23479</v>
      </c>
      <c r="G4267">
        <v>1</v>
      </c>
      <c r="H4267" t="s">
        <v>14280</v>
      </c>
      <c r="J4267" t="s">
        <v>14163</v>
      </c>
      <c r="K4267" t="s">
        <v>192</v>
      </c>
      <c r="L4267" t="s">
        <v>33</v>
      </c>
      <c r="M4267" t="s">
        <v>1419</v>
      </c>
      <c r="N4267" t="s">
        <v>14335</v>
      </c>
      <c r="O4267" t="s">
        <v>14336</v>
      </c>
      <c r="P4267" s="2" t="s">
        <v>67</v>
      </c>
      <c r="Q4267" t="s">
        <v>68</v>
      </c>
      <c r="R4267">
        <v>13.71</v>
      </c>
      <c r="S4267">
        <v>13.71</v>
      </c>
      <c r="T4267" t="s">
        <v>14337</v>
      </c>
    </row>
    <row r="4268" spans="1:20" x14ac:dyDescent="0.25">
      <c r="A4268" s="1" t="str">
        <f>HYPERLINK("https://vegkart.atlas.vegvesen.no/#/@266752.5,7031694.5,18/hva:hva%5B0%5D%5Bfilter%5D%5B0%5D%5Boperator%5D=%21%3D&amp;hva%5B0%5D%5Bfilter%5D%5B0%5D%5Btype_id%5D=4820&amp;hva%5B0%5D%5Bfilter%5D%5B0%5D%5Bverdi%5D=&amp;hva%5B0%5D%5Bid%5D=144/når:2016-07-05", "Vegkart")</f>
        <v>Vegkart</v>
      </c>
      <c r="B4268">
        <v>712225405</v>
      </c>
      <c r="C4268">
        <v>144</v>
      </c>
      <c r="D4268" t="s">
        <v>13345</v>
      </c>
      <c r="E4268">
        <v>4820</v>
      </c>
      <c r="F4268" t="s">
        <v>23479</v>
      </c>
      <c r="G4268">
        <v>1</v>
      </c>
      <c r="H4268" t="s">
        <v>14280</v>
      </c>
      <c r="J4268" t="s">
        <v>14163</v>
      </c>
      <c r="K4268" t="s">
        <v>192</v>
      </c>
      <c r="L4268" t="s">
        <v>33</v>
      </c>
      <c r="M4268" t="s">
        <v>1419</v>
      </c>
      <c r="N4268" t="s">
        <v>14338</v>
      </c>
      <c r="O4268" t="s">
        <v>14339</v>
      </c>
      <c r="P4268" s="2" t="s">
        <v>67</v>
      </c>
      <c r="Q4268" t="s">
        <v>68</v>
      </c>
      <c r="R4268">
        <v>71.150000000000006</v>
      </c>
      <c r="S4268">
        <v>73.42</v>
      </c>
      <c r="T4268" t="s">
        <v>14340</v>
      </c>
    </row>
    <row r="4269" spans="1:20" x14ac:dyDescent="0.25">
      <c r="A4269" s="1" t="str">
        <f>HYPERLINK("https://vegkart.atlas.vegvesen.no/#/@266732.1,7031673.6,18/hva:hva%5B0%5D%5Bfilter%5D%5B0%5D%5Boperator%5D=%21%3D&amp;hva%5B0%5D%5Bfilter%5D%5B0%5D%5Btype_id%5D=4820&amp;hva%5B0%5D%5Bfilter%5D%5B0%5D%5Bverdi%5D=&amp;hva%5B0%5D%5Bid%5D=144/når:2016-07-05", "Vegkart")</f>
        <v>Vegkart</v>
      </c>
      <c r="B4269">
        <v>712225406</v>
      </c>
      <c r="C4269">
        <v>144</v>
      </c>
      <c r="D4269" t="s">
        <v>13345</v>
      </c>
      <c r="E4269">
        <v>4820</v>
      </c>
      <c r="F4269" t="s">
        <v>23479</v>
      </c>
      <c r="G4269">
        <v>1</v>
      </c>
      <c r="H4269" t="s">
        <v>14280</v>
      </c>
      <c r="J4269" t="s">
        <v>14163</v>
      </c>
      <c r="K4269" t="s">
        <v>192</v>
      </c>
      <c r="L4269" t="s">
        <v>33</v>
      </c>
      <c r="M4269" t="s">
        <v>1419</v>
      </c>
      <c r="N4269" t="s">
        <v>14341</v>
      </c>
      <c r="O4269" t="s">
        <v>14342</v>
      </c>
      <c r="P4269" s="2" t="s">
        <v>37</v>
      </c>
      <c r="Q4269" t="s">
        <v>1208</v>
      </c>
      <c r="R4269">
        <v>9.39</v>
      </c>
      <c r="S4269">
        <v>62.32</v>
      </c>
      <c r="T4269" t="s">
        <v>14343</v>
      </c>
    </row>
    <row r="4270" spans="1:20" x14ac:dyDescent="0.25">
      <c r="A4270" s="1" t="str">
        <f>HYPERLINK("https://vegkart.atlas.vegvesen.no/#/@266706.3,7031666.7,18/hva:hva%5B0%5D%5Bfilter%5D%5B0%5D%5Boperator%5D=%21%3D&amp;hva%5B0%5D%5Bfilter%5D%5B0%5D%5Btype_id%5D=4820&amp;hva%5B0%5D%5Bfilter%5D%5B0%5D%5Bverdi%5D=&amp;hva%5B0%5D%5Bid%5D=144/når:2016-07-05", "Vegkart")</f>
        <v>Vegkart</v>
      </c>
      <c r="B4270">
        <v>712225407</v>
      </c>
      <c r="C4270">
        <v>144</v>
      </c>
      <c r="D4270" t="s">
        <v>13345</v>
      </c>
      <c r="E4270">
        <v>4820</v>
      </c>
      <c r="F4270" t="s">
        <v>23479</v>
      </c>
      <c r="G4270">
        <v>1</v>
      </c>
      <c r="H4270" t="s">
        <v>14280</v>
      </c>
      <c r="J4270" t="s">
        <v>14163</v>
      </c>
      <c r="K4270" t="s">
        <v>192</v>
      </c>
      <c r="L4270" t="s">
        <v>33</v>
      </c>
      <c r="M4270" t="s">
        <v>1419</v>
      </c>
      <c r="N4270" t="s">
        <v>14344</v>
      </c>
      <c r="O4270" t="s">
        <v>14345</v>
      </c>
      <c r="P4270" s="2" t="s">
        <v>37</v>
      </c>
      <c r="Q4270" t="s">
        <v>1208</v>
      </c>
      <c r="R4270">
        <v>14.36</v>
      </c>
      <c r="S4270">
        <v>28.86</v>
      </c>
      <c r="T4270" t="s">
        <v>14346</v>
      </c>
    </row>
    <row r="4271" spans="1:20" x14ac:dyDescent="0.25">
      <c r="A4271" s="1" t="str">
        <f>HYPERLINK("https://vegkart.atlas.vegvesen.no/#/@266675.8,7031660.0,18/hva:hva%5B0%5D%5Bfilter%5D%5B0%5D%5Boperator%5D=%21%3D&amp;hva%5B0%5D%5Bfilter%5D%5B0%5D%5Btype_id%5D=4820&amp;hva%5B0%5D%5Bfilter%5D%5B0%5D%5Bverdi%5D=&amp;hva%5B0%5D%5Bid%5D=144/når:2016-07-05", "Vegkart")</f>
        <v>Vegkart</v>
      </c>
      <c r="B4271">
        <v>712225408</v>
      </c>
      <c r="C4271">
        <v>144</v>
      </c>
      <c r="D4271" t="s">
        <v>13345</v>
      </c>
      <c r="E4271">
        <v>4820</v>
      </c>
      <c r="F4271" t="s">
        <v>23479</v>
      </c>
      <c r="G4271">
        <v>1</v>
      </c>
      <c r="H4271" t="s">
        <v>14280</v>
      </c>
      <c r="J4271" t="s">
        <v>14163</v>
      </c>
      <c r="K4271" t="s">
        <v>192</v>
      </c>
      <c r="L4271" t="s">
        <v>33</v>
      </c>
      <c r="M4271" t="s">
        <v>1419</v>
      </c>
      <c r="N4271" t="s">
        <v>14347</v>
      </c>
      <c r="O4271" t="s">
        <v>14348</v>
      </c>
      <c r="P4271" s="2" t="s">
        <v>67</v>
      </c>
      <c r="Q4271" t="s">
        <v>68</v>
      </c>
      <c r="R4271">
        <v>53.34</v>
      </c>
      <c r="S4271">
        <v>57.15</v>
      </c>
      <c r="T4271" t="s">
        <v>14349</v>
      </c>
    </row>
    <row r="4272" spans="1:20" x14ac:dyDescent="0.25">
      <c r="A4272" s="1" t="str">
        <f>HYPERLINK("https://vegkart.atlas.vegvesen.no/#/@266633.1,7031616.3,18/hva:hva%5B0%5D%5Bfilter%5D%5B0%5D%5Boperator%5D=%21%3D&amp;hva%5B0%5D%5Bfilter%5D%5B0%5D%5Btype_id%5D=4820&amp;hva%5B0%5D%5Bfilter%5D%5B0%5D%5Bverdi%5D=&amp;hva%5B0%5D%5Bid%5D=144/når:2016-07-05", "Vegkart")</f>
        <v>Vegkart</v>
      </c>
      <c r="B4272">
        <v>712225409</v>
      </c>
      <c r="C4272">
        <v>144</v>
      </c>
      <c r="D4272" t="s">
        <v>13345</v>
      </c>
      <c r="E4272">
        <v>4820</v>
      </c>
      <c r="F4272" t="s">
        <v>23479</v>
      </c>
      <c r="G4272">
        <v>1</v>
      </c>
      <c r="H4272" t="s">
        <v>14280</v>
      </c>
      <c r="J4272" t="s">
        <v>14163</v>
      </c>
      <c r="K4272" t="s">
        <v>192</v>
      </c>
      <c r="L4272" t="s">
        <v>33</v>
      </c>
      <c r="M4272" t="s">
        <v>1419</v>
      </c>
      <c r="N4272" t="s">
        <v>14350</v>
      </c>
      <c r="O4272" t="s">
        <v>14351</v>
      </c>
      <c r="P4272" s="2" t="s">
        <v>67</v>
      </c>
      <c r="Q4272" t="s">
        <v>68</v>
      </c>
      <c r="R4272">
        <v>66.91</v>
      </c>
      <c r="S4272">
        <v>69.77</v>
      </c>
      <c r="T4272" t="s">
        <v>14352</v>
      </c>
    </row>
    <row r="4273" spans="1:20" x14ac:dyDescent="0.25">
      <c r="A4273" s="1" t="str">
        <f>HYPERLINK("https://vegkart.atlas.vegvesen.no/#/@266612.3,7031581.0,18/hva:hva%5B0%5D%5Bfilter%5D%5B0%5D%5Boperator%5D=%21%3D&amp;hva%5B0%5D%5Bfilter%5D%5B0%5D%5Btype_id%5D=4820&amp;hva%5B0%5D%5Bfilter%5D%5B0%5D%5Bverdi%5D=&amp;hva%5B0%5D%5Bid%5D=144/når:2016-07-05", "Vegkart")</f>
        <v>Vegkart</v>
      </c>
      <c r="B4273">
        <v>712225410</v>
      </c>
      <c r="C4273">
        <v>144</v>
      </c>
      <c r="D4273" t="s">
        <v>13345</v>
      </c>
      <c r="E4273">
        <v>4820</v>
      </c>
      <c r="F4273" t="s">
        <v>23479</v>
      </c>
      <c r="G4273">
        <v>1</v>
      </c>
      <c r="H4273" t="s">
        <v>14280</v>
      </c>
      <c r="J4273" t="s">
        <v>14163</v>
      </c>
      <c r="K4273" t="s">
        <v>192</v>
      </c>
      <c r="L4273" t="s">
        <v>33</v>
      </c>
      <c r="M4273" t="s">
        <v>1419</v>
      </c>
      <c r="N4273" t="s">
        <v>14353</v>
      </c>
      <c r="O4273" t="s">
        <v>14354</v>
      </c>
      <c r="P4273" s="2" t="s">
        <v>67</v>
      </c>
      <c r="Q4273" t="s">
        <v>68</v>
      </c>
      <c r="R4273">
        <v>16.02</v>
      </c>
      <c r="S4273">
        <v>16.02</v>
      </c>
      <c r="T4273" t="s">
        <v>14355</v>
      </c>
    </row>
    <row r="4274" spans="1:20" x14ac:dyDescent="0.25">
      <c r="A4274" s="1" t="str">
        <f>HYPERLINK("https://vegkart.atlas.vegvesen.no/#/@266770.0,7031732.2,18/hva:hva%5B0%5D%5Bfilter%5D%5B0%5D%5Boperator%5D=%21%3D&amp;hva%5B0%5D%5Bfilter%5D%5B0%5D%5Btype_id%5D=4820&amp;hva%5B0%5D%5Bfilter%5D%5B0%5D%5Bverdi%5D=&amp;hva%5B0%5D%5Bid%5D=144/når:2016-07-05", "Vegkart")</f>
        <v>Vegkart</v>
      </c>
      <c r="B4274">
        <v>712225411</v>
      </c>
      <c r="C4274">
        <v>144</v>
      </c>
      <c r="D4274" t="s">
        <v>13345</v>
      </c>
      <c r="E4274">
        <v>4820</v>
      </c>
      <c r="F4274" t="s">
        <v>23479</v>
      </c>
      <c r="G4274">
        <v>1</v>
      </c>
      <c r="H4274" t="s">
        <v>14280</v>
      </c>
      <c r="J4274" t="s">
        <v>14163</v>
      </c>
      <c r="K4274" t="s">
        <v>192</v>
      </c>
      <c r="L4274" t="s">
        <v>33</v>
      </c>
      <c r="M4274" t="s">
        <v>1419</v>
      </c>
      <c r="N4274" t="s">
        <v>14356</v>
      </c>
      <c r="O4274" t="s">
        <v>14357</v>
      </c>
      <c r="P4274" s="2" t="s">
        <v>67</v>
      </c>
      <c r="Q4274" t="s">
        <v>68</v>
      </c>
      <c r="R4274">
        <v>231.92</v>
      </c>
      <c r="S4274">
        <v>242.3</v>
      </c>
      <c r="T4274" t="s">
        <v>14358</v>
      </c>
    </row>
    <row r="4275" spans="1:20" x14ac:dyDescent="0.25">
      <c r="A4275" s="1" t="str">
        <f>HYPERLINK("https://vegkart.atlas.vegvesen.no/#/@266668.8,7031669.9,18/hva:hva%5B0%5D%5Bfilter%5D%5B0%5D%5Boperator%5D=%21%3D&amp;hva%5B0%5D%5Bfilter%5D%5B0%5D%5Btype_id%5D=4820&amp;hva%5B0%5D%5Bfilter%5D%5B0%5D%5Bverdi%5D=&amp;hva%5B0%5D%5Bid%5D=144/når:2016-07-05", "Vegkart")</f>
        <v>Vegkart</v>
      </c>
      <c r="B4275">
        <v>712225412</v>
      </c>
      <c r="C4275">
        <v>144</v>
      </c>
      <c r="D4275" t="s">
        <v>13345</v>
      </c>
      <c r="E4275">
        <v>4820</v>
      </c>
      <c r="F4275" t="s">
        <v>23479</v>
      </c>
      <c r="G4275">
        <v>1</v>
      </c>
      <c r="H4275" t="s">
        <v>14280</v>
      </c>
      <c r="J4275" t="s">
        <v>14163</v>
      </c>
      <c r="K4275" t="s">
        <v>192</v>
      </c>
      <c r="L4275" t="s">
        <v>33</v>
      </c>
      <c r="M4275" t="s">
        <v>1419</v>
      </c>
      <c r="N4275" t="s">
        <v>14359</v>
      </c>
      <c r="O4275" t="s">
        <v>14360</v>
      </c>
      <c r="P4275" s="2" t="s">
        <v>67</v>
      </c>
      <c r="Q4275" t="s">
        <v>68</v>
      </c>
      <c r="R4275">
        <v>7.17</v>
      </c>
      <c r="S4275">
        <v>7.17</v>
      </c>
      <c r="T4275" t="s">
        <v>14361</v>
      </c>
    </row>
    <row r="4276" spans="1:20" x14ac:dyDescent="0.25">
      <c r="A4276" s="1" t="str">
        <f>HYPERLINK("https://vegkart.atlas.vegvesen.no/#/@266625.1,7031627.9,18/hva:hva%5B0%5D%5Bfilter%5D%5B0%5D%5Boperator%5D=%21%3D&amp;hva%5B0%5D%5Bfilter%5D%5B0%5D%5Btype_id%5D=4820&amp;hva%5B0%5D%5Bfilter%5D%5B0%5D%5Bverdi%5D=&amp;hva%5B0%5D%5Bid%5D=144/når:2016-07-05", "Vegkart")</f>
        <v>Vegkart</v>
      </c>
      <c r="B4276">
        <v>712225413</v>
      </c>
      <c r="C4276">
        <v>144</v>
      </c>
      <c r="D4276" t="s">
        <v>13345</v>
      </c>
      <c r="E4276">
        <v>4820</v>
      </c>
      <c r="F4276" t="s">
        <v>23479</v>
      </c>
      <c r="G4276">
        <v>1</v>
      </c>
      <c r="H4276" t="s">
        <v>14280</v>
      </c>
      <c r="J4276" t="s">
        <v>14163</v>
      </c>
      <c r="K4276" t="s">
        <v>192</v>
      </c>
      <c r="L4276" t="s">
        <v>33</v>
      </c>
      <c r="M4276" t="s">
        <v>1419</v>
      </c>
      <c r="N4276" t="s">
        <v>14362</v>
      </c>
      <c r="O4276" t="s">
        <v>14363</v>
      </c>
      <c r="P4276" s="2" t="s">
        <v>67</v>
      </c>
      <c r="Q4276" t="s">
        <v>68</v>
      </c>
      <c r="R4276">
        <v>112.39</v>
      </c>
      <c r="S4276">
        <v>115.74</v>
      </c>
      <c r="T4276" t="s">
        <v>14364</v>
      </c>
    </row>
    <row r="4277" spans="1:20" x14ac:dyDescent="0.25">
      <c r="A4277" s="1" t="str">
        <f>HYPERLINK("https://vegkart.atlas.vegvesen.no/#/@266625.3,7031434.0,18/hva:hva%5B0%5D%5Bfilter%5D%5B0%5D%5Boperator%5D=%21%3D&amp;hva%5B0%5D%5Bfilter%5D%5B0%5D%5Btype_id%5D=4820&amp;hva%5B0%5D%5Bfilter%5D%5B0%5D%5Bverdi%5D=&amp;hva%5B0%5D%5Bid%5D=144/når:2016-07-05", "Vegkart")</f>
        <v>Vegkart</v>
      </c>
      <c r="B4277">
        <v>712225414</v>
      </c>
      <c r="C4277">
        <v>144</v>
      </c>
      <c r="D4277" t="s">
        <v>13345</v>
      </c>
      <c r="E4277">
        <v>4820</v>
      </c>
      <c r="F4277" t="s">
        <v>23479</v>
      </c>
      <c r="G4277">
        <v>1</v>
      </c>
      <c r="H4277" t="s">
        <v>14280</v>
      </c>
      <c r="J4277" t="s">
        <v>14163</v>
      </c>
      <c r="K4277" t="s">
        <v>192</v>
      </c>
      <c r="L4277" t="s">
        <v>33</v>
      </c>
      <c r="M4277" t="s">
        <v>1419</v>
      </c>
      <c r="N4277" t="s">
        <v>14365</v>
      </c>
      <c r="O4277" t="s">
        <v>14366</v>
      </c>
      <c r="P4277" s="2" t="s">
        <v>37</v>
      </c>
      <c r="Q4277" t="s">
        <v>1208</v>
      </c>
      <c r="R4277">
        <v>19.03</v>
      </c>
      <c r="S4277">
        <v>42.16</v>
      </c>
      <c r="T4277" t="s">
        <v>14367</v>
      </c>
    </row>
    <row r="4278" spans="1:20" x14ac:dyDescent="0.25">
      <c r="A4278" s="1" t="str">
        <f>HYPERLINK("https://vegkart.atlas.vegvesen.no/#/@266614.2,7031436.2,18/hva:hva%5B0%5D%5Bfilter%5D%5B0%5D%5Boperator%5D=%21%3D&amp;hva%5B0%5D%5Bfilter%5D%5B0%5D%5Btype_id%5D=4820&amp;hva%5B0%5D%5Bfilter%5D%5B0%5D%5Bverdi%5D=&amp;hva%5B0%5D%5Bid%5D=144/når:2016-07-05", "Vegkart")</f>
        <v>Vegkart</v>
      </c>
      <c r="B4278">
        <v>712225415</v>
      </c>
      <c r="C4278">
        <v>144</v>
      </c>
      <c r="D4278" t="s">
        <v>13345</v>
      </c>
      <c r="E4278">
        <v>4820</v>
      </c>
      <c r="F4278" t="s">
        <v>23479</v>
      </c>
      <c r="G4278">
        <v>1</v>
      </c>
      <c r="H4278" t="s">
        <v>14280</v>
      </c>
      <c r="J4278" t="s">
        <v>14163</v>
      </c>
      <c r="K4278" t="s">
        <v>192</v>
      </c>
      <c r="L4278" t="s">
        <v>33</v>
      </c>
      <c r="M4278" t="s">
        <v>1419</v>
      </c>
      <c r="N4278" t="s">
        <v>14368</v>
      </c>
      <c r="O4278" t="s">
        <v>14369</v>
      </c>
      <c r="P4278" s="2" t="s">
        <v>37</v>
      </c>
      <c r="Q4278" t="s">
        <v>1208</v>
      </c>
      <c r="R4278">
        <v>9.4600000000000009</v>
      </c>
      <c r="S4278">
        <v>10.46</v>
      </c>
      <c r="T4278" t="s">
        <v>14370</v>
      </c>
    </row>
    <row r="4279" spans="1:20" x14ac:dyDescent="0.25">
      <c r="A4279" s="1" t="str">
        <f>HYPERLINK("https://vegkart.atlas.vegvesen.no/#/@266500.7,7031090.9,18/hva:hva%5B0%5D%5Bfilter%5D%5B0%5D%5Boperator%5D=%21%3D&amp;hva%5B0%5D%5Bfilter%5D%5B0%5D%5Btype_id%5D=4820&amp;hva%5B0%5D%5Bfilter%5D%5B0%5D%5Bverdi%5D=&amp;hva%5B0%5D%5Bid%5D=144/når:2016-07-05", "Vegkart")</f>
        <v>Vegkart</v>
      </c>
      <c r="B4279">
        <v>712225417</v>
      </c>
      <c r="C4279">
        <v>144</v>
      </c>
      <c r="D4279" t="s">
        <v>13345</v>
      </c>
      <c r="E4279">
        <v>4820</v>
      </c>
      <c r="F4279" t="s">
        <v>23479</v>
      </c>
      <c r="G4279">
        <v>1</v>
      </c>
      <c r="H4279" t="s">
        <v>14280</v>
      </c>
      <c r="J4279" t="s">
        <v>14163</v>
      </c>
      <c r="K4279" t="s">
        <v>192</v>
      </c>
      <c r="L4279" t="s">
        <v>33</v>
      </c>
      <c r="M4279" t="s">
        <v>1419</v>
      </c>
      <c r="N4279" t="s">
        <v>14371</v>
      </c>
      <c r="O4279" t="s">
        <v>14372</v>
      </c>
      <c r="P4279" s="2" t="s">
        <v>37</v>
      </c>
      <c r="Q4279" t="s">
        <v>1208</v>
      </c>
      <c r="R4279">
        <v>16.440000000000001</v>
      </c>
      <c r="S4279">
        <v>22.92</v>
      </c>
      <c r="T4279" t="s">
        <v>14373</v>
      </c>
    </row>
    <row r="4280" spans="1:20" x14ac:dyDescent="0.25">
      <c r="A4280" s="1" t="str">
        <f>HYPERLINK("https://vegkart.atlas.vegvesen.no/#/@266522.9,7031081.3,18/hva:hva%5B0%5D%5Bfilter%5D%5B0%5D%5Boperator%5D=%21%3D&amp;hva%5B0%5D%5Bfilter%5D%5B0%5D%5Btype_id%5D=4820&amp;hva%5B0%5D%5Bfilter%5D%5B0%5D%5Bverdi%5D=&amp;hva%5B0%5D%5Bid%5D=144/når:2016-07-05", "Vegkart")</f>
        <v>Vegkart</v>
      </c>
      <c r="B4280">
        <v>712225418</v>
      </c>
      <c r="C4280">
        <v>144</v>
      </c>
      <c r="D4280" t="s">
        <v>13345</v>
      </c>
      <c r="E4280">
        <v>4820</v>
      </c>
      <c r="F4280" t="s">
        <v>23479</v>
      </c>
      <c r="G4280">
        <v>1</v>
      </c>
      <c r="H4280" t="s">
        <v>14280</v>
      </c>
      <c r="J4280" t="s">
        <v>14163</v>
      </c>
      <c r="K4280" t="s">
        <v>192</v>
      </c>
      <c r="L4280" t="s">
        <v>33</v>
      </c>
      <c r="M4280" t="s">
        <v>1419</v>
      </c>
      <c r="N4280" t="s">
        <v>14374</v>
      </c>
      <c r="O4280" t="s">
        <v>14375</v>
      </c>
      <c r="P4280" s="2" t="s">
        <v>67</v>
      </c>
      <c r="Q4280" t="s">
        <v>68</v>
      </c>
      <c r="R4280">
        <v>55.28</v>
      </c>
      <c r="S4280">
        <v>68.41</v>
      </c>
      <c r="T4280" t="s">
        <v>14376</v>
      </c>
    </row>
    <row r="4281" spans="1:20" x14ac:dyDescent="0.25">
      <c r="A4281" s="1" t="str">
        <f>HYPERLINK("https://vegkart.atlas.vegvesen.no/#/@266525.9,7031102.2,18/hva:hva%5B0%5D%5Bfilter%5D%5B0%5D%5Boperator%5D=%21%3D&amp;hva%5B0%5D%5Bfilter%5D%5B0%5D%5Btype_id%5D=4820&amp;hva%5B0%5D%5Bfilter%5D%5B0%5D%5Bverdi%5D=&amp;hva%5B0%5D%5Bid%5D=144/når:2016-07-05", "Vegkart")</f>
        <v>Vegkart</v>
      </c>
      <c r="B4281">
        <v>712225419</v>
      </c>
      <c r="C4281">
        <v>144</v>
      </c>
      <c r="D4281" t="s">
        <v>13345</v>
      </c>
      <c r="E4281">
        <v>4820</v>
      </c>
      <c r="F4281" t="s">
        <v>23479</v>
      </c>
      <c r="G4281">
        <v>1</v>
      </c>
      <c r="H4281" t="s">
        <v>14280</v>
      </c>
      <c r="J4281" t="s">
        <v>14163</v>
      </c>
      <c r="K4281" t="s">
        <v>192</v>
      </c>
      <c r="L4281" t="s">
        <v>33</v>
      </c>
      <c r="M4281" t="s">
        <v>1419</v>
      </c>
      <c r="N4281" t="s">
        <v>14377</v>
      </c>
      <c r="O4281" t="s">
        <v>14378</v>
      </c>
      <c r="P4281" s="2" t="s">
        <v>67</v>
      </c>
      <c r="Q4281" t="s">
        <v>68</v>
      </c>
      <c r="R4281">
        <v>36.06</v>
      </c>
      <c r="S4281">
        <v>37.51</v>
      </c>
      <c r="T4281" t="s">
        <v>14379</v>
      </c>
    </row>
    <row r="4282" spans="1:20" x14ac:dyDescent="0.25">
      <c r="A4282" s="1" t="str">
        <f>HYPERLINK("https://vegkart.atlas.vegvesen.no/#/@266574.9,7031134.5,18/hva:hva%5B0%5D%5Bfilter%5D%5B0%5D%5Boperator%5D=%21%3D&amp;hva%5B0%5D%5Bfilter%5D%5B0%5D%5Btype_id%5D=4820&amp;hva%5B0%5D%5Bfilter%5D%5B0%5D%5Bverdi%5D=&amp;hva%5B0%5D%5Bid%5D=144/når:2016-07-05", "Vegkart")</f>
        <v>Vegkart</v>
      </c>
      <c r="B4282">
        <v>712225420</v>
      </c>
      <c r="C4282">
        <v>144</v>
      </c>
      <c r="D4282" t="s">
        <v>13345</v>
      </c>
      <c r="E4282">
        <v>4820</v>
      </c>
      <c r="F4282" t="s">
        <v>23479</v>
      </c>
      <c r="G4282">
        <v>1</v>
      </c>
      <c r="H4282" t="s">
        <v>14280</v>
      </c>
      <c r="J4282" t="s">
        <v>14163</v>
      </c>
      <c r="K4282" t="s">
        <v>192</v>
      </c>
      <c r="L4282" t="s">
        <v>33</v>
      </c>
      <c r="M4282" t="s">
        <v>1419</v>
      </c>
      <c r="N4282" t="s">
        <v>14380</v>
      </c>
      <c r="O4282" t="s">
        <v>14381</v>
      </c>
      <c r="P4282" s="2" t="s">
        <v>67</v>
      </c>
      <c r="Q4282" t="s">
        <v>68</v>
      </c>
      <c r="R4282">
        <v>23.5</v>
      </c>
      <c r="S4282">
        <v>38.75</v>
      </c>
      <c r="T4282" t="s">
        <v>14382</v>
      </c>
    </row>
    <row r="4283" spans="1:20" x14ac:dyDescent="0.25">
      <c r="A4283" s="1" t="str">
        <f>HYPERLINK("https://vegkart.atlas.vegvesen.no/#/@266392.9,7031024.8,18/hva:hva%5B0%5D%5Bfilter%5D%5B0%5D%5Boperator%5D=%21%3D&amp;hva%5B0%5D%5Bfilter%5D%5B0%5D%5Btype_id%5D=4820&amp;hva%5B0%5D%5Bfilter%5D%5B0%5D%5Bverdi%5D=&amp;hva%5B0%5D%5Bid%5D=144/når:2016-07-05", "Vegkart")</f>
        <v>Vegkart</v>
      </c>
      <c r="B4283">
        <v>712225422</v>
      </c>
      <c r="C4283">
        <v>144</v>
      </c>
      <c r="D4283" t="s">
        <v>13345</v>
      </c>
      <c r="E4283">
        <v>4820</v>
      </c>
      <c r="F4283" t="s">
        <v>23479</v>
      </c>
      <c r="G4283">
        <v>1</v>
      </c>
      <c r="H4283" t="s">
        <v>14280</v>
      </c>
      <c r="J4283" t="s">
        <v>14163</v>
      </c>
      <c r="K4283" t="s">
        <v>192</v>
      </c>
      <c r="L4283" t="s">
        <v>33</v>
      </c>
      <c r="M4283" t="s">
        <v>1419</v>
      </c>
      <c r="N4283" t="s">
        <v>14383</v>
      </c>
      <c r="O4283" t="s">
        <v>14384</v>
      </c>
      <c r="P4283" s="2" t="s">
        <v>67</v>
      </c>
      <c r="Q4283" t="s">
        <v>68</v>
      </c>
      <c r="R4283">
        <v>54.5</v>
      </c>
      <c r="S4283">
        <v>57.92</v>
      </c>
      <c r="T4283" t="s">
        <v>14385</v>
      </c>
    </row>
    <row r="4284" spans="1:20" x14ac:dyDescent="0.25">
      <c r="A4284" s="1" t="str">
        <f>HYPERLINK("https://vegkart.atlas.vegvesen.no/#/@266388.3,7031039.1,18/hva:hva%5B0%5D%5Bfilter%5D%5B0%5D%5Boperator%5D=%21%3D&amp;hva%5B0%5D%5Bfilter%5D%5B0%5D%5Btype_id%5D=4820&amp;hva%5B0%5D%5Bfilter%5D%5B0%5D%5Bverdi%5D=&amp;hva%5B0%5D%5Bid%5D=144/når:2016-07-05", "Vegkart")</f>
        <v>Vegkart</v>
      </c>
      <c r="B4284">
        <v>712225423</v>
      </c>
      <c r="C4284">
        <v>144</v>
      </c>
      <c r="D4284" t="s">
        <v>13345</v>
      </c>
      <c r="E4284">
        <v>4820</v>
      </c>
      <c r="F4284" t="s">
        <v>23479</v>
      </c>
      <c r="G4284">
        <v>1</v>
      </c>
      <c r="H4284" t="s">
        <v>14280</v>
      </c>
      <c r="J4284" t="s">
        <v>14163</v>
      </c>
      <c r="K4284" t="s">
        <v>192</v>
      </c>
      <c r="L4284" t="s">
        <v>33</v>
      </c>
      <c r="M4284" t="s">
        <v>1419</v>
      </c>
      <c r="N4284" t="s">
        <v>14386</v>
      </c>
      <c r="O4284" t="s">
        <v>14387</v>
      </c>
      <c r="P4284" s="2" t="s">
        <v>67</v>
      </c>
      <c r="Q4284" t="s">
        <v>68</v>
      </c>
      <c r="R4284">
        <v>56.65</v>
      </c>
      <c r="S4284">
        <v>67.13</v>
      </c>
      <c r="T4284" t="s">
        <v>14388</v>
      </c>
    </row>
    <row r="4285" spans="1:20" x14ac:dyDescent="0.25">
      <c r="A4285" s="1" t="str">
        <f>HYPERLINK("https://vegkart.atlas.vegvesen.no/#/@266583.4,7031119.8,18/hva:hva%5B0%5D%5Bfilter%5D%5B0%5D%5Boperator%5D=%21%3D&amp;hva%5B0%5D%5Bfilter%5D%5B0%5D%5Btype_id%5D=4820&amp;hva%5B0%5D%5Bfilter%5D%5B0%5D%5Bverdi%5D=&amp;hva%5B0%5D%5Bid%5D=144/når:2016-07-05", "Vegkart")</f>
        <v>Vegkart</v>
      </c>
      <c r="B4285">
        <v>712225425</v>
      </c>
      <c r="C4285">
        <v>144</v>
      </c>
      <c r="D4285" t="s">
        <v>13345</v>
      </c>
      <c r="E4285">
        <v>4820</v>
      </c>
      <c r="F4285" t="s">
        <v>23479</v>
      </c>
      <c r="G4285">
        <v>1</v>
      </c>
      <c r="H4285" t="s">
        <v>14280</v>
      </c>
      <c r="J4285" t="s">
        <v>14163</v>
      </c>
      <c r="K4285" t="s">
        <v>192</v>
      </c>
      <c r="L4285" t="s">
        <v>33</v>
      </c>
      <c r="M4285" t="s">
        <v>1419</v>
      </c>
      <c r="N4285" t="s">
        <v>14389</v>
      </c>
      <c r="O4285" t="s">
        <v>14390</v>
      </c>
      <c r="P4285" s="2" t="s">
        <v>37</v>
      </c>
      <c r="Q4285" t="s">
        <v>1208</v>
      </c>
      <c r="R4285">
        <v>19.11</v>
      </c>
      <c r="S4285">
        <v>26.04</v>
      </c>
      <c r="T4285" t="s">
        <v>14391</v>
      </c>
    </row>
    <row r="4286" spans="1:20" x14ac:dyDescent="0.25">
      <c r="A4286" s="1" t="str">
        <f>HYPERLINK("https://vegkart.atlas.vegvesen.no/#/@266561.6,7031393.3,18/hva:hva%5B0%5D%5Bfilter%5D%5B0%5D%5Boperator%5D=%21%3D&amp;hva%5B0%5D%5Bfilter%5D%5B0%5D%5Btype_id%5D=4820&amp;hva%5B0%5D%5Bfilter%5D%5B0%5D%5Bverdi%5D=&amp;hva%5B0%5D%5Bid%5D=144/når:2016-07-05", "Vegkart")</f>
        <v>Vegkart</v>
      </c>
      <c r="B4286">
        <v>712225426</v>
      </c>
      <c r="C4286">
        <v>144</v>
      </c>
      <c r="D4286" t="s">
        <v>13345</v>
      </c>
      <c r="E4286">
        <v>4820</v>
      </c>
      <c r="F4286" t="s">
        <v>23479</v>
      </c>
      <c r="G4286">
        <v>1</v>
      </c>
      <c r="H4286" t="s">
        <v>14280</v>
      </c>
      <c r="J4286" t="s">
        <v>14163</v>
      </c>
      <c r="K4286" t="s">
        <v>192</v>
      </c>
      <c r="L4286" t="s">
        <v>33</v>
      </c>
      <c r="M4286" t="s">
        <v>1419</v>
      </c>
      <c r="N4286" t="s">
        <v>14392</v>
      </c>
      <c r="O4286" t="s">
        <v>14393</v>
      </c>
      <c r="P4286" s="2" t="s">
        <v>37</v>
      </c>
      <c r="Q4286" t="s">
        <v>1208</v>
      </c>
      <c r="R4286">
        <v>1.83</v>
      </c>
      <c r="S4286">
        <v>299.89</v>
      </c>
      <c r="T4286" t="s">
        <v>14394</v>
      </c>
    </row>
    <row r="4287" spans="1:20" x14ac:dyDescent="0.25">
      <c r="A4287" s="1" t="str">
        <f>HYPERLINK("https://vegkart.atlas.vegvesen.no/#/@266483.9,7031358.2,18/hva:hva%5B0%5D%5Bfilter%5D%5B0%5D%5Boperator%5D=%21%3D&amp;hva%5B0%5D%5Bfilter%5D%5B0%5D%5Btype_id%5D=4820&amp;hva%5B0%5D%5Bfilter%5D%5B0%5D%5Bverdi%5D=&amp;hva%5B0%5D%5Bid%5D=144/når:2016-07-05", "Vegkart")</f>
        <v>Vegkart</v>
      </c>
      <c r="B4287">
        <v>712225427</v>
      </c>
      <c r="C4287">
        <v>144</v>
      </c>
      <c r="D4287" t="s">
        <v>13345</v>
      </c>
      <c r="E4287">
        <v>4820</v>
      </c>
      <c r="F4287" t="s">
        <v>23479</v>
      </c>
      <c r="G4287">
        <v>1</v>
      </c>
      <c r="H4287" t="s">
        <v>14280</v>
      </c>
      <c r="J4287" t="s">
        <v>14163</v>
      </c>
      <c r="K4287" t="s">
        <v>192</v>
      </c>
      <c r="L4287" t="s">
        <v>33</v>
      </c>
      <c r="M4287" t="s">
        <v>1419</v>
      </c>
      <c r="N4287" t="s">
        <v>14395</v>
      </c>
      <c r="O4287" t="s">
        <v>14396</v>
      </c>
      <c r="P4287" s="2" t="s">
        <v>67</v>
      </c>
      <c r="Q4287" t="s">
        <v>68</v>
      </c>
      <c r="R4287">
        <v>50.4</v>
      </c>
      <c r="S4287">
        <v>82.26</v>
      </c>
      <c r="T4287" t="s">
        <v>14397</v>
      </c>
    </row>
    <row r="4288" spans="1:20" x14ac:dyDescent="0.25">
      <c r="A4288" s="1" t="str">
        <f>HYPERLINK("https://vegkart.atlas.vegvesen.no/#/@266509.2,7031336.2,18/hva:hva%5B0%5D%5Bfilter%5D%5B0%5D%5Boperator%5D=%21%3D&amp;hva%5B0%5D%5Bfilter%5D%5B0%5D%5Btype_id%5D=4820&amp;hva%5B0%5D%5Bfilter%5D%5B0%5D%5Bverdi%5D=&amp;hva%5B0%5D%5Bid%5D=144/når:2016-07-05", "Vegkart")</f>
        <v>Vegkart</v>
      </c>
      <c r="B4288">
        <v>712225428</v>
      </c>
      <c r="C4288">
        <v>144</v>
      </c>
      <c r="D4288" t="s">
        <v>13345</v>
      </c>
      <c r="E4288">
        <v>4820</v>
      </c>
      <c r="F4288" t="s">
        <v>23479</v>
      </c>
      <c r="G4288">
        <v>1</v>
      </c>
      <c r="H4288" t="s">
        <v>14280</v>
      </c>
      <c r="J4288" t="s">
        <v>14163</v>
      </c>
      <c r="K4288" t="s">
        <v>192</v>
      </c>
      <c r="L4288" t="s">
        <v>33</v>
      </c>
      <c r="M4288" t="s">
        <v>1419</v>
      </c>
      <c r="N4288" t="s">
        <v>14398</v>
      </c>
      <c r="O4288" t="s">
        <v>14399</v>
      </c>
      <c r="P4288" s="2" t="s">
        <v>67</v>
      </c>
      <c r="Q4288" t="s">
        <v>68</v>
      </c>
      <c r="R4288">
        <v>34.619999999999997</v>
      </c>
      <c r="S4288">
        <v>36.72</v>
      </c>
      <c r="T4288" t="s">
        <v>14400</v>
      </c>
    </row>
    <row r="4289" spans="1:20" x14ac:dyDescent="0.25">
      <c r="A4289" s="1" t="str">
        <f>HYPERLINK("https://vegkart.atlas.vegvesen.no/#/@266588.5,7031127.2,18/hva:hva%5B0%5D%5Bfilter%5D%5B0%5D%5Boperator%5D=%21%3D&amp;hva%5B0%5D%5Bfilter%5D%5B0%5D%5Btype_id%5D=4820&amp;hva%5B0%5D%5Bfilter%5D%5B0%5D%5Bverdi%5D=&amp;hva%5B0%5D%5Bid%5D=144/når:2016-07-05", "Vegkart")</f>
        <v>Vegkart</v>
      </c>
      <c r="B4289">
        <v>712225430</v>
      </c>
      <c r="C4289">
        <v>144</v>
      </c>
      <c r="D4289" t="s">
        <v>13345</v>
      </c>
      <c r="E4289">
        <v>4820</v>
      </c>
      <c r="F4289" t="s">
        <v>23479</v>
      </c>
      <c r="G4289">
        <v>1</v>
      </c>
      <c r="H4289" t="s">
        <v>14280</v>
      </c>
      <c r="J4289" t="s">
        <v>14163</v>
      </c>
      <c r="K4289" t="s">
        <v>192</v>
      </c>
      <c r="L4289" t="s">
        <v>33</v>
      </c>
      <c r="M4289" t="s">
        <v>1419</v>
      </c>
      <c r="N4289" t="s">
        <v>14401</v>
      </c>
      <c r="O4289" t="s">
        <v>14402</v>
      </c>
      <c r="P4289" s="2" t="s">
        <v>67</v>
      </c>
      <c r="Q4289" t="s">
        <v>68</v>
      </c>
      <c r="R4289">
        <v>0.27</v>
      </c>
      <c r="S4289">
        <v>0.27</v>
      </c>
      <c r="T4289" t="s">
        <v>14403</v>
      </c>
    </row>
    <row r="4290" spans="1:20" x14ac:dyDescent="0.25">
      <c r="A4290" s="1" t="str">
        <f>HYPERLINK("https://vegkart.atlas.vegvesen.no/#/@266337.6,7030946.3,18/hva:hva%5B0%5D%5Bfilter%5D%5B0%5D%5Boperator%5D=%21%3D&amp;hva%5B0%5D%5Bfilter%5D%5B0%5D%5Btype_id%5D=4820&amp;hva%5B0%5D%5Bfilter%5D%5B0%5D%5Bverdi%5D=&amp;hva%5B0%5D%5Bid%5D=144/når:2016-07-05", "Vegkart")</f>
        <v>Vegkart</v>
      </c>
      <c r="B4290">
        <v>712225439</v>
      </c>
      <c r="C4290">
        <v>144</v>
      </c>
      <c r="D4290" t="s">
        <v>13345</v>
      </c>
      <c r="E4290">
        <v>4820</v>
      </c>
      <c r="F4290" t="s">
        <v>23479</v>
      </c>
      <c r="G4290">
        <v>1</v>
      </c>
      <c r="H4290" t="s">
        <v>14280</v>
      </c>
      <c r="J4290" t="s">
        <v>14163</v>
      </c>
      <c r="K4290" t="s">
        <v>192</v>
      </c>
      <c r="L4290" t="s">
        <v>33</v>
      </c>
      <c r="M4290" t="s">
        <v>1419</v>
      </c>
      <c r="N4290" t="s">
        <v>14404</v>
      </c>
      <c r="O4290" t="s">
        <v>14405</v>
      </c>
      <c r="P4290" s="2" t="s">
        <v>67</v>
      </c>
      <c r="Q4290" t="s">
        <v>68</v>
      </c>
      <c r="R4290">
        <v>0.78</v>
      </c>
      <c r="S4290">
        <v>0.78</v>
      </c>
      <c r="T4290" t="s">
        <v>14406</v>
      </c>
    </row>
    <row r="4291" spans="1:20" x14ac:dyDescent="0.25">
      <c r="A4291" s="1" t="str">
        <f>HYPERLINK("https://vegkart.atlas.vegvesen.no/#/@266509.6,7031105.9,18/hva:hva%5B0%5D%5Bfilter%5D%5B0%5D%5Boperator%5D=%21%3D&amp;hva%5B0%5D%5Bfilter%5D%5B0%5D%5Btype_id%5D=4820&amp;hva%5B0%5D%5Bfilter%5D%5B0%5D%5Bverdi%5D=&amp;hva%5B0%5D%5Bid%5D=144/når:2016-07-05", "Vegkart")</f>
        <v>Vegkart</v>
      </c>
      <c r="B4291">
        <v>712225444</v>
      </c>
      <c r="C4291">
        <v>144</v>
      </c>
      <c r="D4291" t="s">
        <v>13345</v>
      </c>
      <c r="E4291">
        <v>4820</v>
      </c>
      <c r="F4291" t="s">
        <v>23479</v>
      </c>
      <c r="G4291">
        <v>1</v>
      </c>
      <c r="H4291" t="s">
        <v>14280</v>
      </c>
      <c r="J4291" t="s">
        <v>14163</v>
      </c>
      <c r="K4291" t="s">
        <v>192</v>
      </c>
      <c r="L4291" t="s">
        <v>33</v>
      </c>
      <c r="M4291" t="s">
        <v>1419</v>
      </c>
      <c r="N4291" t="s">
        <v>14407</v>
      </c>
      <c r="O4291" t="s">
        <v>14408</v>
      </c>
      <c r="P4291" s="2" t="s">
        <v>67</v>
      </c>
      <c r="Q4291" t="s">
        <v>68</v>
      </c>
      <c r="R4291">
        <v>0.85</v>
      </c>
      <c r="S4291">
        <v>0.85</v>
      </c>
      <c r="T4291" t="s">
        <v>14409</v>
      </c>
    </row>
    <row r="4292" spans="1:20" x14ac:dyDescent="0.25">
      <c r="A4292" s="1" t="str">
        <f>HYPERLINK("https://vegkart.atlas.vegvesen.no/#/@266882.8,7032125.5,18/hva:hva%5B0%5D%5Bfilter%5D%5B0%5D%5Boperator%5D=%21%3D&amp;hva%5B0%5D%5Bfilter%5D%5B0%5D%5Btype_id%5D=4820&amp;hva%5B0%5D%5Bfilter%5D%5B0%5D%5Bverdi%5D=&amp;hva%5B0%5D%5Bid%5D=144/når:2016-07-05", "Vegkart")</f>
        <v>Vegkart</v>
      </c>
      <c r="B4292">
        <v>712225448</v>
      </c>
      <c r="C4292">
        <v>144</v>
      </c>
      <c r="D4292" t="s">
        <v>13345</v>
      </c>
      <c r="E4292">
        <v>4820</v>
      </c>
      <c r="F4292" t="s">
        <v>23479</v>
      </c>
      <c r="G4292">
        <v>1</v>
      </c>
      <c r="H4292" t="s">
        <v>14280</v>
      </c>
      <c r="J4292" t="s">
        <v>14163</v>
      </c>
      <c r="K4292" t="s">
        <v>192</v>
      </c>
      <c r="L4292" t="s">
        <v>33</v>
      </c>
      <c r="M4292" t="s">
        <v>1419</v>
      </c>
      <c r="N4292" t="s">
        <v>14410</v>
      </c>
      <c r="O4292" t="s">
        <v>14411</v>
      </c>
      <c r="P4292" s="2" t="s">
        <v>37</v>
      </c>
      <c r="Q4292" t="s">
        <v>1208</v>
      </c>
      <c r="R4292">
        <v>12.08</v>
      </c>
      <c r="S4292">
        <v>16.78</v>
      </c>
      <c r="T4292" t="s">
        <v>14412</v>
      </c>
    </row>
    <row r="4293" spans="1:20" x14ac:dyDescent="0.25">
      <c r="A4293" s="1" t="str">
        <f>HYPERLINK("https://vegkart.atlas.vegvesen.no/#/@221214.3,6839593.5,18/hva:hva%5B0%5D%5Bfilter%5D%5B0%5D%5Boperator%5D=%21%3D&amp;hva%5B0%5D%5Bfilter%5D%5B0%5D%5Btype_id%5D=4820&amp;hva%5B0%5D%5Bfilter%5D%5B0%5D%5Bverdi%5D=&amp;hva%5B0%5D%5Bid%5D=144/når:2016-07-07", "Vegkart")</f>
        <v>Vegkart</v>
      </c>
      <c r="B4293">
        <v>713574684</v>
      </c>
      <c r="C4293">
        <v>144</v>
      </c>
      <c r="D4293" t="s">
        <v>13345</v>
      </c>
      <c r="E4293">
        <v>4820</v>
      </c>
      <c r="F4293" t="s">
        <v>23479</v>
      </c>
      <c r="G4293">
        <v>1</v>
      </c>
      <c r="H4293" t="s">
        <v>14413</v>
      </c>
      <c r="J4293" t="s">
        <v>14163</v>
      </c>
      <c r="K4293" t="s">
        <v>136</v>
      </c>
      <c r="L4293" t="s">
        <v>80</v>
      </c>
      <c r="M4293" t="s">
        <v>105</v>
      </c>
      <c r="N4293" t="s">
        <v>14414</v>
      </c>
      <c r="O4293" t="s">
        <v>14415</v>
      </c>
      <c r="P4293" s="2" t="s">
        <v>67</v>
      </c>
      <c r="Q4293" t="s">
        <v>68</v>
      </c>
      <c r="R4293">
        <v>36.520000000000003</v>
      </c>
      <c r="S4293">
        <v>36.520000000000003</v>
      </c>
      <c r="T4293" t="s">
        <v>14416</v>
      </c>
    </row>
    <row r="4294" spans="1:20" x14ac:dyDescent="0.25">
      <c r="A4294" s="1" t="str">
        <f>HYPERLINK("https://vegkart.atlas.vegvesen.no/#/@221067.9,6839586.2,18/hva:hva%5B0%5D%5Bfilter%5D%5B0%5D%5Boperator%5D=%21%3D&amp;hva%5B0%5D%5Bfilter%5D%5B0%5D%5Btype_id%5D=4820&amp;hva%5B0%5D%5Bfilter%5D%5B0%5D%5Bverdi%5D=&amp;hva%5B0%5D%5Bid%5D=144/når:2016-07-07", "Vegkart")</f>
        <v>Vegkart</v>
      </c>
      <c r="B4294">
        <v>713574685</v>
      </c>
      <c r="C4294">
        <v>144</v>
      </c>
      <c r="D4294" t="s">
        <v>13345</v>
      </c>
      <c r="E4294">
        <v>4820</v>
      </c>
      <c r="F4294" t="s">
        <v>23479</v>
      </c>
      <c r="G4294">
        <v>1</v>
      </c>
      <c r="H4294" t="s">
        <v>14413</v>
      </c>
      <c r="J4294" t="s">
        <v>14163</v>
      </c>
      <c r="K4294" t="s">
        <v>136</v>
      </c>
      <c r="L4294" t="s">
        <v>80</v>
      </c>
      <c r="M4294" t="s">
        <v>105</v>
      </c>
      <c r="N4294" t="s">
        <v>14417</v>
      </c>
      <c r="O4294" t="s">
        <v>14418</v>
      </c>
      <c r="P4294" s="2" t="s">
        <v>67</v>
      </c>
      <c r="Q4294" t="s">
        <v>68</v>
      </c>
      <c r="R4294">
        <v>15.52</v>
      </c>
      <c r="S4294">
        <v>15.52</v>
      </c>
      <c r="T4294" t="s">
        <v>14419</v>
      </c>
    </row>
    <row r="4295" spans="1:20" x14ac:dyDescent="0.25">
      <c r="A4295" s="1" t="str">
        <f>HYPERLINK("https://vegkart.atlas.vegvesen.no/#/@228916.3,6836615.5,18/hva:hva%5B0%5D%5Bfilter%5D%5B0%5D%5Boperator%5D=%21%3D&amp;hva%5B0%5D%5Bfilter%5D%5B0%5D%5Btype_id%5D=4820&amp;hva%5B0%5D%5Bfilter%5D%5B0%5D%5Bverdi%5D=&amp;hva%5B0%5D%5Bid%5D=144/når:2016-07-07", "Vegkart")</f>
        <v>Vegkart</v>
      </c>
      <c r="B4295">
        <v>713574686</v>
      </c>
      <c r="C4295">
        <v>144</v>
      </c>
      <c r="D4295" t="s">
        <v>13345</v>
      </c>
      <c r="E4295">
        <v>4820</v>
      </c>
      <c r="F4295" t="s">
        <v>23479</v>
      </c>
      <c r="G4295">
        <v>1</v>
      </c>
      <c r="H4295" t="s">
        <v>14413</v>
      </c>
      <c r="J4295" t="s">
        <v>14163</v>
      </c>
      <c r="K4295" t="s">
        <v>136</v>
      </c>
      <c r="L4295" t="s">
        <v>80</v>
      </c>
      <c r="M4295" t="s">
        <v>105</v>
      </c>
      <c r="N4295" t="s">
        <v>14420</v>
      </c>
      <c r="O4295" t="s">
        <v>14421</v>
      </c>
      <c r="P4295" s="2" t="s">
        <v>67</v>
      </c>
      <c r="Q4295" t="s">
        <v>68</v>
      </c>
      <c r="R4295">
        <v>303.11</v>
      </c>
      <c r="S4295">
        <v>310.64</v>
      </c>
      <c r="T4295" t="s">
        <v>14422</v>
      </c>
    </row>
    <row r="4296" spans="1:20" x14ac:dyDescent="0.25">
      <c r="A4296" s="1" t="str">
        <f>HYPERLINK("https://vegkart.atlas.vegvesen.no/#/@226372.0,6837230.0,18/hva:hva%5B0%5D%5Bfilter%5D%5B0%5D%5Boperator%5D=%21%3D&amp;hva%5B0%5D%5Bfilter%5D%5B0%5D%5Btype_id%5D=4820&amp;hva%5B0%5D%5Bfilter%5D%5B0%5D%5Bverdi%5D=&amp;hva%5B0%5D%5Bid%5D=144/når:2016-07-07", "Vegkart")</f>
        <v>Vegkart</v>
      </c>
      <c r="B4296">
        <v>713574687</v>
      </c>
      <c r="C4296">
        <v>144</v>
      </c>
      <c r="D4296" t="s">
        <v>13345</v>
      </c>
      <c r="E4296">
        <v>4820</v>
      </c>
      <c r="F4296" t="s">
        <v>23479</v>
      </c>
      <c r="G4296">
        <v>1</v>
      </c>
      <c r="H4296" t="s">
        <v>14413</v>
      </c>
      <c r="J4296" t="s">
        <v>14163</v>
      </c>
      <c r="K4296" t="s">
        <v>136</v>
      </c>
      <c r="L4296" t="s">
        <v>80</v>
      </c>
      <c r="M4296" t="s">
        <v>105</v>
      </c>
      <c r="N4296" t="s">
        <v>14423</v>
      </c>
      <c r="O4296" t="s">
        <v>14424</v>
      </c>
      <c r="P4296" s="2" t="s">
        <v>67</v>
      </c>
      <c r="Q4296" t="s">
        <v>68</v>
      </c>
      <c r="R4296">
        <v>43.15</v>
      </c>
      <c r="S4296">
        <v>43.78</v>
      </c>
      <c r="T4296" t="s">
        <v>14425</v>
      </c>
    </row>
    <row r="4297" spans="1:20" x14ac:dyDescent="0.25">
      <c r="A4297" s="1" t="str">
        <f>HYPERLINK("https://vegkart.atlas.vegvesen.no/#/@226386.7,6837189.9,18/hva:hva%5B0%5D%5Bfilter%5D%5B0%5D%5Boperator%5D=%21%3D&amp;hva%5B0%5D%5Bfilter%5D%5B0%5D%5Btype_id%5D=4820&amp;hva%5B0%5D%5Bfilter%5D%5B0%5D%5Bverdi%5D=&amp;hva%5B0%5D%5Bid%5D=144/når:2016-07-07", "Vegkart")</f>
        <v>Vegkart</v>
      </c>
      <c r="B4297">
        <v>713574688</v>
      </c>
      <c r="C4297">
        <v>144</v>
      </c>
      <c r="D4297" t="s">
        <v>13345</v>
      </c>
      <c r="E4297">
        <v>4820</v>
      </c>
      <c r="F4297" t="s">
        <v>23479</v>
      </c>
      <c r="G4297">
        <v>1</v>
      </c>
      <c r="H4297" t="s">
        <v>14413</v>
      </c>
      <c r="J4297" t="s">
        <v>14163</v>
      </c>
      <c r="K4297" t="s">
        <v>136</v>
      </c>
      <c r="L4297" t="s">
        <v>80</v>
      </c>
      <c r="M4297" t="s">
        <v>105</v>
      </c>
      <c r="N4297" t="s">
        <v>14426</v>
      </c>
      <c r="O4297" t="s">
        <v>14427</v>
      </c>
      <c r="P4297" s="2" t="s">
        <v>67</v>
      </c>
      <c r="Q4297" t="s">
        <v>68</v>
      </c>
      <c r="R4297">
        <v>37.85</v>
      </c>
      <c r="S4297">
        <v>37.950000000000003</v>
      </c>
      <c r="T4297" t="s">
        <v>14428</v>
      </c>
    </row>
    <row r="4298" spans="1:20" x14ac:dyDescent="0.25">
      <c r="A4298" s="1" t="str">
        <f>HYPERLINK("https://vegkart.atlas.vegvesen.no/#/@225349.1,6837925.2,18/hva:hva%5B0%5D%5Bfilter%5D%5B0%5D%5Boperator%5D=%21%3D&amp;hva%5B0%5D%5Bfilter%5D%5B0%5D%5Btype_id%5D=4820&amp;hva%5B0%5D%5Bfilter%5D%5B0%5D%5Bverdi%5D=&amp;hva%5B0%5D%5Bid%5D=144/når:2016-07-07", "Vegkart")</f>
        <v>Vegkart</v>
      </c>
      <c r="B4298">
        <v>713574689</v>
      </c>
      <c r="C4298">
        <v>144</v>
      </c>
      <c r="D4298" t="s">
        <v>13345</v>
      </c>
      <c r="E4298">
        <v>4820</v>
      </c>
      <c r="F4298" t="s">
        <v>23479</v>
      </c>
      <c r="G4298">
        <v>1</v>
      </c>
      <c r="H4298" t="s">
        <v>14413</v>
      </c>
      <c r="J4298" t="s">
        <v>14163</v>
      </c>
      <c r="K4298" t="s">
        <v>136</v>
      </c>
      <c r="L4298" t="s">
        <v>80</v>
      </c>
      <c r="M4298" t="s">
        <v>105</v>
      </c>
      <c r="N4298" t="s">
        <v>14429</v>
      </c>
      <c r="O4298" t="s">
        <v>14430</v>
      </c>
      <c r="P4298" s="2" t="s">
        <v>67</v>
      </c>
      <c r="Q4298" t="s">
        <v>68</v>
      </c>
      <c r="R4298">
        <v>50.9</v>
      </c>
      <c r="S4298">
        <v>54.66</v>
      </c>
      <c r="T4298" t="s">
        <v>14431</v>
      </c>
    </row>
    <row r="4299" spans="1:20" x14ac:dyDescent="0.25">
      <c r="A4299" s="1" t="str">
        <f>HYPERLINK("https://vegkart.atlas.vegvesen.no/#/@224575.8,6838054.3,18/hva:hva%5B0%5D%5Bfilter%5D%5B0%5D%5Boperator%5D=%21%3D&amp;hva%5B0%5D%5Bfilter%5D%5B0%5D%5Btype_id%5D=4820&amp;hva%5B0%5D%5Bfilter%5D%5B0%5D%5Bverdi%5D=&amp;hva%5B0%5D%5Bid%5D=144/når:2016-07-07", "Vegkart")</f>
        <v>Vegkart</v>
      </c>
      <c r="B4299">
        <v>713574690</v>
      </c>
      <c r="C4299">
        <v>144</v>
      </c>
      <c r="D4299" t="s">
        <v>13345</v>
      </c>
      <c r="E4299">
        <v>4820</v>
      </c>
      <c r="F4299" t="s">
        <v>23479</v>
      </c>
      <c r="G4299">
        <v>1</v>
      </c>
      <c r="H4299" t="s">
        <v>14413</v>
      </c>
      <c r="J4299" t="s">
        <v>14163</v>
      </c>
      <c r="K4299" t="s">
        <v>136</v>
      </c>
      <c r="L4299" t="s">
        <v>80</v>
      </c>
      <c r="M4299" t="s">
        <v>105</v>
      </c>
      <c r="N4299" t="s">
        <v>14432</v>
      </c>
      <c r="O4299" t="s">
        <v>14433</v>
      </c>
      <c r="P4299" s="2" t="s">
        <v>67</v>
      </c>
      <c r="Q4299" t="s">
        <v>68</v>
      </c>
      <c r="R4299">
        <v>144.63</v>
      </c>
      <c r="S4299">
        <v>146.44999999999999</v>
      </c>
      <c r="T4299" t="s">
        <v>14434</v>
      </c>
    </row>
    <row r="4300" spans="1:20" x14ac:dyDescent="0.25">
      <c r="A4300" s="1" t="str">
        <f>HYPERLINK("https://vegkart.atlas.vegvesen.no/#/@225127.0,6837848.1,18/hva:hva%5B0%5D%5Bfilter%5D%5B0%5D%5Boperator%5D=%21%3D&amp;hva%5B0%5D%5Bfilter%5D%5B0%5D%5Btype_id%5D=4820&amp;hva%5B0%5D%5Bfilter%5D%5B0%5D%5Bverdi%5D=&amp;hva%5B0%5D%5Bid%5D=144/når:2016-07-07", "Vegkart")</f>
        <v>Vegkart</v>
      </c>
      <c r="B4300">
        <v>713574691</v>
      </c>
      <c r="C4300">
        <v>144</v>
      </c>
      <c r="D4300" t="s">
        <v>13345</v>
      </c>
      <c r="E4300">
        <v>4820</v>
      </c>
      <c r="F4300" t="s">
        <v>23479</v>
      </c>
      <c r="G4300">
        <v>1</v>
      </c>
      <c r="H4300" t="s">
        <v>14413</v>
      </c>
      <c r="J4300" t="s">
        <v>14163</v>
      </c>
      <c r="K4300" t="s">
        <v>136</v>
      </c>
      <c r="L4300" t="s">
        <v>80</v>
      </c>
      <c r="M4300" t="s">
        <v>105</v>
      </c>
      <c r="N4300" t="s">
        <v>14435</v>
      </c>
      <c r="O4300" t="s">
        <v>14436</v>
      </c>
      <c r="P4300" s="2" t="s">
        <v>67</v>
      </c>
      <c r="Q4300" t="s">
        <v>68</v>
      </c>
      <c r="R4300">
        <v>15.05</v>
      </c>
      <c r="S4300">
        <v>15.06</v>
      </c>
      <c r="T4300" t="s">
        <v>14437</v>
      </c>
    </row>
    <row r="4301" spans="1:20" x14ac:dyDescent="0.25">
      <c r="A4301" s="1" t="str">
        <f>HYPERLINK("https://vegkart.atlas.vegvesen.no/#/@225100.8,6837860.5,18/hva:hva%5B0%5D%5Bfilter%5D%5B0%5D%5Boperator%5D=%21%3D&amp;hva%5B0%5D%5Bfilter%5D%5B0%5D%5Btype_id%5D=4820&amp;hva%5B0%5D%5Bfilter%5D%5B0%5D%5Bverdi%5D=&amp;hva%5B0%5D%5Bid%5D=144/når:2016-07-07", "Vegkart")</f>
        <v>Vegkart</v>
      </c>
      <c r="B4301">
        <v>713574692</v>
      </c>
      <c r="C4301">
        <v>144</v>
      </c>
      <c r="D4301" t="s">
        <v>13345</v>
      </c>
      <c r="E4301">
        <v>4820</v>
      </c>
      <c r="F4301" t="s">
        <v>23479</v>
      </c>
      <c r="G4301">
        <v>1</v>
      </c>
      <c r="H4301" t="s">
        <v>14413</v>
      </c>
      <c r="J4301" t="s">
        <v>14163</v>
      </c>
      <c r="K4301" t="s">
        <v>136</v>
      </c>
      <c r="L4301" t="s">
        <v>80</v>
      </c>
      <c r="M4301" t="s">
        <v>105</v>
      </c>
      <c r="N4301" t="s">
        <v>14438</v>
      </c>
      <c r="O4301" t="s">
        <v>14439</v>
      </c>
      <c r="P4301" s="2" t="s">
        <v>67</v>
      </c>
      <c r="Q4301" t="s">
        <v>68</v>
      </c>
      <c r="R4301">
        <v>20.7</v>
      </c>
      <c r="S4301">
        <v>20.75</v>
      </c>
      <c r="T4301" t="s">
        <v>14440</v>
      </c>
    </row>
    <row r="4302" spans="1:20" x14ac:dyDescent="0.25">
      <c r="A4302" s="1" t="str">
        <f>HYPERLINK("https://vegkart.atlas.vegvesen.no/#/@224941.9,6837838.9,18/hva:hva%5B0%5D%5Bfilter%5D%5B0%5D%5Boperator%5D=%21%3D&amp;hva%5B0%5D%5Bfilter%5D%5B0%5D%5Btype_id%5D=4820&amp;hva%5B0%5D%5Bfilter%5D%5B0%5D%5Bverdi%5D=&amp;hva%5B0%5D%5Bid%5D=144/når:2016-07-07", "Vegkart")</f>
        <v>Vegkart</v>
      </c>
      <c r="B4302">
        <v>713574693</v>
      </c>
      <c r="C4302">
        <v>144</v>
      </c>
      <c r="D4302" t="s">
        <v>13345</v>
      </c>
      <c r="E4302">
        <v>4820</v>
      </c>
      <c r="F4302" t="s">
        <v>23479</v>
      </c>
      <c r="G4302">
        <v>1</v>
      </c>
      <c r="H4302" t="s">
        <v>14413</v>
      </c>
      <c r="J4302" t="s">
        <v>14163</v>
      </c>
      <c r="K4302" t="s">
        <v>136</v>
      </c>
      <c r="L4302" t="s">
        <v>80</v>
      </c>
      <c r="M4302" t="s">
        <v>105</v>
      </c>
      <c r="N4302" t="s">
        <v>14441</v>
      </c>
      <c r="O4302" t="s">
        <v>14442</v>
      </c>
      <c r="P4302" s="2" t="s">
        <v>37</v>
      </c>
      <c r="Q4302" t="s">
        <v>1208</v>
      </c>
      <c r="R4302">
        <v>2.98</v>
      </c>
      <c r="S4302">
        <v>4.22</v>
      </c>
      <c r="T4302" t="s">
        <v>14443</v>
      </c>
    </row>
    <row r="4303" spans="1:20" x14ac:dyDescent="0.25">
      <c r="A4303" s="1" t="str">
        <f>HYPERLINK("https://vegkart.atlas.vegvesen.no/#/@224942.4,6837839.5,18/hva:hva%5B0%5D%5Bfilter%5D%5B0%5D%5Boperator%5D=%21%3D&amp;hva%5B0%5D%5Bfilter%5D%5B0%5D%5Btype_id%5D=4820&amp;hva%5B0%5D%5Bfilter%5D%5B0%5D%5Bverdi%5D=&amp;hva%5B0%5D%5Bid%5D=144/når:2016-07-07", "Vegkart")</f>
        <v>Vegkart</v>
      </c>
      <c r="B4303">
        <v>713574694</v>
      </c>
      <c r="C4303">
        <v>144</v>
      </c>
      <c r="D4303" t="s">
        <v>13345</v>
      </c>
      <c r="E4303">
        <v>4820</v>
      </c>
      <c r="F4303" t="s">
        <v>23479</v>
      </c>
      <c r="G4303">
        <v>1</v>
      </c>
      <c r="H4303" t="s">
        <v>14413</v>
      </c>
      <c r="J4303" t="s">
        <v>14163</v>
      </c>
      <c r="K4303" t="s">
        <v>136</v>
      </c>
      <c r="L4303" t="s">
        <v>80</v>
      </c>
      <c r="M4303" t="s">
        <v>105</v>
      </c>
      <c r="N4303" t="s">
        <v>14444</v>
      </c>
      <c r="O4303" t="s">
        <v>14445</v>
      </c>
      <c r="P4303" s="2" t="s">
        <v>67</v>
      </c>
      <c r="Q4303" t="s">
        <v>68</v>
      </c>
      <c r="R4303">
        <v>6.98</v>
      </c>
      <c r="S4303">
        <v>6.98</v>
      </c>
      <c r="T4303" t="s">
        <v>14446</v>
      </c>
    </row>
    <row r="4304" spans="1:20" x14ac:dyDescent="0.25">
      <c r="A4304" s="1" t="str">
        <f>HYPERLINK("https://vegkart.atlas.vegvesen.no/#/@229155.4,6836805.1,18/hva:hva%5B0%5D%5Bfilter%5D%5B0%5D%5Boperator%5D=%21%3D&amp;hva%5B0%5D%5Bfilter%5D%5B0%5D%5Btype_id%5D=4820&amp;hva%5B0%5D%5Bfilter%5D%5B0%5D%5Bverdi%5D=&amp;hva%5B0%5D%5Bid%5D=144/når:2016-07-07", "Vegkart")</f>
        <v>Vegkart</v>
      </c>
      <c r="B4304">
        <v>713574695</v>
      </c>
      <c r="C4304">
        <v>144</v>
      </c>
      <c r="D4304" t="s">
        <v>13345</v>
      </c>
      <c r="E4304">
        <v>4820</v>
      </c>
      <c r="F4304" t="s">
        <v>23479</v>
      </c>
      <c r="G4304">
        <v>1</v>
      </c>
      <c r="H4304" t="s">
        <v>14413</v>
      </c>
      <c r="J4304" t="s">
        <v>14163</v>
      </c>
      <c r="K4304" t="s">
        <v>136</v>
      </c>
      <c r="L4304" t="s">
        <v>80</v>
      </c>
      <c r="M4304" t="s">
        <v>105</v>
      </c>
      <c r="N4304" t="s">
        <v>14447</v>
      </c>
      <c r="O4304" t="s">
        <v>14448</v>
      </c>
      <c r="P4304" s="2" t="s">
        <v>67</v>
      </c>
      <c r="Q4304" t="s">
        <v>68</v>
      </c>
      <c r="R4304">
        <v>18.329999999999998</v>
      </c>
      <c r="S4304">
        <v>18.8</v>
      </c>
      <c r="T4304" t="s">
        <v>14449</v>
      </c>
    </row>
    <row r="4305" spans="1:20" x14ac:dyDescent="0.25">
      <c r="A4305" s="1" t="str">
        <f>HYPERLINK("https://vegkart.atlas.vegvesen.no/#/@222163.8,6838760.5,18/hva:hva%5B0%5D%5Bfilter%5D%5B0%5D%5Boperator%5D=%21%3D&amp;hva%5B0%5D%5Bfilter%5D%5B0%5D%5Btype_id%5D=4820&amp;hva%5B0%5D%5Bfilter%5D%5B0%5D%5Bverdi%5D=&amp;hva%5B0%5D%5Bid%5D=144/når:2016-07-07", "Vegkart")</f>
        <v>Vegkart</v>
      </c>
      <c r="B4305">
        <v>713574696</v>
      </c>
      <c r="C4305">
        <v>144</v>
      </c>
      <c r="D4305" t="s">
        <v>13345</v>
      </c>
      <c r="E4305">
        <v>4820</v>
      </c>
      <c r="F4305" t="s">
        <v>23479</v>
      </c>
      <c r="G4305">
        <v>1</v>
      </c>
      <c r="H4305" t="s">
        <v>14413</v>
      </c>
      <c r="J4305" t="s">
        <v>14163</v>
      </c>
      <c r="K4305" t="s">
        <v>136</v>
      </c>
      <c r="L4305" t="s">
        <v>80</v>
      </c>
      <c r="M4305" t="s">
        <v>105</v>
      </c>
      <c r="N4305" t="s">
        <v>14450</v>
      </c>
      <c r="O4305" t="s">
        <v>14451</v>
      </c>
      <c r="P4305" s="2" t="s">
        <v>67</v>
      </c>
      <c r="Q4305" t="s">
        <v>68</v>
      </c>
      <c r="R4305">
        <v>130.62</v>
      </c>
      <c r="S4305">
        <v>134.57</v>
      </c>
      <c r="T4305" t="s">
        <v>14452</v>
      </c>
    </row>
    <row r="4306" spans="1:20" x14ac:dyDescent="0.25">
      <c r="A4306" s="1" t="str">
        <f>HYPERLINK("https://vegkart.atlas.vegvesen.no/#/@222077.3,6838759.1,18/hva:hva%5B0%5D%5Bfilter%5D%5B0%5D%5Boperator%5D=%21%3D&amp;hva%5B0%5D%5Bfilter%5D%5B0%5D%5Btype_id%5D=4820&amp;hva%5B0%5D%5Bfilter%5D%5B0%5D%5Bverdi%5D=&amp;hva%5B0%5D%5Bid%5D=144/når:2016-07-07", "Vegkart")</f>
        <v>Vegkart</v>
      </c>
      <c r="B4306">
        <v>713574697</v>
      </c>
      <c r="C4306">
        <v>144</v>
      </c>
      <c r="D4306" t="s">
        <v>13345</v>
      </c>
      <c r="E4306">
        <v>4820</v>
      </c>
      <c r="F4306" t="s">
        <v>23479</v>
      </c>
      <c r="G4306">
        <v>1</v>
      </c>
      <c r="H4306" t="s">
        <v>14413</v>
      </c>
      <c r="J4306" t="s">
        <v>14163</v>
      </c>
      <c r="K4306" t="s">
        <v>136</v>
      </c>
      <c r="L4306" t="s">
        <v>80</v>
      </c>
      <c r="M4306" t="s">
        <v>105</v>
      </c>
      <c r="N4306" t="s">
        <v>14453</v>
      </c>
      <c r="O4306" t="s">
        <v>14454</v>
      </c>
      <c r="P4306" s="2" t="s">
        <v>67</v>
      </c>
      <c r="Q4306" t="s">
        <v>68</v>
      </c>
      <c r="R4306">
        <v>36.58</v>
      </c>
      <c r="S4306">
        <v>36.58</v>
      </c>
      <c r="T4306" t="s">
        <v>14455</v>
      </c>
    </row>
    <row r="4307" spans="1:20" x14ac:dyDescent="0.25">
      <c r="A4307" s="1" t="str">
        <f>HYPERLINK("https://vegkart.atlas.vegvesen.no/#/@222053.4,6838768.4,18/hva:hva%5B0%5D%5Bfilter%5D%5B0%5D%5Boperator%5D=%21%3D&amp;hva%5B0%5D%5Bfilter%5D%5B0%5D%5Btype_id%5D=4820&amp;hva%5B0%5D%5Bfilter%5D%5B0%5D%5Bverdi%5D=&amp;hva%5B0%5D%5Bid%5D=144/når:2016-07-07", "Vegkart")</f>
        <v>Vegkart</v>
      </c>
      <c r="B4307">
        <v>713574698</v>
      </c>
      <c r="C4307">
        <v>144</v>
      </c>
      <c r="D4307" t="s">
        <v>13345</v>
      </c>
      <c r="E4307">
        <v>4820</v>
      </c>
      <c r="F4307" t="s">
        <v>23479</v>
      </c>
      <c r="G4307">
        <v>1</v>
      </c>
      <c r="H4307" t="s">
        <v>14413</v>
      </c>
      <c r="J4307" t="s">
        <v>14163</v>
      </c>
      <c r="K4307" t="s">
        <v>136</v>
      </c>
      <c r="L4307" t="s">
        <v>80</v>
      </c>
      <c r="M4307" t="s">
        <v>105</v>
      </c>
      <c r="N4307" t="s">
        <v>14456</v>
      </c>
      <c r="O4307" t="s">
        <v>14457</v>
      </c>
      <c r="P4307" s="2" t="s">
        <v>67</v>
      </c>
      <c r="Q4307" t="s">
        <v>68</v>
      </c>
      <c r="R4307">
        <v>20.100000000000001</v>
      </c>
      <c r="S4307">
        <v>20.73</v>
      </c>
      <c r="T4307" t="s">
        <v>14458</v>
      </c>
    </row>
    <row r="4308" spans="1:20" x14ac:dyDescent="0.25">
      <c r="A4308" s="1" t="str">
        <f>HYPERLINK("https://vegkart.atlas.vegvesen.no/#/@229155.3,6836941.2,18/hva:hva%5B0%5D%5Bfilter%5D%5B0%5D%5Boperator%5D=%21%3D&amp;hva%5B0%5D%5Bfilter%5D%5B0%5D%5Btype_id%5D=4820&amp;hva%5B0%5D%5Bfilter%5D%5B0%5D%5Bverdi%5D=&amp;hva%5B0%5D%5Bid%5D=144/når:2016-07-07", "Vegkart")</f>
        <v>Vegkart</v>
      </c>
      <c r="B4308">
        <v>713574699</v>
      </c>
      <c r="C4308">
        <v>144</v>
      </c>
      <c r="D4308" t="s">
        <v>13345</v>
      </c>
      <c r="E4308">
        <v>4820</v>
      </c>
      <c r="F4308" t="s">
        <v>23479</v>
      </c>
      <c r="G4308">
        <v>1</v>
      </c>
      <c r="H4308" t="s">
        <v>14413</v>
      </c>
      <c r="J4308" t="s">
        <v>14163</v>
      </c>
      <c r="K4308" t="s">
        <v>136</v>
      </c>
      <c r="L4308" t="s">
        <v>80</v>
      </c>
      <c r="M4308" t="s">
        <v>105</v>
      </c>
      <c r="N4308" t="s">
        <v>14459</v>
      </c>
      <c r="O4308" t="s">
        <v>14460</v>
      </c>
      <c r="P4308" s="2" t="s">
        <v>67</v>
      </c>
      <c r="Q4308" t="s">
        <v>68</v>
      </c>
      <c r="R4308">
        <v>34.86</v>
      </c>
      <c r="S4308">
        <v>34.93</v>
      </c>
      <c r="T4308" t="s">
        <v>14461</v>
      </c>
    </row>
    <row r="4309" spans="1:20" x14ac:dyDescent="0.25">
      <c r="A4309" s="1" t="str">
        <f>HYPERLINK("https://vegkart.atlas.vegvesen.no/#/@229138.1,6836778.2,18/hva:hva%5B0%5D%5Bfilter%5D%5B0%5D%5Boperator%5D=%21%3D&amp;hva%5B0%5D%5Bfilter%5D%5B0%5D%5Btype_id%5D=4820&amp;hva%5B0%5D%5Bfilter%5D%5B0%5D%5Bverdi%5D=&amp;hva%5B0%5D%5Bid%5D=144/når:2016-07-07", "Vegkart")</f>
        <v>Vegkart</v>
      </c>
      <c r="B4309">
        <v>713574700</v>
      </c>
      <c r="C4309">
        <v>144</v>
      </c>
      <c r="D4309" t="s">
        <v>13345</v>
      </c>
      <c r="E4309">
        <v>4820</v>
      </c>
      <c r="F4309" t="s">
        <v>23479</v>
      </c>
      <c r="G4309">
        <v>1</v>
      </c>
      <c r="H4309" t="s">
        <v>14413</v>
      </c>
      <c r="J4309" t="s">
        <v>14163</v>
      </c>
      <c r="K4309" t="s">
        <v>136</v>
      </c>
      <c r="L4309" t="s">
        <v>80</v>
      </c>
      <c r="M4309" t="s">
        <v>105</v>
      </c>
      <c r="N4309" t="s">
        <v>14462</v>
      </c>
      <c r="O4309" t="s">
        <v>14463</v>
      </c>
      <c r="P4309" s="2" t="s">
        <v>67</v>
      </c>
      <c r="Q4309" t="s">
        <v>68</v>
      </c>
      <c r="R4309">
        <v>50.72</v>
      </c>
      <c r="S4309">
        <v>50.72</v>
      </c>
      <c r="T4309" t="s">
        <v>14464</v>
      </c>
    </row>
    <row r="4310" spans="1:20" x14ac:dyDescent="0.25">
      <c r="A4310" s="1" t="str">
        <f>HYPERLINK("https://vegkart.atlas.vegvesen.no/#/@225140.1,6838310.7,18/hva:hva%5B0%5D%5Bfilter%5D%5B0%5D%5Boperator%5D=%21%3D&amp;hva%5B0%5D%5Bfilter%5D%5B0%5D%5Btype_id%5D=4820&amp;hva%5B0%5D%5Bfilter%5D%5B0%5D%5Bverdi%5D=&amp;hva%5B0%5D%5Bid%5D=144/når:2016-07-07", "Vegkart")</f>
        <v>Vegkart</v>
      </c>
      <c r="B4310">
        <v>713574701</v>
      </c>
      <c r="C4310">
        <v>144</v>
      </c>
      <c r="D4310" t="s">
        <v>13345</v>
      </c>
      <c r="E4310">
        <v>4820</v>
      </c>
      <c r="F4310" t="s">
        <v>23479</v>
      </c>
      <c r="G4310">
        <v>1</v>
      </c>
      <c r="H4310" t="s">
        <v>14413</v>
      </c>
      <c r="J4310" t="s">
        <v>14163</v>
      </c>
      <c r="K4310" t="s">
        <v>136</v>
      </c>
      <c r="L4310" t="s">
        <v>80</v>
      </c>
      <c r="M4310" t="s">
        <v>105</v>
      </c>
      <c r="N4310" t="s">
        <v>14465</v>
      </c>
      <c r="O4310" t="s">
        <v>14466</v>
      </c>
      <c r="P4310" s="2" t="s">
        <v>67</v>
      </c>
      <c r="Q4310" t="s">
        <v>68</v>
      </c>
      <c r="R4310">
        <v>93.88</v>
      </c>
      <c r="S4310">
        <v>98.59</v>
      </c>
      <c r="T4310" t="s">
        <v>14467</v>
      </c>
    </row>
    <row r="4311" spans="1:20" x14ac:dyDescent="0.25">
      <c r="A4311" s="1" t="str">
        <f>HYPERLINK("https://vegkart.atlas.vegvesen.no/#/@225254.9,6838390.7,18/hva:hva%5B0%5D%5Bfilter%5D%5B0%5D%5Boperator%5D=%21%3D&amp;hva%5B0%5D%5Bfilter%5D%5B0%5D%5Btype_id%5D=4820&amp;hva%5B0%5D%5Bfilter%5D%5B0%5D%5Bverdi%5D=&amp;hva%5B0%5D%5Bid%5D=144/når:2016-07-07", "Vegkart")</f>
        <v>Vegkart</v>
      </c>
      <c r="B4311">
        <v>713574702</v>
      </c>
      <c r="C4311">
        <v>144</v>
      </c>
      <c r="D4311" t="s">
        <v>13345</v>
      </c>
      <c r="E4311">
        <v>4820</v>
      </c>
      <c r="F4311" t="s">
        <v>23479</v>
      </c>
      <c r="G4311">
        <v>1</v>
      </c>
      <c r="H4311" t="s">
        <v>14413</v>
      </c>
      <c r="J4311" t="s">
        <v>14163</v>
      </c>
      <c r="K4311" t="s">
        <v>136</v>
      </c>
      <c r="L4311" t="s">
        <v>80</v>
      </c>
      <c r="M4311" t="s">
        <v>105</v>
      </c>
      <c r="N4311" t="s">
        <v>14468</v>
      </c>
      <c r="O4311" t="s">
        <v>14469</v>
      </c>
      <c r="P4311" s="2" t="s">
        <v>67</v>
      </c>
      <c r="Q4311" t="s">
        <v>68</v>
      </c>
      <c r="R4311">
        <v>17.350000000000001</v>
      </c>
      <c r="S4311">
        <v>17.489999999999998</v>
      </c>
      <c r="T4311" t="s">
        <v>14470</v>
      </c>
    </row>
    <row r="4312" spans="1:20" x14ac:dyDescent="0.25">
      <c r="A4312" s="1" t="str">
        <f>HYPERLINK("https://vegkart.atlas.vegvesen.no/#/@224993.1,6838224.8,18/hva:hva%5B0%5D%5Bfilter%5D%5B0%5D%5Boperator%5D=%21%3D&amp;hva%5B0%5D%5Bfilter%5D%5B0%5D%5Btype_id%5D=4820&amp;hva%5B0%5D%5Bfilter%5D%5B0%5D%5Bverdi%5D=&amp;hva%5B0%5D%5Bid%5D=144/når:2016-07-07", "Vegkart")</f>
        <v>Vegkart</v>
      </c>
      <c r="B4312">
        <v>713574703</v>
      </c>
      <c r="C4312">
        <v>144</v>
      </c>
      <c r="D4312" t="s">
        <v>13345</v>
      </c>
      <c r="E4312">
        <v>4820</v>
      </c>
      <c r="F4312" t="s">
        <v>23479</v>
      </c>
      <c r="G4312">
        <v>1</v>
      </c>
      <c r="H4312" t="s">
        <v>14413</v>
      </c>
      <c r="J4312" t="s">
        <v>14163</v>
      </c>
      <c r="K4312" t="s">
        <v>136</v>
      </c>
      <c r="L4312" t="s">
        <v>80</v>
      </c>
      <c r="M4312" t="s">
        <v>105</v>
      </c>
      <c r="N4312" t="s">
        <v>14471</v>
      </c>
      <c r="O4312" t="s">
        <v>14472</v>
      </c>
      <c r="P4312" s="2" t="s">
        <v>67</v>
      </c>
      <c r="Q4312" t="s">
        <v>68</v>
      </c>
      <c r="R4312">
        <v>55.96</v>
      </c>
      <c r="S4312">
        <v>57.56</v>
      </c>
      <c r="T4312" t="s">
        <v>14473</v>
      </c>
    </row>
    <row r="4313" spans="1:20" x14ac:dyDescent="0.25">
      <c r="A4313" s="1" t="str">
        <f>HYPERLINK("https://vegkart.atlas.vegvesen.no/#/@221034.8,6839608.6,18/hva:hva%5B0%5D%5Bfilter%5D%5B0%5D%5Boperator%5D=%21%3D&amp;hva%5B0%5D%5Bfilter%5D%5B0%5D%5Btype_id%5D=4820&amp;hva%5B0%5D%5Bfilter%5D%5B0%5D%5Bverdi%5D=&amp;hva%5B0%5D%5Bid%5D=144/når:2016-07-07", "Vegkart")</f>
        <v>Vegkart</v>
      </c>
      <c r="B4313">
        <v>713574704</v>
      </c>
      <c r="C4313">
        <v>144</v>
      </c>
      <c r="D4313" t="s">
        <v>13345</v>
      </c>
      <c r="E4313">
        <v>4820</v>
      </c>
      <c r="F4313" t="s">
        <v>23479</v>
      </c>
      <c r="G4313">
        <v>1</v>
      </c>
      <c r="H4313" t="s">
        <v>14413</v>
      </c>
      <c r="J4313" t="s">
        <v>14163</v>
      </c>
      <c r="K4313" t="s">
        <v>136</v>
      </c>
      <c r="L4313" t="s">
        <v>80</v>
      </c>
      <c r="M4313" t="s">
        <v>105</v>
      </c>
      <c r="N4313" t="s">
        <v>14474</v>
      </c>
      <c r="O4313" t="s">
        <v>14475</v>
      </c>
      <c r="P4313" s="2" t="s">
        <v>67</v>
      </c>
      <c r="Q4313" t="s">
        <v>68</v>
      </c>
      <c r="R4313">
        <v>47.96</v>
      </c>
      <c r="S4313">
        <v>48.24</v>
      </c>
      <c r="T4313" t="s">
        <v>14476</v>
      </c>
    </row>
    <row r="4314" spans="1:20" x14ac:dyDescent="0.25">
      <c r="A4314" s="1" t="str">
        <f>HYPERLINK("https://vegkart.atlas.vegvesen.no/#/@229199.5,6836830.8,18/hva:hva%5B0%5D%5Bfilter%5D%5B0%5D%5Boperator%5D=%21%3D&amp;hva%5B0%5D%5Bfilter%5D%5B0%5D%5Btype_id%5D=4820&amp;hva%5B0%5D%5Bfilter%5D%5B0%5D%5Bverdi%5D=&amp;hva%5B0%5D%5Bid%5D=144/når:2016-07-07", "Vegkart")</f>
        <v>Vegkart</v>
      </c>
      <c r="B4314">
        <v>713574705</v>
      </c>
      <c r="C4314">
        <v>144</v>
      </c>
      <c r="D4314" t="s">
        <v>13345</v>
      </c>
      <c r="E4314">
        <v>4820</v>
      </c>
      <c r="F4314" t="s">
        <v>23479</v>
      </c>
      <c r="G4314">
        <v>1</v>
      </c>
      <c r="H4314" t="s">
        <v>14413</v>
      </c>
      <c r="J4314" t="s">
        <v>14163</v>
      </c>
      <c r="K4314" t="s">
        <v>136</v>
      </c>
      <c r="L4314" t="s">
        <v>80</v>
      </c>
      <c r="M4314" t="s">
        <v>105</v>
      </c>
      <c r="N4314" t="s">
        <v>14477</v>
      </c>
      <c r="O4314" t="s">
        <v>14478</v>
      </c>
      <c r="P4314" s="2" t="s">
        <v>67</v>
      </c>
      <c r="Q4314" t="s">
        <v>68</v>
      </c>
      <c r="R4314">
        <v>52.31</v>
      </c>
      <c r="S4314">
        <v>52.41</v>
      </c>
      <c r="T4314" t="s">
        <v>14479</v>
      </c>
    </row>
    <row r="4315" spans="1:20" x14ac:dyDescent="0.25">
      <c r="A4315" s="1" t="str">
        <f>HYPERLINK("https://vegkart.atlas.vegvesen.no/#/@222935.1,6838367.9,18/hva:hva%5B0%5D%5Bfilter%5D%5B0%5D%5Boperator%5D=%21%3D&amp;hva%5B0%5D%5Bfilter%5D%5B0%5D%5Btype_id%5D=4820&amp;hva%5B0%5D%5Bfilter%5D%5B0%5D%5Bverdi%5D=&amp;hva%5B0%5D%5Bid%5D=144/når:2016-07-07", "Vegkart")</f>
        <v>Vegkart</v>
      </c>
      <c r="B4315">
        <v>713574706</v>
      </c>
      <c r="C4315">
        <v>144</v>
      </c>
      <c r="D4315" t="s">
        <v>13345</v>
      </c>
      <c r="E4315">
        <v>4820</v>
      </c>
      <c r="F4315" t="s">
        <v>23479</v>
      </c>
      <c r="G4315">
        <v>1</v>
      </c>
      <c r="H4315" t="s">
        <v>14413</v>
      </c>
      <c r="J4315" t="s">
        <v>14163</v>
      </c>
      <c r="K4315" t="s">
        <v>136</v>
      </c>
      <c r="L4315" t="s">
        <v>80</v>
      </c>
      <c r="M4315" t="s">
        <v>105</v>
      </c>
      <c r="N4315" t="s">
        <v>14480</v>
      </c>
      <c r="O4315" t="s">
        <v>14481</v>
      </c>
      <c r="P4315" s="2" t="s">
        <v>67</v>
      </c>
      <c r="Q4315" t="s">
        <v>68</v>
      </c>
      <c r="R4315">
        <v>20.49</v>
      </c>
      <c r="S4315">
        <v>20.53</v>
      </c>
      <c r="T4315" t="s">
        <v>14482</v>
      </c>
    </row>
    <row r="4316" spans="1:20" x14ac:dyDescent="0.25">
      <c r="A4316" s="1" t="str">
        <f>HYPERLINK("https://vegkart.atlas.vegvesen.no/#/@230353.0,6836192.2,18/hva:hva%5B0%5D%5Bfilter%5D%5B0%5D%5Boperator%5D=%21%3D&amp;hva%5B0%5D%5Bfilter%5D%5B0%5D%5Btype_id%5D=4820&amp;hva%5B0%5D%5Bfilter%5D%5B0%5D%5Bverdi%5D=&amp;hva%5B0%5D%5Bid%5D=144/når:2016-07-07", "Vegkart")</f>
        <v>Vegkart</v>
      </c>
      <c r="B4316">
        <v>713574707</v>
      </c>
      <c r="C4316">
        <v>144</v>
      </c>
      <c r="D4316" t="s">
        <v>13345</v>
      </c>
      <c r="E4316">
        <v>4820</v>
      </c>
      <c r="F4316" t="s">
        <v>23479</v>
      </c>
      <c r="G4316">
        <v>1</v>
      </c>
      <c r="H4316" t="s">
        <v>14413</v>
      </c>
      <c r="J4316" t="s">
        <v>14163</v>
      </c>
      <c r="K4316" t="s">
        <v>136</v>
      </c>
      <c r="L4316" t="s">
        <v>80</v>
      </c>
      <c r="M4316" t="s">
        <v>105</v>
      </c>
      <c r="N4316" t="s">
        <v>14483</v>
      </c>
      <c r="O4316" t="s">
        <v>14484</v>
      </c>
      <c r="P4316" s="2" t="s">
        <v>67</v>
      </c>
      <c r="Q4316" t="s">
        <v>68</v>
      </c>
      <c r="R4316">
        <v>60.19</v>
      </c>
      <c r="S4316">
        <v>61.79</v>
      </c>
      <c r="T4316" t="s">
        <v>14485</v>
      </c>
    </row>
    <row r="4317" spans="1:20" x14ac:dyDescent="0.25">
      <c r="A4317" s="1" t="str">
        <f>HYPERLINK("https://vegkart.atlas.vegvesen.no/#/@230329.9,6836218.6,18/hva:hva%5B0%5D%5Bfilter%5D%5B0%5D%5Boperator%5D=%21%3D&amp;hva%5B0%5D%5Bfilter%5D%5B0%5D%5Btype_id%5D=4820&amp;hva%5B0%5D%5Bfilter%5D%5B0%5D%5Bverdi%5D=&amp;hva%5B0%5D%5Bid%5D=144/når:2016-07-07", "Vegkart")</f>
        <v>Vegkart</v>
      </c>
      <c r="B4317">
        <v>713574708</v>
      </c>
      <c r="C4317">
        <v>144</v>
      </c>
      <c r="D4317" t="s">
        <v>13345</v>
      </c>
      <c r="E4317">
        <v>4820</v>
      </c>
      <c r="F4317" t="s">
        <v>23479</v>
      </c>
      <c r="G4317">
        <v>1</v>
      </c>
      <c r="H4317" t="s">
        <v>14413</v>
      </c>
      <c r="J4317" t="s">
        <v>14163</v>
      </c>
      <c r="K4317" t="s">
        <v>136</v>
      </c>
      <c r="L4317" t="s">
        <v>80</v>
      </c>
      <c r="M4317" t="s">
        <v>105</v>
      </c>
      <c r="N4317" t="s">
        <v>14486</v>
      </c>
      <c r="O4317" t="s">
        <v>14487</v>
      </c>
      <c r="P4317" s="2" t="s">
        <v>67</v>
      </c>
      <c r="Q4317" t="s">
        <v>68</v>
      </c>
      <c r="R4317">
        <v>22</v>
      </c>
      <c r="S4317">
        <v>22.05</v>
      </c>
      <c r="T4317" t="s">
        <v>14488</v>
      </c>
    </row>
    <row r="4318" spans="1:20" x14ac:dyDescent="0.25">
      <c r="A4318" s="1" t="str">
        <f>HYPERLINK("https://vegkart.atlas.vegvesen.no/#/@230301.3,6836203.3,18/hva:hva%5B0%5D%5Bfilter%5D%5B0%5D%5Boperator%5D=%21%3D&amp;hva%5B0%5D%5Bfilter%5D%5B0%5D%5Btype_id%5D=4820&amp;hva%5B0%5D%5Bfilter%5D%5B0%5D%5Bverdi%5D=&amp;hva%5B0%5D%5Bid%5D=144/når:2016-07-07", "Vegkart")</f>
        <v>Vegkart</v>
      </c>
      <c r="B4318">
        <v>713574709</v>
      </c>
      <c r="C4318">
        <v>144</v>
      </c>
      <c r="D4318" t="s">
        <v>13345</v>
      </c>
      <c r="E4318">
        <v>4820</v>
      </c>
      <c r="F4318" t="s">
        <v>23479</v>
      </c>
      <c r="G4318">
        <v>1</v>
      </c>
      <c r="H4318" t="s">
        <v>14413</v>
      </c>
      <c r="J4318" t="s">
        <v>14163</v>
      </c>
      <c r="K4318" t="s">
        <v>136</v>
      </c>
      <c r="L4318" t="s">
        <v>80</v>
      </c>
      <c r="M4318" t="s">
        <v>105</v>
      </c>
      <c r="N4318" t="s">
        <v>14489</v>
      </c>
      <c r="O4318" t="s">
        <v>14490</v>
      </c>
      <c r="P4318" s="2" t="s">
        <v>67</v>
      </c>
      <c r="Q4318" t="s">
        <v>68</v>
      </c>
      <c r="R4318">
        <v>44.24</v>
      </c>
      <c r="S4318">
        <v>45.9</v>
      </c>
      <c r="T4318" t="s">
        <v>14491</v>
      </c>
    </row>
    <row r="4319" spans="1:20" x14ac:dyDescent="0.25">
      <c r="A4319" s="1" t="str">
        <f>HYPERLINK("https://vegkart.atlas.vegvesen.no/#/@230780.4,6835884.4,18/hva:hva%5B0%5D%5Bfilter%5D%5B0%5D%5Boperator%5D=%21%3D&amp;hva%5B0%5D%5Bfilter%5D%5B0%5D%5Btype_id%5D=4820&amp;hva%5B0%5D%5Bfilter%5D%5B0%5D%5Bverdi%5D=&amp;hva%5B0%5D%5Bid%5D=144/når:2016-07-07", "Vegkart")</f>
        <v>Vegkart</v>
      </c>
      <c r="B4319">
        <v>713574710</v>
      </c>
      <c r="C4319">
        <v>144</v>
      </c>
      <c r="D4319" t="s">
        <v>13345</v>
      </c>
      <c r="E4319">
        <v>4820</v>
      </c>
      <c r="F4319" t="s">
        <v>23479</v>
      </c>
      <c r="G4319">
        <v>1</v>
      </c>
      <c r="H4319" t="s">
        <v>14413</v>
      </c>
      <c r="J4319" t="s">
        <v>14163</v>
      </c>
      <c r="K4319" t="s">
        <v>136</v>
      </c>
      <c r="L4319" t="s">
        <v>80</v>
      </c>
      <c r="M4319" t="s">
        <v>105</v>
      </c>
      <c r="N4319" t="s">
        <v>14492</v>
      </c>
      <c r="O4319" t="s">
        <v>14493</v>
      </c>
      <c r="P4319" s="2" t="s">
        <v>67</v>
      </c>
      <c r="Q4319" t="s">
        <v>68</v>
      </c>
      <c r="R4319">
        <v>35.229999999999997</v>
      </c>
      <c r="S4319">
        <v>35.83</v>
      </c>
      <c r="T4319" t="s">
        <v>14494</v>
      </c>
    </row>
    <row r="4320" spans="1:20" x14ac:dyDescent="0.25">
      <c r="A4320" s="1" t="str">
        <f>HYPERLINK("https://vegkart.atlas.vegvesen.no/#/@230764.2,6835836.0,18/hva:hva%5B0%5D%5Bfilter%5D%5B0%5D%5Boperator%5D=%21%3D&amp;hva%5B0%5D%5Bfilter%5D%5B0%5D%5Btype_id%5D=4820&amp;hva%5B0%5D%5Bfilter%5D%5B0%5D%5Bverdi%5D=&amp;hva%5B0%5D%5Bid%5D=144/når:2016-07-07", "Vegkart")</f>
        <v>Vegkart</v>
      </c>
      <c r="B4320">
        <v>713574711</v>
      </c>
      <c r="C4320">
        <v>144</v>
      </c>
      <c r="D4320" t="s">
        <v>13345</v>
      </c>
      <c r="E4320">
        <v>4820</v>
      </c>
      <c r="F4320" t="s">
        <v>23479</v>
      </c>
      <c r="G4320">
        <v>1</v>
      </c>
      <c r="H4320" t="s">
        <v>14413</v>
      </c>
      <c r="J4320" t="s">
        <v>14163</v>
      </c>
      <c r="K4320" t="s">
        <v>136</v>
      </c>
      <c r="L4320" t="s">
        <v>80</v>
      </c>
      <c r="M4320" t="s">
        <v>105</v>
      </c>
      <c r="N4320" t="s">
        <v>14495</v>
      </c>
      <c r="O4320" t="s">
        <v>14496</v>
      </c>
      <c r="P4320" s="2" t="s">
        <v>67</v>
      </c>
      <c r="Q4320" t="s">
        <v>68</v>
      </c>
      <c r="R4320">
        <v>24.98</v>
      </c>
      <c r="S4320">
        <v>25.88</v>
      </c>
      <c r="T4320" t="s">
        <v>14497</v>
      </c>
    </row>
    <row r="4321" spans="1:20" x14ac:dyDescent="0.25">
      <c r="A4321" s="1" t="str">
        <f>HYPERLINK("https://vegkart.atlas.vegvesen.no/#/@224945.1,6838140.3,18/hva:hva%5B0%5D%5Bfilter%5D%5B0%5D%5Boperator%5D=%21%3D&amp;hva%5B0%5D%5Bfilter%5D%5B0%5D%5Btype_id%5D=4820&amp;hva%5B0%5D%5Bfilter%5D%5B0%5D%5Bverdi%5D=&amp;hva%5B0%5D%5Bid%5D=144/når:2016-07-07", "Vegkart")</f>
        <v>Vegkart</v>
      </c>
      <c r="B4321">
        <v>713574712</v>
      </c>
      <c r="C4321">
        <v>144</v>
      </c>
      <c r="D4321" t="s">
        <v>13345</v>
      </c>
      <c r="E4321">
        <v>4820</v>
      </c>
      <c r="F4321" t="s">
        <v>23479</v>
      </c>
      <c r="G4321">
        <v>1</v>
      </c>
      <c r="H4321" t="s">
        <v>14413</v>
      </c>
      <c r="J4321" t="s">
        <v>14163</v>
      </c>
      <c r="K4321" t="s">
        <v>136</v>
      </c>
      <c r="L4321" t="s">
        <v>80</v>
      </c>
      <c r="M4321" t="s">
        <v>105</v>
      </c>
      <c r="N4321" t="s">
        <v>14498</v>
      </c>
      <c r="O4321" t="s">
        <v>14499</v>
      </c>
      <c r="P4321" s="2" t="s">
        <v>67</v>
      </c>
      <c r="Q4321" t="s">
        <v>68</v>
      </c>
      <c r="R4321">
        <v>44.48</v>
      </c>
      <c r="S4321">
        <v>54.71</v>
      </c>
      <c r="T4321" t="s">
        <v>14500</v>
      </c>
    </row>
    <row r="4322" spans="1:20" x14ac:dyDescent="0.25">
      <c r="A4322" s="1" t="str">
        <f>HYPERLINK("https://vegkart.atlas.vegvesen.no/#/@229167.7,6836857.7,18/hva:hva%5B0%5D%5Bfilter%5D%5B0%5D%5Boperator%5D=%21%3D&amp;hva%5B0%5D%5Bfilter%5D%5B0%5D%5Btype_id%5D=4820&amp;hva%5B0%5D%5Bfilter%5D%5B0%5D%5Bverdi%5D=&amp;hva%5B0%5D%5Bid%5D=144/når:2016-07-07", "Vegkart")</f>
        <v>Vegkart</v>
      </c>
      <c r="B4322">
        <v>713574713</v>
      </c>
      <c r="C4322">
        <v>144</v>
      </c>
      <c r="D4322" t="s">
        <v>13345</v>
      </c>
      <c r="E4322">
        <v>4820</v>
      </c>
      <c r="F4322" t="s">
        <v>23479</v>
      </c>
      <c r="G4322">
        <v>1</v>
      </c>
      <c r="H4322" t="s">
        <v>14413</v>
      </c>
      <c r="J4322" t="s">
        <v>14163</v>
      </c>
      <c r="K4322" t="s">
        <v>136</v>
      </c>
      <c r="L4322" t="s">
        <v>80</v>
      </c>
      <c r="M4322" t="s">
        <v>105</v>
      </c>
      <c r="N4322" t="s">
        <v>14501</v>
      </c>
      <c r="O4322" t="s">
        <v>14502</v>
      </c>
      <c r="P4322" s="2" t="s">
        <v>67</v>
      </c>
      <c r="Q4322" t="s">
        <v>68</v>
      </c>
      <c r="R4322">
        <v>30.4</v>
      </c>
      <c r="S4322">
        <v>30.53</v>
      </c>
      <c r="T4322" t="s">
        <v>14503</v>
      </c>
    </row>
    <row r="4323" spans="1:20" x14ac:dyDescent="0.25">
      <c r="A4323" s="1" t="str">
        <f>HYPERLINK("https://vegkart.atlas.vegvesen.no/#/@230307.8,6836223.9,18/hva:hva%5B0%5D%5Bfilter%5D%5B0%5D%5Boperator%5D=%21%3D&amp;hva%5B0%5D%5Bfilter%5D%5B0%5D%5Btype_id%5D=4820&amp;hva%5B0%5D%5Bfilter%5D%5B0%5D%5Bverdi%5D=&amp;hva%5B0%5D%5Bid%5D=144/når:2016-07-07", "Vegkart")</f>
        <v>Vegkart</v>
      </c>
      <c r="B4323">
        <v>713574714</v>
      </c>
      <c r="C4323">
        <v>144</v>
      </c>
      <c r="D4323" t="s">
        <v>13345</v>
      </c>
      <c r="E4323">
        <v>4820</v>
      </c>
      <c r="F4323" t="s">
        <v>23479</v>
      </c>
      <c r="G4323">
        <v>1</v>
      </c>
      <c r="H4323" t="s">
        <v>14413</v>
      </c>
      <c r="J4323" t="s">
        <v>14163</v>
      </c>
      <c r="K4323" t="s">
        <v>136</v>
      </c>
      <c r="L4323" t="s">
        <v>80</v>
      </c>
      <c r="M4323" t="s">
        <v>105</v>
      </c>
      <c r="N4323" t="s">
        <v>14504</v>
      </c>
      <c r="O4323" t="s">
        <v>14505</v>
      </c>
      <c r="P4323" s="2" t="s">
        <v>67</v>
      </c>
      <c r="Q4323" t="s">
        <v>68</v>
      </c>
      <c r="R4323">
        <v>31.74</v>
      </c>
      <c r="S4323">
        <v>31.85</v>
      </c>
      <c r="T4323" t="s">
        <v>14506</v>
      </c>
    </row>
    <row r="4324" spans="1:20" x14ac:dyDescent="0.25">
      <c r="A4324" s="1" t="str">
        <f>HYPERLINK("https://vegkart.atlas.vegvesen.no/#/@229139.7,6836964.5,18/hva:hva%5B0%5D%5Bfilter%5D%5B0%5D%5Boperator%5D=%21%3D&amp;hva%5B0%5D%5Bfilter%5D%5B0%5D%5Btype_id%5D=4820&amp;hva%5B0%5D%5Bfilter%5D%5B0%5D%5Bverdi%5D=&amp;hva%5B0%5D%5Bid%5D=144/når:2016-07-07", "Vegkart")</f>
        <v>Vegkart</v>
      </c>
      <c r="B4324">
        <v>713574715</v>
      </c>
      <c r="C4324">
        <v>144</v>
      </c>
      <c r="D4324" t="s">
        <v>13345</v>
      </c>
      <c r="E4324">
        <v>4820</v>
      </c>
      <c r="F4324" t="s">
        <v>23479</v>
      </c>
      <c r="G4324">
        <v>1</v>
      </c>
      <c r="H4324" t="s">
        <v>14413</v>
      </c>
      <c r="J4324" t="s">
        <v>14163</v>
      </c>
      <c r="K4324" t="s">
        <v>136</v>
      </c>
      <c r="L4324" t="s">
        <v>80</v>
      </c>
      <c r="M4324" t="s">
        <v>105</v>
      </c>
      <c r="N4324" t="s">
        <v>14507</v>
      </c>
      <c r="O4324" t="s">
        <v>14508</v>
      </c>
      <c r="P4324" s="2" t="s">
        <v>67</v>
      </c>
      <c r="Q4324" t="s">
        <v>68</v>
      </c>
      <c r="R4324">
        <v>23.74</v>
      </c>
      <c r="S4324">
        <v>24.14</v>
      </c>
      <c r="T4324" t="s">
        <v>14509</v>
      </c>
    </row>
    <row r="4325" spans="1:20" x14ac:dyDescent="0.25">
      <c r="A4325" s="1" t="str">
        <f>HYPERLINK("https://vegkart.atlas.vegvesen.no/#/@230513.9,6836192.5,18/hva:hva%5B0%5D%5Bfilter%5D%5B0%5D%5Boperator%5D=%21%3D&amp;hva%5B0%5D%5Bfilter%5D%5B0%5D%5Btype_id%5D=4820&amp;hva%5B0%5D%5Bfilter%5D%5B0%5D%5Bverdi%5D=&amp;hva%5B0%5D%5Bid%5D=144/når:2016-07-07", "Vegkart")</f>
        <v>Vegkart</v>
      </c>
      <c r="B4325">
        <v>713574716</v>
      </c>
      <c r="C4325">
        <v>144</v>
      </c>
      <c r="D4325" t="s">
        <v>13345</v>
      </c>
      <c r="E4325">
        <v>4820</v>
      </c>
      <c r="F4325" t="s">
        <v>23479</v>
      </c>
      <c r="G4325">
        <v>1</v>
      </c>
      <c r="H4325" t="s">
        <v>14413</v>
      </c>
      <c r="J4325" t="s">
        <v>14163</v>
      </c>
      <c r="K4325" t="s">
        <v>136</v>
      </c>
      <c r="L4325" t="s">
        <v>80</v>
      </c>
      <c r="M4325" t="s">
        <v>105</v>
      </c>
      <c r="N4325" t="s">
        <v>14510</v>
      </c>
      <c r="O4325" t="s">
        <v>14511</v>
      </c>
      <c r="P4325" s="2" t="s">
        <v>37</v>
      </c>
      <c r="Q4325" t="s">
        <v>1208</v>
      </c>
      <c r="R4325">
        <v>4.84</v>
      </c>
      <c r="S4325">
        <v>5.22</v>
      </c>
      <c r="T4325" t="s">
        <v>14512</v>
      </c>
    </row>
    <row r="4326" spans="1:20" x14ac:dyDescent="0.25">
      <c r="A4326" s="1" t="str">
        <f>HYPERLINK("https://vegkart.atlas.vegvesen.no/#/@230517.4,6836195.2,18/hva:hva%5B0%5D%5Bfilter%5D%5B0%5D%5Boperator%5D=%21%3D&amp;hva%5B0%5D%5Bfilter%5D%5B0%5D%5Btype_id%5D=4820&amp;hva%5B0%5D%5Bfilter%5D%5B0%5D%5Bverdi%5D=&amp;hva%5B0%5D%5Bid%5D=144/når:2016-07-07", "Vegkart")</f>
        <v>Vegkart</v>
      </c>
      <c r="B4326">
        <v>713574717</v>
      </c>
      <c r="C4326">
        <v>144</v>
      </c>
      <c r="D4326" t="s">
        <v>13345</v>
      </c>
      <c r="E4326">
        <v>4820</v>
      </c>
      <c r="F4326" t="s">
        <v>23479</v>
      </c>
      <c r="G4326">
        <v>1</v>
      </c>
      <c r="H4326" t="s">
        <v>14413</v>
      </c>
      <c r="J4326" t="s">
        <v>14163</v>
      </c>
      <c r="K4326" t="s">
        <v>136</v>
      </c>
      <c r="L4326" t="s">
        <v>80</v>
      </c>
      <c r="M4326" t="s">
        <v>105</v>
      </c>
      <c r="N4326" t="s">
        <v>14513</v>
      </c>
      <c r="O4326" t="s">
        <v>14514</v>
      </c>
      <c r="P4326" s="2" t="s">
        <v>67</v>
      </c>
      <c r="Q4326" t="s">
        <v>68</v>
      </c>
      <c r="R4326">
        <v>18.309999999999999</v>
      </c>
      <c r="S4326">
        <v>18.61</v>
      </c>
      <c r="T4326" t="s">
        <v>14515</v>
      </c>
    </row>
    <row r="4327" spans="1:20" x14ac:dyDescent="0.25">
      <c r="A4327" s="1" t="str">
        <f>HYPERLINK("https://vegkart.atlas.vegvesen.no/#/@230457.2,6836165.1,18/hva:hva%5B0%5D%5Bfilter%5D%5B0%5D%5Boperator%5D=%21%3D&amp;hva%5B0%5D%5Bfilter%5D%5B0%5D%5Btype_id%5D=4820&amp;hva%5B0%5D%5Bfilter%5D%5B0%5D%5Bverdi%5D=&amp;hva%5B0%5D%5Bid%5D=144/når:2016-07-07", "Vegkart")</f>
        <v>Vegkart</v>
      </c>
      <c r="B4327">
        <v>713574718</v>
      </c>
      <c r="C4327">
        <v>144</v>
      </c>
      <c r="D4327" t="s">
        <v>13345</v>
      </c>
      <c r="E4327">
        <v>4820</v>
      </c>
      <c r="F4327" t="s">
        <v>23479</v>
      </c>
      <c r="G4327">
        <v>1</v>
      </c>
      <c r="H4327" t="s">
        <v>14413</v>
      </c>
      <c r="J4327" t="s">
        <v>14163</v>
      </c>
      <c r="K4327" t="s">
        <v>136</v>
      </c>
      <c r="L4327" t="s">
        <v>80</v>
      </c>
      <c r="M4327" t="s">
        <v>105</v>
      </c>
      <c r="N4327" t="s">
        <v>14516</v>
      </c>
      <c r="O4327" t="s">
        <v>14517</v>
      </c>
      <c r="P4327" s="2" t="s">
        <v>67</v>
      </c>
      <c r="Q4327" t="s">
        <v>68</v>
      </c>
      <c r="R4327">
        <v>3.31</v>
      </c>
      <c r="S4327">
        <v>3.31</v>
      </c>
      <c r="T4327" t="s">
        <v>14518</v>
      </c>
    </row>
    <row r="4328" spans="1:20" x14ac:dyDescent="0.25">
      <c r="A4328" s="1" t="str">
        <f>HYPERLINK("https://vegkart.atlas.vegvesen.no/#/@230520.5,6836157.7,18/hva:hva%5B0%5D%5Bfilter%5D%5B0%5D%5Boperator%5D=%21%3D&amp;hva%5B0%5D%5Bfilter%5D%5B0%5D%5Btype_id%5D=4820&amp;hva%5B0%5D%5Bfilter%5D%5B0%5D%5Bverdi%5D=&amp;hva%5B0%5D%5Bid%5D=144/når:2016-07-07", "Vegkart")</f>
        <v>Vegkart</v>
      </c>
      <c r="B4328">
        <v>713574719</v>
      </c>
      <c r="C4328">
        <v>144</v>
      </c>
      <c r="D4328" t="s">
        <v>13345</v>
      </c>
      <c r="E4328">
        <v>4820</v>
      </c>
      <c r="F4328" t="s">
        <v>23479</v>
      </c>
      <c r="G4328">
        <v>1</v>
      </c>
      <c r="H4328" t="s">
        <v>14413</v>
      </c>
      <c r="J4328" t="s">
        <v>14163</v>
      </c>
      <c r="K4328" t="s">
        <v>136</v>
      </c>
      <c r="L4328" t="s">
        <v>80</v>
      </c>
      <c r="M4328" t="s">
        <v>105</v>
      </c>
      <c r="N4328" t="s">
        <v>14519</v>
      </c>
      <c r="O4328" t="s">
        <v>14520</v>
      </c>
      <c r="P4328" s="2" t="s">
        <v>67</v>
      </c>
      <c r="Q4328" t="s">
        <v>68</v>
      </c>
      <c r="R4328">
        <v>36.770000000000003</v>
      </c>
      <c r="S4328">
        <v>36.97</v>
      </c>
      <c r="T4328" t="s">
        <v>14521</v>
      </c>
    </row>
    <row r="4329" spans="1:20" x14ac:dyDescent="0.25">
      <c r="A4329" s="1" t="str">
        <f>HYPERLINK("https://vegkart.atlas.vegvesen.no/#/@223039.0,6838194.8,18/hva:hva%5B0%5D%5Bfilter%5D%5B0%5D%5Boperator%5D=%21%3D&amp;hva%5B0%5D%5Bfilter%5D%5B0%5D%5Btype_id%5D=4820&amp;hva%5B0%5D%5Bfilter%5D%5B0%5D%5Bverdi%5D=&amp;hva%5B0%5D%5Bid%5D=144/når:2016-07-07", "Vegkart")</f>
        <v>Vegkart</v>
      </c>
      <c r="B4329">
        <v>713574720</v>
      </c>
      <c r="C4329">
        <v>144</v>
      </c>
      <c r="D4329" t="s">
        <v>13345</v>
      </c>
      <c r="E4329">
        <v>4820</v>
      </c>
      <c r="F4329" t="s">
        <v>23479</v>
      </c>
      <c r="G4329">
        <v>1</v>
      </c>
      <c r="H4329" t="s">
        <v>14413</v>
      </c>
      <c r="J4329" t="s">
        <v>14163</v>
      </c>
      <c r="K4329" t="s">
        <v>136</v>
      </c>
      <c r="L4329" t="s">
        <v>80</v>
      </c>
      <c r="M4329" t="s">
        <v>105</v>
      </c>
      <c r="N4329" t="s">
        <v>14522</v>
      </c>
      <c r="O4329" t="s">
        <v>14523</v>
      </c>
      <c r="P4329" s="2" t="s">
        <v>67</v>
      </c>
      <c r="Q4329" t="s">
        <v>68</v>
      </c>
      <c r="R4329">
        <v>62.32</v>
      </c>
      <c r="S4329">
        <v>62.45</v>
      </c>
      <c r="T4329" t="s">
        <v>14524</v>
      </c>
    </row>
    <row r="4330" spans="1:20" x14ac:dyDescent="0.25">
      <c r="A4330" s="1" t="str">
        <f>HYPERLINK("https://vegkart.atlas.vegvesen.no/#/@230846.7,6835675.3,18/hva:hva%5B0%5D%5Bfilter%5D%5B0%5D%5Boperator%5D=%21%3D&amp;hva%5B0%5D%5Bfilter%5D%5B0%5D%5Btype_id%5D=4820&amp;hva%5B0%5D%5Bfilter%5D%5B0%5D%5Bverdi%5D=&amp;hva%5B0%5D%5Bid%5D=144/når:2016-07-07", "Vegkart")</f>
        <v>Vegkart</v>
      </c>
      <c r="B4330">
        <v>713574721</v>
      </c>
      <c r="C4330">
        <v>144</v>
      </c>
      <c r="D4330" t="s">
        <v>13345</v>
      </c>
      <c r="E4330">
        <v>4820</v>
      </c>
      <c r="F4330" t="s">
        <v>23479</v>
      </c>
      <c r="G4330">
        <v>1</v>
      </c>
      <c r="H4330" t="s">
        <v>14413</v>
      </c>
      <c r="J4330" t="s">
        <v>14163</v>
      </c>
      <c r="K4330" t="s">
        <v>136</v>
      </c>
      <c r="L4330" t="s">
        <v>80</v>
      </c>
      <c r="M4330" t="s">
        <v>105</v>
      </c>
      <c r="N4330" t="s">
        <v>14525</v>
      </c>
      <c r="O4330" t="s">
        <v>14526</v>
      </c>
      <c r="P4330" s="2" t="s">
        <v>67</v>
      </c>
      <c r="Q4330" t="s">
        <v>68</v>
      </c>
      <c r="R4330">
        <v>29.52</v>
      </c>
      <c r="S4330">
        <v>29.52</v>
      </c>
      <c r="T4330" t="s">
        <v>14527</v>
      </c>
    </row>
    <row r="4331" spans="1:20" x14ac:dyDescent="0.25">
      <c r="A4331" s="1" t="str">
        <f>HYPERLINK("https://vegkart.atlas.vegvesen.no/#/@230873.4,6835638.7,18/hva:hva%5B0%5D%5Bfilter%5D%5B0%5D%5Boperator%5D=%21%3D&amp;hva%5B0%5D%5Bfilter%5D%5B0%5D%5Btype_id%5D=4820&amp;hva%5B0%5D%5Bfilter%5D%5B0%5D%5Bverdi%5D=&amp;hva%5B0%5D%5Bid%5D=144/når:2016-07-07", "Vegkart")</f>
        <v>Vegkart</v>
      </c>
      <c r="B4331">
        <v>713574722</v>
      </c>
      <c r="C4331">
        <v>144</v>
      </c>
      <c r="D4331" t="s">
        <v>13345</v>
      </c>
      <c r="E4331">
        <v>4820</v>
      </c>
      <c r="F4331" t="s">
        <v>23479</v>
      </c>
      <c r="G4331">
        <v>1</v>
      </c>
      <c r="H4331" t="s">
        <v>14413</v>
      </c>
      <c r="J4331" t="s">
        <v>14163</v>
      </c>
      <c r="K4331" t="s">
        <v>136</v>
      </c>
      <c r="L4331" t="s">
        <v>80</v>
      </c>
      <c r="M4331" t="s">
        <v>105</v>
      </c>
      <c r="N4331" t="s">
        <v>14528</v>
      </c>
      <c r="O4331" t="s">
        <v>14529</v>
      </c>
      <c r="P4331" s="2" t="s">
        <v>67</v>
      </c>
      <c r="Q4331" t="s">
        <v>68</v>
      </c>
      <c r="R4331">
        <v>39.159999999999997</v>
      </c>
      <c r="S4331">
        <v>39.18</v>
      </c>
      <c r="T4331" t="s">
        <v>14530</v>
      </c>
    </row>
    <row r="4332" spans="1:20" x14ac:dyDescent="0.25">
      <c r="A4332" s="1" t="str">
        <f>HYPERLINK("https://vegkart.atlas.vegvesen.no/#/@229167.8,6836967.9,18/hva:hva%5B0%5D%5Bfilter%5D%5B0%5D%5Boperator%5D=%21%3D&amp;hva%5B0%5D%5Bfilter%5D%5B0%5D%5Btype_id%5D=4820&amp;hva%5B0%5D%5Bfilter%5D%5B0%5D%5Bverdi%5D=&amp;hva%5B0%5D%5Bid%5D=144/når:2016-07-07", "Vegkart")</f>
        <v>Vegkart</v>
      </c>
      <c r="B4332">
        <v>713574723</v>
      </c>
      <c r="C4332">
        <v>144</v>
      </c>
      <c r="D4332" t="s">
        <v>13345</v>
      </c>
      <c r="E4332">
        <v>4820</v>
      </c>
      <c r="F4332" t="s">
        <v>23479</v>
      </c>
      <c r="G4332">
        <v>1</v>
      </c>
      <c r="H4332" t="s">
        <v>14413</v>
      </c>
      <c r="J4332" t="s">
        <v>14163</v>
      </c>
      <c r="K4332" t="s">
        <v>136</v>
      </c>
      <c r="L4332" t="s">
        <v>80</v>
      </c>
      <c r="M4332" t="s">
        <v>105</v>
      </c>
      <c r="N4332" t="s">
        <v>14531</v>
      </c>
      <c r="O4332" t="s">
        <v>14532</v>
      </c>
      <c r="P4332" s="2" t="s">
        <v>67</v>
      </c>
      <c r="Q4332" t="s">
        <v>68</v>
      </c>
      <c r="R4332">
        <v>34.159999999999997</v>
      </c>
      <c r="S4332">
        <v>34.53</v>
      </c>
      <c r="T4332" t="s">
        <v>14533</v>
      </c>
    </row>
    <row r="4333" spans="1:20" x14ac:dyDescent="0.25">
      <c r="A4333" s="1" t="str">
        <f>HYPERLINK("https://vegkart.atlas.vegvesen.no/#/@225341.1,6837842.5,18/hva:hva%5B0%5D%5Bfilter%5D%5B0%5D%5Boperator%5D=%21%3D&amp;hva%5B0%5D%5Bfilter%5D%5B0%5D%5Btype_id%5D=4820&amp;hva%5B0%5D%5Bfilter%5D%5B0%5D%5Bverdi%5D=&amp;hva%5B0%5D%5Bid%5D=144/når:2016-07-07", "Vegkart")</f>
        <v>Vegkart</v>
      </c>
      <c r="B4333">
        <v>713574724</v>
      </c>
      <c r="C4333">
        <v>144</v>
      </c>
      <c r="D4333" t="s">
        <v>13345</v>
      </c>
      <c r="E4333">
        <v>4820</v>
      </c>
      <c r="F4333" t="s">
        <v>23479</v>
      </c>
      <c r="G4333">
        <v>1</v>
      </c>
      <c r="H4333" t="s">
        <v>14413</v>
      </c>
      <c r="J4333" t="s">
        <v>14163</v>
      </c>
      <c r="K4333" t="s">
        <v>136</v>
      </c>
      <c r="L4333" t="s">
        <v>80</v>
      </c>
      <c r="M4333" t="s">
        <v>105</v>
      </c>
      <c r="N4333" t="s">
        <v>14534</v>
      </c>
      <c r="O4333" t="s">
        <v>14535</v>
      </c>
      <c r="P4333" s="2" t="s">
        <v>67</v>
      </c>
      <c r="Q4333" t="s">
        <v>68</v>
      </c>
      <c r="R4333">
        <v>28.83</v>
      </c>
      <c r="S4333">
        <v>28.88</v>
      </c>
      <c r="T4333" t="s">
        <v>14536</v>
      </c>
    </row>
    <row r="4334" spans="1:20" x14ac:dyDescent="0.25">
      <c r="A4334" s="1" t="str">
        <f>HYPERLINK("https://vegkart.atlas.vegvesen.no/#/@225401.2,6837791.4,18/hva:hva%5B0%5D%5Bfilter%5D%5B0%5D%5Boperator%5D=%21%3D&amp;hva%5B0%5D%5Bfilter%5D%5B0%5D%5Btype_id%5D=4820&amp;hva%5B0%5D%5Bfilter%5D%5B0%5D%5Bverdi%5D=&amp;hva%5B0%5D%5Bid%5D=144/når:2016-07-07", "Vegkart")</f>
        <v>Vegkart</v>
      </c>
      <c r="B4334">
        <v>713574725</v>
      </c>
      <c r="C4334">
        <v>144</v>
      </c>
      <c r="D4334" t="s">
        <v>13345</v>
      </c>
      <c r="E4334">
        <v>4820</v>
      </c>
      <c r="F4334" t="s">
        <v>23479</v>
      </c>
      <c r="G4334">
        <v>1</v>
      </c>
      <c r="H4334" t="s">
        <v>14413</v>
      </c>
      <c r="J4334" t="s">
        <v>14163</v>
      </c>
      <c r="K4334" t="s">
        <v>136</v>
      </c>
      <c r="L4334" t="s">
        <v>80</v>
      </c>
      <c r="M4334" t="s">
        <v>105</v>
      </c>
      <c r="N4334" t="s">
        <v>14537</v>
      </c>
      <c r="O4334" t="s">
        <v>14538</v>
      </c>
      <c r="P4334" s="2" t="s">
        <v>67</v>
      </c>
      <c r="Q4334" t="s">
        <v>68</v>
      </c>
      <c r="R4334">
        <v>47.23</v>
      </c>
      <c r="S4334">
        <v>47.42</v>
      </c>
      <c r="T4334" t="s">
        <v>14539</v>
      </c>
    </row>
    <row r="4335" spans="1:20" x14ac:dyDescent="0.25">
      <c r="A4335" s="1" t="str">
        <f>HYPERLINK("https://vegkart.atlas.vegvesen.no/#/@225304.9,6837868.8,18/hva:hva%5B0%5D%5Bfilter%5D%5B0%5D%5Boperator%5D=%21%3D&amp;hva%5B0%5D%5Bfilter%5D%5B0%5D%5Btype_id%5D=4820&amp;hva%5B0%5D%5Bfilter%5D%5B0%5D%5Bverdi%5D=&amp;hva%5B0%5D%5Bid%5D=144/når:2016-07-07", "Vegkart")</f>
        <v>Vegkart</v>
      </c>
      <c r="B4335">
        <v>713574726</v>
      </c>
      <c r="C4335">
        <v>144</v>
      </c>
      <c r="D4335" t="s">
        <v>13345</v>
      </c>
      <c r="E4335">
        <v>4820</v>
      </c>
      <c r="F4335" t="s">
        <v>23479</v>
      </c>
      <c r="G4335">
        <v>1</v>
      </c>
      <c r="H4335" t="s">
        <v>14413</v>
      </c>
      <c r="J4335" t="s">
        <v>14163</v>
      </c>
      <c r="K4335" t="s">
        <v>136</v>
      </c>
      <c r="L4335" t="s">
        <v>80</v>
      </c>
      <c r="M4335" t="s">
        <v>105</v>
      </c>
      <c r="N4335" t="s">
        <v>14540</v>
      </c>
      <c r="O4335" t="s">
        <v>14541</v>
      </c>
      <c r="P4335" s="2" t="s">
        <v>67</v>
      </c>
      <c r="Q4335" t="s">
        <v>68</v>
      </c>
      <c r="R4335">
        <v>44.17</v>
      </c>
      <c r="S4335">
        <v>44.17</v>
      </c>
      <c r="T4335" t="s">
        <v>14542</v>
      </c>
    </row>
    <row r="4336" spans="1:20" x14ac:dyDescent="0.25">
      <c r="A4336" s="1" t="str">
        <f>HYPERLINK("https://vegkart.atlas.vegvesen.no/#/@222026.2,6838767.7,18/hva:hva%5B0%5D%5Bfilter%5D%5B0%5D%5Boperator%5D=%21%3D&amp;hva%5B0%5D%5Bfilter%5D%5B0%5D%5Btype_id%5D=4820&amp;hva%5B0%5D%5Bfilter%5D%5B0%5D%5Bverdi%5D=&amp;hva%5B0%5D%5Bid%5D=144/når:2016-07-07", "Vegkart")</f>
        <v>Vegkart</v>
      </c>
      <c r="B4336">
        <v>713574727</v>
      </c>
      <c r="C4336">
        <v>144</v>
      </c>
      <c r="D4336" t="s">
        <v>13345</v>
      </c>
      <c r="E4336">
        <v>4820</v>
      </c>
      <c r="F4336" t="s">
        <v>23479</v>
      </c>
      <c r="G4336">
        <v>1</v>
      </c>
      <c r="H4336" t="s">
        <v>14413</v>
      </c>
      <c r="J4336" t="s">
        <v>14163</v>
      </c>
      <c r="K4336" t="s">
        <v>136</v>
      </c>
      <c r="L4336" t="s">
        <v>80</v>
      </c>
      <c r="M4336" t="s">
        <v>105</v>
      </c>
      <c r="N4336" t="s">
        <v>14543</v>
      </c>
      <c r="O4336" t="s">
        <v>14544</v>
      </c>
      <c r="P4336" s="2" t="s">
        <v>67</v>
      </c>
      <c r="Q4336" t="s">
        <v>68</v>
      </c>
      <c r="R4336">
        <v>21.78</v>
      </c>
      <c r="S4336">
        <v>21.78</v>
      </c>
      <c r="T4336" t="s">
        <v>14545</v>
      </c>
    </row>
    <row r="4337" spans="1:20" x14ac:dyDescent="0.25">
      <c r="A4337" s="1" t="str">
        <f>HYPERLINK("https://vegkart.atlas.vegvesen.no/#/@223503.9,6837929.3,18/hva:hva%5B0%5D%5Bfilter%5D%5B0%5D%5Boperator%5D=%21%3D&amp;hva%5B0%5D%5Bfilter%5D%5B0%5D%5Btype_id%5D=4820&amp;hva%5B0%5D%5Bfilter%5D%5B0%5D%5Bverdi%5D=&amp;hva%5B0%5D%5Bid%5D=144/når:2016-07-07", "Vegkart")</f>
        <v>Vegkart</v>
      </c>
      <c r="B4337">
        <v>713574728</v>
      </c>
      <c r="C4337">
        <v>144</v>
      </c>
      <c r="D4337" t="s">
        <v>13345</v>
      </c>
      <c r="E4337">
        <v>4820</v>
      </c>
      <c r="F4337" t="s">
        <v>23479</v>
      </c>
      <c r="G4337">
        <v>1</v>
      </c>
      <c r="H4337" t="s">
        <v>14413</v>
      </c>
      <c r="J4337" t="s">
        <v>14163</v>
      </c>
      <c r="K4337" t="s">
        <v>136</v>
      </c>
      <c r="L4337" t="s">
        <v>80</v>
      </c>
      <c r="M4337" t="s">
        <v>105</v>
      </c>
      <c r="N4337" t="s">
        <v>14546</v>
      </c>
      <c r="O4337" t="s">
        <v>14547</v>
      </c>
      <c r="P4337" s="2" t="s">
        <v>67</v>
      </c>
      <c r="Q4337" t="s">
        <v>68</v>
      </c>
      <c r="R4337">
        <v>83.19</v>
      </c>
      <c r="S4337">
        <v>84.13</v>
      </c>
      <c r="T4337" t="s">
        <v>14548</v>
      </c>
    </row>
    <row r="4338" spans="1:20" x14ac:dyDescent="0.25">
      <c r="A4338" s="1" t="str">
        <f>HYPERLINK("https://vegkart.atlas.vegvesen.no/#/@223576.1,6837909.1,18/hva:hva%5B0%5D%5Bfilter%5D%5B0%5D%5Boperator%5D=%21%3D&amp;hva%5B0%5D%5Bfilter%5D%5B0%5D%5Btype_id%5D=4820&amp;hva%5B0%5D%5Bfilter%5D%5B0%5D%5Bverdi%5D=&amp;hva%5B0%5D%5Bid%5D=144/når:2016-07-07", "Vegkart")</f>
        <v>Vegkart</v>
      </c>
      <c r="B4338">
        <v>713574729</v>
      </c>
      <c r="C4338">
        <v>144</v>
      </c>
      <c r="D4338" t="s">
        <v>13345</v>
      </c>
      <c r="E4338">
        <v>4820</v>
      </c>
      <c r="F4338" t="s">
        <v>23479</v>
      </c>
      <c r="G4338">
        <v>1</v>
      </c>
      <c r="H4338" t="s">
        <v>14413</v>
      </c>
      <c r="J4338" t="s">
        <v>14163</v>
      </c>
      <c r="K4338" t="s">
        <v>136</v>
      </c>
      <c r="L4338" t="s">
        <v>80</v>
      </c>
      <c r="M4338" t="s">
        <v>105</v>
      </c>
      <c r="N4338" t="s">
        <v>14549</v>
      </c>
      <c r="O4338" t="s">
        <v>14550</v>
      </c>
      <c r="P4338" s="2" t="s">
        <v>67</v>
      </c>
      <c r="Q4338" t="s">
        <v>68</v>
      </c>
      <c r="R4338">
        <v>62.63</v>
      </c>
      <c r="S4338">
        <v>63.83</v>
      </c>
      <c r="T4338" t="s">
        <v>14551</v>
      </c>
    </row>
    <row r="4339" spans="1:20" x14ac:dyDescent="0.25">
      <c r="A4339" s="1" t="str">
        <f>HYPERLINK("https://vegkart.atlas.vegvesen.no/#/@225434.7,6837764.5,18/hva:hva%5B0%5D%5Bfilter%5D%5B0%5D%5Boperator%5D=%21%3D&amp;hva%5B0%5D%5Bfilter%5D%5B0%5D%5Btype_id%5D=4820&amp;hva%5B0%5D%5Bfilter%5D%5B0%5D%5Bverdi%5D=&amp;hva%5B0%5D%5Bid%5D=144/når:2016-07-07", "Vegkart")</f>
        <v>Vegkart</v>
      </c>
      <c r="B4339">
        <v>713574730</v>
      </c>
      <c r="C4339">
        <v>144</v>
      </c>
      <c r="D4339" t="s">
        <v>13345</v>
      </c>
      <c r="E4339">
        <v>4820</v>
      </c>
      <c r="F4339" t="s">
        <v>23479</v>
      </c>
      <c r="G4339">
        <v>1</v>
      </c>
      <c r="H4339" t="s">
        <v>14413</v>
      </c>
      <c r="J4339" t="s">
        <v>14163</v>
      </c>
      <c r="K4339" t="s">
        <v>136</v>
      </c>
      <c r="L4339" t="s">
        <v>80</v>
      </c>
      <c r="M4339" t="s">
        <v>105</v>
      </c>
      <c r="N4339" t="s">
        <v>14552</v>
      </c>
      <c r="O4339" t="s">
        <v>14553</v>
      </c>
      <c r="P4339" s="2" t="s">
        <v>67</v>
      </c>
      <c r="Q4339" t="s">
        <v>68</v>
      </c>
      <c r="R4339">
        <v>32.5</v>
      </c>
      <c r="S4339">
        <v>32.659999999999997</v>
      </c>
      <c r="T4339" t="s">
        <v>14554</v>
      </c>
    </row>
    <row r="4340" spans="1:20" x14ac:dyDescent="0.25">
      <c r="A4340" s="1" t="str">
        <f>HYPERLINK("https://vegkart.atlas.vegvesen.no/#/@225532.6,6837672.3,18/hva:hva%5B0%5D%5Bfilter%5D%5B0%5D%5Boperator%5D=%21%3D&amp;hva%5B0%5D%5Bfilter%5D%5B0%5D%5Btype_id%5D=4820&amp;hva%5B0%5D%5Bfilter%5D%5B0%5D%5Bverdi%5D=&amp;hva%5B0%5D%5Bid%5D=144/når:2016-07-07", "Vegkart")</f>
        <v>Vegkart</v>
      </c>
      <c r="B4340">
        <v>713574731</v>
      </c>
      <c r="C4340">
        <v>144</v>
      </c>
      <c r="D4340" t="s">
        <v>13345</v>
      </c>
      <c r="E4340">
        <v>4820</v>
      </c>
      <c r="F4340" t="s">
        <v>23479</v>
      </c>
      <c r="G4340">
        <v>1</v>
      </c>
      <c r="H4340" t="s">
        <v>14413</v>
      </c>
      <c r="J4340" t="s">
        <v>14163</v>
      </c>
      <c r="K4340" t="s">
        <v>136</v>
      </c>
      <c r="L4340" t="s">
        <v>80</v>
      </c>
      <c r="M4340" t="s">
        <v>105</v>
      </c>
      <c r="N4340" t="s">
        <v>14555</v>
      </c>
      <c r="O4340" t="s">
        <v>14556</v>
      </c>
      <c r="P4340" s="2" t="s">
        <v>67</v>
      </c>
      <c r="Q4340" t="s">
        <v>68</v>
      </c>
      <c r="R4340">
        <v>56.56</v>
      </c>
      <c r="S4340">
        <v>57.24</v>
      </c>
      <c r="T4340" t="s">
        <v>14557</v>
      </c>
    </row>
    <row r="4341" spans="1:20" x14ac:dyDescent="0.25">
      <c r="A4341" s="1" t="str">
        <f>HYPERLINK("https://vegkart.atlas.vegvesen.no/#/@226990.1,6836954.6,18/hva:hva%5B0%5D%5Bfilter%5D%5B0%5D%5Boperator%5D=%21%3D&amp;hva%5B0%5D%5Bfilter%5D%5B0%5D%5Btype_id%5D=4820&amp;hva%5B0%5D%5Bfilter%5D%5B0%5D%5Bverdi%5D=&amp;hva%5B0%5D%5Bid%5D=144/når:2016-07-07", "Vegkart")</f>
        <v>Vegkart</v>
      </c>
      <c r="B4341">
        <v>713574732</v>
      </c>
      <c r="C4341">
        <v>144</v>
      </c>
      <c r="D4341" t="s">
        <v>13345</v>
      </c>
      <c r="E4341">
        <v>4820</v>
      </c>
      <c r="F4341" t="s">
        <v>23479</v>
      </c>
      <c r="G4341">
        <v>1</v>
      </c>
      <c r="H4341" t="s">
        <v>14413</v>
      </c>
      <c r="J4341" t="s">
        <v>14163</v>
      </c>
      <c r="K4341" t="s">
        <v>136</v>
      </c>
      <c r="L4341" t="s">
        <v>80</v>
      </c>
      <c r="M4341" t="s">
        <v>105</v>
      </c>
      <c r="N4341" t="s">
        <v>14558</v>
      </c>
      <c r="O4341" t="s">
        <v>14559</v>
      </c>
      <c r="P4341" s="2" t="s">
        <v>67</v>
      </c>
      <c r="Q4341" t="s">
        <v>68</v>
      </c>
      <c r="R4341">
        <v>15</v>
      </c>
      <c r="S4341">
        <v>15.14</v>
      </c>
      <c r="T4341" t="s">
        <v>14560</v>
      </c>
    </row>
    <row r="4342" spans="1:20" x14ac:dyDescent="0.25">
      <c r="A4342" s="1" t="str">
        <f>HYPERLINK("https://vegkart.atlas.vegvesen.no/#/@229751.2,6836664.9,18/hva:hva%5B0%5D%5Bfilter%5D%5B0%5D%5Boperator%5D=%21%3D&amp;hva%5B0%5D%5Bfilter%5D%5B0%5D%5Btype_id%5D=4820&amp;hva%5B0%5D%5Bfilter%5D%5B0%5D%5Bverdi%5D=&amp;hva%5B0%5D%5Bid%5D=144/når:2016-07-07", "Vegkart")</f>
        <v>Vegkart</v>
      </c>
      <c r="B4342">
        <v>713574733</v>
      </c>
      <c r="C4342">
        <v>144</v>
      </c>
      <c r="D4342" t="s">
        <v>13345</v>
      </c>
      <c r="E4342">
        <v>4820</v>
      </c>
      <c r="F4342" t="s">
        <v>23479</v>
      </c>
      <c r="G4342">
        <v>1</v>
      </c>
      <c r="H4342" t="s">
        <v>14413</v>
      </c>
      <c r="J4342" t="s">
        <v>14163</v>
      </c>
      <c r="K4342" t="s">
        <v>136</v>
      </c>
      <c r="L4342" t="s">
        <v>80</v>
      </c>
      <c r="M4342" t="s">
        <v>105</v>
      </c>
      <c r="N4342" t="s">
        <v>14561</v>
      </c>
      <c r="O4342" t="s">
        <v>14562</v>
      </c>
      <c r="P4342" s="2" t="s">
        <v>67</v>
      </c>
      <c r="Q4342" t="s">
        <v>68</v>
      </c>
      <c r="R4342">
        <v>24.72</v>
      </c>
      <c r="S4342">
        <v>24.74</v>
      </c>
      <c r="T4342" t="s">
        <v>14563</v>
      </c>
    </row>
    <row r="4343" spans="1:20" x14ac:dyDescent="0.25">
      <c r="A4343" s="1" t="str">
        <f>HYPERLINK("https://vegkart.atlas.vegvesen.no/#/@229714.6,6836685.4,18/hva:hva%5B0%5D%5Bfilter%5D%5B0%5D%5Boperator%5D=%21%3D&amp;hva%5B0%5D%5Bfilter%5D%5B0%5D%5Btype_id%5D=4820&amp;hva%5B0%5D%5Bfilter%5D%5B0%5D%5Bverdi%5D=&amp;hva%5B0%5D%5Bid%5D=144/når:2016-07-07", "Vegkart")</f>
        <v>Vegkart</v>
      </c>
      <c r="B4343">
        <v>713574734</v>
      </c>
      <c r="C4343">
        <v>144</v>
      </c>
      <c r="D4343" t="s">
        <v>13345</v>
      </c>
      <c r="E4343">
        <v>4820</v>
      </c>
      <c r="F4343" t="s">
        <v>23479</v>
      </c>
      <c r="G4343">
        <v>1</v>
      </c>
      <c r="H4343" t="s">
        <v>14413</v>
      </c>
      <c r="J4343" t="s">
        <v>14163</v>
      </c>
      <c r="K4343" t="s">
        <v>136</v>
      </c>
      <c r="L4343" t="s">
        <v>80</v>
      </c>
      <c r="M4343" t="s">
        <v>105</v>
      </c>
      <c r="N4343" t="s">
        <v>14564</v>
      </c>
      <c r="O4343" t="s">
        <v>14565</v>
      </c>
      <c r="P4343" s="2" t="s">
        <v>67</v>
      </c>
      <c r="Q4343" t="s">
        <v>68</v>
      </c>
      <c r="R4343">
        <v>45.21</v>
      </c>
      <c r="S4343">
        <v>45.65</v>
      </c>
      <c r="T4343" t="s">
        <v>14566</v>
      </c>
    </row>
    <row r="4344" spans="1:20" x14ac:dyDescent="0.25">
      <c r="A4344" s="1" t="str">
        <f>HYPERLINK("https://vegkart.atlas.vegvesen.no/#/@229754.2,6836616.3,18/hva:hva%5B0%5D%5Bfilter%5D%5B0%5D%5Boperator%5D=%21%3D&amp;hva%5B0%5D%5Bfilter%5D%5B0%5D%5Btype_id%5D=4820&amp;hva%5B0%5D%5Bfilter%5D%5B0%5D%5Bverdi%5D=&amp;hva%5B0%5D%5Bid%5D=144/når:2016-07-07", "Vegkart")</f>
        <v>Vegkart</v>
      </c>
      <c r="B4344">
        <v>713574735</v>
      </c>
      <c r="C4344">
        <v>144</v>
      </c>
      <c r="D4344" t="s">
        <v>13345</v>
      </c>
      <c r="E4344">
        <v>4820</v>
      </c>
      <c r="F4344" t="s">
        <v>23479</v>
      </c>
      <c r="G4344">
        <v>1</v>
      </c>
      <c r="H4344" t="s">
        <v>14413</v>
      </c>
      <c r="J4344" t="s">
        <v>14163</v>
      </c>
      <c r="K4344" t="s">
        <v>136</v>
      </c>
      <c r="L4344" t="s">
        <v>80</v>
      </c>
      <c r="M4344" t="s">
        <v>105</v>
      </c>
      <c r="N4344" t="s">
        <v>14567</v>
      </c>
      <c r="O4344" t="s">
        <v>14568</v>
      </c>
      <c r="P4344" s="2" t="s">
        <v>67</v>
      </c>
      <c r="Q4344" t="s">
        <v>68</v>
      </c>
      <c r="R4344">
        <v>38.26</v>
      </c>
      <c r="S4344">
        <v>38.270000000000003</v>
      </c>
      <c r="T4344" t="s">
        <v>14569</v>
      </c>
    </row>
    <row r="4345" spans="1:20" x14ac:dyDescent="0.25">
      <c r="A4345" s="1" t="str">
        <f>HYPERLINK("https://vegkart.atlas.vegvesen.no/#/@229670.5,6836657.0,18/hva:hva%5B0%5D%5Bfilter%5D%5B0%5D%5Boperator%5D=%21%3D&amp;hva%5B0%5D%5Bfilter%5D%5B0%5D%5Btype_id%5D=4820&amp;hva%5B0%5D%5Bfilter%5D%5B0%5D%5Bverdi%5D=&amp;hva%5B0%5D%5Bid%5D=144/når:2016-07-07", "Vegkart")</f>
        <v>Vegkart</v>
      </c>
      <c r="B4345">
        <v>713574736</v>
      </c>
      <c r="C4345">
        <v>144</v>
      </c>
      <c r="D4345" t="s">
        <v>13345</v>
      </c>
      <c r="E4345">
        <v>4820</v>
      </c>
      <c r="F4345" t="s">
        <v>23479</v>
      </c>
      <c r="G4345">
        <v>1</v>
      </c>
      <c r="H4345" t="s">
        <v>14413</v>
      </c>
      <c r="J4345" t="s">
        <v>14163</v>
      </c>
      <c r="K4345" t="s">
        <v>136</v>
      </c>
      <c r="L4345" t="s">
        <v>80</v>
      </c>
      <c r="M4345" t="s">
        <v>105</v>
      </c>
      <c r="N4345" t="s">
        <v>14570</v>
      </c>
      <c r="O4345" t="s">
        <v>14571</v>
      </c>
      <c r="P4345" s="2" t="s">
        <v>67</v>
      </c>
      <c r="Q4345" t="s">
        <v>68</v>
      </c>
      <c r="R4345">
        <v>53.27</v>
      </c>
      <c r="S4345">
        <v>53.58</v>
      </c>
      <c r="T4345" t="s">
        <v>14572</v>
      </c>
    </row>
    <row r="4346" spans="1:20" x14ac:dyDescent="0.25">
      <c r="A4346" s="1" t="str">
        <f>HYPERLINK("https://vegkart.atlas.vegvesen.no/#/@230161.6,6836470.7,18/hva:hva%5B0%5D%5Bfilter%5D%5B0%5D%5Boperator%5D=%21%3D&amp;hva%5B0%5D%5Bfilter%5D%5B0%5D%5Btype_id%5D=4820&amp;hva%5B0%5D%5Bfilter%5D%5B0%5D%5Bverdi%5D=&amp;hva%5B0%5D%5Bid%5D=144/når:2016-07-07", "Vegkart")</f>
        <v>Vegkart</v>
      </c>
      <c r="B4346">
        <v>713574737</v>
      </c>
      <c r="C4346">
        <v>144</v>
      </c>
      <c r="D4346" t="s">
        <v>13345</v>
      </c>
      <c r="E4346">
        <v>4820</v>
      </c>
      <c r="F4346" t="s">
        <v>23479</v>
      </c>
      <c r="G4346">
        <v>1</v>
      </c>
      <c r="H4346" t="s">
        <v>14413</v>
      </c>
      <c r="J4346" t="s">
        <v>14163</v>
      </c>
      <c r="K4346" t="s">
        <v>136</v>
      </c>
      <c r="L4346" t="s">
        <v>80</v>
      </c>
      <c r="M4346" t="s">
        <v>105</v>
      </c>
      <c r="N4346" t="s">
        <v>14573</v>
      </c>
      <c r="O4346" t="s">
        <v>14574</v>
      </c>
      <c r="P4346" s="2" t="s">
        <v>67</v>
      </c>
      <c r="Q4346" t="s">
        <v>68</v>
      </c>
      <c r="R4346">
        <v>25.12</v>
      </c>
      <c r="S4346">
        <v>25.22</v>
      </c>
      <c r="T4346" t="s">
        <v>14575</v>
      </c>
    </row>
    <row r="4347" spans="1:20" x14ac:dyDescent="0.25">
      <c r="A4347" s="1" t="str">
        <f>HYPERLINK("https://vegkart.atlas.vegvesen.no/#/@230471.3,6836151.4,18/hva:hva%5B0%5D%5Bfilter%5D%5B0%5D%5Boperator%5D=%21%3D&amp;hva%5B0%5D%5Bfilter%5D%5B0%5D%5Btype_id%5D=4820&amp;hva%5B0%5D%5Bfilter%5D%5B0%5D%5Bverdi%5D=&amp;hva%5B0%5D%5Bid%5D=144/når:2016-07-07", "Vegkart")</f>
        <v>Vegkart</v>
      </c>
      <c r="B4347">
        <v>713574738</v>
      </c>
      <c r="C4347">
        <v>144</v>
      </c>
      <c r="D4347" t="s">
        <v>13345</v>
      </c>
      <c r="E4347">
        <v>4820</v>
      </c>
      <c r="F4347" t="s">
        <v>23479</v>
      </c>
      <c r="G4347">
        <v>1</v>
      </c>
      <c r="H4347" t="s">
        <v>14413</v>
      </c>
      <c r="J4347" t="s">
        <v>14163</v>
      </c>
      <c r="K4347" t="s">
        <v>136</v>
      </c>
      <c r="L4347" t="s">
        <v>80</v>
      </c>
      <c r="M4347" t="s">
        <v>105</v>
      </c>
      <c r="N4347" t="s">
        <v>14576</v>
      </c>
      <c r="O4347" t="s">
        <v>14577</v>
      </c>
      <c r="P4347" s="2" t="s">
        <v>67</v>
      </c>
      <c r="Q4347" t="s">
        <v>68</v>
      </c>
      <c r="R4347">
        <v>39</v>
      </c>
      <c r="S4347">
        <v>39.659999999999997</v>
      </c>
      <c r="T4347" t="s">
        <v>14578</v>
      </c>
    </row>
    <row r="4348" spans="1:20" x14ac:dyDescent="0.25">
      <c r="A4348" s="1" t="str">
        <f>HYPERLINK("https://vegkart.atlas.vegvesen.no/#/@230471.6,6836173.2,18/hva:hva%5B0%5D%5Bfilter%5D%5B0%5D%5Boperator%5D=%21%3D&amp;hva%5B0%5D%5Bfilter%5D%5B0%5D%5Btype_id%5D=4820&amp;hva%5B0%5D%5Bfilter%5D%5B0%5D%5Bverdi%5D=&amp;hva%5B0%5D%5Bid%5D=144/når:2016-07-07", "Vegkart")</f>
        <v>Vegkart</v>
      </c>
      <c r="B4348">
        <v>713574739</v>
      </c>
      <c r="C4348">
        <v>144</v>
      </c>
      <c r="D4348" t="s">
        <v>13345</v>
      </c>
      <c r="E4348">
        <v>4820</v>
      </c>
      <c r="F4348" t="s">
        <v>23479</v>
      </c>
      <c r="G4348">
        <v>1</v>
      </c>
      <c r="H4348" t="s">
        <v>14413</v>
      </c>
      <c r="J4348" t="s">
        <v>14163</v>
      </c>
      <c r="K4348" t="s">
        <v>136</v>
      </c>
      <c r="L4348" t="s">
        <v>80</v>
      </c>
      <c r="M4348" t="s">
        <v>105</v>
      </c>
      <c r="N4348" t="s">
        <v>14579</v>
      </c>
      <c r="O4348" t="s">
        <v>14580</v>
      </c>
      <c r="P4348" s="2" t="s">
        <v>67</v>
      </c>
      <c r="Q4348" t="s">
        <v>68</v>
      </c>
      <c r="R4348">
        <v>29.64</v>
      </c>
      <c r="S4348">
        <v>30.43</v>
      </c>
      <c r="T4348" t="s">
        <v>14581</v>
      </c>
    </row>
    <row r="4349" spans="1:20" x14ac:dyDescent="0.25">
      <c r="A4349" s="1" t="str">
        <f>HYPERLINK("https://vegkart.atlas.vegvesen.no/#/@230319.5,6836176.5,18/hva:hva%5B0%5D%5Bfilter%5D%5B0%5D%5Boperator%5D=%21%3D&amp;hva%5B0%5D%5Bfilter%5D%5B0%5D%5Btype_id%5D=4820&amp;hva%5B0%5D%5Bfilter%5D%5B0%5D%5Bverdi%5D=&amp;hva%5B0%5D%5Bid%5D=144/når:2016-07-07", "Vegkart")</f>
        <v>Vegkart</v>
      </c>
      <c r="B4349">
        <v>713574740</v>
      </c>
      <c r="C4349">
        <v>144</v>
      </c>
      <c r="D4349" t="s">
        <v>13345</v>
      </c>
      <c r="E4349">
        <v>4820</v>
      </c>
      <c r="F4349" t="s">
        <v>23479</v>
      </c>
      <c r="G4349">
        <v>1</v>
      </c>
      <c r="H4349" t="s">
        <v>14413</v>
      </c>
      <c r="J4349" t="s">
        <v>14163</v>
      </c>
      <c r="K4349" t="s">
        <v>136</v>
      </c>
      <c r="L4349" t="s">
        <v>80</v>
      </c>
      <c r="M4349" t="s">
        <v>105</v>
      </c>
      <c r="N4349" t="s">
        <v>14582</v>
      </c>
      <c r="O4349" t="s">
        <v>14583</v>
      </c>
      <c r="P4349" s="2" t="s">
        <v>67</v>
      </c>
      <c r="Q4349" t="s">
        <v>68</v>
      </c>
      <c r="R4349">
        <v>22.51</v>
      </c>
      <c r="S4349">
        <v>22.51</v>
      </c>
      <c r="T4349" t="s">
        <v>14584</v>
      </c>
    </row>
    <row r="4350" spans="1:20" x14ac:dyDescent="0.25">
      <c r="A4350" s="1" t="str">
        <f>HYPERLINK("https://vegkart.atlas.vegvesen.no/#/@223118.2,6838203.0,18/hva:hva%5B0%5D%5Bfilter%5D%5B0%5D%5Boperator%5D=%21%3D&amp;hva%5B0%5D%5Bfilter%5D%5B0%5D%5Btype_id%5D=4820&amp;hva%5B0%5D%5Bfilter%5D%5B0%5D%5Bverdi%5D=&amp;hva%5B0%5D%5Bid%5D=144/når:2016-07-07", "Vegkart")</f>
        <v>Vegkart</v>
      </c>
      <c r="B4350">
        <v>713574741</v>
      </c>
      <c r="C4350">
        <v>144</v>
      </c>
      <c r="D4350" t="s">
        <v>13345</v>
      </c>
      <c r="E4350">
        <v>4820</v>
      </c>
      <c r="F4350" t="s">
        <v>23479</v>
      </c>
      <c r="G4350">
        <v>1</v>
      </c>
      <c r="H4350" t="s">
        <v>14413</v>
      </c>
      <c r="J4350" t="s">
        <v>14163</v>
      </c>
      <c r="K4350" t="s">
        <v>136</v>
      </c>
      <c r="L4350" t="s">
        <v>80</v>
      </c>
      <c r="M4350" t="s">
        <v>105</v>
      </c>
      <c r="N4350" t="s">
        <v>14585</v>
      </c>
      <c r="O4350" t="s">
        <v>14586</v>
      </c>
      <c r="P4350" s="2" t="s">
        <v>67</v>
      </c>
      <c r="Q4350" t="s">
        <v>68</v>
      </c>
      <c r="R4350">
        <v>13.9</v>
      </c>
      <c r="S4350">
        <v>14.23</v>
      </c>
      <c r="T4350" t="s">
        <v>14587</v>
      </c>
    </row>
    <row r="4351" spans="1:20" x14ac:dyDescent="0.25">
      <c r="A4351" s="1" t="str">
        <f>HYPERLINK("https://vegkart.atlas.vegvesen.no/#/@222552.4,6838469.5,18/hva:hva%5B0%5D%5Bfilter%5D%5B0%5D%5Boperator%5D=%21%3D&amp;hva%5B0%5D%5Bfilter%5D%5B0%5D%5Btype_id%5D=4820&amp;hva%5B0%5D%5Bfilter%5D%5B0%5D%5Bverdi%5D=&amp;hva%5B0%5D%5Bid%5D=144/når:2016-07-07", "Vegkart")</f>
        <v>Vegkart</v>
      </c>
      <c r="B4351">
        <v>713574742</v>
      </c>
      <c r="C4351">
        <v>144</v>
      </c>
      <c r="D4351" t="s">
        <v>13345</v>
      </c>
      <c r="E4351">
        <v>4820</v>
      </c>
      <c r="F4351" t="s">
        <v>23479</v>
      </c>
      <c r="G4351">
        <v>1</v>
      </c>
      <c r="H4351" t="s">
        <v>14413</v>
      </c>
      <c r="J4351" t="s">
        <v>14163</v>
      </c>
      <c r="K4351" t="s">
        <v>136</v>
      </c>
      <c r="L4351" t="s">
        <v>80</v>
      </c>
      <c r="M4351" t="s">
        <v>105</v>
      </c>
      <c r="N4351" t="s">
        <v>14588</v>
      </c>
      <c r="O4351" t="s">
        <v>14589</v>
      </c>
      <c r="P4351" s="2" t="s">
        <v>67</v>
      </c>
      <c r="Q4351" t="s">
        <v>68</v>
      </c>
      <c r="R4351">
        <v>71.239999999999995</v>
      </c>
      <c r="S4351">
        <v>71.78</v>
      </c>
      <c r="T4351" t="s">
        <v>14590</v>
      </c>
    </row>
    <row r="4352" spans="1:20" x14ac:dyDescent="0.25">
      <c r="A4352" s="1" t="str">
        <f>HYPERLINK("https://vegkart.atlas.vegvesen.no/#/@226340.0,6837282.6,18/hva:hva%5B0%5D%5Bfilter%5D%5B0%5D%5Boperator%5D=%21%3D&amp;hva%5B0%5D%5Bfilter%5D%5B0%5D%5Btype_id%5D=4820&amp;hva%5B0%5D%5Bfilter%5D%5B0%5D%5Bverdi%5D=&amp;hva%5B0%5D%5Bid%5D=144/når:2016-07-07", "Vegkart")</f>
        <v>Vegkart</v>
      </c>
      <c r="B4352">
        <v>713574743</v>
      </c>
      <c r="C4352">
        <v>144</v>
      </c>
      <c r="D4352" t="s">
        <v>13345</v>
      </c>
      <c r="E4352">
        <v>4820</v>
      </c>
      <c r="F4352" t="s">
        <v>23479</v>
      </c>
      <c r="G4352">
        <v>1</v>
      </c>
      <c r="H4352" t="s">
        <v>14413</v>
      </c>
      <c r="J4352" t="s">
        <v>14163</v>
      </c>
      <c r="K4352" t="s">
        <v>136</v>
      </c>
      <c r="L4352" t="s">
        <v>80</v>
      </c>
      <c r="M4352" t="s">
        <v>105</v>
      </c>
      <c r="N4352" t="s">
        <v>14591</v>
      </c>
      <c r="O4352" t="s">
        <v>14592</v>
      </c>
      <c r="P4352" s="2" t="s">
        <v>67</v>
      </c>
      <c r="Q4352" t="s">
        <v>68</v>
      </c>
      <c r="R4352">
        <v>79.56</v>
      </c>
      <c r="S4352">
        <v>80.91</v>
      </c>
      <c r="T4352" t="s">
        <v>14593</v>
      </c>
    </row>
    <row r="4353" spans="1:20" x14ac:dyDescent="0.25">
      <c r="A4353" s="1" t="str">
        <f>HYPERLINK("https://vegkart.atlas.vegvesen.no/#/@226415.6,6837161.4,18/hva:hva%5B0%5D%5Bfilter%5D%5B0%5D%5Boperator%5D=%21%3D&amp;hva%5B0%5D%5Bfilter%5D%5B0%5D%5Btype_id%5D=4820&amp;hva%5B0%5D%5Bfilter%5D%5B0%5D%5Bverdi%5D=&amp;hva%5B0%5D%5Bid%5D=144/når:2016-07-07", "Vegkart")</f>
        <v>Vegkart</v>
      </c>
      <c r="B4353">
        <v>713574744</v>
      </c>
      <c r="C4353">
        <v>144</v>
      </c>
      <c r="D4353" t="s">
        <v>13345</v>
      </c>
      <c r="E4353">
        <v>4820</v>
      </c>
      <c r="F4353" t="s">
        <v>23479</v>
      </c>
      <c r="G4353">
        <v>1</v>
      </c>
      <c r="H4353" t="s">
        <v>14413</v>
      </c>
      <c r="J4353" t="s">
        <v>14163</v>
      </c>
      <c r="K4353" t="s">
        <v>136</v>
      </c>
      <c r="L4353" t="s">
        <v>80</v>
      </c>
      <c r="M4353" t="s">
        <v>105</v>
      </c>
      <c r="N4353" t="s">
        <v>14594</v>
      </c>
      <c r="O4353" t="s">
        <v>14595</v>
      </c>
      <c r="P4353" s="2" t="s">
        <v>67</v>
      </c>
      <c r="Q4353" t="s">
        <v>68</v>
      </c>
      <c r="R4353">
        <v>39.61</v>
      </c>
      <c r="S4353">
        <v>39.74</v>
      </c>
      <c r="T4353" t="s">
        <v>14596</v>
      </c>
    </row>
    <row r="4354" spans="1:20" x14ac:dyDescent="0.25">
      <c r="A4354" s="1" t="str">
        <f>HYPERLINK("https://vegkart.atlas.vegvesen.no/#/@226597.4,6837354.1,18/hva:hva%5B0%5D%5Bfilter%5D%5B0%5D%5Boperator%5D=%21%3D&amp;hva%5B0%5D%5Bfilter%5D%5B0%5D%5Btype_id%5D=4820&amp;hva%5B0%5D%5Bfilter%5D%5B0%5D%5Bverdi%5D=&amp;hva%5B0%5D%5Bid%5D=144/når:2016-07-07", "Vegkart")</f>
        <v>Vegkart</v>
      </c>
      <c r="B4354">
        <v>713574745</v>
      </c>
      <c r="C4354">
        <v>144</v>
      </c>
      <c r="D4354" t="s">
        <v>13345</v>
      </c>
      <c r="E4354">
        <v>4820</v>
      </c>
      <c r="F4354" t="s">
        <v>23479</v>
      </c>
      <c r="G4354">
        <v>1</v>
      </c>
      <c r="H4354" t="s">
        <v>14413</v>
      </c>
      <c r="J4354" t="s">
        <v>14163</v>
      </c>
      <c r="K4354" t="s">
        <v>136</v>
      </c>
      <c r="L4354" t="s">
        <v>80</v>
      </c>
      <c r="M4354" t="s">
        <v>105</v>
      </c>
      <c r="N4354" t="s">
        <v>14597</v>
      </c>
      <c r="O4354" t="s">
        <v>14598</v>
      </c>
      <c r="P4354" s="2" t="s">
        <v>67</v>
      </c>
      <c r="Q4354" t="s">
        <v>68</v>
      </c>
      <c r="R4354">
        <v>16.75</v>
      </c>
      <c r="S4354">
        <v>16.75</v>
      </c>
      <c r="T4354" t="s">
        <v>14599</v>
      </c>
    </row>
    <row r="4355" spans="1:20" x14ac:dyDescent="0.25">
      <c r="A4355" s="1" t="str">
        <f>HYPERLINK("https://vegkart.atlas.vegvesen.no/#/@227649.9,6836755.8,18/hva:hva%5B0%5D%5Bfilter%5D%5B0%5D%5Boperator%5D=%21%3D&amp;hva%5B0%5D%5Bfilter%5D%5B0%5D%5Btype_id%5D=4820&amp;hva%5B0%5D%5Bfilter%5D%5B0%5D%5Bverdi%5D=&amp;hva%5B0%5D%5Bid%5D=144/når:2016-07-07", "Vegkart")</f>
        <v>Vegkart</v>
      </c>
      <c r="B4355">
        <v>713574746</v>
      </c>
      <c r="C4355">
        <v>144</v>
      </c>
      <c r="D4355" t="s">
        <v>13345</v>
      </c>
      <c r="E4355">
        <v>4820</v>
      </c>
      <c r="F4355" t="s">
        <v>23479</v>
      </c>
      <c r="G4355">
        <v>1</v>
      </c>
      <c r="H4355" t="s">
        <v>14413</v>
      </c>
      <c r="J4355" t="s">
        <v>14163</v>
      </c>
      <c r="K4355" t="s">
        <v>136</v>
      </c>
      <c r="L4355" t="s">
        <v>80</v>
      </c>
      <c r="M4355" t="s">
        <v>105</v>
      </c>
      <c r="N4355" t="s">
        <v>14600</v>
      </c>
      <c r="O4355" t="s">
        <v>14601</v>
      </c>
      <c r="P4355" s="2" t="s">
        <v>67</v>
      </c>
      <c r="Q4355" t="s">
        <v>68</v>
      </c>
      <c r="R4355">
        <v>306.08999999999997</v>
      </c>
      <c r="S4355">
        <v>309.29000000000002</v>
      </c>
      <c r="T4355" t="s">
        <v>14602</v>
      </c>
    </row>
    <row r="4356" spans="1:20" x14ac:dyDescent="0.25">
      <c r="A4356" s="1" t="str">
        <f>HYPERLINK("https://vegkart.atlas.vegvesen.no/#/@227457.1,6836791.9,18/hva:hva%5B0%5D%5Bfilter%5D%5B0%5D%5Boperator%5D=%21%3D&amp;hva%5B0%5D%5Bfilter%5D%5B0%5D%5Btype_id%5D=4820&amp;hva%5B0%5D%5Bfilter%5D%5B0%5D%5Bverdi%5D=&amp;hva%5B0%5D%5Bid%5D=144/når:2016-07-07", "Vegkart")</f>
        <v>Vegkart</v>
      </c>
      <c r="B4356">
        <v>713574747</v>
      </c>
      <c r="C4356">
        <v>144</v>
      </c>
      <c r="D4356" t="s">
        <v>13345</v>
      </c>
      <c r="E4356">
        <v>4820</v>
      </c>
      <c r="F4356" t="s">
        <v>23479</v>
      </c>
      <c r="G4356">
        <v>1</v>
      </c>
      <c r="H4356" t="s">
        <v>14413</v>
      </c>
      <c r="J4356" t="s">
        <v>14163</v>
      </c>
      <c r="K4356" t="s">
        <v>136</v>
      </c>
      <c r="L4356" t="s">
        <v>80</v>
      </c>
      <c r="M4356" t="s">
        <v>105</v>
      </c>
      <c r="N4356" t="s">
        <v>14603</v>
      </c>
      <c r="O4356" t="s">
        <v>14604</v>
      </c>
      <c r="P4356" s="2" t="s">
        <v>67</v>
      </c>
      <c r="Q4356" t="s">
        <v>68</v>
      </c>
      <c r="R4356">
        <v>70.319999999999993</v>
      </c>
      <c r="S4356">
        <v>70.75</v>
      </c>
      <c r="T4356" t="s">
        <v>14605</v>
      </c>
    </row>
    <row r="4357" spans="1:20" x14ac:dyDescent="0.25">
      <c r="A4357" s="1" t="str">
        <f>HYPERLINK("https://vegkart.atlas.vegvesen.no/#/@227390.0,6836820.3,18/hva:hva%5B0%5D%5Bfilter%5D%5B0%5D%5Boperator%5D=%21%3D&amp;hva%5B0%5D%5Bfilter%5D%5B0%5D%5Btype_id%5D=4820&amp;hva%5B0%5D%5Bfilter%5D%5B0%5D%5Bverdi%5D=&amp;hva%5B0%5D%5Bid%5D=144/når:2016-07-07", "Vegkart")</f>
        <v>Vegkart</v>
      </c>
      <c r="B4357">
        <v>713574748</v>
      </c>
      <c r="C4357">
        <v>144</v>
      </c>
      <c r="D4357" t="s">
        <v>13345</v>
      </c>
      <c r="E4357">
        <v>4820</v>
      </c>
      <c r="F4357" t="s">
        <v>23479</v>
      </c>
      <c r="G4357">
        <v>1</v>
      </c>
      <c r="H4357" t="s">
        <v>14413</v>
      </c>
      <c r="J4357" t="s">
        <v>14163</v>
      </c>
      <c r="K4357" t="s">
        <v>136</v>
      </c>
      <c r="L4357" t="s">
        <v>80</v>
      </c>
      <c r="M4357" t="s">
        <v>105</v>
      </c>
      <c r="N4357" t="s">
        <v>14606</v>
      </c>
      <c r="O4357" t="s">
        <v>14607</v>
      </c>
      <c r="P4357" s="2" t="s">
        <v>67</v>
      </c>
      <c r="Q4357" t="s">
        <v>68</v>
      </c>
      <c r="R4357">
        <v>70.650000000000006</v>
      </c>
      <c r="S4357">
        <v>71.7</v>
      </c>
      <c r="T4357" t="s">
        <v>14608</v>
      </c>
    </row>
    <row r="4358" spans="1:20" x14ac:dyDescent="0.25">
      <c r="A4358" s="1" t="str">
        <f>HYPERLINK("https://vegkart.atlas.vegvesen.no/#/@227095.0,6836942.6,18/hva:hva%5B0%5D%5Bfilter%5D%5B0%5D%5Boperator%5D=%21%3D&amp;hva%5B0%5D%5Bfilter%5D%5B0%5D%5Btype_id%5D=4820&amp;hva%5B0%5D%5Bfilter%5D%5B0%5D%5Bverdi%5D=&amp;hva%5B0%5D%5Bid%5D=144/når:2016-07-07", "Vegkart")</f>
        <v>Vegkart</v>
      </c>
      <c r="B4358">
        <v>713574749</v>
      </c>
      <c r="C4358">
        <v>144</v>
      </c>
      <c r="D4358" t="s">
        <v>13345</v>
      </c>
      <c r="E4358">
        <v>4820</v>
      </c>
      <c r="F4358" t="s">
        <v>23479</v>
      </c>
      <c r="G4358">
        <v>1</v>
      </c>
      <c r="H4358" t="s">
        <v>14413</v>
      </c>
      <c r="J4358" t="s">
        <v>14163</v>
      </c>
      <c r="K4358" t="s">
        <v>136</v>
      </c>
      <c r="L4358" t="s">
        <v>80</v>
      </c>
      <c r="M4358" t="s">
        <v>105</v>
      </c>
      <c r="N4358" t="s">
        <v>14609</v>
      </c>
      <c r="O4358" t="s">
        <v>14610</v>
      </c>
      <c r="P4358" s="2" t="s">
        <v>67</v>
      </c>
      <c r="Q4358" t="s">
        <v>68</v>
      </c>
      <c r="R4358">
        <v>64.95</v>
      </c>
      <c r="S4358">
        <v>65.58</v>
      </c>
      <c r="T4358" t="s">
        <v>14611</v>
      </c>
    </row>
    <row r="4359" spans="1:20" x14ac:dyDescent="0.25">
      <c r="A4359" s="1" t="str">
        <f>HYPERLINK("https://vegkart.atlas.vegvesen.no/#/@225335.2,6837964.8,18/hva:hva%5B0%5D%5Bfilter%5D%5B0%5D%5Boperator%5D=%21%3D&amp;hva%5B0%5D%5Bfilter%5D%5B0%5D%5Btype_id%5D=4820&amp;hva%5B0%5D%5Bfilter%5D%5B0%5D%5Bverdi%5D=&amp;hva%5B0%5D%5Bid%5D=144/når:2016-07-07", "Vegkart")</f>
        <v>Vegkart</v>
      </c>
      <c r="B4359">
        <v>713574750</v>
      </c>
      <c r="C4359">
        <v>144</v>
      </c>
      <c r="D4359" t="s">
        <v>13345</v>
      </c>
      <c r="E4359">
        <v>4820</v>
      </c>
      <c r="F4359" t="s">
        <v>23479</v>
      </c>
      <c r="G4359">
        <v>1</v>
      </c>
      <c r="H4359" t="s">
        <v>14413</v>
      </c>
      <c r="J4359" t="s">
        <v>14163</v>
      </c>
      <c r="K4359" t="s">
        <v>136</v>
      </c>
      <c r="L4359" t="s">
        <v>80</v>
      </c>
      <c r="M4359" t="s">
        <v>105</v>
      </c>
      <c r="N4359" t="s">
        <v>14612</v>
      </c>
      <c r="O4359" t="s">
        <v>14613</v>
      </c>
      <c r="P4359" s="2" t="s">
        <v>67</v>
      </c>
      <c r="Q4359" t="s">
        <v>68</v>
      </c>
      <c r="R4359">
        <v>52.16</v>
      </c>
      <c r="S4359">
        <v>53.15</v>
      </c>
      <c r="T4359" t="s">
        <v>14614</v>
      </c>
    </row>
    <row r="4360" spans="1:20" x14ac:dyDescent="0.25">
      <c r="A4360" s="1" t="str">
        <f>HYPERLINK("https://vegkart.atlas.vegvesen.no/#/@230587.0,6835759.3,18/hva:hva%5B0%5D%5Bfilter%5D%5B0%5D%5Boperator%5D=%21%3D&amp;hva%5B0%5D%5Bfilter%5D%5B0%5D%5Btype_id%5D=4820&amp;hva%5B0%5D%5Bfilter%5D%5B0%5D%5Bverdi%5D=&amp;hva%5B0%5D%5Bid%5D=144/når:2016-07-07", "Vegkart")</f>
        <v>Vegkart</v>
      </c>
      <c r="B4360">
        <v>713574751</v>
      </c>
      <c r="C4360">
        <v>144</v>
      </c>
      <c r="D4360" t="s">
        <v>13345</v>
      </c>
      <c r="E4360">
        <v>4820</v>
      </c>
      <c r="F4360" t="s">
        <v>23479</v>
      </c>
      <c r="G4360">
        <v>1</v>
      </c>
      <c r="H4360" t="s">
        <v>14413</v>
      </c>
      <c r="J4360" t="s">
        <v>14163</v>
      </c>
      <c r="K4360" t="s">
        <v>136</v>
      </c>
      <c r="L4360" t="s">
        <v>80</v>
      </c>
      <c r="M4360" t="s">
        <v>105</v>
      </c>
      <c r="N4360" t="s">
        <v>14615</v>
      </c>
      <c r="O4360" t="s">
        <v>14616</v>
      </c>
      <c r="P4360" s="2" t="s">
        <v>67</v>
      </c>
      <c r="Q4360" t="s">
        <v>68</v>
      </c>
      <c r="R4360">
        <v>28.38</v>
      </c>
      <c r="S4360">
        <v>28.48</v>
      </c>
      <c r="T4360" t="s">
        <v>14617</v>
      </c>
    </row>
    <row r="4361" spans="1:20" x14ac:dyDescent="0.25">
      <c r="A4361" s="1" t="str">
        <f>HYPERLINK("https://vegkart.atlas.vegvesen.no/#/@227071.8,6836978.5,18/hva:hva%5B0%5D%5Bfilter%5D%5B0%5D%5Boperator%5D=%21%3D&amp;hva%5B0%5D%5Bfilter%5D%5B0%5D%5Btype_id%5D=4820&amp;hva%5B0%5D%5Bfilter%5D%5B0%5D%5Bverdi%5D=&amp;hva%5B0%5D%5Bid%5D=144/når:2016-07-07", "Vegkart")</f>
        <v>Vegkart</v>
      </c>
      <c r="B4361">
        <v>713574752</v>
      </c>
      <c r="C4361">
        <v>144</v>
      </c>
      <c r="D4361" t="s">
        <v>13345</v>
      </c>
      <c r="E4361">
        <v>4820</v>
      </c>
      <c r="F4361" t="s">
        <v>23479</v>
      </c>
      <c r="G4361">
        <v>1</v>
      </c>
      <c r="H4361" t="s">
        <v>14413</v>
      </c>
      <c r="J4361" t="s">
        <v>14163</v>
      </c>
      <c r="K4361" t="s">
        <v>136</v>
      </c>
      <c r="L4361" t="s">
        <v>80</v>
      </c>
      <c r="M4361" t="s">
        <v>105</v>
      </c>
      <c r="N4361" t="s">
        <v>14618</v>
      </c>
      <c r="O4361" t="s">
        <v>14619</v>
      </c>
      <c r="P4361" s="2" t="s">
        <v>67</v>
      </c>
      <c r="Q4361" t="s">
        <v>68</v>
      </c>
      <c r="R4361">
        <v>49.24</v>
      </c>
      <c r="S4361">
        <v>49.27</v>
      </c>
      <c r="T4361" t="s">
        <v>14620</v>
      </c>
    </row>
    <row r="4362" spans="1:20" x14ac:dyDescent="0.25">
      <c r="A4362" s="1" t="str">
        <f>HYPERLINK("https://vegkart.atlas.vegvesen.no/#/@228881.2,6836965.9,18/hva:hva%5B0%5D%5Bfilter%5D%5B0%5D%5Boperator%5D=%21%3D&amp;hva%5B0%5D%5Bfilter%5D%5B0%5D%5Btype_id%5D=4820&amp;hva%5B0%5D%5Bfilter%5D%5B0%5D%5Bverdi%5D=&amp;hva%5B0%5D%5Bid%5D=144/når:2016-07-07", "Vegkart")</f>
        <v>Vegkart</v>
      </c>
      <c r="B4362">
        <v>713574753</v>
      </c>
      <c r="C4362">
        <v>144</v>
      </c>
      <c r="D4362" t="s">
        <v>13345</v>
      </c>
      <c r="E4362">
        <v>4820</v>
      </c>
      <c r="F4362" t="s">
        <v>23479</v>
      </c>
      <c r="G4362">
        <v>1</v>
      </c>
      <c r="H4362" t="s">
        <v>14413</v>
      </c>
      <c r="J4362" t="s">
        <v>14163</v>
      </c>
      <c r="K4362" t="s">
        <v>136</v>
      </c>
      <c r="L4362" t="s">
        <v>80</v>
      </c>
      <c r="M4362" t="s">
        <v>105</v>
      </c>
      <c r="N4362" t="s">
        <v>14621</v>
      </c>
      <c r="O4362" t="s">
        <v>14622</v>
      </c>
      <c r="P4362" s="2" t="s">
        <v>67</v>
      </c>
      <c r="Q4362" t="s">
        <v>68</v>
      </c>
      <c r="R4362">
        <v>19.670000000000002</v>
      </c>
      <c r="S4362">
        <v>19.670000000000002</v>
      </c>
      <c r="T4362" t="s">
        <v>14623</v>
      </c>
    </row>
    <row r="4363" spans="1:20" x14ac:dyDescent="0.25">
      <c r="A4363" s="1" t="str">
        <f>HYPERLINK("https://vegkart.atlas.vegvesen.no/#/@227061.3,6836873.7,18/hva:hva%5B0%5D%5Bfilter%5D%5B0%5D%5Boperator%5D=%21%3D&amp;hva%5B0%5D%5Bfilter%5D%5B0%5D%5Btype_id%5D=4820&amp;hva%5B0%5D%5Bfilter%5D%5B0%5D%5Bverdi%5D=&amp;hva%5B0%5D%5Bid%5D=144/når:2016-07-07", "Vegkart")</f>
        <v>Vegkart</v>
      </c>
      <c r="B4363">
        <v>713574754</v>
      </c>
      <c r="C4363">
        <v>144</v>
      </c>
      <c r="D4363" t="s">
        <v>13345</v>
      </c>
      <c r="E4363">
        <v>4820</v>
      </c>
      <c r="F4363" t="s">
        <v>23479</v>
      </c>
      <c r="G4363">
        <v>1</v>
      </c>
      <c r="H4363" t="s">
        <v>14413</v>
      </c>
      <c r="J4363" t="s">
        <v>14163</v>
      </c>
      <c r="K4363" t="s">
        <v>136</v>
      </c>
      <c r="L4363" t="s">
        <v>80</v>
      </c>
      <c r="M4363" t="s">
        <v>105</v>
      </c>
      <c r="N4363" t="s">
        <v>14624</v>
      </c>
      <c r="O4363" t="s">
        <v>14625</v>
      </c>
      <c r="P4363" s="2" t="s">
        <v>67</v>
      </c>
      <c r="Q4363" t="s">
        <v>68</v>
      </c>
      <c r="R4363">
        <v>124.06</v>
      </c>
      <c r="S4363">
        <v>140.26</v>
      </c>
      <c r="T4363" t="s">
        <v>14626</v>
      </c>
    </row>
    <row r="4364" spans="1:20" x14ac:dyDescent="0.25">
      <c r="A4364" s="1" t="str">
        <f>HYPERLINK("https://vegkart.atlas.vegvesen.no/#/@222275.9,6838701.3,18/hva:hva%5B0%5D%5Bfilter%5D%5B0%5D%5Boperator%5D=%21%3D&amp;hva%5B0%5D%5Bfilter%5D%5B0%5D%5Btype_id%5D=4820&amp;hva%5B0%5D%5Bfilter%5D%5B0%5D%5Bverdi%5D=&amp;hva%5B0%5D%5Bid%5D=144/når:2016-07-07", "Vegkart")</f>
        <v>Vegkart</v>
      </c>
      <c r="B4364">
        <v>713574755</v>
      </c>
      <c r="C4364">
        <v>144</v>
      </c>
      <c r="D4364" t="s">
        <v>13345</v>
      </c>
      <c r="E4364">
        <v>4820</v>
      </c>
      <c r="F4364" t="s">
        <v>23479</v>
      </c>
      <c r="G4364">
        <v>1</v>
      </c>
      <c r="H4364" t="s">
        <v>14413</v>
      </c>
      <c r="J4364" t="s">
        <v>14163</v>
      </c>
      <c r="K4364" t="s">
        <v>136</v>
      </c>
      <c r="L4364" t="s">
        <v>80</v>
      </c>
      <c r="M4364" t="s">
        <v>105</v>
      </c>
      <c r="N4364" t="s">
        <v>14627</v>
      </c>
      <c r="O4364" t="s">
        <v>14628</v>
      </c>
      <c r="P4364" s="2" t="s">
        <v>67</v>
      </c>
      <c r="Q4364" t="s">
        <v>68</v>
      </c>
      <c r="R4364">
        <v>19.850000000000001</v>
      </c>
      <c r="S4364">
        <v>20.010000000000002</v>
      </c>
      <c r="T4364" t="s">
        <v>14629</v>
      </c>
    </row>
    <row r="4365" spans="1:20" x14ac:dyDescent="0.25">
      <c r="A4365" s="1" t="str">
        <f>HYPERLINK("https://vegkart.atlas.vegvesen.no/#/@222472.1,6838510.2,18/hva:hva%5B0%5D%5Bfilter%5D%5B0%5D%5Boperator%5D=%21%3D&amp;hva%5B0%5D%5Bfilter%5D%5B0%5D%5Btype_id%5D=4820&amp;hva%5B0%5D%5Bfilter%5D%5B0%5D%5Bverdi%5D=&amp;hva%5B0%5D%5Bid%5D=144/når:2016-07-07", "Vegkart")</f>
        <v>Vegkart</v>
      </c>
      <c r="B4365">
        <v>713574756</v>
      </c>
      <c r="C4365">
        <v>144</v>
      </c>
      <c r="D4365" t="s">
        <v>13345</v>
      </c>
      <c r="E4365">
        <v>4820</v>
      </c>
      <c r="F4365" t="s">
        <v>23479</v>
      </c>
      <c r="G4365">
        <v>1</v>
      </c>
      <c r="H4365" t="s">
        <v>14413</v>
      </c>
      <c r="J4365" t="s">
        <v>14163</v>
      </c>
      <c r="K4365" t="s">
        <v>136</v>
      </c>
      <c r="L4365" t="s">
        <v>80</v>
      </c>
      <c r="M4365" t="s">
        <v>105</v>
      </c>
      <c r="N4365" t="s">
        <v>14630</v>
      </c>
      <c r="O4365" t="s">
        <v>14631</v>
      </c>
      <c r="P4365" s="2" t="s">
        <v>67</v>
      </c>
      <c r="Q4365" t="s">
        <v>68</v>
      </c>
      <c r="R4365">
        <v>106.09</v>
      </c>
      <c r="S4365">
        <v>106.51</v>
      </c>
      <c r="T4365" t="s">
        <v>14632</v>
      </c>
    </row>
    <row r="4366" spans="1:20" x14ac:dyDescent="0.25">
      <c r="A4366" s="1" t="str">
        <f>HYPERLINK("https://vegkart.atlas.vegvesen.no/#/@222330.6,6838583.6,18/hva:hva%5B0%5D%5Bfilter%5D%5B0%5D%5Boperator%5D=%21%3D&amp;hva%5B0%5D%5Bfilter%5D%5B0%5D%5Btype_id%5D=4820&amp;hva%5B0%5D%5Bfilter%5D%5B0%5D%5Bverdi%5D=&amp;hva%5B0%5D%5Bid%5D=144/når:2016-07-07", "Vegkart")</f>
        <v>Vegkart</v>
      </c>
      <c r="B4366">
        <v>713574757</v>
      </c>
      <c r="C4366">
        <v>144</v>
      </c>
      <c r="D4366" t="s">
        <v>13345</v>
      </c>
      <c r="E4366">
        <v>4820</v>
      </c>
      <c r="F4366" t="s">
        <v>23479</v>
      </c>
      <c r="G4366">
        <v>1</v>
      </c>
      <c r="H4366" t="s">
        <v>14413</v>
      </c>
      <c r="J4366" t="s">
        <v>14163</v>
      </c>
      <c r="K4366" t="s">
        <v>136</v>
      </c>
      <c r="L4366" t="s">
        <v>80</v>
      </c>
      <c r="M4366" t="s">
        <v>105</v>
      </c>
      <c r="N4366" t="s">
        <v>14633</v>
      </c>
      <c r="O4366" t="s">
        <v>14634</v>
      </c>
      <c r="P4366" s="2" t="s">
        <v>67</v>
      </c>
      <c r="Q4366" t="s">
        <v>68</v>
      </c>
      <c r="R4366">
        <v>182.83</v>
      </c>
      <c r="S4366">
        <v>183.19</v>
      </c>
      <c r="T4366" t="s">
        <v>14635</v>
      </c>
    </row>
    <row r="4367" spans="1:20" x14ac:dyDescent="0.25">
      <c r="A4367" s="1" t="str">
        <f>HYPERLINK("https://vegkart.atlas.vegvesen.no/#/@223261.6,6838062.6,18/hva:hva%5B0%5D%5Bfilter%5D%5B0%5D%5Boperator%5D=%21%3D&amp;hva%5B0%5D%5Bfilter%5D%5B0%5D%5Btype_id%5D=4820&amp;hva%5B0%5D%5Bfilter%5D%5B0%5D%5Bverdi%5D=&amp;hva%5B0%5D%5Bid%5D=144/når:2016-07-07", "Vegkart")</f>
        <v>Vegkart</v>
      </c>
      <c r="B4367">
        <v>713574758</v>
      </c>
      <c r="C4367">
        <v>144</v>
      </c>
      <c r="D4367" t="s">
        <v>13345</v>
      </c>
      <c r="E4367">
        <v>4820</v>
      </c>
      <c r="F4367" t="s">
        <v>23479</v>
      </c>
      <c r="G4367">
        <v>1</v>
      </c>
      <c r="H4367" t="s">
        <v>14413</v>
      </c>
      <c r="J4367" t="s">
        <v>14163</v>
      </c>
      <c r="K4367" t="s">
        <v>136</v>
      </c>
      <c r="L4367" t="s">
        <v>80</v>
      </c>
      <c r="M4367" t="s">
        <v>105</v>
      </c>
      <c r="N4367" t="s">
        <v>14636</v>
      </c>
      <c r="O4367" t="s">
        <v>14637</v>
      </c>
      <c r="P4367" s="2" t="s">
        <v>67</v>
      </c>
      <c r="Q4367" t="s">
        <v>68</v>
      </c>
      <c r="R4367">
        <v>442.12</v>
      </c>
      <c r="S4367">
        <v>442.91</v>
      </c>
      <c r="T4367" t="s">
        <v>14638</v>
      </c>
    </row>
    <row r="4368" spans="1:20" x14ac:dyDescent="0.25">
      <c r="A4368" s="1" t="str">
        <f>HYPERLINK("https://vegkart.atlas.vegvesen.no/#/@223623.0,6837896.4,18/hva:hva%5B0%5D%5Bfilter%5D%5B0%5D%5Boperator%5D=%21%3D&amp;hva%5B0%5D%5Bfilter%5D%5B0%5D%5Btype_id%5D=4820&amp;hva%5B0%5D%5Bfilter%5D%5B0%5D%5Bverdi%5D=&amp;hva%5B0%5D%5Bid%5D=144/når:2016-07-07", "Vegkart")</f>
        <v>Vegkart</v>
      </c>
      <c r="B4368">
        <v>713574759</v>
      </c>
      <c r="C4368">
        <v>144</v>
      </c>
      <c r="D4368" t="s">
        <v>13345</v>
      </c>
      <c r="E4368">
        <v>4820</v>
      </c>
      <c r="F4368" t="s">
        <v>23479</v>
      </c>
      <c r="G4368">
        <v>1</v>
      </c>
      <c r="H4368" t="s">
        <v>14413</v>
      </c>
      <c r="J4368" t="s">
        <v>14163</v>
      </c>
      <c r="K4368" t="s">
        <v>136</v>
      </c>
      <c r="L4368" t="s">
        <v>80</v>
      </c>
      <c r="M4368" t="s">
        <v>105</v>
      </c>
      <c r="N4368" t="s">
        <v>14639</v>
      </c>
      <c r="O4368" t="s">
        <v>14640</v>
      </c>
      <c r="P4368" s="2" t="s">
        <v>67</v>
      </c>
      <c r="Q4368" t="s">
        <v>68</v>
      </c>
      <c r="R4368">
        <v>15.97</v>
      </c>
      <c r="S4368">
        <v>15.97</v>
      </c>
      <c r="T4368" t="s">
        <v>14641</v>
      </c>
    </row>
    <row r="4369" spans="1:20" x14ac:dyDescent="0.25">
      <c r="A4369" s="1" t="str">
        <f>HYPERLINK("https://vegkart.atlas.vegvesen.no/#/@223714.4,6837883.9,18/hva:hva%5B0%5D%5Bfilter%5D%5B0%5D%5Boperator%5D=%21%3D&amp;hva%5B0%5D%5Bfilter%5D%5B0%5D%5Btype_id%5D=4820&amp;hva%5B0%5D%5Bfilter%5D%5B0%5D%5Bverdi%5D=&amp;hva%5B0%5D%5Bid%5D=144/når:2016-07-07", "Vegkart")</f>
        <v>Vegkart</v>
      </c>
      <c r="B4369">
        <v>713574760</v>
      </c>
      <c r="C4369">
        <v>144</v>
      </c>
      <c r="D4369" t="s">
        <v>13345</v>
      </c>
      <c r="E4369">
        <v>4820</v>
      </c>
      <c r="F4369" t="s">
        <v>23479</v>
      </c>
      <c r="G4369">
        <v>1</v>
      </c>
      <c r="H4369" t="s">
        <v>14413</v>
      </c>
      <c r="J4369" t="s">
        <v>14163</v>
      </c>
      <c r="K4369" t="s">
        <v>136</v>
      </c>
      <c r="L4369" t="s">
        <v>80</v>
      </c>
      <c r="M4369" t="s">
        <v>105</v>
      </c>
      <c r="N4369" t="s">
        <v>14642</v>
      </c>
      <c r="O4369" t="s">
        <v>14643</v>
      </c>
      <c r="P4369" s="2" t="s">
        <v>67</v>
      </c>
      <c r="Q4369" t="s">
        <v>68</v>
      </c>
      <c r="R4369">
        <v>165</v>
      </c>
      <c r="S4369">
        <v>165.5</v>
      </c>
      <c r="T4369" t="s">
        <v>14644</v>
      </c>
    </row>
    <row r="4370" spans="1:20" x14ac:dyDescent="0.25">
      <c r="A4370" s="1" t="str">
        <f>HYPERLINK("https://vegkart.atlas.vegvesen.no/#/@224138.6,6837945.0,18/hva:hva%5B0%5D%5Bfilter%5D%5B0%5D%5Boperator%5D=%21%3D&amp;hva%5B0%5D%5Bfilter%5D%5B0%5D%5Btype_id%5D=4820&amp;hva%5B0%5D%5Bfilter%5D%5B0%5D%5Bverdi%5D=&amp;hva%5B0%5D%5Bid%5D=144/når:2016-07-07", "Vegkart")</f>
        <v>Vegkart</v>
      </c>
      <c r="B4370">
        <v>713574761</v>
      </c>
      <c r="C4370">
        <v>144</v>
      </c>
      <c r="D4370" t="s">
        <v>13345</v>
      </c>
      <c r="E4370">
        <v>4820</v>
      </c>
      <c r="F4370" t="s">
        <v>23479</v>
      </c>
      <c r="G4370">
        <v>1</v>
      </c>
      <c r="H4370" t="s">
        <v>14413</v>
      </c>
      <c r="J4370" t="s">
        <v>14163</v>
      </c>
      <c r="K4370" t="s">
        <v>136</v>
      </c>
      <c r="L4370" t="s">
        <v>80</v>
      </c>
      <c r="M4370" t="s">
        <v>105</v>
      </c>
      <c r="N4370" t="s">
        <v>14645</v>
      </c>
      <c r="O4370" t="s">
        <v>14646</v>
      </c>
      <c r="P4370" s="2" t="s">
        <v>67</v>
      </c>
      <c r="Q4370" t="s">
        <v>68</v>
      </c>
      <c r="R4370">
        <v>689.06</v>
      </c>
      <c r="S4370">
        <v>694.1</v>
      </c>
      <c r="T4370" t="s">
        <v>14647</v>
      </c>
    </row>
    <row r="4371" spans="1:20" x14ac:dyDescent="0.25">
      <c r="A4371" s="1" t="str">
        <f>HYPERLINK("https://vegkart.atlas.vegvesen.no/#/@230409.9,6836219.0,18/hva:hva%5B0%5D%5Bfilter%5D%5B0%5D%5Boperator%5D=%21%3D&amp;hva%5B0%5D%5Bfilter%5D%5B0%5D%5Btype_id%5D=4820&amp;hva%5B0%5D%5Bfilter%5D%5B0%5D%5Bverdi%5D=&amp;hva%5B0%5D%5Bid%5D=144/når:2016-07-07", "Vegkart")</f>
        <v>Vegkart</v>
      </c>
      <c r="B4371">
        <v>713574762</v>
      </c>
      <c r="C4371">
        <v>144</v>
      </c>
      <c r="D4371" t="s">
        <v>13345</v>
      </c>
      <c r="E4371">
        <v>4820</v>
      </c>
      <c r="F4371" t="s">
        <v>23479</v>
      </c>
      <c r="G4371">
        <v>1</v>
      </c>
      <c r="H4371" t="s">
        <v>14413</v>
      </c>
      <c r="J4371" t="s">
        <v>14163</v>
      </c>
      <c r="K4371" t="s">
        <v>136</v>
      </c>
      <c r="L4371" t="s">
        <v>80</v>
      </c>
      <c r="M4371" t="s">
        <v>105</v>
      </c>
      <c r="N4371" t="s">
        <v>14648</v>
      </c>
      <c r="O4371" t="s">
        <v>14649</v>
      </c>
      <c r="P4371" s="2" t="s">
        <v>67</v>
      </c>
      <c r="Q4371" t="s">
        <v>68</v>
      </c>
      <c r="R4371">
        <v>135.66</v>
      </c>
      <c r="S4371">
        <v>135.80000000000001</v>
      </c>
      <c r="T4371" t="s">
        <v>14650</v>
      </c>
    </row>
    <row r="4372" spans="1:20" x14ac:dyDescent="0.25">
      <c r="A4372" s="1" t="str">
        <f>HYPERLINK("https://vegkart.atlas.vegvesen.no/#/@230356.2,6836278.4,18/hva:hva%5B0%5D%5Bfilter%5D%5B0%5D%5Boperator%5D=%21%3D&amp;hva%5B0%5D%5Bfilter%5D%5B0%5D%5Btype_id%5D=4820&amp;hva%5B0%5D%5Bfilter%5D%5B0%5D%5Bverdi%5D=&amp;hva%5B0%5D%5Bid%5D=144/når:2016-07-07", "Vegkart")</f>
        <v>Vegkart</v>
      </c>
      <c r="B4372">
        <v>713574763</v>
      </c>
      <c r="C4372">
        <v>144</v>
      </c>
      <c r="D4372" t="s">
        <v>13345</v>
      </c>
      <c r="E4372">
        <v>4820</v>
      </c>
      <c r="F4372" t="s">
        <v>23479</v>
      </c>
      <c r="G4372">
        <v>1</v>
      </c>
      <c r="H4372" t="s">
        <v>14413</v>
      </c>
      <c r="J4372" t="s">
        <v>14163</v>
      </c>
      <c r="K4372" t="s">
        <v>136</v>
      </c>
      <c r="L4372" t="s">
        <v>80</v>
      </c>
      <c r="M4372" t="s">
        <v>105</v>
      </c>
      <c r="N4372" t="s">
        <v>14651</v>
      </c>
      <c r="O4372" t="s">
        <v>14652</v>
      </c>
      <c r="P4372" s="2" t="s">
        <v>67</v>
      </c>
      <c r="Q4372" t="s">
        <v>68</v>
      </c>
      <c r="R4372">
        <v>21.76</v>
      </c>
      <c r="S4372">
        <v>21.76</v>
      </c>
      <c r="T4372" t="s">
        <v>14653</v>
      </c>
    </row>
    <row r="4373" spans="1:20" x14ac:dyDescent="0.25">
      <c r="A4373" s="1" t="str">
        <f>HYPERLINK("https://vegkart.atlas.vegvesen.no/#/@225444.5,6837842.8,18/hva:hva%5B0%5D%5Bfilter%5D%5B0%5D%5Boperator%5D=%21%3D&amp;hva%5B0%5D%5Bfilter%5D%5B0%5D%5Btype_id%5D=4820&amp;hva%5B0%5D%5Bfilter%5D%5B0%5D%5Bverdi%5D=&amp;hva%5B0%5D%5Bid%5D=144/når:2016-07-07", "Vegkart")</f>
        <v>Vegkart</v>
      </c>
      <c r="B4373">
        <v>713574764</v>
      </c>
      <c r="C4373">
        <v>144</v>
      </c>
      <c r="D4373" t="s">
        <v>13345</v>
      </c>
      <c r="E4373">
        <v>4820</v>
      </c>
      <c r="F4373" t="s">
        <v>23479</v>
      </c>
      <c r="G4373">
        <v>1</v>
      </c>
      <c r="H4373" t="s">
        <v>14413</v>
      </c>
      <c r="J4373" t="s">
        <v>14163</v>
      </c>
      <c r="K4373" t="s">
        <v>136</v>
      </c>
      <c r="L4373" t="s">
        <v>80</v>
      </c>
      <c r="M4373" t="s">
        <v>105</v>
      </c>
      <c r="N4373" t="s">
        <v>14654</v>
      </c>
      <c r="O4373" t="s">
        <v>14655</v>
      </c>
      <c r="P4373" s="2" t="s">
        <v>67</v>
      </c>
      <c r="Q4373" t="s">
        <v>68</v>
      </c>
      <c r="R4373">
        <v>208.46</v>
      </c>
      <c r="S4373">
        <v>208.65</v>
      </c>
      <c r="T4373" t="s">
        <v>14656</v>
      </c>
    </row>
    <row r="4374" spans="1:20" x14ac:dyDescent="0.25">
      <c r="A4374" s="1" t="str">
        <f>HYPERLINK("https://vegkart.atlas.vegvesen.no/#/@224488.7,6838054.1,18/hva:hva%5B0%5D%5Bfilter%5D%5B0%5D%5Boperator%5D=%21%3D&amp;hva%5B0%5D%5Bfilter%5D%5B0%5D%5Btype_id%5D=4820&amp;hva%5B0%5D%5Bfilter%5D%5B0%5D%5Bverdi%5D=&amp;hva%5B0%5D%5Bid%5D=144/når:2016-07-07", "Vegkart")</f>
        <v>Vegkart</v>
      </c>
      <c r="B4374">
        <v>713574765</v>
      </c>
      <c r="C4374">
        <v>144</v>
      </c>
      <c r="D4374" t="s">
        <v>13345</v>
      </c>
      <c r="E4374">
        <v>4820</v>
      </c>
      <c r="F4374" t="s">
        <v>23479</v>
      </c>
      <c r="G4374">
        <v>1</v>
      </c>
      <c r="H4374" t="s">
        <v>14413</v>
      </c>
      <c r="J4374" t="s">
        <v>14163</v>
      </c>
      <c r="K4374" t="s">
        <v>136</v>
      </c>
      <c r="L4374" t="s">
        <v>80</v>
      </c>
      <c r="M4374" t="s">
        <v>105</v>
      </c>
      <c r="N4374" t="s">
        <v>14657</v>
      </c>
      <c r="O4374" t="s">
        <v>14658</v>
      </c>
      <c r="P4374" s="2" t="s">
        <v>67</v>
      </c>
      <c r="Q4374" t="s">
        <v>68</v>
      </c>
      <c r="R4374">
        <v>29.44</v>
      </c>
      <c r="S4374">
        <v>29.44</v>
      </c>
      <c r="T4374" t="s">
        <v>14659</v>
      </c>
    </row>
    <row r="4375" spans="1:20" x14ac:dyDescent="0.25">
      <c r="A4375" s="1" t="str">
        <f>HYPERLINK("https://vegkart.atlas.vegvesen.no/#/@225042.5,6838086.2,18/hva:hva%5B0%5D%5Bfilter%5D%5B0%5D%5Boperator%5D=%21%3D&amp;hva%5B0%5D%5Bfilter%5D%5B0%5D%5Btype_id%5D=4820&amp;hva%5B0%5D%5Bfilter%5D%5B0%5D%5Bverdi%5D=&amp;hva%5B0%5D%5Bid%5D=144/når:2016-07-07", "Vegkart")</f>
        <v>Vegkart</v>
      </c>
      <c r="B4375">
        <v>713574766</v>
      </c>
      <c r="C4375">
        <v>144</v>
      </c>
      <c r="D4375" t="s">
        <v>13345</v>
      </c>
      <c r="E4375">
        <v>4820</v>
      </c>
      <c r="F4375" t="s">
        <v>23479</v>
      </c>
      <c r="G4375">
        <v>1</v>
      </c>
      <c r="H4375" t="s">
        <v>14413</v>
      </c>
      <c r="J4375" t="s">
        <v>14163</v>
      </c>
      <c r="K4375" t="s">
        <v>136</v>
      </c>
      <c r="L4375" t="s">
        <v>80</v>
      </c>
      <c r="M4375" t="s">
        <v>105</v>
      </c>
      <c r="N4375" t="s">
        <v>14660</v>
      </c>
      <c r="O4375" t="s">
        <v>14661</v>
      </c>
      <c r="P4375" s="2" t="s">
        <v>67</v>
      </c>
      <c r="Q4375" t="s">
        <v>68</v>
      </c>
      <c r="R4375">
        <v>178.55</v>
      </c>
      <c r="S4375">
        <v>180.58</v>
      </c>
      <c r="T4375" t="s">
        <v>14662</v>
      </c>
    </row>
    <row r="4376" spans="1:20" x14ac:dyDescent="0.25">
      <c r="A4376" s="1" t="str">
        <f>HYPERLINK("https://vegkart.atlas.vegvesen.no/#/@224956.4,6838105.2,18/hva:hva%5B0%5D%5Bfilter%5D%5B0%5D%5Boperator%5D=%21%3D&amp;hva%5B0%5D%5Bfilter%5D%5B0%5D%5Btype_id%5D=4820&amp;hva%5B0%5D%5Bfilter%5D%5B0%5D%5Bverdi%5D=&amp;hva%5B0%5D%5Bid%5D=144/når:2016-07-07", "Vegkart")</f>
        <v>Vegkart</v>
      </c>
      <c r="B4376">
        <v>713574767</v>
      </c>
      <c r="C4376">
        <v>144</v>
      </c>
      <c r="D4376" t="s">
        <v>13345</v>
      </c>
      <c r="E4376">
        <v>4820</v>
      </c>
      <c r="F4376" t="s">
        <v>23479</v>
      </c>
      <c r="G4376">
        <v>1</v>
      </c>
      <c r="H4376" t="s">
        <v>14413</v>
      </c>
      <c r="J4376" t="s">
        <v>14163</v>
      </c>
      <c r="K4376" t="s">
        <v>136</v>
      </c>
      <c r="L4376" t="s">
        <v>80</v>
      </c>
      <c r="M4376" t="s">
        <v>105</v>
      </c>
      <c r="N4376" t="s">
        <v>14663</v>
      </c>
      <c r="O4376" t="s">
        <v>14664</v>
      </c>
      <c r="P4376" s="2" t="s">
        <v>67</v>
      </c>
      <c r="Q4376" t="s">
        <v>68</v>
      </c>
      <c r="R4376">
        <v>23.2</v>
      </c>
      <c r="S4376">
        <v>23.24</v>
      </c>
      <c r="T4376" t="s">
        <v>14665</v>
      </c>
    </row>
    <row r="4377" spans="1:20" x14ac:dyDescent="0.25">
      <c r="A4377" s="1" t="str">
        <f>HYPERLINK("https://vegkart.atlas.vegvesen.no/#/@224898.5,6838040.3,18/hva:hva%5B0%5D%5Bfilter%5D%5B0%5D%5Boperator%5D=%21%3D&amp;hva%5B0%5D%5Bfilter%5D%5B0%5D%5Btype_id%5D=4820&amp;hva%5B0%5D%5Bfilter%5D%5B0%5D%5Bverdi%5D=&amp;hva%5B0%5D%5Bid%5D=144/når:2016-07-07", "Vegkart")</f>
        <v>Vegkart</v>
      </c>
      <c r="B4377">
        <v>713574768</v>
      </c>
      <c r="C4377">
        <v>144</v>
      </c>
      <c r="D4377" t="s">
        <v>13345</v>
      </c>
      <c r="E4377">
        <v>4820</v>
      </c>
      <c r="F4377" t="s">
        <v>23479</v>
      </c>
      <c r="G4377">
        <v>1</v>
      </c>
      <c r="H4377" t="s">
        <v>14413</v>
      </c>
      <c r="J4377" t="s">
        <v>14163</v>
      </c>
      <c r="K4377" t="s">
        <v>136</v>
      </c>
      <c r="L4377" t="s">
        <v>80</v>
      </c>
      <c r="M4377" t="s">
        <v>105</v>
      </c>
      <c r="N4377" t="s">
        <v>14666</v>
      </c>
      <c r="O4377" t="s">
        <v>14667</v>
      </c>
      <c r="P4377" s="2" t="s">
        <v>67</v>
      </c>
      <c r="Q4377" t="s">
        <v>68</v>
      </c>
      <c r="R4377">
        <v>93.39</v>
      </c>
      <c r="S4377">
        <v>93.82</v>
      </c>
      <c r="T4377" t="s">
        <v>14668</v>
      </c>
    </row>
    <row r="4378" spans="1:20" x14ac:dyDescent="0.25">
      <c r="A4378" s="1" t="str">
        <f>HYPERLINK("https://vegkart.atlas.vegvesen.no/#/@225488.3,6837716.9,18/hva:hva%5B0%5D%5Bfilter%5D%5B0%5D%5Boperator%5D=%21%3D&amp;hva%5B0%5D%5Bfilter%5D%5B0%5D%5Btype_id%5D=4820&amp;hva%5B0%5D%5Bfilter%5D%5B0%5D%5Bverdi%5D=&amp;hva%5B0%5D%5Bid%5D=144/når:2016-07-07", "Vegkart")</f>
        <v>Vegkart</v>
      </c>
      <c r="B4378">
        <v>713574769</v>
      </c>
      <c r="C4378">
        <v>144</v>
      </c>
      <c r="D4378" t="s">
        <v>13345</v>
      </c>
      <c r="E4378">
        <v>4820</v>
      </c>
      <c r="F4378" t="s">
        <v>23479</v>
      </c>
      <c r="G4378">
        <v>1</v>
      </c>
      <c r="H4378" t="s">
        <v>14413</v>
      </c>
      <c r="J4378" t="s">
        <v>14163</v>
      </c>
      <c r="K4378" t="s">
        <v>136</v>
      </c>
      <c r="L4378" t="s">
        <v>80</v>
      </c>
      <c r="M4378" t="s">
        <v>105</v>
      </c>
      <c r="N4378" t="s">
        <v>14669</v>
      </c>
      <c r="O4378" t="s">
        <v>14670</v>
      </c>
      <c r="P4378" s="2" t="s">
        <v>67</v>
      </c>
      <c r="Q4378" t="s">
        <v>68</v>
      </c>
      <c r="R4378">
        <v>66.569999999999993</v>
      </c>
      <c r="S4378">
        <v>66.75</v>
      </c>
      <c r="T4378" t="s">
        <v>14671</v>
      </c>
    </row>
    <row r="4379" spans="1:20" x14ac:dyDescent="0.25">
      <c r="A4379" s="1" t="str">
        <f>HYPERLINK("https://vegkart.atlas.vegvesen.no/#/@224683.8,6838062.7,18/hva:hva%5B0%5D%5Bfilter%5D%5B0%5D%5Boperator%5D=%21%3D&amp;hva%5B0%5D%5Bfilter%5D%5B0%5D%5Btype_id%5D=4820&amp;hva%5B0%5D%5Bfilter%5D%5B0%5D%5Bverdi%5D=&amp;hva%5B0%5D%5Bid%5D=144/når:2016-07-07", "Vegkart")</f>
        <v>Vegkart</v>
      </c>
      <c r="B4379">
        <v>713574770</v>
      </c>
      <c r="C4379">
        <v>144</v>
      </c>
      <c r="D4379" t="s">
        <v>13345</v>
      </c>
      <c r="E4379">
        <v>4820</v>
      </c>
      <c r="F4379" t="s">
        <v>23479</v>
      </c>
      <c r="G4379">
        <v>1</v>
      </c>
      <c r="H4379" t="s">
        <v>14413</v>
      </c>
      <c r="J4379" t="s">
        <v>14163</v>
      </c>
      <c r="K4379" t="s">
        <v>136</v>
      </c>
      <c r="L4379" t="s">
        <v>80</v>
      </c>
      <c r="M4379" t="s">
        <v>105</v>
      </c>
      <c r="N4379" t="s">
        <v>14672</v>
      </c>
      <c r="O4379" t="s">
        <v>14673</v>
      </c>
      <c r="P4379" s="2" t="s">
        <v>67</v>
      </c>
      <c r="Q4379" t="s">
        <v>68</v>
      </c>
      <c r="R4379">
        <v>71.94</v>
      </c>
      <c r="S4379">
        <v>72.89</v>
      </c>
      <c r="T4379" t="s">
        <v>14674</v>
      </c>
    </row>
    <row r="4380" spans="1:20" x14ac:dyDescent="0.25">
      <c r="A4380" s="1" t="str">
        <f>HYPERLINK("https://vegkart.atlas.vegvesen.no/#/@230396.0,6836155.7,18/hva:hva%5B0%5D%5Bfilter%5D%5B0%5D%5Boperator%5D=%21%3D&amp;hva%5B0%5D%5Bfilter%5D%5B0%5D%5Btype_id%5D=4820&amp;hva%5B0%5D%5Bfilter%5D%5B0%5D%5Bverdi%5D=&amp;hva%5B0%5D%5Bid%5D=144/når:2016-07-07", "Vegkart")</f>
        <v>Vegkart</v>
      </c>
      <c r="B4380">
        <v>713574771</v>
      </c>
      <c r="C4380">
        <v>144</v>
      </c>
      <c r="D4380" t="s">
        <v>13345</v>
      </c>
      <c r="E4380">
        <v>4820</v>
      </c>
      <c r="F4380" t="s">
        <v>23479</v>
      </c>
      <c r="G4380">
        <v>1</v>
      </c>
      <c r="H4380" t="s">
        <v>14413</v>
      </c>
      <c r="J4380" t="s">
        <v>14163</v>
      </c>
      <c r="K4380" t="s">
        <v>136</v>
      </c>
      <c r="L4380" t="s">
        <v>80</v>
      </c>
      <c r="M4380" t="s">
        <v>105</v>
      </c>
      <c r="N4380" t="s">
        <v>14675</v>
      </c>
      <c r="O4380" t="s">
        <v>14676</v>
      </c>
      <c r="P4380" s="2" t="s">
        <v>67</v>
      </c>
      <c r="Q4380" t="s">
        <v>68</v>
      </c>
      <c r="R4380">
        <v>32.07</v>
      </c>
      <c r="S4380">
        <v>32.409999999999997</v>
      </c>
      <c r="T4380" t="s">
        <v>14677</v>
      </c>
    </row>
    <row r="4381" spans="1:20" x14ac:dyDescent="0.25">
      <c r="A4381" s="1" t="str">
        <f>HYPERLINK("https://vegkart.atlas.vegvesen.no/#/@200319.6,7064029.7,18/hva:hva%5B0%5D%5Bfilter%5D%5B0%5D%5Boperator%5D=%21%3D&amp;hva%5B0%5D%5Bfilter%5D%5B0%5D%5Btype_id%5D=4820&amp;hva%5B0%5D%5Bfilter%5D%5B0%5D%5Bverdi%5D=&amp;hva%5B0%5D%5Bid%5D=144/når:2016-07-26", "Vegkart")</f>
        <v>Vegkart</v>
      </c>
      <c r="B4381">
        <v>718998934</v>
      </c>
      <c r="C4381">
        <v>144</v>
      </c>
      <c r="D4381" t="s">
        <v>13345</v>
      </c>
      <c r="E4381">
        <v>4820</v>
      </c>
      <c r="F4381" t="s">
        <v>23479</v>
      </c>
      <c r="G4381">
        <v>1</v>
      </c>
      <c r="H4381" t="s">
        <v>14678</v>
      </c>
      <c r="J4381" t="s">
        <v>14163</v>
      </c>
      <c r="K4381" t="s">
        <v>192</v>
      </c>
      <c r="L4381" t="s">
        <v>33</v>
      </c>
      <c r="M4381" t="s">
        <v>13400</v>
      </c>
      <c r="N4381" t="s">
        <v>14679</v>
      </c>
      <c r="O4381" t="s">
        <v>14680</v>
      </c>
      <c r="P4381" s="2" t="s">
        <v>37</v>
      </c>
      <c r="Q4381" t="s">
        <v>1208</v>
      </c>
      <c r="R4381">
        <v>4.45</v>
      </c>
      <c r="S4381">
        <v>27.54</v>
      </c>
      <c r="T4381" t="s">
        <v>14681</v>
      </c>
    </row>
    <row r="4382" spans="1:20" x14ac:dyDescent="0.25">
      <c r="A4382" s="1" t="str">
        <f>HYPERLINK("https://vegkart.atlas.vegvesen.no/#/@200292.8,7064031.6,18/hva:hva%5B0%5D%5Bfilter%5D%5B0%5D%5Boperator%5D=%21%3D&amp;hva%5B0%5D%5Bfilter%5D%5B0%5D%5Btype_id%5D=4820&amp;hva%5B0%5D%5Bfilter%5D%5B0%5D%5Bverdi%5D=&amp;hva%5B0%5D%5Bid%5D=144/når:2016-07-26", "Vegkart")</f>
        <v>Vegkart</v>
      </c>
      <c r="B4382">
        <v>718998935</v>
      </c>
      <c r="C4382">
        <v>144</v>
      </c>
      <c r="D4382" t="s">
        <v>13345</v>
      </c>
      <c r="E4382">
        <v>4820</v>
      </c>
      <c r="F4382" t="s">
        <v>23479</v>
      </c>
      <c r="G4382">
        <v>1</v>
      </c>
      <c r="H4382" t="s">
        <v>14678</v>
      </c>
      <c r="J4382" t="s">
        <v>14163</v>
      </c>
      <c r="K4382" t="s">
        <v>192</v>
      </c>
      <c r="L4382" t="s">
        <v>33</v>
      </c>
      <c r="M4382" t="s">
        <v>13400</v>
      </c>
      <c r="N4382" t="s">
        <v>14682</v>
      </c>
      <c r="O4382" t="s">
        <v>14683</v>
      </c>
      <c r="P4382" s="2" t="s">
        <v>37</v>
      </c>
      <c r="Q4382" t="s">
        <v>1208</v>
      </c>
      <c r="R4382">
        <v>3.98</v>
      </c>
      <c r="S4382">
        <v>22.55</v>
      </c>
      <c r="T4382" t="s">
        <v>14684</v>
      </c>
    </row>
    <row r="4383" spans="1:20" x14ac:dyDescent="0.25">
      <c r="A4383" s="1" t="str">
        <f>HYPERLINK("https://vegkart.atlas.vegvesen.no/#/@96855.0,6965479.0,18/hva:hva%5B0%5D%5Bfilter%5D%5B0%5D%5Boperator%5D=%21%3D&amp;hva%5B0%5D%5Bfilter%5D%5B0%5D%5Btype_id%5D=4820&amp;hva%5B0%5D%5Bfilter%5D%5B0%5D%5Bverdi%5D=&amp;hva%5B0%5D%5Bid%5D=144/når:2016-08-10", "Vegkart")</f>
        <v>Vegkart</v>
      </c>
      <c r="B4383">
        <v>723442388</v>
      </c>
      <c r="C4383">
        <v>144</v>
      </c>
      <c r="D4383" t="s">
        <v>13345</v>
      </c>
      <c r="E4383">
        <v>4820</v>
      </c>
      <c r="F4383" t="s">
        <v>23479</v>
      </c>
      <c r="G4383">
        <v>1</v>
      </c>
      <c r="H4383" t="s">
        <v>14685</v>
      </c>
      <c r="J4383" t="s">
        <v>14163</v>
      </c>
      <c r="K4383" t="s">
        <v>32</v>
      </c>
      <c r="L4383" t="s">
        <v>33</v>
      </c>
      <c r="M4383" t="s">
        <v>2687</v>
      </c>
      <c r="N4383" t="s">
        <v>14686</v>
      </c>
      <c r="O4383" t="s">
        <v>14687</v>
      </c>
      <c r="P4383" s="2" t="s">
        <v>165</v>
      </c>
      <c r="Q4383" t="s">
        <v>641</v>
      </c>
      <c r="R4383">
        <v>0</v>
      </c>
      <c r="S4383">
        <v>210.23</v>
      </c>
      <c r="T4383" t="s">
        <v>167</v>
      </c>
    </row>
    <row r="4384" spans="1:20" x14ac:dyDescent="0.25">
      <c r="A4384" s="1" t="str">
        <f>HYPERLINK("https://vegkart.atlas.vegvesen.no/#/@324705.0,7070188.6,18/hva:hva%5B0%5D%5Bfilter%5D%5B0%5D%5Boperator%5D=%21%3D&amp;hva%5B0%5D%5Bfilter%5D%5B0%5D%5Btype_id%5D=4820&amp;hva%5B0%5D%5Bfilter%5D%5B0%5D%5Bverdi%5D=&amp;hva%5B0%5D%5Bid%5D=144/når:2016-08-12", "Vegkart")</f>
        <v>Vegkart</v>
      </c>
      <c r="B4384">
        <v>723956270</v>
      </c>
      <c r="C4384">
        <v>144</v>
      </c>
      <c r="D4384" t="s">
        <v>13345</v>
      </c>
      <c r="E4384">
        <v>4820</v>
      </c>
      <c r="F4384" t="s">
        <v>23479</v>
      </c>
      <c r="G4384">
        <v>1</v>
      </c>
      <c r="H4384" t="s">
        <v>14688</v>
      </c>
      <c r="J4384" t="s">
        <v>14163</v>
      </c>
      <c r="K4384" t="s">
        <v>192</v>
      </c>
      <c r="L4384" t="s">
        <v>33</v>
      </c>
      <c r="M4384" t="s">
        <v>14689</v>
      </c>
      <c r="N4384" t="s">
        <v>14690</v>
      </c>
      <c r="O4384" t="s">
        <v>14691</v>
      </c>
      <c r="P4384" s="2" t="s">
        <v>67</v>
      </c>
      <c r="Q4384" t="s">
        <v>68</v>
      </c>
      <c r="R4384">
        <v>85.31</v>
      </c>
      <c r="S4384">
        <v>86.83</v>
      </c>
      <c r="T4384" t="s">
        <v>14692</v>
      </c>
    </row>
    <row r="4385" spans="1:20" x14ac:dyDescent="0.25">
      <c r="A4385" s="1" t="str">
        <f>HYPERLINK("https://vegkart.atlas.vegvesen.no/#/@324791.4,7070259.3,18/hva:hva%5B0%5D%5Bfilter%5D%5B0%5D%5Boperator%5D=%21%3D&amp;hva%5B0%5D%5Bfilter%5D%5B0%5D%5Btype_id%5D=4820&amp;hva%5B0%5D%5Bfilter%5D%5B0%5D%5Bverdi%5D=&amp;hva%5B0%5D%5Bid%5D=144/når:2016-08-12", "Vegkart")</f>
        <v>Vegkart</v>
      </c>
      <c r="B4385">
        <v>723956271</v>
      </c>
      <c r="C4385">
        <v>144</v>
      </c>
      <c r="D4385" t="s">
        <v>13345</v>
      </c>
      <c r="E4385">
        <v>4820</v>
      </c>
      <c r="F4385" t="s">
        <v>23479</v>
      </c>
      <c r="G4385">
        <v>1</v>
      </c>
      <c r="H4385" t="s">
        <v>14688</v>
      </c>
      <c r="J4385" t="s">
        <v>14163</v>
      </c>
      <c r="K4385" t="s">
        <v>192</v>
      </c>
      <c r="L4385" t="s">
        <v>33</v>
      </c>
      <c r="M4385" t="s">
        <v>14689</v>
      </c>
      <c r="N4385" t="s">
        <v>14693</v>
      </c>
      <c r="O4385" t="s">
        <v>14694</v>
      </c>
      <c r="P4385" s="2" t="s">
        <v>67</v>
      </c>
      <c r="Q4385" t="s">
        <v>68</v>
      </c>
      <c r="R4385">
        <v>65.17</v>
      </c>
      <c r="S4385">
        <v>71.06</v>
      </c>
      <c r="T4385" t="s">
        <v>14695</v>
      </c>
    </row>
    <row r="4386" spans="1:20" x14ac:dyDescent="0.25">
      <c r="A4386" s="1" t="str">
        <f>HYPERLINK("https://vegkart.atlas.vegvesen.no/#/@324773.5,7070303.4,18/hva:hva%5B0%5D%5Bfilter%5D%5B0%5D%5Boperator%5D=%21%3D&amp;hva%5B0%5D%5Bfilter%5D%5B0%5D%5Btype_id%5D=4820&amp;hva%5B0%5D%5Bfilter%5D%5B0%5D%5Bverdi%5D=&amp;hva%5B0%5D%5Bid%5D=144/når:2016-08-12", "Vegkart")</f>
        <v>Vegkart</v>
      </c>
      <c r="B4386">
        <v>723956272</v>
      </c>
      <c r="C4386">
        <v>144</v>
      </c>
      <c r="D4386" t="s">
        <v>13345</v>
      </c>
      <c r="E4386">
        <v>4820</v>
      </c>
      <c r="F4386" t="s">
        <v>23479</v>
      </c>
      <c r="G4386">
        <v>1</v>
      </c>
      <c r="H4386" t="s">
        <v>14688</v>
      </c>
      <c r="J4386" t="s">
        <v>14163</v>
      </c>
      <c r="K4386" t="s">
        <v>192</v>
      </c>
      <c r="L4386" t="s">
        <v>33</v>
      </c>
      <c r="M4386" t="s">
        <v>14689</v>
      </c>
      <c r="N4386" t="s">
        <v>14696</v>
      </c>
      <c r="O4386" t="s">
        <v>14697</v>
      </c>
      <c r="P4386" s="2" t="s">
        <v>67</v>
      </c>
      <c r="Q4386" t="s">
        <v>68</v>
      </c>
      <c r="R4386">
        <v>42.16</v>
      </c>
      <c r="S4386">
        <v>42.72</v>
      </c>
      <c r="T4386" t="s">
        <v>14698</v>
      </c>
    </row>
    <row r="4387" spans="1:20" x14ac:dyDescent="0.25">
      <c r="A4387" s="1" t="str">
        <f>HYPERLINK("https://vegkart.atlas.vegvesen.no/#/@324074.9,7071029.0,18/hva:hva%5B0%5D%5Bfilter%5D%5B0%5D%5Boperator%5D=%21%3D&amp;hva%5B0%5D%5Bfilter%5D%5B0%5D%5Btype_id%5D=4820&amp;hva%5B0%5D%5Bfilter%5D%5B0%5D%5Bverdi%5D=&amp;hva%5B0%5D%5Bid%5D=144/når:2016-08-12", "Vegkart")</f>
        <v>Vegkart</v>
      </c>
      <c r="B4387">
        <v>723956273</v>
      </c>
      <c r="C4387">
        <v>144</v>
      </c>
      <c r="D4387" t="s">
        <v>13345</v>
      </c>
      <c r="E4387">
        <v>4820</v>
      </c>
      <c r="F4387" t="s">
        <v>23479</v>
      </c>
      <c r="G4387">
        <v>1</v>
      </c>
      <c r="H4387" t="s">
        <v>14688</v>
      </c>
      <c r="J4387" t="s">
        <v>14699</v>
      </c>
      <c r="K4387" t="s">
        <v>192</v>
      </c>
      <c r="L4387" t="s">
        <v>33</v>
      </c>
      <c r="M4387" t="s">
        <v>14689</v>
      </c>
      <c r="N4387" t="s">
        <v>14700</v>
      </c>
      <c r="O4387" t="s">
        <v>14701</v>
      </c>
      <c r="P4387" s="2" t="s">
        <v>67</v>
      </c>
      <c r="Q4387" t="s">
        <v>68</v>
      </c>
      <c r="R4387">
        <v>90.23</v>
      </c>
      <c r="S4387">
        <v>94.05</v>
      </c>
      <c r="T4387" t="s">
        <v>14702</v>
      </c>
    </row>
    <row r="4388" spans="1:20" x14ac:dyDescent="0.25">
      <c r="A4388" s="1" t="str">
        <f>HYPERLINK("https://vegkart.atlas.vegvesen.no/#/@324753.7,7070410.3,18/hva:hva%5B0%5D%5Bfilter%5D%5B0%5D%5Boperator%5D=%21%3D&amp;hva%5B0%5D%5Bfilter%5D%5B0%5D%5Btype_id%5D=4820&amp;hva%5B0%5D%5Bfilter%5D%5B0%5D%5Bverdi%5D=&amp;hva%5B0%5D%5Bid%5D=144/når:2016-08-12", "Vegkart")</f>
        <v>Vegkart</v>
      </c>
      <c r="B4388">
        <v>723956274</v>
      </c>
      <c r="C4388">
        <v>144</v>
      </c>
      <c r="D4388" t="s">
        <v>13345</v>
      </c>
      <c r="E4388">
        <v>4820</v>
      </c>
      <c r="F4388" t="s">
        <v>23479</v>
      </c>
      <c r="G4388">
        <v>1</v>
      </c>
      <c r="H4388" t="s">
        <v>14688</v>
      </c>
      <c r="J4388" t="s">
        <v>14163</v>
      </c>
      <c r="K4388" t="s">
        <v>192</v>
      </c>
      <c r="L4388" t="s">
        <v>33</v>
      </c>
      <c r="M4388" t="s">
        <v>14689</v>
      </c>
      <c r="N4388" t="s">
        <v>14703</v>
      </c>
      <c r="O4388" t="s">
        <v>14704</v>
      </c>
      <c r="P4388" s="2" t="s">
        <v>67</v>
      </c>
      <c r="Q4388" t="s">
        <v>68</v>
      </c>
      <c r="R4388">
        <v>37.119999999999997</v>
      </c>
      <c r="S4388">
        <v>38.700000000000003</v>
      </c>
      <c r="T4388" t="s">
        <v>14705</v>
      </c>
    </row>
    <row r="4389" spans="1:20" x14ac:dyDescent="0.25">
      <c r="A4389" s="1" t="str">
        <f>HYPERLINK("https://vegkart.atlas.vegvesen.no/#/@324663.2,7070559.2,18/hva:hva%5B0%5D%5Bfilter%5D%5B0%5D%5Boperator%5D=%21%3D&amp;hva%5B0%5D%5Bfilter%5D%5B0%5D%5Btype_id%5D=4820&amp;hva%5B0%5D%5Bfilter%5D%5B0%5D%5Bverdi%5D=&amp;hva%5B0%5D%5Bid%5D=144/når:2016-08-12", "Vegkart")</f>
        <v>Vegkart</v>
      </c>
      <c r="B4389">
        <v>723956278</v>
      </c>
      <c r="C4389">
        <v>144</v>
      </c>
      <c r="D4389" t="s">
        <v>13345</v>
      </c>
      <c r="E4389">
        <v>4820</v>
      </c>
      <c r="F4389" t="s">
        <v>23479</v>
      </c>
      <c r="G4389">
        <v>1</v>
      </c>
      <c r="H4389" t="s">
        <v>14688</v>
      </c>
      <c r="J4389" t="s">
        <v>14699</v>
      </c>
      <c r="K4389" t="s">
        <v>192</v>
      </c>
      <c r="L4389" t="s">
        <v>33</v>
      </c>
      <c r="M4389" t="s">
        <v>14689</v>
      </c>
      <c r="N4389" t="s">
        <v>14706</v>
      </c>
      <c r="O4389" t="s">
        <v>14707</v>
      </c>
      <c r="P4389" s="2" t="s">
        <v>67</v>
      </c>
      <c r="Q4389" t="s">
        <v>68</v>
      </c>
      <c r="R4389">
        <v>173.43</v>
      </c>
      <c r="S4389">
        <v>179.54</v>
      </c>
      <c r="T4389" t="s">
        <v>14708</v>
      </c>
    </row>
    <row r="4390" spans="1:20" x14ac:dyDescent="0.25">
      <c r="A4390" s="1" t="str">
        <f>HYPERLINK("https://vegkart.atlas.vegvesen.no/#/@324490.2,7070739.4,18/hva:hva%5B0%5D%5Bfilter%5D%5B0%5D%5Boperator%5D=%21%3D&amp;hva%5B0%5D%5Bfilter%5D%5B0%5D%5Btype_id%5D=4820&amp;hva%5B0%5D%5Bfilter%5D%5B0%5D%5Bverdi%5D=&amp;hva%5B0%5D%5Bid%5D=144/når:2016-08-12", "Vegkart")</f>
        <v>Vegkart</v>
      </c>
      <c r="B4390">
        <v>723956279</v>
      </c>
      <c r="C4390">
        <v>144</v>
      </c>
      <c r="D4390" t="s">
        <v>13345</v>
      </c>
      <c r="E4390">
        <v>4820</v>
      </c>
      <c r="F4390" t="s">
        <v>23479</v>
      </c>
      <c r="G4390">
        <v>1</v>
      </c>
      <c r="H4390" t="s">
        <v>14688</v>
      </c>
      <c r="J4390" t="s">
        <v>14699</v>
      </c>
      <c r="K4390" t="s">
        <v>192</v>
      </c>
      <c r="L4390" t="s">
        <v>33</v>
      </c>
      <c r="M4390" t="s">
        <v>14689</v>
      </c>
      <c r="N4390" t="s">
        <v>14709</v>
      </c>
      <c r="O4390" t="s">
        <v>14710</v>
      </c>
      <c r="P4390" s="2" t="s">
        <v>67</v>
      </c>
      <c r="Q4390" t="s">
        <v>68</v>
      </c>
      <c r="R4390">
        <v>67.39</v>
      </c>
      <c r="S4390">
        <v>70.62</v>
      </c>
      <c r="T4390" t="s">
        <v>14711</v>
      </c>
    </row>
    <row r="4391" spans="1:20" x14ac:dyDescent="0.25">
      <c r="A4391" s="1" t="str">
        <f>HYPERLINK("https://vegkart.atlas.vegvesen.no/#/@324581.7,7070672.8,18/hva:hva%5B0%5D%5Bfilter%5D%5B0%5D%5Boperator%5D=%21%3D&amp;hva%5B0%5D%5Bfilter%5D%5B0%5D%5Btype_id%5D=4820&amp;hva%5B0%5D%5Bfilter%5D%5B0%5D%5Bverdi%5D=&amp;hva%5B0%5D%5Bid%5D=144/når:2016-08-12", "Vegkart")</f>
        <v>Vegkart</v>
      </c>
      <c r="B4391">
        <v>723956280</v>
      </c>
      <c r="C4391">
        <v>144</v>
      </c>
      <c r="D4391" t="s">
        <v>13345</v>
      </c>
      <c r="E4391">
        <v>4820</v>
      </c>
      <c r="F4391" t="s">
        <v>23479</v>
      </c>
      <c r="G4391">
        <v>1</v>
      </c>
      <c r="H4391" t="s">
        <v>14688</v>
      </c>
      <c r="J4391" t="s">
        <v>14699</v>
      </c>
      <c r="K4391" t="s">
        <v>192</v>
      </c>
      <c r="L4391" t="s">
        <v>33</v>
      </c>
      <c r="M4391" t="s">
        <v>14689</v>
      </c>
      <c r="N4391" t="s">
        <v>14712</v>
      </c>
      <c r="O4391" t="s">
        <v>14713</v>
      </c>
      <c r="P4391" s="2" t="s">
        <v>67</v>
      </c>
      <c r="Q4391" t="s">
        <v>68</v>
      </c>
      <c r="R4391">
        <v>58.62</v>
      </c>
      <c r="S4391">
        <v>59.66</v>
      </c>
      <c r="T4391" t="s">
        <v>14714</v>
      </c>
    </row>
    <row r="4392" spans="1:20" x14ac:dyDescent="0.25">
      <c r="A4392" s="1" t="str">
        <f>HYPERLINK("https://vegkart.atlas.vegvesen.no/#/@169798.7,6542086.5,18/hva:hva%5B0%5D%5Bfilter%5D%5B0%5D%5Boperator%5D=%21%3D&amp;hva%5B0%5D%5Bfilter%5D%5B0%5D%5Btype_id%5D=4820&amp;hva%5B0%5D%5Bfilter%5D%5B0%5D%5Bverdi%5D=&amp;hva%5B0%5D%5Bid%5D=144/når:2016-10-04", "Vegkart")</f>
        <v>Vegkart</v>
      </c>
      <c r="B4392">
        <v>742892361</v>
      </c>
      <c r="C4392">
        <v>144</v>
      </c>
      <c r="D4392" t="s">
        <v>13345</v>
      </c>
      <c r="E4392">
        <v>4820</v>
      </c>
      <c r="F4392" t="s">
        <v>23479</v>
      </c>
      <c r="G4392">
        <v>1</v>
      </c>
      <c r="H4392" t="s">
        <v>14715</v>
      </c>
      <c r="J4392" t="s">
        <v>1161</v>
      </c>
      <c r="K4392" t="s">
        <v>197</v>
      </c>
      <c r="L4392" t="s">
        <v>80</v>
      </c>
      <c r="M4392" t="s">
        <v>53</v>
      </c>
      <c r="N4392" t="s">
        <v>14716</v>
      </c>
      <c r="O4392" t="s">
        <v>14717</v>
      </c>
      <c r="P4392" s="2" t="s">
        <v>37</v>
      </c>
      <c r="Q4392" t="s">
        <v>1208</v>
      </c>
      <c r="R4392">
        <v>5.44</v>
      </c>
      <c r="S4392">
        <v>27.22</v>
      </c>
      <c r="T4392" t="s">
        <v>14718</v>
      </c>
    </row>
    <row r="4393" spans="1:20" x14ac:dyDescent="0.25">
      <c r="A4393" s="1" t="str">
        <f>HYPERLINK("https://vegkart.atlas.vegvesen.no/#/@169765.6,6542092.6,18/hva:hva%5B0%5D%5Bfilter%5D%5B0%5D%5Boperator%5D=%21%3D&amp;hva%5B0%5D%5Bfilter%5D%5B0%5D%5Btype_id%5D=4820&amp;hva%5B0%5D%5Bfilter%5D%5B0%5D%5Bverdi%5D=&amp;hva%5B0%5D%5Bid%5D=144/når:2016-10-04", "Vegkart")</f>
        <v>Vegkart</v>
      </c>
      <c r="B4393">
        <v>742892362</v>
      </c>
      <c r="C4393">
        <v>144</v>
      </c>
      <c r="D4393" t="s">
        <v>13345</v>
      </c>
      <c r="E4393">
        <v>4820</v>
      </c>
      <c r="F4393" t="s">
        <v>23479</v>
      </c>
      <c r="G4393">
        <v>1</v>
      </c>
      <c r="H4393" t="s">
        <v>14715</v>
      </c>
      <c r="J4393" t="s">
        <v>1161</v>
      </c>
      <c r="K4393" t="s">
        <v>197</v>
      </c>
      <c r="L4393" t="s">
        <v>80</v>
      </c>
      <c r="M4393" t="s">
        <v>53</v>
      </c>
      <c r="N4393" t="s">
        <v>14719</v>
      </c>
      <c r="O4393" t="s">
        <v>14720</v>
      </c>
      <c r="P4393" s="2" t="s">
        <v>37</v>
      </c>
      <c r="Q4393" t="s">
        <v>1208</v>
      </c>
      <c r="R4393">
        <v>7.13</v>
      </c>
      <c r="S4393">
        <v>23.62</v>
      </c>
      <c r="T4393" t="s">
        <v>14721</v>
      </c>
    </row>
    <row r="4394" spans="1:20" x14ac:dyDescent="0.25">
      <c r="A4394" s="1" t="str">
        <f>HYPERLINK("https://vegkart.atlas.vegvesen.no/#/@169751.3,6542096.2,18/hva:hva%5B0%5D%5Bfilter%5D%5B0%5D%5Boperator%5D=%21%3D&amp;hva%5B0%5D%5Bfilter%5D%5B0%5D%5Btype_id%5D=4820&amp;hva%5B0%5D%5Bfilter%5D%5B0%5D%5Bverdi%5D=&amp;hva%5B0%5D%5Bid%5D=144/når:2016-10-04", "Vegkart")</f>
        <v>Vegkart</v>
      </c>
      <c r="B4394">
        <v>742892363</v>
      </c>
      <c r="C4394">
        <v>144</v>
      </c>
      <c r="D4394" t="s">
        <v>13345</v>
      </c>
      <c r="E4394">
        <v>4820</v>
      </c>
      <c r="F4394" t="s">
        <v>23479</v>
      </c>
      <c r="G4394">
        <v>1</v>
      </c>
      <c r="H4394" t="s">
        <v>14715</v>
      </c>
      <c r="J4394" t="s">
        <v>1161</v>
      </c>
      <c r="K4394" t="s">
        <v>197</v>
      </c>
      <c r="L4394" t="s">
        <v>80</v>
      </c>
      <c r="M4394" t="s">
        <v>53</v>
      </c>
      <c r="N4394" t="s">
        <v>14722</v>
      </c>
      <c r="O4394" t="s">
        <v>14723</v>
      </c>
      <c r="P4394" s="2" t="s">
        <v>37</v>
      </c>
      <c r="Q4394" t="s">
        <v>1208</v>
      </c>
      <c r="R4394">
        <v>17.239999999999998</v>
      </c>
      <c r="S4394">
        <v>34.11</v>
      </c>
      <c r="T4394" t="s">
        <v>14724</v>
      </c>
    </row>
    <row r="4395" spans="1:20" x14ac:dyDescent="0.25">
      <c r="A4395" s="1" t="str">
        <f>HYPERLINK("https://vegkart.atlas.vegvesen.no/#/@169279.0,6542201.5,18/hva:hva%5B0%5D%5Bfilter%5D%5B0%5D%5Boperator%5D=%21%3D&amp;hva%5B0%5D%5Bfilter%5D%5B0%5D%5Btype_id%5D=4820&amp;hva%5B0%5D%5Bfilter%5D%5B0%5D%5Bverdi%5D=&amp;hva%5B0%5D%5Bid%5D=144/når:2016-10-04", "Vegkart")</f>
        <v>Vegkart</v>
      </c>
      <c r="B4395">
        <v>742892364</v>
      </c>
      <c r="C4395">
        <v>144</v>
      </c>
      <c r="D4395" t="s">
        <v>13345</v>
      </c>
      <c r="E4395">
        <v>4820</v>
      </c>
      <c r="F4395" t="s">
        <v>23479</v>
      </c>
      <c r="G4395">
        <v>1</v>
      </c>
      <c r="H4395" t="s">
        <v>14715</v>
      </c>
      <c r="J4395" t="s">
        <v>1161</v>
      </c>
      <c r="K4395" t="s">
        <v>197</v>
      </c>
      <c r="L4395" t="s">
        <v>80</v>
      </c>
      <c r="M4395" t="s">
        <v>53</v>
      </c>
      <c r="N4395" t="s">
        <v>14725</v>
      </c>
      <c r="O4395" t="s">
        <v>14726</v>
      </c>
      <c r="P4395" s="2" t="s">
        <v>37</v>
      </c>
      <c r="Q4395" t="s">
        <v>1208</v>
      </c>
      <c r="R4395">
        <v>9.44</v>
      </c>
      <c r="S4395">
        <v>16.32</v>
      </c>
      <c r="T4395" t="s">
        <v>14727</v>
      </c>
    </row>
    <row r="4396" spans="1:20" x14ac:dyDescent="0.25">
      <c r="A4396" s="1" t="str">
        <f>HYPERLINK("https://vegkart.atlas.vegvesen.no/#/@169269.0,6542201.6,18/hva:hva%5B0%5D%5Bfilter%5D%5B0%5D%5Boperator%5D=%21%3D&amp;hva%5B0%5D%5Bfilter%5D%5B0%5D%5Btype_id%5D=4820&amp;hva%5B0%5D%5Bfilter%5D%5B0%5D%5Bverdi%5D=&amp;hva%5B0%5D%5Bid%5D=144/når:2016-10-04", "Vegkart")</f>
        <v>Vegkart</v>
      </c>
      <c r="B4396">
        <v>742892365</v>
      </c>
      <c r="C4396">
        <v>144</v>
      </c>
      <c r="D4396" t="s">
        <v>13345</v>
      </c>
      <c r="E4396">
        <v>4820</v>
      </c>
      <c r="F4396" t="s">
        <v>23479</v>
      </c>
      <c r="G4396">
        <v>1</v>
      </c>
      <c r="H4396" t="s">
        <v>14715</v>
      </c>
      <c r="J4396" t="s">
        <v>1161</v>
      </c>
      <c r="K4396" t="s">
        <v>197</v>
      </c>
      <c r="L4396" t="s">
        <v>80</v>
      </c>
      <c r="M4396" t="s">
        <v>53</v>
      </c>
      <c r="N4396" t="s">
        <v>14728</v>
      </c>
      <c r="O4396" t="s">
        <v>14729</v>
      </c>
      <c r="P4396" s="2" t="s">
        <v>37</v>
      </c>
      <c r="Q4396" t="s">
        <v>1208</v>
      </c>
      <c r="R4396">
        <v>4.71</v>
      </c>
      <c r="S4396">
        <v>11.11</v>
      </c>
      <c r="T4396" t="s">
        <v>14730</v>
      </c>
    </row>
    <row r="4397" spans="1:20" x14ac:dyDescent="0.25">
      <c r="A4397" s="1" t="str">
        <f>HYPERLINK("https://vegkart.atlas.vegvesen.no/#/@169256.2,6542202.0,18/hva:hva%5B0%5D%5Bfilter%5D%5B0%5D%5Boperator%5D=%21%3D&amp;hva%5B0%5D%5Bfilter%5D%5B0%5D%5Btype_id%5D=4820&amp;hva%5B0%5D%5Bfilter%5D%5B0%5D%5Bverdi%5D=&amp;hva%5B0%5D%5Bid%5D=144/når:2016-10-04", "Vegkart")</f>
        <v>Vegkart</v>
      </c>
      <c r="B4397">
        <v>742892366</v>
      </c>
      <c r="C4397">
        <v>144</v>
      </c>
      <c r="D4397" t="s">
        <v>13345</v>
      </c>
      <c r="E4397">
        <v>4820</v>
      </c>
      <c r="F4397" t="s">
        <v>23479</v>
      </c>
      <c r="G4397">
        <v>1</v>
      </c>
      <c r="H4397" t="s">
        <v>14715</v>
      </c>
      <c r="J4397" t="s">
        <v>1161</v>
      </c>
      <c r="K4397" t="s">
        <v>197</v>
      </c>
      <c r="L4397" t="s">
        <v>80</v>
      </c>
      <c r="M4397" t="s">
        <v>53</v>
      </c>
      <c r="N4397" t="s">
        <v>14731</v>
      </c>
      <c r="O4397" t="s">
        <v>14732</v>
      </c>
      <c r="P4397" s="2" t="s">
        <v>37</v>
      </c>
      <c r="Q4397" t="s">
        <v>1208</v>
      </c>
      <c r="R4397">
        <v>6.55</v>
      </c>
      <c r="S4397">
        <v>12.65</v>
      </c>
      <c r="T4397" t="s">
        <v>14733</v>
      </c>
    </row>
    <row r="4398" spans="1:20" x14ac:dyDescent="0.25">
      <c r="A4398" s="1" t="str">
        <f>HYPERLINK("https://vegkart.atlas.vegvesen.no/#/@168266.8,6542102.1,18/hva:hva%5B0%5D%5Bfilter%5D%5B0%5D%5Boperator%5D=%21%3D&amp;hva%5B0%5D%5Bfilter%5D%5B0%5D%5Btype_id%5D=4820&amp;hva%5B0%5D%5Bfilter%5D%5B0%5D%5Bverdi%5D=&amp;hva%5B0%5D%5Bid%5D=144/når:2016-10-04", "Vegkart")</f>
        <v>Vegkart</v>
      </c>
      <c r="B4398">
        <v>742892369</v>
      </c>
      <c r="C4398">
        <v>144</v>
      </c>
      <c r="D4398" t="s">
        <v>13345</v>
      </c>
      <c r="E4398">
        <v>4820</v>
      </c>
      <c r="F4398" t="s">
        <v>23479</v>
      </c>
      <c r="G4398">
        <v>1</v>
      </c>
      <c r="H4398" t="s">
        <v>14715</v>
      </c>
      <c r="J4398" t="s">
        <v>1161</v>
      </c>
      <c r="K4398" t="s">
        <v>197</v>
      </c>
      <c r="L4398" t="s">
        <v>80</v>
      </c>
      <c r="M4398" t="s">
        <v>53</v>
      </c>
      <c r="N4398" t="s">
        <v>14734</v>
      </c>
      <c r="O4398" t="s">
        <v>14735</v>
      </c>
      <c r="P4398" s="2" t="s">
        <v>37</v>
      </c>
      <c r="Q4398" t="s">
        <v>1208</v>
      </c>
      <c r="R4398">
        <v>3.16</v>
      </c>
      <c r="S4398">
        <v>10.47</v>
      </c>
      <c r="T4398" t="s">
        <v>14736</v>
      </c>
    </row>
    <row r="4399" spans="1:20" x14ac:dyDescent="0.25">
      <c r="A4399" s="1" t="str">
        <f>HYPERLINK("https://vegkart.atlas.vegvesen.no/#/@167742.3,6541950.3,18/hva:hva%5B0%5D%5Bfilter%5D%5B0%5D%5Boperator%5D=%21%3D&amp;hva%5B0%5D%5Bfilter%5D%5B0%5D%5Btype_id%5D=4820&amp;hva%5B0%5D%5Bfilter%5D%5B0%5D%5Bverdi%5D=&amp;hva%5B0%5D%5Bid%5D=144/når:2016-10-04", "Vegkart")</f>
        <v>Vegkart</v>
      </c>
      <c r="B4399">
        <v>742892373</v>
      </c>
      <c r="C4399">
        <v>144</v>
      </c>
      <c r="D4399" t="s">
        <v>13345</v>
      </c>
      <c r="E4399">
        <v>4820</v>
      </c>
      <c r="F4399" t="s">
        <v>23479</v>
      </c>
      <c r="G4399">
        <v>1</v>
      </c>
      <c r="H4399" t="s">
        <v>14715</v>
      </c>
      <c r="J4399" t="s">
        <v>1161</v>
      </c>
      <c r="K4399" t="s">
        <v>197</v>
      </c>
      <c r="L4399" t="s">
        <v>80</v>
      </c>
      <c r="M4399" t="s">
        <v>53</v>
      </c>
      <c r="N4399" t="s">
        <v>14737</v>
      </c>
      <c r="O4399" t="s">
        <v>14738</v>
      </c>
      <c r="P4399" s="2" t="s">
        <v>37</v>
      </c>
      <c r="Q4399" t="s">
        <v>1208</v>
      </c>
      <c r="R4399">
        <v>4.25</v>
      </c>
      <c r="S4399">
        <v>21.59</v>
      </c>
      <c r="T4399" t="s">
        <v>14739</v>
      </c>
    </row>
    <row r="4400" spans="1:20" x14ac:dyDescent="0.25">
      <c r="A4400" s="1" t="str">
        <f>HYPERLINK("https://vegkart.atlas.vegvesen.no/#/@167672.1,6541897.3,18/hva:hva%5B0%5D%5Bfilter%5D%5B0%5D%5Boperator%5D=%21%3D&amp;hva%5B0%5D%5Bfilter%5D%5B0%5D%5Btype_id%5D=4820&amp;hva%5B0%5D%5Bfilter%5D%5B0%5D%5Bverdi%5D=&amp;hva%5B0%5D%5Bid%5D=144/når:2016-10-04", "Vegkart")</f>
        <v>Vegkart</v>
      </c>
      <c r="B4400">
        <v>742892377</v>
      </c>
      <c r="C4400">
        <v>144</v>
      </c>
      <c r="D4400" t="s">
        <v>13345</v>
      </c>
      <c r="E4400">
        <v>4820</v>
      </c>
      <c r="F4400" t="s">
        <v>23479</v>
      </c>
      <c r="G4400">
        <v>1</v>
      </c>
      <c r="H4400" t="s">
        <v>14715</v>
      </c>
      <c r="J4400" t="s">
        <v>1161</v>
      </c>
      <c r="K4400" t="s">
        <v>197</v>
      </c>
      <c r="L4400" t="s">
        <v>80</v>
      </c>
      <c r="M4400" t="s">
        <v>53</v>
      </c>
      <c r="N4400" t="s">
        <v>14740</v>
      </c>
      <c r="O4400" t="s">
        <v>14741</v>
      </c>
      <c r="P4400" s="2" t="s">
        <v>37</v>
      </c>
      <c r="Q4400" t="s">
        <v>1208</v>
      </c>
      <c r="R4400">
        <v>5.18</v>
      </c>
      <c r="S4400">
        <v>20.18</v>
      </c>
      <c r="T4400" t="s">
        <v>14742</v>
      </c>
    </row>
    <row r="4401" spans="1:20" x14ac:dyDescent="0.25">
      <c r="A4401" s="1" t="str">
        <f>HYPERLINK("https://vegkart.atlas.vegvesen.no/#/@167662.4,6541893.3,18/hva:hva%5B0%5D%5Bfilter%5D%5B0%5D%5Boperator%5D=%21%3D&amp;hva%5B0%5D%5Bfilter%5D%5B0%5D%5Btype_id%5D=4820&amp;hva%5B0%5D%5Bfilter%5D%5B0%5D%5Bverdi%5D=&amp;hva%5B0%5D%5Bid%5D=144/når:2016-10-04", "Vegkart")</f>
        <v>Vegkart</v>
      </c>
      <c r="B4401">
        <v>742892378</v>
      </c>
      <c r="C4401">
        <v>144</v>
      </c>
      <c r="D4401" t="s">
        <v>13345</v>
      </c>
      <c r="E4401">
        <v>4820</v>
      </c>
      <c r="F4401" t="s">
        <v>23479</v>
      </c>
      <c r="G4401">
        <v>1</v>
      </c>
      <c r="H4401" t="s">
        <v>14715</v>
      </c>
      <c r="J4401" t="s">
        <v>1161</v>
      </c>
      <c r="K4401" t="s">
        <v>197</v>
      </c>
      <c r="L4401" t="s">
        <v>80</v>
      </c>
      <c r="M4401" t="s">
        <v>53</v>
      </c>
      <c r="N4401" t="s">
        <v>14743</v>
      </c>
      <c r="O4401" t="s">
        <v>14744</v>
      </c>
      <c r="P4401" s="2" t="s">
        <v>37</v>
      </c>
      <c r="Q4401" t="s">
        <v>1208</v>
      </c>
      <c r="R4401">
        <v>3.51</v>
      </c>
      <c r="S4401">
        <v>17.46</v>
      </c>
      <c r="T4401" t="s">
        <v>14745</v>
      </c>
    </row>
    <row r="4402" spans="1:20" x14ac:dyDescent="0.25">
      <c r="A4402" s="1" t="str">
        <f>HYPERLINK("https://vegkart.atlas.vegvesen.no/#/@167575.6,6541856.4,18/hva:hva%5B0%5D%5Bfilter%5D%5B0%5D%5Boperator%5D=%21%3D&amp;hva%5B0%5D%5Bfilter%5D%5B0%5D%5Btype_id%5D=4820&amp;hva%5B0%5D%5Bfilter%5D%5B0%5D%5Bverdi%5D=&amp;hva%5B0%5D%5Bid%5D=144/når:2016-10-04", "Vegkart")</f>
        <v>Vegkart</v>
      </c>
      <c r="B4402">
        <v>742892379</v>
      </c>
      <c r="C4402">
        <v>144</v>
      </c>
      <c r="D4402" t="s">
        <v>13345</v>
      </c>
      <c r="E4402">
        <v>4820</v>
      </c>
      <c r="F4402" t="s">
        <v>23479</v>
      </c>
      <c r="G4402">
        <v>1</v>
      </c>
      <c r="H4402" t="s">
        <v>14715</v>
      </c>
      <c r="J4402" t="s">
        <v>1161</v>
      </c>
      <c r="K4402" t="s">
        <v>197</v>
      </c>
      <c r="L4402" t="s">
        <v>80</v>
      </c>
      <c r="M4402" t="s">
        <v>53</v>
      </c>
      <c r="N4402" t="s">
        <v>14746</v>
      </c>
      <c r="O4402" t="s">
        <v>14747</v>
      </c>
      <c r="P4402" s="2" t="s">
        <v>37</v>
      </c>
      <c r="Q4402" t="s">
        <v>1208</v>
      </c>
      <c r="R4402">
        <v>6.29</v>
      </c>
      <c r="S4402">
        <v>18.54</v>
      </c>
      <c r="T4402" t="s">
        <v>14748</v>
      </c>
    </row>
    <row r="4403" spans="1:20" x14ac:dyDescent="0.25">
      <c r="A4403" s="1" t="str">
        <f>HYPERLINK("https://vegkart.atlas.vegvesen.no/#/@167540.9,6541840.5,18/hva:hva%5B0%5D%5Bfilter%5D%5B0%5D%5Boperator%5D=%21%3D&amp;hva%5B0%5D%5Bfilter%5D%5B0%5D%5Btype_id%5D=4820&amp;hva%5B0%5D%5Bfilter%5D%5B0%5D%5Bverdi%5D=&amp;hva%5B0%5D%5Bid%5D=144/når:2016-10-04", "Vegkart")</f>
        <v>Vegkart</v>
      </c>
      <c r="B4403">
        <v>742892380</v>
      </c>
      <c r="C4403">
        <v>144</v>
      </c>
      <c r="D4403" t="s">
        <v>13345</v>
      </c>
      <c r="E4403">
        <v>4820</v>
      </c>
      <c r="F4403" t="s">
        <v>23479</v>
      </c>
      <c r="G4403">
        <v>1</v>
      </c>
      <c r="H4403" t="s">
        <v>14715</v>
      </c>
      <c r="J4403" t="s">
        <v>1161</v>
      </c>
      <c r="K4403" t="s">
        <v>197</v>
      </c>
      <c r="L4403" t="s">
        <v>80</v>
      </c>
      <c r="M4403" t="s">
        <v>53</v>
      </c>
      <c r="N4403" t="s">
        <v>14749</v>
      </c>
      <c r="O4403" t="s">
        <v>14750</v>
      </c>
      <c r="P4403" s="2" t="s">
        <v>37</v>
      </c>
      <c r="Q4403" t="s">
        <v>1208</v>
      </c>
      <c r="R4403">
        <v>6.1</v>
      </c>
      <c r="S4403">
        <v>12.88</v>
      </c>
      <c r="T4403" t="s">
        <v>14751</v>
      </c>
    </row>
    <row r="4404" spans="1:20" x14ac:dyDescent="0.25">
      <c r="A4404" s="1" t="str">
        <f>HYPERLINK("https://vegkart.atlas.vegvesen.no/#/@167521.4,6541830.9,18/hva:hva%5B0%5D%5Bfilter%5D%5B0%5D%5Boperator%5D=%21%3D&amp;hva%5B0%5D%5Bfilter%5D%5B0%5D%5Btype_id%5D=4820&amp;hva%5B0%5D%5Bfilter%5D%5B0%5D%5Bverdi%5D=&amp;hva%5B0%5D%5Bid%5D=144/når:2016-10-04", "Vegkart")</f>
        <v>Vegkart</v>
      </c>
      <c r="B4404">
        <v>742892381</v>
      </c>
      <c r="C4404">
        <v>144</v>
      </c>
      <c r="D4404" t="s">
        <v>13345</v>
      </c>
      <c r="E4404">
        <v>4820</v>
      </c>
      <c r="F4404" t="s">
        <v>23479</v>
      </c>
      <c r="G4404">
        <v>1</v>
      </c>
      <c r="H4404" t="s">
        <v>14715</v>
      </c>
      <c r="J4404" t="s">
        <v>1161</v>
      </c>
      <c r="K4404" t="s">
        <v>197</v>
      </c>
      <c r="L4404" t="s">
        <v>80</v>
      </c>
      <c r="M4404" t="s">
        <v>53</v>
      </c>
      <c r="N4404" t="s">
        <v>14752</v>
      </c>
      <c r="O4404" t="s">
        <v>14753</v>
      </c>
      <c r="P4404" s="2" t="s">
        <v>37</v>
      </c>
      <c r="Q4404" t="s">
        <v>1208</v>
      </c>
      <c r="R4404">
        <v>6.67</v>
      </c>
      <c r="S4404">
        <v>13.28</v>
      </c>
      <c r="T4404" t="s">
        <v>14754</v>
      </c>
    </row>
    <row r="4405" spans="1:20" x14ac:dyDescent="0.25">
      <c r="A4405" s="1" t="str">
        <f>HYPERLINK("https://vegkart.atlas.vegvesen.no/#/@167462.4,6541800.5,18/hva:hva%5B0%5D%5Bfilter%5D%5B0%5D%5Boperator%5D=%21%3D&amp;hva%5B0%5D%5Bfilter%5D%5B0%5D%5Btype_id%5D=4820&amp;hva%5B0%5D%5Bfilter%5D%5B0%5D%5Bverdi%5D=&amp;hva%5B0%5D%5Bid%5D=144/når:2016-10-04", "Vegkart")</f>
        <v>Vegkart</v>
      </c>
      <c r="B4405">
        <v>742892382</v>
      </c>
      <c r="C4405">
        <v>144</v>
      </c>
      <c r="D4405" t="s">
        <v>13345</v>
      </c>
      <c r="E4405">
        <v>4820</v>
      </c>
      <c r="F4405" t="s">
        <v>23479</v>
      </c>
      <c r="G4405">
        <v>1</v>
      </c>
      <c r="H4405" t="s">
        <v>14715</v>
      </c>
      <c r="J4405" t="s">
        <v>1161</v>
      </c>
      <c r="K4405" t="s">
        <v>197</v>
      </c>
      <c r="L4405" t="s">
        <v>80</v>
      </c>
      <c r="M4405" t="s">
        <v>53</v>
      </c>
      <c r="N4405" t="s">
        <v>14755</v>
      </c>
      <c r="O4405" t="s">
        <v>14756</v>
      </c>
      <c r="P4405" s="2" t="s">
        <v>37</v>
      </c>
      <c r="Q4405" t="s">
        <v>1208</v>
      </c>
      <c r="R4405">
        <v>4.0999999999999996</v>
      </c>
      <c r="S4405">
        <v>8.6</v>
      </c>
      <c r="T4405" t="s">
        <v>14757</v>
      </c>
    </row>
    <row r="4406" spans="1:20" x14ac:dyDescent="0.25">
      <c r="A4406" s="1" t="str">
        <f>HYPERLINK("https://vegkart.atlas.vegvesen.no/#/@167144.2,6541624.6,18/hva:hva%5B0%5D%5Bfilter%5D%5B0%5D%5Boperator%5D=%21%3D&amp;hva%5B0%5D%5Bfilter%5D%5B0%5D%5Btype_id%5D=4820&amp;hva%5B0%5D%5Bfilter%5D%5B0%5D%5Bverdi%5D=&amp;hva%5B0%5D%5Bid%5D=144/når:2016-10-04", "Vegkart")</f>
        <v>Vegkart</v>
      </c>
      <c r="B4406">
        <v>742892385</v>
      </c>
      <c r="C4406">
        <v>144</v>
      </c>
      <c r="D4406" t="s">
        <v>13345</v>
      </c>
      <c r="E4406">
        <v>4820</v>
      </c>
      <c r="F4406" t="s">
        <v>23479</v>
      </c>
      <c r="G4406">
        <v>1</v>
      </c>
      <c r="H4406" t="s">
        <v>14715</v>
      </c>
      <c r="J4406" t="s">
        <v>1161</v>
      </c>
      <c r="K4406" t="s">
        <v>197</v>
      </c>
      <c r="L4406" t="s">
        <v>80</v>
      </c>
      <c r="M4406" t="s">
        <v>53</v>
      </c>
      <c r="N4406" t="s">
        <v>14758</v>
      </c>
      <c r="O4406" t="s">
        <v>14759</v>
      </c>
      <c r="P4406" s="2" t="s">
        <v>37</v>
      </c>
      <c r="Q4406" t="s">
        <v>1208</v>
      </c>
      <c r="R4406">
        <v>3.67</v>
      </c>
      <c r="S4406">
        <v>9.11</v>
      </c>
      <c r="T4406" t="s">
        <v>14760</v>
      </c>
    </row>
    <row r="4407" spans="1:20" x14ac:dyDescent="0.25">
      <c r="A4407" s="1" t="str">
        <f>HYPERLINK("https://vegkart.atlas.vegvesen.no/#/@166629.1,6541322.3,18/hva:hva%5B0%5D%5Bfilter%5D%5B0%5D%5Boperator%5D=%21%3D&amp;hva%5B0%5D%5Bfilter%5D%5B0%5D%5Btype_id%5D=4820&amp;hva%5B0%5D%5Bfilter%5D%5B0%5D%5Bverdi%5D=&amp;hva%5B0%5D%5Bid%5D=144/når:2016-10-04", "Vegkart")</f>
        <v>Vegkart</v>
      </c>
      <c r="B4407">
        <v>742892388</v>
      </c>
      <c r="C4407">
        <v>144</v>
      </c>
      <c r="D4407" t="s">
        <v>13345</v>
      </c>
      <c r="E4407">
        <v>4820</v>
      </c>
      <c r="F4407" t="s">
        <v>23479</v>
      </c>
      <c r="G4407">
        <v>1</v>
      </c>
      <c r="H4407" t="s">
        <v>14715</v>
      </c>
      <c r="J4407" t="s">
        <v>1161</v>
      </c>
      <c r="K4407" t="s">
        <v>197</v>
      </c>
      <c r="L4407" t="s">
        <v>80</v>
      </c>
      <c r="M4407" t="s">
        <v>53</v>
      </c>
      <c r="N4407" t="s">
        <v>14761</v>
      </c>
      <c r="O4407" t="s">
        <v>14762</v>
      </c>
      <c r="P4407" s="2" t="s">
        <v>37</v>
      </c>
      <c r="Q4407" t="s">
        <v>1208</v>
      </c>
      <c r="R4407">
        <v>4.53</v>
      </c>
      <c r="S4407">
        <v>19.649999999999999</v>
      </c>
      <c r="T4407" t="s">
        <v>14763</v>
      </c>
    </row>
    <row r="4408" spans="1:20" x14ac:dyDescent="0.25">
      <c r="A4408" s="1" t="str">
        <f>HYPERLINK("https://vegkart.atlas.vegvesen.no/#/@166541.9,6541263.7,18/hva:hva%5B0%5D%5Bfilter%5D%5B0%5D%5Boperator%5D=%21%3D&amp;hva%5B0%5D%5Bfilter%5D%5B0%5D%5Btype_id%5D=4820&amp;hva%5B0%5D%5Bfilter%5D%5B0%5D%5Bverdi%5D=&amp;hva%5B0%5D%5Bid%5D=144/når:2016-10-04", "Vegkart")</f>
        <v>Vegkart</v>
      </c>
      <c r="B4408">
        <v>742892390</v>
      </c>
      <c r="C4408">
        <v>144</v>
      </c>
      <c r="D4408" t="s">
        <v>13345</v>
      </c>
      <c r="E4408">
        <v>4820</v>
      </c>
      <c r="F4408" t="s">
        <v>23479</v>
      </c>
      <c r="G4408">
        <v>1</v>
      </c>
      <c r="H4408" t="s">
        <v>14715</v>
      </c>
      <c r="J4408" t="s">
        <v>1161</v>
      </c>
      <c r="K4408" t="s">
        <v>197</v>
      </c>
      <c r="L4408" t="s">
        <v>80</v>
      </c>
      <c r="M4408" t="s">
        <v>53</v>
      </c>
      <c r="N4408" t="s">
        <v>14764</v>
      </c>
      <c r="O4408" t="s">
        <v>14765</v>
      </c>
      <c r="P4408" s="2" t="s">
        <v>37</v>
      </c>
      <c r="Q4408" t="s">
        <v>1208</v>
      </c>
      <c r="R4408">
        <v>7.8</v>
      </c>
      <c r="S4408">
        <v>50.48</v>
      </c>
      <c r="T4408" t="s">
        <v>14766</v>
      </c>
    </row>
    <row r="4409" spans="1:20" x14ac:dyDescent="0.25">
      <c r="A4409" s="1" t="str">
        <f>HYPERLINK("https://vegkart.atlas.vegvesen.no/#/@165750.4,6541117.1,18/hva:hva%5B0%5D%5Bfilter%5D%5B0%5D%5Boperator%5D=%21%3D&amp;hva%5B0%5D%5Bfilter%5D%5B0%5D%5Btype_id%5D=4820&amp;hva%5B0%5D%5Bfilter%5D%5B0%5D%5Bverdi%5D=&amp;hva%5B0%5D%5Bid%5D=144/når:2016-10-04", "Vegkart")</f>
        <v>Vegkart</v>
      </c>
      <c r="B4409">
        <v>742892391</v>
      </c>
      <c r="C4409">
        <v>144</v>
      </c>
      <c r="D4409" t="s">
        <v>13345</v>
      </c>
      <c r="E4409">
        <v>4820</v>
      </c>
      <c r="F4409" t="s">
        <v>23479</v>
      </c>
      <c r="G4409">
        <v>1</v>
      </c>
      <c r="H4409" t="s">
        <v>14715</v>
      </c>
      <c r="J4409" t="s">
        <v>1161</v>
      </c>
      <c r="K4409" t="s">
        <v>197</v>
      </c>
      <c r="L4409" t="s">
        <v>80</v>
      </c>
      <c r="M4409" t="s">
        <v>53</v>
      </c>
      <c r="N4409" t="s">
        <v>14767</v>
      </c>
      <c r="O4409" t="s">
        <v>14768</v>
      </c>
      <c r="P4409" s="2" t="s">
        <v>37</v>
      </c>
      <c r="Q4409" t="s">
        <v>1208</v>
      </c>
      <c r="R4409">
        <v>4.07</v>
      </c>
      <c r="S4409">
        <v>8.3800000000000008</v>
      </c>
      <c r="T4409" t="s">
        <v>14769</v>
      </c>
    </row>
    <row r="4410" spans="1:20" x14ac:dyDescent="0.25">
      <c r="A4410" s="1" t="str">
        <f>HYPERLINK("https://vegkart.atlas.vegvesen.no/#/@165710.7,6541095.4,18/hva:hva%5B0%5D%5Bfilter%5D%5B0%5D%5Boperator%5D=%21%3D&amp;hva%5B0%5D%5Bfilter%5D%5B0%5D%5Btype_id%5D=4820&amp;hva%5B0%5D%5Bfilter%5D%5B0%5D%5Bverdi%5D=&amp;hva%5B0%5D%5Bid%5D=144/når:2016-10-04", "Vegkart")</f>
        <v>Vegkart</v>
      </c>
      <c r="B4410">
        <v>742892392</v>
      </c>
      <c r="C4410">
        <v>144</v>
      </c>
      <c r="D4410" t="s">
        <v>13345</v>
      </c>
      <c r="E4410">
        <v>4820</v>
      </c>
      <c r="F4410" t="s">
        <v>23479</v>
      </c>
      <c r="G4410">
        <v>1</v>
      </c>
      <c r="H4410" t="s">
        <v>14715</v>
      </c>
      <c r="J4410" t="s">
        <v>1161</v>
      </c>
      <c r="K4410" t="s">
        <v>197</v>
      </c>
      <c r="L4410" t="s">
        <v>80</v>
      </c>
      <c r="M4410" t="s">
        <v>53</v>
      </c>
      <c r="N4410" t="s">
        <v>14770</v>
      </c>
      <c r="O4410" t="s">
        <v>14771</v>
      </c>
      <c r="P4410" s="2" t="s">
        <v>37</v>
      </c>
      <c r="Q4410" t="s">
        <v>1208</v>
      </c>
      <c r="R4410">
        <v>3.49</v>
      </c>
      <c r="S4410">
        <v>9.3699999999999992</v>
      </c>
      <c r="T4410" t="s">
        <v>14772</v>
      </c>
    </row>
    <row r="4411" spans="1:20" x14ac:dyDescent="0.25">
      <c r="A4411" s="1" t="str">
        <f>HYPERLINK("https://vegkart.atlas.vegvesen.no/#/@165691.8,6541083.2,18/hva:hva%5B0%5D%5Bfilter%5D%5B0%5D%5Boperator%5D=%21%3D&amp;hva%5B0%5D%5Bfilter%5D%5B0%5D%5Btype_id%5D=4820&amp;hva%5B0%5D%5Bfilter%5D%5B0%5D%5Bverdi%5D=&amp;hva%5B0%5D%5Bid%5D=144/når:2016-10-04", "Vegkart")</f>
        <v>Vegkart</v>
      </c>
      <c r="B4411">
        <v>742892393</v>
      </c>
      <c r="C4411">
        <v>144</v>
      </c>
      <c r="D4411" t="s">
        <v>13345</v>
      </c>
      <c r="E4411">
        <v>4820</v>
      </c>
      <c r="F4411" t="s">
        <v>23479</v>
      </c>
      <c r="G4411">
        <v>1</v>
      </c>
      <c r="H4411" t="s">
        <v>14715</v>
      </c>
      <c r="J4411" t="s">
        <v>1161</v>
      </c>
      <c r="K4411" t="s">
        <v>197</v>
      </c>
      <c r="L4411" t="s">
        <v>80</v>
      </c>
      <c r="M4411" t="s">
        <v>53</v>
      </c>
      <c r="N4411" t="s">
        <v>14773</v>
      </c>
      <c r="O4411" t="s">
        <v>14774</v>
      </c>
      <c r="P4411" s="2" t="s">
        <v>37</v>
      </c>
      <c r="Q4411" t="s">
        <v>1208</v>
      </c>
      <c r="R4411">
        <v>2.74</v>
      </c>
      <c r="S4411">
        <v>7.56</v>
      </c>
      <c r="T4411" t="s">
        <v>14775</v>
      </c>
    </row>
    <row r="4412" spans="1:20" x14ac:dyDescent="0.25">
      <c r="A4412" s="1" t="str">
        <f>HYPERLINK("https://vegkart.atlas.vegvesen.no/#/@164330.0,6541129.4,18/hva:hva%5B0%5D%5Bfilter%5D%5B0%5D%5Boperator%5D=%21%3D&amp;hva%5B0%5D%5Bfilter%5D%5B0%5D%5Btype_id%5D=4820&amp;hva%5B0%5D%5Bfilter%5D%5B0%5D%5Bverdi%5D=&amp;hva%5B0%5D%5Bid%5D=144/når:2016-10-04", "Vegkart")</f>
        <v>Vegkart</v>
      </c>
      <c r="B4412">
        <v>742892395</v>
      </c>
      <c r="C4412">
        <v>144</v>
      </c>
      <c r="D4412" t="s">
        <v>13345</v>
      </c>
      <c r="E4412">
        <v>4820</v>
      </c>
      <c r="F4412" t="s">
        <v>23479</v>
      </c>
      <c r="G4412">
        <v>1</v>
      </c>
      <c r="H4412" t="s">
        <v>14715</v>
      </c>
      <c r="J4412" t="s">
        <v>1161</v>
      </c>
      <c r="K4412" t="s">
        <v>197</v>
      </c>
      <c r="L4412" t="s">
        <v>80</v>
      </c>
      <c r="M4412" t="s">
        <v>53</v>
      </c>
      <c r="N4412" t="s">
        <v>14776</v>
      </c>
      <c r="O4412" t="s">
        <v>14777</v>
      </c>
      <c r="P4412" s="2" t="s">
        <v>67</v>
      </c>
      <c r="Q4412" t="s">
        <v>68</v>
      </c>
      <c r="R4412">
        <v>11.07</v>
      </c>
      <c r="S4412">
        <v>11.08</v>
      </c>
      <c r="T4412" t="s">
        <v>14778</v>
      </c>
    </row>
    <row r="4413" spans="1:20" x14ac:dyDescent="0.25">
      <c r="A4413" s="1" t="str">
        <f>HYPERLINK("https://vegkart.atlas.vegvesen.no/#/@313187.1,7091865.5,18/hva:hva%5B0%5D%5Bfilter%5D%5B0%5D%5Boperator%5D=%21%3D&amp;hva%5B0%5D%5Bfilter%5D%5B0%5D%5Btype_id%5D=4820&amp;hva%5B0%5D%5Bfilter%5D%5B0%5D%5Bverdi%5D=&amp;hva%5B0%5D%5Bid%5D=144/når:2016-10-12", "Vegkart")</f>
        <v>Vegkart</v>
      </c>
      <c r="B4413">
        <v>745003875</v>
      </c>
      <c r="C4413">
        <v>144</v>
      </c>
      <c r="D4413" t="s">
        <v>13345</v>
      </c>
      <c r="E4413">
        <v>4820</v>
      </c>
      <c r="F4413" t="s">
        <v>23479</v>
      </c>
      <c r="G4413">
        <v>1</v>
      </c>
      <c r="H4413" t="s">
        <v>1554</v>
      </c>
      <c r="J4413" t="s">
        <v>1161</v>
      </c>
      <c r="K4413" t="s">
        <v>192</v>
      </c>
      <c r="L4413" t="s">
        <v>33</v>
      </c>
      <c r="M4413" t="s">
        <v>14779</v>
      </c>
      <c r="N4413" t="s">
        <v>14780</v>
      </c>
      <c r="O4413" t="s">
        <v>14781</v>
      </c>
      <c r="P4413" s="2" t="s">
        <v>37</v>
      </c>
      <c r="Q4413" t="s">
        <v>1208</v>
      </c>
      <c r="R4413">
        <v>18.5</v>
      </c>
      <c r="S4413">
        <v>29.73</v>
      </c>
      <c r="T4413" t="s">
        <v>14782</v>
      </c>
    </row>
    <row r="4414" spans="1:20" x14ac:dyDescent="0.25">
      <c r="A4414" s="1" t="str">
        <f>HYPERLINK("https://vegkart.atlas.vegvesen.no/#/@313220.7,7091841.7,18/hva:hva%5B0%5D%5Bfilter%5D%5B0%5D%5Boperator%5D=%21%3D&amp;hva%5B0%5D%5Bfilter%5D%5B0%5D%5Btype_id%5D=4820&amp;hva%5B0%5D%5Bfilter%5D%5B0%5D%5Bverdi%5D=&amp;hva%5B0%5D%5Bid%5D=144/når:2016-10-12", "Vegkart")</f>
        <v>Vegkart</v>
      </c>
      <c r="B4414">
        <v>745003876</v>
      </c>
      <c r="C4414">
        <v>144</v>
      </c>
      <c r="D4414" t="s">
        <v>13345</v>
      </c>
      <c r="E4414">
        <v>4820</v>
      </c>
      <c r="F4414" t="s">
        <v>23479</v>
      </c>
      <c r="G4414">
        <v>1</v>
      </c>
      <c r="H4414" t="s">
        <v>1554</v>
      </c>
      <c r="J4414" t="s">
        <v>1161</v>
      </c>
      <c r="K4414" t="s">
        <v>192</v>
      </c>
      <c r="L4414" t="s">
        <v>33</v>
      </c>
      <c r="M4414" t="s">
        <v>14779</v>
      </c>
      <c r="N4414" t="s">
        <v>14783</v>
      </c>
      <c r="O4414" t="s">
        <v>14784</v>
      </c>
      <c r="P4414" s="2" t="s">
        <v>37</v>
      </c>
      <c r="Q4414" t="s">
        <v>1208</v>
      </c>
      <c r="R4414">
        <v>13.12</v>
      </c>
      <c r="S4414">
        <v>64.28</v>
      </c>
      <c r="T4414" t="s">
        <v>14785</v>
      </c>
    </row>
    <row r="4415" spans="1:20" x14ac:dyDescent="0.25">
      <c r="A4415" s="1" t="str">
        <f>HYPERLINK("https://vegkart.atlas.vegvesen.no/#/@313133.5,7091791.6,18/hva:hva%5B0%5D%5Bfilter%5D%5B0%5D%5Boperator%5D=%21%3D&amp;hva%5B0%5D%5Bfilter%5D%5B0%5D%5Btype_id%5D=4820&amp;hva%5B0%5D%5Bfilter%5D%5B0%5D%5Bverdi%5D=&amp;hva%5B0%5D%5Bid%5D=144/når:2016-10-12", "Vegkart")</f>
        <v>Vegkart</v>
      </c>
      <c r="B4415">
        <v>745003877</v>
      </c>
      <c r="C4415">
        <v>144</v>
      </c>
      <c r="D4415" t="s">
        <v>13345</v>
      </c>
      <c r="E4415">
        <v>4820</v>
      </c>
      <c r="F4415" t="s">
        <v>23479</v>
      </c>
      <c r="G4415">
        <v>1</v>
      </c>
      <c r="H4415" t="s">
        <v>1554</v>
      </c>
      <c r="J4415" t="s">
        <v>1161</v>
      </c>
      <c r="K4415" t="s">
        <v>192</v>
      </c>
      <c r="L4415" t="s">
        <v>33</v>
      </c>
      <c r="M4415" t="s">
        <v>14779</v>
      </c>
      <c r="N4415" t="s">
        <v>14786</v>
      </c>
      <c r="O4415" t="s">
        <v>14787</v>
      </c>
      <c r="P4415" s="2" t="s">
        <v>67</v>
      </c>
      <c r="Q4415" t="s">
        <v>68</v>
      </c>
      <c r="R4415">
        <v>15.22</v>
      </c>
      <c r="S4415">
        <v>15.22</v>
      </c>
      <c r="T4415" t="s">
        <v>14788</v>
      </c>
    </row>
    <row r="4416" spans="1:20" x14ac:dyDescent="0.25">
      <c r="A4416" s="1" t="str">
        <f>HYPERLINK("https://vegkart.atlas.vegvesen.no/#/@313054.6,7091747.0,18/hva:hva%5B0%5D%5Bfilter%5D%5B0%5D%5Boperator%5D=%21%3D&amp;hva%5B0%5D%5Bfilter%5D%5B0%5D%5Btype_id%5D=4820&amp;hva%5B0%5D%5Bfilter%5D%5B0%5D%5Bverdi%5D=&amp;hva%5B0%5D%5Bid%5D=144/når:2016-10-12", "Vegkart")</f>
        <v>Vegkart</v>
      </c>
      <c r="B4416">
        <v>745003878</v>
      </c>
      <c r="C4416">
        <v>144</v>
      </c>
      <c r="D4416" t="s">
        <v>13345</v>
      </c>
      <c r="E4416">
        <v>4820</v>
      </c>
      <c r="F4416" t="s">
        <v>23479</v>
      </c>
      <c r="G4416">
        <v>1</v>
      </c>
      <c r="H4416" t="s">
        <v>1554</v>
      </c>
      <c r="J4416" t="s">
        <v>1161</v>
      </c>
      <c r="K4416" t="s">
        <v>192</v>
      </c>
      <c r="L4416" t="s">
        <v>33</v>
      </c>
      <c r="M4416" t="s">
        <v>14779</v>
      </c>
      <c r="N4416" t="s">
        <v>14789</v>
      </c>
      <c r="O4416" t="s">
        <v>14790</v>
      </c>
      <c r="P4416" s="2" t="s">
        <v>67</v>
      </c>
      <c r="Q4416" t="s">
        <v>68</v>
      </c>
      <c r="R4416">
        <v>30.43</v>
      </c>
      <c r="S4416">
        <v>30.53</v>
      </c>
      <c r="T4416" t="s">
        <v>14791</v>
      </c>
    </row>
    <row r="4417" spans="1:20" x14ac:dyDescent="0.25">
      <c r="A4417" s="1" t="str">
        <f>HYPERLINK("https://vegkart.atlas.vegvesen.no/#/@226620.2,6684707.6,18/hva:hva%5B0%5D%5Bfilter%5D%5B0%5D%5Boperator%5D=%21%3D&amp;hva%5B0%5D%5Bfilter%5D%5B0%5D%5Btype_id%5D=4820&amp;hva%5B0%5D%5Bfilter%5D%5B0%5D%5Bverdi%5D=&amp;hva%5B0%5D%5Bid%5D=144/når:2016-10-17", "Vegkart")</f>
        <v>Vegkart</v>
      </c>
      <c r="B4417">
        <v>745220287</v>
      </c>
      <c r="C4417">
        <v>144</v>
      </c>
      <c r="D4417" t="s">
        <v>13345</v>
      </c>
      <c r="E4417">
        <v>4820</v>
      </c>
      <c r="F4417" t="s">
        <v>23479</v>
      </c>
      <c r="G4417">
        <v>1</v>
      </c>
      <c r="H4417" t="s">
        <v>1354</v>
      </c>
      <c r="J4417" t="s">
        <v>1161</v>
      </c>
      <c r="K4417" t="s">
        <v>307</v>
      </c>
      <c r="L4417" t="s">
        <v>113</v>
      </c>
      <c r="M4417" t="s">
        <v>308</v>
      </c>
      <c r="N4417" t="s">
        <v>14792</v>
      </c>
      <c r="O4417" t="s">
        <v>14793</v>
      </c>
      <c r="P4417" s="2" t="s">
        <v>67</v>
      </c>
      <c r="Q4417" t="s">
        <v>68</v>
      </c>
      <c r="R4417">
        <v>3.9</v>
      </c>
      <c r="S4417">
        <v>3.9</v>
      </c>
      <c r="T4417" t="s">
        <v>14794</v>
      </c>
    </row>
    <row r="4418" spans="1:20" x14ac:dyDescent="0.25">
      <c r="A4418" s="1" t="str">
        <f>HYPERLINK("https://vegkart.atlas.vegvesen.no/#/@226633.6,6684692.4,18/hva:hva%5B0%5D%5Bfilter%5D%5B0%5D%5Boperator%5D=%21%3D&amp;hva%5B0%5D%5Bfilter%5D%5B0%5D%5Btype_id%5D=4820&amp;hva%5B0%5D%5Bfilter%5D%5B0%5D%5Bverdi%5D=&amp;hva%5B0%5D%5Bid%5D=144/når:2016-10-17", "Vegkart")</f>
        <v>Vegkart</v>
      </c>
      <c r="B4418">
        <v>745220288</v>
      </c>
      <c r="C4418">
        <v>144</v>
      </c>
      <c r="D4418" t="s">
        <v>13345</v>
      </c>
      <c r="E4418">
        <v>4820</v>
      </c>
      <c r="F4418" t="s">
        <v>23479</v>
      </c>
      <c r="G4418">
        <v>1</v>
      </c>
      <c r="H4418" t="s">
        <v>1354</v>
      </c>
      <c r="J4418" t="s">
        <v>1161</v>
      </c>
      <c r="K4418" t="s">
        <v>307</v>
      </c>
      <c r="L4418" t="s">
        <v>113</v>
      </c>
      <c r="M4418" t="s">
        <v>308</v>
      </c>
      <c r="N4418" t="s">
        <v>14795</v>
      </c>
      <c r="O4418" t="s">
        <v>14796</v>
      </c>
      <c r="P4418" s="2" t="s">
        <v>67</v>
      </c>
      <c r="Q4418" t="s">
        <v>68</v>
      </c>
      <c r="R4418">
        <v>17.47</v>
      </c>
      <c r="S4418">
        <v>17.47</v>
      </c>
      <c r="T4418" t="s">
        <v>14797</v>
      </c>
    </row>
    <row r="4419" spans="1:20" x14ac:dyDescent="0.25">
      <c r="A4419" s="1" t="str">
        <f>HYPERLINK("https://vegkart.atlas.vegvesen.no/#/@226654.3,6684673.7,18/hva:hva%5B0%5D%5Bfilter%5D%5B0%5D%5Boperator%5D=%21%3D&amp;hva%5B0%5D%5Bfilter%5D%5B0%5D%5Btype_id%5D=4820&amp;hva%5B0%5D%5Bfilter%5D%5B0%5D%5Bverdi%5D=&amp;hva%5B0%5D%5Bid%5D=144/når:2016-10-17", "Vegkart")</f>
        <v>Vegkart</v>
      </c>
      <c r="B4419">
        <v>745220289</v>
      </c>
      <c r="C4419">
        <v>144</v>
      </c>
      <c r="D4419" t="s">
        <v>13345</v>
      </c>
      <c r="E4419">
        <v>4820</v>
      </c>
      <c r="F4419" t="s">
        <v>23479</v>
      </c>
      <c r="G4419">
        <v>1</v>
      </c>
      <c r="H4419" t="s">
        <v>1354</v>
      </c>
      <c r="J4419" t="s">
        <v>1161</v>
      </c>
      <c r="K4419" t="s">
        <v>307</v>
      </c>
      <c r="L4419" t="s">
        <v>113</v>
      </c>
      <c r="M4419" t="s">
        <v>308</v>
      </c>
      <c r="N4419" t="s">
        <v>14798</v>
      </c>
      <c r="O4419" t="s">
        <v>14799</v>
      </c>
      <c r="P4419" s="2" t="s">
        <v>67</v>
      </c>
      <c r="Q4419" t="s">
        <v>68</v>
      </c>
      <c r="R4419">
        <v>21.57</v>
      </c>
      <c r="S4419">
        <v>21.57</v>
      </c>
      <c r="T4419" t="s">
        <v>14800</v>
      </c>
    </row>
    <row r="4420" spans="1:20" x14ac:dyDescent="0.25">
      <c r="A4420" s="1" t="str">
        <f>HYPERLINK("https://vegkart.atlas.vegvesen.no/#/@226670.9,6684654.1,18/hva:hva%5B0%5D%5Bfilter%5D%5B0%5D%5Boperator%5D=%21%3D&amp;hva%5B0%5D%5Bfilter%5D%5B0%5D%5Btype_id%5D=4820&amp;hva%5B0%5D%5Bfilter%5D%5B0%5D%5Bverdi%5D=&amp;hva%5B0%5D%5Bid%5D=144/når:2016-10-17", "Vegkart")</f>
        <v>Vegkart</v>
      </c>
      <c r="B4420">
        <v>745220290</v>
      </c>
      <c r="C4420">
        <v>144</v>
      </c>
      <c r="D4420" t="s">
        <v>13345</v>
      </c>
      <c r="E4420">
        <v>4820</v>
      </c>
      <c r="F4420" t="s">
        <v>23479</v>
      </c>
      <c r="G4420">
        <v>1</v>
      </c>
      <c r="H4420" t="s">
        <v>1354</v>
      </c>
      <c r="J4420" t="s">
        <v>1161</v>
      </c>
      <c r="K4420" t="s">
        <v>307</v>
      </c>
      <c r="L4420" t="s">
        <v>113</v>
      </c>
      <c r="M4420" t="s">
        <v>308</v>
      </c>
      <c r="N4420" t="s">
        <v>14801</v>
      </c>
      <c r="O4420" t="s">
        <v>14802</v>
      </c>
      <c r="P4420" s="2" t="s">
        <v>67</v>
      </c>
      <c r="Q4420" t="s">
        <v>68</v>
      </c>
      <c r="R4420">
        <v>9.9600000000000009</v>
      </c>
      <c r="S4420">
        <v>9.9600000000000009</v>
      </c>
      <c r="T4420" t="s">
        <v>14803</v>
      </c>
    </row>
    <row r="4421" spans="1:20" x14ac:dyDescent="0.25">
      <c r="A4421" s="1" t="str">
        <f>HYPERLINK("https://vegkart.atlas.vegvesen.no/#/@226709.5,6684618.6,18/hva:hva%5B0%5D%5Bfilter%5D%5B0%5D%5Boperator%5D=%21%3D&amp;hva%5B0%5D%5Bfilter%5D%5B0%5D%5Btype_id%5D=4820&amp;hva%5B0%5D%5Bfilter%5D%5B0%5D%5Bverdi%5D=&amp;hva%5B0%5D%5Bid%5D=144/når:2016-10-17", "Vegkart")</f>
        <v>Vegkart</v>
      </c>
      <c r="B4421">
        <v>745220291</v>
      </c>
      <c r="C4421">
        <v>144</v>
      </c>
      <c r="D4421" t="s">
        <v>13345</v>
      </c>
      <c r="E4421">
        <v>4820</v>
      </c>
      <c r="F4421" t="s">
        <v>23479</v>
      </c>
      <c r="G4421">
        <v>1</v>
      </c>
      <c r="H4421" t="s">
        <v>1354</v>
      </c>
      <c r="J4421" t="s">
        <v>1161</v>
      </c>
      <c r="K4421" t="s">
        <v>307</v>
      </c>
      <c r="L4421" t="s">
        <v>113</v>
      </c>
      <c r="M4421" t="s">
        <v>308</v>
      </c>
      <c r="N4421" t="s">
        <v>14804</v>
      </c>
      <c r="O4421" t="s">
        <v>14805</v>
      </c>
      <c r="P4421" s="2" t="s">
        <v>67</v>
      </c>
      <c r="Q4421" t="s">
        <v>68</v>
      </c>
      <c r="R4421">
        <v>8.3000000000000007</v>
      </c>
      <c r="S4421">
        <v>8.3000000000000007</v>
      </c>
      <c r="T4421" t="s">
        <v>14806</v>
      </c>
    </row>
    <row r="4422" spans="1:20" x14ac:dyDescent="0.25">
      <c r="A4422" s="1" t="str">
        <f>HYPERLINK("https://vegkart.atlas.vegvesen.no/#/@226729.6,6684603.6,18/hva:hva%5B0%5D%5Bfilter%5D%5B0%5D%5Boperator%5D=%21%3D&amp;hva%5B0%5D%5Bfilter%5D%5B0%5D%5Btype_id%5D=4820&amp;hva%5B0%5D%5Bfilter%5D%5B0%5D%5Bverdi%5D=&amp;hva%5B0%5D%5Bid%5D=144/når:2016-10-17", "Vegkart")</f>
        <v>Vegkart</v>
      </c>
      <c r="B4422">
        <v>745220292</v>
      </c>
      <c r="C4422">
        <v>144</v>
      </c>
      <c r="D4422" t="s">
        <v>13345</v>
      </c>
      <c r="E4422">
        <v>4820</v>
      </c>
      <c r="F4422" t="s">
        <v>23479</v>
      </c>
      <c r="G4422">
        <v>1</v>
      </c>
      <c r="H4422" t="s">
        <v>1354</v>
      </c>
      <c r="J4422" t="s">
        <v>1161</v>
      </c>
      <c r="K4422" t="s">
        <v>307</v>
      </c>
      <c r="L4422" t="s">
        <v>113</v>
      </c>
      <c r="M4422" t="s">
        <v>308</v>
      </c>
      <c r="N4422" t="s">
        <v>14807</v>
      </c>
      <c r="O4422" t="s">
        <v>14808</v>
      </c>
      <c r="P4422" s="2" t="s">
        <v>67</v>
      </c>
      <c r="Q4422" t="s">
        <v>68</v>
      </c>
      <c r="R4422">
        <v>13.03</v>
      </c>
      <c r="S4422">
        <v>13.03</v>
      </c>
      <c r="T4422" t="s">
        <v>14809</v>
      </c>
    </row>
    <row r="4423" spans="1:20" x14ac:dyDescent="0.25">
      <c r="A4423" s="1" t="str">
        <f>HYPERLINK("https://vegkart.atlas.vegvesen.no/#/@226750.7,6684587.9,18/hva:hva%5B0%5D%5Bfilter%5D%5B0%5D%5Boperator%5D=%21%3D&amp;hva%5B0%5D%5Bfilter%5D%5B0%5D%5Btype_id%5D=4820&amp;hva%5B0%5D%5Bfilter%5D%5B0%5D%5Bverdi%5D=&amp;hva%5B0%5D%5Bid%5D=144/når:2016-10-17", "Vegkart")</f>
        <v>Vegkart</v>
      </c>
      <c r="B4423">
        <v>745220293</v>
      </c>
      <c r="C4423">
        <v>144</v>
      </c>
      <c r="D4423" t="s">
        <v>13345</v>
      </c>
      <c r="E4423">
        <v>4820</v>
      </c>
      <c r="F4423" t="s">
        <v>23479</v>
      </c>
      <c r="G4423">
        <v>1</v>
      </c>
      <c r="H4423" t="s">
        <v>1354</v>
      </c>
      <c r="J4423" t="s">
        <v>1161</v>
      </c>
      <c r="K4423" t="s">
        <v>307</v>
      </c>
      <c r="L4423" t="s">
        <v>113</v>
      </c>
      <c r="M4423" t="s">
        <v>308</v>
      </c>
      <c r="N4423" t="s">
        <v>14810</v>
      </c>
      <c r="O4423" t="s">
        <v>14811</v>
      </c>
      <c r="P4423" s="2" t="s">
        <v>67</v>
      </c>
      <c r="Q4423" t="s">
        <v>68</v>
      </c>
      <c r="R4423">
        <v>17.23</v>
      </c>
      <c r="S4423">
        <v>17.23</v>
      </c>
      <c r="T4423" t="s">
        <v>14812</v>
      </c>
    </row>
    <row r="4424" spans="1:20" x14ac:dyDescent="0.25">
      <c r="A4424" s="1" t="str">
        <f>HYPERLINK("https://vegkart.atlas.vegvesen.no/#/@226770.1,6684573.0,18/hva:hva%5B0%5D%5Bfilter%5D%5B0%5D%5Boperator%5D=%21%3D&amp;hva%5B0%5D%5Bfilter%5D%5B0%5D%5Btype_id%5D=4820&amp;hva%5B0%5D%5Bfilter%5D%5B0%5D%5Bverdi%5D=&amp;hva%5B0%5D%5Bid%5D=144/når:2016-10-17", "Vegkart")</f>
        <v>Vegkart</v>
      </c>
      <c r="B4424">
        <v>745220294</v>
      </c>
      <c r="C4424">
        <v>144</v>
      </c>
      <c r="D4424" t="s">
        <v>13345</v>
      </c>
      <c r="E4424">
        <v>4820</v>
      </c>
      <c r="F4424" t="s">
        <v>23479</v>
      </c>
      <c r="G4424">
        <v>1</v>
      </c>
      <c r="H4424" t="s">
        <v>1354</v>
      </c>
      <c r="J4424" t="s">
        <v>1161</v>
      </c>
      <c r="K4424" t="s">
        <v>307</v>
      </c>
      <c r="L4424" t="s">
        <v>113</v>
      </c>
      <c r="M4424" t="s">
        <v>308</v>
      </c>
      <c r="N4424" t="s">
        <v>14813</v>
      </c>
      <c r="O4424" t="s">
        <v>14814</v>
      </c>
      <c r="P4424" s="2" t="s">
        <v>67</v>
      </c>
      <c r="Q4424" t="s">
        <v>68</v>
      </c>
      <c r="R4424">
        <v>17.649999999999999</v>
      </c>
      <c r="S4424">
        <v>17.649999999999999</v>
      </c>
      <c r="T4424" t="s">
        <v>14815</v>
      </c>
    </row>
    <row r="4425" spans="1:20" x14ac:dyDescent="0.25">
      <c r="A4425" s="1" t="str">
        <f>HYPERLINK("https://vegkart.atlas.vegvesen.no/#/@226788.7,6684561.1,18/hva:hva%5B0%5D%5Bfilter%5D%5B0%5D%5Boperator%5D=%21%3D&amp;hva%5B0%5D%5Bfilter%5D%5B0%5D%5Btype_id%5D=4820&amp;hva%5B0%5D%5Bfilter%5D%5B0%5D%5Bverdi%5D=&amp;hva%5B0%5D%5Bid%5D=144/når:2016-10-17", "Vegkart")</f>
        <v>Vegkart</v>
      </c>
      <c r="B4425">
        <v>745220295</v>
      </c>
      <c r="C4425">
        <v>144</v>
      </c>
      <c r="D4425" t="s">
        <v>13345</v>
      </c>
      <c r="E4425">
        <v>4820</v>
      </c>
      <c r="F4425" t="s">
        <v>23479</v>
      </c>
      <c r="G4425">
        <v>1</v>
      </c>
      <c r="H4425" t="s">
        <v>1354</v>
      </c>
      <c r="J4425" t="s">
        <v>1161</v>
      </c>
      <c r="K4425" t="s">
        <v>307</v>
      </c>
      <c r="L4425" t="s">
        <v>113</v>
      </c>
      <c r="M4425" t="s">
        <v>308</v>
      </c>
      <c r="N4425" t="s">
        <v>14816</v>
      </c>
      <c r="O4425" t="s">
        <v>14817</v>
      </c>
      <c r="P4425" s="2" t="s">
        <v>67</v>
      </c>
      <c r="Q4425" t="s">
        <v>68</v>
      </c>
      <c r="R4425">
        <v>16.28</v>
      </c>
      <c r="S4425">
        <v>16.28</v>
      </c>
      <c r="T4425" t="s">
        <v>14818</v>
      </c>
    </row>
    <row r="4426" spans="1:20" x14ac:dyDescent="0.25">
      <c r="A4426" s="1" t="str">
        <f>HYPERLINK("https://vegkart.atlas.vegvesen.no/#/@226812.7,6684548.1,18/hva:hva%5B0%5D%5Bfilter%5D%5B0%5D%5Boperator%5D=%21%3D&amp;hva%5B0%5D%5Bfilter%5D%5B0%5D%5Btype_id%5D=4820&amp;hva%5B0%5D%5Bfilter%5D%5B0%5D%5Bverdi%5D=&amp;hva%5B0%5D%5Bid%5D=144/når:2016-10-17", "Vegkart")</f>
        <v>Vegkart</v>
      </c>
      <c r="B4426">
        <v>745220296</v>
      </c>
      <c r="C4426">
        <v>144</v>
      </c>
      <c r="D4426" t="s">
        <v>13345</v>
      </c>
      <c r="E4426">
        <v>4820</v>
      </c>
      <c r="F4426" t="s">
        <v>23479</v>
      </c>
      <c r="G4426">
        <v>1</v>
      </c>
      <c r="H4426" t="s">
        <v>1354</v>
      </c>
      <c r="J4426" t="s">
        <v>1161</v>
      </c>
      <c r="K4426" t="s">
        <v>307</v>
      </c>
      <c r="L4426" t="s">
        <v>113</v>
      </c>
      <c r="M4426" t="s">
        <v>308</v>
      </c>
      <c r="N4426" t="s">
        <v>14819</v>
      </c>
      <c r="O4426" t="s">
        <v>14820</v>
      </c>
      <c r="P4426" s="2" t="s">
        <v>67</v>
      </c>
      <c r="Q4426" t="s">
        <v>68</v>
      </c>
      <c r="R4426">
        <v>16.010000000000002</v>
      </c>
      <c r="S4426">
        <v>16.010000000000002</v>
      </c>
      <c r="T4426" t="s">
        <v>14821</v>
      </c>
    </row>
    <row r="4427" spans="1:20" x14ac:dyDescent="0.25">
      <c r="A4427" s="1" t="str">
        <f>HYPERLINK("https://vegkart.atlas.vegvesen.no/#/@226831.9,6684541.2,18/hva:hva%5B0%5D%5Bfilter%5D%5B0%5D%5Boperator%5D=%21%3D&amp;hva%5B0%5D%5Bfilter%5D%5B0%5D%5Btype_id%5D=4820&amp;hva%5B0%5D%5Bfilter%5D%5B0%5D%5Bverdi%5D=&amp;hva%5B0%5D%5Bid%5D=144/når:2016-10-17", "Vegkart")</f>
        <v>Vegkart</v>
      </c>
      <c r="B4427">
        <v>745220297</v>
      </c>
      <c r="C4427">
        <v>144</v>
      </c>
      <c r="D4427" t="s">
        <v>13345</v>
      </c>
      <c r="E4427">
        <v>4820</v>
      </c>
      <c r="F4427" t="s">
        <v>23479</v>
      </c>
      <c r="G4427">
        <v>1</v>
      </c>
      <c r="H4427" t="s">
        <v>1354</v>
      </c>
      <c r="J4427" t="s">
        <v>1161</v>
      </c>
      <c r="K4427" t="s">
        <v>307</v>
      </c>
      <c r="L4427" t="s">
        <v>113</v>
      </c>
      <c r="M4427" t="s">
        <v>308</v>
      </c>
      <c r="N4427" t="s">
        <v>14822</v>
      </c>
      <c r="O4427" t="s">
        <v>14823</v>
      </c>
      <c r="P4427" s="2" t="s">
        <v>67</v>
      </c>
      <c r="Q4427" t="s">
        <v>68</v>
      </c>
      <c r="R4427">
        <v>11.96</v>
      </c>
      <c r="S4427">
        <v>11.96</v>
      </c>
      <c r="T4427" t="s">
        <v>14824</v>
      </c>
    </row>
    <row r="4428" spans="1:20" x14ac:dyDescent="0.25">
      <c r="A4428" s="1" t="str">
        <f>HYPERLINK("https://vegkart.atlas.vegvesen.no/#/@226730.7,6684618.2,18/hva:hva%5B0%5D%5Bfilter%5D%5B0%5D%5Boperator%5D=%21%3D&amp;hva%5B0%5D%5Bfilter%5D%5B0%5D%5Btype_id%5D=4820&amp;hva%5B0%5D%5Bfilter%5D%5B0%5D%5Bverdi%5D=&amp;hva%5B0%5D%5Bid%5D=144/når:2016-10-17", "Vegkart")</f>
        <v>Vegkart</v>
      </c>
      <c r="B4428">
        <v>745220298</v>
      </c>
      <c r="C4428">
        <v>144</v>
      </c>
      <c r="D4428" t="s">
        <v>13345</v>
      </c>
      <c r="E4428">
        <v>4820</v>
      </c>
      <c r="F4428" t="s">
        <v>23479</v>
      </c>
      <c r="G4428">
        <v>1</v>
      </c>
      <c r="H4428" t="s">
        <v>1354</v>
      </c>
      <c r="J4428" t="s">
        <v>1161</v>
      </c>
      <c r="K4428" t="s">
        <v>307</v>
      </c>
      <c r="L4428" t="s">
        <v>113</v>
      </c>
      <c r="M4428" t="s">
        <v>308</v>
      </c>
      <c r="N4428" t="s">
        <v>14825</v>
      </c>
      <c r="O4428" t="s">
        <v>14826</v>
      </c>
      <c r="P4428" s="2" t="s">
        <v>67</v>
      </c>
      <c r="Q4428" t="s">
        <v>68</v>
      </c>
      <c r="R4428">
        <v>296.60000000000002</v>
      </c>
      <c r="S4428">
        <v>308.37</v>
      </c>
      <c r="T4428" t="s">
        <v>14827</v>
      </c>
    </row>
    <row r="4429" spans="1:20" x14ac:dyDescent="0.25">
      <c r="A4429" s="1" t="str">
        <f>HYPERLINK("https://vegkart.atlas.vegvesen.no/#/@227074.1,6684556.4,18/hva:hva%5B0%5D%5Bfilter%5D%5B0%5D%5Boperator%5D=%21%3D&amp;hva%5B0%5D%5Bfilter%5D%5B0%5D%5Btype_id%5D=4820&amp;hva%5B0%5D%5Bfilter%5D%5B0%5D%5Bverdi%5D=&amp;hva%5B0%5D%5Bid%5D=144/når:2016-10-17", "Vegkart")</f>
        <v>Vegkart</v>
      </c>
      <c r="B4429">
        <v>745220299</v>
      </c>
      <c r="C4429">
        <v>144</v>
      </c>
      <c r="D4429" t="s">
        <v>13345</v>
      </c>
      <c r="E4429">
        <v>4820</v>
      </c>
      <c r="F4429" t="s">
        <v>23479</v>
      </c>
      <c r="G4429">
        <v>1</v>
      </c>
      <c r="H4429" t="s">
        <v>1354</v>
      </c>
      <c r="J4429" t="s">
        <v>1161</v>
      </c>
      <c r="K4429" t="s">
        <v>307</v>
      </c>
      <c r="L4429" t="s">
        <v>113</v>
      </c>
      <c r="M4429" t="s">
        <v>308</v>
      </c>
      <c r="N4429" t="s">
        <v>14828</v>
      </c>
      <c r="O4429" t="s">
        <v>14829</v>
      </c>
      <c r="P4429" s="2" t="s">
        <v>67</v>
      </c>
      <c r="Q4429" t="s">
        <v>68</v>
      </c>
      <c r="R4429">
        <v>16.57</v>
      </c>
      <c r="S4429">
        <v>16.62</v>
      </c>
      <c r="T4429" t="s">
        <v>14830</v>
      </c>
    </row>
    <row r="4430" spans="1:20" x14ac:dyDescent="0.25">
      <c r="A4430" s="1" t="str">
        <f>HYPERLINK("https://vegkart.atlas.vegvesen.no/#/@227056.0,6684547.6,18/hva:hva%5B0%5D%5Bfilter%5D%5B0%5D%5Boperator%5D=%21%3D&amp;hva%5B0%5D%5Bfilter%5D%5B0%5D%5Btype_id%5D=4820&amp;hva%5B0%5D%5Bfilter%5D%5B0%5D%5Bverdi%5D=&amp;hva%5B0%5D%5Bid%5D=144/når:2016-10-17", "Vegkart")</f>
        <v>Vegkart</v>
      </c>
      <c r="B4430">
        <v>745220300</v>
      </c>
      <c r="C4430">
        <v>144</v>
      </c>
      <c r="D4430" t="s">
        <v>13345</v>
      </c>
      <c r="E4430">
        <v>4820</v>
      </c>
      <c r="F4430" t="s">
        <v>23479</v>
      </c>
      <c r="G4430">
        <v>1</v>
      </c>
      <c r="H4430" t="s">
        <v>1354</v>
      </c>
      <c r="J4430" t="s">
        <v>1161</v>
      </c>
      <c r="K4430" t="s">
        <v>307</v>
      </c>
      <c r="L4430" t="s">
        <v>113</v>
      </c>
      <c r="M4430" t="s">
        <v>308</v>
      </c>
      <c r="N4430" t="s">
        <v>14831</v>
      </c>
      <c r="O4430" t="s">
        <v>14832</v>
      </c>
      <c r="P4430" s="2" t="s">
        <v>67</v>
      </c>
      <c r="Q4430" t="s">
        <v>68</v>
      </c>
      <c r="R4430">
        <v>22.4</v>
      </c>
      <c r="S4430">
        <v>22.41</v>
      </c>
      <c r="T4430" t="s">
        <v>14833</v>
      </c>
    </row>
    <row r="4431" spans="1:20" x14ac:dyDescent="0.25">
      <c r="A4431" s="1" t="str">
        <f>HYPERLINK("https://vegkart.atlas.vegvesen.no/#/@227038.0,6684539.6,18/hva:hva%5B0%5D%5Bfilter%5D%5B0%5D%5Boperator%5D=%21%3D&amp;hva%5B0%5D%5Bfilter%5D%5B0%5D%5Btype_id%5D=4820&amp;hva%5B0%5D%5Bfilter%5D%5B0%5D%5Bverdi%5D=&amp;hva%5B0%5D%5Bid%5D=144/når:2016-10-17", "Vegkart")</f>
        <v>Vegkart</v>
      </c>
      <c r="B4431">
        <v>745220301</v>
      </c>
      <c r="C4431">
        <v>144</v>
      </c>
      <c r="D4431" t="s">
        <v>13345</v>
      </c>
      <c r="E4431">
        <v>4820</v>
      </c>
      <c r="F4431" t="s">
        <v>23479</v>
      </c>
      <c r="G4431">
        <v>1</v>
      </c>
      <c r="H4431" t="s">
        <v>1354</v>
      </c>
      <c r="J4431" t="s">
        <v>1161</v>
      </c>
      <c r="K4431" t="s">
        <v>307</v>
      </c>
      <c r="L4431" t="s">
        <v>113</v>
      </c>
      <c r="M4431" t="s">
        <v>308</v>
      </c>
      <c r="N4431" t="s">
        <v>14834</v>
      </c>
      <c r="O4431" t="s">
        <v>14835</v>
      </c>
      <c r="P4431" s="2" t="s">
        <v>67</v>
      </c>
      <c r="Q4431" t="s">
        <v>68</v>
      </c>
      <c r="R4431">
        <v>22.49</v>
      </c>
      <c r="S4431">
        <v>22.51</v>
      </c>
      <c r="T4431" t="s">
        <v>14836</v>
      </c>
    </row>
    <row r="4432" spans="1:20" x14ac:dyDescent="0.25">
      <c r="A4432" s="1" t="str">
        <f>HYPERLINK("https://vegkart.atlas.vegvesen.no/#/@227015.6,6684531.2,18/hva:hva%5B0%5D%5Bfilter%5D%5B0%5D%5Boperator%5D=%21%3D&amp;hva%5B0%5D%5Bfilter%5D%5B0%5D%5Btype_id%5D=4820&amp;hva%5B0%5D%5Bfilter%5D%5B0%5D%5Bverdi%5D=&amp;hva%5B0%5D%5Bid%5D=144/når:2016-10-17", "Vegkart")</f>
        <v>Vegkart</v>
      </c>
      <c r="B4432">
        <v>745220302</v>
      </c>
      <c r="C4432">
        <v>144</v>
      </c>
      <c r="D4432" t="s">
        <v>13345</v>
      </c>
      <c r="E4432">
        <v>4820</v>
      </c>
      <c r="F4432" t="s">
        <v>23479</v>
      </c>
      <c r="G4432">
        <v>1</v>
      </c>
      <c r="H4432" t="s">
        <v>1354</v>
      </c>
      <c r="J4432" t="s">
        <v>1161</v>
      </c>
      <c r="K4432" t="s">
        <v>307</v>
      </c>
      <c r="L4432" t="s">
        <v>113</v>
      </c>
      <c r="M4432" t="s">
        <v>308</v>
      </c>
      <c r="N4432" t="s">
        <v>14837</v>
      </c>
      <c r="O4432" t="s">
        <v>14838</v>
      </c>
      <c r="P4432" s="2" t="s">
        <v>67</v>
      </c>
      <c r="Q4432" t="s">
        <v>68</v>
      </c>
      <c r="R4432">
        <v>18.579999999999998</v>
      </c>
      <c r="S4432">
        <v>18.600000000000001</v>
      </c>
      <c r="T4432" t="s">
        <v>14839</v>
      </c>
    </row>
    <row r="4433" spans="1:20" x14ac:dyDescent="0.25">
      <c r="A4433" s="1" t="str">
        <f>HYPERLINK("https://vegkart.atlas.vegvesen.no/#/@226989.3,6684526.4,18/hva:hva%5B0%5D%5Bfilter%5D%5B0%5D%5Boperator%5D=%21%3D&amp;hva%5B0%5D%5Bfilter%5D%5B0%5D%5Btype_id%5D=4820&amp;hva%5B0%5D%5Bfilter%5D%5B0%5D%5Bverdi%5D=&amp;hva%5B0%5D%5Bid%5D=144/når:2016-10-17", "Vegkart")</f>
        <v>Vegkart</v>
      </c>
      <c r="B4433">
        <v>745220303</v>
      </c>
      <c r="C4433">
        <v>144</v>
      </c>
      <c r="D4433" t="s">
        <v>13345</v>
      </c>
      <c r="E4433">
        <v>4820</v>
      </c>
      <c r="F4433" t="s">
        <v>23479</v>
      </c>
      <c r="G4433">
        <v>1</v>
      </c>
      <c r="H4433" t="s">
        <v>1354</v>
      </c>
      <c r="J4433" t="s">
        <v>1161</v>
      </c>
      <c r="K4433" t="s">
        <v>307</v>
      </c>
      <c r="L4433" t="s">
        <v>113</v>
      </c>
      <c r="M4433" t="s">
        <v>308</v>
      </c>
      <c r="N4433" t="s">
        <v>14840</v>
      </c>
      <c r="O4433" t="s">
        <v>14841</v>
      </c>
      <c r="P4433" s="2" t="s">
        <v>67</v>
      </c>
      <c r="Q4433" t="s">
        <v>68</v>
      </c>
      <c r="R4433">
        <v>13.81</v>
      </c>
      <c r="S4433">
        <v>13.81</v>
      </c>
      <c r="T4433" t="s">
        <v>14842</v>
      </c>
    </row>
    <row r="4434" spans="1:20" x14ac:dyDescent="0.25">
      <c r="A4434" s="1" t="str">
        <f>HYPERLINK("https://vegkart.atlas.vegvesen.no/#/@227024.8,6684546.7,18/hva:hva%5B0%5D%5Bfilter%5D%5B0%5D%5Boperator%5D=%21%3D&amp;hva%5B0%5D%5Bfilter%5D%5B0%5D%5Btype_id%5D=4820&amp;hva%5B0%5D%5Bfilter%5D%5B0%5D%5Bverdi%5D=&amp;hva%5B0%5D%5Bid%5D=144/når:2016-10-17", "Vegkart")</f>
        <v>Vegkart</v>
      </c>
      <c r="B4434">
        <v>745220304</v>
      </c>
      <c r="C4434">
        <v>144</v>
      </c>
      <c r="D4434" t="s">
        <v>13345</v>
      </c>
      <c r="E4434">
        <v>4820</v>
      </c>
      <c r="F4434" t="s">
        <v>23479</v>
      </c>
      <c r="G4434">
        <v>1</v>
      </c>
      <c r="H4434" t="s">
        <v>1354</v>
      </c>
      <c r="J4434" t="s">
        <v>1161</v>
      </c>
      <c r="K4434" t="s">
        <v>307</v>
      </c>
      <c r="L4434" t="s">
        <v>113</v>
      </c>
      <c r="M4434" t="s">
        <v>308</v>
      </c>
      <c r="N4434" t="s">
        <v>14843</v>
      </c>
      <c r="O4434" t="s">
        <v>14844</v>
      </c>
      <c r="P4434" s="2" t="s">
        <v>67</v>
      </c>
      <c r="Q4434" t="s">
        <v>68</v>
      </c>
      <c r="R4434">
        <v>155.86000000000001</v>
      </c>
      <c r="S4434">
        <v>159.51</v>
      </c>
      <c r="T4434" t="s">
        <v>14845</v>
      </c>
    </row>
    <row r="4435" spans="1:20" x14ac:dyDescent="0.25">
      <c r="A4435" s="1" t="str">
        <f>HYPERLINK("https://vegkart.atlas.vegvesen.no/#/@263144.8,7069433.4,18/hva:hva%5B0%5D%5Bfilter%5D%5B0%5D%5Boperator%5D=%21%3D&amp;hva%5B0%5D%5Bfilter%5D%5B0%5D%5Btype_id%5D=4820&amp;hva%5B0%5D%5Bfilter%5D%5B0%5D%5Bverdi%5D=&amp;hva%5B0%5D%5Bid%5D=144/når:2016-10-17", "Vegkart")</f>
        <v>Vegkart</v>
      </c>
      <c r="B4435">
        <v>745232044</v>
      </c>
      <c r="C4435">
        <v>144</v>
      </c>
      <c r="D4435" t="s">
        <v>13345</v>
      </c>
      <c r="E4435">
        <v>4820</v>
      </c>
      <c r="F4435" t="s">
        <v>23479</v>
      </c>
      <c r="G4435">
        <v>1</v>
      </c>
      <c r="H4435" t="s">
        <v>1354</v>
      </c>
      <c r="J4435" t="s">
        <v>1161</v>
      </c>
      <c r="K4435" t="s">
        <v>192</v>
      </c>
      <c r="L4435" t="s">
        <v>33</v>
      </c>
      <c r="M4435" t="s">
        <v>203</v>
      </c>
      <c r="N4435" t="s">
        <v>14846</v>
      </c>
      <c r="O4435" t="s">
        <v>14847</v>
      </c>
      <c r="P4435" s="2" t="s">
        <v>37</v>
      </c>
      <c r="Q4435" t="s">
        <v>1208</v>
      </c>
      <c r="R4435">
        <v>16.28</v>
      </c>
      <c r="S4435">
        <v>17.98</v>
      </c>
      <c r="T4435" t="s">
        <v>14848</v>
      </c>
    </row>
    <row r="4436" spans="1:20" x14ac:dyDescent="0.25">
      <c r="A4436" s="1" t="str">
        <f>HYPERLINK("https://vegkart.atlas.vegvesen.no/#/@264997.5,7071644.2,18/hva:hva%5B0%5D%5Bfilter%5D%5B0%5D%5Boperator%5D=%21%3D&amp;hva%5B0%5D%5Bfilter%5D%5B0%5D%5Btype_id%5D=4820&amp;hva%5B0%5D%5Bfilter%5D%5B0%5D%5Bverdi%5D=&amp;hva%5B0%5D%5Bid%5D=144/når:2016-10-17", "Vegkart")</f>
        <v>Vegkart</v>
      </c>
      <c r="B4436">
        <v>745232047</v>
      </c>
      <c r="C4436">
        <v>144</v>
      </c>
      <c r="D4436" t="s">
        <v>13345</v>
      </c>
      <c r="E4436">
        <v>4820</v>
      </c>
      <c r="F4436" t="s">
        <v>23479</v>
      </c>
      <c r="G4436">
        <v>1</v>
      </c>
      <c r="H4436" t="s">
        <v>1354</v>
      </c>
      <c r="J4436" t="s">
        <v>1161</v>
      </c>
      <c r="K4436" t="s">
        <v>192</v>
      </c>
      <c r="L4436" t="s">
        <v>33</v>
      </c>
      <c r="M4436" t="s">
        <v>6448</v>
      </c>
      <c r="N4436" t="s">
        <v>14849</v>
      </c>
      <c r="O4436" t="s">
        <v>14850</v>
      </c>
      <c r="P4436" s="2" t="s">
        <v>67</v>
      </c>
      <c r="Q4436" t="s">
        <v>68</v>
      </c>
      <c r="R4436">
        <v>1.87</v>
      </c>
      <c r="S4436">
        <v>1.87</v>
      </c>
      <c r="T4436" t="s">
        <v>14851</v>
      </c>
    </row>
    <row r="4437" spans="1:20" x14ac:dyDescent="0.25">
      <c r="A4437" s="1" t="str">
        <f>HYPERLINK("https://vegkart.atlas.vegvesen.no/#/@264971.2,7071835.1,18/hva:hva%5B0%5D%5Bfilter%5D%5B0%5D%5Boperator%5D=%21%3D&amp;hva%5B0%5D%5Bfilter%5D%5B0%5D%5Btype_id%5D=4820&amp;hva%5B0%5D%5Bfilter%5D%5B0%5D%5Bverdi%5D=&amp;hva%5B0%5D%5Bid%5D=144/når:2016-10-17", "Vegkart")</f>
        <v>Vegkart</v>
      </c>
      <c r="B4437">
        <v>745232049</v>
      </c>
      <c r="C4437">
        <v>144</v>
      </c>
      <c r="D4437" t="s">
        <v>13345</v>
      </c>
      <c r="E4437">
        <v>4820</v>
      </c>
      <c r="F4437" t="s">
        <v>23479</v>
      </c>
      <c r="G4437">
        <v>1</v>
      </c>
      <c r="H4437" t="s">
        <v>1354</v>
      </c>
      <c r="J4437" t="s">
        <v>1161</v>
      </c>
      <c r="K4437" t="s">
        <v>192</v>
      </c>
      <c r="L4437" t="s">
        <v>33</v>
      </c>
      <c r="M4437" t="s">
        <v>6448</v>
      </c>
      <c r="N4437" t="s">
        <v>14852</v>
      </c>
      <c r="O4437" t="s">
        <v>14853</v>
      </c>
      <c r="P4437" s="2" t="s">
        <v>165</v>
      </c>
      <c r="Q4437" t="s">
        <v>641</v>
      </c>
      <c r="R4437">
        <v>0</v>
      </c>
      <c r="S4437">
        <v>30.78</v>
      </c>
      <c r="T4437" t="s">
        <v>167</v>
      </c>
    </row>
    <row r="4438" spans="1:20" x14ac:dyDescent="0.25">
      <c r="A4438" s="1" t="str">
        <f>HYPERLINK("https://vegkart.atlas.vegvesen.no/#/@264972.5,7071834.5,18/hva:hva%5B0%5D%5Bfilter%5D%5B0%5D%5Boperator%5D=%21%3D&amp;hva%5B0%5D%5Bfilter%5D%5B0%5D%5Btype_id%5D=4820&amp;hva%5B0%5D%5Bfilter%5D%5B0%5D%5Bverdi%5D=&amp;hva%5B0%5D%5Bid%5D=144/når:2016-10-17", "Vegkart")</f>
        <v>Vegkart</v>
      </c>
      <c r="B4438">
        <v>745232050</v>
      </c>
      <c r="C4438">
        <v>144</v>
      </c>
      <c r="D4438" t="s">
        <v>13345</v>
      </c>
      <c r="E4438">
        <v>4820</v>
      </c>
      <c r="F4438" t="s">
        <v>23479</v>
      </c>
      <c r="G4438">
        <v>1</v>
      </c>
      <c r="H4438" t="s">
        <v>1354</v>
      </c>
      <c r="J4438" t="s">
        <v>1161</v>
      </c>
      <c r="K4438" t="s">
        <v>192</v>
      </c>
      <c r="L4438" t="s">
        <v>33</v>
      </c>
      <c r="M4438" t="s">
        <v>6448</v>
      </c>
      <c r="N4438" t="s">
        <v>14854</v>
      </c>
      <c r="O4438" t="s">
        <v>14855</v>
      </c>
      <c r="P4438" s="2" t="s">
        <v>67</v>
      </c>
      <c r="Q4438" t="s">
        <v>68</v>
      </c>
      <c r="R4438">
        <v>9.9700000000000006</v>
      </c>
      <c r="S4438">
        <v>9.98</v>
      </c>
      <c r="T4438" t="s">
        <v>14856</v>
      </c>
    </row>
    <row r="4439" spans="1:20" x14ac:dyDescent="0.25">
      <c r="A4439" s="1" t="str">
        <f>HYPERLINK("https://vegkart.atlas.vegvesen.no/#/@264876.4,7072133.1,18/hva:hva%5B0%5D%5Bfilter%5D%5B0%5D%5Boperator%5D=%21%3D&amp;hva%5B0%5D%5Bfilter%5D%5B0%5D%5Btype_id%5D=4820&amp;hva%5B0%5D%5Bfilter%5D%5B0%5D%5Bverdi%5D=&amp;hva%5B0%5D%5Bid%5D=144/når:2016-10-17", "Vegkart")</f>
        <v>Vegkart</v>
      </c>
      <c r="B4439">
        <v>745232056</v>
      </c>
      <c r="C4439">
        <v>144</v>
      </c>
      <c r="D4439" t="s">
        <v>13345</v>
      </c>
      <c r="E4439">
        <v>4820</v>
      </c>
      <c r="F4439" t="s">
        <v>23479</v>
      </c>
      <c r="G4439">
        <v>1</v>
      </c>
      <c r="H4439" t="s">
        <v>1354</v>
      </c>
      <c r="J4439" t="s">
        <v>1161</v>
      </c>
      <c r="K4439" t="s">
        <v>192</v>
      </c>
      <c r="L4439" t="s">
        <v>33</v>
      </c>
      <c r="M4439" t="s">
        <v>6448</v>
      </c>
      <c r="N4439" t="s">
        <v>14857</v>
      </c>
      <c r="O4439" t="s">
        <v>14858</v>
      </c>
      <c r="P4439" s="2" t="s">
        <v>67</v>
      </c>
      <c r="Q4439" t="s">
        <v>68</v>
      </c>
      <c r="R4439">
        <v>16.350000000000001</v>
      </c>
      <c r="S4439">
        <v>16.45</v>
      </c>
      <c r="T4439" t="s">
        <v>14859</v>
      </c>
    </row>
    <row r="4440" spans="1:20" x14ac:dyDescent="0.25">
      <c r="A4440" s="1" t="str">
        <f>HYPERLINK("https://vegkart.atlas.vegvesen.no/#/@264877.1,7072132.1,18/hva:hva%5B0%5D%5Bfilter%5D%5B0%5D%5Boperator%5D=%21%3D&amp;hva%5B0%5D%5Bfilter%5D%5B0%5D%5Btype_id%5D=4820&amp;hva%5B0%5D%5Bfilter%5D%5B0%5D%5Bverdi%5D=&amp;hva%5B0%5D%5Bid%5D=144/når:2016-10-17", "Vegkart")</f>
        <v>Vegkart</v>
      </c>
      <c r="B4440">
        <v>745232057</v>
      </c>
      <c r="C4440">
        <v>144</v>
      </c>
      <c r="D4440" t="s">
        <v>13345</v>
      </c>
      <c r="E4440">
        <v>4820</v>
      </c>
      <c r="F4440" t="s">
        <v>23479</v>
      </c>
      <c r="G4440">
        <v>1</v>
      </c>
      <c r="H4440" t="s">
        <v>1354</v>
      </c>
      <c r="J4440" t="s">
        <v>1161</v>
      </c>
      <c r="K4440" t="s">
        <v>192</v>
      </c>
      <c r="L4440" t="s">
        <v>33</v>
      </c>
      <c r="M4440" t="s">
        <v>6448</v>
      </c>
      <c r="N4440" t="s">
        <v>14860</v>
      </c>
      <c r="O4440" t="s">
        <v>14861</v>
      </c>
      <c r="P4440" s="2" t="s">
        <v>165</v>
      </c>
      <c r="Q4440" t="s">
        <v>641</v>
      </c>
      <c r="R4440">
        <v>2.4300000000000002</v>
      </c>
      <c r="S4440">
        <v>45.84</v>
      </c>
      <c r="T4440" t="s">
        <v>167</v>
      </c>
    </row>
    <row r="4441" spans="1:20" x14ac:dyDescent="0.25">
      <c r="A4441" s="1" t="str">
        <f>HYPERLINK("https://vegkart.atlas.vegvesen.no/#/@264878.5,7072131.9,18/hva:hva%5B0%5D%5Bfilter%5D%5B0%5D%5Boperator%5D=%21%3D&amp;hva%5B0%5D%5Bfilter%5D%5B0%5D%5Btype_id%5D=4820&amp;hva%5B0%5D%5Bfilter%5D%5B0%5D%5Bverdi%5D=&amp;hva%5B0%5D%5Bid%5D=144/når:2016-10-17", "Vegkart")</f>
        <v>Vegkart</v>
      </c>
      <c r="B4441">
        <v>745232058</v>
      </c>
      <c r="C4441">
        <v>144</v>
      </c>
      <c r="D4441" t="s">
        <v>13345</v>
      </c>
      <c r="E4441">
        <v>4820</v>
      </c>
      <c r="F4441" t="s">
        <v>23479</v>
      </c>
      <c r="G4441">
        <v>1</v>
      </c>
      <c r="H4441" t="s">
        <v>1354</v>
      </c>
      <c r="J4441" t="s">
        <v>1161</v>
      </c>
      <c r="K4441" t="s">
        <v>192</v>
      </c>
      <c r="L4441" t="s">
        <v>33</v>
      </c>
      <c r="M4441" t="s">
        <v>6448</v>
      </c>
      <c r="N4441" t="s">
        <v>14862</v>
      </c>
      <c r="O4441" t="s">
        <v>14863</v>
      </c>
      <c r="P4441" s="2" t="s">
        <v>67</v>
      </c>
      <c r="Q4441" t="s">
        <v>68</v>
      </c>
      <c r="R4441">
        <v>18.38</v>
      </c>
      <c r="S4441">
        <v>18.47</v>
      </c>
      <c r="T4441" t="s">
        <v>14864</v>
      </c>
    </row>
    <row r="4442" spans="1:20" x14ac:dyDescent="0.25">
      <c r="A4442" s="1" t="str">
        <f>HYPERLINK("https://vegkart.atlas.vegvesen.no/#/@265011.0,7069144.3,18/hva:hva%5B0%5D%5Bfilter%5D%5B0%5D%5Boperator%5D=%21%3D&amp;hva%5B0%5D%5Bfilter%5D%5B0%5D%5Btype_id%5D=4820&amp;hva%5B0%5D%5Bfilter%5D%5B0%5D%5Bverdi%5D=&amp;hva%5B0%5D%5Bid%5D=144/når:2016-10-17", "Vegkart")</f>
        <v>Vegkart</v>
      </c>
      <c r="B4442">
        <v>745232072</v>
      </c>
      <c r="C4442">
        <v>144</v>
      </c>
      <c r="D4442" t="s">
        <v>13345</v>
      </c>
      <c r="E4442">
        <v>4820</v>
      </c>
      <c r="F4442" t="s">
        <v>23479</v>
      </c>
      <c r="G4442">
        <v>1</v>
      </c>
      <c r="H4442" t="s">
        <v>1354</v>
      </c>
      <c r="J4442" t="s">
        <v>1161</v>
      </c>
      <c r="K4442" t="s">
        <v>192</v>
      </c>
      <c r="L4442" t="s">
        <v>33</v>
      </c>
      <c r="M4442" t="s">
        <v>6448</v>
      </c>
      <c r="N4442" t="s">
        <v>14865</v>
      </c>
      <c r="O4442" t="s">
        <v>14866</v>
      </c>
      <c r="P4442" s="2" t="s">
        <v>67</v>
      </c>
      <c r="Q4442" t="s">
        <v>68</v>
      </c>
      <c r="R4442">
        <v>19.809999999999999</v>
      </c>
      <c r="S4442">
        <v>19.84</v>
      </c>
      <c r="T4442" t="s">
        <v>14867</v>
      </c>
    </row>
    <row r="4443" spans="1:20" x14ac:dyDescent="0.25">
      <c r="A4443" s="1" t="str">
        <f>HYPERLINK("https://vegkart.atlas.vegvesen.no/#/@265010.3,7069145.6,18/hva:hva%5B0%5D%5Bfilter%5D%5B0%5D%5Boperator%5D=%21%3D&amp;hva%5B0%5D%5Bfilter%5D%5B0%5D%5Btype_id%5D=4820&amp;hva%5B0%5D%5Bfilter%5D%5B0%5D%5Bverdi%5D=&amp;hva%5B0%5D%5Bid%5D=144/når:2016-10-17", "Vegkart")</f>
        <v>Vegkart</v>
      </c>
      <c r="B4443">
        <v>745232073</v>
      </c>
      <c r="C4443">
        <v>144</v>
      </c>
      <c r="D4443" t="s">
        <v>13345</v>
      </c>
      <c r="E4443">
        <v>4820</v>
      </c>
      <c r="F4443" t="s">
        <v>23479</v>
      </c>
      <c r="G4443">
        <v>1</v>
      </c>
      <c r="H4443" t="s">
        <v>1354</v>
      </c>
      <c r="J4443" t="s">
        <v>1161</v>
      </c>
      <c r="K4443" t="s">
        <v>192</v>
      </c>
      <c r="L4443" t="s">
        <v>33</v>
      </c>
      <c r="M4443" t="s">
        <v>6448</v>
      </c>
      <c r="N4443" t="s">
        <v>14868</v>
      </c>
      <c r="O4443" t="s">
        <v>14869</v>
      </c>
      <c r="P4443" s="2" t="s">
        <v>67</v>
      </c>
      <c r="Q4443" t="s">
        <v>68</v>
      </c>
      <c r="R4443">
        <v>19.57</v>
      </c>
      <c r="S4443">
        <v>19.579999999999998</v>
      </c>
      <c r="T4443" t="s">
        <v>14870</v>
      </c>
    </row>
    <row r="4444" spans="1:20" x14ac:dyDescent="0.25">
      <c r="A4444" s="1" t="str">
        <f>HYPERLINK("https://vegkart.atlas.vegvesen.no/#/@263685.0,7069105.9,18/hva:hva%5B0%5D%5Bfilter%5D%5B0%5D%5Boperator%5D=%21%3D&amp;hva%5B0%5D%5Bfilter%5D%5B0%5D%5Btype_id%5D=4820&amp;hva%5B0%5D%5Bfilter%5D%5B0%5D%5Bverdi%5D=&amp;hva%5B0%5D%5Bid%5D=144/når:2016-10-17", "Vegkart")</f>
        <v>Vegkart</v>
      </c>
      <c r="B4444">
        <v>745232076</v>
      </c>
      <c r="C4444">
        <v>144</v>
      </c>
      <c r="D4444" t="s">
        <v>13345</v>
      </c>
      <c r="E4444">
        <v>4820</v>
      </c>
      <c r="F4444" t="s">
        <v>23479</v>
      </c>
      <c r="G4444">
        <v>1</v>
      </c>
      <c r="H4444" t="s">
        <v>1354</v>
      </c>
      <c r="J4444" t="s">
        <v>1161</v>
      </c>
      <c r="K4444" t="s">
        <v>192</v>
      </c>
      <c r="L4444" t="s">
        <v>33</v>
      </c>
      <c r="M4444" t="s">
        <v>6448</v>
      </c>
      <c r="N4444" t="s">
        <v>14871</v>
      </c>
      <c r="O4444" t="s">
        <v>14872</v>
      </c>
      <c r="P4444" s="2" t="s">
        <v>67</v>
      </c>
      <c r="Q4444" t="s">
        <v>68</v>
      </c>
      <c r="R4444">
        <v>1.89</v>
      </c>
      <c r="S4444">
        <v>1.89</v>
      </c>
      <c r="T4444" t="s">
        <v>14873</v>
      </c>
    </row>
    <row r="4445" spans="1:20" x14ac:dyDescent="0.25">
      <c r="A4445" s="1" t="str">
        <f>HYPERLINK("https://vegkart.atlas.vegvesen.no/#/@263684.9,7069106.3,18/hva:hva%5B0%5D%5Bfilter%5D%5B0%5D%5Boperator%5D=%21%3D&amp;hva%5B0%5D%5Bfilter%5D%5B0%5D%5Btype_id%5D=4820&amp;hva%5B0%5D%5Bfilter%5D%5B0%5D%5Bverdi%5D=&amp;hva%5B0%5D%5Bid%5D=144/når:2016-10-17", "Vegkart")</f>
        <v>Vegkart</v>
      </c>
      <c r="B4445">
        <v>745232077</v>
      </c>
      <c r="C4445">
        <v>144</v>
      </c>
      <c r="D4445" t="s">
        <v>13345</v>
      </c>
      <c r="E4445">
        <v>4820</v>
      </c>
      <c r="F4445" t="s">
        <v>23479</v>
      </c>
      <c r="G4445">
        <v>1</v>
      </c>
      <c r="H4445" t="s">
        <v>1354</v>
      </c>
      <c r="J4445" t="s">
        <v>1161</v>
      </c>
      <c r="K4445" t="s">
        <v>192</v>
      </c>
      <c r="L4445" t="s">
        <v>33</v>
      </c>
      <c r="M4445" t="s">
        <v>6448</v>
      </c>
      <c r="N4445" t="s">
        <v>14874</v>
      </c>
      <c r="O4445" t="s">
        <v>14875</v>
      </c>
      <c r="P4445" s="2" t="s">
        <v>67</v>
      </c>
      <c r="Q4445" t="s">
        <v>68</v>
      </c>
      <c r="R4445">
        <v>1.68</v>
      </c>
      <c r="S4445">
        <v>1.68</v>
      </c>
      <c r="T4445" t="s">
        <v>14876</v>
      </c>
    </row>
    <row r="4446" spans="1:20" x14ac:dyDescent="0.25">
      <c r="A4446" s="1" t="str">
        <f>HYPERLINK("https://vegkart.atlas.vegvesen.no/#/@263683.8,7069106.8,18/hva:hva%5B0%5D%5Bfilter%5D%5B0%5D%5Boperator%5D=%21%3D&amp;hva%5B0%5D%5Bfilter%5D%5B0%5D%5Btype_id%5D=4820&amp;hva%5B0%5D%5Bfilter%5D%5B0%5D%5Bverdi%5D=&amp;hva%5B0%5D%5Bid%5D=144/når:2016-10-17", "Vegkart")</f>
        <v>Vegkart</v>
      </c>
      <c r="B4446">
        <v>745232078</v>
      </c>
      <c r="C4446">
        <v>144</v>
      </c>
      <c r="D4446" t="s">
        <v>13345</v>
      </c>
      <c r="E4446">
        <v>4820</v>
      </c>
      <c r="F4446" t="s">
        <v>23479</v>
      </c>
      <c r="G4446">
        <v>1</v>
      </c>
      <c r="H4446" t="s">
        <v>1354</v>
      </c>
      <c r="J4446" t="s">
        <v>1161</v>
      </c>
      <c r="K4446" t="s">
        <v>192</v>
      </c>
      <c r="L4446" t="s">
        <v>33</v>
      </c>
      <c r="M4446" t="s">
        <v>6448</v>
      </c>
      <c r="N4446" t="s">
        <v>14877</v>
      </c>
      <c r="O4446" t="s">
        <v>14878</v>
      </c>
      <c r="P4446" s="2" t="s">
        <v>67</v>
      </c>
      <c r="Q4446" t="s">
        <v>68</v>
      </c>
      <c r="R4446">
        <v>1.53</v>
      </c>
      <c r="S4446">
        <v>1.53</v>
      </c>
      <c r="T4446" t="s">
        <v>14879</v>
      </c>
    </row>
    <row r="4447" spans="1:20" x14ac:dyDescent="0.25">
      <c r="A4447" s="1" t="str">
        <f>HYPERLINK("https://vegkart.atlas.vegvesen.no/#/@263683.5,7069106.6,18/hva:hva%5B0%5D%5Bfilter%5D%5B0%5D%5Boperator%5D=%21%3D&amp;hva%5B0%5D%5Bfilter%5D%5B0%5D%5Btype_id%5D=4820&amp;hva%5B0%5D%5Bfilter%5D%5B0%5D%5Bverdi%5D=&amp;hva%5B0%5D%5Bid%5D=144/når:2016-10-17", "Vegkart")</f>
        <v>Vegkart</v>
      </c>
      <c r="B4447">
        <v>745232079</v>
      </c>
      <c r="C4447">
        <v>144</v>
      </c>
      <c r="D4447" t="s">
        <v>13345</v>
      </c>
      <c r="E4447">
        <v>4820</v>
      </c>
      <c r="F4447" t="s">
        <v>23479</v>
      </c>
      <c r="G4447">
        <v>1</v>
      </c>
      <c r="H4447" t="s">
        <v>1354</v>
      </c>
      <c r="J4447" t="s">
        <v>1161</v>
      </c>
      <c r="K4447" t="s">
        <v>192</v>
      </c>
      <c r="L4447" t="s">
        <v>33</v>
      </c>
      <c r="M4447" t="s">
        <v>6448</v>
      </c>
      <c r="N4447" t="s">
        <v>14877</v>
      </c>
      <c r="O4447" t="s">
        <v>14880</v>
      </c>
      <c r="P4447" s="2" t="s">
        <v>67</v>
      </c>
      <c r="Q4447" t="s">
        <v>68</v>
      </c>
      <c r="R4447">
        <v>1.8</v>
      </c>
      <c r="S4447">
        <v>1.8</v>
      </c>
      <c r="T4447" t="s">
        <v>14881</v>
      </c>
    </row>
    <row r="4448" spans="1:20" x14ac:dyDescent="0.25">
      <c r="A4448" s="1" t="str">
        <f>HYPERLINK("https://vegkart.atlas.vegvesen.no/#/@264570.7,7069301.7,18/hva:hva%5B0%5D%5Bfilter%5D%5B0%5D%5Boperator%5D=%21%3D&amp;hva%5B0%5D%5Bfilter%5D%5B0%5D%5Btype_id%5D=4820&amp;hva%5B0%5D%5Bfilter%5D%5B0%5D%5Bverdi%5D=&amp;hva%5B0%5D%5Bid%5D=144/når:2016-10-17", "Vegkart")</f>
        <v>Vegkart</v>
      </c>
      <c r="B4448">
        <v>745232080</v>
      </c>
      <c r="C4448">
        <v>144</v>
      </c>
      <c r="D4448" t="s">
        <v>13345</v>
      </c>
      <c r="E4448">
        <v>4820</v>
      </c>
      <c r="F4448" t="s">
        <v>23479</v>
      </c>
      <c r="G4448">
        <v>1</v>
      </c>
      <c r="H4448" t="s">
        <v>1354</v>
      </c>
      <c r="J4448" t="s">
        <v>1161</v>
      </c>
      <c r="K4448" t="s">
        <v>192</v>
      </c>
      <c r="L4448" t="s">
        <v>33</v>
      </c>
      <c r="M4448" t="s">
        <v>6448</v>
      </c>
      <c r="N4448" t="s">
        <v>14882</v>
      </c>
      <c r="O4448" t="s">
        <v>14883</v>
      </c>
      <c r="P4448" s="2" t="s">
        <v>67</v>
      </c>
      <c r="Q4448" t="s">
        <v>68</v>
      </c>
      <c r="R4448">
        <v>20.21</v>
      </c>
      <c r="S4448">
        <v>20.27</v>
      </c>
      <c r="T4448" t="s">
        <v>14884</v>
      </c>
    </row>
    <row r="4449" spans="1:20" x14ac:dyDescent="0.25">
      <c r="A4449" s="1" t="str">
        <f>HYPERLINK("https://vegkart.atlas.vegvesen.no/#/@264712.5,7072743.4,18/hva:hva%5B0%5D%5Bfilter%5D%5B0%5D%5Boperator%5D=%21%3D&amp;hva%5B0%5D%5Bfilter%5D%5B0%5D%5Btype_id%5D=4820&amp;hva%5B0%5D%5Bfilter%5D%5B0%5D%5Bverdi%5D=&amp;hva%5B0%5D%5Bid%5D=144/når:2016-10-17", "Vegkart")</f>
        <v>Vegkart</v>
      </c>
      <c r="B4449">
        <v>745232094</v>
      </c>
      <c r="C4449">
        <v>144</v>
      </c>
      <c r="D4449" t="s">
        <v>13345</v>
      </c>
      <c r="E4449">
        <v>4820</v>
      </c>
      <c r="F4449" t="s">
        <v>23479</v>
      </c>
      <c r="G4449">
        <v>1</v>
      </c>
      <c r="H4449" t="s">
        <v>1354</v>
      </c>
      <c r="J4449" t="s">
        <v>1161</v>
      </c>
      <c r="K4449" t="s">
        <v>192</v>
      </c>
      <c r="L4449" t="s">
        <v>33</v>
      </c>
      <c r="M4449" t="s">
        <v>6448</v>
      </c>
      <c r="N4449" t="s">
        <v>14885</v>
      </c>
      <c r="O4449" t="s">
        <v>14886</v>
      </c>
      <c r="P4449" s="2" t="s">
        <v>67</v>
      </c>
      <c r="Q4449" t="s">
        <v>68</v>
      </c>
      <c r="R4449">
        <v>0.4</v>
      </c>
      <c r="S4449">
        <v>0.4</v>
      </c>
      <c r="T4449" t="s">
        <v>14887</v>
      </c>
    </row>
    <row r="4450" spans="1:20" x14ac:dyDescent="0.25">
      <c r="A4450" s="1" t="str">
        <f>HYPERLINK("https://vegkart.atlas.vegvesen.no/#/@226207.5,7032956.2,18/hva:hva%5B0%5D%5Bfilter%5D%5B0%5D%5Boperator%5D=%21%3D&amp;hva%5B0%5D%5Bfilter%5D%5B0%5D%5Btype_id%5D=4820&amp;hva%5B0%5D%5Bfilter%5D%5B0%5D%5Bverdi%5D=&amp;hva%5B0%5D%5Bid%5D=144/når:2016-10-20", "Vegkart")</f>
        <v>Vegkart</v>
      </c>
      <c r="B4450">
        <v>745262393</v>
      </c>
      <c r="C4450">
        <v>144</v>
      </c>
      <c r="D4450" t="s">
        <v>13345</v>
      </c>
      <c r="E4450">
        <v>4820</v>
      </c>
      <c r="F4450" t="s">
        <v>23479</v>
      </c>
      <c r="G4450">
        <v>1</v>
      </c>
      <c r="H4450" t="s">
        <v>14888</v>
      </c>
      <c r="J4450" t="s">
        <v>1161</v>
      </c>
      <c r="K4450" t="s">
        <v>192</v>
      </c>
      <c r="L4450" t="s">
        <v>33</v>
      </c>
      <c r="M4450" t="s">
        <v>13400</v>
      </c>
      <c r="N4450" t="s">
        <v>14889</v>
      </c>
      <c r="O4450" t="s">
        <v>14890</v>
      </c>
      <c r="P4450" s="2" t="s">
        <v>67</v>
      </c>
      <c r="Q4450" t="s">
        <v>68</v>
      </c>
      <c r="R4450">
        <v>65.08</v>
      </c>
      <c r="S4450">
        <v>65.709999999999994</v>
      </c>
      <c r="T4450" t="s">
        <v>14891</v>
      </c>
    </row>
    <row r="4451" spans="1:20" x14ac:dyDescent="0.25">
      <c r="A4451" s="1" t="str">
        <f>HYPERLINK("https://vegkart.atlas.vegvesen.no/#/@226461.6,7032671.2,18/hva:hva%5B0%5D%5Bfilter%5D%5B0%5D%5Boperator%5D=%21%3D&amp;hva%5B0%5D%5Bfilter%5D%5B0%5D%5Btype_id%5D=4820&amp;hva%5B0%5D%5Bfilter%5D%5B0%5D%5Bverdi%5D=&amp;hva%5B0%5D%5Bid%5D=144/når:2016-10-20", "Vegkart")</f>
        <v>Vegkart</v>
      </c>
      <c r="B4451">
        <v>745262394</v>
      </c>
      <c r="C4451">
        <v>144</v>
      </c>
      <c r="D4451" t="s">
        <v>13345</v>
      </c>
      <c r="E4451">
        <v>4820</v>
      </c>
      <c r="F4451" t="s">
        <v>23479</v>
      </c>
      <c r="G4451">
        <v>1</v>
      </c>
      <c r="H4451" t="s">
        <v>14888</v>
      </c>
      <c r="J4451" t="s">
        <v>1161</v>
      </c>
      <c r="K4451" t="s">
        <v>192</v>
      </c>
      <c r="L4451" t="s">
        <v>33</v>
      </c>
      <c r="M4451" t="s">
        <v>13400</v>
      </c>
      <c r="N4451" t="s">
        <v>14892</v>
      </c>
      <c r="O4451" t="s">
        <v>14893</v>
      </c>
      <c r="P4451" s="2" t="s">
        <v>67</v>
      </c>
      <c r="Q4451" t="s">
        <v>68</v>
      </c>
      <c r="R4451">
        <v>112</v>
      </c>
      <c r="S4451">
        <v>116.12</v>
      </c>
      <c r="T4451" t="s">
        <v>14894</v>
      </c>
    </row>
    <row r="4452" spans="1:20" x14ac:dyDescent="0.25">
      <c r="A4452" s="1" t="str">
        <f>HYPERLINK("https://vegkart.atlas.vegvesen.no/#/@315707.7,7133243.4,18/hva:hva%5B0%5D%5Bfilter%5D%5B0%5D%5Boperator%5D=%21%3D&amp;hva%5B0%5D%5Bfilter%5D%5B0%5D%5Btype_id%5D=4820&amp;hva%5B0%5D%5Bfilter%5D%5B0%5D%5Bverdi%5D=&amp;hva%5B0%5D%5Bid%5D=144/når:2016-11-30", "Vegkart")</f>
        <v>Vegkart</v>
      </c>
      <c r="B4452">
        <v>759041982</v>
      </c>
      <c r="C4452">
        <v>144</v>
      </c>
      <c r="D4452" t="s">
        <v>13345</v>
      </c>
      <c r="E4452">
        <v>4820</v>
      </c>
      <c r="F4452" t="s">
        <v>23479</v>
      </c>
      <c r="G4452">
        <v>1</v>
      </c>
      <c r="H4452" t="s">
        <v>14895</v>
      </c>
      <c r="J4452" t="s">
        <v>1161</v>
      </c>
      <c r="K4452" t="s">
        <v>192</v>
      </c>
      <c r="L4452" t="s">
        <v>33</v>
      </c>
      <c r="M4452" t="s">
        <v>473</v>
      </c>
      <c r="N4452" t="s">
        <v>14896</v>
      </c>
      <c r="O4452" t="s">
        <v>14897</v>
      </c>
      <c r="P4452" s="2" t="s">
        <v>67</v>
      </c>
      <c r="Q4452" t="s">
        <v>68</v>
      </c>
      <c r="R4452">
        <v>160.4</v>
      </c>
      <c r="S4452">
        <v>172.68</v>
      </c>
      <c r="T4452" t="s">
        <v>14898</v>
      </c>
    </row>
    <row r="4453" spans="1:20" x14ac:dyDescent="0.25">
      <c r="A4453" s="1" t="str">
        <f>HYPERLINK("https://vegkart.atlas.vegvesen.no/#/@315683.6,7132994.3,18/hva:hva%5B0%5D%5Bfilter%5D%5B0%5D%5Boperator%5D=%21%3D&amp;hva%5B0%5D%5Bfilter%5D%5B0%5D%5Btype_id%5D=4820&amp;hva%5B0%5D%5Bfilter%5D%5B0%5D%5Bverdi%5D=&amp;hva%5B0%5D%5Bid%5D=144/når:2016-11-30", "Vegkart")</f>
        <v>Vegkart</v>
      </c>
      <c r="B4453">
        <v>759041983</v>
      </c>
      <c r="C4453">
        <v>144</v>
      </c>
      <c r="D4453" t="s">
        <v>13345</v>
      </c>
      <c r="E4453">
        <v>4820</v>
      </c>
      <c r="F4453" t="s">
        <v>23479</v>
      </c>
      <c r="G4453">
        <v>1</v>
      </c>
      <c r="H4453" t="s">
        <v>14895</v>
      </c>
      <c r="J4453" t="s">
        <v>1161</v>
      </c>
      <c r="K4453" t="s">
        <v>192</v>
      </c>
      <c r="L4453" t="s">
        <v>33</v>
      </c>
      <c r="M4453" t="s">
        <v>473</v>
      </c>
      <c r="N4453" t="s">
        <v>14899</v>
      </c>
      <c r="O4453" t="s">
        <v>14900</v>
      </c>
      <c r="P4453" s="2" t="s">
        <v>67</v>
      </c>
      <c r="Q4453" t="s">
        <v>68</v>
      </c>
      <c r="R4453">
        <v>110.26</v>
      </c>
      <c r="S4453">
        <v>116.8</v>
      </c>
      <c r="T4453" t="s">
        <v>14901</v>
      </c>
    </row>
    <row r="4454" spans="1:20" x14ac:dyDescent="0.25">
      <c r="A4454" s="1" t="str">
        <f>HYPERLINK("https://vegkart.atlas.vegvesen.no/#/@266452.3,7031005.8,18/hva:hva%5B0%5D%5Bfilter%5D%5B0%5D%5Boperator%5D=%21%3D&amp;hva%5B0%5D%5Bfilter%5D%5B0%5D%5Btype_id%5D=4820&amp;hva%5B0%5D%5Bfilter%5D%5B0%5D%5Bverdi%5D=&amp;hva%5B0%5D%5Bid%5D=144/når:2016-12-16", "Vegkart")</f>
        <v>Vegkart</v>
      </c>
      <c r="B4454">
        <v>759902352</v>
      </c>
      <c r="C4454">
        <v>144</v>
      </c>
      <c r="D4454" t="s">
        <v>13345</v>
      </c>
      <c r="E4454">
        <v>4820</v>
      </c>
      <c r="F4454" t="s">
        <v>23479</v>
      </c>
      <c r="G4454">
        <v>1</v>
      </c>
      <c r="H4454" t="s">
        <v>14902</v>
      </c>
      <c r="J4454" t="s">
        <v>1161</v>
      </c>
      <c r="K4454" t="s">
        <v>192</v>
      </c>
      <c r="L4454" t="s">
        <v>22</v>
      </c>
      <c r="M4454" t="s">
        <v>14903</v>
      </c>
      <c r="N4454" t="s">
        <v>14904</v>
      </c>
      <c r="O4454" t="s">
        <v>14905</v>
      </c>
      <c r="P4454" s="2" t="s">
        <v>67</v>
      </c>
      <c r="Q4454" t="s">
        <v>68</v>
      </c>
      <c r="R4454">
        <v>8.11</v>
      </c>
      <c r="S4454">
        <v>8.11</v>
      </c>
      <c r="T4454" t="s">
        <v>14906</v>
      </c>
    </row>
    <row r="4455" spans="1:20" x14ac:dyDescent="0.25">
      <c r="A4455" s="1" t="str">
        <f>HYPERLINK("https://vegkart.atlas.vegvesen.no/#/@266429.8,7031016.7,18/hva:hva%5B0%5D%5Bfilter%5D%5B0%5D%5Boperator%5D=%21%3D&amp;hva%5B0%5D%5Bfilter%5D%5B0%5D%5Btype_id%5D=4820&amp;hva%5B0%5D%5Bfilter%5D%5B0%5D%5Bverdi%5D=&amp;hva%5B0%5D%5Bid%5D=144/når:2016-12-16", "Vegkart")</f>
        <v>Vegkart</v>
      </c>
      <c r="B4455">
        <v>759902353</v>
      </c>
      <c r="C4455">
        <v>144</v>
      </c>
      <c r="D4455" t="s">
        <v>13345</v>
      </c>
      <c r="E4455">
        <v>4820</v>
      </c>
      <c r="F4455" t="s">
        <v>23479</v>
      </c>
      <c r="G4455">
        <v>1</v>
      </c>
      <c r="H4455" t="s">
        <v>14902</v>
      </c>
      <c r="J4455" t="s">
        <v>1161</v>
      </c>
      <c r="K4455" t="s">
        <v>192</v>
      </c>
      <c r="L4455" t="s">
        <v>22</v>
      </c>
      <c r="M4455" t="s">
        <v>14903</v>
      </c>
      <c r="N4455" t="s">
        <v>14907</v>
      </c>
      <c r="O4455" t="s">
        <v>14908</v>
      </c>
      <c r="P4455" s="2" t="s">
        <v>67</v>
      </c>
      <c r="Q4455" t="s">
        <v>68</v>
      </c>
      <c r="R4455">
        <v>41.81</v>
      </c>
      <c r="S4455">
        <v>41.9</v>
      </c>
      <c r="T4455" t="s">
        <v>14909</v>
      </c>
    </row>
    <row r="4456" spans="1:20" x14ac:dyDescent="0.25">
      <c r="A4456" s="1" t="str">
        <f>HYPERLINK("https://vegkart.atlas.vegvesen.no/#/@266471.9,7030996.3,18/hva:hva%5B0%5D%5Bfilter%5D%5B0%5D%5Boperator%5D=%21%3D&amp;hva%5B0%5D%5Bfilter%5D%5B0%5D%5Btype_id%5D=4820&amp;hva%5B0%5D%5Bfilter%5D%5B0%5D%5Bverdi%5D=&amp;hva%5B0%5D%5Bid%5D=144/når:2016-12-16", "Vegkart")</f>
        <v>Vegkart</v>
      </c>
      <c r="B4456">
        <v>759902354</v>
      </c>
      <c r="C4456">
        <v>144</v>
      </c>
      <c r="D4456" t="s">
        <v>13345</v>
      </c>
      <c r="E4456">
        <v>4820</v>
      </c>
      <c r="F4456" t="s">
        <v>23479</v>
      </c>
      <c r="G4456">
        <v>1</v>
      </c>
      <c r="H4456" t="s">
        <v>14902</v>
      </c>
      <c r="J4456" t="s">
        <v>1161</v>
      </c>
      <c r="K4456" t="s">
        <v>192</v>
      </c>
      <c r="L4456" t="s">
        <v>22</v>
      </c>
      <c r="M4456" t="s">
        <v>14903</v>
      </c>
      <c r="N4456" t="s">
        <v>14910</v>
      </c>
      <c r="O4456" t="s">
        <v>14911</v>
      </c>
      <c r="P4456" s="2" t="s">
        <v>67</v>
      </c>
      <c r="Q4456" t="s">
        <v>68</v>
      </c>
      <c r="R4456">
        <v>35.11</v>
      </c>
      <c r="S4456">
        <v>35.97</v>
      </c>
      <c r="T4456" t="s">
        <v>14912</v>
      </c>
    </row>
    <row r="4457" spans="1:20" x14ac:dyDescent="0.25">
      <c r="A4457" s="1" t="str">
        <f>HYPERLINK("https://vegkart.atlas.vegvesen.no/#/@510185.1,7535213.5,18/hva:hva%5B0%5D%5Bfilter%5D%5B0%5D%5Boperator%5D=%21%3D&amp;hva%5B0%5D%5Bfilter%5D%5B0%5D%5Btype_id%5D=4820&amp;hva%5B0%5D%5Bfilter%5D%5B0%5D%5Bverdi%5D=&amp;hva%5B0%5D%5Bid%5D=144/når:2016-11-14", "Vegkart")</f>
        <v>Vegkart</v>
      </c>
      <c r="B4457">
        <v>760721404</v>
      </c>
      <c r="C4457">
        <v>144</v>
      </c>
      <c r="D4457" t="s">
        <v>13345</v>
      </c>
      <c r="E4457">
        <v>4820</v>
      </c>
      <c r="F4457" t="s">
        <v>23479</v>
      </c>
      <c r="G4457">
        <v>1</v>
      </c>
      <c r="H4457" t="s">
        <v>14913</v>
      </c>
      <c r="J4457" t="s">
        <v>1161</v>
      </c>
      <c r="K4457" t="s">
        <v>53</v>
      </c>
      <c r="L4457" t="s">
        <v>33</v>
      </c>
      <c r="M4457" t="s">
        <v>14914</v>
      </c>
      <c r="N4457" t="s">
        <v>14915</v>
      </c>
      <c r="O4457" t="s">
        <v>14916</v>
      </c>
      <c r="P4457" s="2" t="s">
        <v>67</v>
      </c>
      <c r="Q4457" t="s">
        <v>68</v>
      </c>
      <c r="R4457">
        <v>128.07</v>
      </c>
      <c r="S4457">
        <v>128.4</v>
      </c>
      <c r="T4457" t="s">
        <v>14917</v>
      </c>
    </row>
    <row r="4458" spans="1:20" x14ac:dyDescent="0.25">
      <c r="A4458" s="1" t="str">
        <f>HYPERLINK("https://vegkart.atlas.vegvesen.no/#/@510109.4,7535164.3,18/hva:hva%5B0%5D%5Bfilter%5D%5B0%5D%5Boperator%5D=%21%3D&amp;hva%5B0%5D%5Bfilter%5D%5B0%5D%5Btype_id%5D=4820&amp;hva%5B0%5D%5Bfilter%5D%5B0%5D%5Bverdi%5D=&amp;hva%5B0%5D%5Bid%5D=144/når:2016-11-14", "Vegkart")</f>
        <v>Vegkart</v>
      </c>
      <c r="B4458">
        <v>760721405</v>
      </c>
      <c r="C4458">
        <v>144</v>
      </c>
      <c r="D4458" t="s">
        <v>13345</v>
      </c>
      <c r="E4458">
        <v>4820</v>
      </c>
      <c r="F4458" t="s">
        <v>23479</v>
      </c>
      <c r="G4458">
        <v>1</v>
      </c>
      <c r="H4458" t="s">
        <v>14913</v>
      </c>
      <c r="J4458" t="s">
        <v>1161</v>
      </c>
      <c r="K4458" t="s">
        <v>53</v>
      </c>
      <c r="L4458" t="s">
        <v>33</v>
      </c>
      <c r="M4458" t="s">
        <v>14914</v>
      </c>
      <c r="N4458" t="s">
        <v>14918</v>
      </c>
      <c r="O4458" t="s">
        <v>14919</v>
      </c>
      <c r="P4458" s="2" t="s">
        <v>67</v>
      </c>
      <c r="Q4458" t="s">
        <v>68</v>
      </c>
      <c r="R4458">
        <v>38.700000000000003</v>
      </c>
      <c r="S4458">
        <v>38.71</v>
      </c>
      <c r="T4458" t="s">
        <v>14920</v>
      </c>
    </row>
    <row r="4459" spans="1:20" x14ac:dyDescent="0.25">
      <c r="A4459" s="1" t="str">
        <f>HYPERLINK("https://vegkart.atlas.vegvesen.no/#/@510026.4,7535109.2,18/hva:hva%5B0%5D%5Bfilter%5D%5B0%5D%5Boperator%5D=%21%3D&amp;hva%5B0%5D%5Bfilter%5D%5B0%5D%5Btype_id%5D=4820&amp;hva%5B0%5D%5Bfilter%5D%5B0%5D%5Bverdi%5D=&amp;hva%5B0%5D%5Bid%5D=144/når:2016-11-14", "Vegkart")</f>
        <v>Vegkart</v>
      </c>
      <c r="B4459">
        <v>760721406</v>
      </c>
      <c r="C4459">
        <v>144</v>
      </c>
      <c r="D4459" t="s">
        <v>13345</v>
      </c>
      <c r="E4459">
        <v>4820</v>
      </c>
      <c r="F4459" t="s">
        <v>23479</v>
      </c>
      <c r="G4459">
        <v>1</v>
      </c>
      <c r="H4459" t="s">
        <v>14913</v>
      </c>
      <c r="J4459" t="s">
        <v>1161</v>
      </c>
      <c r="K4459" t="s">
        <v>53</v>
      </c>
      <c r="L4459" t="s">
        <v>33</v>
      </c>
      <c r="M4459" t="s">
        <v>14914</v>
      </c>
      <c r="N4459" t="s">
        <v>14921</v>
      </c>
      <c r="O4459" t="s">
        <v>14922</v>
      </c>
      <c r="P4459" s="2" t="s">
        <v>67</v>
      </c>
      <c r="Q4459" t="s">
        <v>68</v>
      </c>
      <c r="R4459">
        <v>146.72</v>
      </c>
      <c r="S4459">
        <v>146.80000000000001</v>
      </c>
      <c r="T4459" t="s">
        <v>14923</v>
      </c>
    </row>
    <row r="4460" spans="1:20" x14ac:dyDescent="0.25">
      <c r="A4460" s="1" t="str">
        <f>HYPERLINK("https://vegkart.atlas.vegvesen.no/#/@509787.3,7534938.1,18/hva:hva%5B0%5D%5Bfilter%5D%5B0%5D%5Boperator%5D=%21%3D&amp;hva%5B0%5D%5Bfilter%5D%5B0%5D%5Btype_id%5D=4820&amp;hva%5B0%5D%5Bfilter%5D%5B0%5D%5Bverdi%5D=&amp;hva%5B0%5D%5Bid%5D=144/når:2016-11-14", "Vegkart")</f>
        <v>Vegkart</v>
      </c>
      <c r="B4460">
        <v>760721407</v>
      </c>
      <c r="C4460">
        <v>144</v>
      </c>
      <c r="D4460" t="s">
        <v>13345</v>
      </c>
      <c r="E4460">
        <v>4820</v>
      </c>
      <c r="F4460" t="s">
        <v>23479</v>
      </c>
      <c r="G4460">
        <v>1</v>
      </c>
      <c r="H4460" t="s">
        <v>14913</v>
      </c>
      <c r="J4460" t="s">
        <v>1161</v>
      </c>
      <c r="K4460" t="s">
        <v>53</v>
      </c>
      <c r="L4460" t="s">
        <v>33</v>
      </c>
      <c r="M4460" t="s">
        <v>14914</v>
      </c>
      <c r="N4460" t="s">
        <v>14924</v>
      </c>
      <c r="O4460" t="s">
        <v>14925</v>
      </c>
      <c r="P4460" s="2" t="s">
        <v>67</v>
      </c>
      <c r="Q4460" t="s">
        <v>68</v>
      </c>
      <c r="R4460">
        <v>225.89</v>
      </c>
      <c r="S4460">
        <v>226.11</v>
      </c>
      <c r="T4460" t="s">
        <v>14926</v>
      </c>
    </row>
    <row r="4461" spans="1:20" x14ac:dyDescent="0.25">
      <c r="A4461" s="1" t="str">
        <f>HYPERLINK("https://vegkart.atlas.vegvesen.no/#/@508386.8,7534810.5,18/hva:hva%5B0%5D%5Bfilter%5D%5B0%5D%5Boperator%5D=%21%3D&amp;hva%5B0%5D%5Bfilter%5D%5B0%5D%5Btype_id%5D=4820&amp;hva%5B0%5D%5Bfilter%5D%5B0%5D%5Bverdi%5D=&amp;hva%5B0%5D%5Bid%5D=144/når:2016-11-14", "Vegkart")</f>
        <v>Vegkart</v>
      </c>
      <c r="B4461">
        <v>760721408</v>
      </c>
      <c r="C4461">
        <v>144</v>
      </c>
      <c r="D4461" t="s">
        <v>13345</v>
      </c>
      <c r="E4461">
        <v>4820</v>
      </c>
      <c r="F4461" t="s">
        <v>23479</v>
      </c>
      <c r="G4461">
        <v>1</v>
      </c>
      <c r="H4461" t="s">
        <v>14913</v>
      </c>
      <c r="J4461" t="s">
        <v>1161</v>
      </c>
      <c r="K4461" t="s">
        <v>53</v>
      </c>
      <c r="L4461" t="s">
        <v>33</v>
      </c>
      <c r="M4461" t="s">
        <v>14927</v>
      </c>
      <c r="N4461" t="s">
        <v>14928</v>
      </c>
      <c r="O4461" t="s">
        <v>14929</v>
      </c>
      <c r="P4461" s="2" t="s">
        <v>67</v>
      </c>
      <c r="Q4461" t="s">
        <v>68</v>
      </c>
      <c r="R4461">
        <v>252.36</v>
      </c>
      <c r="S4461">
        <v>252.44</v>
      </c>
      <c r="T4461" t="s">
        <v>14930</v>
      </c>
    </row>
    <row r="4462" spans="1:20" x14ac:dyDescent="0.25">
      <c r="A4462" s="1" t="str">
        <f>HYPERLINK("https://vegkart.atlas.vegvesen.no/#/@508736.8,7535137.7,18/hva:hva%5B0%5D%5Bfilter%5D%5B0%5D%5Boperator%5D=%21%3D&amp;hva%5B0%5D%5Bfilter%5D%5B0%5D%5Btype_id%5D=4820&amp;hva%5B0%5D%5Bfilter%5D%5B0%5D%5Bverdi%5D=&amp;hva%5B0%5D%5Bid%5D=144/når:2016-11-14", "Vegkart")</f>
        <v>Vegkart</v>
      </c>
      <c r="B4462">
        <v>760721409</v>
      </c>
      <c r="C4462">
        <v>144</v>
      </c>
      <c r="D4462" t="s">
        <v>13345</v>
      </c>
      <c r="E4462">
        <v>4820</v>
      </c>
      <c r="F4462" t="s">
        <v>23479</v>
      </c>
      <c r="G4462">
        <v>1</v>
      </c>
      <c r="H4462" t="s">
        <v>14913</v>
      </c>
      <c r="J4462" t="s">
        <v>1161</v>
      </c>
      <c r="K4462" t="s">
        <v>53</v>
      </c>
      <c r="L4462" t="s">
        <v>33</v>
      </c>
      <c r="M4462" t="s">
        <v>14927</v>
      </c>
      <c r="N4462" t="s">
        <v>14931</v>
      </c>
      <c r="O4462" t="s">
        <v>14932</v>
      </c>
      <c r="P4462" s="2" t="s">
        <v>67</v>
      </c>
      <c r="Q4462" t="s">
        <v>68</v>
      </c>
      <c r="R4462">
        <v>20.84</v>
      </c>
      <c r="S4462">
        <v>20.84</v>
      </c>
      <c r="T4462" t="s">
        <v>14933</v>
      </c>
    </row>
    <row r="4463" spans="1:20" x14ac:dyDescent="0.25">
      <c r="A4463" s="1" t="str">
        <f>HYPERLINK("https://vegkart.atlas.vegvesen.no/#/@508694.9,7535075.4,18/hva:hva%5B0%5D%5Bfilter%5D%5B0%5D%5Boperator%5D=%21%3D&amp;hva%5B0%5D%5Bfilter%5D%5B0%5D%5Btype_id%5D=4820&amp;hva%5B0%5D%5Bfilter%5D%5B0%5D%5Bverdi%5D=&amp;hva%5B0%5D%5Bid%5D=144/når:2016-11-14", "Vegkart")</f>
        <v>Vegkart</v>
      </c>
      <c r="B4463">
        <v>760721410</v>
      </c>
      <c r="C4463">
        <v>144</v>
      </c>
      <c r="D4463" t="s">
        <v>13345</v>
      </c>
      <c r="E4463">
        <v>4820</v>
      </c>
      <c r="F4463" t="s">
        <v>23479</v>
      </c>
      <c r="G4463">
        <v>1</v>
      </c>
      <c r="H4463" t="s">
        <v>14913</v>
      </c>
      <c r="J4463" t="s">
        <v>1161</v>
      </c>
      <c r="K4463" t="s">
        <v>53</v>
      </c>
      <c r="L4463" t="s">
        <v>33</v>
      </c>
      <c r="M4463" t="s">
        <v>14927</v>
      </c>
      <c r="N4463" t="s">
        <v>14934</v>
      </c>
      <c r="O4463" t="s">
        <v>14935</v>
      </c>
      <c r="P4463" s="2" t="s">
        <v>67</v>
      </c>
      <c r="Q4463" t="s">
        <v>68</v>
      </c>
      <c r="R4463">
        <v>111.19</v>
      </c>
      <c r="S4463">
        <v>112.04</v>
      </c>
      <c r="T4463" t="s">
        <v>14936</v>
      </c>
    </row>
    <row r="4464" spans="1:20" x14ac:dyDescent="0.25">
      <c r="A4464" s="1" t="str">
        <f>HYPERLINK("https://vegkart.atlas.vegvesen.no/#/@508766.5,7535185.9,18/hva:hva%5B0%5D%5Bfilter%5D%5B0%5D%5Boperator%5D=%21%3D&amp;hva%5B0%5D%5Bfilter%5D%5B0%5D%5Btype_id%5D=4820&amp;hva%5B0%5D%5Bfilter%5D%5B0%5D%5Bverdi%5D=&amp;hva%5B0%5D%5Bid%5D=144/når:2016-11-14", "Vegkart")</f>
        <v>Vegkart</v>
      </c>
      <c r="B4464">
        <v>760721411</v>
      </c>
      <c r="C4464">
        <v>144</v>
      </c>
      <c r="D4464" t="s">
        <v>13345</v>
      </c>
      <c r="E4464">
        <v>4820</v>
      </c>
      <c r="F4464" t="s">
        <v>23479</v>
      </c>
      <c r="G4464">
        <v>1</v>
      </c>
      <c r="H4464" t="s">
        <v>14913</v>
      </c>
      <c r="J4464" t="s">
        <v>1161</v>
      </c>
      <c r="K4464" t="s">
        <v>53</v>
      </c>
      <c r="L4464" t="s">
        <v>33</v>
      </c>
      <c r="M4464" t="s">
        <v>14927</v>
      </c>
      <c r="N4464" t="s">
        <v>14937</v>
      </c>
      <c r="O4464" t="s">
        <v>14938</v>
      </c>
      <c r="P4464" s="2" t="s">
        <v>67</v>
      </c>
      <c r="Q4464" t="s">
        <v>68</v>
      </c>
      <c r="R4464">
        <v>80.819999999999993</v>
      </c>
      <c r="S4464">
        <v>80.88</v>
      </c>
      <c r="T4464" t="s">
        <v>14939</v>
      </c>
    </row>
    <row r="4465" spans="1:20" x14ac:dyDescent="0.25">
      <c r="A4465" s="1" t="str">
        <f>HYPERLINK("https://vegkart.atlas.vegvesen.no/#/@508867.8,7535643.8,18/hva:hva%5B0%5D%5Bfilter%5D%5B0%5D%5Boperator%5D=%21%3D&amp;hva%5B0%5D%5Bfilter%5D%5B0%5D%5Btype_id%5D=4820&amp;hva%5B0%5D%5Bfilter%5D%5B0%5D%5Bverdi%5D=&amp;hva%5B0%5D%5Bid%5D=144/når:2017-01-01", "Vegkart")</f>
        <v>Vegkart</v>
      </c>
      <c r="B4465">
        <v>760721412</v>
      </c>
      <c r="C4465">
        <v>144</v>
      </c>
      <c r="D4465" t="s">
        <v>13345</v>
      </c>
      <c r="E4465">
        <v>4820</v>
      </c>
      <c r="F4465" t="s">
        <v>23479</v>
      </c>
      <c r="G4465">
        <v>2</v>
      </c>
      <c r="H4465" t="s">
        <v>344</v>
      </c>
      <c r="J4465" t="s">
        <v>1161</v>
      </c>
      <c r="K4465" t="s">
        <v>53</v>
      </c>
      <c r="L4465" t="s">
        <v>33</v>
      </c>
      <c r="M4465" t="s">
        <v>14927</v>
      </c>
      <c r="N4465" t="s">
        <v>14940</v>
      </c>
      <c r="O4465" t="s">
        <v>14941</v>
      </c>
      <c r="P4465" s="2" t="s">
        <v>67</v>
      </c>
      <c r="Q4465" t="s">
        <v>68</v>
      </c>
      <c r="R4465">
        <v>38.130000000000003</v>
      </c>
      <c r="S4465">
        <v>38.130000000000003</v>
      </c>
      <c r="T4465" t="s">
        <v>14942</v>
      </c>
    </row>
    <row r="4466" spans="1:20" x14ac:dyDescent="0.25">
      <c r="A4466" s="1" t="str">
        <f>HYPERLINK("https://vegkart.atlas.vegvesen.no/#/@509319.6,7536449.4,18/hva:hva%5B0%5D%5Bfilter%5D%5B0%5D%5Boperator%5D=%21%3D&amp;hva%5B0%5D%5Bfilter%5D%5B0%5D%5Btype_id%5D=4820&amp;hva%5B0%5D%5Bfilter%5D%5B0%5D%5Bverdi%5D=&amp;hva%5B0%5D%5Bid%5D=144/når:2016-11-14", "Vegkart")</f>
        <v>Vegkart</v>
      </c>
      <c r="B4466">
        <v>760721413</v>
      </c>
      <c r="C4466">
        <v>144</v>
      </c>
      <c r="D4466" t="s">
        <v>13345</v>
      </c>
      <c r="E4466">
        <v>4820</v>
      </c>
      <c r="F4466" t="s">
        <v>23479</v>
      </c>
      <c r="G4466">
        <v>1</v>
      </c>
      <c r="H4466" t="s">
        <v>14913</v>
      </c>
      <c r="J4466" t="s">
        <v>1161</v>
      </c>
      <c r="K4466" t="s">
        <v>53</v>
      </c>
      <c r="L4466" t="s">
        <v>33</v>
      </c>
      <c r="M4466" t="s">
        <v>14927</v>
      </c>
      <c r="N4466" t="s">
        <v>14943</v>
      </c>
      <c r="O4466" t="s">
        <v>14944</v>
      </c>
      <c r="P4466" s="2" t="s">
        <v>67</v>
      </c>
      <c r="Q4466" t="s">
        <v>68</v>
      </c>
      <c r="R4466">
        <v>123.35</v>
      </c>
      <c r="S4466">
        <v>123.47</v>
      </c>
      <c r="T4466" t="s">
        <v>14945</v>
      </c>
    </row>
    <row r="4467" spans="1:20" x14ac:dyDescent="0.25">
      <c r="A4467" s="1" t="str">
        <f>HYPERLINK("https://vegkart.atlas.vegvesen.no/#/@509427.0,7536619.2,18/hva:hva%5B0%5D%5Bfilter%5D%5B0%5D%5Boperator%5D=%21%3D&amp;hva%5B0%5D%5Bfilter%5D%5B0%5D%5Btype_id%5D=4820&amp;hva%5B0%5D%5Bfilter%5D%5B0%5D%5Bverdi%5D=&amp;hva%5B0%5D%5Bid%5D=144/når:2016-11-14", "Vegkart")</f>
        <v>Vegkart</v>
      </c>
      <c r="B4467">
        <v>760721414</v>
      </c>
      <c r="C4467">
        <v>144</v>
      </c>
      <c r="D4467" t="s">
        <v>13345</v>
      </c>
      <c r="E4467">
        <v>4820</v>
      </c>
      <c r="F4467" t="s">
        <v>23479</v>
      </c>
      <c r="G4467">
        <v>1</v>
      </c>
      <c r="H4467" t="s">
        <v>14913</v>
      </c>
      <c r="J4467" t="s">
        <v>1161</v>
      </c>
      <c r="K4467" t="s">
        <v>53</v>
      </c>
      <c r="L4467" t="s">
        <v>33</v>
      </c>
      <c r="M4467" t="s">
        <v>14927</v>
      </c>
      <c r="N4467" t="s">
        <v>14946</v>
      </c>
      <c r="O4467" t="s">
        <v>14947</v>
      </c>
      <c r="P4467" s="2" t="s">
        <v>67</v>
      </c>
      <c r="Q4467" t="s">
        <v>68</v>
      </c>
      <c r="R4467">
        <v>87.93</v>
      </c>
      <c r="S4467">
        <v>87.93</v>
      </c>
      <c r="T4467" t="s">
        <v>14948</v>
      </c>
    </row>
    <row r="4468" spans="1:20" x14ac:dyDescent="0.25">
      <c r="A4468" s="1" t="str">
        <f>HYPERLINK("https://vegkart.atlas.vegvesen.no/#/@509503.0,7537117.2,18/hva:hva%5B0%5D%5Bfilter%5D%5B0%5D%5Boperator%5D=%21%3D&amp;hva%5B0%5D%5Bfilter%5D%5B0%5D%5Btype_id%5D=4820&amp;hva%5B0%5D%5Bfilter%5D%5B0%5D%5Bverdi%5D=&amp;hva%5B0%5D%5Bid%5D=144/når:2016-11-14", "Vegkart")</f>
        <v>Vegkart</v>
      </c>
      <c r="B4468">
        <v>760721415</v>
      </c>
      <c r="C4468">
        <v>144</v>
      </c>
      <c r="D4468" t="s">
        <v>13345</v>
      </c>
      <c r="E4468">
        <v>4820</v>
      </c>
      <c r="F4468" t="s">
        <v>23479</v>
      </c>
      <c r="G4468">
        <v>1</v>
      </c>
      <c r="H4468" t="s">
        <v>14913</v>
      </c>
      <c r="J4468" t="s">
        <v>1161</v>
      </c>
      <c r="K4468" t="s">
        <v>53</v>
      </c>
      <c r="L4468" t="s">
        <v>33</v>
      </c>
      <c r="M4468" t="s">
        <v>14927</v>
      </c>
      <c r="N4468" t="s">
        <v>14949</v>
      </c>
      <c r="O4468" t="s">
        <v>14950</v>
      </c>
      <c r="P4468" s="2" t="s">
        <v>67</v>
      </c>
      <c r="Q4468" t="s">
        <v>68</v>
      </c>
      <c r="R4468">
        <v>120.57</v>
      </c>
      <c r="S4468">
        <v>120.58</v>
      </c>
      <c r="T4468" t="s">
        <v>14951</v>
      </c>
    </row>
    <row r="4469" spans="1:20" x14ac:dyDescent="0.25">
      <c r="A4469" s="1" t="str">
        <f>HYPERLINK("https://vegkart.atlas.vegvesen.no/#/@509304.4,7537456.2,18/hva:hva%5B0%5D%5Bfilter%5D%5B0%5D%5Boperator%5D=%21%3D&amp;hva%5B0%5D%5Bfilter%5D%5B0%5D%5Btype_id%5D=4820&amp;hva%5B0%5D%5Bfilter%5D%5B0%5D%5Bverdi%5D=&amp;hva%5B0%5D%5Bid%5D=144/når:2016-11-14", "Vegkart")</f>
        <v>Vegkart</v>
      </c>
      <c r="B4469">
        <v>760721416</v>
      </c>
      <c r="C4469">
        <v>144</v>
      </c>
      <c r="D4469" t="s">
        <v>13345</v>
      </c>
      <c r="E4469">
        <v>4820</v>
      </c>
      <c r="F4469" t="s">
        <v>23479</v>
      </c>
      <c r="G4469">
        <v>1</v>
      </c>
      <c r="H4469" t="s">
        <v>14913</v>
      </c>
      <c r="J4469" t="s">
        <v>1161</v>
      </c>
      <c r="K4469" t="s">
        <v>53</v>
      </c>
      <c r="L4469" t="s">
        <v>33</v>
      </c>
      <c r="M4469" t="s">
        <v>14927</v>
      </c>
      <c r="N4469" t="s">
        <v>14952</v>
      </c>
      <c r="O4469" t="s">
        <v>14953</v>
      </c>
      <c r="P4469" s="2" t="s">
        <v>67</v>
      </c>
      <c r="Q4469" t="s">
        <v>68</v>
      </c>
      <c r="R4469">
        <v>132.21</v>
      </c>
      <c r="S4469">
        <v>133.1</v>
      </c>
      <c r="T4469" t="s">
        <v>14954</v>
      </c>
    </row>
    <row r="4470" spans="1:20" x14ac:dyDescent="0.25">
      <c r="A4470" s="1" t="str">
        <f>HYPERLINK("https://vegkart.atlas.vegvesen.no/#/@508425.6,7537305.8,18/hva:hva%5B0%5D%5Bfilter%5D%5B0%5D%5Boperator%5D=%21%3D&amp;hva%5B0%5D%5Bfilter%5D%5B0%5D%5Btype_id%5D=4820&amp;hva%5B0%5D%5Bfilter%5D%5B0%5D%5Bverdi%5D=&amp;hva%5B0%5D%5Bid%5D=144/når:2016-11-14", "Vegkart")</f>
        <v>Vegkart</v>
      </c>
      <c r="B4470">
        <v>760721417</v>
      </c>
      <c r="C4470">
        <v>144</v>
      </c>
      <c r="D4470" t="s">
        <v>13345</v>
      </c>
      <c r="E4470">
        <v>4820</v>
      </c>
      <c r="F4470" t="s">
        <v>23479</v>
      </c>
      <c r="G4470">
        <v>1</v>
      </c>
      <c r="H4470" t="s">
        <v>14913</v>
      </c>
      <c r="J4470" t="s">
        <v>1161</v>
      </c>
      <c r="K4470" t="s">
        <v>53</v>
      </c>
      <c r="L4470" t="s">
        <v>33</v>
      </c>
      <c r="M4470" t="s">
        <v>14927</v>
      </c>
      <c r="N4470" t="s">
        <v>14955</v>
      </c>
      <c r="O4470" t="s">
        <v>14956</v>
      </c>
      <c r="P4470" s="2" t="s">
        <v>67</v>
      </c>
      <c r="Q4470" t="s">
        <v>68</v>
      </c>
      <c r="R4470">
        <v>70.39</v>
      </c>
      <c r="S4470">
        <v>70.39</v>
      </c>
      <c r="T4470" t="s">
        <v>14957</v>
      </c>
    </row>
    <row r="4471" spans="1:20" x14ac:dyDescent="0.25">
      <c r="A4471" s="1" t="str">
        <f>HYPERLINK("https://vegkart.atlas.vegvesen.no/#/@507978.7,7537171.7,18/hva:hva%5B0%5D%5Bfilter%5D%5B0%5D%5Boperator%5D=%21%3D&amp;hva%5B0%5D%5Bfilter%5D%5B0%5D%5Btype_id%5D=4820&amp;hva%5B0%5D%5Bfilter%5D%5B0%5D%5Bverdi%5D=&amp;hva%5B0%5D%5Bid%5D=144/når:2016-11-14", "Vegkart")</f>
        <v>Vegkart</v>
      </c>
      <c r="B4471">
        <v>760721418</v>
      </c>
      <c r="C4471">
        <v>144</v>
      </c>
      <c r="D4471" t="s">
        <v>13345</v>
      </c>
      <c r="E4471">
        <v>4820</v>
      </c>
      <c r="F4471" t="s">
        <v>23479</v>
      </c>
      <c r="G4471">
        <v>1</v>
      </c>
      <c r="H4471" t="s">
        <v>14913</v>
      </c>
      <c r="J4471" t="s">
        <v>1161</v>
      </c>
      <c r="K4471" t="s">
        <v>53</v>
      </c>
      <c r="L4471" t="s">
        <v>33</v>
      </c>
      <c r="M4471" t="s">
        <v>14927</v>
      </c>
      <c r="N4471" t="s">
        <v>14958</v>
      </c>
      <c r="O4471" t="s">
        <v>14959</v>
      </c>
      <c r="P4471" s="2" t="s">
        <v>67</v>
      </c>
      <c r="Q4471" t="s">
        <v>68</v>
      </c>
      <c r="R4471">
        <v>40.9</v>
      </c>
      <c r="S4471">
        <v>40.9</v>
      </c>
      <c r="T4471" t="s">
        <v>14960</v>
      </c>
    </row>
    <row r="4472" spans="1:20" x14ac:dyDescent="0.25">
      <c r="A4472" s="1" t="str">
        <f>HYPERLINK("https://vegkart.atlas.vegvesen.no/#/@507327.3,7537466.6,18/hva:hva%5B0%5D%5Bfilter%5D%5B0%5D%5Boperator%5D=%21%3D&amp;hva%5B0%5D%5Bfilter%5D%5B0%5D%5Btype_id%5D=4820&amp;hva%5B0%5D%5Bfilter%5D%5B0%5D%5Bverdi%5D=&amp;hva%5B0%5D%5Bid%5D=144/når:2016-11-14", "Vegkart")</f>
        <v>Vegkart</v>
      </c>
      <c r="B4472">
        <v>760721419</v>
      </c>
      <c r="C4472">
        <v>144</v>
      </c>
      <c r="D4472" t="s">
        <v>13345</v>
      </c>
      <c r="E4472">
        <v>4820</v>
      </c>
      <c r="F4472" t="s">
        <v>23479</v>
      </c>
      <c r="G4472">
        <v>1</v>
      </c>
      <c r="H4472" t="s">
        <v>14913</v>
      </c>
      <c r="J4472" t="s">
        <v>1161</v>
      </c>
      <c r="K4472" t="s">
        <v>53</v>
      </c>
      <c r="L4472" t="s">
        <v>33</v>
      </c>
      <c r="M4472" t="s">
        <v>14927</v>
      </c>
      <c r="N4472" t="s">
        <v>14961</v>
      </c>
      <c r="O4472" t="s">
        <v>14962</v>
      </c>
      <c r="P4472" s="2" t="s">
        <v>67</v>
      </c>
      <c r="Q4472" t="s">
        <v>68</v>
      </c>
      <c r="R4472">
        <v>347.51</v>
      </c>
      <c r="S4472">
        <v>348.01</v>
      </c>
      <c r="T4472" t="s">
        <v>14963</v>
      </c>
    </row>
    <row r="4473" spans="1:20" x14ac:dyDescent="0.25">
      <c r="A4473" s="1" t="str">
        <f>HYPERLINK("https://vegkart.atlas.vegvesen.no/#/@476919.8,7566830.9,18/hva:hva%5B0%5D%5Bfilter%5D%5B0%5D%5Boperator%5D=%21%3D&amp;hva%5B0%5D%5Bfilter%5D%5B0%5D%5Btype_id%5D=4820&amp;hva%5B0%5D%5Bfilter%5D%5B0%5D%5Bverdi%5D=&amp;hva%5B0%5D%5Bid%5D=144/når:2017-01-11", "Vegkart")</f>
        <v>Vegkart</v>
      </c>
      <c r="B4473">
        <v>760767094</v>
      </c>
      <c r="C4473">
        <v>144</v>
      </c>
      <c r="D4473" t="s">
        <v>13345</v>
      </c>
      <c r="E4473">
        <v>4820</v>
      </c>
      <c r="F4473" t="s">
        <v>23479</v>
      </c>
      <c r="G4473">
        <v>1</v>
      </c>
      <c r="H4473" t="s">
        <v>14964</v>
      </c>
      <c r="J4473" t="s">
        <v>1161</v>
      </c>
      <c r="K4473" t="s">
        <v>53</v>
      </c>
      <c r="L4473" t="s">
        <v>80</v>
      </c>
      <c r="M4473" t="s">
        <v>522</v>
      </c>
      <c r="N4473" t="s">
        <v>14965</v>
      </c>
      <c r="O4473" t="s">
        <v>14966</v>
      </c>
      <c r="P4473" s="2" t="s">
        <v>67</v>
      </c>
      <c r="Q4473" t="s">
        <v>68</v>
      </c>
      <c r="R4473">
        <v>6.07</v>
      </c>
      <c r="S4473">
        <v>6.07</v>
      </c>
      <c r="T4473" t="s">
        <v>14967</v>
      </c>
    </row>
    <row r="4474" spans="1:20" x14ac:dyDescent="0.25">
      <c r="A4474" s="1" t="str">
        <f>HYPERLINK("https://vegkart.atlas.vegvesen.no/#/@476915.8,7566821.1,18/hva:hva%5B0%5D%5Bfilter%5D%5B0%5D%5Boperator%5D=%21%3D&amp;hva%5B0%5D%5Bfilter%5D%5B0%5D%5Btype_id%5D=4820&amp;hva%5B0%5D%5Bfilter%5D%5B0%5D%5Bverdi%5D=&amp;hva%5B0%5D%5Bid%5D=144/når:2017-01-11", "Vegkart")</f>
        <v>Vegkart</v>
      </c>
      <c r="B4474">
        <v>760767095</v>
      </c>
      <c r="C4474">
        <v>144</v>
      </c>
      <c r="D4474" t="s">
        <v>13345</v>
      </c>
      <c r="E4474">
        <v>4820</v>
      </c>
      <c r="F4474" t="s">
        <v>23479</v>
      </c>
      <c r="G4474">
        <v>1</v>
      </c>
      <c r="H4474" t="s">
        <v>14964</v>
      </c>
      <c r="J4474" t="s">
        <v>1161</v>
      </c>
      <c r="K4474" t="s">
        <v>53</v>
      </c>
      <c r="L4474" t="s">
        <v>80</v>
      </c>
      <c r="M4474" t="s">
        <v>522</v>
      </c>
      <c r="N4474" t="s">
        <v>14968</v>
      </c>
      <c r="O4474" t="s">
        <v>14969</v>
      </c>
      <c r="P4474" s="2" t="s">
        <v>67</v>
      </c>
      <c r="Q4474" t="s">
        <v>68</v>
      </c>
      <c r="R4474">
        <v>9</v>
      </c>
      <c r="S4474">
        <v>9</v>
      </c>
      <c r="T4474" t="s">
        <v>14970</v>
      </c>
    </row>
    <row r="4475" spans="1:20" x14ac:dyDescent="0.25">
      <c r="A4475" s="1" t="str">
        <f>HYPERLINK("https://vegkart.atlas.vegvesen.no/#/@476926.7,7566814.8,18/hva:hva%5B0%5D%5Bfilter%5D%5B0%5D%5Boperator%5D=%21%3D&amp;hva%5B0%5D%5Bfilter%5D%5B0%5D%5Btype_id%5D=4820&amp;hva%5B0%5D%5Bfilter%5D%5B0%5D%5Bverdi%5D=&amp;hva%5B0%5D%5Bid%5D=144/når:2017-01-11", "Vegkart")</f>
        <v>Vegkart</v>
      </c>
      <c r="B4475">
        <v>760767102</v>
      </c>
      <c r="C4475">
        <v>144</v>
      </c>
      <c r="D4475" t="s">
        <v>13345</v>
      </c>
      <c r="E4475">
        <v>4820</v>
      </c>
      <c r="F4475" t="s">
        <v>23479</v>
      </c>
      <c r="G4475">
        <v>1</v>
      </c>
      <c r="H4475" t="s">
        <v>14964</v>
      </c>
      <c r="J4475" t="s">
        <v>1161</v>
      </c>
      <c r="K4475" t="s">
        <v>53</v>
      </c>
      <c r="L4475" t="s">
        <v>80</v>
      </c>
      <c r="M4475" t="s">
        <v>522</v>
      </c>
      <c r="N4475" t="s">
        <v>14971</v>
      </c>
      <c r="O4475" t="s">
        <v>14972</v>
      </c>
      <c r="P4475" s="2" t="s">
        <v>67</v>
      </c>
      <c r="Q4475" t="s">
        <v>68</v>
      </c>
      <c r="R4475">
        <v>6.01</v>
      </c>
      <c r="S4475">
        <v>6.01</v>
      </c>
      <c r="T4475" t="s">
        <v>14973</v>
      </c>
    </row>
    <row r="4476" spans="1:20" x14ac:dyDescent="0.25">
      <c r="A4476" s="1" t="str">
        <f>HYPERLINK("https://vegkart.atlas.vegvesen.no/#/@476931.4,7566825.8,18/hva:hva%5B0%5D%5Bfilter%5D%5B0%5D%5Boperator%5D=%21%3D&amp;hva%5B0%5D%5Bfilter%5D%5B0%5D%5Btype_id%5D=4820&amp;hva%5B0%5D%5Bfilter%5D%5B0%5D%5Bverdi%5D=&amp;hva%5B0%5D%5Bid%5D=144/når:2017-01-11", "Vegkart")</f>
        <v>Vegkart</v>
      </c>
      <c r="B4476">
        <v>760767103</v>
      </c>
      <c r="C4476">
        <v>144</v>
      </c>
      <c r="D4476" t="s">
        <v>13345</v>
      </c>
      <c r="E4476">
        <v>4820</v>
      </c>
      <c r="F4476" t="s">
        <v>23479</v>
      </c>
      <c r="G4476">
        <v>1</v>
      </c>
      <c r="H4476" t="s">
        <v>14964</v>
      </c>
      <c r="J4476" t="s">
        <v>1161</v>
      </c>
      <c r="K4476" t="s">
        <v>53</v>
      </c>
      <c r="L4476" t="s">
        <v>80</v>
      </c>
      <c r="M4476" t="s">
        <v>522</v>
      </c>
      <c r="N4476" t="s">
        <v>14974</v>
      </c>
      <c r="O4476" t="s">
        <v>14975</v>
      </c>
      <c r="P4476" s="2" t="s">
        <v>67</v>
      </c>
      <c r="Q4476" t="s">
        <v>68</v>
      </c>
      <c r="R4476">
        <v>5.87</v>
      </c>
      <c r="S4476">
        <v>5.87</v>
      </c>
      <c r="T4476" t="s">
        <v>14976</v>
      </c>
    </row>
    <row r="4477" spans="1:20" x14ac:dyDescent="0.25">
      <c r="A4477" s="1" t="str">
        <f>HYPERLINK("https://vegkart.atlas.vegvesen.no/#/@233379.8,6579700.5,18/hva:hva%5B0%5D%5Bfilter%5D%5B0%5D%5Boperator%5D=%21%3D&amp;hva%5B0%5D%5Bfilter%5D%5B0%5D%5Btype_id%5D=4820&amp;hva%5B0%5D%5Bfilter%5D%5B0%5D%5Bverdi%5D=&amp;hva%5B0%5D%5Bid%5D=144/når:2022-07-13", "Vegkart")</f>
        <v>Vegkart</v>
      </c>
      <c r="B4477">
        <v>761037534</v>
      </c>
      <c r="C4477">
        <v>144</v>
      </c>
      <c r="D4477" t="s">
        <v>13345</v>
      </c>
      <c r="E4477">
        <v>4820</v>
      </c>
      <c r="F4477" t="s">
        <v>23479</v>
      </c>
      <c r="G4477">
        <v>2</v>
      </c>
      <c r="H4477" t="s">
        <v>2139</v>
      </c>
      <c r="J4477" t="s">
        <v>1161</v>
      </c>
      <c r="K4477" t="s">
        <v>81</v>
      </c>
      <c r="L4477" t="s">
        <v>33</v>
      </c>
      <c r="M4477" t="s">
        <v>4333</v>
      </c>
      <c r="N4477" t="s">
        <v>14977</v>
      </c>
      <c r="O4477" t="s">
        <v>14978</v>
      </c>
      <c r="P4477" s="2" t="s">
        <v>67</v>
      </c>
      <c r="Q4477" t="s">
        <v>68</v>
      </c>
      <c r="R4477">
        <v>5.5</v>
      </c>
      <c r="S4477">
        <v>5.5</v>
      </c>
      <c r="T4477" t="s">
        <v>14979</v>
      </c>
    </row>
    <row r="4478" spans="1:20" x14ac:dyDescent="0.25">
      <c r="A4478" s="1" t="str">
        <f>HYPERLINK("https://vegkart.atlas.vegvesen.no/#/@233332.7,6579645.2,18/hva:hva%5B0%5D%5Bfilter%5D%5B0%5D%5Boperator%5D=%21%3D&amp;hva%5B0%5D%5Bfilter%5D%5B0%5D%5Btype_id%5D=4820&amp;hva%5B0%5D%5Bfilter%5D%5B0%5D%5Bverdi%5D=&amp;hva%5B0%5D%5Bid%5D=144/når:2022-07-13", "Vegkart")</f>
        <v>Vegkart</v>
      </c>
      <c r="B4478">
        <v>761037535</v>
      </c>
      <c r="C4478">
        <v>144</v>
      </c>
      <c r="D4478" t="s">
        <v>13345</v>
      </c>
      <c r="E4478">
        <v>4820</v>
      </c>
      <c r="F4478" t="s">
        <v>23479</v>
      </c>
      <c r="G4478">
        <v>2</v>
      </c>
      <c r="H4478" t="s">
        <v>2139</v>
      </c>
      <c r="J4478" t="s">
        <v>1161</v>
      </c>
      <c r="K4478" t="s">
        <v>81</v>
      </c>
      <c r="L4478" t="s">
        <v>33</v>
      </c>
      <c r="M4478" t="s">
        <v>4333</v>
      </c>
      <c r="N4478" t="s">
        <v>14980</v>
      </c>
      <c r="O4478" t="s">
        <v>14981</v>
      </c>
      <c r="P4478" s="2" t="s">
        <v>67</v>
      </c>
      <c r="Q4478" t="s">
        <v>68</v>
      </c>
      <c r="R4478">
        <v>7.51</v>
      </c>
      <c r="S4478">
        <v>7.51</v>
      </c>
      <c r="T4478" t="s">
        <v>14982</v>
      </c>
    </row>
    <row r="4479" spans="1:20" x14ac:dyDescent="0.25">
      <c r="A4479" s="1" t="str">
        <f>HYPERLINK("https://vegkart.atlas.vegvesen.no/#/@233354.1,6579669.9,18/hva:hva%5B0%5D%5Bfilter%5D%5B0%5D%5Boperator%5D=%21%3D&amp;hva%5B0%5D%5Bfilter%5D%5B0%5D%5Btype_id%5D=4820&amp;hva%5B0%5D%5Bfilter%5D%5B0%5D%5Bverdi%5D=&amp;hva%5B0%5D%5Bid%5D=144/når:2022-07-13", "Vegkart")</f>
        <v>Vegkart</v>
      </c>
      <c r="B4479">
        <v>761037536</v>
      </c>
      <c r="C4479">
        <v>144</v>
      </c>
      <c r="D4479" t="s">
        <v>13345</v>
      </c>
      <c r="E4479">
        <v>4820</v>
      </c>
      <c r="F4479" t="s">
        <v>23479</v>
      </c>
      <c r="G4479">
        <v>2</v>
      </c>
      <c r="H4479" t="s">
        <v>2139</v>
      </c>
      <c r="J4479" t="s">
        <v>1161</v>
      </c>
      <c r="K4479" t="s">
        <v>81</v>
      </c>
      <c r="L4479" t="s">
        <v>33</v>
      </c>
      <c r="M4479" t="s">
        <v>4333</v>
      </c>
      <c r="N4479" t="s">
        <v>14983</v>
      </c>
      <c r="O4479" t="s">
        <v>14984</v>
      </c>
      <c r="P4479" s="2" t="s">
        <v>67</v>
      </c>
      <c r="Q4479" t="s">
        <v>68</v>
      </c>
      <c r="R4479">
        <v>7.08</v>
      </c>
      <c r="S4479">
        <v>7.08</v>
      </c>
      <c r="T4479" t="s">
        <v>14985</v>
      </c>
    </row>
    <row r="4480" spans="1:20" x14ac:dyDescent="0.25">
      <c r="A4480" s="1" t="str">
        <f>HYPERLINK("https://vegkart.atlas.vegvesen.no/#/@233306.5,6579614.2,18/hva:hva%5B0%5D%5Bfilter%5D%5B0%5D%5Boperator%5D=%21%3D&amp;hva%5B0%5D%5Bfilter%5D%5B0%5D%5Btype_id%5D=4820&amp;hva%5B0%5D%5Bfilter%5D%5B0%5D%5Bverdi%5D=&amp;hva%5B0%5D%5Bid%5D=144/når:2022-07-13", "Vegkart")</f>
        <v>Vegkart</v>
      </c>
      <c r="B4480">
        <v>761037537</v>
      </c>
      <c r="C4480">
        <v>144</v>
      </c>
      <c r="D4480" t="s">
        <v>13345</v>
      </c>
      <c r="E4480">
        <v>4820</v>
      </c>
      <c r="F4480" t="s">
        <v>23479</v>
      </c>
      <c r="G4480">
        <v>2</v>
      </c>
      <c r="H4480" t="s">
        <v>2139</v>
      </c>
      <c r="J4480" t="s">
        <v>1161</v>
      </c>
      <c r="K4480" t="s">
        <v>81</v>
      </c>
      <c r="L4480" t="s">
        <v>33</v>
      </c>
      <c r="M4480" t="s">
        <v>4333</v>
      </c>
      <c r="N4480" t="s">
        <v>14986</v>
      </c>
      <c r="O4480" t="s">
        <v>14987</v>
      </c>
      <c r="P4480" s="2" t="s">
        <v>67</v>
      </c>
      <c r="Q4480" t="s">
        <v>68</v>
      </c>
      <c r="R4480">
        <v>9.32</v>
      </c>
      <c r="S4480">
        <v>9.32</v>
      </c>
      <c r="T4480" t="s">
        <v>14988</v>
      </c>
    </row>
    <row r="4481" spans="1:20" x14ac:dyDescent="0.25">
      <c r="A4481" s="1" t="str">
        <f>HYPERLINK("https://vegkart.atlas.vegvesen.no/#/@233280.9,6579584.1,18/hva:hva%5B0%5D%5Bfilter%5D%5B0%5D%5Boperator%5D=%21%3D&amp;hva%5B0%5D%5Bfilter%5D%5B0%5D%5Btype_id%5D=4820&amp;hva%5B0%5D%5Bfilter%5D%5B0%5D%5Bverdi%5D=&amp;hva%5B0%5D%5Bid%5D=144/når:2022-07-13", "Vegkart")</f>
        <v>Vegkart</v>
      </c>
      <c r="B4481">
        <v>761037538</v>
      </c>
      <c r="C4481">
        <v>144</v>
      </c>
      <c r="D4481" t="s">
        <v>13345</v>
      </c>
      <c r="E4481">
        <v>4820</v>
      </c>
      <c r="F4481" t="s">
        <v>23479</v>
      </c>
      <c r="G4481">
        <v>2</v>
      </c>
      <c r="H4481" t="s">
        <v>2139</v>
      </c>
      <c r="J4481" t="s">
        <v>1161</v>
      </c>
      <c r="K4481" t="s">
        <v>81</v>
      </c>
      <c r="L4481" t="s">
        <v>33</v>
      </c>
      <c r="M4481" t="s">
        <v>4333</v>
      </c>
      <c r="N4481" t="s">
        <v>14989</v>
      </c>
      <c r="O4481" t="s">
        <v>14990</v>
      </c>
      <c r="P4481" s="2" t="s">
        <v>67</v>
      </c>
      <c r="Q4481" t="s">
        <v>68</v>
      </c>
      <c r="R4481">
        <v>11.28</v>
      </c>
      <c r="S4481">
        <v>11.28</v>
      </c>
      <c r="T4481" t="s">
        <v>14991</v>
      </c>
    </row>
    <row r="4482" spans="1:20" x14ac:dyDescent="0.25">
      <c r="A4482" s="1" t="str">
        <f>HYPERLINK("https://vegkart.atlas.vegvesen.no/#/@233250.3,6579553.8,18/hva:hva%5B0%5D%5Bfilter%5D%5B0%5D%5Boperator%5D=%21%3D&amp;hva%5B0%5D%5Bfilter%5D%5B0%5D%5Btype_id%5D=4820&amp;hva%5B0%5D%5Bfilter%5D%5B0%5D%5Bverdi%5D=&amp;hva%5B0%5D%5Bid%5D=144/når:2022-07-13", "Vegkart")</f>
        <v>Vegkart</v>
      </c>
      <c r="B4482">
        <v>761037539</v>
      </c>
      <c r="C4482">
        <v>144</v>
      </c>
      <c r="D4482" t="s">
        <v>13345</v>
      </c>
      <c r="E4482">
        <v>4820</v>
      </c>
      <c r="F4482" t="s">
        <v>23479</v>
      </c>
      <c r="G4482">
        <v>2</v>
      </c>
      <c r="H4482" t="s">
        <v>2139</v>
      </c>
      <c r="J4482" t="s">
        <v>1161</v>
      </c>
      <c r="K4482" t="s">
        <v>81</v>
      </c>
      <c r="L4482" t="s">
        <v>33</v>
      </c>
      <c r="M4482" t="s">
        <v>4333</v>
      </c>
      <c r="N4482" t="s">
        <v>14992</v>
      </c>
      <c r="O4482" t="s">
        <v>14993</v>
      </c>
      <c r="P4482" s="2" t="s">
        <v>67</v>
      </c>
      <c r="Q4482" t="s">
        <v>68</v>
      </c>
      <c r="R4482">
        <v>162.84</v>
      </c>
      <c r="S4482">
        <v>165.99</v>
      </c>
      <c r="T4482" t="s">
        <v>14994</v>
      </c>
    </row>
    <row r="4483" spans="1:20" x14ac:dyDescent="0.25">
      <c r="A4483" s="1" t="str">
        <f>HYPERLINK("https://vegkart.atlas.vegvesen.no/#/@233223.0,6579502.0,18/hva:hva%5B0%5D%5Bfilter%5D%5B0%5D%5Boperator%5D=%21%3D&amp;hva%5B0%5D%5Bfilter%5D%5B0%5D%5Btype_id%5D=4820&amp;hva%5B0%5D%5Bfilter%5D%5B0%5D%5Bverdi%5D=&amp;hva%5B0%5D%5Bid%5D=144/når:2022-07-13", "Vegkart")</f>
        <v>Vegkart</v>
      </c>
      <c r="B4483">
        <v>761037540</v>
      </c>
      <c r="C4483">
        <v>144</v>
      </c>
      <c r="D4483" t="s">
        <v>13345</v>
      </c>
      <c r="E4483">
        <v>4820</v>
      </c>
      <c r="F4483" t="s">
        <v>23479</v>
      </c>
      <c r="G4483">
        <v>2</v>
      </c>
      <c r="H4483" t="s">
        <v>2139</v>
      </c>
      <c r="J4483" t="s">
        <v>1161</v>
      </c>
      <c r="K4483" t="s">
        <v>81</v>
      </c>
      <c r="L4483" t="s">
        <v>33</v>
      </c>
      <c r="M4483" t="s">
        <v>4333</v>
      </c>
      <c r="N4483" t="s">
        <v>14995</v>
      </c>
      <c r="O4483" t="s">
        <v>14996</v>
      </c>
      <c r="P4483" s="2" t="s">
        <v>67</v>
      </c>
      <c r="Q4483" t="s">
        <v>68</v>
      </c>
      <c r="R4483">
        <v>17.84</v>
      </c>
      <c r="S4483">
        <v>17.89</v>
      </c>
      <c r="T4483" t="s">
        <v>14997</v>
      </c>
    </row>
    <row r="4484" spans="1:20" x14ac:dyDescent="0.25">
      <c r="A4484" s="1" t="str">
        <f>HYPERLINK("https://vegkart.atlas.vegvesen.no/#/@233211.4,6579480.4,18/hva:hva%5B0%5D%5Bfilter%5D%5B0%5D%5Boperator%5D=%21%3D&amp;hva%5B0%5D%5Bfilter%5D%5B0%5D%5Btype_id%5D=4820&amp;hva%5B0%5D%5Bfilter%5D%5B0%5D%5Bverdi%5D=&amp;hva%5B0%5D%5Bid%5D=144/når:2022-07-13", "Vegkart")</f>
        <v>Vegkart</v>
      </c>
      <c r="B4484">
        <v>761037541</v>
      </c>
      <c r="C4484">
        <v>144</v>
      </c>
      <c r="D4484" t="s">
        <v>13345</v>
      </c>
      <c r="E4484">
        <v>4820</v>
      </c>
      <c r="F4484" t="s">
        <v>23479</v>
      </c>
      <c r="G4484">
        <v>2</v>
      </c>
      <c r="H4484" t="s">
        <v>2139</v>
      </c>
      <c r="J4484" t="s">
        <v>1161</v>
      </c>
      <c r="K4484" t="s">
        <v>81</v>
      </c>
      <c r="L4484" t="s">
        <v>33</v>
      </c>
      <c r="M4484" t="s">
        <v>4333</v>
      </c>
      <c r="N4484" t="s">
        <v>14998</v>
      </c>
      <c r="O4484" t="s">
        <v>14999</v>
      </c>
      <c r="P4484" s="2" t="s">
        <v>67</v>
      </c>
      <c r="Q4484" t="s">
        <v>68</v>
      </c>
      <c r="R4484">
        <v>9</v>
      </c>
      <c r="S4484">
        <v>9.01</v>
      </c>
      <c r="T4484" t="s">
        <v>15000</v>
      </c>
    </row>
    <row r="4485" spans="1:20" x14ac:dyDescent="0.25">
      <c r="A4485" s="1" t="str">
        <f>HYPERLINK("https://vegkart.atlas.vegvesen.no/#/@233231.3,6579523.2,18/hva:hva%5B0%5D%5Bfilter%5D%5B0%5D%5Boperator%5D=%21%3D&amp;hva%5B0%5D%5Bfilter%5D%5B0%5D%5Btype_id%5D=4820&amp;hva%5B0%5D%5Bfilter%5D%5B0%5D%5Bverdi%5D=&amp;hva%5B0%5D%5Bid%5D=144/når:2022-07-13", "Vegkart")</f>
        <v>Vegkart</v>
      </c>
      <c r="B4485">
        <v>761037542</v>
      </c>
      <c r="C4485">
        <v>144</v>
      </c>
      <c r="D4485" t="s">
        <v>13345</v>
      </c>
      <c r="E4485">
        <v>4820</v>
      </c>
      <c r="F4485" t="s">
        <v>23479</v>
      </c>
      <c r="G4485">
        <v>2</v>
      </c>
      <c r="H4485" t="s">
        <v>2139</v>
      </c>
      <c r="J4485" t="s">
        <v>1161</v>
      </c>
      <c r="K4485" t="s">
        <v>81</v>
      </c>
      <c r="L4485" t="s">
        <v>33</v>
      </c>
      <c r="M4485" t="s">
        <v>4333</v>
      </c>
      <c r="N4485" t="s">
        <v>15001</v>
      </c>
      <c r="O4485" t="s">
        <v>15002</v>
      </c>
      <c r="P4485" s="2" t="s">
        <v>67</v>
      </c>
      <c r="Q4485" t="s">
        <v>68</v>
      </c>
      <c r="R4485">
        <v>12.17</v>
      </c>
      <c r="S4485">
        <v>12.19</v>
      </c>
      <c r="T4485" t="s">
        <v>15003</v>
      </c>
    </row>
    <row r="4486" spans="1:20" x14ac:dyDescent="0.25">
      <c r="A4486" s="1" t="str">
        <f>HYPERLINK("https://vegkart.atlas.vegvesen.no/#/@233255.6,6579553.9,18/hva:hva%5B0%5D%5Bfilter%5D%5B0%5D%5Boperator%5D=%21%3D&amp;hva%5B0%5D%5Bfilter%5D%5B0%5D%5Btype_id%5D=4820&amp;hva%5B0%5D%5Bfilter%5D%5B0%5D%5Bverdi%5D=&amp;hva%5B0%5D%5Bid%5D=144/når:2022-07-13", "Vegkart")</f>
        <v>Vegkart</v>
      </c>
      <c r="B4486">
        <v>761037543</v>
      </c>
      <c r="C4486">
        <v>144</v>
      </c>
      <c r="D4486" t="s">
        <v>13345</v>
      </c>
      <c r="E4486">
        <v>4820</v>
      </c>
      <c r="F4486" t="s">
        <v>23479</v>
      </c>
      <c r="G4486">
        <v>2</v>
      </c>
      <c r="H4486" t="s">
        <v>2139</v>
      </c>
      <c r="J4486" t="s">
        <v>1161</v>
      </c>
      <c r="K4486" t="s">
        <v>81</v>
      </c>
      <c r="L4486" t="s">
        <v>33</v>
      </c>
      <c r="M4486" t="s">
        <v>4333</v>
      </c>
      <c r="N4486" t="s">
        <v>15004</v>
      </c>
      <c r="O4486" t="s">
        <v>15005</v>
      </c>
      <c r="P4486" s="2" t="s">
        <v>67</v>
      </c>
      <c r="Q4486" t="s">
        <v>68</v>
      </c>
      <c r="R4486">
        <v>12.61</v>
      </c>
      <c r="S4486">
        <v>12.61</v>
      </c>
      <c r="T4486" t="s">
        <v>15006</v>
      </c>
    </row>
    <row r="4487" spans="1:20" x14ac:dyDescent="0.25">
      <c r="A4487" s="1" t="str">
        <f>HYPERLINK("https://vegkart.atlas.vegvesen.no/#/@233054.9,6579365.3,18/hva:hva%5B0%5D%5Bfilter%5D%5B0%5D%5Boperator%5D=%21%3D&amp;hva%5B0%5D%5Bfilter%5D%5B0%5D%5Btype_id%5D=4820&amp;hva%5B0%5D%5Bfilter%5D%5B0%5D%5Bverdi%5D=&amp;hva%5B0%5D%5Bid%5D=144/når:2022-07-13", "Vegkart")</f>
        <v>Vegkart</v>
      </c>
      <c r="B4487">
        <v>761037544</v>
      </c>
      <c r="C4487">
        <v>144</v>
      </c>
      <c r="D4487" t="s">
        <v>13345</v>
      </c>
      <c r="E4487">
        <v>4820</v>
      </c>
      <c r="F4487" t="s">
        <v>23479</v>
      </c>
      <c r="G4487">
        <v>2</v>
      </c>
      <c r="H4487" t="s">
        <v>2139</v>
      </c>
      <c r="J4487" t="s">
        <v>1161</v>
      </c>
      <c r="K4487" t="s">
        <v>81</v>
      </c>
      <c r="L4487" t="s">
        <v>33</v>
      </c>
      <c r="M4487" t="s">
        <v>4333</v>
      </c>
      <c r="N4487" t="s">
        <v>15007</v>
      </c>
      <c r="O4487" t="s">
        <v>15008</v>
      </c>
      <c r="P4487" s="2" t="s">
        <v>67</v>
      </c>
      <c r="Q4487" t="s">
        <v>68</v>
      </c>
      <c r="R4487">
        <v>9.48</v>
      </c>
      <c r="S4487">
        <v>9.48</v>
      </c>
      <c r="T4487" t="s">
        <v>15009</v>
      </c>
    </row>
    <row r="4488" spans="1:20" x14ac:dyDescent="0.25">
      <c r="A4488" s="1" t="str">
        <f>HYPERLINK("https://vegkart.atlas.vegvesen.no/#/@233018.2,6579349.3,18/hva:hva%5B0%5D%5Bfilter%5D%5B0%5D%5Boperator%5D=%21%3D&amp;hva%5B0%5D%5Bfilter%5D%5B0%5D%5Btype_id%5D=4820&amp;hva%5B0%5D%5Bfilter%5D%5B0%5D%5Bverdi%5D=&amp;hva%5B0%5D%5Bid%5D=144/når:2022-07-13", "Vegkart")</f>
        <v>Vegkart</v>
      </c>
      <c r="B4488">
        <v>761037545</v>
      </c>
      <c r="C4488">
        <v>144</v>
      </c>
      <c r="D4488" t="s">
        <v>13345</v>
      </c>
      <c r="E4488">
        <v>4820</v>
      </c>
      <c r="F4488" t="s">
        <v>23479</v>
      </c>
      <c r="G4488">
        <v>2</v>
      </c>
      <c r="H4488" t="s">
        <v>2139</v>
      </c>
      <c r="J4488" t="s">
        <v>1161</v>
      </c>
      <c r="K4488" t="s">
        <v>81</v>
      </c>
      <c r="L4488" t="s">
        <v>33</v>
      </c>
      <c r="M4488" t="s">
        <v>4333</v>
      </c>
      <c r="N4488" t="s">
        <v>15010</v>
      </c>
      <c r="O4488" t="s">
        <v>15011</v>
      </c>
      <c r="P4488" s="2" t="s">
        <v>67</v>
      </c>
      <c r="Q4488" t="s">
        <v>68</v>
      </c>
      <c r="R4488">
        <v>6.81</v>
      </c>
      <c r="S4488">
        <v>6.81</v>
      </c>
      <c r="T4488" t="s">
        <v>15012</v>
      </c>
    </row>
    <row r="4489" spans="1:20" x14ac:dyDescent="0.25">
      <c r="A4489" s="1" t="str">
        <f>HYPERLINK("https://vegkart.atlas.vegvesen.no/#/@232987.9,6579327.0,18/hva:hva%5B0%5D%5Bfilter%5D%5B0%5D%5Boperator%5D=%21%3D&amp;hva%5B0%5D%5Bfilter%5D%5B0%5D%5Btype_id%5D=4820&amp;hva%5B0%5D%5Bfilter%5D%5B0%5D%5Bverdi%5D=&amp;hva%5B0%5D%5Bid%5D=144/når:2022-07-13", "Vegkart")</f>
        <v>Vegkart</v>
      </c>
      <c r="B4489">
        <v>761037546</v>
      </c>
      <c r="C4489">
        <v>144</v>
      </c>
      <c r="D4489" t="s">
        <v>13345</v>
      </c>
      <c r="E4489">
        <v>4820</v>
      </c>
      <c r="F4489" t="s">
        <v>23479</v>
      </c>
      <c r="G4489">
        <v>2</v>
      </c>
      <c r="H4489" t="s">
        <v>2139</v>
      </c>
      <c r="J4489" t="s">
        <v>1161</v>
      </c>
      <c r="K4489" t="s">
        <v>81</v>
      </c>
      <c r="L4489" t="s">
        <v>33</v>
      </c>
      <c r="M4489" t="s">
        <v>4333</v>
      </c>
      <c r="N4489" t="s">
        <v>15013</v>
      </c>
      <c r="O4489" t="s">
        <v>15014</v>
      </c>
      <c r="P4489" s="2" t="s">
        <v>67</v>
      </c>
      <c r="Q4489" t="s">
        <v>68</v>
      </c>
      <c r="R4489">
        <v>8.58</v>
      </c>
      <c r="S4489">
        <v>8.58</v>
      </c>
      <c r="T4489" t="s">
        <v>15015</v>
      </c>
    </row>
    <row r="4490" spans="1:20" x14ac:dyDescent="0.25">
      <c r="A4490" s="1" t="str">
        <f>HYPERLINK("https://vegkart.atlas.vegvesen.no/#/@232961.4,6579301.8,18/hva:hva%5B0%5D%5Bfilter%5D%5B0%5D%5Boperator%5D=%21%3D&amp;hva%5B0%5D%5Bfilter%5D%5B0%5D%5Btype_id%5D=4820&amp;hva%5B0%5D%5Bfilter%5D%5B0%5D%5Bverdi%5D=&amp;hva%5B0%5D%5Bid%5D=144/når:2022-07-13", "Vegkart")</f>
        <v>Vegkart</v>
      </c>
      <c r="B4490">
        <v>761037547</v>
      </c>
      <c r="C4490">
        <v>144</v>
      </c>
      <c r="D4490" t="s">
        <v>13345</v>
      </c>
      <c r="E4490">
        <v>4820</v>
      </c>
      <c r="F4490" t="s">
        <v>23479</v>
      </c>
      <c r="G4490">
        <v>2</v>
      </c>
      <c r="H4490" t="s">
        <v>2139</v>
      </c>
      <c r="J4490" t="s">
        <v>1161</v>
      </c>
      <c r="K4490" t="s">
        <v>81</v>
      </c>
      <c r="L4490" t="s">
        <v>33</v>
      </c>
      <c r="M4490" t="s">
        <v>4333</v>
      </c>
      <c r="N4490" t="s">
        <v>15016</v>
      </c>
      <c r="O4490" t="s">
        <v>15017</v>
      </c>
      <c r="P4490" s="2" t="s">
        <v>67</v>
      </c>
      <c r="Q4490" t="s">
        <v>68</v>
      </c>
      <c r="R4490">
        <v>7.01</v>
      </c>
      <c r="S4490">
        <v>7.01</v>
      </c>
      <c r="T4490" t="s">
        <v>15018</v>
      </c>
    </row>
    <row r="4491" spans="1:20" x14ac:dyDescent="0.25">
      <c r="A4491" s="1" t="str">
        <f>HYPERLINK("https://vegkart.atlas.vegvesen.no/#/@232934.8,6579256.4,18/hva:hva%5B0%5D%5Bfilter%5D%5B0%5D%5Boperator%5D=%21%3D&amp;hva%5B0%5D%5Bfilter%5D%5B0%5D%5Btype_id%5D=4820&amp;hva%5B0%5D%5Bfilter%5D%5B0%5D%5Bverdi%5D=&amp;hva%5B0%5D%5Bid%5D=144/når:2022-07-13", "Vegkart")</f>
        <v>Vegkart</v>
      </c>
      <c r="B4491">
        <v>761037548</v>
      </c>
      <c r="C4491">
        <v>144</v>
      </c>
      <c r="D4491" t="s">
        <v>13345</v>
      </c>
      <c r="E4491">
        <v>4820</v>
      </c>
      <c r="F4491" t="s">
        <v>23479</v>
      </c>
      <c r="G4491">
        <v>2</v>
      </c>
      <c r="H4491" t="s">
        <v>2139</v>
      </c>
      <c r="J4491" t="s">
        <v>1161</v>
      </c>
      <c r="K4491" t="s">
        <v>81</v>
      </c>
      <c r="L4491" t="s">
        <v>33</v>
      </c>
      <c r="M4491" t="s">
        <v>4333</v>
      </c>
      <c r="N4491" t="s">
        <v>15019</v>
      </c>
      <c r="O4491" t="s">
        <v>15020</v>
      </c>
      <c r="P4491" s="2" t="s">
        <v>67</v>
      </c>
      <c r="Q4491" t="s">
        <v>68</v>
      </c>
      <c r="R4491">
        <v>14.49</v>
      </c>
      <c r="S4491">
        <v>14.86</v>
      </c>
      <c r="T4491" t="s">
        <v>15021</v>
      </c>
    </row>
    <row r="4492" spans="1:20" x14ac:dyDescent="0.25">
      <c r="A4492" s="1" t="str">
        <f>HYPERLINK("https://vegkart.atlas.vegvesen.no/#/@266355.2,7101241.7,18/hva:hva%5B0%5D%5Bfilter%5D%5B0%5D%5Boperator%5D=%21%3D&amp;hva%5B0%5D%5Bfilter%5D%5B0%5D%5Btype_id%5D=4820&amp;hva%5B0%5D%5Bfilter%5D%5B0%5D%5Bverdi%5D=&amp;hva%5B0%5D%5Bid%5D=144/når:2017-01-26", "Vegkart")</f>
        <v>Vegkart</v>
      </c>
      <c r="B4492">
        <v>761438707</v>
      </c>
      <c r="C4492">
        <v>144</v>
      </c>
      <c r="D4492" t="s">
        <v>13345</v>
      </c>
      <c r="E4492">
        <v>4820</v>
      </c>
      <c r="F4492" t="s">
        <v>23479</v>
      </c>
      <c r="G4492">
        <v>1</v>
      </c>
      <c r="H4492" t="s">
        <v>1570</v>
      </c>
      <c r="J4492" t="s">
        <v>1161</v>
      </c>
      <c r="K4492" t="s">
        <v>192</v>
      </c>
      <c r="L4492" t="s">
        <v>33</v>
      </c>
      <c r="M4492" t="s">
        <v>6448</v>
      </c>
      <c r="N4492" t="s">
        <v>15022</v>
      </c>
      <c r="O4492" t="s">
        <v>15023</v>
      </c>
      <c r="P4492" s="2" t="s">
        <v>67</v>
      </c>
      <c r="Q4492" t="s">
        <v>68</v>
      </c>
      <c r="R4492">
        <v>22.02</v>
      </c>
      <c r="S4492">
        <v>38.4</v>
      </c>
      <c r="T4492" t="s">
        <v>15024</v>
      </c>
    </row>
    <row r="4493" spans="1:20" x14ac:dyDescent="0.25">
      <c r="A4493" s="1" t="str">
        <f>HYPERLINK("https://vegkart.atlas.vegvesen.no/#/@266346.7,7101253.9,18/hva:hva%5B0%5D%5Bfilter%5D%5B0%5D%5Boperator%5D=%21%3D&amp;hva%5B0%5D%5Bfilter%5D%5B0%5D%5Btype_id%5D=4820&amp;hva%5B0%5D%5Bfilter%5D%5B0%5D%5Bverdi%5D=&amp;hva%5B0%5D%5Bid%5D=144/når:2017-01-26", "Vegkart")</f>
        <v>Vegkart</v>
      </c>
      <c r="B4493">
        <v>761438708</v>
      </c>
      <c r="C4493">
        <v>144</v>
      </c>
      <c r="D4493" t="s">
        <v>13345</v>
      </c>
      <c r="E4493">
        <v>4820</v>
      </c>
      <c r="F4493" t="s">
        <v>23479</v>
      </c>
      <c r="G4493">
        <v>1</v>
      </c>
      <c r="H4493" t="s">
        <v>1570</v>
      </c>
      <c r="J4493" t="s">
        <v>1161</v>
      </c>
      <c r="K4493" t="s">
        <v>192</v>
      </c>
      <c r="L4493" t="s">
        <v>33</v>
      </c>
      <c r="M4493" t="s">
        <v>6448</v>
      </c>
      <c r="N4493" t="s">
        <v>15025</v>
      </c>
      <c r="O4493" t="s">
        <v>15026</v>
      </c>
      <c r="P4493" s="2" t="s">
        <v>37</v>
      </c>
      <c r="Q4493" t="s">
        <v>1208</v>
      </c>
      <c r="R4493">
        <v>19.86</v>
      </c>
      <c r="S4493">
        <v>38.409999999999997</v>
      </c>
      <c r="T4493" t="s">
        <v>15027</v>
      </c>
    </row>
    <row r="4494" spans="1:20" x14ac:dyDescent="0.25">
      <c r="A4494" s="1" t="str">
        <f>HYPERLINK("https://vegkart.atlas.vegvesen.no/#/@266280.0,7101083.4,18/hva:hva%5B0%5D%5Bfilter%5D%5B0%5D%5Boperator%5D=%21%3D&amp;hva%5B0%5D%5Bfilter%5D%5B0%5D%5Btype_id%5D=4820&amp;hva%5B0%5D%5Bfilter%5D%5B0%5D%5Bverdi%5D=&amp;hva%5B0%5D%5Bid%5D=144/når:2017-01-26", "Vegkart")</f>
        <v>Vegkart</v>
      </c>
      <c r="B4494">
        <v>761438715</v>
      </c>
      <c r="C4494">
        <v>144</v>
      </c>
      <c r="D4494" t="s">
        <v>13345</v>
      </c>
      <c r="E4494">
        <v>4820</v>
      </c>
      <c r="F4494" t="s">
        <v>23479</v>
      </c>
      <c r="G4494">
        <v>1</v>
      </c>
      <c r="H4494" t="s">
        <v>1570</v>
      </c>
      <c r="J4494" t="s">
        <v>1161</v>
      </c>
      <c r="K4494" t="s">
        <v>192</v>
      </c>
      <c r="L4494" t="s">
        <v>33</v>
      </c>
      <c r="M4494" t="s">
        <v>6448</v>
      </c>
      <c r="N4494" t="s">
        <v>15028</v>
      </c>
      <c r="O4494" t="s">
        <v>15029</v>
      </c>
      <c r="P4494" s="2" t="s">
        <v>67</v>
      </c>
      <c r="Q4494" t="s">
        <v>68</v>
      </c>
      <c r="R4494">
        <v>117.47</v>
      </c>
      <c r="S4494">
        <v>132.72999999999999</v>
      </c>
      <c r="T4494" t="s">
        <v>15030</v>
      </c>
    </row>
    <row r="4495" spans="1:20" x14ac:dyDescent="0.25">
      <c r="A4495" s="1" t="str">
        <f>HYPERLINK("https://vegkart.atlas.vegvesen.no/#/@266308.0,7101071.8,18/hva:hva%5B0%5D%5Bfilter%5D%5B0%5D%5Boperator%5D=%21%3D&amp;hva%5B0%5D%5Bfilter%5D%5B0%5D%5Btype_id%5D=4820&amp;hva%5B0%5D%5Bfilter%5D%5B0%5D%5Bverdi%5D=&amp;hva%5B0%5D%5Bid%5D=144/når:2017-01-26", "Vegkart")</f>
        <v>Vegkart</v>
      </c>
      <c r="B4495">
        <v>761438716</v>
      </c>
      <c r="C4495">
        <v>144</v>
      </c>
      <c r="D4495" t="s">
        <v>13345</v>
      </c>
      <c r="E4495">
        <v>4820</v>
      </c>
      <c r="F4495" t="s">
        <v>23479</v>
      </c>
      <c r="G4495">
        <v>1</v>
      </c>
      <c r="H4495" t="s">
        <v>1570</v>
      </c>
      <c r="J4495" t="s">
        <v>1161</v>
      </c>
      <c r="K4495" t="s">
        <v>192</v>
      </c>
      <c r="L4495" t="s">
        <v>33</v>
      </c>
      <c r="M4495" t="s">
        <v>6448</v>
      </c>
      <c r="N4495" t="s">
        <v>15031</v>
      </c>
      <c r="O4495" t="s">
        <v>15032</v>
      </c>
      <c r="P4495" s="2" t="s">
        <v>67</v>
      </c>
      <c r="Q4495" t="s">
        <v>68</v>
      </c>
      <c r="R4495">
        <v>68.69</v>
      </c>
      <c r="S4495">
        <v>75.34</v>
      </c>
      <c r="T4495" t="s">
        <v>15033</v>
      </c>
    </row>
    <row r="4496" spans="1:20" x14ac:dyDescent="0.25">
      <c r="A4496" s="1" t="str">
        <f>HYPERLINK("https://vegkart.atlas.vegvesen.no/#/@266281.9,7101086.6,18/hva:hva%5B0%5D%5Bfilter%5D%5B0%5D%5Boperator%5D=%21%3D&amp;hva%5B0%5D%5Bfilter%5D%5B0%5D%5Btype_id%5D=4820&amp;hva%5B0%5D%5Bfilter%5D%5B0%5D%5Bverdi%5D=&amp;hva%5B0%5D%5Bid%5D=144/når:2017-01-26", "Vegkart")</f>
        <v>Vegkart</v>
      </c>
      <c r="B4496">
        <v>761438717</v>
      </c>
      <c r="C4496">
        <v>144</v>
      </c>
      <c r="D4496" t="s">
        <v>13345</v>
      </c>
      <c r="E4496">
        <v>4820</v>
      </c>
      <c r="F4496" t="s">
        <v>23479</v>
      </c>
      <c r="G4496">
        <v>1</v>
      </c>
      <c r="H4496" t="s">
        <v>1570</v>
      </c>
      <c r="J4496" t="s">
        <v>1161</v>
      </c>
      <c r="K4496" t="s">
        <v>192</v>
      </c>
      <c r="L4496" t="s">
        <v>33</v>
      </c>
      <c r="M4496" t="s">
        <v>6448</v>
      </c>
      <c r="N4496" t="s">
        <v>15034</v>
      </c>
      <c r="O4496" t="s">
        <v>15035</v>
      </c>
      <c r="P4496" s="2" t="s">
        <v>67</v>
      </c>
      <c r="Q4496" t="s">
        <v>68</v>
      </c>
      <c r="R4496">
        <v>117.47</v>
      </c>
      <c r="S4496">
        <v>134.51</v>
      </c>
      <c r="T4496" t="s">
        <v>15036</v>
      </c>
    </row>
    <row r="4497" spans="1:20" x14ac:dyDescent="0.25">
      <c r="A4497" s="1" t="str">
        <f>HYPERLINK("https://vegkart.atlas.vegvesen.no/#/@266244.2,7101094.7,18/hva:hva%5B0%5D%5Bfilter%5D%5B0%5D%5Boperator%5D=%21%3D&amp;hva%5B0%5D%5Bfilter%5D%5B0%5D%5Btype_id%5D=4820&amp;hva%5B0%5D%5Bfilter%5D%5B0%5D%5Bverdi%5D=&amp;hva%5B0%5D%5Bid%5D=144/når:2017-01-26", "Vegkart")</f>
        <v>Vegkart</v>
      </c>
      <c r="B4497">
        <v>761438718</v>
      </c>
      <c r="C4497">
        <v>144</v>
      </c>
      <c r="D4497" t="s">
        <v>13345</v>
      </c>
      <c r="E4497">
        <v>4820</v>
      </c>
      <c r="F4497" t="s">
        <v>23479</v>
      </c>
      <c r="G4497">
        <v>1</v>
      </c>
      <c r="H4497" t="s">
        <v>1570</v>
      </c>
      <c r="J4497" t="s">
        <v>1161</v>
      </c>
      <c r="K4497" t="s">
        <v>192</v>
      </c>
      <c r="L4497" t="s">
        <v>33</v>
      </c>
      <c r="M4497" t="s">
        <v>6448</v>
      </c>
      <c r="N4497" t="s">
        <v>15037</v>
      </c>
      <c r="O4497" t="s">
        <v>15038</v>
      </c>
      <c r="P4497" s="2" t="s">
        <v>67</v>
      </c>
      <c r="Q4497" t="s">
        <v>68</v>
      </c>
      <c r="R4497">
        <v>52.11</v>
      </c>
      <c r="S4497">
        <v>61.47</v>
      </c>
      <c r="T4497" t="s">
        <v>15039</v>
      </c>
    </row>
    <row r="4498" spans="1:20" x14ac:dyDescent="0.25">
      <c r="A4498" s="1" t="str">
        <f>HYPERLINK("https://vegkart.atlas.vegvesen.no/#/@266452.0,7101061.7,18/hva:hva%5B0%5D%5Bfilter%5D%5B0%5D%5Boperator%5D=%21%3D&amp;hva%5B0%5D%5Bfilter%5D%5B0%5D%5Btype_id%5D=4820&amp;hva%5B0%5D%5Bfilter%5D%5B0%5D%5Bverdi%5D=&amp;hva%5B0%5D%5Bid%5D=144/når:2017-01-26", "Vegkart")</f>
        <v>Vegkart</v>
      </c>
      <c r="B4498">
        <v>761438727</v>
      </c>
      <c r="C4498">
        <v>144</v>
      </c>
      <c r="D4498" t="s">
        <v>13345</v>
      </c>
      <c r="E4498">
        <v>4820</v>
      </c>
      <c r="F4498" t="s">
        <v>23479</v>
      </c>
      <c r="G4498">
        <v>1</v>
      </c>
      <c r="H4498" t="s">
        <v>1570</v>
      </c>
      <c r="J4498" t="s">
        <v>1161</v>
      </c>
      <c r="K4498" t="s">
        <v>192</v>
      </c>
      <c r="L4498" t="s">
        <v>33</v>
      </c>
      <c r="M4498" t="s">
        <v>6448</v>
      </c>
      <c r="N4498" t="s">
        <v>15040</v>
      </c>
      <c r="O4498" t="s">
        <v>15041</v>
      </c>
      <c r="P4498" s="2" t="s">
        <v>67</v>
      </c>
      <c r="Q4498" t="s">
        <v>68</v>
      </c>
      <c r="R4498">
        <v>4.97</v>
      </c>
      <c r="S4498">
        <v>5.1100000000000003</v>
      </c>
      <c r="T4498" t="s">
        <v>15042</v>
      </c>
    </row>
    <row r="4499" spans="1:20" x14ac:dyDescent="0.25">
      <c r="A4499" s="1" t="str">
        <f>HYPERLINK("https://vegkart.atlas.vegvesen.no/#/@266451.7,7101063.4,18/hva:hva%5B0%5D%5Bfilter%5D%5B0%5D%5Boperator%5D=%21%3D&amp;hva%5B0%5D%5Bfilter%5D%5B0%5D%5Btype_id%5D=4820&amp;hva%5B0%5D%5Bfilter%5D%5B0%5D%5Bverdi%5D=&amp;hva%5B0%5D%5Bid%5D=144/når:2017-01-26", "Vegkart")</f>
        <v>Vegkart</v>
      </c>
      <c r="B4499">
        <v>761438728</v>
      </c>
      <c r="C4499">
        <v>144</v>
      </c>
      <c r="D4499" t="s">
        <v>13345</v>
      </c>
      <c r="E4499">
        <v>4820</v>
      </c>
      <c r="F4499" t="s">
        <v>23479</v>
      </c>
      <c r="G4499">
        <v>1</v>
      </c>
      <c r="H4499" t="s">
        <v>1570</v>
      </c>
      <c r="J4499" t="s">
        <v>1161</v>
      </c>
      <c r="K4499" t="s">
        <v>192</v>
      </c>
      <c r="L4499" t="s">
        <v>33</v>
      </c>
      <c r="M4499" t="s">
        <v>6448</v>
      </c>
      <c r="N4499" t="s">
        <v>15043</v>
      </c>
      <c r="O4499" t="s">
        <v>15044</v>
      </c>
      <c r="P4499" s="2" t="s">
        <v>67</v>
      </c>
      <c r="Q4499" t="s">
        <v>68</v>
      </c>
      <c r="R4499">
        <v>4.45</v>
      </c>
      <c r="S4499">
        <v>4.46</v>
      </c>
      <c r="T4499" t="s">
        <v>15045</v>
      </c>
    </row>
    <row r="4500" spans="1:20" x14ac:dyDescent="0.25">
      <c r="A4500" s="1" t="str">
        <f>HYPERLINK("https://vegkart.atlas.vegvesen.no/#/@266451.8,7101065.7,18/hva:hva%5B0%5D%5Bfilter%5D%5B0%5D%5Boperator%5D=%21%3D&amp;hva%5B0%5D%5Bfilter%5D%5B0%5D%5Btype_id%5D=4820&amp;hva%5B0%5D%5Bfilter%5D%5B0%5D%5Bverdi%5D=&amp;hva%5B0%5D%5Bid%5D=144/når:2017-01-26", "Vegkart")</f>
        <v>Vegkart</v>
      </c>
      <c r="B4500">
        <v>761438729</v>
      </c>
      <c r="C4500">
        <v>144</v>
      </c>
      <c r="D4500" t="s">
        <v>13345</v>
      </c>
      <c r="E4500">
        <v>4820</v>
      </c>
      <c r="F4500" t="s">
        <v>23479</v>
      </c>
      <c r="G4500">
        <v>1</v>
      </c>
      <c r="H4500" t="s">
        <v>1570</v>
      </c>
      <c r="J4500" t="s">
        <v>1161</v>
      </c>
      <c r="K4500" t="s">
        <v>192</v>
      </c>
      <c r="L4500" t="s">
        <v>33</v>
      </c>
      <c r="M4500" t="s">
        <v>6448</v>
      </c>
      <c r="N4500" t="s">
        <v>15046</v>
      </c>
      <c r="O4500" t="s">
        <v>15047</v>
      </c>
      <c r="P4500" s="2" t="s">
        <v>37</v>
      </c>
      <c r="Q4500" t="s">
        <v>1208</v>
      </c>
      <c r="R4500">
        <v>10.68</v>
      </c>
      <c r="S4500">
        <v>12.56</v>
      </c>
      <c r="T4500" t="s">
        <v>15048</v>
      </c>
    </row>
    <row r="4501" spans="1:20" x14ac:dyDescent="0.25">
      <c r="A4501" s="1" t="str">
        <f>HYPERLINK("https://vegkart.atlas.vegvesen.no/#/@287002.5,6727155.6,18/hva:hva%5B0%5D%5Bfilter%5D%5B0%5D%5Boperator%5D=%21%3D&amp;hva%5B0%5D%5Bfilter%5D%5B0%5D%5Btype_id%5D=4820&amp;hva%5B0%5D%5Bfilter%5D%5B0%5D%5Bverdi%5D=&amp;hva%5B0%5D%5Bid%5D=144/når:2017-03-03", "Vegkart")</f>
        <v>Vegkart</v>
      </c>
      <c r="B4501">
        <v>764150332</v>
      </c>
      <c r="C4501">
        <v>144</v>
      </c>
      <c r="D4501" t="s">
        <v>13345</v>
      </c>
      <c r="E4501">
        <v>4820</v>
      </c>
      <c r="F4501" t="s">
        <v>23479</v>
      </c>
      <c r="G4501">
        <v>1</v>
      </c>
      <c r="H4501" t="s">
        <v>15049</v>
      </c>
      <c r="J4501" t="s">
        <v>1161</v>
      </c>
      <c r="K4501" t="s">
        <v>136</v>
      </c>
      <c r="L4501" t="s">
        <v>33</v>
      </c>
      <c r="M4501" t="s">
        <v>307</v>
      </c>
      <c r="N4501" t="s">
        <v>15050</v>
      </c>
      <c r="O4501" t="s">
        <v>15051</v>
      </c>
      <c r="P4501" s="2" t="s">
        <v>67</v>
      </c>
      <c r="Q4501" t="s">
        <v>68</v>
      </c>
      <c r="R4501">
        <v>0.96</v>
      </c>
      <c r="S4501">
        <v>0.96</v>
      </c>
      <c r="T4501" t="s">
        <v>15052</v>
      </c>
    </row>
    <row r="4502" spans="1:20" x14ac:dyDescent="0.25">
      <c r="A4502" s="1" t="str">
        <f>HYPERLINK("https://vegkart.atlas.vegvesen.no/#/@808339.3,7785869.1,18/hva:hva%5B0%5D%5Bfilter%5D%5B0%5D%5Boperator%5D=%21%3D&amp;hva%5B0%5D%5Bfilter%5D%5B0%5D%5Btype_id%5D=4820&amp;hva%5B0%5D%5Bfilter%5D%5B0%5D%5Bverdi%5D=&amp;hva%5B0%5D%5Bid%5D=144/når:2017-03-07", "Vegkart")</f>
        <v>Vegkart</v>
      </c>
      <c r="B4502">
        <v>764284341</v>
      </c>
      <c r="C4502">
        <v>144</v>
      </c>
      <c r="D4502" t="s">
        <v>13345</v>
      </c>
      <c r="E4502">
        <v>4820</v>
      </c>
      <c r="F4502" t="s">
        <v>23479</v>
      </c>
      <c r="G4502">
        <v>1</v>
      </c>
      <c r="H4502" t="s">
        <v>15053</v>
      </c>
      <c r="J4502" t="s">
        <v>1161</v>
      </c>
      <c r="K4502" t="s">
        <v>450</v>
      </c>
      <c r="L4502" t="s">
        <v>80</v>
      </c>
      <c r="M4502" t="s">
        <v>105</v>
      </c>
      <c r="N4502" t="s">
        <v>15054</v>
      </c>
      <c r="O4502" t="s">
        <v>15055</v>
      </c>
      <c r="P4502" s="2" t="s">
        <v>37</v>
      </c>
      <c r="Q4502" t="s">
        <v>1208</v>
      </c>
      <c r="R4502">
        <v>2.13</v>
      </c>
      <c r="S4502">
        <v>15.86</v>
      </c>
      <c r="T4502" t="s">
        <v>15056</v>
      </c>
    </row>
    <row r="4503" spans="1:20" x14ac:dyDescent="0.25">
      <c r="A4503" s="1" t="str">
        <f>HYPERLINK("https://vegkart.atlas.vegvesen.no/#/@808346.5,7785988.2,18/hva:hva%5B0%5D%5Bfilter%5D%5B0%5D%5Boperator%5D=%21%3D&amp;hva%5B0%5D%5Bfilter%5D%5B0%5D%5Btype_id%5D=4820&amp;hva%5B0%5D%5Bfilter%5D%5B0%5D%5Bverdi%5D=&amp;hva%5B0%5D%5Bid%5D=144/når:2017-03-07", "Vegkart")</f>
        <v>Vegkart</v>
      </c>
      <c r="B4503">
        <v>764284342</v>
      </c>
      <c r="C4503">
        <v>144</v>
      </c>
      <c r="D4503" t="s">
        <v>13345</v>
      </c>
      <c r="E4503">
        <v>4820</v>
      </c>
      <c r="F4503" t="s">
        <v>23479</v>
      </c>
      <c r="G4503">
        <v>1</v>
      </c>
      <c r="H4503" t="s">
        <v>15053</v>
      </c>
      <c r="J4503" t="s">
        <v>1161</v>
      </c>
      <c r="K4503" t="s">
        <v>450</v>
      </c>
      <c r="L4503" t="s">
        <v>80</v>
      </c>
      <c r="M4503" t="s">
        <v>105</v>
      </c>
      <c r="N4503" t="s">
        <v>15057</v>
      </c>
      <c r="O4503" t="s">
        <v>15058</v>
      </c>
      <c r="P4503" s="2" t="s">
        <v>37</v>
      </c>
      <c r="Q4503" t="s">
        <v>1208</v>
      </c>
      <c r="R4503">
        <v>2</v>
      </c>
      <c r="S4503">
        <v>14.93</v>
      </c>
      <c r="T4503" t="s">
        <v>15059</v>
      </c>
    </row>
    <row r="4504" spans="1:20" x14ac:dyDescent="0.25">
      <c r="A4504" s="1" t="str">
        <f>HYPERLINK("https://vegkart.atlas.vegvesen.no/#/@306094.6,6982901.8,18/hva:hva%5B0%5D%5Bfilter%5D%5B0%5D%5Boperator%5D=%21%3D&amp;hva%5B0%5D%5Bfilter%5D%5B0%5D%5Btype_id%5D=4820&amp;hva%5B0%5D%5Bfilter%5D%5B0%5D%5Bverdi%5D=&amp;hva%5B0%5D%5Bid%5D=144/når:2017-03-22", "Vegkart")</f>
        <v>Vegkart</v>
      </c>
      <c r="B4504">
        <v>764782772</v>
      </c>
      <c r="C4504">
        <v>144</v>
      </c>
      <c r="D4504" t="s">
        <v>13345</v>
      </c>
      <c r="E4504">
        <v>4820</v>
      </c>
      <c r="F4504" t="s">
        <v>23479</v>
      </c>
      <c r="G4504">
        <v>1</v>
      </c>
      <c r="H4504" t="s">
        <v>15060</v>
      </c>
      <c r="J4504" t="s">
        <v>1161</v>
      </c>
      <c r="K4504" t="s">
        <v>192</v>
      </c>
      <c r="L4504" t="s">
        <v>33</v>
      </c>
      <c r="M4504" t="s">
        <v>15061</v>
      </c>
      <c r="N4504" t="s">
        <v>15062</v>
      </c>
      <c r="O4504" t="s">
        <v>15063</v>
      </c>
      <c r="P4504" s="2" t="s">
        <v>37</v>
      </c>
      <c r="Q4504" t="s">
        <v>1208</v>
      </c>
      <c r="R4504">
        <v>3.1</v>
      </c>
      <c r="S4504">
        <v>3.49</v>
      </c>
      <c r="T4504" t="s">
        <v>15064</v>
      </c>
    </row>
    <row r="4505" spans="1:20" x14ac:dyDescent="0.25">
      <c r="A4505" s="1" t="str">
        <f>HYPERLINK("https://vegkart.atlas.vegvesen.no/#/@281327.5,6642669.5,18/hva:hva%5B0%5D%5Bfilter%5D%5B0%5D%5Boperator%5D=%21%3D&amp;hva%5B0%5D%5Bfilter%5D%5B0%5D%5Btype_id%5D=4820&amp;hva%5B0%5D%5Bfilter%5D%5B0%5D%5Bverdi%5D=&amp;hva%5B0%5D%5Bid%5D=144/når:2016-12-01", "Vegkart")</f>
        <v>Vegkart</v>
      </c>
      <c r="B4505">
        <v>775462743</v>
      </c>
      <c r="C4505">
        <v>144</v>
      </c>
      <c r="D4505" t="s">
        <v>13345</v>
      </c>
      <c r="E4505">
        <v>4820</v>
      </c>
      <c r="F4505" t="s">
        <v>23479</v>
      </c>
      <c r="G4505">
        <v>1</v>
      </c>
      <c r="H4505" t="s">
        <v>6957</v>
      </c>
      <c r="J4505" t="s">
        <v>15065</v>
      </c>
      <c r="K4505" t="s">
        <v>132</v>
      </c>
      <c r="L4505" t="s">
        <v>370</v>
      </c>
      <c r="M4505" t="s">
        <v>15066</v>
      </c>
      <c r="N4505" t="s">
        <v>15067</v>
      </c>
      <c r="O4505" t="s">
        <v>15068</v>
      </c>
      <c r="P4505" s="2" t="s">
        <v>67</v>
      </c>
      <c r="Q4505" t="s">
        <v>68</v>
      </c>
      <c r="R4505">
        <v>32.1</v>
      </c>
      <c r="S4505">
        <v>32.369999999999997</v>
      </c>
      <c r="T4505" t="s">
        <v>15069</v>
      </c>
    </row>
    <row r="4506" spans="1:20" x14ac:dyDescent="0.25">
      <c r="A4506" s="1" t="str">
        <f>HYPERLINK("https://vegkart.atlas.vegvesen.no/#/@281329.6,6642669.4,18/hva:hva%5B0%5D%5Bfilter%5D%5B0%5D%5Boperator%5D=%21%3D&amp;hva%5B0%5D%5Bfilter%5D%5B0%5D%5Btype_id%5D=4820&amp;hva%5B0%5D%5Bfilter%5D%5B0%5D%5Bverdi%5D=&amp;hva%5B0%5D%5Bid%5D=144/når:2016-12-01", "Vegkart")</f>
        <v>Vegkart</v>
      </c>
      <c r="B4506">
        <v>775462744</v>
      </c>
      <c r="C4506">
        <v>144</v>
      </c>
      <c r="D4506" t="s">
        <v>13345</v>
      </c>
      <c r="E4506">
        <v>4820</v>
      </c>
      <c r="F4506" t="s">
        <v>23479</v>
      </c>
      <c r="G4506">
        <v>1</v>
      </c>
      <c r="H4506" t="s">
        <v>6957</v>
      </c>
      <c r="J4506" t="s">
        <v>15065</v>
      </c>
      <c r="K4506" t="s">
        <v>132</v>
      </c>
      <c r="L4506" t="s">
        <v>370</v>
      </c>
      <c r="M4506" t="s">
        <v>15066</v>
      </c>
      <c r="N4506" t="s">
        <v>15070</v>
      </c>
      <c r="O4506" t="s">
        <v>15071</v>
      </c>
      <c r="P4506" s="2" t="s">
        <v>67</v>
      </c>
      <c r="Q4506" t="s">
        <v>68</v>
      </c>
      <c r="R4506">
        <v>34.74</v>
      </c>
      <c r="S4506">
        <v>35.04</v>
      </c>
      <c r="T4506" t="s">
        <v>15072</v>
      </c>
    </row>
    <row r="4507" spans="1:20" x14ac:dyDescent="0.25">
      <c r="A4507" s="1" t="str">
        <f>HYPERLINK("https://vegkart.atlas.vegvesen.no/#/@281315.9,6642658.4,18/hva:hva%5B0%5D%5Bfilter%5D%5B0%5D%5Boperator%5D=%21%3D&amp;hva%5B0%5D%5Bfilter%5D%5B0%5D%5Btype_id%5D=4820&amp;hva%5B0%5D%5Bfilter%5D%5B0%5D%5Bverdi%5D=&amp;hva%5B0%5D%5Bid%5D=144/når:2016-12-01", "Vegkart")</f>
        <v>Vegkart</v>
      </c>
      <c r="B4507">
        <v>775462745</v>
      </c>
      <c r="C4507">
        <v>144</v>
      </c>
      <c r="D4507" t="s">
        <v>13345</v>
      </c>
      <c r="E4507">
        <v>4820</v>
      </c>
      <c r="F4507" t="s">
        <v>23479</v>
      </c>
      <c r="G4507">
        <v>1</v>
      </c>
      <c r="H4507" t="s">
        <v>6957</v>
      </c>
      <c r="J4507" t="s">
        <v>15065</v>
      </c>
      <c r="K4507" t="s">
        <v>132</v>
      </c>
      <c r="L4507" t="s">
        <v>370</v>
      </c>
      <c r="M4507" t="s">
        <v>15066</v>
      </c>
      <c r="N4507" t="s">
        <v>15073</v>
      </c>
      <c r="O4507" t="s">
        <v>15074</v>
      </c>
      <c r="P4507" s="2" t="s">
        <v>67</v>
      </c>
      <c r="Q4507" t="s">
        <v>68</v>
      </c>
      <c r="R4507">
        <v>2.77</v>
      </c>
      <c r="S4507">
        <v>2.77</v>
      </c>
      <c r="T4507" t="s">
        <v>15075</v>
      </c>
    </row>
    <row r="4508" spans="1:20" x14ac:dyDescent="0.25">
      <c r="A4508" s="1" t="str">
        <f>HYPERLINK("https://vegkart.atlas.vegvesen.no/#/@280599.7,6912954.9,18/hva:hva%5B0%5D%5Bfilter%5D%5B0%5D%5Boperator%5D=%21%3D&amp;hva%5B0%5D%5Bfilter%5D%5B0%5D%5Btype_id%5D=4820&amp;hva%5B0%5D%5Bfilter%5D%5B0%5D%5Bverdi%5D=&amp;hva%5B0%5D%5Bid%5D=144/når:2017-04-28", "Vegkart")</f>
        <v>Vegkart</v>
      </c>
      <c r="B4508">
        <v>775550474</v>
      </c>
      <c r="C4508">
        <v>144</v>
      </c>
      <c r="D4508" t="s">
        <v>13345</v>
      </c>
      <c r="E4508">
        <v>4820</v>
      </c>
      <c r="F4508" t="s">
        <v>23479</v>
      </c>
      <c r="G4508">
        <v>1</v>
      </c>
      <c r="H4508" t="s">
        <v>15076</v>
      </c>
      <c r="J4508" t="s">
        <v>15065</v>
      </c>
      <c r="K4508" t="s">
        <v>136</v>
      </c>
      <c r="L4508" t="s">
        <v>33</v>
      </c>
      <c r="M4508" t="s">
        <v>6251</v>
      </c>
      <c r="N4508" t="s">
        <v>15077</v>
      </c>
      <c r="O4508" t="s">
        <v>15078</v>
      </c>
      <c r="P4508" s="2" t="s">
        <v>37</v>
      </c>
      <c r="Q4508" t="s">
        <v>1208</v>
      </c>
      <c r="R4508">
        <v>17.100000000000001</v>
      </c>
      <c r="S4508">
        <v>133.69999999999999</v>
      </c>
      <c r="T4508" t="s">
        <v>15079</v>
      </c>
    </row>
    <row r="4509" spans="1:20" x14ac:dyDescent="0.25">
      <c r="A4509" s="1" t="str">
        <f>HYPERLINK("https://vegkart.atlas.vegvesen.no/#/@-9298.5,6780654.1,18/hva:hva%5B0%5D%5Bfilter%5D%5B0%5D%5Boperator%5D=%21%3D&amp;hva%5B0%5D%5Bfilter%5D%5B0%5D%5Btype_id%5D=4820&amp;hva%5B0%5D%5Bfilter%5D%5B0%5D%5Bverdi%5D=&amp;hva%5B0%5D%5Bid%5D=144/når:2017-05-15", "Vegkart")</f>
        <v>Vegkart</v>
      </c>
      <c r="B4509">
        <v>780114913</v>
      </c>
      <c r="C4509">
        <v>144</v>
      </c>
      <c r="D4509" t="s">
        <v>13345</v>
      </c>
      <c r="E4509">
        <v>4820</v>
      </c>
      <c r="F4509" t="s">
        <v>23479</v>
      </c>
      <c r="G4509">
        <v>1</v>
      </c>
      <c r="H4509" t="s">
        <v>15080</v>
      </c>
      <c r="J4509" t="s">
        <v>15065</v>
      </c>
      <c r="K4509" t="s">
        <v>21</v>
      </c>
      <c r="L4509" t="s">
        <v>80</v>
      </c>
      <c r="M4509" t="s">
        <v>81</v>
      </c>
      <c r="N4509" t="s">
        <v>15081</v>
      </c>
      <c r="O4509" t="s">
        <v>15082</v>
      </c>
      <c r="P4509" s="2" t="s">
        <v>37</v>
      </c>
      <c r="Q4509" t="s">
        <v>1208</v>
      </c>
      <c r="R4509">
        <v>5.4</v>
      </c>
      <c r="S4509">
        <v>7.53</v>
      </c>
      <c r="T4509" t="s">
        <v>15083</v>
      </c>
    </row>
    <row r="4510" spans="1:20" x14ac:dyDescent="0.25">
      <c r="A4510" s="1" t="str">
        <f>HYPERLINK("https://vegkart.atlas.vegvesen.no/#/@-9305.7,6780647.3,18/hva:hva%5B0%5D%5Bfilter%5D%5B0%5D%5Boperator%5D=%21%3D&amp;hva%5B0%5D%5Bfilter%5D%5B0%5D%5Btype_id%5D=4820&amp;hva%5B0%5D%5Bfilter%5D%5B0%5D%5Bverdi%5D=&amp;hva%5B0%5D%5Bid%5D=144/når:2017-05-15", "Vegkart")</f>
        <v>Vegkart</v>
      </c>
      <c r="B4510">
        <v>780114914</v>
      </c>
      <c r="C4510">
        <v>144</v>
      </c>
      <c r="D4510" t="s">
        <v>13345</v>
      </c>
      <c r="E4510">
        <v>4820</v>
      </c>
      <c r="F4510" t="s">
        <v>23479</v>
      </c>
      <c r="G4510">
        <v>1</v>
      </c>
      <c r="H4510" t="s">
        <v>15080</v>
      </c>
      <c r="J4510" t="s">
        <v>15065</v>
      </c>
      <c r="K4510" t="s">
        <v>21</v>
      </c>
      <c r="L4510" t="s">
        <v>80</v>
      </c>
      <c r="M4510" t="s">
        <v>81</v>
      </c>
      <c r="N4510" t="s">
        <v>15084</v>
      </c>
      <c r="O4510" t="s">
        <v>15085</v>
      </c>
      <c r="P4510" s="2" t="s">
        <v>37</v>
      </c>
      <c r="Q4510" t="s">
        <v>1208</v>
      </c>
      <c r="R4510">
        <v>5.55</v>
      </c>
      <c r="S4510">
        <v>7.11</v>
      </c>
      <c r="T4510" t="s">
        <v>15086</v>
      </c>
    </row>
    <row r="4511" spans="1:20" x14ac:dyDescent="0.25">
      <c r="A4511" s="1" t="str">
        <f>HYPERLINK("https://vegkart.atlas.vegvesen.no/#/@11684.2,6742562.7,18/hva:hva%5B0%5D%5Bfilter%5D%5B0%5D%5Boperator%5D=%21%3D&amp;hva%5B0%5D%5Bfilter%5D%5B0%5D%5Btype_id%5D=4820&amp;hva%5B0%5D%5Bfilter%5D%5B0%5D%5Bverdi%5D=&amp;hva%5B0%5D%5Bid%5D=144/når:2017-06-06", "Vegkart")</f>
        <v>Vegkart</v>
      </c>
      <c r="B4511">
        <v>787896704</v>
      </c>
      <c r="C4511">
        <v>144</v>
      </c>
      <c r="D4511" t="s">
        <v>13345</v>
      </c>
      <c r="E4511">
        <v>4820</v>
      </c>
      <c r="F4511" t="s">
        <v>23479</v>
      </c>
      <c r="G4511">
        <v>1</v>
      </c>
      <c r="H4511" t="s">
        <v>1587</v>
      </c>
      <c r="J4511" t="s">
        <v>15065</v>
      </c>
      <c r="K4511" t="s">
        <v>21</v>
      </c>
      <c r="L4511" t="s">
        <v>33</v>
      </c>
      <c r="M4511" t="s">
        <v>15087</v>
      </c>
      <c r="N4511" t="s">
        <v>15088</v>
      </c>
      <c r="O4511" t="s">
        <v>15089</v>
      </c>
      <c r="P4511" s="2" t="s">
        <v>165</v>
      </c>
      <c r="Q4511" t="s">
        <v>641</v>
      </c>
      <c r="R4511">
        <v>0</v>
      </c>
      <c r="S4511">
        <v>139.76</v>
      </c>
      <c r="T4511" t="s">
        <v>167</v>
      </c>
    </row>
    <row r="4512" spans="1:20" x14ac:dyDescent="0.25">
      <c r="A4512" s="1" t="str">
        <f>HYPERLINK("https://vegkart.atlas.vegvesen.no/#/@-42813.9,6732067.0,18/hva:hva%5B0%5D%5Bfilter%5D%5B0%5D%5Boperator%5D=%21%3D&amp;hva%5B0%5D%5Bfilter%5D%5B0%5D%5Btype_id%5D=4820&amp;hva%5B0%5D%5Bfilter%5D%5B0%5D%5Bverdi%5D=&amp;hva%5B0%5D%5Bid%5D=144/når:2017-08-07", "Vegkart")</f>
        <v>Vegkart</v>
      </c>
      <c r="B4512">
        <v>810396491</v>
      </c>
      <c r="C4512">
        <v>144</v>
      </c>
      <c r="D4512" t="s">
        <v>13345</v>
      </c>
      <c r="E4512">
        <v>4820</v>
      </c>
      <c r="F4512" t="s">
        <v>23479</v>
      </c>
      <c r="G4512">
        <v>1</v>
      </c>
      <c r="H4512" t="s">
        <v>6778</v>
      </c>
      <c r="J4512" t="s">
        <v>15065</v>
      </c>
      <c r="K4512" t="s">
        <v>21</v>
      </c>
      <c r="L4512" t="s">
        <v>33</v>
      </c>
      <c r="M4512" t="s">
        <v>12047</v>
      </c>
      <c r="N4512" t="s">
        <v>15090</v>
      </c>
      <c r="O4512" t="s">
        <v>15091</v>
      </c>
      <c r="P4512" s="2" t="s">
        <v>37</v>
      </c>
      <c r="Q4512" t="s">
        <v>1208</v>
      </c>
      <c r="R4512">
        <v>4.6399999999999997</v>
      </c>
      <c r="S4512">
        <v>91.44</v>
      </c>
      <c r="T4512" t="s">
        <v>15092</v>
      </c>
    </row>
    <row r="4513" spans="1:20" x14ac:dyDescent="0.25">
      <c r="A4513" s="1" t="str">
        <f>HYPERLINK("https://vegkart.atlas.vegvesen.no/#/@-42875.3,6731845.0,18/hva:hva%5B0%5D%5Bfilter%5D%5B0%5D%5Boperator%5D=%21%3D&amp;hva%5B0%5D%5Bfilter%5D%5B0%5D%5Btype_id%5D=4820&amp;hva%5B0%5D%5Bfilter%5D%5B0%5D%5Bverdi%5D=&amp;hva%5B0%5D%5Bid%5D=144/når:2017-08-07", "Vegkart")</f>
        <v>Vegkart</v>
      </c>
      <c r="B4513">
        <v>810396503</v>
      </c>
      <c r="C4513">
        <v>144</v>
      </c>
      <c r="D4513" t="s">
        <v>13345</v>
      </c>
      <c r="E4513">
        <v>4820</v>
      </c>
      <c r="F4513" t="s">
        <v>23479</v>
      </c>
      <c r="G4513">
        <v>1</v>
      </c>
      <c r="H4513" t="s">
        <v>6778</v>
      </c>
      <c r="J4513" t="s">
        <v>15065</v>
      </c>
      <c r="K4513" t="s">
        <v>21</v>
      </c>
      <c r="L4513" t="s">
        <v>33</v>
      </c>
      <c r="M4513" t="s">
        <v>12047</v>
      </c>
      <c r="N4513" t="s">
        <v>15093</v>
      </c>
      <c r="O4513" t="s">
        <v>15094</v>
      </c>
      <c r="P4513" s="2" t="s">
        <v>37</v>
      </c>
      <c r="Q4513" t="s">
        <v>1208</v>
      </c>
      <c r="R4513">
        <v>1.4</v>
      </c>
      <c r="S4513">
        <v>19.73</v>
      </c>
      <c r="T4513" t="s">
        <v>15095</v>
      </c>
    </row>
    <row r="4514" spans="1:20" x14ac:dyDescent="0.25">
      <c r="A4514" s="1" t="str">
        <f>HYPERLINK("https://vegkart.atlas.vegvesen.no/#/@228914.6,7040467.1,18/hva:hva%5B0%5D%5Bfilter%5D%5B0%5D%5Boperator%5D=%21%3D&amp;hva%5B0%5D%5Bfilter%5D%5B0%5D%5Btype_id%5D=4820&amp;hva%5B0%5D%5Bfilter%5D%5B0%5D%5Bverdi%5D=&amp;hva%5B0%5D%5Bid%5D=144/når:2017-08-30", "Vegkart")</f>
        <v>Vegkart</v>
      </c>
      <c r="B4514">
        <v>818808228</v>
      </c>
      <c r="C4514">
        <v>144</v>
      </c>
      <c r="D4514" t="s">
        <v>13345</v>
      </c>
      <c r="E4514">
        <v>4820</v>
      </c>
      <c r="F4514" t="s">
        <v>23479</v>
      </c>
      <c r="G4514">
        <v>1</v>
      </c>
      <c r="H4514" t="s">
        <v>5913</v>
      </c>
      <c r="J4514" t="s">
        <v>15065</v>
      </c>
      <c r="K4514" t="s">
        <v>192</v>
      </c>
      <c r="L4514" t="s">
        <v>33</v>
      </c>
      <c r="M4514" t="s">
        <v>13400</v>
      </c>
      <c r="N4514" t="s">
        <v>15096</v>
      </c>
      <c r="O4514" t="s">
        <v>15097</v>
      </c>
      <c r="P4514" s="2" t="s">
        <v>67</v>
      </c>
      <c r="Q4514" t="s">
        <v>68</v>
      </c>
      <c r="R4514">
        <v>94.6</v>
      </c>
      <c r="S4514">
        <v>94.6</v>
      </c>
      <c r="T4514" t="s">
        <v>15098</v>
      </c>
    </row>
    <row r="4515" spans="1:20" x14ac:dyDescent="0.25">
      <c r="A4515" s="1" t="str">
        <f>HYPERLINK("https://vegkart.atlas.vegvesen.no/#/@73564.4,6582849.8,18/hva:hva%5B0%5D%5Bfilter%5D%5B0%5D%5Boperator%5D=%21%3D&amp;hva%5B0%5D%5Bfilter%5D%5B0%5D%5Btype_id%5D=4820&amp;hva%5B0%5D%5Bfilter%5D%5B0%5D%5Bverdi%5D=&amp;hva%5B0%5D%5Bid%5D=144/når:2017-09-08", "Vegkart")</f>
        <v>Vegkart</v>
      </c>
      <c r="B4515">
        <v>822496740</v>
      </c>
      <c r="C4515">
        <v>144</v>
      </c>
      <c r="D4515" t="s">
        <v>13345</v>
      </c>
      <c r="E4515">
        <v>4820</v>
      </c>
      <c r="F4515" t="s">
        <v>23479</v>
      </c>
      <c r="G4515">
        <v>1</v>
      </c>
      <c r="H4515" t="s">
        <v>15099</v>
      </c>
      <c r="J4515" t="s">
        <v>15065</v>
      </c>
      <c r="K4515" t="s">
        <v>86</v>
      </c>
      <c r="L4515" t="s">
        <v>113</v>
      </c>
      <c r="M4515" t="s">
        <v>667</v>
      </c>
      <c r="N4515" t="s">
        <v>15100</v>
      </c>
      <c r="O4515" t="s">
        <v>15101</v>
      </c>
      <c r="P4515" s="2" t="s">
        <v>67</v>
      </c>
      <c r="Q4515" t="s">
        <v>68</v>
      </c>
      <c r="R4515">
        <v>149.59</v>
      </c>
      <c r="S4515">
        <v>150.76</v>
      </c>
      <c r="T4515" t="s">
        <v>15102</v>
      </c>
    </row>
    <row r="4516" spans="1:20" x14ac:dyDescent="0.25">
      <c r="A4516" s="1" t="str">
        <f>HYPERLINK("https://vegkart.atlas.vegvesen.no/#/@73578.8,6583079.7,18/hva:hva%5B0%5D%5Bfilter%5D%5B0%5D%5Boperator%5D=%21%3D&amp;hva%5B0%5D%5Bfilter%5D%5B0%5D%5Btype_id%5D=4820&amp;hva%5B0%5D%5Bfilter%5D%5B0%5D%5Bverdi%5D=&amp;hva%5B0%5D%5Bid%5D=144/når:2017-09-08", "Vegkart")</f>
        <v>Vegkart</v>
      </c>
      <c r="B4516">
        <v>822496741</v>
      </c>
      <c r="C4516">
        <v>144</v>
      </c>
      <c r="D4516" t="s">
        <v>13345</v>
      </c>
      <c r="E4516">
        <v>4820</v>
      </c>
      <c r="F4516" t="s">
        <v>23479</v>
      </c>
      <c r="G4516">
        <v>1</v>
      </c>
      <c r="H4516" t="s">
        <v>15099</v>
      </c>
      <c r="J4516" t="s">
        <v>15065</v>
      </c>
      <c r="K4516" t="s">
        <v>86</v>
      </c>
      <c r="L4516" t="s">
        <v>113</v>
      </c>
      <c r="M4516" t="s">
        <v>667</v>
      </c>
      <c r="N4516" t="s">
        <v>15103</v>
      </c>
      <c r="O4516" t="s">
        <v>15104</v>
      </c>
      <c r="P4516" s="2" t="s">
        <v>67</v>
      </c>
      <c r="Q4516" t="s">
        <v>68</v>
      </c>
      <c r="R4516">
        <v>200.65</v>
      </c>
      <c r="S4516">
        <v>201.96</v>
      </c>
      <c r="T4516" t="s">
        <v>15105</v>
      </c>
    </row>
    <row r="4517" spans="1:20" x14ac:dyDescent="0.25">
      <c r="A4517" s="1" t="str">
        <f>HYPERLINK("https://vegkart.atlas.vegvesen.no/#/@124246.3,6799516.7,18/hva:hva%5B0%5D%5Bfilter%5D%5B0%5D%5Boperator%5D=%21%3D&amp;hva%5B0%5D%5Bfilter%5D%5B0%5D%5Btype_id%5D=4820&amp;hva%5B0%5D%5Bfilter%5D%5B0%5D%5Bverdi%5D=&amp;hva%5B0%5D%5Bid%5D=144/når:2017-10-31", "Vegkart")</f>
        <v>Vegkart</v>
      </c>
      <c r="B4517">
        <v>842555812</v>
      </c>
      <c r="C4517">
        <v>144</v>
      </c>
      <c r="D4517" t="s">
        <v>13345</v>
      </c>
      <c r="E4517">
        <v>4820</v>
      </c>
      <c r="F4517" t="s">
        <v>23479</v>
      </c>
      <c r="G4517">
        <v>1</v>
      </c>
      <c r="H4517" t="s">
        <v>15106</v>
      </c>
      <c r="J4517" t="s">
        <v>15065</v>
      </c>
      <c r="K4517" t="s">
        <v>21</v>
      </c>
      <c r="L4517" t="s">
        <v>80</v>
      </c>
      <c r="M4517" t="s">
        <v>152</v>
      </c>
      <c r="N4517" t="s">
        <v>15107</v>
      </c>
      <c r="O4517" t="s">
        <v>15108</v>
      </c>
      <c r="P4517" s="2" t="s">
        <v>67</v>
      </c>
      <c r="Q4517" t="s">
        <v>68</v>
      </c>
      <c r="R4517">
        <v>7.95</v>
      </c>
      <c r="S4517">
        <v>7.95</v>
      </c>
      <c r="T4517" t="s">
        <v>15109</v>
      </c>
    </row>
    <row r="4518" spans="1:20" x14ac:dyDescent="0.25">
      <c r="A4518" s="1" t="str">
        <f>HYPERLINK("https://vegkart.atlas.vegvesen.no/#/@124166.1,6799424.9,18/hva:hva%5B0%5D%5Bfilter%5D%5B0%5D%5Boperator%5D=%21%3D&amp;hva%5B0%5D%5Bfilter%5D%5B0%5D%5Btype_id%5D=4820&amp;hva%5B0%5D%5Bfilter%5D%5B0%5D%5Bverdi%5D=&amp;hva%5B0%5D%5Bid%5D=144/når:2017-10-31", "Vegkart")</f>
        <v>Vegkart</v>
      </c>
      <c r="B4518">
        <v>842555813</v>
      </c>
      <c r="C4518">
        <v>144</v>
      </c>
      <c r="D4518" t="s">
        <v>13345</v>
      </c>
      <c r="E4518">
        <v>4820</v>
      </c>
      <c r="F4518" t="s">
        <v>23479</v>
      </c>
      <c r="G4518">
        <v>1</v>
      </c>
      <c r="H4518" t="s">
        <v>15106</v>
      </c>
      <c r="J4518" t="s">
        <v>15065</v>
      </c>
      <c r="K4518" t="s">
        <v>21</v>
      </c>
      <c r="L4518" t="s">
        <v>80</v>
      </c>
      <c r="M4518" t="s">
        <v>152</v>
      </c>
      <c r="N4518" t="s">
        <v>15110</v>
      </c>
      <c r="O4518" t="s">
        <v>15111</v>
      </c>
      <c r="P4518" s="2" t="s">
        <v>67</v>
      </c>
      <c r="Q4518" t="s">
        <v>68</v>
      </c>
      <c r="R4518">
        <v>10.050000000000001</v>
      </c>
      <c r="S4518">
        <v>10.050000000000001</v>
      </c>
      <c r="T4518" t="s">
        <v>15112</v>
      </c>
    </row>
    <row r="4519" spans="1:20" x14ac:dyDescent="0.25">
      <c r="A4519" s="1" t="str">
        <f>HYPERLINK("https://vegkart.atlas.vegvesen.no/#/@124120.6,6799273.0,18/hva:hva%5B0%5D%5Bfilter%5D%5B0%5D%5Boperator%5D=%21%3D&amp;hva%5B0%5D%5Bfilter%5D%5B0%5D%5Btype_id%5D=4820&amp;hva%5B0%5D%5Bfilter%5D%5B0%5D%5Bverdi%5D=&amp;hva%5B0%5D%5Bid%5D=144/når:2017-10-31", "Vegkart")</f>
        <v>Vegkart</v>
      </c>
      <c r="B4519">
        <v>842555814</v>
      </c>
      <c r="C4519">
        <v>144</v>
      </c>
      <c r="D4519" t="s">
        <v>13345</v>
      </c>
      <c r="E4519">
        <v>4820</v>
      </c>
      <c r="F4519" t="s">
        <v>23479</v>
      </c>
      <c r="G4519">
        <v>1</v>
      </c>
      <c r="H4519" t="s">
        <v>15106</v>
      </c>
      <c r="J4519" t="s">
        <v>15065</v>
      </c>
      <c r="K4519" t="s">
        <v>21</v>
      </c>
      <c r="L4519" t="s">
        <v>80</v>
      </c>
      <c r="M4519" t="s">
        <v>152</v>
      </c>
      <c r="N4519" t="s">
        <v>15113</v>
      </c>
      <c r="O4519" t="s">
        <v>15114</v>
      </c>
      <c r="P4519" s="2" t="s">
        <v>67</v>
      </c>
      <c r="Q4519" t="s">
        <v>68</v>
      </c>
      <c r="R4519">
        <v>4.07</v>
      </c>
      <c r="S4519">
        <v>4.07</v>
      </c>
      <c r="T4519" t="s">
        <v>15115</v>
      </c>
    </row>
    <row r="4520" spans="1:20" x14ac:dyDescent="0.25">
      <c r="A4520" s="1" t="str">
        <f>HYPERLINK("https://vegkart.atlas.vegvesen.no/#/@125159.9,6801266.2,18/hva:hva%5B0%5D%5Bfilter%5D%5B0%5D%5Boperator%5D=%21%3D&amp;hva%5B0%5D%5Bfilter%5D%5B0%5D%5Btype_id%5D=4820&amp;hva%5B0%5D%5Bfilter%5D%5B0%5D%5Bverdi%5D=&amp;hva%5B0%5D%5Bid%5D=144/når:2017-10-31", "Vegkart")</f>
        <v>Vegkart</v>
      </c>
      <c r="B4520">
        <v>842555815</v>
      </c>
      <c r="C4520">
        <v>144</v>
      </c>
      <c r="D4520" t="s">
        <v>13345</v>
      </c>
      <c r="E4520">
        <v>4820</v>
      </c>
      <c r="F4520" t="s">
        <v>23479</v>
      </c>
      <c r="G4520">
        <v>1</v>
      </c>
      <c r="H4520" t="s">
        <v>15106</v>
      </c>
      <c r="J4520" t="s">
        <v>15065</v>
      </c>
      <c r="K4520" t="s">
        <v>21</v>
      </c>
      <c r="L4520" t="s">
        <v>80</v>
      </c>
      <c r="M4520" t="s">
        <v>152</v>
      </c>
      <c r="N4520" t="s">
        <v>15116</v>
      </c>
      <c r="O4520" t="s">
        <v>15117</v>
      </c>
      <c r="P4520" s="2" t="s">
        <v>67</v>
      </c>
      <c r="Q4520" t="s">
        <v>68</v>
      </c>
      <c r="R4520">
        <v>11.76</v>
      </c>
      <c r="S4520">
        <v>11.76</v>
      </c>
      <c r="T4520" t="s">
        <v>15118</v>
      </c>
    </row>
    <row r="4521" spans="1:20" x14ac:dyDescent="0.25">
      <c r="A4521" s="1" t="str">
        <f>HYPERLINK("https://vegkart.atlas.vegvesen.no/#/@124921.7,6800372.8,18/hva:hva%5B0%5D%5Bfilter%5D%5B0%5D%5Boperator%5D=%21%3D&amp;hva%5B0%5D%5Bfilter%5D%5B0%5D%5Btype_id%5D=4820&amp;hva%5B0%5D%5Bfilter%5D%5B0%5D%5Bverdi%5D=&amp;hva%5B0%5D%5Bid%5D=144/når:2017-10-31", "Vegkart")</f>
        <v>Vegkart</v>
      </c>
      <c r="B4521">
        <v>842555816</v>
      </c>
      <c r="C4521">
        <v>144</v>
      </c>
      <c r="D4521" t="s">
        <v>13345</v>
      </c>
      <c r="E4521">
        <v>4820</v>
      </c>
      <c r="F4521" t="s">
        <v>23479</v>
      </c>
      <c r="G4521">
        <v>1</v>
      </c>
      <c r="H4521" t="s">
        <v>15106</v>
      </c>
      <c r="J4521" t="s">
        <v>15065</v>
      </c>
      <c r="K4521" t="s">
        <v>21</v>
      </c>
      <c r="L4521" t="s">
        <v>80</v>
      </c>
      <c r="M4521" t="s">
        <v>152</v>
      </c>
      <c r="N4521" t="s">
        <v>15119</v>
      </c>
      <c r="O4521" t="s">
        <v>15120</v>
      </c>
      <c r="P4521" s="2" t="s">
        <v>67</v>
      </c>
      <c r="Q4521" t="s">
        <v>68</v>
      </c>
      <c r="R4521">
        <v>3.32</v>
      </c>
      <c r="S4521">
        <v>3.32</v>
      </c>
      <c r="T4521" t="s">
        <v>15121</v>
      </c>
    </row>
    <row r="4522" spans="1:20" x14ac:dyDescent="0.25">
      <c r="A4522" s="1" t="str">
        <f>HYPERLINK("https://vegkart.atlas.vegvesen.no/#/@123986.1,6798824.8,18/hva:hva%5B0%5D%5Bfilter%5D%5B0%5D%5Boperator%5D=%21%3D&amp;hva%5B0%5D%5Bfilter%5D%5B0%5D%5Btype_id%5D=4820&amp;hva%5B0%5D%5Bfilter%5D%5B0%5D%5Bverdi%5D=&amp;hva%5B0%5D%5Bid%5D=144/når:2017-10-31", "Vegkart")</f>
        <v>Vegkart</v>
      </c>
      <c r="B4522">
        <v>842555828</v>
      </c>
      <c r="C4522">
        <v>144</v>
      </c>
      <c r="D4522" t="s">
        <v>13345</v>
      </c>
      <c r="E4522">
        <v>4820</v>
      </c>
      <c r="F4522" t="s">
        <v>23479</v>
      </c>
      <c r="G4522">
        <v>1</v>
      </c>
      <c r="H4522" t="s">
        <v>15106</v>
      </c>
      <c r="J4522" t="s">
        <v>15065</v>
      </c>
      <c r="K4522" t="s">
        <v>21</v>
      </c>
      <c r="L4522" t="s">
        <v>80</v>
      </c>
      <c r="M4522" t="s">
        <v>152</v>
      </c>
      <c r="N4522" t="s">
        <v>15122</v>
      </c>
      <c r="O4522" t="s">
        <v>15123</v>
      </c>
      <c r="P4522" s="2" t="s">
        <v>67</v>
      </c>
      <c r="Q4522" t="s">
        <v>68</v>
      </c>
      <c r="R4522">
        <v>11</v>
      </c>
      <c r="S4522">
        <v>11.05</v>
      </c>
      <c r="T4522" t="s">
        <v>15124</v>
      </c>
    </row>
    <row r="4523" spans="1:20" x14ac:dyDescent="0.25">
      <c r="A4523" s="1" t="str">
        <f>HYPERLINK("https://vegkart.atlas.vegvesen.no/#/@123965.6,6798782.8,18/hva:hva%5B0%5D%5Bfilter%5D%5B0%5D%5Boperator%5D=%21%3D&amp;hva%5B0%5D%5Bfilter%5D%5B0%5D%5Btype_id%5D=4820&amp;hva%5B0%5D%5Bfilter%5D%5B0%5D%5Bverdi%5D=&amp;hva%5B0%5D%5Bid%5D=144/når:2017-10-31", "Vegkart")</f>
        <v>Vegkart</v>
      </c>
      <c r="B4523">
        <v>842555829</v>
      </c>
      <c r="C4523">
        <v>144</v>
      </c>
      <c r="D4523" t="s">
        <v>13345</v>
      </c>
      <c r="E4523">
        <v>4820</v>
      </c>
      <c r="F4523" t="s">
        <v>23479</v>
      </c>
      <c r="G4523">
        <v>1</v>
      </c>
      <c r="H4523" t="s">
        <v>15106</v>
      </c>
      <c r="J4523" t="s">
        <v>15065</v>
      </c>
      <c r="K4523" t="s">
        <v>21</v>
      </c>
      <c r="L4523" t="s">
        <v>80</v>
      </c>
      <c r="M4523" t="s">
        <v>152</v>
      </c>
      <c r="N4523" t="s">
        <v>15125</v>
      </c>
      <c r="O4523" t="s">
        <v>15126</v>
      </c>
      <c r="P4523" s="2" t="s">
        <v>67</v>
      </c>
      <c r="Q4523" t="s">
        <v>68</v>
      </c>
      <c r="R4523">
        <v>8.65</v>
      </c>
      <c r="S4523">
        <v>8.69</v>
      </c>
      <c r="T4523" t="s">
        <v>15127</v>
      </c>
    </row>
    <row r="4524" spans="1:20" x14ac:dyDescent="0.25">
      <c r="A4524" s="1" t="str">
        <f>HYPERLINK("https://vegkart.atlas.vegvesen.no/#/@123943.4,6798734.6,18/hva:hva%5B0%5D%5Bfilter%5D%5B0%5D%5Boperator%5D=%21%3D&amp;hva%5B0%5D%5Bfilter%5D%5B0%5D%5Btype_id%5D=4820&amp;hva%5B0%5D%5Bfilter%5D%5B0%5D%5Bverdi%5D=&amp;hva%5B0%5D%5Bid%5D=144/når:2017-10-31", "Vegkart")</f>
        <v>Vegkart</v>
      </c>
      <c r="B4524">
        <v>842555830</v>
      </c>
      <c r="C4524">
        <v>144</v>
      </c>
      <c r="D4524" t="s">
        <v>13345</v>
      </c>
      <c r="E4524">
        <v>4820</v>
      </c>
      <c r="F4524" t="s">
        <v>23479</v>
      </c>
      <c r="G4524">
        <v>1</v>
      </c>
      <c r="H4524" t="s">
        <v>15106</v>
      </c>
      <c r="J4524" t="s">
        <v>15065</v>
      </c>
      <c r="K4524" t="s">
        <v>21</v>
      </c>
      <c r="L4524" t="s">
        <v>80</v>
      </c>
      <c r="M4524" t="s">
        <v>152</v>
      </c>
      <c r="N4524" t="s">
        <v>15128</v>
      </c>
      <c r="O4524" t="s">
        <v>15129</v>
      </c>
      <c r="P4524" s="2" t="s">
        <v>67</v>
      </c>
      <c r="Q4524" t="s">
        <v>68</v>
      </c>
      <c r="R4524">
        <v>8.99</v>
      </c>
      <c r="S4524">
        <v>9.5299999999999994</v>
      </c>
      <c r="T4524" t="s">
        <v>15130</v>
      </c>
    </row>
    <row r="4525" spans="1:20" x14ac:dyDescent="0.25">
      <c r="A4525" s="1" t="str">
        <f>HYPERLINK("https://vegkart.atlas.vegvesen.no/#/@417951.7,7300990.0,18/hva:hva%5B0%5D%5Bfilter%5D%5B0%5D%5Boperator%5D=%21%3D&amp;hva%5B0%5D%5Bfilter%5D%5B0%5D%5Btype_id%5D=4820&amp;hva%5B0%5D%5Bfilter%5D%5B0%5D%5Bverdi%5D=&amp;hva%5B0%5D%5Bid%5D=144/når:2017-06-28", "Vegkart")</f>
        <v>Vegkart</v>
      </c>
      <c r="B4525">
        <v>842845827</v>
      </c>
      <c r="C4525">
        <v>144</v>
      </c>
      <c r="D4525" t="s">
        <v>13345</v>
      </c>
      <c r="E4525">
        <v>4820</v>
      </c>
      <c r="F4525" t="s">
        <v>23479</v>
      </c>
      <c r="G4525">
        <v>1</v>
      </c>
      <c r="H4525" t="s">
        <v>1493</v>
      </c>
      <c r="J4525" t="s">
        <v>15065</v>
      </c>
      <c r="K4525" t="s">
        <v>53</v>
      </c>
      <c r="L4525" t="s">
        <v>33</v>
      </c>
      <c r="M4525" t="s">
        <v>15131</v>
      </c>
      <c r="N4525" t="s">
        <v>15132</v>
      </c>
      <c r="O4525" t="s">
        <v>15133</v>
      </c>
      <c r="P4525" s="2" t="s">
        <v>67</v>
      </c>
      <c r="Q4525" t="s">
        <v>68</v>
      </c>
      <c r="R4525">
        <v>13.07</v>
      </c>
      <c r="S4525">
        <v>13.31</v>
      </c>
      <c r="T4525" t="s">
        <v>15134</v>
      </c>
    </row>
    <row r="4526" spans="1:20" x14ac:dyDescent="0.25">
      <c r="A4526" s="1" t="str">
        <f>HYPERLINK("https://vegkart.atlas.vegvesen.no/#/@417954.7,7300971.4,18/hva:hva%5B0%5D%5Bfilter%5D%5B0%5D%5Boperator%5D=%21%3D&amp;hva%5B0%5D%5Bfilter%5D%5B0%5D%5Btype_id%5D=4820&amp;hva%5B0%5D%5Bfilter%5D%5B0%5D%5Bverdi%5D=&amp;hva%5B0%5D%5Bid%5D=144/når:2017-06-28", "Vegkart")</f>
        <v>Vegkart</v>
      </c>
      <c r="B4526">
        <v>842845828</v>
      </c>
      <c r="C4526">
        <v>144</v>
      </c>
      <c r="D4526" t="s">
        <v>13345</v>
      </c>
      <c r="E4526">
        <v>4820</v>
      </c>
      <c r="F4526" t="s">
        <v>23479</v>
      </c>
      <c r="G4526">
        <v>1</v>
      </c>
      <c r="H4526" t="s">
        <v>1493</v>
      </c>
      <c r="J4526" t="s">
        <v>15065</v>
      </c>
      <c r="K4526" t="s">
        <v>53</v>
      </c>
      <c r="L4526" t="s">
        <v>33</v>
      </c>
      <c r="M4526" t="s">
        <v>15131</v>
      </c>
      <c r="N4526" t="s">
        <v>15135</v>
      </c>
      <c r="O4526" t="s">
        <v>15136</v>
      </c>
      <c r="P4526" s="2" t="s">
        <v>37</v>
      </c>
      <c r="Q4526" t="s">
        <v>1208</v>
      </c>
      <c r="R4526">
        <v>10.49</v>
      </c>
      <c r="S4526">
        <v>11.33</v>
      </c>
      <c r="T4526" t="s">
        <v>15137</v>
      </c>
    </row>
    <row r="4527" spans="1:20" x14ac:dyDescent="0.25">
      <c r="A4527" s="1" t="str">
        <f>HYPERLINK("https://vegkart.atlas.vegvesen.no/#/@173544.8,6743930.1,18/hva:hva%5B0%5D%5Bfilter%5D%5B0%5D%5Boperator%5D=%21%3D&amp;hva%5B0%5D%5Bfilter%5D%5B0%5D%5Btype_id%5D=4820&amp;hva%5B0%5D%5Bfilter%5D%5B0%5D%5Bverdi%5D=&amp;hva%5B0%5D%5Bid%5D=144/når:2017-11-08", "Vegkart")</f>
        <v>Vegkart</v>
      </c>
      <c r="B4527">
        <v>843271358</v>
      </c>
      <c r="C4527">
        <v>144</v>
      </c>
      <c r="D4527" t="s">
        <v>13345</v>
      </c>
      <c r="E4527">
        <v>4820</v>
      </c>
      <c r="F4527" t="s">
        <v>23479</v>
      </c>
      <c r="G4527">
        <v>1</v>
      </c>
      <c r="H4527" t="s">
        <v>15138</v>
      </c>
      <c r="J4527" t="s">
        <v>15065</v>
      </c>
      <c r="K4527" t="s">
        <v>307</v>
      </c>
      <c r="L4527" t="s">
        <v>113</v>
      </c>
      <c r="M4527" t="s">
        <v>308</v>
      </c>
      <c r="N4527" t="s">
        <v>15139</v>
      </c>
      <c r="O4527" t="s">
        <v>15140</v>
      </c>
      <c r="P4527" s="2" t="s">
        <v>67</v>
      </c>
      <c r="Q4527" t="s">
        <v>68</v>
      </c>
      <c r="R4527">
        <v>34.54</v>
      </c>
      <c r="S4527">
        <v>34.71</v>
      </c>
      <c r="T4527" t="s">
        <v>15141</v>
      </c>
    </row>
    <row r="4528" spans="1:20" x14ac:dyDescent="0.25">
      <c r="A4528" s="1" t="str">
        <f>HYPERLINK("https://vegkart.atlas.vegvesen.no/#/@184676.7,6959496.6,18/hva:hva%5B0%5D%5Bfilter%5D%5B0%5D%5Boperator%5D=%21%3D&amp;hva%5B0%5D%5Bfilter%5D%5B0%5D%5Btype_id%5D=4820&amp;hva%5B0%5D%5Bfilter%5D%5B0%5D%5Bverdi%5D=&amp;hva%5B0%5D%5Bid%5D=144/når:2017-11-13", "Vegkart")</f>
        <v>Vegkart</v>
      </c>
      <c r="B4528">
        <v>843647538</v>
      </c>
      <c r="C4528">
        <v>144</v>
      </c>
      <c r="D4528" t="s">
        <v>13345</v>
      </c>
      <c r="E4528">
        <v>4820</v>
      </c>
      <c r="F4528" t="s">
        <v>23479</v>
      </c>
      <c r="G4528">
        <v>1</v>
      </c>
      <c r="H4528" t="s">
        <v>15142</v>
      </c>
      <c r="J4528" t="s">
        <v>15065</v>
      </c>
      <c r="K4528" t="s">
        <v>32</v>
      </c>
      <c r="L4528" t="s">
        <v>33</v>
      </c>
      <c r="M4528" t="s">
        <v>12001</v>
      </c>
      <c r="N4528" t="s">
        <v>15143</v>
      </c>
      <c r="O4528" t="s">
        <v>15144</v>
      </c>
      <c r="P4528" s="2" t="s">
        <v>165</v>
      </c>
      <c r="Q4528" t="s">
        <v>641</v>
      </c>
      <c r="R4528">
        <v>17.45</v>
      </c>
      <c r="S4528">
        <v>86.28</v>
      </c>
      <c r="T4528" t="s">
        <v>167</v>
      </c>
    </row>
    <row r="4529" spans="1:20" x14ac:dyDescent="0.25">
      <c r="A4529" s="1" t="str">
        <f>HYPERLINK("https://vegkart.atlas.vegvesen.no/#/@518813.5,7454815.9,18/hva:hva%5B0%5D%5Bfilter%5D%5B0%5D%5Boperator%5D=%21%3D&amp;hva%5B0%5D%5Bfilter%5D%5B0%5D%5Btype_id%5D=4820&amp;hva%5B0%5D%5Bfilter%5D%5B0%5D%5Bverdi%5D=&amp;hva%5B0%5D%5Bid%5D=144/når:2022-03-18", "Vegkart")</f>
        <v>Vegkart</v>
      </c>
      <c r="B4529">
        <v>843805111</v>
      </c>
      <c r="C4529">
        <v>144</v>
      </c>
      <c r="D4529" t="s">
        <v>13345</v>
      </c>
      <c r="E4529">
        <v>4820</v>
      </c>
      <c r="F4529" t="s">
        <v>23479</v>
      </c>
      <c r="G4529">
        <v>2</v>
      </c>
      <c r="H4529" t="s">
        <v>15145</v>
      </c>
      <c r="J4529" t="s">
        <v>15065</v>
      </c>
      <c r="K4529" t="s">
        <v>53</v>
      </c>
      <c r="L4529" t="s">
        <v>80</v>
      </c>
      <c r="M4529" t="s">
        <v>105</v>
      </c>
      <c r="N4529" t="s">
        <v>15146</v>
      </c>
      <c r="O4529" t="s">
        <v>15147</v>
      </c>
      <c r="P4529" s="2" t="s">
        <v>67</v>
      </c>
      <c r="Q4529" t="s">
        <v>68</v>
      </c>
      <c r="R4529">
        <v>71.05</v>
      </c>
      <c r="S4529">
        <v>76.08</v>
      </c>
      <c r="T4529" t="s">
        <v>15148</v>
      </c>
    </row>
    <row r="4530" spans="1:20" x14ac:dyDescent="0.25">
      <c r="A4530" s="1" t="str">
        <f>HYPERLINK("https://vegkart.atlas.vegvesen.no/#/@658183.6,7738283.0,18/hva:hva%5B0%5D%5Bfilter%5D%5B0%5D%5Boperator%5D=%21%3D&amp;hva%5B0%5D%5Bfilter%5D%5B0%5D%5Btype_id%5D=4820&amp;hva%5B0%5D%5Bfilter%5D%5B0%5D%5Bverdi%5D=&amp;hva%5B0%5D%5Bid%5D=144/når:2017-11-02", "Vegkart")</f>
        <v>Vegkart</v>
      </c>
      <c r="B4530">
        <v>843959310</v>
      </c>
      <c r="C4530">
        <v>144</v>
      </c>
      <c r="D4530" t="s">
        <v>13345</v>
      </c>
      <c r="E4530">
        <v>4820</v>
      </c>
      <c r="F4530" t="s">
        <v>23479</v>
      </c>
      <c r="G4530">
        <v>1</v>
      </c>
      <c r="H4530" t="s">
        <v>6809</v>
      </c>
      <c r="J4530" t="s">
        <v>15065</v>
      </c>
      <c r="K4530" t="s">
        <v>179</v>
      </c>
      <c r="L4530" t="s">
        <v>6817</v>
      </c>
      <c r="M4530" t="s">
        <v>6847</v>
      </c>
      <c r="N4530" t="s">
        <v>15149</v>
      </c>
      <c r="O4530" t="s">
        <v>15150</v>
      </c>
      <c r="P4530" s="2" t="s">
        <v>67</v>
      </c>
      <c r="Q4530" t="s">
        <v>68</v>
      </c>
      <c r="R4530">
        <v>138.01</v>
      </c>
      <c r="S4530">
        <v>138.05000000000001</v>
      </c>
      <c r="T4530" t="s">
        <v>15151</v>
      </c>
    </row>
    <row r="4531" spans="1:20" x14ac:dyDescent="0.25">
      <c r="A4531" s="1" t="str">
        <f>HYPERLINK("https://vegkart.atlas.vegvesen.no/#/@658206.3,7738383.2,18/hva:hva%5B0%5D%5Bfilter%5D%5B0%5D%5Boperator%5D=%21%3D&amp;hva%5B0%5D%5Bfilter%5D%5B0%5D%5Btype_id%5D=4820&amp;hva%5B0%5D%5Bfilter%5D%5B0%5D%5Bverdi%5D=&amp;hva%5B0%5D%5Bid%5D=144/når:2017-11-02", "Vegkart")</f>
        <v>Vegkart</v>
      </c>
      <c r="B4531">
        <v>843959311</v>
      </c>
      <c r="C4531">
        <v>144</v>
      </c>
      <c r="D4531" t="s">
        <v>13345</v>
      </c>
      <c r="E4531">
        <v>4820</v>
      </c>
      <c r="F4531" t="s">
        <v>23479</v>
      </c>
      <c r="G4531">
        <v>1</v>
      </c>
      <c r="H4531" t="s">
        <v>6809</v>
      </c>
      <c r="J4531" t="s">
        <v>15065</v>
      </c>
      <c r="K4531" t="s">
        <v>179</v>
      </c>
      <c r="L4531" t="s">
        <v>33</v>
      </c>
      <c r="M4531" t="s">
        <v>6810</v>
      </c>
      <c r="N4531" t="s">
        <v>15152</v>
      </c>
      <c r="O4531" t="s">
        <v>15153</v>
      </c>
      <c r="P4531" s="2" t="s">
        <v>67</v>
      </c>
      <c r="Q4531" t="s">
        <v>68</v>
      </c>
      <c r="R4531">
        <v>27.24</v>
      </c>
      <c r="S4531">
        <v>27.24</v>
      </c>
      <c r="T4531" t="s">
        <v>15154</v>
      </c>
    </row>
    <row r="4532" spans="1:20" x14ac:dyDescent="0.25">
      <c r="A4532" s="1" t="str">
        <f>HYPERLINK("https://vegkart.atlas.vegvesen.no/#/@658213.4,7738419.0,18/hva:hva%5B0%5D%5Bfilter%5D%5B0%5D%5Boperator%5D=%21%3D&amp;hva%5B0%5D%5Bfilter%5D%5B0%5D%5Btype_id%5D=4820&amp;hva%5B0%5D%5Bfilter%5D%5B0%5D%5Bverdi%5D=&amp;hva%5B0%5D%5Bid%5D=144/når:2017-11-02", "Vegkart")</f>
        <v>Vegkart</v>
      </c>
      <c r="B4532">
        <v>843959312</v>
      </c>
      <c r="C4532">
        <v>144</v>
      </c>
      <c r="D4532" t="s">
        <v>13345</v>
      </c>
      <c r="E4532">
        <v>4820</v>
      </c>
      <c r="F4532" t="s">
        <v>23479</v>
      </c>
      <c r="G4532">
        <v>1</v>
      </c>
      <c r="H4532" t="s">
        <v>6809</v>
      </c>
      <c r="J4532" t="s">
        <v>15065</v>
      </c>
      <c r="K4532" t="s">
        <v>179</v>
      </c>
      <c r="L4532" t="s">
        <v>33</v>
      </c>
      <c r="M4532" t="s">
        <v>6810</v>
      </c>
      <c r="N4532" t="s">
        <v>15155</v>
      </c>
      <c r="O4532" t="s">
        <v>15156</v>
      </c>
      <c r="P4532" s="2" t="s">
        <v>67</v>
      </c>
      <c r="Q4532" t="s">
        <v>68</v>
      </c>
      <c r="R4532">
        <v>32.61</v>
      </c>
      <c r="S4532">
        <v>32.61</v>
      </c>
      <c r="T4532" t="s">
        <v>15157</v>
      </c>
    </row>
    <row r="4533" spans="1:20" x14ac:dyDescent="0.25">
      <c r="A4533" s="1" t="str">
        <f>HYPERLINK("https://vegkart.atlas.vegvesen.no/#/@226697.8,6569534.7,18/hva:hva%5B0%5D%5Bfilter%5D%5B0%5D%5Boperator%5D=%21%3D&amp;hva%5B0%5D%5Bfilter%5D%5B0%5D%5Btype_id%5D=4820&amp;hva%5B0%5D%5Bfilter%5D%5B0%5D%5Bverdi%5D=&amp;hva%5B0%5D%5Bid%5D=144/når:2017-10-09", "Vegkart")</f>
        <v>Vegkart</v>
      </c>
      <c r="B4533">
        <v>845330753</v>
      </c>
      <c r="C4533">
        <v>144</v>
      </c>
      <c r="D4533" t="s">
        <v>13345</v>
      </c>
      <c r="E4533">
        <v>4820</v>
      </c>
      <c r="F4533" t="s">
        <v>23479</v>
      </c>
      <c r="G4533">
        <v>1</v>
      </c>
      <c r="H4533" t="s">
        <v>15158</v>
      </c>
      <c r="J4533" t="s">
        <v>15159</v>
      </c>
      <c r="K4533" t="s">
        <v>81</v>
      </c>
      <c r="L4533" t="s">
        <v>80</v>
      </c>
      <c r="M4533" t="s">
        <v>53</v>
      </c>
      <c r="N4533" t="s">
        <v>15160</v>
      </c>
      <c r="O4533" t="s">
        <v>15161</v>
      </c>
      <c r="P4533" s="2" t="s">
        <v>67</v>
      </c>
      <c r="Q4533" t="s">
        <v>68</v>
      </c>
      <c r="R4533">
        <v>230.96</v>
      </c>
      <c r="S4533">
        <v>233.13</v>
      </c>
      <c r="T4533" t="s">
        <v>15162</v>
      </c>
    </row>
    <row r="4534" spans="1:20" x14ac:dyDescent="0.25">
      <c r="A4534" s="1" t="str">
        <f>HYPERLINK("https://vegkart.atlas.vegvesen.no/#/@226802.9,6569537.4,18/hva:hva%5B0%5D%5Bfilter%5D%5B0%5D%5Boperator%5D=%21%3D&amp;hva%5B0%5D%5Bfilter%5D%5B0%5D%5Btype_id%5D=4820&amp;hva%5B0%5D%5Bfilter%5D%5B0%5D%5Bverdi%5D=&amp;hva%5B0%5D%5Bid%5D=144/når:2017-10-09", "Vegkart")</f>
        <v>Vegkart</v>
      </c>
      <c r="B4534">
        <v>845330754</v>
      </c>
      <c r="C4534">
        <v>144</v>
      </c>
      <c r="D4534" t="s">
        <v>13345</v>
      </c>
      <c r="E4534">
        <v>4820</v>
      </c>
      <c r="F4534" t="s">
        <v>23479</v>
      </c>
      <c r="G4534">
        <v>1</v>
      </c>
      <c r="H4534" t="s">
        <v>15158</v>
      </c>
      <c r="J4534" t="s">
        <v>15159</v>
      </c>
      <c r="K4534" t="s">
        <v>81</v>
      </c>
      <c r="L4534" t="s">
        <v>80</v>
      </c>
      <c r="M4534" t="s">
        <v>53</v>
      </c>
      <c r="N4534" t="s">
        <v>15163</v>
      </c>
      <c r="O4534" t="s">
        <v>15164</v>
      </c>
      <c r="P4534" s="2" t="s">
        <v>67</v>
      </c>
      <c r="Q4534" t="s">
        <v>68</v>
      </c>
      <c r="R4534">
        <v>32.08</v>
      </c>
      <c r="S4534">
        <v>35.159999999999997</v>
      </c>
      <c r="T4534" t="s">
        <v>15165</v>
      </c>
    </row>
    <row r="4535" spans="1:20" x14ac:dyDescent="0.25">
      <c r="A4535" s="1" t="str">
        <f>HYPERLINK("https://vegkart.atlas.vegvesen.no/#/@128793.6,6594179.5,18/hva:hva%5B0%5D%5Bfilter%5D%5B0%5D%5Boperator%5D=%21%3D&amp;hva%5B0%5D%5Bfilter%5D%5B0%5D%5Btype_id%5D=4820&amp;hva%5B0%5D%5Bfilter%5D%5B0%5D%5Bverdi%5D=&amp;hva%5B0%5D%5Bid%5D=144/når:2022-07-13", "Vegkart")</f>
        <v>Vegkart</v>
      </c>
      <c r="B4535">
        <v>845614558</v>
      </c>
      <c r="C4535">
        <v>144</v>
      </c>
      <c r="D4535" t="s">
        <v>13345</v>
      </c>
      <c r="E4535">
        <v>4820</v>
      </c>
      <c r="F4535" t="s">
        <v>23479</v>
      </c>
      <c r="G4535">
        <v>2</v>
      </c>
      <c r="H4535" t="s">
        <v>2139</v>
      </c>
      <c r="J4535" t="s">
        <v>15159</v>
      </c>
      <c r="K4535" t="s">
        <v>197</v>
      </c>
      <c r="L4535" t="s">
        <v>33</v>
      </c>
      <c r="M4535" t="s">
        <v>499</v>
      </c>
      <c r="N4535" t="s">
        <v>15166</v>
      </c>
      <c r="O4535" t="s">
        <v>15167</v>
      </c>
      <c r="P4535" s="2" t="s">
        <v>67</v>
      </c>
      <c r="Q4535" t="s">
        <v>68</v>
      </c>
      <c r="R4535">
        <v>4.45</v>
      </c>
      <c r="S4535">
        <v>4.45</v>
      </c>
      <c r="T4535" t="s">
        <v>15168</v>
      </c>
    </row>
    <row r="4536" spans="1:20" x14ac:dyDescent="0.25">
      <c r="A4536" s="1" t="str">
        <f>HYPERLINK("https://vegkart.atlas.vegvesen.no/#/@129148.1,6594307.8,18/hva:hva%5B0%5D%5Bfilter%5D%5B0%5D%5Boperator%5D=%21%3D&amp;hva%5B0%5D%5Bfilter%5D%5B0%5D%5Btype_id%5D=4820&amp;hva%5B0%5D%5Bfilter%5D%5B0%5D%5Bverdi%5D=&amp;hva%5B0%5D%5Bid%5D=144/når:2022-07-13", "Vegkart")</f>
        <v>Vegkart</v>
      </c>
      <c r="B4536">
        <v>845614559</v>
      </c>
      <c r="C4536">
        <v>144</v>
      </c>
      <c r="D4536" t="s">
        <v>13345</v>
      </c>
      <c r="E4536">
        <v>4820</v>
      </c>
      <c r="F4536" t="s">
        <v>23479</v>
      </c>
      <c r="G4536">
        <v>2</v>
      </c>
      <c r="H4536" t="s">
        <v>2139</v>
      </c>
      <c r="J4536" t="s">
        <v>15159</v>
      </c>
      <c r="K4536" t="s">
        <v>197</v>
      </c>
      <c r="L4536" t="s">
        <v>33</v>
      </c>
      <c r="M4536" t="s">
        <v>499</v>
      </c>
      <c r="N4536" t="s">
        <v>15169</v>
      </c>
      <c r="O4536" t="s">
        <v>15170</v>
      </c>
      <c r="P4536" s="2" t="s">
        <v>67</v>
      </c>
      <c r="Q4536" t="s">
        <v>68</v>
      </c>
      <c r="R4536">
        <v>5.65</v>
      </c>
      <c r="S4536">
        <v>5.65</v>
      </c>
      <c r="T4536" t="s">
        <v>15171</v>
      </c>
    </row>
    <row r="4537" spans="1:20" x14ac:dyDescent="0.25">
      <c r="A4537" s="1" t="str">
        <f>HYPERLINK("https://vegkart.atlas.vegvesen.no/#/@129326.0,6594354.4,18/hva:hva%5B0%5D%5Bfilter%5D%5B0%5D%5Boperator%5D=%21%3D&amp;hva%5B0%5D%5Bfilter%5D%5B0%5D%5Btype_id%5D=4820&amp;hva%5B0%5D%5Bfilter%5D%5B0%5D%5Bverdi%5D=&amp;hva%5B0%5D%5Bid%5D=144/når:2022-07-13", "Vegkart")</f>
        <v>Vegkart</v>
      </c>
      <c r="B4537">
        <v>845614560</v>
      </c>
      <c r="C4537">
        <v>144</v>
      </c>
      <c r="D4537" t="s">
        <v>13345</v>
      </c>
      <c r="E4537">
        <v>4820</v>
      </c>
      <c r="F4537" t="s">
        <v>23479</v>
      </c>
      <c r="G4537">
        <v>2</v>
      </c>
      <c r="H4537" t="s">
        <v>2139</v>
      </c>
      <c r="J4537" t="s">
        <v>15159</v>
      </c>
      <c r="K4537" t="s">
        <v>197</v>
      </c>
      <c r="L4537" t="s">
        <v>33</v>
      </c>
      <c r="M4537" t="s">
        <v>499</v>
      </c>
      <c r="N4537" t="s">
        <v>15172</v>
      </c>
      <c r="O4537" t="s">
        <v>15173</v>
      </c>
      <c r="P4537" s="2" t="s">
        <v>67</v>
      </c>
      <c r="Q4537" t="s">
        <v>68</v>
      </c>
      <c r="R4537">
        <v>10.75</v>
      </c>
      <c r="S4537">
        <v>10.75</v>
      </c>
      <c r="T4537" t="s">
        <v>15174</v>
      </c>
    </row>
    <row r="4538" spans="1:20" x14ac:dyDescent="0.25">
      <c r="A4538" s="1" t="str">
        <f>HYPERLINK("https://vegkart.atlas.vegvesen.no/#/@286004.6,7082825.9,18/hva:hva%5B0%5D%5Bfilter%5D%5B0%5D%5Boperator%5D=%21%3D&amp;hva%5B0%5D%5Bfilter%5D%5B0%5D%5Btype_id%5D=4820&amp;hva%5B0%5D%5Bfilter%5D%5B0%5D%5Bverdi%5D=&amp;hva%5B0%5D%5Bid%5D=144/når:2018-01-17", "Vegkart")</f>
        <v>Vegkart</v>
      </c>
      <c r="B4538">
        <v>845986476</v>
      </c>
      <c r="C4538">
        <v>144</v>
      </c>
      <c r="D4538" t="s">
        <v>13345</v>
      </c>
      <c r="E4538">
        <v>4820</v>
      </c>
      <c r="F4538" t="s">
        <v>23479</v>
      </c>
      <c r="G4538">
        <v>1</v>
      </c>
      <c r="H4538" t="s">
        <v>15175</v>
      </c>
      <c r="J4538" t="s">
        <v>15159</v>
      </c>
      <c r="K4538" t="s">
        <v>192</v>
      </c>
      <c r="L4538" t="s">
        <v>33</v>
      </c>
      <c r="M4538" t="s">
        <v>15176</v>
      </c>
      <c r="N4538" t="s">
        <v>15177</v>
      </c>
      <c r="O4538" t="s">
        <v>15178</v>
      </c>
      <c r="P4538" s="2" t="s">
        <v>67</v>
      </c>
      <c r="Q4538" t="s">
        <v>68</v>
      </c>
      <c r="R4538">
        <v>37.68</v>
      </c>
      <c r="S4538">
        <v>37.83</v>
      </c>
      <c r="T4538" t="s">
        <v>15179</v>
      </c>
    </row>
    <row r="4539" spans="1:20" x14ac:dyDescent="0.25">
      <c r="A4539" s="1" t="str">
        <f>HYPERLINK("https://vegkart.atlas.vegvesen.no/#/@289483.1,7083223.8,18/hva:hva%5B0%5D%5Bfilter%5D%5B0%5D%5Boperator%5D=%21%3D&amp;hva%5B0%5D%5Bfilter%5D%5B0%5D%5Btype_id%5D=4820&amp;hva%5B0%5D%5Bfilter%5D%5B0%5D%5Bverdi%5D=&amp;hva%5B0%5D%5Bid%5D=144/når:2018-01-17", "Vegkart")</f>
        <v>Vegkart</v>
      </c>
      <c r="B4539">
        <v>845986477</v>
      </c>
      <c r="C4539">
        <v>144</v>
      </c>
      <c r="D4539" t="s">
        <v>13345</v>
      </c>
      <c r="E4539">
        <v>4820</v>
      </c>
      <c r="F4539" t="s">
        <v>23479</v>
      </c>
      <c r="G4539">
        <v>1</v>
      </c>
      <c r="H4539" t="s">
        <v>15175</v>
      </c>
      <c r="J4539" t="s">
        <v>15159</v>
      </c>
      <c r="K4539" t="s">
        <v>192</v>
      </c>
      <c r="L4539" t="s">
        <v>33</v>
      </c>
      <c r="M4539" t="s">
        <v>15176</v>
      </c>
      <c r="N4539" t="s">
        <v>15180</v>
      </c>
      <c r="O4539" t="s">
        <v>15181</v>
      </c>
      <c r="P4539" s="2" t="s">
        <v>67</v>
      </c>
      <c r="Q4539" t="s">
        <v>68</v>
      </c>
      <c r="R4539">
        <v>63.94</v>
      </c>
      <c r="S4539">
        <v>64.150000000000006</v>
      </c>
      <c r="T4539" t="s">
        <v>15182</v>
      </c>
    </row>
    <row r="4540" spans="1:20" x14ac:dyDescent="0.25">
      <c r="A4540" s="1" t="str">
        <f>HYPERLINK("https://vegkart.atlas.vegvesen.no/#/@283053.6,7082126.0,18/hva:hva%5B0%5D%5Bfilter%5D%5B0%5D%5Boperator%5D=%21%3D&amp;hva%5B0%5D%5Bfilter%5D%5B0%5D%5Btype_id%5D=4820&amp;hva%5B0%5D%5Bfilter%5D%5B0%5D%5Bverdi%5D=&amp;hva%5B0%5D%5Bid%5D=144/når:2018-01-17", "Vegkart")</f>
        <v>Vegkart</v>
      </c>
      <c r="B4540">
        <v>845986478</v>
      </c>
      <c r="C4540">
        <v>144</v>
      </c>
      <c r="D4540" t="s">
        <v>13345</v>
      </c>
      <c r="E4540">
        <v>4820</v>
      </c>
      <c r="F4540" t="s">
        <v>23479</v>
      </c>
      <c r="G4540">
        <v>1</v>
      </c>
      <c r="H4540" t="s">
        <v>15175</v>
      </c>
      <c r="J4540" t="s">
        <v>15159</v>
      </c>
      <c r="K4540" t="s">
        <v>192</v>
      </c>
      <c r="L4540" t="s">
        <v>33</v>
      </c>
      <c r="M4540" t="s">
        <v>15176</v>
      </c>
      <c r="N4540" t="s">
        <v>15183</v>
      </c>
      <c r="O4540" t="s">
        <v>15184</v>
      </c>
      <c r="P4540" s="2" t="s">
        <v>67</v>
      </c>
      <c r="Q4540" t="s">
        <v>68</v>
      </c>
      <c r="R4540">
        <v>43.56</v>
      </c>
      <c r="S4540">
        <v>43.76</v>
      </c>
      <c r="T4540" t="s">
        <v>15185</v>
      </c>
    </row>
    <row r="4541" spans="1:20" x14ac:dyDescent="0.25">
      <c r="A4541" s="1" t="str">
        <f>HYPERLINK("https://vegkart.atlas.vegvesen.no/#/@283794.7,7082331.1,18/hva:hva%5B0%5D%5Bfilter%5D%5B0%5D%5Boperator%5D=%21%3D&amp;hva%5B0%5D%5Bfilter%5D%5B0%5D%5Btype_id%5D=4820&amp;hva%5B0%5D%5Bfilter%5D%5B0%5D%5Bverdi%5D=&amp;hva%5B0%5D%5Bid%5D=144/når:2018-01-17", "Vegkart")</f>
        <v>Vegkart</v>
      </c>
      <c r="B4541">
        <v>845986479</v>
      </c>
      <c r="C4541">
        <v>144</v>
      </c>
      <c r="D4541" t="s">
        <v>13345</v>
      </c>
      <c r="E4541">
        <v>4820</v>
      </c>
      <c r="F4541" t="s">
        <v>23479</v>
      </c>
      <c r="G4541">
        <v>1</v>
      </c>
      <c r="H4541" t="s">
        <v>15175</v>
      </c>
      <c r="J4541" t="s">
        <v>15159</v>
      </c>
      <c r="K4541" t="s">
        <v>192</v>
      </c>
      <c r="L4541" t="s">
        <v>33</v>
      </c>
      <c r="M4541" t="s">
        <v>15176</v>
      </c>
      <c r="N4541" t="s">
        <v>15186</v>
      </c>
      <c r="O4541" t="s">
        <v>15187</v>
      </c>
      <c r="P4541" s="2" t="s">
        <v>67</v>
      </c>
      <c r="Q4541" t="s">
        <v>68</v>
      </c>
      <c r="R4541">
        <v>44.46</v>
      </c>
      <c r="S4541">
        <v>44.83</v>
      </c>
      <c r="T4541" t="s">
        <v>15188</v>
      </c>
    </row>
    <row r="4542" spans="1:20" x14ac:dyDescent="0.25">
      <c r="A4542" s="1" t="str">
        <f>HYPERLINK("https://vegkart.atlas.vegvesen.no/#/@286002.6,7082837.5,18/hva:hva%5B0%5D%5Bfilter%5D%5B0%5D%5Boperator%5D=%21%3D&amp;hva%5B0%5D%5Bfilter%5D%5B0%5D%5Btype_id%5D=4820&amp;hva%5B0%5D%5Bfilter%5D%5B0%5D%5Bverdi%5D=&amp;hva%5B0%5D%5Bid%5D=144/når:2018-01-17", "Vegkart")</f>
        <v>Vegkart</v>
      </c>
      <c r="B4542">
        <v>845986482</v>
      </c>
      <c r="C4542">
        <v>144</v>
      </c>
      <c r="D4542" t="s">
        <v>13345</v>
      </c>
      <c r="E4542">
        <v>4820</v>
      </c>
      <c r="F4542" t="s">
        <v>23479</v>
      </c>
      <c r="G4542">
        <v>1</v>
      </c>
      <c r="H4542" t="s">
        <v>15175</v>
      </c>
      <c r="J4542" t="s">
        <v>15159</v>
      </c>
      <c r="K4542" t="s">
        <v>192</v>
      </c>
      <c r="L4542" t="s">
        <v>33</v>
      </c>
      <c r="M4542" t="s">
        <v>15176</v>
      </c>
      <c r="N4542" t="s">
        <v>15189</v>
      </c>
      <c r="O4542" t="s">
        <v>15190</v>
      </c>
      <c r="P4542" s="2" t="s">
        <v>67</v>
      </c>
      <c r="Q4542" t="s">
        <v>68</v>
      </c>
      <c r="R4542">
        <v>26.9</v>
      </c>
      <c r="S4542">
        <v>26.93</v>
      </c>
      <c r="T4542" t="s">
        <v>15191</v>
      </c>
    </row>
    <row r="4543" spans="1:20" x14ac:dyDescent="0.25">
      <c r="A4543" s="1" t="str">
        <f>HYPERLINK("https://vegkart.atlas.vegvesen.no/#/@289489.6,7083159.8,18/hva:hva%5B0%5D%5Bfilter%5D%5B0%5D%5Boperator%5D=%21%3D&amp;hva%5B0%5D%5Bfilter%5D%5B0%5D%5Btype_id%5D=4820&amp;hva%5B0%5D%5Bfilter%5D%5B0%5D%5Bverdi%5D=&amp;hva%5B0%5D%5Bid%5D=144/når:2018-01-17", "Vegkart")</f>
        <v>Vegkart</v>
      </c>
      <c r="B4543">
        <v>845986483</v>
      </c>
      <c r="C4543">
        <v>144</v>
      </c>
      <c r="D4543" t="s">
        <v>13345</v>
      </c>
      <c r="E4543">
        <v>4820</v>
      </c>
      <c r="F4543" t="s">
        <v>23479</v>
      </c>
      <c r="G4543">
        <v>1</v>
      </c>
      <c r="H4543" t="s">
        <v>15175</v>
      </c>
      <c r="J4543" t="s">
        <v>15159</v>
      </c>
      <c r="K4543" t="s">
        <v>192</v>
      </c>
      <c r="L4543" t="s">
        <v>33</v>
      </c>
      <c r="M4543" t="s">
        <v>15176</v>
      </c>
      <c r="N4543" t="s">
        <v>15192</v>
      </c>
      <c r="O4543" t="s">
        <v>15193</v>
      </c>
      <c r="P4543" s="2" t="s">
        <v>67</v>
      </c>
      <c r="Q4543" t="s">
        <v>68</v>
      </c>
      <c r="R4543">
        <v>26.73</v>
      </c>
      <c r="S4543">
        <v>27.07</v>
      </c>
      <c r="T4543" t="s">
        <v>15194</v>
      </c>
    </row>
    <row r="4544" spans="1:20" x14ac:dyDescent="0.25">
      <c r="A4544" s="1" t="str">
        <f>HYPERLINK("https://vegkart.atlas.vegvesen.no/#/@289726.5,7081583.7,18/hva:hva%5B0%5D%5Bfilter%5D%5B0%5D%5Boperator%5D=%21%3D&amp;hva%5B0%5D%5Bfilter%5D%5B0%5D%5Btype_id%5D=4820&amp;hva%5B0%5D%5Bfilter%5D%5B0%5D%5Bverdi%5D=&amp;hva%5B0%5D%5Bid%5D=144/når:2018-01-17", "Vegkart")</f>
        <v>Vegkart</v>
      </c>
      <c r="B4544">
        <v>845986484</v>
      </c>
      <c r="C4544">
        <v>144</v>
      </c>
      <c r="D4544" t="s">
        <v>13345</v>
      </c>
      <c r="E4544">
        <v>4820</v>
      </c>
      <c r="F4544" t="s">
        <v>23479</v>
      </c>
      <c r="G4544">
        <v>1</v>
      </c>
      <c r="H4544" t="s">
        <v>15175</v>
      </c>
      <c r="J4544" t="s">
        <v>15159</v>
      </c>
      <c r="K4544" t="s">
        <v>192</v>
      </c>
      <c r="L4544" t="s">
        <v>33</v>
      </c>
      <c r="M4544" t="s">
        <v>15176</v>
      </c>
      <c r="N4544" t="s">
        <v>15195</v>
      </c>
      <c r="O4544" t="s">
        <v>15196</v>
      </c>
      <c r="P4544" s="2" t="s">
        <v>67</v>
      </c>
      <c r="Q4544" t="s">
        <v>68</v>
      </c>
      <c r="R4544">
        <v>19.899999999999999</v>
      </c>
      <c r="S4544">
        <v>20.02</v>
      </c>
      <c r="T4544" t="s">
        <v>15197</v>
      </c>
    </row>
    <row r="4545" spans="1:20" x14ac:dyDescent="0.25">
      <c r="A4545" s="1" t="str">
        <f>HYPERLINK("https://vegkart.atlas.vegvesen.no/#/@288174.0,7083616.0,18/hva:hva%5B0%5D%5Bfilter%5D%5B0%5D%5Boperator%5D=%21%3D&amp;hva%5B0%5D%5Bfilter%5D%5B0%5D%5Btype_id%5D=4820&amp;hva%5B0%5D%5Bfilter%5D%5B0%5D%5Bverdi%5D=&amp;hva%5B0%5D%5Bid%5D=144/når:2018-01-17", "Vegkart")</f>
        <v>Vegkart</v>
      </c>
      <c r="B4545">
        <v>845986486</v>
      </c>
      <c r="C4545">
        <v>144</v>
      </c>
      <c r="D4545" t="s">
        <v>13345</v>
      </c>
      <c r="E4545">
        <v>4820</v>
      </c>
      <c r="F4545" t="s">
        <v>23479</v>
      </c>
      <c r="G4545">
        <v>1</v>
      </c>
      <c r="H4545" t="s">
        <v>15175</v>
      </c>
      <c r="J4545" t="s">
        <v>15159</v>
      </c>
      <c r="K4545" t="s">
        <v>192</v>
      </c>
      <c r="L4545" t="s">
        <v>33</v>
      </c>
      <c r="M4545" t="s">
        <v>15176</v>
      </c>
      <c r="N4545" t="s">
        <v>15198</v>
      </c>
      <c r="O4545" t="s">
        <v>15199</v>
      </c>
      <c r="P4545" s="2" t="s">
        <v>67</v>
      </c>
      <c r="Q4545" t="s">
        <v>68</v>
      </c>
      <c r="R4545">
        <v>40.79</v>
      </c>
      <c r="S4545">
        <v>41.3</v>
      </c>
      <c r="T4545" t="s">
        <v>15200</v>
      </c>
    </row>
    <row r="4546" spans="1:20" x14ac:dyDescent="0.25">
      <c r="A4546" s="1" t="str">
        <f>HYPERLINK("https://vegkart.atlas.vegvesen.no/#/@289494.6,7083124.4,18/hva:hva%5B0%5D%5Bfilter%5D%5B0%5D%5Boperator%5D=%21%3D&amp;hva%5B0%5D%5Bfilter%5D%5B0%5D%5Btype_id%5D=4820&amp;hva%5B0%5D%5Bfilter%5D%5B0%5D%5Bverdi%5D=&amp;hva%5B0%5D%5Bid%5D=144/når:2018-01-17", "Vegkart")</f>
        <v>Vegkart</v>
      </c>
      <c r="B4546">
        <v>845986493</v>
      </c>
      <c r="C4546">
        <v>144</v>
      </c>
      <c r="D4546" t="s">
        <v>13345</v>
      </c>
      <c r="E4546">
        <v>4820</v>
      </c>
      <c r="F4546" t="s">
        <v>23479</v>
      </c>
      <c r="G4546">
        <v>1</v>
      </c>
      <c r="H4546" t="s">
        <v>15175</v>
      </c>
      <c r="J4546" t="s">
        <v>15159</v>
      </c>
      <c r="K4546" t="s">
        <v>192</v>
      </c>
      <c r="L4546" t="s">
        <v>33</v>
      </c>
      <c r="M4546" t="s">
        <v>15176</v>
      </c>
      <c r="N4546" t="s">
        <v>15201</v>
      </c>
      <c r="O4546" t="s">
        <v>15202</v>
      </c>
      <c r="P4546" s="2" t="s">
        <v>67</v>
      </c>
      <c r="Q4546" t="s">
        <v>68</v>
      </c>
      <c r="R4546">
        <v>14.15</v>
      </c>
      <c r="S4546">
        <v>14.31</v>
      </c>
      <c r="T4546" t="s">
        <v>15203</v>
      </c>
    </row>
    <row r="4547" spans="1:20" x14ac:dyDescent="0.25">
      <c r="A4547" s="1" t="str">
        <f>HYPERLINK("https://vegkart.atlas.vegvesen.no/#/@289718.2,7081630.0,18/hva:hva%5B0%5D%5Bfilter%5D%5B0%5D%5Boperator%5D=%21%3D&amp;hva%5B0%5D%5Bfilter%5D%5B0%5D%5Btype_id%5D=4820&amp;hva%5B0%5D%5Bfilter%5D%5B0%5D%5Bverdi%5D=&amp;hva%5B0%5D%5Bid%5D=144/når:2018-01-17", "Vegkart")</f>
        <v>Vegkart</v>
      </c>
      <c r="B4547">
        <v>845986499</v>
      </c>
      <c r="C4547">
        <v>144</v>
      </c>
      <c r="D4547" t="s">
        <v>13345</v>
      </c>
      <c r="E4547">
        <v>4820</v>
      </c>
      <c r="F4547" t="s">
        <v>23479</v>
      </c>
      <c r="G4547">
        <v>1</v>
      </c>
      <c r="H4547" t="s">
        <v>15175</v>
      </c>
      <c r="J4547" t="s">
        <v>15159</v>
      </c>
      <c r="K4547" t="s">
        <v>192</v>
      </c>
      <c r="L4547" t="s">
        <v>33</v>
      </c>
      <c r="M4547" t="s">
        <v>15176</v>
      </c>
      <c r="N4547" t="s">
        <v>15204</v>
      </c>
      <c r="O4547" t="s">
        <v>15205</v>
      </c>
      <c r="P4547" s="2" t="s">
        <v>67</v>
      </c>
      <c r="Q4547" t="s">
        <v>68</v>
      </c>
      <c r="R4547">
        <v>47.79</v>
      </c>
      <c r="S4547">
        <v>47.86</v>
      </c>
      <c r="T4547" t="s">
        <v>15206</v>
      </c>
    </row>
    <row r="4548" spans="1:20" x14ac:dyDescent="0.25">
      <c r="A4548" s="1" t="str">
        <f>HYPERLINK("https://vegkart.atlas.vegvesen.no/#/@289533.0,7082482.2,18/hva:hva%5B0%5D%5Bfilter%5D%5B0%5D%5Boperator%5D=%21%3D&amp;hva%5B0%5D%5Bfilter%5D%5B0%5D%5Btype_id%5D=4820&amp;hva%5B0%5D%5Bfilter%5D%5B0%5D%5Bverdi%5D=&amp;hva%5B0%5D%5Bid%5D=144/når:2018-01-17", "Vegkart")</f>
        <v>Vegkart</v>
      </c>
      <c r="B4548">
        <v>845986501</v>
      </c>
      <c r="C4548">
        <v>144</v>
      </c>
      <c r="D4548" t="s">
        <v>13345</v>
      </c>
      <c r="E4548">
        <v>4820</v>
      </c>
      <c r="F4548" t="s">
        <v>23479</v>
      </c>
      <c r="G4548">
        <v>1</v>
      </c>
      <c r="H4548" t="s">
        <v>15175</v>
      </c>
      <c r="J4548" t="s">
        <v>15159</v>
      </c>
      <c r="K4548" t="s">
        <v>192</v>
      </c>
      <c r="L4548" t="s">
        <v>33</v>
      </c>
      <c r="M4548" t="s">
        <v>15176</v>
      </c>
      <c r="N4548" t="s">
        <v>15207</v>
      </c>
      <c r="O4548" t="s">
        <v>15208</v>
      </c>
      <c r="P4548" s="2" t="s">
        <v>67</v>
      </c>
      <c r="Q4548" t="s">
        <v>68</v>
      </c>
      <c r="R4548">
        <v>87.12</v>
      </c>
      <c r="S4548">
        <v>87.94</v>
      </c>
      <c r="T4548" t="s">
        <v>15209</v>
      </c>
    </row>
    <row r="4549" spans="1:20" x14ac:dyDescent="0.25">
      <c r="A4549" s="1" t="str">
        <f>HYPERLINK("https://vegkart.atlas.vegvesen.no/#/@289680.5,7081798.3,18/hva:hva%5B0%5D%5Bfilter%5D%5B0%5D%5Boperator%5D=%21%3D&amp;hva%5B0%5D%5Bfilter%5D%5B0%5D%5Btype_id%5D=4820&amp;hva%5B0%5D%5Bfilter%5D%5B0%5D%5Bverdi%5D=&amp;hva%5B0%5D%5Bid%5D=144/når:2018-01-17", "Vegkart")</f>
        <v>Vegkart</v>
      </c>
      <c r="B4549">
        <v>845986502</v>
      </c>
      <c r="C4549">
        <v>144</v>
      </c>
      <c r="D4549" t="s">
        <v>13345</v>
      </c>
      <c r="E4549">
        <v>4820</v>
      </c>
      <c r="F4549" t="s">
        <v>23479</v>
      </c>
      <c r="G4549">
        <v>1</v>
      </c>
      <c r="H4549" t="s">
        <v>15175</v>
      </c>
      <c r="J4549" t="s">
        <v>15159</v>
      </c>
      <c r="K4549" t="s">
        <v>192</v>
      </c>
      <c r="L4549" t="s">
        <v>33</v>
      </c>
      <c r="M4549" t="s">
        <v>15176</v>
      </c>
      <c r="N4549" t="s">
        <v>15210</v>
      </c>
      <c r="O4549" t="s">
        <v>15211</v>
      </c>
      <c r="P4549" s="2" t="s">
        <v>67</v>
      </c>
      <c r="Q4549" t="s">
        <v>68</v>
      </c>
      <c r="R4549">
        <v>226.18</v>
      </c>
      <c r="S4549">
        <v>229.3</v>
      </c>
      <c r="T4549" t="s">
        <v>15212</v>
      </c>
    </row>
    <row r="4550" spans="1:20" x14ac:dyDescent="0.25">
      <c r="A4550" s="1" t="str">
        <f>HYPERLINK("https://vegkart.atlas.vegvesen.no/#/@289621.9,7081933.2,18/hva:hva%5B0%5D%5Bfilter%5D%5B0%5D%5Boperator%5D=%21%3D&amp;hva%5B0%5D%5Bfilter%5D%5B0%5D%5Btype_id%5D=4820&amp;hva%5B0%5D%5Bfilter%5D%5B0%5D%5Bverdi%5D=&amp;hva%5B0%5D%5Bid%5D=144/når:2018-01-17", "Vegkart")</f>
        <v>Vegkart</v>
      </c>
      <c r="B4550">
        <v>845986505</v>
      </c>
      <c r="C4550">
        <v>144</v>
      </c>
      <c r="D4550" t="s">
        <v>13345</v>
      </c>
      <c r="E4550">
        <v>4820</v>
      </c>
      <c r="F4550" t="s">
        <v>23479</v>
      </c>
      <c r="G4550">
        <v>1</v>
      </c>
      <c r="H4550" t="s">
        <v>15175</v>
      </c>
      <c r="J4550" t="s">
        <v>15159</v>
      </c>
      <c r="K4550" t="s">
        <v>192</v>
      </c>
      <c r="L4550" t="s">
        <v>33</v>
      </c>
      <c r="M4550" t="s">
        <v>15176</v>
      </c>
      <c r="N4550" t="s">
        <v>15213</v>
      </c>
      <c r="O4550" t="s">
        <v>15214</v>
      </c>
      <c r="P4550" s="2" t="s">
        <v>67</v>
      </c>
      <c r="Q4550" t="s">
        <v>68</v>
      </c>
      <c r="R4550">
        <v>39.18</v>
      </c>
      <c r="S4550">
        <v>39.450000000000003</v>
      </c>
      <c r="T4550" t="s">
        <v>15215</v>
      </c>
    </row>
    <row r="4551" spans="1:20" x14ac:dyDescent="0.25">
      <c r="A4551" s="1" t="str">
        <f>HYPERLINK("https://vegkart.atlas.vegvesen.no/#/@284576.5,7082432.1,18/hva:hva%5B0%5D%5Bfilter%5D%5B0%5D%5Boperator%5D=%21%3D&amp;hva%5B0%5D%5Bfilter%5D%5B0%5D%5Btype_id%5D=4820&amp;hva%5B0%5D%5Bfilter%5D%5B0%5D%5Bverdi%5D=&amp;hva%5B0%5D%5Bid%5D=144/når:2018-01-17", "Vegkart")</f>
        <v>Vegkart</v>
      </c>
      <c r="B4551">
        <v>845986507</v>
      </c>
      <c r="C4551">
        <v>144</v>
      </c>
      <c r="D4551" t="s">
        <v>13345</v>
      </c>
      <c r="E4551">
        <v>4820</v>
      </c>
      <c r="F4551" t="s">
        <v>23479</v>
      </c>
      <c r="G4551">
        <v>1</v>
      </c>
      <c r="H4551" t="s">
        <v>15175</v>
      </c>
      <c r="J4551" t="s">
        <v>15159</v>
      </c>
      <c r="K4551" t="s">
        <v>192</v>
      </c>
      <c r="L4551" t="s">
        <v>33</v>
      </c>
      <c r="M4551" t="s">
        <v>15176</v>
      </c>
      <c r="N4551" t="s">
        <v>15216</v>
      </c>
      <c r="O4551" t="s">
        <v>15217</v>
      </c>
      <c r="P4551" s="2" t="s">
        <v>67</v>
      </c>
      <c r="Q4551" t="s">
        <v>68</v>
      </c>
      <c r="R4551">
        <v>55.77</v>
      </c>
      <c r="S4551">
        <v>55.92</v>
      </c>
      <c r="T4551" t="s">
        <v>15218</v>
      </c>
    </row>
    <row r="4552" spans="1:20" x14ac:dyDescent="0.25">
      <c r="A4552" s="1" t="str">
        <f>HYPERLINK("https://vegkart.atlas.vegvesen.no/#/@289524.4,7082549.2,18/hva:hva%5B0%5D%5Bfilter%5D%5B0%5D%5Boperator%5D=%21%3D&amp;hva%5B0%5D%5Bfilter%5D%5B0%5D%5Btype_id%5D=4820&amp;hva%5B0%5D%5Bfilter%5D%5B0%5D%5Bverdi%5D=&amp;hva%5B0%5D%5Bid%5D=144/når:2018-01-17", "Vegkart")</f>
        <v>Vegkart</v>
      </c>
      <c r="B4552">
        <v>845986510</v>
      </c>
      <c r="C4552">
        <v>144</v>
      </c>
      <c r="D4552" t="s">
        <v>13345</v>
      </c>
      <c r="E4552">
        <v>4820</v>
      </c>
      <c r="F4552" t="s">
        <v>23479</v>
      </c>
      <c r="G4552">
        <v>1</v>
      </c>
      <c r="H4552" t="s">
        <v>15175</v>
      </c>
      <c r="J4552" t="s">
        <v>15159</v>
      </c>
      <c r="K4552" t="s">
        <v>192</v>
      </c>
      <c r="L4552" t="s">
        <v>33</v>
      </c>
      <c r="M4552" t="s">
        <v>15176</v>
      </c>
      <c r="N4552" t="s">
        <v>15219</v>
      </c>
      <c r="O4552" t="s">
        <v>15220</v>
      </c>
      <c r="P4552" s="2" t="s">
        <v>67</v>
      </c>
      <c r="Q4552" t="s">
        <v>68</v>
      </c>
      <c r="R4552">
        <v>23.42</v>
      </c>
      <c r="S4552">
        <v>23.83</v>
      </c>
      <c r="T4552" t="s">
        <v>15221</v>
      </c>
    </row>
    <row r="4553" spans="1:20" x14ac:dyDescent="0.25">
      <c r="A4553" s="1" t="str">
        <f>HYPERLINK("https://vegkart.atlas.vegvesen.no/#/@289927.1,7083554.0,18/hva:hva%5B0%5D%5Bfilter%5D%5B0%5D%5Boperator%5D=%21%3D&amp;hva%5B0%5D%5Bfilter%5D%5B0%5D%5Btype_id%5D=4820&amp;hva%5B0%5D%5Bfilter%5D%5B0%5D%5Bverdi%5D=&amp;hva%5B0%5D%5Bid%5D=144/når:2018-01-17", "Vegkart")</f>
        <v>Vegkart</v>
      </c>
      <c r="B4553">
        <v>845986511</v>
      </c>
      <c r="C4553">
        <v>144</v>
      </c>
      <c r="D4553" t="s">
        <v>13345</v>
      </c>
      <c r="E4553">
        <v>4820</v>
      </c>
      <c r="F4553" t="s">
        <v>23479</v>
      </c>
      <c r="G4553">
        <v>1</v>
      </c>
      <c r="H4553" t="s">
        <v>15175</v>
      </c>
      <c r="J4553" t="s">
        <v>15159</v>
      </c>
      <c r="K4553" t="s">
        <v>192</v>
      </c>
      <c r="L4553" t="s">
        <v>33</v>
      </c>
      <c r="M4553" t="s">
        <v>15176</v>
      </c>
      <c r="N4553" t="s">
        <v>15222</v>
      </c>
      <c r="O4553" t="s">
        <v>15223</v>
      </c>
      <c r="P4553" s="2" t="s">
        <v>67</v>
      </c>
      <c r="Q4553" t="s">
        <v>68</v>
      </c>
      <c r="R4553">
        <v>13.63</v>
      </c>
      <c r="S4553">
        <v>13.75</v>
      </c>
      <c r="T4553" t="s">
        <v>15224</v>
      </c>
    </row>
    <row r="4554" spans="1:20" x14ac:dyDescent="0.25">
      <c r="A4554" s="1" t="str">
        <f>HYPERLINK("https://vegkart.atlas.vegvesen.no/#/@289761.4,7081459.6,18/hva:hva%5B0%5D%5Bfilter%5D%5B0%5D%5Boperator%5D=%21%3D&amp;hva%5B0%5D%5Bfilter%5D%5B0%5D%5Btype_id%5D=4820&amp;hva%5B0%5D%5Bfilter%5D%5B0%5D%5Bverdi%5D=&amp;hva%5B0%5D%5Bid%5D=144/når:2018-01-17", "Vegkart")</f>
        <v>Vegkart</v>
      </c>
      <c r="B4554">
        <v>845986512</v>
      </c>
      <c r="C4554">
        <v>144</v>
      </c>
      <c r="D4554" t="s">
        <v>13345</v>
      </c>
      <c r="E4554">
        <v>4820</v>
      </c>
      <c r="F4554" t="s">
        <v>23479</v>
      </c>
      <c r="G4554">
        <v>1</v>
      </c>
      <c r="H4554" t="s">
        <v>15175</v>
      </c>
      <c r="J4554" t="s">
        <v>15159</v>
      </c>
      <c r="K4554" t="s">
        <v>192</v>
      </c>
      <c r="L4554" t="s">
        <v>33</v>
      </c>
      <c r="M4554" t="s">
        <v>15176</v>
      </c>
      <c r="N4554" t="s">
        <v>15225</v>
      </c>
      <c r="O4554" t="s">
        <v>15226</v>
      </c>
      <c r="P4554" s="2" t="s">
        <v>67</v>
      </c>
      <c r="Q4554" t="s">
        <v>68</v>
      </c>
      <c r="R4554">
        <v>65.349999999999994</v>
      </c>
      <c r="S4554">
        <v>65.489999999999995</v>
      </c>
      <c r="T4554" t="s">
        <v>15227</v>
      </c>
    </row>
    <row r="4555" spans="1:20" x14ac:dyDescent="0.25">
      <c r="A4555" s="1" t="str">
        <f>HYPERLINK("https://vegkart.atlas.vegvesen.no/#/@289736.6,7081531.2,18/hva:hva%5B0%5D%5Bfilter%5D%5B0%5D%5Boperator%5D=%21%3D&amp;hva%5B0%5D%5Bfilter%5D%5B0%5D%5Btype_id%5D=4820&amp;hva%5B0%5D%5Bfilter%5D%5B0%5D%5Bverdi%5D=&amp;hva%5B0%5D%5Bid%5D=144/når:2018-01-17", "Vegkart")</f>
        <v>Vegkart</v>
      </c>
      <c r="B4555">
        <v>845986514</v>
      </c>
      <c r="C4555">
        <v>144</v>
      </c>
      <c r="D4555" t="s">
        <v>13345</v>
      </c>
      <c r="E4555">
        <v>4820</v>
      </c>
      <c r="F4555" t="s">
        <v>23479</v>
      </c>
      <c r="G4555">
        <v>1</v>
      </c>
      <c r="H4555" t="s">
        <v>15175</v>
      </c>
      <c r="J4555" t="s">
        <v>15159</v>
      </c>
      <c r="K4555" t="s">
        <v>192</v>
      </c>
      <c r="L4555" t="s">
        <v>33</v>
      </c>
      <c r="M4555" t="s">
        <v>15176</v>
      </c>
      <c r="N4555" t="s">
        <v>15228</v>
      </c>
      <c r="O4555" t="s">
        <v>15229</v>
      </c>
      <c r="P4555" s="2" t="s">
        <v>67</v>
      </c>
      <c r="Q4555" t="s">
        <v>68</v>
      </c>
      <c r="R4555">
        <v>57.63</v>
      </c>
      <c r="S4555">
        <v>57.67</v>
      </c>
      <c r="T4555" t="s">
        <v>15230</v>
      </c>
    </row>
    <row r="4556" spans="1:20" x14ac:dyDescent="0.25">
      <c r="A4556" s="1" t="str">
        <f>HYPERLINK("https://vegkart.atlas.vegvesen.no/#/@301307.1,7015582.0,18/hva:hva%5B0%5D%5Bfilter%5D%5B0%5D%5Boperator%5D=%21%3D&amp;hva%5B0%5D%5Bfilter%5D%5B0%5D%5Btype_id%5D=4820&amp;hva%5B0%5D%5Bfilter%5D%5B0%5D%5Bverdi%5D=&amp;hva%5B0%5D%5Bid%5D=144/når:2018-01-23", "Vegkart")</f>
        <v>Vegkart</v>
      </c>
      <c r="B4556">
        <v>846296626</v>
      </c>
      <c r="C4556">
        <v>144</v>
      </c>
      <c r="D4556" t="s">
        <v>13345</v>
      </c>
      <c r="E4556">
        <v>4820</v>
      </c>
      <c r="F4556" t="s">
        <v>23479</v>
      </c>
      <c r="G4556">
        <v>1</v>
      </c>
      <c r="H4556" t="s">
        <v>15231</v>
      </c>
      <c r="J4556" t="s">
        <v>15159</v>
      </c>
      <c r="K4556" t="s">
        <v>192</v>
      </c>
      <c r="L4556" t="s">
        <v>33</v>
      </c>
      <c r="M4556" t="s">
        <v>14249</v>
      </c>
      <c r="N4556" t="s">
        <v>15232</v>
      </c>
      <c r="O4556" t="s">
        <v>15233</v>
      </c>
      <c r="P4556" s="2" t="s">
        <v>37</v>
      </c>
      <c r="Q4556" t="s">
        <v>1208</v>
      </c>
      <c r="R4556">
        <v>4.45</v>
      </c>
      <c r="S4556">
        <v>81.28</v>
      </c>
      <c r="T4556" t="s">
        <v>15234</v>
      </c>
    </row>
    <row r="4557" spans="1:20" x14ac:dyDescent="0.25">
      <c r="A4557" s="1" t="str">
        <f>HYPERLINK("https://vegkart.atlas.vegvesen.no/#/@301216.1,7014985.9,18/hva:hva%5B0%5D%5Bfilter%5D%5B0%5D%5Boperator%5D=%21%3D&amp;hva%5B0%5D%5Bfilter%5D%5B0%5D%5Btype_id%5D=4820&amp;hva%5B0%5D%5Bfilter%5D%5B0%5D%5Bverdi%5D=&amp;hva%5B0%5D%5Bid%5D=144/når:2018-01-23", "Vegkart")</f>
        <v>Vegkart</v>
      </c>
      <c r="B4557">
        <v>846296631</v>
      </c>
      <c r="C4557">
        <v>144</v>
      </c>
      <c r="D4557" t="s">
        <v>13345</v>
      </c>
      <c r="E4557">
        <v>4820</v>
      </c>
      <c r="F4557" t="s">
        <v>23479</v>
      </c>
      <c r="G4557">
        <v>1</v>
      </c>
      <c r="H4557" t="s">
        <v>15231</v>
      </c>
      <c r="J4557" t="s">
        <v>15159</v>
      </c>
      <c r="K4557" t="s">
        <v>192</v>
      </c>
      <c r="L4557" t="s">
        <v>33</v>
      </c>
      <c r="M4557" t="s">
        <v>14249</v>
      </c>
      <c r="N4557" t="s">
        <v>15235</v>
      </c>
      <c r="O4557" t="s">
        <v>15236</v>
      </c>
      <c r="P4557" s="2" t="s">
        <v>37</v>
      </c>
      <c r="Q4557" t="s">
        <v>1208</v>
      </c>
      <c r="R4557">
        <v>2.65</v>
      </c>
      <c r="S4557">
        <v>96.39</v>
      </c>
      <c r="T4557" t="s">
        <v>15237</v>
      </c>
    </row>
    <row r="4558" spans="1:20" x14ac:dyDescent="0.25">
      <c r="A4558" s="1" t="str">
        <f>HYPERLINK("https://vegkart.atlas.vegvesen.no/#/@294856.4,6607585.6,18/hva:hva%5B0%5D%5Bfilter%5D%5B0%5D%5Boperator%5D=%21%3D&amp;hva%5B0%5D%5Bfilter%5D%5B0%5D%5Btype_id%5D=4820&amp;hva%5B0%5D%5Bfilter%5D%5B0%5D%5Bverdi%5D=&amp;hva%5B0%5D%5Bid%5D=144/når:2018-02-01", "Vegkart")</f>
        <v>Vegkart</v>
      </c>
      <c r="B4558">
        <v>846848971</v>
      </c>
      <c r="C4558">
        <v>144</v>
      </c>
      <c r="D4558" t="s">
        <v>13345</v>
      </c>
      <c r="E4558">
        <v>4820</v>
      </c>
      <c r="F4558" t="s">
        <v>23479</v>
      </c>
      <c r="G4558">
        <v>1</v>
      </c>
      <c r="H4558" t="s">
        <v>15238</v>
      </c>
      <c r="J4558" t="s">
        <v>15159</v>
      </c>
      <c r="K4558" t="s">
        <v>104</v>
      </c>
      <c r="L4558" t="s">
        <v>113</v>
      </c>
      <c r="M4558" t="s">
        <v>15239</v>
      </c>
      <c r="N4558" t="s">
        <v>15240</v>
      </c>
      <c r="O4558" t="s">
        <v>15241</v>
      </c>
      <c r="P4558" s="2" t="s">
        <v>67</v>
      </c>
      <c r="Q4558" t="s">
        <v>68</v>
      </c>
      <c r="R4558">
        <v>24.06</v>
      </c>
      <c r="S4558">
        <v>24.72</v>
      </c>
      <c r="T4558" t="s">
        <v>15242</v>
      </c>
    </row>
    <row r="4559" spans="1:20" x14ac:dyDescent="0.25">
      <c r="A4559" s="1" t="str">
        <f>HYPERLINK("https://vegkart.atlas.vegvesen.no/#/@722226.3,7756311.0,18/hva:hva%5B0%5D%5Bfilter%5D%5B0%5D%5Boperator%5D=%21%3D&amp;hva%5B0%5D%5Bfilter%5D%5B0%5D%5Btype_id%5D=4820&amp;hva%5B0%5D%5Bfilter%5D%5B0%5D%5Bverdi%5D=&amp;hva%5B0%5D%5Bid%5D=144/når:2018-02-09", "Vegkart")</f>
        <v>Vegkart</v>
      </c>
      <c r="B4559">
        <v>847158668</v>
      </c>
      <c r="C4559">
        <v>144</v>
      </c>
      <c r="D4559" t="s">
        <v>13345</v>
      </c>
      <c r="E4559">
        <v>4820</v>
      </c>
      <c r="F4559" t="s">
        <v>23479</v>
      </c>
      <c r="G4559">
        <v>1</v>
      </c>
      <c r="H4559" t="s">
        <v>15243</v>
      </c>
      <c r="J4559" t="s">
        <v>15159</v>
      </c>
      <c r="K4559" t="s">
        <v>179</v>
      </c>
      <c r="L4559" t="s">
        <v>80</v>
      </c>
      <c r="M4559" t="s">
        <v>105</v>
      </c>
      <c r="N4559" t="s">
        <v>15244</v>
      </c>
      <c r="O4559" t="s">
        <v>15245</v>
      </c>
      <c r="P4559" s="2" t="s">
        <v>37</v>
      </c>
      <c r="Q4559" t="s">
        <v>1208</v>
      </c>
      <c r="R4559">
        <v>11.12</v>
      </c>
      <c r="S4559">
        <v>410.2</v>
      </c>
      <c r="T4559" t="s">
        <v>15246</v>
      </c>
    </row>
    <row r="4560" spans="1:20" x14ac:dyDescent="0.25">
      <c r="A4560" s="1" t="str">
        <f>HYPERLINK("https://vegkart.atlas.vegvesen.no/#/@293673.4,6678869.1,18/hva:hva%5B0%5D%5Bfilter%5D%5B0%5D%5Boperator%5D=%21%3D&amp;hva%5B0%5D%5Bfilter%5D%5B0%5D%5Btype_id%5D=4820&amp;hva%5B0%5D%5Bfilter%5D%5B0%5D%5Bverdi%5D=&amp;hva%5B0%5D%5Bid%5D=144/når:2018-03-19", "Vegkart")</f>
        <v>Vegkart</v>
      </c>
      <c r="B4560">
        <v>849480343</v>
      </c>
      <c r="C4560">
        <v>144</v>
      </c>
      <c r="D4560" t="s">
        <v>13345</v>
      </c>
      <c r="E4560">
        <v>4820</v>
      </c>
      <c r="F4560" t="s">
        <v>23479</v>
      </c>
      <c r="G4560">
        <v>1</v>
      </c>
      <c r="H4560" t="s">
        <v>15247</v>
      </c>
      <c r="J4560" t="s">
        <v>15159</v>
      </c>
      <c r="K4560" t="s">
        <v>132</v>
      </c>
      <c r="L4560" t="s">
        <v>33</v>
      </c>
      <c r="M4560" t="s">
        <v>15248</v>
      </c>
      <c r="N4560" t="s">
        <v>15249</v>
      </c>
      <c r="O4560" t="s">
        <v>15250</v>
      </c>
      <c r="P4560" s="2" t="s">
        <v>165</v>
      </c>
      <c r="Q4560" t="s">
        <v>641</v>
      </c>
      <c r="R4560">
        <v>0</v>
      </c>
      <c r="S4560">
        <v>19.95</v>
      </c>
      <c r="T4560" t="s">
        <v>167</v>
      </c>
    </row>
    <row r="4561" spans="1:20" x14ac:dyDescent="0.25">
      <c r="A4561" s="1" t="str">
        <f>HYPERLINK("https://vegkart.atlas.vegvesen.no/#/@272027.8,6616917.8,18/hva:hva%5B0%5D%5Bfilter%5D%5B0%5D%5Boperator%5D=%21%3D&amp;hva%5B0%5D%5Bfilter%5D%5B0%5D%5Btype_id%5D=4820&amp;hva%5B0%5D%5Bfilter%5D%5B0%5D%5Bverdi%5D=&amp;hva%5B0%5D%5Bid%5D=144/når:2018-03-27", "Vegkart")</f>
        <v>Vegkart</v>
      </c>
      <c r="B4561">
        <v>850048803</v>
      </c>
      <c r="C4561">
        <v>144</v>
      </c>
      <c r="D4561" t="s">
        <v>13345</v>
      </c>
      <c r="E4561">
        <v>4820</v>
      </c>
      <c r="F4561" t="s">
        <v>23479</v>
      </c>
      <c r="G4561">
        <v>1</v>
      </c>
      <c r="H4561" t="s">
        <v>15251</v>
      </c>
      <c r="J4561" t="s">
        <v>15159</v>
      </c>
      <c r="K4561" t="s">
        <v>104</v>
      </c>
      <c r="L4561" t="s">
        <v>80</v>
      </c>
      <c r="M4561" t="s">
        <v>53</v>
      </c>
      <c r="N4561" t="s">
        <v>15252</v>
      </c>
      <c r="O4561" t="s">
        <v>15253</v>
      </c>
      <c r="P4561" s="2" t="s">
        <v>165</v>
      </c>
      <c r="Q4561" t="s">
        <v>641</v>
      </c>
      <c r="R4561">
        <v>10.96</v>
      </c>
      <c r="S4561">
        <v>120.54</v>
      </c>
      <c r="T4561" t="s">
        <v>167</v>
      </c>
    </row>
    <row r="4562" spans="1:20" x14ac:dyDescent="0.25">
      <c r="A4562" s="1" t="str">
        <f>HYPERLINK("https://vegkart.atlas.vegvesen.no/#/@272194.0,6616883.4,18/hva:hva%5B0%5D%5Bfilter%5D%5B0%5D%5Boperator%5D=%21%3D&amp;hva%5B0%5D%5Bfilter%5D%5B0%5D%5Btype_id%5D=4820&amp;hva%5B0%5D%5Bfilter%5D%5B0%5D%5Bverdi%5D=&amp;hva%5B0%5D%5Bid%5D=144/når:2018-03-27", "Vegkart")</f>
        <v>Vegkart</v>
      </c>
      <c r="B4562">
        <v>850048804</v>
      </c>
      <c r="C4562">
        <v>144</v>
      </c>
      <c r="D4562" t="s">
        <v>13345</v>
      </c>
      <c r="E4562">
        <v>4820</v>
      </c>
      <c r="F4562" t="s">
        <v>23479</v>
      </c>
      <c r="G4562">
        <v>1</v>
      </c>
      <c r="H4562" t="s">
        <v>15251</v>
      </c>
      <c r="J4562" t="s">
        <v>15159</v>
      </c>
      <c r="K4562" t="s">
        <v>104</v>
      </c>
      <c r="L4562" t="s">
        <v>80</v>
      </c>
      <c r="M4562" t="s">
        <v>53</v>
      </c>
      <c r="N4562" t="s">
        <v>15254</v>
      </c>
      <c r="O4562" t="s">
        <v>15255</v>
      </c>
      <c r="P4562" s="2" t="s">
        <v>165</v>
      </c>
      <c r="Q4562" t="s">
        <v>641</v>
      </c>
      <c r="R4562">
        <v>2.46</v>
      </c>
      <c r="S4562">
        <v>105.38</v>
      </c>
      <c r="T4562" t="s">
        <v>167</v>
      </c>
    </row>
    <row r="4563" spans="1:20" x14ac:dyDescent="0.25">
      <c r="A4563" s="1" t="str">
        <f>HYPERLINK("https://vegkart.atlas.vegvesen.no/#/@274725.3,6615744.0,18/hva:hva%5B0%5D%5Bfilter%5D%5B0%5D%5Boperator%5D=%21%3D&amp;hva%5B0%5D%5Bfilter%5D%5B0%5D%5Btype_id%5D=4820&amp;hva%5B0%5D%5Bfilter%5D%5B0%5D%5Bverdi%5D=&amp;hva%5B0%5D%5Bid%5D=144/når:2018-03-27", "Vegkart")</f>
        <v>Vegkart</v>
      </c>
      <c r="B4563">
        <v>850048805</v>
      </c>
      <c r="C4563">
        <v>144</v>
      </c>
      <c r="D4563" t="s">
        <v>13345</v>
      </c>
      <c r="E4563">
        <v>4820</v>
      </c>
      <c r="F4563" t="s">
        <v>23479</v>
      </c>
      <c r="G4563">
        <v>1</v>
      </c>
      <c r="H4563" t="s">
        <v>15251</v>
      </c>
      <c r="J4563" t="s">
        <v>15159</v>
      </c>
      <c r="K4563" t="s">
        <v>104</v>
      </c>
      <c r="L4563" t="s">
        <v>80</v>
      </c>
      <c r="M4563" t="s">
        <v>53</v>
      </c>
      <c r="N4563" t="s">
        <v>15256</v>
      </c>
      <c r="O4563" t="s">
        <v>15257</v>
      </c>
      <c r="P4563" s="2" t="s">
        <v>165</v>
      </c>
      <c r="Q4563" t="s">
        <v>641</v>
      </c>
      <c r="R4563">
        <v>2.16</v>
      </c>
      <c r="S4563">
        <v>57.01</v>
      </c>
      <c r="T4563" t="s">
        <v>167</v>
      </c>
    </row>
    <row r="4564" spans="1:20" x14ac:dyDescent="0.25">
      <c r="A4564" s="1" t="str">
        <f>HYPERLINK("https://vegkart.atlas.vegvesen.no/#/@272052.1,6616897.3,18/hva:hva%5B0%5D%5Bfilter%5D%5B0%5D%5Boperator%5D=%21%3D&amp;hva%5B0%5D%5Bfilter%5D%5B0%5D%5Btype_id%5D=4820&amp;hva%5B0%5D%5Bfilter%5D%5B0%5D%5Bverdi%5D=&amp;hva%5B0%5D%5Bid%5D=144/når:2018-03-27", "Vegkart")</f>
        <v>Vegkart</v>
      </c>
      <c r="B4564">
        <v>850048808</v>
      </c>
      <c r="C4564">
        <v>144</v>
      </c>
      <c r="D4564" t="s">
        <v>13345</v>
      </c>
      <c r="E4564">
        <v>4820</v>
      </c>
      <c r="F4564" t="s">
        <v>23479</v>
      </c>
      <c r="G4564">
        <v>1</v>
      </c>
      <c r="H4564" t="s">
        <v>15251</v>
      </c>
      <c r="J4564" t="s">
        <v>15159</v>
      </c>
      <c r="K4564" t="s">
        <v>104</v>
      </c>
      <c r="L4564" t="s">
        <v>80</v>
      </c>
      <c r="M4564" t="s">
        <v>53</v>
      </c>
      <c r="N4564" t="s">
        <v>15258</v>
      </c>
      <c r="O4564" t="s">
        <v>15259</v>
      </c>
      <c r="P4564" s="2" t="s">
        <v>165</v>
      </c>
      <c r="Q4564" t="s">
        <v>641</v>
      </c>
      <c r="R4564">
        <v>1.87</v>
      </c>
      <c r="S4564">
        <v>96.81</v>
      </c>
      <c r="T4564" t="s">
        <v>167</v>
      </c>
    </row>
    <row r="4565" spans="1:20" x14ac:dyDescent="0.25">
      <c r="A4565" s="1" t="str">
        <f>HYPERLINK("https://vegkart.atlas.vegvesen.no/#/@271984.1,6616953.9,18/hva:hva%5B0%5D%5Bfilter%5D%5B0%5D%5Boperator%5D=%21%3D&amp;hva%5B0%5D%5Bfilter%5D%5B0%5D%5Btype_id%5D=4820&amp;hva%5B0%5D%5Bfilter%5D%5B0%5D%5Bverdi%5D=&amp;hva%5B0%5D%5Bid%5D=144/når:2018-03-27", "Vegkart")</f>
        <v>Vegkart</v>
      </c>
      <c r="B4565">
        <v>850048811</v>
      </c>
      <c r="C4565">
        <v>144</v>
      </c>
      <c r="D4565" t="s">
        <v>13345</v>
      </c>
      <c r="E4565">
        <v>4820</v>
      </c>
      <c r="F4565" t="s">
        <v>23479</v>
      </c>
      <c r="G4565">
        <v>1</v>
      </c>
      <c r="H4565" t="s">
        <v>15251</v>
      </c>
      <c r="J4565" t="s">
        <v>15159</v>
      </c>
      <c r="K4565" t="s">
        <v>104</v>
      </c>
      <c r="L4565" t="s">
        <v>80</v>
      </c>
      <c r="M4565" t="s">
        <v>53</v>
      </c>
      <c r="N4565" t="s">
        <v>15260</v>
      </c>
      <c r="O4565" t="s">
        <v>15261</v>
      </c>
      <c r="P4565" s="2" t="s">
        <v>165</v>
      </c>
      <c r="Q4565" t="s">
        <v>641</v>
      </c>
      <c r="R4565">
        <v>5.0599999999999996</v>
      </c>
      <c r="S4565">
        <v>204.85</v>
      </c>
      <c r="T4565" t="s">
        <v>167</v>
      </c>
    </row>
    <row r="4566" spans="1:20" x14ac:dyDescent="0.25">
      <c r="A4566" s="1" t="str">
        <f>HYPERLINK("https://vegkart.atlas.vegvesen.no/#/@271940.5,6616983.1,18/hva:hva%5B0%5D%5Bfilter%5D%5B0%5D%5Boperator%5D=%21%3D&amp;hva%5B0%5D%5Bfilter%5D%5B0%5D%5Btype_id%5D=4820&amp;hva%5B0%5D%5Bfilter%5D%5B0%5D%5Bverdi%5D=&amp;hva%5B0%5D%5Bid%5D=144/når:2018-03-27", "Vegkart")</f>
        <v>Vegkart</v>
      </c>
      <c r="B4566">
        <v>850048813</v>
      </c>
      <c r="C4566">
        <v>144</v>
      </c>
      <c r="D4566" t="s">
        <v>13345</v>
      </c>
      <c r="E4566">
        <v>4820</v>
      </c>
      <c r="F4566" t="s">
        <v>23479</v>
      </c>
      <c r="G4566">
        <v>1</v>
      </c>
      <c r="H4566" t="s">
        <v>15251</v>
      </c>
      <c r="J4566" t="s">
        <v>15159</v>
      </c>
      <c r="K4566" t="s">
        <v>104</v>
      </c>
      <c r="L4566" t="s">
        <v>80</v>
      </c>
      <c r="M4566" t="s">
        <v>53</v>
      </c>
      <c r="N4566" t="s">
        <v>15262</v>
      </c>
      <c r="O4566" t="s">
        <v>15263</v>
      </c>
      <c r="P4566" s="2" t="s">
        <v>165</v>
      </c>
      <c r="Q4566" t="s">
        <v>641</v>
      </c>
      <c r="R4566">
        <v>8.19</v>
      </c>
      <c r="S4566">
        <v>59.91</v>
      </c>
      <c r="T4566" t="s">
        <v>167</v>
      </c>
    </row>
    <row r="4567" spans="1:20" x14ac:dyDescent="0.25">
      <c r="A4567" s="1" t="str">
        <f>HYPERLINK("https://vegkart.atlas.vegvesen.no/#/@272100.7,6616864.7,18/hva:hva%5B0%5D%5Bfilter%5D%5B0%5D%5Boperator%5D=%21%3D&amp;hva%5B0%5D%5Bfilter%5D%5B0%5D%5Btype_id%5D=4820&amp;hva%5B0%5D%5Bfilter%5D%5B0%5D%5Bverdi%5D=&amp;hva%5B0%5D%5Bid%5D=144/når:2018-03-27", "Vegkart")</f>
        <v>Vegkart</v>
      </c>
      <c r="B4567">
        <v>850048816</v>
      </c>
      <c r="C4567">
        <v>144</v>
      </c>
      <c r="D4567" t="s">
        <v>13345</v>
      </c>
      <c r="E4567">
        <v>4820</v>
      </c>
      <c r="F4567" t="s">
        <v>23479</v>
      </c>
      <c r="G4567">
        <v>1</v>
      </c>
      <c r="H4567" t="s">
        <v>15251</v>
      </c>
      <c r="J4567" t="s">
        <v>15159</v>
      </c>
      <c r="K4567" t="s">
        <v>104</v>
      </c>
      <c r="L4567" t="s">
        <v>80</v>
      </c>
      <c r="M4567" t="s">
        <v>53</v>
      </c>
      <c r="N4567" t="s">
        <v>15264</v>
      </c>
      <c r="O4567" t="s">
        <v>15265</v>
      </c>
      <c r="P4567" s="2" t="s">
        <v>165</v>
      </c>
      <c r="Q4567" t="s">
        <v>641</v>
      </c>
      <c r="R4567">
        <v>4.0999999999999996</v>
      </c>
      <c r="S4567">
        <v>288.26</v>
      </c>
      <c r="T4567" t="s">
        <v>167</v>
      </c>
    </row>
    <row r="4568" spans="1:20" x14ac:dyDescent="0.25">
      <c r="A4568" s="1" t="str">
        <f>HYPERLINK("https://vegkart.atlas.vegvesen.no/#/@274684.5,6615685.1,18/hva:hva%5B0%5D%5Bfilter%5D%5B0%5D%5Boperator%5D=%21%3D&amp;hva%5B0%5D%5Bfilter%5D%5B0%5D%5Btype_id%5D=4820&amp;hva%5B0%5D%5Bfilter%5D%5B0%5D%5Bverdi%5D=&amp;hva%5B0%5D%5Bid%5D=144/når:2018-03-27", "Vegkart")</f>
        <v>Vegkart</v>
      </c>
      <c r="B4568">
        <v>850048817</v>
      </c>
      <c r="C4568">
        <v>144</v>
      </c>
      <c r="D4568" t="s">
        <v>13345</v>
      </c>
      <c r="E4568">
        <v>4820</v>
      </c>
      <c r="F4568" t="s">
        <v>23479</v>
      </c>
      <c r="G4568">
        <v>1</v>
      </c>
      <c r="H4568" t="s">
        <v>15251</v>
      </c>
      <c r="J4568" t="s">
        <v>15159</v>
      </c>
      <c r="K4568" t="s">
        <v>104</v>
      </c>
      <c r="L4568" t="s">
        <v>80</v>
      </c>
      <c r="M4568" t="s">
        <v>53</v>
      </c>
      <c r="N4568" t="s">
        <v>15266</v>
      </c>
      <c r="O4568" t="s">
        <v>15267</v>
      </c>
      <c r="P4568" s="2" t="s">
        <v>165</v>
      </c>
      <c r="Q4568" t="s">
        <v>641</v>
      </c>
      <c r="R4568">
        <v>9.86</v>
      </c>
      <c r="S4568">
        <v>179.25</v>
      </c>
      <c r="T4568" t="s">
        <v>167</v>
      </c>
    </row>
    <row r="4569" spans="1:20" x14ac:dyDescent="0.25">
      <c r="A4569" s="1" t="str">
        <f>HYPERLINK("https://vegkart.atlas.vegvesen.no/#/@274306.0,6616124.4,18/hva:hva%5B0%5D%5Bfilter%5D%5B0%5D%5Boperator%5D=%21%3D&amp;hva%5B0%5D%5Bfilter%5D%5B0%5D%5Btype_id%5D=4820&amp;hva%5B0%5D%5Bfilter%5D%5B0%5D%5Bverdi%5D=&amp;hva%5B0%5D%5Bid%5D=144/når:2018-03-27", "Vegkart")</f>
        <v>Vegkart</v>
      </c>
      <c r="B4569">
        <v>850048819</v>
      </c>
      <c r="C4569">
        <v>144</v>
      </c>
      <c r="D4569" t="s">
        <v>13345</v>
      </c>
      <c r="E4569">
        <v>4820</v>
      </c>
      <c r="F4569" t="s">
        <v>23479</v>
      </c>
      <c r="G4569">
        <v>1</v>
      </c>
      <c r="H4569" t="s">
        <v>15251</v>
      </c>
      <c r="J4569" t="s">
        <v>15159</v>
      </c>
      <c r="K4569" t="s">
        <v>104</v>
      </c>
      <c r="L4569" t="s">
        <v>80</v>
      </c>
      <c r="M4569" t="s">
        <v>53</v>
      </c>
      <c r="N4569" t="s">
        <v>15268</v>
      </c>
      <c r="O4569" t="s">
        <v>15269</v>
      </c>
      <c r="P4569" s="2" t="s">
        <v>165</v>
      </c>
      <c r="Q4569" t="s">
        <v>641</v>
      </c>
      <c r="R4569">
        <v>1.4</v>
      </c>
      <c r="S4569">
        <v>134.06</v>
      </c>
      <c r="T4569" t="s">
        <v>167</v>
      </c>
    </row>
    <row r="4570" spans="1:20" x14ac:dyDescent="0.25">
      <c r="A4570" s="1" t="str">
        <f>HYPERLINK("https://vegkart.atlas.vegvesen.no/#/@271927.5,6617001.9,18/hva:hva%5B0%5D%5Bfilter%5D%5B0%5D%5Boperator%5D=%21%3D&amp;hva%5B0%5D%5Bfilter%5D%5B0%5D%5Btype_id%5D=4820&amp;hva%5B0%5D%5Bfilter%5D%5B0%5D%5Bverdi%5D=&amp;hva%5B0%5D%5Bid%5D=144/når:2018-03-27", "Vegkart")</f>
        <v>Vegkart</v>
      </c>
      <c r="B4570">
        <v>850048820</v>
      </c>
      <c r="C4570">
        <v>144</v>
      </c>
      <c r="D4570" t="s">
        <v>13345</v>
      </c>
      <c r="E4570">
        <v>4820</v>
      </c>
      <c r="F4570" t="s">
        <v>23479</v>
      </c>
      <c r="G4570">
        <v>1</v>
      </c>
      <c r="H4570" t="s">
        <v>15251</v>
      </c>
      <c r="J4570" t="s">
        <v>15159</v>
      </c>
      <c r="K4570" t="s">
        <v>104</v>
      </c>
      <c r="L4570" t="s">
        <v>80</v>
      </c>
      <c r="M4570" t="s">
        <v>53</v>
      </c>
      <c r="N4570" t="s">
        <v>15270</v>
      </c>
      <c r="O4570" t="s">
        <v>15271</v>
      </c>
      <c r="P4570" s="2" t="s">
        <v>165</v>
      </c>
      <c r="Q4570" t="s">
        <v>641</v>
      </c>
      <c r="R4570">
        <v>2.5299999999999998</v>
      </c>
      <c r="S4570">
        <v>98.26</v>
      </c>
      <c r="T4570" t="s">
        <v>167</v>
      </c>
    </row>
    <row r="4571" spans="1:20" x14ac:dyDescent="0.25">
      <c r="A4571" s="1" t="str">
        <f>HYPERLINK("https://vegkart.atlas.vegvesen.no/#/@274743.8,6615727.8,18/hva:hva%5B0%5D%5Bfilter%5D%5B0%5D%5Boperator%5D=%21%3D&amp;hva%5B0%5D%5Bfilter%5D%5B0%5D%5Btype_id%5D=4820&amp;hva%5B0%5D%5Bfilter%5D%5B0%5D%5Bverdi%5D=&amp;hva%5B0%5D%5Bid%5D=144/når:2018-03-27", "Vegkart")</f>
        <v>Vegkart</v>
      </c>
      <c r="B4571">
        <v>850048821</v>
      </c>
      <c r="C4571">
        <v>144</v>
      </c>
      <c r="D4571" t="s">
        <v>13345</v>
      </c>
      <c r="E4571">
        <v>4820</v>
      </c>
      <c r="F4571" t="s">
        <v>23479</v>
      </c>
      <c r="G4571">
        <v>1</v>
      </c>
      <c r="H4571" t="s">
        <v>15251</v>
      </c>
      <c r="J4571" t="s">
        <v>15159</v>
      </c>
      <c r="K4571" t="s">
        <v>104</v>
      </c>
      <c r="L4571" t="s">
        <v>80</v>
      </c>
      <c r="M4571" t="s">
        <v>53</v>
      </c>
      <c r="N4571" t="s">
        <v>15272</v>
      </c>
      <c r="O4571" t="s">
        <v>15273</v>
      </c>
      <c r="P4571" s="2" t="s">
        <v>165</v>
      </c>
      <c r="Q4571" t="s">
        <v>641</v>
      </c>
      <c r="R4571">
        <v>2.56</v>
      </c>
      <c r="S4571">
        <v>68.209999999999994</v>
      </c>
      <c r="T4571" t="s">
        <v>167</v>
      </c>
    </row>
    <row r="4572" spans="1:20" x14ac:dyDescent="0.25">
      <c r="A4572" s="1" t="str">
        <f>HYPERLINK("https://vegkart.atlas.vegvesen.no/#/@353798.7,7062976.8,18/hva:hva%5B0%5D%5Bfilter%5D%5B0%5D%5Boperator%5D=%21%3D&amp;hva%5B0%5D%5Bfilter%5D%5B0%5D%5Btype_id%5D=4820&amp;hva%5B0%5D%5Bfilter%5D%5B0%5D%5Bverdi%5D=&amp;hva%5B0%5D%5Bid%5D=144/når:2018-04-03", "Vegkart")</f>
        <v>Vegkart</v>
      </c>
      <c r="B4572">
        <v>850341702</v>
      </c>
      <c r="C4572">
        <v>144</v>
      </c>
      <c r="D4572" t="s">
        <v>13345</v>
      </c>
      <c r="E4572">
        <v>4820</v>
      </c>
      <c r="F4572" t="s">
        <v>23479</v>
      </c>
      <c r="G4572">
        <v>1</v>
      </c>
      <c r="H4572" t="s">
        <v>15274</v>
      </c>
      <c r="J4572" t="s">
        <v>15159</v>
      </c>
      <c r="K4572" t="s">
        <v>192</v>
      </c>
      <c r="L4572" t="s">
        <v>33</v>
      </c>
      <c r="M4572" t="s">
        <v>9904</v>
      </c>
      <c r="N4572" t="s">
        <v>15275</v>
      </c>
      <c r="O4572" t="s">
        <v>15276</v>
      </c>
      <c r="P4572" s="2" t="s">
        <v>67</v>
      </c>
      <c r="Q4572" t="s">
        <v>68</v>
      </c>
      <c r="R4572">
        <v>24.46</v>
      </c>
      <c r="S4572">
        <v>29.2</v>
      </c>
      <c r="T4572" t="s">
        <v>15277</v>
      </c>
    </row>
    <row r="4573" spans="1:20" x14ac:dyDescent="0.25">
      <c r="A4573" s="1" t="str">
        <f>HYPERLINK("https://vegkart.atlas.vegvesen.no/#/@353866.9,7062979.3,18/hva:hva%5B0%5D%5Bfilter%5D%5B0%5D%5Boperator%5D=%21%3D&amp;hva%5B0%5D%5Bfilter%5D%5B0%5D%5Btype_id%5D=4820&amp;hva%5B0%5D%5Bfilter%5D%5B0%5D%5Bverdi%5D=&amp;hva%5B0%5D%5Bid%5D=144/når:2018-04-03", "Vegkart")</f>
        <v>Vegkart</v>
      </c>
      <c r="B4573">
        <v>850341708</v>
      </c>
      <c r="C4573">
        <v>144</v>
      </c>
      <c r="D4573" t="s">
        <v>13345</v>
      </c>
      <c r="E4573">
        <v>4820</v>
      </c>
      <c r="F4573" t="s">
        <v>23479</v>
      </c>
      <c r="G4573">
        <v>1</v>
      </c>
      <c r="H4573" t="s">
        <v>15274</v>
      </c>
      <c r="J4573" t="s">
        <v>15159</v>
      </c>
      <c r="K4573" t="s">
        <v>192</v>
      </c>
      <c r="L4573" t="s">
        <v>33</v>
      </c>
      <c r="M4573" t="s">
        <v>9904</v>
      </c>
      <c r="N4573" t="s">
        <v>15278</v>
      </c>
      <c r="O4573" t="s">
        <v>15279</v>
      </c>
      <c r="P4573" s="2" t="s">
        <v>67</v>
      </c>
      <c r="Q4573" t="s">
        <v>68</v>
      </c>
      <c r="R4573">
        <v>47.64</v>
      </c>
      <c r="S4573">
        <v>75.86</v>
      </c>
      <c r="T4573" t="s">
        <v>15280</v>
      </c>
    </row>
    <row r="4574" spans="1:20" x14ac:dyDescent="0.25">
      <c r="A4574" s="1" t="str">
        <f>HYPERLINK("https://vegkart.atlas.vegvesen.no/#/@232786.1,6637991.2,18/hva:hva%5B0%5D%5Bfilter%5D%5B0%5D%5Boperator%5D=%21%3D&amp;hva%5B0%5D%5Bfilter%5D%5B0%5D%5Btype_id%5D=4820&amp;hva%5B0%5D%5Bfilter%5D%5B0%5D%5Bverdi%5D=&amp;hva%5B0%5D%5Bid%5D=144/når:2018-04-16", "Vegkart")</f>
        <v>Vegkart</v>
      </c>
      <c r="B4574">
        <v>850856753</v>
      </c>
      <c r="C4574">
        <v>144</v>
      </c>
      <c r="D4574" t="s">
        <v>13345</v>
      </c>
      <c r="E4574">
        <v>4820</v>
      </c>
      <c r="F4574" t="s">
        <v>23479</v>
      </c>
      <c r="G4574">
        <v>1</v>
      </c>
      <c r="H4574" t="s">
        <v>15281</v>
      </c>
      <c r="J4574" t="s">
        <v>15159</v>
      </c>
      <c r="K4574" t="s">
        <v>307</v>
      </c>
      <c r="L4574" t="s">
        <v>33</v>
      </c>
      <c r="M4574" t="s">
        <v>11592</v>
      </c>
      <c r="N4574" t="s">
        <v>15282</v>
      </c>
      <c r="O4574" t="s">
        <v>15283</v>
      </c>
      <c r="P4574" s="2" t="s">
        <v>37</v>
      </c>
      <c r="Q4574" t="s">
        <v>1208</v>
      </c>
      <c r="R4574">
        <v>2.33</v>
      </c>
      <c r="S4574">
        <v>28.2</v>
      </c>
      <c r="T4574" t="s">
        <v>15284</v>
      </c>
    </row>
    <row r="4575" spans="1:20" x14ac:dyDescent="0.25">
      <c r="A4575" s="1" t="str">
        <f>HYPERLINK("https://vegkart.atlas.vegvesen.no/#/@232772.8,6638000.7,18/hva:hva%5B0%5D%5Bfilter%5D%5B0%5D%5Boperator%5D=%21%3D&amp;hva%5B0%5D%5Bfilter%5D%5B0%5D%5Btype_id%5D=4820&amp;hva%5B0%5D%5Bfilter%5D%5B0%5D%5Bverdi%5D=&amp;hva%5B0%5D%5Bid%5D=144/når:2018-04-16", "Vegkart")</f>
        <v>Vegkart</v>
      </c>
      <c r="B4575">
        <v>850856754</v>
      </c>
      <c r="C4575">
        <v>144</v>
      </c>
      <c r="D4575" t="s">
        <v>13345</v>
      </c>
      <c r="E4575">
        <v>4820</v>
      </c>
      <c r="F4575" t="s">
        <v>23479</v>
      </c>
      <c r="G4575">
        <v>1</v>
      </c>
      <c r="H4575" t="s">
        <v>15281</v>
      </c>
      <c r="J4575" t="s">
        <v>15159</v>
      </c>
      <c r="K4575" t="s">
        <v>307</v>
      </c>
      <c r="L4575" t="s">
        <v>33</v>
      </c>
      <c r="M4575" t="s">
        <v>11592</v>
      </c>
      <c r="N4575" t="s">
        <v>15285</v>
      </c>
      <c r="O4575" t="s">
        <v>15286</v>
      </c>
      <c r="P4575" s="2" t="s">
        <v>37</v>
      </c>
      <c r="Q4575" t="s">
        <v>1208</v>
      </c>
      <c r="R4575">
        <v>2.4300000000000002</v>
      </c>
      <c r="S4575">
        <v>48.82</v>
      </c>
      <c r="T4575" t="s">
        <v>15287</v>
      </c>
    </row>
    <row r="4576" spans="1:20" x14ac:dyDescent="0.25">
      <c r="A4576" s="1" t="str">
        <f>HYPERLINK("https://vegkart.atlas.vegvesen.no/#/@232771.1,6638013.9,18/hva:hva%5B0%5D%5Bfilter%5D%5B0%5D%5Boperator%5D=%21%3D&amp;hva%5B0%5D%5Bfilter%5D%5B0%5D%5Btype_id%5D=4820&amp;hva%5B0%5D%5Bfilter%5D%5B0%5D%5Bverdi%5D=&amp;hva%5B0%5D%5Bid%5D=144/når:2018-04-16", "Vegkart")</f>
        <v>Vegkart</v>
      </c>
      <c r="B4576">
        <v>850856755</v>
      </c>
      <c r="C4576">
        <v>144</v>
      </c>
      <c r="D4576" t="s">
        <v>13345</v>
      </c>
      <c r="E4576">
        <v>4820</v>
      </c>
      <c r="F4576" t="s">
        <v>23479</v>
      </c>
      <c r="G4576">
        <v>1</v>
      </c>
      <c r="H4576" t="s">
        <v>15281</v>
      </c>
      <c r="J4576" t="s">
        <v>15159</v>
      </c>
      <c r="K4576" t="s">
        <v>307</v>
      </c>
      <c r="L4576" t="s">
        <v>33</v>
      </c>
      <c r="M4576" t="s">
        <v>11592</v>
      </c>
      <c r="N4576" t="s">
        <v>15288</v>
      </c>
      <c r="O4576" t="s">
        <v>15289</v>
      </c>
      <c r="P4576" s="2" t="s">
        <v>37</v>
      </c>
      <c r="Q4576" t="s">
        <v>1208</v>
      </c>
      <c r="R4576">
        <v>7.1</v>
      </c>
      <c r="S4576">
        <v>32.18</v>
      </c>
      <c r="T4576" t="s">
        <v>15290</v>
      </c>
    </row>
    <row r="4577" spans="1:20" x14ac:dyDescent="0.25">
      <c r="A4577" s="1" t="str">
        <f>HYPERLINK("https://vegkart.atlas.vegvesen.no/#/@-45808.7,6730866.4,18/hva:hva%5B0%5D%5Bfilter%5D%5B0%5D%5Boperator%5D=%21%3D&amp;hva%5B0%5D%5Bfilter%5D%5B0%5D%5Btype_id%5D=4820&amp;hva%5B0%5D%5Bfilter%5D%5B0%5D%5Bverdi%5D=&amp;hva%5B0%5D%5Bid%5D=144/når:2018-06-22", "Vegkart")</f>
        <v>Vegkart</v>
      </c>
      <c r="B4577">
        <v>870877872</v>
      </c>
      <c r="C4577">
        <v>144</v>
      </c>
      <c r="D4577" t="s">
        <v>13345</v>
      </c>
      <c r="E4577">
        <v>4820</v>
      </c>
      <c r="F4577" t="s">
        <v>23479</v>
      </c>
      <c r="G4577">
        <v>1</v>
      </c>
      <c r="H4577" t="s">
        <v>6961</v>
      </c>
      <c r="J4577" t="s">
        <v>15159</v>
      </c>
      <c r="K4577" t="s">
        <v>21</v>
      </c>
      <c r="L4577" t="s">
        <v>33</v>
      </c>
      <c r="M4577" t="s">
        <v>6963</v>
      </c>
      <c r="N4577" t="s">
        <v>15291</v>
      </c>
      <c r="O4577" t="s">
        <v>15292</v>
      </c>
      <c r="P4577" s="2" t="s">
        <v>67</v>
      </c>
      <c r="Q4577" t="s">
        <v>68</v>
      </c>
      <c r="R4577">
        <v>48.85</v>
      </c>
      <c r="S4577">
        <v>49.12</v>
      </c>
      <c r="T4577" t="s">
        <v>15293</v>
      </c>
    </row>
    <row r="4578" spans="1:20" x14ac:dyDescent="0.25">
      <c r="A4578" s="1" t="str">
        <f>HYPERLINK("https://vegkart.atlas.vegvesen.no/#/@168214.5,6746672.9,18/hva:hva%5B0%5D%5Bfilter%5D%5B0%5D%5Boperator%5D=%21%3D&amp;hva%5B0%5D%5Bfilter%5D%5B0%5D%5Btype_id%5D=4820&amp;hva%5B0%5D%5Bfilter%5D%5B0%5D%5Bverdi%5D=&amp;hva%5B0%5D%5Bid%5D=144/når:2018-07-12", "Vegkart")</f>
        <v>Vegkart</v>
      </c>
      <c r="B4578">
        <v>881767830</v>
      </c>
      <c r="C4578">
        <v>144</v>
      </c>
      <c r="D4578" t="s">
        <v>13345</v>
      </c>
      <c r="E4578">
        <v>4820</v>
      </c>
      <c r="F4578" t="s">
        <v>23479</v>
      </c>
      <c r="G4578">
        <v>1</v>
      </c>
      <c r="H4578" t="s">
        <v>13371</v>
      </c>
      <c r="J4578" t="s">
        <v>15159</v>
      </c>
      <c r="K4578" t="s">
        <v>307</v>
      </c>
      <c r="L4578" t="s">
        <v>113</v>
      </c>
      <c r="M4578" t="s">
        <v>3363</v>
      </c>
      <c r="N4578" t="s">
        <v>15294</v>
      </c>
      <c r="O4578" t="s">
        <v>15295</v>
      </c>
      <c r="P4578" s="2" t="s">
        <v>67</v>
      </c>
      <c r="Q4578" t="s">
        <v>68</v>
      </c>
      <c r="R4578">
        <v>18.670000000000002</v>
      </c>
      <c r="S4578">
        <v>18.7</v>
      </c>
      <c r="T4578" t="s">
        <v>15296</v>
      </c>
    </row>
    <row r="4579" spans="1:20" x14ac:dyDescent="0.25">
      <c r="A4579" s="1" t="str">
        <f>HYPERLINK("https://vegkart.atlas.vegvesen.no/#/@709563.6,7723982.5,18/hva:hva%5B0%5D%5Bfilter%5D%5B0%5D%5Boperator%5D=%21%3D&amp;hva%5B0%5D%5Bfilter%5D%5B0%5D%5Btype_id%5D=4820&amp;hva%5B0%5D%5Bfilter%5D%5B0%5D%5Bverdi%5D=&amp;hva%5B0%5D%5Bid%5D=144/når:2018-07-18", "Vegkart")</f>
        <v>Vegkart</v>
      </c>
      <c r="B4579">
        <v>881774686</v>
      </c>
      <c r="C4579">
        <v>144</v>
      </c>
      <c r="D4579" t="s">
        <v>13345</v>
      </c>
      <c r="E4579">
        <v>4820</v>
      </c>
      <c r="F4579" t="s">
        <v>23479</v>
      </c>
      <c r="G4579">
        <v>1</v>
      </c>
      <c r="H4579" t="s">
        <v>15297</v>
      </c>
      <c r="J4579" t="s">
        <v>15159</v>
      </c>
      <c r="K4579" t="s">
        <v>179</v>
      </c>
      <c r="L4579" t="s">
        <v>80</v>
      </c>
      <c r="M4579" t="s">
        <v>105</v>
      </c>
      <c r="N4579" t="s">
        <v>15298</v>
      </c>
      <c r="O4579" t="s">
        <v>15299</v>
      </c>
      <c r="P4579" s="2" t="s">
        <v>67</v>
      </c>
      <c r="Q4579" t="s">
        <v>68</v>
      </c>
      <c r="R4579">
        <v>97.64</v>
      </c>
      <c r="S4579">
        <v>239.64</v>
      </c>
      <c r="T4579" t="s">
        <v>15300</v>
      </c>
    </row>
    <row r="4580" spans="1:20" x14ac:dyDescent="0.25">
      <c r="A4580" s="1" t="str">
        <f>HYPERLINK("https://vegkart.atlas.vegvesen.no/#/@265386.9,7085799.9,18/hva:hva%5B0%5D%5Bfilter%5D%5B0%5D%5Boperator%5D=%21%3D&amp;hva%5B0%5D%5Bfilter%5D%5B0%5D%5Btype_id%5D=4820&amp;hva%5B0%5D%5Bfilter%5D%5B0%5D%5Bverdi%5D=&amp;hva%5B0%5D%5Bid%5D=144/når:2018-07-19", "Vegkart")</f>
        <v>Vegkart</v>
      </c>
      <c r="B4580">
        <v>882182348</v>
      </c>
      <c r="C4580">
        <v>144</v>
      </c>
      <c r="D4580" t="s">
        <v>13345</v>
      </c>
      <c r="E4580">
        <v>4820</v>
      </c>
      <c r="F4580" t="s">
        <v>23479</v>
      </c>
      <c r="G4580">
        <v>1</v>
      </c>
      <c r="H4580" t="s">
        <v>1612</v>
      </c>
      <c r="J4580" t="s">
        <v>15159</v>
      </c>
      <c r="K4580" t="s">
        <v>192</v>
      </c>
      <c r="L4580" t="s">
        <v>33</v>
      </c>
      <c r="M4580" t="s">
        <v>6448</v>
      </c>
      <c r="N4580" t="s">
        <v>15301</v>
      </c>
      <c r="O4580" t="s">
        <v>15302</v>
      </c>
      <c r="P4580" s="2" t="s">
        <v>67</v>
      </c>
      <c r="Q4580" t="s">
        <v>68</v>
      </c>
      <c r="R4580">
        <v>3.6</v>
      </c>
      <c r="S4580">
        <v>3.6</v>
      </c>
      <c r="T4580" t="s">
        <v>15303</v>
      </c>
    </row>
    <row r="4581" spans="1:20" x14ac:dyDescent="0.25">
      <c r="A4581" s="1" t="str">
        <f>HYPERLINK("https://vegkart.atlas.vegvesen.no/#/@265373.8,7086529.4,18/hva:hva%5B0%5D%5Bfilter%5D%5B0%5D%5Boperator%5D=%21%3D&amp;hva%5B0%5D%5Bfilter%5D%5B0%5D%5Btype_id%5D=4820&amp;hva%5B0%5D%5Bfilter%5D%5B0%5D%5Bverdi%5D=&amp;hva%5B0%5D%5Bid%5D=144/når:2018-07-19", "Vegkart")</f>
        <v>Vegkart</v>
      </c>
      <c r="B4581">
        <v>882182349</v>
      </c>
      <c r="C4581">
        <v>144</v>
      </c>
      <c r="D4581" t="s">
        <v>13345</v>
      </c>
      <c r="E4581">
        <v>4820</v>
      </c>
      <c r="F4581" t="s">
        <v>23479</v>
      </c>
      <c r="G4581">
        <v>1</v>
      </c>
      <c r="H4581" t="s">
        <v>1612</v>
      </c>
      <c r="J4581" t="s">
        <v>15159</v>
      </c>
      <c r="K4581" t="s">
        <v>192</v>
      </c>
      <c r="L4581" t="s">
        <v>33</v>
      </c>
      <c r="M4581" t="s">
        <v>6448</v>
      </c>
      <c r="N4581" t="s">
        <v>15304</v>
      </c>
      <c r="O4581" t="s">
        <v>15305</v>
      </c>
      <c r="P4581" s="2" t="s">
        <v>67</v>
      </c>
      <c r="Q4581" t="s">
        <v>68</v>
      </c>
      <c r="R4581">
        <v>4.57</v>
      </c>
      <c r="S4581">
        <v>4.57</v>
      </c>
      <c r="T4581" t="s">
        <v>15306</v>
      </c>
    </row>
    <row r="4582" spans="1:20" x14ac:dyDescent="0.25">
      <c r="A4582" s="1" t="str">
        <f>HYPERLINK("https://vegkart.atlas.vegvesen.no/#/@265446.3,7087637.9,18/hva:hva%5B0%5D%5Bfilter%5D%5B0%5D%5Boperator%5D=%21%3D&amp;hva%5B0%5D%5Bfilter%5D%5B0%5D%5Btype_id%5D=4820&amp;hva%5B0%5D%5Bfilter%5D%5B0%5D%5Bverdi%5D=&amp;hva%5B0%5D%5Bid%5D=144/når:2018-07-19", "Vegkart")</f>
        <v>Vegkart</v>
      </c>
      <c r="B4582">
        <v>882182350</v>
      </c>
      <c r="C4582">
        <v>144</v>
      </c>
      <c r="D4582" t="s">
        <v>13345</v>
      </c>
      <c r="E4582">
        <v>4820</v>
      </c>
      <c r="F4582" t="s">
        <v>23479</v>
      </c>
      <c r="G4582">
        <v>1</v>
      </c>
      <c r="H4582" t="s">
        <v>1612</v>
      </c>
      <c r="J4582" t="s">
        <v>15159</v>
      </c>
      <c r="K4582" t="s">
        <v>192</v>
      </c>
      <c r="L4582" t="s">
        <v>33</v>
      </c>
      <c r="M4582" t="s">
        <v>6448</v>
      </c>
      <c r="N4582" t="s">
        <v>15307</v>
      </c>
      <c r="O4582" t="s">
        <v>15308</v>
      </c>
      <c r="P4582" s="2" t="s">
        <v>67</v>
      </c>
      <c r="Q4582" t="s">
        <v>68</v>
      </c>
      <c r="R4582">
        <v>6.29</v>
      </c>
      <c r="S4582">
        <v>6.29</v>
      </c>
      <c r="T4582" t="s">
        <v>15309</v>
      </c>
    </row>
    <row r="4583" spans="1:20" x14ac:dyDescent="0.25">
      <c r="A4583" s="1" t="str">
        <f>HYPERLINK("https://vegkart.atlas.vegvesen.no/#/@265416.6,7087645.0,18/hva:hva%5B0%5D%5Bfilter%5D%5B0%5D%5Boperator%5D=%21%3D&amp;hva%5B0%5D%5Bfilter%5D%5B0%5D%5Btype_id%5D=4820&amp;hva%5B0%5D%5Bfilter%5D%5B0%5D%5Bverdi%5D=&amp;hva%5B0%5D%5Bid%5D=144/når:2018-07-19", "Vegkart")</f>
        <v>Vegkart</v>
      </c>
      <c r="B4583">
        <v>882182351</v>
      </c>
      <c r="C4583">
        <v>144</v>
      </c>
      <c r="D4583" t="s">
        <v>13345</v>
      </c>
      <c r="E4583">
        <v>4820</v>
      </c>
      <c r="F4583" t="s">
        <v>23479</v>
      </c>
      <c r="G4583">
        <v>1</v>
      </c>
      <c r="H4583" t="s">
        <v>1612</v>
      </c>
      <c r="J4583" t="s">
        <v>15159</v>
      </c>
      <c r="K4583" t="s">
        <v>192</v>
      </c>
      <c r="L4583" t="s">
        <v>33</v>
      </c>
      <c r="M4583" t="s">
        <v>6448</v>
      </c>
      <c r="N4583" t="s">
        <v>15310</v>
      </c>
      <c r="O4583" t="s">
        <v>15311</v>
      </c>
      <c r="P4583" s="2" t="s">
        <v>67</v>
      </c>
      <c r="Q4583" t="s">
        <v>68</v>
      </c>
      <c r="R4583">
        <v>3.41</v>
      </c>
      <c r="S4583">
        <v>3.41</v>
      </c>
      <c r="T4583" t="s">
        <v>15312</v>
      </c>
    </row>
    <row r="4584" spans="1:20" x14ac:dyDescent="0.25">
      <c r="A4584" s="1" t="str">
        <f>HYPERLINK("https://vegkart.atlas.vegvesen.no/#/@265438.4,7087839.0,18/hva:hva%5B0%5D%5Bfilter%5D%5B0%5D%5Boperator%5D=%21%3D&amp;hva%5B0%5D%5Bfilter%5D%5B0%5D%5Btype_id%5D=4820&amp;hva%5B0%5D%5Bfilter%5D%5B0%5D%5Bverdi%5D=&amp;hva%5B0%5D%5Bid%5D=144/når:2018-07-19", "Vegkart")</f>
        <v>Vegkart</v>
      </c>
      <c r="B4584">
        <v>882182352</v>
      </c>
      <c r="C4584">
        <v>144</v>
      </c>
      <c r="D4584" t="s">
        <v>13345</v>
      </c>
      <c r="E4584">
        <v>4820</v>
      </c>
      <c r="F4584" t="s">
        <v>23479</v>
      </c>
      <c r="G4584">
        <v>1</v>
      </c>
      <c r="H4584" t="s">
        <v>1612</v>
      </c>
      <c r="J4584" t="s">
        <v>15159</v>
      </c>
      <c r="K4584" t="s">
        <v>192</v>
      </c>
      <c r="L4584" t="s">
        <v>33</v>
      </c>
      <c r="M4584" t="s">
        <v>6448</v>
      </c>
      <c r="N4584" t="s">
        <v>15313</v>
      </c>
      <c r="O4584" t="s">
        <v>15314</v>
      </c>
      <c r="P4584" s="2" t="s">
        <v>67</v>
      </c>
      <c r="Q4584" t="s">
        <v>68</v>
      </c>
      <c r="R4584">
        <v>5.58</v>
      </c>
      <c r="S4584">
        <v>5.58</v>
      </c>
      <c r="T4584" t="s">
        <v>15315</v>
      </c>
    </row>
    <row r="4585" spans="1:20" x14ac:dyDescent="0.25">
      <c r="A4585" s="1" t="str">
        <f>HYPERLINK("https://vegkart.atlas.vegvesen.no/#/@265460.4,7087833.6,18/hva:hva%5B0%5D%5Bfilter%5D%5B0%5D%5Boperator%5D=%21%3D&amp;hva%5B0%5D%5Bfilter%5D%5B0%5D%5Btype_id%5D=4820&amp;hva%5B0%5D%5Bfilter%5D%5B0%5D%5Bverdi%5D=&amp;hva%5B0%5D%5Bid%5D=144/når:2018-07-19", "Vegkart")</f>
        <v>Vegkart</v>
      </c>
      <c r="B4585">
        <v>882182353</v>
      </c>
      <c r="C4585">
        <v>144</v>
      </c>
      <c r="D4585" t="s">
        <v>13345</v>
      </c>
      <c r="E4585">
        <v>4820</v>
      </c>
      <c r="F4585" t="s">
        <v>23479</v>
      </c>
      <c r="G4585">
        <v>1</v>
      </c>
      <c r="H4585" t="s">
        <v>1612</v>
      </c>
      <c r="J4585" t="s">
        <v>15159</v>
      </c>
      <c r="K4585" t="s">
        <v>192</v>
      </c>
      <c r="L4585" t="s">
        <v>33</v>
      </c>
      <c r="M4585" t="s">
        <v>6448</v>
      </c>
      <c r="N4585" t="s">
        <v>15316</v>
      </c>
      <c r="O4585" t="s">
        <v>15317</v>
      </c>
      <c r="P4585" s="2" t="s">
        <v>67</v>
      </c>
      <c r="Q4585" t="s">
        <v>68</v>
      </c>
      <c r="R4585">
        <v>4.5599999999999996</v>
      </c>
      <c r="S4585">
        <v>4.5599999999999996</v>
      </c>
      <c r="T4585" t="s">
        <v>15318</v>
      </c>
    </row>
    <row r="4586" spans="1:20" x14ac:dyDescent="0.25">
      <c r="A4586" s="1" t="str">
        <f>HYPERLINK("https://vegkart.atlas.vegvesen.no/#/@265459.5,7087907.0,18/hva:hva%5B0%5D%5Bfilter%5D%5B0%5D%5Boperator%5D=%21%3D&amp;hva%5B0%5D%5Bfilter%5D%5B0%5D%5Btype_id%5D=4820&amp;hva%5B0%5D%5Bfilter%5D%5B0%5D%5Bverdi%5D=&amp;hva%5B0%5D%5Bid%5D=144/når:2018-07-19", "Vegkart")</f>
        <v>Vegkart</v>
      </c>
      <c r="B4586">
        <v>882182354</v>
      </c>
      <c r="C4586">
        <v>144</v>
      </c>
      <c r="D4586" t="s">
        <v>13345</v>
      </c>
      <c r="E4586">
        <v>4820</v>
      </c>
      <c r="F4586" t="s">
        <v>23479</v>
      </c>
      <c r="G4586">
        <v>1</v>
      </c>
      <c r="H4586" t="s">
        <v>1612</v>
      </c>
      <c r="J4586" t="s">
        <v>15159</v>
      </c>
      <c r="K4586" t="s">
        <v>192</v>
      </c>
      <c r="L4586" t="s">
        <v>33</v>
      </c>
      <c r="M4586" t="s">
        <v>6448</v>
      </c>
      <c r="N4586" t="s">
        <v>15319</v>
      </c>
      <c r="O4586" t="s">
        <v>15320</v>
      </c>
      <c r="P4586" s="2" t="s">
        <v>67</v>
      </c>
      <c r="Q4586" t="s">
        <v>68</v>
      </c>
      <c r="R4586">
        <v>4.12</v>
      </c>
      <c r="S4586">
        <v>4.12</v>
      </c>
      <c r="T4586" t="s">
        <v>15321</v>
      </c>
    </row>
    <row r="4587" spans="1:20" x14ac:dyDescent="0.25">
      <c r="A4587" s="1" t="str">
        <f>HYPERLINK("https://vegkart.atlas.vegvesen.no/#/@265481.6,7087898.2,18/hva:hva%5B0%5D%5Bfilter%5D%5B0%5D%5Boperator%5D=%21%3D&amp;hva%5B0%5D%5Bfilter%5D%5B0%5D%5Btype_id%5D=4820&amp;hva%5B0%5D%5Bfilter%5D%5B0%5D%5Bverdi%5D=&amp;hva%5B0%5D%5Bid%5D=144/når:2018-07-19", "Vegkart")</f>
        <v>Vegkart</v>
      </c>
      <c r="B4587">
        <v>882182355</v>
      </c>
      <c r="C4587">
        <v>144</v>
      </c>
      <c r="D4587" t="s">
        <v>13345</v>
      </c>
      <c r="E4587">
        <v>4820</v>
      </c>
      <c r="F4587" t="s">
        <v>23479</v>
      </c>
      <c r="G4587">
        <v>1</v>
      </c>
      <c r="H4587" t="s">
        <v>1612</v>
      </c>
      <c r="J4587" t="s">
        <v>15159</v>
      </c>
      <c r="K4587" t="s">
        <v>192</v>
      </c>
      <c r="L4587" t="s">
        <v>33</v>
      </c>
      <c r="M4587" t="s">
        <v>6448</v>
      </c>
      <c r="N4587" t="s">
        <v>15322</v>
      </c>
      <c r="O4587" t="s">
        <v>15323</v>
      </c>
      <c r="P4587" s="2" t="s">
        <v>67</v>
      </c>
      <c r="Q4587" t="s">
        <v>68</v>
      </c>
      <c r="R4587">
        <v>5.35</v>
      </c>
      <c r="S4587">
        <v>5.35</v>
      </c>
      <c r="T4587" t="s">
        <v>15324</v>
      </c>
    </row>
    <row r="4588" spans="1:20" x14ac:dyDescent="0.25">
      <c r="A4588" s="1" t="str">
        <f>HYPERLINK("https://vegkart.atlas.vegvesen.no/#/@265491.8,7087979.1,18/hva:hva%5B0%5D%5Bfilter%5D%5B0%5D%5Boperator%5D=%21%3D&amp;hva%5B0%5D%5Bfilter%5D%5B0%5D%5Btype_id%5D=4820&amp;hva%5B0%5D%5Bfilter%5D%5B0%5D%5Bverdi%5D=&amp;hva%5B0%5D%5Bid%5D=144/når:2018-07-19", "Vegkart")</f>
        <v>Vegkart</v>
      </c>
      <c r="B4588">
        <v>882182356</v>
      </c>
      <c r="C4588">
        <v>144</v>
      </c>
      <c r="D4588" t="s">
        <v>13345</v>
      </c>
      <c r="E4588">
        <v>4820</v>
      </c>
      <c r="F4588" t="s">
        <v>23479</v>
      </c>
      <c r="G4588">
        <v>1</v>
      </c>
      <c r="H4588" t="s">
        <v>1612</v>
      </c>
      <c r="J4588" t="s">
        <v>15159</v>
      </c>
      <c r="K4588" t="s">
        <v>192</v>
      </c>
      <c r="L4588" t="s">
        <v>33</v>
      </c>
      <c r="M4588" t="s">
        <v>6448</v>
      </c>
      <c r="N4588" t="s">
        <v>15325</v>
      </c>
      <c r="O4588" t="s">
        <v>15326</v>
      </c>
      <c r="P4588" s="2" t="s">
        <v>67</v>
      </c>
      <c r="Q4588" t="s">
        <v>68</v>
      </c>
      <c r="R4588">
        <v>9.81</v>
      </c>
      <c r="S4588">
        <v>9.81</v>
      </c>
      <c r="T4588" t="s">
        <v>15327</v>
      </c>
    </row>
    <row r="4589" spans="1:20" x14ac:dyDescent="0.25">
      <c r="A4589" s="1" t="str">
        <f>HYPERLINK("https://vegkart.atlas.vegvesen.no/#/@265508.5,7088105.0,18/hva:hva%5B0%5D%5Bfilter%5D%5B0%5D%5Boperator%5D=%21%3D&amp;hva%5B0%5D%5Bfilter%5D%5B0%5D%5Btype_id%5D=4820&amp;hva%5B0%5D%5Bfilter%5D%5B0%5D%5Bverdi%5D=&amp;hva%5B0%5D%5Bid%5D=144/når:2018-07-19", "Vegkart")</f>
        <v>Vegkart</v>
      </c>
      <c r="B4589">
        <v>882182357</v>
      </c>
      <c r="C4589">
        <v>144</v>
      </c>
      <c r="D4589" t="s">
        <v>13345</v>
      </c>
      <c r="E4589">
        <v>4820</v>
      </c>
      <c r="F4589" t="s">
        <v>23479</v>
      </c>
      <c r="G4589">
        <v>1</v>
      </c>
      <c r="H4589" t="s">
        <v>1612</v>
      </c>
      <c r="J4589" t="s">
        <v>15159</v>
      </c>
      <c r="K4589" t="s">
        <v>192</v>
      </c>
      <c r="L4589" t="s">
        <v>33</v>
      </c>
      <c r="M4589" t="s">
        <v>6448</v>
      </c>
      <c r="N4589" t="s">
        <v>15328</v>
      </c>
      <c r="O4589" t="s">
        <v>15329</v>
      </c>
      <c r="P4589" s="2" t="s">
        <v>67</v>
      </c>
      <c r="Q4589" t="s">
        <v>68</v>
      </c>
      <c r="R4589">
        <v>4.5999999999999996</v>
      </c>
      <c r="S4589">
        <v>4.5999999999999996</v>
      </c>
      <c r="T4589" t="s">
        <v>15330</v>
      </c>
    </row>
    <row r="4590" spans="1:20" x14ac:dyDescent="0.25">
      <c r="A4590" s="1" t="str">
        <f>HYPERLINK("https://vegkart.atlas.vegvesen.no/#/@265410.3,7088366.7,18/hva:hva%5B0%5D%5Bfilter%5D%5B0%5D%5Boperator%5D=%21%3D&amp;hva%5B0%5D%5Bfilter%5D%5B0%5D%5Btype_id%5D=4820&amp;hva%5B0%5D%5Bfilter%5D%5B0%5D%5Bverdi%5D=&amp;hva%5B0%5D%5Bid%5D=144/når:2018-07-19", "Vegkart")</f>
        <v>Vegkart</v>
      </c>
      <c r="B4590">
        <v>882182358</v>
      </c>
      <c r="C4590">
        <v>144</v>
      </c>
      <c r="D4590" t="s">
        <v>13345</v>
      </c>
      <c r="E4590">
        <v>4820</v>
      </c>
      <c r="F4590" t="s">
        <v>23479</v>
      </c>
      <c r="G4590">
        <v>1</v>
      </c>
      <c r="H4590" t="s">
        <v>1612</v>
      </c>
      <c r="J4590" t="s">
        <v>15159</v>
      </c>
      <c r="K4590" t="s">
        <v>192</v>
      </c>
      <c r="L4590" t="s">
        <v>33</v>
      </c>
      <c r="M4590" t="s">
        <v>6448</v>
      </c>
      <c r="N4590" t="s">
        <v>15331</v>
      </c>
      <c r="O4590" t="s">
        <v>15332</v>
      </c>
      <c r="P4590" s="2" t="s">
        <v>67</v>
      </c>
      <c r="Q4590" t="s">
        <v>68</v>
      </c>
      <c r="R4590">
        <v>90.01</v>
      </c>
      <c r="S4590">
        <v>90.46</v>
      </c>
      <c r="T4590" t="s">
        <v>15333</v>
      </c>
    </row>
    <row r="4591" spans="1:20" x14ac:dyDescent="0.25">
      <c r="A4591" s="1" t="str">
        <f>HYPERLINK("https://vegkart.atlas.vegvesen.no/#/@265419.0,7088413.6,18/hva:hva%5B0%5D%5Bfilter%5D%5B0%5D%5Boperator%5D=%21%3D&amp;hva%5B0%5D%5Bfilter%5D%5B0%5D%5Btype_id%5D=4820&amp;hva%5B0%5D%5Bfilter%5D%5B0%5D%5Bverdi%5D=&amp;hva%5B0%5D%5Bid%5D=144/når:2018-07-19", "Vegkart")</f>
        <v>Vegkart</v>
      </c>
      <c r="B4591">
        <v>882182359</v>
      </c>
      <c r="C4591">
        <v>144</v>
      </c>
      <c r="D4591" t="s">
        <v>13345</v>
      </c>
      <c r="E4591">
        <v>4820</v>
      </c>
      <c r="F4591" t="s">
        <v>23479</v>
      </c>
      <c r="G4591">
        <v>1</v>
      </c>
      <c r="H4591" t="s">
        <v>1612</v>
      </c>
      <c r="J4591" t="s">
        <v>15159</v>
      </c>
      <c r="K4591" t="s">
        <v>192</v>
      </c>
      <c r="L4591" t="s">
        <v>33</v>
      </c>
      <c r="M4591" t="s">
        <v>6448</v>
      </c>
      <c r="N4591" t="s">
        <v>15334</v>
      </c>
      <c r="O4591" t="s">
        <v>15335</v>
      </c>
      <c r="P4591" s="2" t="s">
        <v>67</v>
      </c>
      <c r="Q4591" t="s">
        <v>68</v>
      </c>
      <c r="R4591">
        <v>6.14</v>
      </c>
      <c r="S4591">
        <v>6.14</v>
      </c>
      <c r="T4591" t="s">
        <v>15336</v>
      </c>
    </row>
    <row r="4592" spans="1:20" x14ac:dyDescent="0.25">
      <c r="A4592" s="1" t="str">
        <f>HYPERLINK("https://vegkart.atlas.vegvesen.no/#/@265398.5,7088418.9,18/hva:hva%5B0%5D%5Bfilter%5D%5B0%5D%5Boperator%5D=%21%3D&amp;hva%5B0%5D%5Bfilter%5D%5B0%5D%5Btype_id%5D=4820&amp;hva%5B0%5D%5Bfilter%5D%5B0%5D%5Bverdi%5D=&amp;hva%5B0%5D%5Bid%5D=144/når:2018-07-19", "Vegkart")</f>
        <v>Vegkart</v>
      </c>
      <c r="B4592">
        <v>882182360</v>
      </c>
      <c r="C4592">
        <v>144</v>
      </c>
      <c r="D4592" t="s">
        <v>13345</v>
      </c>
      <c r="E4592">
        <v>4820</v>
      </c>
      <c r="F4592" t="s">
        <v>23479</v>
      </c>
      <c r="G4592">
        <v>1</v>
      </c>
      <c r="H4592" t="s">
        <v>1612</v>
      </c>
      <c r="J4592" t="s">
        <v>15159</v>
      </c>
      <c r="K4592" t="s">
        <v>192</v>
      </c>
      <c r="L4592" t="s">
        <v>33</v>
      </c>
      <c r="M4592" t="s">
        <v>6448</v>
      </c>
      <c r="N4592" t="s">
        <v>15337</v>
      </c>
      <c r="O4592" t="s">
        <v>15338</v>
      </c>
      <c r="P4592" s="2" t="s">
        <v>67</v>
      </c>
      <c r="Q4592" t="s">
        <v>68</v>
      </c>
      <c r="R4592">
        <v>16.88</v>
      </c>
      <c r="S4592">
        <v>16.88</v>
      </c>
      <c r="T4592" t="s">
        <v>15339</v>
      </c>
    </row>
    <row r="4593" spans="1:20" x14ac:dyDescent="0.25">
      <c r="A4593" s="1" t="str">
        <f>HYPERLINK("https://vegkart.atlas.vegvesen.no/#/@265340.4,7088809.3,18/hva:hva%5B0%5D%5Bfilter%5D%5B0%5D%5Boperator%5D=%21%3D&amp;hva%5B0%5D%5Bfilter%5D%5B0%5D%5Btype_id%5D=4820&amp;hva%5B0%5D%5Bfilter%5D%5B0%5D%5Bverdi%5D=&amp;hva%5B0%5D%5Bid%5D=144/når:2018-07-19", "Vegkart")</f>
        <v>Vegkart</v>
      </c>
      <c r="B4593">
        <v>882182361</v>
      </c>
      <c r="C4593">
        <v>144</v>
      </c>
      <c r="D4593" t="s">
        <v>13345</v>
      </c>
      <c r="E4593">
        <v>4820</v>
      </c>
      <c r="F4593" t="s">
        <v>23479</v>
      </c>
      <c r="G4593">
        <v>1</v>
      </c>
      <c r="H4593" t="s">
        <v>1612</v>
      </c>
      <c r="J4593" t="s">
        <v>15159</v>
      </c>
      <c r="K4593" t="s">
        <v>192</v>
      </c>
      <c r="L4593" t="s">
        <v>33</v>
      </c>
      <c r="M4593" t="s">
        <v>6448</v>
      </c>
      <c r="N4593" t="s">
        <v>15340</v>
      </c>
      <c r="O4593" t="s">
        <v>15341</v>
      </c>
      <c r="P4593" s="2" t="s">
        <v>67</v>
      </c>
      <c r="Q4593" t="s">
        <v>68</v>
      </c>
      <c r="R4593">
        <v>5.73</v>
      </c>
      <c r="S4593">
        <v>5.73</v>
      </c>
      <c r="T4593" t="s">
        <v>15342</v>
      </c>
    </row>
    <row r="4594" spans="1:20" x14ac:dyDescent="0.25">
      <c r="A4594" s="1" t="str">
        <f>HYPERLINK("https://vegkart.atlas.vegvesen.no/#/@265365.4,7088813.4,18/hva:hva%5B0%5D%5Bfilter%5D%5B0%5D%5Boperator%5D=%21%3D&amp;hva%5B0%5D%5Bfilter%5D%5B0%5D%5Btype_id%5D=4820&amp;hva%5B0%5D%5Bfilter%5D%5B0%5D%5Bverdi%5D=&amp;hva%5B0%5D%5Bid%5D=144/når:2018-07-19", "Vegkart")</f>
        <v>Vegkart</v>
      </c>
      <c r="B4594">
        <v>882182362</v>
      </c>
      <c r="C4594">
        <v>144</v>
      </c>
      <c r="D4594" t="s">
        <v>13345</v>
      </c>
      <c r="E4594">
        <v>4820</v>
      </c>
      <c r="F4594" t="s">
        <v>23479</v>
      </c>
      <c r="G4594">
        <v>1</v>
      </c>
      <c r="H4594" t="s">
        <v>1612</v>
      </c>
      <c r="J4594" t="s">
        <v>15159</v>
      </c>
      <c r="K4594" t="s">
        <v>192</v>
      </c>
      <c r="L4594" t="s">
        <v>33</v>
      </c>
      <c r="M4594" t="s">
        <v>6448</v>
      </c>
      <c r="N4594" t="s">
        <v>15340</v>
      </c>
      <c r="O4594" t="s">
        <v>15343</v>
      </c>
      <c r="P4594" s="2" t="s">
        <v>67</v>
      </c>
      <c r="Q4594" t="s">
        <v>68</v>
      </c>
      <c r="R4594">
        <v>6.32</v>
      </c>
      <c r="S4594">
        <v>6.32</v>
      </c>
      <c r="T4594" t="s">
        <v>15344</v>
      </c>
    </row>
    <row r="4595" spans="1:20" x14ac:dyDescent="0.25">
      <c r="A4595" s="1" t="str">
        <f>HYPERLINK("https://vegkart.atlas.vegvesen.no/#/@265335.9,7088867.8,18/hva:hva%5B0%5D%5Bfilter%5D%5B0%5D%5Boperator%5D=%21%3D&amp;hva%5B0%5D%5Bfilter%5D%5B0%5D%5Btype_id%5D=4820&amp;hva%5B0%5D%5Bfilter%5D%5B0%5D%5Bverdi%5D=&amp;hva%5B0%5D%5Bid%5D=144/når:2018-07-19", "Vegkart")</f>
        <v>Vegkart</v>
      </c>
      <c r="B4595">
        <v>882182363</v>
      </c>
      <c r="C4595">
        <v>144</v>
      </c>
      <c r="D4595" t="s">
        <v>13345</v>
      </c>
      <c r="E4595">
        <v>4820</v>
      </c>
      <c r="F4595" t="s">
        <v>23479</v>
      </c>
      <c r="G4595">
        <v>1</v>
      </c>
      <c r="H4595" t="s">
        <v>1612</v>
      </c>
      <c r="J4595" t="s">
        <v>15159</v>
      </c>
      <c r="K4595" t="s">
        <v>192</v>
      </c>
      <c r="L4595" t="s">
        <v>33</v>
      </c>
      <c r="M4595" t="s">
        <v>6448</v>
      </c>
      <c r="N4595" t="s">
        <v>15345</v>
      </c>
      <c r="O4595" t="s">
        <v>15346</v>
      </c>
      <c r="P4595" s="2" t="s">
        <v>67</v>
      </c>
      <c r="Q4595" t="s">
        <v>68</v>
      </c>
      <c r="R4595">
        <v>4.08</v>
      </c>
      <c r="S4595">
        <v>4.08</v>
      </c>
      <c r="T4595" t="s">
        <v>15347</v>
      </c>
    </row>
    <row r="4596" spans="1:20" x14ac:dyDescent="0.25">
      <c r="A4596" s="1" t="str">
        <f>HYPERLINK("https://vegkart.atlas.vegvesen.no/#/@265355.2,7088872.4,18/hva:hva%5B0%5D%5Bfilter%5D%5B0%5D%5Boperator%5D=%21%3D&amp;hva%5B0%5D%5Bfilter%5D%5B0%5D%5Btype_id%5D=4820&amp;hva%5B0%5D%5Bfilter%5D%5B0%5D%5Bverdi%5D=&amp;hva%5B0%5D%5Bid%5D=144/når:2018-07-19", "Vegkart")</f>
        <v>Vegkart</v>
      </c>
      <c r="B4596">
        <v>882182364</v>
      </c>
      <c r="C4596">
        <v>144</v>
      </c>
      <c r="D4596" t="s">
        <v>13345</v>
      </c>
      <c r="E4596">
        <v>4820</v>
      </c>
      <c r="F4596" t="s">
        <v>23479</v>
      </c>
      <c r="G4596">
        <v>1</v>
      </c>
      <c r="H4596" t="s">
        <v>1612</v>
      </c>
      <c r="J4596" t="s">
        <v>15159</v>
      </c>
      <c r="K4596" t="s">
        <v>192</v>
      </c>
      <c r="L4596" t="s">
        <v>33</v>
      </c>
      <c r="M4596" t="s">
        <v>6448</v>
      </c>
      <c r="N4596" t="s">
        <v>15348</v>
      </c>
      <c r="O4596" t="s">
        <v>15349</v>
      </c>
      <c r="P4596" s="2" t="s">
        <v>67</v>
      </c>
      <c r="Q4596" t="s">
        <v>68</v>
      </c>
      <c r="R4596">
        <v>3.26</v>
      </c>
      <c r="S4596">
        <v>3.26</v>
      </c>
      <c r="T4596" t="s">
        <v>15350</v>
      </c>
    </row>
    <row r="4597" spans="1:20" x14ac:dyDescent="0.25">
      <c r="A4597" s="1" t="str">
        <f>HYPERLINK("https://vegkart.atlas.vegvesen.no/#/@265356.0,7085797.0,18/hva:hva%5B0%5D%5Bfilter%5D%5B0%5D%5Boperator%5D=%21%3D&amp;hva%5B0%5D%5Bfilter%5D%5B0%5D%5Btype_id%5D=4820&amp;hva%5B0%5D%5Bfilter%5D%5B0%5D%5Bverdi%5D=&amp;hva%5B0%5D%5Bid%5D=144/når:2018-07-19", "Vegkart")</f>
        <v>Vegkart</v>
      </c>
      <c r="B4597">
        <v>882182365</v>
      </c>
      <c r="C4597">
        <v>144</v>
      </c>
      <c r="D4597" t="s">
        <v>13345</v>
      </c>
      <c r="E4597">
        <v>4820</v>
      </c>
      <c r="F4597" t="s">
        <v>23479</v>
      </c>
      <c r="G4597">
        <v>1</v>
      </c>
      <c r="H4597" t="s">
        <v>1612</v>
      </c>
      <c r="J4597" t="s">
        <v>15159</v>
      </c>
      <c r="K4597" t="s">
        <v>192</v>
      </c>
      <c r="L4597" t="s">
        <v>33</v>
      </c>
      <c r="M4597" t="s">
        <v>6448</v>
      </c>
      <c r="N4597" t="s">
        <v>15351</v>
      </c>
      <c r="O4597" t="s">
        <v>15352</v>
      </c>
      <c r="P4597" s="2" t="s">
        <v>67</v>
      </c>
      <c r="Q4597" t="s">
        <v>68</v>
      </c>
      <c r="R4597">
        <v>13.57</v>
      </c>
      <c r="S4597">
        <v>13.57</v>
      </c>
      <c r="T4597" t="s">
        <v>15353</v>
      </c>
    </row>
    <row r="4598" spans="1:20" x14ac:dyDescent="0.25">
      <c r="A4598" s="1" t="str">
        <f>HYPERLINK("https://vegkart.atlas.vegvesen.no/#/@265391.6,7086134.7,18/hva:hva%5B0%5D%5Bfilter%5D%5B0%5D%5Boperator%5D=%21%3D&amp;hva%5B0%5D%5Bfilter%5D%5B0%5D%5Btype_id%5D=4820&amp;hva%5B0%5D%5Bfilter%5D%5B0%5D%5Bverdi%5D=&amp;hva%5B0%5D%5Bid%5D=144/når:2018-07-19", "Vegkart")</f>
        <v>Vegkart</v>
      </c>
      <c r="B4598">
        <v>882182366</v>
      </c>
      <c r="C4598">
        <v>144</v>
      </c>
      <c r="D4598" t="s">
        <v>13345</v>
      </c>
      <c r="E4598">
        <v>4820</v>
      </c>
      <c r="F4598" t="s">
        <v>23479</v>
      </c>
      <c r="G4598">
        <v>1</v>
      </c>
      <c r="H4598" t="s">
        <v>1612</v>
      </c>
      <c r="J4598" t="s">
        <v>15159</v>
      </c>
      <c r="K4598" t="s">
        <v>192</v>
      </c>
      <c r="L4598" t="s">
        <v>33</v>
      </c>
      <c r="M4598" t="s">
        <v>6448</v>
      </c>
      <c r="N4598" t="s">
        <v>15354</v>
      </c>
      <c r="O4598" t="s">
        <v>15355</v>
      </c>
      <c r="P4598" s="2" t="s">
        <v>67</v>
      </c>
      <c r="Q4598" t="s">
        <v>68</v>
      </c>
      <c r="R4598">
        <v>25.17</v>
      </c>
      <c r="S4598">
        <v>25.17</v>
      </c>
      <c r="T4598" t="s">
        <v>15356</v>
      </c>
    </row>
    <row r="4599" spans="1:20" x14ac:dyDescent="0.25">
      <c r="A4599" s="1" t="str">
        <f>HYPERLINK("https://vegkart.atlas.vegvesen.no/#/@265365.5,7086491.7,18/hva:hva%5B0%5D%5Bfilter%5D%5B0%5D%5Boperator%5D=%21%3D&amp;hva%5B0%5D%5Bfilter%5D%5B0%5D%5Btype_id%5D=4820&amp;hva%5B0%5D%5Bfilter%5D%5B0%5D%5Bverdi%5D=&amp;hva%5B0%5D%5Bid%5D=144/når:2018-07-19", "Vegkart")</f>
        <v>Vegkart</v>
      </c>
      <c r="B4599">
        <v>882182367</v>
      </c>
      <c r="C4599">
        <v>144</v>
      </c>
      <c r="D4599" t="s">
        <v>13345</v>
      </c>
      <c r="E4599">
        <v>4820</v>
      </c>
      <c r="F4599" t="s">
        <v>23479</v>
      </c>
      <c r="G4599">
        <v>1</v>
      </c>
      <c r="H4599" t="s">
        <v>1612</v>
      </c>
      <c r="J4599" t="s">
        <v>15159</v>
      </c>
      <c r="K4599" t="s">
        <v>192</v>
      </c>
      <c r="L4599" t="s">
        <v>33</v>
      </c>
      <c r="M4599" t="s">
        <v>6448</v>
      </c>
      <c r="N4599" t="s">
        <v>15357</v>
      </c>
      <c r="O4599" t="s">
        <v>15358</v>
      </c>
      <c r="P4599" s="2" t="s">
        <v>67</v>
      </c>
      <c r="Q4599" t="s">
        <v>68</v>
      </c>
      <c r="R4599">
        <v>40.450000000000003</v>
      </c>
      <c r="S4599">
        <v>40.450000000000003</v>
      </c>
      <c r="T4599" t="s">
        <v>15359</v>
      </c>
    </row>
    <row r="4600" spans="1:20" x14ac:dyDescent="0.25">
      <c r="A4600" s="1" t="str">
        <f>HYPERLINK("https://vegkart.atlas.vegvesen.no/#/@265354.4,7086524.2,18/hva:hva%5B0%5D%5Bfilter%5D%5B0%5D%5Boperator%5D=%21%3D&amp;hva%5B0%5D%5Bfilter%5D%5B0%5D%5Btype_id%5D=4820&amp;hva%5B0%5D%5Bfilter%5D%5B0%5D%5Bverdi%5D=&amp;hva%5B0%5D%5Bid%5D=144/når:2018-07-19", "Vegkart")</f>
        <v>Vegkart</v>
      </c>
      <c r="B4600">
        <v>882182368</v>
      </c>
      <c r="C4600">
        <v>144</v>
      </c>
      <c r="D4600" t="s">
        <v>13345</v>
      </c>
      <c r="E4600">
        <v>4820</v>
      </c>
      <c r="F4600" t="s">
        <v>23479</v>
      </c>
      <c r="G4600">
        <v>1</v>
      </c>
      <c r="H4600" t="s">
        <v>1612</v>
      </c>
      <c r="J4600" t="s">
        <v>15159</v>
      </c>
      <c r="K4600" t="s">
        <v>192</v>
      </c>
      <c r="L4600" t="s">
        <v>33</v>
      </c>
      <c r="M4600" t="s">
        <v>6448</v>
      </c>
      <c r="N4600" t="s">
        <v>15360</v>
      </c>
      <c r="O4600" t="s">
        <v>15361</v>
      </c>
      <c r="P4600" s="2" t="s">
        <v>67</v>
      </c>
      <c r="Q4600" t="s">
        <v>68</v>
      </c>
      <c r="R4600">
        <v>5.5</v>
      </c>
      <c r="S4600">
        <v>5.5</v>
      </c>
      <c r="T4600" t="s">
        <v>15362</v>
      </c>
    </row>
    <row r="4601" spans="1:20" x14ac:dyDescent="0.25">
      <c r="A4601" s="1" t="str">
        <f>HYPERLINK("https://vegkart.atlas.vegvesen.no/#/@265343.6,7088810.2,18/hva:hva%5B0%5D%5Bfilter%5D%5B0%5D%5Boperator%5D=%21%3D&amp;hva%5B0%5D%5Bfilter%5D%5B0%5D%5Btype_id%5D=4820&amp;hva%5B0%5D%5Bfilter%5D%5B0%5D%5Bverdi%5D=&amp;hva%5B0%5D%5Bid%5D=144/når:2018-07-19", "Vegkart")</f>
        <v>Vegkart</v>
      </c>
      <c r="B4601">
        <v>882182369</v>
      </c>
      <c r="C4601">
        <v>144</v>
      </c>
      <c r="D4601" t="s">
        <v>13345</v>
      </c>
      <c r="E4601">
        <v>4820</v>
      </c>
      <c r="F4601" t="s">
        <v>23479</v>
      </c>
      <c r="G4601">
        <v>1</v>
      </c>
      <c r="H4601" t="s">
        <v>1612</v>
      </c>
      <c r="J4601" t="s">
        <v>15159</v>
      </c>
      <c r="K4601" t="s">
        <v>192</v>
      </c>
      <c r="L4601" t="s">
        <v>33</v>
      </c>
      <c r="M4601" t="s">
        <v>6448</v>
      </c>
      <c r="N4601" t="s">
        <v>15363</v>
      </c>
      <c r="O4601" t="s">
        <v>15364</v>
      </c>
      <c r="P4601" s="2" t="s">
        <v>67</v>
      </c>
      <c r="Q4601" t="s">
        <v>68</v>
      </c>
      <c r="R4601">
        <v>7.27</v>
      </c>
      <c r="S4601">
        <v>7.27</v>
      </c>
      <c r="T4601" t="s">
        <v>15365</v>
      </c>
    </row>
    <row r="4602" spans="1:20" x14ac:dyDescent="0.25">
      <c r="A4602" s="1" t="str">
        <f>HYPERLINK("https://vegkart.atlas.vegvesen.no/#/@265361.2,7088814.5,18/hva:hva%5B0%5D%5Bfilter%5D%5B0%5D%5Boperator%5D=%21%3D&amp;hva%5B0%5D%5Bfilter%5D%5B0%5D%5Btype_id%5D=4820&amp;hva%5B0%5D%5Bfilter%5D%5B0%5D%5Bverdi%5D=&amp;hva%5B0%5D%5Bid%5D=144/når:2018-07-19", "Vegkart")</f>
        <v>Vegkart</v>
      </c>
      <c r="B4602">
        <v>882182370</v>
      </c>
      <c r="C4602">
        <v>144</v>
      </c>
      <c r="D4602" t="s">
        <v>13345</v>
      </c>
      <c r="E4602">
        <v>4820</v>
      </c>
      <c r="F4602" t="s">
        <v>23479</v>
      </c>
      <c r="G4602">
        <v>1</v>
      </c>
      <c r="H4602" t="s">
        <v>1612</v>
      </c>
      <c r="J4602" t="s">
        <v>15159</v>
      </c>
      <c r="K4602" t="s">
        <v>192</v>
      </c>
      <c r="L4602" t="s">
        <v>33</v>
      </c>
      <c r="M4602" t="s">
        <v>6448</v>
      </c>
      <c r="N4602" t="s">
        <v>15366</v>
      </c>
      <c r="O4602" t="s">
        <v>15367</v>
      </c>
      <c r="P4602" s="2" t="s">
        <v>67</v>
      </c>
      <c r="Q4602" t="s">
        <v>68</v>
      </c>
      <c r="R4602">
        <v>8.14</v>
      </c>
      <c r="S4602">
        <v>8.14</v>
      </c>
      <c r="T4602" t="s">
        <v>15368</v>
      </c>
    </row>
    <row r="4603" spans="1:20" x14ac:dyDescent="0.25">
      <c r="A4603" s="1" t="str">
        <f>HYPERLINK("https://vegkart.atlas.vegvesen.no/#/@265389.2,7088489.4,18/hva:hva%5B0%5D%5Bfilter%5D%5B0%5D%5Boperator%5D=%21%3D&amp;hva%5B0%5D%5Bfilter%5D%5B0%5D%5Btype_id%5D=4820&amp;hva%5B0%5D%5Bfilter%5D%5B0%5D%5Bverdi%5D=&amp;hva%5B0%5D%5Bid%5D=144/når:2018-07-19", "Vegkart")</f>
        <v>Vegkart</v>
      </c>
      <c r="B4603">
        <v>882182371</v>
      </c>
      <c r="C4603">
        <v>144</v>
      </c>
      <c r="D4603" t="s">
        <v>13345</v>
      </c>
      <c r="E4603">
        <v>4820</v>
      </c>
      <c r="F4603" t="s">
        <v>23479</v>
      </c>
      <c r="G4603">
        <v>1</v>
      </c>
      <c r="H4603" t="s">
        <v>1612</v>
      </c>
      <c r="J4603" t="s">
        <v>15159</v>
      </c>
      <c r="K4603" t="s">
        <v>192</v>
      </c>
      <c r="L4603" t="s">
        <v>33</v>
      </c>
      <c r="M4603" t="s">
        <v>6448</v>
      </c>
      <c r="N4603" t="s">
        <v>15369</v>
      </c>
      <c r="O4603" t="s">
        <v>15370</v>
      </c>
      <c r="P4603" s="2" t="s">
        <v>67</v>
      </c>
      <c r="Q4603" t="s">
        <v>68</v>
      </c>
      <c r="R4603">
        <v>10.220000000000001</v>
      </c>
      <c r="S4603">
        <v>10.220000000000001</v>
      </c>
      <c r="T4603" t="s">
        <v>15371</v>
      </c>
    </row>
    <row r="4604" spans="1:20" x14ac:dyDescent="0.25">
      <c r="A4604" s="1" t="str">
        <f>HYPERLINK("https://vegkart.atlas.vegvesen.no/#/@265418.6,7088343.1,18/hva:hva%5B0%5D%5Bfilter%5D%5B0%5D%5Boperator%5D=%21%3D&amp;hva%5B0%5D%5Bfilter%5D%5B0%5D%5Btype_id%5D=4820&amp;hva%5B0%5D%5Bfilter%5D%5B0%5D%5Bverdi%5D=&amp;hva%5B0%5D%5Bid%5D=144/når:2018-07-19", "Vegkart")</f>
        <v>Vegkart</v>
      </c>
      <c r="B4604">
        <v>882182372</v>
      </c>
      <c r="C4604">
        <v>144</v>
      </c>
      <c r="D4604" t="s">
        <v>13345</v>
      </c>
      <c r="E4604">
        <v>4820</v>
      </c>
      <c r="F4604" t="s">
        <v>23479</v>
      </c>
      <c r="G4604">
        <v>1</v>
      </c>
      <c r="H4604" t="s">
        <v>1612</v>
      </c>
      <c r="J4604" t="s">
        <v>15159</v>
      </c>
      <c r="K4604" t="s">
        <v>192</v>
      </c>
      <c r="L4604" t="s">
        <v>33</v>
      </c>
      <c r="M4604" t="s">
        <v>6448</v>
      </c>
      <c r="N4604" t="s">
        <v>15372</v>
      </c>
      <c r="O4604" t="s">
        <v>15373</v>
      </c>
      <c r="P4604" s="2" t="s">
        <v>67</v>
      </c>
      <c r="Q4604" t="s">
        <v>68</v>
      </c>
      <c r="R4604">
        <v>34.229999999999997</v>
      </c>
      <c r="S4604">
        <v>34.25</v>
      </c>
      <c r="T4604" t="s">
        <v>15374</v>
      </c>
    </row>
    <row r="4605" spans="1:20" x14ac:dyDescent="0.25">
      <c r="A4605" s="1" t="str">
        <f>HYPERLINK("https://vegkart.atlas.vegvesen.no/#/@265478.4,7088045.5,18/hva:hva%5B0%5D%5Bfilter%5D%5B0%5D%5Boperator%5D=%21%3D&amp;hva%5B0%5D%5Bfilter%5D%5B0%5D%5Btype_id%5D=4820&amp;hva%5B0%5D%5Bfilter%5D%5B0%5D%5Bverdi%5D=&amp;hva%5B0%5D%5Bid%5D=144/når:2018-07-19", "Vegkart")</f>
        <v>Vegkart</v>
      </c>
      <c r="B4605">
        <v>882182373</v>
      </c>
      <c r="C4605">
        <v>144</v>
      </c>
      <c r="D4605" t="s">
        <v>13345</v>
      </c>
      <c r="E4605">
        <v>4820</v>
      </c>
      <c r="F4605" t="s">
        <v>23479</v>
      </c>
      <c r="G4605">
        <v>1</v>
      </c>
      <c r="H4605" t="s">
        <v>1612</v>
      </c>
      <c r="J4605" t="s">
        <v>15159</v>
      </c>
      <c r="K4605" t="s">
        <v>192</v>
      </c>
      <c r="L4605" t="s">
        <v>33</v>
      </c>
      <c r="M4605" t="s">
        <v>6448</v>
      </c>
      <c r="N4605" t="s">
        <v>15375</v>
      </c>
      <c r="O4605" t="s">
        <v>15376</v>
      </c>
      <c r="P4605" s="2" t="s">
        <v>67</v>
      </c>
      <c r="Q4605" t="s">
        <v>68</v>
      </c>
      <c r="R4605">
        <v>265.92</v>
      </c>
      <c r="S4605">
        <v>266.98</v>
      </c>
      <c r="T4605" t="s">
        <v>15377</v>
      </c>
    </row>
    <row r="4606" spans="1:20" x14ac:dyDescent="0.25">
      <c r="A4606" s="1" t="str">
        <f>HYPERLINK("https://vegkart.atlas.vegvesen.no/#/@265434.9,7087597.3,18/hva:hva%5B0%5D%5Bfilter%5D%5B0%5D%5Boperator%5D=%21%3D&amp;hva%5B0%5D%5Bfilter%5D%5B0%5D%5Btype_id%5D=4820&amp;hva%5B0%5D%5Bfilter%5D%5B0%5D%5Bverdi%5D=&amp;hva%5B0%5D%5Bid%5D=144/når:2018-07-19", "Vegkart")</f>
        <v>Vegkart</v>
      </c>
      <c r="B4606">
        <v>882182374</v>
      </c>
      <c r="C4606">
        <v>144</v>
      </c>
      <c r="D4606" t="s">
        <v>13345</v>
      </c>
      <c r="E4606">
        <v>4820</v>
      </c>
      <c r="F4606" t="s">
        <v>23479</v>
      </c>
      <c r="G4606">
        <v>1</v>
      </c>
      <c r="H4606" t="s">
        <v>1612</v>
      </c>
      <c r="J4606" t="s">
        <v>15159</v>
      </c>
      <c r="K4606" t="s">
        <v>192</v>
      </c>
      <c r="L4606" t="s">
        <v>33</v>
      </c>
      <c r="M4606" t="s">
        <v>6448</v>
      </c>
      <c r="N4606" t="s">
        <v>15378</v>
      </c>
      <c r="O4606" t="s">
        <v>15379</v>
      </c>
      <c r="P4606" s="2" t="s">
        <v>67</v>
      </c>
      <c r="Q4606" t="s">
        <v>68</v>
      </c>
      <c r="R4606">
        <v>21.23</v>
      </c>
      <c r="S4606">
        <v>21.26</v>
      </c>
      <c r="T4606" t="s">
        <v>15380</v>
      </c>
    </row>
    <row r="4607" spans="1:20" x14ac:dyDescent="0.25">
      <c r="A4607" s="1" t="str">
        <f>HYPERLINK("https://vegkart.atlas.vegvesen.no/#/@278480.8,6657957.4,18/hva:hva%5B0%5D%5Bfilter%5D%5B0%5D%5Boperator%5D=%21%3D&amp;hva%5B0%5D%5Bfilter%5D%5B0%5D%5Btype_id%5D=4820&amp;hva%5B0%5D%5Bfilter%5D%5B0%5D%5Bverdi%5D=&amp;hva%5B0%5D%5Bid%5D=144/når:2018-07-25", "Vegkart")</f>
        <v>Vegkart</v>
      </c>
      <c r="B4607">
        <v>885171270</v>
      </c>
      <c r="C4607">
        <v>144</v>
      </c>
      <c r="D4607" t="s">
        <v>13345</v>
      </c>
      <c r="E4607">
        <v>4820</v>
      </c>
      <c r="F4607" t="s">
        <v>23479</v>
      </c>
      <c r="G4607">
        <v>1</v>
      </c>
      <c r="H4607" t="s">
        <v>15381</v>
      </c>
      <c r="J4607" t="s">
        <v>15159</v>
      </c>
      <c r="K4607" t="s">
        <v>132</v>
      </c>
      <c r="L4607" t="s">
        <v>33</v>
      </c>
      <c r="M4607" t="s">
        <v>10186</v>
      </c>
      <c r="N4607" t="s">
        <v>15382</v>
      </c>
      <c r="O4607" t="s">
        <v>15383</v>
      </c>
      <c r="P4607" s="2" t="s">
        <v>37</v>
      </c>
      <c r="Q4607" t="s">
        <v>1208</v>
      </c>
      <c r="R4607">
        <v>2.14</v>
      </c>
      <c r="S4607">
        <v>72.72</v>
      </c>
      <c r="T4607" t="s">
        <v>15384</v>
      </c>
    </row>
    <row r="4608" spans="1:20" x14ac:dyDescent="0.25">
      <c r="A4608" s="1" t="str">
        <f>HYPERLINK("https://vegkart.atlas.vegvesen.no/#/@41310.1,6745916.7,18/hva:hva%5B0%5D%5Bfilter%5D%5B0%5D%5Boperator%5D=%21%3D&amp;hva%5B0%5D%5Bfilter%5D%5B0%5D%5Btype_id%5D=4820&amp;hva%5B0%5D%5Bfilter%5D%5B0%5D%5Bverdi%5D=&amp;hva%5B0%5D%5Bid%5D=144/når:2018-08-15", "Vegkart")</f>
        <v>Vegkart</v>
      </c>
      <c r="B4608">
        <v>892889519</v>
      </c>
      <c r="C4608">
        <v>144</v>
      </c>
      <c r="D4608" t="s">
        <v>13345</v>
      </c>
      <c r="E4608">
        <v>4820</v>
      </c>
      <c r="F4608" t="s">
        <v>23479</v>
      </c>
      <c r="G4608">
        <v>1</v>
      </c>
      <c r="H4608" t="s">
        <v>15385</v>
      </c>
      <c r="J4608" t="s">
        <v>15159</v>
      </c>
      <c r="K4608" t="s">
        <v>21</v>
      </c>
      <c r="L4608" t="s">
        <v>113</v>
      </c>
      <c r="M4608" t="s">
        <v>114</v>
      </c>
      <c r="N4608" t="s">
        <v>15386</v>
      </c>
      <c r="O4608" t="s">
        <v>15387</v>
      </c>
      <c r="P4608" s="2" t="s">
        <v>67</v>
      </c>
      <c r="Q4608" t="s">
        <v>68</v>
      </c>
      <c r="R4608">
        <v>32.04</v>
      </c>
      <c r="S4608">
        <v>33.78</v>
      </c>
      <c r="T4608" t="s">
        <v>15388</v>
      </c>
    </row>
    <row r="4609" spans="1:20" x14ac:dyDescent="0.25">
      <c r="A4609" s="1" t="str">
        <f>HYPERLINK("https://vegkart.atlas.vegvesen.no/#/@41285.1,6745938.1,18/hva:hva%5B0%5D%5Bfilter%5D%5B0%5D%5Boperator%5D=%21%3D&amp;hva%5B0%5D%5Bfilter%5D%5B0%5D%5Btype_id%5D=4820&amp;hva%5B0%5D%5Bfilter%5D%5B0%5D%5Bverdi%5D=&amp;hva%5B0%5D%5Bid%5D=144/når:2018-08-15", "Vegkart")</f>
        <v>Vegkart</v>
      </c>
      <c r="B4609">
        <v>892889520</v>
      </c>
      <c r="C4609">
        <v>144</v>
      </c>
      <c r="D4609" t="s">
        <v>13345</v>
      </c>
      <c r="E4609">
        <v>4820</v>
      </c>
      <c r="F4609" t="s">
        <v>23479</v>
      </c>
      <c r="G4609">
        <v>1</v>
      </c>
      <c r="H4609" t="s">
        <v>15385</v>
      </c>
      <c r="J4609" t="s">
        <v>15159</v>
      </c>
      <c r="K4609" t="s">
        <v>21</v>
      </c>
      <c r="L4609" t="s">
        <v>113</v>
      </c>
      <c r="M4609" t="s">
        <v>114</v>
      </c>
      <c r="N4609" t="s">
        <v>15389</v>
      </c>
      <c r="O4609" t="s">
        <v>15390</v>
      </c>
      <c r="P4609" s="2" t="s">
        <v>67</v>
      </c>
      <c r="Q4609" t="s">
        <v>68</v>
      </c>
      <c r="R4609">
        <v>30.96</v>
      </c>
      <c r="S4609">
        <v>32.75</v>
      </c>
      <c r="T4609" t="s">
        <v>15391</v>
      </c>
    </row>
    <row r="4610" spans="1:20" x14ac:dyDescent="0.25">
      <c r="A4610" s="1" t="str">
        <f>HYPERLINK("https://vegkart.atlas.vegvesen.no/#/@47034.8,6743101.4,18/hva:hva%5B0%5D%5Bfilter%5D%5B0%5D%5Boperator%5D=%21%3D&amp;hva%5B0%5D%5Bfilter%5D%5B0%5D%5Btype_id%5D=4820&amp;hva%5B0%5D%5Bfilter%5D%5B0%5D%5Bverdi%5D=&amp;hva%5B0%5D%5Bid%5D=144/når:2018-09-06", "Vegkart")</f>
        <v>Vegkart</v>
      </c>
      <c r="B4610">
        <v>902980852</v>
      </c>
      <c r="C4610">
        <v>144</v>
      </c>
      <c r="D4610" t="s">
        <v>13345</v>
      </c>
      <c r="E4610">
        <v>4820</v>
      </c>
      <c r="F4610" t="s">
        <v>23479</v>
      </c>
      <c r="G4610">
        <v>1</v>
      </c>
      <c r="H4610" t="s">
        <v>15392</v>
      </c>
      <c r="J4610" t="s">
        <v>15159</v>
      </c>
      <c r="K4610" t="s">
        <v>21</v>
      </c>
      <c r="L4610" t="s">
        <v>113</v>
      </c>
      <c r="M4610" t="s">
        <v>114</v>
      </c>
      <c r="N4610" t="s">
        <v>15393</v>
      </c>
      <c r="O4610" t="s">
        <v>15394</v>
      </c>
      <c r="P4610" s="2" t="s">
        <v>67</v>
      </c>
      <c r="Q4610" t="s">
        <v>68</v>
      </c>
      <c r="R4610">
        <v>26.18</v>
      </c>
      <c r="S4610">
        <v>26.18</v>
      </c>
      <c r="T4610" t="s">
        <v>15395</v>
      </c>
    </row>
    <row r="4611" spans="1:20" x14ac:dyDescent="0.25">
      <c r="A4611" s="1" t="str">
        <f>HYPERLINK("https://vegkart.atlas.vegvesen.no/#/@311162.6,6598479.3,18/hva:hva%5B0%5D%5Bfilter%5D%5B0%5D%5Boperator%5D=%21%3D&amp;hva%5B0%5D%5Bfilter%5D%5B0%5D%5Btype_id%5D=4820&amp;hva%5B0%5D%5Bfilter%5D%5B0%5D%5Bverdi%5D=&amp;hva%5B0%5D%5Bid%5D=144/når:2017-11-05", "Vegkart")</f>
        <v>Vegkart</v>
      </c>
      <c r="B4611">
        <v>904389166</v>
      </c>
      <c r="C4611">
        <v>144</v>
      </c>
      <c r="D4611" t="s">
        <v>13345</v>
      </c>
      <c r="E4611">
        <v>4820</v>
      </c>
      <c r="F4611" t="s">
        <v>23479</v>
      </c>
      <c r="G4611">
        <v>1</v>
      </c>
      <c r="H4611" t="s">
        <v>15396</v>
      </c>
      <c r="J4611" t="s">
        <v>15397</v>
      </c>
      <c r="K4611" t="s">
        <v>104</v>
      </c>
      <c r="L4611" t="s">
        <v>80</v>
      </c>
      <c r="M4611" t="s">
        <v>53</v>
      </c>
      <c r="N4611" t="s">
        <v>15398</v>
      </c>
      <c r="O4611" t="s">
        <v>15399</v>
      </c>
      <c r="P4611" s="2" t="s">
        <v>67</v>
      </c>
      <c r="Q4611" t="s">
        <v>68</v>
      </c>
      <c r="R4611">
        <v>57.02</v>
      </c>
      <c r="S4611">
        <v>96.26</v>
      </c>
      <c r="T4611" t="s">
        <v>15400</v>
      </c>
    </row>
    <row r="4612" spans="1:20" x14ac:dyDescent="0.25">
      <c r="A4612" s="1" t="str">
        <f>HYPERLINK("https://vegkart.atlas.vegvesen.no/#/@47047.3,6742934.1,18/hva:hva%5B0%5D%5Bfilter%5D%5B0%5D%5Boperator%5D=%21%3D&amp;hva%5B0%5D%5Bfilter%5D%5B0%5D%5Btype_id%5D=4820&amp;hva%5B0%5D%5Bfilter%5D%5B0%5D%5Bverdi%5D=&amp;hva%5B0%5D%5Bid%5D=144/når:2018-09-20", "Vegkart")</f>
        <v>Vegkart</v>
      </c>
      <c r="B4612">
        <v>904914631</v>
      </c>
      <c r="C4612">
        <v>144</v>
      </c>
      <c r="D4612" t="s">
        <v>13345</v>
      </c>
      <c r="E4612">
        <v>4820</v>
      </c>
      <c r="F4612" t="s">
        <v>23479</v>
      </c>
      <c r="G4612">
        <v>1</v>
      </c>
      <c r="H4612" t="s">
        <v>6093</v>
      </c>
      <c r="J4612" t="s">
        <v>15397</v>
      </c>
      <c r="K4612" t="s">
        <v>21</v>
      </c>
      <c r="L4612" t="s">
        <v>113</v>
      </c>
      <c r="M4612" t="s">
        <v>114</v>
      </c>
      <c r="N4612" t="s">
        <v>15401</v>
      </c>
      <c r="O4612" t="s">
        <v>15402</v>
      </c>
      <c r="P4612" s="2" t="s">
        <v>67</v>
      </c>
      <c r="Q4612" t="s">
        <v>68</v>
      </c>
      <c r="R4612">
        <v>72.180000000000007</v>
      </c>
      <c r="S4612">
        <v>89.89</v>
      </c>
      <c r="T4612" t="s">
        <v>15403</v>
      </c>
    </row>
    <row r="4613" spans="1:20" x14ac:dyDescent="0.25">
      <c r="A4613" s="1" t="str">
        <f>HYPERLINK("https://vegkart.atlas.vegvesen.no/#/@47025.0,6743012.8,18/hva:hva%5B0%5D%5Bfilter%5D%5B0%5D%5Boperator%5D=%21%3D&amp;hva%5B0%5D%5Bfilter%5D%5B0%5D%5Btype_id%5D=4820&amp;hva%5B0%5D%5Bfilter%5D%5B0%5D%5Bverdi%5D=&amp;hva%5B0%5D%5Bid%5D=144/når:2018-09-20", "Vegkart")</f>
        <v>Vegkart</v>
      </c>
      <c r="B4613">
        <v>904914632</v>
      </c>
      <c r="C4613">
        <v>144</v>
      </c>
      <c r="D4613" t="s">
        <v>13345</v>
      </c>
      <c r="E4613">
        <v>4820</v>
      </c>
      <c r="F4613" t="s">
        <v>23479</v>
      </c>
      <c r="G4613">
        <v>1</v>
      </c>
      <c r="H4613" t="s">
        <v>6093</v>
      </c>
      <c r="J4613" t="s">
        <v>15397</v>
      </c>
      <c r="K4613" t="s">
        <v>21</v>
      </c>
      <c r="L4613" t="s">
        <v>113</v>
      </c>
      <c r="M4613" t="s">
        <v>114</v>
      </c>
      <c r="N4613" t="s">
        <v>15404</v>
      </c>
      <c r="O4613" t="s">
        <v>15405</v>
      </c>
      <c r="P4613" s="2" t="s">
        <v>67</v>
      </c>
      <c r="Q4613" t="s">
        <v>68</v>
      </c>
      <c r="R4613">
        <v>24.85</v>
      </c>
      <c r="S4613">
        <v>29.3</v>
      </c>
      <c r="T4613" t="s">
        <v>15406</v>
      </c>
    </row>
    <row r="4614" spans="1:20" x14ac:dyDescent="0.25">
      <c r="A4614" s="1" t="str">
        <f>HYPERLINK("https://vegkart.atlas.vegvesen.no/#/@47130.8,6742764.1,18/hva:hva%5B0%5D%5Bfilter%5D%5B0%5D%5Boperator%5D=%21%3D&amp;hva%5B0%5D%5Bfilter%5D%5B0%5D%5Btype_id%5D=4820&amp;hva%5B0%5D%5Bfilter%5D%5B0%5D%5Bverdi%5D=&amp;hva%5B0%5D%5Bid%5D=144/når:2018-09-20", "Vegkart")</f>
        <v>Vegkart</v>
      </c>
      <c r="B4614">
        <v>904914633</v>
      </c>
      <c r="C4614">
        <v>144</v>
      </c>
      <c r="D4614" t="s">
        <v>13345</v>
      </c>
      <c r="E4614">
        <v>4820</v>
      </c>
      <c r="F4614" t="s">
        <v>23479</v>
      </c>
      <c r="G4614">
        <v>1</v>
      </c>
      <c r="H4614" t="s">
        <v>6093</v>
      </c>
      <c r="J4614" t="s">
        <v>15397</v>
      </c>
      <c r="K4614" t="s">
        <v>21</v>
      </c>
      <c r="L4614" t="s">
        <v>113</v>
      </c>
      <c r="M4614" t="s">
        <v>114</v>
      </c>
      <c r="N4614" t="s">
        <v>15407</v>
      </c>
      <c r="O4614" t="s">
        <v>15408</v>
      </c>
      <c r="P4614" s="2" t="s">
        <v>67</v>
      </c>
      <c r="Q4614" t="s">
        <v>68</v>
      </c>
      <c r="R4614">
        <v>132.04</v>
      </c>
      <c r="S4614">
        <v>132.69</v>
      </c>
      <c r="T4614" t="s">
        <v>15409</v>
      </c>
    </row>
    <row r="4615" spans="1:20" x14ac:dyDescent="0.25">
      <c r="A4615" s="1" t="str">
        <f>HYPERLINK("https://vegkart.atlas.vegvesen.no/#/@47064.0,6742891.7,18/hva:hva%5B0%5D%5Bfilter%5D%5B0%5D%5Boperator%5D=%21%3D&amp;hva%5B0%5D%5Bfilter%5D%5B0%5D%5Btype_id%5D=4820&amp;hva%5B0%5D%5Bfilter%5D%5B0%5D%5Bverdi%5D=&amp;hva%5B0%5D%5Bid%5D=144/når:2018-09-20", "Vegkart")</f>
        <v>Vegkart</v>
      </c>
      <c r="B4615">
        <v>904914634</v>
      </c>
      <c r="C4615">
        <v>144</v>
      </c>
      <c r="D4615" t="s">
        <v>13345</v>
      </c>
      <c r="E4615">
        <v>4820</v>
      </c>
      <c r="F4615" t="s">
        <v>23479</v>
      </c>
      <c r="G4615">
        <v>1</v>
      </c>
      <c r="H4615" t="s">
        <v>6093</v>
      </c>
      <c r="J4615" t="s">
        <v>15397</v>
      </c>
      <c r="K4615" t="s">
        <v>21</v>
      </c>
      <c r="L4615" t="s">
        <v>113</v>
      </c>
      <c r="M4615" t="s">
        <v>114</v>
      </c>
      <c r="N4615" t="s">
        <v>15410</v>
      </c>
      <c r="O4615" t="s">
        <v>15411</v>
      </c>
      <c r="P4615" s="2" t="s">
        <v>67</v>
      </c>
      <c r="Q4615" t="s">
        <v>68</v>
      </c>
      <c r="R4615">
        <v>10.55</v>
      </c>
      <c r="S4615">
        <v>10.55</v>
      </c>
      <c r="T4615" t="s">
        <v>15412</v>
      </c>
    </row>
    <row r="4616" spans="1:20" x14ac:dyDescent="0.25">
      <c r="A4616" s="1" t="str">
        <f>HYPERLINK("https://vegkart.atlas.vegvesen.no/#/@47025.7,6743001.8,18/hva:hva%5B0%5D%5Bfilter%5D%5B0%5D%5Boperator%5D=%21%3D&amp;hva%5B0%5D%5Bfilter%5D%5B0%5D%5Btype_id%5D=4820&amp;hva%5B0%5D%5Bfilter%5D%5B0%5D%5Bverdi%5D=&amp;hva%5B0%5D%5Bid%5D=144/når:2018-09-20", "Vegkart")</f>
        <v>Vegkart</v>
      </c>
      <c r="B4616">
        <v>904914738</v>
      </c>
      <c r="C4616">
        <v>144</v>
      </c>
      <c r="D4616" t="s">
        <v>13345</v>
      </c>
      <c r="E4616">
        <v>4820</v>
      </c>
      <c r="F4616" t="s">
        <v>23479</v>
      </c>
      <c r="G4616">
        <v>1</v>
      </c>
      <c r="H4616" t="s">
        <v>6093</v>
      </c>
      <c r="J4616" t="s">
        <v>15397</v>
      </c>
      <c r="K4616" t="s">
        <v>21</v>
      </c>
      <c r="L4616" t="s">
        <v>113</v>
      </c>
      <c r="M4616" t="s">
        <v>114</v>
      </c>
      <c r="N4616" t="s">
        <v>15413</v>
      </c>
      <c r="O4616" t="s">
        <v>15414</v>
      </c>
      <c r="P4616" s="2" t="s">
        <v>67</v>
      </c>
      <c r="Q4616" t="s">
        <v>68</v>
      </c>
      <c r="R4616">
        <v>57.61</v>
      </c>
      <c r="S4616">
        <v>84.12</v>
      </c>
      <c r="T4616" t="s">
        <v>15415</v>
      </c>
    </row>
    <row r="4617" spans="1:20" x14ac:dyDescent="0.25">
      <c r="A4617" s="1" t="str">
        <f>HYPERLINK("https://vegkart.atlas.vegvesen.no/#/@-43201.5,6735272.1,18/hva:hva%5B0%5D%5Bfilter%5D%5B0%5D%5Boperator%5D=%21%3D&amp;hva%5B0%5D%5Bfilter%5D%5B0%5D%5Btype_id%5D=4820&amp;hva%5B0%5D%5Bfilter%5D%5B0%5D%5Bverdi%5D=&amp;hva%5B0%5D%5Bid%5D=144/når:2018-09-25", "Vegkart")</f>
        <v>Vegkart</v>
      </c>
      <c r="B4617">
        <v>905755226</v>
      </c>
      <c r="C4617">
        <v>144</v>
      </c>
      <c r="D4617" t="s">
        <v>13345</v>
      </c>
      <c r="E4617">
        <v>4820</v>
      </c>
      <c r="F4617" t="s">
        <v>23479</v>
      </c>
      <c r="G4617">
        <v>1</v>
      </c>
      <c r="H4617" t="s">
        <v>2122</v>
      </c>
      <c r="J4617" t="s">
        <v>15397</v>
      </c>
      <c r="K4617" t="s">
        <v>21</v>
      </c>
      <c r="L4617" t="s">
        <v>33</v>
      </c>
      <c r="M4617" t="s">
        <v>12047</v>
      </c>
      <c r="N4617" t="s">
        <v>15416</v>
      </c>
      <c r="O4617" t="s">
        <v>15417</v>
      </c>
      <c r="P4617" s="2" t="s">
        <v>37</v>
      </c>
      <c r="Q4617" t="s">
        <v>1208</v>
      </c>
      <c r="R4617">
        <v>3.84</v>
      </c>
      <c r="S4617">
        <v>62.67</v>
      </c>
      <c r="T4617" t="s">
        <v>15418</v>
      </c>
    </row>
    <row r="4618" spans="1:20" x14ac:dyDescent="0.25">
      <c r="A4618" s="1" t="str">
        <f>HYPERLINK("https://vegkart.atlas.vegvesen.no/#/@-43205.5,6735276.1,18/hva:hva%5B0%5D%5Bfilter%5D%5B0%5D%5Boperator%5D=%21%3D&amp;hva%5B0%5D%5Bfilter%5D%5B0%5D%5Btype_id%5D=4820&amp;hva%5B0%5D%5Bfilter%5D%5B0%5D%5Bverdi%5D=&amp;hva%5B0%5D%5Bid%5D=144/når:2018-09-25", "Vegkart")</f>
        <v>Vegkart</v>
      </c>
      <c r="B4618">
        <v>905755227</v>
      </c>
      <c r="C4618">
        <v>144</v>
      </c>
      <c r="D4618" t="s">
        <v>13345</v>
      </c>
      <c r="E4618">
        <v>4820</v>
      </c>
      <c r="F4618" t="s">
        <v>23479</v>
      </c>
      <c r="G4618">
        <v>1</v>
      </c>
      <c r="H4618" t="s">
        <v>2122</v>
      </c>
      <c r="J4618" t="s">
        <v>15397</v>
      </c>
      <c r="K4618" t="s">
        <v>21</v>
      </c>
      <c r="L4618" t="s">
        <v>33</v>
      </c>
      <c r="M4618" t="s">
        <v>12047</v>
      </c>
      <c r="N4618" t="s">
        <v>15416</v>
      </c>
      <c r="O4618" t="s">
        <v>15419</v>
      </c>
      <c r="P4618" s="2" t="s">
        <v>37</v>
      </c>
      <c r="Q4618" t="s">
        <v>1208</v>
      </c>
      <c r="R4618">
        <v>4.88</v>
      </c>
      <c r="S4618">
        <v>54.79</v>
      </c>
      <c r="T4618" t="s">
        <v>15420</v>
      </c>
    </row>
    <row r="4619" spans="1:20" x14ac:dyDescent="0.25">
      <c r="A4619" s="1" t="str">
        <f>HYPERLINK("https://vegkart.atlas.vegvesen.no/#/@564605.4,7650612.9,18/hva:hva%5B0%5D%5Bfilter%5D%5B0%5D%5Boperator%5D=%21%3D&amp;hva%5B0%5D%5Bfilter%5D%5B0%5D%5Btype_id%5D=4820&amp;hva%5B0%5D%5Bfilter%5D%5B0%5D%5Bverdi%5D=&amp;hva%5B0%5D%5Bid%5D=144/når:2018-10-22", "Vegkart")</f>
        <v>Vegkart</v>
      </c>
      <c r="B4619">
        <v>909693084</v>
      </c>
      <c r="C4619">
        <v>144</v>
      </c>
      <c r="D4619" t="s">
        <v>13345</v>
      </c>
      <c r="E4619">
        <v>4820</v>
      </c>
      <c r="F4619" t="s">
        <v>23479</v>
      </c>
      <c r="G4619">
        <v>1</v>
      </c>
      <c r="H4619" t="s">
        <v>15421</v>
      </c>
      <c r="J4619" t="s">
        <v>15397</v>
      </c>
      <c r="K4619" t="s">
        <v>179</v>
      </c>
      <c r="L4619" t="s">
        <v>33</v>
      </c>
      <c r="M4619" t="s">
        <v>15422</v>
      </c>
      <c r="N4619" t="s">
        <v>15423</v>
      </c>
      <c r="O4619" t="s">
        <v>15424</v>
      </c>
      <c r="P4619" s="2" t="s">
        <v>37</v>
      </c>
      <c r="Q4619" t="s">
        <v>1208</v>
      </c>
      <c r="R4619">
        <v>2.9</v>
      </c>
      <c r="S4619">
        <v>14.78</v>
      </c>
      <c r="T4619" t="s">
        <v>15425</v>
      </c>
    </row>
    <row r="4620" spans="1:20" x14ac:dyDescent="0.25">
      <c r="A4620" s="1" t="str">
        <f>HYPERLINK("https://vegkart.atlas.vegvesen.no/#/@564586.8,7650319.7,18/hva:hva%5B0%5D%5Bfilter%5D%5B0%5D%5Boperator%5D=%21%3D&amp;hva%5B0%5D%5Bfilter%5D%5B0%5D%5Btype_id%5D=4820&amp;hva%5B0%5D%5Bfilter%5D%5B0%5D%5Bverdi%5D=&amp;hva%5B0%5D%5Bid%5D=144/når:2018-10-22", "Vegkart")</f>
        <v>Vegkart</v>
      </c>
      <c r="B4620">
        <v>909693085</v>
      </c>
      <c r="C4620">
        <v>144</v>
      </c>
      <c r="D4620" t="s">
        <v>13345</v>
      </c>
      <c r="E4620">
        <v>4820</v>
      </c>
      <c r="F4620" t="s">
        <v>23479</v>
      </c>
      <c r="G4620">
        <v>1</v>
      </c>
      <c r="H4620" t="s">
        <v>15421</v>
      </c>
      <c r="J4620" t="s">
        <v>15397</v>
      </c>
      <c r="K4620" t="s">
        <v>179</v>
      </c>
      <c r="L4620" t="s">
        <v>33</v>
      </c>
      <c r="M4620" t="s">
        <v>15422</v>
      </c>
      <c r="N4620" t="s">
        <v>15426</v>
      </c>
      <c r="O4620" t="s">
        <v>15427</v>
      </c>
      <c r="P4620" s="2" t="s">
        <v>37</v>
      </c>
      <c r="Q4620" t="s">
        <v>1208</v>
      </c>
      <c r="R4620">
        <v>2.0699999999999998</v>
      </c>
      <c r="S4620">
        <v>15.61</v>
      </c>
      <c r="T4620" t="s">
        <v>15428</v>
      </c>
    </row>
    <row r="4621" spans="1:20" x14ac:dyDescent="0.25">
      <c r="A4621" s="1" t="str">
        <f>HYPERLINK("https://vegkart.atlas.vegvesen.no/#/@564573.6,7650250.8,18/hva:hva%5B0%5D%5Bfilter%5D%5B0%5D%5Boperator%5D=%21%3D&amp;hva%5B0%5D%5Bfilter%5D%5B0%5D%5Btype_id%5D=4820&amp;hva%5B0%5D%5Bfilter%5D%5B0%5D%5Bverdi%5D=&amp;hva%5B0%5D%5Bid%5D=144/når:2018-10-22", "Vegkart")</f>
        <v>Vegkart</v>
      </c>
      <c r="B4621">
        <v>909693086</v>
      </c>
      <c r="C4621">
        <v>144</v>
      </c>
      <c r="D4621" t="s">
        <v>13345</v>
      </c>
      <c r="E4621">
        <v>4820</v>
      </c>
      <c r="F4621" t="s">
        <v>23479</v>
      </c>
      <c r="G4621">
        <v>1</v>
      </c>
      <c r="H4621" t="s">
        <v>15421</v>
      </c>
      <c r="J4621" t="s">
        <v>15397</v>
      </c>
      <c r="K4621" t="s">
        <v>179</v>
      </c>
      <c r="L4621" t="s">
        <v>33</v>
      </c>
      <c r="M4621" t="s">
        <v>15422</v>
      </c>
      <c r="N4621" t="s">
        <v>15429</v>
      </c>
      <c r="O4621" t="s">
        <v>15430</v>
      </c>
      <c r="P4621" s="2" t="s">
        <v>37</v>
      </c>
      <c r="Q4621" t="s">
        <v>1208</v>
      </c>
      <c r="R4621">
        <v>4.55</v>
      </c>
      <c r="S4621">
        <v>26.33</v>
      </c>
      <c r="T4621" t="s">
        <v>15431</v>
      </c>
    </row>
    <row r="4622" spans="1:20" x14ac:dyDescent="0.25">
      <c r="A4622" s="1" t="str">
        <f>HYPERLINK("https://vegkart.atlas.vegvesen.no/#/@564551.8,7650185.4,18/hva:hva%5B0%5D%5Bfilter%5D%5B0%5D%5Boperator%5D=%21%3D&amp;hva%5B0%5D%5Bfilter%5D%5B0%5D%5Btype_id%5D=4820&amp;hva%5B0%5D%5Bfilter%5D%5B0%5D%5Bverdi%5D=&amp;hva%5B0%5D%5Bid%5D=144/når:2018-10-22", "Vegkart")</f>
        <v>Vegkart</v>
      </c>
      <c r="B4622">
        <v>909693087</v>
      </c>
      <c r="C4622">
        <v>144</v>
      </c>
      <c r="D4622" t="s">
        <v>13345</v>
      </c>
      <c r="E4622">
        <v>4820</v>
      </c>
      <c r="F4622" t="s">
        <v>23479</v>
      </c>
      <c r="G4622">
        <v>1</v>
      </c>
      <c r="H4622" t="s">
        <v>15421</v>
      </c>
      <c r="J4622" t="s">
        <v>15397</v>
      </c>
      <c r="K4622" t="s">
        <v>179</v>
      </c>
      <c r="L4622" t="s">
        <v>33</v>
      </c>
      <c r="M4622" t="s">
        <v>15422</v>
      </c>
      <c r="N4622" t="s">
        <v>15432</v>
      </c>
      <c r="O4622" t="s">
        <v>15433</v>
      </c>
      <c r="P4622" s="2" t="s">
        <v>37</v>
      </c>
      <c r="Q4622" t="s">
        <v>1208</v>
      </c>
      <c r="R4622">
        <v>3.65</v>
      </c>
      <c r="S4622">
        <v>32.020000000000003</v>
      </c>
      <c r="T4622" t="s">
        <v>15434</v>
      </c>
    </row>
    <row r="4623" spans="1:20" x14ac:dyDescent="0.25">
      <c r="A4623" s="1" t="str">
        <f>HYPERLINK("https://vegkart.atlas.vegvesen.no/#/@564629.4,7650485.4,18/hva:hva%5B0%5D%5Bfilter%5D%5B0%5D%5Boperator%5D=%21%3D&amp;hva%5B0%5D%5Bfilter%5D%5B0%5D%5Btype_id%5D=4820&amp;hva%5B0%5D%5Bfilter%5D%5B0%5D%5Bverdi%5D=&amp;hva%5B0%5D%5Bid%5D=144/når:2018-10-22", "Vegkart")</f>
        <v>Vegkart</v>
      </c>
      <c r="B4623">
        <v>909693090</v>
      </c>
      <c r="C4623">
        <v>144</v>
      </c>
      <c r="D4623" t="s">
        <v>13345</v>
      </c>
      <c r="E4623">
        <v>4820</v>
      </c>
      <c r="F4623" t="s">
        <v>23479</v>
      </c>
      <c r="G4623">
        <v>1</v>
      </c>
      <c r="H4623" t="s">
        <v>15421</v>
      </c>
      <c r="J4623" t="s">
        <v>15397</v>
      </c>
      <c r="K4623" t="s">
        <v>179</v>
      </c>
      <c r="L4623" t="s">
        <v>33</v>
      </c>
      <c r="M4623" t="s">
        <v>15422</v>
      </c>
      <c r="N4623" t="s">
        <v>15435</v>
      </c>
      <c r="O4623" t="s">
        <v>15436</v>
      </c>
      <c r="P4623" s="2" t="s">
        <v>37</v>
      </c>
      <c r="Q4623" t="s">
        <v>1208</v>
      </c>
      <c r="R4623">
        <v>3.11</v>
      </c>
      <c r="S4623">
        <v>8.9499999999999993</v>
      </c>
      <c r="T4623" t="s">
        <v>15437</v>
      </c>
    </row>
    <row r="4624" spans="1:20" x14ac:dyDescent="0.25">
      <c r="A4624" s="1" t="str">
        <f>HYPERLINK("https://vegkart.atlas.vegvesen.no/#/@562254.9,7653329.5,18/hva:hva%5B0%5D%5Bfilter%5D%5B0%5D%5Boperator%5D=%21%3D&amp;hva%5B0%5D%5Bfilter%5D%5B0%5D%5Btype_id%5D=4820&amp;hva%5B0%5D%5Bfilter%5D%5B0%5D%5Bverdi%5D=&amp;hva%5B0%5D%5Bid%5D=144/når:2018-10-22", "Vegkart")</f>
        <v>Vegkart</v>
      </c>
      <c r="B4624">
        <v>909693101</v>
      </c>
      <c r="C4624">
        <v>144</v>
      </c>
      <c r="D4624" t="s">
        <v>13345</v>
      </c>
      <c r="E4624">
        <v>4820</v>
      </c>
      <c r="F4624" t="s">
        <v>23479</v>
      </c>
      <c r="G4624">
        <v>1</v>
      </c>
      <c r="H4624" t="s">
        <v>15421</v>
      </c>
      <c r="J4624" t="s">
        <v>15397</v>
      </c>
      <c r="K4624" t="s">
        <v>179</v>
      </c>
      <c r="L4624" t="s">
        <v>33</v>
      </c>
      <c r="M4624" t="s">
        <v>15422</v>
      </c>
      <c r="N4624" t="s">
        <v>15438</v>
      </c>
      <c r="O4624" t="s">
        <v>15439</v>
      </c>
      <c r="P4624" s="2" t="s">
        <v>37</v>
      </c>
      <c r="Q4624" t="s">
        <v>1208</v>
      </c>
      <c r="R4624">
        <v>2.17</v>
      </c>
      <c r="S4624">
        <v>28.91</v>
      </c>
      <c r="T4624" t="s">
        <v>15440</v>
      </c>
    </row>
    <row r="4625" spans="1:20" x14ac:dyDescent="0.25">
      <c r="A4625" s="1" t="str">
        <f>HYPERLINK("https://vegkart.atlas.vegvesen.no/#/@564543.9,7649667.5,18/hva:hva%5B0%5D%5Bfilter%5D%5B0%5D%5Boperator%5D=%21%3D&amp;hva%5B0%5D%5Bfilter%5D%5B0%5D%5Btype_id%5D=4820&amp;hva%5B0%5D%5Bfilter%5D%5B0%5D%5Bverdi%5D=&amp;hva%5B0%5D%5Bid%5D=144/når:2018-10-22", "Vegkart")</f>
        <v>Vegkart</v>
      </c>
      <c r="B4625">
        <v>909693102</v>
      </c>
      <c r="C4625">
        <v>144</v>
      </c>
      <c r="D4625" t="s">
        <v>13345</v>
      </c>
      <c r="E4625">
        <v>4820</v>
      </c>
      <c r="F4625" t="s">
        <v>23479</v>
      </c>
      <c r="G4625">
        <v>1</v>
      </c>
      <c r="H4625" t="s">
        <v>15421</v>
      </c>
      <c r="J4625" t="s">
        <v>15397</v>
      </c>
      <c r="K4625" t="s">
        <v>179</v>
      </c>
      <c r="L4625" t="s">
        <v>33</v>
      </c>
      <c r="M4625" t="s">
        <v>15422</v>
      </c>
      <c r="N4625" t="s">
        <v>15441</v>
      </c>
      <c r="O4625" t="s">
        <v>15442</v>
      </c>
      <c r="P4625" s="2" t="s">
        <v>37</v>
      </c>
      <c r="Q4625" t="s">
        <v>1208</v>
      </c>
      <c r="R4625">
        <v>2.25</v>
      </c>
      <c r="S4625">
        <v>17.059999999999999</v>
      </c>
      <c r="T4625" t="s">
        <v>15443</v>
      </c>
    </row>
    <row r="4626" spans="1:20" x14ac:dyDescent="0.25">
      <c r="A4626" s="1" t="str">
        <f>HYPERLINK("https://vegkart.atlas.vegvesen.no/#/@564569.5,7650717.7,18/hva:hva%5B0%5D%5Bfilter%5D%5B0%5D%5Boperator%5D=%21%3D&amp;hva%5B0%5D%5Bfilter%5D%5B0%5D%5Btype_id%5D=4820&amp;hva%5B0%5D%5Bfilter%5D%5B0%5D%5Bverdi%5D=&amp;hva%5B0%5D%5Bid%5D=144/når:2018-10-22", "Vegkart")</f>
        <v>Vegkart</v>
      </c>
      <c r="B4626">
        <v>909693104</v>
      </c>
      <c r="C4626">
        <v>144</v>
      </c>
      <c r="D4626" t="s">
        <v>13345</v>
      </c>
      <c r="E4626">
        <v>4820</v>
      </c>
      <c r="F4626" t="s">
        <v>23479</v>
      </c>
      <c r="G4626">
        <v>1</v>
      </c>
      <c r="H4626" t="s">
        <v>15421</v>
      </c>
      <c r="J4626" t="s">
        <v>15397</v>
      </c>
      <c r="K4626" t="s">
        <v>179</v>
      </c>
      <c r="L4626" t="s">
        <v>33</v>
      </c>
      <c r="M4626" t="s">
        <v>15422</v>
      </c>
      <c r="N4626" t="s">
        <v>15444</v>
      </c>
      <c r="O4626" t="s">
        <v>15445</v>
      </c>
      <c r="P4626" s="2" t="s">
        <v>37</v>
      </c>
      <c r="Q4626" t="s">
        <v>1208</v>
      </c>
      <c r="R4626">
        <v>2.67</v>
      </c>
      <c r="S4626">
        <v>11.94</v>
      </c>
      <c r="T4626" t="s">
        <v>15446</v>
      </c>
    </row>
    <row r="4627" spans="1:20" x14ac:dyDescent="0.25">
      <c r="A4627" s="1" t="str">
        <f>HYPERLINK("https://vegkart.atlas.vegvesen.no/#/@562202.1,7653413.2,18/hva:hva%5B0%5D%5Bfilter%5D%5B0%5D%5Boperator%5D=%21%3D&amp;hva%5B0%5D%5Bfilter%5D%5B0%5D%5Btype_id%5D=4820&amp;hva%5B0%5D%5Bfilter%5D%5B0%5D%5Bverdi%5D=&amp;hva%5B0%5D%5Bid%5D=144/når:2018-10-22", "Vegkart")</f>
        <v>Vegkart</v>
      </c>
      <c r="B4627">
        <v>909693106</v>
      </c>
      <c r="C4627">
        <v>144</v>
      </c>
      <c r="D4627" t="s">
        <v>13345</v>
      </c>
      <c r="E4627">
        <v>4820</v>
      </c>
      <c r="F4627" t="s">
        <v>23479</v>
      </c>
      <c r="G4627">
        <v>1</v>
      </c>
      <c r="H4627" t="s">
        <v>15421</v>
      </c>
      <c r="J4627" t="s">
        <v>15397</v>
      </c>
      <c r="K4627" t="s">
        <v>179</v>
      </c>
      <c r="L4627" t="s">
        <v>33</v>
      </c>
      <c r="M4627" t="s">
        <v>15422</v>
      </c>
      <c r="N4627" t="s">
        <v>15447</v>
      </c>
      <c r="O4627" t="s">
        <v>15448</v>
      </c>
      <c r="P4627" s="2" t="s">
        <v>37</v>
      </c>
      <c r="Q4627" t="s">
        <v>1208</v>
      </c>
      <c r="R4627">
        <v>2.72</v>
      </c>
      <c r="S4627">
        <v>9.89</v>
      </c>
      <c r="T4627" t="s">
        <v>15449</v>
      </c>
    </row>
    <row r="4628" spans="1:20" x14ac:dyDescent="0.25">
      <c r="A4628" s="1" t="str">
        <f>HYPERLINK("https://vegkart.atlas.vegvesen.no/#/@564615.9,7650487.0,18/hva:hva%5B0%5D%5Bfilter%5D%5B0%5D%5Boperator%5D=%21%3D&amp;hva%5B0%5D%5Bfilter%5D%5B0%5D%5Btype_id%5D=4820&amp;hva%5B0%5D%5Bfilter%5D%5B0%5D%5Bverdi%5D=&amp;hva%5B0%5D%5Bid%5D=144/når:2018-10-22", "Vegkart")</f>
        <v>Vegkart</v>
      </c>
      <c r="B4628">
        <v>909693114</v>
      </c>
      <c r="C4628">
        <v>144</v>
      </c>
      <c r="D4628" t="s">
        <v>13345</v>
      </c>
      <c r="E4628">
        <v>4820</v>
      </c>
      <c r="F4628" t="s">
        <v>23479</v>
      </c>
      <c r="G4628">
        <v>1</v>
      </c>
      <c r="H4628" t="s">
        <v>15421</v>
      </c>
      <c r="J4628" t="s">
        <v>15397</v>
      </c>
      <c r="K4628" t="s">
        <v>179</v>
      </c>
      <c r="L4628" t="s">
        <v>33</v>
      </c>
      <c r="M4628" t="s">
        <v>15422</v>
      </c>
      <c r="N4628" t="s">
        <v>15435</v>
      </c>
      <c r="O4628" t="s">
        <v>15450</v>
      </c>
      <c r="P4628" s="2" t="s">
        <v>37</v>
      </c>
      <c r="Q4628" t="s">
        <v>1208</v>
      </c>
      <c r="R4628">
        <v>2.56</v>
      </c>
      <c r="S4628">
        <v>15.25</v>
      </c>
      <c r="T4628" t="s">
        <v>15451</v>
      </c>
    </row>
    <row r="4629" spans="1:20" x14ac:dyDescent="0.25">
      <c r="A4629" s="1" t="str">
        <f>HYPERLINK("https://vegkart.atlas.vegvesen.no/#/@564387.7,7650822.3,18/hva:hva%5B0%5D%5Bfilter%5D%5B0%5D%5Boperator%5D=%21%3D&amp;hva%5B0%5D%5Bfilter%5D%5B0%5D%5Btype_id%5D=4820&amp;hva%5B0%5D%5Bfilter%5D%5B0%5D%5Bverdi%5D=&amp;hva%5B0%5D%5Bid%5D=144/når:2018-10-22", "Vegkart")</f>
        <v>Vegkart</v>
      </c>
      <c r="B4629">
        <v>909693117</v>
      </c>
      <c r="C4629">
        <v>144</v>
      </c>
      <c r="D4629" t="s">
        <v>13345</v>
      </c>
      <c r="E4629">
        <v>4820</v>
      </c>
      <c r="F4629" t="s">
        <v>23479</v>
      </c>
      <c r="G4629">
        <v>1</v>
      </c>
      <c r="H4629" t="s">
        <v>15421</v>
      </c>
      <c r="J4629" t="s">
        <v>15397</v>
      </c>
      <c r="K4629" t="s">
        <v>179</v>
      </c>
      <c r="L4629" t="s">
        <v>33</v>
      </c>
      <c r="M4629" t="s">
        <v>15422</v>
      </c>
      <c r="N4629" t="s">
        <v>15452</v>
      </c>
      <c r="O4629" t="s">
        <v>15453</v>
      </c>
      <c r="P4629" s="2" t="s">
        <v>37</v>
      </c>
      <c r="Q4629" t="s">
        <v>1208</v>
      </c>
      <c r="R4629">
        <v>2.4</v>
      </c>
      <c r="S4629">
        <v>10.71</v>
      </c>
      <c r="T4629" t="s">
        <v>15454</v>
      </c>
    </row>
    <row r="4630" spans="1:20" x14ac:dyDescent="0.25">
      <c r="A4630" s="1" t="str">
        <f>HYPERLINK("https://vegkart.atlas.vegvesen.no/#/@564479.9,7650802.3,18/hva:hva%5B0%5D%5Bfilter%5D%5B0%5D%5Boperator%5D=%21%3D&amp;hva%5B0%5D%5Bfilter%5D%5B0%5D%5Btype_id%5D=4820&amp;hva%5B0%5D%5Bfilter%5D%5B0%5D%5Bverdi%5D=&amp;hva%5B0%5D%5Bid%5D=144/når:2018-10-22", "Vegkart")</f>
        <v>Vegkart</v>
      </c>
      <c r="B4630">
        <v>909693119</v>
      </c>
      <c r="C4630">
        <v>144</v>
      </c>
      <c r="D4630" t="s">
        <v>13345</v>
      </c>
      <c r="E4630">
        <v>4820</v>
      </c>
      <c r="F4630" t="s">
        <v>23479</v>
      </c>
      <c r="G4630">
        <v>1</v>
      </c>
      <c r="H4630" t="s">
        <v>15421</v>
      </c>
      <c r="J4630" t="s">
        <v>15397</v>
      </c>
      <c r="K4630" t="s">
        <v>179</v>
      </c>
      <c r="L4630" t="s">
        <v>33</v>
      </c>
      <c r="M4630" t="s">
        <v>15422</v>
      </c>
      <c r="N4630" t="s">
        <v>15455</v>
      </c>
      <c r="O4630" t="s">
        <v>15456</v>
      </c>
      <c r="P4630" s="2" t="s">
        <v>37</v>
      </c>
      <c r="Q4630" t="s">
        <v>1208</v>
      </c>
      <c r="R4630">
        <v>3.67</v>
      </c>
      <c r="S4630">
        <v>27.44</v>
      </c>
      <c r="T4630" t="s">
        <v>15457</v>
      </c>
    </row>
    <row r="4631" spans="1:20" x14ac:dyDescent="0.25">
      <c r="A4631" s="1" t="str">
        <f>HYPERLINK("https://vegkart.atlas.vegvesen.no/#/@564534.7,7650757.2,18/hva:hva%5B0%5D%5Bfilter%5D%5B0%5D%5Boperator%5D=%21%3D&amp;hva%5B0%5D%5Bfilter%5D%5B0%5D%5Btype_id%5D=4820&amp;hva%5B0%5D%5Bfilter%5D%5B0%5D%5Bverdi%5D=&amp;hva%5B0%5D%5Bid%5D=144/når:2018-10-22", "Vegkart")</f>
        <v>Vegkart</v>
      </c>
      <c r="B4631">
        <v>909693120</v>
      </c>
      <c r="C4631">
        <v>144</v>
      </c>
      <c r="D4631" t="s">
        <v>13345</v>
      </c>
      <c r="E4631">
        <v>4820</v>
      </c>
      <c r="F4631" t="s">
        <v>23479</v>
      </c>
      <c r="G4631">
        <v>1</v>
      </c>
      <c r="H4631" t="s">
        <v>15421</v>
      </c>
      <c r="J4631" t="s">
        <v>15397</v>
      </c>
      <c r="K4631" t="s">
        <v>179</v>
      </c>
      <c r="L4631" t="s">
        <v>33</v>
      </c>
      <c r="M4631" t="s">
        <v>15422</v>
      </c>
      <c r="N4631" t="s">
        <v>15458</v>
      </c>
      <c r="O4631" t="s">
        <v>15459</v>
      </c>
      <c r="P4631" s="2" t="s">
        <v>37</v>
      </c>
      <c r="Q4631" t="s">
        <v>1208</v>
      </c>
      <c r="R4631">
        <v>3.68</v>
      </c>
      <c r="S4631">
        <v>13.74</v>
      </c>
      <c r="T4631" t="s">
        <v>15460</v>
      </c>
    </row>
    <row r="4632" spans="1:20" x14ac:dyDescent="0.25">
      <c r="A4632" s="1" t="str">
        <f>HYPERLINK("https://vegkart.atlas.vegvesen.no/#/@564511.2,7649287.7,18/hva:hva%5B0%5D%5Bfilter%5D%5B0%5D%5Boperator%5D=%21%3D&amp;hva%5B0%5D%5Bfilter%5D%5B0%5D%5Btype_id%5D=4820&amp;hva%5B0%5D%5Bfilter%5D%5B0%5D%5Bverdi%5D=&amp;hva%5B0%5D%5Bid%5D=144/når:2018-10-22", "Vegkart")</f>
        <v>Vegkart</v>
      </c>
      <c r="B4632">
        <v>909693123</v>
      </c>
      <c r="C4632">
        <v>144</v>
      </c>
      <c r="D4632" t="s">
        <v>13345</v>
      </c>
      <c r="E4632">
        <v>4820</v>
      </c>
      <c r="F4632" t="s">
        <v>23479</v>
      </c>
      <c r="G4632">
        <v>1</v>
      </c>
      <c r="H4632" t="s">
        <v>15421</v>
      </c>
      <c r="J4632" t="s">
        <v>15397</v>
      </c>
      <c r="K4632" t="s">
        <v>179</v>
      </c>
      <c r="L4632" t="s">
        <v>33</v>
      </c>
      <c r="M4632" t="s">
        <v>15422</v>
      </c>
      <c r="N4632" t="s">
        <v>15461</v>
      </c>
      <c r="O4632" t="s">
        <v>15462</v>
      </c>
      <c r="P4632" s="2" t="s">
        <v>37</v>
      </c>
      <c r="Q4632" t="s">
        <v>1208</v>
      </c>
      <c r="R4632">
        <v>2.83</v>
      </c>
      <c r="S4632">
        <v>28.54</v>
      </c>
      <c r="T4632" t="s">
        <v>15463</v>
      </c>
    </row>
    <row r="4633" spans="1:20" x14ac:dyDescent="0.25">
      <c r="A4633" s="1" t="str">
        <f>HYPERLINK("https://vegkart.atlas.vegvesen.no/#/@564515.2,7650040.0,18/hva:hva%5B0%5D%5Bfilter%5D%5B0%5D%5Boperator%5D=%21%3D&amp;hva%5B0%5D%5Bfilter%5D%5B0%5D%5Btype_id%5D=4820&amp;hva%5B0%5D%5Bfilter%5D%5B0%5D%5Bverdi%5D=&amp;hva%5B0%5D%5Bid%5D=144/når:2018-10-22", "Vegkart")</f>
        <v>Vegkart</v>
      </c>
      <c r="B4633">
        <v>909693124</v>
      </c>
      <c r="C4633">
        <v>144</v>
      </c>
      <c r="D4633" t="s">
        <v>13345</v>
      </c>
      <c r="E4633">
        <v>4820</v>
      </c>
      <c r="F4633" t="s">
        <v>23479</v>
      </c>
      <c r="G4633">
        <v>1</v>
      </c>
      <c r="H4633" t="s">
        <v>15421</v>
      </c>
      <c r="J4633" t="s">
        <v>15397</v>
      </c>
      <c r="K4633" t="s">
        <v>179</v>
      </c>
      <c r="L4633" t="s">
        <v>33</v>
      </c>
      <c r="M4633" t="s">
        <v>15422</v>
      </c>
      <c r="N4633" t="s">
        <v>15464</v>
      </c>
      <c r="O4633" t="s">
        <v>15465</v>
      </c>
      <c r="P4633" s="2" t="s">
        <v>37</v>
      </c>
      <c r="Q4633" t="s">
        <v>1208</v>
      </c>
      <c r="R4633">
        <v>2.39</v>
      </c>
      <c r="S4633">
        <v>15.06</v>
      </c>
      <c r="T4633" t="s">
        <v>15466</v>
      </c>
    </row>
    <row r="4634" spans="1:20" x14ac:dyDescent="0.25">
      <c r="A4634" s="1" t="str">
        <f>HYPERLINK("https://vegkart.atlas.vegvesen.no/#/@564621.8,7650617.4,18/hva:hva%5B0%5D%5Bfilter%5D%5B0%5D%5Boperator%5D=%21%3D&amp;hva%5B0%5D%5Bfilter%5D%5B0%5D%5Btype_id%5D=4820&amp;hva%5B0%5D%5Bfilter%5D%5B0%5D%5Bverdi%5D=&amp;hva%5B0%5D%5Bid%5D=144/når:2018-10-22", "Vegkart")</f>
        <v>Vegkart</v>
      </c>
      <c r="B4634">
        <v>909693125</v>
      </c>
      <c r="C4634">
        <v>144</v>
      </c>
      <c r="D4634" t="s">
        <v>13345</v>
      </c>
      <c r="E4634">
        <v>4820</v>
      </c>
      <c r="F4634" t="s">
        <v>23479</v>
      </c>
      <c r="G4634">
        <v>1</v>
      </c>
      <c r="H4634" t="s">
        <v>15421</v>
      </c>
      <c r="J4634" t="s">
        <v>15397</v>
      </c>
      <c r="K4634" t="s">
        <v>179</v>
      </c>
      <c r="L4634" t="s">
        <v>33</v>
      </c>
      <c r="M4634" t="s">
        <v>15422</v>
      </c>
      <c r="N4634" t="s">
        <v>15467</v>
      </c>
      <c r="O4634" t="s">
        <v>15468</v>
      </c>
      <c r="P4634" s="2" t="s">
        <v>37</v>
      </c>
      <c r="Q4634" t="s">
        <v>1208</v>
      </c>
      <c r="R4634">
        <v>2.36</v>
      </c>
      <c r="S4634">
        <v>17.899999999999999</v>
      </c>
      <c r="T4634" t="s">
        <v>15469</v>
      </c>
    </row>
    <row r="4635" spans="1:20" x14ac:dyDescent="0.25">
      <c r="A4635" s="1" t="str">
        <f>HYPERLINK("https://vegkart.atlas.vegvesen.no/#/@564403.8,7650858.7,18/hva:hva%5B0%5D%5Bfilter%5D%5B0%5D%5Boperator%5D=%21%3D&amp;hva%5B0%5D%5Bfilter%5D%5B0%5D%5Btype_id%5D=4820&amp;hva%5B0%5D%5Bfilter%5D%5B0%5D%5Bverdi%5D=&amp;hva%5B0%5D%5Bid%5D=144/når:2018-10-22", "Vegkart")</f>
        <v>Vegkart</v>
      </c>
      <c r="B4635">
        <v>909693126</v>
      </c>
      <c r="C4635">
        <v>144</v>
      </c>
      <c r="D4635" t="s">
        <v>13345</v>
      </c>
      <c r="E4635">
        <v>4820</v>
      </c>
      <c r="F4635" t="s">
        <v>23479</v>
      </c>
      <c r="G4635">
        <v>1</v>
      </c>
      <c r="H4635" t="s">
        <v>15421</v>
      </c>
      <c r="J4635" t="s">
        <v>15397</v>
      </c>
      <c r="K4635" t="s">
        <v>179</v>
      </c>
      <c r="L4635" t="s">
        <v>33</v>
      </c>
      <c r="M4635" t="s">
        <v>15422</v>
      </c>
      <c r="N4635" t="s">
        <v>15470</v>
      </c>
      <c r="O4635" t="s">
        <v>15471</v>
      </c>
      <c r="P4635" s="2" t="s">
        <v>37</v>
      </c>
      <c r="Q4635" t="s">
        <v>1208</v>
      </c>
      <c r="R4635">
        <v>4.67</v>
      </c>
      <c r="S4635">
        <v>106.54</v>
      </c>
      <c r="T4635" t="s">
        <v>15472</v>
      </c>
    </row>
    <row r="4636" spans="1:20" x14ac:dyDescent="0.25">
      <c r="A4636" s="1" t="str">
        <f>HYPERLINK("https://vegkart.atlas.vegvesen.no/#/@564548.2,7649510.8,18/hva:hva%5B0%5D%5Bfilter%5D%5B0%5D%5Boperator%5D=%21%3D&amp;hva%5B0%5D%5Bfilter%5D%5B0%5D%5Btype_id%5D=4820&amp;hva%5B0%5D%5Bfilter%5D%5B0%5D%5Bverdi%5D=&amp;hva%5B0%5D%5Bid%5D=144/når:2018-10-22", "Vegkart")</f>
        <v>Vegkart</v>
      </c>
      <c r="B4636">
        <v>909693128</v>
      </c>
      <c r="C4636">
        <v>144</v>
      </c>
      <c r="D4636" t="s">
        <v>13345</v>
      </c>
      <c r="E4636">
        <v>4820</v>
      </c>
      <c r="F4636" t="s">
        <v>23479</v>
      </c>
      <c r="G4636">
        <v>1</v>
      </c>
      <c r="H4636" t="s">
        <v>15421</v>
      </c>
      <c r="J4636" t="s">
        <v>15397</v>
      </c>
      <c r="K4636" t="s">
        <v>179</v>
      </c>
      <c r="L4636" t="s">
        <v>33</v>
      </c>
      <c r="M4636" t="s">
        <v>15422</v>
      </c>
      <c r="N4636" t="s">
        <v>15473</v>
      </c>
      <c r="O4636" t="s">
        <v>15474</v>
      </c>
      <c r="P4636" s="2" t="s">
        <v>37</v>
      </c>
      <c r="Q4636" t="s">
        <v>1208</v>
      </c>
      <c r="R4636">
        <v>2.69</v>
      </c>
      <c r="S4636">
        <v>5.31</v>
      </c>
      <c r="T4636" t="s">
        <v>15475</v>
      </c>
    </row>
    <row r="4637" spans="1:20" x14ac:dyDescent="0.25">
      <c r="A4637" s="1" t="str">
        <f>HYPERLINK("https://vegkart.atlas.vegvesen.no/#/@564568.9,7650325.9,18/hva:hva%5B0%5D%5Bfilter%5D%5B0%5D%5Boperator%5D=%21%3D&amp;hva%5B0%5D%5Bfilter%5D%5B0%5D%5Btype_id%5D=4820&amp;hva%5B0%5D%5Bfilter%5D%5B0%5D%5Bverdi%5D=&amp;hva%5B0%5D%5Bid%5D=144/når:2018-10-22", "Vegkart")</f>
        <v>Vegkart</v>
      </c>
      <c r="B4637">
        <v>909693132</v>
      </c>
      <c r="C4637">
        <v>144</v>
      </c>
      <c r="D4637" t="s">
        <v>13345</v>
      </c>
      <c r="E4637">
        <v>4820</v>
      </c>
      <c r="F4637" t="s">
        <v>23479</v>
      </c>
      <c r="G4637">
        <v>1</v>
      </c>
      <c r="H4637" t="s">
        <v>15421</v>
      </c>
      <c r="J4637" t="s">
        <v>15397</v>
      </c>
      <c r="K4637" t="s">
        <v>179</v>
      </c>
      <c r="L4637" t="s">
        <v>33</v>
      </c>
      <c r="M4637" t="s">
        <v>15422</v>
      </c>
      <c r="N4637" t="s">
        <v>15476</v>
      </c>
      <c r="O4637" t="s">
        <v>15477</v>
      </c>
      <c r="P4637" s="2" t="s">
        <v>37</v>
      </c>
      <c r="Q4637" t="s">
        <v>1208</v>
      </c>
      <c r="R4637">
        <v>4.6900000000000004</v>
      </c>
      <c r="S4637">
        <v>17.11</v>
      </c>
      <c r="T4637" t="s">
        <v>15478</v>
      </c>
    </row>
    <row r="4638" spans="1:20" x14ac:dyDescent="0.25">
      <c r="A4638" s="1" t="str">
        <f>HYPERLINK("https://vegkart.atlas.vegvesen.no/#/@564549.2,7649570.6,18/hva:hva%5B0%5D%5Bfilter%5D%5B0%5D%5Boperator%5D=%21%3D&amp;hva%5B0%5D%5Bfilter%5D%5B0%5D%5Btype_id%5D=4820&amp;hva%5B0%5D%5Bfilter%5D%5B0%5D%5Bverdi%5D=&amp;hva%5B0%5D%5Bid%5D=144/når:2018-10-22", "Vegkart")</f>
        <v>Vegkart</v>
      </c>
      <c r="B4638">
        <v>909693138</v>
      </c>
      <c r="C4638">
        <v>144</v>
      </c>
      <c r="D4638" t="s">
        <v>13345</v>
      </c>
      <c r="E4638">
        <v>4820</v>
      </c>
      <c r="F4638" t="s">
        <v>23479</v>
      </c>
      <c r="G4638">
        <v>1</v>
      </c>
      <c r="H4638" t="s">
        <v>15421</v>
      </c>
      <c r="J4638" t="s">
        <v>15397</v>
      </c>
      <c r="K4638" t="s">
        <v>179</v>
      </c>
      <c r="L4638" t="s">
        <v>33</v>
      </c>
      <c r="M4638" t="s">
        <v>15422</v>
      </c>
      <c r="N4638" t="s">
        <v>15479</v>
      </c>
      <c r="O4638" t="s">
        <v>15480</v>
      </c>
      <c r="P4638" s="2" t="s">
        <v>37</v>
      </c>
      <c r="Q4638" t="s">
        <v>1208</v>
      </c>
      <c r="R4638">
        <v>2.0699999999999998</v>
      </c>
      <c r="S4638">
        <v>16.5</v>
      </c>
      <c r="T4638" t="s">
        <v>15481</v>
      </c>
    </row>
    <row r="4639" spans="1:20" x14ac:dyDescent="0.25">
      <c r="A4639" s="1" t="str">
        <f>HYPERLINK("https://vegkart.atlas.vegvesen.no/#/@564594.8,7650641.7,18/hva:hva%5B0%5D%5Bfilter%5D%5B0%5D%5Boperator%5D=%21%3D&amp;hva%5B0%5D%5Bfilter%5D%5B0%5D%5Btype_id%5D=4820&amp;hva%5B0%5D%5Bfilter%5D%5B0%5D%5Bverdi%5D=&amp;hva%5B0%5D%5Bid%5D=144/når:2018-10-22", "Vegkart")</f>
        <v>Vegkart</v>
      </c>
      <c r="B4639">
        <v>909693140</v>
      </c>
      <c r="C4639">
        <v>144</v>
      </c>
      <c r="D4639" t="s">
        <v>13345</v>
      </c>
      <c r="E4639">
        <v>4820</v>
      </c>
      <c r="F4639" t="s">
        <v>23479</v>
      </c>
      <c r="G4639">
        <v>1</v>
      </c>
      <c r="H4639" t="s">
        <v>15421</v>
      </c>
      <c r="J4639" t="s">
        <v>15397</v>
      </c>
      <c r="K4639" t="s">
        <v>179</v>
      </c>
      <c r="L4639" t="s">
        <v>33</v>
      </c>
      <c r="M4639" t="s">
        <v>15422</v>
      </c>
      <c r="N4639" t="s">
        <v>15482</v>
      </c>
      <c r="O4639" t="s">
        <v>15483</v>
      </c>
      <c r="P4639" s="2" t="s">
        <v>37</v>
      </c>
      <c r="Q4639" t="s">
        <v>1208</v>
      </c>
      <c r="R4639">
        <v>2.71</v>
      </c>
      <c r="S4639">
        <v>16.78</v>
      </c>
      <c r="T4639" t="s">
        <v>15484</v>
      </c>
    </row>
    <row r="4640" spans="1:20" x14ac:dyDescent="0.25">
      <c r="A4640" s="1" t="str">
        <f>HYPERLINK("https://vegkart.atlas.vegvesen.no/#/@564531.9,7649570.8,18/hva:hva%5B0%5D%5Bfilter%5D%5B0%5D%5Boperator%5D=%21%3D&amp;hva%5B0%5D%5Bfilter%5D%5B0%5D%5Btype_id%5D=4820&amp;hva%5B0%5D%5Bfilter%5D%5B0%5D%5Bverdi%5D=&amp;hva%5B0%5D%5Bid%5D=144/når:2018-10-22", "Vegkart")</f>
        <v>Vegkart</v>
      </c>
      <c r="B4640">
        <v>909693144</v>
      </c>
      <c r="C4640">
        <v>144</v>
      </c>
      <c r="D4640" t="s">
        <v>13345</v>
      </c>
      <c r="E4640">
        <v>4820</v>
      </c>
      <c r="F4640" t="s">
        <v>23479</v>
      </c>
      <c r="G4640">
        <v>1</v>
      </c>
      <c r="H4640" t="s">
        <v>15421</v>
      </c>
      <c r="J4640" t="s">
        <v>15397</v>
      </c>
      <c r="K4640" t="s">
        <v>179</v>
      </c>
      <c r="L4640" t="s">
        <v>33</v>
      </c>
      <c r="M4640" t="s">
        <v>15422</v>
      </c>
      <c r="N4640" t="s">
        <v>15485</v>
      </c>
      <c r="O4640" t="s">
        <v>15486</v>
      </c>
      <c r="P4640" s="2" t="s">
        <v>37</v>
      </c>
      <c r="Q4640" t="s">
        <v>1208</v>
      </c>
      <c r="R4640">
        <v>2.5499999999999998</v>
      </c>
      <c r="S4640">
        <v>14.25</v>
      </c>
      <c r="T4640" t="s">
        <v>15487</v>
      </c>
    </row>
    <row r="4641" spans="1:20" x14ac:dyDescent="0.25">
      <c r="A4641" s="1" t="str">
        <f>HYPERLINK("https://vegkart.atlas.vegvesen.no/#/@564553.1,7649389.0,18/hva:hva%5B0%5D%5Bfilter%5D%5B0%5D%5Boperator%5D=%21%3D&amp;hva%5B0%5D%5Bfilter%5D%5B0%5D%5Btype_id%5D=4820&amp;hva%5B0%5D%5Bfilter%5D%5B0%5D%5Bverdi%5D=&amp;hva%5B0%5D%5Bid%5D=144/når:2018-10-22", "Vegkart")</f>
        <v>Vegkart</v>
      </c>
      <c r="B4641">
        <v>909693146</v>
      </c>
      <c r="C4641">
        <v>144</v>
      </c>
      <c r="D4641" t="s">
        <v>13345</v>
      </c>
      <c r="E4641">
        <v>4820</v>
      </c>
      <c r="F4641" t="s">
        <v>23479</v>
      </c>
      <c r="G4641">
        <v>1</v>
      </c>
      <c r="H4641" t="s">
        <v>15421</v>
      </c>
      <c r="J4641" t="s">
        <v>15397</v>
      </c>
      <c r="K4641" t="s">
        <v>179</v>
      </c>
      <c r="L4641" t="s">
        <v>33</v>
      </c>
      <c r="M4641" t="s">
        <v>15422</v>
      </c>
      <c r="N4641" t="s">
        <v>15488</v>
      </c>
      <c r="O4641" t="s">
        <v>15489</v>
      </c>
      <c r="P4641" s="2" t="s">
        <v>37</v>
      </c>
      <c r="Q4641" t="s">
        <v>1208</v>
      </c>
      <c r="R4641">
        <v>3.96</v>
      </c>
      <c r="S4641">
        <v>13.77</v>
      </c>
      <c r="T4641" t="s">
        <v>15490</v>
      </c>
    </row>
    <row r="4642" spans="1:20" x14ac:dyDescent="0.25">
      <c r="A4642" s="1" t="str">
        <f>HYPERLINK("https://vegkart.atlas.vegvesen.no/#/@566267.0,7650304.3,18/hva:hva%5B0%5D%5Bfilter%5D%5B0%5D%5Boperator%5D=%21%3D&amp;hva%5B0%5D%5Bfilter%5D%5B0%5D%5Btype_id%5D=4820&amp;hva%5B0%5D%5Bfilter%5D%5B0%5D%5Bverdi%5D=&amp;hva%5B0%5D%5Bid%5D=144/når:2018-10-22", "Vegkart")</f>
        <v>Vegkart</v>
      </c>
      <c r="B4642">
        <v>909693157</v>
      </c>
      <c r="C4642">
        <v>144</v>
      </c>
      <c r="D4642" t="s">
        <v>13345</v>
      </c>
      <c r="E4642">
        <v>4820</v>
      </c>
      <c r="F4642" t="s">
        <v>23479</v>
      </c>
      <c r="G4642">
        <v>1</v>
      </c>
      <c r="H4642" t="s">
        <v>15421</v>
      </c>
      <c r="J4642" t="s">
        <v>15397</v>
      </c>
      <c r="K4642" t="s">
        <v>179</v>
      </c>
      <c r="L4642" t="s">
        <v>33</v>
      </c>
      <c r="M4642" t="s">
        <v>15491</v>
      </c>
      <c r="N4642" t="s">
        <v>15492</v>
      </c>
      <c r="O4642" t="s">
        <v>15493</v>
      </c>
      <c r="P4642" s="2" t="s">
        <v>37</v>
      </c>
      <c r="Q4642" t="s">
        <v>1208</v>
      </c>
      <c r="R4642">
        <v>2.2999999999999998</v>
      </c>
      <c r="S4642">
        <v>7.38</v>
      </c>
      <c r="T4642" t="s">
        <v>15494</v>
      </c>
    </row>
    <row r="4643" spans="1:20" x14ac:dyDescent="0.25">
      <c r="A4643" s="1" t="str">
        <f>HYPERLINK("https://vegkart.atlas.vegvesen.no/#/@562217.8,7653486.0,18/hva:hva%5B0%5D%5Bfilter%5D%5B0%5D%5Boperator%5D=%21%3D&amp;hva%5B0%5D%5Bfilter%5D%5B0%5D%5Btype_id%5D=4820&amp;hva%5B0%5D%5Bfilter%5D%5B0%5D%5Bverdi%5D=&amp;hva%5B0%5D%5Bid%5D=144/når:2018-10-22", "Vegkart")</f>
        <v>Vegkart</v>
      </c>
      <c r="B4643">
        <v>909693165</v>
      </c>
      <c r="C4643">
        <v>144</v>
      </c>
      <c r="D4643" t="s">
        <v>13345</v>
      </c>
      <c r="E4643">
        <v>4820</v>
      </c>
      <c r="F4643" t="s">
        <v>23479</v>
      </c>
      <c r="G4643">
        <v>1</v>
      </c>
      <c r="H4643" t="s">
        <v>15421</v>
      </c>
      <c r="J4643" t="s">
        <v>15397</v>
      </c>
      <c r="K4643" t="s">
        <v>179</v>
      </c>
      <c r="L4643" t="s">
        <v>33</v>
      </c>
      <c r="M4643" t="s">
        <v>15422</v>
      </c>
      <c r="N4643" t="s">
        <v>15495</v>
      </c>
      <c r="O4643" t="s">
        <v>15496</v>
      </c>
      <c r="P4643" s="2" t="s">
        <v>37</v>
      </c>
      <c r="Q4643" t="s">
        <v>1208</v>
      </c>
      <c r="R4643">
        <v>3.65</v>
      </c>
      <c r="S4643">
        <v>10.93</v>
      </c>
      <c r="T4643" t="s">
        <v>15497</v>
      </c>
    </row>
    <row r="4644" spans="1:20" x14ac:dyDescent="0.25">
      <c r="A4644" s="1" t="str">
        <f>HYPERLINK("https://vegkart.atlas.vegvesen.no/#/@566283.3,7650299.6,18/hva:hva%5B0%5D%5Bfilter%5D%5B0%5D%5Boperator%5D=%21%3D&amp;hva%5B0%5D%5Bfilter%5D%5B0%5D%5Btype_id%5D=4820&amp;hva%5B0%5D%5Bfilter%5D%5B0%5D%5Bverdi%5D=&amp;hva%5B0%5D%5Bid%5D=144/når:2018-10-22", "Vegkart")</f>
        <v>Vegkart</v>
      </c>
      <c r="B4644">
        <v>909693166</v>
      </c>
      <c r="C4644">
        <v>144</v>
      </c>
      <c r="D4644" t="s">
        <v>13345</v>
      </c>
      <c r="E4644">
        <v>4820</v>
      </c>
      <c r="F4644" t="s">
        <v>23479</v>
      </c>
      <c r="G4644">
        <v>1</v>
      </c>
      <c r="H4644" t="s">
        <v>15421</v>
      </c>
      <c r="J4644" t="s">
        <v>15397</v>
      </c>
      <c r="K4644" t="s">
        <v>179</v>
      </c>
      <c r="L4644" t="s">
        <v>33</v>
      </c>
      <c r="M4644" t="s">
        <v>15491</v>
      </c>
      <c r="N4644" t="s">
        <v>15498</v>
      </c>
      <c r="O4644" t="s">
        <v>15499</v>
      </c>
      <c r="P4644" s="2" t="s">
        <v>37</v>
      </c>
      <c r="Q4644" t="s">
        <v>1208</v>
      </c>
      <c r="R4644">
        <v>2.4</v>
      </c>
      <c r="S4644">
        <v>10.16</v>
      </c>
      <c r="T4644" t="s">
        <v>15500</v>
      </c>
    </row>
    <row r="4645" spans="1:20" x14ac:dyDescent="0.25">
      <c r="A4645" s="1" t="str">
        <f>HYPERLINK("https://vegkart.atlas.vegvesen.no/#/@251465.3,6960401.9,18/hva:hva%5B0%5D%5Bfilter%5D%5B0%5D%5Boperator%5D=%21%3D&amp;hva%5B0%5D%5Bfilter%5D%5B0%5D%5Btype_id%5D=4820&amp;hva%5B0%5D%5Bfilter%5D%5B0%5D%5Bverdi%5D=&amp;hva%5B0%5D%5Bid%5D=144/når:2018-10-25", "Vegkart")</f>
        <v>Vegkart</v>
      </c>
      <c r="B4645">
        <v>909835675</v>
      </c>
      <c r="C4645">
        <v>144</v>
      </c>
      <c r="D4645" t="s">
        <v>13345</v>
      </c>
      <c r="E4645">
        <v>4820</v>
      </c>
      <c r="F4645" t="s">
        <v>23479</v>
      </c>
      <c r="G4645">
        <v>1</v>
      </c>
      <c r="H4645" t="s">
        <v>15501</v>
      </c>
      <c r="J4645" t="s">
        <v>15397</v>
      </c>
      <c r="K4645" t="s">
        <v>192</v>
      </c>
      <c r="L4645" t="s">
        <v>113</v>
      </c>
      <c r="M4645" t="s">
        <v>335</v>
      </c>
      <c r="N4645" t="s">
        <v>15502</v>
      </c>
      <c r="O4645" t="s">
        <v>15503</v>
      </c>
      <c r="P4645" s="2" t="s">
        <v>37</v>
      </c>
      <c r="Q4645" t="s">
        <v>1208</v>
      </c>
      <c r="R4645">
        <v>16.82</v>
      </c>
      <c r="S4645">
        <v>19.5</v>
      </c>
      <c r="T4645" t="s">
        <v>15504</v>
      </c>
    </row>
    <row r="4646" spans="1:20" x14ac:dyDescent="0.25">
      <c r="A4646" s="1" t="str">
        <f>HYPERLINK("https://vegkart.atlas.vegvesen.no/#/@55.9,6653276.3,18/hva:hva%5B0%5D%5Bfilter%5D%5B0%5D%5Boperator%5D=%21%3D&amp;hva%5B0%5D%5Bfilter%5D%5B0%5D%5Btype_id%5D=4820&amp;hva%5B0%5D%5Bfilter%5D%5B0%5D%5Bverdi%5D=&amp;hva%5B0%5D%5Bid%5D=144/når:2019-06-25", "Vegkart")</f>
        <v>Vegkart</v>
      </c>
      <c r="B4646">
        <v>910033975</v>
      </c>
      <c r="C4646">
        <v>144</v>
      </c>
      <c r="D4646" t="s">
        <v>13345</v>
      </c>
      <c r="E4646">
        <v>4820</v>
      </c>
      <c r="F4646" t="s">
        <v>23479</v>
      </c>
      <c r="G4646">
        <v>2</v>
      </c>
      <c r="H4646" t="s">
        <v>13906</v>
      </c>
      <c r="J4646" t="s">
        <v>15397</v>
      </c>
      <c r="K4646" t="s">
        <v>21</v>
      </c>
      <c r="L4646" t="s">
        <v>80</v>
      </c>
      <c r="M4646" t="s">
        <v>645</v>
      </c>
      <c r="N4646" t="s">
        <v>15505</v>
      </c>
      <c r="O4646" t="s">
        <v>15506</v>
      </c>
      <c r="P4646" s="2" t="s">
        <v>67</v>
      </c>
      <c r="Q4646" t="s">
        <v>68</v>
      </c>
      <c r="R4646">
        <v>26.2</v>
      </c>
      <c r="S4646">
        <v>26.85</v>
      </c>
      <c r="T4646" t="s">
        <v>15507</v>
      </c>
    </row>
    <row r="4647" spans="1:20" x14ac:dyDescent="0.25">
      <c r="A4647" s="1" t="str">
        <f>HYPERLINK("https://vegkart.atlas.vegvesen.no/#/@287294.4,6660811.3,18/hva:hva%5B0%5D%5Bfilter%5D%5B0%5D%5Boperator%5D=%21%3D&amp;hva%5B0%5D%5Bfilter%5D%5B0%5D%5Btype_id%5D=4820&amp;hva%5B0%5D%5Bfilter%5D%5B0%5D%5Bverdi%5D=&amp;hva%5B0%5D%5Bid%5D=144/når:2018-11-02", "Vegkart")</f>
        <v>Vegkart</v>
      </c>
      <c r="B4647">
        <v>910376393</v>
      </c>
      <c r="C4647">
        <v>144</v>
      </c>
      <c r="D4647" t="s">
        <v>13345</v>
      </c>
      <c r="E4647">
        <v>4820</v>
      </c>
      <c r="F4647" t="s">
        <v>23479</v>
      </c>
      <c r="G4647">
        <v>1</v>
      </c>
      <c r="H4647" t="s">
        <v>15508</v>
      </c>
      <c r="J4647" t="s">
        <v>15397</v>
      </c>
      <c r="K4647" t="s">
        <v>132</v>
      </c>
      <c r="L4647" t="s">
        <v>33</v>
      </c>
      <c r="M4647" t="s">
        <v>15509</v>
      </c>
      <c r="N4647" t="s">
        <v>15510</v>
      </c>
      <c r="O4647" t="s">
        <v>15511</v>
      </c>
      <c r="P4647" s="2" t="s">
        <v>165</v>
      </c>
      <c r="Q4647" t="s">
        <v>641</v>
      </c>
      <c r="R4647">
        <v>0</v>
      </c>
      <c r="S4647">
        <v>26.23</v>
      </c>
      <c r="T4647" t="s">
        <v>167</v>
      </c>
    </row>
    <row r="4648" spans="1:20" x14ac:dyDescent="0.25">
      <c r="A4648" s="1" t="str">
        <f>HYPERLINK("https://vegkart.atlas.vegvesen.no/#/@506839.9,7533855.1,18/hva:hva%5B0%5D%5Bfilter%5D%5B0%5D%5Boperator%5D=%21%3D&amp;hva%5B0%5D%5Bfilter%5D%5B0%5D%5Btype_id%5D=4820&amp;hva%5B0%5D%5Bfilter%5D%5B0%5D%5Bverdi%5D=&amp;hva%5B0%5D%5Bid%5D=144/når:2018-11-20", "Vegkart")</f>
        <v>Vegkart</v>
      </c>
      <c r="B4648">
        <v>911142792</v>
      </c>
      <c r="C4648">
        <v>144</v>
      </c>
      <c r="D4648" t="s">
        <v>13345</v>
      </c>
      <c r="E4648">
        <v>4820</v>
      </c>
      <c r="F4648" t="s">
        <v>23479</v>
      </c>
      <c r="G4648">
        <v>1</v>
      </c>
      <c r="H4648" t="s">
        <v>1654</v>
      </c>
      <c r="J4648" t="s">
        <v>15397</v>
      </c>
      <c r="K4648" t="s">
        <v>53</v>
      </c>
      <c r="L4648" t="s">
        <v>33</v>
      </c>
      <c r="M4648" t="s">
        <v>14927</v>
      </c>
      <c r="N4648" t="s">
        <v>15512</v>
      </c>
      <c r="O4648" t="s">
        <v>15513</v>
      </c>
      <c r="P4648" s="2" t="s">
        <v>37</v>
      </c>
      <c r="Q4648" t="s">
        <v>1208</v>
      </c>
      <c r="R4648">
        <v>15.72</v>
      </c>
      <c r="S4648">
        <v>16.510000000000002</v>
      </c>
      <c r="T4648" t="s">
        <v>15514</v>
      </c>
    </row>
    <row r="4649" spans="1:20" x14ac:dyDescent="0.25">
      <c r="A4649" s="1" t="str">
        <f>HYPERLINK("https://vegkart.atlas.vegvesen.no/#/@506840.8,7533857.6,18/hva:hva%5B0%5D%5Bfilter%5D%5B0%5D%5Boperator%5D=%21%3D&amp;hva%5B0%5D%5Bfilter%5D%5B0%5D%5Btype_id%5D=4820&amp;hva%5B0%5D%5Bfilter%5D%5B0%5D%5Bverdi%5D=&amp;hva%5B0%5D%5Bid%5D=144/når:2018-11-20", "Vegkart")</f>
        <v>Vegkart</v>
      </c>
      <c r="B4649">
        <v>911142793</v>
      </c>
      <c r="C4649">
        <v>144</v>
      </c>
      <c r="D4649" t="s">
        <v>13345</v>
      </c>
      <c r="E4649">
        <v>4820</v>
      </c>
      <c r="F4649" t="s">
        <v>23479</v>
      </c>
      <c r="G4649">
        <v>1</v>
      </c>
      <c r="H4649" t="s">
        <v>1654</v>
      </c>
      <c r="J4649" t="s">
        <v>15397</v>
      </c>
      <c r="K4649" t="s">
        <v>53</v>
      </c>
      <c r="L4649" t="s">
        <v>33</v>
      </c>
      <c r="M4649" t="s">
        <v>14927</v>
      </c>
      <c r="N4649" t="s">
        <v>15515</v>
      </c>
      <c r="O4649" t="s">
        <v>15516</v>
      </c>
      <c r="P4649" s="2" t="s">
        <v>67</v>
      </c>
      <c r="Q4649" t="s">
        <v>68</v>
      </c>
      <c r="R4649">
        <v>24.16</v>
      </c>
      <c r="S4649">
        <v>25.72</v>
      </c>
      <c r="T4649" t="s">
        <v>15517</v>
      </c>
    </row>
    <row r="4650" spans="1:20" x14ac:dyDescent="0.25">
      <c r="A4650" s="1" t="str">
        <f>HYPERLINK("https://vegkart.atlas.vegvesen.no/#/@506827.2,7533828.4,18/hva:hva%5B0%5D%5Bfilter%5D%5B0%5D%5Boperator%5D=%21%3D&amp;hva%5B0%5D%5Bfilter%5D%5B0%5D%5Btype_id%5D=4820&amp;hva%5B0%5D%5Bfilter%5D%5B0%5D%5Bverdi%5D=&amp;hva%5B0%5D%5Bid%5D=144/når:2018-11-20", "Vegkart")</f>
        <v>Vegkart</v>
      </c>
      <c r="B4650">
        <v>911142794</v>
      </c>
      <c r="C4650">
        <v>144</v>
      </c>
      <c r="D4650" t="s">
        <v>13345</v>
      </c>
      <c r="E4650">
        <v>4820</v>
      </c>
      <c r="F4650" t="s">
        <v>23479</v>
      </c>
      <c r="G4650">
        <v>1</v>
      </c>
      <c r="H4650" t="s">
        <v>1654</v>
      </c>
      <c r="J4650" t="s">
        <v>15397</v>
      </c>
      <c r="K4650" t="s">
        <v>53</v>
      </c>
      <c r="L4650" t="s">
        <v>33</v>
      </c>
      <c r="M4650" t="s">
        <v>14927</v>
      </c>
      <c r="N4650" t="s">
        <v>15518</v>
      </c>
      <c r="O4650" t="s">
        <v>15519</v>
      </c>
      <c r="P4650" s="2" t="s">
        <v>37</v>
      </c>
      <c r="Q4650" t="s">
        <v>1208</v>
      </c>
      <c r="R4650">
        <v>9.61</v>
      </c>
      <c r="S4650">
        <v>11.05</v>
      </c>
      <c r="T4650" t="s">
        <v>15520</v>
      </c>
    </row>
    <row r="4651" spans="1:20" x14ac:dyDescent="0.25">
      <c r="A4651" s="1" t="str">
        <f>HYPERLINK("https://vegkart.atlas.vegvesen.no/#/@506824.7,7533831.9,18/hva:hva%5B0%5D%5Bfilter%5D%5B0%5D%5Boperator%5D=%21%3D&amp;hva%5B0%5D%5Bfilter%5D%5B0%5D%5Btype_id%5D=4820&amp;hva%5B0%5D%5Bfilter%5D%5B0%5D%5Bverdi%5D=&amp;hva%5B0%5D%5Bid%5D=144/når:2018-11-20", "Vegkart")</f>
        <v>Vegkart</v>
      </c>
      <c r="B4651">
        <v>911142795</v>
      </c>
      <c r="C4651">
        <v>144</v>
      </c>
      <c r="D4651" t="s">
        <v>13345</v>
      </c>
      <c r="E4651">
        <v>4820</v>
      </c>
      <c r="F4651" t="s">
        <v>23479</v>
      </c>
      <c r="G4651">
        <v>1</v>
      </c>
      <c r="H4651" t="s">
        <v>1654</v>
      </c>
      <c r="J4651" t="s">
        <v>15397</v>
      </c>
      <c r="K4651" t="s">
        <v>53</v>
      </c>
      <c r="L4651" t="s">
        <v>33</v>
      </c>
      <c r="M4651" t="s">
        <v>14927</v>
      </c>
      <c r="N4651" t="s">
        <v>15521</v>
      </c>
      <c r="O4651" t="s">
        <v>15522</v>
      </c>
      <c r="P4651" s="2" t="s">
        <v>37</v>
      </c>
      <c r="Q4651" t="s">
        <v>1208</v>
      </c>
      <c r="R4651">
        <v>4.25</v>
      </c>
      <c r="S4651">
        <v>9.35</v>
      </c>
      <c r="T4651" t="s">
        <v>15523</v>
      </c>
    </row>
    <row r="4652" spans="1:20" x14ac:dyDescent="0.25">
      <c r="A4652" s="1" t="str">
        <f>HYPERLINK("https://vegkart.atlas.vegvesen.no/#/@504878.4,7522864.7,18/hva:hva%5B0%5D%5Bfilter%5D%5B0%5D%5Boperator%5D=%21%3D&amp;hva%5B0%5D%5Bfilter%5D%5B0%5D%5Btype_id%5D=4820&amp;hva%5B0%5D%5Bfilter%5D%5B0%5D%5Bverdi%5D=&amp;hva%5B0%5D%5Bid%5D=144/når:2018-11-20", "Vegkart")</f>
        <v>Vegkart</v>
      </c>
      <c r="B4652">
        <v>911145312</v>
      </c>
      <c r="C4652">
        <v>144</v>
      </c>
      <c r="D4652" t="s">
        <v>13345</v>
      </c>
      <c r="E4652">
        <v>4820</v>
      </c>
      <c r="F4652" t="s">
        <v>23479</v>
      </c>
      <c r="G4652">
        <v>1</v>
      </c>
      <c r="H4652" t="s">
        <v>1654</v>
      </c>
      <c r="J4652" t="s">
        <v>15397</v>
      </c>
      <c r="K4652" t="s">
        <v>53</v>
      </c>
      <c r="L4652" t="s">
        <v>33</v>
      </c>
      <c r="M4652" t="s">
        <v>15524</v>
      </c>
      <c r="N4652" t="s">
        <v>15525</v>
      </c>
      <c r="O4652" t="s">
        <v>15526</v>
      </c>
      <c r="P4652" s="2" t="s">
        <v>67</v>
      </c>
      <c r="Q4652" t="s">
        <v>68</v>
      </c>
      <c r="R4652">
        <v>11.28</v>
      </c>
      <c r="S4652">
        <v>11.32</v>
      </c>
      <c r="T4652" t="s">
        <v>15527</v>
      </c>
    </row>
    <row r="4653" spans="1:20" x14ac:dyDescent="0.25">
      <c r="A4653" s="1" t="str">
        <f>HYPERLINK("https://vegkart.atlas.vegvesen.no/#/@504878.5,7522869.2,18/hva:hva%5B0%5D%5Bfilter%5D%5B0%5D%5Boperator%5D=%21%3D&amp;hva%5B0%5D%5Bfilter%5D%5B0%5D%5Btype_id%5D=4820&amp;hva%5B0%5D%5Bfilter%5D%5B0%5D%5Bverdi%5D=&amp;hva%5B0%5D%5Bid%5D=144/når:2018-11-20", "Vegkart")</f>
        <v>Vegkart</v>
      </c>
      <c r="B4653">
        <v>911145313</v>
      </c>
      <c r="C4653">
        <v>144</v>
      </c>
      <c r="D4653" t="s">
        <v>13345</v>
      </c>
      <c r="E4653">
        <v>4820</v>
      </c>
      <c r="F4653" t="s">
        <v>23479</v>
      </c>
      <c r="G4653">
        <v>1</v>
      </c>
      <c r="H4653" t="s">
        <v>1654</v>
      </c>
      <c r="J4653" t="s">
        <v>15397</v>
      </c>
      <c r="K4653" t="s">
        <v>53</v>
      </c>
      <c r="L4653" t="s">
        <v>33</v>
      </c>
      <c r="M4653" t="s">
        <v>15524</v>
      </c>
      <c r="N4653" t="s">
        <v>15528</v>
      </c>
      <c r="O4653" t="s">
        <v>15529</v>
      </c>
      <c r="P4653" s="2" t="s">
        <v>67</v>
      </c>
      <c r="Q4653" t="s">
        <v>68</v>
      </c>
      <c r="R4653">
        <v>11.95</v>
      </c>
      <c r="S4653">
        <v>12.12</v>
      </c>
      <c r="T4653" t="s">
        <v>15530</v>
      </c>
    </row>
    <row r="4654" spans="1:20" x14ac:dyDescent="0.25">
      <c r="A4654" s="1" t="str">
        <f>HYPERLINK("https://vegkart.atlas.vegvesen.no/#/@504904.8,7522869.4,18/hva:hva%5B0%5D%5Bfilter%5D%5B0%5D%5Boperator%5D=%21%3D&amp;hva%5B0%5D%5Bfilter%5D%5B0%5D%5Btype_id%5D=4820&amp;hva%5B0%5D%5Bfilter%5D%5B0%5D%5Bverdi%5D=&amp;hva%5B0%5D%5Bid%5D=144/når:2018-11-20", "Vegkart")</f>
        <v>Vegkart</v>
      </c>
      <c r="B4654">
        <v>911145314</v>
      </c>
      <c r="C4654">
        <v>144</v>
      </c>
      <c r="D4654" t="s">
        <v>13345</v>
      </c>
      <c r="E4654">
        <v>4820</v>
      </c>
      <c r="F4654" t="s">
        <v>23479</v>
      </c>
      <c r="G4654">
        <v>1</v>
      </c>
      <c r="H4654" t="s">
        <v>1654</v>
      </c>
      <c r="J4654" t="s">
        <v>15397</v>
      </c>
      <c r="K4654" t="s">
        <v>53</v>
      </c>
      <c r="L4654" t="s">
        <v>33</v>
      </c>
      <c r="M4654" t="s">
        <v>15524</v>
      </c>
      <c r="N4654" t="s">
        <v>15531</v>
      </c>
      <c r="O4654" t="s">
        <v>15532</v>
      </c>
      <c r="P4654" s="2" t="s">
        <v>37</v>
      </c>
      <c r="Q4654" t="s">
        <v>1208</v>
      </c>
      <c r="R4654">
        <v>12.73</v>
      </c>
      <c r="S4654">
        <v>16.62</v>
      </c>
      <c r="T4654" t="s">
        <v>15533</v>
      </c>
    </row>
    <row r="4655" spans="1:20" x14ac:dyDescent="0.25">
      <c r="A4655" s="1" t="str">
        <f>HYPERLINK("https://vegkart.atlas.vegvesen.no/#/@506649.3,7524914.9,18/hva:hva%5B0%5D%5Bfilter%5D%5B0%5D%5Boperator%5D=%21%3D&amp;hva%5B0%5D%5Bfilter%5D%5B0%5D%5Btype_id%5D=4820&amp;hva%5B0%5D%5Bfilter%5D%5B0%5D%5Bverdi%5D=&amp;hva%5B0%5D%5Bid%5D=144/når:2018-11-20", "Vegkart")</f>
        <v>Vegkart</v>
      </c>
      <c r="B4655">
        <v>911145315</v>
      </c>
      <c r="C4655">
        <v>144</v>
      </c>
      <c r="D4655" t="s">
        <v>13345</v>
      </c>
      <c r="E4655">
        <v>4820</v>
      </c>
      <c r="F4655" t="s">
        <v>23479</v>
      </c>
      <c r="G4655">
        <v>1</v>
      </c>
      <c r="H4655" t="s">
        <v>1654</v>
      </c>
      <c r="J4655" t="s">
        <v>15397</v>
      </c>
      <c r="K4655" t="s">
        <v>53</v>
      </c>
      <c r="L4655" t="s">
        <v>33</v>
      </c>
      <c r="M4655" t="s">
        <v>15524</v>
      </c>
      <c r="N4655" t="s">
        <v>15534</v>
      </c>
      <c r="O4655" t="s">
        <v>15535</v>
      </c>
      <c r="P4655" s="2" t="s">
        <v>37</v>
      </c>
      <c r="Q4655" t="s">
        <v>1208</v>
      </c>
      <c r="R4655">
        <v>3.13</v>
      </c>
      <c r="S4655">
        <v>3.75</v>
      </c>
      <c r="T4655" t="s">
        <v>15536</v>
      </c>
    </row>
    <row r="4656" spans="1:20" x14ac:dyDescent="0.25">
      <c r="A4656" s="1" t="str">
        <f>HYPERLINK("https://vegkart.atlas.vegvesen.no/#/@506662.0,7524913.4,18/hva:hva%5B0%5D%5Bfilter%5D%5B0%5D%5Boperator%5D=%21%3D&amp;hva%5B0%5D%5Bfilter%5D%5B0%5D%5Btype_id%5D=4820&amp;hva%5B0%5D%5Bfilter%5D%5B0%5D%5Bverdi%5D=&amp;hva%5B0%5D%5Bid%5D=144/når:2018-11-20", "Vegkart")</f>
        <v>Vegkart</v>
      </c>
      <c r="B4656">
        <v>911145316</v>
      </c>
      <c r="C4656">
        <v>144</v>
      </c>
      <c r="D4656" t="s">
        <v>13345</v>
      </c>
      <c r="E4656">
        <v>4820</v>
      </c>
      <c r="F4656" t="s">
        <v>23479</v>
      </c>
      <c r="G4656">
        <v>1</v>
      </c>
      <c r="H4656" t="s">
        <v>1654</v>
      </c>
      <c r="J4656" t="s">
        <v>15397</v>
      </c>
      <c r="K4656" t="s">
        <v>53</v>
      </c>
      <c r="L4656" t="s">
        <v>33</v>
      </c>
      <c r="M4656" t="s">
        <v>15524</v>
      </c>
      <c r="N4656" t="s">
        <v>15537</v>
      </c>
      <c r="O4656" t="s">
        <v>15538</v>
      </c>
      <c r="P4656" s="2" t="s">
        <v>37</v>
      </c>
      <c r="Q4656" t="s">
        <v>1208</v>
      </c>
      <c r="R4656">
        <v>13.52</v>
      </c>
      <c r="S4656">
        <v>16.850000000000001</v>
      </c>
      <c r="T4656" t="s">
        <v>15539</v>
      </c>
    </row>
    <row r="4657" spans="1:20" x14ac:dyDescent="0.25">
      <c r="A4657" s="1" t="str">
        <f>HYPERLINK("https://vegkart.atlas.vegvesen.no/#/@506648.8,7524918.0,18/hva:hva%5B0%5D%5Bfilter%5D%5B0%5D%5Boperator%5D=%21%3D&amp;hva%5B0%5D%5Bfilter%5D%5B0%5D%5Btype_id%5D=4820&amp;hva%5B0%5D%5Bfilter%5D%5B0%5D%5Bverdi%5D=&amp;hva%5B0%5D%5Bid%5D=144/når:2018-11-20", "Vegkart")</f>
        <v>Vegkart</v>
      </c>
      <c r="B4657">
        <v>911145317</v>
      </c>
      <c r="C4657">
        <v>144</v>
      </c>
      <c r="D4657" t="s">
        <v>13345</v>
      </c>
      <c r="E4657">
        <v>4820</v>
      </c>
      <c r="F4657" t="s">
        <v>23479</v>
      </c>
      <c r="G4657">
        <v>1</v>
      </c>
      <c r="H4657" t="s">
        <v>1654</v>
      </c>
      <c r="J4657" t="s">
        <v>15397</v>
      </c>
      <c r="K4657" t="s">
        <v>53</v>
      </c>
      <c r="L4657" t="s">
        <v>33</v>
      </c>
      <c r="M4657" t="s">
        <v>15524</v>
      </c>
      <c r="N4657" t="s">
        <v>15540</v>
      </c>
      <c r="O4657" t="s">
        <v>15541</v>
      </c>
      <c r="P4657" s="2" t="s">
        <v>37</v>
      </c>
      <c r="Q4657" t="s">
        <v>1208</v>
      </c>
      <c r="R4657">
        <v>5.1100000000000003</v>
      </c>
      <c r="S4657">
        <v>5.44</v>
      </c>
      <c r="T4657" t="s">
        <v>15542</v>
      </c>
    </row>
    <row r="4658" spans="1:20" x14ac:dyDescent="0.25">
      <c r="A4658" s="1" t="str">
        <f>HYPERLINK("https://vegkart.atlas.vegvesen.no/#/@506645.9,7524916.5,18/hva:hva%5B0%5D%5Bfilter%5D%5B0%5D%5Boperator%5D=%21%3D&amp;hva%5B0%5D%5Bfilter%5D%5B0%5D%5Btype_id%5D=4820&amp;hva%5B0%5D%5Bfilter%5D%5B0%5D%5Bverdi%5D=&amp;hva%5B0%5D%5Bid%5D=144/når:2018-11-20", "Vegkart")</f>
        <v>Vegkart</v>
      </c>
      <c r="B4658">
        <v>911145318</v>
      </c>
      <c r="C4658">
        <v>144</v>
      </c>
      <c r="D4658" t="s">
        <v>13345</v>
      </c>
      <c r="E4658">
        <v>4820</v>
      </c>
      <c r="F4658" t="s">
        <v>23479</v>
      </c>
      <c r="G4658">
        <v>1</v>
      </c>
      <c r="H4658" t="s">
        <v>1654</v>
      </c>
      <c r="J4658" t="s">
        <v>15397</v>
      </c>
      <c r="K4658" t="s">
        <v>53</v>
      </c>
      <c r="L4658" t="s">
        <v>33</v>
      </c>
      <c r="M4658" t="s">
        <v>15524</v>
      </c>
      <c r="N4658" t="s">
        <v>15543</v>
      </c>
      <c r="O4658" t="s">
        <v>15544</v>
      </c>
      <c r="P4658" s="2" t="s">
        <v>165</v>
      </c>
      <c r="Q4658" t="s">
        <v>641</v>
      </c>
      <c r="R4658">
        <v>3.21</v>
      </c>
      <c r="S4658">
        <v>9.27</v>
      </c>
      <c r="T4658" t="s">
        <v>167</v>
      </c>
    </row>
    <row r="4659" spans="1:20" x14ac:dyDescent="0.25">
      <c r="A4659" s="1" t="str">
        <f>HYPERLINK("https://vegkart.atlas.vegvesen.no/#/@297602.0,6668928.1,18/hva:hva%5B0%5D%5Bfilter%5D%5B0%5D%5Boperator%5D=%21%3D&amp;hva%5B0%5D%5Bfilter%5D%5B0%5D%5Btype_id%5D=4820&amp;hva%5B0%5D%5Bfilter%5D%5B0%5D%5Bverdi%5D=&amp;hva%5B0%5D%5Bid%5D=144/når:2018-11-22", "Vegkart")</f>
        <v>Vegkart</v>
      </c>
      <c r="B4659">
        <v>911730595</v>
      </c>
      <c r="C4659">
        <v>144</v>
      </c>
      <c r="D4659" t="s">
        <v>13345</v>
      </c>
      <c r="E4659">
        <v>4820</v>
      </c>
      <c r="F4659" t="s">
        <v>23479</v>
      </c>
      <c r="G4659">
        <v>1</v>
      </c>
      <c r="H4659" t="s">
        <v>1671</v>
      </c>
      <c r="J4659" t="s">
        <v>15397</v>
      </c>
      <c r="K4659" t="s">
        <v>132</v>
      </c>
      <c r="L4659" t="s">
        <v>33</v>
      </c>
      <c r="M4659" t="s">
        <v>15545</v>
      </c>
      <c r="N4659" t="s">
        <v>15546</v>
      </c>
      <c r="O4659" t="s">
        <v>15547</v>
      </c>
      <c r="P4659" s="2" t="s">
        <v>165</v>
      </c>
      <c r="Q4659" t="s">
        <v>641</v>
      </c>
      <c r="R4659">
        <v>0</v>
      </c>
      <c r="S4659">
        <v>271.06</v>
      </c>
      <c r="T4659" t="s">
        <v>167</v>
      </c>
    </row>
    <row r="4660" spans="1:20" x14ac:dyDescent="0.25">
      <c r="A4660" s="1" t="str">
        <f>HYPERLINK("https://vegkart.atlas.vegvesen.no/#/@265395.6,7088580.1,18/hva:hva%5B0%5D%5Bfilter%5D%5B0%5D%5Boperator%5D=%21%3D&amp;hva%5B0%5D%5Bfilter%5D%5B0%5D%5Btype_id%5D=4820&amp;hva%5B0%5D%5Bfilter%5D%5B0%5D%5Bverdi%5D=&amp;hva%5B0%5D%5Bid%5D=144/når:2018-11-29", "Vegkart")</f>
        <v>Vegkart</v>
      </c>
      <c r="B4660">
        <v>912442906</v>
      </c>
      <c r="C4660">
        <v>144</v>
      </c>
      <c r="D4660" t="s">
        <v>13345</v>
      </c>
      <c r="E4660">
        <v>4820</v>
      </c>
      <c r="F4660" t="s">
        <v>23479</v>
      </c>
      <c r="G4660">
        <v>1</v>
      </c>
      <c r="H4660" t="s">
        <v>7036</v>
      </c>
      <c r="J4660" t="s">
        <v>15397</v>
      </c>
      <c r="K4660" t="s">
        <v>192</v>
      </c>
      <c r="L4660" t="s">
        <v>33</v>
      </c>
      <c r="M4660" t="s">
        <v>6448</v>
      </c>
      <c r="N4660" t="s">
        <v>15548</v>
      </c>
      <c r="O4660" t="s">
        <v>15549</v>
      </c>
      <c r="P4660" s="2" t="s">
        <v>67</v>
      </c>
      <c r="Q4660" t="s">
        <v>68</v>
      </c>
      <c r="R4660">
        <v>1.53</v>
      </c>
      <c r="S4660">
        <v>1.53</v>
      </c>
      <c r="T4660" t="s">
        <v>15550</v>
      </c>
    </row>
    <row r="4661" spans="1:20" x14ac:dyDescent="0.25">
      <c r="A4661" s="1" t="str">
        <f>HYPERLINK("https://vegkart.atlas.vegvesen.no/#/@265372.5,7088623.0,18/hva:hva%5B0%5D%5Bfilter%5D%5B0%5D%5Boperator%5D=%21%3D&amp;hva%5B0%5D%5Bfilter%5D%5B0%5D%5Btype_id%5D=4820&amp;hva%5B0%5D%5Bfilter%5D%5B0%5D%5Bverdi%5D=&amp;hva%5B0%5D%5Bid%5D=144/når:2018-11-29", "Vegkart")</f>
        <v>Vegkart</v>
      </c>
      <c r="B4661">
        <v>912442907</v>
      </c>
      <c r="C4661">
        <v>144</v>
      </c>
      <c r="D4661" t="s">
        <v>13345</v>
      </c>
      <c r="E4661">
        <v>4820</v>
      </c>
      <c r="F4661" t="s">
        <v>23479</v>
      </c>
      <c r="G4661">
        <v>1</v>
      </c>
      <c r="H4661" t="s">
        <v>7036</v>
      </c>
      <c r="J4661" t="s">
        <v>15397</v>
      </c>
      <c r="K4661" t="s">
        <v>192</v>
      </c>
      <c r="L4661" t="s">
        <v>33</v>
      </c>
      <c r="M4661" t="s">
        <v>6448</v>
      </c>
      <c r="N4661" t="s">
        <v>15551</v>
      </c>
      <c r="O4661" t="s">
        <v>15552</v>
      </c>
      <c r="P4661" s="2" t="s">
        <v>67</v>
      </c>
      <c r="Q4661" t="s">
        <v>68</v>
      </c>
      <c r="R4661">
        <v>2.36</v>
      </c>
      <c r="S4661">
        <v>2.36</v>
      </c>
      <c r="T4661" t="s">
        <v>15553</v>
      </c>
    </row>
    <row r="4662" spans="1:20" x14ac:dyDescent="0.25">
      <c r="A4662" s="1" t="str">
        <f>HYPERLINK("https://vegkart.atlas.vegvesen.no/#/@265444.8,7087091.8,18/hva:hva%5B0%5D%5Bfilter%5D%5B0%5D%5Boperator%5D=%21%3D&amp;hva%5B0%5D%5Bfilter%5D%5B0%5D%5Btype_id%5D=4820&amp;hva%5B0%5D%5Bfilter%5D%5B0%5D%5Bverdi%5D=&amp;hva%5B0%5D%5Bid%5D=144/når:2018-11-29", "Vegkart")</f>
        <v>Vegkart</v>
      </c>
      <c r="B4662">
        <v>912442908</v>
      </c>
      <c r="C4662">
        <v>144</v>
      </c>
      <c r="D4662" t="s">
        <v>13345</v>
      </c>
      <c r="E4662">
        <v>4820</v>
      </c>
      <c r="F4662" t="s">
        <v>23479</v>
      </c>
      <c r="G4662">
        <v>1</v>
      </c>
      <c r="H4662" t="s">
        <v>7036</v>
      </c>
      <c r="J4662" t="s">
        <v>15397</v>
      </c>
      <c r="K4662" t="s">
        <v>192</v>
      </c>
      <c r="L4662" t="s">
        <v>33</v>
      </c>
      <c r="M4662" t="s">
        <v>6448</v>
      </c>
      <c r="N4662" t="s">
        <v>15554</v>
      </c>
      <c r="O4662" t="s">
        <v>15555</v>
      </c>
      <c r="P4662" s="2" t="s">
        <v>67</v>
      </c>
      <c r="Q4662" t="s">
        <v>68</v>
      </c>
      <c r="R4662">
        <v>2.78</v>
      </c>
      <c r="S4662">
        <v>2.78</v>
      </c>
      <c r="T4662" t="s">
        <v>15556</v>
      </c>
    </row>
    <row r="4663" spans="1:20" x14ac:dyDescent="0.25">
      <c r="A4663" s="1" t="str">
        <f>HYPERLINK("https://vegkart.atlas.vegvesen.no/#/@265458.1,7087092.0,18/hva:hva%5B0%5D%5Bfilter%5D%5B0%5D%5Boperator%5D=%21%3D&amp;hva%5B0%5D%5Bfilter%5D%5B0%5D%5Btype_id%5D=4820&amp;hva%5B0%5D%5Bfilter%5D%5B0%5D%5Bverdi%5D=&amp;hva%5B0%5D%5Bid%5D=144/når:2018-11-29", "Vegkart")</f>
        <v>Vegkart</v>
      </c>
      <c r="B4663">
        <v>912442909</v>
      </c>
      <c r="C4663">
        <v>144</v>
      </c>
      <c r="D4663" t="s">
        <v>13345</v>
      </c>
      <c r="E4663">
        <v>4820</v>
      </c>
      <c r="F4663" t="s">
        <v>23479</v>
      </c>
      <c r="G4663">
        <v>1</v>
      </c>
      <c r="H4663" t="s">
        <v>7036</v>
      </c>
      <c r="J4663" t="s">
        <v>15397</v>
      </c>
      <c r="K4663" t="s">
        <v>192</v>
      </c>
      <c r="L4663" t="s">
        <v>33</v>
      </c>
      <c r="M4663" t="s">
        <v>6448</v>
      </c>
      <c r="N4663" t="s">
        <v>15557</v>
      </c>
      <c r="O4663" t="s">
        <v>15558</v>
      </c>
      <c r="P4663" s="2" t="s">
        <v>67</v>
      </c>
      <c r="Q4663" t="s">
        <v>68</v>
      </c>
      <c r="R4663">
        <v>23.67</v>
      </c>
      <c r="S4663">
        <v>25.71</v>
      </c>
      <c r="T4663" t="s">
        <v>15559</v>
      </c>
    </row>
    <row r="4664" spans="1:20" x14ac:dyDescent="0.25">
      <c r="A4664" s="1" t="str">
        <f>HYPERLINK("https://vegkart.atlas.vegvesen.no/#/@265388.9,7088638.4,18/hva:hva%5B0%5D%5Bfilter%5D%5B0%5D%5Boperator%5D=%21%3D&amp;hva%5B0%5D%5Bfilter%5D%5B0%5D%5Btype_id%5D=4820&amp;hva%5B0%5D%5Bfilter%5D%5B0%5D%5Bverdi%5D=&amp;hva%5B0%5D%5Bid%5D=144/når:2018-11-29", "Vegkart")</f>
        <v>Vegkart</v>
      </c>
      <c r="B4664">
        <v>912442910</v>
      </c>
      <c r="C4664">
        <v>144</v>
      </c>
      <c r="D4664" t="s">
        <v>13345</v>
      </c>
      <c r="E4664">
        <v>4820</v>
      </c>
      <c r="F4664" t="s">
        <v>23479</v>
      </c>
      <c r="G4664">
        <v>1</v>
      </c>
      <c r="H4664" t="s">
        <v>7036</v>
      </c>
      <c r="J4664" t="s">
        <v>15397</v>
      </c>
      <c r="K4664" t="s">
        <v>192</v>
      </c>
      <c r="L4664" t="s">
        <v>33</v>
      </c>
      <c r="M4664" t="s">
        <v>6448</v>
      </c>
      <c r="N4664" t="s">
        <v>15560</v>
      </c>
      <c r="O4664" t="s">
        <v>15561</v>
      </c>
      <c r="P4664" s="2" t="s">
        <v>67</v>
      </c>
      <c r="Q4664" t="s">
        <v>68</v>
      </c>
      <c r="R4664">
        <v>1.88</v>
      </c>
      <c r="S4664">
        <v>1.88</v>
      </c>
      <c r="T4664" t="s">
        <v>15562</v>
      </c>
    </row>
    <row r="4665" spans="1:20" x14ac:dyDescent="0.25">
      <c r="A4665" s="1" t="str">
        <f>HYPERLINK("https://vegkart.atlas.vegvesen.no/#/@265381.3,7088572.6,18/hva:hva%5B0%5D%5Bfilter%5D%5B0%5D%5Boperator%5D=%21%3D&amp;hva%5B0%5D%5Bfilter%5D%5B0%5D%5Btype_id%5D=4820&amp;hva%5B0%5D%5Bfilter%5D%5B0%5D%5Bverdi%5D=&amp;hva%5B0%5D%5Bid%5D=144/når:2018-11-29", "Vegkart")</f>
        <v>Vegkart</v>
      </c>
      <c r="B4665">
        <v>912442911</v>
      </c>
      <c r="C4665">
        <v>144</v>
      </c>
      <c r="D4665" t="s">
        <v>13345</v>
      </c>
      <c r="E4665">
        <v>4820</v>
      </c>
      <c r="F4665" t="s">
        <v>23479</v>
      </c>
      <c r="G4665">
        <v>1</v>
      </c>
      <c r="H4665" t="s">
        <v>7036</v>
      </c>
      <c r="J4665" t="s">
        <v>15397</v>
      </c>
      <c r="K4665" t="s">
        <v>192</v>
      </c>
      <c r="L4665" t="s">
        <v>33</v>
      </c>
      <c r="M4665" t="s">
        <v>6448</v>
      </c>
      <c r="N4665" t="s">
        <v>15563</v>
      </c>
      <c r="O4665" t="s">
        <v>15564</v>
      </c>
      <c r="P4665" s="2" t="s">
        <v>67</v>
      </c>
      <c r="Q4665" t="s">
        <v>68</v>
      </c>
      <c r="R4665">
        <v>1.74</v>
      </c>
      <c r="S4665">
        <v>1.74</v>
      </c>
      <c r="T4665" t="s">
        <v>15565</v>
      </c>
    </row>
    <row r="4666" spans="1:20" x14ac:dyDescent="0.25">
      <c r="A4666" s="1" t="str">
        <f>HYPERLINK("https://vegkart.atlas.vegvesen.no/#/@196334.9,6638736.7,18/hva:hva%5B0%5D%5Bfilter%5D%5B0%5D%5Boperator%5D=%21%3D&amp;hva%5B0%5D%5Bfilter%5D%5B0%5D%5Btype_id%5D=4820&amp;hva%5B0%5D%5Bfilter%5D%5B0%5D%5Bverdi%5D=&amp;hva%5B0%5D%5Bid%5D=144/når:2018-12-13", "Vegkart")</f>
        <v>Vegkart</v>
      </c>
      <c r="B4666">
        <v>913573483</v>
      </c>
      <c r="C4666">
        <v>144</v>
      </c>
      <c r="D4666" t="s">
        <v>13345</v>
      </c>
      <c r="E4666">
        <v>4820</v>
      </c>
      <c r="F4666" t="s">
        <v>23479</v>
      </c>
      <c r="G4666">
        <v>1</v>
      </c>
      <c r="H4666" t="s">
        <v>15566</v>
      </c>
      <c r="J4666" t="s">
        <v>15397</v>
      </c>
      <c r="K4666" t="s">
        <v>307</v>
      </c>
      <c r="L4666" t="s">
        <v>33</v>
      </c>
      <c r="M4666" t="s">
        <v>13362</v>
      </c>
      <c r="N4666" t="s">
        <v>15567</v>
      </c>
      <c r="O4666" t="s">
        <v>15568</v>
      </c>
      <c r="P4666" s="2" t="s">
        <v>67</v>
      </c>
      <c r="Q4666" t="s">
        <v>68</v>
      </c>
      <c r="R4666">
        <v>9.4600000000000009</v>
      </c>
      <c r="S4666">
        <v>9.4600000000000009</v>
      </c>
      <c r="T4666" t="s">
        <v>15569</v>
      </c>
    </row>
    <row r="4667" spans="1:20" x14ac:dyDescent="0.25">
      <c r="A4667" s="1" t="str">
        <f>HYPERLINK("https://vegkart.atlas.vegvesen.no/#/@181203.0,6667593.4,18/hva:hva%5B0%5D%5Bfilter%5D%5B0%5D%5Boperator%5D=%21%3D&amp;hva%5B0%5D%5Bfilter%5D%5B0%5D%5Btype_id%5D=4820&amp;hva%5B0%5D%5Bfilter%5D%5B0%5D%5Bverdi%5D=&amp;hva%5B0%5D%5Bid%5D=144/når:2018-12-13", "Vegkart")</f>
        <v>Vegkart</v>
      </c>
      <c r="B4667">
        <v>913589718</v>
      </c>
      <c r="C4667">
        <v>144</v>
      </c>
      <c r="D4667" t="s">
        <v>13345</v>
      </c>
      <c r="E4667">
        <v>4820</v>
      </c>
      <c r="F4667" t="s">
        <v>23479</v>
      </c>
      <c r="G4667">
        <v>1</v>
      </c>
      <c r="H4667" t="s">
        <v>15566</v>
      </c>
      <c r="J4667" t="s">
        <v>15397</v>
      </c>
      <c r="K4667" t="s">
        <v>307</v>
      </c>
      <c r="L4667" t="s">
        <v>33</v>
      </c>
      <c r="M4667" t="s">
        <v>15570</v>
      </c>
      <c r="N4667" t="s">
        <v>15571</v>
      </c>
      <c r="O4667" t="s">
        <v>15572</v>
      </c>
      <c r="P4667" s="2" t="s">
        <v>67</v>
      </c>
      <c r="Q4667" t="s">
        <v>68</v>
      </c>
      <c r="R4667">
        <v>8.75</v>
      </c>
      <c r="S4667">
        <v>9.16</v>
      </c>
      <c r="T4667" t="s">
        <v>15573</v>
      </c>
    </row>
    <row r="4668" spans="1:20" x14ac:dyDescent="0.25">
      <c r="A4668" s="1" t="str">
        <f>HYPERLINK("https://vegkart.atlas.vegvesen.no/#/@181198.5,6667595.9,18/hva:hva%5B0%5D%5Bfilter%5D%5B0%5D%5Boperator%5D=%21%3D&amp;hva%5B0%5D%5Bfilter%5D%5B0%5D%5Btype_id%5D=4820&amp;hva%5B0%5D%5Bfilter%5D%5B0%5D%5Bverdi%5D=&amp;hva%5B0%5D%5Bid%5D=144/når:2018-12-13", "Vegkart")</f>
        <v>Vegkart</v>
      </c>
      <c r="B4668">
        <v>913589719</v>
      </c>
      <c r="C4668">
        <v>144</v>
      </c>
      <c r="D4668" t="s">
        <v>13345</v>
      </c>
      <c r="E4668">
        <v>4820</v>
      </c>
      <c r="F4668" t="s">
        <v>23479</v>
      </c>
      <c r="G4668">
        <v>1</v>
      </c>
      <c r="H4668" t="s">
        <v>15566</v>
      </c>
      <c r="J4668" t="s">
        <v>15397</v>
      </c>
      <c r="K4668" t="s">
        <v>307</v>
      </c>
      <c r="L4668" t="s">
        <v>33</v>
      </c>
      <c r="M4668" t="s">
        <v>15570</v>
      </c>
      <c r="N4668" t="s">
        <v>15574</v>
      </c>
      <c r="O4668" t="s">
        <v>15575</v>
      </c>
      <c r="P4668" s="2" t="s">
        <v>67</v>
      </c>
      <c r="Q4668" t="s">
        <v>68</v>
      </c>
      <c r="R4668">
        <v>8.4600000000000009</v>
      </c>
      <c r="S4668">
        <v>8.8000000000000007</v>
      </c>
      <c r="T4668" t="s">
        <v>15576</v>
      </c>
    </row>
    <row r="4669" spans="1:20" x14ac:dyDescent="0.25">
      <c r="A4669" s="1" t="str">
        <f>HYPERLINK("https://vegkart.atlas.vegvesen.no/#/@205925.6,6651625.3,18/hva:hva%5B0%5D%5Bfilter%5D%5B0%5D%5Boperator%5D=%21%3D&amp;hva%5B0%5D%5Bfilter%5D%5B0%5D%5Btype_id%5D=4820&amp;hva%5B0%5D%5Bfilter%5D%5B0%5D%5Bverdi%5D=&amp;hva%5B0%5D%5Bid%5D=144/når:2018-12-13", "Vegkart")</f>
        <v>Vegkart</v>
      </c>
      <c r="B4669">
        <v>913603519</v>
      </c>
      <c r="C4669">
        <v>144</v>
      </c>
      <c r="D4669" t="s">
        <v>13345</v>
      </c>
      <c r="E4669">
        <v>4820</v>
      </c>
      <c r="F4669" t="s">
        <v>23479</v>
      </c>
      <c r="G4669">
        <v>1</v>
      </c>
      <c r="H4669" t="s">
        <v>15566</v>
      </c>
      <c r="J4669" t="s">
        <v>15397</v>
      </c>
      <c r="K4669" t="s">
        <v>307</v>
      </c>
      <c r="L4669" t="s">
        <v>33</v>
      </c>
      <c r="M4669" t="s">
        <v>13405</v>
      </c>
      <c r="N4669" t="s">
        <v>15577</v>
      </c>
      <c r="O4669" t="s">
        <v>15578</v>
      </c>
      <c r="P4669" s="2" t="s">
        <v>67</v>
      </c>
      <c r="Q4669" t="s">
        <v>68</v>
      </c>
      <c r="R4669">
        <v>6.79</v>
      </c>
      <c r="S4669">
        <v>6.91</v>
      </c>
      <c r="T4669" t="s">
        <v>15579</v>
      </c>
    </row>
    <row r="4670" spans="1:20" x14ac:dyDescent="0.25">
      <c r="A4670" s="1" t="str">
        <f>HYPERLINK("https://vegkart.atlas.vegvesen.no/#/@205932.4,6651631.8,18/hva:hva%5B0%5D%5Bfilter%5D%5B0%5D%5Boperator%5D=%21%3D&amp;hva%5B0%5D%5Bfilter%5D%5B0%5D%5Btype_id%5D=4820&amp;hva%5B0%5D%5Bfilter%5D%5B0%5D%5Bverdi%5D=&amp;hva%5B0%5D%5Bid%5D=144/når:2018-12-13", "Vegkart")</f>
        <v>Vegkart</v>
      </c>
      <c r="B4670">
        <v>913603520</v>
      </c>
      <c r="C4670">
        <v>144</v>
      </c>
      <c r="D4670" t="s">
        <v>13345</v>
      </c>
      <c r="E4670">
        <v>4820</v>
      </c>
      <c r="F4670" t="s">
        <v>23479</v>
      </c>
      <c r="G4670">
        <v>1</v>
      </c>
      <c r="H4670" t="s">
        <v>15566</v>
      </c>
      <c r="J4670" t="s">
        <v>15397</v>
      </c>
      <c r="K4670" t="s">
        <v>307</v>
      </c>
      <c r="L4670" t="s">
        <v>33</v>
      </c>
      <c r="M4670" t="s">
        <v>13405</v>
      </c>
      <c r="N4670" t="s">
        <v>15580</v>
      </c>
      <c r="O4670" t="s">
        <v>15581</v>
      </c>
      <c r="P4670" s="2" t="s">
        <v>37</v>
      </c>
      <c r="Q4670" t="s">
        <v>1208</v>
      </c>
      <c r="R4670">
        <v>9.3699999999999992</v>
      </c>
      <c r="S4670">
        <v>11.13</v>
      </c>
      <c r="T4670" t="s">
        <v>15582</v>
      </c>
    </row>
    <row r="4671" spans="1:20" x14ac:dyDescent="0.25">
      <c r="A4671" s="1" t="str">
        <f>HYPERLINK("https://vegkart.atlas.vegvesen.no/#/@138890.7,6704580.2,18/hva:hva%5B0%5D%5Bfilter%5D%5B0%5D%5Boperator%5D=%21%3D&amp;hva%5B0%5D%5Bfilter%5D%5B0%5D%5Btype_id%5D=4820&amp;hva%5B0%5D%5Bfilter%5D%5B0%5D%5Bverdi%5D=&amp;hva%5B0%5D%5Bid%5D=144/når:2018-12-13", "Vegkart")</f>
        <v>Vegkart</v>
      </c>
      <c r="B4671">
        <v>913604132</v>
      </c>
      <c r="C4671">
        <v>144</v>
      </c>
      <c r="D4671" t="s">
        <v>13345</v>
      </c>
      <c r="E4671">
        <v>4820</v>
      </c>
      <c r="F4671" t="s">
        <v>23479</v>
      </c>
      <c r="G4671">
        <v>1</v>
      </c>
      <c r="H4671" t="s">
        <v>15566</v>
      </c>
      <c r="J4671" t="s">
        <v>15397</v>
      </c>
      <c r="K4671" t="s">
        <v>307</v>
      </c>
      <c r="L4671" t="s">
        <v>33</v>
      </c>
      <c r="M4671" t="s">
        <v>15583</v>
      </c>
      <c r="N4671" t="s">
        <v>15584</v>
      </c>
      <c r="O4671" t="s">
        <v>15585</v>
      </c>
      <c r="P4671" s="2" t="s">
        <v>37</v>
      </c>
      <c r="Q4671" t="s">
        <v>1208</v>
      </c>
      <c r="R4671">
        <v>8.44</v>
      </c>
      <c r="S4671">
        <v>10.27</v>
      </c>
      <c r="T4671" t="s">
        <v>15586</v>
      </c>
    </row>
    <row r="4672" spans="1:20" x14ac:dyDescent="0.25">
      <c r="A4672" s="1" t="str">
        <f>HYPERLINK("https://vegkart.atlas.vegvesen.no/#/@138883.9,6704579.7,18/hva:hva%5B0%5D%5Bfilter%5D%5B0%5D%5Boperator%5D=%21%3D&amp;hva%5B0%5D%5Bfilter%5D%5B0%5D%5Btype_id%5D=4820&amp;hva%5B0%5D%5Bfilter%5D%5B0%5D%5Bverdi%5D=&amp;hva%5B0%5D%5Bid%5D=144/når:2018-12-13", "Vegkart")</f>
        <v>Vegkart</v>
      </c>
      <c r="B4672">
        <v>913604135</v>
      </c>
      <c r="C4672">
        <v>144</v>
      </c>
      <c r="D4672" t="s">
        <v>13345</v>
      </c>
      <c r="E4672">
        <v>4820</v>
      </c>
      <c r="F4672" t="s">
        <v>23479</v>
      </c>
      <c r="G4672">
        <v>1</v>
      </c>
      <c r="H4672" t="s">
        <v>15566</v>
      </c>
      <c r="J4672" t="s">
        <v>15397</v>
      </c>
      <c r="K4672" t="s">
        <v>307</v>
      </c>
      <c r="L4672" t="s">
        <v>33</v>
      </c>
      <c r="M4672" t="s">
        <v>15583</v>
      </c>
      <c r="N4672" t="s">
        <v>15587</v>
      </c>
      <c r="O4672" t="s">
        <v>15588</v>
      </c>
      <c r="P4672" s="2" t="s">
        <v>67</v>
      </c>
      <c r="Q4672" t="s">
        <v>68</v>
      </c>
      <c r="R4672">
        <v>4.21</v>
      </c>
      <c r="S4672">
        <v>4.26</v>
      </c>
      <c r="T4672" t="s">
        <v>15589</v>
      </c>
    </row>
    <row r="4673" spans="1:20" x14ac:dyDescent="0.25">
      <c r="A4673" s="1" t="str">
        <f>HYPERLINK("https://vegkart.atlas.vegvesen.no/#/@272648.1,7126952.8,18/hva:hva%5B0%5D%5Bfilter%5D%5B0%5D%5Boperator%5D=%21%3D&amp;hva%5B0%5D%5Bfilter%5D%5B0%5D%5Btype_id%5D=4820&amp;hva%5B0%5D%5Bfilter%5D%5B0%5D%5Bverdi%5D=&amp;hva%5B0%5D%5Bid%5D=144/når:2019-01-28", "Vegkart")</f>
        <v>Vegkart</v>
      </c>
      <c r="B4673">
        <v>915511186</v>
      </c>
      <c r="C4673">
        <v>144</v>
      </c>
      <c r="D4673" t="s">
        <v>13345</v>
      </c>
      <c r="E4673">
        <v>4820</v>
      </c>
      <c r="F4673" t="s">
        <v>23479</v>
      </c>
      <c r="G4673">
        <v>1</v>
      </c>
      <c r="H4673" t="s">
        <v>15590</v>
      </c>
      <c r="J4673" t="s">
        <v>15397</v>
      </c>
      <c r="K4673" t="s">
        <v>192</v>
      </c>
      <c r="L4673" t="s">
        <v>33</v>
      </c>
      <c r="M4673" t="s">
        <v>207</v>
      </c>
      <c r="N4673" t="s">
        <v>15591</v>
      </c>
      <c r="O4673" t="s">
        <v>15592</v>
      </c>
      <c r="P4673" s="2" t="s">
        <v>67</v>
      </c>
      <c r="Q4673" t="s">
        <v>68</v>
      </c>
      <c r="R4673">
        <v>248.94</v>
      </c>
      <c r="S4673">
        <v>266.32</v>
      </c>
      <c r="T4673" t="s">
        <v>15593</v>
      </c>
    </row>
    <row r="4674" spans="1:20" x14ac:dyDescent="0.25">
      <c r="A4674" s="1" t="str">
        <f>HYPERLINK("https://vegkart.atlas.vegvesen.no/#/@272590.1,7127042.4,18/hva:hva%5B0%5D%5Bfilter%5D%5B0%5D%5Boperator%5D=%21%3D&amp;hva%5B0%5D%5Bfilter%5D%5B0%5D%5Btype_id%5D=4820&amp;hva%5B0%5D%5Bfilter%5D%5B0%5D%5Bverdi%5D=&amp;hva%5B0%5D%5Bid%5D=144/når:2019-01-28", "Vegkart")</f>
        <v>Vegkart</v>
      </c>
      <c r="B4674">
        <v>915511187</v>
      </c>
      <c r="C4674">
        <v>144</v>
      </c>
      <c r="D4674" t="s">
        <v>13345</v>
      </c>
      <c r="E4674">
        <v>4820</v>
      </c>
      <c r="F4674" t="s">
        <v>23479</v>
      </c>
      <c r="G4674">
        <v>1</v>
      </c>
      <c r="H4674" t="s">
        <v>15590</v>
      </c>
      <c r="J4674" t="s">
        <v>15397</v>
      </c>
      <c r="K4674" t="s">
        <v>192</v>
      </c>
      <c r="L4674" t="s">
        <v>33</v>
      </c>
      <c r="M4674" t="s">
        <v>207</v>
      </c>
      <c r="N4674" t="s">
        <v>15594</v>
      </c>
      <c r="O4674" t="s">
        <v>15595</v>
      </c>
      <c r="P4674" s="2" t="s">
        <v>67</v>
      </c>
      <c r="Q4674" t="s">
        <v>68</v>
      </c>
      <c r="R4674">
        <v>30.57</v>
      </c>
      <c r="S4674">
        <v>38.19</v>
      </c>
      <c r="T4674" t="s">
        <v>15596</v>
      </c>
    </row>
    <row r="4675" spans="1:20" x14ac:dyDescent="0.25">
      <c r="A4675" s="1" t="str">
        <f>HYPERLINK("https://vegkart.atlas.vegvesen.no/#/@272210.8,7126325.6,18/hva:hva%5B0%5D%5Bfilter%5D%5B0%5D%5Boperator%5D=%21%3D&amp;hva%5B0%5D%5Bfilter%5D%5B0%5D%5Btype_id%5D=4820&amp;hva%5B0%5D%5Bfilter%5D%5B0%5D%5Bverdi%5D=&amp;hva%5B0%5D%5Bid%5D=144/når:2019-01-28", "Vegkart")</f>
        <v>Vegkart</v>
      </c>
      <c r="B4675">
        <v>915511189</v>
      </c>
      <c r="C4675">
        <v>144</v>
      </c>
      <c r="D4675" t="s">
        <v>13345</v>
      </c>
      <c r="E4675">
        <v>4820</v>
      </c>
      <c r="F4675" t="s">
        <v>23479</v>
      </c>
      <c r="G4675">
        <v>1</v>
      </c>
      <c r="H4675" t="s">
        <v>15590</v>
      </c>
      <c r="J4675" t="s">
        <v>15397</v>
      </c>
      <c r="K4675" t="s">
        <v>192</v>
      </c>
      <c r="L4675" t="s">
        <v>33</v>
      </c>
      <c r="M4675" t="s">
        <v>207</v>
      </c>
      <c r="N4675" t="s">
        <v>15597</v>
      </c>
      <c r="O4675" t="s">
        <v>15598</v>
      </c>
      <c r="P4675" s="2" t="s">
        <v>67</v>
      </c>
      <c r="Q4675" t="s">
        <v>68</v>
      </c>
      <c r="R4675">
        <v>23.59</v>
      </c>
      <c r="S4675">
        <v>23.9</v>
      </c>
      <c r="T4675" t="s">
        <v>15599</v>
      </c>
    </row>
    <row r="4676" spans="1:20" x14ac:dyDescent="0.25">
      <c r="A4676" s="1" t="str">
        <f>HYPERLINK("https://vegkart.atlas.vegvesen.no/#/@272558.3,7126746.3,18/hva:hva%5B0%5D%5Bfilter%5D%5B0%5D%5Boperator%5D=%21%3D&amp;hva%5B0%5D%5Bfilter%5D%5B0%5D%5Btype_id%5D=4820&amp;hva%5B0%5D%5Bfilter%5D%5B0%5D%5Bverdi%5D=&amp;hva%5B0%5D%5Bid%5D=144/når:2019-01-28", "Vegkart")</f>
        <v>Vegkart</v>
      </c>
      <c r="B4676">
        <v>915511190</v>
      </c>
      <c r="C4676">
        <v>144</v>
      </c>
      <c r="D4676" t="s">
        <v>13345</v>
      </c>
      <c r="E4676">
        <v>4820</v>
      </c>
      <c r="F4676" t="s">
        <v>23479</v>
      </c>
      <c r="G4676">
        <v>1</v>
      </c>
      <c r="H4676" t="s">
        <v>15590</v>
      </c>
      <c r="J4676" t="s">
        <v>15397</v>
      </c>
      <c r="K4676" t="s">
        <v>192</v>
      </c>
      <c r="L4676" t="s">
        <v>33</v>
      </c>
      <c r="M4676" t="s">
        <v>207</v>
      </c>
      <c r="N4676" t="s">
        <v>15600</v>
      </c>
      <c r="O4676" t="s">
        <v>15601</v>
      </c>
      <c r="P4676" s="2" t="s">
        <v>37</v>
      </c>
      <c r="Q4676" t="s">
        <v>1208</v>
      </c>
      <c r="R4676">
        <v>5.31</v>
      </c>
      <c r="S4676">
        <v>8.36</v>
      </c>
      <c r="T4676" t="s">
        <v>15602</v>
      </c>
    </row>
    <row r="4677" spans="1:20" x14ac:dyDescent="0.25">
      <c r="A4677" s="1" t="str">
        <f>HYPERLINK("https://vegkart.atlas.vegvesen.no/#/@272239.6,7126294.1,18/hva:hva%5B0%5D%5Bfilter%5D%5B0%5D%5Boperator%5D=%21%3D&amp;hva%5B0%5D%5Bfilter%5D%5B0%5D%5Btype_id%5D=4820&amp;hva%5B0%5D%5Bfilter%5D%5B0%5D%5Bverdi%5D=&amp;hva%5B0%5D%5Bid%5D=144/når:2019-01-28", "Vegkart")</f>
        <v>Vegkart</v>
      </c>
      <c r="B4677">
        <v>915511191</v>
      </c>
      <c r="C4677">
        <v>144</v>
      </c>
      <c r="D4677" t="s">
        <v>13345</v>
      </c>
      <c r="E4677">
        <v>4820</v>
      </c>
      <c r="F4677" t="s">
        <v>23479</v>
      </c>
      <c r="G4677">
        <v>1</v>
      </c>
      <c r="H4677" t="s">
        <v>15590</v>
      </c>
      <c r="J4677" t="s">
        <v>15397</v>
      </c>
      <c r="K4677" t="s">
        <v>192</v>
      </c>
      <c r="L4677" t="s">
        <v>33</v>
      </c>
      <c r="M4677" t="s">
        <v>207</v>
      </c>
      <c r="N4677" t="s">
        <v>15603</v>
      </c>
      <c r="O4677" t="s">
        <v>15604</v>
      </c>
      <c r="P4677" s="2" t="s">
        <v>67</v>
      </c>
      <c r="Q4677" t="s">
        <v>68</v>
      </c>
      <c r="R4677">
        <v>29.35</v>
      </c>
      <c r="S4677">
        <v>31.78</v>
      </c>
      <c r="T4677" t="s">
        <v>15605</v>
      </c>
    </row>
    <row r="4678" spans="1:20" x14ac:dyDescent="0.25">
      <c r="A4678" s="1" t="str">
        <f>HYPERLINK("https://vegkart.atlas.vegvesen.no/#/@272639.6,7127081.7,18/hva:hva%5B0%5D%5Bfilter%5D%5B0%5D%5Boperator%5D=%21%3D&amp;hva%5B0%5D%5Bfilter%5D%5B0%5D%5Btype_id%5D=4820&amp;hva%5B0%5D%5Bfilter%5D%5B0%5D%5Bverdi%5D=&amp;hva%5B0%5D%5Bid%5D=144/når:2019-01-28", "Vegkart")</f>
        <v>Vegkart</v>
      </c>
      <c r="B4678">
        <v>915511192</v>
      </c>
      <c r="C4678">
        <v>144</v>
      </c>
      <c r="D4678" t="s">
        <v>13345</v>
      </c>
      <c r="E4678">
        <v>4820</v>
      </c>
      <c r="F4678" t="s">
        <v>23479</v>
      </c>
      <c r="G4678">
        <v>1</v>
      </c>
      <c r="H4678" t="s">
        <v>15590</v>
      </c>
      <c r="J4678" t="s">
        <v>15397</v>
      </c>
      <c r="K4678" t="s">
        <v>192</v>
      </c>
      <c r="L4678" t="s">
        <v>33</v>
      </c>
      <c r="M4678" t="s">
        <v>207</v>
      </c>
      <c r="N4678" t="s">
        <v>15606</v>
      </c>
      <c r="O4678" t="s">
        <v>15607</v>
      </c>
      <c r="P4678" s="2" t="s">
        <v>67</v>
      </c>
      <c r="Q4678" t="s">
        <v>68</v>
      </c>
      <c r="R4678">
        <v>6.84</v>
      </c>
      <c r="S4678">
        <v>6.84</v>
      </c>
      <c r="T4678" t="s">
        <v>15608</v>
      </c>
    </row>
    <row r="4679" spans="1:20" x14ac:dyDescent="0.25">
      <c r="A4679" s="1" t="str">
        <f>HYPERLINK("https://vegkart.atlas.vegvesen.no/#/@272141.5,7126297.6,18/hva:hva%5B0%5D%5Bfilter%5D%5B0%5D%5Boperator%5D=%21%3D&amp;hva%5B0%5D%5Bfilter%5D%5B0%5D%5Btype_id%5D=4820&amp;hva%5B0%5D%5Bfilter%5D%5B0%5D%5Bverdi%5D=&amp;hva%5B0%5D%5Bid%5D=144/når:2019-01-28", "Vegkart")</f>
        <v>Vegkart</v>
      </c>
      <c r="B4679">
        <v>915511193</v>
      </c>
      <c r="C4679">
        <v>144</v>
      </c>
      <c r="D4679" t="s">
        <v>13345</v>
      </c>
      <c r="E4679">
        <v>4820</v>
      </c>
      <c r="F4679" t="s">
        <v>23479</v>
      </c>
      <c r="G4679">
        <v>1</v>
      </c>
      <c r="H4679" t="s">
        <v>15590</v>
      </c>
      <c r="J4679" t="s">
        <v>15397</v>
      </c>
      <c r="K4679" t="s">
        <v>192</v>
      </c>
      <c r="L4679" t="s">
        <v>22</v>
      </c>
      <c r="M4679" t="s">
        <v>136</v>
      </c>
      <c r="N4679" t="s">
        <v>15609</v>
      </c>
      <c r="O4679" t="s">
        <v>15610</v>
      </c>
      <c r="P4679" s="2" t="s">
        <v>67</v>
      </c>
      <c r="Q4679" t="s">
        <v>68</v>
      </c>
      <c r="R4679">
        <v>9.23</v>
      </c>
      <c r="S4679">
        <v>9.23</v>
      </c>
      <c r="T4679" t="s">
        <v>15611</v>
      </c>
    </row>
    <row r="4680" spans="1:20" x14ac:dyDescent="0.25">
      <c r="A4680" s="1" t="str">
        <f>HYPERLINK("https://vegkart.atlas.vegvesen.no/#/@272202.9,7126265.4,18/hva:hva%5B0%5D%5Bfilter%5D%5B0%5D%5Boperator%5D=%21%3D&amp;hva%5B0%5D%5Bfilter%5D%5B0%5D%5Btype_id%5D=4820&amp;hva%5B0%5D%5Bfilter%5D%5B0%5D%5Bverdi%5D=&amp;hva%5B0%5D%5Bid%5D=144/når:2019-01-28", "Vegkart")</f>
        <v>Vegkart</v>
      </c>
      <c r="B4680">
        <v>915511194</v>
      </c>
      <c r="C4680">
        <v>144</v>
      </c>
      <c r="D4680" t="s">
        <v>13345</v>
      </c>
      <c r="E4680">
        <v>4820</v>
      </c>
      <c r="F4680" t="s">
        <v>23479</v>
      </c>
      <c r="G4680">
        <v>1</v>
      </c>
      <c r="H4680" t="s">
        <v>15590</v>
      </c>
      <c r="J4680" t="s">
        <v>15397</v>
      </c>
      <c r="K4680" t="s">
        <v>192</v>
      </c>
      <c r="L4680" t="s">
        <v>33</v>
      </c>
      <c r="M4680" t="s">
        <v>207</v>
      </c>
      <c r="N4680" t="s">
        <v>15612</v>
      </c>
      <c r="O4680" t="s">
        <v>15613</v>
      </c>
      <c r="P4680" s="2" t="s">
        <v>67</v>
      </c>
      <c r="Q4680" t="s">
        <v>68</v>
      </c>
      <c r="R4680">
        <v>7.29</v>
      </c>
      <c r="S4680">
        <v>7.84</v>
      </c>
      <c r="T4680" t="s">
        <v>15614</v>
      </c>
    </row>
    <row r="4681" spans="1:20" x14ac:dyDescent="0.25">
      <c r="A4681" s="1" t="str">
        <f>HYPERLINK("https://vegkart.atlas.vegvesen.no/#/@634782.9,7645340.2,18/hva:hva%5B0%5D%5Bfilter%5D%5B0%5D%5Boperator%5D=%21%3D&amp;hva%5B0%5D%5Bfilter%5D%5B0%5D%5Btype_id%5D=4820&amp;hva%5B0%5D%5Bfilter%5D%5B0%5D%5Bverdi%5D=&amp;hva%5B0%5D%5Bid%5D=144/når:2019-02-12", "Vegkart")</f>
        <v>Vegkart</v>
      </c>
      <c r="B4681">
        <v>916298380</v>
      </c>
      <c r="C4681">
        <v>144</v>
      </c>
      <c r="D4681" t="s">
        <v>13345</v>
      </c>
      <c r="E4681">
        <v>4820</v>
      </c>
      <c r="F4681" t="s">
        <v>23479</v>
      </c>
      <c r="G4681">
        <v>1</v>
      </c>
      <c r="H4681" t="s">
        <v>15615</v>
      </c>
      <c r="J4681" t="s">
        <v>15397</v>
      </c>
      <c r="K4681" t="s">
        <v>179</v>
      </c>
      <c r="L4681" t="s">
        <v>80</v>
      </c>
      <c r="M4681" t="s">
        <v>105</v>
      </c>
      <c r="N4681" t="s">
        <v>15616</v>
      </c>
      <c r="O4681" t="s">
        <v>15617</v>
      </c>
      <c r="P4681" s="2" t="s">
        <v>37</v>
      </c>
      <c r="Q4681" t="s">
        <v>1208</v>
      </c>
      <c r="R4681">
        <v>14.42</v>
      </c>
      <c r="S4681">
        <v>15.38</v>
      </c>
      <c r="T4681" t="s">
        <v>15618</v>
      </c>
    </row>
    <row r="4682" spans="1:20" x14ac:dyDescent="0.25">
      <c r="A4682" s="1" t="str">
        <f>HYPERLINK("https://vegkart.atlas.vegvesen.no/#/@634823.6,7645357.6,18/hva:hva%5B0%5D%5Bfilter%5D%5B0%5D%5Boperator%5D=%21%3D&amp;hva%5B0%5D%5Bfilter%5D%5B0%5D%5Btype_id%5D=4820&amp;hva%5B0%5D%5Bfilter%5D%5B0%5D%5Bverdi%5D=&amp;hva%5B0%5D%5Bid%5D=144/når:2019-02-12", "Vegkart")</f>
        <v>Vegkart</v>
      </c>
      <c r="B4682">
        <v>916298381</v>
      </c>
      <c r="C4682">
        <v>144</v>
      </c>
      <c r="D4682" t="s">
        <v>13345</v>
      </c>
      <c r="E4682">
        <v>4820</v>
      </c>
      <c r="F4682" t="s">
        <v>23479</v>
      </c>
      <c r="G4682">
        <v>1</v>
      </c>
      <c r="H4682" t="s">
        <v>15615</v>
      </c>
      <c r="J4682" t="s">
        <v>15397</v>
      </c>
      <c r="K4682" t="s">
        <v>179</v>
      </c>
      <c r="L4682" t="s">
        <v>80</v>
      </c>
      <c r="M4682" t="s">
        <v>105</v>
      </c>
      <c r="N4682" t="s">
        <v>15619</v>
      </c>
      <c r="O4682" t="s">
        <v>15620</v>
      </c>
      <c r="P4682" s="2" t="s">
        <v>67</v>
      </c>
      <c r="Q4682" t="s">
        <v>68</v>
      </c>
      <c r="R4682">
        <v>6.73</v>
      </c>
      <c r="S4682">
        <v>6.73</v>
      </c>
      <c r="T4682" t="s">
        <v>15621</v>
      </c>
    </row>
    <row r="4683" spans="1:20" x14ac:dyDescent="0.25">
      <c r="A4683" s="1" t="str">
        <f>HYPERLINK("https://vegkart.atlas.vegvesen.no/#/@634929.3,7645472.5,18/hva:hva%5B0%5D%5Bfilter%5D%5B0%5D%5Boperator%5D=%21%3D&amp;hva%5B0%5D%5Bfilter%5D%5B0%5D%5Btype_id%5D=4820&amp;hva%5B0%5D%5Bfilter%5D%5B0%5D%5Bverdi%5D=&amp;hva%5B0%5D%5Bid%5D=144/når:2019-02-12", "Vegkart")</f>
        <v>Vegkart</v>
      </c>
      <c r="B4683">
        <v>916298382</v>
      </c>
      <c r="C4683">
        <v>144</v>
      </c>
      <c r="D4683" t="s">
        <v>13345</v>
      </c>
      <c r="E4683">
        <v>4820</v>
      </c>
      <c r="F4683" t="s">
        <v>23479</v>
      </c>
      <c r="G4683">
        <v>1</v>
      </c>
      <c r="H4683" t="s">
        <v>15615</v>
      </c>
      <c r="J4683" t="s">
        <v>15397</v>
      </c>
      <c r="K4683" t="s">
        <v>179</v>
      </c>
      <c r="L4683" t="s">
        <v>80</v>
      </c>
      <c r="M4683" t="s">
        <v>105</v>
      </c>
      <c r="N4683" t="s">
        <v>15622</v>
      </c>
      <c r="O4683" t="s">
        <v>15623</v>
      </c>
      <c r="P4683" s="2" t="s">
        <v>37</v>
      </c>
      <c r="Q4683" t="s">
        <v>1208</v>
      </c>
      <c r="R4683">
        <v>16.899999999999999</v>
      </c>
      <c r="S4683">
        <v>22.91</v>
      </c>
      <c r="T4683" t="s">
        <v>15624</v>
      </c>
    </row>
    <row r="4684" spans="1:20" x14ac:dyDescent="0.25">
      <c r="A4684" s="1" t="str">
        <f>HYPERLINK("https://vegkart.atlas.vegvesen.no/#/@634965.0,7645494.6,18/hva:hva%5B0%5D%5Bfilter%5D%5B0%5D%5Boperator%5D=%21%3D&amp;hva%5B0%5D%5Bfilter%5D%5B0%5D%5Btype_id%5D=4820&amp;hva%5B0%5D%5Bfilter%5D%5B0%5D%5Bverdi%5D=&amp;hva%5B0%5D%5Bid%5D=144/når:2019-02-12", "Vegkart")</f>
        <v>Vegkart</v>
      </c>
      <c r="B4684">
        <v>916298383</v>
      </c>
      <c r="C4684">
        <v>144</v>
      </c>
      <c r="D4684" t="s">
        <v>13345</v>
      </c>
      <c r="E4684">
        <v>4820</v>
      </c>
      <c r="F4684" t="s">
        <v>23479</v>
      </c>
      <c r="G4684">
        <v>1</v>
      </c>
      <c r="H4684" t="s">
        <v>15615</v>
      </c>
      <c r="J4684" t="s">
        <v>15397</v>
      </c>
      <c r="K4684" t="s">
        <v>179</v>
      </c>
      <c r="L4684" t="s">
        <v>80</v>
      </c>
      <c r="M4684" t="s">
        <v>105</v>
      </c>
      <c r="N4684" t="s">
        <v>15625</v>
      </c>
      <c r="O4684" t="s">
        <v>15626</v>
      </c>
      <c r="P4684" s="2" t="s">
        <v>67</v>
      </c>
      <c r="Q4684" t="s">
        <v>68</v>
      </c>
      <c r="R4684">
        <v>21.52</v>
      </c>
      <c r="S4684">
        <v>22.44</v>
      </c>
      <c r="T4684" t="s">
        <v>15627</v>
      </c>
    </row>
    <row r="4685" spans="1:20" x14ac:dyDescent="0.25">
      <c r="A4685" s="1" t="str">
        <f>HYPERLINK("https://vegkart.atlas.vegvesen.no/#/@79733.3,6549382.2,18/hva:hva%5B0%5D%5Bfilter%5D%5B0%5D%5Boperator%5D=%21%3D&amp;hva%5B0%5D%5Bfilter%5D%5B0%5D%5Btype_id%5D=4820&amp;hva%5B0%5D%5Bfilter%5D%5B0%5D%5Bverdi%5D=&amp;hva%5B0%5D%5Bid%5D=144/når:2019-03-11", "Vegkart")</f>
        <v>Vegkart</v>
      </c>
      <c r="B4685">
        <v>917541430</v>
      </c>
      <c r="C4685">
        <v>144</v>
      </c>
      <c r="D4685" t="s">
        <v>13345</v>
      </c>
      <c r="E4685">
        <v>4820</v>
      </c>
      <c r="F4685" t="s">
        <v>23479</v>
      </c>
      <c r="G4685">
        <v>1</v>
      </c>
      <c r="H4685" t="s">
        <v>15628</v>
      </c>
      <c r="J4685" t="s">
        <v>15397</v>
      </c>
      <c r="K4685" t="s">
        <v>86</v>
      </c>
      <c r="L4685" t="s">
        <v>113</v>
      </c>
      <c r="M4685" t="s">
        <v>667</v>
      </c>
      <c r="N4685" t="s">
        <v>15629</v>
      </c>
      <c r="O4685" t="s">
        <v>15630</v>
      </c>
      <c r="P4685" s="2" t="s">
        <v>165</v>
      </c>
      <c r="Q4685" t="s">
        <v>641</v>
      </c>
      <c r="R4685">
        <v>0</v>
      </c>
      <c r="S4685">
        <v>372.81</v>
      </c>
      <c r="T4685" t="s">
        <v>167</v>
      </c>
    </row>
    <row r="4686" spans="1:20" x14ac:dyDescent="0.25">
      <c r="A4686" s="1" t="str">
        <f>HYPERLINK("https://vegkart.atlas.vegvesen.no/#/@80105.0,6550256.6,18/hva:hva%5B0%5D%5Bfilter%5D%5B0%5D%5Boperator%5D=%21%3D&amp;hva%5B0%5D%5Bfilter%5D%5B0%5D%5Btype_id%5D=4820&amp;hva%5B0%5D%5Bfilter%5D%5B0%5D%5Bverdi%5D=&amp;hva%5B0%5D%5Bid%5D=144/når:2019-03-11", "Vegkart")</f>
        <v>Vegkart</v>
      </c>
      <c r="B4686">
        <v>917541433</v>
      </c>
      <c r="C4686">
        <v>144</v>
      </c>
      <c r="D4686" t="s">
        <v>13345</v>
      </c>
      <c r="E4686">
        <v>4820</v>
      </c>
      <c r="F4686" t="s">
        <v>23479</v>
      </c>
      <c r="G4686">
        <v>1</v>
      </c>
      <c r="H4686" t="s">
        <v>15628</v>
      </c>
      <c r="J4686" t="s">
        <v>15397</v>
      </c>
      <c r="K4686" t="s">
        <v>86</v>
      </c>
      <c r="L4686" t="s">
        <v>113</v>
      </c>
      <c r="M4686" t="s">
        <v>667</v>
      </c>
      <c r="N4686" t="s">
        <v>15631</v>
      </c>
      <c r="O4686" t="s">
        <v>15632</v>
      </c>
      <c r="P4686" s="2" t="s">
        <v>165</v>
      </c>
      <c r="Q4686" t="s">
        <v>641</v>
      </c>
      <c r="R4686">
        <v>0.02</v>
      </c>
      <c r="S4686">
        <v>644.44000000000005</v>
      </c>
      <c r="T4686" t="s">
        <v>167</v>
      </c>
    </row>
    <row r="4687" spans="1:20" x14ac:dyDescent="0.25">
      <c r="A4687" s="1" t="str">
        <f>HYPERLINK("https://vegkart.atlas.vegvesen.no/#/@79755.3,6548749.0,18/hva:hva%5B0%5D%5Bfilter%5D%5B0%5D%5Boperator%5D=%21%3D&amp;hva%5B0%5D%5Bfilter%5D%5B0%5D%5Btype_id%5D=4820&amp;hva%5B0%5D%5Bfilter%5D%5B0%5D%5Bverdi%5D=&amp;hva%5B0%5D%5Bid%5D=144/når:2019-03-11", "Vegkart")</f>
        <v>Vegkart</v>
      </c>
      <c r="B4687">
        <v>917541439</v>
      </c>
      <c r="C4687">
        <v>144</v>
      </c>
      <c r="D4687" t="s">
        <v>13345</v>
      </c>
      <c r="E4687">
        <v>4820</v>
      </c>
      <c r="F4687" t="s">
        <v>23479</v>
      </c>
      <c r="G4687">
        <v>1</v>
      </c>
      <c r="H4687" t="s">
        <v>15628</v>
      </c>
      <c r="J4687" t="s">
        <v>15397</v>
      </c>
      <c r="K4687" t="s">
        <v>86</v>
      </c>
      <c r="L4687" t="s">
        <v>113</v>
      </c>
      <c r="M4687" t="s">
        <v>667</v>
      </c>
      <c r="N4687" t="s">
        <v>15633</v>
      </c>
      <c r="O4687" t="s">
        <v>15634</v>
      </c>
      <c r="P4687" s="2" t="s">
        <v>165</v>
      </c>
      <c r="Q4687" t="s">
        <v>641</v>
      </c>
      <c r="R4687">
        <v>0</v>
      </c>
      <c r="S4687">
        <v>354.87</v>
      </c>
      <c r="T4687" t="s">
        <v>167</v>
      </c>
    </row>
    <row r="4688" spans="1:20" x14ac:dyDescent="0.25">
      <c r="A4688" s="1" t="str">
        <f>HYPERLINK("https://vegkart.atlas.vegvesen.no/#/@270443.4,7028859.5,18/hva:hva%5B0%5D%5Bfilter%5D%5B0%5D%5Boperator%5D=%21%3D&amp;hva%5B0%5D%5Bfilter%5D%5B0%5D%5Btype_id%5D=4820&amp;hva%5B0%5D%5Bfilter%5D%5B0%5D%5Bverdi%5D=&amp;hva%5B0%5D%5Bid%5D=144/når:2019-04-02", "Vegkart")</f>
        <v>Vegkart</v>
      </c>
      <c r="B4688">
        <v>919520887</v>
      </c>
      <c r="C4688">
        <v>144</v>
      </c>
      <c r="D4688" t="s">
        <v>13345</v>
      </c>
      <c r="E4688">
        <v>4820</v>
      </c>
      <c r="F4688" t="s">
        <v>23479</v>
      </c>
      <c r="G4688">
        <v>1</v>
      </c>
      <c r="H4688" t="s">
        <v>15635</v>
      </c>
      <c r="J4688" t="s">
        <v>15636</v>
      </c>
      <c r="K4688" t="s">
        <v>192</v>
      </c>
      <c r="L4688" t="s">
        <v>33</v>
      </c>
      <c r="M4688" t="s">
        <v>15637</v>
      </c>
      <c r="N4688" t="s">
        <v>15638</v>
      </c>
      <c r="O4688" t="s">
        <v>15639</v>
      </c>
      <c r="P4688" s="2" t="s">
        <v>37</v>
      </c>
      <c r="Q4688" t="s">
        <v>1208</v>
      </c>
      <c r="R4688">
        <v>3.94</v>
      </c>
      <c r="S4688">
        <v>25.79</v>
      </c>
      <c r="T4688" t="s">
        <v>15640</v>
      </c>
    </row>
    <row r="4689" spans="1:20" x14ac:dyDescent="0.25">
      <c r="A4689" s="1" t="str">
        <f>HYPERLINK("https://vegkart.atlas.vegvesen.no/#/@269243.3,7029268.1,18/hva:hva%5B0%5D%5Bfilter%5D%5B0%5D%5Boperator%5D=%21%3D&amp;hva%5B0%5D%5Bfilter%5D%5B0%5D%5Btype_id%5D=4820&amp;hva%5B0%5D%5Bfilter%5D%5B0%5D%5Bverdi%5D=&amp;hva%5B0%5D%5Bid%5D=144/når:2019-04-02", "Vegkart")</f>
        <v>Vegkart</v>
      </c>
      <c r="B4689">
        <v>919520900</v>
      </c>
      <c r="C4689">
        <v>144</v>
      </c>
      <c r="D4689" t="s">
        <v>13345</v>
      </c>
      <c r="E4689">
        <v>4820</v>
      </c>
      <c r="F4689" t="s">
        <v>23479</v>
      </c>
      <c r="G4689">
        <v>1</v>
      </c>
      <c r="H4689" t="s">
        <v>15635</v>
      </c>
      <c r="J4689" t="s">
        <v>15636</v>
      </c>
      <c r="K4689" t="s">
        <v>192</v>
      </c>
      <c r="L4689" t="s">
        <v>33</v>
      </c>
      <c r="M4689" t="s">
        <v>15637</v>
      </c>
      <c r="N4689" t="s">
        <v>15641</v>
      </c>
      <c r="O4689" t="s">
        <v>15642</v>
      </c>
      <c r="P4689" s="2" t="s">
        <v>165</v>
      </c>
      <c r="Q4689" t="s">
        <v>641</v>
      </c>
      <c r="R4689">
        <v>1.5</v>
      </c>
      <c r="S4689">
        <v>180.71</v>
      </c>
      <c r="T4689" t="s">
        <v>167</v>
      </c>
    </row>
    <row r="4690" spans="1:20" x14ac:dyDescent="0.25">
      <c r="A4690" s="1" t="str">
        <f>HYPERLINK("https://vegkart.atlas.vegvesen.no/#/@331280.4,7103738.5,18/hva:hva%5B0%5D%5Bfilter%5D%5B0%5D%5Boperator%5D=%21%3D&amp;hva%5B0%5D%5Bfilter%5D%5B0%5D%5Btype_id%5D=4820&amp;hva%5B0%5D%5Bfilter%5D%5B0%5D%5Bverdi%5D=&amp;hva%5B0%5D%5Bid%5D=144/når:2019-04-11", "Vegkart")</f>
        <v>Vegkart</v>
      </c>
      <c r="B4690">
        <v>920252616</v>
      </c>
      <c r="C4690">
        <v>144</v>
      </c>
      <c r="D4690" t="s">
        <v>13345</v>
      </c>
      <c r="E4690">
        <v>4820</v>
      </c>
      <c r="F4690" t="s">
        <v>23479</v>
      </c>
      <c r="G4690">
        <v>1</v>
      </c>
      <c r="H4690" t="s">
        <v>15643</v>
      </c>
      <c r="J4690" t="s">
        <v>15636</v>
      </c>
      <c r="K4690" t="s">
        <v>192</v>
      </c>
      <c r="L4690" t="s">
        <v>33</v>
      </c>
      <c r="M4690" t="s">
        <v>15644</v>
      </c>
      <c r="N4690" t="s">
        <v>15645</v>
      </c>
      <c r="O4690" t="s">
        <v>15646</v>
      </c>
      <c r="P4690" s="2" t="s">
        <v>67</v>
      </c>
      <c r="Q4690" t="s">
        <v>68</v>
      </c>
      <c r="R4690">
        <v>75.099999999999994</v>
      </c>
      <c r="S4690">
        <v>109.57</v>
      </c>
      <c r="T4690" t="s">
        <v>15647</v>
      </c>
    </row>
    <row r="4691" spans="1:20" x14ac:dyDescent="0.25">
      <c r="A4691" s="1" t="str">
        <f>HYPERLINK("https://vegkart.atlas.vegvesen.no/#/@331571.0,7103573.8,18/hva:hva%5B0%5D%5Bfilter%5D%5B0%5D%5Boperator%5D=%21%3D&amp;hva%5B0%5D%5Bfilter%5D%5B0%5D%5Btype_id%5D=4820&amp;hva%5B0%5D%5Bfilter%5D%5B0%5D%5Bverdi%5D=&amp;hva%5B0%5D%5Bid%5D=144/når:2019-04-11", "Vegkart")</f>
        <v>Vegkart</v>
      </c>
      <c r="B4691">
        <v>920252620</v>
      </c>
      <c r="C4691">
        <v>144</v>
      </c>
      <c r="D4691" t="s">
        <v>13345</v>
      </c>
      <c r="E4691">
        <v>4820</v>
      </c>
      <c r="F4691" t="s">
        <v>23479</v>
      </c>
      <c r="G4691">
        <v>1</v>
      </c>
      <c r="H4691" t="s">
        <v>15643</v>
      </c>
      <c r="J4691" t="s">
        <v>15636</v>
      </c>
      <c r="K4691" t="s">
        <v>192</v>
      </c>
      <c r="L4691" t="s">
        <v>33</v>
      </c>
      <c r="M4691" t="s">
        <v>15644</v>
      </c>
      <c r="N4691" t="s">
        <v>15648</v>
      </c>
      <c r="O4691" t="s">
        <v>15649</v>
      </c>
      <c r="P4691" s="2" t="s">
        <v>67</v>
      </c>
      <c r="Q4691" t="s">
        <v>68</v>
      </c>
      <c r="R4691">
        <v>129.34</v>
      </c>
      <c r="S4691">
        <v>157.54</v>
      </c>
      <c r="T4691" t="s">
        <v>15650</v>
      </c>
    </row>
    <row r="4692" spans="1:20" x14ac:dyDescent="0.25">
      <c r="A4692" s="1" t="str">
        <f>HYPERLINK("https://vegkart.atlas.vegvesen.no/#/@245608.1,7081783.9,18/hva:hva%5B0%5D%5Bfilter%5D%5B0%5D%5Boperator%5D=%21%3D&amp;hva%5B0%5D%5Bfilter%5D%5B0%5D%5Btype_id%5D=4820&amp;hva%5B0%5D%5Bfilter%5D%5B0%5D%5Bverdi%5D=&amp;hva%5B0%5D%5Bid%5D=144/når:2019-06-25", "Vegkart")</f>
        <v>Vegkart</v>
      </c>
      <c r="B4692">
        <v>940361442</v>
      </c>
      <c r="C4692">
        <v>144</v>
      </c>
      <c r="D4692" t="s">
        <v>13345</v>
      </c>
      <c r="E4692">
        <v>4820</v>
      </c>
      <c r="F4692" t="s">
        <v>23479</v>
      </c>
      <c r="G4692">
        <v>1</v>
      </c>
      <c r="H4692" t="s">
        <v>13906</v>
      </c>
      <c r="J4692" t="s">
        <v>15636</v>
      </c>
      <c r="K4692" t="s">
        <v>192</v>
      </c>
      <c r="L4692" t="s">
        <v>33</v>
      </c>
      <c r="M4692" t="s">
        <v>13759</v>
      </c>
      <c r="N4692" t="s">
        <v>15651</v>
      </c>
      <c r="O4692" t="s">
        <v>15652</v>
      </c>
      <c r="P4692" s="2" t="s">
        <v>67</v>
      </c>
      <c r="Q4692" t="s">
        <v>68</v>
      </c>
      <c r="R4692">
        <v>196.34</v>
      </c>
      <c r="S4692">
        <v>203.96</v>
      </c>
      <c r="T4692" t="s">
        <v>15653</v>
      </c>
    </row>
    <row r="4693" spans="1:20" x14ac:dyDescent="0.25">
      <c r="A4693" s="1" t="str">
        <f>HYPERLINK("https://vegkart.atlas.vegvesen.no/#/@245755.6,7082068.7,18/hva:hva%5B0%5D%5Bfilter%5D%5B0%5D%5Boperator%5D=%21%3D&amp;hva%5B0%5D%5Bfilter%5D%5B0%5D%5Btype_id%5D=4820&amp;hva%5B0%5D%5Bfilter%5D%5B0%5D%5Bverdi%5D=&amp;hva%5B0%5D%5Bid%5D=144/når:2019-06-25", "Vegkart")</f>
        <v>Vegkart</v>
      </c>
      <c r="B4693">
        <v>940361443</v>
      </c>
      <c r="C4693">
        <v>144</v>
      </c>
      <c r="D4693" t="s">
        <v>13345</v>
      </c>
      <c r="E4693">
        <v>4820</v>
      </c>
      <c r="F4693" t="s">
        <v>23479</v>
      </c>
      <c r="G4693">
        <v>1</v>
      </c>
      <c r="H4693" t="s">
        <v>13906</v>
      </c>
      <c r="J4693" t="s">
        <v>15636</v>
      </c>
      <c r="K4693" t="s">
        <v>192</v>
      </c>
      <c r="L4693" t="s">
        <v>33</v>
      </c>
      <c r="M4693" t="s">
        <v>13759</v>
      </c>
      <c r="N4693" t="s">
        <v>15654</v>
      </c>
      <c r="O4693" t="s">
        <v>15655</v>
      </c>
      <c r="P4693" s="2" t="s">
        <v>37</v>
      </c>
      <c r="Q4693" t="s">
        <v>1208</v>
      </c>
      <c r="R4693">
        <v>9.83</v>
      </c>
      <c r="S4693">
        <v>12.41</v>
      </c>
      <c r="T4693" t="s">
        <v>15656</v>
      </c>
    </row>
    <row r="4694" spans="1:20" x14ac:dyDescent="0.25">
      <c r="A4694" s="1" t="str">
        <f>HYPERLINK("https://vegkart.atlas.vegvesen.no/#/@245638.6,7081803.6,18/hva:hva%5B0%5D%5Bfilter%5D%5B0%5D%5Boperator%5D=%21%3D&amp;hva%5B0%5D%5Bfilter%5D%5B0%5D%5Btype_id%5D=4820&amp;hva%5B0%5D%5Bfilter%5D%5B0%5D%5Bverdi%5D=&amp;hva%5B0%5D%5Bid%5D=144/når:2019-06-25", "Vegkart")</f>
        <v>Vegkart</v>
      </c>
      <c r="B4694">
        <v>940361444</v>
      </c>
      <c r="C4694">
        <v>144</v>
      </c>
      <c r="D4694" t="s">
        <v>13345</v>
      </c>
      <c r="E4694">
        <v>4820</v>
      </c>
      <c r="F4694" t="s">
        <v>23479</v>
      </c>
      <c r="G4694">
        <v>1</v>
      </c>
      <c r="H4694" t="s">
        <v>13906</v>
      </c>
      <c r="J4694" t="s">
        <v>15636</v>
      </c>
      <c r="K4694" t="s">
        <v>192</v>
      </c>
      <c r="L4694" t="s">
        <v>33</v>
      </c>
      <c r="M4694" t="s">
        <v>13759</v>
      </c>
      <c r="N4694" t="s">
        <v>15657</v>
      </c>
      <c r="O4694" t="s">
        <v>15658</v>
      </c>
      <c r="P4694" s="2" t="s">
        <v>67</v>
      </c>
      <c r="Q4694" t="s">
        <v>68</v>
      </c>
      <c r="R4694">
        <v>116.68</v>
      </c>
      <c r="S4694">
        <v>126.87</v>
      </c>
      <c r="T4694" t="s">
        <v>15659</v>
      </c>
    </row>
    <row r="4695" spans="1:20" x14ac:dyDescent="0.25">
      <c r="A4695" s="1" t="str">
        <f>HYPERLINK("https://vegkart.atlas.vegvesen.no/#/@245630.0,7081915.0,18/hva:hva%5B0%5D%5Bfilter%5D%5B0%5D%5Boperator%5D=%21%3D&amp;hva%5B0%5D%5Bfilter%5D%5B0%5D%5Btype_id%5D=4820&amp;hva%5B0%5D%5Bfilter%5D%5B0%5D%5Bverdi%5D=&amp;hva%5B0%5D%5Bid%5D=144/når:2019-06-25", "Vegkart")</f>
        <v>Vegkart</v>
      </c>
      <c r="B4695">
        <v>940361445</v>
      </c>
      <c r="C4695">
        <v>144</v>
      </c>
      <c r="D4695" t="s">
        <v>13345</v>
      </c>
      <c r="E4695">
        <v>4820</v>
      </c>
      <c r="F4695" t="s">
        <v>23479</v>
      </c>
      <c r="G4695">
        <v>1</v>
      </c>
      <c r="H4695" t="s">
        <v>13906</v>
      </c>
      <c r="J4695" t="s">
        <v>15636</v>
      </c>
      <c r="K4695" t="s">
        <v>192</v>
      </c>
      <c r="L4695" t="s">
        <v>33</v>
      </c>
      <c r="M4695" t="s">
        <v>13759</v>
      </c>
      <c r="N4695" t="s">
        <v>15660</v>
      </c>
      <c r="O4695" t="s">
        <v>15661</v>
      </c>
      <c r="P4695" s="2" t="s">
        <v>67</v>
      </c>
      <c r="Q4695" t="s">
        <v>68</v>
      </c>
      <c r="R4695">
        <v>59.43</v>
      </c>
      <c r="S4695">
        <v>91.77</v>
      </c>
      <c r="T4695" t="s">
        <v>15662</v>
      </c>
    </row>
    <row r="4696" spans="1:20" x14ac:dyDescent="0.25">
      <c r="A4696" s="1" t="str">
        <f>HYPERLINK("https://vegkart.atlas.vegvesen.no/#/@228399.5,7041305.9,18/hva:hva%5B0%5D%5Bfilter%5D%5B0%5D%5Boperator%5D=%21%3D&amp;hva%5B0%5D%5Bfilter%5D%5B0%5D%5Btype_id%5D=4820&amp;hva%5B0%5D%5Bfilter%5D%5B0%5D%5Bverdi%5D=&amp;hva%5B0%5D%5Bid%5D=144/når:2019-07-05", "Vegkart")</f>
        <v>Vegkart</v>
      </c>
      <c r="B4696">
        <v>945811511</v>
      </c>
      <c r="C4696">
        <v>144</v>
      </c>
      <c r="D4696" t="s">
        <v>13345</v>
      </c>
      <c r="E4696">
        <v>4820</v>
      </c>
      <c r="F4696" t="s">
        <v>23479</v>
      </c>
      <c r="G4696">
        <v>1</v>
      </c>
      <c r="H4696" t="s">
        <v>14275</v>
      </c>
      <c r="J4696" t="s">
        <v>15636</v>
      </c>
      <c r="K4696" t="s">
        <v>192</v>
      </c>
      <c r="L4696" t="s">
        <v>33</v>
      </c>
      <c r="M4696" t="s">
        <v>13400</v>
      </c>
      <c r="N4696" t="s">
        <v>15663</v>
      </c>
      <c r="O4696" t="s">
        <v>15664</v>
      </c>
      <c r="P4696" s="2" t="s">
        <v>165</v>
      </c>
      <c r="Q4696" t="s">
        <v>641</v>
      </c>
      <c r="R4696">
        <v>0</v>
      </c>
      <c r="S4696">
        <v>998.65</v>
      </c>
      <c r="T4696" t="s">
        <v>167</v>
      </c>
    </row>
    <row r="4697" spans="1:20" x14ac:dyDescent="0.25">
      <c r="A4697" s="1" t="str">
        <f>HYPERLINK("https://vegkart.atlas.vegvesen.no/#/@518419.8,7459136.3,18/hva:hva%5B0%5D%5Bfilter%5D%5B0%5D%5Boperator%5D=%21%3D&amp;hva%5B0%5D%5Bfilter%5D%5B0%5D%5Btype_id%5D=4820&amp;hva%5B0%5D%5Bfilter%5D%5B0%5D%5Bverdi%5D=&amp;hva%5B0%5D%5Bid%5D=144/når:2019-07-26", "Vegkart")</f>
        <v>Vegkart</v>
      </c>
      <c r="B4697">
        <v>954789626</v>
      </c>
      <c r="C4697">
        <v>144</v>
      </c>
      <c r="D4697" t="s">
        <v>13345</v>
      </c>
      <c r="E4697">
        <v>4820</v>
      </c>
      <c r="F4697" t="s">
        <v>23479</v>
      </c>
      <c r="G4697">
        <v>1</v>
      </c>
      <c r="H4697" t="s">
        <v>15665</v>
      </c>
      <c r="J4697" t="s">
        <v>15636</v>
      </c>
      <c r="K4697" t="s">
        <v>53</v>
      </c>
      <c r="L4697" t="s">
        <v>80</v>
      </c>
      <c r="M4697" t="s">
        <v>105</v>
      </c>
      <c r="N4697" t="s">
        <v>15666</v>
      </c>
      <c r="O4697" t="s">
        <v>15667</v>
      </c>
      <c r="P4697" s="2" t="s">
        <v>67</v>
      </c>
      <c r="Q4697" t="s">
        <v>68</v>
      </c>
      <c r="R4697">
        <v>45.91</v>
      </c>
      <c r="S4697">
        <v>46.4</v>
      </c>
      <c r="T4697" t="s">
        <v>15668</v>
      </c>
    </row>
    <row r="4698" spans="1:20" x14ac:dyDescent="0.25">
      <c r="A4698" s="1" t="str">
        <f>HYPERLINK("https://vegkart.atlas.vegvesen.no/#/@518406.7,7459077.0,18/hva:hva%5B0%5D%5Bfilter%5D%5B0%5D%5Boperator%5D=%21%3D&amp;hva%5B0%5D%5Bfilter%5D%5B0%5D%5Btype_id%5D=4820&amp;hva%5B0%5D%5Bfilter%5D%5B0%5D%5Bverdi%5D=&amp;hva%5B0%5D%5Bid%5D=144/når:2019-07-26", "Vegkart")</f>
        <v>Vegkart</v>
      </c>
      <c r="B4698">
        <v>954789627</v>
      </c>
      <c r="C4698">
        <v>144</v>
      </c>
      <c r="D4698" t="s">
        <v>13345</v>
      </c>
      <c r="E4698">
        <v>4820</v>
      </c>
      <c r="F4698" t="s">
        <v>23479</v>
      </c>
      <c r="G4698">
        <v>1</v>
      </c>
      <c r="H4698" t="s">
        <v>15665</v>
      </c>
      <c r="J4698" t="s">
        <v>15636</v>
      </c>
      <c r="K4698" t="s">
        <v>53</v>
      </c>
      <c r="L4698" t="s">
        <v>80</v>
      </c>
      <c r="M4698" t="s">
        <v>105</v>
      </c>
      <c r="N4698" t="s">
        <v>15669</v>
      </c>
      <c r="O4698" t="s">
        <v>15670</v>
      </c>
      <c r="P4698" s="2" t="s">
        <v>67</v>
      </c>
      <c r="Q4698" t="s">
        <v>68</v>
      </c>
      <c r="R4698">
        <v>19.75</v>
      </c>
      <c r="S4698">
        <v>19.760000000000002</v>
      </c>
      <c r="T4698" t="s">
        <v>15671</v>
      </c>
    </row>
    <row r="4699" spans="1:20" x14ac:dyDescent="0.25">
      <c r="A4699" s="1" t="str">
        <f>HYPERLINK("https://vegkart.atlas.vegvesen.no/#/@518395.1,7459078.8,18/hva:hva%5B0%5D%5Bfilter%5D%5B0%5D%5Boperator%5D=%21%3D&amp;hva%5B0%5D%5Bfilter%5D%5B0%5D%5Btype_id%5D=4820&amp;hva%5B0%5D%5Bfilter%5D%5B0%5D%5Bverdi%5D=&amp;hva%5B0%5D%5Bid%5D=144/når:2019-07-26", "Vegkart")</f>
        <v>Vegkart</v>
      </c>
      <c r="B4699">
        <v>954789628</v>
      </c>
      <c r="C4699">
        <v>144</v>
      </c>
      <c r="D4699" t="s">
        <v>13345</v>
      </c>
      <c r="E4699">
        <v>4820</v>
      </c>
      <c r="F4699" t="s">
        <v>23479</v>
      </c>
      <c r="G4699">
        <v>1</v>
      </c>
      <c r="H4699" t="s">
        <v>15665</v>
      </c>
      <c r="J4699" t="s">
        <v>15636</v>
      </c>
      <c r="K4699" t="s">
        <v>53</v>
      </c>
      <c r="L4699" t="s">
        <v>80</v>
      </c>
      <c r="M4699" t="s">
        <v>105</v>
      </c>
      <c r="N4699" t="s">
        <v>15672</v>
      </c>
      <c r="O4699" t="s">
        <v>15673</v>
      </c>
      <c r="P4699" s="2" t="s">
        <v>67</v>
      </c>
      <c r="Q4699" t="s">
        <v>68</v>
      </c>
      <c r="R4699">
        <v>56.74</v>
      </c>
      <c r="S4699">
        <v>58.32</v>
      </c>
      <c r="T4699" t="s">
        <v>15674</v>
      </c>
    </row>
    <row r="4700" spans="1:20" x14ac:dyDescent="0.25">
      <c r="A4700" s="1" t="str">
        <f>HYPERLINK("https://vegkart.atlas.vegvesen.no/#/@201379.0,6625920.8,18/hva:hva%5B0%5D%5Bfilter%5D%5B0%5D%5Boperator%5D=%21%3D&amp;hva%5B0%5D%5Bfilter%5D%5B0%5D%5Btype_id%5D=4820&amp;hva%5B0%5D%5Bfilter%5D%5B0%5D%5Bverdi%5D=&amp;hva%5B0%5D%5Bid%5D=144/når:2019-08-05", "Vegkart")</f>
        <v>Vegkart</v>
      </c>
      <c r="B4700">
        <v>957749448</v>
      </c>
      <c r="C4700">
        <v>144</v>
      </c>
      <c r="D4700" t="s">
        <v>13345</v>
      </c>
      <c r="E4700">
        <v>4820</v>
      </c>
      <c r="F4700" t="s">
        <v>23479</v>
      </c>
      <c r="G4700">
        <v>1</v>
      </c>
      <c r="H4700" t="s">
        <v>15675</v>
      </c>
      <c r="J4700" t="s">
        <v>15636</v>
      </c>
      <c r="K4700" t="s">
        <v>307</v>
      </c>
      <c r="L4700" t="s">
        <v>15676</v>
      </c>
      <c r="M4700" t="s">
        <v>32</v>
      </c>
      <c r="N4700" t="s">
        <v>15677</v>
      </c>
      <c r="O4700" t="s">
        <v>15678</v>
      </c>
      <c r="P4700" s="2" t="s">
        <v>67</v>
      </c>
      <c r="Q4700" t="s">
        <v>68</v>
      </c>
      <c r="R4700">
        <v>10.79</v>
      </c>
      <c r="S4700">
        <v>10.79</v>
      </c>
      <c r="T4700" t="s">
        <v>15679</v>
      </c>
    </row>
    <row r="4701" spans="1:20" x14ac:dyDescent="0.25">
      <c r="A4701" s="1" t="str">
        <f>HYPERLINK("https://vegkart.atlas.vegvesen.no/#/@201396.2,6625886.6,18/hva:hva%5B0%5D%5Bfilter%5D%5B0%5D%5Boperator%5D=%21%3D&amp;hva%5B0%5D%5Bfilter%5D%5B0%5D%5Btype_id%5D=4820&amp;hva%5B0%5D%5Bfilter%5D%5B0%5D%5Bverdi%5D=&amp;hva%5B0%5D%5Bid%5D=144/når:2019-08-05", "Vegkart")</f>
        <v>Vegkart</v>
      </c>
      <c r="B4701">
        <v>957749449</v>
      </c>
      <c r="C4701">
        <v>144</v>
      </c>
      <c r="D4701" t="s">
        <v>13345</v>
      </c>
      <c r="E4701">
        <v>4820</v>
      </c>
      <c r="F4701" t="s">
        <v>23479</v>
      </c>
      <c r="G4701">
        <v>1</v>
      </c>
      <c r="H4701" t="s">
        <v>15675</v>
      </c>
      <c r="J4701" t="s">
        <v>15636</v>
      </c>
      <c r="K4701" t="s">
        <v>307</v>
      </c>
      <c r="L4701" t="s">
        <v>15676</v>
      </c>
      <c r="M4701" t="s">
        <v>32</v>
      </c>
      <c r="N4701" t="s">
        <v>15680</v>
      </c>
      <c r="O4701" t="s">
        <v>15681</v>
      </c>
      <c r="P4701" s="2" t="s">
        <v>67</v>
      </c>
      <c r="Q4701" t="s">
        <v>68</v>
      </c>
      <c r="R4701">
        <v>10.25</v>
      </c>
      <c r="S4701">
        <v>10.25</v>
      </c>
      <c r="T4701" t="s">
        <v>15682</v>
      </c>
    </row>
    <row r="4702" spans="1:20" x14ac:dyDescent="0.25">
      <c r="A4702" s="1" t="str">
        <f>HYPERLINK("https://vegkart.atlas.vegvesen.no/#/@201697.7,6626083.0,18/hva:hva%5B0%5D%5Bfilter%5D%5B0%5D%5Boperator%5D=%21%3D&amp;hva%5B0%5D%5Bfilter%5D%5B0%5D%5Btype_id%5D=4820&amp;hva%5B0%5D%5Bfilter%5D%5B0%5D%5Bverdi%5D=&amp;hva%5B0%5D%5Bid%5D=144/når:2019-08-05", "Vegkart")</f>
        <v>Vegkart</v>
      </c>
      <c r="B4702">
        <v>957749451</v>
      </c>
      <c r="C4702">
        <v>144</v>
      </c>
      <c r="D4702" t="s">
        <v>13345</v>
      </c>
      <c r="E4702">
        <v>4820</v>
      </c>
      <c r="F4702" t="s">
        <v>23479</v>
      </c>
      <c r="G4702">
        <v>1</v>
      </c>
      <c r="H4702" t="s">
        <v>15675</v>
      </c>
      <c r="J4702" t="s">
        <v>15636</v>
      </c>
      <c r="K4702" t="s">
        <v>307</v>
      </c>
      <c r="L4702" t="s">
        <v>80</v>
      </c>
      <c r="M4702" t="s">
        <v>645</v>
      </c>
      <c r="N4702" t="s">
        <v>15683</v>
      </c>
      <c r="O4702" t="s">
        <v>15684</v>
      </c>
      <c r="P4702" s="2" t="s">
        <v>67</v>
      </c>
      <c r="Q4702" t="s">
        <v>68</v>
      </c>
      <c r="R4702">
        <v>16.77</v>
      </c>
      <c r="S4702">
        <v>16.77</v>
      </c>
      <c r="T4702" t="s">
        <v>15685</v>
      </c>
    </row>
    <row r="4703" spans="1:20" x14ac:dyDescent="0.25">
      <c r="A4703" s="1" t="str">
        <f>HYPERLINK("https://vegkart.atlas.vegvesen.no/#/@202615.1,6626506.1,18/hva:hva%5B0%5D%5Bfilter%5D%5B0%5D%5Boperator%5D=%21%3D&amp;hva%5B0%5D%5Bfilter%5D%5B0%5D%5Btype_id%5D=4820&amp;hva%5B0%5D%5Bfilter%5D%5B0%5D%5Bverdi%5D=&amp;hva%5B0%5D%5Bid%5D=144/når:2019-08-05", "Vegkart")</f>
        <v>Vegkart</v>
      </c>
      <c r="B4703">
        <v>957749452</v>
      </c>
      <c r="C4703">
        <v>144</v>
      </c>
      <c r="D4703" t="s">
        <v>13345</v>
      </c>
      <c r="E4703">
        <v>4820</v>
      </c>
      <c r="F4703" t="s">
        <v>23479</v>
      </c>
      <c r="G4703">
        <v>1</v>
      </c>
      <c r="H4703" t="s">
        <v>15675</v>
      </c>
      <c r="J4703" t="s">
        <v>15636</v>
      </c>
      <c r="K4703" t="s">
        <v>307</v>
      </c>
      <c r="L4703" t="s">
        <v>80</v>
      </c>
      <c r="M4703" t="s">
        <v>645</v>
      </c>
      <c r="N4703" t="s">
        <v>15686</v>
      </c>
      <c r="O4703" t="s">
        <v>15687</v>
      </c>
      <c r="P4703" s="2" t="s">
        <v>67</v>
      </c>
      <c r="Q4703" t="s">
        <v>68</v>
      </c>
      <c r="R4703">
        <v>13.31</v>
      </c>
      <c r="S4703">
        <v>13.31</v>
      </c>
      <c r="T4703" t="s">
        <v>15688</v>
      </c>
    </row>
    <row r="4704" spans="1:20" x14ac:dyDescent="0.25">
      <c r="A4704" s="1" t="str">
        <f>HYPERLINK("https://vegkart.atlas.vegvesen.no/#/@201800.1,6626209.7,18/hva:hva%5B0%5D%5Bfilter%5D%5B0%5D%5Boperator%5D=%21%3D&amp;hva%5B0%5D%5Bfilter%5D%5B0%5D%5Btype_id%5D=4820&amp;hva%5B0%5D%5Bfilter%5D%5B0%5D%5Bverdi%5D=&amp;hva%5B0%5D%5Bid%5D=144/når:2019-08-05", "Vegkart")</f>
        <v>Vegkart</v>
      </c>
      <c r="B4704">
        <v>957749453</v>
      </c>
      <c r="C4704">
        <v>144</v>
      </c>
      <c r="D4704" t="s">
        <v>13345</v>
      </c>
      <c r="E4704">
        <v>4820</v>
      </c>
      <c r="F4704" t="s">
        <v>23479</v>
      </c>
      <c r="G4704">
        <v>1</v>
      </c>
      <c r="H4704" t="s">
        <v>15675</v>
      </c>
      <c r="J4704" t="s">
        <v>15636</v>
      </c>
      <c r="K4704" t="s">
        <v>307</v>
      </c>
      <c r="L4704" t="s">
        <v>33</v>
      </c>
      <c r="M4704" t="s">
        <v>15689</v>
      </c>
      <c r="N4704" t="s">
        <v>15690</v>
      </c>
      <c r="O4704" t="s">
        <v>15691</v>
      </c>
      <c r="P4704" s="2" t="s">
        <v>67</v>
      </c>
      <c r="Q4704" t="s">
        <v>68</v>
      </c>
      <c r="R4704">
        <v>5.12</v>
      </c>
      <c r="S4704">
        <v>5.12</v>
      </c>
      <c r="T4704" t="s">
        <v>15692</v>
      </c>
    </row>
    <row r="4705" spans="1:20" x14ac:dyDescent="0.25">
      <c r="A4705" s="1" t="str">
        <f>HYPERLINK("https://vegkart.atlas.vegvesen.no/#/@201249.8,6625883.1,18/hva:hva%5B0%5D%5Bfilter%5D%5B0%5D%5Boperator%5D=%21%3D&amp;hva%5B0%5D%5Bfilter%5D%5B0%5D%5Btype_id%5D=4820&amp;hva%5B0%5D%5Bfilter%5D%5B0%5D%5Bverdi%5D=&amp;hva%5B0%5D%5Bid%5D=144/når:2019-08-05", "Vegkart")</f>
        <v>Vegkart</v>
      </c>
      <c r="B4705">
        <v>957749454</v>
      </c>
      <c r="C4705">
        <v>144</v>
      </c>
      <c r="D4705" t="s">
        <v>13345</v>
      </c>
      <c r="E4705">
        <v>4820</v>
      </c>
      <c r="F4705" t="s">
        <v>23479</v>
      </c>
      <c r="G4705">
        <v>1</v>
      </c>
      <c r="H4705" t="s">
        <v>15675</v>
      </c>
      <c r="J4705" t="s">
        <v>15636</v>
      </c>
      <c r="K4705" t="s">
        <v>307</v>
      </c>
      <c r="L4705" t="s">
        <v>80</v>
      </c>
      <c r="M4705" t="s">
        <v>645</v>
      </c>
      <c r="N4705" t="s">
        <v>15693</v>
      </c>
      <c r="O4705" t="s">
        <v>15694</v>
      </c>
      <c r="P4705" s="2" t="s">
        <v>67</v>
      </c>
      <c r="Q4705" t="s">
        <v>68</v>
      </c>
      <c r="R4705">
        <v>14.16</v>
      </c>
      <c r="S4705">
        <v>15.21</v>
      </c>
      <c r="T4705" t="s">
        <v>15695</v>
      </c>
    </row>
    <row r="4706" spans="1:20" x14ac:dyDescent="0.25">
      <c r="A4706" s="1" t="str">
        <f>HYPERLINK("https://vegkart.atlas.vegvesen.no/#/@201646.4,6626098.7,18/hva:hva%5B0%5D%5Bfilter%5D%5B0%5D%5Boperator%5D=%21%3D&amp;hva%5B0%5D%5Bfilter%5D%5B0%5D%5Btype_id%5D=4820&amp;hva%5B0%5D%5Bfilter%5D%5B0%5D%5Bverdi%5D=&amp;hva%5B0%5D%5Bid%5D=144/når:2019-08-05", "Vegkart")</f>
        <v>Vegkart</v>
      </c>
      <c r="B4706">
        <v>957749455</v>
      </c>
      <c r="C4706">
        <v>144</v>
      </c>
      <c r="D4706" t="s">
        <v>13345</v>
      </c>
      <c r="E4706">
        <v>4820</v>
      </c>
      <c r="F4706" t="s">
        <v>23479</v>
      </c>
      <c r="G4706">
        <v>1</v>
      </c>
      <c r="H4706" t="s">
        <v>15675</v>
      </c>
      <c r="J4706" t="s">
        <v>15636</v>
      </c>
      <c r="K4706" t="s">
        <v>307</v>
      </c>
      <c r="L4706" t="s">
        <v>80</v>
      </c>
      <c r="M4706" t="s">
        <v>645</v>
      </c>
      <c r="N4706" t="s">
        <v>15696</v>
      </c>
      <c r="O4706" t="s">
        <v>15697</v>
      </c>
      <c r="P4706" s="2" t="s">
        <v>67</v>
      </c>
      <c r="Q4706" t="s">
        <v>68</v>
      </c>
      <c r="R4706">
        <v>5.88</v>
      </c>
      <c r="S4706">
        <v>5.88</v>
      </c>
      <c r="T4706" t="s">
        <v>15698</v>
      </c>
    </row>
    <row r="4707" spans="1:20" x14ac:dyDescent="0.25">
      <c r="A4707" s="1" t="str">
        <f>HYPERLINK("https://vegkart.atlas.vegvesen.no/#/@201644.4,6626197.4,18/hva:hva%5B0%5D%5Bfilter%5D%5B0%5D%5Boperator%5D=%21%3D&amp;hva%5B0%5D%5Bfilter%5D%5B0%5D%5Btype_id%5D=4820&amp;hva%5B0%5D%5Bfilter%5D%5B0%5D%5Bverdi%5D=&amp;hva%5B0%5D%5Bid%5D=144/når:2019-08-05", "Vegkart")</f>
        <v>Vegkart</v>
      </c>
      <c r="B4707">
        <v>957749456</v>
      </c>
      <c r="C4707">
        <v>144</v>
      </c>
      <c r="D4707" t="s">
        <v>13345</v>
      </c>
      <c r="E4707">
        <v>4820</v>
      </c>
      <c r="F4707" t="s">
        <v>23479</v>
      </c>
      <c r="G4707">
        <v>1</v>
      </c>
      <c r="H4707" t="s">
        <v>15675</v>
      </c>
      <c r="J4707" t="s">
        <v>15636</v>
      </c>
      <c r="K4707" t="s">
        <v>307</v>
      </c>
      <c r="L4707" t="s">
        <v>80</v>
      </c>
      <c r="M4707" t="s">
        <v>645</v>
      </c>
      <c r="N4707" t="s">
        <v>15699</v>
      </c>
      <c r="O4707" t="s">
        <v>15700</v>
      </c>
      <c r="P4707" s="2" t="s">
        <v>67</v>
      </c>
      <c r="Q4707" t="s">
        <v>68</v>
      </c>
      <c r="R4707">
        <v>6.12</v>
      </c>
      <c r="S4707">
        <v>6.12</v>
      </c>
      <c r="T4707" t="s">
        <v>15701</v>
      </c>
    </row>
    <row r="4708" spans="1:20" x14ac:dyDescent="0.25">
      <c r="A4708" s="1" t="str">
        <f>HYPERLINK("https://vegkart.atlas.vegvesen.no/#/@201681.7,6626204.7,18/hva:hva%5B0%5D%5Bfilter%5D%5B0%5D%5Boperator%5D=%21%3D&amp;hva%5B0%5D%5Bfilter%5D%5B0%5D%5Btype_id%5D=4820&amp;hva%5B0%5D%5Bfilter%5D%5B0%5D%5Bverdi%5D=&amp;hva%5B0%5D%5Bid%5D=144/når:2019-08-05", "Vegkart")</f>
        <v>Vegkart</v>
      </c>
      <c r="B4708">
        <v>957749457</v>
      </c>
      <c r="C4708">
        <v>144</v>
      </c>
      <c r="D4708" t="s">
        <v>13345</v>
      </c>
      <c r="E4708">
        <v>4820</v>
      </c>
      <c r="F4708" t="s">
        <v>23479</v>
      </c>
      <c r="G4708">
        <v>1</v>
      </c>
      <c r="H4708" t="s">
        <v>15675</v>
      </c>
      <c r="J4708" t="s">
        <v>15636</v>
      </c>
      <c r="K4708" t="s">
        <v>307</v>
      </c>
      <c r="L4708" t="s">
        <v>80</v>
      </c>
      <c r="M4708" t="s">
        <v>645</v>
      </c>
      <c r="N4708" t="s">
        <v>15702</v>
      </c>
      <c r="O4708" t="s">
        <v>15703</v>
      </c>
      <c r="P4708" s="2" t="s">
        <v>67</v>
      </c>
      <c r="Q4708" t="s">
        <v>68</v>
      </c>
      <c r="R4708">
        <v>5.49</v>
      </c>
      <c r="S4708">
        <v>5.49</v>
      </c>
      <c r="T4708" t="s">
        <v>15704</v>
      </c>
    </row>
    <row r="4709" spans="1:20" x14ac:dyDescent="0.25">
      <c r="A4709" s="1" t="str">
        <f>HYPERLINK("https://vegkart.atlas.vegvesen.no/#/@201759.1,6626213.0,18/hva:hva%5B0%5D%5Bfilter%5D%5B0%5D%5Boperator%5D=%21%3D&amp;hva%5B0%5D%5Bfilter%5D%5B0%5D%5Btype_id%5D=4820&amp;hva%5B0%5D%5Bfilter%5D%5B0%5D%5Bverdi%5D=&amp;hva%5B0%5D%5Bid%5D=144/når:2019-08-05", "Vegkart")</f>
        <v>Vegkart</v>
      </c>
      <c r="B4709">
        <v>957749458</v>
      </c>
      <c r="C4709">
        <v>144</v>
      </c>
      <c r="D4709" t="s">
        <v>13345</v>
      </c>
      <c r="E4709">
        <v>4820</v>
      </c>
      <c r="F4709" t="s">
        <v>23479</v>
      </c>
      <c r="G4709">
        <v>1</v>
      </c>
      <c r="H4709" t="s">
        <v>15675</v>
      </c>
      <c r="J4709" t="s">
        <v>15636</v>
      </c>
      <c r="K4709" t="s">
        <v>307</v>
      </c>
      <c r="L4709" t="s">
        <v>33</v>
      </c>
      <c r="M4709" t="s">
        <v>15689</v>
      </c>
      <c r="N4709" t="s">
        <v>15705</v>
      </c>
      <c r="O4709" t="s">
        <v>15706</v>
      </c>
      <c r="P4709" s="2" t="s">
        <v>67</v>
      </c>
      <c r="Q4709" t="s">
        <v>68</v>
      </c>
      <c r="R4709">
        <v>5.68</v>
      </c>
      <c r="S4709">
        <v>5.68</v>
      </c>
      <c r="T4709" t="s">
        <v>15707</v>
      </c>
    </row>
    <row r="4710" spans="1:20" x14ac:dyDescent="0.25">
      <c r="A4710" s="1" t="str">
        <f>HYPERLINK("https://vegkart.atlas.vegvesen.no/#/@201971.2,6626291.3,18/hva:hva%5B0%5D%5Bfilter%5D%5B0%5D%5Boperator%5D=%21%3D&amp;hva%5B0%5D%5Bfilter%5D%5B0%5D%5Btype_id%5D=4820&amp;hva%5B0%5D%5Bfilter%5D%5B0%5D%5Bverdi%5D=&amp;hva%5B0%5D%5Bid%5D=144/når:2019-08-05", "Vegkart")</f>
        <v>Vegkart</v>
      </c>
      <c r="B4710">
        <v>957749459</v>
      </c>
      <c r="C4710">
        <v>144</v>
      </c>
      <c r="D4710" t="s">
        <v>13345</v>
      </c>
      <c r="E4710">
        <v>4820</v>
      </c>
      <c r="F4710" t="s">
        <v>23479</v>
      </c>
      <c r="G4710">
        <v>1</v>
      </c>
      <c r="H4710" t="s">
        <v>15675</v>
      </c>
      <c r="J4710" t="s">
        <v>15636</v>
      </c>
      <c r="K4710" t="s">
        <v>307</v>
      </c>
      <c r="L4710" t="s">
        <v>33</v>
      </c>
      <c r="M4710" t="s">
        <v>15689</v>
      </c>
      <c r="N4710" t="s">
        <v>15708</v>
      </c>
      <c r="O4710" t="s">
        <v>15709</v>
      </c>
      <c r="P4710" s="2" t="s">
        <v>67</v>
      </c>
      <c r="Q4710" t="s">
        <v>68</v>
      </c>
      <c r="R4710">
        <v>4.22</v>
      </c>
      <c r="S4710">
        <v>4.22</v>
      </c>
      <c r="T4710" t="s">
        <v>15710</v>
      </c>
    </row>
    <row r="4711" spans="1:20" x14ac:dyDescent="0.25">
      <c r="A4711" s="1" t="str">
        <f>HYPERLINK("https://vegkart.atlas.vegvesen.no/#/@202140.7,6626377.6,18/hva:hva%5B0%5D%5Bfilter%5D%5B0%5D%5Boperator%5D=%21%3D&amp;hva%5B0%5D%5Bfilter%5D%5B0%5D%5Btype_id%5D=4820&amp;hva%5B0%5D%5Bfilter%5D%5B0%5D%5Bverdi%5D=&amp;hva%5B0%5D%5Bid%5D=144/når:2019-08-05", "Vegkart")</f>
        <v>Vegkart</v>
      </c>
      <c r="B4711">
        <v>957749460</v>
      </c>
      <c r="C4711">
        <v>144</v>
      </c>
      <c r="D4711" t="s">
        <v>13345</v>
      </c>
      <c r="E4711">
        <v>4820</v>
      </c>
      <c r="F4711" t="s">
        <v>23479</v>
      </c>
      <c r="G4711">
        <v>1</v>
      </c>
      <c r="H4711" t="s">
        <v>15675</v>
      </c>
      <c r="J4711" t="s">
        <v>15636</v>
      </c>
      <c r="K4711" t="s">
        <v>307</v>
      </c>
      <c r="L4711" t="s">
        <v>33</v>
      </c>
      <c r="M4711" t="s">
        <v>15689</v>
      </c>
      <c r="N4711" t="s">
        <v>15711</v>
      </c>
      <c r="O4711" t="s">
        <v>15712</v>
      </c>
      <c r="P4711" s="2" t="s">
        <v>67</v>
      </c>
      <c r="Q4711" t="s">
        <v>68</v>
      </c>
      <c r="R4711">
        <v>5.53</v>
      </c>
      <c r="S4711">
        <v>5.53</v>
      </c>
      <c r="T4711" t="s">
        <v>15713</v>
      </c>
    </row>
    <row r="4712" spans="1:20" x14ac:dyDescent="0.25">
      <c r="A4712" s="1" t="str">
        <f>HYPERLINK("https://vegkart.atlas.vegvesen.no/#/@202189.7,6626317.6,18/hva:hva%5B0%5D%5Bfilter%5D%5B0%5D%5Boperator%5D=%21%3D&amp;hva%5B0%5D%5Bfilter%5D%5B0%5D%5Btype_id%5D=4820&amp;hva%5B0%5D%5Bfilter%5D%5B0%5D%5Bverdi%5D=&amp;hva%5B0%5D%5Bid%5D=144/når:2019-08-05", "Vegkart")</f>
        <v>Vegkart</v>
      </c>
      <c r="B4712">
        <v>957749461</v>
      </c>
      <c r="C4712">
        <v>144</v>
      </c>
      <c r="D4712" t="s">
        <v>13345</v>
      </c>
      <c r="E4712">
        <v>4820</v>
      </c>
      <c r="F4712" t="s">
        <v>23479</v>
      </c>
      <c r="G4712">
        <v>1</v>
      </c>
      <c r="H4712" t="s">
        <v>15675</v>
      </c>
      <c r="J4712" t="s">
        <v>15636</v>
      </c>
      <c r="K4712" t="s">
        <v>307</v>
      </c>
      <c r="L4712" t="s">
        <v>80</v>
      </c>
      <c r="M4712" t="s">
        <v>645</v>
      </c>
      <c r="N4712" t="s">
        <v>15714</v>
      </c>
      <c r="O4712" t="s">
        <v>15715</v>
      </c>
      <c r="P4712" s="2" t="s">
        <v>67</v>
      </c>
      <c r="Q4712" t="s">
        <v>68</v>
      </c>
      <c r="R4712">
        <v>5.96</v>
      </c>
      <c r="S4712">
        <v>5.96</v>
      </c>
      <c r="T4712" t="s">
        <v>15716</v>
      </c>
    </row>
    <row r="4713" spans="1:20" x14ac:dyDescent="0.25">
      <c r="A4713" s="1" t="str">
        <f>HYPERLINK("https://vegkart.atlas.vegvesen.no/#/@202242.7,6626342.3,18/hva:hva%5B0%5D%5Bfilter%5D%5B0%5D%5Boperator%5D=%21%3D&amp;hva%5B0%5D%5Bfilter%5D%5B0%5D%5Btype_id%5D=4820&amp;hva%5B0%5D%5Bfilter%5D%5B0%5D%5Bverdi%5D=&amp;hva%5B0%5D%5Bid%5D=144/når:2019-08-05", "Vegkart")</f>
        <v>Vegkart</v>
      </c>
      <c r="B4713">
        <v>957749462</v>
      </c>
      <c r="C4713">
        <v>144</v>
      </c>
      <c r="D4713" t="s">
        <v>13345</v>
      </c>
      <c r="E4713">
        <v>4820</v>
      </c>
      <c r="F4713" t="s">
        <v>23479</v>
      </c>
      <c r="G4713">
        <v>1</v>
      </c>
      <c r="H4713" t="s">
        <v>15675</v>
      </c>
      <c r="J4713" t="s">
        <v>15636</v>
      </c>
      <c r="K4713" t="s">
        <v>307</v>
      </c>
      <c r="L4713" t="s">
        <v>80</v>
      </c>
      <c r="M4713" t="s">
        <v>645</v>
      </c>
      <c r="N4713" t="s">
        <v>15717</v>
      </c>
      <c r="O4713" t="s">
        <v>15718</v>
      </c>
      <c r="P4713" s="2" t="s">
        <v>67</v>
      </c>
      <c r="Q4713" t="s">
        <v>68</v>
      </c>
      <c r="R4713">
        <v>12.89</v>
      </c>
      <c r="S4713">
        <v>12.89</v>
      </c>
      <c r="T4713" t="s">
        <v>15719</v>
      </c>
    </row>
    <row r="4714" spans="1:20" x14ac:dyDescent="0.25">
      <c r="A4714" s="1" t="str">
        <f>HYPERLINK("https://vegkart.atlas.vegvesen.no/#/@202296.9,6626422.2,18/hva:hva%5B0%5D%5Bfilter%5D%5B0%5D%5Boperator%5D=%21%3D&amp;hva%5B0%5D%5Bfilter%5D%5B0%5D%5Btype_id%5D=4820&amp;hva%5B0%5D%5Bfilter%5D%5B0%5D%5Bverdi%5D=&amp;hva%5B0%5D%5Bid%5D=144/når:2019-08-05", "Vegkart")</f>
        <v>Vegkart</v>
      </c>
      <c r="B4714">
        <v>957749463</v>
      </c>
      <c r="C4714">
        <v>144</v>
      </c>
      <c r="D4714" t="s">
        <v>13345</v>
      </c>
      <c r="E4714">
        <v>4820</v>
      </c>
      <c r="F4714" t="s">
        <v>23479</v>
      </c>
      <c r="G4714">
        <v>1</v>
      </c>
      <c r="H4714" t="s">
        <v>15675</v>
      </c>
      <c r="J4714" t="s">
        <v>15636</v>
      </c>
      <c r="K4714" t="s">
        <v>307</v>
      </c>
      <c r="L4714" t="s">
        <v>33</v>
      </c>
      <c r="M4714" t="s">
        <v>15689</v>
      </c>
      <c r="N4714" t="s">
        <v>15720</v>
      </c>
      <c r="O4714" t="s">
        <v>15721</v>
      </c>
      <c r="P4714" s="2" t="s">
        <v>67</v>
      </c>
      <c r="Q4714" t="s">
        <v>68</v>
      </c>
      <c r="R4714">
        <v>8.1199999999999992</v>
      </c>
      <c r="S4714">
        <v>8.1199999999999992</v>
      </c>
      <c r="T4714" t="s">
        <v>15722</v>
      </c>
    </row>
    <row r="4715" spans="1:20" x14ac:dyDescent="0.25">
      <c r="A4715" s="1" t="str">
        <f>HYPERLINK("https://vegkart.atlas.vegvesen.no/#/@202378.4,6626459.6,18/hva:hva%5B0%5D%5Bfilter%5D%5B0%5D%5Boperator%5D=%21%3D&amp;hva%5B0%5D%5Bfilter%5D%5B0%5D%5Btype_id%5D=4820&amp;hva%5B0%5D%5Bfilter%5D%5B0%5D%5Bverdi%5D=&amp;hva%5B0%5D%5Bid%5D=144/når:2019-08-05", "Vegkart")</f>
        <v>Vegkart</v>
      </c>
      <c r="B4715">
        <v>957749464</v>
      </c>
      <c r="C4715">
        <v>144</v>
      </c>
      <c r="D4715" t="s">
        <v>13345</v>
      </c>
      <c r="E4715">
        <v>4820</v>
      </c>
      <c r="F4715" t="s">
        <v>23479</v>
      </c>
      <c r="G4715">
        <v>1</v>
      </c>
      <c r="H4715" t="s">
        <v>15675</v>
      </c>
      <c r="J4715" t="s">
        <v>15636</v>
      </c>
      <c r="K4715" t="s">
        <v>307</v>
      </c>
      <c r="L4715" t="s">
        <v>33</v>
      </c>
      <c r="M4715" t="s">
        <v>15689</v>
      </c>
      <c r="N4715" t="s">
        <v>15723</v>
      </c>
      <c r="O4715" t="s">
        <v>15724</v>
      </c>
      <c r="P4715" s="2" t="s">
        <v>67</v>
      </c>
      <c r="Q4715" t="s">
        <v>68</v>
      </c>
      <c r="R4715">
        <v>9.2799999999999994</v>
      </c>
      <c r="S4715">
        <v>9.2799999999999994</v>
      </c>
      <c r="T4715" t="s">
        <v>15725</v>
      </c>
    </row>
    <row r="4716" spans="1:20" x14ac:dyDescent="0.25">
      <c r="A4716" s="1" t="str">
        <f>HYPERLINK("https://vegkart.atlas.vegvesen.no/#/@202521.9,6626425.9,18/hva:hva%5B0%5D%5Bfilter%5D%5B0%5D%5Boperator%5D=%21%3D&amp;hva%5B0%5D%5Bfilter%5D%5B0%5D%5Btype_id%5D=4820&amp;hva%5B0%5D%5Bfilter%5D%5B0%5D%5Bverdi%5D=&amp;hva%5B0%5D%5Bid%5D=144/når:2019-08-05", "Vegkart")</f>
        <v>Vegkart</v>
      </c>
      <c r="B4716">
        <v>957749465</v>
      </c>
      <c r="C4716">
        <v>144</v>
      </c>
      <c r="D4716" t="s">
        <v>13345</v>
      </c>
      <c r="E4716">
        <v>4820</v>
      </c>
      <c r="F4716" t="s">
        <v>23479</v>
      </c>
      <c r="G4716">
        <v>1</v>
      </c>
      <c r="H4716" t="s">
        <v>15675</v>
      </c>
      <c r="J4716" t="s">
        <v>15636</v>
      </c>
      <c r="K4716" t="s">
        <v>307</v>
      </c>
      <c r="L4716" t="s">
        <v>80</v>
      </c>
      <c r="M4716" t="s">
        <v>645</v>
      </c>
      <c r="N4716" t="s">
        <v>15726</v>
      </c>
      <c r="O4716" t="s">
        <v>15727</v>
      </c>
      <c r="P4716" s="2" t="s">
        <v>67</v>
      </c>
      <c r="Q4716" t="s">
        <v>68</v>
      </c>
      <c r="R4716">
        <v>7.35</v>
      </c>
      <c r="S4716">
        <v>7.35</v>
      </c>
      <c r="T4716" t="s">
        <v>15728</v>
      </c>
    </row>
    <row r="4717" spans="1:20" x14ac:dyDescent="0.25">
      <c r="A4717" s="1" t="str">
        <f>HYPERLINK("https://vegkart.atlas.vegvesen.no/#/@202707.0,6626529.3,18/hva:hva%5B0%5D%5Bfilter%5D%5B0%5D%5Boperator%5D=%21%3D&amp;hva%5B0%5D%5Bfilter%5D%5B0%5D%5Btype_id%5D=4820&amp;hva%5B0%5D%5Bfilter%5D%5B0%5D%5Bverdi%5D=&amp;hva%5B0%5D%5Bid%5D=144/når:2019-08-05", "Vegkart")</f>
        <v>Vegkart</v>
      </c>
      <c r="B4717">
        <v>957749466</v>
      </c>
      <c r="C4717">
        <v>144</v>
      </c>
      <c r="D4717" t="s">
        <v>13345</v>
      </c>
      <c r="E4717">
        <v>4820</v>
      </c>
      <c r="F4717" t="s">
        <v>23479</v>
      </c>
      <c r="G4717">
        <v>1</v>
      </c>
      <c r="H4717" t="s">
        <v>15675</v>
      </c>
      <c r="J4717" t="s">
        <v>15636</v>
      </c>
      <c r="K4717" t="s">
        <v>307</v>
      </c>
      <c r="L4717" t="s">
        <v>80</v>
      </c>
      <c r="M4717" t="s">
        <v>645</v>
      </c>
      <c r="N4717" t="s">
        <v>15729</v>
      </c>
      <c r="O4717" t="s">
        <v>15730</v>
      </c>
      <c r="P4717" s="2" t="s">
        <v>67</v>
      </c>
      <c r="Q4717" t="s">
        <v>68</v>
      </c>
      <c r="R4717">
        <v>19.12</v>
      </c>
      <c r="S4717">
        <v>19.12</v>
      </c>
      <c r="T4717" t="s">
        <v>15731</v>
      </c>
    </row>
    <row r="4718" spans="1:20" x14ac:dyDescent="0.25">
      <c r="A4718" s="1" t="str">
        <f>HYPERLINK("https://vegkart.atlas.vegvesen.no/#/@-32273.7,6723177.4,18/hva:hva%5B0%5D%5Bfilter%5D%5B0%5D%5Boperator%5D=%21%3D&amp;hva%5B0%5D%5Bfilter%5D%5B0%5D%5Btype_id%5D=4820&amp;hva%5B0%5D%5Bfilter%5D%5B0%5D%5Bverdi%5D=&amp;hva%5B0%5D%5Bid%5D=144/når:2019-08-12", "Vegkart")</f>
        <v>Vegkart</v>
      </c>
      <c r="B4718">
        <v>960926851</v>
      </c>
      <c r="C4718">
        <v>144</v>
      </c>
      <c r="D4718" t="s">
        <v>13345</v>
      </c>
      <c r="E4718">
        <v>4820</v>
      </c>
      <c r="F4718" t="s">
        <v>23479</v>
      </c>
      <c r="G4718">
        <v>1</v>
      </c>
      <c r="H4718" t="s">
        <v>15732</v>
      </c>
      <c r="J4718" t="s">
        <v>15636</v>
      </c>
      <c r="K4718" t="s">
        <v>21</v>
      </c>
      <c r="L4718" t="s">
        <v>2473</v>
      </c>
      <c r="M4718" t="s">
        <v>15733</v>
      </c>
      <c r="N4718" t="s">
        <v>15734</v>
      </c>
      <c r="O4718" t="s">
        <v>15735</v>
      </c>
      <c r="P4718" s="2" t="s">
        <v>67</v>
      </c>
      <c r="Q4718" t="s">
        <v>68</v>
      </c>
      <c r="R4718">
        <v>129.22999999999999</v>
      </c>
      <c r="S4718">
        <v>132.54</v>
      </c>
      <c r="T4718" t="s">
        <v>15736</v>
      </c>
    </row>
    <row r="4719" spans="1:20" x14ac:dyDescent="0.25">
      <c r="A4719" s="1" t="str">
        <f>HYPERLINK("https://vegkart.atlas.vegvesen.no/#/@9381.0,6827175.9,18/hva:hva%5B0%5D%5Bfilter%5D%5B0%5D%5Boperator%5D=%21%3D&amp;hva%5B0%5D%5Bfilter%5D%5B0%5D%5Btype_id%5D=4820&amp;hva%5B0%5D%5Bfilter%5D%5B0%5D%5Bverdi%5D=&amp;hva%5B0%5D%5Bid%5D=144/når:2019-09-05", "Vegkart")</f>
        <v>Vegkart</v>
      </c>
      <c r="B4719">
        <v>972146149</v>
      </c>
      <c r="C4719">
        <v>144</v>
      </c>
      <c r="D4719" t="s">
        <v>13345</v>
      </c>
      <c r="E4719">
        <v>4820</v>
      </c>
      <c r="F4719" t="s">
        <v>23479</v>
      </c>
      <c r="G4719">
        <v>1</v>
      </c>
      <c r="H4719" t="s">
        <v>15737</v>
      </c>
      <c r="J4719" t="s">
        <v>15636</v>
      </c>
      <c r="K4719" t="s">
        <v>21</v>
      </c>
      <c r="L4719" t="s">
        <v>80</v>
      </c>
      <c r="M4719" t="s">
        <v>81</v>
      </c>
      <c r="N4719" t="s">
        <v>15738</v>
      </c>
      <c r="O4719" t="s">
        <v>15739</v>
      </c>
      <c r="P4719" s="2" t="s">
        <v>165</v>
      </c>
      <c r="Q4719" t="s">
        <v>641</v>
      </c>
      <c r="R4719">
        <v>0</v>
      </c>
      <c r="S4719">
        <v>45.6</v>
      </c>
      <c r="T4719" t="s">
        <v>167</v>
      </c>
    </row>
    <row r="4720" spans="1:20" x14ac:dyDescent="0.25">
      <c r="A4720" s="1" t="str">
        <f>HYPERLINK("https://vegkart.atlas.vegvesen.no/#/@258258.3,6638273.9,18/hva:hva%5B0%5D%5Bfilter%5D%5B0%5D%5Boperator%5D=%21%3D&amp;hva%5B0%5D%5Bfilter%5D%5B0%5D%5Btype_id%5D=4820&amp;hva%5B0%5D%5Bfilter%5D%5B0%5D%5Bverdi%5D=&amp;hva%5B0%5D%5Bid%5D=144/når:2019-09-19", "Vegkart")</f>
        <v>Vegkart</v>
      </c>
      <c r="B4720">
        <v>977745701</v>
      </c>
      <c r="C4720">
        <v>144</v>
      </c>
      <c r="D4720" t="s">
        <v>13345</v>
      </c>
      <c r="E4720">
        <v>4820</v>
      </c>
      <c r="F4720" t="s">
        <v>23479</v>
      </c>
      <c r="G4720">
        <v>1</v>
      </c>
      <c r="H4720" t="s">
        <v>15740</v>
      </c>
      <c r="J4720" t="s">
        <v>15636</v>
      </c>
      <c r="K4720" t="s">
        <v>132</v>
      </c>
      <c r="L4720" t="s">
        <v>33</v>
      </c>
      <c r="M4720" t="s">
        <v>1622</v>
      </c>
      <c r="N4720" t="s">
        <v>15741</v>
      </c>
      <c r="O4720" t="s">
        <v>15742</v>
      </c>
      <c r="P4720" s="2" t="s">
        <v>67</v>
      </c>
      <c r="Q4720" t="s">
        <v>68</v>
      </c>
      <c r="R4720">
        <v>5.4</v>
      </c>
      <c r="S4720">
        <v>5.4</v>
      </c>
      <c r="T4720" t="s">
        <v>15743</v>
      </c>
    </row>
    <row r="4721" spans="1:20" x14ac:dyDescent="0.25">
      <c r="A4721" s="1" t="str">
        <f>HYPERLINK("https://vegkart.atlas.vegvesen.no/#/@258255.9,6638281.2,18/hva:hva%5B0%5D%5Bfilter%5D%5B0%5D%5Boperator%5D=%21%3D&amp;hva%5B0%5D%5Bfilter%5D%5B0%5D%5Btype_id%5D=4820&amp;hva%5B0%5D%5Bfilter%5D%5B0%5D%5Bverdi%5D=&amp;hva%5B0%5D%5Bid%5D=144/når:2019-09-19", "Vegkart")</f>
        <v>Vegkart</v>
      </c>
      <c r="B4721">
        <v>977745702</v>
      </c>
      <c r="C4721">
        <v>144</v>
      </c>
      <c r="D4721" t="s">
        <v>13345</v>
      </c>
      <c r="E4721">
        <v>4820</v>
      </c>
      <c r="F4721" t="s">
        <v>23479</v>
      </c>
      <c r="G4721">
        <v>1</v>
      </c>
      <c r="H4721" t="s">
        <v>15740</v>
      </c>
      <c r="J4721" t="s">
        <v>15636</v>
      </c>
      <c r="K4721" t="s">
        <v>132</v>
      </c>
      <c r="L4721" t="s">
        <v>33</v>
      </c>
      <c r="M4721" t="s">
        <v>1622</v>
      </c>
      <c r="N4721" t="s">
        <v>15744</v>
      </c>
      <c r="O4721" t="s">
        <v>15745</v>
      </c>
      <c r="P4721" s="2" t="s">
        <v>67</v>
      </c>
      <c r="Q4721" t="s">
        <v>68</v>
      </c>
      <c r="R4721">
        <v>5.4</v>
      </c>
      <c r="S4721">
        <v>5.4</v>
      </c>
      <c r="T4721" t="s">
        <v>15746</v>
      </c>
    </row>
    <row r="4722" spans="1:20" x14ac:dyDescent="0.25">
      <c r="A4722" s="1" t="str">
        <f>HYPERLINK("https://vegkart.atlas.vegvesen.no/#/@146378.4,6513853.6,18/hva:hva%5B0%5D%5Bfilter%5D%5B0%5D%5Boperator%5D=%21%3D&amp;hva%5B0%5D%5Bfilter%5D%5B0%5D%5Btype_id%5D=4820&amp;hva%5B0%5D%5Bfilter%5D%5B0%5D%5Bverdi%5D=&amp;hva%5B0%5D%5Bid%5D=144/når:2019-10-24", "Vegkart")</f>
        <v>Vegkart</v>
      </c>
      <c r="B4722">
        <v>989857102</v>
      </c>
      <c r="C4722">
        <v>144</v>
      </c>
      <c r="D4722" t="s">
        <v>13345</v>
      </c>
      <c r="E4722">
        <v>4820</v>
      </c>
      <c r="F4722" t="s">
        <v>23479</v>
      </c>
      <c r="G4722">
        <v>1</v>
      </c>
      <c r="H4722" t="s">
        <v>15747</v>
      </c>
      <c r="J4722" t="s">
        <v>15636</v>
      </c>
      <c r="K4722" t="s">
        <v>86</v>
      </c>
      <c r="L4722" t="s">
        <v>33</v>
      </c>
      <c r="M4722" t="s">
        <v>638</v>
      </c>
      <c r="N4722" t="s">
        <v>15748</v>
      </c>
      <c r="O4722" t="s">
        <v>15749</v>
      </c>
      <c r="P4722" s="2" t="s">
        <v>67</v>
      </c>
      <c r="Q4722" t="s">
        <v>68</v>
      </c>
      <c r="R4722">
        <v>6.86</v>
      </c>
      <c r="S4722">
        <v>6.86</v>
      </c>
      <c r="T4722" t="s">
        <v>15750</v>
      </c>
    </row>
    <row r="4723" spans="1:20" x14ac:dyDescent="0.25">
      <c r="A4723" s="1" t="str">
        <f>HYPERLINK("https://vegkart.atlas.vegvesen.no/#/@146378.5,6513850.5,18/hva:hva%5B0%5D%5Bfilter%5D%5B0%5D%5Boperator%5D=%21%3D&amp;hva%5B0%5D%5Bfilter%5D%5B0%5D%5Btype_id%5D=4820&amp;hva%5B0%5D%5Bfilter%5D%5B0%5D%5Bverdi%5D=&amp;hva%5B0%5D%5Bid%5D=144/når:2019-10-24", "Vegkart")</f>
        <v>Vegkart</v>
      </c>
      <c r="B4723">
        <v>989857103</v>
      </c>
      <c r="C4723">
        <v>144</v>
      </c>
      <c r="D4723" t="s">
        <v>13345</v>
      </c>
      <c r="E4723">
        <v>4820</v>
      </c>
      <c r="F4723" t="s">
        <v>23479</v>
      </c>
      <c r="G4723">
        <v>1</v>
      </c>
      <c r="H4723" t="s">
        <v>15747</v>
      </c>
      <c r="J4723" t="s">
        <v>15636</v>
      </c>
      <c r="K4723" t="s">
        <v>86</v>
      </c>
      <c r="L4723" t="s">
        <v>33</v>
      </c>
      <c r="M4723" t="s">
        <v>638</v>
      </c>
      <c r="N4723" t="s">
        <v>15751</v>
      </c>
      <c r="O4723" t="s">
        <v>15752</v>
      </c>
      <c r="P4723" s="2" t="s">
        <v>67</v>
      </c>
      <c r="Q4723" t="s">
        <v>68</v>
      </c>
      <c r="R4723">
        <v>3.93</v>
      </c>
      <c r="S4723">
        <v>3.93</v>
      </c>
      <c r="T4723" t="s">
        <v>15753</v>
      </c>
    </row>
    <row r="4724" spans="1:20" x14ac:dyDescent="0.25">
      <c r="A4724" s="1" t="str">
        <f>HYPERLINK("https://vegkart.atlas.vegvesen.no/#/@145300.1,6514121.6,18/hva:hva%5B0%5D%5Bfilter%5D%5B0%5D%5Boperator%5D=%21%3D&amp;hva%5B0%5D%5Bfilter%5D%5B0%5D%5Btype_id%5D=4820&amp;hva%5B0%5D%5Bfilter%5D%5B0%5D%5Bverdi%5D=&amp;hva%5B0%5D%5Bid%5D=144/når:2019-10-24", "Vegkart")</f>
        <v>Vegkart</v>
      </c>
      <c r="B4724">
        <v>989857104</v>
      </c>
      <c r="C4724">
        <v>144</v>
      </c>
      <c r="D4724" t="s">
        <v>13345</v>
      </c>
      <c r="E4724">
        <v>4820</v>
      </c>
      <c r="F4724" t="s">
        <v>23479</v>
      </c>
      <c r="G4724">
        <v>1</v>
      </c>
      <c r="H4724" t="s">
        <v>15747</v>
      </c>
      <c r="J4724" t="s">
        <v>15636</v>
      </c>
      <c r="K4724" t="s">
        <v>86</v>
      </c>
      <c r="L4724" t="s">
        <v>33</v>
      </c>
      <c r="M4724" t="s">
        <v>638</v>
      </c>
      <c r="N4724" t="s">
        <v>15754</v>
      </c>
      <c r="O4724" t="s">
        <v>15755</v>
      </c>
      <c r="P4724" s="2" t="s">
        <v>67</v>
      </c>
      <c r="Q4724" t="s">
        <v>68</v>
      </c>
      <c r="R4724">
        <v>4.4400000000000004</v>
      </c>
      <c r="S4724">
        <v>4.4400000000000004</v>
      </c>
      <c r="T4724" t="s">
        <v>15756</v>
      </c>
    </row>
    <row r="4725" spans="1:20" x14ac:dyDescent="0.25">
      <c r="A4725" s="1" t="str">
        <f>HYPERLINK("https://vegkart.atlas.vegvesen.no/#/@146288.0,6513492.2,18/hva:hva%5B0%5D%5Bfilter%5D%5B0%5D%5Boperator%5D=%21%3D&amp;hva%5B0%5D%5Bfilter%5D%5B0%5D%5Btype_id%5D=4820&amp;hva%5B0%5D%5Bfilter%5D%5B0%5D%5Bverdi%5D=&amp;hva%5B0%5D%5Bid%5D=144/når:2019-10-24", "Vegkart")</f>
        <v>Vegkart</v>
      </c>
      <c r="B4725">
        <v>989857105</v>
      </c>
      <c r="C4725">
        <v>144</v>
      </c>
      <c r="D4725" t="s">
        <v>13345</v>
      </c>
      <c r="E4725">
        <v>4820</v>
      </c>
      <c r="F4725" t="s">
        <v>23479</v>
      </c>
      <c r="G4725">
        <v>1</v>
      </c>
      <c r="H4725" t="s">
        <v>15747</v>
      </c>
      <c r="J4725" t="s">
        <v>15636</v>
      </c>
      <c r="K4725" t="s">
        <v>86</v>
      </c>
      <c r="L4725" t="s">
        <v>33</v>
      </c>
      <c r="M4725" t="s">
        <v>638</v>
      </c>
      <c r="N4725" t="s">
        <v>15757</v>
      </c>
      <c r="O4725" t="s">
        <v>15758</v>
      </c>
      <c r="P4725" s="2" t="s">
        <v>67</v>
      </c>
      <c r="Q4725" t="s">
        <v>68</v>
      </c>
      <c r="R4725">
        <v>405.15</v>
      </c>
      <c r="S4725">
        <v>406.36</v>
      </c>
      <c r="T4725" t="s">
        <v>15759</v>
      </c>
    </row>
    <row r="4726" spans="1:20" x14ac:dyDescent="0.25">
      <c r="A4726" s="1" t="str">
        <f>HYPERLINK("https://vegkart.atlas.vegvesen.no/#/@145476.3,6514145.1,18/hva:hva%5B0%5D%5Bfilter%5D%5B0%5D%5Boperator%5D=%21%3D&amp;hva%5B0%5D%5Bfilter%5D%5B0%5D%5Btype_id%5D=4820&amp;hva%5B0%5D%5Bfilter%5D%5B0%5D%5Bverdi%5D=&amp;hva%5B0%5D%5Bid%5D=144/når:2019-10-24", "Vegkart")</f>
        <v>Vegkart</v>
      </c>
      <c r="B4726">
        <v>989857106</v>
      </c>
      <c r="C4726">
        <v>144</v>
      </c>
      <c r="D4726" t="s">
        <v>13345</v>
      </c>
      <c r="E4726">
        <v>4820</v>
      </c>
      <c r="F4726" t="s">
        <v>23479</v>
      </c>
      <c r="G4726">
        <v>1</v>
      </c>
      <c r="H4726" t="s">
        <v>15747</v>
      </c>
      <c r="J4726" t="s">
        <v>15636</v>
      </c>
      <c r="K4726" t="s">
        <v>86</v>
      </c>
      <c r="L4726" t="s">
        <v>33</v>
      </c>
      <c r="M4726" t="s">
        <v>638</v>
      </c>
      <c r="N4726" t="s">
        <v>15760</v>
      </c>
      <c r="O4726" t="s">
        <v>15761</v>
      </c>
      <c r="P4726" s="2" t="s">
        <v>67</v>
      </c>
      <c r="Q4726" t="s">
        <v>68</v>
      </c>
      <c r="R4726">
        <v>182.4</v>
      </c>
      <c r="S4726">
        <v>186.61</v>
      </c>
      <c r="T4726" t="s">
        <v>15762</v>
      </c>
    </row>
    <row r="4727" spans="1:20" x14ac:dyDescent="0.25">
      <c r="A4727" s="1" t="str">
        <f>HYPERLINK("https://vegkart.atlas.vegvesen.no/#/@146658.7,6514320.2,18/hva:hva%5B0%5D%5Bfilter%5D%5B0%5D%5Boperator%5D=%21%3D&amp;hva%5B0%5D%5Bfilter%5D%5B0%5D%5Btype_id%5D=4820&amp;hva%5B0%5D%5Bfilter%5D%5B0%5D%5Bverdi%5D=&amp;hva%5B0%5D%5Bid%5D=144/når:2019-10-24", "Vegkart")</f>
        <v>Vegkart</v>
      </c>
      <c r="B4727">
        <v>989857107</v>
      </c>
      <c r="C4727">
        <v>144</v>
      </c>
      <c r="D4727" t="s">
        <v>13345</v>
      </c>
      <c r="E4727">
        <v>4820</v>
      </c>
      <c r="F4727" t="s">
        <v>23479</v>
      </c>
      <c r="G4727">
        <v>1</v>
      </c>
      <c r="H4727" t="s">
        <v>15747</v>
      </c>
      <c r="J4727" t="s">
        <v>15636</v>
      </c>
      <c r="K4727" t="s">
        <v>86</v>
      </c>
      <c r="L4727" t="s">
        <v>33</v>
      </c>
      <c r="M4727" t="s">
        <v>638</v>
      </c>
      <c r="N4727" t="s">
        <v>15763</v>
      </c>
      <c r="O4727" t="s">
        <v>15764</v>
      </c>
      <c r="P4727" s="2" t="s">
        <v>67</v>
      </c>
      <c r="Q4727" t="s">
        <v>68</v>
      </c>
      <c r="R4727">
        <v>688.8</v>
      </c>
      <c r="S4727">
        <v>695.02</v>
      </c>
      <c r="T4727" t="s">
        <v>15765</v>
      </c>
    </row>
    <row r="4728" spans="1:20" x14ac:dyDescent="0.25">
      <c r="A4728" s="1" t="str">
        <f>HYPERLINK("https://vegkart.atlas.vegvesen.no/#/@146374.8,6513840.1,18/hva:hva%5B0%5D%5Bfilter%5D%5B0%5D%5Boperator%5D=%21%3D&amp;hva%5B0%5D%5Bfilter%5D%5B0%5D%5Btype_id%5D=4820&amp;hva%5B0%5D%5Bfilter%5D%5B0%5D%5Bverdi%5D=&amp;hva%5B0%5D%5Bid%5D=144/når:2019-10-24", "Vegkart")</f>
        <v>Vegkart</v>
      </c>
      <c r="B4728">
        <v>989857112</v>
      </c>
      <c r="C4728">
        <v>144</v>
      </c>
      <c r="D4728" t="s">
        <v>13345</v>
      </c>
      <c r="E4728">
        <v>4820</v>
      </c>
      <c r="F4728" t="s">
        <v>23479</v>
      </c>
      <c r="G4728">
        <v>1</v>
      </c>
      <c r="H4728" t="s">
        <v>15747</v>
      </c>
      <c r="J4728" t="s">
        <v>15636</v>
      </c>
      <c r="K4728" t="s">
        <v>86</v>
      </c>
      <c r="L4728" t="s">
        <v>33</v>
      </c>
      <c r="M4728" t="s">
        <v>638</v>
      </c>
      <c r="N4728" t="s">
        <v>15766</v>
      </c>
      <c r="O4728" t="s">
        <v>15767</v>
      </c>
      <c r="P4728" s="2" t="s">
        <v>67</v>
      </c>
      <c r="Q4728" t="s">
        <v>68</v>
      </c>
      <c r="R4728">
        <v>2.4300000000000002</v>
      </c>
      <c r="S4728">
        <v>2.4300000000000002</v>
      </c>
      <c r="T4728" t="s">
        <v>15768</v>
      </c>
    </row>
    <row r="4729" spans="1:20" x14ac:dyDescent="0.25">
      <c r="A4729" s="1" t="str">
        <f>HYPERLINK("https://vegkart.atlas.vegvesen.no/#/@145713.8,6513698.6,18/hva:hva%5B0%5D%5Bfilter%5D%5B0%5D%5Boperator%5D=%21%3D&amp;hva%5B0%5D%5Bfilter%5D%5B0%5D%5Btype_id%5D=4820&amp;hva%5B0%5D%5Bfilter%5D%5B0%5D%5Bverdi%5D=&amp;hva%5B0%5D%5Bid%5D=144/når:2019-10-24", "Vegkart")</f>
        <v>Vegkart</v>
      </c>
      <c r="B4729">
        <v>989857113</v>
      </c>
      <c r="C4729">
        <v>144</v>
      </c>
      <c r="D4729" t="s">
        <v>13345</v>
      </c>
      <c r="E4729">
        <v>4820</v>
      </c>
      <c r="F4729" t="s">
        <v>23479</v>
      </c>
      <c r="G4729">
        <v>1</v>
      </c>
      <c r="H4729" t="s">
        <v>15747</v>
      </c>
      <c r="J4729" t="s">
        <v>15636</v>
      </c>
      <c r="K4729" t="s">
        <v>86</v>
      </c>
      <c r="L4729" t="s">
        <v>33</v>
      </c>
      <c r="M4729" t="s">
        <v>638</v>
      </c>
      <c r="N4729" t="s">
        <v>15769</v>
      </c>
      <c r="O4729" t="s">
        <v>15770</v>
      </c>
      <c r="P4729" s="2" t="s">
        <v>67</v>
      </c>
      <c r="Q4729" t="s">
        <v>68</v>
      </c>
      <c r="R4729">
        <v>444.54</v>
      </c>
      <c r="S4729">
        <v>452.87</v>
      </c>
      <c r="T4729" t="s">
        <v>15771</v>
      </c>
    </row>
    <row r="4730" spans="1:20" x14ac:dyDescent="0.25">
      <c r="A4730" s="1" t="str">
        <f>HYPERLINK("https://vegkart.atlas.vegvesen.no/#/@146380.0,6513856.2,18/hva:hva%5B0%5D%5Bfilter%5D%5B0%5D%5Boperator%5D=%21%3D&amp;hva%5B0%5D%5Bfilter%5D%5B0%5D%5Btype_id%5D=4820&amp;hva%5B0%5D%5Bfilter%5D%5B0%5D%5Bverdi%5D=&amp;hva%5B0%5D%5Bid%5D=144/når:2019-10-24", "Vegkart")</f>
        <v>Vegkart</v>
      </c>
      <c r="B4730">
        <v>989857114</v>
      </c>
      <c r="C4730">
        <v>144</v>
      </c>
      <c r="D4730" t="s">
        <v>13345</v>
      </c>
      <c r="E4730">
        <v>4820</v>
      </c>
      <c r="F4730" t="s">
        <v>23479</v>
      </c>
      <c r="G4730">
        <v>1</v>
      </c>
      <c r="H4730" t="s">
        <v>15747</v>
      </c>
      <c r="J4730" t="s">
        <v>15636</v>
      </c>
      <c r="K4730" t="s">
        <v>86</v>
      </c>
      <c r="L4730" t="s">
        <v>22</v>
      </c>
      <c r="M4730" t="s">
        <v>15772</v>
      </c>
      <c r="N4730" t="s">
        <v>15773</v>
      </c>
      <c r="O4730" t="s">
        <v>15774</v>
      </c>
      <c r="P4730" s="2" t="s">
        <v>67</v>
      </c>
      <c r="Q4730" t="s">
        <v>68</v>
      </c>
      <c r="R4730">
        <v>7.64</v>
      </c>
      <c r="S4730">
        <v>7.64</v>
      </c>
      <c r="T4730" t="s">
        <v>15775</v>
      </c>
    </row>
    <row r="4731" spans="1:20" x14ac:dyDescent="0.25">
      <c r="A4731" s="1" t="str">
        <f>HYPERLINK("https://vegkart.atlas.vegvesen.no/#/@145700.4,6513584.3,18/hva:hva%5B0%5D%5Bfilter%5D%5B0%5D%5Boperator%5D=%21%3D&amp;hva%5B0%5D%5Bfilter%5D%5B0%5D%5Btype_id%5D=4820&amp;hva%5B0%5D%5Bfilter%5D%5B0%5D%5Bverdi%5D=&amp;hva%5B0%5D%5Bid%5D=144/når:2019-10-24", "Vegkart")</f>
        <v>Vegkart</v>
      </c>
      <c r="B4731">
        <v>989857115</v>
      </c>
      <c r="C4731">
        <v>144</v>
      </c>
      <c r="D4731" t="s">
        <v>13345</v>
      </c>
      <c r="E4731">
        <v>4820</v>
      </c>
      <c r="F4731" t="s">
        <v>23479</v>
      </c>
      <c r="G4731">
        <v>1</v>
      </c>
      <c r="H4731" t="s">
        <v>15747</v>
      </c>
      <c r="J4731" t="s">
        <v>15636</v>
      </c>
      <c r="K4731" t="s">
        <v>86</v>
      </c>
      <c r="L4731" t="s">
        <v>33</v>
      </c>
      <c r="M4731" t="s">
        <v>638</v>
      </c>
      <c r="N4731" t="s">
        <v>15776</v>
      </c>
      <c r="O4731" t="s">
        <v>15777</v>
      </c>
      <c r="P4731" s="2" t="s">
        <v>67</v>
      </c>
      <c r="Q4731" t="s">
        <v>68</v>
      </c>
      <c r="R4731">
        <v>4.41</v>
      </c>
      <c r="S4731">
        <v>4.41</v>
      </c>
      <c r="T4731" t="s">
        <v>15778</v>
      </c>
    </row>
    <row r="4732" spans="1:20" x14ac:dyDescent="0.25">
      <c r="A4732" s="1" t="str">
        <f>HYPERLINK("https://vegkart.atlas.vegvesen.no/#/@145486.2,6514142.0,18/hva:hva%5B0%5D%5Bfilter%5D%5B0%5D%5Boperator%5D=%21%3D&amp;hva%5B0%5D%5Bfilter%5D%5B0%5D%5Btype_id%5D=4820&amp;hva%5B0%5D%5Bfilter%5D%5B0%5D%5Bverdi%5D=&amp;hva%5B0%5D%5Bid%5D=144/når:2019-10-24", "Vegkart")</f>
        <v>Vegkart</v>
      </c>
      <c r="B4732">
        <v>989857116</v>
      </c>
      <c r="C4732">
        <v>144</v>
      </c>
      <c r="D4732" t="s">
        <v>13345</v>
      </c>
      <c r="E4732">
        <v>4820</v>
      </c>
      <c r="F4732" t="s">
        <v>23479</v>
      </c>
      <c r="G4732">
        <v>1</v>
      </c>
      <c r="H4732" t="s">
        <v>15747</v>
      </c>
      <c r="J4732" t="s">
        <v>15636</v>
      </c>
      <c r="K4732" t="s">
        <v>86</v>
      </c>
      <c r="L4732" t="s">
        <v>33</v>
      </c>
      <c r="M4732" t="s">
        <v>638</v>
      </c>
      <c r="N4732" t="s">
        <v>15779</v>
      </c>
      <c r="O4732" t="s">
        <v>15780</v>
      </c>
      <c r="P4732" s="2" t="s">
        <v>67</v>
      </c>
      <c r="Q4732" t="s">
        <v>68</v>
      </c>
      <c r="R4732">
        <v>201.62</v>
      </c>
      <c r="S4732">
        <v>207.81</v>
      </c>
      <c r="T4732" t="s">
        <v>15781</v>
      </c>
    </row>
    <row r="4733" spans="1:20" x14ac:dyDescent="0.25">
      <c r="A4733" s="1" t="str">
        <f>HYPERLINK("https://vegkart.atlas.vegvesen.no/#/@145760.4,6513670.8,18/hva:hva%5B0%5D%5Bfilter%5D%5B0%5D%5Boperator%5D=%21%3D&amp;hva%5B0%5D%5Bfilter%5D%5B0%5D%5Btype_id%5D=4820&amp;hva%5B0%5D%5Bfilter%5D%5B0%5D%5Bverdi%5D=&amp;hva%5B0%5D%5Bid%5D=144/når:2019-10-24", "Vegkart")</f>
        <v>Vegkart</v>
      </c>
      <c r="B4733">
        <v>989857117</v>
      </c>
      <c r="C4733">
        <v>144</v>
      </c>
      <c r="D4733" t="s">
        <v>13345</v>
      </c>
      <c r="E4733">
        <v>4820</v>
      </c>
      <c r="F4733" t="s">
        <v>23479</v>
      </c>
      <c r="G4733">
        <v>1</v>
      </c>
      <c r="H4733" t="s">
        <v>15747</v>
      </c>
      <c r="J4733" t="s">
        <v>15636</v>
      </c>
      <c r="K4733" t="s">
        <v>86</v>
      </c>
      <c r="L4733" t="s">
        <v>33</v>
      </c>
      <c r="M4733" t="s">
        <v>638</v>
      </c>
      <c r="N4733" t="s">
        <v>15782</v>
      </c>
      <c r="O4733" t="s">
        <v>15783</v>
      </c>
      <c r="P4733" s="2" t="s">
        <v>67</v>
      </c>
      <c r="Q4733" t="s">
        <v>68</v>
      </c>
      <c r="R4733">
        <v>6.35</v>
      </c>
      <c r="S4733">
        <v>6.35</v>
      </c>
      <c r="T4733" t="s">
        <v>15784</v>
      </c>
    </row>
    <row r="4734" spans="1:20" x14ac:dyDescent="0.25">
      <c r="A4734" s="1" t="str">
        <f>HYPERLINK("https://vegkart.atlas.vegvesen.no/#/@146374.1,6513835.4,18/hva:hva%5B0%5D%5Bfilter%5D%5B0%5D%5Boperator%5D=%21%3D&amp;hva%5B0%5D%5Bfilter%5D%5B0%5D%5Btype_id%5D=4820&amp;hva%5B0%5D%5Bfilter%5D%5B0%5D%5Bverdi%5D=&amp;hva%5B0%5D%5Bid%5D=144/når:2019-10-24", "Vegkart")</f>
        <v>Vegkart</v>
      </c>
      <c r="B4734">
        <v>989857118</v>
      </c>
      <c r="C4734">
        <v>144</v>
      </c>
      <c r="D4734" t="s">
        <v>13345</v>
      </c>
      <c r="E4734">
        <v>4820</v>
      </c>
      <c r="F4734" t="s">
        <v>23479</v>
      </c>
      <c r="G4734">
        <v>1</v>
      </c>
      <c r="H4734" t="s">
        <v>15747</v>
      </c>
      <c r="J4734" t="s">
        <v>15636</v>
      </c>
      <c r="K4734" t="s">
        <v>86</v>
      </c>
      <c r="L4734" t="s">
        <v>33</v>
      </c>
      <c r="M4734" t="s">
        <v>638</v>
      </c>
      <c r="N4734" t="s">
        <v>15785</v>
      </c>
      <c r="O4734" t="s">
        <v>15786</v>
      </c>
      <c r="P4734" s="2" t="s">
        <v>67</v>
      </c>
      <c r="Q4734" t="s">
        <v>68</v>
      </c>
      <c r="R4734">
        <v>3.39</v>
      </c>
      <c r="S4734">
        <v>3.39</v>
      </c>
      <c r="T4734" t="s">
        <v>15787</v>
      </c>
    </row>
    <row r="4735" spans="1:20" x14ac:dyDescent="0.25">
      <c r="A4735" s="1" t="str">
        <f>HYPERLINK("https://vegkart.atlas.vegvesen.no/#/@146370.2,6513784.0,18/hva:hva%5B0%5D%5Bfilter%5D%5B0%5D%5Boperator%5D=%21%3D&amp;hva%5B0%5D%5Bfilter%5D%5B0%5D%5Btype_id%5D=4820&amp;hva%5B0%5D%5Bfilter%5D%5B0%5D%5Bverdi%5D=&amp;hva%5B0%5D%5Bid%5D=144/når:2019-10-24", "Vegkart")</f>
        <v>Vegkart</v>
      </c>
      <c r="B4735">
        <v>989857119</v>
      </c>
      <c r="C4735">
        <v>144</v>
      </c>
      <c r="D4735" t="s">
        <v>13345</v>
      </c>
      <c r="E4735">
        <v>4820</v>
      </c>
      <c r="F4735" t="s">
        <v>23479</v>
      </c>
      <c r="G4735">
        <v>1</v>
      </c>
      <c r="H4735" t="s">
        <v>15747</v>
      </c>
      <c r="J4735" t="s">
        <v>15636</v>
      </c>
      <c r="K4735" t="s">
        <v>86</v>
      </c>
      <c r="L4735" t="s">
        <v>33</v>
      </c>
      <c r="M4735" t="s">
        <v>638</v>
      </c>
      <c r="N4735" t="s">
        <v>15788</v>
      </c>
      <c r="O4735" t="s">
        <v>15789</v>
      </c>
      <c r="P4735" s="2" t="s">
        <v>67</v>
      </c>
      <c r="Q4735" t="s">
        <v>68</v>
      </c>
      <c r="R4735">
        <v>75.33</v>
      </c>
      <c r="S4735">
        <v>76.55</v>
      </c>
      <c r="T4735" t="s">
        <v>15790</v>
      </c>
    </row>
    <row r="4736" spans="1:20" x14ac:dyDescent="0.25">
      <c r="A4736" s="1" t="str">
        <f>HYPERLINK("https://vegkart.atlas.vegvesen.no/#/@146376.8,6513847.0,18/hva:hva%5B0%5D%5Bfilter%5D%5B0%5D%5Boperator%5D=%21%3D&amp;hva%5B0%5D%5Bfilter%5D%5B0%5D%5Btype_id%5D=4820&amp;hva%5B0%5D%5Bfilter%5D%5B0%5D%5Bverdi%5D=&amp;hva%5B0%5D%5Bid%5D=144/når:2019-10-24", "Vegkart")</f>
        <v>Vegkart</v>
      </c>
      <c r="B4736">
        <v>989857121</v>
      </c>
      <c r="C4736">
        <v>144</v>
      </c>
      <c r="D4736" t="s">
        <v>13345</v>
      </c>
      <c r="E4736">
        <v>4820</v>
      </c>
      <c r="F4736" t="s">
        <v>23479</v>
      </c>
      <c r="G4736">
        <v>1</v>
      </c>
      <c r="H4736" t="s">
        <v>15747</v>
      </c>
      <c r="J4736" t="s">
        <v>15636</v>
      </c>
      <c r="K4736" t="s">
        <v>86</v>
      </c>
      <c r="L4736" t="s">
        <v>33</v>
      </c>
      <c r="M4736" t="s">
        <v>638</v>
      </c>
      <c r="N4736" t="s">
        <v>15791</v>
      </c>
      <c r="O4736" t="s">
        <v>15792</v>
      </c>
      <c r="P4736" s="2" t="s">
        <v>67</v>
      </c>
      <c r="Q4736" t="s">
        <v>68</v>
      </c>
      <c r="R4736">
        <v>2.84</v>
      </c>
      <c r="S4736">
        <v>2.84</v>
      </c>
      <c r="T4736" t="s">
        <v>15793</v>
      </c>
    </row>
    <row r="4737" spans="1:20" x14ac:dyDescent="0.25">
      <c r="A4737" s="1" t="str">
        <f>HYPERLINK("https://vegkart.atlas.vegvesen.no/#/@146350.0,6513674.9,18/hva:hva%5B0%5D%5Bfilter%5D%5B0%5D%5Boperator%5D=%21%3D&amp;hva%5B0%5D%5Bfilter%5D%5B0%5D%5Btype_id%5D=4820&amp;hva%5B0%5D%5Bfilter%5D%5B0%5D%5Bverdi%5D=&amp;hva%5B0%5D%5Bid%5D=144/når:2019-10-24", "Vegkart")</f>
        <v>Vegkart</v>
      </c>
      <c r="B4737">
        <v>989857122</v>
      </c>
      <c r="C4737">
        <v>144</v>
      </c>
      <c r="D4737" t="s">
        <v>13345</v>
      </c>
      <c r="E4737">
        <v>4820</v>
      </c>
      <c r="F4737" t="s">
        <v>23479</v>
      </c>
      <c r="G4737">
        <v>1</v>
      </c>
      <c r="H4737" t="s">
        <v>15747</v>
      </c>
      <c r="J4737" t="s">
        <v>15636</v>
      </c>
      <c r="K4737" t="s">
        <v>86</v>
      </c>
      <c r="L4737" t="s">
        <v>33</v>
      </c>
      <c r="M4737" t="s">
        <v>638</v>
      </c>
      <c r="N4737" t="s">
        <v>15794</v>
      </c>
      <c r="O4737" t="s">
        <v>15795</v>
      </c>
      <c r="P4737" s="2" t="s">
        <v>67</v>
      </c>
      <c r="Q4737" t="s">
        <v>68</v>
      </c>
      <c r="R4737">
        <v>4.7699999999999996</v>
      </c>
      <c r="S4737">
        <v>4.7699999999999996</v>
      </c>
      <c r="T4737" t="s">
        <v>15796</v>
      </c>
    </row>
    <row r="4738" spans="1:20" x14ac:dyDescent="0.25">
      <c r="A4738" s="1" t="str">
        <f>HYPERLINK("https://vegkart.atlas.vegvesen.no/#/@146383.7,6513857.7,18/hva:hva%5B0%5D%5Bfilter%5D%5B0%5D%5Boperator%5D=%21%3D&amp;hva%5B0%5D%5Bfilter%5D%5B0%5D%5Btype_id%5D=4820&amp;hva%5B0%5D%5Bfilter%5D%5B0%5D%5Bverdi%5D=&amp;hva%5B0%5D%5Bid%5D=144/når:2019-10-24", "Vegkart")</f>
        <v>Vegkart</v>
      </c>
      <c r="B4738">
        <v>989857123</v>
      </c>
      <c r="C4738">
        <v>144</v>
      </c>
      <c r="D4738" t="s">
        <v>13345</v>
      </c>
      <c r="E4738">
        <v>4820</v>
      </c>
      <c r="F4738" t="s">
        <v>23479</v>
      </c>
      <c r="G4738">
        <v>1</v>
      </c>
      <c r="H4738" t="s">
        <v>15747</v>
      </c>
      <c r="J4738" t="s">
        <v>15636</v>
      </c>
      <c r="K4738" t="s">
        <v>86</v>
      </c>
      <c r="L4738" t="s">
        <v>33</v>
      </c>
      <c r="M4738" t="s">
        <v>638</v>
      </c>
      <c r="N4738" t="s">
        <v>15797</v>
      </c>
      <c r="O4738" t="s">
        <v>15798</v>
      </c>
      <c r="P4738" s="2" t="s">
        <v>67</v>
      </c>
      <c r="Q4738" t="s">
        <v>68</v>
      </c>
      <c r="R4738">
        <v>4.8499999999999996</v>
      </c>
      <c r="S4738">
        <v>4.8499999999999996</v>
      </c>
      <c r="T4738" t="s">
        <v>15799</v>
      </c>
    </row>
    <row r="4739" spans="1:20" x14ac:dyDescent="0.25">
      <c r="A4739" s="1" t="str">
        <f>HYPERLINK("https://vegkart.atlas.vegvesen.no/#/@146356.3,6513704.2,18/hva:hva%5B0%5D%5Bfilter%5D%5B0%5D%5Boperator%5D=%21%3D&amp;hva%5B0%5D%5Bfilter%5D%5B0%5D%5Btype_id%5D=4820&amp;hva%5B0%5D%5Bfilter%5D%5B0%5D%5Bverdi%5D=&amp;hva%5B0%5D%5Bid%5D=144/når:2019-10-24", "Vegkart")</f>
        <v>Vegkart</v>
      </c>
      <c r="B4739">
        <v>989857125</v>
      </c>
      <c r="C4739">
        <v>144</v>
      </c>
      <c r="D4739" t="s">
        <v>13345</v>
      </c>
      <c r="E4739">
        <v>4820</v>
      </c>
      <c r="F4739" t="s">
        <v>23479</v>
      </c>
      <c r="G4739">
        <v>1</v>
      </c>
      <c r="H4739" t="s">
        <v>15747</v>
      </c>
      <c r="J4739" t="s">
        <v>15636</v>
      </c>
      <c r="K4739" t="s">
        <v>86</v>
      </c>
      <c r="L4739" t="s">
        <v>33</v>
      </c>
      <c r="M4739" t="s">
        <v>638</v>
      </c>
      <c r="N4739" t="s">
        <v>15800</v>
      </c>
      <c r="O4739" t="s">
        <v>15801</v>
      </c>
      <c r="P4739" s="2" t="s">
        <v>67</v>
      </c>
      <c r="Q4739" t="s">
        <v>68</v>
      </c>
      <c r="R4739">
        <v>3.83</v>
      </c>
      <c r="S4739">
        <v>3.83</v>
      </c>
      <c r="T4739" t="s">
        <v>15802</v>
      </c>
    </row>
    <row r="4740" spans="1:20" x14ac:dyDescent="0.25">
      <c r="A4740" s="1" t="str">
        <f>HYPERLINK("https://vegkart.atlas.vegvesen.no/#/@146373.4,6513829.2,18/hva:hva%5B0%5D%5Bfilter%5D%5B0%5D%5Boperator%5D=%21%3D&amp;hva%5B0%5D%5Bfilter%5D%5B0%5D%5Btype_id%5D=4820&amp;hva%5B0%5D%5Bfilter%5D%5B0%5D%5Bverdi%5D=&amp;hva%5B0%5D%5Bid%5D=144/når:2019-10-24", "Vegkart")</f>
        <v>Vegkart</v>
      </c>
      <c r="B4740">
        <v>989857126</v>
      </c>
      <c r="C4740">
        <v>144</v>
      </c>
      <c r="D4740" t="s">
        <v>13345</v>
      </c>
      <c r="E4740">
        <v>4820</v>
      </c>
      <c r="F4740" t="s">
        <v>23479</v>
      </c>
      <c r="G4740">
        <v>1</v>
      </c>
      <c r="H4740" t="s">
        <v>15747</v>
      </c>
      <c r="J4740" t="s">
        <v>15636</v>
      </c>
      <c r="K4740" t="s">
        <v>86</v>
      </c>
      <c r="L4740" t="s">
        <v>33</v>
      </c>
      <c r="M4740" t="s">
        <v>638</v>
      </c>
      <c r="N4740" t="s">
        <v>15803</v>
      </c>
      <c r="O4740" t="s">
        <v>15804</v>
      </c>
      <c r="P4740" s="2" t="s">
        <v>67</v>
      </c>
      <c r="Q4740" t="s">
        <v>68</v>
      </c>
      <c r="R4740">
        <v>4.68</v>
      </c>
      <c r="S4740">
        <v>4.68</v>
      </c>
      <c r="T4740" t="s">
        <v>15805</v>
      </c>
    </row>
    <row r="4741" spans="1:20" x14ac:dyDescent="0.25">
      <c r="A4741" s="1" t="str">
        <f>HYPERLINK("https://vegkart.atlas.vegvesen.no/#/@146345.7,6513657.5,18/hva:hva%5B0%5D%5Bfilter%5D%5B0%5D%5Boperator%5D=%21%3D&amp;hva%5B0%5D%5Bfilter%5D%5B0%5D%5Btype_id%5D=4820&amp;hva%5B0%5D%5Bfilter%5D%5B0%5D%5Bverdi%5D=&amp;hva%5B0%5D%5Bid%5D=144/når:2019-10-24", "Vegkart")</f>
        <v>Vegkart</v>
      </c>
      <c r="B4741">
        <v>989857127</v>
      </c>
      <c r="C4741">
        <v>144</v>
      </c>
      <c r="D4741" t="s">
        <v>13345</v>
      </c>
      <c r="E4741">
        <v>4820</v>
      </c>
      <c r="F4741" t="s">
        <v>23479</v>
      </c>
      <c r="G4741">
        <v>1</v>
      </c>
      <c r="H4741" t="s">
        <v>15747</v>
      </c>
      <c r="J4741" t="s">
        <v>15636</v>
      </c>
      <c r="K4741" t="s">
        <v>86</v>
      </c>
      <c r="L4741" t="s">
        <v>33</v>
      </c>
      <c r="M4741" t="s">
        <v>638</v>
      </c>
      <c r="N4741" t="s">
        <v>15806</v>
      </c>
      <c r="O4741" t="s">
        <v>15807</v>
      </c>
      <c r="P4741" s="2" t="s">
        <v>67</v>
      </c>
      <c r="Q4741" t="s">
        <v>68</v>
      </c>
      <c r="R4741">
        <v>3.68</v>
      </c>
      <c r="S4741">
        <v>3.68</v>
      </c>
      <c r="T4741" t="s">
        <v>15808</v>
      </c>
    </row>
    <row r="4742" spans="1:20" x14ac:dyDescent="0.25">
      <c r="A4742" s="1" t="str">
        <f>HYPERLINK("https://vegkart.atlas.vegvesen.no/#/@146376.6,6513823.9,18/hva:hva%5B0%5D%5Bfilter%5D%5B0%5D%5Boperator%5D=%21%3D&amp;hva%5B0%5D%5Bfilter%5D%5B0%5D%5Btype_id%5D=4820&amp;hva%5B0%5D%5Bfilter%5D%5B0%5D%5Bverdi%5D=&amp;hva%5B0%5D%5Bid%5D=144/når:2019-10-24", "Vegkart")</f>
        <v>Vegkart</v>
      </c>
      <c r="B4742">
        <v>989857128</v>
      </c>
      <c r="C4742">
        <v>144</v>
      </c>
      <c r="D4742" t="s">
        <v>13345</v>
      </c>
      <c r="E4742">
        <v>4820</v>
      </c>
      <c r="F4742" t="s">
        <v>23479</v>
      </c>
      <c r="G4742">
        <v>1</v>
      </c>
      <c r="H4742" t="s">
        <v>15747</v>
      </c>
      <c r="J4742" t="s">
        <v>15636</v>
      </c>
      <c r="K4742" t="s">
        <v>86</v>
      </c>
      <c r="L4742" t="s">
        <v>33</v>
      </c>
      <c r="M4742" t="s">
        <v>638</v>
      </c>
      <c r="N4742" t="s">
        <v>15809</v>
      </c>
      <c r="O4742" t="s">
        <v>15810</v>
      </c>
      <c r="P4742" s="2" t="s">
        <v>67</v>
      </c>
      <c r="Q4742" t="s">
        <v>68</v>
      </c>
      <c r="R4742">
        <v>3.86</v>
      </c>
      <c r="S4742">
        <v>3.86</v>
      </c>
      <c r="T4742" t="s">
        <v>15811</v>
      </c>
    </row>
    <row r="4743" spans="1:20" x14ac:dyDescent="0.25">
      <c r="A4743" s="1" t="str">
        <f>HYPERLINK("https://vegkart.atlas.vegvesen.no/#/@146375.5,6513843.6,18/hva:hva%5B0%5D%5Bfilter%5D%5B0%5D%5Boperator%5D=%21%3D&amp;hva%5B0%5D%5Bfilter%5D%5B0%5D%5Btype_id%5D=4820&amp;hva%5B0%5D%5Bfilter%5D%5B0%5D%5Bverdi%5D=&amp;hva%5B0%5D%5Bid%5D=144/når:2019-10-24", "Vegkart")</f>
        <v>Vegkart</v>
      </c>
      <c r="B4743">
        <v>989857129</v>
      </c>
      <c r="C4743">
        <v>144</v>
      </c>
      <c r="D4743" t="s">
        <v>13345</v>
      </c>
      <c r="E4743">
        <v>4820</v>
      </c>
      <c r="F4743" t="s">
        <v>23479</v>
      </c>
      <c r="G4743">
        <v>1</v>
      </c>
      <c r="H4743" t="s">
        <v>15747</v>
      </c>
      <c r="J4743" t="s">
        <v>15636</v>
      </c>
      <c r="K4743" t="s">
        <v>86</v>
      </c>
      <c r="L4743" t="s">
        <v>33</v>
      </c>
      <c r="M4743" t="s">
        <v>638</v>
      </c>
      <c r="N4743" t="s">
        <v>15812</v>
      </c>
      <c r="O4743" t="s">
        <v>15813</v>
      </c>
      <c r="P4743" s="2" t="s">
        <v>67</v>
      </c>
      <c r="Q4743" t="s">
        <v>68</v>
      </c>
      <c r="R4743">
        <v>1.81</v>
      </c>
      <c r="S4743">
        <v>1.81</v>
      </c>
      <c r="T4743" t="s">
        <v>15814</v>
      </c>
    </row>
    <row r="4744" spans="1:20" x14ac:dyDescent="0.25">
      <c r="A4744" s="1" t="str">
        <f>HYPERLINK("https://vegkart.atlas.vegvesen.no/#/@146430.2,6513959.3,18/hva:hva%5B0%5D%5Bfilter%5D%5B0%5D%5Boperator%5D=%21%3D&amp;hva%5B0%5D%5Bfilter%5D%5B0%5D%5Btype_id%5D=4820&amp;hva%5B0%5D%5Bfilter%5D%5B0%5D%5Bverdi%5D=&amp;hva%5B0%5D%5Bid%5D=144/når:2019-10-24", "Vegkart")</f>
        <v>Vegkart</v>
      </c>
      <c r="B4744">
        <v>989857130</v>
      </c>
      <c r="C4744">
        <v>144</v>
      </c>
      <c r="D4744" t="s">
        <v>13345</v>
      </c>
      <c r="E4744">
        <v>4820</v>
      </c>
      <c r="F4744" t="s">
        <v>23479</v>
      </c>
      <c r="G4744">
        <v>1</v>
      </c>
      <c r="H4744" t="s">
        <v>15747</v>
      </c>
      <c r="J4744" t="s">
        <v>15636</v>
      </c>
      <c r="K4744" t="s">
        <v>86</v>
      </c>
      <c r="L4744" t="s">
        <v>33</v>
      </c>
      <c r="M4744" t="s">
        <v>638</v>
      </c>
      <c r="N4744" t="s">
        <v>15815</v>
      </c>
      <c r="O4744" t="s">
        <v>15816</v>
      </c>
      <c r="P4744" s="2" t="s">
        <v>67</v>
      </c>
      <c r="Q4744" t="s">
        <v>68</v>
      </c>
      <c r="R4744">
        <v>2.13</v>
      </c>
      <c r="S4744">
        <v>2.13</v>
      </c>
      <c r="T4744" t="s">
        <v>15817</v>
      </c>
    </row>
    <row r="4745" spans="1:20" x14ac:dyDescent="0.25">
      <c r="A4745" s="1" t="str">
        <f>HYPERLINK("https://vegkart.atlas.vegvesen.no/#/@146639.1,6514279.1,18/hva:hva%5B0%5D%5Bfilter%5D%5B0%5D%5Boperator%5D=%21%3D&amp;hva%5B0%5D%5Bfilter%5D%5B0%5D%5Btype_id%5D=4820&amp;hva%5B0%5D%5Bfilter%5D%5B0%5D%5Bverdi%5D=&amp;hva%5B0%5D%5Bid%5D=144/når:2019-10-24", "Vegkart")</f>
        <v>Vegkart</v>
      </c>
      <c r="B4745">
        <v>989857131</v>
      </c>
      <c r="C4745">
        <v>144</v>
      </c>
      <c r="D4745" t="s">
        <v>13345</v>
      </c>
      <c r="E4745">
        <v>4820</v>
      </c>
      <c r="F4745" t="s">
        <v>23479</v>
      </c>
      <c r="G4745">
        <v>1</v>
      </c>
      <c r="H4745" t="s">
        <v>15747</v>
      </c>
      <c r="J4745" t="s">
        <v>15636</v>
      </c>
      <c r="K4745" t="s">
        <v>86</v>
      </c>
      <c r="L4745" t="s">
        <v>33</v>
      </c>
      <c r="M4745" t="s">
        <v>638</v>
      </c>
      <c r="N4745" t="s">
        <v>15818</v>
      </c>
      <c r="O4745" t="s">
        <v>15819</v>
      </c>
      <c r="P4745" s="2" t="s">
        <v>67</v>
      </c>
      <c r="Q4745" t="s">
        <v>68</v>
      </c>
      <c r="R4745">
        <v>3.93</v>
      </c>
      <c r="S4745">
        <v>3.93</v>
      </c>
      <c r="T4745" t="s">
        <v>15820</v>
      </c>
    </row>
    <row r="4746" spans="1:20" x14ac:dyDescent="0.25">
      <c r="A4746" s="1" t="str">
        <f>HYPERLINK("https://vegkart.atlas.vegvesen.no/#/@146414.9,6513917.9,18/hva:hva%5B0%5D%5Bfilter%5D%5B0%5D%5Boperator%5D=%21%3D&amp;hva%5B0%5D%5Bfilter%5D%5B0%5D%5Btype_id%5D=4820&amp;hva%5B0%5D%5Bfilter%5D%5B0%5D%5Bverdi%5D=&amp;hva%5B0%5D%5Bid%5D=144/når:2019-10-24", "Vegkart")</f>
        <v>Vegkart</v>
      </c>
      <c r="B4746">
        <v>989857132</v>
      </c>
      <c r="C4746">
        <v>144</v>
      </c>
      <c r="D4746" t="s">
        <v>13345</v>
      </c>
      <c r="E4746">
        <v>4820</v>
      </c>
      <c r="F4746" t="s">
        <v>23479</v>
      </c>
      <c r="G4746">
        <v>1</v>
      </c>
      <c r="H4746" t="s">
        <v>15747</v>
      </c>
      <c r="J4746" t="s">
        <v>15636</v>
      </c>
      <c r="K4746" t="s">
        <v>86</v>
      </c>
      <c r="L4746" t="s">
        <v>33</v>
      </c>
      <c r="M4746" t="s">
        <v>638</v>
      </c>
      <c r="N4746" t="s">
        <v>15821</v>
      </c>
      <c r="O4746" t="s">
        <v>15822</v>
      </c>
      <c r="P4746" s="2" t="s">
        <v>67</v>
      </c>
      <c r="Q4746" t="s">
        <v>68</v>
      </c>
      <c r="R4746">
        <v>71.430000000000007</v>
      </c>
      <c r="S4746">
        <v>71.569999999999993</v>
      </c>
      <c r="T4746" t="s">
        <v>15823</v>
      </c>
    </row>
    <row r="4747" spans="1:20" x14ac:dyDescent="0.25">
      <c r="A4747" s="1" t="str">
        <f>HYPERLINK("https://vegkart.atlas.vegvesen.no/#/@146402.7,6513881.6,18/hva:hva%5B0%5D%5Bfilter%5D%5B0%5D%5Boperator%5D=%21%3D&amp;hva%5B0%5D%5Bfilter%5D%5B0%5D%5Btype_id%5D=4820&amp;hva%5B0%5D%5Bfilter%5D%5B0%5D%5Bverdi%5D=&amp;hva%5B0%5D%5Bid%5D=144/når:2019-10-24", "Vegkart")</f>
        <v>Vegkart</v>
      </c>
      <c r="B4747">
        <v>989857133</v>
      </c>
      <c r="C4747">
        <v>144</v>
      </c>
      <c r="D4747" t="s">
        <v>13345</v>
      </c>
      <c r="E4747">
        <v>4820</v>
      </c>
      <c r="F4747" t="s">
        <v>23479</v>
      </c>
      <c r="G4747">
        <v>1</v>
      </c>
      <c r="H4747" t="s">
        <v>15747</v>
      </c>
      <c r="J4747" t="s">
        <v>15636</v>
      </c>
      <c r="K4747" t="s">
        <v>86</v>
      </c>
      <c r="L4747" t="s">
        <v>33</v>
      </c>
      <c r="M4747" t="s">
        <v>638</v>
      </c>
      <c r="N4747" t="s">
        <v>15824</v>
      </c>
      <c r="O4747" t="s">
        <v>15825</v>
      </c>
      <c r="P4747" s="2" t="s">
        <v>67</v>
      </c>
      <c r="Q4747" t="s">
        <v>68</v>
      </c>
      <c r="R4747">
        <v>5.46</v>
      </c>
      <c r="S4747">
        <v>5.46</v>
      </c>
      <c r="T4747" t="s">
        <v>15826</v>
      </c>
    </row>
    <row r="4748" spans="1:20" x14ac:dyDescent="0.25">
      <c r="A4748" s="1" t="str">
        <f>HYPERLINK("https://vegkart.atlas.vegvesen.no/#/@146168.2,6513234.3,18/hva:hva%5B0%5D%5Bfilter%5D%5B0%5D%5Boperator%5D=%21%3D&amp;hva%5B0%5D%5Bfilter%5D%5B0%5D%5Btype_id%5D=4820&amp;hva%5B0%5D%5Bfilter%5D%5B0%5D%5Bverdi%5D=&amp;hva%5B0%5D%5Bid%5D=144/når:2019-10-24", "Vegkart")</f>
        <v>Vegkart</v>
      </c>
      <c r="B4748">
        <v>989857134</v>
      </c>
      <c r="C4748">
        <v>144</v>
      </c>
      <c r="D4748" t="s">
        <v>13345</v>
      </c>
      <c r="E4748">
        <v>4820</v>
      </c>
      <c r="F4748" t="s">
        <v>23479</v>
      </c>
      <c r="G4748">
        <v>1</v>
      </c>
      <c r="H4748" t="s">
        <v>15747</v>
      </c>
      <c r="J4748" t="s">
        <v>15636</v>
      </c>
      <c r="K4748" t="s">
        <v>86</v>
      </c>
      <c r="L4748" t="s">
        <v>33</v>
      </c>
      <c r="M4748" t="s">
        <v>638</v>
      </c>
      <c r="N4748" t="s">
        <v>15827</v>
      </c>
      <c r="O4748" t="s">
        <v>15828</v>
      </c>
      <c r="P4748" s="2" t="s">
        <v>67</v>
      </c>
      <c r="Q4748" t="s">
        <v>68</v>
      </c>
      <c r="R4748">
        <v>98.84</v>
      </c>
      <c r="S4748">
        <v>107.39</v>
      </c>
      <c r="T4748" t="s">
        <v>15829</v>
      </c>
    </row>
    <row r="4749" spans="1:20" x14ac:dyDescent="0.25">
      <c r="A4749" s="1" t="str">
        <f>HYPERLINK("https://vegkart.atlas.vegvesen.no/#/@138329.0,6501319.0,18/hva:hva%5B0%5D%5Bfilter%5D%5B0%5D%5Boperator%5D=%21%3D&amp;hva%5B0%5D%5Bfilter%5D%5B0%5D%5Btype_id%5D=4820&amp;hva%5B0%5D%5Bfilter%5D%5B0%5D%5Bverdi%5D=&amp;hva%5B0%5D%5Bid%5D=144/når:2019-10-24", "Vegkart")</f>
        <v>Vegkart</v>
      </c>
      <c r="B4749">
        <v>989857665</v>
      </c>
      <c r="C4749">
        <v>144</v>
      </c>
      <c r="D4749" t="s">
        <v>13345</v>
      </c>
      <c r="E4749">
        <v>4820</v>
      </c>
      <c r="F4749" t="s">
        <v>23479</v>
      </c>
      <c r="G4749">
        <v>1</v>
      </c>
      <c r="H4749" t="s">
        <v>15747</v>
      </c>
      <c r="J4749" t="s">
        <v>15636</v>
      </c>
      <c r="K4749" t="s">
        <v>86</v>
      </c>
      <c r="L4749" t="s">
        <v>33</v>
      </c>
      <c r="M4749" t="s">
        <v>15830</v>
      </c>
      <c r="N4749" t="s">
        <v>15831</v>
      </c>
      <c r="O4749" t="s">
        <v>15832</v>
      </c>
      <c r="P4749" s="2" t="s">
        <v>67</v>
      </c>
      <c r="Q4749" t="s">
        <v>68</v>
      </c>
      <c r="R4749">
        <v>3.25</v>
      </c>
      <c r="S4749">
        <v>3.25</v>
      </c>
      <c r="T4749" t="s">
        <v>15833</v>
      </c>
    </row>
    <row r="4750" spans="1:20" x14ac:dyDescent="0.25">
      <c r="A4750" s="1" t="str">
        <f>HYPERLINK("https://vegkart.atlas.vegvesen.no/#/@139548.6,6498730.6,18/hva:hva%5B0%5D%5Bfilter%5D%5B0%5D%5Boperator%5D=%21%3D&amp;hva%5B0%5D%5Bfilter%5D%5B0%5D%5Btype_id%5D=4820&amp;hva%5B0%5D%5Bfilter%5D%5B0%5D%5Bverdi%5D=&amp;hva%5B0%5D%5Bid%5D=144/når:2019-10-24", "Vegkart")</f>
        <v>Vegkart</v>
      </c>
      <c r="B4750">
        <v>989857666</v>
      </c>
      <c r="C4750">
        <v>144</v>
      </c>
      <c r="D4750" t="s">
        <v>13345</v>
      </c>
      <c r="E4750">
        <v>4820</v>
      </c>
      <c r="F4750" t="s">
        <v>23479</v>
      </c>
      <c r="G4750">
        <v>1</v>
      </c>
      <c r="H4750" t="s">
        <v>15747</v>
      </c>
      <c r="J4750" t="s">
        <v>15636</v>
      </c>
      <c r="K4750" t="s">
        <v>86</v>
      </c>
      <c r="L4750" t="s">
        <v>33</v>
      </c>
      <c r="M4750" t="s">
        <v>15830</v>
      </c>
      <c r="N4750" t="s">
        <v>15834</v>
      </c>
      <c r="O4750" t="s">
        <v>15835</v>
      </c>
      <c r="P4750" s="2" t="s">
        <v>67</v>
      </c>
      <c r="Q4750" t="s">
        <v>68</v>
      </c>
      <c r="R4750">
        <v>3.44</v>
      </c>
      <c r="S4750">
        <v>3.44</v>
      </c>
      <c r="T4750" t="s">
        <v>15836</v>
      </c>
    </row>
    <row r="4751" spans="1:20" x14ac:dyDescent="0.25">
      <c r="A4751" s="1" t="str">
        <f>HYPERLINK("https://vegkart.atlas.vegvesen.no/#/@137952.3,6501789.2,18/hva:hva%5B0%5D%5Bfilter%5D%5B0%5D%5Boperator%5D=%21%3D&amp;hva%5B0%5D%5Bfilter%5D%5B0%5D%5Btype_id%5D=4820&amp;hva%5B0%5D%5Bfilter%5D%5B0%5D%5Bverdi%5D=&amp;hva%5B0%5D%5Bid%5D=144/når:2019-10-24", "Vegkart")</f>
        <v>Vegkart</v>
      </c>
      <c r="B4751">
        <v>989857667</v>
      </c>
      <c r="C4751">
        <v>144</v>
      </c>
      <c r="D4751" t="s">
        <v>13345</v>
      </c>
      <c r="E4751">
        <v>4820</v>
      </c>
      <c r="F4751" t="s">
        <v>23479</v>
      </c>
      <c r="G4751">
        <v>1</v>
      </c>
      <c r="H4751" t="s">
        <v>15747</v>
      </c>
      <c r="J4751" t="s">
        <v>15636</v>
      </c>
      <c r="K4751" t="s">
        <v>86</v>
      </c>
      <c r="L4751" t="s">
        <v>33</v>
      </c>
      <c r="M4751" t="s">
        <v>15830</v>
      </c>
      <c r="N4751" t="s">
        <v>15837</v>
      </c>
      <c r="O4751" t="s">
        <v>15838</v>
      </c>
      <c r="P4751" s="2" t="s">
        <v>67</v>
      </c>
      <c r="Q4751" t="s">
        <v>68</v>
      </c>
      <c r="R4751">
        <v>4.4400000000000004</v>
      </c>
      <c r="S4751">
        <v>4.4400000000000004</v>
      </c>
      <c r="T4751" t="s">
        <v>15839</v>
      </c>
    </row>
    <row r="4752" spans="1:20" x14ac:dyDescent="0.25">
      <c r="A4752" s="1" t="str">
        <f>HYPERLINK("https://vegkart.atlas.vegvesen.no/#/@138221.7,6501384.6,18/hva:hva%5B0%5D%5Bfilter%5D%5B0%5D%5Boperator%5D=%21%3D&amp;hva%5B0%5D%5Bfilter%5D%5B0%5D%5Btype_id%5D=4820&amp;hva%5B0%5D%5Bfilter%5D%5B0%5D%5Bverdi%5D=&amp;hva%5B0%5D%5Bid%5D=144/når:2019-10-24", "Vegkart")</f>
        <v>Vegkart</v>
      </c>
      <c r="B4752">
        <v>989857668</v>
      </c>
      <c r="C4752">
        <v>144</v>
      </c>
      <c r="D4752" t="s">
        <v>13345</v>
      </c>
      <c r="E4752">
        <v>4820</v>
      </c>
      <c r="F4752" t="s">
        <v>23479</v>
      </c>
      <c r="G4752">
        <v>1</v>
      </c>
      <c r="H4752" t="s">
        <v>15747</v>
      </c>
      <c r="J4752" t="s">
        <v>15636</v>
      </c>
      <c r="K4752" t="s">
        <v>86</v>
      </c>
      <c r="L4752" t="s">
        <v>33</v>
      </c>
      <c r="M4752" t="s">
        <v>15830</v>
      </c>
      <c r="N4752" t="s">
        <v>15840</v>
      </c>
      <c r="O4752" t="s">
        <v>15841</v>
      </c>
      <c r="P4752" s="2" t="s">
        <v>67</v>
      </c>
      <c r="Q4752" t="s">
        <v>68</v>
      </c>
      <c r="R4752">
        <v>4.9400000000000004</v>
      </c>
      <c r="S4752">
        <v>4.9400000000000004</v>
      </c>
      <c r="T4752" t="s">
        <v>15842</v>
      </c>
    </row>
    <row r="4753" spans="1:20" x14ac:dyDescent="0.25">
      <c r="A4753" s="1" t="str">
        <f>HYPERLINK("https://vegkart.atlas.vegvesen.no/#/@139645.3,6498592.2,18/hva:hva%5B0%5D%5Bfilter%5D%5B0%5D%5Boperator%5D=%21%3D&amp;hva%5B0%5D%5Bfilter%5D%5B0%5D%5Btype_id%5D=4820&amp;hva%5B0%5D%5Bfilter%5D%5B0%5D%5Bverdi%5D=&amp;hva%5B0%5D%5Bid%5D=144/når:2019-10-24", "Vegkart")</f>
        <v>Vegkart</v>
      </c>
      <c r="B4753">
        <v>989857669</v>
      </c>
      <c r="C4753">
        <v>144</v>
      </c>
      <c r="D4753" t="s">
        <v>13345</v>
      </c>
      <c r="E4753">
        <v>4820</v>
      </c>
      <c r="F4753" t="s">
        <v>23479</v>
      </c>
      <c r="G4753">
        <v>1</v>
      </c>
      <c r="H4753" t="s">
        <v>15747</v>
      </c>
      <c r="J4753" t="s">
        <v>15636</v>
      </c>
      <c r="K4753" t="s">
        <v>86</v>
      </c>
      <c r="L4753" t="s">
        <v>33</v>
      </c>
      <c r="M4753" t="s">
        <v>15830</v>
      </c>
      <c r="N4753" t="s">
        <v>15843</v>
      </c>
      <c r="O4753" t="s">
        <v>15844</v>
      </c>
      <c r="P4753" s="2" t="s">
        <v>67</v>
      </c>
      <c r="Q4753" t="s">
        <v>68</v>
      </c>
      <c r="R4753">
        <v>5.74</v>
      </c>
      <c r="S4753">
        <v>5.74</v>
      </c>
      <c r="T4753" t="s">
        <v>15845</v>
      </c>
    </row>
    <row r="4754" spans="1:20" x14ac:dyDescent="0.25">
      <c r="A4754" s="1" t="str">
        <f>HYPERLINK("https://vegkart.atlas.vegvesen.no/#/@139685.1,6498525.5,18/hva:hva%5B0%5D%5Bfilter%5D%5B0%5D%5Boperator%5D=%21%3D&amp;hva%5B0%5D%5Bfilter%5D%5B0%5D%5Btype_id%5D=4820&amp;hva%5B0%5D%5Bfilter%5D%5B0%5D%5Bverdi%5D=&amp;hva%5B0%5D%5Bid%5D=144/når:2019-10-24", "Vegkart")</f>
        <v>Vegkart</v>
      </c>
      <c r="B4754">
        <v>989857670</v>
      </c>
      <c r="C4754">
        <v>144</v>
      </c>
      <c r="D4754" t="s">
        <v>13345</v>
      </c>
      <c r="E4754">
        <v>4820</v>
      </c>
      <c r="F4754" t="s">
        <v>23479</v>
      </c>
      <c r="G4754">
        <v>1</v>
      </c>
      <c r="H4754" t="s">
        <v>15747</v>
      </c>
      <c r="J4754" t="s">
        <v>15636</v>
      </c>
      <c r="K4754" t="s">
        <v>86</v>
      </c>
      <c r="L4754" t="s">
        <v>33</v>
      </c>
      <c r="M4754" t="s">
        <v>15830</v>
      </c>
      <c r="N4754" t="s">
        <v>15846</v>
      </c>
      <c r="O4754" t="s">
        <v>15847</v>
      </c>
      <c r="P4754" s="2" t="s">
        <v>67</v>
      </c>
      <c r="Q4754" t="s">
        <v>68</v>
      </c>
      <c r="R4754">
        <v>4.78</v>
      </c>
      <c r="S4754">
        <v>4.78</v>
      </c>
      <c r="T4754" t="s">
        <v>15848</v>
      </c>
    </row>
    <row r="4755" spans="1:20" x14ac:dyDescent="0.25">
      <c r="A4755" s="1" t="str">
        <f>HYPERLINK("https://vegkart.atlas.vegvesen.no/#/@138026.1,6501664.7,18/hva:hva%5B0%5D%5Bfilter%5D%5B0%5D%5Boperator%5D=%21%3D&amp;hva%5B0%5D%5Bfilter%5D%5B0%5D%5Btype_id%5D=4820&amp;hva%5B0%5D%5Bfilter%5D%5B0%5D%5Bverdi%5D=&amp;hva%5B0%5D%5Bid%5D=144/når:2019-10-24", "Vegkart")</f>
        <v>Vegkart</v>
      </c>
      <c r="B4755">
        <v>989857671</v>
      </c>
      <c r="C4755">
        <v>144</v>
      </c>
      <c r="D4755" t="s">
        <v>13345</v>
      </c>
      <c r="E4755">
        <v>4820</v>
      </c>
      <c r="F4755" t="s">
        <v>23479</v>
      </c>
      <c r="G4755">
        <v>1</v>
      </c>
      <c r="H4755" t="s">
        <v>15747</v>
      </c>
      <c r="J4755" t="s">
        <v>15636</v>
      </c>
      <c r="K4755" t="s">
        <v>86</v>
      </c>
      <c r="L4755" t="s">
        <v>33</v>
      </c>
      <c r="M4755" t="s">
        <v>15830</v>
      </c>
      <c r="N4755" t="s">
        <v>15849</v>
      </c>
      <c r="O4755" t="s">
        <v>15850</v>
      </c>
      <c r="P4755" s="2" t="s">
        <v>67</v>
      </c>
      <c r="Q4755" t="s">
        <v>68</v>
      </c>
      <c r="R4755">
        <v>9.66</v>
      </c>
      <c r="S4755">
        <v>9.66</v>
      </c>
      <c r="T4755" t="s">
        <v>15851</v>
      </c>
    </row>
    <row r="4756" spans="1:20" x14ac:dyDescent="0.25">
      <c r="A4756" s="1" t="str">
        <f>HYPERLINK("https://vegkart.atlas.vegvesen.no/#/@139037.8,6500110.6,18/hva:hva%5B0%5D%5Bfilter%5D%5B0%5D%5Boperator%5D=%21%3D&amp;hva%5B0%5D%5Bfilter%5D%5B0%5D%5Btype_id%5D=4820&amp;hva%5B0%5D%5Bfilter%5D%5B0%5D%5Bverdi%5D=&amp;hva%5B0%5D%5Bid%5D=144/når:2019-10-24", "Vegkart")</f>
        <v>Vegkart</v>
      </c>
      <c r="B4756">
        <v>989857672</v>
      </c>
      <c r="C4756">
        <v>144</v>
      </c>
      <c r="D4756" t="s">
        <v>13345</v>
      </c>
      <c r="E4756">
        <v>4820</v>
      </c>
      <c r="F4756" t="s">
        <v>23479</v>
      </c>
      <c r="G4756">
        <v>1</v>
      </c>
      <c r="H4756" t="s">
        <v>15747</v>
      </c>
      <c r="J4756" t="s">
        <v>15636</v>
      </c>
      <c r="K4756" t="s">
        <v>86</v>
      </c>
      <c r="L4756" t="s">
        <v>33</v>
      </c>
      <c r="M4756" t="s">
        <v>15830</v>
      </c>
      <c r="N4756" t="s">
        <v>15852</v>
      </c>
      <c r="O4756" t="s">
        <v>15853</v>
      </c>
      <c r="P4756" s="2" t="s">
        <v>67</v>
      </c>
      <c r="Q4756" t="s">
        <v>68</v>
      </c>
      <c r="R4756">
        <v>4.71</v>
      </c>
      <c r="S4756">
        <v>4.71</v>
      </c>
      <c r="T4756" t="s">
        <v>15854</v>
      </c>
    </row>
    <row r="4757" spans="1:20" x14ac:dyDescent="0.25">
      <c r="A4757" s="1" t="str">
        <f>HYPERLINK("https://vegkart.atlas.vegvesen.no/#/@138009.8,6501679.5,18/hva:hva%5B0%5D%5Bfilter%5D%5B0%5D%5Boperator%5D=%21%3D&amp;hva%5B0%5D%5Bfilter%5D%5B0%5D%5Btype_id%5D=4820&amp;hva%5B0%5D%5Bfilter%5D%5B0%5D%5Bverdi%5D=&amp;hva%5B0%5D%5Bid%5D=144/når:2019-10-24", "Vegkart")</f>
        <v>Vegkart</v>
      </c>
      <c r="B4757">
        <v>989857675</v>
      </c>
      <c r="C4757">
        <v>144</v>
      </c>
      <c r="D4757" t="s">
        <v>13345</v>
      </c>
      <c r="E4757">
        <v>4820</v>
      </c>
      <c r="F4757" t="s">
        <v>23479</v>
      </c>
      <c r="G4757">
        <v>1</v>
      </c>
      <c r="H4757" t="s">
        <v>15747</v>
      </c>
      <c r="J4757" t="s">
        <v>15636</v>
      </c>
      <c r="K4757" t="s">
        <v>86</v>
      </c>
      <c r="L4757" t="s">
        <v>33</v>
      </c>
      <c r="M4757" t="s">
        <v>15830</v>
      </c>
      <c r="N4757" t="s">
        <v>15855</v>
      </c>
      <c r="O4757" t="s">
        <v>15856</v>
      </c>
      <c r="P4757" s="2" t="s">
        <v>67</v>
      </c>
      <c r="Q4757" t="s">
        <v>68</v>
      </c>
      <c r="R4757">
        <v>3.74</v>
      </c>
      <c r="S4757">
        <v>3.74</v>
      </c>
      <c r="T4757" t="s">
        <v>15857</v>
      </c>
    </row>
    <row r="4758" spans="1:20" x14ac:dyDescent="0.25">
      <c r="A4758" s="1" t="str">
        <f>HYPERLINK("https://vegkart.atlas.vegvesen.no/#/@138320.1,6501323.7,18/hva:hva%5B0%5D%5Bfilter%5D%5B0%5D%5Boperator%5D=%21%3D&amp;hva%5B0%5D%5Bfilter%5D%5B0%5D%5Btype_id%5D=4820&amp;hva%5B0%5D%5Bfilter%5D%5B0%5D%5Bverdi%5D=&amp;hva%5B0%5D%5Bid%5D=144/når:2019-10-24", "Vegkart")</f>
        <v>Vegkart</v>
      </c>
      <c r="B4758">
        <v>989857677</v>
      </c>
      <c r="C4758">
        <v>144</v>
      </c>
      <c r="D4758" t="s">
        <v>13345</v>
      </c>
      <c r="E4758">
        <v>4820</v>
      </c>
      <c r="F4758" t="s">
        <v>23479</v>
      </c>
      <c r="G4758">
        <v>1</v>
      </c>
      <c r="H4758" t="s">
        <v>15747</v>
      </c>
      <c r="J4758" t="s">
        <v>15636</v>
      </c>
      <c r="K4758" t="s">
        <v>86</v>
      </c>
      <c r="L4758" t="s">
        <v>33</v>
      </c>
      <c r="M4758" t="s">
        <v>15830</v>
      </c>
      <c r="N4758" t="s">
        <v>15858</v>
      </c>
      <c r="O4758" t="s">
        <v>15859</v>
      </c>
      <c r="P4758" s="2" t="s">
        <v>67</v>
      </c>
      <c r="Q4758" t="s">
        <v>68</v>
      </c>
      <c r="R4758">
        <v>4.07</v>
      </c>
      <c r="S4758">
        <v>4.07</v>
      </c>
      <c r="T4758" t="s">
        <v>15860</v>
      </c>
    </row>
    <row r="4759" spans="1:20" x14ac:dyDescent="0.25">
      <c r="A4759" s="1" t="str">
        <f>HYPERLINK("https://vegkart.atlas.vegvesen.no/#/@139485.3,6498936.5,18/hva:hva%5B0%5D%5Bfilter%5D%5B0%5D%5Boperator%5D=%21%3D&amp;hva%5B0%5D%5Bfilter%5D%5B0%5D%5Btype_id%5D=4820&amp;hva%5B0%5D%5Bfilter%5D%5B0%5D%5Bverdi%5D=&amp;hva%5B0%5D%5Bid%5D=144/når:2019-10-24", "Vegkart")</f>
        <v>Vegkart</v>
      </c>
      <c r="B4759">
        <v>989857678</v>
      </c>
      <c r="C4759">
        <v>144</v>
      </c>
      <c r="D4759" t="s">
        <v>13345</v>
      </c>
      <c r="E4759">
        <v>4820</v>
      </c>
      <c r="F4759" t="s">
        <v>23479</v>
      </c>
      <c r="G4759">
        <v>1</v>
      </c>
      <c r="H4759" t="s">
        <v>15747</v>
      </c>
      <c r="J4759" t="s">
        <v>15636</v>
      </c>
      <c r="K4759" t="s">
        <v>86</v>
      </c>
      <c r="L4759" t="s">
        <v>33</v>
      </c>
      <c r="M4759" t="s">
        <v>15830</v>
      </c>
      <c r="N4759" t="s">
        <v>15861</v>
      </c>
      <c r="O4759" t="s">
        <v>15862</v>
      </c>
      <c r="P4759" s="2" t="s">
        <v>67</v>
      </c>
      <c r="Q4759" t="s">
        <v>68</v>
      </c>
      <c r="R4759">
        <v>0.95</v>
      </c>
      <c r="S4759">
        <v>0.95</v>
      </c>
      <c r="T4759" t="s">
        <v>15863</v>
      </c>
    </row>
    <row r="4760" spans="1:20" x14ac:dyDescent="0.25">
      <c r="A4760" s="1" t="str">
        <f>HYPERLINK("https://vegkart.atlas.vegvesen.no/#/@138952.9,6499936.7,18/hva:hva%5B0%5D%5Bfilter%5D%5B0%5D%5Boperator%5D=%21%3D&amp;hva%5B0%5D%5Bfilter%5D%5B0%5D%5Btype_id%5D=4820&amp;hva%5B0%5D%5Bfilter%5D%5B0%5D%5Bverdi%5D=&amp;hva%5B0%5D%5Bid%5D=144/når:2019-10-24", "Vegkart")</f>
        <v>Vegkart</v>
      </c>
      <c r="B4760">
        <v>989857679</v>
      </c>
      <c r="C4760">
        <v>144</v>
      </c>
      <c r="D4760" t="s">
        <v>13345</v>
      </c>
      <c r="E4760">
        <v>4820</v>
      </c>
      <c r="F4760" t="s">
        <v>23479</v>
      </c>
      <c r="G4760">
        <v>1</v>
      </c>
      <c r="H4760" t="s">
        <v>15747</v>
      </c>
      <c r="J4760" t="s">
        <v>15636</v>
      </c>
      <c r="K4760" t="s">
        <v>86</v>
      </c>
      <c r="L4760" t="s">
        <v>33</v>
      </c>
      <c r="M4760" t="s">
        <v>15830</v>
      </c>
      <c r="N4760" t="s">
        <v>15864</v>
      </c>
      <c r="O4760" t="s">
        <v>15865</v>
      </c>
      <c r="P4760" s="2" t="s">
        <v>67</v>
      </c>
      <c r="Q4760" t="s">
        <v>68</v>
      </c>
      <c r="R4760">
        <v>4.41</v>
      </c>
      <c r="S4760">
        <v>4.41</v>
      </c>
      <c r="T4760" t="s">
        <v>15866</v>
      </c>
    </row>
    <row r="4761" spans="1:20" x14ac:dyDescent="0.25">
      <c r="A4761" s="1" t="str">
        <f>HYPERLINK("https://vegkart.atlas.vegvesen.no/#/@138161.5,6501430.5,18/hva:hva%5B0%5D%5Bfilter%5D%5B0%5D%5Boperator%5D=%21%3D&amp;hva%5B0%5D%5Bfilter%5D%5B0%5D%5Btype_id%5D=4820&amp;hva%5B0%5D%5Bfilter%5D%5B0%5D%5Bverdi%5D=&amp;hva%5B0%5D%5Bid%5D=144/når:2019-10-24", "Vegkart")</f>
        <v>Vegkart</v>
      </c>
      <c r="B4761">
        <v>989857681</v>
      </c>
      <c r="C4761">
        <v>144</v>
      </c>
      <c r="D4761" t="s">
        <v>13345</v>
      </c>
      <c r="E4761">
        <v>4820</v>
      </c>
      <c r="F4761" t="s">
        <v>23479</v>
      </c>
      <c r="G4761">
        <v>1</v>
      </c>
      <c r="H4761" t="s">
        <v>15747</v>
      </c>
      <c r="J4761" t="s">
        <v>15636</v>
      </c>
      <c r="K4761" t="s">
        <v>86</v>
      </c>
      <c r="L4761" t="s">
        <v>33</v>
      </c>
      <c r="M4761" t="s">
        <v>15830</v>
      </c>
      <c r="N4761" t="s">
        <v>15867</v>
      </c>
      <c r="O4761" t="s">
        <v>15868</v>
      </c>
      <c r="P4761" s="2" t="s">
        <v>67</v>
      </c>
      <c r="Q4761" t="s">
        <v>68</v>
      </c>
      <c r="R4761">
        <v>3.41</v>
      </c>
      <c r="S4761">
        <v>3.41</v>
      </c>
      <c r="T4761" t="s">
        <v>15869</v>
      </c>
    </row>
    <row r="4762" spans="1:20" x14ac:dyDescent="0.25">
      <c r="A4762" s="1" t="str">
        <f>HYPERLINK("https://vegkart.atlas.vegvesen.no/#/@137819.3,6501952.7,18/hva:hva%5B0%5D%5Bfilter%5D%5B0%5D%5Boperator%5D=%21%3D&amp;hva%5B0%5D%5Bfilter%5D%5B0%5D%5Btype_id%5D=4820&amp;hva%5B0%5D%5Bfilter%5D%5B0%5D%5Bverdi%5D=&amp;hva%5B0%5D%5Bid%5D=144/når:2019-10-24", "Vegkart")</f>
        <v>Vegkart</v>
      </c>
      <c r="B4762">
        <v>989857682</v>
      </c>
      <c r="C4762">
        <v>144</v>
      </c>
      <c r="D4762" t="s">
        <v>13345</v>
      </c>
      <c r="E4762">
        <v>4820</v>
      </c>
      <c r="F4762" t="s">
        <v>23479</v>
      </c>
      <c r="G4762">
        <v>1</v>
      </c>
      <c r="H4762" t="s">
        <v>15747</v>
      </c>
      <c r="J4762" t="s">
        <v>15636</v>
      </c>
      <c r="K4762" t="s">
        <v>86</v>
      </c>
      <c r="L4762" t="s">
        <v>33</v>
      </c>
      <c r="M4762" t="s">
        <v>15830</v>
      </c>
      <c r="N4762" t="s">
        <v>15870</v>
      </c>
      <c r="O4762" t="s">
        <v>15871</v>
      </c>
      <c r="P4762" s="2" t="s">
        <v>67</v>
      </c>
      <c r="Q4762" t="s">
        <v>68</v>
      </c>
      <c r="R4762">
        <v>3.99</v>
      </c>
      <c r="S4762">
        <v>3.99</v>
      </c>
      <c r="T4762" t="s">
        <v>15872</v>
      </c>
    </row>
    <row r="4763" spans="1:20" x14ac:dyDescent="0.25">
      <c r="A4763" s="1" t="str">
        <f>HYPERLINK("https://vegkart.atlas.vegvesen.no/#/@137743.5,6502014.9,18/hva:hva%5B0%5D%5Bfilter%5D%5B0%5D%5Boperator%5D=%21%3D&amp;hva%5B0%5D%5Bfilter%5D%5B0%5D%5Btype_id%5D=4820&amp;hva%5B0%5D%5Bfilter%5D%5B0%5D%5Bverdi%5D=&amp;hva%5B0%5D%5Bid%5D=144/når:2019-10-24", "Vegkart")</f>
        <v>Vegkart</v>
      </c>
      <c r="B4763">
        <v>989857683</v>
      </c>
      <c r="C4763">
        <v>144</v>
      </c>
      <c r="D4763" t="s">
        <v>13345</v>
      </c>
      <c r="E4763">
        <v>4820</v>
      </c>
      <c r="F4763" t="s">
        <v>23479</v>
      </c>
      <c r="G4763">
        <v>1</v>
      </c>
      <c r="H4763" t="s">
        <v>15747</v>
      </c>
      <c r="J4763" t="s">
        <v>15636</v>
      </c>
      <c r="K4763" t="s">
        <v>86</v>
      </c>
      <c r="L4763" t="s">
        <v>33</v>
      </c>
      <c r="M4763" t="s">
        <v>638</v>
      </c>
      <c r="N4763" t="s">
        <v>15873</v>
      </c>
      <c r="O4763" t="s">
        <v>15874</v>
      </c>
      <c r="P4763" s="2" t="s">
        <v>67</v>
      </c>
      <c r="Q4763" t="s">
        <v>68</v>
      </c>
      <c r="R4763">
        <v>6.38</v>
      </c>
      <c r="S4763">
        <v>6.38</v>
      </c>
      <c r="T4763" t="s">
        <v>15875</v>
      </c>
    </row>
    <row r="4764" spans="1:20" x14ac:dyDescent="0.25">
      <c r="A4764" s="1" t="str">
        <f>HYPERLINK("https://vegkart.atlas.vegvesen.no/#/@139147.5,6500595.9,18/hva:hva%5B0%5D%5Bfilter%5D%5B0%5D%5Boperator%5D=%21%3D&amp;hva%5B0%5D%5Bfilter%5D%5B0%5D%5Btype_id%5D=4820&amp;hva%5B0%5D%5Bfilter%5D%5B0%5D%5Bverdi%5D=&amp;hva%5B0%5D%5Bid%5D=144/når:2019-10-24", "Vegkart")</f>
        <v>Vegkart</v>
      </c>
      <c r="B4764">
        <v>989857686</v>
      </c>
      <c r="C4764">
        <v>144</v>
      </c>
      <c r="D4764" t="s">
        <v>13345</v>
      </c>
      <c r="E4764">
        <v>4820</v>
      </c>
      <c r="F4764" t="s">
        <v>23479</v>
      </c>
      <c r="G4764">
        <v>1</v>
      </c>
      <c r="H4764" t="s">
        <v>15747</v>
      </c>
      <c r="J4764" t="s">
        <v>15636</v>
      </c>
      <c r="K4764" t="s">
        <v>86</v>
      </c>
      <c r="L4764" t="s">
        <v>33</v>
      </c>
      <c r="M4764" t="s">
        <v>15830</v>
      </c>
      <c r="N4764" t="s">
        <v>15876</v>
      </c>
      <c r="O4764" t="s">
        <v>15877</v>
      </c>
      <c r="P4764" s="2" t="s">
        <v>67</v>
      </c>
      <c r="Q4764" t="s">
        <v>68</v>
      </c>
      <c r="R4764">
        <v>15.25</v>
      </c>
      <c r="S4764">
        <v>15.5</v>
      </c>
      <c r="T4764" t="s">
        <v>15878</v>
      </c>
    </row>
    <row r="4765" spans="1:20" x14ac:dyDescent="0.25">
      <c r="A4765" s="1" t="str">
        <f>HYPERLINK("https://vegkart.atlas.vegvesen.no/#/@138732.3,6501050.4,18/hva:hva%5B0%5D%5Bfilter%5D%5B0%5D%5Boperator%5D=%21%3D&amp;hva%5B0%5D%5Bfilter%5D%5B0%5D%5Btype_id%5D=4820&amp;hva%5B0%5D%5Bfilter%5D%5B0%5D%5Bverdi%5D=&amp;hva%5B0%5D%5Bid%5D=144/når:2019-10-24", "Vegkart")</f>
        <v>Vegkart</v>
      </c>
      <c r="B4765">
        <v>989857688</v>
      </c>
      <c r="C4765">
        <v>144</v>
      </c>
      <c r="D4765" t="s">
        <v>13345</v>
      </c>
      <c r="E4765">
        <v>4820</v>
      </c>
      <c r="F4765" t="s">
        <v>23479</v>
      </c>
      <c r="G4765">
        <v>1</v>
      </c>
      <c r="H4765" t="s">
        <v>15747</v>
      </c>
      <c r="J4765" t="s">
        <v>15636</v>
      </c>
      <c r="K4765" t="s">
        <v>86</v>
      </c>
      <c r="L4765" t="s">
        <v>33</v>
      </c>
      <c r="M4765" t="s">
        <v>15830</v>
      </c>
      <c r="N4765" t="s">
        <v>15879</v>
      </c>
      <c r="O4765" t="s">
        <v>15880</v>
      </c>
      <c r="P4765" s="2" t="s">
        <v>67</v>
      </c>
      <c r="Q4765" t="s">
        <v>68</v>
      </c>
      <c r="R4765">
        <v>13.61</v>
      </c>
      <c r="S4765">
        <v>13.61</v>
      </c>
      <c r="T4765" t="s">
        <v>15881</v>
      </c>
    </row>
    <row r="4766" spans="1:20" x14ac:dyDescent="0.25">
      <c r="A4766" s="1" t="str">
        <f>HYPERLINK("https://vegkart.atlas.vegvesen.no/#/@138036.3,6501649.8,18/hva:hva%5B0%5D%5Bfilter%5D%5B0%5D%5Boperator%5D=%21%3D&amp;hva%5B0%5D%5Bfilter%5D%5B0%5D%5Btype_id%5D=4820&amp;hva%5B0%5D%5Bfilter%5D%5B0%5D%5Bverdi%5D=&amp;hva%5B0%5D%5Bid%5D=144/når:2019-10-24", "Vegkart")</f>
        <v>Vegkart</v>
      </c>
      <c r="B4766">
        <v>989857689</v>
      </c>
      <c r="C4766">
        <v>144</v>
      </c>
      <c r="D4766" t="s">
        <v>13345</v>
      </c>
      <c r="E4766">
        <v>4820</v>
      </c>
      <c r="F4766" t="s">
        <v>23479</v>
      </c>
      <c r="G4766">
        <v>1</v>
      </c>
      <c r="H4766" t="s">
        <v>15747</v>
      </c>
      <c r="J4766" t="s">
        <v>15636</v>
      </c>
      <c r="K4766" t="s">
        <v>86</v>
      </c>
      <c r="L4766" t="s">
        <v>33</v>
      </c>
      <c r="M4766" t="s">
        <v>15830</v>
      </c>
      <c r="N4766" t="s">
        <v>15882</v>
      </c>
      <c r="O4766" t="s">
        <v>15883</v>
      </c>
      <c r="P4766" s="2" t="s">
        <v>37</v>
      </c>
      <c r="Q4766" t="s">
        <v>1208</v>
      </c>
      <c r="R4766">
        <v>18.010000000000002</v>
      </c>
      <c r="S4766">
        <v>24.03</v>
      </c>
      <c r="T4766" t="s">
        <v>15884</v>
      </c>
    </row>
    <row r="4767" spans="1:20" x14ac:dyDescent="0.25">
      <c r="A4767" s="1" t="str">
        <f>HYPERLINK("https://vegkart.atlas.vegvesen.no/#/@137950.3,6501797.6,18/hva:hva%5B0%5D%5Bfilter%5D%5B0%5D%5Boperator%5D=%21%3D&amp;hva%5B0%5D%5Bfilter%5D%5B0%5D%5Btype_id%5D=4820&amp;hva%5B0%5D%5Bfilter%5D%5B0%5D%5Bverdi%5D=&amp;hva%5B0%5D%5Bid%5D=144/når:2019-10-24", "Vegkart")</f>
        <v>Vegkart</v>
      </c>
      <c r="B4767">
        <v>989857690</v>
      </c>
      <c r="C4767">
        <v>144</v>
      </c>
      <c r="D4767" t="s">
        <v>13345</v>
      </c>
      <c r="E4767">
        <v>4820</v>
      </c>
      <c r="F4767" t="s">
        <v>23479</v>
      </c>
      <c r="G4767">
        <v>1</v>
      </c>
      <c r="H4767" t="s">
        <v>15747</v>
      </c>
      <c r="J4767" t="s">
        <v>15636</v>
      </c>
      <c r="K4767" t="s">
        <v>86</v>
      </c>
      <c r="L4767" t="s">
        <v>33</v>
      </c>
      <c r="M4767" t="s">
        <v>15830</v>
      </c>
      <c r="N4767" t="s">
        <v>15885</v>
      </c>
      <c r="O4767" t="s">
        <v>15886</v>
      </c>
      <c r="P4767" s="2" t="s">
        <v>67</v>
      </c>
      <c r="Q4767" t="s">
        <v>68</v>
      </c>
      <c r="R4767">
        <v>3.29</v>
      </c>
      <c r="S4767">
        <v>3.29</v>
      </c>
      <c r="T4767" t="s">
        <v>15887</v>
      </c>
    </row>
    <row r="4768" spans="1:20" x14ac:dyDescent="0.25">
      <c r="A4768" s="1" t="str">
        <f>HYPERLINK("https://vegkart.atlas.vegvesen.no/#/@137950.6,6501795.0,18/hva:hva%5B0%5D%5Bfilter%5D%5B0%5D%5Boperator%5D=%21%3D&amp;hva%5B0%5D%5Bfilter%5D%5B0%5D%5Btype_id%5D=4820&amp;hva%5B0%5D%5Bfilter%5D%5B0%5D%5Bverdi%5D=&amp;hva%5B0%5D%5Bid%5D=144/når:2019-10-24", "Vegkart")</f>
        <v>Vegkart</v>
      </c>
      <c r="B4768">
        <v>989857692</v>
      </c>
      <c r="C4768">
        <v>144</v>
      </c>
      <c r="D4768" t="s">
        <v>13345</v>
      </c>
      <c r="E4768">
        <v>4820</v>
      </c>
      <c r="F4768" t="s">
        <v>23479</v>
      </c>
      <c r="G4768">
        <v>1</v>
      </c>
      <c r="H4768" t="s">
        <v>15747</v>
      </c>
      <c r="J4768" t="s">
        <v>15636</v>
      </c>
      <c r="K4768" t="s">
        <v>86</v>
      </c>
      <c r="L4768" t="s">
        <v>33</v>
      </c>
      <c r="M4768" t="s">
        <v>15830</v>
      </c>
      <c r="N4768" t="s">
        <v>15888</v>
      </c>
      <c r="O4768" t="s">
        <v>15889</v>
      </c>
      <c r="P4768" s="2" t="s">
        <v>67</v>
      </c>
      <c r="Q4768" t="s">
        <v>68</v>
      </c>
      <c r="R4768">
        <v>4.3</v>
      </c>
      <c r="S4768">
        <v>4.3</v>
      </c>
      <c r="T4768" t="s">
        <v>15890</v>
      </c>
    </row>
    <row r="4769" spans="1:20" x14ac:dyDescent="0.25">
      <c r="A4769" s="1" t="str">
        <f>HYPERLINK("https://vegkart.atlas.vegvesen.no/#/@139444.5,6499172.2,18/hva:hva%5B0%5D%5Bfilter%5D%5B0%5D%5Boperator%5D=%21%3D&amp;hva%5B0%5D%5Bfilter%5D%5B0%5D%5Btype_id%5D=4820&amp;hva%5B0%5D%5Bfilter%5D%5B0%5D%5Bverdi%5D=&amp;hva%5B0%5D%5Bid%5D=144/når:2019-10-24", "Vegkart")</f>
        <v>Vegkart</v>
      </c>
      <c r="B4769">
        <v>989857693</v>
      </c>
      <c r="C4769">
        <v>144</v>
      </c>
      <c r="D4769" t="s">
        <v>13345</v>
      </c>
      <c r="E4769">
        <v>4820</v>
      </c>
      <c r="F4769" t="s">
        <v>23479</v>
      </c>
      <c r="G4769">
        <v>1</v>
      </c>
      <c r="H4769" t="s">
        <v>15747</v>
      </c>
      <c r="J4769" t="s">
        <v>15636</v>
      </c>
      <c r="K4769" t="s">
        <v>86</v>
      </c>
      <c r="L4769" t="s">
        <v>33</v>
      </c>
      <c r="M4769" t="s">
        <v>15830</v>
      </c>
      <c r="N4769" t="s">
        <v>15891</v>
      </c>
      <c r="O4769" t="s">
        <v>15892</v>
      </c>
      <c r="P4769" s="2" t="s">
        <v>67</v>
      </c>
      <c r="Q4769" t="s">
        <v>68</v>
      </c>
      <c r="R4769">
        <v>5.77</v>
      </c>
      <c r="S4769">
        <v>5.77</v>
      </c>
      <c r="T4769" t="s">
        <v>15893</v>
      </c>
    </row>
    <row r="4770" spans="1:20" x14ac:dyDescent="0.25">
      <c r="A4770" s="1" t="str">
        <f>HYPERLINK("https://vegkart.atlas.vegvesen.no/#/@138337.9,6501315.2,18/hva:hva%5B0%5D%5Bfilter%5D%5B0%5D%5Boperator%5D=%21%3D&amp;hva%5B0%5D%5Bfilter%5D%5B0%5D%5Btype_id%5D=4820&amp;hva%5B0%5D%5Bfilter%5D%5B0%5D%5Bverdi%5D=&amp;hva%5B0%5D%5Bid%5D=144/når:2019-10-24", "Vegkart")</f>
        <v>Vegkart</v>
      </c>
      <c r="B4770">
        <v>989857694</v>
      </c>
      <c r="C4770">
        <v>144</v>
      </c>
      <c r="D4770" t="s">
        <v>13345</v>
      </c>
      <c r="E4770">
        <v>4820</v>
      </c>
      <c r="F4770" t="s">
        <v>23479</v>
      </c>
      <c r="G4770">
        <v>1</v>
      </c>
      <c r="H4770" t="s">
        <v>15747</v>
      </c>
      <c r="J4770" t="s">
        <v>15636</v>
      </c>
      <c r="K4770" t="s">
        <v>86</v>
      </c>
      <c r="L4770" t="s">
        <v>33</v>
      </c>
      <c r="M4770" t="s">
        <v>15830</v>
      </c>
      <c r="N4770" t="s">
        <v>15894</v>
      </c>
      <c r="O4770" t="s">
        <v>15895</v>
      </c>
      <c r="P4770" s="2" t="s">
        <v>67</v>
      </c>
      <c r="Q4770" t="s">
        <v>68</v>
      </c>
      <c r="R4770">
        <v>3.88</v>
      </c>
      <c r="S4770">
        <v>3.88</v>
      </c>
      <c r="T4770" t="s">
        <v>15896</v>
      </c>
    </row>
    <row r="4771" spans="1:20" x14ac:dyDescent="0.25">
      <c r="A4771" s="1" t="str">
        <f>HYPERLINK("https://vegkart.atlas.vegvesen.no/#/@138923.5,6499736.4,18/hva:hva%5B0%5D%5Bfilter%5D%5B0%5D%5Boperator%5D=%21%3D&amp;hva%5B0%5D%5Bfilter%5D%5B0%5D%5Btype_id%5D=4820&amp;hva%5B0%5D%5Bfilter%5D%5B0%5D%5Bverdi%5D=&amp;hva%5B0%5D%5Bid%5D=144/når:2019-10-24", "Vegkart")</f>
        <v>Vegkart</v>
      </c>
      <c r="B4771">
        <v>989857695</v>
      </c>
      <c r="C4771">
        <v>144</v>
      </c>
      <c r="D4771" t="s">
        <v>13345</v>
      </c>
      <c r="E4771">
        <v>4820</v>
      </c>
      <c r="F4771" t="s">
        <v>23479</v>
      </c>
      <c r="G4771">
        <v>1</v>
      </c>
      <c r="H4771" t="s">
        <v>15747</v>
      </c>
      <c r="J4771" t="s">
        <v>15636</v>
      </c>
      <c r="K4771" t="s">
        <v>86</v>
      </c>
      <c r="L4771" t="s">
        <v>33</v>
      </c>
      <c r="M4771" t="s">
        <v>15830</v>
      </c>
      <c r="N4771" t="s">
        <v>15897</v>
      </c>
      <c r="O4771" t="s">
        <v>15898</v>
      </c>
      <c r="P4771" s="2" t="s">
        <v>67</v>
      </c>
      <c r="Q4771" t="s">
        <v>68</v>
      </c>
      <c r="R4771">
        <v>4.8600000000000003</v>
      </c>
      <c r="S4771">
        <v>4.8600000000000003</v>
      </c>
      <c r="T4771" t="s">
        <v>15899</v>
      </c>
    </row>
    <row r="4772" spans="1:20" x14ac:dyDescent="0.25">
      <c r="A4772" s="1" t="str">
        <f>HYPERLINK("https://vegkart.atlas.vegvesen.no/#/@137964.7,6501751.6,18/hva:hva%5B0%5D%5Bfilter%5D%5B0%5D%5Boperator%5D=%21%3D&amp;hva%5B0%5D%5Bfilter%5D%5B0%5D%5Btype_id%5D=4820&amp;hva%5B0%5D%5Bfilter%5D%5B0%5D%5Bverdi%5D=&amp;hva%5B0%5D%5Bid%5D=144/når:2019-10-24", "Vegkart")</f>
        <v>Vegkart</v>
      </c>
      <c r="B4772">
        <v>989857699</v>
      </c>
      <c r="C4772">
        <v>144</v>
      </c>
      <c r="D4772" t="s">
        <v>13345</v>
      </c>
      <c r="E4772">
        <v>4820</v>
      </c>
      <c r="F4772" t="s">
        <v>23479</v>
      </c>
      <c r="G4772">
        <v>1</v>
      </c>
      <c r="H4772" t="s">
        <v>15747</v>
      </c>
      <c r="J4772" t="s">
        <v>15636</v>
      </c>
      <c r="K4772" t="s">
        <v>86</v>
      </c>
      <c r="L4772" t="s">
        <v>33</v>
      </c>
      <c r="M4772" t="s">
        <v>15830</v>
      </c>
      <c r="N4772" t="s">
        <v>15900</v>
      </c>
      <c r="O4772" t="s">
        <v>15901</v>
      </c>
      <c r="P4772" s="2" t="s">
        <v>67</v>
      </c>
      <c r="Q4772" t="s">
        <v>68</v>
      </c>
      <c r="R4772">
        <v>3.47</v>
      </c>
      <c r="S4772">
        <v>3.47</v>
      </c>
      <c r="T4772" t="s">
        <v>15902</v>
      </c>
    </row>
    <row r="4773" spans="1:20" x14ac:dyDescent="0.25">
      <c r="A4773" s="1" t="str">
        <f>HYPERLINK("https://vegkart.atlas.vegvesen.no/#/@139275.1,6499401.8,18/hva:hva%5B0%5D%5Bfilter%5D%5B0%5D%5Boperator%5D=%21%3D&amp;hva%5B0%5D%5Bfilter%5D%5B0%5D%5Btype_id%5D=4820&amp;hva%5B0%5D%5Bfilter%5D%5B0%5D%5Bverdi%5D=&amp;hva%5B0%5D%5Bid%5D=144/når:2019-10-24", "Vegkart")</f>
        <v>Vegkart</v>
      </c>
      <c r="B4773">
        <v>989857700</v>
      </c>
      <c r="C4773">
        <v>144</v>
      </c>
      <c r="D4773" t="s">
        <v>13345</v>
      </c>
      <c r="E4773">
        <v>4820</v>
      </c>
      <c r="F4773" t="s">
        <v>23479</v>
      </c>
      <c r="G4773">
        <v>1</v>
      </c>
      <c r="H4773" t="s">
        <v>15747</v>
      </c>
      <c r="J4773" t="s">
        <v>15636</v>
      </c>
      <c r="K4773" t="s">
        <v>86</v>
      </c>
      <c r="L4773" t="s">
        <v>33</v>
      </c>
      <c r="M4773" t="s">
        <v>15830</v>
      </c>
      <c r="N4773" t="s">
        <v>15903</v>
      </c>
      <c r="O4773" t="s">
        <v>15904</v>
      </c>
      <c r="P4773" s="2" t="s">
        <v>67</v>
      </c>
      <c r="Q4773" t="s">
        <v>68</v>
      </c>
      <c r="R4773">
        <v>5.08</v>
      </c>
      <c r="S4773">
        <v>5.08</v>
      </c>
      <c r="T4773" t="s">
        <v>15905</v>
      </c>
    </row>
    <row r="4774" spans="1:20" x14ac:dyDescent="0.25">
      <c r="A4774" s="1" t="str">
        <f>HYPERLINK("https://vegkart.atlas.vegvesen.no/#/@138045.6,6501644.1,18/hva:hva%5B0%5D%5Bfilter%5D%5B0%5D%5Boperator%5D=%21%3D&amp;hva%5B0%5D%5Bfilter%5D%5B0%5D%5Btype_id%5D=4820&amp;hva%5B0%5D%5Bfilter%5D%5B0%5D%5Bverdi%5D=&amp;hva%5B0%5D%5Bid%5D=144/når:2019-10-24", "Vegkart")</f>
        <v>Vegkart</v>
      </c>
      <c r="B4774">
        <v>989857701</v>
      </c>
      <c r="C4774">
        <v>144</v>
      </c>
      <c r="D4774" t="s">
        <v>13345</v>
      </c>
      <c r="E4774">
        <v>4820</v>
      </c>
      <c r="F4774" t="s">
        <v>23479</v>
      </c>
      <c r="G4774">
        <v>1</v>
      </c>
      <c r="H4774" t="s">
        <v>15747</v>
      </c>
      <c r="J4774" t="s">
        <v>15636</v>
      </c>
      <c r="K4774" t="s">
        <v>86</v>
      </c>
      <c r="L4774" t="s">
        <v>33</v>
      </c>
      <c r="M4774" t="s">
        <v>15830</v>
      </c>
      <c r="N4774" t="s">
        <v>15906</v>
      </c>
      <c r="O4774" t="s">
        <v>15907</v>
      </c>
      <c r="P4774" s="2" t="s">
        <v>67</v>
      </c>
      <c r="Q4774" t="s">
        <v>68</v>
      </c>
      <c r="R4774">
        <v>15.89</v>
      </c>
      <c r="S4774">
        <v>15.89</v>
      </c>
      <c r="T4774" t="s">
        <v>15908</v>
      </c>
    </row>
    <row r="4775" spans="1:20" x14ac:dyDescent="0.25">
      <c r="A4775" s="1" t="str">
        <f>HYPERLINK("https://vegkart.atlas.vegvesen.no/#/@138904.2,6499778.7,18/hva:hva%5B0%5D%5Bfilter%5D%5B0%5D%5Boperator%5D=%21%3D&amp;hva%5B0%5D%5Bfilter%5D%5B0%5D%5Btype_id%5D=4820&amp;hva%5B0%5D%5Bfilter%5D%5B0%5D%5Bverdi%5D=&amp;hva%5B0%5D%5Bid%5D=144/når:2019-10-24", "Vegkart")</f>
        <v>Vegkart</v>
      </c>
      <c r="B4775">
        <v>989857702</v>
      </c>
      <c r="C4775">
        <v>144</v>
      </c>
      <c r="D4775" t="s">
        <v>13345</v>
      </c>
      <c r="E4775">
        <v>4820</v>
      </c>
      <c r="F4775" t="s">
        <v>23479</v>
      </c>
      <c r="G4775">
        <v>1</v>
      </c>
      <c r="H4775" t="s">
        <v>15747</v>
      </c>
      <c r="J4775" t="s">
        <v>15636</v>
      </c>
      <c r="K4775" t="s">
        <v>86</v>
      </c>
      <c r="L4775" t="s">
        <v>33</v>
      </c>
      <c r="M4775" t="s">
        <v>15830</v>
      </c>
      <c r="N4775" t="s">
        <v>15909</v>
      </c>
      <c r="O4775" t="s">
        <v>15910</v>
      </c>
      <c r="P4775" s="2" t="s">
        <v>67</v>
      </c>
      <c r="Q4775" t="s">
        <v>68</v>
      </c>
      <c r="R4775">
        <v>3.62</v>
      </c>
      <c r="S4775">
        <v>3.62</v>
      </c>
      <c r="T4775" t="s">
        <v>15911</v>
      </c>
    </row>
    <row r="4776" spans="1:20" x14ac:dyDescent="0.25">
      <c r="A4776" s="1" t="str">
        <f>HYPERLINK("https://vegkart.atlas.vegvesen.no/#/@139460.4,6499118.1,18/hva:hva%5B0%5D%5Bfilter%5D%5B0%5D%5Boperator%5D=%21%3D&amp;hva%5B0%5D%5Bfilter%5D%5B0%5D%5Btype_id%5D=4820&amp;hva%5B0%5D%5Bfilter%5D%5B0%5D%5Bverdi%5D=&amp;hva%5B0%5D%5Bid%5D=144/når:2019-10-24", "Vegkart")</f>
        <v>Vegkart</v>
      </c>
      <c r="B4776">
        <v>989857703</v>
      </c>
      <c r="C4776">
        <v>144</v>
      </c>
      <c r="D4776" t="s">
        <v>13345</v>
      </c>
      <c r="E4776">
        <v>4820</v>
      </c>
      <c r="F4776" t="s">
        <v>23479</v>
      </c>
      <c r="G4776">
        <v>1</v>
      </c>
      <c r="H4776" t="s">
        <v>15747</v>
      </c>
      <c r="J4776" t="s">
        <v>15636</v>
      </c>
      <c r="K4776" t="s">
        <v>86</v>
      </c>
      <c r="L4776" t="s">
        <v>33</v>
      </c>
      <c r="M4776" t="s">
        <v>15830</v>
      </c>
      <c r="N4776" t="s">
        <v>15912</v>
      </c>
      <c r="O4776" t="s">
        <v>15913</v>
      </c>
      <c r="P4776" s="2" t="s">
        <v>67</v>
      </c>
      <c r="Q4776" t="s">
        <v>68</v>
      </c>
      <c r="R4776">
        <v>3.27</v>
      </c>
      <c r="S4776">
        <v>3.27</v>
      </c>
      <c r="T4776" t="s">
        <v>15914</v>
      </c>
    </row>
    <row r="4777" spans="1:20" x14ac:dyDescent="0.25">
      <c r="A4777" s="1" t="str">
        <f>HYPERLINK("https://vegkart.atlas.vegvesen.no/#/@138001.4,6501691.5,18/hva:hva%5B0%5D%5Bfilter%5D%5B0%5D%5Boperator%5D=%21%3D&amp;hva%5B0%5D%5Bfilter%5D%5B0%5D%5Btype_id%5D=4820&amp;hva%5B0%5D%5Bfilter%5D%5B0%5D%5Bverdi%5D=&amp;hva%5B0%5D%5Bid%5D=144/når:2019-10-24", "Vegkart")</f>
        <v>Vegkart</v>
      </c>
      <c r="B4777">
        <v>989857704</v>
      </c>
      <c r="C4777">
        <v>144</v>
      </c>
      <c r="D4777" t="s">
        <v>13345</v>
      </c>
      <c r="E4777">
        <v>4820</v>
      </c>
      <c r="F4777" t="s">
        <v>23479</v>
      </c>
      <c r="G4777">
        <v>1</v>
      </c>
      <c r="H4777" t="s">
        <v>15747</v>
      </c>
      <c r="J4777" t="s">
        <v>15636</v>
      </c>
      <c r="K4777" t="s">
        <v>86</v>
      </c>
      <c r="L4777" t="s">
        <v>33</v>
      </c>
      <c r="M4777" t="s">
        <v>15830</v>
      </c>
      <c r="N4777" t="s">
        <v>15915</v>
      </c>
      <c r="O4777" t="s">
        <v>15916</v>
      </c>
      <c r="P4777" s="2" t="s">
        <v>67</v>
      </c>
      <c r="Q4777" t="s">
        <v>68</v>
      </c>
      <c r="R4777">
        <v>4.32</v>
      </c>
      <c r="S4777">
        <v>4.32</v>
      </c>
      <c r="T4777" t="s">
        <v>15917</v>
      </c>
    </row>
    <row r="4778" spans="1:20" x14ac:dyDescent="0.25">
      <c r="A4778" s="1" t="str">
        <f>HYPERLINK("https://vegkart.atlas.vegvesen.no/#/@138081.3,6501566.9,18/hva:hva%5B0%5D%5Bfilter%5D%5B0%5D%5Boperator%5D=%21%3D&amp;hva%5B0%5D%5Bfilter%5D%5B0%5D%5Btype_id%5D=4820&amp;hva%5B0%5D%5Bfilter%5D%5B0%5D%5Bverdi%5D=&amp;hva%5B0%5D%5Bid%5D=144/når:2019-10-24", "Vegkart")</f>
        <v>Vegkart</v>
      </c>
      <c r="B4778">
        <v>989857706</v>
      </c>
      <c r="C4778">
        <v>144</v>
      </c>
      <c r="D4778" t="s">
        <v>13345</v>
      </c>
      <c r="E4778">
        <v>4820</v>
      </c>
      <c r="F4778" t="s">
        <v>23479</v>
      </c>
      <c r="G4778">
        <v>1</v>
      </c>
      <c r="H4778" t="s">
        <v>15747</v>
      </c>
      <c r="J4778" t="s">
        <v>15636</v>
      </c>
      <c r="K4778" t="s">
        <v>86</v>
      </c>
      <c r="L4778" t="s">
        <v>33</v>
      </c>
      <c r="M4778" t="s">
        <v>15830</v>
      </c>
      <c r="N4778" t="s">
        <v>15918</v>
      </c>
      <c r="O4778" t="s">
        <v>15919</v>
      </c>
      <c r="P4778" s="2" t="s">
        <v>67</v>
      </c>
      <c r="Q4778" t="s">
        <v>68</v>
      </c>
      <c r="R4778">
        <v>4.12</v>
      </c>
      <c r="S4778">
        <v>4.12</v>
      </c>
      <c r="T4778" t="s">
        <v>15920</v>
      </c>
    </row>
    <row r="4779" spans="1:20" x14ac:dyDescent="0.25">
      <c r="A4779" s="1" t="str">
        <f>HYPERLINK("https://vegkart.atlas.vegvesen.no/#/@138958.1,6499973.8,18/hva:hva%5B0%5D%5Bfilter%5D%5B0%5D%5Boperator%5D=%21%3D&amp;hva%5B0%5D%5Bfilter%5D%5B0%5D%5Btype_id%5D=4820&amp;hva%5B0%5D%5Bfilter%5D%5B0%5D%5Bverdi%5D=&amp;hva%5B0%5D%5Bid%5D=144/når:2019-10-24", "Vegkart")</f>
        <v>Vegkart</v>
      </c>
      <c r="B4779">
        <v>989857707</v>
      </c>
      <c r="C4779">
        <v>144</v>
      </c>
      <c r="D4779" t="s">
        <v>13345</v>
      </c>
      <c r="E4779">
        <v>4820</v>
      </c>
      <c r="F4779" t="s">
        <v>23479</v>
      </c>
      <c r="G4779">
        <v>1</v>
      </c>
      <c r="H4779" t="s">
        <v>15747</v>
      </c>
      <c r="J4779" t="s">
        <v>15636</v>
      </c>
      <c r="K4779" t="s">
        <v>86</v>
      </c>
      <c r="L4779" t="s">
        <v>33</v>
      </c>
      <c r="M4779" t="s">
        <v>15830</v>
      </c>
      <c r="N4779" t="s">
        <v>15921</v>
      </c>
      <c r="O4779" t="s">
        <v>15922</v>
      </c>
      <c r="P4779" s="2" t="s">
        <v>67</v>
      </c>
      <c r="Q4779" t="s">
        <v>68</v>
      </c>
      <c r="R4779">
        <v>3.82</v>
      </c>
      <c r="S4779">
        <v>3.82</v>
      </c>
      <c r="T4779" t="s">
        <v>15923</v>
      </c>
    </row>
    <row r="4780" spans="1:20" x14ac:dyDescent="0.25">
      <c r="A4780" s="1" t="str">
        <f>HYPERLINK("https://vegkart.atlas.vegvesen.no/#/@137725.2,6502024.9,18/hva:hva%5B0%5D%5Bfilter%5D%5B0%5D%5Boperator%5D=%21%3D&amp;hva%5B0%5D%5Bfilter%5D%5B0%5D%5Btype_id%5D=4820&amp;hva%5B0%5D%5Bfilter%5D%5B0%5D%5Bverdi%5D=&amp;hva%5B0%5D%5Bid%5D=144/når:2019-10-24", "Vegkart")</f>
        <v>Vegkart</v>
      </c>
      <c r="B4780">
        <v>989857709</v>
      </c>
      <c r="C4780">
        <v>144</v>
      </c>
      <c r="D4780" t="s">
        <v>13345</v>
      </c>
      <c r="E4780">
        <v>4820</v>
      </c>
      <c r="F4780" t="s">
        <v>23479</v>
      </c>
      <c r="G4780">
        <v>1</v>
      </c>
      <c r="H4780" t="s">
        <v>15747</v>
      </c>
      <c r="J4780" t="s">
        <v>15636</v>
      </c>
      <c r="K4780" t="s">
        <v>86</v>
      </c>
      <c r="L4780" t="s">
        <v>33</v>
      </c>
      <c r="M4780" t="s">
        <v>638</v>
      </c>
      <c r="N4780" t="s">
        <v>15924</v>
      </c>
      <c r="O4780" t="s">
        <v>15925</v>
      </c>
      <c r="P4780" s="2" t="s">
        <v>67</v>
      </c>
      <c r="Q4780" t="s">
        <v>68</v>
      </c>
      <c r="R4780">
        <v>7.84</v>
      </c>
      <c r="S4780">
        <v>8.08</v>
      </c>
      <c r="T4780" t="s">
        <v>15926</v>
      </c>
    </row>
    <row r="4781" spans="1:20" x14ac:dyDescent="0.25">
      <c r="A4781" s="1" t="str">
        <f>HYPERLINK("https://vegkart.atlas.vegvesen.no/#/@139810.6,6498429.2,18/hva:hva%5B0%5D%5Bfilter%5D%5B0%5D%5Boperator%5D=%21%3D&amp;hva%5B0%5D%5Bfilter%5D%5B0%5D%5Btype_id%5D=4820&amp;hva%5B0%5D%5Bfilter%5D%5B0%5D%5Bverdi%5D=&amp;hva%5B0%5D%5Bid%5D=144/når:2019-10-24", "Vegkart")</f>
        <v>Vegkart</v>
      </c>
      <c r="B4781">
        <v>989857710</v>
      </c>
      <c r="C4781">
        <v>144</v>
      </c>
      <c r="D4781" t="s">
        <v>13345</v>
      </c>
      <c r="E4781">
        <v>4820</v>
      </c>
      <c r="F4781" t="s">
        <v>23479</v>
      </c>
      <c r="G4781">
        <v>1</v>
      </c>
      <c r="H4781" t="s">
        <v>15747</v>
      </c>
      <c r="J4781" t="s">
        <v>15636</v>
      </c>
      <c r="K4781" t="s">
        <v>86</v>
      </c>
      <c r="L4781" t="s">
        <v>33</v>
      </c>
      <c r="M4781" t="s">
        <v>2028</v>
      </c>
      <c r="N4781" t="s">
        <v>15927</v>
      </c>
      <c r="O4781" t="s">
        <v>15928</v>
      </c>
      <c r="P4781" s="2" t="s">
        <v>67</v>
      </c>
      <c r="Q4781" t="s">
        <v>68</v>
      </c>
      <c r="R4781">
        <v>23.63</v>
      </c>
      <c r="S4781">
        <v>25.89</v>
      </c>
      <c r="T4781" t="s">
        <v>15929</v>
      </c>
    </row>
    <row r="4782" spans="1:20" x14ac:dyDescent="0.25">
      <c r="A4782" s="1" t="str">
        <f>HYPERLINK("https://vegkart.atlas.vegvesen.no/#/@139636.1,6498607.5,18/hva:hva%5B0%5D%5Bfilter%5D%5B0%5D%5Boperator%5D=%21%3D&amp;hva%5B0%5D%5Bfilter%5D%5B0%5D%5Btype_id%5D=4820&amp;hva%5B0%5D%5Bfilter%5D%5B0%5D%5Bverdi%5D=&amp;hva%5B0%5D%5Bid%5D=144/når:2019-10-24", "Vegkart")</f>
        <v>Vegkart</v>
      </c>
      <c r="B4782">
        <v>989857711</v>
      </c>
      <c r="C4782">
        <v>144</v>
      </c>
      <c r="D4782" t="s">
        <v>13345</v>
      </c>
      <c r="E4782">
        <v>4820</v>
      </c>
      <c r="F4782" t="s">
        <v>23479</v>
      </c>
      <c r="G4782">
        <v>1</v>
      </c>
      <c r="H4782" t="s">
        <v>15747</v>
      </c>
      <c r="J4782" t="s">
        <v>15636</v>
      </c>
      <c r="K4782" t="s">
        <v>86</v>
      </c>
      <c r="L4782" t="s">
        <v>33</v>
      </c>
      <c r="M4782" t="s">
        <v>15830</v>
      </c>
      <c r="N4782" t="s">
        <v>15930</v>
      </c>
      <c r="O4782" t="s">
        <v>15931</v>
      </c>
      <c r="P4782" s="2" t="s">
        <v>67</v>
      </c>
      <c r="Q4782" t="s">
        <v>68</v>
      </c>
      <c r="R4782">
        <v>5.66</v>
      </c>
      <c r="S4782">
        <v>5.66</v>
      </c>
      <c r="T4782" t="s">
        <v>15932</v>
      </c>
    </row>
    <row r="4783" spans="1:20" x14ac:dyDescent="0.25">
      <c r="A4783" s="1" t="str">
        <f>HYPERLINK("https://vegkart.atlas.vegvesen.no/#/@137723.1,6502020.5,18/hva:hva%5B0%5D%5Bfilter%5D%5B0%5D%5Boperator%5D=%21%3D&amp;hva%5B0%5D%5Bfilter%5D%5B0%5D%5Btype_id%5D=4820&amp;hva%5B0%5D%5Bfilter%5D%5B0%5D%5Bverdi%5D=&amp;hva%5B0%5D%5Bid%5D=144/når:2019-10-24", "Vegkart")</f>
        <v>Vegkart</v>
      </c>
      <c r="B4783">
        <v>989857712</v>
      </c>
      <c r="C4783">
        <v>144</v>
      </c>
      <c r="D4783" t="s">
        <v>13345</v>
      </c>
      <c r="E4783">
        <v>4820</v>
      </c>
      <c r="F4783" t="s">
        <v>23479</v>
      </c>
      <c r="G4783">
        <v>1</v>
      </c>
      <c r="H4783" t="s">
        <v>15747</v>
      </c>
      <c r="J4783" t="s">
        <v>15636</v>
      </c>
      <c r="K4783" t="s">
        <v>86</v>
      </c>
      <c r="L4783" t="s">
        <v>33</v>
      </c>
      <c r="M4783" t="s">
        <v>638</v>
      </c>
      <c r="N4783" t="s">
        <v>15933</v>
      </c>
      <c r="O4783" t="s">
        <v>15934</v>
      </c>
      <c r="P4783" s="2" t="s">
        <v>67</v>
      </c>
      <c r="Q4783" t="s">
        <v>68</v>
      </c>
      <c r="R4783">
        <v>56.85</v>
      </c>
      <c r="S4783">
        <v>57.01</v>
      </c>
      <c r="T4783" t="s">
        <v>15935</v>
      </c>
    </row>
    <row r="4784" spans="1:20" x14ac:dyDescent="0.25">
      <c r="A4784" s="1" t="str">
        <f>HYPERLINK("https://vegkart.atlas.vegvesen.no/#/@139094.1,6500861.9,18/hva:hva%5B0%5D%5Bfilter%5D%5B0%5D%5Boperator%5D=%21%3D&amp;hva%5B0%5D%5Bfilter%5D%5B0%5D%5Btype_id%5D=4820&amp;hva%5B0%5D%5Bfilter%5D%5B0%5D%5Bverdi%5D=&amp;hva%5B0%5D%5Bid%5D=144/når:2019-10-24", "Vegkart")</f>
        <v>Vegkart</v>
      </c>
      <c r="B4784">
        <v>989857713</v>
      </c>
      <c r="C4784">
        <v>144</v>
      </c>
      <c r="D4784" t="s">
        <v>13345</v>
      </c>
      <c r="E4784">
        <v>4820</v>
      </c>
      <c r="F4784" t="s">
        <v>23479</v>
      </c>
      <c r="G4784">
        <v>1</v>
      </c>
      <c r="H4784" t="s">
        <v>15747</v>
      </c>
      <c r="J4784" t="s">
        <v>15636</v>
      </c>
      <c r="K4784" t="s">
        <v>86</v>
      </c>
      <c r="L4784" t="s">
        <v>33</v>
      </c>
      <c r="M4784" t="s">
        <v>15830</v>
      </c>
      <c r="N4784" t="s">
        <v>15936</v>
      </c>
      <c r="O4784" t="s">
        <v>15937</v>
      </c>
      <c r="P4784" s="2" t="s">
        <v>67</v>
      </c>
      <c r="Q4784" t="s">
        <v>68</v>
      </c>
      <c r="R4784">
        <v>9.84</v>
      </c>
      <c r="S4784">
        <v>9.84</v>
      </c>
      <c r="T4784" t="s">
        <v>15938</v>
      </c>
    </row>
    <row r="4785" spans="1:20" x14ac:dyDescent="0.25">
      <c r="A4785" s="1" t="str">
        <f>HYPERLINK("https://vegkart.atlas.vegvesen.no/#/@138014.6,6501674.7,18/hva:hva%5B0%5D%5Bfilter%5D%5B0%5D%5Boperator%5D=%21%3D&amp;hva%5B0%5D%5Bfilter%5D%5B0%5D%5Btype_id%5D=4820&amp;hva%5B0%5D%5Bfilter%5D%5B0%5D%5Bverdi%5D=&amp;hva%5B0%5D%5Bid%5D=144/når:2019-10-24", "Vegkart")</f>
        <v>Vegkart</v>
      </c>
      <c r="B4785">
        <v>989857715</v>
      </c>
      <c r="C4785">
        <v>144</v>
      </c>
      <c r="D4785" t="s">
        <v>13345</v>
      </c>
      <c r="E4785">
        <v>4820</v>
      </c>
      <c r="F4785" t="s">
        <v>23479</v>
      </c>
      <c r="G4785">
        <v>1</v>
      </c>
      <c r="H4785" t="s">
        <v>15747</v>
      </c>
      <c r="J4785" t="s">
        <v>15636</v>
      </c>
      <c r="K4785" t="s">
        <v>86</v>
      </c>
      <c r="L4785" t="s">
        <v>33</v>
      </c>
      <c r="M4785" t="s">
        <v>15830</v>
      </c>
      <c r="N4785" t="s">
        <v>15939</v>
      </c>
      <c r="O4785" t="s">
        <v>15940</v>
      </c>
      <c r="P4785" s="2" t="s">
        <v>67</v>
      </c>
      <c r="Q4785" t="s">
        <v>68</v>
      </c>
      <c r="R4785">
        <v>4.22</v>
      </c>
      <c r="S4785">
        <v>4.22</v>
      </c>
      <c r="T4785" t="s">
        <v>15941</v>
      </c>
    </row>
    <row r="4786" spans="1:20" x14ac:dyDescent="0.25">
      <c r="A4786" s="1" t="str">
        <f>HYPERLINK("https://vegkart.atlas.vegvesen.no/#/@195419.3,6621654.6,18/hva:hva%5B0%5D%5Bfilter%5D%5B0%5D%5Boperator%5D=%21%3D&amp;hva%5B0%5D%5Bfilter%5D%5B0%5D%5Btype_id%5D=4820&amp;hva%5B0%5D%5Bfilter%5D%5B0%5D%5Bverdi%5D=&amp;hva%5B0%5D%5Bid%5D=144/når:2019-12-13", "Vegkart")</f>
        <v>Vegkart</v>
      </c>
      <c r="B4786">
        <v>1005778435</v>
      </c>
      <c r="C4786">
        <v>144</v>
      </c>
      <c r="D4786" t="s">
        <v>13345</v>
      </c>
      <c r="E4786">
        <v>4820</v>
      </c>
      <c r="F4786" t="s">
        <v>23479</v>
      </c>
      <c r="G4786">
        <v>1</v>
      </c>
      <c r="H4786" t="s">
        <v>15942</v>
      </c>
      <c r="J4786" t="s">
        <v>15943</v>
      </c>
      <c r="K4786" t="s">
        <v>307</v>
      </c>
      <c r="L4786" t="s">
        <v>80</v>
      </c>
      <c r="M4786" t="s">
        <v>645</v>
      </c>
      <c r="N4786" t="s">
        <v>15944</v>
      </c>
      <c r="O4786" t="s">
        <v>15945</v>
      </c>
      <c r="P4786" s="2" t="s">
        <v>165</v>
      </c>
      <c r="Q4786" t="s">
        <v>641</v>
      </c>
      <c r="R4786">
        <v>0</v>
      </c>
      <c r="S4786">
        <v>12.98</v>
      </c>
      <c r="T4786" t="s">
        <v>167</v>
      </c>
    </row>
    <row r="4787" spans="1:20" x14ac:dyDescent="0.25">
      <c r="A4787" s="1" t="str">
        <f>HYPERLINK("https://vegkart.atlas.vegvesen.no/#/@194691.0,6621860.8,18/hva:hva%5B0%5D%5Bfilter%5D%5B0%5D%5Boperator%5D=%21%3D&amp;hva%5B0%5D%5Bfilter%5D%5B0%5D%5Btype_id%5D=4820&amp;hva%5B0%5D%5Bfilter%5D%5B0%5D%5Bverdi%5D=&amp;hva%5B0%5D%5Bid%5D=144/når:2019-12-13", "Vegkart")</f>
        <v>Vegkart</v>
      </c>
      <c r="B4787">
        <v>1005778451</v>
      </c>
      <c r="C4787">
        <v>144</v>
      </c>
      <c r="D4787" t="s">
        <v>13345</v>
      </c>
      <c r="E4787">
        <v>4820</v>
      </c>
      <c r="F4787" t="s">
        <v>23479</v>
      </c>
      <c r="G4787">
        <v>1</v>
      </c>
      <c r="H4787" t="s">
        <v>15942</v>
      </c>
      <c r="J4787" t="s">
        <v>15943</v>
      </c>
      <c r="K4787" t="s">
        <v>307</v>
      </c>
      <c r="L4787" t="s">
        <v>80</v>
      </c>
      <c r="M4787" t="s">
        <v>645</v>
      </c>
      <c r="N4787" t="s">
        <v>15946</v>
      </c>
      <c r="O4787" t="s">
        <v>15947</v>
      </c>
      <c r="P4787" s="2" t="s">
        <v>165</v>
      </c>
      <c r="Q4787" t="s">
        <v>641</v>
      </c>
      <c r="R4787">
        <v>0</v>
      </c>
      <c r="S4787">
        <v>162.97999999999999</v>
      </c>
      <c r="T4787" t="s">
        <v>167</v>
      </c>
    </row>
    <row r="4788" spans="1:20" x14ac:dyDescent="0.25">
      <c r="A4788" s="1" t="str">
        <f>HYPERLINK("https://vegkart.atlas.vegvesen.no/#/@196336.1,6621798.3,18/hva:hva%5B0%5D%5Bfilter%5D%5B0%5D%5Boperator%5D=%21%3D&amp;hva%5B0%5D%5Bfilter%5D%5B0%5D%5Btype_id%5D=4820&amp;hva%5B0%5D%5Bfilter%5D%5B0%5D%5Bverdi%5D=&amp;hva%5B0%5D%5Bid%5D=144/når:2019-12-13", "Vegkart")</f>
        <v>Vegkart</v>
      </c>
      <c r="B4788">
        <v>1005778456</v>
      </c>
      <c r="C4788">
        <v>144</v>
      </c>
      <c r="D4788" t="s">
        <v>13345</v>
      </c>
      <c r="E4788">
        <v>4820</v>
      </c>
      <c r="F4788" t="s">
        <v>23479</v>
      </c>
      <c r="G4788">
        <v>1</v>
      </c>
      <c r="H4788" t="s">
        <v>15942</v>
      </c>
      <c r="J4788" t="s">
        <v>15943</v>
      </c>
      <c r="K4788" t="s">
        <v>307</v>
      </c>
      <c r="L4788" t="s">
        <v>80</v>
      </c>
      <c r="M4788" t="s">
        <v>645</v>
      </c>
      <c r="N4788" t="s">
        <v>15948</v>
      </c>
      <c r="O4788" t="s">
        <v>15949</v>
      </c>
      <c r="P4788" s="2" t="s">
        <v>165</v>
      </c>
      <c r="Q4788" t="s">
        <v>641</v>
      </c>
      <c r="R4788">
        <v>0</v>
      </c>
      <c r="S4788">
        <v>6.5</v>
      </c>
      <c r="T4788" t="s">
        <v>167</v>
      </c>
    </row>
    <row r="4789" spans="1:20" x14ac:dyDescent="0.25">
      <c r="A4789" s="1" t="str">
        <f>HYPERLINK("https://vegkart.atlas.vegvesen.no/#/@196342.2,6621794.8,18/hva:hva%5B0%5D%5Bfilter%5D%5B0%5D%5Boperator%5D=%21%3D&amp;hva%5B0%5D%5Bfilter%5D%5B0%5D%5Btype_id%5D=4820&amp;hva%5B0%5D%5Bfilter%5D%5B0%5D%5Bverdi%5D=&amp;hva%5B0%5D%5Bid%5D=144/når:2019-12-13", "Vegkart")</f>
        <v>Vegkart</v>
      </c>
      <c r="B4789">
        <v>1005778471</v>
      </c>
      <c r="C4789">
        <v>144</v>
      </c>
      <c r="D4789" t="s">
        <v>13345</v>
      </c>
      <c r="E4789">
        <v>4820</v>
      </c>
      <c r="F4789" t="s">
        <v>23479</v>
      </c>
      <c r="G4789">
        <v>1</v>
      </c>
      <c r="H4789" t="s">
        <v>15942</v>
      </c>
      <c r="J4789" t="s">
        <v>15943</v>
      </c>
      <c r="K4789" t="s">
        <v>307</v>
      </c>
      <c r="L4789" t="s">
        <v>80</v>
      </c>
      <c r="M4789" t="s">
        <v>645</v>
      </c>
      <c r="N4789" t="s">
        <v>15950</v>
      </c>
      <c r="O4789" t="s">
        <v>15951</v>
      </c>
      <c r="P4789" s="2" t="s">
        <v>165</v>
      </c>
      <c r="Q4789" t="s">
        <v>641</v>
      </c>
      <c r="R4789">
        <v>0</v>
      </c>
      <c r="S4789">
        <v>21.69</v>
      </c>
      <c r="T4789" t="s">
        <v>167</v>
      </c>
    </row>
    <row r="4790" spans="1:20" x14ac:dyDescent="0.25">
      <c r="A4790" s="1" t="str">
        <f>HYPERLINK("https://vegkart.atlas.vegvesen.no/#/@194735.8,6621840.3,18/hva:hva%5B0%5D%5Bfilter%5D%5B0%5D%5Boperator%5D=%21%3D&amp;hva%5B0%5D%5Bfilter%5D%5B0%5D%5Btype_id%5D=4820&amp;hva%5B0%5D%5Bfilter%5D%5B0%5D%5Bverdi%5D=&amp;hva%5B0%5D%5Bid%5D=144/når:2019-12-13", "Vegkart")</f>
        <v>Vegkart</v>
      </c>
      <c r="B4790">
        <v>1005778503</v>
      </c>
      <c r="C4790">
        <v>144</v>
      </c>
      <c r="D4790" t="s">
        <v>13345</v>
      </c>
      <c r="E4790">
        <v>4820</v>
      </c>
      <c r="F4790" t="s">
        <v>23479</v>
      </c>
      <c r="G4790">
        <v>1</v>
      </c>
      <c r="H4790" t="s">
        <v>15942</v>
      </c>
      <c r="J4790" t="s">
        <v>15943</v>
      </c>
      <c r="K4790" t="s">
        <v>307</v>
      </c>
      <c r="L4790" t="s">
        <v>80</v>
      </c>
      <c r="M4790" t="s">
        <v>645</v>
      </c>
      <c r="N4790" t="s">
        <v>15952</v>
      </c>
      <c r="O4790" t="s">
        <v>15953</v>
      </c>
      <c r="P4790" s="2" t="s">
        <v>165</v>
      </c>
      <c r="Q4790" t="s">
        <v>641</v>
      </c>
      <c r="R4790">
        <v>0</v>
      </c>
      <c r="S4790">
        <v>127.7</v>
      </c>
      <c r="T4790" t="s">
        <v>167</v>
      </c>
    </row>
    <row r="4791" spans="1:20" x14ac:dyDescent="0.25">
      <c r="A4791" s="1" t="str">
        <f>HYPERLINK("https://vegkart.atlas.vegvesen.no/#/@-19379.3,6579687.8,18/hva:hva%5B0%5D%5Bfilter%5D%5B0%5D%5Boperator%5D=%21%3D&amp;hva%5B0%5D%5Bfilter%5D%5B0%5D%5Btype_id%5D=4820&amp;hva%5B0%5D%5Bfilter%5D%5B0%5D%5Bverdi%5D=&amp;hva%5B0%5D%5Bid%5D=144/når:2020-01-10", "Vegkart")</f>
        <v>Vegkart</v>
      </c>
      <c r="B4791">
        <v>1006291426</v>
      </c>
      <c r="C4791">
        <v>144</v>
      </c>
      <c r="D4791" t="s">
        <v>13345</v>
      </c>
      <c r="E4791">
        <v>4820</v>
      </c>
      <c r="F4791" t="s">
        <v>23479</v>
      </c>
      <c r="G4791">
        <v>1</v>
      </c>
      <c r="H4791" t="s">
        <v>15954</v>
      </c>
      <c r="J4791" t="s">
        <v>15943</v>
      </c>
      <c r="K4791" t="s">
        <v>170</v>
      </c>
      <c r="L4791" t="s">
        <v>113</v>
      </c>
      <c r="M4791" t="s">
        <v>114</v>
      </c>
      <c r="N4791" t="s">
        <v>15955</v>
      </c>
      <c r="O4791" t="s">
        <v>15956</v>
      </c>
      <c r="P4791" s="2" t="s">
        <v>67</v>
      </c>
      <c r="Q4791" t="s">
        <v>68</v>
      </c>
      <c r="R4791">
        <v>772.92</v>
      </c>
      <c r="S4791">
        <v>822.45</v>
      </c>
      <c r="T4791" t="s">
        <v>15957</v>
      </c>
    </row>
    <row r="4792" spans="1:20" x14ac:dyDescent="0.25">
      <c r="A4792" s="1" t="str">
        <f>HYPERLINK("https://vegkart.atlas.vegvesen.no/#/@197954.4,6655819.6,18/hva:hva%5B0%5D%5Bfilter%5D%5B0%5D%5Boperator%5D=%21%3D&amp;hva%5B0%5D%5Bfilter%5D%5B0%5D%5Btype_id%5D=4820&amp;hva%5B0%5D%5Bfilter%5D%5B0%5D%5Bverdi%5D=&amp;hva%5B0%5D%5Bid%5D=144/når:2020-02-03", "Vegkart")</f>
        <v>Vegkart</v>
      </c>
      <c r="B4792">
        <v>1006726898</v>
      </c>
      <c r="C4792">
        <v>144</v>
      </c>
      <c r="D4792" t="s">
        <v>13345</v>
      </c>
      <c r="E4792">
        <v>4820</v>
      </c>
      <c r="F4792" t="s">
        <v>23479</v>
      </c>
      <c r="G4792">
        <v>1</v>
      </c>
      <c r="H4792" t="s">
        <v>15958</v>
      </c>
      <c r="J4792" t="s">
        <v>15943</v>
      </c>
      <c r="K4792" t="s">
        <v>307</v>
      </c>
      <c r="L4792" t="s">
        <v>33</v>
      </c>
      <c r="M4792" t="s">
        <v>13355</v>
      </c>
      <c r="N4792" t="s">
        <v>15959</v>
      </c>
      <c r="O4792" t="s">
        <v>15960</v>
      </c>
      <c r="P4792" s="2" t="s">
        <v>37</v>
      </c>
      <c r="Q4792" t="s">
        <v>1208</v>
      </c>
      <c r="R4792">
        <v>5.1100000000000003</v>
      </c>
      <c r="S4792">
        <v>6.23</v>
      </c>
      <c r="T4792" t="s">
        <v>15961</v>
      </c>
    </row>
    <row r="4793" spans="1:20" x14ac:dyDescent="0.25">
      <c r="A4793" s="1" t="str">
        <f>HYPERLINK("https://vegkart.atlas.vegvesen.no/#/@419902.7,7308456.2,18/hva:hva%5B0%5D%5Bfilter%5D%5B0%5D%5Boperator%5D=%21%3D&amp;hva%5B0%5D%5Bfilter%5D%5B0%5D%5Btype_id%5D=4820&amp;hva%5B0%5D%5Bfilter%5D%5B0%5D%5Bverdi%5D=&amp;hva%5B0%5D%5Bid%5D=144/når:2021-02-08", "Vegkart")</f>
        <v>Vegkart</v>
      </c>
      <c r="B4793">
        <v>1013308471</v>
      </c>
      <c r="C4793">
        <v>144</v>
      </c>
      <c r="D4793" t="s">
        <v>13345</v>
      </c>
      <c r="E4793">
        <v>4820</v>
      </c>
      <c r="F4793" t="s">
        <v>23479</v>
      </c>
      <c r="G4793">
        <v>1</v>
      </c>
      <c r="H4793" t="s">
        <v>15962</v>
      </c>
      <c r="J4793" t="s">
        <v>15963</v>
      </c>
      <c r="K4793" t="s">
        <v>53</v>
      </c>
      <c r="L4793" t="s">
        <v>33</v>
      </c>
      <c r="M4793" t="s">
        <v>5766</v>
      </c>
      <c r="N4793" t="s">
        <v>15964</v>
      </c>
      <c r="O4793" t="s">
        <v>15965</v>
      </c>
      <c r="P4793" s="2" t="s">
        <v>165</v>
      </c>
      <c r="Q4793" t="s">
        <v>641</v>
      </c>
      <c r="R4793">
        <v>0</v>
      </c>
      <c r="S4793">
        <v>313.55</v>
      </c>
      <c r="T4793" t="s">
        <v>167</v>
      </c>
    </row>
    <row r="4794" spans="1:20" x14ac:dyDescent="0.25">
      <c r="A4794" s="1" t="str">
        <f>HYPERLINK("https://vegkart.atlas.vegvesen.no/#/@-40612.6,6564831.6,18/hva:hva%5B0%5D%5Bfilter%5D%5B0%5D%5Boperator%5D=%21%3D&amp;hva%5B0%5D%5Bfilter%5D%5B0%5D%5Btype_id%5D=4820&amp;hva%5B0%5D%5Bfilter%5D%5B0%5D%5Bverdi%5D=&amp;hva%5B0%5D%5Bid%5D=144/når:2021-03-16", "Vegkart")</f>
        <v>Vegkart</v>
      </c>
      <c r="B4794">
        <v>1013384271</v>
      </c>
      <c r="C4794">
        <v>144</v>
      </c>
      <c r="D4794" t="s">
        <v>13345</v>
      </c>
      <c r="E4794">
        <v>4820</v>
      </c>
      <c r="F4794" t="s">
        <v>23479</v>
      </c>
      <c r="G4794">
        <v>1</v>
      </c>
      <c r="H4794" t="s">
        <v>15966</v>
      </c>
      <c r="J4794" t="s">
        <v>15963</v>
      </c>
      <c r="K4794" t="s">
        <v>170</v>
      </c>
      <c r="L4794" t="s">
        <v>33</v>
      </c>
      <c r="M4794" t="s">
        <v>15967</v>
      </c>
      <c r="N4794" t="s">
        <v>15968</v>
      </c>
      <c r="O4794" t="s">
        <v>15969</v>
      </c>
      <c r="P4794" s="2" t="s">
        <v>67</v>
      </c>
      <c r="Q4794" t="s">
        <v>68</v>
      </c>
      <c r="R4794">
        <v>3.83</v>
      </c>
      <c r="S4794">
        <v>3.83</v>
      </c>
      <c r="T4794" t="s">
        <v>15970</v>
      </c>
    </row>
    <row r="4795" spans="1:20" x14ac:dyDescent="0.25">
      <c r="A4795" s="1" t="str">
        <f>HYPERLINK("https://vegkart.atlas.vegvesen.no/#/@332643.9,6675821.9,18/hva:hva%5B0%5D%5Bfilter%5D%5B0%5D%5Boperator%5D=%21%3D&amp;hva%5B0%5D%5Bfilter%5D%5B0%5D%5Btype_id%5D=4820&amp;hva%5B0%5D%5Bfilter%5D%5B0%5D%5Bverdi%5D=&amp;hva%5B0%5D%5Bid%5D=144/når:2021-04-26", "Vegkart")</f>
        <v>Vegkart</v>
      </c>
      <c r="B4795">
        <v>1013506058</v>
      </c>
      <c r="C4795">
        <v>144</v>
      </c>
      <c r="D4795" t="s">
        <v>13345</v>
      </c>
      <c r="E4795">
        <v>4820</v>
      </c>
      <c r="F4795" t="s">
        <v>23479</v>
      </c>
      <c r="G4795">
        <v>1</v>
      </c>
      <c r="H4795" t="s">
        <v>15971</v>
      </c>
      <c r="J4795" t="s">
        <v>15963</v>
      </c>
      <c r="K4795" t="s">
        <v>136</v>
      </c>
      <c r="L4795" t="s">
        <v>22</v>
      </c>
      <c r="M4795" t="s">
        <v>15972</v>
      </c>
      <c r="N4795" t="s">
        <v>15973</v>
      </c>
      <c r="O4795" t="s">
        <v>15974</v>
      </c>
      <c r="P4795" s="2" t="s">
        <v>37</v>
      </c>
      <c r="Q4795" t="s">
        <v>1208</v>
      </c>
      <c r="R4795">
        <v>2.72</v>
      </c>
      <c r="S4795">
        <v>8.19</v>
      </c>
      <c r="T4795" t="s">
        <v>15975</v>
      </c>
    </row>
    <row r="4796" spans="1:20" x14ac:dyDescent="0.25">
      <c r="A4796" s="1" t="str">
        <f>HYPERLINK("https://vegkart.atlas.vegvesen.no/#/@-52505.3,6812127.7,18/hva:hva%5B0%5D%5Bfilter%5D%5B0%5D%5Boperator%5D=%21%3D&amp;hva%5B0%5D%5Bfilter%5D%5B0%5D%5Btype_id%5D=4820&amp;hva%5B0%5D%5Bfilter%5D%5B0%5D%5Bverdi%5D=&amp;hva%5B0%5D%5Bid%5D=144/når:2021-07-28", "Vegkart")</f>
        <v>Vegkart</v>
      </c>
      <c r="B4796">
        <v>1013870926</v>
      </c>
      <c r="C4796">
        <v>144</v>
      </c>
      <c r="D4796" t="s">
        <v>13345</v>
      </c>
      <c r="E4796">
        <v>4820</v>
      </c>
      <c r="F4796" t="s">
        <v>23479</v>
      </c>
      <c r="G4796">
        <v>1</v>
      </c>
      <c r="H4796" t="s">
        <v>15976</v>
      </c>
      <c r="J4796" t="s">
        <v>15977</v>
      </c>
      <c r="K4796" t="s">
        <v>21</v>
      </c>
      <c r="L4796" t="s">
        <v>33</v>
      </c>
      <c r="M4796" t="s">
        <v>15978</v>
      </c>
      <c r="N4796" t="s">
        <v>15979</v>
      </c>
      <c r="O4796" t="s">
        <v>15980</v>
      </c>
      <c r="P4796" s="2" t="s">
        <v>67</v>
      </c>
      <c r="Q4796" t="s">
        <v>68</v>
      </c>
      <c r="R4796">
        <v>4.8499999999999996</v>
      </c>
      <c r="S4796">
        <v>4.8499999999999996</v>
      </c>
      <c r="T4796" t="s">
        <v>15981</v>
      </c>
    </row>
    <row r="4797" spans="1:20" x14ac:dyDescent="0.25">
      <c r="A4797" s="1" t="str">
        <f>HYPERLINK("https://vegkart.atlas.vegvesen.no/#/@-52505.0,6812125.8,18/hva:hva%5B0%5D%5Bfilter%5D%5B0%5D%5Boperator%5D=%21%3D&amp;hva%5B0%5D%5Bfilter%5D%5B0%5D%5Btype_id%5D=4820&amp;hva%5B0%5D%5Bfilter%5D%5B0%5D%5Bverdi%5D=&amp;hva%5B0%5D%5Bid%5D=144/når:2021-07-28", "Vegkart")</f>
        <v>Vegkart</v>
      </c>
      <c r="B4797">
        <v>1013870932</v>
      </c>
      <c r="C4797">
        <v>144</v>
      </c>
      <c r="D4797" t="s">
        <v>13345</v>
      </c>
      <c r="E4797">
        <v>4820</v>
      </c>
      <c r="F4797" t="s">
        <v>23479</v>
      </c>
      <c r="G4797">
        <v>1</v>
      </c>
      <c r="H4797" t="s">
        <v>15976</v>
      </c>
      <c r="J4797" t="s">
        <v>15977</v>
      </c>
      <c r="K4797" t="s">
        <v>21</v>
      </c>
      <c r="L4797" t="s">
        <v>33</v>
      </c>
      <c r="M4797" t="s">
        <v>15978</v>
      </c>
      <c r="N4797" t="s">
        <v>15982</v>
      </c>
      <c r="O4797" t="s">
        <v>15983</v>
      </c>
      <c r="P4797" s="2" t="s">
        <v>67</v>
      </c>
      <c r="Q4797" t="s">
        <v>68</v>
      </c>
      <c r="R4797">
        <v>2.86</v>
      </c>
      <c r="S4797">
        <v>2.88</v>
      </c>
      <c r="T4797" t="s">
        <v>15984</v>
      </c>
    </row>
    <row r="4798" spans="1:20" x14ac:dyDescent="0.25">
      <c r="A4798" s="1" t="str">
        <f>HYPERLINK("https://vegkart.atlas.vegvesen.no/#/@-52501.4,6812123.2,18/hva:hva%5B0%5D%5Bfilter%5D%5B0%5D%5Boperator%5D=%21%3D&amp;hva%5B0%5D%5Bfilter%5D%5B0%5D%5Btype_id%5D=4820&amp;hva%5B0%5D%5Bfilter%5D%5B0%5D%5Bverdi%5D=&amp;hva%5B0%5D%5Bid%5D=144/når:2021-07-28", "Vegkart")</f>
        <v>Vegkart</v>
      </c>
      <c r="B4798">
        <v>1013870933</v>
      </c>
      <c r="C4798">
        <v>144</v>
      </c>
      <c r="D4798" t="s">
        <v>13345</v>
      </c>
      <c r="E4798">
        <v>4820</v>
      </c>
      <c r="F4798" t="s">
        <v>23479</v>
      </c>
      <c r="G4798">
        <v>1</v>
      </c>
      <c r="H4798" t="s">
        <v>15976</v>
      </c>
      <c r="J4798" t="s">
        <v>15977</v>
      </c>
      <c r="K4798" t="s">
        <v>21</v>
      </c>
      <c r="L4798" t="s">
        <v>33</v>
      </c>
      <c r="M4798" t="s">
        <v>15978</v>
      </c>
      <c r="N4798" t="s">
        <v>15985</v>
      </c>
      <c r="O4798" t="s">
        <v>15986</v>
      </c>
      <c r="P4798" s="2" t="s">
        <v>67</v>
      </c>
      <c r="Q4798" t="s">
        <v>68</v>
      </c>
      <c r="R4798">
        <v>6.06</v>
      </c>
      <c r="S4798">
        <v>6.07</v>
      </c>
      <c r="T4798" t="s">
        <v>15987</v>
      </c>
    </row>
    <row r="4799" spans="1:20" x14ac:dyDescent="0.25">
      <c r="A4799" s="1" t="str">
        <f>HYPERLINK("https://vegkart.atlas.vegvesen.no/#/@-52510.8,6812134.3,18/hva:hva%5B0%5D%5Bfilter%5D%5B0%5D%5Boperator%5D=%21%3D&amp;hva%5B0%5D%5Bfilter%5D%5B0%5D%5Btype_id%5D=4820&amp;hva%5B0%5D%5Bfilter%5D%5B0%5D%5Bverdi%5D=&amp;hva%5B0%5D%5Bid%5D=144/når:2021-07-28", "Vegkart")</f>
        <v>Vegkart</v>
      </c>
      <c r="B4799">
        <v>1013870937</v>
      </c>
      <c r="C4799">
        <v>144</v>
      </c>
      <c r="D4799" t="s">
        <v>13345</v>
      </c>
      <c r="E4799">
        <v>4820</v>
      </c>
      <c r="F4799" t="s">
        <v>23479</v>
      </c>
      <c r="G4799">
        <v>1</v>
      </c>
      <c r="H4799" t="s">
        <v>15976</v>
      </c>
      <c r="J4799" t="s">
        <v>15977</v>
      </c>
      <c r="K4799" t="s">
        <v>21</v>
      </c>
      <c r="L4799" t="s">
        <v>33</v>
      </c>
      <c r="M4799" t="s">
        <v>15978</v>
      </c>
      <c r="N4799" t="s">
        <v>15988</v>
      </c>
      <c r="O4799" t="s">
        <v>15989</v>
      </c>
      <c r="P4799" s="2" t="s">
        <v>67</v>
      </c>
      <c r="Q4799" t="s">
        <v>68</v>
      </c>
      <c r="R4799">
        <v>17.71</v>
      </c>
      <c r="S4799">
        <v>18.07</v>
      </c>
      <c r="T4799" t="s">
        <v>15990</v>
      </c>
    </row>
    <row r="4800" spans="1:20" x14ac:dyDescent="0.25">
      <c r="A4800" s="1" t="str">
        <f>HYPERLINK("https://vegkart.atlas.vegvesen.no/#/@-52510.6,6812130.8,18/hva:hva%5B0%5D%5Bfilter%5D%5B0%5D%5Boperator%5D=%21%3D&amp;hva%5B0%5D%5Bfilter%5D%5B0%5D%5Btype_id%5D=4820&amp;hva%5B0%5D%5Bfilter%5D%5B0%5D%5Bverdi%5D=&amp;hva%5B0%5D%5Bid%5D=144/når:2021-07-28", "Vegkart")</f>
        <v>Vegkart</v>
      </c>
      <c r="B4800">
        <v>1013870951</v>
      </c>
      <c r="C4800">
        <v>144</v>
      </c>
      <c r="D4800" t="s">
        <v>13345</v>
      </c>
      <c r="E4800">
        <v>4820</v>
      </c>
      <c r="F4800" t="s">
        <v>23479</v>
      </c>
      <c r="G4800">
        <v>1</v>
      </c>
      <c r="H4800" t="s">
        <v>15976</v>
      </c>
      <c r="J4800" t="s">
        <v>15977</v>
      </c>
      <c r="K4800" t="s">
        <v>21</v>
      </c>
      <c r="L4800" t="s">
        <v>33</v>
      </c>
      <c r="M4800" t="s">
        <v>15978</v>
      </c>
      <c r="N4800" t="s">
        <v>15991</v>
      </c>
      <c r="O4800" t="s">
        <v>15992</v>
      </c>
      <c r="P4800" s="2" t="s">
        <v>67</v>
      </c>
      <c r="Q4800" t="s">
        <v>68</v>
      </c>
      <c r="R4800">
        <v>22.88</v>
      </c>
      <c r="S4800">
        <v>22.98</v>
      </c>
      <c r="T4800" t="s">
        <v>15993</v>
      </c>
    </row>
    <row r="4801" spans="1:20" x14ac:dyDescent="0.25">
      <c r="A4801" s="1" t="str">
        <f>HYPERLINK("https://vegkart.atlas.vegvesen.no/#/@-52510.4,6812136.4,18/hva:hva%5B0%5D%5Bfilter%5D%5B0%5D%5Boperator%5D=%21%3D&amp;hva%5B0%5D%5Bfilter%5D%5B0%5D%5Btype_id%5D=4820&amp;hva%5B0%5D%5Bfilter%5D%5B0%5D%5Bverdi%5D=&amp;hva%5B0%5D%5Bid%5D=144/når:2021-07-28", "Vegkart")</f>
        <v>Vegkart</v>
      </c>
      <c r="B4801">
        <v>1013870957</v>
      </c>
      <c r="C4801">
        <v>144</v>
      </c>
      <c r="D4801" t="s">
        <v>13345</v>
      </c>
      <c r="E4801">
        <v>4820</v>
      </c>
      <c r="F4801" t="s">
        <v>23479</v>
      </c>
      <c r="G4801">
        <v>1</v>
      </c>
      <c r="H4801" t="s">
        <v>15976</v>
      </c>
      <c r="J4801" t="s">
        <v>15977</v>
      </c>
      <c r="K4801" t="s">
        <v>21</v>
      </c>
      <c r="L4801" t="s">
        <v>33</v>
      </c>
      <c r="M4801" t="s">
        <v>15978</v>
      </c>
      <c r="N4801" t="s">
        <v>15994</v>
      </c>
      <c r="O4801" t="s">
        <v>15995</v>
      </c>
      <c r="P4801" s="2" t="s">
        <v>37</v>
      </c>
      <c r="Q4801" t="s">
        <v>1208</v>
      </c>
      <c r="R4801">
        <v>16.760000000000002</v>
      </c>
      <c r="S4801">
        <v>18.46</v>
      </c>
      <c r="T4801" t="s">
        <v>15996</v>
      </c>
    </row>
    <row r="4802" spans="1:20" x14ac:dyDescent="0.25">
      <c r="A4802" s="1" t="str">
        <f>HYPERLINK("https://vegkart.atlas.vegvesen.no/#/@-52501.9,6812121.8,18/hva:hva%5B0%5D%5Bfilter%5D%5B0%5D%5Boperator%5D=%21%3D&amp;hva%5B0%5D%5Bfilter%5D%5B0%5D%5Btype_id%5D=4820&amp;hva%5B0%5D%5Bfilter%5D%5B0%5D%5Bverdi%5D=&amp;hva%5B0%5D%5Bid%5D=144/når:2021-07-28", "Vegkart")</f>
        <v>Vegkart</v>
      </c>
      <c r="B4802">
        <v>1013870976</v>
      </c>
      <c r="C4802">
        <v>144</v>
      </c>
      <c r="D4802" t="s">
        <v>13345</v>
      </c>
      <c r="E4802">
        <v>4820</v>
      </c>
      <c r="F4802" t="s">
        <v>23479</v>
      </c>
      <c r="G4802">
        <v>1</v>
      </c>
      <c r="H4802" t="s">
        <v>15976</v>
      </c>
      <c r="J4802" t="s">
        <v>15977</v>
      </c>
      <c r="K4802" t="s">
        <v>21</v>
      </c>
      <c r="L4802" t="s">
        <v>33</v>
      </c>
      <c r="M4802" t="s">
        <v>15978</v>
      </c>
      <c r="N4802" t="s">
        <v>15997</v>
      </c>
      <c r="O4802" t="s">
        <v>15998</v>
      </c>
      <c r="P4802" s="2" t="s">
        <v>67</v>
      </c>
      <c r="Q4802" t="s">
        <v>68</v>
      </c>
      <c r="R4802">
        <v>3.52</v>
      </c>
      <c r="S4802">
        <v>3.57</v>
      </c>
      <c r="T4802" t="s">
        <v>15999</v>
      </c>
    </row>
    <row r="4803" spans="1:20" x14ac:dyDescent="0.25">
      <c r="A4803" s="1" t="str">
        <f>HYPERLINK("https://vegkart.atlas.vegvesen.no/#/@-52500.8,6812125.0,18/hva:hva%5B0%5D%5Bfilter%5D%5B0%5D%5Boperator%5D=%21%3D&amp;hva%5B0%5D%5Bfilter%5D%5B0%5D%5Btype_id%5D=4820&amp;hva%5B0%5D%5Bfilter%5D%5B0%5D%5Bverdi%5D=&amp;hva%5B0%5D%5Bid%5D=144/når:2021-07-28", "Vegkart")</f>
        <v>Vegkart</v>
      </c>
      <c r="B4803">
        <v>1013870999</v>
      </c>
      <c r="C4803">
        <v>144</v>
      </c>
      <c r="D4803" t="s">
        <v>13345</v>
      </c>
      <c r="E4803">
        <v>4820</v>
      </c>
      <c r="F4803" t="s">
        <v>23479</v>
      </c>
      <c r="G4803">
        <v>1</v>
      </c>
      <c r="H4803" t="s">
        <v>15976</v>
      </c>
      <c r="J4803" t="s">
        <v>15977</v>
      </c>
      <c r="K4803" t="s">
        <v>21</v>
      </c>
      <c r="L4803" t="s">
        <v>33</v>
      </c>
      <c r="M4803" t="s">
        <v>15978</v>
      </c>
      <c r="N4803" t="s">
        <v>16000</v>
      </c>
      <c r="O4803" t="s">
        <v>16001</v>
      </c>
      <c r="P4803" s="2" t="s">
        <v>37</v>
      </c>
      <c r="Q4803" t="s">
        <v>1208</v>
      </c>
      <c r="R4803">
        <v>6.64</v>
      </c>
      <c r="S4803">
        <v>8.23</v>
      </c>
      <c r="T4803" t="s">
        <v>16002</v>
      </c>
    </row>
    <row r="4804" spans="1:20" x14ac:dyDescent="0.25">
      <c r="A4804" s="1" t="str">
        <f>HYPERLINK("https://vegkart.atlas.vegvesen.no/#/@995859.4,7841882.5,18/hva:hva%5B0%5D%5Bfilter%5D%5B0%5D%5Boperator%5D=%21%3D&amp;hva%5B0%5D%5Bfilter%5D%5B0%5D%5Btype_id%5D=4820&amp;hva%5B0%5D%5Bfilter%5D%5B0%5D%5Bverdi%5D=&amp;hva%5B0%5D%5Bid%5D=144/når:2021-08-11", "Vegkart")</f>
        <v>Vegkart</v>
      </c>
      <c r="B4804">
        <v>1013913977</v>
      </c>
      <c r="C4804">
        <v>144</v>
      </c>
      <c r="D4804" t="s">
        <v>13345</v>
      </c>
      <c r="E4804">
        <v>4820</v>
      </c>
      <c r="F4804" t="s">
        <v>23479</v>
      </c>
      <c r="G4804">
        <v>1</v>
      </c>
      <c r="H4804" t="s">
        <v>7590</v>
      </c>
      <c r="J4804" t="s">
        <v>15977</v>
      </c>
      <c r="K4804" t="s">
        <v>450</v>
      </c>
      <c r="L4804" t="s">
        <v>80</v>
      </c>
      <c r="M4804" t="s">
        <v>105</v>
      </c>
      <c r="N4804" t="s">
        <v>16003</v>
      </c>
      <c r="O4804" t="s">
        <v>16004</v>
      </c>
      <c r="P4804" s="2" t="s">
        <v>165</v>
      </c>
      <c r="Q4804" t="s">
        <v>641</v>
      </c>
      <c r="R4804">
        <v>3.48</v>
      </c>
      <c r="S4804">
        <v>37.68</v>
      </c>
      <c r="T4804" t="s">
        <v>167</v>
      </c>
    </row>
    <row r="4805" spans="1:20" x14ac:dyDescent="0.25">
      <c r="A4805" s="1" t="str">
        <f>HYPERLINK("https://vegkart.atlas.vegvesen.no/#/@-40018.2,6620622.8,18/hva:hva%5B0%5D%5Bfilter%5D%5B0%5D%5Boperator%5D=%21%3D&amp;hva%5B0%5D%5Bfilter%5D%5B0%5D%5Btype_id%5D=4820&amp;hva%5B0%5D%5Bfilter%5D%5B0%5D%5Bverdi%5D=&amp;hva%5B0%5D%5Bid%5D=144/når:2021-08-27", "Vegkart")</f>
        <v>Vegkart</v>
      </c>
      <c r="B4805">
        <v>1013954842</v>
      </c>
      <c r="C4805">
        <v>144</v>
      </c>
      <c r="D4805" t="s">
        <v>13345</v>
      </c>
      <c r="E4805">
        <v>4820</v>
      </c>
      <c r="F4805" t="s">
        <v>23479</v>
      </c>
      <c r="G4805">
        <v>1</v>
      </c>
      <c r="H4805" t="s">
        <v>16005</v>
      </c>
      <c r="J4805" t="s">
        <v>15977</v>
      </c>
      <c r="K4805" t="s">
        <v>170</v>
      </c>
      <c r="L4805" t="s">
        <v>33</v>
      </c>
      <c r="M4805" t="s">
        <v>12901</v>
      </c>
      <c r="N4805" t="s">
        <v>16006</v>
      </c>
      <c r="O4805" t="s">
        <v>16007</v>
      </c>
      <c r="P4805" s="2" t="s">
        <v>67</v>
      </c>
      <c r="Q4805" t="s">
        <v>68</v>
      </c>
      <c r="R4805">
        <v>3.03</v>
      </c>
      <c r="S4805">
        <v>3.03</v>
      </c>
      <c r="T4805" t="s">
        <v>16008</v>
      </c>
    </row>
    <row r="4806" spans="1:20" x14ac:dyDescent="0.25">
      <c r="A4806" s="1" t="str">
        <f>HYPERLINK("https://vegkart.atlas.vegvesen.no/#/@-40019.0,6620620.1,18/hva:hva%5B0%5D%5Bfilter%5D%5B0%5D%5Boperator%5D=%21%3D&amp;hva%5B0%5D%5Bfilter%5D%5B0%5D%5Btype_id%5D=4820&amp;hva%5B0%5D%5Bfilter%5D%5B0%5D%5Bverdi%5D=&amp;hva%5B0%5D%5Bid%5D=144/når:2021-08-27", "Vegkart")</f>
        <v>Vegkart</v>
      </c>
      <c r="B4806">
        <v>1013954843</v>
      </c>
      <c r="C4806">
        <v>144</v>
      </c>
      <c r="D4806" t="s">
        <v>13345</v>
      </c>
      <c r="E4806">
        <v>4820</v>
      </c>
      <c r="F4806" t="s">
        <v>23479</v>
      </c>
      <c r="G4806">
        <v>1</v>
      </c>
      <c r="H4806" t="s">
        <v>16005</v>
      </c>
      <c r="J4806" t="s">
        <v>15977</v>
      </c>
      <c r="K4806" t="s">
        <v>170</v>
      </c>
      <c r="L4806" t="s">
        <v>33</v>
      </c>
      <c r="M4806" t="s">
        <v>12901</v>
      </c>
      <c r="N4806" t="s">
        <v>16009</v>
      </c>
      <c r="O4806" t="s">
        <v>16010</v>
      </c>
      <c r="P4806" s="2" t="s">
        <v>67</v>
      </c>
      <c r="Q4806" t="s">
        <v>68</v>
      </c>
      <c r="R4806">
        <v>3.08</v>
      </c>
      <c r="S4806">
        <v>3.08</v>
      </c>
      <c r="T4806" t="s">
        <v>16011</v>
      </c>
    </row>
    <row r="4807" spans="1:20" x14ac:dyDescent="0.25">
      <c r="A4807" s="1" t="str">
        <f>HYPERLINK("https://vegkart.atlas.vegvesen.no/#/@-40018.8,6620616.5,18/hva:hva%5B0%5D%5Bfilter%5D%5B0%5D%5Boperator%5D=%21%3D&amp;hva%5B0%5D%5Bfilter%5D%5B0%5D%5Btype_id%5D=4820&amp;hva%5B0%5D%5Bfilter%5D%5B0%5D%5Bverdi%5D=&amp;hva%5B0%5D%5Bid%5D=144/når:2021-08-27", "Vegkart")</f>
        <v>Vegkart</v>
      </c>
      <c r="B4807">
        <v>1013954844</v>
      </c>
      <c r="C4807">
        <v>144</v>
      </c>
      <c r="D4807" t="s">
        <v>13345</v>
      </c>
      <c r="E4807">
        <v>4820</v>
      </c>
      <c r="F4807" t="s">
        <v>23479</v>
      </c>
      <c r="G4807">
        <v>1</v>
      </c>
      <c r="H4807" t="s">
        <v>16005</v>
      </c>
      <c r="J4807" t="s">
        <v>15977</v>
      </c>
      <c r="K4807" t="s">
        <v>170</v>
      </c>
      <c r="L4807" t="s">
        <v>33</v>
      </c>
      <c r="M4807" t="s">
        <v>12901</v>
      </c>
      <c r="N4807" t="s">
        <v>16012</v>
      </c>
      <c r="O4807" t="s">
        <v>16013</v>
      </c>
      <c r="P4807" s="2" t="s">
        <v>67</v>
      </c>
      <c r="Q4807" t="s">
        <v>68</v>
      </c>
      <c r="R4807">
        <v>3.62</v>
      </c>
      <c r="S4807">
        <v>3.62</v>
      </c>
      <c r="T4807" t="s">
        <v>16014</v>
      </c>
    </row>
    <row r="4808" spans="1:20" x14ac:dyDescent="0.25">
      <c r="A4808" s="1" t="str">
        <f>HYPERLINK("https://vegkart.atlas.vegvesen.no/#/@-40019.6,6620609.9,18/hva:hva%5B0%5D%5Bfilter%5D%5B0%5D%5Boperator%5D=%21%3D&amp;hva%5B0%5D%5Bfilter%5D%5B0%5D%5Btype_id%5D=4820&amp;hva%5B0%5D%5Bfilter%5D%5B0%5D%5Bverdi%5D=&amp;hva%5B0%5D%5Bid%5D=144/når:2021-08-27", "Vegkart")</f>
        <v>Vegkart</v>
      </c>
      <c r="B4808">
        <v>1013954845</v>
      </c>
      <c r="C4808">
        <v>144</v>
      </c>
      <c r="D4808" t="s">
        <v>13345</v>
      </c>
      <c r="E4808">
        <v>4820</v>
      </c>
      <c r="F4808" t="s">
        <v>23479</v>
      </c>
      <c r="G4808">
        <v>1</v>
      </c>
      <c r="H4808" t="s">
        <v>16005</v>
      </c>
      <c r="J4808" t="s">
        <v>15977</v>
      </c>
      <c r="K4808" t="s">
        <v>170</v>
      </c>
      <c r="L4808" t="s">
        <v>33</v>
      </c>
      <c r="M4808" t="s">
        <v>12901</v>
      </c>
      <c r="N4808" t="s">
        <v>16015</v>
      </c>
      <c r="O4808" t="s">
        <v>16016</v>
      </c>
      <c r="P4808" s="2" t="s">
        <v>67</v>
      </c>
      <c r="Q4808" t="s">
        <v>68</v>
      </c>
      <c r="R4808">
        <v>3.9</v>
      </c>
      <c r="S4808">
        <v>3.9</v>
      </c>
      <c r="T4808" t="s">
        <v>16017</v>
      </c>
    </row>
    <row r="4809" spans="1:20" x14ac:dyDescent="0.25">
      <c r="A4809" s="1" t="str">
        <f>HYPERLINK("https://vegkart.atlas.vegvesen.no/#/@-40018.9,6620606.4,18/hva:hva%5B0%5D%5Bfilter%5D%5B0%5D%5Boperator%5D=%21%3D&amp;hva%5B0%5D%5Bfilter%5D%5B0%5D%5Btype_id%5D=4820&amp;hva%5B0%5D%5Bfilter%5D%5B0%5D%5Bverdi%5D=&amp;hva%5B0%5D%5Bid%5D=144/når:2021-08-27", "Vegkart")</f>
        <v>Vegkart</v>
      </c>
      <c r="B4809">
        <v>1013954846</v>
      </c>
      <c r="C4809">
        <v>144</v>
      </c>
      <c r="D4809" t="s">
        <v>13345</v>
      </c>
      <c r="E4809">
        <v>4820</v>
      </c>
      <c r="F4809" t="s">
        <v>23479</v>
      </c>
      <c r="G4809">
        <v>1</v>
      </c>
      <c r="H4809" t="s">
        <v>16005</v>
      </c>
      <c r="J4809" t="s">
        <v>15977</v>
      </c>
      <c r="K4809" t="s">
        <v>170</v>
      </c>
      <c r="L4809" t="s">
        <v>33</v>
      </c>
      <c r="M4809" t="s">
        <v>12901</v>
      </c>
      <c r="N4809" t="s">
        <v>16018</v>
      </c>
      <c r="O4809" t="s">
        <v>16019</v>
      </c>
      <c r="P4809" s="2" t="s">
        <v>67</v>
      </c>
      <c r="Q4809" t="s">
        <v>68</v>
      </c>
      <c r="R4809">
        <v>6.17</v>
      </c>
      <c r="S4809">
        <v>6.47</v>
      </c>
      <c r="T4809" t="s">
        <v>16020</v>
      </c>
    </row>
    <row r="4810" spans="1:20" x14ac:dyDescent="0.25">
      <c r="A4810" s="1" t="str">
        <f>HYPERLINK("https://vegkart.atlas.vegvesen.no/#/@-20578.8,6707518.7,18/hva:hva%5B0%5D%5Bfilter%5D%5B0%5D%5Boperator%5D=%21%3D&amp;hva%5B0%5D%5Bfilter%5D%5B0%5D%5Btype_id%5D=4820&amp;hva%5B0%5D%5Bfilter%5D%5B0%5D%5Bverdi%5D=&amp;hva%5B0%5D%5Bid%5D=144/når:2021-11-16", "Vegkart")</f>
        <v>Vegkart</v>
      </c>
      <c r="B4810">
        <v>1014199909</v>
      </c>
      <c r="C4810">
        <v>144</v>
      </c>
      <c r="D4810" t="s">
        <v>13345</v>
      </c>
      <c r="E4810">
        <v>4820</v>
      </c>
      <c r="F4810" t="s">
        <v>23479</v>
      </c>
      <c r="G4810">
        <v>1</v>
      </c>
      <c r="H4810" t="s">
        <v>16021</v>
      </c>
      <c r="J4810" t="s">
        <v>15977</v>
      </c>
      <c r="K4810" t="s">
        <v>21</v>
      </c>
      <c r="L4810" t="s">
        <v>33</v>
      </c>
      <c r="M4810" t="s">
        <v>16022</v>
      </c>
      <c r="N4810" t="s">
        <v>16023</v>
      </c>
      <c r="O4810" t="s">
        <v>16024</v>
      </c>
      <c r="P4810" s="2" t="s">
        <v>67</v>
      </c>
      <c r="Q4810" t="s">
        <v>68</v>
      </c>
      <c r="R4810">
        <v>28.97</v>
      </c>
      <c r="S4810">
        <v>29.75</v>
      </c>
      <c r="T4810" t="s">
        <v>16025</v>
      </c>
    </row>
    <row r="4811" spans="1:20" x14ac:dyDescent="0.25">
      <c r="A4811" s="1" t="str">
        <f>HYPERLINK("https://vegkart.atlas.vegvesen.no/#/@197637.2,6668476.6,18/hva:hva%5B0%5D%5Bfilter%5D%5B0%5D%5Boperator%5D=%21%3D&amp;hva%5B0%5D%5Bfilter%5D%5B0%5D%5Btype_id%5D=4820&amp;hva%5B0%5D%5Bfilter%5D%5B0%5D%5Bverdi%5D=&amp;hva%5B0%5D%5Bid%5D=144/når:2022-04-26", "Vegkart")</f>
        <v>Vegkart</v>
      </c>
      <c r="B4811">
        <v>1015362143</v>
      </c>
      <c r="C4811">
        <v>144</v>
      </c>
      <c r="D4811" t="s">
        <v>13345</v>
      </c>
      <c r="E4811">
        <v>4820</v>
      </c>
      <c r="F4811" t="s">
        <v>23479</v>
      </c>
      <c r="G4811">
        <v>1</v>
      </c>
      <c r="H4811" t="s">
        <v>16026</v>
      </c>
      <c r="J4811" t="s">
        <v>15977</v>
      </c>
      <c r="K4811" t="s">
        <v>307</v>
      </c>
      <c r="L4811" t="s">
        <v>33</v>
      </c>
      <c r="M4811" t="s">
        <v>16027</v>
      </c>
      <c r="N4811" t="s">
        <v>16028</v>
      </c>
      <c r="O4811" t="s">
        <v>16029</v>
      </c>
      <c r="P4811" s="2" t="s">
        <v>67</v>
      </c>
      <c r="Q4811" t="s">
        <v>68</v>
      </c>
      <c r="R4811">
        <v>27.54</v>
      </c>
      <c r="S4811">
        <v>29.13</v>
      </c>
      <c r="T4811" t="s">
        <v>16030</v>
      </c>
    </row>
    <row r="4812" spans="1:20" x14ac:dyDescent="0.25">
      <c r="A4812" s="1" t="str">
        <f>HYPERLINK("https://vegkart.atlas.vegvesen.no/#/@197633.5,6668477.3,18/hva:hva%5B0%5D%5Bfilter%5D%5B0%5D%5Boperator%5D=%21%3D&amp;hva%5B0%5D%5Bfilter%5D%5B0%5D%5Btype_id%5D=4820&amp;hva%5B0%5D%5Bfilter%5D%5B0%5D%5Bverdi%5D=&amp;hva%5B0%5D%5Bid%5D=144/når:2022-04-26", "Vegkart")</f>
        <v>Vegkart</v>
      </c>
      <c r="B4812">
        <v>1015362144</v>
      </c>
      <c r="C4812">
        <v>144</v>
      </c>
      <c r="D4812" t="s">
        <v>13345</v>
      </c>
      <c r="E4812">
        <v>4820</v>
      </c>
      <c r="F4812" t="s">
        <v>23479</v>
      </c>
      <c r="G4812">
        <v>1</v>
      </c>
      <c r="H4812" t="s">
        <v>16026</v>
      </c>
      <c r="J4812" t="s">
        <v>15977</v>
      </c>
      <c r="K4812" t="s">
        <v>307</v>
      </c>
      <c r="L4812" t="s">
        <v>33</v>
      </c>
      <c r="M4812" t="s">
        <v>16027</v>
      </c>
      <c r="N4812" t="s">
        <v>16031</v>
      </c>
      <c r="O4812" t="s">
        <v>16032</v>
      </c>
      <c r="P4812" s="2" t="s">
        <v>67</v>
      </c>
      <c r="Q4812" t="s">
        <v>68</v>
      </c>
      <c r="R4812">
        <v>25.27</v>
      </c>
      <c r="S4812">
        <v>25.59</v>
      </c>
      <c r="T4812" t="s">
        <v>16033</v>
      </c>
    </row>
    <row r="4813" spans="1:20" x14ac:dyDescent="0.25">
      <c r="A4813" s="1" t="str">
        <f>HYPERLINK("https://vegkart.atlas.vegvesen.no/#/@197612.1,6668439.4,18/hva:hva%5B0%5D%5Bfilter%5D%5B0%5D%5Boperator%5D=%21%3D&amp;hva%5B0%5D%5Bfilter%5D%5B0%5D%5Btype_id%5D=4820&amp;hva%5B0%5D%5Bfilter%5D%5B0%5D%5Bverdi%5D=&amp;hva%5B0%5D%5Bid%5D=144/når:2022-04-26", "Vegkart")</f>
        <v>Vegkart</v>
      </c>
      <c r="B4813">
        <v>1015362146</v>
      </c>
      <c r="C4813">
        <v>144</v>
      </c>
      <c r="D4813" t="s">
        <v>13345</v>
      </c>
      <c r="E4813">
        <v>4820</v>
      </c>
      <c r="F4813" t="s">
        <v>23479</v>
      </c>
      <c r="G4813">
        <v>1</v>
      </c>
      <c r="H4813" t="s">
        <v>16026</v>
      </c>
      <c r="J4813" t="s">
        <v>15977</v>
      </c>
      <c r="K4813" t="s">
        <v>307</v>
      </c>
      <c r="L4813" t="s">
        <v>33</v>
      </c>
      <c r="M4813" t="s">
        <v>16027</v>
      </c>
      <c r="N4813" t="s">
        <v>16034</v>
      </c>
      <c r="O4813" t="s">
        <v>16035</v>
      </c>
      <c r="P4813" s="2" t="s">
        <v>67</v>
      </c>
      <c r="Q4813" t="s">
        <v>68</v>
      </c>
      <c r="R4813">
        <v>12.46</v>
      </c>
      <c r="S4813">
        <v>12.69</v>
      </c>
      <c r="T4813" t="s">
        <v>16036</v>
      </c>
    </row>
    <row r="4814" spans="1:20" x14ac:dyDescent="0.25">
      <c r="A4814" s="1" t="str">
        <f>HYPERLINK("https://vegkart.atlas.vegvesen.no/#/@192631.0,6673428.1,18/hva:hva%5B0%5D%5Bfilter%5D%5B0%5D%5Boperator%5D=%21%3D&amp;hva%5B0%5D%5Bfilter%5D%5B0%5D%5Btype_id%5D=4820&amp;hva%5B0%5D%5Bfilter%5D%5B0%5D%5Bverdi%5D=&amp;hva%5B0%5D%5Bid%5D=144/når:2022-04-26", "Vegkart")</f>
        <v>Vegkart</v>
      </c>
      <c r="B4814">
        <v>1015362155</v>
      </c>
      <c r="C4814">
        <v>144</v>
      </c>
      <c r="D4814" t="s">
        <v>13345</v>
      </c>
      <c r="E4814">
        <v>4820</v>
      </c>
      <c r="F4814" t="s">
        <v>23479</v>
      </c>
      <c r="G4814">
        <v>1</v>
      </c>
      <c r="H4814" t="s">
        <v>16026</v>
      </c>
      <c r="J4814" t="s">
        <v>15977</v>
      </c>
      <c r="K4814" t="s">
        <v>307</v>
      </c>
      <c r="L4814" t="s">
        <v>33</v>
      </c>
      <c r="M4814" t="s">
        <v>16027</v>
      </c>
      <c r="N4814" t="s">
        <v>16037</v>
      </c>
      <c r="O4814" t="s">
        <v>16038</v>
      </c>
      <c r="P4814" s="2" t="s">
        <v>37</v>
      </c>
      <c r="Q4814" t="s">
        <v>1208</v>
      </c>
      <c r="R4814">
        <v>10.54</v>
      </c>
      <c r="S4814">
        <v>11.82</v>
      </c>
      <c r="T4814" t="s">
        <v>16039</v>
      </c>
    </row>
    <row r="4815" spans="1:20" x14ac:dyDescent="0.25">
      <c r="A4815" s="1" t="str">
        <f>HYPERLINK("https://vegkart.atlas.vegvesen.no/#/@192628.3,6673425.4,18/hva:hva%5B0%5D%5Bfilter%5D%5B0%5D%5Boperator%5D=%21%3D&amp;hva%5B0%5D%5Bfilter%5D%5B0%5D%5Btype_id%5D=4820&amp;hva%5B0%5D%5Bfilter%5D%5B0%5D%5Bverdi%5D=&amp;hva%5B0%5D%5Bid%5D=144/når:2022-04-26", "Vegkart")</f>
        <v>Vegkart</v>
      </c>
      <c r="B4815">
        <v>1015362156</v>
      </c>
      <c r="C4815">
        <v>144</v>
      </c>
      <c r="D4815" t="s">
        <v>13345</v>
      </c>
      <c r="E4815">
        <v>4820</v>
      </c>
      <c r="F4815" t="s">
        <v>23479</v>
      </c>
      <c r="G4815">
        <v>1</v>
      </c>
      <c r="H4815" t="s">
        <v>16026</v>
      </c>
      <c r="J4815" t="s">
        <v>15977</v>
      </c>
      <c r="K4815" t="s">
        <v>307</v>
      </c>
      <c r="L4815" t="s">
        <v>33</v>
      </c>
      <c r="M4815" t="s">
        <v>16027</v>
      </c>
      <c r="N4815" t="s">
        <v>16040</v>
      </c>
      <c r="O4815" t="s">
        <v>16041</v>
      </c>
      <c r="P4815" s="2" t="s">
        <v>67</v>
      </c>
      <c r="Q4815" t="s">
        <v>68</v>
      </c>
      <c r="R4815">
        <v>6.4</v>
      </c>
      <c r="S4815">
        <v>6.49</v>
      </c>
      <c r="T4815" t="s">
        <v>16042</v>
      </c>
    </row>
    <row r="4816" spans="1:20" x14ac:dyDescent="0.25">
      <c r="A4816" s="1" t="str">
        <f>HYPERLINK("https://vegkart.atlas.vegvesen.no/#/@192769.5,6672493.6,18/hva:hva%5B0%5D%5Bfilter%5D%5B0%5D%5Boperator%5D=%21%3D&amp;hva%5B0%5D%5Bfilter%5D%5B0%5D%5Btype_id%5D=4820&amp;hva%5B0%5D%5Bfilter%5D%5B0%5D%5Bverdi%5D=&amp;hva%5B0%5D%5Bid%5D=144/når:2022-04-26", "Vegkart")</f>
        <v>Vegkart</v>
      </c>
      <c r="B4816">
        <v>1015362157</v>
      </c>
      <c r="C4816">
        <v>144</v>
      </c>
      <c r="D4816" t="s">
        <v>13345</v>
      </c>
      <c r="E4816">
        <v>4820</v>
      </c>
      <c r="F4816" t="s">
        <v>23479</v>
      </c>
      <c r="G4816">
        <v>1</v>
      </c>
      <c r="H4816" t="s">
        <v>16026</v>
      </c>
      <c r="J4816" t="s">
        <v>15977</v>
      </c>
      <c r="K4816" t="s">
        <v>307</v>
      </c>
      <c r="L4816" t="s">
        <v>33</v>
      </c>
      <c r="M4816" t="s">
        <v>16027</v>
      </c>
      <c r="N4816" t="s">
        <v>16043</v>
      </c>
      <c r="O4816" t="s">
        <v>16044</v>
      </c>
      <c r="P4816" s="2" t="s">
        <v>67</v>
      </c>
      <c r="Q4816" t="s">
        <v>68</v>
      </c>
      <c r="R4816">
        <v>5.87</v>
      </c>
      <c r="S4816">
        <v>5.87</v>
      </c>
      <c r="T4816" t="s">
        <v>16045</v>
      </c>
    </row>
    <row r="4817" spans="1:20" x14ac:dyDescent="0.25">
      <c r="A4817" s="1" t="str">
        <f>HYPERLINK("https://vegkart.atlas.vegvesen.no/#/@192770.0,6672496.3,18/hva:hva%5B0%5D%5Bfilter%5D%5B0%5D%5Boperator%5D=%21%3D&amp;hva%5B0%5D%5Bfilter%5D%5B0%5D%5Btype_id%5D=4820&amp;hva%5B0%5D%5Bfilter%5D%5B0%5D%5Bverdi%5D=&amp;hva%5B0%5D%5Bid%5D=144/når:2022-04-26", "Vegkart")</f>
        <v>Vegkart</v>
      </c>
      <c r="B4817">
        <v>1015362158</v>
      </c>
      <c r="C4817">
        <v>144</v>
      </c>
      <c r="D4817" t="s">
        <v>13345</v>
      </c>
      <c r="E4817">
        <v>4820</v>
      </c>
      <c r="F4817" t="s">
        <v>23479</v>
      </c>
      <c r="G4817">
        <v>1</v>
      </c>
      <c r="H4817" t="s">
        <v>16026</v>
      </c>
      <c r="J4817" t="s">
        <v>15977</v>
      </c>
      <c r="K4817" t="s">
        <v>307</v>
      </c>
      <c r="L4817" t="s">
        <v>33</v>
      </c>
      <c r="M4817" t="s">
        <v>16027</v>
      </c>
      <c r="N4817" t="s">
        <v>16046</v>
      </c>
      <c r="O4817" t="s">
        <v>16047</v>
      </c>
      <c r="P4817" s="2" t="s">
        <v>67</v>
      </c>
      <c r="Q4817" t="s">
        <v>68</v>
      </c>
      <c r="R4817">
        <v>2.96</v>
      </c>
      <c r="S4817">
        <v>2.96</v>
      </c>
      <c r="T4817" t="s">
        <v>16048</v>
      </c>
    </row>
    <row r="4818" spans="1:20" x14ac:dyDescent="0.25">
      <c r="A4818" s="1" t="str">
        <f>HYPERLINK("https://vegkart.atlas.vegvesen.no/#/@197218.2,6668851.1,18/hva:hva%5B0%5D%5Bfilter%5D%5B0%5D%5Boperator%5D=%21%3D&amp;hva%5B0%5D%5Bfilter%5D%5B0%5D%5Btype_id%5D=4820&amp;hva%5B0%5D%5Bfilter%5D%5B0%5D%5Bverdi%5D=&amp;hva%5B0%5D%5Bid%5D=144/når:2022-04-26", "Vegkart")</f>
        <v>Vegkart</v>
      </c>
      <c r="B4818">
        <v>1015362159</v>
      </c>
      <c r="C4818">
        <v>144</v>
      </c>
      <c r="D4818" t="s">
        <v>13345</v>
      </c>
      <c r="E4818">
        <v>4820</v>
      </c>
      <c r="F4818" t="s">
        <v>23479</v>
      </c>
      <c r="G4818">
        <v>1</v>
      </c>
      <c r="H4818" t="s">
        <v>16026</v>
      </c>
      <c r="J4818" t="s">
        <v>15977</v>
      </c>
      <c r="K4818" t="s">
        <v>307</v>
      </c>
      <c r="L4818" t="s">
        <v>33</v>
      </c>
      <c r="M4818" t="s">
        <v>16027</v>
      </c>
      <c r="N4818" t="s">
        <v>16049</v>
      </c>
      <c r="O4818" t="s">
        <v>16050</v>
      </c>
      <c r="P4818" s="2" t="s">
        <v>67</v>
      </c>
      <c r="Q4818" t="s">
        <v>68</v>
      </c>
      <c r="R4818">
        <v>8.5399999999999991</v>
      </c>
      <c r="S4818">
        <v>8.59</v>
      </c>
      <c r="T4818" t="s">
        <v>16051</v>
      </c>
    </row>
    <row r="4819" spans="1:20" x14ac:dyDescent="0.25">
      <c r="A4819" s="1" t="str">
        <f>HYPERLINK("https://vegkart.atlas.vegvesen.no/#/@197201.2,6668825.1,18/hva:hva%5B0%5D%5Bfilter%5D%5B0%5D%5Boperator%5D=%21%3D&amp;hva%5B0%5D%5Bfilter%5D%5B0%5D%5Btype_id%5D=4820&amp;hva%5B0%5D%5Bfilter%5D%5B0%5D%5Bverdi%5D=&amp;hva%5B0%5D%5Bid%5D=144/når:2022-04-26", "Vegkart")</f>
        <v>Vegkart</v>
      </c>
      <c r="B4819">
        <v>1015362160</v>
      </c>
      <c r="C4819">
        <v>144</v>
      </c>
      <c r="D4819" t="s">
        <v>13345</v>
      </c>
      <c r="E4819">
        <v>4820</v>
      </c>
      <c r="F4819" t="s">
        <v>23479</v>
      </c>
      <c r="G4819">
        <v>1</v>
      </c>
      <c r="H4819" t="s">
        <v>16026</v>
      </c>
      <c r="J4819" t="s">
        <v>15977</v>
      </c>
      <c r="K4819" t="s">
        <v>307</v>
      </c>
      <c r="L4819" t="s">
        <v>33</v>
      </c>
      <c r="M4819" t="s">
        <v>16027</v>
      </c>
      <c r="N4819" t="s">
        <v>16052</v>
      </c>
      <c r="O4819" t="s">
        <v>16053</v>
      </c>
      <c r="P4819" s="2" t="s">
        <v>67</v>
      </c>
      <c r="Q4819" t="s">
        <v>68</v>
      </c>
      <c r="R4819">
        <v>1.51</v>
      </c>
      <c r="S4819">
        <v>1.51</v>
      </c>
      <c r="T4819" t="s">
        <v>16054</v>
      </c>
    </row>
    <row r="4820" spans="1:20" x14ac:dyDescent="0.25">
      <c r="A4820" s="1" t="str">
        <f>HYPERLINK("https://vegkart.atlas.vegvesen.no/#/@197199.5,6668827.1,18/hva:hva%5B0%5D%5Bfilter%5D%5B0%5D%5Boperator%5D=%21%3D&amp;hva%5B0%5D%5Bfilter%5D%5B0%5D%5Btype_id%5D=4820&amp;hva%5B0%5D%5Bfilter%5D%5B0%5D%5Bverdi%5D=&amp;hva%5B0%5D%5Bid%5D=144/når:2022-04-26", "Vegkart")</f>
        <v>Vegkart</v>
      </c>
      <c r="B4820">
        <v>1015362161</v>
      </c>
      <c r="C4820">
        <v>144</v>
      </c>
      <c r="D4820" t="s">
        <v>13345</v>
      </c>
      <c r="E4820">
        <v>4820</v>
      </c>
      <c r="F4820" t="s">
        <v>23479</v>
      </c>
      <c r="G4820">
        <v>1</v>
      </c>
      <c r="H4820" t="s">
        <v>16026</v>
      </c>
      <c r="J4820" t="s">
        <v>15977</v>
      </c>
      <c r="K4820" t="s">
        <v>307</v>
      </c>
      <c r="L4820" t="s">
        <v>33</v>
      </c>
      <c r="M4820" t="s">
        <v>16027</v>
      </c>
      <c r="N4820" t="s">
        <v>16055</v>
      </c>
      <c r="O4820" t="s">
        <v>16056</v>
      </c>
      <c r="P4820" s="2" t="s">
        <v>67</v>
      </c>
      <c r="Q4820" t="s">
        <v>68</v>
      </c>
      <c r="R4820">
        <v>1.19</v>
      </c>
      <c r="S4820">
        <v>1.19</v>
      </c>
      <c r="T4820" t="s">
        <v>16057</v>
      </c>
    </row>
    <row r="4821" spans="1:20" x14ac:dyDescent="0.25">
      <c r="A4821" s="1" t="str">
        <f>HYPERLINK("https://vegkart.atlas.vegvesen.no/#/@192717.6,6672798.9,18/hva:hva%5B0%5D%5Bfilter%5D%5B0%5D%5Boperator%5D=%21%3D&amp;hva%5B0%5D%5Bfilter%5D%5B0%5D%5Btype_id%5D=4820&amp;hva%5B0%5D%5Bfilter%5D%5B0%5D%5Bverdi%5D=&amp;hva%5B0%5D%5Bid%5D=144/når:2022-04-26", "Vegkart")</f>
        <v>Vegkart</v>
      </c>
      <c r="B4821">
        <v>1015362163</v>
      </c>
      <c r="C4821">
        <v>144</v>
      </c>
      <c r="D4821" t="s">
        <v>13345</v>
      </c>
      <c r="E4821">
        <v>4820</v>
      </c>
      <c r="F4821" t="s">
        <v>23479</v>
      </c>
      <c r="G4821">
        <v>1</v>
      </c>
      <c r="H4821" t="s">
        <v>16026</v>
      </c>
      <c r="J4821" t="s">
        <v>15977</v>
      </c>
      <c r="K4821" t="s">
        <v>307</v>
      </c>
      <c r="L4821" t="s">
        <v>33</v>
      </c>
      <c r="M4821" t="s">
        <v>16027</v>
      </c>
      <c r="N4821" t="s">
        <v>16058</v>
      </c>
      <c r="O4821" t="s">
        <v>16059</v>
      </c>
      <c r="P4821" s="2" t="s">
        <v>67</v>
      </c>
      <c r="Q4821" t="s">
        <v>68</v>
      </c>
      <c r="R4821">
        <v>4.67</v>
      </c>
      <c r="S4821">
        <v>4.76</v>
      </c>
      <c r="T4821" t="s">
        <v>16060</v>
      </c>
    </row>
    <row r="4822" spans="1:20" x14ac:dyDescent="0.25">
      <c r="A4822" s="1" t="str">
        <f>HYPERLINK("https://vegkart.atlas.vegvesen.no/#/@197219.7,6668849.2,18/hva:hva%5B0%5D%5Bfilter%5D%5B0%5D%5Boperator%5D=%21%3D&amp;hva%5B0%5D%5Bfilter%5D%5B0%5D%5Btype_id%5D=4820&amp;hva%5B0%5D%5Bfilter%5D%5B0%5D%5Bverdi%5D=&amp;hva%5B0%5D%5Bid%5D=144/når:2022-04-26", "Vegkart")</f>
        <v>Vegkart</v>
      </c>
      <c r="B4822">
        <v>1015362164</v>
      </c>
      <c r="C4822">
        <v>144</v>
      </c>
      <c r="D4822" t="s">
        <v>13345</v>
      </c>
      <c r="E4822">
        <v>4820</v>
      </c>
      <c r="F4822" t="s">
        <v>23479</v>
      </c>
      <c r="G4822">
        <v>1</v>
      </c>
      <c r="H4822" t="s">
        <v>16026</v>
      </c>
      <c r="J4822" t="s">
        <v>15977</v>
      </c>
      <c r="K4822" t="s">
        <v>307</v>
      </c>
      <c r="L4822" t="s">
        <v>33</v>
      </c>
      <c r="M4822" t="s">
        <v>16027</v>
      </c>
      <c r="N4822" t="s">
        <v>16061</v>
      </c>
      <c r="O4822" t="s">
        <v>16062</v>
      </c>
      <c r="P4822" s="2" t="s">
        <v>37</v>
      </c>
      <c r="Q4822" t="s">
        <v>1208</v>
      </c>
      <c r="R4822">
        <v>8.6199999999999992</v>
      </c>
      <c r="S4822">
        <v>9.08</v>
      </c>
      <c r="T4822" t="s">
        <v>16063</v>
      </c>
    </row>
    <row r="4823" spans="1:20" x14ac:dyDescent="0.25">
      <c r="A4823" s="1" t="str">
        <f>HYPERLINK("https://vegkart.atlas.vegvesen.no/#/@280107.3,6899401.6,18/hva:hva%5B0%5D%5Bfilter%5D%5B0%5D%5Boperator%5D=%21%3D&amp;hva%5B0%5D%5Bfilter%5D%5B0%5D%5Btype_id%5D=4820&amp;hva%5B0%5D%5Bfilter%5D%5B0%5D%5Bverdi%5D=&amp;hva%5B0%5D%5Bid%5D=144/når:2022-06-10", "Vegkart")</f>
        <v>Vegkart</v>
      </c>
      <c r="B4823">
        <v>1015593426</v>
      </c>
      <c r="C4823">
        <v>144</v>
      </c>
      <c r="D4823" t="s">
        <v>13345</v>
      </c>
      <c r="E4823">
        <v>4820</v>
      </c>
      <c r="F4823" t="s">
        <v>23479</v>
      </c>
      <c r="G4823">
        <v>1</v>
      </c>
      <c r="H4823" t="s">
        <v>16064</v>
      </c>
      <c r="J4823" t="s">
        <v>15977</v>
      </c>
      <c r="K4823" t="s">
        <v>136</v>
      </c>
      <c r="L4823" t="s">
        <v>33</v>
      </c>
      <c r="M4823" t="s">
        <v>6251</v>
      </c>
      <c r="N4823" t="s">
        <v>16065</v>
      </c>
      <c r="O4823" t="s">
        <v>16066</v>
      </c>
      <c r="P4823" s="2" t="s">
        <v>67</v>
      </c>
      <c r="Q4823" t="s">
        <v>68</v>
      </c>
      <c r="R4823">
        <v>21.25</v>
      </c>
      <c r="S4823">
        <v>21.27</v>
      </c>
      <c r="T4823" t="s">
        <v>16067</v>
      </c>
    </row>
    <row r="4824" spans="1:20" x14ac:dyDescent="0.25">
      <c r="A4824" s="1" t="str">
        <f>HYPERLINK("https://vegkart.atlas.vegvesen.no/#/@280107.9,6899394.3,18/hva:hva%5B0%5D%5Bfilter%5D%5B0%5D%5Boperator%5D=%21%3D&amp;hva%5B0%5D%5Bfilter%5D%5B0%5D%5Btype_id%5D=4820&amp;hva%5B0%5D%5Bfilter%5D%5B0%5D%5Bverdi%5D=&amp;hva%5B0%5D%5Bid%5D=144/når:2022-06-10", "Vegkart")</f>
        <v>Vegkart</v>
      </c>
      <c r="B4824">
        <v>1015593427</v>
      </c>
      <c r="C4824">
        <v>144</v>
      </c>
      <c r="D4824" t="s">
        <v>13345</v>
      </c>
      <c r="E4824">
        <v>4820</v>
      </c>
      <c r="F4824" t="s">
        <v>23479</v>
      </c>
      <c r="G4824">
        <v>1</v>
      </c>
      <c r="H4824" t="s">
        <v>16064</v>
      </c>
      <c r="J4824" t="s">
        <v>15977</v>
      </c>
      <c r="K4824" t="s">
        <v>136</v>
      </c>
      <c r="L4824" t="s">
        <v>33</v>
      </c>
      <c r="M4824" t="s">
        <v>6251</v>
      </c>
      <c r="N4824" t="s">
        <v>16068</v>
      </c>
      <c r="O4824" t="s">
        <v>16069</v>
      </c>
      <c r="P4824" s="2" t="s">
        <v>67</v>
      </c>
      <c r="Q4824" t="s">
        <v>68</v>
      </c>
      <c r="R4824">
        <v>19.760000000000002</v>
      </c>
      <c r="S4824">
        <v>19.77</v>
      </c>
      <c r="T4824" t="s">
        <v>16070</v>
      </c>
    </row>
    <row r="4825" spans="1:20" x14ac:dyDescent="0.25">
      <c r="A4825" s="1" t="str">
        <f>HYPERLINK("https://vegkart.atlas.vegvesen.no/#/@280072.8,6899401.5,18/hva:hva%5B0%5D%5Bfilter%5D%5B0%5D%5Boperator%5D=%21%3D&amp;hva%5B0%5D%5Bfilter%5D%5B0%5D%5Btype_id%5D=4820&amp;hva%5B0%5D%5Bfilter%5D%5B0%5D%5Bverdi%5D=&amp;hva%5B0%5D%5Bid%5D=144/når:2022-06-10", "Vegkart")</f>
        <v>Vegkart</v>
      </c>
      <c r="B4825">
        <v>1015593428</v>
      </c>
      <c r="C4825">
        <v>144</v>
      </c>
      <c r="D4825" t="s">
        <v>13345</v>
      </c>
      <c r="E4825">
        <v>4820</v>
      </c>
      <c r="F4825" t="s">
        <v>23479</v>
      </c>
      <c r="G4825">
        <v>1</v>
      </c>
      <c r="H4825" t="s">
        <v>16064</v>
      </c>
      <c r="J4825" t="s">
        <v>15977</v>
      </c>
      <c r="K4825" t="s">
        <v>136</v>
      </c>
      <c r="L4825" t="s">
        <v>33</v>
      </c>
      <c r="M4825" t="s">
        <v>6251</v>
      </c>
      <c r="N4825" t="s">
        <v>16071</v>
      </c>
      <c r="O4825" t="s">
        <v>16072</v>
      </c>
      <c r="P4825" s="2" t="s">
        <v>67</v>
      </c>
      <c r="Q4825" t="s">
        <v>68</v>
      </c>
      <c r="R4825">
        <v>30.19</v>
      </c>
      <c r="S4825">
        <v>30.22</v>
      </c>
      <c r="T4825" t="s">
        <v>16073</v>
      </c>
    </row>
    <row r="4826" spans="1:20" x14ac:dyDescent="0.25">
      <c r="A4826" s="1" t="str">
        <f>HYPERLINK("https://vegkart.atlas.vegvesen.no/#/@280073.7,6899394.1,18/hva:hva%5B0%5D%5Bfilter%5D%5B0%5D%5Boperator%5D=%21%3D&amp;hva%5B0%5D%5Bfilter%5D%5B0%5D%5Btype_id%5D=4820&amp;hva%5B0%5D%5Bfilter%5D%5B0%5D%5Bverdi%5D=&amp;hva%5B0%5D%5Bid%5D=144/når:2022-06-10", "Vegkart")</f>
        <v>Vegkart</v>
      </c>
      <c r="B4826">
        <v>1015593429</v>
      </c>
      <c r="C4826">
        <v>144</v>
      </c>
      <c r="D4826" t="s">
        <v>13345</v>
      </c>
      <c r="E4826">
        <v>4820</v>
      </c>
      <c r="F4826" t="s">
        <v>23479</v>
      </c>
      <c r="G4826">
        <v>1</v>
      </c>
      <c r="H4826" t="s">
        <v>16064</v>
      </c>
      <c r="J4826" t="s">
        <v>15977</v>
      </c>
      <c r="K4826" t="s">
        <v>136</v>
      </c>
      <c r="L4826" t="s">
        <v>33</v>
      </c>
      <c r="M4826" t="s">
        <v>6251</v>
      </c>
      <c r="N4826" t="s">
        <v>16074</v>
      </c>
      <c r="O4826" t="s">
        <v>16075</v>
      </c>
      <c r="P4826" s="2" t="s">
        <v>67</v>
      </c>
      <c r="Q4826" t="s">
        <v>68</v>
      </c>
      <c r="R4826">
        <v>31.2</v>
      </c>
      <c r="S4826">
        <v>31.22</v>
      </c>
      <c r="T4826" t="s">
        <v>16076</v>
      </c>
    </row>
    <row r="4827" spans="1:20" x14ac:dyDescent="0.25">
      <c r="A4827" s="1" t="str">
        <f>HYPERLINK("https://vegkart.atlas.vegvesen.no/#/@573851.6,7581636.1,18/hva:hva%5B0%5D%5Bfilter%5D%5B0%5D%5Boperator%5D=%21%3D&amp;hva%5B0%5D%5Bfilter%5D%5B0%5D%5Btype_id%5D=4820&amp;hva%5B0%5D%5Bfilter%5D%5B0%5D%5Bverdi%5D=&amp;hva%5B0%5D%5Bid%5D=144/når:2022-08-22", "Vegkart")</f>
        <v>Vegkart</v>
      </c>
      <c r="B4827">
        <v>1016182859</v>
      </c>
      <c r="C4827">
        <v>144</v>
      </c>
      <c r="D4827" t="s">
        <v>13345</v>
      </c>
      <c r="E4827">
        <v>4820</v>
      </c>
      <c r="F4827" t="s">
        <v>23479</v>
      </c>
      <c r="G4827">
        <v>1</v>
      </c>
      <c r="H4827" t="s">
        <v>124</v>
      </c>
      <c r="J4827" t="s">
        <v>16077</v>
      </c>
      <c r="K4827" t="s">
        <v>53</v>
      </c>
      <c r="L4827" t="s">
        <v>80</v>
      </c>
      <c r="M4827" t="s">
        <v>105</v>
      </c>
      <c r="N4827" t="s">
        <v>16078</v>
      </c>
      <c r="O4827" t="s">
        <v>16079</v>
      </c>
      <c r="P4827" s="2" t="s">
        <v>37</v>
      </c>
      <c r="Q4827" t="s">
        <v>1208</v>
      </c>
      <c r="R4827">
        <v>2.0299999999999998</v>
      </c>
      <c r="S4827">
        <v>8.52</v>
      </c>
      <c r="T4827" t="s">
        <v>16080</v>
      </c>
    </row>
    <row r="4828" spans="1:20" x14ac:dyDescent="0.25">
      <c r="A4828" s="1" t="str">
        <f>HYPERLINK("https://vegkart.atlas.vegvesen.no/#/@574738.3,7581503.1,18/hva:hva%5B0%5D%5Bfilter%5D%5B0%5D%5Boperator%5D=%21%3D&amp;hva%5B0%5D%5Bfilter%5D%5B0%5D%5Btype_id%5D=4820&amp;hva%5B0%5D%5Bfilter%5D%5B0%5D%5Bverdi%5D=&amp;hva%5B0%5D%5Bid%5D=144/når:2022-08-22", "Vegkart")</f>
        <v>Vegkart</v>
      </c>
      <c r="B4828">
        <v>1016182861</v>
      </c>
      <c r="C4828">
        <v>144</v>
      </c>
      <c r="D4828" t="s">
        <v>13345</v>
      </c>
      <c r="E4828">
        <v>4820</v>
      </c>
      <c r="F4828" t="s">
        <v>23479</v>
      </c>
      <c r="G4828">
        <v>1</v>
      </c>
      <c r="H4828" t="s">
        <v>124</v>
      </c>
      <c r="J4828" t="s">
        <v>16077</v>
      </c>
      <c r="K4828" t="s">
        <v>53</v>
      </c>
      <c r="L4828" t="s">
        <v>80</v>
      </c>
      <c r="M4828" t="s">
        <v>105</v>
      </c>
      <c r="N4828" t="s">
        <v>16081</v>
      </c>
      <c r="O4828" t="s">
        <v>16082</v>
      </c>
      <c r="P4828" s="2" t="s">
        <v>37</v>
      </c>
      <c r="Q4828" t="s">
        <v>1208</v>
      </c>
      <c r="R4828">
        <v>3.05</v>
      </c>
      <c r="S4828">
        <v>103.75</v>
      </c>
      <c r="T4828" t="s">
        <v>16083</v>
      </c>
    </row>
    <row r="4829" spans="1:20" x14ac:dyDescent="0.25">
      <c r="A4829" s="1" t="str">
        <f>HYPERLINK("https://vegkart.atlas.vegvesen.no/#/@574638.1,7581571.6,18/hva:hva%5B0%5D%5Bfilter%5D%5B0%5D%5Boperator%5D=%21%3D&amp;hva%5B0%5D%5Bfilter%5D%5B0%5D%5Btype_id%5D=4820&amp;hva%5B0%5D%5Bfilter%5D%5B0%5D%5Bverdi%5D=&amp;hva%5B0%5D%5Bid%5D=144/når:2022-08-22", "Vegkart")</f>
        <v>Vegkart</v>
      </c>
      <c r="B4829">
        <v>1016182862</v>
      </c>
      <c r="C4829">
        <v>144</v>
      </c>
      <c r="D4829" t="s">
        <v>13345</v>
      </c>
      <c r="E4829">
        <v>4820</v>
      </c>
      <c r="F4829" t="s">
        <v>23479</v>
      </c>
      <c r="G4829">
        <v>1</v>
      </c>
      <c r="H4829" t="s">
        <v>124</v>
      </c>
      <c r="J4829" t="s">
        <v>16077</v>
      </c>
      <c r="K4829" t="s">
        <v>53</v>
      </c>
      <c r="L4829" t="s">
        <v>80</v>
      </c>
      <c r="M4829" t="s">
        <v>105</v>
      </c>
      <c r="N4829" t="s">
        <v>16084</v>
      </c>
      <c r="O4829" t="s">
        <v>16085</v>
      </c>
      <c r="P4829" s="2" t="s">
        <v>37</v>
      </c>
      <c r="Q4829" t="s">
        <v>1208</v>
      </c>
      <c r="R4829">
        <v>1.42</v>
      </c>
      <c r="S4829">
        <v>26.58</v>
      </c>
      <c r="T4829" t="s">
        <v>16086</v>
      </c>
    </row>
    <row r="4830" spans="1:20" x14ac:dyDescent="0.25">
      <c r="A4830" s="1" t="str">
        <f>HYPERLINK("https://vegkart.atlas.vegvesen.no/#/@574564.2,7581628.1,18/hva:hva%5B0%5D%5Bfilter%5D%5B0%5D%5Boperator%5D=%21%3D&amp;hva%5B0%5D%5Bfilter%5D%5B0%5D%5Btype_id%5D=4820&amp;hva%5B0%5D%5Bfilter%5D%5B0%5D%5Bverdi%5D=&amp;hva%5B0%5D%5Bid%5D=144/når:2022-08-22", "Vegkart")</f>
        <v>Vegkart</v>
      </c>
      <c r="B4830">
        <v>1016182863</v>
      </c>
      <c r="C4830">
        <v>144</v>
      </c>
      <c r="D4830" t="s">
        <v>13345</v>
      </c>
      <c r="E4830">
        <v>4820</v>
      </c>
      <c r="F4830" t="s">
        <v>23479</v>
      </c>
      <c r="G4830">
        <v>1</v>
      </c>
      <c r="H4830" t="s">
        <v>124</v>
      </c>
      <c r="J4830" t="s">
        <v>16077</v>
      </c>
      <c r="K4830" t="s">
        <v>53</v>
      </c>
      <c r="L4830" t="s">
        <v>80</v>
      </c>
      <c r="M4830" t="s">
        <v>105</v>
      </c>
      <c r="N4830" t="s">
        <v>16087</v>
      </c>
      <c r="O4830" t="s">
        <v>16088</v>
      </c>
      <c r="P4830" s="2" t="s">
        <v>37</v>
      </c>
      <c r="Q4830" t="s">
        <v>1208</v>
      </c>
      <c r="R4830">
        <v>2.7</v>
      </c>
      <c r="S4830">
        <v>57.12</v>
      </c>
      <c r="T4830" t="s">
        <v>16089</v>
      </c>
    </row>
    <row r="4831" spans="1:20" x14ac:dyDescent="0.25">
      <c r="A4831" s="1" t="str">
        <f>HYPERLINK("https://vegkart.atlas.vegvesen.no/#/@574637.1,7581569.8,18/hva:hva%5B0%5D%5Bfilter%5D%5B0%5D%5Boperator%5D=%21%3D&amp;hva%5B0%5D%5Bfilter%5D%5B0%5D%5Btype_id%5D=4820&amp;hva%5B0%5D%5Bfilter%5D%5B0%5D%5Bverdi%5D=&amp;hva%5B0%5D%5Bid%5D=144/når:2022-08-22", "Vegkart")</f>
        <v>Vegkart</v>
      </c>
      <c r="B4831">
        <v>1016182867</v>
      </c>
      <c r="C4831">
        <v>144</v>
      </c>
      <c r="D4831" t="s">
        <v>13345</v>
      </c>
      <c r="E4831">
        <v>4820</v>
      </c>
      <c r="F4831" t="s">
        <v>23479</v>
      </c>
      <c r="G4831">
        <v>1</v>
      </c>
      <c r="H4831" t="s">
        <v>124</v>
      </c>
      <c r="J4831" t="s">
        <v>16077</v>
      </c>
      <c r="K4831" t="s">
        <v>53</v>
      </c>
      <c r="L4831" t="s">
        <v>80</v>
      </c>
      <c r="M4831" t="s">
        <v>105</v>
      </c>
      <c r="N4831" t="s">
        <v>16090</v>
      </c>
      <c r="O4831" t="s">
        <v>16091</v>
      </c>
      <c r="P4831" s="2" t="s">
        <v>67</v>
      </c>
      <c r="Q4831" t="s">
        <v>68</v>
      </c>
      <c r="R4831">
        <v>8.68</v>
      </c>
      <c r="S4831">
        <v>8.68</v>
      </c>
      <c r="T4831" t="s">
        <v>16092</v>
      </c>
    </row>
    <row r="4832" spans="1:20" x14ac:dyDescent="0.25">
      <c r="A4832" s="1" t="str">
        <f>HYPERLINK("https://vegkart.atlas.vegvesen.no/#/@-12545.6,6590234.1,18/hva:hva%5B0%5D%5Bfilter%5D%5B0%5D%5Boperator%5D=%21%3D&amp;hva%5B0%5D%5Bfilter%5D%5B0%5D%5Btype_id%5D=4820&amp;hva%5B0%5D%5Bfilter%5D%5B0%5D%5Bverdi%5D=&amp;hva%5B0%5D%5Bid%5D=144/når:2022-11-14", "Vegkart")</f>
        <v>Vegkart</v>
      </c>
      <c r="B4832">
        <v>1016534730</v>
      </c>
      <c r="C4832">
        <v>144</v>
      </c>
      <c r="D4832" t="s">
        <v>13345</v>
      </c>
      <c r="E4832">
        <v>4820</v>
      </c>
      <c r="F4832" t="s">
        <v>23479</v>
      </c>
      <c r="G4832">
        <v>1</v>
      </c>
      <c r="H4832" t="s">
        <v>16093</v>
      </c>
      <c r="J4832" t="s">
        <v>16077</v>
      </c>
      <c r="K4832" t="s">
        <v>170</v>
      </c>
      <c r="L4832" t="s">
        <v>33</v>
      </c>
      <c r="M4832" t="s">
        <v>16094</v>
      </c>
      <c r="N4832" t="s">
        <v>16095</v>
      </c>
      <c r="O4832" t="s">
        <v>16096</v>
      </c>
      <c r="P4832" s="2" t="s">
        <v>67</v>
      </c>
      <c r="Q4832" t="s">
        <v>68</v>
      </c>
      <c r="R4832">
        <v>26.51</v>
      </c>
      <c r="S4832">
        <v>28.04</v>
      </c>
      <c r="T4832" t="s">
        <v>16097</v>
      </c>
    </row>
    <row r="4833" spans="1:20" x14ac:dyDescent="0.25">
      <c r="A4833" s="1" t="str">
        <f>HYPERLINK("https://vegkart.atlas.vegvesen.no/#/@-12136.4,6590698.9,18/hva:hva%5B0%5D%5Bfilter%5D%5B0%5D%5Boperator%5D=%21%3D&amp;hva%5B0%5D%5Bfilter%5D%5B0%5D%5Btype_id%5D=4820&amp;hva%5B0%5D%5Bfilter%5D%5B0%5D%5Bverdi%5D=&amp;hva%5B0%5D%5Bid%5D=144/når:2022-11-14", "Vegkart")</f>
        <v>Vegkart</v>
      </c>
      <c r="B4833">
        <v>1016534731</v>
      </c>
      <c r="C4833">
        <v>144</v>
      </c>
      <c r="D4833" t="s">
        <v>13345</v>
      </c>
      <c r="E4833">
        <v>4820</v>
      </c>
      <c r="F4833" t="s">
        <v>23479</v>
      </c>
      <c r="G4833">
        <v>1</v>
      </c>
      <c r="H4833" t="s">
        <v>16093</v>
      </c>
      <c r="J4833" t="s">
        <v>16077</v>
      </c>
      <c r="K4833" t="s">
        <v>170</v>
      </c>
      <c r="L4833" t="s">
        <v>33</v>
      </c>
      <c r="M4833" t="s">
        <v>16094</v>
      </c>
      <c r="N4833" t="s">
        <v>16098</v>
      </c>
      <c r="O4833" t="s">
        <v>16099</v>
      </c>
      <c r="P4833" s="2" t="s">
        <v>67</v>
      </c>
      <c r="Q4833" t="s">
        <v>68</v>
      </c>
      <c r="R4833">
        <v>93.34</v>
      </c>
      <c r="S4833">
        <v>94.01</v>
      </c>
      <c r="T4833" t="s">
        <v>16100</v>
      </c>
    </row>
    <row r="4834" spans="1:20" x14ac:dyDescent="0.25">
      <c r="A4834" s="1" t="str">
        <f>HYPERLINK("https://vegkart.atlas.vegvesen.no/#/@-12205.5,6590647.4,18/hva:hva%5B0%5D%5Bfilter%5D%5B0%5D%5Boperator%5D=%21%3D&amp;hva%5B0%5D%5Bfilter%5D%5B0%5D%5Btype_id%5D=4820&amp;hva%5B0%5D%5Bfilter%5D%5B0%5D%5Bverdi%5D=&amp;hva%5B0%5D%5Bid%5D=144/når:2022-11-14", "Vegkart")</f>
        <v>Vegkart</v>
      </c>
      <c r="B4834">
        <v>1016534732</v>
      </c>
      <c r="C4834">
        <v>144</v>
      </c>
      <c r="D4834" t="s">
        <v>13345</v>
      </c>
      <c r="E4834">
        <v>4820</v>
      </c>
      <c r="F4834" t="s">
        <v>23479</v>
      </c>
      <c r="G4834">
        <v>1</v>
      </c>
      <c r="H4834" t="s">
        <v>16093</v>
      </c>
      <c r="J4834" t="s">
        <v>16077</v>
      </c>
      <c r="K4834" t="s">
        <v>170</v>
      </c>
      <c r="L4834" t="s">
        <v>33</v>
      </c>
      <c r="M4834" t="s">
        <v>16094</v>
      </c>
      <c r="N4834" t="s">
        <v>16101</v>
      </c>
      <c r="O4834" t="s">
        <v>16102</v>
      </c>
      <c r="P4834" s="2" t="s">
        <v>67</v>
      </c>
      <c r="Q4834" t="s">
        <v>68</v>
      </c>
      <c r="R4834">
        <v>77.94</v>
      </c>
      <c r="S4834">
        <v>79.150000000000006</v>
      </c>
      <c r="T4834" t="s">
        <v>16103</v>
      </c>
    </row>
    <row r="4835" spans="1:20" x14ac:dyDescent="0.25">
      <c r="A4835" s="1" t="str">
        <f>HYPERLINK("https://vegkart.atlas.vegvesen.no/#/@-11751.1,6591116.8,18/hva:hva%5B0%5D%5Bfilter%5D%5B0%5D%5Boperator%5D=%21%3D&amp;hva%5B0%5D%5Bfilter%5D%5B0%5D%5Btype_id%5D=4820&amp;hva%5B0%5D%5Bfilter%5D%5B0%5D%5Bverdi%5D=&amp;hva%5B0%5D%5Bid%5D=144/når:2022-11-14", "Vegkart")</f>
        <v>Vegkart</v>
      </c>
      <c r="B4835">
        <v>1016534733</v>
      </c>
      <c r="C4835">
        <v>144</v>
      </c>
      <c r="D4835" t="s">
        <v>13345</v>
      </c>
      <c r="E4835">
        <v>4820</v>
      </c>
      <c r="F4835" t="s">
        <v>23479</v>
      </c>
      <c r="G4835">
        <v>1</v>
      </c>
      <c r="H4835" t="s">
        <v>16093</v>
      </c>
      <c r="J4835" t="s">
        <v>16077</v>
      </c>
      <c r="K4835" t="s">
        <v>170</v>
      </c>
      <c r="L4835" t="s">
        <v>33</v>
      </c>
      <c r="M4835" t="s">
        <v>16094</v>
      </c>
      <c r="N4835" t="s">
        <v>16104</v>
      </c>
      <c r="O4835" t="s">
        <v>16105</v>
      </c>
      <c r="P4835" s="2" t="s">
        <v>67</v>
      </c>
      <c r="Q4835" t="s">
        <v>68</v>
      </c>
      <c r="R4835">
        <v>62.34</v>
      </c>
      <c r="S4835">
        <v>62.66</v>
      </c>
      <c r="T4835" t="s">
        <v>16106</v>
      </c>
    </row>
    <row r="4836" spans="1:20" x14ac:dyDescent="0.25">
      <c r="A4836" s="1" t="str">
        <f>HYPERLINK("https://vegkart.atlas.vegvesen.no/#/@-12504.4,6590237.7,18/hva:hva%5B0%5D%5Bfilter%5D%5B0%5D%5Boperator%5D=%21%3D&amp;hva%5B0%5D%5Bfilter%5D%5B0%5D%5Btype_id%5D=4820&amp;hva%5B0%5D%5Bfilter%5D%5B0%5D%5Bverdi%5D=&amp;hva%5B0%5D%5Bid%5D=144/når:2022-11-14", "Vegkart")</f>
        <v>Vegkart</v>
      </c>
      <c r="B4836">
        <v>1016534734</v>
      </c>
      <c r="C4836">
        <v>144</v>
      </c>
      <c r="D4836" t="s">
        <v>13345</v>
      </c>
      <c r="E4836">
        <v>4820</v>
      </c>
      <c r="F4836" t="s">
        <v>23479</v>
      </c>
      <c r="G4836">
        <v>1</v>
      </c>
      <c r="H4836" t="s">
        <v>16093</v>
      </c>
      <c r="J4836" t="s">
        <v>16077</v>
      </c>
      <c r="K4836" t="s">
        <v>170</v>
      </c>
      <c r="L4836" t="s">
        <v>33</v>
      </c>
      <c r="M4836" t="s">
        <v>16094</v>
      </c>
      <c r="N4836" t="s">
        <v>16107</v>
      </c>
      <c r="O4836" t="s">
        <v>16108</v>
      </c>
      <c r="P4836" s="2" t="s">
        <v>67</v>
      </c>
      <c r="Q4836" t="s">
        <v>68</v>
      </c>
      <c r="R4836">
        <v>71.599999999999994</v>
      </c>
      <c r="S4836">
        <v>74.33</v>
      </c>
      <c r="T4836" t="s">
        <v>16109</v>
      </c>
    </row>
    <row r="4837" spans="1:20" x14ac:dyDescent="0.25">
      <c r="A4837" s="1" t="str">
        <f>HYPERLINK("https://vegkart.atlas.vegvesen.no/#/@-12411.8,6590645.7,18/hva:hva%5B0%5D%5Bfilter%5D%5B0%5D%5Boperator%5D=%21%3D&amp;hva%5B0%5D%5Bfilter%5D%5B0%5D%5Btype_id%5D=4820&amp;hva%5B0%5D%5Bfilter%5D%5B0%5D%5Bverdi%5D=&amp;hva%5B0%5D%5Bid%5D=144/når:2022-11-14", "Vegkart")</f>
        <v>Vegkart</v>
      </c>
      <c r="B4837">
        <v>1016534735</v>
      </c>
      <c r="C4837">
        <v>144</v>
      </c>
      <c r="D4837" t="s">
        <v>13345</v>
      </c>
      <c r="E4837">
        <v>4820</v>
      </c>
      <c r="F4837" t="s">
        <v>23479</v>
      </c>
      <c r="G4837">
        <v>1</v>
      </c>
      <c r="H4837" t="s">
        <v>16093</v>
      </c>
      <c r="J4837" t="s">
        <v>16077</v>
      </c>
      <c r="K4837" t="s">
        <v>170</v>
      </c>
      <c r="L4837" t="s">
        <v>33</v>
      </c>
      <c r="M4837" t="s">
        <v>16094</v>
      </c>
      <c r="N4837" t="s">
        <v>16110</v>
      </c>
      <c r="O4837" t="s">
        <v>16111</v>
      </c>
      <c r="P4837" s="2" t="s">
        <v>67</v>
      </c>
      <c r="Q4837" t="s">
        <v>68</v>
      </c>
      <c r="R4837">
        <v>100.45</v>
      </c>
      <c r="S4837">
        <v>111.85</v>
      </c>
      <c r="T4837" t="s">
        <v>16112</v>
      </c>
    </row>
    <row r="4838" spans="1:20" x14ac:dyDescent="0.25">
      <c r="A4838" s="1" t="str">
        <f>HYPERLINK("https://vegkart.atlas.vegvesen.no/#/@-12178.2,6590684.0,18/hva:hva%5B0%5D%5Bfilter%5D%5B0%5D%5Boperator%5D=%21%3D&amp;hva%5B0%5D%5Bfilter%5D%5B0%5D%5Btype_id%5D=4820&amp;hva%5B0%5D%5Bfilter%5D%5B0%5D%5Bverdi%5D=&amp;hva%5B0%5D%5Bid%5D=144/når:2022-11-14", "Vegkart")</f>
        <v>Vegkart</v>
      </c>
      <c r="B4838">
        <v>1016534736</v>
      </c>
      <c r="C4838">
        <v>144</v>
      </c>
      <c r="D4838" t="s">
        <v>13345</v>
      </c>
      <c r="E4838">
        <v>4820</v>
      </c>
      <c r="F4838" t="s">
        <v>23479</v>
      </c>
      <c r="G4838">
        <v>1</v>
      </c>
      <c r="H4838" t="s">
        <v>16093</v>
      </c>
      <c r="J4838" t="s">
        <v>16077</v>
      </c>
      <c r="K4838" t="s">
        <v>170</v>
      </c>
      <c r="L4838" t="s">
        <v>33</v>
      </c>
      <c r="M4838" t="s">
        <v>16094</v>
      </c>
      <c r="N4838" t="s">
        <v>16113</v>
      </c>
      <c r="O4838" t="s">
        <v>16114</v>
      </c>
      <c r="P4838" s="2" t="s">
        <v>67</v>
      </c>
      <c r="Q4838" t="s">
        <v>68</v>
      </c>
      <c r="R4838">
        <v>125.91</v>
      </c>
      <c r="S4838">
        <v>143.24</v>
      </c>
      <c r="T4838" t="s">
        <v>16115</v>
      </c>
    </row>
    <row r="4839" spans="1:20" x14ac:dyDescent="0.25">
      <c r="A4839" s="1" t="str">
        <f>HYPERLINK("https://vegkart.atlas.vegvesen.no/#/@-12272.8,6590671.3,18/hva:hva%5B0%5D%5Bfilter%5D%5B0%5D%5Boperator%5D=%21%3D&amp;hva%5B0%5D%5Bfilter%5D%5B0%5D%5Btype_id%5D=4820&amp;hva%5B0%5D%5Bfilter%5D%5B0%5D%5Bverdi%5D=&amp;hva%5B0%5D%5Bid%5D=144/når:2022-11-14", "Vegkart")</f>
        <v>Vegkart</v>
      </c>
      <c r="B4839">
        <v>1016534737</v>
      </c>
      <c r="C4839">
        <v>144</v>
      </c>
      <c r="D4839" t="s">
        <v>13345</v>
      </c>
      <c r="E4839">
        <v>4820</v>
      </c>
      <c r="F4839" t="s">
        <v>23479</v>
      </c>
      <c r="G4839">
        <v>1</v>
      </c>
      <c r="H4839" t="s">
        <v>16093</v>
      </c>
      <c r="J4839" t="s">
        <v>16077</v>
      </c>
      <c r="K4839" t="s">
        <v>170</v>
      </c>
      <c r="L4839" t="s">
        <v>33</v>
      </c>
      <c r="M4839" t="s">
        <v>16094</v>
      </c>
      <c r="N4839" t="s">
        <v>16116</v>
      </c>
      <c r="O4839" t="s">
        <v>16117</v>
      </c>
      <c r="P4839" s="2" t="s">
        <v>67</v>
      </c>
      <c r="Q4839" t="s">
        <v>68</v>
      </c>
      <c r="R4839">
        <v>21.51</v>
      </c>
      <c r="S4839">
        <v>21.51</v>
      </c>
      <c r="T4839" t="s">
        <v>16118</v>
      </c>
    </row>
    <row r="4840" spans="1:20" x14ac:dyDescent="0.25">
      <c r="A4840" s="1" t="str">
        <f>HYPERLINK("https://vegkart.atlas.vegvesen.no/#/@-12076.1,6590801.3,18/hva:hva%5B0%5D%5Bfilter%5D%5B0%5D%5Boperator%5D=%21%3D&amp;hva%5B0%5D%5Bfilter%5D%5B0%5D%5Btype_id%5D=4820&amp;hva%5B0%5D%5Bfilter%5D%5B0%5D%5Bverdi%5D=&amp;hva%5B0%5D%5Bid%5D=144/når:2022-11-14", "Vegkart")</f>
        <v>Vegkart</v>
      </c>
      <c r="B4840">
        <v>1016534738</v>
      </c>
      <c r="C4840">
        <v>144</v>
      </c>
      <c r="D4840" t="s">
        <v>13345</v>
      </c>
      <c r="E4840">
        <v>4820</v>
      </c>
      <c r="F4840" t="s">
        <v>23479</v>
      </c>
      <c r="G4840">
        <v>1</v>
      </c>
      <c r="H4840" t="s">
        <v>16093</v>
      </c>
      <c r="J4840" t="s">
        <v>16077</v>
      </c>
      <c r="K4840" t="s">
        <v>170</v>
      </c>
      <c r="L4840" t="s">
        <v>33</v>
      </c>
      <c r="M4840" t="s">
        <v>16094</v>
      </c>
      <c r="N4840" t="s">
        <v>16119</v>
      </c>
      <c r="O4840" t="s">
        <v>16120</v>
      </c>
      <c r="P4840" s="2" t="s">
        <v>67</v>
      </c>
      <c r="Q4840" t="s">
        <v>68</v>
      </c>
      <c r="R4840">
        <v>141.13</v>
      </c>
      <c r="S4840">
        <v>144.31</v>
      </c>
      <c r="T4840" t="s">
        <v>16121</v>
      </c>
    </row>
    <row r="4841" spans="1:20" x14ac:dyDescent="0.25">
      <c r="A4841" s="1" t="str">
        <f>HYPERLINK("https://vegkart.atlas.vegvesen.no/#/@-11804.9,6591118.5,18/hva:hva%5B0%5D%5Bfilter%5D%5B0%5D%5Boperator%5D=%21%3D&amp;hva%5B0%5D%5Bfilter%5D%5B0%5D%5Btype_id%5D=4820&amp;hva%5B0%5D%5Bfilter%5D%5B0%5D%5Bverdi%5D=&amp;hva%5B0%5D%5Bid%5D=144/når:2022-11-14", "Vegkart")</f>
        <v>Vegkart</v>
      </c>
      <c r="B4841">
        <v>1016534739</v>
      </c>
      <c r="C4841">
        <v>144</v>
      </c>
      <c r="D4841" t="s">
        <v>13345</v>
      </c>
      <c r="E4841">
        <v>4820</v>
      </c>
      <c r="F4841" t="s">
        <v>23479</v>
      </c>
      <c r="G4841">
        <v>1</v>
      </c>
      <c r="H4841" t="s">
        <v>16093</v>
      </c>
      <c r="J4841" t="s">
        <v>16077</v>
      </c>
      <c r="K4841" t="s">
        <v>170</v>
      </c>
      <c r="L4841" t="s">
        <v>33</v>
      </c>
      <c r="M4841" t="s">
        <v>16094</v>
      </c>
      <c r="N4841" t="s">
        <v>16122</v>
      </c>
      <c r="O4841" t="s">
        <v>16123</v>
      </c>
      <c r="P4841" s="2" t="s">
        <v>67</v>
      </c>
      <c r="Q4841" t="s">
        <v>68</v>
      </c>
      <c r="R4841">
        <v>20.82</v>
      </c>
      <c r="S4841">
        <v>20.86</v>
      </c>
      <c r="T4841" t="s">
        <v>16124</v>
      </c>
    </row>
    <row r="4842" spans="1:20" x14ac:dyDescent="0.25">
      <c r="A4842" s="1" t="str">
        <f>HYPERLINK("https://vegkart.atlas.vegvesen.no/#/@-12437.5,6590086.3,18/hva:hva%5B0%5D%5Bfilter%5D%5B0%5D%5Boperator%5D=%21%3D&amp;hva%5B0%5D%5Bfilter%5D%5B0%5D%5Btype_id%5D=4820&amp;hva%5B0%5D%5Bfilter%5D%5B0%5D%5Bverdi%5D=&amp;hva%5B0%5D%5Bid%5D=144/når:2022-11-14", "Vegkart")</f>
        <v>Vegkart</v>
      </c>
      <c r="B4842">
        <v>1016534740</v>
      </c>
      <c r="C4842">
        <v>144</v>
      </c>
      <c r="D4842" t="s">
        <v>13345</v>
      </c>
      <c r="E4842">
        <v>4820</v>
      </c>
      <c r="F4842" t="s">
        <v>23479</v>
      </c>
      <c r="G4842">
        <v>1</v>
      </c>
      <c r="H4842" t="s">
        <v>16093</v>
      </c>
      <c r="J4842" t="s">
        <v>16077</v>
      </c>
      <c r="K4842" t="s">
        <v>170</v>
      </c>
      <c r="L4842" t="s">
        <v>33</v>
      </c>
      <c r="M4842" t="s">
        <v>16094</v>
      </c>
      <c r="N4842" t="s">
        <v>16125</v>
      </c>
      <c r="O4842" t="s">
        <v>16126</v>
      </c>
      <c r="P4842" s="2" t="s">
        <v>67</v>
      </c>
      <c r="Q4842" t="s">
        <v>68</v>
      </c>
      <c r="R4842">
        <v>8.82</v>
      </c>
      <c r="S4842">
        <v>8.86</v>
      </c>
      <c r="T4842" t="s">
        <v>16127</v>
      </c>
    </row>
    <row r="4843" spans="1:20" x14ac:dyDescent="0.25">
      <c r="A4843" s="1" t="str">
        <f>HYPERLINK("https://vegkart.atlas.vegvesen.no/#/@-12519.2,6590200.9,18/hva:hva%5B0%5D%5Bfilter%5D%5B0%5D%5Boperator%5D=%21%3D&amp;hva%5B0%5D%5Bfilter%5D%5B0%5D%5Btype_id%5D=4820&amp;hva%5B0%5D%5Bfilter%5D%5B0%5D%5Bverdi%5D=&amp;hva%5B0%5D%5Bid%5D=144/når:2022-11-14", "Vegkart")</f>
        <v>Vegkart</v>
      </c>
      <c r="B4843">
        <v>1016534741</v>
      </c>
      <c r="C4843">
        <v>144</v>
      </c>
      <c r="D4843" t="s">
        <v>13345</v>
      </c>
      <c r="E4843">
        <v>4820</v>
      </c>
      <c r="F4843" t="s">
        <v>23479</v>
      </c>
      <c r="G4843">
        <v>1</v>
      </c>
      <c r="H4843" t="s">
        <v>16093</v>
      </c>
      <c r="J4843" t="s">
        <v>16077</v>
      </c>
      <c r="K4843" t="s">
        <v>170</v>
      </c>
      <c r="L4843" t="s">
        <v>33</v>
      </c>
      <c r="M4843" t="s">
        <v>16094</v>
      </c>
      <c r="N4843" t="s">
        <v>16128</v>
      </c>
      <c r="O4843" t="s">
        <v>16129</v>
      </c>
      <c r="P4843" s="2" t="s">
        <v>67</v>
      </c>
      <c r="Q4843" t="s">
        <v>68</v>
      </c>
      <c r="R4843">
        <v>50.49</v>
      </c>
      <c r="S4843">
        <v>59.07</v>
      </c>
      <c r="T4843" t="s">
        <v>16130</v>
      </c>
    </row>
    <row r="4844" spans="1:20" x14ac:dyDescent="0.25">
      <c r="A4844" s="1" t="str">
        <f>HYPERLINK("https://vegkart.atlas.vegvesen.no/#/@-11662.3,6591104.2,18/hva:hva%5B0%5D%5Bfilter%5D%5B0%5D%5Boperator%5D=%21%3D&amp;hva%5B0%5D%5Bfilter%5D%5B0%5D%5Btype_id%5D=4820&amp;hva%5B0%5D%5Bfilter%5D%5B0%5D%5Bverdi%5D=&amp;hva%5B0%5D%5Bid%5D=144/når:2022-11-14", "Vegkart")</f>
        <v>Vegkart</v>
      </c>
      <c r="B4844">
        <v>1016534742</v>
      </c>
      <c r="C4844">
        <v>144</v>
      </c>
      <c r="D4844" t="s">
        <v>13345</v>
      </c>
      <c r="E4844">
        <v>4820</v>
      </c>
      <c r="F4844" t="s">
        <v>23479</v>
      </c>
      <c r="G4844">
        <v>1</v>
      </c>
      <c r="H4844" t="s">
        <v>16093</v>
      </c>
      <c r="J4844" t="s">
        <v>16077</v>
      </c>
      <c r="K4844" t="s">
        <v>170</v>
      </c>
      <c r="L4844" t="s">
        <v>33</v>
      </c>
      <c r="M4844" t="s">
        <v>16094</v>
      </c>
      <c r="N4844" t="s">
        <v>16131</v>
      </c>
      <c r="O4844" t="s">
        <v>16132</v>
      </c>
      <c r="P4844" s="2" t="s">
        <v>67</v>
      </c>
      <c r="Q4844" t="s">
        <v>68</v>
      </c>
      <c r="R4844">
        <v>81.040000000000006</v>
      </c>
      <c r="S4844">
        <v>85.99</v>
      </c>
      <c r="T4844" t="s">
        <v>16133</v>
      </c>
    </row>
    <row r="4845" spans="1:20" x14ac:dyDescent="0.25">
      <c r="A4845" s="1" t="str">
        <f>HYPERLINK("https://vegkart.atlas.vegvesen.no/#/@-12402.7,6590649.0,18/hva:hva%5B0%5D%5Bfilter%5D%5B0%5D%5Boperator%5D=%21%3D&amp;hva%5B0%5D%5Bfilter%5D%5B0%5D%5Btype_id%5D=4820&amp;hva%5B0%5D%5Bfilter%5D%5B0%5D%5Bverdi%5D=&amp;hva%5B0%5D%5Bid%5D=144/når:2022-11-14", "Vegkart")</f>
        <v>Vegkart</v>
      </c>
      <c r="B4845">
        <v>1016534743</v>
      </c>
      <c r="C4845">
        <v>144</v>
      </c>
      <c r="D4845" t="s">
        <v>13345</v>
      </c>
      <c r="E4845">
        <v>4820</v>
      </c>
      <c r="F4845" t="s">
        <v>23479</v>
      </c>
      <c r="G4845">
        <v>1</v>
      </c>
      <c r="H4845" t="s">
        <v>16093</v>
      </c>
      <c r="J4845" t="s">
        <v>16077</v>
      </c>
      <c r="K4845" t="s">
        <v>170</v>
      </c>
      <c r="L4845" t="s">
        <v>33</v>
      </c>
      <c r="M4845" t="s">
        <v>16094</v>
      </c>
      <c r="N4845" t="s">
        <v>16134</v>
      </c>
      <c r="O4845" t="s">
        <v>16135</v>
      </c>
      <c r="P4845" s="2" t="s">
        <v>67</v>
      </c>
      <c r="Q4845" t="s">
        <v>68</v>
      </c>
      <c r="R4845">
        <v>212.56</v>
      </c>
      <c r="S4845">
        <v>258.04000000000002</v>
      </c>
      <c r="T4845" t="s">
        <v>16136</v>
      </c>
    </row>
    <row r="4846" spans="1:20" x14ac:dyDescent="0.25">
      <c r="A4846" s="1" t="str">
        <f>HYPERLINK("https://vegkart.atlas.vegvesen.no/#/@-12430.1,6590124.3,18/hva:hva%5B0%5D%5Bfilter%5D%5B0%5D%5Boperator%5D=%21%3D&amp;hva%5B0%5D%5Bfilter%5D%5B0%5D%5Btype_id%5D=4820&amp;hva%5B0%5D%5Bfilter%5D%5B0%5D%5Bverdi%5D=&amp;hva%5B0%5D%5Bid%5D=144/når:2022-11-14", "Vegkart")</f>
        <v>Vegkart</v>
      </c>
      <c r="B4846">
        <v>1016534744</v>
      </c>
      <c r="C4846">
        <v>144</v>
      </c>
      <c r="D4846" t="s">
        <v>13345</v>
      </c>
      <c r="E4846">
        <v>4820</v>
      </c>
      <c r="F4846" t="s">
        <v>23479</v>
      </c>
      <c r="G4846">
        <v>1</v>
      </c>
      <c r="H4846" t="s">
        <v>16093</v>
      </c>
      <c r="J4846" t="s">
        <v>16077</v>
      </c>
      <c r="K4846" t="s">
        <v>170</v>
      </c>
      <c r="L4846" t="s">
        <v>33</v>
      </c>
      <c r="M4846" t="s">
        <v>16094</v>
      </c>
      <c r="N4846" t="s">
        <v>16137</v>
      </c>
      <c r="O4846" t="s">
        <v>16138</v>
      </c>
      <c r="P4846" s="2" t="s">
        <v>67</v>
      </c>
      <c r="Q4846" t="s">
        <v>68</v>
      </c>
      <c r="R4846">
        <v>47.09</v>
      </c>
      <c r="S4846">
        <v>47.39</v>
      </c>
      <c r="T4846" t="s">
        <v>16139</v>
      </c>
    </row>
    <row r="4847" spans="1:20" x14ac:dyDescent="0.25">
      <c r="A4847" s="1" t="str">
        <f>HYPERLINK("https://vegkart.atlas.vegvesen.no/#/@-11799.8,6591118.3,18/hva:hva%5B0%5D%5Bfilter%5D%5B0%5D%5Boperator%5D=%21%3D&amp;hva%5B0%5D%5Bfilter%5D%5B0%5D%5Btype_id%5D=4820&amp;hva%5B0%5D%5Bfilter%5D%5B0%5D%5Bverdi%5D=&amp;hva%5B0%5D%5Bid%5D=144/når:2022-11-14", "Vegkart")</f>
        <v>Vegkart</v>
      </c>
      <c r="B4847">
        <v>1016534745</v>
      </c>
      <c r="C4847">
        <v>144</v>
      </c>
      <c r="D4847" t="s">
        <v>13345</v>
      </c>
      <c r="E4847">
        <v>4820</v>
      </c>
      <c r="F4847" t="s">
        <v>23479</v>
      </c>
      <c r="G4847">
        <v>1</v>
      </c>
      <c r="H4847" t="s">
        <v>16093</v>
      </c>
      <c r="J4847" t="s">
        <v>16077</v>
      </c>
      <c r="K4847" t="s">
        <v>170</v>
      </c>
      <c r="L4847" t="s">
        <v>33</v>
      </c>
      <c r="M4847" t="s">
        <v>16094</v>
      </c>
      <c r="N4847" t="s">
        <v>16140</v>
      </c>
      <c r="O4847" t="s">
        <v>16141</v>
      </c>
      <c r="P4847" s="2" t="s">
        <v>67</v>
      </c>
      <c r="Q4847" t="s">
        <v>68</v>
      </c>
      <c r="R4847">
        <v>2.93</v>
      </c>
      <c r="S4847">
        <v>2.93</v>
      </c>
      <c r="T4847" t="s">
        <v>16142</v>
      </c>
    </row>
    <row r="4848" spans="1:20" x14ac:dyDescent="0.25">
      <c r="A4848" s="1" t="str">
        <f>HYPERLINK("https://vegkart.atlas.vegvesen.no/#/@-11982.3,6590946.4,18/hva:hva%5B0%5D%5Bfilter%5D%5B0%5D%5Boperator%5D=%21%3D&amp;hva%5B0%5D%5Bfilter%5D%5B0%5D%5Btype_id%5D=4820&amp;hva%5B0%5D%5Bfilter%5D%5B0%5D%5Bverdi%5D=&amp;hva%5B0%5D%5Bid%5D=144/når:2022-11-14", "Vegkart")</f>
        <v>Vegkart</v>
      </c>
      <c r="B4848">
        <v>1016534746</v>
      </c>
      <c r="C4848">
        <v>144</v>
      </c>
      <c r="D4848" t="s">
        <v>13345</v>
      </c>
      <c r="E4848">
        <v>4820</v>
      </c>
      <c r="F4848" t="s">
        <v>23479</v>
      </c>
      <c r="G4848">
        <v>1</v>
      </c>
      <c r="H4848" t="s">
        <v>16093</v>
      </c>
      <c r="J4848" t="s">
        <v>16077</v>
      </c>
      <c r="K4848" t="s">
        <v>170</v>
      </c>
      <c r="L4848" t="s">
        <v>33</v>
      </c>
      <c r="M4848" t="s">
        <v>16094</v>
      </c>
      <c r="N4848" t="s">
        <v>16143</v>
      </c>
      <c r="O4848" t="s">
        <v>16144</v>
      </c>
      <c r="P4848" s="2" t="s">
        <v>67</v>
      </c>
      <c r="Q4848" t="s">
        <v>68</v>
      </c>
      <c r="R4848">
        <v>480.17</v>
      </c>
      <c r="S4848">
        <v>508.36</v>
      </c>
      <c r="T4848" t="s">
        <v>16145</v>
      </c>
    </row>
    <row r="4849" spans="1:20" x14ac:dyDescent="0.25">
      <c r="A4849" s="1" t="str">
        <f>HYPERLINK("https://vegkart.atlas.vegvesen.no/#/@-12474.1,6590155.0,18/hva:hva%5B0%5D%5Bfilter%5D%5B0%5D%5Boperator%5D=%21%3D&amp;hva%5B0%5D%5Bfilter%5D%5B0%5D%5Btype_id%5D=4820&amp;hva%5B0%5D%5Bfilter%5D%5B0%5D%5Bverdi%5D=&amp;hva%5B0%5D%5Bid%5D=144/når:2022-11-14", "Vegkart")</f>
        <v>Vegkart</v>
      </c>
      <c r="B4849">
        <v>1016534747</v>
      </c>
      <c r="C4849">
        <v>144</v>
      </c>
      <c r="D4849" t="s">
        <v>13345</v>
      </c>
      <c r="E4849">
        <v>4820</v>
      </c>
      <c r="F4849" t="s">
        <v>23479</v>
      </c>
      <c r="G4849">
        <v>1</v>
      </c>
      <c r="H4849" t="s">
        <v>16093</v>
      </c>
      <c r="J4849" t="s">
        <v>16077</v>
      </c>
      <c r="K4849" t="s">
        <v>170</v>
      </c>
      <c r="L4849" t="s">
        <v>33</v>
      </c>
      <c r="M4849" t="s">
        <v>16094</v>
      </c>
      <c r="N4849" t="s">
        <v>16146</v>
      </c>
      <c r="O4849" t="s">
        <v>16147</v>
      </c>
      <c r="P4849" s="2" t="s">
        <v>67</v>
      </c>
      <c r="Q4849" t="s">
        <v>68</v>
      </c>
      <c r="R4849">
        <v>150.04</v>
      </c>
      <c r="S4849">
        <v>197.78</v>
      </c>
      <c r="T4849" t="s">
        <v>16148</v>
      </c>
    </row>
    <row r="4850" spans="1:20" x14ac:dyDescent="0.25">
      <c r="A4850" s="1" t="str">
        <f>HYPERLINK("https://vegkart.atlas.vegvesen.no/#/@-11669.0,6591116.8,18/hva:hva%5B0%5D%5Bfilter%5D%5B0%5D%5Boperator%5D=%21%3D&amp;hva%5B0%5D%5Bfilter%5D%5B0%5D%5Btype_id%5D=4820&amp;hva%5B0%5D%5Bfilter%5D%5B0%5D%5Bverdi%5D=&amp;hva%5B0%5D%5Bid%5D=144/når:2022-11-14", "Vegkart")</f>
        <v>Vegkart</v>
      </c>
      <c r="B4850">
        <v>1016534749</v>
      </c>
      <c r="C4850">
        <v>144</v>
      </c>
      <c r="D4850" t="s">
        <v>13345</v>
      </c>
      <c r="E4850">
        <v>4820</v>
      </c>
      <c r="F4850" t="s">
        <v>23479</v>
      </c>
      <c r="G4850">
        <v>1</v>
      </c>
      <c r="H4850" t="s">
        <v>16093</v>
      </c>
      <c r="J4850" t="s">
        <v>16077</v>
      </c>
      <c r="K4850" t="s">
        <v>170</v>
      </c>
      <c r="L4850" t="s">
        <v>33</v>
      </c>
      <c r="M4850" t="s">
        <v>16094</v>
      </c>
      <c r="N4850" t="s">
        <v>16149</v>
      </c>
      <c r="O4850" t="s">
        <v>16150</v>
      </c>
      <c r="P4850" s="2" t="s">
        <v>67</v>
      </c>
      <c r="Q4850" t="s">
        <v>68</v>
      </c>
      <c r="R4850">
        <v>34.42</v>
      </c>
      <c r="S4850">
        <v>40.369999999999997</v>
      </c>
      <c r="T4850" t="s">
        <v>16151</v>
      </c>
    </row>
    <row r="4851" spans="1:20" x14ac:dyDescent="0.25">
      <c r="A4851" s="1" t="str">
        <f>HYPERLINK("https://vegkart.atlas.vegvesen.no/#/@-12440.8,6590085.4,18/hva:hva%5B0%5D%5Bfilter%5D%5B0%5D%5Boperator%5D=%21%3D&amp;hva%5B0%5D%5Bfilter%5D%5B0%5D%5Btype_id%5D=4820&amp;hva%5B0%5D%5Bfilter%5D%5B0%5D%5Bverdi%5D=&amp;hva%5B0%5D%5Bid%5D=144/når:2022-11-14", "Vegkart")</f>
        <v>Vegkart</v>
      </c>
      <c r="B4851">
        <v>1016534750</v>
      </c>
      <c r="C4851">
        <v>144</v>
      </c>
      <c r="D4851" t="s">
        <v>13345</v>
      </c>
      <c r="E4851">
        <v>4820</v>
      </c>
      <c r="F4851" t="s">
        <v>23479</v>
      </c>
      <c r="G4851">
        <v>1</v>
      </c>
      <c r="H4851" t="s">
        <v>16093</v>
      </c>
      <c r="J4851" t="s">
        <v>16077</v>
      </c>
      <c r="K4851" t="s">
        <v>170</v>
      </c>
      <c r="L4851" t="s">
        <v>33</v>
      </c>
      <c r="M4851" t="s">
        <v>16094</v>
      </c>
      <c r="N4851" t="s">
        <v>16152</v>
      </c>
      <c r="O4851" t="s">
        <v>16153</v>
      </c>
      <c r="P4851" s="2" t="s">
        <v>67</v>
      </c>
      <c r="Q4851" t="s">
        <v>68</v>
      </c>
      <c r="R4851">
        <v>33.85</v>
      </c>
      <c r="S4851">
        <v>34.22</v>
      </c>
      <c r="T4851" t="s">
        <v>16154</v>
      </c>
    </row>
    <row r="4852" spans="1:20" x14ac:dyDescent="0.25">
      <c r="A4852" s="1" t="str">
        <f>HYPERLINK("https://vegkart.atlas.vegvesen.no/#/@26215.4,6728708.3,18/hva:hva%5B0%5D%5Bfilter%5D%5B0%5D%5Boperator%5D=%21%3D&amp;hva%5B0%5D%5Bfilter%5D%5B0%5D%5Btype_id%5D=4820&amp;hva%5B0%5D%5Bfilter%5D%5B0%5D%5Bverdi%5D=&amp;hva%5B0%5D%5Bid%5D=144/når:2023-01-04", "Vegkart")</f>
        <v>Vegkart</v>
      </c>
      <c r="B4852">
        <v>1017165476</v>
      </c>
      <c r="C4852">
        <v>144</v>
      </c>
      <c r="D4852" t="s">
        <v>13345</v>
      </c>
      <c r="E4852">
        <v>4820</v>
      </c>
      <c r="F4852" t="s">
        <v>23479</v>
      </c>
      <c r="G4852">
        <v>1</v>
      </c>
      <c r="H4852" t="s">
        <v>16155</v>
      </c>
      <c r="J4852" t="s">
        <v>16077</v>
      </c>
      <c r="K4852" t="s">
        <v>21</v>
      </c>
      <c r="L4852" t="s">
        <v>33</v>
      </c>
      <c r="M4852" t="s">
        <v>1380</v>
      </c>
      <c r="N4852" t="s">
        <v>16156</v>
      </c>
      <c r="O4852" t="s">
        <v>16157</v>
      </c>
      <c r="P4852" s="2" t="s">
        <v>67</v>
      </c>
      <c r="Q4852" t="s">
        <v>68</v>
      </c>
      <c r="R4852">
        <v>6.51</v>
      </c>
      <c r="S4852">
        <v>6.51</v>
      </c>
      <c r="T4852" t="s">
        <v>16158</v>
      </c>
    </row>
    <row r="4853" spans="1:20" x14ac:dyDescent="0.25">
      <c r="A4853" s="1" t="str">
        <f>HYPERLINK("https://vegkart.atlas.vegvesen.no/#/@-28465.6,6720410.0,18/hva:hva%5B0%5D%5Bfilter%5D%5B0%5D%5Boperator%5D=%21%3D&amp;hva%5B0%5D%5Bfilter%5D%5B0%5D%5Btype_id%5D=4820&amp;hva%5B0%5D%5Bfilter%5D%5B0%5D%5Bverdi%5D=&amp;hva%5B0%5D%5Bid%5D=144/når:2023-03-10", "Vegkart")</f>
        <v>Vegkart</v>
      </c>
      <c r="B4853">
        <v>1017393880</v>
      </c>
      <c r="C4853">
        <v>144</v>
      </c>
      <c r="D4853" t="s">
        <v>13345</v>
      </c>
      <c r="E4853">
        <v>4820</v>
      </c>
      <c r="F4853" t="s">
        <v>23479</v>
      </c>
      <c r="G4853">
        <v>1</v>
      </c>
      <c r="H4853" t="s">
        <v>16159</v>
      </c>
      <c r="J4853" t="s">
        <v>16077</v>
      </c>
      <c r="K4853" t="s">
        <v>21</v>
      </c>
      <c r="L4853" t="s">
        <v>80</v>
      </c>
      <c r="M4853" t="s">
        <v>81</v>
      </c>
      <c r="N4853" t="s">
        <v>16160</v>
      </c>
      <c r="O4853" t="s">
        <v>16161</v>
      </c>
      <c r="P4853" s="2" t="s">
        <v>37</v>
      </c>
      <c r="Q4853" t="s">
        <v>1208</v>
      </c>
      <c r="R4853">
        <v>0</v>
      </c>
      <c r="S4853">
        <v>18.760000000000002</v>
      </c>
      <c r="T4853" t="s">
        <v>16162</v>
      </c>
    </row>
    <row r="4854" spans="1:20" x14ac:dyDescent="0.25">
      <c r="A4854" s="1" t="str">
        <f>HYPERLINK("https://vegkart.atlas.vegvesen.no/#/@513325.7,7426569.9,18/hva:hva%5B0%5D%5Bfilter%5D%5B0%5D%5Boperator%5D=%21%3D&amp;hva%5B0%5D%5Bfilter%5D%5B0%5D%5Btype_id%5D=4820&amp;hva%5B0%5D%5Bfilter%5D%5B0%5D%5Bverdi%5D=&amp;hva%5B0%5D%5Bid%5D=144/når:2023-05-31", "Vegkart")</f>
        <v>Vegkart</v>
      </c>
      <c r="B4854">
        <v>1017694014</v>
      </c>
      <c r="C4854">
        <v>144</v>
      </c>
      <c r="D4854" t="s">
        <v>13345</v>
      </c>
      <c r="E4854">
        <v>4820</v>
      </c>
      <c r="F4854" t="s">
        <v>23479</v>
      </c>
      <c r="G4854">
        <v>1</v>
      </c>
      <c r="H4854" t="s">
        <v>4298</v>
      </c>
      <c r="J4854" t="s">
        <v>16077</v>
      </c>
      <c r="K4854" t="s">
        <v>53</v>
      </c>
      <c r="L4854" t="s">
        <v>80</v>
      </c>
      <c r="M4854" t="s">
        <v>105</v>
      </c>
      <c r="N4854" t="s">
        <v>16163</v>
      </c>
      <c r="O4854" t="s">
        <v>16164</v>
      </c>
      <c r="P4854" s="2" t="s">
        <v>37</v>
      </c>
      <c r="Q4854" t="s">
        <v>1208</v>
      </c>
      <c r="R4854">
        <v>0</v>
      </c>
      <c r="S4854">
        <v>1107.18</v>
      </c>
      <c r="T4854" t="s">
        <v>16165</v>
      </c>
    </row>
    <row r="4855" spans="1:20" x14ac:dyDescent="0.25">
      <c r="A4855" s="1" t="str">
        <f>HYPERLINK("https://vegkart.atlas.vegvesen.no/#/@291183.6,6589801.6,18/hva:hva%5B0%5D%5Bfilter%5D%5B0%5D%5Boperator%5D=%21%3D&amp;hva%5B0%5D%5Bfilter%5D%5B0%5D%5Btype_id%5D=4820&amp;hva%5B0%5D%5Bfilter%5D%5B0%5D%5Bverdi%5D=&amp;hva%5B0%5D%5Bid%5D=144/når:2023-06-13", "Vegkart")</f>
        <v>Vegkart</v>
      </c>
      <c r="B4855">
        <v>1017733341</v>
      </c>
      <c r="C4855">
        <v>144</v>
      </c>
      <c r="D4855" t="s">
        <v>13345</v>
      </c>
      <c r="E4855">
        <v>4820</v>
      </c>
      <c r="F4855" t="s">
        <v>23479</v>
      </c>
      <c r="G4855">
        <v>1</v>
      </c>
      <c r="H4855" t="s">
        <v>11478</v>
      </c>
      <c r="J4855" t="s">
        <v>16077</v>
      </c>
      <c r="K4855" t="s">
        <v>104</v>
      </c>
      <c r="L4855" t="s">
        <v>113</v>
      </c>
      <c r="M4855" t="s">
        <v>15239</v>
      </c>
      <c r="N4855" t="s">
        <v>16166</v>
      </c>
      <c r="O4855" t="s">
        <v>16167</v>
      </c>
      <c r="P4855" s="2" t="s">
        <v>37</v>
      </c>
      <c r="Q4855" t="s">
        <v>1208</v>
      </c>
      <c r="R4855">
        <v>0</v>
      </c>
      <c r="S4855">
        <v>10.42</v>
      </c>
      <c r="T4855" t="s">
        <v>16168</v>
      </c>
    </row>
    <row r="4856" spans="1:20" x14ac:dyDescent="0.25">
      <c r="A4856" s="1" t="str">
        <f>HYPERLINK("https://vegkart.atlas.vegvesen.no/#/@290966.3,6589446.0,18/hva:hva%5B0%5D%5Bfilter%5D%5B0%5D%5Boperator%5D=%21%3D&amp;hva%5B0%5D%5Bfilter%5D%5B0%5D%5Btype_id%5D=4820&amp;hva%5B0%5D%5Bfilter%5D%5B0%5D%5Bverdi%5D=&amp;hva%5B0%5D%5Bid%5D=144/når:2023-06-13", "Vegkart")</f>
        <v>Vegkart</v>
      </c>
      <c r="B4856">
        <v>1017733342</v>
      </c>
      <c r="C4856">
        <v>144</v>
      </c>
      <c r="D4856" t="s">
        <v>13345</v>
      </c>
      <c r="E4856">
        <v>4820</v>
      </c>
      <c r="F4856" t="s">
        <v>23479</v>
      </c>
      <c r="G4856">
        <v>1</v>
      </c>
      <c r="H4856" t="s">
        <v>11478</v>
      </c>
      <c r="J4856" t="s">
        <v>16077</v>
      </c>
      <c r="K4856" t="s">
        <v>104</v>
      </c>
      <c r="L4856" t="s">
        <v>113</v>
      </c>
      <c r="M4856" t="s">
        <v>15239</v>
      </c>
      <c r="N4856" t="s">
        <v>16169</v>
      </c>
      <c r="O4856" t="s">
        <v>16170</v>
      </c>
      <c r="P4856" s="2" t="s">
        <v>37</v>
      </c>
      <c r="Q4856" t="s">
        <v>1208</v>
      </c>
      <c r="R4856">
        <v>0</v>
      </c>
      <c r="S4856">
        <v>17</v>
      </c>
      <c r="T4856" t="s">
        <v>16171</v>
      </c>
    </row>
    <row r="4857" spans="1:20" x14ac:dyDescent="0.25">
      <c r="A4857" s="1" t="str">
        <f>HYPERLINK("https://vegkart.atlas.vegvesen.no/#/@744185.0,7735168.9,18/hva:hva%5B0%5D%5Bfilter%5D%5B0%5D%5Boperator%5D=%21%3D&amp;hva%5B0%5D%5Bfilter%5D%5B0%5D%5Btype_id%5D=4820&amp;hva%5B0%5D%5Bfilter%5D%5B0%5D%5Bverdi%5D=&amp;hva%5B0%5D%5Bid%5D=144/når:2023-07-07", "Vegkart")</f>
        <v>Vegkart</v>
      </c>
      <c r="B4857">
        <v>1017824562</v>
      </c>
      <c r="C4857">
        <v>144</v>
      </c>
      <c r="D4857" t="s">
        <v>13345</v>
      </c>
      <c r="E4857">
        <v>4820</v>
      </c>
      <c r="F4857" t="s">
        <v>23479</v>
      </c>
      <c r="G4857">
        <v>1</v>
      </c>
      <c r="H4857" t="s">
        <v>1437</v>
      </c>
      <c r="J4857" t="s">
        <v>16172</v>
      </c>
      <c r="K4857" t="s">
        <v>179</v>
      </c>
      <c r="L4857" t="s">
        <v>33</v>
      </c>
      <c r="M4857" t="s">
        <v>1262</v>
      </c>
      <c r="N4857" t="s">
        <v>16173</v>
      </c>
      <c r="O4857" t="s">
        <v>16174</v>
      </c>
      <c r="P4857" s="2" t="s">
        <v>37</v>
      </c>
      <c r="Q4857" t="s">
        <v>1208</v>
      </c>
      <c r="R4857">
        <v>0</v>
      </c>
      <c r="S4857">
        <v>55.17</v>
      </c>
      <c r="T4857" t="s">
        <v>16175</v>
      </c>
    </row>
    <row r="4858" spans="1:20" x14ac:dyDescent="0.25">
      <c r="A4858" s="1" t="str">
        <f>HYPERLINK("https://vegkart.atlas.vegvesen.no/#/@744187.8,7735150.6,18/hva:hva%5B0%5D%5Bfilter%5D%5B0%5D%5Boperator%5D=%21%3D&amp;hva%5B0%5D%5Bfilter%5D%5B0%5D%5Btype_id%5D=4820&amp;hva%5B0%5D%5Bfilter%5D%5B0%5D%5Bverdi%5D=&amp;hva%5B0%5D%5Bid%5D=144/når:2023-07-07", "Vegkart")</f>
        <v>Vegkart</v>
      </c>
      <c r="B4858">
        <v>1017824563</v>
      </c>
      <c r="C4858">
        <v>144</v>
      </c>
      <c r="D4858" t="s">
        <v>13345</v>
      </c>
      <c r="E4858">
        <v>4820</v>
      </c>
      <c r="F4858" t="s">
        <v>23479</v>
      </c>
      <c r="G4858">
        <v>1</v>
      </c>
      <c r="H4858" t="s">
        <v>1437</v>
      </c>
      <c r="J4858" t="s">
        <v>16172</v>
      </c>
      <c r="K4858" t="s">
        <v>179</v>
      </c>
      <c r="L4858" t="s">
        <v>33</v>
      </c>
      <c r="M4858" t="s">
        <v>1262</v>
      </c>
      <c r="N4858" t="s">
        <v>16176</v>
      </c>
      <c r="O4858" t="s">
        <v>16177</v>
      </c>
      <c r="P4858" s="2" t="s">
        <v>37</v>
      </c>
      <c r="Q4858" t="s">
        <v>1208</v>
      </c>
      <c r="R4858">
        <v>0</v>
      </c>
      <c r="S4858">
        <v>50.67</v>
      </c>
      <c r="T4858" t="s">
        <v>16178</v>
      </c>
    </row>
    <row r="4859" spans="1:20" x14ac:dyDescent="0.25">
      <c r="A4859" s="1" t="str">
        <f>HYPERLINK("https://vegkart.atlas.vegvesen.no/#/@38922.9,6472268.1,18/hva:hva%5B0%5D%5Bfilter%5D%5B0%5D%5Boperator%5D=%21%3D&amp;hva%5B0%5D%5Bfilter%5D%5B0%5D%5Btype_id%5D=4820&amp;hva%5B0%5D%5Bfilter%5D%5B0%5D%5Bverdi%5D=&amp;hva%5B0%5D%5Bid%5D=144/når:2023-08-18", "Vegkart")</f>
        <v>Vegkart</v>
      </c>
      <c r="B4859">
        <v>1017890996</v>
      </c>
      <c r="C4859">
        <v>144</v>
      </c>
      <c r="D4859" t="s">
        <v>13345</v>
      </c>
      <c r="E4859">
        <v>4820</v>
      </c>
      <c r="F4859" t="s">
        <v>23479</v>
      </c>
      <c r="G4859">
        <v>1</v>
      </c>
      <c r="H4859" t="s">
        <v>16179</v>
      </c>
      <c r="J4859" t="s">
        <v>16172</v>
      </c>
      <c r="K4859" t="s">
        <v>86</v>
      </c>
      <c r="L4859" t="s">
        <v>80</v>
      </c>
      <c r="M4859" t="s">
        <v>81</v>
      </c>
      <c r="N4859" t="s">
        <v>16180</v>
      </c>
      <c r="O4859" t="s">
        <v>16181</v>
      </c>
      <c r="P4859" s="2" t="s">
        <v>37</v>
      </c>
      <c r="Q4859" t="s">
        <v>1208</v>
      </c>
      <c r="R4859">
        <v>0</v>
      </c>
      <c r="S4859">
        <v>87.23</v>
      </c>
      <c r="T4859" t="s">
        <v>16182</v>
      </c>
    </row>
    <row r="4860" spans="1:20" x14ac:dyDescent="0.25">
      <c r="A4860" s="1" t="str">
        <f>HYPERLINK("https://vegkart.atlas.vegvesen.no/#/@38850.5,6472235.7,18/hva:hva%5B0%5D%5Bfilter%5D%5B0%5D%5Boperator%5D=%21%3D&amp;hva%5B0%5D%5Bfilter%5D%5B0%5D%5Btype_id%5D=4820&amp;hva%5B0%5D%5Bfilter%5D%5B0%5D%5Bverdi%5D=&amp;hva%5B0%5D%5Bid%5D=144/når:2023-08-18", "Vegkart")</f>
        <v>Vegkart</v>
      </c>
      <c r="B4860">
        <v>1017890997</v>
      </c>
      <c r="C4860">
        <v>144</v>
      </c>
      <c r="D4860" t="s">
        <v>13345</v>
      </c>
      <c r="E4860">
        <v>4820</v>
      </c>
      <c r="F4860" t="s">
        <v>23479</v>
      </c>
      <c r="G4860">
        <v>1</v>
      </c>
      <c r="H4860" t="s">
        <v>16179</v>
      </c>
      <c r="J4860" t="s">
        <v>16172</v>
      </c>
      <c r="K4860" t="s">
        <v>86</v>
      </c>
      <c r="L4860" t="s">
        <v>80</v>
      </c>
      <c r="M4860" t="s">
        <v>81</v>
      </c>
      <c r="N4860" t="s">
        <v>16183</v>
      </c>
      <c r="O4860" t="s">
        <v>16184</v>
      </c>
      <c r="P4860" s="2" t="s">
        <v>37</v>
      </c>
      <c r="Q4860" t="s">
        <v>1208</v>
      </c>
      <c r="R4860">
        <v>0</v>
      </c>
      <c r="S4860">
        <v>241.73</v>
      </c>
      <c r="T4860" t="s">
        <v>16185</v>
      </c>
    </row>
    <row r="4861" spans="1:20" x14ac:dyDescent="0.25">
      <c r="A4861" s="1" t="str">
        <f>HYPERLINK("https://vegkart.atlas.vegvesen.no/#/@38901.9,6472276.1,18/hva:hva%5B0%5D%5Bfilter%5D%5B0%5D%5Boperator%5D=%21%3D&amp;hva%5B0%5D%5Bfilter%5D%5B0%5D%5Btype_id%5D=4820&amp;hva%5B0%5D%5Bfilter%5D%5B0%5D%5Bverdi%5D=&amp;hva%5B0%5D%5Bid%5D=144/når:2023-08-18", "Vegkart")</f>
        <v>Vegkart</v>
      </c>
      <c r="B4861">
        <v>1017890998</v>
      </c>
      <c r="C4861">
        <v>144</v>
      </c>
      <c r="D4861" t="s">
        <v>13345</v>
      </c>
      <c r="E4861">
        <v>4820</v>
      </c>
      <c r="F4861" t="s">
        <v>23479</v>
      </c>
      <c r="G4861">
        <v>1</v>
      </c>
      <c r="H4861" t="s">
        <v>16179</v>
      </c>
      <c r="J4861" t="s">
        <v>16172</v>
      </c>
      <c r="K4861" t="s">
        <v>86</v>
      </c>
      <c r="L4861" t="s">
        <v>80</v>
      </c>
      <c r="M4861" t="s">
        <v>81</v>
      </c>
      <c r="N4861" t="s">
        <v>16186</v>
      </c>
      <c r="O4861" t="s">
        <v>16187</v>
      </c>
      <c r="P4861" s="2" t="s">
        <v>37</v>
      </c>
      <c r="Q4861" t="s">
        <v>1208</v>
      </c>
      <c r="R4861">
        <v>0</v>
      </c>
      <c r="S4861">
        <v>62.66</v>
      </c>
      <c r="T4861" t="s">
        <v>16188</v>
      </c>
    </row>
    <row r="4862" spans="1:20" x14ac:dyDescent="0.25">
      <c r="A4862" s="1" t="str">
        <f>HYPERLINK("https://vegkart.atlas.vegvesen.no/#/@38836.5,6472259.3,18/hva:hva%5B0%5D%5Bfilter%5D%5B0%5D%5Boperator%5D=%21%3D&amp;hva%5B0%5D%5Bfilter%5D%5B0%5D%5Btype_id%5D=4820&amp;hva%5B0%5D%5Bfilter%5D%5B0%5D%5Bverdi%5D=&amp;hva%5B0%5D%5Bid%5D=144/når:2023-08-18", "Vegkart")</f>
        <v>Vegkart</v>
      </c>
      <c r="B4862">
        <v>1017890999</v>
      </c>
      <c r="C4862">
        <v>144</v>
      </c>
      <c r="D4862" t="s">
        <v>13345</v>
      </c>
      <c r="E4862">
        <v>4820</v>
      </c>
      <c r="F4862" t="s">
        <v>23479</v>
      </c>
      <c r="G4862">
        <v>1</v>
      </c>
      <c r="H4862" t="s">
        <v>16179</v>
      </c>
      <c r="J4862" t="s">
        <v>16172</v>
      </c>
      <c r="K4862" t="s">
        <v>86</v>
      </c>
      <c r="L4862" t="s">
        <v>80</v>
      </c>
      <c r="M4862" t="s">
        <v>81</v>
      </c>
      <c r="N4862" t="s">
        <v>16189</v>
      </c>
      <c r="O4862" t="s">
        <v>16190</v>
      </c>
      <c r="P4862" s="2" t="s">
        <v>37</v>
      </c>
      <c r="Q4862" t="s">
        <v>1208</v>
      </c>
      <c r="R4862">
        <v>0</v>
      </c>
      <c r="S4862">
        <v>66.73</v>
      </c>
      <c r="T4862" t="s">
        <v>16191</v>
      </c>
    </row>
    <row r="4863" spans="1:20" x14ac:dyDescent="0.25">
      <c r="A4863" s="1" t="str">
        <f>HYPERLINK("https://vegkart.atlas.vegvesen.no/#/@38923.5,6472282.9,18/hva:hva%5B0%5D%5Bfilter%5D%5B0%5D%5Boperator%5D=%21%3D&amp;hva%5B0%5D%5Bfilter%5D%5B0%5D%5Btype_id%5D=4820&amp;hva%5B0%5D%5Bfilter%5D%5B0%5D%5Bverdi%5D=&amp;hva%5B0%5D%5Bid%5D=144/når:2023-08-18", "Vegkart")</f>
        <v>Vegkart</v>
      </c>
      <c r="B4863">
        <v>1017891000</v>
      </c>
      <c r="C4863">
        <v>144</v>
      </c>
      <c r="D4863" t="s">
        <v>13345</v>
      </c>
      <c r="E4863">
        <v>4820</v>
      </c>
      <c r="F4863" t="s">
        <v>23479</v>
      </c>
      <c r="G4863">
        <v>1</v>
      </c>
      <c r="H4863" t="s">
        <v>16179</v>
      </c>
      <c r="J4863" t="s">
        <v>16172</v>
      </c>
      <c r="K4863" t="s">
        <v>86</v>
      </c>
      <c r="L4863" t="s">
        <v>80</v>
      </c>
      <c r="M4863" t="s">
        <v>81</v>
      </c>
      <c r="N4863" t="s">
        <v>16192</v>
      </c>
      <c r="O4863" t="s">
        <v>16193</v>
      </c>
      <c r="P4863" s="2" t="s">
        <v>37</v>
      </c>
      <c r="Q4863" t="s">
        <v>1208</v>
      </c>
      <c r="R4863">
        <v>0</v>
      </c>
      <c r="S4863">
        <v>46.51</v>
      </c>
      <c r="T4863" t="s">
        <v>16194</v>
      </c>
    </row>
    <row r="4864" spans="1:20" x14ac:dyDescent="0.25">
      <c r="A4864" s="1" t="str">
        <f>HYPERLINK("https://vegkart.atlas.vegvesen.no/#/@38838.6,6472261.4,18/hva:hva%5B0%5D%5Bfilter%5D%5B0%5D%5Boperator%5D=%21%3D&amp;hva%5B0%5D%5Bfilter%5D%5B0%5D%5Btype_id%5D=4820&amp;hva%5B0%5D%5Bfilter%5D%5B0%5D%5Bverdi%5D=&amp;hva%5B0%5D%5Bid%5D=144/når:2023-08-18", "Vegkart")</f>
        <v>Vegkart</v>
      </c>
      <c r="B4864">
        <v>1017891001</v>
      </c>
      <c r="C4864">
        <v>144</v>
      </c>
      <c r="D4864" t="s">
        <v>13345</v>
      </c>
      <c r="E4864">
        <v>4820</v>
      </c>
      <c r="F4864" t="s">
        <v>23479</v>
      </c>
      <c r="G4864">
        <v>1</v>
      </c>
      <c r="H4864" t="s">
        <v>16179</v>
      </c>
      <c r="J4864" t="s">
        <v>16172</v>
      </c>
      <c r="K4864" t="s">
        <v>86</v>
      </c>
      <c r="L4864" t="s">
        <v>80</v>
      </c>
      <c r="M4864" t="s">
        <v>81</v>
      </c>
      <c r="N4864" t="s">
        <v>16195</v>
      </c>
      <c r="O4864" t="s">
        <v>16196</v>
      </c>
      <c r="P4864" s="2" t="s">
        <v>37</v>
      </c>
      <c r="Q4864" t="s">
        <v>1208</v>
      </c>
      <c r="R4864">
        <v>0</v>
      </c>
      <c r="S4864">
        <v>59.3</v>
      </c>
      <c r="T4864" t="s">
        <v>16197</v>
      </c>
    </row>
    <row r="4865" spans="1:20" x14ac:dyDescent="0.25">
      <c r="A4865" s="1" t="str">
        <f>HYPERLINK("https://vegkart.atlas.vegvesen.no/#/@38838.8,6472244.4,18/hva:hva%5B0%5D%5Bfilter%5D%5B0%5D%5Boperator%5D=%21%3D&amp;hva%5B0%5D%5Bfilter%5D%5B0%5D%5Btype_id%5D=4820&amp;hva%5B0%5D%5Bfilter%5D%5B0%5D%5Bverdi%5D=&amp;hva%5B0%5D%5Bid%5D=144/når:2023-08-18", "Vegkart")</f>
        <v>Vegkart</v>
      </c>
      <c r="B4865">
        <v>1017891002</v>
      </c>
      <c r="C4865">
        <v>144</v>
      </c>
      <c r="D4865" t="s">
        <v>13345</v>
      </c>
      <c r="E4865">
        <v>4820</v>
      </c>
      <c r="F4865" t="s">
        <v>23479</v>
      </c>
      <c r="G4865">
        <v>1</v>
      </c>
      <c r="H4865" t="s">
        <v>16179</v>
      </c>
      <c r="J4865" t="s">
        <v>16172</v>
      </c>
      <c r="K4865" t="s">
        <v>86</v>
      </c>
      <c r="L4865" t="s">
        <v>80</v>
      </c>
      <c r="M4865" t="s">
        <v>81</v>
      </c>
      <c r="N4865" t="s">
        <v>16198</v>
      </c>
      <c r="O4865" t="s">
        <v>16199</v>
      </c>
      <c r="P4865" s="2" t="s">
        <v>37</v>
      </c>
      <c r="Q4865" t="s">
        <v>1208</v>
      </c>
      <c r="R4865">
        <v>0</v>
      </c>
      <c r="S4865">
        <v>233.5</v>
      </c>
      <c r="T4865" t="s">
        <v>16200</v>
      </c>
    </row>
    <row r="4866" spans="1:20" x14ac:dyDescent="0.25">
      <c r="A4866" s="1" t="str">
        <f>HYPERLINK("https://vegkart.atlas.vegvesen.no/#/@248683.5,6716000.6,18/hva:hva%5B0%5D%5Bfilter%5D%5B0%5D%5Boperator%5D=%21%3D&amp;hva%5B0%5D%5Bfilter%5D%5B0%5D%5Btype_id%5D=4820&amp;hva%5B0%5D%5Bfilter%5D%5B0%5D%5Bverdi%5D=&amp;hva%5B0%5D%5Bid%5D=144/når:2023-11-24", "Vegkart")</f>
        <v>Vegkart</v>
      </c>
      <c r="B4866">
        <v>1018231598</v>
      </c>
      <c r="C4866">
        <v>144</v>
      </c>
      <c r="D4866" t="s">
        <v>13345</v>
      </c>
      <c r="E4866">
        <v>4820</v>
      </c>
      <c r="F4866" t="s">
        <v>23479</v>
      </c>
      <c r="G4866">
        <v>1</v>
      </c>
      <c r="H4866" t="s">
        <v>5597</v>
      </c>
      <c r="J4866" t="s">
        <v>16172</v>
      </c>
      <c r="K4866" t="s">
        <v>136</v>
      </c>
      <c r="L4866" t="s">
        <v>33</v>
      </c>
      <c r="M4866" t="s">
        <v>136</v>
      </c>
      <c r="N4866" t="s">
        <v>16201</v>
      </c>
      <c r="O4866" t="s">
        <v>16202</v>
      </c>
      <c r="P4866" s="2" t="s">
        <v>37</v>
      </c>
      <c r="Q4866" t="s">
        <v>1208</v>
      </c>
      <c r="R4866">
        <v>4.42</v>
      </c>
      <c r="S4866">
        <v>7.67</v>
      </c>
      <c r="T4866" t="s">
        <v>16203</v>
      </c>
    </row>
    <row r="4867" spans="1:20" x14ac:dyDescent="0.25">
      <c r="A4867" s="1" t="str">
        <f>HYPERLINK("https://vegkart.atlas.vegvesen.no/#/@248676.5,6715988.6,18/hva:hva%5B0%5D%5Bfilter%5D%5B0%5D%5Boperator%5D=%21%3D&amp;hva%5B0%5D%5Bfilter%5D%5B0%5D%5Btype_id%5D=4820&amp;hva%5B0%5D%5Bfilter%5D%5B0%5D%5Bverdi%5D=&amp;hva%5B0%5D%5Bid%5D=144/når:2023-11-24", "Vegkart")</f>
        <v>Vegkart</v>
      </c>
      <c r="B4867">
        <v>1018231604</v>
      </c>
      <c r="C4867">
        <v>144</v>
      </c>
      <c r="D4867" t="s">
        <v>13345</v>
      </c>
      <c r="E4867">
        <v>4820</v>
      </c>
      <c r="F4867" t="s">
        <v>23479</v>
      </c>
      <c r="G4867">
        <v>1</v>
      </c>
      <c r="H4867" t="s">
        <v>5597</v>
      </c>
      <c r="J4867" t="s">
        <v>16172</v>
      </c>
      <c r="K4867" t="s">
        <v>136</v>
      </c>
      <c r="L4867" t="s">
        <v>33</v>
      </c>
      <c r="M4867" t="s">
        <v>136</v>
      </c>
      <c r="N4867" t="s">
        <v>16204</v>
      </c>
      <c r="O4867" t="s">
        <v>16205</v>
      </c>
      <c r="P4867" s="2" t="s">
        <v>37</v>
      </c>
      <c r="Q4867" t="s">
        <v>1208</v>
      </c>
      <c r="R4867">
        <v>4.5599999999999996</v>
      </c>
      <c r="S4867">
        <v>8.27</v>
      </c>
      <c r="T4867" t="s">
        <v>16206</v>
      </c>
    </row>
    <row r="4868" spans="1:20" x14ac:dyDescent="0.25">
      <c r="A4868" s="1" t="str">
        <f>HYPERLINK("https://vegkart.atlas.vegvesen.no/#/@71044.1,6809004.9,18/hva:hva%5B0%5D%5Bfilter%5D%5B0%5D%5Boperator%5D=%21%3D&amp;hva%5B0%5D%5Bfilter%5D%5B0%5D%5Btype_id%5D=4820&amp;hva%5B0%5D%5Bfilter%5D%5B0%5D%5Bverdi%5D=&amp;hva%5B0%5D%5Bid%5D=144/når:2025-02-10", "Vegkart")</f>
        <v>Vegkart</v>
      </c>
      <c r="B4868">
        <v>1018569990</v>
      </c>
      <c r="C4868">
        <v>144</v>
      </c>
      <c r="D4868" t="s">
        <v>13345</v>
      </c>
      <c r="E4868">
        <v>4820</v>
      </c>
      <c r="F4868" t="s">
        <v>23479</v>
      </c>
      <c r="G4868">
        <v>2</v>
      </c>
      <c r="H4868" t="s">
        <v>16207</v>
      </c>
      <c r="J4868" t="s">
        <v>16172</v>
      </c>
      <c r="K4868" t="s">
        <v>21</v>
      </c>
      <c r="L4868" t="s">
        <v>113</v>
      </c>
      <c r="M4868" t="s">
        <v>114</v>
      </c>
      <c r="N4868" t="s">
        <v>16208</v>
      </c>
      <c r="O4868" t="s">
        <v>16209</v>
      </c>
      <c r="P4868" s="2" t="s">
        <v>67</v>
      </c>
      <c r="Q4868" t="s">
        <v>68</v>
      </c>
      <c r="R4868">
        <v>17.2</v>
      </c>
      <c r="S4868">
        <v>17.2</v>
      </c>
      <c r="T4868" t="s">
        <v>16210</v>
      </c>
    </row>
    <row r="4869" spans="1:20" x14ac:dyDescent="0.25">
      <c r="A4869" s="1" t="str">
        <f>HYPERLINK("https://vegkart.atlas.vegvesen.no/#/@-36335.7,6741653.0,18/hva:hva%5B0%5D%5Bfilter%5D%5B0%5D%5Boperator%5D=%21%3D&amp;hva%5B0%5D%5Bfilter%5D%5B0%5D%5Btype_id%5D=4820&amp;hva%5B0%5D%5Bfilter%5D%5B0%5D%5Bverdi%5D=&amp;hva%5B0%5D%5Bid%5D=144/når:2024-02-07", "Vegkart")</f>
        <v>Vegkart</v>
      </c>
      <c r="B4869">
        <v>1018729356</v>
      </c>
      <c r="C4869">
        <v>144</v>
      </c>
      <c r="D4869" t="s">
        <v>13345</v>
      </c>
      <c r="E4869">
        <v>4820</v>
      </c>
      <c r="F4869" t="s">
        <v>23479</v>
      </c>
      <c r="G4869">
        <v>1</v>
      </c>
      <c r="H4869" t="s">
        <v>16211</v>
      </c>
      <c r="J4869" t="s">
        <v>16172</v>
      </c>
      <c r="K4869" t="s">
        <v>21</v>
      </c>
      <c r="L4869" t="s">
        <v>33</v>
      </c>
      <c r="M4869" t="s">
        <v>16212</v>
      </c>
      <c r="N4869" t="s">
        <v>16213</v>
      </c>
      <c r="O4869" t="s">
        <v>16214</v>
      </c>
      <c r="P4869" s="2" t="s">
        <v>67</v>
      </c>
      <c r="Q4869" t="s">
        <v>68</v>
      </c>
      <c r="R4869">
        <v>3.26</v>
      </c>
      <c r="S4869">
        <v>3.26</v>
      </c>
      <c r="T4869" t="s">
        <v>16215</v>
      </c>
    </row>
    <row r="4870" spans="1:20" x14ac:dyDescent="0.25">
      <c r="A4870" s="1" t="str">
        <f>HYPERLINK("https://vegkart.atlas.vegvesen.no/#/@-36229.7,6742085.9,18/hva:hva%5B0%5D%5Bfilter%5D%5B0%5D%5Boperator%5D=%21%3D&amp;hva%5B0%5D%5Bfilter%5D%5B0%5D%5Btype_id%5D=4820&amp;hva%5B0%5D%5Bfilter%5D%5B0%5D%5Bverdi%5D=&amp;hva%5B0%5D%5Bid%5D=144/når:2024-02-07", "Vegkart")</f>
        <v>Vegkart</v>
      </c>
      <c r="B4870">
        <v>1018729357</v>
      </c>
      <c r="C4870">
        <v>144</v>
      </c>
      <c r="D4870" t="s">
        <v>13345</v>
      </c>
      <c r="E4870">
        <v>4820</v>
      </c>
      <c r="F4870" t="s">
        <v>23479</v>
      </c>
      <c r="G4870">
        <v>1</v>
      </c>
      <c r="H4870" t="s">
        <v>16211</v>
      </c>
      <c r="J4870" t="s">
        <v>16172</v>
      </c>
      <c r="K4870" t="s">
        <v>21</v>
      </c>
      <c r="L4870" t="s">
        <v>33</v>
      </c>
      <c r="M4870" t="s">
        <v>16212</v>
      </c>
      <c r="N4870" t="s">
        <v>16216</v>
      </c>
      <c r="O4870" t="s">
        <v>16217</v>
      </c>
      <c r="P4870" s="2" t="s">
        <v>67</v>
      </c>
      <c r="Q4870" t="s">
        <v>68</v>
      </c>
      <c r="R4870">
        <v>20.76</v>
      </c>
      <c r="S4870">
        <v>21.52</v>
      </c>
      <c r="T4870" t="s">
        <v>16218</v>
      </c>
    </row>
    <row r="4871" spans="1:20" x14ac:dyDescent="0.25">
      <c r="A4871" s="1" t="str">
        <f>HYPERLINK("https://vegkart.atlas.vegvesen.no/#/@-36070.2,6742993.3,18/hva:hva%5B0%5D%5Bfilter%5D%5B0%5D%5Boperator%5D=%21%3D&amp;hva%5B0%5D%5Bfilter%5D%5B0%5D%5Btype_id%5D=4820&amp;hva%5B0%5D%5Bfilter%5D%5B0%5D%5Bverdi%5D=&amp;hva%5B0%5D%5Bid%5D=144/når:2024-02-07", "Vegkart")</f>
        <v>Vegkart</v>
      </c>
      <c r="B4871">
        <v>1018729358</v>
      </c>
      <c r="C4871">
        <v>144</v>
      </c>
      <c r="D4871" t="s">
        <v>13345</v>
      </c>
      <c r="E4871">
        <v>4820</v>
      </c>
      <c r="F4871" t="s">
        <v>23479</v>
      </c>
      <c r="G4871">
        <v>1</v>
      </c>
      <c r="H4871" t="s">
        <v>16211</v>
      </c>
      <c r="J4871" t="s">
        <v>16172</v>
      </c>
      <c r="K4871" t="s">
        <v>21</v>
      </c>
      <c r="L4871" t="s">
        <v>33</v>
      </c>
      <c r="M4871" t="s">
        <v>16212</v>
      </c>
      <c r="N4871" t="s">
        <v>16219</v>
      </c>
      <c r="O4871" t="s">
        <v>16220</v>
      </c>
      <c r="P4871" s="2" t="s">
        <v>67</v>
      </c>
      <c r="Q4871" t="s">
        <v>68</v>
      </c>
      <c r="R4871">
        <v>13</v>
      </c>
      <c r="S4871">
        <v>13</v>
      </c>
      <c r="T4871" t="s">
        <v>16221</v>
      </c>
    </row>
    <row r="4872" spans="1:20" x14ac:dyDescent="0.25">
      <c r="A4872" s="1" t="str">
        <f>HYPERLINK("https://vegkart.atlas.vegvesen.no/#/@-36131.9,6743011.9,18/hva:hva%5B0%5D%5Bfilter%5D%5B0%5D%5Boperator%5D=%21%3D&amp;hva%5B0%5D%5Bfilter%5D%5B0%5D%5Btype_id%5D=4820&amp;hva%5B0%5D%5Bfilter%5D%5B0%5D%5Bverdi%5D=&amp;hva%5B0%5D%5Bid%5D=144/når:2024-02-07", "Vegkart")</f>
        <v>Vegkart</v>
      </c>
      <c r="B4872">
        <v>1018729359</v>
      </c>
      <c r="C4872">
        <v>144</v>
      </c>
      <c r="D4872" t="s">
        <v>13345</v>
      </c>
      <c r="E4872">
        <v>4820</v>
      </c>
      <c r="F4872" t="s">
        <v>23479</v>
      </c>
      <c r="G4872">
        <v>1</v>
      </c>
      <c r="H4872" t="s">
        <v>16211</v>
      </c>
      <c r="J4872" t="s">
        <v>16172</v>
      </c>
      <c r="K4872" t="s">
        <v>21</v>
      </c>
      <c r="L4872" t="s">
        <v>33</v>
      </c>
      <c r="M4872" t="s">
        <v>16212</v>
      </c>
      <c r="N4872" t="s">
        <v>16222</v>
      </c>
      <c r="O4872" t="s">
        <v>16223</v>
      </c>
      <c r="P4872" s="2" t="s">
        <v>67</v>
      </c>
      <c r="Q4872" t="s">
        <v>68</v>
      </c>
      <c r="R4872">
        <v>35.83</v>
      </c>
      <c r="S4872">
        <v>37.729999999999997</v>
      </c>
      <c r="T4872" t="s">
        <v>16224</v>
      </c>
    </row>
    <row r="4873" spans="1:20" x14ac:dyDescent="0.25">
      <c r="A4873" s="1" t="str">
        <f>HYPERLINK("https://vegkart.atlas.vegvesen.no/#/@-36143.3,6743053.0,18/hva:hva%5B0%5D%5Bfilter%5D%5B0%5D%5Boperator%5D=%21%3D&amp;hva%5B0%5D%5Bfilter%5D%5B0%5D%5Btype_id%5D=4820&amp;hva%5B0%5D%5Bfilter%5D%5B0%5D%5Bverdi%5D=&amp;hva%5B0%5D%5Bid%5D=144/når:2024-02-07", "Vegkart")</f>
        <v>Vegkart</v>
      </c>
      <c r="B4873">
        <v>1018729360</v>
      </c>
      <c r="C4873">
        <v>144</v>
      </c>
      <c r="D4873" t="s">
        <v>13345</v>
      </c>
      <c r="E4873">
        <v>4820</v>
      </c>
      <c r="F4873" t="s">
        <v>23479</v>
      </c>
      <c r="G4873">
        <v>1</v>
      </c>
      <c r="H4873" t="s">
        <v>16211</v>
      </c>
      <c r="J4873" t="s">
        <v>16172</v>
      </c>
      <c r="K4873" t="s">
        <v>21</v>
      </c>
      <c r="L4873" t="s">
        <v>33</v>
      </c>
      <c r="M4873" t="s">
        <v>16212</v>
      </c>
      <c r="N4873" t="s">
        <v>16225</v>
      </c>
      <c r="O4873" t="s">
        <v>16226</v>
      </c>
      <c r="P4873" s="2" t="s">
        <v>67</v>
      </c>
      <c r="Q4873" t="s">
        <v>68</v>
      </c>
      <c r="R4873">
        <v>31.03</v>
      </c>
      <c r="S4873">
        <v>31.03</v>
      </c>
      <c r="T4873" t="s">
        <v>16227</v>
      </c>
    </row>
    <row r="4874" spans="1:20" x14ac:dyDescent="0.25">
      <c r="A4874" s="1" t="str">
        <f>HYPERLINK("https://vegkart.atlas.vegvesen.no/#/@-36266.4,6742072.7,18/hva:hva%5B0%5D%5Bfilter%5D%5B0%5D%5Boperator%5D=%21%3D&amp;hva%5B0%5D%5Bfilter%5D%5B0%5D%5Btype_id%5D=4820&amp;hva%5B0%5D%5Bfilter%5D%5B0%5D%5Bverdi%5D=&amp;hva%5B0%5D%5Bid%5D=144/når:2024-02-07", "Vegkart")</f>
        <v>Vegkart</v>
      </c>
      <c r="B4874">
        <v>1018729361</v>
      </c>
      <c r="C4874">
        <v>144</v>
      </c>
      <c r="D4874" t="s">
        <v>13345</v>
      </c>
      <c r="E4874">
        <v>4820</v>
      </c>
      <c r="F4874" t="s">
        <v>23479</v>
      </c>
      <c r="G4874">
        <v>1</v>
      </c>
      <c r="H4874" t="s">
        <v>16211</v>
      </c>
      <c r="J4874" t="s">
        <v>16172</v>
      </c>
      <c r="K4874" t="s">
        <v>21</v>
      </c>
      <c r="L4874" t="s">
        <v>33</v>
      </c>
      <c r="M4874" t="s">
        <v>16212</v>
      </c>
      <c r="N4874" t="s">
        <v>16228</v>
      </c>
      <c r="O4874" t="s">
        <v>16229</v>
      </c>
      <c r="P4874" s="2" t="s">
        <v>67</v>
      </c>
      <c r="Q4874" t="s">
        <v>68</v>
      </c>
      <c r="R4874">
        <v>8.39</v>
      </c>
      <c r="S4874">
        <v>8.39</v>
      </c>
      <c r="T4874" t="s">
        <v>16230</v>
      </c>
    </row>
    <row r="4875" spans="1:20" x14ac:dyDescent="0.25">
      <c r="A4875" s="1" t="str">
        <f>HYPERLINK("https://vegkart.atlas.vegvesen.no/#/@-36282.5,6742023.8,18/hva:hva%5B0%5D%5Bfilter%5D%5B0%5D%5Boperator%5D=%21%3D&amp;hva%5B0%5D%5Bfilter%5D%5B0%5D%5Btype_id%5D=4820&amp;hva%5B0%5D%5Bfilter%5D%5B0%5D%5Bverdi%5D=&amp;hva%5B0%5D%5Bid%5D=144/når:2024-02-07", "Vegkart")</f>
        <v>Vegkart</v>
      </c>
      <c r="B4875">
        <v>1018729362</v>
      </c>
      <c r="C4875">
        <v>144</v>
      </c>
      <c r="D4875" t="s">
        <v>13345</v>
      </c>
      <c r="E4875">
        <v>4820</v>
      </c>
      <c r="F4875" t="s">
        <v>23479</v>
      </c>
      <c r="G4875">
        <v>1</v>
      </c>
      <c r="H4875" t="s">
        <v>16211</v>
      </c>
      <c r="J4875" t="s">
        <v>16172</v>
      </c>
      <c r="K4875" t="s">
        <v>21</v>
      </c>
      <c r="L4875" t="s">
        <v>33</v>
      </c>
      <c r="M4875" t="s">
        <v>16212</v>
      </c>
      <c r="N4875" t="s">
        <v>16231</v>
      </c>
      <c r="O4875" t="s">
        <v>16232</v>
      </c>
      <c r="P4875" s="2" t="s">
        <v>67</v>
      </c>
      <c r="Q4875" t="s">
        <v>68</v>
      </c>
      <c r="R4875">
        <v>72.16</v>
      </c>
      <c r="S4875">
        <v>72.989999999999995</v>
      </c>
      <c r="T4875" t="s">
        <v>16233</v>
      </c>
    </row>
    <row r="4876" spans="1:20" x14ac:dyDescent="0.25">
      <c r="A4876" s="1" t="str">
        <f>HYPERLINK("https://vegkart.atlas.vegvesen.no/#/@-36216.6,6743225.1,18/hva:hva%5B0%5D%5Bfilter%5D%5B0%5D%5Boperator%5D=%21%3D&amp;hva%5B0%5D%5Bfilter%5D%5B0%5D%5Btype_id%5D=4820&amp;hva%5B0%5D%5Bfilter%5D%5B0%5D%5Bverdi%5D=&amp;hva%5B0%5D%5Bid%5D=144/når:2024-02-07", "Vegkart")</f>
        <v>Vegkart</v>
      </c>
      <c r="B4876">
        <v>1018729363</v>
      </c>
      <c r="C4876">
        <v>144</v>
      </c>
      <c r="D4876" t="s">
        <v>13345</v>
      </c>
      <c r="E4876">
        <v>4820</v>
      </c>
      <c r="F4876" t="s">
        <v>23479</v>
      </c>
      <c r="G4876">
        <v>1</v>
      </c>
      <c r="H4876" t="s">
        <v>16211</v>
      </c>
      <c r="J4876" t="s">
        <v>16172</v>
      </c>
      <c r="K4876" t="s">
        <v>21</v>
      </c>
      <c r="L4876" t="s">
        <v>33</v>
      </c>
      <c r="M4876" t="s">
        <v>16212</v>
      </c>
      <c r="N4876" t="s">
        <v>16234</v>
      </c>
      <c r="O4876" t="s">
        <v>16235</v>
      </c>
      <c r="P4876" s="2" t="s">
        <v>67</v>
      </c>
      <c r="Q4876" t="s">
        <v>68</v>
      </c>
      <c r="R4876">
        <v>4.88</v>
      </c>
      <c r="S4876">
        <v>4.88</v>
      </c>
      <c r="T4876" t="s">
        <v>16236</v>
      </c>
    </row>
    <row r="4877" spans="1:20" x14ac:dyDescent="0.25">
      <c r="A4877" s="1" t="str">
        <f>HYPERLINK("https://vegkart.atlas.vegvesen.no/#/@-36058.1,6742982.1,18/hva:hva%5B0%5D%5Bfilter%5D%5B0%5D%5Boperator%5D=%21%3D&amp;hva%5B0%5D%5Bfilter%5D%5B0%5D%5Btype_id%5D=4820&amp;hva%5B0%5D%5Bfilter%5D%5B0%5D%5Bverdi%5D=&amp;hva%5B0%5D%5Bid%5D=144/når:2024-02-07", "Vegkart")</f>
        <v>Vegkart</v>
      </c>
      <c r="B4877">
        <v>1018729364</v>
      </c>
      <c r="C4877">
        <v>144</v>
      </c>
      <c r="D4877" t="s">
        <v>13345</v>
      </c>
      <c r="E4877">
        <v>4820</v>
      </c>
      <c r="F4877" t="s">
        <v>23479</v>
      </c>
      <c r="G4877">
        <v>1</v>
      </c>
      <c r="H4877" t="s">
        <v>16211</v>
      </c>
      <c r="J4877" t="s">
        <v>16172</v>
      </c>
      <c r="K4877" t="s">
        <v>21</v>
      </c>
      <c r="L4877" t="s">
        <v>33</v>
      </c>
      <c r="M4877" t="s">
        <v>16212</v>
      </c>
      <c r="N4877" t="s">
        <v>16237</v>
      </c>
      <c r="O4877" t="s">
        <v>16238</v>
      </c>
      <c r="P4877" s="2" t="s">
        <v>67</v>
      </c>
      <c r="Q4877" t="s">
        <v>68</v>
      </c>
      <c r="R4877">
        <v>7.77</v>
      </c>
      <c r="S4877">
        <v>7.77</v>
      </c>
      <c r="T4877" t="s">
        <v>16239</v>
      </c>
    </row>
    <row r="4878" spans="1:20" x14ac:dyDescent="0.25">
      <c r="A4878" s="1" t="str">
        <f>HYPERLINK("https://vegkart.atlas.vegvesen.no/#/@439530.6,7555436.4,18/hva:hva%5B0%5D%5Bfilter%5D%5B0%5D%5Boperator%5D=%21%3D&amp;hva%5B0%5D%5Bfilter%5D%5B0%5D%5Btype_id%5D=4820&amp;hva%5B0%5D%5Bfilter%5D%5B0%5D%5Bverdi%5D=&amp;hva%5B0%5D%5Bid%5D=144/når:2024-02-23", "Vegkart")</f>
        <v>Vegkart</v>
      </c>
      <c r="B4878">
        <v>1018917145</v>
      </c>
      <c r="C4878">
        <v>144</v>
      </c>
      <c r="D4878" t="s">
        <v>13345</v>
      </c>
      <c r="E4878">
        <v>4820</v>
      </c>
      <c r="F4878" t="s">
        <v>23479</v>
      </c>
      <c r="G4878">
        <v>1</v>
      </c>
      <c r="H4878" t="s">
        <v>16240</v>
      </c>
      <c r="J4878" t="s">
        <v>16172</v>
      </c>
      <c r="K4878" t="s">
        <v>53</v>
      </c>
      <c r="L4878" t="s">
        <v>33</v>
      </c>
      <c r="M4878" t="s">
        <v>16241</v>
      </c>
      <c r="N4878" t="s">
        <v>16242</v>
      </c>
      <c r="O4878" t="s">
        <v>16243</v>
      </c>
      <c r="P4878" s="2" t="s">
        <v>37</v>
      </c>
      <c r="Q4878" t="s">
        <v>1208</v>
      </c>
      <c r="R4878">
        <v>0</v>
      </c>
      <c r="S4878">
        <v>49.19</v>
      </c>
      <c r="T4878" t="s">
        <v>16244</v>
      </c>
    </row>
    <row r="4879" spans="1:20" x14ac:dyDescent="0.25">
      <c r="A4879" s="1" t="str">
        <f>HYPERLINK("https://vegkart.atlas.vegvesen.no/#/@439540.4,7555434.8,18/hva:hva%5B0%5D%5Bfilter%5D%5B0%5D%5Boperator%5D=%21%3D&amp;hva%5B0%5D%5Bfilter%5D%5B0%5D%5Btype_id%5D=4820&amp;hva%5B0%5D%5Bfilter%5D%5B0%5D%5Bverdi%5D=&amp;hva%5B0%5D%5Bid%5D=144/når:2024-02-23", "Vegkart")</f>
        <v>Vegkart</v>
      </c>
      <c r="B4879">
        <v>1018917146</v>
      </c>
      <c r="C4879">
        <v>144</v>
      </c>
      <c r="D4879" t="s">
        <v>13345</v>
      </c>
      <c r="E4879">
        <v>4820</v>
      </c>
      <c r="F4879" t="s">
        <v>23479</v>
      </c>
      <c r="G4879">
        <v>1</v>
      </c>
      <c r="H4879" t="s">
        <v>16240</v>
      </c>
      <c r="J4879" t="s">
        <v>16172</v>
      </c>
      <c r="K4879" t="s">
        <v>53</v>
      </c>
      <c r="L4879" t="s">
        <v>33</v>
      </c>
      <c r="M4879" t="s">
        <v>16241</v>
      </c>
      <c r="N4879" t="s">
        <v>16245</v>
      </c>
      <c r="O4879" t="s">
        <v>16246</v>
      </c>
      <c r="P4879" s="2" t="s">
        <v>37</v>
      </c>
      <c r="Q4879" t="s">
        <v>1208</v>
      </c>
      <c r="R4879">
        <v>0</v>
      </c>
      <c r="S4879">
        <v>23.13</v>
      </c>
      <c r="T4879" t="s">
        <v>16247</v>
      </c>
    </row>
    <row r="4880" spans="1:20" x14ac:dyDescent="0.25">
      <c r="A4880" s="1" t="str">
        <f>HYPERLINK("https://vegkart.atlas.vegvesen.no/#/@439509.4,7555440.0,18/hva:hva%5B0%5D%5Bfilter%5D%5B0%5D%5Boperator%5D=%21%3D&amp;hva%5B0%5D%5Bfilter%5D%5B0%5D%5Btype_id%5D=4820&amp;hva%5B0%5D%5Bfilter%5D%5B0%5D%5Bverdi%5D=&amp;hva%5B0%5D%5Bid%5D=144/når:2024-02-23", "Vegkart")</f>
        <v>Vegkart</v>
      </c>
      <c r="B4880">
        <v>1018917147</v>
      </c>
      <c r="C4880">
        <v>144</v>
      </c>
      <c r="D4880" t="s">
        <v>13345</v>
      </c>
      <c r="E4880">
        <v>4820</v>
      </c>
      <c r="F4880" t="s">
        <v>23479</v>
      </c>
      <c r="G4880">
        <v>1</v>
      </c>
      <c r="H4880" t="s">
        <v>16240</v>
      </c>
      <c r="J4880" t="s">
        <v>16172</v>
      </c>
      <c r="K4880" t="s">
        <v>53</v>
      </c>
      <c r="L4880" t="s">
        <v>33</v>
      </c>
      <c r="M4880" t="s">
        <v>16241</v>
      </c>
      <c r="N4880" t="s">
        <v>16248</v>
      </c>
      <c r="O4880" t="s">
        <v>16249</v>
      </c>
      <c r="P4880" s="2" t="s">
        <v>37</v>
      </c>
      <c r="Q4880" t="s">
        <v>1208</v>
      </c>
      <c r="R4880">
        <v>0</v>
      </c>
      <c r="S4880">
        <v>47.12</v>
      </c>
      <c r="T4880" t="s">
        <v>16250</v>
      </c>
    </row>
    <row r="4881" spans="1:20" x14ac:dyDescent="0.25">
      <c r="A4881" s="1" t="str">
        <f>HYPERLINK("https://vegkart.atlas.vegvesen.no/#/@439497.6,7555444.1,18/hva:hva%5B0%5D%5Bfilter%5D%5B0%5D%5Boperator%5D=%21%3D&amp;hva%5B0%5D%5Bfilter%5D%5B0%5D%5Btype_id%5D=4820&amp;hva%5B0%5D%5Bfilter%5D%5B0%5D%5Bverdi%5D=&amp;hva%5B0%5D%5Bid%5D=144/når:2024-02-23", "Vegkart")</f>
        <v>Vegkart</v>
      </c>
      <c r="B4881">
        <v>1018917148</v>
      </c>
      <c r="C4881">
        <v>144</v>
      </c>
      <c r="D4881" t="s">
        <v>13345</v>
      </c>
      <c r="E4881">
        <v>4820</v>
      </c>
      <c r="F4881" t="s">
        <v>23479</v>
      </c>
      <c r="G4881">
        <v>1</v>
      </c>
      <c r="H4881" t="s">
        <v>16240</v>
      </c>
      <c r="J4881" t="s">
        <v>16172</v>
      </c>
      <c r="K4881" t="s">
        <v>53</v>
      </c>
      <c r="L4881" t="s">
        <v>33</v>
      </c>
      <c r="M4881" t="s">
        <v>16241</v>
      </c>
      <c r="N4881" t="s">
        <v>16251</v>
      </c>
      <c r="O4881" t="s">
        <v>16252</v>
      </c>
      <c r="P4881" s="2" t="s">
        <v>37</v>
      </c>
      <c r="Q4881" t="s">
        <v>1208</v>
      </c>
      <c r="R4881">
        <v>0</v>
      </c>
      <c r="S4881">
        <v>26.97</v>
      </c>
      <c r="T4881" t="s">
        <v>16253</v>
      </c>
    </row>
    <row r="4882" spans="1:20" x14ac:dyDescent="0.25">
      <c r="A4882" s="1" t="str">
        <f>HYPERLINK("https://vegkart.atlas.vegvesen.no/#/@439447.4,7554505.2,18/hva:hva%5B0%5D%5Bfilter%5D%5B0%5D%5Boperator%5D=%21%3D&amp;hva%5B0%5D%5Bfilter%5D%5B0%5D%5Btype_id%5D=4820&amp;hva%5B0%5D%5Bfilter%5D%5B0%5D%5Bverdi%5D=&amp;hva%5B0%5D%5Bid%5D=144/når:2024-02-23", "Vegkart")</f>
        <v>Vegkart</v>
      </c>
      <c r="B4882">
        <v>1018917149</v>
      </c>
      <c r="C4882">
        <v>144</v>
      </c>
      <c r="D4882" t="s">
        <v>13345</v>
      </c>
      <c r="E4882">
        <v>4820</v>
      </c>
      <c r="F4882" t="s">
        <v>23479</v>
      </c>
      <c r="G4882">
        <v>1</v>
      </c>
      <c r="H4882" t="s">
        <v>16240</v>
      </c>
      <c r="J4882" t="s">
        <v>16172</v>
      </c>
      <c r="K4882" t="s">
        <v>53</v>
      </c>
      <c r="L4882" t="s">
        <v>33</v>
      </c>
      <c r="M4882" t="s">
        <v>16241</v>
      </c>
      <c r="N4882" t="s">
        <v>16254</v>
      </c>
      <c r="O4882" t="s">
        <v>16255</v>
      </c>
      <c r="P4882" s="2" t="s">
        <v>37</v>
      </c>
      <c r="Q4882" t="s">
        <v>1208</v>
      </c>
      <c r="R4882">
        <v>0</v>
      </c>
      <c r="S4882">
        <v>131.30000000000001</v>
      </c>
      <c r="T4882" t="s">
        <v>16256</v>
      </c>
    </row>
    <row r="4883" spans="1:20" x14ac:dyDescent="0.25">
      <c r="A4883" s="1" t="str">
        <f>HYPERLINK("https://vegkart.atlas.vegvesen.no/#/@439543.5,7555439.6,18/hva:hva%5B0%5D%5Bfilter%5D%5B0%5D%5Boperator%5D=%21%3D&amp;hva%5B0%5D%5Bfilter%5D%5B0%5D%5Btype_id%5D=4820&amp;hva%5B0%5D%5Bfilter%5D%5B0%5D%5Bverdi%5D=&amp;hva%5B0%5D%5Bid%5D=144/når:2024-02-23", "Vegkart")</f>
        <v>Vegkart</v>
      </c>
      <c r="B4883">
        <v>1018917150</v>
      </c>
      <c r="C4883">
        <v>144</v>
      </c>
      <c r="D4883" t="s">
        <v>13345</v>
      </c>
      <c r="E4883">
        <v>4820</v>
      </c>
      <c r="F4883" t="s">
        <v>23479</v>
      </c>
      <c r="G4883">
        <v>1</v>
      </c>
      <c r="H4883" t="s">
        <v>16240</v>
      </c>
      <c r="J4883" t="s">
        <v>16172</v>
      </c>
      <c r="K4883" t="s">
        <v>53</v>
      </c>
      <c r="L4883" t="s">
        <v>33</v>
      </c>
      <c r="M4883" t="s">
        <v>16241</v>
      </c>
      <c r="N4883" t="s">
        <v>16257</v>
      </c>
      <c r="O4883" t="s">
        <v>16258</v>
      </c>
      <c r="P4883" s="2" t="s">
        <v>37</v>
      </c>
      <c r="Q4883" t="s">
        <v>1208</v>
      </c>
      <c r="R4883">
        <v>1.62</v>
      </c>
      <c r="S4883">
        <v>35.58</v>
      </c>
      <c r="T4883" t="s">
        <v>16259</v>
      </c>
    </row>
    <row r="4884" spans="1:20" x14ac:dyDescent="0.25">
      <c r="A4884" s="1" t="str">
        <f>HYPERLINK("https://vegkart.atlas.vegvesen.no/#/@277399.3,6886232.4,18/hva:hva%5B0%5D%5Bfilter%5D%5B0%5D%5Boperator%5D=%21%3D&amp;hva%5B0%5D%5Bfilter%5D%5B0%5D%5Btype_id%5D=4820&amp;hva%5B0%5D%5Bfilter%5D%5B0%5D%5Bverdi%5D=&amp;hva%5B0%5D%5Bid%5D=144/når:2024-03-14", "Vegkart")</f>
        <v>Vegkart</v>
      </c>
      <c r="B4884">
        <v>1018999214</v>
      </c>
      <c r="C4884">
        <v>144</v>
      </c>
      <c r="D4884" t="s">
        <v>13345</v>
      </c>
      <c r="E4884">
        <v>4820</v>
      </c>
      <c r="F4884" t="s">
        <v>23479</v>
      </c>
      <c r="G4884">
        <v>1</v>
      </c>
      <c r="H4884" t="s">
        <v>16260</v>
      </c>
      <c r="J4884" t="s">
        <v>16172</v>
      </c>
      <c r="K4884" t="s">
        <v>136</v>
      </c>
      <c r="L4884" t="s">
        <v>113</v>
      </c>
      <c r="M4884" t="s">
        <v>335</v>
      </c>
      <c r="N4884" t="s">
        <v>16261</v>
      </c>
      <c r="O4884" t="s">
        <v>16262</v>
      </c>
      <c r="P4884" s="2" t="s">
        <v>37</v>
      </c>
      <c r="Q4884" t="s">
        <v>1208</v>
      </c>
      <c r="R4884">
        <v>0</v>
      </c>
      <c r="S4884">
        <v>11.59</v>
      </c>
      <c r="T4884" t="s">
        <v>16263</v>
      </c>
    </row>
    <row r="4885" spans="1:20" x14ac:dyDescent="0.25">
      <c r="A4885" s="1" t="str">
        <f>HYPERLINK("https://vegkart.atlas.vegvesen.no/#/@276512.8,6887960.5,18/hva:hva%5B0%5D%5Bfilter%5D%5B0%5D%5Boperator%5D=%21%3D&amp;hva%5B0%5D%5Bfilter%5D%5B0%5D%5Btype_id%5D=4820&amp;hva%5B0%5D%5Bfilter%5D%5B0%5D%5Bverdi%5D=&amp;hva%5B0%5D%5Bid%5D=144/når:2024-03-14", "Vegkart")</f>
        <v>Vegkart</v>
      </c>
      <c r="B4885">
        <v>1018999215</v>
      </c>
      <c r="C4885">
        <v>144</v>
      </c>
      <c r="D4885" t="s">
        <v>13345</v>
      </c>
      <c r="E4885">
        <v>4820</v>
      </c>
      <c r="F4885" t="s">
        <v>23479</v>
      </c>
      <c r="G4885">
        <v>1</v>
      </c>
      <c r="H4885" t="s">
        <v>16260</v>
      </c>
      <c r="J4885" t="s">
        <v>16172</v>
      </c>
      <c r="K4885" t="s">
        <v>136</v>
      </c>
      <c r="L4885" t="s">
        <v>113</v>
      </c>
      <c r="M4885" t="s">
        <v>335</v>
      </c>
      <c r="N4885" t="s">
        <v>16264</v>
      </c>
      <c r="O4885" t="s">
        <v>16265</v>
      </c>
      <c r="P4885" s="2" t="s">
        <v>37</v>
      </c>
      <c r="Q4885" t="s">
        <v>1208</v>
      </c>
      <c r="R4885">
        <v>0</v>
      </c>
      <c r="S4885">
        <v>10.49</v>
      </c>
      <c r="T4885" t="s">
        <v>16266</v>
      </c>
    </row>
    <row r="4886" spans="1:20" x14ac:dyDescent="0.25">
      <c r="A4886" s="1" t="str">
        <f>HYPERLINK("https://vegkart.atlas.vegvesen.no/#/@279324.3,6885096.6,18/hva:hva%5B0%5D%5Bfilter%5D%5B0%5D%5Boperator%5D=%21%3D&amp;hva%5B0%5D%5Bfilter%5D%5B0%5D%5Btype_id%5D=4820&amp;hva%5B0%5D%5Bfilter%5D%5B0%5D%5Bverdi%5D=&amp;hva%5B0%5D%5Bid%5D=144/når:2024-03-14", "Vegkart")</f>
        <v>Vegkart</v>
      </c>
      <c r="B4886">
        <v>1018999216</v>
      </c>
      <c r="C4886">
        <v>144</v>
      </c>
      <c r="D4886" t="s">
        <v>13345</v>
      </c>
      <c r="E4886">
        <v>4820</v>
      </c>
      <c r="F4886" t="s">
        <v>23479</v>
      </c>
      <c r="G4886">
        <v>1</v>
      </c>
      <c r="H4886" t="s">
        <v>16260</v>
      </c>
      <c r="J4886" t="s">
        <v>16172</v>
      </c>
      <c r="K4886" t="s">
        <v>136</v>
      </c>
      <c r="L4886" t="s">
        <v>113</v>
      </c>
      <c r="M4886" t="s">
        <v>335</v>
      </c>
      <c r="N4886" t="s">
        <v>16267</v>
      </c>
      <c r="O4886" t="s">
        <v>16268</v>
      </c>
      <c r="P4886" s="2" t="s">
        <v>37</v>
      </c>
      <c r="Q4886" t="s">
        <v>1208</v>
      </c>
      <c r="R4886">
        <v>0</v>
      </c>
      <c r="S4886">
        <v>12.93</v>
      </c>
      <c r="T4886" t="s">
        <v>16269</v>
      </c>
    </row>
    <row r="4887" spans="1:20" x14ac:dyDescent="0.25">
      <c r="A4887" s="1" t="str">
        <f>HYPERLINK("https://vegkart.atlas.vegvesen.no/#/@276646.2,6887698.9,18/hva:hva%5B0%5D%5Bfilter%5D%5B0%5D%5Boperator%5D=%21%3D&amp;hva%5B0%5D%5Bfilter%5D%5B0%5D%5Btype_id%5D=4820&amp;hva%5B0%5D%5Bfilter%5D%5B0%5D%5Bverdi%5D=&amp;hva%5B0%5D%5Bid%5D=144/når:2024-03-14", "Vegkart")</f>
        <v>Vegkart</v>
      </c>
      <c r="B4887">
        <v>1018999217</v>
      </c>
      <c r="C4887">
        <v>144</v>
      </c>
      <c r="D4887" t="s">
        <v>13345</v>
      </c>
      <c r="E4887">
        <v>4820</v>
      </c>
      <c r="F4887" t="s">
        <v>23479</v>
      </c>
      <c r="G4887">
        <v>1</v>
      </c>
      <c r="H4887" t="s">
        <v>16260</v>
      </c>
      <c r="J4887" t="s">
        <v>16172</v>
      </c>
      <c r="K4887" t="s">
        <v>136</v>
      </c>
      <c r="L4887" t="s">
        <v>113</v>
      </c>
      <c r="M4887" t="s">
        <v>335</v>
      </c>
      <c r="N4887" t="s">
        <v>16270</v>
      </c>
      <c r="O4887" t="s">
        <v>16271</v>
      </c>
      <c r="P4887" s="2" t="s">
        <v>37</v>
      </c>
      <c r="Q4887" t="s">
        <v>1208</v>
      </c>
      <c r="R4887">
        <v>0</v>
      </c>
      <c r="S4887">
        <v>11.38</v>
      </c>
      <c r="T4887" t="s">
        <v>16272</v>
      </c>
    </row>
    <row r="4888" spans="1:20" x14ac:dyDescent="0.25">
      <c r="A4888" s="1" t="str">
        <f>HYPERLINK("https://vegkart.atlas.vegvesen.no/#/@283365.3,6881203.9,18/hva:hva%5B0%5D%5Bfilter%5D%5B0%5D%5Boperator%5D=%21%3D&amp;hva%5B0%5D%5Bfilter%5D%5B0%5D%5Btype_id%5D=4820&amp;hva%5B0%5D%5Bfilter%5D%5B0%5D%5Bverdi%5D=&amp;hva%5B0%5D%5Bid%5D=144/når:2024-03-14", "Vegkart")</f>
        <v>Vegkart</v>
      </c>
      <c r="B4888">
        <v>1018999218</v>
      </c>
      <c r="C4888">
        <v>144</v>
      </c>
      <c r="D4888" t="s">
        <v>13345</v>
      </c>
      <c r="E4888">
        <v>4820</v>
      </c>
      <c r="F4888" t="s">
        <v>23479</v>
      </c>
      <c r="G4888">
        <v>1</v>
      </c>
      <c r="H4888" t="s">
        <v>16260</v>
      </c>
      <c r="J4888" t="s">
        <v>16172</v>
      </c>
      <c r="K4888" t="s">
        <v>136</v>
      </c>
      <c r="L4888" t="s">
        <v>113</v>
      </c>
      <c r="M4888" t="s">
        <v>335</v>
      </c>
      <c r="N4888" t="s">
        <v>16273</v>
      </c>
      <c r="O4888" t="s">
        <v>16274</v>
      </c>
      <c r="P4888" s="2" t="s">
        <v>37</v>
      </c>
      <c r="Q4888" t="s">
        <v>1208</v>
      </c>
      <c r="R4888">
        <v>0</v>
      </c>
      <c r="S4888">
        <v>13.7</v>
      </c>
      <c r="T4888" t="s">
        <v>16275</v>
      </c>
    </row>
    <row r="4889" spans="1:20" x14ac:dyDescent="0.25">
      <c r="A4889" s="1" t="str">
        <f>HYPERLINK("https://vegkart.atlas.vegvesen.no/#/@281903.6,6883300.5,18/hva:hva%5B0%5D%5Bfilter%5D%5B0%5D%5Boperator%5D=%21%3D&amp;hva%5B0%5D%5Bfilter%5D%5B0%5D%5Btype_id%5D=4820&amp;hva%5B0%5D%5Bfilter%5D%5B0%5D%5Bverdi%5D=&amp;hva%5B0%5D%5Bid%5D=144/når:2024-03-14", "Vegkart")</f>
        <v>Vegkart</v>
      </c>
      <c r="B4889">
        <v>1018999219</v>
      </c>
      <c r="C4889">
        <v>144</v>
      </c>
      <c r="D4889" t="s">
        <v>13345</v>
      </c>
      <c r="E4889">
        <v>4820</v>
      </c>
      <c r="F4889" t="s">
        <v>23479</v>
      </c>
      <c r="G4889">
        <v>1</v>
      </c>
      <c r="H4889" t="s">
        <v>16260</v>
      </c>
      <c r="J4889" t="s">
        <v>16172</v>
      </c>
      <c r="K4889" t="s">
        <v>136</v>
      </c>
      <c r="L4889" t="s">
        <v>113</v>
      </c>
      <c r="M4889" t="s">
        <v>335</v>
      </c>
      <c r="N4889" t="s">
        <v>16276</v>
      </c>
      <c r="O4889" t="s">
        <v>16277</v>
      </c>
      <c r="P4889" s="2" t="s">
        <v>37</v>
      </c>
      <c r="Q4889" t="s">
        <v>1208</v>
      </c>
      <c r="R4889">
        <v>0</v>
      </c>
      <c r="S4889">
        <v>39.06</v>
      </c>
      <c r="T4889" t="s">
        <v>16278</v>
      </c>
    </row>
    <row r="4890" spans="1:20" x14ac:dyDescent="0.25">
      <c r="A4890" s="1" t="str">
        <f>HYPERLINK("https://vegkart.atlas.vegvesen.no/#/@275503.9,6890638.9,18/hva:hva%5B0%5D%5Bfilter%5D%5B0%5D%5Boperator%5D=%21%3D&amp;hva%5B0%5D%5Bfilter%5D%5B0%5D%5Btype_id%5D=4820&amp;hva%5B0%5D%5Bfilter%5D%5B0%5D%5Bverdi%5D=&amp;hva%5B0%5D%5Bid%5D=144/når:2024-03-14", "Vegkart")</f>
        <v>Vegkart</v>
      </c>
      <c r="B4890">
        <v>1018999220</v>
      </c>
      <c r="C4890">
        <v>144</v>
      </c>
      <c r="D4890" t="s">
        <v>13345</v>
      </c>
      <c r="E4890">
        <v>4820</v>
      </c>
      <c r="F4890" t="s">
        <v>23479</v>
      </c>
      <c r="G4890">
        <v>1</v>
      </c>
      <c r="H4890" t="s">
        <v>16260</v>
      </c>
      <c r="J4890" t="s">
        <v>16172</v>
      </c>
      <c r="K4890" t="s">
        <v>136</v>
      </c>
      <c r="L4890" t="s">
        <v>113</v>
      </c>
      <c r="M4890" t="s">
        <v>335</v>
      </c>
      <c r="N4890" t="s">
        <v>16279</v>
      </c>
      <c r="O4890" t="s">
        <v>16280</v>
      </c>
      <c r="P4890" s="2" t="s">
        <v>37</v>
      </c>
      <c r="Q4890" t="s">
        <v>1208</v>
      </c>
      <c r="R4890">
        <v>0</v>
      </c>
      <c r="S4890">
        <v>52.91</v>
      </c>
      <c r="T4890" t="s">
        <v>16281</v>
      </c>
    </row>
    <row r="4891" spans="1:20" x14ac:dyDescent="0.25">
      <c r="A4891" s="1" t="str">
        <f>HYPERLINK("https://vegkart.atlas.vegvesen.no/#/@276661.2,6887649.0,18/hva:hva%5B0%5D%5Bfilter%5D%5B0%5D%5Boperator%5D=%21%3D&amp;hva%5B0%5D%5Bfilter%5D%5B0%5D%5Btype_id%5D=4820&amp;hva%5B0%5D%5Bfilter%5D%5B0%5D%5Bverdi%5D=&amp;hva%5B0%5D%5Bid%5D=144/når:2024-03-14", "Vegkart")</f>
        <v>Vegkart</v>
      </c>
      <c r="B4891">
        <v>1018999221</v>
      </c>
      <c r="C4891">
        <v>144</v>
      </c>
      <c r="D4891" t="s">
        <v>13345</v>
      </c>
      <c r="E4891">
        <v>4820</v>
      </c>
      <c r="F4891" t="s">
        <v>23479</v>
      </c>
      <c r="G4891">
        <v>1</v>
      </c>
      <c r="H4891" t="s">
        <v>16260</v>
      </c>
      <c r="J4891" t="s">
        <v>16172</v>
      </c>
      <c r="K4891" t="s">
        <v>136</v>
      </c>
      <c r="L4891" t="s">
        <v>113</v>
      </c>
      <c r="M4891" t="s">
        <v>335</v>
      </c>
      <c r="N4891" t="s">
        <v>16282</v>
      </c>
      <c r="O4891" t="s">
        <v>16283</v>
      </c>
      <c r="P4891" s="2" t="s">
        <v>37</v>
      </c>
      <c r="Q4891" t="s">
        <v>1208</v>
      </c>
      <c r="R4891">
        <v>0</v>
      </c>
      <c r="S4891">
        <v>7.47</v>
      </c>
      <c r="T4891" t="s">
        <v>16284</v>
      </c>
    </row>
    <row r="4892" spans="1:20" x14ac:dyDescent="0.25">
      <c r="A4892" s="1" t="str">
        <f>HYPERLINK("https://vegkart.atlas.vegvesen.no/#/@274880.5,6891139.6,18/hva:hva%5B0%5D%5Bfilter%5D%5B0%5D%5Boperator%5D=%21%3D&amp;hva%5B0%5D%5Bfilter%5D%5B0%5D%5Btype_id%5D=4820&amp;hva%5B0%5D%5Bfilter%5D%5B0%5D%5Bverdi%5D=&amp;hva%5B0%5D%5Bid%5D=144/når:2024-03-14", "Vegkart")</f>
        <v>Vegkart</v>
      </c>
      <c r="B4892">
        <v>1018999222</v>
      </c>
      <c r="C4892">
        <v>144</v>
      </c>
      <c r="D4892" t="s">
        <v>13345</v>
      </c>
      <c r="E4892">
        <v>4820</v>
      </c>
      <c r="F4892" t="s">
        <v>23479</v>
      </c>
      <c r="G4892">
        <v>1</v>
      </c>
      <c r="H4892" t="s">
        <v>16260</v>
      </c>
      <c r="J4892" t="s">
        <v>16172</v>
      </c>
      <c r="K4892" t="s">
        <v>136</v>
      </c>
      <c r="L4892" t="s">
        <v>113</v>
      </c>
      <c r="M4892" t="s">
        <v>335</v>
      </c>
      <c r="N4892" t="s">
        <v>16285</v>
      </c>
      <c r="O4892" t="s">
        <v>16286</v>
      </c>
      <c r="P4892" s="2" t="s">
        <v>37</v>
      </c>
      <c r="Q4892" t="s">
        <v>1208</v>
      </c>
      <c r="R4892">
        <v>0</v>
      </c>
      <c r="S4892">
        <v>1066.68</v>
      </c>
      <c r="T4892" t="s">
        <v>16287</v>
      </c>
    </row>
    <row r="4893" spans="1:20" x14ac:dyDescent="0.25">
      <c r="A4893" s="1" t="str">
        <f>HYPERLINK("https://vegkart.atlas.vegvesen.no/#/@279670.3,6884940.9,18/hva:hva%5B0%5D%5Bfilter%5D%5B0%5D%5Boperator%5D=%21%3D&amp;hva%5B0%5D%5Bfilter%5D%5B0%5D%5Btype_id%5D=4820&amp;hva%5B0%5D%5Bfilter%5D%5B0%5D%5Bverdi%5D=&amp;hva%5B0%5D%5Bid%5D=144/når:2024-03-14", "Vegkart")</f>
        <v>Vegkart</v>
      </c>
      <c r="B4893">
        <v>1018999223</v>
      </c>
      <c r="C4893">
        <v>144</v>
      </c>
      <c r="D4893" t="s">
        <v>13345</v>
      </c>
      <c r="E4893">
        <v>4820</v>
      </c>
      <c r="F4893" t="s">
        <v>23479</v>
      </c>
      <c r="G4893">
        <v>1</v>
      </c>
      <c r="H4893" t="s">
        <v>16260</v>
      </c>
      <c r="J4893" t="s">
        <v>16172</v>
      </c>
      <c r="K4893" t="s">
        <v>136</v>
      </c>
      <c r="L4893" t="s">
        <v>113</v>
      </c>
      <c r="M4893" t="s">
        <v>335</v>
      </c>
      <c r="N4893" t="s">
        <v>16288</v>
      </c>
      <c r="O4893" t="s">
        <v>16289</v>
      </c>
      <c r="P4893" s="2" t="s">
        <v>37</v>
      </c>
      <c r="Q4893" t="s">
        <v>1208</v>
      </c>
      <c r="R4893">
        <v>0</v>
      </c>
      <c r="S4893">
        <v>53.9</v>
      </c>
      <c r="T4893" t="s">
        <v>16290</v>
      </c>
    </row>
    <row r="4894" spans="1:20" x14ac:dyDescent="0.25">
      <c r="A4894" s="1" t="str">
        <f>HYPERLINK("https://vegkart.atlas.vegvesen.no/#/@280569.5,6884301.6,18/hva:hva%5B0%5D%5Bfilter%5D%5B0%5D%5Boperator%5D=%21%3D&amp;hva%5B0%5D%5Bfilter%5D%5B0%5D%5Btype_id%5D=4820&amp;hva%5B0%5D%5Bfilter%5D%5B0%5D%5Bverdi%5D=&amp;hva%5B0%5D%5Bid%5D=144/når:2024-03-14", "Vegkart")</f>
        <v>Vegkart</v>
      </c>
      <c r="B4894">
        <v>1018999224</v>
      </c>
      <c r="C4894">
        <v>144</v>
      </c>
      <c r="D4894" t="s">
        <v>13345</v>
      </c>
      <c r="E4894">
        <v>4820</v>
      </c>
      <c r="F4894" t="s">
        <v>23479</v>
      </c>
      <c r="G4894">
        <v>1</v>
      </c>
      <c r="H4894" t="s">
        <v>16260</v>
      </c>
      <c r="J4894" t="s">
        <v>16172</v>
      </c>
      <c r="K4894" t="s">
        <v>136</v>
      </c>
      <c r="L4894" t="s">
        <v>113</v>
      </c>
      <c r="M4894" t="s">
        <v>335</v>
      </c>
      <c r="N4894" t="s">
        <v>16291</v>
      </c>
      <c r="O4894" t="s">
        <v>16292</v>
      </c>
      <c r="P4894" s="2" t="s">
        <v>37</v>
      </c>
      <c r="Q4894" t="s">
        <v>1208</v>
      </c>
      <c r="R4894">
        <v>0</v>
      </c>
      <c r="S4894">
        <v>9.9700000000000006</v>
      </c>
      <c r="T4894" t="s">
        <v>16293</v>
      </c>
    </row>
    <row r="4895" spans="1:20" x14ac:dyDescent="0.25">
      <c r="A4895" s="1" t="str">
        <f>HYPERLINK("https://vegkart.atlas.vegvesen.no/#/@282506.0,6882582.5,18/hva:hva%5B0%5D%5Bfilter%5D%5B0%5D%5Boperator%5D=%21%3D&amp;hva%5B0%5D%5Bfilter%5D%5B0%5D%5Btype_id%5D=4820&amp;hva%5B0%5D%5Bfilter%5D%5B0%5D%5Bverdi%5D=&amp;hva%5B0%5D%5Bid%5D=144/når:2024-03-14", "Vegkart")</f>
        <v>Vegkart</v>
      </c>
      <c r="B4895">
        <v>1018999225</v>
      </c>
      <c r="C4895">
        <v>144</v>
      </c>
      <c r="D4895" t="s">
        <v>13345</v>
      </c>
      <c r="E4895">
        <v>4820</v>
      </c>
      <c r="F4895" t="s">
        <v>23479</v>
      </c>
      <c r="G4895">
        <v>1</v>
      </c>
      <c r="H4895" t="s">
        <v>16260</v>
      </c>
      <c r="J4895" t="s">
        <v>16172</v>
      </c>
      <c r="K4895" t="s">
        <v>136</v>
      </c>
      <c r="L4895" t="s">
        <v>113</v>
      </c>
      <c r="M4895" t="s">
        <v>335</v>
      </c>
      <c r="N4895" t="s">
        <v>16294</v>
      </c>
      <c r="O4895" t="s">
        <v>16295</v>
      </c>
      <c r="P4895" s="2" t="s">
        <v>37</v>
      </c>
      <c r="Q4895" t="s">
        <v>1208</v>
      </c>
      <c r="R4895">
        <v>0</v>
      </c>
      <c r="S4895">
        <v>11.4</v>
      </c>
      <c r="T4895" t="s">
        <v>16296</v>
      </c>
    </row>
    <row r="4896" spans="1:20" x14ac:dyDescent="0.25">
      <c r="A4896" s="1" t="str">
        <f>HYPERLINK("https://vegkart.atlas.vegvesen.no/#/@279314.1,6885065.7,18/hva:hva%5B0%5D%5Bfilter%5D%5B0%5D%5Boperator%5D=%21%3D&amp;hva%5B0%5D%5Bfilter%5D%5B0%5D%5Btype_id%5D=4820&amp;hva%5B0%5D%5Bfilter%5D%5B0%5D%5Bverdi%5D=&amp;hva%5B0%5D%5Bid%5D=144/når:2024-03-14", "Vegkart")</f>
        <v>Vegkart</v>
      </c>
      <c r="B4896">
        <v>1018999226</v>
      </c>
      <c r="C4896">
        <v>144</v>
      </c>
      <c r="D4896" t="s">
        <v>13345</v>
      </c>
      <c r="E4896">
        <v>4820</v>
      </c>
      <c r="F4896" t="s">
        <v>23479</v>
      </c>
      <c r="G4896">
        <v>1</v>
      </c>
      <c r="H4896" t="s">
        <v>16260</v>
      </c>
      <c r="J4896" t="s">
        <v>16172</v>
      </c>
      <c r="K4896" t="s">
        <v>136</v>
      </c>
      <c r="L4896" t="s">
        <v>113</v>
      </c>
      <c r="M4896" t="s">
        <v>335</v>
      </c>
      <c r="N4896" t="s">
        <v>16297</v>
      </c>
      <c r="O4896" t="s">
        <v>16298</v>
      </c>
      <c r="P4896" s="2" t="s">
        <v>37</v>
      </c>
      <c r="Q4896" t="s">
        <v>1208</v>
      </c>
      <c r="R4896">
        <v>0</v>
      </c>
      <c r="S4896">
        <v>3.39</v>
      </c>
      <c r="T4896" t="s">
        <v>16299</v>
      </c>
    </row>
    <row r="4897" spans="1:20" x14ac:dyDescent="0.25">
      <c r="A4897" s="1" t="str">
        <f>HYPERLINK("https://vegkart.atlas.vegvesen.no/#/@282387.3,6882811.0,18/hva:hva%5B0%5D%5Bfilter%5D%5B0%5D%5Boperator%5D=%21%3D&amp;hva%5B0%5D%5Bfilter%5D%5B0%5D%5Btype_id%5D=4820&amp;hva%5B0%5D%5Bfilter%5D%5B0%5D%5Bverdi%5D=&amp;hva%5B0%5D%5Bid%5D=144/når:2024-03-14", "Vegkart")</f>
        <v>Vegkart</v>
      </c>
      <c r="B4897">
        <v>1018999227</v>
      </c>
      <c r="C4897">
        <v>144</v>
      </c>
      <c r="D4897" t="s">
        <v>13345</v>
      </c>
      <c r="E4897">
        <v>4820</v>
      </c>
      <c r="F4897" t="s">
        <v>23479</v>
      </c>
      <c r="G4897">
        <v>1</v>
      </c>
      <c r="H4897" t="s">
        <v>16260</v>
      </c>
      <c r="J4897" t="s">
        <v>16172</v>
      </c>
      <c r="K4897" t="s">
        <v>136</v>
      </c>
      <c r="L4897" t="s">
        <v>113</v>
      </c>
      <c r="M4897" t="s">
        <v>335</v>
      </c>
      <c r="N4897" t="s">
        <v>16300</v>
      </c>
      <c r="O4897" t="s">
        <v>16301</v>
      </c>
      <c r="P4897" s="2" t="s">
        <v>37</v>
      </c>
      <c r="Q4897" t="s">
        <v>1208</v>
      </c>
      <c r="R4897">
        <v>0</v>
      </c>
      <c r="S4897">
        <v>8.8699999999999992</v>
      </c>
      <c r="T4897" t="s">
        <v>16302</v>
      </c>
    </row>
    <row r="4898" spans="1:20" x14ac:dyDescent="0.25">
      <c r="A4898" s="1" t="str">
        <f>HYPERLINK("https://vegkart.atlas.vegvesen.no/#/@275862.1,6890022.1,18/hva:hva%5B0%5D%5Bfilter%5D%5B0%5D%5Boperator%5D=%21%3D&amp;hva%5B0%5D%5Bfilter%5D%5B0%5D%5Btype_id%5D=4820&amp;hva%5B0%5D%5Bfilter%5D%5B0%5D%5Bverdi%5D=&amp;hva%5B0%5D%5Bid%5D=144/når:2024-03-14", "Vegkart")</f>
        <v>Vegkart</v>
      </c>
      <c r="B4898">
        <v>1018999228</v>
      </c>
      <c r="C4898">
        <v>144</v>
      </c>
      <c r="D4898" t="s">
        <v>13345</v>
      </c>
      <c r="E4898">
        <v>4820</v>
      </c>
      <c r="F4898" t="s">
        <v>23479</v>
      </c>
      <c r="G4898">
        <v>1</v>
      </c>
      <c r="H4898" t="s">
        <v>16260</v>
      </c>
      <c r="J4898" t="s">
        <v>16172</v>
      </c>
      <c r="K4898" t="s">
        <v>136</v>
      </c>
      <c r="L4898" t="s">
        <v>113</v>
      </c>
      <c r="M4898" t="s">
        <v>335</v>
      </c>
      <c r="N4898" t="s">
        <v>16303</v>
      </c>
      <c r="O4898" t="s">
        <v>16304</v>
      </c>
      <c r="P4898" s="2" t="s">
        <v>37</v>
      </c>
      <c r="Q4898" t="s">
        <v>1208</v>
      </c>
      <c r="R4898">
        <v>0</v>
      </c>
      <c r="S4898">
        <v>16.04</v>
      </c>
      <c r="T4898" t="s">
        <v>16305</v>
      </c>
    </row>
    <row r="4899" spans="1:20" x14ac:dyDescent="0.25">
      <c r="A4899" s="1" t="str">
        <f>HYPERLINK("https://vegkart.atlas.vegvesen.no/#/@276113.0,6889051.7,18/hva:hva%5B0%5D%5Bfilter%5D%5B0%5D%5Boperator%5D=%21%3D&amp;hva%5B0%5D%5Bfilter%5D%5B0%5D%5Btype_id%5D=4820&amp;hva%5B0%5D%5Bfilter%5D%5B0%5D%5Bverdi%5D=&amp;hva%5B0%5D%5Bid%5D=144/når:2024-03-14", "Vegkart")</f>
        <v>Vegkart</v>
      </c>
      <c r="B4899">
        <v>1018999229</v>
      </c>
      <c r="C4899">
        <v>144</v>
      </c>
      <c r="D4899" t="s">
        <v>13345</v>
      </c>
      <c r="E4899">
        <v>4820</v>
      </c>
      <c r="F4899" t="s">
        <v>23479</v>
      </c>
      <c r="G4899">
        <v>1</v>
      </c>
      <c r="H4899" t="s">
        <v>16260</v>
      </c>
      <c r="J4899" t="s">
        <v>16172</v>
      </c>
      <c r="K4899" t="s">
        <v>136</v>
      </c>
      <c r="L4899" t="s">
        <v>113</v>
      </c>
      <c r="M4899" t="s">
        <v>335</v>
      </c>
      <c r="N4899" t="s">
        <v>16306</v>
      </c>
      <c r="O4899" t="s">
        <v>16307</v>
      </c>
      <c r="P4899" s="2" t="s">
        <v>37</v>
      </c>
      <c r="Q4899" t="s">
        <v>1208</v>
      </c>
      <c r="R4899">
        <v>0</v>
      </c>
      <c r="S4899">
        <v>7.89</v>
      </c>
      <c r="T4899" t="s">
        <v>16308</v>
      </c>
    </row>
    <row r="4900" spans="1:20" x14ac:dyDescent="0.25">
      <c r="A4900" s="1" t="str">
        <f>HYPERLINK("https://vegkart.atlas.vegvesen.no/#/@275996.1,6889578.5,18/hva:hva%5B0%5D%5Bfilter%5D%5B0%5D%5Boperator%5D=%21%3D&amp;hva%5B0%5D%5Bfilter%5D%5B0%5D%5Btype_id%5D=4820&amp;hva%5B0%5D%5Bfilter%5D%5B0%5D%5Bverdi%5D=&amp;hva%5B0%5D%5Bid%5D=144/når:2024-03-14", "Vegkart")</f>
        <v>Vegkart</v>
      </c>
      <c r="B4900">
        <v>1018999230</v>
      </c>
      <c r="C4900">
        <v>144</v>
      </c>
      <c r="D4900" t="s">
        <v>13345</v>
      </c>
      <c r="E4900">
        <v>4820</v>
      </c>
      <c r="F4900" t="s">
        <v>23479</v>
      </c>
      <c r="G4900">
        <v>1</v>
      </c>
      <c r="H4900" t="s">
        <v>16260</v>
      </c>
      <c r="J4900" t="s">
        <v>16172</v>
      </c>
      <c r="K4900" t="s">
        <v>136</v>
      </c>
      <c r="L4900" t="s">
        <v>113</v>
      </c>
      <c r="M4900" t="s">
        <v>335</v>
      </c>
      <c r="N4900" t="s">
        <v>16309</v>
      </c>
      <c r="O4900" t="s">
        <v>16310</v>
      </c>
      <c r="P4900" s="2" t="s">
        <v>37</v>
      </c>
      <c r="Q4900" t="s">
        <v>1208</v>
      </c>
      <c r="R4900">
        <v>0</v>
      </c>
      <c r="S4900">
        <v>8.02</v>
      </c>
      <c r="T4900" t="s">
        <v>16311</v>
      </c>
    </row>
    <row r="4901" spans="1:20" x14ac:dyDescent="0.25">
      <c r="A4901" s="1" t="str">
        <f>HYPERLINK("https://vegkart.atlas.vegvesen.no/#/@276345.3,6888439.3,18/hva:hva%5B0%5D%5Bfilter%5D%5B0%5D%5Boperator%5D=%21%3D&amp;hva%5B0%5D%5Bfilter%5D%5B0%5D%5Btype_id%5D=4820&amp;hva%5B0%5D%5Bfilter%5D%5B0%5D%5Bverdi%5D=&amp;hva%5B0%5D%5Bid%5D=144/når:2024-03-14", "Vegkart")</f>
        <v>Vegkart</v>
      </c>
      <c r="B4901">
        <v>1018999231</v>
      </c>
      <c r="C4901">
        <v>144</v>
      </c>
      <c r="D4901" t="s">
        <v>13345</v>
      </c>
      <c r="E4901">
        <v>4820</v>
      </c>
      <c r="F4901" t="s">
        <v>23479</v>
      </c>
      <c r="G4901">
        <v>1</v>
      </c>
      <c r="H4901" t="s">
        <v>16260</v>
      </c>
      <c r="J4901" t="s">
        <v>16172</v>
      </c>
      <c r="K4901" t="s">
        <v>136</v>
      </c>
      <c r="L4901" t="s">
        <v>113</v>
      </c>
      <c r="M4901" t="s">
        <v>335</v>
      </c>
      <c r="N4901" t="s">
        <v>16312</v>
      </c>
      <c r="O4901" t="s">
        <v>16313</v>
      </c>
      <c r="P4901" s="2" t="s">
        <v>37</v>
      </c>
      <c r="Q4901" t="s">
        <v>1208</v>
      </c>
      <c r="R4901">
        <v>0</v>
      </c>
      <c r="S4901">
        <v>7.15</v>
      </c>
      <c r="T4901" t="s">
        <v>16314</v>
      </c>
    </row>
    <row r="4902" spans="1:20" x14ac:dyDescent="0.25">
      <c r="A4902" s="1" t="str">
        <f>HYPERLINK("https://vegkart.atlas.vegvesen.no/#/@276743.1,6886959.7,18/hva:hva%5B0%5D%5Bfilter%5D%5B0%5D%5Boperator%5D=%21%3D&amp;hva%5B0%5D%5Bfilter%5D%5B0%5D%5Btype_id%5D=4820&amp;hva%5B0%5D%5Bfilter%5D%5B0%5D%5Bverdi%5D=&amp;hva%5B0%5D%5Bid%5D=144/når:2024-03-14", "Vegkart")</f>
        <v>Vegkart</v>
      </c>
      <c r="B4902">
        <v>1018999232</v>
      </c>
      <c r="C4902">
        <v>144</v>
      </c>
      <c r="D4902" t="s">
        <v>13345</v>
      </c>
      <c r="E4902">
        <v>4820</v>
      </c>
      <c r="F4902" t="s">
        <v>23479</v>
      </c>
      <c r="G4902">
        <v>1</v>
      </c>
      <c r="H4902" t="s">
        <v>16260</v>
      </c>
      <c r="J4902" t="s">
        <v>16172</v>
      </c>
      <c r="K4902" t="s">
        <v>136</v>
      </c>
      <c r="L4902" t="s">
        <v>113</v>
      </c>
      <c r="M4902" t="s">
        <v>335</v>
      </c>
      <c r="N4902" t="s">
        <v>16315</v>
      </c>
      <c r="O4902" t="s">
        <v>16316</v>
      </c>
      <c r="P4902" s="2" t="s">
        <v>37</v>
      </c>
      <c r="Q4902" t="s">
        <v>1208</v>
      </c>
      <c r="R4902">
        <v>0</v>
      </c>
      <c r="S4902">
        <v>12.95</v>
      </c>
      <c r="T4902" t="s">
        <v>16317</v>
      </c>
    </row>
    <row r="4903" spans="1:20" x14ac:dyDescent="0.25">
      <c r="A4903" s="1" t="str">
        <f>HYPERLINK("https://vegkart.atlas.vegvesen.no/#/@282418.3,6882825.7,18/hva:hva%5B0%5D%5Bfilter%5D%5B0%5D%5Boperator%5D=%21%3D&amp;hva%5B0%5D%5Bfilter%5D%5B0%5D%5Btype_id%5D=4820&amp;hva%5B0%5D%5Bfilter%5D%5B0%5D%5Bverdi%5D=&amp;hva%5B0%5D%5Bid%5D=144/når:2024-03-14", "Vegkart")</f>
        <v>Vegkart</v>
      </c>
      <c r="B4903">
        <v>1018999233</v>
      </c>
      <c r="C4903">
        <v>144</v>
      </c>
      <c r="D4903" t="s">
        <v>13345</v>
      </c>
      <c r="E4903">
        <v>4820</v>
      </c>
      <c r="F4903" t="s">
        <v>23479</v>
      </c>
      <c r="G4903">
        <v>1</v>
      </c>
      <c r="H4903" t="s">
        <v>16260</v>
      </c>
      <c r="J4903" t="s">
        <v>16172</v>
      </c>
      <c r="K4903" t="s">
        <v>136</v>
      </c>
      <c r="L4903" t="s">
        <v>113</v>
      </c>
      <c r="M4903" t="s">
        <v>335</v>
      </c>
      <c r="N4903" t="s">
        <v>16318</v>
      </c>
      <c r="O4903" t="s">
        <v>16319</v>
      </c>
      <c r="P4903" s="2" t="s">
        <v>37</v>
      </c>
      <c r="Q4903" t="s">
        <v>1208</v>
      </c>
      <c r="R4903">
        <v>0</v>
      </c>
      <c r="S4903">
        <v>44.3</v>
      </c>
      <c r="T4903" t="s">
        <v>16320</v>
      </c>
    </row>
    <row r="4904" spans="1:20" x14ac:dyDescent="0.25">
      <c r="A4904" s="1" t="str">
        <f>HYPERLINK("https://vegkart.atlas.vegvesen.no/#/@276715.2,6887157.5,18/hva:hva%5B0%5D%5Bfilter%5D%5B0%5D%5Boperator%5D=%21%3D&amp;hva%5B0%5D%5Bfilter%5D%5B0%5D%5Btype_id%5D=4820&amp;hva%5B0%5D%5Bfilter%5D%5B0%5D%5Bverdi%5D=&amp;hva%5B0%5D%5Bid%5D=144/når:2024-03-14", "Vegkart")</f>
        <v>Vegkart</v>
      </c>
      <c r="B4904">
        <v>1018999234</v>
      </c>
      <c r="C4904">
        <v>144</v>
      </c>
      <c r="D4904" t="s">
        <v>13345</v>
      </c>
      <c r="E4904">
        <v>4820</v>
      </c>
      <c r="F4904" t="s">
        <v>23479</v>
      </c>
      <c r="G4904">
        <v>1</v>
      </c>
      <c r="H4904" t="s">
        <v>16260</v>
      </c>
      <c r="J4904" t="s">
        <v>16172</v>
      </c>
      <c r="K4904" t="s">
        <v>136</v>
      </c>
      <c r="L4904" t="s">
        <v>113</v>
      </c>
      <c r="M4904" t="s">
        <v>335</v>
      </c>
      <c r="N4904" t="s">
        <v>16321</v>
      </c>
      <c r="O4904" t="s">
        <v>16322</v>
      </c>
      <c r="P4904" s="2" t="s">
        <v>37</v>
      </c>
      <c r="Q4904" t="s">
        <v>1208</v>
      </c>
      <c r="R4904">
        <v>0</v>
      </c>
      <c r="S4904">
        <v>8.61</v>
      </c>
      <c r="T4904" t="s">
        <v>16323</v>
      </c>
    </row>
    <row r="4905" spans="1:20" x14ac:dyDescent="0.25">
      <c r="A4905" s="1" t="str">
        <f>HYPERLINK("https://vegkart.atlas.vegvesen.no/#/@280522.7,6884346.5,18/hva:hva%5B0%5D%5Bfilter%5D%5B0%5D%5Boperator%5D=%21%3D&amp;hva%5B0%5D%5Bfilter%5D%5B0%5D%5Btype_id%5D=4820&amp;hva%5B0%5D%5Bfilter%5D%5B0%5D%5Bverdi%5D=&amp;hva%5B0%5D%5Bid%5D=144/når:2024-03-14", "Vegkart")</f>
        <v>Vegkart</v>
      </c>
      <c r="B4905">
        <v>1018999235</v>
      </c>
      <c r="C4905">
        <v>144</v>
      </c>
      <c r="D4905" t="s">
        <v>13345</v>
      </c>
      <c r="E4905">
        <v>4820</v>
      </c>
      <c r="F4905" t="s">
        <v>23479</v>
      </c>
      <c r="G4905">
        <v>1</v>
      </c>
      <c r="H4905" t="s">
        <v>16260</v>
      </c>
      <c r="J4905" t="s">
        <v>16172</v>
      </c>
      <c r="K4905" t="s">
        <v>136</v>
      </c>
      <c r="L4905" t="s">
        <v>113</v>
      </c>
      <c r="M4905" t="s">
        <v>335</v>
      </c>
      <c r="N4905" t="s">
        <v>16324</v>
      </c>
      <c r="O4905" t="s">
        <v>16325</v>
      </c>
      <c r="P4905" s="2" t="s">
        <v>37</v>
      </c>
      <c r="Q4905" t="s">
        <v>1208</v>
      </c>
      <c r="R4905">
        <v>0</v>
      </c>
      <c r="S4905">
        <v>15.3</v>
      </c>
      <c r="T4905" t="s">
        <v>16326</v>
      </c>
    </row>
    <row r="4906" spans="1:20" x14ac:dyDescent="0.25">
      <c r="A4906" s="1" t="str">
        <f>HYPERLINK("https://vegkart.atlas.vegvesen.no/#/@279725.1,6884911.1,18/hva:hva%5B0%5D%5Bfilter%5D%5B0%5D%5Boperator%5D=%21%3D&amp;hva%5B0%5D%5Bfilter%5D%5B0%5D%5Btype_id%5D=4820&amp;hva%5B0%5D%5Bfilter%5D%5B0%5D%5Bverdi%5D=&amp;hva%5B0%5D%5Bid%5D=144/når:2024-03-14", "Vegkart")</f>
        <v>Vegkart</v>
      </c>
      <c r="B4906">
        <v>1018999236</v>
      </c>
      <c r="C4906">
        <v>144</v>
      </c>
      <c r="D4906" t="s">
        <v>13345</v>
      </c>
      <c r="E4906">
        <v>4820</v>
      </c>
      <c r="F4906" t="s">
        <v>23479</v>
      </c>
      <c r="G4906">
        <v>1</v>
      </c>
      <c r="H4906" t="s">
        <v>16260</v>
      </c>
      <c r="J4906" t="s">
        <v>16172</v>
      </c>
      <c r="K4906" t="s">
        <v>136</v>
      </c>
      <c r="L4906" t="s">
        <v>113</v>
      </c>
      <c r="M4906" t="s">
        <v>335</v>
      </c>
      <c r="N4906" t="s">
        <v>16327</v>
      </c>
      <c r="O4906" t="s">
        <v>16328</v>
      </c>
      <c r="P4906" s="2" t="s">
        <v>37</v>
      </c>
      <c r="Q4906" t="s">
        <v>1208</v>
      </c>
      <c r="R4906">
        <v>0</v>
      </c>
      <c r="S4906">
        <v>12.27</v>
      </c>
      <c r="T4906" t="s">
        <v>16329</v>
      </c>
    </row>
    <row r="4907" spans="1:20" x14ac:dyDescent="0.25">
      <c r="A4907" s="1" t="str">
        <f>HYPERLINK("https://vegkart.atlas.vegvesen.no/#/@282851.4,6881877.8,18/hva:hva%5B0%5D%5Bfilter%5D%5B0%5D%5Boperator%5D=%21%3D&amp;hva%5B0%5D%5Bfilter%5D%5B0%5D%5Btype_id%5D=4820&amp;hva%5B0%5D%5Bfilter%5D%5B0%5D%5Bverdi%5D=&amp;hva%5B0%5D%5Bid%5D=144/når:2024-03-14", "Vegkart")</f>
        <v>Vegkart</v>
      </c>
      <c r="B4907">
        <v>1018999237</v>
      </c>
      <c r="C4907">
        <v>144</v>
      </c>
      <c r="D4907" t="s">
        <v>13345</v>
      </c>
      <c r="E4907">
        <v>4820</v>
      </c>
      <c r="F4907" t="s">
        <v>23479</v>
      </c>
      <c r="G4907">
        <v>1</v>
      </c>
      <c r="H4907" t="s">
        <v>16260</v>
      </c>
      <c r="J4907" t="s">
        <v>16172</v>
      </c>
      <c r="K4907" t="s">
        <v>136</v>
      </c>
      <c r="L4907" t="s">
        <v>113</v>
      </c>
      <c r="M4907" t="s">
        <v>335</v>
      </c>
      <c r="N4907" t="s">
        <v>16330</v>
      </c>
      <c r="O4907" t="s">
        <v>16331</v>
      </c>
      <c r="P4907" s="2" t="s">
        <v>37</v>
      </c>
      <c r="Q4907" t="s">
        <v>1208</v>
      </c>
      <c r="R4907">
        <v>0</v>
      </c>
      <c r="S4907">
        <v>38.950000000000003</v>
      </c>
      <c r="T4907" t="s">
        <v>16332</v>
      </c>
    </row>
    <row r="4908" spans="1:20" x14ac:dyDescent="0.25">
      <c r="A4908" s="1" t="str">
        <f>HYPERLINK("https://vegkart.atlas.vegvesen.no/#/@276208.4,6888786.9,18/hva:hva%5B0%5D%5Bfilter%5D%5B0%5D%5Boperator%5D=%21%3D&amp;hva%5B0%5D%5Bfilter%5D%5B0%5D%5Btype_id%5D=4820&amp;hva%5B0%5D%5Bfilter%5D%5B0%5D%5Bverdi%5D=&amp;hva%5B0%5D%5Bid%5D=144/når:2024-03-14", "Vegkart")</f>
        <v>Vegkart</v>
      </c>
      <c r="B4908">
        <v>1018999238</v>
      </c>
      <c r="C4908">
        <v>144</v>
      </c>
      <c r="D4908" t="s">
        <v>13345</v>
      </c>
      <c r="E4908">
        <v>4820</v>
      </c>
      <c r="F4908" t="s">
        <v>23479</v>
      </c>
      <c r="G4908">
        <v>1</v>
      </c>
      <c r="H4908" t="s">
        <v>16260</v>
      </c>
      <c r="J4908" t="s">
        <v>16172</v>
      </c>
      <c r="K4908" t="s">
        <v>136</v>
      </c>
      <c r="L4908" t="s">
        <v>113</v>
      </c>
      <c r="M4908" t="s">
        <v>335</v>
      </c>
      <c r="N4908" t="s">
        <v>16333</v>
      </c>
      <c r="O4908" t="s">
        <v>16334</v>
      </c>
      <c r="P4908" s="2" t="s">
        <v>37</v>
      </c>
      <c r="Q4908" t="s">
        <v>1208</v>
      </c>
      <c r="R4908">
        <v>0</v>
      </c>
      <c r="S4908">
        <v>17.27</v>
      </c>
      <c r="T4908" t="s">
        <v>16335</v>
      </c>
    </row>
    <row r="4909" spans="1:20" x14ac:dyDescent="0.25">
      <c r="A4909" s="1" t="str">
        <f>HYPERLINK("https://vegkart.atlas.vegvesen.no/#/@276766.5,6886964.8,18/hva:hva%5B0%5D%5Bfilter%5D%5B0%5D%5Boperator%5D=%21%3D&amp;hva%5B0%5D%5Bfilter%5D%5B0%5D%5Btype_id%5D=4820&amp;hva%5B0%5D%5Bfilter%5D%5B0%5D%5Bverdi%5D=&amp;hva%5B0%5D%5Bid%5D=144/når:2024-03-14", "Vegkart")</f>
        <v>Vegkart</v>
      </c>
      <c r="B4909">
        <v>1018999239</v>
      </c>
      <c r="C4909">
        <v>144</v>
      </c>
      <c r="D4909" t="s">
        <v>13345</v>
      </c>
      <c r="E4909">
        <v>4820</v>
      </c>
      <c r="F4909" t="s">
        <v>23479</v>
      </c>
      <c r="G4909">
        <v>1</v>
      </c>
      <c r="H4909" t="s">
        <v>16260</v>
      </c>
      <c r="J4909" t="s">
        <v>16172</v>
      </c>
      <c r="K4909" t="s">
        <v>136</v>
      </c>
      <c r="L4909" t="s">
        <v>113</v>
      </c>
      <c r="M4909" t="s">
        <v>335</v>
      </c>
      <c r="N4909" t="s">
        <v>16336</v>
      </c>
      <c r="O4909" t="s">
        <v>16337</v>
      </c>
      <c r="P4909" s="2" t="s">
        <v>37</v>
      </c>
      <c r="Q4909" t="s">
        <v>1208</v>
      </c>
      <c r="R4909">
        <v>0</v>
      </c>
      <c r="S4909">
        <v>22.4</v>
      </c>
      <c r="T4909" t="s">
        <v>16338</v>
      </c>
    </row>
    <row r="4910" spans="1:20" x14ac:dyDescent="0.25">
      <c r="A4910" s="1" t="str">
        <f>HYPERLINK("https://vegkart.atlas.vegvesen.no/#/@276133.4,6888937.3,18/hva:hva%5B0%5D%5Bfilter%5D%5B0%5D%5Boperator%5D=%21%3D&amp;hva%5B0%5D%5Bfilter%5D%5B0%5D%5Btype_id%5D=4820&amp;hva%5B0%5D%5Bfilter%5D%5B0%5D%5Bverdi%5D=&amp;hva%5B0%5D%5Bid%5D=144/når:2024-03-14", "Vegkart")</f>
        <v>Vegkart</v>
      </c>
      <c r="B4910">
        <v>1018999240</v>
      </c>
      <c r="C4910">
        <v>144</v>
      </c>
      <c r="D4910" t="s">
        <v>13345</v>
      </c>
      <c r="E4910">
        <v>4820</v>
      </c>
      <c r="F4910" t="s">
        <v>23479</v>
      </c>
      <c r="G4910">
        <v>1</v>
      </c>
      <c r="H4910" t="s">
        <v>16260</v>
      </c>
      <c r="J4910" t="s">
        <v>16172</v>
      </c>
      <c r="K4910" t="s">
        <v>136</v>
      </c>
      <c r="L4910" t="s">
        <v>113</v>
      </c>
      <c r="M4910" t="s">
        <v>335</v>
      </c>
      <c r="N4910" t="s">
        <v>16339</v>
      </c>
      <c r="O4910" t="s">
        <v>16340</v>
      </c>
      <c r="P4910" s="2" t="s">
        <v>37</v>
      </c>
      <c r="Q4910" t="s">
        <v>1208</v>
      </c>
      <c r="R4910">
        <v>0</v>
      </c>
      <c r="S4910">
        <v>11.25</v>
      </c>
      <c r="T4910" t="s">
        <v>16341</v>
      </c>
    </row>
    <row r="4911" spans="1:20" x14ac:dyDescent="0.25">
      <c r="A4911" s="1" t="str">
        <f>HYPERLINK("https://vegkart.atlas.vegvesen.no/#/@274422.1,6891643.3,18/hva:hva%5B0%5D%5Bfilter%5D%5B0%5D%5Boperator%5D=%21%3D&amp;hva%5B0%5D%5Bfilter%5D%5B0%5D%5Btype_id%5D=4820&amp;hva%5B0%5D%5Bfilter%5D%5B0%5D%5Bverdi%5D=&amp;hva%5B0%5D%5Bid%5D=144/når:2024-03-14", "Vegkart")</f>
        <v>Vegkart</v>
      </c>
      <c r="B4911">
        <v>1018999241</v>
      </c>
      <c r="C4911">
        <v>144</v>
      </c>
      <c r="D4911" t="s">
        <v>13345</v>
      </c>
      <c r="E4911">
        <v>4820</v>
      </c>
      <c r="F4911" t="s">
        <v>23479</v>
      </c>
      <c r="G4911">
        <v>1</v>
      </c>
      <c r="H4911" t="s">
        <v>16260</v>
      </c>
      <c r="J4911" t="s">
        <v>16172</v>
      </c>
      <c r="K4911" t="s">
        <v>136</v>
      </c>
      <c r="L4911" t="s">
        <v>113</v>
      </c>
      <c r="M4911" t="s">
        <v>335</v>
      </c>
      <c r="N4911" t="s">
        <v>16342</v>
      </c>
      <c r="O4911" t="s">
        <v>16343</v>
      </c>
      <c r="P4911" s="2" t="s">
        <v>37</v>
      </c>
      <c r="Q4911" t="s">
        <v>1208</v>
      </c>
      <c r="R4911">
        <v>0</v>
      </c>
      <c r="S4911">
        <v>23.17</v>
      </c>
      <c r="T4911" t="s">
        <v>16344</v>
      </c>
    </row>
    <row r="4912" spans="1:20" x14ac:dyDescent="0.25">
      <c r="A4912" s="1" t="str">
        <f>HYPERLINK("https://vegkart.atlas.vegvesen.no/#/@282282.7,6882976.0,18/hva:hva%5B0%5D%5Bfilter%5D%5B0%5D%5Boperator%5D=%21%3D&amp;hva%5B0%5D%5Bfilter%5D%5B0%5D%5Btype_id%5D=4820&amp;hva%5B0%5D%5Bfilter%5D%5B0%5D%5Bverdi%5D=&amp;hva%5B0%5D%5Bid%5D=144/når:2024-03-14", "Vegkart")</f>
        <v>Vegkart</v>
      </c>
      <c r="B4912">
        <v>1018999242</v>
      </c>
      <c r="C4912">
        <v>144</v>
      </c>
      <c r="D4912" t="s">
        <v>13345</v>
      </c>
      <c r="E4912">
        <v>4820</v>
      </c>
      <c r="F4912" t="s">
        <v>23479</v>
      </c>
      <c r="G4912">
        <v>1</v>
      </c>
      <c r="H4912" t="s">
        <v>16260</v>
      </c>
      <c r="J4912" t="s">
        <v>16172</v>
      </c>
      <c r="K4912" t="s">
        <v>136</v>
      </c>
      <c r="L4912" t="s">
        <v>113</v>
      </c>
      <c r="M4912" t="s">
        <v>335</v>
      </c>
      <c r="N4912" t="s">
        <v>16345</v>
      </c>
      <c r="O4912" t="s">
        <v>16346</v>
      </c>
      <c r="P4912" s="2" t="s">
        <v>37</v>
      </c>
      <c r="Q4912" t="s">
        <v>1208</v>
      </c>
      <c r="R4912">
        <v>0</v>
      </c>
      <c r="S4912">
        <v>9.15</v>
      </c>
      <c r="T4912" t="s">
        <v>16347</v>
      </c>
    </row>
    <row r="4913" spans="1:20" x14ac:dyDescent="0.25">
      <c r="A4913" s="1" t="str">
        <f>HYPERLINK("https://vegkart.atlas.vegvesen.no/#/@278350.9,6885557.5,18/hva:hva%5B0%5D%5Bfilter%5D%5B0%5D%5Boperator%5D=%21%3D&amp;hva%5B0%5D%5Bfilter%5D%5B0%5D%5Btype_id%5D=4820&amp;hva%5B0%5D%5Bfilter%5D%5B0%5D%5Bverdi%5D=&amp;hva%5B0%5D%5Bid%5D=144/når:2024-03-14", "Vegkart")</f>
        <v>Vegkart</v>
      </c>
      <c r="B4913">
        <v>1018999243</v>
      </c>
      <c r="C4913">
        <v>144</v>
      </c>
      <c r="D4913" t="s">
        <v>13345</v>
      </c>
      <c r="E4913">
        <v>4820</v>
      </c>
      <c r="F4913" t="s">
        <v>23479</v>
      </c>
      <c r="G4913">
        <v>1</v>
      </c>
      <c r="H4913" t="s">
        <v>16260</v>
      </c>
      <c r="J4913" t="s">
        <v>16172</v>
      </c>
      <c r="K4913" t="s">
        <v>136</v>
      </c>
      <c r="L4913" t="s">
        <v>113</v>
      </c>
      <c r="M4913" t="s">
        <v>335</v>
      </c>
      <c r="N4913" t="s">
        <v>16348</v>
      </c>
      <c r="O4913" t="s">
        <v>16349</v>
      </c>
      <c r="P4913" s="2" t="s">
        <v>37</v>
      </c>
      <c r="Q4913" t="s">
        <v>1208</v>
      </c>
      <c r="R4913">
        <v>0</v>
      </c>
      <c r="S4913">
        <v>10.53</v>
      </c>
      <c r="T4913" t="s">
        <v>16350</v>
      </c>
    </row>
    <row r="4914" spans="1:20" x14ac:dyDescent="0.25">
      <c r="A4914" s="1" t="str">
        <f>HYPERLINK("https://vegkart.atlas.vegvesen.no/#/@276107.0,6889159.8,18/hva:hva%5B0%5D%5Bfilter%5D%5B0%5D%5Boperator%5D=%21%3D&amp;hva%5B0%5D%5Bfilter%5D%5B0%5D%5Btype_id%5D=4820&amp;hva%5B0%5D%5Bfilter%5D%5B0%5D%5Bverdi%5D=&amp;hva%5B0%5D%5Bid%5D=144/når:2024-03-14", "Vegkart")</f>
        <v>Vegkart</v>
      </c>
      <c r="B4914">
        <v>1018999244</v>
      </c>
      <c r="C4914">
        <v>144</v>
      </c>
      <c r="D4914" t="s">
        <v>13345</v>
      </c>
      <c r="E4914">
        <v>4820</v>
      </c>
      <c r="F4914" t="s">
        <v>23479</v>
      </c>
      <c r="G4914">
        <v>1</v>
      </c>
      <c r="H4914" t="s">
        <v>16260</v>
      </c>
      <c r="J4914" t="s">
        <v>16172</v>
      </c>
      <c r="K4914" t="s">
        <v>136</v>
      </c>
      <c r="L4914" t="s">
        <v>113</v>
      </c>
      <c r="M4914" t="s">
        <v>335</v>
      </c>
      <c r="N4914" t="s">
        <v>16351</v>
      </c>
      <c r="O4914" t="s">
        <v>16352</v>
      </c>
      <c r="P4914" s="2" t="s">
        <v>37</v>
      </c>
      <c r="Q4914" t="s">
        <v>1208</v>
      </c>
      <c r="R4914">
        <v>0</v>
      </c>
      <c r="S4914">
        <v>18.45</v>
      </c>
      <c r="T4914" t="s">
        <v>16353</v>
      </c>
    </row>
    <row r="4915" spans="1:20" x14ac:dyDescent="0.25">
      <c r="A4915" s="1" t="str">
        <f>HYPERLINK("https://vegkart.atlas.vegvesen.no/#/@276596.5,6887846.5,18/hva:hva%5B0%5D%5Bfilter%5D%5B0%5D%5Boperator%5D=%21%3D&amp;hva%5B0%5D%5Bfilter%5D%5B0%5D%5Btype_id%5D=4820&amp;hva%5B0%5D%5Bfilter%5D%5B0%5D%5Bverdi%5D=&amp;hva%5B0%5D%5Bid%5D=144/når:2024-03-14", "Vegkart")</f>
        <v>Vegkart</v>
      </c>
      <c r="B4915">
        <v>1018999245</v>
      </c>
      <c r="C4915">
        <v>144</v>
      </c>
      <c r="D4915" t="s">
        <v>13345</v>
      </c>
      <c r="E4915">
        <v>4820</v>
      </c>
      <c r="F4915" t="s">
        <v>23479</v>
      </c>
      <c r="G4915">
        <v>1</v>
      </c>
      <c r="H4915" t="s">
        <v>16260</v>
      </c>
      <c r="J4915" t="s">
        <v>16172</v>
      </c>
      <c r="K4915" t="s">
        <v>136</v>
      </c>
      <c r="L4915" t="s">
        <v>113</v>
      </c>
      <c r="M4915" t="s">
        <v>335</v>
      </c>
      <c r="N4915" t="s">
        <v>16354</v>
      </c>
      <c r="O4915" t="s">
        <v>16355</v>
      </c>
      <c r="P4915" s="2" t="s">
        <v>37</v>
      </c>
      <c r="Q4915" t="s">
        <v>1208</v>
      </c>
      <c r="R4915">
        <v>0</v>
      </c>
      <c r="S4915">
        <v>13.66</v>
      </c>
      <c r="T4915" t="s">
        <v>16356</v>
      </c>
    </row>
    <row r="4916" spans="1:20" x14ac:dyDescent="0.25">
      <c r="A4916" s="1" t="str">
        <f>HYPERLINK("https://vegkart.atlas.vegvesen.no/#/@280602.3,6884268.8,18/hva:hva%5B0%5D%5Bfilter%5D%5B0%5D%5Boperator%5D=%21%3D&amp;hva%5B0%5D%5Bfilter%5D%5B0%5D%5Btype_id%5D=4820&amp;hva%5B0%5D%5Bfilter%5D%5B0%5D%5Bverdi%5D=&amp;hva%5B0%5D%5Bid%5D=144/når:2024-03-14", "Vegkart")</f>
        <v>Vegkart</v>
      </c>
      <c r="B4916">
        <v>1018999246</v>
      </c>
      <c r="C4916">
        <v>144</v>
      </c>
      <c r="D4916" t="s">
        <v>13345</v>
      </c>
      <c r="E4916">
        <v>4820</v>
      </c>
      <c r="F4916" t="s">
        <v>23479</v>
      </c>
      <c r="G4916">
        <v>1</v>
      </c>
      <c r="H4916" t="s">
        <v>16260</v>
      </c>
      <c r="J4916" t="s">
        <v>16172</v>
      </c>
      <c r="K4916" t="s">
        <v>136</v>
      </c>
      <c r="L4916" t="s">
        <v>113</v>
      </c>
      <c r="M4916" t="s">
        <v>335</v>
      </c>
      <c r="N4916" t="s">
        <v>16357</v>
      </c>
      <c r="O4916" t="s">
        <v>16358</v>
      </c>
      <c r="P4916" s="2" t="s">
        <v>37</v>
      </c>
      <c r="Q4916" t="s">
        <v>1208</v>
      </c>
      <c r="R4916">
        <v>0</v>
      </c>
      <c r="S4916">
        <v>21.3</v>
      </c>
      <c r="T4916" t="s">
        <v>16359</v>
      </c>
    </row>
    <row r="4917" spans="1:20" x14ac:dyDescent="0.25">
      <c r="A4917" s="1" t="str">
        <f>HYPERLINK("https://vegkart.atlas.vegvesen.no/#/@276288.4,6888493.7,18/hva:hva%5B0%5D%5Bfilter%5D%5B0%5D%5Boperator%5D=%21%3D&amp;hva%5B0%5D%5Bfilter%5D%5B0%5D%5Btype_id%5D=4820&amp;hva%5B0%5D%5Bfilter%5D%5B0%5D%5Bverdi%5D=&amp;hva%5B0%5D%5Bid%5D=144/når:2024-03-14", "Vegkart")</f>
        <v>Vegkart</v>
      </c>
      <c r="B4917">
        <v>1018999247</v>
      </c>
      <c r="C4917">
        <v>144</v>
      </c>
      <c r="D4917" t="s">
        <v>13345</v>
      </c>
      <c r="E4917">
        <v>4820</v>
      </c>
      <c r="F4917" t="s">
        <v>23479</v>
      </c>
      <c r="G4917">
        <v>1</v>
      </c>
      <c r="H4917" t="s">
        <v>16260</v>
      </c>
      <c r="J4917" t="s">
        <v>16172</v>
      </c>
      <c r="K4917" t="s">
        <v>136</v>
      </c>
      <c r="L4917" t="s">
        <v>113</v>
      </c>
      <c r="M4917" t="s">
        <v>335</v>
      </c>
      <c r="N4917" t="s">
        <v>16360</v>
      </c>
      <c r="O4917" t="s">
        <v>16361</v>
      </c>
      <c r="P4917" s="2" t="s">
        <v>37</v>
      </c>
      <c r="Q4917" t="s">
        <v>1208</v>
      </c>
      <c r="R4917">
        <v>0</v>
      </c>
      <c r="S4917">
        <v>22.18</v>
      </c>
      <c r="T4917" t="s">
        <v>16362</v>
      </c>
    </row>
    <row r="4918" spans="1:20" x14ac:dyDescent="0.25">
      <c r="A4918" s="1" t="str">
        <f>HYPERLINK("https://vegkart.atlas.vegvesen.no/#/@276747.4,6887081.2,18/hva:hva%5B0%5D%5Bfilter%5D%5B0%5D%5Boperator%5D=%21%3D&amp;hva%5B0%5D%5Bfilter%5D%5B0%5D%5Btype_id%5D=4820&amp;hva%5B0%5D%5Bfilter%5D%5B0%5D%5Bverdi%5D=&amp;hva%5B0%5D%5Bid%5D=144/når:2024-03-14", "Vegkart")</f>
        <v>Vegkart</v>
      </c>
      <c r="B4918">
        <v>1018999248</v>
      </c>
      <c r="C4918">
        <v>144</v>
      </c>
      <c r="D4918" t="s">
        <v>13345</v>
      </c>
      <c r="E4918">
        <v>4820</v>
      </c>
      <c r="F4918" t="s">
        <v>23479</v>
      </c>
      <c r="G4918">
        <v>1</v>
      </c>
      <c r="H4918" t="s">
        <v>16260</v>
      </c>
      <c r="J4918" t="s">
        <v>16172</v>
      </c>
      <c r="K4918" t="s">
        <v>136</v>
      </c>
      <c r="L4918" t="s">
        <v>113</v>
      </c>
      <c r="M4918" t="s">
        <v>335</v>
      </c>
      <c r="N4918" t="s">
        <v>16363</v>
      </c>
      <c r="O4918" t="s">
        <v>16364</v>
      </c>
      <c r="P4918" s="2" t="s">
        <v>37</v>
      </c>
      <c r="Q4918" t="s">
        <v>1208</v>
      </c>
      <c r="R4918">
        <v>0</v>
      </c>
      <c r="S4918">
        <v>47.17</v>
      </c>
      <c r="T4918" t="s">
        <v>16365</v>
      </c>
    </row>
    <row r="4919" spans="1:20" x14ac:dyDescent="0.25">
      <c r="A4919" s="1" t="str">
        <f>HYPERLINK("https://vegkart.atlas.vegvesen.no/#/@283092.4,6881440.1,18/hva:hva%5B0%5D%5Bfilter%5D%5B0%5D%5Boperator%5D=%21%3D&amp;hva%5B0%5D%5Bfilter%5D%5B0%5D%5Btype_id%5D=4820&amp;hva%5B0%5D%5Bfilter%5D%5B0%5D%5Bverdi%5D=&amp;hva%5B0%5D%5Bid%5D=144/når:2024-03-14", "Vegkart")</f>
        <v>Vegkart</v>
      </c>
      <c r="B4919">
        <v>1018999249</v>
      </c>
      <c r="C4919">
        <v>144</v>
      </c>
      <c r="D4919" t="s">
        <v>13345</v>
      </c>
      <c r="E4919">
        <v>4820</v>
      </c>
      <c r="F4919" t="s">
        <v>23479</v>
      </c>
      <c r="G4919">
        <v>1</v>
      </c>
      <c r="H4919" t="s">
        <v>16260</v>
      </c>
      <c r="J4919" t="s">
        <v>16172</v>
      </c>
      <c r="K4919" t="s">
        <v>136</v>
      </c>
      <c r="L4919" t="s">
        <v>113</v>
      </c>
      <c r="M4919" t="s">
        <v>335</v>
      </c>
      <c r="N4919" t="s">
        <v>16366</v>
      </c>
      <c r="O4919" t="s">
        <v>16367</v>
      </c>
      <c r="P4919" s="2" t="s">
        <v>37</v>
      </c>
      <c r="Q4919" t="s">
        <v>1208</v>
      </c>
      <c r="R4919">
        <v>0</v>
      </c>
      <c r="S4919">
        <v>14.11</v>
      </c>
      <c r="T4919" t="s">
        <v>16368</v>
      </c>
    </row>
    <row r="4920" spans="1:20" x14ac:dyDescent="0.25">
      <c r="A4920" s="1" t="str">
        <f>HYPERLINK("https://vegkart.atlas.vegvesen.no/#/@275881.2,6890033.9,18/hva:hva%5B0%5D%5Bfilter%5D%5B0%5D%5Boperator%5D=%21%3D&amp;hva%5B0%5D%5Bfilter%5D%5B0%5D%5Btype_id%5D=4820&amp;hva%5B0%5D%5Bfilter%5D%5B0%5D%5Bverdi%5D=&amp;hva%5B0%5D%5Bid%5D=144/når:2024-03-14", "Vegkart")</f>
        <v>Vegkart</v>
      </c>
      <c r="B4920">
        <v>1018999250</v>
      </c>
      <c r="C4920">
        <v>144</v>
      </c>
      <c r="D4920" t="s">
        <v>13345</v>
      </c>
      <c r="E4920">
        <v>4820</v>
      </c>
      <c r="F4920" t="s">
        <v>23479</v>
      </c>
      <c r="G4920">
        <v>1</v>
      </c>
      <c r="H4920" t="s">
        <v>16260</v>
      </c>
      <c r="J4920" t="s">
        <v>16172</v>
      </c>
      <c r="K4920" t="s">
        <v>136</v>
      </c>
      <c r="L4920" t="s">
        <v>113</v>
      </c>
      <c r="M4920" t="s">
        <v>335</v>
      </c>
      <c r="N4920" t="s">
        <v>16369</v>
      </c>
      <c r="O4920" t="s">
        <v>16370</v>
      </c>
      <c r="P4920" s="2" t="s">
        <v>37</v>
      </c>
      <c r="Q4920" t="s">
        <v>1208</v>
      </c>
      <c r="R4920">
        <v>0</v>
      </c>
      <c r="S4920">
        <v>58.7</v>
      </c>
      <c r="T4920" t="s">
        <v>16371</v>
      </c>
    </row>
    <row r="4921" spans="1:20" x14ac:dyDescent="0.25">
      <c r="A4921" s="1" t="str">
        <f>HYPERLINK("https://vegkart.atlas.vegvesen.no/#/@283250.7,6881291.2,18/hva:hva%5B0%5D%5Bfilter%5D%5B0%5D%5Boperator%5D=%21%3D&amp;hva%5B0%5D%5Bfilter%5D%5B0%5D%5Btype_id%5D=4820&amp;hva%5B0%5D%5Bfilter%5D%5B0%5D%5Bverdi%5D=&amp;hva%5B0%5D%5Bid%5D=144/når:2024-03-14", "Vegkart")</f>
        <v>Vegkart</v>
      </c>
      <c r="B4921">
        <v>1018999251</v>
      </c>
      <c r="C4921">
        <v>144</v>
      </c>
      <c r="D4921" t="s">
        <v>13345</v>
      </c>
      <c r="E4921">
        <v>4820</v>
      </c>
      <c r="F4921" t="s">
        <v>23479</v>
      </c>
      <c r="G4921">
        <v>1</v>
      </c>
      <c r="H4921" t="s">
        <v>16260</v>
      </c>
      <c r="J4921" t="s">
        <v>16172</v>
      </c>
      <c r="K4921" t="s">
        <v>136</v>
      </c>
      <c r="L4921" t="s">
        <v>113</v>
      </c>
      <c r="M4921" t="s">
        <v>335</v>
      </c>
      <c r="N4921" t="s">
        <v>16372</v>
      </c>
      <c r="O4921" t="s">
        <v>16373</v>
      </c>
      <c r="P4921" s="2" t="s">
        <v>37</v>
      </c>
      <c r="Q4921" t="s">
        <v>1208</v>
      </c>
      <c r="R4921">
        <v>0</v>
      </c>
      <c r="S4921">
        <v>8.67</v>
      </c>
      <c r="T4921" t="s">
        <v>16374</v>
      </c>
    </row>
    <row r="4922" spans="1:20" x14ac:dyDescent="0.25">
      <c r="A4922" s="1" t="str">
        <f>HYPERLINK("https://vegkart.atlas.vegvesen.no/#/@276401.8,6888225.8,18/hva:hva%5B0%5D%5Bfilter%5D%5B0%5D%5Boperator%5D=%21%3D&amp;hva%5B0%5D%5Bfilter%5D%5B0%5D%5Btype_id%5D=4820&amp;hva%5B0%5D%5Bfilter%5D%5B0%5D%5Bverdi%5D=&amp;hva%5B0%5D%5Bid%5D=144/når:2024-03-14", "Vegkart")</f>
        <v>Vegkart</v>
      </c>
      <c r="B4922">
        <v>1018999252</v>
      </c>
      <c r="C4922">
        <v>144</v>
      </c>
      <c r="D4922" t="s">
        <v>13345</v>
      </c>
      <c r="E4922">
        <v>4820</v>
      </c>
      <c r="F4922" t="s">
        <v>23479</v>
      </c>
      <c r="G4922">
        <v>1</v>
      </c>
      <c r="H4922" t="s">
        <v>16260</v>
      </c>
      <c r="J4922" t="s">
        <v>16172</v>
      </c>
      <c r="K4922" t="s">
        <v>136</v>
      </c>
      <c r="L4922" t="s">
        <v>113</v>
      </c>
      <c r="M4922" t="s">
        <v>335</v>
      </c>
      <c r="N4922" t="s">
        <v>16375</v>
      </c>
      <c r="O4922" t="s">
        <v>16376</v>
      </c>
      <c r="P4922" s="2" t="s">
        <v>37</v>
      </c>
      <c r="Q4922" t="s">
        <v>1208</v>
      </c>
      <c r="R4922">
        <v>0</v>
      </c>
      <c r="S4922">
        <v>25.3</v>
      </c>
      <c r="T4922" t="s">
        <v>16377</v>
      </c>
    </row>
    <row r="4923" spans="1:20" x14ac:dyDescent="0.25">
      <c r="A4923" s="1" t="str">
        <f>HYPERLINK("https://vegkart.atlas.vegvesen.no/#/@276508.1,6888051.2,18/hva:hva%5B0%5D%5Bfilter%5D%5B0%5D%5Boperator%5D=%21%3D&amp;hva%5B0%5D%5Bfilter%5D%5B0%5D%5Btype_id%5D=4820&amp;hva%5B0%5D%5Bfilter%5D%5B0%5D%5Bverdi%5D=&amp;hva%5B0%5D%5Bid%5D=144/når:2024-03-14", "Vegkart")</f>
        <v>Vegkart</v>
      </c>
      <c r="B4923">
        <v>1018999253</v>
      </c>
      <c r="C4923">
        <v>144</v>
      </c>
      <c r="D4923" t="s">
        <v>13345</v>
      </c>
      <c r="E4923">
        <v>4820</v>
      </c>
      <c r="F4923" t="s">
        <v>23479</v>
      </c>
      <c r="G4923">
        <v>1</v>
      </c>
      <c r="H4923" t="s">
        <v>16260</v>
      </c>
      <c r="J4923" t="s">
        <v>16172</v>
      </c>
      <c r="K4923" t="s">
        <v>136</v>
      </c>
      <c r="L4923" t="s">
        <v>113</v>
      </c>
      <c r="M4923" t="s">
        <v>335</v>
      </c>
      <c r="N4923" t="s">
        <v>16378</v>
      </c>
      <c r="O4923" t="s">
        <v>16379</v>
      </c>
      <c r="P4923" s="2" t="s">
        <v>37</v>
      </c>
      <c r="Q4923" t="s">
        <v>1208</v>
      </c>
      <c r="R4923">
        <v>0</v>
      </c>
      <c r="S4923">
        <v>29.94</v>
      </c>
      <c r="T4923" t="s">
        <v>16380</v>
      </c>
    </row>
    <row r="4924" spans="1:20" x14ac:dyDescent="0.25">
      <c r="A4924" s="1" t="str">
        <f>HYPERLINK("https://vegkart.atlas.vegvesen.no/#/@277619.0,6886026.9,18/hva:hva%5B0%5D%5Bfilter%5D%5B0%5D%5Boperator%5D=%21%3D&amp;hva%5B0%5D%5Bfilter%5D%5B0%5D%5Btype_id%5D=4820&amp;hva%5B0%5D%5Bfilter%5D%5B0%5D%5Bverdi%5D=&amp;hva%5B0%5D%5Bid%5D=144/når:2024-03-14", "Vegkart")</f>
        <v>Vegkart</v>
      </c>
      <c r="B4924">
        <v>1018999254</v>
      </c>
      <c r="C4924">
        <v>144</v>
      </c>
      <c r="D4924" t="s">
        <v>13345</v>
      </c>
      <c r="E4924">
        <v>4820</v>
      </c>
      <c r="F4924" t="s">
        <v>23479</v>
      </c>
      <c r="G4924">
        <v>1</v>
      </c>
      <c r="H4924" t="s">
        <v>16260</v>
      </c>
      <c r="J4924" t="s">
        <v>16172</v>
      </c>
      <c r="K4924" t="s">
        <v>136</v>
      </c>
      <c r="L4924" t="s">
        <v>113</v>
      </c>
      <c r="M4924" t="s">
        <v>335</v>
      </c>
      <c r="N4924" t="s">
        <v>16381</v>
      </c>
      <c r="O4924" t="s">
        <v>16382</v>
      </c>
      <c r="P4924" s="2" t="s">
        <v>37</v>
      </c>
      <c r="Q4924" t="s">
        <v>1208</v>
      </c>
      <c r="R4924">
        <v>0</v>
      </c>
      <c r="S4924">
        <v>24.78</v>
      </c>
      <c r="T4924" t="s">
        <v>16383</v>
      </c>
    </row>
    <row r="4925" spans="1:20" x14ac:dyDescent="0.25">
      <c r="A4925" s="1" t="str">
        <f>HYPERLINK("https://vegkart.atlas.vegvesen.no/#/@280262.1,6884552.1,18/hva:hva%5B0%5D%5Bfilter%5D%5B0%5D%5Boperator%5D=%21%3D&amp;hva%5B0%5D%5Bfilter%5D%5B0%5D%5Btype_id%5D=4820&amp;hva%5B0%5D%5Bfilter%5D%5B0%5D%5Bverdi%5D=&amp;hva%5B0%5D%5Bid%5D=144/når:2024-03-14", "Vegkart")</f>
        <v>Vegkart</v>
      </c>
      <c r="B4925">
        <v>1018999255</v>
      </c>
      <c r="C4925">
        <v>144</v>
      </c>
      <c r="D4925" t="s">
        <v>13345</v>
      </c>
      <c r="E4925">
        <v>4820</v>
      </c>
      <c r="F4925" t="s">
        <v>23479</v>
      </c>
      <c r="G4925">
        <v>1</v>
      </c>
      <c r="H4925" t="s">
        <v>16260</v>
      </c>
      <c r="J4925" t="s">
        <v>16172</v>
      </c>
      <c r="K4925" t="s">
        <v>136</v>
      </c>
      <c r="L4925" t="s">
        <v>113</v>
      </c>
      <c r="M4925" t="s">
        <v>335</v>
      </c>
      <c r="N4925" t="s">
        <v>16384</v>
      </c>
      <c r="O4925" t="s">
        <v>16385</v>
      </c>
      <c r="P4925" s="2" t="s">
        <v>37</v>
      </c>
      <c r="Q4925" t="s">
        <v>1208</v>
      </c>
      <c r="R4925">
        <v>0</v>
      </c>
      <c r="S4925">
        <v>13</v>
      </c>
      <c r="T4925" t="s">
        <v>16386</v>
      </c>
    </row>
    <row r="4926" spans="1:20" x14ac:dyDescent="0.25">
      <c r="A4926" s="1" t="str">
        <f>HYPERLINK("https://vegkart.atlas.vegvesen.no/#/@282469.1,6882692.1,18/hva:hva%5B0%5D%5Bfilter%5D%5B0%5D%5Boperator%5D=%21%3D&amp;hva%5B0%5D%5Bfilter%5D%5B0%5D%5Btype_id%5D=4820&amp;hva%5B0%5D%5Bfilter%5D%5B0%5D%5Bverdi%5D=&amp;hva%5B0%5D%5Bid%5D=144/når:2024-03-14", "Vegkart")</f>
        <v>Vegkart</v>
      </c>
      <c r="B4926">
        <v>1018999256</v>
      </c>
      <c r="C4926">
        <v>144</v>
      </c>
      <c r="D4926" t="s">
        <v>13345</v>
      </c>
      <c r="E4926">
        <v>4820</v>
      </c>
      <c r="F4926" t="s">
        <v>23479</v>
      </c>
      <c r="G4926">
        <v>1</v>
      </c>
      <c r="H4926" t="s">
        <v>16260</v>
      </c>
      <c r="J4926" t="s">
        <v>16172</v>
      </c>
      <c r="K4926" t="s">
        <v>136</v>
      </c>
      <c r="L4926" t="s">
        <v>113</v>
      </c>
      <c r="M4926" t="s">
        <v>335</v>
      </c>
      <c r="N4926" t="s">
        <v>16387</v>
      </c>
      <c r="O4926" t="s">
        <v>16388</v>
      </c>
      <c r="P4926" s="2" t="s">
        <v>37</v>
      </c>
      <c r="Q4926" t="s">
        <v>1208</v>
      </c>
      <c r="R4926">
        <v>0</v>
      </c>
      <c r="S4926">
        <v>32.369999999999997</v>
      </c>
      <c r="T4926" t="s">
        <v>16389</v>
      </c>
    </row>
    <row r="4927" spans="1:20" x14ac:dyDescent="0.25">
      <c r="A4927" s="1" t="str">
        <f>HYPERLINK("https://vegkart.atlas.vegvesen.no/#/@277418.8,6886246.9,18/hva:hva%5B0%5D%5Bfilter%5D%5B0%5D%5Boperator%5D=%21%3D&amp;hva%5B0%5D%5Bfilter%5D%5B0%5D%5Btype_id%5D=4820&amp;hva%5B0%5D%5Bfilter%5D%5B0%5D%5Bverdi%5D=&amp;hva%5B0%5D%5Bid%5D=144/når:2024-03-14", "Vegkart")</f>
        <v>Vegkart</v>
      </c>
      <c r="B4927">
        <v>1018999257</v>
      </c>
      <c r="C4927">
        <v>144</v>
      </c>
      <c r="D4927" t="s">
        <v>13345</v>
      </c>
      <c r="E4927">
        <v>4820</v>
      </c>
      <c r="F4927" t="s">
        <v>23479</v>
      </c>
      <c r="G4927">
        <v>1</v>
      </c>
      <c r="H4927" t="s">
        <v>16260</v>
      </c>
      <c r="J4927" t="s">
        <v>16172</v>
      </c>
      <c r="K4927" t="s">
        <v>136</v>
      </c>
      <c r="L4927" t="s">
        <v>113</v>
      </c>
      <c r="M4927" t="s">
        <v>335</v>
      </c>
      <c r="N4927" t="s">
        <v>16390</v>
      </c>
      <c r="O4927" t="s">
        <v>16391</v>
      </c>
      <c r="P4927" s="2" t="s">
        <v>37</v>
      </c>
      <c r="Q4927" t="s">
        <v>1208</v>
      </c>
      <c r="R4927">
        <v>0</v>
      </c>
      <c r="S4927">
        <v>17.239999999999998</v>
      </c>
      <c r="T4927" t="s">
        <v>16392</v>
      </c>
    </row>
    <row r="4928" spans="1:20" x14ac:dyDescent="0.25">
      <c r="A4928" s="1" t="str">
        <f>HYPERLINK("https://vegkart.atlas.vegvesen.no/#/@277561.9,6886092.9,18/hva:hva%5B0%5D%5Bfilter%5D%5B0%5D%5Boperator%5D=%21%3D&amp;hva%5B0%5D%5Bfilter%5D%5B0%5D%5Btype_id%5D=4820&amp;hva%5B0%5D%5Bfilter%5D%5B0%5D%5Bverdi%5D=&amp;hva%5B0%5D%5Bid%5D=144/når:2024-03-14", "Vegkart")</f>
        <v>Vegkart</v>
      </c>
      <c r="B4928">
        <v>1018999258</v>
      </c>
      <c r="C4928">
        <v>144</v>
      </c>
      <c r="D4928" t="s">
        <v>13345</v>
      </c>
      <c r="E4928">
        <v>4820</v>
      </c>
      <c r="F4928" t="s">
        <v>23479</v>
      </c>
      <c r="G4928">
        <v>1</v>
      </c>
      <c r="H4928" t="s">
        <v>16260</v>
      </c>
      <c r="J4928" t="s">
        <v>16172</v>
      </c>
      <c r="K4928" t="s">
        <v>136</v>
      </c>
      <c r="L4928" t="s">
        <v>113</v>
      </c>
      <c r="M4928" t="s">
        <v>335</v>
      </c>
      <c r="N4928" t="s">
        <v>16393</v>
      </c>
      <c r="O4928" t="s">
        <v>16394</v>
      </c>
      <c r="P4928" s="2" t="s">
        <v>37</v>
      </c>
      <c r="Q4928" t="s">
        <v>1208</v>
      </c>
      <c r="R4928">
        <v>0</v>
      </c>
      <c r="S4928">
        <v>21.67</v>
      </c>
      <c r="T4928" t="s">
        <v>16395</v>
      </c>
    </row>
    <row r="4929" spans="1:20" x14ac:dyDescent="0.25">
      <c r="A4929" s="1" t="str">
        <f>HYPERLINK("https://vegkart.atlas.vegvesen.no/#/@283268.7,6881310.0,18/hva:hva%5B0%5D%5Bfilter%5D%5B0%5D%5Boperator%5D=%21%3D&amp;hva%5B0%5D%5Bfilter%5D%5B0%5D%5Btype_id%5D=4820&amp;hva%5B0%5D%5Bfilter%5D%5B0%5D%5Bverdi%5D=&amp;hva%5B0%5D%5Bid%5D=144/når:2024-03-14", "Vegkart")</f>
        <v>Vegkart</v>
      </c>
      <c r="B4929">
        <v>1018999259</v>
      </c>
      <c r="C4929">
        <v>144</v>
      </c>
      <c r="D4929" t="s">
        <v>13345</v>
      </c>
      <c r="E4929">
        <v>4820</v>
      </c>
      <c r="F4929" t="s">
        <v>23479</v>
      </c>
      <c r="G4929">
        <v>1</v>
      </c>
      <c r="H4929" t="s">
        <v>16260</v>
      </c>
      <c r="J4929" t="s">
        <v>16172</v>
      </c>
      <c r="K4929" t="s">
        <v>136</v>
      </c>
      <c r="L4929" t="s">
        <v>113</v>
      </c>
      <c r="M4929" t="s">
        <v>335</v>
      </c>
      <c r="N4929" t="s">
        <v>16396</v>
      </c>
      <c r="O4929" t="s">
        <v>16397</v>
      </c>
      <c r="P4929" s="2" t="s">
        <v>37</v>
      </c>
      <c r="Q4929" t="s">
        <v>1208</v>
      </c>
      <c r="R4929">
        <v>0</v>
      </c>
      <c r="S4929">
        <v>26.46</v>
      </c>
      <c r="T4929" t="s">
        <v>16398</v>
      </c>
    </row>
    <row r="4930" spans="1:20" x14ac:dyDescent="0.25">
      <c r="A4930" s="1" t="str">
        <f>HYPERLINK("https://vegkart.atlas.vegvesen.no/#/@282346.3,6882928.8,18/hva:hva%5B0%5D%5Bfilter%5D%5B0%5D%5Boperator%5D=%21%3D&amp;hva%5B0%5D%5Bfilter%5D%5B0%5D%5Btype_id%5D=4820&amp;hva%5B0%5D%5Bfilter%5D%5B0%5D%5Bverdi%5D=&amp;hva%5B0%5D%5Bid%5D=144/når:2024-03-14", "Vegkart")</f>
        <v>Vegkart</v>
      </c>
      <c r="B4930">
        <v>1018999260</v>
      </c>
      <c r="C4930">
        <v>144</v>
      </c>
      <c r="D4930" t="s">
        <v>13345</v>
      </c>
      <c r="E4930">
        <v>4820</v>
      </c>
      <c r="F4930" t="s">
        <v>23479</v>
      </c>
      <c r="G4930">
        <v>1</v>
      </c>
      <c r="H4930" t="s">
        <v>16260</v>
      </c>
      <c r="J4930" t="s">
        <v>16172</v>
      </c>
      <c r="K4930" t="s">
        <v>136</v>
      </c>
      <c r="L4930" t="s">
        <v>113</v>
      </c>
      <c r="M4930" t="s">
        <v>335</v>
      </c>
      <c r="N4930" t="s">
        <v>16399</v>
      </c>
      <c r="O4930" t="s">
        <v>16400</v>
      </c>
      <c r="P4930" s="2" t="s">
        <v>37</v>
      </c>
      <c r="Q4930" t="s">
        <v>1208</v>
      </c>
      <c r="R4930">
        <v>0</v>
      </c>
      <c r="S4930">
        <v>36.86</v>
      </c>
      <c r="T4930" t="s">
        <v>16401</v>
      </c>
    </row>
    <row r="4931" spans="1:20" x14ac:dyDescent="0.25">
      <c r="A4931" s="1" t="str">
        <f>HYPERLINK("https://vegkart.atlas.vegvesen.no/#/@275835.4,6890102.4,18/hva:hva%5B0%5D%5Bfilter%5D%5B0%5D%5Boperator%5D=%21%3D&amp;hva%5B0%5D%5Bfilter%5D%5B0%5D%5Btype_id%5D=4820&amp;hva%5B0%5D%5Bfilter%5D%5B0%5D%5Bverdi%5D=&amp;hva%5B0%5D%5Bid%5D=144/når:2024-03-14", "Vegkart")</f>
        <v>Vegkart</v>
      </c>
      <c r="B4931">
        <v>1018999261</v>
      </c>
      <c r="C4931">
        <v>144</v>
      </c>
      <c r="D4931" t="s">
        <v>13345</v>
      </c>
      <c r="E4931">
        <v>4820</v>
      </c>
      <c r="F4931" t="s">
        <v>23479</v>
      </c>
      <c r="G4931">
        <v>1</v>
      </c>
      <c r="H4931" t="s">
        <v>16260</v>
      </c>
      <c r="J4931" t="s">
        <v>16172</v>
      </c>
      <c r="K4931" t="s">
        <v>136</v>
      </c>
      <c r="L4931" t="s">
        <v>113</v>
      </c>
      <c r="M4931" t="s">
        <v>335</v>
      </c>
      <c r="N4931" t="s">
        <v>16402</v>
      </c>
      <c r="O4931" t="s">
        <v>16403</v>
      </c>
      <c r="P4931" s="2" t="s">
        <v>37</v>
      </c>
      <c r="Q4931" t="s">
        <v>1208</v>
      </c>
      <c r="R4931">
        <v>0</v>
      </c>
      <c r="S4931">
        <v>14.8</v>
      </c>
      <c r="T4931" t="s">
        <v>16404</v>
      </c>
    </row>
    <row r="4932" spans="1:20" x14ac:dyDescent="0.25">
      <c r="A4932" s="1" t="str">
        <f>HYPERLINK("https://vegkart.atlas.vegvesen.no/#/@282232.6,6883025.1,18/hva:hva%5B0%5D%5Bfilter%5D%5B0%5D%5Boperator%5D=%21%3D&amp;hva%5B0%5D%5Bfilter%5D%5B0%5D%5Btype_id%5D=4820&amp;hva%5B0%5D%5Bfilter%5D%5B0%5D%5Bverdi%5D=&amp;hva%5B0%5D%5Bid%5D=144/når:2024-03-14", "Vegkart")</f>
        <v>Vegkart</v>
      </c>
      <c r="B4932">
        <v>1018999262</v>
      </c>
      <c r="C4932">
        <v>144</v>
      </c>
      <c r="D4932" t="s">
        <v>13345</v>
      </c>
      <c r="E4932">
        <v>4820</v>
      </c>
      <c r="F4932" t="s">
        <v>23479</v>
      </c>
      <c r="G4932">
        <v>1</v>
      </c>
      <c r="H4932" t="s">
        <v>16260</v>
      </c>
      <c r="J4932" t="s">
        <v>16172</v>
      </c>
      <c r="K4932" t="s">
        <v>136</v>
      </c>
      <c r="L4932" t="s">
        <v>113</v>
      </c>
      <c r="M4932" t="s">
        <v>335</v>
      </c>
      <c r="N4932" t="s">
        <v>16405</v>
      </c>
      <c r="O4932" t="s">
        <v>16406</v>
      </c>
      <c r="P4932" s="2" t="s">
        <v>37</v>
      </c>
      <c r="Q4932" t="s">
        <v>1208</v>
      </c>
      <c r="R4932">
        <v>0</v>
      </c>
      <c r="S4932">
        <v>20.22</v>
      </c>
      <c r="T4932" t="s">
        <v>16407</v>
      </c>
    </row>
    <row r="4933" spans="1:20" x14ac:dyDescent="0.25">
      <c r="A4933" s="1" t="str">
        <f>HYPERLINK("https://vegkart.atlas.vegvesen.no/#/@283032.4,6881532.9,18/hva:hva%5B0%5D%5Bfilter%5D%5B0%5D%5Boperator%5D=%21%3D&amp;hva%5B0%5D%5Bfilter%5D%5B0%5D%5Btype_id%5D=4820&amp;hva%5B0%5D%5Bfilter%5D%5B0%5D%5Bverdi%5D=&amp;hva%5B0%5D%5Bid%5D=144/når:2024-03-14", "Vegkart")</f>
        <v>Vegkart</v>
      </c>
      <c r="B4933">
        <v>1018999263</v>
      </c>
      <c r="C4933">
        <v>144</v>
      </c>
      <c r="D4933" t="s">
        <v>13345</v>
      </c>
      <c r="E4933">
        <v>4820</v>
      </c>
      <c r="F4933" t="s">
        <v>23479</v>
      </c>
      <c r="G4933">
        <v>1</v>
      </c>
      <c r="H4933" t="s">
        <v>16260</v>
      </c>
      <c r="J4933" t="s">
        <v>16172</v>
      </c>
      <c r="K4933" t="s">
        <v>136</v>
      </c>
      <c r="L4933" t="s">
        <v>113</v>
      </c>
      <c r="M4933" t="s">
        <v>335</v>
      </c>
      <c r="N4933" t="s">
        <v>16408</v>
      </c>
      <c r="O4933" t="s">
        <v>16409</v>
      </c>
      <c r="P4933" s="2" t="s">
        <v>37</v>
      </c>
      <c r="Q4933" t="s">
        <v>1208</v>
      </c>
      <c r="R4933">
        <v>0</v>
      </c>
      <c r="S4933">
        <v>7.17</v>
      </c>
      <c r="T4933" t="s">
        <v>16410</v>
      </c>
    </row>
    <row r="4934" spans="1:20" x14ac:dyDescent="0.25">
      <c r="A4934" s="1" t="str">
        <f>HYPERLINK("https://vegkart.atlas.vegvesen.no/#/@275066.3,6890962.6,18/hva:hva%5B0%5D%5Bfilter%5D%5B0%5D%5Boperator%5D=%21%3D&amp;hva%5B0%5D%5Bfilter%5D%5B0%5D%5Btype_id%5D=4820&amp;hva%5B0%5D%5Bfilter%5D%5B0%5D%5Bverdi%5D=&amp;hva%5B0%5D%5Bid%5D=144/når:2024-03-14", "Vegkart")</f>
        <v>Vegkart</v>
      </c>
      <c r="B4934">
        <v>1018999264</v>
      </c>
      <c r="C4934">
        <v>144</v>
      </c>
      <c r="D4934" t="s">
        <v>13345</v>
      </c>
      <c r="E4934">
        <v>4820</v>
      </c>
      <c r="F4934" t="s">
        <v>23479</v>
      </c>
      <c r="G4934">
        <v>1</v>
      </c>
      <c r="H4934" t="s">
        <v>16260</v>
      </c>
      <c r="J4934" t="s">
        <v>16172</v>
      </c>
      <c r="K4934" t="s">
        <v>136</v>
      </c>
      <c r="L4934" t="s">
        <v>113</v>
      </c>
      <c r="M4934" t="s">
        <v>335</v>
      </c>
      <c r="N4934" t="s">
        <v>16411</v>
      </c>
      <c r="O4934" t="s">
        <v>16412</v>
      </c>
      <c r="P4934" s="2" t="s">
        <v>37</v>
      </c>
      <c r="Q4934" t="s">
        <v>1208</v>
      </c>
      <c r="R4934">
        <v>0</v>
      </c>
      <c r="S4934">
        <v>176.25</v>
      </c>
      <c r="T4934" t="s">
        <v>16413</v>
      </c>
    </row>
    <row r="4935" spans="1:20" x14ac:dyDescent="0.25">
      <c r="A4935" s="1" t="str">
        <f>HYPERLINK("https://vegkart.atlas.vegvesen.no/#/@283118.6,6881459.9,18/hva:hva%5B0%5D%5Bfilter%5D%5B0%5D%5Boperator%5D=%21%3D&amp;hva%5B0%5D%5Bfilter%5D%5B0%5D%5Btype_id%5D=4820&amp;hva%5B0%5D%5Bfilter%5D%5B0%5D%5Bverdi%5D=&amp;hva%5B0%5D%5Bid%5D=144/når:2024-03-14", "Vegkart")</f>
        <v>Vegkart</v>
      </c>
      <c r="B4935">
        <v>1018999265</v>
      </c>
      <c r="C4935">
        <v>144</v>
      </c>
      <c r="D4935" t="s">
        <v>13345</v>
      </c>
      <c r="E4935">
        <v>4820</v>
      </c>
      <c r="F4935" t="s">
        <v>23479</v>
      </c>
      <c r="G4935">
        <v>1</v>
      </c>
      <c r="H4935" t="s">
        <v>16260</v>
      </c>
      <c r="J4935" t="s">
        <v>16172</v>
      </c>
      <c r="K4935" t="s">
        <v>136</v>
      </c>
      <c r="L4935" t="s">
        <v>113</v>
      </c>
      <c r="M4935" t="s">
        <v>335</v>
      </c>
      <c r="N4935" t="s">
        <v>16414</v>
      </c>
      <c r="O4935" t="s">
        <v>16415</v>
      </c>
      <c r="P4935" s="2" t="s">
        <v>37</v>
      </c>
      <c r="Q4935" t="s">
        <v>1208</v>
      </c>
      <c r="R4935">
        <v>0</v>
      </c>
      <c r="S4935">
        <v>13.82</v>
      </c>
      <c r="T4935" t="s">
        <v>16416</v>
      </c>
    </row>
    <row r="4936" spans="1:20" x14ac:dyDescent="0.25">
      <c r="A4936" s="1" t="str">
        <f>HYPERLINK("https://vegkart.atlas.vegvesen.no/#/@276850.7,6886749.7,18/hva:hva%5B0%5D%5Bfilter%5D%5B0%5D%5Boperator%5D=%21%3D&amp;hva%5B0%5D%5Bfilter%5D%5B0%5D%5Btype_id%5D=4820&amp;hva%5B0%5D%5Bfilter%5D%5B0%5D%5Bverdi%5D=&amp;hva%5B0%5D%5Bid%5D=144/når:2024-03-14", "Vegkart")</f>
        <v>Vegkart</v>
      </c>
      <c r="B4936">
        <v>1018999266</v>
      </c>
      <c r="C4936">
        <v>144</v>
      </c>
      <c r="D4936" t="s">
        <v>13345</v>
      </c>
      <c r="E4936">
        <v>4820</v>
      </c>
      <c r="F4936" t="s">
        <v>23479</v>
      </c>
      <c r="G4936">
        <v>1</v>
      </c>
      <c r="H4936" t="s">
        <v>16260</v>
      </c>
      <c r="J4936" t="s">
        <v>16172</v>
      </c>
      <c r="K4936" t="s">
        <v>136</v>
      </c>
      <c r="L4936" t="s">
        <v>113</v>
      </c>
      <c r="M4936" t="s">
        <v>335</v>
      </c>
      <c r="N4936" t="s">
        <v>16417</v>
      </c>
      <c r="O4936" t="s">
        <v>16418</v>
      </c>
      <c r="P4936" s="2" t="s">
        <v>37</v>
      </c>
      <c r="Q4936" t="s">
        <v>1208</v>
      </c>
      <c r="R4936">
        <v>0</v>
      </c>
      <c r="S4936">
        <v>9.81</v>
      </c>
      <c r="T4936" t="s">
        <v>16419</v>
      </c>
    </row>
    <row r="4937" spans="1:20" x14ac:dyDescent="0.25">
      <c r="A4937" s="1" t="str">
        <f>HYPERLINK("https://vegkart.atlas.vegvesen.no/#/@277490.0,6886138.4,18/hva:hva%5B0%5D%5Bfilter%5D%5B0%5D%5Boperator%5D=%21%3D&amp;hva%5B0%5D%5Bfilter%5D%5B0%5D%5Btype_id%5D=4820&amp;hva%5B0%5D%5Bfilter%5D%5B0%5D%5Bverdi%5D=&amp;hva%5B0%5D%5Bid%5D=144/når:2024-03-14", "Vegkart")</f>
        <v>Vegkart</v>
      </c>
      <c r="B4937">
        <v>1018999267</v>
      </c>
      <c r="C4937">
        <v>144</v>
      </c>
      <c r="D4937" t="s">
        <v>13345</v>
      </c>
      <c r="E4937">
        <v>4820</v>
      </c>
      <c r="F4937" t="s">
        <v>23479</v>
      </c>
      <c r="G4937">
        <v>1</v>
      </c>
      <c r="H4937" t="s">
        <v>16260</v>
      </c>
      <c r="J4937" t="s">
        <v>16172</v>
      </c>
      <c r="K4937" t="s">
        <v>136</v>
      </c>
      <c r="L4937" t="s">
        <v>113</v>
      </c>
      <c r="M4937" t="s">
        <v>335</v>
      </c>
      <c r="N4937" t="s">
        <v>16420</v>
      </c>
      <c r="O4937" t="s">
        <v>16421</v>
      </c>
      <c r="P4937" s="2" t="s">
        <v>37</v>
      </c>
      <c r="Q4937" t="s">
        <v>1208</v>
      </c>
      <c r="R4937">
        <v>0</v>
      </c>
      <c r="S4937">
        <v>12.06</v>
      </c>
      <c r="T4937" t="s">
        <v>16422</v>
      </c>
    </row>
    <row r="4938" spans="1:20" x14ac:dyDescent="0.25">
      <c r="A4938" s="1" t="str">
        <f>HYPERLINK("https://vegkart.atlas.vegvesen.no/#/@276325.4,6888502.0,18/hva:hva%5B0%5D%5Bfilter%5D%5B0%5D%5Boperator%5D=%21%3D&amp;hva%5B0%5D%5Bfilter%5D%5B0%5D%5Btype_id%5D=4820&amp;hva%5B0%5D%5Bfilter%5D%5B0%5D%5Bverdi%5D=&amp;hva%5B0%5D%5Bid%5D=144/når:2024-03-14", "Vegkart")</f>
        <v>Vegkart</v>
      </c>
      <c r="B4938">
        <v>1018999268</v>
      </c>
      <c r="C4938">
        <v>144</v>
      </c>
      <c r="D4938" t="s">
        <v>13345</v>
      </c>
      <c r="E4938">
        <v>4820</v>
      </c>
      <c r="F4938" t="s">
        <v>23479</v>
      </c>
      <c r="G4938">
        <v>1</v>
      </c>
      <c r="H4938" t="s">
        <v>16260</v>
      </c>
      <c r="J4938" t="s">
        <v>16172</v>
      </c>
      <c r="K4938" t="s">
        <v>136</v>
      </c>
      <c r="L4938" t="s">
        <v>113</v>
      </c>
      <c r="M4938" t="s">
        <v>335</v>
      </c>
      <c r="N4938" t="s">
        <v>16423</v>
      </c>
      <c r="O4938" t="s">
        <v>16424</v>
      </c>
      <c r="P4938" s="2" t="s">
        <v>37</v>
      </c>
      <c r="Q4938" t="s">
        <v>1208</v>
      </c>
      <c r="R4938">
        <v>0</v>
      </c>
      <c r="S4938">
        <v>9.41</v>
      </c>
      <c r="T4938" t="s">
        <v>16425</v>
      </c>
    </row>
    <row r="4939" spans="1:20" x14ac:dyDescent="0.25">
      <c r="A4939" s="1" t="str">
        <f>HYPERLINK("https://vegkart.atlas.vegvesen.no/#/@281842.4,6883334.9,18/hva:hva%5B0%5D%5Bfilter%5D%5B0%5D%5Boperator%5D=%21%3D&amp;hva%5B0%5D%5Bfilter%5D%5B0%5D%5Btype_id%5D=4820&amp;hva%5B0%5D%5Bfilter%5D%5B0%5D%5Bverdi%5D=&amp;hva%5B0%5D%5Bid%5D=144/når:2024-03-14", "Vegkart")</f>
        <v>Vegkart</v>
      </c>
      <c r="B4939">
        <v>1018999269</v>
      </c>
      <c r="C4939">
        <v>144</v>
      </c>
      <c r="D4939" t="s">
        <v>13345</v>
      </c>
      <c r="E4939">
        <v>4820</v>
      </c>
      <c r="F4939" t="s">
        <v>23479</v>
      </c>
      <c r="G4939">
        <v>1</v>
      </c>
      <c r="H4939" t="s">
        <v>16260</v>
      </c>
      <c r="J4939" t="s">
        <v>16172</v>
      </c>
      <c r="K4939" t="s">
        <v>136</v>
      </c>
      <c r="L4939" t="s">
        <v>113</v>
      </c>
      <c r="M4939" t="s">
        <v>335</v>
      </c>
      <c r="N4939" t="s">
        <v>16426</v>
      </c>
      <c r="O4939" t="s">
        <v>16427</v>
      </c>
      <c r="P4939" s="2" t="s">
        <v>37</v>
      </c>
      <c r="Q4939" t="s">
        <v>1208</v>
      </c>
      <c r="R4939">
        <v>0</v>
      </c>
      <c r="S4939">
        <v>15.25</v>
      </c>
      <c r="T4939" t="s">
        <v>16428</v>
      </c>
    </row>
    <row r="4940" spans="1:20" x14ac:dyDescent="0.25">
      <c r="A4940" s="1" t="str">
        <f>HYPERLINK("https://vegkart.atlas.vegvesen.no/#/@275962.1,6889723.4,18/hva:hva%5B0%5D%5Bfilter%5D%5B0%5D%5Boperator%5D=%21%3D&amp;hva%5B0%5D%5Bfilter%5D%5B0%5D%5Btype_id%5D=4820&amp;hva%5B0%5D%5Bfilter%5D%5B0%5D%5Bverdi%5D=&amp;hva%5B0%5D%5Bid%5D=144/når:2024-03-14", "Vegkart")</f>
        <v>Vegkart</v>
      </c>
      <c r="B4940">
        <v>1018999270</v>
      </c>
      <c r="C4940">
        <v>144</v>
      </c>
      <c r="D4940" t="s">
        <v>13345</v>
      </c>
      <c r="E4940">
        <v>4820</v>
      </c>
      <c r="F4940" t="s">
        <v>23479</v>
      </c>
      <c r="G4940">
        <v>1</v>
      </c>
      <c r="H4940" t="s">
        <v>16260</v>
      </c>
      <c r="J4940" t="s">
        <v>16172</v>
      </c>
      <c r="K4940" t="s">
        <v>136</v>
      </c>
      <c r="L4940" t="s">
        <v>113</v>
      </c>
      <c r="M4940" t="s">
        <v>335</v>
      </c>
      <c r="N4940" t="s">
        <v>16429</v>
      </c>
      <c r="O4940" t="s">
        <v>16430</v>
      </c>
      <c r="P4940" s="2" t="s">
        <v>37</v>
      </c>
      <c r="Q4940" t="s">
        <v>1208</v>
      </c>
      <c r="R4940">
        <v>0</v>
      </c>
      <c r="S4940">
        <v>19.489999999999998</v>
      </c>
      <c r="T4940" t="s">
        <v>16431</v>
      </c>
    </row>
    <row r="4941" spans="1:20" x14ac:dyDescent="0.25">
      <c r="A4941" s="1" t="str">
        <f>HYPERLINK("https://vegkart.atlas.vegvesen.no/#/@276640.0,6887711.0,18/hva:hva%5B0%5D%5Bfilter%5D%5B0%5D%5Boperator%5D=%21%3D&amp;hva%5B0%5D%5Bfilter%5D%5B0%5D%5Btype_id%5D=4820&amp;hva%5B0%5D%5Bfilter%5D%5B0%5D%5Bverdi%5D=&amp;hva%5B0%5D%5Bid%5D=144/når:2024-03-14", "Vegkart")</f>
        <v>Vegkart</v>
      </c>
      <c r="B4941">
        <v>1018999271</v>
      </c>
      <c r="C4941">
        <v>144</v>
      </c>
      <c r="D4941" t="s">
        <v>13345</v>
      </c>
      <c r="E4941">
        <v>4820</v>
      </c>
      <c r="F4941" t="s">
        <v>23479</v>
      </c>
      <c r="G4941">
        <v>1</v>
      </c>
      <c r="H4941" t="s">
        <v>16260</v>
      </c>
      <c r="J4941" t="s">
        <v>16172</v>
      </c>
      <c r="K4941" t="s">
        <v>136</v>
      </c>
      <c r="L4941" t="s">
        <v>113</v>
      </c>
      <c r="M4941" t="s">
        <v>335</v>
      </c>
      <c r="N4941" t="s">
        <v>16432</v>
      </c>
      <c r="O4941" t="s">
        <v>16433</v>
      </c>
      <c r="P4941" s="2" t="s">
        <v>37</v>
      </c>
      <c r="Q4941" t="s">
        <v>1208</v>
      </c>
      <c r="R4941">
        <v>0</v>
      </c>
      <c r="S4941">
        <v>10.75</v>
      </c>
      <c r="T4941" t="s">
        <v>16434</v>
      </c>
    </row>
    <row r="4942" spans="1:20" x14ac:dyDescent="0.25">
      <c r="A4942" s="1" t="str">
        <f>HYPERLINK("https://vegkart.atlas.vegvesen.no/#/@280704.8,6884082.0,18/hva:hva%5B0%5D%5Bfilter%5D%5B0%5D%5Boperator%5D=%21%3D&amp;hva%5B0%5D%5Bfilter%5D%5B0%5D%5Btype_id%5D=4820&amp;hva%5B0%5D%5Bfilter%5D%5B0%5D%5Bverdi%5D=&amp;hva%5B0%5D%5Bid%5D=144/når:2024-03-14", "Vegkart")</f>
        <v>Vegkart</v>
      </c>
      <c r="B4942">
        <v>1018999272</v>
      </c>
      <c r="C4942">
        <v>144</v>
      </c>
      <c r="D4942" t="s">
        <v>13345</v>
      </c>
      <c r="E4942">
        <v>4820</v>
      </c>
      <c r="F4942" t="s">
        <v>23479</v>
      </c>
      <c r="G4942">
        <v>1</v>
      </c>
      <c r="H4942" t="s">
        <v>16260</v>
      </c>
      <c r="J4942" t="s">
        <v>16172</v>
      </c>
      <c r="K4942" t="s">
        <v>136</v>
      </c>
      <c r="L4942" t="s">
        <v>113</v>
      </c>
      <c r="M4942" t="s">
        <v>335</v>
      </c>
      <c r="N4942" t="s">
        <v>16435</v>
      </c>
      <c r="O4942" t="s">
        <v>16436</v>
      </c>
      <c r="P4942" s="2" t="s">
        <v>37</v>
      </c>
      <c r="Q4942" t="s">
        <v>1208</v>
      </c>
      <c r="R4942">
        <v>0</v>
      </c>
      <c r="S4942">
        <v>16.21</v>
      </c>
      <c r="T4942" t="s">
        <v>16437</v>
      </c>
    </row>
    <row r="4943" spans="1:20" x14ac:dyDescent="0.25">
      <c r="A4943" s="1" t="str">
        <f>HYPERLINK("https://vegkart.atlas.vegvesen.no/#/@275563.3,6890661.2,18/hva:hva%5B0%5D%5Bfilter%5D%5B0%5D%5Boperator%5D=%21%3D&amp;hva%5B0%5D%5Bfilter%5D%5B0%5D%5Btype_id%5D=4820&amp;hva%5B0%5D%5Bfilter%5D%5B0%5D%5Bverdi%5D=&amp;hva%5B0%5D%5Bid%5D=144/når:2024-03-14", "Vegkart")</f>
        <v>Vegkart</v>
      </c>
      <c r="B4943">
        <v>1018999273</v>
      </c>
      <c r="C4943">
        <v>144</v>
      </c>
      <c r="D4943" t="s">
        <v>13345</v>
      </c>
      <c r="E4943">
        <v>4820</v>
      </c>
      <c r="F4943" t="s">
        <v>23479</v>
      </c>
      <c r="G4943">
        <v>1</v>
      </c>
      <c r="H4943" t="s">
        <v>16260</v>
      </c>
      <c r="J4943" t="s">
        <v>16172</v>
      </c>
      <c r="K4943" t="s">
        <v>136</v>
      </c>
      <c r="L4943" t="s">
        <v>113</v>
      </c>
      <c r="M4943" t="s">
        <v>335</v>
      </c>
      <c r="N4943" t="s">
        <v>16438</v>
      </c>
      <c r="O4943" t="s">
        <v>16439</v>
      </c>
      <c r="P4943" s="2" t="s">
        <v>37</v>
      </c>
      <c r="Q4943" t="s">
        <v>1208</v>
      </c>
      <c r="R4943">
        <v>0</v>
      </c>
      <c r="S4943">
        <v>29.87</v>
      </c>
      <c r="T4943" t="s">
        <v>16440</v>
      </c>
    </row>
    <row r="4944" spans="1:20" x14ac:dyDescent="0.25">
      <c r="A4944" s="1" t="str">
        <f>HYPERLINK("https://vegkart.atlas.vegvesen.no/#/@283462.5,6881095.2,18/hva:hva%5B0%5D%5Bfilter%5D%5B0%5D%5Boperator%5D=%21%3D&amp;hva%5B0%5D%5Bfilter%5D%5B0%5D%5Btype_id%5D=4820&amp;hva%5B0%5D%5Bfilter%5D%5B0%5D%5Bverdi%5D=&amp;hva%5B0%5D%5Bid%5D=144/når:2024-03-14", "Vegkart")</f>
        <v>Vegkart</v>
      </c>
      <c r="B4944">
        <v>1018999274</v>
      </c>
      <c r="C4944">
        <v>144</v>
      </c>
      <c r="D4944" t="s">
        <v>13345</v>
      </c>
      <c r="E4944">
        <v>4820</v>
      </c>
      <c r="F4944" t="s">
        <v>23479</v>
      </c>
      <c r="G4944">
        <v>1</v>
      </c>
      <c r="H4944" t="s">
        <v>16260</v>
      </c>
      <c r="J4944" t="s">
        <v>16172</v>
      </c>
      <c r="K4944" t="s">
        <v>136</v>
      </c>
      <c r="L4944" t="s">
        <v>113</v>
      </c>
      <c r="M4944" t="s">
        <v>335</v>
      </c>
      <c r="N4944" t="s">
        <v>16441</v>
      </c>
      <c r="O4944" t="s">
        <v>16442</v>
      </c>
      <c r="P4944" s="2" t="s">
        <v>37</v>
      </c>
      <c r="Q4944" t="s">
        <v>1208</v>
      </c>
      <c r="R4944">
        <v>0</v>
      </c>
      <c r="S4944">
        <v>15.37</v>
      </c>
      <c r="T4944" t="s">
        <v>16443</v>
      </c>
    </row>
    <row r="4945" spans="1:20" x14ac:dyDescent="0.25">
      <c r="A4945" s="1" t="str">
        <f>HYPERLINK("https://vegkart.atlas.vegvesen.no/#/@277589.9,6886059.7,18/hva:hva%5B0%5D%5Bfilter%5D%5B0%5D%5Boperator%5D=%21%3D&amp;hva%5B0%5D%5Bfilter%5D%5B0%5D%5Btype_id%5D=4820&amp;hva%5B0%5D%5Bfilter%5D%5B0%5D%5Bverdi%5D=&amp;hva%5B0%5D%5Bid%5D=144/når:2024-03-14", "Vegkart")</f>
        <v>Vegkart</v>
      </c>
      <c r="B4945">
        <v>1018999275</v>
      </c>
      <c r="C4945">
        <v>144</v>
      </c>
      <c r="D4945" t="s">
        <v>13345</v>
      </c>
      <c r="E4945">
        <v>4820</v>
      </c>
      <c r="F4945" t="s">
        <v>23479</v>
      </c>
      <c r="G4945">
        <v>1</v>
      </c>
      <c r="H4945" t="s">
        <v>16260</v>
      </c>
      <c r="J4945" t="s">
        <v>16172</v>
      </c>
      <c r="K4945" t="s">
        <v>136</v>
      </c>
      <c r="L4945" t="s">
        <v>113</v>
      </c>
      <c r="M4945" t="s">
        <v>335</v>
      </c>
      <c r="N4945" t="s">
        <v>16444</v>
      </c>
      <c r="O4945" t="s">
        <v>16445</v>
      </c>
      <c r="P4945" s="2" t="s">
        <v>37</v>
      </c>
      <c r="Q4945" t="s">
        <v>1208</v>
      </c>
      <c r="R4945">
        <v>0</v>
      </c>
      <c r="S4945">
        <v>19.91</v>
      </c>
      <c r="T4945" t="s">
        <v>16446</v>
      </c>
    </row>
    <row r="4946" spans="1:20" x14ac:dyDescent="0.25">
      <c r="A4946" s="1" t="str">
        <f>HYPERLINK("https://vegkart.atlas.vegvesen.no/#/@276071.3,6889305.9,18/hva:hva%5B0%5D%5Bfilter%5D%5B0%5D%5Boperator%5D=%21%3D&amp;hva%5B0%5D%5Bfilter%5D%5B0%5D%5Btype_id%5D=4820&amp;hva%5B0%5D%5Bfilter%5D%5B0%5D%5Bverdi%5D=&amp;hva%5B0%5D%5Bid%5D=144/når:2024-03-14", "Vegkart")</f>
        <v>Vegkart</v>
      </c>
      <c r="B4946">
        <v>1018999276</v>
      </c>
      <c r="C4946">
        <v>144</v>
      </c>
      <c r="D4946" t="s">
        <v>13345</v>
      </c>
      <c r="E4946">
        <v>4820</v>
      </c>
      <c r="F4946" t="s">
        <v>23479</v>
      </c>
      <c r="G4946">
        <v>1</v>
      </c>
      <c r="H4946" t="s">
        <v>16260</v>
      </c>
      <c r="J4946" t="s">
        <v>16172</v>
      </c>
      <c r="K4946" t="s">
        <v>136</v>
      </c>
      <c r="L4946" t="s">
        <v>113</v>
      </c>
      <c r="M4946" t="s">
        <v>335</v>
      </c>
      <c r="N4946" t="s">
        <v>16447</v>
      </c>
      <c r="O4946" t="s">
        <v>16448</v>
      </c>
      <c r="P4946" s="2" t="s">
        <v>37</v>
      </c>
      <c r="Q4946" t="s">
        <v>1208</v>
      </c>
      <c r="R4946">
        <v>0</v>
      </c>
      <c r="S4946">
        <v>19.649999999999999</v>
      </c>
      <c r="T4946" t="s">
        <v>16449</v>
      </c>
    </row>
    <row r="4947" spans="1:20" x14ac:dyDescent="0.25">
      <c r="A4947" s="1" t="str">
        <f>HYPERLINK("https://vegkart.atlas.vegvesen.no/#/@282566.8,6882422.7,18/hva:hva%5B0%5D%5Bfilter%5D%5B0%5D%5Boperator%5D=%21%3D&amp;hva%5B0%5D%5Bfilter%5D%5B0%5D%5Btype_id%5D=4820&amp;hva%5B0%5D%5Bfilter%5D%5B0%5D%5Bverdi%5D=&amp;hva%5B0%5D%5Bid%5D=144/når:2024-03-14", "Vegkart")</f>
        <v>Vegkart</v>
      </c>
      <c r="B4947">
        <v>1018999277</v>
      </c>
      <c r="C4947">
        <v>144</v>
      </c>
      <c r="D4947" t="s">
        <v>13345</v>
      </c>
      <c r="E4947">
        <v>4820</v>
      </c>
      <c r="F4947" t="s">
        <v>23479</v>
      </c>
      <c r="G4947">
        <v>1</v>
      </c>
      <c r="H4947" t="s">
        <v>16260</v>
      </c>
      <c r="J4947" t="s">
        <v>16172</v>
      </c>
      <c r="K4947" t="s">
        <v>136</v>
      </c>
      <c r="L4947" t="s">
        <v>113</v>
      </c>
      <c r="M4947" t="s">
        <v>335</v>
      </c>
      <c r="N4947" t="s">
        <v>16450</v>
      </c>
      <c r="O4947" t="s">
        <v>16451</v>
      </c>
      <c r="P4947" s="2" t="s">
        <v>37</v>
      </c>
      <c r="Q4947" t="s">
        <v>1208</v>
      </c>
      <c r="R4947">
        <v>0</v>
      </c>
      <c r="S4947">
        <v>8.75</v>
      </c>
      <c r="T4947" t="s">
        <v>16452</v>
      </c>
    </row>
    <row r="4948" spans="1:20" x14ac:dyDescent="0.25">
      <c r="A4948" s="1" t="str">
        <f>HYPERLINK("https://vegkart.atlas.vegvesen.no/#/@276114.8,6889026.2,18/hva:hva%5B0%5D%5Bfilter%5D%5B0%5D%5Boperator%5D=%21%3D&amp;hva%5B0%5D%5Bfilter%5D%5B0%5D%5Btype_id%5D=4820&amp;hva%5B0%5D%5Bfilter%5D%5B0%5D%5Bverdi%5D=&amp;hva%5B0%5D%5Bid%5D=144/når:2024-03-14", "Vegkart")</f>
        <v>Vegkart</v>
      </c>
      <c r="B4948">
        <v>1018999278</v>
      </c>
      <c r="C4948">
        <v>144</v>
      </c>
      <c r="D4948" t="s">
        <v>13345</v>
      </c>
      <c r="E4948">
        <v>4820</v>
      </c>
      <c r="F4948" t="s">
        <v>23479</v>
      </c>
      <c r="G4948">
        <v>1</v>
      </c>
      <c r="H4948" t="s">
        <v>16260</v>
      </c>
      <c r="J4948" t="s">
        <v>16172</v>
      </c>
      <c r="K4948" t="s">
        <v>136</v>
      </c>
      <c r="L4948" t="s">
        <v>113</v>
      </c>
      <c r="M4948" t="s">
        <v>335</v>
      </c>
      <c r="N4948" t="s">
        <v>16453</v>
      </c>
      <c r="O4948" t="s">
        <v>16454</v>
      </c>
      <c r="P4948" s="2" t="s">
        <v>37</v>
      </c>
      <c r="Q4948" t="s">
        <v>1208</v>
      </c>
      <c r="R4948">
        <v>0</v>
      </c>
      <c r="S4948">
        <v>16.21</v>
      </c>
      <c r="T4948" t="s">
        <v>16455</v>
      </c>
    </row>
    <row r="4949" spans="1:20" x14ac:dyDescent="0.25">
      <c r="A4949" s="1" t="str">
        <f>HYPERLINK("https://vegkart.atlas.vegvesen.no/#/@277296.7,6886331.9,18/hva:hva%5B0%5D%5Bfilter%5D%5B0%5D%5Boperator%5D=%21%3D&amp;hva%5B0%5D%5Bfilter%5D%5B0%5D%5Btype_id%5D=4820&amp;hva%5B0%5D%5Bfilter%5D%5B0%5D%5Bverdi%5D=&amp;hva%5B0%5D%5Bid%5D=144/når:2024-03-14", "Vegkart")</f>
        <v>Vegkart</v>
      </c>
      <c r="B4949">
        <v>1018999279</v>
      </c>
      <c r="C4949">
        <v>144</v>
      </c>
      <c r="D4949" t="s">
        <v>13345</v>
      </c>
      <c r="E4949">
        <v>4820</v>
      </c>
      <c r="F4949" t="s">
        <v>23479</v>
      </c>
      <c r="G4949">
        <v>1</v>
      </c>
      <c r="H4949" t="s">
        <v>16260</v>
      </c>
      <c r="J4949" t="s">
        <v>16172</v>
      </c>
      <c r="K4949" t="s">
        <v>136</v>
      </c>
      <c r="L4949" t="s">
        <v>113</v>
      </c>
      <c r="M4949" t="s">
        <v>335</v>
      </c>
      <c r="N4949" t="s">
        <v>16456</v>
      </c>
      <c r="O4949" t="s">
        <v>16457</v>
      </c>
      <c r="P4949" s="2" t="s">
        <v>37</v>
      </c>
      <c r="Q4949" t="s">
        <v>1208</v>
      </c>
      <c r="R4949">
        <v>0</v>
      </c>
      <c r="S4949">
        <v>26.12</v>
      </c>
      <c r="T4949" t="s">
        <v>16458</v>
      </c>
    </row>
    <row r="4950" spans="1:20" x14ac:dyDescent="0.25">
      <c r="A4950" s="1" t="str">
        <f>HYPERLINK("https://vegkart.atlas.vegvesen.no/#/@277082.1,6886595.8,18/hva:hva%5B0%5D%5Bfilter%5D%5B0%5D%5Boperator%5D=%21%3D&amp;hva%5B0%5D%5Bfilter%5D%5B0%5D%5Btype_id%5D=4820&amp;hva%5B0%5D%5Bfilter%5D%5B0%5D%5Bverdi%5D=&amp;hva%5B0%5D%5Bid%5D=144/når:2024-03-14", "Vegkart")</f>
        <v>Vegkart</v>
      </c>
      <c r="B4950">
        <v>1018999280</v>
      </c>
      <c r="C4950">
        <v>144</v>
      </c>
      <c r="D4950" t="s">
        <v>13345</v>
      </c>
      <c r="E4950">
        <v>4820</v>
      </c>
      <c r="F4950" t="s">
        <v>23479</v>
      </c>
      <c r="G4950">
        <v>1</v>
      </c>
      <c r="H4950" t="s">
        <v>16260</v>
      </c>
      <c r="J4950" t="s">
        <v>16172</v>
      </c>
      <c r="K4950" t="s">
        <v>136</v>
      </c>
      <c r="L4950" t="s">
        <v>113</v>
      </c>
      <c r="M4950" t="s">
        <v>335</v>
      </c>
      <c r="N4950" t="s">
        <v>16459</v>
      </c>
      <c r="O4950" t="s">
        <v>16460</v>
      </c>
      <c r="P4950" s="2" t="s">
        <v>37</v>
      </c>
      <c r="Q4950" t="s">
        <v>1208</v>
      </c>
      <c r="R4950">
        <v>0</v>
      </c>
      <c r="S4950">
        <v>30.59</v>
      </c>
      <c r="T4950" t="s">
        <v>16461</v>
      </c>
    </row>
    <row r="4951" spans="1:20" x14ac:dyDescent="0.25">
      <c r="A4951" s="1" t="str">
        <f>HYPERLINK("https://vegkart.atlas.vegvesen.no/#/@275921.3,6889897.7,18/hva:hva%5B0%5D%5Bfilter%5D%5B0%5D%5Boperator%5D=%21%3D&amp;hva%5B0%5D%5Bfilter%5D%5B0%5D%5Btype_id%5D=4820&amp;hva%5B0%5D%5Bfilter%5D%5B0%5D%5Bverdi%5D=&amp;hva%5B0%5D%5Bid%5D=144/når:2024-03-14", "Vegkart")</f>
        <v>Vegkart</v>
      </c>
      <c r="B4951">
        <v>1018999281</v>
      </c>
      <c r="C4951">
        <v>144</v>
      </c>
      <c r="D4951" t="s">
        <v>13345</v>
      </c>
      <c r="E4951">
        <v>4820</v>
      </c>
      <c r="F4951" t="s">
        <v>23479</v>
      </c>
      <c r="G4951">
        <v>1</v>
      </c>
      <c r="H4951" t="s">
        <v>16260</v>
      </c>
      <c r="J4951" t="s">
        <v>16172</v>
      </c>
      <c r="K4951" t="s">
        <v>136</v>
      </c>
      <c r="L4951" t="s">
        <v>113</v>
      </c>
      <c r="M4951" t="s">
        <v>335</v>
      </c>
      <c r="N4951" t="s">
        <v>16462</v>
      </c>
      <c r="O4951" t="s">
        <v>16463</v>
      </c>
      <c r="P4951" s="2" t="s">
        <v>37</v>
      </c>
      <c r="Q4951" t="s">
        <v>1208</v>
      </c>
      <c r="R4951">
        <v>0</v>
      </c>
      <c r="S4951">
        <v>352.22</v>
      </c>
      <c r="T4951" t="s">
        <v>16464</v>
      </c>
    </row>
    <row r="4952" spans="1:20" x14ac:dyDescent="0.25">
      <c r="A4952" s="1" t="str">
        <f>HYPERLINK("https://vegkart.atlas.vegvesen.no/#/@280735.0,6884108.6,18/hva:hva%5B0%5D%5Bfilter%5D%5B0%5D%5Boperator%5D=%21%3D&amp;hva%5B0%5D%5Bfilter%5D%5B0%5D%5Btype_id%5D=4820&amp;hva%5B0%5D%5Bfilter%5D%5B0%5D%5Bverdi%5D=&amp;hva%5B0%5D%5Bid%5D=144/når:2024-03-14", "Vegkart")</f>
        <v>Vegkart</v>
      </c>
      <c r="B4952">
        <v>1018999282</v>
      </c>
      <c r="C4952">
        <v>144</v>
      </c>
      <c r="D4952" t="s">
        <v>13345</v>
      </c>
      <c r="E4952">
        <v>4820</v>
      </c>
      <c r="F4952" t="s">
        <v>23479</v>
      </c>
      <c r="G4952">
        <v>1</v>
      </c>
      <c r="H4952" t="s">
        <v>16260</v>
      </c>
      <c r="J4952" t="s">
        <v>16172</v>
      </c>
      <c r="K4952" t="s">
        <v>136</v>
      </c>
      <c r="L4952" t="s">
        <v>113</v>
      </c>
      <c r="M4952" t="s">
        <v>335</v>
      </c>
      <c r="N4952" t="s">
        <v>16465</v>
      </c>
      <c r="O4952" t="s">
        <v>16466</v>
      </c>
      <c r="P4952" s="2" t="s">
        <v>37</v>
      </c>
      <c r="Q4952" t="s">
        <v>1208</v>
      </c>
      <c r="R4952">
        <v>0</v>
      </c>
      <c r="S4952">
        <v>17.66</v>
      </c>
      <c r="T4952" t="s">
        <v>16467</v>
      </c>
    </row>
    <row r="4953" spans="1:20" x14ac:dyDescent="0.25">
      <c r="A4953" s="1" t="str">
        <f>HYPERLINK("https://vegkart.atlas.vegvesen.no/#/@283412.1,6881094.7,18/hva:hva%5B0%5D%5Bfilter%5D%5B0%5D%5Boperator%5D=%21%3D&amp;hva%5B0%5D%5Bfilter%5D%5B0%5D%5Btype_id%5D=4820&amp;hva%5B0%5D%5Bfilter%5D%5B0%5D%5Bverdi%5D=&amp;hva%5B0%5D%5Bid%5D=144/når:2024-03-14", "Vegkart")</f>
        <v>Vegkart</v>
      </c>
      <c r="B4953">
        <v>1018999283</v>
      </c>
      <c r="C4953">
        <v>144</v>
      </c>
      <c r="D4953" t="s">
        <v>13345</v>
      </c>
      <c r="E4953">
        <v>4820</v>
      </c>
      <c r="F4953" t="s">
        <v>23479</v>
      </c>
      <c r="G4953">
        <v>1</v>
      </c>
      <c r="H4953" t="s">
        <v>16260</v>
      </c>
      <c r="J4953" t="s">
        <v>16172</v>
      </c>
      <c r="K4953" t="s">
        <v>136</v>
      </c>
      <c r="L4953" t="s">
        <v>113</v>
      </c>
      <c r="M4953" t="s">
        <v>335</v>
      </c>
      <c r="N4953" t="s">
        <v>16468</v>
      </c>
      <c r="O4953" t="s">
        <v>16469</v>
      </c>
      <c r="P4953" s="2" t="s">
        <v>37</v>
      </c>
      <c r="Q4953" t="s">
        <v>1208</v>
      </c>
      <c r="R4953">
        <v>0</v>
      </c>
      <c r="S4953">
        <v>16.11</v>
      </c>
      <c r="T4953" t="s">
        <v>16470</v>
      </c>
    </row>
    <row r="4954" spans="1:20" x14ac:dyDescent="0.25">
      <c r="A4954" s="1" t="str">
        <f>HYPERLINK("https://vegkart.atlas.vegvesen.no/#/@275991.2,6889596.3,18/hva:hva%5B0%5D%5Bfilter%5D%5B0%5D%5Boperator%5D=%21%3D&amp;hva%5B0%5D%5Bfilter%5D%5B0%5D%5Btype_id%5D=4820&amp;hva%5B0%5D%5Bfilter%5D%5B0%5D%5Bverdi%5D=&amp;hva%5B0%5D%5Bid%5D=144/når:2024-03-14", "Vegkart")</f>
        <v>Vegkart</v>
      </c>
      <c r="B4954">
        <v>1018999284</v>
      </c>
      <c r="C4954">
        <v>144</v>
      </c>
      <c r="D4954" t="s">
        <v>13345</v>
      </c>
      <c r="E4954">
        <v>4820</v>
      </c>
      <c r="F4954" t="s">
        <v>23479</v>
      </c>
      <c r="G4954">
        <v>1</v>
      </c>
      <c r="H4954" t="s">
        <v>16260</v>
      </c>
      <c r="J4954" t="s">
        <v>16172</v>
      </c>
      <c r="K4954" t="s">
        <v>136</v>
      </c>
      <c r="L4954" t="s">
        <v>113</v>
      </c>
      <c r="M4954" t="s">
        <v>335</v>
      </c>
      <c r="N4954" t="s">
        <v>16471</v>
      </c>
      <c r="O4954" t="s">
        <v>16472</v>
      </c>
      <c r="P4954" s="2" t="s">
        <v>37</v>
      </c>
      <c r="Q4954" t="s">
        <v>1208</v>
      </c>
      <c r="R4954">
        <v>0</v>
      </c>
      <c r="S4954">
        <v>6.66</v>
      </c>
      <c r="T4954" t="s">
        <v>16473</v>
      </c>
    </row>
    <row r="4955" spans="1:20" x14ac:dyDescent="0.25">
      <c r="A4955" s="1" t="str">
        <f>HYPERLINK("https://vegkart.atlas.vegvesen.no/#/@283421.6,6881141.2,18/hva:hva%5B0%5D%5Bfilter%5D%5B0%5D%5Boperator%5D=%21%3D&amp;hva%5B0%5D%5Bfilter%5D%5B0%5D%5Btype_id%5D=4820&amp;hva%5B0%5D%5Bfilter%5D%5B0%5D%5Bverdi%5D=&amp;hva%5B0%5D%5Bid%5D=144/når:2024-03-14", "Vegkart")</f>
        <v>Vegkart</v>
      </c>
      <c r="B4955">
        <v>1018999285</v>
      </c>
      <c r="C4955">
        <v>144</v>
      </c>
      <c r="D4955" t="s">
        <v>13345</v>
      </c>
      <c r="E4955">
        <v>4820</v>
      </c>
      <c r="F4955" t="s">
        <v>23479</v>
      </c>
      <c r="G4955">
        <v>1</v>
      </c>
      <c r="H4955" t="s">
        <v>16260</v>
      </c>
      <c r="J4955" t="s">
        <v>16172</v>
      </c>
      <c r="K4955" t="s">
        <v>136</v>
      </c>
      <c r="L4955" t="s">
        <v>113</v>
      </c>
      <c r="M4955" t="s">
        <v>335</v>
      </c>
      <c r="N4955" t="s">
        <v>16474</v>
      </c>
      <c r="O4955" t="s">
        <v>16475</v>
      </c>
      <c r="P4955" s="2" t="s">
        <v>37</v>
      </c>
      <c r="Q4955" t="s">
        <v>1208</v>
      </c>
      <c r="R4955">
        <v>0</v>
      </c>
      <c r="S4955">
        <v>20.04</v>
      </c>
      <c r="T4955" t="s">
        <v>16476</v>
      </c>
    </row>
    <row r="4956" spans="1:20" x14ac:dyDescent="0.25">
      <c r="A4956" s="1" t="str">
        <f>HYPERLINK("https://vegkart.atlas.vegvesen.no/#/@276869.2,6886763.1,18/hva:hva%5B0%5D%5Bfilter%5D%5B0%5D%5Boperator%5D=%21%3D&amp;hva%5B0%5D%5Bfilter%5D%5B0%5D%5Btype_id%5D=4820&amp;hva%5B0%5D%5Bfilter%5D%5B0%5D%5Bverdi%5D=&amp;hva%5B0%5D%5Bid%5D=144/når:2024-03-14", "Vegkart")</f>
        <v>Vegkart</v>
      </c>
      <c r="B4956">
        <v>1018999286</v>
      </c>
      <c r="C4956">
        <v>144</v>
      </c>
      <c r="D4956" t="s">
        <v>13345</v>
      </c>
      <c r="E4956">
        <v>4820</v>
      </c>
      <c r="F4956" t="s">
        <v>23479</v>
      </c>
      <c r="G4956">
        <v>1</v>
      </c>
      <c r="H4956" t="s">
        <v>16260</v>
      </c>
      <c r="J4956" t="s">
        <v>16172</v>
      </c>
      <c r="K4956" t="s">
        <v>136</v>
      </c>
      <c r="L4956" t="s">
        <v>113</v>
      </c>
      <c r="M4956" t="s">
        <v>335</v>
      </c>
      <c r="N4956" t="s">
        <v>16477</v>
      </c>
      <c r="O4956" t="s">
        <v>16478</v>
      </c>
      <c r="P4956" s="2" t="s">
        <v>37</v>
      </c>
      <c r="Q4956" t="s">
        <v>1208</v>
      </c>
      <c r="R4956">
        <v>0</v>
      </c>
      <c r="S4956">
        <v>9.7799999999999994</v>
      </c>
      <c r="T4956" t="s">
        <v>16479</v>
      </c>
    </row>
    <row r="4957" spans="1:20" x14ac:dyDescent="0.25">
      <c r="A4957" s="1" t="str">
        <f>HYPERLINK("https://vegkart.atlas.vegvesen.no/#/@276012.9,6889526.3,18/hva:hva%5B0%5D%5Bfilter%5D%5B0%5D%5Boperator%5D=%21%3D&amp;hva%5B0%5D%5Bfilter%5D%5B0%5D%5Btype_id%5D=4820&amp;hva%5B0%5D%5Bfilter%5D%5B0%5D%5Bverdi%5D=&amp;hva%5B0%5D%5Bid%5D=144/når:2024-03-14", "Vegkart")</f>
        <v>Vegkart</v>
      </c>
      <c r="B4957">
        <v>1018999287</v>
      </c>
      <c r="C4957">
        <v>144</v>
      </c>
      <c r="D4957" t="s">
        <v>13345</v>
      </c>
      <c r="E4957">
        <v>4820</v>
      </c>
      <c r="F4957" t="s">
        <v>23479</v>
      </c>
      <c r="G4957">
        <v>1</v>
      </c>
      <c r="H4957" t="s">
        <v>16260</v>
      </c>
      <c r="J4957" t="s">
        <v>16172</v>
      </c>
      <c r="K4957" t="s">
        <v>136</v>
      </c>
      <c r="L4957" t="s">
        <v>113</v>
      </c>
      <c r="M4957" t="s">
        <v>335</v>
      </c>
      <c r="N4957" t="s">
        <v>16480</v>
      </c>
      <c r="O4957" t="s">
        <v>16481</v>
      </c>
      <c r="P4957" s="2" t="s">
        <v>37</v>
      </c>
      <c r="Q4957" t="s">
        <v>1208</v>
      </c>
      <c r="R4957">
        <v>0</v>
      </c>
      <c r="S4957">
        <v>28.83</v>
      </c>
      <c r="T4957" t="s">
        <v>16482</v>
      </c>
    </row>
    <row r="4958" spans="1:20" x14ac:dyDescent="0.25">
      <c r="A4958" s="1" t="str">
        <f>HYPERLINK("https://vegkart.atlas.vegvesen.no/#/@282818.8,6881915.1,18/hva:hva%5B0%5D%5Bfilter%5D%5B0%5D%5Boperator%5D=%21%3D&amp;hva%5B0%5D%5Bfilter%5D%5B0%5D%5Btype_id%5D=4820&amp;hva%5B0%5D%5Bfilter%5D%5B0%5D%5Bverdi%5D=&amp;hva%5B0%5D%5Bid%5D=144/når:2024-03-14", "Vegkart")</f>
        <v>Vegkart</v>
      </c>
      <c r="B4958">
        <v>1018999288</v>
      </c>
      <c r="C4958">
        <v>144</v>
      </c>
      <c r="D4958" t="s">
        <v>13345</v>
      </c>
      <c r="E4958">
        <v>4820</v>
      </c>
      <c r="F4958" t="s">
        <v>23479</v>
      </c>
      <c r="G4958">
        <v>1</v>
      </c>
      <c r="H4958" t="s">
        <v>16260</v>
      </c>
      <c r="J4958" t="s">
        <v>16172</v>
      </c>
      <c r="K4958" t="s">
        <v>136</v>
      </c>
      <c r="L4958" t="s">
        <v>113</v>
      </c>
      <c r="M4958" t="s">
        <v>335</v>
      </c>
      <c r="N4958" t="s">
        <v>16483</v>
      </c>
      <c r="O4958" t="s">
        <v>16484</v>
      </c>
      <c r="P4958" s="2" t="s">
        <v>37</v>
      </c>
      <c r="Q4958" t="s">
        <v>1208</v>
      </c>
      <c r="R4958">
        <v>0</v>
      </c>
      <c r="S4958">
        <v>18.829999999999998</v>
      </c>
      <c r="T4958" t="s">
        <v>16485</v>
      </c>
    </row>
    <row r="4959" spans="1:20" x14ac:dyDescent="0.25">
      <c r="A4959" s="1" t="str">
        <f>HYPERLINK("https://vegkart.atlas.vegvesen.no/#/@282436.4,6882677.8,18/hva:hva%5B0%5D%5Bfilter%5D%5B0%5D%5Boperator%5D=%21%3D&amp;hva%5B0%5D%5Bfilter%5D%5B0%5D%5Btype_id%5D=4820&amp;hva%5B0%5D%5Bfilter%5D%5B0%5D%5Bverdi%5D=&amp;hva%5B0%5D%5Bid%5D=144/når:2024-03-14", "Vegkart")</f>
        <v>Vegkart</v>
      </c>
      <c r="B4959">
        <v>1018999289</v>
      </c>
      <c r="C4959">
        <v>144</v>
      </c>
      <c r="D4959" t="s">
        <v>13345</v>
      </c>
      <c r="E4959">
        <v>4820</v>
      </c>
      <c r="F4959" t="s">
        <v>23479</v>
      </c>
      <c r="G4959">
        <v>1</v>
      </c>
      <c r="H4959" t="s">
        <v>16260</v>
      </c>
      <c r="J4959" t="s">
        <v>16172</v>
      </c>
      <c r="K4959" t="s">
        <v>136</v>
      </c>
      <c r="L4959" t="s">
        <v>113</v>
      </c>
      <c r="M4959" t="s">
        <v>335</v>
      </c>
      <c r="N4959" t="s">
        <v>16486</v>
      </c>
      <c r="O4959" t="s">
        <v>16487</v>
      </c>
      <c r="P4959" s="2" t="s">
        <v>37</v>
      </c>
      <c r="Q4959" t="s">
        <v>1208</v>
      </c>
      <c r="R4959">
        <v>0</v>
      </c>
      <c r="S4959">
        <v>21.62</v>
      </c>
      <c r="T4959" t="s">
        <v>16488</v>
      </c>
    </row>
    <row r="4960" spans="1:20" x14ac:dyDescent="0.25">
      <c r="A4960" s="1" t="str">
        <f>HYPERLINK("https://vegkart.atlas.vegvesen.no/#/@281982.7,6883234.5,18/hva:hva%5B0%5D%5Bfilter%5D%5B0%5D%5Boperator%5D=%21%3D&amp;hva%5B0%5D%5Bfilter%5D%5B0%5D%5Btype_id%5D=4820&amp;hva%5B0%5D%5Bfilter%5D%5B0%5D%5Bverdi%5D=&amp;hva%5B0%5D%5Bid%5D=144/når:2024-03-14", "Vegkart")</f>
        <v>Vegkart</v>
      </c>
      <c r="B4960">
        <v>1018999290</v>
      </c>
      <c r="C4960">
        <v>144</v>
      </c>
      <c r="D4960" t="s">
        <v>13345</v>
      </c>
      <c r="E4960">
        <v>4820</v>
      </c>
      <c r="F4960" t="s">
        <v>23479</v>
      </c>
      <c r="G4960">
        <v>1</v>
      </c>
      <c r="H4960" t="s">
        <v>16260</v>
      </c>
      <c r="J4960" t="s">
        <v>16172</v>
      </c>
      <c r="K4960" t="s">
        <v>136</v>
      </c>
      <c r="L4960" t="s">
        <v>113</v>
      </c>
      <c r="M4960" t="s">
        <v>335</v>
      </c>
      <c r="N4960" t="s">
        <v>16489</v>
      </c>
      <c r="O4960" t="s">
        <v>16490</v>
      </c>
      <c r="P4960" s="2" t="s">
        <v>37</v>
      </c>
      <c r="Q4960" t="s">
        <v>1208</v>
      </c>
      <c r="R4960">
        <v>0</v>
      </c>
      <c r="S4960">
        <v>18.82</v>
      </c>
      <c r="T4960" t="s">
        <v>16491</v>
      </c>
    </row>
    <row r="4961" spans="1:20" x14ac:dyDescent="0.25">
      <c r="A4961" s="1" t="str">
        <f>HYPERLINK("https://vegkart.atlas.vegvesen.no/#/@279532.9,6885028.6,18/hva:hva%5B0%5D%5Bfilter%5D%5B0%5D%5Boperator%5D=%21%3D&amp;hva%5B0%5D%5Bfilter%5D%5B0%5D%5Btype_id%5D=4820&amp;hva%5B0%5D%5Bfilter%5D%5B0%5D%5Bverdi%5D=&amp;hva%5B0%5D%5Bid%5D=144/når:2024-03-14", "Vegkart")</f>
        <v>Vegkart</v>
      </c>
      <c r="B4961">
        <v>1018999291</v>
      </c>
      <c r="C4961">
        <v>144</v>
      </c>
      <c r="D4961" t="s">
        <v>13345</v>
      </c>
      <c r="E4961">
        <v>4820</v>
      </c>
      <c r="F4961" t="s">
        <v>23479</v>
      </c>
      <c r="G4961">
        <v>1</v>
      </c>
      <c r="H4961" t="s">
        <v>16260</v>
      </c>
      <c r="J4961" t="s">
        <v>16172</v>
      </c>
      <c r="K4961" t="s">
        <v>136</v>
      </c>
      <c r="L4961" t="s">
        <v>113</v>
      </c>
      <c r="M4961" t="s">
        <v>335</v>
      </c>
      <c r="N4961" t="s">
        <v>16492</v>
      </c>
      <c r="O4961" t="s">
        <v>16493</v>
      </c>
      <c r="P4961" s="2" t="s">
        <v>37</v>
      </c>
      <c r="Q4961" t="s">
        <v>1208</v>
      </c>
      <c r="R4961">
        <v>0</v>
      </c>
      <c r="S4961">
        <v>11.01</v>
      </c>
      <c r="T4961" t="s">
        <v>16494</v>
      </c>
    </row>
    <row r="4962" spans="1:20" x14ac:dyDescent="0.25">
      <c r="A4962" s="1" t="str">
        <f>HYPERLINK("https://vegkart.atlas.vegvesen.no/#/@276263.4,6888640.6,18/hva:hva%5B0%5D%5Bfilter%5D%5B0%5D%5Boperator%5D=%21%3D&amp;hva%5B0%5D%5Bfilter%5D%5B0%5D%5Btype_id%5D=4820&amp;hva%5B0%5D%5Bfilter%5D%5B0%5D%5Bverdi%5D=&amp;hva%5B0%5D%5Bid%5D=144/når:2024-03-14", "Vegkart")</f>
        <v>Vegkart</v>
      </c>
      <c r="B4962">
        <v>1018999292</v>
      </c>
      <c r="C4962">
        <v>144</v>
      </c>
      <c r="D4962" t="s">
        <v>13345</v>
      </c>
      <c r="E4962">
        <v>4820</v>
      </c>
      <c r="F4962" t="s">
        <v>23479</v>
      </c>
      <c r="G4962">
        <v>1</v>
      </c>
      <c r="H4962" t="s">
        <v>16260</v>
      </c>
      <c r="J4962" t="s">
        <v>16172</v>
      </c>
      <c r="K4962" t="s">
        <v>136</v>
      </c>
      <c r="L4962" t="s">
        <v>113</v>
      </c>
      <c r="M4962" t="s">
        <v>335</v>
      </c>
      <c r="N4962" t="s">
        <v>16495</v>
      </c>
      <c r="O4962" t="s">
        <v>16496</v>
      </c>
      <c r="P4962" s="2" t="s">
        <v>37</v>
      </c>
      <c r="Q4962" t="s">
        <v>1208</v>
      </c>
      <c r="R4962">
        <v>0</v>
      </c>
      <c r="S4962">
        <v>16.64</v>
      </c>
      <c r="T4962" t="s">
        <v>16497</v>
      </c>
    </row>
    <row r="4963" spans="1:20" x14ac:dyDescent="0.25">
      <c r="A4963" s="1" t="str">
        <f>HYPERLINK("https://vegkart.atlas.vegvesen.no/#/@276533.6,6887990.9,18/hva:hva%5B0%5D%5Bfilter%5D%5B0%5D%5Boperator%5D=%21%3D&amp;hva%5B0%5D%5Bfilter%5D%5B0%5D%5Btype_id%5D=4820&amp;hva%5B0%5D%5Bfilter%5D%5B0%5D%5Bverdi%5D=&amp;hva%5B0%5D%5Bid%5D=144/når:2024-03-14", "Vegkart")</f>
        <v>Vegkart</v>
      </c>
      <c r="B4963">
        <v>1018999293</v>
      </c>
      <c r="C4963">
        <v>144</v>
      </c>
      <c r="D4963" t="s">
        <v>13345</v>
      </c>
      <c r="E4963">
        <v>4820</v>
      </c>
      <c r="F4963" t="s">
        <v>23479</v>
      </c>
      <c r="G4963">
        <v>1</v>
      </c>
      <c r="H4963" t="s">
        <v>16260</v>
      </c>
      <c r="J4963" t="s">
        <v>16172</v>
      </c>
      <c r="K4963" t="s">
        <v>136</v>
      </c>
      <c r="L4963" t="s">
        <v>113</v>
      </c>
      <c r="M4963" t="s">
        <v>335</v>
      </c>
      <c r="N4963" t="s">
        <v>16498</v>
      </c>
      <c r="O4963" t="s">
        <v>16499</v>
      </c>
      <c r="P4963" s="2" t="s">
        <v>37</v>
      </c>
      <c r="Q4963" t="s">
        <v>1208</v>
      </c>
      <c r="R4963">
        <v>0</v>
      </c>
      <c r="S4963">
        <v>33.71</v>
      </c>
      <c r="T4963" t="s">
        <v>16500</v>
      </c>
    </row>
    <row r="4964" spans="1:20" x14ac:dyDescent="0.25">
      <c r="A4964" s="1" t="str">
        <f>HYPERLINK("https://vegkart.atlas.vegvesen.no/#/@276696.4,6887499.1,18/hva:hva%5B0%5D%5Bfilter%5D%5B0%5D%5Boperator%5D=%21%3D&amp;hva%5B0%5D%5Bfilter%5D%5B0%5D%5Btype_id%5D=4820&amp;hva%5B0%5D%5Bfilter%5D%5B0%5D%5Bverdi%5D=&amp;hva%5B0%5D%5Bid%5D=144/når:2024-03-14", "Vegkart")</f>
        <v>Vegkart</v>
      </c>
      <c r="B4964">
        <v>1018999294</v>
      </c>
      <c r="C4964">
        <v>144</v>
      </c>
      <c r="D4964" t="s">
        <v>13345</v>
      </c>
      <c r="E4964">
        <v>4820</v>
      </c>
      <c r="F4964" t="s">
        <v>23479</v>
      </c>
      <c r="G4964">
        <v>1</v>
      </c>
      <c r="H4964" t="s">
        <v>16260</v>
      </c>
      <c r="J4964" t="s">
        <v>16172</v>
      </c>
      <c r="K4964" t="s">
        <v>136</v>
      </c>
      <c r="L4964" t="s">
        <v>113</v>
      </c>
      <c r="M4964" t="s">
        <v>335</v>
      </c>
      <c r="N4964" t="s">
        <v>16501</v>
      </c>
      <c r="O4964" t="s">
        <v>16502</v>
      </c>
      <c r="P4964" s="2" t="s">
        <v>37</v>
      </c>
      <c r="Q4964" t="s">
        <v>1208</v>
      </c>
      <c r="R4964">
        <v>0</v>
      </c>
      <c r="S4964">
        <v>16.329999999999998</v>
      </c>
      <c r="T4964" t="s">
        <v>16503</v>
      </c>
    </row>
    <row r="4965" spans="1:20" x14ac:dyDescent="0.25">
      <c r="A4965" s="1" t="str">
        <f>HYPERLINK("https://vegkart.atlas.vegvesen.no/#/@276040.1,6889297.1,18/hva:hva%5B0%5D%5Bfilter%5D%5B0%5D%5Boperator%5D=%21%3D&amp;hva%5B0%5D%5Bfilter%5D%5B0%5D%5Btype_id%5D=4820&amp;hva%5B0%5D%5Bfilter%5D%5B0%5D%5Bverdi%5D=&amp;hva%5B0%5D%5Bid%5D=144/når:2024-03-14", "Vegkart")</f>
        <v>Vegkart</v>
      </c>
      <c r="B4965">
        <v>1018999295</v>
      </c>
      <c r="C4965">
        <v>144</v>
      </c>
      <c r="D4965" t="s">
        <v>13345</v>
      </c>
      <c r="E4965">
        <v>4820</v>
      </c>
      <c r="F4965" t="s">
        <v>23479</v>
      </c>
      <c r="G4965">
        <v>1</v>
      </c>
      <c r="H4965" t="s">
        <v>16260</v>
      </c>
      <c r="J4965" t="s">
        <v>16172</v>
      </c>
      <c r="K4965" t="s">
        <v>136</v>
      </c>
      <c r="L4965" t="s">
        <v>113</v>
      </c>
      <c r="M4965" t="s">
        <v>335</v>
      </c>
      <c r="N4965" t="s">
        <v>16504</v>
      </c>
      <c r="O4965" t="s">
        <v>16505</v>
      </c>
      <c r="P4965" s="2" t="s">
        <v>37</v>
      </c>
      <c r="Q4965" t="s">
        <v>1208</v>
      </c>
      <c r="R4965">
        <v>0</v>
      </c>
      <c r="S4965">
        <v>17.71</v>
      </c>
      <c r="T4965" t="s">
        <v>16506</v>
      </c>
    </row>
    <row r="4966" spans="1:20" x14ac:dyDescent="0.25">
      <c r="A4966" s="1" t="str">
        <f>HYPERLINK("https://vegkart.atlas.vegvesen.no/#/@277506.9,6886161.6,18/hva:hva%5B0%5D%5Bfilter%5D%5B0%5D%5Boperator%5D=%21%3D&amp;hva%5B0%5D%5Bfilter%5D%5B0%5D%5Btype_id%5D=4820&amp;hva%5B0%5D%5Bfilter%5D%5B0%5D%5Bverdi%5D=&amp;hva%5B0%5D%5Bid%5D=144/når:2024-03-14", "Vegkart")</f>
        <v>Vegkart</v>
      </c>
      <c r="B4966">
        <v>1018999296</v>
      </c>
      <c r="C4966">
        <v>144</v>
      </c>
      <c r="D4966" t="s">
        <v>13345</v>
      </c>
      <c r="E4966">
        <v>4820</v>
      </c>
      <c r="F4966" t="s">
        <v>23479</v>
      </c>
      <c r="G4966">
        <v>1</v>
      </c>
      <c r="H4966" t="s">
        <v>16260</v>
      </c>
      <c r="J4966" t="s">
        <v>16172</v>
      </c>
      <c r="K4966" t="s">
        <v>136</v>
      </c>
      <c r="L4966" t="s">
        <v>113</v>
      </c>
      <c r="M4966" t="s">
        <v>335</v>
      </c>
      <c r="N4966" t="s">
        <v>16507</v>
      </c>
      <c r="O4966" t="s">
        <v>16508</v>
      </c>
      <c r="P4966" s="2" t="s">
        <v>37</v>
      </c>
      <c r="Q4966" t="s">
        <v>1208</v>
      </c>
      <c r="R4966">
        <v>0</v>
      </c>
      <c r="S4966">
        <v>26.89</v>
      </c>
      <c r="T4966" t="s">
        <v>16509</v>
      </c>
    </row>
    <row r="4967" spans="1:20" x14ac:dyDescent="0.25">
      <c r="A4967" s="1" t="str">
        <f>HYPERLINK("https://vegkart.atlas.vegvesen.no/#/@283346.3,6881170.9,18/hva:hva%5B0%5D%5Bfilter%5D%5B0%5D%5Boperator%5D=%21%3D&amp;hva%5B0%5D%5Bfilter%5D%5B0%5D%5Btype_id%5D=4820&amp;hva%5B0%5D%5Bfilter%5D%5B0%5D%5Bverdi%5D=&amp;hva%5B0%5D%5Bid%5D=144/når:2024-03-14", "Vegkart")</f>
        <v>Vegkart</v>
      </c>
      <c r="B4967">
        <v>1018999297</v>
      </c>
      <c r="C4967">
        <v>144</v>
      </c>
      <c r="D4967" t="s">
        <v>13345</v>
      </c>
      <c r="E4967">
        <v>4820</v>
      </c>
      <c r="F4967" t="s">
        <v>23479</v>
      </c>
      <c r="G4967">
        <v>1</v>
      </c>
      <c r="H4967" t="s">
        <v>16260</v>
      </c>
      <c r="J4967" t="s">
        <v>16172</v>
      </c>
      <c r="K4967" t="s">
        <v>136</v>
      </c>
      <c r="L4967" t="s">
        <v>113</v>
      </c>
      <c r="M4967" t="s">
        <v>335</v>
      </c>
      <c r="N4967" t="s">
        <v>16510</v>
      </c>
      <c r="O4967" t="s">
        <v>16511</v>
      </c>
      <c r="P4967" s="2" t="s">
        <v>37</v>
      </c>
      <c r="Q4967" t="s">
        <v>1208</v>
      </c>
      <c r="R4967">
        <v>0</v>
      </c>
      <c r="S4967">
        <v>100.13</v>
      </c>
      <c r="T4967" t="s">
        <v>16512</v>
      </c>
    </row>
    <row r="4968" spans="1:20" x14ac:dyDescent="0.25">
      <c r="A4968" s="1" t="str">
        <f>HYPERLINK("https://vegkart.atlas.vegvesen.no/#/@283006.0,6881638.5,18/hva:hva%5B0%5D%5Bfilter%5D%5B0%5D%5Boperator%5D=%21%3D&amp;hva%5B0%5D%5Bfilter%5D%5B0%5D%5Btype_id%5D=4820&amp;hva%5B0%5D%5Bfilter%5D%5B0%5D%5Bverdi%5D=&amp;hva%5B0%5D%5Bid%5D=144/når:2024-03-14", "Vegkart")</f>
        <v>Vegkart</v>
      </c>
      <c r="B4968">
        <v>1018999298</v>
      </c>
      <c r="C4968">
        <v>144</v>
      </c>
      <c r="D4968" t="s">
        <v>13345</v>
      </c>
      <c r="E4968">
        <v>4820</v>
      </c>
      <c r="F4968" t="s">
        <v>23479</v>
      </c>
      <c r="G4968">
        <v>1</v>
      </c>
      <c r="H4968" t="s">
        <v>16260</v>
      </c>
      <c r="J4968" t="s">
        <v>16172</v>
      </c>
      <c r="K4968" t="s">
        <v>136</v>
      </c>
      <c r="L4968" t="s">
        <v>113</v>
      </c>
      <c r="M4968" t="s">
        <v>335</v>
      </c>
      <c r="N4968" t="s">
        <v>16513</v>
      </c>
      <c r="O4968" t="s">
        <v>16514</v>
      </c>
      <c r="P4968" s="2" t="s">
        <v>37</v>
      </c>
      <c r="Q4968" t="s">
        <v>1208</v>
      </c>
      <c r="R4968">
        <v>0</v>
      </c>
      <c r="S4968">
        <v>9.94</v>
      </c>
      <c r="T4968" t="s">
        <v>16515</v>
      </c>
    </row>
    <row r="4969" spans="1:20" x14ac:dyDescent="0.25">
      <c r="A4969" s="1" t="str">
        <f>HYPERLINK("https://vegkart.atlas.vegvesen.no/#/@282833.4,6881854.4,18/hva:hva%5B0%5D%5Bfilter%5D%5B0%5D%5Boperator%5D=%21%3D&amp;hva%5B0%5D%5Bfilter%5D%5B0%5D%5Btype_id%5D=4820&amp;hva%5B0%5D%5Bfilter%5D%5B0%5D%5Bverdi%5D=&amp;hva%5B0%5D%5Bid%5D=144/når:2024-03-14", "Vegkart")</f>
        <v>Vegkart</v>
      </c>
      <c r="B4969">
        <v>1018999299</v>
      </c>
      <c r="C4969">
        <v>144</v>
      </c>
      <c r="D4969" t="s">
        <v>13345</v>
      </c>
      <c r="E4969">
        <v>4820</v>
      </c>
      <c r="F4969" t="s">
        <v>23479</v>
      </c>
      <c r="G4969">
        <v>1</v>
      </c>
      <c r="H4969" t="s">
        <v>16260</v>
      </c>
      <c r="J4969" t="s">
        <v>16172</v>
      </c>
      <c r="K4969" t="s">
        <v>136</v>
      </c>
      <c r="L4969" t="s">
        <v>113</v>
      </c>
      <c r="M4969" t="s">
        <v>335</v>
      </c>
      <c r="N4969" t="s">
        <v>16516</v>
      </c>
      <c r="O4969" t="s">
        <v>16517</v>
      </c>
      <c r="P4969" s="2" t="s">
        <v>37</v>
      </c>
      <c r="Q4969" t="s">
        <v>1208</v>
      </c>
      <c r="R4969">
        <v>0</v>
      </c>
      <c r="S4969">
        <v>10.9</v>
      </c>
      <c r="T4969" t="s">
        <v>16518</v>
      </c>
    </row>
    <row r="4970" spans="1:20" x14ac:dyDescent="0.25">
      <c r="A4970" s="1" t="str">
        <f>HYPERLINK("https://vegkart.atlas.vegvesen.no/#/@282497.4,6882608.5,18/hva:hva%5B0%5D%5Bfilter%5D%5B0%5D%5Boperator%5D=%21%3D&amp;hva%5B0%5D%5Bfilter%5D%5B0%5D%5Btype_id%5D=4820&amp;hva%5B0%5D%5Bfilter%5D%5B0%5D%5Bverdi%5D=&amp;hva%5B0%5D%5Bid%5D=144/når:2024-03-14", "Vegkart")</f>
        <v>Vegkart</v>
      </c>
      <c r="B4970">
        <v>1018999300</v>
      </c>
      <c r="C4970">
        <v>144</v>
      </c>
      <c r="D4970" t="s">
        <v>13345</v>
      </c>
      <c r="E4970">
        <v>4820</v>
      </c>
      <c r="F4970" t="s">
        <v>23479</v>
      </c>
      <c r="G4970">
        <v>1</v>
      </c>
      <c r="H4970" t="s">
        <v>16260</v>
      </c>
      <c r="J4970" t="s">
        <v>16172</v>
      </c>
      <c r="K4970" t="s">
        <v>136</v>
      </c>
      <c r="L4970" t="s">
        <v>113</v>
      </c>
      <c r="M4970" t="s">
        <v>335</v>
      </c>
      <c r="N4970" t="s">
        <v>16519</v>
      </c>
      <c r="O4970" t="s">
        <v>16520</v>
      </c>
      <c r="P4970" s="2" t="s">
        <v>37</v>
      </c>
      <c r="Q4970" t="s">
        <v>1208</v>
      </c>
      <c r="R4970">
        <v>0</v>
      </c>
      <c r="S4970">
        <v>19.37</v>
      </c>
      <c r="T4970" t="s">
        <v>16521</v>
      </c>
    </row>
    <row r="4971" spans="1:20" x14ac:dyDescent="0.25">
      <c r="A4971" s="1" t="str">
        <f>HYPERLINK("https://vegkart.atlas.vegvesen.no/#/@278369.8,6885553.3,18/hva:hva%5B0%5D%5Bfilter%5D%5B0%5D%5Boperator%5D=%21%3D&amp;hva%5B0%5D%5Bfilter%5D%5B0%5D%5Btype_id%5D=4820&amp;hva%5B0%5D%5Bfilter%5D%5B0%5D%5Bverdi%5D=&amp;hva%5B0%5D%5Bid%5D=144/når:2024-03-14", "Vegkart")</f>
        <v>Vegkart</v>
      </c>
      <c r="B4971">
        <v>1018999301</v>
      </c>
      <c r="C4971">
        <v>144</v>
      </c>
      <c r="D4971" t="s">
        <v>13345</v>
      </c>
      <c r="E4971">
        <v>4820</v>
      </c>
      <c r="F4971" t="s">
        <v>23479</v>
      </c>
      <c r="G4971">
        <v>1</v>
      </c>
      <c r="H4971" t="s">
        <v>16260</v>
      </c>
      <c r="J4971" t="s">
        <v>16172</v>
      </c>
      <c r="K4971" t="s">
        <v>136</v>
      </c>
      <c r="L4971" t="s">
        <v>113</v>
      </c>
      <c r="M4971" t="s">
        <v>335</v>
      </c>
      <c r="N4971" t="s">
        <v>16522</v>
      </c>
      <c r="O4971" t="s">
        <v>16523</v>
      </c>
      <c r="P4971" s="2" t="s">
        <v>37</v>
      </c>
      <c r="Q4971" t="s">
        <v>1208</v>
      </c>
      <c r="R4971">
        <v>0</v>
      </c>
      <c r="S4971">
        <v>18.64</v>
      </c>
      <c r="T4971" t="s">
        <v>16524</v>
      </c>
    </row>
    <row r="4972" spans="1:20" x14ac:dyDescent="0.25">
      <c r="A4972" s="1" t="str">
        <f>HYPERLINK("https://vegkart.atlas.vegvesen.no/#/@276749.9,6887094.6,18/hva:hva%5B0%5D%5Bfilter%5D%5B0%5D%5Boperator%5D=%21%3D&amp;hva%5B0%5D%5Bfilter%5D%5B0%5D%5Btype_id%5D=4820&amp;hva%5B0%5D%5Bfilter%5D%5B0%5D%5Bverdi%5D=&amp;hva%5B0%5D%5Bid%5D=144/når:2024-03-14", "Vegkart")</f>
        <v>Vegkart</v>
      </c>
      <c r="B4972">
        <v>1018999302</v>
      </c>
      <c r="C4972">
        <v>144</v>
      </c>
      <c r="D4972" t="s">
        <v>13345</v>
      </c>
      <c r="E4972">
        <v>4820</v>
      </c>
      <c r="F4972" t="s">
        <v>23479</v>
      </c>
      <c r="G4972">
        <v>1</v>
      </c>
      <c r="H4972" t="s">
        <v>16260</v>
      </c>
      <c r="J4972" t="s">
        <v>16172</v>
      </c>
      <c r="K4972" t="s">
        <v>136</v>
      </c>
      <c r="L4972" t="s">
        <v>113</v>
      </c>
      <c r="M4972" t="s">
        <v>335</v>
      </c>
      <c r="N4972" t="s">
        <v>16525</v>
      </c>
      <c r="O4972" t="s">
        <v>16526</v>
      </c>
      <c r="P4972" s="2" t="s">
        <v>37</v>
      </c>
      <c r="Q4972" t="s">
        <v>1208</v>
      </c>
      <c r="R4972">
        <v>0</v>
      </c>
      <c r="S4972">
        <v>18.989999999999998</v>
      </c>
      <c r="T4972" t="s">
        <v>16527</v>
      </c>
    </row>
    <row r="4973" spans="1:20" x14ac:dyDescent="0.25">
      <c r="A4973" s="1" t="str">
        <f>HYPERLINK("https://vegkart.atlas.vegvesen.no/#/@276735.5,6887226.5,18/hva:hva%5B0%5D%5Bfilter%5D%5B0%5D%5Boperator%5D=%21%3D&amp;hva%5B0%5D%5Bfilter%5D%5B0%5D%5Btype_id%5D=4820&amp;hva%5B0%5D%5Bfilter%5D%5B0%5D%5Bverdi%5D=&amp;hva%5B0%5D%5Bid%5D=144/når:2024-03-14", "Vegkart")</f>
        <v>Vegkart</v>
      </c>
      <c r="B4973">
        <v>1018999303</v>
      </c>
      <c r="C4973">
        <v>144</v>
      </c>
      <c r="D4973" t="s">
        <v>13345</v>
      </c>
      <c r="E4973">
        <v>4820</v>
      </c>
      <c r="F4973" t="s">
        <v>23479</v>
      </c>
      <c r="G4973">
        <v>1</v>
      </c>
      <c r="H4973" t="s">
        <v>16260</v>
      </c>
      <c r="J4973" t="s">
        <v>16172</v>
      </c>
      <c r="K4973" t="s">
        <v>136</v>
      </c>
      <c r="L4973" t="s">
        <v>113</v>
      </c>
      <c r="M4973" t="s">
        <v>335</v>
      </c>
      <c r="N4973" t="s">
        <v>16528</v>
      </c>
      <c r="O4973" t="s">
        <v>16529</v>
      </c>
      <c r="P4973" s="2" t="s">
        <v>37</v>
      </c>
      <c r="Q4973" t="s">
        <v>1208</v>
      </c>
      <c r="R4973">
        <v>0</v>
      </c>
      <c r="S4973">
        <v>21.88</v>
      </c>
      <c r="T4973" t="s">
        <v>16530</v>
      </c>
    </row>
    <row r="4974" spans="1:20" x14ac:dyDescent="0.25">
      <c r="A4974" s="1" t="str">
        <f>HYPERLINK("https://vegkart.atlas.vegvesen.no/#/@282418.1,6882750.7,18/hva:hva%5B0%5D%5Bfilter%5D%5B0%5D%5Boperator%5D=%21%3D&amp;hva%5B0%5D%5Bfilter%5D%5B0%5D%5Btype_id%5D=4820&amp;hva%5B0%5D%5Bfilter%5D%5B0%5D%5Bverdi%5D=&amp;hva%5B0%5D%5Bid%5D=144/når:2024-03-14", "Vegkart")</f>
        <v>Vegkart</v>
      </c>
      <c r="B4974">
        <v>1018999304</v>
      </c>
      <c r="C4974">
        <v>144</v>
      </c>
      <c r="D4974" t="s">
        <v>13345</v>
      </c>
      <c r="E4974">
        <v>4820</v>
      </c>
      <c r="F4974" t="s">
        <v>23479</v>
      </c>
      <c r="G4974">
        <v>1</v>
      </c>
      <c r="H4974" t="s">
        <v>16260</v>
      </c>
      <c r="J4974" t="s">
        <v>16172</v>
      </c>
      <c r="K4974" t="s">
        <v>136</v>
      </c>
      <c r="L4974" t="s">
        <v>113</v>
      </c>
      <c r="M4974" t="s">
        <v>335</v>
      </c>
      <c r="N4974" t="s">
        <v>16531</v>
      </c>
      <c r="O4974" t="s">
        <v>16532</v>
      </c>
      <c r="P4974" s="2" t="s">
        <v>37</v>
      </c>
      <c r="Q4974" t="s">
        <v>1208</v>
      </c>
      <c r="R4974">
        <v>0</v>
      </c>
      <c r="S4974">
        <v>11.05</v>
      </c>
      <c r="T4974" t="s">
        <v>16533</v>
      </c>
    </row>
    <row r="4975" spans="1:20" x14ac:dyDescent="0.25">
      <c r="A4975" s="1" t="str">
        <f>HYPERLINK("https://vegkart.atlas.vegvesen.no/#/@281812.5,6883352.4,18/hva:hva%5B0%5D%5Bfilter%5D%5B0%5D%5Boperator%5D=%21%3D&amp;hva%5B0%5D%5Bfilter%5D%5B0%5D%5Btype_id%5D=4820&amp;hva%5B0%5D%5Bfilter%5D%5B0%5D%5Bverdi%5D=&amp;hva%5B0%5D%5Bid%5D=144/når:2024-03-14", "Vegkart")</f>
        <v>Vegkart</v>
      </c>
      <c r="B4975">
        <v>1018999305</v>
      </c>
      <c r="C4975">
        <v>144</v>
      </c>
      <c r="D4975" t="s">
        <v>13345</v>
      </c>
      <c r="E4975">
        <v>4820</v>
      </c>
      <c r="F4975" t="s">
        <v>23479</v>
      </c>
      <c r="G4975">
        <v>1</v>
      </c>
      <c r="H4975" t="s">
        <v>16260</v>
      </c>
      <c r="J4975" t="s">
        <v>16172</v>
      </c>
      <c r="K4975" t="s">
        <v>136</v>
      </c>
      <c r="L4975" t="s">
        <v>113</v>
      </c>
      <c r="M4975" t="s">
        <v>335</v>
      </c>
      <c r="N4975" t="s">
        <v>16534</v>
      </c>
      <c r="O4975" t="s">
        <v>16535</v>
      </c>
      <c r="P4975" s="2" t="s">
        <v>37</v>
      </c>
      <c r="Q4975" t="s">
        <v>1208</v>
      </c>
      <c r="R4975">
        <v>0</v>
      </c>
      <c r="S4975">
        <v>16.57</v>
      </c>
      <c r="T4975" t="s">
        <v>16536</v>
      </c>
    </row>
    <row r="4976" spans="1:20" x14ac:dyDescent="0.25">
      <c r="A4976" s="1" t="str">
        <f>HYPERLINK("https://vegkart.atlas.vegvesen.no/#/@276433.2,6888236.4,18/hva:hva%5B0%5D%5Bfilter%5D%5B0%5D%5Boperator%5D=%21%3D&amp;hva%5B0%5D%5Bfilter%5D%5B0%5D%5Btype_id%5D=4820&amp;hva%5B0%5D%5Bfilter%5D%5B0%5D%5Bverdi%5D=&amp;hva%5B0%5D%5Bid%5D=144/når:2024-03-14", "Vegkart")</f>
        <v>Vegkart</v>
      </c>
      <c r="B4976">
        <v>1018999306</v>
      </c>
      <c r="C4976">
        <v>144</v>
      </c>
      <c r="D4976" t="s">
        <v>13345</v>
      </c>
      <c r="E4976">
        <v>4820</v>
      </c>
      <c r="F4976" t="s">
        <v>23479</v>
      </c>
      <c r="G4976">
        <v>1</v>
      </c>
      <c r="H4976" t="s">
        <v>16260</v>
      </c>
      <c r="J4976" t="s">
        <v>16172</v>
      </c>
      <c r="K4976" t="s">
        <v>136</v>
      </c>
      <c r="L4976" t="s">
        <v>113</v>
      </c>
      <c r="M4976" t="s">
        <v>335</v>
      </c>
      <c r="N4976" t="s">
        <v>16537</v>
      </c>
      <c r="O4976" t="s">
        <v>16538</v>
      </c>
      <c r="P4976" s="2" t="s">
        <v>37</v>
      </c>
      <c r="Q4976" t="s">
        <v>1208</v>
      </c>
      <c r="R4976">
        <v>0</v>
      </c>
      <c r="S4976">
        <v>20.6</v>
      </c>
      <c r="T4976" t="s">
        <v>16539</v>
      </c>
    </row>
    <row r="4977" spans="1:20" x14ac:dyDescent="0.25">
      <c r="A4977" s="1" t="str">
        <f>HYPERLINK("https://vegkart.atlas.vegvesen.no/#/@275157.2,6890946.2,18/hva:hva%5B0%5D%5Bfilter%5D%5B0%5D%5Boperator%5D=%21%3D&amp;hva%5B0%5D%5Bfilter%5D%5B0%5D%5Btype_id%5D=4820&amp;hva%5B0%5D%5Bfilter%5D%5B0%5D%5Bverdi%5D=&amp;hva%5B0%5D%5Bid%5D=144/når:2024-03-14", "Vegkart")</f>
        <v>Vegkart</v>
      </c>
      <c r="B4977">
        <v>1018999307</v>
      </c>
      <c r="C4977">
        <v>144</v>
      </c>
      <c r="D4977" t="s">
        <v>13345</v>
      </c>
      <c r="E4977">
        <v>4820</v>
      </c>
      <c r="F4977" t="s">
        <v>23479</v>
      </c>
      <c r="G4977">
        <v>1</v>
      </c>
      <c r="H4977" t="s">
        <v>16260</v>
      </c>
      <c r="J4977" t="s">
        <v>16172</v>
      </c>
      <c r="K4977" t="s">
        <v>136</v>
      </c>
      <c r="L4977" t="s">
        <v>113</v>
      </c>
      <c r="M4977" t="s">
        <v>335</v>
      </c>
      <c r="N4977" t="s">
        <v>16540</v>
      </c>
      <c r="O4977" t="s">
        <v>16541</v>
      </c>
      <c r="P4977" s="2" t="s">
        <v>37</v>
      </c>
      <c r="Q4977" t="s">
        <v>1208</v>
      </c>
      <c r="R4977">
        <v>0</v>
      </c>
      <c r="S4977">
        <v>10.09</v>
      </c>
      <c r="T4977" t="s">
        <v>16542</v>
      </c>
    </row>
    <row r="4978" spans="1:20" x14ac:dyDescent="0.25">
      <c r="A4978" s="1" t="str">
        <f>HYPERLINK("https://vegkart.atlas.vegvesen.no/#/@282449.4,6882745.6,18/hva:hva%5B0%5D%5Bfilter%5D%5B0%5D%5Boperator%5D=%21%3D&amp;hva%5B0%5D%5Bfilter%5D%5B0%5D%5Btype_id%5D=4820&amp;hva%5B0%5D%5Bfilter%5D%5B0%5D%5Bverdi%5D=&amp;hva%5B0%5D%5Bid%5D=144/når:2024-03-14", "Vegkart")</f>
        <v>Vegkart</v>
      </c>
      <c r="B4978">
        <v>1018999308</v>
      </c>
      <c r="C4978">
        <v>144</v>
      </c>
      <c r="D4978" t="s">
        <v>13345</v>
      </c>
      <c r="E4978">
        <v>4820</v>
      </c>
      <c r="F4978" t="s">
        <v>23479</v>
      </c>
      <c r="G4978">
        <v>1</v>
      </c>
      <c r="H4978" t="s">
        <v>16260</v>
      </c>
      <c r="J4978" t="s">
        <v>16172</v>
      </c>
      <c r="K4978" t="s">
        <v>136</v>
      </c>
      <c r="L4978" t="s">
        <v>113</v>
      </c>
      <c r="M4978" t="s">
        <v>335</v>
      </c>
      <c r="N4978" t="s">
        <v>16543</v>
      </c>
      <c r="O4978" t="s">
        <v>16544</v>
      </c>
      <c r="P4978" s="2" t="s">
        <v>37</v>
      </c>
      <c r="Q4978" t="s">
        <v>1208</v>
      </c>
      <c r="R4978">
        <v>0</v>
      </c>
      <c r="S4978">
        <v>14.14</v>
      </c>
      <c r="T4978" t="s">
        <v>16545</v>
      </c>
    </row>
    <row r="4979" spans="1:20" x14ac:dyDescent="0.25">
      <c r="A4979" s="1" t="str">
        <f>HYPERLINK("https://vegkart.atlas.vegvesen.no/#/@282052.3,6883176.0,18/hva:hva%5B0%5D%5Bfilter%5D%5B0%5D%5Boperator%5D=%21%3D&amp;hva%5B0%5D%5Bfilter%5D%5B0%5D%5Btype_id%5D=4820&amp;hva%5B0%5D%5Bfilter%5D%5B0%5D%5Bverdi%5D=&amp;hva%5B0%5D%5Bid%5D=144/når:2024-03-14", "Vegkart")</f>
        <v>Vegkart</v>
      </c>
      <c r="B4979">
        <v>1018999309</v>
      </c>
      <c r="C4979">
        <v>144</v>
      </c>
      <c r="D4979" t="s">
        <v>13345</v>
      </c>
      <c r="E4979">
        <v>4820</v>
      </c>
      <c r="F4979" t="s">
        <v>23479</v>
      </c>
      <c r="G4979">
        <v>1</v>
      </c>
      <c r="H4979" t="s">
        <v>16260</v>
      </c>
      <c r="J4979" t="s">
        <v>16172</v>
      </c>
      <c r="K4979" t="s">
        <v>136</v>
      </c>
      <c r="L4979" t="s">
        <v>113</v>
      </c>
      <c r="M4979" t="s">
        <v>335</v>
      </c>
      <c r="N4979" t="s">
        <v>16546</v>
      </c>
      <c r="O4979" t="s">
        <v>16547</v>
      </c>
      <c r="P4979" s="2" t="s">
        <v>37</v>
      </c>
      <c r="Q4979" t="s">
        <v>1208</v>
      </c>
      <c r="R4979">
        <v>0</v>
      </c>
      <c r="S4979">
        <v>17.5</v>
      </c>
      <c r="T4979" t="s">
        <v>16548</v>
      </c>
    </row>
    <row r="4980" spans="1:20" x14ac:dyDescent="0.25">
      <c r="A4980" s="1" t="str">
        <f>HYPERLINK("https://vegkart.atlas.vegvesen.no/#/@275952.5,6889653.7,18/hva:hva%5B0%5D%5Bfilter%5D%5B0%5D%5Boperator%5D=%21%3D&amp;hva%5B0%5D%5Bfilter%5D%5B0%5D%5Btype_id%5D=4820&amp;hva%5B0%5D%5Bfilter%5D%5B0%5D%5Bverdi%5D=&amp;hva%5B0%5D%5Bid%5D=144/når:2024-03-14", "Vegkart")</f>
        <v>Vegkart</v>
      </c>
      <c r="B4980">
        <v>1018999310</v>
      </c>
      <c r="C4980">
        <v>144</v>
      </c>
      <c r="D4980" t="s">
        <v>13345</v>
      </c>
      <c r="E4980">
        <v>4820</v>
      </c>
      <c r="F4980" t="s">
        <v>23479</v>
      </c>
      <c r="G4980">
        <v>1</v>
      </c>
      <c r="H4980" t="s">
        <v>16260</v>
      </c>
      <c r="J4980" t="s">
        <v>16172</v>
      </c>
      <c r="K4980" t="s">
        <v>136</v>
      </c>
      <c r="L4980" t="s">
        <v>113</v>
      </c>
      <c r="M4980" t="s">
        <v>335</v>
      </c>
      <c r="N4980" t="s">
        <v>16549</v>
      </c>
      <c r="O4980" t="s">
        <v>16550</v>
      </c>
      <c r="P4980" s="2" t="s">
        <v>37</v>
      </c>
      <c r="Q4980" t="s">
        <v>1208</v>
      </c>
      <c r="R4980">
        <v>0</v>
      </c>
      <c r="S4980">
        <v>5.86</v>
      </c>
      <c r="T4980" t="s">
        <v>16551</v>
      </c>
    </row>
    <row r="4981" spans="1:20" x14ac:dyDescent="0.25">
      <c r="A4981" s="1" t="str">
        <f>HYPERLINK("https://vegkart.atlas.vegvesen.no/#/@276164.5,6888944.9,18/hva:hva%5B0%5D%5Bfilter%5D%5B0%5D%5Boperator%5D=%21%3D&amp;hva%5B0%5D%5Bfilter%5D%5B0%5D%5Btype_id%5D=4820&amp;hva%5B0%5D%5Bfilter%5D%5B0%5D%5Bverdi%5D=&amp;hva%5B0%5D%5Bid%5D=144/når:2024-03-14", "Vegkart")</f>
        <v>Vegkart</v>
      </c>
      <c r="B4981">
        <v>1018999311</v>
      </c>
      <c r="C4981">
        <v>144</v>
      </c>
      <c r="D4981" t="s">
        <v>13345</v>
      </c>
      <c r="E4981">
        <v>4820</v>
      </c>
      <c r="F4981" t="s">
        <v>23479</v>
      </c>
      <c r="G4981">
        <v>1</v>
      </c>
      <c r="H4981" t="s">
        <v>16260</v>
      </c>
      <c r="J4981" t="s">
        <v>16172</v>
      </c>
      <c r="K4981" t="s">
        <v>136</v>
      </c>
      <c r="L4981" t="s">
        <v>113</v>
      </c>
      <c r="M4981" t="s">
        <v>335</v>
      </c>
      <c r="N4981" t="s">
        <v>16552</v>
      </c>
      <c r="O4981" t="s">
        <v>16553</v>
      </c>
      <c r="P4981" s="2" t="s">
        <v>37</v>
      </c>
      <c r="Q4981" t="s">
        <v>1208</v>
      </c>
      <c r="R4981">
        <v>0</v>
      </c>
      <c r="S4981">
        <v>14.01</v>
      </c>
      <c r="T4981" t="s">
        <v>16554</v>
      </c>
    </row>
    <row r="4982" spans="1:20" x14ac:dyDescent="0.25">
      <c r="A4982" s="1" t="str">
        <f>HYPERLINK("https://vegkart.atlas.vegvesen.no/#/@282133.0,6883107.4,18/hva:hva%5B0%5D%5Bfilter%5D%5B0%5D%5Boperator%5D=%21%3D&amp;hva%5B0%5D%5Bfilter%5D%5B0%5D%5Btype_id%5D=4820&amp;hva%5B0%5D%5Bfilter%5D%5B0%5D%5Bverdi%5D=&amp;hva%5B0%5D%5Bid%5D=144/når:2024-03-14", "Vegkart")</f>
        <v>Vegkart</v>
      </c>
      <c r="B4982">
        <v>1018999312</v>
      </c>
      <c r="C4982">
        <v>144</v>
      </c>
      <c r="D4982" t="s">
        <v>13345</v>
      </c>
      <c r="E4982">
        <v>4820</v>
      </c>
      <c r="F4982" t="s">
        <v>23479</v>
      </c>
      <c r="G4982">
        <v>1</v>
      </c>
      <c r="H4982" t="s">
        <v>16260</v>
      </c>
      <c r="J4982" t="s">
        <v>16172</v>
      </c>
      <c r="K4982" t="s">
        <v>136</v>
      </c>
      <c r="L4982" t="s">
        <v>113</v>
      </c>
      <c r="M4982" t="s">
        <v>335</v>
      </c>
      <c r="N4982" t="s">
        <v>16555</v>
      </c>
      <c r="O4982" t="s">
        <v>16556</v>
      </c>
      <c r="P4982" s="2" t="s">
        <v>37</v>
      </c>
      <c r="Q4982" t="s">
        <v>1208</v>
      </c>
      <c r="R4982">
        <v>0</v>
      </c>
      <c r="S4982">
        <v>18.940000000000001</v>
      </c>
      <c r="T4982" t="s">
        <v>16557</v>
      </c>
    </row>
    <row r="4983" spans="1:20" x14ac:dyDescent="0.25">
      <c r="A4983" s="1" t="str">
        <f>HYPERLINK("https://vegkart.atlas.vegvesen.no/#/@275859.4,6890110.5,18/hva:hva%5B0%5D%5Bfilter%5D%5B0%5D%5Boperator%5D=%21%3D&amp;hva%5B0%5D%5Bfilter%5D%5B0%5D%5Btype_id%5D=4820&amp;hva%5B0%5D%5Bfilter%5D%5B0%5D%5Bverdi%5D=&amp;hva%5B0%5D%5Bid%5D=144/når:2024-03-14", "Vegkart")</f>
        <v>Vegkart</v>
      </c>
      <c r="B4983">
        <v>1018999313</v>
      </c>
      <c r="C4983">
        <v>144</v>
      </c>
      <c r="D4983" t="s">
        <v>13345</v>
      </c>
      <c r="E4983">
        <v>4820</v>
      </c>
      <c r="F4983" t="s">
        <v>23479</v>
      </c>
      <c r="G4983">
        <v>1</v>
      </c>
      <c r="H4983" t="s">
        <v>16260</v>
      </c>
      <c r="J4983" t="s">
        <v>16172</v>
      </c>
      <c r="K4983" t="s">
        <v>136</v>
      </c>
      <c r="L4983" t="s">
        <v>113</v>
      </c>
      <c r="M4983" t="s">
        <v>335</v>
      </c>
      <c r="N4983" t="s">
        <v>16402</v>
      </c>
      <c r="O4983" t="s">
        <v>16558</v>
      </c>
      <c r="P4983" s="2" t="s">
        <v>37</v>
      </c>
      <c r="Q4983" t="s">
        <v>1208</v>
      </c>
      <c r="R4983">
        <v>0</v>
      </c>
      <c r="S4983">
        <v>12.18</v>
      </c>
      <c r="T4983" t="s">
        <v>16559</v>
      </c>
    </row>
    <row r="4984" spans="1:20" x14ac:dyDescent="0.25">
      <c r="A4984" s="1" t="str">
        <f>HYPERLINK("https://vegkart.atlas.vegvesen.no/#/@276676.3,6887601.7,18/hva:hva%5B0%5D%5Bfilter%5D%5B0%5D%5Boperator%5D=%21%3D&amp;hva%5B0%5D%5Bfilter%5D%5B0%5D%5Btype_id%5D=4820&amp;hva%5B0%5D%5Bfilter%5D%5B0%5D%5Bverdi%5D=&amp;hva%5B0%5D%5Bid%5D=144/når:2024-03-14", "Vegkart")</f>
        <v>Vegkart</v>
      </c>
      <c r="B4984">
        <v>1018999314</v>
      </c>
      <c r="C4984">
        <v>144</v>
      </c>
      <c r="D4984" t="s">
        <v>13345</v>
      </c>
      <c r="E4984">
        <v>4820</v>
      </c>
      <c r="F4984" t="s">
        <v>23479</v>
      </c>
      <c r="G4984">
        <v>1</v>
      </c>
      <c r="H4984" t="s">
        <v>16260</v>
      </c>
      <c r="J4984" t="s">
        <v>16172</v>
      </c>
      <c r="K4984" t="s">
        <v>136</v>
      </c>
      <c r="L4984" t="s">
        <v>113</v>
      </c>
      <c r="M4984" t="s">
        <v>335</v>
      </c>
      <c r="N4984" t="s">
        <v>16560</v>
      </c>
      <c r="O4984" t="s">
        <v>16561</v>
      </c>
      <c r="P4984" s="2" t="s">
        <v>37</v>
      </c>
      <c r="Q4984" t="s">
        <v>1208</v>
      </c>
      <c r="R4984">
        <v>0</v>
      </c>
      <c r="S4984">
        <v>17.13</v>
      </c>
      <c r="T4984" t="s">
        <v>16562</v>
      </c>
    </row>
    <row r="4985" spans="1:20" x14ac:dyDescent="0.25">
      <c r="A4985" s="1" t="str">
        <f>HYPERLINK("https://vegkart.atlas.vegvesen.no/#/@282743.6,6882009.9,18/hva:hva%5B0%5D%5Bfilter%5D%5B0%5D%5Boperator%5D=%21%3D&amp;hva%5B0%5D%5Bfilter%5D%5B0%5D%5Btype_id%5D=4820&amp;hva%5B0%5D%5Bfilter%5D%5B0%5D%5Bverdi%5D=&amp;hva%5B0%5D%5Bid%5D=144/når:2024-03-14", "Vegkart")</f>
        <v>Vegkart</v>
      </c>
      <c r="B4985">
        <v>1018999315</v>
      </c>
      <c r="C4985">
        <v>144</v>
      </c>
      <c r="D4985" t="s">
        <v>13345</v>
      </c>
      <c r="E4985">
        <v>4820</v>
      </c>
      <c r="F4985" t="s">
        <v>23479</v>
      </c>
      <c r="G4985">
        <v>1</v>
      </c>
      <c r="H4985" t="s">
        <v>16260</v>
      </c>
      <c r="J4985" t="s">
        <v>16172</v>
      </c>
      <c r="K4985" t="s">
        <v>136</v>
      </c>
      <c r="L4985" t="s">
        <v>113</v>
      </c>
      <c r="M4985" t="s">
        <v>335</v>
      </c>
      <c r="N4985" t="s">
        <v>16563</v>
      </c>
      <c r="O4985" t="s">
        <v>16564</v>
      </c>
      <c r="P4985" s="2" t="s">
        <v>37</v>
      </c>
      <c r="Q4985" t="s">
        <v>1208</v>
      </c>
      <c r="R4985">
        <v>0</v>
      </c>
      <c r="S4985">
        <v>20.059999999999999</v>
      </c>
      <c r="T4985" t="s">
        <v>16565</v>
      </c>
    </row>
    <row r="4986" spans="1:20" x14ac:dyDescent="0.25">
      <c r="A4986" s="1" t="str">
        <f>HYPERLINK("https://vegkart.atlas.vegvesen.no/#/@283060.0,6881548.6,18/hva:hva%5B0%5D%5Bfilter%5D%5B0%5D%5Boperator%5D=%21%3D&amp;hva%5B0%5D%5Bfilter%5D%5B0%5D%5Btype_id%5D=4820&amp;hva%5B0%5D%5Bfilter%5D%5B0%5D%5Bverdi%5D=&amp;hva%5B0%5D%5Bid%5D=144/når:2024-03-14", "Vegkart")</f>
        <v>Vegkart</v>
      </c>
      <c r="B4986">
        <v>1018999316</v>
      </c>
      <c r="C4986">
        <v>144</v>
      </c>
      <c r="D4986" t="s">
        <v>13345</v>
      </c>
      <c r="E4986">
        <v>4820</v>
      </c>
      <c r="F4986" t="s">
        <v>23479</v>
      </c>
      <c r="G4986">
        <v>1</v>
      </c>
      <c r="H4986" t="s">
        <v>16260</v>
      </c>
      <c r="J4986" t="s">
        <v>16172</v>
      </c>
      <c r="K4986" t="s">
        <v>136</v>
      </c>
      <c r="L4986" t="s">
        <v>113</v>
      </c>
      <c r="M4986" t="s">
        <v>335</v>
      </c>
      <c r="N4986" t="s">
        <v>16566</v>
      </c>
      <c r="O4986" t="s">
        <v>16567</v>
      </c>
      <c r="P4986" s="2" t="s">
        <v>37</v>
      </c>
      <c r="Q4986" t="s">
        <v>1208</v>
      </c>
      <c r="R4986">
        <v>0</v>
      </c>
      <c r="S4986">
        <v>15.52</v>
      </c>
      <c r="T4986" t="s">
        <v>16568</v>
      </c>
    </row>
    <row r="4987" spans="1:20" x14ac:dyDescent="0.25">
      <c r="A4987" s="1" t="str">
        <f>HYPERLINK("https://vegkart.atlas.vegvesen.no/#/@282532.5,6882409.7,18/hva:hva%5B0%5D%5Bfilter%5D%5B0%5D%5Boperator%5D=%21%3D&amp;hva%5B0%5D%5Bfilter%5D%5B0%5D%5Btype_id%5D=4820&amp;hva%5B0%5D%5Bfilter%5D%5B0%5D%5Bverdi%5D=&amp;hva%5B0%5D%5Bid%5D=144/når:2024-03-14", "Vegkart")</f>
        <v>Vegkart</v>
      </c>
      <c r="B4987">
        <v>1018999317</v>
      </c>
      <c r="C4987">
        <v>144</v>
      </c>
      <c r="D4987" t="s">
        <v>13345</v>
      </c>
      <c r="E4987">
        <v>4820</v>
      </c>
      <c r="F4987" t="s">
        <v>23479</v>
      </c>
      <c r="G4987">
        <v>1</v>
      </c>
      <c r="H4987" t="s">
        <v>16260</v>
      </c>
      <c r="J4987" t="s">
        <v>16172</v>
      </c>
      <c r="K4987" t="s">
        <v>136</v>
      </c>
      <c r="L4987" t="s">
        <v>113</v>
      </c>
      <c r="M4987" t="s">
        <v>335</v>
      </c>
      <c r="N4987" t="s">
        <v>16569</v>
      </c>
      <c r="O4987" t="s">
        <v>16570</v>
      </c>
      <c r="P4987" s="2" t="s">
        <v>37</v>
      </c>
      <c r="Q4987" t="s">
        <v>1208</v>
      </c>
      <c r="R4987">
        <v>0</v>
      </c>
      <c r="S4987">
        <v>13.01</v>
      </c>
      <c r="T4987" t="s">
        <v>16571</v>
      </c>
    </row>
    <row r="4988" spans="1:20" x14ac:dyDescent="0.25">
      <c r="A4988" s="1" t="str">
        <f>HYPERLINK("https://vegkart.atlas.vegvesen.no/#/@276408.2,6888188.8,18/hva:hva%5B0%5D%5Bfilter%5D%5B0%5D%5Boperator%5D=%21%3D&amp;hva%5B0%5D%5Bfilter%5D%5B0%5D%5Btype_id%5D=4820&amp;hva%5B0%5D%5Bfilter%5D%5B0%5D%5Bverdi%5D=&amp;hva%5B0%5D%5Bid%5D=144/når:2024-03-14", "Vegkart")</f>
        <v>Vegkart</v>
      </c>
      <c r="B4988">
        <v>1018999318</v>
      </c>
      <c r="C4988">
        <v>144</v>
      </c>
      <c r="D4988" t="s">
        <v>13345</v>
      </c>
      <c r="E4988">
        <v>4820</v>
      </c>
      <c r="F4988" t="s">
        <v>23479</v>
      </c>
      <c r="G4988">
        <v>1</v>
      </c>
      <c r="H4988" t="s">
        <v>16260</v>
      </c>
      <c r="J4988" t="s">
        <v>16172</v>
      </c>
      <c r="K4988" t="s">
        <v>136</v>
      </c>
      <c r="L4988" t="s">
        <v>113</v>
      </c>
      <c r="M4988" t="s">
        <v>335</v>
      </c>
      <c r="N4988" t="s">
        <v>16572</v>
      </c>
      <c r="O4988" t="s">
        <v>16573</v>
      </c>
      <c r="P4988" s="2" t="s">
        <v>37</v>
      </c>
      <c r="Q4988" t="s">
        <v>1208</v>
      </c>
      <c r="R4988">
        <v>0</v>
      </c>
      <c r="S4988">
        <v>18.36</v>
      </c>
      <c r="T4988" t="s">
        <v>16574</v>
      </c>
    </row>
    <row r="4989" spans="1:20" x14ac:dyDescent="0.25">
      <c r="A4989" s="1" t="str">
        <f>HYPERLINK("https://vegkart.atlas.vegvesen.no/#/@277030.2,6886558.0,18/hva:hva%5B0%5D%5Bfilter%5D%5B0%5D%5Boperator%5D=%21%3D&amp;hva%5B0%5D%5Bfilter%5D%5B0%5D%5Btype_id%5D=4820&amp;hva%5B0%5D%5Bfilter%5D%5B0%5D%5Bverdi%5D=&amp;hva%5B0%5D%5Bid%5D=144/når:2024-03-14", "Vegkart")</f>
        <v>Vegkart</v>
      </c>
      <c r="B4989">
        <v>1018999319</v>
      </c>
      <c r="C4989">
        <v>144</v>
      </c>
      <c r="D4989" t="s">
        <v>13345</v>
      </c>
      <c r="E4989">
        <v>4820</v>
      </c>
      <c r="F4989" t="s">
        <v>23479</v>
      </c>
      <c r="G4989">
        <v>1</v>
      </c>
      <c r="H4989" t="s">
        <v>16260</v>
      </c>
      <c r="J4989" t="s">
        <v>16172</v>
      </c>
      <c r="K4989" t="s">
        <v>136</v>
      </c>
      <c r="L4989" t="s">
        <v>113</v>
      </c>
      <c r="M4989" t="s">
        <v>335</v>
      </c>
      <c r="N4989" t="s">
        <v>16575</v>
      </c>
      <c r="O4989" t="s">
        <v>16576</v>
      </c>
      <c r="P4989" s="2" t="s">
        <v>37</v>
      </c>
      <c r="Q4989" t="s">
        <v>1208</v>
      </c>
      <c r="R4989">
        <v>0</v>
      </c>
      <c r="S4989">
        <v>31.76</v>
      </c>
      <c r="T4989" t="s">
        <v>16577</v>
      </c>
    </row>
    <row r="4990" spans="1:20" x14ac:dyDescent="0.25">
      <c r="A4990" s="1" t="str">
        <f>HYPERLINK("https://vegkart.atlas.vegvesen.no/#/@276084.6,6889248.6,18/hva:hva%5B0%5D%5Bfilter%5D%5B0%5D%5Boperator%5D=%21%3D&amp;hva%5B0%5D%5Bfilter%5D%5B0%5D%5Btype_id%5D=4820&amp;hva%5B0%5D%5Bfilter%5D%5B0%5D%5Bverdi%5D=&amp;hva%5B0%5D%5Bid%5D=144/når:2024-03-14", "Vegkart")</f>
        <v>Vegkart</v>
      </c>
      <c r="B4990">
        <v>1018999320</v>
      </c>
      <c r="C4990">
        <v>144</v>
      </c>
      <c r="D4990" t="s">
        <v>13345</v>
      </c>
      <c r="E4990">
        <v>4820</v>
      </c>
      <c r="F4990" t="s">
        <v>23479</v>
      </c>
      <c r="G4990">
        <v>1</v>
      </c>
      <c r="H4990" t="s">
        <v>16260</v>
      </c>
      <c r="J4990" t="s">
        <v>16172</v>
      </c>
      <c r="K4990" t="s">
        <v>136</v>
      </c>
      <c r="L4990" t="s">
        <v>113</v>
      </c>
      <c r="M4990" t="s">
        <v>335</v>
      </c>
      <c r="N4990" t="s">
        <v>16578</v>
      </c>
      <c r="O4990" t="s">
        <v>16579</v>
      </c>
      <c r="P4990" s="2" t="s">
        <v>37</v>
      </c>
      <c r="Q4990" t="s">
        <v>1208</v>
      </c>
      <c r="R4990">
        <v>0</v>
      </c>
      <c r="S4990">
        <v>13.94</v>
      </c>
      <c r="T4990" t="s">
        <v>16580</v>
      </c>
    </row>
    <row r="4991" spans="1:20" x14ac:dyDescent="0.25">
      <c r="A4991" s="1" t="str">
        <f>HYPERLINK("https://vegkart.atlas.vegvesen.no/#/@284973.9,6877698.8,18/hva:hva%5B0%5D%5Bfilter%5D%5B0%5D%5Boperator%5D=%21%3D&amp;hva%5B0%5D%5Bfilter%5D%5B0%5D%5Btype_id%5D=4820&amp;hva%5B0%5D%5Bfilter%5D%5B0%5D%5Bverdi%5D=&amp;hva%5B0%5D%5Bid%5D=144/når:2024-03-25", "Vegkart")</f>
        <v>Vegkart</v>
      </c>
      <c r="B4991">
        <v>1019025822</v>
      </c>
      <c r="C4991">
        <v>144</v>
      </c>
      <c r="D4991" t="s">
        <v>13345</v>
      </c>
      <c r="E4991">
        <v>4820</v>
      </c>
      <c r="F4991" t="s">
        <v>23479</v>
      </c>
      <c r="G4991">
        <v>1</v>
      </c>
      <c r="H4991" t="s">
        <v>16581</v>
      </c>
      <c r="J4991" t="s">
        <v>16172</v>
      </c>
      <c r="K4991" t="s">
        <v>136</v>
      </c>
      <c r="L4991" t="s">
        <v>113</v>
      </c>
      <c r="M4991" t="s">
        <v>335</v>
      </c>
      <c r="N4991" t="s">
        <v>16582</v>
      </c>
      <c r="O4991" t="s">
        <v>16583</v>
      </c>
      <c r="P4991" s="2" t="s">
        <v>37</v>
      </c>
      <c r="Q4991" t="s">
        <v>1208</v>
      </c>
      <c r="R4991">
        <v>0</v>
      </c>
      <c r="S4991">
        <v>20.93</v>
      </c>
      <c r="T4991" t="s">
        <v>16584</v>
      </c>
    </row>
    <row r="4992" spans="1:20" x14ac:dyDescent="0.25">
      <c r="A4992" s="1" t="str">
        <f>HYPERLINK("https://vegkart.atlas.vegvesen.no/#/@284963.0,6879660.4,18/hva:hva%5B0%5D%5Bfilter%5D%5B0%5D%5Boperator%5D=%21%3D&amp;hva%5B0%5D%5Bfilter%5D%5B0%5D%5Btype_id%5D=4820&amp;hva%5B0%5D%5Bfilter%5D%5B0%5D%5Bverdi%5D=&amp;hva%5B0%5D%5Bid%5D=144/når:2024-03-25", "Vegkart")</f>
        <v>Vegkart</v>
      </c>
      <c r="B4992">
        <v>1019025823</v>
      </c>
      <c r="C4992">
        <v>144</v>
      </c>
      <c r="D4992" t="s">
        <v>13345</v>
      </c>
      <c r="E4992">
        <v>4820</v>
      </c>
      <c r="F4992" t="s">
        <v>23479</v>
      </c>
      <c r="G4992">
        <v>1</v>
      </c>
      <c r="H4992" t="s">
        <v>16581</v>
      </c>
      <c r="J4992" t="s">
        <v>16172</v>
      </c>
      <c r="K4992" t="s">
        <v>136</v>
      </c>
      <c r="L4992" t="s">
        <v>113</v>
      </c>
      <c r="M4992" t="s">
        <v>335</v>
      </c>
      <c r="N4992" t="s">
        <v>16585</v>
      </c>
      <c r="O4992" t="s">
        <v>16586</v>
      </c>
      <c r="P4992" s="2" t="s">
        <v>37</v>
      </c>
      <c r="Q4992" t="s">
        <v>1208</v>
      </c>
      <c r="R4992">
        <v>0</v>
      </c>
      <c r="S4992">
        <v>20.59</v>
      </c>
      <c r="T4992" t="s">
        <v>16587</v>
      </c>
    </row>
    <row r="4993" spans="1:20" x14ac:dyDescent="0.25">
      <c r="A4993" s="1" t="str">
        <f>HYPERLINK("https://vegkart.atlas.vegvesen.no/#/@284657.9,6876290.2,18/hva:hva%5B0%5D%5Bfilter%5D%5B0%5D%5Boperator%5D=%21%3D&amp;hva%5B0%5D%5Bfilter%5D%5B0%5D%5Btype_id%5D=4820&amp;hva%5B0%5D%5Bfilter%5D%5B0%5D%5Bverdi%5D=&amp;hva%5B0%5D%5Bid%5D=144/når:2024-03-25", "Vegkart")</f>
        <v>Vegkart</v>
      </c>
      <c r="B4993">
        <v>1019025824</v>
      </c>
      <c r="C4993">
        <v>144</v>
      </c>
      <c r="D4993" t="s">
        <v>13345</v>
      </c>
      <c r="E4993">
        <v>4820</v>
      </c>
      <c r="F4993" t="s">
        <v>23479</v>
      </c>
      <c r="G4993">
        <v>1</v>
      </c>
      <c r="H4993" t="s">
        <v>16581</v>
      </c>
      <c r="J4993" t="s">
        <v>16172</v>
      </c>
      <c r="K4993" t="s">
        <v>136</v>
      </c>
      <c r="L4993" t="s">
        <v>113</v>
      </c>
      <c r="M4993" t="s">
        <v>335</v>
      </c>
      <c r="N4993" t="s">
        <v>16588</v>
      </c>
      <c r="O4993" t="s">
        <v>16589</v>
      </c>
      <c r="P4993" s="2" t="s">
        <v>37</v>
      </c>
      <c r="Q4993" t="s">
        <v>1208</v>
      </c>
      <c r="R4993">
        <v>0</v>
      </c>
      <c r="S4993">
        <v>11.07</v>
      </c>
      <c r="T4993" t="s">
        <v>16590</v>
      </c>
    </row>
    <row r="4994" spans="1:20" x14ac:dyDescent="0.25">
      <c r="A4994" s="1" t="str">
        <f>HYPERLINK("https://vegkart.atlas.vegvesen.no/#/@284972.3,6877545.7,18/hva:hva%5B0%5D%5Bfilter%5D%5B0%5D%5Boperator%5D=%21%3D&amp;hva%5B0%5D%5Bfilter%5D%5B0%5D%5Btype_id%5D=4820&amp;hva%5B0%5D%5Bfilter%5D%5B0%5D%5Bverdi%5D=&amp;hva%5B0%5D%5Bid%5D=144/når:2024-03-25", "Vegkart")</f>
        <v>Vegkart</v>
      </c>
      <c r="B4994">
        <v>1019025825</v>
      </c>
      <c r="C4994">
        <v>144</v>
      </c>
      <c r="D4994" t="s">
        <v>13345</v>
      </c>
      <c r="E4994">
        <v>4820</v>
      </c>
      <c r="F4994" t="s">
        <v>23479</v>
      </c>
      <c r="G4994">
        <v>1</v>
      </c>
      <c r="H4994" t="s">
        <v>16581</v>
      </c>
      <c r="J4994" t="s">
        <v>16172</v>
      </c>
      <c r="K4994" t="s">
        <v>136</v>
      </c>
      <c r="L4994" t="s">
        <v>113</v>
      </c>
      <c r="M4994" t="s">
        <v>335</v>
      </c>
      <c r="N4994" t="s">
        <v>16591</v>
      </c>
      <c r="O4994" t="s">
        <v>16592</v>
      </c>
      <c r="P4994" s="2" t="s">
        <v>37</v>
      </c>
      <c r="Q4994" t="s">
        <v>1208</v>
      </c>
      <c r="R4994">
        <v>0</v>
      </c>
      <c r="S4994">
        <v>31.3</v>
      </c>
      <c r="T4994" t="s">
        <v>16593</v>
      </c>
    </row>
    <row r="4995" spans="1:20" x14ac:dyDescent="0.25">
      <c r="A4995" s="1" t="str">
        <f>HYPERLINK("https://vegkart.atlas.vegvesen.no/#/@284782.3,6875596.4,18/hva:hva%5B0%5D%5Bfilter%5D%5B0%5D%5Boperator%5D=%21%3D&amp;hva%5B0%5D%5Bfilter%5D%5B0%5D%5Btype_id%5D=4820&amp;hva%5B0%5D%5Bfilter%5D%5B0%5D%5Bverdi%5D=&amp;hva%5B0%5D%5Bid%5D=144/når:2024-03-25", "Vegkart")</f>
        <v>Vegkart</v>
      </c>
      <c r="B4995">
        <v>1019025826</v>
      </c>
      <c r="C4995">
        <v>144</v>
      </c>
      <c r="D4995" t="s">
        <v>13345</v>
      </c>
      <c r="E4995">
        <v>4820</v>
      </c>
      <c r="F4995" t="s">
        <v>23479</v>
      </c>
      <c r="G4995">
        <v>1</v>
      </c>
      <c r="H4995" t="s">
        <v>16581</v>
      </c>
      <c r="J4995" t="s">
        <v>16172</v>
      </c>
      <c r="K4995" t="s">
        <v>136</v>
      </c>
      <c r="L4995" t="s">
        <v>113</v>
      </c>
      <c r="M4995" t="s">
        <v>335</v>
      </c>
      <c r="N4995" t="s">
        <v>16594</v>
      </c>
      <c r="O4995" t="s">
        <v>16595</v>
      </c>
      <c r="P4995" s="2" t="s">
        <v>37</v>
      </c>
      <c r="Q4995" t="s">
        <v>1208</v>
      </c>
      <c r="R4995">
        <v>0</v>
      </c>
      <c r="S4995">
        <v>11.42</v>
      </c>
      <c r="T4995" t="s">
        <v>16596</v>
      </c>
    </row>
    <row r="4996" spans="1:20" x14ac:dyDescent="0.25">
      <c r="A4996" s="1" t="str">
        <f>HYPERLINK("https://vegkart.atlas.vegvesen.no/#/@284664.9,6876027.4,18/hva:hva%5B0%5D%5Bfilter%5D%5B0%5D%5Boperator%5D=%21%3D&amp;hva%5B0%5D%5Bfilter%5D%5B0%5D%5Btype_id%5D=4820&amp;hva%5B0%5D%5Bfilter%5D%5B0%5D%5Bverdi%5D=&amp;hva%5B0%5D%5Bid%5D=144/når:2024-03-25", "Vegkart")</f>
        <v>Vegkart</v>
      </c>
      <c r="B4996">
        <v>1019025827</v>
      </c>
      <c r="C4996">
        <v>144</v>
      </c>
      <c r="D4996" t="s">
        <v>13345</v>
      </c>
      <c r="E4996">
        <v>4820</v>
      </c>
      <c r="F4996" t="s">
        <v>23479</v>
      </c>
      <c r="G4996">
        <v>1</v>
      </c>
      <c r="H4996" t="s">
        <v>16581</v>
      </c>
      <c r="J4996" t="s">
        <v>16172</v>
      </c>
      <c r="K4996" t="s">
        <v>136</v>
      </c>
      <c r="L4996" t="s">
        <v>113</v>
      </c>
      <c r="M4996" t="s">
        <v>335</v>
      </c>
      <c r="N4996" t="s">
        <v>16597</v>
      </c>
      <c r="O4996" t="s">
        <v>16598</v>
      </c>
      <c r="P4996" s="2" t="s">
        <v>37</v>
      </c>
      <c r="Q4996" t="s">
        <v>1208</v>
      </c>
      <c r="R4996">
        <v>0</v>
      </c>
      <c r="S4996">
        <v>20.82</v>
      </c>
      <c r="T4996" t="s">
        <v>16599</v>
      </c>
    </row>
    <row r="4997" spans="1:20" x14ac:dyDescent="0.25">
      <c r="A4997" s="1" t="str">
        <f>HYPERLINK("https://vegkart.atlas.vegvesen.no/#/@285129.3,6878563.9,18/hva:hva%5B0%5D%5Bfilter%5D%5B0%5D%5Boperator%5D=%21%3D&amp;hva%5B0%5D%5Bfilter%5D%5B0%5D%5Btype_id%5D=4820&amp;hva%5B0%5D%5Bfilter%5D%5B0%5D%5Bverdi%5D=&amp;hva%5B0%5D%5Bid%5D=144/når:2024-03-25", "Vegkart")</f>
        <v>Vegkart</v>
      </c>
      <c r="B4997">
        <v>1019025828</v>
      </c>
      <c r="C4997">
        <v>144</v>
      </c>
      <c r="D4997" t="s">
        <v>13345</v>
      </c>
      <c r="E4997">
        <v>4820</v>
      </c>
      <c r="F4997" t="s">
        <v>23479</v>
      </c>
      <c r="G4997">
        <v>1</v>
      </c>
      <c r="H4997" t="s">
        <v>16581</v>
      </c>
      <c r="J4997" t="s">
        <v>16172</v>
      </c>
      <c r="K4997" t="s">
        <v>136</v>
      </c>
      <c r="L4997" t="s">
        <v>113</v>
      </c>
      <c r="M4997" t="s">
        <v>335</v>
      </c>
      <c r="N4997" t="s">
        <v>16600</v>
      </c>
      <c r="O4997" t="s">
        <v>16601</v>
      </c>
      <c r="P4997" s="2" t="s">
        <v>37</v>
      </c>
      <c r="Q4997" t="s">
        <v>1208</v>
      </c>
      <c r="R4997">
        <v>0</v>
      </c>
      <c r="S4997">
        <v>29.5</v>
      </c>
      <c r="T4997" t="s">
        <v>16602</v>
      </c>
    </row>
    <row r="4998" spans="1:20" x14ac:dyDescent="0.25">
      <c r="A4998" s="1" t="str">
        <f>HYPERLINK("https://vegkart.atlas.vegvesen.no/#/@284987.3,6879608.1,18/hva:hva%5B0%5D%5Bfilter%5D%5B0%5D%5Boperator%5D=%21%3D&amp;hva%5B0%5D%5Bfilter%5D%5B0%5D%5Btype_id%5D=4820&amp;hva%5B0%5D%5Bfilter%5D%5B0%5D%5Bverdi%5D=&amp;hva%5B0%5D%5Bid%5D=144/når:2024-03-25", "Vegkart")</f>
        <v>Vegkart</v>
      </c>
      <c r="B4998">
        <v>1019025829</v>
      </c>
      <c r="C4998">
        <v>144</v>
      </c>
      <c r="D4998" t="s">
        <v>13345</v>
      </c>
      <c r="E4998">
        <v>4820</v>
      </c>
      <c r="F4998" t="s">
        <v>23479</v>
      </c>
      <c r="G4998">
        <v>1</v>
      </c>
      <c r="H4998" t="s">
        <v>16581</v>
      </c>
      <c r="J4998" t="s">
        <v>16172</v>
      </c>
      <c r="K4998" t="s">
        <v>136</v>
      </c>
      <c r="L4998" t="s">
        <v>113</v>
      </c>
      <c r="M4998" t="s">
        <v>335</v>
      </c>
      <c r="N4998" t="s">
        <v>16603</v>
      </c>
      <c r="O4998" t="s">
        <v>16604</v>
      </c>
      <c r="P4998" s="2" t="s">
        <v>37</v>
      </c>
      <c r="Q4998" t="s">
        <v>1208</v>
      </c>
      <c r="R4998">
        <v>0</v>
      </c>
      <c r="S4998">
        <v>19.88</v>
      </c>
      <c r="T4998" t="s">
        <v>16605</v>
      </c>
    </row>
    <row r="4999" spans="1:20" x14ac:dyDescent="0.25">
      <c r="A4999" s="1" t="str">
        <f>HYPERLINK("https://vegkart.atlas.vegvesen.no/#/@285110.5,6879195.8,18/hva:hva%5B0%5D%5Bfilter%5D%5B0%5D%5Boperator%5D=%21%3D&amp;hva%5B0%5D%5Bfilter%5D%5B0%5D%5Btype_id%5D=4820&amp;hva%5B0%5D%5Bfilter%5D%5B0%5D%5Bverdi%5D=&amp;hva%5B0%5D%5Bid%5D=144/når:2024-03-25", "Vegkart")</f>
        <v>Vegkart</v>
      </c>
      <c r="B4999">
        <v>1019025830</v>
      </c>
      <c r="C4999">
        <v>144</v>
      </c>
      <c r="D4999" t="s">
        <v>13345</v>
      </c>
      <c r="E4999">
        <v>4820</v>
      </c>
      <c r="F4999" t="s">
        <v>23479</v>
      </c>
      <c r="G4999">
        <v>1</v>
      </c>
      <c r="H4999" t="s">
        <v>16581</v>
      </c>
      <c r="J4999" t="s">
        <v>16172</v>
      </c>
      <c r="K4999" t="s">
        <v>136</v>
      </c>
      <c r="L4999" t="s">
        <v>113</v>
      </c>
      <c r="M4999" t="s">
        <v>335</v>
      </c>
      <c r="N4999" t="s">
        <v>16606</v>
      </c>
      <c r="O4999" t="s">
        <v>16607</v>
      </c>
      <c r="P4999" s="2" t="s">
        <v>37</v>
      </c>
      <c r="Q4999" t="s">
        <v>1208</v>
      </c>
      <c r="R4999">
        <v>0</v>
      </c>
      <c r="S4999">
        <v>16.260000000000002</v>
      </c>
      <c r="T4999" t="s">
        <v>16608</v>
      </c>
    </row>
    <row r="5000" spans="1:20" x14ac:dyDescent="0.25">
      <c r="A5000" s="1" t="str">
        <f>HYPERLINK("https://vegkart.atlas.vegvesen.no/#/@284943.6,6879710.6,18/hva:hva%5B0%5D%5Bfilter%5D%5B0%5D%5Boperator%5D=%21%3D&amp;hva%5B0%5D%5Bfilter%5D%5B0%5D%5Btype_id%5D=4820&amp;hva%5B0%5D%5Bfilter%5D%5B0%5D%5Bverdi%5D=&amp;hva%5B0%5D%5Bid%5D=144/når:2024-03-25", "Vegkart")</f>
        <v>Vegkart</v>
      </c>
      <c r="B5000">
        <v>1019025831</v>
      </c>
      <c r="C5000">
        <v>144</v>
      </c>
      <c r="D5000" t="s">
        <v>13345</v>
      </c>
      <c r="E5000">
        <v>4820</v>
      </c>
      <c r="F5000" t="s">
        <v>23479</v>
      </c>
      <c r="G5000">
        <v>1</v>
      </c>
      <c r="H5000" t="s">
        <v>16581</v>
      </c>
      <c r="J5000" t="s">
        <v>16172</v>
      </c>
      <c r="K5000" t="s">
        <v>136</v>
      </c>
      <c r="L5000" t="s">
        <v>113</v>
      </c>
      <c r="M5000" t="s">
        <v>335</v>
      </c>
      <c r="N5000" t="s">
        <v>16609</v>
      </c>
      <c r="O5000" t="s">
        <v>16610</v>
      </c>
      <c r="P5000" s="2" t="s">
        <v>37</v>
      </c>
      <c r="Q5000" t="s">
        <v>1208</v>
      </c>
      <c r="R5000">
        <v>0</v>
      </c>
      <c r="S5000">
        <v>53.14</v>
      </c>
      <c r="T5000" t="s">
        <v>16611</v>
      </c>
    </row>
    <row r="5001" spans="1:20" x14ac:dyDescent="0.25">
      <c r="A5001" s="1" t="str">
        <f>HYPERLINK("https://vegkart.atlas.vegvesen.no/#/@284747.7,6876866.8,18/hva:hva%5B0%5D%5Bfilter%5D%5B0%5D%5Boperator%5D=%21%3D&amp;hva%5B0%5D%5Bfilter%5D%5B0%5D%5Btype_id%5D=4820&amp;hva%5B0%5D%5Bfilter%5D%5B0%5D%5Bverdi%5D=&amp;hva%5B0%5D%5Bid%5D=144/når:2024-03-25", "Vegkart")</f>
        <v>Vegkart</v>
      </c>
      <c r="B5001">
        <v>1019025832</v>
      </c>
      <c r="C5001">
        <v>144</v>
      </c>
      <c r="D5001" t="s">
        <v>13345</v>
      </c>
      <c r="E5001">
        <v>4820</v>
      </c>
      <c r="F5001" t="s">
        <v>23479</v>
      </c>
      <c r="G5001">
        <v>1</v>
      </c>
      <c r="H5001" t="s">
        <v>16581</v>
      </c>
      <c r="J5001" t="s">
        <v>16172</v>
      </c>
      <c r="K5001" t="s">
        <v>136</v>
      </c>
      <c r="L5001" t="s">
        <v>113</v>
      </c>
      <c r="M5001" t="s">
        <v>335</v>
      </c>
      <c r="N5001" t="s">
        <v>16612</v>
      </c>
      <c r="O5001" t="s">
        <v>16613</v>
      </c>
      <c r="P5001" s="2" t="s">
        <v>37</v>
      </c>
      <c r="Q5001" t="s">
        <v>1208</v>
      </c>
      <c r="R5001">
        <v>0</v>
      </c>
      <c r="S5001">
        <v>20.95</v>
      </c>
      <c r="T5001" t="s">
        <v>16614</v>
      </c>
    </row>
    <row r="5002" spans="1:20" x14ac:dyDescent="0.25">
      <c r="A5002" s="1" t="str">
        <f>HYPERLINK("https://vegkart.atlas.vegvesen.no/#/@285151.3,6878843.9,18/hva:hva%5B0%5D%5Bfilter%5D%5B0%5D%5Boperator%5D=%21%3D&amp;hva%5B0%5D%5Bfilter%5D%5B0%5D%5Btype_id%5D=4820&amp;hva%5B0%5D%5Bfilter%5D%5B0%5D%5Bverdi%5D=&amp;hva%5B0%5D%5Bid%5D=144/når:2024-03-25", "Vegkart")</f>
        <v>Vegkart</v>
      </c>
      <c r="B5002">
        <v>1019025833</v>
      </c>
      <c r="C5002">
        <v>144</v>
      </c>
      <c r="D5002" t="s">
        <v>13345</v>
      </c>
      <c r="E5002">
        <v>4820</v>
      </c>
      <c r="F5002" t="s">
        <v>23479</v>
      </c>
      <c r="G5002">
        <v>1</v>
      </c>
      <c r="H5002" t="s">
        <v>16581</v>
      </c>
      <c r="J5002" t="s">
        <v>16172</v>
      </c>
      <c r="K5002" t="s">
        <v>136</v>
      </c>
      <c r="L5002" t="s">
        <v>113</v>
      </c>
      <c r="M5002" t="s">
        <v>335</v>
      </c>
      <c r="N5002" t="s">
        <v>16615</v>
      </c>
      <c r="O5002" t="s">
        <v>16616</v>
      </c>
      <c r="P5002" s="2" t="s">
        <v>37</v>
      </c>
      <c r="Q5002" t="s">
        <v>1208</v>
      </c>
      <c r="R5002">
        <v>0</v>
      </c>
      <c r="S5002">
        <v>16.670000000000002</v>
      </c>
      <c r="T5002" t="s">
        <v>16617</v>
      </c>
    </row>
    <row r="5003" spans="1:20" x14ac:dyDescent="0.25">
      <c r="A5003" s="1" t="str">
        <f>HYPERLINK("https://vegkart.atlas.vegvesen.no/#/@284326.1,6880566.4,18/hva:hva%5B0%5D%5Bfilter%5D%5B0%5D%5Boperator%5D=%21%3D&amp;hva%5B0%5D%5Bfilter%5D%5B0%5D%5Btype_id%5D=4820&amp;hva%5B0%5D%5Bfilter%5D%5B0%5D%5Bverdi%5D=&amp;hva%5B0%5D%5Bid%5D=144/når:2024-03-25", "Vegkart")</f>
        <v>Vegkart</v>
      </c>
      <c r="B5003">
        <v>1019025834</v>
      </c>
      <c r="C5003">
        <v>144</v>
      </c>
      <c r="D5003" t="s">
        <v>13345</v>
      </c>
      <c r="E5003">
        <v>4820</v>
      </c>
      <c r="F5003" t="s">
        <v>23479</v>
      </c>
      <c r="G5003">
        <v>1</v>
      </c>
      <c r="H5003" t="s">
        <v>16581</v>
      </c>
      <c r="J5003" t="s">
        <v>16172</v>
      </c>
      <c r="K5003" t="s">
        <v>136</v>
      </c>
      <c r="L5003" t="s">
        <v>113</v>
      </c>
      <c r="M5003" t="s">
        <v>335</v>
      </c>
      <c r="N5003" t="s">
        <v>16618</v>
      </c>
      <c r="O5003" t="s">
        <v>16619</v>
      </c>
      <c r="P5003" s="2" t="s">
        <v>37</v>
      </c>
      <c r="Q5003" t="s">
        <v>1208</v>
      </c>
      <c r="R5003">
        <v>0</v>
      </c>
      <c r="S5003">
        <v>18.350000000000001</v>
      </c>
      <c r="T5003" t="s">
        <v>16620</v>
      </c>
    </row>
    <row r="5004" spans="1:20" x14ac:dyDescent="0.25">
      <c r="A5004" s="1" t="str">
        <f>HYPERLINK("https://vegkart.atlas.vegvesen.no/#/@284714.9,6875937.0,18/hva:hva%5B0%5D%5Bfilter%5D%5B0%5D%5Boperator%5D=%21%3D&amp;hva%5B0%5D%5Bfilter%5D%5B0%5D%5Btype_id%5D=4820&amp;hva%5B0%5D%5Bfilter%5D%5B0%5D%5Bverdi%5D=&amp;hva%5B0%5D%5Bid%5D=144/når:2024-03-25", "Vegkart")</f>
        <v>Vegkart</v>
      </c>
      <c r="B5004">
        <v>1019025835</v>
      </c>
      <c r="C5004">
        <v>144</v>
      </c>
      <c r="D5004" t="s">
        <v>13345</v>
      </c>
      <c r="E5004">
        <v>4820</v>
      </c>
      <c r="F5004" t="s">
        <v>23479</v>
      </c>
      <c r="G5004">
        <v>1</v>
      </c>
      <c r="H5004" t="s">
        <v>16581</v>
      </c>
      <c r="J5004" t="s">
        <v>16172</v>
      </c>
      <c r="K5004" t="s">
        <v>136</v>
      </c>
      <c r="L5004" t="s">
        <v>113</v>
      </c>
      <c r="M5004" t="s">
        <v>335</v>
      </c>
      <c r="N5004" t="s">
        <v>16621</v>
      </c>
      <c r="O5004" t="s">
        <v>16622</v>
      </c>
      <c r="P5004" s="2" t="s">
        <v>37</v>
      </c>
      <c r="Q5004" t="s">
        <v>1208</v>
      </c>
      <c r="R5004">
        <v>0</v>
      </c>
      <c r="S5004">
        <v>10.68</v>
      </c>
      <c r="T5004" t="s">
        <v>16623</v>
      </c>
    </row>
    <row r="5005" spans="1:20" x14ac:dyDescent="0.25">
      <c r="A5005" s="1" t="str">
        <f>HYPERLINK("https://vegkart.atlas.vegvesen.no/#/@285076.0,6879344.1,18/hva:hva%5B0%5D%5Bfilter%5D%5B0%5D%5Boperator%5D=%21%3D&amp;hva%5B0%5D%5Bfilter%5D%5B0%5D%5Btype_id%5D=4820&amp;hva%5B0%5D%5Bfilter%5D%5B0%5D%5Bverdi%5D=&amp;hva%5B0%5D%5Bid%5D=144/når:2024-03-25", "Vegkart")</f>
        <v>Vegkart</v>
      </c>
      <c r="B5005">
        <v>1019025836</v>
      </c>
      <c r="C5005">
        <v>144</v>
      </c>
      <c r="D5005" t="s">
        <v>13345</v>
      </c>
      <c r="E5005">
        <v>4820</v>
      </c>
      <c r="F5005" t="s">
        <v>23479</v>
      </c>
      <c r="G5005">
        <v>1</v>
      </c>
      <c r="H5005" t="s">
        <v>16581</v>
      </c>
      <c r="J5005" t="s">
        <v>16172</v>
      </c>
      <c r="K5005" t="s">
        <v>136</v>
      </c>
      <c r="L5005" t="s">
        <v>113</v>
      </c>
      <c r="M5005" t="s">
        <v>335</v>
      </c>
      <c r="N5005" t="s">
        <v>16624</v>
      </c>
      <c r="O5005" t="s">
        <v>16625</v>
      </c>
      <c r="P5005" s="2" t="s">
        <v>165</v>
      </c>
      <c r="Q5005" t="s">
        <v>641</v>
      </c>
      <c r="R5005">
        <v>0</v>
      </c>
      <c r="S5005">
        <v>16.07</v>
      </c>
      <c r="T5005" t="s">
        <v>167</v>
      </c>
    </row>
    <row r="5006" spans="1:20" x14ac:dyDescent="0.25">
      <c r="A5006" s="1" t="str">
        <f>HYPERLINK("https://vegkart.atlas.vegvesen.no/#/@283838.4,6880829.5,18/hva:hva%5B0%5D%5Bfilter%5D%5B0%5D%5Boperator%5D=%21%3D&amp;hva%5B0%5D%5Bfilter%5D%5B0%5D%5Btype_id%5D=4820&amp;hva%5B0%5D%5Bfilter%5D%5B0%5D%5Bverdi%5D=&amp;hva%5B0%5D%5Bid%5D=144/når:2024-03-25", "Vegkart")</f>
        <v>Vegkart</v>
      </c>
      <c r="B5006">
        <v>1019025837</v>
      </c>
      <c r="C5006">
        <v>144</v>
      </c>
      <c r="D5006" t="s">
        <v>13345</v>
      </c>
      <c r="E5006">
        <v>4820</v>
      </c>
      <c r="F5006" t="s">
        <v>23479</v>
      </c>
      <c r="G5006">
        <v>1</v>
      </c>
      <c r="H5006" t="s">
        <v>16581</v>
      </c>
      <c r="J5006" t="s">
        <v>16172</v>
      </c>
      <c r="K5006" t="s">
        <v>136</v>
      </c>
      <c r="L5006" t="s">
        <v>113</v>
      </c>
      <c r="M5006" t="s">
        <v>335</v>
      </c>
      <c r="N5006" t="s">
        <v>16626</v>
      </c>
      <c r="O5006" t="s">
        <v>16627</v>
      </c>
      <c r="P5006" s="2" t="s">
        <v>37</v>
      </c>
      <c r="Q5006" t="s">
        <v>1208</v>
      </c>
      <c r="R5006">
        <v>0</v>
      </c>
      <c r="S5006">
        <v>18.03</v>
      </c>
      <c r="T5006" t="s">
        <v>16628</v>
      </c>
    </row>
    <row r="5007" spans="1:20" x14ac:dyDescent="0.25">
      <c r="A5007" s="1" t="str">
        <f>HYPERLINK("https://vegkart.atlas.vegvesen.no/#/@285044.2,6879338.2,18/hva:hva%5B0%5D%5Bfilter%5D%5B0%5D%5Boperator%5D=%21%3D&amp;hva%5B0%5D%5Bfilter%5D%5B0%5D%5Btype_id%5D=4820&amp;hva%5B0%5D%5Bfilter%5D%5B0%5D%5Bverdi%5D=&amp;hva%5B0%5D%5Bid%5D=144/når:2024-03-25", "Vegkart")</f>
        <v>Vegkart</v>
      </c>
      <c r="B5007">
        <v>1019025838</v>
      </c>
      <c r="C5007">
        <v>144</v>
      </c>
      <c r="D5007" t="s">
        <v>13345</v>
      </c>
      <c r="E5007">
        <v>4820</v>
      </c>
      <c r="F5007" t="s">
        <v>23479</v>
      </c>
      <c r="G5007">
        <v>1</v>
      </c>
      <c r="H5007" t="s">
        <v>16581</v>
      </c>
      <c r="J5007" t="s">
        <v>16172</v>
      </c>
      <c r="K5007" t="s">
        <v>136</v>
      </c>
      <c r="L5007" t="s">
        <v>113</v>
      </c>
      <c r="M5007" t="s">
        <v>335</v>
      </c>
      <c r="N5007" t="s">
        <v>16629</v>
      </c>
      <c r="O5007" t="s">
        <v>16630</v>
      </c>
      <c r="P5007" s="2" t="s">
        <v>37</v>
      </c>
      <c r="Q5007" t="s">
        <v>1208</v>
      </c>
      <c r="R5007">
        <v>0</v>
      </c>
      <c r="S5007">
        <v>21.74</v>
      </c>
      <c r="T5007" t="s">
        <v>16631</v>
      </c>
    </row>
    <row r="5008" spans="1:20" x14ac:dyDescent="0.25">
      <c r="A5008" s="1" t="str">
        <f>HYPERLINK("https://vegkart.atlas.vegvesen.no/#/@284824.1,6875391.4,18/hva:hva%5B0%5D%5Bfilter%5D%5B0%5D%5Boperator%5D=%21%3D&amp;hva%5B0%5D%5Bfilter%5D%5B0%5D%5Btype_id%5D=4820&amp;hva%5B0%5D%5Bfilter%5D%5B0%5D%5Bverdi%5D=&amp;hva%5B0%5D%5Bid%5D=144/når:2024-03-25", "Vegkart")</f>
        <v>Vegkart</v>
      </c>
      <c r="B5008">
        <v>1019025839</v>
      </c>
      <c r="C5008">
        <v>144</v>
      </c>
      <c r="D5008" t="s">
        <v>13345</v>
      </c>
      <c r="E5008">
        <v>4820</v>
      </c>
      <c r="F5008" t="s">
        <v>23479</v>
      </c>
      <c r="G5008">
        <v>1</v>
      </c>
      <c r="H5008" t="s">
        <v>16581</v>
      </c>
      <c r="J5008" t="s">
        <v>16172</v>
      </c>
      <c r="K5008" t="s">
        <v>136</v>
      </c>
      <c r="L5008" t="s">
        <v>113</v>
      </c>
      <c r="M5008" t="s">
        <v>335</v>
      </c>
      <c r="N5008" t="s">
        <v>16632</v>
      </c>
      <c r="O5008" t="s">
        <v>16633</v>
      </c>
      <c r="P5008" s="2" t="s">
        <v>37</v>
      </c>
      <c r="Q5008" t="s">
        <v>1208</v>
      </c>
      <c r="R5008">
        <v>0</v>
      </c>
      <c r="S5008">
        <v>12.56</v>
      </c>
      <c r="T5008" t="s">
        <v>16634</v>
      </c>
    </row>
    <row r="5009" spans="1:20" x14ac:dyDescent="0.25">
      <c r="A5009" s="1" t="str">
        <f>HYPERLINK("https://vegkart.atlas.vegvesen.no/#/@284758.3,6876928.9,18/hva:hva%5B0%5D%5Bfilter%5D%5B0%5D%5Boperator%5D=%21%3D&amp;hva%5B0%5D%5Bfilter%5D%5B0%5D%5Btype_id%5D=4820&amp;hva%5B0%5D%5Bfilter%5D%5B0%5D%5Bverdi%5D=&amp;hva%5B0%5D%5Bid%5D=144/når:2024-03-25", "Vegkart")</f>
        <v>Vegkart</v>
      </c>
      <c r="B5009">
        <v>1019025840</v>
      </c>
      <c r="C5009">
        <v>144</v>
      </c>
      <c r="D5009" t="s">
        <v>13345</v>
      </c>
      <c r="E5009">
        <v>4820</v>
      </c>
      <c r="F5009" t="s">
        <v>23479</v>
      </c>
      <c r="G5009">
        <v>1</v>
      </c>
      <c r="H5009" t="s">
        <v>16581</v>
      </c>
      <c r="J5009" t="s">
        <v>16172</v>
      </c>
      <c r="K5009" t="s">
        <v>136</v>
      </c>
      <c r="L5009" t="s">
        <v>113</v>
      </c>
      <c r="M5009" t="s">
        <v>335</v>
      </c>
      <c r="N5009" t="s">
        <v>16635</v>
      </c>
      <c r="O5009" t="s">
        <v>16636</v>
      </c>
      <c r="P5009" s="2" t="s">
        <v>37</v>
      </c>
      <c r="Q5009" t="s">
        <v>1208</v>
      </c>
      <c r="R5009">
        <v>0</v>
      </c>
      <c r="S5009">
        <v>14.11</v>
      </c>
      <c r="T5009" t="s">
        <v>16637</v>
      </c>
    </row>
    <row r="5010" spans="1:20" x14ac:dyDescent="0.25">
      <c r="A5010" s="1" t="str">
        <f>HYPERLINK("https://vegkart.atlas.vegvesen.no/#/@284705.9,6875805.7,18/hva:hva%5B0%5D%5Bfilter%5D%5B0%5D%5Boperator%5D=%21%3D&amp;hva%5B0%5D%5Bfilter%5D%5B0%5D%5Btype_id%5D=4820&amp;hva%5B0%5D%5Bfilter%5D%5B0%5D%5Bverdi%5D=&amp;hva%5B0%5D%5Bid%5D=144/når:2024-03-25", "Vegkart")</f>
        <v>Vegkart</v>
      </c>
      <c r="B5010">
        <v>1019025841</v>
      </c>
      <c r="C5010">
        <v>144</v>
      </c>
      <c r="D5010" t="s">
        <v>13345</v>
      </c>
      <c r="E5010">
        <v>4820</v>
      </c>
      <c r="F5010" t="s">
        <v>23479</v>
      </c>
      <c r="G5010">
        <v>1</v>
      </c>
      <c r="H5010" t="s">
        <v>16581</v>
      </c>
      <c r="J5010" t="s">
        <v>16172</v>
      </c>
      <c r="K5010" t="s">
        <v>136</v>
      </c>
      <c r="L5010" t="s">
        <v>113</v>
      </c>
      <c r="M5010" t="s">
        <v>335</v>
      </c>
      <c r="N5010" t="s">
        <v>16638</v>
      </c>
      <c r="O5010" t="s">
        <v>16639</v>
      </c>
      <c r="P5010" s="2" t="s">
        <v>37</v>
      </c>
      <c r="Q5010" t="s">
        <v>1208</v>
      </c>
      <c r="R5010">
        <v>0</v>
      </c>
      <c r="S5010">
        <v>9.4600000000000009</v>
      </c>
      <c r="T5010" t="s">
        <v>16640</v>
      </c>
    </row>
    <row r="5011" spans="1:20" x14ac:dyDescent="0.25">
      <c r="A5011" s="1" t="str">
        <f>HYPERLINK("https://vegkart.atlas.vegvesen.no/#/@285124.3,6879149.3,18/hva:hva%5B0%5D%5Bfilter%5D%5B0%5D%5Boperator%5D=%21%3D&amp;hva%5B0%5D%5Bfilter%5D%5B0%5D%5Btype_id%5D=4820&amp;hva%5B0%5D%5Bfilter%5D%5B0%5D%5Bverdi%5D=&amp;hva%5B0%5D%5Bid%5D=144/når:2024-03-25", "Vegkart")</f>
        <v>Vegkart</v>
      </c>
      <c r="B5011">
        <v>1019025842</v>
      </c>
      <c r="C5011">
        <v>144</v>
      </c>
      <c r="D5011" t="s">
        <v>13345</v>
      </c>
      <c r="E5011">
        <v>4820</v>
      </c>
      <c r="F5011" t="s">
        <v>23479</v>
      </c>
      <c r="G5011">
        <v>1</v>
      </c>
      <c r="H5011" t="s">
        <v>16581</v>
      </c>
      <c r="J5011" t="s">
        <v>16172</v>
      </c>
      <c r="K5011" t="s">
        <v>136</v>
      </c>
      <c r="L5011" t="s">
        <v>113</v>
      </c>
      <c r="M5011" t="s">
        <v>335</v>
      </c>
      <c r="N5011" t="s">
        <v>16641</v>
      </c>
      <c r="O5011" t="s">
        <v>16642</v>
      </c>
      <c r="P5011" s="2" t="s">
        <v>37</v>
      </c>
      <c r="Q5011" t="s">
        <v>1208</v>
      </c>
      <c r="R5011">
        <v>0</v>
      </c>
      <c r="S5011">
        <v>28.34</v>
      </c>
      <c r="T5011" t="s">
        <v>16643</v>
      </c>
    </row>
    <row r="5012" spans="1:20" x14ac:dyDescent="0.25">
      <c r="A5012" s="1" t="str">
        <f>HYPERLINK("https://vegkart.atlas.vegvesen.no/#/@285121.4,6878490.3,18/hva:hva%5B0%5D%5Bfilter%5D%5B0%5D%5Boperator%5D=%21%3D&amp;hva%5B0%5D%5Bfilter%5D%5B0%5D%5Btype_id%5D=4820&amp;hva%5B0%5D%5Bfilter%5D%5B0%5D%5Bverdi%5D=&amp;hva%5B0%5D%5Bid%5D=144/når:2024-03-25", "Vegkart")</f>
        <v>Vegkart</v>
      </c>
      <c r="B5012">
        <v>1019025843</v>
      </c>
      <c r="C5012">
        <v>144</v>
      </c>
      <c r="D5012" t="s">
        <v>13345</v>
      </c>
      <c r="E5012">
        <v>4820</v>
      </c>
      <c r="F5012" t="s">
        <v>23479</v>
      </c>
      <c r="G5012">
        <v>1</v>
      </c>
      <c r="H5012" t="s">
        <v>16581</v>
      </c>
      <c r="J5012" t="s">
        <v>16172</v>
      </c>
      <c r="K5012" t="s">
        <v>136</v>
      </c>
      <c r="L5012" t="s">
        <v>113</v>
      </c>
      <c r="M5012" t="s">
        <v>335</v>
      </c>
      <c r="N5012" t="s">
        <v>16644</v>
      </c>
      <c r="O5012" t="s">
        <v>16645</v>
      </c>
      <c r="P5012" s="2" t="s">
        <v>37</v>
      </c>
      <c r="Q5012" t="s">
        <v>1208</v>
      </c>
      <c r="R5012">
        <v>0</v>
      </c>
      <c r="S5012">
        <v>24.34</v>
      </c>
      <c r="T5012" t="s">
        <v>16646</v>
      </c>
    </row>
    <row r="5013" spans="1:20" x14ac:dyDescent="0.25">
      <c r="A5013" s="1" t="str">
        <f>HYPERLINK("https://vegkart.atlas.vegvesen.no/#/@284685.5,6875933.8,18/hva:hva%5B0%5D%5Bfilter%5D%5B0%5D%5Boperator%5D=%21%3D&amp;hva%5B0%5D%5Bfilter%5D%5B0%5D%5Btype_id%5D=4820&amp;hva%5B0%5D%5Bfilter%5D%5B0%5D%5Bverdi%5D=&amp;hva%5B0%5D%5Bid%5D=144/når:2024-03-25", "Vegkart")</f>
        <v>Vegkart</v>
      </c>
      <c r="B5013">
        <v>1019025844</v>
      </c>
      <c r="C5013">
        <v>144</v>
      </c>
      <c r="D5013" t="s">
        <v>13345</v>
      </c>
      <c r="E5013">
        <v>4820</v>
      </c>
      <c r="F5013" t="s">
        <v>23479</v>
      </c>
      <c r="G5013">
        <v>1</v>
      </c>
      <c r="H5013" t="s">
        <v>16581</v>
      </c>
      <c r="J5013" t="s">
        <v>16172</v>
      </c>
      <c r="K5013" t="s">
        <v>136</v>
      </c>
      <c r="L5013" t="s">
        <v>113</v>
      </c>
      <c r="M5013" t="s">
        <v>335</v>
      </c>
      <c r="N5013" t="s">
        <v>16647</v>
      </c>
      <c r="O5013" t="s">
        <v>16648</v>
      </c>
      <c r="P5013" s="2" t="s">
        <v>37</v>
      </c>
      <c r="Q5013" t="s">
        <v>1208</v>
      </c>
      <c r="R5013">
        <v>0</v>
      </c>
      <c r="S5013">
        <v>4.62</v>
      </c>
      <c r="T5013" t="s">
        <v>16649</v>
      </c>
    </row>
    <row r="5014" spans="1:20" x14ac:dyDescent="0.25">
      <c r="A5014" s="1" t="str">
        <f>HYPERLINK("https://vegkart.atlas.vegvesen.no/#/@284709.4,6876608.8,18/hva:hva%5B0%5D%5Bfilter%5D%5B0%5D%5Boperator%5D=%21%3D&amp;hva%5B0%5D%5Bfilter%5D%5B0%5D%5Btype_id%5D=4820&amp;hva%5B0%5D%5Bfilter%5D%5B0%5D%5Bverdi%5D=&amp;hva%5B0%5D%5Bid%5D=144/når:2024-03-25", "Vegkart")</f>
        <v>Vegkart</v>
      </c>
      <c r="B5014">
        <v>1019025845</v>
      </c>
      <c r="C5014">
        <v>144</v>
      </c>
      <c r="D5014" t="s">
        <v>13345</v>
      </c>
      <c r="E5014">
        <v>4820</v>
      </c>
      <c r="F5014" t="s">
        <v>23479</v>
      </c>
      <c r="G5014">
        <v>1</v>
      </c>
      <c r="H5014" t="s">
        <v>16581</v>
      </c>
      <c r="J5014" t="s">
        <v>16172</v>
      </c>
      <c r="K5014" t="s">
        <v>136</v>
      </c>
      <c r="L5014" t="s">
        <v>113</v>
      </c>
      <c r="M5014" t="s">
        <v>335</v>
      </c>
      <c r="N5014" t="s">
        <v>16650</v>
      </c>
      <c r="O5014" t="s">
        <v>16651</v>
      </c>
      <c r="P5014" s="2" t="s">
        <v>37</v>
      </c>
      <c r="Q5014" t="s">
        <v>1208</v>
      </c>
      <c r="R5014">
        <v>0</v>
      </c>
      <c r="S5014">
        <v>34.06</v>
      </c>
      <c r="T5014" t="s">
        <v>16652</v>
      </c>
    </row>
    <row r="5015" spans="1:20" x14ac:dyDescent="0.25">
      <c r="A5015" s="1" t="str">
        <f>HYPERLINK("https://vegkart.atlas.vegvesen.no/#/@284638.5,6876152.7,18/hva:hva%5B0%5D%5Bfilter%5D%5B0%5D%5Boperator%5D=%21%3D&amp;hva%5B0%5D%5Bfilter%5D%5B0%5D%5Btype_id%5D=4820&amp;hva%5B0%5D%5Bfilter%5D%5B0%5D%5Bverdi%5D=&amp;hva%5B0%5D%5Bid%5D=144/når:2024-03-25", "Vegkart")</f>
        <v>Vegkart</v>
      </c>
      <c r="B5015">
        <v>1019025846</v>
      </c>
      <c r="C5015">
        <v>144</v>
      </c>
      <c r="D5015" t="s">
        <v>13345</v>
      </c>
      <c r="E5015">
        <v>4820</v>
      </c>
      <c r="F5015" t="s">
        <v>23479</v>
      </c>
      <c r="G5015">
        <v>1</v>
      </c>
      <c r="H5015" t="s">
        <v>16581</v>
      </c>
      <c r="J5015" t="s">
        <v>16172</v>
      </c>
      <c r="K5015" t="s">
        <v>136</v>
      </c>
      <c r="L5015" t="s">
        <v>113</v>
      </c>
      <c r="M5015" t="s">
        <v>335</v>
      </c>
      <c r="N5015" t="s">
        <v>16653</v>
      </c>
      <c r="O5015" t="s">
        <v>16654</v>
      </c>
      <c r="P5015" s="2" t="s">
        <v>37</v>
      </c>
      <c r="Q5015" t="s">
        <v>1208</v>
      </c>
      <c r="R5015">
        <v>0</v>
      </c>
      <c r="S5015">
        <v>19.64</v>
      </c>
      <c r="T5015" t="s">
        <v>16655</v>
      </c>
    </row>
    <row r="5016" spans="1:20" x14ac:dyDescent="0.25">
      <c r="A5016" s="1" t="str">
        <f>HYPERLINK("https://vegkart.atlas.vegvesen.no/#/@283995.7,6880752.4,18/hva:hva%5B0%5D%5Bfilter%5D%5B0%5D%5Boperator%5D=%21%3D&amp;hva%5B0%5D%5Bfilter%5D%5B0%5D%5Btype_id%5D=4820&amp;hva%5B0%5D%5Bfilter%5D%5B0%5D%5Bverdi%5D=&amp;hva%5B0%5D%5Bid%5D=144/når:2024-03-25", "Vegkart")</f>
        <v>Vegkart</v>
      </c>
      <c r="B5016">
        <v>1019025847</v>
      </c>
      <c r="C5016">
        <v>144</v>
      </c>
      <c r="D5016" t="s">
        <v>13345</v>
      </c>
      <c r="E5016">
        <v>4820</v>
      </c>
      <c r="F5016" t="s">
        <v>23479</v>
      </c>
      <c r="G5016">
        <v>1</v>
      </c>
      <c r="H5016" t="s">
        <v>16581</v>
      </c>
      <c r="J5016" t="s">
        <v>16172</v>
      </c>
      <c r="K5016" t="s">
        <v>136</v>
      </c>
      <c r="L5016" t="s">
        <v>113</v>
      </c>
      <c r="M5016" t="s">
        <v>335</v>
      </c>
      <c r="N5016" t="s">
        <v>16656</v>
      </c>
      <c r="O5016" t="s">
        <v>16657</v>
      </c>
      <c r="P5016" s="2" t="s">
        <v>37</v>
      </c>
      <c r="Q5016" t="s">
        <v>1208</v>
      </c>
      <c r="R5016">
        <v>0</v>
      </c>
      <c r="S5016">
        <v>18.989999999999998</v>
      </c>
      <c r="T5016" t="s">
        <v>16658</v>
      </c>
    </row>
    <row r="5017" spans="1:20" x14ac:dyDescent="0.25">
      <c r="A5017" s="1" t="str">
        <f>HYPERLINK("https://vegkart.atlas.vegvesen.no/#/@285146.2,6878754.6,18/hva:hva%5B0%5D%5Bfilter%5D%5B0%5D%5Boperator%5D=%21%3D&amp;hva%5B0%5D%5Bfilter%5D%5B0%5D%5Btype_id%5D=4820&amp;hva%5B0%5D%5Bfilter%5D%5B0%5D%5Bverdi%5D=&amp;hva%5B0%5D%5Bid%5D=144/når:2024-03-25", "Vegkart")</f>
        <v>Vegkart</v>
      </c>
      <c r="B5017">
        <v>1019025848</v>
      </c>
      <c r="C5017">
        <v>144</v>
      </c>
      <c r="D5017" t="s">
        <v>13345</v>
      </c>
      <c r="E5017">
        <v>4820</v>
      </c>
      <c r="F5017" t="s">
        <v>23479</v>
      </c>
      <c r="G5017">
        <v>1</v>
      </c>
      <c r="H5017" t="s">
        <v>16581</v>
      </c>
      <c r="J5017" t="s">
        <v>16172</v>
      </c>
      <c r="K5017" t="s">
        <v>136</v>
      </c>
      <c r="L5017" t="s">
        <v>113</v>
      </c>
      <c r="M5017" t="s">
        <v>335</v>
      </c>
      <c r="N5017" t="s">
        <v>16659</v>
      </c>
      <c r="O5017" t="s">
        <v>16660</v>
      </c>
      <c r="P5017" s="2" t="s">
        <v>37</v>
      </c>
      <c r="Q5017" t="s">
        <v>1208</v>
      </c>
      <c r="R5017">
        <v>0</v>
      </c>
      <c r="S5017">
        <v>30.6</v>
      </c>
      <c r="T5017" t="s">
        <v>16661</v>
      </c>
    </row>
    <row r="5018" spans="1:20" x14ac:dyDescent="0.25">
      <c r="A5018" s="1" t="str">
        <f>HYPERLINK("https://vegkart.atlas.vegvesen.no/#/@283850.0,6880861.9,18/hva:hva%5B0%5D%5Bfilter%5D%5B0%5D%5Boperator%5D=%21%3D&amp;hva%5B0%5D%5Bfilter%5D%5B0%5D%5Btype_id%5D=4820&amp;hva%5B0%5D%5Bfilter%5D%5B0%5D%5Bverdi%5D=&amp;hva%5B0%5D%5Bid%5D=144/når:2024-03-25", "Vegkart")</f>
        <v>Vegkart</v>
      </c>
      <c r="B5018">
        <v>1019025849</v>
      </c>
      <c r="C5018">
        <v>144</v>
      </c>
      <c r="D5018" t="s">
        <v>13345</v>
      </c>
      <c r="E5018">
        <v>4820</v>
      </c>
      <c r="F5018" t="s">
        <v>23479</v>
      </c>
      <c r="G5018">
        <v>1</v>
      </c>
      <c r="H5018" t="s">
        <v>16581</v>
      </c>
      <c r="J5018" t="s">
        <v>16172</v>
      </c>
      <c r="K5018" t="s">
        <v>136</v>
      </c>
      <c r="L5018" t="s">
        <v>113</v>
      </c>
      <c r="M5018" t="s">
        <v>335</v>
      </c>
      <c r="N5018" t="s">
        <v>16662</v>
      </c>
      <c r="O5018" t="s">
        <v>16663</v>
      </c>
      <c r="P5018" s="2" t="s">
        <v>37</v>
      </c>
      <c r="Q5018" t="s">
        <v>1208</v>
      </c>
      <c r="R5018">
        <v>0</v>
      </c>
      <c r="S5018">
        <v>27.27</v>
      </c>
      <c r="T5018" t="s">
        <v>16664</v>
      </c>
    </row>
    <row r="5019" spans="1:20" x14ac:dyDescent="0.25">
      <c r="A5019" s="1" t="str">
        <f>HYPERLINK("https://vegkart.atlas.vegvesen.no/#/@284019.9,6880803.8,18/hva:hva%5B0%5D%5Bfilter%5D%5B0%5D%5Boperator%5D=%21%3D&amp;hva%5B0%5D%5Bfilter%5D%5B0%5D%5Btype_id%5D=4820&amp;hva%5B0%5D%5Bfilter%5D%5B0%5D%5Bverdi%5D=&amp;hva%5B0%5D%5Bid%5D=144/når:2024-03-25", "Vegkart")</f>
        <v>Vegkart</v>
      </c>
      <c r="B5019">
        <v>1019025850</v>
      </c>
      <c r="C5019">
        <v>144</v>
      </c>
      <c r="D5019" t="s">
        <v>13345</v>
      </c>
      <c r="E5019">
        <v>4820</v>
      </c>
      <c r="F5019" t="s">
        <v>23479</v>
      </c>
      <c r="G5019">
        <v>1</v>
      </c>
      <c r="H5019" t="s">
        <v>16581</v>
      </c>
      <c r="J5019" t="s">
        <v>16172</v>
      </c>
      <c r="K5019" t="s">
        <v>136</v>
      </c>
      <c r="L5019" t="s">
        <v>113</v>
      </c>
      <c r="M5019" t="s">
        <v>335</v>
      </c>
      <c r="N5019" t="s">
        <v>16665</v>
      </c>
      <c r="O5019" t="s">
        <v>16666</v>
      </c>
      <c r="P5019" s="2" t="s">
        <v>37</v>
      </c>
      <c r="Q5019" t="s">
        <v>1208</v>
      </c>
      <c r="R5019">
        <v>0</v>
      </c>
      <c r="S5019">
        <v>19.04</v>
      </c>
      <c r="T5019" t="s">
        <v>16667</v>
      </c>
    </row>
    <row r="5020" spans="1:20" x14ac:dyDescent="0.25">
      <c r="A5020" s="1" t="str">
        <f>HYPERLINK("https://vegkart.atlas.vegvesen.no/#/@284831.0,6879936.0,18/hva:hva%5B0%5D%5Bfilter%5D%5B0%5D%5Boperator%5D=%21%3D&amp;hva%5B0%5D%5Bfilter%5D%5B0%5D%5Btype_id%5D=4820&amp;hva%5B0%5D%5Bfilter%5D%5B0%5D%5Bverdi%5D=&amp;hva%5B0%5D%5Bid%5D=144/når:2024-03-25", "Vegkart")</f>
        <v>Vegkart</v>
      </c>
      <c r="B5020">
        <v>1019025851</v>
      </c>
      <c r="C5020">
        <v>144</v>
      </c>
      <c r="D5020" t="s">
        <v>13345</v>
      </c>
      <c r="E5020">
        <v>4820</v>
      </c>
      <c r="F5020" t="s">
        <v>23479</v>
      </c>
      <c r="G5020">
        <v>1</v>
      </c>
      <c r="H5020" t="s">
        <v>16581</v>
      </c>
      <c r="J5020" t="s">
        <v>16172</v>
      </c>
      <c r="K5020" t="s">
        <v>136</v>
      </c>
      <c r="L5020" t="s">
        <v>113</v>
      </c>
      <c r="M5020" t="s">
        <v>335</v>
      </c>
      <c r="N5020" t="s">
        <v>16668</v>
      </c>
      <c r="O5020" t="s">
        <v>16669</v>
      </c>
      <c r="P5020" s="2" t="s">
        <v>37</v>
      </c>
      <c r="Q5020" t="s">
        <v>1208</v>
      </c>
      <c r="R5020">
        <v>0</v>
      </c>
      <c r="S5020">
        <v>51.85</v>
      </c>
      <c r="T5020" t="s">
        <v>16670</v>
      </c>
    </row>
    <row r="5021" spans="1:20" x14ac:dyDescent="0.25">
      <c r="A5021" s="1" t="str">
        <f>HYPERLINK("https://vegkart.atlas.vegvesen.no/#/@284748.3,6875580.4,18/hva:hva%5B0%5D%5Bfilter%5D%5B0%5D%5Boperator%5D=%21%3D&amp;hva%5B0%5D%5Bfilter%5D%5B0%5D%5Btype_id%5D=4820&amp;hva%5B0%5D%5Bfilter%5D%5B0%5D%5Bverdi%5D=&amp;hva%5B0%5D%5Bid%5D=144/når:2024-03-25", "Vegkart")</f>
        <v>Vegkart</v>
      </c>
      <c r="B5021">
        <v>1019025852</v>
      </c>
      <c r="C5021">
        <v>144</v>
      </c>
      <c r="D5021" t="s">
        <v>13345</v>
      </c>
      <c r="E5021">
        <v>4820</v>
      </c>
      <c r="F5021" t="s">
        <v>23479</v>
      </c>
      <c r="G5021">
        <v>1</v>
      </c>
      <c r="H5021" t="s">
        <v>16581</v>
      </c>
      <c r="J5021" t="s">
        <v>16172</v>
      </c>
      <c r="K5021" t="s">
        <v>136</v>
      </c>
      <c r="L5021" t="s">
        <v>113</v>
      </c>
      <c r="M5021" t="s">
        <v>335</v>
      </c>
      <c r="N5021" t="s">
        <v>16671</v>
      </c>
      <c r="O5021" t="s">
        <v>16672</v>
      </c>
      <c r="P5021" s="2" t="s">
        <v>37</v>
      </c>
      <c r="Q5021" t="s">
        <v>1208</v>
      </c>
      <c r="R5021">
        <v>0</v>
      </c>
      <c r="S5021">
        <v>46.36</v>
      </c>
      <c r="T5021" t="s">
        <v>16673</v>
      </c>
    </row>
    <row r="5022" spans="1:20" x14ac:dyDescent="0.25">
      <c r="A5022" s="1" t="str">
        <f>HYPERLINK("https://vegkart.atlas.vegvesen.no/#/@284708.7,6880093.0,18/hva:hva%5B0%5D%5Bfilter%5D%5B0%5D%5Boperator%5D=%21%3D&amp;hva%5B0%5D%5Bfilter%5D%5B0%5D%5Btype_id%5D=4820&amp;hva%5B0%5D%5Bfilter%5D%5B0%5D%5Bverdi%5D=&amp;hva%5B0%5D%5Bid%5D=144/når:2024-03-25", "Vegkart")</f>
        <v>Vegkart</v>
      </c>
      <c r="B5022">
        <v>1019025853</v>
      </c>
      <c r="C5022">
        <v>144</v>
      </c>
      <c r="D5022" t="s">
        <v>13345</v>
      </c>
      <c r="E5022">
        <v>4820</v>
      </c>
      <c r="F5022" t="s">
        <v>23479</v>
      </c>
      <c r="G5022">
        <v>1</v>
      </c>
      <c r="H5022" t="s">
        <v>16581</v>
      </c>
      <c r="J5022" t="s">
        <v>16172</v>
      </c>
      <c r="K5022" t="s">
        <v>136</v>
      </c>
      <c r="L5022" t="s">
        <v>113</v>
      </c>
      <c r="M5022" t="s">
        <v>335</v>
      </c>
      <c r="N5022" t="s">
        <v>16674</v>
      </c>
      <c r="O5022" t="s">
        <v>16675</v>
      </c>
      <c r="P5022" s="2" t="s">
        <v>37</v>
      </c>
      <c r="Q5022" t="s">
        <v>1208</v>
      </c>
      <c r="R5022">
        <v>0</v>
      </c>
      <c r="S5022">
        <v>12.86</v>
      </c>
      <c r="T5022" t="s">
        <v>16676</v>
      </c>
    </row>
    <row r="5023" spans="1:20" x14ac:dyDescent="0.25">
      <c r="A5023" s="1" t="str">
        <f>HYPERLINK("https://vegkart.atlas.vegvesen.no/#/@285011.6,6877915.8,18/hva:hva%5B0%5D%5Bfilter%5D%5B0%5D%5Boperator%5D=%21%3D&amp;hva%5B0%5D%5Bfilter%5D%5B0%5D%5Btype_id%5D=4820&amp;hva%5B0%5D%5Bfilter%5D%5B0%5D%5Bverdi%5D=&amp;hva%5B0%5D%5Bid%5D=144/når:2024-03-25", "Vegkart")</f>
        <v>Vegkart</v>
      </c>
      <c r="B5023">
        <v>1019025854</v>
      </c>
      <c r="C5023">
        <v>144</v>
      </c>
      <c r="D5023" t="s">
        <v>13345</v>
      </c>
      <c r="E5023">
        <v>4820</v>
      </c>
      <c r="F5023" t="s">
        <v>23479</v>
      </c>
      <c r="G5023">
        <v>1</v>
      </c>
      <c r="H5023" t="s">
        <v>16581</v>
      </c>
      <c r="J5023" t="s">
        <v>16172</v>
      </c>
      <c r="K5023" t="s">
        <v>136</v>
      </c>
      <c r="L5023" t="s">
        <v>113</v>
      </c>
      <c r="M5023" t="s">
        <v>335</v>
      </c>
      <c r="N5023" t="s">
        <v>16677</v>
      </c>
      <c r="O5023" t="s">
        <v>16678</v>
      </c>
      <c r="P5023" s="2" t="s">
        <v>37</v>
      </c>
      <c r="Q5023" t="s">
        <v>1208</v>
      </c>
      <c r="R5023">
        <v>0</v>
      </c>
      <c r="S5023">
        <v>28.27</v>
      </c>
      <c r="T5023" t="s">
        <v>16679</v>
      </c>
    </row>
    <row r="5024" spans="1:20" x14ac:dyDescent="0.25">
      <c r="A5024" s="1" t="str">
        <f>HYPERLINK("https://vegkart.atlas.vegvesen.no/#/@285159.0,6878973.4,18/hva:hva%5B0%5D%5Bfilter%5D%5B0%5D%5Boperator%5D=%21%3D&amp;hva%5B0%5D%5Bfilter%5D%5B0%5D%5Btype_id%5D=4820&amp;hva%5B0%5D%5Bfilter%5D%5B0%5D%5Bverdi%5D=&amp;hva%5B0%5D%5Bid%5D=144/når:2024-03-25", "Vegkart")</f>
        <v>Vegkart</v>
      </c>
      <c r="B5024">
        <v>1019025855</v>
      </c>
      <c r="C5024">
        <v>144</v>
      </c>
      <c r="D5024" t="s">
        <v>13345</v>
      </c>
      <c r="E5024">
        <v>4820</v>
      </c>
      <c r="F5024" t="s">
        <v>23479</v>
      </c>
      <c r="G5024">
        <v>1</v>
      </c>
      <c r="H5024" t="s">
        <v>16581</v>
      </c>
      <c r="J5024" t="s">
        <v>16172</v>
      </c>
      <c r="K5024" t="s">
        <v>136</v>
      </c>
      <c r="L5024" t="s">
        <v>113</v>
      </c>
      <c r="M5024" t="s">
        <v>335</v>
      </c>
      <c r="N5024" t="s">
        <v>16680</v>
      </c>
      <c r="O5024" t="s">
        <v>16681</v>
      </c>
      <c r="P5024" s="2" t="s">
        <v>37</v>
      </c>
      <c r="Q5024" t="s">
        <v>1208</v>
      </c>
      <c r="R5024">
        <v>0</v>
      </c>
      <c r="S5024">
        <v>31.01</v>
      </c>
      <c r="T5024" t="s">
        <v>16682</v>
      </c>
    </row>
    <row r="5025" spans="1:20" x14ac:dyDescent="0.25">
      <c r="A5025" s="1" t="str">
        <f>HYPERLINK("https://vegkart.atlas.vegvesen.no/#/@284550.6,6880301.2,18/hva:hva%5B0%5D%5Bfilter%5D%5B0%5D%5Boperator%5D=%21%3D&amp;hva%5B0%5D%5Bfilter%5D%5B0%5D%5Btype_id%5D=4820&amp;hva%5B0%5D%5Bfilter%5D%5B0%5D%5Bverdi%5D=&amp;hva%5B0%5D%5Bid%5D=144/når:2024-03-25", "Vegkart")</f>
        <v>Vegkart</v>
      </c>
      <c r="B5025">
        <v>1019025856</v>
      </c>
      <c r="C5025">
        <v>144</v>
      </c>
      <c r="D5025" t="s">
        <v>13345</v>
      </c>
      <c r="E5025">
        <v>4820</v>
      </c>
      <c r="F5025" t="s">
        <v>23479</v>
      </c>
      <c r="G5025">
        <v>1</v>
      </c>
      <c r="H5025" t="s">
        <v>16581</v>
      </c>
      <c r="J5025" t="s">
        <v>16172</v>
      </c>
      <c r="K5025" t="s">
        <v>136</v>
      </c>
      <c r="L5025" t="s">
        <v>370</v>
      </c>
      <c r="M5025" t="s">
        <v>9762</v>
      </c>
      <c r="N5025" t="s">
        <v>16683</v>
      </c>
      <c r="O5025" t="s">
        <v>16684</v>
      </c>
      <c r="P5025" s="2" t="s">
        <v>37</v>
      </c>
      <c r="Q5025" t="s">
        <v>1208</v>
      </c>
      <c r="R5025">
        <v>0</v>
      </c>
      <c r="S5025">
        <v>12.06</v>
      </c>
      <c r="T5025" t="s">
        <v>16685</v>
      </c>
    </row>
    <row r="5026" spans="1:20" x14ac:dyDescent="0.25">
      <c r="A5026" s="1" t="str">
        <f>HYPERLINK("https://vegkart.atlas.vegvesen.no/#/@284726.1,6875724.9,18/hva:hva%5B0%5D%5Bfilter%5D%5B0%5D%5Boperator%5D=%21%3D&amp;hva%5B0%5D%5Bfilter%5D%5B0%5D%5Btype_id%5D=4820&amp;hva%5B0%5D%5Bfilter%5D%5B0%5D%5Bverdi%5D=&amp;hva%5B0%5D%5Bid%5D=144/når:2024-03-25", "Vegkart")</f>
        <v>Vegkart</v>
      </c>
      <c r="B5026">
        <v>1019025857</v>
      </c>
      <c r="C5026">
        <v>144</v>
      </c>
      <c r="D5026" t="s">
        <v>13345</v>
      </c>
      <c r="E5026">
        <v>4820</v>
      </c>
      <c r="F5026" t="s">
        <v>23479</v>
      </c>
      <c r="G5026">
        <v>1</v>
      </c>
      <c r="H5026" t="s">
        <v>16581</v>
      </c>
      <c r="J5026" t="s">
        <v>16172</v>
      </c>
      <c r="K5026" t="s">
        <v>136</v>
      </c>
      <c r="L5026" t="s">
        <v>113</v>
      </c>
      <c r="M5026" t="s">
        <v>335</v>
      </c>
      <c r="N5026" t="s">
        <v>16686</v>
      </c>
      <c r="O5026" t="s">
        <v>16687</v>
      </c>
      <c r="P5026" s="2" t="s">
        <v>37</v>
      </c>
      <c r="Q5026" t="s">
        <v>1208</v>
      </c>
      <c r="R5026">
        <v>0</v>
      </c>
      <c r="S5026">
        <v>6.49</v>
      </c>
      <c r="T5026" t="s">
        <v>16688</v>
      </c>
    </row>
    <row r="5027" spans="1:20" x14ac:dyDescent="0.25">
      <c r="A5027" s="1" t="str">
        <f>HYPERLINK("https://vegkart.atlas.vegvesen.no/#/@284944.0,6877466.7,18/hva:hva%5B0%5D%5Bfilter%5D%5B0%5D%5Boperator%5D=%21%3D&amp;hva%5B0%5D%5Bfilter%5D%5B0%5D%5Btype_id%5D=4820&amp;hva%5B0%5D%5Bfilter%5D%5B0%5D%5Bverdi%5D=&amp;hva%5B0%5D%5Bid%5D=144/når:2024-03-25", "Vegkart")</f>
        <v>Vegkart</v>
      </c>
      <c r="B5027">
        <v>1019025858</v>
      </c>
      <c r="C5027">
        <v>144</v>
      </c>
      <c r="D5027" t="s">
        <v>13345</v>
      </c>
      <c r="E5027">
        <v>4820</v>
      </c>
      <c r="F5027" t="s">
        <v>23479</v>
      </c>
      <c r="G5027">
        <v>1</v>
      </c>
      <c r="H5027" t="s">
        <v>16581</v>
      </c>
      <c r="J5027" t="s">
        <v>16172</v>
      </c>
      <c r="K5027" t="s">
        <v>136</v>
      </c>
      <c r="L5027" t="s">
        <v>113</v>
      </c>
      <c r="M5027" t="s">
        <v>335</v>
      </c>
      <c r="N5027" t="s">
        <v>16689</v>
      </c>
      <c r="O5027" t="s">
        <v>16690</v>
      </c>
      <c r="P5027" s="2" t="s">
        <v>37</v>
      </c>
      <c r="Q5027" t="s">
        <v>1208</v>
      </c>
      <c r="R5027">
        <v>0</v>
      </c>
      <c r="S5027">
        <v>27.6</v>
      </c>
      <c r="T5027" t="s">
        <v>16691</v>
      </c>
    </row>
    <row r="5028" spans="1:20" x14ac:dyDescent="0.25">
      <c r="A5028" s="1" t="str">
        <f>HYPERLINK("https://vegkart.atlas.vegvesen.no/#/@285120.8,6879018.3,18/hva:hva%5B0%5D%5Bfilter%5D%5B0%5D%5Boperator%5D=%21%3D&amp;hva%5B0%5D%5Bfilter%5D%5B0%5D%5Btype_id%5D=4820&amp;hva%5B0%5D%5Bfilter%5D%5B0%5D%5Bverdi%5D=&amp;hva%5B0%5D%5Bid%5D=144/når:2024-03-25", "Vegkart")</f>
        <v>Vegkart</v>
      </c>
      <c r="B5028">
        <v>1019025859</v>
      </c>
      <c r="C5028">
        <v>144</v>
      </c>
      <c r="D5028" t="s">
        <v>13345</v>
      </c>
      <c r="E5028">
        <v>4820</v>
      </c>
      <c r="F5028" t="s">
        <v>23479</v>
      </c>
      <c r="G5028">
        <v>1</v>
      </c>
      <c r="H5028" t="s">
        <v>16581</v>
      </c>
      <c r="J5028" t="s">
        <v>16172</v>
      </c>
      <c r="K5028" t="s">
        <v>136</v>
      </c>
      <c r="L5028" t="s">
        <v>113</v>
      </c>
      <c r="M5028" t="s">
        <v>335</v>
      </c>
      <c r="N5028" t="s">
        <v>16692</v>
      </c>
      <c r="O5028" t="s">
        <v>16693</v>
      </c>
      <c r="P5028" s="2" t="s">
        <v>37</v>
      </c>
      <c r="Q5028" t="s">
        <v>1208</v>
      </c>
      <c r="R5028">
        <v>0</v>
      </c>
      <c r="S5028">
        <v>27.81</v>
      </c>
      <c r="T5028" t="s">
        <v>16694</v>
      </c>
    </row>
    <row r="5029" spans="1:20" x14ac:dyDescent="0.25">
      <c r="A5029" s="1" t="str">
        <f>HYPERLINK("https://vegkart.atlas.vegvesen.no/#/@284972.3,6877636.9,18/hva:hva%5B0%5D%5Bfilter%5D%5B0%5D%5Boperator%5D=%21%3D&amp;hva%5B0%5D%5Bfilter%5D%5B0%5D%5Btype_id%5D=4820&amp;hva%5B0%5D%5Bfilter%5D%5B0%5D%5Bverdi%5D=&amp;hva%5B0%5D%5Bid%5D=144/når:2024-03-25", "Vegkart")</f>
        <v>Vegkart</v>
      </c>
      <c r="B5029">
        <v>1019025860</v>
      </c>
      <c r="C5029">
        <v>144</v>
      </c>
      <c r="D5029" t="s">
        <v>13345</v>
      </c>
      <c r="E5029">
        <v>4820</v>
      </c>
      <c r="F5029" t="s">
        <v>23479</v>
      </c>
      <c r="G5029">
        <v>1</v>
      </c>
      <c r="H5029" t="s">
        <v>16581</v>
      </c>
      <c r="J5029" t="s">
        <v>16172</v>
      </c>
      <c r="K5029" t="s">
        <v>136</v>
      </c>
      <c r="L5029" t="s">
        <v>113</v>
      </c>
      <c r="M5029" t="s">
        <v>335</v>
      </c>
      <c r="N5029" t="s">
        <v>16695</v>
      </c>
      <c r="O5029" t="s">
        <v>16696</v>
      </c>
      <c r="P5029" s="2" t="s">
        <v>37</v>
      </c>
      <c r="Q5029" t="s">
        <v>1208</v>
      </c>
      <c r="R5029">
        <v>0</v>
      </c>
      <c r="S5029">
        <v>18.309999999999999</v>
      </c>
      <c r="T5029" t="s">
        <v>16697</v>
      </c>
    </row>
    <row r="5030" spans="1:20" x14ac:dyDescent="0.25">
      <c r="A5030" s="1" t="str">
        <f>HYPERLINK("https://vegkart.atlas.vegvesen.no/#/@285100.8,6878231.8,18/hva:hva%5B0%5D%5Bfilter%5D%5B0%5D%5Boperator%5D=%21%3D&amp;hva%5B0%5D%5Bfilter%5D%5B0%5D%5Btype_id%5D=4820&amp;hva%5B0%5D%5Bfilter%5D%5B0%5D%5Bverdi%5D=&amp;hva%5B0%5D%5Bid%5D=144/når:2024-03-25", "Vegkart")</f>
        <v>Vegkart</v>
      </c>
      <c r="B5030">
        <v>1019025861</v>
      </c>
      <c r="C5030">
        <v>144</v>
      </c>
      <c r="D5030" t="s">
        <v>13345</v>
      </c>
      <c r="E5030">
        <v>4820</v>
      </c>
      <c r="F5030" t="s">
        <v>23479</v>
      </c>
      <c r="G5030">
        <v>1</v>
      </c>
      <c r="H5030" t="s">
        <v>16581</v>
      </c>
      <c r="J5030" t="s">
        <v>16172</v>
      </c>
      <c r="K5030" t="s">
        <v>136</v>
      </c>
      <c r="L5030" t="s">
        <v>113</v>
      </c>
      <c r="M5030" t="s">
        <v>335</v>
      </c>
      <c r="N5030" t="s">
        <v>16698</v>
      </c>
      <c r="O5030" t="s">
        <v>16699</v>
      </c>
      <c r="P5030" s="2" t="s">
        <v>37</v>
      </c>
      <c r="Q5030" t="s">
        <v>1208</v>
      </c>
      <c r="R5030">
        <v>0</v>
      </c>
      <c r="S5030">
        <v>17.45</v>
      </c>
      <c r="T5030" t="s">
        <v>16700</v>
      </c>
    </row>
    <row r="5031" spans="1:20" x14ac:dyDescent="0.25">
      <c r="A5031" s="1" t="str">
        <f>HYPERLINK("https://vegkart.atlas.vegvesen.no/#/@285156.1,6879025.5,18/hva:hva%5B0%5D%5Bfilter%5D%5B0%5D%5Boperator%5D=%21%3D&amp;hva%5B0%5D%5Bfilter%5D%5B0%5D%5Btype_id%5D=4820&amp;hva%5B0%5D%5Bfilter%5D%5B0%5D%5Bverdi%5D=&amp;hva%5B0%5D%5Bid%5D=144/når:2024-03-25", "Vegkart")</f>
        <v>Vegkart</v>
      </c>
      <c r="B5031">
        <v>1019025862</v>
      </c>
      <c r="C5031">
        <v>144</v>
      </c>
      <c r="D5031" t="s">
        <v>13345</v>
      </c>
      <c r="E5031">
        <v>4820</v>
      </c>
      <c r="F5031" t="s">
        <v>23479</v>
      </c>
      <c r="G5031">
        <v>1</v>
      </c>
      <c r="H5031" t="s">
        <v>16581</v>
      </c>
      <c r="J5031" t="s">
        <v>16172</v>
      </c>
      <c r="K5031" t="s">
        <v>136</v>
      </c>
      <c r="L5031" t="s">
        <v>113</v>
      </c>
      <c r="M5031" t="s">
        <v>335</v>
      </c>
      <c r="N5031" t="s">
        <v>16701</v>
      </c>
      <c r="O5031" t="s">
        <v>16702</v>
      </c>
      <c r="P5031" s="2" t="s">
        <v>37</v>
      </c>
      <c r="Q5031" t="s">
        <v>1208</v>
      </c>
      <c r="R5031">
        <v>0</v>
      </c>
      <c r="S5031">
        <v>22.82</v>
      </c>
      <c r="T5031" t="s">
        <v>16703</v>
      </c>
    </row>
    <row r="5032" spans="1:20" x14ac:dyDescent="0.25">
      <c r="A5032" s="1" t="str">
        <f>HYPERLINK("https://vegkart.atlas.vegvesen.no/#/@284977.3,6877769.0,18/hva:hva%5B0%5D%5Bfilter%5D%5B0%5D%5Boperator%5D=%21%3D&amp;hva%5B0%5D%5Bfilter%5D%5B0%5D%5Btype_id%5D=4820&amp;hva%5B0%5D%5Bfilter%5D%5B0%5D%5Bverdi%5D=&amp;hva%5B0%5D%5Bid%5D=144/når:2024-03-25", "Vegkart")</f>
        <v>Vegkart</v>
      </c>
      <c r="B5032">
        <v>1019025863</v>
      </c>
      <c r="C5032">
        <v>144</v>
      </c>
      <c r="D5032" t="s">
        <v>13345</v>
      </c>
      <c r="E5032">
        <v>4820</v>
      </c>
      <c r="F5032" t="s">
        <v>23479</v>
      </c>
      <c r="G5032">
        <v>1</v>
      </c>
      <c r="H5032" t="s">
        <v>16581</v>
      </c>
      <c r="J5032" t="s">
        <v>16172</v>
      </c>
      <c r="K5032" t="s">
        <v>136</v>
      </c>
      <c r="L5032" t="s">
        <v>113</v>
      </c>
      <c r="M5032" t="s">
        <v>335</v>
      </c>
      <c r="N5032" t="s">
        <v>16704</v>
      </c>
      <c r="O5032" t="s">
        <v>16705</v>
      </c>
      <c r="P5032" s="2" t="s">
        <v>37</v>
      </c>
      <c r="Q5032" t="s">
        <v>1208</v>
      </c>
      <c r="R5032">
        <v>0</v>
      </c>
      <c r="S5032">
        <v>17.41</v>
      </c>
      <c r="T5032" t="s">
        <v>16706</v>
      </c>
    </row>
    <row r="5033" spans="1:20" x14ac:dyDescent="0.25">
      <c r="A5033" s="1" t="str">
        <f>HYPERLINK("https://vegkart.atlas.vegvesen.no/#/@285136.9,6879106.4,18/hva:hva%5B0%5D%5Bfilter%5D%5B0%5D%5Boperator%5D=%21%3D&amp;hva%5B0%5D%5Bfilter%5D%5B0%5D%5Btype_id%5D=4820&amp;hva%5B0%5D%5Bfilter%5D%5B0%5D%5Bverdi%5D=&amp;hva%5B0%5D%5Bid%5D=144/når:2024-03-25", "Vegkart")</f>
        <v>Vegkart</v>
      </c>
      <c r="B5033">
        <v>1019025864</v>
      </c>
      <c r="C5033">
        <v>144</v>
      </c>
      <c r="D5033" t="s">
        <v>13345</v>
      </c>
      <c r="E5033">
        <v>4820</v>
      </c>
      <c r="F5033" t="s">
        <v>23479</v>
      </c>
      <c r="G5033">
        <v>1</v>
      </c>
      <c r="H5033" t="s">
        <v>16581</v>
      </c>
      <c r="J5033" t="s">
        <v>16172</v>
      </c>
      <c r="K5033" t="s">
        <v>136</v>
      </c>
      <c r="L5033" t="s">
        <v>113</v>
      </c>
      <c r="M5033" t="s">
        <v>335</v>
      </c>
      <c r="N5033" t="s">
        <v>16707</v>
      </c>
      <c r="O5033" t="s">
        <v>16708</v>
      </c>
      <c r="P5033" s="2" t="s">
        <v>37</v>
      </c>
      <c r="Q5033" t="s">
        <v>1208</v>
      </c>
      <c r="R5033">
        <v>0</v>
      </c>
      <c r="S5033">
        <v>26.11</v>
      </c>
      <c r="T5033" t="s">
        <v>16709</v>
      </c>
    </row>
    <row r="5034" spans="1:20" x14ac:dyDescent="0.25">
      <c r="A5034" s="1" t="str">
        <f>HYPERLINK("https://vegkart.atlas.vegvesen.no/#/@285027.8,6879520.0,18/hva:hva%5B0%5D%5Bfilter%5D%5B0%5D%5Boperator%5D=%21%3D&amp;hva%5B0%5D%5Bfilter%5D%5B0%5D%5Btype_id%5D=4820&amp;hva%5B0%5D%5Bfilter%5D%5B0%5D%5Bverdi%5D=&amp;hva%5B0%5D%5Bid%5D=144/når:2024-03-25", "Vegkart")</f>
        <v>Vegkart</v>
      </c>
      <c r="B5034">
        <v>1019025865</v>
      </c>
      <c r="C5034">
        <v>144</v>
      </c>
      <c r="D5034" t="s">
        <v>13345</v>
      </c>
      <c r="E5034">
        <v>4820</v>
      </c>
      <c r="F5034" t="s">
        <v>23479</v>
      </c>
      <c r="G5034">
        <v>1</v>
      </c>
      <c r="H5034" t="s">
        <v>16581</v>
      </c>
      <c r="J5034" t="s">
        <v>16172</v>
      </c>
      <c r="K5034" t="s">
        <v>136</v>
      </c>
      <c r="L5034" t="s">
        <v>113</v>
      </c>
      <c r="M5034" t="s">
        <v>335</v>
      </c>
      <c r="N5034" t="s">
        <v>16710</v>
      </c>
      <c r="O5034" t="s">
        <v>16711</v>
      </c>
      <c r="P5034" s="2" t="s">
        <v>37</v>
      </c>
      <c r="Q5034" t="s">
        <v>1208</v>
      </c>
      <c r="R5034">
        <v>0</v>
      </c>
      <c r="S5034">
        <v>16.98</v>
      </c>
      <c r="T5034" t="s">
        <v>16712</v>
      </c>
    </row>
    <row r="5035" spans="1:20" x14ac:dyDescent="0.25">
      <c r="A5035" s="1" t="str">
        <f>HYPERLINK("https://vegkart.atlas.vegvesen.no/#/@853461.9,7891799.5,18/hva:hva%5B0%5D%5Bfilter%5D%5B0%5D%5Boperator%5D=%21%3D&amp;hva%5B0%5D%5Bfilter%5D%5B0%5D%5Btype_id%5D=4820&amp;hva%5B0%5D%5Bfilter%5D%5B0%5D%5Bverdi%5D=&amp;hva%5B0%5D%5Bid%5D=144/når:2024-04-10", "Vegkart")</f>
        <v>Vegkart</v>
      </c>
      <c r="B5035">
        <v>1019047461</v>
      </c>
      <c r="C5035">
        <v>144</v>
      </c>
      <c r="D5035" t="s">
        <v>13345</v>
      </c>
      <c r="E5035">
        <v>4820</v>
      </c>
      <c r="F5035" t="s">
        <v>23479</v>
      </c>
      <c r="G5035">
        <v>1</v>
      </c>
      <c r="H5035" t="s">
        <v>16713</v>
      </c>
      <c r="J5035" t="s">
        <v>16172</v>
      </c>
      <c r="K5035" t="s">
        <v>450</v>
      </c>
      <c r="L5035" t="s">
        <v>33</v>
      </c>
      <c r="M5035" t="s">
        <v>1282</v>
      </c>
      <c r="N5035" t="s">
        <v>16714</v>
      </c>
      <c r="O5035" t="s">
        <v>16715</v>
      </c>
      <c r="P5035" s="2" t="s">
        <v>37</v>
      </c>
      <c r="Q5035" t="s">
        <v>1208</v>
      </c>
      <c r="R5035">
        <v>0</v>
      </c>
      <c r="S5035">
        <v>11.33</v>
      </c>
      <c r="T5035" t="s">
        <v>16716</v>
      </c>
    </row>
    <row r="5036" spans="1:20" x14ac:dyDescent="0.25">
      <c r="A5036" s="1" t="str">
        <f>HYPERLINK("https://vegkart.atlas.vegvesen.no/#/@853558.9,7891719.6,18/hva:hva%5B0%5D%5Bfilter%5D%5B0%5D%5Boperator%5D=%21%3D&amp;hva%5B0%5D%5Bfilter%5D%5B0%5D%5Btype_id%5D=4820&amp;hva%5B0%5D%5Bfilter%5D%5B0%5D%5Bverdi%5D=&amp;hva%5B0%5D%5Bid%5D=144/når:2024-04-10", "Vegkart")</f>
        <v>Vegkart</v>
      </c>
      <c r="B5036">
        <v>1019047462</v>
      </c>
      <c r="C5036">
        <v>144</v>
      </c>
      <c r="D5036" t="s">
        <v>13345</v>
      </c>
      <c r="E5036">
        <v>4820</v>
      </c>
      <c r="F5036" t="s">
        <v>23479</v>
      </c>
      <c r="G5036">
        <v>1</v>
      </c>
      <c r="H5036" t="s">
        <v>16713</v>
      </c>
      <c r="J5036" t="s">
        <v>16172</v>
      </c>
      <c r="K5036" t="s">
        <v>450</v>
      </c>
      <c r="L5036" t="s">
        <v>33</v>
      </c>
      <c r="M5036" t="s">
        <v>1282</v>
      </c>
      <c r="N5036" t="s">
        <v>16717</v>
      </c>
      <c r="O5036" t="s">
        <v>16718</v>
      </c>
      <c r="P5036" s="2" t="s">
        <v>37</v>
      </c>
      <c r="Q5036" t="s">
        <v>1208</v>
      </c>
      <c r="R5036">
        <v>0</v>
      </c>
      <c r="S5036">
        <v>14.96</v>
      </c>
      <c r="T5036" t="s">
        <v>16719</v>
      </c>
    </row>
    <row r="5037" spans="1:20" x14ac:dyDescent="0.25">
      <c r="A5037" s="1" t="str">
        <f>HYPERLINK("https://vegkart.atlas.vegvesen.no/#/@303322.6,7024267.8,18/hva:hva%5B0%5D%5Bfilter%5D%5B0%5D%5Boperator%5D=%21%3D&amp;hva%5B0%5D%5Bfilter%5D%5B0%5D%5Btype_id%5D=4820&amp;hva%5B0%5D%5Bfilter%5D%5B0%5D%5Bverdi%5D=&amp;hva%5B0%5D%5Bid%5D=144/når:2024-04-23", "Vegkart")</f>
        <v>Vegkart</v>
      </c>
      <c r="B5037">
        <v>1019080239</v>
      </c>
      <c r="C5037">
        <v>144</v>
      </c>
      <c r="D5037" t="s">
        <v>13345</v>
      </c>
      <c r="E5037">
        <v>4820</v>
      </c>
      <c r="F5037" t="s">
        <v>23479</v>
      </c>
      <c r="G5037">
        <v>1</v>
      </c>
      <c r="H5037" t="s">
        <v>12455</v>
      </c>
      <c r="J5037" t="s">
        <v>16172</v>
      </c>
      <c r="K5037" t="s">
        <v>192</v>
      </c>
      <c r="L5037" t="s">
        <v>33</v>
      </c>
      <c r="M5037" t="s">
        <v>14249</v>
      </c>
      <c r="N5037" t="s">
        <v>16720</v>
      </c>
      <c r="O5037" t="s">
        <v>16721</v>
      </c>
      <c r="P5037" s="2" t="s">
        <v>37</v>
      </c>
      <c r="Q5037" t="s">
        <v>1208</v>
      </c>
      <c r="R5037">
        <v>9.98</v>
      </c>
      <c r="S5037">
        <v>15.68</v>
      </c>
      <c r="T5037" t="s">
        <v>16722</v>
      </c>
    </row>
    <row r="5038" spans="1:20" x14ac:dyDescent="0.25">
      <c r="A5038" s="1" t="str">
        <f>HYPERLINK("https://vegkart.atlas.vegvesen.no/#/@632103.1,7728787.9,18/hva:hva%5B0%5D%5Bfilter%5D%5B0%5D%5Boperator%5D=%21%3D&amp;hva%5B0%5D%5Bfilter%5D%5B0%5D%5Btype_id%5D=4820&amp;hva%5B0%5D%5Bfilter%5D%5B0%5D%5Bverdi%5D=&amp;hva%5B0%5D%5Bid%5D=144/når:2024-05-03", "Vegkart")</f>
        <v>Vegkart</v>
      </c>
      <c r="B5038">
        <v>1019102162</v>
      </c>
      <c r="C5038">
        <v>144</v>
      </c>
      <c r="D5038" t="s">
        <v>13345</v>
      </c>
      <c r="E5038">
        <v>4820</v>
      </c>
      <c r="F5038" t="s">
        <v>23479</v>
      </c>
      <c r="G5038">
        <v>1</v>
      </c>
      <c r="H5038" t="s">
        <v>16723</v>
      </c>
      <c r="J5038" t="s">
        <v>16724</v>
      </c>
      <c r="K5038" t="s">
        <v>179</v>
      </c>
      <c r="L5038" t="s">
        <v>33</v>
      </c>
      <c r="M5038" t="s">
        <v>1244</v>
      </c>
      <c r="N5038" t="s">
        <v>16725</v>
      </c>
      <c r="O5038" t="s">
        <v>16726</v>
      </c>
      <c r="P5038" s="2" t="s">
        <v>37</v>
      </c>
      <c r="Q5038" t="s">
        <v>1208</v>
      </c>
      <c r="R5038">
        <v>0</v>
      </c>
      <c r="S5038">
        <v>75.900000000000006</v>
      </c>
      <c r="T5038" t="s">
        <v>16727</v>
      </c>
    </row>
    <row r="5039" spans="1:20" x14ac:dyDescent="0.25">
      <c r="A5039" s="1" t="str">
        <f>HYPERLINK("https://vegkart.atlas.vegvesen.no/#/@35056.2,6915331.2,18/hva:hva%5B0%5D%5Bfilter%5D%5B0%5D%5Boperator%5D=%21%3D&amp;hva%5B0%5D%5Bfilter%5D%5B0%5D%5Btype_id%5D=4820&amp;hva%5B0%5D%5Bfilter%5D%5B0%5D%5Bverdi%5D=&amp;hva%5B0%5D%5Bid%5D=144/når:2024-09-12", "Vegkart")</f>
        <v>Vegkart</v>
      </c>
      <c r="B5039">
        <v>1019791906</v>
      </c>
      <c r="C5039">
        <v>144</v>
      </c>
      <c r="D5039" t="s">
        <v>13345</v>
      </c>
      <c r="E5039">
        <v>4820</v>
      </c>
      <c r="F5039" t="s">
        <v>23479</v>
      </c>
      <c r="G5039">
        <v>1</v>
      </c>
      <c r="H5039" t="s">
        <v>16728</v>
      </c>
      <c r="J5039" t="s">
        <v>16724</v>
      </c>
      <c r="K5039" t="s">
        <v>32</v>
      </c>
      <c r="L5039" t="s">
        <v>113</v>
      </c>
      <c r="M5039" t="s">
        <v>16729</v>
      </c>
      <c r="N5039" t="s">
        <v>16730</v>
      </c>
      <c r="O5039" t="s">
        <v>16731</v>
      </c>
      <c r="P5039" s="2" t="s">
        <v>67</v>
      </c>
      <c r="Q5039" t="s">
        <v>68</v>
      </c>
      <c r="R5039">
        <v>17.39</v>
      </c>
      <c r="S5039">
        <v>17.39</v>
      </c>
      <c r="T5039" t="s">
        <v>16732</v>
      </c>
    </row>
    <row r="5040" spans="1:20" x14ac:dyDescent="0.25">
      <c r="A5040" s="1" t="str">
        <f>HYPERLINK("https://vegkart.atlas.vegvesen.no/#/@16197.2,6756128.1,18/hva:hva%5B0%5D%5Bfilter%5D%5B0%5D%5Boperator%5D=%21%3D&amp;hva%5B0%5D%5Bfilter%5D%5B0%5D%5Btype_id%5D=4820&amp;hva%5B0%5D%5Bfilter%5D%5B0%5D%5Bverdi%5D=&amp;hva%5B0%5D%5Bid%5D=144/når:2024-11-05", "Vegkart")</f>
        <v>Vegkart</v>
      </c>
      <c r="B5040">
        <v>1021056697</v>
      </c>
      <c r="C5040">
        <v>144</v>
      </c>
      <c r="D5040" t="s">
        <v>13345</v>
      </c>
      <c r="E5040">
        <v>4820</v>
      </c>
      <c r="F5040" t="s">
        <v>23479</v>
      </c>
      <c r="G5040">
        <v>1</v>
      </c>
      <c r="H5040" t="s">
        <v>785</v>
      </c>
      <c r="J5040" t="s">
        <v>16724</v>
      </c>
      <c r="K5040" t="s">
        <v>21</v>
      </c>
      <c r="L5040" t="s">
        <v>80</v>
      </c>
      <c r="M5040" t="s">
        <v>152</v>
      </c>
      <c r="N5040" t="s">
        <v>16733</v>
      </c>
      <c r="O5040" t="s">
        <v>16734</v>
      </c>
      <c r="P5040" s="2" t="s">
        <v>37</v>
      </c>
      <c r="Q5040" t="s">
        <v>1208</v>
      </c>
      <c r="R5040">
        <v>0</v>
      </c>
      <c r="S5040">
        <v>146.22999999999999</v>
      </c>
      <c r="T5040" t="s">
        <v>16735</v>
      </c>
    </row>
    <row r="5041" spans="1:20" x14ac:dyDescent="0.25">
      <c r="A5041" s="1" t="str">
        <f>HYPERLINK("https://vegkart.atlas.vegvesen.no/#/@655227.6,7736071.6,18/hva:hva%5B0%5D%5Bfilter%5D%5B0%5D%5Boperator%5D=%21%3D&amp;hva%5B0%5D%5Bfilter%5D%5B0%5D%5Btype_id%5D=4820&amp;hva%5B0%5D%5Bfilter%5D%5B0%5D%5Bverdi%5D=&amp;hva%5B0%5D%5Bid%5D=144/når:2024-11-07", "Vegkart")</f>
        <v>Vegkart</v>
      </c>
      <c r="B5041">
        <v>1021065835</v>
      </c>
      <c r="C5041">
        <v>144</v>
      </c>
      <c r="D5041" t="s">
        <v>13345</v>
      </c>
      <c r="E5041">
        <v>4820</v>
      </c>
      <c r="F5041" t="s">
        <v>23479</v>
      </c>
      <c r="G5041">
        <v>1</v>
      </c>
      <c r="H5041" t="s">
        <v>12709</v>
      </c>
      <c r="J5041" t="s">
        <v>16724</v>
      </c>
      <c r="K5041" t="s">
        <v>179</v>
      </c>
      <c r="L5041" t="s">
        <v>33</v>
      </c>
      <c r="M5041" t="s">
        <v>7319</v>
      </c>
      <c r="N5041" t="s">
        <v>16736</v>
      </c>
      <c r="O5041" t="s">
        <v>16737</v>
      </c>
      <c r="P5041" s="2" t="s">
        <v>37</v>
      </c>
      <c r="Q5041" t="s">
        <v>1208</v>
      </c>
      <c r="R5041">
        <v>0</v>
      </c>
      <c r="S5041">
        <v>471.95</v>
      </c>
      <c r="T5041" t="s">
        <v>16738</v>
      </c>
    </row>
    <row r="5042" spans="1:20" x14ac:dyDescent="0.25">
      <c r="A5042" s="1" t="str">
        <f>HYPERLINK("https://vegkart.atlas.vegvesen.no/#/@117411.7,6519951.8,18/hva:hva%5B0%5D%5Bfilter%5D%5B0%5D%5Boperator%5D=%21%3D&amp;hva%5B0%5D%5Bfilter%5D%5B0%5D%5Btype_id%5D=4820&amp;hva%5B0%5D%5Bfilter%5D%5B0%5D%5Bverdi%5D=&amp;hva%5B0%5D%5Bid%5D=144/når:2025-04-07", "Vegkart")</f>
        <v>Vegkart</v>
      </c>
      <c r="B5042">
        <v>1022454432</v>
      </c>
      <c r="C5042">
        <v>144</v>
      </c>
      <c r="D5042" t="s">
        <v>13345</v>
      </c>
      <c r="E5042">
        <v>4820</v>
      </c>
      <c r="F5042" t="s">
        <v>23479</v>
      </c>
      <c r="G5042">
        <v>1</v>
      </c>
      <c r="H5042" t="s">
        <v>6987</v>
      </c>
      <c r="J5042" t="s">
        <v>16739</v>
      </c>
      <c r="K5042" t="s">
        <v>86</v>
      </c>
      <c r="L5042" t="s">
        <v>113</v>
      </c>
      <c r="M5042" t="s">
        <v>198</v>
      </c>
      <c r="N5042" t="s">
        <v>16740</v>
      </c>
      <c r="O5042" t="s">
        <v>16741</v>
      </c>
      <c r="P5042" s="2" t="s">
        <v>37</v>
      </c>
      <c r="Q5042" t="s">
        <v>1208</v>
      </c>
      <c r="R5042">
        <v>0</v>
      </c>
      <c r="S5042">
        <v>115.3</v>
      </c>
      <c r="T5042" t="s">
        <v>16742</v>
      </c>
    </row>
    <row r="5043" spans="1:20" x14ac:dyDescent="0.25">
      <c r="A5043" s="1" t="str">
        <f>HYPERLINK("https://vegkart.atlas.vegvesen.no/#/@117457.0,6519924.2,18/hva:hva%5B0%5D%5Bfilter%5D%5B0%5D%5Boperator%5D=%21%3D&amp;hva%5B0%5D%5Bfilter%5D%5B0%5D%5Btype_id%5D=4820&amp;hva%5B0%5D%5Bfilter%5D%5B0%5D%5Bverdi%5D=&amp;hva%5B0%5D%5Bid%5D=144/når:2025-04-07", "Vegkart")</f>
        <v>Vegkart</v>
      </c>
      <c r="B5043">
        <v>1022454433</v>
      </c>
      <c r="C5043">
        <v>144</v>
      </c>
      <c r="D5043" t="s">
        <v>13345</v>
      </c>
      <c r="E5043">
        <v>4820</v>
      </c>
      <c r="F5043" t="s">
        <v>23479</v>
      </c>
      <c r="G5043">
        <v>1</v>
      </c>
      <c r="H5043" t="s">
        <v>6987</v>
      </c>
      <c r="J5043" t="s">
        <v>16739</v>
      </c>
      <c r="K5043" t="s">
        <v>86</v>
      </c>
      <c r="L5043" t="s">
        <v>113</v>
      </c>
      <c r="M5043" t="s">
        <v>198</v>
      </c>
      <c r="N5043" t="s">
        <v>16743</v>
      </c>
      <c r="O5043" t="s">
        <v>16744</v>
      </c>
      <c r="P5043" s="2" t="s">
        <v>37</v>
      </c>
      <c r="Q5043" t="s">
        <v>1208</v>
      </c>
      <c r="R5043">
        <v>0</v>
      </c>
      <c r="S5043">
        <v>133.88999999999999</v>
      </c>
      <c r="T5043" t="s">
        <v>16745</v>
      </c>
    </row>
    <row r="5044" spans="1:20" x14ac:dyDescent="0.25">
      <c r="A5044" s="1" t="str">
        <f>HYPERLINK("https://vegkart.atlas.vegvesen.no/#/@-4721.5,6840768.7,18/hva:hva%5B0%5D%5Bfilter%5D%5B0%5D%5Boperator%5D=%21%3D&amp;hva%5B0%5D%5Bfilter%5D%5B0%5D%5Btype_id%5D=4820&amp;hva%5B0%5D%5Bfilter%5D%5B0%5D%5Bverdi%5D=&amp;hva%5B0%5D%5Bid%5D=144/når:2025-07-09", "Vegkart")</f>
        <v>Vegkart</v>
      </c>
      <c r="B5044">
        <v>1024579257</v>
      </c>
      <c r="C5044">
        <v>144</v>
      </c>
      <c r="D5044" t="s">
        <v>13345</v>
      </c>
      <c r="E5044">
        <v>4820</v>
      </c>
      <c r="F5044" t="s">
        <v>23479</v>
      </c>
      <c r="G5044">
        <v>1</v>
      </c>
      <c r="H5044" t="s">
        <v>5782</v>
      </c>
      <c r="J5044" t="s">
        <v>16739</v>
      </c>
      <c r="K5044" t="s">
        <v>21</v>
      </c>
      <c r="L5044" t="s">
        <v>33</v>
      </c>
      <c r="M5044" t="s">
        <v>795</v>
      </c>
      <c r="N5044" t="s">
        <v>16746</v>
      </c>
      <c r="O5044" t="s">
        <v>16747</v>
      </c>
      <c r="P5044" s="2" t="s">
        <v>37</v>
      </c>
      <c r="Q5044" t="s">
        <v>1208</v>
      </c>
      <c r="R5044">
        <v>0</v>
      </c>
      <c r="S5044">
        <v>5.73</v>
      </c>
      <c r="T5044" t="s">
        <v>16748</v>
      </c>
    </row>
    <row r="5045" spans="1:20" x14ac:dyDescent="0.25">
      <c r="A5045" s="1" t="str">
        <f>HYPERLINK("https://vegkart.atlas.vegvesen.no/#/@-5194.4,6840886.9,18/hva:hva%5B0%5D%5Bfilter%5D%5B0%5D%5Boperator%5D=%21%3D&amp;hva%5B0%5D%5Bfilter%5D%5B0%5D%5Btype_id%5D=4820&amp;hva%5B0%5D%5Bfilter%5D%5B0%5D%5Bverdi%5D=&amp;hva%5B0%5D%5Bid%5D=144/når:2025-07-09", "Vegkart")</f>
        <v>Vegkart</v>
      </c>
      <c r="B5045">
        <v>1024579258</v>
      </c>
      <c r="C5045">
        <v>144</v>
      </c>
      <c r="D5045" t="s">
        <v>13345</v>
      </c>
      <c r="E5045">
        <v>4820</v>
      </c>
      <c r="F5045" t="s">
        <v>23479</v>
      </c>
      <c r="G5045">
        <v>1</v>
      </c>
      <c r="H5045" t="s">
        <v>5782</v>
      </c>
      <c r="J5045" t="s">
        <v>16739</v>
      </c>
      <c r="K5045" t="s">
        <v>21</v>
      </c>
      <c r="L5045" t="s">
        <v>33</v>
      </c>
      <c r="M5045" t="s">
        <v>795</v>
      </c>
      <c r="N5045" t="s">
        <v>16749</v>
      </c>
      <c r="O5045" t="s">
        <v>16750</v>
      </c>
      <c r="P5045" s="2" t="s">
        <v>37</v>
      </c>
      <c r="Q5045" t="s">
        <v>1208</v>
      </c>
      <c r="R5045">
        <v>0</v>
      </c>
      <c r="S5045">
        <v>11.11</v>
      </c>
      <c r="T5045" t="s">
        <v>16751</v>
      </c>
    </row>
    <row r="5046" spans="1:20" x14ac:dyDescent="0.25">
      <c r="A5046" s="1" t="str">
        <f>HYPERLINK("https://vegkart.atlas.vegvesen.no/#/@-4516.5,6840600.9,18/hva:hva%5B0%5D%5Bfilter%5D%5B0%5D%5Boperator%5D=%21%3D&amp;hva%5B0%5D%5Bfilter%5D%5B0%5D%5Btype_id%5D=4820&amp;hva%5B0%5D%5Bfilter%5D%5B0%5D%5Bverdi%5D=&amp;hva%5B0%5D%5Bid%5D=144/når:2025-07-09", "Vegkart")</f>
        <v>Vegkart</v>
      </c>
      <c r="B5046">
        <v>1024579259</v>
      </c>
      <c r="C5046">
        <v>144</v>
      </c>
      <c r="D5046" t="s">
        <v>13345</v>
      </c>
      <c r="E5046">
        <v>4820</v>
      </c>
      <c r="F5046" t="s">
        <v>23479</v>
      </c>
      <c r="G5046">
        <v>1</v>
      </c>
      <c r="H5046" t="s">
        <v>5782</v>
      </c>
      <c r="J5046" t="s">
        <v>16739</v>
      </c>
      <c r="K5046" t="s">
        <v>21</v>
      </c>
      <c r="L5046" t="s">
        <v>33</v>
      </c>
      <c r="M5046" t="s">
        <v>795</v>
      </c>
      <c r="N5046" t="s">
        <v>16752</v>
      </c>
      <c r="O5046" t="s">
        <v>16753</v>
      </c>
      <c r="P5046" s="2" t="s">
        <v>37</v>
      </c>
      <c r="Q5046" t="s">
        <v>1208</v>
      </c>
      <c r="R5046">
        <v>0</v>
      </c>
      <c r="S5046">
        <v>9.1999999999999993</v>
      </c>
      <c r="T5046" t="s">
        <v>16754</v>
      </c>
    </row>
    <row r="5047" spans="1:20" x14ac:dyDescent="0.25">
      <c r="A5047" s="1" t="str">
        <f>HYPERLINK("https://vegkart.atlas.vegvesen.no/#/@-4265.0,6840451.3,18/hva:hva%5B0%5D%5Bfilter%5D%5B0%5D%5Boperator%5D=%21%3D&amp;hva%5B0%5D%5Bfilter%5D%5B0%5D%5Btype_id%5D=4820&amp;hva%5B0%5D%5Bfilter%5D%5B0%5D%5Bverdi%5D=&amp;hva%5B0%5D%5Bid%5D=144/når:2025-07-09", "Vegkart")</f>
        <v>Vegkart</v>
      </c>
      <c r="B5047">
        <v>1024579260</v>
      </c>
      <c r="C5047">
        <v>144</v>
      </c>
      <c r="D5047" t="s">
        <v>13345</v>
      </c>
      <c r="E5047">
        <v>4820</v>
      </c>
      <c r="F5047" t="s">
        <v>23479</v>
      </c>
      <c r="G5047">
        <v>1</v>
      </c>
      <c r="H5047" t="s">
        <v>5782</v>
      </c>
      <c r="J5047" t="s">
        <v>16739</v>
      </c>
      <c r="K5047" t="s">
        <v>21</v>
      </c>
      <c r="L5047" t="s">
        <v>33</v>
      </c>
      <c r="M5047" t="s">
        <v>795</v>
      </c>
      <c r="N5047" t="s">
        <v>16755</v>
      </c>
      <c r="O5047" t="s">
        <v>16756</v>
      </c>
      <c r="P5047" s="2" t="s">
        <v>37</v>
      </c>
      <c r="Q5047" t="s">
        <v>1208</v>
      </c>
      <c r="R5047">
        <v>0</v>
      </c>
      <c r="S5047">
        <v>21.85</v>
      </c>
      <c r="T5047" t="s">
        <v>16757</v>
      </c>
    </row>
    <row r="5048" spans="1:20" x14ac:dyDescent="0.25">
      <c r="A5048" s="1" t="str">
        <f>HYPERLINK("https://vegkart.atlas.vegvesen.no/#/@-5445.6,6840901.7,18/hva:hva%5B0%5D%5Bfilter%5D%5B0%5D%5Boperator%5D=%21%3D&amp;hva%5B0%5D%5Bfilter%5D%5B0%5D%5Btype_id%5D=4820&amp;hva%5B0%5D%5Bfilter%5D%5B0%5D%5Bverdi%5D=&amp;hva%5B0%5D%5Bid%5D=144/når:2025-07-09", "Vegkart")</f>
        <v>Vegkart</v>
      </c>
      <c r="B5048">
        <v>1024579261</v>
      </c>
      <c r="C5048">
        <v>144</v>
      </c>
      <c r="D5048" t="s">
        <v>13345</v>
      </c>
      <c r="E5048">
        <v>4820</v>
      </c>
      <c r="F5048" t="s">
        <v>23479</v>
      </c>
      <c r="G5048">
        <v>1</v>
      </c>
      <c r="H5048" t="s">
        <v>5782</v>
      </c>
      <c r="J5048" t="s">
        <v>16739</v>
      </c>
      <c r="K5048" t="s">
        <v>21</v>
      </c>
      <c r="L5048" t="s">
        <v>33</v>
      </c>
      <c r="M5048" t="s">
        <v>795</v>
      </c>
      <c r="N5048" t="s">
        <v>16758</v>
      </c>
      <c r="O5048" t="s">
        <v>16759</v>
      </c>
      <c r="P5048" s="2" t="s">
        <v>37</v>
      </c>
      <c r="Q5048" t="s">
        <v>1208</v>
      </c>
      <c r="R5048">
        <v>0</v>
      </c>
      <c r="S5048">
        <v>8.02</v>
      </c>
      <c r="T5048" t="s">
        <v>16760</v>
      </c>
    </row>
    <row r="5049" spans="1:20" x14ac:dyDescent="0.25">
      <c r="A5049" s="1" t="str">
        <f>HYPERLINK("https://vegkart.atlas.vegvesen.no/#/@-5391.2,6840888.5,18/hva:hva%5B0%5D%5Bfilter%5D%5B0%5D%5Boperator%5D=%21%3D&amp;hva%5B0%5D%5Bfilter%5D%5B0%5D%5Btype_id%5D=4820&amp;hva%5B0%5D%5Bfilter%5D%5B0%5D%5Bverdi%5D=&amp;hva%5B0%5D%5Bid%5D=144/når:2025-07-09", "Vegkart")</f>
        <v>Vegkart</v>
      </c>
      <c r="B5049">
        <v>1024579262</v>
      </c>
      <c r="C5049">
        <v>144</v>
      </c>
      <c r="D5049" t="s">
        <v>13345</v>
      </c>
      <c r="E5049">
        <v>4820</v>
      </c>
      <c r="F5049" t="s">
        <v>23479</v>
      </c>
      <c r="G5049">
        <v>1</v>
      </c>
      <c r="H5049" t="s">
        <v>5782</v>
      </c>
      <c r="J5049" t="s">
        <v>16739</v>
      </c>
      <c r="K5049" t="s">
        <v>21</v>
      </c>
      <c r="L5049" t="s">
        <v>33</v>
      </c>
      <c r="M5049" t="s">
        <v>795</v>
      </c>
      <c r="N5049" t="s">
        <v>16761</v>
      </c>
      <c r="O5049" t="s">
        <v>16762</v>
      </c>
      <c r="P5049" s="2" t="s">
        <v>37</v>
      </c>
      <c r="Q5049" t="s">
        <v>1208</v>
      </c>
      <c r="R5049">
        <v>0</v>
      </c>
      <c r="S5049">
        <v>9.06</v>
      </c>
      <c r="T5049" t="s">
        <v>16763</v>
      </c>
    </row>
    <row r="5050" spans="1:20" x14ac:dyDescent="0.25">
      <c r="A5050" s="1" t="str">
        <f>HYPERLINK("https://vegkart.atlas.vegvesen.no/#/@-4622.8,6840669.3,18/hva:hva%5B0%5D%5Bfilter%5D%5B0%5D%5Boperator%5D=%21%3D&amp;hva%5B0%5D%5Bfilter%5D%5B0%5D%5Btype_id%5D=4820&amp;hva%5B0%5D%5Bfilter%5D%5B0%5D%5Bverdi%5D=&amp;hva%5B0%5D%5Bid%5D=144/når:2025-07-09", "Vegkart")</f>
        <v>Vegkart</v>
      </c>
      <c r="B5050">
        <v>1024579263</v>
      </c>
      <c r="C5050">
        <v>144</v>
      </c>
      <c r="D5050" t="s">
        <v>13345</v>
      </c>
      <c r="E5050">
        <v>4820</v>
      </c>
      <c r="F5050" t="s">
        <v>23479</v>
      </c>
      <c r="G5050">
        <v>1</v>
      </c>
      <c r="H5050" t="s">
        <v>5782</v>
      </c>
      <c r="J5050" t="s">
        <v>16739</v>
      </c>
      <c r="K5050" t="s">
        <v>21</v>
      </c>
      <c r="L5050" t="s">
        <v>33</v>
      </c>
      <c r="M5050" t="s">
        <v>795</v>
      </c>
      <c r="N5050" t="s">
        <v>16764</v>
      </c>
      <c r="O5050" t="s">
        <v>16765</v>
      </c>
      <c r="P5050" s="2" t="s">
        <v>37</v>
      </c>
      <c r="Q5050" t="s">
        <v>1208</v>
      </c>
      <c r="R5050">
        <v>0</v>
      </c>
      <c r="S5050">
        <v>6.48</v>
      </c>
      <c r="T5050" t="s">
        <v>16766</v>
      </c>
    </row>
    <row r="5051" spans="1:20" x14ac:dyDescent="0.25">
      <c r="A5051" s="1" t="str">
        <f>HYPERLINK("https://vegkart.atlas.vegvesen.no/#/@-5009.7,6840995.6,18/hva:hva%5B0%5D%5Bfilter%5D%5B0%5D%5Boperator%5D=%21%3D&amp;hva%5B0%5D%5Bfilter%5D%5B0%5D%5Btype_id%5D=4820&amp;hva%5B0%5D%5Bfilter%5D%5B0%5D%5Bverdi%5D=&amp;hva%5B0%5D%5Bid%5D=144/når:2025-07-09", "Vegkart")</f>
        <v>Vegkart</v>
      </c>
      <c r="B5051">
        <v>1024579264</v>
      </c>
      <c r="C5051">
        <v>144</v>
      </c>
      <c r="D5051" t="s">
        <v>13345</v>
      </c>
      <c r="E5051">
        <v>4820</v>
      </c>
      <c r="F5051" t="s">
        <v>23479</v>
      </c>
      <c r="G5051">
        <v>1</v>
      </c>
      <c r="H5051" t="s">
        <v>5782</v>
      </c>
      <c r="J5051" t="s">
        <v>16739</v>
      </c>
      <c r="K5051" t="s">
        <v>21</v>
      </c>
      <c r="L5051" t="s">
        <v>33</v>
      </c>
      <c r="M5051" t="s">
        <v>795</v>
      </c>
      <c r="N5051" t="s">
        <v>16767</v>
      </c>
      <c r="O5051" t="s">
        <v>16768</v>
      </c>
      <c r="P5051" s="2" t="s">
        <v>37</v>
      </c>
      <c r="Q5051" t="s">
        <v>1208</v>
      </c>
      <c r="R5051">
        <v>0</v>
      </c>
      <c r="S5051">
        <v>12.57</v>
      </c>
      <c r="T5051" t="s">
        <v>16769</v>
      </c>
    </row>
    <row r="5052" spans="1:20" x14ac:dyDescent="0.25">
      <c r="A5052" s="1" t="str">
        <f>HYPERLINK("https://vegkart.atlas.vegvesen.no/#/@-4599.4,6840653.0,18/hva:hva%5B0%5D%5Bfilter%5D%5B0%5D%5Boperator%5D=%21%3D&amp;hva%5B0%5D%5Bfilter%5D%5B0%5D%5Btype_id%5D=4820&amp;hva%5B0%5D%5Bfilter%5D%5B0%5D%5Bverdi%5D=&amp;hva%5B0%5D%5Bid%5D=144/når:2025-07-09", "Vegkart")</f>
        <v>Vegkart</v>
      </c>
      <c r="B5052">
        <v>1024579265</v>
      </c>
      <c r="C5052">
        <v>144</v>
      </c>
      <c r="D5052" t="s">
        <v>13345</v>
      </c>
      <c r="E5052">
        <v>4820</v>
      </c>
      <c r="F5052" t="s">
        <v>23479</v>
      </c>
      <c r="G5052">
        <v>1</v>
      </c>
      <c r="H5052" t="s">
        <v>5782</v>
      </c>
      <c r="J5052" t="s">
        <v>16739</v>
      </c>
      <c r="K5052" t="s">
        <v>21</v>
      </c>
      <c r="L5052" t="s">
        <v>33</v>
      </c>
      <c r="M5052" t="s">
        <v>795</v>
      </c>
      <c r="N5052" t="s">
        <v>16770</v>
      </c>
      <c r="O5052" t="s">
        <v>16771</v>
      </c>
      <c r="P5052" s="2" t="s">
        <v>37</v>
      </c>
      <c r="Q5052" t="s">
        <v>1208</v>
      </c>
      <c r="R5052">
        <v>3.69</v>
      </c>
      <c r="S5052">
        <v>8.7100000000000009</v>
      </c>
      <c r="T5052" t="s">
        <v>16772</v>
      </c>
    </row>
    <row r="5053" spans="1:20" x14ac:dyDescent="0.25">
      <c r="A5053" s="1" t="str">
        <f>HYPERLINK("https://vegkart.atlas.vegvesen.no/#/@-5511.5,6840917.2,18/hva:hva%5B0%5D%5Bfilter%5D%5B0%5D%5Boperator%5D=%21%3D&amp;hva%5B0%5D%5Bfilter%5D%5B0%5D%5Btype_id%5D=4820&amp;hva%5B0%5D%5Bfilter%5D%5B0%5D%5Bverdi%5D=&amp;hva%5B0%5D%5Bid%5D=144/når:2025-07-09", "Vegkart")</f>
        <v>Vegkart</v>
      </c>
      <c r="B5053">
        <v>1024579266</v>
      </c>
      <c r="C5053">
        <v>144</v>
      </c>
      <c r="D5053" t="s">
        <v>13345</v>
      </c>
      <c r="E5053">
        <v>4820</v>
      </c>
      <c r="F5053" t="s">
        <v>23479</v>
      </c>
      <c r="G5053">
        <v>1</v>
      </c>
      <c r="H5053" t="s">
        <v>5782</v>
      </c>
      <c r="J5053" t="s">
        <v>16739</v>
      </c>
      <c r="K5053" t="s">
        <v>21</v>
      </c>
      <c r="L5053" t="s">
        <v>33</v>
      </c>
      <c r="M5053" t="s">
        <v>795</v>
      </c>
      <c r="N5053" t="s">
        <v>16773</v>
      </c>
      <c r="O5053" t="s">
        <v>16774</v>
      </c>
      <c r="P5053" s="2" t="s">
        <v>37</v>
      </c>
      <c r="Q5053" t="s">
        <v>1208</v>
      </c>
      <c r="R5053">
        <v>0</v>
      </c>
      <c r="S5053">
        <v>44.45</v>
      </c>
      <c r="T5053" t="s">
        <v>16775</v>
      </c>
    </row>
    <row r="5054" spans="1:20" x14ac:dyDescent="0.25">
      <c r="A5054" s="1" t="str">
        <f>HYPERLINK("https://vegkart.atlas.vegvesen.no/#/@-5071.5,6840999.6,18/hva:hva%5B0%5D%5Bfilter%5D%5B0%5D%5Boperator%5D=%21%3D&amp;hva%5B0%5D%5Bfilter%5D%5B0%5D%5Btype_id%5D=4820&amp;hva%5B0%5D%5Bfilter%5D%5B0%5D%5Bverdi%5D=&amp;hva%5B0%5D%5Bid%5D=144/når:2025-07-09", "Vegkart")</f>
        <v>Vegkart</v>
      </c>
      <c r="B5054">
        <v>1024579267</v>
      </c>
      <c r="C5054">
        <v>144</v>
      </c>
      <c r="D5054" t="s">
        <v>13345</v>
      </c>
      <c r="E5054">
        <v>4820</v>
      </c>
      <c r="F5054" t="s">
        <v>23479</v>
      </c>
      <c r="G5054">
        <v>1</v>
      </c>
      <c r="H5054" t="s">
        <v>5782</v>
      </c>
      <c r="J5054" t="s">
        <v>16739</v>
      </c>
      <c r="K5054" t="s">
        <v>21</v>
      </c>
      <c r="L5054" t="s">
        <v>33</v>
      </c>
      <c r="M5054" t="s">
        <v>795</v>
      </c>
      <c r="N5054" t="s">
        <v>16776</v>
      </c>
      <c r="O5054" t="s">
        <v>16777</v>
      </c>
      <c r="P5054" s="2" t="s">
        <v>37</v>
      </c>
      <c r="Q5054" t="s">
        <v>1208</v>
      </c>
      <c r="R5054">
        <v>0</v>
      </c>
      <c r="S5054">
        <v>7.08</v>
      </c>
      <c r="T5054" t="s">
        <v>16778</v>
      </c>
    </row>
    <row r="5055" spans="1:20" x14ac:dyDescent="0.25">
      <c r="A5055" s="1" t="str">
        <f>HYPERLINK("https://vegkart.atlas.vegvesen.no/#/@-4748.3,6840853.5,18/hva:hva%5B0%5D%5Bfilter%5D%5B0%5D%5Boperator%5D=%21%3D&amp;hva%5B0%5D%5Bfilter%5D%5B0%5D%5Btype_id%5D=4820&amp;hva%5B0%5D%5Bfilter%5D%5B0%5D%5Bverdi%5D=&amp;hva%5B0%5D%5Bid%5D=144/når:2025-07-09", "Vegkart")</f>
        <v>Vegkart</v>
      </c>
      <c r="B5055">
        <v>1024579268</v>
      </c>
      <c r="C5055">
        <v>144</v>
      </c>
      <c r="D5055" t="s">
        <v>13345</v>
      </c>
      <c r="E5055">
        <v>4820</v>
      </c>
      <c r="F5055" t="s">
        <v>23479</v>
      </c>
      <c r="G5055">
        <v>1</v>
      </c>
      <c r="H5055" t="s">
        <v>5782</v>
      </c>
      <c r="J5055" t="s">
        <v>16739</v>
      </c>
      <c r="K5055" t="s">
        <v>21</v>
      </c>
      <c r="L5055" t="s">
        <v>33</v>
      </c>
      <c r="M5055" t="s">
        <v>795</v>
      </c>
      <c r="N5055" t="s">
        <v>16779</v>
      </c>
      <c r="O5055" t="s">
        <v>16780</v>
      </c>
      <c r="P5055" s="2" t="s">
        <v>37</v>
      </c>
      <c r="Q5055" t="s">
        <v>1208</v>
      </c>
      <c r="R5055">
        <v>0</v>
      </c>
      <c r="S5055">
        <v>21.98</v>
      </c>
      <c r="T5055" t="s">
        <v>16781</v>
      </c>
    </row>
    <row r="5056" spans="1:20" x14ac:dyDescent="0.25">
      <c r="A5056" s="1" t="str">
        <f>HYPERLINK("https://vegkart.atlas.vegvesen.no/#/@-5487.1,6840911.2,18/hva:hva%5B0%5D%5Bfilter%5D%5B0%5D%5Boperator%5D=%21%3D&amp;hva%5B0%5D%5Bfilter%5D%5B0%5D%5Btype_id%5D=4820&amp;hva%5B0%5D%5Bfilter%5D%5B0%5D%5Bverdi%5D=&amp;hva%5B0%5D%5Bid%5D=144/når:2025-07-09", "Vegkart")</f>
        <v>Vegkart</v>
      </c>
      <c r="B5056">
        <v>1024579269</v>
      </c>
      <c r="C5056">
        <v>144</v>
      </c>
      <c r="D5056" t="s">
        <v>13345</v>
      </c>
      <c r="E5056">
        <v>4820</v>
      </c>
      <c r="F5056" t="s">
        <v>23479</v>
      </c>
      <c r="G5056">
        <v>1</v>
      </c>
      <c r="H5056" t="s">
        <v>5782</v>
      </c>
      <c r="J5056" t="s">
        <v>16739</v>
      </c>
      <c r="K5056" t="s">
        <v>21</v>
      </c>
      <c r="L5056" t="s">
        <v>33</v>
      </c>
      <c r="M5056" t="s">
        <v>795</v>
      </c>
      <c r="N5056" t="s">
        <v>16782</v>
      </c>
      <c r="O5056" t="s">
        <v>16783</v>
      </c>
      <c r="P5056" s="2" t="s">
        <v>37</v>
      </c>
      <c r="Q5056" t="s">
        <v>1208</v>
      </c>
      <c r="R5056">
        <v>1.92</v>
      </c>
      <c r="S5056">
        <v>29.91</v>
      </c>
      <c r="T5056" t="s">
        <v>16784</v>
      </c>
    </row>
    <row r="5057" spans="1:20" x14ac:dyDescent="0.25">
      <c r="A5057" s="1" t="str">
        <f>HYPERLINK("https://vegkart.atlas.vegvesen.no/#/@-5036.3,6840987.1,18/hva:hva%5B0%5D%5Bfilter%5D%5B0%5D%5Boperator%5D=%21%3D&amp;hva%5B0%5D%5Bfilter%5D%5B0%5D%5Btype_id%5D=4820&amp;hva%5B0%5D%5Bfilter%5D%5B0%5D%5Bverdi%5D=&amp;hva%5B0%5D%5Bid%5D=144/når:2025-07-09", "Vegkart")</f>
        <v>Vegkart</v>
      </c>
      <c r="B5057">
        <v>1024579270</v>
      </c>
      <c r="C5057">
        <v>144</v>
      </c>
      <c r="D5057" t="s">
        <v>13345</v>
      </c>
      <c r="E5057">
        <v>4820</v>
      </c>
      <c r="F5057" t="s">
        <v>23479</v>
      </c>
      <c r="G5057">
        <v>1</v>
      </c>
      <c r="H5057" t="s">
        <v>5782</v>
      </c>
      <c r="J5057" t="s">
        <v>16739</v>
      </c>
      <c r="K5057" t="s">
        <v>21</v>
      </c>
      <c r="L5057" t="s">
        <v>33</v>
      </c>
      <c r="M5057" t="s">
        <v>795</v>
      </c>
      <c r="N5057" t="s">
        <v>16785</v>
      </c>
      <c r="O5057" t="s">
        <v>16786</v>
      </c>
      <c r="P5057" s="2" t="s">
        <v>37</v>
      </c>
      <c r="Q5057" t="s">
        <v>1208</v>
      </c>
      <c r="R5057">
        <v>0</v>
      </c>
      <c r="S5057">
        <v>9.61</v>
      </c>
      <c r="T5057" t="s">
        <v>16787</v>
      </c>
    </row>
    <row r="5058" spans="1:20" x14ac:dyDescent="0.25">
      <c r="A5058" s="1" t="str">
        <f>HYPERLINK("https://vegkart.atlas.vegvesen.no/#/@-5080.5,6840963.2,18/hva:hva%5B0%5D%5Bfilter%5D%5B0%5D%5Boperator%5D=%21%3D&amp;hva%5B0%5D%5Bfilter%5D%5B0%5D%5Btype_id%5D=4820&amp;hva%5B0%5D%5Bfilter%5D%5B0%5D%5Bverdi%5D=&amp;hva%5B0%5D%5Bid%5D=144/når:2025-07-09", "Vegkart")</f>
        <v>Vegkart</v>
      </c>
      <c r="B5058">
        <v>1024579271</v>
      </c>
      <c r="C5058">
        <v>144</v>
      </c>
      <c r="D5058" t="s">
        <v>13345</v>
      </c>
      <c r="E5058">
        <v>4820</v>
      </c>
      <c r="F5058" t="s">
        <v>23479</v>
      </c>
      <c r="G5058">
        <v>1</v>
      </c>
      <c r="H5058" t="s">
        <v>5782</v>
      </c>
      <c r="J5058" t="s">
        <v>16739</v>
      </c>
      <c r="K5058" t="s">
        <v>21</v>
      </c>
      <c r="L5058" t="s">
        <v>33</v>
      </c>
      <c r="M5058" t="s">
        <v>795</v>
      </c>
      <c r="N5058" t="s">
        <v>16788</v>
      </c>
      <c r="O5058" t="s">
        <v>16789</v>
      </c>
      <c r="P5058" s="2" t="s">
        <v>37</v>
      </c>
      <c r="Q5058" t="s">
        <v>1208</v>
      </c>
      <c r="R5058">
        <v>0</v>
      </c>
      <c r="S5058">
        <v>6.04</v>
      </c>
      <c r="T5058" t="s">
        <v>16790</v>
      </c>
    </row>
    <row r="5059" spans="1:20" x14ac:dyDescent="0.25">
      <c r="A5059" s="1" t="str">
        <f>HYPERLINK("https://vegkart.atlas.vegvesen.no/#/@-4957.0,6840992.7,18/hva:hva%5B0%5D%5Bfilter%5D%5B0%5D%5Boperator%5D=%21%3D&amp;hva%5B0%5D%5Bfilter%5D%5B0%5D%5Btype_id%5D=4820&amp;hva%5B0%5D%5Bfilter%5D%5B0%5D%5Bverdi%5D=&amp;hva%5B0%5D%5Bid%5D=144/når:2025-07-09", "Vegkart")</f>
        <v>Vegkart</v>
      </c>
      <c r="B5059">
        <v>1024579272</v>
      </c>
      <c r="C5059">
        <v>144</v>
      </c>
      <c r="D5059" t="s">
        <v>13345</v>
      </c>
      <c r="E5059">
        <v>4820</v>
      </c>
      <c r="F5059" t="s">
        <v>23479</v>
      </c>
      <c r="G5059">
        <v>1</v>
      </c>
      <c r="H5059" t="s">
        <v>5782</v>
      </c>
      <c r="J5059" t="s">
        <v>16739</v>
      </c>
      <c r="K5059" t="s">
        <v>21</v>
      </c>
      <c r="L5059" t="s">
        <v>33</v>
      </c>
      <c r="M5059" t="s">
        <v>795</v>
      </c>
      <c r="N5059" t="s">
        <v>16791</v>
      </c>
      <c r="O5059" t="s">
        <v>16792</v>
      </c>
      <c r="P5059" s="2" t="s">
        <v>37</v>
      </c>
      <c r="Q5059" t="s">
        <v>1208</v>
      </c>
      <c r="R5059">
        <v>0</v>
      </c>
      <c r="S5059">
        <v>19.05</v>
      </c>
      <c r="T5059" t="s">
        <v>16793</v>
      </c>
    </row>
    <row r="5060" spans="1:20" x14ac:dyDescent="0.25">
      <c r="A5060" s="1" t="str">
        <f>HYPERLINK("https://vegkart.atlas.vegvesen.no/#/@-5103.6,6840911.6,18/hva:hva%5B0%5D%5Bfilter%5D%5B0%5D%5Boperator%5D=%21%3D&amp;hva%5B0%5D%5Bfilter%5D%5B0%5D%5Btype_id%5D=4820&amp;hva%5B0%5D%5Bfilter%5D%5B0%5D%5Bverdi%5D=&amp;hva%5B0%5D%5Bid%5D=144/når:2025-07-09", "Vegkart")</f>
        <v>Vegkart</v>
      </c>
      <c r="B5060">
        <v>1024579273</v>
      </c>
      <c r="C5060">
        <v>144</v>
      </c>
      <c r="D5060" t="s">
        <v>13345</v>
      </c>
      <c r="E5060">
        <v>4820</v>
      </c>
      <c r="F5060" t="s">
        <v>23479</v>
      </c>
      <c r="G5060">
        <v>1</v>
      </c>
      <c r="H5060" t="s">
        <v>5782</v>
      </c>
      <c r="J5060" t="s">
        <v>16739</v>
      </c>
      <c r="K5060" t="s">
        <v>21</v>
      </c>
      <c r="L5060" t="s">
        <v>33</v>
      </c>
      <c r="M5060" t="s">
        <v>795</v>
      </c>
      <c r="N5060" t="s">
        <v>16794</v>
      </c>
      <c r="O5060" t="s">
        <v>16795</v>
      </c>
      <c r="P5060" s="2" t="s">
        <v>37</v>
      </c>
      <c r="Q5060" t="s">
        <v>1208</v>
      </c>
      <c r="R5060">
        <v>0</v>
      </c>
      <c r="S5060">
        <v>6.47</v>
      </c>
      <c r="T5060" t="s">
        <v>16796</v>
      </c>
    </row>
    <row r="5061" spans="1:20" x14ac:dyDescent="0.25">
      <c r="A5061" s="1" t="str">
        <f>HYPERLINK("https://vegkart.atlas.vegvesen.no/#/@-5475.2,6840926.4,18/hva:hva%5B0%5D%5Bfilter%5D%5B0%5D%5Boperator%5D=%21%3D&amp;hva%5B0%5D%5Bfilter%5D%5B0%5D%5Btype_id%5D=4820&amp;hva%5B0%5D%5Bfilter%5D%5B0%5D%5Bverdi%5D=&amp;hva%5B0%5D%5Bid%5D=144/når:2025-07-09", "Vegkart")</f>
        <v>Vegkart</v>
      </c>
      <c r="B5061">
        <v>1024579274</v>
      </c>
      <c r="C5061">
        <v>144</v>
      </c>
      <c r="D5061" t="s">
        <v>13345</v>
      </c>
      <c r="E5061">
        <v>4820</v>
      </c>
      <c r="F5061" t="s">
        <v>23479</v>
      </c>
      <c r="G5061">
        <v>1</v>
      </c>
      <c r="H5061" t="s">
        <v>5782</v>
      </c>
      <c r="J5061" t="s">
        <v>16739</v>
      </c>
      <c r="K5061" t="s">
        <v>21</v>
      </c>
      <c r="L5061" t="s">
        <v>33</v>
      </c>
      <c r="M5061" t="s">
        <v>795</v>
      </c>
      <c r="N5061" t="s">
        <v>16797</v>
      </c>
      <c r="O5061" t="s">
        <v>16798</v>
      </c>
      <c r="P5061" s="2" t="s">
        <v>37</v>
      </c>
      <c r="Q5061" t="s">
        <v>1208</v>
      </c>
      <c r="R5061">
        <v>0</v>
      </c>
      <c r="S5061">
        <v>18.66</v>
      </c>
      <c r="T5061" t="s">
        <v>16799</v>
      </c>
    </row>
    <row r="5062" spans="1:20" x14ac:dyDescent="0.25">
      <c r="A5062" s="1" t="str">
        <f>HYPERLINK("https://vegkart.atlas.vegvesen.no/#/@-4432.6,6840556.7,18/hva:hva%5B0%5D%5Bfilter%5D%5B0%5D%5Boperator%5D=%21%3D&amp;hva%5B0%5D%5Bfilter%5D%5B0%5D%5Btype_id%5D=4820&amp;hva%5B0%5D%5Bfilter%5D%5B0%5D%5Bverdi%5D=&amp;hva%5B0%5D%5Bid%5D=144/når:2025-07-09", "Vegkart")</f>
        <v>Vegkart</v>
      </c>
      <c r="B5062">
        <v>1024579275</v>
      </c>
      <c r="C5062">
        <v>144</v>
      </c>
      <c r="D5062" t="s">
        <v>13345</v>
      </c>
      <c r="E5062">
        <v>4820</v>
      </c>
      <c r="F5062" t="s">
        <v>23479</v>
      </c>
      <c r="G5062">
        <v>1</v>
      </c>
      <c r="H5062" t="s">
        <v>5782</v>
      </c>
      <c r="J5062" t="s">
        <v>16739</v>
      </c>
      <c r="K5062" t="s">
        <v>21</v>
      </c>
      <c r="L5062" t="s">
        <v>33</v>
      </c>
      <c r="M5062" t="s">
        <v>795</v>
      </c>
      <c r="N5062" t="s">
        <v>16800</v>
      </c>
      <c r="O5062" t="s">
        <v>16801</v>
      </c>
      <c r="P5062" s="2" t="s">
        <v>37</v>
      </c>
      <c r="Q5062" t="s">
        <v>1208</v>
      </c>
      <c r="R5062">
        <v>0</v>
      </c>
      <c r="S5062">
        <v>7.47</v>
      </c>
      <c r="T5062" t="s">
        <v>16802</v>
      </c>
    </row>
    <row r="5063" spans="1:20" x14ac:dyDescent="0.25">
      <c r="A5063" s="1" t="str">
        <f>HYPERLINK("https://vegkart.atlas.vegvesen.no/#/@-4745.9,6840847.2,18/hva:hva%5B0%5D%5Bfilter%5D%5B0%5D%5Boperator%5D=%21%3D&amp;hva%5B0%5D%5Bfilter%5D%5B0%5D%5Btype_id%5D=4820&amp;hva%5B0%5D%5Bfilter%5D%5B0%5D%5Bverdi%5D=&amp;hva%5B0%5D%5Bid%5D=144/når:2025-07-09", "Vegkart")</f>
        <v>Vegkart</v>
      </c>
      <c r="B5063">
        <v>1024579276</v>
      </c>
      <c r="C5063">
        <v>144</v>
      </c>
      <c r="D5063" t="s">
        <v>13345</v>
      </c>
      <c r="E5063">
        <v>4820</v>
      </c>
      <c r="F5063" t="s">
        <v>23479</v>
      </c>
      <c r="G5063">
        <v>1</v>
      </c>
      <c r="H5063" t="s">
        <v>5782</v>
      </c>
      <c r="J5063" t="s">
        <v>16739</v>
      </c>
      <c r="K5063" t="s">
        <v>21</v>
      </c>
      <c r="L5063" t="s">
        <v>33</v>
      </c>
      <c r="M5063" t="s">
        <v>795</v>
      </c>
      <c r="N5063" t="s">
        <v>16803</v>
      </c>
      <c r="O5063" t="s">
        <v>16804</v>
      </c>
      <c r="P5063" s="2" t="s">
        <v>37</v>
      </c>
      <c r="Q5063" t="s">
        <v>1208</v>
      </c>
      <c r="R5063">
        <v>0</v>
      </c>
      <c r="S5063">
        <v>11.44</v>
      </c>
      <c r="T5063" t="s">
        <v>16805</v>
      </c>
    </row>
    <row r="5064" spans="1:20" x14ac:dyDescent="0.25">
      <c r="A5064" s="1" t="str">
        <f>HYPERLINK("https://vegkart.atlas.vegvesen.no/#/@-4946.5,6841002.4,18/hva:hva%5B0%5D%5Bfilter%5D%5B0%5D%5Boperator%5D=%21%3D&amp;hva%5B0%5D%5Bfilter%5D%5B0%5D%5Btype_id%5D=4820&amp;hva%5B0%5D%5Bfilter%5D%5B0%5D%5Bverdi%5D=&amp;hva%5B0%5D%5Bid%5D=144/når:2025-07-09", "Vegkart")</f>
        <v>Vegkart</v>
      </c>
      <c r="B5064">
        <v>1024579277</v>
      </c>
      <c r="C5064">
        <v>144</v>
      </c>
      <c r="D5064" t="s">
        <v>13345</v>
      </c>
      <c r="E5064">
        <v>4820</v>
      </c>
      <c r="F5064" t="s">
        <v>23479</v>
      </c>
      <c r="G5064">
        <v>1</v>
      </c>
      <c r="H5064" t="s">
        <v>5782</v>
      </c>
      <c r="J5064" t="s">
        <v>16739</v>
      </c>
      <c r="K5064" t="s">
        <v>21</v>
      </c>
      <c r="L5064" t="s">
        <v>33</v>
      </c>
      <c r="M5064" t="s">
        <v>795</v>
      </c>
      <c r="N5064" t="s">
        <v>16806</v>
      </c>
      <c r="O5064" t="s">
        <v>16807</v>
      </c>
      <c r="P5064" s="2" t="s">
        <v>37</v>
      </c>
      <c r="Q5064" t="s">
        <v>1208</v>
      </c>
      <c r="R5064">
        <v>0</v>
      </c>
      <c r="S5064">
        <v>8.8800000000000008</v>
      </c>
      <c r="T5064" t="s">
        <v>16808</v>
      </c>
    </row>
    <row r="5065" spans="1:20" x14ac:dyDescent="0.25">
      <c r="A5065" s="1" t="str">
        <f>HYPERLINK("https://vegkart.atlas.vegvesen.no/#/@-4904.6,6841016.0,18/hva:hva%5B0%5D%5Bfilter%5D%5B0%5D%5Boperator%5D=%21%3D&amp;hva%5B0%5D%5Bfilter%5D%5B0%5D%5Btype_id%5D=4820&amp;hva%5B0%5D%5Bfilter%5D%5B0%5D%5Bverdi%5D=&amp;hva%5B0%5D%5Bid%5D=144/når:2025-07-09", "Vegkart")</f>
        <v>Vegkart</v>
      </c>
      <c r="B5065">
        <v>1024579278</v>
      </c>
      <c r="C5065">
        <v>144</v>
      </c>
      <c r="D5065" t="s">
        <v>13345</v>
      </c>
      <c r="E5065">
        <v>4820</v>
      </c>
      <c r="F5065" t="s">
        <v>23479</v>
      </c>
      <c r="G5065">
        <v>1</v>
      </c>
      <c r="H5065" t="s">
        <v>5782</v>
      </c>
      <c r="J5065" t="s">
        <v>16739</v>
      </c>
      <c r="K5065" t="s">
        <v>21</v>
      </c>
      <c r="L5065" t="s">
        <v>33</v>
      </c>
      <c r="M5065" t="s">
        <v>795</v>
      </c>
      <c r="N5065" t="s">
        <v>16809</v>
      </c>
      <c r="O5065" t="s">
        <v>16810</v>
      </c>
      <c r="P5065" s="2" t="s">
        <v>37</v>
      </c>
      <c r="Q5065" t="s">
        <v>1208</v>
      </c>
      <c r="R5065">
        <v>0</v>
      </c>
      <c r="S5065">
        <v>15.07</v>
      </c>
      <c r="T5065" t="s">
        <v>16811</v>
      </c>
    </row>
    <row r="5066" spans="1:20" x14ac:dyDescent="0.25">
      <c r="A5066" s="1" t="str">
        <f>HYPERLINK("https://vegkart.atlas.vegvesen.no/#/@-5350.8,6840971.2,18/hva:hva%5B0%5D%5Bfilter%5D%5B0%5D%5Boperator%5D=%21%3D&amp;hva%5B0%5D%5Bfilter%5D%5B0%5D%5Btype_id%5D=4820&amp;hva%5B0%5D%5Bfilter%5D%5B0%5D%5Bverdi%5D=&amp;hva%5B0%5D%5Bid%5D=144/når:2025-07-09", "Vegkart")</f>
        <v>Vegkart</v>
      </c>
      <c r="B5066">
        <v>1024579279</v>
      </c>
      <c r="C5066">
        <v>144</v>
      </c>
      <c r="D5066" t="s">
        <v>13345</v>
      </c>
      <c r="E5066">
        <v>4820</v>
      </c>
      <c r="F5066" t="s">
        <v>23479</v>
      </c>
      <c r="G5066">
        <v>1</v>
      </c>
      <c r="H5066" t="s">
        <v>5782</v>
      </c>
      <c r="J5066" t="s">
        <v>16739</v>
      </c>
      <c r="K5066" t="s">
        <v>21</v>
      </c>
      <c r="L5066" t="s">
        <v>33</v>
      </c>
      <c r="M5066" t="s">
        <v>795</v>
      </c>
      <c r="N5066" t="s">
        <v>16812</v>
      </c>
      <c r="O5066" t="s">
        <v>16813</v>
      </c>
      <c r="P5066" s="2" t="s">
        <v>37</v>
      </c>
      <c r="Q5066" t="s">
        <v>1208</v>
      </c>
      <c r="R5066">
        <v>0</v>
      </c>
      <c r="S5066">
        <v>10.31</v>
      </c>
      <c r="T5066" t="s">
        <v>16814</v>
      </c>
    </row>
    <row r="5067" spans="1:20" x14ac:dyDescent="0.25">
      <c r="A5067" s="1" t="str">
        <f>HYPERLINK("https://vegkart.atlas.vegvesen.no/#/@-4738.1,6840763.6,18/hva:hva%5B0%5D%5Bfilter%5D%5B0%5D%5Boperator%5D=%21%3D&amp;hva%5B0%5D%5Bfilter%5D%5B0%5D%5Btype_id%5D=4820&amp;hva%5B0%5D%5Bfilter%5D%5B0%5D%5Bverdi%5D=&amp;hva%5B0%5D%5Bid%5D=144/når:2025-07-09", "Vegkart")</f>
        <v>Vegkart</v>
      </c>
      <c r="B5067">
        <v>1024579280</v>
      </c>
      <c r="C5067">
        <v>144</v>
      </c>
      <c r="D5067" t="s">
        <v>13345</v>
      </c>
      <c r="E5067">
        <v>4820</v>
      </c>
      <c r="F5067" t="s">
        <v>23479</v>
      </c>
      <c r="G5067">
        <v>1</v>
      </c>
      <c r="H5067" t="s">
        <v>5782</v>
      </c>
      <c r="J5067" t="s">
        <v>16739</v>
      </c>
      <c r="K5067" t="s">
        <v>21</v>
      </c>
      <c r="L5067" t="s">
        <v>33</v>
      </c>
      <c r="M5067" t="s">
        <v>795</v>
      </c>
      <c r="N5067" t="s">
        <v>16815</v>
      </c>
      <c r="O5067" t="s">
        <v>16816</v>
      </c>
      <c r="P5067" s="2" t="s">
        <v>37</v>
      </c>
      <c r="Q5067" t="s">
        <v>1208</v>
      </c>
      <c r="R5067">
        <v>0</v>
      </c>
      <c r="S5067">
        <v>5.91</v>
      </c>
      <c r="T5067" t="s">
        <v>16817</v>
      </c>
    </row>
    <row r="5068" spans="1:20" x14ac:dyDescent="0.25">
      <c r="A5068" s="1" t="str">
        <f>HYPERLINK("https://vegkart.atlas.vegvesen.no/#/@-4800.4,6840933.3,18/hva:hva%5B0%5D%5Bfilter%5D%5B0%5D%5Boperator%5D=%21%3D&amp;hva%5B0%5D%5Bfilter%5D%5B0%5D%5Btype_id%5D=4820&amp;hva%5B0%5D%5Bfilter%5D%5B0%5D%5Bverdi%5D=&amp;hva%5B0%5D%5Bid%5D=144/når:2025-07-09", "Vegkart")</f>
        <v>Vegkart</v>
      </c>
      <c r="B5068">
        <v>1024579281</v>
      </c>
      <c r="C5068">
        <v>144</v>
      </c>
      <c r="D5068" t="s">
        <v>13345</v>
      </c>
      <c r="E5068">
        <v>4820</v>
      </c>
      <c r="F5068" t="s">
        <v>23479</v>
      </c>
      <c r="G5068">
        <v>1</v>
      </c>
      <c r="H5068" t="s">
        <v>5782</v>
      </c>
      <c r="J5068" t="s">
        <v>16739</v>
      </c>
      <c r="K5068" t="s">
        <v>21</v>
      </c>
      <c r="L5068" t="s">
        <v>33</v>
      </c>
      <c r="M5068" t="s">
        <v>795</v>
      </c>
      <c r="N5068" t="s">
        <v>16818</v>
      </c>
      <c r="O5068" t="s">
        <v>16819</v>
      </c>
      <c r="P5068" s="2" t="s">
        <v>37</v>
      </c>
      <c r="Q5068" t="s">
        <v>1208</v>
      </c>
      <c r="R5068">
        <v>0</v>
      </c>
      <c r="S5068">
        <v>3.4</v>
      </c>
      <c r="T5068" t="s">
        <v>16820</v>
      </c>
    </row>
    <row r="5069" spans="1:20" x14ac:dyDescent="0.25">
      <c r="A5069" s="1" t="str">
        <f>HYPERLINK("https://vegkart.atlas.vegvesen.no/#/@-4700.7,6840828.0,18/hva:hva%5B0%5D%5Bfilter%5D%5B0%5D%5Boperator%5D=%21%3D&amp;hva%5B0%5D%5Bfilter%5D%5B0%5D%5Btype_id%5D=4820&amp;hva%5B0%5D%5Bfilter%5D%5B0%5D%5Bverdi%5D=&amp;hva%5B0%5D%5Bid%5D=144/når:2025-07-09", "Vegkart")</f>
        <v>Vegkart</v>
      </c>
      <c r="B5069">
        <v>1024579282</v>
      </c>
      <c r="C5069">
        <v>144</v>
      </c>
      <c r="D5069" t="s">
        <v>13345</v>
      </c>
      <c r="E5069">
        <v>4820</v>
      </c>
      <c r="F5069" t="s">
        <v>23479</v>
      </c>
      <c r="G5069">
        <v>1</v>
      </c>
      <c r="H5069" t="s">
        <v>5782</v>
      </c>
      <c r="J5069" t="s">
        <v>16739</v>
      </c>
      <c r="K5069" t="s">
        <v>21</v>
      </c>
      <c r="L5069" t="s">
        <v>33</v>
      </c>
      <c r="M5069" t="s">
        <v>795</v>
      </c>
      <c r="N5069" t="s">
        <v>16821</v>
      </c>
      <c r="O5069" t="s">
        <v>16822</v>
      </c>
      <c r="P5069" s="2" t="s">
        <v>37</v>
      </c>
      <c r="Q5069" t="s">
        <v>1208</v>
      </c>
      <c r="R5069">
        <v>0</v>
      </c>
      <c r="S5069">
        <v>74.900000000000006</v>
      </c>
      <c r="T5069" t="s">
        <v>16823</v>
      </c>
    </row>
    <row r="5070" spans="1:20" x14ac:dyDescent="0.25">
      <c r="A5070" s="1" t="str">
        <f>HYPERLINK("https://vegkart.atlas.vegvesen.no/#/@-4842.1,6840965.7,18/hva:hva%5B0%5D%5Bfilter%5D%5B0%5D%5Boperator%5D=%21%3D&amp;hva%5B0%5D%5Bfilter%5D%5B0%5D%5Btype_id%5D=4820&amp;hva%5B0%5D%5Bfilter%5D%5B0%5D%5Bverdi%5D=&amp;hva%5B0%5D%5Bid%5D=144/når:2025-07-09", "Vegkart")</f>
        <v>Vegkart</v>
      </c>
      <c r="B5070">
        <v>1024579283</v>
      </c>
      <c r="C5070">
        <v>144</v>
      </c>
      <c r="D5070" t="s">
        <v>13345</v>
      </c>
      <c r="E5070">
        <v>4820</v>
      </c>
      <c r="F5070" t="s">
        <v>23479</v>
      </c>
      <c r="G5070">
        <v>1</v>
      </c>
      <c r="H5070" t="s">
        <v>5782</v>
      </c>
      <c r="J5070" t="s">
        <v>16739</v>
      </c>
      <c r="K5070" t="s">
        <v>21</v>
      </c>
      <c r="L5070" t="s">
        <v>33</v>
      </c>
      <c r="M5070" t="s">
        <v>795</v>
      </c>
      <c r="N5070" t="s">
        <v>16824</v>
      </c>
      <c r="O5070" t="s">
        <v>16825</v>
      </c>
      <c r="P5070" s="2" t="s">
        <v>37</v>
      </c>
      <c r="Q5070" t="s">
        <v>1208</v>
      </c>
      <c r="R5070">
        <v>0</v>
      </c>
      <c r="S5070">
        <v>4.37</v>
      </c>
      <c r="T5070" t="s">
        <v>16826</v>
      </c>
    </row>
    <row r="5071" spans="1:20" x14ac:dyDescent="0.25">
      <c r="A5071" s="1" t="str">
        <f>HYPERLINK("https://vegkart.atlas.vegvesen.no/#/@-5578.2,6840950.9,18/hva:hva%5B0%5D%5Bfilter%5D%5B0%5D%5Boperator%5D=%21%3D&amp;hva%5B0%5D%5Bfilter%5D%5B0%5D%5Btype_id%5D=4820&amp;hva%5B0%5D%5Bfilter%5D%5B0%5D%5Bverdi%5D=&amp;hva%5B0%5D%5Bid%5D=144/når:2025-07-09", "Vegkart")</f>
        <v>Vegkart</v>
      </c>
      <c r="B5071">
        <v>1024579284</v>
      </c>
      <c r="C5071">
        <v>144</v>
      </c>
      <c r="D5071" t="s">
        <v>13345</v>
      </c>
      <c r="E5071">
        <v>4820</v>
      </c>
      <c r="F5071" t="s">
        <v>23479</v>
      </c>
      <c r="G5071">
        <v>1</v>
      </c>
      <c r="H5071" t="s">
        <v>5782</v>
      </c>
      <c r="J5071" t="s">
        <v>16739</v>
      </c>
      <c r="K5071" t="s">
        <v>21</v>
      </c>
      <c r="L5071" t="s">
        <v>33</v>
      </c>
      <c r="M5071" t="s">
        <v>795</v>
      </c>
      <c r="N5071" t="s">
        <v>16827</v>
      </c>
      <c r="O5071" t="s">
        <v>16828</v>
      </c>
      <c r="P5071" s="2" t="s">
        <v>37</v>
      </c>
      <c r="Q5071" t="s">
        <v>1208</v>
      </c>
      <c r="R5071">
        <v>0</v>
      </c>
      <c r="S5071">
        <v>14.17</v>
      </c>
      <c r="T5071" t="s">
        <v>16829</v>
      </c>
    </row>
    <row r="5072" spans="1:20" x14ac:dyDescent="0.25">
      <c r="A5072" s="1" t="str">
        <f>HYPERLINK("https://vegkart.atlas.vegvesen.no/#/@99468.1,6629468.7,18/hva:hva%5B0%5D%5Bfilter%5D%5B0%5D%5Boperator%5D=%21%3D&amp;hva%5B0%5D%5Bfilter%5D%5B0%5D%5Btype_id%5D=4820&amp;hva%5B0%5D%5Bfilter%5D%5B0%5D%5Bverdi%5D=&amp;hva%5B0%5D%5Bid%5D=144/når:2025-10-21", "Vegkart")</f>
        <v>Vegkart</v>
      </c>
      <c r="B5072">
        <v>1025414294</v>
      </c>
      <c r="C5072">
        <v>144</v>
      </c>
      <c r="D5072" t="s">
        <v>13345</v>
      </c>
      <c r="E5072">
        <v>4820</v>
      </c>
      <c r="F5072" t="s">
        <v>23479</v>
      </c>
      <c r="G5072">
        <v>1</v>
      </c>
      <c r="H5072" t="s">
        <v>286</v>
      </c>
      <c r="J5072" t="s">
        <v>16739</v>
      </c>
      <c r="K5072" t="s">
        <v>197</v>
      </c>
      <c r="L5072" t="s">
        <v>80</v>
      </c>
      <c r="M5072" t="s">
        <v>645</v>
      </c>
      <c r="N5072" t="s">
        <v>16830</v>
      </c>
      <c r="O5072" t="s">
        <v>16831</v>
      </c>
      <c r="P5072" s="2" t="s">
        <v>67</v>
      </c>
      <c r="Q5072" t="s">
        <v>68</v>
      </c>
      <c r="R5072">
        <v>9.86</v>
      </c>
      <c r="S5072">
        <v>9.86</v>
      </c>
      <c r="T5072" t="s">
        <v>16832</v>
      </c>
    </row>
    <row r="5073" spans="1:20" x14ac:dyDescent="0.25">
      <c r="A5073" s="1" t="str">
        <f>HYPERLINK("https://vegkart.atlas.vegvesen.no/#/@189860.4,6579409.0,18/hva:hva%5B0%5D%5Bfilter%5D%5B0%5D%5Boperator%5D=%21%3D&amp;hva%5B0%5D%5Bfilter%5D%5B0%5D%5Btype_id%5D=4820&amp;hva%5B0%5D%5Bfilter%5D%5B0%5D%5Bverdi%5D=&amp;hva%5B0%5D%5Bid%5D=144/når:2025-10-30", "Vegkart")</f>
        <v>Vegkart</v>
      </c>
      <c r="B5073">
        <v>1025446821</v>
      </c>
      <c r="C5073">
        <v>144</v>
      </c>
      <c r="D5073" t="s">
        <v>13345</v>
      </c>
      <c r="E5073">
        <v>4820</v>
      </c>
      <c r="F5073" t="s">
        <v>23479</v>
      </c>
      <c r="G5073">
        <v>1</v>
      </c>
      <c r="H5073" t="s">
        <v>8750</v>
      </c>
      <c r="J5073" t="s">
        <v>16833</v>
      </c>
      <c r="K5073" t="s">
        <v>197</v>
      </c>
      <c r="L5073" t="s">
        <v>33</v>
      </c>
      <c r="M5073" t="s">
        <v>16834</v>
      </c>
      <c r="N5073" t="s">
        <v>16835</v>
      </c>
      <c r="O5073" t="s">
        <v>16836</v>
      </c>
      <c r="P5073" s="2" t="s">
        <v>37</v>
      </c>
      <c r="Q5073" t="s">
        <v>1208</v>
      </c>
      <c r="R5073">
        <v>0</v>
      </c>
      <c r="S5073">
        <v>200.53</v>
      </c>
      <c r="T5073" t="s">
        <v>16837</v>
      </c>
    </row>
    <row r="5074" spans="1:20" x14ac:dyDescent="0.25">
      <c r="A5074" s="1" t="str">
        <f>HYPERLINK("https://vegkart.atlas.vegvesen.no/#/@189057.0,6581771.1,18/hva:hva%5B0%5D%5Bfilter%5D%5B0%5D%5Boperator%5D=%21%3D&amp;hva%5B0%5D%5Bfilter%5D%5B0%5D%5Btype_id%5D=4820&amp;hva%5B0%5D%5Bfilter%5D%5B0%5D%5Bverdi%5D=&amp;hva%5B0%5D%5Bid%5D=144/når:2025-10-30", "Vegkart")</f>
        <v>Vegkart</v>
      </c>
      <c r="B5074">
        <v>1025446822</v>
      </c>
      <c r="C5074">
        <v>144</v>
      </c>
      <c r="D5074" t="s">
        <v>13345</v>
      </c>
      <c r="E5074">
        <v>4820</v>
      </c>
      <c r="F5074" t="s">
        <v>23479</v>
      </c>
      <c r="G5074">
        <v>1</v>
      </c>
      <c r="H5074" t="s">
        <v>8750</v>
      </c>
      <c r="J5074" t="s">
        <v>16833</v>
      </c>
      <c r="K5074" t="s">
        <v>197</v>
      </c>
      <c r="L5074" t="s">
        <v>22</v>
      </c>
      <c r="M5074" t="s">
        <v>16838</v>
      </c>
      <c r="N5074" t="s">
        <v>16839</v>
      </c>
      <c r="O5074" t="s">
        <v>16840</v>
      </c>
      <c r="P5074" s="2" t="s">
        <v>37</v>
      </c>
      <c r="Q5074" t="s">
        <v>1208</v>
      </c>
      <c r="R5074">
        <v>0</v>
      </c>
      <c r="S5074">
        <v>101.56</v>
      </c>
      <c r="T5074" t="s">
        <v>16841</v>
      </c>
    </row>
    <row r="5075" spans="1:20" x14ac:dyDescent="0.25">
      <c r="A5075" s="1" t="str">
        <f>HYPERLINK("https://vegkart.atlas.vegvesen.no/#/@189097.9,6581807.9,18/hva:hva%5B0%5D%5Bfilter%5D%5B0%5D%5Boperator%5D=%21%3D&amp;hva%5B0%5D%5Bfilter%5D%5B0%5D%5Btype_id%5D=4820&amp;hva%5B0%5D%5Bfilter%5D%5B0%5D%5Bverdi%5D=&amp;hva%5B0%5D%5Bid%5D=144/når:2025-10-30", "Vegkart")</f>
        <v>Vegkart</v>
      </c>
      <c r="B5075">
        <v>1025446823</v>
      </c>
      <c r="C5075">
        <v>144</v>
      </c>
      <c r="D5075" t="s">
        <v>13345</v>
      </c>
      <c r="E5075">
        <v>4820</v>
      </c>
      <c r="F5075" t="s">
        <v>23479</v>
      </c>
      <c r="G5075">
        <v>1</v>
      </c>
      <c r="H5075" t="s">
        <v>8750</v>
      </c>
      <c r="J5075" t="s">
        <v>16833</v>
      </c>
      <c r="K5075" t="s">
        <v>197</v>
      </c>
      <c r="L5075" t="s">
        <v>22</v>
      </c>
      <c r="M5075" t="s">
        <v>16838</v>
      </c>
      <c r="N5075" t="s">
        <v>16842</v>
      </c>
      <c r="O5075" t="s">
        <v>16843</v>
      </c>
      <c r="P5075" s="2" t="s">
        <v>37</v>
      </c>
      <c r="Q5075" t="s">
        <v>1208</v>
      </c>
      <c r="R5075">
        <v>0</v>
      </c>
      <c r="S5075">
        <v>107.32</v>
      </c>
      <c r="T5075" t="s">
        <v>16844</v>
      </c>
    </row>
    <row r="5076" spans="1:20" x14ac:dyDescent="0.25">
      <c r="A5076" s="1" t="str">
        <f>HYPERLINK("https://vegkart.atlas.vegvesen.no/#/@189221.4,6581433.4,18/hva:hva%5B0%5D%5Bfilter%5D%5B0%5D%5Boperator%5D=%21%3D&amp;hva%5B0%5D%5Bfilter%5D%5B0%5D%5Btype_id%5D=4820&amp;hva%5B0%5D%5Bfilter%5D%5B0%5D%5Bverdi%5D=&amp;hva%5B0%5D%5Bid%5D=144/når:2025-10-30", "Vegkart")</f>
        <v>Vegkart</v>
      </c>
      <c r="B5076">
        <v>1025446824</v>
      </c>
      <c r="C5076">
        <v>144</v>
      </c>
      <c r="D5076" t="s">
        <v>13345</v>
      </c>
      <c r="E5076">
        <v>4820</v>
      </c>
      <c r="F5076" t="s">
        <v>23479</v>
      </c>
      <c r="G5076">
        <v>1</v>
      </c>
      <c r="H5076" t="s">
        <v>8750</v>
      </c>
      <c r="J5076" t="s">
        <v>16833</v>
      </c>
      <c r="K5076" t="s">
        <v>197</v>
      </c>
      <c r="L5076" t="s">
        <v>22</v>
      </c>
      <c r="M5076" t="s">
        <v>16838</v>
      </c>
      <c r="N5076" t="s">
        <v>16845</v>
      </c>
      <c r="O5076" t="s">
        <v>16846</v>
      </c>
      <c r="P5076" s="2" t="s">
        <v>37</v>
      </c>
      <c r="Q5076" t="s">
        <v>1208</v>
      </c>
      <c r="R5076">
        <v>0</v>
      </c>
      <c r="S5076">
        <v>132.35</v>
      </c>
      <c r="T5076" t="s">
        <v>16847</v>
      </c>
    </row>
    <row r="5077" spans="1:20" x14ac:dyDescent="0.25">
      <c r="A5077" s="1" t="str">
        <f>HYPERLINK("https://vegkart.atlas.vegvesen.no/#/@189839.9,6579428.7,18/hva:hva%5B0%5D%5Bfilter%5D%5B0%5D%5Boperator%5D=%21%3D&amp;hva%5B0%5D%5Bfilter%5D%5B0%5D%5Btype_id%5D=4820&amp;hva%5B0%5D%5Bfilter%5D%5B0%5D%5Bverdi%5D=&amp;hva%5B0%5D%5Bid%5D=144/når:2025-10-30", "Vegkart")</f>
        <v>Vegkart</v>
      </c>
      <c r="B5077">
        <v>1025446825</v>
      </c>
      <c r="C5077">
        <v>144</v>
      </c>
      <c r="D5077" t="s">
        <v>13345</v>
      </c>
      <c r="E5077">
        <v>4820</v>
      </c>
      <c r="F5077" t="s">
        <v>23479</v>
      </c>
      <c r="G5077">
        <v>1</v>
      </c>
      <c r="H5077" t="s">
        <v>8750</v>
      </c>
      <c r="J5077" t="s">
        <v>16833</v>
      </c>
      <c r="K5077" t="s">
        <v>197</v>
      </c>
      <c r="L5077" t="s">
        <v>33</v>
      </c>
      <c r="M5077" t="s">
        <v>16834</v>
      </c>
      <c r="N5077" t="s">
        <v>16848</v>
      </c>
      <c r="O5077" t="s">
        <v>16849</v>
      </c>
      <c r="P5077" s="2" t="s">
        <v>37</v>
      </c>
      <c r="Q5077" t="s">
        <v>1208</v>
      </c>
      <c r="R5077">
        <v>0</v>
      </c>
      <c r="S5077">
        <v>114.8</v>
      </c>
      <c r="T5077" t="s">
        <v>16850</v>
      </c>
    </row>
    <row r="5078" spans="1:20" x14ac:dyDescent="0.25">
      <c r="A5078" s="1" t="str">
        <f>HYPERLINK("https://vegkart.atlas.vegvesen.no/#/@189834.9,6579383.8,18/hva:hva%5B0%5D%5Bfilter%5D%5B0%5D%5Boperator%5D=%21%3D&amp;hva%5B0%5D%5Bfilter%5D%5B0%5D%5Btype_id%5D=4820&amp;hva%5B0%5D%5Bfilter%5D%5B0%5D%5Bverdi%5D=&amp;hva%5B0%5D%5Bid%5D=144/når:2025-10-30", "Vegkart")</f>
        <v>Vegkart</v>
      </c>
      <c r="B5078">
        <v>1025446826</v>
      </c>
      <c r="C5078">
        <v>144</v>
      </c>
      <c r="D5078" t="s">
        <v>13345</v>
      </c>
      <c r="E5078">
        <v>4820</v>
      </c>
      <c r="F5078" t="s">
        <v>23479</v>
      </c>
      <c r="G5078">
        <v>1</v>
      </c>
      <c r="H5078" t="s">
        <v>8750</v>
      </c>
      <c r="J5078" t="s">
        <v>16833</v>
      </c>
      <c r="K5078" t="s">
        <v>197</v>
      </c>
      <c r="L5078" t="s">
        <v>33</v>
      </c>
      <c r="M5078" t="s">
        <v>16834</v>
      </c>
      <c r="N5078" t="s">
        <v>16851</v>
      </c>
      <c r="O5078" t="s">
        <v>16852</v>
      </c>
      <c r="P5078" s="2" t="s">
        <v>37</v>
      </c>
      <c r="Q5078" t="s">
        <v>1208</v>
      </c>
      <c r="R5078">
        <v>0</v>
      </c>
      <c r="S5078">
        <v>35.58</v>
      </c>
      <c r="T5078" t="s">
        <v>16853</v>
      </c>
    </row>
    <row r="5079" spans="1:20" x14ac:dyDescent="0.25">
      <c r="A5079" s="1" t="str">
        <f>HYPERLINK("https://vegkart.atlas.vegvesen.no/#/@72345.5,6819833.0,18/hva:hva%5B0%5D%5Bfilter%5D%5B0%5D%5Boperator%5D=%21%3D&amp;hva%5B0%5D%5Bfilter%5D%5B0%5D%5Btype_id%5D=5897&amp;hva%5B0%5D%5Bfilter%5D%5B0%5D%5Bverdi%5D=&amp;hva%5B0%5D%5Bid%5D=47/når:2015-10-02", "Vegkart")</f>
        <v>Vegkart</v>
      </c>
      <c r="B5079">
        <v>78791929</v>
      </c>
      <c r="C5079">
        <v>47</v>
      </c>
      <c r="D5079" t="s">
        <v>16854</v>
      </c>
      <c r="E5079">
        <v>5897</v>
      </c>
      <c r="F5079" t="s">
        <v>23479</v>
      </c>
      <c r="G5079">
        <v>2</v>
      </c>
      <c r="H5079" t="s">
        <v>16855</v>
      </c>
      <c r="J5079" t="s">
        <v>16856</v>
      </c>
      <c r="K5079" t="s">
        <v>21</v>
      </c>
      <c r="L5079" t="s">
        <v>33</v>
      </c>
      <c r="M5079" t="s">
        <v>64</v>
      </c>
      <c r="N5079" t="s">
        <v>16857</v>
      </c>
      <c r="O5079" t="s">
        <v>16858</v>
      </c>
      <c r="P5079" s="2" t="s">
        <v>37</v>
      </c>
      <c r="Q5079" t="s">
        <v>1208</v>
      </c>
      <c r="R5079">
        <v>19.46</v>
      </c>
      <c r="S5079">
        <v>22.04</v>
      </c>
      <c r="T5079" t="s">
        <v>16859</v>
      </c>
    </row>
    <row r="5080" spans="1:20" x14ac:dyDescent="0.25">
      <c r="A5080" s="1" t="str">
        <f>HYPERLINK("https://vegkart.atlas.vegvesen.no/#/@73447.2,6815945.1,18/hva:hva%5B0%5D%5Bfilter%5D%5B0%5D%5Boperator%5D=%21%3D&amp;hva%5B0%5D%5Bfilter%5D%5B0%5D%5Btype_id%5D=5897&amp;hva%5B0%5D%5Bfilter%5D%5B0%5D%5Bverdi%5D=&amp;hva%5B0%5D%5Bid%5D=47/når:2025-06-11", "Vegkart")</f>
        <v>Vegkart</v>
      </c>
      <c r="B5080">
        <v>78792067</v>
      </c>
      <c r="C5080">
        <v>47</v>
      </c>
      <c r="D5080" t="s">
        <v>16854</v>
      </c>
      <c r="E5080">
        <v>5897</v>
      </c>
      <c r="F5080" t="s">
        <v>23479</v>
      </c>
      <c r="G5080">
        <v>3</v>
      </c>
      <c r="H5080" t="s">
        <v>16860</v>
      </c>
      <c r="J5080" t="s">
        <v>16856</v>
      </c>
      <c r="K5080" t="s">
        <v>21</v>
      </c>
      <c r="L5080" t="s">
        <v>33</v>
      </c>
      <c r="M5080" t="s">
        <v>64</v>
      </c>
      <c r="N5080" t="s">
        <v>16861</v>
      </c>
      <c r="O5080" t="s">
        <v>16862</v>
      </c>
      <c r="P5080" s="2" t="s">
        <v>26</v>
      </c>
      <c r="Q5080" t="s">
        <v>50</v>
      </c>
      <c r="R5080">
        <v>36.4</v>
      </c>
      <c r="S5080">
        <v>36.97</v>
      </c>
      <c r="T5080" t="s">
        <v>16863</v>
      </c>
    </row>
    <row r="5081" spans="1:20" x14ac:dyDescent="0.25">
      <c r="A5081" s="1" t="str">
        <f>HYPERLINK("https://vegkart.atlas.vegvesen.no/#/@-28094.8,6810338.7,18/hva:hva%5B0%5D%5Bfilter%5D%5B0%5D%5Boperator%5D=%21%3D&amp;hva%5B0%5D%5Bfilter%5D%5B0%5D%5Btype_id%5D=5897&amp;hva%5B0%5D%5Bfilter%5D%5B0%5D%5Bverdi%5D=&amp;hva%5B0%5D%5Bid%5D=47/når:2025-06-24", "Vegkart")</f>
        <v>Vegkart</v>
      </c>
      <c r="B5081">
        <v>79001215</v>
      </c>
      <c r="C5081">
        <v>47</v>
      </c>
      <c r="D5081" t="s">
        <v>16854</v>
      </c>
      <c r="E5081">
        <v>5897</v>
      </c>
      <c r="F5081" t="s">
        <v>23479</v>
      </c>
      <c r="G5081">
        <v>4</v>
      </c>
      <c r="H5081" t="s">
        <v>598</v>
      </c>
      <c r="J5081" t="s">
        <v>16864</v>
      </c>
      <c r="K5081" t="s">
        <v>21</v>
      </c>
      <c r="L5081" t="s">
        <v>33</v>
      </c>
      <c r="M5081" t="s">
        <v>795</v>
      </c>
      <c r="N5081" t="s">
        <v>16865</v>
      </c>
      <c r="O5081" t="s">
        <v>16866</v>
      </c>
      <c r="P5081" s="2" t="s">
        <v>26</v>
      </c>
      <c r="Q5081" t="s">
        <v>50</v>
      </c>
      <c r="R5081">
        <v>17.579999999999998</v>
      </c>
      <c r="S5081">
        <v>17.850000000000001</v>
      </c>
      <c r="T5081" t="s">
        <v>16867</v>
      </c>
    </row>
    <row r="5082" spans="1:20" x14ac:dyDescent="0.25">
      <c r="A5082" s="1" t="str">
        <f>HYPERLINK("https://vegkart.atlas.vegvesen.no/#/@-28443.3,6809652.4,18/hva:hva%5B0%5D%5Bfilter%5D%5B0%5D%5Boperator%5D=%21%3D&amp;hva%5B0%5D%5Bfilter%5D%5B0%5D%5Btype_id%5D=5897&amp;hva%5B0%5D%5Bfilter%5D%5B0%5D%5Bverdi%5D=&amp;hva%5B0%5D%5Bid%5D=47/når:2025-06-24", "Vegkart")</f>
        <v>Vegkart</v>
      </c>
      <c r="B5082">
        <v>79001232</v>
      </c>
      <c r="C5082">
        <v>47</v>
      </c>
      <c r="D5082" t="s">
        <v>16854</v>
      </c>
      <c r="E5082">
        <v>5897</v>
      </c>
      <c r="F5082" t="s">
        <v>23479</v>
      </c>
      <c r="G5082">
        <v>4</v>
      </c>
      <c r="H5082" t="s">
        <v>598</v>
      </c>
      <c r="J5082" t="s">
        <v>16864</v>
      </c>
      <c r="K5082" t="s">
        <v>21</v>
      </c>
      <c r="L5082" t="s">
        <v>33</v>
      </c>
      <c r="M5082" t="s">
        <v>795</v>
      </c>
      <c r="N5082" t="s">
        <v>16868</v>
      </c>
      <c r="O5082" t="s">
        <v>16869</v>
      </c>
      <c r="P5082" s="2" t="s">
        <v>26</v>
      </c>
      <c r="Q5082" t="s">
        <v>50</v>
      </c>
      <c r="R5082">
        <v>49.89</v>
      </c>
      <c r="S5082">
        <v>50.34</v>
      </c>
      <c r="T5082" t="s">
        <v>16870</v>
      </c>
    </row>
    <row r="5083" spans="1:20" x14ac:dyDescent="0.25">
      <c r="A5083" s="1" t="str">
        <f>HYPERLINK("https://vegkart.atlas.vegvesen.no/#/@-28505.9,6809487.5,18/hva:hva%5B0%5D%5Bfilter%5D%5B0%5D%5Boperator%5D=%21%3D&amp;hva%5B0%5D%5Bfilter%5D%5B0%5D%5Btype_id%5D=5897&amp;hva%5B0%5D%5Bfilter%5D%5B0%5D%5Bverdi%5D=&amp;hva%5B0%5D%5Bid%5D=47/når:2025-06-24", "Vegkart")</f>
        <v>Vegkart</v>
      </c>
      <c r="B5083">
        <v>79001233</v>
      </c>
      <c r="C5083">
        <v>47</v>
      </c>
      <c r="D5083" t="s">
        <v>16854</v>
      </c>
      <c r="E5083">
        <v>5897</v>
      </c>
      <c r="F5083" t="s">
        <v>23479</v>
      </c>
      <c r="G5083">
        <v>4</v>
      </c>
      <c r="H5083" t="s">
        <v>598</v>
      </c>
      <c r="J5083" t="s">
        <v>16864</v>
      </c>
      <c r="K5083" t="s">
        <v>21</v>
      </c>
      <c r="L5083" t="s">
        <v>33</v>
      </c>
      <c r="M5083" t="s">
        <v>795</v>
      </c>
      <c r="N5083" t="s">
        <v>16871</v>
      </c>
      <c r="O5083" t="s">
        <v>16872</v>
      </c>
      <c r="P5083" s="2" t="s">
        <v>26</v>
      </c>
      <c r="Q5083" t="s">
        <v>50</v>
      </c>
      <c r="R5083">
        <v>47.13</v>
      </c>
      <c r="S5083">
        <v>47.52</v>
      </c>
      <c r="T5083" t="s">
        <v>16873</v>
      </c>
    </row>
    <row r="5084" spans="1:20" x14ac:dyDescent="0.25">
      <c r="A5084" s="1" t="str">
        <f>HYPERLINK("https://vegkart.atlas.vegvesen.no/#/@-28545.5,6809358.1,18/hva:hva%5B0%5D%5Bfilter%5D%5B0%5D%5Boperator%5D=%21%3D&amp;hva%5B0%5D%5Bfilter%5D%5B0%5D%5Btype_id%5D=5897&amp;hva%5B0%5D%5Bfilter%5D%5B0%5D%5Bverdi%5D=&amp;hva%5B0%5D%5Bid%5D=47/når:2025-06-24", "Vegkart")</f>
        <v>Vegkart</v>
      </c>
      <c r="B5084">
        <v>79001234</v>
      </c>
      <c r="C5084">
        <v>47</v>
      </c>
      <c r="D5084" t="s">
        <v>16854</v>
      </c>
      <c r="E5084">
        <v>5897</v>
      </c>
      <c r="F5084" t="s">
        <v>23479</v>
      </c>
      <c r="G5084">
        <v>4</v>
      </c>
      <c r="H5084" t="s">
        <v>598</v>
      </c>
      <c r="J5084" t="s">
        <v>16864</v>
      </c>
      <c r="K5084" t="s">
        <v>21</v>
      </c>
      <c r="L5084" t="s">
        <v>33</v>
      </c>
      <c r="M5084" t="s">
        <v>795</v>
      </c>
      <c r="N5084" t="s">
        <v>16874</v>
      </c>
      <c r="O5084" t="s">
        <v>16875</v>
      </c>
      <c r="P5084" s="2" t="s">
        <v>26</v>
      </c>
      <c r="Q5084" t="s">
        <v>50</v>
      </c>
      <c r="R5084">
        <v>40.369999999999997</v>
      </c>
      <c r="S5084">
        <v>40.479999999999997</v>
      </c>
      <c r="T5084" t="s">
        <v>16876</v>
      </c>
    </row>
    <row r="5085" spans="1:20" x14ac:dyDescent="0.25">
      <c r="A5085" s="1" t="str">
        <f>HYPERLINK("https://vegkart.atlas.vegvesen.no/#/@-28642.2,6809063.0,18/hva:hva%5B0%5D%5Bfilter%5D%5B0%5D%5Boperator%5D=%21%3D&amp;hva%5B0%5D%5Bfilter%5D%5B0%5D%5Btype_id%5D=5897&amp;hva%5B0%5D%5Bfilter%5D%5B0%5D%5Bverdi%5D=&amp;hva%5B0%5D%5Bid%5D=47/når:2025-06-24", "Vegkart")</f>
        <v>Vegkart</v>
      </c>
      <c r="B5085">
        <v>79001241</v>
      </c>
      <c r="C5085">
        <v>47</v>
      </c>
      <c r="D5085" t="s">
        <v>16854</v>
      </c>
      <c r="E5085">
        <v>5897</v>
      </c>
      <c r="F5085" t="s">
        <v>23479</v>
      </c>
      <c r="G5085">
        <v>4</v>
      </c>
      <c r="H5085" t="s">
        <v>598</v>
      </c>
      <c r="J5085" t="s">
        <v>16864</v>
      </c>
      <c r="K5085" t="s">
        <v>21</v>
      </c>
      <c r="L5085" t="s">
        <v>33</v>
      </c>
      <c r="M5085" t="s">
        <v>795</v>
      </c>
      <c r="N5085" t="s">
        <v>16877</v>
      </c>
      <c r="O5085" t="s">
        <v>16878</v>
      </c>
      <c r="P5085" s="2" t="s">
        <v>26</v>
      </c>
      <c r="Q5085" t="s">
        <v>50</v>
      </c>
      <c r="R5085">
        <v>52.48</v>
      </c>
      <c r="S5085">
        <v>52.68</v>
      </c>
      <c r="T5085" t="s">
        <v>16879</v>
      </c>
    </row>
    <row r="5086" spans="1:20" x14ac:dyDescent="0.25">
      <c r="A5086" s="1" t="str">
        <f>HYPERLINK("https://vegkart.atlas.vegvesen.no/#/@-28788.9,6807730.5,18/hva:hva%5B0%5D%5Bfilter%5D%5B0%5D%5Boperator%5D=%21%3D&amp;hva%5B0%5D%5Bfilter%5D%5B0%5D%5Btype_id%5D=5897&amp;hva%5B0%5D%5Bfilter%5D%5B0%5D%5Bverdi%5D=&amp;hva%5B0%5D%5Bid%5D=47/når:2025-06-24", "Vegkart")</f>
        <v>Vegkart</v>
      </c>
      <c r="B5086">
        <v>79001246</v>
      </c>
      <c r="C5086">
        <v>47</v>
      </c>
      <c r="D5086" t="s">
        <v>16854</v>
      </c>
      <c r="E5086">
        <v>5897</v>
      </c>
      <c r="F5086" t="s">
        <v>23479</v>
      </c>
      <c r="G5086">
        <v>3</v>
      </c>
      <c r="H5086" t="s">
        <v>598</v>
      </c>
      <c r="J5086" t="s">
        <v>16864</v>
      </c>
      <c r="K5086" t="s">
        <v>21</v>
      </c>
      <c r="L5086" t="s">
        <v>33</v>
      </c>
      <c r="M5086" t="s">
        <v>795</v>
      </c>
      <c r="N5086" t="s">
        <v>16880</v>
      </c>
      <c r="O5086" t="s">
        <v>16881</v>
      </c>
      <c r="P5086" s="2" t="s">
        <v>26</v>
      </c>
      <c r="Q5086" t="s">
        <v>50</v>
      </c>
      <c r="R5086">
        <v>33.07</v>
      </c>
      <c r="S5086">
        <v>33.479999999999997</v>
      </c>
      <c r="T5086" t="s">
        <v>16882</v>
      </c>
    </row>
    <row r="5087" spans="1:20" x14ac:dyDescent="0.25">
      <c r="A5087" s="1" t="str">
        <f>HYPERLINK("https://vegkart.atlas.vegvesen.no/#/@-29028.9,6807485.7,18/hva:hva%5B0%5D%5Bfilter%5D%5B0%5D%5Boperator%5D=%21%3D&amp;hva%5B0%5D%5Bfilter%5D%5B0%5D%5Btype_id%5D=5897&amp;hva%5B0%5D%5Bfilter%5D%5B0%5D%5Bverdi%5D=&amp;hva%5B0%5D%5Bid%5D=47/når:2025-06-24", "Vegkart")</f>
        <v>Vegkart</v>
      </c>
      <c r="B5087">
        <v>79001247</v>
      </c>
      <c r="C5087">
        <v>47</v>
      </c>
      <c r="D5087" t="s">
        <v>16854</v>
      </c>
      <c r="E5087">
        <v>5897</v>
      </c>
      <c r="F5087" t="s">
        <v>23479</v>
      </c>
      <c r="G5087">
        <v>4</v>
      </c>
      <c r="H5087" t="s">
        <v>598</v>
      </c>
      <c r="J5087" t="s">
        <v>16864</v>
      </c>
      <c r="K5087" t="s">
        <v>21</v>
      </c>
      <c r="L5087" t="s">
        <v>33</v>
      </c>
      <c r="M5087" t="s">
        <v>795</v>
      </c>
      <c r="N5087" t="s">
        <v>16883</v>
      </c>
      <c r="O5087" t="s">
        <v>16884</v>
      </c>
      <c r="P5087" s="2" t="s">
        <v>26</v>
      </c>
      <c r="Q5087" t="s">
        <v>50</v>
      </c>
      <c r="R5087">
        <v>36.86</v>
      </c>
      <c r="S5087">
        <v>37.03</v>
      </c>
      <c r="T5087" t="s">
        <v>16885</v>
      </c>
    </row>
    <row r="5088" spans="1:20" x14ac:dyDescent="0.25">
      <c r="A5088" s="1" t="str">
        <f>HYPERLINK("https://vegkart.atlas.vegvesen.no/#/@-29171.0,6807123.3,18/hva:hva%5B0%5D%5Bfilter%5D%5B0%5D%5Boperator%5D=%21%3D&amp;hva%5B0%5D%5Bfilter%5D%5B0%5D%5Btype_id%5D=5897&amp;hva%5B0%5D%5Bfilter%5D%5B0%5D%5Bverdi%5D=&amp;hva%5B0%5D%5Bid%5D=47/når:2025-06-24", "Vegkart")</f>
        <v>Vegkart</v>
      </c>
      <c r="B5088">
        <v>79001250</v>
      </c>
      <c r="C5088">
        <v>47</v>
      </c>
      <c r="D5088" t="s">
        <v>16854</v>
      </c>
      <c r="E5088">
        <v>5897</v>
      </c>
      <c r="F5088" t="s">
        <v>23479</v>
      </c>
      <c r="G5088">
        <v>4</v>
      </c>
      <c r="H5088" t="s">
        <v>598</v>
      </c>
      <c r="J5088" t="s">
        <v>16864</v>
      </c>
      <c r="K5088" t="s">
        <v>21</v>
      </c>
      <c r="L5088" t="s">
        <v>33</v>
      </c>
      <c r="M5088" t="s">
        <v>795</v>
      </c>
      <c r="N5088" t="s">
        <v>16886</v>
      </c>
      <c r="O5088" t="s">
        <v>16887</v>
      </c>
      <c r="P5088" s="2" t="s">
        <v>26</v>
      </c>
      <c r="Q5088" t="s">
        <v>50</v>
      </c>
      <c r="R5088">
        <v>42</v>
      </c>
      <c r="S5088">
        <v>42.8</v>
      </c>
      <c r="T5088" t="s">
        <v>16888</v>
      </c>
    </row>
    <row r="5089" spans="1:20" x14ac:dyDescent="0.25">
      <c r="A5089" s="1" t="str">
        <f>HYPERLINK("https://vegkart.atlas.vegvesen.no/#/@-28805.5,6805733.0,18/hva:hva%5B0%5D%5Bfilter%5D%5B0%5D%5Boperator%5D=%21%3D&amp;hva%5B0%5D%5Bfilter%5D%5B0%5D%5Btype_id%5D=5897&amp;hva%5B0%5D%5Bfilter%5D%5B0%5D%5Bverdi%5D=&amp;hva%5B0%5D%5Bid%5D=47/når:2025-06-24", "Vegkart")</f>
        <v>Vegkart</v>
      </c>
      <c r="B5089">
        <v>79001265</v>
      </c>
      <c r="C5089">
        <v>47</v>
      </c>
      <c r="D5089" t="s">
        <v>16854</v>
      </c>
      <c r="E5089">
        <v>5897</v>
      </c>
      <c r="F5089" t="s">
        <v>23479</v>
      </c>
      <c r="G5089">
        <v>3</v>
      </c>
      <c r="H5089" t="s">
        <v>598</v>
      </c>
      <c r="J5089" t="s">
        <v>16864</v>
      </c>
      <c r="K5089" t="s">
        <v>21</v>
      </c>
      <c r="L5089" t="s">
        <v>33</v>
      </c>
      <c r="M5089" t="s">
        <v>795</v>
      </c>
      <c r="N5089" t="s">
        <v>16889</v>
      </c>
      <c r="O5089" t="s">
        <v>16890</v>
      </c>
      <c r="P5089" s="2" t="s">
        <v>26</v>
      </c>
      <c r="Q5089" t="s">
        <v>50</v>
      </c>
      <c r="R5089">
        <v>43.72</v>
      </c>
      <c r="S5089">
        <v>43.94</v>
      </c>
      <c r="T5089" t="s">
        <v>16891</v>
      </c>
    </row>
    <row r="5090" spans="1:20" x14ac:dyDescent="0.25">
      <c r="A5090" s="1" t="str">
        <f>HYPERLINK("https://vegkart.atlas.vegvesen.no/#/@-31880.3,6797652.4,18/hva:hva%5B0%5D%5Bfilter%5D%5B0%5D%5Boperator%5D=%21%3D&amp;hva%5B0%5D%5Bfilter%5D%5B0%5D%5Btype_id%5D=5897&amp;hva%5B0%5D%5Bfilter%5D%5B0%5D%5Bverdi%5D=&amp;hva%5B0%5D%5Bid%5D=47/når:2025-06-18", "Vegkart")</f>
        <v>Vegkart</v>
      </c>
      <c r="B5090">
        <v>79001296</v>
      </c>
      <c r="C5090">
        <v>47</v>
      </c>
      <c r="D5090" t="s">
        <v>16854</v>
      </c>
      <c r="E5090">
        <v>5897</v>
      </c>
      <c r="F5090" t="s">
        <v>23479</v>
      </c>
      <c r="G5090">
        <v>4</v>
      </c>
      <c r="H5090" t="s">
        <v>16892</v>
      </c>
      <c r="J5090" t="s">
        <v>16864</v>
      </c>
      <c r="K5090" t="s">
        <v>21</v>
      </c>
      <c r="L5090" t="s">
        <v>33</v>
      </c>
      <c r="M5090" t="s">
        <v>795</v>
      </c>
      <c r="N5090" t="s">
        <v>16893</v>
      </c>
      <c r="O5090" t="s">
        <v>16894</v>
      </c>
      <c r="P5090" s="2" t="s">
        <v>26</v>
      </c>
      <c r="Q5090" t="s">
        <v>50</v>
      </c>
      <c r="R5090">
        <v>45.14</v>
      </c>
      <c r="S5090">
        <v>45.35</v>
      </c>
      <c r="T5090" t="s">
        <v>16895</v>
      </c>
    </row>
    <row r="5091" spans="1:20" x14ac:dyDescent="0.25">
      <c r="A5091" s="1" t="str">
        <f>HYPERLINK("https://vegkart.atlas.vegvesen.no/#/@-31932.6,6797596.5,18/hva:hva%5B0%5D%5Bfilter%5D%5B0%5D%5Boperator%5D=%21%3D&amp;hva%5B0%5D%5Bfilter%5D%5B0%5D%5Btype_id%5D=5897&amp;hva%5B0%5D%5Bfilter%5D%5B0%5D%5Bverdi%5D=&amp;hva%5B0%5D%5Bid%5D=47/når:2025-06-18", "Vegkart")</f>
        <v>Vegkart</v>
      </c>
      <c r="B5091">
        <v>79001297</v>
      </c>
      <c r="C5091">
        <v>47</v>
      </c>
      <c r="D5091" t="s">
        <v>16854</v>
      </c>
      <c r="E5091">
        <v>5897</v>
      </c>
      <c r="F5091" t="s">
        <v>23479</v>
      </c>
      <c r="G5091">
        <v>4</v>
      </c>
      <c r="H5091" t="s">
        <v>16892</v>
      </c>
      <c r="J5091" t="s">
        <v>16864</v>
      </c>
      <c r="K5091" t="s">
        <v>21</v>
      </c>
      <c r="L5091" t="s">
        <v>33</v>
      </c>
      <c r="M5091" t="s">
        <v>795</v>
      </c>
      <c r="N5091" t="s">
        <v>16896</v>
      </c>
      <c r="O5091" t="s">
        <v>16897</v>
      </c>
      <c r="P5091" s="2" t="s">
        <v>26</v>
      </c>
      <c r="Q5091" t="s">
        <v>50</v>
      </c>
      <c r="R5091">
        <v>25.67</v>
      </c>
      <c r="S5091">
        <v>25.79</v>
      </c>
      <c r="T5091" t="s">
        <v>16898</v>
      </c>
    </row>
    <row r="5092" spans="1:20" x14ac:dyDescent="0.25">
      <c r="A5092" s="1" t="str">
        <f>HYPERLINK("https://vegkart.atlas.vegvesen.no/#/@-32456.9,6797381.5,18/hva:hva%5B0%5D%5Bfilter%5D%5B0%5D%5Boperator%5D=%21%3D&amp;hva%5B0%5D%5Bfilter%5D%5B0%5D%5Btype_id%5D=5897&amp;hva%5B0%5D%5Bfilter%5D%5B0%5D%5Bverdi%5D=&amp;hva%5B0%5D%5Bid%5D=47/når:2025-06-18", "Vegkart")</f>
        <v>Vegkart</v>
      </c>
      <c r="B5092">
        <v>79001311</v>
      </c>
      <c r="C5092">
        <v>47</v>
      </c>
      <c r="D5092" t="s">
        <v>16854</v>
      </c>
      <c r="E5092">
        <v>5897</v>
      </c>
      <c r="F5092" t="s">
        <v>23479</v>
      </c>
      <c r="G5092">
        <v>4</v>
      </c>
      <c r="H5092" t="s">
        <v>16892</v>
      </c>
      <c r="J5092" t="s">
        <v>16864</v>
      </c>
      <c r="K5092" t="s">
        <v>21</v>
      </c>
      <c r="L5092" t="s">
        <v>33</v>
      </c>
      <c r="M5092" t="s">
        <v>795</v>
      </c>
      <c r="N5092" t="s">
        <v>16899</v>
      </c>
      <c r="O5092" t="s">
        <v>16900</v>
      </c>
      <c r="P5092" s="2" t="s">
        <v>26</v>
      </c>
      <c r="Q5092" t="s">
        <v>50</v>
      </c>
      <c r="R5092">
        <v>40.200000000000003</v>
      </c>
      <c r="S5092">
        <v>40.51</v>
      </c>
      <c r="T5092" t="s">
        <v>16901</v>
      </c>
    </row>
    <row r="5093" spans="1:20" x14ac:dyDescent="0.25">
      <c r="A5093" s="1" t="str">
        <f>HYPERLINK("https://vegkart.atlas.vegvesen.no/#/@-33290.9,6795471.9,18/hva:hva%5B0%5D%5Bfilter%5D%5B0%5D%5Boperator%5D=%21%3D&amp;hva%5B0%5D%5Bfilter%5D%5B0%5D%5Btype_id%5D=5897&amp;hva%5B0%5D%5Bfilter%5D%5B0%5D%5Bverdi%5D=&amp;hva%5B0%5D%5Bid%5D=47/når:2025-06-18", "Vegkart")</f>
        <v>Vegkart</v>
      </c>
      <c r="B5093">
        <v>79001453</v>
      </c>
      <c r="C5093">
        <v>47</v>
      </c>
      <c r="D5093" t="s">
        <v>16854</v>
      </c>
      <c r="E5093">
        <v>5897</v>
      </c>
      <c r="F5093" t="s">
        <v>23479</v>
      </c>
      <c r="G5093">
        <v>4</v>
      </c>
      <c r="H5093" t="s">
        <v>16892</v>
      </c>
      <c r="J5093" t="s">
        <v>16864</v>
      </c>
      <c r="K5093" t="s">
        <v>21</v>
      </c>
      <c r="L5093" t="s">
        <v>33</v>
      </c>
      <c r="M5093" t="s">
        <v>795</v>
      </c>
      <c r="N5093" t="s">
        <v>16902</v>
      </c>
      <c r="O5093" t="s">
        <v>16903</v>
      </c>
      <c r="P5093" s="2" t="s">
        <v>26</v>
      </c>
      <c r="Q5093" t="s">
        <v>50</v>
      </c>
      <c r="R5093">
        <v>25.06</v>
      </c>
      <c r="S5093">
        <v>25.29</v>
      </c>
      <c r="T5093" t="s">
        <v>16904</v>
      </c>
    </row>
    <row r="5094" spans="1:20" x14ac:dyDescent="0.25">
      <c r="A5094" s="1" t="str">
        <f>HYPERLINK("https://vegkart.atlas.vegvesen.no/#/@-33493.3,6795007.9,18/hva:hva%5B0%5D%5Bfilter%5D%5B0%5D%5Boperator%5D=%21%3D&amp;hva%5B0%5D%5Bfilter%5D%5B0%5D%5Btype_id%5D=5897&amp;hva%5B0%5D%5Bfilter%5D%5B0%5D%5Bverdi%5D=&amp;hva%5B0%5D%5Bid%5D=47/når:2025-06-18", "Vegkart")</f>
        <v>Vegkart</v>
      </c>
      <c r="B5094">
        <v>79001469</v>
      </c>
      <c r="C5094">
        <v>47</v>
      </c>
      <c r="D5094" t="s">
        <v>16854</v>
      </c>
      <c r="E5094">
        <v>5897</v>
      </c>
      <c r="F5094" t="s">
        <v>23479</v>
      </c>
      <c r="G5094">
        <v>4</v>
      </c>
      <c r="H5094" t="s">
        <v>16892</v>
      </c>
      <c r="J5094" t="s">
        <v>16864</v>
      </c>
      <c r="K5094" t="s">
        <v>21</v>
      </c>
      <c r="L5094" t="s">
        <v>33</v>
      </c>
      <c r="M5094" t="s">
        <v>795</v>
      </c>
      <c r="N5094" t="s">
        <v>16905</v>
      </c>
      <c r="O5094" t="s">
        <v>16906</v>
      </c>
      <c r="P5094" s="2" t="s">
        <v>26</v>
      </c>
      <c r="Q5094" t="s">
        <v>50</v>
      </c>
      <c r="R5094">
        <v>41.93</v>
      </c>
      <c r="S5094">
        <v>42.16</v>
      </c>
      <c r="T5094" t="s">
        <v>16907</v>
      </c>
    </row>
    <row r="5095" spans="1:20" x14ac:dyDescent="0.25">
      <c r="A5095" s="1" t="str">
        <f>HYPERLINK("https://vegkart.atlas.vegvesen.no/#/@-33640.3,6793351.1,18/hva:hva%5B0%5D%5Bfilter%5D%5B0%5D%5Boperator%5D=%21%3D&amp;hva%5B0%5D%5Bfilter%5D%5B0%5D%5Btype_id%5D=5897&amp;hva%5B0%5D%5Bfilter%5D%5B0%5D%5Bverdi%5D=&amp;hva%5B0%5D%5Bid%5D=47/når:2025-06-18", "Vegkart")</f>
        <v>Vegkart</v>
      </c>
      <c r="B5095">
        <v>79001487</v>
      </c>
      <c r="C5095">
        <v>47</v>
      </c>
      <c r="D5095" t="s">
        <v>16854</v>
      </c>
      <c r="E5095">
        <v>5897</v>
      </c>
      <c r="F5095" t="s">
        <v>23479</v>
      </c>
      <c r="G5095">
        <v>4</v>
      </c>
      <c r="H5095" t="s">
        <v>16892</v>
      </c>
      <c r="J5095" t="s">
        <v>16864</v>
      </c>
      <c r="K5095" t="s">
        <v>21</v>
      </c>
      <c r="L5095" t="s">
        <v>33</v>
      </c>
      <c r="M5095" t="s">
        <v>795</v>
      </c>
      <c r="N5095" t="s">
        <v>16908</v>
      </c>
      <c r="O5095" t="s">
        <v>16909</v>
      </c>
      <c r="P5095" s="2" t="s">
        <v>26</v>
      </c>
      <c r="Q5095" t="s">
        <v>50</v>
      </c>
      <c r="R5095">
        <v>46.5</v>
      </c>
      <c r="S5095">
        <v>46.72</v>
      </c>
      <c r="T5095" t="s">
        <v>16910</v>
      </c>
    </row>
    <row r="5096" spans="1:20" x14ac:dyDescent="0.25">
      <c r="A5096" s="1" t="str">
        <f>HYPERLINK("https://vegkart.atlas.vegvesen.no/#/@-33552.3,6793133.8,18/hva:hva%5B0%5D%5Bfilter%5D%5B0%5D%5Boperator%5D=%21%3D&amp;hva%5B0%5D%5Bfilter%5D%5B0%5D%5Btype_id%5D=5897&amp;hva%5B0%5D%5Bfilter%5D%5B0%5D%5Bverdi%5D=&amp;hva%5B0%5D%5Bid%5D=47/når:2025-06-18", "Vegkart")</f>
        <v>Vegkart</v>
      </c>
      <c r="B5096">
        <v>79001490</v>
      </c>
      <c r="C5096">
        <v>47</v>
      </c>
      <c r="D5096" t="s">
        <v>16854</v>
      </c>
      <c r="E5096">
        <v>5897</v>
      </c>
      <c r="F5096" t="s">
        <v>23479</v>
      </c>
      <c r="G5096">
        <v>4</v>
      </c>
      <c r="H5096" t="s">
        <v>16892</v>
      </c>
      <c r="J5096" t="s">
        <v>16864</v>
      </c>
      <c r="K5096" t="s">
        <v>21</v>
      </c>
      <c r="L5096" t="s">
        <v>33</v>
      </c>
      <c r="M5096" t="s">
        <v>795</v>
      </c>
      <c r="N5096" t="s">
        <v>16911</v>
      </c>
      <c r="O5096" t="s">
        <v>16912</v>
      </c>
      <c r="P5096" s="2" t="s">
        <v>26</v>
      </c>
      <c r="Q5096" t="s">
        <v>50</v>
      </c>
      <c r="R5096">
        <v>40.21</v>
      </c>
      <c r="S5096">
        <v>40.36</v>
      </c>
      <c r="T5096" t="s">
        <v>16913</v>
      </c>
    </row>
    <row r="5097" spans="1:20" x14ac:dyDescent="0.25">
      <c r="A5097" s="1" t="str">
        <f>HYPERLINK("https://vegkart.atlas.vegvesen.no/#/@-34060.1,6792058.4,18/hva:hva%5B0%5D%5Bfilter%5D%5B0%5D%5Boperator%5D=%21%3D&amp;hva%5B0%5D%5Bfilter%5D%5B0%5D%5Btype_id%5D=5897&amp;hva%5B0%5D%5Bfilter%5D%5B0%5D%5Bverdi%5D=&amp;hva%5B0%5D%5Bid%5D=47/når:2025-06-17", "Vegkart")</f>
        <v>Vegkart</v>
      </c>
      <c r="B5097">
        <v>79001507</v>
      </c>
      <c r="C5097">
        <v>47</v>
      </c>
      <c r="D5097" t="s">
        <v>16854</v>
      </c>
      <c r="E5097">
        <v>5897</v>
      </c>
      <c r="F5097" t="s">
        <v>23479</v>
      </c>
      <c r="G5097">
        <v>4</v>
      </c>
      <c r="H5097" t="s">
        <v>16914</v>
      </c>
      <c r="J5097" t="s">
        <v>16864</v>
      </c>
      <c r="K5097" t="s">
        <v>21</v>
      </c>
      <c r="L5097" t="s">
        <v>33</v>
      </c>
      <c r="M5097" t="s">
        <v>795</v>
      </c>
      <c r="N5097" t="s">
        <v>16915</v>
      </c>
      <c r="O5097" t="s">
        <v>16916</v>
      </c>
      <c r="P5097" s="2" t="s">
        <v>26</v>
      </c>
      <c r="Q5097" t="s">
        <v>50</v>
      </c>
      <c r="R5097">
        <v>26.99</v>
      </c>
      <c r="S5097">
        <v>27.47</v>
      </c>
      <c r="T5097" t="s">
        <v>16917</v>
      </c>
    </row>
    <row r="5098" spans="1:20" x14ac:dyDescent="0.25">
      <c r="A5098" s="1" t="str">
        <f>HYPERLINK("https://vegkart.atlas.vegvesen.no/#/@-34366.4,6791679.3,18/hva:hva%5B0%5D%5Bfilter%5D%5B0%5D%5Boperator%5D=%21%3D&amp;hva%5B0%5D%5Bfilter%5D%5B0%5D%5Btype_id%5D=5897&amp;hva%5B0%5D%5Bfilter%5D%5B0%5D%5Bverdi%5D=&amp;hva%5B0%5D%5Bid%5D=47/når:2025-06-17", "Vegkart")</f>
        <v>Vegkart</v>
      </c>
      <c r="B5098">
        <v>79001515</v>
      </c>
      <c r="C5098">
        <v>47</v>
      </c>
      <c r="D5098" t="s">
        <v>16854</v>
      </c>
      <c r="E5098">
        <v>5897</v>
      </c>
      <c r="F5098" t="s">
        <v>23479</v>
      </c>
      <c r="G5098">
        <v>4</v>
      </c>
      <c r="H5098" t="s">
        <v>16914</v>
      </c>
      <c r="J5098" t="s">
        <v>16864</v>
      </c>
      <c r="K5098" t="s">
        <v>21</v>
      </c>
      <c r="L5098" t="s">
        <v>33</v>
      </c>
      <c r="M5098" t="s">
        <v>795</v>
      </c>
      <c r="N5098" t="s">
        <v>16918</v>
      </c>
      <c r="O5098" t="s">
        <v>16919</v>
      </c>
      <c r="P5098" s="2" t="s">
        <v>26</v>
      </c>
      <c r="Q5098" t="s">
        <v>50</v>
      </c>
      <c r="R5098">
        <v>29.45</v>
      </c>
      <c r="S5098">
        <v>33.630000000000003</v>
      </c>
      <c r="T5098" t="s">
        <v>16920</v>
      </c>
    </row>
    <row r="5099" spans="1:20" x14ac:dyDescent="0.25">
      <c r="A5099" s="1" t="str">
        <f>HYPERLINK("https://vegkart.atlas.vegvesen.no/#/@-34359.9,6791534.2,18/hva:hva%5B0%5D%5Bfilter%5D%5B0%5D%5Boperator%5D=%21%3D&amp;hva%5B0%5D%5Bfilter%5D%5B0%5D%5Btype_id%5D=5897&amp;hva%5B0%5D%5Bfilter%5D%5B0%5D%5Bverdi%5D=&amp;hva%5B0%5D%5Bid%5D=47/når:2025-06-17", "Vegkart")</f>
        <v>Vegkart</v>
      </c>
      <c r="B5099">
        <v>79001516</v>
      </c>
      <c r="C5099">
        <v>47</v>
      </c>
      <c r="D5099" t="s">
        <v>16854</v>
      </c>
      <c r="E5099">
        <v>5897</v>
      </c>
      <c r="F5099" t="s">
        <v>23479</v>
      </c>
      <c r="G5099">
        <v>4</v>
      </c>
      <c r="H5099" t="s">
        <v>16914</v>
      </c>
      <c r="J5099" t="s">
        <v>16864</v>
      </c>
      <c r="K5099" t="s">
        <v>21</v>
      </c>
      <c r="L5099" t="s">
        <v>33</v>
      </c>
      <c r="M5099" t="s">
        <v>795</v>
      </c>
      <c r="N5099" t="s">
        <v>16921</v>
      </c>
      <c r="O5099" t="s">
        <v>16922</v>
      </c>
      <c r="P5099" s="2" t="s">
        <v>26</v>
      </c>
      <c r="Q5099" t="s">
        <v>50</v>
      </c>
      <c r="R5099">
        <v>52.66</v>
      </c>
      <c r="S5099">
        <v>52.85</v>
      </c>
      <c r="T5099" t="s">
        <v>16923</v>
      </c>
    </row>
    <row r="5100" spans="1:20" x14ac:dyDescent="0.25">
      <c r="A5100" s="1" t="str">
        <f>HYPERLINK("https://vegkart.atlas.vegvesen.no/#/@-34118.4,6790124.2,18/hva:hva%5B0%5D%5Bfilter%5D%5B0%5D%5Boperator%5D=%21%3D&amp;hva%5B0%5D%5Bfilter%5D%5B0%5D%5Btype_id%5D=5897&amp;hva%5B0%5D%5Bfilter%5D%5B0%5D%5Bverdi%5D=&amp;hva%5B0%5D%5Bid%5D=47/når:2025-06-17", "Vegkart")</f>
        <v>Vegkart</v>
      </c>
      <c r="B5100">
        <v>79001533</v>
      </c>
      <c r="C5100">
        <v>47</v>
      </c>
      <c r="D5100" t="s">
        <v>16854</v>
      </c>
      <c r="E5100">
        <v>5897</v>
      </c>
      <c r="F5100" t="s">
        <v>23479</v>
      </c>
      <c r="G5100">
        <v>4</v>
      </c>
      <c r="H5100" t="s">
        <v>16914</v>
      </c>
      <c r="J5100" t="s">
        <v>16864</v>
      </c>
      <c r="K5100" t="s">
        <v>21</v>
      </c>
      <c r="L5100" t="s">
        <v>33</v>
      </c>
      <c r="M5100" t="s">
        <v>795</v>
      </c>
      <c r="N5100" t="s">
        <v>16924</v>
      </c>
      <c r="O5100" t="s">
        <v>16925</v>
      </c>
      <c r="P5100" s="2" t="s">
        <v>26</v>
      </c>
      <c r="Q5100" t="s">
        <v>50</v>
      </c>
      <c r="R5100">
        <v>36.590000000000003</v>
      </c>
      <c r="S5100">
        <v>37</v>
      </c>
      <c r="T5100" t="s">
        <v>16926</v>
      </c>
    </row>
    <row r="5101" spans="1:20" x14ac:dyDescent="0.25">
      <c r="A5101" s="1" t="str">
        <f>HYPERLINK("https://vegkart.atlas.vegvesen.no/#/@-35314.8,6788298.7,18/hva:hva%5B0%5D%5Bfilter%5D%5B0%5D%5Boperator%5D=%21%3D&amp;hva%5B0%5D%5Bfilter%5D%5B0%5D%5Btype_id%5D=5897&amp;hva%5B0%5D%5Bfilter%5D%5B0%5D%5Bverdi%5D=&amp;hva%5B0%5D%5Bid%5D=47/når:2025-06-17", "Vegkart")</f>
        <v>Vegkart</v>
      </c>
      <c r="B5101">
        <v>79001618</v>
      </c>
      <c r="C5101">
        <v>47</v>
      </c>
      <c r="D5101" t="s">
        <v>16854</v>
      </c>
      <c r="E5101">
        <v>5897</v>
      </c>
      <c r="F5101" t="s">
        <v>23479</v>
      </c>
      <c r="G5101">
        <v>4</v>
      </c>
      <c r="H5101" t="s">
        <v>16914</v>
      </c>
      <c r="J5101" t="s">
        <v>16864</v>
      </c>
      <c r="K5101" t="s">
        <v>21</v>
      </c>
      <c r="L5101" t="s">
        <v>33</v>
      </c>
      <c r="M5101" t="s">
        <v>795</v>
      </c>
      <c r="N5101" t="s">
        <v>16927</v>
      </c>
      <c r="O5101" t="s">
        <v>16928</v>
      </c>
      <c r="P5101" s="2" t="s">
        <v>26</v>
      </c>
      <c r="Q5101" t="s">
        <v>50</v>
      </c>
      <c r="R5101">
        <v>28.38</v>
      </c>
      <c r="S5101">
        <v>29.92</v>
      </c>
      <c r="T5101" t="s">
        <v>16929</v>
      </c>
    </row>
    <row r="5102" spans="1:20" x14ac:dyDescent="0.25">
      <c r="A5102" s="1" t="str">
        <f>HYPERLINK("https://vegkart.atlas.vegvesen.no/#/@-29701.0,6799928.1,18/hva:hva%5B0%5D%5Bfilter%5D%5B0%5D%5Boperator%5D=%21%3D&amp;hva%5B0%5D%5Bfilter%5D%5B0%5D%5Btype_id%5D=5897&amp;hva%5B0%5D%5Bfilter%5D%5B0%5D%5Bverdi%5D=&amp;hva%5B0%5D%5Bid%5D=47/når:2025-06-18", "Vegkart")</f>
        <v>Vegkart</v>
      </c>
      <c r="B5102">
        <v>79001881</v>
      </c>
      <c r="C5102">
        <v>47</v>
      </c>
      <c r="D5102" t="s">
        <v>16854</v>
      </c>
      <c r="E5102">
        <v>5897</v>
      </c>
      <c r="F5102" t="s">
        <v>23479</v>
      </c>
      <c r="G5102">
        <v>4</v>
      </c>
      <c r="H5102" t="s">
        <v>16892</v>
      </c>
      <c r="J5102" t="s">
        <v>16864</v>
      </c>
      <c r="K5102" t="s">
        <v>21</v>
      </c>
      <c r="L5102" t="s">
        <v>33</v>
      </c>
      <c r="M5102" t="s">
        <v>795</v>
      </c>
      <c r="N5102" t="s">
        <v>16930</v>
      </c>
      <c r="O5102" t="s">
        <v>16931</v>
      </c>
      <c r="P5102" s="2" t="s">
        <v>26</v>
      </c>
      <c r="Q5102" t="s">
        <v>50</v>
      </c>
      <c r="R5102">
        <v>22.59</v>
      </c>
      <c r="S5102">
        <v>22.97</v>
      </c>
      <c r="T5102" t="s">
        <v>16932</v>
      </c>
    </row>
    <row r="5103" spans="1:20" x14ac:dyDescent="0.25">
      <c r="A5103" s="1" t="str">
        <f>HYPERLINK("https://vegkart.atlas.vegvesen.no/#/@-29890.3,6799389.6,18/hva:hva%5B0%5D%5Bfilter%5D%5B0%5D%5Boperator%5D=%21%3D&amp;hva%5B0%5D%5Bfilter%5D%5B0%5D%5Btype_id%5D=5897&amp;hva%5B0%5D%5Bfilter%5D%5B0%5D%5Bverdi%5D=&amp;hva%5B0%5D%5Bid%5D=47/når:2025-06-18", "Vegkart")</f>
        <v>Vegkart</v>
      </c>
      <c r="B5103">
        <v>79001922</v>
      </c>
      <c r="C5103">
        <v>47</v>
      </c>
      <c r="D5103" t="s">
        <v>16854</v>
      </c>
      <c r="E5103">
        <v>5897</v>
      </c>
      <c r="F5103" t="s">
        <v>23479</v>
      </c>
      <c r="G5103">
        <v>4</v>
      </c>
      <c r="H5103" t="s">
        <v>16892</v>
      </c>
      <c r="J5103" t="s">
        <v>16864</v>
      </c>
      <c r="K5103" t="s">
        <v>21</v>
      </c>
      <c r="L5103" t="s">
        <v>33</v>
      </c>
      <c r="M5103" t="s">
        <v>795</v>
      </c>
      <c r="N5103" t="s">
        <v>16933</v>
      </c>
      <c r="O5103" t="s">
        <v>16934</v>
      </c>
      <c r="P5103" s="2" t="s">
        <v>26</v>
      </c>
      <c r="Q5103" t="s">
        <v>50</v>
      </c>
      <c r="R5103">
        <v>37.56</v>
      </c>
      <c r="S5103">
        <v>37.99</v>
      </c>
      <c r="T5103" t="s">
        <v>16935</v>
      </c>
    </row>
    <row r="5104" spans="1:20" x14ac:dyDescent="0.25">
      <c r="A5104" s="1" t="str">
        <f>HYPERLINK("https://vegkart.atlas.vegvesen.no/#/@-30116.3,6799015.7,18/hva:hva%5B0%5D%5Bfilter%5D%5B0%5D%5Boperator%5D=%21%3D&amp;hva%5B0%5D%5Bfilter%5D%5B0%5D%5Btype_id%5D=5897&amp;hva%5B0%5D%5Bfilter%5D%5B0%5D%5Bverdi%5D=&amp;hva%5B0%5D%5Bid%5D=47/når:2025-06-18", "Vegkart")</f>
        <v>Vegkart</v>
      </c>
      <c r="B5104">
        <v>79001985</v>
      </c>
      <c r="C5104">
        <v>47</v>
      </c>
      <c r="D5104" t="s">
        <v>16854</v>
      </c>
      <c r="E5104">
        <v>5897</v>
      </c>
      <c r="F5104" t="s">
        <v>23479</v>
      </c>
      <c r="G5104">
        <v>3</v>
      </c>
      <c r="H5104" t="s">
        <v>16892</v>
      </c>
      <c r="J5104" t="s">
        <v>16864</v>
      </c>
      <c r="K5104" t="s">
        <v>21</v>
      </c>
      <c r="L5104" t="s">
        <v>33</v>
      </c>
      <c r="M5104" t="s">
        <v>795</v>
      </c>
      <c r="N5104" t="s">
        <v>16936</v>
      </c>
      <c r="O5104" t="s">
        <v>16937</v>
      </c>
      <c r="P5104" s="2" t="s">
        <v>26</v>
      </c>
      <c r="Q5104" t="s">
        <v>50</v>
      </c>
      <c r="R5104">
        <v>20.79</v>
      </c>
      <c r="S5104">
        <v>21.34</v>
      </c>
      <c r="T5104" t="s">
        <v>16938</v>
      </c>
    </row>
    <row r="5105" spans="1:20" x14ac:dyDescent="0.25">
      <c r="A5105" s="1" t="str">
        <f>HYPERLINK("https://vegkart.atlas.vegvesen.no/#/@-30364.1,6798962.9,18/hva:hva%5B0%5D%5Bfilter%5D%5B0%5D%5Boperator%5D=%21%3D&amp;hva%5B0%5D%5Bfilter%5D%5B0%5D%5Btype_id%5D=5897&amp;hva%5B0%5D%5Bfilter%5D%5B0%5D%5Bverdi%5D=&amp;hva%5B0%5D%5Bid%5D=47/når:2025-06-18", "Vegkart")</f>
        <v>Vegkart</v>
      </c>
      <c r="B5105">
        <v>79002004</v>
      </c>
      <c r="C5105">
        <v>47</v>
      </c>
      <c r="D5105" t="s">
        <v>16854</v>
      </c>
      <c r="E5105">
        <v>5897</v>
      </c>
      <c r="F5105" t="s">
        <v>23479</v>
      </c>
      <c r="G5105">
        <v>4</v>
      </c>
      <c r="H5105" t="s">
        <v>16892</v>
      </c>
      <c r="J5105" t="s">
        <v>16864</v>
      </c>
      <c r="K5105" t="s">
        <v>21</v>
      </c>
      <c r="L5105" t="s">
        <v>33</v>
      </c>
      <c r="M5105" t="s">
        <v>795</v>
      </c>
      <c r="N5105" t="s">
        <v>16939</v>
      </c>
      <c r="O5105" t="s">
        <v>16940</v>
      </c>
      <c r="P5105" s="2" t="s">
        <v>26</v>
      </c>
      <c r="Q5105" t="s">
        <v>50</v>
      </c>
      <c r="R5105">
        <v>66.78</v>
      </c>
      <c r="S5105">
        <v>67.81</v>
      </c>
      <c r="T5105" t="s">
        <v>16941</v>
      </c>
    </row>
    <row r="5106" spans="1:20" x14ac:dyDescent="0.25">
      <c r="A5106" s="1" t="str">
        <f>HYPERLINK("https://vegkart.atlas.vegvesen.no/#/@-30662.0,6798978.4,18/hva:hva%5B0%5D%5Bfilter%5D%5B0%5D%5Boperator%5D=%21%3D&amp;hva%5B0%5D%5Bfilter%5D%5B0%5D%5Btype_id%5D=5897&amp;hva%5B0%5D%5Bfilter%5D%5B0%5D%5Bverdi%5D=&amp;hva%5B0%5D%5Bid%5D=47/når:2025-06-18", "Vegkart")</f>
        <v>Vegkart</v>
      </c>
      <c r="B5106">
        <v>79002010</v>
      </c>
      <c r="C5106">
        <v>47</v>
      </c>
      <c r="D5106" t="s">
        <v>16854</v>
      </c>
      <c r="E5106">
        <v>5897</v>
      </c>
      <c r="F5106" t="s">
        <v>23479</v>
      </c>
      <c r="G5106">
        <v>4</v>
      </c>
      <c r="H5106" t="s">
        <v>16892</v>
      </c>
      <c r="J5106" t="s">
        <v>16864</v>
      </c>
      <c r="K5106" t="s">
        <v>21</v>
      </c>
      <c r="L5106" t="s">
        <v>33</v>
      </c>
      <c r="M5106" t="s">
        <v>795</v>
      </c>
      <c r="N5106" t="s">
        <v>16942</v>
      </c>
      <c r="O5106" t="s">
        <v>16943</v>
      </c>
      <c r="P5106" s="2" t="s">
        <v>26</v>
      </c>
      <c r="Q5106" t="s">
        <v>50</v>
      </c>
      <c r="R5106">
        <v>39.92</v>
      </c>
      <c r="S5106">
        <v>39.979999999999997</v>
      </c>
      <c r="T5106" t="s">
        <v>16944</v>
      </c>
    </row>
    <row r="5107" spans="1:20" x14ac:dyDescent="0.25">
      <c r="A5107" s="1" t="str">
        <f>HYPERLINK("https://vegkart.atlas.vegvesen.no/#/@-34662.7,6801106.1,18/hva:hva%5B0%5D%5Bfilter%5D%5B0%5D%5Boperator%5D=%21%3D&amp;hva%5B0%5D%5Bfilter%5D%5B0%5D%5Btype_id%5D=5897&amp;hva%5B0%5D%5Bfilter%5D%5B0%5D%5Bverdi%5D=&amp;hva%5B0%5D%5Bid%5D=47/når:2025-06-23", "Vegkart")</f>
        <v>Vegkart</v>
      </c>
      <c r="B5107">
        <v>79021992</v>
      </c>
      <c r="C5107">
        <v>47</v>
      </c>
      <c r="D5107" t="s">
        <v>16854</v>
      </c>
      <c r="E5107">
        <v>5897</v>
      </c>
      <c r="F5107" t="s">
        <v>23479</v>
      </c>
      <c r="G5107">
        <v>4</v>
      </c>
      <c r="H5107" t="s">
        <v>16945</v>
      </c>
      <c r="J5107" t="s">
        <v>16946</v>
      </c>
      <c r="K5107" t="s">
        <v>21</v>
      </c>
      <c r="L5107" t="s">
        <v>33</v>
      </c>
      <c r="M5107" t="s">
        <v>16947</v>
      </c>
      <c r="N5107" t="s">
        <v>16948</v>
      </c>
      <c r="O5107" t="s">
        <v>16949</v>
      </c>
      <c r="P5107" s="2" t="s">
        <v>26</v>
      </c>
      <c r="Q5107" t="s">
        <v>50</v>
      </c>
      <c r="R5107">
        <v>24.72</v>
      </c>
      <c r="S5107">
        <v>24.76</v>
      </c>
      <c r="T5107" t="s">
        <v>16950</v>
      </c>
    </row>
    <row r="5108" spans="1:20" x14ac:dyDescent="0.25">
      <c r="A5108" s="1" t="str">
        <f>HYPERLINK("https://vegkart.atlas.vegvesen.no/#/@-34657.8,6801104.8,18/hva:hva%5B0%5D%5Bfilter%5D%5B0%5D%5Boperator%5D=%21%3D&amp;hva%5B0%5D%5Bfilter%5D%5B0%5D%5Btype_id%5D=5897&amp;hva%5B0%5D%5Bfilter%5D%5B0%5D%5Bverdi%5D=&amp;hva%5B0%5D%5Bid%5D=47/når:2025-06-23", "Vegkart")</f>
        <v>Vegkart</v>
      </c>
      <c r="B5108">
        <v>79021993</v>
      </c>
      <c r="C5108">
        <v>47</v>
      </c>
      <c r="D5108" t="s">
        <v>16854</v>
      </c>
      <c r="E5108">
        <v>5897</v>
      </c>
      <c r="F5108" t="s">
        <v>23479</v>
      </c>
      <c r="G5108">
        <v>4</v>
      </c>
      <c r="H5108" t="s">
        <v>16945</v>
      </c>
      <c r="J5108" t="s">
        <v>16946</v>
      </c>
      <c r="K5108" t="s">
        <v>21</v>
      </c>
      <c r="L5108" t="s">
        <v>33</v>
      </c>
      <c r="M5108" t="s">
        <v>16947</v>
      </c>
      <c r="N5108" t="s">
        <v>16951</v>
      </c>
      <c r="O5108" t="s">
        <v>16952</v>
      </c>
      <c r="P5108" s="2" t="s">
        <v>26</v>
      </c>
      <c r="Q5108" t="s">
        <v>50</v>
      </c>
      <c r="R5108">
        <v>22.53</v>
      </c>
      <c r="S5108">
        <v>22.61</v>
      </c>
      <c r="T5108" t="s">
        <v>16953</v>
      </c>
    </row>
    <row r="5109" spans="1:20" x14ac:dyDescent="0.25">
      <c r="A5109" s="1" t="str">
        <f>HYPERLINK("https://vegkart.atlas.vegvesen.no/#/@-34685.4,6800995.4,18/hva:hva%5B0%5D%5Bfilter%5D%5B0%5D%5Boperator%5D=%21%3D&amp;hva%5B0%5D%5Bfilter%5D%5B0%5D%5Btype_id%5D=5897&amp;hva%5B0%5D%5Bfilter%5D%5B0%5D%5Bverdi%5D=&amp;hva%5B0%5D%5Bid%5D=47/når:2025-06-23", "Vegkart")</f>
        <v>Vegkart</v>
      </c>
      <c r="B5109">
        <v>79022000</v>
      </c>
      <c r="C5109">
        <v>47</v>
      </c>
      <c r="D5109" t="s">
        <v>16854</v>
      </c>
      <c r="E5109">
        <v>5897</v>
      </c>
      <c r="F5109" t="s">
        <v>23479</v>
      </c>
      <c r="G5109">
        <v>4</v>
      </c>
      <c r="H5109" t="s">
        <v>16945</v>
      </c>
      <c r="J5109" t="s">
        <v>16946</v>
      </c>
      <c r="K5109" t="s">
        <v>21</v>
      </c>
      <c r="L5109" t="s">
        <v>33</v>
      </c>
      <c r="M5109" t="s">
        <v>16947</v>
      </c>
      <c r="N5109" t="s">
        <v>16954</v>
      </c>
      <c r="O5109" t="s">
        <v>16955</v>
      </c>
      <c r="P5109" s="2" t="s">
        <v>26</v>
      </c>
      <c r="Q5109" t="s">
        <v>50</v>
      </c>
      <c r="R5109">
        <v>35.979999999999997</v>
      </c>
      <c r="S5109">
        <v>36.17</v>
      </c>
      <c r="T5109" t="s">
        <v>16956</v>
      </c>
    </row>
    <row r="5110" spans="1:20" x14ac:dyDescent="0.25">
      <c r="A5110" s="1" t="str">
        <f>HYPERLINK("https://vegkart.atlas.vegvesen.no/#/@-34728.0,6800754.1,18/hva:hva%5B0%5D%5Bfilter%5D%5B0%5D%5Boperator%5D=%21%3D&amp;hva%5B0%5D%5Bfilter%5D%5B0%5D%5Btype_id%5D=5897&amp;hva%5B0%5D%5Bfilter%5D%5B0%5D%5Bverdi%5D=&amp;hva%5B0%5D%5Bid%5D=47/når:2025-06-23", "Vegkart")</f>
        <v>Vegkart</v>
      </c>
      <c r="B5110">
        <v>79022011</v>
      </c>
      <c r="C5110">
        <v>47</v>
      </c>
      <c r="D5110" t="s">
        <v>16854</v>
      </c>
      <c r="E5110">
        <v>5897</v>
      </c>
      <c r="F5110" t="s">
        <v>23479</v>
      </c>
      <c r="G5110">
        <v>4</v>
      </c>
      <c r="H5110" t="s">
        <v>16945</v>
      </c>
      <c r="J5110" t="s">
        <v>16946</v>
      </c>
      <c r="K5110" t="s">
        <v>21</v>
      </c>
      <c r="L5110" t="s">
        <v>33</v>
      </c>
      <c r="M5110" t="s">
        <v>16947</v>
      </c>
      <c r="N5110" t="s">
        <v>16957</v>
      </c>
      <c r="O5110" t="s">
        <v>16958</v>
      </c>
      <c r="P5110" s="2" t="s">
        <v>26</v>
      </c>
      <c r="Q5110" t="s">
        <v>50</v>
      </c>
      <c r="R5110">
        <v>39.159999999999997</v>
      </c>
      <c r="S5110">
        <v>39.380000000000003</v>
      </c>
      <c r="T5110" t="s">
        <v>16959</v>
      </c>
    </row>
    <row r="5111" spans="1:20" x14ac:dyDescent="0.25">
      <c r="A5111" s="1" t="str">
        <f>HYPERLINK("https://vegkart.atlas.vegvesen.no/#/@-34675.9,6800370.5,18/hva:hva%5B0%5D%5Bfilter%5D%5B0%5D%5Boperator%5D=%21%3D&amp;hva%5B0%5D%5Bfilter%5D%5B0%5D%5Btype_id%5D=5897&amp;hva%5B0%5D%5Bfilter%5D%5B0%5D%5Bverdi%5D=&amp;hva%5B0%5D%5Bid%5D=47/når:2025-06-23", "Vegkart")</f>
        <v>Vegkart</v>
      </c>
      <c r="B5111">
        <v>79022047</v>
      </c>
      <c r="C5111">
        <v>47</v>
      </c>
      <c r="D5111" t="s">
        <v>16854</v>
      </c>
      <c r="E5111">
        <v>5897</v>
      </c>
      <c r="F5111" t="s">
        <v>23479</v>
      </c>
      <c r="G5111">
        <v>4</v>
      </c>
      <c r="H5111" t="s">
        <v>16945</v>
      </c>
      <c r="J5111" t="s">
        <v>16946</v>
      </c>
      <c r="K5111" t="s">
        <v>21</v>
      </c>
      <c r="L5111" t="s">
        <v>33</v>
      </c>
      <c r="M5111" t="s">
        <v>16947</v>
      </c>
      <c r="N5111" t="s">
        <v>16960</v>
      </c>
      <c r="O5111" t="s">
        <v>16961</v>
      </c>
      <c r="P5111" s="2" t="s">
        <v>26</v>
      </c>
      <c r="Q5111" t="s">
        <v>50</v>
      </c>
      <c r="R5111">
        <v>41.08</v>
      </c>
      <c r="S5111">
        <v>41.81</v>
      </c>
      <c r="T5111" t="s">
        <v>16962</v>
      </c>
    </row>
    <row r="5112" spans="1:20" x14ac:dyDescent="0.25">
      <c r="A5112" s="1" t="str">
        <f>HYPERLINK("https://vegkart.atlas.vegvesen.no/#/@-34615.8,6800281.8,18/hva:hva%5B0%5D%5Bfilter%5D%5B0%5D%5Boperator%5D=%21%3D&amp;hva%5B0%5D%5Bfilter%5D%5B0%5D%5Btype_id%5D=5897&amp;hva%5B0%5D%5Bfilter%5D%5B0%5D%5Bverdi%5D=&amp;hva%5B0%5D%5Bid%5D=47/når:2025-06-23", "Vegkart")</f>
        <v>Vegkart</v>
      </c>
      <c r="B5112">
        <v>79022054</v>
      </c>
      <c r="C5112">
        <v>47</v>
      </c>
      <c r="D5112" t="s">
        <v>16854</v>
      </c>
      <c r="E5112">
        <v>5897</v>
      </c>
      <c r="F5112" t="s">
        <v>23479</v>
      </c>
      <c r="G5112">
        <v>4</v>
      </c>
      <c r="H5112" t="s">
        <v>16945</v>
      </c>
      <c r="J5112" t="s">
        <v>16946</v>
      </c>
      <c r="K5112" t="s">
        <v>21</v>
      </c>
      <c r="L5112" t="s">
        <v>33</v>
      </c>
      <c r="M5112" t="s">
        <v>16947</v>
      </c>
      <c r="N5112" t="s">
        <v>16963</v>
      </c>
      <c r="O5112" t="s">
        <v>16964</v>
      </c>
      <c r="P5112" s="2" t="s">
        <v>26</v>
      </c>
      <c r="Q5112" t="s">
        <v>50</v>
      </c>
      <c r="R5112">
        <v>31.99</v>
      </c>
      <c r="S5112">
        <v>32.83</v>
      </c>
      <c r="T5112" t="s">
        <v>16965</v>
      </c>
    </row>
    <row r="5113" spans="1:20" x14ac:dyDescent="0.25">
      <c r="A5113" s="1" t="str">
        <f>HYPERLINK("https://vegkart.atlas.vegvesen.no/#/@-34529.4,6800191.8,18/hva:hva%5B0%5D%5Bfilter%5D%5B0%5D%5Boperator%5D=%21%3D&amp;hva%5B0%5D%5Bfilter%5D%5B0%5D%5Btype_id%5D=5897&amp;hva%5B0%5D%5Bfilter%5D%5B0%5D%5Bverdi%5D=&amp;hva%5B0%5D%5Bid%5D=47/når:2025-06-23", "Vegkart")</f>
        <v>Vegkart</v>
      </c>
      <c r="B5113">
        <v>79022055</v>
      </c>
      <c r="C5113">
        <v>47</v>
      </c>
      <c r="D5113" t="s">
        <v>16854</v>
      </c>
      <c r="E5113">
        <v>5897</v>
      </c>
      <c r="F5113" t="s">
        <v>23479</v>
      </c>
      <c r="G5113">
        <v>3</v>
      </c>
      <c r="H5113" t="s">
        <v>16945</v>
      </c>
      <c r="J5113" t="s">
        <v>16946</v>
      </c>
      <c r="K5113" t="s">
        <v>21</v>
      </c>
      <c r="L5113" t="s">
        <v>33</v>
      </c>
      <c r="M5113" t="s">
        <v>16947</v>
      </c>
      <c r="N5113" t="s">
        <v>16966</v>
      </c>
      <c r="O5113" t="s">
        <v>16967</v>
      </c>
      <c r="P5113" s="2" t="s">
        <v>26</v>
      </c>
      <c r="Q5113" t="s">
        <v>50</v>
      </c>
      <c r="R5113">
        <v>14.97</v>
      </c>
      <c r="S5113">
        <v>15.49</v>
      </c>
      <c r="T5113" t="s">
        <v>16968</v>
      </c>
    </row>
    <row r="5114" spans="1:20" x14ac:dyDescent="0.25">
      <c r="A5114" s="1" t="str">
        <f>HYPERLINK("https://vegkart.atlas.vegvesen.no/#/@-34289.5,6800126.3,18/hva:hva%5B0%5D%5Bfilter%5D%5B0%5D%5Boperator%5D=%21%3D&amp;hva%5B0%5D%5Bfilter%5D%5B0%5D%5Btype_id%5D=5897&amp;hva%5B0%5D%5Bfilter%5D%5B0%5D%5Bverdi%5D=&amp;hva%5B0%5D%5Bid%5D=47/når:2025-06-23", "Vegkart")</f>
        <v>Vegkart</v>
      </c>
      <c r="B5114">
        <v>79022056</v>
      </c>
      <c r="C5114">
        <v>47</v>
      </c>
      <c r="D5114" t="s">
        <v>16854</v>
      </c>
      <c r="E5114">
        <v>5897</v>
      </c>
      <c r="F5114" t="s">
        <v>23479</v>
      </c>
      <c r="G5114">
        <v>4</v>
      </c>
      <c r="H5114" t="s">
        <v>16945</v>
      </c>
      <c r="J5114" t="s">
        <v>16946</v>
      </c>
      <c r="K5114" t="s">
        <v>21</v>
      </c>
      <c r="L5114" t="s">
        <v>33</v>
      </c>
      <c r="M5114" t="s">
        <v>16947</v>
      </c>
      <c r="N5114" t="s">
        <v>16969</v>
      </c>
      <c r="O5114" t="s">
        <v>16970</v>
      </c>
      <c r="P5114" s="2" t="s">
        <v>26</v>
      </c>
      <c r="Q5114" t="s">
        <v>50</v>
      </c>
      <c r="R5114">
        <v>35.729999999999997</v>
      </c>
      <c r="S5114">
        <v>36.17</v>
      </c>
      <c r="T5114" t="s">
        <v>16971</v>
      </c>
    </row>
    <row r="5115" spans="1:20" x14ac:dyDescent="0.25">
      <c r="A5115" s="1" t="str">
        <f>HYPERLINK("https://vegkart.atlas.vegvesen.no/#/@-34173.8,6800099.7,18/hva:hva%5B0%5D%5Bfilter%5D%5B0%5D%5Boperator%5D=%21%3D&amp;hva%5B0%5D%5Bfilter%5D%5B0%5D%5Btype_id%5D=5897&amp;hva%5B0%5D%5Bfilter%5D%5B0%5D%5Bverdi%5D=&amp;hva%5B0%5D%5Bid%5D=47/når:2025-06-23", "Vegkart")</f>
        <v>Vegkart</v>
      </c>
      <c r="B5115">
        <v>79022057</v>
      </c>
      <c r="C5115">
        <v>47</v>
      </c>
      <c r="D5115" t="s">
        <v>16854</v>
      </c>
      <c r="E5115">
        <v>5897</v>
      </c>
      <c r="F5115" t="s">
        <v>23479</v>
      </c>
      <c r="G5115">
        <v>4</v>
      </c>
      <c r="H5115" t="s">
        <v>16945</v>
      </c>
      <c r="J5115" t="s">
        <v>16946</v>
      </c>
      <c r="K5115" t="s">
        <v>21</v>
      </c>
      <c r="L5115" t="s">
        <v>33</v>
      </c>
      <c r="M5115" t="s">
        <v>16947</v>
      </c>
      <c r="N5115" t="s">
        <v>16972</v>
      </c>
      <c r="O5115" t="s">
        <v>16973</v>
      </c>
      <c r="P5115" s="2" t="s">
        <v>26</v>
      </c>
      <c r="Q5115" t="s">
        <v>50</v>
      </c>
      <c r="R5115">
        <v>35.75</v>
      </c>
      <c r="S5115">
        <v>36.03</v>
      </c>
      <c r="T5115" t="s">
        <v>16974</v>
      </c>
    </row>
    <row r="5116" spans="1:20" x14ac:dyDescent="0.25">
      <c r="A5116" s="1" t="str">
        <f>HYPERLINK("https://vegkart.atlas.vegvesen.no/#/@-33988.7,6800062.4,18/hva:hva%5B0%5D%5Bfilter%5D%5B0%5D%5Boperator%5D=%21%3D&amp;hva%5B0%5D%5Bfilter%5D%5B0%5D%5Btype_id%5D=5897&amp;hva%5B0%5D%5Bfilter%5D%5B0%5D%5Bverdi%5D=&amp;hva%5B0%5D%5Bid%5D=47/når:2025-06-23", "Vegkart")</f>
        <v>Vegkart</v>
      </c>
      <c r="B5116">
        <v>79022058</v>
      </c>
      <c r="C5116">
        <v>47</v>
      </c>
      <c r="D5116" t="s">
        <v>16854</v>
      </c>
      <c r="E5116">
        <v>5897</v>
      </c>
      <c r="F5116" t="s">
        <v>23479</v>
      </c>
      <c r="G5116">
        <v>4</v>
      </c>
      <c r="H5116" t="s">
        <v>16945</v>
      </c>
      <c r="J5116" t="s">
        <v>16946</v>
      </c>
      <c r="K5116" t="s">
        <v>21</v>
      </c>
      <c r="L5116" t="s">
        <v>33</v>
      </c>
      <c r="M5116" t="s">
        <v>16947</v>
      </c>
      <c r="N5116" t="s">
        <v>16975</v>
      </c>
      <c r="O5116" t="s">
        <v>16976</v>
      </c>
      <c r="P5116" s="2" t="s">
        <v>26</v>
      </c>
      <c r="Q5116" t="s">
        <v>50</v>
      </c>
      <c r="R5116">
        <v>24.02</v>
      </c>
      <c r="S5116">
        <v>24.23</v>
      </c>
      <c r="T5116" t="s">
        <v>16977</v>
      </c>
    </row>
    <row r="5117" spans="1:20" x14ac:dyDescent="0.25">
      <c r="A5117" s="1" t="str">
        <f>HYPERLINK("https://vegkart.atlas.vegvesen.no/#/@-33731.3,6799952.3,18/hva:hva%5B0%5D%5Bfilter%5D%5B0%5D%5Boperator%5D=%21%3D&amp;hva%5B0%5D%5Bfilter%5D%5B0%5D%5Btype_id%5D=5897&amp;hva%5B0%5D%5Bfilter%5D%5B0%5D%5Bverdi%5D=&amp;hva%5B0%5D%5Bid%5D=47/når:2025-06-23", "Vegkart")</f>
        <v>Vegkart</v>
      </c>
      <c r="B5117">
        <v>79022059</v>
      </c>
      <c r="C5117">
        <v>47</v>
      </c>
      <c r="D5117" t="s">
        <v>16854</v>
      </c>
      <c r="E5117">
        <v>5897</v>
      </c>
      <c r="F5117" t="s">
        <v>23479</v>
      </c>
      <c r="G5117">
        <v>4</v>
      </c>
      <c r="H5117" t="s">
        <v>16945</v>
      </c>
      <c r="J5117" t="s">
        <v>16946</v>
      </c>
      <c r="K5117" t="s">
        <v>21</v>
      </c>
      <c r="L5117" t="s">
        <v>33</v>
      </c>
      <c r="M5117" t="s">
        <v>16947</v>
      </c>
      <c r="N5117" t="s">
        <v>16978</v>
      </c>
      <c r="O5117" t="s">
        <v>16979</v>
      </c>
      <c r="P5117" s="2" t="s">
        <v>26</v>
      </c>
      <c r="Q5117" t="s">
        <v>50</v>
      </c>
      <c r="R5117">
        <v>17</v>
      </c>
      <c r="S5117">
        <v>17.29</v>
      </c>
      <c r="T5117" t="s">
        <v>16980</v>
      </c>
    </row>
    <row r="5118" spans="1:20" x14ac:dyDescent="0.25">
      <c r="A5118" s="1" t="str">
        <f>HYPERLINK("https://vegkart.atlas.vegvesen.no/#/@-32742.7,6799627.3,18/hva:hva%5B0%5D%5Bfilter%5D%5B0%5D%5Boperator%5D=%21%3D&amp;hva%5B0%5D%5Bfilter%5D%5B0%5D%5Btype_id%5D=5897&amp;hva%5B0%5D%5Bfilter%5D%5B0%5D%5Bverdi%5D=&amp;hva%5B0%5D%5Bid%5D=47/når:2025-06-23", "Vegkart")</f>
        <v>Vegkart</v>
      </c>
      <c r="B5118">
        <v>79022094</v>
      </c>
      <c r="C5118">
        <v>47</v>
      </c>
      <c r="D5118" t="s">
        <v>16854</v>
      </c>
      <c r="E5118">
        <v>5897</v>
      </c>
      <c r="F5118" t="s">
        <v>23479</v>
      </c>
      <c r="G5118">
        <v>4</v>
      </c>
      <c r="H5118" t="s">
        <v>16945</v>
      </c>
      <c r="J5118" t="s">
        <v>16946</v>
      </c>
      <c r="K5118" t="s">
        <v>21</v>
      </c>
      <c r="L5118" t="s">
        <v>33</v>
      </c>
      <c r="M5118" t="s">
        <v>16947</v>
      </c>
      <c r="N5118" t="s">
        <v>16981</v>
      </c>
      <c r="O5118" t="s">
        <v>16982</v>
      </c>
      <c r="P5118" s="2" t="s">
        <v>26</v>
      </c>
      <c r="Q5118" t="s">
        <v>50</v>
      </c>
      <c r="R5118">
        <v>21.86</v>
      </c>
      <c r="S5118">
        <v>21.95</v>
      </c>
      <c r="T5118" t="s">
        <v>16983</v>
      </c>
    </row>
    <row r="5119" spans="1:20" x14ac:dyDescent="0.25">
      <c r="A5119" s="1" t="str">
        <f>HYPERLINK("https://vegkart.atlas.vegvesen.no/#/@-32586.6,6799647.9,18/hva:hva%5B0%5D%5Bfilter%5D%5B0%5D%5Boperator%5D=%21%3D&amp;hva%5B0%5D%5Bfilter%5D%5B0%5D%5Btype_id%5D=5897&amp;hva%5B0%5D%5Bfilter%5D%5B0%5D%5Bverdi%5D=&amp;hva%5B0%5D%5Bid%5D=47/når:2025-06-23", "Vegkart")</f>
        <v>Vegkart</v>
      </c>
      <c r="B5119">
        <v>79022095</v>
      </c>
      <c r="C5119">
        <v>47</v>
      </c>
      <c r="D5119" t="s">
        <v>16854</v>
      </c>
      <c r="E5119">
        <v>5897</v>
      </c>
      <c r="F5119" t="s">
        <v>23479</v>
      </c>
      <c r="G5119">
        <v>4</v>
      </c>
      <c r="H5119" t="s">
        <v>16945</v>
      </c>
      <c r="J5119" t="s">
        <v>16946</v>
      </c>
      <c r="K5119" t="s">
        <v>21</v>
      </c>
      <c r="L5119" t="s">
        <v>33</v>
      </c>
      <c r="M5119" t="s">
        <v>16947</v>
      </c>
      <c r="N5119" t="s">
        <v>16984</v>
      </c>
      <c r="O5119" t="s">
        <v>16985</v>
      </c>
      <c r="P5119" s="2" t="s">
        <v>26</v>
      </c>
      <c r="Q5119" t="s">
        <v>50</v>
      </c>
      <c r="R5119">
        <v>18.05</v>
      </c>
      <c r="S5119">
        <v>18.82</v>
      </c>
      <c r="T5119" t="s">
        <v>16986</v>
      </c>
    </row>
    <row r="5120" spans="1:20" x14ac:dyDescent="0.25">
      <c r="A5120" s="1" t="str">
        <f>HYPERLINK("https://vegkart.atlas.vegvesen.no/#/@-32343.2,6799738.6,18/hva:hva%5B0%5D%5Bfilter%5D%5B0%5D%5Boperator%5D=%21%3D&amp;hva%5B0%5D%5Bfilter%5D%5B0%5D%5Btype_id%5D=5897&amp;hva%5B0%5D%5Bfilter%5D%5B0%5D%5Bverdi%5D=&amp;hva%5B0%5D%5Bid%5D=47/når:2025-06-23", "Vegkart")</f>
        <v>Vegkart</v>
      </c>
      <c r="B5120">
        <v>79022104</v>
      </c>
      <c r="C5120">
        <v>47</v>
      </c>
      <c r="D5120" t="s">
        <v>16854</v>
      </c>
      <c r="E5120">
        <v>5897</v>
      </c>
      <c r="F5120" t="s">
        <v>23479</v>
      </c>
      <c r="G5120">
        <v>4</v>
      </c>
      <c r="H5120" t="s">
        <v>16945</v>
      </c>
      <c r="J5120" t="s">
        <v>16946</v>
      </c>
      <c r="K5120" t="s">
        <v>21</v>
      </c>
      <c r="L5120" t="s">
        <v>33</v>
      </c>
      <c r="M5120" t="s">
        <v>16947</v>
      </c>
      <c r="N5120" t="s">
        <v>16987</v>
      </c>
      <c r="O5120" t="s">
        <v>16988</v>
      </c>
      <c r="P5120" s="2" t="s">
        <v>26</v>
      </c>
      <c r="Q5120" t="s">
        <v>50</v>
      </c>
      <c r="R5120">
        <v>24.33</v>
      </c>
      <c r="S5120">
        <v>24.73</v>
      </c>
      <c r="T5120" t="s">
        <v>16989</v>
      </c>
    </row>
    <row r="5121" spans="1:20" x14ac:dyDescent="0.25">
      <c r="A5121" s="1" t="str">
        <f>HYPERLINK("https://vegkart.atlas.vegvesen.no/#/@-32076.8,6799834.3,18/hva:hva%5B0%5D%5Bfilter%5D%5B0%5D%5Boperator%5D=%21%3D&amp;hva%5B0%5D%5Bfilter%5D%5B0%5D%5Btype_id%5D=5897&amp;hva%5B0%5D%5Bfilter%5D%5B0%5D%5Bverdi%5D=&amp;hva%5B0%5D%5Bid%5D=47/når:2025-06-23", "Vegkart")</f>
        <v>Vegkart</v>
      </c>
      <c r="B5121">
        <v>79022126</v>
      </c>
      <c r="C5121">
        <v>47</v>
      </c>
      <c r="D5121" t="s">
        <v>16854</v>
      </c>
      <c r="E5121">
        <v>5897</v>
      </c>
      <c r="F5121" t="s">
        <v>23479</v>
      </c>
      <c r="G5121">
        <v>4</v>
      </c>
      <c r="H5121" t="s">
        <v>16945</v>
      </c>
      <c r="J5121" t="s">
        <v>16946</v>
      </c>
      <c r="K5121" t="s">
        <v>21</v>
      </c>
      <c r="L5121" t="s">
        <v>33</v>
      </c>
      <c r="M5121" t="s">
        <v>16947</v>
      </c>
      <c r="N5121" t="s">
        <v>16990</v>
      </c>
      <c r="O5121" t="s">
        <v>16991</v>
      </c>
      <c r="P5121" s="2" t="s">
        <v>26</v>
      </c>
      <c r="Q5121" t="s">
        <v>50</v>
      </c>
      <c r="R5121">
        <v>41.63</v>
      </c>
      <c r="S5121">
        <v>41.76</v>
      </c>
      <c r="T5121" t="s">
        <v>16992</v>
      </c>
    </row>
    <row r="5122" spans="1:20" x14ac:dyDescent="0.25">
      <c r="A5122" s="1" t="str">
        <f>HYPERLINK("https://vegkart.atlas.vegvesen.no/#/@-31869.6,6799849.2,18/hva:hva%5B0%5D%5Bfilter%5D%5B0%5D%5Boperator%5D=%21%3D&amp;hva%5B0%5D%5Bfilter%5D%5B0%5D%5Btype_id%5D=5897&amp;hva%5B0%5D%5Bfilter%5D%5B0%5D%5Bverdi%5D=&amp;hva%5B0%5D%5Bid%5D=47/når:2025-06-23", "Vegkart")</f>
        <v>Vegkart</v>
      </c>
      <c r="B5122">
        <v>79022136</v>
      </c>
      <c r="C5122">
        <v>47</v>
      </c>
      <c r="D5122" t="s">
        <v>16854</v>
      </c>
      <c r="E5122">
        <v>5897</v>
      </c>
      <c r="F5122" t="s">
        <v>23479</v>
      </c>
      <c r="G5122">
        <v>4</v>
      </c>
      <c r="H5122" t="s">
        <v>16945</v>
      </c>
      <c r="J5122" t="s">
        <v>16946</v>
      </c>
      <c r="K5122" t="s">
        <v>21</v>
      </c>
      <c r="L5122" t="s">
        <v>33</v>
      </c>
      <c r="M5122" t="s">
        <v>16947</v>
      </c>
      <c r="N5122" t="s">
        <v>16993</v>
      </c>
      <c r="O5122" t="s">
        <v>16994</v>
      </c>
      <c r="P5122" s="2" t="s">
        <v>26</v>
      </c>
      <c r="Q5122" t="s">
        <v>50</v>
      </c>
      <c r="R5122">
        <v>36.54</v>
      </c>
      <c r="S5122">
        <v>37.65</v>
      </c>
      <c r="T5122" t="s">
        <v>16995</v>
      </c>
    </row>
    <row r="5123" spans="1:20" x14ac:dyDescent="0.25">
      <c r="A5123" s="1" t="str">
        <f>HYPERLINK("https://vegkart.atlas.vegvesen.no/#/@-31758.4,6799885.5,18/hva:hva%5B0%5D%5Bfilter%5D%5B0%5D%5Boperator%5D=%21%3D&amp;hva%5B0%5D%5Bfilter%5D%5B0%5D%5Btype_id%5D=5897&amp;hva%5B0%5D%5Bfilter%5D%5B0%5D%5Bverdi%5D=&amp;hva%5B0%5D%5Bid%5D=47/når:2025-06-23", "Vegkart")</f>
        <v>Vegkart</v>
      </c>
      <c r="B5123">
        <v>79022161</v>
      </c>
      <c r="C5123">
        <v>47</v>
      </c>
      <c r="D5123" t="s">
        <v>16854</v>
      </c>
      <c r="E5123">
        <v>5897</v>
      </c>
      <c r="F5123" t="s">
        <v>23479</v>
      </c>
      <c r="G5123">
        <v>4</v>
      </c>
      <c r="H5123" t="s">
        <v>16945</v>
      </c>
      <c r="J5123" t="s">
        <v>16946</v>
      </c>
      <c r="K5123" t="s">
        <v>21</v>
      </c>
      <c r="L5123" t="s">
        <v>33</v>
      </c>
      <c r="M5123" t="s">
        <v>16947</v>
      </c>
      <c r="N5123" t="s">
        <v>16996</v>
      </c>
      <c r="O5123" t="s">
        <v>16997</v>
      </c>
      <c r="P5123" s="2" t="s">
        <v>26</v>
      </c>
      <c r="Q5123" t="s">
        <v>50</v>
      </c>
      <c r="R5123">
        <v>17.29</v>
      </c>
      <c r="S5123">
        <v>17.489999999999998</v>
      </c>
      <c r="T5123" t="s">
        <v>16998</v>
      </c>
    </row>
    <row r="5124" spans="1:20" x14ac:dyDescent="0.25">
      <c r="A5124" s="1" t="str">
        <f>HYPERLINK("https://vegkart.atlas.vegvesen.no/#/@-31670.2,6799905.5,18/hva:hva%5B0%5D%5Bfilter%5D%5B0%5D%5Boperator%5D=%21%3D&amp;hva%5B0%5D%5Bfilter%5D%5B0%5D%5Btype_id%5D=5897&amp;hva%5B0%5D%5Bfilter%5D%5B0%5D%5Bverdi%5D=&amp;hva%5B0%5D%5Bid%5D=47/når:2025-06-23", "Vegkart")</f>
        <v>Vegkart</v>
      </c>
      <c r="B5124">
        <v>79022165</v>
      </c>
      <c r="C5124">
        <v>47</v>
      </c>
      <c r="D5124" t="s">
        <v>16854</v>
      </c>
      <c r="E5124">
        <v>5897</v>
      </c>
      <c r="F5124" t="s">
        <v>23479</v>
      </c>
      <c r="G5124">
        <v>4</v>
      </c>
      <c r="H5124" t="s">
        <v>16945</v>
      </c>
      <c r="J5124" t="s">
        <v>16946</v>
      </c>
      <c r="K5124" t="s">
        <v>21</v>
      </c>
      <c r="L5124" t="s">
        <v>33</v>
      </c>
      <c r="M5124" t="s">
        <v>16947</v>
      </c>
      <c r="N5124" t="s">
        <v>16999</v>
      </c>
      <c r="O5124" t="s">
        <v>17000</v>
      </c>
      <c r="P5124" s="2" t="s">
        <v>26</v>
      </c>
      <c r="Q5124" t="s">
        <v>50</v>
      </c>
      <c r="R5124">
        <v>23.37</v>
      </c>
      <c r="S5124">
        <v>24.29</v>
      </c>
      <c r="T5124" t="s">
        <v>17001</v>
      </c>
    </row>
    <row r="5125" spans="1:20" x14ac:dyDescent="0.25">
      <c r="A5125" s="1" t="str">
        <f>HYPERLINK("https://vegkart.atlas.vegvesen.no/#/@-31184.4,6800060.0,18/hva:hva%5B0%5D%5Bfilter%5D%5B0%5D%5Boperator%5D=%21%3D&amp;hva%5B0%5D%5Bfilter%5D%5B0%5D%5Btype_id%5D=5897&amp;hva%5B0%5D%5Bfilter%5D%5B0%5D%5Bverdi%5D=&amp;hva%5B0%5D%5Bid%5D=47/når:2025-06-23", "Vegkart")</f>
        <v>Vegkart</v>
      </c>
      <c r="B5125">
        <v>79022224</v>
      </c>
      <c r="C5125">
        <v>47</v>
      </c>
      <c r="D5125" t="s">
        <v>16854</v>
      </c>
      <c r="E5125">
        <v>5897</v>
      </c>
      <c r="F5125" t="s">
        <v>23479</v>
      </c>
      <c r="G5125">
        <v>3</v>
      </c>
      <c r="H5125" t="s">
        <v>16945</v>
      </c>
      <c r="J5125" t="s">
        <v>16946</v>
      </c>
      <c r="K5125" t="s">
        <v>21</v>
      </c>
      <c r="L5125" t="s">
        <v>33</v>
      </c>
      <c r="M5125" t="s">
        <v>16947</v>
      </c>
      <c r="N5125" t="s">
        <v>17002</v>
      </c>
      <c r="O5125" t="s">
        <v>17003</v>
      </c>
      <c r="P5125" s="2" t="s">
        <v>26</v>
      </c>
      <c r="Q5125" t="s">
        <v>50</v>
      </c>
      <c r="R5125">
        <v>22.14</v>
      </c>
      <c r="S5125">
        <v>22.31</v>
      </c>
      <c r="T5125" t="s">
        <v>17004</v>
      </c>
    </row>
    <row r="5126" spans="1:20" x14ac:dyDescent="0.25">
      <c r="A5126" s="1" t="str">
        <f>HYPERLINK("https://vegkart.atlas.vegvesen.no/#/@-31121.7,6800112.7,18/hva:hva%5B0%5D%5Bfilter%5D%5B0%5D%5Boperator%5D=%21%3D&amp;hva%5B0%5D%5Bfilter%5D%5B0%5D%5Btype_id%5D=5897&amp;hva%5B0%5D%5Bfilter%5D%5B0%5D%5Bverdi%5D=&amp;hva%5B0%5D%5Bid%5D=47/når:2025-06-23", "Vegkart")</f>
        <v>Vegkart</v>
      </c>
      <c r="B5126">
        <v>79022234</v>
      </c>
      <c r="C5126">
        <v>47</v>
      </c>
      <c r="D5126" t="s">
        <v>16854</v>
      </c>
      <c r="E5126">
        <v>5897</v>
      </c>
      <c r="F5126" t="s">
        <v>23479</v>
      </c>
      <c r="G5126">
        <v>4</v>
      </c>
      <c r="H5126" t="s">
        <v>16945</v>
      </c>
      <c r="J5126" t="s">
        <v>16946</v>
      </c>
      <c r="K5126" t="s">
        <v>21</v>
      </c>
      <c r="L5126" t="s">
        <v>33</v>
      </c>
      <c r="M5126" t="s">
        <v>16947</v>
      </c>
      <c r="N5126" t="s">
        <v>17005</v>
      </c>
      <c r="O5126" t="s">
        <v>17006</v>
      </c>
      <c r="P5126" s="2" t="s">
        <v>26</v>
      </c>
      <c r="Q5126" t="s">
        <v>50</v>
      </c>
      <c r="R5126">
        <v>21.09</v>
      </c>
      <c r="S5126">
        <v>21.96</v>
      </c>
      <c r="T5126" t="s">
        <v>17007</v>
      </c>
    </row>
    <row r="5127" spans="1:20" x14ac:dyDescent="0.25">
      <c r="A5127" s="1" t="str">
        <f>HYPERLINK("https://vegkart.atlas.vegvesen.no/#/@-31027.7,6800301.3,18/hva:hva%5B0%5D%5Bfilter%5D%5B0%5D%5Boperator%5D=%21%3D&amp;hva%5B0%5D%5Bfilter%5D%5B0%5D%5Btype_id%5D=5897&amp;hva%5B0%5D%5Bfilter%5D%5B0%5D%5Bverdi%5D=&amp;hva%5B0%5D%5Bid%5D=47/når:2025-06-23", "Vegkart")</f>
        <v>Vegkart</v>
      </c>
      <c r="B5127">
        <v>79022253</v>
      </c>
      <c r="C5127">
        <v>47</v>
      </c>
      <c r="D5127" t="s">
        <v>16854</v>
      </c>
      <c r="E5127">
        <v>5897</v>
      </c>
      <c r="F5127" t="s">
        <v>23479</v>
      </c>
      <c r="G5127">
        <v>4</v>
      </c>
      <c r="H5127" t="s">
        <v>16945</v>
      </c>
      <c r="J5127" t="s">
        <v>16946</v>
      </c>
      <c r="K5127" t="s">
        <v>21</v>
      </c>
      <c r="L5127" t="s">
        <v>33</v>
      </c>
      <c r="M5127" t="s">
        <v>16947</v>
      </c>
      <c r="N5127" t="s">
        <v>17008</v>
      </c>
      <c r="O5127" t="s">
        <v>17009</v>
      </c>
      <c r="P5127" s="2" t="s">
        <v>26</v>
      </c>
      <c r="Q5127" t="s">
        <v>50</v>
      </c>
      <c r="R5127">
        <v>31.47</v>
      </c>
      <c r="S5127">
        <v>31.88</v>
      </c>
      <c r="T5127" t="s">
        <v>17010</v>
      </c>
    </row>
    <row r="5128" spans="1:20" x14ac:dyDescent="0.25">
      <c r="A5128" s="1" t="str">
        <f>HYPERLINK("https://vegkart.atlas.vegvesen.no/#/@-30947.5,6800542.2,18/hva:hva%5B0%5D%5Bfilter%5D%5B0%5D%5Boperator%5D=%21%3D&amp;hva%5B0%5D%5Bfilter%5D%5B0%5D%5Btype_id%5D=5897&amp;hva%5B0%5D%5Bfilter%5D%5B0%5D%5Bverdi%5D=&amp;hva%5B0%5D%5Bid%5D=47/når:2025-06-23", "Vegkart")</f>
        <v>Vegkart</v>
      </c>
      <c r="B5128">
        <v>79022263</v>
      </c>
      <c r="C5128">
        <v>47</v>
      </c>
      <c r="D5128" t="s">
        <v>16854</v>
      </c>
      <c r="E5128">
        <v>5897</v>
      </c>
      <c r="F5128" t="s">
        <v>23479</v>
      </c>
      <c r="G5128">
        <v>4</v>
      </c>
      <c r="H5128" t="s">
        <v>16945</v>
      </c>
      <c r="J5128" t="s">
        <v>16946</v>
      </c>
      <c r="K5128" t="s">
        <v>21</v>
      </c>
      <c r="L5128" t="s">
        <v>33</v>
      </c>
      <c r="M5128" t="s">
        <v>16947</v>
      </c>
      <c r="N5128" t="s">
        <v>17011</v>
      </c>
      <c r="O5128" t="s">
        <v>17012</v>
      </c>
      <c r="P5128" s="2" t="s">
        <v>26</v>
      </c>
      <c r="Q5128" t="s">
        <v>50</v>
      </c>
      <c r="R5128">
        <v>26.32</v>
      </c>
      <c r="S5128">
        <v>26.82</v>
      </c>
      <c r="T5128" t="s">
        <v>17013</v>
      </c>
    </row>
    <row r="5129" spans="1:20" x14ac:dyDescent="0.25">
      <c r="A5129" s="1" t="str">
        <f>HYPERLINK("https://vegkart.atlas.vegvesen.no/#/@-30924.1,6800586.2,18/hva:hva%5B0%5D%5Bfilter%5D%5B0%5D%5Boperator%5D=%21%3D&amp;hva%5B0%5D%5Bfilter%5D%5B0%5D%5Btype_id%5D=5897&amp;hva%5B0%5D%5Bfilter%5D%5B0%5D%5Bverdi%5D=&amp;hva%5B0%5D%5Bid%5D=47/når:2025-06-23", "Vegkart")</f>
        <v>Vegkart</v>
      </c>
      <c r="B5129">
        <v>79022264</v>
      </c>
      <c r="C5129">
        <v>47</v>
      </c>
      <c r="D5129" t="s">
        <v>16854</v>
      </c>
      <c r="E5129">
        <v>5897</v>
      </c>
      <c r="F5129" t="s">
        <v>23479</v>
      </c>
      <c r="G5129">
        <v>4</v>
      </c>
      <c r="H5129" t="s">
        <v>16945</v>
      </c>
      <c r="J5129" t="s">
        <v>16946</v>
      </c>
      <c r="K5129" t="s">
        <v>21</v>
      </c>
      <c r="L5129" t="s">
        <v>33</v>
      </c>
      <c r="M5129" t="s">
        <v>16947</v>
      </c>
      <c r="N5129" t="s">
        <v>17014</v>
      </c>
      <c r="O5129" t="s">
        <v>17015</v>
      </c>
      <c r="P5129" s="2" t="s">
        <v>26</v>
      </c>
      <c r="Q5129" t="s">
        <v>50</v>
      </c>
      <c r="R5129">
        <v>25.76</v>
      </c>
      <c r="S5129">
        <v>25.97</v>
      </c>
      <c r="T5129" t="s">
        <v>17016</v>
      </c>
    </row>
    <row r="5130" spans="1:20" x14ac:dyDescent="0.25">
      <c r="A5130" s="1" t="str">
        <f>HYPERLINK("https://vegkart.atlas.vegvesen.no/#/@-30785.8,6800869.5,18/hva:hva%5B0%5D%5Bfilter%5D%5B0%5D%5Boperator%5D=%21%3D&amp;hva%5B0%5D%5Bfilter%5D%5B0%5D%5Btype_id%5D=5897&amp;hva%5B0%5D%5Bfilter%5D%5B0%5D%5Bverdi%5D=&amp;hva%5B0%5D%5Bid%5D=47/når:2025-06-23", "Vegkart")</f>
        <v>Vegkart</v>
      </c>
      <c r="B5130">
        <v>79022267</v>
      </c>
      <c r="C5130">
        <v>47</v>
      </c>
      <c r="D5130" t="s">
        <v>16854</v>
      </c>
      <c r="E5130">
        <v>5897</v>
      </c>
      <c r="F5130" t="s">
        <v>23479</v>
      </c>
      <c r="G5130">
        <v>4</v>
      </c>
      <c r="H5130" t="s">
        <v>16945</v>
      </c>
      <c r="J5130" t="s">
        <v>16946</v>
      </c>
      <c r="K5130" t="s">
        <v>21</v>
      </c>
      <c r="L5130" t="s">
        <v>33</v>
      </c>
      <c r="M5130" t="s">
        <v>16947</v>
      </c>
      <c r="N5130" t="s">
        <v>17017</v>
      </c>
      <c r="O5130" t="s">
        <v>17018</v>
      </c>
      <c r="P5130" s="2" t="s">
        <v>26</v>
      </c>
      <c r="Q5130" t="s">
        <v>50</v>
      </c>
      <c r="R5130">
        <v>41.83</v>
      </c>
      <c r="S5130">
        <v>42.93</v>
      </c>
      <c r="T5130" t="s">
        <v>17019</v>
      </c>
    </row>
    <row r="5131" spans="1:20" x14ac:dyDescent="0.25">
      <c r="A5131" s="1" t="str">
        <f>HYPERLINK("https://vegkart.atlas.vegvesen.no/#/@-30745.7,6801005.0,18/hva:hva%5B0%5D%5Bfilter%5D%5B0%5D%5Boperator%5D=%21%3D&amp;hva%5B0%5D%5Bfilter%5D%5B0%5D%5Btype_id%5D=5897&amp;hva%5B0%5D%5Bfilter%5D%5B0%5D%5Bverdi%5D=&amp;hva%5B0%5D%5Bid%5D=47/når:2025-06-23", "Vegkart")</f>
        <v>Vegkart</v>
      </c>
      <c r="B5131">
        <v>79022277</v>
      </c>
      <c r="C5131">
        <v>47</v>
      </c>
      <c r="D5131" t="s">
        <v>16854</v>
      </c>
      <c r="E5131">
        <v>5897</v>
      </c>
      <c r="F5131" t="s">
        <v>23479</v>
      </c>
      <c r="G5131">
        <v>4</v>
      </c>
      <c r="H5131" t="s">
        <v>16945</v>
      </c>
      <c r="J5131" t="s">
        <v>16946</v>
      </c>
      <c r="K5131" t="s">
        <v>21</v>
      </c>
      <c r="L5131" t="s">
        <v>33</v>
      </c>
      <c r="M5131" t="s">
        <v>16947</v>
      </c>
      <c r="N5131" t="s">
        <v>17020</v>
      </c>
      <c r="O5131" t="s">
        <v>17021</v>
      </c>
      <c r="P5131" s="2" t="s">
        <v>26</v>
      </c>
      <c r="Q5131" t="s">
        <v>50</v>
      </c>
      <c r="R5131">
        <v>26.42</v>
      </c>
      <c r="S5131">
        <v>27.05</v>
      </c>
      <c r="T5131" t="s">
        <v>17022</v>
      </c>
    </row>
    <row r="5132" spans="1:20" x14ac:dyDescent="0.25">
      <c r="A5132" s="1" t="str">
        <f>HYPERLINK("https://vegkart.atlas.vegvesen.no/#/@-30711.5,6801151.6,18/hva:hva%5B0%5D%5Bfilter%5D%5B0%5D%5Boperator%5D=%21%3D&amp;hva%5B0%5D%5Bfilter%5D%5B0%5D%5Btype_id%5D=5897&amp;hva%5B0%5D%5Bfilter%5D%5B0%5D%5Bverdi%5D=&amp;hva%5B0%5D%5Bid%5D=47/når:2025-06-23", "Vegkart")</f>
        <v>Vegkart</v>
      </c>
      <c r="B5132">
        <v>79022287</v>
      </c>
      <c r="C5132">
        <v>47</v>
      </c>
      <c r="D5132" t="s">
        <v>16854</v>
      </c>
      <c r="E5132">
        <v>5897</v>
      </c>
      <c r="F5132" t="s">
        <v>23479</v>
      </c>
      <c r="G5132">
        <v>3</v>
      </c>
      <c r="H5132" t="s">
        <v>16945</v>
      </c>
      <c r="J5132" t="s">
        <v>16946</v>
      </c>
      <c r="K5132" t="s">
        <v>21</v>
      </c>
      <c r="L5132" t="s">
        <v>33</v>
      </c>
      <c r="M5132" t="s">
        <v>16947</v>
      </c>
      <c r="N5132" t="s">
        <v>17023</v>
      </c>
      <c r="O5132" t="s">
        <v>17024</v>
      </c>
      <c r="P5132" s="2" t="s">
        <v>26</v>
      </c>
      <c r="Q5132" t="s">
        <v>50</v>
      </c>
      <c r="R5132">
        <v>18.46</v>
      </c>
      <c r="S5132">
        <v>18.510000000000002</v>
      </c>
      <c r="T5132" t="s">
        <v>17025</v>
      </c>
    </row>
    <row r="5133" spans="1:20" x14ac:dyDescent="0.25">
      <c r="A5133" s="1" t="str">
        <f>HYPERLINK("https://vegkart.atlas.vegvesen.no/#/@-30684.4,6801268.5,18/hva:hva%5B0%5D%5Bfilter%5D%5B0%5D%5Boperator%5D=%21%3D&amp;hva%5B0%5D%5Bfilter%5D%5B0%5D%5Btype_id%5D=5897&amp;hva%5B0%5D%5Bfilter%5D%5B0%5D%5Bverdi%5D=&amp;hva%5B0%5D%5Bid%5D=47/når:2025-06-23", "Vegkart")</f>
        <v>Vegkart</v>
      </c>
      <c r="B5133">
        <v>79022288</v>
      </c>
      <c r="C5133">
        <v>47</v>
      </c>
      <c r="D5133" t="s">
        <v>16854</v>
      </c>
      <c r="E5133">
        <v>5897</v>
      </c>
      <c r="F5133" t="s">
        <v>23479</v>
      </c>
      <c r="G5133">
        <v>3</v>
      </c>
      <c r="H5133" t="s">
        <v>16945</v>
      </c>
      <c r="J5133" t="s">
        <v>16946</v>
      </c>
      <c r="K5133" t="s">
        <v>21</v>
      </c>
      <c r="L5133" t="s">
        <v>33</v>
      </c>
      <c r="M5133" t="s">
        <v>16947</v>
      </c>
      <c r="N5133" t="s">
        <v>17026</v>
      </c>
      <c r="O5133" t="s">
        <v>17027</v>
      </c>
      <c r="P5133" s="2" t="s">
        <v>26</v>
      </c>
      <c r="Q5133" t="s">
        <v>50</v>
      </c>
      <c r="R5133">
        <v>26.19</v>
      </c>
      <c r="S5133">
        <v>26.31</v>
      </c>
      <c r="T5133" t="s">
        <v>17028</v>
      </c>
    </row>
    <row r="5134" spans="1:20" x14ac:dyDescent="0.25">
      <c r="A5134" s="1" t="str">
        <f>HYPERLINK("https://vegkart.atlas.vegvesen.no/#/@-30690.6,6801398.2,18/hva:hva%5B0%5D%5Bfilter%5D%5B0%5D%5Boperator%5D=%21%3D&amp;hva%5B0%5D%5Bfilter%5D%5B0%5D%5Btype_id%5D=5897&amp;hva%5B0%5D%5Bfilter%5D%5B0%5D%5Bverdi%5D=&amp;hva%5B0%5D%5Bid%5D=47/når:2025-06-23", "Vegkart")</f>
        <v>Vegkart</v>
      </c>
      <c r="B5134">
        <v>79022295</v>
      </c>
      <c r="C5134">
        <v>47</v>
      </c>
      <c r="D5134" t="s">
        <v>16854</v>
      </c>
      <c r="E5134">
        <v>5897</v>
      </c>
      <c r="F5134" t="s">
        <v>23479</v>
      </c>
      <c r="G5134">
        <v>4</v>
      </c>
      <c r="H5134" t="s">
        <v>16945</v>
      </c>
      <c r="J5134" t="s">
        <v>16946</v>
      </c>
      <c r="K5134" t="s">
        <v>21</v>
      </c>
      <c r="L5134" t="s">
        <v>33</v>
      </c>
      <c r="M5134" t="s">
        <v>16947</v>
      </c>
      <c r="N5134" t="s">
        <v>17029</v>
      </c>
      <c r="O5134" t="s">
        <v>17030</v>
      </c>
      <c r="P5134" s="2" t="s">
        <v>26</v>
      </c>
      <c r="Q5134" t="s">
        <v>50</v>
      </c>
      <c r="R5134">
        <v>19.05</v>
      </c>
      <c r="S5134">
        <v>19.190000000000001</v>
      </c>
      <c r="T5134" t="s">
        <v>17031</v>
      </c>
    </row>
    <row r="5135" spans="1:20" x14ac:dyDescent="0.25">
      <c r="A5135" s="1" t="str">
        <f>HYPERLINK("https://vegkart.atlas.vegvesen.no/#/@-30700.8,6801571.4,18/hva:hva%5B0%5D%5Bfilter%5D%5B0%5D%5Boperator%5D=%21%3D&amp;hva%5B0%5D%5Bfilter%5D%5B0%5D%5Btype_id%5D=5897&amp;hva%5B0%5D%5Bfilter%5D%5B0%5D%5Bverdi%5D=&amp;hva%5B0%5D%5Bid%5D=47/når:2025-06-23", "Vegkart")</f>
        <v>Vegkart</v>
      </c>
      <c r="B5135">
        <v>79022308</v>
      </c>
      <c r="C5135">
        <v>47</v>
      </c>
      <c r="D5135" t="s">
        <v>16854</v>
      </c>
      <c r="E5135">
        <v>5897</v>
      </c>
      <c r="F5135" t="s">
        <v>23479</v>
      </c>
      <c r="G5135">
        <v>4</v>
      </c>
      <c r="H5135" t="s">
        <v>16945</v>
      </c>
      <c r="J5135" t="s">
        <v>16946</v>
      </c>
      <c r="K5135" t="s">
        <v>21</v>
      </c>
      <c r="L5135" t="s">
        <v>33</v>
      </c>
      <c r="M5135" t="s">
        <v>16947</v>
      </c>
      <c r="N5135" t="s">
        <v>17032</v>
      </c>
      <c r="O5135" t="s">
        <v>17033</v>
      </c>
      <c r="P5135" s="2" t="s">
        <v>26</v>
      </c>
      <c r="Q5135" t="s">
        <v>50</v>
      </c>
      <c r="R5135">
        <v>22.54</v>
      </c>
      <c r="S5135">
        <v>22.61</v>
      </c>
      <c r="T5135" t="s">
        <v>17034</v>
      </c>
    </row>
    <row r="5136" spans="1:20" x14ac:dyDescent="0.25">
      <c r="A5136" s="1" t="str">
        <f>HYPERLINK("https://vegkart.atlas.vegvesen.no/#/@-30678.4,6801816.2,18/hva:hva%5B0%5D%5Bfilter%5D%5B0%5D%5Boperator%5D=%21%3D&amp;hva%5B0%5D%5Bfilter%5D%5B0%5D%5Btype_id%5D=5897&amp;hva%5B0%5D%5Bfilter%5D%5B0%5D%5Bverdi%5D=&amp;hva%5B0%5D%5Bid%5D=47/når:2025-06-23", "Vegkart")</f>
        <v>Vegkart</v>
      </c>
      <c r="B5136">
        <v>79022324</v>
      </c>
      <c r="C5136">
        <v>47</v>
      </c>
      <c r="D5136" t="s">
        <v>16854</v>
      </c>
      <c r="E5136">
        <v>5897</v>
      </c>
      <c r="F5136" t="s">
        <v>23479</v>
      </c>
      <c r="G5136">
        <v>4</v>
      </c>
      <c r="H5136" t="s">
        <v>16945</v>
      </c>
      <c r="J5136" t="s">
        <v>16946</v>
      </c>
      <c r="K5136" t="s">
        <v>21</v>
      </c>
      <c r="L5136" t="s">
        <v>33</v>
      </c>
      <c r="M5136" t="s">
        <v>16947</v>
      </c>
      <c r="N5136" t="s">
        <v>17035</v>
      </c>
      <c r="O5136" t="s">
        <v>17036</v>
      </c>
      <c r="P5136" s="2" t="s">
        <v>26</v>
      </c>
      <c r="Q5136" t="s">
        <v>50</v>
      </c>
      <c r="R5136">
        <v>21.35</v>
      </c>
      <c r="S5136">
        <v>21.98</v>
      </c>
      <c r="T5136" t="s">
        <v>17037</v>
      </c>
    </row>
    <row r="5137" spans="1:20" x14ac:dyDescent="0.25">
      <c r="A5137" s="1" t="str">
        <f>HYPERLINK("https://vegkart.atlas.vegvesen.no/#/@-30590.5,6802094.5,18/hva:hva%5B0%5D%5Bfilter%5D%5B0%5D%5Boperator%5D=%21%3D&amp;hva%5B0%5D%5Bfilter%5D%5B0%5D%5Btype_id%5D=5897&amp;hva%5B0%5D%5Bfilter%5D%5B0%5D%5Bverdi%5D=&amp;hva%5B0%5D%5Bid%5D=47/når:2025-06-23", "Vegkart")</f>
        <v>Vegkart</v>
      </c>
      <c r="B5137">
        <v>79022328</v>
      </c>
      <c r="C5137">
        <v>47</v>
      </c>
      <c r="D5137" t="s">
        <v>16854</v>
      </c>
      <c r="E5137">
        <v>5897</v>
      </c>
      <c r="F5137" t="s">
        <v>23479</v>
      </c>
      <c r="G5137">
        <v>4</v>
      </c>
      <c r="H5137" t="s">
        <v>16945</v>
      </c>
      <c r="J5137" t="s">
        <v>16946</v>
      </c>
      <c r="K5137" t="s">
        <v>21</v>
      </c>
      <c r="L5137" t="s">
        <v>33</v>
      </c>
      <c r="M5137" t="s">
        <v>16947</v>
      </c>
      <c r="N5137" t="s">
        <v>17038</v>
      </c>
      <c r="O5137" t="s">
        <v>17039</v>
      </c>
      <c r="P5137" s="2" t="s">
        <v>26</v>
      </c>
      <c r="Q5137" t="s">
        <v>50</v>
      </c>
      <c r="R5137">
        <v>18.47</v>
      </c>
      <c r="S5137">
        <v>19.07</v>
      </c>
      <c r="T5137" t="s">
        <v>17040</v>
      </c>
    </row>
    <row r="5138" spans="1:20" x14ac:dyDescent="0.25">
      <c r="A5138" s="1" t="str">
        <f>HYPERLINK("https://vegkart.atlas.vegvesen.no/#/@-30327.8,6802576.1,18/hva:hva%5B0%5D%5Bfilter%5D%5B0%5D%5Boperator%5D=%21%3D&amp;hva%5B0%5D%5Bfilter%5D%5B0%5D%5Btype_id%5D=5897&amp;hva%5B0%5D%5Bfilter%5D%5B0%5D%5Bverdi%5D=&amp;hva%5B0%5D%5Bid%5D=47/når:2025-06-23", "Vegkart")</f>
        <v>Vegkart</v>
      </c>
      <c r="B5138">
        <v>79022329</v>
      </c>
      <c r="C5138">
        <v>47</v>
      </c>
      <c r="D5138" t="s">
        <v>16854</v>
      </c>
      <c r="E5138">
        <v>5897</v>
      </c>
      <c r="F5138" t="s">
        <v>23479</v>
      </c>
      <c r="G5138">
        <v>4</v>
      </c>
      <c r="H5138" t="s">
        <v>16945</v>
      </c>
      <c r="J5138" t="s">
        <v>16946</v>
      </c>
      <c r="K5138" t="s">
        <v>21</v>
      </c>
      <c r="L5138" t="s">
        <v>33</v>
      </c>
      <c r="M5138" t="s">
        <v>16947</v>
      </c>
      <c r="N5138" t="s">
        <v>17041</v>
      </c>
      <c r="O5138" t="s">
        <v>17042</v>
      </c>
      <c r="P5138" s="2" t="s">
        <v>26</v>
      </c>
      <c r="Q5138" t="s">
        <v>50</v>
      </c>
      <c r="R5138">
        <v>38.9</v>
      </c>
      <c r="S5138">
        <v>38.97</v>
      </c>
      <c r="T5138" t="s">
        <v>17043</v>
      </c>
    </row>
    <row r="5139" spans="1:20" x14ac:dyDescent="0.25">
      <c r="A5139" s="1" t="str">
        <f>HYPERLINK("https://vegkart.atlas.vegvesen.no/#/@-30139.5,6802862.0,18/hva:hva%5B0%5D%5Bfilter%5D%5B0%5D%5Boperator%5D=%21%3D&amp;hva%5B0%5D%5Bfilter%5D%5B0%5D%5Btype_id%5D=5897&amp;hva%5B0%5D%5Bfilter%5D%5B0%5D%5Bverdi%5D=&amp;hva%5B0%5D%5Bid%5D=47/når:2025-06-23", "Vegkart")</f>
        <v>Vegkart</v>
      </c>
      <c r="B5139">
        <v>79022330</v>
      </c>
      <c r="C5139">
        <v>47</v>
      </c>
      <c r="D5139" t="s">
        <v>16854</v>
      </c>
      <c r="E5139">
        <v>5897</v>
      </c>
      <c r="F5139" t="s">
        <v>23479</v>
      </c>
      <c r="G5139">
        <v>3</v>
      </c>
      <c r="H5139" t="s">
        <v>16945</v>
      </c>
      <c r="J5139" t="s">
        <v>16946</v>
      </c>
      <c r="K5139" t="s">
        <v>21</v>
      </c>
      <c r="L5139" t="s">
        <v>33</v>
      </c>
      <c r="M5139" t="s">
        <v>16947</v>
      </c>
      <c r="N5139" t="s">
        <v>17044</v>
      </c>
      <c r="O5139" t="s">
        <v>17045</v>
      </c>
      <c r="P5139" s="2" t="s">
        <v>26</v>
      </c>
      <c r="Q5139" t="s">
        <v>50</v>
      </c>
      <c r="R5139">
        <v>23.94</v>
      </c>
      <c r="S5139">
        <v>24.21</v>
      </c>
      <c r="T5139" t="s">
        <v>17046</v>
      </c>
    </row>
    <row r="5140" spans="1:20" x14ac:dyDescent="0.25">
      <c r="A5140" s="1" t="str">
        <f>HYPERLINK("https://vegkart.atlas.vegvesen.no/#/@-29739.1,6803339.2,18/hva:hva%5B0%5D%5Bfilter%5D%5B0%5D%5Boperator%5D=%21%3D&amp;hva%5B0%5D%5Bfilter%5D%5B0%5D%5Btype_id%5D=5897&amp;hva%5B0%5D%5Bfilter%5D%5B0%5D%5Bverdi%5D=&amp;hva%5B0%5D%5Bid%5D=47/når:2025-06-23", "Vegkart")</f>
        <v>Vegkart</v>
      </c>
      <c r="B5140">
        <v>79022368</v>
      </c>
      <c r="C5140">
        <v>47</v>
      </c>
      <c r="D5140" t="s">
        <v>16854</v>
      </c>
      <c r="E5140">
        <v>5897</v>
      </c>
      <c r="F5140" t="s">
        <v>23479</v>
      </c>
      <c r="G5140">
        <v>3</v>
      </c>
      <c r="H5140" t="s">
        <v>16945</v>
      </c>
      <c r="J5140" t="s">
        <v>16946</v>
      </c>
      <c r="K5140" t="s">
        <v>21</v>
      </c>
      <c r="L5140" t="s">
        <v>33</v>
      </c>
      <c r="M5140" t="s">
        <v>16947</v>
      </c>
      <c r="N5140" t="s">
        <v>17047</v>
      </c>
      <c r="O5140" t="s">
        <v>17048</v>
      </c>
      <c r="P5140" s="2" t="s">
        <v>26</v>
      </c>
      <c r="Q5140" t="s">
        <v>50</v>
      </c>
      <c r="R5140">
        <v>20.94</v>
      </c>
      <c r="S5140">
        <v>21.05</v>
      </c>
      <c r="T5140" t="s">
        <v>17049</v>
      </c>
    </row>
    <row r="5141" spans="1:20" x14ac:dyDescent="0.25">
      <c r="A5141" s="1" t="str">
        <f>HYPERLINK("https://vegkart.atlas.vegvesen.no/#/@-29584.5,6803363.3,18/hva:hva%5B0%5D%5Bfilter%5D%5B0%5D%5Boperator%5D=%21%3D&amp;hva%5B0%5D%5Bfilter%5D%5B0%5D%5Btype_id%5D=5897&amp;hva%5B0%5D%5Bfilter%5D%5B0%5D%5Bverdi%5D=&amp;hva%5B0%5D%5Bid%5D=47/når:2025-06-23", "Vegkart")</f>
        <v>Vegkart</v>
      </c>
      <c r="B5141">
        <v>79022369</v>
      </c>
      <c r="C5141">
        <v>47</v>
      </c>
      <c r="D5141" t="s">
        <v>16854</v>
      </c>
      <c r="E5141">
        <v>5897</v>
      </c>
      <c r="F5141" t="s">
        <v>23479</v>
      </c>
      <c r="G5141">
        <v>4</v>
      </c>
      <c r="H5141" t="s">
        <v>16945</v>
      </c>
      <c r="J5141" t="s">
        <v>16946</v>
      </c>
      <c r="K5141" t="s">
        <v>21</v>
      </c>
      <c r="L5141" t="s">
        <v>33</v>
      </c>
      <c r="M5141" t="s">
        <v>16947</v>
      </c>
      <c r="N5141" t="s">
        <v>17050</v>
      </c>
      <c r="O5141" t="s">
        <v>17051</v>
      </c>
      <c r="P5141" s="2" t="s">
        <v>26</v>
      </c>
      <c r="Q5141" t="s">
        <v>50</v>
      </c>
      <c r="R5141">
        <v>27.83</v>
      </c>
      <c r="S5141">
        <v>27.96</v>
      </c>
      <c r="T5141" t="s">
        <v>17052</v>
      </c>
    </row>
    <row r="5142" spans="1:20" x14ac:dyDescent="0.25">
      <c r="A5142" s="1" t="str">
        <f>HYPERLINK("https://vegkart.atlas.vegvesen.no/#/@-29441.1,6803386.9,18/hva:hva%5B0%5D%5Bfilter%5D%5B0%5D%5Boperator%5D=%21%3D&amp;hva%5B0%5D%5Bfilter%5D%5B0%5D%5Btype_id%5D=5897&amp;hva%5B0%5D%5Bfilter%5D%5B0%5D%5Bverdi%5D=&amp;hva%5B0%5D%5Bid%5D=47/når:2025-06-23", "Vegkart")</f>
        <v>Vegkart</v>
      </c>
      <c r="B5142">
        <v>79022370</v>
      </c>
      <c r="C5142">
        <v>47</v>
      </c>
      <c r="D5142" t="s">
        <v>16854</v>
      </c>
      <c r="E5142">
        <v>5897</v>
      </c>
      <c r="F5142" t="s">
        <v>23479</v>
      </c>
      <c r="G5142">
        <v>3</v>
      </c>
      <c r="H5142" t="s">
        <v>16945</v>
      </c>
      <c r="J5142" t="s">
        <v>16946</v>
      </c>
      <c r="K5142" t="s">
        <v>21</v>
      </c>
      <c r="L5142" t="s">
        <v>33</v>
      </c>
      <c r="M5142" t="s">
        <v>16947</v>
      </c>
      <c r="N5142" t="s">
        <v>17053</v>
      </c>
      <c r="O5142" t="s">
        <v>17054</v>
      </c>
      <c r="P5142" s="2" t="s">
        <v>37</v>
      </c>
      <c r="Q5142" t="s">
        <v>1208</v>
      </c>
      <c r="R5142">
        <v>16.09</v>
      </c>
      <c r="S5142">
        <v>16.899999999999999</v>
      </c>
      <c r="T5142" t="s">
        <v>17055</v>
      </c>
    </row>
    <row r="5143" spans="1:20" x14ac:dyDescent="0.25">
      <c r="A5143" s="1" t="str">
        <f>HYPERLINK("https://vegkart.atlas.vegvesen.no/#/@-45602.8,6795564.3,18/hva:hva%5B0%5D%5Bfilter%5D%5B0%5D%5Boperator%5D=%21%3D&amp;hva%5B0%5D%5Bfilter%5D%5B0%5D%5Btype_id%5D=5897&amp;hva%5B0%5D%5Bfilter%5D%5B0%5D%5Bverdi%5D=&amp;hva%5B0%5D%5Bid%5D=47/når:2025-06-16", "Vegkart")</f>
        <v>Vegkart</v>
      </c>
      <c r="B5143">
        <v>79022431</v>
      </c>
      <c r="C5143">
        <v>47</v>
      </c>
      <c r="D5143" t="s">
        <v>16854</v>
      </c>
      <c r="E5143">
        <v>5897</v>
      </c>
      <c r="F5143" t="s">
        <v>23479</v>
      </c>
      <c r="G5143">
        <v>4</v>
      </c>
      <c r="H5143" t="s">
        <v>17056</v>
      </c>
      <c r="J5143" t="s">
        <v>16946</v>
      </c>
      <c r="K5143" t="s">
        <v>21</v>
      </c>
      <c r="L5143" t="s">
        <v>33</v>
      </c>
      <c r="M5143" t="s">
        <v>17057</v>
      </c>
      <c r="N5143" t="s">
        <v>17058</v>
      </c>
      <c r="O5143" t="s">
        <v>17059</v>
      </c>
      <c r="P5143" s="2" t="s">
        <v>26</v>
      </c>
      <c r="Q5143" t="s">
        <v>50</v>
      </c>
      <c r="R5143">
        <v>29.15</v>
      </c>
      <c r="S5143">
        <v>29.47</v>
      </c>
      <c r="T5143" t="s">
        <v>17060</v>
      </c>
    </row>
    <row r="5144" spans="1:20" x14ac:dyDescent="0.25">
      <c r="A5144" s="1" t="str">
        <f>HYPERLINK("https://vegkart.atlas.vegvesen.no/#/@-47735.0,6794326.8,18/hva:hva%5B0%5D%5Bfilter%5D%5B0%5D%5Boperator%5D=%21%3D&amp;hva%5B0%5D%5Bfilter%5D%5B0%5D%5Btype_id%5D=5897&amp;hva%5B0%5D%5Bfilter%5D%5B0%5D%5Bverdi%5D=&amp;hva%5B0%5D%5Bid%5D=47/når:2025-06-17", "Vegkart")</f>
        <v>Vegkart</v>
      </c>
      <c r="B5144">
        <v>79022597</v>
      </c>
      <c r="C5144">
        <v>47</v>
      </c>
      <c r="D5144" t="s">
        <v>16854</v>
      </c>
      <c r="E5144">
        <v>5897</v>
      </c>
      <c r="F5144" t="s">
        <v>23479</v>
      </c>
      <c r="G5144">
        <v>4</v>
      </c>
      <c r="H5144" t="s">
        <v>16914</v>
      </c>
      <c r="J5144" t="s">
        <v>16946</v>
      </c>
      <c r="K5144" t="s">
        <v>21</v>
      </c>
      <c r="L5144" t="s">
        <v>33</v>
      </c>
      <c r="M5144" t="s">
        <v>17057</v>
      </c>
      <c r="N5144" t="s">
        <v>17061</v>
      </c>
      <c r="O5144" t="s">
        <v>17062</v>
      </c>
      <c r="P5144" s="2" t="s">
        <v>26</v>
      </c>
      <c r="Q5144" t="s">
        <v>50</v>
      </c>
      <c r="R5144">
        <v>43.6</v>
      </c>
      <c r="S5144">
        <v>43.81</v>
      </c>
      <c r="T5144" t="s">
        <v>17063</v>
      </c>
    </row>
    <row r="5145" spans="1:20" x14ac:dyDescent="0.25">
      <c r="A5145" s="1" t="str">
        <f>HYPERLINK("https://vegkart.atlas.vegvesen.no/#/@-47539.8,6794311.8,18/hva:hva%5B0%5D%5Bfilter%5D%5B0%5D%5Boperator%5D=%21%3D&amp;hva%5B0%5D%5Bfilter%5D%5B0%5D%5Btype_id%5D=5897&amp;hva%5B0%5D%5Bfilter%5D%5B0%5D%5Bverdi%5D=&amp;hva%5B0%5D%5Bid%5D=47/når:2025-06-17", "Vegkart")</f>
        <v>Vegkart</v>
      </c>
      <c r="B5145">
        <v>79022598</v>
      </c>
      <c r="C5145">
        <v>47</v>
      </c>
      <c r="D5145" t="s">
        <v>16854</v>
      </c>
      <c r="E5145">
        <v>5897</v>
      </c>
      <c r="F5145" t="s">
        <v>23479</v>
      </c>
      <c r="G5145">
        <v>4</v>
      </c>
      <c r="H5145" t="s">
        <v>16914</v>
      </c>
      <c r="J5145" t="s">
        <v>16946</v>
      </c>
      <c r="K5145" t="s">
        <v>21</v>
      </c>
      <c r="L5145" t="s">
        <v>33</v>
      </c>
      <c r="M5145" t="s">
        <v>17057</v>
      </c>
      <c r="N5145" t="s">
        <v>17064</v>
      </c>
      <c r="O5145" t="s">
        <v>17065</v>
      </c>
      <c r="P5145" s="2" t="s">
        <v>26</v>
      </c>
      <c r="Q5145" t="s">
        <v>50</v>
      </c>
      <c r="R5145">
        <v>45.79</v>
      </c>
      <c r="S5145">
        <v>46.06</v>
      </c>
      <c r="T5145" t="s">
        <v>17066</v>
      </c>
    </row>
    <row r="5146" spans="1:20" x14ac:dyDescent="0.25">
      <c r="A5146" s="1" t="str">
        <f>HYPERLINK("https://vegkart.atlas.vegvesen.no/#/@-47345.9,6794269.1,18/hva:hva%5B0%5D%5Bfilter%5D%5B0%5D%5Boperator%5D=%21%3D&amp;hva%5B0%5D%5Bfilter%5D%5B0%5D%5Btype_id%5D=5897&amp;hva%5B0%5D%5Bfilter%5D%5B0%5D%5Bverdi%5D=&amp;hva%5B0%5D%5Bid%5D=47/når:2025-06-17", "Vegkart")</f>
        <v>Vegkart</v>
      </c>
      <c r="B5146">
        <v>79022601</v>
      </c>
      <c r="C5146">
        <v>47</v>
      </c>
      <c r="D5146" t="s">
        <v>16854</v>
      </c>
      <c r="E5146">
        <v>5897</v>
      </c>
      <c r="F5146" t="s">
        <v>23479</v>
      </c>
      <c r="G5146">
        <v>4</v>
      </c>
      <c r="H5146" t="s">
        <v>16914</v>
      </c>
      <c r="J5146" t="s">
        <v>16946</v>
      </c>
      <c r="K5146" t="s">
        <v>21</v>
      </c>
      <c r="L5146" t="s">
        <v>33</v>
      </c>
      <c r="M5146" t="s">
        <v>17057</v>
      </c>
      <c r="N5146" t="s">
        <v>17067</v>
      </c>
      <c r="O5146" t="s">
        <v>17068</v>
      </c>
      <c r="P5146" s="2" t="s">
        <v>26</v>
      </c>
      <c r="Q5146" t="s">
        <v>50</v>
      </c>
      <c r="R5146">
        <v>39.520000000000003</v>
      </c>
      <c r="S5146">
        <v>40.01</v>
      </c>
      <c r="T5146" t="s">
        <v>17069</v>
      </c>
    </row>
    <row r="5147" spans="1:20" x14ac:dyDescent="0.25">
      <c r="A5147" s="1" t="str">
        <f>HYPERLINK("https://vegkart.atlas.vegvesen.no/#/@-47155.9,6794308.0,18/hva:hva%5B0%5D%5Bfilter%5D%5B0%5D%5Boperator%5D=%21%3D&amp;hva%5B0%5D%5Bfilter%5D%5B0%5D%5Btype_id%5D=5897&amp;hva%5B0%5D%5Bfilter%5D%5B0%5D%5Bverdi%5D=&amp;hva%5B0%5D%5Bid%5D=47/når:2025-06-17", "Vegkart")</f>
        <v>Vegkart</v>
      </c>
      <c r="B5147">
        <v>79022602</v>
      </c>
      <c r="C5147">
        <v>47</v>
      </c>
      <c r="D5147" t="s">
        <v>16854</v>
      </c>
      <c r="E5147">
        <v>5897</v>
      </c>
      <c r="F5147" t="s">
        <v>23479</v>
      </c>
      <c r="G5147">
        <v>4</v>
      </c>
      <c r="H5147" t="s">
        <v>16914</v>
      </c>
      <c r="J5147" t="s">
        <v>16946</v>
      </c>
      <c r="K5147" t="s">
        <v>21</v>
      </c>
      <c r="L5147" t="s">
        <v>33</v>
      </c>
      <c r="M5147" t="s">
        <v>17057</v>
      </c>
      <c r="N5147" t="s">
        <v>17070</v>
      </c>
      <c r="O5147" t="s">
        <v>17071</v>
      </c>
      <c r="P5147" s="2" t="s">
        <v>26</v>
      </c>
      <c r="Q5147" t="s">
        <v>50</v>
      </c>
      <c r="R5147">
        <v>44.53</v>
      </c>
      <c r="S5147">
        <v>44.73</v>
      </c>
      <c r="T5147" t="s">
        <v>17072</v>
      </c>
    </row>
    <row r="5148" spans="1:20" x14ac:dyDescent="0.25">
      <c r="A5148" s="1" t="str">
        <f>HYPERLINK("https://vegkart.atlas.vegvesen.no/#/@-45772.1,6794068.8,18/hva:hva%5B0%5D%5Bfilter%5D%5B0%5D%5Boperator%5D=%21%3D&amp;hva%5B0%5D%5Bfilter%5D%5B0%5D%5Btype_id%5D=5897&amp;hva%5B0%5D%5Bfilter%5D%5B0%5D%5Bverdi%5D=&amp;hva%5B0%5D%5Bid%5D=47/når:2025-06-17", "Vegkart")</f>
        <v>Vegkart</v>
      </c>
      <c r="B5148">
        <v>79022630</v>
      </c>
      <c r="C5148">
        <v>47</v>
      </c>
      <c r="D5148" t="s">
        <v>16854</v>
      </c>
      <c r="E5148">
        <v>5897</v>
      </c>
      <c r="F5148" t="s">
        <v>23479</v>
      </c>
      <c r="G5148">
        <v>4</v>
      </c>
      <c r="H5148" t="s">
        <v>16914</v>
      </c>
      <c r="J5148" t="s">
        <v>16946</v>
      </c>
      <c r="K5148" t="s">
        <v>21</v>
      </c>
      <c r="L5148" t="s">
        <v>33</v>
      </c>
      <c r="M5148" t="s">
        <v>17057</v>
      </c>
      <c r="N5148" t="s">
        <v>17073</v>
      </c>
      <c r="O5148" t="s">
        <v>17074</v>
      </c>
      <c r="P5148" s="2" t="s">
        <v>26</v>
      </c>
      <c r="Q5148" t="s">
        <v>50</v>
      </c>
      <c r="R5148">
        <v>31.07</v>
      </c>
      <c r="S5148">
        <v>31.07</v>
      </c>
      <c r="T5148" t="s">
        <v>17075</v>
      </c>
    </row>
    <row r="5149" spans="1:20" x14ac:dyDescent="0.25">
      <c r="A5149" s="1" t="str">
        <f>HYPERLINK("https://vegkart.atlas.vegvesen.no/#/@-45292.6,6794075.6,18/hva:hva%5B0%5D%5Bfilter%5D%5B0%5D%5Boperator%5D=%21%3D&amp;hva%5B0%5D%5Bfilter%5D%5B0%5D%5Btype_id%5D=5897&amp;hva%5B0%5D%5Bfilter%5D%5B0%5D%5Bverdi%5D=&amp;hva%5B0%5D%5Bid%5D=47/når:2025-06-17", "Vegkart")</f>
        <v>Vegkart</v>
      </c>
      <c r="B5149">
        <v>79022647</v>
      </c>
      <c r="C5149">
        <v>47</v>
      </c>
      <c r="D5149" t="s">
        <v>16854</v>
      </c>
      <c r="E5149">
        <v>5897</v>
      </c>
      <c r="F5149" t="s">
        <v>23479</v>
      </c>
      <c r="G5149">
        <v>3</v>
      </c>
      <c r="H5149" t="s">
        <v>16914</v>
      </c>
      <c r="J5149" t="s">
        <v>16946</v>
      </c>
      <c r="K5149" t="s">
        <v>21</v>
      </c>
      <c r="L5149" t="s">
        <v>33</v>
      </c>
      <c r="M5149" t="s">
        <v>17057</v>
      </c>
      <c r="N5149" t="s">
        <v>17076</v>
      </c>
      <c r="O5149" t="s">
        <v>17077</v>
      </c>
      <c r="P5149" s="2" t="s">
        <v>26</v>
      </c>
      <c r="Q5149" t="s">
        <v>50</v>
      </c>
      <c r="R5149">
        <v>11.88</v>
      </c>
      <c r="S5149">
        <v>11.88</v>
      </c>
      <c r="T5149" t="s">
        <v>17078</v>
      </c>
    </row>
    <row r="5150" spans="1:20" x14ac:dyDescent="0.25">
      <c r="A5150" s="1" t="str">
        <f>HYPERLINK("https://vegkart.atlas.vegvesen.no/#/@-42433.5,6791530.9,18/hva:hva%5B0%5D%5Bfilter%5D%5B0%5D%5Boperator%5D=%21%3D&amp;hva%5B0%5D%5Bfilter%5D%5B0%5D%5Btype_id%5D=5897&amp;hva%5B0%5D%5Bfilter%5D%5B0%5D%5Bverdi%5D=&amp;hva%5B0%5D%5Bid%5D=47/når:2025-06-16", "Vegkart")</f>
        <v>Vegkart</v>
      </c>
      <c r="B5150">
        <v>79022825</v>
      </c>
      <c r="C5150">
        <v>47</v>
      </c>
      <c r="D5150" t="s">
        <v>16854</v>
      </c>
      <c r="E5150">
        <v>5897</v>
      </c>
      <c r="F5150" t="s">
        <v>23479</v>
      </c>
      <c r="G5150">
        <v>4</v>
      </c>
      <c r="H5150" t="s">
        <v>17056</v>
      </c>
      <c r="J5150" t="s">
        <v>16946</v>
      </c>
      <c r="K5150" t="s">
        <v>21</v>
      </c>
      <c r="L5150" t="s">
        <v>22</v>
      </c>
      <c r="M5150" t="s">
        <v>17079</v>
      </c>
      <c r="N5150" t="s">
        <v>17080</v>
      </c>
      <c r="O5150" t="s">
        <v>17081</v>
      </c>
      <c r="P5150" s="2" t="s">
        <v>26</v>
      </c>
      <c r="Q5150" t="s">
        <v>50</v>
      </c>
      <c r="R5150">
        <v>25.24</v>
      </c>
      <c r="S5150">
        <v>25.86</v>
      </c>
      <c r="T5150" t="s">
        <v>17082</v>
      </c>
    </row>
    <row r="5151" spans="1:20" x14ac:dyDescent="0.25">
      <c r="A5151" s="1" t="str">
        <f>HYPERLINK("https://vegkart.atlas.vegvesen.no/#/@-42460.2,6791425.3,18/hva:hva%5B0%5D%5Bfilter%5D%5B0%5D%5Boperator%5D=%21%3D&amp;hva%5B0%5D%5Bfilter%5D%5B0%5D%5Btype_id%5D=5897&amp;hva%5B0%5D%5Bfilter%5D%5B0%5D%5Bverdi%5D=&amp;hva%5B0%5D%5Bid%5D=47/når:2025-06-16", "Vegkart")</f>
        <v>Vegkart</v>
      </c>
      <c r="B5151">
        <v>79022826</v>
      </c>
      <c r="C5151">
        <v>47</v>
      </c>
      <c r="D5151" t="s">
        <v>16854</v>
      </c>
      <c r="E5151">
        <v>5897</v>
      </c>
      <c r="F5151" t="s">
        <v>23479</v>
      </c>
      <c r="G5151">
        <v>4</v>
      </c>
      <c r="H5151" t="s">
        <v>17056</v>
      </c>
      <c r="J5151" t="s">
        <v>16946</v>
      </c>
      <c r="K5151" t="s">
        <v>21</v>
      </c>
      <c r="L5151" t="s">
        <v>22</v>
      </c>
      <c r="M5151" t="s">
        <v>17079</v>
      </c>
      <c r="N5151" t="s">
        <v>17083</v>
      </c>
      <c r="O5151" t="s">
        <v>17084</v>
      </c>
      <c r="P5151" s="2" t="s">
        <v>26</v>
      </c>
      <c r="Q5151" t="s">
        <v>50</v>
      </c>
      <c r="R5151">
        <v>39.71</v>
      </c>
      <c r="S5151">
        <v>39.9</v>
      </c>
      <c r="T5151" t="s">
        <v>17085</v>
      </c>
    </row>
    <row r="5152" spans="1:20" x14ac:dyDescent="0.25">
      <c r="A5152" s="1" t="str">
        <f>HYPERLINK("https://vegkart.atlas.vegvesen.no/#/@-42477.5,6791297.6,18/hva:hva%5B0%5D%5Bfilter%5D%5B0%5D%5Boperator%5D=%21%3D&amp;hva%5B0%5D%5Bfilter%5D%5B0%5D%5Btype_id%5D=5897&amp;hva%5B0%5D%5Bfilter%5D%5B0%5D%5Bverdi%5D=&amp;hva%5B0%5D%5Bid%5D=47/når:2025-06-16", "Vegkart")</f>
        <v>Vegkart</v>
      </c>
      <c r="B5152">
        <v>79022827</v>
      </c>
      <c r="C5152">
        <v>47</v>
      </c>
      <c r="D5152" t="s">
        <v>16854</v>
      </c>
      <c r="E5152">
        <v>5897</v>
      </c>
      <c r="F5152" t="s">
        <v>23479</v>
      </c>
      <c r="G5152">
        <v>5</v>
      </c>
      <c r="H5152" t="s">
        <v>17056</v>
      </c>
      <c r="J5152" t="s">
        <v>16946</v>
      </c>
      <c r="K5152" t="s">
        <v>21</v>
      </c>
      <c r="L5152" t="s">
        <v>22</v>
      </c>
      <c r="M5152" t="s">
        <v>17079</v>
      </c>
      <c r="N5152" t="s">
        <v>17086</v>
      </c>
      <c r="O5152" t="s">
        <v>17087</v>
      </c>
      <c r="P5152" s="2" t="s">
        <v>26</v>
      </c>
      <c r="Q5152" t="s">
        <v>50</v>
      </c>
      <c r="R5152">
        <v>25.67</v>
      </c>
      <c r="S5152">
        <v>26.66</v>
      </c>
      <c r="T5152" t="s">
        <v>17088</v>
      </c>
    </row>
    <row r="5153" spans="1:20" x14ac:dyDescent="0.25">
      <c r="A5153" s="1" t="str">
        <f>HYPERLINK("https://vegkart.atlas.vegvesen.no/#/@-42425.9,6790404.2,18/hva:hva%5B0%5D%5Bfilter%5D%5B0%5D%5Boperator%5D=%21%3D&amp;hva%5B0%5D%5Bfilter%5D%5B0%5D%5Btype_id%5D=5897&amp;hva%5B0%5D%5Bfilter%5D%5B0%5D%5Bverdi%5D=&amp;hva%5B0%5D%5Bid%5D=47/når:2025-06-16", "Vegkart")</f>
        <v>Vegkart</v>
      </c>
      <c r="B5153">
        <v>79022848</v>
      </c>
      <c r="C5153">
        <v>47</v>
      </c>
      <c r="D5153" t="s">
        <v>16854</v>
      </c>
      <c r="E5153">
        <v>5897</v>
      </c>
      <c r="F5153" t="s">
        <v>23479</v>
      </c>
      <c r="G5153">
        <v>4</v>
      </c>
      <c r="H5153" t="s">
        <v>17056</v>
      </c>
      <c r="J5153" t="s">
        <v>16946</v>
      </c>
      <c r="K5153" t="s">
        <v>21</v>
      </c>
      <c r="L5153" t="s">
        <v>22</v>
      </c>
      <c r="M5153" t="s">
        <v>17079</v>
      </c>
      <c r="N5153" t="s">
        <v>17089</v>
      </c>
      <c r="O5153" t="s">
        <v>17090</v>
      </c>
      <c r="P5153" s="2" t="s">
        <v>26</v>
      </c>
      <c r="Q5153" t="s">
        <v>50</v>
      </c>
      <c r="R5153">
        <v>20.28</v>
      </c>
      <c r="S5153">
        <v>21.13</v>
      </c>
      <c r="T5153" t="s">
        <v>17091</v>
      </c>
    </row>
    <row r="5154" spans="1:20" x14ac:dyDescent="0.25">
      <c r="A5154" s="1" t="str">
        <f>HYPERLINK("https://vegkart.atlas.vegvesen.no/#/@-23627.8,6587950.7,18/hva:hva%5B0%5D%5Bfilter%5D%5B0%5D%5Boperator%5D=%21%3D&amp;hva%5B0%5D%5Bfilter%5D%5B0%5D%5Btype_id%5D=5897&amp;hva%5B0%5D%5Bfilter%5D%5B0%5D%5Bverdi%5D=&amp;hva%5B0%5D%5Bid%5D=47/når:2015-07-15", "Vegkart")</f>
        <v>Vegkart</v>
      </c>
      <c r="B5154">
        <v>79648285</v>
      </c>
      <c r="C5154">
        <v>47</v>
      </c>
      <c r="D5154" t="s">
        <v>16854</v>
      </c>
      <c r="E5154">
        <v>5897</v>
      </c>
      <c r="F5154" t="s">
        <v>23479</v>
      </c>
      <c r="G5154">
        <v>2</v>
      </c>
      <c r="H5154" t="s">
        <v>17092</v>
      </c>
      <c r="J5154" t="s">
        <v>1374</v>
      </c>
      <c r="K5154" t="s">
        <v>170</v>
      </c>
      <c r="L5154" t="s">
        <v>33</v>
      </c>
      <c r="M5154" t="s">
        <v>17093</v>
      </c>
      <c r="N5154" t="s">
        <v>17094</v>
      </c>
      <c r="O5154" t="s">
        <v>17095</v>
      </c>
      <c r="P5154" s="2" t="s">
        <v>26</v>
      </c>
      <c r="Q5154" t="s">
        <v>50</v>
      </c>
      <c r="R5154">
        <v>52.47</v>
      </c>
      <c r="S5154">
        <v>52.47</v>
      </c>
      <c r="T5154" t="s">
        <v>17096</v>
      </c>
    </row>
    <row r="5155" spans="1:20" x14ac:dyDescent="0.25">
      <c r="A5155" s="1" t="str">
        <f>HYPERLINK("https://vegkart.atlas.vegvesen.no/#/@-23935.9,6588080.7,18/hva:hva%5B0%5D%5Bfilter%5D%5B0%5D%5Boperator%5D=%21%3D&amp;hva%5B0%5D%5Bfilter%5D%5B0%5D%5Btype_id%5D=5897&amp;hva%5B0%5D%5Bfilter%5D%5B0%5D%5Bverdi%5D=&amp;hva%5B0%5D%5Bid%5D=47/når:2015-07-15", "Vegkart")</f>
        <v>Vegkart</v>
      </c>
      <c r="B5155">
        <v>79648286</v>
      </c>
      <c r="C5155">
        <v>47</v>
      </c>
      <c r="D5155" t="s">
        <v>16854</v>
      </c>
      <c r="E5155">
        <v>5897</v>
      </c>
      <c r="F5155" t="s">
        <v>23479</v>
      </c>
      <c r="G5155">
        <v>2</v>
      </c>
      <c r="H5155" t="s">
        <v>17092</v>
      </c>
      <c r="J5155" t="s">
        <v>1374</v>
      </c>
      <c r="K5155" t="s">
        <v>170</v>
      </c>
      <c r="L5155" t="s">
        <v>33</v>
      </c>
      <c r="M5155" t="s">
        <v>17093</v>
      </c>
      <c r="N5155" t="s">
        <v>17097</v>
      </c>
      <c r="O5155" t="s">
        <v>17098</v>
      </c>
      <c r="P5155" s="2" t="s">
        <v>26</v>
      </c>
      <c r="Q5155" t="s">
        <v>50</v>
      </c>
      <c r="R5155">
        <v>42.13</v>
      </c>
      <c r="S5155">
        <v>42.13</v>
      </c>
      <c r="T5155" t="s">
        <v>17099</v>
      </c>
    </row>
    <row r="5156" spans="1:20" x14ac:dyDescent="0.25">
      <c r="A5156" s="1" t="str">
        <f>HYPERLINK("https://vegkart.atlas.vegvesen.no/#/@-24135.4,6588178.2,18/hva:hva%5B0%5D%5Bfilter%5D%5B0%5D%5Boperator%5D=%21%3D&amp;hva%5B0%5D%5Bfilter%5D%5B0%5D%5Btype_id%5D=5897&amp;hva%5B0%5D%5Bfilter%5D%5B0%5D%5Bverdi%5D=&amp;hva%5B0%5D%5Bid%5D=47/når:2015-07-15", "Vegkart")</f>
        <v>Vegkart</v>
      </c>
      <c r="B5156">
        <v>79648288</v>
      </c>
      <c r="C5156">
        <v>47</v>
      </c>
      <c r="D5156" t="s">
        <v>16854</v>
      </c>
      <c r="E5156">
        <v>5897</v>
      </c>
      <c r="F5156" t="s">
        <v>23479</v>
      </c>
      <c r="G5156">
        <v>2</v>
      </c>
      <c r="H5156" t="s">
        <v>17092</v>
      </c>
      <c r="J5156" t="s">
        <v>1374</v>
      </c>
      <c r="K5156" t="s">
        <v>170</v>
      </c>
      <c r="L5156" t="s">
        <v>33</v>
      </c>
      <c r="M5156" t="s">
        <v>17093</v>
      </c>
      <c r="N5156" t="s">
        <v>17100</v>
      </c>
      <c r="O5156" t="s">
        <v>17101</v>
      </c>
      <c r="P5156" s="2" t="s">
        <v>26</v>
      </c>
      <c r="Q5156" t="s">
        <v>50</v>
      </c>
      <c r="R5156">
        <v>42.35</v>
      </c>
      <c r="S5156">
        <v>42.35</v>
      </c>
      <c r="T5156" t="s">
        <v>17102</v>
      </c>
    </row>
    <row r="5157" spans="1:20" x14ac:dyDescent="0.25">
      <c r="A5157" s="1" t="str">
        <f>HYPERLINK("https://vegkart.atlas.vegvesen.no/#/@-13822.0,6583586.3,18/hva:hva%5B0%5D%5Bfilter%5D%5B0%5D%5Boperator%5D=%21%3D&amp;hva%5B0%5D%5Bfilter%5D%5B0%5D%5Btype_id%5D=5897&amp;hva%5B0%5D%5Bfilter%5D%5B0%5D%5Bverdi%5D=&amp;hva%5B0%5D%5Bid%5D=47/når:2020-09-28", "Vegkart")</f>
        <v>Vegkart</v>
      </c>
      <c r="B5157">
        <v>79881039</v>
      </c>
      <c r="C5157">
        <v>47</v>
      </c>
      <c r="D5157" t="s">
        <v>16854</v>
      </c>
      <c r="E5157">
        <v>5897</v>
      </c>
      <c r="F5157" t="s">
        <v>23479</v>
      </c>
      <c r="G5157">
        <v>2</v>
      </c>
      <c r="H5157" t="s">
        <v>17103</v>
      </c>
      <c r="J5157" t="s">
        <v>1374</v>
      </c>
      <c r="K5157" t="s">
        <v>170</v>
      </c>
      <c r="L5157" t="s">
        <v>33</v>
      </c>
      <c r="M5157" t="s">
        <v>17104</v>
      </c>
      <c r="N5157" t="s">
        <v>17105</v>
      </c>
      <c r="O5157" t="s">
        <v>17106</v>
      </c>
      <c r="P5157" s="2" t="s">
        <v>26</v>
      </c>
      <c r="Q5157" t="s">
        <v>50</v>
      </c>
      <c r="R5157">
        <v>19.61</v>
      </c>
      <c r="S5157">
        <v>19.649999999999999</v>
      </c>
      <c r="T5157" t="s">
        <v>17107</v>
      </c>
    </row>
    <row r="5158" spans="1:20" x14ac:dyDescent="0.25">
      <c r="A5158" s="1" t="str">
        <f>HYPERLINK("https://vegkart.atlas.vegvesen.no/#/@-25562.2,6636031.4,18/hva:hva%5B0%5D%5Bfilter%5D%5B0%5D%5Boperator%5D=%21%3D&amp;hva%5B0%5D%5Bfilter%5D%5B0%5D%5Btype_id%5D=5897&amp;hva%5B0%5D%5Bfilter%5D%5B0%5D%5Bverdi%5D=&amp;hva%5B0%5D%5Bid%5D=47/når:2021-06-21", "Vegkart")</f>
        <v>Vegkart</v>
      </c>
      <c r="B5158">
        <v>79940105</v>
      </c>
      <c r="C5158">
        <v>47</v>
      </c>
      <c r="D5158" t="s">
        <v>16854</v>
      </c>
      <c r="E5158">
        <v>5897</v>
      </c>
      <c r="F5158" t="s">
        <v>23479</v>
      </c>
      <c r="G5158">
        <v>5</v>
      </c>
      <c r="H5158" t="s">
        <v>17108</v>
      </c>
      <c r="J5158" t="s">
        <v>8716</v>
      </c>
      <c r="K5158" t="s">
        <v>170</v>
      </c>
      <c r="L5158" t="s">
        <v>33</v>
      </c>
      <c r="M5158" t="s">
        <v>21</v>
      </c>
      <c r="N5158" t="s">
        <v>17109</v>
      </c>
      <c r="O5158" t="s">
        <v>17110</v>
      </c>
      <c r="P5158" s="2" t="s">
        <v>26</v>
      </c>
      <c r="Q5158" t="s">
        <v>50</v>
      </c>
      <c r="R5158">
        <v>12.37</v>
      </c>
      <c r="S5158">
        <v>12.37</v>
      </c>
      <c r="T5158" t="s">
        <v>17111</v>
      </c>
    </row>
    <row r="5159" spans="1:20" x14ac:dyDescent="0.25">
      <c r="A5159" s="1" t="str">
        <f>HYPERLINK("https://vegkart.atlas.vegvesen.no/#/@-27240.9,6588587.9,18/hva:hva%5B0%5D%5Bfilter%5D%5B0%5D%5Boperator%5D=%21%3D&amp;hva%5B0%5D%5Bfilter%5D%5B0%5D%5Btype_id%5D=5897&amp;hva%5B0%5D%5Bfilter%5D%5B0%5D%5Bverdi%5D=&amp;hva%5B0%5D%5Bid%5D=47/når:2021-08-31", "Vegkart")</f>
        <v>Vegkart</v>
      </c>
      <c r="B5159">
        <v>80085965</v>
      </c>
      <c r="C5159">
        <v>47</v>
      </c>
      <c r="D5159" t="s">
        <v>16854</v>
      </c>
      <c r="E5159">
        <v>5897</v>
      </c>
      <c r="F5159" t="s">
        <v>23479</v>
      </c>
      <c r="G5159">
        <v>6</v>
      </c>
      <c r="H5159" t="s">
        <v>17112</v>
      </c>
      <c r="J5159" t="s">
        <v>17113</v>
      </c>
      <c r="K5159" t="s">
        <v>170</v>
      </c>
      <c r="L5159" t="s">
        <v>33</v>
      </c>
      <c r="M5159" t="s">
        <v>17114</v>
      </c>
      <c r="N5159" t="s">
        <v>17115</v>
      </c>
      <c r="O5159" t="s">
        <v>17116</v>
      </c>
      <c r="P5159" s="2" t="s">
        <v>26</v>
      </c>
      <c r="Q5159" t="s">
        <v>50</v>
      </c>
      <c r="R5159">
        <v>52.27</v>
      </c>
      <c r="S5159">
        <v>52.27</v>
      </c>
      <c r="T5159" t="s">
        <v>17117</v>
      </c>
    </row>
    <row r="5160" spans="1:20" x14ac:dyDescent="0.25">
      <c r="A5160" s="1" t="str">
        <f>HYPERLINK("https://vegkart.atlas.vegvesen.no/#/@-37066.2,6571055.8,18/hva:hva%5B0%5D%5Bfilter%5D%5B0%5D%5Boperator%5D=%21%3D&amp;hva%5B0%5D%5Bfilter%5D%5B0%5D%5Btype_id%5D=5897&amp;hva%5B0%5D%5Bfilter%5D%5B0%5D%5Bverdi%5D=&amp;hva%5B0%5D%5Bid%5D=47/når:2005-01-19", "Vegkart")</f>
        <v>Vegkart</v>
      </c>
      <c r="B5160">
        <v>80104805</v>
      </c>
      <c r="C5160">
        <v>47</v>
      </c>
      <c r="D5160" t="s">
        <v>16854</v>
      </c>
      <c r="E5160">
        <v>5897</v>
      </c>
      <c r="F5160" t="s">
        <v>23479</v>
      </c>
      <c r="G5160">
        <v>2</v>
      </c>
      <c r="H5160" t="s">
        <v>17118</v>
      </c>
      <c r="J5160" t="s">
        <v>17119</v>
      </c>
      <c r="K5160" t="s">
        <v>170</v>
      </c>
      <c r="L5160" t="s">
        <v>22</v>
      </c>
      <c r="M5160" t="s">
        <v>17120</v>
      </c>
      <c r="N5160" t="s">
        <v>17121</v>
      </c>
      <c r="O5160" t="s">
        <v>17122</v>
      </c>
      <c r="P5160" s="2" t="s">
        <v>26</v>
      </c>
      <c r="Q5160" t="s">
        <v>50</v>
      </c>
      <c r="R5160">
        <v>27.97</v>
      </c>
      <c r="S5160">
        <v>28.18</v>
      </c>
      <c r="T5160" t="s">
        <v>17123</v>
      </c>
    </row>
    <row r="5161" spans="1:20" x14ac:dyDescent="0.25">
      <c r="A5161" s="1" t="str">
        <f>HYPERLINK("https://vegkart.atlas.vegvesen.no/#/@-36744.4,6571208.0,18/hva:hva%5B0%5D%5Bfilter%5D%5B0%5D%5Boperator%5D=%21%3D&amp;hva%5B0%5D%5Bfilter%5D%5B0%5D%5Btype_id%5D=5897&amp;hva%5B0%5D%5Bfilter%5D%5B0%5D%5Bverdi%5D=&amp;hva%5B0%5D%5Bid%5D=47/når:2005-01-19", "Vegkart")</f>
        <v>Vegkart</v>
      </c>
      <c r="B5161">
        <v>80104831</v>
      </c>
      <c r="C5161">
        <v>47</v>
      </c>
      <c r="D5161" t="s">
        <v>16854</v>
      </c>
      <c r="E5161">
        <v>5897</v>
      </c>
      <c r="F5161" t="s">
        <v>23479</v>
      </c>
      <c r="G5161">
        <v>2</v>
      </c>
      <c r="H5161" t="s">
        <v>17118</v>
      </c>
      <c r="J5161" t="s">
        <v>17119</v>
      </c>
      <c r="K5161" t="s">
        <v>170</v>
      </c>
      <c r="L5161" t="s">
        <v>22</v>
      </c>
      <c r="M5161" t="s">
        <v>17120</v>
      </c>
      <c r="N5161" t="s">
        <v>17124</v>
      </c>
      <c r="O5161" t="s">
        <v>17125</v>
      </c>
      <c r="P5161" s="2" t="s">
        <v>26</v>
      </c>
      <c r="Q5161" t="s">
        <v>50</v>
      </c>
      <c r="R5161">
        <v>40.08</v>
      </c>
      <c r="S5161">
        <v>40.44</v>
      </c>
      <c r="T5161" t="s">
        <v>17126</v>
      </c>
    </row>
    <row r="5162" spans="1:20" x14ac:dyDescent="0.25">
      <c r="A5162" s="1" t="str">
        <f>HYPERLINK("https://vegkart.atlas.vegvesen.no/#/@-36668.9,6571226.0,18/hva:hva%5B0%5D%5Bfilter%5D%5B0%5D%5Boperator%5D=%21%3D&amp;hva%5B0%5D%5Bfilter%5D%5B0%5D%5Btype_id%5D=5897&amp;hva%5B0%5D%5Bfilter%5D%5B0%5D%5Bverdi%5D=&amp;hva%5B0%5D%5Bid%5D=47/når:2005-01-19", "Vegkart")</f>
        <v>Vegkart</v>
      </c>
      <c r="B5162">
        <v>80104838</v>
      </c>
      <c r="C5162">
        <v>47</v>
      </c>
      <c r="D5162" t="s">
        <v>16854</v>
      </c>
      <c r="E5162">
        <v>5897</v>
      </c>
      <c r="F5162" t="s">
        <v>23479</v>
      </c>
      <c r="G5162">
        <v>2</v>
      </c>
      <c r="H5162" t="s">
        <v>17118</v>
      </c>
      <c r="J5162" t="s">
        <v>17119</v>
      </c>
      <c r="K5162" t="s">
        <v>170</v>
      </c>
      <c r="L5162" t="s">
        <v>22</v>
      </c>
      <c r="M5162" t="s">
        <v>17120</v>
      </c>
      <c r="N5162" t="s">
        <v>17127</v>
      </c>
      <c r="O5162" t="s">
        <v>17128</v>
      </c>
      <c r="P5162" s="2" t="s">
        <v>26</v>
      </c>
      <c r="Q5162" t="s">
        <v>50</v>
      </c>
      <c r="R5162">
        <v>36.130000000000003</v>
      </c>
      <c r="S5162">
        <v>36.42</v>
      </c>
      <c r="T5162" t="s">
        <v>17129</v>
      </c>
    </row>
    <row r="5163" spans="1:20" x14ac:dyDescent="0.25">
      <c r="A5163" s="1" t="str">
        <f>HYPERLINK("https://vegkart.atlas.vegvesen.no/#/@169984.3,6690506.9,18/hva:hva%5B0%5D%5Bfilter%5D%5B0%5D%5Boperator%5D=%21%3D&amp;hva%5B0%5D%5Bfilter%5D%5B0%5D%5Btype_id%5D=5897&amp;hva%5B0%5D%5Bfilter%5D%5B0%5D%5Bverdi%5D=&amp;hva%5B0%5D%5Bid%5D=47/når:2012-05-10", "Vegkart")</f>
        <v>Vegkart</v>
      </c>
      <c r="B5163">
        <v>81541093</v>
      </c>
      <c r="C5163">
        <v>47</v>
      </c>
      <c r="D5163" t="s">
        <v>16854</v>
      </c>
      <c r="E5163">
        <v>5897</v>
      </c>
      <c r="F5163" t="s">
        <v>23479</v>
      </c>
      <c r="G5163">
        <v>3</v>
      </c>
      <c r="H5163" t="s">
        <v>17130</v>
      </c>
      <c r="J5163" t="s">
        <v>17131</v>
      </c>
      <c r="K5163" t="s">
        <v>307</v>
      </c>
      <c r="L5163" t="s">
        <v>33</v>
      </c>
      <c r="M5163" t="s">
        <v>1351</v>
      </c>
      <c r="N5163" t="s">
        <v>17132</v>
      </c>
      <c r="O5163" t="s">
        <v>17133</v>
      </c>
      <c r="P5163" s="2" t="s">
        <v>26</v>
      </c>
      <c r="Q5163" t="s">
        <v>50</v>
      </c>
      <c r="R5163">
        <v>21.34</v>
      </c>
      <c r="S5163">
        <v>21.34</v>
      </c>
      <c r="T5163" t="s">
        <v>17134</v>
      </c>
    </row>
    <row r="5164" spans="1:20" x14ac:dyDescent="0.25">
      <c r="A5164" s="1" t="str">
        <f>HYPERLINK("https://vegkart.atlas.vegvesen.no/#/@158293.4,6697394.4,18/hva:hva%5B0%5D%5Bfilter%5D%5B0%5D%5Boperator%5D=%21%3D&amp;hva%5B0%5D%5Bfilter%5D%5B0%5D%5Btype_id%5D=5897&amp;hva%5B0%5D%5Bfilter%5D%5B0%5D%5Bverdi%5D=&amp;hva%5B0%5D%5Bid%5D=47/når:2016-08-18", "Vegkart")</f>
        <v>Vegkart</v>
      </c>
      <c r="B5164">
        <v>81541108</v>
      </c>
      <c r="C5164">
        <v>47</v>
      </c>
      <c r="D5164" t="s">
        <v>16854</v>
      </c>
      <c r="E5164">
        <v>5897</v>
      </c>
      <c r="F5164" t="s">
        <v>23479</v>
      </c>
      <c r="G5164">
        <v>4</v>
      </c>
      <c r="H5164" t="s">
        <v>70</v>
      </c>
      <c r="J5164" t="s">
        <v>17131</v>
      </c>
      <c r="K5164" t="s">
        <v>307</v>
      </c>
      <c r="L5164" t="s">
        <v>33</v>
      </c>
      <c r="M5164" t="s">
        <v>9752</v>
      </c>
      <c r="N5164" t="s">
        <v>17135</v>
      </c>
      <c r="O5164" t="s">
        <v>17136</v>
      </c>
      <c r="P5164" s="2" t="s">
        <v>26</v>
      </c>
      <c r="Q5164" t="s">
        <v>50</v>
      </c>
      <c r="R5164">
        <v>43.58</v>
      </c>
      <c r="S5164">
        <v>43.64</v>
      </c>
      <c r="T5164" t="s">
        <v>17137</v>
      </c>
    </row>
    <row r="5165" spans="1:20" x14ac:dyDescent="0.25">
      <c r="A5165" s="1" t="str">
        <f>HYPERLINK("https://vegkart.atlas.vegvesen.no/#/@166277.2,6696675.0,18/hva:hva%5B0%5D%5Bfilter%5D%5B0%5D%5Boperator%5D=%21%3D&amp;hva%5B0%5D%5Bfilter%5D%5B0%5D%5Btype_id%5D=5897&amp;hva%5B0%5D%5Bfilter%5D%5B0%5D%5Bverdi%5D=&amp;hva%5B0%5D%5Bid%5D=47/når:2016-11-04", "Vegkart")</f>
        <v>Vegkart</v>
      </c>
      <c r="B5165">
        <v>81541136</v>
      </c>
      <c r="C5165">
        <v>47</v>
      </c>
      <c r="D5165" t="s">
        <v>16854</v>
      </c>
      <c r="E5165">
        <v>5897</v>
      </c>
      <c r="F5165" t="s">
        <v>23479</v>
      </c>
      <c r="G5165">
        <v>5</v>
      </c>
      <c r="H5165" t="s">
        <v>17138</v>
      </c>
      <c r="J5165" t="s">
        <v>17131</v>
      </c>
      <c r="K5165" t="s">
        <v>307</v>
      </c>
      <c r="L5165" t="s">
        <v>33</v>
      </c>
      <c r="M5165" t="s">
        <v>17139</v>
      </c>
      <c r="N5165" t="s">
        <v>17140</v>
      </c>
      <c r="O5165" t="s">
        <v>17141</v>
      </c>
      <c r="P5165" s="2" t="s">
        <v>26</v>
      </c>
      <c r="Q5165" t="s">
        <v>50</v>
      </c>
      <c r="R5165">
        <v>25.86</v>
      </c>
      <c r="S5165">
        <v>25.86</v>
      </c>
      <c r="T5165" t="s">
        <v>17142</v>
      </c>
    </row>
    <row r="5166" spans="1:20" x14ac:dyDescent="0.25">
      <c r="A5166" s="1" t="str">
        <f>HYPERLINK("https://vegkart.atlas.vegvesen.no/#/@234633.5,6639403.1,18/hva:hva%5B0%5D%5Bfilter%5D%5B0%5D%5Boperator%5D=%21%3D&amp;hva%5B0%5D%5Bfilter%5D%5B0%5D%5Btype_id%5D=5897&amp;hva%5B0%5D%5Bfilter%5D%5B0%5D%5Bverdi%5D=&amp;hva%5B0%5D%5Bid%5D=47/når:2019-02-26", "Vegkart")</f>
        <v>Vegkart</v>
      </c>
      <c r="B5166">
        <v>81572369</v>
      </c>
      <c r="C5166">
        <v>47</v>
      </c>
      <c r="D5166" t="s">
        <v>16854</v>
      </c>
      <c r="E5166">
        <v>5897</v>
      </c>
      <c r="F5166" t="s">
        <v>23479</v>
      </c>
      <c r="G5166">
        <v>4</v>
      </c>
      <c r="H5166" t="s">
        <v>17143</v>
      </c>
      <c r="J5166" t="s">
        <v>17144</v>
      </c>
      <c r="K5166" t="s">
        <v>307</v>
      </c>
      <c r="L5166" t="s">
        <v>33</v>
      </c>
      <c r="M5166" t="s">
        <v>17145</v>
      </c>
      <c r="N5166" t="s">
        <v>17146</v>
      </c>
      <c r="O5166" t="s">
        <v>17147</v>
      </c>
      <c r="P5166" s="2" t="s">
        <v>26</v>
      </c>
      <c r="Q5166" t="s">
        <v>50</v>
      </c>
      <c r="R5166">
        <v>47.02</v>
      </c>
      <c r="S5166">
        <v>47.02</v>
      </c>
      <c r="T5166" t="s">
        <v>17148</v>
      </c>
    </row>
    <row r="5167" spans="1:20" x14ac:dyDescent="0.25">
      <c r="A5167" s="1" t="str">
        <f>HYPERLINK("https://vegkart.atlas.vegvesen.no/#/@169919.8,6690269.7,18/hva:hva%5B0%5D%5Bfilter%5D%5B0%5D%5Boperator%5D=%21%3D&amp;hva%5B0%5D%5Bfilter%5D%5B0%5D%5Btype_id%5D=5897&amp;hva%5B0%5D%5Bfilter%5D%5B0%5D%5Bverdi%5D=&amp;hva%5B0%5D%5Bid%5D=47/når:2006-09-20", "Vegkart")</f>
        <v>Vegkart</v>
      </c>
      <c r="B5167">
        <v>81579500</v>
      </c>
      <c r="C5167">
        <v>47</v>
      </c>
      <c r="D5167" t="s">
        <v>16854</v>
      </c>
      <c r="E5167">
        <v>5897</v>
      </c>
      <c r="F5167" t="s">
        <v>23479</v>
      </c>
      <c r="G5167">
        <v>2</v>
      </c>
      <c r="H5167" t="s">
        <v>17149</v>
      </c>
      <c r="J5167" t="s">
        <v>5974</v>
      </c>
      <c r="K5167" t="s">
        <v>307</v>
      </c>
      <c r="L5167" t="s">
        <v>33</v>
      </c>
      <c r="M5167" t="s">
        <v>1351</v>
      </c>
      <c r="N5167" t="s">
        <v>17150</v>
      </c>
      <c r="O5167" t="s">
        <v>17151</v>
      </c>
      <c r="P5167" s="2" t="s">
        <v>26</v>
      </c>
      <c r="Q5167" t="s">
        <v>50</v>
      </c>
      <c r="R5167">
        <v>24.3</v>
      </c>
      <c r="S5167">
        <v>24.3</v>
      </c>
      <c r="T5167" t="s">
        <v>17152</v>
      </c>
    </row>
    <row r="5168" spans="1:20" x14ac:dyDescent="0.25">
      <c r="A5168" s="1" t="str">
        <f>HYPERLINK("https://vegkart.atlas.vegvesen.no/#/@200663.0,6628244.0,18/hva:hva%5B0%5D%5Bfilter%5D%5B0%5D%5Boperator%5D=%21%3D&amp;hva%5B0%5D%5Bfilter%5D%5B0%5D%5Btype_id%5D=5897&amp;hva%5B0%5D%5Bfilter%5D%5B0%5D%5Bverdi%5D=&amp;hva%5B0%5D%5Bid%5D=47/når:2018-03-12", "Vegkart")</f>
        <v>Vegkart</v>
      </c>
      <c r="B5168">
        <v>81584138</v>
      </c>
      <c r="C5168">
        <v>47</v>
      </c>
      <c r="D5168" t="s">
        <v>16854</v>
      </c>
      <c r="E5168">
        <v>5897</v>
      </c>
      <c r="F5168" t="s">
        <v>23479</v>
      </c>
      <c r="G5168">
        <v>3</v>
      </c>
      <c r="H5168" t="s">
        <v>17153</v>
      </c>
      <c r="J5168" t="s">
        <v>5974</v>
      </c>
      <c r="K5168" t="s">
        <v>307</v>
      </c>
      <c r="L5168" t="s">
        <v>33</v>
      </c>
      <c r="M5168" t="s">
        <v>17154</v>
      </c>
      <c r="N5168" t="s">
        <v>17155</v>
      </c>
      <c r="O5168" t="s">
        <v>17156</v>
      </c>
      <c r="P5168" s="2" t="s">
        <v>26</v>
      </c>
      <c r="Q5168" t="s">
        <v>50</v>
      </c>
      <c r="R5168">
        <v>17.11</v>
      </c>
      <c r="S5168">
        <v>17.11</v>
      </c>
      <c r="T5168" t="s">
        <v>17157</v>
      </c>
    </row>
    <row r="5169" spans="1:20" x14ac:dyDescent="0.25">
      <c r="A5169" s="1" t="str">
        <f>HYPERLINK("https://vegkart.atlas.vegvesen.no/#/@201569.8,6635139.3,18/hva:hva%5B0%5D%5Bfilter%5D%5B0%5D%5Boperator%5D=%21%3D&amp;hva%5B0%5D%5Bfilter%5D%5B0%5D%5Btype_id%5D=5897&amp;hva%5B0%5D%5Bfilter%5D%5B0%5D%5Bverdi%5D=&amp;hva%5B0%5D%5Bid%5D=47/når:2018-08-23", "Vegkart")</f>
        <v>Vegkart</v>
      </c>
      <c r="B5169">
        <v>81584171</v>
      </c>
      <c r="C5169">
        <v>47</v>
      </c>
      <c r="D5169" t="s">
        <v>16854</v>
      </c>
      <c r="E5169">
        <v>5897</v>
      </c>
      <c r="F5169" t="s">
        <v>23479</v>
      </c>
      <c r="G5169">
        <v>4</v>
      </c>
      <c r="H5169" t="s">
        <v>17158</v>
      </c>
      <c r="J5169" t="s">
        <v>5974</v>
      </c>
      <c r="K5169" t="s">
        <v>307</v>
      </c>
      <c r="L5169" t="s">
        <v>33</v>
      </c>
      <c r="M5169" t="s">
        <v>17154</v>
      </c>
      <c r="N5169" t="s">
        <v>17159</v>
      </c>
      <c r="O5169" t="s">
        <v>17160</v>
      </c>
      <c r="P5169" s="2" t="s">
        <v>26</v>
      </c>
      <c r="Q5169" t="s">
        <v>50</v>
      </c>
      <c r="R5169">
        <v>17.37</v>
      </c>
      <c r="S5169">
        <v>17.37</v>
      </c>
      <c r="T5169" t="s">
        <v>17161</v>
      </c>
    </row>
    <row r="5170" spans="1:20" x14ac:dyDescent="0.25">
      <c r="A5170" s="1" t="str">
        <f>HYPERLINK("https://vegkart.atlas.vegvesen.no/#/@201395.6,6635518.7,18/hva:hva%5B0%5D%5Bfilter%5D%5B0%5D%5Boperator%5D=%21%3D&amp;hva%5B0%5D%5Bfilter%5D%5B0%5D%5Btype_id%5D=5897&amp;hva%5B0%5D%5Bfilter%5D%5B0%5D%5Bverdi%5D=&amp;hva%5B0%5D%5Bid%5D=47/når:2018-03-12", "Vegkart")</f>
        <v>Vegkart</v>
      </c>
      <c r="B5170">
        <v>81584176</v>
      </c>
      <c r="C5170">
        <v>47</v>
      </c>
      <c r="D5170" t="s">
        <v>16854</v>
      </c>
      <c r="E5170">
        <v>5897</v>
      </c>
      <c r="F5170" t="s">
        <v>23479</v>
      </c>
      <c r="G5170">
        <v>3</v>
      </c>
      <c r="H5170" t="s">
        <v>17153</v>
      </c>
      <c r="J5170" t="s">
        <v>5974</v>
      </c>
      <c r="K5170" t="s">
        <v>307</v>
      </c>
      <c r="L5170" t="s">
        <v>33</v>
      </c>
      <c r="M5170" t="s">
        <v>17154</v>
      </c>
      <c r="N5170" t="s">
        <v>17162</v>
      </c>
      <c r="O5170" t="s">
        <v>17163</v>
      </c>
      <c r="P5170" s="2" t="s">
        <v>26</v>
      </c>
      <c r="Q5170" t="s">
        <v>50</v>
      </c>
      <c r="R5170">
        <v>16.71</v>
      </c>
      <c r="S5170">
        <v>16.71</v>
      </c>
      <c r="T5170" t="s">
        <v>17164</v>
      </c>
    </row>
    <row r="5171" spans="1:20" x14ac:dyDescent="0.25">
      <c r="A5171" s="1" t="str">
        <f>HYPERLINK("https://vegkart.atlas.vegvesen.no/#/@-39741.2,6724742.6,18/hva:hva%5B0%5D%5Bfilter%5D%5B0%5D%5Boperator%5D=%21%3D&amp;hva%5B0%5D%5Bfilter%5D%5B0%5D%5Btype_id%5D=5897&amp;hva%5B0%5D%5Bfilter%5D%5B0%5D%5Bverdi%5D=&amp;hva%5B0%5D%5Bid%5D=47/når:2015-03-24", "Vegkart")</f>
        <v>Vegkart</v>
      </c>
      <c r="B5171">
        <v>82357398</v>
      </c>
      <c r="C5171">
        <v>47</v>
      </c>
      <c r="D5171" t="s">
        <v>16854</v>
      </c>
      <c r="E5171">
        <v>5897</v>
      </c>
      <c r="F5171" t="s">
        <v>23479</v>
      </c>
      <c r="G5171">
        <v>2</v>
      </c>
      <c r="H5171" t="s">
        <v>5923</v>
      </c>
      <c r="J5171" t="s">
        <v>17165</v>
      </c>
      <c r="K5171" t="s">
        <v>21</v>
      </c>
      <c r="L5171" t="s">
        <v>33</v>
      </c>
      <c r="M5171" t="s">
        <v>17166</v>
      </c>
      <c r="N5171" t="s">
        <v>17167</v>
      </c>
      <c r="O5171" t="s">
        <v>17168</v>
      </c>
      <c r="P5171" s="2" t="s">
        <v>26</v>
      </c>
      <c r="Q5171" t="s">
        <v>50</v>
      </c>
      <c r="R5171">
        <v>60.07</v>
      </c>
      <c r="S5171">
        <v>60.07</v>
      </c>
      <c r="T5171" t="s">
        <v>17169</v>
      </c>
    </row>
    <row r="5172" spans="1:20" x14ac:dyDescent="0.25">
      <c r="A5172" s="1" t="str">
        <f>HYPERLINK("https://vegkart.atlas.vegvesen.no/#/@12691.3,6725577.6,18/hva:hva%5B0%5D%5Bfilter%5D%5B0%5D%5Boperator%5D=%21%3D&amp;hva%5B0%5D%5Bfilter%5D%5B0%5D%5Btype_id%5D=5897&amp;hva%5B0%5D%5Bfilter%5D%5B0%5D%5Bverdi%5D=&amp;hva%5B0%5D%5Bid%5D=47/når:2018-07-17", "Vegkart")</f>
        <v>Vegkart</v>
      </c>
      <c r="B5172">
        <v>82503125</v>
      </c>
      <c r="C5172">
        <v>47</v>
      </c>
      <c r="D5172" t="s">
        <v>16854</v>
      </c>
      <c r="E5172">
        <v>5897</v>
      </c>
      <c r="F5172" t="s">
        <v>23479</v>
      </c>
      <c r="G5172">
        <v>6</v>
      </c>
      <c r="H5172" t="s">
        <v>17170</v>
      </c>
      <c r="J5172" t="s">
        <v>17165</v>
      </c>
      <c r="K5172" t="s">
        <v>21</v>
      </c>
      <c r="L5172" t="s">
        <v>33</v>
      </c>
      <c r="M5172" t="s">
        <v>963</v>
      </c>
      <c r="N5172" t="s">
        <v>17171</v>
      </c>
      <c r="O5172" t="s">
        <v>17172</v>
      </c>
      <c r="P5172" s="2" t="s">
        <v>26</v>
      </c>
      <c r="Q5172" t="s">
        <v>50</v>
      </c>
      <c r="R5172">
        <v>18.739999999999998</v>
      </c>
      <c r="S5172">
        <v>18.739999999999998</v>
      </c>
      <c r="T5172" t="s">
        <v>17173</v>
      </c>
    </row>
    <row r="5173" spans="1:20" x14ac:dyDescent="0.25">
      <c r="A5173" s="1" t="str">
        <f>HYPERLINK("https://vegkart.atlas.vegvesen.no/#/@-31846.9,6742429.8,18/hva:hva%5B0%5D%5Bfilter%5D%5B0%5D%5Boperator%5D=%21%3D&amp;hva%5B0%5D%5Bfilter%5D%5B0%5D%5Btype_id%5D=5897&amp;hva%5B0%5D%5Bfilter%5D%5B0%5D%5Bverdi%5D=&amp;hva%5B0%5D%5Bid%5D=47/når:2015-03-24", "Vegkart")</f>
        <v>Vegkart</v>
      </c>
      <c r="B5173">
        <v>82574907</v>
      </c>
      <c r="C5173">
        <v>47</v>
      </c>
      <c r="D5173" t="s">
        <v>16854</v>
      </c>
      <c r="E5173">
        <v>5897</v>
      </c>
      <c r="F5173" t="s">
        <v>23479</v>
      </c>
      <c r="G5173">
        <v>3</v>
      </c>
      <c r="H5173" t="s">
        <v>5923</v>
      </c>
      <c r="J5173" t="s">
        <v>17174</v>
      </c>
      <c r="K5173" t="s">
        <v>21</v>
      </c>
      <c r="L5173" t="s">
        <v>33</v>
      </c>
      <c r="M5173" t="s">
        <v>17175</v>
      </c>
      <c r="N5173" t="s">
        <v>17176</v>
      </c>
      <c r="O5173" t="s">
        <v>17177</v>
      </c>
      <c r="P5173" s="2" t="s">
        <v>26</v>
      </c>
      <c r="Q5173" t="s">
        <v>50</v>
      </c>
      <c r="R5173">
        <v>52.17</v>
      </c>
      <c r="S5173">
        <v>52.58</v>
      </c>
      <c r="T5173" t="s">
        <v>17178</v>
      </c>
    </row>
    <row r="5174" spans="1:20" x14ac:dyDescent="0.25">
      <c r="A5174" s="1" t="str">
        <f>HYPERLINK("https://vegkart.atlas.vegvesen.no/#/@-26198.2,6753749.2,18/hva:hva%5B0%5D%5Bfilter%5D%5B0%5D%5Boperator%5D=%21%3D&amp;hva%5B0%5D%5Bfilter%5D%5B0%5D%5Btype_id%5D=5897&amp;hva%5B0%5D%5Bfilter%5D%5B0%5D%5Bverdi%5D=&amp;hva%5B0%5D%5Bid%5D=47/når:2007-06-13", "Vegkart")</f>
        <v>Vegkart</v>
      </c>
      <c r="B5174">
        <v>82772632</v>
      </c>
      <c r="C5174">
        <v>47</v>
      </c>
      <c r="D5174" t="s">
        <v>16854</v>
      </c>
      <c r="E5174">
        <v>5897</v>
      </c>
      <c r="F5174" t="s">
        <v>23479</v>
      </c>
      <c r="G5174">
        <v>2</v>
      </c>
      <c r="H5174" t="s">
        <v>17179</v>
      </c>
      <c r="J5174" t="s">
        <v>17180</v>
      </c>
      <c r="K5174" t="s">
        <v>21</v>
      </c>
      <c r="L5174" t="s">
        <v>33</v>
      </c>
      <c r="M5174" t="s">
        <v>5602</v>
      </c>
      <c r="N5174" t="s">
        <v>17181</v>
      </c>
      <c r="O5174" t="s">
        <v>17182</v>
      </c>
      <c r="P5174" s="2" t="s">
        <v>26</v>
      </c>
      <c r="Q5174" t="s">
        <v>50</v>
      </c>
      <c r="R5174">
        <v>43.43</v>
      </c>
      <c r="S5174">
        <v>43.43</v>
      </c>
      <c r="T5174" t="s">
        <v>17183</v>
      </c>
    </row>
    <row r="5175" spans="1:20" x14ac:dyDescent="0.25">
      <c r="A5175" s="1" t="str">
        <f>HYPERLINK("https://vegkart.atlas.vegvesen.no/#/@-40386.8,6641865.5,18/hva:hva%5B0%5D%5Bfilter%5D%5B0%5D%5Boperator%5D=%21%3D&amp;hva%5B0%5D%5Bfilter%5D%5B0%5D%5Btype_id%5D=5897&amp;hva%5B0%5D%5Bfilter%5D%5B0%5D%5Bverdi%5D=&amp;hva%5B0%5D%5Bid%5D=47/når:2017-08-04", "Vegkart")</f>
        <v>Vegkart</v>
      </c>
      <c r="B5175">
        <v>82844423</v>
      </c>
      <c r="C5175">
        <v>47</v>
      </c>
      <c r="D5175" t="s">
        <v>16854</v>
      </c>
      <c r="E5175">
        <v>5897</v>
      </c>
      <c r="F5175" t="s">
        <v>23479</v>
      </c>
      <c r="G5175">
        <v>5</v>
      </c>
      <c r="H5175" t="s">
        <v>17184</v>
      </c>
      <c r="J5175" t="s">
        <v>10078</v>
      </c>
      <c r="K5175" t="s">
        <v>21</v>
      </c>
      <c r="L5175" t="s">
        <v>80</v>
      </c>
      <c r="M5175" t="s">
        <v>81</v>
      </c>
      <c r="N5175" t="s">
        <v>17185</v>
      </c>
      <c r="O5175" t="s">
        <v>17186</v>
      </c>
      <c r="P5175" s="2" t="s">
        <v>26</v>
      </c>
      <c r="Q5175" t="s">
        <v>50</v>
      </c>
      <c r="R5175">
        <v>69.34</v>
      </c>
      <c r="S5175">
        <v>69.34</v>
      </c>
      <c r="T5175" t="s">
        <v>17187</v>
      </c>
    </row>
    <row r="5176" spans="1:20" x14ac:dyDescent="0.25">
      <c r="A5176" s="1" t="str">
        <f>HYPERLINK("https://vegkart.atlas.vegvesen.no/#/@-52474.9,6680734.9,18/hva:hva%5B0%5D%5Bfilter%5D%5B0%5D%5Boperator%5D=%21%3D&amp;hva%5B0%5D%5Bfilter%5D%5B0%5D%5Btype_id%5D=5897&amp;hva%5B0%5D%5Bfilter%5D%5B0%5D%5Bverdi%5D=&amp;hva%5B0%5D%5Bid%5D=47/når:2018-06-28", "Vegkart")</f>
        <v>Vegkart</v>
      </c>
      <c r="B5176">
        <v>82881299</v>
      </c>
      <c r="C5176">
        <v>47</v>
      </c>
      <c r="D5176" t="s">
        <v>16854</v>
      </c>
      <c r="E5176">
        <v>5897</v>
      </c>
      <c r="F5176" t="s">
        <v>23479</v>
      </c>
      <c r="G5176">
        <v>3</v>
      </c>
      <c r="H5176" t="s">
        <v>5155</v>
      </c>
      <c r="J5176" t="s">
        <v>10078</v>
      </c>
      <c r="K5176" t="s">
        <v>21</v>
      </c>
      <c r="L5176" t="s">
        <v>33</v>
      </c>
      <c r="M5176" t="s">
        <v>17188</v>
      </c>
      <c r="N5176" t="s">
        <v>17189</v>
      </c>
      <c r="O5176" t="s">
        <v>17190</v>
      </c>
      <c r="P5176" s="2" t="s">
        <v>26</v>
      </c>
      <c r="Q5176" t="s">
        <v>50</v>
      </c>
      <c r="R5176">
        <v>28.21</v>
      </c>
      <c r="S5176">
        <v>35.840000000000003</v>
      </c>
      <c r="T5176" t="s">
        <v>17191</v>
      </c>
    </row>
    <row r="5177" spans="1:20" x14ac:dyDescent="0.25">
      <c r="A5177" s="1" t="str">
        <f>HYPERLINK("https://vegkart.atlas.vegvesen.no/#/@-47055.6,6752805.8,18/hva:hva%5B0%5D%5Bfilter%5D%5B0%5D%5Boperator%5D=%21%3D&amp;hva%5B0%5D%5Bfilter%5D%5B0%5D%5Btype_id%5D=5897&amp;hva%5B0%5D%5Bfilter%5D%5B0%5D%5Bverdi%5D=&amp;hva%5B0%5D%5Bid%5D=47/når:2015-03-24", "Vegkart")</f>
        <v>Vegkart</v>
      </c>
      <c r="B5177">
        <v>82886358</v>
      </c>
      <c r="C5177">
        <v>47</v>
      </c>
      <c r="D5177" t="s">
        <v>16854</v>
      </c>
      <c r="E5177">
        <v>5897</v>
      </c>
      <c r="F5177" t="s">
        <v>23479</v>
      </c>
      <c r="G5177">
        <v>4</v>
      </c>
      <c r="H5177" t="s">
        <v>5923</v>
      </c>
      <c r="J5177" t="s">
        <v>17192</v>
      </c>
      <c r="K5177" t="s">
        <v>21</v>
      </c>
      <c r="L5177" t="s">
        <v>33</v>
      </c>
      <c r="M5177" t="s">
        <v>4292</v>
      </c>
      <c r="N5177" t="s">
        <v>17193</v>
      </c>
      <c r="O5177" t="s">
        <v>17194</v>
      </c>
      <c r="P5177" s="2" t="s">
        <v>26</v>
      </c>
      <c r="Q5177" t="s">
        <v>50</v>
      </c>
      <c r="R5177">
        <v>43.43</v>
      </c>
      <c r="S5177">
        <v>46.19</v>
      </c>
      <c r="T5177" t="s">
        <v>17195</v>
      </c>
    </row>
    <row r="5178" spans="1:20" x14ac:dyDescent="0.25">
      <c r="A5178" s="1" t="str">
        <f>HYPERLINK("https://vegkart.atlas.vegvesen.no/#/@-55121.7,6760121.5,18/hva:hva%5B0%5D%5Bfilter%5D%5B0%5D%5Boperator%5D=%21%3D&amp;hva%5B0%5D%5Bfilter%5D%5B0%5D%5Btype_id%5D=5897&amp;hva%5B0%5D%5Bfilter%5D%5B0%5D%5Bverdi%5D=&amp;hva%5B0%5D%5Bid%5D=47/når:2009-07-09", "Vegkart")</f>
        <v>Vegkart</v>
      </c>
      <c r="B5178">
        <v>82926310</v>
      </c>
      <c r="C5178">
        <v>47</v>
      </c>
      <c r="D5178" t="s">
        <v>16854</v>
      </c>
      <c r="E5178">
        <v>5897</v>
      </c>
      <c r="F5178" t="s">
        <v>23479</v>
      </c>
      <c r="G5178">
        <v>2</v>
      </c>
      <c r="H5178" t="s">
        <v>17196</v>
      </c>
      <c r="J5178" t="s">
        <v>17192</v>
      </c>
      <c r="K5178" t="s">
        <v>21</v>
      </c>
      <c r="L5178" t="s">
        <v>33</v>
      </c>
      <c r="M5178" t="s">
        <v>1391</v>
      </c>
      <c r="N5178" t="s">
        <v>17197</v>
      </c>
      <c r="O5178" t="s">
        <v>17198</v>
      </c>
      <c r="P5178" s="2" t="s">
        <v>26</v>
      </c>
      <c r="Q5178" t="s">
        <v>50</v>
      </c>
      <c r="R5178">
        <v>64.180000000000007</v>
      </c>
      <c r="S5178">
        <v>64.25</v>
      </c>
      <c r="T5178" t="s">
        <v>17199</v>
      </c>
    </row>
    <row r="5179" spans="1:20" x14ac:dyDescent="0.25">
      <c r="A5179" s="1" t="str">
        <f>HYPERLINK("https://vegkart.atlas.vegvesen.no/#/@-37568.3,6731496.6,18/hva:hva%5B0%5D%5Bfilter%5D%5B0%5D%5Boperator%5D=%21%3D&amp;hva%5B0%5D%5Bfilter%5D%5B0%5D%5Btype_id%5D=5897&amp;hva%5B0%5D%5Bfilter%5D%5B0%5D%5Bverdi%5D=&amp;hva%5B0%5D%5Bid%5D=47/når:2015-03-24", "Vegkart")</f>
        <v>Vegkart</v>
      </c>
      <c r="B5179">
        <v>82928919</v>
      </c>
      <c r="C5179">
        <v>47</v>
      </c>
      <c r="D5179" t="s">
        <v>16854</v>
      </c>
      <c r="E5179">
        <v>5897</v>
      </c>
      <c r="F5179" t="s">
        <v>23479</v>
      </c>
      <c r="G5179">
        <v>5</v>
      </c>
      <c r="H5179" t="s">
        <v>5923</v>
      </c>
      <c r="J5179" t="s">
        <v>17200</v>
      </c>
      <c r="K5179" t="s">
        <v>21</v>
      </c>
      <c r="L5179" t="s">
        <v>33</v>
      </c>
      <c r="M5179" t="s">
        <v>17201</v>
      </c>
      <c r="N5179" t="s">
        <v>17202</v>
      </c>
      <c r="O5179" t="s">
        <v>17203</v>
      </c>
      <c r="P5179" s="2" t="s">
        <v>26</v>
      </c>
      <c r="Q5179" t="s">
        <v>50</v>
      </c>
      <c r="R5179">
        <v>55.01</v>
      </c>
      <c r="S5179">
        <v>55.57</v>
      </c>
      <c r="T5179" t="s">
        <v>17204</v>
      </c>
    </row>
    <row r="5180" spans="1:20" x14ac:dyDescent="0.25">
      <c r="A5180" s="1" t="str">
        <f>HYPERLINK("https://vegkart.atlas.vegvesen.no/#/@-37425.8,6733086.7,18/hva:hva%5B0%5D%5Bfilter%5D%5B0%5D%5Boperator%5D=%21%3D&amp;hva%5B0%5D%5Bfilter%5D%5B0%5D%5Btype_id%5D=5897&amp;hva%5B0%5D%5Bfilter%5D%5B0%5D%5Bverdi%5D=&amp;hva%5B0%5D%5Bid%5D=47/når:2015-03-24", "Vegkart")</f>
        <v>Vegkart</v>
      </c>
      <c r="B5180">
        <v>82929003</v>
      </c>
      <c r="C5180">
        <v>47</v>
      </c>
      <c r="D5180" t="s">
        <v>16854</v>
      </c>
      <c r="E5180">
        <v>5897</v>
      </c>
      <c r="F5180" t="s">
        <v>23479</v>
      </c>
      <c r="G5180">
        <v>5</v>
      </c>
      <c r="H5180" t="s">
        <v>5923</v>
      </c>
      <c r="J5180" t="s">
        <v>17200</v>
      </c>
      <c r="K5180" t="s">
        <v>21</v>
      </c>
      <c r="L5180" t="s">
        <v>33</v>
      </c>
      <c r="M5180" t="s">
        <v>17205</v>
      </c>
      <c r="N5180" t="s">
        <v>17206</v>
      </c>
      <c r="O5180" t="s">
        <v>17207</v>
      </c>
      <c r="P5180" s="2" t="s">
        <v>26</v>
      </c>
      <c r="Q5180" t="s">
        <v>50</v>
      </c>
      <c r="R5180">
        <v>79.41</v>
      </c>
      <c r="S5180">
        <v>87.54</v>
      </c>
      <c r="T5180" t="s">
        <v>17208</v>
      </c>
    </row>
    <row r="5181" spans="1:20" x14ac:dyDescent="0.25">
      <c r="A5181" s="1" t="str">
        <f>HYPERLINK("https://vegkart.atlas.vegvesen.no/#/@-15713.2,6788327.2,18/hva:hva%5B0%5D%5Bfilter%5D%5B0%5D%5Boperator%5D=%21%3D&amp;hva%5B0%5D%5Bfilter%5D%5B0%5D%5Btype_id%5D=5897&amp;hva%5B0%5D%5Bfilter%5D%5B0%5D%5Bverdi%5D=&amp;hva%5B0%5D%5Bid%5D=47/når:2025-06-04", "Vegkart")</f>
        <v>Vegkart</v>
      </c>
      <c r="B5181">
        <v>83001413</v>
      </c>
      <c r="C5181">
        <v>47</v>
      </c>
      <c r="D5181" t="s">
        <v>16854</v>
      </c>
      <c r="E5181">
        <v>5897</v>
      </c>
      <c r="F5181" t="s">
        <v>23479</v>
      </c>
      <c r="G5181">
        <v>2</v>
      </c>
      <c r="H5181" t="s">
        <v>17209</v>
      </c>
      <c r="J5181" t="s">
        <v>17210</v>
      </c>
      <c r="K5181" t="s">
        <v>21</v>
      </c>
      <c r="L5181" t="s">
        <v>22</v>
      </c>
      <c r="M5181" t="s">
        <v>17211</v>
      </c>
      <c r="N5181" t="s">
        <v>17212</v>
      </c>
      <c r="O5181" t="s">
        <v>17213</v>
      </c>
      <c r="P5181" s="2" t="s">
        <v>26</v>
      </c>
      <c r="Q5181" t="s">
        <v>50</v>
      </c>
      <c r="R5181">
        <v>7.41</v>
      </c>
      <c r="S5181">
        <v>7.41</v>
      </c>
      <c r="T5181" t="s">
        <v>17214</v>
      </c>
    </row>
    <row r="5182" spans="1:20" x14ac:dyDescent="0.25">
      <c r="A5182" s="1" t="str">
        <f>HYPERLINK("https://vegkart.atlas.vegvesen.no/#/@-28195.1,6746071.4,18/hva:hva%5B0%5D%5Bfilter%5D%5B0%5D%5Boperator%5D=%21%3D&amp;hva%5B0%5D%5Bfilter%5D%5B0%5D%5Btype_id%5D=5897&amp;hva%5B0%5D%5Bfilter%5D%5B0%5D%5Bverdi%5D=&amp;hva%5B0%5D%5Bid%5D=47/når:2014-07-16", "Vegkart")</f>
        <v>Vegkart</v>
      </c>
      <c r="B5182">
        <v>83254402</v>
      </c>
      <c r="C5182">
        <v>47</v>
      </c>
      <c r="D5182" t="s">
        <v>16854</v>
      </c>
      <c r="E5182">
        <v>5897</v>
      </c>
      <c r="F5182" t="s">
        <v>23479</v>
      </c>
      <c r="G5182">
        <v>2</v>
      </c>
      <c r="H5182" t="s">
        <v>9300</v>
      </c>
      <c r="J5182" t="s">
        <v>17215</v>
      </c>
      <c r="K5182" t="s">
        <v>21</v>
      </c>
      <c r="L5182" t="s">
        <v>80</v>
      </c>
      <c r="M5182" t="s">
        <v>81</v>
      </c>
      <c r="N5182" t="s">
        <v>17216</v>
      </c>
      <c r="O5182" t="s">
        <v>17217</v>
      </c>
      <c r="P5182" s="2" t="s">
        <v>26</v>
      </c>
      <c r="Q5182" t="s">
        <v>50</v>
      </c>
      <c r="R5182">
        <v>86.39</v>
      </c>
      <c r="S5182">
        <v>92.53</v>
      </c>
      <c r="T5182" t="s">
        <v>17218</v>
      </c>
    </row>
    <row r="5183" spans="1:20" x14ac:dyDescent="0.25">
      <c r="A5183" s="1" t="str">
        <f>HYPERLINK("https://vegkart.atlas.vegvesen.no/#/@297087.4,6654628.0,18/hva:hva%5B0%5D%5Bfilter%5D%5B0%5D%5Boperator%5D=%21%3D&amp;hva%5B0%5D%5Bfilter%5D%5B0%5D%5Btype_id%5D=5897&amp;hva%5B0%5D%5Bfilter%5D%5B0%5D%5Bverdi%5D=&amp;hva%5B0%5D%5Bid%5D=47/når:2011-05-18", "Vegkart")</f>
        <v>Vegkart</v>
      </c>
      <c r="B5183">
        <v>83729210</v>
      </c>
      <c r="C5183">
        <v>47</v>
      </c>
      <c r="D5183" t="s">
        <v>16854</v>
      </c>
      <c r="E5183">
        <v>5897</v>
      </c>
      <c r="F5183" t="s">
        <v>23479</v>
      </c>
      <c r="G5183">
        <v>2</v>
      </c>
      <c r="H5183" t="s">
        <v>17219</v>
      </c>
      <c r="J5183" t="s">
        <v>17220</v>
      </c>
      <c r="K5183" t="s">
        <v>132</v>
      </c>
      <c r="L5183" t="s">
        <v>33</v>
      </c>
      <c r="M5183" t="s">
        <v>6019</v>
      </c>
      <c r="N5183" t="s">
        <v>17221</v>
      </c>
      <c r="O5183" t="s">
        <v>17222</v>
      </c>
      <c r="P5183" s="2" t="s">
        <v>26</v>
      </c>
      <c r="Q5183" t="s">
        <v>50</v>
      </c>
      <c r="R5183">
        <v>44.42</v>
      </c>
      <c r="S5183">
        <v>44.61</v>
      </c>
      <c r="T5183" t="s">
        <v>17223</v>
      </c>
    </row>
    <row r="5184" spans="1:20" x14ac:dyDescent="0.25">
      <c r="A5184" s="1" t="str">
        <f>HYPERLINK("https://vegkart.atlas.vegvesen.no/#/@290242.7,6655826.0,18/hva:hva%5B0%5D%5Bfilter%5D%5B0%5D%5Boperator%5D=%21%3D&amp;hva%5B0%5D%5Bfilter%5D%5B0%5D%5Btype_id%5D=5897&amp;hva%5B0%5D%5Bfilter%5D%5B0%5D%5Bverdi%5D=&amp;hva%5B0%5D%5Bid%5D=47/når:2016-05-18", "Vegkart")</f>
        <v>Vegkart</v>
      </c>
      <c r="B5184">
        <v>83737431</v>
      </c>
      <c r="C5184">
        <v>47</v>
      </c>
      <c r="D5184" t="s">
        <v>16854</v>
      </c>
      <c r="E5184">
        <v>5897</v>
      </c>
      <c r="F5184" t="s">
        <v>23479</v>
      </c>
      <c r="G5184">
        <v>3</v>
      </c>
      <c r="H5184" t="s">
        <v>17224</v>
      </c>
      <c r="J5184" t="s">
        <v>17215</v>
      </c>
      <c r="K5184" t="s">
        <v>132</v>
      </c>
      <c r="L5184" t="s">
        <v>33</v>
      </c>
      <c r="M5184" t="s">
        <v>5987</v>
      </c>
      <c r="N5184" t="s">
        <v>17225</v>
      </c>
      <c r="O5184" t="s">
        <v>17226</v>
      </c>
      <c r="P5184" s="2" t="s">
        <v>26</v>
      </c>
      <c r="Q5184" t="s">
        <v>50</v>
      </c>
      <c r="R5184">
        <v>45.35</v>
      </c>
      <c r="S5184">
        <v>45.9</v>
      </c>
      <c r="T5184" t="s">
        <v>17227</v>
      </c>
    </row>
    <row r="5185" spans="1:20" x14ac:dyDescent="0.25">
      <c r="A5185" s="1" t="str">
        <f>HYPERLINK("https://vegkart.atlas.vegvesen.no/#/@244576.9,6637944.4,18/hva:hva%5B0%5D%5Bfilter%5D%5B0%5D%5Boperator%5D=%21%3D&amp;hva%5B0%5D%5Bfilter%5D%5B0%5D%5Btype_id%5D=5897&amp;hva%5B0%5D%5Bfilter%5D%5B0%5D%5Bverdi%5D=&amp;hva%5B0%5D%5Bid%5D=47/når:2017-05-19", "Vegkart")</f>
        <v>Vegkart</v>
      </c>
      <c r="B5185">
        <v>83744052</v>
      </c>
      <c r="C5185">
        <v>47</v>
      </c>
      <c r="D5185" t="s">
        <v>16854</v>
      </c>
      <c r="E5185">
        <v>5897</v>
      </c>
      <c r="F5185" t="s">
        <v>23479</v>
      </c>
      <c r="G5185">
        <v>5</v>
      </c>
      <c r="H5185" t="s">
        <v>17228</v>
      </c>
      <c r="J5185" t="s">
        <v>17215</v>
      </c>
      <c r="K5185" t="s">
        <v>132</v>
      </c>
      <c r="L5185" t="s">
        <v>33</v>
      </c>
      <c r="M5185" t="s">
        <v>17229</v>
      </c>
      <c r="N5185" t="s">
        <v>17230</v>
      </c>
      <c r="O5185" t="s">
        <v>17231</v>
      </c>
      <c r="P5185" s="2" t="s">
        <v>26</v>
      </c>
      <c r="Q5185" t="s">
        <v>50</v>
      </c>
      <c r="R5185">
        <v>105.59</v>
      </c>
      <c r="S5185">
        <v>108.63</v>
      </c>
      <c r="T5185" t="s">
        <v>17232</v>
      </c>
    </row>
    <row r="5186" spans="1:20" x14ac:dyDescent="0.25">
      <c r="A5186" s="1" t="str">
        <f>HYPERLINK("https://vegkart.atlas.vegvesen.no/#/@298957.9,6650381.7,18/hva:hva%5B0%5D%5Bfilter%5D%5B0%5D%5Boperator%5D=%21%3D&amp;hva%5B0%5D%5Bfilter%5D%5B0%5D%5Btype_id%5D=5897&amp;hva%5B0%5D%5Bfilter%5D%5B0%5D%5Bverdi%5D=&amp;hva%5B0%5D%5Bid%5D=47/når:2011-06-01", "Vegkart")</f>
        <v>Vegkart</v>
      </c>
      <c r="B5186">
        <v>83830558</v>
      </c>
      <c r="C5186">
        <v>47</v>
      </c>
      <c r="D5186" t="s">
        <v>16854</v>
      </c>
      <c r="E5186">
        <v>5897</v>
      </c>
      <c r="F5186" t="s">
        <v>23479</v>
      </c>
      <c r="G5186">
        <v>3</v>
      </c>
      <c r="H5186" t="s">
        <v>17233</v>
      </c>
      <c r="J5186" t="s">
        <v>17215</v>
      </c>
      <c r="K5186" t="s">
        <v>132</v>
      </c>
      <c r="L5186" t="s">
        <v>33</v>
      </c>
      <c r="M5186" t="s">
        <v>2097</v>
      </c>
      <c r="N5186" t="s">
        <v>17234</v>
      </c>
      <c r="O5186" t="s">
        <v>17235</v>
      </c>
      <c r="P5186" s="2" t="s">
        <v>26</v>
      </c>
      <c r="Q5186" t="s">
        <v>50</v>
      </c>
      <c r="R5186">
        <v>52.01</v>
      </c>
      <c r="S5186">
        <v>52.35</v>
      </c>
      <c r="T5186" t="s">
        <v>17236</v>
      </c>
    </row>
    <row r="5187" spans="1:20" x14ac:dyDescent="0.25">
      <c r="A5187" s="1" t="str">
        <f>HYPERLINK("https://vegkart.atlas.vegvesen.no/#/@298664.8,6626461.2,18/hva:hva%5B0%5D%5Bfilter%5D%5B0%5D%5Boperator%5D=%21%3D&amp;hva%5B0%5D%5Bfilter%5D%5B0%5D%5Btype_id%5D=5897&amp;hva%5B0%5D%5Bfilter%5D%5B0%5D%5Bverdi%5D=&amp;hva%5B0%5D%5Bid%5D=47/når:2016-07-26", "Vegkart")</f>
        <v>Vegkart</v>
      </c>
      <c r="B5187">
        <v>83851891</v>
      </c>
      <c r="C5187">
        <v>47</v>
      </c>
      <c r="D5187" t="s">
        <v>16854</v>
      </c>
      <c r="E5187">
        <v>5897</v>
      </c>
      <c r="F5187" t="s">
        <v>23479</v>
      </c>
      <c r="G5187">
        <v>3</v>
      </c>
      <c r="H5187" t="s">
        <v>14678</v>
      </c>
      <c r="J5187" t="s">
        <v>17215</v>
      </c>
      <c r="K5187" t="s">
        <v>132</v>
      </c>
      <c r="L5187" t="s">
        <v>33</v>
      </c>
      <c r="M5187" t="s">
        <v>5979</v>
      </c>
      <c r="N5187" t="s">
        <v>17237</v>
      </c>
      <c r="O5187" t="s">
        <v>17238</v>
      </c>
      <c r="P5187" s="2" t="s">
        <v>26</v>
      </c>
      <c r="Q5187" t="s">
        <v>50</v>
      </c>
      <c r="R5187">
        <v>54.18</v>
      </c>
      <c r="S5187">
        <v>55.61</v>
      </c>
      <c r="T5187" t="s">
        <v>17239</v>
      </c>
    </row>
    <row r="5188" spans="1:20" x14ac:dyDescent="0.25">
      <c r="A5188" s="1" t="str">
        <f>HYPERLINK("https://vegkart.atlas.vegvesen.no/#/@298676.2,6626379.9,18/hva:hva%5B0%5D%5Bfilter%5D%5B0%5D%5Boperator%5D=%21%3D&amp;hva%5B0%5D%5Bfilter%5D%5B0%5D%5Btype_id%5D=5897&amp;hva%5B0%5D%5Bfilter%5D%5B0%5D%5Bverdi%5D=&amp;hva%5B0%5D%5Bid%5D=47/når:2011-06-10", "Vegkart")</f>
        <v>Vegkart</v>
      </c>
      <c r="B5188">
        <v>83851944</v>
      </c>
      <c r="C5188">
        <v>47</v>
      </c>
      <c r="D5188" t="s">
        <v>16854</v>
      </c>
      <c r="E5188">
        <v>5897</v>
      </c>
      <c r="F5188" t="s">
        <v>23479</v>
      </c>
      <c r="G5188">
        <v>2</v>
      </c>
      <c r="H5188" t="s">
        <v>17240</v>
      </c>
      <c r="J5188" t="s">
        <v>17215</v>
      </c>
      <c r="K5188" t="s">
        <v>132</v>
      </c>
      <c r="L5188" t="s">
        <v>33</v>
      </c>
      <c r="M5188" t="s">
        <v>5982</v>
      </c>
      <c r="N5188" t="s">
        <v>17241</v>
      </c>
      <c r="O5188" t="s">
        <v>17242</v>
      </c>
      <c r="P5188" s="2" t="s">
        <v>26</v>
      </c>
      <c r="Q5188" t="s">
        <v>50</v>
      </c>
      <c r="R5188">
        <v>45.62</v>
      </c>
      <c r="S5188">
        <v>45.7</v>
      </c>
      <c r="T5188" t="s">
        <v>17243</v>
      </c>
    </row>
    <row r="5189" spans="1:20" x14ac:dyDescent="0.25">
      <c r="A5189" s="1" t="str">
        <f>HYPERLINK("https://vegkart.atlas.vegvesen.no/#/@301107.1,6670116.2,18/hva:hva%5B0%5D%5Bfilter%5D%5B0%5D%5Boperator%5D=%21%3D&amp;hva%5B0%5D%5Bfilter%5D%5B0%5D%5Btype_id%5D=5897&amp;hva%5B0%5D%5Bfilter%5D%5B0%5D%5Bverdi%5D=&amp;hva%5B0%5D%5Bid%5D=47/når:2010-08-04", "Vegkart")</f>
        <v>Vegkart</v>
      </c>
      <c r="B5189">
        <v>83852495</v>
      </c>
      <c r="C5189">
        <v>47</v>
      </c>
      <c r="D5189" t="s">
        <v>16854</v>
      </c>
      <c r="E5189">
        <v>5897</v>
      </c>
      <c r="F5189" t="s">
        <v>23479</v>
      </c>
      <c r="G5189">
        <v>2</v>
      </c>
      <c r="H5189" t="s">
        <v>17244</v>
      </c>
      <c r="J5189" t="s">
        <v>17215</v>
      </c>
      <c r="K5189" t="s">
        <v>132</v>
      </c>
      <c r="L5189" t="s">
        <v>33</v>
      </c>
      <c r="M5189" t="s">
        <v>17245</v>
      </c>
      <c r="N5189" t="s">
        <v>17246</v>
      </c>
      <c r="O5189" t="s">
        <v>17247</v>
      </c>
      <c r="P5189" s="2" t="s">
        <v>26</v>
      </c>
      <c r="Q5189" t="s">
        <v>50</v>
      </c>
      <c r="R5189">
        <v>58.67</v>
      </c>
      <c r="S5189">
        <v>59.11</v>
      </c>
      <c r="T5189" t="s">
        <v>17248</v>
      </c>
    </row>
    <row r="5190" spans="1:20" x14ac:dyDescent="0.25">
      <c r="A5190" s="1" t="str">
        <f>HYPERLINK("https://vegkart.atlas.vegvesen.no/#/@301629.7,6648520.4,18/hva:hva%5B0%5D%5Bfilter%5D%5B0%5D%5Boperator%5D=%21%3D&amp;hva%5B0%5D%5Bfilter%5D%5B0%5D%5Btype_id%5D=5897&amp;hva%5B0%5D%5Bfilter%5D%5B0%5D%5Bverdi%5D=&amp;hva%5B0%5D%5Bid%5D=47/når:2011-05-31", "Vegkart")</f>
        <v>Vegkart</v>
      </c>
      <c r="B5190">
        <v>83951445</v>
      </c>
      <c r="C5190">
        <v>47</v>
      </c>
      <c r="D5190" t="s">
        <v>16854</v>
      </c>
      <c r="E5190">
        <v>5897</v>
      </c>
      <c r="F5190" t="s">
        <v>23479</v>
      </c>
      <c r="G5190">
        <v>2</v>
      </c>
      <c r="H5190" t="s">
        <v>17249</v>
      </c>
      <c r="J5190" t="s">
        <v>17250</v>
      </c>
      <c r="K5190" t="s">
        <v>132</v>
      </c>
      <c r="L5190" t="s">
        <v>33</v>
      </c>
      <c r="M5190" t="s">
        <v>6007</v>
      </c>
      <c r="N5190" t="s">
        <v>17251</v>
      </c>
      <c r="O5190" t="s">
        <v>17252</v>
      </c>
      <c r="P5190" s="2" t="s">
        <v>26</v>
      </c>
      <c r="Q5190" t="s">
        <v>50</v>
      </c>
      <c r="R5190">
        <v>49.46</v>
      </c>
      <c r="S5190">
        <v>50.22</v>
      </c>
      <c r="T5190" t="s">
        <v>17253</v>
      </c>
    </row>
    <row r="5191" spans="1:20" x14ac:dyDescent="0.25">
      <c r="A5191" s="1" t="str">
        <f>HYPERLINK("https://vegkart.atlas.vegvesen.no/#/@297444.8,6649979.5,18/hva:hva%5B0%5D%5Bfilter%5D%5B0%5D%5Boperator%5D=%21%3D&amp;hva%5B0%5D%5Bfilter%5D%5B0%5D%5Btype_id%5D=5897&amp;hva%5B0%5D%5Bfilter%5D%5B0%5D%5Bverdi%5D=&amp;hva%5B0%5D%5Bid%5D=47/når:1997-05-01", "Vegkart")</f>
        <v>Vegkart</v>
      </c>
      <c r="B5191">
        <v>83952235</v>
      </c>
      <c r="C5191">
        <v>47</v>
      </c>
      <c r="D5191" t="s">
        <v>16854</v>
      </c>
      <c r="E5191">
        <v>5897</v>
      </c>
      <c r="F5191" t="s">
        <v>23479</v>
      </c>
      <c r="G5191">
        <v>1</v>
      </c>
      <c r="H5191" t="s">
        <v>17254</v>
      </c>
      <c r="J5191" t="s">
        <v>17250</v>
      </c>
      <c r="K5191" t="s">
        <v>132</v>
      </c>
      <c r="L5191" t="s">
        <v>33</v>
      </c>
      <c r="M5191" t="s">
        <v>17255</v>
      </c>
      <c r="N5191" t="s">
        <v>17256</v>
      </c>
      <c r="O5191" t="s">
        <v>17257</v>
      </c>
      <c r="P5191" s="2" t="s">
        <v>26</v>
      </c>
      <c r="Q5191" t="s">
        <v>50</v>
      </c>
      <c r="R5191">
        <v>51.85</v>
      </c>
      <c r="S5191">
        <v>52.65</v>
      </c>
      <c r="T5191" t="s">
        <v>17258</v>
      </c>
    </row>
    <row r="5192" spans="1:20" x14ac:dyDescent="0.25">
      <c r="A5192" s="1" t="str">
        <f>HYPERLINK("https://vegkart.atlas.vegvesen.no/#/@302348.9,6648732.2,18/hva:hva%5B0%5D%5Bfilter%5D%5B0%5D%5Boperator%5D=%21%3D&amp;hva%5B0%5D%5Bfilter%5D%5B0%5D%5Btype_id%5D=5897&amp;hva%5B0%5D%5Bfilter%5D%5B0%5D%5Bverdi%5D=&amp;hva%5B0%5D%5Bid%5D=47/når:2011-05-27", "Vegkart")</f>
        <v>Vegkart</v>
      </c>
      <c r="B5192">
        <v>83954173</v>
      </c>
      <c r="C5192">
        <v>47</v>
      </c>
      <c r="D5192" t="s">
        <v>16854</v>
      </c>
      <c r="E5192">
        <v>5897</v>
      </c>
      <c r="F5192" t="s">
        <v>23479</v>
      </c>
      <c r="G5192">
        <v>2</v>
      </c>
      <c r="H5192" t="s">
        <v>5973</v>
      </c>
      <c r="J5192" t="s">
        <v>17250</v>
      </c>
      <c r="K5192" t="s">
        <v>132</v>
      </c>
      <c r="L5192" t="s">
        <v>33</v>
      </c>
      <c r="M5192" t="s">
        <v>6007</v>
      </c>
      <c r="N5192" t="s">
        <v>17259</v>
      </c>
      <c r="O5192" t="s">
        <v>17260</v>
      </c>
      <c r="P5192" s="2" t="s">
        <v>26</v>
      </c>
      <c r="Q5192" t="s">
        <v>50</v>
      </c>
      <c r="R5192">
        <v>37.200000000000003</v>
      </c>
      <c r="S5192">
        <v>37.39</v>
      </c>
      <c r="T5192" t="s">
        <v>17261</v>
      </c>
    </row>
    <row r="5193" spans="1:20" x14ac:dyDescent="0.25">
      <c r="A5193" s="1" t="str">
        <f>HYPERLINK("https://vegkart.atlas.vegvesen.no/#/@302340.8,6648742.2,18/hva:hva%5B0%5D%5Bfilter%5D%5B0%5D%5Boperator%5D=%21%3D&amp;hva%5B0%5D%5Bfilter%5D%5B0%5D%5Btype_id%5D=5897&amp;hva%5B0%5D%5Bfilter%5D%5B0%5D%5Bverdi%5D=&amp;hva%5B0%5D%5Bid%5D=47/når:2011-05-27", "Vegkart")</f>
        <v>Vegkart</v>
      </c>
      <c r="B5193">
        <v>83954182</v>
      </c>
      <c r="C5193">
        <v>47</v>
      </c>
      <c r="D5193" t="s">
        <v>16854</v>
      </c>
      <c r="E5193">
        <v>5897</v>
      </c>
      <c r="F5193" t="s">
        <v>23479</v>
      </c>
      <c r="G5193">
        <v>2</v>
      </c>
      <c r="H5193" t="s">
        <v>5973</v>
      </c>
      <c r="J5193" t="s">
        <v>17250</v>
      </c>
      <c r="K5193" t="s">
        <v>132</v>
      </c>
      <c r="L5193" t="s">
        <v>33</v>
      </c>
      <c r="M5193" t="s">
        <v>6007</v>
      </c>
      <c r="N5193" t="s">
        <v>17262</v>
      </c>
      <c r="O5193" t="s">
        <v>17263</v>
      </c>
      <c r="P5193" s="2" t="s">
        <v>26</v>
      </c>
      <c r="Q5193" t="s">
        <v>50</v>
      </c>
      <c r="R5193">
        <v>37.22</v>
      </c>
      <c r="S5193">
        <v>37.6</v>
      </c>
      <c r="T5193" t="s">
        <v>17264</v>
      </c>
    </row>
    <row r="5194" spans="1:20" x14ac:dyDescent="0.25">
      <c r="A5194" s="1" t="str">
        <f>HYPERLINK("https://vegkart.atlas.vegvesen.no/#/@301963.4,6648606.0,18/hva:hva%5B0%5D%5Bfilter%5D%5B0%5D%5Boperator%5D=%21%3D&amp;hva%5B0%5D%5Bfilter%5D%5B0%5D%5Btype_id%5D=5897&amp;hva%5B0%5D%5Bfilter%5D%5B0%5D%5Bverdi%5D=&amp;hva%5B0%5D%5Bid%5D=47/når:2011-05-27", "Vegkart")</f>
        <v>Vegkart</v>
      </c>
      <c r="B5194">
        <v>83954256</v>
      </c>
      <c r="C5194">
        <v>47</v>
      </c>
      <c r="D5194" t="s">
        <v>16854</v>
      </c>
      <c r="E5194">
        <v>5897</v>
      </c>
      <c r="F5194" t="s">
        <v>23479</v>
      </c>
      <c r="G5194">
        <v>2</v>
      </c>
      <c r="H5194" t="s">
        <v>5973</v>
      </c>
      <c r="J5194" t="s">
        <v>17250</v>
      </c>
      <c r="K5194" t="s">
        <v>132</v>
      </c>
      <c r="L5194" t="s">
        <v>33</v>
      </c>
      <c r="M5194" t="s">
        <v>6007</v>
      </c>
      <c r="N5194" t="s">
        <v>17265</v>
      </c>
      <c r="O5194" t="s">
        <v>17266</v>
      </c>
      <c r="P5194" s="2" t="s">
        <v>26</v>
      </c>
      <c r="Q5194" t="s">
        <v>50</v>
      </c>
      <c r="R5194">
        <v>43.09</v>
      </c>
      <c r="S5194">
        <v>43.58</v>
      </c>
      <c r="T5194" t="s">
        <v>17267</v>
      </c>
    </row>
    <row r="5195" spans="1:20" x14ac:dyDescent="0.25">
      <c r="A5195" s="1" t="str">
        <f>HYPERLINK("https://vegkart.atlas.vegvesen.no/#/@307821.8,6640859.6,18/hva:hva%5B0%5D%5Bfilter%5D%5B0%5D%5Boperator%5D=%21%3D&amp;hva%5B0%5D%5Bfilter%5D%5B0%5D%5Btype_id%5D=5897&amp;hva%5B0%5D%5Bfilter%5D%5B0%5D%5Bverdi%5D=&amp;hva%5B0%5D%5Bid%5D=47/når:2011-05-09", "Vegkart")</f>
        <v>Vegkart</v>
      </c>
      <c r="B5195">
        <v>83961954</v>
      </c>
      <c r="C5195">
        <v>47</v>
      </c>
      <c r="D5195" t="s">
        <v>16854</v>
      </c>
      <c r="E5195">
        <v>5897</v>
      </c>
      <c r="F5195" t="s">
        <v>23479</v>
      </c>
      <c r="G5195">
        <v>2</v>
      </c>
      <c r="H5195" t="s">
        <v>9138</v>
      </c>
      <c r="J5195" t="s">
        <v>17250</v>
      </c>
      <c r="K5195" t="s">
        <v>132</v>
      </c>
      <c r="L5195" t="s">
        <v>33</v>
      </c>
      <c r="M5195" t="s">
        <v>17268</v>
      </c>
      <c r="N5195" t="s">
        <v>17269</v>
      </c>
      <c r="O5195" t="s">
        <v>17270</v>
      </c>
      <c r="P5195" s="2" t="s">
        <v>26</v>
      </c>
      <c r="Q5195" t="s">
        <v>50</v>
      </c>
      <c r="R5195">
        <v>52.08</v>
      </c>
      <c r="S5195">
        <v>52.47</v>
      </c>
      <c r="T5195" t="s">
        <v>17271</v>
      </c>
    </row>
    <row r="5196" spans="1:20" x14ac:dyDescent="0.25">
      <c r="A5196" s="1" t="str">
        <f>HYPERLINK("https://vegkart.atlas.vegvesen.no/#/@307820.0,6640927.9,18/hva:hva%5B0%5D%5Bfilter%5D%5B0%5D%5Boperator%5D=%21%3D&amp;hva%5B0%5D%5Bfilter%5D%5B0%5D%5Btype_id%5D=5897&amp;hva%5B0%5D%5Bfilter%5D%5B0%5D%5Bverdi%5D=&amp;hva%5B0%5D%5Bid%5D=47/når:2011-05-09", "Vegkart")</f>
        <v>Vegkart</v>
      </c>
      <c r="B5196">
        <v>83961981</v>
      </c>
      <c r="C5196">
        <v>47</v>
      </c>
      <c r="D5196" t="s">
        <v>16854</v>
      </c>
      <c r="E5196">
        <v>5897</v>
      </c>
      <c r="F5196" t="s">
        <v>23479</v>
      </c>
      <c r="G5196">
        <v>2</v>
      </c>
      <c r="H5196" t="s">
        <v>9138</v>
      </c>
      <c r="J5196" t="s">
        <v>17250</v>
      </c>
      <c r="K5196" t="s">
        <v>132</v>
      </c>
      <c r="L5196" t="s">
        <v>33</v>
      </c>
      <c r="M5196" t="s">
        <v>17268</v>
      </c>
      <c r="N5196" t="s">
        <v>17272</v>
      </c>
      <c r="O5196" t="s">
        <v>17273</v>
      </c>
      <c r="P5196" s="2" t="s">
        <v>26</v>
      </c>
      <c r="Q5196" t="s">
        <v>50</v>
      </c>
      <c r="R5196">
        <v>46.28</v>
      </c>
      <c r="S5196">
        <v>46.56</v>
      </c>
      <c r="T5196" t="s">
        <v>17274</v>
      </c>
    </row>
    <row r="5197" spans="1:20" x14ac:dyDescent="0.25">
      <c r="A5197" s="1" t="str">
        <f>HYPERLINK("https://vegkart.atlas.vegvesen.no/#/@315553.7,6633314.3,18/hva:hva%5B0%5D%5Bfilter%5D%5B0%5D%5Boperator%5D=%21%3D&amp;hva%5B0%5D%5Bfilter%5D%5B0%5D%5Btype_id%5D=5897&amp;hva%5B0%5D%5Bfilter%5D%5B0%5D%5Bverdi%5D=&amp;hva%5B0%5D%5Bid%5D=47/når:2011-05-09", "Vegkart")</f>
        <v>Vegkart</v>
      </c>
      <c r="B5197">
        <v>83962264</v>
      </c>
      <c r="C5197">
        <v>47</v>
      </c>
      <c r="D5197" t="s">
        <v>16854</v>
      </c>
      <c r="E5197">
        <v>5897</v>
      </c>
      <c r="F5197" t="s">
        <v>23479</v>
      </c>
      <c r="G5197">
        <v>2</v>
      </c>
      <c r="H5197" t="s">
        <v>9138</v>
      </c>
      <c r="J5197" t="s">
        <v>17250</v>
      </c>
      <c r="K5197" t="s">
        <v>132</v>
      </c>
      <c r="L5197" t="s">
        <v>33</v>
      </c>
      <c r="M5197" t="s">
        <v>17275</v>
      </c>
      <c r="N5197" t="s">
        <v>17276</v>
      </c>
      <c r="O5197" t="s">
        <v>17277</v>
      </c>
      <c r="P5197" s="2" t="s">
        <v>26</v>
      </c>
      <c r="Q5197" t="s">
        <v>50</v>
      </c>
      <c r="R5197">
        <v>54.3</v>
      </c>
      <c r="S5197">
        <v>55.36</v>
      </c>
      <c r="T5197" t="s">
        <v>17278</v>
      </c>
    </row>
    <row r="5198" spans="1:20" x14ac:dyDescent="0.25">
      <c r="A5198" s="1" t="str">
        <f>HYPERLINK("https://vegkart.atlas.vegvesen.no/#/@310558.0,6627053.0,18/hva:hva%5B0%5D%5Bfilter%5D%5B0%5D%5Boperator%5D=%21%3D&amp;hva%5B0%5D%5Bfilter%5D%5B0%5D%5Btype_id%5D=5897&amp;hva%5B0%5D%5Bfilter%5D%5B0%5D%5Bverdi%5D=&amp;hva%5B0%5D%5Bid%5D=47/når:2011-05-09", "Vegkart")</f>
        <v>Vegkart</v>
      </c>
      <c r="B5198">
        <v>83962848</v>
      </c>
      <c r="C5198">
        <v>47</v>
      </c>
      <c r="D5198" t="s">
        <v>16854</v>
      </c>
      <c r="E5198">
        <v>5897</v>
      </c>
      <c r="F5198" t="s">
        <v>23479</v>
      </c>
      <c r="G5198">
        <v>2</v>
      </c>
      <c r="H5198" t="s">
        <v>9138</v>
      </c>
      <c r="J5198" t="s">
        <v>17250</v>
      </c>
      <c r="K5198" t="s">
        <v>132</v>
      </c>
      <c r="L5198" t="s">
        <v>33</v>
      </c>
      <c r="M5198" t="s">
        <v>17275</v>
      </c>
      <c r="N5198" t="s">
        <v>17279</v>
      </c>
      <c r="O5198" t="s">
        <v>17280</v>
      </c>
      <c r="P5198" s="2" t="s">
        <v>26</v>
      </c>
      <c r="Q5198" t="s">
        <v>50</v>
      </c>
      <c r="R5198">
        <v>47.75</v>
      </c>
      <c r="S5198">
        <v>52.7</v>
      </c>
      <c r="T5198" t="s">
        <v>17281</v>
      </c>
    </row>
    <row r="5199" spans="1:20" x14ac:dyDescent="0.25">
      <c r="A5199" s="1" t="str">
        <f>HYPERLINK("https://vegkart.atlas.vegvesen.no/#/@308598.2,6674589.9,18/hva:hva%5B0%5D%5Bfilter%5D%5B0%5D%5Boperator%5D=%21%3D&amp;hva%5B0%5D%5Bfilter%5D%5B0%5D%5Btype_id%5D=5897&amp;hva%5B0%5D%5Bfilter%5D%5B0%5D%5Bverdi%5D=&amp;hva%5B0%5D%5Bid%5D=47/når:2011-05-19", "Vegkart")</f>
        <v>Vegkart</v>
      </c>
      <c r="B5199">
        <v>84030471</v>
      </c>
      <c r="C5199">
        <v>47</v>
      </c>
      <c r="D5199" t="s">
        <v>16854</v>
      </c>
      <c r="E5199">
        <v>5897</v>
      </c>
      <c r="F5199" t="s">
        <v>23479</v>
      </c>
      <c r="G5199">
        <v>2</v>
      </c>
      <c r="H5199" t="s">
        <v>17282</v>
      </c>
      <c r="J5199" t="s">
        <v>4742</v>
      </c>
      <c r="K5199" t="s">
        <v>132</v>
      </c>
      <c r="L5199" t="s">
        <v>33</v>
      </c>
      <c r="M5199" t="s">
        <v>6019</v>
      </c>
      <c r="N5199" t="s">
        <v>17283</v>
      </c>
      <c r="O5199" t="s">
        <v>17284</v>
      </c>
      <c r="P5199" s="2" t="s">
        <v>26</v>
      </c>
      <c r="Q5199" t="s">
        <v>50</v>
      </c>
      <c r="R5199">
        <v>49.69</v>
      </c>
      <c r="S5199">
        <v>50.46</v>
      </c>
      <c r="T5199" t="s">
        <v>17285</v>
      </c>
    </row>
    <row r="5200" spans="1:20" x14ac:dyDescent="0.25">
      <c r="A5200" s="1" t="str">
        <f>HYPERLINK("https://vegkart.atlas.vegvesen.no/#/@304782.7,6671368.8,18/hva:hva%5B0%5D%5Bfilter%5D%5B0%5D%5Boperator%5D=%21%3D&amp;hva%5B0%5D%5Bfilter%5D%5B0%5D%5Btype_id%5D=5897&amp;hva%5B0%5D%5Bfilter%5D%5B0%5D%5Bverdi%5D=&amp;hva%5B0%5D%5Bid%5D=47/når:2011-05-19", "Vegkart")</f>
        <v>Vegkart</v>
      </c>
      <c r="B5200">
        <v>84030990</v>
      </c>
      <c r="C5200">
        <v>47</v>
      </c>
      <c r="D5200" t="s">
        <v>16854</v>
      </c>
      <c r="E5200">
        <v>5897</v>
      </c>
      <c r="F5200" t="s">
        <v>23479</v>
      </c>
      <c r="G5200">
        <v>2</v>
      </c>
      <c r="H5200" t="s">
        <v>17282</v>
      </c>
      <c r="J5200" t="s">
        <v>4742</v>
      </c>
      <c r="K5200" t="s">
        <v>132</v>
      </c>
      <c r="L5200" t="s">
        <v>33</v>
      </c>
      <c r="M5200" t="s">
        <v>6019</v>
      </c>
      <c r="N5200" t="s">
        <v>17286</v>
      </c>
      <c r="O5200" t="s">
        <v>17287</v>
      </c>
      <c r="P5200" s="2" t="s">
        <v>26</v>
      </c>
      <c r="Q5200" t="s">
        <v>50</v>
      </c>
      <c r="R5200">
        <v>54.94</v>
      </c>
      <c r="S5200">
        <v>55.42</v>
      </c>
      <c r="T5200" t="s">
        <v>17288</v>
      </c>
    </row>
    <row r="5201" spans="1:20" x14ac:dyDescent="0.25">
      <c r="A5201" s="1" t="str">
        <f>HYPERLINK("https://vegkart.atlas.vegvesen.no/#/@300913.0,6666361.8,18/hva:hva%5B0%5D%5Bfilter%5D%5B0%5D%5Boperator%5D=%21%3D&amp;hva%5B0%5D%5Bfilter%5D%5B0%5D%5Btype_id%5D=5897&amp;hva%5B0%5D%5Bfilter%5D%5B0%5D%5Bverdi%5D=&amp;hva%5B0%5D%5Bid%5D=47/når:2016-04-14", "Vegkart")</f>
        <v>Vegkart</v>
      </c>
      <c r="B5201">
        <v>84032089</v>
      </c>
      <c r="C5201">
        <v>47</v>
      </c>
      <c r="D5201" t="s">
        <v>16854</v>
      </c>
      <c r="E5201">
        <v>5897</v>
      </c>
      <c r="F5201" t="s">
        <v>23479</v>
      </c>
      <c r="G5201">
        <v>3</v>
      </c>
      <c r="H5201" t="s">
        <v>17289</v>
      </c>
      <c r="J5201" t="s">
        <v>4742</v>
      </c>
      <c r="K5201" t="s">
        <v>132</v>
      </c>
      <c r="L5201" t="s">
        <v>33</v>
      </c>
      <c r="M5201" t="s">
        <v>6019</v>
      </c>
      <c r="N5201" t="s">
        <v>17290</v>
      </c>
      <c r="O5201" t="s">
        <v>17291</v>
      </c>
      <c r="P5201" s="2" t="s">
        <v>26</v>
      </c>
      <c r="Q5201" t="s">
        <v>50</v>
      </c>
      <c r="R5201">
        <v>40.72</v>
      </c>
      <c r="S5201">
        <v>40.909999999999997</v>
      </c>
      <c r="T5201" t="s">
        <v>17292</v>
      </c>
    </row>
    <row r="5202" spans="1:20" x14ac:dyDescent="0.25">
      <c r="A5202" s="1" t="str">
        <f>HYPERLINK("https://vegkart.atlas.vegvesen.no/#/@300875.8,6666305.1,18/hva:hva%5B0%5D%5Bfilter%5D%5B0%5D%5Boperator%5D=%21%3D&amp;hva%5B0%5D%5Bfilter%5D%5B0%5D%5Btype_id%5D=5897&amp;hva%5B0%5D%5Bfilter%5D%5B0%5D%5Bverdi%5D=&amp;hva%5B0%5D%5Bid%5D=47/når:2011-05-18", "Vegkart")</f>
        <v>Vegkart</v>
      </c>
      <c r="B5202">
        <v>84032112</v>
      </c>
      <c r="C5202">
        <v>47</v>
      </c>
      <c r="D5202" t="s">
        <v>16854</v>
      </c>
      <c r="E5202">
        <v>5897</v>
      </c>
      <c r="F5202" t="s">
        <v>23479</v>
      </c>
      <c r="G5202">
        <v>2</v>
      </c>
      <c r="H5202" t="s">
        <v>17219</v>
      </c>
      <c r="J5202" t="s">
        <v>4742</v>
      </c>
      <c r="K5202" t="s">
        <v>132</v>
      </c>
      <c r="L5202" t="s">
        <v>33</v>
      </c>
      <c r="M5202" t="s">
        <v>6019</v>
      </c>
      <c r="N5202" t="s">
        <v>17293</v>
      </c>
      <c r="O5202" t="s">
        <v>17294</v>
      </c>
      <c r="P5202" s="2" t="s">
        <v>26</v>
      </c>
      <c r="Q5202" t="s">
        <v>50</v>
      </c>
      <c r="R5202">
        <v>39.96</v>
      </c>
      <c r="S5202">
        <v>40.409999999999997</v>
      </c>
      <c r="T5202" t="s">
        <v>17295</v>
      </c>
    </row>
    <row r="5203" spans="1:20" x14ac:dyDescent="0.25">
      <c r="A5203" s="1" t="str">
        <f>HYPERLINK("https://vegkart.atlas.vegvesen.no/#/@297270.8,6655231.1,18/hva:hva%5B0%5D%5Bfilter%5D%5B0%5D%5Boperator%5D=%21%3D&amp;hva%5B0%5D%5Bfilter%5D%5B0%5D%5Btype_id%5D=5897&amp;hva%5B0%5D%5Bfilter%5D%5B0%5D%5Bverdi%5D=&amp;hva%5B0%5D%5Bid%5D=47/når:2011-05-18", "Vegkart")</f>
        <v>Vegkart</v>
      </c>
      <c r="B5203">
        <v>84033531</v>
      </c>
      <c r="C5203">
        <v>47</v>
      </c>
      <c r="D5203" t="s">
        <v>16854</v>
      </c>
      <c r="E5203">
        <v>5897</v>
      </c>
      <c r="F5203" t="s">
        <v>23479</v>
      </c>
      <c r="G5203">
        <v>2</v>
      </c>
      <c r="H5203" t="s">
        <v>17219</v>
      </c>
      <c r="J5203" t="s">
        <v>4742</v>
      </c>
      <c r="K5203" t="s">
        <v>132</v>
      </c>
      <c r="L5203" t="s">
        <v>33</v>
      </c>
      <c r="M5203" t="s">
        <v>6019</v>
      </c>
      <c r="N5203" t="s">
        <v>17296</v>
      </c>
      <c r="O5203" t="s">
        <v>17297</v>
      </c>
      <c r="P5203" s="2" t="s">
        <v>26</v>
      </c>
      <c r="Q5203" t="s">
        <v>50</v>
      </c>
      <c r="R5203">
        <v>39.4</v>
      </c>
      <c r="S5203">
        <v>39.69</v>
      </c>
      <c r="T5203" t="s">
        <v>17298</v>
      </c>
    </row>
    <row r="5204" spans="1:20" x14ac:dyDescent="0.25">
      <c r="A5204" s="1" t="str">
        <f>HYPERLINK("https://vegkart.atlas.vegvesen.no/#/@299543.4,6668807.9,18/hva:hva%5B0%5D%5Bfilter%5D%5B0%5D%5Boperator%5D=%21%3D&amp;hva%5B0%5D%5Bfilter%5D%5B0%5D%5Btype_id%5D=5897&amp;hva%5B0%5D%5Bfilter%5D%5B0%5D%5Bverdi%5D=&amp;hva%5B0%5D%5Bid%5D=47/når:2010-08-03", "Vegkart")</f>
        <v>Vegkart</v>
      </c>
      <c r="B5204">
        <v>84039332</v>
      </c>
      <c r="C5204">
        <v>47</v>
      </c>
      <c r="D5204" t="s">
        <v>16854</v>
      </c>
      <c r="E5204">
        <v>5897</v>
      </c>
      <c r="F5204" t="s">
        <v>23479</v>
      </c>
      <c r="G5204">
        <v>2</v>
      </c>
      <c r="H5204" t="s">
        <v>17299</v>
      </c>
      <c r="J5204" t="s">
        <v>4742</v>
      </c>
      <c r="K5204" t="s">
        <v>132</v>
      </c>
      <c r="L5204" t="s">
        <v>33</v>
      </c>
      <c r="M5204" t="s">
        <v>17245</v>
      </c>
      <c r="N5204" t="s">
        <v>17300</v>
      </c>
      <c r="O5204" t="s">
        <v>17301</v>
      </c>
      <c r="P5204" s="2" t="s">
        <v>26</v>
      </c>
      <c r="Q5204" t="s">
        <v>50</v>
      </c>
      <c r="R5204">
        <v>35.090000000000003</v>
      </c>
      <c r="S5204">
        <v>36.11</v>
      </c>
      <c r="T5204" t="s">
        <v>17302</v>
      </c>
    </row>
    <row r="5205" spans="1:20" x14ac:dyDescent="0.25">
      <c r="A5205" s="1" t="str">
        <f>HYPERLINK("https://vegkart.atlas.vegvesen.no/#/@299518.9,6668811.3,18/hva:hva%5B0%5D%5Bfilter%5D%5B0%5D%5Boperator%5D=%21%3D&amp;hva%5B0%5D%5Bfilter%5D%5B0%5D%5Btype_id%5D=5897&amp;hva%5B0%5D%5Bfilter%5D%5B0%5D%5Bverdi%5D=&amp;hva%5B0%5D%5Bid%5D=47/når:2010-08-03", "Vegkart")</f>
        <v>Vegkart</v>
      </c>
      <c r="B5205">
        <v>84039342</v>
      </c>
      <c r="C5205">
        <v>47</v>
      </c>
      <c r="D5205" t="s">
        <v>16854</v>
      </c>
      <c r="E5205">
        <v>5897</v>
      </c>
      <c r="F5205" t="s">
        <v>23479</v>
      </c>
      <c r="G5205">
        <v>2</v>
      </c>
      <c r="H5205" t="s">
        <v>17299</v>
      </c>
      <c r="J5205" t="s">
        <v>4742</v>
      </c>
      <c r="K5205" t="s">
        <v>132</v>
      </c>
      <c r="L5205" t="s">
        <v>33</v>
      </c>
      <c r="M5205" t="s">
        <v>17245</v>
      </c>
      <c r="N5205" t="s">
        <v>17303</v>
      </c>
      <c r="O5205" t="s">
        <v>17304</v>
      </c>
      <c r="P5205" s="2" t="s">
        <v>26</v>
      </c>
      <c r="Q5205" t="s">
        <v>50</v>
      </c>
      <c r="R5205">
        <v>53</v>
      </c>
      <c r="S5205">
        <v>53.47</v>
      </c>
      <c r="T5205" t="s">
        <v>17305</v>
      </c>
    </row>
    <row r="5206" spans="1:20" x14ac:dyDescent="0.25">
      <c r="A5206" s="1" t="str">
        <f>HYPERLINK("https://vegkart.atlas.vegvesen.no/#/@295749.0,6661365.8,18/hva:hva%5B0%5D%5Bfilter%5D%5B0%5D%5Boperator%5D=%21%3D&amp;hva%5B0%5D%5Bfilter%5D%5B0%5D%5Btype_id%5D=5897&amp;hva%5B0%5D%5Bfilter%5D%5B0%5D%5Bverdi%5D=&amp;hva%5B0%5D%5Bid%5D=47/når:2004-10-26", "Vegkart")</f>
        <v>Vegkart</v>
      </c>
      <c r="B5206">
        <v>84040210</v>
      </c>
      <c r="C5206">
        <v>47</v>
      </c>
      <c r="D5206" t="s">
        <v>16854</v>
      </c>
      <c r="E5206">
        <v>5897</v>
      </c>
      <c r="F5206" t="s">
        <v>23479</v>
      </c>
      <c r="G5206">
        <v>2</v>
      </c>
      <c r="H5206" t="s">
        <v>17306</v>
      </c>
      <c r="J5206" t="s">
        <v>4742</v>
      </c>
      <c r="K5206" t="s">
        <v>132</v>
      </c>
      <c r="L5206" t="s">
        <v>33</v>
      </c>
      <c r="M5206" t="s">
        <v>17245</v>
      </c>
      <c r="N5206" t="s">
        <v>17307</v>
      </c>
      <c r="O5206" t="s">
        <v>17308</v>
      </c>
      <c r="P5206" s="2" t="s">
        <v>26</v>
      </c>
      <c r="Q5206" t="s">
        <v>50</v>
      </c>
      <c r="R5206">
        <v>65.319999999999993</v>
      </c>
      <c r="S5206">
        <v>76.88</v>
      </c>
      <c r="T5206" t="s">
        <v>17309</v>
      </c>
    </row>
    <row r="5207" spans="1:20" x14ac:dyDescent="0.25">
      <c r="A5207" s="1" t="str">
        <f>HYPERLINK("https://vegkart.atlas.vegvesen.no/#/@290750.5,6655877.5,18/hva:hva%5B0%5D%5Bfilter%5D%5B0%5D%5Boperator%5D=%21%3D&amp;hva%5B0%5D%5Bfilter%5D%5B0%5D%5Btype_id%5D=5897&amp;hva%5B0%5D%5Bfilter%5D%5B0%5D%5Bverdi%5D=&amp;hva%5B0%5D%5Bid%5D=47/når:2011-05-31", "Vegkart")</f>
        <v>Vegkart</v>
      </c>
      <c r="B5207">
        <v>84040909</v>
      </c>
      <c r="C5207">
        <v>47</v>
      </c>
      <c r="D5207" t="s">
        <v>16854</v>
      </c>
      <c r="E5207">
        <v>5897</v>
      </c>
      <c r="F5207" t="s">
        <v>23479</v>
      </c>
      <c r="G5207">
        <v>4</v>
      </c>
      <c r="H5207" t="s">
        <v>17249</v>
      </c>
      <c r="J5207" t="s">
        <v>4742</v>
      </c>
      <c r="K5207" t="s">
        <v>132</v>
      </c>
      <c r="L5207" t="s">
        <v>33</v>
      </c>
      <c r="M5207" t="s">
        <v>5987</v>
      </c>
      <c r="N5207" t="s">
        <v>17310</v>
      </c>
      <c r="O5207" t="s">
        <v>17311</v>
      </c>
      <c r="P5207" s="2" t="s">
        <v>26</v>
      </c>
      <c r="Q5207" t="s">
        <v>50</v>
      </c>
      <c r="R5207">
        <v>47.56</v>
      </c>
      <c r="S5207">
        <v>48.08</v>
      </c>
      <c r="T5207" t="s">
        <v>17312</v>
      </c>
    </row>
    <row r="5208" spans="1:20" x14ac:dyDescent="0.25">
      <c r="A5208" s="1" t="str">
        <f>HYPERLINK("https://vegkart.atlas.vegvesen.no/#/@290220.1,6655099.8,18/hva:hva%5B0%5D%5Bfilter%5D%5B0%5D%5Boperator%5D=%21%3D&amp;hva%5B0%5D%5Bfilter%5D%5B0%5D%5Btype_id%5D=5897&amp;hva%5B0%5D%5Bfilter%5D%5B0%5D%5Bverdi%5D=&amp;hva%5B0%5D%5Bid%5D=47/når:2016-05-09", "Vegkart")</f>
        <v>Vegkart</v>
      </c>
      <c r="B5208">
        <v>84041276</v>
      </c>
      <c r="C5208">
        <v>47</v>
      </c>
      <c r="D5208" t="s">
        <v>16854</v>
      </c>
      <c r="E5208">
        <v>5897</v>
      </c>
      <c r="F5208" t="s">
        <v>23479</v>
      </c>
      <c r="G5208">
        <v>4</v>
      </c>
      <c r="H5208" t="s">
        <v>17313</v>
      </c>
      <c r="J5208" t="s">
        <v>4742</v>
      </c>
      <c r="K5208" t="s">
        <v>132</v>
      </c>
      <c r="L5208" t="s">
        <v>33</v>
      </c>
      <c r="M5208" t="s">
        <v>5987</v>
      </c>
      <c r="N5208" t="s">
        <v>17314</v>
      </c>
      <c r="O5208" t="s">
        <v>17315</v>
      </c>
      <c r="P5208" s="2" t="s">
        <v>26</v>
      </c>
      <c r="Q5208" t="s">
        <v>50</v>
      </c>
      <c r="R5208">
        <v>39.51</v>
      </c>
      <c r="S5208">
        <v>39.97</v>
      </c>
      <c r="T5208" t="s">
        <v>17316</v>
      </c>
    </row>
    <row r="5209" spans="1:20" x14ac:dyDescent="0.25">
      <c r="A5209" s="1" t="str">
        <f>HYPERLINK("https://vegkart.atlas.vegvesen.no/#/@290010.3,6654918.0,18/hva:hva%5B0%5D%5Bfilter%5D%5B0%5D%5Boperator%5D=%21%3D&amp;hva%5B0%5D%5Bfilter%5D%5B0%5D%5Btype_id%5D=5897&amp;hva%5B0%5D%5Bfilter%5D%5B0%5D%5Bverdi%5D=&amp;hva%5B0%5D%5Bid%5D=47/når:2016-05-09", "Vegkart")</f>
        <v>Vegkart</v>
      </c>
      <c r="B5209">
        <v>84041359</v>
      </c>
      <c r="C5209">
        <v>47</v>
      </c>
      <c r="D5209" t="s">
        <v>16854</v>
      </c>
      <c r="E5209">
        <v>5897</v>
      </c>
      <c r="F5209" t="s">
        <v>23479</v>
      </c>
      <c r="G5209">
        <v>4</v>
      </c>
      <c r="H5209" t="s">
        <v>17313</v>
      </c>
      <c r="J5209" t="s">
        <v>4742</v>
      </c>
      <c r="K5209" t="s">
        <v>132</v>
      </c>
      <c r="L5209" t="s">
        <v>33</v>
      </c>
      <c r="M5209" t="s">
        <v>5987</v>
      </c>
      <c r="N5209" t="s">
        <v>17317</v>
      </c>
      <c r="O5209" t="s">
        <v>17318</v>
      </c>
      <c r="P5209" s="2" t="s">
        <v>26</v>
      </c>
      <c r="Q5209" t="s">
        <v>50</v>
      </c>
      <c r="R5209">
        <v>49.14</v>
      </c>
      <c r="S5209">
        <v>50.08</v>
      </c>
      <c r="T5209" t="s">
        <v>17319</v>
      </c>
    </row>
    <row r="5210" spans="1:20" x14ac:dyDescent="0.25">
      <c r="A5210" s="1" t="str">
        <f>HYPERLINK("https://vegkart.atlas.vegvesen.no/#/@289846.8,6654877.0,18/hva:hva%5B0%5D%5Bfilter%5D%5B0%5D%5Boperator%5D=%21%3D&amp;hva%5B0%5D%5Bfilter%5D%5B0%5D%5Btype_id%5D=5897&amp;hva%5B0%5D%5Bfilter%5D%5B0%5D%5Bverdi%5D=&amp;hva%5B0%5D%5Bid%5D=47/når:2011-05-31", "Vegkart")</f>
        <v>Vegkart</v>
      </c>
      <c r="B5210">
        <v>84041427</v>
      </c>
      <c r="C5210">
        <v>47</v>
      </c>
      <c r="D5210" t="s">
        <v>16854</v>
      </c>
      <c r="E5210">
        <v>5897</v>
      </c>
      <c r="F5210" t="s">
        <v>23479</v>
      </c>
      <c r="G5210">
        <v>2</v>
      </c>
      <c r="H5210" t="s">
        <v>17249</v>
      </c>
      <c r="J5210" t="s">
        <v>4742</v>
      </c>
      <c r="K5210" t="s">
        <v>132</v>
      </c>
      <c r="L5210" t="s">
        <v>33</v>
      </c>
      <c r="M5210" t="s">
        <v>5987</v>
      </c>
      <c r="N5210" t="s">
        <v>17320</v>
      </c>
      <c r="O5210" t="s">
        <v>17321</v>
      </c>
      <c r="P5210" s="2" t="s">
        <v>26</v>
      </c>
      <c r="Q5210" t="s">
        <v>50</v>
      </c>
      <c r="R5210">
        <v>47.96</v>
      </c>
      <c r="S5210">
        <v>48.27</v>
      </c>
      <c r="T5210" t="s">
        <v>17322</v>
      </c>
    </row>
    <row r="5211" spans="1:20" x14ac:dyDescent="0.25">
      <c r="A5211" s="1" t="str">
        <f>HYPERLINK("https://vegkart.atlas.vegvesen.no/#/@286812.6,6649896.5,18/hva:hva%5B0%5D%5Bfilter%5D%5B0%5D%5Boperator%5D=%21%3D&amp;hva%5B0%5D%5Bfilter%5D%5B0%5D%5Btype_id%5D=5897&amp;hva%5B0%5D%5Bfilter%5D%5B0%5D%5Bverdi%5D=&amp;hva%5B0%5D%5Bid%5D=47/når:2010-05-05", "Vegkart")</f>
        <v>Vegkart</v>
      </c>
      <c r="B5211">
        <v>84042204</v>
      </c>
      <c r="C5211">
        <v>47</v>
      </c>
      <c r="D5211" t="s">
        <v>16854</v>
      </c>
      <c r="E5211">
        <v>5897</v>
      </c>
      <c r="F5211" t="s">
        <v>23479</v>
      </c>
      <c r="G5211">
        <v>2</v>
      </c>
      <c r="H5211" t="s">
        <v>17323</v>
      </c>
      <c r="J5211" t="s">
        <v>4742</v>
      </c>
      <c r="K5211" t="s">
        <v>132</v>
      </c>
      <c r="L5211" t="s">
        <v>33</v>
      </c>
      <c r="M5211" t="s">
        <v>5987</v>
      </c>
      <c r="N5211" t="s">
        <v>17324</v>
      </c>
      <c r="O5211" t="s">
        <v>17325</v>
      </c>
      <c r="P5211" s="2" t="s">
        <v>26</v>
      </c>
      <c r="Q5211" t="s">
        <v>50</v>
      </c>
      <c r="R5211">
        <v>55.08</v>
      </c>
      <c r="S5211">
        <v>57.19</v>
      </c>
      <c r="T5211" t="s">
        <v>17326</v>
      </c>
    </row>
    <row r="5212" spans="1:20" x14ac:dyDescent="0.25">
      <c r="A5212" s="1" t="str">
        <f>HYPERLINK("https://vegkart.atlas.vegvesen.no/#/@300044.6,6650678.2,18/hva:hva%5B0%5D%5Bfilter%5D%5B0%5D%5Boperator%5D=%21%3D&amp;hva%5B0%5D%5Bfilter%5D%5B0%5D%5Btype_id%5D=5897&amp;hva%5B0%5D%5Bfilter%5D%5B0%5D%5Bverdi%5D=&amp;hva%5B0%5D%5Bid%5D=47/når:2016-05-03", "Vegkart")</f>
        <v>Vegkart</v>
      </c>
      <c r="B5212">
        <v>84042743</v>
      </c>
      <c r="C5212">
        <v>47</v>
      </c>
      <c r="D5212" t="s">
        <v>16854</v>
      </c>
      <c r="E5212">
        <v>5897</v>
      </c>
      <c r="F5212" t="s">
        <v>23479</v>
      </c>
      <c r="G5212">
        <v>3</v>
      </c>
      <c r="H5212" t="s">
        <v>17327</v>
      </c>
      <c r="J5212" t="s">
        <v>4742</v>
      </c>
      <c r="K5212" t="s">
        <v>132</v>
      </c>
      <c r="L5212" t="s">
        <v>33</v>
      </c>
      <c r="M5212" t="s">
        <v>6681</v>
      </c>
      <c r="N5212" t="s">
        <v>17328</v>
      </c>
      <c r="O5212" t="s">
        <v>17329</v>
      </c>
      <c r="P5212" s="2" t="s">
        <v>26</v>
      </c>
      <c r="Q5212" t="s">
        <v>50</v>
      </c>
      <c r="R5212">
        <v>51.99</v>
      </c>
      <c r="S5212">
        <v>52.61</v>
      </c>
      <c r="T5212" t="s">
        <v>17330</v>
      </c>
    </row>
    <row r="5213" spans="1:20" x14ac:dyDescent="0.25">
      <c r="A5213" s="1" t="str">
        <f>HYPERLINK("https://vegkart.atlas.vegvesen.no/#/@298401.1,6651413.7,18/hva:hva%5B0%5D%5Bfilter%5D%5B0%5D%5Boperator%5D=%21%3D&amp;hva%5B0%5D%5Bfilter%5D%5B0%5D%5Btype_id%5D=5897&amp;hva%5B0%5D%5Bfilter%5D%5B0%5D%5Bverdi%5D=&amp;hva%5B0%5D%5Bid%5D=47/når:2016-05-03", "Vegkart")</f>
        <v>Vegkart</v>
      </c>
      <c r="B5213">
        <v>84042948</v>
      </c>
      <c r="C5213">
        <v>47</v>
      </c>
      <c r="D5213" t="s">
        <v>16854</v>
      </c>
      <c r="E5213">
        <v>5897</v>
      </c>
      <c r="F5213" t="s">
        <v>23479</v>
      </c>
      <c r="G5213">
        <v>3</v>
      </c>
      <c r="H5213" t="s">
        <v>17327</v>
      </c>
      <c r="J5213" t="s">
        <v>4742</v>
      </c>
      <c r="K5213" t="s">
        <v>132</v>
      </c>
      <c r="L5213" t="s">
        <v>33</v>
      </c>
      <c r="M5213" t="s">
        <v>6681</v>
      </c>
      <c r="N5213" t="s">
        <v>17331</v>
      </c>
      <c r="O5213" t="s">
        <v>17332</v>
      </c>
      <c r="P5213" s="2" t="s">
        <v>26</v>
      </c>
      <c r="Q5213" t="s">
        <v>50</v>
      </c>
      <c r="R5213">
        <v>50.26</v>
      </c>
      <c r="S5213">
        <v>50.74</v>
      </c>
      <c r="T5213" t="s">
        <v>17333</v>
      </c>
    </row>
    <row r="5214" spans="1:20" x14ac:dyDescent="0.25">
      <c r="A5214" s="1" t="str">
        <f>HYPERLINK("https://vegkart.atlas.vegvesen.no/#/@291811.7,6655372.2,18/hva:hva%5B0%5D%5Bfilter%5D%5B0%5D%5Boperator%5D=%21%3D&amp;hva%5B0%5D%5Bfilter%5D%5B0%5D%5Btype_id%5D=5897&amp;hva%5B0%5D%5Bfilter%5D%5B0%5D%5Bverdi%5D=&amp;hva%5B0%5D%5Bid%5D=47/når:2016-05-03", "Vegkart")</f>
        <v>Vegkart</v>
      </c>
      <c r="B5214">
        <v>84044082</v>
      </c>
      <c r="C5214">
        <v>47</v>
      </c>
      <c r="D5214" t="s">
        <v>16854</v>
      </c>
      <c r="E5214">
        <v>5897</v>
      </c>
      <c r="F5214" t="s">
        <v>23479</v>
      </c>
      <c r="G5214">
        <v>3</v>
      </c>
      <c r="H5214" t="s">
        <v>17327</v>
      </c>
      <c r="J5214" t="s">
        <v>4742</v>
      </c>
      <c r="K5214" t="s">
        <v>132</v>
      </c>
      <c r="L5214" t="s">
        <v>33</v>
      </c>
      <c r="M5214" t="s">
        <v>6681</v>
      </c>
      <c r="N5214" t="s">
        <v>17334</v>
      </c>
      <c r="O5214" t="s">
        <v>17335</v>
      </c>
      <c r="P5214" s="2" t="s">
        <v>26</v>
      </c>
      <c r="Q5214" t="s">
        <v>50</v>
      </c>
      <c r="R5214">
        <v>47.82</v>
      </c>
      <c r="S5214">
        <v>48.21</v>
      </c>
      <c r="T5214" t="s">
        <v>17336</v>
      </c>
    </row>
    <row r="5215" spans="1:20" x14ac:dyDescent="0.25">
      <c r="A5215" s="1" t="str">
        <f>HYPERLINK("https://vegkart.atlas.vegvesen.no/#/@291605.8,6658075.5,18/hva:hva%5B0%5D%5Bfilter%5D%5B0%5D%5Boperator%5D=%21%3D&amp;hva%5B0%5D%5Bfilter%5D%5B0%5D%5Btype_id%5D=5897&amp;hva%5B0%5D%5Bfilter%5D%5B0%5D%5Bverdi%5D=&amp;hva%5B0%5D%5Bid%5D=47/når:2016-05-03", "Vegkart")</f>
        <v>Vegkart</v>
      </c>
      <c r="B5215">
        <v>84044863</v>
      </c>
      <c r="C5215">
        <v>47</v>
      </c>
      <c r="D5215" t="s">
        <v>16854</v>
      </c>
      <c r="E5215">
        <v>5897</v>
      </c>
      <c r="F5215" t="s">
        <v>23479</v>
      </c>
      <c r="G5215">
        <v>3</v>
      </c>
      <c r="H5215" t="s">
        <v>17327</v>
      </c>
      <c r="J5215" t="s">
        <v>4742</v>
      </c>
      <c r="K5215" t="s">
        <v>132</v>
      </c>
      <c r="L5215" t="s">
        <v>33</v>
      </c>
      <c r="M5215" t="s">
        <v>6681</v>
      </c>
      <c r="N5215" t="s">
        <v>17337</v>
      </c>
      <c r="O5215" t="s">
        <v>17338</v>
      </c>
      <c r="P5215" s="2" t="s">
        <v>26</v>
      </c>
      <c r="Q5215" t="s">
        <v>50</v>
      </c>
      <c r="R5215">
        <v>45.05</v>
      </c>
      <c r="S5215">
        <v>45.32</v>
      </c>
      <c r="T5215" t="s">
        <v>17339</v>
      </c>
    </row>
    <row r="5216" spans="1:20" x14ac:dyDescent="0.25">
      <c r="A5216" s="1" t="str">
        <f>HYPERLINK("https://vegkart.atlas.vegvesen.no/#/@315692.1,6638964.2,18/hva:hva%5B0%5D%5Bfilter%5D%5B0%5D%5Boperator%5D=%21%3D&amp;hva%5B0%5D%5Bfilter%5D%5B0%5D%5Btype_id%5D=5897&amp;hva%5B0%5D%5Bfilter%5D%5B0%5D%5Bverdi%5D=&amp;hva%5B0%5D%5Bid%5D=47/når:2011-06-02", "Vegkart")</f>
        <v>Vegkart</v>
      </c>
      <c r="B5216">
        <v>84046980</v>
      </c>
      <c r="C5216">
        <v>47</v>
      </c>
      <c r="D5216" t="s">
        <v>16854</v>
      </c>
      <c r="E5216">
        <v>5897</v>
      </c>
      <c r="F5216" t="s">
        <v>23479</v>
      </c>
      <c r="G5216">
        <v>2</v>
      </c>
      <c r="H5216" t="s">
        <v>17340</v>
      </c>
      <c r="J5216" t="s">
        <v>4742</v>
      </c>
      <c r="K5216" t="s">
        <v>132</v>
      </c>
      <c r="L5216" t="s">
        <v>33</v>
      </c>
      <c r="M5216" t="s">
        <v>2097</v>
      </c>
      <c r="N5216" t="s">
        <v>17341</v>
      </c>
      <c r="O5216" t="s">
        <v>17342</v>
      </c>
      <c r="P5216" s="2" t="s">
        <v>26</v>
      </c>
      <c r="Q5216" t="s">
        <v>50</v>
      </c>
      <c r="R5216">
        <v>49.31</v>
      </c>
      <c r="S5216">
        <v>49.67</v>
      </c>
      <c r="T5216" t="s">
        <v>17343</v>
      </c>
    </row>
    <row r="5217" spans="1:20" x14ac:dyDescent="0.25">
      <c r="A5217" s="1" t="str">
        <f>HYPERLINK("https://vegkart.atlas.vegvesen.no/#/@315636.6,6639005.0,18/hva:hva%5B0%5D%5Bfilter%5D%5B0%5D%5Boperator%5D=%21%3D&amp;hva%5B0%5D%5Bfilter%5D%5B0%5D%5Btype_id%5D=5897&amp;hva%5B0%5D%5Bfilter%5D%5B0%5D%5Bverdi%5D=&amp;hva%5B0%5D%5Bid%5D=47/når:2011-06-02", "Vegkart")</f>
        <v>Vegkart</v>
      </c>
      <c r="B5217">
        <v>84046985</v>
      </c>
      <c r="C5217">
        <v>47</v>
      </c>
      <c r="D5217" t="s">
        <v>16854</v>
      </c>
      <c r="E5217">
        <v>5897</v>
      </c>
      <c r="F5217" t="s">
        <v>23479</v>
      </c>
      <c r="G5217">
        <v>2</v>
      </c>
      <c r="H5217" t="s">
        <v>17340</v>
      </c>
      <c r="J5217" t="s">
        <v>4742</v>
      </c>
      <c r="K5217" t="s">
        <v>132</v>
      </c>
      <c r="L5217" t="s">
        <v>33</v>
      </c>
      <c r="M5217" t="s">
        <v>2097</v>
      </c>
      <c r="N5217" t="s">
        <v>17344</v>
      </c>
      <c r="O5217" t="s">
        <v>17345</v>
      </c>
      <c r="P5217" s="2" t="s">
        <v>26</v>
      </c>
      <c r="Q5217" t="s">
        <v>50</v>
      </c>
      <c r="R5217">
        <v>48.49</v>
      </c>
      <c r="S5217">
        <v>48.92</v>
      </c>
      <c r="T5217" t="s">
        <v>17346</v>
      </c>
    </row>
    <row r="5218" spans="1:20" x14ac:dyDescent="0.25">
      <c r="A5218" s="1" t="str">
        <f>HYPERLINK("https://vegkart.atlas.vegvesen.no/#/@310919.4,6642346.6,18/hva:hva%5B0%5D%5Bfilter%5D%5B0%5D%5Boperator%5D=%21%3D&amp;hva%5B0%5D%5Bfilter%5D%5B0%5D%5Btype_id%5D=5897&amp;hva%5B0%5D%5Bfilter%5D%5B0%5D%5Bverdi%5D=&amp;hva%5B0%5D%5Bid%5D=47/når:2011-06-02", "Vegkart")</f>
        <v>Vegkart</v>
      </c>
      <c r="B5218">
        <v>84047383</v>
      </c>
      <c r="C5218">
        <v>47</v>
      </c>
      <c r="D5218" t="s">
        <v>16854</v>
      </c>
      <c r="E5218">
        <v>5897</v>
      </c>
      <c r="F5218" t="s">
        <v>23479</v>
      </c>
      <c r="G5218">
        <v>2</v>
      </c>
      <c r="H5218" t="s">
        <v>17340</v>
      </c>
      <c r="J5218" t="s">
        <v>4742</v>
      </c>
      <c r="K5218" t="s">
        <v>132</v>
      </c>
      <c r="L5218" t="s">
        <v>33</v>
      </c>
      <c r="M5218" t="s">
        <v>2097</v>
      </c>
      <c r="N5218" t="s">
        <v>17347</v>
      </c>
      <c r="O5218" t="s">
        <v>17348</v>
      </c>
      <c r="P5218" s="2" t="s">
        <v>26</v>
      </c>
      <c r="Q5218" t="s">
        <v>50</v>
      </c>
      <c r="R5218">
        <v>50.9</v>
      </c>
      <c r="S5218">
        <v>53.58</v>
      </c>
      <c r="T5218" t="s">
        <v>17349</v>
      </c>
    </row>
    <row r="5219" spans="1:20" x14ac:dyDescent="0.25">
      <c r="A5219" s="1" t="str">
        <f>HYPERLINK("https://vegkart.atlas.vegvesen.no/#/@306474.5,6647257.7,18/hva:hva%5B0%5D%5Bfilter%5D%5B0%5D%5Boperator%5D=%21%3D&amp;hva%5B0%5D%5Bfilter%5D%5B0%5D%5Btype_id%5D=5897&amp;hva%5B0%5D%5Bfilter%5D%5B0%5D%5Bverdi%5D=&amp;hva%5B0%5D%5Bid%5D=47/når:2011-06-01", "Vegkart")</f>
        <v>Vegkart</v>
      </c>
      <c r="B5219">
        <v>84048257</v>
      </c>
      <c r="C5219">
        <v>47</v>
      </c>
      <c r="D5219" t="s">
        <v>16854</v>
      </c>
      <c r="E5219">
        <v>5897</v>
      </c>
      <c r="F5219" t="s">
        <v>23479</v>
      </c>
      <c r="G5219">
        <v>2</v>
      </c>
      <c r="H5219" t="s">
        <v>17233</v>
      </c>
      <c r="J5219" t="s">
        <v>4742</v>
      </c>
      <c r="K5219" t="s">
        <v>132</v>
      </c>
      <c r="L5219" t="s">
        <v>33</v>
      </c>
      <c r="M5219" t="s">
        <v>2097</v>
      </c>
      <c r="N5219" t="s">
        <v>17350</v>
      </c>
      <c r="O5219" t="s">
        <v>17351</v>
      </c>
      <c r="P5219" s="2" t="s">
        <v>26</v>
      </c>
      <c r="Q5219" t="s">
        <v>50</v>
      </c>
      <c r="R5219">
        <v>41.39</v>
      </c>
      <c r="S5219">
        <v>41.95</v>
      </c>
      <c r="T5219" t="s">
        <v>17352</v>
      </c>
    </row>
    <row r="5220" spans="1:20" x14ac:dyDescent="0.25">
      <c r="A5220" s="1" t="str">
        <f>HYPERLINK("https://vegkart.atlas.vegvesen.no/#/@306082.8,6647467.8,18/hva:hva%5B0%5D%5Bfilter%5D%5B0%5D%5Boperator%5D=%21%3D&amp;hva%5B0%5D%5Bfilter%5D%5B0%5D%5Btype_id%5D=5897&amp;hva%5B0%5D%5Bfilter%5D%5B0%5D%5Bverdi%5D=&amp;hva%5B0%5D%5Bid%5D=47/når:2011-06-01", "Vegkart")</f>
        <v>Vegkart</v>
      </c>
      <c r="B5220">
        <v>84048399</v>
      </c>
      <c r="C5220">
        <v>47</v>
      </c>
      <c r="D5220" t="s">
        <v>16854</v>
      </c>
      <c r="E5220">
        <v>5897</v>
      </c>
      <c r="F5220" t="s">
        <v>23479</v>
      </c>
      <c r="G5220">
        <v>3</v>
      </c>
      <c r="H5220" t="s">
        <v>17233</v>
      </c>
      <c r="J5220" t="s">
        <v>4742</v>
      </c>
      <c r="K5220" t="s">
        <v>132</v>
      </c>
      <c r="L5220" t="s">
        <v>33</v>
      </c>
      <c r="M5220" t="s">
        <v>2097</v>
      </c>
      <c r="N5220" t="s">
        <v>17353</v>
      </c>
      <c r="O5220" t="s">
        <v>17354</v>
      </c>
      <c r="P5220" s="2" t="s">
        <v>26</v>
      </c>
      <c r="Q5220" t="s">
        <v>50</v>
      </c>
      <c r="R5220">
        <v>44.07</v>
      </c>
      <c r="S5220">
        <v>45.2</v>
      </c>
      <c r="T5220" t="s">
        <v>17355</v>
      </c>
    </row>
    <row r="5221" spans="1:20" x14ac:dyDescent="0.25">
      <c r="A5221" s="1" t="str">
        <f>HYPERLINK("https://vegkart.atlas.vegvesen.no/#/@305425.8,6647440.2,18/hva:hva%5B0%5D%5Bfilter%5D%5B0%5D%5Boperator%5D=%21%3D&amp;hva%5B0%5D%5Bfilter%5D%5B0%5D%5Btype_id%5D=5897&amp;hva%5B0%5D%5Bfilter%5D%5B0%5D%5Bverdi%5D=&amp;hva%5B0%5D%5Bid%5D=47/når:2011-06-01", "Vegkart")</f>
        <v>Vegkart</v>
      </c>
      <c r="B5221">
        <v>84048498</v>
      </c>
      <c r="C5221">
        <v>47</v>
      </c>
      <c r="D5221" t="s">
        <v>16854</v>
      </c>
      <c r="E5221">
        <v>5897</v>
      </c>
      <c r="F5221" t="s">
        <v>23479</v>
      </c>
      <c r="G5221">
        <v>3</v>
      </c>
      <c r="H5221" t="s">
        <v>17233</v>
      </c>
      <c r="J5221" t="s">
        <v>4742</v>
      </c>
      <c r="K5221" t="s">
        <v>132</v>
      </c>
      <c r="L5221" t="s">
        <v>33</v>
      </c>
      <c r="M5221" t="s">
        <v>2097</v>
      </c>
      <c r="N5221" t="s">
        <v>17356</v>
      </c>
      <c r="O5221" t="s">
        <v>17357</v>
      </c>
      <c r="P5221" s="2" t="s">
        <v>26</v>
      </c>
      <c r="Q5221" t="s">
        <v>50</v>
      </c>
      <c r="R5221">
        <v>51.74</v>
      </c>
      <c r="S5221">
        <v>52.17</v>
      </c>
      <c r="T5221" t="s">
        <v>17358</v>
      </c>
    </row>
    <row r="5222" spans="1:20" x14ac:dyDescent="0.25">
      <c r="A5222" s="1" t="str">
        <f>HYPERLINK("https://vegkart.atlas.vegvesen.no/#/@304627.5,6647419.6,18/hva:hva%5B0%5D%5Bfilter%5D%5B0%5D%5Boperator%5D=%21%3D&amp;hva%5B0%5D%5Bfilter%5D%5B0%5D%5Btype_id%5D=5897&amp;hva%5B0%5D%5Bfilter%5D%5B0%5D%5Bverdi%5D=&amp;hva%5B0%5D%5Bid%5D=47/når:2011-06-01", "Vegkart")</f>
        <v>Vegkart</v>
      </c>
      <c r="B5222">
        <v>84048618</v>
      </c>
      <c r="C5222">
        <v>47</v>
      </c>
      <c r="D5222" t="s">
        <v>16854</v>
      </c>
      <c r="E5222">
        <v>5897</v>
      </c>
      <c r="F5222" t="s">
        <v>23479</v>
      </c>
      <c r="G5222">
        <v>3</v>
      </c>
      <c r="H5222" t="s">
        <v>17233</v>
      </c>
      <c r="J5222" t="s">
        <v>4742</v>
      </c>
      <c r="K5222" t="s">
        <v>132</v>
      </c>
      <c r="L5222" t="s">
        <v>33</v>
      </c>
      <c r="M5222" t="s">
        <v>2097</v>
      </c>
      <c r="N5222" t="s">
        <v>17359</v>
      </c>
      <c r="O5222" t="s">
        <v>17360</v>
      </c>
      <c r="P5222" s="2" t="s">
        <v>26</v>
      </c>
      <c r="Q5222" t="s">
        <v>50</v>
      </c>
      <c r="R5222">
        <v>54.69</v>
      </c>
      <c r="S5222">
        <v>55.87</v>
      </c>
      <c r="T5222" t="s">
        <v>17361</v>
      </c>
    </row>
    <row r="5223" spans="1:20" x14ac:dyDescent="0.25">
      <c r="A5223" s="1" t="str">
        <f>HYPERLINK("https://vegkart.atlas.vegvesen.no/#/@298951.3,6650370.9,18/hva:hva%5B0%5D%5Bfilter%5D%5B0%5D%5Boperator%5D=%21%3D&amp;hva%5B0%5D%5Bfilter%5D%5B0%5D%5Btype_id%5D=5897&amp;hva%5B0%5D%5Bfilter%5D%5B0%5D%5Bverdi%5D=&amp;hva%5B0%5D%5Bid%5D=47/når:2011-06-01", "Vegkart")</f>
        <v>Vegkart</v>
      </c>
      <c r="B5223">
        <v>84049180</v>
      </c>
      <c r="C5223">
        <v>47</v>
      </c>
      <c r="D5223" t="s">
        <v>16854</v>
      </c>
      <c r="E5223">
        <v>5897</v>
      </c>
      <c r="F5223" t="s">
        <v>23479</v>
      </c>
      <c r="G5223">
        <v>2</v>
      </c>
      <c r="H5223" t="s">
        <v>17233</v>
      </c>
      <c r="J5223" t="s">
        <v>4742</v>
      </c>
      <c r="K5223" t="s">
        <v>132</v>
      </c>
      <c r="L5223" t="s">
        <v>33</v>
      </c>
      <c r="M5223" t="s">
        <v>2097</v>
      </c>
      <c r="N5223" t="s">
        <v>17362</v>
      </c>
      <c r="O5223" t="s">
        <v>17363</v>
      </c>
      <c r="P5223" s="2" t="s">
        <v>26</v>
      </c>
      <c r="Q5223" t="s">
        <v>50</v>
      </c>
      <c r="R5223">
        <v>48.43</v>
      </c>
      <c r="S5223">
        <v>49.34</v>
      </c>
      <c r="T5223" t="s">
        <v>17364</v>
      </c>
    </row>
    <row r="5224" spans="1:20" x14ac:dyDescent="0.25">
      <c r="A5224" s="1" t="str">
        <f>HYPERLINK("https://vegkart.atlas.vegvesen.no/#/@297342.3,6650913.5,18/hva:hva%5B0%5D%5Bfilter%5D%5B0%5D%5Boperator%5D=%21%3D&amp;hva%5B0%5D%5Bfilter%5D%5B0%5D%5Btype_id%5D=5897&amp;hva%5B0%5D%5Bfilter%5D%5B0%5D%5Bverdi%5D=&amp;hva%5B0%5D%5Bid%5D=47/når:2011-06-01", "Vegkart")</f>
        <v>Vegkart</v>
      </c>
      <c r="B5224">
        <v>84049271</v>
      </c>
      <c r="C5224">
        <v>47</v>
      </c>
      <c r="D5224" t="s">
        <v>16854</v>
      </c>
      <c r="E5224">
        <v>5897</v>
      </c>
      <c r="F5224" t="s">
        <v>23479</v>
      </c>
      <c r="G5224">
        <v>2</v>
      </c>
      <c r="H5224" t="s">
        <v>17233</v>
      </c>
      <c r="J5224" t="s">
        <v>4742</v>
      </c>
      <c r="K5224" t="s">
        <v>132</v>
      </c>
      <c r="L5224" t="s">
        <v>33</v>
      </c>
      <c r="M5224" t="s">
        <v>2097</v>
      </c>
      <c r="N5224" t="s">
        <v>17365</v>
      </c>
      <c r="O5224" t="s">
        <v>17366</v>
      </c>
      <c r="P5224" s="2" t="s">
        <v>26</v>
      </c>
      <c r="Q5224" t="s">
        <v>50</v>
      </c>
      <c r="R5224">
        <v>76.38</v>
      </c>
      <c r="S5224">
        <v>76.73</v>
      </c>
      <c r="T5224" t="s">
        <v>17367</v>
      </c>
    </row>
    <row r="5225" spans="1:20" x14ac:dyDescent="0.25">
      <c r="A5225" s="1" t="str">
        <f>HYPERLINK("https://vegkart.atlas.vegvesen.no/#/@297269.2,6650970.2,18/hva:hva%5B0%5D%5Bfilter%5D%5B0%5D%5Boperator%5D=%21%3D&amp;hva%5B0%5D%5Bfilter%5D%5B0%5D%5Btype_id%5D=5897&amp;hva%5B0%5D%5Bfilter%5D%5B0%5D%5Bverdi%5D=&amp;hva%5B0%5D%5Bid%5D=47/når:2011-06-01", "Vegkart")</f>
        <v>Vegkart</v>
      </c>
      <c r="B5225">
        <v>84049308</v>
      </c>
      <c r="C5225">
        <v>47</v>
      </c>
      <c r="D5225" t="s">
        <v>16854</v>
      </c>
      <c r="E5225">
        <v>5897</v>
      </c>
      <c r="F5225" t="s">
        <v>23479</v>
      </c>
      <c r="G5225">
        <v>2</v>
      </c>
      <c r="H5225" t="s">
        <v>17233</v>
      </c>
      <c r="J5225" t="s">
        <v>4742</v>
      </c>
      <c r="K5225" t="s">
        <v>132</v>
      </c>
      <c r="L5225" t="s">
        <v>33</v>
      </c>
      <c r="M5225" t="s">
        <v>2097</v>
      </c>
      <c r="N5225" t="s">
        <v>17368</v>
      </c>
      <c r="O5225" t="s">
        <v>17369</v>
      </c>
      <c r="P5225" s="2" t="s">
        <v>26</v>
      </c>
      <c r="Q5225" t="s">
        <v>50</v>
      </c>
      <c r="R5225">
        <v>56.13</v>
      </c>
      <c r="S5225">
        <v>56.23</v>
      </c>
      <c r="T5225" t="s">
        <v>17370</v>
      </c>
    </row>
    <row r="5226" spans="1:20" x14ac:dyDescent="0.25">
      <c r="A5226" s="1" t="str">
        <f>HYPERLINK("https://vegkart.atlas.vegvesen.no/#/@293993.7,6651581.3,18/hva:hva%5B0%5D%5Bfilter%5D%5B0%5D%5Boperator%5D=%21%3D&amp;hva%5B0%5D%5Bfilter%5D%5B0%5D%5Btype_id%5D=5897&amp;hva%5B0%5D%5Bfilter%5D%5B0%5D%5Bverdi%5D=&amp;hva%5B0%5D%5Bid%5D=47/når:2011-06-01", "Vegkart")</f>
        <v>Vegkart</v>
      </c>
      <c r="B5226">
        <v>84049582</v>
      </c>
      <c r="C5226">
        <v>47</v>
      </c>
      <c r="D5226" t="s">
        <v>16854</v>
      </c>
      <c r="E5226">
        <v>5897</v>
      </c>
      <c r="F5226" t="s">
        <v>23479</v>
      </c>
      <c r="G5226">
        <v>3</v>
      </c>
      <c r="H5226" t="s">
        <v>17233</v>
      </c>
      <c r="J5226" t="s">
        <v>4742</v>
      </c>
      <c r="K5226" t="s">
        <v>132</v>
      </c>
      <c r="L5226" t="s">
        <v>33</v>
      </c>
      <c r="M5226" t="s">
        <v>2097</v>
      </c>
      <c r="N5226" t="s">
        <v>17371</v>
      </c>
      <c r="O5226" t="s">
        <v>17372</v>
      </c>
      <c r="P5226" s="2" t="s">
        <v>26</v>
      </c>
      <c r="Q5226" t="s">
        <v>50</v>
      </c>
      <c r="R5226">
        <v>68.599999999999994</v>
      </c>
      <c r="S5226">
        <v>69.040000000000006</v>
      </c>
      <c r="T5226" t="s">
        <v>17373</v>
      </c>
    </row>
    <row r="5227" spans="1:20" x14ac:dyDescent="0.25">
      <c r="A5227" s="1" t="str">
        <f>HYPERLINK("https://vegkart.atlas.vegvesen.no/#/@288744.5,6649049.2,18/hva:hva%5B0%5D%5Bfilter%5D%5B0%5D%5Boperator%5D=%21%3D&amp;hva%5B0%5D%5Bfilter%5D%5B0%5D%5Btype_id%5D=5897&amp;hva%5B0%5D%5Bfilter%5D%5B0%5D%5Bverdi%5D=&amp;hva%5B0%5D%5Bid%5D=47/når:2016-04-21", "Vegkart")</f>
        <v>Vegkart</v>
      </c>
      <c r="B5227">
        <v>84049867</v>
      </c>
      <c r="C5227">
        <v>47</v>
      </c>
      <c r="D5227" t="s">
        <v>16854</v>
      </c>
      <c r="E5227">
        <v>5897</v>
      </c>
      <c r="F5227" t="s">
        <v>23479</v>
      </c>
      <c r="G5227">
        <v>4</v>
      </c>
      <c r="H5227" t="s">
        <v>17374</v>
      </c>
      <c r="J5227" t="s">
        <v>4742</v>
      </c>
      <c r="K5227" t="s">
        <v>132</v>
      </c>
      <c r="L5227" t="s">
        <v>33</v>
      </c>
      <c r="M5227" t="s">
        <v>2097</v>
      </c>
      <c r="N5227" t="s">
        <v>17375</v>
      </c>
      <c r="O5227" t="s">
        <v>17376</v>
      </c>
      <c r="P5227" s="2" t="s">
        <v>26</v>
      </c>
      <c r="Q5227" t="s">
        <v>50</v>
      </c>
      <c r="R5227">
        <v>52.6</v>
      </c>
      <c r="S5227">
        <v>53.36</v>
      </c>
      <c r="T5227" t="s">
        <v>17377</v>
      </c>
    </row>
    <row r="5228" spans="1:20" x14ac:dyDescent="0.25">
      <c r="A5228" s="1" t="str">
        <f>HYPERLINK("https://vegkart.atlas.vegvesen.no/#/@294189.6,6641641.0,18/hva:hva%5B0%5D%5Bfilter%5D%5B0%5D%5Boperator%5D=%21%3D&amp;hva%5B0%5D%5Bfilter%5D%5B0%5D%5Btype_id%5D=5897&amp;hva%5B0%5D%5Bfilter%5D%5B0%5D%5Bverdi%5D=&amp;hva%5B0%5D%5Bid%5D=47/når:2011-06-07", "Vegkart")</f>
        <v>Vegkart</v>
      </c>
      <c r="B5228">
        <v>84051478</v>
      </c>
      <c r="C5228">
        <v>47</v>
      </c>
      <c r="D5228" t="s">
        <v>16854</v>
      </c>
      <c r="E5228">
        <v>5897</v>
      </c>
      <c r="F5228" t="s">
        <v>23479</v>
      </c>
      <c r="G5228">
        <v>3</v>
      </c>
      <c r="H5228" t="s">
        <v>17378</v>
      </c>
      <c r="J5228" t="s">
        <v>4742</v>
      </c>
      <c r="K5228" t="s">
        <v>132</v>
      </c>
      <c r="L5228" t="s">
        <v>33</v>
      </c>
      <c r="M5228" t="s">
        <v>1708</v>
      </c>
      <c r="N5228" t="s">
        <v>17379</v>
      </c>
      <c r="O5228" t="s">
        <v>17380</v>
      </c>
      <c r="P5228" s="2" t="s">
        <v>26</v>
      </c>
      <c r="Q5228" t="s">
        <v>50</v>
      </c>
      <c r="R5228">
        <v>109.41</v>
      </c>
      <c r="S5228">
        <v>113.94</v>
      </c>
      <c r="T5228" t="s">
        <v>17381</v>
      </c>
    </row>
    <row r="5229" spans="1:20" x14ac:dyDescent="0.25">
      <c r="A5229" s="1" t="str">
        <f>HYPERLINK("https://vegkart.atlas.vegvesen.no/#/@306330.8,6618476.5,18/hva:hva%5B0%5D%5Bfilter%5D%5B0%5D%5Boperator%5D=%21%3D&amp;hva%5B0%5D%5Bfilter%5D%5B0%5D%5Btype_id%5D=5897&amp;hva%5B0%5D%5Bfilter%5D%5B0%5D%5Bverdi%5D=&amp;hva%5B0%5D%5Bid%5D=47/når:2011-06-10", "Vegkart")</f>
        <v>Vegkart</v>
      </c>
      <c r="B5229">
        <v>84093848</v>
      </c>
      <c r="C5229">
        <v>47</v>
      </c>
      <c r="D5229" t="s">
        <v>16854</v>
      </c>
      <c r="E5229">
        <v>5897</v>
      </c>
      <c r="F5229" t="s">
        <v>23479</v>
      </c>
      <c r="G5229">
        <v>2</v>
      </c>
      <c r="H5229" t="s">
        <v>17240</v>
      </c>
      <c r="J5229" t="s">
        <v>6062</v>
      </c>
      <c r="K5229" t="s">
        <v>132</v>
      </c>
      <c r="L5229" t="s">
        <v>33</v>
      </c>
      <c r="M5229" t="s">
        <v>5982</v>
      </c>
      <c r="N5229" t="s">
        <v>17382</v>
      </c>
      <c r="O5229" t="s">
        <v>17383</v>
      </c>
      <c r="P5229" s="2" t="s">
        <v>26</v>
      </c>
      <c r="Q5229" t="s">
        <v>50</v>
      </c>
      <c r="R5229">
        <v>30.5</v>
      </c>
      <c r="S5229">
        <v>30.65</v>
      </c>
      <c r="T5229" t="s">
        <v>17384</v>
      </c>
    </row>
    <row r="5230" spans="1:20" x14ac:dyDescent="0.25">
      <c r="A5230" s="1" t="str">
        <f>HYPERLINK("https://vegkart.atlas.vegvesen.no/#/@305274.8,6621375.4,18/hva:hva%5B0%5D%5Bfilter%5D%5B0%5D%5Boperator%5D=%21%3D&amp;hva%5B0%5D%5Bfilter%5D%5B0%5D%5Btype_id%5D=5897&amp;hva%5B0%5D%5Bfilter%5D%5B0%5D%5Bverdi%5D=&amp;hva%5B0%5D%5Bid%5D=47/når:2011-06-10", "Vegkart")</f>
        <v>Vegkart</v>
      </c>
      <c r="B5230">
        <v>84094160</v>
      </c>
      <c r="C5230">
        <v>47</v>
      </c>
      <c r="D5230" t="s">
        <v>16854</v>
      </c>
      <c r="E5230">
        <v>5897</v>
      </c>
      <c r="F5230" t="s">
        <v>23479</v>
      </c>
      <c r="G5230">
        <v>2</v>
      </c>
      <c r="H5230" t="s">
        <v>17240</v>
      </c>
      <c r="J5230" t="s">
        <v>6062</v>
      </c>
      <c r="K5230" t="s">
        <v>132</v>
      </c>
      <c r="L5230" t="s">
        <v>33</v>
      </c>
      <c r="M5230" t="s">
        <v>5982</v>
      </c>
      <c r="N5230" t="s">
        <v>17385</v>
      </c>
      <c r="O5230" t="s">
        <v>17386</v>
      </c>
      <c r="P5230" s="2" t="s">
        <v>26</v>
      </c>
      <c r="Q5230" t="s">
        <v>50</v>
      </c>
      <c r="R5230">
        <v>45.54</v>
      </c>
      <c r="S5230">
        <v>46.18</v>
      </c>
      <c r="T5230" t="s">
        <v>17387</v>
      </c>
    </row>
    <row r="5231" spans="1:20" x14ac:dyDescent="0.25">
      <c r="A5231" s="1" t="str">
        <f>HYPERLINK("https://vegkart.atlas.vegvesen.no/#/@305280.4,6621408.8,18/hva:hva%5B0%5D%5Bfilter%5D%5B0%5D%5Boperator%5D=%21%3D&amp;hva%5B0%5D%5Bfilter%5D%5B0%5D%5Btype_id%5D=5897&amp;hva%5B0%5D%5Bfilter%5D%5B0%5D%5Bverdi%5D=&amp;hva%5B0%5D%5Bid%5D=47/når:2011-06-10", "Vegkart")</f>
        <v>Vegkart</v>
      </c>
      <c r="B5231">
        <v>84094163</v>
      </c>
      <c r="C5231">
        <v>47</v>
      </c>
      <c r="D5231" t="s">
        <v>16854</v>
      </c>
      <c r="E5231">
        <v>5897</v>
      </c>
      <c r="F5231" t="s">
        <v>23479</v>
      </c>
      <c r="G5231">
        <v>2</v>
      </c>
      <c r="H5231" t="s">
        <v>17240</v>
      </c>
      <c r="J5231" t="s">
        <v>6062</v>
      </c>
      <c r="K5231" t="s">
        <v>132</v>
      </c>
      <c r="L5231" t="s">
        <v>33</v>
      </c>
      <c r="M5231" t="s">
        <v>5982</v>
      </c>
      <c r="N5231" t="s">
        <v>17388</v>
      </c>
      <c r="O5231" t="s">
        <v>17389</v>
      </c>
      <c r="P5231" s="2" t="s">
        <v>26</v>
      </c>
      <c r="Q5231" t="s">
        <v>50</v>
      </c>
      <c r="R5231">
        <v>45.87</v>
      </c>
      <c r="S5231">
        <v>46.59</v>
      </c>
      <c r="T5231" t="s">
        <v>17390</v>
      </c>
    </row>
    <row r="5232" spans="1:20" x14ac:dyDescent="0.25">
      <c r="A5232" s="1" t="str">
        <f>HYPERLINK("https://vegkart.atlas.vegvesen.no/#/@303907.2,6624802.3,18/hva:hva%5B0%5D%5Bfilter%5D%5B0%5D%5Boperator%5D=%21%3D&amp;hva%5B0%5D%5Bfilter%5D%5B0%5D%5Btype_id%5D=5897&amp;hva%5B0%5D%5Bfilter%5D%5B0%5D%5Bverdi%5D=&amp;hva%5B0%5D%5Bid%5D=47/når:2011-06-10", "Vegkart")</f>
        <v>Vegkart</v>
      </c>
      <c r="B5232">
        <v>84094450</v>
      </c>
      <c r="C5232">
        <v>47</v>
      </c>
      <c r="D5232" t="s">
        <v>16854</v>
      </c>
      <c r="E5232">
        <v>5897</v>
      </c>
      <c r="F5232" t="s">
        <v>23479</v>
      </c>
      <c r="G5232">
        <v>2</v>
      </c>
      <c r="H5232" t="s">
        <v>17240</v>
      </c>
      <c r="J5232" t="s">
        <v>6062</v>
      </c>
      <c r="K5232" t="s">
        <v>132</v>
      </c>
      <c r="L5232" t="s">
        <v>33</v>
      </c>
      <c r="M5232" t="s">
        <v>5982</v>
      </c>
      <c r="N5232" t="s">
        <v>17391</v>
      </c>
      <c r="O5232" t="s">
        <v>17392</v>
      </c>
      <c r="P5232" s="2" t="s">
        <v>26</v>
      </c>
      <c r="Q5232" t="s">
        <v>50</v>
      </c>
      <c r="R5232">
        <v>47.89</v>
      </c>
      <c r="S5232">
        <v>48.93</v>
      </c>
      <c r="T5232" t="s">
        <v>17393</v>
      </c>
    </row>
    <row r="5233" spans="1:20" x14ac:dyDescent="0.25">
      <c r="A5233" s="1" t="str">
        <f>HYPERLINK("https://vegkart.atlas.vegvesen.no/#/@303917.9,6624807.6,18/hva:hva%5B0%5D%5Bfilter%5D%5B0%5D%5Boperator%5D=%21%3D&amp;hva%5B0%5D%5Bfilter%5D%5B0%5D%5Btype_id%5D=5897&amp;hva%5B0%5D%5Bfilter%5D%5B0%5D%5Bverdi%5D=&amp;hva%5B0%5D%5Bid%5D=47/når:2011-06-10", "Vegkart")</f>
        <v>Vegkart</v>
      </c>
      <c r="B5233">
        <v>84094451</v>
      </c>
      <c r="C5233">
        <v>47</v>
      </c>
      <c r="D5233" t="s">
        <v>16854</v>
      </c>
      <c r="E5233">
        <v>5897</v>
      </c>
      <c r="F5233" t="s">
        <v>23479</v>
      </c>
      <c r="G5233">
        <v>2</v>
      </c>
      <c r="H5233" t="s">
        <v>17240</v>
      </c>
      <c r="J5233" t="s">
        <v>6062</v>
      </c>
      <c r="K5233" t="s">
        <v>132</v>
      </c>
      <c r="L5233" t="s">
        <v>33</v>
      </c>
      <c r="M5233" t="s">
        <v>5982</v>
      </c>
      <c r="N5233" t="s">
        <v>17394</v>
      </c>
      <c r="O5233" t="s">
        <v>17395</v>
      </c>
      <c r="P5233" s="2" t="s">
        <v>26</v>
      </c>
      <c r="Q5233" t="s">
        <v>50</v>
      </c>
      <c r="R5233">
        <v>45.65</v>
      </c>
      <c r="S5233">
        <v>46.77</v>
      </c>
      <c r="T5233" t="s">
        <v>17396</v>
      </c>
    </row>
    <row r="5234" spans="1:20" x14ac:dyDescent="0.25">
      <c r="A5234" s="1" t="str">
        <f>HYPERLINK("https://vegkart.atlas.vegvesen.no/#/@301031.7,6625610.0,18/hva:hva%5B0%5D%5Bfilter%5D%5B0%5D%5Boperator%5D=%21%3D&amp;hva%5B0%5D%5Bfilter%5D%5B0%5D%5Btype_id%5D=5897&amp;hva%5B0%5D%5Bfilter%5D%5B0%5D%5Bverdi%5D=&amp;hva%5B0%5D%5Bid%5D=47/når:2011-06-10", "Vegkart")</f>
        <v>Vegkart</v>
      </c>
      <c r="B5234">
        <v>84094927</v>
      </c>
      <c r="C5234">
        <v>47</v>
      </c>
      <c r="D5234" t="s">
        <v>16854</v>
      </c>
      <c r="E5234">
        <v>5897</v>
      </c>
      <c r="F5234" t="s">
        <v>23479</v>
      </c>
      <c r="G5234">
        <v>2</v>
      </c>
      <c r="H5234" t="s">
        <v>17240</v>
      </c>
      <c r="J5234" t="s">
        <v>6062</v>
      </c>
      <c r="K5234" t="s">
        <v>132</v>
      </c>
      <c r="L5234" t="s">
        <v>33</v>
      </c>
      <c r="M5234" t="s">
        <v>5982</v>
      </c>
      <c r="N5234" t="s">
        <v>17397</v>
      </c>
      <c r="O5234" t="s">
        <v>17398</v>
      </c>
      <c r="P5234" s="2" t="s">
        <v>26</v>
      </c>
      <c r="Q5234" t="s">
        <v>50</v>
      </c>
      <c r="R5234">
        <v>82.07</v>
      </c>
      <c r="S5234">
        <v>87.87</v>
      </c>
      <c r="T5234" t="s">
        <v>17399</v>
      </c>
    </row>
    <row r="5235" spans="1:20" x14ac:dyDescent="0.25">
      <c r="A5235" s="1" t="str">
        <f>HYPERLINK("https://vegkart.atlas.vegvesen.no/#/@300722.2,6625655.2,18/hva:hva%5B0%5D%5Bfilter%5D%5B0%5D%5Boperator%5D=%21%3D&amp;hva%5B0%5D%5Bfilter%5D%5B0%5D%5Btype_id%5D=5897&amp;hva%5B0%5D%5Bfilter%5D%5B0%5D%5Bverdi%5D=&amp;hva%5B0%5D%5Bid%5D=47/når:2011-06-10", "Vegkart")</f>
        <v>Vegkart</v>
      </c>
      <c r="B5235">
        <v>84094970</v>
      </c>
      <c r="C5235">
        <v>47</v>
      </c>
      <c r="D5235" t="s">
        <v>16854</v>
      </c>
      <c r="E5235">
        <v>5897</v>
      </c>
      <c r="F5235" t="s">
        <v>23479</v>
      </c>
      <c r="G5235">
        <v>2</v>
      </c>
      <c r="H5235" t="s">
        <v>17240</v>
      </c>
      <c r="J5235" t="s">
        <v>6062</v>
      </c>
      <c r="K5235" t="s">
        <v>132</v>
      </c>
      <c r="L5235" t="s">
        <v>33</v>
      </c>
      <c r="M5235" t="s">
        <v>5982</v>
      </c>
      <c r="N5235" t="s">
        <v>17400</v>
      </c>
      <c r="O5235" t="s">
        <v>17401</v>
      </c>
      <c r="P5235" s="2" t="s">
        <v>26</v>
      </c>
      <c r="Q5235" t="s">
        <v>50</v>
      </c>
      <c r="R5235">
        <v>48.04</v>
      </c>
      <c r="S5235">
        <v>48.37</v>
      </c>
      <c r="T5235" t="s">
        <v>17402</v>
      </c>
    </row>
    <row r="5236" spans="1:20" x14ac:dyDescent="0.25">
      <c r="A5236" s="1" t="str">
        <f>HYPERLINK("https://vegkart.atlas.vegvesen.no/#/@300643.5,6625624.0,18/hva:hva%5B0%5D%5Bfilter%5D%5B0%5D%5Boperator%5D=%21%3D&amp;hva%5B0%5D%5Bfilter%5D%5B0%5D%5Btype_id%5D=5897&amp;hva%5B0%5D%5Bfilter%5D%5B0%5D%5Bverdi%5D=&amp;hva%5B0%5D%5Bid%5D=47/når:2011-06-10", "Vegkart")</f>
        <v>Vegkart</v>
      </c>
      <c r="B5236">
        <v>84095008</v>
      </c>
      <c r="C5236">
        <v>47</v>
      </c>
      <c r="D5236" t="s">
        <v>16854</v>
      </c>
      <c r="E5236">
        <v>5897</v>
      </c>
      <c r="F5236" t="s">
        <v>23479</v>
      </c>
      <c r="G5236">
        <v>2</v>
      </c>
      <c r="H5236" t="s">
        <v>17240</v>
      </c>
      <c r="J5236" t="s">
        <v>6062</v>
      </c>
      <c r="K5236" t="s">
        <v>132</v>
      </c>
      <c r="L5236" t="s">
        <v>33</v>
      </c>
      <c r="M5236" t="s">
        <v>5982</v>
      </c>
      <c r="N5236" t="s">
        <v>17403</v>
      </c>
      <c r="O5236" t="s">
        <v>17404</v>
      </c>
      <c r="P5236" s="2" t="s">
        <v>26</v>
      </c>
      <c r="Q5236" t="s">
        <v>50</v>
      </c>
      <c r="R5236">
        <v>35.19</v>
      </c>
      <c r="S5236">
        <v>35.6</v>
      </c>
      <c r="T5236" t="s">
        <v>17405</v>
      </c>
    </row>
    <row r="5237" spans="1:20" x14ac:dyDescent="0.25">
      <c r="A5237" s="1" t="str">
        <f>HYPERLINK("https://vegkart.atlas.vegvesen.no/#/@300401.9,6625427.0,18/hva:hva%5B0%5D%5Bfilter%5D%5B0%5D%5Boperator%5D=%21%3D&amp;hva%5B0%5D%5Bfilter%5D%5B0%5D%5Btype_id%5D=5897&amp;hva%5B0%5D%5Bfilter%5D%5B0%5D%5Bverdi%5D=&amp;hva%5B0%5D%5Bid%5D=47/når:2011-06-10", "Vegkart")</f>
        <v>Vegkart</v>
      </c>
      <c r="B5237">
        <v>84095091</v>
      </c>
      <c r="C5237">
        <v>47</v>
      </c>
      <c r="D5237" t="s">
        <v>16854</v>
      </c>
      <c r="E5237">
        <v>5897</v>
      </c>
      <c r="F5237" t="s">
        <v>23479</v>
      </c>
      <c r="G5237">
        <v>2</v>
      </c>
      <c r="H5237" t="s">
        <v>17240</v>
      </c>
      <c r="J5237" t="s">
        <v>6062</v>
      </c>
      <c r="K5237" t="s">
        <v>132</v>
      </c>
      <c r="L5237" t="s">
        <v>33</v>
      </c>
      <c r="M5237" t="s">
        <v>5982</v>
      </c>
      <c r="N5237" t="s">
        <v>17406</v>
      </c>
      <c r="O5237" t="s">
        <v>17407</v>
      </c>
      <c r="P5237" s="2" t="s">
        <v>26</v>
      </c>
      <c r="Q5237" t="s">
        <v>50</v>
      </c>
      <c r="R5237">
        <v>41.98</v>
      </c>
      <c r="S5237">
        <v>42.53</v>
      </c>
      <c r="T5237" t="s">
        <v>17408</v>
      </c>
    </row>
    <row r="5238" spans="1:20" x14ac:dyDescent="0.25">
      <c r="A5238" s="1" t="str">
        <f>HYPERLINK("https://vegkart.atlas.vegvesen.no/#/@300378.0,6625429.1,18/hva:hva%5B0%5D%5Bfilter%5D%5B0%5D%5Boperator%5D=%21%3D&amp;hva%5B0%5D%5Bfilter%5D%5B0%5D%5Btype_id%5D=5897&amp;hva%5B0%5D%5Bfilter%5D%5B0%5D%5Bverdi%5D=&amp;hva%5B0%5D%5Bid%5D=47/når:2011-06-10", "Vegkart")</f>
        <v>Vegkart</v>
      </c>
      <c r="B5238">
        <v>84095105</v>
      </c>
      <c r="C5238">
        <v>47</v>
      </c>
      <c r="D5238" t="s">
        <v>16854</v>
      </c>
      <c r="E5238">
        <v>5897</v>
      </c>
      <c r="F5238" t="s">
        <v>23479</v>
      </c>
      <c r="G5238">
        <v>2</v>
      </c>
      <c r="H5238" t="s">
        <v>17240</v>
      </c>
      <c r="J5238" t="s">
        <v>6062</v>
      </c>
      <c r="K5238" t="s">
        <v>132</v>
      </c>
      <c r="L5238" t="s">
        <v>33</v>
      </c>
      <c r="M5238" t="s">
        <v>5982</v>
      </c>
      <c r="N5238" t="s">
        <v>17409</v>
      </c>
      <c r="O5238" t="s">
        <v>17410</v>
      </c>
      <c r="P5238" s="2" t="s">
        <v>26</v>
      </c>
      <c r="Q5238" t="s">
        <v>50</v>
      </c>
      <c r="R5238">
        <v>44.2</v>
      </c>
      <c r="S5238">
        <v>44.61</v>
      </c>
      <c r="T5238" t="s">
        <v>17411</v>
      </c>
    </row>
    <row r="5239" spans="1:20" x14ac:dyDescent="0.25">
      <c r="A5239" s="1" t="str">
        <f>HYPERLINK("https://vegkart.atlas.vegvesen.no/#/@281265.2,6642796.5,18/hva:hva%5B0%5D%5Bfilter%5D%5B0%5D%5Boperator%5D=%21%3D&amp;hva%5B0%5D%5Bfilter%5D%5B0%5D%5Btype_id%5D=5897&amp;hva%5B0%5D%5Bfilter%5D%5B0%5D%5Bverdi%5D=&amp;hva%5B0%5D%5Bid%5D=47/når:2010-06-07", "Vegkart")</f>
        <v>Vegkart</v>
      </c>
      <c r="B5239">
        <v>84107322</v>
      </c>
      <c r="C5239">
        <v>47</v>
      </c>
      <c r="D5239" t="s">
        <v>16854</v>
      </c>
      <c r="E5239">
        <v>5897</v>
      </c>
      <c r="F5239" t="s">
        <v>23479</v>
      </c>
      <c r="G5239">
        <v>2</v>
      </c>
      <c r="H5239" t="s">
        <v>17412</v>
      </c>
      <c r="J5239" t="s">
        <v>17413</v>
      </c>
      <c r="K5239" t="s">
        <v>132</v>
      </c>
      <c r="L5239" t="s">
        <v>33</v>
      </c>
      <c r="M5239" t="s">
        <v>288</v>
      </c>
      <c r="N5239" t="s">
        <v>17414</v>
      </c>
      <c r="O5239" t="s">
        <v>17415</v>
      </c>
      <c r="P5239" s="2" t="s">
        <v>26</v>
      </c>
      <c r="Q5239" t="s">
        <v>50</v>
      </c>
      <c r="R5239">
        <v>48.26</v>
      </c>
      <c r="S5239">
        <v>57.7</v>
      </c>
      <c r="T5239" t="s">
        <v>17416</v>
      </c>
    </row>
    <row r="5240" spans="1:20" x14ac:dyDescent="0.25">
      <c r="A5240" s="1" t="str">
        <f>HYPERLINK("https://vegkart.atlas.vegvesen.no/#/@298049.9,6626611.7,18/hva:hva%5B0%5D%5Bfilter%5D%5B0%5D%5Boperator%5D=%21%3D&amp;hva%5B0%5D%5Bfilter%5D%5B0%5D%5Btype_id%5D=5897&amp;hva%5B0%5D%5Bfilter%5D%5B0%5D%5Bverdi%5D=&amp;hva%5B0%5D%5Bid%5D=47/når:2016-07-26", "Vegkart")</f>
        <v>Vegkart</v>
      </c>
      <c r="B5240">
        <v>84113230</v>
      </c>
      <c r="C5240">
        <v>47</v>
      </c>
      <c r="D5240" t="s">
        <v>16854</v>
      </c>
      <c r="E5240">
        <v>5897</v>
      </c>
      <c r="F5240" t="s">
        <v>23479</v>
      </c>
      <c r="G5240">
        <v>3</v>
      </c>
      <c r="H5240" t="s">
        <v>14678</v>
      </c>
      <c r="J5240" t="s">
        <v>17413</v>
      </c>
      <c r="K5240" t="s">
        <v>132</v>
      </c>
      <c r="L5240" t="s">
        <v>33</v>
      </c>
      <c r="M5240" t="s">
        <v>5979</v>
      </c>
      <c r="N5240" t="s">
        <v>17417</v>
      </c>
      <c r="O5240" t="s">
        <v>17418</v>
      </c>
      <c r="P5240" s="2" t="s">
        <v>26</v>
      </c>
      <c r="Q5240" t="s">
        <v>50</v>
      </c>
      <c r="R5240">
        <v>50.51</v>
      </c>
      <c r="S5240">
        <v>50.98</v>
      </c>
      <c r="T5240" t="s">
        <v>17419</v>
      </c>
    </row>
    <row r="5241" spans="1:20" x14ac:dyDescent="0.25">
      <c r="A5241" s="1" t="str">
        <f>HYPERLINK("https://vegkart.atlas.vegvesen.no/#/@83418.8,6517327.4,18/hva:hva%5B0%5D%5Bfilter%5D%5B0%5D%5Boperator%5D=%21%3D&amp;hva%5B0%5D%5Bfilter%5D%5B0%5D%5Btype_id%5D=5897&amp;hva%5B0%5D%5Bfilter%5D%5B0%5D%5Bverdi%5D=&amp;hva%5B0%5D%5Bid%5D=47/når:2023-10-18", "Vegkart")</f>
        <v>Vegkart</v>
      </c>
      <c r="B5241">
        <v>84440271</v>
      </c>
      <c r="C5241">
        <v>47</v>
      </c>
      <c r="D5241" t="s">
        <v>16854</v>
      </c>
      <c r="E5241">
        <v>5897</v>
      </c>
      <c r="F5241" t="s">
        <v>23479</v>
      </c>
      <c r="G5241">
        <v>5</v>
      </c>
      <c r="H5241" t="s">
        <v>4110</v>
      </c>
      <c r="J5241" t="s">
        <v>17420</v>
      </c>
      <c r="K5241" t="s">
        <v>86</v>
      </c>
      <c r="L5241" t="s">
        <v>113</v>
      </c>
      <c r="M5241" t="s">
        <v>667</v>
      </c>
      <c r="N5241" t="s">
        <v>17421</v>
      </c>
      <c r="O5241" t="s">
        <v>17422</v>
      </c>
      <c r="P5241" s="2" t="s">
        <v>165</v>
      </c>
      <c r="Q5241" t="s">
        <v>166</v>
      </c>
      <c r="R5241">
        <v>22.75</v>
      </c>
      <c r="S5241">
        <v>22.75</v>
      </c>
      <c r="T5241" t="s">
        <v>167</v>
      </c>
    </row>
    <row r="5242" spans="1:20" x14ac:dyDescent="0.25">
      <c r="A5242" s="1" t="str">
        <f>HYPERLINK("https://vegkart.atlas.vegvesen.no/#/@128501.6,6498659.0,18/hva:hva%5B0%5D%5Bfilter%5D%5B0%5D%5Boperator%5D=%21%3D&amp;hva%5B0%5D%5Bfilter%5D%5B0%5D%5Btype_id%5D=5897&amp;hva%5B0%5D%5Bfilter%5D%5B0%5D%5Bverdi%5D=&amp;hva%5B0%5D%5Bid%5D=47/når:2015-06-30", "Vegkart")</f>
        <v>Vegkart</v>
      </c>
      <c r="B5242">
        <v>84447574</v>
      </c>
      <c r="C5242">
        <v>47</v>
      </c>
      <c r="D5242" t="s">
        <v>16854</v>
      </c>
      <c r="E5242">
        <v>5897</v>
      </c>
      <c r="F5242" t="s">
        <v>23479</v>
      </c>
      <c r="G5242">
        <v>4</v>
      </c>
      <c r="H5242" t="s">
        <v>618</v>
      </c>
      <c r="J5242" t="s">
        <v>17423</v>
      </c>
      <c r="K5242" t="s">
        <v>86</v>
      </c>
      <c r="L5242" t="s">
        <v>33</v>
      </c>
      <c r="M5242" t="s">
        <v>17424</v>
      </c>
      <c r="N5242" t="s">
        <v>17425</v>
      </c>
      <c r="O5242" t="s">
        <v>17426</v>
      </c>
      <c r="P5242" s="2" t="s">
        <v>37</v>
      </c>
      <c r="Q5242" t="s">
        <v>1208</v>
      </c>
      <c r="R5242">
        <v>2.58</v>
      </c>
      <c r="S5242">
        <v>64.11</v>
      </c>
      <c r="T5242" t="s">
        <v>17427</v>
      </c>
    </row>
    <row r="5243" spans="1:20" x14ac:dyDescent="0.25">
      <c r="A5243" s="1" t="str">
        <f>HYPERLINK("https://vegkart.atlas.vegvesen.no/#/@128635.1,6498238.7,18/hva:hva%5B0%5D%5Bfilter%5D%5B0%5D%5Boperator%5D=%21%3D&amp;hva%5B0%5D%5Bfilter%5D%5B0%5D%5Btype_id%5D=5897&amp;hva%5B0%5D%5Bfilter%5D%5B0%5D%5Bverdi%5D=&amp;hva%5B0%5D%5Bid%5D=47/når:2015-06-30", "Vegkart")</f>
        <v>Vegkart</v>
      </c>
      <c r="B5243">
        <v>84447576</v>
      </c>
      <c r="C5243">
        <v>47</v>
      </c>
      <c r="D5243" t="s">
        <v>16854</v>
      </c>
      <c r="E5243">
        <v>5897</v>
      </c>
      <c r="F5243" t="s">
        <v>23479</v>
      </c>
      <c r="G5243">
        <v>4</v>
      </c>
      <c r="H5243" t="s">
        <v>618</v>
      </c>
      <c r="J5243" t="s">
        <v>17423</v>
      </c>
      <c r="K5243" t="s">
        <v>86</v>
      </c>
      <c r="L5243" t="s">
        <v>33</v>
      </c>
      <c r="M5243" t="s">
        <v>17424</v>
      </c>
      <c r="N5243" t="s">
        <v>17428</v>
      </c>
      <c r="O5243" t="s">
        <v>17429</v>
      </c>
      <c r="P5243" s="2" t="s">
        <v>165</v>
      </c>
      <c r="Q5243" t="s">
        <v>641</v>
      </c>
      <c r="R5243">
        <v>0.22</v>
      </c>
      <c r="S5243">
        <v>99.14</v>
      </c>
      <c r="T5243" t="s">
        <v>167</v>
      </c>
    </row>
    <row r="5244" spans="1:20" x14ac:dyDescent="0.25">
      <c r="A5244" s="1" t="str">
        <f>HYPERLINK("https://vegkart.atlas.vegvesen.no/#/@127992.0,6495830.3,18/hva:hva%5B0%5D%5Bfilter%5D%5B0%5D%5Boperator%5D=%21%3D&amp;hva%5B0%5D%5Bfilter%5D%5B0%5D%5Btype_id%5D=5897&amp;hva%5B0%5D%5Bfilter%5D%5B0%5D%5Bverdi%5D=&amp;hva%5B0%5D%5Bid%5D=47/når:2015-06-30", "Vegkart")</f>
        <v>Vegkart</v>
      </c>
      <c r="B5244">
        <v>84447598</v>
      </c>
      <c r="C5244">
        <v>47</v>
      </c>
      <c r="D5244" t="s">
        <v>16854</v>
      </c>
      <c r="E5244">
        <v>5897</v>
      </c>
      <c r="F5244" t="s">
        <v>23479</v>
      </c>
      <c r="G5244">
        <v>4</v>
      </c>
      <c r="H5244" t="s">
        <v>618</v>
      </c>
      <c r="J5244" t="s">
        <v>17423</v>
      </c>
      <c r="K5244" t="s">
        <v>86</v>
      </c>
      <c r="L5244" t="s">
        <v>33</v>
      </c>
      <c r="M5244" t="s">
        <v>17424</v>
      </c>
      <c r="N5244" t="s">
        <v>17430</v>
      </c>
      <c r="O5244" t="s">
        <v>17431</v>
      </c>
      <c r="P5244" s="2" t="s">
        <v>37</v>
      </c>
      <c r="Q5244" t="s">
        <v>1208</v>
      </c>
      <c r="R5244">
        <v>10.3</v>
      </c>
      <c r="S5244">
        <v>107.73</v>
      </c>
      <c r="T5244" t="s">
        <v>17432</v>
      </c>
    </row>
    <row r="5245" spans="1:20" x14ac:dyDescent="0.25">
      <c r="A5245" s="1" t="str">
        <f>HYPERLINK("https://vegkart.atlas.vegvesen.no/#/@127658.9,6493365.8,18/hva:hva%5B0%5D%5Bfilter%5D%5B0%5D%5Boperator%5D=%21%3D&amp;hva%5B0%5D%5Bfilter%5D%5B0%5D%5Btype_id%5D=5897&amp;hva%5B0%5D%5Bfilter%5D%5B0%5D%5Bverdi%5D=&amp;hva%5B0%5D%5Bid%5D=47/når:2015-06-30", "Vegkart")</f>
        <v>Vegkart</v>
      </c>
      <c r="B5245">
        <v>84447606</v>
      </c>
      <c r="C5245">
        <v>47</v>
      </c>
      <c r="D5245" t="s">
        <v>16854</v>
      </c>
      <c r="E5245">
        <v>5897</v>
      </c>
      <c r="F5245" t="s">
        <v>23479</v>
      </c>
      <c r="G5245">
        <v>4</v>
      </c>
      <c r="H5245" t="s">
        <v>618</v>
      </c>
      <c r="J5245" t="s">
        <v>17423</v>
      </c>
      <c r="K5245" t="s">
        <v>86</v>
      </c>
      <c r="L5245" t="s">
        <v>33</v>
      </c>
      <c r="M5245" t="s">
        <v>17424</v>
      </c>
      <c r="N5245" t="s">
        <v>17433</v>
      </c>
      <c r="O5245" t="s">
        <v>17434</v>
      </c>
      <c r="P5245" s="2" t="s">
        <v>37</v>
      </c>
      <c r="Q5245" t="s">
        <v>1208</v>
      </c>
      <c r="R5245">
        <v>3.64</v>
      </c>
      <c r="S5245">
        <v>62.52</v>
      </c>
      <c r="T5245" t="s">
        <v>17435</v>
      </c>
    </row>
    <row r="5246" spans="1:20" x14ac:dyDescent="0.25">
      <c r="A5246" s="1" t="str">
        <f>HYPERLINK("https://vegkart.atlas.vegvesen.no/#/@269564.4,7039893.1,18/hva:hva%5B0%5D%5Bfilter%5D%5B0%5D%5Boperator%5D=%21%3D&amp;hva%5B0%5D%5Bfilter%5D%5B0%5D%5Btype_id%5D=5897&amp;hva%5B0%5D%5Bfilter%5D%5B0%5D%5Bverdi%5D=&amp;hva%5B0%5D%5Bid%5D=47/når:2005-07-18", "Vegkart")</f>
        <v>Vegkart</v>
      </c>
      <c r="B5246">
        <v>85401301</v>
      </c>
      <c r="C5246">
        <v>47</v>
      </c>
      <c r="D5246" t="s">
        <v>16854</v>
      </c>
      <c r="E5246">
        <v>5897</v>
      </c>
      <c r="F5246" t="s">
        <v>23479</v>
      </c>
      <c r="G5246">
        <v>1</v>
      </c>
      <c r="H5246" t="s">
        <v>17436</v>
      </c>
      <c r="J5246" t="s">
        <v>17437</v>
      </c>
      <c r="K5246" t="s">
        <v>192</v>
      </c>
      <c r="L5246" t="s">
        <v>22</v>
      </c>
      <c r="M5246" t="s">
        <v>17438</v>
      </c>
      <c r="N5246" t="s">
        <v>17439</v>
      </c>
      <c r="O5246" t="s">
        <v>17440</v>
      </c>
      <c r="P5246" s="2" t="s">
        <v>26</v>
      </c>
      <c r="Q5246" t="s">
        <v>50</v>
      </c>
      <c r="R5246">
        <v>36.86</v>
      </c>
      <c r="S5246">
        <v>37.270000000000003</v>
      </c>
      <c r="T5246" t="s">
        <v>17441</v>
      </c>
    </row>
    <row r="5247" spans="1:20" x14ac:dyDescent="0.25">
      <c r="A5247" s="1" t="str">
        <f>HYPERLINK("https://vegkart.atlas.vegvesen.no/#/@313401.1,6966963.4,18/hva:hva%5B0%5D%5Bfilter%5D%5B0%5D%5Boperator%5D=%21%3D&amp;hva%5B0%5D%5Bfilter%5D%5B0%5D%5Btype_id%5D=5897&amp;hva%5B0%5D%5Bfilter%5D%5B0%5D%5Bverdi%5D=&amp;hva%5B0%5D%5Bid%5D=47/når:2023-05-31", "Vegkart")</f>
        <v>Vegkart</v>
      </c>
      <c r="B5247">
        <v>85468550</v>
      </c>
      <c r="C5247">
        <v>47</v>
      </c>
      <c r="D5247" t="s">
        <v>16854</v>
      </c>
      <c r="E5247">
        <v>5897</v>
      </c>
      <c r="F5247" t="s">
        <v>23479</v>
      </c>
      <c r="G5247">
        <v>5</v>
      </c>
      <c r="H5247" t="s">
        <v>4298</v>
      </c>
      <c r="J5247" t="s">
        <v>4894</v>
      </c>
      <c r="K5247" t="s">
        <v>192</v>
      </c>
      <c r="L5247" t="s">
        <v>33</v>
      </c>
      <c r="M5247" t="s">
        <v>6251</v>
      </c>
      <c r="N5247" t="s">
        <v>17442</v>
      </c>
      <c r="O5247" t="s">
        <v>17443</v>
      </c>
      <c r="P5247" s="2" t="s">
        <v>165</v>
      </c>
      <c r="Q5247" t="s">
        <v>166</v>
      </c>
      <c r="R5247">
        <v>0</v>
      </c>
      <c r="S5247">
        <v>125.53</v>
      </c>
      <c r="T5247" t="s">
        <v>167</v>
      </c>
    </row>
    <row r="5248" spans="1:20" x14ac:dyDescent="0.25">
      <c r="A5248" s="1" t="str">
        <f>HYPERLINK("https://vegkart.atlas.vegvesen.no/#/@269367.1,7040712.6,18/hva:hva%5B0%5D%5Bfilter%5D%5B0%5D%5Boperator%5D=%21%3D&amp;hva%5B0%5D%5Bfilter%5D%5B0%5D%5Btype_id%5D=5897&amp;hva%5B0%5D%5Bfilter%5D%5B0%5D%5Bverdi%5D=&amp;hva%5B0%5D%5Bid%5D=47/når:2015-03-12", "Vegkart")</f>
        <v>Vegkart</v>
      </c>
      <c r="B5248">
        <v>85722700</v>
      </c>
      <c r="C5248">
        <v>47</v>
      </c>
      <c r="D5248" t="s">
        <v>16854</v>
      </c>
      <c r="E5248">
        <v>5897</v>
      </c>
      <c r="F5248" t="s">
        <v>23479</v>
      </c>
      <c r="G5248">
        <v>2</v>
      </c>
      <c r="H5248" t="s">
        <v>17444</v>
      </c>
      <c r="J5248" t="s">
        <v>17445</v>
      </c>
      <c r="K5248" t="s">
        <v>192</v>
      </c>
      <c r="L5248" t="s">
        <v>22</v>
      </c>
      <c r="M5248" t="s">
        <v>17446</v>
      </c>
      <c r="N5248" t="s">
        <v>17447</v>
      </c>
      <c r="O5248" t="s">
        <v>17448</v>
      </c>
      <c r="P5248" s="2" t="s">
        <v>26</v>
      </c>
      <c r="Q5248" t="s">
        <v>50</v>
      </c>
      <c r="R5248">
        <v>45.51</v>
      </c>
      <c r="S5248">
        <v>45.93</v>
      </c>
      <c r="T5248" t="s">
        <v>17449</v>
      </c>
    </row>
    <row r="5249" spans="1:20" x14ac:dyDescent="0.25">
      <c r="A5249" s="1" t="str">
        <f>HYPERLINK("https://vegkart.atlas.vegvesen.no/#/@269554.3,7039892.2,18/hva:hva%5B0%5D%5Bfilter%5D%5B0%5D%5Boperator%5D=%21%3D&amp;hva%5B0%5D%5Bfilter%5D%5B0%5D%5Btype_id%5D=5897&amp;hva%5B0%5D%5Bfilter%5D%5B0%5D%5Bverdi%5D=&amp;hva%5B0%5D%5Bid%5D=47/når:2005-07-18", "Vegkart")</f>
        <v>Vegkart</v>
      </c>
      <c r="B5249">
        <v>85722758</v>
      </c>
      <c r="C5249">
        <v>47</v>
      </c>
      <c r="D5249" t="s">
        <v>16854</v>
      </c>
      <c r="E5249">
        <v>5897</v>
      </c>
      <c r="F5249" t="s">
        <v>23479</v>
      </c>
      <c r="G5249">
        <v>1</v>
      </c>
      <c r="H5249" t="s">
        <v>17436</v>
      </c>
      <c r="J5249" t="s">
        <v>17445</v>
      </c>
      <c r="K5249" t="s">
        <v>192</v>
      </c>
      <c r="L5249" t="s">
        <v>22</v>
      </c>
      <c r="M5249" t="s">
        <v>17438</v>
      </c>
      <c r="N5249" t="s">
        <v>17450</v>
      </c>
      <c r="O5249" t="s">
        <v>17451</v>
      </c>
      <c r="P5249" s="2" t="s">
        <v>26</v>
      </c>
      <c r="Q5249" t="s">
        <v>50</v>
      </c>
      <c r="R5249">
        <v>32.700000000000003</v>
      </c>
      <c r="S5249">
        <v>32.74</v>
      </c>
      <c r="T5249" t="s">
        <v>17452</v>
      </c>
    </row>
    <row r="5250" spans="1:20" x14ac:dyDescent="0.25">
      <c r="A5250" s="1" t="str">
        <f>HYPERLINK("https://vegkart.atlas.vegvesen.no/#/@281977.5,7040137.1,18/hva:hva%5B0%5D%5Bfilter%5D%5B0%5D%5Boperator%5D=%21%3D&amp;hva%5B0%5D%5Bfilter%5D%5B0%5D%5Btype_id%5D=5897&amp;hva%5B0%5D%5Bfilter%5D%5B0%5D%5Bverdi%5D=&amp;hva%5B0%5D%5Bid%5D=47/når:2014-09-03", "Vegkart")</f>
        <v>Vegkart</v>
      </c>
      <c r="B5250">
        <v>85758176</v>
      </c>
      <c r="C5250">
        <v>47</v>
      </c>
      <c r="D5250" t="s">
        <v>16854</v>
      </c>
      <c r="E5250">
        <v>5897</v>
      </c>
      <c r="F5250" t="s">
        <v>23479</v>
      </c>
      <c r="G5250">
        <v>4</v>
      </c>
      <c r="H5250" t="s">
        <v>17453</v>
      </c>
      <c r="J5250" t="s">
        <v>17454</v>
      </c>
      <c r="K5250" t="s">
        <v>192</v>
      </c>
      <c r="L5250" t="s">
        <v>80</v>
      </c>
      <c r="M5250" t="s">
        <v>105</v>
      </c>
      <c r="N5250" t="s">
        <v>17455</v>
      </c>
      <c r="O5250" t="s">
        <v>17456</v>
      </c>
      <c r="P5250" s="2" t="s">
        <v>165</v>
      </c>
      <c r="Q5250" t="s">
        <v>166</v>
      </c>
      <c r="R5250">
        <v>72.260000000000005</v>
      </c>
      <c r="S5250">
        <v>72.599999999999994</v>
      </c>
      <c r="T5250" t="s">
        <v>167</v>
      </c>
    </row>
    <row r="5251" spans="1:20" x14ac:dyDescent="0.25">
      <c r="A5251" s="1" t="str">
        <f>HYPERLINK("https://vegkart.atlas.vegvesen.no/#/@218219.6,6915503.6,18/hva:hva%5B0%5D%5Bfilter%5D%5B0%5D%5Boperator%5D=%21%3D&amp;hva%5B0%5D%5Bfilter%5D%5B0%5D%5Btype_id%5D=5897&amp;hva%5B0%5D%5Bfilter%5D%5B0%5D%5Bverdi%5D=&amp;hva%5B0%5D%5Bid%5D=47/når:1997-05-01", "Vegkart")</f>
        <v>Vegkart</v>
      </c>
      <c r="B5251">
        <v>85770148</v>
      </c>
      <c r="C5251">
        <v>47</v>
      </c>
      <c r="D5251" t="s">
        <v>16854</v>
      </c>
      <c r="E5251">
        <v>5897</v>
      </c>
      <c r="F5251" t="s">
        <v>23479</v>
      </c>
      <c r="G5251">
        <v>1</v>
      </c>
      <c r="H5251" t="s">
        <v>17254</v>
      </c>
      <c r="J5251" t="s">
        <v>5001</v>
      </c>
      <c r="K5251" t="s">
        <v>192</v>
      </c>
      <c r="L5251" t="s">
        <v>80</v>
      </c>
      <c r="M5251" t="s">
        <v>105</v>
      </c>
      <c r="N5251" t="s">
        <v>17457</v>
      </c>
      <c r="O5251" t="s">
        <v>17458</v>
      </c>
      <c r="P5251" s="2" t="s">
        <v>26</v>
      </c>
      <c r="Q5251" t="s">
        <v>50</v>
      </c>
      <c r="R5251">
        <v>35.93</v>
      </c>
      <c r="S5251">
        <v>50.04</v>
      </c>
      <c r="T5251" t="s">
        <v>17459</v>
      </c>
    </row>
    <row r="5252" spans="1:20" x14ac:dyDescent="0.25">
      <c r="A5252" s="1" t="str">
        <f>HYPERLINK("https://vegkart.atlas.vegvesen.no/#/@92687.4,6465077.6,18/hva:hva%5B0%5D%5Bfilter%5D%5B0%5D%5Boperator%5D=%21%3D&amp;hva%5B0%5D%5Bfilter%5D%5B0%5D%5Btype_id%5D=5897&amp;hva%5B0%5D%5Bfilter%5D%5B0%5D%5Bverdi%5D=&amp;hva%5B0%5D%5Bid%5D=47/når:2013-10-07", "Vegkart")</f>
        <v>Vegkart</v>
      </c>
      <c r="B5252">
        <v>86058918</v>
      </c>
      <c r="C5252">
        <v>47</v>
      </c>
      <c r="D5252" t="s">
        <v>16854</v>
      </c>
      <c r="E5252">
        <v>5897</v>
      </c>
      <c r="F5252" t="s">
        <v>23479</v>
      </c>
      <c r="G5252">
        <v>5</v>
      </c>
      <c r="H5252" t="s">
        <v>17460</v>
      </c>
      <c r="J5252" t="s">
        <v>5001</v>
      </c>
      <c r="K5252" t="s">
        <v>86</v>
      </c>
      <c r="L5252" t="s">
        <v>33</v>
      </c>
      <c r="M5252" t="s">
        <v>11374</v>
      </c>
      <c r="N5252" t="s">
        <v>17461</v>
      </c>
      <c r="O5252" t="s">
        <v>17462</v>
      </c>
      <c r="P5252" s="2" t="s">
        <v>26</v>
      </c>
      <c r="Q5252" t="s">
        <v>50</v>
      </c>
      <c r="R5252">
        <v>68.34</v>
      </c>
      <c r="S5252">
        <v>68.64</v>
      </c>
      <c r="T5252" t="s">
        <v>17463</v>
      </c>
    </row>
    <row r="5253" spans="1:20" x14ac:dyDescent="0.25">
      <c r="A5253" s="1" t="str">
        <f>HYPERLINK("https://vegkart.atlas.vegvesen.no/#/@91749.2,6467154.8,18/hva:hva%5B0%5D%5Bfilter%5D%5B0%5D%5Boperator%5D=%21%3D&amp;hva%5B0%5D%5Bfilter%5D%5B0%5D%5Btype_id%5D=5897&amp;hva%5B0%5D%5Bfilter%5D%5B0%5D%5Bverdi%5D=&amp;hva%5B0%5D%5Bid%5D=47/når:2013-09-26", "Vegkart")</f>
        <v>Vegkart</v>
      </c>
      <c r="B5253">
        <v>86059141</v>
      </c>
      <c r="C5253">
        <v>47</v>
      </c>
      <c r="D5253" t="s">
        <v>16854</v>
      </c>
      <c r="E5253">
        <v>5897</v>
      </c>
      <c r="F5253" t="s">
        <v>23479</v>
      </c>
      <c r="G5253">
        <v>3</v>
      </c>
      <c r="H5253" t="s">
        <v>17464</v>
      </c>
      <c r="J5253" t="s">
        <v>5001</v>
      </c>
      <c r="K5253" t="s">
        <v>86</v>
      </c>
      <c r="L5253" t="s">
        <v>33</v>
      </c>
      <c r="M5253" t="s">
        <v>11374</v>
      </c>
      <c r="N5253" t="s">
        <v>17465</v>
      </c>
      <c r="O5253" t="s">
        <v>17466</v>
      </c>
      <c r="P5253" s="2" t="s">
        <v>26</v>
      </c>
      <c r="Q5253" t="s">
        <v>50</v>
      </c>
      <c r="R5253">
        <v>43.95</v>
      </c>
      <c r="S5253">
        <v>44.1</v>
      </c>
      <c r="T5253" t="s">
        <v>17467</v>
      </c>
    </row>
    <row r="5254" spans="1:20" x14ac:dyDescent="0.25">
      <c r="A5254" s="1" t="str">
        <f>HYPERLINK("https://vegkart.atlas.vegvesen.no/#/@91910.8,6467288.7,18/hva:hva%5B0%5D%5Bfilter%5D%5B0%5D%5Boperator%5D=%21%3D&amp;hva%5B0%5D%5Bfilter%5D%5B0%5D%5Btype_id%5D=5897&amp;hva%5B0%5D%5Bfilter%5D%5B0%5D%5Bverdi%5D=&amp;hva%5B0%5D%5Bid%5D=47/når:2013-09-26", "Vegkart")</f>
        <v>Vegkart</v>
      </c>
      <c r="B5254">
        <v>86059149</v>
      </c>
      <c r="C5254">
        <v>47</v>
      </c>
      <c r="D5254" t="s">
        <v>16854</v>
      </c>
      <c r="E5254">
        <v>5897</v>
      </c>
      <c r="F5254" t="s">
        <v>23479</v>
      </c>
      <c r="G5254">
        <v>4</v>
      </c>
      <c r="H5254" t="s">
        <v>17464</v>
      </c>
      <c r="J5254" t="s">
        <v>5001</v>
      </c>
      <c r="K5254" t="s">
        <v>86</v>
      </c>
      <c r="L5254" t="s">
        <v>33</v>
      </c>
      <c r="M5254" t="s">
        <v>11374</v>
      </c>
      <c r="N5254" t="s">
        <v>17468</v>
      </c>
      <c r="O5254" t="s">
        <v>17469</v>
      </c>
      <c r="P5254" s="2" t="s">
        <v>26</v>
      </c>
      <c r="Q5254" t="s">
        <v>50</v>
      </c>
      <c r="R5254">
        <v>52.81</v>
      </c>
      <c r="S5254">
        <v>53.56</v>
      </c>
      <c r="T5254" t="s">
        <v>17470</v>
      </c>
    </row>
    <row r="5255" spans="1:20" x14ac:dyDescent="0.25">
      <c r="A5255" s="1" t="str">
        <f>HYPERLINK("https://vegkart.atlas.vegvesen.no/#/@91967.0,6467357.4,18/hva:hva%5B0%5D%5Bfilter%5D%5B0%5D%5Boperator%5D=%21%3D&amp;hva%5B0%5D%5Bfilter%5D%5B0%5D%5Btype_id%5D=5897&amp;hva%5B0%5D%5Bfilter%5D%5B0%5D%5Bverdi%5D=&amp;hva%5B0%5D%5Bid%5D=47/når:2013-09-26", "Vegkart")</f>
        <v>Vegkart</v>
      </c>
      <c r="B5255">
        <v>86059153</v>
      </c>
      <c r="C5255">
        <v>47</v>
      </c>
      <c r="D5255" t="s">
        <v>16854</v>
      </c>
      <c r="E5255">
        <v>5897</v>
      </c>
      <c r="F5255" t="s">
        <v>23479</v>
      </c>
      <c r="G5255">
        <v>4</v>
      </c>
      <c r="H5255" t="s">
        <v>17464</v>
      </c>
      <c r="J5255" t="s">
        <v>5001</v>
      </c>
      <c r="K5255" t="s">
        <v>86</v>
      </c>
      <c r="L5255" t="s">
        <v>33</v>
      </c>
      <c r="M5255" t="s">
        <v>11374</v>
      </c>
      <c r="N5255" t="s">
        <v>17471</v>
      </c>
      <c r="O5255" t="s">
        <v>17472</v>
      </c>
      <c r="P5255" s="2" t="s">
        <v>26</v>
      </c>
      <c r="Q5255" t="s">
        <v>50</v>
      </c>
      <c r="R5255">
        <v>72.040000000000006</v>
      </c>
      <c r="S5255">
        <v>72.55</v>
      </c>
      <c r="T5255" t="s">
        <v>17473</v>
      </c>
    </row>
    <row r="5256" spans="1:20" x14ac:dyDescent="0.25">
      <c r="A5256" s="1" t="str">
        <f>HYPERLINK("https://vegkart.atlas.vegvesen.no/#/@92060.5,6467496.0,18/hva:hva%5B0%5D%5Bfilter%5D%5B0%5D%5Boperator%5D=%21%3D&amp;hva%5B0%5D%5Bfilter%5D%5B0%5D%5Btype_id%5D=5897&amp;hva%5B0%5D%5Bfilter%5D%5B0%5D%5Bverdi%5D=&amp;hva%5B0%5D%5Bid%5D=47/når:2018-04-13", "Vegkart")</f>
        <v>Vegkart</v>
      </c>
      <c r="B5256">
        <v>86059157</v>
      </c>
      <c r="C5256">
        <v>47</v>
      </c>
      <c r="D5256" t="s">
        <v>16854</v>
      </c>
      <c r="E5256">
        <v>5897</v>
      </c>
      <c r="F5256" t="s">
        <v>23479</v>
      </c>
      <c r="G5256">
        <v>4</v>
      </c>
      <c r="H5256" t="s">
        <v>17474</v>
      </c>
      <c r="J5256" t="s">
        <v>5001</v>
      </c>
      <c r="K5256" t="s">
        <v>86</v>
      </c>
      <c r="L5256" t="s">
        <v>33</v>
      </c>
      <c r="M5256" t="s">
        <v>11374</v>
      </c>
      <c r="N5256" t="s">
        <v>17475</v>
      </c>
      <c r="O5256" t="s">
        <v>17476</v>
      </c>
      <c r="P5256" s="2" t="s">
        <v>26</v>
      </c>
      <c r="Q5256" t="s">
        <v>50</v>
      </c>
      <c r="R5256">
        <v>50.69</v>
      </c>
      <c r="S5256">
        <v>50.85</v>
      </c>
      <c r="T5256" t="s">
        <v>17477</v>
      </c>
    </row>
    <row r="5257" spans="1:20" x14ac:dyDescent="0.25">
      <c r="A5257" s="1" t="str">
        <f>HYPERLINK("https://vegkart.atlas.vegvesen.no/#/@28642.6,6466311.4,18/hva:hva%5B0%5D%5Bfilter%5D%5B0%5D%5Boperator%5D=%21%3D&amp;hva%5B0%5D%5Bfilter%5D%5B0%5D%5Btype_id%5D=5897&amp;hva%5B0%5D%5Bfilter%5D%5B0%5D%5Bverdi%5D=&amp;hva%5B0%5D%5Bid%5D=47/når:2017-03-24", "Vegkart")</f>
        <v>Vegkart</v>
      </c>
      <c r="B5257">
        <v>86149194</v>
      </c>
      <c r="C5257">
        <v>47</v>
      </c>
      <c r="D5257" t="s">
        <v>16854</v>
      </c>
      <c r="E5257">
        <v>5897</v>
      </c>
      <c r="F5257" t="s">
        <v>23479</v>
      </c>
      <c r="G5257">
        <v>3</v>
      </c>
      <c r="H5257" t="s">
        <v>17478</v>
      </c>
      <c r="J5257" t="s">
        <v>11251</v>
      </c>
      <c r="K5257" t="s">
        <v>86</v>
      </c>
      <c r="L5257" t="s">
        <v>33</v>
      </c>
      <c r="M5257" t="s">
        <v>17479</v>
      </c>
      <c r="N5257" t="s">
        <v>17480</v>
      </c>
      <c r="O5257" t="s">
        <v>17481</v>
      </c>
      <c r="P5257" s="2" t="s">
        <v>26</v>
      </c>
      <c r="Q5257" t="s">
        <v>50</v>
      </c>
      <c r="R5257">
        <v>27.74</v>
      </c>
      <c r="S5257">
        <v>27.74</v>
      </c>
      <c r="T5257" t="s">
        <v>17482</v>
      </c>
    </row>
    <row r="5258" spans="1:20" x14ac:dyDescent="0.25">
      <c r="A5258" s="1" t="str">
        <f>HYPERLINK("https://vegkart.atlas.vegvesen.no/#/@84862.1,6475017.5,18/hva:hva%5B0%5D%5Bfilter%5D%5B0%5D%5Boperator%5D=%21%3D&amp;hva%5B0%5D%5Bfilter%5D%5B0%5D%5Btype_id%5D=5897&amp;hva%5B0%5D%5Bfilter%5D%5B0%5D%5Bverdi%5D=&amp;hva%5B0%5D%5Bid%5D=47/når:2014-03-20", "Vegkart")</f>
        <v>Vegkart</v>
      </c>
      <c r="B5258">
        <v>86224207</v>
      </c>
      <c r="C5258">
        <v>47</v>
      </c>
      <c r="D5258" t="s">
        <v>16854</v>
      </c>
      <c r="E5258">
        <v>5897</v>
      </c>
      <c r="F5258" t="s">
        <v>23479</v>
      </c>
      <c r="G5258">
        <v>5</v>
      </c>
      <c r="H5258" t="s">
        <v>17483</v>
      </c>
      <c r="J5258" t="s">
        <v>17484</v>
      </c>
      <c r="K5258" t="s">
        <v>86</v>
      </c>
      <c r="L5258" t="s">
        <v>33</v>
      </c>
      <c r="M5258" t="s">
        <v>17485</v>
      </c>
      <c r="N5258" t="s">
        <v>17486</v>
      </c>
      <c r="O5258" t="s">
        <v>17487</v>
      </c>
      <c r="P5258" s="2" t="s">
        <v>26</v>
      </c>
      <c r="Q5258" t="s">
        <v>50</v>
      </c>
      <c r="R5258">
        <v>42.38</v>
      </c>
      <c r="S5258">
        <v>42.9</v>
      </c>
      <c r="T5258" t="s">
        <v>17488</v>
      </c>
    </row>
    <row r="5259" spans="1:20" x14ac:dyDescent="0.25">
      <c r="A5259" s="1" t="str">
        <f>HYPERLINK("https://vegkart.atlas.vegvesen.no/#/@92684.2,6465097.1,18/hva:hva%5B0%5D%5Bfilter%5D%5B0%5D%5Boperator%5D=%21%3D&amp;hva%5B0%5D%5Bfilter%5D%5B0%5D%5Btype_id%5D=5897&amp;hva%5B0%5D%5Bfilter%5D%5B0%5D%5Bverdi%5D=&amp;hva%5B0%5D%5Bid%5D=47/når:2013-10-07", "Vegkart")</f>
        <v>Vegkart</v>
      </c>
      <c r="B5259">
        <v>86229905</v>
      </c>
      <c r="C5259">
        <v>47</v>
      </c>
      <c r="D5259" t="s">
        <v>16854</v>
      </c>
      <c r="E5259">
        <v>5897</v>
      </c>
      <c r="F5259" t="s">
        <v>23479</v>
      </c>
      <c r="G5259">
        <v>5</v>
      </c>
      <c r="H5259" t="s">
        <v>17460</v>
      </c>
      <c r="J5259" t="s">
        <v>17489</v>
      </c>
      <c r="K5259" t="s">
        <v>86</v>
      </c>
      <c r="L5259" t="s">
        <v>33</v>
      </c>
      <c r="M5259" t="s">
        <v>11374</v>
      </c>
      <c r="N5259" t="s">
        <v>17490</v>
      </c>
      <c r="O5259" t="s">
        <v>17491</v>
      </c>
      <c r="P5259" s="2" t="s">
        <v>26</v>
      </c>
      <c r="Q5259" t="s">
        <v>50</v>
      </c>
      <c r="R5259">
        <v>61.71</v>
      </c>
      <c r="S5259">
        <v>62.19</v>
      </c>
      <c r="T5259" t="s">
        <v>17492</v>
      </c>
    </row>
    <row r="5260" spans="1:20" x14ac:dyDescent="0.25">
      <c r="A5260" s="1" t="str">
        <f>HYPERLINK("https://vegkart.atlas.vegvesen.no/#/@92887.9,6465415.8,18/hva:hva%5B0%5D%5Bfilter%5D%5B0%5D%5Boperator%5D=%21%3D&amp;hva%5B0%5D%5Bfilter%5D%5B0%5D%5Btype_id%5D=5897&amp;hva%5B0%5D%5Bfilter%5D%5B0%5D%5Bverdi%5D=&amp;hva%5B0%5D%5Bid%5D=47/når:2013-09-26", "Vegkart")</f>
        <v>Vegkart</v>
      </c>
      <c r="B5260">
        <v>86229917</v>
      </c>
      <c r="C5260">
        <v>47</v>
      </c>
      <c r="D5260" t="s">
        <v>16854</v>
      </c>
      <c r="E5260">
        <v>5897</v>
      </c>
      <c r="F5260" t="s">
        <v>23479</v>
      </c>
      <c r="G5260">
        <v>4</v>
      </c>
      <c r="H5260" t="s">
        <v>17464</v>
      </c>
      <c r="J5260" t="s">
        <v>17489</v>
      </c>
      <c r="K5260" t="s">
        <v>86</v>
      </c>
      <c r="L5260" t="s">
        <v>33</v>
      </c>
      <c r="M5260" t="s">
        <v>11374</v>
      </c>
      <c r="N5260" t="s">
        <v>17493</v>
      </c>
      <c r="O5260" t="s">
        <v>17494</v>
      </c>
      <c r="P5260" s="2" t="s">
        <v>26</v>
      </c>
      <c r="Q5260" t="s">
        <v>50</v>
      </c>
      <c r="R5260">
        <v>30.92</v>
      </c>
      <c r="S5260">
        <v>31.08</v>
      </c>
      <c r="T5260" t="s">
        <v>17495</v>
      </c>
    </row>
    <row r="5261" spans="1:20" x14ac:dyDescent="0.25">
      <c r="A5261" s="1" t="str">
        <f>HYPERLINK("https://vegkart.atlas.vegvesen.no/#/@92686.0,6465766.7,18/hva:hva%5B0%5D%5Bfilter%5D%5B0%5D%5Boperator%5D=%21%3D&amp;hva%5B0%5D%5Bfilter%5D%5B0%5D%5Btype_id%5D=5897&amp;hva%5B0%5D%5Bfilter%5D%5B0%5D%5Bverdi%5D=&amp;hva%5B0%5D%5Bid%5D=47/når:2013-09-26", "Vegkart")</f>
        <v>Vegkart</v>
      </c>
      <c r="B5261">
        <v>86229922</v>
      </c>
      <c r="C5261">
        <v>47</v>
      </c>
      <c r="D5261" t="s">
        <v>16854</v>
      </c>
      <c r="E5261">
        <v>5897</v>
      </c>
      <c r="F5261" t="s">
        <v>23479</v>
      </c>
      <c r="G5261">
        <v>4</v>
      </c>
      <c r="H5261" t="s">
        <v>17464</v>
      </c>
      <c r="J5261" t="s">
        <v>17489</v>
      </c>
      <c r="K5261" t="s">
        <v>86</v>
      </c>
      <c r="L5261" t="s">
        <v>33</v>
      </c>
      <c r="M5261" t="s">
        <v>11374</v>
      </c>
      <c r="N5261" t="s">
        <v>17496</v>
      </c>
      <c r="O5261" t="s">
        <v>17497</v>
      </c>
      <c r="P5261" s="2" t="s">
        <v>26</v>
      </c>
      <c r="Q5261" t="s">
        <v>50</v>
      </c>
      <c r="R5261">
        <v>65.73</v>
      </c>
      <c r="S5261">
        <v>66.77</v>
      </c>
      <c r="T5261" t="s">
        <v>17498</v>
      </c>
    </row>
    <row r="5262" spans="1:20" x14ac:dyDescent="0.25">
      <c r="A5262" s="1" t="str">
        <f>HYPERLINK("https://vegkart.atlas.vegvesen.no/#/@92664.5,6465750.2,18/hva:hva%5B0%5D%5Bfilter%5D%5B0%5D%5Boperator%5D=%21%3D&amp;hva%5B0%5D%5Bfilter%5D%5B0%5D%5Btype_id%5D=5897&amp;hva%5B0%5D%5Bfilter%5D%5B0%5D%5Bverdi%5D=&amp;hva%5B0%5D%5Bid%5D=47/når:2013-09-26", "Vegkart")</f>
        <v>Vegkart</v>
      </c>
      <c r="B5262">
        <v>86229925</v>
      </c>
      <c r="C5262">
        <v>47</v>
      </c>
      <c r="D5262" t="s">
        <v>16854</v>
      </c>
      <c r="E5262">
        <v>5897</v>
      </c>
      <c r="F5262" t="s">
        <v>23479</v>
      </c>
      <c r="G5262">
        <v>4</v>
      </c>
      <c r="H5262" t="s">
        <v>17464</v>
      </c>
      <c r="J5262" t="s">
        <v>17489</v>
      </c>
      <c r="K5262" t="s">
        <v>86</v>
      </c>
      <c r="L5262" t="s">
        <v>33</v>
      </c>
      <c r="M5262" t="s">
        <v>11374</v>
      </c>
      <c r="N5262" t="s">
        <v>17499</v>
      </c>
      <c r="O5262" t="s">
        <v>17500</v>
      </c>
      <c r="P5262" s="2" t="s">
        <v>26</v>
      </c>
      <c r="Q5262" t="s">
        <v>50</v>
      </c>
      <c r="R5262">
        <v>59.41</v>
      </c>
      <c r="S5262">
        <v>59.52</v>
      </c>
      <c r="T5262" t="s">
        <v>17501</v>
      </c>
    </row>
    <row r="5263" spans="1:20" x14ac:dyDescent="0.25">
      <c r="A5263" s="1" t="str">
        <f>HYPERLINK("https://vegkart.atlas.vegvesen.no/#/@88981.1,6467064.2,18/hva:hva%5B0%5D%5Bfilter%5D%5B0%5D%5Boperator%5D=%21%3D&amp;hva%5B0%5D%5Bfilter%5D%5B0%5D%5Btype_id%5D=5897&amp;hva%5B0%5D%5Bfilter%5D%5B0%5D%5Bverdi%5D=&amp;hva%5B0%5D%5Bid%5D=47/når:2023-03-06", "Vegkart")</f>
        <v>Vegkart</v>
      </c>
      <c r="B5263">
        <v>86244075</v>
      </c>
      <c r="C5263">
        <v>47</v>
      </c>
      <c r="D5263" t="s">
        <v>16854</v>
      </c>
      <c r="E5263">
        <v>5897</v>
      </c>
      <c r="F5263" t="s">
        <v>23479</v>
      </c>
      <c r="G5263">
        <v>5</v>
      </c>
      <c r="H5263" t="s">
        <v>143</v>
      </c>
      <c r="J5263" t="s">
        <v>17489</v>
      </c>
      <c r="K5263" t="s">
        <v>86</v>
      </c>
      <c r="L5263" t="s">
        <v>33</v>
      </c>
      <c r="M5263" t="s">
        <v>7033</v>
      </c>
      <c r="N5263" t="s">
        <v>17502</v>
      </c>
      <c r="O5263" t="s">
        <v>17503</v>
      </c>
      <c r="P5263" s="2" t="s">
        <v>26</v>
      </c>
      <c r="Q5263" t="s">
        <v>50</v>
      </c>
      <c r="R5263">
        <v>28.96</v>
      </c>
      <c r="S5263">
        <v>29.58</v>
      </c>
      <c r="T5263" t="s">
        <v>17504</v>
      </c>
    </row>
    <row r="5264" spans="1:20" x14ac:dyDescent="0.25">
      <c r="A5264" s="1" t="str">
        <f>HYPERLINK("https://vegkart.atlas.vegvesen.no/#/@260551.6,6651308.8,18/hva:hva%5B0%5D%5Bfilter%5D%5B0%5D%5Boperator%5D=%21%3D&amp;hva%5B0%5D%5Bfilter%5D%5B0%5D%5Btype_id%5D=5897&amp;hva%5B0%5D%5Bfilter%5D%5B0%5D%5Bverdi%5D=&amp;hva%5B0%5D%5Bid%5D=47/når:2015-11-18", "Vegkart")</f>
        <v>Vegkart</v>
      </c>
      <c r="B5264">
        <v>86598342</v>
      </c>
      <c r="C5264">
        <v>47</v>
      </c>
      <c r="D5264" t="s">
        <v>16854</v>
      </c>
      <c r="E5264">
        <v>5897</v>
      </c>
      <c r="F5264" t="s">
        <v>23479</v>
      </c>
      <c r="G5264">
        <v>2</v>
      </c>
      <c r="H5264" t="s">
        <v>17505</v>
      </c>
      <c r="J5264" t="s">
        <v>5015</v>
      </c>
      <c r="K5264" t="s">
        <v>335</v>
      </c>
      <c r="L5264" t="s">
        <v>22</v>
      </c>
      <c r="M5264" t="s">
        <v>10853</v>
      </c>
      <c r="N5264" t="s">
        <v>17506</v>
      </c>
      <c r="O5264" t="s">
        <v>17507</v>
      </c>
      <c r="P5264" s="2" t="s">
        <v>26</v>
      </c>
      <c r="Q5264" t="s">
        <v>50</v>
      </c>
      <c r="R5264">
        <v>20.56</v>
      </c>
      <c r="S5264">
        <v>20.56</v>
      </c>
      <c r="T5264" t="s">
        <v>17508</v>
      </c>
    </row>
    <row r="5265" spans="1:20" x14ac:dyDescent="0.25">
      <c r="A5265" s="1" t="str">
        <f>HYPERLINK("https://vegkart.atlas.vegvesen.no/#/@231649.1,6622323.3,18/hva:hva%5B0%5D%5Bfilter%5D%5B0%5D%5Boperator%5D=%21%3D&amp;hva%5B0%5D%5Bfilter%5D%5B0%5D%5Btype_id%5D=5897&amp;hva%5B0%5D%5Bfilter%5D%5B0%5D%5Bverdi%5D=&amp;hva%5B0%5D%5Bid%5D=47/når:2010-06-02", "Vegkart")</f>
        <v>Vegkart</v>
      </c>
      <c r="B5265">
        <v>87612288</v>
      </c>
      <c r="C5265">
        <v>47</v>
      </c>
      <c r="D5265" t="s">
        <v>16854</v>
      </c>
      <c r="E5265">
        <v>5897</v>
      </c>
      <c r="F5265" t="s">
        <v>23479</v>
      </c>
      <c r="G5265">
        <v>2</v>
      </c>
      <c r="H5265" t="s">
        <v>17509</v>
      </c>
      <c r="J5265" t="s">
        <v>17510</v>
      </c>
      <c r="K5265" t="s">
        <v>81</v>
      </c>
      <c r="L5265" t="s">
        <v>33</v>
      </c>
      <c r="M5265" t="s">
        <v>4306</v>
      </c>
      <c r="N5265" t="s">
        <v>17511</v>
      </c>
      <c r="O5265" t="s">
        <v>17512</v>
      </c>
      <c r="P5265" s="2" t="s">
        <v>26</v>
      </c>
      <c r="Q5265" t="s">
        <v>50</v>
      </c>
      <c r="R5265">
        <v>29.22</v>
      </c>
      <c r="S5265">
        <v>29.22</v>
      </c>
      <c r="T5265" t="s">
        <v>17513</v>
      </c>
    </row>
    <row r="5266" spans="1:20" x14ac:dyDescent="0.25">
      <c r="A5266" s="1" t="str">
        <f>HYPERLINK("https://vegkart.atlas.vegvesen.no/#/@222865.8,6591000.5,18/hva:hva%5B0%5D%5Bfilter%5D%5B0%5D%5Boperator%5D=%21%3D&amp;hva%5B0%5D%5Bfilter%5D%5B0%5D%5Btype_id%5D=5897&amp;hva%5B0%5D%5Bfilter%5D%5B0%5D%5Bverdi%5D=&amp;hva%5B0%5D%5Bid%5D=47/når:2014-09-30", "Vegkart")</f>
        <v>Vegkart</v>
      </c>
      <c r="B5266">
        <v>87625270</v>
      </c>
      <c r="C5266">
        <v>47</v>
      </c>
      <c r="D5266" t="s">
        <v>16854</v>
      </c>
      <c r="E5266">
        <v>5897</v>
      </c>
      <c r="F5266" t="s">
        <v>23479</v>
      </c>
      <c r="G5266">
        <v>3</v>
      </c>
      <c r="H5266" t="s">
        <v>17514</v>
      </c>
      <c r="J5266" t="s">
        <v>17510</v>
      </c>
      <c r="K5266" t="s">
        <v>81</v>
      </c>
      <c r="L5266" t="s">
        <v>33</v>
      </c>
      <c r="M5266" t="s">
        <v>4316</v>
      </c>
      <c r="N5266" t="s">
        <v>17515</v>
      </c>
      <c r="O5266" t="s">
        <v>17516</v>
      </c>
      <c r="P5266" s="2" t="s">
        <v>26</v>
      </c>
      <c r="Q5266" t="s">
        <v>50</v>
      </c>
      <c r="R5266">
        <v>48.31</v>
      </c>
      <c r="S5266">
        <v>49.55</v>
      </c>
      <c r="T5266" t="s">
        <v>17517</v>
      </c>
    </row>
    <row r="5267" spans="1:20" x14ac:dyDescent="0.25">
      <c r="A5267" s="1" t="str">
        <f>HYPERLINK("https://vegkart.atlas.vegvesen.no/#/@234124.5,6580920.5,18/hva:hva%5B0%5D%5Bfilter%5D%5B0%5D%5Boperator%5D=%21%3D&amp;hva%5B0%5D%5Bfilter%5D%5B0%5D%5Btype_id%5D=5897&amp;hva%5B0%5D%5Bfilter%5D%5B0%5D%5Bverdi%5D=&amp;hva%5B0%5D%5Bid%5D=47/når:2016-04-20", "Vegkart")</f>
        <v>Vegkart</v>
      </c>
      <c r="B5267">
        <v>87708814</v>
      </c>
      <c r="C5267">
        <v>47</v>
      </c>
      <c r="D5267" t="s">
        <v>16854</v>
      </c>
      <c r="E5267">
        <v>5897</v>
      </c>
      <c r="F5267" t="s">
        <v>23479</v>
      </c>
      <c r="G5267">
        <v>4</v>
      </c>
      <c r="H5267" t="s">
        <v>17518</v>
      </c>
      <c r="J5267" t="s">
        <v>17510</v>
      </c>
      <c r="K5267" t="s">
        <v>81</v>
      </c>
      <c r="L5267" t="s">
        <v>33</v>
      </c>
      <c r="M5267" t="s">
        <v>4333</v>
      </c>
      <c r="N5267" t="s">
        <v>17519</v>
      </c>
      <c r="O5267" t="s">
        <v>17520</v>
      </c>
      <c r="P5267" s="2" t="s">
        <v>26</v>
      </c>
      <c r="Q5267" t="s">
        <v>50</v>
      </c>
      <c r="R5267">
        <v>49.72</v>
      </c>
      <c r="S5267">
        <v>50.23</v>
      </c>
      <c r="T5267" t="s">
        <v>17521</v>
      </c>
    </row>
    <row r="5268" spans="1:20" x14ac:dyDescent="0.25">
      <c r="A5268" s="1" t="str">
        <f>HYPERLINK("https://vegkart.atlas.vegvesen.no/#/@232039.9,6577167.8,18/hva:hva%5B0%5D%5Bfilter%5D%5B0%5D%5Boperator%5D=%21%3D&amp;hva%5B0%5D%5Bfilter%5D%5B0%5D%5Btype_id%5D=5897&amp;hva%5B0%5D%5Bfilter%5D%5B0%5D%5Bverdi%5D=&amp;hva%5B0%5D%5Bid%5D=47/når:2016-07-07", "Vegkart")</f>
        <v>Vegkart</v>
      </c>
      <c r="B5268">
        <v>87741329</v>
      </c>
      <c r="C5268">
        <v>47</v>
      </c>
      <c r="D5268" t="s">
        <v>16854</v>
      </c>
      <c r="E5268">
        <v>5897</v>
      </c>
      <c r="F5268" t="s">
        <v>23479</v>
      </c>
      <c r="G5268">
        <v>3</v>
      </c>
      <c r="H5268" t="s">
        <v>14413</v>
      </c>
      <c r="J5268" t="s">
        <v>6094</v>
      </c>
      <c r="K5268" t="s">
        <v>81</v>
      </c>
      <c r="L5268" t="s">
        <v>33</v>
      </c>
      <c r="M5268" t="s">
        <v>4333</v>
      </c>
      <c r="N5268" t="s">
        <v>17522</v>
      </c>
      <c r="O5268" t="s">
        <v>17523</v>
      </c>
      <c r="P5268" s="2" t="s">
        <v>26</v>
      </c>
      <c r="Q5268" t="s">
        <v>50</v>
      </c>
      <c r="R5268">
        <v>42.22</v>
      </c>
      <c r="S5268">
        <v>42.56</v>
      </c>
      <c r="T5268" t="s">
        <v>17524</v>
      </c>
    </row>
    <row r="5269" spans="1:20" x14ac:dyDescent="0.25">
      <c r="A5269" s="1" t="str">
        <f>HYPERLINK("https://vegkart.atlas.vegvesen.no/#/@232560.9,6578332.8,18/hva:hva%5B0%5D%5Bfilter%5D%5B0%5D%5Boperator%5D=%21%3D&amp;hva%5B0%5D%5Bfilter%5D%5B0%5D%5Btype_id%5D=5897&amp;hva%5B0%5D%5Bfilter%5D%5B0%5D%5Bverdi%5D=&amp;hva%5B0%5D%5Bid%5D=47/når:2013-09-11", "Vegkart")</f>
        <v>Vegkart</v>
      </c>
      <c r="B5269">
        <v>87741344</v>
      </c>
      <c r="C5269">
        <v>47</v>
      </c>
      <c r="D5269" t="s">
        <v>16854</v>
      </c>
      <c r="E5269">
        <v>5897</v>
      </c>
      <c r="F5269" t="s">
        <v>23479</v>
      </c>
      <c r="G5269">
        <v>3</v>
      </c>
      <c r="H5269" t="s">
        <v>17525</v>
      </c>
      <c r="J5269" t="s">
        <v>6094</v>
      </c>
      <c r="K5269" t="s">
        <v>81</v>
      </c>
      <c r="L5269" t="s">
        <v>33</v>
      </c>
      <c r="M5269" t="s">
        <v>4333</v>
      </c>
      <c r="N5269" t="s">
        <v>17526</v>
      </c>
      <c r="O5269" t="s">
        <v>17527</v>
      </c>
      <c r="P5269" s="2" t="s">
        <v>26</v>
      </c>
      <c r="Q5269" t="s">
        <v>50</v>
      </c>
      <c r="R5269">
        <v>35.25</v>
      </c>
      <c r="S5269">
        <v>36.340000000000003</v>
      </c>
      <c r="T5269" t="s">
        <v>17528</v>
      </c>
    </row>
    <row r="5270" spans="1:20" x14ac:dyDescent="0.25">
      <c r="A5270" s="1" t="str">
        <f>HYPERLINK("https://vegkart.atlas.vegvesen.no/#/@232756.2,6578750.2,18/hva:hva%5B0%5D%5Bfilter%5D%5B0%5D%5Boperator%5D=%21%3D&amp;hva%5B0%5D%5Bfilter%5D%5B0%5D%5Btype_id%5D=5897&amp;hva%5B0%5D%5Bfilter%5D%5B0%5D%5Bverdi%5D=&amp;hva%5B0%5D%5Bid%5D=47/når:2013-09-11", "Vegkart")</f>
        <v>Vegkart</v>
      </c>
      <c r="B5270">
        <v>87741352</v>
      </c>
      <c r="C5270">
        <v>47</v>
      </c>
      <c r="D5270" t="s">
        <v>16854</v>
      </c>
      <c r="E5270">
        <v>5897</v>
      </c>
      <c r="F5270" t="s">
        <v>23479</v>
      </c>
      <c r="G5270">
        <v>3</v>
      </c>
      <c r="H5270" t="s">
        <v>17525</v>
      </c>
      <c r="J5270" t="s">
        <v>6094</v>
      </c>
      <c r="K5270" t="s">
        <v>81</v>
      </c>
      <c r="L5270" t="s">
        <v>33</v>
      </c>
      <c r="M5270" t="s">
        <v>4333</v>
      </c>
      <c r="N5270" t="s">
        <v>17529</v>
      </c>
      <c r="O5270" t="s">
        <v>17530</v>
      </c>
      <c r="P5270" s="2" t="s">
        <v>26</v>
      </c>
      <c r="Q5270" t="s">
        <v>50</v>
      </c>
      <c r="R5270">
        <v>50.65</v>
      </c>
      <c r="S5270">
        <v>51.81</v>
      </c>
      <c r="T5270" t="s">
        <v>17531</v>
      </c>
    </row>
    <row r="5271" spans="1:20" x14ac:dyDescent="0.25">
      <c r="A5271" s="1" t="str">
        <f>HYPERLINK("https://vegkart.atlas.vegvesen.no/#/@226547.5,6569528.3,18/hva:hva%5B0%5D%5Bfilter%5D%5B0%5D%5Boperator%5D=%21%3D&amp;hva%5B0%5D%5Bfilter%5D%5B0%5D%5Btype_id%5D=5897&amp;hva%5B0%5D%5Bfilter%5D%5B0%5D%5Bverdi%5D=&amp;hva%5B0%5D%5Bid%5D=47/når:2017-02-07", "Vegkart")</f>
        <v>Vegkart</v>
      </c>
      <c r="B5271">
        <v>87743638</v>
      </c>
      <c r="C5271">
        <v>47</v>
      </c>
      <c r="D5271" t="s">
        <v>16854</v>
      </c>
      <c r="E5271">
        <v>5897</v>
      </c>
      <c r="F5271" t="s">
        <v>23479</v>
      </c>
      <c r="G5271">
        <v>5</v>
      </c>
      <c r="H5271" t="s">
        <v>17532</v>
      </c>
      <c r="J5271" t="s">
        <v>6094</v>
      </c>
      <c r="K5271" t="s">
        <v>81</v>
      </c>
      <c r="L5271" t="s">
        <v>33</v>
      </c>
      <c r="M5271" t="s">
        <v>4333</v>
      </c>
      <c r="N5271" t="s">
        <v>17533</v>
      </c>
      <c r="O5271" t="s">
        <v>17534</v>
      </c>
      <c r="P5271" s="2" t="s">
        <v>26</v>
      </c>
      <c r="Q5271" t="s">
        <v>50</v>
      </c>
      <c r="R5271">
        <v>44.38</v>
      </c>
      <c r="S5271">
        <v>44.84</v>
      </c>
      <c r="T5271" t="s">
        <v>17535</v>
      </c>
    </row>
    <row r="5272" spans="1:20" x14ac:dyDescent="0.25">
      <c r="A5272" s="1" t="str">
        <f>HYPERLINK("https://vegkart.atlas.vegvesen.no/#/@231608.5,6613958.1,18/hva:hva%5B0%5D%5Bfilter%5D%5B0%5D%5Boperator%5D=%21%3D&amp;hva%5B0%5D%5Bfilter%5D%5B0%5D%5Btype_id%5D=5897&amp;hva%5B0%5D%5Bfilter%5D%5B0%5D%5Bverdi%5D=&amp;hva%5B0%5D%5Bid%5D=47/når:2015-06-16", "Vegkart")</f>
        <v>Vegkart</v>
      </c>
      <c r="B5272">
        <v>87822239</v>
      </c>
      <c r="C5272">
        <v>47</v>
      </c>
      <c r="D5272" t="s">
        <v>16854</v>
      </c>
      <c r="E5272">
        <v>5897</v>
      </c>
      <c r="F5272" t="s">
        <v>23479</v>
      </c>
      <c r="G5272">
        <v>3</v>
      </c>
      <c r="H5272" t="s">
        <v>17536</v>
      </c>
      <c r="J5272" t="s">
        <v>17537</v>
      </c>
      <c r="K5272" t="s">
        <v>81</v>
      </c>
      <c r="L5272" t="s">
        <v>33</v>
      </c>
      <c r="M5272" t="s">
        <v>1808</v>
      </c>
      <c r="N5272" t="s">
        <v>17538</v>
      </c>
      <c r="O5272" t="s">
        <v>17539</v>
      </c>
      <c r="P5272" s="2" t="s">
        <v>26</v>
      </c>
      <c r="Q5272" t="s">
        <v>50</v>
      </c>
      <c r="R5272">
        <v>37.46</v>
      </c>
      <c r="S5272">
        <v>37.46</v>
      </c>
      <c r="T5272" t="s">
        <v>17540</v>
      </c>
    </row>
    <row r="5273" spans="1:20" x14ac:dyDescent="0.25">
      <c r="A5273" s="1" t="str">
        <f>HYPERLINK("https://vegkart.atlas.vegvesen.no/#/@213744.3,6595560.8,18/hva:hva%5B0%5D%5Bfilter%5D%5B0%5D%5Boperator%5D=%21%3D&amp;hva%5B0%5D%5Bfilter%5D%5B0%5D%5Btype_id%5D=5897&amp;hva%5B0%5D%5Bfilter%5D%5B0%5D%5Bverdi%5D=&amp;hva%5B0%5D%5Bid%5D=47/når:2018-12-13", "Vegkart")</f>
        <v>Vegkart</v>
      </c>
      <c r="B5273">
        <v>87852007</v>
      </c>
      <c r="C5273">
        <v>47</v>
      </c>
      <c r="D5273" t="s">
        <v>16854</v>
      </c>
      <c r="E5273">
        <v>5897</v>
      </c>
      <c r="F5273" t="s">
        <v>23479</v>
      </c>
      <c r="G5273">
        <v>5</v>
      </c>
      <c r="H5273" t="s">
        <v>15566</v>
      </c>
      <c r="J5273" t="s">
        <v>5340</v>
      </c>
      <c r="K5273" t="s">
        <v>81</v>
      </c>
      <c r="L5273" t="s">
        <v>33</v>
      </c>
      <c r="M5273" t="s">
        <v>197</v>
      </c>
      <c r="N5273" t="s">
        <v>17541</v>
      </c>
      <c r="O5273" t="s">
        <v>17542</v>
      </c>
      <c r="P5273" s="2" t="s">
        <v>26</v>
      </c>
      <c r="Q5273" t="s">
        <v>50</v>
      </c>
      <c r="R5273">
        <v>81.61</v>
      </c>
      <c r="S5273">
        <v>82.14</v>
      </c>
      <c r="T5273" t="s">
        <v>17543</v>
      </c>
    </row>
    <row r="5274" spans="1:20" x14ac:dyDescent="0.25">
      <c r="A5274" s="1" t="str">
        <f>HYPERLINK("https://vegkart.atlas.vegvesen.no/#/@242174.7,6591476.0,18/hva:hva%5B0%5D%5Bfilter%5D%5B0%5D%5Boperator%5D=%21%3D&amp;hva%5B0%5D%5Bfilter%5D%5B0%5D%5Btype_id%5D=5897&amp;hva%5B0%5D%5Bfilter%5D%5B0%5D%5Bverdi%5D=&amp;hva%5B0%5D%5Bid%5D=47/når:2013-12-08", "Vegkart")</f>
        <v>Vegkart</v>
      </c>
      <c r="B5274">
        <v>87861688</v>
      </c>
      <c r="C5274">
        <v>47</v>
      </c>
      <c r="D5274" t="s">
        <v>16854</v>
      </c>
      <c r="E5274">
        <v>5897</v>
      </c>
      <c r="F5274" t="s">
        <v>23479</v>
      </c>
      <c r="G5274">
        <v>4</v>
      </c>
      <c r="H5274" t="s">
        <v>17544</v>
      </c>
      <c r="J5274" t="s">
        <v>17545</v>
      </c>
      <c r="K5274" t="s">
        <v>81</v>
      </c>
      <c r="L5274" t="s">
        <v>33</v>
      </c>
      <c r="M5274" t="s">
        <v>4461</v>
      </c>
      <c r="N5274" t="s">
        <v>17546</v>
      </c>
      <c r="O5274" t="s">
        <v>17547</v>
      </c>
      <c r="P5274" s="2" t="s">
        <v>26</v>
      </c>
      <c r="Q5274" t="s">
        <v>50</v>
      </c>
      <c r="R5274">
        <v>46.37</v>
      </c>
      <c r="S5274">
        <v>46.88</v>
      </c>
      <c r="T5274" t="s">
        <v>17548</v>
      </c>
    </row>
    <row r="5275" spans="1:20" x14ac:dyDescent="0.25">
      <c r="A5275" s="1" t="str">
        <f>HYPERLINK("https://vegkart.atlas.vegvesen.no/#/@230584.2,6612563.9,18/hva:hva%5B0%5D%5Bfilter%5D%5B0%5D%5Boperator%5D=%21%3D&amp;hva%5B0%5D%5Bfilter%5D%5B0%5D%5Btype_id%5D=5897&amp;hva%5B0%5D%5Bfilter%5D%5B0%5D%5Bverdi%5D=&amp;hva%5B0%5D%5Bid%5D=47/når:2006-01-10", "Vegkart")</f>
        <v>Vegkart</v>
      </c>
      <c r="B5275">
        <v>87867749</v>
      </c>
      <c r="C5275">
        <v>47</v>
      </c>
      <c r="D5275" t="s">
        <v>16854</v>
      </c>
      <c r="E5275">
        <v>5897</v>
      </c>
      <c r="F5275" t="s">
        <v>23479</v>
      </c>
      <c r="G5275">
        <v>1</v>
      </c>
      <c r="H5275" t="s">
        <v>17549</v>
      </c>
      <c r="J5275" t="s">
        <v>17545</v>
      </c>
      <c r="K5275" t="s">
        <v>81</v>
      </c>
      <c r="L5275" t="s">
        <v>33</v>
      </c>
      <c r="M5275" t="s">
        <v>4704</v>
      </c>
      <c r="N5275" t="s">
        <v>17550</v>
      </c>
      <c r="O5275" t="s">
        <v>17551</v>
      </c>
      <c r="P5275" s="2" t="s">
        <v>26</v>
      </c>
      <c r="Q5275" t="s">
        <v>50</v>
      </c>
      <c r="R5275">
        <v>34.56</v>
      </c>
      <c r="S5275">
        <v>34.56</v>
      </c>
      <c r="T5275" t="s">
        <v>17552</v>
      </c>
    </row>
    <row r="5276" spans="1:20" x14ac:dyDescent="0.25">
      <c r="A5276" s="1" t="str">
        <f>HYPERLINK("https://vegkart.atlas.vegvesen.no/#/@542989.8,7689293.4,18/hva:hva%5B0%5D%5Bfilter%5D%5B0%5D%5Boperator%5D=%21%3D&amp;hva%5B0%5D%5Bfilter%5D%5B0%5D%5Btype_id%5D=5897&amp;hva%5B0%5D%5Bfilter%5D%5B0%5D%5Bverdi%5D=&amp;hva%5B0%5D%5Bid%5D=47/når:2021-09-15", "Vegkart")</f>
        <v>Vegkart</v>
      </c>
      <c r="B5276">
        <v>89256281</v>
      </c>
      <c r="C5276">
        <v>47</v>
      </c>
      <c r="D5276" t="s">
        <v>16854</v>
      </c>
      <c r="E5276">
        <v>5897</v>
      </c>
      <c r="F5276" t="s">
        <v>23479</v>
      </c>
      <c r="G5276">
        <v>5</v>
      </c>
      <c r="H5276" t="s">
        <v>17553</v>
      </c>
      <c r="J5276" t="s">
        <v>6174</v>
      </c>
      <c r="K5276" t="s">
        <v>53</v>
      </c>
      <c r="L5276" t="s">
        <v>33</v>
      </c>
      <c r="M5276" t="s">
        <v>5735</v>
      </c>
      <c r="N5276" t="s">
        <v>17554</v>
      </c>
      <c r="O5276" t="s">
        <v>17555</v>
      </c>
      <c r="P5276" s="2" t="s">
        <v>37</v>
      </c>
      <c r="Q5276" t="s">
        <v>1208</v>
      </c>
      <c r="R5276">
        <v>18</v>
      </c>
      <c r="S5276">
        <v>66.66</v>
      </c>
      <c r="T5276" t="s">
        <v>17556</v>
      </c>
    </row>
    <row r="5277" spans="1:20" x14ac:dyDescent="0.25">
      <c r="A5277" s="1" t="str">
        <f>HYPERLINK("https://vegkart.atlas.vegvesen.no/#/@515791.8,7624972.7,18/hva:hva%5B0%5D%5Bfilter%5D%5B0%5D%5Boperator%5D=%21%3D&amp;hva%5B0%5D%5Bfilter%5D%5B0%5D%5Btype_id%5D=5897&amp;hva%5B0%5D%5Bfilter%5D%5B0%5D%5Bverdi%5D=&amp;hva%5B0%5D%5Bid%5D=47/når:2021-08-10", "Vegkart")</f>
        <v>Vegkart</v>
      </c>
      <c r="B5277">
        <v>89274099</v>
      </c>
      <c r="C5277">
        <v>47</v>
      </c>
      <c r="D5277" t="s">
        <v>16854</v>
      </c>
      <c r="E5277">
        <v>5897</v>
      </c>
      <c r="F5277" t="s">
        <v>23479</v>
      </c>
      <c r="G5277">
        <v>3</v>
      </c>
      <c r="H5277" t="s">
        <v>17557</v>
      </c>
      <c r="J5277" t="s">
        <v>17558</v>
      </c>
      <c r="K5277" t="s">
        <v>53</v>
      </c>
      <c r="L5277" t="s">
        <v>33</v>
      </c>
      <c r="M5277" t="s">
        <v>5728</v>
      </c>
      <c r="N5277" t="s">
        <v>17559</v>
      </c>
      <c r="O5277" t="s">
        <v>17560</v>
      </c>
      <c r="P5277" s="2" t="s">
        <v>26</v>
      </c>
      <c r="Q5277" t="s">
        <v>50</v>
      </c>
      <c r="R5277">
        <v>55.85</v>
      </c>
      <c r="S5277">
        <v>55.85</v>
      </c>
      <c r="T5277" t="s">
        <v>17561</v>
      </c>
    </row>
    <row r="5278" spans="1:20" x14ac:dyDescent="0.25">
      <c r="A5278" s="1" t="str">
        <f>HYPERLINK("https://vegkart.atlas.vegvesen.no/#/@466414.8,7438834.6,18/hva:hva%5B0%5D%5Bfilter%5D%5B0%5D%5Boperator%5D=%21%3D&amp;hva%5B0%5D%5Bfilter%5D%5B0%5D%5Btype_id%5D=5897&amp;hva%5B0%5D%5Bfilter%5D%5B0%5D%5Bverdi%5D=&amp;hva%5B0%5D%5Bid%5D=47/når:2025-08-11", "Vegkart")</f>
        <v>Vegkart</v>
      </c>
      <c r="B5278">
        <v>89315466</v>
      </c>
      <c r="C5278">
        <v>47</v>
      </c>
      <c r="D5278" t="s">
        <v>16854</v>
      </c>
      <c r="E5278">
        <v>5897</v>
      </c>
      <c r="F5278" t="s">
        <v>23479</v>
      </c>
      <c r="G5278">
        <v>3</v>
      </c>
      <c r="H5278" t="s">
        <v>17562</v>
      </c>
      <c r="J5278" t="s">
        <v>17563</v>
      </c>
      <c r="K5278" t="s">
        <v>53</v>
      </c>
      <c r="L5278" t="s">
        <v>33</v>
      </c>
      <c r="M5278" t="s">
        <v>17564</v>
      </c>
      <c r="N5278" t="s">
        <v>17565</v>
      </c>
      <c r="O5278" t="s">
        <v>17566</v>
      </c>
      <c r="P5278" s="2" t="s">
        <v>26</v>
      </c>
      <c r="Q5278" t="s">
        <v>50</v>
      </c>
      <c r="R5278">
        <v>33.85</v>
      </c>
      <c r="S5278">
        <v>33.96</v>
      </c>
      <c r="T5278" t="s">
        <v>17567</v>
      </c>
    </row>
    <row r="5279" spans="1:20" x14ac:dyDescent="0.25">
      <c r="A5279" s="1" t="str">
        <f>HYPERLINK("https://vegkart.atlas.vegvesen.no/#/@365631.9,7258621.2,18/hva:hva%5B0%5D%5Bfilter%5D%5B0%5D%5Boperator%5D=%21%3D&amp;hva%5B0%5D%5Bfilter%5D%5B0%5D%5Btype_id%5D=5897&amp;hva%5B0%5D%5Bfilter%5D%5B0%5D%5Bverdi%5D=&amp;hva%5B0%5D%5Bid%5D=47/når:2017-07-03", "Vegkart")</f>
        <v>Vegkart</v>
      </c>
      <c r="B5279">
        <v>89486843</v>
      </c>
      <c r="C5279">
        <v>47</v>
      </c>
      <c r="D5279" t="s">
        <v>16854</v>
      </c>
      <c r="E5279">
        <v>5897</v>
      </c>
      <c r="F5279" t="s">
        <v>23479</v>
      </c>
      <c r="G5279">
        <v>2</v>
      </c>
      <c r="H5279" t="s">
        <v>17568</v>
      </c>
      <c r="J5279" t="s">
        <v>5769</v>
      </c>
      <c r="K5279" t="s">
        <v>53</v>
      </c>
      <c r="L5279" t="s">
        <v>33</v>
      </c>
      <c r="M5279" t="s">
        <v>17569</v>
      </c>
      <c r="N5279" t="s">
        <v>17570</v>
      </c>
      <c r="O5279" t="s">
        <v>17571</v>
      </c>
      <c r="P5279" s="2" t="s">
        <v>26</v>
      </c>
      <c r="Q5279" t="s">
        <v>50</v>
      </c>
      <c r="R5279">
        <v>36.44</v>
      </c>
      <c r="S5279">
        <v>36.49</v>
      </c>
      <c r="T5279" t="s">
        <v>17572</v>
      </c>
    </row>
    <row r="5280" spans="1:20" x14ac:dyDescent="0.25">
      <c r="A5280" s="1" t="str">
        <f>HYPERLINK("https://vegkart.atlas.vegvesen.no/#/@259455.5,6693779.7,18/hva:hva%5B0%5D%5Bfilter%5D%5B0%5D%5Boperator%5D=%21%3D&amp;hva%5B0%5D%5Bfilter%5D%5B0%5D%5Btype_id%5D=5897&amp;hva%5B0%5D%5Bfilter%5D%5B0%5D%5Bverdi%5D=&amp;hva%5B0%5D%5Bid%5D=47/når:2010-05-14", "Vegkart")</f>
        <v>Vegkart</v>
      </c>
      <c r="B5280">
        <v>90887215</v>
      </c>
      <c r="C5280">
        <v>47</v>
      </c>
      <c r="D5280" t="s">
        <v>16854</v>
      </c>
      <c r="E5280">
        <v>5897</v>
      </c>
      <c r="F5280" t="s">
        <v>23479</v>
      </c>
      <c r="G5280">
        <v>2</v>
      </c>
      <c r="H5280" t="s">
        <v>17573</v>
      </c>
      <c r="J5280" t="s">
        <v>17574</v>
      </c>
      <c r="K5280" t="s">
        <v>132</v>
      </c>
      <c r="L5280" t="s">
        <v>33</v>
      </c>
      <c r="M5280" t="s">
        <v>17575</v>
      </c>
      <c r="N5280" t="s">
        <v>17576</v>
      </c>
      <c r="O5280" t="s">
        <v>17577</v>
      </c>
      <c r="P5280" s="2" t="s">
        <v>26</v>
      </c>
      <c r="Q5280" t="s">
        <v>50</v>
      </c>
      <c r="R5280">
        <v>39.99</v>
      </c>
      <c r="S5280">
        <v>41.05</v>
      </c>
      <c r="T5280" t="s">
        <v>17578</v>
      </c>
    </row>
    <row r="5281" spans="1:20" x14ac:dyDescent="0.25">
      <c r="A5281" s="1" t="str">
        <f>HYPERLINK("https://vegkart.atlas.vegvesen.no/#/@261390.3,6686769.6,18/hva:hva%5B0%5D%5Bfilter%5D%5B0%5D%5Boperator%5D=%21%3D&amp;hva%5B0%5D%5Bfilter%5D%5B0%5D%5Btype_id%5D=5897&amp;hva%5B0%5D%5Bfilter%5D%5B0%5D%5Bverdi%5D=&amp;hva%5B0%5D%5Bid%5D=47/når:2015-08-05", "Vegkart")</f>
        <v>Vegkart</v>
      </c>
      <c r="B5281">
        <v>90887316</v>
      </c>
      <c r="C5281">
        <v>47</v>
      </c>
      <c r="D5281" t="s">
        <v>16854</v>
      </c>
      <c r="E5281">
        <v>5897</v>
      </c>
      <c r="F5281" t="s">
        <v>23479</v>
      </c>
      <c r="G5281">
        <v>3</v>
      </c>
      <c r="H5281" t="s">
        <v>13855</v>
      </c>
      <c r="J5281" t="s">
        <v>17574</v>
      </c>
      <c r="K5281" t="s">
        <v>132</v>
      </c>
      <c r="L5281" t="s">
        <v>33</v>
      </c>
      <c r="M5281" t="s">
        <v>17579</v>
      </c>
      <c r="N5281" t="s">
        <v>17580</v>
      </c>
      <c r="O5281" t="s">
        <v>17581</v>
      </c>
      <c r="P5281" s="2" t="s">
        <v>26</v>
      </c>
      <c r="Q5281" t="s">
        <v>50</v>
      </c>
      <c r="R5281">
        <v>80.459999999999994</v>
      </c>
      <c r="S5281">
        <v>81</v>
      </c>
      <c r="T5281" t="s">
        <v>17582</v>
      </c>
    </row>
    <row r="5282" spans="1:20" x14ac:dyDescent="0.25">
      <c r="A5282" s="1" t="str">
        <f>HYPERLINK("https://vegkart.atlas.vegvesen.no/#/@262505.6,6681523.8,18/hva:hva%5B0%5D%5Bfilter%5D%5B0%5D%5Boperator%5D=%21%3D&amp;hva%5B0%5D%5Bfilter%5D%5B0%5D%5Btype_id%5D=5897&amp;hva%5B0%5D%5Bfilter%5D%5B0%5D%5Bverdi%5D=&amp;hva%5B0%5D%5Bid%5D=47/når:2010-05-11", "Vegkart")</f>
        <v>Vegkart</v>
      </c>
      <c r="B5282">
        <v>90887335</v>
      </c>
      <c r="C5282">
        <v>47</v>
      </c>
      <c r="D5282" t="s">
        <v>16854</v>
      </c>
      <c r="E5282">
        <v>5897</v>
      </c>
      <c r="F5282" t="s">
        <v>23479</v>
      </c>
      <c r="G5282">
        <v>2</v>
      </c>
      <c r="H5282" t="s">
        <v>17583</v>
      </c>
      <c r="J5282" t="s">
        <v>17574</v>
      </c>
      <c r="K5282" t="s">
        <v>132</v>
      </c>
      <c r="L5282" t="s">
        <v>33</v>
      </c>
      <c r="M5282" t="s">
        <v>17579</v>
      </c>
      <c r="N5282" t="s">
        <v>17584</v>
      </c>
      <c r="O5282" t="s">
        <v>17585</v>
      </c>
      <c r="P5282" s="2" t="s">
        <v>26</v>
      </c>
      <c r="Q5282" t="s">
        <v>50</v>
      </c>
      <c r="R5282">
        <v>47.16</v>
      </c>
      <c r="S5282">
        <v>48.32</v>
      </c>
      <c r="T5282" t="s">
        <v>17586</v>
      </c>
    </row>
    <row r="5283" spans="1:20" x14ac:dyDescent="0.25">
      <c r="A5283" s="1" t="str">
        <f>HYPERLINK("https://vegkart.atlas.vegvesen.no/#/@262856.8,6680104.0,18/hva:hva%5B0%5D%5Bfilter%5D%5B0%5D%5Boperator%5D=%21%3D&amp;hva%5B0%5D%5Bfilter%5D%5B0%5D%5Btype_id%5D=5897&amp;hva%5B0%5D%5Bfilter%5D%5B0%5D%5Bverdi%5D=&amp;hva%5B0%5D%5Bid%5D=47/når:2010-05-11", "Vegkart")</f>
        <v>Vegkart</v>
      </c>
      <c r="B5283">
        <v>90887337</v>
      </c>
      <c r="C5283">
        <v>47</v>
      </c>
      <c r="D5283" t="s">
        <v>16854</v>
      </c>
      <c r="E5283">
        <v>5897</v>
      </c>
      <c r="F5283" t="s">
        <v>23479</v>
      </c>
      <c r="G5283">
        <v>2</v>
      </c>
      <c r="H5283" t="s">
        <v>17583</v>
      </c>
      <c r="J5283" t="s">
        <v>17574</v>
      </c>
      <c r="K5283" t="s">
        <v>132</v>
      </c>
      <c r="L5283" t="s">
        <v>33</v>
      </c>
      <c r="M5283" t="s">
        <v>17579</v>
      </c>
      <c r="N5283" t="s">
        <v>17587</v>
      </c>
      <c r="O5283" t="s">
        <v>17588</v>
      </c>
      <c r="P5283" s="2" t="s">
        <v>26</v>
      </c>
      <c r="Q5283" t="s">
        <v>50</v>
      </c>
      <c r="R5283">
        <v>174.77</v>
      </c>
      <c r="S5283">
        <v>183.17</v>
      </c>
      <c r="T5283" t="s">
        <v>17589</v>
      </c>
    </row>
    <row r="5284" spans="1:20" x14ac:dyDescent="0.25">
      <c r="A5284" s="1" t="str">
        <f>HYPERLINK("https://vegkart.atlas.vegvesen.no/#/@150773.9,6879573.8,18/hva:hva%5B0%5D%5Bfilter%5D%5B0%5D%5Boperator%5D=%21%3D&amp;hva%5B0%5D%5Bfilter%5D%5B0%5D%5Btype_id%5D=5897&amp;hva%5B0%5D%5Bfilter%5D%5B0%5D%5Bverdi%5D=&amp;hva%5B0%5D%5Bid%5D=47/når:2022-07-08", "Vegkart")</f>
        <v>Vegkart</v>
      </c>
      <c r="B5284">
        <v>90888402</v>
      </c>
      <c r="C5284">
        <v>47</v>
      </c>
      <c r="D5284" t="s">
        <v>16854</v>
      </c>
      <c r="E5284">
        <v>5897</v>
      </c>
      <c r="F5284" t="s">
        <v>23479</v>
      </c>
      <c r="G5284">
        <v>2</v>
      </c>
      <c r="H5284" t="s">
        <v>497</v>
      </c>
      <c r="J5284" t="s">
        <v>17574</v>
      </c>
      <c r="K5284" t="s">
        <v>136</v>
      </c>
      <c r="L5284" t="s">
        <v>33</v>
      </c>
      <c r="M5284" t="s">
        <v>17590</v>
      </c>
      <c r="N5284" t="s">
        <v>17591</v>
      </c>
      <c r="O5284" t="s">
        <v>17592</v>
      </c>
      <c r="P5284" s="2" t="s">
        <v>26</v>
      </c>
      <c r="Q5284" t="s">
        <v>50</v>
      </c>
      <c r="R5284">
        <v>53.63</v>
      </c>
      <c r="S5284">
        <v>56.03</v>
      </c>
      <c r="T5284" t="s">
        <v>17593</v>
      </c>
    </row>
    <row r="5285" spans="1:20" x14ac:dyDescent="0.25">
      <c r="A5285" s="1" t="str">
        <f>HYPERLINK("https://vegkart.atlas.vegvesen.no/#/@152886.7,6878794.0,18/hva:hva%5B0%5D%5Bfilter%5D%5B0%5D%5Boperator%5D=%21%3D&amp;hva%5B0%5D%5Bfilter%5D%5B0%5D%5Btype_id%5D=5897&amp;hva%5B0%5D%5Bfilter%5D%5B0%5D%5Bverdi%5D=&amp;hva%5B0%5D%5Bid%5D=47/når:2005-08-03", "Vegkart")</f>
        <v>Vegkart</v>
      </c>
      <c r="B5285">
        <v>90888419</v>
      </c>
      <c r="C5285">
        <v>47</v>
      </c>
      <c r="D5285" t="s">
        <v>16854</v>
      </c>
      <c r="E5285">
        <v>5897</v>
      </c>
      <c r="F5285" t="s">
        <v>23479</v>
      </c>
      <c r="G5285">
        <v>1</v>
      </c>
      <c r="H5285" t="s">
        <v>17594</v>
      </c>
      <c r="J5285" t="s">
        <v>17574</v>
      </c>
      <c r="K5285" t="s">
        <v>136</v>
      </c>
      <c r="L5285" t="s">
        <v>33</v>
      </c>
      <c r="M5285" t="s">
        <v>17590</v>
      </c>
      <c r="N5285" t="s">
        <v>17595</v>
      </c>
      <c r="O5285" t="s">
        <v>17596</v>
      </c>
      <c r="P5285" s="2" t="s">
        <v>26</v>
      </c>
      <c r="Q5285" t="s">
        <v>50</v>
      </c>
      <c r="R5285">
        <v>54.25</v>
      </c>
      <c r="S5285">
        <v>57.94</v>
      </c>
      <c r="T5285" t="s">
        <v>17597</v>
      </c>
    </row>
    <row r="5286" spans="1:20" x14ac:dyDescent="0.25">
      <c r="A5286" s="1" t="str">
        <f>HYPERLINK("https://vegkart.atlas.vegvesen.no/#/@125953.4,6845100.4,18/hva:hva%5B0%5D%5Bfilter%5D%5B0%5D%5Boperator%5D=%21%3D&amp;hva%5B0%5D%5Bfilter%5D%5B0%5D%5Btype_id%5D=5897&amp;hva%5B0%5D%5Bfilter%5D%5B0%5D%5Bverdi%5D=&amp;hva%5B0%5D%5Bid%5D=47/når:2010-08-25", "Vegkart")</f>
        <v>Vegkart</v>
      </c>
      <c r="B5286">
        <v>90889989</v>
      </c>
      <c r="C5286">
        <v>47</v>
      </c>
      <c r="D5286" t="s">
        <v>16854</v>
      </c>
      <c r="E5286">
        <v>5897</v>
      </c>
      <c r="F5286" t="s">
        <v>23479</v>
      </c>
      <c r="G5286">
        <v>2</v>
      </c>
      <c r="H5286" t="s">
        <v>17598</v>
      </c>
      <c r="J5286" t="s">
        <v>17574</v>
      </c>
      <c r="K5286" t="s">
        <v>136</v>
      </c>
      <c r="L5286" t="s">
        <v>33</v>
      </c>
      <c r="M5286" t="s">
        <v>179</v>
      </c>
      <c r="N5286" t="s">
        <v>17599</v>
      </c>
      <c r="O5286" t="s">
        <v>17600</v>
      </c>
      <c r="P5286" s="2" t="s">
        <v>26</v>
      </c>
      <c r="Q5286" t="s">
        <v>50</v>
      </c>
      <c r="R5286">
        <v>33.19</v>
      </c>
      <c r="S5286">
        <v>40.1</v>
      </c>
      <c r="T5286" t="s">
        <v>17601</v>
      </c>
    </row>
    <row r="5287" spans="1:20" x14ac:dyDescent="0.25">
      <c r="A5287" s="1" t="str">
        <f>HYPERLINK("https://vegkart.atlas.vegvesen.no/#/@129015.0,6845765.5,18/hva:hva%5B0%5D%5Bfilter%5D%5B0%5D%5Boperator%5D=%21%3D&amp;hva%5B0%5D%5Bfilter%5D%5B0%5D%5Btype_id%5D=5897&amp;hva%5B0%5D%5Bfilter%5D%5B0%5D%5Bverdi%5D=&amp;hva%5B0%5D%5Bid%5D=47/når:2010-08-25", "Vegkart")</f>
        <v>Vegkart</v>
      </c>
      <c r="B5287">
        <v>90890003</v>
      </c>
      <c r="C5287">
        <v>47</v>
      </c>
      <c r="D5287" t="s">
        <v>16854</v>
      </c>
      <c r="E5287">
        <v>5897</v>
      </c>
      <c r="F5287" t="s">
        <v>23479</v>
      </c>
      <c r="G5287">
        <v>2</v>
      </c>
      <c r="H5287" t="s">
        <v>17598</v>
      </c>
      <c r="J5287" t="s">
        <v>17574</v>
      </c>
      <c r="K5287" t="s">
        <v>136</v>
      </c>
      <c r="L5287" t="s">
        <v>33</v>
      </c>
      <c r="M5287" t="s">
        <v>179</v>
      </c>
      <c r="N5287" t="s">
        <v>17602</v>
      </c>
      <c r="O5287" t="s">
        <v>17603</v>
      </c>
      <c r="P5287" s="2" t="s">
        <v>26</v>
      </c>
      <c r="Q5287" t="s">
        <v>50</v>
      </c>
      <c r="R5287">
        <v>29.33</v>
      </c>
      <c r="S5287">
        <v>29.93</v>
      </c>
      <c r="T5287" t="s">
        <v>17604</v>
      </c>
    </row>
    <row r="5288" spans="1:20" x14ac:dyDescent="0.25">
      <c r="A5288" s="1" t="str">
        <f>HYPERLINK("https://vegkart.atlas.vegvesen.no/#/@130969.9,6848539.8,18/hva:hva%5B0%5D%5Bfilter%5D%5B0%5D%5Boperator%5D=%21%3D&amp;hva%5B0%5D%5Bfilter%5D%5B0%5D%5Btype_id%5D=5897&amp;hva%5B0%5D%5Bfilter%5D%5B0%5D%5Bverdi%5D=&amp;hva%5B0%5D%5Bid%5D=47/når:2010-08-25", "Vegkart")</f>
        <v>Vegkart</v>
      </c>
      <c r="B5288">
        <v>90890009</v>
      </c>
      <c r="C5288">
        <v>47</v>
      </c>
      <c r="D5288" t="s">
        <v>16854</v>
      </c>
      <c r="E5288">
        <v>5897</v>
      </c>
      <c r="F5288" t="s">
        <v>23479</v>
      </c>
      <c r="G5288">
        <v>2</v>
      </c>
      <c r="H5288" t="s">
        <v>17598</v>
      </c>
      <c r="J5288" t="s">
        <v>17574</v>
      </c>
      <c r="K5288" t="s">
        <v>136</v>
      </c>
      <c r="L5288" t="s">
        <v>33</v>
      </c>
      <c r="M5288" t="s">
        <v>179</v>
      </c>
      <c r="N5288" t="s">
        <v>17605</v>
      </c>
      <c r="O5288" t="s">
        <v>17606</v>
      </c>
      <c r="P5288" s="2" t="s">
        <v>26</v>
      </c>
      <c r="Q5288" t="s">
        <v>50</v>
      </c>
      <c r="R5288">
        <v>34.729999999999997</v>
      </c>
      <c r="S5288">
        <v>43.21</v>
      </c>
      <c r="T5288" t="s">
        <v>17607</v>
      </c>
    </row>
    <row r="5289" spans="1:20" x14ac:dyDescent="0.25">
      <c r="A5289" s="1" t="str">
        <f>HYPERLINK("https://vegkart.atlas.vegvesen.no/#/@131077.5,6849086.2,18/hva:hva%5B0%5D%5Bfilter%5D%5B0%5D%5Boperator%5D=%21%3D&amp;hva%5B0%5D%5Bfilter%5D%5B0%5D%5Btype_id%5D=5897&amp;hva%5B0%5D%5Bfilter%5D%5B0%5D%5Bverdi%5D=&amp;hva%5B0%5D%5Bid%5D=47/når:2010-08-25", "Vegkart")</f>
        <v>Vegkart</v>
      </c>
      <c r="B5289">
        <v>90890012</v>
      </c>
      <c r="C5289">
        <v>47</v>
      </c>
      <c r="D5289" t="s">
        <v>16854</v>
      </c>
      <c r="E5289">
        <v>5897</v>
      </c>
      <c r="F5289" t="s">
        <v>23479</v>
      </c>
      <c r="G5289">
        <v>2</v>
      </c>
      <c r="H5289" t="s">
        <v>17598</v>
      </c>
      <c r="J5289" t="s">
        <v>17574</v>
      </c>
      <c r="K5289" t="s">
        <v>136</v>
      </c>
      <c r="L5289" t="s">
        <v>33</v>
      </c>
      <c r="M5289" t="s">
        <v>179</v>
      </c>
      <c r="N5289" t="s">
        <v>17608</v>
      </c>
      <c r="O5289" t="s">
        <v>17609</v>
      </c>
      <c r="P5289" s="2" t="s">
        <v>26</v>
      </c>
      <c r="Q5289" t="s">
        <v>50</v>
      </c>
      <c r="R5289">
        <v>47.83</v>
      </c>
      <c r="S5289">
        <v>49.03</v>
      </c>
      <c r="T5289" t="s">
        <v>17610</v>
      </c>
    </row>
    <row r="5290" spans="1:20" x14ac:dyDescent="0.25">
      <c r="A5290" s="1" t="str">
        <f>HYPERLINK("https://vegkart.atlas.vegvesen.no/#/@132077.2,6852694.8,18/hva:hva%5B0%5D%5Bfilter%5D%5B0%5D%5Boperator%5D=%21%3D&amp;hva%5B0%5D%5Bfilter%5D%5B0%5D%5Btype_id%5D=5897&amp;hva%5B0%5D%5Bfilter%5D%5B0%5D%5Bverdi%5D=&amp;hva%5B0%5D%5Bid%5D=47/når:2010-08-25", "Vegkart")</f>
        <v>Vegkart</v>
      </c>
      <c r="B5290">
        <v>90890024</v>
      </c>
      <c r="C5290">
        <v>47</v>
      </c>
      <c r="D5290" t="s">
        <v>16854</v>
      </c>
      <c r="E5290">
        <v>5897</v>
      </c>
      <c r="F5290" t="s">
        <v>23479</v>
      </c>
      <c r="G5290">
        <v>2</v>
      </c>
      <c r="H5290" t="s">
        <v>17598</v>
      </c>
      <c r="J5290" t="s">
        <v>17574</v>
      </c>
      <c r="K5290" t="s">
        <v>136</v>
      </c>
      <c r="L5290" t="s">
        <v>33</v>
      </c>
      <c r="M5290" t="s">
        <v>179</v>
      </c>
      <c r="N5290" t="s">
        <v>17611</v>
      </c>
      <c r="O5290" t="s">
        <v>17612</v>
      </c>
      <c r="P5290" s="2" t="s">
        <v>26</v>
      </c>
      <c r="Q5290" t="s">
        <v>50</v>
      </c>
      <c r="R5290">
        <v>59.33</v>
      </c>
      <c r="S5290">
        <v>60.25</v>
      </c>
      <c r="T5290" t="s">
        <v>17613</v>
      </c>
    </row>
    <row r="5291" spans="1:20" x14ac:dyDescent="0.25">
      <c r="A5291" s="1" t="str">
        <f>HYPERLINK("https://vegkart.atlas.vegvesen.no/#/@140736.5,6856534.9,18/hva:hva%5B0%5D%5Bfilter%5D%5B0%5D%5Boperator%5D=%21%3D&amp;hva%5B0%5D%5Bfilter%5D%5B0%5D%5Btype_id%5D=5897&amp;hva%5B0%5D%5Bfilter%5D%5B0%5D%5Bverdi%5D=&amp;hva%5B0%5D%5Bid%5D=47/når:2015-04-16", "Vegkart")</f>
        <v>Vegkart</v>
      </c>
      <c r="B5291">
        <v>90890040</v>
      </c>
      <c r="C5291">
        <v>47</v>
      </c>
      <c r="D5291" t="s">
        <v>16854</v>
      </c>
      <c r="E5291">
        <v>5897</v>
      </c>
      <c r="F5291" t="s">
        <v>23479</v>
      </c>
      <c r="G5291">
        <v>3</v>
      </c>
      <c r="H5291" t="s">
        <v>17614</v>
      </c>
      <c r="J5291" t="s">
        <v>17574</v>
      </c>
      <c r="K5291" t="s">
        <v>136</v>
      </c>
      <c r="L5291" t="s">
        <v>33</v>
      </c>
      <c r="M5291" t="s">
        <v>179</v>
      </c>
      <c r="N5291" t="s">
        <v>17615</v>
      </c>
      <c r="O5291" t="s">
        <v>17616</v>
      </c>
      <c r="P5291" s="2" t="s">
        <v>26</v>
      </c>
      <c r="Q5291" t="s">
        <v>50</v>
      </c>
      <c r="R5291">
        <v>39.200000000000003</v>
      </c>
      <c r="S5291">
        <v>41.91</v>
      </c>
      <c r="T5291" t="s">
        <v>17617</v>
      </c>
    </row>
    <row r="5292" spans="1:20" x14ac:dyDescent="0.25">
      <c r="A5292" s="1" t="str">
        <f>HYPERLINK("https://vegkart.atlas.vegvesen.no/#/@142097.4,6857236.1,18/hva:hva%5B0%5D%5Bfilter%5D%5B0%5D%5Boperator%5D=%21%3D&amp;hva%5B0%5D%5Bfilter%5D%5B0%5D%5Btype_id%5D=5897&amp;hva%5B0%5D%5Bfilter%5D%5B0%5D%5Bverdi%5D=&amp;hva%5B0%5D%5Bid%5D=47/når:2005-06-29", "Vegkart")</f>
        <v>Vegkart</v>
      </c>
      <c r="B5292">
        <v>90890052</v>
      </c>
      <c r="C5292">
        <v>47</v>
      </c>
      <c r="D5292" t="s">
        <v>16854</v>
      </c>
      <c r="E5292">
        <v>5897</v>
      </c>
      <c r="F5292" t="s">
        <v>23479</v>
      </c>
      <c r="G5292">
        <v>1</v>
      </c>
      <c r="H5292" t="s">
        <v>17618</v>
      </c>
      <c r="J5292" t="s">
        <v>17574</v>
      </c>
      <c r="K5292" t="s">
        <v>136</v>
      </c>
      <c r="L5292" t="s">
        <v>33</v>
      </c>
      <c r="M5292" t="s">
        <v>179</v>
      </c>
      <c r="N5292" t="s">
        <v>17619</v>
      </c>
      <c r="O5292" t="s">
        <v>17620</v>
      </c>
      <c r="P5292" s="2" t="s">
        <v>26</v>
      </c>
      <c r="Q5292" t="s">
        <v>50</v>
      </c>
      <c r="R5292">
        <v>62.75</v>
      </c>
      <c r="S5292">
        <v>70.239999999999995</v>
      </c>
      <c r="T5292" t="s">
        <v>17621</v>
      </c>
    </row>
    <row r="5293" spans="1:20" x14ac:dyDescent="0.25">
      <c r="A5293" s="1" t="str">
        <f>HYPERLINK("https://vegkart.atlas.vegvesen.no/#/@253517.9,6697172.2,18/hva:hva%5B0%5D%5Bfilter%5D%5B0%5D%5Boperator%5D=%21%3D&amp;hva%5B0%5D%5Bfilter%5D%5B0%5D%5Btype_id%5D=5897&amp;hva%5B0%5D%5Bfilter%5D%5B0%5D%5Bverdi%5D=&amp;hva%5B0%5D%5Bid%5D=47/når:2024-07-31", "Vegkart")</f>
        <v>Vegkart</v>
      </c>
      <c r="B5293">
        <v>90890953</v>
      </c>
      <c r="C5293">
        <v>47</v>
      </c>
      <c r="D5293" t="s">
        <v>16854</v>
      </c>
      <c r="E5293">
        <v>5897</v>
      </c>
      <c r="F5293" t="s">
        <v>23479</v>
      </c>
      <c r="G5293">
        <v>3</v>
      </c>
      <c r="H5293" t="s">
        <v>912</v>
      </c>
      <c r="J5293" t="s">
        <v>17574</v>
      </c>
      <c r="K5293" t="s">
        <v>136</v>
      </c>
      <c r="L5293" t="s">
        <v>33</v>
      </c>
      <c r="M5293" t="s">
        <v>17622</v>
      </c>
      <c r="N5293" t="s">
        <v>17623</v>
      </c>
      <c r="O5293" t="s">
        <v>17624</v>
      </c>
      <c r="P5293" s="2" t="s">
        <v>165</v>
      </c>
      <c r="Q5293" t="s">
        <v>166</v>
      </c>
      <c r="R5293">
        <v>48.61</v>
      </c>
      <c r="S5293">
        <v>53.5</v>
      </c>
      <c r="T5293" t="s">
        <v>167</v>
      </c>
    </row>
    <row r="5294" spans="1:20" x14ac:dyDescent="0.25">
      <c r="A5294" s="1" t="str">
        <f>HYPERLINK("https://vegkart.atlas.vegvesen.no/#/@256236.0,6699585.3,18/hva:hva%5B0%5D%5Bfilter%5D%5B0%5D%5Boperator%5D=%21%3D&amp;hva%5B0%5D%5Bfilter%5D%5B0%5D%5Btype_id%5D=5897&amp;hva%5B0%5D%5Bfilter%5D%5B0%5D%5Bverdi%5D=&amp;hva%5B0%5D%5Bid%5D=47/når:2024-07-31", "Vegkart")</f>
        <v>Vegkart</v>
      </c>
      <c r="B5294">
        <v>90892249</v>
      </c>
      <c r="C5294">
        <v>47</v>
      </c>
      <c r="D5294" t="s">
        <v>16854</v>
      </c>
      <c r="E5294">
        <v>5897</v>
      </c>
      <c r="F5294" t="s">
        <v>23479</v>
      </c>
      <c r="G5294">
        <v>3</v>
      </c>
      <c r="H5294" t="s">
        <v>912</v>
      </c>
      <c r="J5294" t="s">
        <v>17574</v>
      </c>
      <c r="K5294" t="s">
        <v>136</v>
      </c>
      <c r="L5294" t="s">
        <v>33</v>
      </c>
      <c r="M5294" t="s">
        <v>17625</v>
      </c>
      <c r="N5294" t="s">
        <v>17626</v>
      </c>
      <c r="O5294" t="s">
        <v>17627</v>
      </c>
      <c r="P5294" s="2" t="s">
        <v>165</v>
      </c>
      <c r="Q5294" t="s">
        <v>166</v>
      </c>
      <c r="R5294">
        <v>3.47</v>
      </c>
      <c r="S5294">
        <v>44.25</v>
      </c>
      <c r="T5294" t="s">
        <v>167</v>
      </c>
    </row>
    <row r="5295" spans="1:20" x14ac:dyDescent="0.25">
      <c r="A5295" s="1" t="str">
        <f>HYPERLINK("https://vegkart.atlas.vegvesen.no/#/@127688.8,6884684.7,18/hva:hva%5B0%5D%5Bfilter%5D%5B0%5D%5Boperator%5D=%21%3D&amp;hva%5B0%5D%5Bfilter%5D%5B0%5D%5Btype_id%5D=5897&amp;hva%5B0%5D%5Bfilter%5D%5B0%5D%5Bverdi%5D=&amp;hva%5B0%5D%5Bid%5D=47/når:2005-05-19", "Vegkart")</f>
        <v>Vegkart</v>
      </c>
      <c r="B5295">
        <v>90892681</v>
      </c>
      <c r="C5295">
        <v>47</v>
      </c>
      <c r="D5295" t="s">
        <v>16854</v>
      </c>
      <c r="E5295">
        <v>5897</v>
      </c>
      <c r="F5295" t="s">
        <v>23479</v>
      </c>
      <c r="G5295">
        <v>1</v>
      </c>
      <c r="H5295" t="s">
        <v>17628</v>
      </c>
      <c r="J5295" t="s">
        <v>17574</v>
      </c>
      <c r="K5295" t="s">
        <v>136</v>
      </c>
      <c r="L5295" t="s">
        <v>33</v>
      </c>
      <c r="M5295" t="s">
        <v>17629</v>
      </c>
      <c r="N5295" t="s">
        <v>17630</v>
      </c>
      <c r="O5295" t="s">
        <v>17631</v>
      </c>
      <c r="P5295" s="2" t="s">
        <v>26</v>
      </c>
      <c r="Q5295" t="s">
        <v>50</v>
      </c>
      <c r="R5295">
        <v>23.71</v>
      </c>
      <c r="S5295">
        <v>24.81</v>
      </c>
      <c r="T5295" t="s">
        <v>17632</v>
      </c>
    </row>
    <row r="5296" spans="1:20" x14ac:dyDescent="0.25">
      <c r="A5296" s="1" t="str">
        <f>HYPERLINK("https://vegkart.atlas.vegvesen.no/#/@162218.5,6874052.0,18/hva:hva%5B0%5D%5Bfilter%5D%5B0%5D%5Boperator%5D=%21%3D&amp;hva%5B0%5D%5Bfilter%5D%5B0%5D%5Btype_id%5D=5897&amp;hva%5B0%5D%5Bfilter%5D%5B0%5D%5Bverdi%5D=&amp;hva%5B0%5D%5Bid%5D=47/når:2010-09-06", "Vegkart")</f>
        <v>Vegkart</v>
      </c>
      <c r="B5296">
        <v>90893561</v>
      </c>
      <c r="C5296">
        <v>47</v>
      </c>
      <c r="D5296" t="s">
        <v>16854</v>
      </c>
      <c r="E5296">
        <v>5897</v>
      </c>
      <c r="F5296" t="s">
        <v>23479</v>
      </c>
      <c r="G5296">
        <v>2</v>
      </c>
      <c r="H5296" t="s">
        <v>17633</v>
      </c>
      <c r="J5296" t="s">
        <v>17574</v>
      </c>
      <c r="K5296" t="s">
        <v>136</v>
      </c>
      <c r="L5296" t="s">
        <v>33</v>
      </c>
      <c r="M5296" t="s">
        <v>17634</v>
      </c>
      <c r="N5296" t="s">
        <v>17635</v>
      </c>
      <c r="O5296" t="s">
        <v>17636</v>
      </c>
      <c r="P5296" s="2" t="s">
        <v>26</v>
      </c>
      <c r="Q5296" t="s">
        <v>50</v>
      </c>
      <c r="R5296">
        <v>73.790000000000006</v>
      </c>
      <c r="S5296">
        <v>81.650000000000006</v>
      </c>
      <c r="T5296" t="s">
        <v>17637</v>
      </c>
    </row>
    <row r="5297" spans="1:20" x14ac:dyDescent="0.25">
      <c r="A5297" s="1" t="str">
        <f>HYPERLINK("https://vegkart.atlas.vegvesen.no/#/@257388.8,6692276.2,18/hva:hva%5B0%5D%5Bfilter%5D%5B0%5D%5Boperator%5D=%21%3D&amp;hva%5B0%5D%5Bfilter%5D%5B0%5D%5Btype_id%5D=5897&amp;hva%5B0%5D%5Bfilter%5D%5B0%5D%5Bverdi%5D=&amp;hva%5B0%5D%5Bid%5D=47/når:2010-05-26", "Vegkart")</f>
        <v>Vegkart</v>
      </c>
      <c r="B5297">
        <v>90894115</v>
      </c>
      <c r="C5297">
        <v>47</v>
      </c>
      <c r="D5297" t="s">
        <v>16854</v>
      </c>
      <c r="E5297">
        <v>5897</v>
      </c>
      <c r="F5297" t="s">
        <v>23479</v>
      </c>
      <c r="G5297">
        <v>2</v>
      </c>
      <c r="H5297" t="s">
        <v>17638</v>
      </c>
      <c r="J5297" t="s">
        <v>17574</v>
      </c>
      <c r="K5297" t="s">
        <v>132</v>
      </c>
      <c r="L5297" t="s">
        <v>33</v>
      </c>
      <c r="M5297" t="s">
        <v>17639</v>
      </c>
      <c r="N5297" t="s">
        <v>17640</v>
      </c>
      <c r="O5297" t="s">
        <v>17641</v>
      </c>
      <c r="P5297" s="2" t="s">
        <v>26</v>
      </c>
      <c r="Q5297" t="s">
        <v>50</v>
      </c>
      <c r="R5297">
        <v>20.47</v>
      </c>
      <c r="S5297">
        <v>20.47</v>
      </c>
      <c r="T5297" t="s">
        <v>17642</v>
      </c>
    </row>
    <row r="5298" spans="1:20" x14ac:dyDescent="0.25">
      <c r="A5298" s="1" t="str">
        <f>HYPERLINK("https://vegkart.atlas.vegvesen.no/#/@252460.3,6690215.1,18/hva:hva%5B0%5D%5Bfilter%5D%5B0%5D%5Boperator%5D=%21%3D&amp;hva%5B0%5D%5Bfilter%5D%5B0%5D%5Btype_id%5D=5897&amp;hva%5B0%5D%5Bfilter%5D%5B0%5D%5Bverdi%5D=&amp;hva%5B0%5D%5Bid%5D=47/når:2010-05-26", "Vegkart")</f>
        <v>Vegkart</v>
      </c>
      <c r="B5298">
        <v>90894202</v>
      </c>
      <c r="C5298">
        <v>47</v>
      </c>
      <c r="D5298" t="s">
        <v>16854</v>
      </c>
      <c r="E5298">
        <v>5897</v>
      </c>
      <c r="F5298" t="s">
        <v>23479</v>
      </c>
      <c r="G5298">
        <v>2</v>
      </c>
      <c r="H5298" t="s">
        <v>17638</v>
      </c>
      <c r="J5298" t="s">
        <v>17574</v>
      </c>
      <c r="K5298" t="s">
        <v>132</v>
      </c>
      <c r="L5298" t="s">
        <v>33</v>
      </c>
      <c r="M5298" t="s">
        <v>17639</v>
      </c>
      <c r="N5298" t="s">
        <v>17643</v>
      </c>
      <c r="O5298" t="s">
        <v>17644</v>
      </c>
      <c r="P5298" s="2" t="s">
        <v>26</v>
      </c>
      <c r="Q5298" t="s">
        <v>50</v>
      </c>
      <c r="R5298">
        <v>56.51</v>
      </c>
      <c r="S5298">
        <v>56.98</v>
      </c>
      <c r="T5298" t="s">
        <v>17645</v>
      </c>
    </row>
    <row r="5299" spans="1:20" x14ac:dyDescent="0.25">
      <c r="A5299" s="1" t="str">
        <f>HYPERLINK("https://vegkart.atlas.vegvesen.no/#/@251877.8,6689946.9,18/hva:hva%5B0%5D%5Bfilter%5D%5B0%5D%5Boperator%5D=%21%3D&amp;hva%5B0%5D%5Bfilter%5D%5B0%5D%5Btype_id%5D=5897&amp;hva%5B0%5D%5Bfilter%5D%5B0%5D%5Bverdi%5D=&amp;hva%5B0%5D%5Bid%5D=47/når:2010-05-26", "Vegkart")</f>
        <v>Vegkart</v>
      </c>
      <c r="B5299">
        <v>90894207</v>
      </c>
      <c r="C5299">
        <v>47</v>
      </c>
      <c r="D5299" t="s">
        <v>16854</v>
      </c>
      <c r="E5299">
        <v>5897</v>
      </c>
      <c r="F5299" t="s">
        <v>23479</v>
      </c>
      <c r="G5299">
        <v>2</v>
      </c>
      <c r="H5299" t="s">
        <v>17638</v>
      </c>
      <c r="J5299" t="s">
        <v>17574</v>
      </c>
      <c r="K5299" t="s">
        <v>132</v>
      </c>
      <c r="L5299" t="s">
        <v>33</v>
      </c>
      <c r="M5299" t="s">
        <v>17639</v>
      </c>
      <c r="N5299" t="s">
        <v>17646</v>
      </c>
      <c r="O5299" t="s">
        <v>17647</v>
      </c>
      <c r="P5299" s="2" t="s">
        <v>26</v>
      </c>
      <c r="Q5299" t="s">
        <v>50</v>
      </c>
      <c r="R5299">
        <v>52.3</v>
      </c>
      <c r="S5299">
        <v>52.43</v>
      </c>
      <c r="T5299" t="s">
        <v>17648</v>
      </c>
    </row>
    <row r="5300" spans="1:20" x14ac:dyDescent="0.25">
      <c r="A5300" s="1" t="str">
        <f>HYPERLINK("https://vegkart.atlas.vegvesen.no/#/@251856.9,6689923.4,18/hva:hva%5B0%5D%5Bfilter%5D%5B0%5D%5Boperator%5D=%21%3D&amp;hva%5B0%5D%5Bfilter%5D%5B0%5D%5Btype_id%5D=5897&amp;hva%5B0%5D%5Bfilter%5D%5B0%5D%5Bverdi%5D=&amp;hva%5B0%5D%5Bid%5D=47/når:2010-05-26", "Vegkart")</f>
        <v>Vegkart</v>
      </c>
      <c r="B5300">
        <v>90894208</v>
      </c>
      <c r="C5300">
        <v>47</v>
      </c>
      <c r="D5300" t="s">
        <v>16854</v>
      </c>
      <c r="E5300">
        <v>5897</v>
      </c>
      <c r="F5300" t="s">
        <v>23479</v>
      </c>
      <c r="G5300">
        <v>2</v>
      </c>
      <c r="H5300" t="s">
        <v>17638</v>
      </c>
      <c r="J5300" t="s">
        <v>17574</v>
      </c>
      <c r="K5300" t="s">
        <v>132</v>
      </c>
      <c r="L5300" t="s">
        <v>33</v>
      </c>
      <c r="M5300" t="s">
        <v>17639</v>
      </c>
      <c r="N5300" t="s">
        <v>17649</v>
      </c>
      <c r="O5300" t="s">
        <v>17650</v>
      </c>
      <c r="P5300" s="2" t="s">
        <v>26</v>
      </c>
      <c r="Q5300" t="s">
        <v>50</v>
      </c>
      <c r="R5300">
        <v>46.32</v>
      </c>
      <c r="S5300">
        <v>47.41</v>
      </c>
      <c r="T5300" t="s">
        <v>17651</v>
      </c>
    </row>
    <row r="5301" spans="1:20" x14ac:dyDescent="0.25">
      <c r="A5301" s="1" t="str">
        <f>HYPERLINK("https://vegkart.atlas.vegvesen.no/#/@244433.3,6746540.5,18/hva:hva%5B0%5D%5Bfilter%5D%5B0%5D%5Boperator%5D=%21%3D&amp;hva%5B0%5D%5Bfilter%5D%5B0%5D%5Btype_id%5D=5897&amp;hva%5B0%5D%5Bfilter%5D%5B0%5D%5Bverdi%5D=&amp;hva%5B0%5D%5Bid%5D=47/når:2024-07-31", "Vegkart")</f>
        <v>Vegkart</v>
      </c>
      <c r="B5301">
        <v>90894420</v>
      </c>
      <c r="C5301">
        <v>47</v>
      </c>
      <c r="D5301" t="s">
        <v>16854</v>
      </c>
      <c r="E5301">
        <v>5897</v>
      </c>
      <c r="F5301" t="s">
        <v>23479</v>
      </c>
      <c r="G5301">
        <v>3</v>
      </c>
      <c r="H5301" t="s">
        <v>912</v>
      </c>
      <c r="J5301" t="s">
        <v>17574</v>
      </c>
      <c r="K5301" t="s">
        <v>136</v>
      </c>
      <c r="L5301" t="s">
        <v>33</v>
      </c>
      <c r="M5301" t="s">
        <v>307</v>
      </c>
      <c r="N5301" t="s">
        <v>17652</v>
      </c>
      <c r="O5301" t="s">
        <v>17653</v>
      </c>
      <c r="P5301" s="2" t="s">
        <v>165</v>
      </c>
      <c r="Q5301" t="s">
        <v>166</v>
      </c>
      <c r="R5301">
        <v>18.399999999999999</v>
      </c>
      <c r="S5301">
        <v>18.399999999999999</v>
      </c>
      <c r="T5301" t="s">
        <v>167</v>
      </c>
    </row>
    <row r="5302" spans="1:20" x14ac:dyDescent="0.25">
      <c r="A5302" s="1" t="str">
        <f>HYPERLINK("https://vegkart.atlas.vegvesen.no/#/@258221.0,6687116.0,18/hva:hva%5B0%5D%5Bfilter%5D%5B0%5D%5Boperator%5D=%21%3D&amp;hva%5B0%5D%5Bfilter%5D%5B0%5D%5Btype_id%5D=5897&amp;hva%5B0%5D%5Bfilter%5D%5B0%5D%5Bverdi%5D=&amp;hva%5B0%5D%5Bid%5D=47/når:2010-05-12", "Vegkart")</f>
        <v>Vegkart</v>
      </c>
      <c r="B5302">
        <v>90894506</v>
      </c>
      <c r="C5302">
        <v>47</v>
      </c>
      <c r="D5302" t="s">
        <v>16854</v>
      </c>
      <c r="E5302">
        <v>5897</v>
      </c>
      <c r="F5302" t="s">
        <v>23479</v>
      </c>
      <c r="G5302">
        <v>2</v>
      </c>
      <c r="H5302" t="s">
        <v>17654</v>
      </c>
      <c r="J5302" t="s">
        <v>17574</v>
      </c>
      <c r="K5302" t="s">
        <v>132</v>
      </c>
      <c r="L5302" t="s">
        <v>33</v>
      </c>
      <c r="M5302" t="s">
        <v>17655</v>
      </c>
      <c r="N5302" t="s">
        <v>17656</v>
      </c>
      <c r="O5302" t="s">
        <v>17657</v>
      </c>
      <c r="P5302" s="2" t="s">
        <v>26</v>
      </c>
      <c r="Q5302" t="s">
        <v>50</v>
      </c>
      <c r="R5302">
        <v>46.48</v>
      </c>
      <c r="S5302">
        <v>47.79</v>
      </c>
      <c r="T5302" t="s">
        <v>17658</v>
      </c>
    </row>
    <row r="5303" spans="1:20" x14ac:dyDescent="0.25">
      <c r="A5303" s="1" t="str">
        <f>HYPERLINK("https://vegkart.atlas.vegvesen.no/#/@179365.9,6873669.5,18/hva:hva%5B0%5D%5Bfilter%5D%5B0%5D%5Boperator%5D=%21%3D&amp;hva%5B0%5D%5Bfilter%5D%5B0%5D%5Btype_id%5D=5897&amp;hva%5B0%5D%5Bfilter%5D%5B0%5D%5Bverdi%5D=&amp;hva%5B0%5D%5Bid%5D=47/når:2010-09-06", "Vegkart")</f>
        <v>Vegkart</v>
      </c>
      <c r="B5303">
        <v>90895908</v>
      </c>
      <c r="C5303">
        <v>47</v>
      </c>
      <c r="D5303" t="s">
        <v>16854</v>
      </c>
      <c r="E5303">
        <v>5897</v>
      </c>
      <c r="F5303" t="s">
        <v>23479</v>
      </c>
      <c r="G5303">
        <v>2</v>
      </c>
      <c r="H5303" t="s">
        <v>17633</v>
      </c>
      <c r="J5303" t="s">
        <v>17659</v>
      </c>
      <c r="K5303" t="s">
        <v>136</v>
      </c>
      <c r="L5303" t="s">
        <v>33</v>
      </c>
      <c r="M5303" t="s">
        <v>17634</v>
      </c>
      <c r="N5303" t="s">
        <v>17660</v>
      </c>
      <c r="O5303" t="s">
        <v>17661</v>
      </c>
      <c r="P5303" s="2" t="s">
        <v>26</v>
      </c>
      <c r="Q5303" t="s">
        <v>50</v>
      </c>
      <c r="R5303">
        <v>27.66</v>
      </c>
      <c r="S5303">
        <v>27.93</v>
      </c>
      <c r="T5303" t="s">
        <v>17662</v>
      </c>
    </row>
    <row r="5304" spans="1:20" x14ac:dyDescent="0.25">
      <c r="A5304" s="1" t="str">
        <f>HYPERLINK("https://vegkart.atlas.vegvesen.no/#/@236598.5,6832597.7,18/hva:hva%5B0%5D%5Bfilter%5D%5B0%5D%5Boperator%5D=%21%3D&amp;hva%5B0%5D%5Bfilter%5D%5B0%5D%5Btype_id%5D=5897&amp;hva%5B0%5D%5Bfilter%5D%5B0%5D%5Bverdi%5D=&amp;hva%5B0%5D%5Bid%5D=47/når:2018-04-03", "Vegkart")</f>
        <v>Vegkart</v>
      </c>
      <c r="B5304">
        <v>90929232</v>
      </c>
      <c r="C5304">
        <v>47</v>
      </c>
      <c r="D5304" t="s">
        <v>16854</v>
      </c>
      <c r="E5304">
        <v>5897</v>
      </c>
      <c r="F5304" t="s">
        <v>23479</v>
      </c>
      <c r="G5304">
        <v>3</v>
      </c>
      <c r="H5304" t="s">
        <v>15274</v>
      </c>
      <c r="J5304" t="s">
        <v>17663</v>
      </c>
      <c r="K5304" t="s">
        <v>136</v>
      </c>
      <c r="L5304" t="s">
        <v>33</v>
      </c>
      <c r="M5304" t="s">
        <v>1627</v>
      </c>
      <c r="N5304" t="s">
        <v>17664</v>
      </c>
      <c r="O5304" t="s">
        <v>17665</v>
      </c>
      <c r="P5304" s="2" t="s">
        <v>26</v>
      </c>
      <c r="Q5304" t="s">
        <v>50</v>
      </c>
      <c r="R5304">
        <v>45.06</v>
      </c>
      <c r="S5304">
        <v>46.27</v>
      </c>
      <c r="T5304" t="s">
        <v>17666</v>
      </c>
    </row>
    <row r="5305" spans="1:20" x14ac:dyDescent="0.25">
      <c r="A5305" s="1" t="str">
        <f>HYPERLINK("https://vegkart.atlas.vegvesen.no/#/@202752.9,6833966.2,18/hva:hva%5B0%5D%5Bfilter%5D%5B0%5D%5Boperator%5D=%21%3D&amp;hva%5B0%5D%5Bfilter%5D%5B0%5D%5Btype_id%5D=5897&amp;hva%5B0%5D%5Bfilter%5D%5B0%5D%5Bverdi%5D=&amp;hva%5B0%5D%5Bid%5D=47/når:2008-05-21", "Vegkart")</f>
        <v>Vegkart</v>
      </c>
      <c r="B5305">
        <v>90967172</v>
      </c>
      <c r="C5305">
        <v>47</v>
      </c>
      <c r="D5305" t="s">
        <v>16854</v>
      </c>
      <c r="E5305">
        <v>5897</v>
      </c>
      <c r="F5305" t="s">
        <v>23479</v>
      </c>
      <c r="G5305">
        <v>2</v>
      </c>
      <c r="H5305" t="s">
        <v>17667</v>
      </c>
      <c r="J5305" t="s">
        <v>17663</v>
      </c>
      <c r="K5305" t="s">
        <v>136</v>
      </c>
      <c r="L5305" t="s">
        <v>33</v>
      </c>
      <c r="M5305" t="s">
        <v>17668</v>
      </c>
      <c r="N5305" t="s">
        <v>17669</v>
      </c>
      <c r="O5305" t="s">
        <v>17670</v>
      </c>
      <c r="P5305" s="2" t="s">
        <v>26</v>
      </c>
      <c r="Q5305" t="s">
        <v>50</v>
      </c>
      <c r="R5305">
        <v>23</v>
      </c>
      <c r="S5305">
        <v>25.52</v>
      </c>
      <c r="T5305" t="s">
        <v>17671</v>
      </c>
    </row>
    <row r="5306" spans="1:20" x14ac:dyDescent="0.25">
      <c r="A5306" s="1" t="str">
        <f>HYPERLINK("https://vegkart.atlas.vegvesen.no/#/@218935.5,6847867.2,18/hva:hva%5B0%5D%5Bfilter%5D%5B0%5D%5Boperator%5D=%21%3D&amp;hva%5B0%5D%5Bfilter%5D%5B0%5D%5Btype_id%5D=5897&amp;hva%5B0%5D%5Bfilter%5D%5B0%5D%5Bverdi%5D=&amp;hva%5B0%5D%5Bid%5D=47/når:2018-09-06", "Vegkart")</f>
        <v>Vegkart</v>
      </c>
      <c r="B5306">
        <v>90967926</v>
      </c>
      <c r="C5306">
        <v>47</v>
      </c>
      <c r="D5306" t="s">
        <v>16854</v>
      </c>
      <c r="E5306">
        <v>5897</v>
      </c>
      <c r="F5306" t="s">
        <v>23479</v>
      </c>
      <c r="G5306">
        <v>2</v>
      </c>
      <c r="H5306" t="s">
        <v>15392</v>
      </c>
      <c r="J5306" t="s">
        <v>17663</v>
      </c>
      <c r="K5306" t="s">
        <v>136</v>
      </c>
      <c r="L5306" t="s">
        <v>33</v>
      </c>
      <c r="M5306" t="s">
        <v>17672</v>
      </c>
      <c r="N5306" t="s">
        <v>17673</v>
      </c>
      <c r="O5306" t="s">
        <v>17674</v>
      </c>
      <c r="P5306" s="2" t="s">
        <v>26</v>
      </c>
      <c r="Q5306" t="s">
        <v>50</v>
      </c>
      <c r="R5306">
        <v>52.58</v>
      </c>
      <c r="S5306">
        <v>54.56</v>
      </c>
      <c r="T5306" t="s">
        <v>17675</v>
      </c>
    </row>
    <row r="5307" spans="1:20" x14ac:dyDescent="0.25">
      <c r="A5307" s="1" t="str">
        <f>HYPERLINK("https://vegkart.atlas.vegvesen.no/#/@220441.3,6841175.4,18/hva:hva%5B0%5D%5Bfilter%5D%5B0%5D%5Boperator%5D=%21%3D&amp;hva%5B0%5D%5Bfilter%5D%5B0%5D%5Btype_id%5D=5897&amp;hva%5B0%5D%5Bfilter%5D%5B0%5D%5Bverdi%5D=&amp;hva%5B0%5D%5Bid%5D=47/når:2018-09-06", "Vegkart")</f>
        <v>Vegkart</v>
      </c>
      <c r="B5307">
        <v>90967948</v>
      </c>
      <c r="C5307">
        <v>47</v>
      </c>
      <c r="D5307" t="s">
        <v>16854</v>
      </c>
      <c r="E5307">
        <v>5897</v>
      </c>
      <c r="F5307" t="s">
        <v>23479</v>
      </c>
      <c r="G5307">
        <v>3</v>
      </c>
      <c r="H5307" t="s">
        <v>15392</v>
      </c>
      <c r="J5307" t="s">
        <v>17663</v>
      </c>
      <c r="K5307" t="s">
        <v>136</v>
      </c>
      <c r="L5307" t="s">
        <v>33</v>
      </c>
      <c r="M5307" t="s">
        <v>17672</v>
      </c>
      <c r="N5307" t="s">
        <v>17676</v>
      </c>
      <c r="O5307" t="s">
        <v>17677</v>
      </c>
      <c r="P5307" s="2" t="s">
        <v>26</v>
      </c>
      <c r="Q5307" t="s">
        <v>50</v>
      </c>
      <c r="R5307">
        <v>32.29</v>
      </c>
      <c r="S5307">
        <v>32.700000000000003</v>
      </c>
      <c r="T5307" t="s">
        <v>17678</v>
      </c>
    </row>
    <row r="5308" spans="1:20" x14ac:dyDescent="0.25">
      <c r="A5308" s="1" t="str">
        <f>HYPERLINK("https://vegkart.atlas.vegvesen.no/#/@252146.6,6705768.7,18/hva:hva%5B0%5D%5Bfilter%5D%5B0%5D%5Boperator%5D=%21%3D&amp;hva%5B0%5D%5Bfilter%5D%5B0%5D%5Btype_id%5D=5897&amp;hva%5B0%5D%5Bfilter%5D%5B0%5D%5Bverdi%5D=&amp;hva%5B0%5D%5Bid%5D=47/når:2024-07-31", "Vegkart")</f>
        <v>Vegkart</v>
      </c>
      <c r="B5308">
        <v>91025327</v>
      </c>
      <c r="C5308">
        <v>47</v>
      </c>
      <c r="D5308" t="s">
        <v>16854</v>
      </c>
      <c r="E5308">
        <v>5897</v>
      </c>
      <c r="F5308" t="s">
        <v>23479</v>
      </c>
      <c r="G5308">
        <v>4</v>
      </c>
      <c r="H5308" t="s">
        <v>912</v>
      </c>
      <c r="J5308" t="s">
        <v>17663</v>
      </c>
      <c r="K5308" t="s">
        <v>136</v>
      </c>
      <c r="L5308" t="s">
        <v>33</v>
      </c>
      <c r="M5308" t="s">
        <v>17679</v>
      </c>
      <c r="N5308" t="s">
        <v>17680</v>
      </c>
      <c r="O5308" t="s">
        <v>17681</v>
      </c>
      <c r="P5308" s="2" t="s">
        <v>165</v>
      </c>
      <c r="Q5308" t="s">
        <v>166</v>
      </c>
      <c r="R5308">
        <v>42.69</v>
      </c>
      <c r="S5308">
        <v>47.68</v>
      </c>
      <c r="T5308" t="s">
        <v>167</v>
      </c>
    </row>
    <row r="5309" spans="1:20" x14ac:dyDescent="0.25">
      <c r="A5309" s="1" t="str">
        <f>HYPERLINK("https://vegkart.atlas.vegvesen.no/#/@246598.6,6698158.8,18/hva:hva%5B0%5D%5Bfilter%5D%5B0%5D%5Boperator%5D=%21%3D&amp;hva%5B0%5D%5Bfilter%5D%5B0%5D%5Btype_id%5D=5897&amp;hva%5B0%5D%5Bfilter%5D%5B0%5D%5Bverdi%5D=&amp;hva%5B0%5D%5Bid%5D=47/når:2024-07-29", "Vegkart")</f>
        <v>Vegkart</v>
      </c>
      <c r="B5309">
        <v>91025340</v>
      </c>
      <c r="C5309">
        <v>47</v>
      </c>
      <c r="D5309" t="s">
        <v>16854</v>
      </c>
      <c r="E5309">
        <v>5897</v>
      </c>
      <c r="F5309" t="s">
        <v>23479</v>
      </c>
      <c r="G5309">
        <v>3</v>
      </c>
      <c r="H5309" t="s">
        <v>17682</v>
      </c>
      <c r="J5309" t="s">
        <v>17663</v>
      </c>
      <c r="K5309" t="s">
        <v>136</v>
      </c>
      <c r="L5309" t="s">
        <v>33</v>
      </c>
      <c r="M5309" t="s">
        <v>17679</v>
      </c>
      <c r="N5309" t="s">
        <v>17683</v>
      </c>
      <c r="O5309" t="s">
        <v>17684</v>
      </c>
      <c r="P5309" s="2" t="s">
        <v>165</v>
      </c>
      <c r="Q5309" t="s">
        <v>166</v>
      </c>
      <c r="R5309">
        <v>34.57</v>
      </c>
      <c r="S5309">
        <v>38.33</v>
      </c>
      <c r="T5309" t="s">
        <v>167</v>
      </c>
    </row>
    <row r="5310" spans="1:20" x14ac:dyDescent="0.25">
      <c r="A5310" s="1" t="str">
        <f>HYPERLINK("https://vegkart.atlas.vegvesen.no/#/@177171.0,6840339.7,18/hva:hva%5B0%5D%5Bfilter%5D%5B0%5D%5Boperator%5D=%21%3D&amp;hva%5B0%5D%5Bfilter%5D%5B0%5D%5Btype_id%5D=5897&amp;hva%5B0%5D%5Bfilter%5D%5B0%5D%5Bverdi%5D=&amp;hva%5B0%5D%5Bid%5D=47/når:2015-06-04", "Vegkart")</f>
        <v>Vegkart</v>
      </c>
      <c r="B5310">
        <v>91025741</v>
      </c>
      <c r="C5310">
        <v>47</v>
      </c>
      <c r="D5310" t="s">
        <v>16854</v>
      </c>
      <c r="E5310">
        <v>5897</v>
      </c>
      <c r="F5310" t="s">
        <v>23479</v>
      </c>
      <c r="G5310">
        <v>4</v>
      </c>
      <c r="H5310" t="s">
        <v>17685</v>
      </c>
      <c r="J5310" t="s">
        <v>17663</v>
      </c>
      <c r="K5310" t="s">
        <v>136</v>
      </c>
      <c r="L5310" t="s">
        <v>33</v>
      </c>
      <c r="M5310" t="s">
        <v>1222</v>
      </c>
      <c r="N5310" t="s">
        <v>17686</v>
      </c>
      <c r="O5310" t="s">
        <v>17687</v>
      </c>
      <c r="P5310" s="2" t="s">
        <v>26</v>
      </c>
      <c r="Q5310" t="s">
        <v>50</v>
      </c>
      <c r="R5310">
        <v>88.75</v>
      </c>
      <c r="S5310">
        <v>90.09</v>
      </c>
      <c r="T5310" t="s">
        <v>17688</v>
      </c>
    </row>
    <row r="5311" spans="1:20" x14ac:dyDescent="0.25">
      <c r="A5311" s="1" t="str">
        <f>HYPERLINK("https://vegkart.atlas.vegvesen.no/#/@186748.6,6858032.0,18/hva:hva%5B0%5D%5Bfilter%5D%5B0%5D%5Boperator%5D=%21%3D&amp;hva%5B0%5D%5Bfilter%5D%5B0%5D%5Btype_id%5D=5897&amp;hva%5B0%5D%5Bfilter%5D%5B0%5D%5Bverdi%5D=&amp;hva%5B0%5D%5Bid%5D=47/når:2015-05-29", "Vegkart")</f>
        <v>Vegkart</v>
      </c>
      <c r="B5311">
        <v>91025754</v>
      </c>
      <c r="C5311">
        <v>47</v>
      </c>
      <c r="D5311" t="s">
        <v>16854</v>
      </c>
      <c r="E5311">
        <v>5897</v>
      </c>
      <c r="F5311" t="s">
        <v>23479</v>
      </c>
      <c r="G5311">
        <v>4</v>
      </c>
      <c r="H5311" t="s">
        <v>17689</v>
      </c>
      <c r="J5311" t="s">
        <v>17663</v>
      </c>
      <c r="K5311" t="s">
        <v>136</v>
      </c>
      <c r="L5311" t="s">
        <v>33</v>
      </c>
      <c r="M5311" t="s">
        <v>1222</v>
      </c>
      <c r="N5311" t="s">
        <v>17690</v>
      </c>
      <c r="O5311" t="s">
        <v>17691</v>
      </c>
      <c r="P5311" s="2" t="s">
        <v>26</v>
      </c>
      <c r="Q5311" t="s">
        <v>50</v>
      </c>
      <c r="R5311">
        <v>39.96</v>
      </c>
      <c r="S5311">
        <v>40.11</v>
      </c>
      <c r="T5311" t="s">
        <v>17692</v>
      </c>
    </row>
    <row r="5312" spans="1:20" x14ac:dyDescent="0.25">
      <c r="A5312" s="1" t="str">
        <f>HYPERLINK("https://vegkart.atlas.vegvesen.no/#/@186760.5,6858063.7,18/hva:hva%5B0%5D%5Bfilter%5D%5B0%5D%5Boperator%5D=%21%3D&amp;hva%5B0%5D%5Bfilter%5D%5B0%5D%5Btype_id%5D=5897&amp;hva%5B0%5D%5Bfilter%5D%5B0%5D%5Bverdi%5D=&amp;hva%5B0%5D%5Bid%5D=47/når:2013-11-26", "Vegkart")</f>
        <v>Vegkart</v>
      </c>
      <c r="B5312">
        <v>91025755</v>
      </c>
      <c r="C5312">
        <v>47</v>
      </c>
      <c r="D5312" t="s">
        <v>16854</v>
      </c>
      <c r="E5312">
        <v>5897</v>
      </c>
      <c r="F5312" t="s">
        <v>23479</v>
      </c>
      <c r="G5312">
        <v>3</v>
      </c>
      <c r="H5312" t="s">
        <v>17693</v>
      </c>
      <c r="J5312" t="s">
        <v>17663</v>
      </c>
      <c r="K5312" t="s">
        <v>136</v>
      </c>
      <c r="L5312" t="s">
        <v>33</v>
      </c>
      <c r="M5312" t="s">
        <v>1222</v>
      </c>
      <c r="N5312" t="s">
        <v>17694</v>
      </c>
      <c r="O5312" t="s">
        <v>17695</v>
      </c>
      <c r="P5312" s="2" t="s">
        <v>26</v>
      </c>
      <c r="Q5312" t="s">
        <v>50</v>
      </c>
      <c r="R5312">
        <v>55.4</v>
      </c>
      <c r="S5312">
        <v>56.76</v>
      </c>
      <c r="T5312" t="s">
        <v>17696</v>
      </c>
    </row>
    <row r="5313" spans="1:20" x14ac:dyDescent="0.25">
      <c r="A5313" s="1" t="str">
        <f>HYPERLINK("https://vegkart.atlas.vegvesen.no/#/@244091.4,6687360.0,18/hva:hva%5B0%5D%5Bfilter%5D%5B0%5D%5Boperator%5D=%21%3D&amp;hva%5B0%5D%5Bfilter%5D%5B0%5D%5Btype_id%5D=5897&amp;hva%5B0%5D%5Bfilter%5D%5B0%5D%5Bverdi%5D=&amp;hva%5B0%5D%5Bid%5D=47/når:2010-06-23", "Vegkart")</f>
        <v>Vegkart</v>
      </c>
      <c r="B5313">
        <v>91026458</v>
      </c>
      <c r="C5313">
        <v>47</v>
      </c>
      <c r="D5313" t="s">
        <v>16854</v>
      </c>
      <c r="E5313">
        <v>5897</v>
      </c>
      <c r="F5313" t="s">
        <v>23479</v>
      </c>
      <c r="G5313">
        <v>2</v>
      </c>
      <c r="H5313" t="s">
        <v>17697</v>
      </c>
      <c r="J5313" t="s">
        <v>17663</v>
      </c>
      <c r="K5313" t="s">
        <v>132</v>
      </c>
      <c r="L5313" t="s">
        <v>33</v>
      </c>
      <c r="M5313" t="s">
        <v>17698</v>
      </c>
      <c r="N5313" t="s">
        <v>17699</v>
      </c>
      <c r="O5313" t="s">
        <v>17700</v>
      </c>
      <c r="P5313" s="2" t="s">
        <v>26</v>
      </c>
      <c r="Q5313" t="s">
        <v>50</v>
      </c>
      <c r="R5313">
        <v>44.32</v>
      </c>
      <c r="S5313">
        <v>50.31</v>
      </c>
      <c r="T5313" t="s">
        <v>17701</v>
      </c>
    </row>
    <row r="5314" spans="1:20" x14ac:dyDescent="0.25">
      <c r="A5314" s="1" t="str">
        <f>HYPERLINK("https://vegkart.atlas.vegvesen.no/#/@201446.8,6858587.5,18/hva:hva%5B0%5D%5Bfilter%5D%5B0%5D%5Boperator%5D=%21%3D&amp;hva%5B0%5D%5Bfilter%5D%5B0%5D%5Btype_id%5D=5897&amp;hva%5B0%5D%5Bfilter%5D%5B0%5D%5Bverdi%5D=&amp;hva%5B0%5D%5Bid%5D=47/når:2008-05-06", "Vegkart")</f>
        <v>Vegkart</v>
      </c>
      <c r="B5314">
        <v>91029542</v>
      </c>
      <c r="C5314">
        <v>47</v>
      </c>
      <c r="D5314" t="s">
        <v>16854</v>
      </c>
      <c r="E5314">
        <v>5897</v>
      </c>
      <c r="F5314" t="s">
        <v>23479</v>
      </c>
      <c r="G5314">
        <v>2</v>
      </c>
      <c r="H5314" t="s">
        <v>17702</v>
      </c>
      <c r="J5314" t="s">
        <v>6479</v>
      </c>
      <c r="K5314" t="s">
        <v>136</v>
      </c>
      <c r="L5314" t="s">
        <v>33</v>
      </c>
      <c r="M5314" t="s">
        <v>1227</v>
      </c>
      <c r="N5314" t="s">
        <v>17703</v>
      </c>
      <c r="O5314" t="s">
        <v>17704</v>
      </c>
      <c r="P5314" s="2" t="s">
        <v>26</v>
      </c>
      <c r="Q5314" t="s">
        <v>50</v>
      </c>
      <c r="R5314">
        <v>42.28</v>
      </c>
      <c r="S5314">
        <v>43.18</v>
      </c>
      <c r="T5314" t="s">
        <v>17705</v>
      </c>
    </row>
    <row r="5315" spans="1:20" x14ac:dyDescent="0.25">
      <c r="A5315" s="1" t="str">
        <f>HYPERLINK("https://vegkart.atlas.vegvesen.no/#/@202900.1,6856971.8,18/hva:hva%5B0%5D%5Bfilter%5D%5B0%5D%5Boperator%5D=%21%3D&amp;hva%5B0%5D%5Bfilter%5D%5B0%5D%5Btype_id%5D=5897&amp;hva%5B0%5D%5Bfilter%5D%5B0%5D%5Bverdi%5D=&amp;hva%5B0%5D%5Bid%5D=47/når:2001-06-05", "Vegkart")</f>
        <v>Vegkart</v>
      </c>
      <c r="B5315">
        <v>91029543</v>
      </c>
      <c r="C5315">
        <v>47</v>
      </c>
      <c r="D5315" t="s">
        <v>16854</v>
      </c>
      <c r="E5315">
        <v>5897</v>
      </c>
      <c r="F5315" t="s">
        <v>23479</v>
      </c>
      <c r="G5315">
        <v>1</v>
      </c>
      <c r="H5315" t="s">
        <v>17706</v>
      </c>
      <c r="J5315" t="s">
        <v>6479</v>
      </c>
      <c r="K5315" t="s">
        <v>136</v>
      </c>
      <c r="L5315" t="s">
        <v>33</v>
      </c>
      <c r="M5315" t="s">
        <v>1227</v>
      </c>
      <c r="N5315" t="s">
        <v>17707</v>
      </c>
      <c r="O5315" t="s">
        <v>17708</v>
      </c>
      <c r="P5315" s="2" t="s">
        <v>26</v>
      </c>
      <c r="Q5315" t="s">
        <v>50</v>
      </c>
      <c r="R5315">
        <v>90.86</v>
      </c>
      <c r="S5315">
        <v>91.6</v>
      </c>
      <c r="T5315" t="s">
        <v>17709</v>
      </c>
    </row>
    <row r="5316" spans="1:20" x14ac:dyDescent="0.25">
      <c r="A5316" s="1" t="str">
        <f>HYPERLINK("https://vegkart.atlas.vegvesen.no/#/@222130.8,6831314.9,18/hva:hva%5B0%5D%5Bfilter%5D%5B0%5D%5Boperator%5D=%21%3D&amp;hva%5B0%5D%5Bfilter%5D%5B0%5D%5Btype_id%5D=5897&amp;hva%5B0%5D%5Bfilter%5D%5B0%5D%5Bverdi%5D=&amp;hva%5B0%5D%5Bid%5D=47/når:2008-05-08", "Vegkart")</f>
        <v>Vegkart</v>
      </c>
      <c r="B5316">
        <v>91043327</v>
      </c>
      <c r="C5316">
        <v>47</v>
      </c>
      <c r="D5316" t="s">
        <v>16854</v>
      </c>
      <c r="E5316">
        <v>5897</v>
      </c>
      <c r="F5316" t="s">
        <v>23479</v>
      </c>
      <c r="G5316">
        <v>2</v>
      </c>
      <c r="H5316" t="s">
        <v>17710</v>
      </c>
      <c r="J5316" t="s">
        <v>6479</v>
      </c>
      <c r="K5316" t="s">
        <v>136</v>
      </c>
      <c r="L5316" t="s">
        <v>33</v>
      </c>
      <c r="M5316" t="s">
        <v>17711</v>
      </c>
      <c r="N5316" t="s">
        <v>17712</v>
      </c>
      <c r="O5316" t="s">
        <v>17713</v>
      </c>
      <c r="P5316" s="2" t="s">
        <v>26</v>
      </c>
      <c r="Q5316" t="s">
        <v>50</v>
      </c>
      <c r="R5316">
        <v>59.6</v>
      </c>
      <c r="S5316">
        <v>59.89</v>
      </c>
      <c r="T5316" t="s">
        <v>17714</v>
      </c>
    </row>
    <row r="5317" spans="1:20" x14ac:dyDescent="0.25">
      <c r="A5317" s="1" t="str">
        <f>HYPERLINK("https://vegkart.atlas.vegvesen.no/#/@256521.3,6699662.9,18/hva:hva%5B0%5D%5Bfilter%5D%5B0%5D%5Boperator%5D=%21%3D&amp;hva%5B0%5D%5Bfilter%5D%5B0%5D%5Btype_id%5D=5897&amp;hva%5B0%5D%5Bfilter%5D%5B0%5D%5Bverdi%5D=&amp;hva%5B0%5D%5Bid%5D=47/når:2024-07-31", "Vegkart")</f>
        <v>Vegkart</v>
      </c>
      <c r="B5317">
        <v>91107315</v>
      </c>
      <c r="C5317">
        <v>47</v>
      </c>
      <c r="D5317" t="s">
        <v>16854</v>
      </c>
      <c r="E5317">
        <v>5897</v>
      </c>
      <c r="F5317" t="s">
        <v>23479</v>
      </c>
      <c r="G5317">
        <v>3</v>
      </c>
      <c r="H5317" t="s">
        <v>912</v>
      </c>
      <c r="J5317" t="s">
        <v>17715</v>
      </c>
      <c r="K5317" t="s">
        <v>136</v>
      </c>
      <c r="L5317" t="s">
        <v>33</v>
      </c>
      <c r="M5317" t="s">
        <v>17625</v>
      </c>
      <c r="N5317" t="s">
        <v>17716</v>
      </c>
      <c r="O5317" t="s">
        <v>17717</v>
      </c>
      <c r="P5317" s="2" t="s">
        <v>165</v>
      </c>
      <c r="Q5317" t="s">
        <v>166</v>
      </c>
      <c r="R5317">
        <v>43.7</v>
      </c>
      <c r="S5317">
        <v>47.86</v>
      </c>
      <c r="T5317" t="s">
        <v>167</v>
      </c>
    </row>
    <row r="5318" spans="1:20" x14ac:dyDescent="0.25">
      <c r="A5318" s="1" t="str">
        <f>HYPERLINK("https://vegkart.atlas.vegvesen.no/#/@260397.6,6688783.9,18/hva:hva%5B0%5D%5Bfilter%5D%5B0%5D%5Boperator%5D=%21%3D&amp;hva%5B0%5D%5Bfilter%5D%5B0%5D%5Btype_id%5D=5897&amp;hva%5B0%5D%5Bfilter%5D%5B0%5D%5Bverdi%5D=&amp;hva%5B0%5D%5Bid%5D=47/når:2010-05-11", "Vegkart")</f>
        <v>Vegkart</v>
      </c>
      <c r="B5318">
        <v>91112092</v>
      </c>
      <c r="C5318">
        <v>47</v>
      </c>
      <c r="D5318" t="s">
        <v>16854</v>
      </c>
      <c r="E5318">
        <v>5897</v>
      </c>
      <c r="F5318" t="s">
        <v>23479</v>
      </c>
      <c r="G5318">
        <v>2</v>
      </c>
      <c r="H5318" t="s">
        <v>17583</v>
      </c>
      <c r="J5318" t="s">
        <v>17715</v>
      </c>
      <c r="K5318" t="s">
        <v>132</v>
      </c>
      <c r="L5318" t="s">
        <v>33</v>
      </c>
      <c r="M5318" t="s">
        <v>17579</v>
      </c>
      <c r="N5318" t="s">
        <v>17718</v>
      </c>
      <c r="O5318" t="s">
        <v>17719</v>
      </c>
      <c r="P5318" s="2" t="s">
        <v>26</v>
      </c>
      <c r="Q5318" t="s">
        <v>50</v>
      </c>
      <c r="R5318">
        <v>38.44</v>
      </c>
      <c r="S5318">
        <v>39.15</v>
      </c>
      <c r="T5318" t="s">
        <v>17720</v>
      </c>
    </row>
    <row r="5319" spans="1:20" x14ac:dyDescent="0.25">
      <c r="A5319" s="1" t="str">
        <f>HYPERLINK("https://vegkart.atlas.vegvesen.no/#/@260007.7,6687899.3,18/hva:hva%5B0%5D%5Bfilter%5D%5B0%5D%5Boperator%5D=%21%3D&amp;hva%5B0%5D%5Bfilter%5D%5B0%5D%5Btype_id%5D=5897&amp;hva%5B0%5D%5Bfilter%5D%5B0%5D%5Bverdi%5D=&amp;hva%5B0%5D%5Bid%5D=47/når:2010-05-11", "Vegkart")</f>
        <v>Vegkart</v>
      </c>
      <c r="B5319">
        <v>91112199</v>
      </c>
      <c r="C5319">
        <v>47</v>
      </c>
      <c r="D5319" t="s">
        <v>16854</v>
      </c>
      <c r="E5319">
        <v>5897</v>
      </c>
      <c r="F5319" t="s">
        <v>23479</v>
      </c>
      <c r="G5319">
        <v>2</v>
      </c>
      <c r="H5319" t="s">
        <v>17583</v>
      </c>
      <c r="J5319" t="s">
        <v>17715</v>
      </c>
      <c r="K5319" t="s">
        <v>132</v>
      </c>
      <c r="L5319" t="s">
        <v>33</v>
      </c>
      <c r="M5319" t="s">
        <v>17579</v>
      </c>
      <c r="N5319" t="s">
        <v>17721</v>
      </c>
      <c r="O5319" t="s">
        <v>17722</v>
      </c>
      <c r="P5319" s="2" t="s">
        <v>26</v>
      </c>
      <c r="Q5319" t="s">
        <v>50</v>
      </c>
      <c r="R5319">
        <v>49.99</v>
      </c>
      <c r="S5319">
        <v>50.56</v>
      </c>
      <c r="T5319" t="s">
        <v>17723</v>
      </c>
    </row>
    <row r="5320" spans="1:20" x14ac:dyDescent="0.25">
      <c r="A5320" s="1" t="str">
        <f>HYPERLINK("https://vegkart.atlas.vegvesen.no/#/@261975.3,6685786.2,18/hva:hva%5B0%5D%5Bfilter%5D%5B0%5D%5Boperator%5D=%21%3D&amp;hva%5B0%5D%5Bfilter%5D%5B0%5D%5Btype_id%5D=5897&amp;hva%5B0%5D%5Bfilter%5D%5B0%5D%5Bverdi%5D=&amp;hva%5B0%5D%5Bid%5D=47/når:2015-08-05", "Vegkart")</f>
        <v>Vegkart</v>
      </c>
      <c r="B5320">
        <v>91112473</v>
      </c>
      <c r="C5320">
        <v>47</v>
      </c>
      <c r="D5320" t="s">
        <v>16854</v>
      </c>
      <c r="E5320">
        <v>5897</v>
      </c>
      <c r="F5320" t="s">
        <v>23479</v>
      </c>
      <c r="G5320">
        <v>3</v>
      </c>
      <c r="H5320" t="s">
        <v>13855</v>
      </c>
      <c r="J5320" t="s">
        <v>17715</v>
      </c>
      <c r="K5320" t="s">
        <v>132</v>
      </c>
      <c r="L5320" t="s">
        <v>33</v>
      </c>
      <c r="M5320" t="s">
        <v>17579</v>
      </c>
      <c r="N5320" t="s">
        <v>17724</v>
      </c>
      <c r="O5320" t="s">
        <v>17725</v>
      </c>
      <c r="P5320" s="2" t="s">
        <v>26</v>
      </c>
      <c r="Q5320" t="s">
        <v>50</v>
      </c>
      <c r="R5320">
        <v>61.86</v>
      </c>
      <c r="S5320">
        <v>62.77</v>
      </c>
      <c r="T5320" t="s">
        <v>17726</v>
      </c>
    </row>
    <row r="5321" spans="1:20" x14ac:dyDescent="0.25">
      <c r="A5321" s="1" t="str">
        <f>HYPERLINK("https://vegkart.atlas.vegvesen.no/#/@262198.9,6685490.5,18/hva:hva%5B0%5D%5Bfilter%5D%5B0%5D%5Boperator%5D=%21%3D&amp;hva%5B0%5D%5Bfilter%5D%5B0%5D%5Btype_id%5D=5897&amp;hva%5B0%5D%5Bfilter%5D%5B0%5D%5Bverdi%5D=&amp;hva%5B0%5D%5Bid%5D=47/når:2010-05-11", "Vegkart")</f>
        <v>Vegkart</v>
      </c>
      <c r="B5321">
        <v>91112488</v>
      </c>
      <c r="C5321">
        <v>47</v>
      </c>
      <c r="D5321" t="s">
        <v>16854</v>
      </c>
      <c r="E5321">
        <v>5897</v>
      </c>
      <c r="F5321" t="s">
        <v>23479</v>
      </c>
      <c r="G5321">
        <v>2</v>
      </c>
      <c r="H5321" t="s">
        <v>17583</v>
      </c>
      <c r="J5321" t="s">
        <v>17715</v>
      </c>
      <c r="K5321" t="s">
        <v>132</v>
      </c>
      <c r="L5321" t="s">
        <v>33</v>
      </c>
      <c r="M5321" t="s">
        <v>17579</v>
      </c>
      <c r="N5321" t="s">
        <v>17727</v>
      </c>
      <c r="O5321" t="s">
        <v>17728</v>
      </c>
      <c r="P5321" s="2" t="s">
        <v>26</v>
      </c>
      <c r="Q5321" t="s">
        <v>50</v>
      </c>
      <c r="R5321">
        <v>33.89</v>
      </c>
      <c r="S5321">
        <v>34.340000000000003</v>
      </c>
      <c r="T5321" t="s">
        <v>17729</v>
      </c>
    </row>
    <row r="5322" spans="1:20" x14ac:dyDescent="0.25">
      <c r="A5322" s="1" t="str">
        <f>HYPERLINK("https://vegkart.atlas.vegvesen.no/#/@262251.6,6685046.8,18/hva:hva%5B0%5D%5Bfilter%5D%5B0%5D%5Boperator%5D=%21%3D&amp;hva%5B0%5D%5Bfilter%5D%5B0%5D%5Btype_id%5D=5897&amp;hva%5B0%5D%5Bfilter%5D%5B0%5D%5Bverdi%5D=&amp;hva%5B0%5D%5Bid%5D=47/når:2010-05-11", "Vegkart")</f>
        <v>Vegkart</v>
      </c>
      <c r="B5322">
        <v>91112520</v>
      </c>
      <c r="C5322">
        <v>47</v>
      </c>
      <c r="D5322" t="s">
        <v>16854</v>
      </c>
      <c r="E5322">
        <v>5897</v>
      </c>
      <c r="F5322" t="s">
        <v>23479</v>
      </c>
      <c r="G5322">
        <v>2</v>
      </c>
      <c r="H5322" t="s">
        <v>17583</v>
      </c>
      <c r="J5322" t="s">
        <v>17715</v>
      </c>
      <c r="K5322" t="s">
        <v>132</v>
      </c>
      <c r="L5322" t="s">
        <v>33</v>
      </c>
      <c r="M5322" t="s">
        <v>17579</v>
      </c>
      <c r="N5322" t="s">
        <v>17730</v>
      </c>
      <c r="O5322" t="s">
        <v>17731</v>
      </c>
      <c r="P5322" s="2" t="s">
        <v>26</v>
      </c>
      <c r="Q5322" t="s">
        <v>50</v>
      </c>
      <c r="R5322">
        <v>43.09</v>
      </c>
      <c r="S5322">
        <v>43.69</v>
      </c>
      <c r="T5322" t="s">
        <v>17732</v>
      </c>
    </row>
    <row r="5323" spans="1:20" x14ac:dyDescent="0.25">
      <c r="A5323" s="1" t="str">
        <f>HYPERLINK("https://vegkart.atlas.vegvesen.no/#/@262251.2,6684992.6,18/hva:hva%5B0%5D%5Bfilter%5D%5B0%5D%5Boperator%5D=%21%3D&amp;hva%5B0%5D%5Bfilter%5D%5B0%5D%5Btype_id%5D=5897&amp;hva%5B0%5D%5Bfilter%5D%5B0%5D%5Bverdi%5D=&amp;hva%5B0%5D%5Bid%5D=47/når:2010-05-11", "Vegkart")</f>
        <v>Vegkart</v>
      </c>
      <c r="B5323">
        <v>91112526</v>
      </c>
      <c r="C5323">
        <v>47</v>
      </c>
      <c r="D5323" t="s">
        <v>16854</v>
      </c>
      <c r="E5323">
        <v>5897</v>
      </c>
      <c r="F5323" t="s">
        <v>23479</v>
      </c>
      <c r="G5323">
        <v>2</v>
      </c>
      <c r="H5323" t="s">
        <v>17583</v>
      </c>
      <c r="J5323" t="s">
        <v>17715</v>
      </c>
      <c r="K5323" t="s">
        <v>132</v>
      </c>
      <c r="L5323" t="s">
        <v>33</v>
      </c>
      <c r="M5323" t="s">
        <v>17579</v>
      </c>
      <c r="N5323" t="s">
        <v>17733</v>
      </c>
      <c r="O5323" t="s">
        <v>17734</v>
      </c>
      <c r="P5323" s="2" t="s">
        <v>26</v>
      </c>
      <c r="Q5323" t="s">
        <v>50</v>
      </c>
      <c r="R5323">
        <v>46.8</v>
      </c>
      <c r="S5323">
        <v>47.57</v>
      </c>
      <c r="T5323" t="s">
        <v>17735</v>
      </c>
    </row>
    <row r="5324" spans="1:20" x14ac:dyDescent="0.25">
      <c r="A5324" s="1" t="str">
        <f>HYPERLINK("https://vegkart.atlas.vegvesen.no/#/@262307.3,6682549.9,18/hva:hva%5B0%5D%5Bfilter%5D%5B0%5D%5Boperator%5D=%21%3D&amp;hva%5B0%5D%5Bfilter%5D%5B0%5D%5Btype_id%5D=5897&amp;hva%5B0%5D%5Bfilter%5D%5B0%5D%5Bverdi%5D=&amp;hva%5B0%5D%5Bid%5D=47/når:2015-08-05", "Vegkart")</f>
        <v>Vegkart</v>
      </c>
      <c r="B5324">
        <v>91112696</v>
      </c>
      <c r="C5324">
        <v>47</v>
      </c>
      <c r="D5324" t="s">
        <v>16854</v>
      </c>
      <c r="E5324">
        <v>5897</v>
      </c>
      <c r="F5324" t="s">
        <v>23479</v>
      </c>
      <c r="G5324">
        <v>3</v>
      </c>
      <c r="H5324" t="s">
        <v>13855</v>
      </c>
      <c r="J5324" t="s">
        <v>17715</v>
      </c>
      <c r="K5324" t="s">
        <v>132</v>
      </c>
      <c r="L5324" t="s">
        <v>33</v>
      </c>
      <c r="M5324" t="s">
        <v>17579</v>
      </c>
      <c r="N5324" t="s">
        <v>17736</v>
      </c>
      <c r="O5324" t="s">
        <v>17737</v>
      </c>
      <c r="P5324" s="2" t="s">
        <v>26</v>
      </c>
      <c r="Q5324" t="s">
        <v>50</v>
      </c>
      <c r="R5324">
        <v>22.94</v>
      </c>
      <c r="S5324">
        <v>22.97</v>
      </c>
      <c r="T5324" t="s">
        <v>17738</v>
      </c>
    </row>
    <row r="5325" spans="1:20" x14ac:dyDescent="0.25">
      <c r="A5325" s="1" t="str">
        <f>HYPERLINK("https://vegkart.atlas.vegvesen.no/#/@197992.9,6860431.7,18/hva:hva%5B0%5D%5Bfilter%5D%5B0%5D%5Boperator%5D=%21%3D&amp;hva%5B0%5D%5Bfilter%5D%5B0%5D%5Btype_id%5D=5897&amp;hva%5B0%5D%5Bfilter%5D%5B0%5D%5Bverdi%5D=&amp;hva%5B0%5D%5Bid%5D=47/når:2018-06-12", "Vegkart")</f>
        <v>Vegkart</v>
      </c>
      <c r="B5325">
        <v>91117521</v>
      </c>
      <c r="C5325">
        <v>47</v>
      </c>
      <c r="D5325" t="s">
        <v>16854</v>
      </c>
      <c r="E5325">
        <v>5897</v>
      </c>
      <c r="F5325" t="s">
        <v>23479</v>
      </c>
      <c r="G5325">
        <v>2</v>
      </c>
      <c r="H5325" t="s">
        <v>2119</v>
      </c>
      <c r="J5325" t="s">
        <v>17715</v>
      </c>
      <c r="K5325" t="s">
        <v>136</v>
      </c>
      <c r="L5325" t="s">
        <v>33</v>
      </c>
      <c r="M5325" t="s">
        <v>1227</v>
      </c>
      <c r="N5325" t="s">
        <v>17739</v>
      </c>
      <c r="O5325" t="s">
        <v>17740</v>
      </c>
      <c r="P5325" s="2" t="s">
        <v>26</v>
      </c>
      <c r="Q5325" t="s">
        <v>50</v>
      </c>
      <c r="R5325">
        <v>54.64</v>
      </c>
      <c r="S5325">
        <v>55.06</v>
      </c>
      <c r="T5325" t="s">
        <v>17741</v>
      </c>
    </row>
    <row r="5326" spans="1:20" x14ac:dyDescent="0.25">
      <c r="A5326" s="1" t="str">
        <f>HYPERLINK("https://vegkart.atlas.vegvesen.no/#/@200262.4,6859628.0,18/hva:hva%5B0%5D%5Bfilter%5D%5B0%5D%5Boperator%5D=%21%3D&amp;hva%5B0%5D%5Bfilter%5D%5B0%5D%5Btype_id%5D=5897&amp;hva%5B0%5D%5Bfilter%5D%5B0%5D%5Bverdi%5D=&amp;hva%5B0%5D%5Bid%5D=47/når:2015-04-07", "Vegkart")</f>
        <v>Vegkart</v>
      </c>
      <c r="B5326">
        <v>91117796</v>
      </c>
      <c r="C5326">
        <v>47</v>
      </c>
      <c r="D5326" t="s">
        <v>16854</v>
      </c>
      <c r="E5326">
        <v>5897</v>
      </c>
      <c r="F5326" t="s">
        <v>23479</v>
      </c>
      <c r="G5326">
        <v>2</v>
      </c>
      <c r="H5326" t="s">
        <v>13793</v>
      </c>
      <c r="J5326" t="s">
        <v>17715</v>
      </c>
      <c r="K5326" t="s">
        <v>136</v>
      </c>
      <c r="L5326" t="s">
        <v>33</v>
      </c>
      <c r="M5326" t="s">
        <v>1227</v>
      </c>
      <c r="N5326" t="s">
        <v>17742</v>
      </c>
      <c r="O5326" t="s">
        <v>17743</v>
      </c>
      <c r="P5326" s="2" t="s">
        <v>26</v>
      </c>
      <c r="Q5326" t="s">
        <v>50</v>
      </c>
      <c r="R5326">
        <v>36.549999999999997</v>
      </c>
      <c r="S5326">
        <v>36.69</v>
      </c>
      <c r="T5326" t="s">
        <v>17744</v>
      </c>
    </row>
    <row r="5327" spans="1:20" x14ac:dyDescent="0.25">
      <c r="A5327" s="1" t="str">
        <f>HYPERLINK("https://vegkart.atlas.vegvesen.no/#/@203956.2,6855516.3,18/hva:hva%5B0%5D%5Bfilter%5D%5B0%5D%5Boperator%5D=%21%3D&amp;hva%5B0%5D%5Bfilter%5D%5B0%5D%5Btype_id%5D=5897&amp;hva%5B0%5D%5Bfilter%5D%5B0%5D%5Bverdi%5D=&amp;hva%5B0%5D%5Bid%5D=47/når:1991-06-10", "Vegkart")</f>
        <v>Vegkart</v>
      </c>
      <c r="B5327">
        <v>91118032</v>
      </c>
      <c r="C5327">
        <v>47</v>
      </c>
      <c r="D5327" t="s">
        <v>16854</v>
      </c>
      <c r="E5327">
        <v>5897</v>
      </c>
      <c r="F5327" t="s">
        <v>23479</v>
      </c>
      <c r="G5327">
        <v>1</v>
      </c>
      <c r="H5327" t="s">
        <v>17745</v>
      </c>
      <c r="J5327" t="s">
        <v>17715</v>
      </c>
      <c r="K5327" t="s">
        <v>136</v>
      </c>
      <c r="L5327" t="s">
        <v>33</v>
      </c>
      <c r="M5327" t="s">
        <v>1227</v>
      </c>
      <c r="N5327" t="s">
        <v>17746</v>
      </c>
      <c r="O5327" t="s">
        <v>17747</v>
      </c>
      <c r="P5327" s="2" t="s">
        <v>26</v>
      </c>
      <c r="Q5327" t="s">
        <v>50</v>
      </c>
      <c r="R5327">
        <v>45.87</v>
      </c>
      <c r="S5327">
        <v>46.3</v>
      </c>
      <c r="T5327" t="s">
        <v>17748</v>
      </c>
    </row>
    <row r="5328" spans="1:20" x14ac:dyDescent="0.25">
      <c r="A5328" s="1" t="str">
        <f>HYPERLINK("https://vegkart.atlas.vegvesen.no/#/@204636.1,6855139.2,18/hva:hva%5B0%5D%5Bfilter%5D%5B0%5D%5Boperator%5D=%21%3D&amp;hva%5B0%5D%5Bfilter%5D%5B0%5D%5Btype_id%5D=5897&amp;hva%5B0%5D%5Bfilter%5D%5B0%5D%5Bverdi%5D=&amp;hva%5B0%5D%5Bid%5D=47/når:2001-06-05", "Vegkart")</f>
        <v>Vegkart</v>
      </c>
      <c r="B5328">
        <v>91118059</v>
      </c>
      <c r="C5328">
        <v>47</v>
      </c>
      <c r="D5328" t="s">
        <v>16854</v>
      </c>
      <c r="E5328">
        <v>5897</v>
      </c>
      <c r="F5328" t="s">
        <v>23479</v>
      </c>
      <c r="G5328">
        <v>1</v>
      </c>
      <c r="H5328" t="s">
        <v>17706</v>
      </c>
      <c r="J5328" t="s">
        <v>17715</v>
      </c>
      <c r="K5328" t="s">
        <v>136</v>
      </c>
      <c r="L5328" t="s">
        <v>33</v>
      </c>
      <c r="M5328" t="s">
        <v>1227</v>
      </c>
      <c r="N5328" t="s">
        <v>17749</v>
      </c>
      <c r="O5328" t="s">
        <v>17750</v>
      </c>
      <c r="P5328" s="2" t="s">
        <v>26</v>
      </c>
      <c r="Q5328" t="s">
        <v>50</v>
      </c>
      <c r="R5328">
        <v>46.84</v>
      </c>
      <c r="S5328">
        <v>48.06</v>
      </c>
      <c r="T5328" t="s">
        <v>17751</v>
      </c>
    </row>
    <row r="5329" spans="1:20" x14ac:dyDescent="0.25">
      <c r="A5329" s="1" t="str">
        <f>HYPERLINK("https://vegkart.atlas.vegvesen.no/#/@205382.8,6854622.9,18/hva:hva%5B0%5D%5Bfilter%5D%5B0%5D%5Boperator%5D=%21%3D&amp;hva%5B0%5D%5Bfilter%5D%5B0%5D%5Btype_id%5D=5897&amp;hva%5B0%5D%5Bfilter%5D%5B0%5D%5Bverdi%5D=&amp;hva%5B0%5D%5Bid%5D=47/når:1991-06-10", "Vegkart")</f>
        <v>Vegkart</v>
      </c>
      <c r="B5329">
        <v>91118093</v>
      </c>
      <c r="C5329">
        <v>47</v>
      </c>
      <c r="D5329" t="s">
        <v>16854</v>
      </c>
      <c r="E5329">
        <v>5897</v>
      </c>
      <c r="F5329" t="s">
        <v>23479</v>
      </c>
      <c r="G5329">
        <v>1</v>
      </c>
      <c r="H5329" t="s">
        <v>17745</v>
      </c>
      <c r="J5329" t="s">
        <v>17715</v>
      </c>
      <c r="K5329" t="s">
        <v>136</v>
      </c>
      <c r="L5329" t="s">
        <v>33</v>
      </c>
      <c r="M5329" t="s">
        <v>1227</v>
      </c>
      <c r="N5329" t="s">
        <v>17752</v>
      </c>
      <c r="O5329" t="s">
        <v>17753</v>
      </c>
      <c r="P5329" s="2" t="s">
        <v>26</v>
      </c>
      <c r="Q5329" t="s">
        <v>50</v>
      </c>
      <c r="R5329">
        <v>52.13</v>
      </c>
      <c r="S5329">
        <v>52.18</v>
      </c>
      <c r="T5329" t="s">
        <v>17754</v>
      </c>
    </row>
    <row r="5330" spans="1:20" x14ac:dyDescent="0.25">
      <c r="A5330" s="1" t="str">
        <f>HYPERLINK("https://vegkart.atlas.vegvesen.no/#/@243805.6,6687126.0,18/hva:hva%5B0%5D%5Bfilter%5D%5B0%5D%5Boperator%5D=%21%3D&amp;hva%5B0%5D%5Bfilter%5D%5B0%5D%5Btype_id%5D=5897&amp;hva%5B0%5D%5Bfilter%5D%5B0%5D%5Bverdi%5D=&amp;hva%5B0%5D%5Bid%5D=47/når:2010-06-23", "Vegkart")</f>
        <v>Vegkart</v>
      </c>
      <c r="B5330">
        <v>91135507</v>
      </c>
      <c r="C5330">
        <v>47</v>
      </c>
      <c r="D5330" t="s">
        <v>16854</v>
      </c>
      <c r="E5330">
        <v>5897</v>
      </c>
      <c r="F5330" t="s">
        <v>23479</v>
      </c>
      <c r="G5330">
        <v>2</v>
      </c>
      <c r="H5330" t="s">
        <v>17697</v>
      </c>
      <c r="J5330" t="s">
        <v>17715</v>
      </c>
      <c r="K5330" t="s">
        <v>132</v>
      </c>
      <c r="L5330" t="s">
        <v>33</v>
      </c>
      <c r="M5330" t="s">
        <v>17698</v>
      </c>
      <c r="N5330" t="s">
        <v>17755</v>
      </c>
      <c r="O5330" t="s">
        <v>17756</v>
      </c>
      <c r="P5330" s="2" t="s">
        <v>26</v>
      </c>
      <c r="Q5330" t="s">
        <v>50</v>
      </c>
      <c r="R5330">
        <v>38.64</v>
      </c>
      <c r="S5330">
        <v>39.24</v>
      </c>
      <c r="T5330" t="s">
        <v>17757</v>
      </c>
    </row>
    <row r="5331" spans="1:20" x14ac:dyDescent="0.25">
      <c r="A5331" s="1" t="str">
        <f>HYPERLINK("https://vegkart.atlas.vegvesen.no/#/@249990.8,6703592.2,18/hva:hva%5B0%5D%5Bfilter%5D%5B0%5D%5Boperator%5D=%21%3D&amp;hva%5B0%5D%5Bfilter%5D%5B0%5D%5Btype_id%5D=5897&amp;hva%5B0%5D%5Bfilter%5D%5B0%5D%5Bverdi%5D=&amp;hva%5B0%5D%5Bid%5D=47/når:2024-07-29", "Vegkart")</f>
        <v>Vegkart</v>
      </c>
      <c r="B5331">
        <v>91137595</v>
      </c>
      <c r="C5331">
        <v>47</v>
      </c>
      <c r="D5331" t="s">
        <v>16854</v>
      </c>
      <c r="E5331">
        <v>5897</v>
      </c>
      <c r="F5331" t="s">
        <v>23479</v>
      </c>
      <c r="G5331">
        <v>3</v>
      </c>
      <c r="H5331" t="s">
        <v>17682</v>
      </c>
      <c r="J5331" t="s">
        <v>17715</v>
      </c>
      <c r="K5331" t="s">
        <v>136</v>
      </c>
      <c r="L5331" t="s">
        <v>33</v>
      </c>
      <c r="M5331" t="s">
        <v>17679</v>
      </c>
      <c r="N5331" t="s">
        <v>17758</v>
      </c>
      <c r="O5331" t="s">
        <v>17759</v>
      </c>
      <c r="P5331" s="2" t="s">
        <v>165</v>
      </c>
      <c r="Q5331" t="s">
        <v>166</v>
      </c>
      <c r="R5331">
        <v>46.15</v>
      </c>
      <c r="S5331">
        <v>50.54</v>
      </c>
      <c r="T5331" t="s">
        <v>167</v>
      </c>
    </row>
    <row r="5332" spans="1:20" x14ac:dyDescent="0.25">
      <c r="A5332" s="1" t="str">
        <f>HYPERLINK("https://vegkart.atlas.vegvesen.no/#/@130761.4,6847796.3,18/hva:hva%5B0%5D%5Bfilter%5D%5B0%5D%5Boperator%5D=%21%3D&amp;hva%5B0%5D%5Bfilter%5D%5B0%5D%5Btype_id%5D=5897&amp;hva%5B0%5D%5Bfilter%5D%5B0%5D%5Bverdi%5D=&amp;hva%5B0%5D%5Bid%5D=47/når:2010-08-25", "Vegkart")</f>
        <v>Vegkart</v>
      </c>
      <c r="B5332">
        <v>91142167</v>
      </c>
      <c r="C5332">
        <v>47</v>
      </c>
      <c r="D5332" t="s">
        <v>16854</v>
      </c>
      <c r="E5332">
        <v>5897</v>
      </c>
      <c r="F5332" t="s">
        <v>23479</v>
      </c>
      <c r="G5332">
        <v>3</v>
      </c>
      <c r="H5332" t="s">
        <v>17598</v>
      </c>
      <c r="J5332" t="s">
        <v>17760</v>
      </c>
      <c r="K5332" t="s">
        <v>136</v>
      </c>
      <c r="L5332" t="s">
        <v>33</v>
      </c>
      <c r="M5332" t="s">
        <v>179</v>
      </c>
      <c r="N5332" t="s">
        <v>17761</v>
      </c>
      <c r="O5332" t="s">
        <v>17762</v>
      </c>
      <c r="P5332" s="2" t="s">
        <v>26</v>
      </c>
      <c r="Q5332" t="s">
        <v>50</v>
      </c>
      <c r="R5332">
        <v>71.25</v>
      </c>
      <c r="S5332">
        <v>81.44</v>
      </c>
      <c r="T5332" t="s">
        <v>17763</v>
      </c>
    </row>
    <row r="5333" spans="1:20" x14ac:dyDescent="0.25">
      <c r="A5333" s="1" t="str">
        <f>HYPERLINK("https://vegkart.atlas.vegvesen.no/#/@134787.6,6854091.6,18/hva:hva%5B0%5D%5Bfilter%5D%5B0%5D%5Boperator%5D=%21%3D&amp;hva%5B0%5D%5Bfilter%5D%5B0%5D%5Btype_id%5D=5897&amp;hva%5B0%5D%5Bfilter%5D%5B0%5D%5Bverdi%5D=&amp;hva%5B0%5D%5Bid%5D=47/når:2015-04-16", "Vegkart")</f>
        <v>Vegkart</v>
      </c>
      <c r="B5333">
        <v>91142475</v>
      </c>
      <c r="C5333">
        <v>47</v>
      </c>
      <c r="D5333" t="s">
        <v>16854</v>
      </c>
      <c r="E5333">
        <v>5897</v>
      </c>
      <c r="F5333" t="s">
        <v>23479</v>
      </c>
      <c r="G5333">
        <v>3</v>
      </c>
      <c r="H5333" t="s">
        <v>17614</v>
      </c>
      <c r="J5333" t="s">
        <v>17760</v>
      </c>
      <c r="K5333" t="s">
        <v>136</v>
      </c>
      <c r="L5333" t="s">
        <v>33</v>
      </c>
      <c r="M5333" t="s">
        <v>179</v>
      </c>
      <c r="N5333" t="s">
        <v>17764</v>
      </c>
      <c r="O5333" t="s">
        <v>17765</v>
      </c>
      <c r="P5333" s="2" t="s">
        <v>26</v>
      </c>
      <c r="Q5333" t="s">
        <v>50</v>
      </c>
      <c r="R5333">
        <v>26.74</v>
      </c>
      <c r="S5333">
        <v>47.29</v>
      </c>
      <c r="T5333" t="s">
        <v>17766</v>
      </c>
    </row>
    <row r="5334" spans="1:20" x14ac:dyDescent="0.25">
      <c r="A5334" s="1" t="str">
        <f>HYPERLINK("https://vegkart.atlas.vegvesen.no/#/@139550.8,6855751.5,18/hva:hva%5B0%5D%5Bfilter%5D%5B0%5D%5Boperator%5D=%21%3D&amp;hva%5B0%5D%5Bfilter%5D%5B0%5D%5Btype_id%5D=5897&amp;hva%5B0%5D%5Bfilter%5D%5B0%5D%5Bverdi%5D=&amp;hva%5B0%5D%5Bid%5D=47/når:2022-07-04", "Vegkart")</f>
        <v>Vegkart</v>
      </c>
      <c r="B5334">
        <v>91142638</v>
      </c>
      <c r="C5334">
        <v>47</v>
      </c>
      <c r="D5334" t="s">
        <v>16854</v>
      </c>
      <c r="E5334">
        <v>5897</v>
      </c>
      <c r="F5334" t="s">
        <v>23479</v>
      </c>
      <c r="G5334">
        <v>4</v>
      </c>
      <c r="H5334" t="s">
        <v>17767</v>
      </c>
      <c r="J5334" t="s">
        <v>17760</v>
      </c>
      <c r="K5334" t="s">
        <v>136</v>
      </c>
      <c r="L5334" t="s">
        <v>33</v>
      </c>
      <c r="M5334" t="s">
        <v>179</v>
      </c>
      <c r="N5334" t="s">
        <v>17768</v>
      </c>
      <c r="O5334" t="s">
        <v>17769</v>
      </c>
      <c r="P5334" s="2" t="s">
        <v>26</v>
      </c>
      <c r="Q5334" t="s">
        <v>50</v>
      </c>
      <c r="R5334">
        <v>48.3</v>
      </c>
      <c r="S5334">
        <v>50.07</v>
      </c>
      <c r="T5334" t="s">
        <v>17770</v>
      </c>
    </row>
    <row r="5335" spans="1:20" x14ac:dyDescent="0.25">
      <c r="A5335" s="1" t="str">
        <f>HYPERLINK("https://vegkart.atlas.vegvesen.no/#/@139538.0,6855763.6,18/hva:hva%5B0%5D%5Bfilter%5D%5B0%5D%5Boperator%5D=%21%3D&amp;hva%5B0%5D%5Bfilter%5D%5B0%5D%5Btype_id%5D=5897&amp;hva%5B0%5D%5Bfilter%5D%5B0%5D%5Bverdi%5D=&amp;hva%5B0%5D%5Bid%5D=47/når:2010-06-03", "Vegkart")</f>
        <v>Vegkart</v>
      </c>
      <c r="B5335">
        <v>91142639</v>
      </c>
      <c r="C5335">
        <v>47</v>
      </c>
      <c r="D5335" t="s">
        <v>16854</v>
      </c>
      <c r="E5335">
        <v>5897</v>
      </c>
      <c r="F5335" t="s">
        <v>23479</v>
      </c>
      <c r="G5335">
        <v>3</v>
      </c>
      <c r="H5335" t="s">
        <v>17771</v>
      </c>
      <c r="J5335" t="s">
        <v>17760</v>
      </c>
      <c r="K5335" t="s">
        <v>136</v>
      </c>
      <c r="L5335" t="s">
        <v>33</v>
      </c>
      <c r="M5335" t="s">
        <v>179</v>
      </c>
      <c r="N5335" t="s">
        <v>17772</v>
      </c>
      <c r="O5335" t="s">
        <v>17773</v>
      </c>
      <c r="P5335" s="2" t="s">
        <v>26</v>
      </c>
      <c r="Q5335" t="s">
        <v>50</v>
      </c>
      <c r="R5335">
        <v>39.659999999999997</v>
      </c>
      <c r="S5335">
        <v>42.35</v>
      </c>
      <c r="T5335" t="s">
        <v>17774</v>
      </c>
    </row>
    <row r="5336" spans="1:20" x14ac:dyDescent="0.25">
      <c r="A5336" s="1" t="str">
        <f>HYPERLINK("https://vegkart.atlas.vegvesen.no/#/@141969.7,6857230.0,18/hva:hva%5B0%5D%5Bfilter%5D%5B0%5D%5Boperator%5D=%21%3D&amp;hva%5B0%5D%5Bfilter%5D%5B0%5D%5Btype_id%5D=5897&amp;hva%5B0%5D%5Bfilter%5D%5B0%5D%5Bverdi%5D=&amp;hva%5B0%5D%5Bid%5D=47/når:2010-06-03", "Vegkart")</f>
        <v>Vegkart</v>
      </c>
      <c r="B5336">
        <v>91142722</v>
      </c>
      <c r="C5336">
        <v>47</v>
      </c>
      <c r="D5336" t="s">
        <v>16854</v>
      </c>
      <c r="E5336">
        <v>5897</v>
      </c>
      <c r="F5336" t="s">
        <v>23479</v>
      </c>
      <c r="G5336">
        <v>3</v>
      </c>
      <c r="H5336" t="s">
        <v>17771</v>
      </c>
      <c r="J5336" t="s">
        <v>17760</v>
      </c>
      <c r="K5336" t="s">
        <v>136</v>
      </c>
      <c r="L5336" t="s">
        <v>33</v>
      </c>
      <c r="M5336" t="s">
        <v>179</v>
      </c>
      <c r="N5336" t="s">
        <v>17775</v>
      </c>
      <c r="O5336" t="s">
        <v>17776</v>
      </c>
      <c r="P5336" s="2" t="s">
        <v>26</v>
      </c>
      <c r="Q5336" t="s">
        <v>50</v>
      </c>
      <c r="R5336">
        <v>38.17</v>
      </c>
      <c r="S5336">
        <v>46.38</v>
      </c>
      <c r="T5336" t="s">
        <v>17777</v>
      </c>
    </row>
    <row r="5337" spans="1:20" x14ac:dyDescent="0.25">
      <c r="A5337" s="1" t="str">
        <f>HYPERLINK("https://vegkart.atlas.vegvesen.no/#/@151132.0,6864106.5,18/hva:hva%5B0%5D%5Bfilter%5D%5B0%5D%5Boperator%5D=%21%3D&amp;hva%5B0%5D%5Bfilter%5D%5B0%5D%5Btype_id%5D=5897&amp;hva%5B0%5D%5Bfilter%5D%5B0%5D%5Bverdi%5D=&amp;hva%5B0%5D%5Bid%5D=47/når:2015-04-15", "Vegkart")</f>
        <v>Vegkart</v>
      </c>
      <c r="B5337">
        <v>91143284</v>
      </c>
      <c r="C5337">
        <v>47</v>
      </c>
      <c r="D5337" t="s">
        <v>16854</v>
      </c>
      <c r="E5337">
        <v>5897</v>
      </c>
      <c r="F5337" t="s">
        <v>23479</v>
      </c>
      <c r="G5337">
        <v>2</v>
      </c>
      <c r="H5337" t="s">
        <v>6440</v>
      </c>
      <c r="J5337" t="s">
        <v>17778</v>
      </c>
      <c r="K5337" t="s">
        <v>136</v>
      </c>
      <c r="L5337" t="s">
        <v>33</v>
      </c>
      <c r="M5337" t="s">
        <v>179</v>
      </c>
      <c r="N5337" t="s">
        <v>17779</v>
      </c>
      <c r="O5337" t="s">
        <v>17780</v>
      </c>
      <c r="P5337" s="2" t="s">
        <v>26</v>
      </c>
      <c r="Q5337" t="s">
        <v>50</v>
      </c>
      <c r="R5337">
        <v>39.44</v>
      </c>
      <c r="S5337">
        <v>40.79</v>
      </c>
      <c r="T5337" t="s">
        <v>17781</v>
      </c>
    </row>
    <row r="5338" spans="1:20" x14ac:dyDescent="0.25">
      <c r="A5338" s="1" t="str">
        <f>HYPERLINK("https://vegkart.atlas.vegvesen.no/#/@188185.7,6864123.5,18/hva:hva%5B0%5D%5Bfilter%5D%5B0%5D%5Boperator%5D=%21%3D&amp;hva%5B0%5D%5Bfilter%5D%5B0%5D%5Btype_id%5D=5897&amp;hva%5B0%5D%5Bfilter%5D%5B0%5D%5Bverdi%5D=&amp;hva%5B0%5D%5Bid%5D=47/når:2010-06-30", "Vegkart")</f>
        <v>Vegkart</v>
      </c>
      <c r="B5338">
        <v>91144721</v>
      </c>
      <c r="C5338">
        <v>47</v>
      </c>
      <c r="D5338" t="s">
        <v>16854</v>
      </c>
      <c r="E5338">
        <v>5897</v>
      </c>
      <c r="F5338" t="s">
        <v>23479</v>
      </c>
      <c r="G5338">
        <v>2</v>
      </c>
      <c r="H5338" t="s">
        <v>17782</v>
      </c>
      <c r="J5338" t="s">
        <v>17760</v>
      </c>
      <c r="K5338" t="s">
        <v>136</v>
      </c>
      <c r="L5338" t="s">
        <v>33</v>
      </c>
      <c r="M5338" t="s">
        <v>1222</v>
      </c>
      <c r="N5338" t="s">
        <v>17783</v>
      </c>
      <c r="O5338" t="s">
        <v>17784</v>
      </c>
      <c r="P5338" s="2" t="s">
        <v>26</v>
      </c>
      <c r="Q5338" t="s">
        <v>50</v>
      </c>
      <c r="R5338">
        <v>43.81</v>
      </c>
      <c r="S5338">
        <v>44.85</v>
      </c>
      <c r="T5338" t="s">
        <v>17785</v>
      </c>
    </row>
    <row r="5339" spans="1:20" x14ac:dyDescent="0.25">
      <c r="A5339" s="1" t="str">
        <f>HYPERLINK("https://vegkart.atlas.vegvesen.no/#/@183014.9,6849902.7,18/hva:hva%5B0%5D%5Bfilter%5D%5B0%5D%5Boperator%5D=%21%3D&amp;hva%5B0%5D%5Bfilter%5D%5B0%5D%5Btype_id%5D=5897&amp;hva%5B0%5D%5Bfilter%5D%5B0%5D%5Bverdi%5D=&amp;hva%5B0%5D%5Bid%5D=47/når:2010-08-16", "Vegkart")</f>
        <v>Vegkart</v>
      </c>
      <c r="B5339">
        <v>91145247</v>
      </c>
      <c r="C5339">
        <v>47</v>
      </c>
      <c r="D5339" t="s">
        <v>16854</v>
      </c>
      <c r="E5339">
        <v>5897</v>
      </c>
      <c r="F5339" t="s">
        <v>23479</v>
      </c>
      <c r="G5339">
        <v>3</v>
      </c>
      <c r="H5339" t="s">
        <v>17786</v>
      </c>
      <c r="J5339" t="s">
        <v>17760</v>
      </c>
      <c r="K5339" t="s">
        <v>136</v>
      </c>
      <c r="L5339" t="s">
        <v>33</v>
      </c>
      <c r="M5339" t="s">
        <v>1222</v>
      </c>
      <c r="N5339" t="s">
        <v>17787</v>
      </c>
      <c r="O5339" t="s">
        <v>17788</v>
      </c>
      <c r="P5339" s="2" t="s">
        <v>26</v>
      </c>
      <c r="Q5339" t="s">
        <v>50</v>
      </c>
      <c r="R5339">
        <v>30.13</v>
      </c>
      <c r="S5339">
        <v>33.22</v>
      </c>
      <c r="T5339" t="s">
        <v>17789</v>
      </c>
    </row>
    <row r="5340" spans="1:20" x14ac:dyDescent="0.25">
      <c r="A5340" s="1" t="str">
        <f>HYPERLINK("https://vegkart.atlas.vegvesen.no/#/@176689.5,6838812.1,18/hva:hva%5B0%5D%5Bfilter%5D%5B0%5D%5Boperator%5D=%21%3D&amp;hva%5B0%5D%5Bfilter%5D%5B0%5D%5Btype_id%5D=5897&amp;hva%5B0%5D%5Bfilter%5D%5B0%5D%5Bverdi%5D=&amp;hva%5B0%5D%5Bid%5D=47/når:2015-06-04", "Vegkart")</f>
        <v>Vegkart</v>
      </c>
      <c r="B5340">
        <v>91145531</v>
      </c>
      <c r="C5340">
        <v>47</v>
      </c>
      <c r="D5340" t="s">
        <v>16854</v>
      </c>
      <c r="E5340">
        <v>5897</v>
      </c>
      <c r="F5340" t="s">
        <v>23479</v>
      </c>
      <c r="G5340">
        <v>4</v>
      </c>
      <c r="H5340" t="s">
        <v>17685</v>
      </c>
      <c r="J5340" t="s">
        <v>17760</v>
      </c>
      <c r="K5340" t="s">
        <v>136</v>
      </c>
      <c r="L5340" t="s">
        <v>33</v>
      </c>
      <c r="M5340" t="s">
        <v>1222</v>
      </c>
      <c r="N5340" t="s">
        <v>17790</v>
      </c>
      <c r="O5340" t="s">
        <v>17791</v>
      </c>
      <c r="P5340" s="2" t="s">
        <v>26</v>
      </c>
      <c r="Q5340" t="s">
        <v>50</v>
      </c>
      <c r="R5340">
        <v>52.58</v>
      </c>
      <c r="S5340">
        <v>56.62</v>
      </c>
      <c r="T5340" t="s">
        <v>17792</v>
      </c>
    </row>
    <row r="5341" spans="1:20" x14ac:dyDescent="0.25">
      <c r="A5341" s="1" t="str">
        <f>HYPERLINK("https://vegkart.atlas.vegvesen.no/#/@176402.0,6838624.4,18/hva:hva%5B0%5D%5Bfilter%5D%5B0%5D%5Boperator%5D=%21%3D&amp;hva%5B0%5D%5Bfilter%5D%5B0%5D%5Btype_id%5D=5897&amp;hva%5B0%5D%5Bfilter%5D%5B0%5D%5Bverdi%5D=&amp;hva%5B0%5D%5Bid%5D=47/når:2015-06-04", "Vegkart")</f>
        <v>Vegkart</v>
      </c>
      <c r="B5341">
        <v>91145537</v>
      </c>
      <c r="C5341">
        <v>47</v>
      </c>
      <c r="D5341" t="s">
        <v>16854</v>
      </c>
      <c r="E5341">
        <v>5897</v>
      </c>
      <c r="F5341" t="s">
        <v>23479</v>
      </c>
      <c r="G5341">
        <v>4</v>
      </c>
      <c r="H5341" t="s">
        <v>17685</v>
      </c>
      <c r="J5341" t="s">
        <v>17760</v>
      </c>
      <c r="K5341" t="s">
        <v>136</v>
      </c>
      <c r="L5341" t="s">
        <v>33</v>
      </c>
      <c r="M5341" t="s">
        <v>1222</v>
      </c>
      <c r="N5341" t="s">
        <v>17793</v>
      </c>
      <c r="O5341" t="s">
        <v>17794</v>
      </c>
      <c r="P5341" s="2" t="s">
        <v>26</v>
      </c>
      <c r="Q5341" t="s">
        <v>50</v>
      </c>
      <c r="R5341">
        <v>49.58</v>
      </c>
      <c r="S5341">
        <v>52.85</v>
      </c>
      <c r="T5341" t="s">
        <v>17795</v>
      </c>
    </row>
    <row r="5342" spans="1:20" x14ac:dyDescent="0.25">
      <c r="A5342" s="1" t="str">
        <f>HYPERLINK("https://vegkart.atlas.vegvesen.no/#/@173897.2,6835953.0,18/hva:hva%5B0%5D%5Bfilter%5D%5B0%5D%5Boperator%5D=%21%3D&amp;hva%5B0%5D%5Bfilter%5D%5B0%5D%5Btype_id%5D=5897&amp;hva%5B0%5D%5Bfilter%5D%5B0%5D%5Bverdi%5D=&amp;hva%5B0%5D%5Bid%5D=47/når:2015-06-04", "Vegkart")</f>
        <v>Vegkart</v>
      </c>
      <c r="B5342">
        <v>91145626</v>
      </c>
      <c r="C5342">
        <v>47</v>
      </c>
      <c r="D5342" t="s">
        <v>16854</v>
      </c>
      <c r="E5342">
        <v>5897</v>
      </c>
      <c r="F5342" t="s">
        <v>23479</v>
      </c>
      <c r="G5342">
        <v>4</v>
      </c>
      <c r="H5342" t="s">
        <v>17685</v>
      </c>
      <c r="J5342" t="s">
        <v>17760</v>
      </c>
      <c r="K5342" t="s">
        <v>136</v>
      </c>
      <c r="L5342" t="s">
        <v>33</v>
      </c>
      <c r="M5342" t="s">
        <v>1222</v>
      </c>
      <c r="N5342" t="s">
        <v>17796</v>
      </c>
      <c r="O5342" t="s">
        <v>17797</v>
      </c>
      <c r="P5342" s="2" t="s">
        <v>26</v>
      </c>
      <c r="Q5342" t="s">
        <v>50</v>
      </c>
      <c r="R5342">
        <v>41.15</v>
      </c>
      <c r="S5342">
        <v>41.15</v>
      </c>
      <c r="T5342" t="s">
        <v>17798</v>
      </c>
    </row>
    <row r="5343" spans="1:20" x14ac:dyDescent="0.25">
      <c r="A5343" s="1" t="str">
        <f>HYPERLINK("https://vegkart.atlas.vegvesen.no/#/@172586.4,6833365.7,18/hva:hva%5B0%5D%5Bfilter%5D%5B0%5D%5Boperator%5D=%21%3D&amp;hva%5B0%5D%5Bfilter%5D%5B0%5D%5Btype_id%5D=5897&amp;hva%5B0%5D%5Bfilter%5D%5B0%5D%5Bverdi%5D=&amp;hva%5B0%5D%5Bid%5D=47/når:2015-06-04", "Vegkart")</f>
        <v>Vegkart</v>
      </c>
      <c r="B5343">
        <v>91145687</v>
      </c>
      <c r="C5343">
        <v>47</v>
      </c>
      <c r="D5343" t="s">
        <v>16854</v>
      </c>
      <c r="E5343">
        <v>5897</v>
      </c>
      <c r="F5343" t="s">
        <v>23479</v>
      </c>
      <c r="G5343">
        <v>4</v>
      </c>
      <c r="H5343" t="s">
        <v>17685</v>
      </c>
      <c r="J5343" t="s">
        <v>17760</v>
      </c>
      <c r="K5343" t="s">
        <v>136</v>
      </c>
      <c r="L5343" t="s">
        <v>33</v>
      </c>
      <c r="M5343" t="s">
        <v>1222</v>
      </c>
      <c r="N5343" t="s">
        <v>17799</v>
      </c>
      <c r="O5343" t="s">
        <v>17800</v>
      </c>
      <c r="P5343" s="2" t="s">
        <v>26</v>
      </c>
      <c r="Q5343" t="s">
        <v>50</v>
      </c>
      <c r="R5343">
        <v>48.45</v>
      </c>
      <c r="S5343">
        <v>50.64</v>
      </c>
      <c r="T5343" t="s">
        <v>17801</v>
      </c>
    </row>
    <row r="5344" spans="1:20" x14ac:dyDescent="0.25">
      <c r="A5344" s="1" t="str">
        <f>HYPERLINK("https://vegkart.atlas.vegvesen.no/#/@244248.1,6746539.0,18/hva:hva%5B0%5D%5Bfilter%5D%5B0%5D%5Boperator%5D=%21%3D&amp;hva%5B0%5D%5Bfilter%5D%5B0%5D%5Btype_id%5D=5897&amp;hva%5B0%5D%5Bfilter%5D%5B0%5D%5Bverdi%5D=&amp;hva%5B0%5D%5Bid%5D=47/når:2024-07-31", "Vegkart")</f>
        <v>Vegkart</v>
      </c>
      <c r="B5344">
        <v>91157073</v>
      </c>
      <c r="C5344">
        <v>47</v>
      </c>
      <c r="D5344" t="s">
        <v>16854</v>
      </c>
      <c r="E5344">
        <v>5897</v>
      </c>
      <c r="F5344" t="s">
        <v>23479</v>
      </c>
      <c r="G5344">
        <v>3</v>
      </c>
      <c r="H5344" t="s">
        <v>912</v>
      </c>
      <c r="J5344" t="s">
        <v>17760</v>
      </c>
      <c r="K5344" t="s">
        <v>136</v>
      </c>
      <c r="L5344" t="s">
        <v>33</v>
      </c>
      <c r="M5344" t="s">
        <v>307</v>
      </c>
      <c r="N5344" t="s">
        <v>17802</v>
      </c>
      <c r="O5344" t="s">
        <v>17803</v>
      </c>
      <c r="P5344" s="2" t="s">
        <v>165</v>
      </c>
      <c r="Q5344" t="s">
        <v>166</v>
      </c>
      <c r="R5344">
        <v>36.799999999999997</v>
      </c>
      <c r="S5344">
        <v>40.33</v>
      </c>
      <c r="T5344" t="s">
        <v>167</v>
      </c>
    </row>
    <row r="5345" spans="1:20" x14ac:dyDescent="0.25">
      <c r="A5345" s="1" t="str">
        <f>HYPERLINK("https://vegkart.atlas.vegvesen.no/#/@157721.5,6917351.8,18/hva:hva%5B0%5D%5Bfilter%5D%5B0%5D%5Boperator%5D=%21%3D&amp;hva%5B0%5D%5Bfilter%5D%5B0%5D%5Btype_id%5D=5897&amp;hva%5B0%5D%5Bfilter%5D%5B0%5D%5Bverdi%5D=&amp;hva%5B0%5D%5Bid%5D=47/når:2001-06-14", "Vegkart")</f>
        <v>Vegkart</v>
      </c>
      <c r="B5345">
        <v>91180031</v>
      </c>
      <c r="C5345">
        <v>47</v>
      </c>
      <c r="D5345" t="s">
        <v>16854</v>
      </c>
      <c r="E5345">
        <v>5897</v>
      </c>
      <c r="F5345" t="s">
        <v>23479</v>
      </c>
      <c r="G5345">
        <v>1</v>
      </c>
      <c r="H5345" t="s">
        <v>17804</v>
      </c>
      <c r="J5345" t="s">
        <v>17805</v>
      </c>
      <c r="K5345" t="s">
        <v>136</v>
      </c>
      <c r="L5345" t="s">
        <v>80</v>
      </c>
      <c r="M5345" t="s">
        <v>1217</v>
      </c>
      <c r="N5345" t="s">
        <v>17806</v>
      </c>
      <c r="O5345" t="s">
        <v>17807</v>
      </c>
      <c r="P5345" s="2" t="s">
        <v>26</v>
      </c>
      <c r="Q5345" t="s">
        <v>50</v>
      </c>
      <c r="R5345">
        <v>45.34</v>
      </c>
      <c r="S5345">
        <v>45.83</v>
      </c>
      <c r="T5345" t="s">
        <v>17808</v>
      </c>
    </row>
    <row r="5346" spans="1:20" x14ac:dyDescent="0.25">
      <c r="A5346" s="1" t="str">
        <f>HYPERLINK("https://vegkart.atlas.vegvesen.no/#/@186117.3,6900864.9,18/hva:hva%5B0%5D%5Bfilter%5D%5B0%5D%5Boperator%5D=%21%3D&amp;hva%5B0%5D%5Bfilter%5D%5B0%5D%5Btype_id%5D=5897&amp;hva%5B0%5D%5Bfilter%5D%5B0%5D%5Bverdi%5D=&amp;hva%5B0%5D%5Bid%5D=47/når:1991-06-10", "Vegkart")</f>
        <v>Vegkart</v>
      </c>
      <c r="B5346">
        <v>91181790</v>
      </c>
      <c r="C5346">
        <v>47</v>
      </c>
      <c r="D5346" t="s">
        <v>16854</v>
      </c>
      <c r="E5346">
        <v>5897</v>
      </c>
      <c r="F5346" t="s">
        <v>23479</v>
      </c>
      <c r="G5346">
        <v>1</v>
      </c>
      <c r="H5346" t="s">
        <v>17745</v>
      </c>
      <c r="J5346" t="s">
        <v>17805</v>
      </c>
      <c r="K5346" t="s">
        <v>136</v>
      </c>
      <c r="L5346" t="s">
        <v>80</v>
      </c>
      <c r="M5346" t="s">
        <v>1217</v>
      </c>
      <c r="N5346" t="s">
        <v>17809</v>
      </c>
      <c r="O5346" t="s">
        <v>17810</v>
      </c>
      <c r="P5346" s="2" t="s">
        <v>26</v>
      </c>
      <c r="Q5346" t="s">
        <v>50</v>
      </c>
      <c r="R5346">
        <v>66.260000000000005</v>
      </c>
      <c r="S5346">
        <v>66.37</v>
      </c>
      <c r="T5346" t="s">
        <v>17811</v>
      </c>
    </row>
    <row r="5347" spans="1:20" x14ac:dyDescent="0.25">
      <c r="A5347" s="1" t="str">
        <f>HYPERLINK("https://vegkart.atlas.vegvesen.no/#/@273541.3,6616219.1,18/hva:hva%5B0%5D%5Bfilter%5D%5B0%5D%5Boperator%5D=%21%3D&amp;hva%5B0%5D%5Bfilter%5D%5B0%5D%5Btype_id%5D=5897&amp;hva%5B0%5D%5Bfilter%5D%5B0%5D%5Bverdi%5D=&amp;hva%5B0%5D%5Bid%5D=47/når:2025-10-11", "Vegkart")</f>
        <v>Vegkart</v>
      </c>
      <c r="B5347">
        <v>92529859</v>
      </c>
      <c r="C5347">
        <v>47</v>
      </c>
      <c r="D5347" t="s">
        <v>16854</v>
      </c>
      <c r="E5347">
        <v>5897</v>
      </c>
      <c r="F5347" t="s">
        <v>23479</v>
      </c>
      <c r="G5347">
        <v>4</v>
      </c>
      <c r="H5347" t="s">
        <v>17812</v>
      </c>
      <c r="J5347" t="s">
        <v>17813</v>
      </c>
      <c r="K5347" t="s">
        <v>104</v>
      </c>
      <c r="L5347" t="s">
        <v>33</v>
      </c>
      <c r="M5347" t="s">
        <v>8721</v>
      </c>
      <c r="N5347" t="s">
        <v>17814</v>
      </c>
      <c r="O5347" t="s">
        <v>17815</v>
      </c>
      <c r="P5347" s="2" t="s">
        <v>26</v>
      </c>
      <c r="Q5347" t="s">
        <v>50</v>
      </c>
      <c r="R5347">
        <v>41.48</v>
      </c>
      <c r="S5347">
        <v>41.48</v>
      </c>
      <c r="T5347" t="s">
        <v>17816</v>
      </c>
    </row>
    <row r="5348" spans="1:20" x14ac:dyDescent="0.25">
      <c r="A5348" s="1" t="str">
        <f>HYPERLINK("https://vegkart.atlas.vegvesen.no/#/@854411.9,7862691.7,18/hva:hva%5B0%5D%5Bfilter%5D%5B0%5D%5Boperator%5D=%21%3D&amp;hva%5B0%5D%5Bfilter%5D%5B0%5D%5Btype_id%5D=5897&amp;hva%5B0%5D%5Bfilter%5D%5B0%5D%5Bverdi%5D=&amp;hva%5B0%5D%5Bid%5D=47/når:2015-10-02", "Vegkart")</f>
        <v>Vegkart</v>
      </c>
      <c r="B5348">
        <v>92708016</v>
      </c>
      <c r="C5348">
        <v>47</v>
      </c>
      <c r="D5348" t="s">
        <v>16854</v>
      </c>
      <c r="E5348">
        <v>5897</v>
      </c>
      <c r="F5348" t="s">
        <v>23479</v>
      </c>
      <c r="G5348">
        <v>5</v>
      </c>
      <c r="H5348" t="s">
        <v>16855</v>
      </c>
      <c r="J5348" t="s">
        <v>17813</v>
      </c>
      <c r="K5348" t="s">
        <v>450</v>
      </c>
      <c r="L5348" t="s">
        <v>33</v>
      </c>
      <c r="M5348" t="s">
        <v>17817</v>
      </c>
      <c r="N5348" t="s">
        <v>17818</v>
      </c>
      <c r="O5348" t="s">
        <v>17819</v>
      </c>
      <c r="P5348" s="2" t="s">
        <v>37</v>
      </c>
      <c r="Q5348" t="s">
        <v>1208</v>
      </c>
      <c r="R5348">
        <v>2.82</v>
      </c>
      <c r="S5348">
        <v>79.63</v>
      </c>
      <c r="T5348" t="s">
        <v>17820</v>
      </c>
    </row>
    <row r="5349" spans="1:20" x14ac:dyDescent="0.25">
      <c r="A5349" s="1" t="str">
        <f>HYPERLINK("https://vegkart.atlas.vegvesen.no/#/@891414.6,7888299.1,18/hva:hva%5B0%5D%5Bfilter%5D%5B0%5D%5Boperator%5D=%21%3D&amp;hva%5B0%5D%5Bfilter%5D%5B0%5D%5Btype_id%5D=5897&amp;hva%5B0%5D%5Bfilter%5D%5B0%5D%5Bverdi%5D=&amp;hva%5B0%5D%5Bid%5D=47/når:2015-10-02", "Vegkart")</f>
        <v>Vegkart</v>
      </c>
      <c r="B5349">
        <v>92710525</v>
      </c>
      <c r="C5349">
        <v>47</v>
      </c>
      <c r="D5349" t="s">
        <v>16854</v>
      </c>
      <c r="E5349">
        <v>5897</v>
      </c>
      <c r="F5349" t="s">
        <v>23479</v>
      </c>
      <c r="G5349">
        <v>5</v>
      </c>
      <c r="H5349" t="s">
        <v>16855</v>
      </c>
      <c r="J5349" t="s">
        <v>17821</v>
      </c>
      <c r="K5349" t="s">
        <v>450</v>
      </c>
      <c r="L5349" t="s">
        <v>80</v>
      </c>
      <c r="M5349" t="s">
        <v>6514</v>
      </c>
      <c r="N5349" t="s">
        <v>17822</v>
      </c>
      <c r="O5349" t="s">
        <v>17823</v>
      </c>
      <c r="P5349" s="2" t="s">
        <v>37</v>
      </c>
      <c r="Q5349" t="s">
        <v>1208</v>
      </c>
      <c r="R5349">
        <v>2.0699999999999998</v>
      </c>
      <c r="S5349">
        <v>378.9</v>
      </c>
      <c r="T5349" t="s">
        <v>17824</v>
      </c>
    </row>
    <row r="5350" spans="1:20" x14ac:dyDescent="0.25">
      <c r="A5350" s="1" t="str">
        <f>HYPERLINK("https://vegkart.atlas.vegvesen.no/#/@877492.5,7827561.2,18/hva:hva%5B0%5D%5Bfilter%5D%5B0%5D%5Boperator%5D=%21%3D&amp;hva%5B0%5D%5Bfilter%5D%5B0%5D%5Btype_id%5D=5897&amp;hva%5B0%5D%5Bfilter%5D%5B0%5D%5Bverdi%5D=&amp;hva%5B0%5D%5Bid%5D=47/når:2015-05-28", "Vegkart")</f>
        <v>Vegkart</v>
      </c>
      <c r="B5350">
        <v>92719611</v>
      </c>
      <c r="C5350">
        <v>47</v>
      </c>
      <c r="D5350" t="s">
        <v>16854</v>
      </c>
      <c r="E5350">
        <v>5897</v>
      </c>
      <c r="F5350" t="s">
        <v>23479</v>
      </c>
      <c r="G5350">
        <v>3</v>
      </c>
      <c r="H5350" t="s">
        <v>1337</v>
      </c>
      <c r="J5350" t="s">
        <v>17821</v>
      </c>
      <c r="K5350" t="s">
        <v>450</v>
      </c>
      <c r="L5350" t="s">
        <v>80</v>
      </c>
      <c r="M5350" t="s">
        <v>105</v>
      </c>
      <c r="N5350" t="s">
        <v>17825</v>
      </c>
      <c r="O5350" t="s">
        <v>17826</v>
      </c>
      <c r="P5350" s="2" t="s">
        <v>37</v>
      </c>
      <c r="Q5350" t="s">
        <v>1208</v>
      </c>
      <c r="R5350">
        <v>2.99</v>
      </c>
      <c r="S5350">
        <v>118.02</v>
      </c>
      <c r="T5350" t="s">
        <v>17827</v>
      </c>
    </row>
    <row r="5351" spans="1:20" x14ac:dyDescent="0.25">
      <c r="A5351" s="1" t="str">
        <f>HYPERLINK("https://vegkart.atlas.vegvesen.no/#/@1019740.5,7899686.7,18/hva:hva%5B0%5D%5Bfilter%5D%5B0%5D%5Boperator%5D=%21%3D&amp;hva%5B0%5D%5Bfilter%5D%5B0%5D%5Btype_id%5D=5897&amp;hva%5B0%5D%5Bfilter%5D%5B0%5D%5Bverdi%5D=&amp;hva%5B0%5D%5Bid%5D=47/når:2017-10-02", "Vegkart")</f>
        <v>Vegkart</v>
      </c>
      <c r="B5351">
        <v>92761398</v>
      </c>
      <c r="C5351">
        <v>47</v>
      </c>
      <c r="D5351" t="s">
        <v>16854</v>
      </c>
      <c r="E5351">
        <v>5897</v>
      </c>
      <c r="F5351" t="s">
        <v>23479</v>
      </c>
      <c r="G5351">
        <v>5</v>
      </c>
      <c r="H5351" t="s">
        <v>17828</v>
      </c>
      <c r="J5351" t="s">
        <v>17821</v>
      </c>
      <c r="K5351" t="s">
        <v>450</v>
      </c>
      <c r="L5351" t="s">
        <v>33</v>
      </c>
      <c r="M5351" t="s">
        <v>1290</v>
      </c>
      <c r="N5351" t="s">
        <v>17829</v>
      </c>
      <c r="O5351" t="s">
        <v>17830</v>
      </c>
      <c r="P5351" s="2" t="s">
        <v>165</v>
      </c>
      <c r="Q5351" t="s">
        <v>641</v>
      </c>
      <c r="R5351">
        <v>2.2400000000000002</v>
      </c>
      <c r="S5351">
        <v>135.46</v>
      </c>
      <c r="T5351" t="s">
        <v>167</v>
      </c>
    </row>
    <row r="5352" spans="1:20" x14ac:dyDescent="0.25">
      <c r="A5352" s="1" t="str">
        <f>HYPERLINK("https://vegkart.atlas.vegvesen.no/#/@1011495.6,7876546.2,18/hva:hva%5B0%5D%5Bfilter%5D%5B0%5D%5Boperator%5D=%21%3D&amp;hva%5B0%5D%5Bfilter%5D%5B0%5D%5Btype_id%5D=5897&amp;hva%5B0%5D%5Bfilter%5D%5B0%5D%5Bverdi%5D=&amp;hva%5B0%5D%5Bid%5D=47/når:2017-10-19", "Vegkart")</f>
        <v>Vegkart</v>
      </c>
      <c r="B5352">
        <v>92761406</v>
      </c>
      <c r="C5352">
        <v>47</v>
      </c>
      <c r="D5352" t="s">
        <v>16854</v>
      </c>
      <c r="E5352">
        <v>5897</v>
      </c>
      <c r="F5352" t="s">
        <v>23479</v>
      </c>
      <c r="G5352">
        <v>5</v>
      </c>
      <c r="H5352" t="s">
        <v>17831</v>
      </c>
      <c r="J5352" t="s">
        <v>17821</v>
      </c>
      <c r="K5352" t="s">
        <v>450</v>
      </c>
      <c r="L5352" t="s">
        <v>33</v>
      </c>
      <c r="M5352" t="s">
        <v>1290</v>
      </c>
      <c r="N5352" t="s">
        <v>17832</v>
      </c>
      <c r="O5352" t="s">
        <v>17833</v>
      </c>
      <c r="P5352" s="2" t="s">
        <v>165</v>
      </c>
      <c r="Q5352" t="s">
        <v>641</v>
      </c>
      <c r="R5352">
        <v>1.03</v>
      </c>
      <c r="S5352">
        <v>167.11</v>
      </c>
      <c r="T5352" t="s">
        <v>167</v>
      </c>
    </row>
    <row r="5353" spans="1:20" x14ac:dyDescent="0.25">
      <c r="A5353" s="1" t="str">
        <f>HYPERLINK("https://vegkart.atlas.vegvesen.no/#/@872540.8,7852704.5,18/hva:hva%5B0%5D%5Bfilter%5D%5B0%5D%5Boperator%5D=%21%3D&amp;hva%5B0%5D%5Bfilter%5D%5B0%5D%5Btype_id%5D=5897&amp;hva%5B0%5D%5Bfilter%5D%5B0%5D%5Bverdi%5D=&amp;hva%5B0%5D%5Bid%5D=47/når:2024-03-14", "Vegkart")</f>
        <v>Vegkart</v>
      </c>
      <c r="B5353">
        <v>92773930</v>
      </c>
      <c r="C5353">
        <v>47</v>
      </c>
      <c r="D5353" t="s">
        <v>16854</v>
      </c>
      <c r="E5353">
        <v>5897</v>
      </c>
      <c r="F5353" t="s">
        <v>23479</v>
      </c>
      <c r="G5353">
        <v>5</v>
      </c>
      <c r="H5353" t="s">
        <v>16260</v>
      </c>
      <c r="J5353" t="s">
        <v>17834</v>
      </c>
      <c r="K5353" t="s">
        <v>450</v>
      </c>
      <c r="L5353" t="s">
        <v>80</v>
      </c>
      <c r="M5353" t="s">
        <v>6514</v>
      </c>
      <c r="N5353" t="s">
        <v>17835</v>
      </c>
      <c r="O5353" t="s">
        <v>17836</v>
      </c>
      <c r="P5353" s="2" t="s">
        <v>165</v>
      </c>
      <c r="Q5353" t="s">
        <v>641</v>
      </c>
      <c r="R5353">
        <v>0.83</v>
      </c>
      <c r="S5353">
        <v>109.1</v>
      </c>
      <c r="T5353" t="s">
        <v>167</v>
      </c>
    </row>
    <row r="5354" spans="1:20" x14ac:dyDescent="0.25">
      <c r="A5354" s="1" t="str">
        <f>HYPERLINK("https://vegkart.atlas.vegvesen.no/#/@888019.6,7884859.8,18/hva:hva%5B0%5D%5Bfilter%5D%5B0%5D%5Boperator%5D=%21%3D&amp;hva%5B0%5D%5Bfilter%5D%5B0%5D%5Btype_id%5D=5897&amp;hva%5B0%5D%5Bfilter%5D%5B0%5D%5Bverdi%5D=&amp;hva%5B0%5D%5Bid%5D=47/når:2015-06-10", "Vegkart")</f>
        <v>Vegkart</v>
      </c>
      <c r="B5354">
        <v>92774029</v>
      </c>
      <c r="C5354">
        <v>47</v>
      </c>
      <c r="D5354" t="s">
        <v>16854</v>
      </c>
      <c r="E5354">
        <v>5897</v>
      </c>
      <c r="F5354" t="s">
        <v>23479</v>
      </c>
      <c r="G5354">
        <v>4</v>
      </c>
      <c r="H5354" t="s">
        <v>17837</v>
      </c>
      <c r="J5354" t="s">
        <v>17834</v>
      </c>
      <c r="K5354" t="s">
        <v>450</v>
      </c>
      <c r="L5354" t="s">
        <v>80</v>
      </c>
      <c r="M5354" t="s">
        <v>6514</v>
      </c>
      <c r="N5354" t="s">
        <v>17838</v>
      </c>
      <c r="O5354" t="s">
        <v>17839</v>
      </c>
      <c r="P5354" s="2" t="s">
        <v>165</v>
      </c>
      <c r="Q5354" t="s">
        <v>641</v>
      </c>
      <c r="R5354">
        <v>2.14</v>
      </c>
      <c r="S5354">
        <v>85.29</v>
      </c>
      <c r="T5354" t="s">
        <v>167</v>
      </c>
    </row>
    <row r="5355" spans="1:20" x14ac:dyDescent="0.25">
      <c r="A5355" s="1" t="str">
        <f>HYPERLINK("https://vegkart.atlas.vegvesen.no/#/@899231.5,7911588.5,18/hva:hva%5B0%5D%5Bfilter%5D%5B0%5D%5Boperator%5D=%21%3D&amp;hva%5B0%5D%5Bfilter%5D%5B0%5D%5Btype_id%5D=5897&amp;hva%5B0%5D%5Bfilter%5D%5B0%5D%5Bverdi%5D=&amp;hva%5B0%5D%5Bid%5D=47/når:2015-06-24", "Vegkart")</f>
        <v>Vegkart</v>
      </c>
      <c r="B5355">
        <v>92780564</v>
      </c>
      <c r="C5355">
        <v>47</v>
      </c>
      <c r="D5355" t="s">
        <v>16854</v>
      </c>
      <c r="E5355">
        <v>5897</v>
      </c>
      <c r="F5355" t="s">
        <v>23479</v>
      </c>
      <c r="G5355">
        <v>4</v>
      </c>
      <c r="H5355" t="s">
        <v>2387</v>
      </c>
      <c r="J5355" t="s">
        <v>17834</v>
      </c>
      <c r="K5355" t="s">
        <v>450</v>
      </c>
      <c r="L5355" t="s">
        <v>33</v>
      </c>
      <c r="M5355" t="s">
        <v>17840</v>
      </c>
      <c r="N5355" t="s">
        <v>17841</v>
      </c>
      <c r="O5355" t="s">
        <v>17842</v>
      </c>
      <c r="P5355" s="2" t="s">
        <v>37</v>
      </c>
      <c r="Q5355" t="s">
        <v>1208</v>
      </c>
      <c r="R5355">
        <v>3.96</v>
      </c>
      <c r="S5355">
        <v>80.39</v>
      </c>
      <c r="T5355" t="s">
        <v>17843</v>
      </c>
    </row>
    <row r="5356" spans="1:20" x14ac:dyDescent="0.25">
      <c r="A5356" s="1" t="str">
        <f>HYPERLINK("https://vegkart.atlas.vegvesen.no/#/@899161.9,7912646.8,18/hva:hva%5B0%5D%5Bfilter%5D%5B0%5D%5Boperator%5D=%21%3D&amp;hva%5B0%5D%5Bfilter%5D%5B0%5D%5Btype_id%5D=5897&amp;hva%5B0%5D%5Bfilter%5D%5B0%5D%5Bverdi%5D=&amp;hva%5B0%5D%5Bid%5D=47/når:2018-10-22", "Vegkart")</f>
        <v>Vegkart</v>
      </c>
      <c r="B5356">
        <v>92780651</v>
      </c>
      <c r="C5356">
        <v>47</v>
      </c>
      <c r="D5356" t="s">
        <v>16854</v>
      </c>
      <c r="E5356">
        <v>5897</v>
      </c>
      <c r="F5356" t="s">
        <v>23479</v>
      </c>
      <c r="G5356">
        <v>6</v>
      </c>
      <c r="H5356" t="s">
        <v>15421</v>
      </c>
      <c r="J5356" t="s">
        <v>17834</v>
      </c>
      <c r="K5356" t="s">
        <v>450</v>
      </c>
      <c r="L5356" t="s">
        <v>33</v>
      </c>
      <c r="M5356" t="s">
        <v>17840</v>
      </c>
      <c r="N5356" t="s">
        <v>17844</v>
      </c>
      <c r="O5356" t="s">
        <v>17845</v>
      </c>
      <c r="P5356" s="2" t="s">
        <v>37</v>
      </c>
      <c r="Q5356" t="s">
        <v>1208</v>
      </c>
      <c r="R5356">
        <v>2.68</v>
      </c>
      <c r="S5356">
        <v>59.83</v>
      </c>
      <c r="T5356" t="s">
        <v>17846</v>
      </c>
    </row>
    <row r="5357" spans="1:20" x14ac:dyDescent="0.25">
      <c r="A5357" s="1" t="str">
        <f>HYPERLINK("https://vegkart.atlas.vegvesen.no/#/@991246.6,7826714.6,18/hva:hva%5B0%5D%5Bfilter%5D%5B0%5D%5Boperator%5D=%21%3D&amp;hva%5B0%5D%5Bfilter%5D%5B0%5D%5Btype_id%5D=5897&amp;hva%5B0%5D%5Bfilter%5D%5B0%5D%5Bverdi%5D=&amp;hva%5B0%5D%5Bid%5D=47/når:2017-09-19", "Vegkart")</f>
        <v>Vegkart</v>
      </c>
      <c r="B5357">
        <v>92791926</v>
      </c>
      <c r="C5357">
        <v>47</v>
      </c>
      <c r="D5357" t="s">
        <v>16854</v>
      </c>
      <c r="E5357">
        <v>5897</v>
      </c>
      <c r="F5357" t="s">
        <v>23479</v>
      </c>
      <c r="G5357">
        <v>6</v>
      </c>
      <c r="H5357" t="s">
        <v>17847</v>
      </c>
      <c r="J5357" t="s">
        <v>17848</v>
      </c>
      <c r="K5357" t="s">
        <v>450</v>
      </c>
      <c r="L5357" t="s">
        <v>33</v>
      </c>
      <c r="M5357" t="s">
        <v>17849</v>
      </c>
      <c r="N5357" t="s">
        <v>17850</v>
      </c>
      <c r="O5357" t="s">
        <v>17851</v>
      </c>
      <c r="P5357" s="2" t="s">
        <v>37</v>
      </c>
      <c r="Q5357" t="s">
        <v>1208</v>
      </c>
      <c r="R5357">
        <v>3.69</v>
      </c>
      <c r="S5357">
        <v>124.36</v>
      </c>
      <c r="T5357" t="s">
        <v>17852</v>
      </c>
    </row>
    <row r="5358" spans="1:20" x14ac:dyDescent="0.25">
      <c r="A5358" s="1" t="str">
        <f>HYPERLINK("https://vegkart.atlas.vegvesen.no/#/@996548.2,7831723.1,18/hva:hva%5B0%5D%5Bfilter%5D%5B0%5D%5Boperator%5D=%21%3D&amp;hva%5B0%5D%5Bfilter%5D%5B0%5D%5Btype_id%5D=5897&amp;hva%5B0%5D%5Bfilter%5D%5B0%5D%5Bverdi%5D=&amp;hva%5B0%5D%5Bid%5D=47/når:2017-09-19", "Vegkart")</f>
        <v>Vegkart</v>
      </c>
      <c r="B5358">
        <v>92792279</v>
      </c>
      <c r="C5358">
        <v>47</v>
      </c>
      <c r="D5358" t="s">
        <v>16854</v>
      </c>
      <c r="E5358">
        <v>5897</v>
      </c>
      <c r="F5358" t="s">
        <v>23479</v>
      </c>
      <c r="G5358">
        <v>6</v>
      </c>
      <c r="H5358" t="s">
        <v>17847</v>
      </c>
      <c r="J5358" t="s">
        <v>17848</v>
      </c>
      <c r="K5358" t="s">
        <v>450</v>
      </c>
      <c r="L5358" t="s">
        <v>33</v>
      </c>
      <c r="M5358" t="s">
        <v>17849</v>
      </c>
      <c r="N5358" t="s">
        <v>17853</v>
      </c>
      <c r="O5358" t="s">
        <v>17854</v>
      </c>
      <c r="P5358" s="2" t="s">
        <v>37</v>
      </c>
      <c r="Q5358" t="s">
        <v>1208</v>
      </c>
      <c r="R5358">
        <v>4.16</v>
      </c>
      <c r="S5358">
        <v>146.29</v>
      </c>
      <c r="T5358" t="s">
        <v>17855</v>
      </c>
    </row>
    <row r="5359" spans="1:20" x14ac:dyDescent="0.25">
      <c r="A5359" s="1" t="str">
        <f>HYPERLINK("https://vegkart.atlas.vegvesen.no/#/@996788.5,7832941.5,18/hva:hva%5B0%5D%5Bfilter%5D%5B0%5D%5Boperator%5D=%21%3D&amp;hva%5B0%5D%5Bfilter%5D%5B0%5D%5Btype_id%5D=5897&amp;hva%5B0%5D%5Bfilter%5D%5B0%5D%5Bverdi%5D=&amp;hva%5B0%5D%5Bid%5D=47/når:2017-09-19", "Vegkart")</f>
        <v>Vegkart</v>
      </c>
      <c r="B5359">
        <v>92792334</v>
      </c>
      <c r="C5359">
        <v>47</v>
      </c>
      <c r="D5359" t="s">
        <v>16854</v>
      </c>
      <c r="E5359">
        <v>5897</v>
      </c>
      <c r="F5359" t="s">
        <v>23479</v>
      </c>
      <c r="G5359">
        <v>8</v>
      </c>
      <c r="H5359" t="s">
        <v>17847</v>
      </c>
      <c r="J5359" t="s">
        <v>17848</v>
      </c>
      <c r="K5359" t="s">
        <v>450</v>
      </c>
      <c r="L5359" t="s">
        <v>33</v>
      </c>
      <c r="M5359" t="s">
        <v>17849</v>
      </c>
      <c r="N5359" t="s">
        <v>17856</v>
      </c>
      <c r="O5359" t="s">
        <v>17857</v>
      </c>
      <c r="P5359" s="2" t="s">
        <v>37</v>
      </c>
      <c r="Q5359" t="s">
        <v>1208</v>
      </c>
      <c r="R5359">
        <v>3.31</v>
      </c>
      <c r="S5359">
        <v>175.89</v>
      </c>
      <c r="T5359" t="s">
        <v>17858</v>
      </c>
    </row>
    <row r="5360" spans="1:20" x14ac:dyDescent="0.25">
      <c r="A5360" s="1" t="str">
        <f>HYPERLINK("https://vegkart.atlas.vegvesen.no/#/@1020098.7,7915813.3,18/hva:hva%5B0%5D%5Bfilter%5D%5B0%5D%5Boperator%5D=%21%3D&amp;hva%5B0%5D%5Bfilter%5D%5B0%5D%5Btype_id%5D=5897&amp;hva%5B0%5D%5Bfilter%5D%5B0%5D%5Bverdi%5D=&amp;hva%5B0%5D%5Bid%5D=47/når:2017-09-29", "Vegkart")</f>
        <v>Vegkart</v>
      </c>
      <c r="B5360">
        <v>92795435</v>
      </c>
      <c r="C5360">
        <v>47</v>
      </c>
      <c r="D5360" t="s">
        <v>16854</v>
      </c>
      <c r="E5360">
        <v>5897</v>
      </c>
      <c r="F5360" t="s">
        <v>23479</v>
      </c>
      <c r="G5360">
        <v>7</v>
      </c>
      <c r="H5360" t="s">
        <v>17859</v>
      </c>
      <c r="J5360" t="s">
        <v>17848</v>
      </c>
      <c r="K5360" t="s">
        <v>450</v>
      </c>
      <c r="L5360" t="s">
        <v>33</v>
      </c>
      <c r="M5360" t="s">
        <v>1290</v>
      </c>
      <c r="N5360" t="s">
        <v>17860</v>
      </c>
      <c r="O5360" t="s">
        <v>17861</v>
      </c>
      <c r="P5360" s="2" t="s">
        <v>37</v>
      </c>
      <c r="Q5360" t="s">
        <v>1208</v>
      </c>
      <c r="R5360">
        <v>4.3499999999999996</v>
      </c>
      <c r="S5360">
        <v>80.78</v>
      </c>
      <c r="T5360" t="s">
        <v>17862</v>
      </c>
    </row>
    <row r="5361" spans="1:20" x14ac:dyDescent="0.25">
      <c r="A5361" s="1" t="str">
        <f>HYPERLINK("https://vegkart.atlas.vegvesen.no/#/@1020298.1,7900595.0,18/hva:hva%5B0%5D%5Bfilter%5D%5B0%5D%5Boperator%5D=%21%3D&amp;hva%5B0%5D%5Bfilter%5D%5B0%5D%5Btype_id%5D=5897&amp;hva%5B0%5D%5Bfilter%5D%5B0%5D%5Bverdi%5D=&amp;hva%5B0%5D%5Bid%5D=47/når:2017-10-02", "Vegkart")</f>
        <v>Vegkart</v>
      </c>
      <c r="B5361">
        <v>92796657</v>
      </c>
      <c r="C5361">
        <v>47</v>
      </c>
      <c r="D5361" t="s">
        <v>16854</v>
      </c>
      <c r="E5361">
        <v>5897</v>
      </c>
      <c r="F5361" t="s">
        <v>23479</v>
      </c>
      <c r="G5361">
        <v>6</v>
      </c>
      <c r="H5361" t="s">
        <v>17828</v>
      </c>
      <c r="J5361" t="s">
        <v>17848</v>
      </c>
      <c r="K5361" t="s">
        <v>450</v>
      </c>
      <c r="L5361" t="s">
        <v>33</v>
      </c>
      <c r="M5361" t="s">
        <v>1290</v>
      </c>
      <c r="N5361" t="s">
        <v>17863</v>
      </c>
      <c r="O5361" t="s">
        <v>17864</v>
      </c>
      <c r="P5361" s="2" t="s">
        <v>165</v>
      </c>
      <c r="Q5361" t="s">
        <v>641</v>
      </c>
      <c r="R5361">
        <v>1.01</v>
      </c>
      <c r="S5361">
        <v>92.07</v>
      </c>
      <c r="T5361" t="s">
        <v>167</v>
      </c>
    </row>
    <row r="5362" spans="1:20" x14ac:dyDescent="0.25">
      <c r="A5362" s="1" t="str">
        <f>HYPERLINK("https://vegkart.atlas.vegvesen.no/#/@992687.1,7852700.1,18/hva:hva%5B0%5D%5Bfilter%5D%5B0%5D%5Boperator%5D=%21%3D&amp;hva%5B0%5D%5Bfilter%5D%5B0%5D%5Btype_id%5D=5897&amp;hva%5B0%5D%5Bfilter%5D%5B0%5D%5Bverdi%5D=&amp;hva%5B0%5D%5Bid%5D=47/når:2025-09-04", "Vegkart")</f>
        <v>Vegkart</v>
      </c>
      <c r="B5362">
        <v>92798570</v>
      </c>
      <c r="C5362">
        <v>47</v>
      </c>
      <c r="D5362" t="s">
        <v>16854</v>
      </c>
      <c r="E5362">
        <v>5897</v>
      </c>
      <c r="F5362" t="s">
        <v>23479</v>
      </c>
      <c r="G5362">
        <v>8</v>
      </c>
      <c r="H5362" t="s">
        <v>8650</v>
      </c>
      <c r="J5362" t="s">
        <v>17848</v>
      </c>
      <c r="K5362" t="s">
        <v>450</v>
      </c>
      <c r="L5362" t="s">
        <v>33</v>
      </c>
      <c r="M5362" t="s">
        <v>1290</v>
      </c>
      <c r="N5362" t="s">
        <v>17865</v>
      </c>
      <c r="O5362" t="s">
        <v>17866</v>
      </c>
      <c r="P5362" s="2" t="s">
        <v>37</v>
      </c>
      <c r="Q5362" t="s">
        <v>1208</v>
      </c>
      <c r="R5362">
        <v>2.6</v>
      </c>
      <c r="S5362">
        <v>131.29</v>
      </c>
      <c r="T5362" t="s">
        <v>17867</v>
      </c>
    </row>
    <row r="5363" spans="1:20" x14ac:dyDescent="0.25">
      <c r="A5363" s="1" t="str">
        <f>HYPERLINK("https://vegkart.atlas.vegvesen.no/#/@994557.0,7846378.4,18/hva:hva%5B0%5D%5Bfilter%5D%5B0%5D%5Boperator%5D=%21%3D&amp;hva%5B0%5D%5Bfilter%5D%5B0%5D%5Btype_id%5D=5897&amp;hva%5B0%5D%5Bfilter%5D%5B0%5D%5Bverdi%5D=&amp;hva%5B0%5D%5Bid%5D=47/når:2017-10-26", "Vegkart")</f>
        <v>Vegkart</v>
      </c>
      <c r="B5363">
        <v>92798807</v>
      </c>
      <c r="C5363">
        <v>47</v>
      </c>
      <c r="D5363" t="s">
        <v>16854</v>
      </c>
      <c r="E5363">
        <v>5897</v>
      </c>
      <c r="F5363" t="s">
        <v>23479</v>
      </c>
      <c r="G5363">
        <v>7</v>
      </c>
      <c r="H5363" t="s">
        <v>6055</v>
      </c>
      <c r="J5363" t="s">
        <v>17848</v>
      </c>
      <c r="K5363" t="s">
        <v>450</v>
      </c>
      <c r="L5363" t="s">
        <v>33</v>
      </c>
      <c r="M5363" t="s">
        <v>1290</v>
      </c>
      <c r="N5363" t="s">
        <v>17868</v>
      </c>
      <c r="O5363" t="s">
        <v>17869</v>
      </c>
      <c r="P5363" s="2" t="s">
        <v>165</v>
      </c>
      <c r="Q5363" t="s">
        <v>641</v>
      </c>
      <c r="R5363">
        <v>6.86</v>
      </c>
      <c r="S5363">
        <v>158.83000000000001</v>
      </c>
      <c r="T5363" t="s">
        <v>167</v>
      </c>
    </row>
    <row r="5364" spans="1:20" x14ac:dyDescent="0.25">
      <c r="A5364" s="1" t="str">
        <f>HYPERLINK("https://vegkart.atlas.vegvesen.no/#/@992976.3,7846031.6,18/hva:hva%5B0%5D%5Bfilter%5D%5B0%5D%5Boperator%5D=%21%3D&amp;hva%5B0%5D%5Bfilter%5D%5B0%5D%5Btype_id%5D=5897&amp;hva%5B0%5D%5Bfilter%5D%5B0%5D%5Bverdi%5D=&amp;hva%5B0%5D%5Bid%5D=47/når:2017-09-26", "Vegkart")</f>
        <v>Vegkart</v>
      </c>
      <c r="B5364">
        <v>92818860</v>
      </c>
      <c r="C5364">
        <v>47</v>
      </c>
      <c r="D5364" t="s">
        <v>16854</v>
      </c>
      <c r="E5364">
        <v>5897</v>
      </c>
      <c r="F5364" t="s">
        <v>23479</v>
      </c>
      <c r="G5364">
        <v>7</v>
      </c>
      <c r="H5364" t="s">
        <v>17870</v>
      </c>
      <c r="J5364" t="s">
        <v>17848</v>
      </c>
      <c r="K5364" t="s">
        <v>450</v>
      </c>
      <c r="L5364" t="s">
        <v>33</v>
      </c>
      <c r="M5364" t="s">
        <v>1278</v>
      </c>
      <c r="N5364" t="s">
        <v>17871</v>
      </c>
      <c r="O5364" t="s">
        <v>17872</v>
      </c>
      <c r="P5364" s="2" t="s">
        <v>37</v>
      </c>
      <c r="Q5364" t="s">
        <v>1208</v>
      </c>
      <c r="R5364">
        <v>5.17</v>
      </c>
      <c r="S5364">
        <v>130.94999999999999</v>
      </c>
      <c r="T5364" t="s">
        <v>17873</v>
      </c>
    </row>
    <row r="5365" spans="1:20" x14ac:dyDescent="0.25">
      <c r="A5365" s="1" t="str">
        <f>HYPERLINK("https://vegkart.atlas.vegvesen.no/#/@992517.0,7846999.1,18/hva:hva%5B0%5D%5Bfilter%5D%5B0%5D%5Boperator%5D=%21%3D&amp;hva%5B0%5D%5Bfilter%5D%5B0%5D%5Btype_id%5D=5897&amp;hva%5B0%5D%5Bfilter%5D%5B0%5D%5Bverdi%5D=&amp;hva%5B0%5D%5Bid%5D=47/når:2017-09-26", "Vegkart")</f>
        <v>Vegkart</v>
      </c>
      <c r="B5365">
        <v>92818879</v>
      </c>
      <c r="C5365">
        <v>47</v>
      </c>
      <c r="D5365" t="s">
        <v>16854</v>
      </c>
      <c r="E5365">
        <v>5897</v>
      </c>
      <c r="F5365" t="s">
        <v>23479</v>
      </c>
      <c r="G5365">
        <v>6</v>
      </c>
      <c r="H5365" t="s">
        <v>17870</v>
      </c>
      <c r="J5365" t="s">
        <v>17848</v>
      </c>
      <c r="K5365" t="s">
        <v>450</v>
      </c>
      <c r="L5365" t="s">
        <v>33</v>
      </c>
      <c r="M5365" t="s">
        <v>1278</v>
      </c>
      <c r="N5365" t="s">
        <v>17874</v>
      </c>
      <c r="O5365" t="s">
        <v>17875</v>
      </c>
      <c r="P5365" s="2" t="s">
        <v>37</v>
      </c>
      <c r="Q5365" t="s">
        <v>1208</v>
      </c>
      <c r="R5365">
        <v>2.25</v>
      </c>
      <c r="S5365">
        <v>102.45</v>
      </c>
      <c r="T5365" t="s">
        <v>17876</v>
      </c>
    </row>
    <row r="5366" spans="1:20" x14ac:dyDescent="0.25">
      <c r="A5366" s="1" t="str">
        <f>HYPERLINK("https://vegkart.atlas.vegvesen.no/#/@992111.9,7848537.9,18/hva:hva%5B0%5D%5Bfilter%5D%5B0%5D%5Boperator%5D=%21%3D&amp;hva%5B0%5D%5Bfilter%5D%5B0%5D%5Btype_id%5D=5897&amp;hva%5B0%5D%5Bfilter%5D%5B0%5D%5Bverdi%5D=&amp;hva%5B0%5D%5Bid%5D=47/når:2017-09-26", "Vegkart")</f>
        <v>Vegkart</v>
      </c>
      <c r="B5366">
        <v>92818888</v>
      </c>
      <c r="C5366">
        <v>47</v>
      </c>
      <c r="D5366" t="s">
        <v>16854</v>
      </c>
      <c r="E5366">
        <v>5897</v>
      </c>
      <c r="F5366" t="s">
        <v>23479</v>
      </c>
      <c r="G5366">
        <v>6</v>
      </c>
      <c r="H5366" t="s">
        <v>17870</v>
      </c>
      <c r="J5366" t="s">
        <v>17848</v>
      </c>
      <c r="K5366" t="s">
        <v>450</v>
      </c>
      <c r="L5366" t="s">
        <v>33</v>
      </c>
      <c r="M5366" t="s">
        <v>1278</v>
      </c>
      <c r="N5366" t="s">
        <v>17877</v>
      </c>
      <c r="O5366" t="s">
        <v>17878</v>
      </c>
      <c r="P5366" s="2" t="s">
        <v>37</v>
      </c>
      <c r="Q5366" t="s">
        <v>1208</v>
      </c>
      <c r="R5366">
        <v>2.0499999999999998</v>
      </c>
      <c r="S5366">
        <v>67.55</v>
      </c>
      <c r="T5366" t="s">
        <v>17879</v>
      </c>
    </row>
    <row r="5367" spans="1:20" x14ac:dyDescent="0.25">
      <c r="A5367" s="1" t="str">
        <f>HYPERLINK("https://vegkart.atlas.vegvesen.no/#/@990681.7,7860384.9,18/hva:hva%5B0%5D%5Bfilter%5D%5B0%5D%5Boperator%5D=%21%3D&amp;hva%5B0%5D%5Bfilter%5D%5B0%5D%5Btype_id%5D=5897&amp;hva%5B0%5D%5Bfilter%5D%5B0%5D%5Bverdi%5D=&amp;hva%5B0%5D%5Bid%5D=47/når:2017-09-26", "Vegkart")</f>
        <v>Vegkart</v>
      </c>
      <c r="B5367">
        <v>92819115</v>
      </c>
      <c r="C5367">
        <v>47</v>
      </c>
      <c r="D5367" t="s">
        <v>16854</v>
      </c>
      <c r="E5367">
        <v>5897</v>
      </c>
      <c r="F5367" t="s">
        <v>23479</v>
      </c>
      <c r="G5367">
        <v>7</v>
      </c>
      <c r="H5367" t="s">
        <v>17870</v>
      </c>
      <c r="J5367" t="s">
        <v>17848</v>
      </c>
      <c r="K5367" t="s">
        <v>450</v>
      </c>
      <c r="L5367" t="s">
        <v>33</v>
      </c>
      <c r="M5367" t="s">
        <v>1278</v>
      </c>
      <c r="N5367" t="s">
        <v>17880</v>
      </c>
      <c r="O5367" t="s">
        <v>17881</v>
      </c>
      <c r="P5367" s="2" t="s">
        <v>37</v>
      </c>
      <c r="Q5367" t="s">
        <v>1208</v>
      </c>
      <c r="R5367">
        <v>5.8</v>
      </c>
      <c r="S5367">
        <v>200.02</v>
      </c>
      <c r="T5367" t="s">
        <v>17882</v>
      </c>
    </row>
    <row r="5368" spans="1:20" x14ac:dyDescent="0.25">
      <c r="A5368" s="1" t="str">
        <f>HYPERLINK("https://vegkart.atlas.vegvesen.no/#/@984533.8,7865181.0,18/hva:hva%5B0%5D%5Bfilter%5D%5B0%5D%5Boperator%5D=%21%3D&amp;hva%5B0%5D%5Bfilter%5D%5B0%5D%5Btype_id%5D=5897&amp;hva%5B0%5D%5Bfilter%5D%5B0%5D%5Bverdi%5D=&amp;hva%5B0%5D%5Bid%5D=47/når:2017-09-26", "Vegkart")</f>
        <v>Vegkart</v>
      </c>
      <c r="B5368">
        <v>92819682</v>
      </c>
      <c r="C5368">
        <v>47</v>
      </c>
      <c r="D5368" t="s">
        <v>16854</v>
      </c>
      <c r="E5368">
        <v>5897</v>
      </c>
      <c r="F5368" t="s">
        <v>23479</v>
      </c>
      <c r="G5368">
        <v>9</v>
      </c>
      <c r="H5368" t="s">
        <v>17870</v>
      </c>
      <c r="J5368" t="s">
        <v>17848</v>
      </c>
      <c r="K5368" t="s">
        <v>450</v>
      </c>
      <c r="L5368" t="s">
        <v>33</v>
      </c>
      <c r="M5368" t="s">
        <v>1278</v>
      </c>
      <c r="N5368" t="s">
        <v>17883</v>
      </c>
      <c r="O5368" t="s">
        <v>17884</v>
      </c>
      <c r="P5368" s="2" t="s">
        <v>165</v>
      </c>
      <c r="Q5368" t="s">
        <v>641</v>
      </c>
      <c r="R5368">
        <v>3.81</v>
      </c>
      <c r="S5368">
        <v>135.49</v>
      </c>
      <c r="T5368" t="s">
        <v>167</v>
      </c>
    </row>
    <row r="5369" spans="1:20" x14ac:dyDescent="0.25">
      <c r="A5369" s="1" t="str">
        <f>HYPERLINK("https://vegkart.atlas.vegvesen.no/#/@978881.7,7868209.4,18/hva:hva%5B0%5D%5Bfilter%5D%5B0%5D%5Boperator%5D=%21%3D&amp;hva%5B0%5D%5Bfilter%5D%5B0%5D%5Btype_id%5D=5897&amp;hva%5B0%5D%5Bfilter%5D%5B0%5D%5Bverdi%5D=&amp;hva%5B0%5D%5Bid%5D=47/når:2017-09-26", "Vegkart")</f>
        <v>Vegkart</v>
      </c>
      <c r="B5369">
        <v>92820391</v>
      </c>
      <c r="C5369">
        <v>47</v>
      </c>
      <c r="D5369" t="s">
        <v>16854</v>
      </c>
      <c r="E5369">
        <v>5897</v>
      </c>
      <c r="F5369" t="s">
        <v>23479</v>
      </c>
      <c r="G5369">
        <v>8</v>
      </c>
      <c r="H5369" t="s">
        <v>17870</v>
      </c>
      <c r="J5369" t="s">
        <v>17848</v>
      </c>
      <c r="K5369" t="s">
        <v>450</v>
      </c>
      <c r="L5369" t="s">
        <v>33</v>
      </c>
      <c r="M5369" t="s">
        <v>1278</v>
      </c>
      <c r="N5369" t="s">
        <v>17885</v>
      </c>
      <c r="O5369" t="s">
        <v>17886</v>
      </c>
      <c r="P5369" s="2" t="s">
        <v>165</v>
      </c>
      <c r="Q5369" t="s">
        <v>641</v>
      </c>
      <c r="R5369">
        <v>3.13</v>
      </c>
      <c r="S5369">
        <v>96.78</v>
      </c>
      <c r="T5369" t="s">
        <v>167</v>
      </c>
    </row>
    <row r="5370" spans="1:20" x14ac:dyDescent="0.25">
      <c r="A5370" s="1" t="str">
        <f>HYPERLINK("https://vegkart.atlas.vegvesen.no/#/@1095221.4,7884841.1,18/hva:hva%5B0%5D%5Bfilter%5D%5B0%5D%5Boperator%5D=%21%3D&amp;hva%5B0%5D%5Bfilter%5D%5B0%5D%5Btype_id%5D=5897&amp;hva%5B0%5D%5Bfilter%5D%5B0%5D%5Bverdi%5D=&amp;hva%5B0%5D%5Bid%5D=47/når:2017-09-25", "Vegkart")</f>
        <v>Vegkart</v>
      </c>
      <c r="B5370">
        <v>92841691</v>
      </c>
      <c r="C5370">
        <v>47</v>
      </c>
      <c r="D5370" t="s">
        <v>16854</v>
      </c>
      <c r="E5370">
        <v>5897</v>
      </c>
      <c r="F5370" t="s">
        <v>23479</v>
      </c>
      <c r="G5370">
        <v>6</v>
      </c>
      <c r="H5370" t="s">
        <v>17887</v>
      </c>
      <c r="J5370" t="s">
        <v>17888</v>
      </c>
      <c r="K5370" t="s">
        <v>450</v>
      </c>
      <c r="L5370" t="s">
        <v>80</v>
      </c>
      <c r="M5370" t="s">
        <v>17889</v>
      </c>
      <c r="N5370" t="s">
        <v>17890</v>
      </c>
      <c r="O5370" t="s">
        <v>17891</v>
      </c>
      <c r="P5370" s="2" t="s">
        <v>165</v>
      </c>
      <c r="Q5370" t="s">
        <v>641</v>
      </c>
      <c r="R5370">
        <v>5.77</v>
      </c>
      <c r="S5370">
        <v>117.39</v>
      </c>
      <c r="T5370" t="s">
        <v>167</v>
      </c>
    </row>
    <row r="5371" spans="1:20" x14ac:dyDescent="0.25">
      <c r="A5371" s="1" t="str">
        <f>HYPERLINK("https://vegkart.atlas.vegvesen.no/#/@1079793.7,7867131.1,18/hva:hva%5B0%5D%5Bfilter%5D%5B0%5D%5Boperator%5D=%21%3D&amp;hva%5B0%5D%5Bfilter%5D%5B0%5D%5Btype_id%5D=5897&amp;hva%5B0%5D%5Bfilter%5D%5B0%5D%5Bverdi%5D=&amp;hva%5B0%5D%5Bid%5D=47/når:2017-09-25", "Vegkart")</f>
        <v>Vegkart</v>
      </c>
      <c r="B5371">
        <v>92842175</v>
      </c>
      <c r="C5371">
        <v>47</v>
      </c>
      <c r="D5371" t="s">
        <v>16854</v>
      </c>
      <c r="E5371">
        <v>5897</v>
      </c>
      <c r="F5371" t="s">
        <v>23479</v>
      </c>
      <c r="G5371">
        <v>7</v>
      </c>
      <c r="H5371" t="s">
        <v>17887</v>
      </c>
      <c r="J5371" t="s">
        <v>17888</v>
      </c>
      <c r="K5371" t="s">
        <v>450</v>
      </c>
      <c r="L5371" t="s">
        <v>80</v>
      </c>
      <c r="M5371" t="s">
        <v>17889</v>
      </c>
      <c r="N5371" t="s">
        <v>17892</v>
      </c>
      <c r="O5371" t="s">
        <v>17893</v>
      </c>
      <c r="P5371" s="2" t="s">
        <v>37</v>
      </c>
      <c r="Q5371" t="s">
        <v>1208</v>
      </c>
      <c r="R5371">
        <v>2.2200000000000002</v>
      </c>
      <c r="S5371">
        <v>106.45</v>
      </c>
      <c r="T5371" t="s">
        <v>17894</v>
      </c>
    </row>
    <row r="5372" spans="1:20" x14ac:dyDescent="0.25">
      <c r="A5372" s="1" t="str">
        <f>HYPERLINK("https://vegkart.atlas.vegvesen.no/#/@1074695.3,7859909.6,18/hva:hva%5B0%5D%5Bfilter%5D%5B0%5D%5Boperator%5D=%21%3D&amp;hva%5B0%5D%5Bfilter%5D%5B0%5D%5Btype_id%5D=5897&amp;hva%5B0%5D%5Bfilter%5D%5B0%5D%5Bverdi%5D=&amp;hva%5B0%5D%5Bid%5D=47/når:2017-09-25", "Vegkart")</f>
        <v>Vegkart</v>
      </c>
      <c r="B5372">
        <v>92842344</v>
      </c>
      <c r="C5372">
        <v>47</v>
      </c>
      <c r="D5372" t="s">
        <v>16854</v>
      </c>
      <c r="E5372">
        <v>5897</v>
      </c>
      <c r="F5372" t="s">
        <v>23479</v>
      </c>
      <c r="G5372">
        <v>10</v>
      </c>
      <c r="H5372" t="s">
        <v>17887</v>
      </c>
      <c r="J5372" t="s">
        <v>17888</v>
      </c>
      <c r="K5372" t="s">
        <v>450</v>
      </c>
      <c r="L5372" t="s">
        <v>80</v>
      </c>
      <c r="M5372" t="s">
        <v>17889</v>
      </c>
      <c r="N5372" t="s">
        <v>17895</v>
      </c>
      <c r="O5372" t="s">
        <v>17896</v>
      </c>
      <c r="P5372" s="2" t="s">
        <v>37</v>
      </c>
      <c r="Q5372" t="s">
        <v>1208</v>
      </c>
      <c r="R5372">
        <v>2.71</v>
      </c>
      <c r="S5372">
        <v>78.25</v>
      </c>
      <c r="T5372" t="s">
        <v>17897</v>
      </c>
    </row>
    <row r="5373" spans="1:20" x14ac:dyDescent="0.25">
      <c r="A5373" s="1" t="str">
        <f>HYPERLINK("https://vegkart.atlas.vegvesen.no/#/@1075524.7,7853354.1,18/hva:hva%5B0%5D%5Bfilter%5D%5B0%5D%5Boperator%5D=%21%3D&amp;hva%5B0%5D%5Bfilter%5D%5B0%5D%5Btype_id%5D=5897&amp;hva%5B0%5D%5Bfilter%5D%5B0%5D%5Bverdi%5D=&amp;hva%5B0%5D%5Bid%5D=47/når:2017-09-25", "Vegkart")</f>
        <v>Vegkart</v>
      </c>
      <c r="B5373">
        <v>92842472</v>
      </c>
      <c r="C5373">
        <v>47</v>
      </c>
      <c r="D5373" t="s">
        <v>16854</v>
      </c>
      <c r="E5373">
        <v>5897</v>
      </c>
      <c r="F5373" t="s">
        <v>23479</v>
      </c>
      <c r="G5373">
        <v>9</v>
      </c>
      <c r="H5373" t="s">
        <v>17887</v>
      </c>
      <c r="J5373" t="s">
        <v>17888</v>
      </c>
      <c r="K5373" t="s">
        <v>450</v>
      </c>
      <c r="L5373" t="s">
        <v>80</v>
      </c>
      <c r="M5373" t="s">
        <v>17889</v>
      </c>
      <c r="N5373" t="s">
        <v>17898</v>
      </c>
      <c r="O5373" t="s">
        <v>17899</v>
      </c>
      <c r="P5373" s="2" t="s">
        <v>37</v>
      </c>
      <c r="Q5373" t="s">
        <v>1208</v>
      </c>
      <c r="R5373">
        <v>6.69</v>
      </c>
      <c r="S5373">
        <v>109.6</v>
      </c>
      <c r="T5373" t="s">
        <v>17900</v>
      </c>
    </row>
    <row r="5374" spans="1:20" x14ac:dyDescent="0.25">
      <c r="A5374" s="1" t="str">
        <f>HYPERLINK("https://vegkart.atlas.vegvesen.no/#/@1071291.5,7849372.1,18/hva:hva%5B0%5D%5Bfilter%5D%5B0%5D%5Boperator%5D=%21%3D&amp;hva%5B0%5D%5Bfilter%5D%5B0%5D%5Btype_id%5D=5897&amp;hva%5B0%5D%5Bfilter%5D%5B0%5D%5Bverdi%5D=&amp;hva%5B0%5D%5Bid%5D=47/når:2017-09-25", "Vegkart")</f>
        <v>Vegkart</v>
      </c>
      <c r="B5374">
        <v>92842593</v>
      </c>
      <c r="C5374">
        <v>47</v>
      </c>
      <c r="D5374" t="s">
        <v>16854</v>
      </c>
      <c r="E5374">
        <v>5897</v>
      </c>
      <c r="F5374" t="s">
        <v>23479</v>
      </c>
      <c r="G5374">
        <v>8</v>
      </c>
      <c r="H5374" t="s">
        <v>17887</v>
      </c>
      <c r="J5374" t="s">
        <v>17888</v>
      </c>
      <c r="K5374" t="s">
        <v>450</v>
      </c>
      <c r="L5374" t="s">
        <v>80</v>
      </c>
      <c r="M5374" t="s">
        <v>17889</v>
      </c>
      <c r="N5374" t="s">
        <v>17901</v>
      </c>
      <c r="O5374" t="s">
        <v>17902</v>
      </c>
      <c r="P5374" s="2" t="s">
        <v>37</v>
      </c>
      <c r="Q5374" t="s">
        <v>1208</v>
      </c>
      <c r="R5374">
        <v>4.09</v>
      </c>
      <c r="S5374">
        <v>99.39</v>
      </c>
      <c r="T5374" t="s">
        <v>17903</v>
      </c>
    </row>
    <row r="5375" spans="1:20" x14ac:dyDescent="0.25">
      <c r="A5375" s="1" t="str">
        <f>HYPERLINK("https://vegkart.atlas.vegvesen.no/#/@1069303.1,7848037.5,18/hva:hva%5B0%5D%5Bfilter%5D%5B0%5D%5Boperator%5D=%21%3D&amp;hva%5B0%5D%5Bfilter%5D%5B0%5D%5Btype_id%5D=5897&amp;hva%5B0%5D%5Bfilter%5D%5B0%5D%5Bverdi%5D=&amp;hva%5B0%5D%5Bid%5D=47/når:2017-09-25", "Vegkart")</f>
        <v>Vegkart</v>
      </c>
      <c r="B5375">
        <v>92842645</v>
      </c>
      <c r="C5375">
        <v>47</v>
      </c>
      <c r="D5375" t="s">
        <v>16854</v>
      </c>
      <c r="E5375">
        <v>5897</v>
      </c>
      <c r="F5375" t="s">
        <v>23479</v>
      </c>
      <c r="G5375">
        <v>8</v>
      </c>
      <c r="H5375" t="s">
        <v>17887</v>
      </c>
      <c r="J5375" t="s">
        <v>17888</v>
      </c>
      <c r="K5375" t="s">
        <v>450</v>
      </c>
      <c r="L5375" t="s">
        <v>80</v>
      </c>
      <c r="M5375" t="s">
        <v>17889</v>
      </c>
      <c r="N5375" t="s">
        <v>17904</v>
      </c>
      <c r="O5375" t="s">
        <v>17905</v>
      </c>
      <c r="P5375" s="2" t="s">
        <v>37</v>
      </c>
      <c r="Q5375" t="s">
        <v>1208</v>
      </c>
      <c r="R5375">
        <v>4.41</v>
      </c>
      <c r="S5375">
        <v>69.86</v>
      </c>
      <c r="T5375" t="s">
        <v>17906</v>
      </c>
    </row>
    <row r="5376" spans="1:20" x14ac:dyDescent="0.25">
      <c r="A5376" s="1" t="str">
        <f>HYPERLINK("https://vegkart.atlas.vegvesen.no/#/@1067621.6,7845237.7,18/hva:hva%5B0%5D%5Bfilter%5D%5B0%5D%5Boperator%5D=%21%3D&amp;hva%5B0%5D%5Bfilter%5D%5B0%5D%5Btype_id%5D=5897&amp;hva%5B0%5D%5Bfilter%5D%5B0%5D%5Bverdi%5D=&amp;hva%5B0%5D%5Bid%5D=47/når:2017-09-25", "Vegkart")</f>
        <v>Vegkart</v>
      </c>
      <c r="B5376">
        <v>92842700</v>
      </c>
      <c r="C5376">
        <v>47</v>
      </c>
      <c r="D5376" t="s">
        <v>16854</v>
      </c>
      <c r="E5376">
        <v>5897</v>
      </c>
      <c r="F5376" t="s">
        <v>23479</v>
      </c>
      <c r="G5376">
        <v>9</v>
      </c>
      <c r="H5376" t="s">
        <v>17887</v>
      </c>
      <c r="J5376" t="s">
        <v>17888</v>
      </c>
      <c r="K5376" t="s">
        <v>450</v>
      </c>
      <c r="L5376" t="s">
        <v>80</v>
      </c>
      <c r="M5376" t="s">
        <v>17889</v>
      </c>
      <c r="N5376" t="s">
        <v>17907</v>
      </c>
      <c r="O5376" t="s">
        <v>17908</v>
      </c>
      <c r="P5376" s="2" t="s">
        <v>37</v>
      </c>
      <c r="Q5376" t="s">
        <v>1208</v>
      </c>
      <c r="R5376">
        <v>2.11</v>
      </c>
      <c r="S5376">
        <v>96.63</v>
      </c>
      <c r="T5376" t="s">
        <v>17909</v>
      </c>
    </row>
    <row r="5377" spans="1:20" x14ac:dyDescent="0.25">
      <c r="A5377" s="1" t="str">
        <f>HYPERLINK("https://vegkart.atlas.vegvesen.no/#/@1064895.4,7843443.4,18/hva:hva%5B0%5D%5Bfilter%5D%5B0%5D%5Boperator%5D=%21%3D&amp;hva%5B0%5D%5Bfilter%5D%5B0%5D%5Btype_id%5D=5897&amp;hva%5B0%5D%5Bfilter%5D%5B0%5D%5Bverdi%5D=&amp;hva%5B0%5D%5Bid%5D=47/når:2017-09-15", "Vegkart")</f>
        <v>Vegkart</v>
      </c>
      <c r="B5377">
        <v>92842795</v>
      </c>
      <c r="C5377">
        <v>47</v>
      </c>
      <c r="D5377" t="s">
        <v>16854</v>
      </c>
      <c r="E5377">
        <v>5897</v>
      </c>
      <c r="F5377" t="s">
        <v>23479</v>
      </c>
      <c r="G5377">
        <v>6</v>
      </c>
      <c r="H5377" t="s">
        <v>17910</v>
      </c>
      <c r="J5377" t="s">
        <v>17888</v>
      </c>
      <c r="K5377" t="s">
        <v>450</v>
      </c>
      <c r="L5377" t="s">
        <v>80</v>
      </c>
      <c r="M5377" t="s">
        <v>17889</v>
      </c>
      <c r="N5377" t="s">
        <v>17911</v>
      </c>
      <c r="O5377" t="s">
        <v>17912</v>
      </c>
      <c r="P5377" s="2" t="s">
        <v>37</v>
      </c>
      <c r="Q5377" t="s">
        <v>1208</v>
      </c>
      <c r="R5377">
        <v>2.84</v>
      </c>
      <c r="S5377">
        <v>87.26</v>
      </c>
      <c r="T5377" t="s">
        <v>17913</v>
      </c>
    </row>
    <row r="5378" spans="1:20" x14ac:dyDescent="0.25">
      <c r="A5378" s="1" t="str">
        <f>HYPERLINK("https://vegkart.atlas.vegvesen.no/#/@1063635.5,7842813.8,18/hva:hva%5B0%5D%5Bfilter%5D%5B0%5D%5Boperator%5D=%21%3D&amp;hva%5B0%5D%5Bfilter%5D%5B0%5D%5Btype_id%5D=5897&amp;hva%5B0%5D%5Bfilter%5D%5B0%5D%5Bverdi%5D=&amp;hva%5B0%5D%5Bid%5D=47/når:2017-09-15", "Vegkart")</f>
        <v>Vegkart</v>
      </c>
      <c r="B5378">
        <v>92842870</v>
      </c>
      <c r="C5378">
        <v>47</v>
      </c>
      <c r="D5378" t="s">
        <v>16854</v>
      </c>
      <c r="E5378">
        <v>5897</v>
      </c>
      <c r="F5378" t="s">
        <v>23479</v>
      </c>
      <c r="G5378">
        <v>8</v>
      </c>
      <c r="H5378" t="s">
        <v>17910</v>
      </c>
      <c r="J5378" t="s">
        <v>17888</v>
      </c>
      <c r="K5378" t="s">
        <v>450</v>
      </c>
      <c r="L5378" t="s">
        <v>80</v>
      </c>
      <c r="M5378" t="s">
        <v>17889</v>
      </c>
      <c r="N5378" t="s">
        <v>17914</v>
      </c>
      <c r="O5378" t="s">
        <v>17915</v>
      </c>
      <c r="P5378" s="2" t="s">
        <v>37</v>
      </c>
      <c r="Q5378" t="s">
        <v>1208</v>
      </c>
      <c r="R5378">
        <v>3.3</v>
      </c>
      <c r="S5378">
        <v>63.6</v>
      </c>
      <c r="T5378" t="s">
        <v>17916</v>
      </c>
    </row>
    <row r="5379" spans="1:20" x14ac:dyDescent="0.25">
      <c r="A5379" s="1" t="str">
        <f>HYPERLINK("https://vegkart.atlas.vegvesen.no/#/@1050269.4,7842611.9,18/hva:hva%5B0%5D%5Bfilter%5D%5B0%5D%5Boperator%5D=%21%3D&amp;hva%5B0%5D%5Bfilter%5D%5B0%5D%5Btype_id%5D=5897&amp;hva%5B0%5D%5Bfilter%5D%5B0%5D%5Bverdi%5D=&amp;hva%5B0%5D%5Bid%5D=47/når:2017-09-15", "Vegkart")</f>
        <v>Vegkart</v>
      </c>
      <c r="B5379">
        <v>92843921</v>
      </c>
      <c r="C5379">
        <v>47</v>
      </c>
      <c r="D5379" t="s">
        <v>16854</v>
      </c>
      <c r="E5379">
        <v>5897</v>
      </c>
      <c r="F5379" t="s">
        <v>23479</v>
      </c>
      <c r="G5379">
        <v>7</v>
      </c>
      <c r="H5379" t="s">
        <v>17910</v>
      </c>
      <c r="J5379" t="s">
        <v>17888</v>
      </c>
      <c r="K5379" t="s">
        <v>450</v>
      </c>
      <c r="L5379" t="s">
        <v>80</v>
      </c>
      <c r="M5379" t="s">
        <v>17889</v>
      </c>
      <c r="N5379" t="s">
        <v>17917</v>
      </c>
      <c r="O5379" t="s">
        <v>17918</v>
      </c>
      <c r="P5379" s="2" t="s">
        <v>37</v>
      </c>
      <c r="Q5379" t="s">
        <v>1208</v>
      </c>
      <c r="R5379">
        <v>2.13</v>
      </c>
      <c r="S5379">
        <v>97.79</v>
      </c>
      <c r="T5379" t="s">
        <v>17919</v>
      </c>
    </row>
    <row r="5380" spans="1:20" x14ac:dyDescent="0.25">
      <c r="A5380" s="1" t="str">
        <f>HYPERLINK("https://vegkart.atlas.vegvesen.no/#/@1042096.7,7841401.7,18/hva:hva%5B0%5D%5Bfilter%5D%5B0%5D%5Boperator%5D=%21%3D&amp;hva%5B0%5D%5Bfilter%5D%5B0%5D%5Btype_id%5D=5897&amp;hva%5B0%5D%5Bfilter%5D%5B0%5D%5Bverdi%5D=&amp;hva%5B0%5D%5Bid%5D=47/når:2017-09-15", "Vegkart")</f>
        <v>Vegkart</v>
      </c>
      <c r="B5380">
        <v>92844133</v>
      </c>
      <c r="C5380">
        <v>47</v>
      </c>
      <c r="D5380" t="s">
        <v>16854</v>
      </c>
      <c r="E5380">
        <v>5897</v>
      </c>
      <c r="F5380" t="s">
        <v>23479</v>
      </c>
      <c r="G5380">
        <v>8</v>
      </c>
      <c r="H5380" t="s">
        <v>17910</v>
      </c>
      <c r="J5380" t="s">
        <v>17888</v>
      </c>
      <c r="K5380" t="s">
        <v>450</v>
      </c>
      <c r="L5380" t="s">
        <v>80</v>
      </c>
      <c r="M5380" t="s">
        <v>17889</v>
      </c>
      <c r="N5380" t="s">
        <v>17920</v>
      </c>
      <c r="O5380" t="s">
        <v>17921</v>
      </c>
      <c r="P5380" s="2" t="s">
        <v>37</v>
      </c>
      <c r="Q5380" t="s">
        <v>1208</v>
      </c>
      <c r="R5380">
        <v>2.0499999999999998</v>
      </c>
      <c r="S5380">
        <v>101.64</v>
      </c>
      <c r="T5380" t="s">
        <v>17922</v>
      </c>
    </row>
    <row r="5381" spans="1:20" x14ac:dyDescent="0.25">
      <c r="A5381" s="1" t="str">
        <f>HYPERLINK("https://vegkart.atlas.vegvesen.no/#/@1037639.1,7842372.3,18/hva:hva%5B0%5D%5Bfilter%5D%5B0%5D%5Boperator%5D=%21%3D&amp;hva%5B0%5D%5Bfilter%5D%5B0%5D%5Btype_id%5D=5897&amp;hva%5B0%5D%5Bfilter%5D%5B0%5D%5Bverdi%5D=&amp;hva%5B0%5D%5Bid%5D=47/når:2017-09-15", "Vegkart")</f>
        <v>Vegkart</v>
      </c>
      <c r="B5381">
        <v>92844518</v>
      </c>
      <c r="C5381">
        <v>47</v>
      </c>
      <c r="D5381" t="s">
        <v>16854</v>
      </c>
      <c r="E5381">
        <v>5897</v>
      </c>
      <c r="F5381" t="s">
        <v>23479</v>
      </c>
      <c r="G5381">
        <v>8</v>
      </c>
      <c r="H5381" t="s">
        <v>17910</v>
      </c>
      <c r="J5381" t="s">
        <v>17888</v>
      </c>
      <c r="K5381" t="s">
        <v>450</v>
      </c>
      <c r="L5381" t="s">
        <v>80</v>
      </c>
      <c r="M5381" t="s">
        <v>17889</v>
      </c>
      <c r="N5381" t="s">
        <v>17923</v>
      </c>
      <c r="O5381" t="s">
        <v>17924</v>
      </c>
      <c r="P5381" s="2" t="s">
        <v>37</v>
      </c>
      <c r="Q5381" t="s">
        <v>1208</v>
      </c>
      <c r="R5381">
        <v>2.16</v>
      </c>
      <c r="S5381">
        <v>143.02000000000001</v>
      </c>
      <c r="T5381" t="s">
        <v>17925</v>
      </c>
    </row>
    <row r="5382" spans="1:20" x14ac:dyDescent="0.25">
      <c r="A5382" s="1" t="str">
        <f>HYPERLINK("https://vegkart.atlas.vegvesen.no/#/@1034115.8,7841565.3,18/hva:hva%5B0%5D%5Bfilter%5D%5B0%5D%5Boperator%5D=%21%3D&amp;hva%5B0%5D%5Bfilter%5D%5B0%5D%5Btype_id%5D=5897&amp;hva%5B0%5D%5Bfilter%5D%5B0%5D%5Bverdi%5D=&amp;hva%5B0%5D%5Bid%5D=47/når:2017-09-15", "Vegkart")</f>
        <v>Vegkart</v>
      </c>
      <c r="B5382">
        <v>92844648</v>
      </c>
      <c r="C5382">
        <v>47</v>
      </c>
      <c r="D5382" t="s">
        <v>16854</v>
      </c>
      <c r="E5382">
        <v>5897</v>
      </c>
      <c r="F5382" t="s">
        <v>23479</v>
      </c>
      <c r="G5382">
        <v>6</v>
      </c>
      <c r="H5382" t="s">
        <v>17910</v>
      </c>
      <c r="J5382" t="s">
        <v>17888</v>
      </c>
      <c r="K5382" t="s">
        <v>450</v>
      </c>
      <c r="L5382" t="s">
        <v>80</v>
      </c>
      <c r="M5382" t="s">
        <v>17889</v>
      </c>
      <c r="N5382" t="s">
        <v>17926</v>
      </c>
      <c r="O5382" t="s">
        <v>17927</v>
      </c>
      <c r="P5382" s="2" t="s">
        <v>37</v>
      </c>
      <c r="Q5382" t="s">
        <v>1208</v>
      </c>
      <c r="R5382">
        <v>2.0499999999999998</v>
      </c>
      <c r="S5382">
        <v>90.79</v>
      </c>
      <c r="T5382" t="s">
        <v>17928</v>
      </c>
    </row>
    <row r="5383" spans="1:20" x14ac:dyDescent="0.25">
      <c r="A5383" s="1" t="str">
        <f>HYPERLINK("https://vegkart.atlas.vegvesen.no/#/@1029082.8,7841661.5,18/hva:hva%5B0%5D%5Bfilter%5D%5B0%5D%5Boperator%5D=%21%3D&amp;hva%5B0%5D%5Bfilter%5D%5B0%5D%5Btype_id%5D=5897&amp;hva%5B0%5D%5Bfilter%5D%5B0%5D%5Bverdi%5D=&amp;hva%5B0%5D%5Bid%5D=47/når:2017-09-12", "Vegkart")</f>
        <v>Vegkart</v>
      </c>
      <c r="B5383">
        <v>92844835</v>
      </c>
      <c r="C5383">
        <v>47</v>
      </c>
      <c r="D5383" t="s">
        <v>16854</v>
      </c>
      <c r="E5383">
        <v>5897</v>
      </c>
      <c r="F5383" t="s">
        <v>23479</v>
      </c>
      <c r="G5383">
        <v>7</v>
      </c>
      <c r="H5383" t="s">
        <v>17929</v>
      </c>
      <c r="J5383" t="s">
        <v>17888</v>
      </c>
      <c r="K5383" t="s">
        <v>450</v>
      </c>
      <c r="L5383" t="s">
        <v>80</v>
      </c>
      <c r="M5383" t="s">
        <v>17889</v>
      </c>
      <c r="N5383" t="s">
        <v>17930</v>
      </c>
      <c r="O5383" t="s">
        <v>17931</v>
      </c>
      <c r="P5383" s="2" t="s">
        <v>37</v>
      </c>
      <c r="Q5383" t="s">
        <v>1208</v>
      </c>
      <c r="R5383">
        <v>4.9400000000000004</v>
      </c>
      <c r="S5383">
        <v>223.24</v>
      </c>
      <c r="T5383" t="s">
        <v>17932</v>
      </c>
    </row>
    <row r="5384" spans="1:20" x14ac:dyDescent="0.25">
      <c r="A5384" s="1" t="str">
        <f>HYPERLINK("https://vegkart.atlas.vegvesen.no/#/@1025870.6,7841786.6,18/hva:hva%5B0%5D%5Bfilter%5D%5B0%5D%5Boperator%5D=%21%3D&amp;hva%5B0%5D%5Bfilter%5D%5B0%5D%5Btype_id%5D=5897&amp;hva%5B0%5D%5Bfilter%5D%5B0%5D%5Bverdi%5D=&amp;hva%5B0%5D%5Bid%5D=47/når:2017-09-14", "Vegkart")</f>
        <v>Vegkart</v>
      </c>
      <c r="B5384">
        <v>92844990</v>
      </c>
      <c r="C5384">
        <v>47</v>
      </c>
      <c r="D5384" t="s">
        <v>16854</v>
      </c>
      <c r="E5384">
        <v>5897</v>
      </c>
      <c r="F5384" t="s">
        <v>23479</v>
      </c>
      <c r="G5384">
        <v>8</v>
      </c>
      <c r="H5384" t="s">
        <v>17933</v>
      </c>
      <c r="J5384" t="s">
        <v>17888</v>
      </c>
      <c r="K5384" t="s">
        <v>450</v>
      </c>
      <c r="L5384" t="s">
        <v>80</v>
      </c>
      <c r="M5384" t="s">
        <v>17889</v>
      </c>
      <c r="N5384" t="s">
        <v>17934</v>
      </c>
      <c r="O5384" t="s">
        <v>17935</v>
      </c>
      <c r="P5384" s="2" t="s">
        <v>165</v>
      </c>
      <c r="Q5384" t="s">
        <v>641</v>
      </c>
      <c r="R5384">
        <v>3.72</v>
      </c>
      <c r="S5384">
        <v>175.39</v>
      </c>
      <c r="T5384" t="s">
        <v>167</v>
      </c>
    </row>
    <row r="5385" spans="1:20" x14ac:dyDescent="0.25">
      <c r="A5385" s="1" t="str">
        <f>HYPERLINK("https://vegkart.atlas.vegvesen.no/#/@1023112.8,7842418.9,18/hva:hva%5B0%5D%5Bfilter%5D%5B0%5D%5Boperator%5D=%21%3D&amp;hva%5B0%5D%5Bfilter%5D%5B0%5D%5Btype_id%5D=5897&amp;hva%5B0%5D%5Bfilter%5D%5B0%5D%5Bverdi%5D=&amp;hva%5B0%5D%5Bid%5D=47/når:2017-09-14", "Vegkart")</f>
        <v>Vegkart</v>
      </c>
      <c r="B5385">
        <v>92845100</v>
      </c>
      <c r="C5385">
        <v>47</v>
      </c>
      <c r="D5385" t="s">
        <v>16854</v>
      </c>
      <c r="E5385">
        <v>5897</v>
      </c>
      <c r="F5385" t="s">
        <v>23479</v>
      </c>
      <c r="G5385">
        <v>8</v>
      </c>
      <c r="H5385" t="s">
        <v>17933</v>
      </c>
      <c r="J5385" t="s">
        <v>17888</v>
      </c>
      <c r="K5385" t="s">
        <v>450</v>
      </c>
      <c r="L5385" t="s">
        <v>80</v>
      </c>
      <c r="M5385" t="s">
        <v>17889</v>
      </c>
      <c r="N5385" t="s">
        <v>17936</v>
      </c>
      <c r="O5385" t="s">
        <v>17937</v>
      </c>
      <c r="P5385" s="2" t="s">
        <v>37</v>
      </c>
      <c r="Q5385" t="s">
        <v>1208</v>
      </c>
      <c r="R5385">
        <v>2.41</v>
      </c>
      <c r="S5385">
        <v>94.45</v>
      </c>
      <c r="T5385" t="s">
        <v>17938</v>
      </c>
    </row>
    <row r="5386" spans="1:20" x14ac:dyDescent="0.25">
      <c r="A5386" s="1" t="str">
        <f>HYPERLINK("https://vegkart.atlas.vegvesen.no/#/@1021934.5,7842285.6,18/hva:hva%5B0%5D%5Bfilter%5D%5B0%5D%5Boperator%5D=%21%3D&amp;hva%5B0%5D%5Bfilter%5D%5B0%5D%5Btype_id%5D=5897&amp;hva%5B0%5D%5Bfilter%5D%5B0%5D%5Bverdi%5D=&amp;hva%5B0%5D%5Bid%5D=47/når:2017-09-14", "Vegkart")</f>
        <v>Vegkart</v>
      </c>
      <c r="B5386">
        <v>92845205</v>
      </c>
      <c r="C5386">
        <v>47</v>
      </c>
      <c r="D5386" t="s">
        <v>16854</v>
      </c>
      <c r="E5386">
        <v>5897</v>
      </c>
      <c r="F5386" t="s">
        <v>23479</v>
      </c>
      <c r="G5386">
        <v>7</v>
      </c>
      <c r="H5386" t="s">
        <v>17933</v>
      </c>
      <c r="J5386" t="s">
        <v>17888</v>
      </c>
      <c r="K5386" t="s">
        <v>450</v>
      </c>
      <c r="L5386" t="s">
        <v>80</v>
      </c>
      <c r="M5386" t="s">
        <v>17889</v>
      </c>
      <c r="N5386" t="s">
        <v>17939</v>
      </c>
      <c r="O5386" t="s">
        <v>17940</v>
      </c>
      <c r="P5386" s="2" t="s">
        <v>37</v>
      </c>
      <c r="Q5386" t="s">
        <v>1208</v>
      </c>
      <c r="R5386">
        <v>3.69</v>
      </c>
      <c r="S5386">
        <v>98.99</v>
      </c>
      <c r="T5386" t="s">
        <v>17941</v>
      </c>
    </row>
    <row r="5387" spans="1:20" x14ac:dyDescent="0.25">
      <c r="A5387" s="1" t="str">
        <f>HYPERLINK("https://vegkart.atlas.vegvesen.no/#/@1021465.0,7842516.8,18/hva:hva%5B0%5D%5Bfilter%5D%5B0%5D%5Boperator%5D=%21%3D&amp;hva%5B0%5D%5Bfilter%5D%5B0%5D%5Btype_id%5D=5897&amp;hva%5B0%5D%5Bfilter%5D%5B0%5D%5Bverdi%5D=&amp;hva%5B0%5D%5Bid%5D=47/når:2017-09-14", "Vegkart")</f>
        <v>Vegkart</v>
      </c>
      <c r="B5387">
        <v>92845242</v>
      </c>
      <c r="C5387">
        <v>47</v>
      </c>
      <c r="D5387" t="s">
        <v>16854</v>
      </c>
      <c r="E5387">
        <v>5897</v>
      </c>
      <c r="F5387" t="s">
        <v>23479</v>
      </c>
      <c r="G5387">
        <v>7</v>
      </c>
      <c r="H5387" t="s">
        <v>17933</v>
      </c>
      <c r="J5387" t="s">
        <v>17888</v>
      </c>
      <c r="K5387" t="s">
        <v>450</v>
      </c>
      <c r="L5387" t="s">
        <v>80</v>
      </c>
      <c r="M5387" t="s">
        <v>17889</v>
      </c>
      <c r="N5387" t="s">
        <v>17942</v>
      </c>
      <c r="O5387" t="s">
        <v>17943</v>
      </c>
      <c r="P5387" s="2" t="s">
        <v>165</v>
      </c>
      <c r="Q5387" t="s">
        <v>641</v>
      </c>
      <c r="R5387">
        <v>3.54</v>
      </c>
      <c r="S5387">
        <v>93.73</v>
      </c>
      <c r="T5387" t="s">
        <v>167</v>
      </c>
    </row>
    <row r="5388" spans="1:20" x14ac:dyDescent="0.25">
      <c r="A5388" s="1" t="str">
        <f>HYPERLINK("https://vegkart.atlas.vegvesen.no/#/@1010157.0,7842517.8,18/hva:hva%5B0%5D%5Bfilter%5D%5B0%5D%5Boperator%5D=%21%3D&amp;hva%5B0%5D%5Bfilter%5D%5B0%5D%5Btype_id%5D=5897&amp;hva%5B0%5D%5Bfilter%5D%5B0%5D%5Bverdi%5D=&amp;hva%5B0%5D%5Bid%5D=47/når:2017-09-14", "Vegkart")</f>
        <v>Vegkart</v>
      </c>
      <c r="B5388">
        <v>92845890</v>
      </c>
      <c r="C5388">
        <v>47</v>
      </c>
      <c r="D5388" t="s">
        <v>16854</v>
      </c>
      <c r="E5388">
        <v>5897</v>
      </c>
      <c r="F5388" t="s">
        <v>23479</v>
      </c>
      <c r="G5388">
        <v>6</v>
      </c>
      <c r="H5388" t="s">
        <v>17933</v>
      </c>
      <c r="J5388" t="s">
        <v>17888</v>
      </c>
      <c r="K5388" t="s">
        <v>450</v>
      </c>
      <c r="L5388" t="s">
        <v>80</v>
      </c>
      <c r="M5388" t="s">
        <v>17889</v>
      </c>
      <c r="N5388" t="s">
        <v>17944</v>
      </c>
      <c r="O5388" t="s">
        <v>17945</v>
      </c>
      <c r="P5388" s="2" t="s">
        <v>26</v>
      </c>
      <c r="Q5388" t="s">
        <v>50</v>
      </c>
      <c r="R5388">
        <v>49.3</v>
      </c>
      <c r="S5388">
        <v>198.32</v>
      </c>
      <c r="T5388" t="s">
        <v>17946</v>
      </c>
    </row>
    <row r="5389" spans="1:20" x14ac:dyDescent="0.25">
      <c r="A5389" s="1" t="str">
        <f>HYPERLINK("https://vegkart.atlas.vegvesen.no/#/@886587.7,7930539.5,18/hva:hva%5B0%5D%5Bfilter%5D%5B0%5D%5Boperator%5D=%21%3D&amp;hva%5B0%5D%5Bfilter%5D%5B0%5D%5Btype_id%5D=5897&amp;hva%5B0%5D%5Bfilter%5D%5B0%5D%5Bverdi%5D=&amp;hva%5B0%5D%5Bid%5D=47/når:2015-10-02", "Vegkart")</f>
        <v>Vegkart</v>
      </c>
      <c r="B5389">
        <v>92846627</v>
      </c>
      <c r="C5389">
        <v>47</v>
      </c>
      <c r="D5389" t="s">
        <v>16854</v>
      </c>
      <c r="E5389">
        <v>5897</v>
      </c>
      <c r="F5389" t="s">
        <v>23479</v>
      </c>
      <c r="G5389">
        <v>5</v>
      </c>
      <c r="H5389" t="s">
        <v>16855</v>
      </c>
      <c r="J5389" t="s">
        <v>17888</v>
      </c>
      <c r="K5389" t="s">
        <v>450</v>
      </c>
      <c r="L5389" t="s">
        <v>80</v>
      </c>
      <c r="M5389" t="s">
        <v>6514</v>
      </c>
      <c r="N5389" t="s">
        <v>17947</v>
      </c>
      <c r="O5389" t="s">
        <v>17948</v>
      </c>
      <c r="P5389" s="2" t="s">
        <v>165</v>
      </c>
      <c r="Q5389" t="s">
        <v>641</v>
      </c>
      <c r="R5389">
        <v>1.86</v>
      </c>
      <c r="S5389">
        <v>242.01</v>
      </c>
      <c r="T5389" t="s">
        <v>167</v>
      </c>
    </row>
    <row r="5390" spans="1:20" x14ac:dyDescent="0.25">
      <c r="A5390" s="1" t="str">
        <f>HYPERLINK("https://vegkart.atlas.vegvesen.no/#/@1008810.7,7841995.7,18/hva:hva%5B0%5D%5Bfilter%5D%5B0%5D%5Boperator%5D=%21%3D&amp;hva%5B0%5D%5Bfilter%5D%5B0%5D%5Btype_id%5D=5897&amp;hva%5B0%5D%5Bfilter%5D%5B0%5D%5Bverdi%5D=&amp;hva%5B0%5D%5Bid%5D=47/når:2017-09-14", "Vegkart")</f>
        <v>Vegkart</v>
      </c>
      <c r="B5390">
        <v>92855974</v>
      </c>
      <c r="C5390">
        <v>47</v>
      </c>
      <c r="D5390" t="s">
        <v>16854</v>
      </c>
      <c r="E5390">
        <v>5897</v>
      </c>
      <c r="F5390" t="s">
        <v>23479</v>
      </c>
      <c r="G5390">
        <v>8</v>
      </c>
      <c r="H5390" t="s">
        <v>17933</v>
      </c>
      <c r="J5390" t="s">
        <v>17888</v>
      </c>
      <c r="K5390" t="s">
        <v>450</v>
      </c>
      <c r="L5390" t="s">
        <v>80</v>
      </c>
      <c r="M5390" t="s">
        <v>105</v>
      </c>
      <c r="N5390" t="s">
        <v>17949</v>
      </c>
      <c r="O5390" t="s">
        <v>17950</v>
      </c>
      <c r="P5390" s="2" t="s">
        <v>37</v>
      </c>
      <c r="Q5390" t="s">
        <v>1208</v>
      </c>
      <c r="R5390">
        <v>2.35</v>
      </c>
      <c r="S5390">
        <v>166.74</v>
      </c>
      <c r="T5390" t="s">
        <v>17951</v>
      </c>
    </row>
    <row r="5391" spans="1:20" x14ac:dyDescent="0.25">
      <c r="A5391" s="1" t="str">
        <f>HYPERLINK("https://vegkart.atlas.vegvesen.no/#/@876198.7,7832620.2,18/hva:hva%5B0%5D%5Bfilter%5D%5B0%5D%5Boperator%5D=%21%3D&amp;hva%5B0%5D%5Bfilter%5D%5B0%5D%5Btype_id%5D=5897&amp;hva%5B0%5D%5Bfilter%5D%5B0%5D%5Bverdi%5D=&amp;hva%5B0%5D%5Bid%5D=47/når:2015-05-27", "Vegkart")</f>
        <v>Vegkart</v>
      </c>
      <c r="B5391">
        <v>92866111</v>
      </c>
      <c r="C5391">
        <v>47</v>
      </c>
      <c r="D5391" t="s">
        <v>16854</v>
      </c>
      <c r="E5391">
        <v>5897</v>
      </c>
      <c r="F5391" t="s">
        <v>23479</v>
      </c>
      <c r="G5391">
        <v>4</v>
      </c>
      <c r="H5391" t="s">
        <v>17952</v>
      </c>
      <c r="J5391" t="s">
        <v>17953</v>
      </c>
      <c r="K5391" t="s">
        <v>450</v>
      </c>
      <c r="L5391" t="s">
        <v>80</v>
      </c>
      <c r="M5391" t="s">
        <v>105</v>
      </c>
      <c r="N5391" t="s">
        <v>17954</v>
      </c>
      <c r="O5391" t="s">
        <v>17955</v>
      </c>
      <c r="P5391" s="2" t="s">
        <v>37</v>
      </c>
      <c r="Q5391" t="s">
        <v>1208</v>
      </c>
      <c r="R5391">
        <v>2.1800000000000002</v>
      </c>
      <c r="S5391">
        <v>98.43</v>
      </c>
      <c r="T5391" t="s">
        <v>17956</v>
      </c>
    </row>
    <row r="5392" spans="1:20" x14ac:dyDescent="0.25">
      <c r="A5392" s="1" t="str">
        <f>HYPERLINK("https://vegkart.atlas.vegvesen.no/#/@875571.6,7837056.2,18/hva:hva%5B0%5D%5Bfilter%5D%5B0%5D%5Boperator%5D=%21%3D&amp;hva%5B0%5D%5Bfilter%5D%5B0%5D%5Btype_id%5D=5897&amp;hva%5B0%5D%5Bfilter%5D%5B0%5D%5Bverdi%5D=&amp;hva%5B0%5D%5Bid%5D=47/når:2015-05-27", "Vegkart")</f>
        <v>Vegkart</v>
      </c>
      <c r="B5392">
        <v>92866429</v>
      </c>
      <c r="C5392">
        <v>47</v>
      </c>
      <c r="D5392" t="s">
        <v>16854</v>
      </c>
      <c r="E5392">
        <v>5897</v>
      </c>
      <c r="F5392" t="s">
        <v>23479</v>
      </c>
      <c r="G5392">
        <v>6</v>
      </c>
      <c r="H5392" t="s">
        <v>17952</v>
      </c>
      <c r="J5392" t="s">
        <v>17953</v>
      </c>
      <c r="K5392" t="s">
        <v>450</v>
      </c>
      <c r="L5392" t="s">
        <v>80</v>
      </c>
      <c r="M5392" t="s">
        <v>105</v>
      </c>
      <c r="N5392" t="s">
        <v>17957</v>
      </c>
      <c r="O5392" t="s">
        <v>17958</v>
      </c>
      <c r="P5392" s="2" t="s">
        <v>165</v>
      </c>
      <c r="Q5392" t="s">
        <v>641</v>
      </c>
      <c r="R5392">
        <v>1.28</v>
      </c>
      <c r="S5392">
        <v>80.95</v>
      </c>
      <c r="T5392" t="s">
        <v>167</v>
      </c>
    </row>
    <row r="5393" spans="1:20" x14ac:dyDescent="0.25">
      <c r="A5393" s="1" t="str">
        <f>HYPERLINK("https://vegkart.atlas.vegvesen.no/#/@191778.1,6573379.2,18/hva:hva%5B0%5D%5Bfilter%5D%5B0%5D%5Boperator%5D=%21%3D&amp;hva%5B0%5D%5Bfilter%5D%5B0%5D%5Btype_id%5D=5897&amp;hva%5B0%5D%5Bfilter%5D%5B0%5D%5Bverdi%5D=&amp;hva%5B0%5D%5Bid%5D=47/når:2010-04-29", "Vegkart")</f>
        <v>Vegkart</v>
      </c>
      <c r="B5393">
        <v>101516156</v>
      </c>
      <c r="C5393">
        <v>47</v>
      </c>
      <c r="D5393" t="s">
        <v>16854</v>
      </c>
      <c r="E5393">
        <v>5897</v>
      </c>
      <c r="F5393" t="s">
        <v>23479</v>
      </c>
      <c r="G5393">
        <v>3</v>
      </c>
      <c r="H5393" t="s">
        <v>17959</v>
      </c>
      <c r="J5393" t="s">
        <v>17960</v>
      </c>
      <c r="K5393" t="s">
        <v>197</v>
      </c>
      <c r="L5393" t="s">
        <v>113</v>
      </c>
      <c r="M5393" t="s">
        <v>2618</v>
      </c>
      <c r="N5393" t="s">
        <v>17961</v>
      </c>
      <c r="O5393" t="s">
        <v>17962</v>
      </c>
      <c r="P5393" s="2" t="s">
        <v>37</v>
      </c>
      <c r="Q5393" t="s">
        <v>1208</v>
      </c>
      <c r="R5393">
        <v>0</v>
      </c>
      <c r="S5393">
        <v>106.38</v>
      </c>
      <c r="T5393" t="s">
        <v>17963</v>
      </c>
    </row>
    <row r="5394" spans="1:20" x14ac:dyDescent="0.25">
      <c r="A5394" s="1" t="str">
        <f>HYPERLINK("https://vegkart.atlas.vegvesen.no/#/@188775.5,6575990.1,18/hva:hva%5B0%5D%5Bfilter%5D%5B0%5D%5Boperator%5D=%21%3D&amp;hva%5B0%5D%5Bfilter%5D%5B0%5D%5Btype_id%5D=5897&amp;hva%5B0%5D%5Bfilter%5D%5B0%5D%5Bverdi%5D=&amp;hva%5B0%5D%5Bid%5D=47/når:2024-11-27", "Vegkart")</f>
        <v>Vegkart</v>
      </c>
      <c r="B5394">
        <v>101534407</v>
      </c>
      <c r="C5394">
        <v>47</v>
      </c>
      <c r="D5394" t="s">
        <v>16854</v>
      </c>
      <c r="E5394">
        <v>5897</v>
      </c>
      <c r="F5394" t="s">
        <v>23479</v>
      </c>
      <c r="G5394">
        <v>6</v>
      </c>
      <c r="H5394" t="s">
        <v>85</v>
      </c>
      <c r="J5394" t="s">
        <v>17964</v>
      </c>
      <c r="K5394" t="s">
        <v>197</v>
      </c>
      <c r="L5394" t="s">
        <v>33</v>
      </c>
      <c r="M5394" t="s">
        <v>1902</v>
      </c>
      <c r="N5394" t="s">
        <v>17965</v>
      </c>
      <c r="O5394" t="s">
        <v>17966</v>
      </c>
      <c r="P5394" s="2" t="s">
        <v>165</v>
      </c>
      <c r="Q5394" t="s">
        <v>166</v>
      </c>
      <c r="R5394">
        <v>25.34</v>
      </c>
      <c r="S5394">
        <v>26.18</v>
      </c>
      <c r="T5394" t="s">
        <v>167</v>
      </c>
    </row>
    <row r="5395" spans="1:20" x14ac:dyDescent="0.25">
      <c r="A5395" s="1" t="str">
        <f>HYPERLINK("https://vegkart.atlas.vegvesen.no/#/@173672.2,6549710.6,18/hva:hva%5B0%5D%5Bfilter%5D%5B0%5D%5Boperator%5D=%21%3D&amp;hva%5B0%5D%5Bfilter%5D%5B0%5D%5Btype_id%5D=5897&amp;hva%5B0%5D%5Bfilter%5D%5B0%5D%5Bverdi%5D=&amp;hva%5B0%5D%5Bid%5D=47/når:2022-12-06", "Vegkart")</f>
        <v>Vegkart</v>
      </c>
      <c r="B5395">
        <v>101559490</v>
      </c>
      <c r="C5395">
        <v>47</v>
      </c>
      <c r="D5395" t="s">
        <v>16854</v>
      </c>
      <c r="E5395">
        <v>5897</v>
      </c>
      <c r="F5395" t="s">
        <v>23479</v>
      </c>
      <c r="G5395">
        <v>3</v>
      </c>
      <c r="H5395" t="s">
        <v>17967</v>
      </c>
      <c r="J5395" t="s">
        <v>17968</v>
      </c>
      <c r="K5395" t="s">
        <v>197</v>
      </c>
      <c r="L5395" t="s">
        <v>33</v>
      </c>
      <c r="M5395" t="s">
        <v>17969</v>
      </c>
      <c r="N5395" t="s">
        <v>17970</v>
      </c>
      <c r="O5395" t="s">
        <v>17971</v>
      </c>
      <c r="P5395" s="2" t="s">
        <v>37</v>
      </c>
      <c r="Q5395" t="s">
        <v>1208</v>
      </c>
      <c r="R5395">
        <v>0</v>
      </c>
      <c r="S5395">
        <v>41.31</v>
      </c>
      <c r="T5395" t="s">
        <v>17972</v>
      </c>
    </row>
    <row r="5396" spans="1:20" x14ac:dyDescent="0.25">
      <c r="A5396" s="1" t="str">
        <f>HYPERLINK("https://vegkart.atlas.vegvesen.no/#/@195713.0,6559295.3,18/hva:hva%5B0%5D%5Bfilter%5D%5B0%5D%5Boperator%5D=%21%3D&amp;hva%5B0%5D%5Bfilter%5D%5B0%5D%5Btype_id%5D=5897&amp;hva%5B0%5D%5Bfilter%5D%5B0%5D%5Bverdi%5D=&amp;hva%5B0%5D%5Bid%5D=47/når:2013-10-15", "Vegkart")</f>
        <v>Vegkart</v>
      </c>
      <c r="B5396">
        <v>101610743</v>
      </c>
      <c r="C5396">
        <v>47</v>
      </c>
      <c r="D5396" t="s">
        <v>16854</v>
      </c>
      <c r="E5396">
        <v>5897</v>
      </c>
      <c r="F5396" t="s">
        <v>23479</v>
      </c>
      <c r="G5396">
        <v>4</v>
      </c>
      <c r="H5396" t="s">
        <v>17973</v>
      </c>
      <c r="J5396" t="s">
        <v>17974</v>
      </c>
      <c r="K5396" t="s">
        <v>197</v>
      </c>
      <c r="L5396" t="s">
        <v>113</v>
      </c>
      <c r="M5396" t="s">
        <v>2012</v>
      </c>
      <c r="N5396" t="s">
        <v>17975</v>
      </c>
      <c r="O5396" t="s">
        <v>17976</v>
      </c>
      <c r="P5396" s="2" t="s">
        <v>37</v>
      </c>
      <c r="Q5396" t="s">
        <v>1208</v>
      </c>
      <c r="R5396">
        <v>0</v>
      </c>
      <c r="S5396">
        <v>89.31</v>
      </c>
      <c r="T5396" t="s">
        <v>17977</v>
      </c>
    </row>
    <row r="5397" spans="1:20" x14ac:dyDescent="0.25">
      <c r="A5397" s="1" t="str">
        <f>HYPERLINK("https://vegkart.atlas.vegvesen.no/#/@197802.8,6564629.6,18/hva:hva%5B0%5D%5Bfilter%5D%5B0%5D%5Boperator%5D=%21%3D&amp;hva%5B0%5D%5Bfilter%5D%5B0%5D%5Btype_id%5D=5897&amp;hva%5B0%5D%5Bfilter%5D%5B0%5D%5Bverdi%5D=&amp;hva%5B0%5D%5Bid%5D=47/når:2023-03-21", "Vegkart")</f>
        <v>Vegkart</v>
      </c>
      <c r="B5397">
        <v>101616053</v>
      </c>
      <c r="C5397">
        <v>47</v>
      </c>
      <c r="D5397" t="s">
        <v>16854</v>
      </c>
      <c r="E5397">
        <v>5897</v>
      </c>
      <c r="F5397" t="s">
        <v>23479</v>
      </c>
      <c r="G5397">
        <v>7</v>
      </c>
      <c r="H5397" t="s">
        <v>2824</v>
      </c>
      <c r="J5397" t="s">
        <v>17974</v>
      </c>
      <c r="K5397" t="s">
        <v>197</v>
      </c>
      <c r="L5397" t="s">
        <v>22</v>
      </c>
      <c r="M5397" t="s">
        <v>17978</v>
      </c>
      <c r="N5397" t="s">
        <v>17979</v>
      </c>
      <c r="O5397" t="s">
        <v>17980</v>
      </c>
      <c r="P5397" s="2" t="s">
        <v>165</v>
      </c>
      <c r="Q5397" t="s">
        <v>166</v>
      </c>
      <c r="R5397">
        <v>32.380000000000003</v>
      </c>
      <c r="S5397">
        <v>32.380000000000003</v>
      </c>
      <c r="T5397" t="s">
        <v>167</v>
      </c>
    </row>
    <row r="5398" spans="1:20" x14ac:dyDescent="0.25">
      <c r="A5398" s="1" t="str">
        <f>HYPERLINK("https://vegkart.atlas.vegvesen.no/#/@194833.1,6571549.9,18/hva:hva%5B0%5D%5Bfilter%5D%5B0%5D%5Boperator%5D=%21%3D&amp;hva%5B0%5D%5Bfilter%5D%5B0%5D%5Btype_id%5D=5897&amp;hva%5B0%5D%5Bfilter%5D%5B0%5D%5Bverdi%5D=&amp;hva%5B0%5D%5Bid%5D=47/når:2023-03-20", "Vegkart")</f>
        <v>Vegkart</v>
      </c>
      <c r="B5398">
        <v>101616169</v>
      </c>
      <c r="C5398">
        <v>47</v>
      </c>
      <c r="D5398" t="s">
        <v>16854</v>
      </c>
      <c r="E5398">
        <v>5897</v>
      </c>
      <c r="F5398" t="s">
        <v>23479</v>
      </c>
      <c r="G5398">
        <v>6</v>
      </c>
      <c r="H5398" t="s">
        <v>17981</v>
      </c>
      <c r="J5398" t="s">
        <v>17974</v>
      </c>
      <c r="K5398" t="s">
        <v>197</v>
      </c>
      <c r="L5398" t="s">
        <v>33</v>
      </c>
      <c r="M5398" t="s">
        <v>1481</v>
      </c>
      <c r="N5398" t="s">
        <v>17982</v>
      </c>
      <c r="O5398" t="s">
        <v>17983</v>
      </c>
      <c r="P5398" s="2" t="s">
        <v>165</v>
      </c>
      <c r="Q5398" t="s">
        <v>166</v>
      </c>
      <c r="R5398">
        <v>55.62</v>
      </c>
      <c r="S5398">
        <v>56.38</v>
      </c>
      <c r="T5398" t="s">
        <v>167</v>
      </c>
    </row>
    <row r="5399" spans="1:20" x14ac:dyDescent="0.25">
      <c r="A5399" s="1" t="str">
        <f>HYPERLINK("https://vegkart.atlas.vegvesen.no/#/@194857.7,6571537.4,18/hva:hva%5B0%5D%5Bfilter%5D%5B0%5D%5Boperator%5D=%21%3D&amp;hva%5B0%5D%5Bfilter%5D%5B0%5D%5Btype_id%5D=5897&amp;hva%5B0%5D%5Bfilter%5D%5B0%5D%5Bverdi%5D=&amp;hva%5B0%5D%5Bid%5D=47/når:2023-03-20", "Vegkart")</f>
        <v>Vegkart</v>
      </c>
      <c r="B5399">
        <v>101616171</v>
      </c>
      <c r="C5399">
        <v>47</v>
      </c>
      <c r="D5399" t="s">
        <v>16854</v>
      </c>
      <c r="E5399">
        <v>5897</v>
      </c>
      <c r="F5399" t="s">
        <v>23479</v>
      </c>
      <c r="G5399">
        <v>5</v>
      </c>
      <c r="H5399" t="s">
        <v>17981</v>
      </c>
      <c r="J5399" t="s">
        <v>17974</v>
      </c>
      <c r="K5399" t="s">
        <v>197</v>
      </c>
      <c r="L5399" t="s">
        <v>33</v>
      </c>
      <c r="M5399" t="s">
        <v>1481</v>
      </c>
      <c r="N5399" t="s">
        <v>17984</v>
      </c>
      <c r="O5399" t="s">
        <v>17985</v>
      </c>
      <c r="P5399" s="2" t="s">
        <v>165</v>
      </c>
      <c r="Q5399" t="s">
        <v>166</v>
      </c>
      <c r="R5399">
        <v>57.42</v>
      </c>
      <c r="S5399">
        <v>58.19</v>
      </c>
      <c r="T5399" t="s">
        <v>167</v>
      </c>
    </row>
    <row r="5400" spans="1:20" x14ac:dyDescent="0.25">
      <c r="A5400" s="1" t="str">
        <f>HYPERLINK("https://vegkart.atlas.vegvesen.no/#/@195130.3,6570993.0,18/hva:hva%5B0%5D%5Bfilter%5D%5B0%5D%5Boperator%5D=%21%3D&amp;hva%5B0%5D%5Bfilter%5D%5B0%5D%5Btype_id%5D=5897&amp;hva%5B0%5D%5Bfilter%5D%5B0%5D%5Bverdi%5D=&amp;hva%5B0%5D%5Bid%5D=47/når:2023-03-20", "Vegkart")</f>
        <v>Vegkart</v>
      </c>
      <c r="B5400">
        <v>101616174</v>
      </c>
      <c r="C5400">
        <v>47</v>
      </c>
      <c r="D5400" t="s">
        <v>16854</v>
      </c>
      <c r="E5400">
        <v>5897</v>
      </c>
      <c r="F5400" t="s">
        <v>23479</v>
      </c>
      <c r="G5400">
        <v>5</v>
      </c>
      <c r="H5400" t="s">
        <v>17981</v>
      </c>
      <c r="J5400" t="s">
        <v>17974</v>
      </c>
      <c r="K5400" t="s">
        <v>197</v>
      </c>
      <c r="L5400" t="s">
        <v>33</v>
      </c>
      <c r="M5400" t="s">
        <v>1481</v>
      </c>
      <c r="N5400" t="s">
        <v>17986</v>
      </c>
      <c r="O5400" t="s">
        <v>17987</v>
      </c>
      <c r="P5400" s="2" t="s">
        <v>165</v>
      </c>
      <c r="Q5400" t="s">
        <v>166</v>
      </c>
      <c r="R5400">
        <v>57.84</v>
      </c>
      <c r="S5400">
        <v>58.24</v>
      </c>
      <c r="T5400" t="s">
        <v>167</v>
      </c>
    </row>
    <row r="5401" spans="1:20" x14ac:dyDescent="0.25">
      <c r="A5401" s="1" t="str">
        <f>HYPERLINK("https://vegkart.atlas.vegvesen.no/#/@195116.5,6570976.9,18/hva:hva%5B0%5D%5Bfilter%5D%5B0%5D%5Boperator%5D=%21%3D&amp;hva%5B0%5D%5Bfilter%5D%5B0%5D%5Btype_id%5D=5897&amp;hva%5B0%5D%5Bfilter%5D%5B0%5D%5Bverdi%5D=&amp;hva%5B0%5D%5Bid%5D=47/når:2023-03-20", "Vegkart")</f>
        <v>Vegkart</v>
      </c>
      <c r="B5401">
        <v>101616177</v>
      </c>
      <c r="C5401">
        <v>47</v>
      </c>
      <c r="D5401" t="s">
        <v>16854</v>
      </c>
      <c r="E5401">
        <v>5897</v>
      </c>
      <c r="F5401" t="s">
        <v>23479</v>
      </c>
      <c r="G5401">
        <v>6</v>
      </c>
      <c r="H5401" t="s">
        <v>17981</v>
      </c>
      <c r="J5401" t="s">
        <v>17974</v>
      </c>
      <c r="K5401" t="s">
        <v>197</v>
      </c>
      <c r="L5401" t="s">
        <v>33</v>
      </c>
      <c r="M5401" t="s">
        <v>1481</v>
      </c>
      <c r="N5401" t="s">
        <v>17988</v>
      </c>
      <c r="O5401" t="s">
        <v>17989</v>
      </c>
      <c r="P5401" s="2" t="s">
        <v>165</v>
      </c>
      <c r="Q5401" t="s">
        <v>166</v>
      </c>
      <c r="R5401">
        <v>58.37</v>
      </c>
      <c r="S5401">
        <v>59.03</v>
      </c>
      <c r="T5401" t="s">
        <v>167</v>
      </c>
    </row>
    <row r="5402" spans="1:20" x14ac:dyDescent="0.25">
      <c r="A5402" s="1" t="str">
        <f>HYPERLINK("https://vegkart.atlas.vegvesen.no/#/@195073.4,6570733.0,18/hva:hva%5B0%5D%5Bfilter%5D%5B0%5D%5Boperator%5D=%21%3D&amp;hva%5B0%5D%5Bfilter%5D%5B0%5D%5Btype_id%5D=5897&amp;hva%5B0%5D%5Bfilter%5D%5B0%5D%5Bverdi%5D=&amp;hva%5B0%5D%5Bid%5D=47/når:2023-03-20", "Vegkart")</f>
        <v>Vegkart</v>
      </c>
      <c r="B5402">
        <v>101616180</v>
      </c>
      <c r="C5402">
        <v>47</v>
      </c>
      <c r="D5402" t="s">
        <v>16854</v>
      </c>
      <c r="E5402">
        <v>5897</v>
      </c>
      <c r="F5402" t="s">
        <v>23479</v>
      </c>
      <c r="G5402">
        <v>6</v>
      </c>
      <c r="H5402" t="s">
        <v>17981</v>
      </c>
      <c r="J5402" t="s">
        <v>17974</v>
      </c>
      <c r="K5402" t="s">
        <v>197</v>
      </c>
      <c r="L5402" t="s">
        <v>33</v>
      </c>
      <c r="M5402" t="s">
        <v>1481</v>
      </c>
      <c r="N5402" t="s">
        <v>17990</v>
      </c>
      <c r="O5402" t="s">
        <v>17991</v>
      </c>
      <c r="P5402" s="2" t="s">
        <v>165</v>
      </c>
      <c r="Q5402" t="s">
        <v>166</v>
      </c>
      <c r="R5402">
        <v>53.05</v>
      </c>
      <c r="S5402">
        <v>53.42</v>
      </c>
      <c r="T5402" t="s">
        <v>167</v>
      </c>
    </row>
    <row r="5403" spans="1:20" x14ac:dyDescent="0.25">
      <c r="A5403" s="1" t="str">
        <f>HYPERLINK("https://vegkart.atlas.vegvesen.no/#/@192240.9,6574419.6,18/hva:hva%5B0%5D%5Bfilter%5D%5B0%5D%5Boperator%5D=%21%3D&amp;hva%5B0%5D%5Bfilter%5D%5B0%5D%5Btype_id%5D=5897&amp;hva%5B0%5D%5Bfilter%5D%5B0%5D%5Bverdi%5D=&amp;hva%5B0%5D%5Bid%5D=47/når:2022-11-30", "Vegkart")</f>
        <v>Vegkart</v>
      </c>
      <c r="B5403">
        <v>101617313</v>
      </c>
      <c r="C5403">
        <v>47</v>
      </c>
      <c r="D5403" t="s">
        <v>16854</v>
      </c>
      <c r="E5403">
        <v>5897</v>
      </c>
      <c r="F5403" t="s">
        <v>23479</v>
      </c>
      <c r="G5403">
        <v>3</v>
      </c>
      <c r="H5403" t="s">
        <v>17992</v>
      </c>
      <c r="J5403" t="s">
        <v>17993</v>
      </c>
      <c r="K5403" t="s">
        <v>197</v>
      </c>
      <c r="L5403" t="s">
        <v>33</v>
      </c>
      <c r="M5403" t="s">
        <v>1994</v>
      </c>
      <c r="N5403" t="s">
        <v>17994</v>
      </c>
      <c r="O5403" t="s">
        <v>17995</v>
      </c>
      <c r="P5403" s="2" t="s">
        <v>37</v>
      </c>
      <c r="Q5403" t="s">
        <v>1208</v>
      </c>
      <c r="R5403">
        <v>0</v>
      </c>
      <c r="S5403">
        <v>102.42</v>
      </c>
      <c r="T5403" t="s">
        <v>17996</v>
      </c>
    </row>
    <row r="5404" spans="1:20" x14ac:dyDescent="0.25">
      <c r="A5404" s="1" t="str">
        <f>HYPERLINK("https://vegkart.atlas.vegvesen.no/#/@192297.4,6574451.9,18/hva:hva%5B0%5D%5Bfilter%5D%5B0%5D%5Boperator%5D=%21%3D&amp;hva%5B0%5D%5Bfilter%5D%5B0%5D%5Btype_id%5D=5897&amp;hva%5B0%5D%5Bfilter%5D%5B0%5D%5Bverdi%5D=&amp;hva%5B0%5D%5Bid%5D=47/når:2022-11-30", "Vegkart")</f>
        <v>Vegkart</v>
      </c>
      <c r="B5404">
        <v>101617315</v>
      </c>
      <c r="C5404">
        <v>47</v>
      </c>
      <c r="D5404" t="s">
        <v>16854</v>
      </c>
      <c r="E5404">
        <v>5897</v>
      </c>
      <c r="F5404" t="s">
        <v>23479</v>
      </c>
      <c r="G5404">
        <v>5</v>
      </c>
      <c r="H5404" t="s">
        <v>17992</v>
      </c>
      <c r="J5404" t="s">
        <v>17993</v>
      </c>
      <c r="K5404" t="s">
        <v>197</v>
      </c>
      <c r="L5404" t="s">
        <v>33</v>
      </c>
      <c r="M5404" t="s">
        <v>1994</v>
      </c>
      <c r="N5404" t="s">
        <v>17997</v>
      </c>
      <c r="O5404" t="s">
        <v>17998</v>
      </c>
      <c r="P5404" s="2" t="s">
        <v>37</v>
      </c>
      <c r="Q5404" t="s">
        <v>1208</v>
      </c>
      <c r="R5404">
        <v>0</v>
      </c>
      <c r="S5404">
        <v>122.21</v>
      </c>
      <c r="T5404" t="s">
        <v>17999</v>
      </c>
    </row>
    <row r="5405" spans="1:20" x14ac:dyDescent="0.25">
      <c r="A5405" s="1" t="str">
        <f>HYPERLINK("https://vegkart.atlas.vegvesen.no/#/@195537.7,6567055.1,18/hva:hva%5B0%5D%5Bfilter%5D%5B0%5D%5Boperator%5D=%21%3D&amp;hva%5B0%5D%5Bfilter%5D%5B0%5D%5Btype_id%5D=5897&amp;hva%5B0%5D%5Bfilter%5D%5B0%5D%5Bverdi%5D=&amp;hva%5B0%5D%5Bid%5D=47/når:2023-03-21", "Vegkart")</f>
        <v>Vegkart</v>
      </c>
      <c r="B5405">
        <v>101617382</v>
      </c>
      <c r="C5405">
        <v>47</v>
      </c>
      <c r="D5405" t="s">
        <v>16854</v>
      </c>
      <c r="E5405">
        <v>5897</v>
      </c>
      <c r="F5405" t="s">
        <v>23479</v>
      </c>
      <c r="G5405">
        <v>8</v>
      </c>
      <c r="H5405" t="s">
        <v>2824</v>
      </c>
      <c r="J5405" t="s">
        <v>17993</v>
      </c>
      <c r="K5405" t="s">
        <v>197</v>
      </c>
      <c r="L5405" t="s">
        <v>33</v>
      </c>
      <c r="M5405" t="s">
        <v>132</v>
      </c>
      <c r="N5405" t="s">
        <v>18000</v>
      </c>
      <c r="O5405" t="s">
        <v>18001</v>
      </c>
      <c r="P5405" s="2" t="s">
        <v>165</v>
      </c>
      <c r="Q5405" t="s">
        <v>166</v>
      </c>
      <c r="R5405">
        <v>0</v>
      </c>
      <c r="S5405">
        <v>134.09</v>
      </c>
      <c r="T5405" t="s">
        <v>167</v>
      </c>
    </row>
    <row r="5406" spans="1:20" x14ac:dyDescent="0.25">
      <c r="A5406" s="1" t="str">
        <f>HYPERLINK("https://vegkart.atlas.vegvesen.no/#/@195662.0,6566963.9,18/hva:hva%5B0%5D%5Bfilter%5D%5B0%5D%5Boperator%5D=%21%3D&amp;hva%5B0%5D%5Bfilter%5D%5B0%5D%5Btype_id%5D=5897&amp;hva%5B0%5D%5Bfilter%5D%5B0%5D%5Bverdi%5D=&amp;hva%5B0%5D%5Bid%5D=47/når:2023-03-21", "Vegkart")</f>
        <v>Vegkart</v>
      </c>
      <c r="B5406">
        <v>101617384</v>
      </c>
      <c r="C5406">
        <v>47</v>
      </c>
      <c r="D5406" t="s">
        <v>16854</v>
      </c>
      <c r="E5406">
        <v>5897</v>
      </c>
      <c r="F5406" t="s">
        <v>23479</v>
      </c>
      <c r="G5406">
        <v>8</v>
      </c>
      <c r="H5406" t="s">
        <v>2824</v>
      </c>
      <c r="J5406" t="s">
        <v>17993</v>
      </c>
      <c r="K5406" t="s">
        <v>197</v>
      </c>
      <c r="L5406" t="s">
        <v>33</v>
      </c>
      <c r="M5406" t="s">
        <v>132</v>
      </c>
      <c r="N5406" t="s">
        <v>18002</v>
      </c>
      <c r="O5406" t="s">
        <v>18003</v>
      </c>
      <c r="P5406" s="2" t="s">
        <v>165</v>
      </c>
      <c r="Q5406" t="s">
        <v>166</v>
      </c>
      <c r="R5406">
        <v>0</v>
      </c>
      <c r="S5406">
        <v>125.34</v>
      </c>
      <c r="T5406" t="s">
        <v>167</v>
      </c>
    </row>
    <row r="5407" spans="1:20" x14ac:dyDescent="0.25">
      <c r="A5407" s="1" t="str">
        <f>HYPERLINK("https://vegkart.atlas.vegvesen.no/#/@196053.5,6566611.4,18/hva:hva%5B0%5D%5Bfilter%5D%5B0%5D%5Boperator%5D=%21%3D&amp;hva%5B0%5D%5Bfilter%5D%5B0%5D%5Btype_id%5D=5897&amp;hva%5B0%5D%5Bfilter%5D%5B0%5D%5Bverdi%5D=&amp;hva%5B0%5D%5Bid%5D=47/når:2023-03-21", "Vegkart")</f>
        <v>Vegkart</v>
      </c>
      <c r="B5407">
        <v>101617388</v>
      </c>
      <c r="C5407">
        <v>47</v>
      </c>
      <c r="D5407" t="s">
        <v>16854</v>
      </c>
      <c r="E5407">
        <v>5897</v>
      </c>
      <c r="F5407" t="s">
        <v>23479</v>
      </c>
      <c r="G5407">
        <v>9</v>
      </c>
      <c r="H5407" t="s">
        <v>2824</v>
      </c>
      <c r="J5407" t="s">
        <v>17993</v>
      </c>
      <c r="K5407" t="s">
        <v>197</v>
      </c>
      <c r="L5407" t="s">
        <v>33</v>
      </c>
      <c r="M5407" t="s">
        <v>132</v>
      </c>
      <c r="N5407" t="s">
        <v>18004</v>
      </c>
      <c r="O5407" t="s">
        <v>18005</v>
      </c>
      <c r="P5407" s="2" t="s">
        <v>165</v>
      </c>
      <c r="Q5407" t="s">
        <v>166</v>
      </c>
      <c r="R5407">
        <v>0</v>
      </c>
      <c r="S5407">
        <v>144.86000000000001</v>
      </c>
      <c r="T5407" t="s">
        <v>167</v>
      </c>
    </row>
    <row r="5408" spans="1:20" x14ac:dyDescent="0.25">
      <c r="A5408" s="1" t="str">
        <f>HYPERLINK("https://vegkart.atlas.vegvesen.no/#/@196274.5,6566272.3,18/hva:hva%5B0%5D%5Bfilter%5D%5B0%5D%5Boperator%5D=%21%3D&amp;hva%5B0%5D%5Bfilter%5D%5B0%5D%5Btype_id%5D=5897&amp;hva%5B0%5D%5Bfilter%5D%5B0%5D%5Bverdi%5D=&amp;hva%5B0%5D%5Bid%5D=47/når:2023-03-21", "Vegkart")</f>
        <v>Vegkart</v>
      </c>
      <c r="B5408">
        <v>101617392</v>
      </c>
      <c r="C5408">
        <v>47</v>
      </c>
      <c r="D5408" t="s">
        <v>16854</v>
      </c>
      <c r="E5408">
        <v>5897</v>
      </c>
      <c r="F5408" t="s">
        <v>23479</v>
      </c>
      <c r="G5408">
        <v>7</v>
      </c>
      <c r="H5408" t="s">
        <v>2824</v>
      </c>
      <c r="J5408" t="s">
        <v>17993</v>
      </c>
      <c r="K5408" t="s">
        <v>197</v>
      </c>
      <c r="L5408" t="s">
        <v>33</v>
      </c>
      <c r="M5408" t="s">
        <v>132</v>
      </c>
      <c r="N5408" t="s">
        <v>18006</v>
      </c>
      <c r="O5408" t="s">
        <v>18007</v>
      </c>
      <c r="P5408" s="2" t="s">
        <v>165</v>
      </c>
      <c r="Q5408" t="s">
        <v>166</v>
      </c>
      <c r="R5408">
        <v>0</v>
      </c>
      <c r="S5408">
        <v>125.71</v>
      </c>
      <c r="T5408" t="s">
        <v>167</v>
      </c>
    </row>
    <row r="5409" spans="1:20" x14ac:dyDescent="0.25">
      <c r="A5409" s="1" t="str">
        <f>HYPERLINK("https://vegkart.atlas.vegvesen.no/#/@243719.6,6594195.1,18/hva:hva%5B0%5D%5Bfilter%5D%5B0%5D%5Boperator%5D=%21%3D&amp;hva%5B0%5D%5Bfilter%5D%5B0%5D%5Btype_id%5D=5897&amp;hva%5B0%5D%5Bfilter%5D%5B0%5D%5Bverdi%5D=&amp;hva%5B0%5D%5Bid%5D=47/når:2015-05-29", "Vegkart")</f>
        <v>Vegkart</v>
      </c>
      <c r="B5409">
        <v>114575723</v>
      </c>
      <c r="C5409">
        <v>47</v>
      </c>
      <c r="D5409" t="s">
        <v>16854</v>
      </c>
      <c r="E5409">
        <v>5897</v>
      </c>
      <c r="F5409" t="s">
        <v>23479</v>
      </c>
      <c r="G5409">
        <v>3</v>
      </c>
      <c r="H5409" t="s">
        <v>17689</v>
      </c>
      <c r="J5409" t="s">
        <v>18008</v>
      </c>
      <c r="K5409" t="s">
        <v>81</v>
      </c>
      <c r="L5409" t="s">
        <v>113</v>
      </c>
      <c r="M5409" t="s">
        <v>2383</v>
      </c>
      <c r="N5409" t="s">
        <v>18009</v>
      </c>
      <c r="O5409" t="s">
        <v>18010</v>
      </c>
      <c r="P5409" s="2" t="s">
        <v>26</v>
      </c>
      <c r="Q5409" t="s">
        <v>50</v>
      </c>
      <c r="R5409">
        <v>53.31</v>
      </c>
      <c r="S5409">
        <v>53.47</v>
      </c>
      <c r="T5409" t="s">
        <v>18011</v>
      </c>
    </row>
    <row r="5410" spans="1:20" x14ac:dyDescent="0.25">
      <c r="A5410" s="1" t="str">
        <f>HYPERLINK("https://vegkart.atlas.vegvesen.no/#/@290133.7,6559490.8,18/hva:hva%5B0%5D%5Bfilter%5D%5B0%5D%5Boperator%5D=%21%3D&amp;hva%5B0%5D%5Bfilter%5D%5B0%5D%5Btype_id%5D=5897&amp;hva%5B0%5D%5Bfilter%5D%5B0%5D%5Bverdi%5D=&amp;hva%5B0%5D%5Bid%5D=47/når:2022-02-28", "Vegkart")</f>
        <v>Vegkart</v>
      </c>
      <c r="B5410">
        <v>132148422</v>
      </c>
      <c r="C5410">
        <v>47</v>
      </c>
      <c r="D5410" t="s">
        <v>16854</v>
      </c>
      <c r="E5410">
        <v>5897</v>
      </c>
      <c r="F5410" t="s">
        <v>23479</v>
      </c>
      <c r="G5410">
        <v>2</v>
      </c>
      <c r="H5410" t="s">
        <v>18012</v>
      </c>
      <c r="J5410" t="s">
        <v>18013</v>
      </c>
      <c r="K5410" t="s">
        <v>104</v>
      </c>
      <c r="L5410" t="s">
        <v>113</v>
      </c>
      <c r="M5410" t="s">
        <v>18014</v>
      </c>
      <c r="N5410" t="s">
        <v>18015</v>
      </c>
      <c r="O5410" t="s">
        <v>18016</v>
      </c>
      <c r="P5410" s="2" t="s">
        <v>26</v>
      </c>
      <c r="Q5410" t="s">
        <v>50</v>
      </c>
      <c r="R5410">
        <v>23.05</v>
      </c>
      <c r="S5410">
        <v>23.05</v>
      </c>
      <c r="T5410" t="s">
        <v>18017</v>
      </c>
    </row>
    <row r="5411" spans="1:20" x14ac:dyDescent="0.25">
      <c r="A5411" s="1" t="str">
        <f>HYPERLINK("https://vegkart.atlas.vegvesen.no/#/@218674.8,6653525.5,18/hva:hva%5B0%5D%5Bfilter%5D%5B0%5D%5Boperator%5D=%21%3D&amp;hva%5B0%5D%5Bfilter%5D%5B0%5D%5Btype_id%5D=5897&amp;hva%5B0%5D%5Bfilter%5D%5B0%5D%5Bverdi%5D=&amp;hva%5B0%5D%5Bid%5D=47/når:2017-03-17", "Vegkart")</f>
        <v>Vegkart</v>
      </c>
      <c r="B5411">
        <v>134556392</v>
      </c>
      <c r="C5411">
        <v>47</v>
      </c>
      <c r="D5411" t="s">
        <v>16854</v>
      </c>
      <c r="E5411">
        <v>5897</v>
      </c>
      <c r="F5411" t="s">
        <v>23479</v>
      </c>
      <c r="G5411">
        <v>5</v>
      </c>
      <c r="H5411" t="s">
        <v>18018</v>
      </c>
      <c r="J5411" t="s">
        <v>18019</v>
      </c>
      <c r="K5411" t="s">
        <v>307</v>
      </c>
      <c r="L5411" t="s">
        <v>33</v>
      </c>
      <c r="M5411" t="s">
        <v>18020</v>
      </c>
      <c r="N5411" t="s">
        <v>18021</v>
      </c>
      <c r="O5411" t="s">
        <v>18022</v>
      </c>
      <c r="P5411" s="2" t="s">
        <v>26</v>
      </c>
      <c r="Q5411" t="s">
        <v>50</v>
      </c>
      <c r="R5411">
        <v>22.32</v>
      </c>
      <c r="S5411">
        <v>22.32</v>
      </c>
      <c r="T5411" t="s">
        <v>18023</v>
      </c>
    </row>
    <row r="5412" spans="1:20" x14ac:dyDescent="0.25">
      <c r="A5412" s="1" t="str">
        <f>HYPERLINK("https://vegkart.atlas.vegvesen.no/#/@218782.6,6653730.4,18/hva:hva%5B0%5D%5Bfilter%5D%5B0%5D%5Boperator%5D=%21%3D&amp;hva%5B0%5D%5Bfilter%5D%5B0%5D%5Btype_id%5D=5897&amp;hva%5B0%5D%5Bfilter%5D%5B0%5D%5Bverdi%5D=&amp;hva%5B0%5D%5Bid%5D=47/når:2017-10-30", "Vegkart")</f>
        <v>Vegkart</v>
      </c>
      <c r="B5412">
        <v>134556401</v>
      </c>
      <c r="C5412">
        <v>47</v>
      </c>
      <c r="D5412" t="s">
        <v>16854</v>
      </c>
      <c r="E5412">
        <v>5897</v>
      </c>
      <c r="F5412" t="s">
        <v>23479</v>
      </c>
      <c r="G5412">
        <v>5</v>
      </c>
      <c r="H5412" t="s">
        <v>18024</v>
      </c>
      <c r="J5412" t="s">
        <v>18019</v>
      </c>
      <c r="K5412" t="s">
        <v>307</v>
      </c>
      <c r="L5412" t="s">
        <v>33</v>
      </c>
      <c r="M5412" t="s">
        <v>18020</v>
      </c>
      <c r="N5412" t="s">
        <v>18025</v>
      </c>
      <c r="O5412" t="s">
        <v>18026</v>
      </c>
      <c r="P5412" s="2" t="s">
        <v>26</v>
      </c>
      <c r="Q5412" t="s">
        <v>50</v>
      </c>
      <c r="R5412">
        <v>10.49</v>
      </c>
      <c r="S5412">
        <v>10.49</v>
      </c>
      <c r="T5412" t="s">
        <v>18027</v>
      </c>
    </row>
    <row r="5413" spans="1:20" x14ac:dyDescent="0.25">
      <c r="A5413" s="1" t="str">
        <f>HYPERLINK("https://vegkart.atlas.vegvesen.no/#/@238973.7,6676168.1,18/hva:hva%5B0%5D%5Bfilter%5D%5B0%5D%5Boperator%5D=%21%3D&amp;hva%5B0%5D%5Bfilter%5D%5B0%5D%5Btype_id%5D=5897&amp;hva%5B0%5D%5Bfilter%5D%5B0%5D%5Bverdi%5D=&amp;hva%5B0%5D%5Bid%5D=47/når:2022-10-31", "Vegkart")</f>
        <v>Vegkart</v>
      </c>
      <c r="B5413">
        <v>134816853</v>
      </c>
      <c r="C5413">
        <v>47</v>
      </c>
      <c r="D5413" t="s">
        <v>16854</v>
      </c>
      <c r="E5413">
        <v>5897</v>
      </c>
      <c r="F5413" t="s">
        <v>23479</v>
      </c>
      <c r="G5413">
        <v>4</v>
      </c>
      <c r="H5413" t="s">
        <v>18028</v>
      </c>
      <c r="J5413" t="s">
        <v>18019</v>
      </c>
      <c r="K5413" t="s">
        <v>307</v>
      </c>
      <c r="L5413" t="s">
        <v>33</v>
      </c>
      <c r="M5413" t="s">
        <v>18029</v>
      </c>
      <c r="N5413" t="s">
        <v>18030</v>
      </c>
      <c r="O5413" t="s">
        <v>18031</v>
      </c>
      <c r="P5413" s="2" t="s">
        <v>26</v>
      </c>
      <c r="Q5413" t="s">
        <v>50</v>
      </c>
      <c r="R5413">
        <v>44.33</v>
      </c>
      <c r="S5413">
        <v>44.33</v>
      </c>
      <c r="T5413" t="s">
        <v>18032</v>
      </c>
    </row>
    <row r="5414" spans="1:20" x14ac:dyDescent="0.25">
      <c r="A5414" s="1" t="str">
        <f>HYPERLINK("https://vegkart.atlas.vegvesen.no/#/@240810.7,6679265.3,18/hva:hva%5B0%5D%5Bfilter%5D%5B0%5D%5Boperator%5D=%21%3D&amp;hva%5B0%5D%5Bfilter%5D%5B0%5D%5Btype_id%5D=5897&amp;hva%5B0%5D%5Bfilter%5D%5B0%5D%5Bverdi%5D=&amp;hva%5B0%5D%5Bid%5D=47/når:2017-03-20", "Vegkart")</f>
        <v>Vegkart</v>
      </c>
      <c r="B5414">
        <v>134863816</v>
      </c>
      <c r="C5414">
        <v>47</v>
      </c>
      <c r="D5414" t="s">
        <v>16854</v>
      </c>
      <c r="E5414">
        <v>5897</v>
      </c>
      <c r="F5414" t="s">
        <v>23479</v>
      </c>
      <c r="G5414">
        <v>3</v>
      </c>
      <c r="H5414" t="s">
        <v>1358</v>
      </c>
      <c r="J5414" t="s">
        <v>18033</v>
      </c>
      <c r="K5414" t="s">
        <v>307</v>
      </c>
      <c r="L5414" t="s">
        <v>33</v>
      </c>
      <c r="M5414" t="s">
        <v>18034</v>
      </c>
      <c r="N5414" t="s">
        <v>18035</v>
      </c>
      <c r="O5414" t="s">
        <v>18036</v>
      </c>
      <c r="P5414" s="2" t="s">
        <v>26</v>
      </c>
      <c r="Q5414" t="s">
        <v>50</v>
      </c>
      <c r="R5414">
        <v>35.33</v>
      </c>
      <c r="S5414">
        <v>35.33</v>
      </c>
      <c r="T5414" t="s">
        <v>18037</v>
      </c>
    </row>
    <row r="5415" spans="1:20" x14ac:dyDescent="0.25">
      <c r="A5415" s="1" t="str">
        <f>HYPERLINK("https://vegkart.atlas.vegvesen.no/#/@240813.0,6679257.2,18/hva:hva%5B0%5D%5Bfilter%5D%5B0%5D%5Boperator%5D=%21%3D&amp;hva%5B0%5D%5Bfilter%5D%5B0%5D%5Btype_id%5D=5897&amp;hva%5B0%5D%5Bfilter%5D%5B0%5D%5Bverdi%5D=&amp;hva%5B0%5D%5Bid%5D=47/når:2017-03-21", "Vegkart")</f>
        <v>Vegkart</v>
      </c>
      <c r="B5415">
        <v>134863818</v>
      </c>
      <c r="C5415">
        <v>47</v>
      </c>
      <c r="D5415" t="s">
        <v>16854</v>
      </c>
      <c r="E5415">
        <v>5897</v>
      </c>
      <c r="F5415" t="s">
        <v>23479</v>
      </c>
      <c r="G5415">
        <v>4</v>
      </c>
      <c r="H5415" t="s">
        <v>18038</v>
      </c>
      <c r="J5415" t="s">
        <v>18033</v>
      </c>
      <c r="K5415" t="s">
        <v>307</v>
      </c>
      <c r="L5415" t="s">
        <v>33</v>
      </c>
      <c r="M5415" t="s">
        <v>18034</v>
      </c>
      <c r="N5415" t="s">
        <v>18039</v>
      </c>
      <c r="O5415" t="s">
        <v>18040</v>
      </c>
      <c r="P5415" s="2" t="s">
        <v>26</v>
      </c>
      <c r="Q5415" t="s">
        <v>50</v>
      </c>
      <c r="R5415">
        <v>30.31</v>
      </c>
      <c r="S5415">
        <v>30.31</v>
      </c>
      <c r="T5415" t="s">
        <v>18041</v>
      </c>
    </row>
    <row r="5416" spans="1:20" x14ac:dyDescent="0.25">
      <c r="A5416" s="1" t="str">
        <f>HYPERLINK("https://vegkart.atlas.vegvesen.no/#/@212173.4,6685867.6,18/hva:hva%5B0%5D%5Bfilter%5D%5B0%5D%5Boperator%5D=%21%3D&amp;hva%5B0%5D%5Bfilter%5D%5B0%5D%5Btype_id%5D=5897&amp;hva%5B0%5D%5Bfilter%5D%5B0%5D%5Bverdi%5D=&amp;hva%5B0%5D%5Bid%5D=47/når:2017-02-15", "Vegkart")</f>
        <v>Vegkart</v>
      </c>
      <c r="B5416">
        <v>135479590</v>
      </c>
      <c r="C5416">
        <v>47</v>
      </c>
      <c r="D5416" t="s">
        <v>16854</v>
      </c>
      <c r="E5416">
        <v>5897</v>
      </c>
      <c r="F5416" t="s">
        <v>23479</v>
      </c>
      <c r="G5416">
        <v>3</v>
      </c>
      <c r="H5416" t="s">
        <v>18042</v>
      </c>
      <c r="J5416" t="s">
        <v>18043</v>
      </c>
      <c r="K5416" t="s">
        <v>307</v>
      </c>
      <c r="L5416" t="s">
        <v>33</v>
      </c>
      <c r="M5416" t="s">
        <v>18044</v>
      </c>
      <c r="N5416" t="s">
        <v>18045</v>
      </c>
      <c r="O5416" t="s">
        <v>18046</v>
      </c>
      <c r="P5416" s="2" t="s">
        <v>26</v>
      </c>
      <c r="Q5416" t="s">
        <v>50</v>
      </c>
      <c r="R5416">
        <v>64.11</v>
      </c>
      <c r="S5416">
        <v>64.11</v>
      </c>
      <c r="T5416" t="s">
        <v>18047</v>
      </c>
    </row>
    <row r="5417" spans="1:20" x14ac:dyDescent="0.25">
      <c r="A5417" s="1" t="str">
        <f>HYPERLINK("https://vegkart.atlas.vegvesen.no/#/@210873.1,6684114.5,18/hva:hva%5B0%5D%5Bfilter%5D%5B0%5D%5Boperator%5D=%21%3D&amp;hva%5B0%5D%5Bfilter%5D%5B0%5D%5Btype_id%5D=5897&amp;hva%5B0%5D%5Bfilter%5D%5B0%5D%5Bverdi%5D=&amp;hva%5B0%5D%5Bid%5D=47/når:2012-06-27", "Vegkart")</f>
        <v>Vegkart</v>
      </c>
      <c r="B5417">
        <v>135479598</v>
      </c>
      <c r="C5417">
        <v>47</v>
      </c>
      <c r="D5417" t="s">
        <v>16854</v>
      </c>
      <c r="E5417">
        <v>5897</v>
      </c>
      <c r="F5417" t="s">
        <v>23479</v>
      </c>
      <c r="G5417">
        <v>2</v>
      </c>
      <c r="H5417" t="s">
        <v>18048</v>
      </c>
      <c r="J5417" t="s">
        <v>18043</v>
      </c>
      <c r="K5417" t="s">
        <v>307</v>
      </c>
      <c r="L5417" t="s">
        <v>33</v>
      </c>
      <c r="M5417" t="s">
        <v>18044</v>
      </c>
      <c r="N5417" t="s">
        <v>18049</v>
      </c>
      <c r="O5417" t="s">
        <v>18050</v>
      </c>
      <c r="P5417" s="2" t="s">
        <v>26</v>
      </c>
      <c r="Q5417" t="s">
        <v>50</v>
      </c>
      <c r="R5417">
        <v>84.22</v>
      </c>
      <c r="S5417">
        <v>84.22</v>
      </c>
      <c r="T5417" t="s">
        <v>18051</v>
      </c>
    </row>
    <row r="5418" spans="1:20" x14ac:dyDescent="0.25">
      <c r="A5418" s="1" t="str">
        <f>HYPERLINK("https://vegkart.atlas.vegvesen.no/#/@-10014.8,6786702.9,18/hva:hva%5B0%5D%5Bfilter%5D%5B0%5D%5Boperator%5D=%21%3D&amp;hva%5B0%5D%5Bfilter%5D%5B0%5D%5Btype_id%5D=5897&amp;hva%5B0%5D%5Bfilter%5D%5B0%5D%5Bverdi%5D=&amp;hva%5B0%5D%5Bid%5D=47/når:2025-06-11", "Vegkart")</f>
        <v>Vegkart</v>
      </c>
      <c r="B5418">
        <v>136433491</v>
      </c>
      <c r="C5418">
        <v>47</v>
      </c>
      <c r="D5418" t="s">
        <v>16854</v>
      </c>
      <c r="E5418">
        <v>5897</v>
      </c>
      <c r="F5418" t="s">
        <v>23479</v>
      </c>
      <c r="G5418">
        <v>2</v>
      </c>
      <c r="H5418" t="s">
        <v>16860</v>
      </c>
      <c r="J5418" t="s">
        <v>18052</v>
      </c>
      <c r="K5418" t="s">
        <v>21</v>
      </c>
      <c r="L5418" t="s">
        <v>33</v>
      </c>
      <c r="M5418" t="s">
        <v>18053</v>
      </c>
      <c r="N5418" t="s">
        <v>18054</v>
      </c>
      <c r="O5418" t="s">
        <v>18055</v>
      </c>
      <c r="P5418" s="2" t="s">
        <v>26</v>
      </c>
      <c r="Q5418" t="s">
        <v>50</v>
      </c>
      <c r="R5418">
        <v>33.6</v>
      </c>
      <c r="S5418">
        <v>34</v>
      </c>
      <c r="T5418" t="s">
        <v>18056</v>
      </c>
    </row>
    <row r="5419" spans="1:20" x14ac:dyDescent="0.25">
      <c r="A5419" s="1" t="str">
        <f>HYPERLINK("https://vegkart.atlas.vegvesen.no/#/@-10159.9,6786861.8,18/hva:hva%5B0%5D%5Bfilter%5D%5B0%5D%5Boperator%5D=%21%3D&amp;hva%5B0%5D%5Bfilter%5D%5B0%5D%5Btype_id%5D=5897&amp;hva%5B0%5D%5Bfilter%5D%5B0%5D%5Bverdi%5D=&amp;hva%5B0%5D%5Bid%5D=47/når:2025-06-11", "Vegkart")</f>
        <v>Vegkart</v>
      </c>
      <c r="B5419">
        <v>136433495</v>
      </c>
      <c r="C5419">
        <v>47</v>
      </c>
      <c r="D5419" t="s">
        <v>16854</v>
      </c>
      <c r="E5419">
        <v>5897</v>
      </c>
      <c r="F5419" t="s">
        <v>23479</v>
      </c>
      <c r="G5419">
        <v>2</v>
      </c>
      <c r="H5419" t="s">
        <v>16860</v>
      </c>
      <c r="J5419" t="s">
        <v>18052</v>
      </c>
      <c r="K5419" t="s">
        <v>21</v>
      </c>
      <c r="L5419" t="s">
        <v>33</v>
      </c>
      <c r="M5419" t="s">
        <v>18053</v>
      </c>
      <c r="N5419" t="s">
        <v>18057</v>
      </c>
      <c r="O5419" t="s">
        <v>18058</v>
      </c>
      <c r="P5419" s="2" t="s">
        <v>26</v>
      </c>
      <c r="Q5419" t="s">
        <v>50</v>
      </c>
      <c r="R5419">
        <v>14.08</v>
      </c>
      <c r="S5419">
        <v>14.13</v>
      </c>
      <c r="T5419" t="s">
        <v>18059</v>
      </c>
    </row>
    <row r="5420" spans="1:20" x14ac:dyDescent="0.25">
      <c r="A5420" s="1" t="str">
        <f>HYPERLINK("https://vegkart.atlas.vegvesen.no/#/@-10182.7,6786934.4,18/hva:hva%5B0%5D%5Bfilter%5D%5B0%5D%5Boperator%5D=%21%3D&amp;hva%5B0%5D%5Bfilter%5D%5B0%5D%5Btype_id%5D=5897&amp;hva%5B0%5D%5Bfilter%5D%5B0%5D%5Bverdi%5D=&amp;hva%5B0%5D%5Bid%5D=47/når:2025-06-11", "Vegkart")</f>
        <v>Vegkart</v>
      </c>
      <c r="B5420">
        <v>136433496</v>
      </c>
      <c r="C5420">
        <v>47</v>
      </c>
      <c r="D5420" t="s">
        <v>16854</v>
      </c>
      <c r="E5420">
        <v>5897</v>
      </c>
      <c r="F5420" t="s">
        <v>23479</v>
      </c>
      <c r="G5420">
        <v>2</v>
      </c>
      <c r="H5420" t="s">
        <v>16860</v>
      </c>
      <c r="J5420" t="s">
        <v>18052</v>
      </c>
      <c r="K5420" t="s">
        <v>21</v>
      </c>
      <c r="L5420" t="s">
        <v>33</v>
      </c>
      <c r="M5420" t="s">
        <v>18053</v>
      </c>
      <c r="N5420" t="s">
        <v>18060</v>
      </c>
      <c r="O5420" t="s">
        <v>18061</v>
      </c>
      <c r="P5420" s="2" t="s">
        <v>26</v>
      </c>
      <c r="Q5420" t="s">
        <v>50</v>
      </c>
      <c r="R5420">
        <v>20.48</v>
      </c>
      <c r="S5420">
        <v>20.61</v>
      </c>
      <c r="T5420" t="s">
        <v>18062</v>
      </c>
    </row>
    <row r="5421" spans="1:20" x14ac:dyDescent="0.25">
      <c r="A5421" s="1" t="str">
        <f>HYPERLINK("https://vegkart.atlas.vegvesen.no/#/@-9993.0,6787035.6,18/hva:hva%5B0%5D%5Bfilter%5D%5B0%5D%5Boperator%5D=%21%3D&amp;hva%5B0%5D%5Bfilter%5D%5B0%5D%5Btype_id%5D=5897&amp;hva%5B0%5D%5Bfilter%5D%5B0%5D%5Bverdi%5D=&amp;hva%5B0%5D%5Bid%5D=47/når:2025-06-11", "Vegkart")</f>
        <v>Vegkart</v>
      </c>
      <c r="B5421">
        <v>136433497</v>
      </c>
      <c r="C5421">
        <v>47</v>
      </c>
      <c r="D5421" t="s">
        <v>16854</v>
      </c>
      <c r="E5421">
        <v>5897</v>
      </c>
      <c r="F5421" t="s">
        <v>23479</v>
      </c>
      <c r="G5421">
        <v>2</v>
      </c>
      <c r="H5421" t="s">
        <v>16860</v>
      </c>
      <c r="J5421" t="s">
        <v>18052</v>
      </c>
      <c r="K5421" t="s">
        <v>21</v>
      </c>
      <c r="L5421" t="s">
        <v>33</v>
      </c>
      <c r="M5421" t="s">
        <v>18053</v>
      </c>
      <c r="N5421" t="s">
        <v>18063</v>
      </c>
      <c r="O5421" t="s">
        <v>18064</v>
      </c>
      <c r="P5421" s="2" t="s">
        <v>26</v>
      </c>
      <c r="Q5421" t="s">
        <v>50</v>
      </c>
      <c r="R5421">
        <v>42.57</v>
      </c>
      <c r="S5421">
        <v>43.45</v>
      </c>
      <c r="T5421" t="s">
        <v>18065</v>
      </c>
    </row>
    <row r="5422" spans="1:20" x14ac:dyDescent="0.25">
      <c r="A5422" s="1" t="str">
        <f>HYPERLINK("https://vegkart.atlas.vegvesen.no/#/@-9828.9,6787063.9,18/hva:hva%5B0%5D%5Bfilter%5D%5B0%5D%5Boperator%5D=%21%3D&amp;hva%5B0%5D%5Bfilter%5D%5B0%5D%5Btype_id%5D=5897&amp;hva%5B0%5D%5Bfilter%5D%5B0%5D%5Bverdi%5D=&amp;hva%5B0%5D%5Bid%5D=47/når:2025-06-11", "Vegkart")</f>
        <v>Vegkart</v>
      </c>
      <c r="B5422">
        <v>136433498</v>
      </c>
      <c r="C5422">
        <v>47</v>
      </c>
      <c r="D5422" t="s">
        <v>16854</v>
      </c>
      <c r="E5422">
        <v>5897</v>
      </c>
      <c r="F5422" t="s">
        <v>23479</v>
      </c>
      <c r="G5422">
        <v>2</v>
      </c>
      <c r="H5422" t="s">
        <v>16860</v>
      </c>
      <c r="J5422" t="s">
        <v>18052</v>
      </c>
      <c r="K5422" t="s">
        <v>21</v>
      </c>
      <c r="L5422" t="s">
        <v>33</v>
      </c>
      <c r="M5422" t="s">
        <v>18053</v>
      </c>
      <c r="N5422" t="s">
        <v>18066</v>
      </c>
      <c r="O5422" t="s">
        <v>18067</v>
      </c>
      <c r="P5422" s="2" t="s">
        <v>26</v>
      </c>
      <c r="Q5422" t="s">
        <v>50</v>
      </c>
      <c r="R5422">
        <v>36.1</v>
      </c>
      <c r="S5422">
        <v>36.15</v>
      </c>
      <c r="T5422" t="s">
        <v>18068</v>
      </c>
    </row>
    <row r="5423" spans="1:20" x14ac:dyDescent="0.25">
      <c r="A5423" s="1" t="str">
        <f>HYPERLINK("https://vegkart.atlas.vegvesen.no/#/@-9400.4,6787045.2,18/hva:hva%5B0%5D%5Bfilter%5D%5B0%5D%5Boperator%5D=%21%3D&amp;hva%5B0%5D%5Bfilter%5D%5B0%5D%5Btype_id%5D=5897&amp;hva%5B0%5D%5Bfilter%5D%5B0%5D%5Bverdi%5D=&amp;hva%5B0%5D%5Bid%5D=47/når:2025-06-11", "Vegkart")</f>
        <v>Vegkart</v>
      </c>
      <c r="B5423">
        <v>136433515</v>
      </c>
      <c r="C5423">
        <v>47</v>
      </c>
      <c r="D5423" t="s">
        <v>16854</v>
      </c>
      <c r="E5423">
        <v>5897</v>
      </c>
      <c r="F5423" t="s">
        <v>23479</v>
      </c>
      <c r="G5423">
        <v>2</v>
      </c>
      <c r="H5423" t="s">
        <v>16860</v>
      </c>
      <c r="J5423" t="s">
        <v>18052</v>
      </c>
      <c r="K5423" t="s">
        <v>21</v>
      </c>
      <c r="L5423" t="s">
        <v>33</v>
      </c>
      <c r="M5423" t="s">
        <v>18053</v>
      </c>
      <c r="N5423" t="s">
        <v>18069</v>
      </c>
      <c r="O5423" t="s">
        <v>18070</v>
      </c>
      <c r="P5423" s="2" t="s">
        <v>26</v>
      </c>
      <c r="Q5423" t="s">
        <v>50</v>
      </c>
      <c r="R5423">
        <v>24.45</v>
      </c>
      <c r="S5423">
        <v>24.7</v>
      </c>
      <c r="T5423" t="s">
        <v>18071</v>
      </c>
    </row>
    <row r="5424" spans="1:20" x14ac:dyDescent="0.25">
      <c r="A5424" s="1" t="str">
        <f>HYPERLINK("https://vegkart.atlas.vegvesen.no/#/@-7473.5,6788868.5,18/hva:hva%5B0%5D%5Bfilter%5D%5B0%5D%5Boperator%5D=%21%3D&amp;hva%5B0%5D%5Bfilter%5D%5B0%5D%5Btype_id%5D=5897&amp;hva%5B0%5D%5Bfilter%5D%5B0%5D%5Bverdi%5D=&amp;hva%5B0%5D%5Bid%5D=47/når:2025-06-12", "Vegkart")</f>
        <v>Vegkart</v>
      </c>
      <c r="B5424">
        <v>136433556</v>
      </c>
      <c r="C5424">
        <v>47</v>
      </c>
      <c r="D5424" t="s">
        <v>16854</v>
      </c>
      <c r="E5424">
        <v>5897</v>
      </c>
      <c r="F5424" t="s">
        <v>23479</v>
      </c>
      <c r="G5424">
        <v>2</v>
      </c>
      <c r="H5424" t="s">
        <v>1788</v>
      </c>
      <c r="J5424" t="s">
        <v>18052</v>
      </c>
      <c r="K5424" t="s">
        <v>21</v>
      </c>
      <c r="L5424" t="s">
        <v>33</v>
      </c>
      <c r="M5424" t="s">
        <v>18053</v>
      </c>
      <c r="N5424" t="s">
        <v>18072</v>
      </c>
      <c r="O5424" t="s">
        <v>18073</v>
      </c>
      <c r="P5424" s="2" t="s">
        <v>26</v>
      </c>
      <c r="Q5424" t="s">
        <v>50</v>
      </c>
      <c r="R5424">
        <v>17.940000000000001</v>
      </c>
      <c r="S5424">
        <v>18.04</v>
      </c>
      <c r="T5424" t="s">
        <v>18074</v>
      </c>
    </row>
    <row r="5425" spans="1:20" x14ac:dyDescent="0.25">
      <c r="A5425" s="1" t="str">
        <f>HYPERLINK("https://vegkart.atlas.vegvesen.no/#/@-7439.4,6788952.7,18/hva:hva%5B0%5D%5Bfilter%5D%5B0%5D%5Boperator%5D=%21%3D&amp;hva%5B0%5D%5Bfilter%5D%5B0%5D%5Btype_id%5D=5897&amp;hva%5B0%5D%5Bfilter%5D%5B0%5D%5Bverdi%5D=&amp;hva%5B0%5D%5Bid%5D=47/når:2025-06-12", "Vegkart")</f>
        <v>Vegkart</v>
      </c>
      <c r="B5425">
        <v>136433561</v>
      </c>
      <c r="C5425">
        <v>47</v>
      </c>
      <c r="D5425" t="s">
        <v>16854</v>
      </c>
      <c r="E5425">
        <v>5897</v>
      </c>
      <c r="F5425" t="s">
        <v>23479</v>
      </c>
      <c r="G5425">
        <v>3</v>
      </c>
      <c r="H5425" t="s">
        <v>1788</v>
      </c>
      <c r="J5425" t="s">
        <v>18052</v>
      </c>
      <c r="K5425" t="s">
        <v>21</v>
      </c>
      <c r="L5425" t="s">
        <v>33</v>
      </c>
      <c r="M5425" t="s">
        <v>18053</v>
      </c>
      <c r="N5425" t="s">
        <v>18075</v>
      </c>
      <c r="O5425" t="s">
        <v>18076</v>
      </c>
      <c r="P5425" s="2" t="s">
        <v>26</v>
      </c>
      <c r="Q5425" t="s">
        <v>50</v>
      </c>
      <c r="R5425">
        <v>24.92</v>
      </c>
      <c r="S5425">
        <v>25.17</v>
      </c>
      <c r="T5425" t="s">
        <v>18077</v>
      </c>
    </row>
    <row r="5426" spans="1:20" x14ac:dyDescent="0.25">
      <c r="A5426" s="1" t="str">
        <f>HYPERLINK("https://vegkart.atlas.vegvesen.no/#/@-7275.0,6789029.6,18/hva:hva%5B0%5D%5Bfilter%5D%5B0%5D%5Boperator%5D=%21%3D&amp;hva%5B0%5D%5Bfilter%5D%5B0%5D%5Btype_id%5D=5897&amp;hva%5B0%5D%5Bfilter%5D%5B0%5D%5Bverdi%5D=&amp;hva%5B0%5D%5Bid%5D=47/når:2025-06-12", "Vegkart")</f>
        <v>Vegkart</v>
      </c>
      <c r="B5426">
        <v>136433564</v>
      </c>
      <c r="C5426">
        <v>47</v>
      </c>
      <c r="D5426" t="s">
        <v>16854</v>
      </c>
      <c r="E5426">
        <v>5897</v>
      </c>
      <c r="F5426" t="s">
        <v>23479</v>
      </c>
      <c r="G5426">
        <v>2</v>
      </c>
      <c r="H5426" t="s">
        <v>1788</v>
      </c>
      <c r="J5426" t="s">
        <v>18052</v>
      </c>
      <c r="K5426" t="s">
        <v>21</v>
      </c>
      <c r="L5426" t="s">
        <v>33</v>
      </c>
      <c r="M5426" t="s">
        <v>18053</v>
      </c>
      <c r="N5426" t="s">
        <v>18078</v>
      </c>
      <c r="O5426" t="s">
        <v>18079</v>
      </c>
      <c r="P5426" s="2" t="s">
        <v>26</v>
      </c>
      <c r="Q5426" t="s">
        <v>50</v>
      </c>
      <c r="R5426">
        <v>25.91</v>
      </c>
      <c r="S5426">
        <v>26.56</v>
      </c>
      <c r="T5426" t="s">
        <v>18080</v>
      </c>
    </row>
    <row r="5427" spans="1:20" x14ac:dyDescent="0.25">
      <c r="A5427" s="1" t="str">
        <f>HYPERLINK("https://vegkart.atlas.vegvesen.no/#/@-3618.5,6792381.5,18/hva:hva%5B0%5D%5Bfilter%5D%5B0%5D%5Boperator%5D=%21%3D&amp;hva%5B0%5D%5Bfilter%5D%5B0%5D%5Btype_id%5D=5897&amp;hva%5B0%5D%5Bfilter%5D%5B0%5D%5Bverdi%5D=&amp;hva%5B0%5D%5Bid%5D=47/når:2025-06-12", "Vegkart")</f>
        <v>Vegkart</v>
      </c>
      <c r="B5427">
        <v>136433593</v>
      </c>
      <c r="C5427">
        <v>47</v>
      </c>
      <c r="D5427" t="s">
        <v>16854</v>
      </c>
      <c r="E5427">
        <v>5897</v>
      </c>
      <c r="F5427" t="s">
        <v>23479</v>
      </c>
      <c r="G5427">
        <v>2</v>
      </c>
      <c r="H5427" t="s">
        <v>1788</v>
      </c>
      <c r="J5427" t="s">
        <v>18052</v>
      </c>
      <c r="K5427" t="s">
        <v>21</v>
      </c>
      <c r="L5427" t="s">
        <v>33</v>
      </c>
      <c r="M5427" t="s">
        <v>18053</v>
      </c>
      <c r="N5427" t="s">
        <v>18081</v>
      </c>
      <c r="O5427" t="s">
        <v>18082</v>
      </c>
      <c r="P5427" s="2" t="s">
        <v>26</v>
      </c>
      <c r="Q5427" t="s">
        <v>50</v>
      </c>
      <c r="R5427">
        <v>38.229999999999997</v>
      </c>
      <c r="S5427">
        <v>38.69</v>
      </c>
      <c r="T5427" t="s">
        <v>18083</v>
      </c>
    </row>
    <row r="5428" spans="1:20" x14ac:dyDescent="0.25">
      <c r="A5428" s="1" t="str">
        <f>HYPERLINK("https://vegkart.atlas.vegvesen.no/#/@-29655.9,6789428.7,18/hva:hva%5B0%5D%5Bfilter%5D%5B0%5D%5Boperator%5D=%21%3D&amp;hva%5B0%5D%5Bfilter%5D%5B0%5D%5Btype_id%5D=5897&amp;hva%5B0%5D%5Bfilter%5D%5B0%5D%5Bverdi%5D=&amp;hva%5B0%5D%5Bid%5D=47/når:2025-06-11", "Vegkart")</f>
        <v>Vegkart</v>
      </c>
      <c r="B5428">
        <v>136433757</v>
      </c>
      <c r="C5428">
        <v>47</v>
      </c>
      <c r="D5428" t="s">
        <v>16854</v>
      </c>
      <c r="E5428">
        <v>5897</v>
      </c>
      <c r="F5428" t="s">
        <v>23479</v>
      </c>
      <c r="G5428">
        <v>2</v>
      </c>
      <c r="H5428" t="s">
        <v>16860</v>
      </c>
      <c r="J5428" t="s">
        <v>18052</v>
      </c>
      <c r="K5428" t="s">
        <v>21</v>
      </c>
      <c r="L5428" t="s">
        <v>33</v>
      </c>
      <c r="M5428" t="s">
        <v>18084</v>
      </c>
      <c r="N5428" t="s">
        <v>18085</v>
      </c>
      <c r="O5428" t="s">
        <v>18086</v>
      </c>
      <c r="P5428" s="2" t="s">
        <v>26</v>
      </c>
      <c r="Q5428" t="s">
        <v>50</v>
      </c>
      <c r="R5428">
        <v>18.22</v>
      </c>
      <c r="S5428">
        <v>18.32</v>
      </c>
      <c r="T5428" t="s">
        <v>18087</v>
      </c>
    </row>
    <row r="5429" spans="1:20" x14ac:dyDescent="0.25">
      <c r="A5429" s="1" t="str">
        <f>HYPERLINK("https://vegkart.atlas.vegvesen.no/#/@-29401.3,6789731.3,18/hva:hva%5B0%5D%5Bfilter%5D%5B0%5D%5Boperator%5D=%21%3D&amp;hva%5B0%5D%5Bfilter%5D%5B0%5D%5Btype_id%5D=5897&amp;hva%5B0%5D%5Bfilter%5D%5B0%5D%5Bverdi%5D=&amp;hva%5B0%5D%5Bid%5D=47/når:2025-06-11", "Vegkart")</f>
        <v>Vegkart</v>
      </c>
      <c r="B5429">
        <v>136433760</v>
      </c>
      <c r="C5429">
        <v>47</v>
      </c>
      <c r="D5429" t="s">
        <v>16854</v>
      </c>
      <c r="E5429">
        <v>5897</v>
      </c>
      <c r="F5429" t="s">
        <v>23479</v>
      </c>
      <c r="G5429">
        <v>2</v>
      </c>
      <c r="H5429" t="s">
        <v>16860</v>
      </c>
      <c r="J5429" t="s">
        <v>18052</v>
      </c>
      <c r="K5429" t="s">
        <v>21</v>
      </c>
      <c r="L5429" t="s">
        <v>33</v>
      </c>
      <c r="M5429" t="s">
        <v>18084</v>
      </c>
      <c r="N5429" t="s">
        <v>18088</v>
      </c>
      <c r="O5429" t="s">
        <v>18089</v>
      </c>
      <c r="P5429" s="2" t="s">
        <v>26</v>
      </c>
      <c r="Q5429" t="s">
        <v>50</v>
      </c>
      <c r="R5429">
        <v>26.19</v>
      </c>
      <c r="S5429">
        <v>26.2</v>
      </c>
      <c r="T5429" t="s">
        <v>18090</v>
      </c>
    </row>
    <row r="5430" spans="1:20" x14ac:dyDescent="0.25">
      <c r="A5430" s="1" t="str">
        <f>HYPERLINK("https://vegkart.atlas.vegvesen.no/#/@-28426.4,6788921.7,18/hva:hva%5B0%5D%5Bfilter%5D%5B0%5D%5Boperator%5D=%21%3D&amp;hva%5B0%5D%5Bfilter%5D%5B0%5D%5Btype_id%5D=5897&amp;hva%5B0%5D%5Bfilter%5D%5B0%5D%5Bverdi%5D=&amp;hva%5B0%5D%5Bid%5D=47/når:2025-06-11", "Vegkart")</f>
        <v>Vegkart</v>
      </c>
      <c r="B5430">
        <v>136433779</v>
      </c>
      <c r="C5430">
        <v>47</v>
      </c>
      <c r="D5430" t="s">
        <v>16854</v>
      </c>
      <c r="E5430">
        <v>5897</v>
      </c>
      <c r="F5430" t="s">
        <v>23479</v>
      </c>
      <c r="G5430">
        <v>2</v>
      </c>
      <c r="H5430" t="s">
        <v>16860</v>
      </c>
      <c r="J5430" t="s">
        <v>18052</v>
      </c>
      <c r="K5430" t="s">
        <v>21</v>
      </c>
      <c r="L5430" t="s">
        <v>33</v>
      </c>
      <c r="M5430" t="s">
        <v>18084</v>
      </c>
      <c r="N5430" t="s">
        <v>18091</v>
      </c>
      <c r="O5430" t="s">
        <v>18092</v>
      </c>
      <c r="P5430" s="2" t="s">
        <v>26</v>
      </c>
      <c r="Q5430" t="s">
        <v>50</v>
      </c>
      <c r="R5430">
        <v>22.8</v>
      </c>
      <c r="S5430">
        <v>22.93</v>
      </c>
      <c r="T5430" t="s">
        <v>18093</v>
      </c>
    </row>
    <row r="5431" spans="1:20" x14ac:dyDescent="0.25">
      <c r="A5431" s="1" t="str">
        <f>HYPERLINK("https://vegkart.atlas.vegvesen.no/#/@-28339.0,6788812.4,18/hva:hva%5B0%5D%5Bfilter%5D%5B0%5D%5Boperator%5D=%21%3D&amp;hva%5B0%5D%5Bfilter%5D%5B0%5D%5Btype_id%5D=5897&amp;hva%5B0%5D%5Bfilter%5D%5B0%5D%5Bverdi%5D=&amp;hva%5B0%5D%5Bid%5D=47/når:2025-06-11", "Vegkart")</f>
        <v>Vegkart</v>
      </c>
      <c r="B5431">
        <v>136433780</v>
      </c>
      <c r="C5431">
        <v>47</v>
      </c>
      <c r="D5431" t="s">
        <v>16854</v>
      </c>
      <c r="E5431">
        <v>5897</v>
      </c>
      <c r="F5431" t="s">
        <v>23479</v>
      </c>
      <c r="G5431">
        <v>2</v>
      </c>
      <c r="H5431" t="s">
        <v>16860</v>
      </c>
      <c r="J5431" t="s">
        <v>18052</v>
      </c>
      <c r="K5431" t="s">
        <v>21</v>
      </c>
      <c r="L5431" t="s">
        <v>33</v>
      </c>
      <c r="M5431" t="s">
        <v>18084</v>
      </c>
      <c r="N5431" t="s">
        <v>18094</v>
      </c>
      <c r="O5431" t="s">
        <v>18095</v>
      </c>
      <c r="P5431" s="2" t="s">
        <v>26</v>
      </c>
      <c r="Q5431" t="s">
        <v>50</v>
      </c>
      <c r="R5431">
        <v>25.97</v>
      </c>
      <c r="S5431">
        <v>26.17</v>
      </c>
      <c r="T5431" t="s">
        <v>18096</v>
      </c>
    </row>
    <row r="5432" spans="1:20" x14ac:dyDescent="0.25">
      <c r="A5432" s="1" t="str">
        <f>HYPERLINK("https://vegkart.atlas.vegvesen.no/#/@-25448.2,6783160.7,18/hva:hva%5B0%5D%5Bfilter%5D%5B0%5D%5Boperator%5D=%21%3D&amp;hva%5B0%5D%5Bfilter%5D%5B0%5D%5Btype_id%5D=5897&amp;hva%5B0%5D%5Bfilter%5D%5B0%5D%5Bverdi%5D=&amp;hva%5B0%5D%5Bid%5D=47/når:2025-06-03", "Vegkart")</f>
        <v>Vegkart</v>
      </c>
      <c r="B5432">
        <v>136433787</v>
      </c>
      <c r="C5432">
        <v>47</v>
      </c>
      <c r="D5432" t="s">
        <v>16854</v>
      </c>
      <c r="E5432">
        <v>5897</v>
      </c>
      <c r="F5432" t="s">
        <v>23479</v>
      </c>
      <c r="G5432">
        <v>2</v>
      </c>
      <c r="H5432" t="s">
        <v>18097</v>
      </c>
      <c r="J5432" t="s">
        <v>18052</v>
      </c>
      <c r="K5432" t="s">
        <v>21</v>
      </c>
      <c r="L5432" t="s">
        <v>33</v>
      </c>
      <c r="M5432" t="s">
        <v>18098</v>
      </c>
      <c r="N5432" t="s">
        <v>18099</v>
      </c>
      <c r="O5432" t="s">
        <v>18100</v>
      </c>
      <c r="P5432" s="2" t="s">
        <v>26</v>
      </c>
      <c r="Q5432" t="s">
        <v>50</v>
      </c>
      <c r="R5432">
        <v>22.66</v>
      </c>
      <c r="S5432">
        <v>22.77</v>
      </c>
      <c r="T5432" t="s">
        <v>18101</v>
      </c>
    </row>
    <row r="5433" spans="1:20" x14ac:dyDescent="0.25">
      <c r="A5433" s="1" t="str">
        <f>HYPERLINK("https://vegkart.atlas.vegvesen.no/#/@-18365.9,6788943.5,18/hva:hva%5B0%5D%5Bfilter%5D%5B0%5D%5Boperator%5D=%21%3D&amp;hva%5B0%5D%5Bfilter%5D%5B0%5D%5Btype_id%5D=5897&amp;hva%5B0%5D%5Bfilter%5D%5B0%5D%5Bverdi%5D=&amp;hva%5B0%5D%5Bid%5D=47/når:2025-06-04", "Vegkart")</f>
        <v>Vegkart</v>
      </c>
      <c r="B5433">
        <v>136433871</v>
      </c>
      <c r="C5433">
        <v>47</v>
      </c>
      <c r="D5433" t="s">
        <v>16854</v>
      </c>
      <c r="E5433">
        <v>5897</v>
      </c>
      <c r="F5433" t="s">
        <v>23479</v>
      </c>
      <c r="G5433">
        <v>2</v>
      </c>
      <c r="H5433" t="s">
        <v>17209</v>
      </c>
      <c r="J5433" t="s">
        <v>18052</v>
      </c>
      <c r="K5433" t="s">
        <v>21</v>
      </c>
      <c r="L5433" t="s">
        <v>33</v>
      </c>
      <c r="M5433" t="s">
        <v>18098</v>
      </c>
      <c r="N5433" t="s">
        <v>18102</v>
      </c>
      <c r="O5433" t="s">
        <v>18103</v>
      </c>
      <c r="P5433" s="2" t="s">
        <v>26</v>
      </c>
      <c r="Q5433" t="s">
        <v>50</v>
      </c>
      <c r="R5433">
        <v>64.209999999999994</v>
      </c>
      <c r="S5433">
        <v>64.7</v>
      </c>
      <c r="T5433" t="s">
        <v>18104</v>
      </c>
    </row>
    <row r="5434" spans="1:20" x14ac:dyDescent="0.25">
      <c r="A5434" s="1" t="str">
        <f>HYPERLINK("https://vegkart.atlas.vegvesen.no/#/@-12976.5,6785235.8,18/hva:hva%5B0%5D%5Bfilter%5D%5B0%5D%5Boperator%5D=%21%3D&amp;hva%5B0%5D%5Bfilter%5D%5B0%5D%5Btype_id%5D=5897&amp;hva%5B0%5D%5Bfilter%5D%5B0%5D%5Bverdi%5D=&amp;hva%5B0%5D%5Bid%5D=47/når:2025-06-11", "Vegkart")</f>
        <v>Vegkart</v>
      </c>
      <c r="B5434">
        <v>136433996</v>
      </c>
      <c r="C5434">
        <v>47</v>
      </c>
      <c r="D5434" t="s">
        <v>16854</v>
      </c>
      <c r="E5434">
        <v>5897</v>
      </c>
      <c r="F5434" t="s">
        <v>23479</v>
      </c>
      <c r="G5434">
        <v>2</v>
      </c>
      <c r="H5434" t="s">
        <v>16860</v>
      </c>
      <c r="J5434" t="s">
        <v>18052</v>
      </c>
      <c r="K5434" t="s">
        <v>21</v>
      </c>
      <c r="L5434" t="s">
        <v>33</v>
      </c>
      <c r="M5434" t="s">
        <v>18105</v>
      </c>
      <c r="N5434" t="s">
        <v>18106</v>
      </c>
      <c r="O5434" t="s">
        <v>18107</v>
      </c>
      <c r="P5434" s="2" t="s">
        <v>26</v>
      </c>
      <c r="Q5434" t="s">
        <v>50</v>
      </c>
      <c r="R5434">
        <v>18.13</v>
      </c>
      <c r="S5434">
        <v>18.16</v>
      </c>
      <c r="T5434" t="s">
        <v>18108</v>
      </c>
    </row>
    <row r="5435" spans="1:20" x14ac:dyDescent="0.25">
      <c r="A5435" s="1" t="str">
        <f>HYPERLINK("https://vegkart.atlas.vegvesen.no/#/@-45050.2,6793980.3,18/hva:hva%5B0%5D%5Bfilter%5D%5B0%5D%5Boperator%5D=%21%3D&amp;hva%5B0%5D%5Bfilter%5D%5B0%5D%5Btype_id%5D=5897&amp;hva%5B0%5D%5Bfilter%5D%5B0%5D%5Bverdi%5D=&amp;hva%5B0%5D%5Bid%5D=47/når:2025-06-17", "Vegkart")</f>
        <v>Vegkart</v>
      </c>
      <c r="B5435">
        <v>136440436</v>
      </c>
      <c r="C5435">
        <v>47</v>
      </c>
      <c r="D5435" t="s">
        <v>16854</v>
      </c>
      <c r="E5435">
        <v>5897</v>
      </c>
      <c r="F5435" t="s">
        <v>23479</v>
      </c>
      <c r="G5435">
        <v>3</v>
      </c>
      <c r="H5435" t="s">
        <v>16914</v>
      </c>
      <c r="J5435" t="s">
        <v>18052</v>
      </c>
      <c r="K5435" t="s">
        <v>21</v>
      </c>
      <c r="L5435" t="s">
        <v>33</v>
      </c>
      <c r="M5435" t="s">
        <v>17057</v>
      </c>
      <c r="N5435" t="s">
        <v>18109</v>
      </c>
      <c r="O5435" t="s">
        <v>18110</v>
      </c>
      <c r="P5435" s="2" t="s">
        <v>26</v>
      </c>
      <c r="Q5435" t="s">
        <v>50</v>
      </c>
      <c r="R5435">
        <v>14.13</v>
      </c>
      <c r="S5435">
        <v>14.42</v>
      </c>
      <c r="T5435" t="s">
        <v>18111</v>
      </c>
    </row>
    <row r="5436" spans="1:20" x14ac:dyDescent="0.25">
      <c r="A5436" s="1" t="str">
        <f>HYPERLINK("https://vegkart.atlas.vegvesen.no/#/@-31123.6,6798344.3,18/hva:hva%5B0%5D%5Bfilter%5D%5B0%5D%5Boperator%5D=%21%3D&amp;hva%5B0%5D%5Bfilter%5D%5B0%5D%5Btype_id%5D=5897&amp;hva%5B0%5D%5Bfilter%5D%5B0%5D%5Bverdi%5D=&amp;hva%5B0%5D%5Bid%5D=47/når:2025-06-18", "Vegkart")</f>
        <v>Vegkart</v>
      </c>
      <c r="B5436">
        <v>136910473</v>
      </c>
      <c r="C5436">
        <v>47</v>
      </c>
      <c r="D5436" t="s">
        <v>16854</v>
      </c>
      <c r="E5436">
        <v>5897</v>
      </c>
      <c r="F5436" t="s">
        <v>23479</v>
      </c>
      <c r="G5436">
        <v>2</v>
      </c>
      <c r="H5436" t="s">
        <v>16892</v>
      </c>
      <c r="J5436" t="s">
        <v>18052</v>
      </c>
      <c r="K5436" t="s">
        <v>21</v>
      </c>
      <c r="L5436" t="s">
        <v>33</v>
      </c>
      <c r="M5436" t="s">
        <v>795</v>
      </c>
      <c r="N5436" t="s">
        <v>18112</v>
      </c>
      <c r="O5436" t="s">
        <v>18113</v>
      </c>
      <c r="P5436" s="2" t="s">
        <v>26</v>
      </c>
      <c r="Q5436" t="s">
        <v>50</v>
      </c>
      <c r="R5436">
        <v>28.79</v>
      </c>
      <c r="S5436">
        <v>29.15</v>
      </c>
      <c r="T5436" t="s">
        <v>18114</v>
      </c>
    </row>
    <row r="5437" spans="1:20" x14ac:dyDescent="0.25">
      <c r="A5437" s="1" t="str">
        <f>HYPERLINK("https://vegkart.atlas.vegvesen.no/#/@-21604.3,6768146.5,18/hva:hva%5B0%5D%5Bfilter%5D%5B0%5D%5Boperator%5D=%21%3D&amp;hva%5B0%5D%5Bfilter%5D%5B0%5D%5Btype_id%5D=5897&amp;hva%5B0%5D%5Bfilter%5D%5B0%5D%5Bverdi%5D=&amp;hva%5B0%5D%5Bid%5D=47/når:2024-06-20", "Vegkart")</f>
        <v>Vegkart</v>
      </c>
      <c r="B5437">
        <v>136937996</v>
      </c>
      <c r="C5437">
        <v>47</v>
      </c>
      <c r="D5437" t="s">
        <v>16854</v>
      </c>
      <c r="E5437">
        <v>5897</v>
      </c>
      <c r="F5437" t="s">
        <v>23479</v>
      </c>
      <c r="G5437">
        <v>2</v>
      </c>
      <c r="H5437" t="s">
        <v>18115</v>
      </c>
      <c r="J5437" t="s">
        <v>18052</v>
      </c>
      <c r="K5437" t="s">
        <v>21</v>
      </c>
      <c r="L5437" t="s">
        <v>33</v>
      </c>
      <c r="M5437" t="s">
        <v>18116</v>
      </c>
      <c r="N5437" t="s">
        <v>18117</v>
      </c>
      <c r="O5437" t="s">
        <v>18118</v>
      </c>
      <c r="P5437" s="2" t="s">
        <v>26</v>
      </c>
      <c r="Q5437" t="s">
        <v>50</v>
      </c>
      <c r="R5437">
        <v>34.700000000000003</v>
      </c>
      <c r="S5437">
        <v>34.700000000000003</v>
      </c>
      <c r="T5437" t="s">
        <v>18119</v>
      </c>
    </row>
    <row r="5438" spans="1:20" x14ac:dyDescent="0.25">
      <c r="A5438" s="1" t="str">
        <f>HYPERLINK("https://vegkart.atlas.vegvesen.no/#/@-22280.7,6769722.3,18/hva:hva%5B0%5D%5Bfilter%5D%5B0%5D%5Boperator%5D=%21%3D&amp;hva%5B0%5D%5Bfilter%5D%5B0%5D%5Btype_id%5D=5897&amp;hva%5B0%5D%5Bfilter%5D%5B0%5D%5Bverdi%5D=&amp;hva%5B0%5D%5Bid%5D=47/når:2024-06-20", "Vegkart")</f>
        <v>Vegkart</v>
      </c>
      <c r="B5438">
        <v>136938028</v>
      </c>
      <c r="C5438">
        <v>47</v>
      </c>
      <c r="D5438" t="s">
        <v>16854</v>
      </c>
      <c r="E5438">
        <v>5897</v>
      </c>
      <c r="F5438" t="s">
        <v>23479</v>
      </c>
      <c r="G5438">
        <v>2</v>
      </c>
      <c r="H5438" t="s">
        <v>18115</v>
      </c>
      <c r="J5438" t="s">
        <v>18052</v>
      </c>
      <c r="K5438" t="s">
        <v>21</v>
      </c>
      <c r="L5438" t="s">
        <v>33</v>
      </c>
      <c r="M5438" t="s">
        <v>18116</v>
      </c>
      <c r="N5438" t="s">
        <v>18120</v>
      </c>
      <c r="O5438" t="s">
        <v>18121</v>
      </c>
      <c r="P5438" s="2" t="s">
        <v>26</v>
      </c>
      <c r="Q5438" t="s">
        <v>50</v>
      </c>
      <c r="R5438">
        <v>38.11</v>
      </c>
      <c r="S5438">
        <v>38.31</v>
      </c>
      <c r="T5438" t="s">
        <v>18122</v>
      </c>
    </row>
    <row r="5439" spans="1:20" x14ac:dyDescent="0.25">
      <c r="A5439" s="1" t="str">
        <f>HYPERLINK("https://vegkart.atlas.vegvesen.no/#/@-24588.6,6774173.2,18/hva:hva%5B0%5D%5Bfilter%5D%5B0%5D%5Boperator%5D=%21%3D&amp;hva%5B0%5D%5Bfilter%5D%5B0%5D%5Btype_id%5D=5897&amp;hva%5B0%5D%5Bfilter%5D%5B0%5D%5Bverdi%5D=&amp;hva%5B0%5D%5Bid%5D=47/når:2024-07-19", "Vegkart")</f>
        <v>Vegkart</v>
      </c>
      <c r="B5439">
        <v>136938087</v>
      </c>
      <c r="C5439">
        <v>47</v>
      </c>
      <c r="D5439" t="s">
        <v>16854</v>
      </c>
      <c r="E5439">
        <v>5897</v>
      </c>
      <c r="F5439" t="s">
        <v>23479</v>
      </c>
      <c r="G5439">
        <v>2</v>
      </c>
      <c r="H5439" t="s">
        <v>160</v>
      </c>
      <c r="J5439" t="s">
        <v>18052</v>
      </c>
      <c r="K5439" t="s">
        <v>21</v>
      </c>
      <c r="L5439" t="s">
        <v>33</v>
      </c>
      <c r="M5439" t="s">
        <v>18116</v>
      </c>
      <c r="N5439" t="s">
        <v>18123</v>
      </c>
      <c r="O5439" t="s">
        <v>18124</v>
      </c>
      <c r="P5439" s="2" t="s">
        <v>26</v>
      </c>
      <c r="Q5439" t="s">
        <v>50</v>
      </c>
      <c r="R5439">
        <v>32.729999999999997</v>
      </c>
      <c r="S5439">
        <v>33.19</v>
      </c>
      <c r="T5439" t="s">
        <v>18125</v>
      </c>
    </row>
    <row r="5440" spans="1:20" x14ac:dyDescent="0.25">
      <c r="A5440" s="1" t="str">
        <f>HYPERLINK("https://vegkart.atlas.vegvesen.no/#/@-26312.4,6774122.0,18/hva:hva%5B0%5D%5Bfilter%5D%5B0%5D%5Boperator%5D=%21%3D&amp;hva%5B0%5D%5Bfilter%5D%5B0%5D%5Btype_id%5D=5897&amp;hva%5B0%5D%5Bfilter%5D%5B0%5D%5Bverdi%5D=&amp;hva%5B0%5D%5Bid%5D=47/når:2024-07-26", "Vegkart")</f>
        <v>Vegkart</v>
      </c>
      <c r="B5440">
        <v>136938145</v>
      </c>
      <c r="C5440">
        <v>47</v>
      </c>
      <c r="D5440" t="s">
        <v>16854</v>
      </c>
      <c r="E5440">
        <v>5897</v>
      </c>
      <c r="F5440" t="s">
        <v>23479</v>
      </c>
      <c r="G5440">
        <v>2</v>
      </c>
      <c r="H5440" t="s">
        <v>12502</v>
      </c>
      <c r="J5440" t="s">
        <v>18052</v>
      </c>
      <c r="K5440" t="s">
        <v>21</v>
      </c>
      <c r="L5440" t="s">
        <v>33</v>
      </c>
      <c r="M5440" t="s">
        <v>18116</v>
      </c>
      <c r="N5440" t="s">
        <v>18126</v>
      </c>
      <c r="O5440" t="s">
        <v>18127</v>
      </c>
      <c r="P5440" s="2" t="s">
        <v>26</v>
      </c>
      <c r="Q5440" t="s">
        <v>50</v>
      </c>
      <c r="R5440">
        <v>20.87</v>
      </c>
      <c r="S5440">
        <v>20.87</v>
      </c>
      <c r="T5440" t="s">
        <v>18128</v>
      </c>
    </row>
    <row r="5441" spans="1:20" x14ac:dyDescent="0.25">
      <c r="A5441" s="1" t="str">
        <f>HYPERLINK("https://vegkart.atlas.vegvesen.no/#/@-28406.4,6775433.8,18/hva:hva%5B0%5D%5Bfilter%5D%5B0%5D%5Boperator%5D=%21%3D&amp;hva%5B0%5D%5Bfilter%5D%5B0%5D%5Btype_id%5D=5897&amp;hva%5B0%5D%5Bfilter%5D%5B0%5D%5Bverdi%5D=&amp;hva%5B0%5D%5Bid%5D=47/når:2024-07-29", "Vegkart")</f>
        <v>Vegkart</v>
      </c>
      <c r="B5441">
        <v>136938150</v>
      </c>
      <c r="C5441">
        <v>47</v>
      </c>
      <c r="D5441" t="s">
        <v>16854</v>
      </c>
      <c r="E5441">
        <v>5897</v>
      </c>
      <c r="F5441" t="s">
        <v>23479</v>
      </c>
      <c r="G5441">
        <v>2</v>
      </c>
      <c r="H5441" t="s">
        <v>17682</v>
      </c>
      <c r="J5441" t="s">
        <v>18052</v>
      </c>
      <c r="K5441" t="s">
        <v>21</v>
      </c>
      <c r="L5441" t="s">
        <v>33</v>
      </c>
      <c r="M5441" t="s">
        <v>18116</v>
      </c>
      <c r="N5441" t="s">
        <v>18129</v>
      </c>
      <c r="O5441" t="s">
        <v>18130</v>
      </c>
      <c r="P5441" s="2" t="s">
        <v>26</v>
      </c>
      <c r="Q5441" t="s">
        <v>50</v>
      </c>
      <c r="R5441">
        <v>50.29</v>
      </c>
      <c r="S5441">
        <v>50.31</v>
      </c>
      <c r="T5441" t="s">
        <v>18131</v>
      </c>
    </row>
    <row r="5442" spans="1:20" x14ac:dyDescent="0.25">
      <c r="A5442" s="1" t="str">
        <f>HYPERLINK("https://vegkart.atlas.vegvesen.no/#/@-13734.5,6792864.7,18/hva:hva%5B0%5D%5Bfilter%5D%5B0%5D%5Boperator%5D=%21%3D&amp;hva%5B0%5D%5Bfilter%5D%5B0%5D%5Btype_id%5D=5897&amp;hva%5B0%5D%5Bfilter%5D%5B0%5D%5Bverdi%5D=&amp;hva%5B0%5D%5Bid%5D=47/når:2024-08-26", "Vegkart")</f>
        <v>Vegkart</v>
      </c>
      <c r="B5442">
        <v>137160221</v>
      </c>
      <c r="C5442">
        <v>47</v>
      </c>
      <c r="D5442" t="s">
        <v>16854</v>
      </c>
      <c r="E5442">
        <v>5897</v>
      </c>
      <c r="F5442" t="s">
        <v>23479</v>
      </c>
      <c r="G5442">
        <v>2</v>
      </c>
      <c r="H5442" t="s">
        <v>2581</v>
      </c>
      <c r="J5442" t="s">
        <v>18052</v>
      </c>
      <c r="K5442" t="s">
        <v>21</v>
      </c>
      <c r="L5442" t="s">
        <v>80</v>
      </c>
      <c r="M5442" t="s">
        <v>81</v>
      </c>
      <c r="N5442" t="s">
        <v>18132</v>
      </c>
      <c r="O5442" t="s">
        <v>18133</v>
      </c>
      <c r="P5442" s="2" t="s">
        <v>26</v>
      </c>
      <c r="Q5442" t="s">
        <v>50</v>
      </c>
      <c r="R5442">
        <v>46.15</v>
      </c>
      <c r="S5442">
        <v>46.16</v>
      </c>
      <c r="T5442" t="s">
        <v>18134</v>
      </c>
    </row>
    <row r="5443" spans="1:20" x14ac:dyDescent="0.25">
      <c r="A5443" s="1" t="str">
        <f>HYPERLINK("https://vegkart.atlas.vegvesen.no/#/@561009.3,7634325.6,18/hva:hva%5B0%5D%5Bfilter%5D%5B0%5D%5Boperator%5D=%21%3D&amp;hva%5B0%5D%5Bfilter%5D%5B0%5D%5Btype_id%5D=5897&amp;hva%5B0%5D%5Bfilter%5D%5B0%5D%5Bverdi%5D=&amp;hva%5B0%5D%5Bid%5D=47/når:2025-12-24", "Vegkart")</f>
        <v>Vegkart</v>
      </c>
      <c r="B5443">
        <v>137443704</v>
      </c>
      <c r="C5443">
        <v>47</v>
      </c>
      <c r="D5443" t="s">
        <v>16854</v>
      </c>
      <c r="E5443">
        <v>5897</v>
      </c>
      <c r="F5443" t="s">
        <v>23479</v>
      </c>
      <c r="G5443">
        <v>2</v>
      </c>
      <c r="H5443" t="s">
        <v>18135</v>
      </c>
      <c r="J5443" t="s">
        <v>18136</v>
      </c>
      <c r="K5443" t="s">
        <v>179</v>
      </c>
      <c r="L5443" t="s">
        <v>33</v>
      </c>
      <c r="M5443" t="s">
        <v>15422</v>
      </c>
      <c r="N5443" t="s">
        <v>18137</v>
      </c>
      <c r="O5443" t="s">
        <v>18138</v>
      </c>
      <c r="P5443" s="2" t="s">
        <v>26</v>
      </c>
      <c r="Q5443" t="s">
        <v>50</v>
      </c>
      <c r="R5443">
        <v>14.96</v>
      </c>
      <c r="S5443">
        <v>14.98</v>
      </c>
      <c r="T5443" t="s">
        <v>18139</v>
      </c>
    </row>
    <row r="5444" spans="1:20" x14ac:dyDescent="0.25">
      <c r="A5444" s="1" t="str">
        <f>HYPERLINK("https://vegkart.atlas.vegvesen.no/#/@-55416.0,6597064.2,18/hva:hva%5B0%5D%5Bfilter%5D%5B0%5D%5Boperator%5D=%21%3D&amp;hva%5B0%5D%5Bfilter%5D%5B0%5D%5Btype_id%5D=5897&amp;hva%5B0%5D%5Bfilter%5D%5B0%5D%5Bverdi%5D=&amp;hva%5B0%5D%5Bid%5D=47/når:2025-02-13", "Vegkart")</f>
        <v>Vegkart</v>
      </c>
      <c r="B5444">
        <v>137859846</v>
      </c>
      <c r="C5444">
        <v>47</v>
      </c>
      <c r="D5444" t="s">
        <v>16854</v>
      </c>
      <c r="E5444">
        <v>5897</v>
      </c>
      <c r="F5444" t="s">
        <v>23479</v>
      </c>
      <c r="G5444">
        <v>5</v>
      </c>
      <c r="H5444" t="s">
        <v>18140</v>
      </c>
      <c r="J5444" t="s">
        <v>6898</v>
      </c>
      <c r="K5444" t="s">
        <v>170</v>
      </c>
      <c r="L5444" t="s">
        <v>33</v>
      </c>
      <c r="M5444" t="s">
        <v>512</v>
      </c>
      <c r="N5444" t="s">
        <v>18141</v>
      </c>
      <c r="O5444" t="s">
        <v>18142</v>
      </c>
      <c r="P5444" s="2" t="s">
        <v>26</v>
      </c>
      <c r="Q5444" t="s">
        <v>50</v>
      </c>
      <c r="R5444">
        <v>20.440000000000001</v>
      </c>
      <c r="S5444">
        <v>20.5</v>
      </c>
      <c r="T5444" t="s">
        <v>18143</v>
      </c>
    </row>
    <row r="5445" spans="1:20" x14ac:dyDescent="0.25">
      <c r="A5445" s="1" t="str">
        <f>HYPERLINK("https://vegkart.atlas.vegvesen.no/#/@988757.8,7864004.8,18/hva:hva%5B0%5D%5Bfilter%5D%5B0%5D%5Boperator%5D=%21%3D&amp;hva%5B0%5D%5Bfilter%5D%5B0%5D%5Btype_id%5D=5897&amp;hva%5B0%5D%5Bfilter%5D%5B0%5D%5Bverdi%5D=&amp;hva%5B0%5D%5Bid%5D=47/når:2017-09-26", "Vegkart")</f>
        <v>Vegkart</v>
      </c>
      <c r="B5445">
        <v>140430920</v>
      </c>
      <c r="C5445">
        <v>47</v>
      </c>
      <c r="D5445" t="s">
        <v>16854</v>
      </c>
      <c r="E5445">
        <v>5897</v>
      </c>
      <c r="F5445" t="s">
        <v>23479</v>
      </c>
      <c r="G5445">
        <v>6</v>
      </c>
      <c r="H5445" t="s">
        <v>17870</v>
      </c>
      <c r="J5445" t="s">
        <v>6898</v>
      </c>
      <c r="K5445" t="s">
        <v>450</v>
      </c>
      <c r="L5445" t="s">
        <v>33</v>
      </c>
      <c r="M5445" t="s">
        <v>1278</v>
      </c>
      <c r="N5445" t="s">
        <v>18144</v>
      </c>
      <c r="O5445" t="s">
        <v>18145</v>
      </c>
      <c r="P5445" s="2" t="s">
        <v>37</v>
      </c>
      <c r="Q5445" t="s">
        <v>1208</v>
      </c>
      <c r="R5445">
        <v>2.0299999999999998</v>
      </c>
      <c r="S5445">
        <v>179.07</v>
      </c>
      <c r="T5445" t="s">
        <v>18146</v>
      </c>
    </row>
    <row r="5446" spans="1:20" x14ac:dyDescent="0.25">
      <c r="A5446" s="1" t="str">
        <f>HYPERLINK("https://vegkart.atlas.vegvesen.no/#/@993293.3,7845327.6,18/hva:hva%5B0%5D%5Bfilter%5D%5B0%5D%5Boperator%5D=%21%3D&amp;hva%5B0%5D%5Bfilter%5D%5B0%5D%5Btype_id%5D=5897&amp;hva%5B0%5D%5Bfilter%5D%5B0%5D%5Bverdi%5D=&amp;hva%5B0%5D%5Bid%5D=47/når:2017-09-26", "Vegkart")</f>
        <v>Vegkart</v>
      </c>
      <c r="B5446">
        <v>140430976</v>
      </c>
      <c r="C5446">
        <v>47</v>
      </c>
      <c r="D5446" t="s">
        <v>16854</v>
      </c>
      <c r="E5446">
        <v>5897</v>
      </c>
      <c r="F5446" t="s">
        <v>23479</v>
      </c>
      <c r="G5446">
        <v>6</v>
      </c>
      <c r="H5446" t="s">
        <v>17870</v>
      </c>
      <c r="J5446" t="s">
        <v>6898</v>
      </c>
      <c r="K5446" t="s">
        <v>450</v>
      </c>
      <c r="L5446" t="s">
        <v>33</v>
      </c>
      <c r="M5446" t="s">
        <v>1278</v>
      </c>
      <c r="N5446" t="s">
        <v>18147</v>
      </c>
      <c r="O5446" t="s">
        <v>18148</v>
      </c>
      <c r="P5446" s="2" t="s">
        <v>165</v>
      </c>
      <c r="Q5446" t="s">
        <v>641</v>
      </c>
      <c r="R5446">
        <v>2.99</v>
      </c>
      <c r="S5446">
        <v>69.92</v>
      </c>
      <c r="T5446" t="s">
        <v>167</v>
      </c>
    </row>
    <row r="5447" spans="1:20" x14ac:dyDescent="0.25">
      <c r="A5447" s="1" t="str">
        <f>HYPERLINK("https://vegkart.atlas.vegvesen.no/#/@996646.1,7832349.4,18/hva:hva%5B0%5D%5Bfilter%5D%5B0%5D%5Boperator%5D=%21%3D&amp;hva%5B0%5D%5Bfilter%5D%5B0%5D%5Btype_id%5D=5897&amp;hva%5B0%5D%5Bfilter%5D%5B0%5D%5Bverdi%5D=&amp;hva%5B0%5D%5Bid%5D=47/når:2017-09-19", "Vegkart")</f>
        <v>Vegkart</v>
      </c>
      <c r="B5447">
        <v>140437656</v>
      </c>
      <c r="C5447">
        <v>47</v>
      </c>
      <c r="D5447" t="s">
        <v>16854</v>
      </c>
      <c r="E5447">
        <v>5897</v>
      </c>
      <c r="F5447" t="s">
        <v>23479</v>
      </c>
      <c r="G5447">
        <v>4</v>
      </c>
      <c r="H5447" t="s">
        <v>17847</v>
      </c>
      <c r="J5447" t="s">
        <v>6898</v>
      </c>
      <c r="K5447" t="s">
        <v>450</v>
      </c>
      <c r="L5447" t="s">
        <v>33</v>
      </c>
      <c r="M5447" t="s">
        <v>17849</v>
      </c>
      <c r="N5447" t="s">
        <v>18149</v>
      </c>
      <c r="O5447" t="s">
        <v>18150</v>
      </c>
      <c r="P5447" s="2" t="s">
        <v>37</v>
      </c>
      <c r="Q5447" t="s">
        <v>1208</v>
      </c>
      <c r="R5447">
        <v>3.71</v>
      </c>
      <c r="S5447">
        <v>99.17</v>
      </c>
      <c r="T5447" t="s">
        <v>18151</v>
      </c>
    </row>
    <row r="5448" spans="1:20" x14ac:dyDescent="0.25">
      <c r="A5448" s="1" t="str">
        <f>HYPERLINK("https://vegkart.atlas.vegvesen.no/#/@995403.3,7829594.8,18/hva:hva%5B0%5D%5Bfilter%5D%5B0%5D%5Boperator%5D=%21%3D&amp;hva%5B0%5D%5Bfilter%5D%5B0%5D%5Btype_id%5D=5897&amp;hva%5B0%5D%5Bfilter%5D%5B0%5D%5Bverdi%5D=&amp;hva%5B0%5D%5Bid%5D=47/når:2017-09-19", "Vegkart")</f>
        <v>Vegkart</v>
      </c>
      <c r="B5448">
        <v>140437680</v>
      </c>
      <c r="C5448">
        <v>47</v>
      </c>
      <c r="D5448" t="s">
        <v>16854</v>
      </c>
      <c r="E5448">
        <v>5897</v>
      </c>
      <c r="F5448" t="s">
        <v>23479</v>
      </c>
      <c r="G5448">
        <v>5</v>
      </c>
      <c r="H5448" t="s">
        <v>17847</v>
      </c>
      <c r="J5448" t="s">
        <v>6898</v>
      </c>
      <c r="K5448" t="s">
        <v>450</v>
      </c>
      <c r="L5448" t="s">
        <v>33</v>
      </c>
      <c r="M5448" t="s">
        <v>17849</v>
      </c>
      <c r="N5448" t="s">
        <v>18152</v>
      </c>
      <c r="O5448" t="s">
        <v>18153</v>
      </c>
      <c r="P5448" s="2" t="s">
        <v>37</v>
      </c>
      <c r="Q5448" t="s">
        <v>1208</v>
      </c>
      <c r="R5448">
        <v>2.9</v>
      </c>
      <c r="S5448">
        <v>113.48</v>
      </c>
      <c r="T5448" t="s">
        <v>18154</v>
      </c>
    </row>
    <row r="5449" spans="1:20" x14ac:dyDescent="0.25">
      <c r="A5449" s="1" t="str">
        <f>HYPERLINK("https://vegkart.atlas.vegvesen.no/#/@-34778.8,6654160.9,18/hva:hva%5B0%5D%5Bfilter%5D%5B0%5D%5Boperator%5D=%21%3D&amp;hva%5B0%5D%5Bfilter%5D%5B0%5D%5Btype_id%5D=5897&amp;hva%5B0%5D%5Bfilter%5D%5B0%5D%5Bverdi%5D=&amp;hva%5B0%5D%5Bid%5D=47/når:2023-07-06", "Vegkart")</f>
        <v>Vegkart</v>
      </c>
      <c r="B5449">
        <v>141841927</v>
      </c>
      <c r="C5449">
        <v>47</v>
      </c>
      <c r="D5449" t="s">
        <v>16854</v>
      </c>
      <c r="E5449">
        <v>5897</v>
      </c>
      <c r="F5449" t="s">
        <v>23479</v>
      </c>
      <c r="G5449">
        <v>5</v>
      </c>
      <c r="H5449" t="s">
        <v>18155</v>
      </c>
      <c r="J5449" t="s">
        <v>18156</v>
      </c>
      <c r="K5449" t="s">
        <v>21</v>
      </c>
      <c r="L5449" t="s">
        <v>33</v>
      </c>
      <c r="M5449" t="s">
        <v>18157</v>
      </c>
      <c r="N5449" t="s">
        <v>18158</v>
      </c>
      <c r="O5449" t="s">
        <v>18159</v>
      </c>
      <c r="P5449" s="2" t="s">
        <v>26</v>
      </c>
      <c r="Q5449" t="s">
        <v>50</v>
      </c>
      <c r="R5449">
        <v>35.979999999999997</v>
      </c>
      <c r="S5449">
        <v>149.05000000000001</v>
      </c>
      <c r="T5449" t="s">
        <v>18160</v>
      </c>
    </row>
    <row r="5450" spans="1:20" x14ac:dyDescent="0.25">
      <c r="A5450" s="1" t="str">
        <f>HYPERLINK("https://vegkart.atlas.vegvesen.no/#/@245979.6,6964111.1,18/hva:hva%5B0%5D%5Bfilter%5D%5B0%5D%5Boperator%5D=%21%3D&amp;hva%5B0%5D%5Bfilter%5D%5B0%5D%5Btype_id%5D=5897&amp;hva%5B0%5D%5Bfilter%5D%5B0%5D%5Bverdi%5D=&amp;hva%5B0%5D%5Bid%5D=47/når:2019-08-12", "Vegkart")</f>
        <v>Vegkart</v>
      </c>
      <c r="B5450">
        <v>142226244</v>
      </c>
      <c r="C5450">
        <v>47</v>
      </c>
      <c r="D5450" t="s">
        <v>16854</v>
      </c>
      <c r="E5450">
        <v>5897</v>
      </c>
      <c r="F5450" t="s">
        <v>23479</v>
      </c>
      <c r="G5450">
        <v>2</v>
      </c>
      <c r="H5450" t="s">
        <v>15732</v>
      </c>
      <c r="J5450" t="s">
        <v>18156</v>
      </c>
      <c r="K5450" t="s">
        <v>192</v>
      </c>
      <c r="L5450" t="s">
        <v>113</v>
      </c>
      <c r="M5450" t="s">
        <v>335</v>
      </c>
      <c r="N5450" t="s">
        <v>18161</v>
      </c>
      <c r="O5450" t="s">
        <v>18162</v>
      </c>
      <c r="P5450" s="2" t="s">
        <v>26</v>
      </c>
      <c r="Q5450" t="s">
        <v>50</v>
      </c>
      <c r="R5450">
        <v>54.76</v>
      </c>
      <c r="S5450">
        <v>57.75</v>
      </c>
      <c r="T5450" t="s">
        <v>18163</v>
      </c>
    </row>
    <row r="5451" spans="1:20" x14ac:dyDescent="0.25">
      <c r="A5451" s="1" t="str">
        <f>HYPERLINK("https://vegkart.atlas.vegvesen.no/#/@251039.9,6961777.7,18/hva:hva%5B0%5D%5Bfilter%5D%5B0%5D%5Boperator%5D=%21%3D&amp;hva%5B0%5D%5Bfilter%5D%5B0%5D%5Btype_id%5D=5897&amp;hva%5B0%5D%5Bfilter%5D%5B0%5D%5Bverdi%5D=&amp;hva%5B0%5D%5Bid%5D=47/når:2007-09-11", "Vegkart")</f>
        <v>Vegkart</v>
      </c>
      <c r="B5451">
        <v>142226247</v>
      </c>
      <c r="C5451">
        <v>47</v>
      </c>
      <c r="D5451" t="s">
        <v>16854</v>
      </c>
      <c r="E5451">
        <v>5897</v>
      </c>
      <c r="F5451" t="s">
        <v>23479</v>
      </c>
      <c r="G5451">
        <v>1</v>
      </c>
      <c r="H5451" t="s">
        <v>18164</v>
      </c>
      <c r="J5451" t="s">
        <v>18156</v>
      </c>
      <c r="K5451" t="s">
        <v>192</v>
      </c>
      <c r="L5451" t="s">
        <v>113</v>
      </c>
      <c r="M5451" t="s">
        <v>335</v>
      </c>
      <c r="N5451" t="s">
        <v>18165</v>
      </c>
      <c r="O5451" t="s">
        <v>18166</v>
      </c>
      <c r="P5451" s="2" t="s">
        <v>26</v>
      </c>
      <c r="Q5451" t="s">
        <v>50</v>
      </c>
      <c r="R5451">
        <v>45.57</v>
      </c>
      <c r="S5451">
        <v>47.66</v>
      </c>
      <c r="T5451" t="s">
        <v>18167</v>
      </c>
    </row>
    <row r="5452" spans="1:20" x14ac:dyDescent="0.25">
      <c r="A5452" s="1" t="str">
        <f>HYPERLINK("https://vegkart.atlas.vegvesen.no/#/@556672.4,7644451.8,18/hva:hva%5B0%5D%5Bfilter%5D%5B0%5D%5Boperator%5D=%21%3D&amp;hva%5B0%5D%5Bfilter%5D%5B0%5D%5Btype_id%5D=5897&amp;hva%5B0%5D%5Bfilter%5D%5B0%5D%5Bverdi%5D=&amp;hva%5B0%5D%5Bid%5D=47/når:2025-12-24", "Vegkart")</f>
        <v>Vegkart</v>
      </c>
      <c r="B5452">
        <v>142569667</v>
      </c>
      <c r="C5452">
        <v>47</v>
      </c>
      <c r="D5452" t="s">
        <v>16854</v>
      </c>
      <c r="E5452">
        <v>5897</v>
      </c>
      <c r="F5452" t="s">
        <v>23479</v>
      </c>
      <c r="G5452">
        <v>2</v>
      </c>
      <c r="H5452" t="s">
        <v>18135</v>
      </c>
      <c r="J5452" t="s">
        <v>18136</v>
      </c>
      <c r="K5452" t="s">
        <v>179</v>
      </c>
      <c r="L5452" t="s">
        <v>33</v>
      </c>
      <c r="M5452" t="s">
        <v>18168</v>
      </c>
      <c r="N5452" t="s">
        <v>18169</v>
      </c>
      <c r="O5452" t="s">
        <v>18170</v>
      </c>
      <c r="P5452" s="2" t="s">
        <v>26</v>
      </c>
      <c r="Q5452" t="s">
        <v>50</v>
      </c>
      <c r="R5452">
        <v>29.93</v>
      </c>
      <c r="S5452">
        <v>29.93</v>
      </c>
      <c r="T5452" t="s">
        <v>18171</v>
      </c>
    </row>
    <row r="5453" spans="1:20" x14ac:dyDescent="0.25">
      <c r="A5453" s="1" t="str">
        <f>HYPERLINK("https://vegkart.atlas.vegvesen.no/#/@556554.3,7644580.3,18/hva:hva%5B0%5D%5Bfilter%5D%5B0%5D%5Boperator%5D=%21%3D&amp;hva%5B0%5D%5Bfilter%5D%5B0%5D%5Btype_id%5D=5897&amp;hva%5B0%5D%5Bfilter%5D%5B0%5D%5Bverdi%5D=&amp;hva%5B0%5D%5Bid%5D=47/når:2025-12-24", "Vegkart")</f>
        <v>Vegkart</v>
      </c>
      <c r="B5453">
        <v>142569669</v>
      </c>
      <c r="C5453">
        <v>47</v>
      </c>
      <c r="D5453" t="s">
        <v>16854</v>
      </c>
      <c r="E5453">
        <v>5897</v>
      </c>
      <c r="F5453" t="s">
        <v>23479</v>
      </c>
      <c r="G5453">
        <v>2</v>
      </c>
      <c r="H5453" t="s">
        <v>18135</v>
      </c>
      <c r="J5453" t="s">
        <v>18136</v>
      </c>
      <c r="K5453" t="s">
        <v>179</v>
      </c>
      <c r="L5453" t="s">
        <v>33</v>
      </c>
      <c r="M5453" t="s">
        <v>18168</v>
      </c>
      <c r="N5453" t="s">
        <v>18172</v>
      </c>
      <c r="O5453" t="s">
        <v>18173</v>
      </c>
      <c r="P5453" s="2" t="s">
        <v>26</v>
      </c>
      <c r="Q5453" t="s">
        <v>50</v>
      </c>
      <c r="R5453">
        <v>55.86</v>
      </c>
      <c r="S5453">
        <v>55.86</v>
      </c>
      <c r="T5453" t="s">
        <v>18174</v>
      </c>
    </row>
    <row r="5454" spans="1:20" x14ac:dyDescent="0.25">
      <c r="A5454" s="1" t="str">
        <f>HYPERLINK("https://vegkart.atlas.vegvesen.no/#/@556453.4,7644690.1,18/hva:hva%5B0%5D%5Bfilter%5D%5B0%5D%5Boperator%5D=%21%3D&amp;hva%5B0%5D%5Bfilter%5D%5B0%5D%5Btype_id%5D=5897&amp;hva%5B0%5D%5Bfilter%5D%5B0%5D%5Bverdi%5D=&amp;hva%5B0%5D%5Bid%5D=47/når:2025-12-24", "Vegkart")</f>
        <v>Vegkart</v>
      </c>
      <c r="B5454">
        <v>142569671</v>
      </c>
      <c r="C5454">
        <v>47</v>
      </c>
      <c r="D5454" t="s">
        <v>16854</v>
      </c>
      <c r="E5454">
        <v>5897</v>
      </c>
      <c r="F5454" t="s">
        <v>23479</v>
      </c>
      <c r="G5454">
        <v>2</v>
      </c>
      <c r="H5454" t="s">
        <v>18135</v>
      </c>
      <c r="J5454" t="s">
        <v>18136</v>
      </c>
      <c r="K5454" t="s">
        <v>179</v>
      </c>
      <c r="L5454" t="s">
        <v>33</v>
      </c>
      <c r="M5454" t="s">
        <v>18168</v>
      </c>
      <c r="N5454" t="s">
        <v>18175</v>
      </c>
      <c r="O5454" t="s">
        <v>18176</v>
      </c>
      <c r="P5454" s="2" t="s">
        <v>26</v>
      </c>
      <c r="Q5454" t="s">
        <v>50</v>
      </c>
      <c r="R5454">
        <v>48.88</v>
      </c>
      <c r="S5454">
        <v>48.88</v>
      </c>
      <c r="T5454" t="s">
        <v>18177</v>
      </c>
    </row>
    <row r="5455" spans="1:20" x14ac:dyDescent="0.25">
      <c r="A5455" s="1" t="str">
        <f>HYPERLINK("https://vegkart.atlas.vegvesen.no/#/@556346.4,7644806.5,18/hva:hva%5B0%5D%5Bfilter%5D%5B0%5D%5Boperator%5D=%21%3D&amp;hva%5B0%5D%5Bfilter%5D%5B0%5D%5Btype_id%5D=5897&amp;hva%5B0%5D%5Bfilter%5D%5B0%5D%5Bverdi%5D=&amp;hva%5B0%5D%5Bid%5D=47/når:2025-12-24", "Vegkart")</f>
        <v>Vegkart</v>
      </c>
      <c r="B5455">
        <v>142569673</v>
      </c>
      <c r="C5455">
        <v>47</v>
      </c>
      <c r="D5455" t="s">
        <v>16854</v>
      </c>
      <c r="E5455">
        <v>5897</v>
      </c>
      <c r="F5455" t="s">
        <v>23479</v>
      </c>
      <c r="G5455">
        <v>2</v>
      </c>
      <c r="H5455" t="s">
        <v>18135</v>
      </c>
      <c r="J5455" t="s">
        <v>18136</v>
      </c>
      <c r="K5455" t="s">
        <v>179</v>
      </c>
      <c r="L5455" t="s">
        <v>33</v>
      </c>
      <c r="M5455" t="s">
        <v>18168</v>
      </c>
      <c r="N5455" t="s">
        <v>18178</v>
      </c>
      <c r="O5455" t="s">
        <v>18179</v>
      </c>
      <c r="P5455" s="2" t="s">
        <v>26</v>
      </c>
      <c r="Q5455" t="s">
        <v>50</v>
      </c>
      <c r="R5455">
        <v>71.819999999999993</v>
      </c>
      <c r="S5455">
        <v>71.819999999999993</v>
      </c>
      <c r="T5455" t="s">
        <v>18180</v>
      </c>
    </row>
    <row r="5456" spans="1:20" x14ac:dyDescent="0.25">
      <c r="A5456" s="1" t="str">
        <f>HYPERLINK("https://vegkart.atlas.vegvesen.no/#/@556248.5,7644913.0,18/hva:hva%5B0%5D%5Bfilter%5D%5B0%5D%5Boperator%5D=%21%3D&amp;hva%5B0%5D%5Bfilter%5D%5B0%5D%5Btype_id%5D=5897&amp;hva%5B0%5D%5Bfilter%5D%5B0%5D%5Bverdi%5D=&amp;hva%5B0%5D%5Bid%5D=47/når:2025-12-24", "Vegkart")</f>
        <v>Vegkart</v>
      </c>
      <c r="B5456">
        <v>142569675</v>
      </c>
      <c r="C5456">
        <v>47</v>
      </c>
      <c r="D5456" t="s">
        <v>16854</v>
      </c>
      <c r="E5456">
        <v>5897</v>
      </c>
      <c r="F5456" t="s">
        <v>23479</v>
      </c>
      <c r="G5456">
        <v>2</v>
      </c>
      <c r="H5456" t="s">
        <v>18135</v>
      </c>
      <c r="J5456" t="s">
        <v>18136</v>
      </c>
      <c r="K5456" t="s">
        <v>179</v>
      </c>
      <c r="L5456" t="s">
        <v>33</v>
      </c>
      <c r="M5456" t="s">
        <v>18168</v>
      </c>
      <c r="N5456" t="s">
        <v>18181</v>
      </c>
      <c r="O5456" t="s">
        <v>18182</v>
      </c>
      <c r="P5456" s="2" t="s">
        <v>26</v>
      </c>
      <c r="Q5456" t="s">
        <v>50</v>
      </c>
      <c r="R5456">
        <v>41.9</v>
      </c>
      <c r="S5456">
        <v>41.9</v>
      </c>
      <c r="T5456" t="s">
        <v>18183</v>
      </c>
    </row>
    <row r="5457" spans="1:20" x14ac:dyDescent="0.25">
      <c r="A5457" s="1" t="str">
        <f>HYPERLINK("https://vegkart.atlas.vegvesen.no/#/@556146.5,7645023.9,18/hva:hva%5B0%5D%5Bfilter%5D%5B0%5D%5Boperator%5D=%21%3D&amp;hva%5B0%5D%5Bfilter%5D%5B0%5D%5Btype_id%5D=5897&amp;hva%5B0%5D%5Bfilter%5D%5B0%5D%5Bverdi%5D=&amp;hva%5B0%5D%5Bid%5D=47/når:2025-12-24", "Vegkart")</f>
        <v>Vegkart</v>
      </c>
      <c r="B5457">
        <v>142569677</v>
      </c>
      <c r="C5457">
        <v>47</v>
      </c>
      <c r="D5457" t="s">
        <v>16854</v>
      </c>
      <c r="E5457">
        <v>5897</v>
      </c>
      <c r="F5457" t="s">
        <v>23479</v>
      </c>
      <c r="G5457">
        <v>2</v>
      </c>
      <c r="H5457" t="s">
        <v>18135</v>
      </c>
      <c r="J5457" t="s">
        <v>18136</v>
      </c>
      <c r="K5457" t="s">
        <v>179</v>
      </c>
      <c r="L5457" t="s">
        <v>33</v>
      </c>
      <c r="M5457" t="s">
        <v>18168</v>
      </c>
      <c r="N5457" t="s">
        <v>18184</v>
      </c>
      <c r="O5457" t="s">
        <v>18185</v>
      </c>
      <c r="P5457" s="2" t="s">
        <v>26</v>
      </c>
      <c r="Q5457" t="s">
        <v>50</v>
      </c>
      <c r="R5457">
        <v>67.83</v>
      </c>
      <c r="S5457">
        <v>67.83</v>
      </c>
      <c r="T5457" t="s">
        <v>18186</v>
      </c>
    </row>
    <row r="5458" spans="1:20" x14ac:dyDescent="0.25">
      <c r="A5458" s="1" t="str">
        <f>HYPERLINK("https://vegkart.atlas.vegvesen.no/#/@556044.9,7645134.4,18/hva:hva%5B0%5D%5Bfilter%5D%5B0%5D%5Boperator%5D=%21%3D&amp;hva%5B0%5D%5Bfilter%5D%5B0%5D%5Btype_id%5D=5897&amp;hva%5B0%5D%5Bfilter%5D%5B0%5D%5Bverdi%5D=&amp;hva%5B0%5D%5Bid%5D=47/når:2025-12-24", "Vegkart")</f>
        <v>Vegkart</v>
      </c>
      <c r="B5458">
        <v>142569679</v>
      </c>
      <c r="C5458">
        <v>47</v>
      </c>
      <c r="D5458" t="s">
        <v>16854</v>
      </c>
      <c r="E5458">
        <v>5897</v>
      </c>
      <c r="F5458" t="s">
        <v>23479</v>
      </c>
      <c r="G5458">
        <v>2</v>
      </c>
      <c r="H5458" t="s">
        <v>18135</v>
      </c>
      <c r="J5458" t="s">
        <v>18136</v>
      </c>
      <c r="K5458" t="s">
        <v>179</v>
      </c>
      <c r="L5458" t="s">
        <v>33</v>
      </c>
      <c r="M5458" t="s">
        <v>18168</v>
      </c>
      <c r="N5458" t="s">
        <v>18187</v>
      </c>
      <c r="O5458" t="s">
        <v>18188</v>
      </c>
      <c r="P5458" s="2" t="s">
        <v>26</v>
      </c>
      <c r="Q5458" t="s">
        <v>50</v>
      </c>
      <c r="R5458">
        <v>44.89</v>
      </c>
      <c r="S5458">
        <v>44.89</v>
      </c>
      <c r="T5458" t="s">
        <v>18189</v>
      </c>
    </row>
    <row r="5459" spans="1:20" x14ac:dyDescent="0.25">
      <c r="A5459" s="1" t="str">
        <f>HYPERLINK("https://vegkart.atlas.vegvesen.no/#/@555942.6,7645245.7,18/hva:hva%5B0%5D%5Bfilter%5D%5B0%5D%5Boperator%5D=%21%3D&amp;hva%5B0%5D%5Bfilter%5D%5B0%5D%5Btype_id%5D=5897&amp;hva%5B0%5D%5Bfilter%5D%5B0%5D%5Bverdi%5D=&amp;hva%5B0%5D%5Bid%5D=47/når:2025-12-24", "Vegkart")</f>
        <v>Vegkart</v>
      </c>
      <c r="B5459">
        <v>142569681</v>
      </c>
      <c r="C5459">
        <v>47</v>
      </c>
      <c r="D5459" t="s">
        <v>16854</v>
      </c>
      <c r="E5459">
        <v>5897</v>
      </c>
      <c r="F5459" t="s">
        <v>23479</v>
      </c>
      <c r="G5459">
        <v>2</v>
      </c>
      <c r="H5459" t="s">
        <v>18135</v>
      </c>
      <c r="J5459" t="s">
        <v>18136</v>
      </c>
      <c r="K5459" t="s">
        <v>179</v>
      </c>
      <c r="L5459" t="s">
        <v>33</v>
      </c>
      <c r="M5459" t="s">
        <v>18168</v>
      </c>
      <c r="N5459" t="s">
        <v>18190</v>
      </c>
      <c r="O5459" t="s">
        <v>18191</v>
      </c>
      <c r="P5459" s="2" t="s">
        <v>26</v>
      </c>
      <c r="Q5459" t="s">
        <v>50</v>
      </c>
      <c r="R5459">
        <v>71.819999999999993</v>
      </c>
      <c r="S5459">
        <v>71.819999999999993</v>
      </c>
      <c r="T5459" t="s">
        <v>18192</v>
      </c>
    </row>
    <row r="5460" spans="1:20" x14ac:dyDescent="0.25">
      <c r="A5460" s="1" t="str">
        <f>HYPERLINK("https://vegkart.atlas.vegvesen.no/#/@555841.0,7645356.2,18/hva:hva%5B0%5D%5Bfilter%5D%5B0%5D%5Boperator%5D=%21%3D&amp;hva%5B0%5D%5Bfilter%5D%5B0%5D%5Btype_id%5D=5897&amp;hva%5B0%5D%5Bfilter%5D%5B0%5D%5Bverdi%5D=&amp;hva%5B0%5D%5Bid%5D=47/når:2025-12-24", "Vegkart")</f>
        <v>Vegkart</v>
      </c>
      <c r="B5460">
        <v>142569683</v>
      </c>
      <c r="C5460">
        <v>47</v>
      </c>
      <c r="D5460" t="s">
        <v>16854</v>
      </c>
      <c r="E5460">
        <v>5897</v>
      </c>
      <c r="F5460" t="s">
        <v>23479</v>
      </c>
      <c r="G5460">
        <v>2</v>
      </c>
      <c r="H5460" t="s">
        <v>18135</v>
      </c>
      <c r="J5460" t="s">
        <v>18136</v>
      </c>
      <c r="K5460" t="s">
        <v>179</v>
      </c>
      <c r="L5460" t="s">
        <v>33</v>
      </c>
      <c r="M5460" t="s">
        <v>18168</v>
      </c>
      <c r="N5460" t="s">
        <v>18193</v>
      </c>
      <c r="O5460" t="s">
        <v>18194</v>
      </c>
      <c r="P5460" s="2" t="s">
        <v>26</v>
      </c>
      <c r="Q5460" t="s">
        <v>50</v>
      </c>
      <c r="R5460">
        <v>48.88</v>
      </c>
      <c r="S5460">
        <v>48.88</v>
      </c>
      <c r="T5460" t="s">
        <v>18195</v>
      </c>
    </row>
    <row r="5461" spans="1:20" x14ac:dyDescent="0.25">
      <c r="A5461" s="1" t="str">
        <f>HYPERLINK("https://vegkart.atlas.vegvesen.no/#/@555742.5,7645463.4,18/hva:hva%5B0%5D%5Bfilter%5D%5B0%5D%5Boperator%5D=%21%3D&amp;hva%5B0%5D%5Bfilter%5D%5B0%5D%5Btype_id%5D=5897&amp;hva%5B0%5D%5Bfilter%5D%5B0%5D%5Bverdi%5D=&amp;hva%5B0%5D%5Bid%5D=47/når:2025-12-24", "Vegkart")</f>
        <v>Vegkart</v>
      </c>
      <c r="B5461">
        <v>142569685</v>
      </c>
      <c r="C5461">
        <v>47</v>
      </c>
      <c r="D5461" t="s">
        <v>16854</v>
      </c>
      <c r="E5461">
        <v>5897</v>
      </c>
      <c r="F5461" t="s">
        <v>23479</v>
      </c>
      <c r="G5461">
        <v>2</v>
      </c>
      <c r="H5461" t="s">
        <v>18135</v>
      </c>
      <c r="J5461" t="s">
        <v>18136</v>
      </c>
      <c r="K5461" t="s">
        <v>179</v>
      </c>
      <c r="L5461" t="s">
        <v>33</v>
      </c>
      <c r="M5461" t="s">
        <v>18168</v>
      </c>
      <c r="N5461" t="s">
        <v>18196</v>
      </c>
      <c r="O5461" t="s">
        <v>18197</v>
      </c>
      <c r="P5461" s="2" t="s">
        <v>26</v>
      </c>
      <c r="Q5461" t="s">
        <v>50</v>
      </c>
      <c r="R5461">
        <v>72.819999999999993</v>
      </c>
      <c r="S5461">
        <v>72.819999999999993</v>
      </c>
      <c r="T5461" t="s">
        <v>18198</v>
      </c>
    </row>
    <row r="5462" spans="1:20" x14ac:dyDescent="0.25">
      <c r="A5462" s="1" t="str">
        <f>HYPERLINK("https://vegkart.atlas.vegvesen.no/#/@555639.2,7645575.8,18/hva:hva%5B0%5D%5Bfilter%5D%5B0%5D%5Boperator%5D=%21%3D&amp;hva%5B0%5D%5Bfilter%5D%5B0%5D%5Btype_id%5D=5897&amp;hva%5B0%5D%5Bfilter%5D%5B0%5D%5Bverdi%5D=&amp;hva%5B0%5D%5Bid%5D=47/når:2025-12-24", "Vegkart")</f>
        <v>Vegkart</v>
      </c>
      <c r="B5462">
        <v>142569687</v>
      </c>
      <c r="C5462">
        <v>47</v>
      </c>
      <c r="D5462" t="s">
        <v>16854</v>
      </c>
      <c r="E5462">
        <v>5897</v>
      </c>
      <c r="F5462" t="s">
        <v>23479</v>
      </c>
      <c r="G5462">
        <v>2</v>
      </c>
      <c r="H5462" t="s">
        <v>18135</v>
      </c>
      <c r="J5462" t="s">
        <v>18136</v>
      </c>
      <c r="K5462" t="s">
        <v>179</v>
      </c>
      <c r="L5462" t="s">
        <v>33</v>
      </c>
      <c r="M5462" t="s">
        <v>18168</v>
      </c>
      <c r="N5462" t="s">
        <v>18199</v>
      </c>
      <c r="O5462" t="s">
        <v>18200</v>
      </c>
      <c r="P5462" s="2" t="s">
        <v>26</v>
      </c>
      <c r="Q5462" t="s">
        <v>50</v>
      </c>
      <c r="R5462">
        <v>46.88</v>
      </c>
      <c r="S5462">
        <v>46.88</v>
      </c>
      <c r="T5462" t="s">
        <v>18201</v>
      </c>
    </row>
    <row r="5463" spans="1:20" x14ac:dyDescent="0.25">
      <c r="A5463" s="1" t="str">
        <f>HYPERLINK("https://vegkart.atlas.vegvesen.no/#/@555535.2,7645688.9,18/hva:hva%5B0%5D%5Bfilter%5D%5B0%5D%5Boperator%5D=%21%3D&amp;hva%5B0%5D%5Bfilter%5D%5B0%5D%5Btype_id%5D=5897&amp;hva%5B0%5D%5Bfilter%5D%5B0%5D%5Bverdi%5D=&amp;hva%5B0%5D%5Bid%5D=47/når:2025-12-24", "Vegkart")</f>
        <v>Vegkart</v>
      </c>
      <c r="B5463">
        <v>142569689</v>
      </c>
      <c r="C5463">
        <v>47</v>
      </c>
      <c r="D5463" t="s">
        <v>16854</v>
      </c>
      <c r="E5463">
        <v>5897</v>
      </c>
      <c r="F5463" t="s">
        <v>23479</v>
      </c>
      <c r="G5463">
        <v>2</v>
      </c>
      <c r="H5463" t="s">
        <v>18135</v>
      </c>
      <c r="J5463" t="s">
        <v>18136</v>
      </c>
      <c r="K5463" t="s">
        <v>179</v>
      </c>
      <c r="L5463" t="s">
        <v>33</v>
      </c>
      <c r="M5463" t="s">
        <v>18168</v>
      </c>
      <c r="N5463" t="s">
        <v>18202</v>
      </c>
      <c r="O5463" t="s">
        <v>18203</v>
      </c>
      <c r="P5463" s="2" t="s">
        <v>26</v>
      </c>
      <c r="Q5463" t="s">
        <v>50</v>
      </c>
      <c r="R5463">
        <v>72.819999999999993</v>
      </c>
      <c r="S5463">
        <v>72.819999999999993</v>
      </c>
      <c r="T5463" t="s">
        <v>18204</v>
      </c>
    </row>
    <row r="5464" spans="1:20" x14ac:dyDescent="0.25">
      <c r="A5464" s="1" t="str">
        <f>HYPERLINK("https://vegkart.atlas.vegvesen.no/#/@555433.6,7645799.4,18/hva:hva%5B0%5D%5Bfilter%5D%5B0%5D%5Boperator%5D=%21%3D&amp;hva%5B0%5D%5Bfilter%5D%5B0%5D%5Btype_id%5D=5897&amp;hva%5B0%5D%5Bfilter%5D%5B0%5D%5Bverdi%5D=&amp;hva%5B0%5D%5Bid%5D=47/når:2025-12-24", "Vegkart")</f>
        <v>Vegkart</v>
      </c>
      <c r="B5464">
        <v>142569691</v>
      </c>
      <c r="C5464">
        <v>47</v>
      </c>
      <c r="D5464" t="s">
        <v>16854</v>
      </c>
      <c r="E5464">
        <v>5897</v>
      </c>
      <c r="F5464" t="s">
        <v>23479</v>
      </c>
      <c r="G5464">
        <v>2</v>
      </c>
      <c r="H5464" t="s">
        <v>18135</v>
      </c>
      <c r="J5464" t="s">
        <v>18136</v>
      </c>
      <c r="K5464" t="s">
        <v>179</v>
      </c>
      <c r="L5464" t="s">
        <v>33</v>
      </c>
      <c r="M5464" t="s">
        <v>18168</v>
      </c>
      <c r="N5464" t="s">
        <v>18205</v>
      </c>
      <c r="O5464" t="s">
        <v>18206</v>
      </c>
      <c r="P5464" s="2" t="s">
        <v>26</v>
      </c>
      <c r="Q5464" t="s">
        <v>50</v>
      </c>
      <c r="R5464">
        <v>51.87</v>
      </c>
      <c r="S5464">
        <v>51.87</v>
      </c>
      <c r="T5464" t="s">
        <v>18207</v>
      </c>
    </row>
    <row r="5465" spans="1:20" x14ac:dyDescent="0.25">
      <c r="A5465" s="1" t="str">
        <f>HYPERLINK("https://vegkart.atlas.vegvesen.no/#/@555441.3,7645791.0,18/hva:hva%5B0%5D%5Bfilter%5D%5B0%5D%5Boperator%5D=%21%3D&amp;hva%5B0%5D%5Bfilter%5D%5B0%5D%5Btype_id%5D=5897&amp;hva%5B0%5D%5Bfilter%5D%5B0%5D%5Bverdi%5D=&amp;hva%5B0%5D%5Bid%5D=47/når:2025-12-24", "Vegkart")</f>
        <v>Vegkart</v>
      </c>
      <c r="B5465">
        <v>142569693</v>
      </c>
      <c r="C5465">
        <v>47</v>
      </c>
      <c r="D5465" t="s">
        <v>16854</v>
      </c>
      <c r="E5465">
        <v>5897</v>
      </c>
      <c r="F5465" t="s">
        <v>23479</v>
      </c>
      <c r="G5465">
        <v>2</v>
      </c>
      <c r="H5465" t="s">
        <v>18135</v>
      </c>
      <c r="J5465" t="s">
        <v>18136</v>
      </c>
      <c r="K5465" t="s">
        <v>179</v>
      </c>
      <c r="L5465" t="s">
        <v>33</v>
      </c>
      <c r="M5465" t="s">
        <v>18168</v>
      </c>
      <c r="N5465" t="s">
        <v>18208</v>
      </c>
      <c r="O5465" t="s">
        <v>18209</v>
      </c>
      <c r="P5465" s="2" t="s">
        <v>26</v>
      </c>
      <c r="Q5465" t="s">
        <v>50</v>
      </c>
      <c r="R5465">
        <v>28.93</v>
      </c>
      <c r="S5465">
        <v>28.93</v>
      </c>
      <c r="T5465" t="s">
        <v>18210</v>
      </c>
    </row>
    <row r="5466" spans="1:20" x14ac:dyDescent="0.25">
      <c r="A5466" s="1" t="str">
        <f>HYPERLINK("https://vegkart.atlas.vegvesen.no/#/@555337.7,7645903.7,18/hva:hva%5B0%5D%5Bfilter%5D%5B0%5D%5Boperator%5D=%21%3D&amp;hva%5B0%5D%5Bfilter%5D%5B0%5D%5Btype_id%5D=5897&amp;hva%5B0%5D%5Bfilter%5D%5B0%5D%5Bverdi%5D=&amp;hva%5B0%5D%5Bid%5D=47/når:2025-12-24", "Vegkart")</f>
        <v>Vegkart</v>
      </c>
      <c r="B5466">
        <v>142569695</v>
      </c>
      <c r="C5466">
        <v>47</v>
      </c>
      <c r="D5466" t="s">
        <v>16854</v>
      </c>
      <c r="E5466">
        <v>5897</v>
      </c>
      <c r="F5466" t="s">
        <v>23479</v>
      </c>
      <c r="G5466">
        <v>2</v>
      </c>
      <c r="H5466" t="s">
        <v>18135</v>
      </c>
      <c r="J5466" t="s">
        <v>18136</v>
      </c>
      <c r="K5466" t="s">
        <v>179</v>
      </c>
      <c r="L5466" t="s">
        <v>33</v>
      </c>
      <c r="M5466" t="s">
        <v>18168</v>
      </c>
      <c r="N5466" t="s">
        <v>18211</v>
      </c>
      <c r="O5466" t="s">
        <v>18212</v>
      </c>
      <c r="P5466" s="2" t="s">
        <v>26</v>
      </c>
      <c r="Q5466" t="s">
        <v>50</v>
      </c>
      <c r="R5466">
        <v>71.819999999999993</v>
      </c>
      <c r="S5466">
        <v>71.819999999999993</v>
      </c>
      <c r="T5466" t="s">
        <v>18213</v>
      </c>
    </row>
    <row r="5467" spans="1:20" x14ac:dyDescent="0.25">
      <c r="A5467" s="1" t="str">
        <f>HYPERLINK("https://vegkart.atlas.vegvesen.no/#/@555233.4,7646017.1,18/hva:hva%5B0%5D%5Bfilter%5D%5B0%5D%5Boperator%5D=%21%3D&amp;hva%5B0%5D%5Bfilter%5D%5B0%5D%5Btype_id%5D=5897&amp;hva%5B0%5D%5Bfilter%5D%5B0%5D%5Bverdi%5D=&amp;hva%5B0%5D%5Bid%5D=47/når:2025-12-24", "Vegkart")</f>
        <v>Vegkart</v>
      </c>
      <c r="B5467">
        <v>142569697</v>
      </c>
      <c r="C5467">
        <v>47</v>
      </c>
      <c r="D5467" t="s">
        <v>16854</v>
      </c>
      <c r="E5467">
        <v>5897</v>
      </c>
      <c r="F5467" t="s">
        <v>23479</v>
      </c>
      <c r="G5467">
        <v>2</v>
      </c>
      <c r="H5467" t="s">
        <v>18135</v>
      </c>
      <c r="J5467" t="s">
        <v>18136</v>
      </c>
      <c r="K5467" t="s">
        <v>179</v>
      </c>
      <c r="L5467" t="s">
        <v>33</v>
      </c>
      <c r="M5467" t="s">
        <v>18168</v>
      </c>
      <c r="N5467" t="s">
        <v>18214</v>
      </c>
      <c r="O5467" t="s">
        <v>18215</v>
      </c>
      <c r="P5467" s="2" t="s">
        <v>26</v>
      </c>
      <c r="Q5467" t="s">
        <v>50</v>
      </c>
      <c r="R5467">
        <v>46.88</v>
      </c>
      <c r="S5467">
        <v>46.88</v>
      </c>
      <c r="T5467" t="s">
        <v>18216</v>
      </c>
    </row>
    <row r="5468" spans="1:20" x14ac:dyDescent="0.25">
      <c r="A5468" s="1" t="str">
        <f>HYPERLINK("https://vegkart.atlas.vegvesen.no/#/@555133.8,7646125.5,18/hva:hva%5B0%5D%5Bfilter%5D%5B0%5D%5Boperator%5D=%21%3D&amp;hva%5B0%5D%5Bfilter%5D%5B0%5D%5Btype_id%5D=5897&amp;hva%5B0%5D%5Bfilter%5D%5B0%5D%5Bverdi%5D=&amp;hva%5B0%5D%5Bid%5D=47/når:2025-12-24", "Vegkart")</f>
        <v>Vegkart</v>
      </c>
      <c r="B5468">
        <v>142569699</v>
      </c>
      <c r="C5468">
        <v>47</v>
      </c>
      <c r="D5468" t="s">
        <v>16854</v>
      </c>
      <c r="E5468">
        <v>5897</v>
      </c>
      <c r="F5468" t="s">
        <v>23479</v>
      </c>
      <c r="G5468">
        <v>2</v>
      </c>
      <c r="H5468" t="s">
        <v>18135</v>
      </c>
      <c r="J5468" t="s">
        <v>18136</v>
      </c>
      <c r="K5468" t="s">
        <v>179</v>
      </c>
      <c r="L5468" t="s">
        <v>33</v>
      </c>
      <c r="M5468" t="s">
        <v>18168</v>
      </c>
      <c r="N5468" t="s">
        <v>18217</v>
      </c>
      <c r="O5468" t="s">
        <v>18218</v>
      </c>
      <c r="P5468" s="2" t="s">
        <v>26</v>
      </c>
      <c r="Q5468" t="s">
        <v>50</v>
      </c>
      <c r="R5468">
        <v>61.85</v>
      </c>
      <c r="S5468">
        <v>61.85</v>
      </c>
      <c r="T5468" t="s">
        <v>18219</v>
      </c>
    </row>
    <row r="5469" spans="1:20" x14ac:dyDescent="0.25">
      <c r="A5469" s="1" t="str">
        <f>HYPERLINK("https://vegkart.atlas.vegvesen.no/#/@555032.2,7646236.0,18/hva:hva%5B0%5D%5Bfilter%5D%5B0%5D%5Boperator%5D=%21%3D&amp;hva%5B0%5D%5Bfilter%5D%5B0%5D%5Btype_id%5D=5897&amp;hva%5B0%5D%5Bfilter%5D%5B0%5D%5Bverdi%5D=&amp;hva%5B0%5D%5Bid%5D=47/når:2025-12-24", "Vegkart")</f>
        <v>Vegkart</v>
      </c>
      <c r="B5469">
        <v>142569701</v>
      </c>
      <c r="C5469">
        <v>47</v>
      </c>
      <c r="D5469" t="s">
        <v>16854</v>
      </c>
      <c r="E5469">
        <v>5897</v>
      </c>
      <c r="F5469" t="s">
        <v>23479</v>
      </c>
      <c r="G5469">
        <v>2</v>
      </c>
      <c r="H5469" t="s">
        <v>18135</v>
      </c>
      <c r="J5469" t="s">
        <v>18136</v>
      </c>
      <c r="K5469" t="s">
        <v>179</v>
      </c>
      <c r="L5469" t="s">
        <v>33</v>
      </c>
      <c r="M5469" t="s">
        <v>18168</v>
      </c>
      <c r="N5469" t="s">
        <v>18220</v>
      </c>
      <c r="O5469" t="s">
        <v>18221</v>
      </c>
      <c r="P5469" s="2" t="s">
        <v>26</v>
      </c>
      <c r="Q5469" t="s">
        <v>50</v>
      </c>
      <c r="R5469">
        <v>36.909999999999997</v>
      </c>
      <c r="S5469">
        <v>36.909999999999997</v>
      </c>
      <c r="T5469" t="s">
        <v>18222</v>
      </c>
    </row>
    <row r="5470" spans="1:20" x14ac:dyDescent="0.25">
      <c r="A5470" s="1" t="str">
        <f>HYPERLINK("https://vegkart.atlas.vegvesen.no/#/@554925.2,7646352.4,18/hva:hva%5B0%5D%5Bfilter%5D%5B0%5D%5Boperator%5D=%21%3D&amp;hva%5B0%5D%5Bfilter%5D%5B0%5D%5Btype_id%5D=5897&amp;hva%5B0%5D%5Bfilter%5D%5B0%5D%5Bverdi%5D=&amp;hva%5B0%5D%5Bid%5D=47/når:2025-12-24", "Vegkart")</f>
        <v>Vegkart</v>
      </c>
      <c r="B5470">
        <v>142569703</v>
      </c>
      <c r="C5470">
        <v>47</v>
      </c>
      <c r="D5470" t="s">
        <v>16854</v>
      </c>
      <c r="E5470">
        <v>5897</v>
      </c>
      <c r="F5470" t="s">
        <v>23479</v>
      </c>
      <c r="G5470">
        <v>2</v>
      </c>
      <c r="H5470" t="s">
        <v>18135</v>
      </c>
      <c r="J5470" t="s">
        <v>18136</v>
      </c>
      <c r="K5470" t="s">
        <v>179</v>
      </c>
      <c r="L5470" t="s">
        <v>33</v>
      </c>
      <c r="M5470" t="s">
        <v>18168</v>
      </c>
      <c r="N5470" t="s">
        <v>18223</v>
      </c>
      <c r="O5470" t="s">
        <v>18224</v>
      </c>
      <c r="P5470" s="2" t="s">
        <v>26</v>
      </c>
      <c r="Q5470" t="s">
        <v>50</v>
      </c>
      <c r="R5470">
        <v>71.819999999999993</v>
      </c>
      <c r="S5470">
        <v>71.819999999999993</v>
      </c>
      <c r="T5470" t="s">
        <v>18225</v>
      </c>
    </row>
    <row r="5471" spans="1:20" x14ac:dyDescent="0.25">
      <c r="A5471" s="1" t="str">
        <f>HYPERLINK("https://vegkart.atlas.vegvesen.no/#/@554820.9,7646465.8,18/hva:hva%5B0%5D%5Bfilter%5D%5B0%5D%5Boperator%5D=%21%3D&amp;hva%5B0%5D%5Bfilter%5D%5B0%5D%5Btype_id%5D=5897&amp;hva%5B0%5D%5Bfilter%5D%5B0%5D%5Bverdi%5D=&amp;hva%5B0%5D%5Bid%5D=47/når:2025-12-24", "Vegkart")</f>
        <v>Vegkart</v>
      </c>
      <c r="B5471">
        <v>142569705</v>
      </c>
      <c r="C5471">
        <v>47</v>
      </c>
      <c r="D5471" t="s">
        <v>16854</v>
      </c>
      <c r="E5471">
        <v>5897</v>
      </c>
      <c r="F5471" t="s">
        <v>23479</v>
      </c>
      <c r="G5471">
        <v>2</v>
      </c>
      <c r="H5471" t="s">
        <v>18135</v>
      </c>
      <c r="J5471" t="s">
        <v>18136</v>
      </c>
      <c r="K5471" t="s">
        <v>179</v>
      </c>
      <c r="L5471" t="s">
        <v>33</v>
      </c>
      <c r="M5471" t="s">
        <v>18168</v>
      </c>
      <c r="N5471" t="s">
        <v>18226</v>
      </c>
      <c r="O5471" t="s">
        <v>18227</v>
      </c>
      <c r="P5471" s="2" t="s">
        <v>26</v>
      </c>
      <c r="Q5471" t="s">
        <v>50</v>
      </c>
      <c r="R5471">
        <v>40.9</v>
      </c>
      <c r="S5471">
        <v>40.9</v>
      </c>
      <c r="T5471" t="s">
        <v>18228</v>
      </c>
    </row>
    <row r="5472" spans="1:20" x14ac:dyDescent="0.25">
      <c r="A5472" s="1" t="str">
        <f>HYPERLINK("https://vegkart.atlas.vegvesen.no/#/@215013.0,6550379.0,18/hva:hva%5B0%5D%5Bfilter%5D%5B0%5D%5Boperator%5D=%21%3D&amp;hva%5B0%5D%5Bfilter%5D%5B0%5D%5Btype_id%5D=5897&amp;hva%5B0%5D%5Bfilter%5D%5B0%5D%5Bverdi%5D=&amp;hva%5B0%5D%5Bid%5D=47/når:2015-01-01", "Vegkart")</f>
        <v>Vegkart</v>
      </c>
      <c r="B5472">
        <v>157085794</v>
      </c>
      <c r="C5472">
        <v>47</v>
      </c>
      <c r="D5472" t="s">
        <v>16854</v>
      </c>
      <c r="E5472">
        <v>5897</v>
      </c>
      <c r="F5472" t="s">
        <v>23479</v>
      </c>
      <c r="G5472">
        <v>3</v>
      </c>
      <c r="H5472" t="s">
        <v>18229</v>
      </c>
      <c r="J5472" t="s">
        <v>18230</v>
      </c>
      <c r="K5472" t="s">
        <v>81</v>
      </c>
      <c r="L5472" t="s">
        <v>33</v>
      </c>
      <c r="M5472" t="s">
        <v>1958</v>
      </c>
      <c r="N5472" t="s">
        <v>18231</v>
      </c>
      <c r="O5472" t="s">
        <v>18232</v>
      </c>
      <c r="P5472" s="2" t="s">
        <v>26</v>
      </c>
      <c r="Q5472" t="s">
        <v>50</v>
      </c>
      <c r="R5472">
        <v>50.29</v>
      </c>
      <c r="S5472">
        <v>51.12</v>
      </c>
      <c r="T5472" t="s">
        <v>18233</v>
      </c>
    </row>
    <row r="5473" spans="1:20" x14ac:dyDescent="0.25">
      <c r="A5473" s="1" t="str">
        <f>HYPERLINK("https://vegkart.atlas.vegvesen.no/#/@195474.1,6554442.6,18/hva:hva%5B0%5D%5Bfilter%5D%5B0%5D%5Boperator%5D=%21%3D&amp;hva%5B0%5D%5Bfilter%5D%5B0%5D%5Btype_id%5D=5897&amp;hva%5B0%5D%5Bfilter%5D%5B0%5D%5Bverdi%5D=&amp;hva%5B0%5D%5Bid%5D=47/når:2022-12-06", "Vegkart")</f>
        <v>Vegkart</v>
      </c>
      <c r="B5473">
        <v>159831485</v>
      </c>
      <c r="C5473">
        <v>47</v>
      </c>
      <c r="D5473" t="s">
        <v>16854</v>
      </c>
      <c r="E5473">
        <v>5897</v>
      </c>
      <c r="F5473" t="s">
        <v>23479</v>
      </c>
      <c r="G5473">
        <v>3</v>
      </c>
      <c r="H5473" t="s">
        <v>17967</v>
      </c>
      <c r="J5473" t="s">
        <v>18234</v>
      </c>
      <c r="K5473" t="s">
        <v>197</v>
      </c>
      <c r="L5473" t="s">
        <v>33</v>
      </c>
      <c r="M5473" t="s">
        <v>18235</v>
      </c>
      <c r="N5473" t="s">
        <v>18236</v>
      </c>
      <c r="O5473" t="s">
        <v>18237</v>
      </c>
      <c r="P5473" s="2" t="s">
        <v>37</v>
      </c>
      <c r="Q5473" t="s">
        <v>1208</v>
      </c>
      <c r="R5473">
        <v>0</v>
      </c>
      <c r="S5473">
        <v>58.77</v>
      </c>
      <c r="T5473" t="s">
        <v>18238</v>
      </c>
    </row>
    <row r="5474" spans="1:20" x14ac:dyDescent="0.25">
      <c r="A5474" s="1" t="str">
        <f>HYPERLINK("https://vegkart.atlas.vegvesen.no/#/@211736.1,6850563.5,18/hva:hva%5B0%5D%5Bfilter%5D%5B0%5D%5Boperator%5D=%21%3D&amp;hva%5B0%5D%5Bfilter%5D%5B0%5D%5Btype_id%5D=5897&amp;hva%5B0%5D%5Bfilter%5D%5B0%5D%5Bverdi%5D=&amp;hva%5B0%5D%5Bid%5D=47/når:2018-06-15", "Vegkart")</f>
        <v>Vegkart</v>
      </c>
      <c r="B5474">
        <v>179159010</v>
      </c>
      <c r="C5474">
        <v>47</v>
      </c>
      <c r="D5474" t="s">
        <v>16854</v>
      </c>
      <c r="E5474">
        <v>5897</v>
      </c>
      <c r="F5474" t="s">
        <v>23479</v>
      </c>
      <c r="G5474">
        <v>2</v>
      </c>
      <c r="H5474" t="s">
        <v>18239</v>
      </c>
      <c r="J5474" t="s">
        <v>18240</v>
      </c>
      <c r="K5474" t="s">
        <v>136</v>
      </c>
      <c r="L5474" t="s">
        <v>33</v>
      </c>
      <c r="M5474" t="s">
        <v>18241</v>
      </c>
      <c r="N5474" t="s">
        <v>18242</v>
      </c>
      <c r="O5474" t="s">
        <v>18243</v>
      </c>
      <c r="P5474" s="2" t="s">
        <v>26</v>
      </c>
      <c r="Q5474" t="s">
        <v>50</v>
      </c>
      <c r="R5474">
        <v>52.4</v>
      </c>
      <c r="S5474">
        <v>68.38</v>
      </c>
      <c r="T5474" t="s">
        <v>18244</v>
      </c>
    </row>
    <row r="5475" spans="1:20" x14ac:dyDescent="0.25">
      <c r="A5475" s="1" t="str">
        <f>HYPERLINK("https://vegkart.atlas.vegvesen.no/#/@195872.5,6864926.6,18/hva:hva%5B0%5D%5Bfilter%5D%5B0%5D%5Boperator%5D=%21%3D&amp;hva%5B0%5D%5Bfilter%5D%5B0%5D%5Btype_id%5D=5897&amp;hva%5B0%5D%5Bfilter%5D%5B0%5D%5Bverdi%5D=&amp;hva%5B0%5D%5Bid%5D=47/når:2008-08-12", "Vegkart")</f>
        <v>Vegkart</v>
      </c>
      <c r="B5475">
        <v>179159329</v>
      </c>
      <c r="C5475">
        <v>47</v>
      </c>
      <c r="D5475" t="s">
        <v>16854</v>
      </c>
      <c r="E5475">
        <v>5897</v>
      </c>
      <c r="F5475" t="s">
        <v>23479</v>
      </c>
      <c r="G5475">
        <v>1</v>
      </c>
      <c r="H5475" t="s">
        <v>18245</v>
      </c>
      <c r="J5475" t="s">
        <v>18240</v>
      </c>
      <c r="K5475" t="s">
        <v>136</v>
      </c>
      <c r="L5475" t="s">
        <v>33</v>
      </c>
      <c r="M5475" t="s">
        <v>18246</v>
      </c>
      <c r="N5475" t="s">
        <v>18247</v>
      </c>
      <c r="O5475" t="s">
        <v>18248</v>
      </c>
      <c r="P5475" s="2" t="s">
        <v>26</v>
      </c>
      <c r="Q5475" t="s">
        <v>50</v>
      </c>
      <c r="R5475">
        <v>35.43</v>
      </c>
      <c r="S5475">
        <v>36.64</v>
      </c>
      <c r="T5475" t="s">
        <v>18249</v>
      </c>
    </row>
    <row r="5476" spans="1:20" x14ac:dyDescent="0.25">
      <c r="A5476" s="1" t="str">
        <f>HYPERLINK("https://vegkart.atlas.vegvesen.no/#/@92591.0,6464733.3,18/hva:hva%5B0%5D%5Bfilter%5D%5B0%5D%5Boperator%5D=%21%3D&amp;hva%5B0%5D%5Bfilter%5D%5B0%5D%5Btype_id%5D=5897&amp;hva%5B0%5D%5Bfilter%5D%5B0%5D%5Bverdi%5D=&amp;hva%5B0%5D%5Bid%5D=47/når:2013-10-07", "Vegkart")</f>
        <v>Vegkart</v>
      </c>
      <c r="B5476">
        <v>196776107</v>
      </c>
      <c r="C5476">
        <v>47</v>
      </c>
      <c r="D5476" t="s">
        <v>16854</v>
      </c>
      <c r="E5476">
        <v>5897</v>
      </c>
      <c r="F5476" t="s">
        <v>23479</v>
      </c>
      <c r="G5476">
        <v>3</v>
      </c>
      <c r="H5476" t="s">
        <v>17460</v>
      </c>
      <c r="J5476" t="s">
        <v>18250</v>
      </c>
      <c r="K5476" t="s">
        <v>86</v>
      </c>
      <c r="L5476" t="s">
        <v>33</v>
      </c>
      <c r="M5476" t="s">
        <v>11374</v>
      </c>
      <c r="N5476" t="s">
        <v>18251</v>
      </c>
      <c r="O5476" t="s">
        <v>18252</v>
      </c>
      <c r="P5476" s="2" t="s">
        <v>26</v>
      </c>
      <c r="Q5476" t="s">
        <v>50</v>
      </c>
      <c r="R5476">
        <v>65.53</v>
      </c>
      <c r="S5476">
        <v>66.48</v>
      </c>
      <c r="T5476" t="s">
        <v>18253</v>
      </c>
    </row>
    <row r="5477" spans="1:20" x14ac:dyDescent="0.25">
      <c r="A5477" s="1" t="str">
        <f>HYPERLINK("https://vegkart.atlas.vegvesen.no/#/@991513.2,7856988.1,18/hva:hva%5B0%5D%5Bfilter%5D%5B0%5D%5Boperator%5D=%21%3D&amp;hva%5B0%5D%5Bfilter%5D%5B0%5D%5Btype_id%5D=5897&amp;hva%5B0%5D%5Bfilter%5D%5B0%5D%5Bverdi%5D=&amp;hva%5B0%5D%5Bid%5D=47/når:2017-09-26", "Vegkart")</f>
        <v>Vegkart</v>
      </c>
      <c r="B5477">
        <v>210288257</v>
      </c>
      <c r="C5477">
        <v>47</v>
      </c>
      <c r="D5477" t="s">
        <v>16854</v>
      </c>
      <c r="E5477">
        <v>5897</v>
      </c>
      <c r="F5477" t="s">
        <v>23479</v>
      </c>
      <c r="G5477">
        <v>4</v>
      </c>
      <c r="H5477" t="s">
        <v>17870</v>
      </c>
      <c r="J5477" t="s">
        <v>18254</v>
      </c>
      <c r="K5477" t="s">
        <v>450</v>
      </c>
      <c r="L5477" t="s">
        <v>33</v>
      </c>
      <c r="M5477" t="s">
        <v>1278</v>
      </c>
      <c r="N5477" t="s">
        <v>18255</v>
      </c>
      <c r="O5477" t="s">
        <v>18256</v>
      </c>
      <c r="P5477" s="2" t="s">
        <v>165</v>
      </c>
      <c r="Q5477" t="s">
        <v>641</v>
      </c>
      <c r="R5477">
        <v>2.42</v>
      </c>
      <c r="S5477">
        <v>87.03</v>
      </c>
      <c r="T5477" t="s">
        <v>167</v>
      </c>
    </row>
    <row r="5478" spans="1:20" x14ac:dyDescent="0.25">
      <c r="A5478" s="1" t="str">
        <f>HYPERLINK("https://vegkart.atlas.vegvesen.no/#/@993300.1,7845385.9,18/hva:hva%5B0%5D%5Bfilter%5D%5B0%5D%5Boperator%5D=%21%3D&amp;hva%5B0%5D%5Bfilter%5D%5B0%5D%5Btype_id%5D=5897&amp;hva%5B0%5D%5Bfilter%5D%5B0%5D%5Bverdi%5D=&amp;hva%5B0%5D%5Bid%5D=47/når:2017-09-26", "Vegkart")</f>
        <v>Vegkart</v>
      </c>
      <c r="B5478">
        <v>210288258</v>
      </c>
      <c r="C5478">
        <v>47</v>
      </c>
      <c r="D5478" t="s">
        <v>16854</v>
      </c>
      <c r="E5478">
        <v>5897</v>
      </c>
      <c r="F5478" t="s">
        <v>23479</v>
      </c>
      <c r="G5478">
        <v>4</v>
      </c>
      <c r="H5478" t="s">
        <v>17870</v>
      </c>
      <c r="J5478" t="s">
        <v>18254</v>
      </c>
      <c r="K5478" t="s">
        <v>450</v>
      </c>
      <c r="L5478" t="s">
        <v>33</v>
      </c>
      <c r="M5478" t="s">
        <v>1278</v>
      </c>
      <c r="N5478" t="s">
        <v>18257</v>
      </c>
      <c r="O5478" t="s">
        <v>18258</v>
      </c>
      <c r="P5478" s="2" t="s">
        <v>165</v>
      </c>
      <c r="Q5478" t="s">
        <v>641</v>
      </c>
      <c r="R5478">
        <v>1.31</v>
      </c>
      <c r="S5478">
        <v>85.99</v>
      </c>
      <c r="T5478" t="s">
        <v>167</v>
      </c>
    </row>
    <row r="5479" spans="1:20" x14ac:dyDescent="0.25">
      <c r="A5479" s="1" t="str">
        <f>HYPERLINK("https://vegkart.atlas.vegvesen.no/#/@994214.5,7845578.7,18/hva:hva%5B0%5D%5Bfilter%5D%5B0%5D%5Boperator%5D=%21%3D&amp;hva%5B0%5D%5Bfilter%5D%5B0%5D%5Btype_id%5D=5897&amp;hva%5B0%5D%5Bfilter%5D%5B0%5D%5Bverdi%5D=&amp;hva%5B0%5D%5Bid%5D=47/når:2017-10-26", "Vegkart")</f>
        <v>Vegkart</v>
      </c>
      <c r="B5479">
        <v>210288340</v>
      </c>
      <c r="C5479">
        <v>47</v>
      </c>
      <c r="D5479" t="s">
        <v>16854</v>
      </c>
      <c r="E5479">
        <v>5897</v>
      </c>
      <c r="F5479" t="s">
        <v>23479</v>
      </c>
      <c r="G5479">
        <v>4</v>
      </c>
      <c r="H5479" t="s">
        <v>6055</v>
      </c>
      <c r="J5479" t="s">
        <v>18254</v>
      </c>
      <c r="K5479" t="s">
        <v>450</v>
      </c>
      <c r="L5479" t="s">
        <v>33</v>
      </c>
      <c r="M5479" t="s">
        <v>1290</v>
      </c>
      <c r="N5479" t="s">
        <v>18259</v>
      </c>
      <c r="O5479" t="s">
        <v>18260</v>
      </c>
      <c r="P5479" s="2" t="s">
        <v>37</v>
      </c>
      <c r="Q5479" t="s">
        <v>1208</v>
      </c>
      <c r="R5479">
        <v>3.34</v>
      </c>
      <c r="S5479">
        <v>101.71</v>
      </c>
      <c r="T5479" t="s">
        <v>18261</v>
      </c>
    </row>
    <row r="5480" spans="1:20" x14ac:dyDescent="0.25">
      <c r="A5480" s="1" t="str">
        <f>HYPERLINK("https://vegkart.atlas.vegvesen.no/#/@1001023.4,7869772.5,18/hva:hva%5B0%5D%5Bfilter%5D%5B0%5D%5Boperator%5D=%21%3D&amp;hva%5B0%5D%5Bfilter%5D%5B0%5D%5Btype_id%5D=5897&amp;hva%5B0%5D%5Bfilter%5D%5B0%5D%5Bverdi%5D=&amp;hva%5B0%5D%5Bid%5D=47/når:2017-10-26", "Vegkart")</f>
        <v>Vegkart</v>
      </c>
      <c r="B5480">
        <v>210288344</v>
      </c>
      <c r="C5480">
        <v>47</v>
      </c>
      <c r="D5480" t="s">
        <v>16854</v>
      </c>
      <c r="E5480">
        <v>5897</v>
      </c>
      <c r="F5480" t="s">
        <v>23479</v>
      </c>
      <c r="G5480">
        <v>4</v>
      </c>
      <c r="H5480" t="s">
        <v>6055</v>
      </c>
      <c r="J5480" t="s">
        <v>18254</v>
      </c>
      <c r="K5480" t="s">
        <v>450</v>
      </c>
      <c r="L5480" t="s">
        <v>33</v>
      </c>
      <c r="M5480" t="s">
        <v>1290</v>
      </c>
      <c r="N5480" t="s">
        <v>18262</v>
      </c>
      <c r="O5480" t="s">
        <v>18263</v>
      </c>
      <c r="P5480" s="2" t="s">
        <v>37</v>
      </c>
      <c r="Q5480" t="s">
        <v>1208</v>
      </c>
      <c r="R5480">
        <v>2.81</v>
      </c>
      <c r="S5480">
        <v>98.23</v>
      </c>
      <c r="T5480" t="s">
        <v>18264</v>
      </c>
    </row>
    <row r="5481" spans="1:20" x14ac:dyDescent="0.25">
      <c r="A5481" s="1" t="str">
        <f>HYPERLINK("https://vegkart.atlas.vegvesen.no/#/@877080.5,7801067.4,18/hva:hva%5B0%5D%5Bfilter%5D%5B0%5D%5Boperator%5D=%21%3D&amp;hva%5B0%5D%5Bfilter%5D%5B0%5D%5Btype_id%5D=5897&amp;hva%5B0%5D%5Bfilter%5D%5B0%5D%5Bverdi%5D=&amp;hva%5B0%5D%5Bid%5D=47/når:2015-05-21", "Vegkart")</f>
        <v>Vegkart</v>
      </c>
      <c r="B5481">
        <v>210288401</v>
      </c>
      <c r="C5481">
        <v>47</v>
      </c>
      <c r="D5481" t="s">
        <v>16854</v>
      </c>
      <c r="E5481">
        <v>5897</v>
      </c>
      <c r="F5481" t="s">
        <v>23479</v>
      </c>
      <c r="G5481">
        <v>3</v>
      </c>
      <c r="H5481" t="s">
        <v>9601</v>
      </c>
      <c r="J5481" t="s">
        <v>18254</v>
      </c>
      <c r="K5481" t="s">
        <v>450</v>
      </c>
      <c r="L5481" t="s">
        <v>33</v>
      </c>
      <c r="M5481" t="s">
        <v>18265</v>
      </c>
      <c r="N5481" t="s">
        <v>18266</v>
      </c>
      <c r="O5481" t="s">
        <v>18267</v>
      </c>
      <c r="P5481" s="2" t="s">
        <v>26</v>
      </c>
      <c r="Q5481" t="s">
        <v>50</v>
      </c>
      <c r="R5481">
        <v>0.36</v>
      </c>
      <c r="S5481">
        <v>86.75</v>
      </c>
      <c r="T5481" t="s">
        <v>18268</v>
      </c>
    </row>
    <row r="5482" spans="1:20" x14ac:dyDescent="0.25">
      <c r="A5482" s="1" t="str">
        <f>HYPERLINK("https://vegkart.atlas.vegvesen.no/#/@875483.9,7824090.5,18/hva:hva%5B0%5D%5Bfilter%5D%5B0%5D%5Boperator%5D=%21%3D&amp;hva%5B0%5D%5Bfilter%5D%5B0%5D%5Btype_id%5D=5897&amp;hva%5B0%5D%5Bfilter%5D%5B0%5D%5Bverdi%5D=&amp;hva%5B0%5D%5Bid%5D=47/når:2015-09-29", "Vegkart")</f>
        <v>Vegkart</v>
      </c>
      <c r="B5482">
        <v>210288513</v>
      </c>
      <c r="C5482">
        <v>47</v>
      </c>
      <c r="D5482" t="s">
        <v>16854</v>
      </c>
      <c r="E5482">
        <v>5897</v>
      </c>
      <c r="F5482" t="s">
        <v>23479</v>
      </c>
      <c r="G5482">
        <v>4</v>
      </c>
      <c r="H5482" t="s">
        <v>6534</v>
      </c>
      <c r="J5482" t="s">
        <v>18254</v>
      </c>
      <c r="K5482" t="s">
        <v>450</v>
      </c>
      <c r="L5482" t="s">
        <v>80</v>
      </c>
      <c r="M5482" t="s">
        <v>105</v>
      </c>
      <c r="N5482" t="s">
        <v>18269</v>
      </c>
      <c r="O5482" t="s">
        <v>18270</v>
      </c>
      <c r="P5482" s="2" t="s">
        <v>37</v>
      </c>
      <c r="Q5482" t="s">
        <v>1208</v>
      </c>
      <c r="R5482">
        <v>4.83</v>
      </c>
      <c r="S5482">
        <v>124.75</v>
      </c>
      <c r="T5482" t="s">
        <v>18271</v>
      </c>
    </row>
    <row r="5483" spans="1:20" x14ac:dyDescent="0.25">
      <c r="A5483" s="1" t="str">
        <f>HYPERLINK("https://vegkart.atlas.vegvesen.no/#/@1023351.4,7842343.5,18/hva:hva%5B0%5D%5Bfilter%5D%5B0%5D%5Boperator%5D=%21%3D&amp;hva%5B0%5D%5Bfilter%5D%5B0%5D%5Btype_id%5D=5897&amp;hva%5B0%5D%5Bfilter%5D%5B0%5D%5Bverdi%5D=&amp;hva%5B0%5D%5Bid%5D=47/når:2017-09-14", "Vegkart")</f>
        <v>Vegkart</v>
      </c>
      <c r="B5483">
        <v>210288561</v>
      </c>
      <c r="C5483">
        <v>47</v>
      </c>
      <c r="D5483" t="s">
        <v>16854</v>
      </c>
      <c r="E5483">
        <v>5897</v>
      </c>
      <c r="F5483" t="s">
        <v>23479</v>
      </c>
      <c r="G5483">
        <v>5</v>
      </c>
      <c r="H5483" t="s">
        <v>17933</v>
      </c>
      <c r="J5483" t="s">
        <v>18254</v>
      </c>
      <c r="K5483" t="s">
        <v>450</v>
      </c>
      <c r="L5483" t="s">
        <v>80</v>
      </c>
      <c r="M5483" t="s">
        <v>17889</v>
      </c>
      <c r="N5483" t="s">
        <v>18272</v>
      </c>
      <c r="O5483" t="s">
        <v>18273</v>
      </c>
      <c r="P5483" s="2" t="s">
        <v>165</v>
      </c>
      <c r="Q5483" t="s">
        <v>641</v>
      </c>
      <c r="R5483">
        <v>1.82</v>
      </c>
      <c r="S5483">
        <v>68.959999999999994</v>
      </c>
      <c r="T5483" t="s">
        <v>167</v>
      </c>
    </row>
    <row r="5484" spans="1:20" x14ac:dyDescent="0.25">
      <c r="A5484" s="1" t="str">
        <f>HYPERLINK("https://vegkart.atlas.vegvesen.no/#/@1060295.7,7841648.5,18/hva:hva%5B0%5D%5Bfilter%5D%5B0%5D%5Boperator%5D=%21%3D&amp;hva%5B0%5D%5Bfilter%5D%5B0%5D%5Btype_id%5D=5897&amp;hva%5B0%5D%5Bfilter%5D%5B0%5D%5Bverdi%5D=&amp;hva%5B0%5D%5Bid%5D=47/når:2017-09-14", "Vegkart")</f>
        <v>Vegkart</v>
      </c>
      <c r="B5484">
        <v>210288565</v>
      </c>
      <c r="C5484">
        <v>47</v>
      </c>
      <c r="D5484" t="s">
        <v>16854</v>
      </c>
      <c r="E5484">
        <v>5897</v>
      </c>
      <c r="F5484" t="s">
        <v>23479</v>
      </c>
      <c r="G5484">
        <v>4</v>
      </c>
      <c r="H5484" t="s">
        <v>17933</v>
      </c>
      <c r="J5484" t="s">
        <v>18254</v>
      </c>
      <c r="K5484" t="s">
        <v>450</v>
      </c>
      <c r="L5484" t="s">
        <v>80</v>
      </c>
      <c r="M5484" t="s">
        <v>17889</v>
      </c>
      <c r="N5484" t="s">
        <v>18274</v>
      </c>
      <c r="O5484" t="s">
        <v>18275</v>
      </c>
      <c r="P5484" s="2" t="s">
        <v>37</v>
      </c>
      <c r="Q5484" t="s">
        <v>1208</v>
      </c>
      <c r="R5484">
        <v>3.14</v>
      </c>
      <c r="S5484">
        <v>113.52</v>
      </c>
      <c r="T5484" t="s">
        <v>18276</v>
      </c>
    </row>
    <row r="5485" spans="1:20" x14ac:dyDescent="0.25">
      <c r="A5485" s="1" t="str">
        <f>HYPERLINK("https://vegkart.atlas.vegvesen.no/#/@-18133.7,6735932.2,18/hva:hva%5B0%5D%5Bfilter%5D%5B0%5D%5Boperator%5D=%21%3D&amp;hva%5B0%5D%5Bfilter%5D%5B0%5D%5Btype_id%5D=5897&amp;hva%5B0%5D%5Bfilter%5D%5B0%5D%5Bverdi%5D=&amp;hva%5B0%5D%5Bid%5D=47/når:2014-09-10", "Vegkart")</f>
        <v>Vegkart</v>
      </c>
      <c r="B5485">
        <v>220309383</v>
      </c>
      <c r="C5485">
        <v>47</v>
      </c>
      <c r="D5485" t="s">
        <v>16854</v>
      </c>
      <c r="E5485">
        <v>5897</v>
      </c>
      <c r="F5485" t="s">
        <v>23479</v>
      </c>
      <c r="G5485">
        <v>2</v>
      </c>
      <c r="H5485" t="s">
        <v>13707</v>
      </c>
      <c r="J5485" t="s">
        <v>18277</v>
      </c>
      <c r="K5485" t="s">
        <v>21</v>
      </c>
      <c r="L5485" t="s">
        <v>80</v>
      </c>
      <c r="M5485" t="s">
        <v>152</v>
      </c>
      <c r="N5485" t="s">
        <v>18278</v>
      </c>
      <c r="O5485" t="s">
        <v>18279</v>
      </c>
      <c r="P5485" s="2" t="s">
        <v>26</v>
      </c>
      <c r="Q5485" t="s">
        <v>50</v>
      </c>
      <c r="R5485">
        <v>95.33</v>
      </c>
      <c r="S5485">
        <v>95.33</v>
      </c>
      <c r="T5485" t="s">
        <v>18280</v>
      </c>
    </row>
    <row r="5486" spans="1:20" x14ac:dyDescent="0.25">
      <c r="A5486" s="1" t="str">
        <f>HYPERLINK("https://vegkart.atlas.vegvesen.no/#/@256019.6,6693373.1,18/hva:hva%5B0%5D%5Bfilter%5D%5B0%5D%5Boperator%5D=%21%3D&amp;hva%5B0%5D%5Bfilter%5D%5B0%5D%5Btype_id%5D=5897&amp;hva%5B0%5D%5Bfilter%5D%5B0%5D%5Bverdi%5D=&amp;hva%5B0%5D%5Bid%5D=47/når:2010-05-12", "Vegkart")</f>
        <v>Vegkart</v>
      </c>
      <c r="B5486">
        <v>246245248</v>
      </c>
      <c r="C5486">
        <v>47</v>
      </c>
      <c r="D5486" t="s">
        <v>16854</v>
      </c>
      <c r="E5486">
        <v>5897</v>
      </c>
      <c r="F5486" t="s">
        <v>23479</v>
      </c>
      <c r="G5486">
        <v>1</v>
      </c>
      <c r="H5486" t="s">
        <v>17654</v>
      </c>
      <c r="J5486" t="s">
        <v>18281</v>
      </c>
      <c r="K5486" t="s">
        <v>132</v>
      </c>
      <c r="L5486" t="s">
        <v>33</v>
      </c>
      <c r="M5486" t="s">
        <v>11751</v>
      </c>
      <c r="N5486" t="s">
        <v>18282</v>
      </c>
      <c r="O5486" t="s">
        <v>18283</v>
      </c>
      <c r="P5486" s="2" t="s">
        <v>37</v>
      </c>
      <c r="Q5486" t="s">
        <v>1208</v>
      </c>
      <c r="R5486">
        <v>15.58</v>
      </c>
      <c r="S5486">
        <v>17.72</v>
      </c>
      <c r="T5486" t="s">
        <v>18284</v>
      </c>
    </row>
    <row r="5487" spans="1:20" x14ac:dyDescent="0.25">
      <c r="A5487" s="1" t="str">
        <f>HYPERLINK("https://vegkart.atlas.vegvesen.no/#/@256023.2,6693351.3,18/hva:hva%5B0%5D%5Bfilter%5D%5B0%5D%5Boperator%5D=%21%3D&amp;hva%5B0%5D%5Bfilter%5D%5B0%5D%5Btype_id%5D=5897&amp;hva%5B0%5D%5Bfilter%5D%5B0%5D%5Bverdi%5D=&amp;hva%5B0%5D%5Bid%5D=47/når:2010-05-12", "Vegkart")</f>
        <v>Vegkart</v>
      </c>
      <c r="B5487">
        <v>246245249</v>
      </c>
      <c r="C5487">
        <v>47</v>
      </c>
      <c r="D5487" t="s">
        <v>16854</v>
      </c>
      <c r="E5487">
        <v>5897</v>
      </c>
      <c r="F5487" t="s">
        <v>23479</v>
      </c>
      <c r="G5487">
        <v>1</v>
      </c>
      <c r="H5487" t="s">
        <v>17654</v>
      </c>
      <c r="J5487" t="s">
        <v>18281</v>
      </c>
      <c r="K5487" t="s">
        <v>132</v>
      </c>
      <c r="L5487" t="s">
        <v>33</v>
      </c>
      <c r="M5487" t="s">
        <v>11751</v>
      </c>
      <c r="N5487" t="s">
        <v>18285</v>
      </c>
      <c r="O5487" t="s">
        <v>18286</v>
      </c>
      <c r="P5487" s="2" t="s">
        <v>26</v>
      </c>
      <c r="Q5487" t="s">
        <v>50</v>
      </c>
      <c r="R5487">
        <v>21.93</v>
      </c>
      <c r="S5487">
        <v>23.86</v>
      </c>
      <c r="T5487" t="s">
        <v>18287</v>
      </c>
    </row>
    <row r="5488" spans="1:20" x14ac:dyDescent="0.25">
      <c r="A5488" s="1" t="str">
        <f>HYPERLINK("https://vegkart.atlas.vegvesen.no/#/@254721.5,6692940.9,18/hva:hva%5B0%5D%5Bfilter%5D%5B0%5D%5Boperator%5D=%21%3D&amp;hva%5B0%5D%5Bfilter%5D%5B0%5D%5Btype_id%5D=5897&amp;hva%5B0%5D%5Bfilter%5D%5B0%5D%5Bverdi%5D=&amp;hva%5B0%5D%5Bid%5D=47/når:2015-07-09", "Vegkart")</f>
        <v>Vegkart</v>
      </c>
      <c r="B5488">
        <v>248898197</v>
      </c>
      <c r="C5488">
        <v>47</v>
      </c>
      <c r="D5488" t="s">
        <v>16854</v>
      </c>
      <c r="E5488">
        <v>5897</v>
      </c>
      <c r="F5488" t="s">
        <v>23479</v>
      </c>
      <c r="G5488">
        <v>2</v>
      </c>
      <c r="H5488" t="s">
        <v>18288</v>
      </c>
      <c r="J5488" t="s">
        <v>18281</v>
      </c>
      <c r="K5488" t="s">
        <v>132</v>
      </c>
      <c r="L5488" t="s">
        <v>33</v>
      </c>
      <c r="M5488" t="s">
        <v>18289</v>
      </c>
      <c r="N5488" t="s">
        <v>18290</v>
      </c>
      <c r="O5488" t="s">
        <v>18291</v>
      </c>
      <c r="P5488" s="2" t="s">
        <v>26</v>
      </c>
      <c r="Q5488" t="s">
        <v>50</v>
      </c>
      <c r="R5488">
        <v>56.02</v>
      </c>
      <c r="S5488">
        <v>110.58</v>
      </c>
      <c r="T5488" t="s">
        <v>18292</v>
      </c>
    </row>
    <row r="5489" spans="1:20" x14ac:dyDescent="0.25">
      <c r="A5489" s="1" t="str">
        <f>HYPERLINK("https://vegkart.atlas.vegvesen.no/#/@263416.1,6689302.2,18/hva:hva%5B0%5D%5Bfilter%5D%5B0%5D%5Boperator%5D=%21%3D&amp;hva%5B0%5D%5Bfilter%5D%5B0%5D%5Btype_id%5D=5897&amp;hva%5B0%5D%5Bfilter%5D%5B0%5D%5Bverdi%5D=&amp;hva%5B0%5D%5Bid%5D=47/når:2024-10-18", "Vegkart")</f>
        <v>Vegkart</v>
      </c>
      <c r="B5489">
        <v>248901902</v>
      </c>
      <c r="C5489">
        <v>47</v>
      </c>
      <c r="D5489" t="s">
        <v>16854</v>
      </c>
      <c r="E5489">
        <v>5897</v>
      </c>
      <c r="F5489" t="s">
        <v>23479</v>
      </c>
      <c r="G5489">
        <v>4</v>
      </c>
      <c r="H5489" t="s">
        <v>18293</v>
      </c>
      <c r="J5489" t="s">
        <v>18281</v>
      </c>
      <c r="K5489" t="s">
        <v>132</v>
      </c>
      <c r="L5489" t="s">
        <v>80</v>
      </c>
      <c r="M5489" t="s">
        <v>152</v>
      </c>
      <c r="N5489" t="s">
        <v>18294</v>
      </c>
      <c r="O5489" t="s">
        <v>18295</v>
      </c>
      <c r="P5489" s="2" t="s">
        <v>26</v>
      </c>
      <c r="Q5489" t="s">
        <v>50</v>
      </c>
      <c r="R5489">
        <v>30.58</v>
      </c>
      <c r="S5489">
        <v>30.58</v>
      </c>
      <c r="T5489" t="s">
        <v>18296</v>
      </c>
    </row>
    <row r="5490" spans="1:20" x14ac:dyDescent="0.25">
      <c r="A5490" s="1" t="str">
        <f>HYPERLINK("https://vegkart.atlas.vegvesen.no/#/@139609.9,6855797.5,18/hva:hva%5B0%5D%5Bfilter%5D%5B0%5D%5Boperator%5D=%21%3D&amp;hva%5B0%5D%5Bfilter%5D%5B0%5D%5Btype_id%5D=5897&amp;hva%5B0%5D%5Bfilter%5D%5B0%5D%5Bverdi%5D=&amp;hva%5B0%5D%5Bid%5D=47/når:2022-07-04", "Vegkart")</f>
        <v>Vegkart</v>
      </c>
      <c r="B5490">
        <v>249886256</v>
      </c>
      <c r="C5490">
        <v>47</v>
      </c>
      <c r="D5490" t="s">
        <v>16854</v>
      </c>
      <c r="E5490">
        <v>5897</v>
      </c>
      <c r="F5490" t="s">
        <v>23479</v>
      </c>
      <c r="G5490">
        <v>2</v>
      </c>
      <c r="H5490" t="s">
        <v>17767</v>
      </c>
      <c r="J5490" t="s">
        <v>18297</v>
      </c>
      <c r="K5490" t="s">
        <v>136</v>
      </c>
      <c r="L5490" t="s">
        <v>33</v>
      </c>
      <c r="M5490" t="s">
        <v>179</v>
      </c>
      <c r="N5490" t="s">
        <v>18298</v>
      </c>
      <c r="O5490" t="s">
        <v>18299</v>
      </c>
      <c r="P5490" s="2" t="s">
        <v>26</v>
      </c>
      <c r="Q5490" t="s">
        <v>50</v>
      </c>
      <c r="R5490">
        <v>43.11</v>
      </c>
      <c r="S5490">
        <v>48.9</v>
      </c>
      <c r="T5490" t="s">
        <v>18300</v>
      </c>
    </row>
    <row r="5491" spans="1:20" x14ac:dyDescent="0.25">
      <c r="A5491" s="1" t="str">
        <f>HYPERLINK("https://vegkart.atlas.vegvesen.no/#/@646926.9,7752819.4,18/hva:hva%5B0%5D%5Bfilter%5D%5B0%5D%5Boperator%5D=%21%3D&amp;hva%5B0%5D%5Bfilter%5D%5B0%5D%5Btype_id%5D=5897&amp;hva%5B0%5D%5Bfilter%5D%5B0%5D%5Bverdi%5D=&amp;hva%5B0%5D%5Bid%5D=47/når:2025-10-27", "Vegkart")</f>
        <v>Vegkart</v>
      </c>
      <c r="B5491">
        <v>250335709</v>
      </c>
      <c r="C5491">
        <v>47</v>
      </c>
      <c r="D5491" t="s">
        <v>16854</v>
      </c>
      <c r="E5491">
        <v>5897</v>
      </c>
      <c r="F5491" t="s">
        <v>23479</v>
      </c>
      <c r="G5491">
        <v>3</v>
      </c>
      <c r="H5491" t="s">
        <v>13197</v>
      </c>
      <c r="J5491" t="s">
        <v>18297</v>
      </c>
      <c r="K5491" t="s">
        <v>179</v>
      </c>
      <c r="L5491" t="s">
        <v>33</v>
      </c>
      <c r="M5491" t="s">
        <v>18301</v>
      </c>
      <c r="N5491" t="s">
        <v>18302</v>
      </c>
      <c r="O5491" t="s">
        <v>18303</v>
      </c>
      <c r="P5491" s="2" t="s">
        <v>165</v>
      </c>
      <c r="Q5491" t="s">
        <v>641</v>
      </c>
      <c r="R5491">
        <v>0.06</v>
      </c>
      <c r="S5491">
        <v>57.01</v>
      </c>
      <c r="T5491" t="s">
        <v>167</v>
      </c>
    </row>
    <row r="5492" spans="1:20" x14ac:dyDescent="0.25">
      <c r="A5492" s="1" t="str">
        <f>HYPERLINK("https://vegkart.atlas.vegvesen.no/#/@46543.4,6816197.0,18/hva:hva%5B0%5D%5Bfilter%5D%5B0%5D%5Boperator%5D=%21%3D&amp;hva%5B0%5D%5Bfilter%5D%5B0%5D%5Btype_id%5D=5897&amp;hva%5B0%5D%5Bfilter%5D%5B0%5D%5Bverdi%5D=&amp;hva%5B0%5D%5Bid%5D=47/når:2015-10-01", "Vegkart")</f>
        <v>Vegkart</v>
      </c>
      <c r="B5492">
        <v>255318193</v>
      </c>
      <c r="C5492">
        <v>47</v>
      </c>
      <c r="D5492" t="s">
        <v>16854</v>
      </c>
      <c r="E5492">
        <v>5897</v>
      </c>
      <c r="F5492" t="s">
        <v>23479</v>
      </c>
      <c r="G5492">
        <v>2</v>
      </c>
      <c r="H5492" t="s">
        <v>1462</v>
      </c>
      <c r="J5492" t="s">
        <v>18297</v>
      </c>
      <c r="K5492" t="s">
        <v>21</v>
      </c>
      <c r="L5492" t="s">
        <v>33</v>
      </c>
      <c r="M5492" t="s">
        <v>179</v>
      </c>
      <c r="N5492" t="s">
        <v>18304</v>
      </c>
      <c r="O5492" t="s">
        <v>18305</v>
      </c>
      <c r="P5492" s="2" t="s">
        <v>26</v>
      </c>
      <c r="Q5492" t="s">
        <v>50</v>
      </c>
      <c r="R5492">
        <v>71.25</v>
      </c>
      <c r="S5492">
        <v>73.11</v>
      </c>
      <c r="T5492" t="s">
        <v>18306</v>
      </c>
    </row>
    <row r="5493" spans="1:20" x14ac:dyDescent="0.25">
      <c r="A5493" s="1" t="str">
        <f>HYPERLINK("https://vegkart.atlas.vegvesen.no/#/@46533.9,6816209.9,18/hva:hva%5B0%5D%5Bfilter%5D%5B0%5D%5Boperator%5D=%21%3D&amp;hva%5B0%5D%5Bfilter%5D%5B0%5D%5Btype_id%5D=5897&amp;hva%5B0%5D%5Bfilter%5D%5B0%5D%5Bverdi%5D=&amp;hva%5B0%5D%5Bid%5D=47/når:2015-10-01", "Vegkart")</f>
        <v>Vegkart</v>
      </c>
      <c r="B5493">
        <v>255318195</v>
      </c>
      <c r="C5493">
        <v>47</v>
      </c>
      <c r="D5493" t="s">
        <v>16854</v>
      </c>
      <c r="E5493">
        <v>5897</v>
      </c>
      <c r="F5493" t="s">
        <v>23479</v>
      </c>
      <c r="G5493">
        <v>2</v>
      </c>
      <c r="H5493" t="s">
        <v>1462</v>
      </c>
      <c r="J5493" t="s">
        <v>18297</v>
      </c>
      <c r="K5493" t="s">
        <v>21</v>
      </c>
      <c r="L5493" t="s">
        <v>33</v>
      </c>
      <c r="M5493" t="s">
        <v>179</v>
      </c>
      <c r="N5493" t="s">
        <v>18307</v>
      </c>
      <c r="O5493" t="s">
        <v>18308</v>
      </c>
      <c r="P5493" s="2" t="s">
        <v>26</v>
      </c>
      <c r="Q5493" t="s">
        <v>50</v>
      </c>
      <c r="R5493">
        <v>57.72</v>
      </c>
      <c r="S5493">
        <v>58.45</v>
      </c>
      <c r="T5493" t="s">
        <v>18309</v>
      </c>
    </row>
    <row r="5494" spans="1:20" x14ac:dyDescent="0.25">
      <c r="A5494" s="1" t="str">
        <f>HYPERLINK("https://vegkart.atlas.vegvesen.no/#/@44661.0,6816243.3,18/hva:hva%5B0%5D%5Bfilter%5D%5B0%5D%5Boperator%5D=%21%3D&amp;hva%5B0%5D%5Bfilter%5D%5B0%5D%5Btype_id%5D=5897&amp;hva%5B0%5D%5Bfilter%5D%5B0%5D%5Bverdi%5D=&amp;hva%5B0%5D%5Bid%5D=47/når:2015-10-01", "Vegkart")</f>
        <v>Vegkart</v>
      </c>
      <c r="B5494">
        <v>255318279</v>
      </c>
      <c r="C5494">
        <v>47</v>
      </c>
      <c r="D5494" t="s">
        <v>16854</v>
      </c>
      <c r="E5494">
        <v>5897</v>
      </c>
      <c r="F5494" t="s">
        <v>23479</v>
      </c>
      <c r="G5494">
        <v>2</v>
      </c>
      <c r="H5494" t="s">
        <v>1462</v>
      </c>
      <c r="J5494" t="s">
        <v>18297</v>
      </c>
      <c r="K5494" t="s">
        <v>21</v>
      </c>
      <c r="L5494" t="s">
        <v>33</v>
      </c>
      <c r="M5494" t="s">
        <v>179</v>
      </c>
      <c r="N5494" t="s">
        <v>18310</v>
      </c>
      <c r="O5494" t="s">
        <v>18311</v>
      </c>
      <c r="P5494" s="2" t="s">
        <v>26</v>
      </c>
      <c r="Q5494" t="s">
        <v>50</v>
      </c>
      <c r="R5494">
        <v>30.53</v>
      </c>
      <c r="S5494">
        <v>31.67</v>
      </c>
      <c r="T5494" t="s">
        <v>18312</v>
      </c>
    </row>
    <row r="5495" spans="1:20" x14ac:dyDescent="0.25">
      <c r="A5495" s="1" t="str">
        <f>HYPERLINK("https://vegkart.atlas.vegvesen.no/#/@45454.8,6814892.1,18/hva:hva%5B0%5D%5Bfilter%5D%5B0%5D%5Boperator%5D=%21%3D&amp;hva%5B0%5D%5Bfilter%5D%5B0%5D%5Btype_id%5D=5897&amp;hva%5B0%5D%5Bfilter%5D%5B0%5D%5Bverdi%5D=&amp;hva%5B0%5D%5Bid%5D=47/når:2015-10-01", "Vegkart")</f>
        <v>Vegkart</v>
      </c>
      <c r="B5495">
        <v>255318318</v>
      </c>
      <c r="C5495">
        <v>47</v>
      </c>
      <c r="D5495" t="s">
        <v>16854</v>
      </c>
      <c r="E5495">
        <v>5897</v>
      </c>
      <c r="F5495" t="s">
        <v>23479</v>
      </c>
      <c r="G5495">
        <v>2</v>
      </c>
      <c r="H5495" t="s">
        <v>1462</v>
      </c>
      <c r="J5495" t="s">
        <v>18297</v>
      </c>
      <c r="K5495" t="s">
        <v>21</v>
      </c>
      <c r="L5495" t="s">
        <v>33</v>
      </c>
      <c r="M5495" t="s">
        <v>179</v>
      </c>
      <c r="N5495" t="s">
        <v>18313</v>
      </c>
      <c r="O5495" t="s">
        <v>18314</v>
      </c>
      <c r="P5495" s="2" t="s">
        <v>26</v>
      </c>
      <c r="Q5495" t="s">
        <v>50</v>
      </c>
      <c r="R5495">
        <v>43.28</v>
      </c>
      <c r="S5495">
        <v>43.76</v>
      </c>
      <c r="T5495" t="s">
        <v>18315</v>
      </c>
    </row>
    <row r="5496" spans="1:20" x14ac:dyDescent="0.25">
      <c r="A5496" s="1" t="str">
        <f>HYPERLINK("https://vegkart.atlas.vegvesen.no/#/@45454.7,6814838.6,18/hva:hva%5B0%5D%5Bfilter%5D%5B0%5D%5Boperator%5D=%21%3D&amp;hva%5B0%5D%5Bfilter%5D%5B0%5D%5Btype_id%5D=5897&amp;hva%5B0%5D%5Bfilter%5D%5B0%5D%5Bverdi%5D=&amp;hva%5B0%5D%5Bid%5D=47/når:2015-10-01", "Vegkart")</f>
        <v>Vegkart</v>
      </c>
      <c r="B5496">
        <v>255318321</v>
      </c>
      <c r="C5496">
        <v>47</v>
      </c>
      <c r="D5496" t="s">
        <v>16854</v>
      </c>
      <c r="E5496">
        <v>5897</v>
      </c>
      <c r="F5496" t="s">
        <v>23479</v>
      </c>
      <c r="G5496">
        <v>2</v>
      </c>
      <c r="H5496" t="s">
        <v>1462</v>
      </c>
      <c r="J5496" t="s">
        <v>18297</v>
      </c>
      <c r="K5496" t="s">
        <v>21</v>
      </c>
      <c r="L5496" t="s">
        <v>33</v>
      </c>
      <c r="M5496" t="s">
        <v>179</v>
      </c>
      <c r="N5496" t="s">
        <v>18316</v>
      </c>
      <c r="O5496" t="s">
        <v>18317</v>
      </c>
      <c r="P5496" s="2" t="s">
        <v>26</v>
      </c>
      <c r="Q5496" t="s">
        <v>50</v>
      </c>
      <c r="R5496">
        <v>43.94</v>
      </c>
      <c r="S5496">
        <v>44.49</v>
      </c>
      <c r="T5496" t="s">
        <v>18318</v>
      </c>
    </row>
    <row r="5497" spans="1:20" x14ac:dyDescent="0.25">
      <c r="A5497" s="1" t="str">
        <f>HYPERLINK("https://vegkart.atlas.vegvesen.no/#/@45487.0,6813662.0,18/hva:hva%5B0%5D%5Bfilter%5D%5B0%5D%5Boperator%5D=%21%3D&amp;hva%5B0%5D%5Bfilter%5D%5B0%5D%5Btype_id%5D=5897&amp;hva%5B0%5D%5Bfilter%5D%5B0%5D%5Bverdi%5D=&amp;hva%5B0%5D%5Bid%5D=47/når:2015-10-01", "Vegkart")</f>
        <v>Vegkart</v>
      </c>
      <c r="B5497">
        <v>255318349</v>
      </c>
      <c r="C5497">
        <v>47</v>
      </c>
      <c r="D5497" t="s">
        <v>16854</v>
      </c>
      <c r="E5497">
        <v>5897</v>
      </c>
      <c r="F5497" t="s">
        <v>23479</v>
      </c>
      <c r="G5497">
        <v>2</v>
      </c>
      <c r="H5497" t="s">
        <v>1462</v>
      </c>
      <c r="J5497" t="s">
        <v>18297</v>
      </c>
      <c r="K5497" t="s">
        <v>21</v>
      </c>
      <c r="L5497" t="s">
        <v>33</v>
      </c>
      <c r="M5497" t="s">
        <v>179</v>
      </c>
      <c r="N5497" t="s">
        <v>18319</v>
      </c>
      <c r="O5497" t="s">
        <v>18320</v>
      </c>
      <c r="P5497" s="2" t="s">
        <v>26</v>
      </c>
      <c r="Q5497" t="s">
        <v>50</v>
      </c>
      <c r="R5497">
        <v>40.71</v>
      </c>
      <c r="S5497">
        <v>41.18</v>
      </c>
      <c r="T5497" t="s">
        <v>18321</v>
      </c>
    </row>
    <row r="5498" spans="1:20" x14ac:dyDescent="0.25">
      <c r="A5498" s="1" t="str">
        <f>HYPERLINK("https://vegkart.atlas.vegvesen.no/#/@45469.0,6813533.7,18/hva:hva%5B0%5D%5Bfilter%5D%5B0%5D%5Boperator%5D=%21%3D&amp;hva%5B0%5D%5Bfilter%5D%5B0%5D%5Btype_id%5D=5897&amp;hva%5B0%5D%5Bfilter%5D%5B0%5D%5Bverdi%5D=&amp;hva%5B0%5D%5Bid%5D=47/når:2015-10-01", "Vegkart")</f>
        <v>Vegkart</v>
      </c>
      <c r="B5498">
        <v>255318360</v>
      </c>
      <c r="C5498">
        <v>47</v>
      </c>
      <c r="D5498" t="s">
        <v>16854</v>
      </c>
      <c r="E5498">
        <v>5897</v>
      </c>
      <c r="F5498" t="s">
        <v>23479</v>
      </c>
      <c r="G5498">
        <v>2</v>
      </c>
      <c r="H5498" t="s">
        <v>1462</v>
      </c>
      <c r="J5498" t="s">
        <v>18297</v>
      </c>
      <c r="K5498" t="s">
        <v>21</v>
      </c>
      <c r="L5498" t="s">
        <v>33</v>
      </c>
      <c r="M5498" t="s">
        <v>179</v>
      </c>
      <c r="N5498" t="s">
        <v>18322</v>
      </c>
      <c r="O5498" t="s">
        <v>18323</v>
      </c>
      <c r="P5498" s="2" t="s">
        <v>26</v>
      </c>
      <c r="Q5498" t="s">
        <v>50</v>
      </c>
      <c r="R5498">
        <v>44.44</v>
      </c>
      <c r="S5498">
        <v>44.84</v>
      </c>
      <c r="T5498" t="s">
        <v>18324</v>
      </c>
    </row>
    <row r="5499" spans="1:20" x14ac:dyDescent="0.25">
      <c r="A5499" s="1" t="str">
        <f>HYPERLINK("https://vegkart.atlas.vegvesen.no/#/@148650.9,6878323.5,18/hva:hva%5B0%5D%5Bfilter%5D%5B0%5D%5Boperator%5D=%21%3D&amp;hva%5B0%5D%5Bfilter%5D%5B0%5D%5Btype_id%5D=5897&amp;hva%5B0%5D%5Bfilter%5D%5B0%5D%5Bverdi%5D=&amp;hva%5B0%5D%5Bid%5D=47/når:2022-08-11", "Vegkart")</f>
        <v>Vegkart</v>
      </c>
      <c r="B5499">
        <v>255587360</v>
      </c>
      <c r="C5499">
        <v>47</v>
      </c>
      <c r="D5499" t="s">
        <v>16854</v>
      </c>
      <c r="E5499">
        <v>5897</v>
      </c>
      <c r="F5499" t="s">
        <v>23479</v>
      </c>
      <c r="G5499">
        <v>2</v>
      </c>
      <c r="H5499" t="s">
        <v>18325</v>
      </c>
      <c r="J5499" t="s">
        <v>18326</v>
      </c>
      <c r="K5499" t="s">
        <v>136</v>
      </c>
      <c r="L5499" t="s">
        <v>33</v>
      </c>
      <c r="M5499" t="s">
        <v>18327</v>
      </c>
      <c r="N5499" t="s">
        <v>18328</v>
      </c>
      <c r="O5499" t="s">
        <v>18329</v>
      </c>
      <c r="P5499" s="2" t="s">
        <v>26</v>
      </c>
      <c r="Q5499" t="s">
        <v>50</v>
      </c>
      <c r="R5499">
        <v>60.24</v>
      </c>
      <c r="S5499">
        <v>68.260000000000005</v>
      </c>
      <c r="T5499" t="s">
        <v>18330</v>
      </c>
    </row>
    <row r="5500" spans="1:20" x14ac:dyDescent="0.25">
      <c r="A5500" s="1" t="str">
        <f>HYPERLINK("https://vegkart.atlas.vegvesen.no/#/@148108.5,6878383.8,18/hva:hva%5B0%5D%5Bfilter%5D%5B0%5D%5Boperator%5D=%21%3D&amp;hva%5B0%5D%5Bfilter%5D%5B0%5D%5Btype_id%5D=5897&amp;hva%5B0%5D%5Bfilter%5D%5B0%5D%5Bverdi%5D=&amp;hva%5B0%5D%5Bid%5D=47/når:2022-08-11", "Vegkart")</f>
        <v>Vegkart</v>
      </c>
      <c r="B5500">
        <v>255587361</v>
      </c>
      <c r="C5500">
        <v>47</v>
      </c>
      <c r="D5500" t="s">
        <v>16854</v>
      </c>
      <c r="E5500">
        <v>5897</v>
      </c>
      <c r="F5500" t="s">
        <v>23479</v>
      </c>
      <c r="G5500">
        <v>2</v>
      </c>
      <c r="H5500" t="s">
        <v>18325</v>
      </c>
      <c r="J5500" t="s">
        <v>18331</v>
      </c>
      <c r="K5500" t="s">
        <v>136</v>
      </c>
      <c r="L5500" t="s">
        <v>33</v>
      </c>
      <c r="M5500" t="s">
        <v>18327</v>
      </c>
      <c r="N5500" t="s">
        <v>18332</v>
      </c>
      <c r="O5500" t="s">
        <v>18333</v>
      </c>
      <c r="P5500" s="2" t="s">
        <v>26</v>
      </c>
      <c r="Q5500" t="s">
        <v>50</v>
      </c>
      <c r="R5500">
        <v>42.84</v>
      </c>
      <c r="S5500">
        <v>44.17</v>
      </c>
      <c r="T5500" t="s">
        <v>18334</v>
      </c>
    </row>
    <row r="5501" spans="1:20" x14ac:dyDescent="0.25">
      <c r="A5501" s="1" t="str">
        <f>HYPERLINK("https://vegkart.atlas.vegvesen.no/#/@147708.1,6878311.0,18/hva:hva%5B0%5D%5Bfilter%5D%5B0%5D%5Boperator%5D=%21%3D&amp;hva%5B0%5D%5Bfilter%5D%5B0%5D%5Btype_id%5D=5897&amp;hva%5B0%5D%5Bfilter%5D%5B0%5D%5Bverdi%5D=&amp;hva%5B0%5D%5Bid%5D=47/når:2022-08-11", "Vegkart")</f>
        <v>Vegkart</v>
      </c>
      <c r="B5501">
        <v>255587362</v>
      </c>
      <c r="C5501">
        <v>47</v>
      </c>
      <c r="D5501" t="s">
        <v>16854</v>
      </c>
      <c r="E5501">
        <v>5897</v>
      </c>
      <c r="F5501" t="s">
        <v>23479</v>
      </c>
      <c r="G5501">
        <v>2</v>
      </c>
      <c r="H5501" t="s">
        <v>18325</v>
      </c>
      <c r="J5501" t="s">
        <v>18331</v>
      </c>
      <c r="K5501" t="s">
        <v>136</v>
      </c>
      <c r="L5501" t="s">
        <v>33</v>
      </c>
      <c r="M5501" t="s">
        <v>18327</v>
      </c>
      <c r="N5501" t="s">
        <v>18335</v>
      </c>
      <c r="O5501" t="s">
        <v>18336</v>
      </c>
      <c r="P5501" s="2" t="s">
        <v>26</v>
      </c>
      <c r="Q5501" t="s">
        <v>50</v>
      </c>
      <c r="R5501">
        <v>52.63</v>
      </c>
      <c r="S5501">
        <v>54.57</v>
      </c>
      <c r="T5501" t="s">
        <v>18337</v>
      </c>
    </row>
    <row r="5502" spans="1:20" x14ac:dyDescent="0.25">
      <c r="A5502" s="1" t="str">
        <f>HYPERLINK("https://vegkart.atlas.vegvesen.no/#/@86200.3,6825278.7,18/hva:hva%5B0%5D%5Bfilter%5D%5B0%5D%5Boperator%5D=%21%3D&amp;hva%5B0%5D%5Bfilter%5D%5B0%5D%5Btype_id%5D=5897&amp;hva%5B0%5D%5Bfilter%5D%5B0%5D%5Bverdi%5D=&amp;hva%5B0%5D%5Bid%5D=47/når:2024-07-16", "Vegkart")</f>
        <v>Vegkart</v>
      </c>
      <c r="B5502">
        <v>255995691</v>
      </c>
      <c r="C5502">
        <v>47</v>
      </c>
      <c r="D5502" t="s">
        <v>16854</v>
      </c>
      <c r="E5502">
        <v>5897</v>
      </c>
      <c r="F5502" t="s">
        <v>23479</v>
      </c>
      <c r="G5502">
        <v>4</v>
      </c>
      <c r="H5502" t="s">
        <v>18338</v>
      </c>
      <c r="J5502" t="s">
        <v>18331</v>
      </c>
      <c r="K5502" t="s">
        <v>21</v>
      </c>
      <c r="L5502" t="s">
        <v>33</v>
      </c>
      <c r="M5502" t="s">
        <v>179</v>
      </c>
      <c r="N5502" t="s">
        <v>18339</v>
      </c>
      <c r="O5502" t="s">
        <v>18340</v>
      </c>
      <c r="P5502" s="2" t="s">
        <v>26</v>
      </c>
      <c r="Q5502" t="s">
        <v>50</v>
      </c>
      <c r="R5502">
        <v>26.02</v>
      </c>
      <c r="S5502">
        <v>26.2</v>
      </c>
      <c r="T5502" t="s">
        <v>18341</v>
      </c>
    </row>
    <row r="5503" spans="1:20" x14ac:dyDescent="0.25">
      <c r="A5503" s="1" t="str">
        <f>HYPERLINK("https://vegkart.atlas.vegvesen.no/#/@80026.6,6818966.0,18/hva:hva%5B0%5D%5Bfilter%5D%5B0%5D%5Boperator%5D=%21%3D&amp;hva%5B0%5D%5Bfilter%5D%5B0%5D%5Btype_id%5D=5897&amp;hva%5B0%5D%5Bfilter%5D%5B0%5D%5Bverdi%5D=&amp;hva%5B0%5D%5Bid%5D=47/når:2015-09-22", "Vegkart")</f>
        <v>Vegkart</v>
      </c>
      <c r="B5503">
        <v>255995785</v>
      </c>
      <c r="C5503">
        <v>47</v>
      </c>
      <c r="D5503" t="s">
        <v>16854</v>
      </c>
      <c r="E5503">
        <v>5897</v>
      </c>
      <c r="F5503" t="s">
        <v>23479</v>
      </c>
      <c r="G5503">
        <v>3</v>
      </c>
      <c r="H5503" t="s">
        <v>18342</v>
      </c>
      <c r="J5503" t="s">
        <v>18326</v>
      </c>
      <c r="K5503" t="s">
        <v>21</v>
      </c>
      <c r="L5503" t="s">
        <v>33</v>
      </c>
      <c r="M5503" t="s">
        <v>179</v>
      </c>
      <c r="N5503" t="s">
        <v>18343</v>
      </c>
      <c r="O5503" t="s">
        <v>18344</v>
      </c>
      <c r="P5503" s="2" t="s">
        <v>26</v>
      </c>
      <c r="Q5503" t="s">
        <v>50</v>
      </c>
      <c r="R5503">
        <v>48.18</v>
      </c>
      <c r="S5503">
        <v>50.21</v>
      </c>
      <c r="T5503" t="s">
        <v>18345</v>
      </c>
    </row>
    <row r="5504" spans="1:20" x14ac:dyDescent="0.25">
      <c r="A5504" s="1" t="str">
        <f>HYPERLINK("https://vegkart.atlas.vegvesen.no/#/@80022.2,6818919.4,18/hva:hva%5B0%5D%5Bfilter%5D%5B0%5D%5Boperator%5D=%21%3D&amp;hva%5B0%5D%5Bfilter%5D%5B0%5D%5Btype_id%5D=5897&amp;hva%5B0%5D%5Bfilter%5D%5B0%5D%5Bverdi%5D=&amp;hva%5B0%5D%5Bid%5D=47/når:2015-09-22", "Vegkart")</f>
        <v>Vegkart</v>
      </c>
      <c r="B5504">
        <v>255995787</v>
      </c>
      <c r="C5504">
        <v>47</v>
      </c>
      <c r="D5504" t="s">
        <v>16854</v>
      </c>
      <c r="E5504">
        <v>5897</v>
      </c>
      <c r="F5504" t="s">
        <v>23479</v>
      </c>
      <c r="G5504">
        <v>3</v>
      </c>
      <c r="H5504" t="s">
        <v>18342</v>
      </c>
      <c r="J5504" t="s">
        <v>18331</v>
      </c>
      <c r="K5504" t="s">
        <v>21</v>
      </c>
      <c r="L5504" t="s">
        <v>33</v>
      </c>
      <c r="M5504" t="s">
        <v>179</v>
      </c>
      <c r="N5504" t="s">
        <v>18346</v>
      </c>
      <c r="O5504" t="s">
        <v>18347</v>
      </c>
      <c r="P5504" s="2" t="s">
        <v>26</v>
      </c>
      <c r="Q5504" t="s">
        <v>50</v>
      </c>
      <c r="R5504">
        <v>46.37</v>
      </c>
      <c r="S5504">
        <v>46.99</v>
      </c>
      <c r="T5504" t="s">
        <v>18348</v>
      </c>
    </row>
    <row r="5505" spans="1:20" x14ac:dyDescent="0.25">
      <c r="A5505" s="1" t="str">
        <f>HYPERLINK("https://vegkart.atlas.vegvesen.no/#/@80277.5,6817726.7,18/hva:hva%5B0%5D%5Bfilter%5D%5B0%5D%5Boperator%5D=%21%3D&amp;hva%5B0%5D%5Bfilter%5D%5B0%5D%5Btype_id%5D=5897&amp;hva%5B0%5D%5Bfilter%5D%5B0%5D%5Bverdi%5D=&amp;hva%5B0%5D%5Bid%5D=47/når:2015-09-22", "Vegkart")</f>
        <v>Vegkart</v>
      </c>
      <c r="B5505">
        <v>255995794</v>
      </c>
      <c r="C5505">
        <v>47</v>
      </c>
      <c r="D5505" t="s">
        <v>16854</v>
      </c>
      <c r="E5505">
        <v>5897</v>
      </c>
      <c r="F5505" t="s">
        <v>23479</v>
      </c>
      <c r="G5505">
        <v>2</v>
      </c>
      <c r="H5505" t="s">
        <v>18342</v>
      </c>
      <c r="J5505" t="s">
        <v>18331</v>
      </c>
      <c r="K5505" t="s">
        <v>21</v>
      </c>
      <c r="L5505" t="s">
        <v>33</v>
      </c>
      <c r="M5505" t="s">
        <v>179</v>
      </c>
      <c r="N5505" t="s">
        <v>18349</v>
      </c>
      <c r="O5505" t="s">
        <v>18350</v>
      </c>
      <c r="P5505" s="2" t="s">
        <v>26</v>
      </c>
      <c r="Q5505" t="s">
        <v>50</v>
      </c>
      <c r="R5505">
        <v>46.01</v>
      </c>
      <c r="S5505">
        <v>47.34</v>
      </c>
      <c r="T5505" t="s">
        <v>18351</v>
      </c>
    </row>
    <row r="5506" spans="1:20" x14ac:dyDescent="0.25">
      <c r="A5506" s="1" t="str">
        <f>HYPERLINK("https://vegkart.atlas.vegvesen.no/#/@79376.3,6817091.6,18/hva:hva%5B0%5D%5Bfilter%5D%5B0%5D%5Boperator%5D=%21%3D&amp;hva%5B0%5D%5Bfilter%5D%5B0%5D%5Btype_id%5D=5897&amp;hva%5B0%5D%5Bfilter%5D%5B0%5D%5Bverdi%5D=&amp;hva%5B0%5D%5Bid%5D=47/når:2015-09-22", "Vegkart")</f>
        <v>Vegkart</v>
      </c>
      <c r="B5506">
        <v>255995807</v>
      </c>
      <c r="C5506">
        <v>47</v>
      </c>
      <c r="D5506" t="s">
        <v>16854</v>
      </c>
      <c r="E5506">
        <v>5897</v>
      </c>
      <c r="F5506" t="s">
        <v>23479</v>
      </c>
      <c r="G5506">
        <v>3</v>
      </c>
      <c r="H5506" t="s">
        <v>18342</v>
      </c>
      <c r="J5506" t="s">
        <v>18331</v>
      </c>
      <c r="K5506" t="s">
        <v>21</v>
      </c>
      <c r="L5506" t="s">
        <v>33</v>
      </c>
      <c r="M5506" t="s">
        <v>179</v>
      </c>
      <c r="N5506" t="s">
        <v>18352</v>
      </c>
      <c r="O5506" t="s">
        <v>18353</v>
      </c>
      <c r="P5506" s="2" t="s">
        <v>26</v>
      </c>
      <c r="Q5506" t="s">
        <v>50</v>
      </c>
      <c r="R5506">
        <v>55.23</v>
      </c>
      <c r="S5506">
        <v>56.52</v>
      </c>
      <c r="T5506" t="s">
        <v>18354</v>
      </c>
    </row>
    <row r="5507" spans="1:20" x14ac:dyDescent="0.25">
      <c r="A5507" s="1" t="str">
        <f>HYPERLINK("https://vegkart.atlas.vegvesen.no/#/@79301.2,6817059.8,18/hva:hva%5B0%5D%5Bfilter%5D%5B0%5D%5Boperator%5D=%21%3D&amp;hva%5B0%5D%5Bfilter%5D%5B0%5D%5Btype_id%5D=5897&amp;hva%5B0%5D%5Bfilter%5D%5B0%5D%5Bverdi%5D=&amp;hva%5B0%5D%5Bid%5D=47/når:2015-09-22", "Vegkart")</f>
        <v>Vegkart</v>
      </c>
      <c r="B5507">
        <v>255995809</v>
      </c>
      <c r="C5507">
        <v>47</v>
      </c>
      <c r="D5507" t="s">
        <v>16854</v>
      </c>
      <c r="E5507">
        <v>5897</v>
      </c>
      <c r="F5507" t="s">
        <v>23479</v>
      </c>
      <c r="G5507">
        <v>3</v>
      </c>
      <c r="H5507" t="s">
        <v>18342</v>
      </c>
      <c r="J5507" t="s">
        <v>18331</v>
      </c>
      <c r="K5507" t="s">
        <v>21</v>
      </c>
      <c r="L5507" t="s">
        <v>33</v>
      </c>
      <c r="M5507" t="s">
        <v>179</v>
      </c>
      <c r="N5507" t="s">
        <v>18355</v>
      </c>
      <c r="O5507" t="s">
        <v>18356</v>
      </c>
      <c r="P5507" s="2" t="s">
        <v>26</v>
      </c>
      <c r="Q5507" t="s">
        <v>50</v>
      </c>
      <c r="R5507">
        <v>57.67</v>
      </c>
      <c r="S5507">
        <v>58.28</v>
      </c>
      <c r="T5507" t="s">
        <v>18357</v>
      </c>
    </row>
    <row r="5508" spans="1:20" x14ac:dyDescent="0.25">
      <c r="A5508" s="1" t="str">
        <f>HYPERLINK("https://vegkart.atlas.vegvesen.no/#/@78351.1,6816536.6,18/hva:hva%5B0%5D%5Bfilter%5D%5B0%5D%5Boperator%5D=%21%3D&amp;hva%5B0%5D%5Bfilter%5D%5B0%5D%5Btype_id%5D=5897&amp;hva%5B0%5D%5Bfilter%5D%5B0%5D%5Bverdi%5D=&amp;hva%5B0%5D%5Bid%5D=47/når:2015-09-22", "Vegkart")</f>
        <v>Vegkart</v>
      </c>
      <c r="B5508">
        <v>255995812</v>
      </c>
      <c r="C5508">
        <v>47</v>
      </c>
      <c r="D5508" t="s">
        <v>16854</v>
      </c>
      <c r="E5508">
        <v>5897</v>
      </c>
      <c r="F5508" t="s">
        <v>23479</v>
      </c>
      <c r="G5508">
        <v>3</v>
      </c>
      <c r="H5508" t="s">
        <v>18342</v>
      </c>
      <c r="J5508" t="s">
        <v>18331</v>
      </c>
      <c r="K5508" t="s">
        <v>21</v>
      </c>
      <c r="L5508" t="s">
        <v>33</v>
      </c>
      <c r="M5508" t="s">
        <v>179</v>
      </c>
      <c r="N5508" t="s">
        <v>18358</v>
      </c>
      <c r="O5508" t="s">
        <v>18359</v>
      </c>
      <c r="P5508" s="2" t="s">
        <v>26</v>
      </c>
      <c r="Q5508" t="s">
        <v>50</v>
      </c>
      <c r="R5508">
        <v>45.05</v>
      </c>
      <c r="S5508">
        <v>48.06</v>
      </c>
      <c r="T5508" t="s">
        <v>18360</v>
      </c>
    </row>
    <row r="5509" spans="1:20" x14ac:dyDescent="0.25">
      <c r="A5509" s="1" t="str">
        <f>HYPERLINK("https://vegkart.atlas.vegvesen.no/#/@78355.5,6816455.7,18/hva:hva%5B0%5D%5Bfilter%5D%5B0%5D%5Boperator%5D=%21%3D&amp;hva%5B0%5D%5Bfilter%5D%5B0%5D%5Btype_id%5D=5897&amp;hva%5B0%5D%5Bfilter%5D%5B0%5D%5Bverdi%5D=&amp;hva%5B0%5D%5Bid%5D=47/når:2015-09-22", "Vegkart")</f>
        <v>Vegkart</v>
      </c>
      <c r="B5509">
        <v>255995814</v>
      </c>
      <c r="C5509">
        <v>47</v>
      </c>
      <c r="D5509" t="s">
        <v>16854</v>
      </c>
      <c r="E5509">
        <v>5897</v>
      </c>
      <c r="F5509" t="s">
        <v>23479</v>
      </c>
      <c r="G5509">
        <v>3</v>
      </c>
      <c r="H5509" t="s">
        <v>18342</v>
      </c>
      <c r="J5509" t="s">
        <v>18331</v>
      </c>
      <c r="K5509" t="s">
        <v>21</v>
      </c>
      <c r="L5509" t="s">
        <v>33</v>
      </c>
      <c r="M5509" t="s">
        <v>179</v>
      </c>
      <c r="N5509" t="s">
        <v>18361</v>
      </c>
      <c r="O5509" t="s">
        <v>18362</v>
      </c>
      <c r="P5509" s="2" t="s">
        <v>26</v>
      </c>
      <c r="Q5509" t="s">
        <v>50</v>
      </c>
      <c r="R5509">
        <v>55</v>
      </c>
      <c r="S5509">
        <v>56.78</v>
      </c>
      <c r="T5509" t="s">
        <v>18363</v>
      </c>
    </row>
    <row r="5510" spans="1:20" x14ac:dyDescent="0.25">
      <c r="A5510" s="1" t="str">
        <f>HYPERLINK("https://vegkart.atlas.vegvesen.no/#/@78065.4,6816049.9,18/hva:hva%5B0%5D%5Bfilter%5D%5B0%5D%5Boperator%5D=%21%3D&amp;hva%5B0%5D%5Bfilter%5D%5B0%5D%5Btype_id%5D=5897&amp;hva%5B0%5D%5Bfilter%5D%5B0%5D%5Bverdi%5D=&amp;hva%5B0%5D%5Bid%5D=47/når:2015-09-22", "Vegkart")</f>
        <v>Vegkart</v>
      </c>
      <c r="B5510">
        <v>255995817</v>
      </c>
      <c r="C5510">
        <v>47</v>
      </c>
      <c r="D5510" t="s">
        <v>16854</v>
      </c>
      <c r="E5510">
        <v>5897</v>
      </c>
      <c r="F5510" t="s">
        <v>23479</v>
      </c>
      <c r="G5510">
        <v>3</v>
      </c>
      <c r="H5510" t="s">
        <v>18342</v>
      </c>
      <c r="J5510" t="s">
        <v>18331</v>
      </c>
      <c r="K5510" t="s">
        <v>21</v>
      </c>
      <c r="L5510" t="s">
        <v>33</v>
      </c>
      <c r="M5510" t="s">
        <v>179</v>
      </c>
      <c r="N5510" t="s">
        <v>18364</v>
      </c>
      <c r="O5510" t="s">
        <v>18365</v>
      </c>
      <c r="P5510" s="2" t="s">
        <v>26</v>
      </c>
      <c r="Q5510" t="s">
        <v>50</v>
      </c>
      <c r="R5510">
        <v>45.5</v>
      </c>
      <c r="S5510">
        <v>47.43</v>
      </c>
      <c r="T5510" t="s">
        <v>18366</v>
      </c>
    </row>
    <row r="5511" spans="1:20" x14ac:dyDescent="0.25">
      <c r="A5511" s="1" t="str">
        <f>HYPERLINK("https://vegkart.atlas.vegvesen.no/#/@78052.8,6816059.4,18/hva:hva%5B0%5D%5Bfilter%5D%5B0%5D%5Boperator%5D=%21%3D&amp;hva%5B0%5D%5Bfilter%5D%5B0%5D%5Btype_id%5D=5897&amp;hva%5B0%5D%5Bfilter%5D%5B0%5D%5Bverdi%5D=&amp;hva%5B0%5D%5Bid%5D=47/når:2025-06-12", "Vegkart")</f>
        <v>Vegkart</v>
      </c>
      <c r="B5511">
        <v>255995819</v>
      </c>
      <c r="C5511">
        <v>47</v>
      </c>
      <c r="D5511" t="s">
        <v>16854</v>
      </c>
      <c r="E5511">
        <v>5897</v>
      </c>
      <c r="F5511" t="s">
        <v>23479</v>
      </c>
      <c r="G5511">
        <v>4</v>
      </c>
      <c r="H5511" t="s">
        <v>1788</v>
      </c>
      <c r="J5511" t="s">
        <v>18331</v>
      </c>
      <c r="K5511" t="s">
        <v>21</v>
      </c>
      <c r="L5511" t="s">
        <v>33</v>
      </c>
      <c r="M5511" t="s">
        <v>179</v>
      </c>
      <c r="N5511" t="s">
        <v>18367</v>
      </c>
      <c r="O5511" t="s">
        <v>18368</v>
      </c>
      <c r="P5511" s="2" t="s">
        <v>26</v>
      </c>
      <c r="Q5511" t="s">
        <v>50</v>
      </c>
      <c r="R5511">
        <v>46.8</v>
      </c>
      <c r="S5511">
        <v>47.02</v>
      </c>
      <c r="T5511" t="s">
        <v>18369</v>
      </c>
    </row>
    <row r="5512" spans="1:20" x14ac:dyDescent="0.25">
      <c r="A5512" s="1" t="str">
        <f>HYPERLINK("https://vegkart.atlas.vegvesen.no/#/@77491.7,6815908.1,18/hva:hva%5B0%5D%5Bfilter%5D%5B0%5D%5Boperator%5D=%21%3D&amp;hva%5B0%5D%5Bfilter%5D%5B0%5D%5Btype_id%5D=5897&amp;hva%5B0%5D%5Bfilter%5D%5B0%5D%5Bverdi%5D=&amp;hva%5B0%5D%5Bid%5D=47/når:2015-09-22", "Vegkart")</f>
        <v>Vegkart</v>
      </c>
      <c r="B5512">
        <v>255995827</v>
      </c>
      <c r="C5512">
        <v>47</v>
      </c>
      <c r="D5512" t="s">
        <v>16854</v>
      </c>
      <c r="E5512">
        <v>5897</v>
      </c>
      <c r="F5512" t="s">
        <v>23479</v>
      </c>
      <c r="G5512">
        <v>2</v>
      </c>
      <c r="H5512" t="s">
        <v>18342</v>
      </c>
      <c r="J5512" t="s">
        <v>18331</v>
      </c>
      <c r="K5512" t="s">
        <v>21</v>
      </c>
      <c r="L5512" t="s">
        <v>33</v>
      </c>
      <c r="M5512" t="s">
        <v>179</v>
      </c>
      <c r="N5512" t="s">
        <v>18370</v>
      </c>
      <c r="O5512" t="s">
        <v>18371</v>
      </c>
      <c r="P5512" s="2" t="s">
        <v>26</v>
      </c>
      <c r="Q5512" t="s">
        <v>50</v>
      </c>
      <c r="R5512">
        <v>42.33</v>
      </c>
      <c r="S5512">
        <v>42.84</v>
      </c>
      <c r="T5512" t="s">
        <v>18372</v>
      </c>
    </row>
    <row r="5513" spans="1:20" x14ac:dyDescent="0.25">
      <c r="A5513" s="1" t="str">
        <f>HYPERLINK("https://vegkart.atlas.vegvesen.no/#/@58465.6,6810944.9,18/hva:hva%5B0%5D%5Bfilter%5D%5B0%5D%5Boperator%5D=%21%3D&amp;hva%5B0%5D%5Bfilter%5D%5B0%5D%5Btype_id%5D=5897&amp;hva%5B0%5D%5Bfilter%5D%5B0%5D%5Bverdi%5D=&amp;hva%5B0%5D%5Bid%5D=47/når:2020-06-04", "Vegkart")</f>
        <v>Vegkart</v>
      </c>
      <c r="B5513">
        <v>256080842</v>
      </c>
      <c r="C5513">
        <v>47</v>
      </c>
      <c r="D5513" t="s">
        <v>16854</v>
      </c>
      <c r="E5513">
        <v>5897</v>
      </c>
      <c r="F5513" t="s">
        <v>23479</v>
      </c>
      <c r="G5513">
        <v>3</v>
      </c>
      <c r="H5513" t="s">
        <v>18373</v>
      </c>
      <c r="J5513" t="s">
        <v>18331</v>
      </c>
      <c r="K5513" t="s">
        <v>21</v>
      </c>
      <c r="L5513" t="s">
        <v>113</v>
      </c>
      <c r="M5513" t="s">
        <v>114</v>
      </c>
      <c r="N5513" t="s">
        <v>18374</v>
      </c>
      <c r="O5513" t="s">
        <v>18375</v>
      </c>
      <c r="P5513" s="2" t="s">
        <v>26</v>
      </c>
      <c r="Q5513" t="s">
        <v>50</v>
      </c>
      <c r="R5513">
        <v>47.93</v>
      </c>
      <c r="S5513">
        <v>49.06</v>
      </c>
      <c r="T5513" t="s">
        <v>18376</v>
      </c>
    </row>
    <row r="5514" spans="1:20" x14ac:dyDescent="0.25">
      <c r="A5514" s="1" t="str">
        <f>HYPERLINK("https://vegkart.atlas.vegvesen.no/#/@44300.2,6799229.9,18/hva:hva%5B0%5D%5Bfilter%5D%5B0%5D%5Boperator%5D=%21%3D&amp;hva%5B0%5D%5Bfilter%5D%5B0%5D%5Btype_id%5D=5897&amp;hva%5B0%5D%5Bfilter%5D%5B0%5D%5Bverdi%5D=&amp;hva%5B0%5D%5Bid%5D=47/når:2022-02-01", "Vegkart")</f>
        <v>Vegkart</v>
      </c>
      <c r="B5514">
        <v>256133448</v>
      </c>
      <c r="C5514">
        <v>47</v>
      </c>
      <c r="D5514" t="s">
        <v>16854</v>
      </c>
      <c r="E5514">
        <v>5897</v>
      </c>
      <c r="F5514" t="s">
        <v>23479</v>
      </c>
      <c r="G5514">
        <v>3</v>
      </c>
      <c r="H5514" t="s">
        <v>18377</v>
      </c>
      <c r="J5514" t="s">
        <v>18378</v>
      </c>
      <c r="K5514" t="s">
        <v>21</v>
      </c>
      <c r="L5514" t="s">
        <v>113</v>
      </c>
      <c r="M5514" t="s">
        <v>114</v>
      </c>
      <c r="N5514" t="s">
        <v>18379</v>
      </c>
      <c r="O5514" t="s">
        <v>18380</v>
      </c>
      <c r="P5514" s="2" t="s">
        <v>26</v>
      </c>
      <c r="Q5514" t="s">
        <v>50</v>
      </c>
      <c r="R5514">
        <v>43.62</v>
      </c>
      <c r="S5514">
        <v>44.44</v>
      </c>
      <c r="T5514" t="s">
        <v>18381</v>
      </c>
    </row>
    <row r="5515" spans="1:20" x14ac:dyDescent="0.25">
      <c r="A5515" s="1" t="str">
        <f>HYPERLINK("https://vegkart.atlas.vegvesen.no/#/@131615.3,6851675.2,18/hva:hva%5B0%5D%5Bfilter%5D%5B0%5D%5Boperator%5D=%21%3D&amp;hva%5B0%5D%5Bfilter%5D%5B0%5D%5Btype_id%5D=5897&amp;hva%5B0%5D%5Bfilter%5D%5B0%5D%5Bverdi%5D=&amp;hva%5B0%5D%5Bid%5D=47/når:2022-07-04", "Vegkart")</f>
        <v>Vegkart</v>
      </c>
      <c r="B5515">
        <v>262047712</v>
      </c>
      <c r="C5515">
        <v>47</v>
      </c>
      <c r="D5515" t="s">
        <v>16854</v>
      </c>
      <c r="E5515">
        <v>5897</v>
      </c>
      <c r="F5515" t="s">
        <v>23479</v>
      </c>
      <c r="G5515">
        <v>2</v>
      </c>
      <c r="H5515" t="s">
        <v>17767</v>
      </c>
      <c r="J5515" t="s">
        <v>18378</v>
      </c>
      <c r="K5515" t="s">
        <v>136</v>
      </c>
      <c r="L5515" t="s">
        <v>33</v>
      </c>
      <c r="M5515" t="s">
        <v>179</v>
      </c>
      <c r="N5515" t="s">
        <v>18382</v>
      </c>
      <c r="O5515" t="s">
        <v>18383</v>
      </c>
      <c r="P5515" s="2" t="s">
        <v>165</v>
      </c>
      <c r="Q5515" t="s">
        <v>166</v>
      </c>
      <c r="R5515">
        <v>39.78</v>
      </c>
      <c r="S5515">
        <v>41.86</v>
      </c>
      <c r="T5515" t="s">
        <v>167</v>
      </c>
    </row>
    <row r="5516" spans="1:20" x14ac:dyDescent="0.25">
      <c r="A5516" s="1" t="str">
        <f>HYPERLINK("https://vegkart.atlas.vegvesen.no/#/@127559.9,6845366.8,18/hva:hva%5B0%5D%5Bfilter%5D%5B0%5D%5Boperator%5D=%21%3D&amp;hva%5B0%5D%5Bfilter%5D%5B0%5D%5Btype_id%5D=5897&amp;hva%5B0%5D%5Bfilter%5D%5B0%5D%5Bverdi%5D=&amp;hva%5B0%5D%5Bid%5D=47/når:2015-04-24", "Vegkart")</f>
        <v>Vegkart</v>
      </c>
      <c r="B5516">
        <v>262047723</v>
      </c>
      <c r="C5516">
        <v>47</v>
      </c>
      <c r="D5516" t="s">
        <v>16854</v>
      </c>
      <c r="E5516">
        <v>5897</v>
      </c>
      <c r="F5516" t="s">
        <v>23479</v>
      </c>
      <c r="G5516">
        <v>1</v>
      </c>
      <c r="H5516" t="s">
        <v>6447</v>
      </c>
      <c r="J5516" t="s">
        <v>18378</v>
      </c>
      <c r="K5516" t="s">
        <v>136</v>
      </c>
      <c r="L5516" t="s">
        <v>33</v>
      </c>
      <c r="M5516" t="s">
        <v>179</v>
      </c>
      <c r="N5516" t="s">
        <v>18384</v>
      </c>
      <c r="O5516" t="s">
        <v>18385</v>
      </c>
      <c r="P5516" s="2" t="s">
        <v>26</v>
      </c>
      <c r="Q5516" t="s">
        <v>50</v>
      </c>
      <c r="R5516">
        <v>29.11</v>
      </c>
      <c r="S5516">
        <v>31.76</v>
      </c>
      <c r="T5516" t="s">
        <v>18386</v>
      </c>
    </row>
    <row r="5517" spans="1:20" x14ac:dyDescent="0.25">
      <c r="A5517" s="1" t="str">
        <f>HYPERLINK("https://vegkart.atlas.vegvesen.no/#/@177292.1,6839250.6,18/hva:hva%5B0%5D%5Bfilter%5D%5B0%5D%5Boperator%5D=%21%3D&amp;hva%5B0%5D%5Bfilter%5D%5B0%5D%5Btype_id%5D=5897&amp;hva%5B0%5D%5Bfilter%5D%5B0%5D%5Bverdi%5D=&amp;hva%5B0%5D%5Bid%5D=47/når:2015-05-13", "Vegkart")</f>
        <v>Vegkart</v>
      </c>
      <c r="B5517">
        <v>262047743</v>
      </c>
      <c r="C5517">
        <v>47</v>
      </c>
      <c r="D5517" t="s">
        <v>16854</v>
      </c>
      <c r="E5517">
        <v>5897</v>
      </c>
      <c r="F5517" t="s">
        <v>23479</v>
      </c>
      <c r="G5517">
        <v>3</v>
      </c>
      <c r="H5517" t="s">
        <v>18387</v>
      </c>
      <c r="J5517" t="s">
        <v>18378</v>
      </c>
      <c r="K5517" t="s">
        <v>136</v>
      </c>
      <c r="L5517" t="s">
        <v>33</v>
      </c>
      <c r="M5517" t="s">
        <v>1222</v>
      </c>
      <c r="N5517" t="s">
        <v>18388</v>
      </c>
      <c r="O5517" t="s">
        <v>18389</v>
      </c>
      <c r="P5517" s="2" t="s">
        <v>26</v>
      </c>
      <c r="Q5517" t="s">
        <v>50</v>
      </c>
      <c r="R5517">
        <v>62.49</v>
      </c>
      <c r="S5517">
        <v>62.95</v>
      </c>
      <c r="T5517" t="s">
        <v>18390</v>
      </c>
    </row>
    <row r="5518" spans="1:20" x14ac:dyDescent="0.25">
      <c r="A5518" s="1" t="str">
        <f>HYPERLINK("https://vegkart.atlas.vegvesen.no/#/@177313.9,6839271.4,18/hva:hva%5B0%5D%5Bfilter%5D%5B0%5D%5Boperator%5D=%21%3D&amp;hva%5B0%5D%5Bfilter%5D%5B0%5D%5Btype_id%5D=5897&amp;hva%5B0%5D%5Bfilter%5D%5B0%5D%5Bverdi%5D=&amp;hva%5B0%5D%5Bid%5D=47/når:2013-11-26", "Vegkart")</f>
        <v>Vegkart</v>
      </c>
      <c r="B5518">
        <v>262047745</v>
      </c>
      <c r="C5518">
        <v>47</v>
      </c>
      <c r="D5518" t="s">
        <v>16854</v>
      </c>
      <c r="E5518">
        <v>5897</v>
      </c>
      <c r="F5518" t="s">
        <v>23479</v>
      </c>
      <c r="G5518">
        <v>2</v>
      </c>
      <c r="H5518" t="s">
        <v>17693</v>
      </c>
      <c r="J5518" t="s">
        <v>18391</v>
      </c>
      <c r="K5518" t="s">
        <v>136</v>
      </c>
      <c r="L5518" t="s">
        <v>33</v>
      </c>
      <c r="M5518" t="s">
        <v>1222</v>
      </c>
      <c r="N5518" t="s">
        <v>18392</v>
      </c>
      <c r="O5518" t="s">
        <v>18393</v>
      </c>
      <c r="P5518" s="2" t="s">
        <v>26</v>
      </c>
      <c r="Q5518" t="s">
        <v>50</v>
      </c>
      <c r="R5518">
        <v>43.05</v>
      </c>
      <c r="S5518">
        <v>43.36</v>
      </c>
      <c r="T5518" t="s">
        <v>18394</v>
      </c>
    </row>
    <row r="5519" spans="1:20" x14ac:dyDescent="0.25">
      <c r="A5519" s="1" t="str">
        <f>HYPERLINK("https://vegkart.atlas.vegvesen.no/#/@313806.3,6631281.6,18/hva:hva%5B0%5D%5Bfilter%5D%5B0%5D%5Boperator%5D=%21%3D&amp;hva%5B0%5D%5Bfilter%5D%5B0%5D%5Btype_id%5D=5897&amp;hva%5B0%5D%5Bfilter%5D%5B0%5D%5Bverdi%5D=&amp;hva%5B0%5D%5Bid%5D=47/når:2011-05-09", "Vegkart")</f>
        <v>Vegkart</v>
      </c>
      <c r="B5519">
        <v>276905897</v>
      </c>
      <c r="C5519">
        <v>47</v>
      </c>
      <c r="D5519" t="s">
        <v>16854</v>
      </c>
      <c r="E5519">
        <v>5897</v>
      </c>
      <c r="F5519" t="s">
        <v>23479</v>
      </c>
      <c r="G5519">
        <v>1</v>
      </c>
      <c r="H5519" t="s">
        <v>9138</v>
      </c>
      <c r="J5519" t="s">
        <v>7355</v>
      </c>
      <c r="K5519" t="s">
        <v>132</v>
      </c>
      <c r="L5519" t="s">
        <v>33</v>
      </c>
      <c r="M5519" t="s">
        <v>17275</v>
      </c>
      <c r="N5519" t="s">
        <v>18395</v>
      </c>
      <c r="O5519" t="s">
        <v>18396</v>
      </c>
      <c r="P5519" s="2" t="s">
        <v>26</v>
      </c>
      <c r="Q5519" t="s">
        <v>50</v>
      </c>
      <c r="R5519">
        <v>53.71</v>
      </c>
      <c r="S5519">
        <v>55.31</v>
      </c>
      <c r="T5519" t="s">
        <v>18397</v>
      </c>
    </row>
    <row r="5520" spans="1:20" x14ac:dyDescent="0.25">
      <c r="A5520" s="1" t="str">
        <f>HYPERLINK("https://vegkart.atlas.vegvesen.no/#/@310159.9,6646244.2,18/hva:hva%5B0%5D%5Bfilter%5D%5B0%5D%5Boperator%5D=%21%3D&amp;hva%5B0%5D%5Bfilter%5D%5B0%5D%5Btype_id%5D=5897&amp;hva%5B0%5D%5Bfilter%5D%5B0%5D%5Bverdi%5D=&amp;hva%5B0%5D%5Bid%5D=47/når:2011-05-12", "Vegkart")</f>
        <v>Vegkart</v>
      </c>
      <c r="B5520">
        <v>276989859</v>
      </c>
      <c r="C5520">
        <v>47</v>
      </c>
      <c r="D5520" t="s">
        <v>16854</v>
      </c>
      <c r="E5520">
        <v>5897</v>
      </c>
      <c r="F5520" t="s">
        <v>23479</v>
      </c>
      <c r="G5520">
        <v>1</v>
      </c>
      <c r="H5520" t="s">
        <v>18398</v>
      </c>
      <c r="J5520" t="s">
        <v>7355</v>
      </c>
      <c r="K5520" t="s">
        <v>132</v>
      </c>
      <c r="L5520" t="s">
        <v>33</v>
      </c>
      <c r="M5520" t="s">
        <v>736</v>
      </c>
      <c r="N5520" t="s">
        <v>18399</v>
      </c>
      <c r="O5520" t="s">
        <v>18400</v>
      </c>
      <c r="P5520" s="2" t="s">
        <v>26</v>
      </c>
      <c r="Q5520" t="s">
        <v>50</v>
      </c>
      <c r="R5520">
        <v>24.36</v>
      </c>
      <c r="S5520">
        <v>24.64</v>
      </c>
      <c r="T5520" t="s">
        <v>18401</v>
      </c>
    </row>
    <row r="5521" spans="1:20" x14ac:dyDescent="0.25">
      <c r="A5521" s="1" t="str">
        <f>HYPERLINK("https://vegkart.atlas.vegvesen.no/#/@310515.0,6646521.9,18/hva:hva%5B0%5D%5Bfilter%5D%5B0%5D%5Boperator%5D=%21%3D&amp;hva%5B0%5D%5Bfilter%5D%5B0%5D%5Btype_id%5D=5897&amp;hva%5B0%5D%5Bfilter%5D%5B0%5D%5Bverdi%5D=&amp;hva%5B0%5D%5Bid%5D=47/når:2011-05-12", "Vegkart")</f>
        <v>Vegkart</v>
      </c>
      <c r="B5521">
        <v>276989860</v>
      </c>
      <c r="C5521">
        <v>47</v>
      </c>
      <c r="D5521" t="s">
        <v>16854</v>
      </c>
      <c r="E5521">
        <v>5897</v>
      </c>
      <c r="F5521" t="s">
        <v>23479</v>
      </c>
      <c r="G5521">
        <v>1</v>
      </c>
      <c r="H5521" t="s">
        <v>18398</v>
      </c>
      <c r="J5521" t="s">
        <v>7355</v>
      </c>
      <c r="K5521" t="s">
        <v>132</v>
      </c>
      <c r="L5521" t="s">
        <v>33</v>
      </c>
      <c r="M5521" t="s">
        <v>736</v>
      </c>
      <c r="N5521" t="s">
        <v>18402</v>
      </c>
      <c r="O5521" t="s">
        <v>18403</v>
      </c>
      <c r="P5521" s="2" t="s">
        <v>26</v>
      </c>
      <c r="Q5521" t="s">
        <v>50</v>
      </c>
      <c r="R5521">
        <v>36.76</v>
      </c>
      <c r="S5521">
        <v>36.76</v>
      </c>
      <c r="T5521" t="s">
        <v>18404</v>
      </c>
    </row>
    <row r="5522" spans="1:20" x14ac:dyDescent="0.25">
      <c r="A5522" s="1" t="str">
        <f>HYPERLINK("https://vegkart.atlas.vegvesen.no/#/@313996.7,6647976.9,18/hva:hva%5B0%5D%5Bfilter%5D%5B0%5D%5Boperator%5D=%21%3D&amp;hva%5B0%5D%5Bfilter%5D%5B0%5D%5Btype_id%5D=5897&amp;hva%5B0%5D%5Bfilter%5D%5B0%5D%5Bverdi%5D=&amp;hva%5B0%5D%5Bid%5D=47/når:2011-05-12", "Vegkart")</f>
        <v>Vegkart</v>
      </c>
      <c r="B5522">
        <v>276989866</v>
      </c>
      <c r="C5522">
        <v>47</v>
      </c>
      <c r="D5522" t="s">
        <v>16854</v>
      </c>
      <c r="E5522">
        <v>5897</v>
      </c>
      <c r="F5522" t="s">
        <v>23479</v>
      </c>
      <c r="G5522">
        <v>1</v>
      </c>
      <c r="H5522" t="s">
        <v>18398</v>
      </c>
      <c r="J5522" t="s">
        <v>7355</v>
      </c>
      <c r="K5522" t="s">
        <v>132</v>
      </c>
      <c r="L5522" t="s">
        <v>33</v>
      </c>
      <c r="M5522" t="s">
        <v>736</v>
      </c>
      <c r="N5522" t="s">
        <v>18405</v>
      </c>
      <c r="O5522" t="s">
        <v>18406</v>
      </c>
      <c r="P5522" s="2" t="s">
        <v>26</v>
      </c>
      <c r="Q5522" t="s">
        <v>50</v>
      </c>
      <c r="R5522">
        <v>35.79</v>
      </c>
      <c r="S5522">
        <v>77.180000000000007</v>
      </c>
      <c r="T5522" t="s">
        <v>18407</v>
      </c>
    </row>
    <row r="5523" spans="1:20" x14ac:dyDescent="0.25">
      <c r="A5523" s="1" t="str">
        <f>HYPERLINK("https://vegkart.atlas.vegvesen.no/#/@318798.5,6650460.5,18/hva:hva%5B0%5D%5Bfilter%5D%5B0%5D%5Boperator%5D=%21%3D&amp;hva%5B0%5D%5Bfilter%5D%5B0%5D%5Btype_id%5D=5897&amp;hva%5B0%5D%5Bfilter%5D%5B0%5D%5Bverdi%5D=&amp;hva%5B0%5D%5Bid%5D=47/når:2016-06-01", "Vegkart")</f>
        <v>Vegkart</v>
      </c>
      <c r="B5523">
        <v>276989893</v>
      </c>
      <c r="C5523">
        <v>47</v>
      </c>
      <c r="D5523" t="s">
        <v>16854</v>
      </c>
      <c r="E5523">
        <v>5897</v>
      </c>
      <c r="F5523" t="s">
        <v>23479</v>
      </c>
      <c r="G5523">
        <v>2</v>
      </c>
      <c r="H5523" t="s">
        <v>6557</v>
      </c>
      <c r="J5523" t="s">
        <v>7355</v>
      </c>
      <c r="K5523" t="s">
        <v>132</v>
      </c>
      <c r="L5523" t="s">
        <v>33</v>
      </c>
      <c r="M5523" t="s">
        <v>736</v>
      </c>
      <c r="N5523" t="s">
        <v>18408</v>
      </c>
      <c r="O5523" t="s">
        <v>18409</v>
      </c>
      <c r="P5523" s="2" t="s">
        <v>26</v>
      </c>
      <c r="Q5523" t="s">
        <v>50</v>
      </c>
      <c r="R5523">
        <v>59.15</v>
      </c>
      <c r="S5523">
        <v>61.64</v>
      </c>
      <c r="T5523" t="s">
        <v>18410</v>
      </c>
    </row>
    <row r="5524" spans="1:20" x14ac:dyDescent="0.25">
      <c r="A5524" s="1" t="str">
        <f>HYPERLINK("https://vegkart.atlas.vegvesen.no/#/@319877.2,6650622.5,18/hva:hva%5B0%5D%5Bfilter%5D%5B0%5D%5Boperator%5D=%21%3D&amp;hva%5B0%5D%5Bfilter%5D%5B0%5D%5Btype_id%5D=5897&amp;hva%5B0%5D%5Bfilter%5D%5B0%5D%5Bverdi%5D=&amp;hva%5B0%5D%5Bid%5D=47/når:2016-06-01", "Vegkart")</f>
        <v>Vegkart</v>
      </c>
      <c r="B5524">
        <v>276989895</v>
      </c>
      <c r="C5524">
        <v>47</v>
      </c>
      <c r="D5524" t="s">
        <v>16854</v>
      </c>
      <c r="E5524">
        <v>5897</v>
      </c>
      <c r="F5524" t="s">
        <v>23479</v>
      </c>
      <c r="G5524">
        <v>2</v>
      </c>
      <c r="H5524" t="s">
        <v>6557</v>
      </c>
      <c r="J5524" t="s">
        <v>7355</v>
      </c>
      <c r="K5524" t="s">
        <v>132</v>
      </c>
      <c r="L5524" t="s">
        <v>33</v>
      </c>
      <c r="M5524" t="s">
        <v>736</v>
      </c>
      <c r="N5524" t="s">
        <v>18411</v>
      </c>
      <c r="O5524" t="s">
        <v>18412</v>
      </c>
      <c r="P5524" s="2" t="s">
        <v>26</v>
      </c>
      <c r="Q5524" t="s">
        <v>50</v>
      </c>
      <c r="R5524">
        <v>48.3</v>
      </c>
      <c r="S5524">
        <v>48.82</v>
      </c>
      <c r="T5524" t="s">
        <v>18413</v>
      </c>
    </row>
    <row r="5525" spans="1:20" x14ac:dyDescent="0.25">
      <c r="A5525" s="1" t="str">
        <f>HYPERLINK("https://vegkart.atlas.vegvesen.no/#/@302672.9,6648575.2,18/hva:hva%5B0%5D%5Bfilter%5D%5B0%5D%5Boperator%5D=%21%3D&amp;hva%5B0%5D%5Bfilter%5D%5B0%5D%5Btype_id%5D=5897&amp;hva%5B0%5D%5Bfilter%5D%5B0%5D%5Bverdi%5D=&amp;hva%5B0%5D%5Bid%5D=47/når:2011-05-18", "Vegkart")</f>
        <v>Vegkart</v>
      </c>
      <c r="B5525">
        <v>284346074</v>
      </c>
      <c r="C5525">
        <v>47</v>
      </c>
      <c r="D5525" t="s">
        <v>16854</v>
      </c>
      <c r="E5525">
        <v>5897</v>
      </c>
      <c r="F5525" t="s">
        <v>23479</v>
      </c>
      <c r="G5525">
        <v>1</v>
      </c>
      <c r="H5525" t="s">
        <v>17219</v>
      </c>
      <c r="J5525" t="s">
        <v>7355</v>
      </c>
      <c r="K5525" t="s">
        <v>132</v>
      </c>
      <c r="L5525" t="s">
        <v>33</v>
      </c>
      <c r="M5525" t="s">
        <v>18414</v>
      </c>
      <c r="N5525" t="s">
        <v>18415</v>
      </c>
      <c r="O5525" t="s">
        <v>18416</v>
      </c>
      <c r="P5525" s="2" t="s">
        <v>26</v>
      </c>
      <c r="Q5525" t="s">
        <v>50</v>
      </c>
      <c r="R5525">
        <v>75.180000000000007</v>
      </c>
      <c r="S5525">
        <v>101.82</v>
      </c>
      <c r="T5525" t="s">
        <v>18417</v>
      </c>
    </row>
    <row r="5526" spans="1:20" x14ac:dyDescent="0.25">
      <c r="A5526" s="1" t="str">
        <f>HYPERLINK("https://vegkart.atlas.vegvesen.no/#/@297894.5,6635005.4,18/hva:hva%5B0%5D%5Bfilter%5D%5B0%5D%5Boperator%5D=%21%3D&amp;hva%5B0%5D%5Bfilter%5D%5B0%5D%5Btype_id%5D=5897&amp;hva%5B0%5D%5Bfilter%5D%5B0%5D%5Bverdi%5D=&amp;hva%5B0%5D%5Bid%5D=47/når:2011-05-16", "Vegkart")</f>
        <v>Vegkart</v>
      </c>
      <c r="B5526">
        <v>284346239</v>
      </c>
      <c r="C5526">
        <v>47</v>
      </c>
      <c r="D5526" t="s">
        <v>16854</v>
      </c>
      <c r="E5526">
        <v>5897</v>
      </c>
      <c r="F5526" t="s">
        <v>23479</v>
      </c>
      <c r="G5526">
        <v>1</v>
      </c>
      <c r="H5526" t="s">
        <v>18418</v>
      </c>
      <c r="J5526" t="s">
        <v>7355</v>
      </c>
      <c r="K5526" t="s">
        <v>132</v>
      </c>
      <c r="L5526" t="s">
        <v>33</v>
      </c>
      <c r="M5526" t="s">
        <v>18419</v>
      </c>
      <c r="N5526" t="s">
        <v>18420</v>
      </c>
      <c r="O5526" t="s">
        <v>18421</v>
      </c>
      <c r="P5526" s="2" t="s">
        <v>26</v>
      </c>
      <c r="Q5526" t="s">
        <v>50</v>
      </c>
      <c r="R5526">
        <v>38.200000000000003</v>
      </c>
      <c r="S5526">
        <v>53.93</v>
      </c>
      <c r="T5526" t="s">
        <v>18422</v>
      </c>
    </row>
    <row r="5527" spans="1:20" x14ac:dyDescent="0.25">
      <c r="A5527" s="1" t="str">
        <f>HYPERLINK("https://vegkart.atlas.vegvesen.no/#/@297903.1,6635023.9,18/hva:hva%5B0%5D%5Bfilter%5D%5B0%5D%5Boperator%5D=%21%3D&amp;hva%5B0%5D%5Bfilter%5D%5B0%5D%5Btype_id%5D=5897&amp;hva%5B0%5D%5Bfilter%5D%5B0%5D%5Bverdi%5D=&amp;hva%5B0%5D%5Bid%5D=47/når:2011-05-16", "Vegkart")</f>
        <v>Vegkart</v>
      </c>
      <c r="B5527">
        <v>284346241</v>
      </c>
      <c r="C5527">
        <v>47</v>
      </c>
      <c r="D5527" t="s">
        <v>16854</v>
      </c>
      <c r="E5527">
        <v>5897</v>
      </c>
      <c r="F5527" t="s">
        <v>23479</v>
      </c>
      <c r="G5527">
        <v>1</v>
      </c>
      <c r="H5527" t="s">
        <v>18418</v>
      </c>
      <c r="J5527" t="s">
        <v>7355</v>
      </c>
      <c r="K5527" t="s">
        <v>132</v>
      </c>
      <c r="L5527" t="s">
        <v>33</v>
      </c>
      <c r="M5527" t="s">
        <v>18419</v>
      </c>
      <c r="N5527" t="s">
        <v>18423</v>
      </c>
      <c r="O5527" t="s">
        <v>18424</v>
      </c>
      <c r="P5527" s="2" t="s">
        <v>26</v>
      </c>
      <c r="Q5527" t="s">
        <v>50</v>
      </c>
      <c r="R5527">
        <v>36.14</v>
      </c>
      <c r="S5527">
        <v>36.43</v>
      </c>
      <c r="T5527" t="s">
        <v>18425</v>
      </c>
    </row>
    <row r="5528" spans="1:20" x14ac:dyDescent="0.25">
      <c r="A5528" s="1" t="str">
        <f>HYPERLINK("https://vegkart.atlas.vegvesen.no/#/@306029.9,6618911.1,18/hva:hva%5B0%5D%5Bfilter%5D%5B0%5D%5Boperator%5D=%21%3D&amp;hva%5B0%5D%5Bfilter%5D%5B0%5D%5Btype_id%5D=5897&amp;hva%5B0%5D%5Bfilter%5D%5B0%5D%5Bverdi%5D=&amp;hva%5B0%5D%5Bid%5D=47/når:2011-06-10", "Vegkart")</f>
        <v>Vegkart</v>
      </c>
      <c r="B5528">
        <v>285793018</v>
      </c>
      <c r="C5528">
        <v>47</v>
      </c>
      <c r="D5528" t="s">
        <v>16854</v>
      </c>
      <c r="E5528">
        <v>5897</v>
      </c>
      <c r="F5528" t="s">
        <v>23479</v>
      </c>
      <c r="G5528">
        <v>1</v>
      </c>
      <c r="H5528" t="s">
        <v>17240</v>
      </c>
      <c r="J5528" t="s">
        <v>18426</v>
      </c>
      <c r="K5528" t="s">
        <v>132</v>
      </c>
      <c r="L5528" t="s">
        <v>33</v>
      </c>
      <c r="M5528" t="s">
        <v>5982</v>
      </c>
      <c r="N5528" t="s">
        <v>18427</v>
      </c>
      <c r="O5528" t="s">
        <v>18428</v>
      </c>
      <c r="P5528" s="2" t="s">
        <v>26</v>
      </c>
      <c r="Q5528" t="s">
        <v>50</v>
      </c>
      <c r="R5528">
        <v>44.93</v>
      </c>
      <c r="S5528">
        <v>45.56</v>
      </c>
      <c r="T5528" t="s">
        <v>18429</v>
      </c>
    </row>
    <row r="5529" spans="1:20" x14ac:dyDescent="0.25">
      <c r="A5529" s="1" t="str">
        <f>HYPERLINK("https://vegkart.atlas.vegvesen.no/#/@306035.7,6618921.7,18/hva:hva%5B0%5D%5Bfilter%5D%5B0%5D%5Boperator%5D=%21%3D&amp;hva%5B0%5D%5Bfilter%5D%5B0%5D%5Btype_id%5D=5897&amp;hva%5B0%5D%5Bfilter%5D%5B0%5D%5Bverdi%5D=&amp;hva%5B0%5D%5Bid%5D=47/når:2011-06-10", "Vegkart")</f>
        <v>Vegkart</v>
      </c>
      <c r="B5529">
        <v>285793020</v>
      </c>
      <c r="C5529">
        <v>47</v>
      </c>
      <c r="D5529" t="s">
        <v>16854</v>
      </c>
      <c r="E5529">
        <v>5897</v>
      </c>
      <c r="F5529" t="s">
        <v>23479</v>
      </c>
      <c r="G5529">
        <v>1</v>
      </c>
      <c r="H5529" t="s">
        <v>17240</v>
      </c>
      <c r="J5529" t="s">
        <v>18426</v>
      </c>
      <c r="K5529" t="s">
        <v>132</v>
      </c>
      <c r="L5529" t="s">
        <v>33</v>
      </c>
      <c r="M5529" t="s">
        <v>5982</v>
      </c>
      <c r="N5529" t="s">
        <v>18430</v>
      </c>
      <c r="O5529" t="s">
        <v>18431</v>
      </c>
      <c r="P5529" s="2" t="s">
        <v>26</v>
      </c>
      <c r="Q5529" t="s">
        <v>50</v>
      </c>
      <c r="R5529">
        <v>35.57</v>
      </c>
      <c r="S5529">
        <v>36</v>
      </c>
      <c r="T5529" t="s">
        <v>18432</v>
      </c>
    </row>
    <row r="5530" spans="1:20" x14ac:dyDescent="0.25">
      <c r="A5530" s="1" t="str">
        <f>HYPERLINK("https://vegkart.atlas.vegvesen.no/#/@241562.0,6590851.6,18/hva:hva%5B0%5D%5Bfilter%5D%5B0%5D%5Boperator%5D=%21%3D&amp;hva%5B0%5D%5Bfilter%5D%5B0%5D%5Btype_id%5D=5897&amp;hva%5B0%5D%5Bfilter%5D%5B0%5D%5Bverdi%5D=&amp;hva%5B0%5D%5Bid%5D=47/når:2013-12-08", "Vegkart")</f>
        <v>Vegkart</v>
      </c>
      <c r="B5530">
        <v>290920335</v>
      </c>
      <c r="C5530">
        <v>47</v>
      </c>
      <c r="D5530" t="s">
        <v>16854</v>
      </c>
      <c r="E5530">
        <v>5897</v>
      </c>
      <c r="F5530" t="s">
        <v>23479</v>
      </c>
      <c r="G5530">
        <v>2</v>
      </c>
      <c r="H5530" t="s">
        <v>17544</v>
      </c>
      <c r="J5530" t="s">
        <v>18433</v>
      </c>
      <c r="K5530" t="s">
        <v>81</v>
      </c>
      <c r="L5530" t="s">
        <v>33</v>
      </c>
      <c r="M5530" t="s">
        <v>4461</v>
      </c>
      <c r="N5530" t="s">
        <v>18434</v>
      </c>
      <c r="O5530" t="s">
        <v>18435</v>
      </c>
      <c r="P5530" s="2" t="s">
        <v>26</v>
      </c>
      <c r="Q5530" t="s">
        <v>50</v>
      </c>
      <c r="R5530">
        <v>41.3</v>
      </c>
      <c r="S5530">
        <v>41.59</v>
      </c>
      <c r="T5530" t="s">
        <v>18436</v>
      </c>
    </row>
    <row r="5531" spans="1:20" x14ac:dyDescent="0.25">
      <c r="A5531" s="1" t="str">
        <f>HYPERLINK("https://vegkart.atlas.vegvesen.no/#/@288270.0,6683383.3,18/hva:hva%5B0%5D%5Bfilter%5D%5B0%5D%5Boperator%5D=%21%3D&amp;hva%5B0%5D%5Bfilter%5D%5B0%5D%5Btype_id%5D=5897&amp;hva%5B0%5D%5Bfilter%5D%5B0%5D%5Bverdi%5D=&amp;hva%5B0%5D%5Bid%5D=47/når:2011-08-19", "Vegkart")</f>
        <v>Vegkart</v>
      </c>
      <c r="B5531">
        <v>295553621</v>
      </c>
      <c r="C5531">
        <v>47</v>
      </c>
      <c r="D5531" t="s">
        <v>16854</v>
      </c>
      <c r="E5531">
        <v>5897</v>
      </c>
      <c r="F5531" t="s">
        <v>23479</v>
      </c>
      <c r="G5531">
        <v>1</v>
      </c>
      <c r="H5531" t="s">
        <v>18437</v>
      </c>
      <c r="J5531" t="s">
        <v>18438</v>
      </c>
      <c r="K5531" t="s">
        <v>132</v>
      </c>
      <c r="L5531" t="s">
        <v>33</v>
      </c>
      <c r="M5531" t="s">
        <v>18439</v>
      </c>
      <c r="N5531" t="s">
        <v>18440</v>
      </c>
      <c r="O5531" t="s">
        <v>18441</v>
      </c>
      <c r="P5531" s="2" t="s">
        <v>26</v>
      </c>
      <c r="Q5531" t="s">
        <v>50</v>
      </c>
      <c r="R5531">
        <v>47.84</v>
      </c>
      <c r="S5531">
        <v>47.84</v>
      </c>
      <c r="T5531" t="s">
        <v>18442</v>
      </c>
    </row>
    <row r="5532" spans="1:20" x14ac:dyDescent="0.25">
      <c r="A5532" s="1" t="str">
        <f>HYPERLINK("https://vegkart.atlas.vegvesen.no/#/@244568.4,6637857.3,18/hva:hva%5B0%5D%5Bfilter%5D%5B0%5D%5Boperator%5D=%21%3D&amp;hva%5B0%5D%5Bfilter%5D%5B0%5D%5Btype_id%5D=5897&amp;hva%5B0%5D%5Bfilter%5D%5B0%5D%5Bverdi%5D=&amp;hva%5B0%5D%5Bid%5D=47/når:2017-05-19", "Vegkart")</f>
        <v>Vegkart</v>
      </c>
      <c r="B5532">
        <v>305496287</v>
      </c>
      <c r="C5532">
        <v>47</v>
      </c>
      <c r="D5532" t="s">
        <v>16854</v>
      </c>
      <c r="E5532">
        <v>5897</v>
      </c>
      <c r="F5532" t="s">
        <v>23479</v>
      </c>
      <c r="G5532">
        <v>4</v>
      </c>
      <c r="H5532" t="s">
        <v>17228</v>
      </c>
      <c r="J5532" t="s">
        <v>18438</v>
      </c>
      <c r="K5532" t="s">
        <v>132</v>
      </c>
      <c r="L5532" t="s">
        <v>33</v>
      </c>
      <c r="M5532" t="s">
        <v>17229</v>
      </c>
      <c r="N5532" t="s">
        <v>18443</v>
      </c>
      <c r="O5532" t="s">
        <v>18444</v>
      </c>
      <c r="P5532" s="2" t="s">
        <v>26</v>
      </c>
      <c r="Q5532" t="s">
        <v>50</v>
      </c>
      <c r="R5532">
        <v>85.73</v>
      </c>
      <c r="S5532">
        <v>90.7</v>
      </c>
      <c r="T5532" t="s">
        <v>18445</v>
      </c>
    </row>
    <row r="5533" spans="1:20" x14ac:dyDescent="0.25">
      <c r="A5533" s="1" t="str">
        <f>HYPERLINK("https://vegkart.atlas.vegvesen.no/#/@29554.3,6467235.3,18/hva:hva%5B0%5D%5Bfilter%5D%5B0%5D%5Boperator%5D=%21%3D&amp;hva%5B0%5D%5Bfilter%5D%5B0%5D%5Btype_id%5D=5897&amp;hva%5B0%5D%5Bfilter%5D%5B0%5D%5Bverdi%5D=&amp;hva%5B0%5D%5Bid%5D=47/når:2017-03-24", "Vegkart")</f>
        <v>Vegkart</v>
      </c>
      <c r="B5533">
        <v>316620985</v>
      </c>
      <c r="C5533">
        <v>47</v>
      </c>
      <c r="D5533" t="s">
        <v>16854</v>
      </c>
      <c r="E5533">
        <v>5897</v>
      </c>
      <c r="F5533" t="s">
        <v>23479</v>
      </c>
      <c r="G5533">
        <v>3</v>
      </c>
      <c r="H5533" t="s">
        <v>17478</v>
      </c>
      <c r="J5533" t="s">
        <v>18438</v>
      </c>
      <c r="K5533" t="s">
        <v>86</v>
      </c>
      <c r="L5533" t="s">
        <v>33</v>
      </c>
      <c r="M5533" t="s">
        <v>17479</v>
      </c>
      <c r="N5533" t="s">
        <v>18446</v>
      </c>
      <c r="O5533" t="s">
        <v>18447</v>
      </c>
      <c r="P5533" s="2" t="s">
        <v>26</v>
      </c>
      <c r="Q5533" t="s">
        <v>50</v>
      </c>
      <c r="R5533">
        <v>34.78</v>
      </c>
      <c r="S5533">
        <v>34.78</v>
      </c>
      <c r="T5533" t="s">
        <v>18448</v>
      </c>
    </row>
    <row r="5534" spans="1:20" x14ac:dyDescent="0.25">
      <c r="A5534" s="1" t="str">
        <f>HYPERLINK("https://vegkart.atlas.vegvesen.no/#/@32016.9,6755100.9,18/hva:hva%5B0%5D%5Bfilter%5D%5B0%5D%5Boperator%5D=%21%3D&amp;hva%5B0%5D%5Bfilter%5D%5B0%5D%5Btype_id%5D=5897&amp;hva%5B0%5D%5Bfilter%5D%5B0%5D%5Bverdi%5D=&amp;hva%5B0%5D%5Bid%5D=47/når:2013-07-15", "Vegkart")</f>
        <v>Vegkart</v>
      </c>
      <c r="B5534">
        <v>323110736</v>
      </c>
      <c r="C5534">
        <v>47</v>
      </c>
      <c r="D5534" t="s">
        <v>16854</v>
      </c>
      <c r="E5534">
        <v>5897</v>
      </c>
      <c r="F5534" t="s">
        <v>23479</v>
      </c>
      <c r="G5534">
        <v>2</v>
      </c>
      <c r="H5534" t="s">
        <v>18449</v>
      </c>
      <c r="J5534" t="s">
        <v>18450</v>
      </c>
      <c r="K5534" t="s">
        <v>21</v>
      </c>
      <c r="L5534" t="s">
        <v>33</v>
      </c>
      <c r="M5534" t="s">
        <v>18451</v>
      </c>
      <c r="N5534" t="s">
        <v>18452</v>
      </c>
      <c r="O5534" t="s">
        <v>18453</v>
      </c>
      <c r="P5534" s="2" t="s">
        <v>26</v>
      </c>
      <c r="Q5534" t="s">
        <v>50</v>
      </c>
      <c r="R5534">
        <v>24.86</v>
      </c>
      <c r="S5534">
        <v>25.51</v>
      </c>
      <c r="T5534" t="s">
        <v>18454</v>
      </c>
    </row>
    <row r="5535" spans="1:20" x14ac:dyDescent="0.25">
      <c r="A5535" s="1" t="str">
        <f>HYPERLINK("https://vegkart.atlas.vegvesen.no/#/@44595.3,6465532.3,18/hva:hva%5B0%5D%5Bfilter%5D%5B0%5D%5Boperator%5D=%21%3D&amp;hva%5B0%5D%5Bfilter%5D%5B0%5D%5Btype_id%5D=5897&amp;hva%5B0%5D%5Bfilter%5D%5B0%5D%5Bverdi%5D=&amp;hva%5B0%5D%5Bid%5D=47/når:2016-04-25", "Vegkart")</f>
        <v>Vegkart</v>
      </c>
      <c r="B5535">
        <v>328371670</v>
      </c>
      <c r="C5535">
        <v>47</v>
      </c>
      <c r="D5535" t="s">
        <v>16854</v>
      </c>
      <c r="E5535">
        <v>5897</v>
      </c>
      <c r="F5535" t="s">
        <v>23479</v>
      </c>
      <c r="G5535">
        <v>2</v>
      </c>
      <c r="H5535" t="s">
        <v>9709</v>
      </c>
      <c r="J5535" t="s">
        <v>18450</v>
      </c>
      <c r="K5535" t="s">
        <v>86</v>
      </c>
      <c r="L5535" t="s">
        <v>80</v>
      </c>
      <c r="M5535" t="s">
        <v>81</v>
      </c>
      <c r="N5535" t="s">
        <v>18455</v>
      </c>
      <c r="O5535" t="s">
        <v>18456</v>
      </c>
      <c r="P5535" s="2" t="s">
        <v>26</v>
      </c>
      <c r="Q5535" t="s">
        <v>50</v>
      </c>
      <c r="R5535">
        <v>63.46</v>
      </c>
      <c r="S5535">
        <v>63.46</v>
      </c>
      <c r="T5535" t="s">
        <v>18457</v>
      </c>
    </row>
    <row r="5536" spans="1:20" x14ac:dyDescent="0.25">
      <c r="A5536" s="1" t="str">
        <f>HYPERLINK("https://vegkart.atlas.vegvesen.no/#/@44011.0,6465924.4,18/hva:hva%5B0%5D%5Bfilter%5D%5B0%5D%5Boperator%5D=%21%3D&amp;hva%5B0%5D%5Bfilter%5D%5B0%5D%5Btype_id%5D=5897&amp;hva%5B0%5D%5Bfilter%5D%5B0%5D%5Bverdi%5D=&amp;hva%5B0%5D%5Bid%5D=47/når:2016-04-25", "Vegkart")</f>
        <v>Vegkart</v>
      </c>
      <c r="B5536">
        <v>328371671</v>
      </c>
      <c r="C5536">
        <v>47</v>
      </c>
      <c r="D5536" t="s">
        <v>16854</v>
      </c>
      <c r="E5536">
        <v>5897</v>
      </c>
      <c r="F5536" t="s">
        <v>23479</v>
      </c>
      <c r="G5536">
        <v>2</v>
      </c>
      <c r="H5536" t="s">
        <v>9709</v>
      </c>
      <c r="J5536" t="s">
        <v>18450</v>
      </c>
      <c r="K5536" t="s">
        <v>86</v>
      </c>
      <c r="L5536" t="s">
        <v>80</v>
      </c>
      <c r="M5536" t="s">
        <v>81</v>
      </c>
      <c r="N5536" t="s">
        <v>18458</v>
      </c>
      <c r="O5536" t="s">
        <v>18459</v>
      </c>
      <c r="P5536" s="2" t="s">
        <v>26</v>
      </c>
      <c r="Q5536" t="s">
        <v>50</v>
      </c>
      <c r="R5536">
        <v>64.099999999999994</v>
      </c>
      <c r="S5536">
        <v>64.099999999999994</v>
      </c>
      <c r="T5536" t="s">
        <v>18460</v>
      </c>
    </row>
    <row r="5537" spans="1:20" x14ac:dyDescent="0.25">
      <c r="A5537" s="1" t="str">
        <f>HYPERLINK("https://vegkart.atlas.vegvesen.no/#/@43484.8,6466301.5,18/hva:hva%5B0%5D%5Bfilter%5D%5B0%5D%5Boperator%5D=%21%3D&amp;hva%5B0%5D%5Bfilter%5D%5B0%5D%5Btype_id%5D=5897&amp;hva%5B0%5D%5Bfilter%5D%5B0%5D%5Bverdi%5D=&amp;hva%5B0%5D%5Bid%5D=47/når:2016-04-25", "Vegkart")</f>
        <v>Vegkart</v>
      </c>
      <c r="B5537">
        <v>328371672</v>
      </c>
      <c r="C5537">
        <v>47</v>
      </c>
      <c r="D5537" t="s">
        <v>16854</v>
      </c>
      <c r="E5537">
        <v>5897</v>
      </c>
      <c r="F5537" t="s">
        <v>23479</v>
      </c>
      <c r="G5537">
        <v>2</v>
      </c>
      <c r="H5537" t="s">
        <v>9709</v>
      </c>
      <c r="J5537" t="s">
        <v>18450</v>
      </c>
      <c r="K5537" t="s">
        <v>86</v>
      </c>
      <c r="L5537" t="s">
        <v>80</v>
      </c>
      <c r="M5537" t="s">
        <v>81</v>
      </c>
      <c r="N5537" t="s">
        <v>18461</v>
      </c>
      <c r="O5537" t="s">
        <v>18462</v>
      </c>
      <c r="P5537" s="2" t="s">
        <v>26</v>
      </c>
      <c r="Q5537" t="s">
        <v>50</v>
      </c>
      <c r="R5537">
        <v>65.92</v>
      </c>
      <c r="S5537">
        <v>65.92</v>
      </c>
      <c r="T5537" t="s">
        <v>18463</v>
      </c>
    </row>
    <row r="5538" spans="1:20" x14ac:dyDescent="0.25">
      <c r="A5538" s="1" t="str">
        <f>HYPERLINK("https://vegkart.atlas.vegvesen.no/#/@43317.1,6466442.2,18/hva:hva%5B0%5D%5Bfilter%5D%5B0%5D%5Boperator%5D=%21%3D&amp;hva%5B0%5D%5Bfilter%5D%5B0%5D%5Btype_id%5D=5897&amp;hva%5B0%5D%5Bfilter%5D%5B0%5D%5Bverdi%5D=&amp;hva%5B0%5D%5Bid%5D=47/når:2016-04-25", "Vegkart")</f>
        <v>Vegkart</v>
      </c>
      <c r="B5538">
        <v>328371673</v>
      </c>
      <c r="C5538">
        <v>47</v>
      </c>
      <c r="D5538" t="s">
        <v>16854</v>
      </c>
      <c r="E5538">
        <v>5897</v>
      </c>
      <c r="F5538" t="s">
        <v>23479</v>
      </c>
      <c r="G5538">
        <v>2</v>
      </c>
      <c r="H5538" t="s">
        <v>9709</v>
      </c>
      <c r="J5538" t="s">
        <v>18450</v>
      </c>
      <c r="K5538" t="s">
        <v>86</v>
      </c>
      <c r="L5538" t="s">
        <v>80</v>
      </c>
      <c r="M5538" t="s">
        <v>81</v>
      </c>
      <c r="N5538" t="s">
        <v>18464</v>
      </c>
      <c r="O5538" t="s">
        <v>18465</v>
      </c>
      <c r="P5538" s="2" t="s">
        <v>26</v>
      </c>
      <c r="Q5538" t="s">
        <v>50</v>
      </c>
      <c r="R5538">
        <v>66.430000000000007</v>
      </c>
      <c r="S5538">
        <v>66.430000000000007</v>
      </c>
      <c r="T5538" t="s">
        <v>18466</v>
      </c>
    </row>
    <row r="5539" spans="1:20" x14ac:dyDescent="0.25">
      <c r="A5539" s="1" t="str">
        <f>HYPERLINK("https://vegkart.atlas.vegvesen.no/#/@170763.6,6693144.6,18/hva:hva%5B0%5D%5Bfilter%5D%5B0%5D%5Boperator%5D=%21%3D&amp;hva%5B0%5D%5Bfilter%5D%5B0%5D%5Btype_id%5D=5897&amp;hva%5B0%5D%5Bfilter%5D%5B0%5D%5Bverdi%5D=&amp;hva%5B0%5D%5Bid%5D=47/når:2016-12-13", "Vegkart")</f>
        <v>Vegkart</v>
      </c>
      <c r="B5539">
        <v>330122767</v>
      </c>
      <c r="C5539">
        <v>47</v>
      </c>
      <c r="D5539" t="s">
        <v>16854</v>
      </c>
      <c r="E5539">
        <v>5897</v>
      </c>
      <c r="F5539" t="s">
        <v>23479</v>
      </c>
      <c r="G5539">
        <v>2</v>
      </c>
      <c r="H5539" t="s">
        <v>18467</v>
      </c>
      <c r="J5539" t="s">
        <v>18450</v>
      </c>
      <c r="K5539" t="s">
        <v>307</v>
      </c>
      <c r="L5539" t="s">
        <v>33</v>
      </c>
      <c r="M5539" t="s">
        <v>1351</v>
      </c>
      <c r="N5539" t="s">
        <v>18468</v>
      </c>
      <c r="O5539" t="s">
        <v>18469</v>
      </c>
      <c r="P5539" s="2" t="s">
        <v>26</v>
      </c>
      <c r="Q5539" t="s">
        <v>50</v>
      </c>
      <c r="R5539">
        <v>39.58</v>
      </c>
      <c r="S5539">
        <v>39.799999999999997</v>
      </c>
      <c r="T5539" t="s">
        <v>18470</v>
      </c>
    </row>
    <row r="5540" spans="1:20" x14ac:dyDescent="0.25">
      <c r="A5540" s="1" t="str">
        <f>HYPERLINK("https://vegkart.atlas.vegvesen.no/#/@-8073.6,6788037.9,18/hva:hva%5B0%5D%5Bfilter%5D%5B0%5D%5Boperator%5D=%21%3D&amp;hva%5B0%5D%5Bfilter%5D%5B0%5D%5Btype_id%5D=5897&amp;hva%5B0%5D%5Bfilter%5D%5B0%5D%5Bverdi%5D=&amp;hva%5B0%5D%5Bid%5D=47/når:2025-06-11", "Vegkart")</f>
        <v>Vegkart</v>
      </c>
      <c r="B5540">
        <v>340965838</v>
      </c>
      <c r="C5540">
        <v>47</v>
      </c>
      <c r="D5540" t="s">
        <v>16854</v>
      </c>
      <c r="E5540">
        <v>5897</v>
      </c>
      <c r="F5540" t="s">
        <v>23479</v>
      </c>
      <c r="G5540">
        <v>2</v>
      </c>
      <c r="H5540" t="s">
        <v>16860</v>
      </c>
      <c r="J5540" t="s">
        <v>18471</v>
      </c>
      <c r="K5540" t="s">
        <v>21</v>
      </c>
      <c r="L5540" t="s">
        <v>33</v>
      </c>
      <c r="M5540" t="s">
        <v>18053</v>
      </c>
      <c r="N5540" t="s">
        <v>18472</v>
      </c>
      <c r="O5540" t="s">
        <v>18473</v>
      </c>
      <c r="P5540" s="2" t="s">
        <v>26</v>
      </c>
      <c r="Q5540" t="s">
        <v>50</v>
      </c>
      <c r="R5540">
        <v>39.29</v>
      </c>
      <c r="S5540">
        <v>39.49</v>
      </c>
      <c r="T5540" t="s">
        <v>18474</v>
      </c>
    </row>
    <row r="5541" spans="1:20" x14ac:dyDescent="0.25">
      <c r="A5541" s="1" t="str">
        <f>HYPERLINK("https://vegkart.atlas.vegvesen.no/#/@-6993.0,6789167.3,18/hva:hva%5B0%5D%5Bfilter%5D%5B0%5D%5Boperator%5D=%21%3D&amp;hva%5B0%5D%5Bfilter%5D%5B0%5D%5Btype_id%5D=5897&amp;hva%5B0%5D%5Bfilter%5D%5B0%5D%5Bverdi%5D=&amp;hva%5B0%5D%5Bid%5D=47/når:2025-06-12", "Vegkart")</f>
        <v>Vegkart</v>
      </c>
      <c r="B5541">
        <v>340965944</v>
      </c>
      <c r="C5541">
        <v>47</v>
      </c>
      <c r="D5541" t="s">
        <v>16854</v>
      </c>
      <c r="E5541">
        <v>5897</v>
      </c>
      <c r="F5541" t="s">
        <v>23479</v>
      </c>
      <c r="G5541">
        <v>2</v>
      </c>
      <c r="H5541" t="s">
        <v>1788</v>
      </c>
      <c r="J5541" t="s">
        <v>18471</v>
      </c>
      <c r="K5541" t="s">
        <v>21</v>
      </c>
      <c r="L5541" t="s">
        <v>33</v>
      </c>
      <c r="M5541" t="s">
        <v>18053</v>
      </c>
      <c r="N5541" t="s">
        <v>18475</v>
      </c>
      <c r="O5541" t="s">
        <v>18476</v>
      </c>
      <c r="P5541" s="2" t="s">
        <v>26</v>
      </c>
      <c r="Q5541" t="s">
        <v>50</v>
      </c>
      <c r="R5541">
        <v>41.9</v>
      </c>
      <c r="S5541">
        <v>42.15</v>
      </c>
      <c r="T5541" t="s">
        <v>18477</v>
      </c>
    </row>
    <row r="5542" spans="1:20" x14ac:dyDescent="0.25">
      <c r="A5542" s="1" t="str">
        <f>HYPERLINK("https://vegkart.atlas.vegvesen.no/#/@-3743.3,6792021.0,18/hva:hva%5B0%5D%5Bfilter%5D%5B0%5D%5Boperator%5D=%21%3D&amp;hva%5B0%5D%5Bfilter%5D%5B0%5D%5Btype_id%5D=5897&amp;hva%5B0%5D%5Bfilter%5D%5B0%5D%5Bverdi%5D=&amp;hva%5B0%5D%5Bid%5D=47/når:2025-06-12", "Vegkart")</f>
        <v>Vegkart</v>
      </c>
      <c r="B5542">
        <v>340965962</v>
      </c>
      <c r="C5542">
        <v>47</v>
      </c>
      <c r="D5542" t="s">
        <v>16854</v>
      </c>
      <c r="E5542">
        <v>5897</v>
      </c>
      <c r="F5542" t="s">
        <v>23479</v>
      </c>
      <c r="G5542">
        <v>2</v>
      </c>
      <c r="H5542" t="s">
        <v>1788</v>
      </c>
      <c r="J5542" t="s">
        <v>18471</v>
      </c>
      <c r="K5542" t="s">
        <v>21</v>
      </c>
      <c r="L5542" t="s">
        <v>33</v>
      </c>
      <c r="M5542" t="s">
        <v>18053</v>
      </c>
      <c r="N5542" t="s">
        <v>18478</v>
      </c>
      <c r="O5542" t="s">
        <v>18479</v>
      </c>
      <c r="P5542" s="2" t="s">
        <v>26</v>
      </c>
      <c r="Q5542" t="s">
        <v>50</v>
      </c>
      <c r="R5542">
        <v>18.309999999999999</v>
      </c>
      <c r="S5542">
        <v>18.440000000000001</v>
      </c>
      <c r="T5542" t="s">
        <v>18480</v>
      </c>
    </row>
    <row r="5543" spans="1:20" x14ac:dyDescent="0.25">
      <c r="A5543" s="1" t="str">
        <f>HYPERLINK("https://vegkart.atlas.vegvesen.no/#/@-3484.6,6792581.1,18/hva:hva%5B0%5D%5Bfilter%5D%5B0%5D%5Boperator%5D=%21%3D&amp;hva%5B0%5D%5Bfilter%5D%5B0%5D%5Btype_id%5D=5897&amp;hva%5B0%5D%5Bfilter%5D%5B0%5D%5Bverdi%5D=&amp;hva%5B0%5D%5Bid%5D=47/når:2025-06-12", "Vegkart")</f>
        <v>Vegkart</v>
      </c>
      <c r="B5543">
        <v>340965963</v>
      </c>
      <c r="C5543">
        <v>47</v>
      </c>
      <c r="D5543" t="s">
        <v>16854</v>
      </c>
      <c r="E5543">
        <v>5897</v>
      </c>
      <c r="F5543" t="s">
        <v>23479</v>
      </c>
      <c r="G5543">
        <v>2</v>
      </c>
      <c r="H5543" t="s">
        <v>1788</v>
      </c>
      <c r="J5543" t="s">
        <v>18471</v>
      </c>
      <c r="K5543" t="s">
        <v>21</v>
      </c>
      <c r="L5543" t="s">
        <v>33</v>
      </c>
      <c r="M5543" t="s">
        <v>18053</v>
      </c>
      <c r="N5543" t="s">
        <v>18481</v>
      </c>
      <c r="O5543" t="s">
        <v>18482</v>
      </c>
      <c r="P5543" s="2" t="s">
        <v>26</v>
      </c>
      <c r="Q5543" t="s">
        <v>50</v>
      </c>
      <c r="R5543">
        <v>25.26</v>
      </c>
      <c r="S5543">
        <v>25.51</v>
      </c>
      <c r="T5543" t="s">
        <v>18483</v>
      </c>
    </row>
    <row r="5544" spans="1:20" x14ac:dyDescent="0.25">
      <c r="A5544" s="1" t="str">
        <f>HYPERLINK("https://vegkart.atlas.vegvesen.no/#/@-2839.8,6793601.2,18/hva:hva%5B0%5D%5Bfilter%5D%5B0%5D%5Boperator%5D=%21%3D&amp;hva%5B0%5D%5Bfilter%5D%5B0%5D%5Btype_id%5D=5897&amp;hva%5B0%5D%5Bfilter%5D%5B0%5D%5Bverdi%5D=&amp;hva%5B0%5D%5Bid%5D=47/når:2025-06-12", "Vegkart")</f>
        <v>Vegkart</v>
      </c>
      <c r="B5544">
        <v>340965979</v>
      </c>
      <c r="C5544">
        <v>47</v>
      </c>
      <c r="D5544" t="s">
        <v>16854</v>
      </c>
      <c r="E5544">
        <v>5897</v>
      </c>
      <c r="F5544" t="s">
        <v>23479</v>
      </c>
      <c r="G5544">
        <v>2</v>
      </c>
      <c r="H5544" t="s">
        <v>1788</v>
      </c>
      <c r="J5544" t="s">
        <v>18471</v>
      </c>
      <c r="K5544" t="s">
        <v>21</v>
      </c>
      <c r="L5544" t="s">
        <v>33</v>
      </c>
      <c r="M5544" t="s">
        <v>18053</v>
      </c>
      <c r="N5544" t="s">
        <v>18484</v>
      </c>
      <c r="O5544" t="s">
        <v>18485</v>
      </c>
      <c r="P5544" s="2" t="s">
        <v>26</v>
      </c>
      <c r="Q5544" t="s">
        <v>50</v>
      </c>
      <c r="R5544">
        <v>16.940000000000001</v>
      </c>
      <c r="S5544">
        <v>17.14</v>
      </c>
      <c r="T5544" t="s">
        <v>18486</v>
      </c>
    </row>
    <row r="5545" spans="1:20" x14ac:dyDescent="0.25">
      <c r="A5545" s="1" t="str">
        <f>HYPERLINK("https://vegkart.atlas.vegvesen.no/#/@-2631.5,6793823.8,18/hva:hva%5B0%5D%5Bfilter%5D%5B0%5D%5Boperator%5D=%21%3D&amp;hva%5B0%5D%5Bfilter%5D%5B0%5D%5Btype_id%5D=5897&amp;hva%5B0%5D%5Bfilter%5D%5B0%5D%5Bverdi%5D=&amp;hva%5B0%5D%5Bid%5D=47/når:2025-06-12", "Vegkart")</f>
        <v>Vegkart</v>
      </c>
      <c r="B5545">
        <v>340965980</v>
      </c>
      <c r="C5545">
        <v>47</v>
      </c>
      <c r="D5545" t="s">
        <v>16854</v>
      </c>
      <c r="E5545">
        <v>5897</v>
      </c>
      <c r="F5545" t="s">
        <v>23479</v>
      </c>
      <c r="G5545">
        <v>2</v>
      </c>
      <c r="H5545" t="s">
        <v>1788</v>
      </c>
      <c r="J5545" t="s">
        <v>18471</v>
      </c>
      <c r="K5545" t="s">
        <v>21</v>
      </c>
      <c r="L5545" t="s">
        <v>33</v>
      </c>
      <c r="M5545" t="s">
        <v>18053</v>
      </c>
      <c r="N5545" t="s">
        <v>18487</v>
      </c>
      <c r="O5545" t="s">
        <v>18488</v>
      </c>
      <c r="P5545" s="2" t="s">
        <v>26</v>
      </c>
      <c r="Q5545" t="s">
        <v>50</v>
      </c>
      <c r="R5545">
        <v>30.85</v>
      </c>
      <c r="S5545">
        <v>37.590000000000003</v>
      </c>
      <c r="T5545" t="s">
        <v>18489</v>
      </c>
    </row>
    <row r="5546" spans="1:20" x14ac:dyDescent="0.25">
      <c r="A5546" s="1" t="str">
        <f>HYPERLINK("https://vegkart.atlas.vegvesen.no/#/@-37280.8,6805188.6,18/hva:hva%5B0%5D%5Bfilter%5D%5B0%5D%5Boperator%5D=%21%3D&amp;hva%5B0%5D%5Bfilter%5D%5B0%5D%5Btype_id%5D=5897&amp;hva%5B0%5D%5Bfilter%5D%5B0%5D%5Bverdi%5D=&amp;hva%5B0%5D%5Bid%5D=47/når:2025-06-24", "Vegkart")</f>
        <v>Vegkart</v>
      </c>
      <c r="B5546">
        <v>347118633</v>
      </c>
      <c r="C5546">
        <v>47</v>
      </c>
      <c r="D5546" t="s">
        <v>16854</v>
      </c>
      <c r="E5546">
        <v>5897</v>
      </c>
      <c r="F5546" t="s">
        <v>23479</v>
      </c>
      <c r="G5546">
        <v>4</v>
      </c>
      <c r="H5546" t="s">
        <v>598</v>
      </c>
      <c r="J5546" t="s">
        <v>18490</v>
      </c>
      <c r="K5546" t="s">
        <v>21</v>
      </c>
      <c r="L5546" t="s">
        <v>33</v>
      </c>
      <c r="M5546" t="s">
        <v>18491</v>
      </c>
      <c r="N5546" t="s">
        <v>18492</v>
      </c>
      <c r="O5546" t="s">
        <v>18493</v>
      </c>
      <c r="P5546" s="2" t="s">
        <v>26</v>
      </c>
      <c r="Q5546" t="s">
        <v>50</v>
      </c>
      <c r="R5546">
        <v>45.38</v>
      </c>
      <c r="S5546">
        <v>45.55</v>
      </c>
      <c r="T5546" t="s">
        <v>18494</v>
      </c>
    </row>
    <row r="5547" spans="1:20" x14ac:dyDescent="0.25">
      <c r="A5547" s="1" t="str">
        <f>HYPERLINK("https://vegkart.atlas.vegvesen.no/#/@-36088.1,6806068.1,18/hva:hva%5B0%5D%5Bfilter%5D%5B0%5D%5Boperator%5D=%21%3D&amp;hva%5B0%5D%5Bfilter%5D%5B0%5D%5Btype_id%5D=5897&amp;hva%5B0%5D%5Bfilter%5D%5B0%5D%5Bverdi%5D=&amp;hva%5B0%5D%5Bid%5D=47/når:2025-06-24", "Vegkart")</f>
        <v>Vegkart</v>
      </c>
      <c r="B5547">
        <v>347118697</v>
      </c>
      <c r="C5547">
        <v>47</v>
      </c>
      <c r="D5547" t="s">
        <v>16854</v>
      </c>
      <c r="E5547">
        <v>5897</v>
      </c>
      <c r="F5547" t="s">
        <v>23479</v>
      </c>
      <c r="G5547">
        <v>4</v>
      </c>
      <c r="H5547" t="s">
        <v>598</v>
      </c>
      <c r="J5547" t="s">
        <v>18490</v>
      </c>
      <c r="K5547" t="s">
        <v>21</v>
      </c>
      <c r="L5547" t="s">
        <v>33</v>
      </c>
      <c r="M5547" t="s">
        <v>18491</v>
      </c>
      <c r="N5547" t="s">
        <v>18495</v>
      </c>
      <c r="O5547" t="s">
        <v>18496</v>
      </c>
      <c r="P5547" s="2" t="s">
        <v>26</v>
      </c>
      <c r="Q5547" t="s">
        <v>50</v>
      </c>
      <c r="R5547">
        <v>33.19</v>
      </c>
      <c r="S5547">
        <v>33.51</v>
      </c>
      <c r="T5547" t="s">
        <v>18497</v>
      </c>
    </row>
    <row r="5548" spans="1:20" x14ac:dyDescent="0.25">
      <c r="A5548" s="1" t="str">
        <f>HYPERLINK("https://vegkart.atlas.vegvesen.no/#/@-36131.6,6806163.0,18/hva:hva%5B0%5D%5Bfilter%5D%5B0%5D%5Boperator%5D=%21%3D&amp;hva%5B0%5D%5Bfilter%5D%5B0%5D%5Btype_id%5D=5897&amp;hva%5B0%5D%5Bfilter%5D%5B0%5D%5Bverdi%5D=&amp;hva%5B0%5D%5Bid%5D=47/når:2025-06-24", "Vegkart")</f>
        <v>Vegkart</v>
      </c>
      <c r="B5548">
        <v>347118712</v>
      </c>
      <c r="C5548">
        <v>47</v>
      </c>
      <c r="D5548" t="s">
        <v>16854</v>
      </c>
      <c r="E5548">
        <v>5897</v>
      </c>
      <c r="F5548" t="s">
        <v>23479</v>
      </c>
      <c r="G5548">
        <v>4</v>
      </c>
      <c r="H5548" t="s">
        <v>598</v>
      </c>
      <c r="J5548" t="s">
        <v>18490</v>
      </c>
      <c r="K5548" t="s">
        <v>21</v>
      </c>
      <c r="L5548" t="s">
        <v>33</v>
      </c>
      <c r="M5548" t="s">
        <v>18491</v>
      </c>
      <c r="N5548" t="s">
        <v>18498</v>
      </c>
      <c r="O5548" t="s">
        <v>18499</v>
      </c>
      <c r="P5548" s="2" t="s">
        <v>26</v>
      </c>
      <c r="Q5548" t="s">
        <v>50</v>
      </c>
      <c r="R5548">
        <v>39.159999999999997</v>
      </c>
      <c r="S5548">
        <v>39.5</v>
      </c>
      <c r="T5548" t="s">
        <v>18500</v>
      </c>
    </row>
    <row r="5549" spans="1:20" x14ac:dyDescent="0.25">
      <c r="A5549" s="1" t="str">
        <f>HYPERLINK("https://vegkart.atlas.vegvesen.no/#/@254378.1,6649410.8,18/hva:hva%5B0%5D%5Bfilter%5D%5B0%5D%5Boperator%5D=%21%3D&amp;hva%5B0%5D%5Bfilter%5D%5B0%5D%5Btype_id%5D=5897&amp;hva%5B0%5D%5Bfilter%5D%5B0%5D%5Bverdi%5D=&amp;hva%5B0%5D%5Bid%5D=47/når:2012-08-08", "Vegkart")</f>
        <v>Vegkart</v>
      </c>
      <c r="B5549">
        <v>347143748</v>
      </c>
      <c r="C5549">
        <v>47</v>
      </c>
      <c r="D5549" t="s">
        <v>16854</v>
      </c>
      <c r="E5549">
        <v>5897</v>
      </c>
      <c r="F5549" t="s">
        <v>23479</v>
      </c>
      <c r="G5549">
        <v>1</v>
      </c>
      <c r="H5549" t="s">
        <v>18501</v>
      </c>
      <c r="J5549" t="s">
        <v>18490</v>
      </c>
      <c r="K5549" t="s">
        <v>132</v>
      </c>
      <c r="L5549" t="s">
        <v>33</v>
      </c>
      <c r="M5549" t="s">
        <v>18502</v>
      </c>
      <c r="N5549" t="s">
        <v>18503</v>
      </c>
      <c r="O5549" t="s">
        <v>18504</v>
      </c>
      <c r="P5549" s="2" t="s">
        <v>26</v>
      </c>
      <c r="Q5549" t="s">
        <v>50</v>
      </c>
      <c r="R5549">
        <v>42.32</v>
      </c>
      <c r="S5549">
        <v>42.32</v>
      </c>
      <c r="T5549" t="s">
        <v>18505</v>
      </c>
    </row>
    <row r="5550" spans="1:20" x14ac:dyDescent="0.25">
      <c r="A5550" s="1" t="str">
        <f>HYPERLINK("https://vegkart.atlas.vegvesen.no/#/@251044.6,6961757.9,18/hva:hva%5B0%5D%5Bfilter%5D%5B0%5D%5Boperator%5D=%21%3D&amp;hva%5B0%5D%5Bfilter%5D%5B0%5D%5Btype_id%5D=5897&amp;hva%5B0%5D%5Bfilter%5D%5B0%5D%5Bverdi%5D=&amp;hva%5B0%5D%5Bid%5D=47/når:2012-08-27", "Vegkart")</f>
        <v>Vegkart</v>
      </c>
      <c r="B5550">
        <v>354069925</v>
      </c>
      <c r="C5550">
        <v>47</v>
      </c>
      <c r="D5550" t="s">
        <v>16854</v>
      </c>
      <c r="E5550">
        <v>5897</v>
      </c>
      <c r="F5550" t="s">
        <v>23479</v>
      </c>
      <c r="G5550">
        <v>1</v>
      </c>
      <c r="H5550" t="s">
        <v>18506</v>
      </c>
      <c r="J5550" t="s">
        <v>18490</v>
      </c>
      <c r="K5550" t="s">
        <v>192</v>
      </c>
      <c r="L5550" t="s">
        <v>113</v>
      </c>
      <c r="M5550" t="s">
        <v>335</v>
      </c>
      <c r="N5550" t="s">
        <v>18507</v>
      </c>
      <c r="O5550" t="s">
        <v>18508</v>
      </c>
      <c r="P5550" s="2" t="s">
        <v>26</v>
      </c>
      <c r="Q5550" t="s">
        <v>50</v>
      </c>
      <c r="R5550">
        <v>72.489999999999995</v>
      </c>
      <c r="S5550">
        <v>73.19</v>
      </c>
      <c r="T5550" t="s">
        <v>18509</v>
      </c>
    </row>
    <row r="5551" spans="1:20" x14ac:dyDescent="0.25">
      <c r="A5551" s="1" t="str">
        <f>HYPERLINK("https://vegkart.atlas.vegvesen.no/#/@1038406.3,7842559.1,18/hva:hva%5B0%5D%5Bfilter%5D%5B0%5D%5Boperator%5D=%21%3D&amp;hva%5B0%5D%5Bfilter%5D%5B0%5D%5Btype_id%5D=5897&amp;hva%5B0%5D%5Bfilter%5D%5B0%5D%5Bverdi%5D=&amp;hva%5B0%5D%5Bid%5D=47/når:2017-09-15", "Vegkart")</f>
        <v>Vegkart</v>
      </c>
      <c r="B5551">
        <v>357550184</v>
      </c>
      <c r="C5551">
        <v>47</v>
      </c>
      <c r="D5551" t="s">
        <v>16854</v>
      </c>
      <c r="E5551">
        <v>5897</v>
      </c>
      <c r="F5551" t="s">
        <v>23479</v>
      </c>
      <c r="G5551">
        <v>4</v>
      </c>
      <c r="H5551" t="s">
        <v>17910</v>
      </c>
      <c r="J5551" t="s">
        <v>18490</v>
      </c>
      <c r="K5551" t="s">
        <v>450</v>
      </c>
      <c r="L5551" t="s">
        <v>80</v>
      </c>
      <c r="M5551" t="s">
        <v>17889</v>
      </c>
      <c r="N5551" t="s">
        <v>18510</v>
      </c>
      <c r="O5551" t="s">
        <v>18511</v>
      </c>
      <c r="P5551" s="2" t="s">
        <v>37</v>
      </c>
      <c r="Q5551" t="s">
        <v>1208</v>
      </c>
      <c r="R5551">
        <v>3.19</v>
      </c>
      <c r="S5551">
        <v>125.21</v>
      </c>
      <c r="T5551" t="s">
        <v>18512</v>
      </c>
    </row>
    <row r="5552" spans="1:20" x14ac:dyDescent="0.25">
      <c r="A5552" s="1" t="str">
        <f>HYPERLINK("https://vegkart.atlas.vegvesen.no/#/@-30030.9,6743252.6,18/hva:hva%5B0%5D%5Bfilter%5D%5B0%5D%5Boperator%5D=%21%3D&amp;hva%5B0%5D%5Bfilter%5D%5B0%5D%5Btype_id%5D=5897&amp;hva%5B0%5D%5Bfilter%5D%5B0%5D%5Bverdi%5D=&amp;hva%5B0%5D%5Bid%5D=47/når:2012-09-11", "Vegkart")</f>
        <v>Vegkart</v>
      </c>
      <c r="B5552">
        <v>357579415</v>
      </c>
      <c r="C5552">
        <v>47</v>
      </c>
      <c r="D5552" t="s">
        <v>16854</v>
      </c>
      <c r="E5552">
        <v>5897</v>
      </c>
      <c r="F5552" t="s">
        <v>23479</v>
      </c>
      <c r="G5552">
        <v>1</v>
      </c>
      <c r="H5552" t="s">
        <v>18513</v>
      </c>
      <c r="J5552" t="s">
        <v>18490</v>
      </c>
      <c r="K5552" t="s">
        <v>21</v>
      </c>
      <c r="L5552" t="s">
        <v>33</v>
      </c>
      <c r="M5552" t="s">
        <v>3091</v>
      </c>
      <c r="N5552" t="s">
        <v>18514</v>
      </c>
      <c r="O5552" t="s">
        <v>18515</v>
      </c>
      <c r="P5552" s="2" t="s">
        <v>26</v>
      </c>
      <c r="Q5552" t="s">
        <v>50</v>
      </c>
      <c r="R5552">
        <v>24.19</v>
      </c>
      <c r="S5552">
        <v>24.2</v>
      </c>
      <c r="T5552" t="s">
        <v>18516</v>
      </c>
    </row>
    <row r="5553" spans="1:20" x14ac:dyDescent="0.25">
      <c r="A5553" s="1" t="str">
        <f>HYPERLINK("https://vegkart.atlas.vegvesen.no/#/@-30029.9,6743266.5,18/hva:hva%5B0%5D%5Bfilter%5D%5B0%5D%5Boperator%5D=%21%3D&amp;hva%5B0%5D%5Bfilter%5D%5B0%5D%5Btype_id%5D=5897&amp;hva%5B0%5D%5Bfilter%5D%5B0%5D%5Bverdi%5D=&amp;hva%5B0%5D%5Bid%5D=47/når:2012-09-11", "Vegkart")</f>
        <v>Vegkart</v>
      </c>
      <c r="B5553">
        <v>357579416</v>
      </c>
      <c r="C5553">
        <v>47</v>
      </c>
      <c r="D5553" t="s">
        <v>16854</v>
      </c>
      <c r="E5553">
        <v>5897</v>
      </c>
      <c r="F5553" t="s">
        <v>23479</v>
      </c>
      <c r="G5553">
        <v>1</v>
      </c>
      <c r="H5553" t="s">
        <v>18513</v>
      </c>
      <c r="J5553" t="s">
        <v>18490</v>
      </c>
      <c r="K5553" t="s">
        <v>21</v>
      </c>
      <c r="L5553" t="s">
        <v>33</v>
      </c>
      <c r="M5553" t="s">
        <v>3091</v>
      </c>
      <c r="N5553" t="s">
        <v>18517</v>
      </c>
      <c r="O5553" t="s">
        <v>18518</v>
      </c>
      <c r="P5553" s="2" t="s">
        <v>26</v>
      </c>
      <c r="Q5553" t="s">
        <v>50</v>
      </c>
      <c r="R5553">
        <v>30.46</v>
      </c>
      <c r="S5553">
        <v>30.6</v>
      </c>
      <c r="T5553" t="s">
        <v>18519</v>
      </c>
    </row>
    <row r="5554" spans="1:20" x14ac:dyDescent="0.25">
      <c r="A5554" s="1" t="str">
        <f>HYPERLINK("https://vegkart.atlas.vegvesen.no/#/@-38931.2,6792301.2,18/hva:hva%5B0%5D%5Bfilter%5D%5B0%5D%5Boperator%5D=%21%3D&amp;hva%5B0%5D%5Bfilter%5D%5B0%5D%5Btype_id%5D=5897&amp;hva%5B0%5D%5Bfilter%5D%5B0%5D%5Bverdi%5D=&amp;hva%5B0%5D%5Bid%5D=47/når:2025-06-16", "Vegkart")</f>
        <v>Vegkart</v>
      </c>
      <c r="B5554">
        <v>358399068</v>
      </c>
      <c r="C5554">
        <v>47</v>
      </c>
      <c r="D5554" t="s">
        <v>16854</v>
      </c>
      <c r="E5554">
        <v>5897</v>
      </c>
      <c r="F5554" t="s">
        <v>23479</v>
      </c>
      <c r="G5554">
        <v>4</v>
      </c>
      <c r="H5554" t="s">
        <v>17056</v>
      </c>
      <c r="J5554" t="s">
        <v>18490</v>
      </c>
      <c r="K5554" t="s">
        <v>21</v>
      </c>
      <c r="L5554" t="s">
        <v>33</v>
      </c>
      <c r="M5554" t="s">
        <v>17057</v>
      </c>
      <c r="N5554" t="s">
        <v>18520</v>
      </c>
      <c r="O5554" t="s">
        <v>18521</v>
      </c>
      <c r="P5554" s="2" t="s">
        <v>26</v>
      </c>
      <c r="Q5554" t="s">
        <v>50</v>
      </c>
      <c r="R5554">
        <v>51.54</v>
      </c>
      <c r="S5554">
        <v>51.76</v>
      </c>
      <c r="T5554" t="s">
        <v>18522</v>
      </c>
    </row>
    <row r="5555" spans="1:20" x14ac:dyDescent="0.25">
      <c r="A5555" s="1" t="str">
        <f>HYPERLINK("https://vegkart.atlas.vegvesen.no/#/@-38029.4,6790300.1,18/hva:hva%5B0%5D%5Bfilter%5D%5B0%5D%5Boperator%5D=%21%3D&amp;hva%5B0%5D%5Bfilter%5D%5B0%5D%5Btype_id%5D=5897&amp;hva%5B0%5D%5Bfilter%5D%5B0%5D%5Bverdi%5D=&amp;hva%5B0%5D%5Bid%5D=47/når:2025-06-13", "Vegkart")</f>
        <v>Vegkart</v>
      </c>
      <c r="B5555">
        <v>358399189</v>
      </c>
      <c r="C5555">
        <v>47</v>
      </c>
      <c r="D5555" t="s">
        <v>16854</v>
      </c>
      <c r="E5555">
        <v>5897</v>
      </c>
      <c r="F5555" t="s">
        <v>23479</v>
      </c>
      <c r="G5555">
        <v>4</v>
      </c>
      <c r="H5555" t="s">
        <v>18523</v>
      </c>
      <c r="J5555" t="s">
        <v>18490</v>
      </c>
      <c r="K5555" t="s">
        <v>21</v>
      </c>
      <c r="L5555" t="s">
        <v>33</v>
      </c>
      <c r="M5555" t="s">
        <v>17057</v>
      </c>
      <c r="N5555" t="s">
        <v>18524</v>
      </c>
      <c r="O5555" t="s">
        <v>18525</v>
      </c>
      <c r="P5555" s="2" t="s">
        <v>26</v>
      </c>
      <c r="Q5555" t="s">
        <v>50</v>
      </c>
      <c r="R5555">
        <v>53.43</v>
      </c>
      <c r="S5555">
        <v>53.8</v>
      </c>
      <c r="T5555" t="s">
        <v>18526</v>
      </c>
    </row>
    <row r="5556" spans="1:20" x14ac:dyDescent="0.25">
      <c r="A5556" s="1" t="str">
        <f>HYPERLINK("https://vegkart.atlas.vegvesen.no/#/@-38019.6,6790030.5,18/hva:hva%5B0%5D%5Bfilter%5D%5B0%5D%5Boperator%5D=%21%3D&amp;hva%5B0%5D%5Bfilter%5D%5B0%5D%5Btype_id%5D=5897&amp;hva%5B0%5D%5Bfilter%5D%5B0%5D%5Bverdi%5D=&amp;hva%5B0%5D%5Bid%5D=47/når:2025-06-13", "Vegkart")</f>
        <v>Vegkart</v>
      </c>
      <c r="B5556">
        <v>358399200</v>
      </c>
      <c r="C5556">
        <v>47</v>
      </c>
      <c r="D5556" t="s">
        <v>16854</v>
      </c>
      <c r="E5556">
        <v>5897</v>
      </c>
      <c r="F5556" t="s">
        <v>23479</v>
      </c>
      <c r="G5556">
        <v>4</v>
      </c>
      <c r="H5556" t="s">
        <v>18523</v>
      </c>
      <c r="J5556" t="s">
        <v>18490</v>
      </c>
      <c r="K5556" t="s">
        <v>21</v>
      </c>
      <c r="L5556" t="s">
        <v>33</v>
      </c>
      <c r="M5556" t="s">
        <v>17057</v>
      </c>
      <c r="N5556" t="s">
        <v>18527</v>
      </c>
      <c r="O5556" t="s">
        <v>18528</v>
      </c>
      <c r="P5556" s="2" t="s">
        <v>26</v>
      </c>
      <c r="Q5556" t="s">
        <v>50</v>
      </c>
      <c r="R5556">
        <v>56.84</v>
      </c>
      <c r="S5556">
        <v>57.09</v>
      </c>
      <c r="T5556" t="s">
        <v>18529</v>
      </c>
    </row>
    <row r="5557" spans="1:20" x14ac:dyDescent="0.25">
      <c r="A5557" s="1" t="str">
        <f>HYPERLINK("https://vegkart.atlas.vegvesen.no/#/@-40262.0,6792324.1,18/hva:hva%5B0%5D%5Bfilter%5D%5B0%5D%5Boperator%5D=%21%3D&amp;hva%5B0%5D%5Bfilter%5D%5B0%5D%5Btype_id%5D=5897&amp;hva%5B0%5D%5Bfilter%5D%5B0%5D%5Bverdi%5D=&amp;hva%5B0%5D%5Bid%5D=47/når:2025-06-16", "Vegkart")</f>
        <v>Vegkart</v>
      </c>
      <c r="B5557">
        <v>358399415</v>
      </c>
      <c r="C5557">
        <v>47</v>
      </c>
      <c r="D5557" t="s">
        <v>16854</v>
      </c>
      <c r="E5557">
        <v>5897</v>
      </c>
      <c r="F5557" t="s">
        <v>23479</v>
      </c>
      <c r="G5557">
        <v>3</v>
      </c>
      <c r="H5557" t="s">
        <v>17056</v>
      </c>
      <c r="J5557" t="s">
        <v>18490</v>
      </c>
      <c r="K5557" t="s">
        <v>21</v>
      </c>
      <c r="L5557" t="s">
        <v>33</v>
      </c>
      <c r="M5557" t="s">
        <v>17057</v>
      </c>
      <c r="N5557" t="s">
        <v>18530</v>
      </c>
      <c r="O5557" t="s">
        <v>18531</v>
      </c>
      <c r="P5557" s="2" t="s">
        <v>26</v>
      </c>
      <c r="Q5557" t="s">
        <v>50</v>
      </c>
      <c r="R5557">
        <v>70.650000000000006</v>
      </c>
      <c r="S5557">
        <v>70.930000000000007</v>
      </c>
      <c r="T5557" t="s">
        <v>18532</v>
      </c>
    </row>
    <row r="5558" spans="1:20" x14ac:dyDescent="0.25">
      <c r="A5558" s="1" t="str">
        <f>HYPERLINK("https://vegkart.atlas.vegvesen.no/#/@-40150.9,6791696.1,18/hva:hva%5B0%5D%5Bfilter%5D%5B0%5D%5Boperator%5D=%21%3D&amp;hva%5B0%5D%5Bfilter%5D%5B0%5D%5Btype_id%5D=5897&amp;hva%5B0%5D%5Bfilter%5D%5B0%5D%5Bverdi%5D=&amp;hva%5B0%5D%5Bid%5D=47/når:2025-06-16", "Vegkart")</f>
        <v>Vegkart</v>
      </c>
      <c r="B5558">
        <v>358399438</v>
      </c>
      <c r="C5558">
        <v>47</v>
      </c>
      <c r="D5558" t="s">
        <v>16854</v>
      </c>
      <c r="E5558">
        <v>5897</v>
      </c>
      <c r="F5558" t="s">
        <v>23479</v>
      </c>
      <c r="G5558">
        <v>4</v>
      </c>
      <c r="H5558" t="s">
        <v>17056</v>
      </c>
      <c r="J5558" t="s">
        <v>18490</v>
      </c>
      <c r="K5558" t="s">
        <v>21</v>
      </c>
      <c r="L5558" t="s">
        <v>33</v>
      </c>
      <c r="M5558" t="s">
        <v>17057</v>
      </c>
      <c r="N5558" t="s">
        <v>18533</v>
      </c>
      <c r="O5558" t="s">
        <v>18534</v>
      </c>
      <c r="P5558" s="2" t="s">
        <v>26</v>
      </c>
      <c r="Q5558" t="s">
        <v>50</v>
      </c>
      <c r="R5558">
        <v>76.790000000000006</v>
      </c>
      <c r="S5558">
        <v>77.05</v>
      </c>
      <c r="T5558" t="s">
        <v>18535</v>
      </c>
    </row>
    <row r="5559" spans="1:20" x14ac:dyDescent="0.25">
      <c r="A5559" s="1" t="str">
        <f>HYPERLINK("https://vegkart.atlas.vegvesen.no/#/@1051895.3,7842637.5,18/hva:hva%5B0%5D%5Bfilter%5D%5B0%5D%5Boperator%5D=%21%3D&amp;hva%5B0%5D%5Bfilter%5D%5B0%5D%5Btype_id%5D=5897&amp;hva%5B0%5D%5Bfilter%5D%5B0%5D%5Bverdi%5D=&amp;hva%5B0%5D%5Bid%5D=47/når:2017-09-15", "Vegkart")</f>
        <v>Vegkart</v>
      </c>
      <c r="B5559">
        <v>359567796</v>
      </c>
      <c r="C5559">
        <v>47</v>
      </c>
      <c r="D5559" t="s">
        <v>16854</v>
      </c>
      <c r="E5559">
        <v>5897</v>
      </c>
      <c r="F5559" t="s">
        <v>23479</v>
      </c>
      <c r="G5559">
        <v>5</v>
      </c>
      <c r="H5559" t="s">
        <v>17910</v>
      </c>
      <c r="J5559" t="s">
        <v>18490</v>
      </c>
      <c r="K5559" t="s">
        <v>450</v>
      </c>
      <c r="L5559" t="s">
        <v>80</v>
      </c>
      <c r="M5559" t="s">
        <v>17889</v>
      </c>
      <c r="N5559" t="s">
        <v>18536</v>
      </c>
      <c r="O5559" t="s">
        <v>18537</v>
      </c>
      <c r="P5559" s="2" t="s">
        <v>37</v>
      </c>
      <c r="Q5559" t="s">
        <v>1208</v>
      </c>
      <c r="R5559">
        <v>4.5199999999999996</v>
      </c>
      <c r="S5559">
        <v>105.06</v>
      </c>
      <c r="T5559" t="s">
        <v>18538</v>
      </c>
    </row>
    <row r="5560" spans="1:20" x14ac:dyDescent="0.25">
      <c r="A5560" s="1" t="str">
        <f>HYPERLINK("https://vegkart.atlas.vegvesen.no/#/@1055398.3,7842684.9,18/hva:hva%5B0%5D%5Bfilter%5D%5B0%5D%5Boperator%5D=%21%3D&amp;hva%5B0%5D%5Bfilter%5D%5B0%5D%5Btype_id%5D=5897&amp;hva%5B0%5D%5Bfilter%5D%5B0%5D%5Bverdi%5D=&amp;hva%5B0%5D%5Bid%5D=47/når:2017-10-02", "Vegkart")</f>
        <v>Vegkart</v>
      </c>
      <c r="B5560">
        <v>359571746</v>
      </c>
      <c r="C5560">
        <v>47</v>
      </c>
      <c r="D5560" t="s">
        <v>16854</v>
      </c>
      <c r="E5560">
        <v>5897</v>
      </c>
      <c r="F5560" t="s">
        <v>23479</v>
      </c>
      <c r="G5560">
        <v>4</v>
      </c>
      <c r="H5560" t="s">
        <v>17828</v>
      </c>
      <c r="J5560" t="s">
        <v>18490</v>
      </c>
      <c r="K5560" t="s">
        <v>450</v>
      </c>
      <c r="L5560" t="s">
        <v>33</v>
      </c>
      <c r="M5560" t="s">
        <v>18539</v>
      </c>
      <c r="N5560" t="s">
        <v>18540</v>
      </c>
      <c r="O5560" t="s">
        <v>18541</v>
      </c>
      <c r="P5560" s="2" t="s">
        <v>165</v>
      </c>
      <c r="Q5560" t="s">
        <v>641</v>
      </c>
      <c r="R5560">
        <v>5.29</v>
      </c>
      <c r="S5560">
        <v>74.959999999999994</v>
      </c>
      <c r="T5560" t="s">
        <v>167</v>
      </c>
    </row>
    <row r="5561" spans="1:20" x14ac:dyDescent="0.25">
      <c r="A5561" s="1" t="str">
        <f>HYPERLINK("https://vegkart.atlas.vegvesen.no/#/@-42476.1,6791129.3,18/hva:hva%5B0%5D%5Bfilter%5D%5B0%5D%5Boperator%5D=%21%3D&amp;hva%5B0%5D%5Bfilter%5D%5B0%5D%5Btype_id%5D=5897&amp;hva%5B0%5D%5Bfilter%5D%5B0%5D%5Bverdi%5D=&amp;hva%5B0%5D%5Bid%5D=47/når:2025-06-16", "Vegkart")</f>
        <v>Vegkart</v>
      </c>
      <c r="B5561">
        <v>361171794</v>
      </c>
      <c r="C5561">
        <v>47</v>
      </c>
      <c r="D5561" t="s">
        <v>16854</v>
      </c>
      <c r="E5561">
        <v>5897</v>
      </c>
      <c r="F5561" t="s">
        <v>23479</v>
      </c>
      <c r="G5561">
        <v>4</v>
      </c>
      <c r="H5561" t="s">
        <v>17056</v>
      </c>
      <c r="J5561" t="s">
        <v>18490</v>
      </c>
      <c r="K5561" t="s">
        <v>21</v>
      </c>
      <c r="L5561" t="s">
        <v>22</v>
      </c>
      <c r="M5561" t="s">
        <v>17079</v>
      </c>
      <c r="N5561" t="s">
        <v>18542</v>
      </c>
      <c r="O5561" t="s">
        <v>18543</v>
      </c>
      <c r="P5561" s="2" t="s">
        <v>26</v>
      </c>
      <c r="Q5561" t="s">
        <v>50</v>
      </c>
      <c r="R5561">
        <v>41.74</v>
      </c>
      <c r="S5561">
        <v>41.95</v>
      </c>
      <c r="T5561" t="s">
        <v>18544</v>
      </c>
    </row>
    <row r="5562" spans="1:20" x14ac:dyDescent="0.25">
      <c r="A5562" s="1" t="str">
        <f>HYPERLINK("https://vegkart.atlas.vegvesen.no/#/@1095277.7,7884962.5,18/hva:hva%5B0%5D%5Bfilter%5D%5B0%5D%5Boperator%5D=%21%3D&amp;hva%5B0%5D%5Bfilter%5D%5B0%5D%5Btype_id%5D=5897&amp;hva%5B0%5D%5Bfilter%5D%5B0%5D%5Bverdi%5D=&amp;hva%5B0%5D%5Bid%5D=47/når:2017-10-20", "Vegkart")</f>
        <v>Vegkart</v>
      </c>
      <c r="B5562">
        <v>362159680</v>
      </c>
      <c r="C5562">
        <v>47</v>
      </c>
      <c r="D5562" t="s">
        <v>16854</v>
      </c>
      <c r="E5562">
        <v>5897</v>
      </c>
      <c r="F5562" t="s">
        <v>23479</v>
      </c>
      <c r="G5562">
        <v>4</v>
      </c>
      <c r="H5562" t="s">
        <v>18545</v>
      </c>
      <c r="J5562" t="s">
        <v>18490</v>
      </c>
      <c r="K5562" t="s">
        <v>450</v>
      </c>
      <c r="L5562" t="s">
        <v>80</v>
      </c>
      <c r="M5562" t="s">
        <v>17889</v>
      </c>
      <c r="N5562" t="s">
        <v>18546</v>
      </c>
      <c r="O5562" t="s">
        <v>18547</v>
      </c>
      <c r="P5562" s="2" t="s">
        <v>165</v>
      </c>
      <c r="Q5562" t="s">
        <v>641</v>
      </c>
      <c r="R5562">
        <v>1.1599999999999999</v>
      </c>
      <c r="S5562">
        <v>91.76</v>
      </c>
      <c r="T5562" t="s">
        <v>167</v>
      </c>
    </row>
    <row r="5563" spans="1:20" x14ac:dyDescent="0.25">
      <c r="A5563" s="1" t="str">
        <f>HYPERLINK("https://vegkart.atlas.vegvesen.no/#/@221302.6,6606024.6,18/hva:hva%5B0%5D%5Bfilter%5D%5B0%5D%5Boperator%5D=%21%3D&amp;hva%5B0%5D%5Bfilter%5D%5B0%5D%5Btype_id%5D=5897&amp;hva%5B0%5D%5Bfilter%5D%5B0%5D%5Bverdi%5D=&amp;hva%5B0%5D%5Bid%5D=47/når:2015-08-10", "Vegkart")</f>
        <v>Vegkart</v>
      </c>
      <c r="B5563">
        <v>376158815</v>
      </c>
      <c r="C5563">
        <v>47</v>
      </c>
      <c r="D5563" t="s">
        <v>16854</v>
      </c>
      <c r="E5563">
        <v>5897</v>
      </c>
      <c r="F5563" t="s">
        <v>23479</v>
      </c>
      <c r="G5563">
        <v>2</v>
      </c>
      <c r="H5563" t="s">
        <v>9650</v>
      </c>
      <c r="J5563" t="s">
        <v>7551</v>
      </c>
      <c r="K5563" t="s">
        <v>81</v>
      </c>
      <c r="L5563" t="s">
        <v>33</v>
      </c>
      <c r="M5563" t="s">
        <v>132</v>
      </c>
      <c r="N5563" t="s">
        <v>18548</v>
      </c>
      <c r="O5563" t="s">
        <v>18549</v>
      </c>
      <c r="P5563" s="2" t="s">
        <v>37</v>
      </c>
      <c r="Q5563" t="s">
        <v>1208</v>
      </c>
      <c r="R5563">
        <v>0</v>
      </c>
      <c r="S5563">
        <v>102.33</v>
      </c>
      <c r="T5563" t="s">
        <v>18550</v>
      </c>
    </row>
    <row r="5564" spans="1:20" x14ac:dyDescent="0.25">
      <c r="A5564" s="1" t="str">
        <f>HYPERLINK("https://vegkart.atlas.vegvesen.no/#/@240626.5,6579090.3,18/hva:hva%5B0%5D%5Bfilter%5D%5B0%5D%5Boperator%5D=%21%3D&amp;hva%5B0%5D%5Bfilter%5D%5B0%5D%5Btype_id%5D=5897&amp;hva%5B0%5D%5Bfilter%5D%5B0%5D%5Bverdi%5D=&amp;hva%5B0%5D%5Bid%5D=47/når:2016-02-15", "Vegkart")</f>
        <v>Vegkart</v>
      </c>
      <c r="B5564">
        <v>376364074</v>
      </c>
      <c r="C5564">
        <v>47</v>
      </c>
      <c r="D5564" t="s">
        <v>16854</v>
      </c>
      <c r="E5564">
        <v>5897</v>
      </c>
      <c r="F5564" t="s">
        <v>23479</v>
      </c>
      <c r="G5564">
        <v>2</v>
      </c>
      <c r="H5564" t="s">
        <v>18551</v>
      </c>
      <c r="J5564" t="s">
        <v>7551</v>
      </c>
      <c r="K5564" t="s">
        <v>81</v>
      </c>
      <c r="L5564" t="s">
        <v>33</v>
      </c>
      <c r="M5564" t="s">
        <v>4891</v>
      </c>
      <c r="N5564" t="s">
        <v>18552</v>
      </c>
      <c r="O5564" t="s">
        <v>18553</v>
      </c>
      <c r="P5564" s="2" t="s">
        <v>37</v>
      </c>
      <c r="Q5564" t="s">
        <v>1208</v>
      </c>
      <c r="R5564">
        <v>0</v>
      </c>
      <c r="S5564">
        <v>140.69999999999999</v>
      </c>
      <c r="T5564" t="s">
        <v>18554</v>
      </c>
    </row>
    <row r="5565" spans="1:20" x14ac:dyDescent="0.25">
      <c r="A5565" s="1" t="str">
        <f>HYPERLINK("https://vegkart.atlas.vegvesen.no/#/@198309.6,6552299.3,18/hva:hva%5B0%5D%5Bfilter%5D%5B0%5D%5Boperator%5D=%21%3D&amp;hva%5B0%5D%5Bfilter%5D%5B0%5D%5Btype_id%5D=5897&amp;hva%5B0%5D%5Bfilter%5D%5B0%5D%5Bverdi%5D=&amp;hva%5B0%5D%5Bid%5D=47/når:2022-12-06", "Vegkart")</f>
        <v>Vegkart</v>
      </c>
      <c r="B5565">
        <v>376572859</v>
      </c>
      <c r="C5565">
        <v>47</v>
      </c>
      <c r="D5565" t="s">
        <v>16854</v>
      </c>
      <c r="E5565">
        <v>5897</v>
      </c>
      <c r="F5565" t="s">
        <v>23479</v>
      </c>
      <c r="G5565">
        <v>2</v>
      </c>
      <c r="H5565" t="s">
        <v>17967</v>
      </c>
      <c r="J5565" t="s">
        <v>7551</v>
      </c>
      <c r="K5565" t="s">
        <v>197</v>
      </c>
      <c r="L5565" t="s">
        <v>33</v>
      </c>
      <c r="M5565" t="s">
        <v>1948</v>
      </c>
      <c r="N5565" t="s">
        <v>18555</v>
      </c>
      <c r="O5565" t="s">
        <v>18556</v>
      </c>
      <c r="P5565" s="2" t="s">
        <v>37</v>
      </c>
      <c r="Q5565" t="s">
        <v>1208</v>
      </c>
      <c r="R5565">
        <v>0</v>
      </c>
      <c r="S5565">
        <v>23.59</v>
      </c>
      <c r="T5565" t="s">
        <v>18557</v>
      </c>
    </row>
    <row r="5566" spans="1:20" x14ac:dyDescent="0.25">
      <c r="A5566" s="1" t="str">
        <f>HYPERLINK("https://vegkart.atlas.vegvesen.no/#/@42399.7,6830471.4,18/hva:hva%5B0%5D%5Bfilter%5D%5B0%5D%5Boperator%5D=%21%3D&amp;hva%5B0%5D%5Bfilter%5D%5B0%5D%5Btype_id%5D=5897&amp;hva%5B0%5D%5Bfilter%5D%5B0%5D%5Bverdi%5D=&amp;hva%5B0%5D%5Bid%5D=47/når:2015-10-12", "Vegkart")</f>
        <v>Vegkart</v>
      </c>
      <c r="B5566">
        <v>376941599</v>
      </c>
      <c r="C5566">
        <v>47</v>
      </c>
      <c r="D5566" t="s">
        <v>16854</v>
      </c>
      <c r="E5566">
        <v>5897</v>
      </c>
      <c r="F5566" t="s">
        <v>23479</v>
      </c>
      <c r="G5566">
        <v>3</v>
      </c>
      <c r="H5566" t="s">
        <v>18558</v>
      </c>
      <c r="J5566" t="s">
        <v>18559</v>
      </c>
      <c r="K5566" t="s">
        <v>21</v>
      </c>
      <c r="L5566" t="s">
        <v>33</v>
      </c>
      <c r="M5566" t="s">
        <v>604</v>
      </c>
      <c r="N5566" t="s">
        <v>18560</v>
      </c>
      <c r="O5566" t="s">
        <v>18561</v>
      </c>
      <c r="P5566" s="2" t="s">
        <v>26</v>
      </c>
      <c r="Q5566" t="s">
        <v>50</v>
      </c>
      <c r="R5566">
        <v>42.05</v>
      </c>
      <c r="S5566">
        <v>48.96</v>
      </c>
      <c r="T5566" t="s">
        <v>18562</v>
      </c>
    </row>
    <row r="5567" spans="1:20" x14ac:dyDescent="0.25">
      <c r="A5567" s="1" t="str">
        <f>HYPERLINK("https://vegkart.atlas.vegvesen.no/#/@216298.6,6556145.4,18/hva:hva%5B0%5D%5Bfilter%5D%5B0%5D%5Boperator%5D=%21%3D&amp;hva%5B0%5D%5Bfilter%5D%5B0%5D%5Btype_id%5D=5897&amp;hva%5B0%5D%5Bfilter%5D%5B0%5D%5Bverdi%5D=&amp;hva%5B0%5D%5Bid%5D=47/når:2013-05-13", "Vegkart")</f>
        <v>Vegkart</v>
      </c>
      <c r="B5567">
        <v>380130658</v>
      </c>
      <c r="C5567">
        <v>47</v>
      </c>
      <c r="D5567" t="s">
        <v>16854</v>
      </c>
      <c r="E5567">
        <v>5897</v>
      </c>
      <c r="F5567" t="s">
        <v>23479</v>
      </c>
      <c r="G5567">
        <v>1</v>
      </c>
      <c r="H5567" t="s">
        <v>18563</v>
      </c>
      <c r="J5567" t="s">
        <v>18559</v>
      </c>
      <c r="K5567" t="s">
        <v>81</v>
      </c>
      <c r="L5567" t="s">
        <v>33</v>
      </c>
      <c r="M5567" t="s">
        <v>18564</v>
      </c>
      <c r="N5567" t="s">
        <v>18565</v>
      </c>
      <c r="O5567" t="s">
        <v>18566</v>
      </c>
      <c r="P5567" s="2" t="s">
        <v>37</v>
      </c>
      <c r="Q5567" t="s">
        <v>1208</v>
      </c>
      <c r="R5567">
        <v>0</v>
      </c>
      <c r="S5567">
        <v>84.82</v>
      </c>
      <c r="T5567" t="s">
        <v>18567</v>
      </c>
    </row>
    <row r="5568" spans="1:20" x14ac:dyDescent="0.25">
      <c r="A5568" s="1" t="str">
        <f>HYPERLINK("https://vegkart.atlas.vegvesen.no/#/@216395.1,6556138.1,18/hva:hva%5B0%5D%5Bfilter%5D%5B0%5D%5Boperator%5D=%21%3D&amp;hva%5B0%5D%5Bfilter%5D%5B0%5D%5Btype_id%5D=5897&amp;hva%5B0%5D%5Bfilter%5D%5B0%5D%5Bverdi%5D=&amp;hva%5B0%5D%5Bid%5D=47/når:2020-07-08", "Vegkart")</f>
        <v>Vegkart</v>
      </c>
      <c r="B5568">
        <v>380130659</v>
      </c>
      <c r="C5568">
        <v>47</v>
      </c>
      <c r="D5568" t="s">
        <v>16854</v>
      </c>
      <c r="E5568">
        <v>5897</v>
      </c>
      <c r="F5568" t="s">
        <v>23479</v>
      </c>
      <c r="G5568">
        <v>3</v>
      </c>
      <c r="H5568" t="s">
        <v>18568</v>
      </c>
      <c r="J5568" t="s">
        <v>18559</v>
      </c>
      <c r="K5568" t="s">
        <v>81</v>
      </c>
      <c r="L5568" t="s">
        <v>33</v>
      </c>
      <c r="M5568" t="s">
        <v>18564</v>
      </c>
      <c r="N5568" t="s">
        <v>18569</v>
      </c>
      <c r="O5568" t="s">
        <v>18570</v>
      </c>
      <c r="P5568" s="2" t="s">
        <v>37</v>
      </c>
      <c r="Q5568" t="s">
        <v>1208</v>
      </c>
      <c r="R5568">
        <v>0</v>
      </c>
      <c r="S5568">
        <v>151.34</v>
      </c>
      <c r="T5568" t="s">
        <v>18571</v>
      </c>
    </row>
    <row r="5569" spans="1:20" x14ac:dyDescent="0.25">
      <c r="A5569" s="1" t="str">
        <f>HYPERLINK("https://vegkart.atlas.vegvesen.no/#/@451712.6,7432080.9,18/hva:hva%5B0%5D%5Bfilter%5D%5B0%5D%5Boperator%5D=%21%3D&amp;hva%5B0%5D%5Bfilter%5D%5B0%5D%5Btype_id%5D=5897&amp;hva%5B0%5D%5Bfilter%5D%5B0%5D%5Bverdi%5D=&amp;hva%5B0%5D%5Bid%5D=47/når:2025-08-11", "Vegkart")</f>
        <v>Vegkart</v>
      </c>
      <c r="B5569">
        <v>380197339</v>
      </c>
      <c r="C5569">
        <v>47</v>
      </c>
      <c r="D5569" t="s">
        <v>16854</v>
      </c>
      <c r="E5569">
        <v>5897</v>
      </c>
      <c r="F5569" t="s">
        <v>23479</v>
      </c>
      <c r="G5569">
        <v>3</v>
      </c>
      <c r="H5569" t="s">
        <v>17562</v>
      </c>
      <c r="J5569" t="s">
        <v>18559</v>
      </c>
      <c r="K5569" t="s">
        <v>53</v>
      </c>
      <c r="L5569" t="s">
        <v>33</v>
      </c>
      <c r="M5569" t="s">
        <v>18572</v>
      </c>
      <c r="N5569" t="s">
        <v>18573</v>
      </c>
      <c r="O5569" t="s">
        <v>18574</v>
      </c>
      <c r="P5569" s="2" t="s">
        <v>26</v>
      </c>
      <c r="Q5569" t="s">
        <v>50</v>
      </c>
      <c r="R5569">
        <v>64.849999999999994</v>
      </c>
      <c r="S5569">
        <v>66.13</v>
      </c>
      <c r="T5569" t="s">
        <v>18575</v>
      </c>
    </row>
    <row r="5570" spans="1:20" x14ac:dyDescent="0.25">
      <c r="A5570" s="1" t="str">
        <f>HYPERLINK("https://vegkart.atlas.vegvesen.no/#/@451761.2,7432076.9,18/hva:hva%5B0%5D%5Bfilter%5D%5B0%5D%5Boperator%5D=%21%3D&amp;hva%5B0%5D%5Bfilter%5D%5B0%5D%5Btype_id%5D=5897&amp;hva%5B0%5D%5Bfilter%5D%5B0%5D%5Bverdi%5D=&amp;hva%5B0%5D%5Bid%5D=47/når:2025-08-11", "Vegkart")</f>
        <v>Vegkart</v>
      </c>
      <c r="B5570">
        <v>380197340</v>
      </c>
      <c r="C5570">
        <v>47</v>
      </c>
      <c r="D5570" t="s">
        <v>16854</v>
      </c>
      <c r="E5570">
        <v>5897</v>
      </c>
      <c r="F5570" t="s">
        <v>23479</v>
      </c>
      <c r="G5570">
        <v>3</v>
      </c>
      <c r="H5570" t="s">
        <v>17562</v>
      </c>
      <c r="J5570" t="s">
        <v>18559</v>
      </c>
      <c r="K5570" t="s">
        <v>53</v>
      </c>
      <c r="L5570" t="s">
        <v>33</v>
      </c>
      <c r="M5570" t="s">
        <v>18572</v>
      </c>
      <c r="N5570" t="s">
        <v>18576</v>
      </c>
      <c r="O5570" t="s">
        <v>18577</v>
      </c>
      <c r="P5570" s="2" t="s">
        <v>26</v>
      </c>
      <c r="Q5570" t="s">
        <v>50</v>
      </c>
      <c r="R5570">
        <v>26.21</v>
      </c>
      <c r="S5570">
        <v>26.75</v>
      </c>
      <c r="T5570" t="s">
        <v>18578</v>
      </c>
    </row>
    <row r="5571" spans="1:20" x14ac:dyDescent="0.25">
      <c r="A5571" s="1" t="str">
        <f>HYPERLINK("https://vegkart.atlas.vegvesen.no/#/@78209.5,6778975.2,18/hva:hva%5B0%5D%5Bfilter%5D%5B0%5D%5Boperator%5D=%21%3D&amp;hva%5B0%5D%5Bfilter%5D%5B0%5D%5Btype_id%5D=5897&amp;hva%5B0%5D%5Bfilter%5D%5B0%5D%5Bverdi%5D=&amp;hva%5B0%5D%5Bid%5D=47/når:2024-08-12", "Vegkart")</f>
        <v>Vegkart</v>
      </c>
      <c r="B5571">
        <v>401772024</v>
      </c>
      <c r="C5571">
        <v>47</v>
      </c>
      <c r="D5571" t="s">
        <v>16854</v>
      </c>
      <c r="E5571">
        <v>5897</v>
      </c>
      <c r="F5571" t="s">
        <v>23479</v>
      </c>
      <c r="G5571">
        <v>2</v>
      </c>
      <c r="H5571" t="s">
        <v>18579</v>
      </c>
      <c r="J5571" t="s">
        <v>18580</v>
      </c>
      <c r="K5571" t="s">
        <v>21</v>
      </c>
      <c r="L5571" t="s">
        <v>33</v>
      </c>
      <c r="M5571" t="s">
        <v>18581</v>
      </c>
      <c r="N5571" t="s">
        <v>18582</v>
      </c>
      <c r="O5571" t="s">
        <v>18583</v>
      </c>
      <c r="P5571" s="2" t="s">
        <v>26</v>
      </c>
      <c r="Q5571" t="s">
        <v>50</v>
      </c>
      <c r="R5571">
        <v>27.16</v>
      </c>
      <c r="S5571">
        <v>27.85</v>
      </c>
      <c r="T5571" t="s">
        <v>18584</v>
      </c>
    </row>
    <row r="5572" spans="1:20" x14ac:dyDescent="0.25">
      <c r="A5572" s="1" t="str">
        <f>HYPERLINK("https://vegkart.atlas.vegvesen.no/#/@48704.0,6773381.3,18/hva:hva%5B0%5D%5Bfilter%5D%5B0%5D%5Boperator%5D=%21%3D&amp;hva%5B0%5D%5Bfilter%5D%5B0%5D%5Btype_id%5D=5897&amp;hva%5B0%5D%5Bfilter%5D%5B0%5D%5Bverdi%5D=&amp;hva%5B0%5D%5Bid%5D=47/når:2022-08-16", "Vegkart")</f>
        <v>Vegkart</v>
      </c>
      <c r="B5572">
        <v>401992382</v>
      </c>
      <c r="C5572">
        <v>47</v>
      </c>
      <c r="D5572" t="s">
        <v>16854</v>
      </c>
      <c r="E5572">
        <v>5897</v>
      </c>
      <c r="F5572" t="s">
        <v>23479</v>
      </c>
      <c r="G5572">
        <v>2</v>
      </c>
      <c r="H5572" t="s">
        <v>18585</v>
      </c>
      <c r="J5572" t="s">
        <v>18580</v>
      </c>
      <c r="K5572" t="s">
        <v>21</v>
      </c>
      <c r="L5572" t="s">
        <v>80</v>
      </c>
      <c r="M5572" t="s">
        <v>152</v>
      </c>
      <c r="N5572" t="s">
        <v>18586</v>
      </c>
      <c r="O5572" t="s">
        <v>18587</v>
      </c>
      <c r="P5572" s="2" t="s">
        <v>26</v>
      </c>
      <c r="Q5572" t="s">
        <v>50</v>
      </c>
      <c r="R5572">
        <v>16.739999999999998</v>
      </c>
      <c r="S5572">
        <v>16.760000000000002</v>
      </c>
      <c r="T5572" t="s">
        <v>18588</v>
      </c>
    </row>
    <row r="5573" spans="1:20" x14ac:dyDescent="0.25">
      <c r="A5573" s="1" t="str">
        <f>HYPERLINK("https://vegkart.atlas.vegvesen.no/#/@106544.4,6814006.4,18/hva:hva%5B0%5D%5Bfilter%5D%5B0%5D%5Boperator%5D=%21%3D&amp;hva%5B0%5D%5Bfilter%5D%5B0%5D%5Btype_id%5D=5897&amp;hva%5B0%5D%5Bfilter%5D%5B0%5D%5Bverdi%5D=&amp;hva%5B0%5D%5Bid%5D=47/når:2024-06-26", "Vegkart")</f>
        <v>Vegkart</v>
      </c>
      <c r="B5573">
        <v>405089625</v>
      </c>
      <c r="C5573">
        <v>47</v>
      </c>
      <c r="D5573" t="s">
        <v>16854</v>
      </c>
      <c r="E5573">
        <v>5897</v>
      </c>
      <c r="F5573" t="s">
        <v>23479</v>
      </c>
      <c r="G5573">
        <v>2</v>
      </c>
      <c r="H5573" t="s">
        <v>18589</v>
      </c>
      <c r="J5573" t="s">
        <v>18590</v>
      </c>
      <c r="K5573" t="s">
        <v>21</v>
      </c>
      <c r="L5573" t="s">
        <v>33</v>
      </c>
      <c r="M5573" t="s">
        <v>1192</v>
      </c>
      <c r="N5573" t="s">
        <v>18591</v>
      </c>
      <c r="O5573" t="s">
        <v>18592</v>
      </c>
      <c r="P5573" s="2" t="s">
        <v>165</v>
      </c>
      <c r="Q5573" t="s">
        <v>166</v>
      </c>
      <c r="R5573">
        <v>23.73</v>
      </c>
      <c r="S5573">
        <v>24.02</v>
      </c>
      <c r="T5573" t="s">
        <v>167</v>
      </c>
    </row>
    <row r="5574" spans="1:20" x14ac:dyDescent="0.25">
      <c r="A5574" s="1" t="str">
        <f>HYPERLINK("https://vegkart.atlas.vegvesen.no/#/@-33359.4,6574791.5,18/hva:hva%5B0%5D%5Bfilter%5D%5B0%5D%5Boperator%5D=%21%3D&amp;hva%5B0%5D%5Bfilter%5D%5B0%5D%5Btype_id%5D=5897&amp;hva%5B0%5D%5Bfilter%5D%5B0%5D%5Bverdi%5D=&amp;hva%5B0%5D%5Bid%5D=47/når:2015-04-17", "Vegkart")</f>
        <v>Vegkart</v>
      </c>
      <c r="B5574">
        <v>407002171</v>
      </c>
      <c r="C5574">
        <v>47</v>
      </c>
      <c r="D5574" t="s">
        <v>16854</v>
      </c>
      <c r="E5574">
        <v>5897</v>
      </c>
      <c r="F5574" t="s">
        <v>23479</v>
      </c>
      <c r="G5574">
        <v>2</v>
      </c>
      <c r="H5574" t="s">
        <v>18593</v>
      </c>
      <c r="J5574" t="s">
        <v>18590</v>
      </c>
      <c r="K5574" t="s">
        <v>170</v>
      </c>
      <c r="L5574" t="s">
        <v>33</v>
      </c>
      <c r="M5574" t="s">
        <v>18594</v>
      </c>
      <c r="N5574" t="s">
        <v>18595</v>
      </c>
      <c r="O5574" t="s">
        <v>18596</v>
      </c>
      <c r="P5574" s="2" t="s">
        <v>26</v>
      </c>
      <c r="Q5574" t="s">
        <v>50</v>
      </c>
      <c r="R5574">
        <v>44.22</v>
      </c>
      <c r="S5574">
        <v>44.44</v>
      </c>
      <c r="T5574" t="s">
        <v>18597</v>
      </c>
    </row>
    <row r="5575" spans="1:20" x14ac:dyDescent="0.25">
      <c r="A5575" s="1" t="str">
        <f>HYPERLINK("https://vegkart.atlas.vegvesen.no/#/@-33096.1,6574674.6,18/hva:hva%5B0%5D%5Bfilter%5D%5B0%5D%5Boperator%5D=%21%3D&amp;hva%5B0%5D%5Bfilter%5D%5B0%5D%5Btype_id%5D=5897&amp;hva%5B0%5D%5Bfilter%5D%5B0%5D%5Bverdi%5D=&amp;hva%5B0%5D%5Bid%5D=47/når:2013-06-28", "Vegkart")</f>
        <v>Vegkart</v>
      </c>
      <c r="B5575">
        <v>407002172</v>
      </c>
      <c r="C5575">
        <v>47</v>
      </c>
      <c r="D5575" t="s">
        <v>16854</v>
      </c>
      <c r="E5575">
        <v>5897</v>
      </c>
      <c r="F5575" t="s">
        <v>23479</v>
      </c>
      <c r="G5575">
        <v>1</v>
      </c>
      <c r="H5575" t="s">
        <v>1046</v>
      </c>
      <c r="J5575" t="s">
        <v>18590</v>
      </c>
      <c r="K5575" t="s">
        <v>170</v>
      </c>
      <c r="L5575" t="s">
        <v>33</v>
      </c>
      <c r="M5575" t="s">
        <v>18594</v>
      </c>
      <c r="N5575" t="s">
        <v>18598</v>
      </c>
      <c r="O5575" t="s">
        <v>18599</v>
      </c>
      <c r="P5575" s="2" t="s">
        <v>26</v>
      </c>
      <c r="Q5575" t="s">
        <v>50</v>
      </c>
      <c r="R5575">
        <v>45.45</v>
      </c>
      <c r="S5575">
        <v>45.81</v>
      </c>
      <c r="T5575" t="s">
        <v>18600</v>
      </c>
    </row>
    <row r="5576" spans="1:20" x14ac:dyDescent="0.25">
      <c r="A5576" s="1" t="str">
        <f>HYPERLINK("https://vegkart.atlas.vegvesen.no/#/@-33010.3,6574519.8,18/hva:hva%5B0%5D%5Bfilter%5D%5B0%5D%5Boperator%5D=%21%3D&amp;hva%5B0%5D%5Bfilter%5D%5B0%5D%5Btype_id%5D=5897&amp;hva%5B0%5D%5Bfilter%5D%5B0%5D%5Bverdi%5D=&amp;hva%5B0%5D%5Bid%5D=47/når:2013-06-28", "Vegkart")</f>
        <v>Vegkart</v>
      </c>
      <c r="B5576">
        <v>407002173</v>
      </c>
      <c r="C5576">
        <v>47</v>
      </c>
      <c r="D5576" t="s">
        <v>16854</v>
      </c>
      <c r="E5576">
        <v>5897</v>
      </c>
      <c r="F5576" t="s">
        <v>23479</v>
      </c>
      <c r="G5576">
        <v>1</v>
      </c>
      <c r="H5576" t="s">
        <v>1046</v>
      </c>
      <c r="J5576" t="s">
        <v>18590</v>
      </c>
      <c r="K5576" t="s">
        <v>170</v>
      </c>
      <c r="L5576" t="s">
        <v>33</v>
      </c>
      <c r="M5576" t="s">
        <v>18594</v>
      </c>
      <c r="N5576" t="s">
        <v>18601</v>
      </c>
      <c r="O5576" t="s">
        <v>18602</v>
      </c>
      <c r="P5576" s="2" t="s">
        <v>26</v>
      </c>
      <c r="Q5576" t="s">
        <v>50</v>
      </c>
      <c r="R5576">
        <v>54.98</v>
      </c>
      <c r="S5576">
        <v>55.27</v>
      </c>
      <c r="T5576" t="s">
        <v>18603</v>
      </c>
    </row>
    <row r="5577" spans="1:20" x14ac:dyDescent="0.25">
      <c r="A5577" s="1" t="str">
        <f>HYPERLINK("https://vegkart.atlas.vegvesen.no/#/@-32958.1,6574433.4,18/hva:hva%5B0%5D%5Bfilter%5D%5B0%5D%5Boperator%5D=%21%3D&amp;hva%5B0%5D%5Bfilter%5D%5B0%5D%5Btype_id%5D=5897&amp;hva%5B0%5D%5Bfilter%5D%5B0%5D%5Bverdi%5D=&amp;hva%5B0%5D%5Bid%5D=47/når:2013-06-28", "Vegkart")</f>
        <v>Vegkart</v>
      </c>
      <c r="B5577">
        <v>407002174</v>
      </c>
      <c r="C5577">
        <v>47</v>
      </c>
      <c r="D5577" t="s">
        <v>16854</v>
      </c>
      <c r="E5577">
        <v>5897</v>
      </c>
      <c r="F5577" t="s">
        <v>23479</v>
      </c>
      <c r="G5577">
        <v>1</v>
      </c>
      <c r="H5577" t="s">
        <v>1046</v>
      </c>
      <c r="J5577" t="s">
        <v>18590</v>
      </c>
      <c r="K5577" t="s">
        <v>170</v>
      </c>
      <c r="L5577" t="s">
        <v>33</v>
      </c>
      <c r="M5577" t="s">
        <v>18594</v>
      </c>
      <c r="N5577" t="s">
        <v>18604</v>
      </c>
      <c r="O5577" t="s">
        <v>18605</v>
      </c>
      <c r="P5577" s="2" t="s">
        <v>26</v>
      </c>
      <c r="Q5577" t="s">
        <v>50</v>
      </c>
      <c r="R5577">
        <v>51.5</v>
      </c>
      <c r="S5577">
        <v>51.79</v>
      </c>
      <c r="T5577" t="s">
        <v>18606</v>
      </c>
    </row>
    <row r="5578" spans="1:20" x14ac:dyDescent="0.25">
      <c r="A5578" s="1" t="str">
        <f>HYPERLINK("https://vegkart.atlas.vegvesen.no/#/@49153.3,6831898.6,18/hva:hva%5B0%5D%5Bfilter%5D%5B0%5D%5Boperator%5D=%21%3D&amp;hva%5B0%5D%5Bfilter%5D%5B0%5D%5Btype_id%5D=5897&amp;hva%5B0%5D%5Bfilter%5D%5B0%5D%5Bverdi%5D=&amp;hva%5B0%5D%5Bid%5D=47/når:2015-05-26", "Vegkart")</f>
        <v>Vegkart</v>
      </c>
      <c r="B5578">
        <v>413838953</v>
      </c>
      <c r="C5578">
        <v>47</v>
      </c>
      <c r="D5578" t="s">
        <v>16854</v>
      </c>
      <c r="E5578">
        <v>5897</v>
      </c>
      <c r="F5578" t="s">
        <v>23479</v>
      </c>
      <c r="G5578">
        <v>2</v>
      </c>
      <c r="H5578" t="s">
        <v>18607</v>
      </c>
      <c r="J5578" t="s">
        <v>18590</v>
      </c>
      <c r="K5578" t="s">
        <v>21</v>
      </c>
      <c r="L5578" t="s">
        <v>33</v>
      </c>
      <c r="M5578" t="s">
        <v>604</v>
      </c>
      <c r="N5578" t="s">
        <v>18608</v>
      </c>
      <c r="O5578" t="s">
        <v>18609</v>
      </c>
      <c r="P5578" s="2" t="s">
        <v>26</v>
      </c>
      <c r="Q5578" t="s">
        <v>50</v>
      </c>
      <c r="R5578">
        <v>32.44</v>
      </c>
      <c r="S5578">
        <v>32.700000000000003</v>
      </c>
      <c r="T5578" t="s">
        <v>18610</v>
      </c>
    </row>
    <row r="5579" spans="1:20" x14ac:dyDescent="0.25">
      <c r="A5579" s="1" t="str">
        <f>HYPERLINK("https://vegkart.atlas.vegvesen.no/#/@47128.7,6831662.0,18/hva:hva%5B0%5D%5Bfilter%5D%5B0%5D%5Boperator%5D=%21%3D&amp;hva%5B0%5D%5Bfilter%5D%5B0%5D%5Btype_id%5D=5897&amp;hva%5B0%5D%5Bfilter%5D%5B0%5D%5Bverdi%5D=&amp;hva%5B0%5D%5Bid%5D=47/når:2015-05-26", "Vegkart")</f>
        <v>Vegkart</v>
      </c>
      <c r="B5579">
        <v>413838999</v>
      </c>
      <c r="C5579">
        <v>47</v>
      </c>
      <c r="D5579" t="s">
        <v>16854</v>
      </c>
      <c r="E5579">
        <v>5897</v>
      </c>
      <c r="F5579" t="s">
        <v>23479</v>
      </c>
      <c r="G5579">
        <v>1</v>
      </c>
      <c r="H5579" t="s">
        <v>18607</v>
      </c>
      <c r="J5579" t="s">
        <v>18590</v>
      </c>
      <c r="K5579" t="s">
        <v>21</v>
      </c>
      <c r="L5579" t="s">
        <v>33</v>
      </c>
      <c r="M5579" t="s">
        <v>604</v>
      </c>
      <c r="N5579" t="s">
        <v>18611</v>
      </c>
      <c r="O5579" t="s">
        <v>18612</v>
      </c>
      <c r="P5579" s="2" t="s">
        <v>26</v>
      </c>
      <c r="Q5579" t="s">
        <v>50</v>
      </c>
      <c r="R5579">
        <v>19.45</v>
      </c>
      <c r="S5579">
        <v>20.38</v>
      </c>
      <c r="T5579" t="s">
        <v>18613</v>
      </c>
    </row>
    <row r="5580" spans="1:20" x14ac:dyDescent="0.25">
      <c r="A5580" s="1" t="str">
        <f>HYPERLINK("https://vegkart.atlas.vegvesen.no/#/@29895.7,6887788.9,18/hva:hva%5B0%5D%5Bfilter%5D%5B0%5D%5Boperator%5D=%21%3D&amp;hva%5B0%5D%5Bfilter%5D%5B0%5D%5Btype_id%5D=5897&amp;hva%5B0%5D%5Bfilter%5D%5B0%5D%5Bverdi%5D=&amp;hva%5B0%5D%5Bid%5D=47/når:2017-07-26", "Vegkart")</f>
        <v>Vegkart</v>
      </c>
      <c r="B5580">
        <v>415271451</v>
      </c>
      <c r="C5580">
        <v>47</v>
      </c>
      <c r="D5580" t="s">
        <v>16854</v>
      </c>
      <c r="E5580">
        <v>5897</v>
      </c>
      <c r="F5580" t="s">
        <v>23479</v>
      </c>
      <c r="G5580">
        <v>2</v>
      </c>
      <c r="H5580" t="s">
        <v>18614</v>
      </c>
      <c r="J5580" t="s">
        <v>18590</v>
      </c>
      <c r="K5580" t="s">
        <v>21</v>
      </c>
      <c r="L5580" t="s">
        <v>33</v>
      </c>
      <c r="M5580" t="s">
        <v>18615</v>
      </c>
      <c r="N5580" t="s">
        <v>18616</v>
      </c>
      <c r="O5580" t="s">
        <v>18617</v>
      </c>
      <c r="P5580" s="2" t="s">
        <v>26</v>
      </c>
      <c r="Q5580" t="s">
        <v>50</v>
      </c>
      <c r="R5580">
        <v>57.81</v>
      </c>
      <c r="S5580">
        <v>57.81</v>
      </c>
      <c r="T5580" t="s">
        <v>18618</v>
      </c>
    </row>
    <row r="5581" spans="1:20" x14ac:dyDescent="0.25">
      <c r="A5581" s="1" t="str">
        <f>HYPERLINK("https://vegkart.atlas.vegvesen.no/#/@210314.1,6633995.0,18/hva:hva%5B0%5D%5Bfilter%5D%5B0%5D%5Boperator%5D=%21%3D&amp;hva%5B0%5D%5Bfilter%5D%5B0%5D%5Btype_id%5D=5897&amp;hva%5B0%5D%5Bfilter%5D%5B0%5D%5Bverdi%5D=&amp;hva%5B0%5D%5Bid%5D=47/når:2015-12-14", "Vegkart")</f>
        <v>Vegkart</v>
      </c>
      <c r="B5581">
        <v>422371597</v>
      </c>
      <c r="C5581">
        <v>47</v>
      </c>
      <c r="D5581" t="s">
        <v>16854</v>
      </c>
      <c r="E5581">
        <v>5897</v>
      </c>
      <c r="F5581" t="s">
        <v>23479</v>
      </c>
      <c r="G5581">
        <v>2</v>
      </c>
      <c r="H5581" t="s">
        <v>18619</v>
      </c>
      <c r="J5581" t="s">
        <v>18620</v>
      </c>
      <c r="K5581" t="s">
        <v>307</v>
      </c>
      <c r="L5581" t="s">
        <v>80</v>
      </c>
      <c r="M5581" t="s">
        <v>645</v>
      </c>
      <c r="N5581" t="s">
        <v>18621</v>
      </c>
      <c r="O5581" t="s">
        <v>18622</v>
      </c>
      <c r="P5581" s="2" t="s">
        <v>26</v>
      </c>
      <c r="Q5581" t="s">
        <v>50</v>
      </c>
      <c r="R5581">
        <v>63.77</v>
      </c>
      <c r="S5581">
        <v>64.5</v>
      </c>
      <c r="T5581" t="s">
        <v>18623</v>
      </c>
    </row>
    <row r="5582" spans="1:20" x14ac:dyDescent="0.25">
      <c r="A5582" s="1" t="str">
        <f>HYPERLINK("https://vegkart.atlas.vegvesen.no/#/@209727.4,6633668.0,18/hva:hva%5B0%5D%5Bfilter%5D%5B0%5D%5Boperator%5D=%21%3D&amp;hva%5B0%5D%5Bfilter%5D%5B0%5D%5Btype_id%5D=5897&amp;hva%5B0%5D%5Bfilter%5D%5B0%5D%5Bverdi%5D=&amp;hva%5B0%5D%5Bid%5D=47/når:2015-12-14", "Vegkart")</f>
        <v>Vegkart</v>
      </c>
      <c r="B5582">
        <v>422371605</v>
      </c>
      <c r="C5582">
        <v>47</v>
      </c>
      <c r="D5582" t="s">
        <v>16854</v>
      </c>
      <c r="E5582">
        <v>5897</v>
      </c>
      <c r="F5582" t="s">
        <v>23479</v>
      </c>
      <c r="G5582">
        <v>2</v>
      </c>
      <c r="H5582" t="s">
        <v>18619</v>
      </c>
      <c r="J5582" t="s">
        <v>18620</v>
      </c>
      <c r="K5582" t="s">
        <v>307</v>
      </c>
      <c r="L5582" t="s">
        <v>80</v>
      </c>
      <c r="M5582" t="s">
        <v>645</v>
      </c>
      <c r="N5582" t="s">
        <v>18624</v>
      </c>
      <c r="O5582" t="s">
        <v>18625</v>
      </c>
      <c r="P5582" s="2" t="s">
        <v>26</v>
      </c>
      <c r="Q5582" t="s">
        <v>50</v>
      </c>
      <c r="R5582">
        <v>67.58</v>
      </c>
      <c r="S5582">
        <v>68.459999999999994</v>
      </c>
      <c r="T5582" t="s">
        <v>18626</v>
      </c>
    </row>
    <row r="5583" spans="1:20" x14ac:dyDescent="0.25">
      <c r="A5583" s="1" t="str">
        <f>HYPERLINK("https://vegkart.atlas.vegvesen.no/#/@209134.8,6632608.9,18/hva:hva%5B0%5D%5Bfilter%5D%5B0%5D%5Boperator%5D=%21%3D&amp;hva%5B0%5D%5Bfilter%5D%5B0%5D%5Btype_id%5D=5897&amp;hva%5B0%5D%5Bfilter%5D%5B0%5D%5Bverdi%5D=&amp;hva%5B0%5D%5Bid%5D=47/når:2015-12-14", "Vegkart")</f>
        <v>Vegkart</v>
      </c>
      <c r="B5583">
        <v>422371626</v>
      </c>
      <c r="C5583">
        <v>47</v>
      </c>
      <c r="D5583" t="s">
        <v>16854</v>
      </c>
      <c r="E5583">
        <v>5897</v>
      </c>
      <c r="F5583" t="s">
        <v>23479</v>
      </c>
      <c r="G5583">
        <v>2</v>
      </c>
      <c r="H5583" t="s">
        <v>18619</v>
      </c>
      <c r="J5583" t="s">
        <v>18620</v>
      </c>
      <c r="K5583" t="s">
        <v>307</v>
      </c>
      <c r="L5583" t="s">
        <v>80</v>
      </c>
      <c r="M5583" t="s">
        <v>645</v>
      </c>
      <c r="N5583" t="s">
        <v>18627</v>
      </c>
      <c r="O5583" t="s">
        <v>18628</v>
      </c>
      <c r="P5583" s="2" t="s">
        <v>26</v>
      </c>
      <c r="Q5583" t="s">
        <v>50</v>
      </c>
      <c r="R5583">
        <v>58.17</v>
      </c>
      <c r="S5583">
        <v>58.88</v>
      </c>
      <c r="T5583" t="s">
        <v>18629</v>
      </c>
    </row>
    <row r="5584" spans="1:20" x14ac:dyDescent="0.25">
      <c r="A5584" s="1" t="str">
        <f>HYPERLINK("https://vegkart.atlas.vegvesen.no/#/@209109.2,6632452.4,18/hva:hva%5B0%5D%5Bfilter%5D%5B0%5D%5Boperator%5D=%21%3D&amp;hva%5B0%5D%5Bfilter%5D%5B0%5D%5Btype_id%5D=5897&amp;hva%5B0%5D%5Bfilter%5D%5B0%5D%5Bverdi%5D=&amp;hva%5B0%5D%5Bid%5D=47/når:2015-12-14", "Vegkart")</f>
        <v>Vegkart</v>
      </c>
      <c r="B5584">
        <v>422371627</v>
      </c>
      <c r="C5584">
        <v>47</v>
      </c>
      <c r="D5584" t="s">
        <v>16854</v>
      </c>
      <c r="E5584">
        <v>5897</v>
      </c>
      <c r="F5584" t="s">
        <v>23479</v>
      </c>
      <c r="G5584">
        <v>2</v>
      </c>
      <c r="H5584" t="s">
        <v>18619</v>
      </c>
      <c r="J5584" t="s">
        <v>18620</v>
      </c>
      <c r="K5584" t="s">
        <v>307</v>
      </c>
      <c r="L5584" t="s">
        <v>80</v>
      </c>
      <c r="M5584" t="s">
        <v>645</v>
      </c>
      <c r="N5584" t="s">
        <v>18630</v>
      </c>
      <c r="O5584" t="s">
        <v>18631</v>
      </c>
      <c r="P5584" s="2" t="s">
        <v>26</v>
      </c>
      <c r="Q5584" t="s">
        <v>50</v>
      </c>
      <c r="R5584">
        <v>59.63</v>
      </c>
      <c r="S5584">
        <v>60.45</v>
      </c>
      <c r="T5584" t="s">
        <v>18632</v>
      </c>
    </row>
    <row r="5585" spans="1:20" x14ac:dyDescent="0.25">
      <c r="A5585" s="1" t="str">
        <f>HYPERLINK("https://vegkart.atlas.vegvesen.no/#/@196266.2,6566313.2,18/hva:hva%5B0%5D%5Bfilter%5D%5B0%5D%5Boperator%5D=%21%3D&amp;hva%5B0%5D%5Bfilter%5D%5B0%5D%5Btype_id%5D=5897&amp;hva%5B0%5D%5Bfilter%5D%5B0%5D%5Bverdi%5D=&amp;hva%5B0%5D%5Bid%5D=47/når:2023-03-21", "Vegkart")</f>
        <v>Vegkart</v>
      </c>
      <c r="B5585">
        <v>440350898</v>
      </c>
      <c r="C5585">
        <v>47</v>
      </c>
      <c r="D5585" t="s">
        <v>16854</v>
      </c>
      <c r="E5585">
        <v>5897</v>
      </c>
      <c r="F5585" t="s">
        <v>23479</v>
      </c>
      <c r="G5585">
        <v>4</v>
      </c>
      <c r="H5585" t="s">
        <v>2824</v>
      </c>
      <c r="J5585" t="s">
        <v>18620</v>
      </c>
      <c r="K5585" t="s">
        <v>197</v>
      </c>
      <c r="L5585" t="s">
        <v>33</v>
      </c>
      <c r="M5585" t="s">
        <v>132</v>
      </c>
      <c r="N5585" t="s">
        <v>18633</v>
      </c>
      <c r="O5585" t="s">
        <v>18634</v>
      </c>
      <c r="P5585" s="2" t="s">
        <v>165</v>
      </c>
      <c r="Q5585" t="s">
        <v>166</v>
      </c>
      <c r="R5585">
        <v>0</v>
      </c>
      <c r="S5585">
        <v>109.61</v>
      </c>
      <c r="T5585" t="s">
        <v>167</v>
      </c>
    </row>
    <row r="5586" spans="1:20" x14ac:dyDescent="0.25">
      <c r="A5586" s="1" t="str">
        <f>HYPERLINK("https://vegkart.atlas.vegvesen.no/#/@1039881.0,7842143.4,18/hva:hva%5B0%5D%5Bfilter%5D%5B0%5D%5Boperator%5D=%21%3D&amp;hva%5B0%5D%5Bfilter%5D%5B0%5D%5Btype_id%5D=5897&amp;hva%5B0%5D%5Bfilter%5D%5B0%5D%5Bverdi%5D=&amp;hva%5B0%5D%5Bid%5D=47/når:2017-09-15", "Vegkart")</f>
        <v>Vegkart</v>
      </c>
      <c r="B5586">
        <v>442809116</v>
      </c>
      <c r="C5586">
        <v>47</v>
      </c>
      <c r="D5586" t="s">
        <v>16854</v>
      </c>
      <c r="E5586">
        <v>5897</v>
      </c>
      <c r="F5586" t="s">
        <v>23479</v>
      </c>
      <c r="G5586">
        <v>3</v>
      </c>
      <c r="H5586" t="s">
        <v>17910</v>
      </c>
      <c r="J5586" t="s">
        <v>18620</v>
      </c>
      <c r="K5586" t="s">
        <v>450</v>
      </c>
      <c r="L5586" t="s">
        <v>80</v>
      </c>
      <c r="M5586" t="s">
        <v>17889</v>
      </c>
      <c r="N5586" t="s">
        <v>18635</v>
      </c>
      <c r="O5586" t="s">
        <v>18636</v>
      </c>
      <c r="P5586" s="2" t="s">
        <v>37</v>
      </c>
      <c r="Q5586" t="s">
        <v>1208</v>
      </c>
      <c r="R5586">
        <v>2.1</v>
      </c>
      <c r="S5586">
        <v>111.8</v>
      </c>
      <c r="T5586" t="s">
        <v>18637</v>
      </c>
    </row>
    <row r="5587" spans="1:20" x14ac:dyDescent="0.25">
      <c r="A5587" s="1" t="str">
        <f>HYPERLINK("https://vegkart.atlas.vegvesen.no/#/@1040810.3,7841766.3,18/hva:hva%5B0%5D%5Bfilter%5D%5B0%5D%5Boperator%5D=%21%3D&amp;hva%5B0%5D%5Bfilter%5D%5B0%5D%5Btype_id%5D=5897&amp;hva%5B0%5D%5Bfilter%5D%5B0%5D%5Bverdi%5D=&amp;hva%5B0%5D%5Bid%5D=47/når:2017-09-15", "Vegkart")</f>
        <v>Vegkart</v>
      </c>
      <c r="B5587">
        <v>442809118</v>
      </c>
      <c r="C5587">
        <v>47</v>
      </c>
      <c r="D5587" t="s">
        <v>16854</v>
      </c>
      <c r="E5587">
        <v>5897</v>
      </c>
      <c r="F5587" t="s">
        <v>23479</v>
      </c>
      <c r="G5587">
        <v>3</v>
      </c>
      <c r="H5587" t="s">
        <v>17910</v>
      </c>
      <c r="J5587" t="s">
        <v>18620</v>
      </c>
      <c r="K5587" t="s">
        <v>450</v>
      </c>
      <c r="L5587" t="s">
        <v>80</v>
      </c>
      <c r="M5587" t="s">
        <v>17889</v>
      </c>
      <c r="N5587" t="s">
        <v>18638</v>
      </c>
      <c r="O5587" t="s">
        <v>18639</v>
      </c>
      <c r="P5587" s="2" t="s">
        <v>165</v>
      </c>
      <c r="Q5587" t="s">
        <v>641</v>
      </c>
      <c r="R5587">
        <v>5.55</v>
      </c>
      <c r="S5587">
        <v>78.88</v>
      </c>
      <c r="T5587" t="s">
        <v>167</v>
      </c>
    </row>
    <row r="5588" spans="1:20" x14ac:dyDescent="0.25">
      <c r="A5588" s="1" t="str">
        <f>HYPERLINK("https://vegkart.atlas.vegvesen.no/#/@1040875.6,7841746.4,18/hva:hva%5B0%5D%5Bfilter%5D%5B0%5D%5Boperator%5D=%21%3D&amp;hva%5B0%5D%5Bfilter%5D%5B0%5D%5Btype_id%5D=5897&amp;hva%5B0%5D%5Bfilter%5D%5B0%5D%5Bverdi%5D=&amp;hva%5B0%5D%5Bid%5D=47/når:2017-09-15", "Vegkart")</f>
        <v>Vegkart</v>
      </c>
      <c r="B5588">
        <v>442809119</v>
      </c>
      <c r="C5588">
        <v>47</v>
      </c>
      <c r="D5588" t="s">
        <v>16854</v>
      </c>
      <c r="E5588">
        <v>5897</v>
      </c>
      <c r="F5588" t="s">
        <v>23479</v>
      </c>
      <c r="G5588">
        <v>4</v>
      </c>
      <c r="H5588" t="s">
        <v>17910</v>
      </c>
      <c r="J5588" t="s">
        <v>18620</v>
      </c>
      <c r="K5588" t="s">
        <v>450</v>
      </c>
      <c r="L5588" t="s">
        <v>80</v>
      </c>
      <c r="M5588" t="s">
        <v>17889</v>
      </c>
      <c r="N5588" t="s">
        <v>18640</v>
      </c>
      <c r="O5588" t="s">
        <v>18641</v>
      </c>
      <c r="P5588" s="2" t="s">
        <v>37</v>
      </c>
      <c r="Q5588" t="s">
        <v>1208</v>
      </c>
      <c r="R5588">
        <v>3.74</v>
      </c>
      <c r="S5588">
        <v>95.9</v>
      </c>
      <c r="T5588" t="s">
        <v>18642</v>
      </c>
    </row>
    <row r="5589" spans="1:20" x14ac:dyDescent="0.25">
      <c r="A5589" s="1" t="str">
        <f>HYPERLINK("https://vegkart.atlas.vegvesen.no/#/@1041633.6,7841524.4,18/hva:hva%5B0%5D%5Bfilter%5D%5B0%5D%5Boperator%5D=%21%3D&amp;hva%5B0%5D%5Bfilter%5D%5B0%5D%5Btype_id%5D=5897&amp;hva%5B0%5D%5Bfilter%5D%5B0%5D%5Bverdi%5D=&amp;hva%5B0%5D%5Bid%5D=47/når:2017-09-15", "Vegkart")</f>
        <v>Vegkart</v>
      </c>
      <c r="B5589">
        <v>442809122</v>
      </c>
      <c r="C5589">
        <v>47</v>
      </c>
      <c r="D5589" t="s">
        <v>16854</v>
      </c>
      <c r="E5589">
        <v>5897</v>
      </c>
      <c r="F5589" t="s">
        <v>23479</v>
      </c>
      <c r="G5589">
        <v>3</v>
      </c>
      <c r="H5589" t="s">
        <v>17910</v>
      </c>
      <c r="J5589" t="s">
        <v>18620</v>
      </c>
      <c r="K5589" t="s">
        <v>450</v>
      </c>
      <c r="L5589" t="s">
        <v>80</v>
      </c>
      <c r="M5589" t="s">
        <v>17889</v>
      </c>
      <c r="N5589" t="s">
        <v>18643</v>
      </c>
      <c r="O5589" t="s">
        <v>18644</v>
      </c>
      <c r="P5589" s="2" t="s">
        <v>37</v>
      </c>
      <c r="Q5589" t="s">
        <v>1208</v>
      </c>
      <c r="R5589">
        <v>3.84</v>
      </c>
      <c r="S5589">
        <v>72.069999999999993</v>
      </c>
      <c r="T5589" t="s">
        <v>18645</v>
      </c>
    </row>
    <row r="5590" spans="1:20" x14ac:dyDescent="0.25">
      <c r="A5590" s="1" t="str">
        <f>HYPERLINK("https://vegkart.atlas.vegvesen.no/#/@1041797.0,7841473.6,18/hva:hva%5B0%5D%5Bfilter%5D%5B0%5D%5Boperator%5D=%21%3D&amp;hva%5B0%5D%5Bfilter%5D%5B0%5D%5Btype_id%5D=5897&amp;hva%5B0%5D%5Bfilter%5D%5B0%5D%5Bverdi%5D=&amp;hva%5B0%5D%5Bid%5D=47/når:2017-09-15", "Vegkart")</f>
        <v>Vegkart</v>
      </c>
      <c r="B5590">
        <v>442809123</v>
      </c>
      <c r="C5590">
        <v>47</v>
      </c>
      <c r="D5590" t="s">
        <v>16854</v>
      </c>
      <c r="E5590">
        <v>5897</v>
      </c>
      <c r="F5590" t="s">
        <v>23479</v>
      </c>
      <c r="G5590">
        <v>3</v>
      </c>
      <c r="H5590" t="s">
        <v>17910</v>
      </c>
      <c r="J5590" t="s">
        <v>18620</v>
      </c>
      <c r="K5590" t="s">
        <v>450</v>
      </c>
      <c r="L5590" t="s">
        <v>80</v>
      </c>
      <c r="M5590" t="s">
        <v>17889</v>
      </c>
      <c r="N5590" t="s">
        <v>18646</v>
      </c>
      <c r="O5590" t="s">
        <v>18647</v>
      </c>
      <c r="P5590" s="2" t="s">
        <v>165</v>
      </c>
      <c r="Q5590" t="s">
        <v>641</v>
      </c>
      <c r="R5590">
        <v>1.78</v>
      </c>
      <c r="S5590">
        <v>63.98</v>
      </c>
      <c r="T5590" t="s">
        <v>167</v>
      </c>
    </row>
    <row r="5591" spans="1:20" x14ac:dyDescent="0.25">
      <c r="A5591" s="1" t="str">
        <f>HYPERLINK("https://vegkart.atlas.vegvesen.no/#/@1041867.6,7841445.1,18/hva:hva%5B0%5D%5Bfilter%5D%5B0%5D%5Boperator%5D=%21%3D&amp;hva%5B0%5D%5Bfilter%5D%5B0%5D%5Btype_id%5D=5897&amp;hva%5B0%5D%5Bfilter%5D%5B0%5D%5Bverdi%5D=&amp;hva%5B0%5D%5Bid%5D=47/når:2017-09-15", "Vegkart")</f>
        <v>Vegkart</v>
      </c>
      <c r="B5591">
        <v>442809124</v>
      </c>
      <c r="C5591">
        <v>47</v>
      </c>
      <c r="D5591" t="s">
        <v>16854</v>
      </c>
      <c r="E5591">
        <v>5897</v>
      </c>
      <c r="F5591" t="s">
        <v>23479</v>
      </c>
      <c r="G5591">
        <v>3</v>
      </c>
      <c r="H5591" t="s">
        <v>17910</v>
      </c>
      <c r="J5591" t="s">
        <v>18620</v>
      </c>
      <c r="K5591" t="s">
        <v>450</v>
      </c>
      <c r="L5591" t="s">
        <v>80</v>
      </c>
      <c r="M5591" t="s">
        <v>17889</v>
      </c>
      <c r="N5591" t="s">
        <v>18648</v>
      </c>
      <c r="O5591" t="s">
        <v>18649</v>
      </c>
      <c r="P5591" s="2" t="s">
        <v>37</v>
      </c>
      <c r="Q5591" t="s">
        <v>1208</v>
      </c>
      <c r="R5591">
        <v>3.66</v>
      </c>
      <c r="S5591">
        <v>73.45</v>
      </c>
      <c r="T5591" t="s">
        <v>18650</v>
      </c>
    </row>
    <row r="5592" spans="1:20" x14ac:dyDescent="0.25">
      <c r="A5592" s="1" t="str">
        <f>HYPERLINK("https://vegkart.atlas.vegvesen.no/#/@1047649.6,7842233.3,18/hva:hva%5B0%5D%5Bfilter%5D%5B0%5D%5Boperator%5D=%21%3D&amp;hva%5B0%5D%5Bfilter%5D%5B0%5D%5Btype_id%5D=5897&amp;hva%5B0%5D%5Bfilter%5D%5B0%5D%5Bverdi%5D=&amp;hva%5B0%5D%5Bid%5D=47/når:2017-09-15", "Vegkart")</f>
        <v>Vegkart</v>
      </c>
      <c r="B5592">
        <v>442809125</v>
      </c>
      <c r="C5592">
        <v>47</v>
      </c>
      <c r="D5592" t="s">
        <v>16854</v>
      </c>
      <c r="E5592">
        <v>5897</v>
      </c>
      <c r="F5592" t="s">
        <v>23479</v>
      </c>
      <c r="G5592">
        <v>3</v>
      </c>
      <c r="H5592" t="s">
        <v>17910</v>
      </c>
      <c r="J5592" t="s">
        <v>18620</v>
      </c>
      <c r="K5592" t="s">
        <v>450</v>
      </c>
      <c r="L5592" t="s">
        <v>80</v>
      </c>
      <c r="M5592" t="s">
        <v>17889</v>
      </c>
      <c r="N5592" t="s">
        <v>18651</v>
      </c>
      <c r="O5592" t="s">
        <v>18652</v>
      </c>
      <c r="P5592" s="2" t="s">
        <v>37</v>
      </c>
      <c r="Q5592" t="s">
        <v>1208</v>
      </c>
      <c r="R5592">
        <v>3.96</v>
      </c>
      <c r="S5592">
        <v>114.85</v>
      </c>
      <c r="T5592" t="s">
        <v>18653</v>
      </c>
    </row>
    <row r="5593" spans="1:20" x14ac:dyDescent="0.25">
      <c r="A5593" s="1" t="str">
        <f>HYPERLINK("https://vegkart.atlas.vegvesen.no/#/@1056589.4,7842043.1,18/hva:hva%5B0%5D%5Bfilter%5D%5B0%5D%5Boperator%5D=%21%3D&amp;hva%5B0%5D%5Bfilter%5D%5B0%5D%5Btype_id%5D=5897&amp;hva%5B0%5D%5Bfilter%5D%5B0%5D%5Bverdi%5D=&amp;hva%5B0%5D%5Bid%5D=47/når:2017-09-14", "Vegkart")</f>
        <v>Vegkart</v>
      </c>
      <c r="B5593">
        <v>442809129</v>
      </c>
      <c r="C5593">
        <v>47</v>
      </c>
      <c r="D5593" t="s">
        <v>16854</v>
      </c>
      <c r="E5593">
        <v>5897</v>
      </c>
      <c r="F5593" t="s">
        <v>23479</v>
      </c>
      <c r="G5593">
        <v>3</v>
      </c>
      <c r="H5593" t="s">
        <v>17933</v>
      </c>
      <c r="J5593" t="s">
        <v>18620</v>
      </c>
      <c r="K5593" t="s">
        <v>450</v>
      </c>
      <c r="L5593" t="s">
        <v>80</v>
      </c>
      <c r="M5593" t="s">
        <v>17889</v>
      </c>
      <c r="N5593" t="s">
        <v>18654</v>
      </c>
      <c r="O5593" t="s">
        <v>18655</v>
      </c>
      <c r="P5593" s="2" t="s">
        <v>37</v>
      </c>
      <c r="Q5593" t="s">
        <v>1208</v>
      </c>
      <c r="R5593">
        <v>2.54</v>
      </c>
      <c r="S5593">
        <v>99.75</v>
      </c>
      <c r="T5593" t="s">
        <v>18656</v>
      </c>
    </row>
    <row r="5594" spans="1:20" x14ac:dyDescent="0.25">
      <c r="A5594" s="1" t="str">
        <f>HYPERLINK("https://vegkart.atlas.vegvesen.no/#/@1057403.7,7842172.9,18/hva:hva%5B0%5D%5Bfilter%5D%5B0%5D%5Boperator%5D=%21%3D&amp;hva%5B0%5D%5Bfilter%5D%5B0%5D%5Btype_id%5D=5897&amp;hva%5B0%5D%5Bfilter%5D%5B0%5D%5Bverdi%5D=&amp;hva%5B0%5D%5Bid%5D=47/når:2017-09-14", "Vegkart")</f>
        <v>Vegkart</v>
      </c>
      <c r="B5594">
        <v>442809133</v>
      </c>
      <c r="C5594">
        <v>47</v>
      </c>
      <c r="D5594" t="s">
        <v>16854</v>
      </c>
      <c r="E5594">
        <v>5897</v>
      </c>
      <c r="F5594" t="s">
        <v>23479</v>
      </c>
      <c r="G5594">
        <v>3</v>
      </c>
      <c r="H5594" t="s">
        <v>17933</v>
      </c>
      <c r="J5594" t="s">
        <v>18620</v>
      </c>
      <c r="K5594" t="s">
        <v>450</v>
      </c>
      <c r="L5594" t="s">
        <v>80</v>
      </c>
      <c r="M5594" t="s">
        <v>17889</v>
      </c>
      <c r="N5594" t="s">
        <v>18657</v>
      </c>
      <c r="O5594" t="s">
        <v>18658</v>
      </c>
      <c r="P5594" s="2" t="s">
        <v>37</v>
      </c>
      <c r="Q5594" t="s">
        <v>1208</v>
      </c>
      <c r="R5594">
        <v>3.74</v>
      </c>
      <c r="S5594">
        <v>97.7</v>
      </c>
      <c r="T5594" t="s">
        <v>18659</v>
      </c>
    </row>
    <row r="5595" spans="1:20" x14ac:dyDescent="0.25">
      <c r="A5595" s="1" t="str">
        <f>HYPERLINK("https://vegkart.atlas.vegvesen.no/#/@1013351.0,7843830.4,18/hva:hva%5B0%5D%5Bfilter%5D%5B0%5D%5Boperator%5D=%21%3D&amp;hva%5B0%5D%5Bfilter%5D%5B0%5D%5Btype_id%5D=5897&amp;hva%5B0%5D%5Bfilter%5D%5B0%5D%5Bverdi%5D=&amp;hva%5B0%5D%5Bid%5D=47/når:2017-09-14", "Vegkart")</f>
        <v>Vegkart</v>
      </c>
      <c r="B5595">
        <v>442809134</v>
      </c>
      <c r="C5595">
        <v>47</v>
      </c>
      <c r="D5595" t="s">
        <v>16854</v>
      </c>
      <c r="E5595">
        <v>5897</v>
      </c>
      <c r="F5595" t="s">
        <v>23479</v>
      </c>
      <c r="G5595">
        <v>3</v>
      </c>
      <c r="H5595" t="s">
        <v>17933</v>
      </c>
      <c r="J5595" t="s">
        <v>18620</v>
      </c>
      <c r="K5595" t="s">
        <v>450</v>
      </c>
      <c r="L5595" t="s">
        <v>80</v>
      </c>
      <c r="M5595" t="s">
        <v>17889</v>
      </c>
      <c r="N5595" t="s">
        <v>18660</v>
      </c>
      <c r="O5595" t="s">
        <v>18661</v>
      </c>
      <c r="P5595" s="2" t="s">
        <v>37</v>
      </c>
      <c r="Q5595" t="s">
        <v>1208</v>
      </c>
      <c r="R5595">
        <v>2.23</v>
      </c>
      <c r="S5595">
        <v>89.52</v>
      </c>
      <c r="T5595" t="s">
        <v>18662</v>
      </c>
    </row>
    <row r="5596" spans="1:20" x14ac:dyDescent="0.25">
      <c r="A5596" s="1" t="str">
        <f>HYPERLINK("https://vegkart.atlas.vegvesen.no/#/@1031157.6,7842434.2,18/hva:hva%5B0%5D%5Bfilter%5D%5B0%5D%5Boperator%5D=%21%3D&amp;hva%5B0%5D%5Bfilter%5D%5B0%5D%5Btype_id%5D=5897&amp;hva%5B0%5D%5Bfilter%5D%5B0%5D%5Bverdi%5D=&amp;hva%5B0%5D%5Bid%5D=47/når:2017-09-15", "Vegkart")</f>
        <v>Vegkart</v>
      </c>
      <c r="B5596">
        <v>442809137</v>
      </c>
      <c r="C5596">
        <v>47</v>
      </c>
      <c r="D5596" t="s">
        <v>16854</v>
      </c>
      <c r="E5596">
        <v>5897</v>
      </c>
      <c r="F5596" t="s">
        <v>23479</v>
      </c>
      <c r="G5596">
        <v>3</v>
      </c>
      <c r="H5596" t="s">
        <v>17910</v>
      </c>
      <c r="J5596" t="s">
        <v>18620</v>
      </c>
      <c r="K5596" t="s">
        <v>450</v>
      </c>
      <c r="L5596" t="s">
        <v>80</v>
      </c>
      <c r="M5596" t="s">
        <v>17889</v>
      </c>
      <c r="N5596" t="s">
        <v>18663</v>
      </c>
      <c r="O5596" t="s">
        <v>18664</v>
      </c>
      <c r="P5596" s="2" t="s">
        <v>165</v>
      </c>
      <c r="Q5596" t="s">
        <v>641</v>
      </c>
      <c r="R5596">
        <v>0.79</v>
      </c>
      <c r="S5596">
        <v>150.15</v>
      </c>
      <c r="T5596" t="s">
        <v>167</v>
      </c>
    </row>
    <row r="5597" spans="1:20" x14ac:dyDescent="0.25">
      <c r="A5597" s="1" t="str">
        <f>HYPERLINK("https://vegkart.atlas.vegvesen.no/#/@196575.5,6553986.5,18/hva:hva%5B0%5D%5Bfilter%5D%5B0%5D%5Boperator%5D=%21%3D&amp;hva%5B0%5D%5Bfilter%5D%5B0%5D%5Btype_id%5D=5897&amp;hva%5B0%5D%5Bfilter%5D%5B0%5D%5Bverdi%5D=&amp;hva%5B0%5D%5Bid%5D=47/når:2022-12-06", "Vegkart")</f>
        <v>Vegkart</v>
      </c>
      <c r="B5597">
        <v>443691927</v>
      </c>
      <c r="C5597">
        <v>47</v>
      </c>
      <c r="D5597" t="s">
        <v>16854</v>
      </c>
      <c r="E5597">
        <v>5897</v>
      </c>
      <c r="F5597" t="s">
        <v>23479</v>
      </c>
      <c r="G5597">
        <v>2</v>
      </c>
      <c r="H5597" t="s">
        <v>17967</v>
      </c>
      <c r="J5597" t="s">
        <v>18620</v>
      </c>
      <c r="K5597" t="s">
        <v>197</v>
      </c>
      <c r="L5597" t="s">
        <v>33</v>
      </c>
      <c r="M5597" t="s">
        <v>18235</v>
      </c>
      <c r="N5597" t="s">
        <v>18665</v>
      </c>
      <c r="O5597" t="s">
        <v>18666</v>
      </c>
      <c r="P5597" s="2" t="s">
        <v>37</v>
      </c>
      <c r="Q5597" t="s">
        <v>1208</v>
      </c>
      <c r="R5597">
        <v>0</v>
      </c>
      <c r="S5597">
        <v>90.66</v>
      </c>
      <c r="T5597" t="s">
        <v>18667</v>
      </c>
    </row>
    <row r="5598" spans="1:20" x14ac:dyDescent="0.25">
      <c r="A5598" s="1" t="str">
        <f>HYPERLINK("https://vegkart.atlas.vegvesen.no/#/@195504.5,6554348.3,18/hva:hva%5B0%5D%5Bfilter%5D%5B0%5D%5Boperator%5D=%21%3D&amp;hva%5B0%5D%5Bfilter%5D%5B0%5D%5Btype_id%5D=5897&amp;hva%5B0%5D%5Bfilter%5D%5B0%5D%5Bverdi%5D=&amp;hva%5B0%5D%5Bid%5D=47/når:2022-12-06", "Vegkart")</f>
        <v>Vegkart</v>
      </c>
      <c r="B5598">
        <v>443691937</v>
      </c>
      <c r="C5598">
        <v>47</v>
      </c>
      <c r="D5598" t="s">
        <v>16854</v>
      </c>
      <c r="E5598">
        <v>5897</v>
      </c>
      <c r="F5598" t="s">
        <v>23479</v>
      </c>
      <c r="G5598">
        <v>2</v>
      </c>
      <c r="H5598" t="s">
        <v>17967</v>
      </c>
      <c r="J5598" t="s">
        <v>18620</v>
      </c>
      <c r="K5598" t="s">
        <v>197</v>
      </c>
      <c r="L5598" t="s">
        <v>33</v>
      </c>
      <c r="M5598" t="s">
        <v>18235</v>
      </c>
      <c r="N5598" t="s">
        <v>18668</v>
      </c>
      <c r="O5598" t="s">
        <v>18669</v>
      </c>
      <c r="P5598" s="2" t="s">
        <v>37</v>
      </c>
      <c r="Q5598" t="s">
        <v>1208</v>
      </c>
      <c r="R5598">
        <v>0</v>
      </c>
      <c r="S5598">
        <v>55.17</v>
      </c>
      <c r="T5598" t="s">
        <v>18670</v>
      </c>
    </row>
    <row r="5599" spans="1:20" x14ac:dyDescent="0.25">
      <c r="A5599" s="1" t="str">
        <f>HYPERLINK("https://vegkart.atlas.vegvesen.no/#/@190611.1,6898691.5,18/hva:hva%5B0%5D%5Bfilter%5D%5B0%5D%5Boperator%5D=%21%3D&amp;hva%5B0%5D%5Bfilter%5D%5B0%5D%5Btype_id%5D=5897&amp;hva%5B0%5D%5Bfilter%5D%5B0%5D%5Bverdi%5D=&amp;hva%5B0%5D%5Bid%5D=47/når:2013-09-17", "Vegkart")</f>
        <v>Vegkart</v>
      </c>
      <c r="B5599">
        <v>447817771</v>
      </c>
      <c r="C5599">
        <v>47</v>
      </c>
      <c r="D5599" t="s">
        <v>16854</v>
      </c>
      <c r="E5599">
        <v>5897</v>
      </c>
      <c r="F5599" t="s">
        <v>23479</v>
      </c>
      <c r="G5599">
        <v>1</v>
      </c>
      <c r="H5599" t="s">
        <v>18671</v>
      </c>
      <c r="J5599" t="s">
        <v>18620</v>
      </c>
      <c r="K5599" t="s">
        <v>136</v>
      </c>
      <c r="L5599" t="s">
        <v>80</v>
      </c>
      <c r="M5599" t="s">
        <v>1217</v>
      </c>
      <c r="N5599" t="s">
        <v>18672</v>
      </c>
      <c r="O5599" t="s">
        <v>18673</v>
      </c>
      <c r="P5599" s="2" t="s">
        <v>26</v>
      </c>
      <c r="Q5599" t="s">
        <v>50</v>
      </c>
      <c r="R5599">
        <v>59.44</v>
      </c>
      <c r="S5599">
        <v>59.44</v>
      </c>
      <c r="T5599" t="s">
        <v>18674</v>
      </c>
    </row>
    <row r="5600" spans="1:20" x14ac:dyDescent="0.25">
      <c r="A5600" s="1" t="str">
        <f>HYPERLINK("https://vegkart.atlas.vegvesen.no/#/@92827.7,6465494.6,18/hva:hva%5B0%5D%5Bfilter%5D%5B0%5D%5Boperator%5D=%21%3D&amp;hva%5B0%5D%5Bfilter%5D%5B0%5D%5Btype_id%5D=5897&amp;hva%5B0%5D%5Bfilter%5D%5B0%5D%5Bverdi%5D=&amp;hva%5B0%5D%5Bid%5D=47/når:2013-09-26", "Vegkart")</f>
        <v>Vegkart</v>
      </c>
      <c r="B5600">
        <v>450437859</v>
      </c>
      <c r="C5600">
        <v>47</v>
      </c>
      <c r="D5600" t="s">
        <v>16854</v>
      </c>
      <c r="E5600">
        <v>5897</v>
      </c>
      <c r="F5600" t="s">
        <v>23479</v>
      </c>
      <c r="G5600">
        <v>2</v>
      </c>
      <c r="H5600" t="s">
        <v>17464</v>
      </c>
      <c r="J5600" t="s">
        <v>18620</v>
      </c>
      <c r="K5600" t="s">
        <v>86</v>
      </c>
      <c r="L5600" t="s">
        <v>33</v>
      </c>
      <c r="M5600" t="s">
        <v>11374</v>
      </c>
      <c r="N5600" t="s">
        <v>18675</v>
      </c>
      <c r="O5600" t="s">
        <v>18676</v>
      </c>
      <c r="P5600" s="2" t="s">
        <v>26</v>
      </c>
      <c r="Q5600" t="s">
        <v>50</v>
      </c>
      <c r="R5600">
        <v>53.64</v>
      </c>
      <c r="S5600">
        <v>54.33</v>
      </c>
      <c r="T5600" t="s">
        <v>18677</v>
      </c>
    </row>
    <row r="5601" spans="1:20" x14ac:dyDescent="0.25">
      <c r="A5601" s="1" t="str">
        <f>HYPERLINK("https://vegkart.atlas.vegvesen.no/#/@232921.2,6579240.0,18/hva:hva%5B0%5D%5Bfilter%5D%5B0%5D%5Boperator%5D=%21%3D&amp;hva%5B0%5D%5Bfilter%5D%5B0%5D%5Btype_id%5D=5897&amp;hva%5B0%5D%5Bfilter%5D%5B0%5D%5Bverdi%5D=&amp;hva%5B0%5D%5Bid%5D=47/når:2013-10-21", "Vegkart")</f>
        <v>Vegkart</v>
      </c>
      <c r="B5601">
        <v>459918935</v>
      </c>
      <c r="C5601">
        <v>47</v>
      </c>
      <c r="D5601" t="s">
        <v>16854</v>
      </c>
      <c r="E5601">
        <v>5897</v>
      </c>
      <c r="F5601" t="s">
        <v>23479</v>
      </c>
      <c r="G5601">
        <v>1</v>
      </c>
      <c r="H5601" t="s">
        <v>18678</v>
      </c>
      <c r="J5601" t="s">
        <v>18679</v>
      </c>
      <c r="K5601" t="s">
        <v>81</v>
      </c>
      <c r="L5601" t="s">
        <v>33</v>
      </c>
      <c r="M5601" t="s">
        <v>4333</v>
      </c>
      <c r="N5601" t="s">
        <v>18680</v>
      </c>
      <c r="O5601" t="s">
        <v>18681</v>
      </c>
      <c r="P5601" s="2" t="s">
        <v>26</v>
      </c>
      <c r="Q5601" t="s">
        <v>50</v>
      </c>
      <c r="R5601">
        <v>55.46</v>
      </c>
      <c r="S5601">
        <v>55.69</v>
      </c>
      <c r="T5601" t="s">
        <v>18682</v>
      </c>
    </row>
    <row r="5602" spans="1:20" x14ac:dyDescent="0.25">
      <c r="A5602" s="1" t="str">
        <f>HYPERLINK("https://vegkart.atlas.vegvesen.no/#/@232886.6,6579184.1,18/hva:hva%5B0%5D%5Bfilter%5D%5B0%5D%5Boperator%5D=%21%3D&amp;hva%5B0%5D%5Bfilter%5D%5B0%5D%5Btype_id%5D=5897&amp;hva%5B0%5D%5Bfilter%5D%5B0%5D%5Bverdi%5D=&amp;hva%5B0%5D%5Bid%5D=47/når:2013-10-21", "Vegkart")</f>
        <v>Vegkart</v>
      </c>
      <c r="B5602">
        <v>459918942</v>
      </c>
      <c r="C5602">
        <v>47</v>
      </c>
      <c r="D5602" t="s">
        <v>16854</v>
      </c>
      <c r="E5602">
        <v>5897</v>
      </c>
      <c r="F5602" t="s">
        <v>23479</v>
      </c>
      <c r="G5602">
        <v>1</v>
      </c>
      <c r="H5602" t="s">
        <v>18678</v>
      </c>
      <c r="J5602" t="s">
        <v>18679</v>
      </c>
      <c r="K5602" t="s">
        <v>81</v>
      </c>
      <c r="L5602" t="s">
        <v>33</v>
      </c>
      <c r="M5602" t="s">
        <v>4333</v>
      </c>
      <c r="N5602" t="s">
        <v>18683</v>
      </c>
      <c r="O5602" t="s">
        <v>18684</v>
      </c>
      <c r="P5602" s="2" t="s">
        <v>26</v>
      </c>
      <c r="Q5602" t="s">
        <v>50</v>
      </c>
      <c r="R5602">
        <v>53.57</v>
      </c>
      <c r="S5602">
        <v>54.1</v>
      </c>
      <c r="T5602" t="s">
        <v>18685</v>
      </c>
    </row>
    <row r="5603" spans="1:20" x14ac:dyDescent="0.25">
      <c r="A5603" s="1" t="str">
        <f>HYPERLINK("https://vegkart.atlas.vegvesen.no/#/@48572.7,6465345.1,18/hva:hva%5B0%5D%5Bfilter%5D%5B0%5D%5Boperator%5D=%21%3D&amp;hva%5B0%5D%5Bfilter%5D%5B0%5D%5Btype_id%5D=5897&amp;hva%5B0%5D%5Bfilter%5D%5B0%5D%5Bverdi%5D=&amp;hva%5B0%5D%5Bid%5D=47/når:2014-10-13", "Vegkart")</f>
        <v>Vegkart</v>
      </c>
      <c r="B5603">
        <v>469959830</v>
      </c>
      <c r="C5603">
        <v>47</v>
      </c>
      <c r="D5603" t="s">
        <v>16854</v>
      </c>
      <c r="E5603">
        <v>5897</v>
      </c>
      <c r="F5603" t="s">
        <v>23479</v>
      </c>
      <c r="G5603">
        <v>2</v>
      </c>
      <c r="H5603" t="s">
        <v>18686</v>
      </c>
      <c r="J5603" t="s">
        <v>18679</v>
      </c>
      <c r="K5603" t="s">
        <v>86</v>
      </c>
      <c r="L5603" t="s">
        <v>33</v>
      </c>
      <c r="M5603" t="s">
        <v>5002</v>
      </c>
      <c r="N5603" t="s">
        <v>18687</v>
      </c>
      <c r="O5603" t="s">
        <v>18688</v>
      </c>
      <c r="P5603" s="2" t="s">
        <v>26</v>
      </c>
      <c r="Q5603" t="s">
        <v>50</v>
      </c>
      <c r="R5603">
        <v>53.93</v>
      </c>
      <c r="S5603">
        <v>54.83</v>
      </c>
      <c r="T5603" t="s">
        <v>18689</v>
      </c>
    </row>
    <row r="5604" spans="1:20" x14ac:dyDescent="0.25">
      <c r="A5604" s="1" t="str">
        <f>HYPERLINK("https://vegkart.atlas.vegvesen.no/#/@48523.0,6465322.3,18/hva:hva%5B0%5D%5Bfilter%5D%5B0%5D%5Boperator%5D=%21%3D&amp;hva%5B0%5D%5Bfilter%5D%5B0%5D%5Btype_id%5D=5897&amp;hva%5B0%5D%5Bfilter%5D%5B0%5D%5Bverdi%5D=&amp;hva%5B0%5D%5Bid%5D=47/når:2014-10-13", "Vegkart")</f>
        <v>Vegkart</v>
      </c>
      <c r="B5604">
        <v>469959831</v>
      </c>
      <c r="C5604">
        <v>47</v>
      </c>
      <c r="D5604" t="s">
        <v>16854</v>
      </c>
      <c r="E5604">
        <v>5897</v>
      </c>
      <c r="F5604" t="s">
        <v>23479</v>
      </c>
      <c r="G5604">
        <v>2</v>
      </c>
      <c r="H5604" t="s">
        <v>18686</v>
      </c>
      <c r="J5604" t="s">
        <v>18679</v>
      </c>
      <c r="K5604" t="s">
        <v>86</v>
      </c>
      <c r="L5604" t="s">
        <v>33</v>
      </c>
      <c r="M5604" t="s">
        <v>5002</v>
      </c>
      <c r="N5604" t="s">
        <v>18690</v>
      </c>
      <c r="O5604" t="s">
        <v>18691</v>
      </c>
      <c r="P5604" s="2" t="s">
        <v>26</v>
      </c>
      <c r="Q5604" t="s">
        <v>50</v>
      </c>
      <c r="R5604">
        <v>47.44</v>
      </c>
      <c r="S5604">
        <v>47.7</v>
      </c>
      <c r="T5604" t="s">
        <v>18692</v>
      </c>
    </row>
    <row r="5605" spans="1:20" x14ac:dyDescent="0.25">
      <c r="A5605" s="1" t="str">
        <f>HYPERLINK("https://vegkart.atlas.vegvesen.no/#/@47387.8,6464316.2,18/hva:hva%5B0%5D%5Bfilter%5D%5B0%5D%5Boperator%5D=%21%3D&amp;hva%5B0%5D%5Bfilter%5D%5B0%5D%5Btype_id%5D=5897&amp;hva%5B0%5D%5Bfilter%5D%5B0%5D%5Bverdi%5D=&amp;hva%5B0%5D%5Bid%5D=47/når:2014-10-13", "Vegkart")</f>
        <v>Vegkart</v>
      </c>
      <c r="B5605">
        <v>469959832</v>
      </c>
      <c r="C5605">
        <v>47</v>
      </c>
      <c r="D5605" t="s">
        <v>16854</v>
      </c>
      <c r="E5605">
        <v>5897</v>
      </c>
      <c r="F5605" t="s">
        <v>23479</v>
      </c>
      <c r="G5605">
        <v>2</v>
      </c>
      <c r="H5605" t="s">
        <v>18686</v>
      </c>
      <c r="J5605" t="s">
        <v>18679</v>
      </c>
      <c r="K5605" t="s">
        <v>86</v>
      </c>
      <c r="L5605" t="s">
        <v>33</v>
      </c>
      <c r="M5605" t="s">
        <v>5002</v>
      </c>
      <c r="N5605" t="s">
        <v>18693</v>
      </c>
      <c r="O5605" t="s">
        <v>18694</v>
      </c>
      <c r="P5605" s="2" t="s">
        <v>26</v>
      </c>
      <c r="Q5605" t="s">
        <v>50</v>
      </c>
      <c r="R5605">
        <v>67.91</v>
      </c>
      <c r="S5605">
        <v>68.709999999999994</v>
      </c>
      <c r="T5605" t="s">
        <v>18695</v>
      </c>
    </row>
    <row r="5606" spans="1:20" x14ac:dyDescent="0.25">
      <c r="A5606" s="1" t="str">
        <f>HYPERLINK("https://vegkart.atlas.vegvesen.no/#/@47316.0,6464261.4,18/hva:hva%5B0%5D%5Bfilter%5D%5B0%5D%5Boperator%5D=%21%3D&amp;hva%5B0%5D%5Bfilter%5D%5B0%5D%5Btype_id%5D=5897&amp;hva%5B0%5D%5Bfilter%5D%5B0%5D%5Bverdi%5D=&amp;hva%5B0%5D%5Bid%5D=47/når:2013-12-02", "Vegkart")</f>
        <v>Vegkart</v>
      </c>
      <c r="B5606">
        <v>469959833</v>
      </c>
      <c r="C5606">
        <v>47</v>
      </c>
      <c r="D5606" t="s">
        <v>16854</v>
      </c>
      <c r="E5606">
        <v>5897</v>
      </c>
      <c r="F5606" t="s">
        <v>23479</v>
      </c>
      <c r="G5606">
        <v>1</v>
      </c>
      <c r="H5606" t="s">
        <v>18696</v>
      </c>
      <c r="J5606" t="s">
        <v>18679</v>
      </c>
      <c r="K5606" t="s">
        <v>86</v>
      </c>
      <c r="L5606" t="s">
        <v>33</v>
      </c>
      <c r="M5606" t="s">
        <v>5002</v>
      </c>
      <c r="N5606" t="s">
        <v>18697</v>
      </c>
      <c r="O5606" t="s">
        <v>18698</v>
      </c>
      <c r="P5606" s="2" t="s">
        <v>26</v>
      </c>
      <c r="Q5606" t="s">
        <v>50</v>
      </c>
      <c r="R5606">
        <v>64.66</v>
      </c>
      <c r="S5606">
        <v>65.23</v>
      </c>
      <c r="T5606" t="s">
        <v>18699</v>
      </c>
    </row>
    <row r="5607" spans="1:20" x14ac:dyDescent="0.25">
      <c r="A5607" s="1" t="str">
        <f>HYPERLINK("https://vegkart.atlas.vegvesen.no/#/@424540.5,7253237.7,18/hva:hva%5B0%5D%5Bfilter%5D%5B0%5D%5Boperator%5D=%21%3D&amp;hva%5B0%5D%5Bfilter%5D%5B0%5D%5Btype_id%5D=5897&amp;hva%5B0%5D%5Bfilter%5D%5B0%5D%5Bverdi%5D=&amp;hva%5B0%5D%5Bid%5D=47/når:2013-11-15", "Vegkart")</f>
        <v>Vegkart</v>
      </c>
      <c r="B5607">
        <v>480553372</v>
      </c>
      <c r="C5607">
        <v>47</v>
      </c>
      <c r="D5607" t="s">
        <v>16854</v>
      </c>
      <c r="E5607">
        <v>5897</v>
      </c>
      <c r="F5607" t="s">
        <v>23479</v>
      </c>
      <c r="G5607">
        <v>1</v>
      </c>
      <c r="H5607" t="s">
        <v>18700</v>
      </c>
      <c r="J5607" t="s">
        <v>18679</v>
      </c>
      <c r="K5607" t="s">
        <v>53</v>
      </c>
      <c r="L5607" t="s">
        <v>80</v>
      </c>
      <c r="M5607" t="s">
        <v>105</v>
      </c>
      <c r="N5607" t="s">
        <v>18701</v>
      </c>
      <c r="O5607" t="s">
        <v>18702</v>
      </c>
      <c r="P5607" s="2" t="s">
        <v>26</v>
      </c>
      <c r="Q5607" t="s">
        <v>50</v>
      </c>
      <c r="R5607">
        <v>63.93</v>
      </c>
      <c r="S5607">
        <v>66.53</v>
      </c>
      <c r="T5607" t="s">
        <v>18703</v>
      </c>
    </row>
    <row r="5608" spans="1:20" x14ac:dyDescent="0.25">
      <c r="A5608" s="1" t="str">
        <f>HYPERLINK("https://vegkart.atlas.vegvesen.no/#/@424791.3,7253758.2,18/hva:hva%5B0%5D%5Bfilter%5D%5B0%5D%5Boperator%5D=%21%3D&amp;hva%5B0%5D%5Bfilter%5D%5B0%5D%5Btype_id%5D=5897&amp;hva%5B0%5D%5Bfilter%5D%5B0%5D%5Bverdi%5D=&amp;hva%5B0%5D%5Bid%5D=47/når:2013-11-15", "Vegkart")</f>
        <v>Vegkart</v>
      </c>
      <c r="B5608">
        <v>480553373</v>
      </c>
      <c r="C5608">
        <v>47</v>
      </c>
      <c r="D5608" t="s">
        <v>16854</v>
      </c>
      <c r="E5608">
        <v>5897</v>
      </c>
      <c r="F5608" t="s">
        <v>23479</v>
      </c>
      <c r="G5608">
        <v>1</v>
      </c>
      <c r="H5608" t="s">
        <v>18700</v>
      </c>
      <c r="J5608" t="s">
        <v>18679</v>
      </c>
      <c r="K5608" t="s">
        <v>53</v>
      </c>
      <c r="L5608" t="s">
        <v>80</v>
      </c>
      <c r="M5608" t="s">
        <v>105</v>
      </c>
      <c r="N5608" t="s">
        <v>18704</v>
      </c>
      <c r="O5608" t="s">
        <v>18705</v>
      </c>
      <c r="P5608" s="2" t="s">
        <v>26</v>
      </c>
      <c r="Q5608" t="s">
        <v>50</v>
      </c>
      <c r="R5608">
        <v>62.12</v>
      </c>
      <c r="S5608">
        <v>64.17</v>
      </c>
      <c r="T5608" t="s">
        <v>18706</v>
      </c>
    </row>
    <row r="5609" spans="1:20" x14ac:dyDescent="0.25">
      <c r="A5609" s="1" t="str">
        <f>HYPERLINK("https://vegkart.atlas.vegvesen.no/#/@424780.6,7253773.5,18/hva:hva%5B0%5D%5Bfilter%5D%5B0%5D%5Boperator%5D=%21%3D&amp;hva%5B0%5D%5Bfilter%5D%5B0%5D%5Btype_id%5D=5897&amp;hva%5B0%5D%5Bfilter%5D%5B0%5D%5Bverdi%5D=&amp;hva%5B0%5D%5Bid%5D=47/når:2013-11-15", "Vegkart")</f>
        <v>Vegkart</v>
      </c>
      <c r="B5609">
        <v>480553374</v>
      </c>
      <c r="C5609">
        <v>47</v>
      </c>
      <c r="D5609" t="s">
        <v>16854</v>
      </c>
      <c r="E5609">
        <v>5897</v>
      </c>
      <c r="F5609" t="s">
        <v>23479</v>
      </c>
      <c r="G5609">
        <v>1</v>
      </c>
      <c r="H5609" t="s">
        <v>18700</v>
      </c>
      <c r="J5609" t="s">
        <v>18679</v>
      </c>
      <c r="K5609" t="s">
        <v>53</v>
      </c>
      <c r="L5609" t="s">
        <v>80</v>
      </c>
      <c r="M5609" t="s">
        <v>105</v>
      </c>
      <c r="N5609" t="s">
        <v>18707</v>
      </c>
      <c r="O5609" t="s">
        <v>18708</v>
      </c>
      <c r="P5609" s="2" t="s">
        <v>26</v>
      </c>
      <c r="Q5609" t="s">
        <v>50</v>
      </c>
      <c r="R5609">
        <v>63.56</v>
      </c>
      <c r="S5609">
        <v>65.48</v>
      </c>
      <c r="T5609" t="s">
        <v>18709</v>
      </c>
    </row>
    <row r="5610" spans="1:20" x14ac:dyDescent="0.25">
      <c r="A5610" s="1" t="str">
        <f>HYPERLINK("https://vegkart.atlas.vegvesen.no/#/@103629.3,6791210.0,18/hva:hva%5B0%5D%5Bfilter%5D%5B0%5D%5Boperator%5D=%21%3D&amp;hva%5B0%5D%5Bfilter%5D%5B0%5D%5Btype_id%5D=5897&amp;hva%5B0%5D%5Bfilter%5D%5B0%5D%5Bverdi%5D=&amp;hva%5B0%5D%5Bid%5D=47/når:2022-01-18", "Vegkart")</f>
        <v>Vegkart</v>
      </c>
      <c r="B5610">
        <v>480740126</v>
      </c>
      <c r="C5610">
        <v>47</v>
      </c>
      <c r="D5610" t="s">
        <v>16854</v>
      </c>
      <c r="E5610">
        <v>5897</v>
      </c>
      <c r="F5610" t="s">
        <v>23479</v>
      </c>
      <c r="G5610">
        <v>2</v>
      </c>
      <c r="H5610" t="s">
        <v>18710</v>
      </c>
      <c r="J5610" t="s">
        <v>18711</v>
      </c>
      <c r="K5610" t="s">
        <v>21</v>
      </c>
      <c r="L5610" t="s">
        <v>80</v>
      </c>
      <c r="M5610" t="s">
        <v>152</v>
      </c>
      <c r="N5610" t="s">
        <v>18712</v>
      </c>
      <c r="O5610" t="s">
        <v>18713</v>
      </c>
      <c r="P5610" s="2" t="s">
        <v>37</v>
      </c>
      <c r="Q5610" t="s">
        <v>1208</v>
      </c>
      <c r="R5610">
        <v>9.59</v>
      </c>
      <c r="S5610">
        <v>72.36</v>
      </c>
      <c r="T5610" t="s">
        <v>18714</v>
      </c>
    </row>
    <row r="5611" spans="1:20" x14ac:dyDescent="0.25">
      <c r="A5611" s="1" t="str">
        <f>HYPERLINK("https://vegkart.atlas.vegvesen.no/#/@421850.7,7538819.6,18/hva:hva%5B0%5D%5Bfilter%5D%5B0%5D%5Boperator%5D=%21%3D&amp;hva%5B0%5D%5Bfilter%5D%5B0%5D%5Btype_id%5D=5897&amp;hva%5B0%5D%5Bfilter%5D%5B0%5D%5Bverdi%5D=&amp;hva%5B0%5D%5Bid%5D=47/når:2013-11-13", "Vegkart")</f>
        <v>Vegkart</v>
      </c>
      <c r="B5611">
        <v>481018101</v>
      </c>
      <c r="C5611">
        <v>47</v>
      </c>
      <c r="D5611" t="s">
        <v>16854</v>
      </c>
      <c r="E5611">
        <v>5897</v>
      </c>
      <c r="F5611" t="s">
        <v>23479</v>
      </c>
      <c r="G5611">
        <v>1</v>
      </c>
      <c r="H5611" t="s">
        <v>18715</v>
      </c>
      <c r="J5611" t="s">
        <v>18711</v>
      </c>
      <c r="K5611" t="s">
        <v>53</v>
      </c>
      <c r="L5611" t="s">
        <v>80</v>
      </c>
      <c r="M5611" t="s">
        <v>522</v>
      </c>
      <c r="N5611" t="s">
        <v>18716</v>
      </c>
      <c r="O5611" t="s">
        <v>18717</v>
      </c>
      <c r="P5611" s="2" t="s">
        <v>26</v>
      </c>
      <c r="Q5611" t="s">
        <v>50</v>
      </c>
      <c r="R5611">
        <v>94.85</v>
      </c>
      <c r="S5611">
        <v>95.63</v>
      </c>
      <c r="T5611" t="s">
        <v>18718</v>
      </c>
    </row>
    <row r="5612" spans="1:20" x14ac:dyDescent="0.25">
      <c r="A5612" s="1" t="str">
        <f>HYPERLINK("https://vegkart.atlas.vegvesen.no/#/@421973.3,7539302.0,18/hva:hva%5B0%5D%5Bfilter%5D%5B0%5D%5Boperator%5D=%21%3D&amp;hva%5B0%5D%5Bfilter%5D%5B0%5D%5Btype_id%5D=5897&amp;hva%5B0%5D%5Bfilter%5D%5B0%5D%5Bverdi%5D=&amp;hva%5B0%5D%5Bid%5D=47/når:2013-11-13", "Vegkart")</f>
        <v>Vegkart</v>
      </c>
      <c r="B5612">
        <v>481018102</v>
      </c>
      <c r="C5612">
        <v>47</v>
      </c>
      <c r="D5612" t="s">
        <v>16854</v>
      </c>
      <c r="E5612">
        <v>5897</v>
      </c>
      <c r="F5612" t="s">
        <v>23479</v>
      </c>
      <c r="G5612">
        <v>1</v>
      </c>
      <c r="H5612" t="s">
        <v>18715</v>
      </c>
      <c r="J5612" t="s">
        <v>18711</v>
      </c>
      <c r="K5612" t="s">
        <v>53</v>
      </c>
      <c r="L5612" t="s">
        <v>80</v>
      </c>
      <c r="M5612" t="s">
        <v>522</v>
      </c>
      <c r="N5612" t="s">
        <v>18719</v>
      </c>
      <c r="O5612" t="s">
        <v>18720</v>
      </c>
      <c r="P5612" s="2" t="s">
        <v>26</v>
      </c>
      <c r="Q5612" t="s">
        <v>50</v>
      </c>
      <c r="R5612">
        <v>94.03</v>
      </c>
      <c r="S5612">
        <v>94.32</v>
      </c>
      <c r="T5612" t="s">
        <v>18721</v>
      </c>
    </row>
    <row r="5613" spans="1:20" x14ac:dyDescent="0.25">
      <c r="A5613" s="1" t="str">
        <f>HYPERLINK("https://vegkart.atlas.vegvesen.no/#/@422174.8,7539687.4,18/hva:hva%5B0%5D%5Bfilter%5D%5B0%5D%5Boperator%5D=%21%3D&amp;hva%5B0%5D%5Bfilter%5D%5B0%5D%5Btype_id%5D=5897&amp;hva%5B0%5D%5Bfilter%5D%5B0%5D%5Bverdi%5D=&amp;hva%5B0%5D%5Bid%5D=47/når:2013-11-13", "Vegkart")</f>
        <v>Vegkart</v>
      </c>
      <c r="B5613">
        <v>481018103</v>
      </c>
      <c r="C5613">
        <v>47</v>
      </c>
      <c r="D5613" t="s">
        <v>16854</v>
      </c>
      <c r="E5613">
        <v>5897</v>
      </c>
      <c r="F5613" t="s">
        <v>23479</v>
      </c>
      <c r="G5613">
        <v>1</v>
      </c>
      <c r="H5613" t="s">
        <v>18715</v>
      </c>
      <c r="J5613" t="s">
        <v>18711</v>
      </c>
      <c r="K5613" t="s">
        <v>53</v>
      </c>
      <c r="L5613" t="s">
        <v>80</v>
      </c>
      <c r="M5613" t="s">
        <v>522</v>
      </c>
      <c r="N5613" t="s">
        <v>18722</v>
      </c>
      <c r="O5613" t="s">
        <v>18723</v>
      </c>
      <c r="P5613" s="2" t="s">
        <v>26</v>
      </c>
      <c r="Q5613" t="s">
        <v>50</v>
      </c>
      <c r="R5613">
        <v>95.47</v>
      </c>
      <c r="S5613">
        <v>96.1</v>
      </c>
      <c r="T5613" t="s">
        <v>18724</v>
      </c>
    </row>
    <row r="5614" spans="1:20" x14ac:dyDescent="0.25">
      <c r="A5614" s="1" t="str">
        <f>HYPERLINK("https://vegkart.atlas.vegvesen.no/#/@239112.4,6575893.0,18/hva:hva%5B0%5D%5Bfilter%5D%5B0%5D%5Boperator%5D=%21%3D&amp;hva%5B0%5D%5Bfilter%5D%5B0%5D%5Btype_id%5D=5897&amp;hva%5B0%5D%5Bfilter%5D%5B0%5D%5Bverdi%5D=&amp;hva%5B0%5D%5Bid%5D=47/når:2016-04-26", "Vegkart")</f>
        <v>Vegkart</v>
      </c>
      <c r="B5614">
        <v>481083464</v>
      </c>
      <c r="C5614">
        <v>47</v>
      </c>
      <c r="D5614" t="s">
        <v>16854</v>
      </c>
      <c r="E5614">
        <v>5897</v>
      </c>
      <c r="F5614" t="s">
        <v>23479</v>
      </c>
      <c r="G5614">
        <v>2</v>
      </c>
      <c r="H5614" t="s">
        <v>18725</v>
      </c>
      <c r="J5614" t="s">
        <v>18711</v>
      </c>
      <c r="K5614" t="s">
        <v>81</v>
      </c>
      <c r="L5614" t="s">
        <v>33</v>
      </c>
      <c r="M5614" t="s">
        <v>1926</v>
      </c>
      <c r="N5614" t="s">
        <v>18726</v>
      </c>
      <c r="O5614" t="s">
        <v>18727</v>
      </c>
      <c r="P5614" s="2" t="s">
        <v>26</v>
      </c>
      <c r="Q5614" t="s">
        <v>50</v>
      </c>
      <c r="R5614">
        <v>35.36</v>
      </c>
      <c r="S5614">
        <v>35.659999999999997</v>
      </c>
      <c r="T5614" t="s">
        <v>18728</v>
      </c>
    </row>
    <row r="5615" spans="1:20" x14ac:dyDescent="0.25">
      <c r="A5615" s="1" t="str">
        <f>HYPERLINK("https://vegkart.atlas.vegvesen.no/#/@239294.5,6575178.6,18/hva:hva%5B0%5D%5Bfilter%5D%5B0%5D%5Boperator%5D=%21%3D&amp;hva%5B0%5D%5Bfilter%5D%5B0%5D%5Btype_id%5D=5897&amp;hva%5B0%5D%5Bfilter%5D%5B0%5D%5Bverdi%5D=&amp;hva%5B0%5D%5Bid%5D=47/når:2017-06-19", "Vegkart")</f>
        <v>Vegkart</v>
      </c>
      <c r="B5615">
        <v>481083466</v>
      </c>
      <c r="C5615">
        <v>47</v>
      </c>
      <c r="D5615" t="s">
        <v>16854</v>
      </c>
      <c r="E5615">
        <v>5897</v>
      </c>
      <c r="F5615" t="s">
        <v>23479</v>
      </c>
      <c r="G5615">
        <v>3</v>
      </c>
      <c r="H5615" t="s">
        <v>18729</v>
      </c>
      <c r="J5615" t="s">
        <v>18711</v>
      </c>
      <c r="K5615" t="s">
        <v>81</v>
      </c>
      <c r="L5615" t="s">
        <v>33</v>
      </c>
      <c r="M5615" t="s">
        <v>1926</v>
      </c>
      <c r="N5615" t="s">
        <v>18730</v>
      </c>
      <c r="O5615" t="s">
        <v>18731</v>
      </c>
      <c r="P5615" s="2" t="s">
        <v>26</v>
      </c>
      <c r="Q5615" t="s">
        <v>50</v>
      </c>
      <c r="R5615">
        <v>54.24</v>
      </c>
      <c r="S5615">
        <v>54.55</v>
      </c>
      <c r="T5615" t="s">
        <v>18732</v>
      </c>
    </row>
    <row r="5616" spans="1:20" x14ac:dyDescent="0.25">
      <c r="A5616" s="1" t="str">
        <f>HYPERLINK("https://vegkart.atlas.vegvesen.no/#/@239411.8,6574940.5,18/hva:hva%5B0%5D%5Bfilter%5D%5B0%5D%5Boperator%5D=%21%3D&amp;hva%5B0%5D%5Bfilter%5D%5B0%5D%5Btype_id%5D=5897&amp;hva%5B0%5D%5Bfilter%5D%5B0%5D%5Bverdi%5D=&amp;hva%5B0%5D%5Bid%5D=47/når:2016-04-26", "Vegkart")</f>
        <v>Vegkart</v>
      </c>
      <c r="B5616">
        <v>481083467</v>
      </c>
      <c r="C5616">
        <v>47</v>
      </c>
      <c r="D5616" t="s">
        <v>16854</v>
      </c>
      <c r="E5616">
        <v>5897</v>
      </c>
      <c r="F5616" t="s">
        <v>23479</v>
      </c>
      <c r="G5616">
        <v>2</v>
      </c>
      <c r="H5616" t="s">
        <v>18725</v>
      </c>
      <c r="J5616" t="s">
        <v>18711</v>
      </c>
      <c r="K5616" t="s">
        <v>81</v>
      </c>
      <c r="L5616" t="s">
        <v>33</v>
      </c>
      <c r="M5616" t="s">
        <v>1926</v>
      </c>
      <c r="N5616" t="s">
        <v>18733</v>
      </c>
      <c r="O5616" t="s">
        <v>18734</v>
      </c>
      <c r="P5616" s="2" t="s">
        <v>26</v>
      </c>
      <c r="Q5616" t="s">
        <v>50</v>
      </c>
      <c r="R5616">
        <v>35.82</v>
      </c>
      <c r="S5616">
        <v>40.049999999999997</v>
      </c>
      <c r="T5616" t="s">
        <v>18735</v>
      </c>
    </row>
    <row r="5617" spans="1:20" x14ac:dyDescent="0.25">
      <c r="A5617" s="1" t="str">
        <f>HYPERLINK("https://vegkart.atlas.vegvesen.no/#/@239644.1,6574384.3,18/hva:hva%5B0%5D%5Bfilter%5D%5B0%5D%5Boperator%5D=%21%3D&amp;hva%5B0%5D%5Bfilter%5D%5B0%5D%5Btype_id%5D=5897&amp;hva%5B0%5D%5Bfilter%5D%5B0%5D%5Bverdi%5D=&amp;hva%5B0%5D%5Bid%5D=47/når:2016-04-18", "Vegkart")</f>
        <v>Vegkart</v>
      </c>
      <c r="B5617">
        <v>481083470</v>
      </c>
      <c r="C5617">
        <v>47</v>
      </c>
      <c r="D5617" t="s">
        <v>16854</v>
      </c>
      <c r="E5617">
        <v>5897</v>
      </c>
      <c r="F5617" t="s">
        <v>23479</v>
      </c>
      <c r="G5617">
        <v>2</v>
      </c>
      <c r="H5617" t="s">
        <v>18736</v>
      </c>
      <c r="J5617" t="s">
        <v>18711</v>
      </c>
      <c r="K5617" t="s">
        <v>81</v>
      </c>
      <c r="L5617" t="s">
        <v>33</v>
      </c>
      <c r="M5617" t="s">
        <v>1926</v>
      </c>
      <c r="N5617" t="s">
        <v>18737</v>
      </c>
      <c r="O5617" t="s">
        <v>18738</v>
      </c>
      <c r="P5617" s="2" t="s">
        <v>26</v>
      </c>
      <c r="Q5617" t="s">
        <v>50</v>
      </c>
      <c r="R5617">
        <v>48.55</v>
      </c>
      <c r="S5617">
        <v>49.04</v>
      </c>
      <c r="T5617" t="s">
        <v>18739</v>
      </c>
    </row>
    <row r="5618" spans="1:20" x14ac:dyDescent="0.25">
      <c r="A5618" s="1" t="str">
        <f>HYPERLINK("https://vegkart.atlas.vegvesen.no/#/@239975.5,6573623.4,18/hva:hva%5B0%5D%5Bfilter%5D%5B0%5D%5Boperator%5D=%21%3D&amp;hva%5B0%5D%5Bfilter%5D%5B0%5D%5Btype_id%5D=5897&amp;hva%5B0%5D%5Bfilter%5D%5B0%5D%5Bverdi%5D=&amp;hva%5B0%5D%5Bid%5D=47/når:2016-04-19", "Vegkart")</f>
        <v>Vegkart</v>
      </c>
      <c r="B5618">
        <v>481083474</v>
      </c>
      <c r="C5618">
        <v>47</v>
      </c>
      <c r="D5618" t="s">
        <v>16854</v>
      </c>
      <c r="E5618">
        <v>5897</v>
      </c>
      <c r="F5618" t="s">
        <v>23479</v>
      </c>
      <c r="G5618">
        <v>2</v>
      </c>
      <c r="H5618" t="s">
        <v>14262</v>
      </c>
      <c r="J5618" t="s">
        <v>18711</v>
      </c>
      <c r="K5618" t="s">
        <v>81</v>
      </c>
      <c r="L5618" t="s">
        <v>33</v>
      </c>
      <c r="M5618" t="s">
        <v>1926</v>
      </c>
      <c r="N5618" t="s">
        <v>18740</v>
      </c>
      <c r="O5618" t="s">
        <v>18741</v>
      </c>
      <c r="P5618" s="2" t="s">
        <v>26</v>
      </c>
      <c r="Q5618" t="s">
        <v>50</v>
      </c>
      <c r="R5618">
        <v>52.39</v>
      </c>
      <c r="S5618">
        <v>57.74</v>
      </c>
      <c r="T5618" t="s">
        <v>18742</v>
      </c>
    </row>
    <row r="5619" spans="1:20" x14ac:dyDescent="0.25">
      <c r="A5619" s="1" t="str">
        <f>HYPERLINK("https://vegkart.atlas.vegvesen.no/#/@239656.7,6569121.8,18/hva:hva%5B0%5D%5Bfilter%5D%5B0%5D%5Boperator%5D=%21%3D&amp;hva%5B0%5D%5Bfilter%5D%5B0%5D%5Btype_id%5D=5897&amp;hva%5B0%5D%5Bfilter%5D%5B0%5D%5Bverdi%5D=&amp;hva%5B0%5D%5Bid%5D=47/når:2014-01-06", "Vegkart")</f>
        <v>Vegkart</v>
      </c>
      <c r="B5619">
        <v>481083483</v>
      </c>
      <c r="C5619">
        <v>47</v>
      </c>
      <c r="D5619" t="s">
        <v>16854</v>
      </c>
      <c r="E5619">
        <v>5897</v>
      </c>
      <c r="F5619" t="s">
        <v>23479</v>
      </c>
      <c r="G5619">
        <v>1</v>
      </c>
      <c r="H5619" t="s">
        <v>18743</v>
      </c>
      <c r="J5619" t="s">
        <v>18711</v>
      </c>
      <c r="K5619" t="s">
        <v>81</v>
      </c>
      <c r="L5619" t="s">
        <v>33</v>
      </c>
      <c r="M5619" t="s">
        <v>4493</v>
      </c>
      <c r="N5619" t="s">
        <v>18744</v>
      </c>
      <c r="O5619" t="s">
        <v>18745</v>
      </c>
      <c r="P5619" s="2" t="s">
        <v>26</v>
      </c>
      <c r="Q5619" t="s">
        <v>50</v>
      </c>
      <c r="R5619">
        <v>28.68</v>
      </c>
      <c r="S5619">
        <v>29.75</v>
      </c>
      <c r="T5619" t="s">
        <v>18746</v>
      </c>
    </row>
    <row r="5620" spans="1:20" x14ac:dyDescent="0.25">
      <c r="A5620" s="1" t="str">
        <f>HYPERLINK("https://vegkart.atlas.vegvesen.no/#/@324163.0,7114348.6,18/hva:hva%5B0%5D%5Bfilter%5D%5B0%5D%5Boperator%5D=%21%3D&amp;hva%5B0%5D%5Bfilter%5D%5B0%5D%5Btype_id%5D=5897&amp;hva%5B0%5D%5Bfilter%5D%5B0%5D%5Bverdi%5D=&amp;hva%5B0%5D%5Bid%5D=47/når:2014-01-28", "Vegkart")</f>
        <v>Vegkart</v>
      </c>
      <c r="B5620">
        <v>484481419</v>
      </c>
      <c r="C5620">
        <v>47</v>
      </c>
      <c r="D5620" t="s">
        <v>16854</v>
      </c>
      <c r="E5620">
        <v>5897</v>
      </c>
      <c r="F5620" t="s">
        <v>23479</v>
      </c>
      <c r="G5620">
        <v>2</v>
      </c>
      <c r="H5620" t="s">
        <v>18747</v>
      </c>
      <c r="J5620" t="s">
        <v>18711</v>
      </c>
      <c r="K5620" t="s">
        <v>192</v>
      </c>
      <c r="L5620" t="s">
        <v>33</v>
      </c>
      <c r="M5620" t="s">
        <v>18748</v>
      </c>
      <c r="N5620" t="s">
        <v>18749</v>
      </c>
      <c r="O5620" t="s">
        <v>18750</v>
      </c>
      <c r="P5620" s="2" t="s">
        <v>26</v>
      </c>
      <c r="Q5620" t="s">
        <v>50</v>
      </c>
      <c r="R5620">
        <v>47.85</v>
      </c>
      <c r="S5620">
        <v>48.33</v>
      </c>
      <c r="T5620" t="s">
        <v>18751</v>
      </c>
    </row>
    <row r="5621" spans="1:20" x14ac:dyDescent="0.25">
      <c r="A5621" s="1" t="str">
        <f>HYPERLINK("https://vegkart.atlas.vegvesen.no/#/@-31349.7,6728060.8,18/hva:hva%5B0%5D%5Bfilter%5D%5B0%5D%5Boperator%5D=%21%3D&amp;hva%5B0%5D%5Bfilter%5D%5B0%5D%5Btype_id%5D=5897&amp;hva%5B0%5D%5Bfilter%5D%5B0%5D%5Bverdi%5D=&amp;hva%5B0%5D%5Bid%5D=47/når:2015-03-24", "Vegkart")</f>
        <v>Vegkart</v>
      </c>
      <c r="B5621">
        <v>485311101</v>
      </c>
      <c r="C5621">
        <v>47</v>
      </c>
      <c r="D5621" t="s">
        <v>16854</v>
      </c>
      <c r="E5621">
        <v>5897</v>
      </c>
      <c r="F5621" t="s">
        <v>23479</v>
      </c>
      <c r="G5621">
        <v>3</v>
      </c>
      <c r="H5621" t="s">
        <v>5923</v>
      </c>
      <c r="J5621" t="s">
        <v>18711</v>
      </c>
      <c r="K5621" t="s">
        <v>21</v>
      </c>
      <c r="L5621" t="s">
        <v>33</v>
      </c>
      <c r="M5621" t="s">
        <v>5671</v>
      </c>
      <c r="N5621" t="s">
        <v>18752</v>
      </c>
      <c r="O5621" t="s">
        <v>18753</v>
      </c>
      <c r="P5621" s="2" t="s">
        <v>26</v>
      </c>
      <c r="Q5621" t="s">
        <v>50</v>
      </c>
      <c r="R5621">
        <v>50.11</v>
      </c>
      <c r="S5621">
        <v>54.46</v>
      </c>
      <c r="T5621" t="s">
        <v>18754</v>
      </c>
    </row>
    <row r="5622" spans="1:20" x14ac:dyDescent="0.25">
      <c r="A5622" s="1" t="str">
        <f>HYPERLINK("https://vegkart.atlas.vegvesen.no/#/@246475.6,6833158.0,18/hva:hva%5B0%5D%5Bfilter%5D%5B0%5D%5Boperator%5D=%21%3D&amp;hva%5B0%5D%5Bfilter%5D%5B0%5D%5Btype_id%5D=5897&amp;hva%5B0%5D%5Bfilter%5D%5B0%5D%5Bverdi%5D=&amp;hva%5B0%5D%5Bid%5D=47/når:2022-11-11", "Vegkart")</f>
        <v>Vegkart</v>
      </c>
      <c r="B5622">
        <v>486115052</v>
      </c>
      <c r="C5622">
        <v>47</v>
      </c>
      <c r="D5622" t="s">
        <v>16854</v>
      </c>
      <c r="E5622">
        <v>5897</v>
      </c>
      <c r="F5622" t="s">
        <v>23479</v>
      </c>
      <c r="G5622">
        <v>3</v>
      </c>
      <c r="H5622" t="s">
        <v>18755</v>
      </c>
      <c r="J5622" t="s">
        <v>18756</v>
      </c>
      <c r="K5622" t="s">
        <v>136</v>
      </c>
      <c r="L5622" t="s">
        <v>33</v>
      </c>
      <c r="M5622" t="s">
        <v>18757</v>
      </c>
      <c r="N5622" t="s">
        <v>18758</v>
      </c>
      <c r="O5622" t="s">
        <v>18759</v>
      </c>
      <c r="P5622" s="2" t="s">
        <v>26</v>
      </c>
      <c r="Q5622" t="s">
        <v>50</v>
      </c>
      <c r="R5622">
        <v>20.21</v>
      </c>
      <c r="S5622">
        <v>20.21</v>
      </c>
      <c r="T5622" t="s">
        <v>18760</v>
      </c>
    </row>
    <row r="5623" spans="1:20" x14ac:dyDescent="0.25">
      <c r="A5623" s="1" t="str">
        <f>HYPERLINK("https://vegkart.atlas.vegvesen.no/#/@-18299.0,6742898.2,18/hva:hva%5B0%5D%5Bfilter%5D%5B0%5D%5Boperator%5D=%21%3D&amp;hva%5B0%5D%5Bfilter%5D%5B0%5D%5Btype_id%5D=5897&amp;hva%5B0%5D%5Bfilter%5D%5B0%5D%5Bverdi%5D=&amp;hva%5B0%5D%5Bid%5D=47/når:2014-01-01", "Vegkart")</f>
        <v>Vegkart</v>
      </c>
      <c r="B5623">
        <v>487377204</v>
      </c>
      <c r="C5623">
        <v>47</v>
      </c>
      <c r="D5623" t="s">
        <v>16854</v>
      </c>
      <c r="E5623">
        <v>5897</v>
      </c>
      <c r="F5623" t="s">
        <v>23479</v>
      </c>
      <c r="G5623">
        <v>1</v>
      </c>
      <c r="H5623" t="s">
        <v>6165</v>
      </c>
      <c r="J5623" t="s">
        <v>18756</v>
      </c>
      <c r="K5623" t="s">
        <v>21</v>
      </c>
      <c r="L5623" t="s">
        <v>33</v>
      </c>
      <c r="M5623" t="s">
        <v>18761</v>
      </c>
      <c r="N5623" t="s">
        <v>18762</v>
      </c>
      <c r="O5623" t="s">
        <v>18763</v>
      </c>
      <c r="P5623" s="2" t="s">
        <v>26</v>
      </c>
      <c r="Q5623" t="s">
        <v>50</v>
      </c>
      <c r="R5623">
        <v>47.41</v>
      </c>
      <c r="S5623">
        <v>47.88</v>
      </c>
      <c r="T5623" t="s">
        <v>18764</v>
      </c>
    </row>
    <row r="5624" spans="1:20" x14ac:dyDescent="0.25">
      <c r="A5624" s="1" t="str">
        <f>HYPERLINK("https://vegkart.atlas.vegvesen.no/#/@-18286.5,6742888.1,18/hva:hva%5B0%5D%5Bfilter%5D%5B0%5D%5Boperator%5D=%21%3D&amp;hva%5B0%5D%5Bfilter%5D%5B0%5D%5Btype_id%5D=5897&amp;hva%5B0%5D%5Bfilter%5D%5B0%5D%5Bverdi%5D=&amp;hva%5B0%5D%5Bid%5D=47/når:2014-01-01", "Vegkart")</f>
        <v>Vegkart</v>
      </c>
      <c r="B5624">
        <v>487377205</v>
      </c>
      <c r="C5624">
        <v>47</v>
      </c>
      <c r="D5624" t="s">
        <v>16854</v>
      </c>
      <c r="E5624">
        <v>5897</v>
      </c>
      <c r="F5624" t="s">
        <v>23479</v>
      </c>
      <c r="G5624">
        <v>1</v>
      </c>
      <c r="H5624" t="s">
        <v>6165</v>
      </c>
      <c r="J5624" t="s">
        <v>18756</v>
      </c>
      <c r="K5624" t="s">
        <v>21</v>
      </c>
      <c r="L5624" t="s">
        <v>33</v>
      </c>
      <c r="M5624" t="s">
        <v>18761</v>
      </c>
      <c r="N5624" t="s">
        <v>18765</v>
      </c>
      <c r="O5624" t="s">
        <v>18766</v>
      </c>
      <c r="P5624" s="2" t="s">
        <v>26</v>
      </c>
      <c r="Q5624" t="s">
        <v>50</v>
      </c>
      <c r="R5624">
        <v>51.09</v>
      </c>
      <c r="S5624">
        <v>51.26</v>
      </c>
      <c r="T5624" t="s">
        <v>18767</v>
      </c>
    </row>
    <row r="5625" spans="1:20" x14ac:dyDescent="0.25">
      <c r="A5625" s="1" t="str">
        <f>HYPERLINK("https://vegkart.atlas.vegvesen.no/#/@156257.6,7036283.1,18/hva:hva%5B0%5D%5Bfilter%5D%5B0%5D%5Boperator%5D=%21%3D&amp;hva%5B0%5D%5Bfilter%5D%5B0%5D%5Btype_id%5D=5897&amp;hva%5B0%5D%5Bfilter%5D%5B0%5D%5Bverdi%5D=&amp;hva%5B0%5D%5Bid%5D=47/når:2016-02-17", "Vegkart")</f>
        <v>Vegkart</v>
      </c>
      <c r="B5625">
        <v>487398099</v>
      </c>
      <c r="C5625">
        <v>47</v>
      </c>
      <c r="D5625" t="s">
        <v>16854</v>
      </c>
      <c r="E5625">
        <v>5897</v>
      </c>
      <c r="F5625" t="s">
        <v>23479</v>
      </c>
      <c r="G5625">
        <v>2</v>
      </c>
      <c r="H5625" t="s">
        <v>18768</v>
      </c>
      <c r="J5625" t="s">
        <v>18756</v>
      </c>
      <c r="K5625" t="s">
        <v>32</v>
      </c>
      <c r="L5625" t="s">
        <v>33</v>
      </c>
      <c r="M5625" t="s">
        <v>18769</v>
      </c>
      <c r="N5625" t="s">
        <v>18770</v>
      </c>
      <c r="O5625" t="s">
        <v>18771</v>
      </c>
      <c r="P5625" s="2" t="s">
        <v>26</v>
      </c>
      <c r="Q5625" t="s">
        <v>50</v>
      </c>
      <c r="R5625">
        <v>36.049999999999997</v>
      </c>
      <c r="S5625">
        <v>37.020000000000003</v>
      </c>
      <c r="T5625" t="s">
        <v>18772</v>
      </c>
    </row>
    <row r="5626" spans="1:20" x14ac:dyDescent="0.25">
      <c r="A5626" s="1" t="str">
        <f>HYPERLINK("https://vegkart.atlas.vegvesen.no/#/@156559.3,7036361.2,18/hva:hva%5B0%5D%5Bfilter%5D%5B0%5D%5Boperator%5D=%21%3D&amp;hva%5B0%5D%5Bfilter%5D%5B0%5D%5Btype_id%5D=5897&amp;hva%5B0%5D%5Bfilter%5D%5B0%5D%5Bverdi%5D=&amp;hva%5B0%5D%5Bid%5D=47/når:2016-02-17", "Vegkart")</f>
        <v>Vegkart</v>
      </c>
      <c r="B5626">
        <v>487398100</v>
      </c>
      <c r="C5626">
        <v>47</v>
      </c>
      <c r="D5626" t="s">
        <v>16854</v>
      </c>
      <c r="E5626">
        <v>5897</v>
      </c>
      <c r="F5626" t="s">
        <v>23479</v>
      </c>
      <c r="G5626">
        <v>2</v>
      </c>
      <c r="H5626" t="s">
        <v>18768</v>
      </c>
      <c r="J5626" t="s">
        <v>18756</v>
      </c>
      <c r="K5626" t="s">
        <v>32</v>
      </c>
      <c r="L5626" t="s">
        <v>33</v>
      </c>
      <c r="M5626" t="s">
        <v>18769</v>
      </c>
      <c r="N5626" t="s">
        <v>18773</v>
      </c>
      <c r="O5626" t="s">
        <v>18774</v>
      </c>
      <c r="P5626" s="2" t="s">
        <v>26</v>
      </c>
      <c r="Q5626" t="s">
        <v>50</v>
      </c>
      <c r="R5626">
        <v>55.71</v>
      </c>
      <c r="S5626">
        <v>56.04</v>
      </c>
      <c r="T5626" t="s">
        <v>18775</v>
      </c>
    </row>
    <row r="5627" spans="1:20" x14ac:dyDescent="0.25">
      <c r="A5627" s="1" t="str">
        <f>HYPERLINK("https://vegkart.atlas.vegvesen.no/#/@157005.5,7036755.7,18/hva:hva%5B0%5D%5Bfilter%5D%5B0%5D%5Boperator%5D=%21%3D&amp;hva%5B0%5D%5Bfilter%5D%5B0%5D%5Btype_id%5D=5897&amp;hva%5B0%5D%5Bfilter%5D%5B0%5D%5Bverdi%5D=&amp;hva%5B0%5D%5Bid%5D=47/når:2016-02-17", "Vegkart")</f>
        <v>Vegkart</v>
      </c>
      <c r="B5627">
        <v>487398101</v>
      </c>
      <c r="C5627">
        <v>47</v>
      </c>
      <c r="D5627" t="s">
        <v>16854</v>
      </c>
      <c r="E5627">
        <v>5897</v>
      </c>
      <c r="F5627" t="s">
        <v>23479</v>
      </c>
      <c r="G5627">
        <v>2</v>
      </c>
      <c r="H5627" t="s">
        <v>18768</v>
      </c>
      <c r="J5627" t="s">
        <v>18756</v>
      </c>
      <c r="K5627" t="s">
        <v>32</v>
      </c>
      <c r="L5627" t="s">
        <v>33</v>
      </c>
      <c r="M5627" t="s">
        <v>18769</v>
      </c>
      <c r="N5627" t="s">
        <v>18776</v>
      </c>
      <c r="O5627" t="s">
        <v>18777</v>
      </c>
      <c r="P5627" s="2" t="s">
        <v>26</v>
      </c>
      <c r="Q5627" t="s">
        <v>50</v>
      </c>
      <c r="R5627">
        <v>54.9</v>
      </c>
      <c r="S5627">
        <v>59.39</v>
      </c>
      <c r="T5627" t="s">
        <v>18778</v>
      </c>
    </row>
    <row r="5628" spans="1:20" x14ac:dyDescent="0.25">
      <c r="A5628" s="1" t="str">
        <f>HYPERLINK("https://vegkart.atlas.vegvesen.no/#/@159128.0,7037420.3,18/hva:hva%5B0%5D%5Bfilter%5D%5B0%5D%5Boperator%5D=%21%3D&amp;hva%5B0%5D%5Bfilter%5D%5B0%5D%5Btype_id%5D=5897&amp;hva%5B0%5D%5Bfilter%5D%5B0%5D%5Bverdi%5D=&amp;hva%5B0%5D%5Bid%5D=47/når:2016-02-17", "Vegkart")</f>
        <v>Vegkart</v>
      </c>
      <c r="B5628">
        <v>487398102</v>
      </c>
      <c r="C5628">
        <v>47</v>
      </c>
      <c r="D5628" t="s">
        <v>16854</v>
      </c>
      <c r="E5628">
        <v>5897</v>
      </c>
      <c r="F5628" t="s">
        <v>23479</v>
      </c>
      <c r="G5628">
        <v>2</v>
      </c>
      <c r="H5628" t="s">
        <v>18768</v>
      </c>
      <c r="J5628" t="s">
        <v>18756</v>
      </c>
      <c r="K5628" t="s">
        <v>32</v>
      </c>
      <c r="L5628" t="s">
        <v>33</v>
      </c>
      <c r="M5628" t="s">
        <v>18769</v>
      </c>
      <c r="N5628" t="s">
        <v>18779</v>
      </c>
      <c r="O5628" t="s">
        <v>18780</v>
      </c>
      <c r="P5628" s="2" t="s">
        <v>26</v>
      </c>
      <c r="Q5628" t="s">
        <v>50</v>
      </c>
      <c r="R5628">
        <v>48.78</v>
      </c>
      <c r="S5628">
        <v>49.14</v>
      </c>
      <c r="T5628" t="s">
        <v>18781</v>
      </c>
    </row>
    <row r="5629" spans="1:20" x14ac:dyDescent="0.25">
      <c r="A5629" s="1" t="str">
        <f>HYPERLINK("https://vegkart.atlas.vegvesen.no/#/@160161.5,7038123.1,18/hva:hva%5B0%5D%5Bfilter%5D%5B0%5D%5Boperator%5D=%21%3D&amp;hva%5B0%5D%5Bfilter%5D%5B0%5D%5Btype_id%5D=5897&amp;hva%5B0%5D%5Bfilter%5D%5B0%5D%5Bverdi%5D=&amp;hva%5B0%5D%5Bid%5D=47/når:2016-02-17", "Vegkart")</f>
        <v>Vegkart</v>
      </c>
      <c r="B5629">
        <v>487398103</v>
      </c>
      <c r="C5629">
        <v>47</v>
      </c>
      <c r="D5629" t="s">
        <v>16854</v>
      </c>
      <c r="E5629">
        <v>5897</v>
      </c>
      <c r="F5629" t="s">
        <v>23479</v>
      </c>
      <c r="G5629">
        <v>2</v>
      </c>
      <c r="H5629" t="s">
        <v>18768</v>
      </c>
      <c r="J5629" t="s">
        <v>18756</v>
      </c>
      <c r="K5629" t="s">
        <v>32</v>
      </c>
      <c r="L5629" t="s">
        <v>33</v>
      </c>
      <c r="M5629" t="s">
        <v>18769</v>
      </c>
      <c r="N5629" t="s">
        <v>18782</v>
      </c>
      <c r="O5629" t="s">
        <v>18783</v>
      </c>
      <c r="P5629" s="2" t="s">
        <v>26</v>
      </c>
      <c r="Q5629" t="s">
        <v>50</v>
      </c>
      <c r="R5629">
        <v>37.96</v>
      </c>
      <c r="S5629">
        <v>38.5</v>
      </c>
      <c r="T5629" t="s">
        <v>18784</v>
      </c>
    </row>
    <row r="5630" spans="1:20" x14ac:dyDescent="0.25">
      <c r="A5630" s="1" t="str">
        <f>HYPERLINK("https://vegkart.atlas.vegvesen.no/#/@160272.5,7038227.1,18/hva:hva%5B0%5D%5Bfilter%5D%5B0%5D%5Boperator%5D=%21%3D&amp;hva%5B0%5D%5Bfilter%5D%5B0%5D%5Btype_id%5D=5897&amp;hva%5B0%5D%5Bfilter%5D%5B0%5D%5Bverdi%5D=&amp;hva%5B0%5D%5Bid%5D=47/når:2016-02-17", "Vegkart")</f>
        <v>Vegkart</v>
      </c>
      <c r="B5630">
        <v>487398104</v>
      </c>
      <c r="C5630">
        <v>47</v>
      </c>
      <c r="D5630" t="s">
        <v>16854</v>
      </c>
      <c r="E5630">
        <v>5897</v>
      </c>
      <c r="F5630" t="s">
        <v>23479</v>
      </c>
      <c r="G5630">
        <v>2</v>
      </c>
      <c r="H5630" t="s">
        <v>18768</v>
      </c>
      <c r="J5630" t="s">
        <v>18756</v>
      </c>
      <c r="K5630" t="s">
        <v>32</v>
      </c>
      <c r="L5630" t="s">
        <v>33</v>
      </c>
      <c r="M5630" t="s">
        <v>18769</v>
      </c>
      <c r="N5630" t="s">
        <v>18785</v>
      </c>
      <c r="O5630" t="s">
        <v>18786</v>
      </c>
      <c r="P5630" s="2" t="s">
        <v>26</v>
      </c>
      <c r="Q5630" t="s">
        <v>50</v>
      </c>
      <c r="R5630">
        <v>36.32</v>
      </c>
      <c r="S5630">
        <v>37.14</v>
      </c>
      <c r="T5630" t="s">
        <v>18787</v>
      </c>
    </row>
    <row r="5631" spans="1:20" x14ac:dyDescent="0.25">
      <c r="A5631" s="1" t="str">
        <f>HYPERLINK("https://vegkart.atlas.vegvesen.no/#/@160328.2,7038385.9,18/hva:hva%5B0%5D%5Bfilter%5D%5B0%5D%5Boperator%5D=%21%3D&amp;hva%5B0%5D%5Bfilter%5D%5B0%5D%5Btype_id%5D=5897&amp;hva%5B0%5D%5Bfilter%5D%5B0%5D%5Bverdi%5D=&amp;hva%5B0%5D%5Bid%5D=47/når:2016-02-17", "Vegkart")</f>
        <v>Vegkart</v>
      </c>
      <c r="B5631">
        <v>487398105</v>
      </c>
      <c r="C5631">
        <v>47</v>
      </c>
      <c r="D5631" t="s">
        <v>16854</v>
      </c>
      <c r="E5631">
        <v>5897</v>
      </c>
      <c r="F5631" t="s">
        <v>23479</v>
      </c>
      <c r="G5631">
        <v>2</v>
      </c>
      <c r="H5631" t="s">
        <v>18768</v>
      </c>
      <c r="J5631" t="s">
        <v>18756</v>
      </c>
      <c r="K5631" t="s">
        <v>32</v>
      </c>
      <c r="L5631" t="s">
        <v>33</v>
      </c>
      <c r="M5631" t="s">
        <v>18769</v>
      </c>
      <c r="N5631" t="s">
        <v>18788</v>
      </c>
      <c r="O5631" t="s">
        <v>18789</v>
      </c>
      <c r="P5631" s="2" t="s">
        <v>26</v>
      </c>
      <c r="Q5631" t="s">
        <v>50</v>
      </c>
      <c r="R5631">
        <v>46.07</v>
      </c>
      <c r="S5631">
        <v>46.34</v>
      </c>
      <c r="T5631" t="s">
        <v>18790</v>
      </c>
    </row>
    <row r="5632" spans="1:20" x14ac:dyDescent="0.25">
      <c r="A5632" s="1" t="str">
        <f>HYPERLINK("https://vegkart.atlas.vegvesen.no/#/@160293.9,7038624.3,18/hva:hva%5B0%5D%5Bfilter%5D%5B0%5D%5Boperator%5D=%21%3D&amp;hva%5B0%5D%5Bfilter%5D%5B0%5D%5Btype_id%5D=5897&amp;hva%5B0%5D%5Bfilter%5D%5B0%5D%5Bverdi%5D=&amp;hva%5B0%5D%5Bid%5D=47/når:2016-02-17", "Vegkart")</f>
        <v>Vegkart</v>
      </c>
      <c r="B5632">
        <v>487398106</v>
      </c>
      <c r="C5632">
        <v>47</v>
      </c>
      <c r="D5632" t="s">
        <v>16854</v>
      </c>
      <c r="E5632">
        <v>5897</v>
      </c>
      <c r="F5632" t="s">
        <v>23479</v>
      </c>
      <c r="G5632">
        <v>2</v>
      </c>
      <c r="H5632" t="s">
        <v>18768</v>
      </c>
      <c r="J5632" t="s">
        <v>18756</v>
      </c>
      <c r="K5632" t="s">
        <v>32</v>
      </c>
      <c r="L5632" t="s">
        <v>33</v>
      </c>
      <c r="M5632" t="s">
        <v>18769</v>
      </c>
      <c r="N5632" t="s">
        <v>18791</v>
      </c>
      <c r="O5632" t="s">
        <v>18792</v>
      </c>
      <c r="P5632" s="2" t="s">
        <v>26</v>
      </c>
      <c r="Q5632" t="s">
        <v>50</v>
      </c>
      <c r="R5632">
        <v>56.98</v>
      </c>
      <c r="S5632">
        <v>57.32</v>
      </c>
      <c r="T5632" t="s">
        <v>18793</v>
      </c>
    </row>
    <row r="5633" spans="1:20" x14ac:dyDescent="0.25">
      <c r="A5633" s="1" t="str">
        <f>HYPERLINK("https://vegkart.atlas.vegvesen.no/#/@160270.7,7038924.2,18/hva:hva%5B0%5D%5Bfilter%5D%5B0%5D%5Boperator%5D=%21%3D&amp;hva%5B0%5D%5Bfilter%5D%5B0%5D%5Btype_id%5D=5897&amp;hva%5B0%5D%5Bfilter%5D%5B0%5D%5Bverdi%5D=&amp;hva%5B0%5D%5Bid%5D=47/når:2016-02-17", "Vegkart")</f>
        <v>Vegkart</v>
      </c>
      <c r="B5633">
        <v>487398107</v>
      </c>
      <c r="C5633">
        <v>47</v>
      </c>
      <c r="D5633" t="s">
        <v>16854</v>
      </c>
      <c r="E5633">
        <v>5897</v>
      </c>
      <c r="F5633" t="s">
        <v>23479</v>
      </c>
      <c r="G5633">
        <v>2</v>
      </c>
      <c r="H5633" t="s">
        <v>18768</v>
      </c>
      <c r="J5633" t="s">
        <v>18756</v>
      </c>
      <c r="K5633" t="s">
        <v>32</v>
      </c>
      <c r="L5633" t="s">
        <v>33</v>
      </c>
      <c r="M5633" t="s">
        <v>18769</v>
      </c>
      <c r="N5633" t="s">
        <v>18794</v>
      </c>
      <c r="O5633" t="s">
        <v>18795</v>
      </c>
      <c r="P5633" s="2" t="s">
        <v>26</v>
      </c>
      <c r="Q5633" t="s">
        <v>50</v>
      </c>
      <c r="R5633">
        <v>41.12</v>
      </c>
      <c r="S5633">
        <v>41.57</v>
      </c>
      <c r="T5633" t="s">
        <v>18796</v>
      </c>
    </row>
    <row r="5634" spans="1:20" x14ac:dyDescent="0.25">
      <c r="A5634" s="1" t="str">
        <f>HYPERLINK("https://vegkart.atlas.vegvesen.no/#/@160421.9,7039099.3,18/hva:hva%5B0%5D%5Bfilter%5D%5B0%5D%5Boperator%5D=%21%3D&amp;hva%5B0%5D%5Bfilter%5D%5B0%5D%5Btype_id%5D=5897&amp;hva%5B0%5D%5Bfilter%5D%5B0%5D%5Bverdi%5D=&amp;hva%5B0%5D%5Bid%5D=47/når:2016-02-17", "Vegkart")</f>
        <v>Vegkart</v>
      </c>
      <c r="B5634">
        <v>487398108</v>
      </c>
      <c r="C5634">
        <v>47</v>
      </c>
      <c r="D5634" t="s">
        <v>16854</v>
      </c>
      <c r="E5634">
        <v>5897</v>
      </c>
      <c r="F5634" t="s">
        <v>23479</v>
      </c>
      <c r="G5634">
        <v>2</v>
      </c>
      <c r="H5634" t="s">
        <v>18768</v>
      </c>
      <c r="J5634" t="s">
        <v>18756</v>
      </c>
      <c r="K5634" t="s">
        <v>32</v>
      </c>
      <c r="L5634" t="s">
        <v>33</v>
      </c>
      <c r="M5634" t="s">
        <v>18769</v>
      </c>
      <c r="N5634" t="s">
        <v>18797</v>
      </c>
      <c r="O5634" t="s">
        <v>18798</v>
      </c>
      <c r="P5634" s="2" t="s">
        <v>26</v>
      </c>
      <c r="Q5634" t="s">
        <v>50</v>
      </c>
      <c r="R5634">
        <v>36.25</v>
      </c>
      <c r="S5634">
        <v>36.549999999999997</v>
      </c>
      <c r="T5634" t="s">
        <v>18799</v>
      </c>
    </row>
    <row r="5635" spans="1:20" x14ac:dyDescent="0.25">
      <c r="A5635" s="1" t="str">
        <f>HYPERLINK("https://vegkart.atlas.vegvesen.no/#/@159902.9,7038049.9,18/hva:hva%5B0%5D%5Bfilter%5D%5B0%5D%5Boperator%5D=%21%3D&amp;hva%5B0%5D%5Bfilter%5D%5B0%5D%5Btype_id%5D=5897&amp;hva%5B0%5D%5Bfilter%5D%5B0%5D%5Bverdi%5D=&amp;hva%5B0%5D%5Bid%5D=47/når:2016-02-17", "Vegkart")</f>
        <v>Vegkart</v>
      </c>
      <c r="B5635">
        <v>487398110</v>
      </c>
      <c r="C5635">
        <v>47</v>
      </c>
      <c r="D5635" t="s">
        <v>16854</v>
      </c>
      <c r="E5635">
        <v>5897</v>
      </c>
      <c r="F5635" t="s">
        <v>23479</v>
      </c>
      <c r="G5635">
        <v>2</v>
      </c>
      <c r="H5635" t="s">
        <v>18768</v>
      </c>
      <c r="J5635" t="s">
        <v>18756</v>
      </c>
      <c r="K5635" t="s">
        <v>32</v>
      </c>
      <c r="L5635" t="s">
        <v>33</v>
      </c>
      <c r="M5635" t="s">
        <v>18769</v>
      </c>
      <c r="N5635" t="s">
        <v>18800</v>
      </c>
      <c r="O5635" t="s">
        <v>18801</v>
      </c>
      <c r="P5635" s="2" t="s">
        <v>26</v>
      </c>
      <c r="Q5635" t="s">
        <v>50</v>
      </c>
      <c r="R5635">
        <v>59.48</v>
      </c>
      <c r="S5635">
        <v>61.29</v>
      </c>
      <c r="T5635" t="s">
        <v>18802</v>
      </c>
    </row>
    <row r="5636" spans="1:20" x14ac:dyDescent="0.25">
      <c r="A5636" s="1" t="str">
        <f>HYPERLINK("https://vegkart.atlas.vegvesen.no/#/@157982.4,7037139.4,18/hva:hva%5B0%5D%5Bfilter%5D%5B0%5D%5Boperator%5D=%21%3D&amp;hva%5B0%5D%5Bfilter%5D%5B0%5D%5Btype_id%5D=5897&amp;hva%5B0%5D%5Bfilter%5D%5B0%5D%5Bverdi%5D=&amp;hva%5B0%5D%5Bid%5D=47/når:2016-02-17", "Vegkart")</f>
        <v>Vegkart</v>
      </c>
      <c r="B5636">
        <v>487398111</v>
      </c>
      <c r="C5636">
        <v>47</v>
      </c>
      <c r="D5636" t="s">
        <v>16854</v>
      </c>
      <c r="E5636">
        <v>5897</v>
      </c>
      <c r="F5636" t="s">
        <v>23479</v>
      </c>
      <c r="G5636">
        <v>2</v>
      </c>
      <c r="H5636" t="s">
        <v>18768</v>
      </c>
      <c r="J5636" t="s">
        <v>18756</v>
      </c>
      <c r="K5636" t="s">
        <v>32</v>
      </c>
      <c r="L5636" t="s">
        <v>33</v>
      </c>
      <c r="M5636" t="s">
        <v>18769</v>
      </c>
      <c r="N5636" t="s">
        <v>18803</v>
      </c>
      <c r="O5636" t="s">
        <v>18804</v>
      </c>
      <c r="P5636" s="2" t="s">
        <v>26</v>
      </c>
      <c r="Q5636" t="s">
        <v>50</v>
      </c>
      <c r="R5636">
        <v>69.39</v>
      </c>
      <c r="S5636">
        <v>70.069999999999993</v>
      </c>
      <c r="T5636" t="s">
        <v>18805</v>
      </c>
    </row>
    <row r="5637" spans="1:20" x14ac:dyDescent="0.25">
      <c r="A5637" s="1" t="str">
        <f>HYPERLINK("https://vegkart.atlas.vegvesen.no/#/@156738.7,7036544.4,18/hva:hva%5B0%5D%5Bfilter%5D%5B0%5D%5Boperator%5D=%21%3D&amp;hva%5B0%5D%5Bfilter%5D%5B0%5D%5Btype_id%5D=5897&amp;hva%5B0%5D%5Bfilter%5D%5B0%5D%5Bverdi%5D=&amp;hva%5B0%5D%5Bid%5D=47/når:2016-02-17", "Vegkart")</f>
        <v>Vegkart</v>
      </c>
      <c r="B5637">
        <v>487398112</v>
      </c>
      <c r="C5637">
        <v>47</v>
      </c>
      <c r="D5637" t="s">
        <v>16854</v>
      </c>
      <c r="E5637">
        <v>5897</v>
      </c>
      <c r="F5637" t="s">
        <v>23479</v>
      </c>
      <c r="G5637">
        <v>2</v>
      </c>
      <c r="H5637" t="s">
        <v>18768</v>
      </c>
      <c r="J5637" t="s">
        <v>18756</v>
      </c>
      <c r="K5637" t="s">
        <v>32</v>
      </c>
      <c r="L5637" t="s">
        <v>33</v>
      </c>
      <c r="M5637" t="s">
        <v>18769</v>
      </c>
      <c r="N5637" t="s">
        <v>18806</v>
      </c>
      <c r="O5637" t="s">
        <v>18807</v>
      </c>
      <c r="P5637" s="2" t="s">
        <v>26</v>
      </c>
      <c r="Q5637" t="s">
        <v>50</v>
      </c>
      <c r="R5637">
        <v>55.26</v>
      </c>
      <c r="S5637">
        <v>58.03</v>
      </c>
      <c r="T5637" t="s">
        <v>18808</v>
      </c>
    </row>
    <row r="5638" spans="1:20" x14ac:dyDescent="0.25">
      <c r="A5638" s="1" t="str">
        <f>HYPERLINK("https://vegkart.atlas.vegvesen.no/#/@157389.0,7036805.9,18/hva:hva%5B0%5D%5Bfilter%5D%5B0%5D%5Boperator%5D=%21%3D&amp;hva%5B0%5D%5Bfilter%5D%5B0%5D%5Btype_id%5D=5897&amp;hva%5B0%5D%5Bfilter%5D%5B0%5D%5Bverdi%5D=&amp;hva%5B0%5D%5Bid%5D=47/når:2016-02-17", "Vegkart")</f>
        <v>Vegkart</v>
      </c>
      <c r="B5638">
        <v>487398113</v>
      </c>
      <c r="C5638">
        <v>47</v>
      </c>
      <c r="D5638" t="s">
        <v>16854</v>
      </c>
      <c r="E5638">
        <v>5897</v>
      </c>
      <c r="F5638" t="s">
        <v>23479</v>
      </c>
      <c r="G5638">
        <v>2</v>
      </c>
      <c r="H5638" t="s">
        <v>18768</v>
      </c>
      <c r="J5638" t="s">
        <v>18756</v>
      </c>
      <c r="K5638" t="s">
        <v>32</v>
      </c>
      <c r="L5638" t="s">
        <v>33</v>
      </c>
      <c r="M5638" t="s">
        <v>18769</v>
      </c>
      <c r="N5638" t="s">
        <v>18809</v>
      </c>
      <c r="O5638" t="s">
        <v>18810</v>
      </c>
      <c r="P5638" s="2" t="s">
        <v>26</v>
      </c>
      <c r="Q5638" t="s">
        <v>50</v>
      </c>
      <c r="R5638">
        <v>50.34</v>
      </c>
      <c r="S5638">
        <v>52.41</v>
      </c>
      <c r="T5638" t="s">
        <v>18811</v>
      </c>
    </row>
    <row r="5639" spans="1:20" x14ac:dyDescent="0.25">
      <c r="A5639" s="1" t="str">
        <f>HYPERLINK("https://vegkart.atlas.vegvesen.no/#/@157444.9,7036862.7,18/hva:hva%5B0%5D%5Bfilter%5D%5B0%5D%5Boperator%5D=%21%3D&amp;hva%5B0%5D%5Bfilter%5D%5B0%5D%5Btype_id%5D=5897&amp;hva%5B0%5D%5Bfilter%5D%5B0%5D%5Bverdi%5D=&amp;hva%5B0%5D%5Bid%5D=47/når:2016-02-17", "Vegkart")</f>
        <v>Vegkart</v>
      </c>
      <c r="B5639">
        <v>487398114</v>
      </c>
      <c r="C5639">
        <v>47</v>
      </c>
      <c r="D5639" t="s">
        <v>16854</v>
      </c>
      <c r="E5639">
        <v>5897</v>
      </c>
      <c r="F5639" t="s">
        <v>23479</v>
      </c>
      <c r="G5639">
        <v>2</v>
      </c>
      <c r="H5639" t="s">
        <v>18768</v>
      </c>
      <c r="J5639" t="s">
        <v>18756</v>
      </c>
      <c r="K5639" t="s">
        <v>32</v>
      </c>
      <c r="L5639" t="s">
        <v>33</v>
      </c>
      <c r="M5639" t="s">
        <v>18769</v>
      </c>
      <c r="N5639" t="s">
        <v>18812</v>
      </c>
      <c r="O5639" t="s">
        <v>18813</v>
      </c>
      <c r="P5639" s="2" t="s">
        <v>26</v>
      </c>
      <c r="Q5639" t="s">
        <v>50</v>
      </c>
      <c r="R5639">
        <v>53.41</v>
      </c>
      <c r="S5639">
        <v>53.65</v>
      </c>
      <c r="T5639" t="s">
        <v>18814</v>
      </c>
    </row>
    <row r="5640" spans="1:20" x14ac:dyDescent="0.25">
      <c r="A5640" s="1" t="str">
        <f>HYPERLINK("https://vegkart.atlas.vegvesen.no/#/@157801.7,7037092.5,18/hva:hva%5B0%5D%5Bfilter%5D%5B0%5D%5Boperator%5D=%21%3D&amp;hva%5B0%5D%5Bfilter%5D%5B0%5D%5Btype_id%5D=5897&amp;hva%5B0%5D%5Bfilter%5D%5B0%5D%5Bverdi%5D=&amp;hva%5B0%5D%5Bid%5D=47/når:2016-02-17", "Vegkart")</f>
        <v>Vegkart</v>
      </c>
      <c r="B5640">
        <v>487398115</v>
      </c>
      <c r="C5640">
        <v>47</v>
      </c>
      <c r="D5640" t="s">
        <v>16854</v>
      </c>
      <c r="E5640">
        <v>5897</v>
      </c>
      <c r="F5640" t="s">
        <v>23479</v>
      </c>
      <c r="G5640">
        <v>2</v>
      </c>
      <c r="H5640" t="s">
        <v>18768</v>
      </c>
      <c r="J5640" t="s">
        <v>18756</v>
      </c>
      <c r="K5640" t="s">
        <v>32</v>
      </c>
      <c r="L5640" t="s">
        <v>33</v>
      </c>
      <c r="M5640" t="s">
        <v>18769</v>
      </c>
      <c r="N5640" t="s">
        <v>18815</v>
      </c>
      <c r="O5640" t="s">
        <v>18816</v>
      </c>
      <c r="P5640" s="2" t="s">
        <v>26</v>
      </c>
      <c r="Q5640" t="s">
        <v>50</v>
      </c>
      <c r="R5640">
        <v>52.85</v>
      </c>
      <c r="S5640">
        <v>53.4</v>
      </c>
      <c r="T5640" t="s">
        <v>18817</v>
      </c>
    </row>
    <row r="5641" spans="1:20" x14ac:dyDescent="0.25">
      <c r="A5641" s="1" t="str">
        <f>HYPERLINK("https://vegkart.atlas.vegvesen.no/#/@158142.3,7037137.6,18/hva:hva%5B0%5D%5Bfilter%5D%5B0%5D%5Boperator%5D=%21%3D&amp;hva%5B0%5D%5Bfilter%5D%5B0%5D%5Btype_id%5D=5897&amp;hva%5B0%5D%5Bfilter%5D%5B0%5D%5Bverdi%5D=&amp;hva%5B0%5D%5Bid%5D=47/når:2016-02-17", "Vegkart")</f>
        <v>Vegkart</v>
      </c>
      <c r="B5641">
        <v>487398116</v>
      </c>
      <c r="C5641">
        <v>47</v>
      </c>
      <c r="D5641" t="s">
        <v>16854</v>
      </c>
      <c r="E5641">
        <v>5897</v>
      </c>
      <c r="F5641" t="s">
        <v>23479</v>
      </c>
      <c r="G5641">
        <v>2</v>
      </c>
      <c r="H5641" t="s">
        <v>18768</v>
      </c>
      <c r="J5641" t="s">
        <v>18756</v>
      </c>
      <c r="K5641" t="s">
        <v>32</v>
      </c>
      <c r="L5641" t="s">
        <v>33</v>
      </c>
      <c r="M5641" t="s">
        <v>18769</v>
      </c>
      <c r="N5641" t="s">
        <v>18818</v>
      </c>
      <c r="O5641" t="s">
        <v>18819</v>
      </c>
      <c r="P5641" s="2" t="s">
        <v>26</v>
      </c>
      <c r="Q5641" t="s">
        <v>50</v>
      </c>
      <c r="R5641">
        <v>66.599999999999994</v>
      </c>
      <c r="S5641">
        <v>66.8</v>
      </c>
      <c r="T5641" t="s">
        <v>18820</v>
      </c>
    </row>
    <row r="5642" spans="1:20" x14ac:dyDescent="0.25">
      <c r="A5642" s="1" t="str">
        <f>HYPERLINK("https://vegkart.atlas.vegvesen.no/#/@158549.9,7037188.2,18/hva:hva%5B0%5D%5Bfilter%5D%5B0%5D%5Boperator%5D=%21%3D&amp;hva%5B0%5D%5Bfilter%5D%5B0%5D%5Btype_id%5D=5897&amp;hva%5B0%5D%5Bfilter%5D%5B0%5D%5Bverdi%5D=&amp;hva%5B0%5D%5Bid%5D=47/når:2016-02-17", "Vegkart")</f>
        <v>Vegkart</v>
      </c>
      <c r="B5642">
        <v>487398117</v>
      </c>
      <c r="C5642">
        <v>47</v>
      </c>
      <c r="D5642" t="s">
        <v>16854</v>
      </c>
      <c r="E5642">
        <v>5897</v>
      </c>
      <c r="F5642" t="s">
        <v>23479</v>
      </c>
      <c r="G5642">
        <v>2</v>
      </c>
      <c r="H5642" t="s">
        <v>18768</v>
      </c>
      <c r="J5642" t="s">
        <v>18756</v>
      </c>
      <c r="K5642" t="s">
        <v>32</v>
      </c>
      <c r="L5642" t="s">
        <v>33</v>
      </c>
      <c r="M5642" t="s">
        <v>18769</v>
      </c>
      <c r="N5642" t="s">
        <v>18821</v>
      </c>
      <c r="O5642" t="s">
        <v>18822</v>
      </c>
      <c r="P5642" s="2" t="s">
        <v>26</v>
      </c>
      <c r="Q5642" t="s">
        <v>50</v>
      </c>
      <c r="R5642">
        <v>65.319999999999993</v>
      </c>
      <c r="S5642">
        <v>66.180000000000007</v>
      </c>
      <c r="T5642" t="s">
        <v>18823</v>
      </c>
    </row>
    <row r="5643" spans="1:20" x14ac:dyDescent="0.25">
      <c r="A5643" s="1" t="str">
        <f>HYPERLINK("https://vegkart.atlas.vegvesen.no/#/@159043.9,7037368.1,18/hva:hva%5B0%5D%5Bfilter%5D%5B0%5D%5Boperator%5D=%21%3D&amp;hva%5B0%5D%5Bfilter%5D%5B0%5D%5Btype_id%5D=5897&amp;hva%5B0%5D%5Bfilter%5D%5B0%5D%5Bverdi%5D=&amp;hva%5B0%5D%5Bid%5D=47/når:2016-02-17", "Vegkart")</f>
        <v>Vegkart</v>
      </c>
      <c r="B5643">
        <v>487398118</v>
      </c>
      <c r="C5643">
        <v>47</v>
      </c>
      <c r="D5643" t="s">
        <v>16854</v>
      </c>
      <c r="E5643">
        <v>5897</v>
      </c>
      <c r="F5643" t="s">
        <v>23479</v>
      </c>
      <c r="G5643">
        <v>2</v>
      </c>
      <c r="H5643" t="s">
        <v>18768</v>
      </c>
      <c r="J5643" t="s">
        <v>18756</v>
      </c>
      <c r="K5643" t="s">
        <v>32</v>
      </c>
      <c r="L5643" t="s">
        <v>33</v>
      </c>
      <c r="M5643" t="s">
        <v>18769</v>
      </c>
      <c r="N5643" t="s">
        <v>18824</v>
      </c>
      <c r="O5643" t="s">
        <v>18825</v>
      </c>
      <c r="P5643" s="2" t="s">
        <v>26</v>
      </c>
      <c r="Q5643" t="s">
        <v>50</v>
      </c>
      <c r="R5643">
        <v>58.27</v>
      </c>
      <c r="S5643">
        <v>58.6</v>
      </c>
      <c r="T5643" t="s">
        <v>18826</v>
      </c>
    </row>
    <row r="5644" spans="1:20" x14ac:dyDescent="0.25">
      <c r="A5644" s="1" t="str">
        <f>HYPERLINK("https://vegkart.atlas.vegvesen.no/#/@159369.1,7037523.8,18/hva:hva%5B0%5D%5Bfilter%5D%5B0%5D%5Boperator%5D=%21%3D&amp;hva%5B0%5D%5Bfilter%5D%5B0%5D%5Btype_id%5D=5897&amp;hva%5B0%5D%5Bfilter%5D%5B0%5D%5Bverdi%5D=&amp;hva%5B0%5D%5Bid%5D=47/når:2016-02-17", "Vegkart")</f>
        <v>Vegkart</v>
      </c>
      <c r="B5644">
        <v>487398119</v>
      </c>
      <c r="C5644">
        <v>47</v>
      </c>
      <c r="D5644" t="s">
        <v>16854</v>
      </c>
      <c r="E5644">
        <v>5897</v>
      </c>
      <c r="F5644" t="s">
        <v>23479</v>
      </c>
      <c r="G5644">
        <v>2</v>
      </c>
      <c r="H5644" t="s">
        <v>18768</v>
      </c>
      <c r="J5644" t="s">
        <v>18756</v>
      </c>
      <c r="K5644" t="s">
        <v>32</v>
      </c>
      <c r="L5644" t="s">
        <v>33</v>
      </c>
      <c r="M5644" t="s">
        <v>18769</v>
      </c>
      <c r="N5644" t="s">
        <v>18827</v>
      </c>
      <c r="O5644" t="s">
        <v>18828</v>
      </c>
      <c r="P5644" s="2" t="s">
        <v>26</v>
      </c>
      <c r="Q5644" t="s">
        <v>50</v>
      </c>
      <c r="R5644">
        <v>60.01</v>
      </c>
      <c r="S5644">
        <v>60.8</v>
      </c>
      <c r="T5644" t="s">
        <v>18829</v>
      </c>
    </row>
    <row r="5645" spans="1:20" x14ac:dyDescent="0.25">
      <c r="A5645" s="1" t="str">
        <f>HYPERLINK("https://vegkart.atlas.vegvesen.no/#/@159436.8,7037572.4,18/hva:hva%5B0%5D%5Bfilter%5D%5B0%5D%5Boperator%5D=%21%3D&amp;hva%5B0%5D%5Bfilter%5D%5B0%5D%5Btype_id%5D=5897&amp;hva%5B0%5D%5Bfilter%5D%5B0%5D%5Bverdi%5D=&amp;hva%5B0%5D%5Bid%5D=47/når:2016-02-17", "Vegkart")</f>
        <v>Vegkart</v>
      </c>
      <c r="B5645">
        <v>487398120</v>
      </c>
      <c r="C5645">
        <v>47</v>
      </c>
      <c r="D5645" t="s">
        <v>16854</v>
      </c>
      <c r="E5645">
        <v>5897</v>
      </c>
      <c r="F5645" t="s">
        <v>23479</v>
      </c>
      <c r="G5645">
        <v>2</v>
      </c>
      <c r="H5645" t="s">
        <v>18768</v>
      </c>
      <c r="J5645" t="s">
        <v>18756</v>
      </c>
      <c r="K5645" t="s">
        <v>32</v>
      </c>
      <c r="L5645" t="s">
        <v>33</v>
      </c>
      <c r="M5645" t="s">
        <v>18769</v>
      </c>
      <c r="N5645" t="s">
        <v>18830</v>
      </c>
      <c r="O5645" t="s">
        <v>18831</v>
      </c>
      <c r="P5645" s="2" t="s">
        <v>26</v>
      </c>
      <c r="Q5645" t="s">
        <v>50</v>
      </c>
      <c r="R5645">
        <v>61.97</v>
      </c>
      <c r="S5645">
        <v>62.34</v>
      </c>
      <c r="T5645" t="s">
        <v>18832</v>
      </c>
    </row>
    <row r="5646" spans="1:20" x14ac:dyDescent="0.25">
      <c r="A5646" s="1" t="str">
        <f>HYPERLINK("https://vegkart.atlas.vegvesen.no/#/@159710.6,7037799.0,18/hva:hva%5B0%5D%5Bfilter%5D%5B0%5D%5Boperator%5D=%21%3D&amp;hva%5B0%5D%5Bfilter%5D%5B0%5D%5Btype_id%5D=5897&amp;hva%5B0%5D%5Bfilter%5D%5B0%5D%5Bverdi%5D=&amp;hva%5B0%5D%5Bid%5D=47/når:2016-02-17", "Vegkart")</f>
        <v>Vegkart</v>
      </c>
      <c r="B5646">
        <v>487398121</v>
      </c>
      <c r="C5646">
        <v>47</v>
      </c>
      <c r="D5646" t="s">
        <v>16854</v>
      </c>
      <c r="E5646">
        <v>5897</v>
      </c>
      <c r="F5646" t="s">
        <v>23479</v>
      </c>
      <c r="G5646">
        <v>2</v>
      </c>
      <c r="H5646" t="s">
        <v>18768</v>
      </c>
      <c r="J5646" t="s">
        <v>18756</v>
      </c>
      <c r="K5646" t="s">
        <v>32</v>
      </c>
      <c r="L5646" t="s">
        <v>33</v>
      </c>
      <c r="M5646" t="s">
        <v>18769</v>
      </c>
      <c r="N5646" t="s">
        <v>18833</v>
      </c>
      <c r="O5646" t="s">
        <v>18834</v>
      </c>
      <c r="P5646" s="2" t="s">
        <v>26</v>
      </c>
      <c r="Q5646" t="s">
        <v>50</v>
      </c>
      <c r="R5646">
        <v>47.56</v>
      </c>
      <c r="S5646">
        <v>47.8</v>
      </c>
      <c r="T5646" t="s">
        <v>18835</v>
      </c>
    </row>
    <row r="5647" spans="1:20" x14ac:dyDescent="0.25">
      <c r="A5647" s="1" t="str">
        <f>HYPERLINK("https://vegkart.atlas.vegvesen.no/#/@160196.7,7038156.0,18/hva:hva%5B0%5D%5Bfilter%5D%5B0%5D%5Boperator%5D=%21%3D&amp;hva%5B0%5D%5Bfilter%5D%5B0%5D%5Btype_id%5D=5897&amp;hva%5B0%5D%5Bfilter%5D%5B0%5D%5Bverdi%5D=&amp;hva%5B0%5D%5Bid%5D=47/når:2016-02-17", "Vegkart")</f>
        <v>Vegkart</v>
      </c>
      <c r="B5647">
        <v>487398122</v>
      </c>
      <c r="C5647">
        <v>47</v>
      </c>
      <c r="D5647" t="s">
        <v>16854</v>
      </c>
      <c r="E5647">
        <v>5897</v>
      </c>
      <c r="F5647" t="s">
        <v>23479</v>
      </c>
      <c r="G5647">
        <v>2</v>
      </c>
      <c r="H5647" t="s">
        <v>18768</v>
      </c>
      <c r="J5647" t="s">
        <v>18756</v>
      </c>
      <c r="K5647" t="s">
        <v>32</v>
      </c>
      <c r="L5647" t="s">
        <v>33</v>
      </c>
      <c r="M5647" t="s">
        <v>18769</v>
      </c>
      <c r="N5647" t="s">
        <v>18836</v>
      </c>
      <c r="O5647" t="s">
        <v>18837</v>
      </c>
      <c r="P5647" s="2" t="s">
        <v>26</v>
      </c>
      <c r="Q5647" t="s">
        <v>50</v>
      </c>
      <c r="R5647">
        <v>48.56</v>
      </c>
      <c r="S5647">
        <v>48.89</v>
      </c>
      <c r="T5647" t="s">
        <v>18838</v>
      </c>
    </row>
    <row r="5648" spans="1:20" x14ac:dyDescent="0.25">
      <c r="A5648" s="1" t="str">
        <f>HYPERLINK("https://vegkart.atlas.vegvesen.no/#/@160331.0,7038519.6,18/hva:hva%5B0%5D%5Bfilter%5D%5B0%5D%5Boperator%5D=%21%3D&amp;hva%5B0%5D%5Bfilter%5D%5B0%5D%5Btype_id%5D=5897&amp;hva%5B0%5D%5Bfilter%5D%5B0%5D%5Bverdi%5D=&amp;hva%5B0%5D%5Bid%5D=47/når:2016-02-17", "Vegkart")</f>
        <v>Vegkart</v>
      </c>
      <c r="B5648">
        <v>487398123</v>
      </c>
      <c r="C5648">
        <v>47</v>
      </c>
      <c r="D5648" t="s">
        <v>16854</v>
      </c>
      <c r="E5648">
        <v>5897</v>
      </c>
      <c r="F5648" t="s">
        <v>23479</v>
      </c>
      <c r="G5648">
        <v>2</v>
      </c>
      <c r="H5648" t="s">
        <v>18768</v>
      </c>
      <c r="J5648" t="s">
        <v>18756</v>
      </c>
      <c r="K5648" t="s">
        <v>32</v>
      </c>
      <c r="L5648" t="s">
        <v>33</v>
      </c>
      <c r="M5648" t="s">
        <v>18769</v>
      </c>
      <c r="N5648" t="s">
        <v>18839</v>
      </c>
      <c r="O5648" t="s">
        <v>18840</v>
      </c>
      <c r="P5648" s="2" t="s">
        <v>26</v>
      </c>
      <c r="Q5648" t="s">
        <v>50</v>
      </c>
      <c r="R5648">
        <v>59.06</v>
      </c>
      <c r="S5648">
        <v>59.61</v>
      </c>
      <c r="T5648" t="s">
        <v>18841</v>
      </c>
    </row>
    <row r="5649" spans="1:20" x14ac:dyDescent="0.25">
      <c r="A5649" s="1" t="str">
        <f>HYPERLINK("https://vegkart.atlas.vegvesen.no/#/@160279.5,7038719.9,18/hva:hva%5B0%5D%5Bfilter%5D%5B0%5D%5Boperator%5D=%21%3D&amp;hva%5B0%5D%5Bfilter%5D%5B0%5D%5Btype_id%5D=5897&amp;hva%5B0%5D%5Bfilter%5D%5B0%5D%5Bverdi%5D=&amp;hva%5B0%5D%5Bid%5D=47/når:2016-02-17", "Vegkart")</f>
        <v>Vegkart</v>
      </c>
      <c r="B5649">
        <v>487398124</v>
      </c>
      <c r="C5649">
        <v>47</v>
      </c>
      <c r="D5649" t="s">
        <v>16854</v>
      </c>
      <c r="E5649">
        <v>5897</v>
      </c>
      <c r="F5649" t="s">
        <v>23479</v>
      </c>
      <c r="G5649">
        <v>2</v>
      </c>
      <c r="H5649" t="s">
        <v>18768</v>
      </c>
      <c r="J5649" t="s">
        <v>18756</v>
      </c>
      <c r="K5649" t="s">
        <v>32</v>
      </c>
      <c r="L5649" t="s">
        <v>33</v>
      </c>
      <c r="M5649" t="s">
        <v>18769</v>
      </c>
      <c r="N5649" t="s">
        <v>18842</v>
      </c>
      <c r="O5649" t="s">
        <v>18843</v>
      </c>
      <c r="P5649" s="2" t="s">
        <v>26</v>
      </c>
      <c r="Q5649" t="s">
        <v>50</v>
      </c>
      <c r="R5649">
        <v>64.03</v>
      </c>
      <c r="S5649">
        <v>64.260000000000005</v>
      </c>
      <c r="T5649" t="s">
        <v>18844</v>
      </c>
    </row>
    <row r="5650" spans="1:20" x14ac:dyDescent="0.25">
      <c r="A5650" s="1" t="str">
        <f>HYPERLINK("https://vegkart.atlas.vegvesen.no/#/@160576.9,7039214.4,18/hva:hva%5B0%5D%5Bfilter%5D%5B0%5D%5Boperator%5D=%21%3D&amp;hva%5B0%5D%5Bfilter%5D%5B0%5D%5Btype_id%5D=5897&amp;hva%5B0%5D%5Bfilter%5D%5B0%5D%5Bverdi%5D=&amp;hva%5B0%5D%5Bid%5D=47/når:2016-02-17", "Vegkart")</f>
        <v>Vegkart</v>
      </c>
      <c r="B5650">
        <v>487398125</v>
      </c>
      <c r="C5650">
        <v>47</v>
      </c>
      <c r="D5650" t="s">
        <v>16854</v>
      </c>
      <c r="E5650">
        <v>5897</v>
      </c>
      <c r="F5650" t="s">
        <v>23479</v>
      </c>
      <c r="G5650">
        <v>3</v>
      </c>
      <c r="H5650" t="s">
        <v>18768</v>
      </c>
      <c r="J5650" t="s">
        <v>18756</v>
      </c>
      <c r="K5650" t="s">
        <v>32</v>
      </c>
      <c r="L5650" t="s">
        <v>33</v>
      </c>
      <c r="M5650" t="s">
        <v>18769</v>
      </c>
      <c r="N5650" t="s">
        <v>18845</v>
      </c>
      <c r="O5650" t="s">
        <v>18846</v>
      </c>
      <c r="P5650" s="2" t="s">
        <v>26</v>
      </c>
      <c r="Q5650" t="s">
        <v>50</v>
      </c>
      <c r="R5650">
        <v>48.64</v>
      </c>
      <c r="S5650">
        <v>51.83</v>
      </c>
      <c r="T5650" t="s">
        <v>18847</v>
      </c>
    </row>
    <row r="5651" spans="1:20" x14ac:dyDescent="0.25">
      <c r="A5651" s="1" t="str">
        <f>HYPERLINK("https://vegkart.atlas.vegvesen.no/#/@160571.4,7039223.4,18/hva:hva%5B0%5D%5Bfilter%5D%5B0%5D%5Boperator%5D=%21%3D&amp;hva%5B0%5D%5Bfilter%5D%5B0%5D%5Btype_id%5D=5897&amp;hva%5B0%5D%5Bfilter%5D%5B0%5D%5Bverdi%5D=&amp;hva%5B0%5D%5Bid%5D=47/når:2016-02-17", "Vegkart")</f>
        <v>Vegkart</v>
      </c>
      <c r="B5651">
        <v>487415179</v>
      </c>
      <c r="C5651">
        <v>47</v>
      </c>
      <c r="D5651" t="s">
        <v>16854</v>
      </c>
      <c r="E5651">
        <v>5897</v>
      </c>
      <c r="F5651" t="s">
        <v>23479</v>
      </c>
      <c r="G5651">
        <v>2</v>
      </c>
      <c r="H5651" t="s">
        <v>18768</v>
      </c>
      <c r="J5651" t="s">
        <v>18756</v>
      </c>
      <c r="K5651" t="s">
        <v>32</v>
      </c>
      <c r="L5651" t="s">
        <v>33</v>
      </c>
      <c r="M5651" t="s">
        <v>18769</v>
      </c>
      <c r="N5651" t="s">
        <v>18845</v>
      </c>
      <c r="O5651" t="s">
        <v>18848</v>
      </c>
      <c r="P5651" s="2" t="s">
        <v>26</v>
      </c>
      <c r="Q5651" t="s">
        <v>50</v>
      </c>
      <c r="R5651">
        <v>45.92</v>
      </c>
      <c r="S5651">
        <v>52.62</v>
      </c>
      <c r="T5651" t="s">
        <v>18849</v>
      </c>
    </row>
    <row r="5652" spans="1:20" x14ac:dyDescent="0.25">
      <c r="A5652" s="1" t="str">
        <f>HYPERLINK("https://vegkart.atlas.vegvesen.no/#/@143159.8,6518377.3,18/hva:hva%5B0%5D%5Bfilter%5D%5B0%5D%5Boperator%5D=%21%3D&amp;hva%5B0%5D%5Bfilter%5D%5B0%5D%5Btype_id%5D=5897&amp;hva%5B0%5D%5Bfilter%5D%5B0%5D%5Bverdi%5D=&amp;hva%5B0%5D%5Bid%5D=47/når:2014-05-09", "Vegkart")</f>
        <v>Vegkart</v>
      </c>
      <c r="B5652">
        <v>489040928</v>
      </c>
      <c r="C5652">
        <v>47</v>
      </c>
      <c r="D5652" t="s">
        <v>16854</v>
      </c>
      <c r="E5652">
        <v>5897</v>
      </c>
      <c r="F5652" t="s">
        <v>23479</v>
      </c>
      <c r="G5652">
        <v>2</v>
      </c>
      <c r="H5652" t="s">
        <v>18850</v>
      </c>
      <c r="J5652" t="s">
        <v>18756</v>
      </c>
      <c r="K5652" t="s">
        <v>86</v>
      </c>
      <c r="L5652" t="s">
        <v>33</v>
      </c>
      <c r="M5652" t="s">
        <v>12873</v>
      </c>
      <c r="N5652" t="s">
        <v>18851</v>
      </c>
      <c r="O5652" t="s">
        <v>18852</v>
      </c>
      <c r="P5652" s="2" t="s">
        <v>26</v>
      </c>
      <c r="Q5652" t="s">
        <v>50</v>
      </c>
      <c r="R5652">
        <v>46.2</v>
      </c>
      <c r="S5652">
        <v>47.75</v>
      </c>
      <c r="T5652" t="s">
        <v>18853</v>
      </c>
    </row>
    <row r="5653" spans="1:20" x14ac:dyDescent="0.25">
      <c r="A5653" s="1" t="str">
        <f>HYPERLINK("https://vegkart.atlas.vegvesen.no/#/@143239.6,6517869.8,18/hva:hva%5B0%5D%5Bfilter%5D%5B0%5D%5Boperator%5D=%21%3D&amp;hva%5B0%5D%5Bfilter%5D%5B0%5D%5Btype_id%5D=5897&amp;hva%5B0%5D%5Bfilter%5D%5B0%5D%5Bverdi%5D=&amp;hva%5B0%5D%5Bid%5D=47/når:2014-05-09", "Vegkart")</f>
        <v>Vegkart</v>
      </c>
      <c r="B5653">
        <v>489040930</v>
      </c>
      <c r="C5653">
        <v>47</v>
      </c>
      <c r="D5653" t="s">
        <v>16854</v>
      </c>
      <c r="E5653">
        <v>5897</v>
      </c>
      <c r="F5653" t="s">
        <v>23479</v>
      </c>
      <c r="G5653">
        <v>2</v>
      </c>
      <c r="H5653" t="s">
        <v>18850</v>
      </c>
      <c r="J5653" t="s">
        <v>18756</v>
      </c>
      <c r="K5653" t="s">
        <v>86</v>
      </c>
      <c r="L5653" t="s">
        <v>33</v>
      </c>
      <c r="M5653" t="s">
        <v>12873</v>
      </c>
      <c r="N5653" t="s">
        <v>18854</v>
      </c>
      <c r="O5653" t="s">
        <v>18855</v>
      </c>
      <c r="P5653" s="2" t="s">
        <v>26</v>
      </c>
      <c r="Q5653" t="s">
        <v>50</v>
      </c>
      <c r="R5653">
        <v>63.04</v>
      </c>
      <c r="S5653">
        <v>63.48</v>
      </c>
      <c r="T5653" t="s">
        <v>18856</v>
      </c>
    </row>
    <row r="5654" spans="1:20" x14ac:dyDescent="0.25">
      <c r="A5654" s="1" t="str">
        <f>HYPERLINK("https://vegkart.atlas.vegvesen.no/#/@143402.3,6517002.6,18/hva:hva%5B0%5D%5Bfilter%5D%5B0%5D%5Boperator%5D=%21%3D&amp;hva%5B0%5D%5Bfilter%5D%5B0%5D%5Btype_id%5D=5897&amp;hva%5B0%5D%5Bfilter%5D%5B0%5D%5Bverdi%5D=&amp;hva%5B0%5D%5Bid%5D=47/når:2014-05-09", "Vegkart")</f>
        <v>Vegkart</v>
      </c>
      <c r="B5654">
        <v>489040932</v>
      </c>
      <c r="C5654">
        <v>47</v>
      </c>
      <c r="D5654" t="s">
        <v>16854</v>
      </c>
      <c r="E5654">
        <v>5897</v>
      </c>
      <c r="F5654" t="s">
        <v>23479</v>
      </c>
      <c r="G5654">
        <v>2</v>
      </c>
      <c r="H5654" t="s">
        <v>18850</v>
      </c>
      <c r="J5654" t="s">
        <v>18756</v>
      </c>
      <c r="K5654" t="s">
        <v>86</v>
      </c>
      <c r="L5654" t="s">
        <v>33</v>
      </c>
      <c r="M5654" t="s">
        <v>12873</v>
      </c>
      <c r="N5654" t="s">
        <v>18857</v>
      </c>
      <c r="O5654" t="s">
        <v>18858</v>
      </c>
      <c r="P5654" s="2" t="s">
        <v>26</v>
      </c>
      <c r="Q5654" t="s">
        <v>50</v>
      </c>
      <c r="R5654">
        <v>71.48</v>
      </c>
      <c r="S5654">
        <v>71.89</v>
      </c>
      <c r="T5654" t="s">
        <v>18859</v>
      </c>
    </row>
    <row r="5655" spans="1:20" x14ac:dyDescent="0.25">
      <c r="A5655" s="1" t="str">
        <f>HYPERLINK("https://vegkart.atlas.vegvesen.no/#/@143409.8,6516906.3,18/hva:hva%5B0%5D%5Bfilter%5D%5B0%5D%5Boperator%5D=%21%3D&amp;hva%5B0%5D%5Bfilter%5D%5B0%5D%5Btype_id%5D=5897&amp;hva%5B0%5D%5Bfilter%5D%5B0%5D%5Bverdi%5D=&amp;hva%5B0%5D%5Bid%5D=47/når:2018-11-27", "Vegkart")</f>
        <v>Vegkart</v>
      </c>
      <c r="B5655">
        <v>489041498</v>
      </c>
      <c r="C5655">
        <v>47</v>
      </c>
      <c r="D5655" t="s">
        <v>16854</v>
      </c>
      <c r="E5655">
        <v>5897</v>
      </c>
      <c r="F5655" t="s">
        <v>23479</v>
      </c>
      <c r="G5655">
        <v>3</v>
      </c>
      <c r="H5655" t="s">
        <v>8702</v>
      </c>
      <c r="J5655" t="s">
        <v>18756</v>
      </c>
      <c r="K5655" t="s">
        <v>86</v>
      </c>
      <c r="L5655" t="s">
        <v>33</v>
      </c>
      <c r="M5655" t="s">
        <v>12873</v>
      </c>
      <c r="N5655" t="s">
        <v>18860</v>
      </c>
      <c r="O5655" t="s">
        <v>18861</v>
      </c>
      <c r="P5655" s="2" t="s">
        <v>26</v>
      </c>
      <c r="Q5655" t="s">
        <v>50</v>
      </c>
      <c r="R5655">
        <v>36.619999999999997</v>
      </c>
      <c r="S5655">
        <v>36.85</v>
      </c>
      <c r="T5655" t="s">
        <v>18862</v>
      </c>
    </row>
    <row r="5656" spans="1:20" x14ac:dyDescent="0.25">
      <c r="A5656" s="1" t="str">
        <f>HYPERLINK("https://vegkart.atlas.vegvesen.no/#/@143233.6,6517842.3,18/hva:hva%5B0%5D%5Bfilter%5D%5B0%5D%5Boperator%5D=%21%3D&amp;hva%5B0%5D%5Bfilter%5D%5B0%5D%5Btype_id%5D=5897&amp;hva%5B0%5D%5Bfilter%5D%5B0%5D%5Bverdi%5D=&amp;hva%5B0%5D%5Bid%5D=47/når:2014-05-09", "Vegkart")</f>
        <v>Vegkart</v>
      </c>
      <c r="B5656">
        <v>489041499</v>
      </c>
      <c r="C5656">
        <v>47</v>
      </c>
      <c r="D5656" t="s">
        <v>16854</v>
      </c>
      <c r="E5656">
        <v>5897</v>
      </c>
      <c r="F5656" t="s">
        <v>23479</v>
      </c>
      <c r="G5656">
        <v>2</v>
      </c>
      <c r="H5656" t="s">
        <v>18850</v>
      </c>
      <c r="J5656" t="s">
        <v>18756</v>
      </c>
      <c r="K5656" t="s">
        <v>86</v>
      </c>
      <c r="L5656" t="s">
        <v>33</v>
      </c>
      <c r="M5656" t="s">
        <v>12873</v>
      </c>
      <c r="N5656" t="s">
        <v>18863</v>
      </c>
      <c r="O5656" t="s">
        <v>18864</v>
      </c>
      <c r="P5656" s="2" t="s">
        <v>26</v>
      </c>
      <c r="Q5656" t="s">
        <v>50</v>
      </c>
      <c r="R5656">
        <v>65.989999999999995</v>
      </c>
      <c r="S5656">
        <v>66.59</v>
      </c>
      <c r="T5656" t="s">
        <v>18865</v>
      </c>
    </row>
    <row r="5657" spans="1:20" x14ac:dyDescent="0.25">
      <c r="A5657" s="1" t="str">
        <f>HYPERLINK("https://vegkart.atlas.vegvesen.no/#/@143135.9,6518293.8,18/hva:hva%5B0%5D%5Bfilter%5D%5B0%5D%5Boperator%5D=%21%3D&amp;hva%5B0%5D%5Bfilter%5D%5B0%5D%5Btype_id%5D=5897&amp;hva%5B0%5D%5Bfilter%5D%5B0%5D%5Bverdi%5D=&amp;hva%5B0%5D%5Bid%5D=47/når:2014-05-09", "Vegkart")</f>
        <v>Vegkart</v>
      </c>
      <c r="B5657">
        <v>489041500</v>
      </c>
      <c r="C5657">
        <v>47</v>
      </c>
      <c r="D5657" t="s">
        <v>16854</v>
      </c>
      <c r="E5657">
        <v>5897</v>
      </c>
      <c r="F5657" t="s">
        <v>23479</v>
      </c>
      <c r="G5657">
        <v>1</v>
      </c>
      <c r="H5657" t="s">
        <v>18850</v>
      </c>
      <c r="J5657" t="s">
        <v>18756</v>
      </c>
      <c r="K5657" t="s">
        <v>86</v>
      </c>
      <c r="L5657" t="s">
        <v>33</v>
      </c>
      <c r="M5657" t="s">
        <v>12873</v>
      </c>
      <c r="N5657" t="s">
        <v>18866</v>
      </c>
      <c r="O5657" t="s">
        <v>18867</v>
      </c>
      <c r="P5657" s="2" t="s">
        <v>26</v>
      </c>
      <c r="Q5657" t="s">
        <v>50</v>
      </c>
      <c r="R5657">
        <v>61.27</v>
      </c>
      <c r="S5657">
        <v>62.01</v>
      </c>
      <c r="T5657" t="s">
        <v>18868</v>
      </c>
    </row>
    <row r="5658" spans="1:20" x14ac:dyDescent="0.25">
      <c r="A5658" s="1" t="str">
        <f>HYPERLINK("https://vegkart.atlas.vegvesen.no/#/@-32336.3,6767537.9,18/hva:hva%5B0%5D%5Bfilter%5D%5B0%5D%5Boperator%5D=%21%3D&amp;hva%5B0%5D%5Bfilter%5D%5B0%5D%5Btype_id%5D=5897&amp;hva%5B0%5D%5Bfilter%5D%5B0%5D%5Bverdi%5D=&amp;hva%5B0%5D%5Bid%5D=47/når:2014-01-01", "Vegkart")</f>
        <v>Vegkart</v>
      </c>
      <c r="B5658">
        <v>489126637</v>
      </c>
      <c r="C5658">
        <v>47</v>
      </c>
      <c r="D5658" t="s">
        <v>16854</v>
      </c>
      <c r="E5658">
        <v>5897</v>
      </c>
      <c r="F5658" t="s">
        <v>23479</v>
      </c>
      <c r="G5658">
        <v>1</v>
      </c>
      <c r="H5658" t="s">
        <v>6165</v>
      </c>
      <c r="J5658" t="s">
        <v>18756</v>
      </c>
      <c r="K5658" t="s">
        <v>21</v>
      </c>
      <c r="L5658" t="s">
        <v>33</v>
      </c>
      <c r="M5658" t="s">
        <v>795</v>
      </c>
      <c r="N5658" t="s">
        <v>18869</v>
      </c>
      <c r="O5658" t="s">
        <v>18870</v>
      </c>
      <c r="P5658" s="2" t="s">
        <v>26</v>
      </c>
      <c r="Q5658" t="s">
        <v>50</v>
      </c>
      <c r="R5658">
        <v>67.81</v>
      </c>
      <c r="S5658">
        <v>68.31</v>
      </c>
      <c r="T5658" t="s">
        <v>18871</v>
      </c>
    </row>
    <row r="5659" spans="1:20" x14ac:dyDescent="0.25">
      <c r="A5659" s="1" t="str">
        <f>HYPERLINK("https://vegkart.atlas.vegvesen.no/#/@-32349.6,6767353.8,18/hva:hva%5B0%5D%5Bfilter%5D%5B0%5D%5Boperator%5D=%21%3D&amp;hva%5B0%5D%5Bfilter%5D%5B0%5D%5Btype_id%5D=5897&amp;hva%5B0%5D%5Bfilter%5D%5B0%5D%5Bverdi%5D=&amp;hva%5B0%5D%5Bid%5D=47/når:2014-01-01", "Vegkart")</f>
        <v>Vegkart</v>
      </c>
      <c r="B5659">
        <v>489126932</v>
      </c>
      <c r="C5659">
        <v>47</v>
      </c>
      <c r="D5659" t="s">
        <v>16854</v>
      </c>
      <c r="E5659">
        <v>5897</v>
      </c>
      <c r="F5659" t="s">
        <v>23479</v>
      </c>
      <c r="G5659">
        <v>1</v>
      </c>
      <c r="H5659" t="s">
        <v>6165</v>
      </c>
      <c r="J5659" t="s">
        <v>18756</v>
      </c>
      <c r="K5659" t="s">
        <v>21</v>
      </c>
      <c r="L5659" t="s">
        <v>33</v>
      </c>
      <c r="M5659" t="s">
        <v>795</v>
      </c>
      <c r="N5659" t="s">
        <v>18872</v>
      </c>
      <c r="O5659" t="s">
        <v>18873</v>
      </c>
      <c r="P5659" s="2" t="s">
        <v>26</v>
      </c>
      <c r="Q5659" t="s">
        <v>50</v>
      </c>
      <c r="R5659">
        <v>81.88</v>
      </c>
      <c r="S5659">
        <v>82.61</v>
      </c>
      <c r="T5659" t="s">
        <v>18874</v>
      </c>
    </row>
    <row r="5660" spans="1:20" x14ac:dyDescent="0.25">
      <c r="A5660" s="1" t="str">
        <f>HYPERLINK("https://vegkart.atlas.vegvesen.no/#/@268785.5,7034071.8,18/hva:hva%5B0%5D%5Bfilter%5D%5B0%5D%5Boperator%5D=%21%3D&amp;hva%5B0%5D%5Bfilter%5D%5B0%5D%5Btype_id%5D=5897&amp;hva%5B0%5D%5Bfilter%5D%5B0%5D%5Bverdi%5D=&amp;hva%5B0%5D%5Bid%5D=47/når:2015-03-12", "Vegkart")</f>
        <v>Vegkart</v>
      </c>
      <c r="B5660">
        <v>489137451</v>
      </c>
      <c r="C5660">
        <v>47</v>
      </c>
      <c r="D5660" t="s">
        <v>16854</v>
      </c>
      <c r="E5660">
        <v>5897</v>
      </c>
      <c r="F5660" t="s">
        <v>23479</v>
      </c>
      <c r="G5660">
        <v>2</v>
      </c>
      <c r="H5660" t="s">
        <v>17444</v>
      </c>
      <c r="J5660" t="s">
        <v>18756</v>
      </c>
      <c r="K5660" t="s">
        <v>192</v>
      </c>
      <c r="L5660" t="s">
        <v>22</v>
      </c>
      <c r="M5660" t="s">
        <v>18875</v>
      </c>
      <c r="N5660" t="s">
        <v>18876</v>
      </c>
      <c r="O5660" t="s">
        <v>18877</v>
      </c>
      <c r="P5660" s="2" t="s">
        <v>165</v>
      </c>
      <c r="Q5660" t="s">
        <v>311</v>
      </c>
      <c r="R5660">
        <v>85.82</v>
      </c>
      <c r="S5660">
        <v>86.21</v>
      </c>
      <c r="T5660" t="s">
        <v>167</v>
      </c>
    </row>
    <row r="5661" spans="1:20" x14ac:dyDescent="0.25">
      <c r="A5661" s="1" t="str">
        <f>HYPERLINK("https://vegkart.atlas.vegvesen.no/#/@84859.2,6474999.8,18/hva:hva%5B0%5D%5Bfilter%5D%5B0%5D%5Boperator%5D=%21%3D&amp;hva%5B0%5D%5Bfilter%5D%5B0%5D%5Btype_id%5D=5897&amp;hva%5B0%5D%5Bfilter%5D%5B0%5D%5Bverdi%5D=&amp;hva%5B0%5D%5Bid%5D=47/når:2018-05-28", "Vegkart")</f>
        <v>Vegkart</v>
      </c>
      <c r="B5661">
        <v>489207543</v>
      </c>
      <c r="C5661">
        <v>47</v>
      </c>
      <c r="D5661" t="s">
        <v>16854</v>
      </c>
      <c r="E5661">
        <v>5897</v>
      </c>
      <c r="F5661" t="s">
        <v>23479</v>
      </c>
      <c r="G5661">
        <v>2</v>
      </c>
      <c r="H5661" t="s">
        <v>2110</v>
      </c>
      <c r="J5661" t="s">
        <v>7832</v>
      </c>
      <c r="K5661" t="s">
        <v>86</v>
      </c>
      <c r="L5661" t="s">
        <v>33</v>
      </c>
      <c r="M5661" t="s">
        <v>17485</v>
      </c>
      <c r="N5661" t="s">
        <v>18878</v>
      </c>
      <c r="O5661" t="s">
        <v>18879</v>
      </c>
      <c r="P5661" s="2" t="s">
        <v>26</v>
      </c>
      <c r="Q5661" t="s">
        <v>50</v>
      </c>
      <c r="R5661">
        <v>52.33</v>
      </c>
      <c r="S5661">
        <v>52.65</v>
      </c>
      <c r="T5661" t="s">
        <v>18880</v>
      </c>
    </row>
    <row r="5662" spans="1:20" x14ac:dyDescent="0.25">
      <c r="A5662" s="1" t="str">
        <f>HYPERLINK("https://vegkart.atlas.vegvesen.no/#/@31880.9,6471289.8,18/hva:hva%5B0%5D%5Bfilter%5D%5B0%5D%5Boperator%5D=%21%3D&amp;hva%5B0%5D%5Bfilter%5D%5B0%5D%5Btype_id%5D=5897&amp;hva%5B0%5D%5Bfilter%5D%5B0%5D%5Bverdi%5D=&amp;hva%5B0%5D%5Bid%5D=47/når:2014-03-25", "Vegkart")</f>
        <v>Vegkart</v>
      </c>
      <c r="B5662">
        <v>489258382</v>
      </c>
      <c r="C5662">
        <v>47</v>
      </c>
      <c r="D5662" t="s">
        <v>16854</v>
      </c>
      <c r="E5662">
        <v>5897</v>
      </c>
      <c r="F5662" t="s">
        <v>23479</v>
      </c>
      <c r="G5662">
        <v>1</v>
      </c>
      <c r="H5662" t="s">
        <v>18881</v>
      </c>
      <c r="J5662" t="s">
        <v>7832</v>
      </c>
      <c r="K5662" t="s">
        <v>86</v>
      </c>
      <c r="L5662" t="s">
        <v>33</v>
      </c>
      <c r="M5662" t="s">
        <v>4563</v>
      </c>
      <c r="N5662" t="s">
        <v>18882</v>
      </c>
      <c r="O5662" t="s">
        <v>18883</v>
      </c>
      <c r="P5662" s="2" t="s">
        <v>26</v>
      </c>
      <c r="Q5662" t="s">
        <v>50</v>
      </c>
      <c r="R5662">
        <v>67.31</v>
      </c>
      <c r="S5662">
        <v>67.62</v>
      </c>
      <c r="T5662" t="s">
        <v>18884</v>
      </c>
    </row>
    <row r="5663" spans="1:20" x14ac:dyDescent="0.25">
      <c r="A5663" s="1" t="str">
        <f>HYPERLINK("https://vegkart.atlas.vegvesen.no/#/@273867.2,7041931.6,18/hva:hva%5B0%5D%5Bfilter%5D%5B0%5D%5Boperator%5D=%21%3D&amp;hva%5B0%5D%5Bfilter%5D%5B0%5D%5Btype_id%5D=5897&amp;hva%5B0%5D%5Bfilter%5D%5B0%5D%5Bverdi%5D=&amp;hva%5B0%5D%5Bid%5D=47/når:2014-03-14", "Vegkart")</f>
        <v>Vegkart</v>
      </c>
      <c r="B5663">
        <v>491483451</v>
      </c>
      <c r="C5663">
        <v>47</v>
      </c>
      <c r="D5663" t="s">
        <v>16854</v>
      </c>
      <c r="E5663">
        <v>5897</v>
      </c>
      <c r="F5663" t="s">
        <v>23479</v>
      </c>
      <c r="G5663">
        <v>1</v>
      </c>
      <c r="H5663" t="s">
        <v>18885</v>
      </c>
      <c r="J5663" t="s">
        <v>7832</v>
      </c>
      <c r="K5663" t="s">
        <v>192</v>
      </c>
      <c r="L5663" t="s">
        <v>22</v>
      </c>
      <c r="M5663" t="s">
        <v>18886</v>
      </c>
      <c r="N5663" t="s">
        <v>18887</v>
      </c>
      <c r="O5663" t="s">
        <v>18888</v>
      </c>
      <c r="P5663" s="2" t="s">
        <v>165</v>
      </c>
      <c r="Q5663" t="s">
        <v>311</v>
      </c>
      <c r="R5663">
        <v>47.11</v>
      </c>
      <c r="S5663">
        <v>47.27</v>
      </c>
      <c r="T5663" t="s">
        <v>167</v>
      </c>
    </row>
    <row r="5664" spans="1:20" x14ac:dyDescent="0.25">
      <c r="A5664" s="1" t="str">
        <f>HYPERLINK("https://vegkart.atlas.vegvesen.no/#/@273964.2,7041882.1,18/hva:hva%5B0%5D%5Bfilter%5D%5B0%5D%5Boperator%5D=%21%3D&amp;hva%5B0%5D%5Bfilter%5D%5B0%5D%5Btype_id%5D=5897&amp;hva%5B0%5D%5Bfilter%5D%5B0%5D%5Bverdi%5D=&amp;hva%5B0%5D%5Bid%5D=47/når:2014-03-14", "Vegkart")</f>
        <v>Vegkart</v>
      </c>
      <c r="B5664">
        <v>491483452</v>
      </c>
      <c r="C5664">
        <v>47</v>
      </c>
      <c r="D5664" t="s">
        <v>16854</v>
      </c>
      <c r="E5664">
        <v>5897</v>
      </c>
      <c r="F5664" t="s">
        <v>23479</v>
      </c>
      <c r="G5664">
        <v>1</v>
      </c>
      <c r="H5664" t="s">
        <v>18885</v>
      </c>
      <c r="J5664" t="s">
        <v>7832</v>
      </c>
      <c r="K5664" t="s">
        <v>192</v>
      </c>
      <c r="L5664" t="s">
        <v>22</v>
      </c>
      <c r="M5664" t="s">
        <v>18886</v>
      </c>
      <c r="N5664" t="s">
        <v>18889</v>
      </c>
      <c r="O5664" t="s">
        <v>18890</v>
      </c>
      <c r="P5664" s="2" t="s">
        <v>165</v>
      </c>
      <c r="Q5664" t="s">
        <v>311</v>
      </c>
      <c r="R5664">
        <v>54.96</v>
      </c>
      <c r="S5664">
        <v>55.26</v>
      </c>
      <c r="T5664" t="s">
        <v>167</v>
      </c>
    </row>
    <row r="5665" spans="1:20" x14ac:dyDescent="0.25">
      <c r="A5665" s="1" t="str">
        <f>HYPERLINK("https://vegkart.atlas.vegvesen.no/#/@-30299.6,6726757.6,18/hva:hva%5B0%5D%5Bfilter%5D%5B0%5D%5Boperator%5D=%21%3D&amp;hva%5B0%5D%5Bfilter%5D%5B0%5D%5Btype_id%5D=5897&amp;hva%5B0%5D%5Bfilter%5D%5B0%5D%5Bverdi%5D=&amp;hva%5B0%5D%5Bid%5D=47/når:2015-03-24", "Vegkart")</f>
        <v>Vegkart</v>
      </c>
      <c r="B5665">
        <v>494047870</v>
      </c>
      <c r="C5665">
        <v>47</v>
      </c>
      <c r="D5665" t="s">
        <v>16854</v>
      </c>
      <c r="E5665">
        <v>5897</v>
      </c>
      <c r="F5665" t="s">
        <v>23479</v>
      </c>
      <c r="G5665">
        <v>2</v>
      </c>
      <c r="H5665" t="s">
        <v>5923</v>
      </c>
      <c r="J5665" t="s">
        <v>7832</v>
      </c>
      <c r="K5665" t="s">
        <v>21</v>
      </c>
      <c r="L5665" t="s">
        <v>33</v>
      </c>
      <c r="M5665" t="s">
        <v>18891</v>
      </c>
      <c r="N5665" t="s">
        <v>18892</v>
      </c>
      <c r="O5665" t="s">
        <v>18893</v>
      </c>
      <c r="P5665" s="2" t="s">
        <v>26</v>
      </c>
      <c r="Q5665" t="s">
        <v>50</v>
      </c>
      <c r="R5665">
        <v>36.74</v>
      </c>
      <c r="S5665">
        <v>36.74</v>
      </c>
      <c r="T5665" t="s">
        <v>18894</v>
      </c>
    </row>
    <row r="5666" spans="1:20" x14ac:dyDescent="0.25">
      <c r="A5666" s="1" t="str">
        <f>HYPERLINK("https://vegkart.atlas.vegvesen.no/#/@-9302.4,6649179.5,18/hva:hva%5B0%5D%5Bfilter%5D%5B0%5D%5Boperator%5D=%21%3D&amp;hva%5B0%5D%5Bfilter%5D%5B0%5D%5Btype_id%5D=5897&amp;hva%5B0%5D%5Bfilter%5D%5B0%5D%5Bverdi%5D=&amp;hva%5B0%5D%5Bid%5D=47/når:2021-08-23", "Vegkart")</f>
        <v>Vegkart</v>
      </c>
      <c r="B5666">
        <v>522333868</v>
      </c>
      <c r="C5666">
        <v>47</v>
      </c>
      <c r="D5666" t="s">
        <v>16854</v>
      </c>
      <c r="E5666">
        <v>5897</v>
      </c>
      <c r="F5666" t="s">
        <v>23479</v>
      </c>
      <c r="G5666">
        <v>3</v>
      </c>
      <c r="H5666" t="s">
        <v>18895</v>
      </c>
      <c r="J5666" t="s">
        <v>18896</v>
      </c>
      <c r="K5666" t="s">
        <v>21</v>
      </c>
      <c r="L5666" t="s">
        <v>33</v>
      </c>
      <c r="M5666" t="s">
        <v>18897</v>
      </c>
      <c r="N5666" t="s">
        <v>18898</v>
      </c>
      <c r="O5666" t="s">
        <v>18899</v>
      </c>
      <c r="P5666" s="2" t="s">
        <v>26</v>
      </c>
      <c r="Q5666" t="s">
        <v>50</v>
      </c>
      <c r="R5666">
        <v>76.86</v>
      </c>
      <c r="S5666">
        <v>79.05</v>
      </c>
      <c r="T5666" t="s">
        <v>18900</v>
      </c>
    </row>
    <row r="5667" spans="1:20" x14ac:dyDescent="0.25">
      <c r="A5667" s="1" t="str">
        <f>HYPERLINK("https://vegkart.atlas.vegvesen.no/#/@196672.4,6563857.1,18/hva:hva%5B0%5D%5Bfilter%5D%5B0%5D%5Boperator%5D=%21%3D&amp;hva%5B0%5D%5Bfilter%5D%5B0%5D%5Btype_id%5D=5897&amp;hva%5B0%5D%5Bfilter%5D%5B0%5D%5Bverdi%5D=&amp;hva%5B0%5D%5Bid%5D=47/når:2024-11-27", "Vegkart")</f>
        <v>Vegkart</v>
      </c>
      <c r="B5667">
        <v>524186898</v>
      </c>
      <c r="C5667">
        <v>47</v>
      </c>
      <c r="D5667" t="s">
        <v>16854</v>
      </c>
      <c r="E5667">
        <v>5897</v>
      </c>
      <c r="F5667" t="s">
        <v>23479</v>
      </c>
      <c r="G5667">
        <v>2</v>
      </c>
      <c r="H5667" t="s">
        <v>85</v>
      </c>
      <c r="J5667" t="s">
        <v>18896</v>
      </c>
      <c r="K5667" t="s">
        <v>197</v>
      </c>
      <c r="L5667" t="s">
        <v>33</v>
      </c>
      <c r="M5667" t="s">
        <v>18901</v>
      </c>
      <c r="N5667" t="s">
        <v>18902</v>
      </c>
      <c r="O5667" t="s">
        <v>18903</v>
      </c>
      <c r="P5667" s="2" t="s">
        <v>37</v>
      </c>
      <c r="Q5667" t="s">
        <v>1208</v>
      </c>
      <c r="R5667">
        <v>0</v>
      </c>
      <c r="S5667">
        <v>118.6</v>
      </c>
      <c r="T5667" t="s">
        <v>18904</v>
      </c>
    </row>
    <row r="5668" spans="1:20" x14ac:dyDescent="0.25">
      <c r="A5668" s="1" t="str">
        <f>HYPERLINK("https://vegkart.atlas.vegvesen.no/#/@195980.5,6566693.8,18/hva:hva%5B0%5D%5Bfilter%5D%5B0%5D%5Boperator%5D=%21%3D&amp;hva%5B0%5D%5Bfilter%5D%5B0%5D%5Btype_id%5D=5897&amp;hva%5B0%5D%5Bfilter%5D%5B0%5D%5Bverdi%5D=&amp;hva%5B0%5D%5Bid%5D=47/når:2023-03-21", "Vegkart")</f>
        <v>Vegkart</v>
      </c>
      <c r="B5668">
        <v>526822696</v>
      </c>
      <c r="C5668">
        <v>47</v>
      </c>
      <c r="D5668" t="s">
        <v>16854</v>
      </c>
      <c r="E5668">
        <v>5897</v>
      </c>
      <c r="F5668" t="s">
        <v>23479</v>
      </c>
      <c r="G5668">
        <v>3</v>
      </c>
      <c r="H5668" t="s">
        <v>2824</v>
      </c>
      <c r="J5668" t="s">
        <v>18896</v>
      </c>
      <c r="K5668" t="s">
        <v>197</v>
      </c>
      <c r="L5668" t="s">
        <v>33</v>
      </c>
      <c r="M5668" t="s">
        <v>132</v>
      </c>
      <c r="N5668" t="s">
        <v>18905</v>
      </c>
      <c r="O5668" t="s">
        <v>18906</v>
      </c>
      <c r="P5668" s="2" t="s">
        <v>165</v>
      </c>
      <c r="Q5668" t="s">
        <v>166</v>
      </c>
      <c r="R5668">
        <v>0</v>
      </c>
      <c r="S5668">
        <v>185.85</v>
      </c>
      <c r="T5668" t="s">
        <v>167</v>
      </c>
    </row>
    <row r="5669" spans="1:20" x14ac:dyDescent="0.25">
      <c r="A5669" s="1" t="str">
        <f>HYPERLINK("https://vegkart.atlas.vegvesen.no/#/@256193.7,6781532.6,18/hva:hva%5B0%5D%5Bfilter%5D%5B0%5D%5Boperator%5D=%21%3D&amp;hva%5B0%5D%5Bfilter%5D%5B0%5D%5Btype_id%5D=5897&amp;hva%5B0%5D%5Bfilter%5D%5B0%5D%5Bverdi%5D=&amp;hva%5B0%5D%5Bid%5D=47/når:2014-07-01", "Vegkart")</f>
        <v>Vegkart</v>
      </c>
      <c r="B5669">
        <v>535061417</v>
      </c>
      <c r="C5669">
        <v>47</v>
      </c>
      <c r="D5669" t="s">
        <v>16854</v>
      </c>
      <c r="E5669">
        <v>5897</v>
      </c>
      <c r="F5669" t="s">
        <v>23479</v>
      </c>
      <c r="G5669">
        <v>1</v>
      </c>
      <c r="H5669" t="s">
        <v>9611</v>
      </c>
      <c r="J5669" t="s">
        <v>18907</v>
      </c>
      <c r="K5669" t="s">
        <v>136</v>
      </c>
      <c r="L5669" t="s">
        <v>33</v>
      </c>
      <c r="M5669" t="s">
        <v>18908</v>
      </c>
      <c r="N5669" t="s">
        <v>18909</v>
      </c>
      <c r="O5669" t="s">
        <v>18910</v>
      </c>
      <c r="P5669" s="2" t="s">
        <v>26</v>
      </c>
      <c r="Q5669" t="s">
        <v>50</v>
      </c>
      <c r="R5669">
        <v>69.66</v>
      </c>
      <c r="S5669">
        <v>74.489999999999995</v>
      </c>
      <c r="T5669" t="s">
        <v>18911</v>
      </c>
    </row>
    <row r="5670" spans="1:20" x14ac:dyDescent="0.25">
      <c r="A5670" s="1" t="str">
        <f>HYPERLINK("https://vegkart.atlas.vegvesen.no/#/@256167.9,6781524.2,18/hva:hva%5B0%5D%5Bfilter%5D%5B0%5D%5Boperator%5D=%21%3D&amp;hva%5B0%5D%5Bfilter%5D%5B0%5D%5Btype_id%5D=5897&amp;hva%5B0%5D%5Bfilter%5D%5B0%5D%5Bverdi%5D=&amp;hva%5B0%5D%5Bid%5D=47/når:2014-08-01", "Vegkart")</f>
        <v>Vegkart</v>
      </c>
      <c r="B5670">
        <v>535166489</v>
      </c>
      <c r="C5670">
        <v>47</v>
      </c>
      <c r="D5670" t="s">
        <v>16854</v>
      </c>
      <c r="E5670">
        <v>5897</v>
      </c>
      <c r="F5670" t="s">
        <v>23479</v>
      </c>
      <c r="G5670">
        <v>1</v>
      </c>
      <c r="H5670" t="s">
        <v>6256</v>
      </c>
      <c r="J5670" t="s">
        <v>18907</v>
      </c>
      <c r="K5670" t="s">
        <v>136</v>
      </c>
      <c r="L5670" t="s">
        <v>33</v>
      </c>
      <c r="M5670" t="s">
        <v>18908</v>
      </c>
      <c r="N5670" t="s">
        <v>18912</v>
      </c>
      <c r="O5670" t="s">
        <v>18913</v>
      </c>
      <c r="P5670" s="2" t="s">
        <v>26</v>
      </c>
      <c r="Q5670" t="s">
        <v>50</v>
      </c>
      <c r="R5670">
        <v>62.55</v>
      </c>
      <c r="S5670">
        <v>62.92</v>
      </c>
      <c r="T5670" t="s">
        <v>18914</v>
      </c>
    </row>
    <row r="5671" spans="1:20" x14ac:dyDescent="0.25">
      <c r="A5671" s="1" t="str">
        <f>HYPERLINK("https://vegkart.atlas.vegvesen.no/#/@-31644.5,6733717.6,18/hva:hva%5B0%5D%5Bfilter%5D%5B0%5D%5Boperator%5D=%21%3D&amp;hva%5B0%5D%5Bfilter%5D%5B0%5D%5Btype_id%5D=5897&amp;hva%5B0%5D%5Bfilter%5D%5B0%5D%5Bverdi%5D=&amp;hva%5B0%5D%5Bid%5D=47/når:2014-08-13", "Vegkart")</f>
        <v>Vegkart</v>
      </c>
      <c r="B5671">
        <v>543573125</v>
      </c>
      <c r="C5671">
        <v>47</v>
      </c>
      <c r="D5671" t="s">
        <v>16854</v>
      </c>
      <c r="E5671">
        <v>5897</v>
      </c>
      <c r="F5671" t="s">
        <v>23479</v>
      </c>
      <c r="G5671">
        <v>1</v>
      </c>
      <c r="H5671" t="s">
        <v>18915</v>
      </c>
      <c r="J5671" t="s">
        <v>18907</v>
      </c>
      <c r="K5671" t="s">
        <v>21</v>
      </c>
      <c r="L5671" t="s">
        <v>33</v>
      </c>
      <c r="M5671" t="s">
        <v>18916</v>
      </c>
      <c r="N5671" t="s">
        <v>18917</v>
      </c>
      <c r="O5671" t="s">
        <v>18918</v>
      </c>
      <c r="P5671" s="2" t="s">
        <v>26</v>
      </c>
      <c r="Q5671" t="s">
        <v>50</v>
      </c>
      <c r="R5671">
        <v>20.87</v>
      </c>
      <c r="S5671">
        <v>23.5</v>
      </c>
      <c r="T5671" t="s">
        <v>18919</v>
      </c>
    </row>
    <row r="5672" spans="1:20" x14ac:dyDescent="0.25">
      <c r="A5672" s="1" t="str">
        <f>HYPERLINK("https://vegkart.atlas.vegvesen.no/#/@-31644.8,6733661.7,18/hva:hva%5B0%5D%5Bfilter%5D%5B0%5D%5Boperator%5D=%21%3D&amp;hva%5B0%5D%5Bfilter%5D%5B0%5D%5Btype_id%5D=5897&amp;hva%5B0%5D%5Bfilter%5D%5B0%5D%5Bverdi%5D=&amp;hva%5B0%5D%5Bid%5D=47/når:2014-08-13", "Vegkart")</f>
        <v>Vegkart</v>
      </c>
      <c r="B5672">
        <v>543573126</v>
      </c>
      <c r="C5672">
        <v>47</v>
      </c>
      <c r="D5672" t="s">
        <v>16854</v>
      </c>
      <c r="E5672">
        <v>5897</v>
      </c>
      <c r="F5672" t="s">
        <v>23479</v>
      </c>
      <c r="G5672">
        <v>1</v>
      </c>
      <c r="H5672" t="s">
        <v>18915</v>
      </c>
      <c r="J5672" t="s">
        <v>18907</v>
      </c>
      <c r="K5672" t="s">
        <v>21</v>
      </c>
      <c r="L5672" t="s">
        <v>33</v>
      </c>
      <c r="M5672" t="s">
        <v>18916</v>
      </c>
      <c r="N5672" t="s">
        <v>18920</v>
      </c>
      <c r="O5672" t="s">
        <v>18921</v>
      </c>
      <c r="P5672" s="2" t="s">
        <v>37</v>
      </c>
      <c r="Q5672" t="s">
        <v>1208</v>
      </c>
      <c r="R5672">
        <v>18.510000000000002</v>
      </c>
      <c r="S5672">
        <v>19.52</v>
      </c>
      <c r="T5672" t="s">
        <v>18922</v>
      </c>
    </row>
    <row r="5673" spans="1:20" x14ac:dyDescent="0.25">
      <c r="A5673" s="1" t="str">
        <f>HYPERLINK("https://vegkart.atlas.vegvesen.no/#/@-31645.4,6733610.2,18/hva:hva%5B0%5D%5Bfilter%5D%5B0%5D%5Boperator%5D=%21%3D&amp;hva%5B0%5D%5Bfilter%5D%5B0%5D%5Btype_id%5D=5897&amp;hva%5B0%5D%5Bfilter%5D%5B0%5D%5Bverdi%5D=&amp;hva%5B0%5D%5Bid%5D=47/når:2014-08-13", "Vegkart")</f>
        <v>Vegkart</v>
      </c>
      <c r="B5673">
        <v>543573127</v>
      </c>
      <c r="C5673">
        <v>47</v>
      </c>
      <c r="D5673" t="s">
        <v>16854</v>
      </c>
      <c r="E5673">
        <v>5897</v>
      </c>
      <c r="F5673" t="s">
        <v>23479</v>
      </c>
      <c r="G5673">
        <v>1</v>
      </c>
      <c r="H5673" t="s">
        <v>18915</v>
      </c>
      <c r="J5673" t="s">
        <v>18907</v>
      </c>
      <c r="K5673" t="s">
        <v>21</v>
      </c>
      <c r="L5673" t="s">
        <v>33</v>
      </c>
      <c r="M5673" t="s">
        <v>18916</v>
      </c>
      <c r="N5673" t="s">
        <v>18923</v>
      </c>
      <c r="O5673" t="s">
        <v>18924</v>
      </c>
      <c r="P5673" s="2" t="s">
        <v>26</v>
      </c>
      <c r="Q5673" t="s">
        <v>50</v>
      </c>
      <c r="R5673">
        <v>21.11</v>
      </c>
      <c r="S5673">
        <v>23.47</v>
      </c>
      <c r="T5673" t="s">
        <v>18925</v>
      </c>
    </row>
    <row r="5674" spans="1:20" x14ac:dyDescent="0.25">
      <c r="A5674" s="1" t="str">
        <f>HYPERLINK("https://vegkart.atlas.vegvesen.no/#/@-26671.7,6728930.6,18/hva:hva%5B0%5D%5Bfilter%5D%5B0%5D%5Boperator%5D=%21%3D&amp;hva%5B0%5D%5Bfilter%5D%5B0%5D%5Btype_id%5D=5897&amp;hva%5B0%5D%5Bfilter%5D%5B0%5D%5Bverdi%5D=&amp;hva%5B0%5D%5Bid%5D=47/når:2014-09-03", "Vegkart")</f>
        <v>Vegkart</v>
      </c>
      <c r="B5674">
        <v>551731223</v>
      </c>
      <c r="C5674">
        <v>47</v>
      </c>
      <c r="D5674" t="s">
        <v>16854</v>
      </c>
      <c r="E5674">
        <v>5897</v>
      </c>
      <c r="F5674" t="s">
        <v>23479</v>
      </c>
      <c r="G5674">
        <v>1</v>
      </c>
      <c r="H5674" t="s">
        <v>17453</v>
      </c>
      <c r="J5674" t="s">
        <v>18907</v>
      </c>
      <c r="K5674" t="s">
        <v>21</v>
      </c>
      <c r="L5674" t="s">
        <v>33</v>
      </c>
      <c r="M5674" t="s">
        <v>18926</v>
      </c>
      <c r="N5674" t="s">
        <v>18927</v>
      </c>
      <c r="O5674" t="s">
        <v>18928</v>
      </c>
      <c r="P5674" s="2" t="s">
        <v>26</v>
      </c>
      <c r="Q5674" t="s">
        <v>50</v>
      </c>
      <c r="R5674">
        <v>60.64</v>
      </c>
      <c r="S5674">
        <v>84.27</v>
      </c>
      <c r="T5674" t="s">
        <v>18929</v>
      </c>
    </row>
    <row r="5675" spans="1:20" x14ac:dyDescent="0.25">
      <c r="A5675" s="1" t="str">
        <f>HYPERLINK("https://vegkart.atlas.vegvesen.no/#/@196834.6,6554745.2,18/hva:hva%5B0%5D%5Bfilter%5D%5B0%5D%5Boperator%5D=%21%3D&amp;hva%5B0%5D%5Bfilter%5D%5B0%5D%5Btype_id%5D=5897&amp;hva%5B0%5D%5Bfilter%5D%5B0%5D%5Bverdi%5D=&amp;hva%5B0%5D%5Bid%5D=47/når:2022-07-26", "Vegkart")</f>
        <v>Vegkart</v>
      </c>
      <c r="B5675">
        <v>556227042</v>
      </c>
      <c r="C5675">
        <v>47</v>
      </c>
      <c r="D5675" t="s">
        <v>16854</v>
      </c>
      <c r="E5675">
        <v>5897</v>
      </c>
      <c r="F5675" t="s">
        <v>23479</v>
      </c>
      <c r="G5675">
        <v>2</v>
      </c>
      <c r="H5675" t="s">
        <v>1982</v>
      </c>
      <c r="J5675" t="s">
        <v>18907</v>
      </c>
      <c r="K5675" t="s">
        <v>197</v>
      </c>
      <c r="L5675" t="s">
        <v>33</v>
      </c>
      <c r="M5675" t="s">
        <v>1978</v>
      </c>
      <c r="N5675" t="s">
        <v>18930</v>
      </c>
      <c r="O5675" t="s">
        <v>18931</v>
      </c>
      <c r="P5675" s="2" t="s">
        <v>37</v>
      </c>
      <c r="Q5675" t="s">
        <v>1208</v>
      </c>
      <c r="R5675">
        <v>0</v>
      </c>
      <c r="S5675">
        <v>107.09</v>
      </c>
      <c r="T5675" t="s">
        <v>18932</v>
      </c>
    </row>
    <row r="5676" spans="1:20" x14ac:dyDescent="0.25">
      <c r="A5676" s="1" t="str">
        <f>HYPERLINK("https://vegkart.atlas.vegvesen.no/#/@254227.9,6800765.6,18/hva:hva%5B0%5D%5Bfilter%5D%5B0%5D%5Boperator%5D=%21%3D&amp;hva%5B0%5D%5Bfilter%5D%5B0%5D%5Btype_id%5D=5897&amp;hva%5B0%5D%5Bfilter%5D%5B0%5D%5Bverdi%5D=&amp;hva%5B0%5D%5Bid%5D=47/når:2012-12-12", "Vegkart")</f>
        <v>Vegkart</v>
      </c>
      <c r="B5676">
        <v>557326815</v>
      </c>
      <c r="C5676">
        <v>47</v>
      </c>
      <c r="D5676" t="s">
        <v>16854</v>
      </c>
      <c r="E5676">
        <v>5897</v>
      </c>
      <c r="F5676" t="s">
        <v>23479</v>
      </c>
      <c r="G5676">
        <v>1</v>
      </c>
      <c r="H5676" t="s">
        <v>1422</v>
      </c>
      <c r="J5676" t="s">
        <v>18933</v>
      </c>
      <c r="K5676" t="s">
        <v>136</v>
      </c>
      <c r="L5676" t="s">
        <v>33</v>
      </c>
      <c r="M5676" t="s">
        <v>8483</v>
      </c>
      <c r="N5676" t="s">
        <v>18934</v>
      </c>
      <c r="O5676" t="s">
        <v>18935</v>
      </c>
      <c r="P5676" s="2" t="s">
        <v>26</v>
      </c>
      <c r="Q5676" t="s">
        <v>50</v>
      </c>
      <c r="R5676">
        <v>54.62</v>
      </c>
      <c r="S5676">
        <v>54.97</v>
      </c>
      <c r="T5676" t="s">
        <v>18936</v>
      </c>
    </row>
    <row r="5677" spans="1:20" x14ac:dyDescent="0.25">
      <c r="A5677" s="1" t="str">
        <f>HYPERLINK("https://vegkart.atlas.vegvesen.no/#/@254202.2,6800798.1,18/hva:hva%5B0%5D%5Bfilter%5D%5B0%5D%5Boperator%5D=%21%3D&amp;hva%5B0%5D%5Bfilter%5D%5B0%5D%5Btype_id%5D=5897&amp;hva%5B0%5D%5Bfilter%5D%5B0%5D%5Bverdi%5D=&amp;hva%5B0%5D%5Bid%5D=47/når:2012-12-12", "Vegkart")</f>
        <v>Vegkart</v>
      </c>
      <c r="B5677">
        <v>557326816</v>
      </c>
      <c r="C5677">
        <v>47</v>
      </c>
      <c r="D5677" t="s">
        <v>16854</v>
      </c>
      <c r="E5677">
        <v>5897</v>
      </c>
      <c r="F5677" t="s">
        <v>23479</v>
      </c>
      <c r="G5677">
        <v>1</v>
      </c>
      <c r="H5677" t="s">
        <v>1422</v>
      </c>
      <c r="J5677" t="s">
        <v>18933</v>
      </c>
      <c r="K5677" t="s">
        <v>136</v>
      </c>
      <c r="L5677" t="s">
        <v>33</v>
      </c>
      <c r="M5677" t="s">
        <v>8483</v>
      </c>
      <c r="N5677" t="s">
        <v>18937</v>
      </c>
      <c r="O5677" t="s">
        <v>18938</v>
      </c>
      <c r="P5677" s="2" t="s">
        <v>26</v>
      </c>
      <c r="Q5677" t="s">
        <v>50</v>
      </c>
      <c r="R5677">
        <v>54.35</v>
      </c>
      <c r="S5677">
        <v>54.67</v>
      </c>
      <c r="T5677" t="s">
        <v>18939</v>
      </c>
    </row>
    <row r="5678" spans="1:20" x14ac:dyDescent="0.25">
      <c r="A5678" s="1" t="str">
        <f>HYPERLINK("https://vegkart.atlas.vegvesen.no/#/@253943.8,6801283.4,18/hva:hva%5B0%5D%5Bfilter%5D%5B0%5D%5Boperator%5D=%21%3D&amp;hva%5B0%5D%5Bfilter%5D%5B0%5D%5Btype_id%5D=5897&amp;hva%5B0%5D%5Bfilter%5D%5B0%5D%5Bverdi%5D=&amp;hva%5B0%5D%5Bid%5D=47/når:2012-12-12", "Vegkart")</f>
        <v>Vegkart</v>
      </c>
      <c r="B5678">
        <v>557326826</v>
      </c>
      <c r="C5678">
        <v>47</v>
      </c>
      <c r="D5678" t="s">
        <v>16854</v>
      </c>
      <c r="E5678">
        <v>5897</v>
      </c>
      <c r="F5678" t="s">
        <v>23479</v>
      </c>
      <c r="G5678">
        <v>1</v>
      </c>
      <c r="H5678" t="s">
        <v>1422</v>
      </c>
      <c r="J5678" t="s">
        <v>18940</v>
      </c>
      <c r="K5678" t="s">
        <v>136</v>
      </c>
      <c r="L5678" t="s">
        <v>33</v>
      </c>
      <c r="M5678" t="s">
        <v>8483</v>
      </c>
      <c r="N5678" t="s">
        <v>18941</v>
      </c>
      <c r="O5678" t="s">
        <v>18942</v>
      </c>
      <c r="P5678" s="2" t="s">
        <v>26</v>
      </c>
      <c r="Q5678" t="s">
        <v>50</v>
      </c>
      <c r="R5678">
        <v>45.17</v>
      </c>
      <c r="S5678">
        <v>45.17</v>
      </c>
      <c r="T5678" t="s">
        <v>18943</v>
      </c>
    </row>
    <row r="5679" spans="1:20" x14ac:dyDescent="0.25">
      <c r="A5679" s="1" t="str">
        <f>HYPERLINK("https://vegkart.atlas.vegvesen.no/#/@197277.9,6553841.2,18/hva:hva%5B0%5D%5Bfilter%5D%5B0%5D%5Boperator%5D=%21%3D&amp;hva%5B0%5D%5Bfilter%5D%5B0%5D%5Btype_id%5D=5897&amp;hva%5B0%5D%5Bfilter%5D%5B0%5D%5Bverdi%5D=&amp;hva%5B0%5D%5Bid%5D=47/når:2022-12-06", "Vegkart")</f>
        <v>Vegkart</v>
      </c>
      <c r="B5679">
        <v>564998314</v>
      </c>
      <c r="C5679">
        <v>47</v>
      </c>
      <c r="D5679" t="s">
        <v>16854</v>
      </c>
      <c r="E5679">
        <v>5897</v>
      </c>
      <c r="F5679" t="s">
        <v>23479</v>
      </c>
      <c r="G5679">
        <v>2</v>
      </c>
      <c r="H5679" t="s">
        <v>17967</v>
      </c>
      <c r="J5679" t="s">
        <v>18933</v>
      </c>
      <c r="K5679" t="s">
        <v>197</v>
      </c>
      <c r="L5679" t="s">
        <v>33</v>
      </c>
      <c r="M5679" t="s">
        <v>1978</v>
      </c>
      <c r="N5679" t="s">
        <v>18944</v>
      </c>
      <c r="O5679" t="s">
        <v>18945</v>
      </c>
      <c r="P5679" s="2" t="s">
        <v>37</v>
      </c>
      <c r="Q5679" t="s">
        <v>1208</v>
      </c>
      <c r="R5679">
        <v>0</v>
      </c>
      <c r="S5679">
        <v>121.31</v>
      </c>
      <c r="T5679" t="s">
        <v>18946</v>
      </c>
    </row>
    <row r="5680" spans="1:20" x14ac:dyDescent="0.25">
      <c r="A5680" s="1" t="str">
        <f>HYPERLINK("https://vegkart.atlas.vegvesen.no/#/@232320.0,6577973.8,18/hva:hva%5B0%5D%5Bfilter%5D%5B0%5D%5Boperator%5D=%21%3D&amp;hva%5B0%5D%5Bfilter%5D%5B0%5D%5Btype_id%5D=5897&amp;hva%5B0%5D%5Bfilter%5D%5B0%5D%5Bverdi%5D=&amp;hva%5B0%5D%5Bid%5D=47/når:2013-11-08", "Vegkart")</f>
        <v>Vegkart</v>
      </c>
      <c r="B5680">
        <v>565275118</v>
      </c>
      <c r="C5680">
        <v>47</v>
      </c>
      <c r="D5680" t="s">
        <v>16854</v>
      </c>
      <c r="E5680">
        <v>5897</v>
      </c>
      <c r="F5680" t="s">
        <v>23479</v>
      </c>
      <c r="G5680">
        <v>1</v>
      </c>
      <c r="H5680" t="s">
        <v>18947</v>
      </c>
      <c r="J5680" t="s">
        <v>18933</v>
      </c>
      <c r="K5680" t="s">
        <v>81</v>
      </c>
      <c r="L5680" t="s">
        <v>33</v>
      </c>
      <c r="M5680" t="s">
        <v>4333</v>
      </c>
      <c r="N5680" t="s">
        <v>18948</v>
      </c>
      <c r="O5680" t="s">
        <v>18949</v>
      </c>
      <c r="P5680" s="2" t="s">
        <v>26</v>
      </c>
      <c r="Q5680" t="s">
        <v>50</v>
      </c>
      <c r="R5680">
        <v>52.13</v>
      </c>
      <c r="S5680">
        <v>53.87</v>
      </c>
      <c r="T5680" t="s">
        <v>18950</v>
      </c>
    </row>
    <row r="5681" spans="1:20" x14ac:dyDescent="0.25">
      <c r="A5681" s="1" t="str">
        <f>HYPERLINK("https://vegkart.atlas.vegvesen.no/#/@553569.4,7648780.9,18/hva:hva%5B0%5D%5Bfilter%5D%5B0%5D%5Boperator%5D=%21%3D&amp;hva%5B0%5D%5Bfilter%5D%5B0%5D%5Btype_id%5D=5897&amp;hva%5B0%5D%5Bfilter%5D%5B0%5D%5Bverdi%5D=&amp;hva%5B0%5D%5Bid%5D=47/når:2025-12-24", "Vegkart")</f>
        <v>Vegkart</v>
      </c>
      <c r="B5681">
        <v>567233509</v>
      </c>
      <c r="C5681">
        <v>47</v>
      </c>
      <c r="D5681" t="s">
        <v>16854</v>
      </c>
      <c r="E5681">
        <v>5897</v>
      </c>
      <c r="F5681" t="s">
        <v>23479</v>
      </c>
      <c r="G5681">
        <v>2</v>
      </c>
      <c r="H5681" t="s">
        <v>18135</v>
      </c>
      <c r="J5681" t="s">
        <v>18136</v>
      </c>
      <c r="K5681" t="s">
        <v>179</v>
      </c>
      <c r="L5681" t="s">
        <v>33</v>
      </c>
      <c r="M5681" t="s">
        <v>18168</v>
      </c>
      <c r="N5681" t="s">
        <v>18951</v>
      </c>
      <c r="O5681" t="s">
        <v>18952</v>
      </c>
      <c r="P5681" s="2" t="s">
        <v>26</v>
      </c>
      <c r="Q5681" t="s">
        <v>50</v>
      </c>
      <c r="R5681">
        <v>29.94</v>
      </c>
      <c r="S5681">
        <v>29.94</v>
      </c>
      <c r="T5681" t="s">
        <v>18953</v>
      </c>
    </row>
    <row r="5682" spans="1:20" x14ac:dyDescent="0.25">
      <c r="A5682" s="1" t="str">
        <f>HYPERLINK("https://vegkart.atlas.vegvesen.no/#/@553373.3,7648936.8,18/hva:hva%5B0%5D%5Bfilter%5D%5B0%5D%5Boperator%5D=%21%3D&amp;hva%5B0%5D%5Bfilter%5D%5B0%5D%5Btype_id%5D=5897&amp;hva%5B0%5D%5Bfilter%5D%5B0%5D%5Bverdi%5D=&amp;hva%5B0%5D%5Bid%5D=47/når:2025-12-24", "Vegkart")</f>
        <v>Vegkart</v>
      </c>
      <c r="B5682">
        <v>567233526</v>
      </c>
      <c r="C5682">
        <v>47</v>
      </c>
      <c r="D5682" t="s">
        <v>16854</v>
      </c>
      <c r="E5682">
        <v>5897</v>
      </c>
      <c r="F5682" t="s">
        <v>23479</v>
      </c>
      <c r="G5682">
        <v>2</v>
      </c>
      <c r="H5682" t="s">
        <v>18135</v>
      </c>
      <c r="J5682" t="s">
        <v>18136</v>
      </c>
      <c r="K5682" t="s">
        <v>179</v>
      </c>
      <c r="L5682" t="s">
        <v>33</v>
      </c>
      <c r="M5682" t="s">
        <v>18168</v>
      </c>
      <c r="N5682" t="s">
        <v>18954</v>
      </c>
      <c r="O5682" t="s">
        <v>18955</v>
      </c>
      <c r="P5682" s="2" t="s">
        <v>26</v>
      </c>
      <c r="Q5682" t="s">
        <v>50</v>
      </c>
      <c r="R5682">
        <v>35.93</v>
      </c>
      <c r="S5682">
        <v>35.93</v>
      </c>
      <c r="T5682" t="s">
        <v>18956</v>
      </c>
    </row>
    <row r="5683" spans="1:20" x14ac:dyDescent="0.25">
      <c r="A5683" s="1" t="str">
        <f>HYPERLINK("https://vegkart.atlas.vegvesen.no/#/@553017.0,7649220.0,18/hva:hva%5B0%5D%5Bfilter%5D%5B0%5D%5Boperator%5D=%21%3D&amp;hva%5B0%5D%5Bfilter%5D%5B0%5D%5Btype_id%5D=5897&amp;hva%5B0%5D%5Bfilter%5D%5B0%5D%5Bverdi%5D=&amp;hva%5B0%5D%5Bid%5D=47/når:2025-12-24", "Vegkart")</f>
        <v>Vegkart</v>
      </c>
      <c r="B5683">
        <v>567233564</v>
      </c>
      <c r="C5683">
        <v>47</v>
      </c>
      <c r="D5683" t="s">
        <v>16854</v>
      </c>
      <c r="E5683">
        <v>5897</v>
      </c>
      <c r="F5683" t="s">
        <v>23479</v>
      </c>
      <c r="G5683">
        <v>2</v>
      </c>
      <c r="H5683" t="s">
        <v>18135</v>
      </c>
      <c r="J5683" t="s">
        <v>18136</v>
      </c>
      <c r="K5683" t="s">
        <v>179</v>
      </c>
      <c r="L5683" t="s">
        <v>33</v>
      </c>
      <c r="M5683" t="s">
        <v>18168</v>
      </c>
      <c r="N5683" t="s">
        <v>18957</v>
      </c>
      <c r="O5683" t="s">
        <v>18958</v>
      </c>
      <c r="P5683" s="2" t="s">
        <v>26</v>
      </c>
      <c r="Q5683" t="s">
        <v>50</v>
      </c>
      <c r="R5683">
        <v>41.92</v>
      </c>
      <c r="S5683">
        <v>41.92</v>
      </c>
      <c r="T5683" t="s">
        <v>18959</v>
      </c>
    </row>
    <row r="5684" spans="1:20" x14ac:dyDescent="0.25">
      <c r="A5684" s="1" t="str">
        <f>HYPERLINK("https://vegkart.atlas.vegvesen.no/#/@274312.6,7041043.6,18/hva:hva%5B0%5D%5Bfilter%5D%5B0%5D%5Boperator%5D=%21%3D&amp;hva%5B0%5D%5Bfilter%5D%5B0%5D%5Btype_id%5D=5897&amp;hva%5B0%5D%5Bfilter%5D%5B0%5D%5Bverdi%5D=&amp;hva%5B0%5D%5Bid%5D=47/når:2014-05-22", "Vegkart")</f>
        <v>Vegkart</v>
      </c>
      <c r="B5684">
        <v>568900580</v>
      </c>
      <c r="C5684">
        <v>47</v>
      </c>
      <c r="D5684" t="s">
        <v>16854</v>
      </c>
      <c r="E5684">
        <v>5897</v>
      </c>
      <c r="F5684" t="s">
        <v>23479</v>
      </c>
      <c r="G5684">
        <v>1</v>
      </c>
      <c r="H5684" t="s">
        <v>13669</v>
      </c>
      <c r="J5684" t="s">
        <v>18933</v>
      </c>
      <c r="K5684" t="s">
        <v>192</v>
      </c>
      <c r="L5684" t="s">
        <v>80</v>
      </c>
      <c r="M5684" t="s">
        <v>105</v>
      </c>
      <c r="N5684" t="s">
        <v>18960</v>
      </c>
      <c r="O5684" t="s">
        <v>18961</v>
      </c>
      <c r="P5684" s="2" t="s">
        <v>165</v>
      </c>
      <c r="Q5684" t="s">
        <v>166</v>
      </c>
      <c r="R5684">
        <v>47.45</v>
      </c>
      <c r="S5684">
        <v>47.49</v>
      </c>
      <c r="T5684" t="s">
        <v>167</v>
      </c>
    </row>
    <row r="5685" spans="1:20" x14ac:dyDescent="0.25">
      <c r="A5685" s="1" t="str">
        <f>HYPERLINK("https://vegkart.atlas.vegvesen.no/#/@191731.3,6575614.5,18/hva:hva%5B0%5D%5Bfilter%5D%5B0%5D%5Boperator%5D=%21%3D&amp;hva%5B0%5D%5Bfilter%5D%5B0%5D%5Btype_id%5D=5897&amp;hva%5B0%5D%5Bfilter%5D%5B0%5D%5Bverdi%5D=&amp;hva%5B0%5D%5Bid%5D=47/når:2022-11-30", "Vegkart")</f>
        <v>Vegkart</v>
      </c>
      <c r="B5685">
        <v>568974107</v>
      </c>
      <c r="C5685">
        <v>47</v>
      </c>
      <c r="D5685" t="s">
        <v>16854</v>
      </c>
      <c r="E5685">
        <v>5897</v>
      </c>
      <c r="F5685" t="s">
        <v>23479</v>
      </c>
      <c r="G5685">
        <v>2</v>
      </c>
      <c r="H5685" t="s">
        <v>17992</v>
      </c>
      <c r="J5685" t="s">
        <v>18933</v>
      </c>
      <c r="K5685" t="s">
        <v>197</v>
      </c>
      <c r="L5685" t="s">
        <v>33</v>
      </c>
      <c r="M5685" t="s">
        <v>1902</v>
      </c>
      <c r="N5685" t="s">
        <v>18962</v>
      </c>
      <c r="O5685" t="s">
        <v>18963</v>
      </c>
      <c r="P5685" s="2" t="s">
        <v>26</v>
      </c>
      <c r="Q5685" t="s">
        <v>50</v>
      </c>
      <c r="R5685">
        <v>45.29</v>
      </c>
      <c r="S5685">
        <v>45.78</v>
      </c>
      <c r="T5685" t="s">
        <v>18964</v>
      </c>
    </row>
    <row r="5686" spans="1:20" x14ac:dyDescent="0.25">
      <c r="A5686" s="1" t="str">
        <f>HYPERLINK("https://vegkart.atlas.vegvesen.no/#/@295763.7,6721362.3,18/hva:hva%5B0%5D%5Bfilter%5D%5B0%5D%5Boperator%5D=%21%3D&amp;hva%5B0%5D%5Bfilter%5D%5B0%5D%5Btype_id%5D=5897&amp;hva%5B0%5D%5Bfilter%5D%5B0%5D%5Bverdi%5D=&amp;hva%5B0%5D%5Bid%5D=47/når:2014-09-11", "Vegkart")</f>
        <v>Vegkart</v>
      </c>
      <c r="B5686">
        <v>569353534</v>
      </c>
      <c r="C5686">
        <v>47</v>
      </c>
      <c r="D5686" t="s">
        <v>16854</v>
      </c>
      <c r="E5686">
        <v>5897</v>
      </c>
      <c r="F5686" t="s">
        <v>23479</v>
      </c>
      <c r="G5686">
        <v>1</v>
      </c>
      <c r="H5686" t="s">
        <v>18965</v>
      </c>
      <c r="J5686" t="s">
        <v>18933</v>
      </c>
      <c r="K5686" t="s">
        <v>136</v>
      </c>
      <c r="L5686" t="s">
        <v>80</v>
      </c>
      <c r="M5686" t="s">
        <v>105</v>
      </c>
      <c r="N5686" t="s">
        <v>18966</v>
      </c>
      <c r="O5686" t="s">
        <v>18967</v>
      </c>
      <c r="P5686" s="2" t="s">
        <v>26</v>
      </c>
      <c r="Q5686" t="s">
        <v>50</v>
      </c>
      <c r="R5686">
        <v>90.34</v>
      </c>
      <c r="S5686">
        <v>90.34</v>
      </c>
      <c r="T5686" t="s">
        <v>18968</v>
      </c>
    </row>
    <row r="5687" spans="1:20" x14ac:dyDescent="0.25">
      <c r="A5687" s="1" t="str">
        <f>HYPERLINK("https://vegkart.atlas.vegvesen.no/#/@295761.8,6721402.8,18/hva:hva%5B0%5D%5Bfilter%5D%5B0%5D%5Boperator%5D=%21%3D&amp;hva%5B0%5D%5Bfilter%5D%5B0%5D%5Btype_id%5D=5897&amp;hva%5B0%5D%5Bfilter%5D%5B0%5D%5Bverdi%5D=&amp;hva%5B0%5D%5Bid%5D=47/når:2014-09-11", "Vegkart")</f>
        <v>Vegkart</v>
      </c>
      <c r="B5687">
        <v>569353535</v>
      </c>
      <c r="C5687">
        <v>47</v>
      </c>
      <c r="D5687" t="s">
        <v>16854</v>
      </c>
      <c r="E5687">
        <v>5897</v>
      </c>
      <c r="F5687" t="s">
        <v>23479</v>
      </c>
      <c r="G5687">
        <v>1</v>
      </c>
      <c r="H5687" t="s">
        <v>18965</v>
      </c>
      <c r="J5687" t="s">
        <v>18933</v>
      </c>
      <c r="K5687" t="s">
        <v>136</v>
      </c>
      <c r="L5687" t="s">
        <v>80</v>
      </c>
      <c r="M5687" t="s">
        <v>105</v>
      </c>
      <c r="N5687" t="s">
        <v>18969</v>
      </c>
      <c r="O5687" t="s">
        <v>18970</v>
      </c>
      <c r="P5687" s="2" t="s">
        <v>26</v>
      </c>
      <c r="Q5687" t="s">
        <v>50</v>
      </c>
      <c r="R5687">
        <v>89.24</v>
      </c>
      <c r="S5687">
        <v>89.24</v>
      </c>
      <c r="T5687" t="s">
        <v>18971</v>
      </c>
    </row>
    <row r="5688" spans="1:20" x14ac:dyDescent="0.25">
      <c r="A5688" s="1" t="str">
        <f>HYPERLINK("https://vegkart.atlas.vegvesen.no/#/@295914.0,6721563.0,18/hva:hva%5B0%5D%5Bfilter%5D%5B0%5D%5Boperator%5D=%21%3D&amp;hva%5B0%5D%5Bfilter%5D%5B0%5D%5Btype_id%5D=5897&amp;hva%5B0%5D%5Bfilter%5D%5B0%5D%5Bverdi%5D=&amp;hva%5B0%5D%5Bid%5D=47/når:2014-09-11", "Vegkart")</f>
        <v>Vegkart</v>
      </c>
      <c r="B5688">
        <v>569353536</v>
      </c>
      <c r="C5688">
        <v>47</v>
      </c>
      <c r="D5688" t="s">
        <v>16854</v>
      </c>
      <c r="E5688">
        <v>5897</v>
      </c>
      <c r="F5688" t="s">
        <v>23479</v>
      </c>
      <c r="G5688">
        <v>1</v>
      </c>
      <c r="H5688" t="s">
        <v>18965</v>
      </c>
      <c r="J5688" t="s">
        <v>18933</v>
      </c>
      <c r="K5688" t="s">
        <v>136</v>
      </c>
      <c r="L5688" t="s">
        <v>80</v>
      </c>
      <c r="M5688" t="s">
        <v>105</v>
      </c>
      <c r="N5688" t="s">
        <v>18972</v>
      </c>
      <c r="O5688" t="s">
        <v>18973</v>
      </c>
      <c r="P5688" s="2" t="s">
        <v>26</v>
      </c>
      <c r="Q5688" t="s">
        <v>50</v>
      </c>
      <c r="R5688">
        <v>90.34</v>
      </c>
      <c r="S5688">
        <v>90.34</v>
      </c>
      <c r="T5688" t="s">
        <v>18974</v>
      </c>
    </row>
    <row r="5689" spans="1:20" x14ac:dyDescent="0.25">
      <c r="A5689" s="1" t="str">
        <f>HYPERLINK("https://vegkart.atlas.vegvesen.no/#/@295907.6,6721603.0,18/hva:hva%5B0%5D%5Bfilter%5D%5B0%5D%5Boperator%5D=%21%3D&amp;hva%5B0%5D%5Bfilter%5D%5B0%5D%5Btype_id%5D=5897&amp;hva%5B0%5D%5Bfilter%5D%5B0%5D%5Bverdi%5D=&amp;hva%5B0%5D%5Bid%5D=47/når:2014-09-11", "Vegkart")</f>
        <v>Vegkart</v>
      </c>
      <c r="B5689">
        <v>569353537</v>
      </c>
      <c r="C5689">
        <v>47</v>
      </c>
      <c r="D5689" t="s">
        <v>16854</v>
      </c>
      <c r="E5689">
        <v>5897</v>
      </c>
      <c r="F5689" t="s">
        <v>23479</v>
      </c>
      <c r="G5689">
        <v>1</v>
      </c>
      <c r="H5689" t="s">
        <v>18965</v>
      </c>
      <c r="J5689" t="s">
        <v>18933</v>
      </c>
      <c r="K5689" t="s">
        <v>136</v>
      </c>
      <c r="L5689" t="s">
        <v>80</v>
      </c>
      <c r="M5689" t="s">
        <v>105</v>
      </c>
      <c r="N5689" t="s">
        <v>18975</v>
      </c>
      <c r="O5689" t="s">
        <v>18976</v>
      </c>
      <c r="P5689" s="2" t="s">
        <v>26</v>
      </c>
      <c r="Q5689" t="s">
        <v>50</v>
      </c>
      <c r="R5689">
        <v>89.23</v>
      </c>
      <c r="S5689">
        <v>89.23</v>
      </c>
      <c r="T5689" t="s">
        <v>18977</v>
      </c>
    </row>
    <row r="5690" spans="1:20" x14ac:dyDescent="0.25">
      <c r="A5690" s="1" t="str">
        <f>HYPERLINK("https://vegkart.atlas.vegvesen.no/#/@204490.9,6753468.5,18/hva:hva%5B0%5D%5Bfilter%5D%5B0%5D%5Boperator%5D=%21%3D&amp;hva%5B0%5D%5Bfilter%5D%5B0%5D%5Btype_id%5D=5897&amp;hva%5B0%5D%5Bfilter%5D%5B0%5D%5Bverdi%5D=&amp;hva%5B0%5D%5Bid%5D=47/når:2014-10-07", "Vegkart")</f>
        <v>Vegkart</v>
      </c>
      <c r="B5690">
        <v>570197292</v>
      </c>
      <c r="C5690">
        <v>47</v>
      </c>
      <c r="D5690" t="s">
        <v>16854</v>
      </c>
      <c r="E5690">
        <v>5897</v>
      </c>
      <c r="F5690" t="s">
        <v>23479</v>
      </c>
      <c r="G5690">
        <v>1</v>
      </c>
      <c r="H5690" t="s">
        <v>18978</v>
      </c>
      <c r="J5690" t="s">
        <v>18933</v>
      </c>
      <c r="K5690" t="s">
        <v>136</v>
      </c>
      <c r="L5690" t="s">
        <v>80</v>
      </c>
      <c r="M5690" t="s">
        <v>152</v>
      </c>
      <c r="N5690" t="s">
        <v>18979</v>
      </c>
      <c r="O5690" t="s">
        <v>18980</v>
      </c>
      <c r="P5690" s="2" t="s">
        <v>26</v>
      </c>
      <c r="Q5690" t="s">
        <v>50</v>
      </c>
      <c r="R5690">
        <v>90.33</v>
      </c>
      <c r="S5690">
        <v>90.63</v>
      </c>
      <c r="T5690" t="s">
        <v>18981</v>
      </c>
    </row>
    <row r="5691" spans="1:20" x14ac:dyDescent="0.25">
      <c r="A5691" s="1" t="str">
        <f>HYPERLINK("https://vegkart.atlas.vegvesen.no/#/@204419.6,6753204.4,18/hva:hva%5B0%5D%5Bfilter%5D%5B0%5D%5Boperator%5D=%21%3D&amp;hva%5B0%5D%5Bfilter%5D%5B0%5D%5Btype_id%5D=5897&amp;hva%5B0%5D%5Bfilter%5D%5B0%5D%5Bverdi%5D=&amp;hva%5B0%5D%5Bid%5D=47/når:2014-10-07", "Vegkart")</f>
        <v>Vegkart</v>
      </c>
      <c r="B5691">
        <v>570197293</v>
      </c>
      <c r="C5691">
        <v>47</v>
      </c>
      <c r="D5691" t="s">
        <v>16854</v>
      </c>
      <c r="E5691">
        <v>5897</v>
      </c>
      <c r="F5691" t="s">
        <v>23479</v>
      </c>
      <c r="G5691">
        <v>1</v>
      </c>
      <c r="H5691" t="s">
        <v>18978</v>
      </c>
      <c r="J5691" t="s">
        <v>18933</v>
      </c>
      <c r="K5691" t="s">
        <v>136</v>
      </c>
      <c r="L5691" t="s">
        <v>80</v>
      </c>
      <c r="M5691" t="s">
        <v>152</v>
      </c>
      <c r="N5691" t="s">
        <v>18982</v>
      </c>
      <c r="O5691" t="s">
        <v>18983</v>
      </c>
      <c r="P5691" s="2" t="s">
        <v>26</v>
      </c>
      <c r="Q5691" t="s">
        <v>50</v>
      </c>
      <c r="R5691">
        <v>90.68</v>
      </c>
      <c r="S5691">
        <v>91.46</v>
      </c>
      <c r="T5691" t="s">
        <v>18984</v>
      </c>
    </row>
    <row r="5692" spans="1:20" x14ac:dyDescent="0.25">
      <c r="A5692" s="1" t="str">
        <f>HYPERLINK("https://vegkart.atlas.vegvesen.no/#/@273543.6,7040123.6,18/hva:hva%5B0%5D%5Bfilter%5D%5B0%5D%5Boperator%5D=%21%3D&amp;hva%5B0%5D%5Bfilter%5D%5B0%5D%5Btype_id%5D=5897&amp;hva%5B0%5D%5Bfilter%5D%5B0%5D%5Bverdi%5D=&amp;hva%5B0%5D%5Bid%5D=47/når:2014-10-20", "Vegkart")</f>
        <v>Vegkart</v>
      </c>
      <c r="B5692">
        <v>570846808</v>
      </c>
      <c r="C5692">
        <v>47</v>
      </c>
      <c r="D5692" t="s">
        <v>16854</v>
      </c>
      <c r="E5692">
        <v>5897</v>
      </c>
      <c r="F5692" t="s">
        <v>23479</v>
      </c>
      <c r="G5692">
        <v>1</v>
      </c>
      <c r="H5692" t="s">
        <v>18985</v>
      </c>
      <c r="J5692" t="s">
        <v>18933</v>
      </c>
      <c r="K5692" t="s">
        <v>192</v>
      </c>
      <c r="L5692" t="s">
        <v>22</v>
      </c>
      <c r="M5692" t="s">
        <v>18986</v>
      </c>
      <c r="N5692" t="s">
        <v>18987</v>
      </c>
      <c r="O5692" t="s">
        <v>18988</v>
      </c>
      <c r="P5692" s="2" t="s">
        <v>26</v>
      </c>
      <c r="Q5692" t="s">
        <v>50</v>
      </c>
      <c r="R5692">
        <v>45.65</v>
      </c>
      <c r="S5692">
        <v>45.99</v>
      </c>
      <c r="T5692" t="s">
        <v>18989</v>
      </c>
    </row>
    <row r="5693" spans="1:20" x14ac:dyDescent="0.25">
      <c r="A5693" s="1" t="str">
        <f>HYPERLINK("https://vegkart.atlas.vegvesen.no/#/@193727.9,6567491.6,18/hva:hva%5B0%5D%5Bfilter%5D%5B0%5D%5Boperator%5D=%21%3D&amp;hva%5B0%5D%5Bfilter%5D%5B0%5D%5Btype_id%5D=5897&amp;hva%5B0%5D%5Bfilter%5D%5B0%5D%5Bverdi%5D=&amp;hva%5B0%5D%5Bid%5D=47/når:2023-03-21", "Vegkart")</f>
        <v>Vegkart</v>
      </c>
      <c r="B5693">
        <v>572165749</v>
      </c>
      <c r="C5693">
        <v>47</v>
      </c>
      <c r="D5693" t="s">
        <v>16854</v>
      </c>
      <c r="E5693">
        <v>5897</v>
      </c>
      <c r="F5693" t="s">
        <v>23479</v>
      </c>
      <c r="G5693">
        <v>3</v>
      </c>
      <c r="H5693" t="s">
        <v>2824</v>
      </c>
      <c r="J5693" t="s">
        <v>18933</v>
      </c>
      <c r="K5693" t="s">
        <v>197</v>
      </c>
      <c r="L5693" t="s">
        <v>33</v>
      </c>
      <c r="M5693" t="s">
        <v>11356</v>
      </c>
      <c r="N5693" t="s">
        <v>18990</v>
      </c>
      <c r="O5693" t="s">
        <v>18991</v>
      </c>
      <c r="P5693" s="2" t="s">
        <v>165</v>
      </c>
      <c r="Q5693" t="s">
        <v>166</v>
      </c>
      <c r="R5693">
        <v>55.98</v>
      </c>
      <c r="S5693">
        <v>57.29</v>
      </c>
      <c r="T5693" t="s">
        <v>167</v>
      </c>
    </row>
    <row r="5694" spans="1:20" x14ac:dyDescent="0.25">
      <c r="A5694" s="1" t="str">
        <f>HYPERLINK("https://vegkart.atlas.vegvesen.no/#/@189561.6,6573923.4,18/hva:hva%5B0%5D%5Bfilter%5D%5B0%5D%5Boperator%5D=%21%3D&amp;hva%5B0%5D%5Bfilter%5D%5B0%5D%5Btype_id%5D=5897&amp;hva%5B0%5D%5Bfilter%5D%5B0%5D%5Bverdi%5D=&amp;hva%5B0%5D%5Bid%5D=47/når:2023-03-20", "Vegkart")</f>
        <v>Vegkart</v>
      </c>
      <c r="B5694">
        <v>572234142</v>
      </c>
      <c r="C5694">
        <v>47</v>
      </c>
      <c r="D5694" t="s">
        <v>16854</v>
      </c>
      <c r="E5694">
        <v>5897</v>
      </c>
      <c r="F5694" t="s">
        <v>23479</v>
      </c>
      <c r="G5694">
        <v>3</v>
      </c>
      <c r="H5694" t="s">
        <v>17981</v>
      </c>
      <c r="J5694" t="s">
        <v>18933</v>
      </c>
      <c r="K5694" t="s">
        <v>197</v>
      </c>
      <c r="L5694" t="s">
        <v>33</v>
      </c>
      <c r="M5694" t="s">
        <v>5148</v>
      </c>
      <c r="N5694" t="s">
        <v>18992</v>
      </c>
      <c r="O5694" t="s">
        <v>18993</v>
      </c>
      <c r="P5694" s="2" t="s">
        <v>165</v>
      </c>
      <c r="Q5694" t="s">
        <v>166</v>
      </c>
      <c r="R5694">
        <v>50.96</v>
      </c>
      <c r="S5694">
        <v>51.01</v>
      </c>
      <c r="T5694" t="s">
        <v>167</v>
      </c>
    </row>
    <row r="5695" spans="1:20" x14ac:dyDescent="0.25">
      <c r="A5695" s="1" t="str">
        <f>HYPERLINK("https://vegkart.atlas.vegvesen.no/#/@189539.2,6574002.7,18/hva:hva%5B0%5D%5Bfilter%5D%5B0%5D%5Boperator%5D=%21%3D&amp;hva%5B0%5D%5Bfilter%5D%5B0%5D%5Btype_id%5D=5897&amp;hva%5B0%5D%5Bfilter%5D%5B0%5D%5Bverdi%5D=&amp;hva%5B0%5D%5Bid%5D=47/når:2023-03-20", "Vegkart")</f>
        <v>Vegkart</v>
      </c>
      <c r="B5695">
        <v>572234143</v>
      </c>
      <c r="C5695">
        <v>47</v>
      </c>
      <c r="D5695" t="s">
        <v>16854</v>
      </c>
      <c r="E5695">
        <v>5897</v>
      </c>
      <c r="F5695" t="s">
        <v>23479</v>
      </c>
      <c r="G5695">
        <v>3</v>
      </c>
      <c r="H5695" t="s">
        <v>17981</v>
      </c>
      <c r="J5695" t="s">
        <v>18933</v>
      </c>
      <c r="K5695" t="s">
        <v>197</v>
      </c>
      <c r="L5695" t="s">
        <v>33</v>
      </c>
      <c r="M5695" t="s">
        <v>5148</v>
      </c>
      <c r="N5695" t="s">
        <v>18994</v>
      </c>
      <c r="O5695" t="s">
        <v>18995</v>
      </c>
      <c r="P5695" s="2" t="s">
        <v>165</v>
      </c>
      <c r="Q5695" t="s">
        <v>166</v>
      </c>
      <c r="R5695">
        <v>69.95</v>
      </c>
      <c r="S5695">
        <v>72.73</v>
      </c>
      <c r="T5695" t="s">
        <v>167</v>
      </c>
    </row>
    <row r="5696" spans="1:20" x14ac:dyDescent="0.25">
      <c r="A5696" s="1" t="str">
        <f>HYPERLINK("https://vegkart.atlas.vegvesen.no/#/@86018.7,6464681.1,18/hva:hva%5B0%5D%5Bfilter%5D%5B0%5D%5Boperator%5D=%21%3D&amp;hva%5B0%5D%5Bfilter%5D%5B0%5D%5Btype_id%5D=5897&amp;hva%5B0%5D%5Bfilter%5D%5B0%5D%5Bverdi%5D=&amp;hva%5B0%5D%5Bid%5D=47/når:2014-06-27", "Vegkart")</f>
        <v>Vegkart</v>
      </c>
      <c r="B5696">
        <v>573138708</v>
      </c>
      <c r="C5696">
        <v>47</v>
      </c>
      <c r="D5696" t="s">
        <v>16854</v>
      </c>
      <c r="E5696">
        <v>5897</v>
      </c>
      <c r="F5696" t="s">
        <v>23479</v>
      </c>
      <c r="G5696">
        <v>1</v>
      </c>
      <c r="H5696" t="s">
        <v>636</v>
      </c>
      <c r="J5696" t="s">
        <v>18933</v>
      </c>
      <c r="K5696" t="s">
        <v>86</v>
      </c>
      <c r="L5696" t="s">
        <v>33</v>
      </c>
      <c r="M5696" t="s">
        <v>1042</v>
      </c>
      <c r="N5696" t="s">
        <v>18996</v>
      </c>
      <c r="O5696" t="s">
        <v>18997</v>
      </c>
      <c r="P5696" s="2" t="s">
        <v>165</v>
      </c>
      <c r="Q5696" t="s">
        <v>641</v>
      </c>
      <c r="R5696">
        <v>0</v>
      </c>
      <c r="S5696">
        <v>142.62</v>
      </c>
      <c r="T5696" t="s">
        <v>167</v>
      </c>
    </row>
    <row r="5697" spans="1:20" x14ac:dyDescent="0.25">
      <c r="A5697" s="1" t="str">
        <f>HYPERLINK("https://vegkart.atlas.vegvesen.no/#/@86281.4,6465985.7,18/hva:hva%5B0%5D%5Bfilter%5D%5B0%5D%5Boperator%5D=%21%3D&amp;hva%5B0%5D%5Bfilter%5D%5B0%5D%5Btype_id%5D=5897&amp;hva%5B0%5D%5Bfilter%5D%5B0%5D%5Bverdi%5D=&amp;hva%5B0%5D%5Bid%5D=47/når:2014-06-27", "Vegkart")</f>
        <v>Vegkart</v>
      </c>
      <c r="B5697">
        <v>573190049</v>
      </c>
      <c r="C5697">
        <v>47</v>
      </c>
      <c r="D5697" t="s">
        <v>16854</v>
      </c>
      <c r="E5697">
        <v>5897</v>
      </c>
      <c r="F5697" t="s">
        <v>23479</v>
      </c>
      <c r="G5697">
        <v>1</v>
      </c>
      <c r="H5697" t="s">
        <v>636</v>
      </c>
      <c r="J5697" t="s">
        <v>18933</v>
      </c>
      <c r="K5697" t="s">
        <v>86</v>
      </c>
      <c r="L5697" t="s">
        <v>80</v>
      </c>
      <c r="M5697" t="s">
        <v>81</v>
      </c>
      <c r="N5697" t="s">
        <v>18998</v>
      </c>
      <c r="O5697" t="s">
        <v>18999</v>
      </c>
      <c r="P5697" s="2" t="s">
        <v>165</v>
      </c>
      <c r="Q5697" t="s">
        <v>641</v>
      </c>
      <c r="R5697">
        <v>0</v>
      </c>
      <c r="S5697">
        <v>115.15</v>
      </c>
      <c r="T5697" t="s">
        <v>167</v>
      </c>
    </row>
    <row r="5698" spans="1:20" x14ac:dyDescent="0.25">
      <c r="A5698" s="1" t="str">
        <f>HYPERLINK("https://vegkart.atlas.vegvesen.no/#/@265593.9,7040462.9,18/hva:hva%5B0%5D%5Bfilter%5D%5B0%5D%5Boperator%5D=%21%3D&amp;hva%5B0%5D%5Bfilter%5D%5B0%5D%5Btype_id%5D=5897&amp;hva%5B0%5D%5Bfilter%5D%5B0%5D%5Bverdi%5D=&amp;hva%5B0%5D%5Bid%5D=47/når:2014-11-27", "Vegkart")</f>
        <v>Vegkart</v>
      </c>
      <c r="B5698">
        <v>577953810</v>
      </c>
      <c r="C5698">
        <v>47</v>
      </c>
      <c r="D5698" t="s">
        <v>16854</v>
      </c>
      <c r="E5698">
        <v>5897</v>
      </c>
      <c r="F5698" t="s">
        <v>23479</v>
      </c>
      <c r="G5698">
        <v>1</v>
      </c>
      <c r="H5698" t="s">
        <v>14253</v>
      </c>
      <c r="J5698" t="s">
        <v>18933</v>
      </c>
      <c r="K5698" t="s">
        <v>192</v>
      </c>
      <c r="L5698" t="s">
        <v>22</v>
      </c>
      <c r="M5698" t="s">
        <v>5778</v>
      </c>
      <c r="N5698" t="s">
        <v>19000</v>
      </c>
      <c r="O5698" t="s">
        <v>19001</v>
      </c>
      <c r="P5698" s="2" t="s">
        <v>26</v>
      </c>
      <c r="Q5698" t="s">
        <v>50</v>
      </c>
      <c r="R5698">
        <v>35.11</v>
      </c>
      <c r="S5698">
        <v>35.11</v>
      </c>
      <c r="T5698" t="s">
        <v>19002</v>
      </c>
    </row>
    <row r="5699" spans="1:20" x14ac:dyDescent="0.25">
      <c r="A5699" s="1" t="str">
        <f>HYPERLINK("https://vegkart.atlas.vegvesen.no/#/@265664.2,7040481.0,18/hva:hva%5B0%5D%5Bfilter%5D%5B0%5D%5Boperator%5D=%21%3D&amp;hva%5B0%5D%5Bfilter%5D%5B0%5D%5Btype_id%5D=5897&amp;hva%5B0%5D%5Bfilter%5D%5B0%5D%5Bverdi%5D=&amp;hva%5B0%5D%5Bid%5D=47/når:2014-11-27", "Vegkart")</f>
        <v>Vegkart</v>
      </c>
      <c r="B5699">
        <v>577953816</v>
      </c>
      <c r="C5699">
        <v>47</v>
      </c>
      <c r="D5699" t="s">
        <v>16854</v>
      </c>
      <c r="E5699">
        <v>5897</v>
      </c>
      <c r="F5699" t="s">
        <v>23479</v>
      </c>
      <c r="G5699">
        <v>1</v>
      </c>
      <c r="H5699" t="s">
        <v>14253</v>
      </c>
      <c r="J5699" t="s">
        <v>18933</v>
      </c>
      <c r="K5699" t="s">
        <v>192</v>
      </c>
      <c r="L5699" t="s">
        <v>22</v>
      </c>
      <c r="M5699" t="s">
        <v>5778</v>
      </c>
      <c r="N5699" t="s">
        <v>19003</v>
      </c>
      <c r="O5699" t="s">
        <v>19004</v>
      </c>
      <c r="P5699" s="2" t="s">
        <v>26</v>
      </c>
      <c r="Q5699" t="s">
        <v>50</v>
      </c>
      <c r="R5699">
        <v>37.25</v>
      </c>
      <c r="S5699">
        <v>37.25</v>
      </c>
      <c r="T5699" t="s">
        <v>19005</v>
      </c>
    </row>
    <row r="5700" spans="1:20" x14ac:dyDescent="0.25">
      <c r="A5700" s="1" t="str">
        <f>HYPERLINK("https://vegkart.atlas.vegvesen.no/#/@-29142.2,6743372.5,18/hva:hva%5B0%5D%5Bfilter%5D%5B0%5D%5Boperator%5D=%21%3D&amp;hva%5B0%5D%5Bfilter%5D%5B0%5D%5Btype_id%5D=5897&amp;hva%5B0%5D%5Bfilter%5D%5B0%5D%5Bverdi%5D=&amp;hva%5B0%5D%5Bid%5D=47/når:2014-09-01", "Vegkart")</f>
        <v>Vegkart</v>
      </c>
      <c r="B5700">
        <v>578382472</v>
      </c>
      <c r="C5700">
        <v>47</v>
      </c>
      <c r="D5700" t="s">
        <v>16854</v>
      </c>
      <c r="E5700">
        <v>5897</v>
      </c>
      <c r="F5700" t="s">
        <v>23479</v>
      </c>
      <c r="G5700">
        <v>1</v>
      </c>
      <c r="H5700" t="s">
        <v>1009</v>
      </c>
      <c r="J5700" t="s">
        <v>18933</v>
      </c>
      <c r="K5700" t="s">
        <v>21</v>
      </c>
      <c r="L5700" t="s">
        <v>33</v>
      </c>
      <c r="M5700" t="s">
        <v>3091</v>
      </c>
      <c r="N5700" t="s">
        <v>19006</v>
      </c>
      <c r="O5700" t="s">
        <v>19007</v>
      </c>
      <c r="P5700" s="2" t="s">
        <v>26</v>
      </c>
      <c r="Q5700" t="s">
        <v>50</v>
      </c>
      <c r="R5700">
        <v>52.57</v>
      </c>
      <c r="S5700">
        <v>53.15</v>
      </c>
      <c r="T5700" t="s">
        <v>19008</v>
      </c>
    </row>
    <row r="5701" spans="1:20" x14ac:dyDescent="0.25">
      <c r="A5701" s="1" t="str">
        <f>HYPERLINK("https://vegkart.atlas.vegvesen.no/#/@-29167.9,6743391.1,18/hva:hva%5B0%5D%5Bfilter%5D%5B0%5D%5Boperator%5D=%21%3D&amp;hva%5B0%5D%5Bfilter%5D%5B0%5D%5Btype_id%5D=5897&amp;hva%5B0%5D%5Bfilter%5D%5B0%5D%5Bverdi%5D=&amp;hva%5B0%5D%5Bid%5D=47/når:2014-09-01", "Vegkart")</f>
        <v>Vegkart</v>
      </c>
      <c r="B5701">
        <v>578382473</v>
      </c>
      <c r="C5701">
        <v>47</v>
      </c>
      <c r="D5701" t="s">
        <v>16854</v>
      </c>
      <c r="E5701">
        <v>5897</v>
      </c>
      <c r="F5701" t="s">
        <v>23479</v>
      </c>
      <c r="G5701">
        <v>1</v>
      </c>
      <c r="H5701" t="s">
        <v>1009</v>
      </c>
      <c r="J5701" t="s">
        <v>18933</v>
      </c>
      <c r="K5701" t="s">
        <v>21</v>
      </c>
      <c r="L5701" t="s">
        <v>33</v>
      </c>
      <c r="M5701" t="s">
        <v>3091</v>
      </c>
      <c r="N5701" t="s">
        <v>19009</v>
      </c>
      <c r="O5701" t="s">
        <v>19010</v>
      </c>
      <c r="P5701" s="2" t="s">
        <v>26</v>
      </c>
      <c r="Q5701" t="s">
        <v>50</v>
      </c>
      <c r="R5701">
        <v>11.31</v>
      </c>
      <c r="S5701">
        <v>11.31</v>
      </c>
      <c r="T5701" t="s">
        <v>19011</v>
      </c>
    </row>
    <row r="5702" spans="1:20" x14ac:dyDescent="0.25">
      <c r="A5702" s="1" t="str">
        <f>HYPERLINK("https://vegkart.atlas.vegvesen.no/#/@132982.0,6494732.5,18/hva:hva%5B0%5D%5Bfilter%5D%5B0%5D%5Boperator%5D=%21%3D&amp;hva%5B0%5D%5Bfilter%5D%5B0%5D%5Btype_id%5D=5897&amp;hva%5B0%5D%5Bfilter%5D%5B0%5D%5Bverdi%5D=&amp;hva%5B0%5D%5Bid%5D=47/når:2015-08-25", "Vegkart")</f>
        <v>Vegkart</v>
      </c>
      <c r="B5702">
        <v>578413832</v>
      </c>
      <c r="C5702">
        <v>47</v>
      </c>
      <c r="D5702" t="s">
        <v>16854</v>
      </c>
      <c r="E5702">
        <v>5897</v>
      </c>
      <c r="F5702" t="s">
        <v>23479</v>
      </c>
      <c r="G5702">
        <v>2</v>
      </c>
      <c r="H5702" t="s">
        <v>9674</v>
      </c>
      <c r="J5702" t="s">
        <v>18933</v>
      </c>
      <c r="K5702" t="s">
        <v>86</v>
      </c>
      <c r="L5702" t="s">
        <v>33</v>
      </c>
      <c r="M5702" t="s">
        <v>19012</v>
      </c>
      <c r="N5702" t="s">
        <v>19013</v>
      </c>
      <c r="O5702" t="s">
        <v>19014</v>
      </c>
      <c r="P5702" s="2" t="s">
        <v>26</v>
      </c>
      <c r="Q5702" t="s">
        <v>50</v>
      </c>
      <c r="R5702">
        <v>60.09</v>
      </c>
      <c r="S5702">
        <v>60.38</v>
      </c>
      <c r="T5702" t="s">
        <v>19015</v>
      </c>
    </row>
    <row r="5703" spans="1:20" x14ac:dyDescent="0.25">
      <c r="A5703" s="1" t="str">
        <f>HYPERLINK("https://vegkart.atlas.vegvesen.no/#/@-30235.7,6724915.4,18/hva:hva%5B0%5D%5Bfilter%5D%5B0%5D%5Boperator%5D=%21%3D&amp;hva%5B0%5D%5Bfilter%5D%5B0%5D%5Btype_id%5D=5897&amp;hva%5B0%5D%5Bfilter%5D%5B0%5D%5Bverdi%5D=&amp;hva%5B0%5D%5Bid%5D=47/når:2014-10-14", "Vegkart")</f>
        <v>Vegkart</v>
      </c>
      <c r="B5703">
        <v>578601882</v>
      </c>
      <c r="C5703">
        <v>47</v>
      </c>
      <c r="D5703" t="s">
        <v>16854</v>
      </c>
      <c r="E5703">
        <v>5897</v>
      </c>
      <c r="F5703" t="s">
        <v>23479</v>
      </c>
      <c r="G5703">
        <v>1</v>
      </c>
      <c r="H5703" t="s">
        <v>9536</v>
      </c>
      <c r="J5703" t="s">
        <v>18933</v>
      </c>
      <c r="K5703" t="s">
        <v>21</v>
      </c>
      <c r="L5703" t="s">
        <v>33</v>
      </c>
      <c r="M5703" t="s">
        <v>19016</v>
      </c>
      <c r="N5703" t="s">
        <v>19017</v>
      </c>
      <c r="O5703" t="s">
        <v>19018</v>
      </c>
      <c r="P5703" s="2" t="s">
        <v>26</v>
      </c>
      <c r="Q5703" t="s">
        <v>50</v>
      </c>
      <c r="R5703">
        <v>68.25</v>
      </c>
      <c r="S5703">
        <v>68.5</v>
      </c>
      <c r="T5703" t="s">
        <v>19019</v>
      </c>
    </row>
    <row r="5704" spans="1:20" x14ac:dyDescent="0.25">
      <c r="A5704" s="1" t="str">
        <f>HYPERLINK("https://vegkart.atlas.vegvesen.no/#/@-29670.7,6724796.3,18/hva:hva%5B0%5D%5Bfilter%5D%5B0%5D%5Boperator%5D=%21%3D&amp;hva%5B0%5D%5Bfilter%5D%5B0%5D%5Btype_id%5D=5897&amp;hva%5B0%5D%5Bfilter%5D%5B0%5D%5Bverdi%5D=&amp;hva%5B0%5D%5Bid%5D=47/når:2014-10-14", "Vegkart")</f>
        <v>Vegkart</v>
      </c>
      <c r="B5704">
        <v>578601883</v>
      </c>
      <c r="C5704">
        <v>47</v>
      </c>
      <c r="D5704" t="s">
        <v>16854</v>
      </c>
      <c r="E5704">
        <v>5897</v>
      </c>
      <c r="F5704" t="s">
        <v>23479</v>
      </c>
      <c r="G5704">
        <v>1</v>
      </c>
      <c r="H5704" t="s">
        <v>9536</v>
      </c>
      <c r="J5704" t="s">
        <v>18933</v>
      </c>
      <c r="K5704" t="s">
        <v>21</v>
      </c>
      <c r="L5704" t="s">
        <v>33</v>
      </c>
      <c r="M5704" t="s">
        <v>19016</v>
      </c>
      <c r="N5704" t="s">
        <v>19020</v>
      </c>
      <c r="O5704" t="s">
        <v>19021</v>
      </c>
      <c r="P5704" s="2" t="s">
        <v>26</v>
      </c>
      <c r="Q5704" t="s">
        <v>50</v>
      </c>
      <c r="R5704">
        <v>72.58</v>
      </c>
      <c r="S5704">
        <v>72.930000000000007</v>
      </c>
      <c r="T5704" t="s">
        <v>19022</v>
      </c>
    </row>
    <row r="5705" spans="1:20" x14ac:dyDescent="0.25">
      <c r="A5705" s="1" t="str">
        <f>HYPERLINK("https://vegkart.atlas.vegvesen.no/#/@200529.2,6627357.2,18/hva:hva%5B0%5D%5Bfilter%5D%5B0%5D%5Boperator%5D=%21%3D&amp;hva%5B0%5D%5Bfilter%5D%5B0%5D%5Btype_id%5D=5897&amp;hva%5B0%5D%5Bfilter%5D%5B0%5D%5Bverdi%5D=&amp;hva%5B0%5D%5Bid%5D=47/når:2014-12-05", "Vegkart")</f>
        <v>Vegkart</v>
      </c>
      <c r="B5705">
        <v>578740685</v>
      </c>
      <c r="C5705">
        <v>47</v>
      </c>
      <c r="D5705" t="s">
        <v>16854</v>
      </c>
      <c r="E5705">
        <v>5897</v>
      </c>
      <c r="F5705" t="s">
        <v>23479</v>
      </c>
      <c r="G5705">
        <v>1</v>
      </c>
      <c r="H5705" t="s">
        <v>19023</v>
      </c>
      <c r="J5705" t="s">
        <v>18933</v>
      </c>
      <c r="K5705" t="s">
        <v>307</v>
      </c>
      <c r="L5705" t="s">
        <v>33</v>
      </c>
      <c r="M5705" t="s">
        <v>19024</v>
      </c>
      <c r="N5705" t="s">
        <v>19025</v>
      </c>
      <c r="O5705" t="s">
        <v>19026</v>
      </c>
      <c r="P5705" s="2" t="s">
        <v>26</v>
      </c>
      <c r="Q5705" t="s">
        <v>50</v>
      </c>
      <c r="R5705">
        <v>58.43</v>
      </c>
      <c r="S5705">
        <v>58.43</v>
      </c>
      <c r="T5705" t="s">
        <v>19027</v>
      </c>
    </row>
    <row r="5706" spans="1:20" x14ac:dyDescent="0.25">
      <c r="A5706" s="1" t="str">
        <f>HYPERLINK("https://vegkart.atlas.vegvesen.no/#/@195026.1,6570605.7,18/hva:hva%5B0%5D%5Bfilter%5D%5B0%5D%5Boperator%5D=%21%3D&amp;hva%5B0%5D%5Bfilter%5D%5B0%5D%5Btype_id%5D=5897&amp;hva%5B0%5D%5Bfilter%5D%5B0%5D%5Bverdi%5D=&amp;hva%5B0%5D%5Bid%5D=47/når:2023-03-20", "Vegkart")</f>
        <v>Vegkart</v>
      </c>
      <c r="B5706">
        <v>578740767</v>
      </c>
      <c r="C5706">
        <v>47</v>
      </c>
      <c r="D5706" t="s">
        <v>16854</v>
      </c>
      <c r="E5706">
        <v>5897</v>
      </c>
      <c r="F5706" t="s">
        <v>23479</v>
      </c>
      <c r="G5706">
        <v>3</v>
      </c>
      <c r="H5706" t="s">
        <v>17981</v>
      </c>
      <c r="J5706" t="s">
        <v>18933</v>
      </c>
      <c r="K5706" t="s">
        <v>197</v>
      </c>
      <c r="L5706" t="s">
        <v>33</v>
      </c>
      <c r="M5706" t="s">
        <v>1481</v>
      </c>
      <c r="N5706" t="s">
        <v>19028</v>
      </c>
      <c r="O5706" t="s">
        <v>19029</v>
      </c>
      <c r="P5706" s="2" t="s">
        <v>165</v>
      </c>
      <c r="Q5706" t="s">
        <v>166</v>
      </c>
      <c r="R5706">
        <v>56.09</v>
      </c>
      <c r="S5706">
        <v>57.03</v>
      </c>
      <c r="T5706" t="s">
        <v>167</v>
      </c>
    </row>
    <row r="5707" spans="1:20" x14ac:dyDescent="0.25">
      <c r="A5707" s="1" t="str">
        <f>HYPERLINK("https://vegkart.atlas.vegvesen.no/#/@192918.7,6552385.0,18/hva:hva%5B0%5D%5Bfilter%5D%5B0%5D%5Boperator%5D=%21%3D&amp;hva%5B0%5D%5Bfilter%5D%5B0%5D%5Btype_id%5D=5897&amp;hva%5B0%5D%5Bfilter%5D%5B0%5D%5Bverdi%5D=&amp;hva%5B0%5D%5Bid%5D=47/når:2023-03-21", "Vegkart")</f>
        <v>Vegkart</v>
      </c>
      <c r="B5707">
        <v>579005985</v>
      </c>
      <c r="C5707">
        <v>47</v>
      </c>
      <c r="D5707" t="s">
        <v>16854</v>
      </c>
      <c r="E5707">
        <v>5897</v>
      </c>
      <c r="F5707" t="s">
        <v>23479</v>
      </c>
      <c r="G5707">
        <v>3</v>
      </c>
      <c r="H5707" t="s">
        <v>2824</v>
      </c>
      <c r="J5707" t="s">
        <v>18933</v>
      </c>
      <c r="K5707" t="s">
        <v>197</v>
      </c>
      <c r="L5707" t="s">
        <v>33</v>
      </c>
      <c r="M5707" t="s">
        <v>19030</v>
      </c>
      <c r="N5707" t="s">
        <v>19031</v>
      </c>
      <c r="O5707" t="s">
        <v>19032</v>
      </c>
      <c r="P5707" s="2" t="s">
        <v>165</v>
      </c>
      <c r="Q5707" t="s">
        <v>166</v>
      </c>
      <c r="R5707">
        <v>65.099999999999994</v>
      </c>
      <c r="S5707">
        <v>65.56</v>
      </c>
      <c r="T5707" t="s">
        <v>167</v>
      </c>
    </row>
    <row r="5708" spans="1:20" x14ac:dyDescent="0.25">
      <c r="A5708" s="1" t="str">
        <f>HYPERLINK("https://vegkart.atlas.vegvesen.no/#/@192917.1,6552360.6,18/hva:hva%5B0%5D%5Bfilter%5D%5B0%5D%5Boperator%5D=%21%3D&amp;hva%5B0%5D%5Bfilter%5D%5B0%5D%5Btype_id%5D=5897&amp;hva%5B0%5D%5Bfilter%5D%5B0%5D%5Bverdi%5D=&amp;hva%5B0%5D%5Bid%5D=47/når:2023-03-21", "Vegkart")</f>
        <v>Vegkart</v>
      </c>
      <c r="B5708">
        <v>579005986</v>
      </c>
      <c r="C5708">
        <v>47</v>
      </c>
      <c r="D5708" t="s">
        <v>16854</v>
      </c>
      <c r="E5708">
        <v>5897</v>
      </c>
      <c r="F5708" t="s">
        <v>23479</v>
      </c>
      <c r="G5708">
        <v>3</v>
      </c>
      <c r="H5708" t="s">
        <v>2824</v>
      </c>
      <c r="J5708" t="s">
        <v>18933</v>
      </c>
      <c r="K5708" t="s">
        <v>197</v>
      </c>
      <c r="L5708" t="s">
        <v>33</v>
      </c>
      <c r="M5708" t="s">
        <v>19030</v>
      </c>
      <c r="N5708" t="s">
        <v>19033</v>
      </c>
      <c r="O5708" t="s">
        <v>19034</v>
      </c>
      <c r="P5708" s="2" t="s">
        <v>165</v>
      </c>
      <c r="Q5708" t="s">
        <v>166</v>
      </c>
      <c r="R5708">
        <v>65.02</v>
      </c>
      <c r="S5708">
        <v>65.349999999999994</v>
      </c>
      <c r="T5708" t="s">
        <v>167</v>
      </c>
    </row>
    <row r="5709" spans="1:20" x14ac:dyDescent="0.25">
      <c r="A5709" s="1" t="str">
        <f>HYPERLINK("https://vegkart.atlas.vegvesen.no/#/@142274.1,6520393.6,18/hva:hva%5B0%5D%5Bfilter%5D%5B0%5D%5Boperator%5D=%21%3D&amp;hva%5B0%5D%5Bfilter%5D%5B0%5D%5Btype_id%5D=5897&amp;hva%5B0%5D%5Bfilter%5D%5B0%5D%5Bverdi%5D=&amp;hva%5B0%5D%5Bid%5D=47/når:2014-12-22", "Vegkart")</f>
        <v>Vegkart</v>
      </c>
      <c r="B5709">
        <v>579057344</v>
      </c>
      <c r="C5709">
        <v>47</v>
      </c>
      <c r="D5709" t="s">
        <v>16854</v>
      </c>
      <c r="E5709">
        <v>5897</v>
      </c>
      <c r="F5709" t="s">
        <v>23479</v>
      </c>
      <c r="G5709">
        <v>1</v>
      </c>
      <c r="H5709" t="s">
        <v>19035</v>
      </c>
      <c r="J5709" t="s">
        <v>18933</v>
      </c>
      <c r="K5709" t="s">
        <v>86</v>
      </c>
      <c r="L5709" t="s">
        <v>33</v>
      </c>
      <c r="M5709" t="s">
        <v>12873</v>
      </c>
      <c r="N5709" t="s">
        <v>19036</v>
      </c>
      <c r="O5709" t="s">
        <v>19037</v>
      </c>
      <c r="P5709" s="2" t="s">
        <v>26</v>
      </c>
      <c r="Q5709" t="s">
        <v>50</v>
      </c>
      <c r="R5709">
        <v>62.23</v>
      </c>
      <c r="S5709">
        <v>62.56</v>
      </c>
      <c r="T5709" t="s">
        <v>19038</v>
      </c>
    </row>
    <row r="5710" spans="1:20" x14ac:dyDescent="0.25">
      <c r="A5710" s="1" t="str">
        <f>HYPERLINK("https://vegkart.atlas.vegvesen.no/#/@142246.3,6520318.2,18/hva:hva%5B0%5D%5Bfilter%5D%5B0%5D%5Boperator%5D=%21%3D&amp;hva%5B0%5D%5Bfilter%5D%5B0%5D%5Btype_id%5D=5897&amp;hva%5B0%5D%5Bfilter%5D%5B0%5D%5Bverdi%5D=&amp;hva%5B0%5D%5Bid%5D=47/når:2014-12-22", "Vegkart")</f>
        <v>Vegkart</v>
      </c>
      <c r="B5710">
        <v>579057345</v>
      </c>
      <c r="C5710">
        <v>47</v>
      </c>
      <c r="D5710" t="s">
        <v>16854</v>
      </c>
      <c r="E5710">
        <v>5897</v>
      </c>
      <c r="F5710" t="s">
        <v>23479</v>
      </c>
      <c r="G5710">
        <v>1</v>
      </c>
      <c r="H5710" t="s">
        <v>19035</v>
      </c>
      <c r="J5710" t="s">
        <v>18933</v>
      </c>
      <c r="K5710" t="s">
        <v>86</v>
      </c>
      <c r="L5710" t="s">
        <v>33</v>
      </c>
      <c r="M5710" t="s">
        <v>12873</v>
      </c>
      <c r="N5710" t="s">
        <v>19039</v>
      </c>
      <c r="O5710" t="s">
        <v>19040</v>
      </c>
      <c r="P5710" s="2" t="s">
        <v>26</v>
      </c>
      <c r="Q5710" t="s">
        <v>50</v>
      </c>
      <c r="R5710">
        <v>58.54</v>
      </c>
      <c r="S5710">
        <v>58.83</v>
      </c>
      <c r="T5710" t="s">
        <v>19041</v>
      </c>
    </row>
    <row r="5711" spans="1:20" x14ac:dyDescent="0.25">
      <c r="A5711" s="1" t="str">
        <f>HYPERLINK("https://vegkart.atlas.vegvesen.no/#/@27420.9,6671508.7,18/hva:hva%5B0%5D%5Bfilter%5D%5B0%5D%5Boperator%5D=%21%3D&amp;hva%5B0%5D%5Bfilter%5D%5B0%5D%5Btype_id%5D=5897&amp;hva%5B0%5D%5Bfilter%5D%5B0%5D%5Bverdi%5D=&amp;hva%5B0%5D%5Bid%5D=47/når:2021-08-25", "Vegkart")</f>
        <v>Vegkart</v>
      </c>
      <c r="B5711">
        <v>579094336</v>
      </c>
      <c r="C5711">
        <v>47</v>
      </c>
      <c r="D5711" t="s">
        <v>16854</v>
      </c>
      <c r="E5711">
        <v>5897</v>
      </c>
      <c r="F5711" t="s">
        <v>23479</v>
      </c>
      <c r="G5711">
        <v>3</v>
      </c>
      <c r="H5711" t="s">
        <v>19042</v>
      </c>
      <c r="J5711" t="s">
        <v>19043</v>
      </c>
      <c r="K5711" t="s">
        <v>21</v>
      </c>
      <c r="L5711" t="s">
        <v>80</v>
      </c>
      <c r="M5711" t="s">
        <v>645</v>
      </c>
      <c r="N5711" t="s">
        <v>19044</v>
      </c>
      <c r="O5711" t="s">
        <v>19045</v>
      </c>
      <c r="P5711" s="2" t="s">
        <v>26</v>
      </c>
      <c r="Q5711" t="s">
        <v>50</v>
      </c>
      <c r="R5711">
        <v>108.54</v>
      </c>
      <c r="S5711">
        <v>113.91</v>
      </c>
      <c r="T5711" t="s">
        <v>19046</v>
      </c>
    </row>
    <row r="5712" spans="1:20" x14ac:dyDescent="0.25">
      <c r="A5712" s="1" t="str">
        <f>HYPERLINK("https://vegkart.atlas.vegvesen.no/#/@139982.5,6495484.8,18/hva:hva%5B0%5D%5Bfilter%5D%5B0%5D%5Boperator%5D=%21%3D&amp;hva%5B0%5D%5Bfilter%5D%5B0%5D%5Btype_id%5D=5897&amp;hva%5B0%5D%5Bfilter%5D%5B0%5D%5Bverdi%5D=&amp;hva%5B0%5D%5Bid%5D=47/når:2015-01-13", "Vegkart")</f>
        <v>Vegkart</v>
      </c>
      <c r="B5712">
        <v>579107807</v>
      </c>
      <c r="C5712">
        <v>47</v>
      </c>
      <c r="D5712" t="s">
        <v>16854</v>
      </c>
      <c r="E5712">
        <v>5897</v>
      </c>
      <c r="F5712" t="s">
        <v>23479</v>
      </c>
      <c r="G5712">
        <v>1</v>
      </c>
      <c r="H5712" t="s">
        <v>19047</v>
      </c>
      <c r="J5712" t="s">
        <v>19043</v>
      </c>
      <c r="K5712" t="s">
        <v>86</v>
      </c>
      <c r="L5712" t="s">
        <v>33</v>
      </c>
      <c r="M5712" t="s">
        <v>19048</v>
      </c>
      <c r="N5712" t="s">
        <v>19049</v>
      </c>
      <c r="O5712" t="s">
        <v>19050</v>
      </c>
      <c r="P5712" s="2" t="s">
        <v>26</v>
      </c>
      <c r="Q5712" t="s">
        <v>50</v>
      </c>
      <c r="R5712">
        <v>69.92</v>
      </c>
      <c r="S5712">
        <v>70.349999999999994</v>
      </c>
      <c r="T5712" t="s">
        <v>19051</v>
      </c>
    </row>
    <row r="5713" spans="1:20" x14ac:dyDescent="0.25">
      <c r="A5713" s="1" t="str">
        <f>HYPERLINK("https://vegkart.atlas.vegvesen.no/#/@139493.1,6496010.1,18/hva:hva%5B0%5D%5Bfilter%5D%5B0%5D%5Boperator%5D=%21%3D&amp;hva%5B0%5D%5Bfilter%5D%5B0%5D%5Btype_id%5D=5897&amp;hva%5B0%5D%5Bfilter%5D%5B0%5D%5Bverdi%5D=&amp;hva%5B0%5D%5Bid%5D=47/når:2015-06-03", "Vegkart")</f>
        <v>Vegkart</v>
      </c>
      <c r="B5713">
        <v>579107808</v>
      </c>
      <c r="C5713">
        <v>47</v>
      </c>
      <c r="D5713" t="s">
        <v>16854</v>
      </c>
      <c r="E5713">
        <v>5897</v>
      </c>
      <c r="F5713" t="s">
        <v>23479</v>
      </c>
      <c r="G5713">
        <v>2</v>
      </c>
      <c r="H5713" t="s">
        <v>19052</v>
      </c>
      <c r="J5713" t="s">
        <v>19043</v>
      </c>
      <c r="K5713" t="s">
        <v>86</v>
      </c>
      <c r="L5713" t="s">
        <v>33</v>
      </c>
      <c r="M5713" t="s">
        <v>15830</v>
      </c>
      <c r="N5713" t="s">
        <v>19053</v>
      </c>
      <c r="O5713" t="s">
        <v>19054</v>
      </c>
      <c r="P5713" s="2" t="s">
        <v>26</v>
      </c>
      <c r="Q5713" t="s">
        <v>50</v>
      </c>
      <c r="R5713">
        <v>47.83</v>
      </c>
      <c r="S5713">
        <v>48.16</v>
      </c>
      <c r="T5713" t="s">
        <v>19055</v>
      </c>
    </row>
    <row r="5714" spans="1:20" x14ac:dyDescent="0.25">
      <c r="A5714" s="1" t="str">
        <f>HYPERLINK("https://vegkart.atlas.vegvesen.no/#/@139645.8,6495704.3,18/hva:hva%5B0%5D%5Bfilter%5D%5B0%5D%5Boperator%5D=%21%3D&amp;hva%5B0%5D%5Bfilter%5D%5B0%5D%5Btype_id%5D=5897&amp;hva%5B0%5D%5Bfilter%5D%5B0%5D%5Bverdi%5D=&amp;hva%5B0%5D%5Bid%5D=47/når:2015-06-03", "Vegkart")</f>
        <v>Vegkart</v>
      </c>
      <c r="B5714">
        <v>579107811</v>
      </c>
      <c r="C5714">
        <v>47</v>
      </c>
      <c r="D5714" t="s">
        <v>16854</v>
      </c>
      <c r="E5714">
        <v>5897</v>
      </c>
      <c r="F5714" t="s">
        <v>23479</v>
      </c>
      <c r="G5714">
        <v>2</v>
      </c>
      <c r="H5714" t="s">
        <v>19052</v>
      </c>
      <c r="J5714" t="s">
        <v>19043</v>
      </c>
      <c r="K5714" t="s">
        <v>86</v>
      </c>
      <c r="L5714" t="s">
        <v>33</v>
      </c>
      <c r="M5714" t="s">
        <v>15830</v>
      </c>
      <c r="N5714" t="s">
        <v>19056</v>
      </c>
      <c r="O5714" t="s">
        <v>19057</v>
      </c>
      <c r="P5714" s="2" t="s">
        <v>26</v>
      </c>
      <c r="Q5714" t="s">
        <v>50</v>
      </c>
      <c r="R5714">
        <v>50.46</v>
      </c>
      <c r="S5714">
        <v>50.48</v>
      </c>
      <c r="T5714" t="s">
        <v>19058</v>
      </c>
    </row>
    <row r="5715" spans="1:20" x14ac:dyDescent="0.25">
      <c r="A5715" s="1" t="str">
        <f>HYPERLINK("https://vegkart.atlas.vegvesen.no/#/@142975.2,6509729.2,18/hva:hva%5B0%5D%5Bfilter%5D%5B0%5D%5Boperator%5D=%21%3D&amp;hva%5B0%5D%5Bfilter%5D%5B0%5D%5Btype_id%5D=5897&amp;hva%5B0%5D%5Bfilter%5D%5B0%5D%5Bverdi%5D=&amp;hva%5B0%5D%5Bid%5D=47/når:2014-06-28", "Vegkart")</f>
        <v>Vegkart</v>
      </c>
      <c r="B5715">
        <v>579114299</v>
      </c>
      <c r="C5715">
        <v>47</v>
      </c>
      <c r="D5715" t="s">
        <v>16854</v>
      </c>
      <c r="E5715">
        <v>5897</v>
      </c>
      <c r="F5715" t="s">
        <v>23479</v>
      </c>
      <c r="G5715">
        <v>2</v>
      </c>
      <c r="H5715" t="s">
        <v>19059</v>
      </c>
      <c r="J5715" t="s">
        <v>19043</v>
      </c>
      <c r="K5715" t="s">
        <v>86</v>
      </c>
      <c r="L5715" t="s">
        <v>33</v>
      </c>
      <c r="M5715" t="s">
        <v>638</v>
      </c>
      <c r="N5715" t="s">
        <v>19060</v>
      </c>
      <c r="O5715" t="s">
        <v>19061</v>
      </c>
      <c r="P5715" s="2" t="s">
        <v>165</v>
      </c>
      <c r="Q5715" t="s">
        <v>641</v>
      </c>
      <c r="R5715">
        <v>0</v>
      </c>
      <c r="S5715">
        <v>245.81</v>
      </c>
      <c r="T5715" t="s">
        <v>167</v>
      </c>
    </row>
    <row r="5716" spans="1:20" x14ac:dyDescent="0.25">
      <c r="A5716" s="1" t="str">
        <f>HYPERLINK("https://vegkart.atlas.vegvesen.no/#/@132004.7,6488888.8,18/hva:hva%5B0%5D%5Bfilter%5D%5B0%5D%5Boperator%5D=%21%3D&amp;hva%5B0%5D%5Bfilter%5D%5B0%5D%5Btype_id%5D=5897&amp;hva%5B0%5D%5Bfilter%5D%5B0%5D%5Bverdi%5D=&amp;hva%5B0%5D%5Bid%5D=47/når:2015-01-23", "Vegkart")</f>
        <v>Vegkart</v>
      </c>
      <c r="B5716">
        <v>579166151</v>
      </c>
      <c r="C5716">
        <v>47</v>
      </c>
      <c r="D5716" t="s">
        <v>16854</v>
      </c>
      <c r="E5716">
        <v>5897</v>
      </c>
      <c r="F5716" t="s">
        <v>23479</v>
      </c>
      <c r="G5716">
        <v>1</v>
      </c>
      <c r="H5716" t="s">
        <v>19062</v>
      </c>
      <c r="J5716" t="s">
        <v>19043</v>
      </c>
      <c r="K5716" t="s">
        <v>86</v>
      </c>
      <c r="L5716" t="s">
        <v>33</v>
      </c>
      <c r="M5716" t="s">
        <v>19063</v>
      </c>
      <c r="N5716" t="s">
        <v>19064</v>
      </c>
      <c r="O5716" t="s">
        <v>19065</v>
      </c>
      <c r="P5716" s="2" t="s">
        <v>26</v>
      </c>
      <c r="Q5716" t="s">
        <v>50</v>
      </c>
      <c r="R5716">
        <v>54.36</v>
      </c>
      <c r="S5716">
        <v>54.45</v>
      </c>
      <c r="T5716" t="s">
        <v>19066</v>
      </c>
    </row>
    <row r="5717" spans="1:20" x14ac:dyDescent="0.25">
      <c r="A5717" s="1" t="str">
        <f>HYPERLINK("https://vegkart.atlas.vegvesen.no/#/@132024.8,6488878.1,18/hva:hva%5B0%5D%5Bfilter%5D%5B0%5D%5Boperator%5D=%21%3D&amp;hva%5B0%5D%5Bfilter%5D%5B0%5D%5Btype_id%5D=5897&amp;hva%5B0%5D%5Bfilter%5D%5B0%5D%5Bverdi%5D=&amp;hva%5B0%5D%5Bid%5D=47/når:2015-01-23", "Vegkart")</f>
        <v>Vegkart</v>
      </c>
      <c r="B5717">
        <v>579166152</v>
      </c>
      <c r="C5717">
        <v>47</v>
      </c>
      <c r="D5717" t="s">
        <v>16854</v>
      </c>
      <c r="E5717">
        <v>5897</v>
      </c>
      <c r="F5717" t="s">
        <v>23479</v>
      </c>
      <c r="G5717">
        <v>1</v>
      </c>
      <c r="H5717" t="s">
        <v>19062</v>
      </c>
      <c r="J5717" t="s">
        <v>19043</v>
      </c>
      <c r="K5717" t="s">
        <v>86</v>
      </c>
      <c r="L5717" t="s">
        <v>33</v>
      </c>
      <c r="M5717" t="s">
        <v>19063</v>
      </c>
      <c r="N5717" t="s">
        <v>19067</v>
      </c>
      <c r="O5717" t="s">
        <v>19068</v>
      </c>
      <c r="P5717" s="2" t="s">
        <v>26</v>
      </c>
      <c r="Q5717" t="s">
        <v>50</v>
      </c>
      <c r="R5717">
        <v>34.840000000000003</v>
      </c>
      <c r="S5717">
        <v>35.14</v>
      </c>
      <c r="T5717" t="s">
        <v>19069</v>
      </c>
    </row>
    <row r="5718" spans="1:20" x14ac:dyDescent="0.25">
      <c r="A5718" s="1" t="str">
        <f>HYPERLINK("https://vegkart.atlas.vegvesen.no/#/@229156.7,6580550.2,18/hva:hva%5B0%5D%5Bfilter%5D%5B0%5D%5Boperator%5D=%21%3D&amp;hva%5B0%5D%5Bfilter%5D%5B0%5D%5Btype_id%5D=5897&amp;hva%5B0%5D%5Bfilter%5D%5B0%5D%5Bverdi%5D=&amp;hva%5B0%5D%5Bid%5D=47/når:2023-03-28", "Vegkart")</f>
        <v>Vegkart</v>
      </c>
      <c r="B5718">
        <v>579186421</v>
      </c>
      <c r="C5718">
        <v>47</v>
      </c>
      <c r="D5718" t="s">
        <v>16854</v>
      </c>
      <c r="E5718">
        <v>5897</v>
      </c>
      <c r="F5718" t="s">
        <v>23479</v>
      </c>
      <c r="G5718">
        <v>3</v>
      </c>
      <c r="H5718" t="s">
        <v>19070</v>
      </c>
      <c r="J5718" t="s">
        <v>19043</v>
      </c>
      <c r="K5718" t="s">
        <v>81</v>
      </c>
      <c r="L5718" t="s">
        <v>22</v>
      </c>
      <c r="M5718" t="s">
        <v>19071</v>
      </c>
      <c r="N5718" t="s">
        <v>19072</v>
      </c>
      <c r="O5718" t="s">
        <v>19073</v>
      </c>
      <c r="P5718" s="2" t="s">
        <v>165</v>
      </c>
      <c r="Q5718" t="s">
        <v>166</v>
      </c>
      <c r="R5718">
        <v>47.35</v>
      </c>
      <c r="S5718">
        <v>47.55</v>
      </c>
      <c r="T5718" t="s">
        <v>167</v>
      </c>
    </row>
    <row r="5719" spans="1:20" x14ac:dyDescent="0.25">
      <c r="A5719" s="1" t="str">
        <f>HYPERLINK("https://vegkart.atlas.vegvesen.no/#/@142039.8,6500868.4,18/hva:hva%5B0%5D%5Bfilter%5D%5B0%5D%5Boperator%5D=%21%3D&amp;hva%5B0%5D%5Bfilter%5D%5B0%5D%5Btype_id%5D=5897&amp;hva%5B0%5D%5Bfilter%5D%5B0%5D%5Bverdi%5D=&amp;hva%5B0%5D%5Bid%5D=47/når:2015-02-06", "Vegkart")</f>
        <v>Vegkart</v>
      </c>
      <c r="B5719">
        <v>587522072</v>
      </c>
      <c r="C5719">
        <v>47</v>
      </c>
      <c r="D5719" t="s">
        <v>16854</v>
      </c>
      <c r="E5719">
        <v>5897</v>
      </c>
      <c r="F5719" t="s">
        <v>23479</v>
      </c>
      <c r="G5719">
        <v>1</v>
      </c>
      <c r="H5719" t="s">
        <v>2027</v>
      </c>
      <c r="J5719" t="s">
        <v>19043</v>
      </c>
      <c r="K5719" t="s">
        <v>86</v>
      </c>
      <c r="L5719" t="s">
        <v>33</v>
      </c>
      <c r="M5719" t="s">
        <v>2028</v>
      </c>
      <c r="N5719" t="s">
        <v>19074</v>
      </c>
      <c r="O5719" t="s">
        <v>19075</v>
      </c>
      <c r="P5719" s="2" t="s">
        <v>26</v>
      </c>
      <c r="Q5719" t="s">
        <v>50</v>
      </c>
      <c r="R5719">
        <v>47.32</v>
      </c>
      <c r="S5719">
        <v>47.7</v>
      </c>
      <c r="T5719" t="s">
        <v>19076</v>
      </c>
    </row>
    <row r="5720" spans="1:20" x14ac:dyDescent="0.25">
      <c r="A5720" s="1" t="str">
        <f>HYPERLINK("https://vegkart.atlas.vegvesen.no/#/@142051.2,6500780.0,18/hva:hva%5B0%5D%5Bfilter%5D%5B0%5D%5Boperator%5D=%21%3D&amp;hva%5B0%5D%5Bfilter%5D%5B0%5D%5Btype_id%5D=5897&amp;hva%5B0%5D%5Bfilter%5D%5B0%5D%5Bverdi%5D=&amp;hva%5B0%5D%5Bid%5D=47/når:2015-02-06", "Vegkart")</f>
        <v>Vegkart</v>
      </c>
      <c r="B5720">
        <v>587522073</v>
      </c>
      <c r="C5720">
        <v>47</v>
      </c>
      <c r="D5720" t="s">
        <v>16854</v>
      </c>
      <c r="E5720">
        <v>5897</v>
      </c>
      <c r="F5720" t="s">
        <v>23479</v>
      </c>
      <c r="G5720">
        <v>1</v>
      </c>
      <c r="H5720" t="s">
        <v>2027</v>
      </c>
      <c r="J5720" t="s">
        <v>19043</v>
      </c>
      <c r="K5720" t="s">
        <v>86</v>
      </c>
      <c r="L5720" t="s">
        <v>33</v>
      </c>
      <c r="M5720" t="s">
        <v>2028</v>
      </c>
      <c r="N5720" t="s">
        <v>19077</v>
      </c>
      <c r="O5720" t="s">
        <v>19078</v>
      </c>
      <c r="P5720" s="2" t="s">
        <v>26</v>
      </c>
      <c r="Q5720" t="s">
        <v>50</v>
      </c>
      <c r="R5720">
        <v>42.12</v>
      </c>
      <c r="S5720">
        <v>43.58</v>
      </c>
      <c r="T5720" t="s">
        <v>19079</v>
      </c>
    </row>
    <row r="5721" spans="1:20" x14ac:dyDescent="0.25">
      <c r="A5721" s="1" t="str">
        <f>HYPERLINK("https://vegkart.atlas.vegvesen.no/#/@141976.4,6500587.1,18/hva:hva%5B0%5D%5Bfilter%5D%5B0%5D%5Boperator%5D=%21%3D&amp;hva%5B0%5D%5Bfilter%5D%5B0%5D%5Btype_id%5D=5897&amp;hva%5B0%5D%5Bfilter%5D%5B0%5D%5Bverdi%5D=&amp;hva%5B0%5D%5Bid%5D=47/når:2015-02-06", "Vegkart")</f>
        <v>Vegkart</v>
      </c>
      <c r="B5721">
        <v>587522074</v>
      </c>
      <c r="C5721">
        <v>47</v>
      </c>
      <c r="D5721" t="s">
        <v>16854</v>
      </c>
      <c r="E5721">
        <v>5897</v>
      </c>
      <c r="F5721" t="s">
        <v>23479</v>
      </c>
      <c r="G5721">
        <v>1</v>
      </c>
      <c r="H5721" t="s">
        <v>2027</v>
      </c>
      <c r="J5721" t="s">
        <v>19043</v>
      </c>
      <c r="K5721" t="s">
        <v>86</v>
      </c>
      <c r="L5721" t="s">
        <v>33</v>
      </c>
      <c r="M5721" t="s">
        <v>2028</v>
      </c>
      <c r="N5721" t="s">
        <v>19080</v>
      </c>
      <c r="O5721" t="s">
        <v>19081</v>
      </c>
      <c r="P5721" s="2" t="s">
        <v>26</v>
      </c>
      <c r="Q5721" t="s">
        <v>50</v>
      </c>
      <c r="R5721">
        <v>34.840000000000003</v>
      </c>
      <c r="S5721">
        <v>35.01</v>
      </c>
      <c r="T5721" t="s">
        <v>19082</v>
      </c>
    </row>
    <row r="5722" spans="1:20" x14ac:dyDescent="0.25">
      <c r="A5722" s="1" t="str">
        <f>HYPERLINK("https://vegkart.atlas.vegvesen.no/#/@141967.0,6500534.8,18/hva:hva%5B0%5D%5Bfilter%5D%5B0%5D%5Boperator%5D=%21%3D&amp;hva%5B0%5D%5Bfilter%5D%5B0%5D%5Btype_id%5D=5897&amp;hva%5B0%5D%5Bfilter%5D%5B0%5D%5Bverdi%5D=&amp;hva%5B0%5D%5Bid%5D=47/når:2015-02-06", "Vegkart")</f>
        <v>Vegkart</v>
      </c>
      <c r="B5722">
        <v>587522075</v>
      </c>
      <c r="C5722">
        <v>47</v>
      </c>
      <c r="D5722" t="s">
        <v>16854</v>
      </c>
      <c r="E5722">
        <v>5897</v>
      </c>
      <c r="F5722" t="s">
        <v>23479</v>
      </c>
      <c r="G5722">
        <v>1</v>
      </c>
      <c r="H5722" t="s">
        <v>2027</v>
      </c>
      <c r="J5722" t="s">
        <v>19043</v>
      </c>
      <c r="K5722" t="s">
        <v>86</v>
      </c>
      <c r="L5722" t="s">
        <v>33</v>
      </c>
      <c r="M5722" t="s">
        <v>2028</v>
      </c>
      <c r="N5722" t="s">
        <v>19083</v>
      </c>
      <c r="O5722" t="s">
        <v>19084</v>
      </c>
      <c r="P5722" s="2" t="s">
        <v>26</v>
      </c>
      <c r="Q5722" t="s">
        <v>50</v>
      </c>
      <c r="R5722">
        <v>49.7</v>
      </c>
      <c r="S5722">
        <v>50.14</v>
      </c>
      <c r="T5722" t="s">
        <v>19085</v>
      </c>
    </row>
    <row r="5723" spans="1:20" x14ac:dyDescent="0.25">
      <c r="A5723" s="1" t="str">
        <f>HYPERLINK("https://vegkart.atlas.vegvesen.no/#/@141905.2,6500395.8,18/hva:hva%5B0%5D%5Bfilter%5D%5B0%5D%5Boperator%5D=%21%3D&amp;hva%5B0%5D%5Bfilter%5D%5B0%5D%5Btype_id%5D=5897&amp;hva%5B0%5D%5Bfilter%5D%5B0%5D%5Bverdi%5D=&amp;hva%5B0%5D%5Bid%5D=47/når:2015-02-06", "Vegkart")</f>
        <v>Vegkart</v>
      </c>
      <c r="B5723">
        <v>587522076</v>
      </c>
      <c r="C5723">
        <v>47</v>
      </c>
      <c r="D5723" t="s">
        <v>16854</v>
      </c>
      <c r="E5723">
        <v>5897</v>
      </c>
      <c r="F5723" t="s">
        <v>23479</v>
      </c>
      <c r="G5723">
        <v>1</v>
      </c>
      <c r="H5723" t="s">
        <v>2027</v>
      </c>
      <c r="J5723" t="s">
        <v>19043</v>
      </c>
      <c r="K5723" t="s">
        <v>86</v>
      </c>
      <c r="L5723" t="s">
        <v>33</v>
      </c>
      <c r="M5723" t="s">
        <v>2028</v>
      </c>
      <c r="N5723" t="s">
        <v>19086</v>
      </c>
      <c r="O5723" t="s">
        <v>19087</v>
      </c>
      <c r="P5723" s="2" t="s">
        <v>26</v>
      </c>
      <c r="Q5723" t="s">
        <v>50</v>
      </c>
      <c r="R5723">
        <v>55.76</v>
      </c>
      <c r="S5723">
        <v>56.09</v>
      </c>
      <c r="T5723" t="s">
        <v>19088</v>
      </c>
    </row>
    <row r="5724" spans="1:20" x14ac:dyDescent="0.25">
      <c r="A5724" s="1" t="str">
        <f>HYPERLINK("https://vegkart.atlas.vegvesen.no/#/@141612.3,6500230.8,18/hva:hva%5B0%5D%5Bfilter%5D%5B0%5D%5Boperator%5D=%21%3D&amp;hva%5B0%5D%5Bfilter%5D%5B0%5D%5Btype_id%5D=5897&amp;hva%5B0%5D%5Bfilter%5D%5B0%5D%5Bverdi%5D=&amp;hva%5B0%5D%5Bid%5D=47/når:2015-02-06", "Vegkart")</f>
        <v>Vegkart</v>
      </c>
      <c r="B5724">
        <v>587522077</v>
      </c>
      <c r="C5724">
        <v>47</v>
      </c>
      <c r="D5724" t="s">
        <v>16854</v>
      </c>
      <c r="E5724">
        <v>5897</v>
      </c>
      <c r="F5724" t="s">
        <v>23479</v>
      </c>
      <c r="G5724">
        <v>1</v>
      </c>
      <c r="H5724" t="s">
        <v>2027</v>
      </c>
      <c r="J5724" t="s">
        <v>19043</v>
      </c>
      <c r="K5724" t="s">
        <v>86</v>
      </c>
      <c r="L5724" t="s">
        <v>33</v>
      </c>
      <c r="M5724" t="s">
        <v>2028</v>
      </c>
      <c r="N5724" t="s">
        <v>19089</v>
      </c>
      <c r="O5724" t="s">
        <v>19090</v>
      </c>
      <c r="P5724" s="2" t="s">
        <v>26</v>
      </c>
      <c r="Q5724" t="s">
        <v>50</v>
      </c>
      <c r="R5724">
        <v>50</v>
      </c>
      <c r="S5724">
        <v>50.46</v>
      </c>
      <c r="T5724" t="s">
        <v>19091</v>
      </c>
    </row>
    <row r="5725" spans="1:20" x14ac:dyDescent="0.25">
      <c r="A5725" s="1" t="str">
        <f>HYPERLINK("https://vegkart.atlas.vegvesen.no/#/@141607.0,6500213.9,18/hva:hva%5B0%5D%5Bfilter%5D%5B0%5D%5Boperator%5D=%21%3D&amp;hva%5B0%5D%5Bfilter%5D%5B0%5D%5Btype_id%5D=5897&amp;hva%5B0%5D%5Bfilter%5D%5B0%5D%5Bverdi%5D=&amp;hva%5B0%5D%5Bid%5D=47/når:2015-02-06", "Vegkart")</f>
        <v>Vegkart</v>
      </c>
      <c r="B5725">
        <v>587522078</v>
      </c>
      <c r="C5725">
        <v>47</v>
      </c>
      <c r="D5725" t="s">
        <v>16854</v>
      </c>
      <c r="E5725">
        <v>5897</v>
      </c>
      <c r="F5725" t="s">
        <v>23479</v>
      </c>
      <c r="G5725">
        <v>1</v>
      </c>
      <c r="H5725" t="s">
        <v>2027</v>
      </c>
      <c r="J5725" t="s">
        <v>19043</v>
      </c>
      <c r="K5725" t="s">
        <v>86</v>
      </c>
      <c r="L5725" t="s">
        <v>33</v>
      </c>
      <c r="M5725" t="s">
        <v>2028</v>
      </c>
      <c r="N5725" t="s">
        <v>19092</v>
      </c>
      <c r="O5725" t="s">
        <v>19093</v>
      </c>
      <c r="P5725" s="2" t="s">
        <v>26</v>
      </c>
      <c r="Q5725" t="s">
        <v>50</v>
      </c>
      <c r="R5725">
        <v>72.05</v>
      </c>
      <c r="S5725">
        <v>73.03</v>
      </c>
      <c r="T5725" t="s">
        <v>19094</v>
      </c>
    </row>
    <row r="5726" spans="1:20" x14ac:dyDescent="0.25">
      <c r="A5726" s="1" t="str">
        <f>HYPERLINK("https://vegkart.atlas.vegvesen.no/#/@141367.9,6499956.6,18/hva:hva%5B0%5D%5Bfilter%5D%5B0%5D%5Boperator%5D=%21%3D&amp;hva%5B0%5D%5Bfilter%5D%5B0%5D%5Btype_id%5D=5897&amp;hva%5B0%5D%5Bfilter%5D%5B0%5D%5Bverdi%5D=&amp;hva%5B0%5D%5Bid%5D=47/når:2015-02-06", "Vegkart")</f>
        <v>Vegkart</v>
      </c>
      <c r="B5726">
        <v>587522079</v>
      </c>
      <c r="C5726">
        <v>47</v>
      </c>
      <c r="D5726" t="s">
        <v>16854</v>
      </c>
      <c r="E5726">
        <v>5897</v>
      </c>
      <c r="F5726" t="s">
        <v>23479</v>
      </c>
      <c r="G5726">
        <v>1</v>
      </c>
      <c r="H5726" t="s">
        <v>2027</v>
      </c>
      <c r="J5726" t="s">
        <v>19043</v>
      </c>
      <c r="K5726" t="s">
        <v>86</v>
      </c>
      <c r="L5726" t="s">
        <v>33</v>
      </c>
      <c r="M5726" t="s">
        <v>2028</v>
      </c>
      <c r="N5726" t="s">
        <v>19095</v>
      </c>
      <c r="O5726" t="s">
        <v>19096</v>
      </c>
      <c r="P5726" s="2" t="s">
        <v>26</v>
      </c>
      <c r="Q5726" t="s">
        <v>50</v>
      </c>
      <c r="R5726">
        <v>52.66</v>
      </c>
      <c r="S5726">
        <v>52.97</v>
      </c>
      <c r="T5726" t="s">
        <v>19097</v>
      </c>
    </row>
    <row r="5727" spans="1:20" x14ac:dyDescent="0.25">
      <c r="A5727" s="1" t="str">
        <f>HYPERLINK("https://vegkart.atlas.vegvesen.no/#/@141375.3,6499940.8,18/hva:hva%5B0%5D%5Bfilter%5D%5B0%5D%5Boperator%5D=%21%3D&amp;hva%5B0%5D%5Bfilter%5D%5B0%5D%5Btype_id%5D=5897&amp;hva%5B0%5D%5Bfilter%5D%5B0%5D%5Bverdi%5D=&amp;hva%5B0%5D%5Bid%5D=47/når:2015-02-06", "Vegkart")</f>
        <v>Vegkart</v>
      </c>
      <c r="B5727">
        <v>587522080</v>
      </c>
      <c r="C5727">
        <v>47</v>
      </c>
      <c r="D5727" t="s">
        <v>16854</v>
      </c>
      <c r="E5727">
        <v>5897</v>
      </c>
      <c r="F5727" t="s">
        <v>23479</v>
      </c>
      <c r="G5727">
        <v>1</v>
      </c>
      <c r="H5727" t="s">
        <v>2027</v>
      </c>
      <c r="J5727" t="s">
        <v>19043</v>
      </c>
      <c r="K5727" t="s">
        <v>86</v>
      </c>
      <c r="L5727" t="s">
        <v>33</v>
      </c>
      <c r="M5727" t="s">
        <v>2028</v>
      </c>
      <c r="N5727" t="s">
        <v>19098</v>
      </c>
      <c r="O5727" t="s">
        <v>19099</v>
      </c>
      <c r="P5727" s="2" t="s">
        <v>26</v>
      </c>
      <c r="Q5727" t="s">
        <v>50</v>
      </c>
      <c r="R5727">
        <v>33.79</v>
      </c>
      <c r="S5727">
        <v>33.96</v>
      </c>
      <c r="T5727" t="s">
        <v>19100</v>
      </c>
    </row>
    <row r="5728" spans="1:20" x14ac:dyDescent="0.25">
      <c r="A5728" s="1" t="str">
        <f>HYPERLINK("https://vegkart.atlas.vegvesen.no/#/@141286.8,6499743.9,18/hva:hva%5B0%5D%5Bfilter%5D%5B0%5D%5Boperator%5D=%21%3D&amp;hva%5B0%5D%5Bfilter%5D%5B0%5D%5Btype_id%5D=5897&amp;hva%5B0%5D%5Bfilter%5D%5B0%5D%5Bverdi%5D=&amp;hva%5B0%5D%5Bid%5D=47/når:2015-02-06", "Vegkart")</f>
        <v>Vegkart</v>
      </c>
      <c r="B5728">
        <v>587522081</v>
      </c>
      <c r="C5728">
        <v>47</v>
      </c>
      <c r="D5728" t="s">
        <v>16854</v>
      </c>
      <c r="E5728">
        <v>5897</v>
      </c>
      <c r="F5728" t="s">
        <v>23479</v>
      </c>
      <c r="G5728">
        <v>1</v>
      </c>
      <c r="H5728" t="s">
        <v>2027</v>
      </c>
      <c r="J5728" t="s">
        <v>19043</v>
      </c>
      <c r="K5728" t="s">
        <v>86</v>
      </c>
      <c r="L5728" t="s">
        <v>33</v>
      </c>
      <c r="M5728" t="s">
        <v>2028</v>
      </c>
      <c r="N5728" t="s">
        <v>19101</v>
      </c>
      <c r="O5728" t="s">
        <v>19102</v>
      </c>
      <c r="P5728" s="2" t="s">
        <v>26</v>
      </c>
      <c r="Q5728" t="s">
        <v>50</v>
      </c>
      <c r="R5728">
        <v>54.42</v>
      </c>
      <c r="S5728">
        <v>54.84</v>
      </c>
      <c r="T5728" t="s">
        <v>19103</v>
      </c>
    </row>
    <row r="5729" spans="1:20" x14ac:dyDescent="0.25">
      <c r="A5729" s="1" t="str">
        <f>HYPERLINK("https://vegkart.atlas.vegvesen.no/#/@141249.3,6499686.2,18/hva:hva%5B0%5D%5Bfilter%5D%5B0%5D%5Boperator%5D=%21%3D&amp;hva%5B0%5D%5Bfilter%5D%5B0%5D%5Btype_id%5D=5897&amp;hva%5B0%5D%5Bfilter%5D%5B0%5D%5Bverdi%5D=&amp;hva%5B0%5D%5Bid%5D=47/når:2015-02-06", "Vegkart")</f>
        <v>Vegkart</v>
      </c>
      <c r="B5729">
        <v>587522082</v>
      </c>
      <c r="C5729">
        <v>47</v>
      </c>
      <c r="D5729" t="s">
        <v>16854</v>
      </c>
      <c r="E5729">
        <v>5897</v>
      </c>
      <c r="F5729" t="s">
        <v>23479</v>
      </c>
      <c r="G5729">
        <v>1</v>
      </c>
      <c r="H5729" t="s">
        <v>2027</v>
      </c>
      <c r="J5729" t="s">
        <v>19043</v>
      </c>
      <c r="K5729" t="s">
        <v>86</v>
      </c>
      <c r="L5729" t="s">
        <v>33</v>
      </c>
      <c r="M5729" t="s">
        <v>2028</v>
      </c>
      <c r="N5729" t="s">
        <v>19104</v>
      </c>
      <c r="O5729" t="s">
        <v>19105</v>
      </c>
      <c r="P5729" s="2" t="s">
        <v>26</v>
      </c>
      <c r="Q5729" t="s">
        <v>50</v>
      </c>
      <c r="R5729">
        <v>48.66</v>
      </c>
      <c r="S5729">
        <v>48.93</v>
      </c>
      <c r="T5729" t="s">
        <v>19106</v>
      </c>
    </row>
    <row r="5730" spans="1:20" x14ac:dyDescent="0.25">
      <c r="A5730" s="1" t="str">
        <f>HYPERLINK("https://vegkart.atlas.vegvesen.no/#/@216994.4,6636471.9,18/hva:hva%5B0%5D%5Bfilter%5D%5B0%5D%5Boperator%5D=%21%3D&amp;hva%5B0%5D%5Bfilter%5D%5B0%5D%5Btype_id%5D=5897&amp;hva%5B0%5D%5Bfilter%5D%5B0%5D%5Bverdi%5D=&amp;hva%5B0%5D%5Bid%5D=47/når:2018-09-20", "Vegkart")</f>
        <v>Vegkart</v>
      </c>
      <c r="B5730">
        <v>587802868</v>
      </c>
      <c r="C5730">
        <v>47</v>
      </c>
      <c r="D5730" t="s">
        <v>16854</v>
      </c>
      <c r="E5730">
        <v>5897</v>
      </c>
      <c r="F5730" t="s">
        <v>23479</v>
      </c>
      <c r="G5730">
        <v>2</v>
      </c>
      <c r="H5730" t="s">
        <v>6093</v>
      </c>
      <c r="J5730" t="s">
        <v>19043</v>
      </c>
      <c r="K5730" t="s">
        <v>307</v>
      </c>
      <c r="L5730" t="s">
        <v>33</v>
      </c>
      <c r="M5730" t="s">
        <v>571</v>
      </c>
      <c r="N5730" t="s">
        <v>19107</v>
      </c>
      <c r="O5730" t="s">
        <v>19108</v>
      </c>
      <c r="P5730" s="2" t="s">
        <v>37</v>
      </c>
      <c r="Q5730" t="s">
        <v>1208</v>
      </c>
      <c r="R5730">
        <v>11.25</v>
      </c>
      <c r="S5730">
        <v>65.23</v>
      </c>
      <c r="T5730" t="s">
        <v>19109</v>
      </c>
    </row>
    <row r="5731" spans="1:20" x14ac:dyDescent="0.25">
      <c r="A5731" s="1" t="str">
        <f>HYPERLINK("https://vegkart.atlas.vegvesen.no/#/@217323.0,6636053.1,18/hva:hva%5B0%5D%5Bfilter%5D%5B0%5D%5Boperator%5D=%21%3D&amp;hva%5B0%5D%5Bfilter%5D%5B0%5D%5Btype_id%5D=5897&amp;hva%5B0%5D%5Bfilter%5D%5B0%5D%5Bverdi%5D=&amp;hva%5B0%5D%5Bid%5D=47/når:2015-02-16", "Vegkart")</f>
        <v>Vegkart</v>
      </c>
      <c r="B5731">
        <v>587802870</v>
      </c>
      <c r="C5731">
        <v>47</v>
      </c>
      <c r="D5731" t="s">
        <v>16854</v>
      </c>
      <c r="E5731">
        <v>5897</v>
      </c>
      <c r="F5731" t="s">
        <v>23479</v>
      </c>
      <c r="G5731">
        <v>1</v>
      </c>
      <c r="H5731" t="s">
        <v>19110</v>
      </c>
      <c r="J5731" t="s">
        <v>19043</v>
      </c>
      <c r="K5731" t="s">
        <v>307</v>
      </c>
      <c r="L5731" t="s">
        <v>33</v>
      </c>
      <c r="M5731" t="s">
        <v>571</v>
      </c>
      <c r="N5731" t="s">
        <v>19111</v>
      </c>
      <c r="O5731" t="s">
        <v>19112</v>
      </c>
      <c r="P5731" s="2" t="s">
        <v>37</v>
      </c>
      <c r="Q5731" t="s">
        <v>1208</v>
      </c>
      <c r="R5731">
        <v>2.39</v>
      </c>
      <c r="S5731">
        <v>105.69</v>
      </c>
      <c r="T5731" t="s">
        <v>19113</v>
      </c>
    </row>
    <row r="5732" spans="1:20" x14ac:dyDescent="0.25">
      <c r="A5732" s="1" t="str">
        <f>HYPERLINK("https://vegkart.atlas.vegvesen.no/#/@217026.6,6636415.8,18/hva:hva%5B0%5D%5Bfilter%5D%5B0%5D%5Boperator%5D=%21%3D&amp;hva%5B0%5D%5Bfilter%5D%5B0%5D%5Btype_id%5D=5897&amp;hva%5B0%5D%5Bfilter%5D%5B0%5D%5Bverdi%5D=&amp;hva%5B0%5D%5Bid%5D=47/når:2018-09-20", "Vegkart")</f>
        <v>Vegkart</v>
      </c>
      <c r="B5732">
        <v>587802871</v>
      </c>
      <c r="C5732">
        <v>47</v>
      </c>
      <c r="D5732" t="s">
        <v>16854</v>
      </c>
      <c r="E5732">
        <v>5897</v>
      </c>
      <c r="F5732" t="s">
        <v>23479</v>
      </c>
      <c r="G5732">
        <v>2</v>
      </c>
      <c r="H5732" t="s">
        <v>6093</v>
      </c>
      <c r="J5732" t="s">
        <v>19043</v>
      </c>
      <c r="K5732" t="s">
        <v>307</v>
      </c>
      <c r="L5732" t="s">
        <v>33</v>
      </c>
      <c r="M5732" t="s">
        <v>571</v>
      </c>
      <c r="N5732" t="s">
        <v>19114</v>
      </c>
      <c r="O5732" t="s">
        <v>19115</v>
      </c>
      <c r="P5732" s="2" t="s">
        <v>37</v>
      </c>
      <c r="Q5732" t="s">
        <v>1208</v>
      </c>
      <c r="R5732">
        <v>2.87</v>
      </c>
      <c r="S5732">
        <v>110.05</v>
      </c>
      <c r="T5732" t="s">
        <v>19116</v>
      </c>
    </row>
    <row r="5733" spans="1:20" x14ac:dyDescent="0.25">
      <c r="A5733" s="1" t="str">
        <f>HYPERLINK("https://vegkart.atlas.vegvesen.no/#/@112886.6,6477436.9,18/hva:hva%5B0%5D%5Bfilter%5D%5B0%5D%5Boperator%5D=%21%3D&amp;hva%5B0%5D%5Bfilter%5D%5B0%5D%5Btype_id%5D=5897&amp;hva%5B0%5D%5Bfilter%5D%5B0%5D%5Bverdi%5D=&amp;hva%5B0%5D%5Bid%5D=47/når:2015-02-24", "Vegkart")</f>
        <v>Vegkart</v>
      </c>
      <c r="B5733">
        <v>588032078</v>
      </c>
      <c r="C5733">
        <v>47</v>
      </c>
      <c r="D5733" t="s">
        <v>16854</v>
      </c>
      <c r="E5733">
        <v>5897</v>
      </c>
      <c r="F5733" t="s">
        <v>23479</v>
      </c>
      <c r="G5733">
        <v>1</v>
      </c>
      <c r="H5733" t="s">
        <v>19117</v>
      </c>
      <c r="J5733" t="s">
        <v>19043</v>
      </c>
      <c r="K5733" t="s">
        <v>86</v>
      </c>
      <c r="L5733" t="s">
        <v>80</v>
      </c>
      <c r="M5733" t="s">
        <v>53</v>
      </c>
      <c r="N5733" t="s">
        <v>19118</v>
      </c>
      <c r="O5733" t="s">
        <v>19119</v>
      </c>
      <c r="P5733" s="2" t="s">
        <v>26</v>
      </c>
      <c r="Q5733" t="s">
        <v>50</v>
      </c>
      <c r="R5733">
        <v>55.52</v>
      </c>
      <c r="S5733">
        <v>55.91</v>
      </c>
      <c r="T5733" t="s">
        <v>19120</v>
      </c>
    </row>
    <row r="5734" spans="1:20" x14ac:dyDescent="0.25">
      <c r="A5734" s="1" t="str">
        <f>HYPERLINK("https://vegkart.atlas.vegvesen.no/#/@112899.1,6477446.3,18/hva:hva%5B0%5D%5Bfilter%5D%5B0%5D%5Boperator%5D=%21%3D&amp;hva%5B0%5D%5Bfilter%5D%5B0%5D%5Btype_id%5D=5897&amp;hva%5B0%5D%5Bfilter%5D%5B0%5D%5Bverdi%5D=&amp;hva%5B0%5D%5Bid%5D=47/når:2015-02-24", "Vegkart")</f>
        <v>Vegkart</v>
      </c>
      <c r="B5734">
        <v>588032079</v>
      </c>
      <c r="C5734">
        <v>47</v>
      </c>
      <c r="D5734" t="s">
        <v>16854</v>
      </c>
      <c r="E5734">
        <v>5897</v>
      </c>
      <c r="F5734" t="s">
        <v>23479</v>
      </c>
      <c r="G5734">
        <v>1</v>
      </c>
      <c r="H5734" t="s">
        <v>19117</v>
      </c>
      <c r="J5734" t="s">
        <v>19043</v>
      </c>
      <c r="K5734" t="s">
        <v>86</v>
      </c>
      <c r="L5734" t="s">
        <v>80</v>
      </c>
      <c r="M5734" t="s">
        <v>53</v>
      </c>
      <c r="N5734" t="s">
        <v>19121</v>
      </c>
      <c r="O5734" t="s">
        <v>19122</v>
      </c>
      <c r="P5734" s="2" t="s">
        <v>26</v>
      </c>
      <c r="Q5734" t="s">
        <v>50</v>
      </c>
      <c r="R5734">
        <v>44.85</v>
      </c>
      <c r="S5734">
        <v>44.99</v>
      </c>
      <c r="T5734" t="s">
        <v>19123</v>
      </c>
    </row>
    <row r="5735" spans="1:20" x14ac:dyDescent="0.25">
      <c r="A5735" s="1" t="str">
        <f>HYPERLINK("https://vegkart.atlas.vegvesen.no/#/@270847.3,7037170.7,18/hva:hva%5B0%5D%5Bfilter%5D%5B0%5D%5Boperator%5D=%21%3D&amp;hva%5B0%5D%5Bfilter%5D%5B0%5D%5Btype_id%5D=5897&amp;hva%5B0%5D%5Bfilter%5D%5B0%5D%5Bverdi%5D=&amp;hva%5B0%5D%5Bid%5D=47/når:2015-03-11", "Vegkart")</f>
        <v>Vegkart</v>
      </c>
      <c r="B5735">
        <v>588584029</v>
      </c>
      <c r="C5735">
        <v>47</v>
      </c>
      <c r="D5735" t="s">
        <v>16854</v>
      </c>
      <c r="E5735">
        <v>5897</v>
      </c>
      <c r="F5735" t="s">
        <v>23479</v>
      </c>
      <c r="G5735">
        <v>1</v>
      </c>
      <c r="H5735" t="s">
        <v>19124</v>
      </c>
      <c r="J5735" t="s">
        <v>19043</v>
      </c>
      <c r="K5735" t="s">
        <v>192</v>
      </c>
      <c r="L5735" t="s">
        <v>22</v>
      </c>
      <c r="M5735" t="s">
        <v>19125</v>
      </c>
      <c r="N5735" t="s">
        <v>19126</v>
      </c>
      <c r="O5735" t="s">
        <v>19127</v>
      </c>
      <c r="P5735" s="2" t="s">
        <v>26</v>
      </c>
      <c r="Q5735" t="s">
        <v>50</v>
      </c>
      <c r="R5735">
        <v>54.48</v>
      </c>
      <c r="S5735">
        <v>54.59</v>
      </c>
      <c r="T5735" t="s">
        <v>19128</v>
      </c>
    </row>
    <row r="5736" spans="1:20" x14ac:dyDescent="0.25">
      <c r="A5736" s="1" t="str">
        <f>HYPERLINK("https://vegkart.atlas.vegvesen.no/#/@270212.9,7037198.2,18/hva:hva%5B0%5D%5Bfilter%5D%5B0%5D%5Boperator%5D=%21%3D&amp;hva%5B0%5D%5Bfilter%5D%5B0%5D%5Btype_id%5D=5897&amp;hva%5B0%5D%5Bfilter%5D%5B0%5D%5Bverdi%5D=&amp;hva%5B0%5D%5Bid%5D=47/når:2015-03-11", "Vegkart")</f>
        <v>Vegkart</v>
      </c>
      <c r="B5736">
        <v>588584030</v>
      </c>
      <c r="C5736">
        <v>47</v>
      </c>
      <c r="D5736" t="s">
        <v>16854</v>
      </c>
      <c r="E5736">
        <v>5897</v>
      </c>
      <c r="F5736" t="s">
        <v>23479</v>
      </c>
      <c r="G5736">
        <v>1</v>
      </c>
      <c r="H5736" t="s">
        <v>19124</v>
      </c>
      <c r="J5736" t="s">
        <v>19043</v>
      </c>
      <c r="K5736" t="s">
        <v>192</v>
      </c>
      <c r="L5736" t="s">
        <v>22</v>
      </c>
      <c r="M5736" t="s">
        <v>19125</v>
      </c>
      <c r="N5736" t="s">
        <v>19129</v>
      </c>
      <c r="O5736" t="s">
        <v>19130</v>
      </c>
      <c r="P5736" s="2" t="s">
        <v>26</v>
      </c>
      <c r="Q5736" t="s">
        <v>50</v>
      </c>
      <c r="R5736">
        <v>42.13</v>
      </c>
      <c r="S5736">
        <v>42.42</v>
      </c>
      <c r="T5736" t="s">
        <v>19131</v>
      </c>
    </row>
    <row r="5737" spans="1:20" x14ac:dyDescent="0.25">
      <c r="A5737" s="1" t="str">
        <f>HYPERLINK("https://vegkart.atlas.vegvesen.no/#/@269458.3,7036534.5,18/hva:hva%5B0%5D%5Bfilter%5D%5B0%5D%5Boperator%5D=%21%3D&amp;hva%5B0%5D%5Bfilter%5D%5B0%5D%5Btype_id%5D=5897&amp;hva%5B0%5D%5Bfilter%5D%5B0%5D%5Bverdi%5D=&amp;hva%5B0%5D%5Bid%5D=47/når:2015-03-11", "Vegkart")</f>
        <v>Vegkart</v>
      </c>
      <c r="B5737">
        <v>588584031</v>
      </c>
      <c r="C5737">
        <v>47</v>
      </c>
      <c r="D5737" t="s">
        <v>16854</v>
      </c>
      <c r="E5737">
        <v>5897</v>
      </c>
      <c r="F5737" t="s">
        <v>23479</v>
      </c>
      <c r="G5737">
        <v>1</v>
      </c>
      <c r="H5737" t="s">
        <v>19124</v>
      </c>
      <c r="J5737" t="s">
        <v>19043</v>
      </c>
      <c r="K5737" t="s">
        <v>192</v>
      </c>
      <c r="L5737" t="s">
        <v>22</v>
      </c>
      <c r="M5737" t="s">
        <v>19132</v>
      </c>
      <c r="N5737" t="s">
        <v>19133</v>
      </c>
      <c r="O5737" t="s">
        <v>19134</v>
      </c>
      <c r="P5737" s="2" t="s">
        <v>26</v>
      </c>
      <c r="Q5737" t="s">
        <v>50</v>
      </c>
      <c r="R5737">
        <v>55.52</v>
      </c>
      <c r="S5737">
        <v>56.49</v>
      </c>
      <c r="T5737" t="s">
        <v>19135</v>
      </c>
    </row>
    <row r="5738" spans="1:20" x14ac:dyDescent="0.25">
      <c r="A5738" s="1" t="str">
        <f>HYPERLINK("https://vegkart.atlas.vegvesen.no/#/@269513.6,7036493.2,18/hva:hva%5B0%5D%5Bfilter%5D%5B0%5D%5Boperator%5D=%21%3D&amp;hva%5B0%5D%5Bfilter%5D%5B0%5D%5Btype_id%5D=5897&amp;hva%5B0%5D%5Bfilter%5D%5B0%5D%5Bverdi%5D=&amp;hva%5B0%5D%5Bid%5D=47/når:2015-03-11", "Vegkart")</f>
        <v>Vegkart</v>
      </c>
      <c r="B5738">
        <v>588584032</v>
      </c>
      <c r="C5738">
        <v>47</v>
      </c>
      <c r="D5738" t="s">
        <v>16854</v>
      </c>
      <c r="E5738">
        <v>5897</v>
      </c>
      <c r="F5738" t="s">
        <v>23479</v>
      </c>
      <c r="G5738">
        <v>1</v>
      </c>
      <c r="H5738" t="s">
        <v>19124</v>
      </c>
      <c r="J5738" t="s">
        <v>19043</v>
      </c>
      <c r="K5738" t="s">
        <v>192</v>
      </c>
      <c r="L5738" t="s">
        <v>22</v>
      </c>
      <c r="M5738" t="s">
        <v>19132</v>
      </c>
      <c r="N5738" t="s">
        <v>19136</v>
      </c>
      <c r="O5738" t="s">
        <v>19137</v>
      </c>
      <c r="P5738" s="2" t="s">
        <v>26</v>
      </c>
      <c r="Q5738" t="s">
        <v>50</v>
      </c>
      <c r="R5738">
        <v>50.2</v>
      </c>
      <c r="S5738">
        <v>50.58</v>
      </c>
      <c r="T5738" t="s">
        <v>19138</v>
      </c>
    </row>
    <row r="5739" spans="1:20" x14ac:dyDescent="0.25">
      <c r="A5739" s="1" t="str">
        <f>HYPERLINK("https://vegkart.atlas.vegvesen.no/#/@269877.9,7036277.1,18/hva:hva%5B0%5D%5Bfilter%5D%5B0%5D%5Boperator%5D=%21%3D&amp;hva%5B0%5D%5Bfilter%5D%5B0%5D%5Btype_id%5D=5897&amp;hva%5B0%5D%5Bfilter%5D%5B0%5D%5Bverdi%5D=&amp;hva%5B0%5D%5Bid%5D=47/når:2015-03-11", "Vegkart")</f>
        <v>Vegkart</v>
      </c>
      <c r="B5739">
        <v>588584033</v>
      </c>
      <c r="C5739">
        <v>47</v>
      </c>
      <c r="D5739" t="s">
        <v>16854</v>
      </c>
      <c r="E5739">
        <v>5897</v>
      </c>
      <c r="F5739" t="s">
        <v>23479</v>
      </c>
      <c r="G5739">
        <v>1</v>
      </c>
      <c r="H5739" t="s">
        <v>19124</v>
      </c>
      <c r="J5739" t="s">
        <v>19043</v>
      </c>
      <c r="K5739" t="s">
        <v>192</v>
      </c>
      <c r="L5739" t="s">
        <v>22</v>
      </c>
      <c r="M5739" t="s">
        <v>19132</v>
      </c>
      <c r="N5739" t="s">
        <v>19139</v>
      </c>
      <c r="O5739" t="s">
        <v>19140</v>
      </c>
      <c r="P5739" s="2" t="s">
        <v>26</v>
      </c>
      <c r="Q5739" t="s">
        <v>50</v>
      </c>
      <c r="R5739">
        <v>48.98</v>
      </c>
      <c r="S5739">
        <v>50.91</v>
      </c>
      <c r="T5739" t="s">
        <v>19141</v>
      </c>
    </row>
    <row r="5740" spans="1:20" x14ac:dyDescent="0.25">
      <c r="A5740" s="1" t="str">
        <f>HYPERLINK("https://vegkart.atlas.vegvesen.no/#/@269951.5,7036245.3,18/hva:hva%5B0%5D%5Bfilter%5D%5B0%5D%5Boperator%5D=%21%3D&amp;hva%5B0%5D%5Bfilter%5D%5B0%5D%5Btype_id%5D=5897&amp;hva%5B0%5D%5Bfilter%5D%5B0%5D%5Bverdi%5D=&amp;hva%5B0%5D%5Bid%5D=47/når:2015-03-11", "Vegkart")</f>
        <v>Vegkart</v>
      </c>
      <c r="B5740">
        <v>588584034</v>
      </c>
      <c r="C5740">
        <v>47</v>
      </c>
      <c r="D5740" t="s">
        <v>16854</v>
      </c>
      <c r="E5740">
        <v>5897</v>
      </c>
      <c r="F5740" t="s">
        <v>23479</v>
      </c>
      <c r="G5740">
        <v>1</v>
      </c>
      <c r="H5740" t="s">
        <v>19124</v>
      </c>
      <c r="J5740" t="s">
        <v>19043</v>
      </c>
      <c r="K5740" t="s">
        <v>192</v>
      </c>
      <c r="L5740" t="s">
        <v>22</v>
      </c>
      <c r="M5740" t="s">
        <v>19132</v>
      </c>
      <c r="N5740" t="s">
        <v>19142</v>
      </c>
      <c r="O5740" t="s">
        <v>19143</v>
      </c>
      <c r="P5740" s="2" t="s">
        <v>26</v>
      </c>
      <c r="Q5740" t="s">
        <v>50</v>
      </c>
      <c r="R5740">
        <v>54.06</v>
      </c>
      <c r="S5740">
        <v>54.3</v>
      </c>
      <c r="T5740" t="s">
        <v>19144</v>
      </c>
    </row>
    <row r="5741" spans="1:20" x14ac:dyDescent="0.25">
      <c r="A5741" s="1" t="str">
        <f>HYPERLINK("https://vegkart.atlas.vegvesen.no/#/@270592.0,7039249.9,18/hva:hva%5B0%5D%5Bfilter%5D%5B0%5D%5Boperator%5D=%21%3D&amp;hva%5B0%5D%5Bfilter%5D%5B0%5D%5Btype_id%5D=5897&amp;hva%5B0%5D%5Bfilter%5D%5B0%5D%5Bverdi%5D=&amp;hva%5B0%5D%5Bid%5D=47/når:2015-03-11", "Vegkart")</f>
        <v>Vegkart</v>
      </c>
      <c r="B5741">
        <v>588584035</v>
      </c>
      <c r="C5741">
        <v>47</v>
      </c>
      <c r="D5741" t="s">
        <v>16854</v>
      </c>
      <c r="E5741">
        <v>5897</v>
      </c>
      <c r="F5741" t="s">
        <v>23479</v>
      </c>
      <c r="G5741">
        <v>1</v>
      </c>
      <c r="H5741" t="s">
        <v>19124</v>
      </c>
      <c r="J5741" t="s">
        <v>19043</v>
      </c>
      <c r="K5741" t="s">
        <v>192</v>
      </c>
      <c r="L5741" t="s">
        <v>22</v>
      </c>
      <c r="M5741" t="s">
        <v>1676</v>
      </c>
      <c r="N5741" t="s">
        <v>19145</v>
      </c>
      <c r="O5741" t="s">
        <v>19146</v>
      </c>
      <c r="P5741" s="2" t="s">
        <v>26</v>
      </c>
      <c r="Q5741" t="s">
        <v>50</v>
      </c>
      <c r="R5741">
        <v>39.86</v>
      </c>
      <c r="S5741">
        <v>40.6</v>
      </c>
      <c r="T5741" t="s">
        <v>19147</v>
      </c>
    </row>
    <row r="5742" spans="1:20" x14ac:dyDescent="0.25">
      <c r="A5742" s="1" t="str">
        <f>HYPERLINK("https://vegkart.atlas.vegvesen.no/#/@270524.3,7038025.2,18/hva:hva%5B0%5D%5Bfilter%5D%5B0%5D%5Boperator%5D=%21%3D&amp;hva%5B0%5D%5Bfilter%5D%5B0%5D%5Btype_id%5D=5897&amp;hva%5B0%5D%5Bfilter%5D%5B0%5D%5Bverdi%5D=&amp;hva%5B0%5D%5Bid%5D=47/når:2015-03-11", "Vegkart")</f>
        <v>Vegkart</v>
      </c>
      <c r="B5742">
        <v>588584038</v>
      </c>
      <c r="C5742">
        <v>47</v>
      </c>
      <c r="D5742" t="s">
        <v>16854</v>
      </c>
      <c r="E5742">
        <v>5897</v>
      </c>
      <c r="F5742" t="s">
        <v>23479</v>
      </c>
      <c r="G5742">
        <v>1</v>
      </c>
      <c r="H5742" t="s">
        <v>19124</v>
      </c>
      <c r="J5742" t="s">
        <v>19043</v>
      </c>
      <c r="K5742" t="s">
        <v>192</v>
      </c>
      <c r="L5742" t="s">
        <v>22</v>
      </c>
      <c r="M5742" t="s">
        <v>12110</v>
      </c>
      <c r="N5742" t="s">
        <v>19148</v>
      </c>
      <c r="O5742" t="s">
        <v>19149</v>
      </c>
      <c r="P5742" s="2" t="s">
        <v>26</v>
      </c>
      <c r="Q5742" t="s">
        <v>50</v>
      </c>
      <c r="R5742">
        <v>40.72</v>
      </c>
      <c r="S5742">
        <v>41.27</v>
      </c>
      <c r="T5742" t="s">
        <v>19150</v>
      </c>
    </row>
    <row r="5743" spans="1:20" x14ac:dyDescent="0.25">
      <c r="A5743" s="1" t="str">
        <f>HYPERLINK("https://vegkart.atlas.vegvesen.no/#/@270358.7,7037676.4,18/hva:hva%5B0%5D%5Bfilter%5D%5B0%5D%5Boperator%5D=%21%3D&amp;hva%5B0%5D%5Bfilter%5D%5B0%5D%5Btype_id%5D=5897&amp;hva%5B0%5D%5Bfilter%5D%5B0%5D%5Bverdi%5D=&amp;hva%5B0%5D%5Bid%5D=47/når:2015-03-11", "Vegkart")</f>
        <v>Vegkart</v>
      </c>
      <c r="B5743">
        <v>588584039</v>
      </c>
      <c r="C5743">
        <v>47</v>
      </c>
      <c r="D5743" t="s">
        <v>16854</v>
      </c>
      <c r="E5743">
        <v>5897</v>
      </c>
      <c r="F5743" t="s">
        <v>23479</v>
      </c>
      <c r="G5743">
        <v>1</v>
      </c>
      <c r="H5743" t="s">
        <v>19124</v>
      </c>
      <c r="J5743" t="s">
        <v>19043</v>
      </c>
      <c r="K5743" t="s">
        <v>192</v>
      </c>
      <c r="L5743" t="s">
        <v>22</v>
      </c>
      <c r="M5743" t="s">
        <v>12110</v>
      </c>
      <c r="N5743" t="s">
        <v>19151</v>
      </c>
      <c r="O5743" t="s">
        <v>19152</v>
      </c>
      <c r="P5743" s="2" t="s">
        <v>26</v>
      </c>
      <c r="Q5743" t="s">
        <v>50</v>
      </c>
      <c r="R5743">
        <v>47.72</v>
      </c>
      <c r="S5743">
        <v>48.63</v>
      </c>
      <c r="T5743" t="s">
        <v>19153</v>
      </c>
    </row>
    <row r="5744" spans="1:20" x14ac:dyDescent="0.25">
      <c r="A5744" s="1" t="str">
        <f>HYPERLINK("https://vegkart.atlas.vegvesen.no/#/@270493.0,7037953.2,18/hva:hva%5B0%5D%5Bfilter%5D%5B0%5D%5Boperator%5D=%21%3D&amp;hva%5B0%5D%5Bfilter%5D%5B0%5D%5Btype_id%5D=5897&amp;hva%5B0%5D%5Bfilter%5D%5B0%5D%5Bverdi%5D=&amp;hva%5B0%5D%5Bid%5D=47/når:2015-03-11", "Vegkart")</f>
        <v>Vegkart</v>
      </c>
      <c r="B5744">
        <v>588584040</v>
      </c>
      <c r="C5744">
        <v>47</v>
      </c>
      <c r="D5744" t="s">
        <v>16854</v>
      </c>
      <c r="E5744">
        <v>5897</v>
      </c>
      <c r="F5744" t="s">
        <v>23479</v>
      </c>
      <c r="G5744">
        <v>1</v>
      </c>
      <c r="H5744" t="s">
        <v>19124</v>
      </c>
      <c r="J5744" t="s">
        <v>19043</v>
      </c>
      <c r="K5744" t="s">
        <v>192</v>
      </c>
      <c r="L5744" t="s">
        <v>22</v>
      </c>
      <c r="M5744" t="s">
        <v>12110</v>
      </c>
      <c r="N5744" t="s">
        <v>19154</v>
      </c>
      <c r="O5744" t="s">
        <v>19155</v>
      </c>
      <c r="P5744" s="2" t="s">
        <v>26</v>
      </c>
      <c r="Q5744" t="s">
        <v>50</v>
      </c>
      <c r="R5744">
        <v>42.98</v>
      </c>
      <c r="S5744">
        <v>43.41</v>
      </c>
      <c r="T5744" t="s">
        <v>19156</v>
      </c>
    </row>
    <row r="5745" spans="1:20" x14ac:dyDescent="0.25">
      <c r="A5745" s="1" t="str">
        <f>HYPERLINK("https://vegkart.atlas.vegvesen.no/#/@270274.1,7037594.7,18/hva:hva%5B0%5D%5Bfilter%5D%5B0%5D%5Boperator%5D=%21%3D&amp;hva%5B0%5D%5Bfilter%5D%5B0%5D%5Btype_id%5D=5897&amp;hva%5B0%5D%5Bfilter%5D%5B0%5D%5Bverdi%5D=&amp;hva%5B0%5D%5Bid%5D=47/når:2015-03-11", "Vegkart")</f>
        <v>Vegkart</v>
      </c>
      <c r="B5745">
        <v>588584041</v>
      </c>
      <c r="C5745">
        <v>47</v>
      </c>
      <c r="D5745" t="s">
        <v>16854</v>
      </c>
      <c r="E5745">
        <v>5897</v>
      </c>
      <c r="F5745" t="s">
        <v>23479</v>
      </c>
      <c r="G5745">
        <v>1</v>
      </c>
      <c r="H5745" t="s">
        <v>19124</v>
      </c>
      <c r="J5745" t="s">
        <v>19043</v>
      </c>
      <c r="K5745" t="s">
        <v>192</v>
      </c>
      <c r="L5745" t="s">
        <v>22</v>
      </c>
      <c r="M5745" t="s">
        <v>12110</v>
      </c>
      <c r="N5745" t="s">
        <v>19157</v>
      </c>
      <c r="O5745" t="s">
        <v>19158</v>
      </c>
      <c r="P5745" s="2" t="s">
        <v>26</v>
      </c>
      <c r="Q5745" t="s">
        <v>50</v>
      </c>
      <c r="R5745">
        <v>51.26</v>
      </c>
      <c r="S5745">
        <v>52.15</v>
      </c>
      <c r="T5745" t="s">
        <v>19159</v>
      </c>
    </row>
    <row r="5746" spans="1:20" x14ac:dyDescent="0.25">
      <c r="A5746" s="1" t="str">
        <f>HYPERLINK("https://vegkart.atlas.vegvesen.no/#/@269730.1,7036959.0,18/hva:hva%5B0%5D%5Bfilter%5D%5B0%5D%5Boperator%5D=%21%3D&amp;hva%5B0%5D%5Bfilter%5D%5B0%5D%5Btype_id%5D=5897&amp;hva%5B0%5D%5Bfilter%5D%5B0%5D%5Bverdi%5D=&amp;hva%5B0%5D%5Bid%5D=47/når:2015-03-11", "Vegkart")</f>
        <v>Vegkart</v>
      </c>
      <c r="B5746">
        <v>588584042</v>
      </c>
      <c r="C5746">
        <v>47</v>
      </c>
      <c r="D5746" t="s">
        <v>16854</v>
      </c>
      <c r="E5746">
        <v>5897</v>
      </c>
      <c r="F5746" t="s">
        <v>23479</v>
      </c>
      <c r="G5746">
        <v>1</v>
      </c>
      <c r="H5746" t="s">
        <v>19124</v>
      </c>
      <c r="J5746" t="s">
        <v>19043</v>
      </c>
      <c r="K5746" t="s">
        <v>192</v>
      </c>
      <c r="L5746" t="s">
        <v>22</v>
      </c>
      <c r="M5746" t="s">
        <v>12110</v>
      </c>
      <c r="N5746" t="s">
        <v>19160</v>
      </c>
      <c r="O5746" t="s">
        <v>19161</v>
      </c>
      <c r="P5746" s="2" t="s">
        <v>26</v>
      </c>
      <c r="Q5746" t="s">
        <v>50</v>
      </c>
      <c r="R5746">
        <v>36.28</v>
      </c>
      <c r="S5746">
        <v>37.130000000000003</v>
      </c>
      <c r="T5746" t="s">
        <v>19162</v>
      </c>
    </row>
    <row r="5747" spans="1:20" x14ac:dyDescent="0.25">
      <c r="A5747" s="1" t="str">
        <f>HYPERLINK("https://vegkart.atlas.vegvesen.no/#/@270084.5,7036345.0,18/hva:hva%5B0%5D%5Bfilter%5D%5B0%5D%5Boperator%5D=%21%3D&amp;hva%5B0%5D%5Bfilter%5D%5B0%5D%5Btype_id%5D=5897&amp;hva%5B0%5D%5Bfilter%5D%5B0%5D%5Bverdi%5D=&amp;hva%5B0%5D%5Bid%5D=47/når:2015-03-11", "Vegkart")</f>
        <v>Vegkart</v>
      </c>
      <c r="B5747">
        <v>588584043</v>
      </c>
      <c r="C5747">
        <v>47</v>
      </c>
      <c r="D5747" t="s">
        <v>16854</v>
      </c>
      <c r="E5747">
        <v>5897</v>
      </c>
      <c r="F5747" t="s">
        <v>23479</v>
      </c>
      <c r="G5747">
        <v>1</v>
      </c>
      <c r="H5747" t="s">
        <v>19124</v>
      </c>
      <c r="J5747" t="s">
        <v>19043</v>
      </c>
      <c r="K5747" t="s">
        <v>192</v>
      </c>
      <c r="L5747" t="s">
        <v>22</v>
      </c>
      <c r="M5747" t="s">
        <v>12110</v>
      </c>
      <c r="N5747" t="s">
        <v>19163</v>
      </c>
      <c r="O5747" t="s">
        <v>19164</v>
      </c>
      <c r="P5747" s="2" t="s">
        <v>26</v>
      </c>
      <c r="Q5747" t="s">
        <v>50</v>
      </c>
      <c r="R5747">
        <v>44.6</v>
      </c>
      <c r="S5747">
        <v>45.14</v>
      </c>
      <c r="T5747" t="s">
        <v>19165</v>
      </c>
    </row>
    <row r="5748" spans="1:20" x14ac:dyDescent="0.25">
      <c r="A5748" s="1" t="str">
        <f>HYPERLINK("https://vegkart.atlas.vegvesen.no/#/@269383.6,7035111.8,18/hva:hva%5B0%5D%5Bfilter%5D%5B0%5D%5Boperator%5D=%21%3D&amp;hva%5B0%5D%5Bfilter%5D%5B0%5D%5Btype_id%5D=5897&amp;hva%5B0%5D%5Bfilter%5D%5B0%5D%5Bverdi%5D=&amp;hva%5B0%5D%5Bid%5D=47/når:2015-03-11", "Vegkart")</f>
        <v>Vegkart</v>
      </c>
      <c r="B5748">
        <v>588584046</v>
      </c>
      <c r="C5748">
        <v>47</v>
      </c>
      <c r="D5748" t="s">
        <v>16854</v>
      </c>
      <c r="E5748">
        <v>5897</v>
      </c>
      <c r="F5748" t="s">
        <v>23479</v>
      </c>
      <c r="G5748">
        <v>1</v>
      </c>
      <c r="H5748" t="s">
        <v>19124</v>
      </c>
      <c r="J5748" t="s">
        <v>19043</v>
      </c>
      <c r="K5748" t="s">
        <v>192</v>
      </c>
      <c r="L5748" t="s">
        <v>22</v>
      </c>
      <c r="M5748" t="s">
        <v>19166</v>
      </c>
      <c r="N5748" t="s">
        <v>19167</v>
      </c>
      <c r="O5748" t="s">
        <v>19168</v>
      </c>
      <c r="P5748" s="2" t="s">
        <v>26</v>
      </c>
      <c r="Q5748" t="s">
        <v>50</v>
      </c>
      <c r="R5748">
        <v>54.02</v>
      </c>
      <c r="S5748">
        <v>54.28</v>
      </c>
      <c r="T5748" t="s">
        <v>19169</v>
      </c>
    </row>
    <row r="5749" spans="1:20" x14ac:dyDescent="0.25">
      <c r="A5749" s="1" t="str">
        <f>HYPERLINK("https://vegkart.atlas.vegvesen.no/#/@269422.8,7035135.0,18/hva:hva%5B0%5D%5Bfilter%5D%5B0%5D%5Boperator%5D=%21%3D&amp;hva%5B0%5D%5Bfilter%5D%5B0%5D%5Btype_id%5D=5897&amp;hva%5B0%5D%5Bfilter%5D%5B0%5D%5Bverdi%5D=&amp;hva%5B0%5D%5Bid%5D=47/når:2015-03-11", "Vegkart")</f>
        <v>Vegkart</v>
      </c>
      <c r="B5749">
        <v>588584047</v>
      </c>
      <c r="C5749">
        <v>47</v>
      </c>
      <c r="D5749" t="s">
        <v>16854</v>
      </c>
      <c r="E5749">
        <v>5897</v>
      </c>
      <c r="F5749" t="s">
        <v>23479</v>
      </c>
      <c r="G5749">
        <v>1</v>
      </c>
      <c r="H5749" t="s">
        <v>19124</v>
      </c>
      <c r="J5749" t="s">
        <v>19043</v>
      </c>
      <c r="K5749" t="s">
        <v>192</v>
      </c>
      <c r="L5749" t="s">
        <v>22</v>
      </c>
      <c r="M5749" t="s">
        <v>19166</v>
      </c>
      <c r="N5749" t="s">
        <v>19170</v>
      </c>
      <c r="O5749" t="s">
        <v>19171</v>
      </c>
      <c r="P5749" s="2" t="s">
        <v>26</v>
      </c>
      <c r="Q5749" t="s">
        <v>50</v>
      </c>
      <c r="R5749">
        <v>44.32</v>
      </c>
      <c r="S5749">
        <v>45.35</v>
      </c>
      <c r="T5749" t="s">
        <v>19172</v>
      </c>
    </row>
    <row r="5750" spans="1:20" x14ac:dyDescent="0.25">
      <c r="A5750" s="1" t="str">
        <f>HYPERLINK("https://vegkart.atlas.vegvesen.no/#/@269821.7,7035050.8,18/hva:hva%5B0%5D%5Bfilter%5D%5B0%5D%5Boperator%5D=%21%3D&amp;hva%5B0%5D%5Bfilter%5D%5B0%5D%5Btype_id%5D=5897&amp;hva%5B0%5D%5Bfilter%5D%5B0%5D%5Bverdi%5D=&amp;hva%5B0%5D%5Bid%5D=47/når:2015-03-11", "Vegkart")</f>
        <v>Vegkart</v>
      </c>
      <c r="B5750">
        <v>588584048</v>
      </c>
      <c r="C5750">
        <v>47</v>
      </c>
      <c r="D5750" t="s">
        <v>16854</v>
      </c>
      <c r="E5750">
        <v>5897</v>
      </c>
      <c r="F5750" t="s">
        <v>23479</v>
      </c>
      <c r="G5750">
        <v>1</v>
      </c>
      <c r="H5750" t="s">
        <v>19124</v>
      </c>
      <c r="J5750" t="s">
        <v>19043</v>
      </c>
      <c r="K5750" t="s">
        <v>192</v>
      </c>
      <c r="L5750" t="s">
        <v>22</v>
      </c>
      <c r="M5750" t="s">
        <v>19166</v>
      </c>
      <c r="N5750" t="s">
        <v>19173</v>
      </c>
      <c r="O5750" t="s">
        <v>19174</v>
      </c>
      <c r="P5750" s="2" t="s">
        <v>26</v>
      </c>
      <c r="Q5750" t="s">
        <v>50</v>
      </c>
      <c r="R5750">
        <v>35.299999999999997</v>
      </c>
      <c r="S5750">
        <v>35.65</v>
      </c>
      <c r="T5750" t="s">
        <v>19175</v>
      </c>
    </row>
    <row r="5751" spans="1:20" x14ac:dyDescent="0.25">
      <c r="A5751" s="1" t="str">
        <f>HYPERLINK("https://vegkart.atlas.vegvesen.no/#/@272800.2,7039441.4,18/hva:hva%5B0%5D%5Bfilter%5D%5B0%5D%5Boperator%5D=%21%3D&amp;hva%5B0%5D%5Bfilter%5D%5B0%5D%5Btype_id%5D=5897&amp;hva%5B0%5D%5Bfilter%5D%5B0%5D%5Bverdi%5D=&amp;hva%5B0%5D%5Bid%5D=47/når:2015-03-11", "Vegkart")</f>
        <v>Vegkart</v>
      </c>
      <c r="B5751">
        <v>588616923</v>
      </c>
      <c r="C5751">
        <v>47</v>
      </c>
      <c r="D5751" t="s">
        <v>16854</v>
      </c>
      <c r="E5751">
        <v>5897</v>
      </c>
      <c r="F5751" t="s">
        <v>23479</v>
      </c>
      <c r="G5751">
        <v>1</v>
      </c>
      <c r="H5751" t="s">
        <v>19124</v>
      </c>
      <c r="J5751" t="s">
        <v>19043</v>
      </c>
      <c r="K5751" t="s">
        <v>192</v>
      </c>
      <c r="L5751" t="s">
        <v>22</v>
      </c>
      <c r="M5751" t="s">
        <v>19176</v>
      </c>
      <c r="N5751" t="s">
        <v>19177</v>
      </c>
      <c r="O5751" t="s">
        <v>19178</v>
      </c>
      <c r="P5751" s="2" t="s">
        <v>26</v>
      </c>
      <c r="Q5751" t="s">
        <v>50</v>
      </c>
      <c r="R5751">
        <v>27.52</v>
      </c>
      <c r="S5751">
        <v>29.97</v>
      </c>
      <c r="T5751" t="s">
        <v>19179</v>
      </c>
    </row>
    <row r="5752" spans="1:20" x14ac:dyDescent="0.25">
      <c r="A5752" s="1" t="str">
        <f>HYPERLINK("https://vegkart.atlas.vegvesen.no/#/@273531.1,7040065.0,18/hva:hva%5B0%5D%5Bfilter%5D%5B0%5D%5Boperator%5D=%21%3D&amp;hva%5B0%5D%5Bfilter%5D%5B0%5D%5Btype_id%5D=5897&amp;hva%5B0%5D%5Bfilter%5D%5B0%5D%5Bverdi%5D=&amp;hva%5B0%5D%5Bid%5D=47/når:2015-03-11", "Vegkart")</f>
        <v>Vegkart</v>
      </c>
      <c r="B5752">
        <v>588616942</v>
      </c>
      <c r="C5752">
        <v>47</v>
      </c>
      <c r="D5752" t="s">
        <v>16854</v>
      </c>
      <c r="E5752">
        <v>5897</v>
      </c>
      <c r="F5752" t="s">
        <v>23479</v>
      </c>
      <c r="G5752">
        <v>1</v>
      </c>
      <c r="H5752" t="s">
        <v>19124</v>
      </c>
      <c r="J5752" t="s">
        <v>19043</v>
      </c>
      <c r="K5752" t="s">
        <v>192</v>
      </c>
      <c r="L5752" t="s">
        <v>22</v>
      </c>
      <c r="M5752" t="s">
        <v>19180</v>
      </c>
      <c r="N5752" t="s">
        <v>19181</v>
      </c>
      <c r="O5752" t="s">
        <v>19182</v>
      </c>
      <c r="P5752" s="2" t="s">
        <v>26</v>
      </c>
      <c r="Q5752" t="s">
        <v>50</v>
      </c>
      <c r="R5752">
        <v>41.44</v>
      </c>
      <c r="S5752">
        <v>42.02</v>
      </c>
      <c r="T5752" t="s">
        <v>19183</v>
      </c>
    </row>
    <row r="5753" spans="1:20" x14ac:dyDescent="0.25">
      <c r="A5753" s="1" t="str">
        <f>HYPERLINK("https://vegkart.atlas.vegvesen.no/#/@269030.8,7033342.9,18/hva:hva%5B0%5D%5Bfilter%5D%5B0%5D%5Boperator%5D=%21%3D&amp;hva%5B0%5D%5Bfilter%5D%5B0%5D%5Btype_id%5D=5897&amp;hva%5B0%5D%5Bfilter%5D%5B0%5D%5Bverdi%5D=&amp;hva%5B0%5D%5Bid%5D=47/når:2015-03-12", "Vegkart")</f>
        <v>Vegkart</v>
      </c>
      <c r="B5753">
        <v>588656236</v>
      </c>
      <c r="C5753">
        <v>47</v>
      </c>
      <c r="D5753" t="s">
        <v>16854</v>
      </c>
      <c r="E5753">
        <v>5897</v>
      </c>
      <c r="F5753" t="s">
        <v>23479</v>
      </c>
      <c r="G5753">
        <v>1</v>
      </c>
      <c r="H5753" t="s">
        <v>17444</v>
      </c>
      <c r="J5753" t="s">
        <v>19043</v>
      </c>
      <c r="K5753" t="s">
        <v>192</v>
      </c>
      <c r="L5753" t="s">
        <v>22</v>
      </c>
      <c r="M5753" t="s">
        <v>19184</v>
      </c>
      <c r="N5753" t="s">
        <v>19185</v>
      </c>
      <c r="O5753" t="s">
        <v>19186</v>
      </c>
      <c r="P5753" s="2" t="s">
        <v>26</v>
      </c>
      <c r="Q5753" t="s">
        <v>50</v>
      </c>
      <c r="R5753">
        <v>53.91</v>
      </c>
      <c r="S5753">
        <v>54.15</v>
      </c>
      <c r="T5753" t="s">
        <v>19187</v>
      </c>
    </row>
    <row r="5754" spans="1:20" x14ac:dyDescent="0.25">
      <c r="A5754" s="1" t="str">
        <f>HYPERLINK("https://vegkart.atlas.vegvesen.no/#/@269984.1,7034023.9,18/hva:hva%5B0%5D%5Bfilter%5D%5B0%5D%5Boperator%5D=%21%3D&amp;hva%5B0%5D%5Bfilter%5D%5B0%5D%5Btype_id%5D=5897&amp;hva%5B0%5D%5Bfilter%5D%5B0%5D%5Bverdi%5D=&amp;hva%5B0%5D%5Bid%5D=47/når:2015-03-12", "Vegkart")</f>
        <v>Vegkart</v>
      </c>
      <c r="B5754">
        <v>588656257</v>
      </c>
      <c r="C5754">
        <v>47</v>
      </c>
      <c r="D5754" t="s">
        <v>16854</v>
      </c>
      <c r="E5754">
        <v>5897</v>
      </c>
      <c r="F5754" t="s">
        <v>23479</v>
      </c>
      <c r="G5754">
        <v>1</v>
      </c>
      <c r="H5754" t="s">
        <v>17444</v>
      </c>
      <c r="J5754" t="s">
        <v>19043</v>
      </c>
      <c r="K5754" t="s">
        <v>192</v>
      </c>
      <c r="L5754" t="s">
        <v>22</v>
      </c>
      <c r="M5754" t="s">
        <v>19188</v>
      </c>
      <c r="N5754" t="s">
        <v>19189</v>
      </c>
      <c r="O5754" t="s">
        <v>19190</v>
      </c>
      <c r="P5754" s="2" t="s">
        <v>26</v>
      </c>
      <c r="Q5754" t="s">
        <v>50</v>
      </c>
      <c r="R5754">
        <v>57.34</v>
      </c>
      <c r="S5754">
        <v>57.79</v>
      </c>
      <c r="T5754" t="s">
        <v>19191</v>
      </c>
    </row>
    <row r="5755" spans="1:20" x14ac:dyDescent="0.25">
      <c r="A5755" s="1" t="str">
        <f>HYPERLINK("https://vegkart.atlas.vegvesen.no/#/@269626.1,7034133.8,18/hva:hva%5B0%5D%5Bfilter%5D%5B0%5D%5Boperator%5D=%21%3D&amp;hva%5B0%5D%5Bfilter%5D%5B0%5D%5Btype_id%5D=5897&amp;hva%5B0%5D%5Bfilter%5D%5B0%5D%5Bverdi%5D=&amp;hva%5B0%5D%5Bid%5D=47/når:2015-03-12", "Vegkart")</f>
        <v>Vegkart</v>
      </c>
      <c r="B5755">
        <v>588656260</v>
      </c>
      <c r="C5755">
        <v>47</v>
      </c>
      <c r="D5755" t="s">
        <v>16854</v>
      </c>
      <c r="E5755">
        <v>5897</v>
      </c>
      <c r="F5755" t="s">
        <v>23479</v>
      </c>
      <c r="G5755">
        <v>1</v>
      </c>
      <c r="H5755" t="s">
        <v>17444</v>
      </c>
      <c r="J5755" t="s">
        <v>19043</v>
      </c>
      <c r="K5755" t="s">
        <v>192</v>
      </c>
      <c r="L5755" t="s">
        <v>22</v>
      </c>
      <c r="M5755" t="s">
        <v>19188</v>
      </c>
      <c r="N5755" t="s">
        <v>19192</v>
      </c>
      <c r="O5755" t="s">
        <v>19193</v>
      </c>
      <c r="P5755" s="2" t="s">
        <v>26</v>
      </c>
      <c r="Q5755" t="s">
        <v>50</v>
      </c>
      <c r="R5755">
        <v>68</v>
      </c>
      <c r="S5755">
        <v>68.34</v>
      </c>
      <c r="T5755" t="s">
        <v>19194</v>
      </c>
    </row>
    <row r="5756" spans="1:20" x14ac:dyDescent="0.25">
      <c r="A5756" s="1" t="str">
        <f>HYPERLINK("https://vegkart.atlas.vegvesen.no/#/@269403.8,7034201.0,18/hva:hva%5B0%5D%5Bfilter%5D%5B0%5D%5Boperator%5D=%21%3D&amp;hva%5B0%5D%5Bfilter%5D%5B0%5D%5Btype_id%5D=5897&amp;hva%5B0%5D%5Bfilter%5D%5B0%5D%5Bverdi%5D=&amp;hva%5B0%5D%5Bid%5D=47/når:2015-03-12", "Vegkart")</f>
        <v>Vegkart</v>
      </c>
      <c r="B5756">
        <v>588656264</v>
      </c>
      <c r="C5756">
        <v>47</v>
      </c>
      <c r="D5756" t="s">
        <v>16854</v>
      </c>
      <c r="E5756">
        <v>5897</v>
      </c>
      <c r="F5756" t="s">
        <v>23479</v>
      </c>
      <c r="G5756">
        <v>1</v>
      </c>
      <c r="H5756" t="s">
        <v>17444</v>
      </c>
      <c r="J5756" t="s">
        <v>19043</v>
      </c>
      <c r="K5756" t="s">
        <v>192</v>
      </c>
      <c r="L5756" t="s">
        <v>22</v>
      </c>
      <c r="M5756" t="s">
        <v>19188</v>
      </c>
      <c r="N5756" t="s">
        <v>19195</v>
      </c>
      <c r="O5756" t="s">
        <v>19196</v>
      </c>
      <c r="P5756" s="2" t="s">
        <v>26</v>
      </c>
      <c r="Q5756" t="s">
        <v>50</v>
      </c>
      <c r="R5756">
        <v>72.760000000000005</v>
      </c>
      <c r="S5756">
        <v>73</v>
      </c>
      <c r="T5756" t="s">
        <v>19197</v>
      </c>
    </row>
    <row r="5757" spans="1:20" x14ac:dyDescent="0.25">
      <c r="A5757" s="1" t="str">
        <f>HYPERLINK("https://vegkart.atlas.vegvesen.no/#/@269923.3,7034975.8,18/hva:hva%5B0%5D%5Bfilter%5D%5B0%5D%5Boperator%5D=%21%3D&amp;hva%5B0%5D%5Bfilter%5D%5B0%5D%5Btype_id%5D=5897&amp;hva%5B0%5D%5Bfilter%5D%5B0%5D%5Bverdi%5D=&amp;hva%5B0%5D%5Bid%5D=47/når:2015-03-12", "Vegkart")</f>
        <v>Vegkart</v>
      </c>
      <c r="B5757">
        <v>588656272</v>
      </c>
      <c r="C5757">
        <v>47</v>
      </c>
      <c r="D5757" t="s">
        <v>16854</v>
      </c>
      <c r="E5757">
        <v>5897</v>
      </c>
      <c r="F5757" t="s">
        <v>23479</v>
      </c>
      <c r="G5757">
        <v>1</v>
      </c>
      <c r="H5757" t="s">
        <v>17444</v>
      </c>
      <c r="J5757" t="s">
        <v>19043</v>
      </c>
      <c r="K5757" t="s">
        <v>192</v>
      </c>
      <c r="L5757" t="s">
        <v>22</v>
      </c>
      <c r="M5757" t="s">
        <v>19198</v>
      </c>
      <c r="N5757" t="s">
        <v>19199</v>
      </c>
      <c r="O5757" t="s">
        <v>19200</v>
      </c>
      <c r="P5757" s="2" t="s">
        <v>26</v>
      </c>
      <c r="Q5757" t="s">
        <v>50</v>
      </c>
      <c r="R5757">
        <v>45.81</v>
      </c>
      <c r="S5757">
        <v>46.7</v>
      </c>
      <c r="T5757" t="s">
        <v>19201</v>
      </c>
    </row>
    <row r="5758" spans="1:20" x14ac:dyDescent="0.25">
      <c r="A5758" s="1" t="str">
        <f>HYPERLINK("https://vegkart.atlas.vegvesen.no/#/@269955.4,7037080.2,18/hva:hva%5B0%5D%5Bfilter%5D%5B0%5D%5Boperator%5D=%21%3D&amp;hva%5B0%5D%5Bfilter%5D%5B0%5D%5Btype_id%5D=5897&amp;hva%5B0%5D%5Bfilter%5D%5B0%5D%5Bverdi%5D=&amp;hva%5B0%5D%5Bid%5D=47/når:2015-03-12", "Vegkart")</f>
        <v>Vegkart</v>
      </c>
      <c r="B5758">
        <v>588656277</v>
      </c>
      <c r="C5758">
        <v>47</v>
      </c>
      <c r="D5758" t="s">
        <v>16854</v>
      </c>
      <c r="E5758">
        <v>5897</v>
      </c>
      <c r="F5758" t="s">
        <v>23479</v>
      </c>
      <c r="G5758">
        <v>1</v>
      </c>
      <c r="H5758" t="s">
        <v>17444</v>
      </c>
      <c r="J5758" t="s">
        <v>19043</v>
      </c>
      <c r="K5758" t="s">
        <v>192</v>
      </c>
      <c r="L5758" t="s">
        <v>22</v>
      </c>
      <c r="M5758" t="s">
        <v>12110</v>
      </c>
      <c r="N5758" t="s">
        <v>19202</v>
      </c>
      <c r="O5758" t="s">
        <v>19203</v>
      </c>
      <c r="P5758" s="2" t="s">
        <v>26</v>
      </c>
      <c r="Q5758" t="s">
        <v>50</v>
      </c>
      <c r="R5758">
        <v>49.82</v>
      </c>
      <c r="S5758">
        <v>50.43</v>
      </c>
      <c r="T5758" t="s">
        <v>19204</v>
      </c>
    </row>
    <row r="5759" spans="1:20" x14ac:dyDescent="0.25">
      <c r="A5759" s="1" t="str">
        <f>HYPERLINK("https://vegkart.atlas.vegvesen.no/#/@269955.2,7037091.8,18/hva:hva%5B0%5D%5Bfilter%5D%5B0%5D%5Boperator%5D=%21%3D&amp;hva%5B0%5D%5Bfilter%5D%5B0%5D%5Btype_id%5D=5897&amp;hva%5B0%5D%5Bfilter%5D%5B0%5D%5Bverdi%5D=&amp;hva%5B0%5D%5Bid%5D=47/når:2015-03-12", "Vegkart")</f>
        <v>Vegkart</v>
      </c>
      <c r="B5759">
        <v>588656278</v>
      </c>
      <c r="C5759">
        <v>47</v>
      </c>
      <c r="D5759" t="s">
        <v>16854</v>
      </c>
      <c r="E5759">
        <v>5897</v>
      </c>
      <c r="F5759" t="s">
        <v>23479</v>
      </c>
      <c r="G5759">
        <v>1</v>
      </c>
      <c r="H5759" t="s">
        <v>17444</v>
      </c>
      <c r="J5759" t="s">
        <v>19043</v>
      </c>
      <c r="K5759" t="s">
        <v>192</v>
      </c>
      <c r="L5759" t="s">
        <v>22</v>
      </c>
      <c r="M5759" t="s">
        <v>12110</v>
      </c>
      <c r="N5759" t="s">
        <v>19205</v>
      </c>
      <c r="O5759" t="s">
        <v>19206</v>
      </c>
      <c r="P5759" s="2" t="s">
        <v>26</v>
      </c>
      <c r="Q5759" t="s">
        <v>50</v>
      </c>
      <c r="R5759">
        <v>46.35</v>
      </c>
      <c r="S5759">
        <v>46.56</v>
      </c>
      <c r="T5759" t="s">
        <v>19207</v>
      </c>
    </row>
    <row r="5760" spans="1:20" x14ac:dyDescent="0.25">
      <c r="A5760" s="1" t="str">
        <f>HYPERLINK("https://vegkart.atlas.vegvesen.no/#/@270593.9,7039301.3,18/hva:hva%5B0%5D%5Bfilter%5D%5B0%5D%5Boperator%5D=%21%3D&amp;hva%5B0%5D%5Bfilter%5D%5B0%5D%5Btype_id%5D=5897&amp;hva%5B0%5D%5Bfilter%5D%5B0%5D%5Bverdi%5D=&amp;hva%5B0%5D%5Bid%5D=47/når:2015-03-12", "Vegkart")</f>
        <v>Vegkart</v>
      </c>
      <c r="B5760">
        <v>588656287</v>
      </c>
      <c r="C5760">
        <v>47</v>
      </c>
      <c r="D5760" t="s">
        <v>16854</v>
      </c>
      <c r="E5760">
        <v>5897</v>
      </c>
      <c r="F5760" t="s">
        <v>23479</v>
      </c>
      <c r="G5760">
        <v>1</v>
      </c>
      <c r="H5760" t="s">
        <v>17444</v>
      </c>
      <c r="J5760" t="s">
        <v>19043</v>
      </c>
      <c r="K5760" t="s">
        <v>192</v>
      </c>
      <c r="L5760" t="s">
        <v>22</v>
      </c>
      <c r="M5760" t="s">
        <v>1676</v>
      </c>
      <c r="N5760" t="s">
        <v>19208</v>
      </c>
      <c r="O5760" t="s">
        <v>19209</v>
      </c>
      <c r="P5760" s="2" t="s">
        <v>26</v>
      </c>
      <c r="Q5760" t="s">
        <v>50</v>
      </c>
      <c r="R5760">
        <v>38.78</v>
      </c>
      <c r="S5760">
        <v>39.61</v>
      </c>
      <c r="T5760" t="s">
        <v>19210</v>
      </c>
    </row>
    <row r="5761" spans="1:20" x14ac:dyDescent="0.25">
      <c r="A5761" s="1" t="str">
        <f>HYPERLINK("https://vegkart.atlas.vegvesen.no/#/@210907.9,6839723.3,18/hva:hva%5B0%5D%5Bfilter%5D%5B0%5D%5Boperator%5D=%21%3D&amp;hva%5B0%5D%5Bfilter%5D%5B0%5D%5Btype_id%5D=5897&amp;hva%5B0%5D%5Bfilter%5D%5B0%5D%5Bverdi%5D=&amp;hva%5B0%5D%5Bid%5D=47/når:2015-03-16", "Vegkart")</f>
        <v>Vegkart</v>
      </c>
      <c r="B5761">
        <v>588725564</v>
      </c>
      <c r="C5761">
        <v>47</v>
      </c>
      <c r="D5761" t="s">
        <v>16854</v>
      </c>
      <c r="E5761">
        <v>5897</v>
      </c>
      <c r="F5761" t="s">
        <v>23479</v>
      </c>
      <c r="G5761">
        <v>1</v>
      </c>
      <c r="H5761" t="s">
        <v>19211</v>
      </c>
      <c r="J5761" t="s">
        <v>19043</v>
      </c>
      <c r="K5761" t="s">
        <v>136</v>
      </c>
      <c r="L5761" t="s">
        <v>33</v>
      </c>
      <c r="M5761" t="s">
        <v>19212</v>
      </c>
      <c r="N5761" t="s">
        <v>19213</v>
      </c>
      <c r="O5761" t="s">
        <v>19214</v>
      </c>
      <c r="P5761" s="2" t="s">
        <v>26</v>
      </c>
      <c r="Q5761" t="s">
        <v>50</v>
      </c>
      <c r="R5761">
        <v>27.69</v>
      </c>
      <c r="S5761">
        <v>29.26</v>
      </c>
      <c r="T5761" t="s">
        <v>19215</v>
      </c>
    </row>
    <row r="5762" spans="1:20" x14ac:dyDescent="0.25">
      <c r="A5762" s="1" t="str">
        <f>HYPERLINK("https://vegkart.atlas.vegvesen.no/#/@274088.2,7040569.3,18/hva:hva%5B0%5D%5Bfilter%5D%5B0%5D%5Boperator%5D=%21%3D&amp;hva%5B0%5D%5Bfilter%5D%5B0%5D%5Btype_id%5D=5897&amp;hva%5B0%5D%5Bfilter%5D%5B0%5D%5Bverdi%5D=&amp;hva%5B0%5D%5Bid%5D=47/når:2015-03-17", "Vegkart")</f>
        <v>Vegkart</v>
      </c>
      <c r="B5762">
        <v>588771219</v>
      </c>
      <c r="C5762">
        <v>47</v>
      </c>
      <c r="D5762" t="s">
        <v>16854</v>
      </c>
      <c r="E5762">
        <v>5897</v>
      </c>
      <c r="F5762" t="s">
        <v>23479</v>
      </c>
      <c r="G5762">
        <v>1</v>
      </c>
      <c r="H5762" t="s">
        <v>19216</v>
      </c>
      <c r="J5762" t="s">
        <v>19043</v>
      </c>
      <c r="K5762" t="s">
        <v>192</v>
      </c>
      <c r="L5762" t="s">
        <v>22</v>
      </c>
      <c r="M5762" t="s">
        <v>18986</v>
      </c>
      <c r="N5762" t="s">
        <v>19217</v>
      </c>
      <c r="O5762" t="s">
        <v>19218</v>
      </c>
      <c r="P5762" s="2" t="s">
        <v>26</v>
      </c>
      <c r="Q5762" t="s">
        <v>50</v>
      </c>
      <c r="R5762">
        <v>39.68</v>
      </c>
      <c r="S5762">
        <v>41.52</v>
      </c>
      <c r="T5762" t="s">
        <v>19219</v>
      </c>
    </row>
    <row r="5763" spans="1:20" x14ac:dyDescent="0.25">
      <c r="A5763" s="1" t="str">
        <f>HYPERLINK("https://vegkart.atlas.vegvesen.no/#/@268333.2,7041441.3,18/hva:hva%5B0%5D%5Bfilter%5D%5B0%5D%5Boperator%5D=%21%3D&amp;hva%5B0%5D%5Bfilter%5D%5B0%5D%5Btype_id%5D=5897&amp;hva%5B0%5D%5Bfilter%5D%5B0%5D%5Bverdi%5D=&amp;hva%5B0%5D%5Bid%5D=47/når:2015-03-17", "Vegkart")</f>
        <v>Vegkart</v>
      </c>
      <c r="B5763">
        <v>588913810</v>
      </c>
      <c r="C5763">
        <v>47</v>
      </c>
      <c r="D5763" t="s">
        <v>16854</v>
      </c>
      <c r="E5763">
        <v>5897</v>
      </c>
      <c r="F5763" t="s">
        <v>23479</v>
      </c>
      <c r="G5763">
        <v>1</v>
      </c>
      <c r="H5763" t="s">
        <v>19216</v>
      </c>
      <c r="J5763" t="s">
        <v>19043</v>
      </c>
      <c r="K5763" t="s">
        <v>192</v>
      </c>
      <c r="L5763" t="s">
        <v>22</v>
      </c>
      <c r="M5763" t="s">
        <v>7949</v>
      </c>
      <c r="N5763" t="s">
        <v>19220</v>
      </c>
      <c r="O5763" t="s">
        <v>19221</v>
      </c>
      <c r="P5763" s="2" t="s">
        <v>26</v>
      </c>
      <c r="Q5763" t="s">
        <v>50</v>
      </c>
      <c r="R5763">
        <v>34.85</v>
      </c>
      <c r="S5763">
        <v>34.85</v>
      </c>
      <c r="T5763" t="s">
        <v>19222</v>
      </c>
    </row>
    <row r="5764" spans="1:20" x14ac:dyDescent="0.25">
      <c r="A5764" s="1" t="str">
        <f>HYPERLINK("https://vegkart.atlas.vegvesen.no/#/@268291.8,7041436.7,18/hva:hva%5B0%5D%5Bfilter%5D%5B0%5D%5Boperator%5D=%21%3D&amp;hva%5B0%5D%5Bfilter%5D%5B0%5D%5Btype_id%5D=5897&amp;hva%5B0%5D%5Bfilter%5D%5B0%5D%5Bverdi%5D=&amp;hva%5B0%5D%5Bid%5D=47/når:2015-03-17", "Vegkart")</f>
        <v>Vegkart</v>
      </c>
      <c r="B5764">
        <v>588913813</v>
      </c>
      <c r="C5764">
        <v>47</v>
      </c>
      <c r="D5764" t="s">
        <v>16854</v>
      </c>
      <c r="E5764">
        <v>5897</v>
      </c>
      <c r="F5764" t="s">
        <v>23479</v>
      </c>
      <c r="G5764">
        <v>1</v>
      </c>
      <c r="H5764" t="s">
        <v>19216</v>
      </c>
      <c r="J5764" t="s">
        <v>19043</v>
      </c>
      <c r="K5764" t="s">
        <v>192</v>
      </c>
      <c r="L5764" t="s">
        <v>22</v>
      </c>
      <c r="M5764" t="s">
        <v>7949</v>
      </c>
      <c r="N5764" t="s">
        <v>19223</v>
      </c>
      <c r="O5764" t="s">
        <v>19224</v>
      </c>
      <c r="P5764" s="2" t="s">
        <v>26</v>
      </c>
      <c r="Q5764" t="s">
        <v>50</v>
      </c>
      <c r="R5764">
        <v>28.23</v>
      </c>
      <c r="S5764">
        <v>28.4</v>
      </c>
      <c r="T5764" t="s">
        <v>19225</v>
      </c>
    </row>
    <row r="5765" spans="1:20" x14ac:dyDescent="0.25">
      <c r="A5765" s="1" t="str">
        <f>HYPERLINK("https://vegkart.atlas.vegvesen.no/#/@268396.9,7041198.3,18/hva:hva%5B0%5D%5Bfilter%5D%5B0%5D%5Boperator%5D=%21%3D&amp;hva%5B0%5D%5Bfilter%5D%5B0%5D%5Btype_id%5D=5897&amp;hva%5B0%5D%5Bfilter%5D%5B0%5D%5Bverdi%5D=&amp;hva%5B0%5D%5Bid%5D=47/når:2015-03-17", "Vegkart")</f>
        <v>Vegkart</v>
      </c>
      <c r="B5765">
        <v>588913818</v>
      </c>
      <c r="C5765">
        <v>47</v>
      </c>
      <c r="D5765" t="s">
        <v>16854</v>
      </c>
      <c r="E5765">
        <v>5897</v>
      </c>
      <c r="F5765" t="s">
        <v>23479</v>
      </c>
      <c r="G5765">
        <v>1</v>
      </c>
      <c r="H5765" t="s">
        <v>19216</v>
      </c>
      <c r="J5765" t="s">
        <v>19043</v>
      </c>
      <c r="K5765" t="s">
        <v>192</v>
      </c>
      <c r="L5765" t="s">
        <v>22</v>
      </c>
      <c r="M5765" t="s">
        <v>7949</v>
      </c>
      <c r="N5765" t="s">
        <v>19226</v>
      </c>
      <c r="O5765" t="s">
        <v>19227</v>
      </c>
      <c r="P5765" s="2" t="s">
        <v>26</v>
      </c>
      <c r="Q5765" t="s">
        <v>50</v>
      </c>
      <c r="R5765">
        <v>34.79</v>
      </c>
      <c r="S5765">
        <v>34.85</v>
      </c>
      <c r="T5765" t="s">
        <v>19228</v>
      </c>
    </row>
    <row r="5766" spans="1:20" x14ac:dyDescent="0.25">
      <c r="A5766" s="1" t="str">
        <f>HYPERLINK("https://vegkart.atlas.vegvesen.no/#/@269280.8,7039870.0,18/hva:hva%5B0%5D%5Bfilter%5D%5B0%5D%5Boperator%5D=%21%3D&amp;hva%5B0%5D%5Bfilter%5D%5B0%5D%5Btype_id%5D=5897&amp;hva%5B0%5D%5Bfilter%5D%5B0%5D%5Bverdi%5D=&amp;hva%5B0%5D%5Bid%5D=47/når:2015-03-17", "Vegkart")</f>
        <v>Vegkart</v>
      </c>
      <c r="B5766">
        <v>588936081</v>
      </c>
      <c r="C5766">
        <v>47</v>
      </c>
      <c r="D5766" t="s">
        <v>16854</v>
      </c>
      <c r="E5766">
        <v>5897</v>
      </c>
      <c r="F5766" t="s">
        <v>23479</v>
      </c>
      <c r="G5766">
        <v>1</v>
      </c>
      <c r="H5766" t="s">
        <v>19216</v>
      </c>
      <c r="J5766" t="s">
        <v>19043</v>
      </c>
      <c r="K5766" t="s">
        <v>192</v>
      </c>
      <c r="L5766" t="s">
        <v>22</v>
      </c>
      <c r="M5766" t="s">
        <v>9081</v>
      </c>
      <c r="N5766" t="s">
        <v>19229</v>
      </c>
      <c r="O5766" t="s">
        <v>19230</v>
      </c>
      <c r="P5766" s="2" t="s">
        <v>37</v>
      </c>
      <c r="Q5766" t="s">
        <v>1208</v>
      </c>
      <c r="R5766">
        <v>18.34</v>
      </c>
      <c r="S5766">
        <v>21.87</v>
      </c>
      <c r="T5766" t="s">
        <v>19231</v>
      </c>
    </row>
    <row r="5767" spans="1:20" x14ac:dyDescent="0.25">
      <c r="A5767" s="1" t="str">
        <f>HYPERLINK("https://vegkart.atlas.vegvesen.no/#/@268765.1,7040206.4,18/hva:hva%5B0%5D%5Bfilter%5D%5B0%5D%5Boperator%5D=%21%3D&amp;hva%5B0%5D%5Bfilter%5D%5B0%5D%5Btype_id%5D=5897&amp;hva%5B0%5D%5Bfilter%5D%5B0%5D%5Bverdi%5D=&amp;hva%5B0%5D%5Bid%5D=47/når:2015-03-17", "Vegkart")</f>
        <v>Vegkart</v>
      </c>
      <c r="B5767">
        <v>588936086</v>
      </c>
      <c r="C5767">
        <v>47</v>
      </c>
      <c r="D5767" t="s">
        <v>16854</v>
      </c>
      <c r="E5767">
        <v>5897</v>
      </c>
      <c r="F5767" t="s">
        <v>23479</v>
      </c>
      <c r="G5767">
        <v>1</v>
      </c>
      <c r="H5767" t="s">
        <v>19216</v>
      </c>
      <c r="J5767" t="s">
        <v>19043</v>
      </c>
      <c r="K5767" t="s">
        <v>192</v>
      </c>
      <c r="L5767" t="s">
        <v>22</v>
      </c>
      <c r="M5767" t="s">
        <v>9081</v>
      </c>
      <c r="N5767" t="s">
        <v>19232</v>
      </c>
      <c r="O5767" t="s">
        <v>19233</v>
      </c>
      <c r="P5767" s="2" t="s">
        <v>26</v>
      </c>
      <c r="Q5767" t="s">
        <v>50</v>
      </c>
      <c r="R5767">
        <v>34.89</v>
      </c>
      <c r="S5767">
        <v>35.1</v>
      </c>
      <c r="T5767" t="s">
        <v>19234</v>
      </c>
    </row>
    <row r="5768" spans="1:20" x14ac:dyDescent="0.25">
      <c r="A5768" s="1" t="str">
        <f>HYPERLINK("https://vegkart.atlas.vegvesen.no/#/@268580.9,7040296.2,18/hva:hva%5B0%5D%5Bfilter%5D%5B0%5D%5Boperator%5D=%21%3D&amp;hva%5B0%5D%5Bfilter%5D%5B0%5D%5Btype_id%5D=5897&amp;hva%5B0%5D%5Bfilter%5D%5B0%5D%5Bverdi%5D=&amp;hva%5B0%5D%5Bid%5D=47/når:2015-03-17", "Vegkart")</f>
        <v>Vegkart</v>
      </c>
      <c r="B5768">
        <v>588936089</v>
      </c>
      <c r="C5768">
        <v>47</v>
      </c>
      <c r="D5768" t="s">
        <v>16854</v>
      </c>
      <c r="E5768">
        <v>5897</v>
      </c>
      <c r="F5768" t="s">
        <v>23479</v>
      </c>
      <c r="G5768">
        <v>1</v>
      </c>
      <c r="H5768" t="s">
        <v>19216</v>
      </c>
      <c r="J5768" t="s">
        <v>19043</v>
      </c>
      <c r="K5768" t="s">
        <v>192</v>
      </c>
      <c r="L5768" t="s">
        <v>22</v>
      </c>
      <c r="M5768" t="s">
        <v>9081</v>
      </c>
      <c r="N5768" t="s">
        <v>19235</v>
      </c>
      <c r="O5768" t="s">
        <v>19236</v>
      </c>
      <c r="P5768" s="2" t="s">
        <v>26</v>
      </c>
      <c r="Q5768" t="s">
        <v>50</v>
      </c>
      <c r="R5768">
        <v>50.29</v>
      </c>
      <c r="S5768">
        <v>50.85</v>
      </c>
      <c r="T5768" t="s">
        <v>19237</v>
      </c>
    </row>
    <row r="5769" spans="1:20" x14ac:dyDescent="0.25">
      <c r="A5769" s="1" t="str">
        <f>HYPERLINK("https://vegkart.atlas.vegvesen.no/#/@268609.3,7040295.7,18/hva:hva%5B0%5D%5Bfilter%5D%5B0%5D%5Boperator%5D=%21%3D&amp;hva%5B0%5D%5Bfilter%5D%5B0%5D%5Btype_id%5D=5897&amp;hva%5B0%5D%5Bfilter%5D%5B0%5D%5Bverdi%5D=&amp;hva%5B0%5D%5Bid%5D=47/når:2015-03-17", "Vegkart")</f>
        <v>Vegkart</v>
      </c>
      <c r="B5769">
        <v>588936092</v>
      </c>
      <c r="C5769">
        <v>47</v>
      </c>
      <c r="D5769" t="s">
        <v>16854</v>
      </c>
      <c r="E5769">
        <v>5897</v>
      </c>
      <c r="F5769" t="s">
        <v>23479</v>
      </c>
      <c r="G5769">
        <v>1</v>
      </c>
      <c r="H5769" t="s">
        <v>19216</v>
      </c>
      <c r="J5769" t="s">
        <v>19043</v>
      </c>
      <c r="K5769" t="s">
        <v>192</v>
      </c>
      <c r="L5769" t="s">
        <v>22</v>
      </c>
      <c r="M5769" t="s">
        <v>9081</v>
      </c>
      <c r="N5769" t="s">
        <v>19238</v>
      </c>
      <c r="O5769" t="s">
        <v>19239</v>
      </c>
      <c r="P5769" s="2" t="s">
        <v>26</v>
      </c>
      <c r="Q5769" t="s">
        <v>50</v>
      </c>
      <c r="R5769">
        <v>50.84</v>
      </c>
      <c r="S5769">
        <v>51.13</v>
      </c>
      <c r="T5769" t="s">
        <v>19240</v>
      </c>
    </row>
    <row r="5770" spans="1:20" x14ac:dyDescent="0.25">
      <c r="A5770" s="1" t="str">
        <f>HYPERLINK("https://vegkart.atlas.vegvesen.no/#/@268254.6,7040499.7,18/hva:hva%5B0%5D%5Bfilter%5D%5B0%5D%5Boperator%5D=%21%3D&amp;hva%5B0%5D%5Bfilter%5D%5B0%5D%5Btype_id%5D=5897&amp;hva%5B0%5D%5Bfilter%5D%5B0%5D%5Bverdi%5D=&amp;hva%5B0%5D%5Bid%5D=47/når:2015-03-17", "Vegkart")</f>
        <v>Vegkart</v>
      </c>
      <c r="B5770">
        <v>588936097</v>
      </c>
      <c r="C5770">
        <v>47</v>
      </c>
      <c r="D5770" t="s">
        <v>16854</v>
      </c>
      <c r="E5770">
        <v>5897</v>
      </c>
      <c r="F5770" t="s">
        <v>23479</v>
      </c>
      <c r="G5770">
        <v>1</v>
      </c>
      <c r="H5770" t="s">
        <v>19216</v>
      </c>
      <c r="J5770" t="s">
        <v>19043</v>
      </c>
      <c r="K5770" t="s">
        <v>192</v>
      </c>
      <c r="L5770" t="s">
        <v>22</v>
      </c>
      <c r="M5770" t="s">
        <v>9081</v>
      </c>
      <c r="N5770" t="s">
        <v>19241</v>
      </c>
      <c r="O5770" t="s">
        <v>19242</v>
      </c>
      <c r="P5770" s="2" t="s">
        <v>26</v>
      </c>
      <c r="Q5770" t="s">
        <v>50</v>
      </c>
      <c r="R5770">
        <v>89.54</v>
      </c>
      <c r="S5770">
        <v>90.17</v>
      </c>
      <c r="T5770" t="s">
        <v>19243</v>
      </c>
    </row>
    <row r="5771" spans="1:20" x14ac:dyDescent="0.25">
      <c r="A5771" s="1" t="str">
        <f>HYPERLINK("https://vegkart.atlas.vegvesen.no/#/@268176.1,7040571.7,18/hva:hva%5B0%5D%5Bfilter%5D%5B0%5D%5Boperator%5D=%21%3D&amp;hva%5B0%5D%5Bfilter%5D%5B0%5D%5Btype_id%5D=5897&amp;hva%5B0%5D%5Bfilter%5D%5B0%5D%5Bverdi%5D=&amp;hva%5B0%5D%5Bid%5D=47/når:2015-03-17", "Vegkart")</f>
        <v>Vegkart</v>
      </c>
      <c r="B5771">
        <v>588936100</v>
      </c>
      <c r="C5771">
        <v>47</v>
      </c>
      <c r="D5771" t="s">
        <v>16854</v>
      </c>
      <c r="E5771">
        <v>5897</v>
      </c>
      <c r="F5771" t="s">
        <v>23479</v>
      </c>
      <c r="G5771">
        <v>1</v>
      </c>
      <c r="H5771" t="s">
        <v>19216</v>
      </c>
      <c r="J5771" t="s">
        <v>19043</v>
      </c>
      <c r="K5771" t="s">
        <v>192</v>
      </c>
      <c r="L5771" t="s">
        <v>22</v>
      </c>
      <c r="M5771" t="s">
        <v>19244</v>
      </c>
      <c r="N5771" t="s">
        <v>19245</v>
      </c>
      <c r="O5771" t="s">
        <v>19246</v>
      </c>
      <c r="P5771" s="2" t="s">
        <v>26</v>
      </c>
      <c r="Q5771" t="s">
        <v>50</v>
      </c>
      <c r="R5771">
        <v>51.56</v>
      </c>
      <c r="S5771">
        <v>52.02</v>
      </c>
      <c r="T5771" t="s">
        <v>19247</v>
      </c>
    </row>
    <row r="5772" spans="1:20" x14ac:dyDescent="0.25">
      <c r="A5772" s="1" t="str">
        <f>HYPERLINK("https://vegkart.atlas.vegvesen.no/#/@268073.1,7040112.5,18/hva:hva%5B0%5D%5Bfilter%5D%5B0%5D%5Boperator%5D=%21%3D&amp;hva%5B0%5D%5Bfilter%5D%5B0%5D%5Btype_id%5D=5897&amp;hva%5B0%5D%5Bfilter%5D%5B0%5D%5Bverdi%5D=&amp;hva%5B0%5D%5Bid%5D=47/når:2015-03-18", "Vegkart")</f>
        <v>Vegkart</v>
      </c>
      <c r="B5772">
        <v>589037457</v>
      </c>
      <c r="C5772">
        <v>47</v>
      </c>
      <c r="D5772" t="s">
        <v>16854</v>
      </c>
      <c r="E5772">
        <v>5897</v>
      </c>
      <c r="F5772" t="s">
        <v>23479</v>
      </c>
      <c r="G5772">
        <v>1</v>
      </c>
      <c r="H5772" t="s">
        <v>6341</v>
      </c>
      <c r="J5772" t="s">
        <v>19043</v>
      </c>
      <c r="K5772" t="s">
        <v>192</v>
      </c>
      <c r="L5772" t="s">
        <v>22</v>
      </c>
      <c r="M5772" t="s">
        <v>19248</v>
      </c>
      <c r="N5772" t="s">
        <v>19249</v>
      </c>
      <c r="O5772" t="s">
        <v>19250</v>
      </c>
      <c r="P5772" s="2" t="s">
        <v>26</v>
      </c>
      <c r="Q5772" t="s">
        <v>50</v>
      </c>
      <c r="R5772">
        <v>58.9</v>
      </c>
      <c r="S5772">
        <v>59.16</v>
      </c>
      <c r="T5772" t="s">
        <v>19251</v>
      </c>
    </row>
    <row r="5773" spans="1:20" x14ac:dyDescent="0.25">
      <c r="A5773" s="1" t="str">
        <f>HYPERLINK("https://vegkart.atlas.vegvesen.no/#/@267852.9,7039517.0,18/hva:hva%5B0%5D%5Bfilter%5D%5B0%5D%5Boperator%5D=%21%3D&amp;hva%5B0%5D%5Bfilter%5D%5B0%5D%5Btype_id%5D=5897&amp;hva%5B0%5D%5Bfilter%5D%5B0%5D%5Bverdi%5D=&amp;hva%5B0%5D%5Bid%5D=47/når:2015-03-18", "Vegkart")</f>
        <v>Vegkart</v>
      </c>
      <c r="B5773">
        <v>589037466</v>
      </c>
      <c r="C5773">
        <v>47</v>
      </c>
      <c r="D5773" t="s">
        <v>16854</v>
      </c>
      <c r="E5773">
        <v>5897</v>
      </c>
      <c r="F5773" t="s">
        <v>23479</v>
      </c>
      <c r="G5773">
        <v>1</v>
      </c>
      <c r="H5773" t="s">
        <v>6341</v>
      </c>
      <c r="J5773" t="s">
        <v>19043</v>
      </c>
      <c r="K5773" t="s">
        <v>192</v>
      </c>
      <c r="L5773" t="s">
        <v>22</v>
      </c>
      <c r="M5773" t="s">
        <v>19248</v>
      </c>
      <c r="N5773" t="s">
        <v>19252</v>
      </c>
      <c r="O5773" t="s">
        <v>19253</v>
      </c>
      <c r="P5773" s="2" t="s">
        <v>26</v>
      </c>
      <c r="Q5773" t="s">
        <v>50</v>
      </c>
      <c r="R5773">
        <v>48.91</v>
      </c>
      <c r="S5773">
        <v>49.09</v>
      </c>
      <c r="T5773" t="s">
        <v>19254</v>
      </c>
    </row>
    <row r="5774" spans="1:20" x14ac:dyDescent="0.25">
      <c r="A5774" s="1" t="str">
        <f>HYPERLINK("https://vegkart.atlas.vegvesen.no/#/@267782.7,7039373.0,18/hva:hva%5B0%5D%5Bfilter%5D%5B0%5D%5Boperator%5D=%21%3D&amp;hva%5B0%5D%5Bfilter%5D%5B0%5D%5Btype_id%5D=5897&amp;hva%5B0%5D%5Bfilter%5D%5B0%5D%5Bverdi%5D=&amp;hva%5B0%5D%5Bid%5D=47/når:2015-03-18", "Vegkart")</f>
        <v>Vegkart</v>
      </c>
      <c r="B5774">
        <v>589037471</v>
      </c>
      <c r="C5774">
        <v>47</v>
      </c>
      <c r="D5774" t="s">
        <v>16854</v>
      </c>
      <c r="E5774">
        <v>5897</v>
      </c>
      <c r="F5774" t="s">
        <v>23479</v>
      </c>
      <c r="G5774">
        <v>1</v>
      </c>
      <c r="H5774" t="s">
        <v>6341</v>
      </c>
      <c r="J5774" t="s">
        <v>19043</v>
      </c>
      <c r="K5774" t="s">
        <v>192</v>
      </c>
      <c r="L5774" t="s">
        <v>22</v>
      </c>
      <c r="M5774" t="s">
        <v>19248</v>
      </c>
      <c r="N5774" t="s">
        <v>19255</v>
      </c>
      <c r="O5774" t="s">
        <v>19256</v>
      </c>
      <c r="P5774" s="2" t="s">
        <v>26</v>
      </c>
      <c r="Q5774" t="s">
        <v>50</v>
      </c>
      <c r="R5774">
        <v>37.76</v>
      </c>
      <c r="S5774">
        <v>38.630000000000003</v>
      </c>
      <c r="T5774" t="s">
        <v>19257</v>
      </c>
    </row>
    <row r="5775" spans="1:20" x14ac:dyDescent="0.25">
      <c r="A5775" s="1" t="str">
        <f>HYPERLINK("https://vegkart.atlas.vegvesen.no/#/@267528.8,7039020.8,18/hva:hva%5B0%5D%5Bfilter%5D%5B0%5D%5Boperator%5D=%21%3D&amp;hva%5B0%5D%5Bfilter%5D%5B0%5D%5Btype_id%5D=5897&amp;hva%5B0%5D%5Bfilter%5D%5B0%5D%5Bverdi%5D=&amp;hva%5B0%5D%5Bid%5D=47/når:2015-03-18", "Vegkart")</f>
        <v>Vegkart</v>
      </c>
      <c r="B5775">
        <v>589037476</v>
      </c>
      <c r="C5775">
        <v>47</v>
      </c>
      <c r="D5775" t="s">
        <v>16854</v>
      </c>
      <c r="E5775">
        <v>5897</v>
      </c>
      <c r="F5775" t="s">
        <v>23479</v>
      </c>
      <c r="G5775">
        <v>1</v>
      </c>
      <c r="H5775" t="s">
        <v>6341</v>
      </c>
      <c r="J5775" t="s">
        <v>19043</v>
      </c>
      <c r="K5775" t="s">
        <v>192</v>
      </c>
      <c r="L5775" t="s">
        <v>22</v>
      </c>
      <c r="M5775" t="s">
        <v>19248</v>
      </c>
      <c r="N5775" t="s">
        <v>19258</v>
      </c>
      <c r="O5775" t="s">
        <v>19259</v>
      </c>
      <c r="P5775" s="2" t="s">
        <v>26</v>
      </c>
      <c r="Q5775" t="s">
        <v>50</v>
      </c>
      <c r="R5775">
        <v>41.48</v>
      </c>
      <c r="S5775">
        <v>43.17</v>
      </c>
      <c r="T5775" t="s">
        <v>19260</v>
      </c>
    </row>
    <row r="5776" spans="1:20" x14ac:dyDescent="0.25">
      <c r="A5776" s="1" t="str">
        <f>HYPERLINK("https://vegkart.atlas.vegvesen.no/#/@267476.4,7038968.7,18/hva:hva%5B0%5D%5Bfilter%5D%5B0%5D%5Boperator%5D=%21%3D&amp;hva%5B0%5D%5Bfilter%5D%5B0%5D%5Btype_id%5D=5897&amp;hva%5B0%5D%5Bfilter%5D%5B0%5D%5Bverdi%5D=&amp;hva%5B0%5D%5Bid%5D=47/når:2015-03-18", "Vegkart")</f>
        <v>Vegkart</v>
      </c>
      <c r="B5776">
        <v>589037481</v>
      </c>
      <c r="C5776">
        <v>47</v>
      </c>
      <c r="D5776" t="s">
        <v>16854</v>
      </c>
      <c r="E5776">
        <v>5897</v>
      </c>
      <c r="F5776" t="s">
        <v>23479</v>
      </c>
      <c r="G5776">
        <v>1</v>
      </c>
      <c r="H5776" t="s">
        <v>6341</v>
      </c>
      <c r="J5776" t="s">
        <v>19043</v>
      </c>
      <c r="K5776" t="s">
        <v>192</v>
      </c>
      <c r="L5776" t="s">
        <v>22</v>
      </c>
      <c r="M5776" t="s">
        <v>19248</v>
      </c>
      <c r="N5776" t="s">
        <v>19261</v>
      </c>
      <c r="O5776" t="s">
        <v>19262</v>
      </c>
      <c r="P5776" s="2" t="s">
        <v>26</v>
      </c>
      <c r="Q5776" t="s">
        <v>50</v>
      </c>
      <c r="R5776">
        <v>43.55</v>
      </c>
      <c r="S5776">
        <v>44.68</v>
      </c>
      <c r="T5776" t="s">
        <v>19263</v>
      </c>
    </row>
    <row r="5777" spans="1:20" x14ac:dyDescent="0.25">
      <c r="A5777" s="1" t="str">
        <f>HYPERLINK("https://vegkart.atlas.vegvesen.no/#/@267406.7,7038706.9,18/hva:hva%5B0%5D%5Bfilter%5D%5B0%5D%5Boperator%5D=%21%3D&amp;hva%5B0%5D%5Bfilter%5D%5B0%5D%5Btype_id%5D=5897&amp;hva%5B0%5D%5Bfilter%5D%5B0%5D%5Bverdi%5D=&amp;hva%5B0%5D%5Bid%5D=47/når:2015-03-18", "Vegkart")</f>
        <v>Vegkart</v>
      </c>
      <c r="B5777">
        <v>589037486</v>
      </c>
      <c r="C5777">
        <v>47</v>
      </c>
      <c r="D5777" t="s">
        <v>16854</v>
      </c>
      <c r="E5777">
        <v>5897</v>
      </c>
      <c r="F5777" t="s">
        <v>23479</v>
      </c>
      <c r="G5777">
        <v>1</v>
      </c>
      <c r="H5777" t="s">
        <v>6341</v>
      </c>
      <c r="J5777" t="s">
        <v>19043</v>
      </c>
      <c r="K5777" t="s">
        <v>192</v>
      </c>
      <c r="L5777" t="s">
        <v>22</v>
      </c>
      <c r="M5777" t="s">
        <v>19248</v>
      </c>
      <c r="N5777" t="s">
        <v>19264</v>
      </c>
      <c r="O5777" t="s">
        <v>19265</v>
      </c>
      <c r="P5777" s="2" t="s">
        <v>26</v>
      </c>
      <c r="Q5777" t="s">
        <v>50</v>
      </c>
      <c r="R5777">
        <v>45.07</v>
      </c>
      <c r="S5777">
        <v>45.94</v>
      </c>
      <c r="T5777" t="s">
        <v>19266</v>
      </c>
    </row>
    <row r="5778" spans="1:20" x14ac:dyDescent="0.25">
      <c r="A5778" s="1" t="str">
        <f>HYPERLINK("https://vegkart.atlas.vegvesen.no/#/@267424.5,7038653.8,18/hva:hva%5B0%5D%5Bfilter%5D%5B0%5D%5Boperator%5D=%21%3D&amp;hva%5B0%5D%5Bfilter%5D%5B0%5D%5Btype_id%5D=5897&amp;hva%5B0%5D%5Bfilter%5D%5B0%5D%5Bverdi%5D=&amp;hva%5B0%5D%5Bid%5D=47/når:2015-03-18", "Vegkart")</f>
        <v>Vegkart</v>
      </c>
      <c r="B5778">
        <v>589037491</v>
      </c>
      <c r="C5778">
        <v>47</v>
      </c>
      <c r="D5778" t="s">
        <v>16854</v>
      </c>
      <c r="E5778">
        <v>5897</v>
      </c>
      <c r="F5778" t="s">
        <v>23479</v>
      </c>
      <c r="G5778">
        <v>1</v>
      </c>
      <c r="H5778" t="s">
        <v>6341</v>
      </c>
      <c r="J5778" t="s">
        <v>19043</v>
      </c>
      <c r="K5778" t="s">
        <v>192</v>
      </c>
      <c r="L5778" t="s">
        <v>22</v>
      </c>
      <c r="M5778" t="s">
        <v>19248</v>
      </c>
      <c r="N5778" t="s">
        <v>19267</v>
      </c>
      <c r="O5778" t="s">
        <v>19268</v>
      </c>
      <c r="P5778" s="2" t="s">
        <v>26</v>
      </c>
      <c r="Q5778" t="s">
        <v>50</v>
      </c>
      <c r="R5778">
        <v>43.55</v>
      </c>
      <c r="S5778">
        <v>43.82</v>
      </c>
      <c r="T5778" t="s">
        <v>19269</v>
      </c>
    </row>
    <row r="5779" spans="1:20" x14ac:dyDescent="0.25">
      <c r="A5779" s="1" t="str">
        <f>HYPERLINK("https://vegkart.atlas.vegvesen.no/#/@267223.8,7038172.3,18/hva:hva%5B0%5D%5Bfilter%5D%5B0%5D%5Boperator%5D=%21%3D&amp;hva%5B0%5D%5Bfilter%5D%5B0%5D%5Btype_id%5D=5897&amp;hva%5B0%5D%5Bfilter%5D%5B0%5D%5Bverdi%5D=&amp;hva%5B0%5D%5Bid%5D=47/når:2015-03-18", "Vegkart")</f>
        <v>Vegkart</v>
      </c>
      <c r="B5779">
        <v>589037497</v>
      </c>
      <c r="C5779">
        <v>47</v>
      </c>
      <c r="D5779" t="s">
        <v>16854</v>
      </c>
      <c r="E5779">
        <v>5897</v>
      </c>
      <c r="F5779" t="s">
        <v>23479</v>
      </c>
      <c r="G5779">
        <v>1</v>
      </c>
      <c r="H5779" t="s">
        <v>6341</v>
      </c>
      <c r="J5779" t="s">
        <v>19043</v>
      </c>
      <c r="K5779" t="s">
        <v>192</v>
      </c>
      <c r="L5779" t="s">
        <v>22</v>
      </c>
      <c r="M5779" t="s">
        <v>7037</v>
      </c>
      <c r="N5779" t="s">
        <v>19270</v>
      </c>
      <c r="O5779" t="s">
        <v>19271</v>
      </c>
      <c r="P5779" s="2" t="s">
        <v>26</v>
      </c>
      <c r="Q5779" t="s">
        <v>50</v>
      </c>
      <c r="R5779">
        <v>59.85</v>
      </c>
      <c r="S5779">
        <v>60.33</v>
      </c>
      <c r="T5779" t="s">
        <v>19272</v>
      </c>
    </row>
    <row r="5780" spans="1:20" x14ac:dyDescent="0.25">
      <c r="A5780" s="1" t="str">
        <f>HYPERLINK("https://vegkart.atlas.vegvesen.no/#/@267163.3,7038132.1,18/hva:hva%5B0%5D%5Bfilter%5D%5B0%5D%5Boperator%5D=%21%3D&amp;hva%5B0%5D%5Bfilter%5D%5B0%5D%5Btype_id%5D=5897&amp;hva%5B0%5D%5Bfilter%5D%5B0%5D%5Bverdi%5D=&amp;hva%5B0%5D%5Bid%5D=47/når:2015-03-18", "Vegkart")</f>
        <v>Vegkart</v>
      </c>
      <c r="B5780">
        <v>589037504</v>
      </c>
      <c r="C5780">
        <v>47</v>
      </c>
      <c r="D5780" t="s">
        <v>16854</v>
      </c>
      <c r="E5780">
        <v>5897</v>
      </c>
      <c r="F5780" t="s">
        <v>23479</v>
      </c>
      <c r="G5780">
        <v>1</v>
      </c>
      <c r="H5780" t="s">
        <v>6341</v>
      </c>
      <c r="J5780" t="s">
        <v>19043</v>
      </c>
      <c r="K5780" t="s">
        <v>192</v>
      </c>
      <c r="L5780" t="s">
        <v>22</v>
      </c>
      <c r="M5780" t="s">
        <v>7037</v>
      </c>
      <c r="N5780" t="s">
        <v>19273</v>
      </c>
      <c r="O5780" t="s">
        <v>19274</v>
      </c>
      <c r="P5780" s="2" t="s">
        <v>26</v>
      </c>
      <c r="Q5780" t="s">
        <v>50</v>
      </c>
      <c r="R5780">
        <v>45.93</v>
      </c>
      <c r="S5780">
        <v>46.68</v>
      </c>
      <c r="T5780" t="s">
        <v>19275</v>
      </c>
    </row>
    <row r="5781" spans="1:20" x14ac:dyDescent="0.25">
      <c r="A5781" s="1" t="str">
        <f>HYPERLINK("https://vegkart.atlas.vegvesen.no/#/@268126.3,7040532.0,18/hva:hva%5B0%5D%5Bfilter%5D%5B0%5D%5Boperator%5D=%21%3D&amp;hva%5B0%5D%5Bfilter%5D%5B0%5D%5Btype_id%5D=5897&amp;hva%5B0%5D%5Bfilter%5D%5B0%5D%5Bverdi%5D=&amp;hva%5B0%5D%5Bid%5D=47/når:2015-03-18", "Vegkart")</f>
        <v>Vegkart</v>
      </c>
      <c r="B5781">
        <v>589039575</v>
      </c>
      <c r="C5781">
        <v>47</v>
      </c>
      <c r="D5781" t="s">
        <v>16854</v>
      </c>
      <c r="E5781">
        <v>5897</v>
      </c>
      <c r="F5781" t="s">
        <v>23479</v>
      </c>
      <c r="G5781">
        <v>1</v>
      </c>
      <c r="H5781" t="s">
        <v>6341</v>
      </c>
      <c r="J5781" t="s">
        <v>19043</v>
      </c>
      <c r="K5781" t="s">
        <v>192</v>
      </c>
      <c r="L5781" t="s">
        <v>22</v>
      </c>
      <c r="M5781" t="s">
        <v>5778</v>
      </c>
      <c r="N5781" t="s">
        <v>19276</v>
      </c>
      <c r="O5781" t="s">
        <v>19277</v>
      </c>
      <c r="P5781" s="2" t="s">
        <v>26</v>
      </c>
      <c r="Q5781" t="s">
        <v>50</v>
      </c>
      <c r="R5781">
        <v>38.79</v>
      </c>
      <c r="S5781">
        <v>39.270000000000003</v>
      </c>
      <c r="T5781" t="s">
        <v>19278</v>
      </c>
    </row>
    <row r="5782" spans="1:20" x14ac:dyDescent="0.25">
      <c r="A5782" s="1" t="str">
        <f>HYPERLINK("https://vegkart.atlas.vegvesen.no/#/@268379.9,7037874.9,18/hva:hva%5B0%5D%5Bfilter%5D%5B0%5D%5Boperator%5D=%21%3D&amp;hva%5B0%5D%5Bfilter%5D%5B0%5D%5Btype_id%5D=5897&amp;hva%5B0%5D%5Bfilter%5D%5B0%5D%5Bverdi%5D=&amp;hva%5B0%5D%5Bid%5D=47/når:2015-03-18", "Vegkart")</f>
        <v>Vegkart</v>
      </c>
      <c r="B5782">
        <v>589123705</v>
      </c>
      <c r="C5782">
        <v>47</v>
      </c>
      <c r="D5782" t="s">
        <v>16854</v>
      </c>
      <c r="E5782">
        <v>5897</v>
      </c>
      <c r="F5782" t="s">
        <v>23479</v>
      </c>
      <c r="G5782">
        <v>1</v>
      </c>
      <c r="H5782" t="s">
        <v>6341</v>
      </c>
      <c r="J5782" t="s">
        <v>19043</v>
      </c>
      <c r="K5782" t="s">
        <v>192</v>
      </c>
      <c r="L5782" t="s">
        <v>22</v>
      </c>
      <c r="M5782" t="s">
        <v>235</v>
      </c>
      <c r="N5782" t="s">
        <v>19279</v>
      </c>
      <c r="O5782" t="s">
        <v>19280</v>
      </c>
      <c r="P5782" s="2" t="s">
        <v>26</v>
      </c>
      <c r="Q5782" t="s">
        <v>50</v>
      </c>
      <c r="R5782">
        <v>53.89</v>
      </c>
      <c r="S5782">
        <v>55.42</v>
      </c>
      <c r="T5782" t="s">
        <v>19281</v>
      </c>
    </row>
    <row r="5783" spans="1:20" x14ac:dyDescent="0.25">
      <c r="A5783" s="1" t="str">
        <f>HYPERLINK("https://vegkart.atlas.vegvesen.no/#/@268730.3,7037844.8,18/hva:hva%5B0%5D%5Bfilter%5D%5B0%5D%5Boperator%5D=%21%3D&amp;hva%5B0%5D%5Bfilter%5D%5B0%5D%5Btype_id%5D=5897&amp;hva%5B0%5D%5Bfilter%5D%5B0%5D%5Bverdi%5D=&amp;hva%5B0%5D%5Bid%5D=47/når:2015-03-18", "Vegkart")</f>
        <v>Vegkart</v>
      </c>
      <c r="B5783">
        <v>589123708</v>
      </c>
      <c r="C5783">
        <v>47</v>
      </c>
      <c r="D5783" t="s">
        <v>16854</v>
      </c>
      <c r="E5783">
        <v>5897</v>
      </c>
      <c r="F5783" t="s">
        <v>23479</v>
      </c>
      <c r="G5783">
        <v>1</v>
      </c>
      <c r="H5783" t="s">
        <v>6341</v>
      </c>
      <c r="J5783" t="s">
        <v>19043</v>
      </c>
      <c r="K5783" t="s">
        <v>192</v>
      </c>
      <c r="L5783" t="s">
        <v>22</v>
      </c>
      <c r="M5783" t="s">
        <v>235</v>
      </c>
      <c r="N5783" t="s">
        <v>19282</v>
      </c>
      <c r="O5783" t="s">
        <v>19283</v>
      </c>
      <c r="P5783" s="2" t="s">
        <v>26</v>
      </c>
      <c r="Q5783" t="s">
        <v>50</v>
      </c>
      <c r="R5783">
        <v>75.09</v>
      </c>
      <c r="S5783">
        <v>75.63</v>
      </c>
      <c r="T5783" t="s">
        <v>19284</v>
      </c>
    </row>
    <row r="5784" spans="1:20" x14ac:dyDescent="0.25">
      <c r="A5784" s="1" t="str">
        <f>HYPERLINK("https://vegkart.atlas.vegvesen.no/#/@268751.6,7037852.6,18/hva:hva%5B0%5D%5Bfilter%5D%5B0%5D%5Boperator%5D=%21%3D&amp;hva%5B0%5D%5Bfilter%5D%5B0%5D%5Btype_id%5D=5897&amp;hva%5B0%5D%5Bfilter%5D%5B0%5D%5Bverdi%5D=&amp;hva%5B0%5D%5Bid%5D=47/når:2015-03-18", "Vegkart")</f>
        <v>Vegkart</v>
      </c>
      <c r="B5784">
        <v>589123713</v>
      </c>
      <c r="C5784">
        <v>47</v>
      </c>
      <c r="D5784" t="s">
        <v>16854</v>
      </c>
      <c r="E5784">
        <v>5897</v>
      </c>
      <c r="F5784" t="s">
        <v>23479</v>
      </c>
      <c r="G5784">
        <v>1</v>
      </c>
      <c r="H5784" t="s">
        <v>6341</v>
      </c>
      <c r="J5784" t="s">
        <v>19043</v>
      </c>
      <c r="K5784" t="s">
        <v>192</v>
      </c>
      <c r="L5784" t="s">
        <v>22</v>
      </c>
      <c r="M5784" t="s">
        <v>235</v>
      </c>
      <c r="N5784" t="s">
        <v>19285</v>
      </c>
      <c r="O5784" t="s">
        <v>19286</v>
      </c>
      <c r="P5784" s="2" t="s">
        <v>26</v>
      </c>
      <c r="Q5784" t="s">
        <v>50</v>
      </c>
      <c r="R5784">
        <v>44.01</v>
      </c>
      <c r="S5784">
        <v>44.34</v>
      </c>
      <c r="T5784" t="s">
        <v>19287</v>
      </c>
    </row>
    <row r="5785" spans="1:20" x14ac:dyDescent="0.25">
      <c r="A5785" s="1" t="str">
        <f>HYPERLINK("https://vegkart.atlas.vegvesen.no/#/@268525.0,7037280.7,18/hva:hva%5B0%5D%5Bfilter%5D%5B0%5D%5Boperator%5D=%21%3D&amp;hva%5B0%5D%5Bfilter%5D%5B0%5D%5Btype_id%5D=5897&amp;hva%5B0%5D%5Bfilter%5D%5B0%5D%5Bverdi%5D=&amp;hva%5B0%5D%5Bid%5D=47/når:2015-03-18", "Vegkart")</f>
        <v>Vegkart</v>
      </c>
      <c r="B5785">
        <v>589123724</v>
      </c>
      <c r="C5785">
        <v>47</v>
      </c>
      <c r="D5785" t="s">
        <v>16854</v>
      </c>
      <c r="E5785">
        <v>5897</v>
      </c>
      <c r="F5785" t="s">
        <v>23479</v>
      </c>
      <c r="G5785">
        <v>1</v>
      </c>
      <c r="H5785" t="s">
        <v>6341</v>
      </c>
      <c r="J5785" t="s">
        <v>19043</v>
      </c>
      <c r="K5785" t="s">
        <v>192</v>
      </c>
      <c r="L5785" t="s">
        <v>22</v>
      </c>
      <c r="M5785" t="s">
        <v>19288</v>
      </c>
      <c r="N5785" t="s">
        <v>19289</v>
      </c>
      <c r="O5785" t="s">
        <v>19290</v>
      </c>
      <c r="P5785" s="2" t="s">
        <v>26</v>
      </c>
      <c r="Q5785" t="s">
        <v>50</v>
      </c>
      <c r="R5785">
        <v>35.19</v>
      </c>
      <c r="S5785">
        <v>35.39</v>
      </c>
      <c r="T5785" t="s">
        <v>19291</v>
      </c>
    </row>
    <row r="5786" spans="1:20" x14ac:dyDescent="0.25">
      <c r="A5786" s="1" t="str">
        <f>HYPERLINK("https://vegkart.atlas.vegvesen.no/#/@268520.4,7037292.8,18/hva:hva%5B0%5D%5Bfilter%5D%5B0%5D%5Boperator%5D=%21%3D&amp;hva%5B0%5D%5Bfilter%5D%5B0%5D%5Btype_id%5D=5897&amp;hva%5B0%5D%5Bfilter%5D%5B0%5D%5Bverdi%5D=&amp;hva%5B0%5D%5Bid%5D=47/når:2015-03-18", "Vegkart")</f>
        <v>Vegkart</v>
      </c>
      <c r="B5786">
        <v>589123730</v>
      </c>
      <c r="C5786">
        <v>47</v>
      </c>
      <c r="D5786" t="s">
        <v>16854</v>
      </c>
      <c r="E5786">
        <v>5897</v>
      </c>
      <c r="F5786" t="s">
        <v>23479</v>
      </c>
      <c r="G5786">
        <v>1</v>
      </c>
      <c r="H5786" t="s">
        <v>6341</v>
      </c>
      <c r="J5786" t="s">
        <v>19043</v>
      </c>
      <c r="K5786" t="s">
        <v>192</v>
      </c>
      <c r="L5786" t="s">
        <v>22</v>
      </c>
      <c r="M5786" t="s">
        <v>19288</v>
      </c>
      <c r="N5786" t="s">
        <v>19292</v>
      </c>
      <c r="O5786" t="s">
        <v>19293</v>
      </c>
      <c r="P5786" s="2" t="s">
        <v>26</v>
      </c>
      <c r="Q5786" t="s">
        <v>50</v>
      </c>
      <c r="R5786">
        <v>43.18</v>
      </c>
      <c r="S5786">
        <v>43.59</v>
      </c>
      <c r="T5786" t="s">
        <v>19294</v>
      </c>
    </row>
    <row r="5787" spans="1:20" x14ac:dyDescent="0.25">
      <c r="A5787" s="1" t="str">
        <f>HYPERLINK("https://vegkart.atlas.vegvesen.no/#/@268249.9,7037315.5,18/hva:hva%5B0%5D%5Bfilter%5D%5B0%5D%5Boperator%5D=%21%3D&amp;hva%5B0%5D%5Bfilter%5D%5B0%5D%5Btype_id%5D=5897&amp;hva%5B0%5D%5Bfilter%5D%5B0%5D%5Bverdi%5D=&amp;hva%5B0%5D%5Bid%5D=47/når:2015-03-18", "Vegkart")</f>
        <v>Vegkart</v>
      </c>
      <c r="B5787">
        <v>589123733</v>
      </c>
      <c r="C5787">
        <v>47</v>
      </c>
      <c r="D5787" t="s">
        <v>16854</v>
      </c>
      <c r="E5787">
        <v>5897</v>
      </c>
      <c r="F5787" t="s">
        <v>23479</v>
      </c>
      <c r="G5787">
        <v>1</v>
      </c>
      <c r="H5787" t="s">
        <v>6341</v>
      </c>
      <c r="J5787" t="s">
        <v>19043</v>
      </c>
      <c r="K5787" t="s">
        <v>192</v>
      </c>
      <c r="L5787" t="s">
        <v>22</v>
      </c>
      <c r="M5787" t="s">
        <v>19288</v>
      </c>
      <c r="N5787" t="s">
        <v>19295</v>
      </c>
      <c r="O5787" t="s">
        <v>19296</v>
      </c>
      <c r="P5787" s="2" t="s">
        <v>26</v>
      </c>
      <c r="Q5787" t="s">
        <v>50</v>
      </c>
      <c r="R5787">
        <v>51.71</v>
      </c>
      <c r="S5787">
        <v>52.78</v>
      </c>
      <c r="T5787" t="s">
        <v>19297</v>
      </c>
    </row>
    <row r="5788" spans="1:20" x14ac:dyDescent="0.25">
      <c r="A5788" s="1" t="str">
        <f>HYPERLINK("https://vegkart.atlas.vegvesen.no/#/@268163.7,7037299.1,18/hva:hva%5B0%5D%5Bfilter%5D%5B0%5D%5Boperator%5D=%21%3D&amp;hva%5B0%5D%5Bfilter%5D%5B0%5D%5Btype_id%5D=5897&amp;hva%5B0%5D%5Bfilter%5D%5B0%5D%5Bverdi%5D=&amp;hva%5B0%5D%5Bid%5D=47/når:2015-03-18", "Vegkart")</f>
        <v>Vegkart</v>
      </c>
      <c r="B5788">
        <v>589123736</v>
      </c>
      <c r="C5788">
        <v>47</v>
      </c>
      <c r="D5788" t="s">
        <v>16854</v>
      </c>
      <c r="E5788">
        <v>5897</v>
      </c>
      <c r="F5788" t="s">
        <v>23479</v>
      </c>
      <c r="G5788">
        <v>1</v>
      </c>
      <c r="H5788" t="s">
        <v>6341</v>
      </c>
      <c r="J5788" t="s">
        <v>19043</v>
      </c>
      <c r="K5788" t="s">
        <v>192</v>
      </c>
      <c r="L5788" t="s">
        <v>22</v>
      </c>
      <c r="M5788" t="s">
        <v>19288</v>
      </c>
      <c r="N5788" t="s">
        <v>19298</v>
      </c>
      <c r="O5788" t="s">
        <v>19299</v>
      </c>
      <c r="P5788" s="2" t="s">
        <v>26</v>
      </c>
      <c r="Q5788" t="s">
        <v>50</v>
      </c>
      <c r="R5788">
        <v>42.77</v>
      </c>
      <c r="S5788">
        <v>42.98</v>
      </c>
      <c r="T5788" t="s">
        <v>19300</v>
      </c>
    </row>
    <row r="5789" spans="1:20" x14ac:dyDescent="0.25">
      <c r="A5789" s="1" t="str">
        <f>HYPERLINK("https://vegkart.atlas.vegvesen.no/#/@267940.4,7037259.0,18/hva:hva%5B0%5D%5Bfilter%5D%5B0%5D%5Boperator%5D=%21%3D&amp;hva%5B0%5D%5Bfilter%5D%5B0%5D%5Btype_id%5D=5897&amp;hva%5B0%5D%5Bfilter%5D%5B0%5D%5Bverdi%5D=&amp;hva%5B0%5D%5Bid%5D=47/når:2015-03-18", "Vegkart")</f>
        <v>Vegkart</v>
      </c>
      <c r="B5789">
        <v>589123742</v>
      </c>
      <c r="C5789">
        <v>47</v>
      </c>
      <c r="D5789" t="s">
        <v>16854</v>
      </c>
      <c r="E5789">
        <v>5897</v>
      </c>
      <c r="F5789" t="s">
        <v>23479</v>
      </c>
      <c r="G5789">
        <v>1</v>
      </c>
      <c r="H5789" t="s">
        <v>6341</v>
      </c>
      <c r="J5789" t="s">
        <v>19043</v>
      </c>
      <c r="K5789" t="s">
        <v>192</v>
      </c>
      <c r="L5789" t="s">
        <v>22</v>
      </c>
      <c r="M5789" t="s">
        <v>19288</v>
      </c>
      <c r="N5789" t="s">
        <v>19301</v>
      </c>
      <c r="O5789" t="s">
        <v>19302</v>
      </c>
      <c r="P5789" s="2" t="s">
        <v>26</v>
      </c>
      <c r="Q5789" t="s">
        <v>50</v>
      </c>
      <c r="R5789">
        <v>39.03</v>
      </c>
      <c r="S5789">
        <v>39.51</v>
      </c>
      <c r="T5789" t="s">
        <v>19303</v>
      </c>
    </row>
    <row r="5790" spans="1:20" x14ac:dyDescent="0.25">
      <c r="A5790" s="1" t="str">
        <f>HYPERLINK("https://vegkart.atlas.vegvesen.no/#/@267835.6,7037151.4,18/hva:hva%5B0%5D%5Bfilter%5D%5B0%5D%5Boperator%5D=%21%3D&amp;hva%5B0%5D%5Bfilter%5D%5B0%5D%5Btype_id%5D=5897&amp;hva%5B0%5D%5Bfilter%5D%5B0%5D%5Bverdi%5D=&amp;hva%5B0%5D%5Bid%5D=47/når:2015-03-18", "Vegkart")</f>
        <v>Vegkart</v>
      </c>
      <c r="B5790">
        <v>589123750</v>
      </c>
      <c r="C5790">
        <v>47</v>
      </c>
      <c r="D5790" t="s">
        <v>16854</v>
      </c>
      <c r="E5790">
        <v>5897</v>
      </c>
      <c r="F5790" t="s">
        <v>23479</v>
      </c>
      <c r="G5790">
        <v>1</v>
      </c>
      <c r="H5790" t="s">
        <v>6341</v>
      </c>
      <c r="J5790" t="s">
        <v>19043</v>
      </c>
      <c r="K5790" t="s">
        <v>192</v>
      </c>
      <c r="L5790" t="s">
        <v>22</v>
      </c>
      <c r="M5790" t="s">
        <v>19304</v>
      </c>
      <c r="N5790" t="s">
        <v>19305</v>
      </c>
      <c r="O5790" t="s">
        <v>19306</v>
      </c>
      <c r="P5790" s="2" t="s">
        <v>26</v>
      </c>
      <c r="Q5790" t="s">
        <v>50</v>
      </c>
      <c r="R5790">
        <v>43.44</v>
      </c>
      <c r="S5790">
        <v>43.75</v>
      </c>
      <c r="T5790" t="s">
        <v>19307</v>
      </c>
    </row>
    <row r="5791" spans="1:20" x14ac:dyDescent="0.25">
      <c r="A5791" s="1" t="str">
        <f>HYPERLINK("https://vegkart.atlas.vegvesen.no/#/@267837.7,7037085.5,18/hva:hva%5B0%5D%5Bfilter%5D%5B0%5D%5Boperator%5D=%21%3D&amp;hva%5B0%5D%5Bfilter%5D%5B0%5D%5Btype_id%5D=5897&amp;hva%5B0%5D%5Bfilter%5D%5B0%5D%5Bverdi%5D=&amp;hva%5B0%5D%5Bid%5D=47/når:2015-03-18", "Vegkart")</f>
        <v>Vegkart</v>
      </c>
      <c r="B5791">
        <v>589123753</v>
      </c>
      <c r="C5791">
        <v>47</v>
      </c>
      <c r="D5791" t="s">
        <v>16854</v>
      </c>
      <c r="E5791">
        <v>5897</v>
      </c>
      <c r="F5791" t="s">
        <v>23479</v>
      </c>
      <c r="G5791">
        <v>1</v>
      </c>
      <c r="H5791" t="s">
        <v>6341</v>
      </c>
      <c r="J5791" t="s">
        <v>19043</v>
      </c>
      <c r="K5791" t="s">
        <v>192</v>
      </c>
      <c r="L5791" t="s">
        <v>22</v>
      </c>
      <c r="M5791" t="s">
        <v>19304</v>
      </c>
      <c r="N5791" t="s">
        <v>19308</v>
      </c>
      <c r="O5791" t="s">
        <v>19309</v>
      </c>
      <c r="P5791" s="2" t="s">
        <v>26</v>
      </c>
      <c r="Q5791" t="s">
        <v>50</v>
      </c>
      <c r="R5791">
        <v>55.01</v>
      </c>
      <c r="S5791">
        <v>55.59</v>
      </c>
      <c r="T5791" t="s">
        <v>19310</v>
      </c>
    </row>
    <row r="5792" spans="1:20" x14ac:dyDescent="0.25">
      <c r="A5792" s="1" t="str">
        <f>HYPERLINK("https://vegkart.atlas.vegvesen.no/#/@268079.9,7036890.7,18/hva:hva%5B0%5D%5Bfilter%5D%5B0%5D%5Boperator%5D=%21%3D&amp;hva%5B0%5D%5Bfilter%5D%5B0%5D%5Btype_id%5D=5897&amp;hva%5B0%5D%5Bfilter%5D%5B0%5D%5Bverdi%5D=&amp;hva%5B0%5D%5Bid%5D=47/når:2015-03-18", "Vegkart")</f>
        <v>Vegkart</v>
      </c>
      <c r="B5792">
        <v>589123756</v>
      </c>
      <c r="C5792">
        <v>47</v>
      </c>
      <c r="D5792" t="s">
        <v>16854</v>
      </c>
      <c r="E5792">
        <v>5897</v>
      </c>
      <c r="F5792" t="s">
        <v>23479</v>
      </c>
      <c r="G5792">
        <v>1</v>
      </c>
      <c r="H5792" t="s">
        <v>6341</v>
      </c>
      <c r="J5792" t="s">
        <v>19043</v>
      </c>
      <c r="K5792" t="s">
        <v>192</v>
      </c>
      <c r="L5792" t="s">
        <v>22</v>
      </c>
      <c r="M5792" t="s">
        <v>19304</v>
      </c>
      <c r="N5792" t="s">
        <v>19311</v>
      </c>
      <c r="O5792" t="s">
        <v>19312</v>
      </c>
      <c r="P5792" s="2" t="s">
        <v>26</v>
      </c>
      <c r="Q5792" t="s">
        <v>50</v>
      </c>
      <c r="R5792">
        <v>19.21</v>
      </c>
      <c r="S5792">
        <v>19.87</v>
      </c>
      <c r="T5792" t="s">
        <v>19313</v>
      </c>
    </row>
    <row r="5793" spans="1:20" x14ac:dyDescent="0.25">
      <c r="A5793" s="1" t="str">
        <f>HYPERLINK("https://vegkart.atlas.vegvesen.no/#/@268445.8,7036167.9,18/hva:hva%5B0%5D%5Bfilter%5D%5B0%5D%5Boperator%5D=%21%3D&amp;hva%5B0%5D%5Bfilter%5D%5B0%5D%5Btype_id%5D=5897&amp;hva%5B0%5D%5Bfilter%5D%5B0%5D%5Bverdi%5D=&amp;hva%5B0%5D%5Bid%5D=47/når:2015-03-18", "Vegkart")</f>
        <v>Vegkart</v>
      </c>
      <c r="B5793">
        <v>589123776</v>
      </c>
      <c r="C5793">
        <v>47</v>
      </c>
      <c r="D5793" t="s">
        <v>16854</v>
      </c>
      <c r="E5793">
        <v>5897</v>
      </c>
      <c r="F5793" t="s">
        <v>23479</v>
      </c>
      <c r="G5793">
        <v>1</v>
      </c>
      <c r="H5793" t="s">
        <v>6341</v>
      </c>
      <c r="J5793" t="s">
        <v>19043</v>
      </c>
      <c r="K5793" t="s">
        <v>192</v>
      </c>
      <c r="L5793" t="s">
        <v>22</v>
      </c>
      <c r="M5793" t="s">
        <v>19314</v>
      </c>
      <c r="N5793" t="s">
        <v>19315</v>
      </c>
      <c r="O5793" t="s">
        <v>19316</v>
      </c>
      <c r="P5793" s="2" t="s">
        <v>26</v>
      </c>
      <c r="Q5793" t="s">
        <v>50</v>
      </c>
      <c r="R5793">
        <v>32.01</v>
      </c>
      <c r="S5793">
        <v>32.47</v>
      </c>
      <c r="T5793" t="s">
        <v>19317</v>
      </c>
    </row>
    <row r="5794" spans="1:20" x14ac:dyDescent="0.25">
      <c r="A5794" s="1" t="str">
        <f>HYPERLINK("https://vegkart.atlas.vegvesen.no/#/@268434.1,7036167.7,18/hva:hva%5B0%5D%5Bfilter%5D%5B0%5D%5Boperator%5D=%21%3D&amp;hva%5B0%5D%5Bfilter%5D%5B0%5D%5Btype_id%5D=5897&amp;hva%5B0%5D%5Bfilter%5D%5B0%5D%5Bverdi%5D=&amp;hva%5B0%5D%5Bid%5D=47/når:2015-03-18", "Vegkart")</f>
        <v>Vegkart</v>
      </c>
      <c r="B5794">
        <v>589123783</v>
      </c>
      <c r="C5794">
        <v>47</v>
      </c>
      <c r="D5794" t="s">
        <v>16854</v>
      </c>
      <c r="E5794">
        <v>5897</v>
      </c>
      <c r="F5794" t="s">
        <v>23479</v>
      </c>
      <c r="G5794">
        <v>1</v>
      </c>
      <c r="H5794" t="s">
        <v>6341</v>
      </c>
      <c r="J5794" t="s">
        <v>19043</v>
      </c>
      <c r="K5794" t="s">
        <v>192</v>
      </c>
      <c r="L5794" t="s">
        <v>22</v>
      </c>
      <c r="M5794" t="s">
        <v>19314</v>
      </c>
      <c r="N5794" t="s">
        <v>19318</v>
      </c>
      <c r="O5794" t="s">
        <v>19319</v>
      </c>
      <c r="P5794" s="2" t="s">
        <v>26</v>
      </c>
      <c r="Q5794" t="s">
        <v>50</v>
      </c>
      <c r="R5794">
        <v>34.06</v>
      </c>
      <c r="S5794">
        <v>34.18</v>
      </c>
      <c r="T5794" t="s">
        <v>19320</v>
      </c>
    </row>
    <row r="5795" spans="1:20" x14ac:dyDescent="0.25">
      <c r="A5795" s="1" t="str">
        <f>HYPERLINK("https://vegkart.atlas.vegvesen.no/#/@266675.2,7037480.4,18/hva:hva%5B0%5D%5Bfilter%5D%5B0%5D%5Boperator%5D=%21%3D&amp;hva%5B0%5D%5Bfilter%5D%5B0%5D%5Btype_id%5D=5897&amp;hva%5B0%5D%5Bfilter%5D%5B0%5D%5Bverdi%5D=&amp;hva%5B0%5D%5Bid%5D=47/når:2015-03-19", "Vegkart")</f>
        <v>Vegkart</v>
      </c>
      <c r="B5795">
        <v>589155454</v>
      </c>
      <c r="C5795">
        <v>47</v>
      </c>
      <c r="D5795" t="s">
        <v>16854</v>
      </c>
      <c r="E5795">
        <v>5897</v>
      </c>
      <c r="F5795" t="s">
        <v>23479</v>
      </c>
      <c r="G5795">
        <v>1</v>
      </c>
      <c r="H5795" t="s">
        <v>19321</v>
      </c>
      <c r="J5795" t="s">
        <v>19043</v>
      </c>
      <c r="K5795" t="s">
        <v>192</v>
      </c>
      <c r="L5795" t="s">
        <v>22</v>
      </c>
      <c r="M5795" t="s">
        <v>7037</v>
      </c>
      <c r="N5795" t="s">
        <v>19322</v>
      </c>
      <c r="O5795" t="s">
        <v>19323</v>
      </c>
      <c r="P5795" s="2" t="s">
        <v>26</v>
      </c>
      <c r="Q5795" t="s">
        <v>50</v>
      </c>
      <c r="R5795">
        <v>49.06</v>
      </c>
      <c r="S5795">
        <v>49.36</v>
      </c>
      <c r="T5795" t="s">
        <v>19324</v>
      </c>
    </row>
    <row r="5796" spans="1:20" x14ac:dyDescent="0.25">
      <c r="A5796" s="1" t="str">
        <f>HYPERLINK("https://vegkart.atlas.vegvesen.no/#/@266649.4,7037368.6,18/hva:hva%5B0%5D%5Bfilter%5D%5B0%5D%5Boperator%5D=%21%3D&amp;hva%5B0%5D%5Bfilter%5D%5B0%5D%5Btype_id%5D=5897&amp;hva%5B0%5D%5Bfilter%5D%5B0%5D%5Bverdi%5D=&amp;hva%5B0%5D%5Bid%5D=47/når:2015-03-19", "Vegkart")</f>
        <v>Vegkart</v>
      </c>
      <c r="B5796">
        <v>589155459</v>
      </c>
      <c r="C5796">
        <v>47</v>
      </c>
      <c r="D5796" t="s">
        <v>16854</v>
      </c>
      <c r="E5796">
        <v>5897</v>
      </c>
      <c r="F5796" t="s">
        <v>23479</v>
      </c>
      <c r="G5796">
        <v>1</v>
      </c>
      <c r="H5796" t="s">
        <v>19321</v>
      </c>
      <c r="J5796" t="s">
        <v>19043</v>
      </c>
      <c r="K5796" t="s">
        <v>192</v>
      </c>
      <c r="L5796" t="s">
        <v>22</v>
      </c>
      <c r="M5796" t="s">
        <v>7037</v>
      </c>
      <c r="N5796" t="s">
        <v>19325</v>
      </c>
      <c r="O5796" t="s">
        <v>19326</v>
      </c>
      <c r="P5796" s="2" t="s">
        <v>26</v>
      </c>
      <c r="Q5796" t="s">
        <v>50</v>
      </c>
      <c r="R5796">
        <v>38.729999999999997</v>
      </c>
      <c r="S5796">
        <v>39.5</v>
      </c>
      <c r="T5796" t="s">
        <v>19327</v>
      </c>
    </row>
    <row r="5797" spans="1:20" x14ac:dyDescent="0.25">
      <c r="A5797" s="1" t="str">
        <f>HYPERLINK("https://vegkart.atlas.vegvesen.no/#/@266817.9,7037714.9,18/hva:hva%5B0%5D%5Bfilter%5D%5B0%5D%5Boperator%5D=%21%3D&amp;hva%5B0%5D%5Bfilter%5D%5B0%5D%5Btype_id%5D=5897&amp;hva%5B0%5D%5Bfilter%5D%5B0%5D%5Bverdi%5D=&amp;hva%5B0%5D%5Bid%5D=47/når:2015-03-19", "Vegkart")</f>
        <v>Vegkart</v>
      </c>
      <c r="B5797">
        <v>589155464</v>
      </c>
      <c r="C5797">
        <v>47</v>
      </c>
      <c r="D5797" t="s">
        <v>16854</v>
      </c>
      <c r="E5797">
        <v>5897</v>
      </c>
      <c r="F5797" t="s">
        <v>23479</v>
      </c>
      <c r="G5797">
        <v>1</v>
      </c>
      <c r="H5797" t="s">
        <v>19321</v>
      </c>
      <c r="J5797" t="s">
        <v>19043</v>
      </c>
      <c r="K5797" t="s">
        <v>192</v>
      </c>
      <c r="L5797" t="s">
        <v>22</v>
      </c>
      <c r="M5797" t="s">
        <v>7037</v>
      </c>
      <c r="N5797" t="s">
        <v>19328</v>
      </c>
      <c r="O5797" t="s">
        <v>19329</v>
      </c>
      <c r="P5797" s="2" t="s">
        <v>26</v>
      </c>
      <c r="Q5797" t="s">
        <v>50</v>
      </c>
      <c r="R5797">
        <v>36.03</v>
      </c>
      <c r="S5797">
        <v>36.33</v>
      </c>
      <c r="T5797" t="s">
        <v>19330</v>
      </c>
    </row>
    <row r="5798" spans="1:20" x14ac:dyDescent="0.25">
      <c r="A5798" s="1" t="str">
        <f>HYPERLINK("https://vegkart.atlas.vegvesen.no/#/@266865.6,7037762.2,18/hva:hva%5B0%5D%5Bfilter%5D%5B0%5D%5Boperator%5D=%21%3D&amp;hva%5B0%5D%5Bfilter%5D%5B0%5D%5Btype_id%5D=5897&amp;hva%5B0%5D%5Bfilter%5D%5B0%5D%5Bverdi%5D=&amp;hva%5B0%5D%5Bid%5D=47/når:2015-03-19", "Vegkart")</f>
        <v>Vegkart</v>
      </c>
      <c r="B5798">
        <v>589155469</v>
      </c>
      <c r="C5798">
        <v>47</v>
      </c>
      <c r="D5798" t="s">
        <v>16854</v>
      </c>
      <c r="E5798">
        <v>5897</v>
      </c>
      <c r="F5798" t="s">
        <v>23479</v>
      </c>
      <c r="G5798">
        <v>1</v>
      </c>
      <c r="H5798" t="s">
        <v>19321</v>
      </c>
      <c r="J5798" t="s">
        <v>19043</v>
      </c>
      <c r="K5798" t="s">
        <v>192</v>
      </c>
      <c r="L5798" t="s">
        <v>22</v>
      </c>
      <c r="M5798" t="s">
        <v>7037</v>
      </c>
      <c r="N5798" t="s">
        <v>19331</v>
      </c>
      <c r="O5798" t="s">
        <v>19332</v>
      </c>
      <c r="P5798" s="2" t="s">
        <v>26</v>
      </c>
      <c r="Q5798" t="s">
        <v>50</v>
      </c>
      <c r="R5798">
        <v>41.9</v>
      </c>
      <c r="S5798">
        <v>42.16</v>
      </c>
      <c r="T5798" t="s">
        <v>19333</v>
      </c>
    </row>
    <row r="5799" spans="1:20" x14ac:dyDescent="0.25">
      <c r="A5799" s="1" t="str">
        <f>HYPERLINK("https://vegkart.atlas.vegvesen.no/#/@266733.5,7037235.9,18/hva:hva%5B0%5D%5Bfilter%5D%5B0%5D%5Boperator%5D=%21%3D&amp;hva%5B0%5D%5Bfilter%5D%5B0%5D%5Btype_id%5D=5897&amp;hva%5B0%5D%5Bfilter%5D%5B0%5D%5Bverdi%5D=&amp;hva%5B0%5D%5Bid%5D=47/når:2015-03-19", "Vegkart")</f>
        <v>Vegkart</v>
      </c>
      <c r="B5799">
        <v>589155475</v>
      </c>
      <c r="C5799">
        <v>47</v>
      </c>
      <c r="D5799" t="s">
        <v>16854</v>
      </c>
      <c r="E5799">
        <v>5897</v>
      </c>
      <c r="F5799" t="s">
        <v>23479</v>
      </c>
      <c r="G5799">
        <v>1</v>
      </c>
      <c r="H5799" t="s">
        <v>19321</v>
      </c>
      <c r="J5799" t="s">
        <v>19043</v>
      </c>
      <c r="K5799" t="s">
        <v>192</v>
      </c>
      <c r="L5799" t="s">
        <v>22</v>
      </c>
      <c r="M5799" t="s">
        <v>19334</v>
      </c>
      <c r="N5799" t="s">
        <v>19335</v>
      </c>
      <c r="O5799" t="s">
        <v>19336</v>
      </c>
      <c r="P5799" s="2" t="s">
        <v>26</v>
      </c>
      <c r="Q5799" t="s">
        <v>50</v>
      </c>
      <c r="R5799">
        <v>37.229999999999997</v>
      </c>
      <c r="S5799">
        <v>37.39</v>
      </c>
      <c r="T5799" t="s">
        <v>19337</v>
      </c>
    </row>
    <row r="5800" spans="1:20" x14ac:dyDescent="0.25">
      <c r="A5800" s="1" t="str">
        <f>HYPERLINK("https://vegkart.atlas.vegvesen.no/#/@266728.3,7037216.5,18/hva:hva%5B0%5D%5Bfilter%5D%5B0%5D%5Boperator%5D=%21%3D&amp;hva%5B0%5D%5Bfilter%5D%5B0%5D%5Btype_id%5D=5897&amp;hva%5B0%5D%5Bfilter%5D%5B0%5D%5Bverdi%5D=&amp;hva%5B0%5D%5Bid%5D=47/når:2015-03-19", "Vegkart")</f>
        <v>Vegkart</v>
      </c>
      <c r="B5800">
        <v>589155480</v>
      </c>
      <c r="C5800">
        <v>47</v>
      </c>
      <c r="D5800" t="s">
        <v>16854</v>
      </c>
      <c r="E5800">
        <v>5897</v>
      </c>
      <c r="F5800" t="s">
        <v>23479</v>
      </c>
      <c r="G5800">
        <v>1</v>
      </c>
      <c r="H5800" t="s">
        <v>19321</v>
      </c>
      <c r="J5800" t="s">
        <v>19043</v>
      </c>
      <c r="K5800" t="s">
        <v>192</v>
      </c>
      <c r="L5800" t="s">
        <v>22</v>
      </c>
      <c r="M5800" t="s">
        <v>19334</v>
      </c>
      <c r="N5800" t="s">
        <v>19338</v>
      </c>
      <c r="O5800" t="s">
        <v>19339</v>
      </c>
      <c r="P5800" s="2" t="s">
        <v>26</v>
      </c>
      <c r="Q5800" t="s">
        <v>50</v>
      </c>
      <c r="R5800">
        <v>45.01</v>
      </c>
      <c r="S5800">
        <v>45.17</v>
      </c>
      <c r="T5800" t="s">
        <v>19340</v>
      </c>
    </row>
    <row r="5801" spans="1:20" x14ac:dyDescent="0.25">
      <c r="A5801" s="1" t="str">
        <f>HYPERLINK("https://vegkart.atlas.vegvesen.no/#/@267055.0,7036845.7,18/hva:hva%5B0%5D%5Bfilter%5D%5B0%5D%5Boperator%5D=%21%3D&amp;hva%5B0%5D%5Bfilter%5D%5B0%5D%5Btype_id%5D=5897&amp;hva%5B0%5D%5Bfilter%5D%5B0%5D%5Bverdi%5D=&amp;hva%5B0%5D%5Bid%5D=47/når:2015-03-19", "Vegkart")</f>
        <v>Vegkart</v>
      </c>
      <c r="B5801">
        <v>589167426</v>
      </c>
      <c r="C5801">
        <v>47</v>
      </c>
      <c r="D5801" t="s">
        <v>16854</v>
      </c>
      <c r="E5801">
        <v>5897</v>
      </c>
      <c r="F5801" t="s">
        <v>23479</v>
      </c>
      <c r="G5801">
        <v>1</v>
      </c>
      <c r="H5801" t="s">
        <v>19321</v>
      </c>
      <c r="J5801" t="s">
        <v>19043</v>
      </c>
      <c r="K5801" t="s">
        <v>192</v>
      </c>
      <c r="L5801" t="s">
        <v>22</v>
      </c>
      <c r="M5801" t="s">
        <v>19334</v>
      </c>
      <c r="N5801" t="s">
        <v>19341</v>
      </c>
      <c r="O5801" t="s">
        <v>19342</v>
      </c>
      <c r="P5801" s="2" t="s">
        <v>26</v>
      </c>
      <c r="Q5801" t="s">
        <v>50</v>
      </c>
      <c r="R5801">
        <v>47.86</v>
      </c>
      <c r="S5801">
        <v>48.16</v>
      </c>
      <c r="T5801" t="s">
        <v>19343</v>
      </c>
    </row>
    <row r="5802" spans="1:20" x14ac:dyDescent="0.25">
      <c r="A5802" s="1" t="str">
        <f>HYPERLINK("https://vegkart.atlas.vegvesen.no/#/@267105.3,7036878.3,18/hva:hva%5B0%5D%5Bfilter%5D%5B0%5D%5Boperator%5D=%21%3D&amp;hva%5B0%5D%5Bfilter%5D%5B0%5D%5Btype_id%5D=5897&amp;hva%5B0%5D%5Bfilter%5D%5B0%5D%5Bverdi%5D=&amp;hva%5B0%5D%5Bid%5D=47/når:2015-03-19", "Vegkart")</f>
        <v>Vegkart</v>
      </c>
      <c r="B5802">
        <v>589167431</v>
      </c>
      <c r="C5802">
        <v>47</v>
      </c>
      <c r="D5802" t="s">
        <v>16854</v>
      </c>
      <c r="E5802">
        <v>5897</v>
      </c>
      <c r="F5802" t="s">
        <v>23479</v>
      </c>
      <c r="G5802">
        <v>1</v>
      </c>
      <c r="H5802" t="s">
        <v>19321</v>
      </c>
      <c r="J5802" t="s">
        <v>19043</v>
      </c>
      <c r="K5802" t="s">
        <v>192</v>
      </c>
      <c r="L5802" t="s">
        <v>22</v>
      </c>
      <c r="M5802" t="s">
        <v>19334</v>
      </c>
      <c r="N5802" t="s">
        <v>19344</v>
      </c>
      <c r="O5802" t="s">
        <v>19345</v>
      </c>
      <c r="P5802" s="2" t="s">
        <v>26</v>
      </c>
      <c r="Q5802" t="s">
        <v>50</v>
      </c>
      <c r="R5802">
        <v>39.950000000000003</v>
      </c>
      <c r="S5802">
        <v>41.25</v>
      </c>
      <c r="T5802" t="s">
        <v>19346</v>
      </c>
    </row>
    <row r="5803" spans="1:20" x14ac:dyDescent="0.25">
      <c r="A5803" s="1" t="str">
        <f>HYPERLINK("https://vegkart.atlas.vegvesen.no/#/@266825.5,7036727.2,18/hva:hva%5B0%5D%5Bfilter%5D%5B0%5D%5Boperator%5D=%21%3D&amp;hva%5B0%5D%5Bfilter%5D%5B0%5D%5Btype_id%5D=5897&amp;hva%5B0%5D%5Bfilter%5D%5B0%5D%5Bverdi%5D=&amp;hva%5B0%5D%5Bid%5D=47/når:2015-03-19", "Vegkart")</f>
        <v>Vegkart</v>
      </c>
      <c r="B5803">
        <v>589167434</v>
      </c>
      <c r="C5803">
        <v>47</v>
      </c>
      <c r="D5803" t="s">
        <v>16854</v>
      </c>
      <c r="E5803">
        <v>5897</v>
      </c>
      <c r="F5803" t="s">
        <v>23479</v>
      </c>
      <c r="G5803">
        <v>1</v>
      </c>
      <c r="H5803" t="s">
        <v>19321</v>
      </c>
      <c r="J5803" t="s">
        <v>19043</v>
      </c>
      <c r="K5803" t="s">
        <v>192</v>
      </c>
      <c r="L5803" t="s">
        <v>22</v>
      </c>
      <c r="M5803" t="s">
        <v>19334</v>
      </c>
      <c r="N5803" t="s">
        <v>19347</v>
      </c>
      <c r="O5803" t="s">
        <v>19348</v>
      </c>
      <c r="P5803" s="2" t="s">
        <v>26</v>
      </c>
      <c r="Q5803" t="s">
        <v>50</v>
      </c>
      <c r="R5803">
        <v>48.29</v>
      </c>
      <c r="S5803">
        <v>48.7</v>
      </c>
      <c r="T5803" t="s">
        <v>19349</v>
      </c>
    </row>
    <row r="5804" spans="1:20" x14ac:dyDescent="0.25">
      <c r="A5804" s="1" t="str">
        <f>HYPERLINK("https://vegkart.atlas.vegvesen.no/#/@266811.3,7036738.9,18/hva:hva%5B0%5D%5Bfilter%5D%5B0%5D%5Boperator%5D=%21%3D&amp;hva%5B0%5D%5Bfilter%5D%5B0%5D%5Btype_id%5D=5897&amp;hva%5B0%5D%5Bfilter%5D%5B0%5D%5Bverdi%5D=&amp;hva%5B0%5D%5Bid%5D=47/når:2015-03-19", "Vegkart")</f>
        <v>Vegkart</v>
      </c>
      <c r="B5804">
        <v>589167437</v>
      </c>
      <c r="C5804">
        <v>47</v>
      </c>
      <c r="D5804" t="s">
        <v>16854</v>
      </c>
      <c r="E5804">
        <v>5897</v>
      </c>
      <c r="F5804" t="s">
        <v>23479</v>
      </c>
      <c r="G5804">
        <v>1</v>
      </c>
      <c r="H5804" t="s">
        <v>19321</v>
      </c>
      <c r="J5804" t="s">
        <v>19043</v>
      </c>
      <c r="K5804" t="s">
        <v>192</v>
      </c>
      <c r="L5804" t="s">
        <v>22</v>
      </c>
      <c r="M5804" t="s">
        <v>19334</v>
      </c>
      <c r="N5804" t="s">
        <v>19350</v>
      </c>
      <c r="O5804" t="s">
        <v>19351</v>
      </c>
      <c r="P5804" s="2" t="s">
        <v>26</v>
      </c>
      <c r="Q5804" t="s">
        <v>50</v>
      </c>
      <c r="R5804">
        <v>56.56</v>
      </c>
      <c r="S5804">
        <v>57.07</v>
      </c>
      <c r="T5804" t="s">
        <v>19352</v>
      </c>
    </row>
    <row r="5805" spans="1:20" x14ac:dyDescent="0.25">
      <c r="A5805" s="1" t="str">
        <f>HYPERLINK("https://vegkart.atlas.vegvesen.no/#/@267649.2,7036268.9,18/hva:hva%5B0%5D%5Bfilter%5D%5B0%5D%5Boperator%5D=%21%3D&amp;hva%5B0%5D%5Bfilter%5D%5B0%5D%5Btype_id%5D=5897&amp;hva%5B0%5D%5Bfilter%5D%5B0%5D%5Bverdi%5D=&amp;hva%5B0%5D%5Bid%5D=47/når:2015-03-19", "Vegkart")</f>
        <v>Vegkart</v>
      </c>
      <c r="B5805">
        <v>589185833</v>
      </c>
      <c r="C5805">
        <v>47</v>
      </c>
      <c r="D5805" t="s">
        <v>16854</v>
      </c>
      <c r="E5805">
        <v>5897</v>
      </c>
      <c r="F5805" t="s">
        <v>23479</v>
      </c>
      <c r="G5805">
        <v>1</v>
      </c>
      <c r="H5805" t="s">
        <v>19321</v>
      </c>
      <c r="J5805" t="s">
        <v>19043</v>
      </c>
      <c r="K5805" t="s">
        <v>192</v>
      </c>
      <c r="L5805" t="s">
        <v>22</v>
      </c>
      <c r="M5805" t="s">
        <v>9525</v>
      </c>
      <c r="N5805" t="s">
        <v>19353</v>
      </c>
      <c r="O5805" t="s">
        <v>19354</v>
      </c>
      <c r="P5805" s="2" t="s">
        <v>26</v>
      </c>
      <c r="Q5805" t="s">
        <v>50</v>
      </c>
      <c r="R5805">
        <v>36.69</v>
      </c>
      <c r="S5805">
        <v>37.25</v>
      </c>
      <c r="T5805" t="s">
        <v>19355</v>
      </c>
    </row>
    <row r="5806" spans="1:20" x14ac:dyDescent="0.25">
      <c r="A5806" s="1" t="str">
        <f>HYPERLINK("https://vegkart.atlas.vegvesen.no/#/@267700.2,7036278.4,18/hva:hva%5B0%5D%5Bfilter%5D%5B0%5D%5Boperator%5D=%21%3D&amp;hva%5B0%5D%5Bfilter%5D%5B0%5D%5Btype_id%5D=5897&amp;hva%5B0%5D%5Bfilter%5D%5B0%5D%5Bverdi%5D=&amp;hva%5B0%5D%5Bid%5D=47/når:2015-03-19", "Vegkart")</f>
        <v>Vegkart</v>
      </c>
      <c r="B5806">
        <v>589185838</v>
      </c>
      <c r="C5806">
        <v>47</v>
      </c>
      <c r="D5806" t="s">
        <v>16854</v>
      </c>
      <c r="E5806">
        <v>5897</v>
      </c>
      <c r="F5806" t="s">
        <v>23479</v>
      </c>
      <c r="G5806">
        <v>1</v>
      </c>
      <c r="H5806" t="s">
        <v>19321</v>
      </c>
      <c r="J5806" t="s">
        <v>19043</v>
      </c>
      <c r="K5806" t="s">
        <v>192</v>
      </c>
      <c r="L5806" t="s">
        <v>22</v>
      </c>
      <c r="M5806" t="s">
        <v>9525</v>
      </c>
      <c r="N5806" t="s">
        <v>19356</v>
      </c>
      <c r="O5806" t="s">
        <v>19357</v>
      </c>
      <c r="P5806" s="2" t="s">
        <v>26</v>
      </c>
      <c r="Q5806" t="s">
        <v>50</v>
      </c>
      <c r="R5806">
        <v>20.9</v>
      </c>
      <c r="S5806">
        <v>21.2</v>
      </c>
      <c r="T5806" t="s">
        <v>19358</v>
      </c>
    </row>
    <row r="5807" spans="1:20" x14ac:dyDescent="0.25">
      <c r="A5807" s="1" t="str">
        <f>HYPERLINK("https://vegkart.atlas.vegvesen.no/#/@267774.9,7036012.9,18/hva:hva%5B0%5D%5Bfilter%5D%5B0%5D%5Boperator%5D=%21%3D&amp;hva%5B0%5D%5Bfilter%5D%5B0%5D%5Btype_id%5D=5897&amp;hva%5B0%5D%5Bfilter%5D%5B0%5D%5Bverdi%5D=&amp;hva%5B0%5D%5Bid%5D=47/når:2015-03-19", "Vegkart")</f>
        <v>Vegkart</v>
      </c>
      <c r="B5807">
        <v>589185841</v>
      </c>
      <c r="C5807">
        <v>47</v>
      </c>
      <c r="D5807" t="s">
        <v>16854</v>
      </c>
      <c r="E5807">
        <v>5897</v>
      </c>
      <c r="F5807" t="s">
        <v>23479</v>
      </c>
      <c r="G5807">
        <v>1</v>
      </c>
      <c r="H5807" t="s">
        <v>19321</v>
      </c>
      <c r="J5807" t="s">
        <v>19043</v>
      </c>
      <c r="K5807" t="s">
        <v>192</v>
      </c>
      <c r="L5807" t="s">
        <v>22</v>
      </c>
      <c r="M5807" t="s">
        <v>9525</v>
      </c>
      <c r="N5807" t="s">
        <v>19359</v>
      </c>
      <c r="O5807" t="s">
        <v>19360</v>
      </c>
      <c r="P5807" s="2" t="s">
        <v>26</v>
      </c>
      <c r="Q5807" t="s">
        <v>50</v>
      </c>
      <c r="R5807">
        <v>48.85</v>
      </c>
      <c r="S5807">
        <v>49.38</v>
      </c>
      <c r="T5807" t="s">
        <v>19361</v>
      </c>
    </row>
    <row r="5808" spans="1:20" x14ac:dyDescent="0.25">
      <c r="A5808" s="1" t="str">
        <f>HYPERLINK("https://vegkart.atlas.vegvesen.no/#/@267764.9,7035940.5,18/hva:hva%5B0%5D%5Bfilter%5D%5B0%5D%5Boperator%5D=%21%3D&amp;hva%5B0%5D%5Bfilter%5D%5B0%5D%5Btype_id%5D=5897&amp;hva%5B0%5D%5Bfilter%5D%5B0%5D%5Bverdi%5D=&amp;hva%5B0%5D%5Bid%5D=47/når:2015-03-19", "Vegkart")</f>
        <v>Vegkart</v>
      </c>
      <c r="B5808">
        <v>589185844</v>
      </c>
      <c r="C5808">
        <v>47</v>
      </c>
      <c r="D5808" t="s">
        <v>16854</v>
      </c>
      <c r="E5808">
        <v>5897</v>
      </c>
      <c r="F5808" t="s">
        <v>23479</v>
      </c>
      <c r="G5808">
        <v>1</v>
      </c>
      <c r="H5808" t="s">
        <v>19321</v>
      </c>
      <c r="J5808" t="s">
        <v>19043</v>
      </c>
      <c r="K5808" t="s">
        <v>192</v>
      </c>
      <c r="L5808" t="s">
        <v>22</v>
      </c>
      <c r="M5808" t="s">
        <v>9525</v>
      </c>
      <c r="N5808" t="s">
        <v>19362</v>
      </c>
      <c r="O5808" t="s">
        <v>19363</v>
      </c>
      <c r="P5808" s="2" t="s">
        <v>26</v>
      </c>
      <c r="Q5808" t="s">
        <v>50</v>
      </c>
      <c r="R5808">
        <v>43.11</v>
      </c>
      <c r="S5808">
        <v>43.22</v>
      </c>
      <c r="T5808" t="s">
        <v>19364</v>
      </c>
    </row>
    <row r="5809" spans="1:20" x14ac:dyDescent="0.25">
      <c r="A5809" s="1" t="str">
        <f>HYPERLINK("https://vegkart.atlas.vegvesen.no/#/@266903.2,7035767.1,18/hva:hva%5B0%5D%5Bfilter%5D%5B0%5D%5Boperator%5D=%21%3D&amp;hva%5B0%5D%5Bfilter%5D%5B0%5D%5Btype_id%5D=5897&amp;hva%5B0%5D%5Bfilter%5D%5B0%5D%5Bverdi%5D=&amp;hva%5B0%5D%5Bid%5D=47/når:2015-03-19", "Vegkart")</f>
        <v>Vegkart</v>
      </c>
      <c r="B5809">
        <v>589229014</v>
      </c>
      <c r="C5809">
        <v>47</v>
      </c>
      <c r="D5809" t="s">
        <v>16854</v>
      </c>
      <c r="E5809">
        <v>5897</v>
      </c>
      <c r="F5809" t="s">
        <v>23479</v>
      </c>
      <c r="G5809">
        <v>1</v>
      </c>
      <c r="H5809" t="s">
        <v>19321</v>
      </c>
      <c r="J5809" t="s">
        <v>19043</v>
      </c>
      <c r="K5809" t="s">
        <v>192</v>
      </c>
      <c r="L5809" t="s">
        <v>22</v>
      </c>
      <c r="M5809" t="s">
        <v>19365</v>
      </c>
      <c r="N5809" t="s">
        <v>19366</v>
      </c>
      <c r="O5809" t="s">
        <v>19367</v>
      </c>
      <c r="P5809" s="2" t="s">
        <v>26</v>
      </c>
      <c r="Q5809" t="s">
        <v>50</v>
      </c>
      <c r="R5809">
        <v>56.5</v>
      </c>
      <c r="S5809">
        <v>58.09</v>
      </c>
      <c r="T5809" t="s">
        <v>19368</v>
      </c>
    </row>
    <row r="5810" spans="1:20" x14ac:dyDescent="0.25">
      <c r="A5810" s="1" t="str">
        <f>HYPERLINK("https://vegkart.atlas.vegvesen.no/#/@266979.6,7035870.3,18/hva:hva%5B0%5D%5Bfilter%5D%5B0%5D%5Boperator%5D=%21%3D&amp;hva%5B0%5D%5Bfilter%5D%5B0%5D%5Btype_id%5D=5897&amp;hva%5B0%5D%5Bfilter%5D%5B0%5D%5Bverdi%5D=&amp;hva%5B0%5D%5Bid%5D=47/når:2015-03-19", "Vegkart")</f>
        <v>Vegkart</v>
      </c>
      <c r="B5810">
        <v>589229019</v>
      </c>
      <c r="C5810">
        <v>47</v>
      </c>
      <c r="D5810" t="s">
        <v>16854</v>
      </c>
      <c r="E5810">
        <v>5897</v>
      </c>
      <c r="F5810" t="s">
        <v>23479</v>
      </c>
      <c r="G5810">
        <v>1</v>
      </c>
      <c r="H5810" t="s">
        <v>19321</v>
      </c>
      <c r="J5810" t="s">
        <v>19043</v>
      </c>
      <c r="K5810" t="s">
        <v>192</v>
      </c>
      <c r="L5810" t="s">
        <v>22</v>
      </c>
      <c r="M5810" t="s">
        <v>19365</v>
      </c>
      <c r="N5810" t="s">
        <v>19369</v>
      </c>
      <c r="O5810" t="s">
        <v>19370</v>
      </c>
      <c r="P5810" s="2" t="s">
        <v>26</v>
      </c>
      <c r="Q5810" t="s">
        <v>50</v>
      </c>
      <c r="R5810">
        <v>69.77</v>
      </c>
      <c r="S5810">
        <v>70.069999999999993</v>
      </c>
      <c r="T5810" t="s">
        <v>19371</v>
      </c>
    </row>
    <row r="5811" spans="1:20" x14ac:dyDescent="0.25">
      <c r="A5811" s="1" t="str">
        <f>HYPERLINK("https://vegkart.atlas.vegvesen.no/#/@267096.9,7036000.2,18/hva:hva%5B0%5D%5Bfilter%5D%5B0%5D%5Boperator%5D=%21%3D&amp;hva%5B0%5D%5Bfilter%5D%5B0%5D%5Btype_id%5D=5897&amp;hva%5B0%5D%5Bfilter%5D%5B0%5D%5Bverdi%5D=&amp;hva%5B0%5D%5Bid%5D=47/når:2015-03-19", "Vegkart")</f>
        <v>Vegkart</v>
      </c>
      <c r="B5811">
        <v>589229022</v>
      </c>
      <c r="C5811">
        <v>47</v>
      </c>
      <c r="D5811" t="s">
        <v>16854</v>
      </c>
      <c r="E5811">
        <v>5897</v>
      </c>
      <c r="F5811" t="s">
        <v>23479</v>
      </c>
      <c r="G5811">
        <v>1</v>
      </c>
      <c r="H5811" t="s">
        <v>19321</v>
      </c>
      <c r="J5811" t="s">
        <v>19043</v>
      </c>
      <c r="K5811" t="s">
        <v>192</v>
      </c>
      <c r="L5811" t="s">
        <v>22</v>
      </c>
      <c r="M5811" t="s">
        <v>19365</v>
      </c>
      <c r="N5811" t="s">
        <v>19372</v>
      </c>
      <c r="O5811" t="s">
        <v>19373</v>
      </c>
      <c r="P5811" s="2" t="s">
        <v>26</v>
      </c>
      <c r="Q5811" t="s">
        <v>50</v>
      </c>
      <c r="R5811">
        <v>68.72</v>
      </c>
      <c r="S5811">
        <v>69.2</v>
      </c>
      <c r="T5811" t="s">
        <v>19374</v>
      </c>
    </row>
    <row r="5812" spans="1:20" x14ac:dyDescent="0.25">
      <c r="A5812" s="1" t="str">
        <f>HYPERLINK("https://vegkart.atlas.vegvesen.no/#/@267163.7,7036046.0,18/hva:hva%5B0%5D%5Bfilter%5D%5B0%5D%5Boperator%5D=%21%3D&amp;hva%5B0%5D%5Bfilter%5D%5B0%5D%5Btype_id%5D=5897&amp;hva%5B0%5D%5Bfilter%5D%5B0%5D%5Bverdi%5D=&amp;hva%5B0%5D%5Bid%5D=47/når:2015-03-19", "Vegkart")</f>
        <v>Vegkart</v>
      </c>
      <c r="B5812">
        <v>589229027</v>
      </c>
      <c r="C5812">
        <v>47</v>
      </c>
      <c r="D5812" t="s">
        <v>16854</v>
      </c>
      <c r="E5812">
        <v>5897</v>
      </c>
      <c r="F5812" t="s">
        <v>23479</v>
      </c>
      <c r="G5812">
        <v>1</v>
      </c>
      <c r="H5812" t="s">
        <v>19321</v>
      </c>
      <c r="J5812" t="s">
        <v>19043</v>
      </c>
      <c r="K5812" t="s">
        <v>192</v>
      </c>
      <c r="L5812" t="s">
        <v>22</v>
      </c>
      <c r="M5812" t="s">
        <v>19365</v>
      </c>
      <c r="N5812" t="s">
        <v>19375</v>
      </c>
      <c r="O5812" t="s">
        <v>19376</v>
      </c>
      <c r="P5812" s="2" t="s">
        <v>26</v>
      </c>
      <c r="Q5812" t="s">
        <v>50</v>
      </c>
      <c r="R5812">
        <v>72.040000000000006</v>
      </c>
      <c r="S5812">
        <v>72.36</v>
      </c>
      <c r="T5812" t="s">
        <v>19377</v>
      </c>
    </row>
    <row r="5813" spans="1:20" x14ac:dyDescent="0.25">
      <c r="A5813" s="1" t="str">
        <f>HYPERLINK("https://vegkart.atlas.vegvesen.no/#/@267213.8,7036471.4,18/hva:hva%5B0%5D%5Bfilter%5D%5B0%5D%5Boperator%5D=%21%3D&amp;hva%5B0%5D%5Bfilter%5D%5B0%5D%5Btype_id%5D=5897&amp;hva%5B0%5D%5Bfilter%5D%5B0%5D%5Bverdi%5D=&amp;hva%5B0%5D%5Bid%5D=47/når:2015-03-19", "Vegkart")</f>
        <v>Vegkart</v>
      </c>
      <c r="B5813">
        <v>589229030</v>
      </c>
      <c r="C5813">
        <v>47</v>
      </c>
      <c r="D5813" t="s">
        <v>16854</v>
      </c>
      <c r="E5813">
        <v>5897</v>
      </c>
      <c r="F5813" t="s">
        <v>23479</v>
      </c>
      <c r="G5813">
        <v>1</v>
      </c>
      <c r="H5813" t="s">
        <v>19321</v>
      </c>
      <c r="J5813" t="s">
        <v>19043</v>
      </c>
      <c r="K5813" t="s">
        <v>192</v>
      </c>
      <c r="L5813" t="s">
        <v>22</v>
      </c>
      <c r="M5813" t="s">
        <v>13208</v>
      </c>
      <c r="N5813" t="s">
        <v>19378</v>
      </c>
      <c r="O5813" t="s">
        <v>19379</v>
      </c>
      <c r="P5813" s="2" t="s">
        <v>26</v>
      </c>
      <c r="Q5813" t="s">
        <v>50</v>
      </c>
      <c r="R5813">
        <v>37.18</v>
      </c>
      <c r="S5813">
        <v>38.119999999999997</v>
      </c>
      <c r="T5813" t="s">
        <v>19380</v>
      </c>
    </row>
    <row r="5814" spans="1:20" x14ac:dyDescent="0.25">
      <c r="A5814" s="1" t="str">
        <f>HYPERLINK("https://vegkart.atlas.vegvesen.no/#/@267154.6,7036489.3,18/hva:hva%5B0%5D%5Bfilter%5D%5B0%5D%5Boperator%5D=%21%3D&amp;hva%5B0%5D%5Bfilter%5D%5B0%5D%5Btype_id%5D=5897&amp;hva%5B0%5D%5Bfilter%5D%5B0%5D%5Bverdi%5D=&amp;hva%5B0%5D%5Bid%5D=47/når:2015-03-19", "Vegkart")</f>
        <v>Vegkart</v>
      </c>
      <c r="B5814">
        <v>589229033</v>
      </c>
      <c r="C5814">
        <v>47</v>
      </c>
      <c r="D5814" t="s">
        <v>16854</v>
      </c>
      <c r="E5814">
        <v>5897</v>
      </c>
      <c r="F5814" t="s">
        <v>23479</v>
      </c>
      <c r="G5814">
        <v>1</v>
      </c>
      <c r="H5814" t="s">
        <v>19321</v>
      </c>
      <c r="J5814" t="s">
        <v>19043</v>
      </c>
      <c r="K5814" t="s">
        <v>192</v>
      </c>
      <c r="L5814" t="s">
        <v>22</v>
      </c>
      <c r="M5814" t="s">
        <v>13208</v>
      </c>
      <c r="N5814" t="s">
        <v>19381</v>
      </c>
      <c r="O5814" t="s">
        <v>19382</v>
      </c>
      <c r="P5814" s="2" t="s">
        <v>26</v>
      </c>
      <c r="Q5814" t="s">
        <v>50</v>
      </c>
      <c r="R5814">
        <v>36.36</v>
      </c>
      <c r="S5814">
        <v>36.57</v>
      </c>
      <c r="T5814" t="s">
        <v>19383</v>
      </c>
    </row>
    <row r="5815" spans="1:20" x14ac:dyDescent="0.25">
      <c r="A5815" s="1" t="str">
        <f>HYPERLINK("https://vegkart.atlas.vegvesen.no/#/@267287.2,7034382.4,18/hva:hva%5B0%5D%5Bfilter%5D%5B0%5D%5Boperator%5D=%21%3D&amp;hva%5B0%5D%5Bfilter%5D%5B0%5D%5Btype_id%5D=5897&amp;hva%5B0%5D%5Bfilter%5D%5B0%5D%5Bverdi%5D=&amp;hva%5B0%5D%5Bid%5D=47/når:2015-03-19", "Vegkart")</f>
        <v>Vegkart</v>
      </c>
      <c r="B5815">
        <v>589229075</v>
      </c>
      <c r="C5815">
        <v>47</v>
      </c>
      <c r="D5815" t="s">
        <v>16854</v>
      </c>
      <c r="E5815">
        <v>5897</v>
      </c>
      <c r="F5815" t="s">
        <v>23479</v>
      </c>
      <c r="G5815">
        <v>1</v>
      </c>
      <c r="H5815" t="s">
        <v>19321</v>
      </c>
      <c r="J5815" t="s">
        <v>19043</v>
      </c>
      <c r="K5815" t="s">
        <v>192</v>
      </c>
      <c r="L5815" t="s">
        <v>22</v>
      </c>
      <c r="M5815" t="s">
        <v>19384</v>
      </c>
      <c r="N5815" t="s">
        <v>19385</v>
      </c>
      <c r="O5815" t="s">
        <v>19386</v>
      </c>
      <c r="P5815" s="2" t="s">
        <v>26</v>
      </c>
      <c r="Q5815" t="s">
        <v>50</v>
      </c>
      <c r="R5815">
        <v>37.46</v>
      </c>
      <c r="S5815">
        <v>37.56</v>
      </c>
      <c r="T5815" t="s">
        <v>19387</v>
      </c>
    </row>
    <row r="5816" spans="1:20" x14ac:dyDescent="0.25">
      <c r="A5816" s="1" t="str">
        <f>HYPERLINK("https://vegkart.atlas.vegvesen.no/#/@268051.9,7034670.2,18/hva:hva%5B0%5D%5Bfilter%5D%5B0%5D%5Boperator%5D=%21%3D&amp;hva%5B0%5D%5Bfilter%5D%5B0%5D%5Btype_id%5D=5897&amp;hva%5B0%5D%5Bfilter%5D%5B0%5D%5Bverdi%5D=&amp;hva%5B0%5D%5Bid%5D=47/når:2015-03-19", "Vegkart")</f>
        <v>Vegkart</v>
      </c>
      <c r="B5816">
        <v>589229092</v>
      </c>
      <c r="C5816">
        <v>47</v>
      </c>
      <c r="D5816" t="s">
        <v>16854</v>
      </c>
      <c r="E5816">
        <v>5897</v>
      </c>
      <c r="F5816" t="s">
        <v>23479</v>
      </c>
      <c r="G5816">
        <v>1</v>
      </c>
      <c r="H5816" t="s">
        <v>19321</v>
      </c>
      <c r="J5816" t="s">
        <v>19043</v>
      </c>
      <c r="K5816" t="s">
        <v>192</v>
      </c>
      <c r="L5816" t="s">
        <v>22</v>
      </c>
      <c r="M5816" t="s">
        <v>19384</v>
      </c>
      <c r="N5816" t="s">
        <v>19388</v>
      </c>
      <c r="O5816" t="s">
        <v>19389</v>
      </c>
      <c r="P5816" s="2" t="s">
        <v>26</v>
      </c>
      <c r="Q5816" t="s">
        <v>50</v>
      </c>
      <c r="R5816">
        <v>59.69</v>
      </c>
      <c r="S5816">
        <v>60.24</v>
      </c>
      <c r="T5816" t="s">
        <v>19390</v>
      </c>
    </row>
    <row r="5817" spans="1:20" x14ac:dyDescent="0.25">
      <c r="A5817" s="1" t="str">
        <f>HYPERLINK("https://vegkart.atlas.vegvesen.no/#/@268103.3,7034757.3,18/hva:hva%5B0%5D%5Bfilter%5D%5B0%5D%5Boperator%5D=%21%3D&amp;hva%5B0%5D%5Bfilter%5D%5B0%5D%5Btype_id%5D=5897&amp;hva%5B0%5D%5Bfilter%5D%5B0%5D%5Bverdi%5D=&amp;hva%5B0%5D%5Bid%5D=47/når:2015-03-19", "Vegkart")</f>
        <v>Vegkart</v>
      </c>
      <c r="B5817">
        <v>589229098</v>
      </c>
      <c r="C5817">
        <v>47</v>
      </c>
      <c r="D5817" t="s">
        <v>16854</v>
      </c>
      <c r="E5817">
        <v>5897</v>
      </c>
      <c r="F5817" t="s">
        <v>23479</v>
      </c>
      <c r="G5817">
        <v>1</v>
      </c>
      <c r="H5817" t="s">
        <v>19321</v>
      </c>
      <c r="J5817" t="s">
        <v>19043</v>
      </c>
      <c r="K5817" t="s">
        <v>192</v>
      </c>
      <c r="L5817" t="s">
        <v>22</v>
      </c>
      <c r="M5817" t="s">
        <v>19384</v>
      </c>
      <c r="N5817" t="s">
        <v>19391</v>
      </c>
      <c r="O5817" t="s">
        <v>19392</v>
      </c>
      <c r="P5817" s="2" t="s">
        <v>26</v>
      </c>
      <c r="Q5817" t="s">
        <v>50</v>
      </c>
      <c r="R5817">
        <v>58.57</v>
      </c>
      <c r="S5817">
        <v>59.01</v>
      </c>
      <c r="T5817" t="s">
        <v>19393</v>
      </c>
    </row>
    <row r="5818" spans="1:20" x14ac:dyDescent="0.25">
      <c r="A5818" s="1" t="str">
        <f>HYPERLINK("https://vegkart.atlas.vegvesen.no/#/@267504.0,7034938.6,18/hva:hva%5B0%5D%5Bfilter%5D%5B0%5D%5Boperator%5D=%21%3D&amp;hva%5B0%5D%5Bfilter%5D%5B0%5D%5Btype_id%5D=5897&amp;hva%5B0%5D%5Bfilter%5D%5B0%5D%5Bverdi%5D=&amp;hva%5B0%5D%5Bid%5D=47/når:2015-03-19", "Vegkart")</f>
        <v>Vegkart</v>
      </c>
      <c r="B5818">
        <v>589229116</v>
      </c>
      <c r="C5818">
        <v>47</v>
      </c>
      <c r="D5818" t="s">
        <v>16854</v>
      </c>
      <c r="E5818">
        <v>5897</v>
      </c>
      <c r="F5818" t="s">
        <v>23479</v>
      </c>
      <c r="G5818">
        <v>1</v>
      </c>
      <c r="H5818" t="s">
        <v>19321</v>
      </c>
      <c r="J5818" t="s">
        <v>19043</v>
      </c>
      <c r="K5818" t="s">
        <v>192</v>
      </c>
      <c r="L5818" t="s">
        <v>22</v>
      </c>
      <c r="M5818" t="s">
        <v>19384</v>
      </c>
      <c r="N5818" t="s">
        <v>19394</v>
      </c>
      <c r="O5818" t="s">
        <v>19395</v>
      </c>
      <c r="P5818" s="2" t="s">
        <v>26</v>
      </c>
      <c r="Q5818" t="s">
        <v>50</v>
      </c>
      <c r="R5818">
        <v>62.66</v>
      </c>
      <c r="S5818">
        <v>63.3</v>
      </c>
      <c r="T5818" t="s">
        <v>19396</v>
      </c>
    </row>
    <row r="5819" spans="1:20" x14ac:dyDescent="0.25">
      <c r="A5819" s="1" t="str">
        <f>HYPERLINK("https://vegkart.atlas.vegvesen.no/#/@57758.3,6457200.6,18/hva:hva%5B0%5D%5Bfilter%5D%5B0%5D%5Boperator%5D=%21%3D&amp;hva%5B0%5D%5Bfilter%5D%5B0%5D%5Btype_id%5D=5897&amp;hva%5B0%5D%5Bfilter%5D%5B0%5D%5Bverdi%5D=&amp;hva%5B0%5D%5Bid%5D=47/når:2015-03-20", "Vegkart")</f>
        <v>Vegkart</v>
      </c>
      <c r="B5819">
        <v>589292481</v>
      </c>
      <c r="C5819">
        <v>47</v>
      </c>
      <c r="D5819" t="s">
        <v>16854</v>
      </c>
      <c r="E5819">
        <v>5897</v>
      </c>
      <c r="F5819" t="s">
        <v>23479</v>
      </c>
      <c r="G5819">
        <v>1</v>
      </c>
      <c r="H5819" t="s">
        <v>13770</v>
      </c>
      <c r="J5819" t="s">
        <v>19043</v>
      </c>
      <c r="K5819" t="s">
        <v>86</v>
      </c>
      <c r="L5819" t="s">
        <v>33</v>
      </c>
      <c r="M5819" t="s">
        <v>19397</v>
      </c>
      <c r="N5819" t="s">
        <v>19398</v>
      </c>
      <c r="O5819" t="s">
        <v>19399</v>
      </c>
      <c r="P5819" s="2" t="s">
        <v>26</v>
      </c>
      <c r="Q5819" t="s">
        <v>50</v>
      </c>
      <c r="R5819">
        <v>51.98</v>
      </c>
      <c r="S5819">
        <v>52.19</v>
      </c>
      <c r="T5819" t="s">
        <v>19400</v>
      </c>
    </row>
    <row r="5820" spans="1:20" x14ac:dyDescent="0.25">
      <c r="A5820" s="1" t="str">
        <f>HYPERLINK("https://vegkart.atlas.vegvesen.no/#/@57567.6,6457116.4,18/hva:hva%5B0%5D%5Bfilter%5D%5B0%5D%5Boperator%5D=%21%3D&amp;hva%5B0%5D%5Bfilter%5D%5B0%5D%5Btype_id%5D=5897&amp;hva%5B0%5D%5Bfilter%5D%5B0%5D%5Bverdi%5D=&amp;hva%5B0%5D%5Bid%5D=47/når:2015-03-20", "Vegkart")</f>
        <v>Vegkart</v>
      </c>
      <c r="B5820">
        <v>589292482</v>
      </c>
      <c r="C5820">
        <v>47</v>
      </c>
      <c r="D5820" t="s">
        <v>16854</v>
      </c>
      <c r="E5820">
        <v>5897</v>
      </c>
      <c r="F5820" t="s">
        <v>23479</v>
      </c>
      <c r="G5820">
        <v>1</v>
      </c>
      <c r="H5820" t="s">
        <v>13770</v>
      </c>
      <c r="J5820" t="s">
        <v>19043</v>
      </c>
      <c r="K5820" t="s">
        <v>86</v>
      </c>
      <c r="L5820" t="s">
        <v>33</v>
      </c>
      <c r="M5820" t="s">
        <v>19397</v>
      </c>
      <c r="N5820" t="s">
        <v>19401</v>
      </c>
      <c r="O5820" t="s">
        <v>19402</v>
      </c>
      <c r="P5820" s="2" t="s">
        <v>26</v>
      </c>
      <c r="Q5820" t="s">
        <v>50</v>
      </c>
      <c r="R5820">
        <v>34.520000000000003</v>
      </c>
      <c r="S5820">
        <v>34.659999999999997</v>
      </c>
      <c r="T5820" t="s">
        <v>19403</v>
      </c>
    </row>
    <row r="5821" spans="1:20" x14ac:dyDescent="0.25">
      <c r="A5821" s="1" t="str">
        <f>HYPERLINK("https://vegkart.atlas.vegvesen.no/#/@267158.9,7034127.2,18/hva:hva%5B0%5D%5Bfilter%5D%5B0%5D%5Boperator%5D=%21%3D&amp;hva%5B0%5D%5Bfilter%5D%5B0%5D%5Btype_id%5D=5897&amp;hva%5B0%5D%5Bfilter%5D%5B0%5D%5Bverdi%5D=&amp;hva%5B0%5D%5Bid%5D=47/når:2015-03-20", "Vegkart")</f>
        <v>Vegkart</v>
      </c>
      <c r="B5821">
        <v>589377101</v>
      </c>
      <c r="C5821">
        <v>47</v>
      </c>
      <c r="D5821" t="s">
        <v>16854</v>
      </c>
      <c r="E5821">
        <v>5897</v>
      </c>
      <c r="F5821" t="s">
        <v>23479</v>
      </c>
      <c r="G5821">
        <v>1</v>
      </c>
      <c r="H5821" t="s">
        <v>13770</v>
      </c>
      <c r="J5821" t="s">
        <v>19043</v>
      </c>
      <c r="K5821" t="s">
        <v>192</v>
      </c>
      <c r="L5821" t="s">
        <v>22</v>
      </c>
      <c r="M5821" t="s">
        <v>13149</v>
      </c>
      <c r="N5821" t="s">
        <v>19404</v>
      </c>
      <c r="O5821" t="s">
        <v>19405</v>
      </c>
      <c r="P5821" s="2" t="s">
        <v>26</v>
      </c>
      <c r="Q5821" t="s">
        <v>50</v>
      </c>
      <c r="R5821">
        <v>78.39</v>
      </c>
      <c r="S5821">
        <v>79.59</v>
      </c>
      <c r="T5821" t="s">
        <v>19406</v>
      </c>
    </row>
    <row r="5822" spans="1:20" x14ac:dyDescent="0.25">
      <c r="A5822" s="1" t="str">
        <f>HYPERLINK("https://vegkart.atlas.vegvesen.no/#/@267159.7,7033938.2,18/hva:hva%5B0%5D%5Bfilter%5D%5B0%5D%5Boperator%5D=%21%3D&amp;hva%5B0%5D%5Bfilter%5D%5B0%5D%5Btype_id%5D=5897&amp;hva%5B0%5D%5Bfilter%5D%5B0%5D%5Bverdi%5D=&amp;hva%5B0%5D%5Bid%5D=47/når:2015-03-20", "Vegkart")</f>
        <v>Vegkart</v>
      </c>
      <c r="B5822">
        <v>589377107</v>
      </c>
      <c r="C5822">
        <v>47</v>
      </c>
      <c r="D5822" t="s">
        <v>16854</v>
      </c>
      <c r="E5822">
        <v>5897</v>
      </c>
      <c r="F5822" t="s">
        <v>23479</v>
      </c>
      <c r="G5822">
        <v>1</v>
      </c>
      <c r="H5822" t="s">
        <v>13770</v>
      </c>
      <c r="J5822" t="s">
        <v>19043</v>
      </c>
      <c r="K5822" t="s">
        <v>192</v>
      </c>
      <c r="L5822" t="s">
        <v>22</v>
      </c>
      <c r="M5822" t="s">
        <v>13149</v>
      </c>
      <c r="N5822" t="s">
        <v>19407</v>
      </c>
      <c r="O5822" t="s">
        <v>19408</v>
      </c>
      <c r="P5822" s="2" t="s">
        <v>26</v>
      </c>
      <c r="Q5822" t="s">
        <v>50</v>
      </c>
      <c r="R5822">
        <v>65.150000000000006</v>
      </c>
      <c r="S5822">
        <v>65.510000000000005</v>
      </c>
      <c r="T5822" t="s">
        <v>19409</v>
      </c>
    </row>
    <row r="5823" spans="1:20" x14ac:dyDescent="0.25">
      <c r="A5823" s="1" t="str">
        <f>HYPERLINK("https://vegkart.atlas.vegvesen.no/#/@267011.4,7033446.2,18/hva:hva%5B0%5D%5Bfilter%5D%5B0%5D%5Boperator%5D=%21%3D&amp;hva%5B0%5D%5Bfilter%5D%5B0%5D%5Btype_id%5D=5897&amp;hva%5B0%5D%5Bfilter%5D%5B0%5D%5Bverdi%5D=&amp;hva%5B0%5D%5Bid%5D=47/når:2015-03-20", "Vegkart")</f>
        <v>Vegkart</v>
      </c>
      <c r="B5823">
        <v>589377114</v>
      </c>
      <c r="C5823">
        <v>47</v>
      </c>
      <c r="D5823" t="s">
        <v>16854</v>
      </c>
      <c r="E5823">
        <v>5897</v>
      </c>
      <c r="F5823" t="s">
        <v>23479</v>
      </c>
      <c r="G5823">
        <v>1</v>
      </c>
      <c r="H5823" t="s">
        <v>13770</v>
      </c>
      <c r="J5823" t="s">
        <v>19043</v>
      </c>
      <c r="K5823" t="s">
        <v>192</v>
      </c>
      <c r="L5823" t="s">
        <v>22</v>
      </c>
      <c r="M5823" t="s">
        <v>13149</v>
      </c>
      <c r="N5823" t="s">
        <v>19410</v>
      </c>
      <c r="O5823" t="s">
        <v>19411</v>
      </c>
      <c r="P5823" s="2" t="s">
        <v>26</v>
      </c>
      <c r="Q5823" t="s">
        <v>50</v>
      </c>
      <c r="R5823">
        <v>44.18</v>
      </c>
      <c r="S5823">
        <v>44.77</v>
      </c>
      <c r="T5823" t="s">
        <v>19412</v>
      </c>
    </row>
    <row r="5824" spans="1:20" x14ac:dyDescent="0.25">
      <c r="A5824" s="1" t="str">
        <f>HYPERLINK("https://vegkart.atlas.vegvesen.no/#/@266988.9,7033377.4,18/hva:hva%5B0%5D%5Bfilter%5D%5B0%5D%5Boperator%5D=%21%3D&amp;hva%5B0%5D%5Bfilter%5D%5B0%5D%5Btype_id%5D=5897&amp;hva%5B0%5D%5Bfilter%5D%5B0%5D%5Bverdi%5D=&amp;hva%5B0%5D%5Bid%5D=47/når:2015-03-20", "Vegkart")</f>
        <v>Vegkart</v>
      </c>
      <c r="B5824">
        <v>589377122</v>
      </c>
      <c r="C5824">
        <v>47</v>
      </c>
      <c r="D5824" t="s">
        <v>16854</v>
      </c>
      <c r="E5824">
        <v>5897</v>
      </c>
      <c r="F5824" t="s">
        <v>23479</v>
      </c>
      <c r="G5824">
        <v>1</v>
      </c>
      <c r="H5824" t="s">
        <v>13770</v>
      </c>
      <c r="J5824" t="s">
        <v>19043</v>
      </c>
      <c r="K5824" t="s">
        <v>192</v>
      </c>
      <c r="L5824" t="s">
        <v>22</v>
      </c>
      <c r="M5824" t="s">
        <v>13149</v>
      </c>
      <c r="N5824" t="s">
        <v>19413</v>
      </c>
      <c r="O5824" t="s">
        <v>19414</v>
      </c>
      <c r="P5824" s="2" t="s">
        <v>26</v>
      </c>
      <c r="Q5824" t="s">
        <v>50</v>
      </c>
      <c r="R5824">
        <v>36.72</v>
      </c>
      <c r="S5824">
        <v>37.17</v>
      </c>
      <c r="T5824" t="s">
        <v>19415</v>
      </c>
    </row>
    <row r="5825" spans="1:20" x14ac:dyDescent="0.25">
      <c r="A5825" s="1" t="str">
        <f>HYPERLINK("https://vegkart.atlas.vegvesen.no/#/@267227.9,7032696.6,18/hva:hva%5B0%5D%5Bfilter%5D%5B0%5D%5Boperator%5D=%21%3D&amp;hva%5B0%5D%5Bfilter%5D%5B0%5D%5Btype_id%5D=5897&amp;hva%5B0%5D%5Bfilter%5D%5B0%5D%5Bverdi%5D=&amp;hva%5B0%5D%5Bid%5D=47/når:2015-03-20", "Vegkart")</f>
        <v>Vegkart</v>
      </c>
      <c r="B5825">
        <v>589377132</v>
      </c>
      <c r="C5825">
        <v>47</v>
      </c>
      <c r="D5825" t="s">
        <v>16854</v>
      </c>
      <c r="E5825">
        <v>5897</v>
      </c>
      <c r="F5825" t="s">
        <v>23479</v>
      </c>
      <c r="G5825">
        <v>1</v>
      </c>
      <c r="H5825" t="s">
        <v>13770</v>
      </c>
      <c r="J5825" t="s">
        <v>19043</v>
      </c>
      <c r="K5825" t="s">
        <v>192</v>
      </c>
      <c r="L5825" t="s">
        <v>22</v>
      </c>
      <c r="M5825" t="s">
        <v>19416</v>
      </c>
      <c r="N5825" t="s">
        <v>19417</v>
      </c>
      <c r="O5825" t="s">
        <v>19418</v>
      </c>
      <c r="P5825" s="2" t="s">
        <v>26</v>
      </c>
      <c r="Q5825" t="s">
        <v>50</v>
      </c>
      <c r="R5825">
        <v>60.33</v>
      </c>
      <c r="S5825">
        <v>61.84</v>
      </c>
      <c r="T5825" t="s">
        <v>19419</v>
      </c>
    </row>
    <row r="5826" spans="1:20" x14ac:dyDescent="0.25">
      <c r="A5826" s="1" t="str">
        <f>HYPERLINK("https://vegkart.atlas.vegvesen.no/#/@267221.4,7032710.1,18/hva:hva%5B0%5D%5Bfilter%5D%5B0%5D%5Boperator%5D=%21%3D&amp;hva%5B0%5D%5Bfilter%5D%5B0%5D%5Btype_id%5D=5897&amp;hva%5B0%5D%5Bfilter%5D%5B0%5D%5Bverdi%5D=&amp;hva%5B0%5D%5Bid%5D=47/når:2015-03-20", "Vegkart")</f>
        <v>Vegkart</v>
      </c>
      <c r="B5826">
        <v>589377138</v>
      </c>
      <c r="C5826">
        <v>47</v>
      </c>
      <c r="D5826" t="s">
        <v>16854</v>
      </c>
      <c r="E5826">
        <v>5897</v>
      </c>
      <c r="F5826" t="s">
        <v>23479</v>
      </c>
      <c r="G5826">
        <v>1</v>
      </c>
      <c r="H5826" t="s">
        <v>13770</v>
      </c>
      <c r="J5826" t="s">
        <v>19043</v>
      </c>
      <c r="K5826" t="s">
        <v>192</v>
      </c>
      <c r="L5826" t="s">
        <v>22</v>
      </c>
      <c r="M5826" t="s">
        <v>19416</v>
      </c>
      <c r="N5826" t="s">
        <v>19420</v>
      </c>
      <c r="O5826" t="s">
        <v>19421</v>
      </c>
      <c r="P5826" s="2" t="s">
        <v>26</v>
      </c>
      <c r="Q5826" t="s">
        <v>50</v>
      </c>
      <c r="R5826">
        <v>62.36</v>
      </c>
      <c r="S5826">
        <v>62.95</v>
      </c>
      <c r="T5826" t="s">
        <v>19422</v>
      </c>
    </row>
    <row r="5827" spans="1:20" x14ac:dyDescent="0.25">
      <c r="A5827" s="1" t="str">
        <f>HYPERLINK("https://vegkart.atlas.vegvesen.no/#/@266819.1,7032600.3,18/hva:hva%5B0%5D%5Bfilter%5D%5B0%5D%5Boperator%5D=%21%3D&amp;hva%5B0%5D%5Bfilter%5D%5B0%5D%5Btype_id%5D=5897&amp;hva%5B0%5D%5Bfilter%5D%5B0%5D%5Bverdi%5D=&amp;hva%5B0%5D%5Bid%5D=47/når:2015-03-20", "Vegkart")</f>
        <v>Vegkart</v>
      </c>
      <c r="B5827">
        <v>589377148</v>
      </c>
      <c r="C5827">
        <v>47</v>
      </c>
      <c r="D5827" t="s">
        <v>16854</v>
      </c>
      <c r="E5827">
        <v>5897</v>
      </c>
      <c r="F5827" t="s">
        <v>23479</v>
      </c>
      <c r="G5827">
        <v>1</v>
      </c>
      <c r="H5827" t="s">
        <v>13770</v>
      </c>
      <c r="J5827" t="s">
        <v>19043</v>
      </c>
      <c r="K5827" t="s">
        <v>192</v>
      </c>
      <c r="L5827" t="s">
        <v>22</v>
      </c>
      <c r="M5827" t="s">
        <v>19423</v>
      </c>
      <c r="N5827" t="s">
        <v>19424</v>
      </c>
      <c r="O5827" t="s">
        <v>19425</v>
      </c>
      <c r="P5827" s="2" t="s">
        <v>26</v>
      </c>
      <c r="Q5827" t="s">
        <v>50</v>
      </c>
      <c r="R5827">
        <v>76.790000000000006</v>
      </c>
      <c r="S5827">
        <v>77.28</v>
      </c>
      <c r="T5827" t="s">
        <v>19426</v>
      </c>
    </row>
    <row r="5828" spans="1:20" x14ac:dyDescent="0.25">
      <c r="A5828" s="1" t="str">
        <f>HYPERLINK("https://vegkart.atlas.vegvesen.no/#/@266516.4,7032770.2,18/hva:hva%5B0%5D%5Bfilter%5D%5B0%5D%5Boperator%5D=%21%3D&amp;hva%5B0%5D%5Bfilter%5D%5B0%5D%5Btype_id%5D=5897&amp;hva%5B0%5D%5Bfilter%5D%5B0%5D%5Bverdi%5D=&amp;hva%5B0%5D%5Bid%5D=47/når:2015-03-20", "Vegkart")</f>
        <v>Vegkart</v>
      </c>
      <c r="B5828">
        <v>589377157</v>
      </c>
      <c r="C5828">
        <v>47</v>
      </c>
      <c r="D5828" t="s">
        <v>16854</v>
      </c>
      <c r="E5828">
        <v>5897</v>
      </c>
      <c r="F5828" t="s">
        <v>23479</v>
      </c>
      <c r="G5828">
        <v>1</v>
      </c>
      <c r="H5828" t="s">
        <v>13770</v>
      </c>
      <c r="J5828" t="s">
        <v>19043</v>
      </c>
      <c r="K5828" t="s">
        <v>192</v>
      </c>
      <c r="L5828" t="s">
        <v>22</v>
      </c>
      <c r="M5828" t="s">
        <v>19423</v>
      </c>
      <c r="N5828" t="s">
        <v>19427</v>
      </c>
      <c r="O5828" t="s">
        <v>19428</v>
      </c>
      <c r="P5828" s="2" t="s">
        <v>26</v>
      </c>
      <c r="Q5828" t="s">
        <v>50</v>
      </c>
      <c r="R5828">
        <v>59.72</v>
      </c>
      <c r="S5828">
        <v>60.98</v>
      </c>
      <c r="T5828" t="s">
        <v>19429</v>
      </c>
    </row>
    <row r="5829" spans="1:20" x14ac:dyDescent="0.25">
      <c r="A5829" s="1" t="str">
        <f>HYPERLINK("https://vegkart.atlas.vegvesen.no/#/@266526.5,7032788.2,18/hva:hva%5B0%5D%5Bfilter%5D%5B0%5D%5Boperator%5D=%21%3D&amp;hva%5B0%5D%5Bfilter%5D%5B0%5D%5Btype_id%5D=5897&amp;hva%5B0%5D%5Bfilter%5D%5B0%5D%5Bverdi%5D=&amp;hva%5B0%5D%5Bid%5D=47/når:2015-03-20", "Vegkart")</f>
        <v>Vegkart</v>
      </c>
      <c r="B5829">
        <v>589377163</v>
      </c>
      <c r="C5829">
        <v>47</v>
      </c>
      <c r="D5829" t="s">
        <v>16854</v>
      </c>
      <c r="E5829">
        <v>5897</v>
      </c>
      <c r="F5829" t="s">
        <v>23479</v>
      </c>
      <c r="G5829">
        <v>1</v>
      </c>
      <c r="H5829" t="s">
        <v>13770</v>
      </c>
      <c r="J5829" t="s">
        <v>19043</v>
      </c>
      <c r="K5829" t="s">
        <v>192</v>
      </c>
      <c r="L5829" t="s">
        <v>22</v>
      </c>
      <c r="M5829" t="s">
        <v>19423</v>
      </c>
      <c r="N5829" t="s">
        <v>19430</v>
      </c>
      <c r="O5829" t="s">
        <v>19431</v>
      </c>
      <c r="P5829" s="2" t="s">
        <v>26</v>
      </c>
      <c r="Q5829" t="s">
        <v>50</v>
      </c>
      <c r="R5829">
        <v>75.86</v>
      </c>
      <c r="S5829">
        <v>76.44</v>
      </c>
      <c r="T5829" t="s">
        <v>19432</v>
      </c>
    </row>
    <row r="5830" spans="1:20" x14ac:dyDescent="0.25">
      <c r="A5830" s="1" t="str">
        <f>HYPERLINK("https://vegkart.atlas.vegvesen.no/#/@266302.6,7033310.6,18/hva:hva%5B0%5D%5Bfilter%5D%5B0%5D%5Boperator%5D=%21%3D&amp;hva%5B0%5D%5Bfilter%5D%5B0%5D%5Btype_id%5D=5897&amp;hva%5B0%5D%5Bfilter%5D%5B0%5D%5Bverdi%5D=&amp;hva%5B0%5D%5Bid%5D=47/når:2015-03-20", "Vegkart")</f>
        <v>Vegkart</v>
      </c>
      <c r="B5830">
        <v>589377179</v>
      </c>
      <c r="C5830">
        <v>47</v>
      </c>
      <c r="D5830" t="s">
        <v>16854</v>
      </c>
      <c r="E5830">
        <v>5897</v>
      </c>
      <c r="F5830" t="s">
        <v>23479</v>
      </c>
      <c r="G5830">
        <v>1</v>
      </c>
      <c r="H5830" t="s">
        <v>13770</v>
      </c>
      <c r="J5830" t="s">
        <v>19043</v>
      </c>
      <c r="K5830" t="s">
        <v>192</v>
      </c>
      <c r="L5830" t="s">
        <v>22</v>
      </c>
      <c r="M5830" t="s">
        <v>19433</v>
      </c>
      <c r="N5830" t="s">
        <v>19434</v>
      </c>
      <c r="O5830" t="s">
        <v>19435</v>
      </c>
      <c r="P5830" s="2" t="s">
        <v>26</v>
      </c>
      <c r="Q5830" t="s">
        <v>50</v>
      </c>
      <c r="R5830">
        <v>26.78</v>
      </c>
      <c r="S5830">
        <v>27.72</v>
      </c>
      <c r="T5830" t="s">
        <v>19436</v>
      </c>
    </row>
    <row r="5831" spans="1:20" x14ac:dyDescent="0.25">
      <c r="A5831" s="1" t="str">
        <f>HYPERLINK("https://vegkart.atlas.vegvesen.no/#/@266313.3,7033396.1,18/hva:hva%5B0%5D%5Bfilter%5D%5B0%5D%5Boperator%5D=%21%3D&amp;hva%5B0%5D%5Bfilter%5D%5B0%5D%5Btype_id%5D=5897&amp;hva%5B0%5D%5Bfilter%5D%5B0%5D%5Bverdi%5D=&amp;hva%5B0%5D%5Bid%5D=47/når:2015-03-20", "Vegkart")</f>
        <v>Vegkart</v>
      </c>
      <c r="B5831">
        <v>589377184</v>
      </c>
      <c r="C5831">
        <v>47</v>
      </c>
      <c r="D5831" t="s">
        <v>16854</v>
      </c>
      <c r="E5831">
        <v>5897</v>
      </c>
      <c r="F5831" t="s">
        <v>23479</v>
      </c>
      <c r="G5831">
        <v>1</v>
      </c>
      <c r="H5831" t="s">
        <v>13770</v>
      </c>
      <c r="J5831" t="s">
        <v>19043</v>
      </c>
      <c r="K5831" t="s">
        <v>192</v>
      </c>
      <c r="L5831" t="s">
        <v>22</v>
      </c>
      <c r="M5831" t="s">
        <v>19433</v>
      </c>
      <c r="N5831" t="s">
        <v>19437</v>
      </c>
      <c r="O5831" t="s">
        <v>19438</v>
      </c>
      <c r="P5831" s="2" t="s">
        <v>26</v>
      </c>
      <c r="Q5831" t="s">
        <v>50</v>
      </c>
      <c r="R5831">
        <v>34.54</v>
      </c>
      <c r="S5831">
        <v>34.71</v>
      </c>
      <c r="T5831" t="s">
        <v>19439</v>
      </c>
    </row>
    <row r="5832" spans="1:20" x14ac:dyDescent="0.25">
      <c r="A5832" s="1" t="str">
        <f>HYPERLINK("https://vegkart.atlas.vegvesen.no/#/@266280.8,7033589.0,18/hva:hva%5B0%5D%5Bfilter%5D%5B0%5D%5Boperator%5D=%21%3D&amp;hva%5B0%5D%5Bfilter%5D%5B0%5D%5Btype_id%5D=5897&amp;hva%5B0%5D%5Bfilter%5D%5B0%5D%5Bverdi%5D=&amp;hva%5B0%5D%5Bid%5D=47/når:2015-03-20", "Vegkart")</f>
        <v>Vegkart</v>
      </c>
      <c r="B5832">
        <v>589377187</v>
      </c>
      <c r="C5832">
        <v>47</v>
      </c>
      <c r="D5832" t="s">
        <v>16854</v>
      </c>
      <c r="E5832">
        <v>5897</v>
      </c>
      <c r="F5832" t="s">
        <v>23479</v>
      </c>
      <c r="G5832">
        <v>1</v>
      </c>
      <c r="H5832" t="s">
        <v>13770</v>
      </c>
      <c r="J5832" t="s">
        <v>19043</v>
      </c>
      <c r="K5832" t="s">
        <v>192</v>
      </c>
      <c r="L5832" t="s">
        <v>22</v>
      </c>
      <c r="M5832" t="s">
        <v>19433</v>
      </c>
      <c r="N5832" t="s">
        <v>19440</v>
      </c>
      <c r="O5832" t="s">
        <v>19441</v>
      </c>
      <c r="P5832" s="2" t="s">
        <v>26</v>
      </c>
      <c r="Q5832" t="s">
        <v>50</v>
      </c>
      <c r="R5832">
        <v>38.729999999999997</v>
      </c>
      <c r="S5832">
        <v>38.74</v>
      </c>
      <c r="T5832" t="s">
        <v>19442</v>
      </c>
    </row>
    <row r="5833" spans="1:20" x14ac:dyDescent="0.25">
      <c r="A5833" s="1" t="str">
        <f>HYPERLINK("https://vegkart.atlas.vegvesen.no/#/@267763.9,7033379.5,18/hva:hva%5B0%5D%5Bfilter%5D%5B0%5D%5Boperator%5D=%21%3D&amp;hva%5B0%5D%5Bfilter%5D%5B0%5D%5Btype_id%5D=5897&amp;hva%5B0%5D%5Bfilter%5D%5B0%5D%5Bverdi%5D=&amp;hva%5B0%5D%5Bid%5D=47/når:2015-03-20", "Vegkart")</f>
        <v>Vegkart</v>
      </c>
      <c r="B5833">
        <v>589377215</v>
      </c>
      <c r="C5833">
        <v>47</v>
      </c>
      <c r="D5833" t="s">
        <v>16854</v>
      </c>
      <c r="E5833">
        <v>5897</v>
      </c>
      <c r="F5833" t="s">
        <v>23479</v>
      </c>
      <c r="G5833">
        <v>1</v>
      </c>
      <c r="H5833" t="s">
        <v>13770</v>
      </c>
      <c r="J5833" t="s">
        <v>19043</v>
      </c>
      <c r="K5833" t="s">
        <v>192</v>
      </c>
      <c r="L5833" t="s">
        <v>22</v>
      </c>
      <c r="M5833" t="s">
        <v>7531</v>
      </c>
      <c r="N5833" t="s">
        <v>19443</v>
      </c>
      <c r="O5833" t="s">
        <v>19444</v>
      </c>
      <c r="P5833" s="2" t="s">
        <v>26</v>
      </c>
      <c r="Q5833" t="s">
        <v>50</v>
      </c>
      <c r="R5833">
        <v>32.89</v>
      </c>
      <c r="S5833">
        <v>33.21</v>
      </c>
      <c r="T5833" t="s">
        <v>19445</v>
      </c>
    </row>
    <row r="5834" spans="1:20" x14ac:dyDescent="0.25">
      <c r="A5834" s="1" t="str">
        <f>HYPERLINK("https://vegkart.atlas.vegvesen.no/#/@268168.0,7032728.0,18/hva:hva%5B0%5D%5Bfilter%5D%5B0%5D%5Boperator%5D=%21%3D&amp;hva%5B0%5D%5Bfilter%5D%5B0%5D%5Btype_id%5D=5897&amp;hva%5B0%5D%5Bfilter%5D%5B0%5D%5Bverdi%5D=&amp;hva%5B0%5D%5Bid%5D=47/når:2015-03-20", "Vegkart")</f>
        <v>Vegkart</v>
      </c>
      <c r="B5834">
        <v>589377280</v>
      </c>
      <c r="C5834">
        <v>47</v>
      </c>
      <c r="D5834" t="s">
        <v>16854</v>
      </c>
      <c r="E5834">
        <v>5897</v>
      </c>
      <c r="F5834" t="s">
        <v>23479</v>
      </c>
      <c r="G5834">
        <v>1</v>
      </c>
      <c r="H5834" t="s">
        <v>13770</v>
      </c>
      <c r="J5834" t="s">
        <v>19043</v>
      </c>
      <c r="K5834" t="s">
        <v>192</v>
      </c>
      <c r="L5834" t="s">
        <v>22</v>
      </c>
      <c r="M5834" t="s">
        <v>19446</v>
      </c>
      <c r="N5834" t="s">
        <v>19447</v>
      </c>
      <c r="O5834" t="s">
        <v>19448</v>
      </c>
      <c r="P5834" s="2" t="s">
        <v>26</v>
      </c>
      <c r="Q5834" t="s">
        <v>50</v>
      </c>
      <c r="R5834">
        <v>38.94</v>
      </c>
      <c r="S5834">
        <v>39.46</v>
      </c>
      <c r="T5834" t="s">
        <v>19449</v>
      </c>
    </row>
    <row r="5835" spans="1:20" x14ac:dyDescent="0.25">
      <c r="A5835" s="1" t="str">
        <f>HYPERLINK("https://vegkart.atlas.vegvesen.no/#/@268219.1,7032810.9,18/hva:hva%5B0%5D%5Bfilter%5D%5B0%5D%5Boperator%5D=%21%3D&amp;hva%5B0%5D%5Bfilter%5D%5B0%5D%5Btype_id%5D=5897&amp;hva%5B0%5D%5Bfilter%5D%5B0%5D%5Bverdi%5D=&amp;hva%5B0%5D%5Bid%5D=47/når:2015-03-20", "Vegkart")</f>
        <v>Vegkart</v>
      </c>
      <c r="B5835">
        <v>589377286</v>
      </c>
      <c r="C5835">
        <v>47</v>
      </c>
      <c r="D5835" t="s">
        <v>16854</v>
      </c>
      <c r="E5835">
        <v>5897</v>
      </c>
      <c r="F5835" t="s">
        <v>23479</v>
      </c>
      <c r="G5835">
        <v>1</v>
      </c>
      <c r="H5835" t="s">
        <v>13770</v>
      </c>
      <c r="J5835" t="s">
        <v>19043</v>
      </c>
      <c r="K5835" t="s">
        <v>192</v>
      </c>
      <c r="L5835" t="s">
        <v>22</v>
      </c>
      <c r="M5835" t="s">
        <v>19446</v>
      </c>
      <c r="N5835" t="s">
        <v>19450</v>
      </c>
      <c r="O5835" t="s">
        <v>19451</v>
      </c>
      <c r="P5835" s="2" t="s">
        <v>26</v>
      </c>
      <c r="Q5835" t="s">
        <v>50</v>
      </c>
      <c r="R5835">
        <v>35.049999999999997</v>
      </c>
      <c r="S5835">
        <v>35.28</v>
      </c>
      <c r="T5835" t="s">
        <v>19452</v>
      </c>
    </row>
    <row r="5836" spans="1:20" x14ac:dyDescent="0.25">
      <c r="A5836" s="1" t="str">
        <f>HYPERLINK("https://vegkart.atlas.vegvesen.no/#/@267910.0,7032123.3,18/hva:hva%5B0%5D%5Bfilter%5D%5B0%5D%5Boperator%5D=%21%3D&amp;hva%5B0%5D%5Bfilter%5D%5B0%5D%5Btype_id%5D=5897&amp;hva%5B0%5D%5Bfilter%5D%5B0%5D%5Bverdi%5D=&amp;hva%5B0%5D%5Bid%5D=47/når:2015-03-23", "Vegkart")</f>
        <v>Vegkart</v>
      </c>
      <c r="B5836">
        <v>589434941</v>
      </c>
      <c r="C5836">
        <v>47</v>
      </c>
      <c r="D5836" t="s">
        <v>16854</v>
      </c>
      <c r="E5836">
        <v>5897</v>
      </c>
      <c r="F5836" t="s">
        <v>23479</v>
      </c>
      <c r="G5836">
        <v>1</v>
      </c>
      <c r="H5836" t="s">
        <v>994</v>
      </c>
      <c r="J5836" t="s">
        <v>19043</v>
      </c>
      <c r="K5836" t="s">
        <v>192</v>
      </c>
      <c r="L5836" t="s">
        <v>22</v>
      </c>
      <c r="M5836" t="s">
        <v>19453</v>
      </c>
      <c r="N5836" t="s">
        <v>19454</v>
      </c>
      <c r="O5836" t="s">
        <v>19455</v>
      </c>
      <c r="P5836" s="2" t="s">
        <v>26</v>
      </c>
      <c r="Q5836" t="s">
        <v>50</v>
      </c>
      <c r="R5836">
        <v>45.63</v>
      </c>
      <c r="S5836">
        <v>46.2</v>
      </c>
      <c r="T5836" t="s">
        <v>19456</v>
      </c>
    </row>
    <row r="5837" spans="1:20" x14ac:dyDescent="0.25">
      <c r="A5837" s="1" t="str">
        <f>HYPERLINK("https://vegkart.atlas.vegvesen.no/#/@267870.8,7032452.5,18/hva:hva%5B0%5D%5Bfilter%5D%5B0%5D%5Boperator%5D=%21%3D&amp;hva%5B0%5D%5Bfilter%5D%5B0%5D%5Btype_id%5D=5897&amp;hva%5B0%5D%5Bfilter%5D%5B0%5D%5Bverdi%5D=&amp;hva%5B0%5D%5Bid%5D=47/når:2015-03-23", "Vegkart")</f>
        <v>Vegkart</v>
      </c>
      <c r="B5837">
        <v>589434944</v>
      </c>
      <c r="C5837">
        <v>47</v>
      </c>
      <c r="D5837" t="s">
        <v>16854</v>
      </c>
      <c r="E5837">
        <v>5897</v>
      </c>
      <c r="F5837" t="s">
        <v>23479</v>
      </c>
      <c r="G5837">
        <v>1</v>
      </c>
      <c r="H5837" t="s">
        <v>994</v>
      </c>
      <c r="J5837" t="s">
        <v>19043</v>
      </c>
      <c r="K5837" t="s">
        <v>192</v>
      </c>
      <c r="L5837" t="s">
        <v>22</v>
      </c>
      <c r="M5837" t="s">
        <v>19453</v>
      </c>
      <c r="N5837" t="s">
        <v>19457</v>
      </c>
      <c r="O5837" t="s">
        <v>19458</v>
      </c>
      <c r="P5837" s="2" t="s">
        <v>26</v>
      </c>
      <c r="Q5837" t="s">
        <v>50</v>
      </c>
      <c r="R5837">
        <v>45.06</v>
      </c>
      <c r="S5837">
        <v>45.76</v>
      </c>
      <c r="T5837" t="s">
        <v>19459</v>
      </c>
    </row>
    <row r="5838" spans="1:20" x14ac:dyDescent="0.25">
      <c r="A5838" s="1" t="str">
        <f>HYPERLINK("https://vegkart.atlas.vegvesen.no/#/@267973.6,7033061.7,18/hva:hva%5B0%5D%5Bfilter%5D%5B0%5D%5Boperator%5D=%21%3D&amp;hva%5B0%5D%5Bfilter%5D%5B0%5D%5Btype_id%5D=5897&amp;hva%5B0%5D%5Bfilter%5D%5B0%5D%5Bverdi%5D=&amp;hva%5B0%5D%5Bid%5D=47/når:2015-03-23", "Vegkart")</f>
        <v>Vegkart</v>
      </c>
      <c r="B5838">
        <v>589434957</v>
      </c>
      <c r="C5838">
        <v>47</v>
      </c>
      <c r="D5838" t="s">
        <v>16854</v>
      </c>
      <c r="E5838">
        <v>5897</v>
      </c>
      <c r="F5838" t="s">
        <v>23479</v>
      </c>
      <c r="G5838">
        <v>1</v>
      </c>
      <c r="H5838" t="s">
        <v>994</v>
      </c>
      <c r="J5838" t="s">
        <v>19043</v>
      </c>
      <c r="K5838" t="s">
        <v>192</v>
      </c>
      <c r="L5838" t="s">
        <v>22</v>
      </c>
      <c r="M5838" t="s">
        <v>19453</v>
      </c>
      <c r="N5838" t="s">
        <v>19460</v>
      </c>
      <c r="O5838" t="s">
        <v>19461</v>
      </c>
      <c r="P5838" s="2" t="s">
        <v>26</v>
      </c>
      <c r="Q5838" t="s">
        <v>50</v>
      </c>
      <c r="R5838">
        <v>39.83</v>
      </c>
      <c r="S5838">
        <v>40.1</v>
      </c>
      <c r="T5838" t="s">
        <v>19462</v>
      </c>
    </row>
    <row r="5839" spans="1:20" x14ac:dyDescent="0.25">
      <c r="A5839" s="1" t="str">
        <f>HYPERLINK("https://vegkart.atlas.vegvesen.no/#/@268072.1,7033499.9,18/hva:hva%5B0%5D%5Bfilter%5D%5B0%5D%5Boperator%5D=%21%3D&amp;hva%5B0%5D%5Bfilter%5D%5B0%5D%5Btype_id%5D=5897&amp;hva%5B0%5D%5Bfilter%5D%5B0%5D%5Bverdi%5D=&amp;hva%5B0%5D%5Bid%5D=47/når:2015-03-23", "Vegkart")</f>
        <v>Vegkart</v>
      </c>
      <c r="B5839">
        <v>589434962</v>
      </c>
      <c r="C5839">
        <v>47</v>
      </c>
      <c r="D5839" t="s">
        <v>16854</v>
      </c>
      <c r="E5839">
        <v>5897</v>
      </c>
      <c r="F5839" t="s">
        <v>23479</v>
      </c>
      <c r="G5839">
        <v>1</v>
      </c>
      <c r="H5839" t="s">
        <v>994</v>
      </c>
      <c r="J5839" t="s">
        <v>19043</v>
      </c>
      <c r="K5839" t="s">
        <v>192</v>
      </c>
      <c r="L5839" t="s">
        <v>22</v>
      </c>
      <c r="M5839" t="s">
        <v>19453</v>
      </c>
      <c r="N5839" t="s">
        <v>19463</v>
      </c>
      <c r="O5839" t="s">
        <v>19464</v>
      </c>
      <c r="P5839" s="2" t="s">
        <v>26</v>
      </c>
      <c r="Q5839" t="s">
        <v>50</v>
      </c>
      <c r="R5839">
        <v>41.01</v>
      </c>
      <c r="S5839">
        <v>41.49</v>
      </c>
      <c r="T5839" t="s">
        <v>19465</v>
      </c>
    </row>
    <row r="5840" spans="1:20" x14ac:dyDescent="0.25">
      <c r="A5840" s="1" t="str">
        <f>HYPERLINK("https://vegkart.atlas.vegvesen.no/#/@268469.0,7034098.7,18/hva:hva%5B0%5D%5Bfilter%5D%5B0%5D%5Boperator%5D=%21%3D&amp;hva%5B0%5D%5Bfilter%5D%5B0%5D%5Btype_id%5D=5897&amp;hva%5B0%5D%5Bfilter%5D%5B0%5D%5Bverdi%5D=&amp;hva%5B0%5D%5Bid%5D=47/når:2015-03-23", "Vegkart")</f>
        <v>Vegkart</v>
      </c>
      <c r="B5840">
        <v>589435003</v>
      </c>
      <c r="C5840">
        <v>47</v>
      </c>
      <c r="D5840" t="s">
        <v>16854</v>
      </c>
      <c r="E5840">
        <v>5897</v>
      </c>
      <c r="F5840" t="s">
        <v>23479</v>
      </c>
      <c r="G5840">
        <v>1</v>
      </c>
      <c r="H5840" t="s">
        <v>994</v>
      </c>
      <c r="J5840" t="s">
        <v>19043</v>
      </c>
      <c r="K5840" t="s">
        <v>192</v>
      </c>
      <c r="L5840" t="s">
        <v>22</v>
      </c>
      <c r="M5840" t="s">
        <v>19466</v>
      </c>
      <c r="N5840" t="s">
        <v>19467</v>
      </c>
      <c r="O5840" t="s">
        <v>19468</v>
      </c>
      <c r="P5840" s="2" t="s">
        <v>26</v>
      </c>
      <c r="Q5840" t="s">
        <v>50</v>
      </c>
      <c r="R5840">
        <v>58</v>
      </c>
      <c r="S5840">
        <v>58.44</v>
      </c>
      <c r="T5840" t="s">
        <v>19469</v>
      </c>
    </row>
    <row r="5841" spans="1:20" x14ac:dyDescent="0.25">
      <c r="A5841" s="1" t="str">
        <f>HYPERLINK("https://vegkart.atlas.vegvesen.no/#/@268516.5,7034215.2,18/hva:hva%5B0%5D%5Bfilter%5D%5B0%5D%5Boperator%5D=%21%3D&amp;hva%5B0%5D%5Bfilter%5D%5B0%5D%5Btype_id%5D=5897&amp;hva%5B0%5D%5Bfilter%5D%5B0%5D%5Bverdi%5D=&amp;hva%5B0%5D%5Bid%5D=47/når:2015-03-23", "Vegkart")</f>
        <v>Vegkart</v>
      </c>
      <c r="B5841">
        <v>589435013</v>
      </c>
      <c r="C5841">
        <v>47</v>
      </c>
      <c r="D5841" t="s">
        <v>16854</v>
      </c>
      <c r="E5841">
        <v>5897</v>
      </c>
      <c r="F5841" t="s">
        <v>23479</v>
      </c>
      <c r="G5841">
        <v>1</v>
      </c>
      <c r="H5841" t="s">
        <v>994</v>
      </c>
      <c r="J5841" t="s">
        <v>19043</v>
      </c>
      <c r="K5841" t="s">
        <v>192</v>
      </c>
      <c r="L5841" t="s">
        <v>22</v>
      </c>
      <c r="M5841" t="s">
        <v>19446</v>
      </c>
      <c r="N5841" t="s">
        <v>19470</v>
      </c>
      <c r="O5841" t="s">
        <v>19471</v>
      </c>
      <c r="P5841" s="2" t="s">
        <v>26</v>
      </c>
      <c r="Q5841" t="s">
        <v>50</v>
      </c>
      <c r="R5841">
        <v>66.66</v>
      </c>
      <c r="S5841">
        <v>66.98</v>
      </c>
      <c r="T5841" t="s">
        <v>19472</v>
      </c>
    </row>
    <row r="5842" spans="1:20" x14ac:dyDescent="0.25">
      <c r="A5842" s="1" t="str">
        <f>HYPERLINK("https://vegkart.atlas.vegvesen.no/#/@268911.9,7035065.3,18/hva:hva%5B0%5D%5Bfilter%5D%5B0%5D%5Boperator%5D=%21%3D&amp;hva%5B0%5D%5Bfilter%5D%5B0%5D%5Btype_id%5D=5897&amp;hva%5B0%5D%5Bfilter%5D%5B0%5D%5Bverdi%5D=&amp;hva%5B0%5D%5Bid%5D=47/når:2015-03-23", "Vegkart")</f>
        <v>Vegkart</v>
      </c>
      <c r="B5842">
        <v>589435031</v>
      </c>
      <c r="C5842">
        <v>47</v>
      </c>
      <c r="D5842" t="s">
        <v>16854</v>
      </c>
      <c r="E5842">
        <v>5897</v>
      </c>
      <c r="F5842" t="s">
        <v>23479</v>
      </c>
      <c r="G5842">
        <v>1</v>
      </c>
      <c r="H5842" t="s">
        <v>994</v>
      </c>
      <c r="J5842" t="s">
        <v>19043</v>
      </c>
      <c r="K5842" t="s">
        <v>192</v>
      </c>
      <c r="L5842" t="s">
        <v>22</v>
      </c>
      <c r="M5842" t="s">
        <v>19446</v>
      </c>
      <c r="N5842" t="s">
        <v>19473</v>
      </c>
      <c r="O5842" t="s">
        <v>19474</v>
      </c>
      <c r="P5842" s="2" t="s">
        <v>26</v>
      </c>
      <c r="Q5842" t="s">
        <v>50</v>
      </c>
      <c r="R5842">
        <v>62.98</v>
      </c>
      <c r="S5842">
        <v>63.4</v>
      </c>
      <c r="T5842" t="s">
        <v>19475</v>
      </c>
    </row>
    <row r="5843" spans="1:20" x14ac:dyDescent="0.25">
      <c r="A5843" s="1" t="str">
        <f>HYPERLINK("https://vegkart.atlas.vegvesen.no/#/@272229.0,7038204.4,18/hva:hva%5B0%5D%5Bfilter%5D%5B0%5D%5Boperator%5D=%21%3D&amp;hva%5B0%5D%5Bfilter%5D%5B0%5D%5Btype_id%5D=5897&amp;hva%5B0%5D%5Bfilter%5D%5B0%5D%5Bverdi%5D=&amp;hva%5B0%5D%5Bid%5D=47/når:2015-03-23", "Vegkart")</f>
        <v>Vegkart</v>
      </c>
      <c r="B5843">
        <v>589461708</v>
      </c>
      <c r="C5843">
        <v>47</v>
      </c>
      <c r="D5843" t="s">
        <v>16854</v>
      </c>
      <c r="E5843">
        <v>5897</v>
      </c>
      <c r="F5843" t="s">
        <v>23479</v>
      </c>
      <c r="G5843">
        <v>1</v>
      </c>
      <c r="H5843" t="s">
        <v>994</v>
      </c>
      <c r="J5843" t="s">
        <v>19043</v>
      </c>
      <c r="K5843" t="s">
        <v>192</v>
      </c>
      <c r="L5843" t="s">
        <v>22</v>
      </c>
      <c r="M5843" t="s">
        <v>19476</v>
      </c>
      <c r="N5843" t="s">
        <v>19477</v>
      </c>
      <c r="O5843" t="s">
        <v>19478</v>
      </c>
      <c r="P5843" s="2" t="s">
        <v>26</v>
      </c>
      <c r="Q5843" t="s">
        <v>50</v>
      </c>
      <c r="R5843">
        <v>52.75</v>
      </c>
      <c r="S5843">
        <v>53.5</v>
      </c>
      <c r="T5843" t="s">
        <v>19479</v>
      </c>
    </row>
    <row r="5844" spans="1:20" x14ac:dyDescent="0.25">
      <c r="A5844" s="1" t="str">
        <f>HYPERLINK("https://vegkart.atlas.vegvesen.no/#/@272076.1,7038226.1,18/hva:hva%5B0%5D%5Bfilter%5D%5B0%5D%5Boperator%5D=%21%3D&amp;hva%5B0%5D%5Bfilter%5D%5B0%5D%5Btype_id%5D=5897&amp;hva%5B0%5D%5Bfilter%5D%5B0%5D%5Bverdi%5D=&amp;hva%5B0%5D%5Bid%5D=47/når:2015-03-23", "Vegkart")</f>
        <v>Vegkart</v>
      </c>
      <c r="B5844">
        <v>589461713</v>
      </c>
      <c r="C5844">
        <v>47</v>
      </c>
      <c r="D5844" t="s">
        <v>16854</v>
      </c>
      <c r="E5844">
        <v>5897</v>
      </c>
      <c r="F5844" t="s">
        <v>23479</v>
      </c>
      <c r="G5844">
        <v>1</v>
      </c>
      <c r="H5844" t="s">
        <v>994</v>
      </c>
      <c r="J5844" t="s">
        <v>19043</v>
      </c>
      <c r="K5844" t="s">
        <v>192</v>
      </c>
      <c r="L5844" t="s">
        <v>22</v>
      </c>
      <c r="M5844" t="s">
        <v>19476</v>
      </c>
      <c r="N5844" t="s">
        <v>19480</v>
      </c>
      <c r="O5844" t="s">
        <v>19481</v>
      </c>
      <c r="P5844" s="2" t="s">
        <v>26</v>
      </c>
      <c r="Q5844" t="s">
        <v>50</v>
      </c>
      <c r="R5844">
        <v>38.01</v>
      </c>
      <c r="S5844">
        <v>39.82</v>
      </c>
      <c r="T5844" t="s">
        <v>19482</v>
      </c>
    </row>
    <row r="5845" spans="1:20" x14ac:dyDescent="0.25">
      <c r="A5845" s="1" t="str">
        <f>HYPERLINK("https://vegkart.atlas.vegvesen.no/#/@272092.3,7038342.3,18/hva:hva%5B0%5D%5Bfilter%5D%5B0%5D%5Boperator%5D=%21%3D&amp;hva%5B0%5D%5Bfilter%5D%5B0%5D%5Btype_id%5D=5897&amp;hva%5B0%5D%5Bfilter%5D%5B0%5D%5Bverdi%5D=&amp;hva%5B0%5D%5Bid%5D=47/når:2015-03-23", "Vegkart")</f>
        <v>Vegkart</v>
      </c>
      <c r="B5845">
        <v>589461716</v>
      </c>
      <c r="C5845">
        <v>47</v>
      </c>
      <c r="D5845" t="s">
        <v>16854</v>
      </c>
      <c r="E5845">
        <v>5897</v>
      </c>
      <c r="F5845" t="s">
        <v>23479</v>
      </c>
      <c r="G5845">
        <v>1</v>
      </c>
      <c r="H5845" t="s">
        <v>994</v>
      </c>
      <c r="J5845" t="s">
        <v>19043</v>
      </c>
      <c r="K5845" t="s">
        <v>192</v>
      </c>
      <c r="L5845" t="s">
        <v>22</v>
      </c>
      <c r="M5845" t="s">
        <v>19476</v>
      </c>
      <c r="N5845" t="s">
        <v>19483</v>
      </c>
      <c r="O5845" t="s">
        <v>19484</v>
      </c>
      <c r="P5845" s="2" t="s">
        <v>26</v>
      </c>
      <c r="Q5845" t="s">
        <v>50</v>
      </c>
      <c r="R5845">
        <v>43.29</v>
      </c>
      <c r="S5845">
        <v>43.69</v>
      </c>
      <c r="T5845" t="s">
        <v>19485</v>
      </c>
    </row>
    <row r="5846" spans="1:20" x14ac:dyDescent="0.25">
      <c r="A5846" s="1" t="str">
        <f>HYPERLINK("https://vegkart.atlas.vegvesen.no/#/@272079.8,7038342.4,18/hva:hva%5B0%5D%5Bfilter%5D%5B0%5D%5Boperator%5D=%21%3D&amp;hva%5B0%5D%5Bfilter%5D%5B0%5D%5Btype_id%5D=5897&amp;hva%5B0%5D%5Bfilter%5D%5B0%5D%5Bverdi%5D=&amp;hva%5B0%5D%5Bid%5D=47/når:2015-03-23", "Vegkart")</f>
        <v>Vegkart</v>
      </c>
      <c r="B5846">
        <v>589461721</v>
      </c>
      <c r="C5846">
        <v>47</v>
      </c>
      <c r="D5846" t="s">
        <v>16854</v>
      </c>
      <c r="E5846">
        <v>5897</v>
      </c>
      <c r="F5846" t="s">
        <v>23479</v>
      </c>
      <c r="G5846">
        <v>1</v>
      </c>
      <c r="H5846" t="s">
        <v>994</v>
      </c>
      <c r="J5846" t="s">
        <v>19043</v>
      </c>
      <c r="K5846" t="s">
        <v>192</v>
      </c>
      <c r="L5846" t="s">
        <v>22</v>
      </c>
      <c r="M5846" t="s">
        <v>19476</v>
      </c>
      <c r="N5846" t="s">
        <v>19486</v>
      </c>
      <c r="O5846" t="s">
        <v>19487</v>
      </c>
      <c r="P5846" s="2" t="s">
        <v>26</v>
      </c>
      <c r="Q5846" t="s">
        <v>50</v>
      </c>
      <c r="R5846">
        <v>57.58</v>
      </c>
      <c r="S5846">
        <v>58.35</v>
      </c>
      <c r="T5846" t="s">
        <v>19488</v>
      </c>
    </row>
    <row r="5847" spans="1:20" x14ac:dyDescent="0.25">
      <c r="A5847" s="1" t="str">
        <f>HYPERLINK("https://vegkart.atlas.vegvesen.no/#/@272023.9,7038438.5,18/hva:hva%5B0%5D%5Bfilter%5D%5B0%5D%5Boperator%5D=%21%3D&amp;hva%5B0%5D%5Bfilter%5D%5B0%5D%5Btype_id%5D=5897&amp;hva%5B0%5D%5Bfilter%5D%5B0%5D%5Bverdi%5D=&amp;hva%5B0%5D%5Bid%5D=47/når:2015-03-23", "Vegkart")</f>
        <v>Vegkart</v>
      </c>
      <c r="B5847">
        <v>589461724</v>
      </c>
      <c r="C5847">
        <v>47</v>
      </c>
      <c r="D5847" t="s">
        <v>16854</v>
      </c>
      <c r="E5847">
        <v>5897</v>
      </c>
      <c r="F5847" t="s">
        <v>23479</v>
      </c>
      <c r="G5847">
        <v>1</v>
      </c>
      <c r="H5847" t="s">
        <v>994</v>
      </c>
      <c r="J5847" t="s">
        <v>19043</v>
      </c>
      <c r="K5847" t="s">
        <v>192</v>
      </c>
      <c r="L5847" t="s">
        <v>22</v>
      </c>
      <c r="M5847" t="s">
        <v>19489</v>
      </c>
      <c r="N5847" t="s">
        <v>19490</v>
      </c>
      <c r="O5847" t="s">
        <v>19491</v>
      </c>
      <c r="P5847" s="2" t="s">
        <v>26</v>
      </c>
      <c r="Q5847" t="s">
        <v>50</v>
      </c>
      <c r="R5847">
        <v>64.69</v>
      </c>
      <c r="S5847">
        <v>64.69</v>
      </c>
      <c r="T5847" t="s">
        <v>19492</v>
      </c>
    </row>
    <row r="5848" spans="1:20" x14ac:dyDescent="0.25">
      <c r="A5848" s="1" t="str">
        <f>HYPERLINK("https://vegkart.atlas.vegvesen.no/#/@272243.7,7039019.5,18/hva:hva%5B0%5D%5Bfilter%5D%5B0%5D%5Boperator%5D=%21%3D&amp;hva%5B0%5D%5Bfilter%5D%5B0%5D%5Btype_id%5D=5897&amp;hva%5B0%5D%5Bfilter%5D%5B0%5D%5Bverdi%5D=&amp;hva%5B0%5D%5Bid%5D=47/når:2015-03-23", "Vegkart")</f>
        <v>Vegkart</v>
      </c>
      <c r="B5848">
        <v>589461736</v>
      </c>
      <c r="C5848">
        <v>47</v>
      </c>
      <c r="D5848" t="s">
        <v>16854</v>
      </c>
      <c r="E5848">
        <v>5897</v>
      </c>
      <c r="F5848" t="s">
        <v>23479</v>
      </c>
      <c r="G5848">
        <v>1</v>
      </c>
      <c r="H5848" t="s">
        <v>994</v>
      </c>
      <c r="J5848" t="s">
        <v>19043</v>
      </c>
      <c r="K5848" t="s">
        <v>192</v>
      </c>
      <c r="L5848" t="s">
        <v>22</v>
      </c>
      <c r="M5848" t="s">
        <v>19493</v>
      </c>
      <c r="N5848" t="s">
        <v>19494</v>
      </c>
      <c r="O5848" t="s">
        <v>19495</v>
      </c>
      <c r="P5848" s="2" t="s">
        <v>26</v>
      </c>
      <c r="Q5848" t="s">
        <v>50</v>
      </c>
      <c r="R5848">
        <v>48.56</v>
      </c>
      <c r="S5848">
        <v>49.64</v>
      </c>
      <c r="T5848" t="s">
        <v>19496</v>
      </c>
    </row>
    <row r="5849" spans="1:20" x14ac:dyDescent="0.25">
      <c r="A5849" s="1" t="str">
        <f>HYPERLINK("https://vegkart.atlas.vegvesen.no/#/@272298.8,7039018.4,18/hva:hva%5B0%5D%5Bfilter%5D%5B0%5D%5Boperator%5D=%21%3D&amp;hva%5B0%5D%5Bfilter%5D%5B0%5D%5Btype_id%5D=5897&amp;hva%5B0%5D%5Bfilter%5D%5B0%5D%5Bverdi%5D=&amp;hva%5B0%5D%5Bid%5D=47/når:2015-03-23", "Vegkart")</f>
        <v>Vegkart</v>
      </c>
      <c r="B5849">
        <v>589461741</v>
      </c>
      <c r="C5849">
        <v>47</v>
      </c>
      <c r="D5849" t="s">
        <v>16854</v>
      </c>
      <c r="E5849">
        <v>5897</v>
      </c>
      <c r="F5849" t="s">
        <v>23479</v>
      </c>
      <c r="G5849">
        <v>1</v>
      </c>
      <c r="H5849" t="s">
        <v>994</v>
      </c>
      <c r="J5849" t="s">
        <v>19043</v>
      </c>
      <c r="K5849" t="s">
        <v>192</v>
      </c>
      <c r="L5849" t="s">
        <v>22</v>
      </c>
      <c r="M5849" t="s">
        <v>19493</v>
      </c>
      <c r="N5849" t="s">
        <v>19497</v>
      </c>
      <c r="O5849" t="s">
        <v>19498</v>
      </c>
      <c r="P5849" s="2" t="s">
        <v>26</v>
      </c>
      <c r="Q5849" t="s">
        <v>50</v>
      </c>
      <c r="R5849">
        <v>41.98</v>
      </c>
      <c r="S5849">
        <v>42.6</v>
      </c>
      <c r="T5849" t="s">
        <v>19499</v>
      </c>
    </row>
    <row r="5850" spans="1:20" x14ac:dyDescent="0.25">
      <c r="A5850" s="1" t="str">
        <f>HYPERLINK("https://vegkart.atlas.vegvesen.no/#/@272527.6,7039028.9,18/hva:hva%5B0%5D%5Bfilter%5D%5B0%5D%5Boperator%5D=%21%3D&amp;hva%5B0%5D%5Bfilter%5D%5B0%5D%5Btype_id%5D=5897&amp;hva%5B0%5D%5Bfilter%5D%5B0%5D%5Bverdi%5D=&amp;hva%5B0%5D%5Bid%5D=47/når:2015-03-23", "Vegkart")</f>
        <v>Vegkart</v>
      </c>
      <c r="B5850">
        <v>589461744</v>
      </c>
      <c r="C5850">
        <v>47</v>
      </c>
      <c r="D5850" t="s">
        <v>16854</v>
      </c>
      <c r="E5850">
        <v>5897</v>
      </c>
      <c r="F5850" t="s">
        <v>23479</v>
      </c>
      <c r="G5850">
        <v>1</v>
      </c>
      <c r="H5850" t="s">
        <v>994</v>
      </c>
      <c r="J5850" t="s">
        <v>19043</v>
      </c>
      <c r="K5850" t="s">
        <v>192</v>
      </c>
      <c r="L5850" t="s">
        <v>22</v>
      </c>
      <c r="M5850" t="s">
        <v>19493</v>
      </c>
      <c r="N5850" t="s">
        <v>19500</v>
      </c>
      <c r="O5850" t="s">
        <v>19501</v>
      </c>
      <c r="P5850" s="2" t="s">
        <v>26</v>
      </c>
      <c r="Q5850" t="s">
        <v>50</v>
      </c>
      <c r="R5850">
        <v>32.630000000000003</v>
      </c>
      <c r="S5850">
        <v>32.76</v>
      </c>
      <c r="T5850" t="s">
        <v>19502</v>
      </c>
    </row>
    <row r="5851" spans="1:20" x14ac:dyDescent="0.25">
      <c r="A5851" s="1" t="str">
        <f>HYPERLINK("https://vegkart.atlas.vegvesen.no/#/@272773.0,7038365.9,18/hva:hva%5B0%5D%5Bfilter%5D%5B0%5D%5Boperator%5D=%21%3D&amp;hva%5B0%5D%5Bfilter%5D%5B0%5D%5Btype_id%5D=5897&amp;hva%5B0%5D%5Bfilter%5D%5B0%5D%5Bverdi%5D=&amp;hva%5B0%5D%5Bid%5D=47/når:2015-03-23", "Vegkart")</f>
        <v>Vegkart</v>
      </c>
      <c r="B5851">
        <v>589461754</v>
      </c>
      <c r="C5851">
        <v>47</v>
      </c>
      <c r="D5851" t="s">
        <v>16854</v>
      </c>
      <c r="E5851">
        <v>5897</v>
      </c>
      <c r="F5851" t="s">
        <v>23479</v>
      </c>
      <c r="G5851">
        <v>1</v>
      </c>
      <c r="H5851" t="s">
        <v>994</v>
      </c>
      <c r="J5851" t="s">
        <v>19043</v>
      </c>
      <c r="K5851" t="s">
        <v>192</v>
      </c>
      <c r="L5851" t="s">
        <v>22</v>
      </c>
      <c r="M5851" t="s">
        <v>19503</v>
      </c>
      <c r="N5851" t="s">
        <v>19504</v>
      </c>
      <c r="O5851" t="s">
        <v>19505</v>
      </c>
      <c r="P5851" s="2" t="s">
        <v>26</v>
      </c>
      <c r="Q5851" t="s">
        <v>50</v>
      </c>
      <c r="R5851">
        <v>36.07</v>
      </c>
      <c r="S5851">
        <v>36.68</v>
      </c>
      <c r="T5851" t="s">
        <v>19506</v>
      </c>
    </row>
    <row r="5852" spans="1:20" x14ac:dyDescent="0.25">
      <c r="A5852" s="1" t="str">
        <f>HYPERLINK("https://vegkart.atlas.vegvesen.no/#/@273125.6,7038854.0,18/hva:hva%5B0%5D%5Bfilter%5D%5B0%5D%5Boperator%5D=%21%3D&amp;hva%5B0%5D%5Bfilter%5D%5B0%5D%5Btype_id%5D=5897&amp;hva%5B0%5D%5Bfilter%5D%5B0%5D%5Bverdi%5D=&amp;hva%5B0%5D%5Bid%5D=47/når:2015-03-23", "Vegkart")</f>
        <v>Vegkart</v>
      </c>
      <c r="B5852">
        <v>589461765</v>
      </c>
      <c r="C5852">
        <v>47</v>
      </c>
      <c r="D5852" t="s">
        <v>16854</v>
      </c>
      <c r="E5852">
        <v>5897</v>
      </c>
      <c r="F5852" t="s">
        <v>23479</v>
      </c>
      <c r="G5852">
        <v>1</v>
      </c>
      <c r="H5852" t="s">
        <v>994</v>
      </c>
      <c r="J5852" t="s">
        <v>19043</v>
      </c>
      <c r="K5852" t="s">
        <v>192</v>
      </c>
      <c r="L5852" t="s">
        <v>22</v>
      </c>
      <c r="M5852" t="s">
        <v>19507</v>
      </c>
      <c r="N5852" t="s">
        <v>19508</v>
      </c>
      <c r="O5852" t="s">
        <v>19509</v>
      </c>
      <c r="P5852" s="2" t="s">
        <v>26</v>
      </c>
      <c r="Q5852" t="s">
        <v>50</v>
      </c>
      <c r="R5852">
        <v>41.72</v>
      </c>
      <c r="S5852">
        <v>42.3</v>
      </c>
      <c r="T5852" t="s">
        <v>19510</v>
      </c>
    </row>
    <row r="5853" spans="1:20" x14ac:dyDescent="0.25">
      <c r="A5853" s="1" t="str">
        <f>HYPERLINK("https://vegkart.atlas.vegvesen.no/#/@273199.5,7038802.1,18/hva:hva%5B0%5D%5Bfilter%5D%5B0%5D%5Boperator%5D=%21%3D&amp;hva%5B0%5D%5Bfilter%5D%5B0%5D%5Btype_id%5D=5897&amp;hva%5B0%5D%5Bfilter%5D%5B0%5D%5Bverdi%5D=&amp;hva%5B0%5D%5Bid%5D=47/når:2015-03-23", "Vegkart")</f>
        <v>Vegkart</v>
      </c>
      <c r="B5853">
        <v>589461772</v>
      </c>
      <c r="C5853">
        <v>47</v>
      </c>
      <c r="D5853" t="s">
        <v>16854</v>
      </c>
      <c r="E5853">
        <v>5897</v>
      </c>
      <c r="F5853" t="s">
        <v>23479</v>
      </c>
      <c r="G5853">
        <v>1</v>
      </c>
      <c r="H5853" t="s">
        <v>994</v>
      </c>
      <c r="J5853" t="s">
        <v>19043</v>
      </c>
      <c r="K5853" t="s">
        <v>192</v>
      </c>
      <c r="L5853" t="s">
        <v>22</v>
      </c>
      <c r="M5853" t="s">
        <v>19507</v>
      </c>
      <c r="N5853" t="s">
        <v>19511</v>
      </c>
      <c r="O5853" t="s">
        <v>19512</v>
      </c>
      <c r="P5853" s="2" t="s">
        <v>26</v>
      </c>
      <c r="Q5853" t="s">
        <v>50</v>
      </c>
      <c r="R5853">
        <v>53.79</v>
      </c>
      <c r="S5853">
        <v>54.75</v>
      </c>
      <c r="T5853" t="s">
        <v>19513</v>
      </c>
    </row>
    <row r="5854" spans="1:20" x14ac:dyDescent="0.25">
      <c r="A5854" s="1" t="str">
        <f>HYPERLINK("https://vegkart.atlas.vegvesen.no/#/@273369.7,7038752.6,18/hva:hva%5B0%5D%5Bfilter%5D%5B0%5D%5Boperator%5D=%21%3D&amp;hva%5B0%5D%5Bfilter%5D%5B0%5D%5Btype_id%5D=5897&amp;hva%5B0%5D%5Bfilter%5D%5B0%5D%5Bverdi%5D=&amp;hva%5B0%5D%5Bid%5D=47/når:2015-03-23", "Vegkart")</f>
        <v>Vegkart</v>
      </c>
      <c r="B5854">
        <v>589461778</v>
      </c>
      <c r="C5854">
        <v>47</v>
      </c>
      <c r="D5854" t="s">
        <v>16854</v>
      </c>
      <c r="E5854">
        <v>5897</v>
      </c>
      <c r="F5854" t="s">
        <v>23479</v>
      </c>
      <c r="G5854">
        <v>1</v>
      </c>
      <c r="H5854" t="s">
        <v>994</v>
      </c>
      <c r="J5854" t="s">
        <v>19043</v>
      </c>
      <c r="K5854" t="s">
        <v>192</v>
      </c>
      <c r="L5854" t="s">
        <v>22</v>
      </c>
      <c r="M5854" t="s">
        <v>19507</v>
      </c>
      <c r="N5854" t="s">
        <v>19514</v>
      </c>
      <c r="O5854" t="s">
        <v>19515</v>
      </c>
      <c r="P5854" s="2" t="s">
        <v>26</v>
      </c>
      <c r="Q5854" t="s">
        <v>50</v>
      </c>
      <c r="R5854">
        <v>50.15</v>
      </c>
      <c r="S5854">
        <v>50.93</v>
      </c>
      <c r="T5854" t="s">
        <v>19516</v>
      </c>
    </row>
    <row r="5855" spans="1:20" x14ac:dyDescent="0.25">
      <c r="A5855" s="1" t="str">
        <f>HYPERLINK("https://vegkart.atlas.vegvesen.no/#/@273964.6,7039027.0,18/hva:hva%5B0%5D%5Bfilter%5D%5B0%5D%5Boperator%5D=%21%3D&amp;hva%5B0%5D%5Bfilter%5D%5B0%5D%5Btype_id%5D=5897&amp;hva%5B0%5D%5Bfilter%5D%5B0%5D%5Bverdi%5D=&amp;hva%5B0%5D%5Bid%5D=47/når:2015-03-23", "Vegkart")</f>
        <v>Vegkart</v>
      </c>
      <c r="B5855">
        <v>589461794</v>
      </c>
      <c r="C5855">
        <v>47</v>
      </c>
      <c r="D5855" t="s">
        <v>16854</v>
      </c>
      <c r="E5855">
        <v>5897</v>
      </c>
      <c r="F5855" t="s">
        <v>23479</v>
      </c>
      <c r="G5855">
        <v>1</v>
      </c>
      <c r="H5855" t="s">
        <v>994</v>
      </c>
      <c r="J5855" t="s">
        <v>19043</v>
      </c>
      <c r="K5855" t="s">
        <v>192</v>
      </c>
      <c r="L5855" t="s">
        <v>22</v>
      </c>
      <c r="M5855" t="s">
        <v>19507</v>
      </c>
      <c r="N5855" t="s">
        <v>19517</v>
      </c>
      <c r="O5855" t="s">
        <v>19518</v>
      </c>
      <c r="P5855" s="2" t="s">
        <v>26</v>
      </c>
      <c r="Q5855" t="s">
        <v>50</v>
      </c>
      <c r="R5855">
        <v>53.36</v>
      </c>
      <c r="S5855">
        <v>53.7</v>
      </c>
      <c r="T5855" t="s">
        <v>19519</v>
      </c>
    </row>
    <row r="5856" spans="1:20" x14ac:dyDescent="0.25">
      <c r="A5856" s="1" t="str">
        <f>HYPERLINK("https://vegkart.atlas.vegvesen.no/#/@277114.0,7038757.7,18/hva:hva%5B0%5D%5Bfilter%5D%5B0%5D%5Boperator%5D=%21%3D&amp;hva%5B0%5D%5Bfilter%5D%5B0%5D%5Btype_id%5D=5897&amp;hva%5B0%5D%5Bfilter%5D%5B0%5D%5Bverdi%5D=&amp;hva%5B0%5D%5Bid%5D=47/når:2015-03-23", "Vegkart")</f>
        <v>Vegkart</v>
      </c>
      <c r="B5856">
        <v>589461804</v>
      </c>
      <c r="C5856">
        <v>47</v>
      </c>
      <c r="D5856" t="s">
        <v>16854</v>
      </c>
      <c r="E5856">
        <v>5897</v>
      </c>
      <c r="F5856" t="s">
        <v>23479</v>
      </c>
      <c r="G5856">
        <v>1</v>
      </c>
      <c r="H5856" t="s">
        <v>994</v>
      </c>
      <c r="J5856" t="s">
        <v>19043</v>
      </c>
      <c r="K5856" t="s">
        <v>192</v>
      </c>
      <c r="L5856" t="s">
        <v>22</v>
      </c>
      <c r="M5856" t="s">
        <v>19520</v>
      </c>
      <c r="N5856" t="s">
        <v>19521</v>
      </c>
      <c r="O5856" t="s">
        <v>19522</v>
      </c>
      <c r="P5856" s="2" t="s">
        <v>26</v>
      </c>
      <c r="Q5856" t="s">
        <v>50</v>
      </c>
      <c r="R5856">
        <v>53.05</v>
      </c>
      <c r="S5856">
        <v>53.81</v>
      </c>
      <c r="T5856" t="s">
        <v>19523</v>
      </c>
    </row>
    <row r="5857" spans="1:20" x14ac:dyDescent="0.25">
      <c r="A5857" s="1" t="str">
        <f>HYPERLINK("https://vegkart.atlas.vegvesen.no/#/@277188.2,7038857.7,18/hva:hva%5B0%5D%5Bfilter%5D%5B0%5D%5Boperator%5D=%21%3D&amp;hva%5B0%5D%5Bfilter%5D%5B0%5D%5Btype_id%5D=5897&amp;hva%5B0%5D%5Bfilter%5D%5B0%5D%5Bverdi%5D=&amp;hva%5B0%5D%5Bid%5D=47/når:2015-03-23", "Vegkart")</f>
        <v>Vegkart</v>
      </c>
      <c r="B5857">
        <v>589461807</v>
      </c>
      <c r="C5857">
        <v>47</v>
      </c>
      <c r="D5857" t="s">
        <v>16854</v>
      </c>
      <c r="E5857">
        <v>5897</v>
      </c>
      <c r="F5857" t="s">
        <v>23479</v>
      </c>
      <c r="G5857">
        <v>1</v>
      </c>
      <c r="H5857" t="s">
        <v>994</v>
      </c>
      <c r="J5857" t="s">
        <v>19043</v>
      </c>
      <c r="K5857" t="s">
        <v>192</v>
      </c>
      <c r="L5857" t="s">
        <v>22</v>
      </c>
      <c r="M5857" t="s">
        <v>19520</v>
      </c>
      <c r="N5857" t="s">
        <v>19524</v>
      </c>
      <c r="O5857" t="s">
        <v>19525</v>
      </c>
      <c r="P5857" s="2" t="s">
        <v>26</v>
      </c>
      <c r="Q5857" t="s">
        <v>50</v>
      </c>
      <c r="R5857">
        <v>54.24</v>
      </c>
      <c r="S5857">
        <v>54.51</v>
      </c>
      <c r="T5857" t="s">
        <v>19526</v>
      </c>
    </row>
    <row r="5858" spans="1:20" x14ac:dyDescent="0.25">
      <c r="A5858" s="1" t="str">
        <f>HYPERLINK("https://vegkart.atlas.vegvesen.no/#/@277312.7,7039341.4,18/hva:hva%5B0%5D%5Bfilter%5D%5B0%5D%5Boperator%5D=%21%3D&amp;hva%5B0%5D%5Bfilter%5D%5B0%5D%5Btype_id%5D=5897&amp;hva%5B0%5D%5Bfilter%5D%5B0%5D%5Bverdi%5D=&amp;hva%5B0%5D%5Bid%5D=47/når:2015-03-23", "Vegkart")</f>
        <v>Vegkart</v>
      </c>
      <c r="B5858">
        <v>589461810</v>
      </c>
      <c r="C5858">
        <v>47</v>
      </c>
      <c r="D5858" t="s">
        <v>16854</v>
      </c>
      <c r="E5858">
        <v>5897</v>
      </c>
      <c r="F5858" t="s">
        <v>23479</v>
      </c>
      <c r="G5858">
        <v>1</v>
      </c>
      <c r="H5858" t="s">
        <v>994</v>
      </c>
      <c r="J5858" t="s">
        <v>19043</v>
      </c>
      <c r="K5858" t="s">
        <v>192</v>
      </c>
      <c r="L5858" t="s">
        <v>22</v>
      </c>
      <c r="M5858" t="s">
        <v>19527</v>
      </c>
      <c r="N5858" t="s">
        <v>19528</v>
      </c>
      <c r="O5858" t="s">
        <v>19529</v>
      </c>
      <c r="P5858" s="2" t="s">
        <v>26</v>
      </c>
      <c r="Q5858" t="s">
        <v>50</v>
      </c>
      <c r="R5858">
        <v>45.88</v>
      </c>
      <c r="S5858">
        <v>46.54</v>
      </c>
      <c r="T5858" t="s">
        <v>19530</v>
      </c>
    </row>
    <row r="5859" spans="1:20" x14ac:dyDescent="0.25">
      <c r="A5859" s="1" t="str">
        <f>HYPERLINK("https://vegkart.atlas.vegvesen.no/#/@277307.9,7039330.2,18/hva:hva%5B0%5D%5Bfilter%5D%5B0%5D%5Boperator%5D=%21%3D&amp;hva%5B0%5D%5Bfilter%5D%5B0%5D%5Btype_id%5D=5897&amp;hva%5B0%5D%5Bfilter%5D%5B0%5D%5Bverdi%5D=&amp;hva%5B0%5D%5Bid%5D=47/når:2015-03-23", "Vegkart")</f>
        <v>Vegkart</v>
      </c>
      <c r="B5859">
        <v>589461813</v>
      </c>
      <c r="C5859">
        <v>47</v>
      </c>
      <c r="D5859" t="s">
        <v>16854</v>
      </c>
      <c r="E5859">
        <v>5897</v>
      </c>
      <c r="F5859" t="s">
        <v>23479</v>
      </c>
      <c r="G5859">
        <v>1</v>
      </c>
      <c r="H5859" t="s">
        <v>994</v>
      </c>
      <c r="J5859" t="s">
        <v>19043</v>
      </c>
      <c r="K5859" t="s">
        <v>192</v>
      </c>
      <c r="L5859" t="s">
        <v>22</v>
      </c>
      <c r="M5859" t="s">
        <v>19527</v>
      </c>
      <c r="N5859" t="s">
        <v>19531</v>
      </c>
      <c r="O5859" t="s">
        <v>19532</v>
      </c>
      <c r="P5859" s="2" t="s">
        <v>26</v>
      </c>
      <c r="Q5859" t="s">
        <v>50</v>
      </c>
      <c r="R5859">
        <v>60.99</v>
      </c>
      <c r="S5859">
        <v>61.41</v>
      </c>
      <c r="T5859" t="s">
        <v>19533</v>
      </c>
    </row>
    <row r="5860" spans="1:20" x14ac:dyDescent="0.25">
      <c r="A5860" s="1" t="str">
        <f>HYPERLINK("https://vegkart.atlas.vegvesen.no/#/@276914.4,7039492.0,18/hva:hva%5B0%5D%5Bfilter%5D%5B0%5D%5Boperator%5D=%21%3D&amp;hva%5B0%5D%5Bfilter%5D%5B0%5D%5Btype_id%5D=5897&amp;hva%5B0%5D%5Bfilter%5D%5B0%5D%5Bverdi%5D=&amp;hva%5B0%5D%5Bid%5D=47/når:2015-03-23", "Vegkart")</f>
        <v>Vegkart</v>
      </c>
      <c r="B5860">
        <v>589461823</v>
      </c>
      <c r="C5860">
        <v>47</v>
      </c>
      <c r="D5860" t="s">
        <v>16854</v>
      </c>
      <c r="E5860">
        <v>5897</v>
      </c>
      <c r="F5860" t="s">
        <v>23479</v>
      </c>
      <c r="G5860">
        <v>1</v>
      </c>
      <c r="H5860" t="s">
        <v>994</v>
      </c>
      <c r="J5860" t="s">
        <v>19043</v>
      </c>
      <c r="K5860" t="s">
        <v>192</v>
      </c>
      <c r="L5860" t="s">
        <v>22</v>
      </c>
      <c r="M5860" t="s">
        <v>19527</v>
      </c>
      <c r="N5860" t="s">
        <v>19534</v>
      </c>
      <c r="O5860" t="s">
        <v>19535</v>
      </c>
      <c r="P5860" s="2" t="s">
        <v>26</v>
      </c>
      <c r="Q5860" t="s">
        <v>50</v>
      </c>
      <c r="R5860">
        <v>55.1</v>
      </c>
      <c r="S5860">
        <v>56.01</v>
      </c>
      <c r="T5860" t="s">
        <v>19536</v>
      </c>
    </row>
    <row r="5861" spans="1:20" x14ac:dyDescent="0.25">
      <c r="A5861" s="1" t="str">
        <f>HYPERLINK("https://vegkart.atlas.vegvesen.no/#/@276965.1,7039568.0,18/hva:hva%5B0%5D%5Bfilter%5D%5B0%5D%5Boperator%5D=%21%3D&amp;hva%5B0%5D%5Bfilter%5D%5B0%5D%5Btype_id%5D=5897&amp;hva%5B0%5D%5Bfilter%5D%5B0%5D%5Bverdi%5D=&amp;hva%5B0%5D%5Bid%5D=47/når:2015-03-23", "Vegkart")</f>
        <v>Vegkart</v>
      </c>
      <c r="B5861">
        <v>589469432</v>
      </c>
      <c r="C5861">
        <v>47</v>
      </c>
      <c r="D5861" t="s">
        <v>16854</v>
      </c>
      <c r="E5861">
        <v>5897</v>
      </c>
      <c r="F5861" t="s">
        <v>23479</v>
      </c>
      <c r="G5861">
        <v>1</v>
      </c>
      <c r="H5861" t="s">
        <v>994</v>
      </c>
      <c r="J5861" t="s">
        <v>19043</v>
      </c>
      <c r="K5861" t="s">
        <v>192</v>
      </c>
      <c r="L5861" t="s">
        <v>22</v>
      </c>
      <c r="M5861" t="s">
        <v>19537</v>
      </c>
      <c r="N5861" t="s">
        <v>19538</v>
      </c>
      <c r="O5861" t="s">
        <v>19539</v>
      </c>
      <c r="P5861" s="2" t="s">
        <v>26</v>
      </c>
      <c r="Q5861" t="s">
        <v>50</v>
      </c>
      <c r="R5861">
        <v>39.950000000000003</v>
      </c>
      <c r="S5861">
        <v>40.33</v>
      </c>
      <c r="T5861" t="s">
        <v>19540</v>
      </c>
    </row>
    <row r="5862" spans="1:20" x14ac:dyDescent="0.25">
      <c r="A5862" s="1" t="str">
        <f>HYPERLINK("https://vegkart.atlas.vegvesen.no/#/@277134.6,7039837.8,18/hva:hva%5B0%5D%5Bfilter%5D%5B0%5D%5Boperator%5D=%21%3D&amp;hva%5B0%5D%5Bfilter%5D%5B0%5D%5Btype_id%5D=5897&amp;hva%5B0%5D%5Bfilter%5D%5B0%5D%5Bverdi%5D=&amp;hva%5B0%5D%5Bid%5D=47/når:2015-03-23", "Vegkart")</f>
        <v>Vegkart</v>
      </c>
      <c r="B5862">
        <v>589469440</v>
      </c>
      <c r="C5862">
        <v>47</v>
      </c>
      <c r="D5862" t="s">
        <v>16854</v>
      </c>
      <c r="E5862">
        <v>5897</v>
      </c>
      <c r="F5862" t="s">
        <v>23479</v>
      </c>
      <c r="G5862">
        <v>1</v>
      </c>
      <c r="H5862" t="s">
        <v>994</v>
      </c>
      <c r="J5862" t="s">
        <v>19043</v>
      </c>
      <c r="K5862" t="s">
        <v>192</v>
      </c>
      <c r="L5862" t="s">
        <v>22</v>
      </c>
      <c r="M5862" t="s">
        <v>19537</v>
      </c>
      <c r="N5862" t="s">
        <v>19541</v>
      </c>
      <c r="O5862" t="s">
        <v>19542</v>
      </c>
      <c r="P5862" s="2" t="s">
        <v>26</v>
      </c>
      <c r="Q5862" t="s">
        <v>50</v>
      </c>
      <c r="R5862">
        <v>51.21</v>
      </c>
      <c r="S5862">
        <v>51.77</v>
      </c>
      <c r="T5862" t="s">
        <v>19543</v>
      </c>
    </row>
    <row r="5863" spans="1:20" x14ac:dyDescent="0.25">
      <c r="A5863" s="1" t="str">
        <f>HYPERLINK("https://vegkart.atlas.vegvesen.no/#/@277146.6,7039846.6,18/hva:hva%5B0%5D%5Bfilter%5D%5B0%5D%5Boperator%5D=%21%3D&amp;hva%5B0%5D%5Bfilter%5D%5B0%5D%5Btype_id%5D=5897&amp;hva%5B0%5D%5Bfilter%5D%5B0%5D%5Bverdi%5D=&amp;hva%5B0%5D%5Bid%5D=47/når:2015-03-23", "Vegkart")</f>
        <v>Vegkart</v>
      </c>
      <c r="B5863">
        <v>589469445</v>
      </c>
      <c r="C5863">
        <v>47</v>
      </c>
      <c r="D5863" t="s">
        <v>16854</v>
      </c>
      <c r="E5863">
        <v>5897</v>
      </c>
      <c r="F5863" t="s">
        <v>23479</v>
      </c>
      <c r="G5863">
        <v>1</v>
      </c>
      <c r="H5863" t="s">
        <v>994</v>
      </c>
      <c r="J5863" t="s">
        <v>19043</v>
      </c>
      <c r="K5863" t="s">
        <v>192</v>
      </c>
      <c r="L5863" t="s">
        <v>22</v>
      </c>
      <c r="M5863" t="s">
        <v>19537</v>
      </c>
      <c r="N5863" t="s">
        <v>19544</v>
      </c>
      <c r="O5863" t="s">
        <v>19545</v>
      </c>
      <c r="P5863" s="2" t="s">
        <v>26</v>
      </c>
      <c r="Q5863" t="s">
        <v>50</v>
      </c>
      <c r="R5863">
        <v>41.13</v>
      </c>
      <c r="S5863">
        <v>41.66</v>
      </c>
      <c r="T5863" t="s">
        <v>19546</v>
      </c>
    </row>
    <row r="5864" spans="1:20" x14ac:dyDescent="0.25">
      <c r="A5864" s="1" t="str">
        <f>HYPERLINK("https://vegkart.atlas.vegvesen.no/#/@277233.5,7039680.2,18/hva:hva%5B0%5D%5Bfilter%5D%5B0%5D%5Boperator%5D=%21%3D&amp;hva%5B0%5D%5Bfilter%5D%5B0%5D%5Btype_id%5D=5897&amp;hva%5B0%5D%5Bfilter%5D%5B0%5D%5Bverdi%5D=&amp;hva%5B0%5D%5Bid%5D=47/når:2015-03-23", "Vegkart")</f>
        <v>Vegkart</v>
      </c>
      <c r="B5864">
        <v>589469448</v>
      </c>
      <c r="C5864">
        <v>47</v>
      </c>
      <c r="D5864" t="s">
        <v>16854</v>
      </c>
      <c r="E5864">
        <v>5897</v>
      </c>
      <c r="F5864" t="s">
        <v>23479</v>
      </c>
      <c r="G5864">
        <v>1</v>
      </c>
      <c r="H5864" t="s">
        <v>994</v>
      </c>
      <c r="J5864" t="s">
        <v>19043</v>
      </c>
      <c r="K5864" t="s">
        <v>192</v>
      </c>
      <c r="L5864" t="s">
        <v>22</v>
      </c>
      <c r="M5864" t="s">
        <v>19537</v>
      </c>
      <c r="N5864" t="s">
        <v>19547</v>
      </c>
      <c r="O5864" t="s">
        <v>19548</v>
      </c>
      <c r="P5864" s="2" t="s">
        <v>26</v>
      </c>
      <c r="Q5864" t="s">
        <v>50</v>
      </c>
      <c r="R5864">
        <v>44.66</v>
      </c>
      <c r="S5864">
        <v>45.3</v>
      </c>
      <c r="T5864" t="s">
        <v>19549</v>
      </c>
    </row>
    <row r="5865" spans="1:20" x14ac:dyDescent="0.25">
      <c r="A5865" s="1" t="str">
        <f>HYPERLINK("https://vegkart.atlas.vegvesen.no/#/@277259.2,7039603.3,18/hva:hva%5B0%5D%5Bfilter%5D%5B0%5D%5Boperator%5D=%21%3D&amp;hva%5B0%5D%5Bfilter%5D%5B0%5D%5Btype_id%5D=5897&amp;hva%5B0%5D%5Bfilter%5D%5B0%5D%5Bverdi%5D=&amp;hva%5B0%5D%5Bid%5D=47/når:2015-03-23", "Vegkart")</f>
        <v>Vegkart</v>
      </c>
      <c r="B5865">
        <v>589469453</v>
      </c>
      <c r="C5865">
        <v>47</v>
      </c>
      <c r="D5865" t="s">
        <v>16854</v>
      </c>
      <c r="E5865">
        <v>5897</v>
      </c>
      <c r="F5865" t="s">
        <v>23479</v>
      </c>
      <c r="G5865">
        <v>1</v>
      </c>
      <c r="H5865" t="s">
        <v>994</v>
      </c>
      <c r="J5865" t="s">
        <v>19043</v>
      </c>
      <c r="K5865" t="s">
        <v>192</v>
      </c>
      <c r="L5865" t="s">
        <v>22</v>
      </c>
      <c r="M5865" t="s">
        <v>19537</v>
      </c>
      <c r="N5865" t="s">
        <v>19550</v>
      </c>
      <c r="O5865" t="s">
        <v>19551</v>
      </c>
      <c r="P5865" s="2" t="s">
        <v>26</v>
      </c>
      <c r="Q5865" t="s">
        <v>50</v>
      </c>
      <c r="R5865">
        <v>43.44</v>
      </c>
      <c r="S5865">
        <v>44.24</v>
      </c>
      <c r="T5865" t="s">
        <v>19552</v>
      </c>
    </row>
    <row r="5866" spans="1:20" x14ac:dyDescent="0.25">
      <c r="A5866" s="1" t="str">
        <f>HYPERLINK("https://vegkart.atlas.vegvesen.no/#/@277437.1,7039861.1,18/hva:hva%5B0%5D%5Bfilter%5D%5B0%5D%5Boperator%5D=%21%3D&amp;hva%5B0%5D%5Bfilter%5D%5B0%5D%5Btype_id%5D=5897&amp;hva%5B0%5D%5Bfilter%5D%5B0%5D%5Bverdi%5D=&amp;hva%5B0%5D%5Bid%5D=47/når:2015-03-23", "Vegkart")</f>
        <v>Vegkart</v>
      </c>
      <c r="B5866">
        <v>589469456</v>
      </c>
      <c r="C5866">
        <v>47</v>
      </c>
      <c r="D5866" t="s">
        <v>16854</v>
      </c>
      <c r="E5866">
        <v>5897</v>
      </c>
      <c r="F5866" t="s">
        <v>23479</v>
      </c>
      <c r="G5866">
        <v>1</v>
      </c>
      <c r="H5866" t="s">
        <v>994</v>
      </c>
      <c r="J5866" t="s">
        <v>19043</v>
      </c>
      <c r="K5866" t="s">
        <v>192</v>
      </c>
      <c r="L5866" t="s">
        <v>22</v>
      </c>
      <c r="M5866" t="s">
        <v>19520</v>
      </c>
      <c r="N5866" t="s">
        <v>19553</v>
      </c>
      <c r="O5866" t="s">
        <v>19554</v>
      </c>
      <c r="P5866" s="2" t="s">
        <v>26</v>
      </c>
      <c r="Q5866" t="s">
        <v>50</v>
      </c>
      <c r="R5866">
        <v>51.74</v>
      </c>
      <c r="S5866">
        <v>51.93</v>
      </c>
      <c r="T5866" t="s">
        <v>19555</v>
      </c>
    </row>
    <row r="5867" spans="1:20" x14ac:dyDescent="0.25">
      <c r="A5867" s="1" t="str">
        <f>HYPERLINK("https://vegkart.atlas.vegvesen.no/#/@277446.8,7039881.3,18/hva:hva%5B0%5D%5Bfilter%5D%5B0%5D%5Boperator%5D=%21%3D&amp;hva%5B0%5D%5Bfilter%5D%5B0%5D%5Btype_id%5D=5897&amp;hva%5B0%5D%5Bfilter%5D%5B0%5D%5Bverdi%5D=&amp;hva%5B0%5D%5Bid%5D=47/når:2015-03-23", "Vegkart")</f>
        <v>Vegkart</v>
      </c>
      <c r="B5867">
        <v>589469459</v>
      </c>
      <c r="C5867">
        <v>47</v>
      </c>
      <c r="D5867" t="s">
        <v>16854</v>
      </c>
      <c r="E5867">
        <v>5897</v>
      </c>
      <c r="F5867" t="s">
        <v>23479</v>
      </c>
      <c r="G5867">
        <v>1</v>
      </c>
      <c r="H5867" t="s">
        <v>994</v>
      </c>
      <c r="J5867" t="s">
        <v>19043</v>
      </c>
      <c r="K5867" t="s">
        <v>192</v>
      </c>
      <c r="L5867" t="s">
        <v>22</v>
      </c>
      <c r="M5867" t="s">
        <v>19520</v>
      </c>
      <c r="N5867" t="s">
        <v>19556</v>
      </c>
      <c r="O5867" t="s">
        <v>19557</v>
      </c>
      <c r="P5867" s="2" t="s">
        <v>26</v>
      </c>
      <c r="Q5867" t="s">
        <v>50</v>
      </c>
      <c r="R5867">
        <v>56.34</v>
      </c>
      <c r="S5867">
        <v>56.75</v>
      </c>
      <c r="T5867" t="s">
        <v>19558</v>
      </c>
    </row>
    <row r="5868" spans="1:20" x14ac:dyDescent="0.25">
      <c r="A5868" s="1" t="str">
        <f>HYPERLINK("https://vegkart.atlas.vegvesen.no/#/@277648.9,7040497.6,18/hva:hva%5B0%5D%5Bfilter%5D%5B0%5D%5Boperator%5D=%21%3D&amp;hva%5B0%5D%5Bfilter%5D%5B0%5D%5Btype_id%5D=5897&amp;hva%5B0%5D%5Bfilter%5D%5B0%5D%5Bverdi%5D=&amp;hva%5B0%5D%5Bid%5D=47/når:2015-03-24", "Vegkart")</f>
        <v>Vegkart</v>
      </c>
      <c r="B5868">
        <v>589526946</v>
      </c>
      <c r="C5868">
        <v>47</v>
      </c>
      <c r="D5868" t="s">
        <v>16854</v>
      </c>
      <c r="E5868">
        <v>5897</v>
      </c>
      <c r="F5868" t="s">
        <v>23479</v>
      </c>
      <c r="G5868">
        <v>1</v>
      </c>
      <c r="H5868" t="s">
        <v>5923</v>
      </c>
      <c r="J5868" t="s">
        <v>19043</v>
      </c>
      <c r="K5868" t="s">
        <v>192</v>
      </c>
      <c r="L5868" t="s">
        <v>22</v>
      </c>
      <c r="M5868" t="s">
        <v>19520</v>
      </c>
      <c r="N5868" t="s">
        <v>19559</v>
      </c>
      <c r="O5868" t="s">
        <v>19560</v>
      </c>
      <c r="P5868" s="2" t="s">
        <v>26</v>
      </c>
      <c r="Q5868" t="s">
        <v>50</v>
      </c>
      <c r="R5868">
        <v>34.4</v>
      </c>
      <c r="S5868">
        <v>34.53</v>
      </c>
      <c r="T5868" t="s">
        <v>19561</v>
      </c>
    </row>
    <row r="5869" spans="1:20" x14ac:dyDescent="0.25">
      <c r="A5869" s="1" t="str">
        <f>HYPERLINK("https://vegkart.atlas.vegvesen.no/#/@277657.5,7040515.6,18/hva:hva%5B0%5D%5Bfilter%5D%5B0%5D%5Boperator%5D=%21%3D&amp;hva%5B0%5D%5Bfilter%5D%5B0%5D%5Btype_id%5D=5897&amp;hva%5B0%5D%5Bfilter%5D%5B0%5D%5Bverdi%5D=&amp;hva%5B0%5D%5Bid%5D=47/når:2015-03-24", "Vegkart")</f>
        <v>Vegkart</v>
      </c>
      <c r="B5869">
        <v>589526951</v>
      </c>
      <c r="C5869">
        <v>47</v>
      </c>
      <c r="D5869" t="s">
        <v>16854</v>
      </c>
      <c r="E5869">
        <v>5897</v>
      </c>
      <c r="F5869" t="s">
        <v>23479</v>
      </c>
      <c r="G5869">
        <v>1</v>
      </c>
      <c r="H5869" t="s">
        <v>5923</v>
      </c>
      <c r="J5869" t="s">
        <v>19043</v>
      </c>
      <c r="K5869" t="s">
        <v>192</v>
      </c>
      <c r="L5869" t="s">
        <v>22</v>
      </c>
      <c r="M5869" t="s">
        <v>19520</v>
      </c>
      <c r="N5869" t="s">
        <v>19562</v>
      </c>
      <c r="O5869" t="s">
        <v>19563</v>
      </c>
      <c r="P5869" s="2" t="s">
        <v>26</v>
      </c>
      <c r="Q5869" t="s">
        <v>50</v>
      </c>
      <c r="R5869">
        <v>35.72</v>
      </c>
      <c r="S5869">
        <v>35.89</v>
      </c>
      <c r="T5869" t="s">
        <v>19564</v>
      </c>
    </row>
    <row r="5870" spans="1:20" x14ac:dyDescent="0.25">
      <c r="A5870" s="1" t="str">
        <f>HYPERLINK("https://vegkart.atlas.vegvesen.no/#/@274996.7,7039343.0,18/hva:hva%5B0%5D%5Bfilter%5D%5B0%5D%5Boperator%5D=%21%3D&amp;hva%5B0%5D%5Bfilter%5D%5B0%5D%5Btype_id%5D=5897&amp;hva%5B0%5D%5Bfilter%5D%5B0%5D%5Bverdi%5D=&amp;hva%5B0%5D%5Bid%5D=47/når:2015-03-24", "Vegkart")</f>
        <v>Vegkart</v>
      </c>
      <c r="B5870">
        <v>589526960</v>
      </c>
      <c r="C5870">
        <v>47</v>
      </c>
      <c r="D5870" t="s">
        <v>16854</v>
      </c>
      <c r="E5870">
        <v>5897</v>
      </c>
      <c r="F5870" t="s">
        <v>23479</v>
      </c>
      <c r="G5870">
        <v>1</v>
      </c>
      <c r="H5870" t="s">
        <v>5923</v>
      </c>
      <c r="J5870" t="s">
        <v>19043</v>
      </c>
      <c r="K5870" t="s">
        <v>192</v>
      </c>
      <c r="L5870" t="s">
        <v>22</v>
      </c>
      <c r="M5870" t="s">
        <v>12607</v>
      </c>
      <c r="N5870" t="s">
        <v>19565</v>
      </c>
      <c r="O5870" t="s">
        <v>19566</v>
      </c>
      <c r="P5870" s="2" t="s">
        <v>26</v>
      </c>
      <c r="Q5870" t="s">
        <v>50</v>
      </c>
      <c r="R5870">
        <v>53.4</v>
      </c>
      <c r="S5870">
        <v>54.02</v>
      </c>
      <c r="T5870" t="s">
        <v>19567</v>
      </c>
    </row>
    <row r="5871" spans="1:20" x14ac:dyDescent="0.25">
      <c r="A5871" s="1" t="str">
        <f>HYPERLINK("https://vegkart.atlas.vegvesen.no/#/@275044.5,7039425.8,18/hva:hva%5B0%5D%5Bfilter%5D%5B0%5D%5Boperator%5D=%21%3D&amp;hva%5B0%5D%5Bfilter%5D%5B0%5D%5Btype_id%5D=5897&amp;hva%5B0%5D%5Bfilter%5D%5B0%5D%5Bverdi%5D=&amp;hva%5B0%5D%5Bid%5D=47/når:2015-03-24", "Vegkart")</f>
        <v>Vegkart</v>
      </c>
      <c r="B5871">
        <v>589526965</v>
      </c>
      <c r="C5871">
        <v>47</v>
      </c>
      <c r="D5871" t="s">
        <v>16854</v>
      </c>
      <c r="E5871">
        <v>5897</v>
      </c>
      <c r="F5871" t="s">
        <v>23479</v>
      </c>
      <c r="G5871">
        <v>1</v>
      </c>
      <c r="H5871" t="s">
        <v>5923</v>
      </c>
      <c r="J5871" t="s">
        <v>19043</v>
      </c>
      <c r="K5871" t="s">
        <v>192</v>
      </c>
      <c r="L5871" t="s">
        <v>22</v>
      </c>
      <c r="M5871" t="s">
        <v>19568</v>
      </c>
      <c r="N5871" t="s">
        <v>19569</v>
      </c>
      <c r="O5871" t="s">
        <v>19570</v>
      </c>
      <c r="P5871" s="2" t="s">
        <v>26</v>
      </c>
      <c r="Q5871" t="s">
        <v>50</v>
      </c>
      <c r="R5871">
        <v>38.42</v>
      </c>
      <c r="S5871">
        <v>38.99</v>
      </c>
      <c r="T5871" t="s">
        <v>19571</v>
      </c>
    </row>
    <row r="5872" spans="1:20" x14ac:dyDescent="0.25">
      <c r="A5872" s="1" t="str">
        <f>HYPERLINK("https://vegkart.atlas.vegvesen.no/#/@274729.7,7040313.5,18/hva:hva%5B0%5D%5Bfilter%5D%5B0%5D%5Boperator%5D=%21%3D&amp;hva%5B0%5D%5Bfilter%5D%5B0%5D%5Btype_id%5D=5897&amp;hva%5B0%5D%5Bfilter%5D%5B0%5D%5Bverdi%5D=&amp;hva%5B0%5D%5Bid%5D=47/når:2015-03-24", "Vegkart")</f>
        <v>Vegkart</v>
      </c>
      <c r="B5872">
        <v>589526991</v>
      </c>
      <c r="C5872">
        <v>47</v>
      </c>
      <c r="D5872" t="s">
        <v>16854</v>
      </c>
      <c r="E5872">
        <v>5897</v>
      </c>
      <c r="F5872" t="s">
        <v>23479</v>
      </c>
      <c r="G5872">
        <v>1</v>
      </c>
      <c r="H5872" t="s">
        <v>5923</v>
      </c>
      <c r="J5872" t="s">
        <v>19043</v>
      </c>
      <c r="K5872" t="s">
        <v>192</v>
      </c>
      <c r="L5872" t="s">
        <v>22</v>
      </c>
      <c r="M5872" t="s">
        <v>19572</v>
      </c>
      <c r="N5872" t="s">
        <v>19573</v>
      </c>
      <c r="O5872" t="s">
        <v>19574</v>
      </c>
      <c r="P5872" s="2" t="s">
        <v>26</v>
      </c>
      <c r="Q5872" t="s">
        <v>50</v>
      </c>
      <c r="R5872">
        <v>121.42</v>
      </c>
      <c r="S5872">
        <v>121.84</v>
      </c>
      <c r="T5872" t="s">
        <v>19575</v>
      </c>
    </row>
    <row r="5873" spans="1:20" x14ac:dyDescent="0.25">
      <c r="A5873" s="1" t="str">
        <f>HYPERLINK("https://vegkart.atlas.vegvesen.no/#/@274720.9,7040278.5,18/hva:hva%5B0%5D%5Bfilter%5D%5B0%5D%5Boperator%5D=%21%3D&amp;hva%5B0%5D%5Bfilter%5D%5B0%5D%5Btype_id%5D=5897&amp;hva%5B0%5D%5Bfilter%5D%5B0%5D%5Bverdi%5D=&amp;hva%5B0%5D%5Bid%5D=47/når:2015-03-24", "Vegkart")</f>
        <v>Vegkart</v>
      </c>
      <c r="B5873">
        <v>589526996</v>
      </c>
      <c r="C5873">
        <v>47</v>
      </c>
      <c r="D5873" t="s">
        <v>16854</v>
      </c>
      <c r="E5873">
        <v>5897</v>
      </c>
      <c r="F5873" t="s">
        <v>23479</v>
      </c>
      <c r="G5873">
        <v>1</v>
      </c>
      <c r="H5873" t="s">
        <v>5923</v>
      </c>
      <c r="J5873" t="s">
        <v>19043</v>
      </c>
      <c r="K5873" t="s">
        <v>192</v>
      </c>
      <c r="L5873" t="s">
        <v>22</v>
      </c>
      <c r="M5873" t="s">
        <v>19572</v>
      </c>
      <c r="N5873" t="s">
        <v>19576</v>
      </c>
      <c r="O5873" t="s">
        <v>19577</v>
      </c>
      <c r="P5873" s="2" t="s">
        <v>26</v>
      </c>
      <c r="Q5873" t="s">
        <v>50</v>
      </c>
      <c r="R5873">
        <v>53.04</v>
      </c>
      <c r="S5873">
        <v>53.41</v>
      </c>
      <c r="T5873" t="s">
        <v>19578</v>
      </c>
    </row>
    <row r="5874" spans="1:20" x14ac:dyDescent="0.25">
      <c r="A5874" s="1" t="str">
        <f>HYPERLINK("https://vegkart.atlas.vegvesen.no/#/@274745.0,7040872.6,18/hva:hva%5B0%5D%5Bfilter%5D%5B0%5D%5Boperator%5D=%21%3D&amp;hva%5B0%5D%5Bfilter%5D%5B0%5D%5Btype_id%5D=5897&amp;hva%5B0%5D%5Bfilter%5D%5B0%5D%5Bverdi%5D=&amp;hva%5B0%5D%5Bid%5D=47/når:2015-03-24", "Vegkart")</f>
        <v>Vegkart</v>
      </c>
      <c r="B5874">
        <v>589527013</v>
      </c>
      <c r="C5874">
        <v>47</v>
      </c>
      <c r="D5874" t="s">
        <v>16854</v>
      </c>
      <c r="E5874">
        <v>5897</v>
      </c>
      <c r="F5874" t="s">
        <v>23479</v>
      </c>
      <c r="G5874">
        <v>1</v>
      </c>
      <c r="H5874" t="s">
        <v>5923</v>
      </c>
      <c r="J5874" t="s">
        <v>19043</v>
      </c>
      <c r="K5874" t="s">
        <v>192</v>
      </c>
      <c r="L5874" t="s">
        <v>22</v>
      </c>
      <c r="M5874" t="s">
        <v>4493</v>
      </c>
      <c r="N5874" t="s">
        <v>19579</v>
      </c>
      <c r="O5874" t="s">
        <v>19580</v>
      </c>
      <c r="P5874" s="2" t="s">
        <v>26</v>
      </c>
      <c r="Q5874" t="s">
        <v>50</v>
      </c>
      <c r="R5874">
        <v>58.32</v>
      </c>
      <c r="S5874">
        <v>59.07</v>
      </c>
      <c r="T5874" t="s">
        <v>19581</v>
      </c>
    </row>
    <row r="5875" spans="1:20" x14ac:dyDescent="0.25">
      <c r="A5875" s="1" t="str">
        <f>HYPERLINK("https://vegkart.atlas.vegvesen.no/#/@278103.3,7041060.4,18/hva:hva%5B0%5D%5Bfilter%5D%5B0%5D%5Boperator%5D=%21%3D&amp;hva%5B0%5D%5Bfilter%5D%5B0%5D%5Btype_id%5D=5897&amp;hva%5B0%5D%5Bfilter%5D%5B0%5D%5Bverdi%5D=&amp;hva%5B0%5D%5Bid%5D=47/når:2015-03-24", "Vegkart")</f>
        <v>Vegkart</v>
      </c>
      <c r="B5875">
        <v>589527041</v>
      </c>
      <c r="C5875">
        <v>47</v>
      </c>
      <c r="D5875" t="s">
        <v>16854</v>
      </c>
      <c r="E5875">
        <v>5897</v>
      </c>
      <c r="F5875" t="s">
        <v>23479</v>
      </c>
      <c r="G5875">
        <v>1</v>
      </c>
      <c r="H5875" t="s">
        <v>5923</v>
      </c>
      <c r="J5875" t="s">
        <v>19043</v>
      </c>
      <c r="K5875" t="s">
        <v>192</v>
      </c>
      <c r="L5875" t="s">
        <v>22</v>
      </c>
      <c r="M5875" t="s">
        <v>18886</v>
      </c>
      <c r="N5875" t="s">
        <v>19582</v>
      </c>
      <c r="O5875" t="s">
        <v>19583</v>
      </c>
      <c r="P5875" s="2" t="s">
        <v>26</v>
      </c>
      <c r="Q5875" t="s">
        <v>50</v>
      </c>
      <c r="R5875">
        <v>39.270000000000003</v>
      </c>
      <c r="S5875">
        <v>39.83</v>
      </c>
      <c r="T5875" t="s">
        <v>19584</v>
      </c>
    </row>
    <row r="5876" spans="1:20" x14ac:dyDescent="0.25">
      <c r="A5876" s="1" t="str">
        <f>HYPERLINK("https://vegkart.atlas.vegvesen.no/#/@278098.2,7041051.4,18/hva:hva%5B0%5D%5Bfilter%5D%5B0%5D%5Boperator%5D=%21%3D&amp;hva%5B0%5D%5Bfilter%5D%5B0%5D%5Btype_id%5D=5897&amp;hva%5B0%5D%5Bfilter%5D%5B0%5D%5Bverdi%5D=&amp;hva%5B0%5D%5Bid%5D=47/når:2015-03-24", "Vegkart")</f>
        <v>Vegkart</v>
      </c>
      <c r="B5876">
        <v>589527046</v>
      </c>
      <c r="C5876">
        <v>47</v>
      </c>
      <c r="D5876" t="s">
        <v>16854</v>
      </c>
      <c r="E5876">
        <v>5897</v>
      </c>
      <c r="F5876" t="s">
        <v>23479</v>
      </c>
      <c r="G5876">
        <v>1</v>
      </c>
      <c r="H5876" t="s">
        <v>5923</v>
      </c>
      <c r="J5876" t="s">
        <v>19043</v>
      </c>
      <c r="K5876" t="s">
        <v>192</v>
      </c>
      <c r="L5876" t="s">
        <v>22</v>
      </c>
      <c r="M5876" t="s">
        <v>18886</v>
      </c>
      <c r="N5876" t="s">
        <v>19585</v>
      </c>
      <c r="O5876" t="s">
        <v>19586</v>
      </c>
      <c r="P5876" s="2" t="s">
        <v>26</v>
      </c>
      <c r="Q5876" t="s">
        <v>50</v>
      </c>
      <c r="R5876">
        <v>36.950000000000003</v>
      </c>
      <c r="S5876">
        <v>37.71</v>
      </c>
      <c r="T5876" t="s">
        <v>19587</v>
      </c>
    </row>
    <row r="5877" spans="1:20" x14ac:dyDescent="0.25">
      <c r="A5877" s="1" t="str">
        <f>HYPERLINK("https://vegkart.atlas.vegvesen.no/#/@277707.7,7041182.5,18/hva:hva%5B0%5D%5Bfilter%5D%5B0%5D%5Boperator%5D=%21%3D&amp;hva%5B0%5D%5Bfilter%5D%5B0%5D%5Btype_id%5D=5897&amp;hva%5B0%5D%5Bfilter%5D%5B0%5D%5Bverdi%5D=&amp;hva%5B0%5D%5Bid%5D=47/når:2015-03-24", "Vegkart")</f>
        <v>Vegkart</v>
      </c>
      <c r="B5877">
        <v>589527049</v>
      </c>
      <c r="C5877">
        <v>47</v>
      </c>
      <c r="D5877" t="s">
        <v>16854</v>
      </c>
      <c r="E5877">
        <v>5897</v>
      </c>
      <c r="F5877" t="s">
        <v>23479</v>
      </c>
      <c r="G5877">
        <v>1</v>
      </c>
      <c r="H5877" t="s">
        <v>5923</v>
      </c>
      <c r="J5877" t="s">
        <v>19043</v>
      </c>
      <c r="K5877" t="s">
        <v>192</v>
      </c>
      <c r="L5877" t="s">
        <v>22</v>
      </c>
      <c r="M5877" t="s">
        <v>18886</v>
      </c>
      <c r="N5877" t="s">
        <v>19588</v>
      </c>
      <c r="O5877" t="s">
        <v>19589</v>
      </c>
      <c r="P5877" s="2" t="s">
        <v>26</v>
      </c>
      <c r="Q5877" t="s">
        <v>50</v>
      </c>
      <c r="R5877">
        <v>27.34</v>
      </c>
      <c r="S5877">
        <v>27.76</v>
      </c>
      <c r="T5877" t="s">
        <v>19590</v>
      </c>
    </row>
    <row r="5878" spans="1:20" x14ac:dyDescent="0.25">
      <c r="A5878" s="1" t="str">
        <f>HYPERLINK("https://vegkart.atlas.vegvesen.no/#/@277344.4,7041124.9,18/hva:hva%5B0%5D%5Bfilter%5D%5B0%5D%5Boperator%5D=%21%3D&amp;hva%5B0%5D%5Bfilter%5D%5B0%5D%5Btype_id%5D=5897&amp;hva%5B0%5D%5Bfilter%5D%5B0%5D%5Bverdi%5D=&amp;hva%5B0%5D%5Bid%5D=47/når:2015-03-24", "Vegkart")</f>
        <v>Vegkart</v>
      </c>
      <c r="B5878">
        <v>589527056</v>
      </c>
      <c r="C5878">
        <v>47</v>
      </c>
      <c r="D5878" t="s">
        <v>16854</v>
      </c>
      <c r="E5878">
        <v>5897</v>
      </c>
      <c r="F5878" t="s">
        <v>23479</v>
      </c>
      <c r="G5878">
        <v>1</v>
      </c>
      <c r="H5878" t="s">
        <v>5923</v>
      </c>
      <c r="J5878" t="s">
        <v>19043</v>
      </c>
      <c r="K5878" t="s">
        <v>192</v>
      </c>
      <c r="L5878" t="s">
        <v>22</v>
      </c>
      <c r="M5878" t="s">
        <v>19591</v>
      </c>
      <c r="N5878" t="s">
        <v>19592</v>
      </c>
      <c r="O5878" t="s">
        <v>19593</v>
      </c>
      <c r="P5878" s="2" t="s">
        <v>26</v>
      </c>
      <c r="Q5878" t="s">
        <v>50</v>
      </c>
      <c r="R5878">
        <v>59.59</v>
      </c>
      <c r="S5878">
        <v>60.07</v>
      </c>
      <c r="T5878" t="s">
        <v>19594</v>
      </c>
    </row>
    <row r="5879" spans="1:20" x14ac:dyDescent="0.25">
      <c r="A5879" s="1" t="str">
        <f>HYPERLINK("https://vegkart.atlas.vegvesen.no/#/@277166.2,7041034.6,18/hva:hva%5B0%5D%5Bfilter%5D%5B0%5D%5Boperator%5D=%21%3D&amp;hva%5B0%5D%5Bfilter%5D%5B0%5D%5Btype_id%5D=5897&amp;hva%5B0%5D%5Bfilter%5D%5B0%5D%5Bverdi%5D=&amp;hva%5B0%5D%5Bid%5D=47/når:2015-03-24", "Vegkart")</f>
        <v>Vegkart</v>
      </c>
      <c r="B5879">
        <v>589527058</v>
      </c>
      <c r="C5879">
        <v>47</v>
      </c>
      <c r="D5879" t="s">
        <v>16854</v>
      </c>
      <c r="E5879">
        <v>5897</v>
      </c>
      <c r="F5879" t="s">
        <v>23479</v>
      </c>
      <c r="G5879">
        <v>1</v>
      </c>
      <c r="H5879" t="s">
        <v>5923</v>
      </c>
      <c r="J5879" t="s">
        <v>19043</v>
      </c>
      <c r="K5879" t="s">
        <v>192</v>
      </c>
      <c r="L5879" t="s">
        <v>22</v>
      </c>
      <c r="M5879" t="s">
        <v>19591</v>
      </c>
      <c r="N5879" t="s">
        <v>19595</v>
      </c>
      <c r="O5879" t="s">
        <v>19596</v>
      </c>
      <c r="P5879" s="2" t="s">
        <v>26</v>
      </c>
      <c r="Q5879" t="s">
        <v>50</v>
      </c>
      <c r="R5879">
        <v>38.01</v>
      </c>
      <c r="S5879">
        <v>38.450000000000003</v>
      </c>
      <c r="T5879" t="s">
        <v>19597</v>
      </c>
    </row>
    <row r="5880" spans="1:20" x14ac:dyDescent="0.25">
      <c r="A5880" s="1" t="str">
        <f>HYPERLINK("https://vegkart.atlas.vegvesen.no/#/@276678.4,7041077.2,18/hva:hva%5B0%5D%5Bfilter%5D%5B0%5D%5Boperator%5D=%21%3D&amp;hva%5B0%5D%5Bfilter%5D%5B0%5D%5Btype_id%5D=5897&amp;hva%5B0%5D%5Bfilter%5D%5B0%5D%5Bverdi%5D=&amp;hva%5B0%5D%5Bid%5D=47/når:2015-03-24", "Vegkart")</f>
        <v>Vegkart</v>
      </c>
      <c r="B5880">
        <v>589527068</v>
      </c>
      <c r="C5880">
        <v>47</v>
      </c>
      <c r="D5880" t="s">
        <v>16854</v>
      </c>
      <c r="E5880">
        <v>5897</v>
      </c>
      <c r="F5880" t="s">
        <v>23479</v>
      </c>
      <c r="G5880">
        <v>1</v>
      </c>
      <c r="H5880" t="s">
        <v>5923</v>
      </c>
      <c r="J5880" t="s">
        <v>19043</v>
      </c>
      <c r="K5880" t="s">
        <v>192</v>
      </c>
      <c r="L5880" t="s">
        <v>22</v>
      </c>
      <c r="M5880" t="s">
        <v>18886</v>
      </c>
      <c r="N5880" t="s">
        <v>19598</v>
      </c>
      <c r="O5880" t="s">
        <v>19599</v>
      </c>
      <c r="P5880" s="2" t="s">
        <v>26</v>
      </c>
      <c r="Q5880" t="s">
        <v>50</v>
      </c>
      <c r="R5880">
        <v>56.61</v>
      </c>
      <c r="S5880">
        <v>56.93</v>
      </c>
      <c r="T5880" t="s">
        <v>19600</v>
      </c>
    </row>
    <row r="5881" spans="1:20" x14ac:dyDescent="0.25">
      <c r="A5881" s="1" t="str">
        <f>HYPERLINK("https://vegkart.atlas.vegvesen.no/#/@275911.3,7041707.0,18/hva:hva%5B0%5D%5Bfilter%5D%5B0%5D%5Boperator%5D=%21%3D&amp;hva%5B0%5D%5Bfilter%5D%5B0%5D%5Btype_id%5D=5897&amp;hva%5B0%5D%5Bfilter%5D%5B0%5D%5Bverdi%5D=&amp;hva%5B0%5D%5Bid%5D=47/når:2015-03-24", "Vegkart")</f>
        <v>Vegkart</v>
      </c>
      <c r="B5881">
        <v>589527087</v>
      </c>
      <c r="C5881">
        <v>47</v>
      </c>
      <c r="D5881" t="s">
        <v>16854</v>
      </c>
      <c r="E5881">
        <v>5897</v>
      </c>
      <c r="F5881" t="s">
        <v>23479</v>
      </c>
      <c r="G5881">
        <v>1</v>
      </c>
      <c r="H5881" t="s">
        <v>5923</v>
      </c>
      <c r="J5881" t="s">
        <v>19043</v>
      </c>
      <c r="K5881" t="s">
        <v>192</v>
      </c>
      <c r="L5881" t="s">
        <v>22</v>
      </c>
      <c r="M5881" t="s">
        <v>18886</v>
      </c>
      <c r="N5881" t="s">
        <v>19601</v>
      </c>
      <c r="O5881" t="s">
        <v>19602</v>
      </c>
      <c r="P5881" s="2" t="s">
        <v>26</v>
      </c>
      <c r="Q5881" t="s">
        <v>50</v>
      </c>
      <c r="R5881">
        <v>59.88</v>
      </c>
      <c r="S5881">
        <v>60.12</v>
      </c>
      <c r="T5881" t="s">
        <v>19603</v>
      </c>
    </row>
    <row r="5882" spans="1:20" x14ac:dyDescent="0.25">
      <c r="A5882" s="1" t="str">
        <f>HYPERLINK("https://vegkart.atlas.vegvesen.no/#/@275913.6,7041718.0,18/hva:hva%5B0%5D%5Bfilter%5D%5B0%5D%5Boperator%5D=%21%3D&amp;hva%5B0%5D%5Bfilter%5D%5B0%5D%5Btype_id%5D=5897&amp;hva%5B0%5D%5Bfilter%5D%5B0%5D%5Bverdi%5D=&amp;hva%5B0%5D%5Bid%5D=47/når:2015-03-24", "Vegkart")</f>
        <v>Vegkart</v>
      </c>
      <c r="B5882">
        <v>589527091</v>
      </c>
      <c r="C5882">
        <v>47</v>
      </c>
      <c r="D5882" t="s">
        <v>16854</v>
      </c>
      <c r="E5882">
        <v>5897</v>
      </c>
      <c r="F5882" t="s">
        <v>23479</v>
      </c>
      <c r="G5882">
        <v>1</v>
      </c>
      <c r="H5882" t="s">
        <v>5923</v>
      </c>
      <c r="J5882" t="s">
        <v>19043</v>
      </c>
      <c r="K5882" t="s">
        <v>192</v>
      </c>
      <c r="L5882" t="s">
        <v>22</v>
      </c>
      <c r="M5882" t="s">
        <v>18886</v>
      </c>
      <c r="N5882" t="s">
        <v>19604</v>
      </c>
      <c r="O5882" t="s">
        <v>19605</v>
      </c>
      <c r="P5882" s="2" t="s">
        <v>26</v>
      </c>
      <c r="Q5882" t="s">
        <v>50</v>
      </c>
      <c r="R5882">
        <v>65.44</v>
      </c>
      <c r="S5882">
        <v>65.89</v>
      </c>
      <c r="T5882" t="s">
        <v>19606</v>
      </c>
    </row>
    <row r="5883" spans="1:20" x14ac:dyDescent="0.25">
      <c r="A5883" s="1" t="str">
        <f>HYPERLINK("https://vegkart.atlas.vegvesen.no/#/@275586.9,7041778.2,18/hva:hva%5B0%5D%5Bfilter%5D%5B0%5D%5Boperator%5D=%21%3D&amp;hva%5B0%5D%5Bfilter%5D%5B0%5D%5Btype_id%5D=5897&amp;hva%5B0%5D%5Bfilter%5D%5B0%5D%5Bverdi%5D=&amp;hva%5B0%5D%5Bid%5D=47/når:2015-03-24", "Vegkart")</f>
        <v>Vegkart</v>
      </c>
      <c r="B5883">
        <v>589527100</v>
      </c>
      <c r="C5883">
        <v>47</v>
      </c>
      <c r="D5883" t="s">
        <v>16854</v>
      </c>
      <c r="E5883">
        <v>5897</v>
      </c>
      <c r="F5883" t="s">
        <v>23479</v>
      </c>
      <c r="G5883">
        <v>1</v>
      </c>
      <c r="H5883" t="s">
        <v>5923</v>
      </c>
      <c r="J5883" t="s">
        <v>19043</v>
      </c>
      <c r="K5883" t="s">
        <v>192</v>
      </c>
      <c r="L5883" t="s">
        <v>22</v>
      </c>
      <c r="M5883" t="s">
        <v>18886</v>
      </c>
      <c r="N5883" t="s">
        <v>19607</v>
      </c>
      <c r="O5883" t="s">
        <v>19608</v>
      </c>
      <c r="P5883" s="2" t="s">
        <v>26</v>
      </c>
      <c r="Q5883" t="s">
        <v>50</v>
      </c>
      <c r="R5883">
        <v>59.64</v>
      </c>
      <c r="S5883">
        <v>60.41</v>
      </c>
      <c r="T5883" t="s">
        <v>19609</v>
      </c>
    </row>
    <row r="5884" spans="1:20" x14ac:dyDescent="0.25">
      <c r="A5884" s="1" t="str">
        <f>HYPERLINK("https://vegkart.atlas.vegvesen.no/#/@275271.3,7041710.7,18/hva:hva%5B0%5D%5Bfilter%5D%5B0%5D%5Boperator%5D=%21%3D&amp;hva%5B0%5D%5Bfilter%5D%5B0%5D%5Btype_id%5D=5897&amp;hva%5B0%5D%5Bfilter%5D%5B0%5D%5Bverdi%5D=&amp;hva%5B0%5D%5Bid%5D=47/når:2015-03-24", "Vegkart")</f>
        <v>Vegkart</v>
      </c>
      <c r="B5884">
        <v>589527103</v>
      </c>
      <c r="C5884">
        <v>47</v>
      </c>
      <c r="D5884" t="s">
        <v>16854</v>
      </c>
      <c r="E5884">
        <v>5897</v>
      </c>
      <c r="F5884" t="s">
        <v>23479</v>
      </c>
      <c r="G5884">
        <v>1</v>
      </c>
      <c r="H5884" t="s">
        <v>5923</v>
      </c>
      <c r="J5884" t="s">
        <v>19043</v>
      </c>
      <c r="K5884" t="s">
        <v>192</v>
      </c>
      <c r="L5884" t="s">
        <v>22</v>
      </c>
      <c r="M5884" t="s">
        <v>18886</v>
      </c>
      <c r="N5884" t="s">
        <v>19610</v>
      </c>
      <c r="O5884" t="s">
        <v>19611</v>
      </c>
      <c r="P5884" s="2" t="s">
        <v>26</v>
      </c>
      <c r="Q5884" t="s">
        <v>50</v>
      </c>
      <c r="R5884">
        <v>45.84</v>
      </c>
      <c r="S5884">
        <v>46</v>
      </c>
      <c r="T5884" t="s">
        <v>19612</v>
      </c>
    </row>
    <row r="5885" spans="1:20" x14ac:dyDescent="0.25">
      <c r="A5885" s="1" t="str">
        <f>HYPERLINK("https://vegkart.atlas.vegvesen.no/#/@274768.8,7041989.8,18/hva:hva%5B0%5D%5Bfilter%5D%5B0%5D%5Boperator%5D=%21%3D&amp;hva%5B0%5D%5Bfilter%5D%5B0%5D%5Btype_id%5D=5897&amp;hva%5B0%5D%5Bfilter%5D%5B0%5D%5Bverdi%5D=&amp;hva%5B0%5D%5Bid%5D=47/når:2015-03-24", "Vegkart")</f>
        <v>Vegkart</v>
      </c>
      <c r="B5885">
        <v>589527116</v>
      </c>
      <c r="C5885">
        <v>47</v>
      </c>
      <c r="D5885" t="s">
        <v>16854</v>
      </c>
      <c r="E5885">
        <v>5897</v>
      </c>
      <c r="F5885" t="s">
        <v>23479</v>
      </c>
      <c r="G5885">
        <v>1</v>
      </c>
      <c r="H5885" t="s">
        <v>5923</v>
      </c>
      <c r="J5885" t="s">
        <v>19043</v>
      </c>
      <c r="K5885" t="s">
        <v>192</v>
      </c>
      <c r="L5885" t="s">
        <v>22</v>
      </c>
      <c r="M5885" t="s">
        <v>18886</v>
      </c>
      <c r="N5885" t="s">
        <v>19613</v>
      </c>
      <c r="O5885" t="s">
        <v>19614</v>
      </c>
      <c r="P5885" s="2" t="s">
        <v>26</v>
      </c>
      <c r="Q5885" t="s">
        <v>50</v>
      </c>
      <c r="R5885">
        <v>30.62</v>
      </c>
      <c r="S5885">
        <v>30.93</v>
      </c>
      <c r="T5885" t="s">
        <v>19615</v>
      </c>
    </row>
    <row r="5886" spans="1:20" x14ac:dyDescent="0.25">
      <c r="A5886" s="1" t="str">
        <f>HYPERLINK("https://vegkart.atlas.vegvesen.no/#/@274102.2,7041855.1,18/hva:hva%5B0%5D%5Bfilter%5D%5B0%5D%5Boperator%5D=%21%3D&amp;hva%5B0%5D%5Bfilter%5D%5B0%5D%5Btype_id%5D=5897&amp;hva%5B0%5D%5Bfilter%5D%5B0%5D%5Bverdi%5D=&amp;hva%5B0%5D%5Bid%5D=47/når:2015-03-24", "Vegkart")</f>
        <v>Vegkart</v>
      </c>
      <c r="B5886">
        <v>589527122</v>
      </c>
      <c r="C5886">
        <v>47</v>
      </c>
      <c r="D5886" t="s">
        <v>16854</v>
      </c>
      <c r="E5886">
        <v>5897</v>
      </c>
      <c r="F5886" t="s">
        <v>23479</v>
      </c>
      <c r="G5886">
        <v>1</v>
      </c>
      <c r="H5886" t="s">
        <v>5923</v>
      </c>
      <c r="J5886" t="s">
        <v>19043</v>
      </c>
      <c r="K5886" t="s">
        <v>192</v>
      </c>
      <c r="L5886" t="s">
        <v>22</v>
      </c>
      <c r="M5886" t="s">
        <v>18886</v>
      </c>
      <c r="N5886" t="s">
        <v>19616</v>
      </c>
      <c r="O5886" t="s">
        <v>19617</v>
      </c>
      <c r="P5886" s="2" t="s">
        <v>26</v>
      </c>
      <c r="Q5886" t="s">
        <v>50</v>
      </c>
      <c r="R5886">
        <v>42.81</v>
      </c>
      <c r="S5886">
        <v>43.16</v>
      </c>
      <c r="T5886" t="s">
        <v>19618</v>
      </c>
    </row>
    <row r="5887" spans="1:20" x14ac:dyDescent="0.25">
      <c r="A5887" s="1" t="str">
        <f>HYPERLINK("https://vegkart.atlas.vegvesen.no/#/@274810.1,7042362.2,18/hva:hva%5B0%5D%5Bfilter%5D%5B0%5D%5Boperator%5D=%21%3D&amp;hva%5B0%5D%5Bfilter%5D%5B0%5D%5Btype_id%5D=5897&amp;hva%5B0%5D%5Bfilter%5D%5B0%5D%5Bverdi%5D=&amp;hva%5B0%5D%5Bid%5D=47/når:2015-03-24", "Vegkart")</f>
        <v>Vegkart</v>
      </c>
      <c r="B5887">
        <v>589527134</v>
      </c>
      <c r="C5887">
        <v>47</v>
      </c>
      <c r="D5887" t="s">
        <v>16854</v>
      </c>
      <c r="E5887">
        <v>5897</v>
      </c>
      <c r="F5887" t="s">
        <v>23479</v>
      </c>
      <c r="G5887">
        <v>1</v>
      </c>
      <c r="H5887" t="s">
        <v>5923</v>
      </c>
      <c r="J5887" t="s">
        <v>19043</v>
      </c>
      <c r="K5887" t="s">
        <v>192</v>
      </c>
      <c r="L5887" t="s">
        <v>22</v>
      </c>
      <c r="M5887" t="s">
        <v>19619</v>
      </c>
      <c r="N5887" t="s">
        <v>19620</v>
      </c>
      <c r="O5887" t="s">
        <v>19621</v>
      </c>
      <c r="P5887" s="2" t="s">
        <v>26</v>
      </c>
      <c r="Q5887" t="s">
        <v>50</v>
      </c>
      <c r="R5887">
        <v>44.8</v>
      </c>
      <c r="S5887">
        <v>45.26</v>
      </c>
      <c r="T5887" t="s">
        <v>19622</v>
      </c>
    </row>
    <row r="5888" spans="1:20" x14ac:dyDescent="0.25">
      <c r="A5888" s="1" t="str">
        <f>HYPERLINK("https://vegkart.atlas.vegvesen.no/#/@274799.1,7042370.7,18/hva:hva%5B0%5D%5Bfilter%5D%5B0%5D%5Boperator%5D=%21%3D&amp;hva%5B0%5D%5Bfilter%5D%5B0%5D%5Btype_id%5D=5897&amp;hva%5B0%5D%5Bfilter%5D%5B0%5D%5Bverdi%5D=&amp;hva%5B0%5D%5Bid%5D=47/når:2015-03-24", "Vegkart")</f>
        <v>Vegkart</v>
      </c>
      <c r="B5888">
        <v>589527137</v>
      </c>
      <c r="C5888">
        <v>47</v>
      </c>
      <c r="D5888" t="s">
        <v>16854</v>
      </c>
      <c r="E5888">
        <v>5897</v>
      </c>
      <c r="F5888" t="s">
        <v>23479</v>
      </c>
      <c r="G5888">
        <v>1</v>
      </c>
      <c r="H5888" t="s">
        <v>5923</v>
      </c>
      <c r="J5888" t="s">
        <v>19043</v>
      </c>
      <c r="K5888" t="s">
        <v>192</v>
      </c>
      <c r="L5888" t="s">
        <v>22</v>
      </c>
      <c r="M5888" t="s">
        <v>19619</v>
      </c>
      <c r="N5888" t="s">
        <v>19623</v>
      </c>
      <c r="O5888" t="s">
        <v>19624</v>
      </c>
      <c r="P5888" s="2" t="s">
        <v>26</v>
      </c>
      <c r="Q5888" t="s">
        <v>50</v>
      </c>
      <c r="R5888">
        <v>32.47</v>
      </c>
      <c r="S5888">
        <v>32.53</v>
      </c>
      <c r="T5888" t="s">
        <v>19625</v>
      </c>
    </row>
    <row r="5889" spans="1:20" x14ac:dyDescent="0.25">
      <c r="A5889" s="1" t="str">
        <f>HYPERLINK("https://vegkart.atlas.vegvesen.no/#/@274627.6,7042206.5,18/hva:hva%5B0%5D%5Bfilter%5D%5B0%5D%5Boperator%5D=%21%3D&amp;hva%5B0%5D%5Bfilter%5D%5B0%5D%5Btype_id%5D=5897&amp;hva%5B0%5D%5Bfilter%5D%5B0%5D%5Bverdi%5D=&amp;hva%5B0%5D%5Bid%5D=47/når:2015-03-24", "Vegkart")</f>
        <v>Vegkart</v>
      </c>
      <c r="B5889">
        <v>589527140</v>
      </c>
      <c r="C5889">
        <v>47</v>
      </c>
      <c r="D5889" t="s">
        <v>16854</v>
      </c>
      <c r="E5889">
        <v>5897</v>
      </c>
      <c r="F5889" t="s">
        <v>23479</v>
      </c>
      <c r="G5889">
        <v>1</v>
      </c>
      <c r="H5889" t="s">
        <v>5923</v>
      </c>
      <c r="J5889" t="s">
        <v>19043</v>
      </c>
      <c r="K5889" t="s">
        <v>192</v>
      </c>
      <c r="L5889" t="s">
        <v>22</v>
      </c>
      <c r="M5889" t="s">
        <v>19619</v>
      </c>
      <c r="N5889" t="s">
        <v>19626</v>
      </c>
      <c r="O5889" t="s">
        <v>19627</v>
      </c>
      <c r="P5889" s="2" t="s">
        <v>26</v>
      </c>
      <c r="Q5889" t="s">
        <v>50</v>
      </c>
      <c r="R5889">
        <v>52.87</v>
      </c>
      <c r="S5889">
        <v>53.64</v>
      </c>
      <c r="T5889" t="s">
        <v>19628</v>
      </c>
    </row>
    <row r="5890" spans="1:20" x14ac:dyDescent="0.25">
      <c r="A5890" s="1" t="str">
        <f>HYPERLINK("https://vegkart.atlas.vegvesen.no/#/@274533.6,7042213.6,18/hva:hva%5B0%5D%5Bfilter%5D%5B0%5D%5Boperator%5D=%21%3D&amp;hva%5B0%5D%5Bfilter%5D%5B0%5D%5Btype_id%5D=5897&amp;hva%5B0%5D%5Bfilter%5D%5B0%5D%5Bverdi%5D=&amp;hva%5B0%5D%5Bid%5D=47/når:2015-03-24", "Vegkart")</f>
        <v>Vegkart</v>
      </c>
      <c r="B5890">
        <v>589527143</v>
      </c>
      <c r="C5890">
        <v>47</v>
      </c>
      <c r="D5890" t="s">
        <v>16854</v>
      </c>
      <c r="E5890">
        <v>5897</v>
      </c>
      <c r="F5890" t="s">
        <v>23479</v>
      </c>
      <c r="G5890">
        <v>1</v>
      </c>
      <c r="H5890" t="s">
        <v>5923</v>
      </c>
      <c r="J5890" t="s">
        <v>19043</v>
      </c>
      <c r="K5890" t="s">
        <v>192</v>
      </c>
      <c r="L5890" t="s">
        <v>22</v>
      </c>
      <c r="M5890" t="s">
        <v>19619</v>
      </c>
      <c r="N5890" t="s">
        <v>19629</v>
      </c>
      <c r="O5890" t="s">
        <v>19630</v>
      </c>
      <c r="P5890" s="2" t="s">
        <v>26</v>
      </c>
      <c r="Q5890" t="s">
        <v>50</v>
      </c>
      <c r="R5890">
        <v>46.99</v>
      </c>
      <c r="S5890">
        <v>47.65</v>
      </c>
      <c r="T5890" t="s">
        <v>19631</v>
      </c>
    </row>
    <row r="5891" spans="1:20" x14ac:dyDescent="0.25">
      <c r="A5891" s="1" t="str">
        <f>HYPERLINK("https://vegkart.atlas.vegvesen.no/#/@273293.5,7041509.5,18/hva:hva%5B0%5D%5Bfilter%5D%5B0%5D%5Boperator%5D=%21%3D&amp;hva%5B0%5D%5Bfilter%5D%5B0%5D%5Btype_id%5D=5897&amp;hva%5B0%5D%5Bfilter%5D%5B0%5D%5Bverdi%5D=&amp;hva%5B0%5D%5Bid%5D=47/når:2015-03-24", "Vegkart")</f>
        <v>Vegkart</v>
      </c>
      <c r="B5891">
        <v>589527154</v>
      </c>
      <c r="C5891">
        <v>47</v>
      </c>
      <c r="D5891" t="s">
        <v>16854</v>
      </c>
      <c r="E5891">
        <v>5897</v>
      </c>
      <c r="F5891" t="s">
        <v>23479</v>
      </c>
      <c r="G5891">
        <v>1</v>
      </c>
      <c r="H5891" t="s">
        <v>5923</v>
      </c>
      <c r="J5891" t="s">
        <v>19043</v>
      </c>
      <c r="K5891" t="s">
        <v>192</v>
      </c>
      <c r="L5891" t="s">
        <v>22</v>
      </c>
      <c r="M5891" t="s">
        <v>19632</v>
      </c>
      <c r="N5891" t="s">
        <v>19633</v>
      </c>
      <c r="O5891" t="s">
        <v>19634</v>
      </c>
      <c r="P5891" s="2" t="s">
        <v>26</v>
      </c>
      <c r="Q5891" t="s">
        <v>50</v>
      </c>
      <c r="R5891">
        <v>38.619999999999997</v>
      </c>
      <c r="S5891">
        <v>38.72</v>
      </c>
      <c r="T5891" t="s">
        <v>19635</v>
      </c>
    </row>
    <row r="5892" spans="1:20" x14ac:dyDescent="0.25">
      <c r="A5892" s="1" t="str">
        <f>HYPERLINK("https://vegkart.atlas.vegvesen.no/#/@273280.7,7041451.1,18/hva:hva%5B0%5D%5Bfilter%5D%5B0%5D%5Boperator%5D=%21%3D&amp;hva%5B0%5D%5Bfilter%5D%5B0%5D%5Btype_id%5D=5897&amp;hva%5B0%5D%5Bfilter%5D%5B0%5D%5Bverdi%5D=&amp;hva%5B0%5D%5Bid%5D=47/når:2015-03-24", "Vegkart")</f>
        <v>Vegkart</v>
      </c>
      <c r="B5892">
        <v>589527159</v>
      </c>
      <c r="C5892">
        <v>47</v>
      </c>
      <c r="D5892" t="s">
        <v>16854</v>
      </c>
      <c r="E5892">
        <v>5897</v>
      </c>
      <c r="F5892" t="s">
        <v>23479</v>
      </c>
      <c r="G5892">
        <v>1</v>
      </c>
      <c r="H5892" t="s">
        <v>5923</v>
      </c>
      <c r="J5892" t="s">
        <v>19043</v>
      </c>
      <c r="K5892" t="s">
        <v>192</v>
      </c>
      <c r="L5892" t="s">
        <v>22</v>
      </c>
      <c r="M5892" t="s">
        <v>19632</v>
      </c>
      <c r="N5892" t="s">
        <v>19636</v>
      </c>
      <c r="O5892" t="s">
        <v>19637</v>
      </c>
      <c r="P5892" s="2" t="s">
        <v>26</v>
      </c>
      <c r="Q5892" t="s">
        <v>50</v>
      </c>
      <c r="R5892">
        <v>48.58</v>
      </c>
      <c r="S5892">
        <v>52.56</v>
      </c>
      <c r="T5892" t="s">
        <v>19638</v>
      </c>
    </row>
    <row r="5893" spans="1:20" x14ac:dyDescent="0.25">
      <c r="A5893" s="1" t="str">
        <f>HYPERLINK("https://vegkart.atlas.vegvesen.no/#/@273508.7,7041255.7,18/hva:hva%5B0%5D%5Bfilter%5D%5B0%5D%5Boperator%5D=%21%3D&amp;hva%5B0%5D%5Bfilter%5D%5B0%5D%5Btype_id%5D=5897&amp;hva%5B0%5D%5Bfilter%5D%5B0%5D%5Bverdi%5D=&amp;hva%5B0%5D%5Bid%5D=47/når:2015-03-24", "Vegkart")</f>
        <v>Vegkart</v>
      </c>
      <c r="B5893">
        <v>589527164</v>
      </c>
      <c r="C5893">
        <v>47</v>
      </c>
      <c r="D5893" t="s">
        <v>16854</v>
      </c>
      <c r="E5893">
        <v>5897</v>
      </c>
      <c r="F5893" t="s">
        <v>23479</v>
      </c>
      <c r="G5893">
        <v>1</v>
      </c>
      <c r="H5893" t="s">
        <v>5923</v>
      </c>
      <c r="J5893" t="s">
        <v>19043</v>
      </c>
      <c r="K5893" t="s">
        <v>192</v>
      </c>
      <c r="L5893" t="s">
        <v>22</v>
      </c>
      <c r="M5893" t="s">
        <v>19632</v>
      </c>
      <c r="N5893" t="s">
        <v>19639</v>
      </c>
      <c r="O5893" t="s">
        <v>19640</v>
      </c>
      <c r="P5893" s="2" t="s">
        <v>26</v>
      </c>
      <c r="Q5893" t="s">
        <v>50</v>
      </c>
      <c r="R5893">
        <v>42.01</v>
      </c>
      <c r="S5893">
        <v>42.86</v>
      </c>
      <c r="T5893" t="s">
        <v>19641</v>
      </c>
    </row>
    <row r="5894" spans="1:20" x14ac:dyDescent="0.25">
      <c r="A5894" s="1" t="str">
        <f>HYPERLINK("https://vegkart.atlas.vegvesen.no/#/@274181.0,7041194.1,18/hva:hva%5B0%5D%5Bfilter%5D%5B0%5D%5Boperator%5D=%21%3D&amp;hva%5B0%5D%5Bfilter%5D%5B0%5D%5Btype_id%5D=5897&amp;hva%5B0%5D%5Bfilter%5D%5B0%5D%5Bverdi%5D=&amp;hva%5B0%5D%5Bid%5D=47/når:2015-03-24", "Vegkart")</f>
        <v>Vegkart</v>
      </c>
      <c r="B5894">
        <v>589527183</v>
      </c>
      <c r="C5894">
        <v>47</v>
      </c>
      <c r="D5894" t="s">
        <v>16854</v>
      </c>
      <c r="E5894">
        <v>5897</v>
      </c>
      <c r="F5894" t="s">
        <v>23479</v>
      </c>
      <c r="G5894">
        <v>1</v>
      </c>
      <c r="H5894" t="s">
        <v>5923</v>
      </c>
      <c r="J5894" t="s">
        <v>19043</v>
      </c>
      <c r="K5894" t="s">
        <v>192</v>
      </c>
      <c r="L5894" t="s">
        <v>22</v>
      </c>
      <c r="M5894" t="s">
        <v>7909</v>
      </c>
      <c r="N5894" t="s">
        <v>19642</v>
      </c>
      <c r="O5894" t="s">
        <v>19643</v>
      </c>
      <c r="P5894" s="2" t="s">
        <v>26</v>
      </c>
      <c r="Q5894" t="s">
        <v>50</v>
      </c>
      <c r="R5894">
        <v>38.67</v>
      </c>
      <c r="S5894">
        <v>39.130000000000003</v>
      </c>
      <c r="T5894" t="s">
        <v>19644</v>
      </c>
    </row>
    <row r="5895" spans="1:20" x14ac:dyDescent="0.25">
      <c r="A5895" s="1" t="str">
        <f>HYPERLINK("https://vegkart.atlas.vegvesen.no/#/@273403.4,7040992.6,18/hva:hva%5B0%5D%5Bfilter%5D%5B0%5D%5Boperator%5D=%21%3D&amp;hva%5B0%5D%5Bfilter%5D%5B0%5D%5Btype_id%5D=5897&amp;hva%5B0%5D%5Bfilter%5D%5B0%5D%5Bverdi%5D=&amp;hva%5B0%5D%5Bid%5D=47/når:2015-03-24", "Vegkart")</f>
        <v>Vegkart</v>
      </c>
      <c r="B5895">
        <v>589527195</v>
      </c>
      <c r="C5895">
        <v>47</v>
      </c>
      <c r="D5895" t="s">
        <v>16854</v>
      </c>
      <c r="E5895">
        <v>5897</v>
      </c>
      <c r="F5895" t="s">
        <v>23479</v>
      </c>
      <c r="G5895">
        <v>1</v>
      </c>
      <c r="H5895" t="s">
        <v>5923</v>
      </c>
      <c r="J5895" t="s">
        <v>19043</v>
      </c>
      <c r="K5895" t="s">
        <v>192</v>
      </c>
      <c r="L5895" t="s">
        <v>22</v>
      </c>
      <c r="M5895" t="s">
        <v>12523</v>
      </c>
      <c r="N5895" t="s">
        <v>19645</v>
      </c>
      <c r="O5895" t="s">
        <v>19646</v>
      </c>
      <c r="P5895" s="2" t="s">
        <v>26</v>
      </c>
      <c r="Q5895" t="s">
        <v>50</v>
      </c>
      <c r="R5895">
        <v>30.67</v>
      </c>
      <c r="S5895">
        <v>30.78</v>
      </c>
      <c r="T5895" t="s">
        <v>19647</v>
      </c>
    </row>
    <row r="5896" spans="1:20" x14ac:dyDescent="0.25">
      <c r="A5896" s="1" t="str">
        <f>HYPERLINK("https://vegkart.atlas.vegvesen.no/#/@273545.6,7043699.2,18/hva:hva%5B0%5D%5Bfilter%5D%5B0%5D%5Boperator%5D=%21%3D&amp;hva%5B0%5D%5Bfilter%5D%5B0%5D%5Btype_id%5D=5897&amp;hva%5B0%5D%5Bfilter%5D%5B0%5D%5Bverdi%5D=&amp;hva%5B0%5D%5Bid%5D=47/når:2015-03-25", "Vegkart")</f>
        <v>Vegkart</v>
      </c>
      <c r="B5896">
        <v>589634059</v>
      </c>
      <c r="C5896">
        <v>47</v>
      </c>
      <c r="D5896" t="s">
        <v>16854</v>
      </c>
      <c r="E5896">
        <v>5897</v>
      </c>
      <c r="F5896" t="s">
        <v>23479</v>
      </c>
      <c r="G5896">
        <v>1</v>
      </c>
      <c r="H5896" t="s">
        <v>19648</v>
      </c>
      <c r="J5896" t="s">
        <v>19043</v>
      </c>
      <c r="K5896" t="s">
        <v>192</v>
      </c>
      <c r="L5896" t="s">
        <v>22</v>
      </c>
      <c r="M5896" t="s">
        <v>19649</v>
      </c>
      <c r="N5896" t="s">
        <v>19650</v>
      </c>
      <c r="O5896" t="s">
        <v>19651</v>
      </c>
      <c r="P5896" s="2" t="s">
        <v>26</v>
      </c>
      <c r="Q5896" t="s">
        <v>50</v>
      </c>
      <c r="R5896">
        <v>56.37</v>
      </c>
      <c r="S5896">
        <v>56.79</v>
      </c>
      <c r="T5896" t="s">
        <v>19652</v>
      </c>
    </row>
    <row r="5897" spans="1:20" x14ac:dyDescent="0.25">
      <c r="A5897" s="1" t="str">
        <f>HYPERLINK("https://vegkart.atlas.vegvesen.no/#/@273026.4,7040667.3,18/hva:hva%5B0%5D%5Bfilter%5D%5B0%5D%5Boperator%5D=%21%3D&amp;hva%5B0%5D%5Bfilter%5D%5B0%5D%5Btype_id%5D=5897&amp;hva%5B0%5D%5Bfilter%5D%5B0%5D%5Bverdi%5D=&amp;hva%5B0%5D%5Bid%5D=47/når:2015-03-25", "Vegkart")</f>
        <v>Vegkart</v>
      </c>
      <c r="B5897">
        <v>589722307</v>
      </c>
      <c r="C5897">
        <v>47</v>
      </c>
      <c r="D5897" t="s">
        <v>16854</v>
      </c>
      <c r="E5897">
        <v>5897</v>
      </c>
      <c r="F5897" t="s">
        <v>23479</v>
      </c>
      <c r="G5897">
        <v>1</v>
      </c>
      <c r="H5897" t="s">
        <v>19648</v>
      </c>
      <c r="J5897" t="s">
        <v>19043</v>
      </c>
      <c r="K5897" t="s">
        <v>192</v>
      </c>
      <c r="L5897" t="s">
        <v>22</v>
      </c>
      <c r="M5897" t="s">
        <v>12523</v>
      </c>
      <c r="N5897" t="s">
        <v>19653</v>
      </c>
      <c r="O5897" t="s">
        <v>19654</v>
      </c>
      <c r="P5897" s="2" t="s">
        <v>26</v>
      </c>
      <c r="Q5897" t="s">
        <v>50</v>
      </c>
      <c r="R5897">
        <v>46.2</v>
      </c>
      <c r="S5897">
        <v>46.24</v>
      </c>
      <c r="T5897" t="s">
        <v>19655</v>
      </c>
    </row>
    <row r="5898" spans="1:20" x14ac:dyDescent="0.25">
      <c r="A5898" s="1" t="str">
        <f>HYPERLINK("https://vegkart.atlas.vegvesen.no/#/@272973.9,7040636.4,18/hva:hva%5B0%5D%5Bfilter%5D%5B0%5D%5Boperator%5D=%21%3D&amp;hva%5B0%5D%5Bfilter%5D%5B0%5D%5Btype_id%5D=5897&amp;hva%5B0%5D%5Bfilter%5D%5B0%5D%5Bverdi%5D=&amp;hva%5B0%5D%5Bid%5D=47/når:2015-03-25", "Vegkart")</f>
        <v>Vegkart</v>
      </c>
      <c r="B5898">
        <v>589722313</v>
      </c>
      <c r="C5898">
        <v>47</v>
      </c>
      <c r="D5898" t="s">
        <v>16854</v>
      </c>
      <c r="E5898">
        <v>5897</v>
      </c>
      <c r="F5898" t="s">
        <v>23479</v>
      </c>
      <c r="G5898">
        <v>1</v>
      </c>
      <c r="H5898" t="s">
        <v>19648</v>
      </c>
      <c r="J5898" t="s">
        <v>19043</v>
      </c>
      <c r="K5898" t="s">
        <v>192</v>
      </c>
      <c r="L5898" t="s">
        <v>22</v>
      </c>
      <c r="M5898" t="s">
        <v>12523</v>
      </c>
      <c r="N5898" t="s">
        <v>19656</v>
      </c>
      <c r="O5898" t="s">
        <v>19657</v>
      </c>
      <c r="P5898" s="2" t="s">
        <v>26</v>
      </c>
      <c r="Q5898" t="s">
        <v>50</v>
      </c>
      <c r="R5898">
        <v>20.399999999999999</v>
      </c>
      <c r="S5898">
        <v>20.76</v>
      </c>
      <c r="T5898" t="s">
        <v>19658</v>
      </c>
    </row>
    <row r="5899" spans="1:20" x14ac:dyDescent="0.25">
      <c r="A5899" s="1" t="str">
        <f>HYPERLINK("https://vegkart.atlas.vegvesen.no/#/@272887.1,7040261.8,18/hva:hva%5B0%5D%5Bfilter%5D%5B0%5D%5Boperator%5D=%21%3D&amp;hva%5B0%5D%5Bfilter%5D%5B0%5D%5Btype_id%5D=5897&amp;hva%5B0%5D%5Bfilter%5D%5B0%5D%5Bverdi%5D=&amp;hva%5B0%5D%5Bid%5D=47/når:2015-03-25", "Vegkart")</f>
        <v>Vegkart</v>
      </c>
      <c r="B5899">
        <v>589722322</v>
      </c>
      <c r="C5899">
        <v>47</v>
      </c>
      <c r="D5899" t="s">
        <v>16854</v>
      </c>
      <c r="E5899">
        <v>5897</v>
      </c>
      <c r="F5899" t="s">
        <v>23479</v>
      </c>
      <c r="G5899">
        <v>1</v>
      </c>
      <c r="H5899" t="s">
        <v>19648</v>
      </c>
      <c r="J5899" t="s">
        <v>19043</v>
      </c>
      <c r="K5899" t="s">
        <v>192</v>
      </c>
      <c r="L5899" t="s">
        <v>22</v>
      </c>
      <c r="M5899" t="s">
        <v>12523</v>
      </c>
      <c r="N5899" t="s">
        <v>19659</v>
      </c>
      <c r="O5899" t="s">
        <v>19660</v>
      </c>
      <c r="P5899" s="2" t="s">
        <v>26</v>
      </c>
      <c r="Q5899" t="s">
        <v>50</v>
      </c>
      <c r="R5899">
        <v>44.8</v>
      </c>
      <c r="S5899">
        <v>45.4</v>
      </c>
      <c r="T5899" t="s">
        <v>19661</v>
      </c>
    </row>
    <row r="5900" spans="1:20" x14ac:dyDescent="0.25">
      <c r="A5900" s="1" t="str">
        <f>HYPERLINK("https://vegkart.atlas.vegvesen.no/#/@272685.5,7039678.3,18/hva:hva%5B0%5D%5Bfilter%5D%5B0%5D%5Boperator%5D=%21%3D&amp;hva%5B0%5D%5Bfilter%5D%5B0%5D%5Btype_id%5D=5897&amp;hva%5B0%5D%5Bfilter%5D%5B0%5D%5Bverdi%5D=&amp;hva%5B0%5D%5Bid%5D=47/når:2015-03-25", "Vegkart")</f>
        <v>Vegkart</v>
      </c>
      <c r="B5900">
        <v>589722335</v>
      </c>
      <c r="C5900">
        <v>47</v>
      </c>
      <c r="D5900" t="s">
        <v>16854</v>
      </c>
      <c r="E5900">
        <v>5897</v>
      </c>
      <c r="F5900" t="s">
        <v>23479</v>
      </c>
      <c r="G5900">
        <v>1</v>
      </c>
      <c r="H5900" t="s">
        <v>19648</v>
      </c>
      <c r="J5900" t="s">
        <v>19043</v>
      </c>
      <c r="K5900" t="s">
        <v>192</v>
      </c>
      <c r="L5900" t="s">
        <v>22</v>
      </c>
      <c r="M5900" t="s">
        <v>12523</v>
      </c>
      <c r="N5900" t="s">
        <v>19662</v>
      </c>
      <c r="O5900" t="s">
        <v>19663</v>
      </c>
      <c r="P5900" s="2" t="s">
        <v>26</v>
      </c>
      <c r="Q5900" t="s">
        <v>50</v>
      </c>
      <c r="R5900">
        <v>26.96</v>
      </c>
      <c r="S5900">
        <v>27.28</v>
      </c>
      <c r="T5900" t="s">
        <v>19664</v>
      </c>
    </row>
    <row r="5901" spans="1:20" x14ac:dyDescent="0.25">
      <c r="A5901" s="1" t="str">
        <f>HYPERLINK("https://vegkart.atlas.vegvesen.no/#/@272422.2,7039374.5,18/hva:hva%5B0%5D%5Bfilter%5D%5B0%5D%5Boperator%5D=%21%3D&amp;hva%5B0%5D%5Bfilter%5D%5B0%5D%5Btype_id%5D=5897&amp;hva%5B0%5D%5Bfilter%5D%5B0%5D%5Bverdi%5D=&amp;hva%5B0%5D%5Bid%5D=47/når:2015-03-25", "Vegkart")</f>
        <v>Vegkart</v>
      </c>
      <c r="B5901">
        <v>589722351</v>
      </c>
      <c r="C5901">
        <v>47</v>
      </c>
      <c r="D5901" t="s">
        <v>16854</v>
      </c>
      <c r="E5901">
        <v>5897</v>
      </c>
      <c r="F5901" t="s">
        <v>23479</v>
      </c>
      <c r="G5901">
        <v>1</v>
      </c>
      <c r="H5901" t="s">
        <v>19648</v>
      </c>
      <c r="J5901" t="s">
        <v>19043</v>
      </c>
      <c r="K5901" t="s">
        <v>192</v>
      </c>
      <c r="L5901" t="s">
        <v>22</v>
      </c>
      <c r="M5901" t="s">
        <v>12523</v>
      </c>
      <c r="N5901" t="s">
        <v>19665</v>
      </c>
      <c r="O5901" t="s">
        <v>19666</v>
      </c>
      <c r="P5901" s="2" t="s">
        <v>26</v>
      </c>
      <c r="Q5901" t="s">
        <v>50</v>
      </c>
      <c r="R5901">
        <v>48.57</v>
      </c>
      <c r="S5901">
        <v>49.11</v>
      </c>
      <c r="T5901" t="s">
        <v>19667</v>
      </c>
    </row>
    <row r="5902" spans="1:20" x14ac:dyDescent="0.25">
      <c r="A5902" s="1" t="str">
        <f>HYPERLINK("https://vegkart.atlas.vegvesen.no/#/@272337.8,7039345.2,18/hva:hva%5B0%5D%5Bfilter%5D%5B0%5D%5Boperator%5D=%21%3D&amp;hva%5B0%5D%5Bfilter%5D%5B0%5D%5Btype_id%5D=5897&amp;hva%5B0%5D%5Bfilter%5D%5B0%5D%5Bverdi%5D=&amp;hva%5B0%5D%5Bid%5D=47/når:2015-03-25", "Vegkart")</f>
        <v>Vegkart</v>
      </c>
      <c r="B5902">
        <v>589722357</v>
      </c>
      <c r="C5902">
        <v>47</v>
      </c>
      <c r="D5902" t="s">
        <v>16854</v>
      </c>
      <c r="E5902">
        <v>5897</v>
      </c>
      <c r="F5902" t="s">
        <v>23479</v>
      </c>
      <c r="G5902">
        <v>1</v>
      </c>
      <c r="H5902" t="s">
        <v>19648</v>
      </c>
      <c r="J5902" t="s">
        <v>19043</v>
      </c>
      <c r="K5902" t="s">
        <v>192</v>
      </c>
      <c r="L5902" t="s">
        <v>22</v>
      </c>
      <c r="M5902" t="s">
        <v>19668</v>
      </c>
      <c r="N5902" t="s">
        <v>19669</v>
      </c>
      <c r="O5902" t="s">
        <v>19670</v>
      </c>
      <c r="P5902" s="2" t="s">
        <v>26</v>
      </c>
      <c r="Q5902" t="s">
        <v>50</v>
      </c>
      <c r="R5902">
        <v>44.3</v>
      </c>
      <c r="S5902">
        <v>44.69</v>
      </c>
      <c r="T5902" t="s">
        <v>19671</v>
      </c>
    </row>
    <row r="5903" spans="1:20" x14ac:dyDescent="0.25">
      <c r="A5903" s="1" t="str">
        <f>HYPERLINK("https://vegkart.atlas.vegvesen.no/#/@272256.0,7039378.0,18/hva:hva%5B0%5D%5Bfilter%5D%5B0%5D%5Boperator%5D=%21%3D&amp;hva%5B0%5D%5Bfilter%5D%5B0%5D%5Btype_id%5D=5897&amp;hva%5B0%5D%5Bfilter%5D%5B0%5D%5Bverdi%5D=&amp;hva%5B0%5D%5Bid%5D=47/når:2015-03-25", "Vegkart")</f>
        <v>Vegkart</v>
      </c>
      <c r="B5903">
        <v>589722362</v>
      </c>
      <c r="C5903">
        <v>47</v>
      </c>
      <c r="D5903" t="s">
        <v>16854</v>
      </c>
      <c r="E5903">
        <v>5897</v>
      </c>
      <c r="F5903" t="s">
        <v>23479</v>
      </c>
      <c r="G5903">
        <v>1</v>
      </c>
      <c r="H5903" t="s">
        <v>19648</v>
      </c>
      <c r="J5903" t="s">
        <v>19043</v>
      </c>
      <c r="K5903" t="s">
        <v>192</v>
      </c>
      <c r="L5903" t="s">
        <v>22</v>
      </c>
      <c r="M5903" t="s">
        <v>19668</v>
      </c>
      <c r="N5903" t="s">
        <v>19672</v>
      </c>
      <c r="O5903" t="s">
        <v>19673</v>
      </c>
      <c r="P5903" s="2" t="s">
        <v>26</v>
      </c>
      <c r="Q5903" t="s">
        <v>50</v>
      </c>
      <c r="R5903">
        <v>39.4</v>
      </c>
      <c r="S5903">
        <v>39.97</v>
      </c>
      <c r="T5903" t="s">
        <v>19674</v>
      </c>
    </row>
    <row r="5904" spans="1:20" x14ac:dyDescent="0.25">
      <c r="A5904" s="1" t="str">
        <f>HYPERLINK("https://vegkart.atlas.vegvesen.no/#/@272168.6,7039537.7,18/hva:hva%5B0%5D%5Bfilter%5D%5B0%5D%5Boperator%5D=%21%3D&amp;hva%5B0%5D%5Bfilter%5D%5B0%5D%5Btype_id%5D=5897&amp;hva%5B0%5D%5Bfilter%5D%5B0%5D%5Bverdi%5D=&amp;hva%5B0%5D%5Bid%5D=47/når:2015-03-25", "Vegkart")</f>
        <v>Vegkart</v>
      </c>
      <c r="B5904">
        <v>589722367</v>
      </c>
      <c r="C5904">
        <v>47</v>
      </c>
      <c r="D5904" t="s">
        <v>16854</v>
      </c>
      <c r="E5904">
        <v>5897</v>
      </c>
      <c r="F5904" t="s">
        <v>23479</v>
      </c>
      <c r="G5904">
        <v>1</v>
      </c>
      <c r="H5904" t="s">
        <v>19648</v>
      </c>
      <c r="J5904" t="s">
        <v>19043</v>
      </c>
      <c r="K5904" t="s">
        <v>192</v>
      </c>
      <c r="L5904" t="s">
        <v>22</v>
      </c>
      <c r="M5904" t="s">
        <v>19668</v>
      </c>
      <c r="N5904" t="s">
        <v>19675</v>
      </c>
      <c r="O5904" t="s">
        <v>19676</v>
      </c>
      <c r="P5904" s="2" t="s">
        <v>26</v>
      </c>
      <c r="Q5904" t="s">
        <v>50</v>
      </c>
      <c r="R5904">
        <v>45.01</v>
      </c>
      <c r="S5904">
        <v>45.27</v>
      </c>
      <c r="T5904" t="s">
        <v>19677</v>
      </c>
    </row>
    <row r="5905" spans="1:20" x14ac:dyDescent="0.25">
      <c r="A5905" s="1" t="str">
        <f>HYPERLINK("https://vegkart.atlas.vegvesen.no/#/@272077.6,7039709.0,18/hva:hva%5B0%5D%5Bfilter%5D%5B0%5D%5Boperator%5D=%21%3D&amp;hva%5B0%5D%5Bfilter%5D%5B0%5D%5Btype_id%5D=5897&amp;hva%5B0%5D%5Bfilter%5D%5B0%5D%5Bverdi%5D=&amp;hva%5B0%5D%5Bid%5D=47/når:2015-03-25", "Vegkart")</f>
        <v>Vegkart</v>
      </c>
      <c r="B5905">
        <v>589722373</v>
      </c>
      <c r="C5905">
        <v>47</v>
      </c>
      <c r="D5905" t="s">
        <v>16854</v>
      </c>
      <c r="E5905">
        <v>5897</v>
      </c>
      <c r="F5905" t="s">
        <v>23479</v>
      </c>
      <c r="G5905">
        <v>1</v>
      </c>
      <c r="H5905" t="s">
        <v>19648</v>
      </c>
      <c r="J5905" t="s">
        <v>19043</v>
      </c>
      <c r="K5905" t="s">
        <v>192</v>
      </c>
      <c r="L5905" t="s">
        <v>22</v>
      </c>
      <c r="M5905" t="s">
        <v>19668</v>
      </c>
      <c r="N5905" t="s">
        <v>19678</v>
      </c>
      <c r="O5905" t="s">
        <v>19679</v>
      </c>
      <c r="P5905" s="2" t="s">
        <v>26</v>
      </c>
      <c r="Q5905" t="s">
        <v>50</v>
      </c>
      <c r="R5905">
        <v>57.27</v>
      </c>
      <c r="S5905">
        <v>57.53</v>
      </c>
      <c r="T5905" t="s">
        <v>19680</v>
      </c>
    </row>
    <row r="5906" spans="1:20" x14ac:dyDescent="0.25">
      <c r="A5906" s="1" t="str">
        <f>HYPERLINK("https://vegkart.atlas.vegvesen.no/#/@272054.1,7039821.5,18/hva:hva%5B0%5D%5Bfilter%5D%5B0%5D%5Boperator%5D=%21%3D&amp;hva%5B0%5D%5Bfilter%5D%5B0%5D%5Btype_id%5D=5897&amp;hva%5B0%5D%5Bfilter%5D%5B0%5D%5Bverdi%5D=&amp;hva%5B0%5D%5Bid%5D=47/når:2015-03-25", "Vegkart")</f>
        <v>Vegkart</v>
      </c>
      <c r="B5906">
        <v>589722379</v>
      </c>
      <c r="C5906">
        <v>47</v>
      </c>
      <c r="D5906" t="s">
        <v>16854</v>
      </c>
      <c r="E5906">
        <v>5897</v>
      </c>
      <c r="F5906" t="s">
        <v>23479</v>
      </c>
      <c r="G5906">
        <v>1</v>
      </c>
      <c r="H5906" t="s">
        <v>19648</v>
      </c>
      <c r="J5906" t="s">
        <v>19043</v>
      </c>
      <c r="K5906" t="s">
        <v>192</v>
      </c>
      <c r="L5906" t="s">
        <v>22</v>
      </c>
      <c r="M5906" t="s">
        <v>19668</v>
      </c>
      <c r="N5906" t="s">
        <v>19681</v>
      </c>
      <c r="O5906" t="s">
        <v>19682</v>
      </c>
      <c r="P5906" s="2" t="s">
        <v>26</v>
      </c>
      <c r="Q5906" t="s">
        <v>50</v>
      </c>
      <c r="R5906">
        <v>49.53</v>
      </c>
      <c r="S5906">
        <v>49.56</v>
      </c>
      <c r="T5906" t="s">
        <v>19683</v>
      </c>
    </row>
    <row r="5907" spans="1:20" x14ac:dyDescent="0.25">
      <c r="A5907" s="1" t="str">
        <f>HYPERLINK("https://vegkart.atlas.vegvesen.no/#/@271222.0,7040313.5,18/hva:hva%5B0%5D%5Bfilter%5D%5B0%5D%5Boperator%5D=%21%3D&amp;hva%5B0%5D%5Bfilter%5D%5B0%5D%5Btype_id%5D=5897&amp;hva%5B0%5D%5Bfilter%5D%5B0%5D%5Bverdi%5D=&amp;hva%5B0%5D%5Bid%5D=47/når:2015-03-25", "Vegkart")</f>
        <v>Vegkart</v>
      </c>
      <c r="B5907">
        <v>589722387</v>
      </c>
      <c r="C5907">
        <v>47</v>
      </c>
      <c r="D5907" t="s">
        <v>16854</v>
      </c>
      <c r="E5907">
        <v>5897</v>
      </c>
      <c r="F5907" t="s">
        <v>23479</v>
      </c>
      <c r="G5907">
        <v>1</v>
      </c>
      <c r="H5907" t="s">
        <v>19648</v>
      </c>
      <c r="J5907" t="s">
        <v>19043</v>
      </c>
      <c r="K5907" t="s">
        <v>192</v>
      </c>
      <c r="L5907" t="s">
        <v>22</v>
      </c>
      <c r="M5907" t="s">
        <v>19668</v>
      </c>
      <c r="N5907" t="s">
        <v>19684</v>
      </c>
      <c r="O5907" t="s">
        <v>19685</v>
      </c>
      <c r="P5907" s="2" t="s">
        <v>26</v>
      </c>
      <c r="Q5907" t="s">
        <v>50</v>
      </c>
      <c r="R5907">
        <v>44.01</v>
      </c>
      <c r="S5907">
        <v>44.66</v>
      </c>
      <c r="T5907" t="s">
        <v>19686</v>
      </c>
    </row>
    <row r="5908" spans="1:20" x14ac:dyDescent="0.25">
      <c r="A5908" s="1" t="str">
        <f>HYPERLINK("https://vegkart.atlas.vegvesen.no/#/@272095.5,7040726.0,18/hva:hva%5B0%5D%5Bfilter%5D%5B0%5D%5Boperator%5D=%21%3D&amp;hva%5B0%5D%5Bfilter%5D%5B0%5D%5Btype_id%5D=5897&amp;hva%5B0%5D%5Bfilter%5D%5B0%5D%5Bverdi%5D=&amp;hva%5B0%5D%5Bid%5D=47/når:2015-03-25", "Vegkart")</f>
        <v>Vegkart</v>
      </c>
      <c r="B5908">
        <v>589722405</v>
      </c>
      <c r="C5908">
        <v>47</v>
      </c>
      <c r="D5908" t="s">
        <v>16854</v>
      </c>
      <c r="E5908">
        <v>5897</v>
      </c>
      <c r="F5908" t="s">
        <v>23479</v>
      </c>
      <c r="G5908">
        <v>1</v>
      </c>
      <c r="H5908" t="s">
        <v>19648</v>
      </c>
      <c r="J5908" t="s">
        <v>19043</v>
      </c>
      <c r="K5908" t="s">
        <v>192</v>
      </c>
      <c r="L5908" t="s">
        <v>22</v>
      </c>
      <c r="M5908" t="s">
        <v>19687</v>
      </c>
      <c r="N5908" t="s">
        <v>19688</v>
      </c>
      <c r="O5908" t="s">
        <v>19689</v>
      </c>
      <c r="P5908" s="2" t="s">
        <v>26</v>
      </c>
      <c r="Q5908" t="s">
        <v>50</v>
      </c>
      <c r="R5908">
        <v>50.76</v>
      </c>
      <c r="S5908">
        <v>51.42</v>
      </c>
      <c r="T5908" t="s">
        <v>19690</v>
      </c>
    </row>
    <row r="5909" spans="1:20" x14ac:dyDescent="0.25">
      <c r="A5909" s="1" t="str">
        <f>HYPERLINK("https://vegkart.atlas.vegvesen.no/#/@272372.1,7041501.6,18/hva:hva%5B0%5D%5Bfilter%5D%5B0%5D%5Boperator%5D=%21%3D&amp;hva%5B0%5D%5Bfilter%5D%5B0%5D%5Btype_id%5D=5897&amp;hva%5B0%5D%5Bfilter%5D%5B0%5D%5Bverdi%5D=&amp;hva%5B0%5D%5Bid%5D=47/når:2018-09-12", "Vegkart")</f>
        <v>Vegkart</v>
      </c>
      <c r="B5909">
        <v>589722424</v>
      </c>
      <c r="C5909">
        <v>47</v>
      </c>
      <c r="D5909" t="s">
        <v>16854</v>
      </c>
      <c r="E5909">
        <v>5897</v>
      </c>
      <c r="F5909" t="s">
        <v>23479</v>
      </c>
      <c r="G5909">
        <v>2</v>
      </c>
      <c r="H5909" t="s">
        <v>19691</v>
      </c>
      <c r="J5909" t="s">
        <v>19043</v>
      </c>
      <c r="K5909" t="s">
        <v>192</v>
      </c>
      <c r="L5909" t="s">
        <v>22</v>
      </c>
      <c r="M5909" t="s">
        <v>19692</v>
      </c>
      <c r="N5909" t="s">
        <v>19693</v>
      </c>
      <c r="O5909" t="s">
        <v>19694</v>
      </c>
      <c r="P5909" s="2" t="s">
        <v>26</v>
      </c>
      <c r="Q5909" t="s">
        <v>50</v>
      </c>
      <c r="R5909">
        <v>40.42</v>
      </c>
      <c r="S5909">
        <v>40.840000000000003</v>
      </c>
      <c r="T5909" t="s">
        <v>19695</v>
      </c>
    </row>
    <row r="5910" spans="1:20" x14ac:dyDescent="0.25">
      <c r="A5910" s="1" t="str">
        <f>HYPERLINK("https://vegkart.atlas.vegvesen.no/#/@272679.1,7041763.5,18/hva:hva%5B0%5D%5Bfilter%5D%5B0%5D%5Boperator%5D=%21%3D&amp;hva%5B0%5D%5Bfilter%5D%5B0%5D%5Btype_id%5D=5897&amp;hva%5B0%5D%5Bfilter%5D%5B0%5D%5Bverdi%5D=&amp;hva%5B0%5D%5Bid%5D=47/når:2015-03-25", "Vegkart")</f>
        <v>Vegkart</v>
      </c>
      <c r="B5910">
        <v>589722432</v>
      </c>
      <c r="C5910">
        <v>47</v>
      </c>
      <c r="D5910" t="s">
        <v>16854</v>
      </c>
      <c r="E5910">
        <v>5897</v>
      </c>
      <c r="F5910" t="s">
        <v>23479</v>
      </c>
      <c r="G5910">
        <v>1</v>
      </c>
      <c r="H5910" t="s">
        <v>19648</v>
      </c>
      <c r="J5910" t="s">
        <v>19043</v>
      </c>
      <c r="K5910" t="s">
        <v>192</v>
      </c>
      <c r="L5910" t="s">
        <v>22</v>
      </c>
      <c r="M5910" t="s">
        <v>19692</v>
      </c>
      <c r="N5910" t="s">
        <v>19696</v>
      </c>
      <c r="O5910" t="s">
        <v>19697</v>
      </c>
      <c r="P5910" s="2" t="s">
        <v>26</v>
      </c>
      <c r="Q5910" t="s">
        <v>50</v>
      </c>
      <c r="R5910">
        <v>37.979999999999997</v>
      </c>
      <c r="S5910">
        <v>38.5</v>
      </c>
      <c r="T5910" t="s">
        <v>19698</v>
      </c>
    </row>
    <row r="5911" spans="1:20" x14ac:dyDescent="0.25">
      <c r="A5911" s="1" t="str">
        <f>HYPERLINK("https://vegkart.atlas.vegvesen.no/#/@273062.8,7041698.6,18/hva:hva%5B0%5D%5Bfilter%5D%5B0%5D%5Boperator%5D=%21%3D&amp;hva%5B0%5D%5Bfilter%5D%5B0%5D%5Btype_id%5D=5897&amp;hva%5B0%5D%5Bfilter%5D%5B0%5D%5Bverdi%5D=&amp;hva%5B0%5D%5Bid%5D=47/når:2015-03-25", "Vegkart")</f>
        <v>Vegkart</v>
      </c>
      <c r="B5911">
        <v>589722452</v>
      </c>
      <c r="C5911">
        <v>47</v>
      </c>
      <c r="D5911" t="s">
        <v>16854</v>
      </c>
      <c r="E5911">
        <v>5897</v>
      </c>
      <c r="F5911" t="s">
        <v>23479</v>
      </c>
      <c r="G5911">
        <v>1</v>
      </c>
      <c r="H5911" t="s">
        <v>19648</v>
      </c>
      <c r="J5911" t="s">
        <v>19043</v>
      </c>
      <c r="K5911" t="s">
        <v>192</v>
      </c>
      <c r="L5911" t="s">
        <v>22</v>
      </c>
      <c r="M5911" t="s">
        <v>19699</v>
      </c>
      <c r="N5911" t="s">
        <v>19700</v>
      </c>
      <c r="O5911" t="s">
        <v>19701</v>
      </c>
      <c r="P5911" s="2" t="s">
        <v>26</v>
      </c>
      <c r="Q5911" t="s">
        <v>50</v>
      </c>
      <c r="R5911">
        <v>45.71</v>
      </c>
      <c r="S5911">
        <v>46.15</v>
      </c>
      <c r="T5911" t="s">
        <v>19702</v>
      </c>
    </row>
    <row r="5912" spans="1:20" x14ac:dyDescent="0.25">
      <c r="A5912" s="1" t="str">
        <f>HYPERLINK("https://vegkart.atlas.vegvesen.no/#/@273072.9,7041622.3,18/hva:hva%5B0%5D%5Bfilter%5D%5B0%5D%5Boperator%5D=%21%3D&amp;hva%5B0%5D%5Bfilter%5D%5B0%5D%5Btype_id%5D=5897&amp;hva%5B0%5D%5Bfilter%5D%5B0%5D%5Bverdi%5D=&amp;hva%5B0%5D%5Bid%5D=47/når:2015-03-25", "Vegkart")</f>
        <v>Vegkart</v>
      </c>
      <c r="B5912">
        <v>589722456</v>
      </c>
      <c r="C5912">
        <v>47</v>
      </c>
      <c r="D5912" t="s">
        <v>16854</v>
      </c>
      <c r="E5912">
        <v>5897</v>
      </c>
      <c r="F5912" t="s">
        <v>23479</v>
      </c>
      <c r="G5912">
        <v>1</v>
      </c>
      <c r="H5912" t="s">
        <v>19648</v>
      </c>
      <c r="J5912" t="s">
        <v>19043</v>
      </c>
      <c r="K5912" t="s">
        <v>192</v>
      </c>
      <c r="L5912" t="s">
        <v>22</v>
      </c>
      <c r="M5912" t="s">
        <v>19699</v>
      </c>
      <c r="N5912" t="s">
        <v>19703</v>
      </c>
      <c r="O5912" t="s">
        <v>19704</v>
      </c>
      <c r="P5912" s="2" t="s">
        <v>26</v>
      </c>
      <c r="Q5912" t="s">
        <v>50</v>
      </c>
      <c r="R5912">
        <v>45.65</v>
      </c>
      <c r="S5912">
        <v>47.09</v>
      </c>
      <c r="T5912" t="s">
        <v>19705</v>
      </c>
    </row>
    <row r="5913" spans="1:20" x14ac:dyDescent="0.25">
      <c r="A5913" s="1" t="str">
        <f>HYPERLINK("https://vegkart.atlas.vegvesen.no/#/@271039.2,7039964.8,18/hva:hva%5B0%5D%5Bfilter%5D%5B0%5D%5Boperator%5D=%21%3D&amp;hva%5B0%5D%5Bfilter%5D%5B0%5D%5Btype_id%5D=5897&amp;hva%5B0%5D%5Bfilter%5D%5B0%5D%5Bverdi%5D=&amp;hva%5B0%5D%5Bid%5D=47/når:2015-03-25", "Vegkart")</f>
        <v>Vegkart</v>
      </c>
      <c r="B5913">
        <v>589722462</v>
      </c>
      <c r="C5913">
        <v>47</v>
      </c>
      <c r="D5913" t="s">
        <v>16854</v>
      </c>
      <c r="E5913">
        <v>5897</v>
      </c>
      <c r="F5913" t="s">
        <v>23479</v>
      </c>
      <c r="G5913">
        <v>1</v>
      </c>
      <c r="H5913" t="s">
        <v>19648</v>
      </c>
      <c r="J5913" t="s">
        <v>19043</v>
      </c>
      <c r="K5913" t="s">
        <v>192</v>
      </c>
      <c r="L5913" t="s">
        <v>22</v>
      </c>
      <c r="M5913" t="s">
        <v>19706</v>
      </c>
      <c r="N5913" t="s">
        <v>19707</v>
      </c>
      <c r="O5913" t="s">
        <v>19708</v>
      </c>
      <c r="P5913" s="2" t="s">
        <v>26</v>
      </c>
      <c r="Q5913" t="s">
        <v>50</v>
      </c>
      <c r="R5913">
        <v>51.01</v>
      </c>
      <c r="S5913">
        <v>51.46</v>
      </c>
      <c r="T5913" t="s">
        <v>19709</v>
      </c>
    </row>
    <row r="5914" spans="1:20" x14ac:dyDescent="0.25">
      <c r="A5914" s="1" t="str">
        <f>HYPERLINK("https://vegkart.atlas.vegvesen.no/#/@270931.0,7040186.0,18/hva:hva%5B0%5D%5Bfilter%5D%5B0%5D%5Boperator%5D=%21%3D&amp;hva%5B0%5D%5Bfilter%5D%5B0%5D%5Btype_id%5D=5897&amp;hva%5B0%5D%5Bfilter%5D%5B0%5D%5Bverdi%5D=&amp;hva%5B0%5D%5Bid%5D=47/når:2015-03-25", "Vegkart")</f>
        <v>Vegkart</v>
      </c>
      <c r="B5914">
        <v>589722467</v>
      </c>
      <c r="C5914">
        <v>47</v>
      </c>
      <c r="D5914" t="s">
        <v>16854</v>
      </c>
      <c r="E5914">
        <v>5897</v>
      </c>
      <c r="F5914" t="s">
        <v>23479</v>
      </c>
      <c r="G5914">
        <v>1</v>
      </c>
      <c r="H5914" t="s">
        <v>19648</v>
      </c>
      <c r="J5914" t="s">
        <v>19043</v>
      </c>
      <c r="K5914" t="s">
        <v>192</v>
      </c>
      <c r="L5914" t="s">
        <v>22</v>
      </c>
      <c r="M5914" t="s">
        <v>19710</v>
      </c>
      <c r="N5914" t="s">
        <v>19711</v>
      </c>
      <c r="O5914" t="s">
        <v>19712</v>
      </c>
      <c r="P5914" s="2" t="s">
        <v>26</v>
      </c>
      <c r="Q5914" t="s">
        <v>50</v>
      </c>
      <c r="R5914">
        <v>72.680000000000007</v>
      </c>
      <c r="S5914">
        <v>73.599999999999994</v>
      </c>
      <c r="T5914" t="s">
        <v>19713</v>
      </c>
    </row>
    <row r="5915" spans="1:20" x14ac:dyDescent="0.25">
      <c r="A5915" s="1" t="str">
        <f>HYPERLINK("https://vegkart.atlas.vegvesen.no/#/@270847.0,7040239.0,18/hva:hva%5B0%5D%5Bfilter%5D%5B0%5D%5Boperator%5D=%21%3D&amp;hva%5B0%5D%5Bfilter%5D%5B0%5D%5Btype_id%5D=5897&amp;hva%5B0%5D%5Bfilter%5D%5B0%5D%5Bverdi%5D=&amp;hva%5B0%5D%5Bid%5D=47/når:2015-03-25", "Vegkart")</f>
        <v>Vegkart</v>
      </c>
      <c r="B5915">
        <v>589722473</v>
      </c>
      <c r="C5915">
        <v>47</v>
      </c>
      <c r="D5915" t="s">
        <v>16854</v>
      </c>
      <c r="E5915">
        <v>5897</v>
      </c>
      <c r="F5915" t="s">
        <v>23479</v>
      </c>
      <c r="G5915">
        <v>1</v>
      </c>
      <c r="H5915" t="s">
        <v>19648</v>
      </c>
      <c r="J5915" t="s">
        <v>19043</v>
      </c>
      <c r="K5915" t="s">
        <v>192</v>
      </c>
      <c r="L5915" t="s">
        <v>22</v>
      </c>
      <c r="M5915" t="s">
        <v>19714</v>
      </c>
      <c r="N5915" t="s">
        <v>19715</v>
      </c>
      <c r="O5915" t="s">
        <v>19716</v>
      </c>
      <c r="P5915" s="2" t="s">
        <v>26</v>
      </c>
      <c r="Q5915" t="s">
        <v>50</v>
      </c>
      <c r="R5915">
        <v>44.99</v>
      </c>
      <c r="S5915">
        <v>45.59</v>
      </c>
      <c r="T5915" t="s">
        <v>19717</v>
      </c>
    </row>
    <row r="5916" spans="1:20" x14ac:dyDescent="0.25">
      <c r="A5916" s="1" t="str">
        <f>HYPERLINK("https://vegkart.atlas.vegvesen.no/#/@270796.4,7040412.5,18/hva:hva%5B0%5D%5Bfilter%5D%5B0%5D%5Boperator%5D=%21%3D&amp;hva%5B0%5D%5Bfilter%5D%5B0%5D%5Btype_id%5D=5897&amp;hva%5B0%5D%5Bfilter%5D%5B0%5D%5Bverdi%5D=&amp;hva%5B0%5D%5Bid%5D=47/når:2015-03-25", "Vegkart")</f>
        <v>Vegkart</v>
      </c>
      <c r="B5916">
        <v>589722479</v>
      </c>
      <c r="C5916">
        <v>47</v>
      </c>
      <c r="D5916" t="s">
        <v>16854</v>
      </c>
      <c r="E5916">
        <v>5897</v>
      </c>
      <c r="F5916" t="s">
        <v>23479</v>
      </c>
      <c r="G5916">
        <v>1</v>
      </c>
      <c r="H5916" t="s">
        <v>19648</v>
      </c>
      <c r="J5916" t="s">
        <v>19043</v>
      </c>
      <c r="K5916" t="s">
        <v>192</v>
      </c>
      <c r="L5916" t="s">
        <v>22</v>
      </c>
      <c r="M5916" t="s">
        <v>19714</v>
      </c>
      <c r="N5916" t="s">
        <v>19718</v>
      </c>
      <c r="O5916" t="s">
        <v>19719</v>
      </c>
      <c r="P5916" s="2" t="s">
        <v>26</v>
      </c>
      <c r="Q5916" t="s">
        <v>50</v>
      </c>
      <c r="R5916">
        <v>48.46</v>
      </c>
      <c r="S5916">
        <v>49.19</v>
      </c>
      <c r="T5916" t="s">
        <v>19720</v>
      </c>
    </row>
    <row r="5917" spans="1:20" x14ac:dyDescent="0.25">
      <c r="A5917" s="1" t="str">
        <f>HYPERLINK("https://vegkart.atlas.vegvesen.no/#/@270780.2,7040413.9,18/hva:hva%5B0%5D%5Bfilter%5D%5B0%5D%5Boperator%5D=%21%3D&amp;hva%5B0%5D%5Bfilter%5D%5B0%5D%5Btype_id%5D=5897&amp;hva%5B0%5D%5Bfilter%5D%5B0%5D%5Bverdi%5D=&amp;hva%5B0%5D%5Bid%5D=47/når:2015-03-25", "Vegkart")</f>
        <v>Vegkart</v>
      </c>
      <c r="B5917">
        <v>589722484</v>
      </c>
      <c r="C5917">
        <v>47</v>
      </c>
      <c r="D5917" t="s">
        <v>16854</v>
      </c>
      <c r="E5917">
        <v>5897</v>
      </c>
      <c r="F5917" t="s">
        <v>23479</v>
      </c>
      <c r="G5917">
        <v>1</v>
      </c>
      <c r="H5917" t="s">
        <v>19648</v>
      </c>
      <c r="J5917" t="s">
        <v>19043</v>
      </c>
      <c r="K5917" t="s">
        <v>192</v>
      </c>
      <c r="L5917" t="s">
        <v>22</v>
      </c>
      <c r="M5917" t="s">
        <v>19714</v>
      </c>
      <c r="N5917" t="s">
        <v>19721</v>
      </c>
      <c r="O5917" t="s">
        <v>19722</v>
      </c>
      <c r="P5917" s="2" t="s">
        <v>26</v>
      </c>
      <c r="Q5917" t="s">
        <v>50</v>
      </c>
      <c r="R5917">
        <v>34.9</v>
      </c>
      <c r="S5917">
        <v>34.97</v>
      </c>
      <c r="T5917" t="s">
        <v>19723</v>
      </c>
    </row>
    <row r="5918" spans="1:20" x14ac:dyDescent="0.25">
      <c r="A5918" s="1" t="str">
        <f>HYPERLINK("https://vegkart.atlas.vegvesen.no/#/@269802.8,7040692.9,18/hva:hva%5B0%5D%5Bfilter%5D%5B0%5D%5Boperator%5D=%21%3D&amp;hva%5B0%5D%5Bfilter%5D%5B0%5D%5Btype_id%5D=5897&amp;hva%5B0%5D%5Bfilter%5D%5B0%5D%5Bverdi%5D=&amp;hva%5B0%5D%5Bid%5D=47/når:2015-03-26", "Vegkart")</f>
        <v>Vegkart</v>
      </c>
      <c r="B5918">
        <v>589733437</v>
      </c>
      <c r="C5918">
        <v>47</v>
      </c>
      <c r="D5918" t="s">
        <v>16854</v>
      </c>
      <c r="E5918">
        <v>5897</v>
      </c>
      <c r="F5918" t="s">
        <v>23479</v>
      </c>
      <c r="G5918">
        <v>1</v>
      </c>
      <c r="H5918" t="s">
        <v>19724</v>
      </c>
      <c r="J5918" t="s">
        <v>19043</v>
      </c>
      <c r="K5918" t="s">
        <v>192</v>
      </c>
      <c r="L5918" t="s">
        <v>22</v>
      </c>
      <c r="M5918" t="s">
        <v>19725</v>
      </c>
      <c r="N5918" t="s">
        <v>19726</v>
      </c>
      <c r="O5918" t="s">
        <v>19727</v>
      </c>
      <c r="P5918" s="2" t="s">
        <v>26</v>
      </c>
      <c r="Q5918" t="s">
        <v>50</v>
      </c>
      <c r="R5918">
        <v>52.67</v>
      </c>
      <c r="S5918">
        <v>55.43</v>
      </c>
      <c r="T5918" t="s">
        <v>19728</v>
      </c>
    </row>
    <row r="5919" spans="1:20" x14ac:dyDescent="0.25">
      <c r="A5919" s="1" t="str">
        <f>HYPERLINK("https://vegkart.atlas.vegvesen.no/#/@268961.5,7040952.6,18/hva:hva%5B0%5D%5Bfilter%5D%5B0%5D%5Boperator%5D=%21%3D&amp;hva%5B0%5D%5Bfilter%5D%5B0%5D%5Btype_id%5D=5897&amp;hva%5B0%5D%5Bfilter%5D%5B0%5D%5Bverdi%5D=&amp;hva%5B0%5D%5Bid%5D=47/når:2015-03-26", "Vegkart")</f>
        <v>Vegkart</v>
      </c>
      <c r="B5919">
        <v>589733449</v>
      </c>
      <c r="C5919">
        <v>47</v>
      </c>
      <c r="D5919" t="s">
        <v>16854</v>
      </c>
      <c r="E5919">
        <v>5897</v>
      </c>
      <c r="F5919" t="s">
        <v>23479</v>
      </c>
      <c r="G5919">
        <v>1</v>
      </c>
      <c r="H5919" t="s">
        <v>19724</v>
      </c>
      <c r="J5919" t="s">
        <v>19043</v>
      </c>
      <c r="K5919" t="s">
        <v>192</v>
      </c>
      <c r="L5919" t="s">
        <v>22</v>
      </c>
      <c r="M5919" t="s">
        <v>2225</v>
      </c>
      <c r="N5919" t="s">
        <v>19729</v>
      </c>
      <c r="O5919" t="s">
        <v>19730</v>
      </c>
      <c r="P5919" s="2" t="s">
        <v>26</v>
      </c>
      <c r="Q5919" t="s">
        <v>50</v>
      </c>
      <c r="R5919">
        <v>39.880000000000003</v>
      </c>
      <c r="S5919">
        <v>40.43</v>
      </c>
      <c r="T5919" t="s">
        <v>19731</v>
      </c>
    </row>
    <row r="5920" spans="1:20" x14ac:dyDescent="0.25">
      <c r="A5920" s="1" t="str">
        <f>HYPERLINK("https://vegkart.atlas.vegvesen.no/#/@176118.4,7038285.9,18/hva:hva%5B0%5D%5Bfilter%5D%5B0%5D%5Boperator%5D=%21%3D&amp;hva%5B0%5D%5Bfilter%5D%5B0%5D%5Btype_id%5D=5897&amp;hva%5B0%5D%5Bfilter%5D%5B0%5D%5Bverdi%5D=&amp;hva%5B0%5D%5Bid%5D=47/når:2014-02-17", "Vegkart")</f>
        <v>Vegkart</v>
      </c>
      <c r="B5920">
        <v>590599680</v>
      </c>
      <c r="C5920">
        <v>47</v>
      </c>
      <c r="D5920" t="s">
        <v>16854</v>
      </c>
      <c r="E5920">
        <v>5897</v>
      </c>
      <c r="F5920" t="s">
        <v>23479</v>
      </c>
      <c r="G5920">
        <v>1</v>
      </c>
      <c r="H5920" t="s">
        <v>19732</v>
      </c>
      <c r="J5920" t="s">
        <v>19733</v>
      </c>
      <c r="K5920" t="s">
        <v>32</v>
      </c>
      <c r="L5920" t="s">
        <v>33</v>
      </c>
      <c r="M5920" t="s">
        <v>19734</v>
      </c>
      <c r="N5920" t="s">
        <v>19735</v>
      </c>
      <c r="O5920" t="s">
        <v>19736</v>
      </c>
      <c r="P5920" s="2" t="s">
        <v>26</v>
      </c>
      <c r="Q5920" t="s">
        <v>50</v>
      </c>
      <c r="R5920">
        <v>31.67</v>
      </c>
      <c r="S5920">
        <v>32.51</v>
      </c>
      <c r="T5920" t="s">
        <v>19737</v>
      </c>
    </row>
    <row r="5921" spans="1:20" x14ac:dyDescent="0.25">
      <c r="A5921" s="1" t="str">
        <f>HYPERLINK("https://vegkart.atlas.vegvesen.no/#/@174966.9,7038295.3,18/hva:hva%5B0%5D%5Bfilter%5D%5B0%5D%5Boperator%5D=%21%3D&amp;hva%5B0%5D%5Bfilter%5D%5B0%5D%5Btype_id%5D=5897&amp;hva%5B0%5D%5Bfilter%5D%5B0%5D%5Bverdi%5D=&amp;hva%5B0%5D%5Bid%5D=47/når:2014-02-17", "Vegkart")</f>
        <v>Vegkart</v>
      </c>
      <c r="B5921">
        <v>590599681</v>
      </c>
      <c r="C5921">
        <v>47</v>
      </c>
      <c r="D5921" t="s">
        <v>16854</v>
      </c>
      <c r="E5921">
        <v>5897</v>
      </c>
      <c r="F5921" t="s">
        <v>23479</v>
      </c>
      <c r="G5921">
        <v>1</v>
      </c>
      <c r="H5921" t="s">
        <v>19732</v>
      </c>
      <c r="J5921" t="s">
        <v>19733</v>
      </c>
      <c r="K5921" t="s">
        <v>32</v>
      </c>
      <c r="L5921" t="s">
        <v>33</v>
      </c>
      <c r="M5921" t="s">
        <v>19734</v>
      </c>
      <c r="N5921" t="s">
        <v>19738</v>
      </c>
      <c r="O5921" t="s">
        <v>19739</v>
      </c>
      <c r="P5921" s="2" t="s">
        <v>26</v>
      </c>
      <c r="Q5921" t="s">
        <v>50</v>
      </c>
      <c r="R5921">
        <v>49.05</v>
      </c>
      <c r="S5921">
        <v>49.19</v>
      </c>
      <c r="T5921" t="s">
        <v>19740</v>
      </c>
    </row>
    <row r="5922" spans="1:20" x14ac:dyDescent="0.25">
      <c r="A5922" s="1" t="str">
        <f>HYPERLINK("https://vegkart.atlas.vegvesen.no/#/@174289.2,7038760.0,18/hva:hva%5B0%5D%5Bfilter%5D%5B0%5D%5Boperator%5D=%21%3D&amp;hva%5B0%5D%5Bfilter%5D%5B0%5D%5Btype_id%5D=5897&amp;hva%5B0%5D%5Bfilter%5D%5B0%5D%5Bverdi%5D=&amp;hva%5B0%5D%5Bid%5D=47/når:2014-02-17", "Vegkart")</f>
        <v>Vegkart</v>
      </c>
      <c r="B5922">
        <v>590599682</v>
      </c>
      <c r="C5922">
        <v>47</v>
      </c>
      <c r="D5922" t="s">
        <v>16854</v>
      </c>
      <c r="E5922">
        <v>5897</v>
      </c>
      <c r="F5922" t="s">
        <v>23479</v>
      </c>
      <c r="G5922">
        <v>1</v>
      </c>
      <c r="H5922" t="s">
        <v>19732</v>
      </c>
      <c r="J5922" t="s">
        <v>19733</v>
      </c>
      <c r="K5922" t="s">
        <v>32</v>
      </c>
      <c r="L5922" t="s">
        <v>33</v>
      </c>
      <c r="M5922" t="s">
        <v>19734</v>
      </c>
      <c r="N5922" t="s">
        <v>19741</v>
      </c>
      <c r="O5922" t="s">
        <v>19742</v>
      </c>
      <c r="P5922" s="2" t="s">
        <v>26</v>
      </c>
      <c r="Q5922" t="s">
        <v>50</v>
      </c>
      <c r="R5922">
        <v>39.619999999999997</v>
      </c>
      <c r="S5922">
        <v>40.03</v>
      </c>
      <c r="T5922" t="s">
        <v>19743</v>
      </c>
    </row>
    <row r="5923" spans="1:20" x14ac:dyDescent="0.25">
      <c r="A5923" s="1" t="str">
        <f>HYPERLINK("https://vegkart.atlas.vegvesen.no/#/@174154.1,7038759.5,18/hva:hva%5B0%5D%5Bfilter%5D%5B0%5D%5Boperator%5D=%21%3D&amp;hva%5B0%5D%5Bfilter%5D%5B0%5D%5Btype_id%5D=5897&amp;hva%5B0%5D%5Bfilter%5D%5B0%5D%5Bverdi%5D=&amp;hva%5B0%5D%5Bid%5D=47/når:2014-02-17", "Vegkart")</f>
        <v>Vegkart</v>
      </c>
      <c r="B5923">
        <v>590599683</v>
      </c>
      <c r="C5923">
        <v>47</v>
      </c>
      <c r="D5923" t="s">
        <v>16854</v>
      </c>
      <c r="E5923">
        <v>5897</v>
      </c>
      <c r="F5923" t="s">
        <v>23479</v>
      </c>
      <c r="G5923">
        <v>1</v>
      </c>
      <c r="H5923" t="s">
        <v>19732</v>
      </c>
      <c r="J5923" t="s">
        <v>19733</v>
      </c>
      <c r="K5923" t="s">
        <v>32</v>
      </c>
      <c r="L5923" t="s">
        <v>33</v>
      </c>
      <c r="M5923" t="s">
        <v>19734</v>
      </c>
      <c r="N5923" t="s">
        <v>19744</v>
      </c>
      <c r="O5923" t="s">
        <v>19745</v>
      </c>
      <c r="P5923" s="2" t="s">
        <v>26</v>
      </c>
      <c r="Q5923" t="s">
        <v>50</v>
      </c>
      <c r="R5923">
        <v>48.2</v>
      </c>
      <c r="S5923">
        <v>48.45</v>
      </c>
      <c r="T5923" t="s">
        <v>19746</v>
      </c>
    </row>
    <row r="5924" spans="1:20" x14ac:dyDescent="0.25">
      <c r="A5924" s="1" t="str">
        <f>HYPERLINK("https://vegkart.atlas.vegvesen.no/#/@173457.5,7038733.3,18/hva:hva%5B0%5D%5Bfilter%5D%5B0%5D%5Boperator%5D=%21%3D&amp;hva%5B0%5D%5Bfilter%5D%5B0%5D%5Btype_id%5D=5897&amp;hva%5B0%5D%5Bfilter%5D%5B0%5D%5Bverdi%5D=&amp;hva%5B0%5D%5Bid%5D=47/når:2014-02-17", "Vegkart")</f>
        <v>Vegkart</v>
      </c>
      <c r="B5924">
        <v>590599684</v>
      </c>
      <c r="C5924">
        <v>47</v>
      </c>
      <c r="D5924" t="s">
        <v>16854</v>
      </c>
      <c r="E5924">
        <v>5897</v>
      </c>
      <c r="F5924" t="s">
        <v>23479</v>
      </c>
      <c r="G5924">
        <v>1</v>
      </c>
      <c r="H5924" t="s">
        <v>19732</v>
      </c>
      <c r="J5924" t="s">
        <v>19733</v>
      </c>
      <c r="K5924" t="s">
        <v>32</v>
      </c>
      <c r="L5924" t="s">
        <v>33</v>
      </c>
      <c r="M5924" t="s">
        <v>19734</v>
      </c>
      <c r="N5924" t="s">
        <v>19747</v>
      </c>
      <c r="O5924" t="s">
        <v>19748</v>
      </c>
      <c r="P5924" s="2" t="s">
        <v>26</v>
      </c>
      <c r="Q5924" t="s">
        <v>50</v>
      </c>
      <c r="R5924">
        <v>38.65</v>
      </c>
      <c r="S5924">
        <v>38.69</v>
      </c>
      <c r="T5924" t="s">
        <v>19749</v>
      </c>
    </row>
    <row r="5925" spans="1:20" x14ac:dyDescent="0.25">
      <c r="A5925" s="1" t="str">
        <f>HYPERLINK("https://vegkart.atlas.vegvesen.no/#/@268408.0,7041204.1,18/hva:hva%5B0%5D%5Bfilter%5D%5B0%5D%5Boperator%5D=%21%3D&amp;hva%5B0%5D%5Bfilter%5D%5B0%5D%5Btype_id%5D=5897&amp;hva%5B0%5D%5Bfilter%5D%5B0%5D%5Bverdi%5D=&amp;hva%5B0%5D%5Bid%5D=47/når:2015-04-08", "Vegkart")</f>
        <v>Vegkart</v>
      </c>
      <c r="B5925">
        <v>590618937</v>
      </c>
      <c r="C5925">
        <v>47</v>
      </c>
      <c r="D5925" t="s">
        <v>16854</v>
      </c>
      <c r="E5925">
        <v>5897</v>
      </c>
      <c r="F5925" t="s">
        <v>23479</v>
      </c>
      <c r="G5925">
        <v>1</v>
      </c>
      <c r="H5925" t="s">
        <v>19750</v>
      </c>
      <c r="J5925" t="s">
        <v>19733</v>
      </c>
      <c r="K5925" t="s">
        <v>192</v>
      </c>
      <c r="L5925" t="s">
        <v>22</v>
      </c>
      <c r="M5925" t="s">
        <v>7949</v>
      </c>
      <c r="N5925" t="s">
        <v>19751</v>
      </c>
      <c r="O5925" t="s">
        <v>19752</v>
      </c>
      <c r="P5925" s="2" t="s">
        <v>26</v>
      </c>
      <c r="Q5925" t="s">
        <v>50</v>
      </c>
      <c r="R5925">
        <v>59.03</v>
      </c>
      <c r="S5925">
        <v>59.46</v>
      </c>
      <c r="T5925" t="s">
        <v>19753</v>
      </c>
    </row>
    <row r="5926" spans="1:20" x14ac:dyDescent="0.25">
      <c r="A5926" s="1" t="str">
        <f>HYPERLINK("https://vegkart.atlas.vegvesen.no/#/@277409.1,7041060.9,18/hva:hva%5B0%5D%5Bfilter%5D%5B0%5D%5Boperator%5D=%21%3D&amp;hva%5B0%5D%5Bfilter%5D%5B0%5D%5Btype_id%5D=5897&amp;hva%5B0%5D%5Bfilter%5D%5B0%5D%5Bverdi%5D=&amp;hva%5B0%5D%5Bid%5D=47/når:2015-04-08", "Vegkart")</f>
        <v>Vegkart</v>
      </c>
      <c r="B5926">
        <v>590660659</v>
      </c>
      <c r="C5926">
        <v>47</v>
      </c>
      <c r="D5926" t="s">
        <v>16854</v>
      </c>
      <c r="E5926">
        <v>5897</v>
      </c>
      <c r="F5926" t="s">
        <v>23479</v>
      </c>
      <c r="G5926">
        <v>1</v>
      </c>
      <c r="H5926" t="s">
        <v>19750</v>
      </c>
      <c r="J5926" t="s">
        <v>19733</v>
      </c>
      <c r="K5926" t="s">
        <v>192</v>
      </c>
      <c r="L5926" t="s">
        <v>22</v>
      </c>
      <c r="M5926" t="s">
        <v>18886</v>
      </c>
      <c r="N5926" t="s">
        <v>19754</v>
      </c>
      <c r="O5926" t="s">
        <v>19755</v>
      </c>
      <c r="P5926" s="2" t="s">
        <v>26</v>
      </c>
      <c r="Q5926" t="s">
        <v>50</v>
      </c>
      <c r="R5926">
        <v>57.34</v>
      </c>
      <c r="S5926">
        <v>57.4</v>
      </c>
      <c r="T5926" t="s">
        <v>19756</v>
      </c>
    </row>
    <row r="5927" spans="1:20" x14ac:dyDescent="0.25">
      <c r="A5927" s="1" t="str">
        <f>HYPERLINK("https://vegkart.atlas.vegvesen.no/#/@277412.9,7041074.4,18/hva:hva%5B0%5D%5Bfilter%5D%5B0%5D%5Boperator%5D=%21%3D&amp;hva%5B0%5D%5Bfilter%5D%5B0%5D%5Btype_id%5D=5897&amp;hva%5B0%5D%5Bfilter%5D%5B0%5D%5Bverdi%5D=&amp;hva%5B0%5D%5Bid%5D=47/når:2015-04-08", "Vegkart")</f>
        <v>Vegkart</v>
      </c>
      <c r="B5927">
        <v>590660661</v>
      </c>
      <c r="C5927">
        <v>47</v>
      </c>
      <c r="D5927" t="s">
        <v>16854</v>
      </c>
      <c r="E5927">
        <v>5897</v>
      </c>
      <c r="F5927" t="s">
        <v>23479</v>
      </c>
      <c r="G5927">
        <v>1</v>
      </c>
      <c r="H5927" t="s">
        <v>19750</v>
      </c>
      <c r="J5927" t="s">
        <v>19733</v>
      </c>
      <c r="K5927" t="s">
        <v>192</v>
      </c>
      <c r="L5927" t="s">
        <v>22</v>
      </c>
      <c r="M5927" t="s">
        <v>18886</v>
      </c>
      <c r="N5927" t="s">
        <v>19757</v>
      </c>
      <c r="O5927" t="s">
        <v>19758</v>
      </c>
      <c r="P5927" s="2" t="s">
        <v>26</v>
      </c>
      <c r="Q5927" t="s">
        <v>50</v>
      </c>
      <c r="R5927">
        <v>53.89</v>
      </c>
      <c r="S5927">
        <v>54.65</v>
      </c>
      <c r="T5927" t="s">
        <v>19759</v>
      </c>
    </row>
    <row r="5928" spans="1:20" x14ac:dyDescent="0.25">
      <c r="A5928" s="1" t="str">
        <f>HYPERLINK("https://vegkart.atlas.vegvesen.no/#/@243696.5,6594116.0,18/hva:hva%5B0%5D%5Bfilter%5D%5B0%5D%5Boperator%5D=%21%3D&amp;hva%5B0%5D%5Bfilter%5D%5B0%5D%5Btype_id%5D=5897&amp;hva%5B0%5D%5Bfilter%5D%5B0%5D%5Bverdi%5D=&amp;hva%5B0%5D%5Bid%5D=47/når:2015-01-01", "Vegkart")</f>
        <v>Vegkart</v>
      </c>
      <c r="B5928">
        <v>590683264</v>
      </c>
      <c r="C5928">
        <v>47</v>
      </c>
      <c r="D5928" t="s">
        <v>16854</v>
      </c>
      <c r="E5928">
        <v>5897</v>
      </c>
      <c r="F5928" t="s">
        <v>23479</v>
      </c>
      <c r="G5928">
        <v>1</v>
      </c>
      <c r="H5928" t="s">
        <v>18229</v>
      </c>
      <c r="J5928" t="s">
        <v>19733</v>
      </c>
      <c r="K5928" t="s">
        <v>81</v>
      </c>
      <c r="L5928" t="s">
        <v>113</v>
      </c>
      <c r="M5928" t="s">
        <v>2383</v>
      </c>
      <c r="N5928" t="s">
        <v>19760</v>
      </c>
      <c r="O5928" t="s">
        <v>19761</v>
      </c>
      <c r="P5928" s="2" t="s">
        <v>26</v>
      </c>
      <c r="Q5928" t="s">
        <v>50</v>
      </c>
      <c r="R5928">
        <v>51.67</v>
      </c>
      <c r="S5928">
        <v>51.98</v>
      </c>
      <c r="T5928" t="s">
        <v>19762</v>
      </c>
    </row>
    <row r="5929" spans="1:20" x14ac:dyDescent="0.25">
      <c r="A5929" s="1" t="str">
        <f>HYPERLINK("https://vegkart.atlas.vegvesen.no/#/@259830.0,7042928.5,18/hva:hva%5B0%5D%5Bfilter%5D%5B0%5D%5Boperator%5D=%21%3D&amp;hva%5B0%5D%5Bfilter%5D%5B0%5D%5Btype_id%5D=5897&amp;hva%5B0%5D%5Bfilter%5D%5B0%5D%5Bverdi%5D=&amp;hva%5B0%5D%5Bid%5D=47/når:2015-04-09", "Vegkart")</f>
        <v>Vegkart</v>
      </c>
      <c r="B5929">
        <v>590692795</v>
      </c>
      <c r="C5929">
        <v>47</v>
      </c>
      <c r="D5929" t="s">
        <v>16854</v>
      </c>
      <c r="E5929">
        <v>5897</v>
      </c>
      <c r="F5929" t="s">
        <v>23479</v>
      </c>
      <c r="G5929">
        <v>1</v>
      </c>
      <c r="H5929" t="s">
        <v>19763</v>
      </c>
      <c r="J5929" t="s">
        <v>19733</v>
      </c>
      <c r="K5929" t="s">
        <v>192</v>
      </c>
      <c r="L5929" t="s">
        <v>22</v>
      </c>
      <c r="M5929" t="s">
        <v>19764</v>
      </c>
      <c r="N5929" t="s">
        <v>19765</v>
      </c>
      <c r="O5929" t="s">
        <v>19766</v>
      </c>
      <c r="P5929" s="2" t="s">
        <v>26</v>
      </c>
      <c r="Q5929" t="s">
        <v>50</v>
      </c>
      <c r="R5929">
        <v>16.78</v>
      </c>
      <c r="S5929">
        <v>17.079999999999998</v>
      </c>
      <c r="T5929" t="s">
        <v>19767</v>
      </c>
    </row>
    <row r="5930" spans="1:20" x14ac:dyDescent="0.25">
      <c r="A5930" s="1" t="str">
        <f>HYPERLINK("https://vegkart.atlas.vegvesen.no/#/@164207.0,7026299.4,18/hva:hva%5B0%5D%5Bfilter%5D%5B0%5D%5Boperator%5D=%21%3D&amp;hva%5B0%5D%5Bfilter%5D%5B0%5D%5Btype_id%5D=5897&amp;hva%5B0%5D%5Bfilter%5D%5B0%5D%5Bverdi%5D=&amp;hva%5B0%5D%5Bid%5D=47/når:2014-02-17", "Vegkart")</f>
        <v>Vegkart</v>
      </c>
      <c r="B5930">
        <v>590842036</v>
      </c>
      <c r="C5930">
        <v>47</v>
      </c>
      <c r="D5930" t="s">
        <v>16854</v>
      </c>
      <c r="E5930">
        <v>5897</v>
      </c>
      <c r="F5930" t="s">
        <v>23479</v>
      </c>
      <c r="G5930">
        <v>1</v>
      </c>
      <c r="H5930" t="s">
        <v>19732</v>
      </c>
      <c r="J5930" t="s">
        <v>19733</v>
      </c>
      <c r="K5930" t="s">
        <v>32</v>
      </c>
      <c r="L5930" t="s">
        <v>33</v>
      </c>
      <c r="M5930" t="s">
        <v>19768</v>
      </c>
      <c r="N5930" t="s">
        <v>19769</v>
      </c>
      <c r="O5930" t="s">
        <v>19770</v>
      </c>
      <c r="P5930" s="2" t="s">
        <v>26</v>
      </c>
      <c r="Q5930" t="s">
        <v>50</v>
      </c>
      <c r="R5930">
        <v>50.81</v>
      </c>
      <c r="S5930">
        <v>50.91</v>
      </c>
      <c r="T5930" t="s">
        <v>19771</v>
      </c>
    </row>
    <row r="5931" spans="1:20" x14ac:dyDescent="0.25">
      <c r="A5931" s="1" t="str">
        <f>HYPERLINK("https://vegkart.atlas.vegvesen.no/#/@164336.7,7024506.2,18/hva:hva%5B0%5D%5Bfilter%5D%5B0%5D%5Boperator%5D=%21%3D&amp;hva%5B0%5D%5Bfilter%5D%5B0%5D%5Btype_id%5D=5897&amp;hva%5B0%5D%5Bfilter%5D%5B0%5D%5Bverdi%5D=&amp;hva%5B0%5D%5Bid%5D=47/når:2014-02-17", "Vegkart")</f>
        <v>Vegkart</v>
      </c>
      <c r="B5931">
        <v>590842037</v>
      </c>
      <c r="C5931">
        <v>47</v>
      </c>
      <c r="D5931" t="s">
        <v>16854</v>
      </c>
      <c r="E5931">
        <v>5897</v>
      </c>
      <c r="F5931" t="s">
        <v>23479</v>
      </c>
      <c r="G5931">
        <v>1</v>
      </c>
      <c r="H5931" t="s">
        <v>19732</v>
      </c>
      <c r="J5931" t="s">
        <v>19733</v>
      </c>
      <c r="K5931" t="s">
        <v>32</v>
      </c>
      <c r="L5931" t="s">
        <v>33</v>
      </c>
      <c r="M5931" t="s">
        <v>19768</v>
      </c>
      <c r="N5931" t="s">
        <v>19772</v>
      </c>
      <c r="O5931" t="s">
        <v>19773</v>
      </c>
      <c r="P5931" s="2" t="s">
        <v>26</v>
      </c>
      <c r="Q5931" t="s">
        <v>50</v>
      </c>
      <c r="R5931">
        <v>50.25</v>
      </c>
      <c r="S5931">
        <v>51.93</v>
      </c>
      <c r="T5931" t="s">
        <v>19774</v>
      </c>
    </row>
    <row r="5932" spans="1:20" x14ac:dyDescent="0.25">
      <c r="A5932" s="1" t="str">
        <f>HYPERLINK("https://vegkart.atlas.vegvesen.no/#/@163876.2,7025707.1,18/hva:hva%5B0%5D%5Bfilter%5D%5B0%5D%5Boperator%5D=%21%3D&amp;hva%5B0%5D%5Bfilter%5D%5B0%5D%5Btype_id%5D=5897&amp;hva%5B0%5D%5Bfilter%5D%5B0%5D%5Bverdi%5D=&amp;hva%5B0%5D%5Bid%5D=47/når:2014-02-17", "Vegkart")</f>
        <v>Vegkart</v>
      </c>
      <c r="B5932">
        <v>590842038</v>
      </c>
      <c r="C5932">
        <v>47</v>
      </c>
      <c r="D5932" t="s">
        <v>16854</v>
      </c>
      <c r="E5932">
        <v>5897</v>
      </c>
      <c r="F5932" t="s">
        <v>23479</v>
      </c>
      <c r="G5932">
        <v>1</v>
      </c>
      <c r="H5932" t="s">
        <v>19732</v>
      </c>
      <c r="J5932" t="s">
        <v>19733</v>
      </c>
      <c r="K5932" t="s">
        <v>32</v>
      </c>
      <c r="L5932" t="s">
        <v>33</v>
      </c>
      <c r="M5932" t="s">
        <v>19768</v>
      </c>
      <c r="N5932" t="s">
        <v>19775</v>
      </c>
      <c r="O5932" t="s">
        <v>19776</v>
      </c>
      <c r="P5932" s="2" t="s">
        <v>26</v>
      </c>
      <c r="Q5932" t="s">
        <v>50</v>
      </c>
      <c r="R5932">
        <v>47.35</v>
      </c>
      <c r="S5932">
        <v>47.42</v>
      </c>
      <c r="T5932" t="s">
        <v>19777</v>
      </c>
    </row>
    <row r="5933" spans="1:20" x14ac:dyDescent="0.25">
      <c r="A5933" s="1" t="str">
        <f>HYPERLINK("https://vegkart.atlas.vegvesen.no/#/@163922.6,7025818.2,18/hva:hva%5B0%5D%5Bfilter%5D%5B0%5D%5Boperator%5D=%21%3D&amp;hva%5B0%5D%5Bfilter%5D%5B0%5D%5Btype_id%5D=5897&amp;hva%5B0%5D%5Bfilter%5D%5B0%5D%5Bverdi%5D=&amp;hva%5B0%5D%5Bid%5D=47/når:2014-02-17", "Vegkart")</f>
        <v>Vegkart</v>
      </c>
      <c r="B5933">
        <v>590842039</v>
      </c>
      <c r="C5933">
        <v>47</v>
      </c>
      <c r="D5933" t="s">
        <v>16854</v>
      </c>
      <c r="E5933">
        <v>5897</v>
      </c>
      <c r="F5933" t="s">
        <v>23479</v>
      </c>
      <c r="G5933">
        <v>1</v>
      </c>
      <c r="H5933" t="s">
        <v>19732</v>
      </c>
      <c r="J5933" t="s">
        <v>19733</v>
      </c>
      <c r="K5933" t="s">
        <v>32</v>
      </c>
      <c r="L5933" t="s">
        <v>33</v>
      </c>
      <c r="M5933" t="s">
        <v>19768</v>
      </c>
      <c r="N5933" t="s">
        <v>19778</v>
      </c>
      <c r="O5933" t="s">
        <v>19779</v>
      </c>
      <c r="P5933" s="2" t="s">
        <v>26</v>
      </c>
      <c r="Q5933" t="s">
        <v>50</v>
      </c>
      <c r="R5933">
        <v>49.44</v>
      </c>
      <c r="S5933">
        <v>50.05</v>
      </c>
      <c r="T5933" t="s">
        <v>19780</v>
      </c>
    </row>
    <row r="5934" spans="1:20" x14ac:dyDescent="0.25">
      <c r="A5934" s="1" t="str">
        <f>HYPERLINK("https://vegkart.atlas.vegvesen.no/#/@163930.6,7025884.1,18/hva:hva%5B0%5D%5Bfilter%5D%5B0%5D%5Boperator%5D=%21%3D&amp;hva%5B0%5D%5Bfilter%5D%5B0%5D%5Btype_id%5D=5897&amp;hva%5B0%5D%5Bfilter%5D%5B0%5D%5Bverdi%5D=&amp;hva%5B0%5D%5Bid%5D=47/når:2014-02-17", "Vegkart")</f>
        <v>Vegkart</v>
      </c>
      <c r="B5934">
        <v>590842040</v>
      </c>
      <c r="C5934">
        <v>47</v>
      </c>
      <c r="D5934" t="s">
        <v>16854</v>
      </c>
      <c r="E5934">
        <v>5897</v>
      </c>
      <c r="F5934" t="s">
        <v>23479</v>
      </c>
      <c r="G5934">
        <v>1</v>
      </c>
      <c r="H5934" t="s">
        <v>19732</v>
      </c>
      <c r="J5934" t="s">
        <v>19733</v>
      </c>
      <c r="K5934" t="s">
        <v>32</v>
      </c>
      <c r="L5934" t="s">
        <v>33</v>
      </c>
      <c r="M5934" t="s">
        <v>19768</v>
      </c>
      <c r="N5934" t="s">
        <v>19781</v>
      </c>
      <c r="O5934" t="s">
        <v>19782</v>
      </c>
      <c r="P5934" s="2" t="s">
        <v>26</v>
      </c>
      <c r="Q5934" t="s">
        <v>50</v>
      </c>
      <c r="R5934">
        <v>48.95</v>
      </c>
      <c r="S5934">
        <v>49.57</v>
      </c>
      <c r="T5934" t="s">
        <v>19783</v>
      </c>
    </row>
    <row r="5935" spans="1:20" x14ac:dyDescent="0.25">
      <c r="A5935" s="1" t="str">
        <f>HYPERLINK("https://vegkart.atlas.vegvesen.no/#/@165218.3,7029775.1,18/hva:hva%5B0%5D%5Bfilter%5D%5B0%5D%5Boperator%5D=%21%3D&amp;hva%5B0%5D%5Bfilter%5D%5B0%5D%5Btype_id%5D=5897&amp;hva%5B0%5D%5Bfilter%5D%5B0%5D%5Bverdi%5D=&amp;hva%5B0%5D%5Bid%5D=47/når:2014-02-17", "Vegkart")</f>
        <v>Vegkart</v>
      </c>
      <c r="B5935">
        <v>590842041</v>
      </c>
      <c r="C5935">
        <v>47</v>
      </c>
      <c r="D5935" t="s">
        <v>16854</v>
      </c>
      <c r="E5935">
        <v>5897</v>
      </c>
      <c r="F5935" t="s">
        <v>23479</v>
      </c>
      <c r="G5935">
        <v>1</v>
      </c>
      <c r="H5935" t="s">
        <v>19732</v>
      </c>
      <c r="J5935" t="s">
        <v>19733</v>
      </c>
      <c r="K5935" t="s">
        <v>32</v>
      </c>
      <c r="L5935" t="s">
        <v>33</v>
      </c>
      <c r="M5935" t="s">
        <v>19768</v>
      </c>
      <c r="N5935" t="s">
        <v>19784</v>
      </c>
      <c r="O5935" t="s">
        <v>19785</v>
      </c>
      <c r="P5935" s="2" t="s">
        <v>26</v>
      </c>
      <c r="Q5935" t="s">
        <v>50</v>
      </c>
      <c r="R5935">
        <v>41.34</v>
      </c>
      <c r="S5935">
        <v>42.69</v>
      </c>
      <c r="T5935" t="s">
        <v>19786</v>
      </c>
    </row>
    <row r="5936" spans="1:20" x14ac:dyDescent="0.25">
      <c r="A5936" s="1" t="str">
        <f>HYPERLINK("https://vegkart.atlas.vegvesen.no/#/@165429.9,7030444.1,18/hva:hva%5B0%5D%5Bfilter%5D%5B0%5D%5Boperator%5D=%21%3D&amp;hva%5B0%5D%5Bfilter%5D%5B0%5D%5Btype_id%5D=5897&amp;hva%5B0%5D%5Bfilter%5D%5B0%5D%5Bverdi%5D=&amp;hva%5B0%5D%5Bid%5D=47/når:2014-02-17", "Vegkart")</f>
        <v>Vegkart</v>
      </c>
      <c r="B5936">
        <v>590842042</v>
      </c>
      <c r="C5936">
        <v>47</v>
      </c>
      <c r="D5936" t="s">
        <v>16854</v>
      </c>
      <c r="E5936">
        <v>5897</v>
      </c>
      <c r="F5936" t="s">
        <v>23479</v>
      </c>
      <c r="G5936">
        <v>1</v>
      </c>
      <c r="H5936" t="s">
        <v>19732</v>
      </c>
      <c r="J5936" t="s">
        <v>19733</v>
      </c>
      <c r="K5936" t="s">
        <v>32</v>
      </c>
      <c r="L5936" t="s">
        <v>33</v>
      </c>
      <c r="M5936" t="s">
        <v>19768</v>
      </c>
      <c r="N5936" t="s">
        <v>19787</v>
      </c>
      <c r="O5936" t="s">
        <v>19788</v>
      </c>
      <c r="P5936" s="2" t="s">
        <v>26</v>
      </c>
      <c r="Q5936" t="s">
        <v>50</v>
      </c>
      <c r="R5936">
        <v>44.44</v>
      </c>
      <c r="S5936">
        <v>45</v>
      </c>
      <c r="T5936" t="s">
        <v>19789</v>
      </c>
    </row>
    <row r="5937" spans="1:20" x14ac:dyDescent="0.25">
      <c r="A5937" s="1" t="str">
        <f>HYPERLINK("https://vegkart.atlas.vegvesen.no/#/@163954.4,7026079.7,18/hva:hva%5B0%5D%5Bfilter%5D%5B0%5D%5Boperator%5D=%21%3D&amp;hva%5B0%5D%5Bfilter%5D%5B0%5D%5Btype_id%5D=5897&amp;hva%5B0%5D%5Bfilter%5D%5B0%5D%5Bverdi%5D=&amp;hva%5B0%5D%5Bid%5D=47/når:2014-02-17", "Vegkart")</f>
        <v>Vegkart</v>
      </c>
      <c r="B5937">
        <v>590842043</v>
      </c>
      <c r="C5937">
        <v>47</v>
      </c>
      <c r="D5937" t="s">
        <v>16854</v>
      </c>
      <c r="E5937">
        <v>5897</v>
      </c>
      <c r="F5937" t="s">
        <v>23479</v>
      </c>
      <c r="G5937">
        <v>1</v>
      </c>
      <c r="H5937" t="s">
        <v>19732</v>
      </c>
      <c r="J5937" t="s">
        <v>19733</v>
      </c>
      <c r="K5937" t="s">
        <v>32</v>
      </c>
      <c r="L5937" t="s">
        <v>33</v>
      </c>
      <c r="M5937" t="s">
        <v>19768</v>
      </c>
      <c r="N5937" t="s">
        <v>19790</v>
      </c>
      <c r="O5937" t="s">
        <v>19791</v>
      </c>
      <c r="P5937" s="2" t="s">
        <v>26</v>
      </c>
      <c r="Q5937" t="s">
        <v>50</v>
      </c>
      <c r="R5937">
        <v>60.48</v>
      </c>
      <c r="S5937">
        <v>60.72</v>
      </c>
      <c r="T5937" t="s">
        <v>19792</v>
      </c>
    </row>
    <row r="5938" spans="1:20" x14ac:dyDescent="0.25">
      <c r="A5938" s="1" t="str">
        <f>HYPERLINK("https://vegkart.atlas.vegvesen.no/#/@164477.9,7027133.9,18/hva:hva%5B0%5D%5Bfilter%5D%5B0%5D%5Boperator%5D=%21%3D&amp;hva%5B0%5D%5Bfilter%5D%5B0%5D%5Btype_id%5D=5897&amp;hva%5B0%5D%5Bfilter%5D%5B0%5D%5Bverdi%5D=&amp;hva%5B0%5D%5Bid%5D=47/når:2014-02-17", "Vegkart")</f>
        <v>Vegkart</v>
      </c>
      <c r="B5938">
        <v>590842044</v>
      </c>
      <c r="C5938">
        <v>47</v>
      </c>
      <c r="D5938" t="s">
        <v>16854</v>
      </c>
      <c r="E5938">
        <v>5897</v>
      </c>
      <c r="F5938" t="s">
        <v>23479</v>
      </c>
      <c r="G5938">
        <v>1</v>
      </c>
      <c r="H5938" t="s">
        <v>19732</v>
      </c>
      <c r="J5938" t="s">
        <v>19733</v>
      </c>
      <c r="K5938" t="s">
        <v>32</v>
      </c>
      <c r="L5938" t="s">
        <v>33</v>
      </c>
      <c r="M5938" t="s">
        <v>19768</v>
      </c>
      <c r="N5938" t="s">
        <v>19793</v>
      </c>
      <c r="O5938" t="s">
        <v>19794</v>
      </c>
      <c r="P5938" s="2" t="s">
        <v>26</v>
      </c>
      <c r="Q5938" t="s">
        <v>50</v>
      </c>
      <c r="R5938">
        <v>41.63</v>
      </c>
      <c r="S5938">
        <v>42.09</v>
      </c>
      <c r="T5938" t="s">
        <v>19795</v>
      </c>
    </row>
    <row r="5939" spans="1:20" x14ac:dyDescent="0.25">
      <c r="A5939" s="1" t="str">
        <f>HYPERLINK("https://vegkart.atlas.vegvesen.no/#/@164674.9,7027702.8,18/hva:hva%5B0%5D%5Bfilter%5D%5B0%5D%5Boperator%5D=%21%3D&amp;hva%5B0%5D%5Bfilter%5D%5B0%5D%5Btype_id%5D=5897&amp;hva%5B0%5D%5Bfilter%5D%5B0%5D%5Bverdi%5D=&amp;hva%5B0%5D%5Bid%5D=47/når:2014-02-17", "Vegkart")</f>
        <v>Vegkart</v>
      </c>
      <c r="B5939">
        <v>590842045</v>
      </c>
      <c r="C5939">
        <v>47</v>
      </c>
      <c r="D5939" t="s">
        <v>16854</v>
      </c>
      <c r="E5939">
        <v>5897</v>
      </c>
      <c r="F5939" t="s">
        <v>23479</v>
      </c>
      <c r="G5939">
        <v>1</v>
      </c>
      <c r="H5939" t="s">
        <v>19732</v>
      </c>
      <c r="J5939" t="s">
        <v>19733</v>
      </c>
      <c r="K5939" t="s">
        <v>32</v>
      </c>
      <c r="L5939" t="s">
        <v>33</v>
      </c>
      <c r="M5939" t="s">
        <v>19768</v>
      </c>
      <c r="N5939" t="s">
        <v>19796</v>
      </c>
      <c r="O5939" t="s">
        <v>19797</v>
      </c>
      <c r="P5939" s="2" t="s">
        <v>26</v>
      </c>
      <c r="Q5939" t="s">
        <v>50</v>
      </c>
      <c r="R5939">
        <v>61.58</v>
      </c>
      <c r="S5939">
        <v>62.21</v>
      </c>
      <c r="T5939" t="s">
        <v>19798</v>
      </c>
    </row>
    <row r="5940" spans="1:20" x14ac:dyDescent="0.25">
      <c r="A5940" s="1" t="str">
        <f>HYPERLINK("https://vegkart.atlas.vegvesen.no/#/@164805.3,7028226.1,18/hva:hva%5B0%5D%5Bfilter%5D%5B0%5D%5Boperator%5D=%21%3D&amp;hva%5B0%5D%5Bfilter%5D%5B0%5D%5Btype_id%5D=5897&amp;hva%5B0%5D%5Bfilter%5D%5B0%5D%5Bverdi%5D=&amp;hva%5B0%5D%5Bid%5D=47/når:2014-02-17", "Vegkart")</f>
        <v>Vegkart</v>
      </c>
      <c r="B5940">
        <v>590842046</v>
      </c>
      <c r="C5940">
        <v>47</v>
      </c>
      <c r="D5940" t="s">
        <v>16854</v>
      </c>
      <c r="E5940">
        <v>5897</v>
      </c>
      <c r="F5940" t="s">
        <v>23479</v>
      </c>
      <c r="G5940">
        <v>1</v>
      </c>
      <c r="H5940" t="s">
        <v>19732</v>
      </c>
      <c r="J5940" t="s">
        <v>19733</v>
      </c>
      <c r="K5940" t="s">
        <v>32</v>
      </c>
      <c r="L5940" t="s">
        <v>33</v>
      </c>
      <c r="M5940" t="s">
        <v>19768</v>
      </c>
      <c r="N5940" t="s">
        <v>19799</v>
      </c>
      <c r="O5940" t="s">
        <v>19800</v>
      </c>
      <c r="P5940" s="2" t="s">
        <v>26</v>
      </c>
      <c r="Q5940" t="s">
        <v>50</v>
      </c>
      <c r="R5940">
        <v>50.44</v>
      </c>
      <c r="S5940">
        <v>50.77</v>
      </c>
      <c r="T5940" t="s">
        <v>19801</v>
      </c>
    </row>
    <row r="5941" spans="1:20" x14ac:dyDescent="0.25">
      <c r="A5941" s="1" t="str">
        <f>HYPERLINK("https://vegkart.atlas.vegvesen.no/#/@165212.7,7029111.2,18/hva:hva%5B0%5D%5Bfilter%5D%5B0%5D%5Boperator%5D=%21%3D&amp;hva%5B0%5D%5Bfilter%5D%5B0%5D%5Btype_id%5D=5897&amp;hva%5B0%5D%5Bfilter%5D%5B0%5D%5Bverdi%5D=&amp;hva%5B0%5D%5Bid%5D=47/når:2014-02-17", "Vegkart")</f>
        <v>Vegkart</v>
      </c>
      <c r="B5941">
        <v>590842047</v>
      </c>
      <c r="C5941">
        <v>47</v>
      </c>
      <c r="D5941" t="s">
        <v>16854</v>
      </c>
      <c r="E5941">
        <v>5897</v>
      </c>
      <c r="F5941" t="s">
        <v>23479</v>
      </c>
      <c r="G5941">
        <v>1</v>
      </c>
      <c r="H5941" t="s">
        <v>19732</v>
      </c>
      <c r="J5941" t="s">
        <v>19733</v>
      </c>
      <c r="K5941" t="s">
        <v>32</v>
      </c>
      <c r="L5941" t="s">
        <v>33</v>
      </c>
      <c r="M5941" t="s">
        <v>19768</v>
      </c>
      <c r="N5941" t="s">
        <v>19802</v>
      </c>
      <c r="O5941" t="s">
        <v>19803</v>
      </c>
      <c r="P5941" s="2" t="s">
        <v>26</v>
      </c>
      <c r="Q5941" t="s">
        <v>50</v>
      </c>
      <c r="R5941">
        <v>48.46</v>
      </c>
      <c r="S5941">
        <v>49.11</v>
      </c>
      <c r="T5941" t="s">
        <v>19804</v>
      </c>
    </row>
    <row r="5942" spans="1:20" x14ac:dyDescent="0.25">
      <c r="A5942" s="1" t="str">
        <f>HYPERLINK("https://vegkart.atlas.vegvesen.no/#/@165177.9,7029344.6,18/hva:hva%5B0%5D%5Bfilter%5D%5B0%5D%5Boperator%5D=%21%3D&amp;hva%5B0%5D%5Bfilter%5D%5B0%5D%5Btype_id%5D=5897&amp;hva%5B0%5D%5Bfilter%5D%5B0%5D%5Bverdi%5D=&amp;hva%5B0%5D%5Bid%5D=47/når:2014-02-17", "Vegkart")</f>
        <v>Vegkart</v>
      </c>
      <c r="B5942">
        <v>590842048</v>
      </c>
      <c r="C5942">
        <v>47</v>
      </c>
      <c r="D5942" t="s">
        <v>16854</v>
      </c>
      <c r="E5942">
        <v>5897</v>
      </c>
      <c r="F5942" t="s">
        <v>23479</v>
      </c>
      <c r="G5942">
        <v>1</v>
      </c>
      <c r="H5942" t="s">
        <v>19732</v>
      </c>
      <c r="J5942" t="s">
        <v>19733</v>
      </c>
      <c r="K5942" t="s">
        <v>32</v>
      </c>
      <c r="L5942" t="s">
        <v>33</v>
      </c>
      <c r="M5942" t="s">
        <v>19768</v>
      </c>
      <c r="N5942" t="s">
        <v>19805</v>
      </c>
      <c r="O5942" t="s">
        <v>19806</v>
      </c>
      <c r="P5942" s="2" t="s">
        <v>26</v>
      </c>
      <c r="Q5942" t="s">
        <v>50</v>
      </c>
      <c r="R5942">
        <v>68.55</v>
      </c>
      <c r="S5942">
        <v>69.13</v>
      </c>
      <c r="T5942" t="s">
        <v>19807</v>
      </c>
    </row>
    <row r="5943" spans="1:20" x14ac:dyDescent="0.25">
      <c r="A5943" s="1" t="str">
        <f>HYPERLINK("https://vegkart.atlas.vegvesen.no/#/@165289.9,7029908.6,18/hva:hva%5B0%5D%5Bfilter%5D%5B0%5D%5Boperator%5D=%21%3D&amp;hva%5B0%5D%5Bfilter%5D%5B0%5D%5Btype_id%5D=5897&amp;hva%5B0%5D%5Bfilter%5D%5B0%5D%5Bverdi%5D=&amp;hva%5B0%5D%5Bid%5D=47/når:2014-02-17", "Vegkart")</f>
        <v>Vegkart</v>
      </c>
      <c r="B5943">
        <v>590842049</v>
      </c>
      <c r="C5943">
        <v>47</v>
      </c>
      <c r="D5943" t="s">
        <v>16854</v>
      </c>
      <c r="E5943">
        <v>5897</v>
      </c>
      <c r="F5943" t="s">
        <v>23479</v>
      </c>
      <c r="G5943">
        <v>1</v>
      </c>
      <c r="H5943" t="s">
        <v>19732</v>
      </c>
      <c r="J5943" t="s">
        <v>19733</v>
      </c>
      <c r="K5943" t="s">
        <v>32</v>
      </c>
      <c r="L5943" t="s">
        <v>33</v>
      </c>
      <c r="M5943" t="s">
        <v>19768</v>
      </c>
      <c r="N5943" t="s">
        <v>19808</v>
      </c>
      <c r="O5943" t="s">
        <v>19809</v>
      </c>
      <c r="P5943" s="2" t="s">
        <v>26</v>
      </c>
      <c r="Q5943" t="s">
        <v>50</v>
      </c>
      <c r="R5943">
        <v>45.08</v>
      </c>
      <c r="S5943">
        <v>45.68</v>
      </c>
      <c r="T5943" t="s">
        <v>19810</v>
      </c>
    </row>
    <row r="5944" spans="1:20" x14ac:dyDescent="0.25">
      <c r="A5944" s="1" t="str">
        <f>HYPERLINK("https://vegkart.atlas.vegvesen.no/#/@165288.2,7030079.2,18/hva:hva%5B0%5D%5Bfilter%5D%5B0%5D%5Boperator%5D=%21%3D&amp;hva%5B0%5D%5Bfilter%5D%5B0%5D%5Btype_id%5D=5897&amp;hva%5B0%5D%5Bfilter%5D%5B0%5D%5Bverdi%5D=&amp;hva%5B0%5D%5Bid%5D=47/når:2014-02-17", "Vegkart")</f>
        <v>Vegkart</v>
      </c>
      <c r="B5944">
        <v>590842050</v>
      </c>
      <c r="C5944">
        <v>47</v>
      </c>
      <c r="D5944" t="s">
        <v>16854</v>
      </c>
      <c r="E5944">
        <v>5897</v>
      </c>
      <c r="F5944" t="s">
        <v>23479</v>
      </c>
      <c r="G5944">
        <v>1</v>
      </c>
      <c r="H5944" t="s">
        <v>19732</v>
      </c>
      <c r="J5944" t="s">
        <v>19733</v>
      </c>
      <c r="K5944" t="s">
        <v>32</v>
      </c>
      <c r="L5944" t="s">
        <v>33</v>
      </c>
      <c r="M5944" t="s">
        <v>19768</v>
      </c>
      <c r="N5944" t="s">
        <v>19811</v>
      </c>
      <c r="O5944" t="s">
        <v>19812</v>
      </c>
      <c r="P5944" s="2" t="s">
        <v>26</v>
      </c>
      <c r="Q5944" t="s">
        <v>50</v>
      </c>
      <c r="R5944">
        <v>49.27</v>
      </c>
      <c r="S5944">
        <v>49.63</v>
      </c>
      <c r="T5944" t="s">
        <v>19813</v>
      </c>
    </row>
    <row r="5945" spans="1:20" x14ac:dyDescent="0.25">
      <c r="A5945" s="1" t="str">
        <f>HYPERLINK("https://vegkart.atlas.vegvesen.no/#/@165389.8,7030254.7,18/hva:hva%5B0%5D%5Bfilter%5D%5B0%5D%5Boperator%5D=%21%3D&amp;hva%5B0%5D%5Bfilter%5D%5B0%5D%5Btype_id%5D=5897&amp;hva%5B0%5D%5Bfilter%5D%5B0%5D%5Bverdi%5D=&amp;hva%5B0%5D%5Bid%5D=47/når:2014-02-17", "Vegkart")</f>
        <v>Vegkart</v>
      </c>
      <c r="B5945">
        <v>590842051</v>
      </c>
      <c r="C5945">
        <v>47</v>
      </c>
      <c r="D5945" t="s">
        <v>16854</v>
      </c>
      <c r="E5945">
        <v>5897</v>
      </c>
      <c r="F5945" t="s">
        <v>23479</v>
      </c>
      <c r="G5945">
        <v>1</v>
      </c>
      <c r="H5945" t="s">
        <v>19732</v>
      </c>
      <c r="J5945" t="s">
        <v>19733</v>
      </c>
      <c r="K5945" t="s">
        <v>32</v>
      </c>
      <c r="L5945" t="s">
        <v>33</v>
      </c>
      <c r="M5945" t="s">
        <v>19768</v>
      </c>
      <c r="N5945" t="s">
        <v>19814</v>
      </c>
      <c r="O5945" t="s">
        <v>19815</v>
      </c>
      <c r="P5945" s="2" t="s">
        <v>26</v>
      </c>
      <c r="Q5945" t="s">
        <v>50</v>
      </c>
      <c r="R5945">
        <v>39.340000000000003</v>
      </c>
      <c r="S5945">
        <v>39.75</v>
      </c>
      <c r="T5945" t="s">
        <v>19816</v>
      </c>
    </row>
    <row r="5946" spans="1:20" x14ac:dyDescent="0.25">
      <c r="A5946" s="1" t="str">
        <f>HYPERLINK("https://vegkart.atlas.vegvesen.no/#/@165495.9,7030682.3,18/hva:hva%5B0%5D%5Bfilter%5D%5B0%5D%5Boperator%5D=%21%3D&amp;hva%5B0%5D%5Bfilter%5D%5B0%5D%5Btype_id%5D=5897&amp;hva%5B0%5D%5Bfilter%5D%5B0%5D%5Bverdi%5D=&amp;hva%5B0%5D%5Bid%5D=47/når:2014-02-17", "Vegkart")</f>
        <v>Vegkart</v>
      </c>
      <c r="B5946">
        <v>590842052</v>
      </c>
      <c r="C5946">
        <v>47</v>
      </c>
      <c r="D5946" t="s">
        <v>16854</v>
      </c>
      <c r="E5946">
        <v>5897</v>
      </c>
      <c r="F5946" t="s">
        <v>23479</v>
      </c>
      <c r="G5946">
        <v>1</v>
      </c>
      <c r="H5946" t="s">
        <v>19732</v>
      </c>
      <c r="J5946" t="s">
        <v>19733</v>
      </c>
      <c r="K5946" t="s">
        <v>32</v>
      </c>
      <c r="L5946" t="s">
        <v>33</v>
      </c>
      <c r="M5946" t="s">
        <v>19768</v>
      </c>
      <c r="N5946" t="s">
        <v>19817</v>
      </c>
      <c r="O5946" t="s">
        <v>19818</v>
      </c>
      <c r="P5946" s="2" t="s">
        <v>26</v>
      </c>
      <c r="Q5946" t="s">
        <v>50</v>
      </c>
      <c r="R5946">
        <v>41.88</v>
      </c>
      <c r="S5946">
        <v>42.62</v>
      </c>
      <c r="T5946" t="s">
        <v>19819</v>
      </c>
    </row>
    <row r="5947" spans="1:20" x14ac:dyDescent="0.25">
      <c r="A5947" s="1" t="str">
        <f>HYPERLINK("https://vegkart.atlas.vegvesen.no/#/@275035.6,7041498.7,18/hva:hva%5B0%5D%5Bfilter%5D%5B0%5D%5Boperator%5D=%21%3D&amp;hva%5B0%5D%5Bfilter%5D%5B0%5D%5Btype_id%5D=5897&amp;hva%5B0%5D%5Bfilter%5D%5B0%5D%5Bverdi%5D=&amp;hva%5B0%5D%5Bid%5D=47/når:2015-04-13", "Vegkart")</f>
        <v>Vegkart</v>
      </c>
      <c r="B5947">
        <v>590995367</v>
      </c>
      <c r="C5947">
        <v>47</v>
      </c>
      <c r="D5947" t="s">
        <v>16854</v>
      </c>
      <c r="E5947">
        <v>5897</v>
      </c>
      <c r="F5947" t="s">
        <v>23479</v>
      </c>
      <c r="G5947">
        <v>1</v>
      </c>
      <c r="H5947" t="s">
        <v>19820</v>
      </c>
      <c r="J5947" t="s">
        <v>19733</v>
      </c>
      <c r="K5947" t="s">
        <v>192</v>
      </c>
      <c r="L5947" t="s">
        <v>33</v>
      </c>
      <c r="M5947" t="s">
        <v>2573</v>
      </c>
      <c r="N5947" t="s">
        <v>19821</v>
      </c>
      <c r="O5947" t="s">
        <v>19822</v>
      </c>
      <c r="P5947" s="2" t="s">
        <v>37</v>
      </c>
      <c r="Q5947" t="s">
        <v>1208</v>
      </c>
      <c r="R5947">
        <v>10.97</v>
      </c>
      <c r="S5947">
        <v>17.54</v>
      </c>
      <c r="T5947" t="s">
        <v>19823</v>
      </c>
    </row>
    <row r="5948" spans="1:20" x14ac:dyDescent="0.25">
      <c r="A5948" s="1" t="str">
        <f>HYPERLINK("https://vegkart.atlas.vegvesen.no/#/@274412.4,7041668.9,18/hva:hva%5B0%5D%5Bfilter%5D%5B0%5D%5Boperator%5D=%21%3D&amp;hva%5B0%5D%5Bfilter%5D%5B0%5D%5Btype_id%5D=5897&amp;hva%5B0%5D%5Bfilter%5D%5B0%5D%5Bverdi%5D=&amp;hva%5B0%5D%5Bid%5D=47/når:2015-04-13", "Vegkart")</f>
        <v>Vegkart</v>
      </c>
      <c r="B5948">
        <v>590995385</v>
      </c>
      <c r="C5948">
        <v>47</v>
      </c>
      <c r="D5948" t="s">
        <v>16854</v>
      </c>
      <c r="E5948">
        <v>5897</v>
      </c>
      <c r="F5948" t="s">
        <v>23479</v>
      </c>
      <c r="G5948">
        <v>1</v>
      </c>
      <c r="H5948" t="s">
        <v>19820</v>
      </c>
      <c r="J5948" t="s">
        <v>19733</v>
      </c>
      <c r="K5948" t="s">
        <v>192</v>
      </c>
      <c r="L5948" t="s">
        <v>113</v>
      </c>
      <c r="M5948" t="s">
        <v>2577</v>
      </c>
      <c r="N5948" t="s">
        <v>19824</v>
      </c>
      <c r="O5948" t="s">
        <v>19825</v>
      </c>
      <c r="P5948" s="2" t="s">
        <v>165</v>
      </c>
      <c r="Q5948" t="s">
        <v>166</v>
      </c>
      <c r="R5948">
        <v>160.63999999999999</v>
      </c>
      <c r="S5948">
        <v>160.99</v>
      </c>
      <c r="T5948" t="s">
        <v>167</v>
      </c>
    </row>
    <row r="5949" spans="1:20" x14ac:dyDescent="0.25">
      <c r="A5949" s="1" t="str">
        <f>HYPERLINK("https://vegkart.atlas.vegvesen.no/#/@274404.1,7041644.9,18/hva:hva%5B0%5D%5Bfilter%5D%5B0%5D%5Boperator%5D=%21%3D&amp;hva%5B0%5D%5Bfilter%5D%5B0%5D%5Btype_id%5D=5897&amp;hva%5B0%5D%5Bfilter%5D%5B0%5D%5Bverdi%5D=&amp;hva%5B0%5D%5Bid%5D=47/når:2015-04-13", "Vegkart")</f>
        <v>Vegkart</v>
      </c>
      <c r="B5949">
        <v>590995386</v>
      </c>
      <c r="C5949">
        <v>47</v>
      </c>
      <c r="D5949" t="s">
        <v>16854</v>
      </c>
      <c r="E5949">
        <v>5897</v>
      </c>
      <c r="F5949" t="s">
        <v>23479</v>
      </c>
      <c r="G5949">
        <v>1</v>
      </c>
      <c r="H5949" t="s">
        <v>19820</v>
      </c>
      <c r="J5949" t="s">
        <v>19733</v>
      </c>
      <c r="K5949" t="s">
        <v>192</v>
      </c>
      <c r="L5949" t="s">
        <v>113</v>
      </c>
      <c r="M5949" t="s">
        <v>2577</v>
      </c>
      <c r="N5949" t="s">
        <v>19826</v>
      </c>
      <c r="O5949" t="s">
        <v>19827</v>
      </c>
      <c r="P5949" s="2" t="s">
        <v>165</v>
      </c>
      <c r="Q5949" t="s">
        <v>166</v>
      </c>
      <c r="R5949">
        <v>166</v>
      </c>
      <c r="S5949">
        <v>166.25</v>
      </c>
      <c r="T5949" t="s">
        <v>167</v>
      </c>
    </row>
    <row r="5950" spans="1:20" x14ac:dyDescent="0.25">
      <c r="A5950" s="1" t="str">
        <f>HYPERLINK("https://vegkart.atlas.vegvesen.no/#/@211694.9,6554438.5,18/hva:hva%5B0%5D%5Bfilter%5D%5B0%5D%5Boperator%5D=%21%3D&amp;hva%5B0%5D%5Bfilter%5D%5B0%5D%5Btype_id%5D=5897&amp;hva%5B0%5D%5Bfilter%5D%5B0%5D%5Bverdi%5D=&amp;hva%5B0%5D%5Bid%5D=47/når:2015-04-17", "Vegkart")</f>
        <v>Vegkart</v>
      </c>
      <c r="B5950">
        <v>591268250</v>
      </c>
      <c r="C5950">
        <v>47</v>
      </c>
      <c r="D5950" t="s">
        <v>16854</v>
      </c>
      <c r="E5950">
        <v>5897</v>
      </c>
      <c r="F5950" t="s">
        <v>23479</v>
      </c>
      <c r="G5950">
        <v>1</v>
      </c>
      <c r="H5950" t="s">
        <v>18593</v>
      </c>
      <c r="J5950" t="s">
        <v>4925</v>
      </c>
      <c r="K5950" t="s">
        <v>81</v>
      </c>
      <c r="L5950" t="s">
        <v>33</v>
      </c>
      <c r="M5950" t="s">
        <v>4576</v>
      </c>
      <c r="N5950" t="s">
        <v>19828</v>
      </c>
      <c r="O5950" t="s">
        <v>19829</v>
      </c>
      <c r="P5950" s="2" t="s">
        <v>26</v>
      </c>
      <c r="Q5950" t="s">
        <v>50</v>
      </c>
      <c r="R5950">
        <v>85.22</v>
      </c>
      <c r="S5950">
        <v>85.59</v>
      </c>
      <c r="T5950" t="s">
        <v>19830</v>
      </c>
    </row>
    <row r="5951" spans="1:20" x14ac:dyDescent="0.25">
      <c r="A5951" s="1" t="str">
        <f>HYPERLINK("https://vegkart.atlas.vegvesen.no/#/@293143.4,6705770.7,18/hva:hva%5B0%5D%5Bfilter%5D%5B0%5D%5Boperator%5D=%21%3D&amp;hva%5B0%5D%5Bfilter%5D%5B0%5D%5Btype_id%5D=5897&amp;hva%5B0%5D%5Bfilter%5D%5B0%5D%5Bverdi%5D=&amp;hva%5B0%5D%5Bid%5D=47/når:2015-04-17", "Vegkart")</f>
        <v>Vegkart</v>
      </c>
      <c r="B5951">
        <v>591269000</v>
      </c>
      <c r="C5951">
        <v>47</v>
      </c>
      <c r="D5951" t="s">
        <v>16854</v>
      </c>
      <c r="E5951">
        <v>5897</v>
      </c>
      <c r="F5951" t="s">
        <v>23479</v>
      </c>
      <c r="G5951">
        <v>1</v>
      </c>
      <c r="H5951" t="s">
        <v>18593</v>
      </c>
      <c r="J5951" t="s">
        <v>19733</v>
      </c>
      <c r="K5951" t="s">
        <v>132</v>
      </c>
      <c r="L5951" t="s">
        <v>80</v>
      </c>
      <c r="M5951" t="s">
        <v>105</v>
      </c>
      <c r="N5951" t="s">
        <v>19831</v>
      </c>
      <c r="O5951" t="s">
        <v>19832</v>
      </c>
      <c r="P5951" s="2" t="s">
        <v>26</v>
      </c>
      <c r="Q5951" t="s">
        <v>50</v>
      </c>
      <c r="R5951">
        <v>90.9</v>
      </c>
      <c r="S5951">
        <v>90.91</v>
      </c>
      <c r="T5951" t="s">
        <v>19833</v>
      </c>
    </row>
    <row r="5952" spans="1:20" x14ac:dyDescent="0.25">
      <c r="A5952" s="1" t="str">
        <f>HYPERLINK("https://vegkart.atlas.vegvesen.no/#/@293219.4,6705986.4,18/hva:hva%5B0%5D%5Bfilter%5D%5B0%5D%5Boperator%5D=%21%3D&amp;hva%5B0%5D%5Bfilter%5D%5B0%5D%5Btype_id%5D=5897&amp;hva%5B0%5D%5Bfilter%5D%5B0%5D%5Bverdi%5D=&amp;hva%5B0%5D%5Bid%5D=47/når:2015-04-17", "Vegkart")</f>
        <v>Vegkart</v>
      </c>
      <c r="B5952">
        <v>591269001</v>
      </c>
      <c r="C5952">
        <v>47</v>
      </c>
      <c r="D5952" t="s">
        <v>16854</v>
      </c>
      <c r="E5952">
        <v>5897</v>
      </c>
      <c r="F5952" t="s">
        <v>23479</v>
      </c>
      <c r="G5952">
        <v>1</v>
      </c>
      <c r="H5952" t="s">
        <v>18593</v>
      </c>
      <c r="J5952" t="s">
        <v>19733</v>
      </c>
      <c r="K5952" t="s">
        <v>132</v>
      </c>
      <c r="L5952" t="s">
        <v>80</v>
      </c>
      <c r="M5952" t="s">
        <v>105</v>
      </c>
      <c r="N5952" t="s">
        <v>19834</v>
      </c>
      <c r="O5952" t="s">
        <v>19835</v>
      </c>
      <c r="P5952" s="2" t="s">
        <v>26</v>
      </c>
      <c r="Q5952" t="s">
        <v>50</v>
      </c>
      <c r="R5952">
        <v>90.86</v>
      </c>
      <c r="S5952">
        <v>90.86</v>
      </c>
      <c r="T5952" t="s">
        <v>19836</v>
      </c>
    </row>
    <row r="5953" spans="1:20" x14ac:dyDescent="0.25">
      <c r="A5953" s="1" t="str">
        <f>HYPERLINK("https://vegkart.atlas.vegvesen.no/#/@293259.3,6706253.0,18/hva:hva%5B0%5D%5Bfilter%5D%5B0%5D%5Boperator%5D=%21%3D&amp;hva%5B0%5D%5Bfilter%5D%5B0%5D%5Btype_id%5D=5897&amp;hva%5B0%5D%5Bfilter%5D%5B0%5D%5Bverdi%5D=&amp;hva%5B0%5D%5Bid%5D=47/når:2015-04-24", "Vegkart")</f>
        <v>Vegkart</v>
      </c>
      <c r="B5953">
        <v>592368494</v>
      </c>
      <c r="C5953">
        <v>47</v>
      </c>
      <c r="D5953" t="s">
        <v>16854</v>
      </c>
      <c r="E5953">
        <v>5897</v>
      </c>
      <c r="F5953" t="s">
        <v>23479</v>
      </c>
      <c r="G5953">
        <v>1</v>
      </c>
      <c r="H5953" t="s">
        <v>6447</v>
      </c>
      <c r="J5953" t="s">
        <v>19733</v>
      </c>
      <c r="K5953" t="s">
        <v>132</v>
      </c>
      <c r="L5953" t="s">
        <v>80</v>
      </c>
      <c r="M5953" t="s">
        <v>105</v>
      </c>
      <c r="N5953" t="s">
        <v>19837</v>
      </c>
      <c r="O5953" t="s">
        <v>19838</v>
      </c>
      <c r="P5953" s="2" t="s">
        <v>26</v>
      </c>
      <c r="Q5953" t="s">
        <v>50</v>
      </c>
      <c r="R5953">
        <v>64.36</v>
      </c>
      <c r="S5953">
        <v>64.36</v>
      </c>
      <c r="T5953" t="s">
        <v>19839</v>
      </c>
    </row>
    <row r="5954" spans="1:20" x14ac:dyDescent="0.25">
      <c r="A5954" s="1" t="str">
        <f>HYPERLINK("https://vegkart.atlas.vegvesen.no/#/@293236.8,6706275.9,18/hva:hva%5B0%5D%5Bfilter%5D%5B0%5D%5Boperator%5D=%21%3D&amp;hva%5B0%5D%5Bfilter%5D%5B0%5D%5Btype_id%5D=5897&amp;hva%5B0%5D%5Bfilter%5D%5B0%5D%5Bverdi%5D=&amp;hva%5B0%5D%5Bid%5D=47/når:2015-04-24", "Vegkart")</f>
        <v>Vegkart</v>
      </c>
      <c r="B5954">
        <v>592368495</v>
      </c>
      <c r="C5954">
        <v>47</v>
      </c>
      <c r="D5954" t="s">
        <v>16854</v>
      </c>
      <c r="E5954">
        <v>5897</v>
      </c>
      <c r="F5954" t="s">
        <v>23479</v>
      </c>
      <c r="G5954">
        <v>1</v>
      </c>
      <c r="H5954" t="s">
        <v>6447</v>
      </c>
      <c r="J5954" t="s">
        <v>19733</v>
      </c>
      <c r="K5954" t="s">
        <v>132</v>
      </c>
      <c r="L5954" t="s">
        <v>80</v>
      </c>
      <c r="M5954" t="s">
        <v>105</v>
      </c>
      <c r="N5954" t="s">
        <v>19840</v>
      </c>
      <c r="O5954" t="s">
        <v>19841</v>
      </c>
      <c r="P5954" s="2" t="s">
        <v>26</v>
      </c>
      <c r="Q5954" t="s">
        <v>50</v>
      </c>
      <c r="R5954">
        <v>63.7</v>
      </c>
      <c r="S5954">
        <v>63.7</v>
      </c>
      <c r="T5954" t="s">
        <v>19842</v>
      </c>
    </row>
    <row r="5955" spans="1:20" x14ac:dyDescent="0.25">
      <c r="A5955" s="1" t="str">
        <f>HYPERLINK("https://vegkart.atlas.vegvesen.no/#/@293120.5,6705532.0,18/hva:hva%5B0%5D%5Bfilter%5D%5B0%5D%5Boperator%5D=%21%3D&amp;hva%5B0%5D%5Bfilter%5D%5B0%5D%5Btype_id%5D=5897&amp;hva%5B0%5D%5Bfilter%5D%5B0%5D%5Bverdi%5D=&amp;hva%5B0%5D%5Bid%5D=47/når:2015-04-24", "Vegkart")</f>
        <v>Vegkart</v>
      </c>
      <c r="B5955">
        <v>592368496</v>
      </c>
      <c r="C5955">
        <v>47</v>
      </c>
      <c r="D5955" t="s">
        <v>16854</v>
      </c>
      <c r="E5955">
        <v>5897</v>
      </c>
      <c r="F5955" t="s">
        <v>23479</v>
      </c>
      <c r="G5955">
        <v>1</v>
      </c>
      <c r="H5955" t="s">
        <v>6447</v>
      </c>
      <c r="J5955" t="s">
        <v>19733</v>
      </c>
      <c r="K5955" t="s">
        <v>132</v>
      </c>
      <c r="L5955" t="s">
        <v>80</v>
      </c>
      <c r="M5955" t="s">
        <v>105</v>
      </c>
      <c r="N5955" t="s">
        <v>19843</v>
      </c>
      <c r="O5955" t="s">
        <v>19844</v>
      </c>
      <c r="P5955" s="2" t="s">
        <v>26</v>
      </c>
      <c r="Q5955" t="s">
        <v>50</v>
      </c>
      <c r="R5955">
        <v>64.28</v>
      </c>
      <c r="S5955">
        <v>64.290000000000006</v>
      </c>
      <c r="T5955" t="s">
        <v>19845</v>
      </c>
    </row>
    <row r="5956" spans="1:20" x14ac:dyDescent="0.25">
      <c r="A5956" s="1" t="str">
        <f>HYPERLINK("https://vegkart.atlas.vegvesen.no/#/@122658.5,6482379.0,18/hva:hva%5B0%5D%5Bfilter%5D%5B0%5D%5Boperator%5D=%21%3D&amp;hva%5B0%5D%5Bfilter%5D%5B0%5D%5Btype_id%5D=5897&amp;hva%5B0%5D%5Bfilter%5D%5B0%5D%5Bverdi%5D=&amp;hva%5B0%5D%5Bid%5D=47/når:2015-04-24", "Vegkart")</f>
        <v>Vegkart</v>
      </c>
      <c r="B5956">
        <v>592376983</v>
      </c>
      <c r="C5956">
        <v>47</v>
      </c>
      <c r="D5956" t="s">
        <v>16854</v>
      </c>
      <c r="E5956">
        <v>5897</v>
      </c>
      <c r="F5956" t="s">
        <v>23479</v>
      </c>
      <c r="G5956">
        <v>1</v>
      </c>
      <c r="H5956" t="s">
        <v>6447</v>
      </c>
      <c r="J5956" t="s">
        <v>19733</v>
      </c>
      <c r="K5956" t="s">
        <v>86</v>
      </c>
      <c r="L5956" t="s">
        <v>33</v>
      </c>
      <c r="M5956" t="s">
        <v>19846</v>
      </c>
      <c r="N5956" t="s">
        <v>19847</v>
      </c>
      <c r="O5956" t="s">
        <v>19848</v>
      </c>
      <c r="P5956" s="2" t="s">
        <v>26</v>
      </c>
      <c r="Q5956" t="s">
        <v>50</v>
      </c>
      <c r="R5956">
        <v>59.91</v>
      </c>
      <c r="S5956">
        <v>60.41</v>
      </c>
      <c r="T5956" t="s">
        <v>19849</v>
      </c>
    </row>
    <row r="5957" spans="1:20" x14ac:dyDescent="0.25">
      <c r="A5957" s="1" t="str">
        <f>HYPERLINK("https://vegkart.atlas.vegvesen.no/#/@122603.2,6482363.5,18/hva:hva%5B0%5D%5Bfilter%5D%5B0%5D%5Boperator%5D=%21%3D&amp;hva%5B0%5D%5Bfilter%5D%5B0%5D%5Btype_id%5D=5897&amp;hva%5B0%5D%5Bfilter%5D%5B0%5D%5Bverdi%5D=&amp;hva%5B0%5D%5Bid%5D=47/når:2015-04-24", "Vegkart")</f>
        <v>Vegkart</v>
      </c>
      <c r="B5957">
        <v>592376984</v>
      </c>
      <c r="C5957">
        <v>47</v>
      </c>
      <c r="D5957" t="s">
        <v>16854</v>
      </c>
      <c r="E5957">
        <v>5897</v>
      </c>
      <c r="F5957" t="s">
        <v>23479</v>
      </c>
      <c r="G5957">
        <v>1</v>
      </c>
      <c r="H5957" t="s">
        <v>6447</v>
      </c>
      <c r="J5957" t="s">
        <v>19733</v>
      </c>
      <c r="K5957" t="s">
        <v>86</v>
      </c>
      <c r="L5957" t="s">
        <v>33</v>
      </c>
      <c r="M5957" t="s">
        <v>19846</v>
      </c>
      <c r="N5957" t="s">
        <v>19850</v>
      </c>
      <c r="O5957" t="s">
        <v>19851</v>
      </c>
      <c r="P5957" s="2" t="s">
        <v>26</v>
      </c>
      <c r="Q5957" t="s">
        <v>50</v>
      </c>
      <c r="R5957">
        <v>50.29</v>
      </c>
      <c r="S5957">
        <v>50.86</v>
      </c>
      <c r="T5957" t="s">
        <v>19852</v>
      </c>
    </row>
    <row r="5958" spans="1:20" x14ac:dyDescent="0.25">
      <c r="A5958" s="1" t="str">
        <f>HYPERLINK("https://vegkart.atlas.vegvesen.no/#/@172528.5,6833235.1,18/hva:hva%5B0%5D%5Bfilter%5D%5B0%5D%5Boperator%5D=%21%3D&amp;hva%5B0%5D%5Bfilter%5D%5B0%5D%5Btype_id%5D=5897&amp;hva%5B0%5D%5Bfilter%5D%5B0%5D%5Bverdi%5D=&amp;hva%5B0%5D%5Bid%5D=47/når:2015-05-13", "Vegkart")</f>
        <v>Vegkart</v>
      </c>
      <c r="B5958">
        <v>594540974</v>
      </c>
      <c r="C5958">
        <v>47</v>
      </c>
      <c r="D5958" t="s">
        <v>16854</v>
      </c>
      <c r="E5958">
        <v>5897</v>
      </c>
      <c r="F5958" t="s">
        <v>23479</v>
      </c>
      <c r="G5958">
        <v>1</v>
      </c>
      <c r="H5958" t="s">
        <v>18387</v>
      </c>
      <c r="J5958" t="s">
        <v>19733</v>
      </c>
      <c r="K5958" t="s">
        <v>136</v>
      </c>
      <c r="L5958" t="s">
        <v>33</v>
      </c>
      <c r="M5958" t="s">
        <v>1222</v>
      </c>
      <c r="N5958" t="s">
        <v>19853</v>
      </c>
      <c r="O5958" t="s">
        <v>19854</v>
      </c>
      <c r="P5958" s="2" t="s">
        <v>26</v>
      </c>
      <c r="Q5958" t="s">
        <v>50</v>
      </c>
      <c r="R5958">
        <v>43.47</v>
      </c>
      <c r="S5958">
        <v>43.47</v>
      </c>
      <c r="T5958" t="s">
        <v>19855</v>
      </c>
    </row>
    <row r="5959" spans="1:20" x14ac:dyDescent="0.25">
      <c r="A5959" s="1" t="str">
        <f>HYPERLINK("https://vegkart.atlas.vegvesen.no/#/@-51673.8,6613255.8,18/hva:hva%5B0%5D%5Bfilter%5D%5B0%5D%5Boperator%5D=%21%3D&amp;hva%5B0%5D%5Bfilter%5D%5B0%5D%5Btype_id%5D=5897&amp;hva%5B0%5D%5Bfilter%5D%5B0%5D%5Bverdi%5D=&amp;hva%5B0%5D%5Bid%5D=47/når:2015-05-18", "Vegkart")</f>
        <v>Vegkart</v>
      </c>
      <c r="B5959">
        <v>595383423</v>
      </c>
      <c r="C5959">
        <v>47</v>
      </c>
      <c r="D5959" t="s">
        <v>16854</v>
      </c>
      <c r="E5959">
        <v>5897</v>
      </c>
      <c r="F5959" t="s">
        <v>23479</v>
      </c>
      <c r="G5959">
        <v>1</v>
      </c>
      <c r="H5959" t="s">
        <v>19856</v>
      </c>
      <c r="J5959" t="s">
        <v>19733</v>
      </c>
      <c r="K5959" t="s">
        <v>170</v>
      </c>
      <c r="L5959" t="s">
        <v>33</v>
      </c>
      <c r="M5959" t="s">
        <v>512</v>
      </c>
      <c r="N5959" t="s">
        <v>19857</v>
      </c>
      <c r="O5959" t="s">
        <v>19858</v>
      </c>
      <c r="P5959" s="2" t="s">
        <v>26</v>
      </c>
      <c r="Q5959" t="s">
        <v>50</v>
      </c>
      <c r="R5959">
        <v>72.650000000000006</v>
      </c>
      <c r="S5959">
        <v>72.650000000000006</v>
      </c>
      <c r="T5959" t="s">
        <v>19859</v>
      </c>
    </row>
    <row r="5960" spans="1:20" x14ac:dyDescent="0.25">
      <c r="A5960" s="1" t="str">
        <f>HYPERLINK("https://vegkart.atlas.vegvesen.no/#/@-51630.0,6613086.5,18/hva:hva%5B0%5D%5Bfilter%5D%5B0%5D%5Boperator%5D=%21%3D&amp;hva%5B0%5D%5Bfilter%5D%5B0%5D%5Btype_id%5D=5897&amp;hva%5B0%5D%5Bfilter%5D%5B0%5D%5Bverdi%5D=&amp;hva%5B0%5D%5Bid%5D=47/når:2015-05-18", "Vegkart")</f>
        <v>Vegkart</v>
      </c>
      <c r="B5960">
        <v>595383424</v>
      </c>
      <c r="C5960">
        <v>47</v>
      </c>
      <c r="D5960" t="s">
        <v>16854</v>
      </c>
      <c r="E5960">
        <v>5897</v>
      </c>
      <c r="F5960" t="s">
        <v>23479</v>
      </c>
      <c r="G5960">
        <v>1</v>
      </c>
      <c r="H5960" t="s">
        <v>19856</v>
      </c>
      <c r="J5960" t="s">
        <v>19733</v>
      </c>
      <c r="K5960" t="s">
        <v>170</v>
      </c>
      <c r="L5960" t="s">
        <v>33</v>
      </c>
      <c r="M5960" t="s">
        <v>11425</v>
      </c>
      <c r="N5960" t="s">
        <v>19860</v>
      </c>
      <c r="O5960" t="s">
        <v>19861</v>
      </c>
      <c r="P5960" s="2" t="s">
        <v>26</v>
      </c>
      <c r="Q5960" t="s">
        <v>50</v>
      </c>
      <c r="R5960">
        <v>71.709999999999994</v>
      </c>
      <c r="S5960">
        <v>75.099999999999994</v>
      </c>
      <c r="T5960" t="s">
        <v>19862</v>
      </c>
    </row>
    <row r="5961" spans="1:20" x14ac:dyDescent="0.25">
      <c r="A5961" s="1" t="str">
        <f>HYPERLINK("https://vegkart.atlas.vegvesen.no/#/@291449.0,7038412.3,18/hva:hva%5B0%5D%5Bfilter%5D%5B0%5D%5Boperator%5D=%21%3D&amp;hva%5B0%5D%5Bfilter%5D%5B0%5D%5Btype_id%5D=5897&amp;hva%5B0%5D%5Bfilter%5D%5B0%5D%5Bverdi%5D=&amp;hva%5B0%5D%5Bid%5D=47/når:2015-12-23", "Vegkart")</f>
        <v>Vegkart</v>
      </c>
      <c r="B5961">
        <v>595428802</v>
      </c>
      <c r="C5961">
        <v>47</v>
      </c>
      <c r="D5961" t="s">
        <v>16854</v>
      </c>
      <c r="E5961">
        <v>5897</v>
      </c>
      <c r="F5961" t="s">
        <v>23479</v>
      </c>
      <c r="G5961">
        <v>2</v>
      </c>
      <c r="H5961" t="s">
        <v>19863</v>
      </c>
      <c r="J5961" t="s">
        <v>19733</v>
      </c>
      <c r="K5961" t="s">
        <v>192</v>
      </c>
      <c r="L5961" t="s">
        <v>80</v>
      </c>
      <c r="M5961" t="s">
        <v>105</v>
      </c>
      <c r="N5961" t="s">
        <v>19864</v>
      </c>
      <c r="O5961" t="s">
        <v>19865</v>
      </c>
      <c r="P5961" s="2" t="s">
        <v>165</v>
      </c>
      <c r="Q5961" t="s">
        <v>166</v>
      </c>
      <c r="R5961">
        <v>71.34</v>
      </c>
      <c r="S5961">
        <v>71.55</v>
      </c>
      <c r="T5961" t="s">
        <v>167</v>
      </c>
    </row>
    <row r="5962" spans="1:20" x14ac:dyDescent="0.25">
      <c r="A5962" s="1" t="str">
        <f>HYPERLINK("https://vegkart.atlas.vegvesen.no/#/@288234.9,7039380.5,18/hva:hva%5B0%5D%5Bfilter%5D%5B0%5D%5Boperator%5D=%21%3D&amp;hva%5B0%5D%5Bfilter%5D%5B0%5D%5Btype_id%5D=5897&amp;hva%5B0%5D%5Bfilter%5D%5B0%5D%5Bverdi%5D=&amp;hva%5B0%5D%5Bid%5D=47/når:2015-12-23", "Vegkart")</f>
        <v>Vegkart</v>
      </c>
      <c r="B5962">
        <v>595428804</v>
      </c>
      <c r="C5962">
        <v>47</v>
      </c>
      <c r="D5962" t="s">
        <v>16854</v>
      </c>
      <c r="E5962">
        <v>5897</v>
      </c>
      <c r="F5962" t="s">
        <v>23479</v>
      </c>
      <c r="G5962">
        <v>2</v>
      </c>
      <c r="H5962" t="s">
        <v>19863</v>
      </c>
      <c r="J5962" t="s">
        <v>19733</v>
      </c>
      <c r="K5962" t="s">
        <v>192</v>
      </c>
      <c r="L5962" t="s">
        <v>80</v>
      </c>
      <c r="M5962" t="s">
        <v>105</v>
      </c>
      <c r="N5962" t="s">
        <v>19866</v>
      </c>
      <c r="O5962" t="s">
        <v>19867</v>
      </c>
      <c r="P5962" s="2" t="s">
        <v>165</v>
      </c>
      <c r="Q5962" t="s">
        <v>166</v>
      </c>
      <c r="R5962">
        <v>84.51</v>
      </c>
      <c r="S5962">
        <v>90.45</v>
      </c>
      <c r="T5962" t="s">
        <v>167</v>
      </c>
    </row>
    <row r="5963" spans="1:20" x14ac:dyDescent="0.25">
      <c r="A5963" s="1" t="str">
        <f>HYPERLINK("https://vegkart.atlas.vegvesen.no/#/@288290.5,7039300.8,18/hva:hva%5B0%5D%5Bfilter%5D%5B0%5D%5Boperator%5D=%21%3D&amp;hva%5B0%5D%5Bfilter%5D%5B0%5D%5Btype_id%5D=5897&amp;hva%5B0%5D%5Bfilter%5D%5B0%5D%5Bverdi%5D=&amp;hva%5B0%5D%5Bid%5D=47/når:2015-12-23", "Vegkart")</f>
        <v>Vegkart</v>
      </c>
      <c r="B5963">
        <v>595428805</v>
      </c>
      <c r="C5963">
        <v>47</v>
      </c>
      <c r="D5963" t="s">
        <v>16854</v>
      </c>
      <c r="E5963">
        <v>5897</v>
      </c>
      <c r="F5963" t="s">
        <v>23479</v>
      </c>
      <c r="G5963">
        <v>2</v>
      </c>
      <c r="H5963" t="s">
        <v>19863</v>
      </c>
      <c r="J5963" t="s">
        <v>19733</v>
      </c>
      <c r="K5963" t="s">
        <v>192</v>
      </c>
      <c r="L5963" t="s">
        <v>80</v>
      </c>
      <c r="M5963" t="s">
        <v>105</v>
      </c>
      <c r="N5963" t="s">
        <v>19868</v>
      </c>
      <c r="O5963" t="s">
        <v>19869</v>
      </c>
      <c r="P5963" s="2" t="s">
        <v>165</v>
      </c>
      <c r="Q5963" t="s">
        <v>166</v>
      </c>
      <c r="R5963">
        <v>58.05</v>
      </c>
      <c r="S5963">
        <v>58.22</v>
      </c>
      <c r="T5963" t="s">
        <v>167</v>
      </c>
    </row>
    <row r="5964" spans="1:20" x14ac:dyDescent="0.25">
      <c r="A5964" s="1" t="str">
        <f>HYPERLINK("https://vegkart.atlas.vegvesen.no/#/@226183.8,6565061.9,18/hva:hva%5B0%5D%5Bfilter%5D%5B0%5D%5Boperator%5D=%21%3D&amp;hva%5B0%5D%5Bfilter%5D%5B0%5D%5Btype_id%5D=5897&amp;hva%5B0%5D%5Bfilter%5D%5B0%5D%5Bverdi%5D=&amp;hva%5B0%5D%5Bid%5D=47/når:2015-05-22", "Vegkart")</f>
        <v>Vegkart</v>
      </c>
      <c r="B5964">
        <v>596180089</v>
      </c>
      <c r="C5964">
        <v>47</v>
      </c>
      <c r="D5964" t="s">
        <v>16854</v>
      </c>
      <c r="E5964">
        <v>5897</v>
      </c>
      <c r="F5964" t="s">
        <v>23479</v>
      </c>
      <c r="G5964">
        <v>1</v>
      </c>
      <c r="H5964" t="s">
        <v>19870</v>
      </c>
      <c r="J5964" t="s">
        <v>19733</v>
      </c>
      <c r="K5964" t="s">
        <v>81</v>
      </c>
      <c r="L5964" t="s">
        <v>33</v>
      </c>
      <c r="M5964" t="s">
        <v>5365</v>
      </c>
      <c r="N5964" t="s">
        <v>19871</v>
      </c>
      <c r="O5964" t="s">
        <v>19872</v>
      </c>
      <c r="P5964" s="2" t="s">
        <v>26</v>
      </c>
      <c r="Q5964" t="s">
        <v>50</v>
      </c>
      <c r="R5964">
        <v>50.86</v>
      </c>
      <c r="S5964">
        <v>51.36</v>
      </c>
      <c r="T5964" t="s">
        <v>19873</v>
      </c>
    </row>
    <row r="5965" spans="1:20" x14ac:dyDescent="0.25">
      <c r="A5965" s="1" t="str">
        <f>HYPERLINK("https://vegkart.atlas.vegvesen.no/#/@226161.1,6565065.1,18/hva:hva%5B0%5D%5Bfilter%5D%5B0%5D%5Boperator%5D=%21%3D&amp;hva%5B0%5D%5Bfilter%5D%5B0%5D%5Btype_id%5D=5897&amp;hva%5B0%5D%5Bfilter%5D%5B0%5D%5Bverdi%5D=&amp;hva%5B0%5D%5Bid%5D=47/når:2015-05-22", "Vegkart")</f>
        <v>Vegkart</v>
      </c>
      <c r="B5965">
        <v>596180090</v>
      </c>
      <c r="C5965">
        <v>47</v>
      </c>
      <c r="D5965" t="s">
        <v>16854</v>
      </c>
      <c r="E5965">
        <v>5897</v>
      </c>
      <c r="F5965" t="s">
        <v>23479</v>
      </c>
      <c r="G5965">
        <v>1</v>
      </c>
      <c r="H5965" t="s">
        <v>19870</v>
      </c>
      <c r="J5965" t="s">
        <v>19733</v>
      </c>
      <c r="K5965" t="s">
        <v>81</v>
      </c>
      <c r="L5965" t="s">
        <v>33</v>
      </c>
      <c r="M5965" t="s">
        <v>5365</v>
      </c>
      <c r="N5965" t="s">
        <v>19874</v>
      </c>
      <c r="O5965" t="s">
        <v>19875</v>
      </c>
      <c r="P5965" s="2" t="s">
        <v>26</v>
      </c>
      <c r="Q5965" t="s">
        <v>50</v>
      </c>
      <c r="R5965">
        <v>52.07</v>
      </c>
      <c r="S5965">
        <v>52.6</v>
      </c>
      <c r="T5965" t="s">
        <v>19876</v>
      </c>
    </row>
    <row r="5966" spans="1:20" x14ac:dyDescent="0.25">
      <c r="A5966" s="1" t="str">
        <f>HYPERLINK("https://vegkart.atlas.vegvesen.no/#/@64932.1,6887411.4,18/hva:hva%5B0%5D%5Bfilter%5D%5B0%5D%5Boperator%5D=%21%3D&amp;hva%5B0%5D%5Bfilter%5D%5B0%5D%5Btype_id%5D=5897&amp;hva%5B0%5D%5Bfilter%5D%5B0%5D%5Bverdi%5D=&amp;hva%5B0%5D%5Bid%5D=47/når:2024-08-08", "Vegkart")</f>
        <v>Vegkart</v>
      </c>
      <c r="B5966">
        <v>596701512</v>
      </c>
      <c r="C5966">
        <v>47</v>
      </c>
      <c r="D5966" t="s">
        <v>16854</v>
      </c>
      <c r="E5966">
        <v>5897</v>
      </c>
      <c r="F5966" t="s">
        <v>23479</v>
      </c>
      <c r="G5966">
        <v>2</v>
      </c>
      <c r="H5966" t="s">
        <v>1215</v>
      </c>
      <c r="J5966" t="s">
        <v>19733</v>
      </c>
      <c r="K5966" t="s">
        <v>21</v>
      </c>
      <c r="L5966" t="s">
        <v>33</v>
      </c>
      <c r="M5966" t="s">
        <v>47</v>
      </c>
      <c r="N5966" t="s">
        <v>19877</v>
      </c>
      <c r="O5966" t="s">
        <v>19878</v>
      </c>
      <c r="P5966" s="2" t="s">
        <v>165</v>
      </c>
      <c r="Q5966" t="s">
        <v>166</v>
      </c>
      <c r="R5966">
        <v>10.210000000000001</v>
      </c>
      <c r="S5966">
        <v>11.21</v>
      </c>
      <c r="T5966" t="s">
        <v>167</v>
      </c>
    </row>
    <row r="5967" spans="1:20" x14ac:dyDescent="0.25">
      <c r="A5967" s="1" t="str">
        <f>HYPERLINK("https://vegkart.atlas.vegvesen.no/#/@77579.9,6815939.6,18/hva:hva%5B0%5D%5Bfilter%5D%5B0%5D%5Boperator%5D=%21%3D&amp;hva%5B0%5D%5Bfilter%5D%5B0%5D%5Btype_id%5D=5897&amp;hva%5B0%5D%5Bfilter%5D%5B0%5D%5Bverdi%5D=&amp;hva%5B0%5D%5Bid%5D=47/når:2015-09-22", "Vegkart")</f>
        <v>Vegkart</v>
      </c>
      <c r="B5967">
        <v>596782478</v>
      </c>
      <c r="C5967">
        <v>47</v>
      </c>
      <c r="D5967" t="s">
        <v>16854</v>
      </c>
      <c r="E5967">
        <v>5897</v>
      </c>
      <c r="F5967" t="s">
        <v>23479</v>
      </c>
      <c r="G5967">
        <v>2</v>
      </c>
      <c r="H5967" t="s">
        <v>18342</v>
      </c>
      <c r="J5967" t="s">
        <v>19733</v>
      </c>
      <c r="K5967" t="s">
        <v>21</v>
      </c>
      <c r="L5967" t="s">
        <v>33</v>
      </c>
      <c r="M5967" t="s">
        <v>179</v>
      </c>
      <c r="N5967" t="s">
        <v>19879</v>
      </c>
      <c r="O5967" t="s">
        <v>19880</v>
      </c>
      <c r="P5967" s="2" t="s">
        <v>26</v>
      </c>
      <c r="Q5967" t="s">
        <v>50</v>
      </c>
      <c r="R5967">
        <v>38.78</v>
      </c>
      <c r="S5967">
        <v>39.450000000000003</v>
      </c>
      <c r="T5967" t="s">
        <v>19881</v>
      </c>
    </row>
    <row r="5968" spans="1:20" x14ac:dyDescent="0.25">
      <c r="A5968" s="1" t="str">
        <f>HYPERLINK("https://vegkart.atlas.vegvesen.no/#/@293476.4,6710994.7,18/hva:hva%5B0%5D%5Bfilter%5D%5B0%5D%5Boperator%5D=%21%3D&amp;hva%5B0%5D%5Bfilter%5D%5B0%5D%5Btype_id%5D=5897&amp;hva%5B0%5D%5Bfilter%5D%5B0%5D%5Bverdi%5D=&amp;hva%5B0%5D%5Bid%5D=47/når:2015-06-02", "Vegkart")</f>
        <v>Vegkart</v>
      </c>
      <c r="B5968">
        <v>597973009</v>
      </c>
      <c r="C5968">
        <v>47</v>
      </c>
      <c r="D5968" t="s">
        <v>16854</v>
      </c>
      <c r="E5968">
        <v>5897</v>
      </c>
      <c r="F5968" t="s">
        <v>23479</v>
      </c>
      <c r="G5968">
        <v>1</v>
      </c>
      <c r="H5968" t="s">
        <v>5035</v>
      </c>
      <c r="J5968" t="s">
        <v>19733</v>
      </c>
      <c r="K5968" t="s">
        <v>132</v>
      </c>
      <c r="L5968" t="s">
        <v>80</v>
      </c>
      <c r="M5968" t="s">
        <v>105</v>
      </c>
      <c r="N5968" t="s">
        <v>19882</v>
      </c>
      <c r="O5968" t="s">
        <v>19883</v>
      </c>
      <c r="P5968" s="2" t="s">
        <v>26</v>
      </c>
      <c r="Q5968" t="s">
        <v>50</v>
      </c>
      <c r="R5968">
        <v>90.06</v>
      </c>
      <c r="S5968">
        <v>90.06</v>
      </c>
      <c r="T5968" t="s">
        <v>19884</v>
      </c>
    </row>
    <row r="5969" spans="1:20" x14ac:dyDescent="0.25">
      <c r="A5969" s="1" t="str">
        <f>HYPERLINK("https://vegkart.atlas.vegvesen.no/#/@293552.1,6710757.2,18/hva:hva%5B0%5D%5Bfilter%5D%5B0%5D%5Boperator%5D=%21%3D&amp;hva%5B0%5D%5Bfilter%5D%5B0%5D%5Btype_id%5D=5897&amp;hva%5B0%5D%5Bfilter%5D%5B0%5D%5Bverdi%5D=&amp;hva%5B0%5D%5Bid%5D=47/når:2015-06-02", "Vegkart")</f>
        <v>Vegkart</v>
      </c>
      <c r="B5969">
        <v>597973010</v>
      </c>
      <c r="C5969">
        <v>47</v>
      </c>
      <c r="D5969" t="s">
        <v>16854</v>
      </c>
      <c r="E5969">
        <v>5897</v>
      </c>
      <c r="F5969" t="s">
        <v>23479</v>
      </c>
      <c r="G5969">
        <v>1</v>
      </c>
      <c r="H5969" t="s">
        <v>5035</v>
      </c>
      <c r="J5969" t="s">
        <v>19733</v>
      </c>
      <c r="K5969" t="s">
        <v>132</v>
      </c>
      <c r="L5969" t="s">
        <v>80</v>
      </c>
      <c r="M5969" t="s">
        <v>105</v>
      </c>
      <c r="N5969" t="s">
        <v>19885</v>
      </c>
      <c r="O5969" t="s">
        <v>19886</v>
      </c>
      <c r="P5969" s="2" t="s">
        <v>26</v>
      </c>
      <c r="Q5969" t="s">
        <v>50</v>
      </c>
      <c r="R5969">
        <v>89.86</v>
      </c>
      <c r="S5969">
        <v>89.86</v>
      </c>
      <c r="T5969" t="s">
        <v>19887</v>
      </c>
    </row>
    <row r="5970" spans="1:20" x14ac:dyDescent="0.25">
      <c r="A5970" s="1" t="str">
        <f>HYPERLINK("https://vegkart.atlas.vegvesen.no/#/@293658.7,6710529.2,18/hva:hva%5B0%5D%5Bfilter%5D%5B0%5D%5Boperator%5D=%21%3D&amp;hva%5B0%5D%5Bfilter%5D%5B0%5D%5Btype_id%5D=5897&amp;hva%5B0%5D%5Bfilter%5D%5B0%5D%5Bverdi%5D=&amp;hva%5B0%5D%5Bid%5D=47/når:2015-06-02", "Vegkart")</f>
        <v>Vegkart</v>
      </c>
      <c r="B5970">
        <v>597973011</v>
      </c>
      <c r="C5970">
        <v>47</v>
      </c>
      <c r="D5970" t="s">
        <v>16854</v>
      </c>
      <c r="E5970">
        <v>5897</v>
      </c>
      <c r="F5970" t="s">
        <v>23479</v>
      </c>
      <c r="G5970">
        <v>1</v>
      </c>
      <c r="H5970" t="s">
        <v>5035</v>
      </c>
      <c r="J5970" t="s">
        <v>19733</v>
      </c>
      <c r="K5970" t="s">
        <v>132</v>
      </c>
      <c r="L5970" t="s">
        <v>80</v>
      </c>
      <c r="M5970" t="s">
        <v>105</v>
      </c>
      <c r="N5970" t="s">
        <v>19888</v>
      </c>
      <c r="O5970" t="s">
        <v>19889</v>
      </c>
      <c r="P5970" s="2" t="s">
        <v>26</v>
      </c>
      <c r="Q5970" t="s">
        <v>50</v>
      </c>
      <c r="R5970">
        <v>90.14</v>
      </c>
      <c r="S5970">
        <v>90.14</v>
      </c>
      <c r="T5970" t="s">
        <v>19890</v>
      </c>
    </row>
    <row r="5971" spans="1:20" x14ac:dyDescent="0.25">
      <c r="A5971" s="1" t="str">
        <f>HYPERLINK("https://vegkart.atlas.vegvesen.no/#/@293660.7,6710433.1,18/hva:hva%5B0%5D%5Bfilter%5D%5B0%5D%5Boperator%5D=%21%3D&amp;hva%5B0%5D%5Bfilter%5D%5B0%5D%5Btype_id%5D=5897&amp;hva%5B0%5D%5Bfilter%5D%5B0%5D%5Bverdi%5D=&amp;hva%5B0%5D%5Bid%5D=47/når:2015-06-02", "Vegkart")</f>
        <v>Vegkart</v>
      </c>
      <c r="B5971">
        <v>597973012</v>
      </c>
      <c r="C5971">
        <v>47</v>
      </c>
      <c r="D5971" t="s">
        <v>16854</v>
      </c>
      <c r="E5971">
        <v>5897</v>
      </c>
      <c r="F5971" t="s">
        <v>23479</v>
      </c>
      <c r="G5971">
        <v>1</v>
      </c>
      <c r="H5971" t="s">
        <v>5035</v>
      </c>
      <c r="J5971" t="s">
        <v>19733</v>
      </c>
      <c r="K5971" t="s">
        <v>132</v>
      </c>
      <c r="L5971" t="s">
        <v>80</v>
      </c>
      <c r="M5971" t="s">
        <v>105</v>
      </c>
      <c r="N5971" t="s">
        <v>19891</v>
      </c>
      <c r="O5971" t="s">
        <v>19892</v>
      </c>
      <c r="P5971" s="2" t="s">
        <v>26</v>
      </c>
      <c r="Q5971" t="s">
        <v>50</v>
      </c>
      <c r="R5971">
        <v>90.14</v>
      </c>
      <c r="S5971">
        <v>90.14</v>
      </c>
      <c r="T5971" t="s">
        <v>19893</v>
      </c>
    </row>
    <row r="5972" spans="1:20" x14ac:dyDescent="0.25">
      <c r="A5972" s="1" t="str">
        <f>HYPERLINK("https://vegkart.atlas.vegvesen.no/#/@293681.1,6710293.8,18/hva:hva%5B0%5D%5Bfilter%5D%5B0%5D%5Boperator%5D=%21%3D&amp;hva%5B0%5D%5Bfilter%5D%5B0%5D%5Btype_id%5D=5897&amp;hva%5B0%5D%5Bfilter%5D%5B0%5D%5Bverdi%5D=&amp;hva%5B0%5D%5Bid%5D=47/når:2015-06-02", "Vegkart")</f>
        <v>Vegkart</v>
      </c>
      <c r="B5972">
        <v>597973013</v>
      </c>
      <c r="C5972">
        <v>47</v>
      </c>
      <c r="D5972" t="s">
        <v>16854</v>
      </c>
      <c r="E5972">
        <v>5897</v>
      </c>
      <c r="F5972" t="s">
        <v>23479</v>
      </c>
      <c r="G5972">
        <v>1</v>
      </c>
      <c r="H5972" t="s">
        <v>5035</v>
      </c>
      <c r="J5972" t="s">
        <v>19733</v>
      </c>
      <c r="K5972" t="s">
        <v>132</v>
      </c>
      <c r="L5972" t="s">
        <v>80</v>
      </c>
      <c r="M5972" t="s">
        <v>105</v>
      </c>
      <c r="N5972" t="s">
        <v>19894</v>
      </c>
      <c r="O5972" t="s">
        <v>19895</v>
      </c>
      <c r="P5972" s="2" t="s">
        <v>26</v>
      </c>
      <c r="Q5972" t="s">
        <v>50</v>
      </c>
      <c r="R5972">
        <v>85.13</v>
      </c>
      <c r="S5972">
        <v>85.13</v>
      </c>
      <c r="T5972" t="s">
        <v>19896</v>
      </c>
    </row>
    <row r="5973" spans="1:20" x14ac:dyDescent="0.25">
      <c r="A5973" s="1" t="str">
        <f>HYPERLINK("https://vegkart.atlas.vegvesen.no/#/@293741.3,6710046.3,18/hva:hva%5B0%5D%5Bfilter%5D%5B0%5D%5Boperator%5D=%21%3D&amp;hva%5B0%5D%5Bfilter%5D%5B0%5D%5Btype_id%5D=5897&amp;hva%5B0%5D%5Bfilter%5D%5B0%5D%5Bverdi%5D=&amp;hva%5B0%5D%5Bid%5D=47/når:2015-06-02", "Vegkart")</f>
        <v>Vegkart</v>
      </c>
      <c r="B5973">
        <v>597973014</v>
      </c>
      <c r="C5973">
        <v>47</v>
      </c>
      <c r="D5973" t="s">
        <v>16854</v>
      </c>
      <c r="E5973">
        <v>5897</v>
      </c>
      <c r="F5973" t="s">
        <v>23479</v>
      </c>
      <c r="G5973">
        <v>1</v>
      </c>
      <c r="H5973" t="s">
        <v>5035</v>
      </c>
      <c r="J5973" t="s">
        <v>19733</v>
      </c>
      <c r="K5973" t="s">
        <v>132</v>
      </c>
      <c r="L5973" t="s">
        <v>80</v>
      </c>
      <c r="M5973" t="s">
        <v>105</v>
      </c>
      <c r="N5973" t="s">
        <v>19897</v>
      </c>
      <c r="O5973" t="s">
        <v>19898</v>
      </c>
      <c r="P5973" s="2" t="s">
        <v>26</v>
      </c>
      <c r="Q5973" t="s">
        <v>50</v>
      </c>
      <c r="R5973">
        <v>90.15</v>
      </c>
      <c r="S5973">
        <v>90.15</v>
      </c>
      <c r="T5973" t="s">
        <v>19899</v>
      </c>
    </row>
    <row r="5974" spans="1:20" x14ac:dyDescent="0.25">
      <c r="A5974" s="1" t="str">
        <f>HYPERLINK("https://vegkart.atlas.vegvesen.no/#/@293714.7,6709804.0,18/hva:hva%5B0%5D%5Bfilter%5D%5B0%5D%5Boperator%5D=%21%3D&amp;hva%5B0%5D%5Bfilter%5D%5B0%5D%5Btype_id%5D=5897&amp;hva%5B0%5D%5Bfilter%5D%5B0%5D%5Bverdi%5D=&amp;hva%5B0%5D%5Bid%5D=47/når:2015-06-02", "Vegkart")</f>
        <v>Vegkart</v>
      </c>
      <c r="B5974">
        <v>597973015</v>
      </c>
      <c r="C5974">
        <v>47</v>
      </c>
      <c r="D5974" t="s">
        <v>16854</v>
      </c>
      <c r="E5974">
        <v>5897</v>
      </c>
      <c r="F5974" t="s">
        <v>23479</v>
      </c>
      <c r="G5974">
        <v>1</v>
      </c>
      <c r="H5974" t="s">
        <v>5035</v>
      </c>
      <c r="J5974" t="s">
        <v>19733</v>
      </c>
      <c r="K5974" t="s">
        <v>132</v>
      </c>
      <c r="L5974" t="s">
        <v>80</v>
      </c>
      <c r="M5974" t="s">
        <v>105</v>
      </c>
      <c r="N5974" t="s">
        <v>19900</v>
      </c>
      <c r="O5974" t="s">
        <v>19901</v>
      </c>
      <c r="P5974" s="2" t="s">
        <v>26</v>
      </c>
      <c r="Q5974" t="s">
        <v>50</v>
      </c>
      <c r="R5974">
        <v>90.51</v>
      </c>
      <c r="S5974">
        <v>90.51</v>
      </c>
      <c r="T5974" t="s">
        <v>19902</v>
      </c>
    </row>
    <row r="5975" spans="1:20" x14ac:dyDescent="0.25">
      <c r="A5975" s="1" t="str">
        <f>HYPERLINK("https://vegkart.atlas.vegvesen.no/#/@293732.5,6709705.2,18/hva:hva%5B0%5D%5Bfilter%5D%5B0%5D%5Boperator%5D=%21%3D&amp;hva%5B0%5D%5Bfilter%5D%5B0%5D%5Btype_id%5D=5897&amp;hva%5B0%5D%5Bfilter%5D%5B0%5D%5Bverdi%5D=&amp;hva%5B0%5D%5Bid%5D=47/når:2015-06-02", "Vegkart")</f>
        <v>Vegkart</v>
      </c>
      <c r="B5975">
        <v>597973016</v>
      </c>
      <c r="C5975">
        <v>47</v>
      </c>
      <c r="D5975" t="s">
        <v>16854</v>
      </c>
      <c r="E5975">
        <v>5897</v>
      </c>
      <c r="F5975" t="s">
        <v>23479</v>
      </c>
      <c r="G5975">
        <v>1</v>
      </c>
      <c r="H5975" t="s">
        <v>5035</v>
      </c>
      <c r="J5975" t="s">
        <v>19733</v>
      </c>
      <c r="K5975" t="s">
        <v>132</v>
      </c>
      <c r="L5975" t="s">
        <v>80</v>
      </c>
      <c r="M5975" t="s">
        <v>105</v>
      </c>
      <c r="N5975" t="s">
        <v>19903</v>
      </c>
      <c r="O5975" t="s">
        <v>19904</v>
      </c>
      <c r="P5975" s="2" t="s">
        <v>26</v>
      </c>
      <c r="Q5975" t="s">
        <v>50</v>
      </c>
      <c r="R5975">
        <v>82.88</v>
      </c>
      <c r="S5975">
        <v>82.88</v>
      </c>
      <c r="T5975" t="s">
        <v>19905</v>
      </c>
    </row>
    <row r="5976" spans="1:20" x14ac:dyDescent="0.25">
      <c r="A5976" s="1" t="str">
        <f>HYPERLINK("https://vegkart.atlas.vegvesen.no/#/@293722.0,6709536.9,18/hva:hva%5B0%5D%5Bfilter%5D%5B0%5D%5Boperator%5D=%21%3D&amp;hva%5B0%5D%5Bfilter%5D%5B0%5D%5Btype_id%5D=5897&amp;hva%5B0%5D%5Bfilter%5D%5B0%5D%5Bverdi%5D=&amp;hva%5B0%5D%5Bid%5D=47/når:2015-06-02", "Vegkart")</f>
        <v>Vegkart</v>
      </c>
      <c r="B5976">
        <v>597973017</v>
      </c>
      <c r="C5976">
        <v>47</v>
      </c>
      <c r="D5976" t="s">
        <v>16854</v>
      </c>
      <c r="E5976">
        <v>5897</v>
      </c>
      <c r="F5976" t="s">
        <v>23479</v>
      </c>
      <c r="G5976">
        <v>1</v>
      </c>
      <c r="H5976" t="s">
        <v>5035</v>
      </c>
      <c r="J5976" t="s">
        <v>19733</v>
      </c>
      <c r="K5976" t="s">
        <v>132</v>
      </c>
      <c r="L5976" t="s">
        <v>80</v>
      </c>
      <c r="M5976" t="s">
        <v>105</v>
      </c>
      <c r="N5976" t="s">
        <v>19906</v>
      </c>
      <c r="O5976" t="s">
        <v>19907</v>
      </c>
      <c r="P5976" s="2" t="s">
        <v>26</v>
      </c>
      <c r="Q5976" t="s">
        <v>50</v>
      </c>
      <c r="R5976">
        <v>90.14</v>
      </c>
      <c r="S5976">
        <v>90.14</v>
      </c>
      <c r="T5976" t="s">
        <v>19908</v>
      </c>
    </row>
    <row r="5977" spans="1:20" x14ac:dyDescent="0.25">
      <c r="A5977" s="1" t="str">
        <f>HYPERLINK("https://vegkart.atlas.vegvesen.no/#/@293642.7,6709301.2,18/hva:hva%5B0%5D%5Bfilter%5D%5B0%5D%5Boperator%5D=%21%3D&amp;hva%5B0%5D%5Bfilter%5D%5B0%5D%5Btype_id%5D=5897&amp;hva%5B0%5D%5Bfilter%5D%5B0%5D%5Bverdi%5D=&amp;hva%5B0%5D%5Bid%5D=47/når:2015-06-02", "Vegkart")</f>
        <v>Vegkart</v>
      </c>
      <c r="B5977">
        <v>597973018</v>
      </c>
      <c r="C5977">
        <v>47</v>
      </c>
      <c r="D5977" t="s">
        <v>16854</v>
      </c>
      <c r="E5977">
        <v>5897</v>
      </c>
      <c r="F5977" t="s">
        <v>23479</v>
      </c>
      <c r="G5977">
        <v>1</v>
      </c>
      <c r="H5977" t="s">
        <v>5035</v>
      </c>
      <c r="J5977" t="s">
        <v>19733</v>
      </c>
      <c r="K5977" t="s">
        <v>132</v>
      </c>
      <c r="L5977" t="s">
        <v>80</v>
      </c>
      <c r="M5977" t="s">
        <v>105</v>
      </c>
      <c r="N5977" t="s">
        <v>19909</v>
      </c>
      <c r="O5977" t="s">
        <v>19910</v>
      </c>
      <c r="P5977" s="2" t="s">
        <v>26</v>
      </c>
      <c r="Q5977" t="s">
        <v>50</v>
      </c>
      <c r="R5977">
        <v>89.86</v>
      </c>
      <c r="S5977">
        <v>89.86</v>
      </c>
      <c r="T5977" t="s">
        <v>19911</v>
      </c>
    </row>
    <row r="5978" spans="1:20" x14ac:dyDescent="0.25">
      <c r="A5978" s="1" t="str">
        <f>HYPERLINK("https://vegkart.atlas.vegvesen.no/#/@293309.2,6711271.9,18/hva:hva%5B0%5D%5Bfilter%5D%5B0%5D%5Boperator%5D=%21%3D&amp;hva%5B0%5D%5Bfilter%5D%5B0%5D%5Btype_id%5D=5897&amp;hva%5B0%5D%5Bfilter%5D%5B0%5D%5Bverdi%5D=&amp;hva%5B0%5D%5Bid%5D=47/når:2015-06-02", "Vegkart")</f>
        <v>Vegkart</v>
      </c>
      <c r="B5978">
        <v>597973021</v>
      </c>
      <c r="C5978">
        <v>47</v>
      </c>
      <c r="D5978" t="s">
        <v>16854</v>
      </c>
      <c r="E5978">
        <v>5897</v>
      </c>
      <c r="F5978" t="s">
        <v>23479</v>
      </c>
      <c r="G5978">
        <v>1</v>
      </c>
      <c r="H5978" t="s">
        <v>5035</v>
      </c>
      <c r="J5978" t="s">
        <v>19733</v>
      </c>
      <c r="K5978" t="s">
        <v>132</v>
      </c>
      <c r="L5978" t="s">
        <v>80</v>
      </c>
      <c r="M5978" t="s">
        <v>105</v>
      </c>
      <c r="N5978" t="s">
        <v>19912</v>
      </c>
      <c r="O5978" t="s">
        <v>19913</v>
      </c>
      <c r="P5978" s="2" t="s">
        <v>26</v>
      </c>
      <c r="Q5978" t="s">
        <v>50</v>
      </c>
      <c r="R5978">
        <v>65.88</v>
      </c>
      <c r="S5978">
        <v>65.88</v>
      </c>
      <c r="T5978" t="s">
        <v>19914</v>
      </c>
    </row>
    <row r="5979" spans="1:20" x14ac:dyDescent="0.25">
      <c r="A5979" s="1" t="str">
        <f>HYPERLINK("https://vegkart.atlas.vegvesen.no/#/@293342.5,6711266.1,18/hva:hva%5B0%5D%5Bfilter%5D%5B0%5D%5Boperator%5D=%21%3D&amp;hva%5B0%5D%5Bfilter%5D%5B0%5D%5Btype_id%5D=5897&amp;hva%5B0%5D%5Bfilter%5D%5B0%5D%5Bverdi%5D=&amp;hva%5B0%5D%5Bid%5D=47/når:2015-06-02", "Vegkart")</f>
        <v>Vegkart</v>
      </c>
      <c r="B5979">
        <v>597973022</v>
      </c>
      <c r="C5979">
        <v>47</v>
      </c>
      <c r="D5979" t="s">
        <v>16854</v>
      </c>
      <c r="E5979">
        <v>5897</v>
      </c>
      <c r="F5979" t="s">
        <v>23479</v>
      </c>
      <c r="G5979">
        <v>1</v>
      </c>
      <c r="H5979" t="s">
        <v>5035</v>
      </c>
      <c r="J5979" t="s">
        <v>19733</v>
      </c>
      <c r="K5979" t="s">
        <v>132</v>
      </c>
      <c r="L5979" t="s">
        <v>80</v>
      </c>
      <c r="M5979" t="s">
        <v>105</v>
      </c>
      <c r="N5979" t="s">
        <v>19915</v>
      </c>
      <c r="O5979" t="s">
        <v>19916</v>
      </c>
      <c r="P5979" s="2" t="s">
        <v>26</v>
      </c>
      <c r="Q5979" t="s">
        <v>50</v>
      </c>
      <c r="R5979">
        <v>61.81</v>
      </c>
      <c r="S5979">
        <v>61.81</v>
      </c>
      <c r="T5979" t="s">
        <v>19917</v>
      </c>
    </row>
    <row r="5980" spans="1:20" x14ac:dyDescent="0.25">
      <c r="A5980" s="1" t="str">
        <f>HYPERLINK("https://vegkart.atlas.vegvesen.no/#/@293525.7,6708922.9,18/hva:hva%5B0%5D%5Bfilter%5D%5B0%5D%5Boperator%5D=%21%3D&amp;hva%5B0%5D%5Bfilter%5D%5B0%5D%5Btype_id%5D=5897&amp;hva%5B0%5D%5Bfilter%5D%5B0%5D%5Bverdi%5D=&amp;hva%5B0%5D%5Bid%5D=47/når:2015-06-02", "Vegkart")</f>
        <v>Vegkart</v>
      </c>
      <c r="B5980">
        <v>597973023</v>
      </c>
      <c r="C5980">
        <v>47</v>
      </c>
      <c r="D5980" t="s">
        <v>16854</v>
      </c>
      <c r="E5980">
        <v>5897</v>
      </c>
      <c r="F5980" t="s">
        <v>23479</v>
      </c>
      <c r="G5980">
        <v>1</v>
      </c>
      <c r="H5980" t="s">
        <v>5035</v>
      </c>
      <c r="J5980" t="s">
        <v>19733</v>
      </c>
      <c r="K5980" t="s">
        <v>132</v>
      </c>
      <c r="L5980" t="s">
        <v>80</v>
      </c>
      <c r="M5980" t="s">
        <v>105</v>
      </c>
      <c r="N5980" t="s">
        <v>19918</v>
      </c>
      <c r="O5980" t="s">
        <v>19919</v>
      </c>
      <c r="P5980" s="2" t="s">
        <v>26</v>
      </c>
      <c r="Q5980" t="s">
        <v>50</v>
      </c>
      <c r="R5980">
        <v>61.44</v>
      </c>
      <c r="S5980">
        <v>61.44</v>
      </c>
      <c r="T5980" t="s">
        <v>19920</v>
      </c>
    </row>
    <row r="5981" spans="1:20" x14ac:dyDescent="0.25">
      <c r="A5981" s="1" t="str">
        <f>HYPERLINK("https://vegkart.atlas.vegvesen.no/#/@293542.6,6708882.7,18/hva:hva%5B0%5D%5Bfilter%5D%5B0%5D%5Boperator%5D=%21%3D&amp;hva%5B0%5D%5Bfilter%5D%5B0%5D%5Btype_id%5D=5897&amp;hva%5B0%5D%5Bfilter%5D%5B0%5D%5Bverdi%5D=&amp;hva%5B0%5D%5Bid%5D=47/når:2015-06-02", "Vegkart")</f>
        <v>Vegkart</v>
      </c>
      <c r="B5981">
        <v>597973024</v>
      </c>
      <c r="C5981">
        <v>47</v>
      </c>
      <c r="D5981" t="s">
        <v>16854</v>
      </c>
      <c r="E5981">
        <v>5897</v>
      </c>
      <c r="F5981" t="s">
        <v>23479</v>
      </c>
      <c r="G5981">
        <v>1</v>
      </c>
      <c r="H5981" t="s">
        <v>5035</v>
      </c>
      <c r="J5981" t="s">
        <v>19733</v>
      </c>
      <c r="K5981" t="s">
        <v>132</v>
      </c>
      <c r="L5981" t="s">
        <v>80</v>
      </c>
      <c r="M5981" t="s">
        <v>105</v>
      </c>
      <c r="N5981" t="s">
        <v>19921</v>
      </c>
      <c r="O5981" t="s">
        <v>19922</v>
      </c>
      <c r="P5981" s="2" t="s">
        <v>26</v>
      </c>
      <c r="Q5981" t="s">
        <v>50</v>
      </c>
      <c r="R5981">
        <v>64.02</v>
      </c>
      <c r="S5981">
        <v>64.02</v>
      </c>
      <c r="T5981" t="s">
        <v>19923</v>
      </c>
    </row>
    <row r="5982" spans="1:20" x14ac:dyDescent="0.25">
      <c r="A5982" s="1" t="str">
        <f>HYPERLINK("https://vegkart.atlas.vegvesen.no/#/@73338.4,6817554.7,18/hva:hva%5B0%5D%5Bfilter%5D%5B0%5D%5Boperator%5D=%21%3D&amp;hva%5B0%5D%5Bfilter%5D%5B0%5D%5Btype_id%5D=5897&amp;hva%5B0%5D%5Bfilter%5D%5B0%5D%5Bverdi%5D=&amp;hva%5B0%5D%5Bid%5D=47/når:2015-06-04", "Vegkart")</f>
        <v>Vegkart</v>
      </c>
      <c r="B5982">
        <v>599376352</v>
      </c>
      <c r="C5982">
        <v>47</v>
      </c>
      <c r="D5982" t="s">
        <v>16854</v>
      </c>
      <c r="E5982">
        <v>5897</v>
      </c>
      <c r="F5982" t="s">
        <v>23479</v>
      </c>
      <c r="G5982">
        <v>1</v>
      </c>
      <c r="H5982" t="s">
        <v>17685</v>
      </c>
      <c r="J5982" t="s">
        <v>19733</v>
      </c>
      <c r="K5982" t="s">
        <v>21</v>
      </c>
      <c r="L5982" t="s">
        <v>33</v>
      </c>
      <c r="M5982" t="s">
        <v>64</v>
      </c>
      <c r="N5982" t="s">
        <v>19924</v>
      </c>
      <c r="O5982" t="s">
        <v>19925</v>
      </c>
      <c r="P5982" s="2" t="s">
        <v>26</v>
      </c>
      <c r="Q5982" t="s">
        <v>50</v>
      </c>
      <c r="R5982">
        <v>16.68</v>
      </c>
      <c r="S5982">
        <v>17.100000000000001</v>
      </c>
      <c r="T5982" t="s">
        <v>19926</v>
      </c>
    </row>
    <row r="5983" spans="1:20" x14ac:dyDescent="0.25">
      <c r="A5983" s="1" t="str">
        <f>HYPERLINK("https://vegkart.atlas.vegvesen.no/#/@68861.0,6827137.8,18/hva:hva%5B0%5D%5Bfilter%5D%5B0%5D%5Boperator%5D=%21%3D&amp;hva%5B0%5D%5Bfilter%5D%5B0%5D%5Btype_id%5D=5897&amp;hva%5B0%5D%5Bfilter%5D%5B0%5D%5Bverdi%5D=&amp;hva%5B0%5D%5Bid%5D=47/når:2015-06-05", "Vegkart")</f>
        <v>Vegkart</v>
      </c>
      <c r="B5983">
        <v>599376387</v>
      </c>
      <c r="C5983">
        <v>47</v>
      </c>
      <c r="D5983" t="s">
        <v>16854</v>
      </c>
      <c r="E5983">
        <v>5897</v>
      </c>
      <c r="F5983" t="s">
        <v>23479</v>
      </c>
      <c r="G5983">
        <v>1</v>
      </c>
      <c r="H5983" t="s">
        <v>19927</v>
      </c>
      <c r="J5983" t="s">
        <v>19733</v>
      </c>
      <c r="K5983" t="s">
        <v>21</v>
      </c>
      <c r="L5983" t="s">
        <v>33</v>
      </c>
      <c r="M5983" t="s">
        <v>64</v>
      </c>
      <c r="N5983" t="s">
        <v>19928</v>
      </c>
      <c r="O5983" t="s">
        <v>19929</v>
      </c>
      <c r="P5983" s="2" t="s">
        <v>26</v>
      </c>
      <c r="Q5983" t="s">
        <v>50</v>
      </c>
      <c r="R5983">
        <v>26.03</v>
      </c>
      <c r="S5983">
        <v>27.21</v>
      </c>
      <c r="T5983" t="s">
        <v>19930</v>
      </c>
    </row>
    <row r="5984" spans="1:20" x14ac:dyDescent="0.25">
      <c r="A5984" s="1" t="str">
        <f>HYPERLINK("https://vegkart.atlas.vegvesen.no/#/@233036.5,6612099.5,18/hva:hva%5B0%5D%5Bfilter%5D%5B0%5D%5Boperator%5D=%21%3D&amp;hva%5B0%5D%5Bfilter%5D%5B0%5D%5Btype_id%5D=5897&amp;hva%5B0%5D%5Bfilter%5D%5B0%5D%5Bverdi%5D=&amp;hva%5B0%5D%5Bid%5D=47/når:2015-06-15", "Vegkart")</f>
        <v>Vegkart</v>
      </c>
      <c r="B5984">
        <v>600019609</v>
      </c>
      <c r="C5984">
        <v>47</v>
      </c>
      <c r="D5984" t="s">
        <v>16854</v>
      </c>
      <c r="E5984">
        <v>5897</v>
      </c>
      <c r="F5984" t="s">
        <v>23479</v>
      </c>
      <c r="G5984">
        <v>2</v>
      </c>
      <c r="H5984" t="s">
        <v>19931</v>
      </c>
      <c r="J5984" t="s">
        <v>19932</v>
      </c>
      <c r="K5984" t="s">
        <v>81</v>
      </c>
      <c r="L5984" t="s">
        <v>33</v>
      </c>
      <c r="M5984" t="s">
        <v>1808</v>
      </c>
      <c r="N5984" t="s">
        <v>19933</v>
      </c>
      <c r="O5984" t="s">
        <v>19934</v>
      </c>
      <c r="P5984" s="2" t="s">
        <v>165</v>
      </c>
      <c r="Q5984" t="s">
        <v>641</v>
      </c>
      <c r="R5984">
        <v>74.010000000000005</v>
      </c>
      <c r="S5984">
        <v>74.63</v>
      </c>
      <c r="T5984" t="s">
        <v>167</v>
      </c>
    </row>
    <row r="5985" spans="1:20" x14ac:dyDescent="0.25">
      <c r="A5985" s="1" t="str">
        <f>HYPERLINK("https://vegkart.atlas.vegvesen.no/#/@232741.2,6612662.8,18/hva:hva%5B0%5D%5Bfilter%5D%5B0%5D%5Boperator%5D=%21%3D&amp;hva%5B0%5D%5Bfilter%5D%5B0%5D%5Btype_id%5D=5897&amp;hva%5B0%5D%5Bfilter%5D%5B0%5D%5Bverdi%5D=&amp;hva%5B0%5D%5Bid%5D=47/når:2013-10-17", "Vegkart")</f>
        <v>Vegkart</v>
      </c>
      <c r="B5985">
        <v>600019610</v>
      </c>
      <c r="C5985">
        <v>47</v>
      </c>
      <c r="D5985" t="s">
        <v>16854</v>
      </c>
      <c r="E5985">
        <v>5897</v>
      </c>
      <c r="F5985" t="s">
        <v>23479</v>
      </c>
      <c r="G5985">
        <v>1</v>
      </c>
      <c r="H5985" t="s">
        <v>19935</v>
      </c>
      <c r="J5985" t="s">
        <v>19932</v>
      </c>
      <c r="K5985" t="s">
        <v>81</v>
      </c>
      <c r="L5985" t="s">
        <v>33</v>
      </c>
      <c r="M5985" t="s">
        <v>1808</v>
      </c>
      <c r="N5985" t="s">
        <v>19936</v>
      </c>
      <c r="O5985" t="s">
        <v>19937</v>
      </c>
      <c r="P5985" s="2" t="s">
        <v>26</v>
      </c>
      <c r="Q5985" t="s">
        <v>50</v>
      </c>
      <c r="R5985">
        <v>49.2</v>
      </c>
      <c r="S5985">
        <v>49.61</v>
      </c>
      <c r="T5985" t="s">
        <v>19938</v>
      </c>
    </row>
    <row r="5986" spans="1:20" x14ac:dyDescent="0.25">
      <c r="A5986" s="1" t="str">
        <f>HYPERLINK("https://vegkart.atlas.vegvesen.no/#/@232734.6,6612654.6,18/hva:hva%5B0%5D%5Bfilter%5D%5B0%5D%5Boperator%5D=%21%3D&amp;hva%5B0%5D%5Bfilter%5D%5B0%5D%5Btype_id%5D=5897&amp;hva%5B0%5D%5Bfilter%5D%5B0%5D%5Bverdi%5D=&amp;hva%5B0%5D%5Bid%5D=47/når:2013-10-17", "Vegkart")</f>
        <v>Vegkart</v>
      </c>
      <c r="B5986">
        <v>600019611</v>
      </c>
      <c r="C5986">
        <v>47</v>
      </c>
      <c r="D5986" t="s">
        <v>16854</v>
      </c>
      <c r="E5986">
        <v>5897</v>
      </c>
      <c r="F5986" t="s">
        <v>23479</v>
      </c>
      <c r="G5986">
        <v>1</v>
      </c>
      <c r="H5986" t="s">
        <v>19935</v>
      </c>
      <c r="J5986" t="s">
        <v>19932</v>
      </c>
      <c r="K5986" t="s">
        <v>81</v>
      </c>
      <c r="L5986" t="s">
        <v>33</v>
      </c>
      <c r="M5986" t="s">
        <v>1808</v>
      </c>
      <c r="N5986" t="s">
        <v>19939</v>
      </c>
      <c r="O5986" t="s">
        <v>19940</v>
      </c>
      <c r="P5986" s="2" t="s">
        <v>26</v>
      </c>
      <c r="Q5986" t="s">
        <v>50</v>
      </c>
      <c r="R5986">
        <v>51.03</v>
      </c>
      <c r="S5986">
        <v>51.33</v>
      </c>
      <c r="T5986" t="s">
        <v>19941</v>
      </c>
    </row>
    <row r="5987" spans="1:20" x14ac:dyDescent="0.25">
      <c r="A5987" s="1" t="str">
        <f>HYPERLINK("https://vegkart.atlas.vegvesen.no/#/@244024.8,6687301.1,18/hva:hva%5B0%5D%5Bfilter%5D%5B0%5D%5Boperator%5D=%21%3D&amp;hva%5B0%5D%5Bfilter%5D%5B0%5D%5Btype_id%5D=5897&amp;hva%5B0%5D%5Bfilter%5D%5B0%5D%5Bverdi%5D=&amp;hva%5B0%5D%5Bid%5D=47/når:2015-06-09", "Vegkart")</f>
        <v>Vegkart</v>
      </c>
      <c r="B5987">
        <v>600068896</v>
      </c>
      <c r="C5987">
        <v>47</v>
      </c>
      <c r="D5987" t="s">
        <v>16854</v>
      </c>
      <c r="E5987">
        <v>5897</v>
      </c>
      <c r="F5987" t="s">
        <v>23479</v>
      </c>
      <c r="G5987">
        <v>1</v>
      </c>
      <c r="H5987" t="s">
        <v>19942</v>
      </c>
      <c r="J5987" t="s">
        <v>19932</v>
      </c>
      <c r="K5987" t="s">
        <v>132</v>
      </c>
      <c r="L5987" t="s">
        <v>33</v>
      </c>
      <c r="M5987" t="s">
        <v>17698</v>
      </c>
      <c r="N5987" t="s">
        <v>19943</v>
      </c>
      <c r="O5987" t="s">
        <v>19944</v>
      </c>
      <c r="P5987" s="2" t="s">
        <v>26</v>
      </c>
      <c r="Q5987" t="s">
        <v>50</v>
      </c>
      <c r="R5987">
        <v>34.72</v>
      </c>
      <c r="S5987">
        <v>35.15</v>
      </c>
      <c r="T5987" t="s">
        <v>19945</v>
      </c>
    </row>
    <row r="5988" spans="1:20" x14ac:dyDescent="0.25">
      <c r="A5988" s="1" t="str">
        <f>HYPERLINK("https://vegkart.atlas.vegvesen.no/#/@888384.0,7886053.1,18/hva:hva%5B0%5D%5Bfilter%5D%5B0%5D%5Boperator%5D=%21%3D&amp;hva%5B0%5D%5Bfilter%5D%5B0%5D%5Btype_id%5D=5897&amp;hva%5B0%5D%5Bfilter%5D%5B0%5D%5Bverdi%5D=&amp;hva%5B0%5D%5Bid%5D=47/når:2015-10-02", "Vegkart")</f>
        <v>Vegkart</v>
      </c>
      <c r="B5988">
        <v>600591909</v>
      </c>
      <c r="C5988">
        <v>47</v>
      </c>
      <c r="D5988" t="s">
        <v>16854</v>
      </c>
      <c r="E5988">
        <v>5897</v>
      </c>
      <c r="F5988" t="s">
        <v>23479</v>
      </c>
      <c r="G5988">
        <v>2</v>
      </c>
      <c r="H5988" t="s">
        <v>16855</v>
      </c>
      <c r="J5988" t="s">
        <v>19932</v>
      </c>
      <c r="K5988" t="s">
        <v>450</v>
      </c>
      <c r="L5988" t="s">
        <v>80</v>
      </c>
      <c r="M5988" t="s">
        <v>6514</v>
      </c>
      <c r="N5988" t="s">
        <v>19946</v>
      </c>
      <c r="O5988" t="s">
        <v>19947</v>
      </c>
      <c r="P5988" s="2" t="s">
        <v>37</v>
      </c>
      <c r="Q5988" t="s">
        <v>1208</v>
      </c>
      <c r="R5988">
        <v>3.11</v>
      </c>
      <c r="S5988">
        <v>51.79</v>
      </c>
      <c r="T5988" t="s">
        <v>19948</v>
      </c>
    </row>
    <row r="5989" spans="1:20" x14ac:dyDescent="0.25">
      <c r="A5989" s="1" t="str">
        <f>HYPERLINK("https://vegkart.atlas.vegvesen.no/#/@-37699.8,6738503.9,18/hva:hva%5B0%5D%5Bfilter%5D%5B0%5D%5Boperator%5D=%21%3D&amp;hva%5B0%5D%5Bfilter%5D%5B0%5D%5Btype_id%5D=5897&amp;hva%5B0%5D%5Bfilter%5D%5B0%5D%5Bverdi%5D=&amp;hva%5B0%5D%5Bid%5D=47/når:2015-06-12", "Vegkart")</f>
        <v>Vegkart</v>
      </c>
      <c r="B5989">
        <v>600651485</v>
      </c>
      <c r="C5989">
        <v>47</v>
      </c>
      <c r="D5989" t="s">
        <v>16854</v>
      </c>
      <c r="E5989">
        <v>5897</v>
      </c>
      <c r="F5989" t="s">
        <v>23479</v>
      </c>
      <c r="G5989">
        <v>1</v>
      </c>
      <c r="H5989" t="s">
        <v>19949</v>
      </c>
      <c r="J5989" t="s">
        <v>19932</v>
      </c>
      <c r="K5989" t="s">
        <v>21</v>
      </c>
      <c r="L5989" t="s">
        <v>33</v>
      </c>
      <c r="M5989" t="s">
        <v>19950</v>
      </c>
      <c r="N5989" t="s">
        <v>19951</v>
      </c>
      <c r="O5989" t="s">
        <v>19952</v>
      </c>
      <c r="P5989" s="2" t="s">
        <v>26</v>
      </c>
      <c r="Q5989" t="s">
        <v>50</v>
      </c>
      <c r="R5989">
        <v>55.61</v>
      </c>
      <c r="S5989">
        <v>56.07</v>
      </c>
      <c r="T5989" t="s">
        <v>19953</v>
      </c>
    </row>
    <row r="5990" spans="1:20" x14ac:dyDescent="0.25">
      <c r="A5990" s="1" t="str">
        <f>HYPERLINK("https://vegkart.atlas.vegvesen.no/#/@236684.3,6567657.0,18/hva:hva%5B0%5D%5Bfilter%5D%5B0%5D%5Boperator%5D=%21%3D&amp;hva%5B0%5D%5Bfilter%5D%5B0%5D%5Btype_id%5D=5897&amp;hva%5B0%5D%5Bfilter%5D%5B0%5D%5Bverdi%5D=&amp;hva%5B0%5D%5Bid%5D=47/når:2016-03-31", "Vegkart")</f>
        <v>Vegkart</v>
      </c>
      <c r="B5990">
        <v>601413368</v>
      </c>
      <c r="C5990">
        <v>47</v>
      </c>
      <c r="D5990" t="s">
        <v>16854</v>
      </c>
      <c r="E5990">
        <v>5897</v>
      </c>
      <c r="F5990" t="s">
        <v>23479</v>
      </c>
      <c r="G5990">
        <v>4</v>
      </c>
      <c r="H5990" t="s">
        <v>19954</v>
      </c>
      <c r="J5990" t="s">
        <v>19932</v>
      </c>
      <c r="K5990" t="s">
        <v>81</v>
      </c>
      <c r="L5990" t="s">
        <v>33</v>
      </c>
      <c r="M5990" t="s">
        <v>1940</v>
      </c>
      <c r="N5990" t="s">
        <v>19955</v>
      </c>
      <c r="O5990" t="s">
        <v>19956</v>
      </c>
      <c r="P5990" s="2" t="s">
        <v>26</v>
      </c>
      <c r="Q5990" t="s">
        <v>50</v>
      </c>
      <c r="R5990">
        <v>22.74</v>
      </c>
      <c r="S5990">
        <v>22.78</v>
      </c>
      <c r="T5990" t="s">
        <v>19957</v>
      </c>
    </row>
    <row r="5991" spans="1:20" x14ac:dyDescent="0.25">
      <c r="A5991" s="1" t="str">
        <f>HYPERLINK("https://vegkart.atlas.vegvesen.no/#/@236688.1,6567670.3,18/hva:hva%5B0%5D%5Bfilter%5D%5B0%5D%5Boperator%5D=%21%3D&amp;hva%5B0%5D%5Bfilter%5D%5B0%5D%5Btype_id%5D=5897&amp;hva%5B0%5D%5Bfilter%5D%5B0%5D%5Bverdi%5D=&amp;hva%5B0%5D%5Bid%5D=47/når:2016-03-30", "Vegkart")</f>
        <v>Vegkart</v>
      </c>
      <c r="B5991">
        <v>601413369</v>
      </c>
      <c r="C5991">
        <v>47</v>
      </c>
      <c r="D5991" t="s">
        <v>16854</v>
      </c>
      <c r="E5991">
        <v>5897</v>
      </c>
      <c r="F5991" t="s">
        <v>23479</v>
      </c>
      <c r="G5991">
        <v>3</v>
      </c>
      <c r="H5991" t="s">
        <v>19958</v>
      </c>
      <c r="J5991" t="s">
        <v>19932</v>
      </c>
      <c r="K5991" t="s">
        <v>81</v>
      </c>
      <c r="L5991" t="s">
        <v>33</v>
      </c>
      <c r="M5991" t="s">
        <v>1940</v>
      </c>
      <c r="N5991" t="s">
        <v>19959</v>
      </c>
      <c r="O5991" t="s">
        <v>19960</v>
      </c>
      <c r="P5991" s="2" t="s">
        <v>26</v>
      </c>
      <c r="Q5991" t="s">
        <v>50</v>
      </c>
      <c r="R5991">
        <v>52.03</v>
      </c>
      <c r="S5991">
        <v>52.31</v>
      </c>
      <c r="T5991" t="s">
        <v>19961</v>
      </c>
    </row>
    <row r="5992" spans="1:20" x14ac:dyDescent="0.25">
      <c r="A5992" s="1" t="str">
        <f>HYPERLINK("https://vegkart.atlas.vegvesen.no/#/@236949.2,6575397.7,18/hva:hva%5B0%5D%5Bfilter%5D%5B0%5D%5Boperator%5D=%21%3D&amp;hva%5B0%5D%5Bfilter%5D%5B0%5D%5Btype_id%5D=5897&amp;hva%5B0%5D%5Bfilter%5D%5B0%5D%5Bverdi%5D=&amp;hva%5B0%5D%5Bid%5D=47/når:2016-04-13", "Vegkart")</f>
        <v>Vegkart</v>
      </c>
      <c r="B5992">
        <v>601584438</v>
      </c>
      <c r="C5992">
        <v>47</v>
      </c>
      <c r="D5992" t="s">
        <v>16854</v>
      </c>
      <c r="E5992">
        <v>5897</v>
      </c>
      <c r="F5992" t="s">
        <v>23479</v>
      </c>
      <c r="G5992">
        <v>3</v>
      </c>
      <c r="H5992" t="s">
        <v>19962</v>
      </c>
      <c r="J5992" t="s">
        <v>19932</v>
      </c>
      <c r="K5992" t="s">
        <v>81</v>
      </c>
      <c r="L5992" t="s">
        <v>33</v>
      </c>
      <c r="M5992" t="s">
        <v>4536</v>
      </c>
      <c r="N5992" t="s">
        <v>19963</v>
      </c>
      <c r="O5992" t="s">
        <v>19964</v>
      </c>
      <c r="P5992" s="2" t="s">
        <v>26</v>
      </c>
      <c r="Q5992" t="s">
        <v>50</v>
      </c>
      <c r="R5992">
        <v>36.99</v>
      </c>
      <c r="S5992">
        <v>37.119999999999997</v>
      </c>
      <c r="T5992" t="s">
        <v>19965</v>
      </c>
    </row>
    <row r="5993" spans="1:20" x14ac:dyDescent="0.25">
      <c r="A5993" s="1" t="str">
        <f>HYPERLINK("https://vegkart.atlas.vegvesen.no/#/@128744.4,6502548.7,18/hva:hva%5B0%5D%5Bfilter%5D%5B0%5D%5Boperator%5D=%21%3D&amp;hva%5B0%5D%5Bfilter%5D%5B0%5D%5Btype_id%5D=5897&amp;hva%5B0%5D%5Bfilter%5D%5B0%5D%5Bverdi%5D=&amp;hva%5B0%5D%5Bid%5D=47/når:2015-06-16", "Vegkart")</f>
        <v>Vegkart</v>
      </c>
      <c r="B5993">
        <v>601590566</v>
      </c>
      <c r="C5993">
        <v>47</v>
      </c>
      <c r="D5993" t="s">
        <v>16854</v>
      </c>
      <c r="E5993">
        <v>5897</v>
      </c>
      <c r="F5993" t="s">
        <v>23479</v>
      </c>
      <c r="G5993">
        <v>1</v>
      </c>
      <c r="H5993" t="s">
        <v>17536</v>
      </c>
      <c r="J5993" t="s">
        <v>19932</v>
      </c>
      <c r="K5993" t="s">
        <v>86</v>
      </c>
      <c r="L5993" t="s">
        <v>33</v>
      </c>
      <c r="M5993" t="s">
        <v>86</v>
      </c>
      <c r="N5993" t="s">
        <v>19966</v>
      </c>
      <c r="O5993" t="s">
        <v>19967</v>
      </c>
      <c r="P5993" s="2" t="s">
        <v>26</v>
      </c>
      <c r="Q5993" t="s">
        <v>50</v>
      </c>
      <c r="R5993">
        <v>65.489999999999995</v>
      </c>
      <c r="S5993">
        <v>65.81</v>
      </c>
      <c r="T5993" t="s">
        <v>19968</v>
      </c>
    </row>
    <row r="5994" spans="1:20" x14ac:dyDescent="0.25">
      <c r="A5994" s="1" t="str">
        <f>HYPERLINK("https://vegkart.atlas.vegvesen.no/#/@128636.6,6502477.0,18/hva:hva%5B0%5D%5Bfilter%5D%5B0%5D%5Boperator%5D=%21%3D&amp;hva%5B0%5D%5Bfilter%5D%5B0%5D%5Btype_id%5D=5897&amp;hva%5B0%5D%5Bfilter%5D%5B0%5D%5Bverdi%5D=&amp;hva%5B0%5D%5Bid%5D=47/når:2015-06-16", "Vegkart")</f>
        <v>Vegkart</v>
      </c>
      <c r="B5994">
        <v>601590567</v>
      </c>
      <c r="C5994">
        <v>47</v>
      </c>
      <c r="D5994" t="s">
        <v>16854</v>
      </c>
      <c r="E5994">
        <v>5897</v>
      </c>
      <c r="F5994" t="s">
        <v>23479</v>
      </c>
      <c r="G5994">
        <v>1</v>
      </c>
      <c r="H5994" t="s">
        <v>17536</v>
      </c>
      <c r="J5994" t="s">
        <v>19932</v>
      </c>
      <c r="K5994" t="s">
        <v>86</v>
      </c>
      <c r="L5994" t="s">
        <v>33</v>
      </c>
      <c r="M5994" t="s">
        <v>86</v>
      </c>
      <c r="N5994" t="s">
        <v>19969</v>
      </c>
      <c r="O5994" t="s">
        <v>19970</v>
      </c>
      <c r="P5994" s="2" t="s">
        <v>26</v>
      </c>
      <c r="Q5994" t="s">
        <v>50</v>
      </c>
      <c r="R5994">
        <v>44.59</v>
      </c>
      <c r="S5994">
        <v>44.76</v>
      </c>
      <c r="T5994" t="s">
        <v>19971</v>
      </c>
    </row>
    <row r="5995" spans="1:20" x14ac:dyDescent="0.25">
      <c r="A5995" s="1" t="str">
        <f>HYPERLINK("https://vegkart.atlas.vegvesen.no/#/@135094.9,6499518.3,18/hva:hva%5B0%5D%5Bfilter%5D%5B0%5D%5Boperator%5D=%21%3D&amp;hva%5B0%5D%5Bfilter%5D%5B0%5D%5Btype_id%5D=5897&amp;hva%5B0%5D%5Bfilter%5D%5B0%5D%5Bverdi%5D=&amp;hva%5B0%5D%5Bid%5D=47/når:2015-06-19", "Vegkart")</f>
        <v>Vegkart</v>
      </c>
      <c r="B5995">
        <v>602019596</v>
      </c>
      <c r="C5995">
        <v>47</v>
      </c>
      <c r="D5995" t="s">
        <v>16854</v>
      </c>
      <c r="E5995">
        <v>5897</v>
      </c>
      <c r="F5995" t="s">
        <v>23479</v>
      </c>
      <c r="G5995">
        <v>1</v>
      </c>
      <c r="H5995" t="s">
        <v>19972</v>
      </c>
      <c r="J5995" t="s">
        <v>19932</v>
      </c>
      <c r="K5995" t="s">
        <v>86</v>
      </c>
      <c r="L5995" t="s">
        <v>33</v>
      </c>
      <c r="M5995" t="s">
        <v>19973</v>
      </c>
      <c r="N5995" t="s">
        <v>19974</v>
      </c>
      <c r="O5995" t="s">
        <v>19975</v>
      </c>
      <c r="P5995" s="2" t="s">
        <v>26</v>
      </c>
      <c r="Q5995" t="s">
        <v>50</v>
      </c>
      <c r="R5995">
        <v>44.65</v>
      </c>
      <c r="S5995">
        <v>44.69</v>
      </c>
      <c r="T5995" t="s">
        <v>19976</v>
      </c>
    </row>
    <row r="5996" spans="1:20" x14ac:dyDescent="0.25">
      <c r="A5996" s="1" t="str">
        <f>HYPERLINK("https://vegkart.atlas.vegvesen.no/#/@13270.3,6492753.1,18/hva:hva%5B0%5D%5Bfilter%5D%5B0%5D%5Boperator%5D=%21%3D&amp;hva%5B0%5D%5Bfilter%5D%5B0%5D%5Btype_id%5D=5897&amp;hva%5B0%5D%5Bfilter%5D%5B0%5D%5Bverdi%5D=&amp;hva%5B0%5D%5Bid%5D=47/når:2022-01-25", "Vegkart")</f>
        <v>Vegkart</v>
      </c>
      <c r="B5996">
        <v>602937121</v>
      </c>
      <c r="C5996">
        <v>47</v>
      </c>
      <c r="D5996" t="s">
        <v>16854</v>
      </c>
      <c r="E5996">
        <v>5897</v>
      </c>
      <c r="F5996" t="s">
        <v>23479</v>
      </c>
      <c r="G5996">
        <v>4</v>
      </c>
      <c r="H5996" t="s">
        <v>19977</v>
      </c>
      <c r="J5996" t="s">
        <v>19932</v>
      </c>
      <c r="K5996" t="s">
        <v>86</v>
      </c>
      <c r="L5996" t="s">
        <v>80</v>
      </c>
      <c r="M5996" t="s">
        <v>81</v>
      </c>
      <c r="N5996" t="s">
        <v>19978</v>
      </c>
      <c r="O5996" t="s">
        <v>19979</v>
      </c>
      <c r="P5996" s="2" t="s">
        <v>26</v>
      </c>
      <c r="Q5996" t="s">
        <v>50</v>
      </c>
      <c r="R5996">
        <v>50.13</v>
      </c>
      <c r="S5996">
        <v>50.9</v>
      </c>
      <c r="T5996" t="s">
        <v>19980</v>
      </c>
    </row>
    <row r="5997" spans="1:20" x14ac:dyDescent="0.25">
      <c r="A5997" s="1" t="str">
        <f>HYPERLINK("https://vegkart.atlas.vegvesen.no/#/@225604.4,6564734.7,18/hva:hva%5B0%5D%5Bfilter%5D%5B0%5D%5Boperator%5D=%21%3D&amp;hva%5B0%5D%5Bfilter%5D%5B0%5D%5Btype_id%5D=5897&amp;hva%5B0%5D%5Bfilter%5D%5B0%5D%5Bverdi%5D=&amp;hva%5B0%5D%5Bid%5D=47/når:2015-06-22", "Vegkart")</f>
        <v>Vegkart</v>
      </c>
      <c r="B5997">
        <v>603757980</v>
      </c>
      <c r="C5997">
        <v>47</v>
      </c>
      <c r="D5997" t="s">
        <v>16854</v>
      </c>
      <c r="E5997">
        <v>5897</v>
      </c>
      <c r="F5997" t="s">
        <v>23479</v>
      </c>
      <c r="G5997">
        <v>1</v>
      </c>
      <c r="H5997" t="s">
        <v>19981</v>
      </c>
      <c r="J5997" t="s">
        <v>19932</v>
      </c>
      <c r="K5997" t="s">
        <v>81</v>
      </c>
      <c r="L5997" t="s">
        <v>33</v>
      </c>
      <c r="M5997" t="s">
        <v>3917</v>
      </c>
      <c r="N5997" t="s">
        <v>19982</v>
      </c>
      <c r="O5997" t="s">
        <v>19983</v>
      </c>
      <c r="P5997" s="2" t="s">
        <v>26</v>
      </c>
      <c r="Q5997" t="s">
        <v>50</v>
      </c>
      <c r="R5997">
        <v>70.790000000000006</v>
      </c>
      <c r="S5997">
        <v>70.87</v>
      </c>
      <c r="T5997" t="s">
        <v>19984</v>
      </c>
    </row>
    <row r="5998" spans="1:20" x14ac:dyDescent="0.25">
      <c r="A5998" s="1" t="str">
        <f>HYPERLINK("https://vegkart.atlas.vegvesen.no/#/@236175.4,6580597.6,18/hva:hva%5B0%5D%5Bfilter%5D%5B0%5D%5Boperator%5D=%21%3D&amp;hva%5B0%5D%5Bfilter%5D%5B0%5D%5Btype_id%5D=5897&amp;hva%5B0%5D%5Bfilter%5D%5B0%5D%5Bverdi%5D=&amp;hva%5B0%5D%5Bid%5D=47/når:2015-10-29", "Vegkart")</f>
        <v>Vegkart</v>
      </c>
      <c r="B5998">
        <v>603757986</v>
      </c>
      <c r="C5998">
        <v>47</v>
      </c>
      <c r="D5998" t="s">
        <v>16854</v>
      </c>
      <c r="E5998">
        <v>5897</v>
      </c>
      <c r="F5998" t="s">
        <v>23479</v>
      </c>
      <c r="G5998">
        <v>2</v>
      </c>
      <c r="H5998" t="s">
        <v>13880</v>
      </c>
      <c r="J5998" t="s">
        <v>19932</v>
      </c>
      <c r="K5998" t="s">
        <v>81</v>
      </c>
      <c r="L5998" t="s">
        <v>33</v>
      </c>
      <c r="M5998" t="s">
        <v>282</v>
      </c>
      <c r="N5998" t="s">
        <v>19985</v>
      </c>
      <c r="O5998" t="s">
        <v>19986</v>
      </c>
      <c r="P5998" s="2" t="s">
        <v>26</v>
      </c>
      <c r="Q5998" t="s">
        <v>50</v>
      </c>
      <c r="R5998">
        <v>65.87</v>
      </c>
      <c r="S5998">
        <v>66.37</v>
      </c>
      <c r="T5998" t="s">
        <v>19987</v>
      </c>
    </row>
    <row r="5999" spans="1:20" x14ac:dyDescent="0.25">
      <c r="A5999" s="1" t="str">
        <f>HYPERLINK("https://vegkart.atlas.vegvesen.no/#/@236122.1,6580576.1,18/hva:hva%5B0%5D%5Bfilter%5D%5B0%5D%5Boperator%5D=%21%3D&amp;hva%5B0%5D%5Bfilter%5D%5B0%5D%5Btype_id%5D=5897&amp;hva%5B0%5D%5Bfilter%5D%5B0%5D%5Bverdi%5D=&amp;hva%5B0%5D%5Bid%5D=47/når:2015-06-24", "Vegkart")</f>
        <v>Vegkart</v>
      </c>
      <c r="B5999">
        <v>603757987</v>
      </c>
      <c r="C5999">
        <v>47</v>
      </c>
      <c r="D5999" t="s">
        <v>16854</v>
      </c>
      <c r="E5999">
        <v>5897</v>
      </c>
      <c r="F5999" t="s">
        <v>23479</v>
      </c>
      <c r="G5999">
        <v>1</v>
      </c>
      <c r="H5999" t="s">
        <v>2387</v>
      </c>
      <c r="J5999" t="s">
        <v>19932</v>
      </c>
      <c r="K5999" t="s">
        <v>81</v>
      </c>
      <c r="L5999" t="s">
        <v>33</v>
      </c>
      <c r="M5999" t="s">
        <v>282</v>
      </c>
      <c r="N5999" t="s">
        <v>19988</v>
      </c>
      <c r="O5999" t="s">
        <v>19989</v>
      </c>
      <c r="P5999" s="2" t="s">
        <v>26</v>
      </c>
      <c r="Q5999" t="s">
        <v>50</v>
      </c>
      <c r="R5999">
        <v>30.74</v>
      </c>
      <c r="S5999">
        <v>30.84</v>
      </c>
      <c r="T5999" t="s">
        <v>19990</v>
      </c>
    </row>
    <row r="6000" spans="1:20" x14ac:dyDescent="0.25">
      <c r="A6000" s="1" t="str">
        <f>HYPERLINK("https://vegkart.atlas.vegvesen.no/#/@235020.4,6582261.7,18/hva:hva%5B0%5D%5Bfilter%5D%5B0%5D%5Boperator%5D=%21%3D&amp;hva%5B0%5D%5Bfilter%5D%5B0%5D%5Btype_id%5D=5897&amp;hva%5B0%5D%5Bfilter%5D%5B0%5D%5Bverdi%5D=&amp;hva%5B0%5D%5Bid%5D=47/når:2015-06-24", "Vegkart")</f>
        <v>Vegkart</v>
      </c>
      <c r="B6000">
        <v>603822709</v>
      </c>
      <c r="C6000">
        <v>47</v>
      </c>
      <c r="D6000" t="s">
        <v>16854</v>
      </c>
      <c r="E6000">
        <v>5897</v>
      </c>
      <c r="F6000" t="s">
        <v>23479</v>
      </c>
      <c r="G6000">
        <v>1</v>
      </c>
      <c r="H6000" t="s">
        <v>2387</v>
      </c>
      <c r="J6000" t="s">
        <v>19932</v>
      </c>
      <c r="K6000" t="s">
        <v>81</v>
      </c>
      <c r="L6000" t="s">
        <v>33</v>
      </c>
      <c r="M6000" t="s">
        <v>3298</v>
      </c>
      <c r="N6000" t="s">
        <v>19991</v>
      </c>
      <c r="O6000" t="s">
        <v>19992</v>
      </c>
      <c r="P6000" s="2" t="s">
        <v>26</v>
      </c>
      <c r="Q6000" t="s">
        <v>50</v>
      </c>
      <c r="R6000">
        <v>65.02</v>
      </c>
      <c r="S6000">
        <v>65.2</v>
      </c>
      <c r="T6000" t="s">
        <v>19993</v>
      </c>
    </row>
    <row r="6001" spans="1:20" x14ac:dyDescent="0.25">
      <c r="A6001" s="1" t="str">
        <f>HYPERLINK("https://vegkart.atlas.vegvesen.no/#/@234994.4,6582307.5,18/hva:hva%5B0%5D%5Bfilter%5D%5B0%5D%5Boperator%5D=%21%3D&amp;hva%5B0%5D%5Bfilter%5D%5B0%5D%5Btype_id%5D=5897&amp;hva%5B0%5D%5Bfilter%5D%5B0%5D%5Bverdi%5D=&amp;hva%5B0%5D%5Bid%5D=47/når:2015-06-25", "Vegkart")</f>
        <v>Vegkart</v>
      </c>
      <c r="B6001">
        <v>604104433</v>
      </c>
      <c r="C6001">
        <v>47</v>
      </c>
      <c r="D6001" t="s">
        <v>16854</v>
      </c>
      <c r="E6001">
        <v>5897</v>
      </c>
      <c r="F6001" t="s">
        <v>23479</v>
      </c>
      <c r="G6001">
        <v>1</v>
      </c>
      <c r="H6001" t="s">
        <v>19994</v>
      </c>
      <c r="J6001" t="s">
        <v>19932</v>
      </c>
      <c r="K6001" t="s">
        <v>81</v>
      </c>
      <c r="L6001" t="s">
        <v>33</v>
      </c>
      <c r="M6001" t="s">
        <v>3298</v>
      </c>
      <c r="N6001" t="s">
        <v>19995</v>
      </c>
      <c r="O6001" t="s">
        <v>19996</v>
      </c>
      <c r="P6001" s="2" t="s">
        <v>26</v>
      </c>
      <c r="Q6001" t="s">
        <v>50</v>
      </c>
      <c r="R6001">
        <v>49.56</v>
      </c>
      <c r="S6001">
        <v>49.83</v>
      </c>
      <c r="T6001" t="s">
        <v>19997</v>
      </c>
    </row>
    <row r="6002" spans="1:20" x14ac:dyDescent="0.25">
      <c r="A6002" s="1" t="str">
        <f>HYPERLINK("https://vegkart.atlas.vegvesen.no/#/@224811.6,6775338.5,18/hva:hva%5B0%5D%5Bfilter%5D%5B0%5D%5Boperator%5D=%21%3D&amp;hva%5B0%5D%5Bfilter%5D%5B0%5D%5Btype_id%5D=5897&amp;hva%5B0%5D%5Bfilter%5D%5B0%5D%5Bverdi%5D=&amp;hva%5B0%5D%5Bid%5D=47/når:2024-07-31", "Vegkart")</f>
        <v>Vegkart</v>
      </c>
      <c r="B6002">
        <v>604132926</v>
      </c>
      <c r="C6002">
        <v>47</v>
      </c>
      <c r="D6002" t="s">
        <v>16854</v>
      </c>
      <c r="E6002">
        <v>5897</v>
      </c>
      <c r="F6002" t="s">
        <v>23479</v>
      </c>
      <c r="G6002">
        <v>2</v>
      </c>
      <c r="H6002" t="s">
        <v>912</v>
      </c>
      <c r="J6002" t="s">
        <v>19932</v>
      </c>
      <c r="K6002" t="s">
        <v>136</v>
      </c>
      <c r="L6002" t="s">
        <v>33</v>
      </c>
      <c r="M6002" t="s">
        <v>19998</v>
      </c>
      <c r="N6002" t="s">
        <v>19999</v>
      </c>
      <c r="O6002" t="s">
        <v>20000</v>
      </c>
      <c r="P6002" s="2" t="s">
        <v>165</v>
      </c>
      <c r="Q6002" t="s">
        <v>166</v>
      </c>
      <c r="R6002">
        <v>15.39</v>
      </c>
      <c r="S6002">
        <v>15.39</v>
      </c>
      <c r="T6002" t="s">
        <v>167</v>
      </c>
    </row>
    <row r="6003" spans="1:20" x14ac:dyDescent="0.25">
      <c r="A6003" s="1" t="str">
        <f>HYPERLINK("https://vegkart.atlas.vegvesen.no/#/@210425.8,6634082.0,18/hva:hva%5B0%5D%5Bfilter%5D%5B0%5D%5Boperator%5D=%21%3D&amp;hva%5B0%5D%5Bfilter%5D%5B0%5D%5Btype_id%5D=5897&amp;hva%5B0%5D%5Bfilter%5D%5B0%5D%5Bverdi%5D=&amp;hva%5B0%5D%5Bid%5D=47/når:2015-12-14", "Vegkart")</f>
        <v>Vegkart</v>
      </c>
      <c r="B6003">
        <v>604782220</v>
      </c>
      <c r="C6003">
        <v>47</v>
      </c>
      <c r="D6003" t="s">
        <v>16854</v>
      </c>
      <c r="E6003">
        <v>5897</v>
      </c>
      <c r="F6003" t="s">
        <v>23479</v>
      </c>
      <c r="G6003">
        <v>2</v>
      </c>
      <c r="H6003" t="s">
        <v>18619</v>
      </c>
      <c r="J6003" t="s">
        <v>19932</v>
      </c>
      <c r="K6003" t="s">
        <v>307</v>
      </c>
      <c r="L6003" t="s">
        <v>80</v>
      </c>
      <c r="M6003" t="s">
        <v>645</v>
      </c>
      <c r="N6003" t="s">
        <v>20001</v>
      </c>
      <c r="O6003" t="s">
        <v>20002</v>
      </c>
      <c r="P6003" s="2" t="s">
        <v>26</v>
      </c>
      <c r="Q6003" t="s">
        <v>50</v>
      </c>
      <c r="R6003">
        <v>66.09</v>
      </c>
      <c r="S6003">
        <v>66.78</v>
      </c>
      <c r="T6003" t="s">
        <v>20003</v>
      </c>
    </row>
    <row r="6004" spans="1:20" x14ac:dyDescent="0.25">
      <c r="A6004" s="1" t="str">
        <f>HYPERLINK("https://vegkart.atlas.vegvesen.no/#/@209711.7,6633633.2,18/hva:hva%5B0%5D%5Bfilter%5D%5B0%5D%5Boperator%5D=%21%3D&amp;hva%5B0%5D%5Bfilter%5D%5B0%5D%5Btype_id%5D=5897&amp;hva%5B0%5D%5Bfilter%5D%5B0%5D%5Bverdi%5D=&amp;hva%5B0%5D%5Bid%5D=47/når:2015-12-14", "Vegkart")</f>
        <v>Vegkart</v>
      </c>
      <c r="B6004">
        <v>604782221</v>
      </c>
      <c r="C6004">
        <v>47</v>
      </c>
      <c r="D6004" t="s">
        <v>16854</v>
      </c>
      <c r="E6004">
        <v>5897</v>
      </c>
      <c r="F6004" t="s">
        <v>23479</v>
      </c>
      <c r="G6004">
        <v>2</v>
      </c>
      <c r="H6004" t="s">
        <v>18619</v>
      </c>
      <c r="J6004" t="s">
        <v>19932</v>
      </c>
      <c r="K6004" t="s">
        <v>307</v>
      </c>
      <c r="L6004" t="s">
        <v>80</v>
      </c>
      <c r="M6004" t="s">
        <v>645</v>
      </c>
      <c r="N6004" t="s">
        <v>20004</v>
      </c>
      <c r="O6004" t="s">
        <v>20005</v>
      </c>
      <c r="P6004" s="2" t="s">
        <v>26</v>
      </c>
      <c r="Q6004" t="s">
        <v>50</v>
      </c>
      <c r="R6004">
        <v>60.34</v>
      </c>
      <c r="S6004">
        <v>60.87</v>
      </c>
      <c r="T6004" t="s">
        <v>20006</v>
      </c>
    </row>
    <row r="6005" spans="1:20" x14ac:dyDescent="0.25">
      <c r="A6005" s="1" t="str">
        <f>HYPERLINK("https://vegkart.atlas.vegvesen.no/#/@206834.4,6630441.4,18/hva:hva%5B0%5D%5Bfilter%5D%5B0%5D%5Boperator%5D=%21%3D&amp;hva%5B0%5D%5Bfilter%5D%5B0%5D%5Btype_id%5D=5897&amp;hva%5B0%5D%5Bfilter%5D%5B0%5D%5Bverdi%5D=&amp;hva%5B0%5D%5Bid%5D=47/når:2015-12-14", "Vegkart")</f>
        <v>Vegkart</v>
      </c>
      <c r="B6005">
        <v>604782222</v>
      </c>
      <c r="C6005">
        <v>47</v>
      </c>
      <c r="D6005" t="s">
        <v>16854</v>
      </c>
      <c r="E6005">
        <v>5897</v>
      </c>
      <c r="F6005" t="s">
        <v>23479</v>
      </c>
      <c r="G6005">
        <v>2</v>
      </c>
      <c r="H6005" t="s">
        <v>18619</v>
      </c>
      <c r="J6005" t="s">
        <v>19932</v>
      </c>
      <c r="K6005" t="s">
        <v>307</v>
      </c>
      <c r="L6005" t="s">
        <v>80</v>
      </c>
      <c r="M6005" t="s">
        <v>645</v>
      </c>
      <c r="N6005" t="s">
        <v>20007</v>
      </c>
      <c r="O6005" t="s">
        <v>20008</v>
      </c>
      <c r="P6005" s="2" t="s">
        <v>26</v>
      </c>
      <c r="Q6005" t="s">
        <v>50</v>
      </c>
      <c r="R6005">
        <v>57.6</v>
      </c>
      <c r="S6005">
        <v>58.3</v>
      </c>
      <c r="T6005" t="s">
        <v>20009</v>
      </c>
    </row>
    <row r="6006" spans="1:20" x14ac:dyDescent="0.25">
      <c r="A6006" s="1" t="str">
        <f>HYPERLINK("https://vegkart.atlas.vegvesen.no/#/@134665.5,6499461.4,18/hva:hva%5B0%5D%5Bfilter%5D%5B0%5D%5Boperator%5D=%21%3D&amp;hva%5B0%5D%5Bfilter%5D%5B0%5D%5Btype_id%5D=5897&amp;hva%5B0%5D%5Bfilter%5D%5B0%5D%5Bverdi%5D=&amp;hva%5B0%5D%5Bid%5D=47/når:2015-06-29", "Vegkart")</f>
        <v>Vegkart</v>
      </c>
      <c r="B6006">
        <v>605642305</v>
      </c>
      <c r="C6006">
        <v>47</v>
      </c>
      <c r="D6006" t="s">
        <v>16854</v>
      </c>
      <c r="E6006">
        <v>5897</v>
      </c>
      <c r="F6006" t="s">
        <v>23479</v>
      </c>
      <c r="G6006">
        <v>1</v>
      </c>
      <c r="H6006" t="s">
        <v>20010</v>
      </c>
      <c r="J6006" t="s">
        <v>19932</v>
      </c>
      <c r="K6006" t="s">
        <v>86</v>
      </c>
      <c r="L6006" t="s">
        <v>33</v>
      </c>
      <c r="M6006" t="s">
        <v>20011</v>
      </c>
      <c r="N6006" t="s">
        <v>20012</v>
      </c>
      <c r="O6006" t="s">
        <v>20013</v>
      </c>
      <c r="P6006" s="2" t="s">
        <v>26</v>
      </c>
      <c r="Q6006" t="s">
        <v>50</v>
      </c>
      <c r="R6006">
        <v>34.44</v>
      </c>
      <c r="S6006">
        <v>35.07</v>
      </c>
      <c r="T6006" t="s">
        <v>20014</v>
      </c>
    </row>
    <row r="6007" spans="1:20" x14ac:dyDescent="0.25">
      <c r="A6007" s="1" t="str">
        <f>HYPERLINK("https://vegkart.atlas.vegvesen.no/#/@134408.9,6499186.9,18/hva:hva%5B0%5D%5Bfilter%5D%5B0%5D%5Boperator%5D=%21%3D&amp;hva%5B0%5D%5Bfilter%5D%5B0%5D%5Btype_id%5D=5897&amp;hva%5B0%5D%5Bfilter%5D%5B0%5D%5Bverdi%5D=&amp;hva%5B0%5D%5Bid%5D=47/når:2015-06-29", "Vegkart")</f>
        <v>Vegkart</v>
      </c>
      <c r="B6007">
        <v>605642306</v>
      </c>
      <c r="C6007">
        <v>47</v>
      </c>
      <c r="D6007" t="s">
        <v>16854</v>
      </c>
      <c r="E6007">
        <v>5897</v>
      </c>
      <c r="F6007" t="s">
        <v>23479</v>
      </c>
      <c r="G6007">
        <v>1</v>
      </c>
      <c r="H6007" t="s">
        <v>20010</v>
      </c>
      <c r="J6007" t="s">
        <v>19932</v>
      </c>
      <c r="K6007" t="s">
        <v>86</v>
      </c>
      <c r="L6007" t="s">
        <v>33</v>
      </c>
      <c r="M6007" t="s">
        <v>20011</v>
      </c>
      <c r="N6007" t="s">
        <v>20015</v>
      </c>
      <c r="O6007" t="s">
        <v>20016</v>
      </c>
      <c r="P6007" s="2" t="s">
        <v>26</v>
      </c>
      <c r="Q6007" t="s">
        <v>50</v>
      </c>
      <c r="R6007">
        <v>43.27</v>
      </c>
      <c r="S6007">
        <v>43.97</v>
      </c>
      <c r="T6007" t="s">
        <v>20017</v>
      </c>
    </row>
    <row r="6008" spans="1:20" x14ac:dyDescent="0.25">
      <c r="A6008" s="1" t="str">
        <f>HYPERLINK("https://vegkart.atlas.vegvesen.no/#/@134396.7,6499197.2,18/hva:hva%5B0%5D%5Bfilter%5D%5B0%5D%5Boperator%5D=%21%3D&amp;hva%5B0%5D%5Bfilter%5D%5B0%5D%5Btype_id%5D=5897&amp;hva%5B0%5D%5Bfilter%5D%5B0%5D%5Bverdi%5D=&amp;hva%5B0%5D%5Bid%5D=47/når:2015-06-29", "Vegkart")</f>
        <v>Vegkart</v>
      </c>
      <c r="B6008">
        <v>605642307</v>
      </c>
      <c r="C6008">
        <v>47</v>
      </c>
      <c r="D6008" t="s">
        <v>16854</v>
      </c>
      <c r="E6008">
        <v>5897</v>
      </c>
      <c r="F6008" t="s">
        <v>23479</v>
      </c>
      <c r="G6008">
        <v>1</v>
      </c>
      <c r="H6008" t="s">
        <v>20010</v>
      </c>
      <c r="J6008" t="s">
        <v>19932</v>
      </c>
      <c r="K6008" t="s">
        <v>86</v>
      </c>
      <c r="L6008" t="s">
        <v>33</v>
      </c>
      <c r="M6008" t="s">
        <v>20011</v>
      </c>
      <c r="N6008" t="s">
        <v>20018</v>
      </c>
      <c r="O6008" t="s">
        <v>20019</v>
      </c>
      <c r="P6008" s="2" t="s">
        <v>26</v>
      </c>
      <c r="Q6008" t="s">
        <v>50</v>
      </c>
      <c r="R6008">
        <v>54.41</v>
      </c>
      <c r="S6008">
        <v>54.63</v>
      </c>
      <c r="T6008" t="s">
        <v>20020</v>
      </c>
    </row>
    <row r="6009" spans="1:20" x14ac:dyDescent="0.25">
      <c r="A6009" s="1" t="str">
        <f>HYPERLINK("https://vegkart.atlas.vegvesen.no/#/@134605.4,6499468.6,18/hva:hva%5B0%5D%5Bfilter%5D%5B0%5D%5Boperator%5D=%21%3D&amp;hva%5B0%5D%5Bfilter%5D%5B0%5D%5Btype_id%5D=5897&amp;hva%5B0%5D%5Bfilter%5D%5B0%5D%5Bverdi%5D=&amp;hva%5B0%5D%5Bid%5D=47/når:2015-06-29", "Vegkart")</f>
        <v>Vegkart</v>
      </c>
      <c r="B6009">
        <v>605642311</v>
      </c>
      <c r="C6009">
        <v>47</v>
      </c>
      <c r="D6009" t="s">
        <v>16854</v>
      </c>
      <c r="E6009">
        <v>5897</v>
      </c>
      <c r="F6009" t="s">
        <v>23479</v>
      </c>
      <c r="G6009">
        <v>1</v>
      </c>
      <c r="H6009" t="s">
        <v>20010</v>
      </c>
      <c r="J6009" t="s">
        <v>19932</v>
      </c>
      <c r="K6009" t="s">
        <v>86</v>
      </c>
      <c r="L6009" t="s">
        <v>33</v>
      </c>
      <c r="M6009" t="s">
        <v>20011</v>
      </c>
      <c r="N6009" t="s">
        <v>20021</v>
      </c>
      <c r="O6009" t="s">
        <v>20022</v>
      </c>
      <c r="P6009" s="2" t="s">
        <v>26</v>
      </c>
      <c r="Q6009" t="s">
        <v>50</v>
      </c>
      <c r="R6009">
        <v>54.19</v>
      </c>
      <c r="S6009">
        <v>54.94</v>
      </c>
      <c r="T6009" t="s">
        <v>20023</v>
      </c>
    </row>
    <row r="6010" spans="1:20" x14ac:dyDescent="0.25">
      <c r="A6010" s="1" t="str">
        <f>HYPERLINK("https://vegkart.atlas.vegvesen.no/#/@-30308.0,6706250.1,18/hva:hva%5B0%5D%5Bfilter%5D%5B0%5D%5Boperator%5D=%21%3D&amp;hva%5B0%5D%5Bfilter%5D%5B0%5D%5Btype_id%5D=5897&amp;hva%5B0%5D%5Bfilter%5D%5B0%5D%5Bverdi%5D=&amp;hva%5B0%5D%5Bid%5D=47/når:2015-07-13", "Vegkart")</f>
        <v>Vegkart</v>
      </c>
      <c r="B6010">
        <v>607390483</v>
      </c>
      <c r="C6010">
        <v>47</v>
      </c>
      <c r="D6010" t="s">
        <v>16854</v>
      </c>
      <c r="E6010">
        <v>5897</v>
      </c>
      <c r="F6010" t="s">
        <v>23479</v>
      </c>
      <c r="G6010">
        <v>2</v>
      </c>
      <c r="H6010" t="s">
        <v>20024</v>
      </c>
      <c r="J6010" t="s">
        <v>19932</v>
      </c>
      <c r="K6010" t="s">
        <v>21</v>
      </c>
      <c r="L6010" t="s">
        <v>80</v>
      </c>
      <c r="M6010" t="s">
        <v>81</v>
      </c>
      <c r="N6010" t="s">
        <v>20025</v>
      </c>
      <c r="O6010" t="s">
        <v>20026</v>
      </c>
      <c r="P6010" s="2" t="s">
        <v>26</v>
      </c>
      <c r="Q6010" t="s">
        <v>50</v>
      </c>
      <c r="R6010">
        <v>16.55</v>
      </c>
      <c r="S6010">
        <v>16.559999999999999</v>
      </c>
      <c r="T6010" t="s">
        <v>20027</v>
      </c>
    </row>
    <row r="6011" spans="1:20" x14ac:dyDescent="0.25">
      <c r="A6011" s="1" t="str">
        <f>HYPERLINK("https://vegkart.atlas.vegvesen.no/#/@287699.0,6677481.1,18/hva:hva%5B0%5D%5Bfilter%5D%5B0%5D%5Boperator%5D=%21%3D&amp;hva%5B0%5D%5Bfilter%5D%5B0%5D%5Btype_id%5D=5897&amp;hva%5B0%5D%5Bfilter%5D%5B0%5D%5Bverdi%5D=&amp;hva%5B0%5D%5Bid%5D=47/når:2011-11-25", "Vegkart")</f>
        <v>Vegkart</v>
      </c>
      <c r="B6011">
        <v>608612438</v>
      </c>
      <c r="C6011">
        <v>47</v>
      </c>
      <c r="D6011" t="s">
        <v>16854</v>
      </c>
      <c r="E6011">
        <v>5897</v>
      </c>
      <c r="F6011" t="s">
        <v>23479</v>
      </c>
      <c r="G6011">
        <v>1</v>
      </c>
      <c r="H6011" t="s">
        <v>20028</v>
      </c>
      <c r="J6011" t="s">
        <v>7976</v>
      </c>
      <c r="K6011" t="s">
        <v>132</v>
      </c>
      <c r="L6011" t="s">
        <v>33</v>
      </c>
      <c r="M6011" t="s">
        <v>18439</v>
      </c>
      <c r="N6011" t="s">
        <v>20029</v>
      </c>
      <c r="O6011" t="s">
        <v>20030</v>
      </c>
      <c r="P6011" s="2" t="s">
        <v>26</v>
      </c>
      <c r="Q6011" t="s">
        <v>50</v>
      </c>
      <c r="R6011">
        <v>45.99</v>
      </c>
      <c r="S6011">
        <v>46.01</v>
      </c>
      <c r="T6011" t="s">
        <v>20031</v>
      </c>
    </row>
    <row r="6012" spans="1:20" x14ac:dyDescent="0.25">
      <c r="A6012" s="1" t="str">
        <f>HYPERLINK("https://vegkart.atlas.vegvesen.no/#/@287692.1,6677485.1,18/hva:hva%5B0%5D%5Bfilter%5D%5B0%5D%5Boperator%5D=%21%3D&amp;hva%5B0%5D%5Bfilter%5D%5B0%5D%5Btype_id%5D=5897&amp;hva%5B0%5D%5Bfilter%5D%5B0%5D%5Bverdi%5D=&amp;hva%5B0%5D%5Bid%5D=47/når:2024-12-05", "Vegkart")</f>
        <v>Vegkart</v>
      </c>
      <c r="B6012">
        <v>608612439</v>
      </c>
      <c r="C6012">
        <v>47</v>
      </c>
      <c r="D6012" t="s">
        <v>16854</v>
      </c>
      <c r="E6012">
        <v>5897</v>
      </c>
      <c r="F6012" t="s">
        <v>23479</v>
      </c>
      <c r="G6012">
        <v>2</v>
      </c>
      <c r="H6012" t="s">
        <v>1270</v>
      </c>
      <c r="J6012" t="s">
        <v>7976</v>
      </c>
      <c r="K6012" t="s">
        <v>132</v>
      </c>
      <c r="L6012" t="s">
        <v>33</v>
      </c>
      <c r="M6012" t="s">
        <v>18439</v>
      </c>
      <c r="N6012" t="s">
        <v>20032</v>
      </c>
      <c r="O6012" t="s">
        <v>20033</v>
      </c>
      <c r="P6012" s="2" t="s">
        <v>26</v>
      </c>
      <c r="Q6012" t="s">
        <v>50</v>
      </c>
      <c r="R6012">
        <v>48.44</v>
      </c>
      <c r="S6012">
        <v>48.5</v>
      </c>
      <c r="T6012" t="s">
        <v>20034</v>
      </c>
    </row>
    <row r="6013" spans="1:20" x14ac:dyDescent="0.25">
      <c r="A6013" s="1" t="str">
        <f>HYPERLINK("https://vegkart.atlas.vegvesen.no/#/@139663.3,6496399.7,18/hva:hva%5B0%5D%5Bfilter%5D%5B0%5D%5Boperator%5D=%21%3D&amp;hva%5B0%5D%5Bfilter%5D%5B0%5D%5Btype_id%5D=5897&amp;hva%5B0%5D%5Bfilter%5D%5B0%5D%5Bverdi%5D=&amp;hva%5B0%5D%5Bid%5D=47/når:2015-07-13", "Vegkart")</f>
        <v>Vegkart</v>
      </c>
      <c r="B6013">
        <v>609953168</v>
      </c>
      <c r="C6013">
        <v>47</v>
      </c>
      <c r="D6013" t="s">
        <v>16854</v>
      </c>
      <c r="E6013">
        <v>5897</v>
      </c>
      <c r="F6013" t="s">
        <v>23479</v>
      </c>
      <c r="G6013">
        <v>1</v>
      </c>
      <c r="H6013" t="s">
        <v>20024</v>
      </c>
      <c r="J6013" t="s">
        <v>7976</v>
      </c>
      <c r="K6013" t="s">
        <v>86</v>
      </c>
      <c r="L6013" t="s">
        <v>33</v>
      </c>
      <c r="M6013" t="s">
        <v>15830</v>
      </c>
      <c r="N6013" t="s">
        <v>20035</v>
      </c>
      <c r="O6013" t="s">
        <v>20036</v>
      </c>
      <c r="P6013" s="2" t="s">
        <v>26</v>
      </c>
      <c r="Q6013" t="s">
        <v>50</v>
      </c>
      <c r="R6013">
        <v>50.75</v>
      </c>
      <c r="S6013">
        <v>51.02</v>
      </c>
      <c r="T6013" t="s">
        <v>20037</v>
      </c>
    </row>
    <row r="6014" spans="1:20" x14ac:dyDescent="0.25">
      <c r="A6014" s="1" t="str">
        <f>HYPERLINK("https://vegkart.atlas.vegvesen.no/#/@139650.5,6496406.8,18/hva:hva%5B0%5D%5Bfilter%5D%5B0%5D%5Boperator%5D=%21%3D&amp;hva%5B0%5D%5Bfilter%5D%5B0%5D%5Btype_id%5D=5897&amp;hva%5B0%5D%5Bfilter%5D%5B0%5D%5Bverdi%5D=&amp;hva%5B0%5D%5Bid%5D=47/når:2015-07-13", "Vegkart")</f>
        <v>Vegkart</v>
      </c>
      <c r="B6014">
        <v>609953169</v>
      </c>
      <c r="C6014">
        <v>47</v>
      </c>
      <c r="D6014" t="s">
        <v>16854</v>
      </c>
      <c r="E6014">
        <v>5897</v>
      </c>
      <c r="F6014" t="s">
        <v>23479</v>
      </c>
      <c r="G6014">
        <v>1</v>
      </c>
      <c r="H6014" t="s">
        <v>20024</v>
      </c>
      <c r="J6014" t="s">
        <v>7976</v>
      </c>
      <c r="K6014" t="s">
        <v>86</v>
      </c>
      <c r="L6014" t="s">
        <v>33</v>
      </c>
      <c r="M6014" t="s">
        <v>15830</v>
      </c>
      <c r="N6014" t="s">
        <v>20038</v>
      </c>
      <c r="O6014" t="s">
        <v>20039</v>
      </c>
      <c r="P6014" s="2" t="s">
        <v>26</v>
      </c>
      <c r="Q6014" t="s">
        <v>50</v>
      </c>
      <c r="R6014">
        <v>65.98</v>
      </c>
      <c r="S6014">
        <v>66.290000000000006</v>
      </c>
      <c r="T6014" t="s">
        <v>20040</v>
      </c>
    </row>
    <row r="6015" spans="1:20" x14ac:dyDescent="0.25">
      <c r="A6015" s="1" t="str">
        <f>HYPERLINK("https://vegkart.atlas.vegvesen.no/#/@-24698.1,6588851.1,18/hva:hva%5B0%5D%5Bfilter%5D%5B0%5D%5Boperator%5D=%21%3D&amp;hva%5B0%5D%5Bfilter%5D%5B0%5D%5Btype_id%5D=5897&amp;hva%5B0%5D%5Bfilter%5D%5B0%5D%5Bverdi%5D=&amp;hva%5B0%5D%5Bid%5D=47/når:2015-07-15", "Vegkart")</f>
        <v>Vegkart</v>
      </c>
      <c r="B6015">
        <v>611373370</v>
      </c>
      <c r="C6015">
        <v>47</v>
      </c>
      <c r="D6015" t="s">
        <v>16854</v>
      </c>
      <c r="E6015">
        <v>5897</v>
      </c>
      <c r="F6015" t="s">
        <v>23479</v>
      </c>
      <c r="G6015">
        <v>1</v>
      </c>
      <c r="H6015" t="s">
        <v>17092</v>
      </c>
      <c r="J6015" t="s">
        <v>20041</v>
      </c>
      <c r="K6015" t="s">
        <v>170</v>
      </c>
      <c r="L6015" t="s">
        <v>33</v>
      </c>
      <c r="M6015" t="s">
        <v>17093</v>
      </c>
      <c r="N6015" t="s">
        <v>20042</v>
      </c>
      <c r="O6015" t="s">
        <v>20043</v>
      </c>
      <c r="P6015" s="2" t="s">
        <v>26</v>
      </c>
      <c r="Q6015" t="s">
        <v>50</v>
      </c>
      <c r="R6015">
        <v>10.63</v>
      </c>
      <c r="S6015">
        <v>10.63</v>
      </c>
      <c r="T6015" t="s">
        <v>20044</v>
      </c>
    </row>
    <row r="6016" spans="1:20" x14ac:dyDescent="0.25">
      <c r="A6016" s="1" t="str">
        <f>HYPERLINK("https://vegkart.atlas.vegvesen.no/#/@-23827.5,6588073.9,18/hva:hva%5B0%5D%5Bfilter%5D%5B0%5D%5Boperator%5D=%21%3D&amp;hva%5B0%5D%5Bfilter%5D%5B0%5D%5Btype_id%5D=5897&amp;hva%5B0%5D%5Bfilter%5D%5B0%5D%5Bverdi%5D=&amp;hva%5B0%5D%5Bid%5D=47/når:2015-07-15", "Vegkart")</f>
        <v>Vegkart</v>
      </c>
      <c r="B6016">
        <v>611373403</v>
      </c>
      <c r="C6016">
        <v>47</v>
      </c>
      <c r="D6016" t="s">
        <v>16854</v>
      </c>
      <c r="E6016">
        <v>5897</v>
      </c>
      <c r="F6016" t="s">
        <v>23479</v>
      </c>
      <c r="G6016">
        <v>1</v>
      </c>
      <c r="H6016" t="s">
        <v>17092</v>
      </c>
      <c r="J6016" t="s">
        <v>20041</v>
      </c>
      <c r="K6016" t="s">
        <v>170</v>
      </c>
      <c r="L6016" t="s">
        <v>33</v>
      </c>
      <c r="M6016" t="s">
        <v>17093</v>
      </c>
      <c r="N6016" t="s">
        <v>20045</v>
      </c>
      <c r="O6016" t="s">
        <v>20046</v>
      </c>
      <c r="P6016" s="2" t="s">
        <v>26</v>
      </c>
      <c r="Q6016" t="s">
        <v>50</v>
      </c>
      <c r="R6016">
        <v>33.49</v>
      </c>
      <c r="S6016">
        <v>33.49</v>
      </c>
      <c r="T6016" t="s">
        <v>20047</v>
      </c>
    </row>
    <row r="6017" spans="1:20" x14ac:dyDescent="0.25">
      <c r="A6017" s="1" t="str">
        <f>HYPERLINK("https://vegkart.atlas.vegvesen.no/#/@-27280.0,6588731.1,18/hva:hva%5B0%5D%5Bfilter%5D%5B0%5D%5Boperator%5D=%21%3D&amp;hva%5B0%5D%5Bfilter%5D%5B0%5D%5Btype_id%5D=5897&amp;hva%5B0%5D%5Bfilter%5D%5B0%5D%5Bverdi%5D=&amp;hva%5B0%5D%5Bid%5D=47/når:2021-08-31", "Vegkart")</f>
        <v>Vegkart</v>
      </c>
      <c r="B6017">
        <v>611373426</v>
      </c>
      <c r="C6017">
        <v>47</v>
      </c>
      <c r="D6017" t="s">
        <v>16854</v>
      </c>
      <c r="E6017">
        <v>5897</v>
      </c>
      <c r="F6017" t="s">
        <v>23479</v>
      </c>
      <c r="G6017">
        <v>2</v>
      </c>
      <c r="H6017" t="s">
        <v>17112</v>
      </c>
      <c r="J6017" t="s">
        <v>20041</v>
      </c>
      <c r="K6017" t="s">
        <v>170</v>
      </c>
      <c r="L6017" t="s">
        <v>33</v>
      </c>
      <c r="M6017" t="s">
        <v>17114</v>
      </c>
      <c r="N6017" t="s">
        <v>20048</v>
      </c>
      <c r="O6017" t="s">
        <v>20049</v>
      </c>
      <c r="P6017" s="2" t="s">
        <v>26</v>
      </c>
      <c r="Q6017" t="s">
        <v>50</v>
      </c>
      <c r="R6017">
        <v>42</v>
      </c>
      <c r="S6017">
        <v>42</v>
      </c>
      <c r="T6017" t="s">
        <v>20050</v>
      </c>
    </row>
    <row r="6018" spans="1:20" x14ac:dyDescent="0.25">
      <c r="A6018" s="1" t="str">
        <f>HYPERLINK("https://vegkart.atlas.vegvesen.no/#/@-28503.8,6587123.5,18/hva:hva%5B0%5D%5Bfilter%5D%5B0%5D%5Boperator%5D=%21%3D&amp;hva%5B0%5D%5Bfilter%5D%5B0%5D%5Btype_id%5D=5897&amp;hva%5B0%5D%5Bfilter%5D%5B0%5D%5Bverdi%5D=&amp;hva%5B0%5D%5Bid%5D=47/når:2016-01-31", "Vegkart")</f>
        <v>Vegkart</v>
      </c>
      <c r="B6018">
        <v>611373432</v>
      </c>
      <c r="C6018">
        <v>47</v>
      </c>
      <c r="D6018" t="s">
        <v>16854</v>
      </c>
      <c r="E6018">
        <v>5897</v>
      </c>
      <c r="F6018" t="s">
        <v>23479</v>
      </c>
      <c r="G6018">
        <v>2</v>
      </c>
      <c r="H6018" t="s">
        <v>20051</v>
      </c>
      <c r="J6018" t="s">
        <v>20041</v>
      </c>
      <c r="K6018" t="s">
        <v>170</v>
      </c>
      <c r="L6018" t="s">
        <v>33</v>
      </c>
      <c r="M6018" t="s">
        <v>20052</v>
      </c>
      <c r="N6018" t="s">
        <v>20053</v>
      </c>
      <c r="O6018" t="s">
        <v>20054</v>
      </c>
      <c r="P6018" s="2" t="s">
        <v>26</v>
      </c>
      <c r="Q6018" t="s">
        <v>50</v>
      </c>
      <c r="R6018">
        <v>35.799999999999997</v>
      </c>
      <c r="S6018">
        <v>35.799999999999997</v>
      </c>
      <c r="T6018" t="s">
        <v>20055</v>
      </c>
    </row>
    <row r="6019" spans="1:20" x14ac:dyDescent="0.25">
      <c r="A6019" s="1" t="str">
        <f>HYPERLINK("https://vegkart.atlas.vegvesen.no/#/@-34364.2,6591842.8,18/hva:hva%5B0%5D%5Bfilter%5D%5B0%5D%5Boperator%5D=%21%3D&amp;hva%5B0%5D%5Bfilter%5D%5B0%5D%5Btype_id%5D=5897&amp;hva%5B0%5D%5Bfilter%5D%5B0%5D%5Bverdi%5D=&amp;hva%5B0%5D%5Bid%5D=47/når:2015-07-20", "Vegkart")</f>
        <v>Vegkart</v>
      </c>
      <c r="B6019">
        <v>613577893</v>
      </c>
      <c r="C6019">
        <v>47</v>
      </c>
      <c r="D6019" t="s">
        <v>16854</v>
      </c>
      <c r="E6019">
        <v>5897</v>
      </c>
      <c r="F6019" t="s">
        <v>23479</v>
      </c>
      <c r="G6019">
        <v>1</v>
      </c>
      <c r="H6019" t="s">
        <v>20056</v>
      </c>
      <c r="J6019" t="s">
        <v>20041</v>
      </c>
      <c r="K6019" t="s">
        <v>170</v>
      </c>
      <c r="L6019" t="s">
        <v>33</v>
      </c>
      <c r="M6019" t="s">
        <v>20057</v>
      </c>
      <c r="N6019" t="s">
        <v>20058</v>
      </c>
      <c r="O6019" t="s">
        <v>20059</v>
      </c>
      <c r="P6019" s="2" t="s">
        <v>26</v>
      </c>
      <c r="Q6019" t="s">
        <v>50</v>
      </c>
      <c r="R6019">
        <v>24.99</v>
      </c>
      <c r="S6019">
        <v>24.99</v>
      </c>
      <c r="T6019" t="s">
        <v>20060</v>
      </c>
    </row>
    <row r="6020" spans="1:20" x14ac:dyDescent="0.25">
      <c r="A6020" s="1" t="str">
        <f>HYPERLINK("https://vegkart.atlas.vegvesen.no/#/@-31878.7,6588299.3,18/hva:hva%5B0%5D%5Bfilter%5D%5B0%5D%5Boperator%5D=%21%3D&amp;hva%5B0%5D%5Bfilter%5D%5B0%5D%5Btype_id%5D=5897&amp;hva%5B0%5D%5Bfilter%5D%5B0%5D%5Bverdi%5D=&amp;hva%5B0%5D%5Bid%5D=47/når:2015-07-20", "Vegkart")</f>
        <v>Vegkart</v>
      </c>
      <c r="B6020">
        <v>613577903</v>
      </c>
      <c r="C6020">
        <v>47</v>
      </c>
      <c r="D6020" t="s">
        <v>16854</v>
      </c>
      <c r="E6020">
        <v>5897</v>
      </c>
      <c r="F6020" t="s">
        <v>23479</v>
      </c>
      <c r="G6020">
        <v>1</v>
      </c>
      <c r="H6020" t="s">
        <v>20056</v>
      </c>
      <c r="J6020" t="s">
        <v>20041</v>
      </c>
      <c r="K6020" t="s">
        <v>170</v>
      </c>
      <c r="L6020" t="s">
        <v>33</v>
      </c>
      <c r="M6020" t="s">
        <v>20061</v>
      </c>
      <c r="N6020" t="s">
        <v>20062</v>
      </c>
      <c r="O6020" t="s">
        <v>20063</v>
      </c>
      <c r="P6020" s="2" t="s">
        <v>26</v>
      </c>
      <c r="Q6020" t="s">
        <v>50</v>
      </c>
      <c r="R6020">
        <v>30.25</v>
      </c>
      <c r="S6020">
        <v>30.25</v>
      </c>
      <c r="T6020" t="s">
        <v>20064</v>
      </c>
    </row>
    <row r="6021" spans="1:20" x14ac:dyDescent="0.25">
      <c r="A6021" s="1" t="str">
        <f>HYPERLINK("https://vegkart.atlas.vegvesen.no/#/@-32624.2,6588533.1,18/hva:hva%5B0%5D%5Bfilter%5D%5B0%5D%5Boperator%5D=%21%3D&amp;hva%5B0%5D%5Bfilter%5D%5B0%5D%5Btype_id%5D=5897&amp;hva%5B0%5D%5Bfilter%5D%5B0%5D%5Bverdi%5D=&amp;hva%5B0%5D%5Bid%5D=47/når:2015-07-20", "Vegkart")</f>
        <v>Vegkart</v>
      </c>
      <c r="B6021">
        <v>613577904</v>
      </c>
      <c r="C6021">
        <v>47</v>
      </c>
      <c r="D6021" t="s">
        <v>16854</v>
      </c>
      <c r="E6021">
        <v>5897</v>
      </c>
      <c r="F6021" t="s">
        <v>23479</v>
      </c>
      <c r="G6021">
        <v>1</v>
      </c>
      <c r="H6021" t="s">
        <v>20056</v>
      </c>
      <c r="J6021" t="s">
        <v>20041</v>
      </c>
      <c r="K6021" t="s">
        <v>170</v>
      </c>
      <c r="L6021" t="s">
        <v>33</v>
      </c>
      <c r="M6021" t="s">
        <v>20061</v>
      </c>
      <c r="N6021" t="s">
        <v>20065</v>
      </c>
      <c r="O6021" t="s">
        <v>20066</v>
      </c>
      <c r="P6021" s="2" t="s">
        <v>26</v>
      </c>
      <c r="Q6021" t="s">
        <v>50</v>
      </c>
      <c r="R6021">
        <v>50.36</v>
      </c>
      <c r="S6021">
        <v>50.36</v>
      </c>
      <c r="T6021" t="s">
        <v>20067</v>
      </c>
    </row>
    <row r="6022" spans="1:20" x14ac:dyDescent="0.25">
      <c r="A6022" s="1" t="str">
        <f>HYPERLINK("https://vegkart.atlas.vegvesen.no/#/@225829.3,6568408.9,18/hva:hva%5B0%5D%5Bfilter%5D%5B0%5D%5Boperator%5D=%21%3D&amp;hva%5B0%5D%5Bfilter%5D%5B0%5D%5Btype_id%5D=5897&amp;hva%5B0%5D%5Bfilter%5D%5B0%5D%5Bverdi%5D=&amp;hva%5B0%5D%5Bid%5D=47/når:2023-08-28", "Vegkart")</f>
        <v>Vegkart</v>
      </c>
      <c r="B6022">
        <v>615573626</v>
      </c>
      <c r="C6022">
        <v>47</v>
      </c>
      <c r="D6022" t="s">
        <v>16854</v>
      </c>
      <c r="E6022">
        <v>5897</v>
      </c>
      <c r="F6022" t="s">
        <v>23479</v>
      </c>
      <c r="G6022">
        <v>2</v>
      </c>
      <c r="H6022" t="s">
        <v>20068</v>
      </c>
      <c r="J6022" t="s">
        <v>20041</v>
      </c>
      <c r="K6022" t="s">
        <v>81</v>
      </c>
      <c r="L6022" t="s">
        <v>80</v>
      </c>
      <c r="M6022" t="s">
        <v>53</v>
      </c>
      <c r="N6022" t="s">
        <v>20069</v>
      </c>
      <c r="O6022" t="s">
        <v>20070</v>
      </c>
      <c r="P6022" s="2" t="s">
        <v>165</v>
      </c>
      <c r="Q6022" t="s">
        <v>166</v>
      </c>
      <c r="R6022">
        <v>0</v>
      </c>
      <c r="S6022">
        <v>51.84</v>
      </c>
      <c r="T6022" t="s">
        <v>167</v>
      </c>
    </row>
    <row r="6023" spans="1:20" x14ac:dyDescent="0.25">
      <c r="A6023" s="1" t="str">
        <f>HYPERLINK("https://vegkart.atlas.vegvesen.no/#/@102810.9,6467601.0,18/hva:hva%5B0%5D%5Bfilter%5D%5B0%5D%5Boperator%5D=%21%3D&amp;hva%5B0%5D%5Bfilter%5D%5B0%5D%5Btype_id%5D=5897&amp;hva%5B0%5D%5Bfilter%5D%5B0%5D%5Bverdi%5D=&amp;hva%5B0%5D%5Bid%5D=47/når:2015-08-19", "Vegkart")</f>
        <v>Vegkart</v>
      </c>
      <c r="B6023">
        <v>623587773</v>
      </c>
      <c r="C6023">
        <v>47</v>
      </c>
      <c r="D6023" t="s">
        <v>16854</v>
      </c>
      <c r="E6023">
        <v>5897</v>
      </c>
      <c r="F6023" t="s">
        <v>23479</v>
      </c>
      <c r="G6023">
        <v>1</v>
      </c>
      <c r="H6023" t="s">
        <v>20071</v>
      </c>
      <c r="J6023" t="s">
        <v>20041</v>
      </c>
      <c r="K6023" t="s">
        <v>86</v>
      </c>
      <c r="L6023" t="s">
        <v>33</v>
      </c>
      <c r="M6023" t="s">
        <v>7560</v>
      </c>
      <c r="N6023" t="s">
        <v>20072</v>
      </c>
      <c r="O6023" t="s">
        <v>20073</v>
      </c>
      <c r="P6023" s="2" t="s">
        <v>26</v>
      </c>
      <c r="Q6023" t="s">
        <v>50</v>
      </c>
      <c r="R6023">
        <v>53.72</v>
      </c>
      <c r="S6023">
        <v>54.83</v>
      </c>
      <c r="T6023" t="s">
        <v>20074</v>
      </c>
    </row>
    <row r="6024" spans="1:20" x14ac:dyDescent="0.25">
      <c r="A6024" s="1" t="str">
        <f>HYPERLINK("https://vegkart.atlas.vegvesen.no/#/@102818.7,6467621.7,18/hva:hva%5B0%5D%5Bfilter%5D%5B0%5D%5Boperator%5D=%21%3D&amp;hva%5B0%5D%5Bfilter%5D%5B0%5D%5Btype_id%5D=5897&amp;hva%5B0%5D%5Bfilter%5D%5B0%5D%5Bverdi%5D=&amp;hva%5B0%5D%5Bid%5D=47/når:2015-08-19", "Vegkart")</f>
        <v>Vegkart</v>
      </c>
      <c r="B6024">
        <v>623587774</v>
      </c>
      <c r="C6024">
        <v>47</v>
      </c>
      <c r="D6024" t="s">
        <v>16854</v>
      </c>
      <c r="E6024">
        <v>5897</v>
      </c>
      <c r="F6024" t="s">
        <v>23479</v>
      </c>
      <c r="G6024">
        <v>1</v>
      </c>
      <c r="H6024" t="s">
        <v>20071</v>
      </c>
      <c r="J6024" t="s">
        <v>20041</v>
      </c>
      <c r="K6024" t="s">
        <v>86</v>
      </c>
      <c r="L6024" t="s">
        <v>33</v>
      </c>
      <c r="M6024" t="s">
        <v>7560</v>
      </c>
      <c r="N6024" t="s">
        <v>20075</v>
      </c>
      <c r="O6024" t="s">
        <v>20076</v>
      </c>
      <c r="P6024" s="2" t="s">
        <v>26</v>
      </c>
      <c r="Q6024" t="s">
        <v>50</v>
      </c>
      <c r="R6024">
        <v>75.25</v>
      </c>
      <c r="S6024">
        <v>75.319999999999993</v>
      </c>
      <c r="T6024" t="s">
        <v>20077</v>
      </c>
    </row>
    <row r="6025" spans="1:20" x14ac:dyDescent="0.25">
      <c r="A6025" s="1" t="str">
        <f>HYPERLINK("https://vegkart.atlas.vegvesen.no/#/@102397.5,6467787.2,18/hva:hva%5B0%5D%5Bfilter%5D%5B0%5D%5Boperator%5D=%21%3D&amp;hva%5B0%5D%5Bfilter%5D%5B0%5D%5Btype_id%5D=5897&amp;hva%5B0%5D%5Bfilter%5D%5B0%5D%5Bverdi%5D=&amp;hva%5B0%5D%5Bid%5D=47/når:2015-08-19", "Vegkart")</f>
        <v>Vegkart</v>
      </c>
      <c r="B6025">
        <v>623587775</v>
      </c>
      <c r="C6025">
        <v>47</v>
      </c>
      <c r="D6025" t="s">
        <v>16854</v>
      </c>
      <c r="E6025">
        <v>5897</v>
      </c>
      <c r="F6025" t="s">
        <v>23479</v>
      </c>
      <c r="G6025">
        <v>1</v>
      </c>
      <c r="H6025" t="s">
        <v>20071</v>
      </c>
      <c r="J6025" t="s">
        <v>20041</v>
      </c>
      <c r="K6025" t="s">
        <v>86</v>
      </c>
      <c r="L6025" t="s">
        <v>33</v>
      </c>
      <c r="M6025" t="s">
        <v>7560</v>
      </c>
      <c r="N6025" t="s">
        <v>20078</v>
      </c>
      <c r="O6025" t="s">
        <v>20079</v>
      </c>
      <c r="P6025" s="2" t="s">
        <v>26</v>
      </c>
      <c r="Q6025" t="s">
        <v>50</v>
      </c>
      <c r="R6025">
        <v>63.67</v>
      </c>
      <c r="S6025">
        <v>65.849999999999994</v>
      </c>
      <c r="T6025" t="s">
        <v>20080</v>
      </c>
    </row>
    <row r="6026" spans="1:20" x14ac:dyDescent="0.25">
      <c r="A6026" s="1" t="str">
        <f>HYPERLINK("https://vegkart.atlas.vegvesen.no/#/@101797.6,6467408.2,18/hva:hva%5B0%5D%5Bfilter%5D%5B0%5D%5Boperator%5D=%21%3D&amp;hva%5B0%5D%5Bfilter%5D%5B0%5D%5Btype_id%5D=5897&amp;hva%5B0%5D%5Bfilter%5D%5B0%5D%5Bverdi%5D=&amp;hva%5B0%5D%5Bid%5D=47/når:2015-08-19", "Vegkart")</f>
        <v>Vegkart</v>
      </c>
      <c r="B6026">
        <v>623587776</v>
      </c>
      <c r="C6026">
        <v>47</v>
      </c>
      <c r="D6026" t="s">
        <v>16854</v>
      </c>
      <c r="E6026">
        <v>5897</v>
      </c>
      <c r="F6026" t="s">
        <v>23479</v>
      </c>
      <c r="G6026">
        <v>1</v>
      </c>
      <c r="H6026" t="s">
        <v>20071</v>
      </c>
      <c r="J6026" t="s">
        <v>20041</v>
      </c>
      <c r="K6026" t="s">
        <v>86</v>
      </c>
      <c r="L6026" t="s">
        <v>33</v>
      </c>
      <c r="M6026" t="s">
        <v>7560</v>
      </c>
      <c r="N6026" t="s">
        <v>20081</v>
      </c>
      <c r="O6026" t="s">
        <v>20082</v>
      </c>
      <c r="P6026" s="2" t="s">
        <v>26</v>
      </c>
      <c r="Q6026" t="s">
        <v>50</v>
      </c>
      <c r="R6026">
        <v>56.32</v>
      </c>
      <c r="S6026">
        <v>56.67</v>
      </c>
      <c r="T6026" t="s">
        <v>20083</v>
      </c>
    </row>
    <row r="6027" spans="1:20" x14ac:dyDescent="0.25">
      <c r="A6027" s="1" t="str">
        <f>HYPERLINK("https://vegkart.atlas.vegvesen.no/#/@102462.9,6467757.0,18/hva:hva%5B0%5D%5Bfilter%5D%5B0%5D%5Boperator%5D=%21%3D&amp;hva%5B0%5D%5Bfilter%5D%5B0%5D%5Btype_id%5D=5897&amp;hva%5B0%5D%5Bfilter%5D%5B0%5D%5Bverdi%5D=&amp;hva%5B0%5D%5Bid%5D=47/når:2015-08-19", "Vegkart")</f>
        <v>Vegkart</v>
      </c>
      <c r="B6027">
        <v>623587777</v>
      </c>
      <c r="C6027">
        <v>47</v>
      </c>
      <c r="D6027" t="s">
        <v>16854</v>
      </c>
      <c r="E6027">
        <v>5897</v>
      </c>
      <c r="F6027" t="s">
        <v>23479</v>
      </c>
      <c r="G6027">
        <v>1</v>
      </c>
      <c r="H6027" t="s">
        <v>20071</v>
      </c>
      <c r="J6027" t="s">
        <v>20041</v>
      </c>
      <c r="K6027" t="s">
        <v>86</v>
      </c>
      <c r="L6027" t="s">
        <v>33</v>
      </c>
      <c r="M6027" t="s">
        <v>7560</v>
      </c>
      <c r="N6027" t="s">
        <v>20084</v>
      </c>
      <c r="O6027" t="s">
        <v>20085</v>
      </c>
      <c r="P6027" s="2" t="s">
        <v>26</v>
      </c>
      <c r="Q6027" t="s">
        <v>50</v>
      </c>
      <c r="R6027">
        <v>63.1</v>
      </c>
      <c r="S6027">
        <v>63.2</v>
      </c>
      <c r="T6027" t="s">
        <v>20086</v>
      </c>
    </row>
    <row r="6028" spans="1:20" x14ac:dyDescent="0.25">
      <c r="A6028" s="1" t="str">
        <f>HYPERLINK("https://vegkart.atlas.vegvesen.no/#/@-32184.4,6536733.6,18/hva:hva%5B0%5D%5Bfilter%5D%5B0%5D%5Boperator%5D=%21%3D&amp;hva%5B0%5D%5Bfilter%5D%5B0%5D%5Btype_id%5D=5897&amp;hva%5B0%5D%5Bfilter%5D%5B0%5D%5Bverdi%5D=&amp;hva%5B0%5D%5Bid%5D=47/når:2015-08-20", "Vegkart")</f>
        <v>Vegkart</v>
      </c>
      <c r="B6028">
        <v>624220529</v>
      </c>
      <c r="C6028">
        <v>47</v>
      </c>
      <c r="D6028" t="s">
        <v>16854</v>
      </c>
      <c r="E6028">
        <v>5897</v>
      </c>
      <c r="F6028" t="s">
        <v>23479</v>
      </c>
      <c r="G6028">
        <v>1</v>
      </c>
      <c r="H6028" t="s">
        <v>20087</v>
      </c>
      <c r="J6028" t="s">
        <v>20041</v>
      </c>
      <c r="K6028" t="s">
        <v>170</v>
      </c>
      <c r="L6028" t="s">
        <v>33</v>
      </c>
      <c r="M6028" t="s">
        <v>11923</v>
      </c>
      <c r="N6028" t="s">
        <v>20088</v>
      </c>
      <c r="O6028" t="s">
        <v>20089</v>
      </c>
      <c r="P6028" s="2" t="s">
        <v>26</v>
      </c>
      <c r="Q6028" t="s">
        <v>50</v>
      </c>
      <c r="R6028">
        <v>10.17</v>
      </c>
      <c r="S6028">
        <v>10.17</v>
      </c>
      <c r="T6028" t="s">
        <v>20090</v>
      </c>
    </row>
    <row r="6029" spans="1:20" x14ac:dyDescent="0.25">
      <c r="A6029" s="1" t="str">
        <f>HYPERLINK("https://vegkart.atlas.vegvesen.no/#/@280947.8,6648559.5,18/hva:hva%5B0%5D%5Bfilter%5D%5B0%5D%5Boperator%5D=%21%3D&amp;hva%5B0%5D%5Bfilter%5D%5B0%5D%5Btype_id%5D=5897&amp;hva%5B0%5D%5Bfilter%5D%5B0%5D%5Bverdi%5D=&amp;hva%5B0%5D%5Bid%5D=47/når:2015-09-15", "Vegkart")</f>
        <v>Vegkart</v>
      </c>
      <c r="B6029">
        <v>633662969</v>
      </c>
      <c r="C6029">
        <v>47</v>
      </c>
      <c r="D6029" t="s">
        <v>16854</v>
      </c>
      <c r="E6029">
        <v>5897</v>
      </c>
      <c r="F6029" t="s">
        <v>23479</v>
      </c>
      <c r="G6029">
        <v>1</v>
      </c>
      <c r="H6029" t="s">
        <v>20091</v>
      </c>
      <c r="J6029" t="s">
        <v>20041</v>
      </c>
      <c r="K6029" t="s">
        <v>132</v>
      </c>
      <c r="L6029" t="s">
        <v>33</v>
      </c>
      <c r="M6029" t="s">
        <v>288</v>
      </c>
      <c r="N6029" t="s">
        <v>20092</v>
      </c>
      <c r="O6029" t="s">
        <v>20093</v>
      </c>
      <c r="P6029" s="2" t="s">
        <v>26</v>
      </c>
      <c r="Q6029" t="s">
        <v>50</v>
      </c>
      <c r="R6029">
        <v>59.68</v>
      </c>
      <c r="S6029">
        <v>59.82</v>
      </c>
      <c r="T6029" t="s">
        <v>20094</v>
      </c>
    </row>
    <row r="6030" spans="1:20" x14ac:dyDescent="0.25">
      <c r="A6030" s="1" t="str">
        <f>HYPERLINK("https://vegkart.atlas.vegvesen.no/#/@112686.8,6476724.1,18/hva:hva%5B0%5D%5Bfilter%5D%5B0%5D%5Boperator%5D=%21%3D&amp;hva%5B0%5D%5Bfilter%5D%5B0%5D%5Btype_id%5D=5897&amp;hva%5B0%5D%5Bfilter%5D%5B0%5D%5Bverdi%5D=&amp;hva%5B0%5D%5Bid%5D=47/når:2015-09-18", "Vegkart")</f>
        <v>Vegkart</v>
      </c>
      <c r="B6030">
        <v>634260885</v>
      </c>
      <c r="C6030">
        <v>47</v>
      </c>
      <c r="D6030" t="s">
        <v>16854</v>
      </c>
      <c r="E6030">
        <v>5897</v>
      </c>
      <c r="F6030" t="s">
        <v>23479</v>
      </c>
      <c r="G6030">
        <v>1</v>
      </c>
      <c r="H6030" t="s">
        <v>20095</v>
      </c>
      <c r="J6030" t="s">
        <v>20096</v>
      </c>
      <c r="K6030" t="s">
        <v>86</v>
      </c>
      <c r="L6030" t="s">
        <v>33</v>
      </c>
      <c r="M6030" t="s">
        <v>20097</v>
      </c>
      <c r="N6030" t="s">
        <v>20098</v>
      </c>
      <c r="O6030" t="s">
        <v>20099</v>
      </c>
      <c r="P6030" s="2" t="s">
        <v>26</v>
      </c>
      <c r="Q6030" t="s">
        <v>50</v>
      </c>
      <c r="R6030">
        <v>51.53</v>
      </c>
      <c r="S6030">
        <v>67.45</v>
      </c>
      <c r="T6030" t="s">
        <v>20100</v>
      </c>
    </row>
    <row r="6031" spans="1:20" x14ac:dyDescent="0.25">
      <c r="A6031" s="1" t="str">
        <f>HYPERLINK("https://vegkart.atlas.vegvesen.no/#/@210013.9,6677542.1,18/hva:hva%5B0%5D%5Bfilter%5D%5B0%5D%5Boperator%5D=%21%3D&amp;hva%5B0%5D%5Bfilter%5D%5B0%5D%5Btype_id%5D=5897&amp;hva%5B0%5D%5Bfilter%5D%5B0%5D%5Bverdi%5D=&amp;hva%5B0%5D%5Bid%5D=47/når:2015-09-21", "Vegkart")</f>
        <v>Vegkart</v>
      </c>
      <c r="B6031">
        <v>634631998</v>
      </c>
      <c r="C6031">
        <v>47</v>
      </c>
      <c r="D6031" t="s">
        <v>16854</v>
      </c>
      <c r="E6031">
        <v>5897</v>
      </c>
      <c r="F6031" t="s">
        <v>23479</v>
      </c>
      <c r="G6031">
        <v>1</v>
      </c>
      <c r="H6031" t="s">
        <v>2047</v>
      </c>
      <c r="J6031" t="s">
        <v>20101</v>
      </c>
      <c r="K6031" t="s">
        <v>307</v>
      </c>
      <c r="L6031" t="s">
        <v>33</v>
      </c>
      <c r="M6031" t="s">
        <v>20102</v>
      </c>
      <c r="N6031" t="s">
        <v>20103</v>
      </c>
      <c r="O6031" t="s">
        <v>20104</v>
      </c>
      <c r="P6031" s="2" t="s">
        <v>26</v>
      </c>
      <c r="Q6031" t="s">
        <v>50</v>
      </c>
      <c r="R6031">
        <v>57.12</v>
      </c>
      <c r="S6031">
        <v>57.64</v>
      </c>
      <c r="T6031" t="s">
        <v>20105</v>
      </c>
    </row>
    <row r="6032" spans="1:20" x14ac:dyDescent="0.25">
      <c r="A6032" s="1" t="str">
        <f>HYPERLINK("https://vegkart.atlas.vegvesen.no/#/@236660.7,6591684.0,18/hva:hva%5B0%5D%5Bfilter%5D%5B0%5D%5Boperator%5D=%21%3D&amp;hva%5B0%5D%5Bfilter%5D%5B0%5D%5Btype_id%5D=5897&amp;hva%5B0%5D%5Bfilter%5D%5B0%5D%5Bverdi%5D=&amp;hva%5B0%5D%5Bid%5D=47/når:2012-06-01", "Vegkart")</f>
        <v>Vegkart</v>
      </c>
      <c r="B6032">
        <v>636169572</v>
      </c>
      <c r="C6032">
        <v>47</v>
      </c>
      <c r="D6032" t="s">
        <v>16854</v>
      </c>
      <c r="E6032">
        <v>5897</v>
      </c>
      <c r="F6032" t="s">
        <v>23479</v>
      </c>
      <c r="G6032">
        <v>1</v>
      </c>
      <c r="H6032" t="s">
        <v>20106</v>
      </c>
      <c r="J6032" t="s">
        <v>20101</v>
      </c>
      <c r="K6032" t="s">
        <v>81</v>
      </c>
      <c r="L6032" t="s">
        <v>33</v>
      </c>
      <c r="M6032" t="s">
        <v>4316</v>
      </c>
      <c r="N6032" t="s">
        <v>20107</v>
      </c>
      <c r="O6032" t="s">
        <v>20108</v>
      </c>
      <c r="P6032" s="2" t="s">
        <v>26</v>
      </c>
      <c r="Q6032" t="s">
        <v>50</v>
      </c>
      <c r="R6032">
        <v>44.84</v>
      </c>
      <c r="S6032">
        <v>45.68</v>
      </c>
      <c r="T6032" t="s">
        <v>20109</v>
      </c>
    </row>
    <row r="6033" spans="1:20" x14ac:dyDescent="0.25">
      <c r="A6033" s="1" t="str">
        <f>HYPERLINK("https://vegkart.atlas.vegvesen.no/#/@-33463.9,6732224.0,18/hva:hva%5B0%5D%5Bfilter%5D%5B0%5D%5Boperator%5D=%21%3D&amp;hva%5B0%5D%5Bfilter%5D%5B0%5D%5Btype_id%5D=5897&amp;hva%5B0%5D%5Bfilter%5D%5B0%5D%5Bverdi%5D=&amp;hva%5B0%5D%5Bid%5D=47/når:2015-10-01", "Vegkart")</f>
        <v>Vegkart</v>
      </c>
      <c r="B6033">
        <v>636525761</v>
      </c>
      <c r="C6033">
        <v>47</v>
      </c>
      <c r="D6033" t="s">
        <v>16854</v>
      </c>
      <c r="E6033">
        <v>5897</v>
      </c>
      <c r="F6033" t="s">
        <v>23479</v>
      </c>
      <c r="G6033">
        <v>1</v>
      </c>
      <c r="H6033" t="s">
        <v>1462</v>
      </c>
      <c r="J6033" t="s">
        <v>20096</v>
      </c>
      <c r="K6033" t="s">
        <v>21</v>
      </c>
      <c r="L6033" t="s">
        <v>33</v>
      </c>
      <c r="M6033" t="s">
        <v>20110</v>
      </c>
      <c r="N6033" t="s">
        <v>20111</v>
      </c>
      <c r="O6033" t="s">
        <v>20112</v>
      </c>
      <c r="P6033" s="2" t="s">
        <v>26</v>
      </c>
      <c r="Q6033" t="s">
        <v>50</v>
      </c>
      <c r="R6033">
        <v>57.45</v>
      </c>
      <c r="S6033">
        <v>57.5</v>
      </c>
      <c r="T6033" t="s">
        <v>20113</v>
      </c>
    </row>
    <row r="6034" spans="1:20" x14ac:dyDescent="0.25">
      <c r="A6034" s="1" t="str">
        <f>HYPERLINK("https://vegkart.atlas.vegvesen.no/#/@28826.3,6812073.0,18/hva:hva%5B0%5D%5Bfilter%5D%5B0%5D%5Boperator%5D=%21%3D&amp;hva%5B0%5D%5Bfilter%5D%5B0%5D%5Btype_id%5D=5897&amp;hva%5B0%5D%5Bfilter%5D%5B0%5D%5Bverdi%5D=&amp;hva%5B0%5D%5Bid%5D=47/når:2024-06-25", "Vegkart")</f>
        <v>Vegkart</v>
      </c>
      <c r="B6034">
        <v>636526025</v>
      </c>
      <c r="C6034">
        <v>47</v>
      </c>
      <c r="D6034" t="s">
        <v>16854</v>
      </c>
      <c r="E6034">
        <v>5897</v>
      </c>
      <c r="F6034" t="s">
        <v>23479</v>
      </c>
      <c r="G6034">
        <v>2</v>
      </c>
      <c r="H6034" t="s">
        <v>8255</v>
      </c>
      <c r="J6034" t="s">
        <v>20096</v>
      </c>
      <c r="K6034" t="s">
        <v>21</v>
      </c>
      <c r="L6034" t="s">
        <v>33</v>
      </c>
      <c r="M6034" t="s">
        <v>179</v>
      </c>
      <c r="N6034" t="s">
        <v>20114</v>
      </c>
      <c r="O6034" t="s">
        <v>20115</v>
      </c>
      <c r="P6034" s="2" t="s">
        <v>165</v>
      </c>
      <c r="Q6034" t="s">
        <v>166</v>
      </c>
      <c r="R6034">
        <v>23.06</v>
      </c>
      <c r="S6034">
        <v>24.19</v>
      </c>
      <c r="T6034" t="s">
        <v>167</v>
      </c>
    </row>
    <row r="6035" spans="1:20" x14ac:dyDescent="0.25">
      <c r="A6035" s="1" t="str">
        <f>HYPERLINK("https://vegkart.atlas.vegvesen.no/#/@246826.7,6636657.7,18/hva:hva%5B0%5D%5Bfilter%5D%5B0%5D%5Boperator%5D=%21%3D&amp;hva%5B0%5D%5Bfilter%5D%5B0%5D%5Btype_id%5D=5897&amp;hva%5B0%5D%5Bfilter%5D%5B0%5D%5Bverdi%5D=&amp;hva%5B0%5D%5Bid%5D=47/når:2015-08-25", "Vegkart")</f>
        <v>Vegkart</v>
      </c>
      <c r="B6035">
        <v>639894114</v>
      </c>
      <c r="C6035">
        <v>47</v>
      </c>
      <c r="D6035" t="s">
        <v>16854</v>
      </c>
      <c r="E6035">
        <v>5897</v>
      </c>
      <c r="F6035" t="s">
        <v>23479</v>
      </c>
      <c r="G6035">
        <v>1</v>
      </c>
      <c r="H6035" t="s">
        <v>9674</v>
      </c>
      <c r="J6035" t="s">
        <v>20096</v>
      </c>
      <c r="K6035" t="s">
        <v>132</v>
      </c>
      <c r="L6035" t="s">
        <v>33</v>
      </c>
      <c r="M6035" t="s">
        <v>6042</v>
      </c>
      <c r="N6035" t="s">
        <v>20116</v>
      </c>
      <c r="O6035" t="s">
        <v>20117</v>
      </c>
      <c r="P6035" s="2" t="s">
        <v>26</v>
      </c>
      <c r="Q6035" t="s">
        <v>50</v>
      </c>
      <c r="R6035">
        <v>60.4</v>
      </c>
      <c r="S6035">
        <v>60.6</v>
      </c>
      <c r="T6035" t="s">
        <v>20118</v>
      </c>
    </row>
    <row r="6036" spans="1:20" x14ac:dyDescent="0.25">
      <c r="A6036" s="1" t="str">
        <f>HYPERLINK("https://vegkart.atlas.vegvesen.no/#/@422764.8,7319968.7,18/hva:hva%5B0%5D%5Bfilter%5D%5B0%5D%5Boperator%5D=%21%3D&amp;hva%5B0%5D%5Bfilter%5D%5B0%5D%5Btype_id%5D=5897&amp;hva%5B0%5D%5Bfilter%5D%5B0%5D%5Bverdi%5D=&amp;hva%5B0%5D%5Bid%5D=47/når:2015-10-12", "Vegkart")</f>
        <v>Vegkart</v>
      </c>
      <c r="B6036">
        <v>640225717</v>
      </c>
      <c r="C6036">
        <v>47</v>
      </c>
      <c r="D6036" t="s">
        <v>16854</v>
      </c>
      <c r="E6036">
        <v>5897</v>
      </c>
      <c r="F6036" t="s">
        <v>23479</v>
      </c>
      <c r="G6036">
        <v>1</v>
      </c>
      <c r="H6036" t="s">
        <v>18558</v>
      </c>
      <c r="J6036" t="s">
        <v>20096</v>
      </c>
      <c r="K6036" t="s">
        <v>53</v>
      </c>
      <c r="L6036" t="s">
        <v>33</v>
      </c>
      <c r="M6036" t="s">
        <v>20119</v>
      </c>
      <c r="N6036" t="s">
        <v>20120</v>
      </c>
      <c r="O6036" t="s">
        <v>20121</v>
      </c>
      <c r="P6036" s="2" t="s">
        <v>26</v>
      </c>
      <c r="Q6036" t="s">
        <v>50</v>
      </c>
      <c r="R6036">
        <v>60.41</v>
      </c>
      <c r="S6036">
        <v>61.44</v>
      </c>
      <c r="T6036" t="s">
        <v>20122</v>
      </c>
    </row>
    <row r="6037" spans="1:20" x14ac:dyDescent="0.25">
      <c r="A6037" s="1" t="str">
        <f>HYPERLINK("https://vegkart.atlas.vegvesen.no/#/@423712.3,7319726.1,18/hva:hva%5B0%5D%5Bfilter%5D%5B0%5D%5Boperator%5D=%21%3D&amp;hva%5B0%5D%5Bfilter%5D%5B0%5D%5Btype_id%5D=5897&amp;hva%5B0%5D%5Bfilter%5D%5B0%5D%5Bverdi%5D=&amp;hva%5B0%5D%5Bid%5D=47/når:2015-10-12", "Vegkart")</f>
        <v>Vegkart</v>
      </c>
      <c r="B6037">
        <v>640225718</v>
      </c>
      <c r="C6037">
        <v>47</v>
      </c>
      <c r="D6037" t="s">
        <v>16854</v>
      </c>
      <c r="E6037">
        <v>5897</v>
      </c>
      <c r="F6037" t="s">
        <v>23479</v>
      </c>
      <c r="G6037">
        <v>1</v>
      </c>
      <c r="H6037" t="s">
        <v>18558</v>
      </c>
      <c r="J6037" t="s">
        <v>20096</v>
      </c>
      <c r="K6037" t="s">
        <v>53</v>
      </c>
      <c r="L6037" t="s">
        <v>33</v>
      </c>
      <c r="M6037" t="s">
        <v>20119</v>
      </c>
      <c r="N6037" t="s">
        <v>20123</v>
      </c>
      <c r="O6037" t="s">
        <v>20124</v>
      </c>
      <c r="P6037" s="2" t="s">
        <v>26</v>
      </c>
      <c r="Q6037" t="s">
        <v>50</v>
      </c>
      <c r="R6037">
        <v>56.92</v>
      </c>
      <c r="S6037">
        <v>57.48</v>
      </c>
      <c r="T6037" t="s">
        <v>20125</v>
      </c>
    </row>
    <row r="6038" spans="1:20" x14ac:dyDescent="0.25">
      <c r="A6038" s="1" t="str">
        <f>HYPERLINK("https://vegkart.atlas.vegvesen.no/#/@425696.4,7319477.9,18/hva:hva%5B0%5D%5Bfilter%5D%5B0%5D%5Boperator%5D=%21%3D&amp;hva%5B0%5D%5Bfilter%5D%5B0%5D%5Btype_id%5D=5897&amp;hva%5B0%5D%5Bfilter%5D%5B0%5D%5Bverdi%5D=&amp;hva%5B0%5D%5Bid%5D=47/når:2015-10-12", "Vegkart")</f>
        <v>Vegkart</v>
      </c>
      <c r="B6038">
        <v>640225719</v>
      </c>
      <c r="C6038">
        <v>47</v>
      </c>
      <c r="D6038" t="s">
        <v>16854</v>
      </c>
      <c r="E6038">
        <v>5897</v>
      </c>
      <c r="F6038" t="s">
        <v>23479</v>
      </c>
      <c r="G6038">
        <v>1</v>
      </c>
      <c r="H6038" t="s">
        <v>18558</v>
      </c>
      <c r="J6038" t="s">
        <v>20096</v>
      </c>
      <c r="K6038" t="s">
        <v>53</v>
      </c>
      <c r="L6038" t="s">
        <v>33</v>
      </c>
      <c r="M6038" t="s">
        <v>20119</v>
      </c>
      <c r="N6038" t="s">
        <v>20126</v>
      </c>
      <c r="O6038" t="s">
        <v>20127</v>
      </c>
      <c r="P6038" s="2" t="s">
        <v>26</v>
      </c>
      <c r="Q6038" t="s">
        <v>50</v>
      </c>
      <c r="R6038">
        <v>64.760000000000005</v>
      </c>
      <c r="S6038">
        <v>65.41</v>
      </c>
      <c r="T6038" t="s">
        <v>20128</v>
      </c>
    </row>
    <row r="6039" spans="1:20" x14ac:dyDescent="0.25">
      <c r="A6039" s="1" t="str">
        <f>HYPERLINK("https://vegkart.atlas.vegvesen.no/#/@425696.5,7319490.7,18/hva:hva%5B0%5D%5Bfilter%5D%5B0%5D%5Boperator%5D=%21%3D&amp;hva%5B0%5D%5Bfilter%5D%5B0%5D%5Btype_id%5D=5897&amp;hva%5B0%5D%5Bfilter%5D%5B0%5D%5Bverdi%5D=&amp;hva%5B0%5D%5Bid%5D=47/når:2015-10-12", "Vegkart")</f>
        <v>Vegkart</v>
      </c>
      <c r="B6039">
        <v>640225720</v>
      </c>
      <c r="C6039">
        <v>47</v>
      </c>
      <c r="D6039" t="s">
        <v>16854</v>
      </c>
      <c r="E6039">
        <v>5897</v>
      </c>
      <c r="F6039" t="s">
        <v>23479</v>
      </c>
      <c r="G6039">
        <v>1</v>
      </c>
      <c r="H6039" t="s">
        <v>18558</v>
      </c>
      <c r="J6039" t="s">
        <v>20096</v>
      </c>
      <c r="K6039" t="s">
        <v>53</v>
      </c>
      <c r="L6039" t="s">
        <v>33</v>
      </c>
      <c r="M6039" t="s">
        <v>20119</v>
      </c>
      <c r="N6039" t="s">
        <v>20129</v>
      </c>
      <c r="O6039" t="s">
        <v>20130</v>
      </c>
      <c r="P6039" s="2" t="s">
        <v>26</v>
      </c>
      <c r="Q6039" t="s">
        <v>50</v>
      </c>
      <c r="R6039">
        <v>64.5</v>
      </c>
      <c r="S6039">
        <v>65.19</v>
      </c>
      <c r="T6039" t="s">
        <v>20131</v>
      </c>
    </row>
    <row r="6040" spans="1:20" x14ac:dyDescent="0.25">
      <c r="A6040" s="1" t="str">
        <f>HYPERLINK("https://vegkart.atlas.vegvesen.no/#/@427441.6,7320651.9,18/hva:hva%5B0%5D%5Bfilter%5D%5B0%5D%5Boperator%5D=%21%3D&amp;hva%5B0%5D%5Bfilter%5D%5B0%5D%5Btype_id%5D=5897&amp;hva%5B0%5D%5Bfilter%5D%5B0%5D%5Bverdi%5D=&amp;hva%5B0%5D%5Bid%5D=47/når:2015-10-12", "Vegkart")</f>
        <v>Vegkart</v>
      </c>
      <c r="B6040">
        <v>640225721</v>
      </c>
      <c r="C6040">
        <v>47</v>
      </c>
      <c r="D6040" t="s">
        <v>16854</v>
      </c>
      <c r="E6040">
        <v>5897</v>
      </c>
      <c r="F6040" t="s">
        <v>23479</v>
      </c>
      <c r="G6040">
        <v>1</v>
      </c>
      <c r="H6040" t="s">
        <v>18558</v>
      </c>
      <c r="J6040" t="s">
        <v>20096</v>
      </c>
      <c r="K6040" t="s">
        <v>53</v>
      </c>
      <c r="L6040" t="s">
        <v>33</v>
      </c>
      <c r="M6040" t="s">
        <v>20119</v>
      </c>
      <c r="N6040" t="s">
        <v>20132</v>
      </c>
      <c r="O6040" t="s">
        <v>20133</v>
      </c>
      <c r="P6040" s="2" t="s">
        <v>26</v>
      </c>
      <c r="Q6040" t="s">
        <v>50</v>
      </c>
      <c r="R6040">
        <v>62.17</v>
      </c>
      <c r="S6040">
        <v>62.89</v>
      </c>
      <c r="T6040" t="s">
        <v>20134</v>
      </c>
    </row>
    <row r="6041" spans="1:20" x14ac:dyDescent="0.25">
      <c r="A6041" s="1" t="str">
        <f>HYPERLINK("https://vegkart.atlas.vegvesen.no/#/@427509.6,7320692.6,18/hva:hva%5B0%5D%5Bfilter%5D%5B0%5D%5Boperator%5D=%21%3D&amp;hva%5B0%5D%5Bfilter%5D%5B0%5D%5Btype_id%5D=5897&amp;hva%5B0%5D%5Bfilter%5D%5B0%5D%5Bverdi%5D=&amp;hva%5B0%5D%5Bid%5D=47/når:2015-10-12", "Vegkart")</f>
        <v>Vegkart</v>
      </c>
      <c r="B6041">
        <v>640225722</v>
      </c>
      <c r="C6041">
        <v>47</v>
      </c>
      <c r="D6041" t="s">
        <v>16854</v>
      </c>
      <c r="E6041">
        <v>5897</v>
      </c>
      <c r="F6041" t="s">
        <v>23479</v>
      </c>
      <c r="G6041">
        <v>1</v>
      </c>
      <c r="H6041" t="s">
        <v>18558</v>
      </c>
      <c r="J6041" t="s">
        <v>20096</v>
      </c>
      <c r="K6041" t="s">
        <v>53</v>
      </c>
      <c r="L6041" t="s">
        <v>33</v>
      </c>
      <c r="M6041" t="s">
        <v>20119</v>
      </c>
      <c r="N6041" t="s">
        <v>20135</v>
      </c>
      <c r="O6041" t="s">
        <v>20136</v>
      </c>
      <c r="P6041" s="2" t="s">
        <v>26</v>
      </c>
      <c r="Q6041" t="s">
        <v>50</v>
      </c>
      <c r="R6041">
        <v>63.28</v>
      </c>
      <c r="S6041">
        <v>64.010000000000005</v>
      </c>
      <c r="T6041" t="s">
        <v>20137</v>
      </c>
    </row>
    <row r="6042" spans="1:20" x14ac:dyDescent="0.25">
      <c r="A6042" s="1" t="str">
        <f>HYPERLINK("https://vegkart.atlas.vegvesen.no/#/@428314.0,7321157.7,18/hva:hva%5B0%5D%5Bfilter%5D%5B0%5D%5Boperator%5D=%21%3D&amp;hva%5B0%5D%5Bfilter%5D%5B0%5D%5Btype_id%5D=5897&amp;hva%5B0%5D%5Bfilter%5D%5B0%5D%5Bverdi%5D=&amp;hva%5B0%5D%5Bid%5D=47/når:2015-10-12", "Vegkart")</f>
        <v>Vegkart</v>
      </c>
      <c r="B6042">
        <v>640225723</v>
      </c>
      <c r="C6042">
        <v>47</v>
      </c>
      <c r="D6042" t="s">
        <v>16854</v>
      </c>
      <c r="E6042">
        <v>5897</v>
      </c>
      <c r="F6042" t="s">
        <v>23479</v>
      </c>
      <c r="G6042">
        <v>1</v>
      </c>
      <c r="H6042" t="s">
        <v>18558</v>
      </c>
      <c r="J6042" t="s">
        <v>20096</v>
      </c>
      <c r="K6042" t="s">
        <v>53</v>
      </c>
      <c r="L6042" t="s">
        <v>33</v>
      </c>
      <c r="M6042" t="s">
        <v>20119</v>
      </c>
      <c r="N6042" t="s">
        <v>20138</v>
      </c>
      <c r="O6042" t="s">
        <v>20139</v>
      </c>
      <c r="P6042" s="2" t="s">
        <v>26</v>
      </c>
      <c r="Q6042" t="s">
        <v>50</v>
      </c>
      <c r="R6042">
        <v>91.12</v>
      </c>
      <c r="S6042">
        <v>91.4</v>
      </c>
      <c r="T6042" t="s">
        <v>20140</v>
      </c>
    </row>
    <row r="6043" spans="1:20" x14ac:dyDescent="0.25">
      <c r="A6043" s="1" t="str">
        <f>HYPERLINK("https://vegkart.atlas.vegvesen.no/#/@423780.0,7319706.4,18/hva:hva%5B0%5D%5Bfilter%5D%5B0%5D%5Boperator%5D=%21%3D&amp;hva%5B0%5D%5Bfilter%5D%5B0%5D%5Btype_id%5D=5897&amp;hva%5B0%5D%5Bfilter%5D%5B0%5D%5Bverdi%5D=&amp;hva%5B0%5D%5Bid%5D=47/når:2015-10-12", "Vegkart")</f>
        <v>Vegkart</v>
      </c>
      <c r="B6043">
        <v>640225724</v>
      </c>
      <c r="C6043">
        <v>47</v>
      </c>
      <c r="D6043" t="s">
        <v>16854</v>
      </c>
      <c r="E6043">
        <v>5897</v>
      </c>
      <c r="F6043" t="s">
        <v>23479</v>
      </c>
      <c r="G6043">
        <v>1</v>
      </c>
      <c r="H6043" t="s">
        <v>18558</v>
      </c>
      <c r="J6043" t="s">
        <v>20096</v>
      </c>
      <c r="K6043" t="s">
        <v>53</v>
      </c>
      <c r="L6043" t="s">
        <v>33</v>
      </c>
      <c r="M6043" t="s">
        <v>20119</v>
      </c>
      <c r="N6043" t="s">
        <v>20141</v>
      </c>
      <c r="O6043" t="s">
        <v>20142</v>
      </c>
      <c r="P6043" s="2" t="s">
        <v>26</v>
      </c>
      <c r="Q6043" t="s">
        <v>50</v>
      </c>
      <c r="R6043">
        <v>59.26</v>
      </c>
      <c r="S6043">
        <v>59.86</v>
      </c>
      <c r="T6043" t="s">
        <v>20143</v>
      </c>
    </row>
    <row r="6044" spans="1:20" x14ac:dyDescent="0.25">
      <c r="A6044" s="1" t="str">
        <f>HYPERLINK("https://vegkart.atlas.vegvesen.no/#/@428231.5,7321133.9,18/hva:hva%5B0%5D%5Bfilter%5D%5B0%5D%5Boperator%5D=%21%3D&amp;hva%5B0%5D%5Bfilter%5D%5B0%5D%5Btype_id%5D=5897&amp;hva%5B0%5D%5Bfilter%5D%5B0%5D%5Bverdi%5D=&amp;hva%5B0%5D%5Bid%5D=47/når:2015-10-12", "Vegkart")</f>
        <v>Vegkart</v>
      </c>
      <c r="B6044">
        <v>640225725</v>
      </c>
      <c r="C6044">
        <v>47</v>
      </c>
      <c r="D6044" t="s">
        <v>16854</v>
      </c>
      <c r="E6044">
        <v>5897</v>
      </c>
      <c r="F6044" t="s">
        <v>23479</v>
      </c>
      <c r="G6044">
        <v>1</v>
      </c>
      <c r="H6044" t="s">
        <v>18558</v>
      </c>
      <c r="J6044" t="s">
        <v>20096</v>
      </c>
      <c r="K6044" t="s">
        <v>53</v>
      </c>
      <c r="L6044" t="s">
        <v>33</v>
      </c>
      <c r="M6044" t="s">
        <v>20119</v>
      </c>
      <c r="N6044" t="s">
        <v>20144</v>
      </c>
      <c r="O6044" t="s">
        <v>20145</v>
      </c>
      <c r="P6044" s="2" t="s">
        <v>26</v>
      </c>
      <c r="Q6044" t="s">
        <v>50</v>
      </c>
      <c r="R6044">
        <v>71.099999999999994</v>
      </c>
      <c r="S6044">
        <v>71.5</v>
      </c>
      <c r="T6044" t="s">
        <v>20146</v>
      </c>
    </row>
    <row r="6045" spans="1:20" x14ac:dyDescent="0.25">
      <c r="A6045" s="1" t="str">
        <f>HYPERLINK("https://vegkart.atlas.vegvesen.no/#/@190473.7,6575215.8,18/hva:hva%5B0%5D%5Bfilter%5D%5B0%5D%5Boperator%5D=%21%3D&amp;hva%5B0%5D%5Bfilter%5D%5B0%5D%5Btype_id%5D=5897&amp;hva%5B0%5D%5Bfilter%5D%5B0%5D%5Bverdi%5D=&amp;hva%5B0%5D%5Bid%5D=47/når:2023-03-20", "Vegkart")</f>
        <v>Vegkart</v>
      </c>
      <c r="B6045">
        <v>640230647</v>
      </c>
      <c r="C6045">
        <v>47</v>
      </c>
      <c r="D6045" t="s">
        <v>16854</v>
      </c>
      <c r="E6045">
        <v>5897</v>
      </c>
      <c r="F6045" t="s">
        <v>23479</v>
      </c>
      <c r="G6045">
        <v>4</v>
      </c>
      <c r="H6045" t="s">
        <v>17981</v>
      </c>
      <c r="J6045" t="s">
        <v>20096</v>
      </c>
      <c r="K6045" t="s">
        <v>197</v>
      </c>
      <c r="L6045" t="s">
        <v>33</v>
      </c>
      <c r="M6045" t="s">
        <v>1902</v>
      </c>
      <c r="N6045" t="s">
        <v>20147</v>
      </c>
      <c r="O6045" t="s">
        <v>20148</v>
      </c>
      <c r="P6045" s="2" t="s">
        <v>165</v>
      </c>
      <c r="Q6045" t="s">
        <v>166</v>
      </c>
      <c r="R6045">
        <v>56.5</v>
      </c>
      <c r="S6045">
        <v>57.47</v>
      </c>
      <c r="T6045" t="s">
        <v>167</v>
      </c>
    </row>
    <row r="6046" spans="1:20" x14ac:dyDescent="0.25">
      <c r="A6046" s="1" t="str">
        <f>HYPERLINK("https://vegkart.atlas.vegvesen.no/#/@78997.1,6464715.9,18/hva:hva%5B0%5D%5Bfilter%5D%5B0%5D%5Boperator%5D=%21%3D&amp;hva%5B0%5D%5Bfilter%5D%5B0%5D%5Btype_id%5D=5897&amp;hva%5B0%5D%5Bfilter%5D%5B0%5D%5Bverdi%5D=&amp;hva%5B0%5D%5Bid%5D=47/når:2016-01-19", "Vegkart")</f>
        <v>Vegkart</v>
      </c>
      <c r="B6046">
        <v>640333742</v>
      </c>
      <c r="C6046">
        <v>47</v>
      </c>
      <c r="D6046" t="s">
        <v>16854</v>
      </c>
      <c r="E6046">
        <v>5897</v>
      </c>
      <c r="F6046" t="s">
        <v>23479</v>
      </c>
      <c r="G6046">
        <v>2</v>
      </c>
      <c r="H6046" t="s">
        <v>20149</v>
      </c>
      <c r="J6046" t="s">
        <v>20096</v>
      </c>
      <c r="K6046" t="s">
        <v>86</v>
      </c>
      <c r="L6046" t="s">
        <v>33</v>
      </c>
      <c r="M6046" t="s">
        <v>19397</v>
      </c>
      <c r="N6046" t="s">
        <v>20150</v>
      </c>
      <c r="O6046" t="s">
        <v>20151</v>
      </c>
      <c r="P6046" s="2" t="s">
        <v>26</v>
      </c>
      <c r="Q6046" t="s">
        <v>50</v>
      </c>
      <c r="R6046">
        <v>93.66</v>
      </c>
      <c r="S6046">
        <v>97.15</v>
      </c>
      <c r="T6046" t="s">
        <v>20152</v>
      </c>
    </row>
    <row r="6047" spans="1:20" x14ac:dyDescent="0.25">
      <c r="A6047" s="1" t="str">
        <f>HYPERLINK("https://vegkart.atlas.vegvesen.no/#/@79017.9,6464711.6,18/hva:hva%5B0%5D%5Bfilter%5D%5B0%5D%5Boperator%5D=%21%3D&amp;hva%5B0%5D%5Bfilter%5D%5B0%5D%5Btype_id%5D=5897&amp;hva%5B0%5D%5Bfilter%5D%5B0%5D%5Bverdi%5D=&amp;hva%5B0%5D%5Bid%5D=47/når:2016-01-19", "Vegkart")</f>
        <v>Vegkart</v>
      </c>
      <c r="B6047">
        <v>640333743</v>
      </c>
      <c r="C6047">
        <v>47</v>
      </c>
      <c r="D6047" t="s">
        <v>16854</v>
      </c>
      <c r="E6047">
        <v>5897</v>
      </c>
      <c r="F6047" t="s">
        <v>23479</v>
      </c>
      <c r="G6047">
        <v>2</v>
      </c>
      <c r="H6047" t="s">
        <v>20149</v>
      </c>
      <c r="J6047" t="s">
        <v>20096</v>
      </c>
      <c r="K6047" t="s">
        <v>86</v>
      </c>
      <c r="L6047" t="s">
        <v>33</v>
      </c>
      <c r="M6047" t="s">
        <v>19397</v>
      </c>
      <c r="N6047" t="s">
        <v>20153</v>
      </c>
      <c r="O6047" t="s">
        <v>20154</v>
      </c>
      <c r="P6047" s="2" t="s">
        <v>26</v>
      </c>
      <c r="Q6047" t="s">
        <v>50</v>
      </c>
      <c r="R6047">
        <v>74.66</v>
      </c>
      <c r="S6047">
        <v>75.38</v>
      </c>
      <c r="T6047" t="s">
        <v>20155</v>
      </c>
    </row>
    <row r="6048" spans="1:20" x14ac:dyDescent="0.25">
      <c r="A6048" s="1" t="str">
        <f>HYPERLINK("https://vegkart.atlas.vegvesen.no/#/@79316.1,6464959.3,18/hva:hva%5B0%5D%5Bfilter%5D%5B0%5D%5Boperator%5D=%21%3D&amp;hva%5B0%5D%5Bfilter%5D%5B0%5D%5Btype_id%5D=5897&amp;hva%5B0%5D%5Bfilter%5D%5B0%5D%5Bverdi%5D=&amp;hva%5B0%5D%5Bid%5D=47/når:2016-01-19", "Vegkart")</f>
        <v>Vegkart</v>
      </c>
      <c r="B6048">
        <v>640333744</v>
      </c>
      <c r="C6048">
        <v>47</v>
      </c>
      <c r="D6048" t="s">
        <v>16854</v>
      </c>
      <c r="E6048">
        <v>5897</v>
      </c>
      <c r="F6048" t="s">
        <v>23479</v>
      </c>
      <c r="G6048">
        <v>2</v>
      </c>
      <c r="H6048" t="s">
        <v>20149</v>
      </c>
      <c r="J6048" t="s">
        <v>20096</v>
      </c>
      <c r="K6048" t="s">
        <v>86</v>
      </c>
      <c r="L6048" t="s">
        <v>33</v>
      </c>
      <c r="M6048" t="s">
        <v>19397</v>
      </c>
      <c r="N6048" t="s">
        <v>20156</v>
      </c>
      <c r="O6048" t="s">
        <v>20157</v>
      </c>
      <c r="P6048" s="2" t="s">
        <v>26</v>
      </c>
      <c r="Q6048" t="s">
        <v>50</v>
      </c>
      <c r="R6048">
        <v>72.19</v>
      </c>
      <c r="S6048">
        <v>73.739999999999995</v>
      </c>
      <c r="T6048" t="s">
        <v>20158</v>
      </c>
    </row>
    <row r="6049" spans="1:20" x14ac:dyDescent="0.25">
      <c r="A6049" s="1" t="str">
        <f>HYPERLINK("https://vegkart.atlas.vegvesen.no/#/@79431.0,6464985.5,18/hva:hva%5B0%5D%5Bfilter%5D%5B0%5D%5Boperator%5D=%21%3D&amp;hva%5B0%5D%5Bfilter%5D%5B0%5D%5Btype_id%5D=5897&amp;hva%5B0%5D%5Bfilter%5D%5B0%5D%5Bverdi%5D=&amp;hva%5B0%5D%5Bid%5D=47/når:2016-01-19", "Vegkart")</f>
        <v>Vegkart</v>
      </c>
      <c r="B6049">
        <v>640333745</v>
      </c>
      <c r="C6049">
        <v>47</v>
      </c>
      <c r="D6049" t="s">
        <v>16854</v>
      </c>
      <c r="E6049">
        <v>5897</v>
      </c>
      <c r="F6049" t="s">
        <v>23479</v>
      </c>
      <c r="G6049">
        <v>2</v>
      </c>
      <c r="H6049" t="s">
        <v>20149</v>
      </c>
      <c r="J6049" t="s">
        <v>20096</v>
      </c>
      <c r="K6049" t="s">
        <v>86</v>
      </c>
      <c r="L6049" t="s">
        <v>33</v>
      </c>
      <c r="M6049" t="s">
        <v>19397</v>
      </c>
      <c r="N6049" t="s">
        <v>20159</v>
      </c>
      <c r="O6049" t="s">
        <v>20160</v>
      </c>
      <c r="P6049" s="2" t="s">
        <v>26</v>
      </c>
      <c r="Q6049" t="s">
        <v>50</v>
      </c>
      <c r="R6049">
        <v>105.32</v>
      </c>
      <c r="S6049">
        <v>111.82</v>
      </c>
      <c r="T6049" t="s">
        <v>20161</v>
      </c>
    </row>
    <row r="6050" spans="1:20" x14ac:dyDescent="0.25">
      <c r="A6050" s="1" t="str">
        <f>HYPERLINK("https://vegkart.atlas.vegvesen.no/#/@76733.5,6462280.8,18/hva:hva%5B0%5D%5Bfilter%5D%5B0%5D%5Boperator%5D=%21%3D&amp;hva%5B0%5D%5Bfilter%5D%5B0%5D%5Btype_id%5D=5897&amp;hva%5B0%5D%5Bfilter%5D%5B0%5D%5Bverdi%5D=&amp;hva%5B0%5D%5Bid%5D=47/når:2015-10-13", "Vegkart")</f>
        <v>Vegkart</v>
      </c>
      <c r="B6050">
        <v>640333746</v>
      </c>
      <c r="C6050">
        <v>47</v>
      </c>
      <c r="D6050" t="s">
        <v>16854</v>
      </c>
      <c r="E6050">
        <v>5897</v>
      </c>
      <c r="F6050" t="s">
        <v>23479</v>
      </c>
      <c r="G6050">
        <v>1</v>
      </c>
      <c r="H6050" t="s">
        <v>20162</v>
      </c>
      <c r="J6050" t="s">
        <v>20096</v>
      </c>
      <c r="K6050" t="s">
        <v>86</v>
      </c>
      <c r="L6050" t="s">
        <v>33</v>
      </c>
      <c r="M6050" t="s">
        <v>19397</v>
      </c>
      <c r="N6050" t="s">
        <v>20163</v>
      </c>
      <c r="O6050" t="s">
        <v>20164</v>
      </c>
      <c r="P6050" s="2" t="s">
        <v>26</v>
      </c>
      <c r="Q6050" t="s">
        <v>50</v>
      </c>
      <c r="R6050">
        <v>90.55</v>
      </c>
      <c r="S6050">
        <v>90.92</v>
      </c>
      <c r="T6050" t="s">
        <v>20165</v>
      </c>
    </row>
    <row r="6051" spans="1:20" x14ac:dyDescent="0.25">
      <c r="A6051" s="1" t="str">
        <f>HYPERLINK("https://vegkart.atlas.vegvesen.no/#/@77465.0,6462697.0,18/hva:hva%5B0%5D%5Bfilter%5D%5B0%5D%5Boperator%5D=%21%3D&amp;hva%5B0%5D%5Bfilter%5D%5B0%5D%5Btype_id%5D=5897&amp;hva%5B0%5D%5Bfilter%5D%5B0%5D%5Bverdi%5D=&amp;hva%5B0%5D%5Bid%5D=47/når:2015-10-13", "Vegkart")</f>
        <v>Vegkart</v>
      </c>
      <c r="B6051">
        <v>640333747</v>
      </c>
      <c r="C6051">
        <v>47</v>
      </c>
      <c r="D6051" t="s">
        <v>16854</v>
      </c>
      <c r="E6051">
        <v>5897</v>
      </c>
      <c r="F6051" t="s">
        <v>23479</v>
      </c>
      <c r="G6051">
        <v>1</v>
      </c>
      <c r="H6051" t="s">
        <v>20162</v>
      </c>
      <c r="J6051" t="s">
        <v>20096</v>
      </c>
      <c r="K6051" t="s">
        <v>86</v>
      </c>
      <c r="L6051" t="s">
        <v>33</v>
      </c>
      <c r="M6051" t="s">
        <v>19397</v>
      </c>
      <c r="N6051" t="s">
        <v>20166</v>
      </c>
      <c r="O6051" t="s">
        <v>20167</v>
      </c>
      <c r="P6051" s="2" t="s">
        <v>26</v>
      </c>
      <c r="Q6051" t="s">
        <v>50</v>
      </c>
      <c r="R6051">
        <v>173.06</v>
      </c>
      <c r="S6051">
        <v>173.46</v>
      </c>
      <c r="T6051" t="s">
        <v>20168</v>
      </c>
    </row>
    <row r="6052" spans="1:20" x14ac:dyDescent="0.25">
      <c r="A6052" s="1" t="str">
        <f>HYPERLINK("https://vegkart.atlas.vegvesen.no/#/@77391.0,6462659.4,18/hva:hva%5B0%5D%5Bfilter%5D%5B0%5D%5Boperator%5D=%21%3D&amp;hva%5B0%5D%5Bfilter%5D%5B0%5D%5Btype_id%5D=5897&amp;hva%5B0%5D%5Bfilter%5D%5B0%5D%5Bverdi%5D=&amp;hva%5B0%5D%5Bid%5D=47/når:2016-01-19", "Vegkart")</f>
        <v>Vegkart</v>
      </c>
      <c r="B6052">
        <v>640333748</v>
      </c>
      <c r="C6052">
        <v>47</v>
      </c>
      <c r="D6052" t="s">
        <v>16854</v>
      </c>
      <c r="E6052">
        <v>5897</v>
      </c>
      <c r="F6052" t="s">
        <v>23479</v>
      </c>
      <c r="G6052">
        <v>2</v>
      </c>
      <c r="H6052" t="s">
        <v>20149</v>
      </c>
      <c r="J6052" t="s">
        <v>20096</v>
      </c>
      <c r="K6052" t="s">
        <v>86</v>
      </c>
      <c r="L6052" t="s">
        <v>33</v>
      </c>
      <c r="M6052" t="s">
        <v>19397</v>
      </c>
      <c r="N6052" t="s">
        <v>20169</v>
      </c>
      <c r="O6052" t="s">
        <v>20170</v>
      </c>
      <c r="P6052" s="2" t="s">
        <v>26</v>
      </c>
      <c r="Q6052" t="s">
        <v>50</v>
      </c>
      <c r="R6052">
        <v>155.32</v>
      </c>
      <c r="S6052">
        <v>155.72</v>
      </c>
      <c r="T6052" t="s">
        <v>20171</v>
      </c>
    </row>
    <row r="6053" spans="1:20" x14ac:dyDescent="0.25">
      <c r="A6053" s="1" t="str">
        <f>HYPERLINK("https://vegkart.atlas.vegvesen.no/#/@78025.4,6463284.1,18/hva:hva%5B0%5D%5Bfilter%5D%5B0%5D%5Boperator%5D=%21%3D&amp;hva%5B0%5D%5Bfilter%5D%5B0%5D%5Btype_id%5D=5897&amp;hva%5B0%5D%5Bfilter%5D%5B0%5D%5Bverdi%5D=&amp;hva%5B0%5D%5Bid%5D=47/når:2016-01-19", "Vegkart")</f>
        <v>Vegkart</v>
      </c>
      <c r="B6053">
        <v>640333749</v>
      </c>
      <c r="C6053">
        <v>47</v>
      </c>
      <c r="D6053" t="s">
        <v>16854</v>
      </c>
      <c r="E6053">
        <v>5897</v>
      </c>
      <c r="F6053" t="s">
        <v>23479</v>
      </c>
      <c r="G6053">
        <v>2</v>
      </c>
      <c r="H6053" t="s">
        <v>20149</v>
      </c>
      <c r="J6053" t="s">
        <v>20096</v>
      </c>
      <c r="K6053" t="s">
        <v>86</v>
      </c>
      <c r="L6053" t="s">
        <v>33</v>
      </c>
      <c r="M6053" t="s">
        <v>19397</v>
      </c>
      <c r="N6053" t="s">
        <v>20172</v>
      </c>
      <c r="O6053" t="s">
        <v>20173</v>
      </c>
      <c r="P6053" s="2" t="s">
        <v>26</v>
      </c>
      <c r="Q6053" t="s">
        <v>50</v>
      </c>
      <c r="R6053">
        <v>113.81</v>
      </c>
      <c r="S6053">
        <v>114.18</v>
      </c>
      <c r="T6053" t="s">
        <v>20174</v>
      </c>
    </row>
    <row r="6054" spans="1:20" x14ac:dyDescent="0.25">
      <c r="A6054" s="1" t="str">
        <f>HYPERLINK("https://vegkart.atlas.vegvesen.no/#/@119731.1,6479988.6,18/hva:hva%5B0%5D%5Bfilter%5D%5B0%5D%5Boperator%5D=%21%3D&amp;hva%5B0%5D%5Bfilter%5D%5B0%5D%5Btype_id%5D=5897&amp;hva%5B0%5D%5Bfilter%5D%5B0%5D%5Bverdi%5D=&amp;hva%5B0%5D%5Bid%5D=47/når:2015-10-14", "Vegkart")</f>
        <v>Vegkart</v>
      </c>
      <c r="B6054">
        <v>640440347</v>
      </c>
      <c r="C6054">
        <v>47</v>
      </c>
      <c r="D6054" t="s">
        <v>16854</v>
      </c>
      <c r="E6054">
        <v>5897</v>
      </c>
      <c r="F6054" t="s">
        <v>23479</v>
      </c>
      <c r="G6054">
        <v>1</v>
      </c>
      <c r="H6054" t="s">
        <v>20175</v>
      </c>
      <c r="J6054" t="s">
        <v>20096</v>
      </c>
      <c r="K6054" t="s">
        <v>86</v>
      </c>
      <c r="L6054" t="s">
        <v>33</v>
      </c>
      <c r="M6054" t="s">
        <v>20176</v>
      </c>
      <c r="N6054" t="s">
        <v>20177</v>
      </c>
      <c r="O6054" t="s">
        <v>20178</v>
      </c>
      <c r="P6054" s="2" t="s">
        <v>26</v>
      </c>
      <c r="Q6054" t="s">
        <v>50</v>
      </c>
      <c r="R6054">
        <v>42.13</v>
      </c>
      <c r="S6054">
        <v>44.25</v>
      </c>
      <c r="T6054" t="s">
        <v>20179</v>
      </c>
    </row>
    <row r="6055" spans="1:20" x14ac:dyDescent="0.25">
      <c r="A6055" s="1" t="str">
        <f>HYPERLINK("https://vegkart.atlas.vegvesen.no/#/@120187.3,6480723.4,18/hva:hva%5B0%5D%5Bfilter%5D%5B0%5D%5Boperator%5D=%21%3D&amp;hva%5B0%5D%5Bfilter%5D%5B0%5D%5Btype_id%5D=5897&amp;hva%5B0%5D%5Bfilter%5D%5B0%5D%5Bverdi%5D=&amp;hva%5B0%5D%5Bid%5D=47/når:2015-10-14", "Vegkart")</f>
        <v>Vegkart</v>
      </c>
      <c r="B6055">
        <v>640440348</v>
      </c>
      <c r="C6055">
        <v>47</v>
      </c>
      <c r="D6055" t="s">
        <v>16854</v>
      </c>
      <c r="E6055">
        <v>5897</v>
      </c>
      <c r="F6055" t="s">
        <v>23479</v>
      </c>
      <c r="G6055">
        <v>1</v>
      </c>
      <c r="H6055" t="s">
        <v>20175</v>
      </c>
      <c r="J6055" t="s">
        <v>20096</v>
      </c>
      <c r="K6055" t="s">
        <v>86</v>
      </c>
      <c r="L6055" t="s">
        <v>33</v>
      </c>
      <c r="M6055" t="s">
        <v>20176</v>
      </c>
      <c r="N6055" t="s">
        <v>20180</v>
      </c>
      <c r="O6055" t="s">
        <v>20181</v>
      </c>
      <c r="P6055" s="2" t="s">
        <v>26</v>
      </c>
      <c r="Q6055" t="s">
        <v>50</v>
      </c>
      <c r="R6055">
        <v>60.69</v>
      </c>
      <c r="S6055">
        <v>62.7</v>
      </c>
      <c r="T6055" t="s">
        <v>20182</v>
      </c>
    </row>
    <row r="6056" spans="1:20" x14ac:dyDescent="0.25">
      <c r="A6056" s="1" t="str">
        <f>HYPERLINK("https://vegkart.atlas.vegvesen.no/#/@120139.3,6480662.9,18/hva:hva%5B0%5D%5Bfilter%5D%5B0%5D%5Boperator%5D=%21%3D&amp;hva%5B0%5D%5Bfilter%5D%5B0%5D%5Btype_id%5D=5897&amp;hva%5B0%5D%5Bfilter%5D%5B0%5D%5Bverdi%5D=&amp;hva%5B0%5D%5Bid%5D=47/når:2015-10-14", "Vegkart")</f>
        <v>Vegkart</v>
      </c>
      <c r="B6056">
        <v>640440349</v>
      </c>
      <c r="C6056">
        <v>47</v>
      </c>
      <c r="D6056" t="s">
        <v>16854</v>
      </c>
      <c r="E6056">
        <v>5897</v>
      </c>
      <c r="F6056" t="s">
        <v>23479</v>
      </c>
      <c r="G6056">
        <v>1</v>
      </c>
      <c r="H6056" t="s">
        <v>20175</v>
      </c>
      <c r="J6056" t="s">
        <v>20096</v>
      </c>
      <c r="K6056" t="s">
        <v>86</v>
      </c>
      <c r="L6056" t="s">
        <v>33</v>
      </c>
      <c r="M6056" t="s">
        <v>20176</v>
      </c>
      <c r="N6056" t="s">
        <v>20183</v>
      </c>
      <c r="O6056" t="s">
        <v>20184</v>
      </c>
      <c r="P6056" s="2" t="s">
        <v>26</v>
      </c>
      <c r="Q6056" t="s">
        <v>50</v>
      </c>
      <c r="R6056">
        <v>65.22</v>
      </c>
      <c r="S6056">
        <v>65.97</v>
      </c>
      <c r="T6056" t="s">
        <v>20185</v>
      </c>
    </row>
    <row r="6057" spans="1:20" x14ac:dyDescent="0.25">
      <c r="A6057" s="1" t="str">
        <f>HYPERLINK("https://vegkart.atlas.vegvesen.no/#/@120064.0,6480378.0,18/hva:hva%5B0%5D%5Bfilter%5D%5B0%5D%5Boperator%5D=%21%3D&amp;hva%5B0%5D%5Bfilter%5D%5B0%5D%5Btype_id%5D=5897&amp;hva%5B0%5D%5Bfilter%5D%5B0%5D%5Bverdi%5D=&amp;hva%5B0%5D%5Bid%5D=47/når:2015-10-14", "Vegkart")</f>
        <v>Vegkart</v>
      </c>
      <c r="B6057">
        <v>640440350</v>
      </c>
      <c r="C6057">
        <v>47</v>
      </c>
      <c r="D6057" t="s">
        <v>16854</v>
      </c>
      <c r="E6057">
        <v>5897</v>
      </c>
      <c r="F6057" t="s">
        <v>23479</v>
      </c>
      <c r="G6057">
        <v>1</v>
      </c>
      <c r="H6057" t="s">
        <v>20175</v>
      </c>
      <c r="J6057" t="s">
        <v>20096</v>
      </c>
      <c r="K6057" t="s">
        <v>86</v>
      </c>
      <c r="L6057" t="s">
        <v>33</v>
      </c>
      <c r="M6057" t="s">
        <v>20176</v>
      </c>
      <c r="N6057" t="s">
        <v>20186</v>
      </c>
      <c r="O6057" t="s">
        <v>20187</v>
      </c>
      <c r="P6057" s="2" t="s">
        <v>26</v>
      </c>
      <c r="Q6057" t="s">
        <v>50</v>
      </c>
      <c r="R6057">
        <v>51.05</v>
      </c>
      <c r="S6057">
        <v>51.74</v>
      </c>
      <c r="T6057" t="s">
        <v>20188</v>
      </c>
    </row>
    <row r="6058" spans="1:20" x14ac:dyDescent="0.25">
      <c r="A6058" s="1" t="str">
        <f>HYPERLINK("https://vegkart.atlas.vegvesen.no/#/@192200.0,6577445.1,18/hva:hva%5B0%5D%5Bfilter%5D%5B0%5D%5Boperator%5D=%21%3D&amp;hva%5B0%5D%5Bfilter%5D%5B0%5D%5Btype_id%5D=5897&amp;hva%5B0%5D%5Bfilter%5D%5B0%5D%5Bverdi%5D=&amp;hva%5B0%5D%5Bid%5D=47/når:2024-11-27", "Vegkart")</f>
        <v>Vegkart</v>
      </c>
      <c r="B6058">
        <v>640440460</v>
      </c>
      <c r="C6058">
        <v>47</v>
      </c>
      <c r="D6058" t="s">
        <v>16854</v>
      </c>
      <c r="E6058">
        <v>5897</v>
      </c>
      <c r="F6058" t="s">
        <v>23479</v>
      </c>
      <c r="G6058">
        <v>4</v>
      </c>
      <c r="H6058" t="s">
        <v>85</v>
      </c>
      <c r="J6058" t="s">
        <v>20096</v>
      </c>
      <c r="K6058" t="s">
        <v>197</v>
      </c>
      <c r="L6058" t="s">
        <v>33</v>
      </c>
      <c r="M6058" t="s">
        <v>1476</v>
      </c>
      <c r="N6058" t="s">
        <v>20189</v>
      </c>
      <c r="O6058" t="s">
        <v>20190</v>
      </c>
      <c r="P6058" s="2" t="s">
        <v>165</v>
      </c>
      <c r="Q6058" t="s">
        <v>166</v>
      </c>
      <c r="R6058">
        <v>43.67</v>
      </c>
      <c r="S6058">
        <v>43.72</v>
      </c>
      <c r="T6058" t="s">
        <v>167</v>
      </c>
    </row>
    <row r="6059" spans="1:20" x14ac:dyDescent="0.25">
      <c r="A6059" s="1" t="str">
        <f>HYPERLINK("https://vegkart.atlas.vegvesen.no/#/@127446.5,6487580.4,18/hva:hva%5B0%5D%5Bfilter%5D%5B0%5D%5Boperator%5D=%21%3D&amp;hva%5B0%5D%5Bfilter%5D%5B0%5D%5Btype_id%5D=5897&amp;hva%5B0%5D%5Bfilter%5D%5B0%5D%5Bverdi%5D=&amp;hva%5B0%5D%5Bid%5D=47/når:2015-10-19", "Vegkart")</f>
        <v>Vegkart</v>
      </c>
      <c r="B6059">
        <v>641684398</v>
      </c>
      <c r="C6059">
        <v>47</v>
      </c>
      <c r="D6059" t="s">
        <v>16854</v>
      </c>
      <c r="E6059">
        <v>5897</v>
      </c>
      <c r="F6059" t="s">
        <v>23479</v>
      </c>
      <c r="G6059">
        <v>1</v>
      </c>
      <c r="H6059" t="s">
        <v>20191</v>
      </c>
      <c r="J6059" t="s">
        <v>20096</v>
      </c>
      <c r="K6059" t="s">
        <v>86</v>
      </c>
      <c r="L6059" t="s">
        <v>33</v>
      </c>
      <c r="M6059" t="s">
        <v>19012</v>
      </c>
      <c r="N6059" t="s">
        <v>20192</v>
      </c>
      <c r="O6059" t="s">
        <v>20193</v>
      </c>
      <c r="P6059" s="2" t="s">
        <v>26</v>
      </c>
      <c r="Q6059" t="s">
        <v>50</v>
      </c>
      <c r="R6059">
        <v>47.96</v>
      </c>
      <c r="S6059">
        <v>48.55</v>
      </c>
      <c r="T6059" t="s">
        <v>20194</v>
      </c>
    </row>
    <row r="6060" spans="1:20" x14ac:dyDescent="0.25">
      <c r="A6060" s="1" t="str">
        <f>HYPERLINK("https://vegkart.atlas.vegvesen.no/#/@123046.8,6484782.5,18/hva:hva%5B0%5D%5Bfilter%5D%5B0%5D%5Boperator%5D=%21%3D&amp;hva%5B0%5D%5Bfilter%5D%5B0%5D%5Btype_id%5D=5897&amp;hva%5B0%5D%5Bfilter%5D%5B0%5D%5Bverdi%5D=&amp;hva%5B0%5D%5Bid%5D=47/når:2015-10-21", "Vegkart")</f>
        <v>Vegkart</v>
      </c>
      <c r="B6060">
        <v>642169412</v>
      </c>
      <c r="C6060">
        <v>47</v>
      </c>
      <c r="D6060" t="s">
        <v>16854</v>
      </c>
      <c r="E6060">
        <v>5897</v>
      </c>
      <c r="F6060" t="s">
        <v>23479</v>
      </c>
      <c r="G6060">
        <v>1</v>
      </c>
      <c r="H6060" t="s">
        <v>20195</v>
      </c>
      <c r="J6060" t="s">
        <v>20096</v>
      </c>
      <c r="K6060" t="s">
        <v>86</v>
      </c>
      <c r="L6060" t="s">
        <v>33</v>
      </c>
      <c r="M6060" t="s">
        <v>20176</v>
      </c>
      <c r="N6060" t="s">
        <v>20196</v>
      </c>
      <c r="O6060" t="s">
        <v>20197</v>
      </c>
      <c r="P6060" s="2" t="s">
        <v>26</v>
      </c>
      <c r="Q6060" t="s">
        <v>50</v>
      </c>
      <c r="R6060">
        <v>63.39</v>
      </c>
      <c r="S6060">
        <v>63.95</v>
      </c>
      <c r="T6060" t="s">
        <v>20198</v>
      </c>
    </row>
    <row r="6061" spans="1:20" x14ac:dyDescent="0.25">
      <c r="A6061" s="1" t="str">
        <f>HYPERLINK("https://vegkart.atlas.vegvesen.no/#/@123038.0,6484790.8,18/hva:hva%5B0%5D%5Bfilter%5D%5B0%5D%5Boperator%5D=%21%3D&amp;hva%5B0%5D%5Bfilter%5D%5B0%5D%5Btype_id%5D=5897&amp;hva%5B0%5D%5Bfilter%5D%5B0%5D%5Bverdi%5D=&amp;hva%5B0%5D%5Bid%5D=47/når:2015-10-21", "Vegkart")</f>
        <v>Vegkart</v>
      </c>
      <c r="B6061">
        <v>642169413</v>
      </c>
      <c r="C6061">
        <v>47</v>
      </c>
      <c r="D6061" t="s">
        <v>16854</v>
      </c>
      <c r="E6061">
        <v>5897</v>
      </c>
      <c r="F6061" t="s">
        <v>23479</v>
      </c>
      <c r="G6061">
        <v>1</v>
      </c>
      <c r="H6061" t="s">
        <v>20195</v>
      </c>
      <c r="J6061" t="s">
        <v>20096</v>
      </c>
      <c r="K6061" t="s">
        <v>86</v>
      </c>
      <c r="L6061" t="s">
        <v>33</v>
      </c>
      <c r="M6061" t="s">
        <v>20176</v>
      </c>
      <c r="N6061" t="s">
        <v>20199</v>
      </c>
      <c r="O6061" t="s">
        <v>20200</v>
      </c>
      <c r="P6061" s="2" t="s">
        <v>26</v>
      </c>
      <c r="Q6061" t="s">
        <v>50</v>
      </c>
      <c r="R6061">
        <v>36.78</v>
      </c>
      <c r="S6061">
        <v>37</v>
      </c>
      <c r="T6061" t="s">
        <v>20201</v>
      </c>
    </row>
    <row r="6062" spans="1:20" x14ac:dyDescent="0.25">
      <c r="A6062" s="1" t="str">
        <f>HYPERLINK("https://vegkart.atlas.vegvesen.no/#/@231024.4,6631595.3,18/hva:hva%5B0%5D%5Bfilter%5D%5B0%5D%5Boperator%5D=%21%3D&amp;hva%5B0%5D%5Bfilter%5D%5B0%5D%5Btype_id%5D=5897&amp;hva%5B0%5D%5Bfilter%5D%5B0%5D%5Bverdi%5D=&amp;hva%5B0%5D%5Bid%5D=47/når:2015-10-21", "Vegkart")</f>
        <v>Vegkart</v>
      </c>
      <c r="B6062">
        <v>642370011</v>
      </c>
      <c r="C6062">
        <v>47</v>
      </c>
      <c r="D6062" t="s">
        <v>16854</v>
      </c>
      <c r="E6062">
        <v>5897</v>
      </c>
      <c r="F6062" t="s">
        <v>23479</v>
      </c>
      <c r="G6062">
        <v>1</v>
      </c>
      <c r="H6062" t="s">
        <v>20195</v>
      </c>
      <c r="J6062" t="s">
        <v>20096</v>
      </c>
      <c r="K6062" t="s">
        <v>307</v>
      </c>
      <c r="L6062" t="s">
        <v>33</v>
      </c>
      <c r="M6062" t="s">
        <v>1403</v>
      </c>
      <c r="N6062" t="s">
        <v>20202</v>
      </c>
      <c r="O6062" t="s">
        <v>20203</v>
      </c>
      <c r="P6062" s="2" t="s">
        <v>26</v>
      </c>
      <c r="Q6062" t="s">
        <v>50</v>
      </c>
      <c r="R6062">
        <v>23.91</v>
      </c>
      <c r="S6062">
        <v>24.97</v>
      </c>
      <c r="T6062" t="s">
        <v>20204</v>
      </c>
    </row>
    <row r="6063" spans="1:20" x14ac:dyDescent="0.25">
      <c r="A6063" s="1" t="str">
        <f>HYPERLINK("https://vegkart.atlas.vegvesen.no/#/@231000.8,6631613.5,18/hva:hva%5B0%5D%5Bfilter%5D%5B0%5D%5Boperator%5D=%21%3D&amp;hva%5B0%5D%5Bfilter%5D%5B0%5D%5Btype_id%5D=5897&amp;hva%5B0%5D%5Bfilter%5D%5B0%5D%5Bverdi%5D=&amp;hva%5B0%5D%5Bid%5D=47/når:2019-07-25", "Vegkart")</f>
        <v>Vegkart</v>
      </c>
      <c r="B6063">
        <v>642370012</v>
      </c>
      <c r="C6063">
        <v>47</v>
      </c>
      <c r="D6063" t="s">
        <v>16854</v>
      </c>
      <c r="E6063">
        <v>5897</v>
      </c>
      <c r="F6063" t="s">
        <v>23479</v>
      </c>
      <c r="G6063">
        <v>2</v>
      </c>
      <c r="H6063" t="s">
        <v>20205</v>
      </c>
      <c r="J6063" t="s">
        <v>20096</v>
      </c>
      <c r="K6063" t="s">
        <v>307</v>
      </c>
      <c r="L6063" t="s">
        <v>33</v>
      </c>
      <c r="M6063" t="s">
        <v>1403</v>
      </c>
      <c r="N6063" t="s">
        <v>20206</v>
      </c>
      <c r="O6063" t="s">
        <v>20207</v>
      </c>
      <c r="P6063" s="2" t="s">
        <v>37</v>
      </c>
      <c r="Q6063" t="s">
        <v>1208</v>
      </c>
      <c r="R6063">
        <v>19.3</v>
      </c>
      <c r="S6063">
        <v>20.309999999999999</v>
      </c>
      <c r="T6063" t="s">
        <v>20208</v>
      </c>
    </row>
    <row r="6064" spans="1:20" x14ac:dyDescent="0.25">
      <c r="A6064" s="1" t="str">
        <f>HYPERLINK("https://vegkart.atlas.vegvesen.no/#/@230933.0,6631664.9,18/hva:hva%5B0%5D%5Bfilter%5D%5B0%5D%5Boperator%5D=%21%3D&amp;hva%5B0%5D%5Bfilter%5D%5B0%5D%5Btype_id%5D=5897&amp;hva%5B0%5D%5Bfilter%5D%5B0%5D%5Bverdi%5D=&amp;hva%5B0%5D%5Bid%5D=47/når:2019-07-25", "Vegkart")</f>
        <v>Vegkart</v>
      </c>
      <c r="B6064">
        <v>642370013</v>
      </c>
      <c r="C6064">
        <v>47</v>
      </c>
      <c r="D6064" t="s">
        <v>16854</v>
      </c>
      <c r="E6064">
        <v>5897</v>
      </c>
      <c r="F6064" t="s">
        <v>23479</v>
      </c>
      <c r="G6064">
        <v>2</v>
      </c>
      <c r="H6064" t="s">
        <v>20205</v>
      </c>
      <c r="J6064" t="s">
        <v>20096</v>
      </c>
      <c r="K6064" t="s">
        <v>307</v>
      </c>
      <c r="L6064" t="s">
        <v>33</v>
      </c>
      <c r="M6064" t="s">
        <v>1403</v>
      </c>
      <c r="N6064" t="s">
        <v>20209</v>
      </c>
      <c r="O6064" t="s">
        <v>20210</v>
      </c>
      <c r="P6064" s="2" t="s">
        <v>26</v>
      </c>
      <c r="Q6064" t="s">
        <v>50</v>
      </c>
      <c r="R6064">
        <v>31.58</v>
      </c>
      <c r="S6064">
        <v>32.659999999999997</v>
      </c>
      <c r="T6064" t="s">
        <v>20211</v>
      </c>
    </row>
    <row r="6065" spans="1:20" x14ac:dyDescent="0.25">
      <c r="A6065" s="1" t="str">
        <f>HYPERLINK("https://vegkart.atlas.vegvesen.no/#/@132349.4,6492407.8,18/hva:hva%5B0%5D%5Bfilter%5D%5B0%5D%5Boperator%5D=%21%3D&amp;hva%5B0%5D%5Bfilter%5D%5B0%5D%5Btype_id%5D=5897&amp;hva%5B0%5D%5Bfilter%5D%5B0%5D%5Bverdi%5D=&amp;hva%5B0%5D%5Bid%5D=47/når:2015-10-27", "Vegkart")</f>
        <v>Vegkart</v>
      </c>
      <c r="B6065">
        <v>642646444</v>
      </c>
      <c r="C6065">
        <v>47</v>
      </c>
      <c r="D6065" t="s">
        <v>16854</v>
      </c>
      <c r="E6065">
        <v>5897</v>
      </c>
      <c r="F6065" t="s">
        <v>23479</v>
      </c>
      <c r="G6065">
        <v>1</v>
      </c>
      <c r="H6065" t="s">
        <v>20212</v>
      </c>
      <c r="J6065" t="s">
        <v>20096</v>
      </c>
      <c r="K6065" t="s">
        <v>86</v>
      </c>
      <c r="L6065" t="s">
        <v>33</v>
      </c>
      <c r="M6065" t="s">
        <v>20176</v>
      </c>
      <c r="N6065" t="s">
        <v>20213</v>
      </c>
      <c r="O6065" t="s">
        <v>20214</v>
      </c>
      <c r="P6065" s="2" t="s">
        <v>165</v>
      </c>
      <c r="Q6065" t="s">
        <v>641</v>
      </c>
      <c r="R6065">
        <v>1.93</v>
      </c>
      <c r="S6065">
        <v>192.3</v>
      </c>
      <c r="T6065" t="s">
        <v>167</v>
      </c>
    </row>
    <row r="6066" spans="1:20" x14ac:dyDescent="0.25">
      <c r="A6066" s="1" t="str">
        <f>HYPERLINK("https://vegkart.atlas.vegvesen.no/#/@192383.3,6577500.7,18/hva:hva%5B0%5D%5Bfilter%5D%5B0%5D%5Boperator%5D=%21%3D&amp;hva%5B0%5D%5Bfilter%5D%5B0%5D%5Btype_id%5D=5897&amp;hva%5B0%5D%5Bfilter%5D%5B0%5D%5Bverdi%5D=&amp;hva%5B0%5D%5Bid%5D=47/når:2022-11-30", "Vegkart")</f>
        <v>Vegkart</v>
      </c>
      <c r="B6066">
        <v>642929350</v>
      </c>
      <c r="C6066">
        <v>47</v>
      </c>
      <c r="D6066" t="s">
        <v>16854</v>
      </c>
      <c r="E6066">
        <v>5897</v>
      </c>
      <c r="F6066" t="s">
        <v>23479</v>
      </c>
      <c r="G6066">
        <v>3</v>
      </c>
      <c r="H6066" t="s">
        <v>17992</v>
      </c>
      <c r="J6066" t="s">
        <v>20096</v>
      </c>
      <c r="K6066" t="s">
        <v>197</v>
      </c>
      <c r="L6066" t="s">
        <v>33</v>
      </c>
      <c r="M6066" t="s">
        <v>132</v>
      </c>
      <c r="N6066" t="s">
        <v>20215</v>
      </c>
      <c r="O6066" t="s">
        <v>20216</v>
      </c>
      <c r="P6066" s="2" t="s">
        <v>37</v>
      </c>
      <c r="Q6066" t="s">
        <v>1208</v>
      </c>
      <c r="R6066">
        <v>0</v>
      </c>
      <c r="S6066">
        <v>138.62</v>
      </c>
      <c r="T6066" t="s">
        <v>20217</v>
      </c>
    </row>
    <row r="6067" spans="1:20" x14ac:dyDescent="0.25">
      <c r="A6067" s="1" t="str">
        <f>HYPERLINK("https://vegkart.atlas.vegvesen.no/#/@192392.7,6577606.8,18/hva:hva%5B0%5D%5Bfilter%5D%5B0%5D%5Boperator%5D=%21%3D&amp;hva%5B0%5D%5Bfilter%5D%5B0%5D%5Btype_id%5D=5897&amp;hva%5B0%5D%5Bfilter%5D%5B0%5D%5Bverdi%5D=&amp;hva%5B0%5D%5Bid%5D=47/når:2022-11-30", "Vegkart")</f>
        <v>Vegkart</v>
      </c>
      <c r="B6067">
        <v>642929351</v>
      </c>
      <c r="C6067">
        <v>47</v>
      </c>
      <c r="D6067" t="s">
        <v>16854</v>
      </c>
      <c r="E6067">
        <v>5897</v>
      </c>
      <c r="F6067" t="s">
        <v>23479</v>
      </c>
      <c r="G6067">
        <v>3</v>
      </c>
      <c r="H6067" t="s">
        <v>17992</v>
      </c>
      <c r="J6067" t="s">
        <v>20096</v>
      </c>
      <c r="K6067" t="s">
        <v>197</v>
      </c>
      <c r="L6067" t="s">
        <v>33</v>
      </c>
      <c r="M6067" t="s">
        <v>132</v>
      </c>
      <c r="N6067" t="s">
        <v>20218</v>
      </c>
      <c r="O6067" t="s">
        <v>20219</v>
      </c>
      <c r="P6067" s="2" t="s">
        <v>37</v>
      </c>
      <c r="Q6067" t="s">
        <v>1208</v>
      </c>
      <c r="R6067">
        <v>0</v>
      </c>
      <c r="S6067">
        <v>151.82</v>
      </c>
      <c r="T6067" t="s">
        <v>20220</v>
      </c>
    </row>
    <row r="6068" spans="1:20" x14ac:dyDescent="0.25">
      <c r="A6068" s="1" t="str">
        <f>HYPERLINK("https://vegkart.atlas.vegvesen.no/#/@193611.1,6574320.3,18/hva:hva%5B0%5D%5Bfilter%5D%5B0%5D%5Boperator%5D=%21%3D&amp;hva%5B0%5D%5Bfilter%5D%5B0%5D%5Btype_id%5D=5897&amp;hva%5B0%5D%5Bfilter%5D%5B0%5D%5Bverdi%5D=&amp;hva%5B0%5D%5Bid%5D=47/når:2022-11-30", "Vegkart")</f>
        <v>Vegkart</v>
      </c>
      <c r="B6068">
        <v>643075936</v>
      </c>
      <c r="C6068">
        <v>47</v>
      </c>
      <c r="D6068" t="s">
        <v>16854</v>
      </c>
      <c r="E6068">
        <v>5897</v>
      </c>
      <c r="F6068" t="s">
        <v>23479</v>
      </c>
      <c r="G6068">
        <v>2</v>
      </c>
      <c r="H6068" t="s">
        <v>17992</v>
      </c>
      <c r="J6068" t="s">
        <v>20096</v>
      </c>
      <c r="K6068" t="s">
        <v>197</v>
      </c>
      <c r="L6068" t="s">
        <v>33</v>
      </c>
      <c r="M6068" t="s">
        <v>1481</v>
      </c>
      <c r="N6068" t="s">
        <v>20221</v>
      </c>
      <c r="O6068" t="s">
        <v>20222</v>
      </c>
      <c r="P6068" s="2" t="s">
        <v>37</v>
      </c>
      <c r="Q6068" t="s">
        <v>1208</v>
      </c>
      <c r="R6068">
        <v>0</v>
      </c>
      <c r="S6068">
        <v>110.88</v>
      </c>
      <c r="T6068" t="s">
        <v>20223</v>
      </c>
    </row>
    <row r="6069" spans="1:20" x14ac:dyDescent="0.25">
      <c r="A6069" s="1" t="str">
        <f>HYPERLINK("https://vegkart.atlas.vegvesen.no/#/@193652.5,6574243.0,18/hva:hva%5B0%5D%5Bfilter%5D%5B0%5D%5Boperator%5D=%21%3D&amp;hva%5B0%5D%5Bfilter%5D%5B0%5D%5Btype_id%5D=5897&amp;hva%5B0%5D%5Bfilter%5D%5B0%5D%5Bverdi%5D=&amp;hva%5B0%5D%5Bid%5D=47/når:2023-03-20", "Vegkart")</f>
        <v>Vegkart</v>
      </c>
      <c r="B6069">
        <v>643075937</v>
      </c>
      <c r="C6069">
        <v>47</v>
      </c>
      <c r="D6069" t="s">
        <v>16854</v>
      </c>
      <c r="E6069">
        <v>5897</v>
      </c>
      <c r="F6069" t="s">
        <v>23479</v>
      </c>
      <c r="G6069">
        <v>3</v>
      </c>
      <c r="H6069" t="s">
        <v>17981</v>
      </c>
      <c r="J6069" t="s">
        <v>20096</v>
      </c>
      <c r="K6069" t="s">
        <v>197</v>
      </c>
      <c r="L6069" t="s">
        <v>33</v>
      </c>
      <c r="M6069" t="s">
        <v>1481</v>
      </c>
      <c r="N6069" t="s">
        <v>20224</v>
      </c>
      <c r="O6069" t="s">
        <v>20225</v>
      </c>
      <c r="P6069" s="2" t="s">
        <v>165</v>
      </c>
      <c r="Q6069" t="s">
        <v>166</v>
      </c>
      <c r="R6069">
        <v>0</v>
      </c>
      <c r="S6069">
        <v>76.650000000000006</v>
      </c>
      <c r="T6069" t="s">
        <v>167</v>
      </c>
    </row>
    <row r="6070" spans="1:20" x14ac:dyDescent="0.25">
      <c r="A6070" s="1" t="str">
        <f>HYPERLINK("https://vegkart.atlas.vegvesen.no/#/@198200.2,6582146.7,18/hva:hva%5B0%5D%5Bfilter%5D%5B0%5D%5Boperator%5D=%21%3D&amp;hva%5B0%5D%5Bfilter%5D%5B0%5D%5Btype_id%5D=5897&amp;hva%5B0%5D%5Bfilter%5D%5B0%5D%5Bverdi%5D=&amp;hva%5B0%5D%5Bid%5D=47/når:2022-11-30", "Vegkart")</f>
        <v>Vegkart</v>
      </c>
      <c r="B6070">
        <v>643362332</v>
      </c>
      <c r="C6070">
        <v>47</v>
      </c>
      <c r="D6070" t="s">
        <v>16854</v>
      </c>
      <c r="E6070">
        <v>5897</v>
      </c>
      <c r="F6070" t="s">
        <v>23479</v>
      </c>
      <c r="G6070">
        <v>2</v>
      </c>
      <c r="H6070" t="s">
        <v>17992</v>
      </c>
      <c r="J6070" t="s">
        <v>20096</v>
      </c>
      <c r="K6070" t="s">
        <v>197</v>
      </c>
      <c r="L6070" t="s">
        <v>33</v>
      </c>
      <c r="M6070" t="s">
        <v>132</v>
      </c>
      <c r="N6070" t="s">
        <v>20226</v>
      </c>
      <c r="O6070" t="s">
        <v>20227</v>
      </c>
      <c r="P6070" s="2" t="s">
        <v>37</v>
      </c>
      <c r="Q6070" t="s">
        <v>1208</v>
      </c>
      <c r="R6070">
        <v>0</v>
      </c>
      <c r="S6070">
        <v>91.09</v>
      </c>
      <c r="T6070" t="s">
        <v>20228</v>
      </c>
    </row>
    <row r="6071" spans="1:20" x14ac:dyDescent="0.25">
      <c r="A6071" s="1" t="str">
        <f>HYPERLINK("https://vegkart.atlas.vegvesen.no/#/@198215.4,6582205.0,18/hva:hva%5B0%5D%5Bfilter%5D%5B0%5D%5Boperator%5D=%21%3D&amp;hva%5B0%5D%5Bfilter%5D%5B0%5D%5Btype_id%5D=5897&amp;hva%5B0%5D%5Bfilter%5D%5B0%5D%5Bverdi%5D=&amp;hva%5B0%5D%5Bid%5D=47/når:2022-11-30", "Vegkart")</f>
        <v>Vegkart</v>
      </c>
      <c r="B6071">
        <v>643362333</v>
      </c>
      <c r="C6071">
        <v>47</v>
      </c>
      <c r="D6071" t="s">
        <v>16854</v>
      </c>
      <c r="E6071">
        <v>5897</v>
      </c>
      <c r="F6071" t="s">
        <v>23479</v>
      </c>
      <c r="G6071">
        <v>2</v>
      </c>
      <c r="H6071" t="s">
        <v>17992</v>
      </c>
      <c r="J6071" t="s">
        <v>20096</v>
      </c>
      <c r="K6071" t="s">
        <v>197</v>
      </c>
      <c r="L6071" t="s">
        <v>33</v>
      </c>
      <c r="M6071" t="s">
        <v>132</v>
      </c>
      <c r="N6071" t="s">
        <v>20229</v>
      </c>
      <c r="O6071" t="s">
        <v>20230</v>
      </c>
      <c r="P6071" s="2" t="s">
        <v>37</v>
      </c>
      <c r="Q6071" t="s">
        <v>1208</v>
      </c>
      <c r="R6071">
        <v>0</v>
      </c>
      <c r="S6071">
        <v>92.64</v>
      </c>
      <c r="T6071" t="s">
        <v>20231</v>
      </c>
    </row>
    <row r="6072" spans="1:20" x14ac:dyDescent="0.25">
      <c r="A6072" s="1" t="str">
        <f>HYPERLINK("https://vegkart.atlas.vegvesen.no/#/@198250.4,6582515.5,18/hva:hva%5B0%5D%5Bfilter%5D%5B0%5D%5Boperator%5D=%21%3D&amp;hva%5B0%5D%5Bfilter%5D%5B0%5D%5Btype_id%5D=5897&amp;hva%5B0%5D%5Bfilter%5D%5B0%5D%5Bverdi%5D=&amp;hva%5B0%5D%5Bid%5D=47/når:2022-11-30", "Vegkart")</f>
        <v>Vegkart</v>
      </c>
      <c r="B6072">
        <v>643362334</v>
      </c>
      <c r="C6072">
        <v>47</v>
      </c>
      <c r="D6072" t="s">
        <v>16854</v>
      </c>
      <c r="E6072">
        <v>5897</v>
      </c>
      <c r="F6072" t="s">
        <v>23479</v>
      </c>
      <c r="G6072">
        <v>2</v>
      </c>
      <c r="H6072" t="s">
        <v>17992</v>
      </c>
      <c r="J6072" t="s">
        <v>20096</v>
      </c>
      <c r="K6072" t="s">
        <v>197</v>
      </c>
      <c r="L6072" t="s">
        <v>33</v>
      </c>
      <c r="M6072" t="s">
        <v>132</v>
      </c>
      <c r="N6072" t="s">
        <v>20232</v>
      </c>
      <c r="O6072" t="s">
        <v>20233</v>
      </c>
      <c r="P6072" s="2" t="s">
        <v>37</v>
      </c>
      <c r="Q6072" t="s">
        <v>1208</v>
      </c>
      <c r="R6072">
        <v>0</v>
      </c>
      <c r="S6072">
        <v>138.21</v>
      </c>
      <c r="T6072" t="s">
        <v>20234</v>
      </c>
    </row>
    <row r="6073" spans="1:20" x14ac:dyDescent="0.25">
      <c r="A6073" s="1" t="str">
        <f>HYPERLINK("https://vegkart.atlas.vegvesen.no/#/@198257.8,6582658.2,18/hva:hva%5B0%5D%5Bfilter%5D%5B0%5D%5Boperator%5D=%21%3D&amp;hva%5B0%5D%5Bfilter%5D%5B0%5D%5Btype_id%5D=5897&amp;hva%5B0%5D%5Bfilter%5D%5B0%5D%5Bverdi%5D=&amp;hva%5B0%5D%5Bid%5D=47/når:2022-11-30", "Vegkart")</f>
        <v>Vegkart</v>
      </c>
      <c r="B6073">
        <v>643362335</v>
      </c>
      <c r="C6073">
        <v>47</v>
      </c>
      <c r="D6073" t="s">
        <v>16854</v>
      </c>
      <c r="E6073">
        <v>5897</v>
      </c>
      <c r="F6073" t="s">
        <v>23479</v>
      </c>
      <c r="G6073">
        <v>2</v>
      </c>
      <c r="H6073" t="s">
        <v>17992</v>
      </c>
      <c r="J6073" t="s">
        <v>20096</v>
      </c>
      <c r="K6073" t="s">
        <v>197</v>
      </c>
      <c r="L6073" t="s">
        <v>33</v>
      </c>
      <c r="M6073" t="s">
        <v>132</v>
      </c>
      <c r="N6073" t="s">
        <v>20235</v>
      </c>
      <c r="O6073" t="s">
        <v>20236</v>
      </c>
      <c r="P6073" s="2" t="s">
        <v>37</v>
      </c>
      <c r="Q6073" t="s">
        <v>1208</v>
      </c>
      <c r="R6073">
        <v>0</v>
      </c>
      <c r="S6073">
        <v>132.02000000000001</v>
      </c>
      <c r="T6073" t="s">
        <v>20237</v>
      </c>
    </row>
    <row r="6074" spans="1:20" x14ac:dyDescent="0.25">
      <c r="A6074" s="1" t="str">
        <f>HYPERLINK("https://vegkart.atlas.vegvesen.no/#/@270138.9,7038077.3,18/hva:hva%5B0%5D%5Bfilter%5D%5B0%5D%5Boperator%5D=%21%3D&amp;hva%5B0%5D%5Bfilter%5D%5B0%5D%5Btype_id%5D=5897&amp;hva%5B0%5D%5Bfilter%5D%5B0%5D%5Bverdi%5D=&amp;hva%5B0%5D%5Bid%5D=47/når:2015-11-06", "Vegkart")</f>
        <v>Vegkart</v>
      </c>
      <c r="B6074">
        <v>644027734</v>
      </c>
      <c r="C6074">
        <v>47</v>
      </c>
      <c r="D6074" t="s">
        <v>16854</v>
      </c>
      <c r="E6074">
        <v>5897</v>
      </c>
      <c r="F6074" t="s">
        <v>23479</v>
      </c>
      <c r="G6074">
        <v>1</v>
      </c>
      <c r="H6074" t="s">
        <v>20238</v>
      </c>
      <c r="J6074" t="s">
        <v>20096</v>
      </c>
      <c r="K6074" t="s">
        <v>192</v>
      </c>
      <c r="L6074" t="s">
        <v>22</v>
      </c>
      <c r="M6074" t="s">
        <v>20239</v>
      </c>
      <c r="N6074" t="s">
        <v>20240</v>
      </c>
      <c r="O6074" t="s">
        <v>20241</v>
      </c>
      <c r="P6074" s="2" t="s">
        <v>26</v>
      </c>
      <c r="Q6074" t="s">
        <v>50</v>
      </c>
      <c r="R6074">
        <v>48.41</v>
      </c>
      <c r="S6074">
        <v>48.45</v>
      </c>
      <c r="T6074" t="s">
        <v>20242</v>
      </c>
    </row>
    <row r="6075" spans="1:20" x14ac:dyDescent="0.25">
      <c r="A6075" s="1" t="str">
        <f>HYPERLINK("https://vegkart.atlas.vegvesen.no/#/@541266.5,7520794.9,18/hva:hva%5B0%5D%5Bfilter%5D%5B0%5D%5Boperator%5D=%21%3D&amp;hva%5B0%5D%5Bfilter%5D%5B0%5D%5Btype_id%5D=5897&amp;hva%5B0%5D%5Bfilter%5D%5B0%5D%5Bverdi%5D=&amp;hva%5B0%5D%5Bid%5D=47/når:2015-11-17", "Vegkart")</f>
        <v>Vegkart</v>
      </c>
      <c r="B6075">
        <v>645472296</v>
      </c>
      <c r="C6075">
        <v>47</v>
      </c>
      <c r="D6075" t="s">
        <v>16854</v>
      </c>
      <c r="E6075">
        <v>5897</v>
      </c>
      <c r="F6075" t="s">
        <v>23479</v>
      </c>
      <c r="G6075">
        <v>1</v>
      </c>
      <c r="H6075" t="s">
        <v>14158</v>
      </c>
      <c r="J6075" t="s">
        <v>20096</v>
      </c>
      <c r="K6075" t="s">
        <v>53</v>
      </c>
      <c r="L6075" t="s">
        <v>80</v>
      </c>
      <c r="M6075" t="s">
        <v>105</v>
      </c>
      <c r="N6075" t="s">
        <v>20243</v>
      </c>
      <c r="O6075" t="s">
        <v>20244</v>
      </c>
      <c r="P6075" s="2" t="s">
        <v>26</v>
      </c>
      <c r="Q6075" t="s">
        <v>50</v>
      </c>
      <c r="R6075">
        <v>90.43</v>
      </c>
      <c r="S6075">
        <v>91.08</v>
      </c>
      <c r="T6075" t="s">
        <v>20245</v>
      </c>
    </row>
    <row r="6076" spans="1:20" x14ac:dyDescent="0.25">
      <c r="A6076" s="1" t="str">
        <f>HYPERLINK("https://vegkart.atlas.vegvesen.no/#/@-30980.7,6798550.2,18/hva:hva%5B0%5D%5Bfilter%5D%5B0%5D%5Boperator%5D=%21%3D&amp;hva%5B0%5D%5Bfilter%5D%5B0%5D%5Btype_id%5D=5897&amp;hva%5B0%5D%5Bfilter%5D%5B0%5D%5Bverdi%5D=&amp;hva%5B0%5D%5Bid%5D=47/når:2015-11-20", "Vegkart")</f>
        <v>Vegkart</v>
      </c>
      <c r="B6076">
        <v>645904173</v>
      </c>
      <c r="C6076">
        <v>47</v>
      </c>
      <c r="D6076" t="s">
        <v>16854</v>
      </c>
      <c r="E6076">
        <v>5897</v>
      </c>
      <c r="F6076" t="s">
        <v>23479</v>
      </c>
      <c r="G6076">
        <v>1</v>
      </c>
      <c r="H6076" t="s">
        <v>13896</v>
      </c>
      <c r="J6076" t="s">
        <v>20096</v>
      </c>
      <c r="K6076" t="s">
        <v>21</v>
      </c>
      <c r="L6076" t="s">
        <v>33</v>
      </c>
      <c r="M6076" t="s">
        <v>795</v>
      </c>
      <c r="N6076" t="s">
        <v>20246</v>
      </c>
      <c r="O6076" t="s">
        <v>20247</v>
      </c>
      <c r="P6076" s="2" t="s">
        <v>26</v>
      </c>
      <c r="Q6076" t="s">
        <v>50</v>
      </c>
      <c r="R6076">
        <v>145.41999999999999</v>
      </c>
      <c r="S6076">
        <v>145.72</v>
      </c>
      <c r="T6076" t="s">
        <v>20248</v>
      </c>
    </row>
    <row r="6077" spans="1:20" x14ac:dyDescent="0.25">
      <c r="A6077" s="1" t="str">
        <f>HYPERLINK("https://vegkart.atlas.vegvesen.no/#/@487.1,6653480.4,18/hva:hva%5B0%5D%5Bfilter%5D%5B0%5D%5Boperator%5D=%21%3D&amp;hva%5B0%5D%5Bfilter%5D%5B0%5D%5Btype_id%5D=5897&amp;hva%5B0%5D%5Bfilter%5D%5B0%5D%5Bverdi%5D=&amp;hva%5B0%5D%5Bid%5D=47/når:2021-08-17", "Vegkart")</f>
        <v>Vegkart</v>
      </c>
      <c r="B6077">
        <v>646597847</v>
      </c>
      <c r="C6077">
        <v>47</v>
      </c>
      <c r="D6077" t="s">
        <v>16854</v>
      </c>
      <c r="E6077">
        <v>5897</v>
      </c>
      <c r="F6077" t="s">
        <v>23479</v>
      </c>
      <c r="G6077">
        <v>2</v>
      </c>
      <c r="H6077" t="s">
        <v>20249</v>
      </c>
      <c r="J6077" t="s">
        <v>20096</v>
      </c>
      <c r="K6077" t="s">
        <v>21</v>
      </c>
      <c r="L6077" t="s">
        <v>80</v>
      </c>
      <c r="M6077" t="s">
        <v>645</v>
      </c>
      <c r="N6077" t="s">
        <v>20250</v>
      </c>
      <c r="O6077" t="s">
        <v>20251</v>
      </c>
      <c r="P6077" s="2" t="s">
        <v>26</v>
      </c>
      <c r="Q6077" t="s">
        <v>50</v>
      </c>
      <c r="R6077">
        <v>90.71</v>
      </c>
      <c r="S6077">
        <v>90.77</v>
      </c>
      <c r="T6077" t="s">
        <v>20252</v>
      </c>
    </row>
    <row r="6078" spans="1:20" x14ac:dyDescent="0.25">
      <c r="A6078" s="1" t="str">
        <f>HYPERLINK("https://vegkart.atlas.vegvesen.no/#/@773.4,6653724.2,18/hva:hva%5B0%5D%5Bfilter%5D%5B0%5D%5Boperator%5D=%21%3D&amp;hva%5B0%5D%5Bfilter%5D%5B0%5D%5Btype_id%5D=5897&amp;hva%5B0%5D%5Bfilter%5D%5B0%5D%5Bverdi%5D=&amp;hva%5B0%5D%5Bid%5D=47/når:2021-08-17", "Vegkart")</f>
        <v>Vegkart</v>
      </c>
      <c r="B6078">
        <v>646597848</v>
      </c>
      <c r="C6078">
        <v>47</v>
      </c>
      <c r="D6078" t="s">
        <v>16854</v>
      </c>
      <c r="E6078">
        <v>5897</v>
      </c>
      <c r="F6078" t="s">
        <v>23479</v>
      </c>
      <c r="G6078">
        <v>2</v>
      </c>
      <c r="H6078" t="s">
        <v>20249</v>
      </c>
      <c r="J6078" t="s">
        <v>20096</v>
      </c>
      <c r="K6078" t="s">
        <v>21</v>
      </c>
      <c r="L6078" t="s">
        <v>80</v>
      </c>
      <c r="M6078" t="s">
        <v>645</v>
      </c>
      <c r="N6078" t="s">
        <v>20253</v>
      </c>
      <c r="O6078" t="s">
        <v>20254</v>
      </c>
      <c r="P6078" s="2" t="s">
        <v>26</v>
      </c>
      <c r="Q6078" t="s">
        <v>50</v>
      </c>
      <c r="R6078">
        <v>89.79</v>
      </c>
      <c r="S6078">
        <v>89.81</v>
      </c>
      <c r="T6078" t="s">
        <v>20255</v>
      </c>
    </row>
    <row r="6079" spans="1:20" x14ac:dyDescent="0.25">
      <c r="A6079" s="1" t="str">
        <f>HYPERLINK("https://vegkart.atlas.vegvesen.no/#/@995.7,6653840.1,18/hva:hva%5B0%5D%5Bfilter%5D%5B0%5D%5Boperator%5D=%21%3D&amp;hva%5B0%5D%5Bfilter%5D%5B0%5D%5Btype_id%5D=5897&amp;hva%5B0%5D%5Bfilter%5D%5B0%5D%5Bverdi%5D=&amp;hva%5B0%5D%5Bid%5D=47/når:2021-08-17", "Vegkart")</f>
        <v>Vegkart</v>
      </c>
      <c r="B6079">
        <v>646597849</v>
      </c>
      <c r="C6079">
        <v>47</v>
      </c>
      <c r="D6079" t="s">
        <v>16854</v>
      </c>
      <c r="E6079">
        <v>5897</v>
      </c>
      <c r="F6079" t="s">
        <v>23479</v>
      </c>
      <c r="G6079">
        <v>2</v>
      </c>
      <c r="H6079" t="s">
        <v>20249</v>
      </c>
      <c r="J6079" t="s">
        <v>20096</v>
      </c>
      <c r="K6079" t="s">
        <v>21</v>
      </c>
      <c r="L6079" t="s">
        <v>80</v>
      </c>
      <c r="M6079" t="s">
        <v>645</v>
      </c>
      <c r="N6079" t="s">
        <v>20256</v>
      </c>
      <c r="O6079" t="s">
        <v>20257</v>
      </c>
      <c r="P6079" s="2" t="s">
        <v>26</v>
      </c>
      <c r="Q6079" t="s">
        <v>50</v>
      </c>
      <c r="R6079">
        <v>89.95</v>
      </c>
      <c r="S6079">
        <v>89.97</v>
      </c>
      <c r="T6079" t="s">
        <v>20258</v>
      </c>
    </row>
    <row r="6080" spans="1:20" x14ac:dyDescent="0.25">
      <c r="A6080" s="1" t="str">
        <f>HYPERLINK("https://vegkart.atlas.vegvesen.no/#/@66778.0,6891564.1,18/hva:hva%5B0%5D%5Bfilter%5D%5B0%5D%5Boperator%5D=%21%3D&amp;hva%5B0%5D%5Bfilter%5D%5B0%5D%5Btype_id%5D=5897&amp;hva%5B0%5D%5Bfilter%5D%5B0%5D%5Bverdi%5D=&amp;hva%5B0%5D%5Bid%5D=47/når:2015-12-04", "Vegkart")</f>
        <v>Vegkart</v>
      </c>
      <c r="B6080">
        <v>655468989</v>
      </c>
      <c r="C6080">
        <v>47</v>
      </c>
      <c r="D6080" t="s">
        <v>16854</v>
      </c>
      <c r="E6080">
        <v>5897</v>
      </c>
      <c r="F6080" t="s">
        <v>23479</v>
      </c>
      <c r="G6080">
        <v>1</v>
      </c>
      <c r="H6080" t="s">
        <v>20259</v>
      </c>
      <c r="J6080" t="s">
        <v>20096</v>
      </c>
      <c r="K6080" t="s">
        <v>21</v>
      </c>
      <c r="L6080" t="s">
        <v>370</v>
      </c>
      <c r="M6080" t="s">
        <v>9741</v>
      </c>
      <c r="N6080" t="s">
        <v>20260</v>
      </c>
      <c r="O6080" t="s">
        <v>20261</v>
      </c>
      <c r="P6080" s="2" t="s">
        <v>26</v>
      </c>
      <c r="Q6080" t="s">
        <v>50</v>
      </c>
      <c r="R6080">
        <v>53.35</v>
      </c>
      <c r="S6080">
        <v>56.92</v>
      </c>
      <c r="T6080" t="s">
        <v>20262</v>
      </c>
    </row>
    <row r="6081" spans="1:20" x14ac:dyDescent="0.25">
      <c r="A6081" s="1" t="str">
        <f>HYPERLINK("https://vegkart.atlas.vegvesen.no/#/@190687.2,6575109.9,18/hva:hva%5B0%5D%5Bfilter%5D%5B0%5D%5Boperator%5D=%21%3D&amp;hva%5B0%5D%5Bfilter%5D%5B0%5D%5Btype_id%5D=5897&amp;hva%5B0%5D%5Bfilter%5D%5B0%5D%5Bverdi%5D=&amp;hva%5B0%5D%5Bid%5D=47/når:2022-11-30", "Vegkart")</f>
        <v>Vegkart</v>
      </c>
      <c r="B6081">
        <v>655863426</v>
      </c>
      <c r="C6081">
        <v>47</v>
      </c>
      <c r="D6081" t="s">
        <v>16854</v>
      </c>
      <c r="E6081">
        <v>5897</v>
      </c>
      <c r="F6081" t="s">
        <v>23479</v>
      </c>
      <c r="G6081">
        <v>2</v>
      </c>
      <c r="H6081" t="s">
        <v>17992</v>
      </c>
      <c r="J6081" t="s">
        <v>20096</v>
      </c>
      <c r="K6081" t="s">
        <v>197</v>
      </c>
      <c r="L6081" t="s">
        <v>33</v>
      </c>
      <c r="M6081" t="s">
        <v>1902</v>
      </c>
      <c r="N6081" t="s">
        <v>20263</v>
      </c>
      <c r="O6081" t="s">
        <v>20264</v>
      </c>
      <c r="P6081" s="2" t="s">
        <v>37</v>
      </c>
      <c r="Q6081" t="s">
        <v>1208</v>
      </c>
      <c r="R6081">
        <v>0</v>
      </c>
      <c r="S6081">
        <v>101.92</v>
      </c>
      <c r="T6081" t="s">
        <v>20265</v>
      </c>
    </row>
    <row r="6082" spans="1:20" x14ac:dyDescent="0.25">
      <c r="A6082" s="1" t="str">
        <f>HYPERLINK("https://vegkart.atlas.vegvesen.no/#/@121905.2,6481933.4,18/hva:hva%5B0%5D%5Bfilter%5D%5B0%5D%5Boperator%5D=%21%3D&amp;hva%5B0%5D%5Bfilter%5D%5B0%5D%5Btype_id%5D=5897&amp;hva%5B0%5D%5Bfilter%5D%5B0%5D%5Bverdi%5D=&amp;hva%5B0%5D%5Bid%5D=47/når:2015-12-09", "Vegkart")</f>
        <v>Vegkart</v>
      </c>
      <c r="B6082">
        <v>656052492</v>
      </c>
      <c r="C6082">
        <v>47</v>
      </c>
      <c r="D6082" t="s">
        <v>16854</v>
      </c>
      <c r="E6082">
        <v>5897</v>
      </c>
      <c r="F6082" t="s">
        <v>23479</v>
      </c>
      <c r="G6082">
        <v>1</v>
      </c>
      <c r="H6082" t="s">
        <v>20266</v>
      </c>
      <c r="J6082" t="s">
        <v>20096</v>
      </c>
      <c r="K6082" t="s">
        <v>86</v>
      </c>
      <c r="L6082" t="s">
        <v>33</v>
      </c>
      <c r="M6082" t="s">
        <v>20267</v>
      </c>
      <c r="N6082" t="s">
        <v>20268</v>
      </c>
      <c r="O6082" t="s">
        <v>20269</v>
      </c>
      <c r="P6082" s="2" t="s">
        <v>26</v>
      </c>
      <c r="Q6082" t="s">
        <v>50</v>
      </c>
      <c r="R6082">
        <v>57.04</v>
      </c>
      <c r="S6082">
        <v>57.29</v>
      </c>
      <c r="T6082" t="s">
        <v>20270</v>
      </c>
    </row>
    <row r="6083" spans="1:20" x14ac:dyDescent="0.25">
      <c r="A6083" s="1" t="str">
        <f>HYPERLINK("https://vegkart.atlas.vegvesen.no/#/@129587.8,6502648.2,18/hva:hva%5B0%5D%5Bfilter%5D%5B0%5D%5Boperator%5D=%21%3D&amp;hva%5B0%5D%5Bfilter%5D%5B0%5D%5Btype_id%5D=5897&amp;hva%5B0%5D%5Bfilter%5D%5B0%5D%5Bverdi%5D=&amp;hva%5B0%5D%5Bid%5D=47/når:2015-12-17", "Vegkart")</f>
        <v>Vegkart</v>
      </c>
      <c r="B6083">
        <v>657350786</v>
      </c>
      <c r="C6083">
        <v>47</v>
      </c>
      <c r="D6083" t="s">
        <v>16854</v>
      </c>
      <c r="E6083">
        <v>5897</v>
      </c>
      <c r="F6083" t="s">
        <v>23479</v>
      </c>
      <c r="G6083">
        <v>1</v>
      </c>
      <c r="H6083" t="s">
        <v>20271</v>
      </c>
      <c r="J6083" t="s">
        <v>20096</v>
      </c>
      <c r="K6083" t="s">
        <v>86</v>
      </c>
      <c r="L6083" t="s">
        <v>33</v>
      </c>
      <c r="M6083" t="s">
        <v>86</v>
      </c>
      <c r="N6083" t="s">
        <v>20272</v>
      </c>
      <c r="O6083" t="s">
        <v>20273</v>
      </c>
      <c r="P6083" s="2" t="s">
        <v>26</v>
      </c>
      <c r="Q6083" t="s">
        <v>50</v>
      </c>
      <c r="R6083">
        <v>57.59</v>
      </c>
      <c r="S6083">
        <v>58.01</v>
      </c>
      <c r="T6083" t="s">
        <v>20274</v>
      </c>
    </row>
    <row r="6084" spans="1:20" x14ac:dyDescent="0.25">
      <c r="A6084" s="1" t="str">
        <f>HYPERLINK("https://vegkart.atlas.vegvesen.no/#/@129552.6,6502697.9,18/hva:hva%5B0%5D%5Bfilter%5D%5B0%5D%5Boperator%5D=%21%3D&amp;hva%5B0%5D%5Bfilter%5D%5B0%5D%5Btype_id%5D=5897&amp;hva%5B0%5D%5Bfilter%5D%5B0%5D%5Bverdi%5D=&amp;hva%5B0%5D%5Bid%5D=47/når:2015-12-17", "Vegkart")</f>
        <v>Vegkart</v>
      </c>
      <c r="B6084">
        <v>657350787</v>
      </c>
      <c r="C6084">
        <v>47</v>
      </c>
      <c r="D6084" t="s">
        <v>16854</v>
      </c>
      <c r="E6084">
        <v>5897</v>
      </c>
      <c r="F6084" t="s">
        <v>23479</v>
      </c>
      <c r="G6084">
        <v>1</v>
      </c>
      <c r="H6084" t="s">
        <v>20271</v>
      </c>
      <c r="J6084" t="s">
        <v>20096</v>
      </c>
      <c r="K6084" t="s">
        <v>86</v>
      </c>
      <c r="L6084" t="s">
        <v>33</v>
      </c>
      <c r="M6084" t="s">
        <v>86</v>
      </c>
      <c r="N6084" t="s">
        <v>20275</v>
      </c>
      <c r="O6084" t="s">
        <v>20276</v>
      </c>
      <c r="P6084" s="2" t="s">
        <v>26</v>
      </c>
      <c r="Q6084" t="s">
        <v>50</v>
      </c>
      <c r="R6084">
        <v>51.1</v>
      </c>
      <c r="S6084">
        <v>51.64</v>
      </c>
      <c r="T6084" t="s">
        <v>20277</v>
      </c>
    </row>
    <row r="6085" spans="1:20" x14ac:dyDescent="0.25">
      <c r="A6085" s="1" t="str">
        <f>HYPERLINK("https://vegkart.atlas.vegvesen.no/#/@196549.5,6643498.5,18/hva:hva%5B0%5D%5Bfilter%5D%5B0%5D%5Boperator%5D=%21%3D&amp;hva%5B0%5D%5Bfilter%5D%5B0%5D%5Btype_id%5D=5897&amp;hva%5B0%5D%5Bfilter%5D%5B0%5D%5Bverdi%5D=&amp;hva%5B0%5D%5Bid%5D=47/når:2016-01-15", "Vegkart")</f>
        <v>Vegkart</v>
      </c>
      <c r="B6085">
        <v>657505545</v>
      </c>
      <c r="C6085">
        <v>47</v>
      </c>
      <c r="D6085" t="s">
        <v>16854</v>
      </c>
      <c r="E6085">
        <v>5897</v>
      </c>
      <c r="F6085" t="s">
        <v>23479</v>
      </c>
      <c r="G6085">
        <v>2</v>
      </c>
      <c r="H6085" t="s">
        <v>20278</v>
      </c>
      <c r="J6085" t="s">
        <v>20096</v>
      </c>
      <c r="K6085" t="s">
        <v>307</v>
      </c>
      <c r="L6085" t="s">
        <v>33</v>
      </c>
      <c r="M6085" t="s">
        <v>197</v>
      </c>
      <c r="N6085" t="s">
        <v>20279</v>
      </c>
      <c r="O6085" t="s">
        <v>20280</v>
      </c>
      <c r="P6085" s="2" t="s">
        <v>26</v>
      </c>
      <c r="Q6085" t="s">
        <v>50</v>
      </c>
      <c r="R6085">
        <v>72.98</v>
      </c>
      <c r="S6085">
        <v>73.98</v>
      </c>
      <c r="T6085" t="s">
        <v>20281</v>
      </c>
    </row>
    <row r="6086" spans="1:20" x14ac:dyDescent="0.25">
      <c r="A6086" s="1" t="str">
        <f>HYPERLINK("https://vegkart.atlas.vegvesen.no/#/@104531.9,6986022.9,18/hva:hva%5B0%5D%5Bfilter%5D%5B0%5D%5Boperator%5D=%21%3D&amp;hva%5B0%5D%5Bfilter%5D%5B0%5D%5Btype_id%5D=5897&amp;hva%5B0%5D%5Bfilter%5D%5B0%5D%5Bverdi%5D=&amp;hva%5B0%5D%5Bid%5D=47/når:2016-01-15", "Vegkart")</f>
        <v>Vegkart</v>
      </c>
      <c r="B6086">
        <v>657512437</v>
      </c>
      <c r="C6086">
        <v>47</v>
      </c>
      <c r="D6086" t="s">
        <v>16854</v>
      </c>
      <c r="E6086">
        <v>5897</v>
      </c>
      <c r="F6086" t="s">
        <v>23479</v>
      </c>
      <c r="G6086">
        <v>1</v>
      </c>
      <c r="H6086" t="s">
        <v>20278</v>
      </c>
      <c r="J6086" t="s">
        <v>20282</v>
      </c>
      <c r="K6086" t="s">
        <v>32</v>
      </c>
      <c r="L6086" t="s">
        <v>33</v>
      </c>
      <c r="M6086" t="s">
        <v>2529</v>
      </c>
      <c r="N6086" t="s">
        <v>20283</v>
      </c>
      <c r="O6086" t="s">
        <v>20284</v>
      </c>
      <c r="P6086" s="2" t="s">
        <v>26</v>
      </c>
      <c r="Q6086" t="s">
        <v>50</v>
      </c>
      <c r="R6086">
        <v>66.09</v>
      </c>
      <c r="S6086">
        <v>66.91</v>
      </c>
      <c r="T6086" t="s">
        <v>20285</v>
      </c>
    </row>
    <row r="6087" spans="1:20" x14ac:dyDescent="0.25">
      <c r="A6087" s="1" t="str">
        <f>HYPERLINK("https://vegkart.atlas.vegvesen.no/#/@256665.0,6786519.2,18/hva:hva%5B0%5D%5Bfilter%5D%5B0%5D%5Boperator%5D=%21%3D&amp;hva%5B0%5D%5Bfilter%5D%5B0%5D%5Btype_id%5D=5897&amp;hva%5B0%5D%5Bfilter%5D%5B0%5D%5Bverdi%5D=&amp;hva%5B0%5D%5Bid%5D=47/når:2015-11-17", "Vegkart")</f>
        <v>Vegkart</v>
      </c>
      <c r="B6087">
        <v>657520118</v>
      </c>
      <c r="C6087">
        <v>47</v>
      </c>
      <c r="D6087" t="s">
        <v>16854</v>
      </c>
      <c r="E6087">
        <v>5897</v>
      </c>
      <c r="F6087" t="s">
        <v>23479</v>
      </c>
      <c r="G6087">
        <v>1</v>
      </c>
      <c r="H6087" t="s">
        <v>14158</v>
      </c>
      <c r="J6087" t="s">
        <v>20282</v>
      </c>
      <c r="K6087" t="s">
        <v>136</v>
      </c>
      <c r="L6087" t="s">
        <v>33</v>
      </c>
      <c r="M6087" t="s">
        <v>14159</v>
      </c>
      <c r="N6087" t="s">
        <v>20286</v>
      </c>
      <c r="O6087" t="s">
        <v>20287</v>
      </c>
      <c r="P6087" s="2" t="s">
        <v>26</v>
      </c>
      <c r="Q6087" t="s">
        <v>50</v>
      </c>
      <c r="R6087">
        <v>27.84</v>
      </c>
      <c r="S6087">
        <v>28.89</v>
      </c>
      <c r="T6087" t="s">
        <v>20288</v>
      </c>
    </row>
    <row r="6088" spans="1:20" x14ac:dyDescent="0.25">
      <c r="A6088" s="1" t="str">
        <f>HYPERLINK("https://vegkart.atlas.vegvesen.no/#/@256644.8,6786140.6,18/hva:hva%5B0%5D%5Bfilter%5D%5B0%5D%5Boperator%5D=%21%3D&amp;hva%5B0%5D%5Bfilter%5D%5B0%5D%5Btype_id%5D=5897&amp;hva%5B0%5D%5Bfilter%5D%5B0%5D%5Bverdi%5D=&amp;hva%5B0%5D%5Bid%5D=47/når:2015-11-17", "Vegkart")</f>
        <v>Vegkart</v>
      </c>
      <c r="B6088">
        <v>657520184</v>
      </c>
      <c r="C6088">
        <v>47</v>
      </c>
      <c r="D6088" t="s">
        <v>16854</v>
      </c>
      <c r="E6088">
        <v>5897</v>
      </c>
      <c r="F6088" t="s">
        <v>23479</v>
      </c>
      <c r="G6088">
        <v>1</v>
      </c>
      <c r="H6088" t="s">
        <v>14158</v>
      </c>
      <c r="J6088" t="s">
        <v>20282</v>
      </c>
      <c r="K6088" t="s">
        <v>136</v>
      </c>
      <c r="L6088" t="s">
        <v>33</v>
      </c>
      <c r="M6088" t="s">
        <v>14159</v>
      </c>
      <c r="N6088" t="s">
        <v>20289</v>
      </c>
      <c r="O6088" t="s">
        <v>20290</v>
      </c>
      <c r="P6088" s="2" t="s">
        <v>26</v>
      </c>
      <c r="Q6088" t="s">
        <v>50</v>
      </c>
      <c r="R6088">
        <v>49.94</v>
      </c>
      <c r="S6088">
        <v>50.32</v>
      </c>
      <c r="T6088" t="s">
        <v>20291</v>
      </c>
    </row>
    <row r="6089" spans="1:20" x14ac:dyDescent="0.25">
      <c r="A6089" s="1" t="str">
        <f>HYPERLINK("https://vegkart.atlas.vegvesen.no/#/@256627.1,6786084.9,18/hva:hva%5B0%5D%5Bfilter%5D%5B0%5D%5Boperator%5D=%21%3D&amp;hva%5B0%5D%5Bfilter%5D%5B0%5D%5Btype_id%5D=5897&amp;hva%5B0%5D%5Bfilter%5D%5B0%5D%5Bverdi%5D=&amp;hva%5B0%5D%5Bid%5D=47/når:2015-11-17", "Vegkart")</f>
        <v>Vegkart</v>
      </c>
      <c r="B6089">
        <v>657520185</v>
      </c>
      <c r="C6089">
        <v>47</v>
      </c>
      <c r="D6089" t="s">
        <v>16854</v>
      </c>
      <c r="E6089">
        <v>5897</v>
      </c>
      <c r="F6089" t="s">
        <v>23479</v>
      </c>
      <c r="G6089">
        <v>1</v>
      </c>
      <c r="H6089" t="s">
        <v>14158</v>
      </c>
      <c r="J6089" t="s">
        <v>20282</v>
      </c>
      <c r="K6089" t="s">
        <v>136</v>
      </c>
      <c r="L6089" t="s">
        <v>33</v>
      </c>
      <c r="M6089" t="s">
        <v>14159</v>
      </c>
      <c r="N6089" t="s">
        <v>20292</v>
      </c>
      <c r="O6089" t="s">
        <v>20293</v>
      </c>
      <c r="P6089" s="2" t="s">
        <v>26</v>
      </c>
      <c r="Q6089" t="s">
        <v>50</v>
      </c>
      <c r="R6089">
        <v>68.599999999999994</v>
      </c>
      <c r="S6089">
        <v>69.150000000000006</v>
      </c>
      <c r="T6089" t="s">
        <v>20294</v>
      </c>
    </row>
    <row r="6090" spans="1:20" x14ac:dyDescent="0.25">
      <c r="A6090" s="1" t="str">
        <f>HYPERLINK("https://vegkart.atlas.vegvesen.no/#/@256698.9,6786487.8,18/hva:hva%5B0%5D%5Bfilter%5D%5B0%5D%5Boperator%5D=%21%3D&amp;hva%5B0%5D%5Bfilter%5D%5B0%5D%5Btype_id%5D=5897&amp;hva%5B0%5D%5Bfilter%5D%5B0%5D%5Bverdi%5D=&amp;hva%5B0%5D%5Bid%5D=47/når:2015-11-17", "Vegkart")</f>
        <v>Vegkart</v>
      </c>
      <c r="B6090">
        <v>657532631</v>
      </c>
      <c r="C6090">
        <v>47</v>
      </c>
      <c r="D6090" t="s">
        <v>16854</v>
      </c>
      <c r="E6090">
        <v>5897</v>
      </c>
      <c r="F6090" t="s">
        <v>23479</v>
      </c>
      <c r="G6090">
        <v>1</v>
      </c>
      <c r="H6090" t="s">
        <v>14158</v>
      </c>
      <c r="J6090" t="s">
        <v>20282</v>
      </c>
      <c r="K6090" t="s">
        <v>136</v>
      </c>
      <c r="L6090" t="s">
        <v>33</v>
      </c>
      <c r="M6090" t="s">
        <v>14159</v>
      </c>
      <c r="N6090" t="s">
        <v>20295</v>
      </c>
      <c r="O6090" t="s">
        <v>20296</v>
      </c>
      <c r="P6090" s="2" t="s">
        <v>26</v>
      </c>
      <c r="Q6090" t="s">
        <v>50</v>
      </c>
      <c r="R6090">
        <v>63.52</v>
      </c>
      <c r="S6090">
        <v>64.03</v>
      </c>
      <c r="T6090" t="s">
        <v>20297</v>
      </c>
    </row>
    <row r="6091" spans="1:20" x14ac:dyDescent="0.25">
      <c r="A6091" s="1" t="str">
        <f>HYPERLINK("https://vegkart.atlas.vegvesen.no/#/@241952.9,6718273.7,18/hva:hva%5B0%5D%5Bfilter%5D%5B0%5D%5Boperator%5D=%21%3D&amp;hva%5B0%5D%5Bfilter%5D%5B0%5D%5Btype_id%5D=5897&amp;hva%5B0%5D%5Bfilter%5D%5B0%5D%5Bverdi%5D=&amp;hva%5B0%5D%5Bid%5D=47/når:2024-07-29", "Vegkart")</f>
        <v>Vegkart</v>
      </c>
      <c r="B6091">
        <v>657576039</v>
      </c>
      <c r="C6091">
        <v>47</v>
      </c>
      <c r="D6091" t="s">
        <v>16854</v>
      </c>
      <c r="E6091">
        <v>5897</v>
      </c>
      <c r="F6091" t="s">
        <v>23479</v>
      </c>
      <c r="G6091">
        <v>2</v>
      </c>
      <c r="H6091" t="s">
        <v>17682</v>
      </c>
      <c r="J6091" t="s">
        <v>20282</v>
      </c>
      <c r="K6091" t="s">
        <v>136</v>
      </c>
      <c r="L6091" t="s">
        <v>33</v>
      </c>
      <c r="M6091" t="s">
        <v>17698</v>
      </c>
      <c r="N6091" t="s">
        <v>20298</v>
      </c>
      <c r="O6091" t="s">
        <v>20299</v>
      </c>
      <c r="P6091" s="2" t="s">
        <v>165</v>
      </c>
      <c r="Q6091" t="s">
        <v>166</v>
      </c>
      <c r="R6091">
        <v>36.67</v>
      </c>
      <c r="S6091">
        <v>38.01</v>
      </c>
      <c r="T6091" t="s">
        <v>167</v>
      </c>
    </row>
    <row r="6092" spans="1:20" x14ac:dyDescent="0.25">
      <c r="A6092" s="1" t="str">
        <f>HYPERLINK("https://vegkart.atlas.vegvesen.no/#/@241937.3,6718258.8,18/hva:hva%5B0%5D%5Bfilter%5D%5B0%5D%5Boperator%5D=%21%3D&amp;hva%5B0%5D%5Bfilter%5D%5B0%5D%5Btype_id%5D=5897&amp;hva%5B0%5D%5Bfilter%5D%5B0%5D%5Bverdi%5D=&amp;hva%5B0%5D%5Bid%5D=47/når:2024-07-29", "Vegkart")</f>
        <v>Vegkart</v>
      </c>
      <c r="B6092">
        <v>657576040</v>
      </c>
      <c r="C6092">
        <v>47</v>
      </c>
      <c r="D6092" t="s">
        <v>16854</v>
      </c>
      <c r="E6092">
        <v>5897</v>
      </c>
      <c r="F6092" t="s">
        <v>23479</v>
      </c>
      <c r="G6092">
        <v>2</v>
      </c>
      <c r="H6092" t="s">
        <v>17682</v>
      </c>
      <c r="J6092" t="s">
        <v>20282</v>
      </c>
      <c r="K6092" t="s">
        <v>136</v>
      </c>
      <c r="L6092" t="s">
        <v>33</v>
      </c>
      <c r="M6092" t="s">
        <v>17698</v>
      </c>
      <c r="N6092" t="s">
        <v>20300</v>
      </c>
      <c r="O6092" t="s">
        <v>20301</v>
      </c>
      <c r="P6092" s="2" t="s">
        <v>165</v>
      </c>
      <c r="Q6092" t="s">
        <v>166</v>
      </c>
      <c r="R6092">
        <v>40.53</v>
      </c>
      <c r="S6092">
        <v>41.23</v>
      </c>
      <c r="T6092" t="s">
        <v>167</v>
      </c>
    </row>
    <row r="6093" spans="1:20" x14ac:dyDescent="0.25">
      <c r="A6093" s="1" t="str">
        <f>HYPERLINK("https://vegkart.atlas.vegvesen.no/#/@531477.1,7591388.1,18/hva:hva%5B0%5D%5Bfilter%5D%5B0%5D%5Boperator%5D=%21%3D&amp;hva%5B0%5D%5Bfilter%5D%5B0%5D%5Btype_id%5D=5897&amp;hva%5B0%5D%5Bfilter%5D%5B0%5D%5Bverdi%5D=&amp;hva%5B0%5D%5Bid%5D=47/når:2016-01-28", "Vegkart")</f>
        <v>Vegkart</v>
      </c>
      <c r="B6093">
        <v>657591289</v>
      </c>
      <c r="C6093">
        <v>47</v>
      </c>
      <c r="D6093" t="s">
        <v>16854</v>
      </c>
      <c r="E6093">
        <v>5897</v>
      </c>
      <c r="F6093" t="s">
        <v>23479</v>
      </c>
      <c r="G6093">
        <v>1</v>
      </c>
      <c r="H6093" t="s">
        <v>20302</v>
      </c>
      <c r="J6093" t="s">
        <v>20282</v>
      </c>
      <c r="K6093" t="s">
        <v>53</v>
      </c>
      <c r="L6093" t="s">
        <v>33</v>
      </c>
      <c r="M6093" t="s">
        <v>20303</v>
      </c>
      <c r="N6093" t="s">
        <v>20304</v>
      </c>
      <c r="O6093" t="s">
        <v>20305</v>
      </c>
      <c r="P6093" s="2" t="s">
        <v>165</v>
      </c>
      <c r="Q6093" t="s">
        <v>641</v>
      </c>
      <c r="R6093">
        <v>0</v>
      </c>
      <c r="S6093">
        <v>73.75</v>
      </c>
      <c r="T6093" t="s">
        <v>167</v>
      </c>
    </row>
    <row r="6094" spans="1:20" x14ac:dyDescent="0.25">
      <c r="A6094" s="1" t="str">
        <f>HYPERLINK("https://vegkart.atlas.vegvesen.no/#/@243219.9,6641444.0,18/hva:hva%5B0%5D%5Bfilter%5D%5B0%5D%5Boperator%5D=%21%3D&amp;hva%5B0%5D%5Bfilter%5D%5B0%5D%5Btype_id%5D=5897&amp;hva%5B0%5D%5Bfilter%5D%5B0%5D%5Bverdi%5D=&amp;hva%5B0%5D%5Bid%5D=47/når:2017-06-09", "Vegkart")</f>
        <v>Vegkart</v>
      </c>
      <c r="B6094">
        <v>667795650</v>
      </c>
      <c r="C6094">
        <v>47</v>
      </c>
      <c r="D6094" t="s">
        <v>16854</v>
      </c>
      <c r="E6094">
        <v>5897</v>
      </c>
      <c r="F6094" t="s">
        <v>23479</v>
      </c>
      <c r="G6094">
        <v>3</v>
      </c>
      <c r="H6094" t="s">
        <v>9920</v>
      </c>
      <c r="J6094" t="s">
        <v>20282</v>
      </c>
      <c r="K6094" t="s">
        <v>132</v>
      </c>
      <c r="L6094" t="s">
        <v>33</v>
      </c>
      <c r="M6094" t="s">
        <v>292</v>
      </c>
      <c r="N6094" t="s">
        <v>20306</v>
      </c>
      <c r="O6094" t="s">
        <v>20307</v>
      </c>
      <c r="P6094" s="2" t="s">
        <v>26</v>
      </c>
      <c r="Q6094" t="s">
        <v>50</v>
      </c>
      <c r="R6094">
        <v>95.4</v>
      </c>
      <c r="S6094">
        <v>95.54</v>
      </c>
      <c r="T6094" t="s">
        <v>20308</v>
      </c>
    </row>
    <row r="6095" spans="1:20" x14ac:dyDescent="0.25">
      <c r="A6095" s="1" t="str">
        <f>HYPERLINK("https://vegkart.atlas.vegvesen.no/#/@243231.9,6641434.4,18/hva:hva%5B0%5D%5Bfilter%5D%5B0%5D%5Boperator%5D=%21%3D&amp;hva%5B0%5D%5Bfilter%5D%5B0%5D%5Btype_id%5D=5897&amp;hva%5B0%5D%5Bfilter%5D%5B0%5D%5Bverdi%5D=&amp;hva%5B0%5D%5Bid%5D=47/når:2017-05-10", "Vegkart")</f>
        <v>Vegkart</v>
      </c>
      <c r="B6095">
        <v>667795651</v>
      </c>
      <c r="C6095">
        <v>47</v>
      </c>
      <c r="D6095" t="s">
        <v>16854</v>
      </c>
      <c r="E6095">
        <v>5897</v>
      </c>
      <c r="F6095" t="s">
        <v>23479</v>
      </c>
      <c r="G6095">
        <v>2</v>
      </c>
      <c r="H6095" t="s">
        <v>6688</v>
      </c>
      <c r="J6095" t="s">
        <v>20282</v>
      </c>
      <c r="K6095" t="s">
        <v>132</v>
      </c>
      <c r="L6095" t="s">
        <v>33</v>
      </c>
      <c r="M6095" t="s">
        <v>292</v>
      </c>
      <c r="N6095" t="s">
        <v>20309</v>
      </c>
      <c r="O6095" t="s">
        <v>20310</v>
      </c>
      <c r="P6095" s="2" t="s">
        <v>26</v>
      </c>
      <c r="Q6095" t="s">
        <v>50</v>
      </c>
      <c r="R6095">
        <v>73.86</v>
      </c>
      <c r="S6095">
        <v>74.98</v>
      </c>
      <c r="T6095" t="s">
        <v>20311</v>
      </c>
    </row>
    <row r="6096" spans="1:20" x14ac:dyDescent="0.25">
      <c r="A6096" s="1" t="str">
        <f>HYPERLINK("https://vegkart.atlas.vegvesen.no/#/@234547.9,6575793.0,18/hva:hva%5B0%5D%5Bfilter%5D%5B0%5D%5Boperator%5D=%21%3D&amp;hva%5B0%5D%5Bfilter%5D%5B0%5D%5Btype_id%5D=5897&amp;hva%5B0%5D%5Bfilter%5D%5B0%5D%5Bverdi%5D=&amp;hva%5B0%5D%5Bid%5D=47/når:2016-02-03", "Vegkart")</f>
        <v>Vegkart</v>
      </c>
      <c r="B6096">
        <v>667801925</v>
      </c>
      <c r="C6096">
        <v>47</v>
      </c>
      <c r="D6096" t="s">
        <v>16854</v>
      </c>
      <c r="E6096">
        <v>5897</v>
      </c>
      <c r="F6096" t="s">
        <v>23479</v>
      </c>
      <c r="G6096">
        <v>1</v>
      </c>
      <c r="H6096" t="s">
        <v>20312</v>
      </c>
      <c r="J6096" t="s">
        <v>20282</v>
      </c>
      <c r="K6096" t="s">
        <v>81</v>
      </c>
      <c r="L6096" t="s">
        <v>33</v>
      </c>
      <c r="M6096" t="s">
        <v>1812</v>
      </c>
      <c r="N6096" t="s">
        <v>20313</v>
      </c>
      <c r="O6096" t="s">
        <v>20314</v>
      </c>
      <c r="P6096" s="2" t="s">
        <v>26</v>
      </c>
      <c r="Q6096" t="s">
        <v>50</v>
      </c>
      <c r="R6096">
        <v>63.72</v>
      </c>
      <c r="S6096">
        <v>64.540000000000006</v>
      </c>
      <c r="T6096" t="s">
        <v>20315</v>
      </c>
    </row>
    <row r="6097" spans="1:20" x14ac:dyDescent="0.25">
      <c r="A6097" s="1" t="str">
        <f>HYPERLINK("https://vegkart.atlas.vegvesen.no/#/@84789.0,6466193.1,18/hva:hva%5B0%5D%5Bfilter%5D%5B0%5D%5Boperator%5D=%21%3D&amp;hva%5B0%5D%5Bfilter%5D%5B0%5D%5Btype_id%5D=5897&amp;hva%5B0%5D%5Bfilter%5D%5B0%5D%5Bverdi%5D=&amp;hva%5B0%5D%5Bid%5D=47/når:2016-02-10", "Vegkart")</f>
        <v>Vegkart</v>
      </c>
      <c r="B6097">
        <v>667825075</v>
      </c>
      <c r="C6097">
        <v>47</v>
      </c>
      <c r="D6097" t="s">
        <v>16854</v>
      </c>
      <c r="E6097">
        <v>5897</v>
      </c>
      <c r="F6097" t="s">
        <v>23479</v>
      </c>
      <c r="G6097">
        <v>1</v>
      </c>
      <c r="H6097" t="s">
        <v>20316</v>
      </c>
      <c r="J6097" t="s">
        <v>20282</v>
      </c>
      <c r="K6097" t="s">
        <v>86</v>
      </c>
      <c r="L6097" t="s">
        <v>80</v>
      </c>
      <c r="M6097" t="s">
        <v>81</v>
      </c>
      <c r="N6097" t="s">
        <v>20317</v>
      </c>
      <c r="O6097" t="s">
        <v>20318</v>
      </c>
      <c r="P6097" s="2" t="s">
        <v>26</v>
      </c>
      <c r="Q6097" t="s">
        <v>50</v>
      </c>
      <c r="R6097">
        <v>78.44</v>
      </c>
      <c r="S6097">
        <v>79.099999999999994</v>
      </c>
      <c r="T6097" t="s">
        <v>20319</v>
      </c>
    </row>
    <row r="6098" spans="1:20" x14ac:dyDescent="0.25">
      <c r="A6098" s="1" t="str">
        <f>HYPERLINK("https://vegkart.atlas.vegvesen.no/#/@85382.9,6465782.7,18/hva:hva%5B0%5D%5Bfilter%5D%5B0%5D%5Boperator%5D=%21%3D&amp;hva%5B0%5D%5Bfilter%5D%5B0%5D%5Btype_id%5D=5897&amp;hva%5B0%5D%5Bfilter%5D%5B0%5D%5Bverdi%5D=&amp;hva%5B0%5D%5Bid%5D=47/når:2016-02-10", "Vegkart")</f>
        <v>Vegkart</v>
      </c>
      <c r="B6098">
        <v>667825076</v>
      </c>
      <c r="C6098">
        <v>47</v>
      </c>
      <c r="D6098" t="s">
        <v>16854</v>
      </c>
      <c r="E6098">
        <v>5897</v>
      </c>
      <c r="F6098" t="s">
        <v>23479</v>
      </c>
      <c r="G6098">
        <v>1</v>
      </c>
      <c r="H6098" t="s">
        <v>20316</v>
      </c>
      <c r="J6098" t="s">
        <v>20282</v>
      </c>
      <c r="K6098" t="s">
        <v>86</v>
      </c>
      <c r="L6098" t="s">
        <v>80</v>
      </c>
      <c r="M6098" t="s">
        <v>81</v>
      </c>
      <c r="N6098" t="s">
        <v>20320</v>
      </c>
      <c r="O6098" t="s">
        <v>20321</v>
      </c>
      <c r="P6098" s="2" t="s">
        <v>26</v>
      </c>
      <c r="Q6098" t="s">
        <v>50</v>
      </c>
      <c r="R6098">
        <v>69.27</v>
      </c>
      <c r="S6098">
        <v>69.83</v>
      </c>
      <c r="T6098" t="s">
        <v>20322</v>
      </c>
    </row>
    <row r="6099" spans="1:20" x14ac:dyDescent="0.25">
      <c r="A6099" s="1" t="str">
        <f>HYPERLINK("https://vegkart.atlas.vegvesen.no/#/@244650.2,6724726.3,18/hva:hva%5B0%5D%5Bfilter%5D%5B0%5D%5Boperator%5D=%21%3D&amp;hva%5B0%5D%5Bfilter%5D%5B0%5D%5Btype_id%5D=5897&amp;hva%5B0%5D%5Bfilter%5D%5B0%5D%5Bverdi%5D=&amp;hva%5B0%5D%5Bid%5D=47/når:2016-02-11", "Vegkart")</f>
        <v>Vegkart</v>
      </c>
      <c r="B6099">
        <v>667830173</v>
      </c>
      <c r="C6099">
        <v>47</v>
      </c>
      <c r="D6099" t="s">
        <v>16854</v>
      </c>
      <c r="E6099">
        <v>5897</v>
      </c>
      <c r="F6099" t="s">
        <v>23479</v>
      </c>
      <c r="G6099">
        <v>1</v>
      </c>
      <c r="H6099" t="s">
        <v>1467</v>
      </c>
      <c r="J6099" t="s">
        <v>20282</v>
      </c>
      <c r="K6099" t="s">
        <v>136</v>
      </c>
      <c r="L6099" t="s">
        <v>33</v>
      </c>
      <c r="M6099" t="s">
        <v>136</v>
      </c>
      <c r="N6099" t="s">
        <v>20323</v>
      </c>
      <c r="O6099" t="s">
        <v>20324</v>
      </c>
      <c r="P6099" s="2" t="s">
        <v>26</v>
      </c>
      <c r="Q6099" t="s">
        <v>50</v>
      </c>
      <c r="R6099">
        <v>72.05</v>
      </c>
      <c r="S6099">
        <v>72.39</v>
      </c>
      <c r="T6099" t="s">
        <v>20325</v>
      </c>
    </row>
    <row r="6100" spans="1:20" x14ac:dyDescent="0.25">
      <c r="A6100" s="1" t="str">
        <f>HYPERLINK("https://vegkart.atlas.vegvesen.no/#/@244651.3,6724709.5,18/hva:hva%5B0%5D%5Bfilter%5D%5B0%5D%5Boperator%5D=%21%3D&amp;hva%5B0%5D%5Bfilter%5D%5B0%5D%5Btype_id%5D=5897&amp;hva%5B0%5D%5Bfilter%5D%5B0%5D%5Bverdi%5D=&amp;hva%5B0%5D%5Bid%5D=47/når:2016-02-11", "Vegkart")</f>
        <v>Vegkart</v>
      </c>
      <c r="B6100">
        <v>667830174</v>
      </c>
      <c r="C6100">
        <v>47</v>
      </c>
      <c r="D6100" t="s">
        <v>16854</v>
      </c>
      <c r="E6100">
        <v>5897</v>
      </c>
      <c r="F6100" t="s">
        <v>23479</v>
      </c>
      <c r="G6100">
        <v>1</v>
      </c>
      <c r="H6100" t="s">
        <v>1467</v>
      </c>
      <c r="J6100" t="s">
        <v>20282</v>
      </c>
      <c r="K6100" t="s">
        <v>136</v>
      </c>
      <c r="L6100" t="s">
        <v>33</v>
      </c>
      <c r="M6100" t="s">
        <v>136</v>
      </c>
      <c r="N6100" t="s">
        <v>20326</v>
      </c>
      <c r="O6100" t="s">
        <v>20327</v>
      </c>
      <c r="P6100" s="2" t="s">
        <v>26</v>
      </c>
      <c r="Q6100" t="s">
        <v>50</v>
      </c>
      <c r="R6100">
        <v>61.49</v>
      </c>
      <c r="S6100">
        <v>61.84</v>
      </c>
      <c r="T6100" t="s">
        <v>20328</v>
      </c>
    </row>
    <row r="6101" spans="1:20" x14ac:dyDescent="0.25">
      <c r="A6101" s="1" t="str">
        <f>HYPERLINK("https://vegkart.atlas.vegvesen.no/#/@125003.6,6483967.7,18/hva:hva%5B0%5D%5Bfilter%5D%5B0%5D%5Boperator%5D=%21%3D&amp;hva%5B0%5D%5Bfilter%5D%5B0%5D%5Btype_id%5D=5897&amp;hva%5B0%5D%5Bfilter%5D%5B0%5D%5Bverdi%5D=&amp;hva%5B0%5D%5Bid%5D=47/når:2016-02-16", "Vegkart")</f>
        <v>Vegkart</v>
      </c>
      <c r="B6101">
        <v>667843940</v>
      </c>
      <c r="C6101">
        <v>47</v>
      </c>
      <c r="D6101" t="s">
        <v>16854</v>
      </c>
      <c r="E6101">
        <v>5897</v>
      </c>
      <c r="F6101" t="s">
        <v>23479</v>
      </c>
      <c r="G6101">
        <v>1</v>
      </c>
      <c r="H6101" t="s">
        <v>20329</v>
      </c>
      <c r="J6101" t="s">
        <v>20282</v>
      </c>
      <c r="K6101" t="s">
        <v>86</v>
      </c>
      <c r="L6101" t="s">
        <v>33</v>
      </c>
      <c r="M6101" t="s">
        <v>20176</v>
      </c>
      <c r="N6101" t="s">
        <v>20330</v>
      </c>
      <c r="O6101" t="s">
        <v>20331</v>
      </c>
      <c r="P6101" s="2" t="s">
        <v>26</v>
      </c>
      <c r="Q6101" t="s">
        <v>50</v>
      </c>
      <c r="R6101">
        <v>36.29</v>
      </c>
      <c r="S6101">
        <v>36.47</v>
      </c>
      <c r="T6101" t="s">
        <v>20332</v>
      </c>
    </row>
    <row r="6102" spans="1:20" x14ac:dyDescent="0.25">
      <c r="A6102" s="1" t="str">
        <f>HYPERLINK("https://vegkart.atlas.vegvesen.no/#/@395689.5,7327449.7,18/hva:hva%5B0%5D%5Bfilter%5D%5B0%5D%5Boperator%5D=%21%3D&amp;hva%5B0%5D%5Bfilter%5D%5B0%5D%5Btype_id%5D=5897&amp;hva%5B0%5D%5Bfilter%5D%5B0%5D%5Bverdi%5D=&amp;hva%5B0%5D%5Bid%5D=47/når:2016-02-18", "Vegkart")</f>
        <v>Vegkart</v>
      </c>
      <c r="B6102">
        <v>667906158</v>
      </c>
      <c r="C6102">
        <v>47</v>
      </c>
      <c r="D6102" t="s">
        <v>16854</v>
      </c>
      <c r="E6102">
        <v>5897</v>
      </c>
      <c r="F6102" t="s">
        <v>23479</v>
      </c>
      <c r="G6102">
        <v>1</v>
      </c>
      <c r="H6102" t="s">
        <v>20333</v>
      </c>
      <c r="J6102" t="s">
        <v>20282</v>
      </c>
      <c r="K6102" t="s">
        <v>53</v>
      </c>
      <c r="L6102" t="s">
        <v>33</v>
      </c>
      <c r="M6102" t="s">
        <v>20334</v>
      </c>
      <c r="N6102" t="s">
        <v>20335</v>
      </c>
      <c r="O6102" t="s">
        <v>20336</v>
      </c>
      <c r="P6102" s="2" t="s">
        <v>26</v>
      </c>
      <c r="Q6102" t="s">
        <v>50</v>
      </c>
      <c r="R6102">
        <v>28.91</v>
      </c>
      <c r="S6102">
        <v>29.8</v>
      </c>
      <c r="T6102" t="s">
        <v>20337</v>
      </c>
    </row>
    <row r="6103" spans="1:20" x14ac:dyDescent="0.25">
      <c r="A6103" s="1" t="str">
        <f>HYPERLINK("https://vegkart.atlas.vegvesen.no/#/@395573.4,7327442.8,18/hva:hva%5B0%5D%5Bfilter%5D%5B0%5D%5Boperator%5D=%21%3D&amp;hva%5B0%5D%5Bfilter%5D%5B0%5D%5Btype_id%5D=5897&amp;hva%5B0%5D%5Bfilter%5D%5B0%5D%5Bverdi%5D=&amp;hva%5B0%5D%5Bid%5D=47/når:2016-02-18", "Vegkart")</f>
        <v>Vegkart</v>
      </c>
      <c r="B6103">
        <v>667906159</v>
      </c>
      <c r="C6103">
        <v>47</v>
      </c>
      <c r="D6103" t="s">
        <v>16854</v>
      </c>
      <c r="E6103">
        <v>5897</v>
      </c>
      <c r="F6103" t="s">
        <v>23479</v>
      </c>
      <c r="G6103">
        <v>1</v>
      </c>
      <c r="H6103" t="s">
        <v>20333</v>
      </c>
      <c r="J6103" t="s">
        <v>20282</v>
      </c>
      <c r="K6103" t="s">
        <v>53</v>
      </c>
      <c r="L6103" t="s">
        <v>33</v>
      </c>
      <c r="M6103" t="s">
        <v>20334</v>
      </c>
      <c r="N6103" t="s">
        <v>20338</v>
      </c>
      <c r="O6103" t="s">
        <v>20339</v>
      </c>
      <c r="P6103" s="2" t="s">
        <v>26</v>
      </c>
      <c r="Q6103" t="s">
        <v>50</v>
      </c>
      <c r="R6103">
        <v>47.31</v>
      </c>
      <c r="S6103">
        <v>48.77</v>
      </c>
      <c r="T6103" t="s">
        <v>20340</v>
      </c>
    </row>
    <row r="6104" spans="1:20" x14ac:dyDescent="0.25">
      <c r="A6104" s="1" t="str">
        <f>HYPERLINK("https://vegkart.atlas.vegvesen.no/#/@396273.5,7327645.9,18/hva:hva%5B0%5D%5Bfilter%5D%5B0%5D%5Boperator%5D=%21%3D&amp;hva%5B0%5D%5Bfilter%5D%5B0%5D%5Btype_id%5D=5897&amp;hva%5B0%5D%5Bfilter%5D%5B0%5D%5Bverdi%5D=&amp;hva%5B0%5D%5Bid%5D=47/når:2016-02-18", "Vegkart")</f>
        <v>Vegkart</v>
      </c>
      <c r="B6104">
        <v>667906161</v>
      </c>
      <c r="C6104">
        <v>47</v>
      </c>
      <c r="D6104" t="s">
        <v>16854</v>
      </c>
      <c r="E6104">
        <v>5897</v>
      </c>
      <c r="F6104" t="s">
        <v>23479</v>
      </c>
      <c r="G6104">
        <v>1</v>
      </c>
      <c r="H6104" t="s">
        <v>20333</v>
      </c>
      <c r="J6104" t="s">
        <v>20282</v>
      </c>
      <c r="K6104" t="s">
        <v>53</v>
      </c>
      <c r="L6104" t="s">
        <v>33</v>
      </c>
      <c r="M6104" t="s">
        <v>20334</v>
      </c>
      <c r="N6104" t="s">
        <v>20341</v>
      </c>
      <c r="O6104" t="s">
        <v>20342</v>
      </c>
      <c r="P6104" s="2" t="s">
        <v>26</v>
      </c>
      <c r="Q6104" t="s">
        <v>50</v>
      </c>
      <c r="R6104">
        <v>45.92</v>
      </c>
      <c r="S6104">
        <v>46.58</v>
      </c>
      <c r="T6104" t="s">
        <v>20343</v>
      </c>
    </row>
    <row r="6105" spans="1:20" x14ac:dyDescent="0.25">
      <c r="A6105" s="1" t="str">
        <f>HYPERLINK("https://vegkart.atlas.vegvesen.no/#/@396781.7,7327874.6,18/hva:hva%5B0%5D%5Bfilter%5D%5B0%5D%5Boperator%5D=%21%3D&amp;hva%5B0%5D%5Bfilter%5D%5B0%5D%5Btype_id%5D=5897&amp;hva%5B0%5D%5Bfilter%5D%5B0%5D%5Bverdi%5D=&amp;hva%5B0%5D%5Bid%5D=47/når:2016-02-18", "Vegkart")</f>
        <v>Vegkart</v>
      </c>
      <c r="B6105">
        <v>667906162</v>
      </c>
      <c r="C6105">
        <v>47</v>
      </c>
      <c r="D6105" t="s">
        <v>16854</v>
      </c>
      <c r="E6105">
        <v>5897</v>
      </c>
      <c r="F6105" t="s">
        <v>23479</v>
      </c>
      <c r="G6105">
        <v>1</v>
      </c>
      <c r="H6105" t="s">
        <v>20333</v>
      </c>
      <c r="J6105" t="s">
        <v>20282</v>
      </c>
      <c r="K6105" t="s">
        <v>53</v>
      </c>
      <c r="L6105" t="s">
        <v>33</v>
      </c>
      <c r="M6105" t="s">
        <v>20334</v>
      </c>
      <c r="N6105" t="s">
        <v>20344</v>
      </c>
      <c r="O6105" t="s">
        <v>20345</v>
      </c>
      <c r="P6105" s="2" t="s">
        <v>26</v>
      </c>
      <c r="Q6105" t="s">
        <v>50</v>
      </c>
      <c r="R6105">
        <v>49.48</v>
      </c>
      <c r="S6105">
        <v>50.14</v>
      </c>
      <c r="T6105" t="s">
        <v>20346</v>
      </c>
    </row>
    <row r="6106" spans="1:20" x14ac:dyDescent="0.25">
      <c r="A6106" s="1" t="str">
        <f>HYPERLINK("https://vegkart.atlas.vegvesen.no/#/@396875.7,7327935.8,18/hva:hva%5B0%5D%5Bfilter%5D%5B0%5D%5Boperator%5D=%21%3D&amp;hva%5B0%5D%5Bfilter%5D%5B0%5D%5Btype_id%5D=5897&amp;hva%5B0%5D%5Bfilter%5D%5B0%5D%5Bverdi%5D=&amp;hva%5B0%5D%5Bid%5D=47/når:2016-02-18", "Vegkart")</f>
        <v>Vegkart</v>
      </c>
      <c r="B6106">
        <v>667906163</v>
      </c>
      <c r="C6106">
        <v>47</v>
      </c>
      <c r="D6106" t="s">
        <v>16854</v>
      </c>
      <c r="E6106">
        <v>5897</v>
      </c>
      <c r="F6106" t="s">
        <v>23479</v>
      </c>
      <c r="G6106">
        <v>1</v>
      </c>
      <c r="H6106" t="s">
        <v>20333</v>
      </c>
      <c r="J6106" t="s">
        <v>20282</v>
      </c>
      <c r="K6106" t="s">
        <v>53</v>
      </c>
      <c r="L6106" t="s">
        <v>33</v>
      </c>
      <c r="M6106" t="s">
        <v>20334</v>
      </c>
      <c r="N6106" t="s">
        <v>20347</v>
      </c>
      <c r="O6106" t="s">
        <v>20348</v>
      </c>
      <c r="P6106" s="2" t="s">
        <v>26</v>
      </c>
      <c r="Q6106" t="s">
        <v>50</v>
      </c>
      <c r="R6106">
        <v>53.56</v>
      </c>
      <c r="S6106">
        <v>54.58</v>
      </c>
      <c r="T6106" t="s">
        <v>20349</v>
      </c>
    </row>
    <row r="6107" spans="1:20" x14ac:dyDescent="0.25">
      <c r="A6107" s="1" t="str">
        <f>HYPERLINK("https://vegkart.atlas.vegvesen.no/#/@397031.5,7328053.9,18/hva:hva%5B0%5D%5Bfilter%5D%5B0%5D%5Boperator%5D=%21%3D&amp;hva%5B0%5D%5Bfilter%5D%5B0%5D%5Btype_id%5D=5897&amp;hva%5B0%5D%5Bfilter%5D%5B0%5D%5Bverdi%5D=&amp;hva%5B0%5D%5Bid%5D=47/når:2016-02-18", "Vegkart")</f>
        <v>Vegkart</v>
      </c>
      <c r="B6107">
        <v>667906164</v>
      </c>
      <c r="C6107">
        <v>47</v>
      </c>
      <c r="D6107" t="s">
        <v>16854</v>
      </c>
      <c r="E6107">
        <v>5897</v>
      </c>
      <c r="F6107" t="s">
        <v>23479</v>
      </c>
      <c r="G6107">
        <v>1</v>
      </c>
      <c r="H6107" t="s">
        <v>20333</v>
      </c>
      <c r="J6107" t="s">
        <v>20282</v>
      </c>
      <c r="K6107" t="s">
        <v>53</v>
      </c>
      <c r="L6107" t="s">
        <v>33</v>
      </c>
      <c r="M6107" t="s">
        <v>20334</v>
      </c>
      <c r="N6107" t="s">
        <v>20350</v>
      </c>
      <c r="O6107" t="s">
        <v>20351</v>
      </c>
      <c r="P6107" s="2" t="s">
        <v>26</v>
      </c>
      <c r="Q6107" t="s">
        <v>50</v>
      </c>
      <c r="R6107">
        <v>55.25</v>
      </c>
      <c r="S6107">
        <v>55.88</v>
      </c>
      <c r="T6107" t="s">
        <v>20352</v>
      </c>
    </row>
    <row r="6108" spans="1:20" x14ac:dyDescent="0.25">
      <c r="A6108" s="1" t="str">
        <f>HYPERLINK("https://vegkart.atlas.vegvesen.no/#/@397160.2,7328147.9,18/hva:hva%5B0%5D%5Bfilter%5D%5B0%5D%5Boperator%5D=%21%3D&amp;hva%5B0%5D%5Bfilter%5D%5B0%5D%5Btype_id%5D=5897&amp;hva%5B0%5D%5Bfilter%5D%5B0%5D%5Bverdi%5D=&amp;hva%5B0%5D%5Bid%5D=47/når:2016-02-18", "Vegkart")</f>
        <v>Vegkart</v>
      </c>
      <c r="B6108">
        <v>667906165</v>
      </c>
      <c r="C6108">
        <v>47</v>
      </c>
      <c r="D6108" t="s">
        <v>16854</v>
      </c>
      <c r="E6108">
        <v>5897</v>
      </c>
      <c r="F6108" t="s">
        <v>23479</v>
      </c>
      <c r="G6108">
        <v>1</v>
      </c>
      <c r="H6108" t="s">
        <v>20333</v>
      </c>
      <c r="J6108" t="s">
        <v>20282</v>
      </c>
      <c r="K6108" t="s">
        <v>53</v>
      </c>
      <c r="L6108" t="s">
        <v>33</v>
      </c>
      <c r="M6108" t="s">
        <v>20334</v>
      </c>
      <c r="N6108" t="s">
        <v>20353</v>
      </c>
      <c r="O6108" t="s">
        <v>20354</v>
      </c>
      <c r="P6108" s="2" t="s">
        <v>26</v>
      </c>
      <c r="Q6108" t="s">
        <v>50</v>
      </c>
      <c r="R6108">
        <v>49.04</v>
      </c>
      <c r="S6108">
        <v>49.99</v>
      </c>
      <c r="T6108" t="s">
        <v>20355</v>
      </c>
    </row>
    <row r="6109" spans="1:20" x14ac:dyDescent="0.25">
      <c r="A6109" s="1" t="str">
        <f>HYPERLINK("https://vegkart.atlas.vegvesen.no/#/@397351.3,7328214.3,18/hva:hva%5B0%5D%5Bfilter%5D%5B0%5D%5Boperator%5D=%21%3D&amp;hva%5B0%5D%5Bfilter%5D%5B0%5D%5Btype_id%5D=5897&amp;hva%5B0%5D%5Bfilter%5D%5B0%5D%5Bverdi%5D=&amp;hva%5B0%5D%5Bid%5D=47/når:2016-02-18", "Vegkart")</f>
        <v>Vegkart</v>
      </c>
      <c r="B6109">
        <v>667906166</v>
      </c>
      <c r="C6109">
        <v>47</v>
      </c>
      <c r="D6109" t="s">
        <v>16854</v>
      </c>
      <c r="E6109">
        <v>5897</v>
      </c>
      <c r="F6109" t="s">
        <v>23479</v>
      </c>
      <c r="G6109">
        <v>1</v>
      </c>
      <c r="H6109" t="s">
        <v>20333</v>
      </c>
      <c r="J6109" t="s">
        <v>20282</v>
      </c>
      <c r="K6109" t="s">
        <v>53</v>
      </c>
      <c r="L6109" t="s">
        <v>33</v>
      </c>
      <c r="M6109" t="s">
        <v>20334</v>
      </c>
      <c r="N6109" t="s">
        <v>20356</v>
      </c>
      <c r="O6109" t="s">
        <v>20357</v>
      </c>
      <c r="P6109" s="2" t="s">
        <v>26</v>
      </c>
      <c r="Q6109" t="s">
        <v>50</v>
      </c>
      <c r="R6109">
        <v>52.59</v>
      </c>
      <c r="S6109">
        <v>53.25</v>
      </c>
      <c r="T6109" t="s">
        <v>20358</v>
      </c>
    </row>
    <row r="6110" spans="1:20" x14ac:dyDescent="0.25">
      <c r="A6110" s="1" t="str">
        <f>HYPERLINK("https://vegkart.atlas.vegvesen.no/#/@398018.6,7328436.4,18/hva:hva%5B0%5D%5Bfilter%5D%5B0%5D%5Boperator%5D=%21%3D&amp;hva%5B0%5D%5Bfilter%5D%5B0%5D%5Btype_id%5D=5897&amp;hva%5B0%5D%5Bfilter%5D%5B0%5D%5Bverdi%5D=&amp;hva%5B0%5D%5Bid%5D=47/når:2016-02-18", "Vegkart")</f>
        <v>Vegkart</v>
      </c>
      <c r="B6110">
        <v>667906167</v>
      </c>
      <c r="C6110">
        <v>47</v>
      </c>
      <c r="D6110" t="s">
        <v>16854</v>
      </c>
      <c r="E6110">
        <v>5897</v>
      </c>
      <c r="F6110" t="s">
        <v>23479</v>
      </c>
      <c r="G6110">
        <v>1</v>
      </c>
      <c r="H6110" t="s">
        <v>20333</v>
      </c>
      <c r="J6110" t="s">
        <v>20282</v>
      </c>
      <c r="K6110" t="s">
        <v>53</v>
      </c>
      <c r="L6110" t="s">
        <v>33</v>
      </c>
      <c r="M6110" t="s">
        <v>20334</v>
      </c>
      <c r="N6110" t="s">
        <v>20359</v>
      </c>
      <c r="O6110" t="s">
        <v>20360</v>
      </c>
      <c r="P6110" s="2" t="s">
        <v>26</v>
      </c>
      <c r="Q6110" t="s">
        <v>50</v>
      </c>
      <c r="R6110">
        <v>43.74</v>
      </c>
      <c r="S6110">
        <v>44.8</v>
      </c>
      <c r="T6110" t="s">
        <v>20361</v>
      </c>
    </row>
    <row r="6111" spans="1:20" x14ac:dyDescent="0.25">
      <c r="A6111" s="1" t="str">
        <f>HYPERLINK("https://vegkart.atlas.vegvesen.no/#/@398371.4,7328549.1,18/hva:hva%5B0%5D%5Bfilter%5D%5B0%5D%5Boperator%5D=%21%3D&amp;hva%5B0%5D%5Bfilter%5D%5B0%5D%5Btype_id%5D=5897&amp;hva%5B0%5D%5Bfilter%5D%5B0%5D%5Bverdi%5D=&amp;hva%5B0%5D%5Bid%5D=47/når:2016-02-18", "Vegkart")</f>
        <v>Vegkart</v>
      </c>
      <c r="B6111">
        <v>667906168</v>
      </c>
      <c r="C6111">
        <v>47</v>
      </c>
      <c r="D6111" t="s">
        <v>16854</v>
      </c>
      <c r="E6111">
        <v>5897</v>
      </c>
      <c r="F6111" t="s">
        <v>23479</v>
      </c>
      <c r="G6111">
        <v>1</v>
      </c>
      <c r="H6111" t="s">
        <v>20333</v>
      </c>
      <c r="J6111" t="s">
        <v>20282</v>
      </c>
      <c r="K6111" t="s">
        <v>53</v>
      </c>
      <c r="L6111" t="s">
        <v>33</v>
      </c>
      <c r="M6111" t="s">
        <v>20334</v>
      </c>
      <c r="N6111" t="s">
        <v>20362</v>
      </c>
      <c r="O6111" t="s">
        <v>20363</v>
      </c>
      <c r="P6111" s="2" t="s">
        <v>26</v>
      </c>
      <c r="Q6111" t="s">
        <v>50</v>
      </c>
      <c r="R6111">
        <v>26.37</v>
      </c>
      <c r="S6111">
        <v>26.92</v>
      </c>
      <c r="T6111" t="s">
        <v>20364</v>
      </c>
    </row>
    <row r="6112" spans="1:20" x14ac:dyDescent="0.25">
      <c r="A6112" s="1" t="str">
        <f>HYPERLINK("https://vegkart.atlas.vegvesen.no/#/@236855.8,6558306.8,18/hva:hva%5B0%5D%5Bfilter%5D%5B0%5D%5Boperator%5D=%21%3D&amp;hva%5B0%5D%5Bfilter%5D%5B0%5D%5Btype_id%5D=5897&amp;hva%5B0%5D%5Bfilter%5D%5B0%5D%5Bverdi%5D=&amp;hva%5B0%5D%5Bid%5D=47/når:2016-04-05", "Vegkart")</f>
        <v>Vegkart</v>
      </c>
      <c r="B6112">
        <v>668525212</v>
      </c>
      <c r="C6112">
        <v>47</v>
      </c>
      <c r="D6112" t="s">
        <v>16854</v>
      </c>
      <c r="E6112">
        <v>5897</v>
      </c>
      <c r="F6112" t="s">
        <v>23479</v>
      </c>
      <c r="G6112">
        <v>2</v>
      </c>
      <c r="H6112" t="s">
        <v>20365</v>
      </c>
      <c r="J6112" t="s">
        <v>20282</v>
      </c>
      <c r="K6112" t="s">
        <v>81</v>
      </c>
      <c r="L6112" t="s">
        <v>33</v>
      </c>
      <c r="M6112" t="s">
        <v>1940</v>
      </c>
      <c r="N6112" t="s">
        <v>20366</v>
      </c>
      <c r="O6112" t="s">
        <v>20367</v>
      </c>
      <c r="P6112" s="2" t="s">
        <v>26</v>
      </c>
      <c r="Q6112" t="s">
        <v>50</v>
      </c>
      <c r="R6112">
        <v>36</v>
      </c>
      <c r="S6112">
        <v>36.43</v>
      </c>
      <c r="T6112" t="s">
        <v>20368</v>
      </c>
    </row>
    <row r="6113" spans="1:20" x14ac:dyDescent="0.25">
      <c r="A6113" s="1" t="str">
        <f>HYPERLINK("https://vegkart.atlas.vegvesen.no/#/@236669.0,6557796.0,18/hva:hva%5B0%5D%5Bfilter%5D%5B0%5D%5Boperator%5D=%21%3D&amp;hva%5B0%5D%5Bfilter%5D%5B0%5D%5Btype_id%5D=5897&amp;hva%5B0%5D%5Bfilter%5D%5B0%5D%5Bverdi%5D=&amp;hva%5B0%5D%5Bid%5D=47/når:2016-04-05", "Vegkart")</f>
        <v>Vegkart</v>
      </c>
      <c r="B6113">
        <v>668525213</v>
      </c>
      <c r="C6113">
        <v>47</v>
      </c>
      <c r="D6113" t="s">
        <v>16854</v>
      </c>
      <c r="E6113">
        <v>5897</v>
      </c>
      <c r="F6113" t="s">
        <v>23479</v>
      </c>
      <c r="G6113">
        <v>2</v>
      </c>
      <c r="H6113" t="s">
        <v>20365</v>
      </c>
      <c r="J6113" t="s">
        <v>20282</v>
      </c>
      <c r="K6113" t="s">
        <v>81</v>
      </c>
      <c r="L6113" t="s">
        <v>33</v>
      </c>
      <c r="M6113" t="s">
        <v>1940</v>
      </c>
      <c r="N6113" t="s">
        <v>20369</v>
      </c>
      <c r="O6113" t="s">
        <v>20370</v>
      </c>
      <c r="P6113" s="2" t="s">
        <v>26</v>
      </c>
      <c r="Q6113" t="s">
        <v>50</v>
      </c>
      <c r="R6113">
        <v>39.14</v>
      </c>
      <c r="S6113">
        <v>39.81</v>
      </c>
      <c r="T6113" t="s">
        <v>20371</v>
      </c>
    </row>
    <row r="6114" spans="1:20" x14ac:dyDescent="0.25">
      <c r="A6114" s="1" t="str">
        <f>HYPERLINK("https://vegkart.atlas.vegvesen.no/#/@236657.2,6557853.7,18/hva:hva%5B0%5D%5Bfilter%5D%5B0%5D%5Boperator%5D=%21%3D&amp;hva%5B0%5D%5Bfilter%5D%5B0%5D%5Btype_id%5D=5897&amp;hva%5B0%5D%5Bfilter%5D%5B0%5D%5Bverdi%5D=&amp;hva%5B0%5D%5Bid%5D=47/når:2016-04-05", "Vegkart")</f>
        <v>Vegkart</v>
      </c>
      <c r="B6114">
        <v>668525214</v>
      </c>
      <c r="C6114">
        <v>47</v>
      </c>
      <c r="D6114" t="s">
        <v>16854</v>
      </c>
      <c r="E6114">
        <v>5897</v>
      </c>
      <c r="F6114" t="s">
        <v>23479</v>
      </c>
      <c r="G6114">
        <v>2</v>
      </c>
      <c r="H6114" t="s">
        <v>20365</v>
      </c>
      <c r="J6114" t="s">
        <v>20282</v>
      </c>
      <c r="K6114" t="s">
        <v>81</v>
      </c>
      <c r="L6114" t="s">
        <v>33</v>
      </c>
      <c r="M6114" t="s">
        <v>1940</v>
      </c>
      <c r="N6114" t="s">
        <v>20372</v>
      </c>
      <c r="O6114" t="s">
        <v>20373</v>
      </c>
      <c r="P6114" s="2" t="s">
        <v>26</v>
      </c>
      <c r="Q6114" t="s">
        <v>50</v>
      </c>
      <c r="R6114">
        <v>50.54</v>
      </c>
      <c r="S6114">
        <v>50.94</v>
      </c>
      <c r="T6114" t="s">
        <v>20374</v>
      </c>
    </row>
    <row r="6115" spans="1:20" x14ac:dyDescent="0.25">
      <c r="A6115" s="1" t="str">
        <f>HYPERLINK("https://vegkart.atlas.vegvesen.no/#/@236655.5,6557467.4,18/hva:hva%5B0%5D%5Bfilter%5D%5B0%5D%5Boperator%5D=%21%3D&amp;hva%5B0%5D%5Bfilter%5D%5B0%5D%5Btype_id%5D=5897&amp;hva%5B0%5D%5Bfilter%5D%5B0%5D%5Bverdi%5D=&amp;hva%5B0%5D%5Bid%5D=47/når:2016-04-05", "Vegkart")</f>
        <v>Vegkart</v>
      </c>
      <c r="B6115">
        <v>668525215</v>
      </c>
      <c r="C6115">
        <v>47</v>
      </c>
      <c r="D6115" t="s">
        <v>16854</v>
      </c>
      <c r="E6115">
        <v>5897</v>
      </c>
      <c r="F6115" t="s">
        <v>23479</v>
      </c>
      <c r="G6115">
        <v>2</v>
      </c>
      <c r="H6115" t="s">
        <v>20365</v>
      </c>
      <c r="J6115" t="s">
        <v>20282</v>
      </c>
      <c r="K6115" t="s">
        <v>81</v>
      </c>
      <c r="L6115" t="s">
        <v>33</v>
      </c>
      <c r="M6115" t="s">
        <v>1940</v>
      </c>
      <c r="N6115" t="s">
        <v>20375</v>
      </c>
      <c r="O6115" t="s">
        <v>20376</v>
      </c>
      <c r="P6115" s="2" t="s">
        <v>26</v>
      </c>
      <c r="Q6115" t="s">
        <v>50</v>
      </c>
      <c r="R6115">
        <v>62.7</v>
      </c>
      <c r="S6115">
        <v>63.04</v>
      </c>
      <c r="T6115" t="s">
        <v>20377</v>
      </c>
    </row>
    <row r="6116" spans="1:20" x14ac:dyDescent="0.25">
      <c r="A6116" s="1" t="str">
        <f>HYPERLINK("https://vegkart.atlas.vegvesen.no/#/@236603.6,6556991.6,18/hva:hva%5B0%5D%5Bfilter%5D%5B0%5D%5Boperator%5D=%21%3D&amp;hva%5B0%5D%5Bfilter%5D%5B0%5D%5Btype_id%5D=5897&amp;hva%5B0%5D%5Bfilter%5D%5B0%5D%5Bverdi%5D=&amp;hva%5B0%5D%5Bid%5D=47/når:2016-04-05", "Vegkart")</f>
        <v>Vegkart</v>
      </c>
      <c r="B6116">
        <v>668525216</v>
      </c>
      <c r="C6116">
        <v>47</v>
      </c>
      <c r="D6116" t="s">
        <v>16854</v>
      </c>
      <c r="E6116">
        <v>5897</v>
      </c>
      <c r="F6116" t="s">
        <v>23479</v>
      </c>
      <c r="G6116">
        <v>2</v>
      </c>
      <c r="H6116" t="s">
        <v>20365</v>
      </c>
      <c r="J6116" t="s">
        <v>20282</v>
      </c>
      <c r="K6116" t="s">
        <v>81</v>
      </c>
      <c r="L6116" t="s">
        <v>33</v>
      </c>
      <c r="M6116" t="s">
        <v>1940</v>
      </c>
      <c r="N6116" t="s">
        <v>20378</v>
      </c>
      <c r="O6116" t="s">
        <v>20379</v>
      </c>
      <c r="P6116" s="2" t="s">
        <v>26</v>
      </c>
      <c r="Q6116" t="s">
        <v>50</v>
      </c>
      <c r="R6116">
        <v>46.15</v>
      </c>
      <c r="S6116">
        <v>46.53</v>
      </c>
      <c r="T6116" t="s">
        <v>20380</v>
      </c>
    </row>
    <row r="6117" spans="1:20" x14ac:dyDescent="0.25">
      <c r="A6117" s="1" t="str">
        <f>HYPERLINK("https://vegkart.atlas.vegvesen.no/#/@236757.3,6556328.5,18/hva:hva%5B0%5D%5Bfilter%5D%5B0%5D%5Boperator%5D=%21%3D&amp;hva%5B0%5D%5Bfilter%5D%5B0%5D%5Btype_id%5D=5897&amp;hva%5B0%5D%5Bfilter%5D%5B0%5D%5Bverdi%5D=&amp;hva%5B0%5D%5Bid%5D=47/når:2016-04-05", "Vegkart")</f>
        <v>Vegkart</v>
      </c>
      <c r="B6117">
        <v>668525217</v>
      </c>
      <c r="C6117">
        <v>47</v>
      </c>
      <c r="D6117" t="s">
        <v>16854</v>
      </c>
      <c r="E6117">
        <v>5897</v>
      </c>
      <c r="F6117" t="s">
        <v>23479</v>
      </c>
      <c r="G6117">
        <v>2</v>
      </c>
      <c r="H6117" t="s">
        <v>20365</v>
      </c>
      <c r="J6117" t="s">
        <v>20282</v>
      </c>
      <c r="K6117" t="s">
        <v>81</v>
      </c>
      <c r="L6117" t="s">
        <v>33</v>
      </c>
      <c r="M6117" t="s">
        <v>1940</v>
      </c>
      <c r="N6117" t="s">
        <v>20381</v>
      </c>
      <c r="O6117" t="s">
        <v>20382</v>
      </c>
      <c r="P6117" s="2" t="s">
        <v>26</v>
      </c>
      <c r="Q6117" t="s">
        <v>50</v>
      </c>
      <c r="R6117">
        <v>53.18</v>
      </c>
      <c r="S6117">
        <v>53.67</v>
      </c>
      <c r="T6117" t="s">
        <v>20383</v>
      </c>
    </row>
    <row r="6118" spans="1:20" x14ac:dyDescent="0.25">
      <c r="A6118" s="1" t="str">
        <f>HYPERLINK("https://vegkart.atlas.vegvesen.no/#/@236746.6,6556328.2,18/hva:hva%5B0%5D%5Bfilter%5D%5B0%5D%5Boperator%5D=%21%3D&amp;hva%5B0%5D%5Bfilter%5D%5B0%5D%5Btype_id%5D=5897&amp;hva%5B0%5D%5Bfilter%5D%5B0%5D%5Bverdi%5D=&amp;hva%5B0%5D%5Bid%5D=47/når:2012-08-07", "Vegkart")</f>
        <v>Vegkart</v>
      </c>
      <c r="B6118">
        <v>668525218</v>
      </c>
      <c r="C6118">
        <v>47</v>
      </c>
      <c r="D6118" t="s">
        <v>16854</v>
      </c>
      <c r="E6118">
        <v>5897</v>
      </c>
      <c r="F6118" t="s">
        <v>23479</v>
      </c>
      <c r="G6118">
        <v>1</v>
      </c>
      <c r="H6118" t="s">
        <v>20384</v>
      </c>
      <c r="J6118" t="s">
        <v>20282</v>
      </c>
      <c r="K6118" t="s">
        <v>81</v>
      </c>
      <c r="L6118" t="s">
        <v>33</v>
      </c>
      <c r="M6118" t="s">
        <v>1940</v>
      </c>
      <c r="N6118" t="s">
        <v>20385</v>
      </c>
      <c r="O6118" t="s">
        <v>20386</v>
      </c>
      <c r="P6118" s="2" t="s">
        <v>26</v>
      </c>
      <c r="Q6118" t="s">
        <v>50</v>
      </c>
      <c r="R6118">
        <v>43.61</v>
      </c>
      <c r="S6118">
        <v>44.21</v>
      </c>
      <c r="T6118" t="s">
        <v>20387</v>
      </c>
    </row>
    <row r="6119" spans="1:20" x14ac:dyDescent="0.25">
      <c r="A6119" s="1" t="str">
        <f>HYPERLINK("https://vegkart.atlas.vegvesen.no/#/@236611.8,6557401.0,18/hva:hva%5B0%5D%5Bfilter%5D%5B0%5D%5Boperator%5D=%21%3D&amp;hva%5B0%5D%5Bfilter%5D%5B0%5D%5Btype_id%5D=5897&amp;hva%5B0%5D%5Bfilter%5D%5B0%5D%5Bverdi%5D=&amp;hva%5B0%5D%5Bid%5D=47/når:2016-04-05", "Vegkart")</f>
        <v>Vegkart</v>
      </c>
      <c r="B6119">
        <v>668525219</v>
      </c>
      <c r="C6119">
        <v>47</v>
      </c>
      <c r="D6119" t="s">
        <v>16854</v>
      </c>
      <c r="E6119">
        <v>5897</v>
      </c>
      <c r="F6119" t="s">
        <v>23479</v>
      </c>
      <c r="G6119">
        <v>2</v>
      </c>
      <c r="H6119" t="s">
        <v>20365</v>
      </c>
      <c r="J6119" t="s">
        <v>20282</v>
      </c>
      <c r="K6119" t="s">
        <v>81</v>
      </c>
      <c r="L6119" t="s">
        <v>33</v>
      </c>
      <c r="M6119" t="s">
        <v>1940</v>
      </c>
      <c r="N6119" t="s">
        <v>20388</v>
      </c>
      <c r="O6119" t="s">
        <v>20389</v>
      </c>
      <c r="P6119" s="2" t="s">
        <v>26</v>
      </c>
      <c r="Q6119" t="s">
        <v>50</v>
      </c>
      <c r="R6119">
        <v>67.63</v>
      </c>
      <c r="S6119">
        <v>68.52</v>
      </c>
      <c r="T6119" t="s">
        <v>20390</v>
      </c>
    </row>
    <row r="6120" spans="1:20" x14ac:dyDescent="0.25">
      <c r="A6120" s="1" t="str">
        <f>HYPERLINK("https://vegkart.atlas.vegvesen.no/#/@138851.2,6503720.4,18/hva:hva%5B0%5D%5Bfilter%5D%5B0%5D%5Boperator%5D=%21%3D&amp;hva%5B0%5D%5Bfilter%5D%5B0%5D%5Btype_id%5D=5897&amp;hva%5B0%5D%5Bfilter%5D%5B0%5D%5Bverdi%5D=&amp;hva%5B0%5D%5Bid%5D=47/når:2016-02-10", "Vegkart")</f>
        <v>Vegkart</v>
      </c>
      <c r="B6120">
        <v>669790142</v>
      </c>
      <c r="C6120">
        <v>47</v>
      </c>
      <c r="D6120" t="s">
        <v>16854</v>
      </c>
      <c r="E6120">
        <v>5897</v>
      </c>
      <c r="F6120" t="s">
        <v>23479</v>
      </c>
      <c r="G6120">
        <v>1</v>
      </c>
      <c r="H6120" t="s">
        <v>20316</v>
      </c>
      <c r="J6120" t="s">
        <v>20282</v>
      </c>
      <c r="K6120" t="s">
        <v>86</v>
      </c>
      <c r="L6120" t="s">
        <v>33</v>
      </c>
      <c r="M6120" t="s">
        <v>638</v>
      </c>
      <c r="N6120" t="s">
        <v>20391</v>
      </c>
      <c r="O6120" t="s">
        <v>20392</v>
      </c>
      <c r="P6120" s="2" t="s">
        <v>26</v>
      </c>
      <c r="Q6120" t="s">
        <v>50</v>
      </c>
      <c r="R6120">
        <v>63.97</v>
      </c>
      <c r="S6120">
        <v>64.739999999999995</v>
      </c>
      <c r="T6120" t="s">
        <v>20393</v>
      </c>
    </row>
    <row r="6121" spans="1:20" x14ac:dyDescent="0.25">
      <c r="A6121" s="1" t="str">
        <f>HYPERLINK("https://vegkart.atlas.vegvesen.no/#/@138736.3,6503607.1,18/hva:hva%5B0%5D%5Bfilter%5D%5B0%5D%5Boperator%5D=%21%3D&amp;hva%5B0%5D%5Bfilter%5D%5B0%5D%5Btype_id%5D=5897&amp;hva%5B0%5D%5Bfilter%5D%5B0%5D%5Bverdi%5D=&amp;hva%5B0%5D%5Bid%5D=47/når:2016-02-10", "Vegkart")</f>
        <v>Vegkart</v>
      </c>
      <c r="B6121">
        <v>669790143</v>
      </c>
      <c r="C6121">
        <v>47</v>
      </c>
      <c r="D6121" t="s">
        <v>16854</v>
      </c>
      <c r="E6121">
        <v>5897</v>
      </c>
      <c r="F6121" t="s">
        <v>23479</v>
      </c>
      <c r="G6121">
        <v>1</v>
      </c>
      <c r="H6121" t="s">
        <v>20316</v>
      </c>
      <c r="J6121" t="s">
        <v>20282</v>
      </c>
      <c r="K6121" t="s">
        <v>86</v>
      </c>
      <c r="L6121" t="s">
        <v>33</v>
      </c>
      <c r="M6121" t="s">
        <v>638</v>
      </c>
      <c r="N6121" t="s">
        <v>20394</v>
      </c>
      <c r="O6121" t="s">
        <v>20395</v>
      </c>
      <c r="P6121" s="2" t="s">
        <v>26</v>
      </c>
      <c r="Q6121" t="s">
        <v>50</v>
      </c>
      <c r="R6121">
        <v>69.709999999999994</v>
      </c>
      <c r="S6121">
        <v>70</v>
      </c>
      <c r="T6121" t="s">
        <v>20396</v>
      </c>
    </row>
    <row r="6122" spans="1:20" x14ac:dyDescent="0.25">
      <c r="A6122" s="1" t="str">
        <f>HYPERLINK("https://vegkart.atlas.vegvesen.no/#/@-31411.2,6634050.4,18/hva:hva%5B0%5D%5Bfilter%5D%5B0%5D%5Boperator%5D=%21%3D&amp;hva%5B0%5D%5Bfilter%5D%5B0%5D%5Btype_id%5D=5897&amp;hva%5B0%5D%5Bfilter%5D%5B0%5D%5Bverdi%5D=&amp;hva%5B0%5D%5Bid%5D=47/når:2019-07-05", "Vegkart")</f>
        <v>Vegkart</v>
      </c>
      <c r="B6122">
        <v>670357567</v>
      </c>
      <c r="C6122">
        <v>47</v>
      </c>
      <c r="D6122" t="s">
        <v>16854</v>
      </c>
      <c r="E6122">
        <v>5897</v>
      </c>
      <c r="F6122" t="s">
        <v>23479</v>
      </c>
      <c r="G6122">
        <v>3</v>
      </c>
      <c r="H6122" t="s">
        <v>14275</v>
      </c>
      <c r="J6122" t="s">
        <v>20282</v>
      </c>
      <c r="K6122" t="s">
        <v>170</v>
      </c>
      <c r="L6122" t="s">
        <v>80</v>
      </c>
      <c r="M6122" t="s">
        <v>645</v>
      </c>
      <c r="N6122" t="s">
        <v>20397</v>
      </c>
      <c r="O6122" t="s">
        <v>20398</v>
      </c>
      <c r="P6122" s="2" t="s">
        <v>26</v>
      </c>
      <c r="Q6122" t="s">
        <v>50</v>
      </c>
      <c r="R6122">
        <v>76.38</v>
      </c>
      <c r="S6122">
        <v>77.06</v>
      </c>
      <c r="T6122" t="s">
        <v>20399</v>
      </c>
    </row>
    <row r="6123" spans="1:20" x14ac:dyDescent="0.25">
      <c r="A6123" s="1" t="str">
        <f>HYPERLINK("https://vegkart.atlas.vegvesen.no/#/@285987.5,6748649.4,18/hva:hva%5B0%5D%5Bfilter%5D%5B0%5D%5Boperator%5D=%21%3D&amp;hva%5B0%5D%5Bfilter%5D%5B0%5D%5Btype_id%5D=5897&amp;hva%5B0%5D%5Bfilter%5D%5B0%5D%5Bverdi%5D=&amp;hva%5B0%5D%5Bid%5D=47/når:2024-08-01", "Vegkart")</f>
        <v>Vegkart</v>
      </c>
      <c r="B6123">
        <v>670368382</v>
      </c>
      <c r="C6123">
        <v>47</v>
      </c>
      <c r="D6123" t="s">
        <v>16854</v>
      </c>
      <c r="E6123">
        <v>5897</v>
      </c>
      <c r="F6123" t="s">
        <v>23479</v>
      </c>
      <c r="G6123">
        <v>2</v>
      </c>
      <c r="H6123" t="s">
        <v>20400</v>
      </c>
      <c r="J6123" t="s">
        <v>20282</v>
      </c>
      <c r="K6123" t="s">
        <v>136</v>
      </c>
      <c r="L6123" t="s">
        <v>33</v>
      </c>
      <c r="M6123" t="s">
        <v>20401</v>
      </c>
      <c r="N6123" t="s">
        <v>20402</v>
      </c>
      <c r="O6123" t="s">
        <v>20403</v>
      </c>
      <c r="P6123" s="2" t="s">
        <v>165</v>
      </c>
      <c r="Q6123" t="s">
        <v>166</v>
      </c>
      <c r="R6123">
        <v>52.26</v>
      </c>
      <c r="S6123">
        <v>52.44</v>
      </c>
      <c r="T6123" t="s">
        <v>167</v>
      </c>
    </row>
    <row r="6124" spans="1:20" x14ac:dyDescent="0.25">
      <c r="A6124" s="1" t="str">
        <f>HYPERLINK("https://vegkart.atlas.vegvesen.no/#/@219137.0,6845152.5,18/hva:hva%5B0%5D%5Bfilter%5D%5B0%5D%5Boperator%5D=%21%3D&amp;hva%5B0%5D%5Bfilter%5D%5B0%5D%5Btype_id%5D=5897&amp;hva%5B0%5D%5Bfilter%5D%5B0%5D%5Bverdi%5D=&amp;hva%5B0%5D%5Bid%5D=47/når:2024-10-23", "Vegkart")</f>
        <v>Vegkart</v>
      </c>
      <c r="B6124">
        <v>671325257</v>
      </c>
      <c r="C6124">
        <v>47</v>
      </c>
      <c r="D6124" t="s">
        <v>16854</v>
      </c>
      <c r="E6124">
        <v>5897</v>
      </c>
      <c r="F6124" t="s">
        <v>23479</v>
      </c>
      <c r="G6124">
        <v>2</v>
      </c>
      <c r="H6124" t="s">
        <v>2375</v>
      </c>
      <c r="J6124" t="s">
        <v>20282</v>
      </c>
      <c r="K6124" t="s">
        <v>136</v>
      </c>
      <c r="L6124" t="s">
        <v>80</v>
      </c>
      <c r="M6124" t="s">
        <v>105</v>
      </c>
      <c r="N6124" t="s">
        <v>20404</v>
      </c>
      <c r="O6124" t="s">
        <v>20405</v>
      </c>
      <c r="P6124" s="2" t="s">
        <v>26</v>
      </c>
      <c r="Q6124" t="s">
        <v>50</v>
      </c>
      <c r="R6124">
        <v>105.04</v>
      </c>
      <c r="S6124">
        <v>121.88</v>
      </c>
      <c r="T6124" t="s">
        <v>20406</v>
      </c>
    </row>
    <row r="6125" spans="1:20" x14ac:dyDescent="0.25">
      <c r="A6125" s="1" t="str">
        <f>HYPERLINK("https://vegkart.atlas.vegvesen.no/#/@218862.5,6845858.3,18/hva:hva%5B0%5D%5Bfilter%5D%5B0%5D%5Boperator%5D=%21%3D&amp;hva%5B0%5D%5Bfilter%5D%5B0%5D%5Btype_id%5D=5897&amp;hva%5B0%5D%5Bfilter%5D%5B0%5D%5Bverdi%5D=&amp;hva%5B0%5D%5Bid%5D=47/når:2016-03-08", "Vegkart")</f>
        <v>Vegkart</v>
      </c>
      <c r="B6125">
        <v>671325258</v>
      </c>
      <c r="C6125">
        <v>47</v>
      </c>
      <c r="D6125" t="s">
        <v>16854</v>
      </c>
      <c r="E6125">
        <v>5897</v>
      </c>
      <c r="F6125" t="s">
        <v>23479</v>
      </c>
      <c r="G6125">
        <v>1</v>
      </c>
      <c r="H6125" t="s">
        <v>20407</v>
      </c>
      <c r="J6125" t="s">
        <v>20282</v>
      </c>
      <c r="K6125" t="s">
        <v>136</v>
      </c>
      <c r="L6125" t="s">
        <v>80</v>
      </c>
      <c r="M6125" t="s">
        <v>105</v>
      </c>
      <c r="N6125" t="s">
        <v>20408</v>
      </c>
      <c r="O6125" t="s">
        <v>20409</v>
      </c>
      <c r="P6125" s="2" t="s">
        <v>26</v>
      </c>
      <c r="Q6125" t="s">
        <v>50</v>
      </c>
      <c r="R6125">
        <v>90.11</v>
      </c>
      <c r="S6125">
        <v>90.45</v>
      </c>
      <c r="T6125" t="s">
        <v>20410</v>
      </c>
    </row>
    <row r="6126" spans="1:20" x14ac:dyDescent="0.25">
      <c r="A6126" s="1" t="str">
        <f>HYPERLINK("https://vegkart.atlas.vegvesen.no/#/@218686.9,6846596.8,18/hva:hva%5B0%5D%5Bfilter%5D%5B0%5D%5Boperator%5D=%21%3D&amp;hva%5B0%5D%5Bfilter%5D%5B0%5D%5Btype_id%5D=5897&amp;hva%5B0%5D%5Bfilter%5D%5B0%5D%5Bverdi%5D=&amp;hva%5B0%5D%5Bid%5D=47/når:2016-03-08", "Vegkart")</f>
        <v>Vegkart</v>
      </c>
      <c r="B6126">
        <v>671325259</v>
      </c>
      <c r="C6126">
        <v>47</v>
      </c>
      <c r="D6126" t="s">
        <v>16854</v>
      </c>
      <c r="E6126">
        <v>5897</v>
      </c>
      <c r="F6126" t="s">
        <v>23479</v>
      </c>
      <c r="G6126">
        <v>1</v>
      </c>
      <c r="H6126" t="s">
        <v>20407</v>
      </c>
      <c r="J6126" t="s">
        <v>20282</v>
      </c>
      <c r="K6126" t="s">
        <v>136</v>
      </c>
      <c r="L6126" t="s">
        <v>80</v>
      </c>
      <c r="M6126" t="s">
        <v>105</v>
      </c>
      <c r="N6126" t="s">
        <v>20411</v>
      </c>
      <c r="O6126" t="s">
        <v>20412</v>
      </c>
      <c r="P6126" s="2" t="s">
        <v>26</v>
      </c>
      <c r="Q6126" t="s">
        <v>50</v>
      </c>
      <c r="R6126">
        <v>90.05</v>
      </c>
      <c r="S6126">
        <v>90.31</v>
      </c>
      <c r="T6126" t="s">
        <v>20413</v>
      </c>
    </row>
    <row r="6127" spans="1:20" x14ac:dyDescent="0.25">
      <c r="A6127" s="1" t="str">
        <f>HYPERLINK("https://vegkart.atlas.vegvesen.no/#/@218555.5,6847062.9,18/hva:hva%5B0%5D%5Bfilter%5D%5B0%5D%5Boperator%5D=%21%3D&amp;hva%5B0%5D%5Bfilter%5D%5B0%5D%5Btype_id%5D=5897&amp;hva%5B0%5D%5Bfilter%5D%5B0%5D%5Bverdi%5D=&amp;hva%5B0%5D%5Bid%5D=47/når:2016-03-08", "Vegkart")</f>
        <v>Vegkart</v>
      </c>
      <c r="B6127">
        <v>671325260</v>
      </c>
      <c r="C6127">
        <v>47</v>
      </c>
      <c r="D6127" t="s">
        <v>16854</v>
      </c>
      <c r="E6127">
        <v>5897</v>
      </c>
      <c r="F6127" t="s">
        <v>23479</v>
      </c>
      <c r="G6127">
        <v>1</v>
      </c>
      <c r="H6127" t="s">
        <v>20407</v>
      </c>
      <c r="J6127" t="s">
        <v>20282</v>
      </c>
      <c r="K6127" t="s">
        <v>136</v>
      </c>
      <c r="L6127" t="s">
        <v>80</v>
      </c>
      <c r="M6127" t="s">
        <v>105</v>
      </c>
      <c r="N6127" t="s">
        <v>20414</v>
      </c>
      <c r="O6127" t="s">
        <v>20415</v>
      </c>
      <c r="P6127" s="2" t="s">
        <v>26</v>
      </c>
      <c r="Q6127" t="s">
        <v>50</v>
      </c>
      <c r="R6127">
        <v>104.95</v>
      </c>
      <c r="S6127">
        <v>121.72</v>
      </c>
      <c r="T6127" t="s">
        <v>20416</v>
      </c>
    </row>
    <row r="6128" spans="1:20" x14ac:dyDescent="0.25">
      <c r="A6128" s="1" t="str">
        <f>HYPERLINK("https://vegkart.atlas.vegvesen.no/#/@218384.6,6847516.3,18/hva:hva%5B0%5D%5Bfilter%5D%5B0%5D%5Boperator%5D=%21%3D&amp;hva%5B0%5D%5Bfilter%5D%5B0%5D%5Btype_id%5D=5897&amp;hva%5B0%5D%5Bfilter%5D%5B0%5D%5Bverdi%5D=&amp;hva%5B0%5D%5Bid%5D=47/når:2016-03-08", "Vegkart")</f>
        <v>Vegkart</v>
      </c>
      <c r="B6128">
        <v>671325261</v>
      </c>
      <c r="C6128">
        <v>47</v>
      </c>
      <c r="D6128" t="s">
        <v>16854</v>
      </c>
      <c r="E6128">
        <v>5897</v>
      </c>
      <c r="F6128" t="s">
        <v>23479</v>
      </c>
      <c r="G6128">
        <v>1</v>
      </c>
      <c r="H6128" t="s">
        <v>20407</v>
      </c>
      <c r="J6128" t="s">
        <v>20282</v>
      </c>
      <c r="K6128" t="s">
        <v>136</v>
      </c>
      <c r="L6128" t="s">
        <v>80</v>
      </c>
      <c r="M6128" t="s">
        <v>105</v>
      </c>
      <c r="N6128" t="s">
        <v>20417</v>
      </c>
      <c r="O6128" t="s">
        <v>20418</v>
      </c>
      <c r="P6128" s="2" t="s">
        <v>26</v>
      </c>
      <c r="Q6128" t="s">
        <v>50</v>
      </c>
      <c r="R6128">
        <v>89.97</v>
      </c>
      <c r="S6128">
        <v>90.23</v>
      </c>
      <c r="T6128" t="s">
        <v>20419</v>
      </c>
    </row>
    <row r="6129" spans="1:20" x14ac:dyDescent="0.25">
      <c r="A6129" s="1" t="str">
        <f>HYPERLINK("https://vegkart.atlas.vegvesen.no/#/@218793.9,6846092.4,18/hva:hva%5B0%5D%5Bfilter%5D%5B0%5D%5Boperator%5D=%21%3D&amp;hva%5B0%5D%5Bfilter%5D%5B0%5D%5Btype_id%5D=5897&amp;hva%5B0%5D%5Bfilter%5D%5B0%5D%5Bverdi%5D=&amp;hva%5B0%5D%5Bid%5D=47/når:2016-03-08", "Vegkart")</f>
        <v>Vegkart</v>
      </c>
      <c r="B6129">
        <v>671325262</v>
      </c>
      <c r="C6129">
        <v>47</v>
      </c>
      <c r="D6129" t="s">
        <v>16854</v>
      </c>
      <c r="E6129">
        <v>5897</v>
      </c>
      <c r="F6129" t="s">
        <v>23479</v>
      </c>
      <c r="G6129">
        <v>1</v>
      </c>
      <c r="H6129" t="s">
        <v>20407</v>
      </c>
      <c r="J6129" t="s">
        <v>20282</v>
      </c>
      <c r="K6129" t="s">
        <v>136</v>
      </c>
      <c r="L6129" t="s">
        <v>80</v>
      </c>
      <c r="M6129" t="s">
        <v>105</v>
      </c>
      <c r="N6129" t="s">
        <v>20420</v>
      </c>
      <c r="O6129" t="s">
        <v>20421</v>
      </c>
      <c r="P6129" s="2" t="s">
        <v>26</v>
      </c>
      <c r="Q6129" t="s">
        <v>50</v>
      </c>
      <c r="R6129">
        <v>105.08</v>
      </c>
      <c r="S6129">
        <v>122.03</v>
      </c>
      <c r="T6129" t="s">
        <v>20422</v>
      </c>
    </row>
    <row r="6130" spans="1:20" x14ac:dyDescent="0.25">
      <c r="A6130" s="1" t="str">
        <f>HYPERLINK("https://vegkart.atlas.vegvesen.no/#/@218939.2,6845629.0,18/hva:hva%5B0%5D%5Bfilter%5D%5B0%5D%5Boperator%5D=%21%3D&amp;hva%5B0%5D%5Bfilter%5D%5B0%5D%5Btype_id%5D=5897&amp;hva%5B0%5D%5Bfilter%5D%5B0%5D%5Bverdi%5D=&amp;hva%5B0%5D%5Bid%5D=47/når:2016-03-08", "Vegkart")</f>
        <v>Vegkart</v>
      </c>
      <c r="B6130">
        <v>671325263</v>
      </c>
      <c r="C6130">
        <v>47</v>
      </c>
      <c r="D6130" t="s">
        <v>16854</v>
      </c>
      <c r="E6130">
        <v>5897</v>
      </c>
      <c r="F6130" t="s">
        <v>23479</v>
      </c>
      <c r="G6130">
        <v>1</v>
      </c>
      <c r="H6130" t="s">
        <v>20407</v>
      </c>
      <c r="J6130" t="s">
        <v>20282</v>
      </c>
      <c r="K6130" t="s">
        <v>136</v>
      </c>
      <c r="L6130" t="s">
        <v>80</v>
      </c>
      <c r="M6130" t="s">
        <v>105</v>
      </c>
      <c r="N6130" t="s">
        <v>20423</v>
      </c>
      <c r="O6130" t="s">
        <v>20424</v>
      </c>
      <c r="P6130" s="2" t="s">
        <v>26</v>
      </c>
      <c r="Q6130" t="s">
        <v>50</v>
      </c>
      <c r="R6130">
        <v>90.13</v>
      </c>
      <c r="S6130">
        <v>90.47</v>
      </c>
      <c r="T6130" t="s">
        <v>20425</v>
      </c>
    </row>
    <row r="6131" spans="1:20" x14ac:dyDescent="0.25">
      <c r="A6131" s="1" t="str">
        <f>HYPERLINK("https://vegkart.atlas.vegvesen.no/#/@219359.9,6844721.3,18/hva:hva%5B0%5D%5Bfilter%5D%5B0%5D%5Boperator%5D=%21%3D&amp;hva%5B0%5D%5Bfilter%5D%5B0%5D%5Btype_id%5D=5897&amp;hva%5B0%5D%5Bfilter%5D%5B0%5D%5Bverdi%5D=&amp;hva%5B0%5D%5Bid%5D=47/når:2016-03-08", "Vegkart")</f>
        <v>Vegkart</v>
      </c>
      <c r="B6131">
        <v>671325264</v>
      </c>
      <c r="C6131">
        <v>47</v>
      </c>
      <c r="D6131" t="s">
        <v>16854</v>
      </c>
      <c r="E6131">
        <v>5897</v>
      </c>
      <c r="F6131" t="s">
        <v>23479</v>
      </c>
      <c r="G6131">
        <v>1</v>
      </c>
      <c r="H6131" t="s">
        <v>20407</v>
      </c>
      <c r="J6131" t="s">
        <v>20282</v>
      </c>
      <c r="K6131" t="s">
        <v>136</v>
      </c>
      <c r="L6131" t="s">
        <v>80</v>
      </c>
      <c r="M6131" t="s">
        <v>105</v>
      </c>
      <c r="N6131" t="s">
        <v>20426</v>
      </c>
      <c r="O6131" t="s">
        <v>20427</v>
      </c>
      <c r="P6131" s="2" t="s">
        <v>26</v>
      </c>
      <c r="Q6131" t="s">
        <v>50</v>
      </c>
      <c r="R6131">
        <v>89.98</v>
      </c>
      <c r="S6131">
        <v>90.28</v>
      </c>
      <c r="T6131" t="s">
        <v>20428</v>
      </c>
    </row>
    <row r="6132" spans="1:20" x14ac:dyDescent="0.25">
      <c r="A6132" s="1" t="str">
        <f>HYPERLINK("https://vegkart.atlas.vegvesen.no/#/@219469.8,6844507.8,18/hva:hva%5B0%5D%5Bfilter%5D%5B0%5D%5Boperator%5D=%21%3D&amp;hva%5B0%5D%5Bfilter%5D%5B0%5D%5Btype_id%5D=5897&amp;hva%5B0%5D%5Bfilter%5D%5B0%5D%5Bverdi%5D=&amp;hva%5B0%5D%5Bid%5D=47/når:2016-03-08", "Vegkart")</f>
        <v>Vegkart</v>
      </c>
      <c r="B6132">
        <v>671325265</v>
      </c>
      <c r="C6132">
        <v>47</v>
      </c>
      <c r="D6132" t="s">
        <v>16854</v>
      </c>
      <c r="E6132">
        <v>5897</v>
      </c>
      <c r="F6132" t="s">
        <v>23479</v>
      </c>
      <c r="G6132">
        <v>1</v>
      </c>
      <c r="H6132" t="s">
        <v>20407</v>
      </c>
      <c r="J6132" t="s">
        <v>20282</v>
      </c>
      <c r="K6132" t="s">
        <v>136</v>
      </c>
      <c r="L6132" t="s">
        <v>80</v>
      </c>
      <c r="M6132" t="s">
        <v>105</v>
      </c>
      <c r="N6132" t="s">
        <v>20429</v>
      </c>
      <c r="O6132" t="s">
        <v>20430</v>
      </c>
      <c r="P6132" s="2" t="s">
        <v>26</v>
      </c>
      <c r="Q6132" t="s">
        <v>50</v>
      </c>
      <c r="R6132">
        <v>90.06</v>
      </c>
      <c r="S6132">
        <v>90.36</v>
      </c>
      <c r="T6132" t="s">
        <v>20431</v>
      </c>
    </row>
    <row r="6133" spans="1:20" x14ac:dyDescent="0.25">
      <c r="A6133" s="1" t="str">
        <f>HYPERLINK("https://vegkart.atlas.vegvesen.no/#/@-31184.2,6747855.3,18/hva:hva%5B0%5D%5Bfilter%5D%5B0%5D%5Boperator%5D=%21%3D&amp;hva%5B0%5D%5Bfilter%5D%5B0%5D%5Btype_id%5D=5897&amp;hva%5B0%5D%5Bfilter%5D%5B0%5D%5Bverdi%5D=&amp;hva%5B0%5D%5Bid%5D=47/når:2020-03-27", "Vegkart")</f>
        <v>Vegkart</v>
      </c>
      <c r="B6133">
        <v>671568707</v>
      </c>
      <c r="C6133">
        <v>47</v>
      </c>
      <c r="D6133" t="s">
        <v>16854</v>
      </c>
      <c r="E6133">
        <v>5897</v>
      </c>
      <c r="F6133" t="s">
        <v>23479</v>
      </c>
      <c r="G6133">
        <v>2</v>
      </c>
      <c r="H6133" t="s">
        <v>1567</v>
      </c>
      <c r="J6133" t="s">
        <v>20282</v>
      </c>
      <c r="K6133" t="s">
        <v>21</v>
      </c>
      <c r="L6133" t="s">
        <v>80</v>
      </c>
      <c r="M6133" t="s">
        <v>81</v>
      </c>
      <c r="N6133" t="s">
        <v>20432</v>
      </c>
      <c r="O6133" t="s">
        <v>20433</v>
      </c>
      <c r="P6133" s="2" t="s">
        <v>26</v>
      </c>
      <c r="Q6133" t="s">
        <v>50</v>
      </c>
      <c r="R6133">
        <v>48.46</v>
      </c>
      <c r="S6133">
        <v>49.14</v>
      </c>
      <c r="T6133" t="s">
        <v>20434</v>
      </c>
    </row>
    <row r="6134" spans="1:20" x14ac:dyDescent="0.25">
      <c r="A6134" s="1" t="str">
        <f>HYPERLINK("https://vegkart.atlas.vegvesen.no/#/@242557.3,6593392.0,18/hva:hva%5B0%5D%5Bfilter%5D%5B0%5D%5Boperator%5D=%21%3D&amp;hva%5B0%5D%5Bfilter%5D%5B0%5D%5Btype_id%5D=5897&amp;hva%5B0%5D%5Bfilter%5D%5B0%5D%5Bverdi%5D=&amp;hva%5B0%5D%5Bid%5D=47/når:2017-06-23", "Vegkart")</f>
        <v>Vegkart</v>
      </c>
      <c r="B6134">
        <v>671925588</v>
      </c>
      <c r="C6134">
        <v>47</v>
      </c>
      <c r="D6134" t="s">
        <v>16854</v>
      </c>
      <c r="E6134">
        <v>5897</v>
      </c>
      <c r="F6134" t="s">
        <v>23479</v>
      </c>
      <c r="G6134">
        <v>2</v>
      </c>
      <c r="H6134" t="s">
        <v>20435</v>
      </c>
      <c r="J6134" t="s">
        <v>20282</v>
      </c>
      <c r="K6134" t="s">
        <v>81</v>
      </c>
      <c r="L6134" t="s">
        <v>33</v>
      </c>
      <c r="M6134" t="s">
        <v>4357</v>
      </c>
      <c r="N6134" t="s">
        <v>20436</v>
      </c>
      <c r="O6134" t="s">
        <v>20437</v>
      </c>
      <c r="P6134" s="2" t="s">
        <v>26</v>
      </c>
      <c r="Q6134" t="s">
        <v>50</v>
      </c>
      <c r="R6134">
        <v>55.61</v>
      </c>
      <c r="S6134">
        <v>55.82</v>
      </c>
      <c r="T6134" t="s">
        <v>20438</v>
      </c>
    </row>
    <row r="6135" spans="1:20" x14ac:dyDescent="0.25">
      <c r="A6135" s="1" t="str">
        <f>HYPERLINK("https://vegkart.atlas.vegvesen.no/#/@291981.5,6630357.1,18/hva:hva%5B0%5D%5Bfilter%5D%5B0%5D%5Boperator%5D=%21%3D&amp;hva%5B0%5D%5Bfilter%5D%5B0%5D%5Btype_id%5D=5897&amp;hva%5B0%5D%5Bfilter%5D%5B0%5D%5Bverdi%5D=&amp;hva%5B0%5D%5Bid%5D=47/når:2016-03-16", "Vegkart")</f>
        <v>Vegkart</v>
      </c>
      <c r="B6135">
        <v>671929752</v>
      </c>
      <c r="C6135">
        <v>47</v>
      </c>
      <c r="D6135" t="s">
        <v>16854</v>
      </c>
      <c r="E6135">
        <v>5897</v>
      </c>
      <c r="F6135" t="s">
        <v>23479</v>
      </c>
      <c r="G6135">
        <v>1</v>
      </c>
      <c r="H6135" t="s">
        <v>20439</v>
      </c>
      <c r="J6135" t="s">
        <v>20282</v>
      </c>
      <c r="K6135" t="s">
        <v>104</v>
      </c>
      <c r="L6135" t="s">
        <v>33</v>
      </c>
      <c r="M6135" t="s">
        <v>20440</v>
      </c>
      <c r="N6135" t="s">
        <v>20441</v>
      </c>
      <c r="O6135" t="s">
        <v>20442</v>
      </c>
      <c r="P6135" s="2" t="s">
        <v>26</v>
      </c>
      <c r="Q6135" t="s">
        <v>50</v>
      </c>
      <c r="R6135">
        <v>42.31</v>
      </c>
      <c r="S6135">
        <v>57.7</v>
      </c>
      <c r="T6135" t="s">
        <v>20443</v>
      </c>
    </row>
    <row r="6136" spans="1:20" x14ac:dyDescent="0.25">
      <c r="A6136" s="1" t="str">
        <f>HYPERLINK("https://vegkart.atlas.vegvesen.no/#/@255380.1,6647861.2,18/hva:hva%5B0%5D%5Bfilter%5D%5B0%5D%5Boperator%5D=%21%3D&amp;hva%5B0%5D%5Bfilter%5D%5B0%5D%5Btype_id%5D=5897&amp;hva%5B0%5D%5Bfilter%5D%5B0%5D%5Bverdi%5D=&amp;hva%5B0%5D%5Bid%5D=47/når:2017-03-08", "Vegkart")</f>
        <v>Vegkart</v>
      </c>
      <c r="B6136">
        <v>672811082</v>
      </c>
      <c r="C6136">
        <v>47</v>
      </c>
      <c r="D6136" t="s">
        <v>16854</v>
      </c>
      <c r="E6136">
        <v>5897</v>
      </c>
      <c r="F6136" t="s">
        <v>23479</v>
      </c>
      <c r="G6136">
        <v>2</v>
      </c>
      <c r="H6136" t="s">
        <v>20444</v>
      </c>
      <c r="J6136" t="s">
        <v>20445</v>
      </c>
      <c r="K6136" t="s">
        <v>132</v>
      </c>
      <c r="L6136" t="s">
        <v>6669</v>
      </c>
      <c r="M6136" t="s">
        <v>20446</v>
      </c>
      <c r="N6136" t="s">
        <v>20447</v>
      </c>
      <c r="O6136" t="s">
        <v>20448</v>
      </c>
      <c r="P6136" s="2" t="s">
        <v>26</v>
      </c>
      <c r="Q6136" t="s">
        <v>50</v>
      </c>
      <c r="R6136">
        <v>60.01</v>
      </c>
      <c r="S6136">
        <v>60.01</v>
      </c>
      <c r="T6136" t="s">
        <v>20449</v>
      </c>
    </row>
    <row r="6137" spans="1:20" x14ac:dyDescent="0.25">
      <c r="A6137" s="1" t="str">
        <f>HYPERLINK("https://vegkart.atlas.vegvesen.no/#/@104504.9,6484848.8,18/hva:hva%5B0%5D%5Bfilter%5D%5B0%5D%5Boperator%5D=%21%3D&amp;hva%5B0%5D%5Bfilter%5D%5B0%5D%5Btype_id%5D=5897&amp;hva%5B0%5D%5Bfilter%5D%5B0%5D%5Bverdi%5D=&amp;hva%5B0%5D%5Bid%5D=47/når:2016-03-31", "Vegkart")</f>
        <v>Vegkart</v>
      </c>
      <c r="B6137">
        <v>672894612</v>
      </c>
      <c r="C6137">
        <v>47</v>
      </c>
      <c r="D6137" t="s">
        <v>16854</v>
      </c>
      <c r="E6137">
        <v>5897</v>
      </c>
      <c r="F6137" t="s">
        <v>23479</v>
      </c>
      <c r="G6137">
        <v>1</v>
      </c>
      <c r="H6137" t="s">
        <v>19954</v>
      </c>
      <c r="J6137" t="s">
        <v>20445</v>
      </c>
      <c r="K6137" t="s">
        <v>86</v>
      </c>
      <c r="L6137" t="s">
        <v>33</v>
      </c>
      <c r="M6137" t="s">
        <v>20450</v>
      </c>
      <c r="N6137" t="s">
        <v>20451</v>
      </c>
      <c r="O6137" t="s">
        <v>20452</v>
      </c>
      <c r="P6137" s="2" t="s">
        <v>26</v>
      </c>
      <c r="Q6137" t="s">
        <v>50</v>
      </c>
      <c r="R6137">
        <v>48.22</v>
      </c>
      <c r="S6137">
        <v>49.14</v>
      </c>
      <c r="T6137" t="s">
        <v>20453</v>
      </c>
    </row>
    <row r="6138" spans="1:20" x14ac:dyDescent="0.25">
      <c r="A6138" s="1" t="str">
        <f>HYPERLINK("https://vegkart.atlas.vegvesen.no/#/@104825.2,6484368.4,18/hva:hva%5B0%5D%5Bfilter%5D%5B0%5D%5Boperator%5D=%21%3D&amp;hva%5B0%5D%5Bfilter%5D%5B0%5D%5Btype_id%5D=5897&amp;hva%5B0%5D%5Bfilter%5D%5B0%5D%5Bverdi%5D=&amp;hva%5B0%5D%5Bid%5D=47/når:2016-03-31", "Vegkart")</f>
        <v>Vegkart</v>
      </c>
      <c r="B6138">
        <v>672894613</v>
      </c>
      <c r="C6138">
        <v>47</v>
      </c>
      <c r="D6138" t="s">
        <v>16854</v>
      </c>
      <c r="E6138">
        <v>5897</v>
      </c>
      <c r="F6138" t="s">
        <v>23479</v>
      </c>
      <c r="G6138">
        <v>1</v>
      </c>
      <c r="H6138" t="s">
        <v>19954</v>
      </c>
      <c r="J6138" t="s">
        <v>20445</v>
      </c>
      <c r="K6138" t="s">
        <v>86</v>
      </c>
      <c r="L6138" t="s">
        <v>33</v>
      </c>
      <c r="M6138" t="s">
        <v>20450</v>
      </c>
      <c r="N6138" t="s">
        <v>20454</v>
      </c>
      <c r="O6138" t="s">
        <v>20455</v>
      </c>
      <c r="P6138" s="2" t="s">
        <v>26</v>
      </c>
      <c r="Q6138" t="s">
        <v>50</v>
      </c>
      <c r="R6138">
        <v>55.65</v>
      </c>
      <c r="S6138">
        <v>56.94</v>
      </c>
      <c r="T6138" t="s">
        <v>20456</v>
      </c>
    </row>
    <row r="6139" spans="1:20" x14ac:dyDescent="0.25">
      <c r="A6139" s="1" t="str">
        <f>HYPERLINK("https://vegkart.atlas.vegvesen.no/#/@105280.1,6482604.3,18/hva:hva%5B0%5D%5Bfilter%5D%5B0%5D%5Boperator%5D=%21%3D&amp;hva%5B0%5D%5Bfilter%5D%5B0%5D%5Btype_id%5D=5897&amp;hva%5B0%5D%5Bfilter%5D%5B0%5D%5Bverdi%5D=&amp;hva%5B0%5D%5Bid%5D=47/når:2016-03-31", "Vegkart")</f>
        <v>Vegkart</v>
      </c>
      <c r="B6139">
        <v>672894614</v>
      </c>
      <c r="C6139">
        <v>47</v>
      </c>
      <c r="D6139" t="s">
        <v>16854</v>
      </c>
      <c r="E6139">
        <v>5897</v>
      </c>
      <c r="F6139" t="s">
        <v>23479</v>
      </c>
      <c r="G6139">
        <v>1</v>
      </c>
      <c r="H6139" t="s">
        <v>19954</v>
      </c>
      <c r="J6139" t="s">
        <v>20445</v>
      </c>
      <c r="K6139" t="s">
        <v>86</v>
      </c>
      <c r="L6139" t="s">
        <v>33</v>
      </c>
      <c r="M6139" t="s">
        <v>20450</v>
      </c>
      <c r="N6139" t="s">
        <v>20457</v>
      </c>
      <c r="O6139" t="s">
        <v>20458</v>
      </c>
      <c r="P6139" s="2" t="s">
        <v>26</v>
      </c>
      <c r="Q6139" t="s">
        <v>50</v>
      </c>
      <c r="R6139">
        <v>57.15</v>
      </c>
      <c r="S6139">
        <v>57.93</v>
      </c>
      <c r="T6139" t="s">
        <v>20459</v>
      </c>
    </row>
    <row r="6140" spans="1:20" x14ac:dyDescent="0.25">
      <c r="A6140" s="1" t="str">
        <f>HYPERLINK("https://vegkart.atlas.vegvesen.no/#/@105263.1,6482636.0,18/hva:hva%5B0%5D%5Bfilter%5D%5B0%5D%5Boperator%5D=%21%3D&amp;hva%5B0%5D%5Bfilter%5D%5B0%5D%5Btype_id%5D=5897&amp;hva%5B0%5D%5Bfilter%5D%5B0%5D%5Bverdi%5D=&amp;hva%5B0%5D%5Bid%5D=47/når:2016-03-31", "Vegkart")</f>
        <v>Vegkart</v>
      </c>
      <c r="B6140">
        <v>672894615</v>
      </c>
      <c r="C6140">
        <v>47</v>
      </c>
      <c r="D6140" t="s">
        <v>16854</v>
      </c>
      <c r="E6140">
        <v>5897</v>
      </c>
      <c r="F6140" t="s">
        <v>23479</v>
      </c>
      <c r="G6140">
        <v>1</v>
      </c>
      <c r="H6140" t="s">
        <v>19954</v>
      </c>
      <c r="J6140" t="s">
        <v>20445</v>
      </c>
      <c r="K6140" t="s">
        <v>86</v>
      </c>
      <c r="L6140" t="s">
        <v>33</v>
      </c>
      <c r="M6140" t="s">
        <v>20450</v>
      </c>
      <c r="N6140" t="s">
        <v>20460</v>
      </c>
      <c r="O6140" t="s">
        <v>20461</v>
      </c>
      <c r="P6140" s="2" t="s">
        <v>26</v>
      </c>
      <c r="Q6140" t="s">
        <v>50</v>
      </c>
      <c r="R6140">
        <v>63.01</v>
      </c>
      <c r="S6140">
        <v>63.32</v>
      </c>
      <c r="T6140" t="s">
        <v>20462</v>
      </c>
    </row>
    <row r="6141" spans="1:20" x14ac:dyDescent="0.25">
      <c r="A6141" s="1" t="str">
        <f>HYPERLINK("https://vegkart.atlas.vegvesen.no/#/@233782.0,6580359.7,18/hva:hva%5B0%5D%5Bfilter%5D%5B0%5D%5Boperator%5D=%21%3D&amp;hva%5B0%5D%5Bfilter%5D%5B0%5D%5Btype_id%5D=5897&amp;hva%5B0%5D%5Bfilter%5D%5B0%5D%5Bverdi%5D=&amp;hva%5B0%5D%5Bid%5D=47/når:2016-07-08", "Vegkart")</f>
        <v>Vegkart</v>
      </c>
      <c r="B6141">
        <v>673152157</v>
      </c>
      <c r="C6141">
        <v>47</v>
      </c>
      <c r="D6141" t="s">
        <v>16854</v>
      </c>
      <c r="E6141">
        <v>5897</v>
      </c>
      <c r="F6141" t="s">
        <v>23479</v>
      </c>
      <c r="G6141">
        <v>2</v>
      </c>
      <c r="H6141" t="s">
        <v>20463</v>
      </c>
      <c r="J6141" t="s">
        <v>20445</v>
      </c>
      <c r="K6141" t="s">
        <v>81</v>
      </c>
      <c r="L6141" t="s">
        <v>33</v>
      </c>
      <c r="M6141" t="s">
        <v>4333</v>
      </c>
      <c r="N6141" t="s">
        <v>20464</v>
      </c>
      <c r="O6141" t="s">
        <v>20465</v>
      </c>
      <c r="P6141" s="2" t="s">
        <v>26</v>
      </c>
      <c r="Q6141" t="s">
        <v>50</v>
      </c>
      <c r="R6141">
        <v>46.31</v>
      </c>
      <c r="S6141">
        <v>46.71</v>
      </c>
      <c r="T6141" t="s">
        <v>20466</v>
      </c>
    </row>
    <row r="6142" spans="1:20" x14ac:dyDescent="0.25">
      <c r="A6142" s="1" t="str">
        <f>HYPERLINK("https://vegkart.atlas.vegvesen.no/#/@233515.2,6579980.2,18/hva:hva%5B0%5D%5Bfilter%5D%5B0%5D%5Boperator%5D=%21%3D&amp;hva%5B0%5D%5Bfilter%5D%5B0%5D%5Btype_id%5D=5897&amp;hva%5B0%5D%5Bfilter%5D%5B0%5D%5Bverdi%5D=&amp;hva%5B0%5D%5Bid%5D=47/når:2016-07-08", "Vegkart")</f>
        <v>Vegkart</v>
      </c>
      <c r="B6142">
        <v>673152158</v>
      </c>
      <c r="C6142">
        <v>47</v>
      </c>
      <c r="D6142" t="s">
        <v>16854</v>
      </c>
      <c r="E6142">
        <v>5897</v>
      </c>
      <c r="F6142" t="s">
        <v>23479</v>
      </c>
      <c r="G6142">
        <v>2</v>
      </c>
      <c r="H6142" t="s">
        <v>20463</v>
      </c>
      <c r="J6142" t="s">
        <v>20445</v>
      </c>
      <c r="K6142" t="s">
        <v>81</v>
      </c>
      <c r="L6142" t="s">
        <v>33</v>
      </c>
      <c r="M6142" t="s">
        <v>4333</v>
      </c>
      <c r="N6142" t="s">
        <v>20467</v>
      </c>
      <c r="O6142" t="s">
        <v>20468</v>
      </c>
      <c r="P6142" s="2" t="s">
        <v>26</v>
      </c>
      <c r="Q6142" t="s">
        <v>50</v>
      </c>
      <c r="R6142">
        <v>50.71</v>
      </c>
      <c r="S6142">
        <v>51.45</v>
      </c>
      <c r="T6142" t="s">
        <v>20469</v>
      </c>
    </row>
    <row r="6143" spans="1:20" x14ac:dyDescent="0.25">
      <c r="A6143" s="1" t="str">
        <f>HYPERLINK("https://vegkart.atlas.vegvesen.no/#/@233499.8,6579986.7,18/hva:hva%5B0%5D%5Bfilter%5D%5B0%5D%5Boperator%5D=%21%3D&amp;hva%5B0%5D%5Bfilter%5D%5B0%5D%5Btype_id%5D=5897&amp;hva%5B0%5D%5Bfilter%5D%5B0%5D%5Bverdi%5D=&amp;hva%5B0%5D%5Bid%5D=47/når:2016-07-08", "Vegkart")</f>
        <v>Vegkart</v>
      </c>
      <c r="B6143">
        <v>673152159</v>
      </c>
      <c r="C6143">
        <v>47</v>
      </c>
      <c r="D6143" t="s">
        <v>16854</v>
      </c>
      <c r="E6143">
        <v>5897</v>
      </c>
      <c r="F6143" t="s">
        <v>23479</v>
      </c>
      <c r="G6143">
        <v>2</v>
      </c>
      <c r="H6143" t="s">
        <v>20463</v>
      </c>
      <c r="J6143" t="s">
        <v>20445</v>
      </c>
      <c r="K6143" t="s">
        <v>81</v>
      </c>
      <c r="L6143" t="s">
        <v>33</v>
      </c>
      <c r="M6143" t="s">
        <v>4333</v>
      </c>
      <c r="N6143" t="s">
        <v>20470</v>
      </c>
      <c r="O6143" t="s">
        <v>20471</v>
      </c>
      <c r="P6143" s="2" t="s">
        <v>26</v>
      </c>
      <c r="Q6143" t="s">
        <v>50</v>
      </c>
      <c r="R6143">
        <v>52.9</v>
      </c>
      <c r="S6143">
        <v>53.66</v>
      </c>
      <c r="T6143" t="s">
        <v>20472</v>
      </c>
    </row>
    <row r="6144" spans="1:20" x14ac:dyDescent="0.25">
      <c r="A6144" s="1" t="str">
        <f>HYPERLINK("https://vegkart.atlas.vegvesen.no/#/@234231.8,6581134.8,18/hva:hva%5B0%5D%5Bfilter%5D%5B0%5D%5Boperator%5D=%21%3D&amp;hva%5B0%5D%5Bfilter%5D%5B0%5D%5Btype_id%5D=5897&amp;hva%5B0%5D%5Bfilter%5D%5B0%5D%5Bverdi%5D=&amp;hva%5B0%5D%5Bid%5D=47/når:2016-05-20", "Vegkart")</f>
        <v>Vegkart</v>
      </c>
      <c r="B6144">
        <v>673152160</v>
      </c>
      <c r="C6144">
        <v>47</v>
      </c>
      <c r="D6144" t="s">
        <v>16854</v>
      </c>
      <c r="E6144">
        <v>5897</v>
      </c>
      <c r="F6144" t="s">
        <v>23479</v>
      </c>
      <c r="G6144">
        <v>2</v>
      </c>
      <c r="H6144" t="s">
        <v>20473</v>
      </c>
      <c r="J6144" t="s">
        <v>20445</v>
      </c>
      <c r="K6144" t="s">
        <v>81</v>
      </c>
      <c r="L6144" t="s">
        <v>33</v>
      </c>
      <c r="M6144" t="s">
        <v>4333</v>
      </c>
      <c r="N6144" t="s">
        <v>20474</v>
      </c>
      <c r="O6144" t="s">
        <v>20475</v>
      </c>
      <c r="P6144" s="2" t="s">
        <v>26</v>
      </c>
      <c r="Q6144" t="s">
        <v>50</v>
      </c>
      <c r="R6144">
        <v>86.61</v>
      </c>
      <c r="S6144">
        <v>90.29</v>
      </c>
      <c r="T6144" t="s">
        <v>20476</v>
      </c>
    </row>
    <row r="6145" spans="1:20" x14ac:dyDescent="0.25">
      <c r="A6145" s="1" t="str">
        <f>HYPERLINK("https://vegkart.atlas.vegvesen.no/#/@104824.2,6484426.4,18/hva:hva%5B0%5D%5Bfilter%5D%5B0%5D%5Boperator%5D=%21%3D&amp;hva%5B0%5D%5Bfilter%5D%5B0%5D%5Btype_id%5D=5897&amp;hva%5B0%5D%5Bfilter%5D%5B0%5D%5Bverdi%5D=&amp;hva%5B0%5D%5Bid%5D=47/når:2016-04-07", "Vegkart")</f>
        <v>Vegkart</v>
      </c>
      <c r="B6145">
        <v>673665342</v>
      </c>
      <c r="C6145">
        <v>47</v>
      </c>
      <c r="D6145" t="s">
        <v>16854</v>
      </c>
      <c r="E6145">
        <v>5897</v>
      </c>
      <c r="F6145" t="s">
        <v>23479</v>
      </c>
      <c r="G6145">
        <v>1</v>
      </c>
      <c r="H6145" t="s">
        <v>20477</v>
      </c>
      <c r="J6145" t="s">
        <v>20445</v>
      </c>
      <c r="K6145" t="s">
        <v>86</v>
      </c>
      <c r="L6145" t="s">
        <v>33</v>
      </c>
      <c r="M6145" t="s">
        <v>20450</v>
      </c>
      <c r="N6145" t="s">
        <v>20478</v>
      </c>
      <c r="O6145" t="s">
        <v>20479</v>
      </c>
      <c r="P6145" s="2" t="s">
        <v>26</v>
      </c>
      <c r="Q6145" t="s">
        <v>50</v>
      </c>
      <c r="R6145">
        <v>56.92</v>
      </c>
      <c r="S6145">
        <v>57.11</v>
      </c>
      <c r="T6145" t="s">
        <v>20480</v>
      </c>
    </row>
    <row r="6146" spans="1:20" x14ac:dyDescent="0.25">
      <c r="A6146" s="1" t="str">
        <f>HYPERLINK("https://vegkart.atlas.vegvesen.no/#/@-30728.0,6742826.6,18/hva:hva%5B0%5D%5Bfilter%5D%5B0%5D%5Boperator%5D=%21%3D&amp;hva%5B0%5D%5Bfilter%5D%5B0%5D%5Btype_id%5D=5897&amp;hva%5B0%5D%5Bfilter%5D%5B0%5D%5Bverdi%5D=&amp;hva%5B0%5D%5Bid%5D=47/når:2016-03-29", "Vegkart")</f>
        <v>Vegkart</v>
      </c>
      <c r="B6146">
        <v>674315012</v>
      </c>
      <c r="C6146">
        <v>47</v>
      </c>
      <c r="D6146" t="s">
        <v>16854</v>
      </c>
      <c r="E6146">
        <v>5897</v>
      </c>
      <c r="F6146" t="s">
        <v>23479</v>
      </c>
      <c r="G6146">
        <v>1</v>
      </c>
      <c r="H6146" t="s">
        <v>20481</v>
      </c>
      <c r="J6146" t="s">
        <v>20445</v>
      </c>
      <c r="K6146" t="s">
        <v>21</v>
      </c>
      <c r="L6146" t="s">
        <v>22</v>
      </c>
      <c r="M6146" t="s">
        <v>20482</v>
      </c>
      <c r="N6146" t="s">
        <v>20483</v>
      </c>
      <c r="O6146" t="s">
        <v>20484</v>
      </c>
      <c r="P6146" s="2" t="s">
        <v>26</v>
      </c>
      <c r="Q6146" t="s">
        <v>50</v>
      </c>
      <c r="R6146">
        <v>71.37</v>
      </c>
      <c r="S6146">
        <v>74.02</v>
      </c>
      <c r="T6146" t="s">
        <v>20485</v>
      </c>
    </row>
    <row r="6147" spans="1:20" x14ac:dyDescent="0.25">
      <c r="A6147" s="1" t="str">
        <f>HYPERLINK("https://vegkart.atlas.vegvesen.no/#/@-30581.1,6742921.8,18/hva:hva%5B0%5D%5Bfilter%5D%5B0%5D%5Boperator%5D=%21%3D&amp;hva%5B0%5D%5Bfilter%5D%5B0%5D%5Btype_id%5D=5897&amp;hva%5B0%5D%5Bfilter%5D%5B0%5D%5Bverdi%5D=&amp;hva%5B0%5D%5Bid%5D=47/når:2016-03-29", "Vegkart")</f>
        <v>Vegkart</v>
      </c>
      <c r="B6147">
        <v>674315015</v>
      </c>
      <c r="C6147">
        <v>47</v>
      </c>
      <c r="D6147" t="s">
        <v>16854</v>
      </c>
      <c r="E6147">
        <v>5897</v>
      </c>
      <c r="F6147" t="s">
        <v>23479</v>
      </c>
      <c r="G6147">
        <v>1</v>
      </c>
      <c r="H6147" t="s">
        <v>20481</v>
      </c>
      <c r="J6147" t="s">
        <v>20445</v>
      </c>
      <c r="K6147" t="s">
        <v>21</v>
      </c>
      <c r="L6147" t="s">
        <v>33</v>
      </c>
      <c r="M6147" t="s">
        <v>3091</v>
      </c>
      <c r="N6147" t="s">
        <v>20486</v>
      </c>
      <c r="O6147" t="s">
        <v>20487</v>
      </c>
      <c r="P6147" s="2" t="s">
        <v>26</v>
      </c>
      <c r="Q6147" t="s">
        <v>50</v>
      </c>
      <c r="R6147">
        <v>70.7</v>
      </c>
      <c r="S6147">
        <v>71.209999999999994</v>
      </c>
      <c r="T6147" t="s">
        <v>20488</v>
      </c>
    </row>
    <row r="6148" spans="1:20" x14ac:dyDescent="0.25">
      <c r="A6148" s="1" t="str">
        <f>HYPERLINK("https://vegkart.atlas.vegvesen.no/#/@249338.3,6609305.7,18/hva:hva%5B0%5D%5Bfilter%5D%5B0%5D%5Boperator%5D=%21%3D&amp;hva%5B0%5D%5Bfilter%5D%5B0%5D%5Btype_id%5D=5897&amp;hva%5B0%5D%5Bfilter%5D%5B0%5D%5Bverdi%5D=&amp;hva%5B0%5D%5Bid%5D=47/når:2016-04-18", "Vegkart")</f>
        <v>Vegkart</v>
      </c>
      <c r="B6148">
        <v>674543968</v>
      </c>
      <c r="C6148">
        <v>47</v>
      </c>
      <c r="D6148" t="s">
        <v>16854</v>
      </c>
      <c r="E6148">
        <v>5897</v>
      </c>
      <c r="F6148" t="s">
        <v>23479</v>
      </c>
      <c r="G6148">
        <v>1</v>
      </c>
      <c r="H6148" t="s">
        <v>18736</v>
      </c>
      <c r="J6148" t="s">
        <v>20445</v>
      </c>
      <c r="K6148" t="s">
        <v>132</v>
      </c>
      <c r="L6148" t="s">
        <v>33</v>
      </c>
      <c r="M6148" t="s">
        <v>20489</v>
      </c>
      <c r="N6148" t="s">
        <v>20490</v>
      </c>
      <c r="O6148" t="s">
        <v>20491</v>
      </c>
      <c r="P6148" s="2" t="s">
        <v>165</v>
      </c>
      <c r="Q6148" t="s">
        <v>641</v>
      </c>
      <c r="R6148">
        <v>0</v>
      </c>
      <c r="S6148">
        <v>110.61</v>
      </c>
      <c r="T6148" t="s">
        <v>167</v>
      </c>
    </row>
    <row r="6149" spans="1:20" x14ac:dyDescent="0.25">
      <c r="A6149" s="1" t="str">
        <f>HYPERLINK("https://vegkart.atlas.vegvesen.no/#/@200164.4,6626139.2,18/hva:hva%5B0%5D%5Bfilter%5D%5B0%5D%5Boperator%5D=%21%3D&amp;hva%5B0%5D%5Bfilter%5D%5B0%5D%5Btype_id%5D=5897&amp;hva%5B0%5D%5Bfilter%5D%5B0%5D%5Bverdi%5D=&amp;hva%5B0%5D%5Bid%5D=47/når:2016-04-18", "Vegkart")</f>
        <v>Vegkart</v>
      </c>
      <c r="B6149">
        <v>674957280</v>
      </c>
      <c r="C6149">
        <v>47</v>
      </c>
      <c r="D6149" t="s">
        <v>16854</v>
      </c>
      <c r="E6149">
        <v>5897</v>
      </c>
      <c r="F6149" t="s">
        <v>23479</v>
      </c>
      <c r="G6149">
        <v>1</v>
      </c>
      <c r="H6149" t="s">
        <v>18736</v>
      </c>
      <c r="J6149" t="s">
        <v>20445</v>
      </c>
      <c r="K6149" t="s">
        <v>307</v>
      </c>
      <c r="L6149" t="s">
        <v>33</v>
      </c>
      <c r="M6149" t="s">
        <v>15689</v>
      </c>
      <c r="N6149" t="s">
        <v>20492</v>
      </c>
      <c r="O6149" t="s">
        <v>20493</v>
      </c>
      <c r="P6149" s="2" t="s">
        <v>26</v>
      </c>
      <c r="Q6149" t="s">
        <v>50</v>
      </c>
      <c r="R6149">
        <v>71.56</v>
      </c>
      <c r="S6149">
        <v>71.709999999999994</v>
      </c>
      <c r="T6149" t="s">
        <v>20494</v>
      </c>
    </row>
    <row r="6150" spans="1:20" x14ac:dyDescent="0.25">
      <c r="A6150" s="1" t="str">
        <f>HYPERLINK("https://vegkart.atlas.vegvesen.no/#/@200167.2,6626127.4,18/hva:hva%5B0%5D%5Bfilter%5D%5B0%5D%5Boperator%5D=%21%3D&amp;hva%5B0%5D%5Bfilter%5D%5B0%5D%5Btype_id%5D=5897&amp;hva%5B0%5D%5Bfilter%5D%5B0%5D%5Bverdi%5D=&amp;hva%5B0%5D%5Bid%5D=47/når:2016-04-18", "Vegkart")</f>
        <v>Vegkart</v>
      </c>
      <c r="B6150">
        <v>674957281</v>
      </c>
      <c r="C6150">
        <v>47</v>
      </c>
      <c r="D6150" t="s">
        <v>16854</v>
      </c>
      <c r="E6150">
        <v>5897</v>
      </c>
      <c r="F6150" t="s">
        <v>23479</v>
      </c>
      <c r="G6150">
        <v>1</v>
      </c>
      <c r="H6150" t="s">
        <v>18736</v>
      </c>
      <c r="J6150" t="s">
        <v>20445</v>
      </c>
      <c r="K6150" t="s">
        <v>307</v>
      </c>
      <c r="L6150" t="s">
        <v>33</v>
      </c>
      <c r="M6150" t="s">
        <v>15689</v>
      </c>
      <c r="N6150" t="s">
        <v>20495</v>
      </c>
      <c r="O6150" t="s">
        <v>20496</v>
      </c>
      <c r="P6150" s="2" t="s">
        <v>26</v>
      </c>
      <c r="Q6150" t="s">
        <v>50</v>
      </c>
      <c r="R6150">
        <v>67.22</v>
      </c>
      <c r="S6150">
        <v>67.959999999999994</v>
      </c>
      <c r="T6150" t="s">
        <v>20497</v>
      </c>
    </row>
    <row r="6151" spans="1:20" x14ac:dyDescent="0.25">
      <c r="A6151" s="1" t="str">
        <f>HYPERLINK("https://vegkart.atlas.vegvesen.no/#/@239121.7,6575926.0,18/hva:hva%5B0%5D%5Bfilter%5D%5B0%5D%5Boperator%5D=%21%3D&amp;hva%5B0%5D%5Bfilter%5D%5B0%5D%5Btype_id%5D=5897&amp;hva%5B0%5D%5Bfilter%5D%5B0%5D%5Bverdi%5D=&amp;hva%5B0%5D%5Bid%5D=47/når:2017-06-19", "Vegkart")</f>
        <v>Vegkart</v>
      </c>
      <c r="B6151">
        <v>675823980</v>
      </c>
      <c r="C6151">
        <v>47</v>
      </c>
      <c r="D6151" t="s">
        <v>16854</v>
      </c>
      <c r="E6151">
        <v>5897</v>
      </c>
      <c r="F6151" t="s">
        <v>23479</v>
      </c>
      <c r="G6151">
        <v>2</v>
      </c>
      <c r="H6151" t="s">
        <v>18729</v>
      </c>
      <c r="J6151" t="s">
        <v>20445</v>
      </c>
      <c r="K6151" t="s">
        <v>81</v>
      </c>
      <c r="L6151" t="s">
        <v>33</v>
      </c>
      <c r="M6151" t="s">
        <v>1926</v>
      </c>
      <c r="N6151" t="s">
        <v>20498</v>
      </c>
      <c r="O6151" t="s">
        <v>20499</v>
      </c>
      <c r="P6151" s="2" t="s">
        <v>26</v>
      </c>
      <c r="Q6151" t="s">
        <v>50</v>
      </c>
      <c r="R6151">
        <v>28.27</v>
      </c>
      <c r="S6151">
        <v>36.39</v>
      </c>
      <c r="T6151" t="s">
        <v>20500</v>
      </c>
    </row>
    <row r="6152" spans="1:20" x14ac:dyDescent="0.25">
      <c r="A6152" s="1" t="str">
        <f>HYPERLINK("https://vegkart.atlas.vegvesen.no/#/@239708.0,6585926.0,18/hva:hva%5B0%5D%5Bfilter%5D%5B0%5D%5Boperator%5D=%21%3D&amp;hva%5B0%5D%5Bfilter%5D%5B0%5D%5Btype_id%5D=5897&amp;hva%5B0%5D%5Bfilter%5D%5B0%5D%5Bverdi%5D=&amp;hva%5B0%5D%5Bid%5D=47/når:2015-12-07", "Vegkart")</f>
        <v>Vegkart</v>
      </c>
      <c r="B6152">
        <v>675826016</v>
      </c>
      <c r="C6152">
        <v>47</v>
      </c>
      <c r="D6152" t="s">
        <v>16854</v>
      </c>
      <c r="E6152">
        <v>5897</v>
      </c>
      <c r="F6152" t="s">
        <v>23479</v>
      </c>
      <c r="G6152">
        <v>1</v>
      </c>
      <c r="H6152" t="s">
        <v>20501</v>
      </c>
      <c r="J6152" t="s">
        <v>20445</v>
      </c>
      <c r="K6152" t="s">
        <v>81</v>
      </c>
      <c r="L6152" t="s">
        <v>33</v>
      </c>
      <c r="M6152" t="s">
        <v>4461</v>
      </c>
      <c r="N6152" t="s">
        <v>20502</v>
      </c>
      <c r="O6152" t="s">
        <v>20503</v>
      </c>
      <c r="P6152" s="2" t="s">
        <v>26</v>
      </c>
      <c r="Q6152" t="s">
        <v>50</v>
      </c>
      <c r="R6152">
        <v>47.55</v>
      </c>
      <c r="S6152">
        <v>47.8</v>
      </c>
      <c r="T6152" t="s">
        <v>20504</v>
      </c>
    </row>
    <row r="6153" spans="1:20" x14ac:dyDescent="0.25">
      <c r="A6153" s="1" t="str">
        <f>HYPERLINK("https://vegkart.atlas.vegvesen.no/#/@302709.6,6648455.3,18/hva:hva%5B0%5D%5Bfilter%5D%5B0%5D%5Boperator%5D=%21%3D&amp;hva%5B0%5D%5Bfilter%5D%5B0%5D%5Btype_id%5D=5897&amp;hva%5B0%5D%5Bfilter%5D%5B0%5D%5Bverdi%5D=&amp;hva%5B0%5D%5Bid%5D=47/når:2016-04-25", "Vegkart")</f>
        <v>Vegkart</v>
      </c>
      <c r="B6153">
        <v>676887229</v>
      </c>
      <c r="C6153">
        <v>47</v>
      </c>
      <c r="D6153" t="s">
        <v>16854</v>
      </c>
      <c r="E6153">
        <v>5897</v>
      </c>
      <c r="F6153" t="s">
        <v>23479</v>
      </c>
      <c r="G6153">
        <v>1</v>
      </c>
      <c r="H6153" t="s">
        <v>9709</v>
      </c>
      <c r="J6153" t="s">
        <v>20445</v>
      </c>
      <c r="K6153" t="s">
        <v>132</v>
      </c>
      <c r="L6153" t="s">
        <v>33</v>
      </c>
      <c r="M6153" t="s">
        <v>2097</v>
      </c>
      <c r="N6153" t="s">
        <v>20505</v>
      </c>
      <c r="O6153" t="s">
        <v>20506</v>
      </c>
      <c r="P6153" s="2" t="s">
        <v>26</v>
      </c>
      <c r="Q6153" t="s">
        <v>50</v>
      </c>
      <c r="R6153">
        <v>69.09</v>
      </c>
      <c r="S6153">
        <v>69.510000000000005</v>
      </c>
      <c r="T6153" t="s">
        <v>20507</v>
      </c>
    </row>
    <row r="6154" spans="1:20" x14ac:dyDescent="0.25">
      <c r="A6154" s="1" t="str">
        <f>HYPERLINK("https://vegkart.atlas.vegvesen.no/#/@239737.2,6585966.3,18/hva:hva%5B0%5D%5Bfilter%5D%5B0%5D%5Boperator%5D=%21%3D&amp;hva%5B0%5D%5Bfilter%5D%5B0%5D%5Btype_id%5D=5897&amp;hva%5B0%5D%5Bfilter%5D%5B0%5D%5Bverdi%5D=&amp;hva%5B0%5D%5Bid%5D=47/når:2014-01-01", "Vegkart")</f>
        <v>Vegkart</v>
      </c>
      <c r="B6154">
        <v>677425226</v>
      </c>
      <c r="C6154">
        <v>47</v>
      </c>
      <c r="D6154" t="s">
        <v>16854</v>
      </c>
      <c r="E6154">
        <v>5897</v>
      </c>
      <c r="F6154" t="s">
        <v>23479</v>
      </c>
      <c r="G6154">
        <v>1</v>
      </c>
      <c r="H6154" t="s">
        <v>6165</v>
      </c>
      <c r="J6154" t="s">
        <v>20445</v>
      </c>
      <c r="K6154" t="s">
        <v>81</v>
      </c>
      <c r="L6154" t="s">
        <v>33</v>
      </c>
      <c r="M6154" t="s">
        <v>4461</v>
      </c>
      <c r="N6154" t="s">
        <v>20508</v>
      </c>
      <c r="O6154" t="s">
        <v>20509</v>
      </c>
      <c r="P6154" s="2" t="s">
        <v>26</v>
      </c>
      <c r="Q6154" t="s">
        <v>50</v>
      </c>
      <c r="R6154">
        <v>47.11</v>
      </c>
      <c r="S6154">
        <v>47.99</v>
      </c>
      <c r="T6154" t="s">
        <v>20510</v>
      </c>
    </row>
    <row r="6155" spans="1:20" x14ac:dyDescent="0.25">
      <c r="A6155" s="1" t="str">
        <f>HYPERLINK("https://vegkart.atlas.vegvesen.no/#/@291228.2,6655871.1,18/hva:hva%5B0%5D%5Bfilter%5D%5B0%5D%5Boperator%5D=%21%3D&amp;hva%5B0%5D%5Bfilter%5D%5B0%5D%5Btype_id%5D=5897&amp;hva%5B0%5D%5Bfilter%5D%5B0%5D%5Bverdi%5D=&amp;hva%5B0%5D%5Bid%5D=47/når:2016-05-03", "Vegkart")</f>
        <v>Vegkart</v>
      </c>
      <c r="B6155">
        <v>677771429</v>
      </c>
      <c r="C6155">
        <v>47</v>
      </c>
      <c r="D6155" t="s">
        <v>16854</v>
      </c>
      <c r="E6155">
        <v>5897</v>
      </c>
      <c r="F6155" t="s">
        <v>23479</v>
      </c>
      <c r="G6155">
        <v>2</v>
      </c>
      <c r="H6155" t="s">
        <v>17327</v>
      </c>
      <c r="J6155" t="s">
        <v>20445</v>
      </c>
      <c r="K6155" t="s">
        <v>132</v>
      </c>
      <c r="L6155" t="s">
        <v>33</v>
      </c>
      <c r="M6155" t="s">
        <v>6681</v>
      </c>
      <c r="N6155" t="s">
        <v>20511</v>
      </c>
      <c r="O6155" t="s">
        <v>20512</v>
      </c>
      <c r="P6155" s="2" t="s">
        <v>26</v>
      </c>
      <c r="Q6155" t="s">
        <v>50</v>
      </c>
      <c r="R6155">
        <v>43.09</v>
      </c>
      <c r="S6155">
        <v>44.8</v>
      </c>
      <c r="T6155" t="s">
        <v>20513</v>
      </c>
    </row>
    <row r="6156" spans="1:20" x14ac:dyDescent="0.25">
      <c r="A6156" s="1" t="str">
        <f>HYPERLINK("https://vegkart.atlas.vegvesen.no/#/@242243.8,6581428.3,18/hva:hva%5B0%5D%5Bfilter%5D%5B0%5D%5Boperator%5D=%21%3D&amp;hva%5B0%5D%5Bfilter%5D%5B0%5D%5Btype_id%5D=5897&amp;hva%5B0%5D%5Bfilter%5D%5B0%5D%5Bverdi%5D=&amp;hva%5B0%5D%5Bid%5D=47/når:2016-05-04", "Vegkart")</f>
        <v>Vegkart</v>
      </c>
      <c r="B6156">
        <v>678091294</v>
      </c>
      <c r="C6156">
        <v>47</v>
      </c>
      <c r="D6156" t="s">
        <v>16854</v>
      </c>
      <c r="E6156">
        <v>5897</v>
      </c>
      <c r="F6156" t="s">
        <v>23479</v>
      </c>
      <c r="G6156">
        <v>1</v>
      </c>
      <c r="H6156" t="s">
        <v>20514</v>
      </c>
      <c r="J6156" t="s">
        <v>20445</v>
      </c>
      <c r="K6156" t="s">
        <v>81</v>
      </c>
      <c r="L6156" t="s">
        <v>33</v>
      </c>
      <c r="M6156" t="s">
        <v>1944</v>
      </c>
      <c r="N6156" t="s">
        <v>20515</v>
      </c>
      <c r="O6156" t="s">
        <v>20516</v>
      </c>
      <c r="P6156" s="2" t="s">
        <v>26</v>
      </c>
      <c r="Q6156" t="s">
        <v>50</v>
      </c>
      <c r="R6156">
        <v>45.89</v>
      </c>
      <c r="S6156">
        <v>46.15</v>
      </c>
      <c r="T6156" t="s">
        <v>20517</v>
      </c>
    </row>
    <row r="6157" spans="1:20" x14ac:dyDescent="0.25">
      <c r="A6157" s="1" t="str">
        <f>HYPERLINK("https://vegkart.atlas.vegvesen.no/#/@188855.8,6566984.8,18/hva:hva%5B0%5D%5Bfilter%5D%5B0%5D%5Boperator%5D=%21%3D&amp;hva%5B0%5D%5Bfilter%5D%5B0%5D%5Btype_id%5D=5897&amp;hva%5B0%5D%5Bfilter%5D%5B0%5D%5Bverdi%5D=&amp;hva%5B0%5D%5Bid%5D=47/når:2022-11-30", "Vegkart")</f>
        <v>Vegkart</v>
      </c>
      <c r="B6157">
        <v>678124524</v>
      </c>
      <c r="C6157">
        <v>47</v>
      </c>
      <c r="D6157" t="s">
        <v>16854</v>
      </c>
      <c r="E6157">
        <v>5897</v>
      </c>
      <c r="F6157" t="s">
        <v>23479</v>
      </c>
      <c r="G6157">
        <v>2</v>
      </c>
      <c r="H6157" t="s">
        <v>17992</v>
      </c>
      <c r="J6157" t="s">
        <v>20445</v>
      </c>
      <c r="K6157" t="s">
        <v>197</v>
      </c>
      <c r="L6157" t="s">
        <v>33</v>
      </c>
      <c r="M6157" t="s">
        <v>11356</v>
      </c>
      <c r="N6157" t="s">
        <v>20518</v>
      </c>
      <c r="O6157" t="s">
        <v>20519</v>
      </c>
      <c r="P6157" s="2" t="s">
        <v>37</v>
      </c>
      <c r="Q6157" t="s">
        <v>1208</v>
      </c>
      <c r="R6157">
        <v>0</v>
      </c>
      <c r="S6157">
        <v>156.27000000000001</v>
      </c>
      <c r="T6157" t="s">
        <v>20520</v>
      </c>
    </row>
    <row r="6158" spans="1:20" x14ac:dyDescent="0.25">
      <c r="A6158" s="1" t="str">
        <f>HYPERLINK("https://vegkart.atlas.vegvesen.no/#/@188756.1,6567039.6,18/hva:hva%5B0%5D%5Bfilter%5D%5B0%5D%5Boperator%5D=%21%3D&amp;hva%5B0%5D%5Bfilter%5D%5B0%5D%5Btype_id%5D=5897&amp;hva%5B0%5D%5Bfilter%5D%5B0%5D%5Bverdi%5D=&amp;hva%5B0%5D%5Bid%5D=47/når:2022-11-30", "Vegkart")</f>
        <v>Vegkart</v>
      </c>
      <c r="B6158">
        <v>678124525</v>
      </c>
      <c r="C6158">
        <v>47</v>
      </c>
      <c r="D6158" t="s">
        <v>16854</v>
      </c>
      <c r="E6158">
        <v>5897</v>
      </c>
      <c r="F6158" t="s">
        <v>23479</v>
      </c>
      <c r="G6158">
        <v>2</v>
      </c>
      <c r="H6158" t="s">
        <v>17992</v>
      </c>
      <c r="J6158" t="s">
        <v>20445</v>
      </c>
      <c r="K6158" t="s">
        <v>197</v>
      </c>
      <c r="L6158" t="s">
        <v>33</v>
      </c>
      <c r="M6158" t="s">
        <v>11356</v>
      </c>
      <c r="N6158" t="s">
        <v>20521</v>
      </c>
      <c r="O6158" t="s">
        <v>20522</v>
      </c>
      <c r="P6158" s="2" t="s">
        <v>37</v>
      </c>
      <c r="Q6158" t="s">
        <v>1208</v>
      </c>
      <c r="R6158">
        <v>0</v>
      </c>
      <c r="S6158">
        <v>156.13999999999999</v>
      </c>
      <c r="T6158" t="s">
        <v>20523</v>
      </c>
    </row>
    <row r="6159" spans="1:20" x14ac:dyDescent="0.25">
      <c r="A6159" s="1" t="str">
        <f>HYPERLINK("https://vegkart.atlas.vegvesen.no/#/@61291.7,6473207.4,18/hva:hva%5B0%5D%5Bfilter%5D%5B0%5D%5Boperator%5D=%21%3D&amp;hva%5B0%5D%5Bfilter%5D%5B0%5D%5Btype_id%5D=5897&amp;hva%5B0%5D%5Bfilter%5D%5B0%5D%5Bverdi%5D=&amp;hva%5B0%5D%5Bid%5D=47/når:2016-05-13", "Vegkart")</f>
        <v>Vegkart</v>
      </c>
      <c r="B6159">
        <v>678347436</v>
      </c>
      <c r="C6159">
        <v>47</v>
      </c>
      <c r="D6159" t="s">
        <v>16854</v>
      </c>
      <c r="E6159">
        <v>5897</v>
      </c>
      <c r="F6159" t="s">
        <v>23479</v>
      </c>
      <c r="G6159">
        <v>2</v>
      </c>
      <c r="H6159" t="s">
        <v>1530</v>
      </c>
      <c r="J6159" t="s">
        <v>20445</v>
      </c>
      <c r="K6159" t="s">
        <v>86</v>
      </c>
      <c r="L6159" t="s">
        <v>33</v>
      </c>
      <c r="M6159" t="s">
        <v>5952</v>
      </c>
      <c r="N6159" t="s">
        <v>20524</v>
      </c>
      <c r="O6159" t="s">
        <v>20525</v>
      </c>
      <c r="P6159" s="2" t="s">
        <v>26</v>
      </c>
      <c r="Q6159" t="s">
        <v>50</v>
      </c>
      <c r="R6159">
        <v>62.05</v>
      </c>
      <c r="S6159">
        <v>62.48</v>
      </c>
      <c r="T6159" t="s">
        <v>20526</v>
      </c>
    </row>
    <row r="6160" spans="1:20" x14ac:dyDescent="0.25">
      <c r="A6160" s="1" t="str">
        <f>HYPERLINK("https://vegkart.atlas.vegvesen.no/#/@185874.0,6567184.8,18/hva:hva%5B0%5D%5Bfilter%5D%5B0%5D%5Boperator%5D=%21%3D&amp;hva%5B0%5D%5Bfilter%5D%5B0%5D%5Btype_id%5D=5897&amp;hva%5B0%5D%5Bfilter%5D%5B0%5D%5Bverdi%5D=&amp;hva%5B0%5D%5Bid%5D=47/når:2023-03-21", "Vegkart")</f>
        <v>Vegkart</v>
      </c>
      <c r="B6160">
        <v>678348117</v>
      </c>
      <c r="C6160">
        <v>47</v>
      </c>
      <c r="D6160" t="s">
        <v>16854</v>
      </c>
      <c r="E6160">
        <v>5897</v>
      </c>
      <c r="F6160" t="s">
        <v>23479</v>
      </c>
      <c r="G6160">
        <v>4</v>
      </c>
      <c r="H6160" t="s">
        <v>2824</v>
      </c>
      <c r="J6160" t="s">
        <v>20445</v>
      </c>
      <c r="K6160" t="s">
        <v>197</v>
      </c>
      <c r="L6160" t="s">
        <v>33</v>
      </c>
      <c r="M6160" t="s">
        <v>20527</v>
      </c>
      <c r="N6160" t="s">
        <v>20528</v>
      </c>
      <c r="O6160" t="s">
        <v>20529</v>
      </c>
      <c r="P6160" s="2" t="s">
        <v>165</v>
      </c>
      <c r="Q6160" t="s">
        <v>166</v>
      </c>
      <c r="R6160">
        <v>0</v>
      </c>
      <c r="S6160">
        <v>96.62</v>
      </c>
      <c r="T6160" t="s">
        <v>167</v>
      </c>
    </row>
    <row r="6161" spans="1:20" x14ac:dyDescent="0.25">
      <c r="A6161" s="1" t="str">
        <f>HYPERLINK("https://vegkart.atlas.vegvesen.no/#/@198430.2,6626145.2,18/hva:hva%5B0%5D%5Bfilter%5D%5B0%5D%5Boperator%5D=%21%3D&amp;hva%5B0%5D%5Bfilter%5D%5B0%5D%5Btype_id%5D=5897&amp;hva%5B0%5D%5Bfilter%5D%5B0%5D%5Bverdi%5D=&amp;hva%5B0%5D%5Bid%5D=47/når:2016-05-13", "Vegkart")</f>
        <v>Vegkart</v>
      </c>
      <c r="B6161">
        <v>680029074</v>
      </c>
      <c r="C6161">
        <v>47</v>
      </c>
      <c r="D6161" t="s">
        <v>16854</v>
      </c>
      <c r="E6161">
        <v>5897</v>
      </c>
      <c r="F6161" t="s">
        <v>23479</v>
      </c>
      <c r="G6161">
        <v>1</v>
      </c>
      <c r="H6161" t="s">
        <v>1530</v>
      </c>
      <c r="J6161" t="s">
        <v>20445</v>
      </c>
      <c r="K6161" t="s">
        <v>307</v>
      </c>
      <c r="L6161" t="s">
        <v>22</v>
      </c>
      <c r="M6161" t="s">
        <v>20530</v>
      </c>
      <c r="N6161" t="s">
        <v>20531</v>
      </c>
      <c r="O6161" t="s">
        <v>20532</v>
      </c>
      <c r="P6161" s="2" t="s">
        <v>26</v>
      </c>
      <c r="Q6161" t="s">
        <v>50</v>
      </c>
      <c r="R6161">
        <v>63.74</v>
      </c>
      <c r="S6161">
        <v>64.14</v>
      </c>
      <c r="T6161" t="s">
        <v>20533</v>
      </c>
    </row>
    <row r="6162" spans="1:20" x14ac:dyDescent="0.25">
      <c r="A6162" s="1" t="str">
        <f>HYPERLINK("https://vegkart.atlas.vegvesen.no/#/@62244.2,6471863.2,18/hva:hva%5B0%5D%5Bfilter%5D%5B0%5D%5Boperator%5D=%21%3D&amp;hva%5B0%5D%5Bfilter%5D%5B0%5D%5Btype_id%5D=5897&amp;hva%5B0%5D%5Bfilter%5D%5B0%5D%5Bverdi%5D=&amp;hva%5B0%5D%5Bid%5D=47/når:2016-05-09", "Vegkart")</f>
        <v>Vegkart</v>
      </c>
      <c r="B6162">
        <v>680596758</v>
      </c>
      <c r="C6162">
        <v>47</v>
      </c>
      <c r="D6162" t="s">
        <v>16854</v>
      </c>
      <c r="E6162">
        <v>5897</v>
      </c>
      <c r="F6162" t="s">
        <v>23479</v>
      </c>
      <c r="G6162">
        <v>1</v>
      </c>
      <c r="H6162" t="s">
        <v>17313</v>
      </c>
      <c r="J6162" t="s">
        <v>20445</v>
      </c>
      <c r="K6162" t="s">
        <v>86</v>
      </c>
      <c r="L6162" t="s">
        <v>33</v>
      </c>
      <c r="M6162" t="s">
        <v>5952</v>
      </c>
      <c r="N6162" t="s">
        <v>20534</v>
      </c>
      <c r="O6162" t="s">
        <v>20535</v>
      </c>
      <c r="P6162" s="2" t="s">
        <v>26</v>
      </c>
      <c r="Q6162" t="s">
        <v>50</v>
      </c>
      <c r="R6162">
        <v>61.04</v>
      </c>
      <c r="S6162">
        <v>61.5</v>
      </c>
      <c r="T6162" t="s">
        <v>20536</v>
      </c>
    </row>
    <row r="6163" spans="1:20" x14ac:dyDescent="0.25">
      <c r="A6163" s="1" t="str">
        <f>HYPERLINK("https://vegkart.atlas.vegvesen.no/#/@328887.1,6677616.6,18/hva:hva%5B0%5D%5Bfilter%5D%5B0%5D%5Boperator%5D=%21%3D&amp;hva%5B0%5D%5Bfilter%5D%5B0%5D%5Btype_id%5D=5897&amp;hva%5B0%5D%5Bfilter%5D%5B0%5D%5Bverdi%5D=&amp;hva%5B0%5D%5Bid%5D=47/når:2014-11-27", "Vegkart")</f>
        <v>Vegkart</v>
      </c>
      <c r="B6163">
        <v>682984893</v>
      </c>
      <c r="C6163">
        <v>47</v>
      </c>
      <c r="D6163" t="s">
        <v>16854</v>
      </c>
      <c r="E6163">
        <v>5897</v>
      </c>
      <c r="F6163" t="s">
        <v>23479</v>
      </c>
      <c r="G6163">
        <v>1</v>
      </c>
      <c r="H6163" t="s">
        <v>14253</v>
      </c>
      <c r="J6163" t="s">
        <v>20445</v>
      </c>
      <c r="K6163" t="s">
        <v>136</v>
      </c>
      <c r="L6163" t="s">
        <v>33</v>
      </c>
      <c r="M6163" t="s">
        <v>6019</v>
      </c>
      <c r="N6163" t="s">
        <v>20537</v>
      </c>
      <c r="O6163" t="s">
        <v>20538</v>
      </c>
      <c r="P6163" s="2" t="s">
        <v>26</v>
      </c>
      <c r="Q6163" t="s">
        <v>50</v>
      </c>
      <c r="R6163">
        <v>20.97</v>
      </c>
      <c r="S6163">
        <v>20.97</v>
      </c>
      <c r="T6163" t="s">
        <v>20539</v>
      </c>
    </row>
    <row r="6164" spans="1:20" x14ac:dyDescent="0.25">
      <c r="A6164" s="1" t="str">
        <f>HYPERLINK("https://vegkart.atlas.vegvesen.no/#/@241943.3,6591187.9,18/hva:hva%5B0%5D%5Bfilter%5D%5B0%5D%5Boperator%5D=%21%3D&amp;hva%5B0%5D%5Bfilter%5D%5B0%5D%5Btype_id%5D=5897&amp;hva%5B0%5D%5Bfilter%5D%5B0%5D%5Bverdi%5D=&amp;hva%5B0%5D%5Bid%5D=47/når:2016-05-28", "Vegkart")</f>
        <v>Vegkart</v>
      </c>
      <c r="B6164">
        <v>684560784</v>
      </c>
      <c r="C6164">
        <v>47</v>
      </c>
      <c r="D6164" t="s">
        <v>16854</v>
      </c>
      <c r="E6164">
        <v>5897</v>
      </c>
      <c r="F6164" t="s">
        <v>23479</v>
      </c>
      <c r="G6164">
        <v>1</v>
      </c>
      <c r="H6164" t="s">
        <v>20540</v>
      </c>
      <c r="J6164" t="s">
        <v>20445</v>
      </c>
      <c r="K6164" t="s">
        <v>81</v>
      </c>
      <c r="L6164" t="s">
        <v>33</v>
      </c>
      <c r="M6164" t="s">
        <v>4461</v>
      </c>
      <c r="N6164" t="s">
        <v>20541</v>
      </c>
      <c r="O6164" t="s">
        <v>20542</v>
      </c>
      <c r="P6164" s="2" t="s">
        <v>26</v>
      </c>
      <c r="Q6164" t="s">
        <v>50</v>
      </c>
      <c r="R6164">
        <v>46.52</v>
      </c>
      <c r="S6164">
        <v>46.72</v>
      </c>
      <c r="T6164" t="s">
        <v>20543</v>
      </c>
    </row>
    <row r="6165" spans="1:20" x14ac:dyDescent="0.25">
      <c r="A6165" s="1" t="str">
        <f>HYPERLINK("https://vegkart.atlas.vegvesen.no/#/@7818.6,6506702.8,18/hva:hva%5B0%5D%5Bfilter%5D%5B0%5D%5Boperator%5D=%21%3D&amp;hva%5B0%5D%5Bfilter%5D%5B0%5D%5Btype_id%5D=5897&amp;hva%5B0%5D%5Bfilter%5D%5B0%5D%5Bverdi%5D=&amp;hva%5B0%5D%5Bid%5D=47/når:2016-06-07", "Vegkart")</f>
        <v>Vegkart</v>
      </c>
      <c r="B6165">
        <v>687641751</v>
      </c>
      <c r="C6165">
        <v>47</v>
      </c>
      <c r="D6165" t="s">
        <v>16854</v>
      </c>
      <c r="E6165">
        <v>5897</v>
      </c>
      <c r="F6165" t="s">
        <v>23479</v>
      </c>
      <c r="G6165">
        <v>1</v>
      </c>
      <c r="H6165" t="s">
        <v>20544</v>
      </c>
      <c r="J6165" t="s">
        <v>8436</v>
      </c>
      <c r="K6165" t="s">
        <v>170</v>
      </c>
      <c r="L6165" t="s">
        <v>33</v>
      </c>
      <c r="M6165" t="s">
        <v>20545</v>
      </c>
      <c r="N6165" t="s">
        <v>20546</v>
      </c>
      <c r="O6165" t="s">
        <v>20547</v>
      </c>
      <c r="P6165" s="2" t="s">
        <v>26</v>
      </c>
      <c r="Q6165" t="s">
        <v>50</v>
      </c>
      <c r="R6165">
        <v>50.63</v>
      </c>
      <c r="S6165">
        <v>50.63</v>
      </c>
      <c r="T6165" t="s">
        <v>20548</v>
      </c>
    </row>
    <row r="6166" spans="1:20" x14ac:dyDescent="0.25">
      <c r="A6166" s="1" t="str">
        <f>HYPERLINK("https://vegkart.atlas.vegvesen.no/#/@192540.4,6576208.1,18/hva:hva%5B0%5D%5Bfilter%5D%5B0%5D%5Boperator%5D=%21%3D&amp;hva%5B0%5D%5Bfilter%5D%5B0%5D%5Btype_id%5D=5897&amp;hva%5B0%5D%5Bfilter%5D%5B0%5D%5Bverdi%5D=&amp;hva%5B0%5D%5Bid%5D=47/når:2022-11-30", "Vegkart")</f>
        <v>Vegkart</v>
      </c>
      <c r="B6166">
        <v>693707342</v>
      </c>
      <c r="C6166">
        <v>47</v>
      </c>
      <c r="D6166" t="s">
        <v>16854</v>
      </c>
      <c r="E6166">
        <v>5897</v>
      </c>
      <c r="F6166" t="s">
        <v>23479</v>
      </c>
      <c r="G6166">
        <v>2</v>
      </c>
      <c r="H6166" t="s">
        <v>17992</v>
      </c>
      <c r="J6166" t="s">
        <v>8436</v>
      </c>
      <c r="K6166" t="s">
        <v>197</v>
      </c>
      <c r="L6166" t="s">
        <v>33</v>
      </c>
      <c r="M6166" t="s">
        <v>1481</v>
      </c>
      <c r="N6166" t="s">
        <v>20549</v>
      </c>
      <c r="O6166" t="s">
        <v>20550</v>
      </c>
      <c r="P6166" s="2" t="s">
        <v>37</v>
      </c>
      <c r="Q6166" t="s">
        <v>1208</v>
      </c>
      <c r="R6166">
        <v>0</v>
      </c>
      <c r="S6166">
        <v>62.44</v>
      </c>
      <c r="T6166" t="s">
        <v>20551</v>
      </c>
    </row>
    <row r="6167" spans="1:20" x14ac:dyDescent="0.25">
      <c r="A6167" s="1" t="str">
        <f>HYPERLINK("https://vegkart.atlas.vegvesen.no/#/@147941.5,6920935.3,18/hva:hva%5B0%5D%5Bfilter%5D%5B0%5D%5Boperator%5D=%21%3D&amp;hva%5B0%5D%5Bfilter%5D%5B0%5D%5Btype_id%5D=5897&amp;hva%5B0%5D%5Bfilter%5D%5B0%5D%5Bverdi%5D=&amp;hva%5B0%5D%5Bid%5D=47/når:2013-10-17", "Vegkart")</f>
        <v>Vegkart</v>
      </c>
      <c r="B6167">
        <v>703025311</v>
      </c>
      <c r="C6167">
        <v>47</v>
      </c>
      <c r="D6167" t="s">
        <v>16854</v>
      </c>
      <c r="E6167">
        <v>5897</v>
      </c>
      <c r="F6167" t="s">
        <v>23479</v>
      </c>
      <c r="G6167">
        <v>1</v>
      </c>
      <c r="H6167" t="s">
        <v>19935</v>
      </c>
      <c r="J6167" t="s">
        <v>8436</v>
      </c>
      <c r="K6167" t="s">
        <v>136</v>
      </c>
      <c r="L6167" t="s">
        <v>80</v>
      </c>
      <c r="M6167" t="s">
        <v>1217</v>
      </c>
      <c r="N6167" t="s">
        <v>20552</v>
      </c>
      <c r="O6167" t="s">
        <v>20553</v>
      </c>
      <c r="P6167" s="2" t="s">
        <v>26</v>
      </c>
      <c r="Q6167" t="s">
        <v>50</v>
      </c>
      <c r="R6167">
        <v>266.04000000000002</v>
      </c>
      <c r="S6167">
        <v>274.89</v>
      </c>
      <c r="T6167" t="s">
        <v>20554</v>
      </c>
    </row>
    <row r="6168" spans="1:20" x14ac:dyDescent="0.25">
      <c r="A6168" s="1" t="str">
        <f>HYPERLINK("https://vegkart.atlas.vegvesen.no/#/@147582.6,6921493.8,18/hva:hva%5B0%5D%5Bfilter%5D%5B0%5D%5Boperator%5D=%21%3D&amp;hva%5B0%5D%5Bfilter%5D%5B0%5D%5Btype_id%5D=5897&amp;hva%5B0%5D%5Bfilter%5D%5B0%5D%5Bverdi%5D=&amp;hva%5B0%5D%5Bid%5D=47/når:2013-10-17", "Vegkart")</f>
        <v>Vegkart</v>
      </c>
      <c r="B6168">
        <v>703025312</v>
      </c>
      <c r="C6168">
        <v>47</v>
      </c>
      <c r="D6168" t="s">
        <v>16854</v>
      </c>
      <c r="E6168">
        <v>5897</v>
      </c>
      <c r="F6168" t="s">
        <v>23479</v>
      </c>
      <c r="G6168">
        <v>1</v>
      </c>
      <c r="H6168" t="s">
        <v>19935</v>
      </c>
      <c r="J6168" t="s">
        <v>8436</v>
      </c>
      <c r="K6168" t="s">
        <v>136</v>
      </c>
      <c r="L6168" t="s">
        <v>80</v>
      </c>
      <c r="M6168" t="s">
        <v>1217</v>
      </c>
      <c r="N6168" t="s">
        <v>20555</v>
      </c>
      <c r="O6168" t="s">
        <v>20556</v>
      </c>
      <c r="P6168" s="2" t="s">
        <v>26</v>
      </c>
      <c r="Q6168" t="s">
        <v>50</v>
      </c>
      <c r="R6168">
        <v>70.599999999999994</v>
      </c>
      <c r="S6168">
        <v>70.81</v>
      </c>
      <c r="T6168" t="s">
        <v>20557</v>
      </c>
    </row>
    <row r="6169" spans="1:20" x14ac:dyDescent="0.25">
      <c r="A6169" s="1" t="str">
        <f>HYPERLINK("https://vegkart.atlas.vegvesen.no/#/@147551.6,6921513.6,18/hva:hva%5B0%5D%5Bfilter%5D%5B0%5D%5Boperator%5D=%21%3D&amp;hva%5B0%5D%5Bfilter%5D%5B0%5D%5Btype_id%5D=5897&amp;hva%5B0%5D%5Bfilter%5D%5B0%5D%5Bverdi%5D=&amp;hva%5B0%5D%5Bid%5D=47/når:2013-10-17", "Vegkart")</f>
        <v>Vegkart</v>
      </c>
      <c r="B6169">
        <v>703025313</v>
      </c>
      <c r="C6169">
        <v>47</v>
      </c>
      <c r="D6169" t="s">
        <v>16854</v>
      </c>
      <c r="E6169">
        <v>5897</v>
      </c>
      <c r="F6169" t="s">
        <v>23479</v>
      </c>
      <c r="G6169">
        <v>1</v>
      </c>
      <c r="H6169" t="s">
        <v>19935</v>
      </c>
      <c r="J6169" t="s">
        <v>8436</v>
      </c>
      <c r="K6169" t="s">
        <v>136</v>
      </c>
      <c r="L6169" t="s">
        <v>80</v>
      </c>
      <c r="M6169" t="s">
        <v>1217</v>
      </c>
      <c r="N6169" t="s">
        <v>20558</v>
      </c>
      <c r="O6169" t="s">
        <v>20559</v>
      </c>
      <c r="P6169" s="2" t="s">
        <v>26</v>
      </c>
      <c r="Q6169" t="s">
        <v>50</v>
      </c>
      <c r="R6169">
        <v>70.180000000000007</v>
      </c>
      <c r="S6169">
        <v>70.42</v>
      </c>
      <c r="T6169" t="s">
        <v>20560</v>
      </c>
    </row>
    <row r="6170" spans="1:20" x14ac:dyDescent="0.25">
      <c r="A6170" s="1" t="str">
        <f>HYPERLINK("https://vegkart.atlas.vegvesen.no/#/@31985.6,6558691.9,18/hva:hva%5B0%5D%5Bfilter%5D%5B0%5D%5Boperator%5D=%21%3D&amp;hva%5B0%5D%5Bfilter%5D%5B0%5D%5Btype_id%5D=5897&amp;hva%5B0%5D%5Bfilter%5D%5B0%5D%5Bverdi%5D=&amp;hva%5B0%5D%5Bid%5D=47/når:2016-06-23", "Vegkart")</f>
        <v>Vegkart</v>
      </c>
      <c r="B6170">
        <v>708589724</v>
      </c>
      <c r="C6170">
        <v>47</v>
      </c>
      <c r="D6170" t="s">
        <v>16854</v>
      </c>
      <c r="E6170">
        <v>5897</v>
      </c>
      <c r="F6170" t="s">
        <v>23479</v>
      </c>
      <c r="G6170">
        <v>1</v>
      </c>
      <c r="H6170" t="s">
        <v>20561</v>
      </c>
      <c r="J6170" t="s">
        <v>8436</v>
      </c>
      <c r="K6170" t="s">
        <v>86</v>
      </c>
      <c r="L6170" t="s">
        <v>33</v>
      </c>
      <c r="M6170" t="s">
        <v>212</v>
      </c>
      <c r="N6170" t="s">
        <v>20562</v>
      </c>
      <c r="O6170" t="s">
        <v>20563</v>
      </c>
      <c r="P6170" s="2" t="s">
        <v>26</v>
      </c>
      <c r="Q6170" t="s">
        <v>50</v>
      </c>
      <c r="R6170">
        <v>72.08</v>
      </c>
      <c r="S6170">
        <v>72.25</v>
      </c>
      <c r="T6170" t="s">
        <v>20564</v>
      </c>
    </row>
    <row r="6171" spans="1:20" x14ac:dyDescent="0.25">
      <c r="A6171" s="1" t="str">
        <f>HYPERLINK("https://vegkart.atlas.vegvesen.no/#/@807255.3,7780201.9,18/hva:hva%5B0%5D%5Bfilter%5D%5B0%5D%5Boperator%5D=%21%3D&amp;hva%5B0%5D%5Bfilter%5D%5B0%5D%5Btype_id%5D=5897&amp;hva%5B0%5D%5Bfilter%5D%5B0%5D%5Bverdi%5D=&amp;hva%5B0%5D%5Bid%5D=47/når:2018-10-22", "Vegkart")</f>
        <v>Vegkart</v>
      </c>
      <c r="B6171">
        <v>716021542</v>
      </c>
      <c r="C6171">
        <v>47</v>
      </c>
      <c r="D6171" t="s">
        <v>16854</v>
      </c>
      <c r="E6171">
        <v>5897</v>
      </c>
      <c r="F6171" t="s">
        <v>23479</v>
      </c>
      <c r="G6171">
        <v>2</v>
      </c>
      <c r="H6171" t="s">
        <v>15421</v>
      </c>
      <c r="J6171" t="s">
        <v>8436</v>
      </c>
      <c r="K6171" t="s">
        <v>450</v>
      </c>
      <c r="L6171" t="s">
        <v>80</v>
      </c>
      <c r="M6171" t="s">
        <v>105</v>
      </c>
      <c r="N6171" t="s">
        <v>20565</v>
      </c>
      <c r="O6171" t="s">
        <v>20566</v>
      </c>
      <c r="P6171" s="2" t="s">
        <v>26</v>
      </c>
      <c r="Q6171" t="s">
        <v>50</v>
      </c>
      <c r="R6171">
        <v>45.01</v>
      </c>
      <c r="S6171">
        <v>45.94</v>
      </c>
      <c r="T6171" t="s">
        <v>20567</v>
      </c>
    </row>
    <row r="6172" spans="1:20" x14ac:dyDescent="0.25">
      <c r="A6172" s="1" t="str">
        <f>HYPERLINK("https://vegkart.atlas.vegvesen.no/#/@234156.7,6834324.3,18/hva:hva%5B0%5D%5Bfilter%5D%5B0%5D%5Boperator%5D=%21%3D&amp;hva%5B0%5D%5Bfilter%5D%5B0%5D%5Btype_id%5D=5897&amp;hva%5B0%5D%5Bfilter%5D%5B0%5D%5Bverdi%5D=&amp;hva%5B0%5D%5Bid%5D=47/når:2016-08-11", "Vegkart")</f>
        <v>Vegkart</v>
      </c>
      <c r="B6172">
        <v>723695349</v>
      </c>
      <c r="C6172">
        <v>47</v>
      </c>
      <c r="D6172" t="s">
        <v>16854</v>
      </c>
      <c r="E6172">
        <v>5897</v>
      </c>
      <c r="F6172" t="s">
        <v>23479</v>
      </c>
      <c r="G6172">
        <v>1</v>
      </c>
      <c r="H6172" t="s">
        <v>20568</v>
      </c>
      <c r="J6172" t="s">
        <v>8436</v>
      </c>
      <c r="K6172" t="s">
        <v>136</v>
      </c>
      <c r="L6172" t="s">
        <v>80</v>
      </c>
      <c r="M6172" t="s">
        <v>105</v>
      </c>
      <c r="N6172" t="s">
        <v>20569</v>
      </c>
      <c r="O6172" t="s">
        <v>20570</v>
      </c>
      <c r="P6172" s="2" t="s">
        <v>26</v>
      </c>
      <c r="Q6172" t="s">
        <v>50</v>
      </c>
      <c r="R6172">
        <v>90.04</v>
      </c>
      <c r="S6172">
        <v>90.34</v>
      </c>
      <c r="T6172" t="s">
        <v>20571</v>
      </c>
    </row>
    <row r="6173" spans="1:20" x14ac:dyDescent="0.25">
      <c r="A6173" s="1" t="str">
        <f>HYPERLINK("https://vegkart.atlas.vegvesen.no/#/@233690.6,6834518.7,18/hva:hva%5B0%5D%5Bfilter%5D%5B0%5D%5Boperator%5D=%21%3D&amp;hva%5B0%5D%5Bfilter%5D%5B0%5D%5Btype_id%5D=5897&amp;hva%5B0%5D%5Bfilter%5D%5B0%5D%5Bverdi%5D=&amp;hva%5B0%5D%5Bid%5D=47/når:2016-08-11", "Vegkart")</f>
        <v>Vegkart</v>
      </c>
      <c r="B6173">
        <v>723695350</v>
      </c>
      <c r="C6173">
        <v>47</v>
      </c>
      <c r="D6173" t="s">
        <v>16854</v>
      </c>
      <c r="E6173">
        <v>5897</v>
      </c>
      <c r="F6173" t="s">
        <v>23479</v>
      </c>
      <c r="G6173">
        <v>1</v>
      </c>
      <c r="H6173" t="s">
        <v>20568</v>
      </c>
      <c r="J6173" t="s">
        <v>8436</v>
      </c>
      <c r="K6173" t="s">
        <v>136</v>
      </c>
      <c r="L6173" t="s">
        <v>80</v>
      </c>
      <c r="M6173" t="s">
        <v>105</v>
      </c>
      <c r="N6173" t="s">
        <v>20572</v>
      </c>
      <c r="O6173" t="s">
        <v>20573</v>
      </c>
      <c r="P6173" s="2" t="s">
        <v>26</v>
      </c>
      <c r="Q6173" t="s">
        <v>50</v>
      </c>
      <c r="R6173">
        <v>89.96</v>
      </c>
      <c r="S6173">
        <v>90.23</v>
      </c>
      <c r="T6173" t="s">
        <v>20574</v>
      </c>
    </row>
    <row r="6174" spans="1:20" x14ac:dyDescent="0.25">
      <c r="A6174" s="1" t="str">
        <f>HYPERLINK("https://vegkart.atlas.vegvesen.no/#/@233215.9,6834673.9,18/hva:hva%5B0%5D%5Bfilter%5D%5B0%5D%5Boperator%5D=%21%3D&amp;hva%5B0%5D%5Bfilter%5D%5B0%5D%5Btype_id%5D=5897&amp;hva%5B0%5D%5Bfilter%5D%5B0%5D%5Bverdi%5D=&amp;hva%5B0%5D%5Bid%5D=47/når:2016-08-11", "Vegkart")</f>
        <v>Vegkart</v>
      </c>
      <c r="B6174">
        <v>723695351</v>
      </c>
      <c r="C6174">
        <v>47</v>
      </c>
      <c r="D6174" t="s">
        <v>16854</v>
      </c>
      <c r="E6174">
        <v>5897</v>
      </c>
      <c r="F6174" t="s">
        <v>23479</v>
      </c>
      <c r="G6174">
        <v>1</v>
      </c>
      <c r="H6174" t="s">
        <v>20568</v>
      </c>
      <c r="J6174" t="s">
        <v>8436</v>
      </c>
      <c r="K6174" t="s">
        <v>136</v>
      </c>
      <c r="L6174" t="s">
        <v>80</v>
      </c>
      <c r="M6174" t="s">
        <v>105</v>
      </c>
      <c r="N6174" t="s">
        <v>20575</v>
      </c>
      <c r="O6174" t="s">
        <v>20576</v>
      </c>
      <c r="P6174" s="2" t="s">
        <v>26</v>
      </c>
      <c r="Q6174" t="s">
        <v>50</v>
      </c>
      <c r="R6174">
        <v>89.98</v>
      </c>
      <c r="S6174">
        <v>90.25</v>
      </c>
      <c r="T6174" t="s">
        <v>20577</v>
      </c>
    </row>
    <row r="6175" spans="1:20" x14ac:dyDescent="0.25">
      <c r="A6175" s="1" t="str">
        <f>HYPERLINK("https://vegkart.atlas.vegvesen.no/#/@232732.5,6834802.2,18/hva:hva%5B0%5D%5Bfilter%5D%5B0%5D%5Boperator%5D=%21%3D&amp;hva%5B0%5D%5Bfilter%5D%5B0%5D%5Btype_id%5D=5897&amp;hva%5B0%5D%5Bfilter%5D%5B0%5D%5Bverdi%5D=&amp;hva%5B0%5D%5Bid%5D=47/når:2016-08-11", "Vegkart")</f>
        <v>Vegkart</v>
      </c>
      <c r="B6175">
        <v>723695352</v>
      </c>
      <c r="C6175">
        <v>47</v>
      </c>
      <c r="D6175" t="s">
        <v>16854</v>
      </c>
      <c r="E6175">
        <v>5897</v>
      </c>
      <c r="F6175" t="s">
        <v>23479</v>
      </c>
      <c r="G6175">
        <v>1</v>
      </c>
      <c r="H6175" t="s">
        <v>20568</v>
      </c>
      <c r="J6175" t="s">
        <v>8436</v>
      </c>
      <c r="K6175" t="s">
        <v>136</v>
      </c>
      <c r="L6175" t="s">
        <v>80</v>
      </c>
      <c r="M6175" t="s">
        <v>105</v>
      </c>
      <c r="N6175" t="s">
        <v>20578</v>
      </c>
      <c r="O6175" t="s">
        <v>20579</v>
      </c>
      <c r="P6175" s="2" t="s">
        <v>26</v>
      </c>
      <c r="Q6175" t="s">
        <v>50</v>
      </c>
      <c r="R6175">
        <v>90.04</v>
      </c>
      <c r="S6175">
        <v>90.34</v>
      </c>
      <c r="T6175" t="s">
        <v>20580</v>
      </c>
    </row>
    <row r="6176" spans="1:20" x14ac:dyDescent="0.25">
      <c r="A6176" s="1" t="str">
        <f>HYPERLINK("https://vegkart.atlas.vegvesen.no/#/@232007.1,6834994.1,18/hva:hva%5B0%5D%5Bfilter%5D%5B0%5D%5Boperator%5D=%21%3D&amp;hva%5B0%5D%5Bfilter%5D%5B0%5D%5Btype_id%5D=5897&amp;hva%5B0%5D%5Bfilter%5D%5B0%5D%5Bverdi%5D=&amp;hva%5B0%5D%5Bid%5D=47/når:2016-08-11", "Vegkart")</f>
        <v>Vegkart</v>
      </c>
      <c r="B6176">
        <v>723695353</v>
      </c>
      <c r="C6176">
        <v>47</v>
      </c>
      <c r="D6176" t="s">
        <v>16854</v>
      </c>
      <c r="E6176">
        <v>5897</v>
      </c>
      <c r="F6176" t="s">
        <v>23479</v>
      </c>
      <c r="G6176">
        <v>1</v>
      </c>
      <c r="H6176" t="s">
        <v>20568</v>
      </c>
      <c r="J6176" t="s">
        <v>8436</v>
      </c>
      <c r="K6176" t="s">
        <v>136</v>
      </c>
      <c r="L6176" t="s">
        <v>80</v>
      </c>
      <c r="M6176" t="s">
        <v>105</v>
      </c>
      <c r="N6176" t="s">
        <v>20581</v>
      </c>
      <c r="O6176" t="s">
        <v>20582</v>
      </c>
      <c r="P6176" s="2" t="s">
        <v>26</v>
      </c>
      <c r="Q6176" t="s">
        <v>50</v>
      </c>
      <c r="R6176">
        <v>90.05</v>
      </c>
      <c r="S6176">
        <v>90.35</v>
      </c>
      <c r="T6176" t="s">
        <v>20583</v>
      </c>
    </row>
    <row r="6177" spans="1:20" x14ac:dyDescent="0.25">
      <c r="A6177" s="1" t="str">
        <f>HYPERLINK("https://vegkart.atlas.vegvesen.no/#/@231765.3,6835058.1,18/hva:hva%5B0%5D%5Bfilter%5D%5B0%5D%5Boperator%5D=%21%3D&amp;hva%5B0%5D%5Bfilter%5D%5B0%5D%5Btype_id%5D=5897&amp;hva%5B0%5D%5Bfilter%5D%5B0%5D%5Bverdi%5D=&amp;hva%5B0%5D%5Bid%5D=47/når:2016-08-11", "Vegkart")</f>
        <v>Vegkart</v>
      </c>
      <c r="B6177">
        <v>723695354</v>
      </c>
      <c r="C6177">
        <v>47</v>
      </c>
      <c r="D6177" t="s">
        <v>16854</v>
      </c>
      <c r="E6177">
        <v>5897</v>
      </c>
      <c r="F6177" t="s">
        <v>23479</v>
      </c>
      <c r="G6177">
        <v>1</v>
      </c>
      <c r="H6177" t="s">
        <v>20568</v>
      </c>
      <c r="J6177" t="s">
        <v>8436</v>
      </c>
      <c r="K6177" t="s">
        <v>136</v>
      </c>
      <c r="L6177" t="s">
        <v>80</v>
      </c>
      <c r="M6177" t="s">
        <v>105</v>
      </c>
      <c r="N6177" t="s">
        <v>20584</v>
      </c>
      <c r="O6177" t="s">
        <v>20585</v>
      </c>
      <c r="P6177" s="2" t="s">
        <v>26</v>
      </c>
      <c r="Q6177" t="s">
        <v>50</v>
      </c>
      <c r="R6177">
        <v>90.05</v>
      </c>
      <c r="S6177">
        <v>90.34</v>
      </c>
      <c r="T6177" t="s">
        <v>20586</v>
      </c>
    </row>
    <row r="6178" spans="1:20" x14ac:dyDescent="0.25">
      <c r="A6178" s="1" t="str">
        <f>HYPERLINK("https://vegkart.atlas.vegvesen.no/#/@231281.9,6835188.0,18/hva:hva%5B0%5D%5Bfilter%5D%5B0%5D%5Boperator%5D=%21%3D&amp;hva%5B0%5D%5Bfilter%5D%5B0%5D%5Btype_id%5D=5897&amp;hva%5B0%5D%5Bfilter%5D%5B0%5D%5Bverdi%5D=&amp;hva%5B0%5D%5Bid%5D=47/når:2016-08-11", "Vegkart")</f>
        <v>Vegkart</v>
      </c>
      <c r="B6178">
        <v>723695355</v>
      </c>
      <c r="C6178">
        <v>47</v>
      </c>
      <c r="D6178" t="s">
        <v>16854</v>
      </c>
      <c r="E6178">
        <v>5897</v>
      </c>
      <c r="F6178" t="s">
        <v>23479</v>
      </c>
      <c r="G6178">
        <v>1</v>
      </c>
      <c r="H6178" t="s">
        <v>20568</v>
      </c>
      <c r="J6178" t="s">
        <v>8436</v>
      </c>
      <c r="K6178" t="s">
        <v>136</v>
      </c>
      <c r="L6178" t="s">
        <v>80</v>
      </c>
      <c r="M6178" t="s">
        <v>105</v>
      </c>
      <c r="N6178" t="s">
        <v>20587</v>
      </c>
      <c r="O6178" t="s">
        <v>20588</v>
      </c>
      <c r="P6178" s="2" t="s">
        <v>26</v>
      </c>
      <c r="Q6178" t="s">
        <v>50</v>
      </c>
      <c r="R6178">
        <v>90.33</v>
      </c>
      <c r="S6178">
        <v>90.8</v>
      </c>
      <c r="T6178" t="s">
        <v>20589</v>
      </c>
    </row>
    <row r="6179" spans="1:20" x14ac:dyDescent="0.25">
      <c r="A6179" s="1" t="str">
        <f>HYPERLINK("https://vegkart.atlas.vegvesen.no/#/@231008.7,6835325.0,18/hva:hva%5B0%5D%5Bfilter%5D%5B0%5D%5Boperator%5D=%21%3D&amp;hva%5B0%5D%5Bfilter%5D%5B0%5D%5Btype_id%5D=5897&amp;hva%5B0%5D%5Bfilter%5D%5B0%5D%5Bverdi%5D=&amp;hva%5B0%5D%5Bid%5D=47/når:2016-08-11", "Vegkart")</f>
        <v>Vegkart</v>
      </c>
      <c r="B6179">
        <v>723695356</v>
      </c>
      <c r="C6179">
        <v>47</v>
      </c>
      <c r="D6179" t="s">
        <v>16854</v>
      </c>
      <c r="E6179">
        <v>5897</v>
      </c>
      <c r="F6179" t="s">
        <v>23479</v>
      </c>
      <c r="G6179">
        <v>1</v>
      </c>
      <c r="H6179" t="s">
        <v>20568</v>
      </c>
      <c r="J6179" t="s">
        <v>8436</v>
      </c>
      <c r="K6179" t="s">
        <v>136</v>
      </c>
      <c r="L6179" t="s">
        <v>80</v>
      </c>
      <c r="M6179" t="s">
        <v>105</v>
      </c>
      <c r="N6179" t="s">
        <v>20590</v>
      </c>
      <c r="O6179" t="s">
        <v>20591</v>
      </c>
      <c r="P6179" s="2" t="s">
        <v>26</v>
      </c>
      <c r="Q6179" t="s">
        <v>50</v>
      </c>
      <c r="R6179">
        <v>90.41</v>
      </c>
      <c r="S6179">
        <v>90.94</v>
      </c>
      <c r="T6179" t="s">
        <v>20592</v>
      </c>
    </row>
    <row r="6180" spans="1:20" x14ac:dyDescent="0.25">
      <c r="A6180" s="1" t="str">
        <f>HYPERLINK("https://vegkart.atlas.vegvesen.no/#/@234612.7,6834131.0,18/hva:hva%5B0%5D%5Bfilter%5D%5B0%5D%5Boperator%5D=%21%3D&amp;hva%5B0%5D%5Bfilter%5D%5B0%5D%5Btype_id%5D=5897&amp;hva%5B0%5D%5Bfilter%5D%5B0%5D%5Bverdi%5D=&amp;hva%5B0%5D%5Bid%5D=47/når:2016-08-11", "Vegkart")</f>
        <v>Vegkart</v>
      </c>
      <c r="B6180">
        <v>723695357</v>
      </c>
      <c r="C6180">
        <v>47</v>
      </c>
      <c r="D6180" t="s">
        <v>16854</v>
      </c>
      <c r="E6180">
        <v>5897</v>
      </c>
      <c r="F6180" t="s">
        <v>23479</v>
      </c>
      <c r="G6180">
        <v>1</v>
      </c>
      <c r="H6180" t="s">
        <v>20568</v>
      </c>
      <c r="J6180" t="s">
        <v>8436</v>
      </c>
      <c r="K6180" t="s">
        <v>136</v>
      </c>
      <c r="L6180" t="s">
        <v>80</v>
      </c>
      <c r="M6180" t="s">
        <v>105</v>
      </c>
      <c r="N6180" t="s">
        <v>20593</v>
      </c>
      <c r="O6180" t="s">
        <v>20594</v>
      </c>
      <c r="P6180" s="2" t="s">
        <v>26</v>
      </c>
      <c r="Q6180" t="s">
        <v>50</v>
      </c>
      <c r="R6180">
        <v>90.15</v>
      </c>
      <c r="S6180">
        <v>90.51</v>
      </c>
      <c r="T6180" t="s">
        <v>20595</v>
      </c>
    </row>
    <row r="6181" spans="1:20" x14ac:dyDescent="0.25">
      <c r="A6181" s="1" t="str">
        <f>HYPERLINK("https://vegkart.atlas.vegvesen.no/#/@191826.4,6570964.3,18/hva:hva%5B0%5D%5Bfilter%5D%5B0%5D%5Boperator%5D=%21%3D&amp;hva%5B0%5D%5Bfilter%5D%5B0%5D%5Btype_id%5D=5897&amp;hva%5B0%5D%5Bfilter%5D%5B0%5D%5Bverdi%5D=&amp;hva%5B0%5D%5Bid%5D=47/når:2022-11-30", "Vegkart")</f>
        <v>Vegkart</v>
      </c>
      <c r="B6181">
        <v>723775940</v>
      </c>
      <c r="C6181">
        <v>47</v>
      </c>
      <c r="D6181" t="s">
        <v>16854</v>
      </c>
      <c r="E6181">
        <v>5897</v>
      </c>
      <c r="F6181" t="s">
        <v>23479</v>
      </c>
      <c r="G6181">
        <v>2</v>
      </c>
      <c r="H6181" t="s">
        <v>17992</v>
      </c>
      <c r="J6181" t="s">
        <v>8436</v>
      </c>
      <c r="K6181" t="s">
        <v>197</v>
      </c>
      <c r="L6181" t="s">
        <v>33</v>
      </c>
      <c r="M6181" t="s">
        <v>20596</v>
      </c>
      <c r="N6181" t="s">
        <v>20597</v>
      </c>
      <c r="O6181" t="s">
        <v>20598</v>
      </c>
      <c r="P6181" s="2" t="s">
        <v>26</v>
      </c>
      <c r="Q6181" t="s">
        <v>50</v>
      </c>
      <c r="R6181">
        <v>60.96</v>
      </c>
      <c r="S6181">
        <v>61.28</v>
      </c>
      <c r="T6181" t="s">
        <v>20599</v>
      </c>
    </row>
    <row r="6182" spans="1:20" x14ac:dyDescent="0.25">
      <c r="A6182" s="1" t="str">
        <f>HYPERLINK("https://vegkart.atlas.vegvesen.no/#/@191817.2,6570970.7,18/hva:hva%5B0%5D%5Bfilter%5D%5B0%5D%5Boperator%5D=%21%3D&amp;hva%5B0%5D%5Bfilter%5D%5B0%5D%5Btype_id%5D=5897&amp;hva%5B0%5D%5Bfilter%5D%5B0%5D%5Bverdi%5D=&amp;hva%5B0%5D%5Bid%5D=47/når:2022-11-30", "Vegkart")</f>
        <v>Vegkart</v>
      </c>
      <c r="B6182">
        <v>723775941</v>
      </c>
      <c r="C6182">
        <v>47</v>
      </c>
      <c r="D6182" t="s">
        <v>16854</v>
      </c>
      <c r="E6182">
        <v>5897</v>
      </c>
      <c r="F6182" t="s">
        <v>23479</v>
      </c>
      <c r="G6182">
        <v>2</v>
      </c>
      <c r="H6182" t="s">
        <v>17992</v>
      </c>
      <c r="J6182" t="s">
        <v>8436</v>
      </c>
      <c r="K6182" t="s">
        <v>197</v>
      </c>
      <c r="L6182" t="s">
        <v>33</v>
      </c>
      <c r="M6182" t="s">
        <v>20596</v>
      </c>
      <c r="N6182" t="s">
        <v>20600</v>
      </c>
      <c r="O6182" t="s">
        <v>20601</v>
      </c>
      <c r="P6182" s="2" t="s">
        <v>26</v>
      </c>
      <c r="Q6182" t="s">
        <v>50</v>
      </c>
      <c r="R6182">
        <v>62.14</v>
      </c>
      <c r="S6182">
        <v>62.27</v>
      </c>
      <c r="T6182" t="s">
        <v>20602</v>
      </c>
    </row>
    <row r="6183" spans="1:20" x14ac:dyDescent="0.25">
      <c r="A6183" s="1" t="str">
        <f>HYPERLINK("https://vegkart.atlas.vegvesen.no/#/@7407.6,6713382.5,18/hva:hva%5B0%5D%5Bfilter%5D%5B0%5D%5Boperator%5D=%21%3D&amp;hva%5B0%5D%5Bfilter%5D%5B0%5D%5Btype_id%5D=5897&amp;hva%5B0%5D%5Bfilter%5D%5B0%5D%5Bverdi%5D=&amp;hva%5B0%5D%5Bid%5D=47/når:2018-07-17", "Vegkart")</f>
        <v>Vegkart</v>
      </c>
      <c r="B6183">
        <v>724832591</v>
      </c>
      <c r="C6183">
        <v>47</v>
      </c>
      <c r="D6183" t="s">
        <v>16854</v>
      </c>
      <c r="E6183">
        <v>5897</v>
      </c>
      <c r="F6183" t="s">
        <v>23479</v>
      </c>
      <c r="G6183">
        <v>2</v>
      </c>
      <c r="H6183" t="s">
        <v>17170</v>
      </c>
      <c r="J6183" t="s">
        <v>8436</v>
      </c>
      <c r="K6183" t="s">
        <v>21</v>
      </c>
      <c r="L6183" t="s">
        <v>33</v>
      </c>
      <c r="M6183" t="s">
        <v>5664</v>
      </c>
      <c r="N6183" t="s">
        <v>20603</v>
      </c>
      <c r="O6183" t="s">
        <v>20604</v>
      </c>
      <c r="P6183" s="2" t="s">
        <v>26</v>
      </c>
      <c r="Q6183" t="s">
        <v>50</v>
      </c>
      <c r="R6183">
        <v>33.909999999999997</v>
      </c>
      <c r="S6183">
        <v>34</v>
      </c>
      <c r="T6183" t="s">
        <v>20605</v>
      </c>
    </row>
    <row r="6184" spans="1:20" x14ac:dyDescent="0.25">
      <c r="A6184" s="1" t="str">
        <f>HYPERLINK("https://vegkart.atlas.vegvesen.no/#/@211920.9,6850570.4,18/hva:hva%5B0%5D%5Bfilter%5D%5B0%5D%5Boperator%5D=%21%3D&amp;hva%5B0%5D%5Bfilter%5D%5B0%5D%5Btype_id%5D=5897&amp;hva%5B0%5D%5Bfilter%5D%5B0%5D%5Bverdi%5D=&amp;hva%5B0%5D%5Bid%5D=47/når:2016-09-02", "Vegkart")</f>
        <v>Vegkart</v>
      </c>
      <c r="B6184">
        <v>731581325</v>
      </c>
      <c r="C6184">
        <v>47</v>
      </c>
      <c r="D6184" t="s">
        <v>16854</v>
      </c>
      <c r="E6184">
        <v>5897</v>
      </c>
      <c r="F6184" t="s">
        <v>23479</v>
      </c>
      <c r="G6184">
        <v>1</v>
      </c>
      <c r="H6184" t="s">
        <v>20606</v>
      </c>
      <c r="J6184" t="s">
        <v>20607</v>
      </c>
      <c r="K6184" t="s">
        <v>136</v>
      </c>
      <c r="L6184" t="s">
        <v>80</v>
      </c>
      <c r="M6184" t="s">
        <v>105</v>
      </c>
      <c r="N6184" t="s">
        <v>20608</v>
      </c>
      <c r="O6184" t="s">
        <v>20609</v>
      </c>
      <c r="P6184" s="2" t="s">
        <v>26</v>
      </c>
      <c r="Q6184" t="s">
        <v>50</v>
      </c>
      <c r="R6184">
        <v>35.020000000000003</v>
      </c>
      <c r="S6184">
        <v>36.68</v>
      </c>
      <c r="T6184" t="s">
        <v>20610</v>
      </c>
    </row>
    <row r="6185" spans="1:20" x14ac:dyDescent="0.25">
      <c r="A6185" s="1" t="str">
        <f>HYPERLINK("https://vegkart.atlas.vegvesen.no/#/@216803.9,6848435.1,18/hva:hva%5B0%5D%5Bfilter%5D%5B0%5D%5Boperator%5D=%21%3D&amp;hva%5B0%5D%5Bfilter%5D%5B0%5D%5Btype_id%5D=5897&amp;hva%5B0%5D%5Bfilter%5D%5B0%5D%5Bverdi%5D=&amp;hva%5B0%5D%5Bid%5D=47/når:2016-09-02", "Vegkart")</f>
        <v>Vegkart</v>
      </c>
      <c r="B6185">
        <v>731581330</v>
      </c>
      <c r="C6185">
        <v>47</v>
      </c>
      <c r="D6185" t="s">
        <v>16854</v>
      </c>
      <c r="E6185">
        <v>5897</v>
      </c>
      <c r="F6185" t="s">
        <v>23479</v>
      </c>
      <c r="G6185">
        <v>1</v>
      </c>
      <c r="H6185" t="s">
        <v>20606</v>
      </c>
      <c r="J6185" t="s">
        <v>20607</v>
      </c>
      <c r="K6185" t="s">
        <v>136</v>
      </c>
      <c r="L6185" t="s">
        <v>33</v>
      </c>
      <c r="M6185" t="s">
        <v>8483</v>
      </c>
      <c r="N6185" t="s">
        <v>20611</v>
      </c>
      <c r="O6185" t="s">
        <v>20612</v>
      </c>
      <c r="P6185" s="2" t="s">
        <v>26</v>
      </c>
      <c r="Q6185" t="s">
        <v>50</v>
      </c>
      <c r="R6185">
        <v>62.22</v>
      </c>
      <c r="S6185">
        <v>63.74</v>
      </c>
      <c r="T6185" t="s">
        <v>20613</v>
      </c>
    </row>
    <row r="6186" spans="1:20" x14ac:dyDescent="0.25">
      <c r="A6186" s="1" t="str">
        <f>HYPERLINK("https://vegkart.atlas.vegvesen.no/#/@164937.5,6702672.9,18/hva:hva%5B0%5D%5Bfilter%5D%5B0%5D%5Boperator%5D=%21%3D&amp;hva%5B0%5D%5Bfilter%5D%5B0%5D%5Btype_id%5D=5897&amp;hva%5B0%5D%5Bfilter%5D%5B0%5D%5Bverdi%5D=&amp;hva%5B0%5D%5Bid%5D=47/når:2016-11-04", "Vegkart")</f>
        <v>Vegkart</v>
      </c>
      <c r="B6186">
        <v>731806509</v>
      </c>
      <c r="C6186">
        <v>47</v>
      </c>
      <c r="D6186" t="s">
        <v>16854</v>
      </c>
      <c r="E6186">
        <v>5897</v>
      </c>
      <c r="F6186" t="s">
        <v>23479</v>
      </c>
      <c r="G6186">
        <v>2</v>
      </c>
      <c r="H6186" t="s">
        <v>17138</v>
      </c>
      <c r="J6186" t="s">
        <v>20607</v>
      </c>
      <c r="K6186" t="s">
        <v>307</v>
      </c>
      <c r="L6186" t="s">
        <v>33</v>
      </c>
      <c r="M6186" t="s">
        <v>17139</v>
      </c>
      <c r="N6186" t="s">
        <v>20614</v>
      </c>
      <c r="O6186" t="s">
        <v>20615</v>
      </c>
      <c r="P6186" s="2" t="s">
        <v>26</v>
      </c>
      <c r="Q6186" t="s">
        <v>50</v>
      </c>
      <c r="R6186">
        <v>36.49</v>
      </c>
      <c r="S6186">
        <v>36.53</v>
      </c>
      <c r="T6186" t="s">
        <v>20616</v>
      </c>
    </row>
    <row r="6187" spans="1:20" x14ac:dyDescent="0.25">
      <c r="A6187" s="1" t="str">
        <f>HYPERLINK("https://vegkart.atlas.vegvesen.no/#/@164325.9,6703041.2,18/hva:hva%5B0%5D%5Bfilter%5D%5B0%5D%5Boperator%5D=%21%3D&amp;hva%5B0%5D%5Bfilter%5D%5B0%5D%5Btype_id%5D=5897&amp;hva%5B0%5D%5Bfilter%5D%5B0%5D%5Bverdi%5D=&amp;hva%5B0%5D%5Bid%5D=47/når:2016-11-04", "Vegkart")</f>
        <v>Vegkart</v>
      </c>
      <c r="B6187">
        <v>731806514</v>
      </c>
      <c r="C6187">
        <v>47</v>
      </c>
      <c r="D6187" t="s">
        <v>16854</v>
      </c>
      <c r="E6187">
        <v>5897</v>
      </c>
      <c r="F6187" t="s">
        <v>23479</v>
      </c>
      <c r="G6187">
        <v>2</v>
      </c>
      <c r="H6187" t="s">
        <v>17138</v>
      </c>
      <c r="J6187" t="s">
        <v>20607</v>
      </c>
      <c r="K6187" t="s">
        <v>307</v>
      </c>
      <c r="L6187" t="s">
        <v>33</v>
      </c>
      <c r="M6187" t="s">
        <v>17139</v>
      </c>
      <c r="N6187" t="s">
        <v>20617</v>
      </c>
      <c r="O6187" t="s">
        <v>20618</v>
      </c>
      <c r="P6187" s="2" t="s">
        <v>26</v>
      </c>
      <c r="Q6187" t="s">
        <v>50</v>
      </c>
      <c r="R6187">
        <v>25.36</v>
      </c>
      <c r="S6187">
        <v>25.36</v>
      </c>
      <c r="T6187" t="s">
        <v>20619</v>
      </c>
    </row>
    <row r="6188" spans="1:20" x14ac:dyDescent="0.25">
      <c r="A6188" s="1" t="str">
        <f>HYPERLINK("https://vegkart.atlas.vegvesen.no/#/@75025.4,6462112.6,18/hva:hva%5B0%5D%5Bfilter%5D%5B0%5D%5Boperator%5D=%21%3D&amp;hva%5B0%5D%5Bfilter%5D%5B0%5D%5Btype_id%5D=5897&amp;hva%5B0%5D%5Bfilter%5D%5B0%5D%5Bverdi%5D=&amp;hva%5B0%5D%5Bid%5D=47/når:2016-09-05", "Vegkart")</f>
        <v>Vegkart</v>
      </c>
      <c r="B6188">
        <v>732227654</v>
      </c>
      <c r="C6188">
        <v>47</v>
      </c>
      <c r="D6188" t="s">
        <v>16854</v>
      </c>
      <c r="E6188">
        <v>5897</v>
      </c>
      <c r="F6188" t="s">
        <v>23479</v>
      </c>
      <c r="G6188">
        <v>1</v>
      </c>
      <c r="H6188" t="s">
        <v>20620</v>
      </c>
      <c r="J6188" t="s">
        <v>20607</v>
      </c>
      <c r="K6188" t="s">
        <v>86</v>
      </c>
      <c r="L6188" t="s">
        <v>33</v>
      </c>
      <c r="M6188" t="s">
        <v>20621</v>
      </c>
      <c r="N6188" t="s">
        <v>20622</v>
      </c>
      <c r="O6188" t="s">
        <v>20623</v>
      </c>
      <c r="P6188" s="2" t="s">
        <v>26</v>
      </c>
      <c r="Q6188" t="s">
        <v>50</v>
      </c>
      <c r="R6188">
        <v>53.91</v>
      </c>
      <c r="S6188">
        <v>54.42</v>
      </c>
      <c r="T6188" t="s">
        <v>20624</v>
      </c>
    </row>
    <row r="6189" spans="1:20" x14ac:dyDescent="0.25">
      <c r="A6189" s="1" t="str">
        <f>HYPERLINK("https://vegkart.atlas.vegvesen.no/#/@88761.9,6467167.0,18/hva:hva%5B0%5D%5Bfilter%5D%5B0%5D%5Boperator%5D=%21%3D&amp;hva%5B0%5D%5Bfilter%5D%5B0%5D%5Btype_id%5D=5897&amp;hva%5B0%5D%5Bfilter%5D%5B0%5D%5Bverdi%5D=&amp;hva%5B0%5D%5Bid%5D=47/når:2016-09-05", "Vegkart")</f>
        <v>Vegkart</v>
      </c>
      <c r="B6189">
        <v>732227692</v>
      </c>
      <c r="C6189">
        <v>47</v>
      </c>
      <c r="D6189" t="s">
        <v>16854</v>
      </c>
      <c r="E6189">
        <v>5897</v>
      </c>
      <c r="F6189" t="s">
        <v>23479</v>
      </c>
      <c r="G6189">
        <v>1</v>
      </c>
      <c r="H6189" t="s">
        <v>20620</v>
      </c>
      <c r="J6189" t="s">
        <v>20607</v>
      </c>
      <c r="K6189" t="s">
        <v>86</v>
      </c>
      <c r="L6189" t="s">
        <v>33</v>
      </c>
      <c r="M6189" t="s">
        <v>20625</v>
      </c>
      <c r="N6189" t="s">
        <v>20626</v>
      </c>
      <c r="O6189" t="s">
        <v>20627</v>
      </c>
      <c r="P6189" s="2" t="s">
        <v>26</v>
      </c>
      <c r="Q6189" t="s">
        <v>50</v>
      </c>
      <c r="R6189">
        <v>40.21</v>
      </c>
      <c r="S6189">
        <v>40.6</v>
      </c>
      <c r="T6189" t="s">
        <v>20628</v>
      </c>
    </row>
    <row r="6190" spans="1:20" x14ac:dyDescent="0.25">
      <c r="A6190" s="1" t="str">
        <f>HYPERLINK("https://vegkart.atlas.vegvesen.no/#/@93271.9,6463939.3,18/hva:hva%5B0%5D%5Bfilter%5D%5B0%5D%5Boperator%5D=%21%3D&amp;hva%5B0%5D%5Bfilter%5D%5B0%5D%5Btype_id%5D=5897&amp;hva%5B0%5D%5Bfilter%5D%5B0%5D%5Bverdi%5D=&amp;hva%5B0%5D%5Bid%5D=47/når:2016-09-05", "Vegkart")</f>
        <v>Vegkart</v>
      </c>
      <c r="B6190">
        <v>732227693</v>
      </c>
      <c r="C6190">
        <v>47</v>
      </c>
      <c r="D6190" t="s">
        <v>16854</v>
      </c>
      <c r="E6190">
        <v>5897</v>
      </c>
      <c r="F6190" t="s">
        <v>23479</v>
      </c>
      <c r="G6190">
        <v>1</v>
      </c>
      <c r="H6190" t="s">
        <v>20620</v>
      </c>
      <c r="J6190" t="s">
        <v>20607</v>
      </c>
      <c r="K6190" t="s">
        <v>86</v>
      </c>
      <c r="L6190" t="s">
        <v>33</v>
      </c>
      <c r="M6190" t="s">
        <v>11374</v>
      </c>
      <c r="N6190" t="s">
        <v>20629</v>
      </c>
      <c r="O6190" t="s">
        <v>20630</v>
      </c>
      <c r="P6190" s="2" t="s">
        <v>26</v>
      </c>
      <c r="Q6190" t="s">
        <v>50</v>
      </c>
      <c r="R6190">
        <v>44.59</v>
      </c>
      <c r="S6190">
        <v>45.11</v>
      </c>
      <c r="T6190" t="s">
        <v>20631</v>
      </c>
    </row>
    <row r="6191" spans="1:20" x14ac:dyDescent="0.25">
      <c r="A6191" s="1" t="str">
        <f>HYPERLINK("https://vegkart.atlas.vegvesen.no/#/@93254.3,6463963.8,18/hva:hva%5B0%5D%5Bfilter%5D%5B0%5D%5Boperator%5D=%21%3D&amp;hva%5B0%5D%5Bfilter%5D%5B0%5D%5Btype_id%5D=5897&amp;hva%5B0%5D%5Bfilter%5D%5B0%5D%5Bverdi%5D=&amp;hva%5B0%5D%5Bid%5D=47/når:2016-09-05", "Vegkart")</f>
        <v>Vegkart</v>
      </c>
      <c r="B6191">
        <v>732227694</v>
      </c>
      <c r="C6191">
        <v>47</v>
      </c>
      <c r="D6191" t="s">
        <v>16854</v>
      </c>
      <c r="E6191">
        <v>5897</v>
      </c>
      <c r="F6191" t="s">
        <v>23479</v>
      </c>
      <c r="G6191">
        <v>1</v>
      </c>
      <c r="H6191" t="s">
        <v>20620</v>
      </c>
      <c r="J6191" t="s">
        <v>20607</v>
      </c>
      <c r="K6191" t="s">
        <v>86</v>
      </c>
      <c r="L6191" t="s">
        <v>33</v>
      </c>
      <c r="M6191" t="s">
        <v>11374</v>
      </c>
      <c r="N6191" t="s">
        <v>20632</v>
      </c>
      <c r="O6191" t="s">
        <v>20633</v>
      </c>
      <c r="P6191" s="2" t="s">
        <v>26</v>
      </c>
      <c r="Q6191" t="s">
        <v>50</v>
      </c>
      <c r="R6191">
        <v>50.55</v>
      </c>
      <c r="S6191">
        <v>50.85</v>
      </c>
      <c r="T6191" t="s">
        <v>20634</v>
      </c>
    </row>
    <row r="6192" spans="1:20" x14ac:dyDescent="0.25">
      <c r="A6192" s="1" t="str">
        <f>HYPERLINK("https://vegkart.atlas.vegvesen.no/#/@92927.6,6464360.5,18/hva:hva%5B0%5D%5Bfilter%5D%5B0%5D%5Boperator%5D=%21%3D&amp;hva%5B0%5D%5Bfilter%5D%5B0%5D%5Btype_id%5D=5897&amp;hva%5B0%5D%5Bfilter%5D%5B0%5D%5Bverdi%5D=&amp;hva%5B0%5D%5Bid%5D=47/når:2016-09-05", "Vegkart")</f>
        <v>Vegkart</v>
      </c>
      <c r="B6192">
        <v>732227695</v>
      </c>
      <c r="C6192">
        <v>47</v>
      </c>
      <c r="D6192" t="s">
        <v>16854</v>
      </c>
      <c r="E6192">
        <v>5897</v>
      </c>
      <c r="F6192" t="s">
        <v>23479</v>
      </c>
      <c r="G6192">
        <v>1</v>
      </c>
      <c r="H6192" t="s">
        <v>20620</v>
      </c>
      <c r="J6192" t="s">
        <v>20607</v>
      </c>
      <c r="K6192" t="s">
        <v>86</v>
      </c>
      <c r="L6192" t="s">
        <v>33</v>
      </c>
      <c r="M6192" t="s">
        <v>11374</v>
      </c>
      <c r="N6192" t="s">
        <v>20635</v>
      </c>
      <c r="O6192" t="s">
        <v>20636</v>
      </c>
      <c r="P6192" s="2" t="s">
        <v>26</v>
      </c>
      <c r="Q6192" t="s">
        <v>50</v>
      </c>
      <c r="R6192">
        <v>44.03</v>
      </c>
      <c r="S6192">
        <v>44.55</v>
      </c>
      <c r="T6192" t="s">
        <v>20637</v>
      </c>
    </row>
    <row r="6193" spans="1:20" x14ac:dyDescent="0.25">
      <c r="A6193" s="1" t="str">
        <f>HYPERLINK("https://vegkart.atlas.vegvesen.no/#/@92964.3,6464295.7,18/hva:hva%5B0%5D%5Bfilter%5D%5B0%5D%5Boperator%5D=%21%3D&amp;hva%5B0%5D%5Bfilter%5D%5B0%5D%5Btype_id%5D=5897&amp;hva%5B0%5D%5Bfilter%5D%5B0%5D%5Bverdi%5D=&amp;hva%5B0%5D%5Bid%5D=47/når:2016-09-05", "Vegkart")</f>
        <v>Vegkart</v>
      </c>
      <c r="B6193">
        <v>732227696</v>
      </c>
      <c r="C6193">
        <v>47</v>
      </c>
      <c r="D6193" t="s">
        <v>16854</v>
      </c>
      <c r="E6193">
        <v>5897</v>
      </c>
      <c r="F6193" t="s">
        <v>23479</v>
      </c>
      <c r="G6193">
        <v>1</v>
      </c>
      <c r="H6193" t="s">
        <v>20620</v>
      </c>
      <c r="J6193" t="s">
        <v>20607</v>
      </c>
      <c r="K6193" t="s">
        <v>86</v>
      </c>
      <c r="L6193" t="s">
        <v>33</v>
      </c>
      <c r="M6193" t="s">
        <v>11374</v>
      </c>
      <c r="N6193" t="s">
        <v>20638</v>
      </c>
      <c r="O6193" t="s">
        <v>20639</v>
      </c>
      <c r="P6193" s="2" t="s">
        <v>26</v>
      </c>
      <c r="Q6193" t="s">
        <v>50</v>
      </c>
      <c r="R6193">
        <v>69.98</v>
      </c>
      <c r="S6193">
        <v>71.55</v>
      </c>
      <c r="T6193" t="s">
        <v>20640</v>
      </c>
    </row>
    <row r="6194" spans="1:20" x14ac:dyDescent="0.25">
      <c r="A6194" s="1" t="str">
        <f>HYPERLINK("https://vegkart.atlas.vegvesen.no/#/@86118.6,6462483.1,18/hva:hva%5B0%5D%5Bfilter%5D%5B0%5D%5Boperator%5D=%21%3D&amp;hva%5B0%5D%5Bfilter%5D%5B0%5D%5Btype_id%5D=5897&amp;hva%5B0%5D%5Bfilter%5D%5B0%5D%5Bverdi%5D=&amp;hva%5B0%5D%5Bid%5D=47/når:2016-09-05", "Vegkart")</f>
        <v>Vegkart</v>
      </c>
      <c r="B6194">
        <v>732227697</v>
      </c>
      <c r="C6194">
        <v>47</v>
      </c>
      <c r="D6194" t="s">
        <v>16854</v>
      </c>
      <c r="E6194">
        <v>5897</v>
      </c>
      <c r="F6194" t="s">
        <v>23479</v>
      </c>
      <c r="G6194">
        <v>1</v>
      </c>
      <c r="H6194" t="s">
        <v>20620</v>
      </c>
      <c r="J6194" t="s">
        <v>20607</v>
      </c>
      <c r="K6194" t="s">
        <v>86</v>
      </c>
      <c r="L6194" t="s">
        <v>33</v>
      </c>
      <c r="M6194" t="s">
        <v>589</v>
      </c>
      <c r="N6194" t="s">
        <v>20641</v>
      </c>
      <c r="O6194" t="s">
        <v>20642</v>
      </c>
      <c r="P6194" s="2" t="s">
        <v>26</v>
      </c>
      <c r="Q6194" t="s">
        <v>50</v>
      </c>
      <c r="R6194">
        <v>72.959999999999994</v>
      </c>
      <c r="S6194">
        <v>73.56</v>
      </c>
      <c r="T6194" t="s">
        <v>20643</v>
      </c>
    </row>
    <row r="6195" spans="1:20" x14ac:dyDescent="0.25">
      <c r="A6195" s="1" t="str">
        <f>HYPERLINK("https://vegkart.atlas.vegvesen.no/#/@85839.1,6462629.5,18/hva:hva%5B0%5D%5Bfilter%5D%5B0%5D%5Boperator%5D=%21%3D&amp;hva%5B0%5D%5Bfilter%5D%5B0%5D%5Btype_id%5D=5897&amp;hva%5B0%5D%5Bfilter%5D%5B0%5D%5Bverdi%5D=&amp;hva%5B0%5D%5Bid%5D=47/når:2016-09-05", "Vegkart")</f>
        <v>Vegkart</v>
      </c>
      <c r="B6195">
        <v>732227698</v>
      </c>
      <c r="C6195">
        <v>47</v>
      </c>
      <c r="D6195" t="s">
        <v>16854</v>
      </c>
      <c r="E6195">
        <v>5897</v>
      </c>
      <c r="F6195" t="s">
        <v>23479</v>
      </c>
      <c r="G6195">
        <v>1</v>
      </c>
      <c r="H6195" t="s">
        <v>20620</v>
      </c>
      <c r="J6195" t="s">
        <v>20607</v>
      </c>
      <c r="K6195" t="s">
        <v>86</v>
      </c>
      <c r="L6195" t="s">
        <v>33</v>
      </c>
      <c r="M6195" t="s">
        <v>589</v>
      </c>
      <c r="N6195" t="s">
        <v>20644</v>
      </c>
      <c r="O6195" t="s">
        <v>20645</v>
      </c>
      <c r="P6195" s="2" t="s">
        <v>26</v>
      </c>
      <c r="Q6195" t="s">
        <v>50</v>
      </c>
      <c r="R6195">
        <v>52.87</v>
      </c>
      <c r="S6195">
        <v>53.23</v>
      </c>
      <c r="T6195" t="s">
        <v>20646</v>
      </c>
    </row>
    <row r="6196" spans="1:20" x14ac:dyDescent="0.25">
      <c r="A6196" s="1" t="str">
        <f>HYPERLINK("https://vegkart.atlas.vegvesen.no/#/@85785.3,6462675.1,18/hva:hva%5B0%5D%5Bfilter%5D%5B0%5D%5Boperator%5D=%21%3D&amp;hva%5B0%5D%5Bfilter%5D%5B0%5D%5Btype_id%5D=5897&amp;hva%5B0%5D%5Bfilter%5D%5B0%5D%5Bverdi%5D=&amp;hva%5B0%5D%5Bid%5D=47/når:2016-09-05", "Vegkart")</f>
        <v>Vegkart</v>
      </c>
      <c r="B6196">
        <v>732227699</v>
      </c>
      <c r="C6196">
        <v>47</v>
      </c>
      <c r="D6196" t="s">
        <v>16854</v>
      </c>
      <c r="E6196">
        <v>5897</v>
      </c>
      <c r="F6196" t="s">
        <v>23479</v>
      </c>
      <c r="G6196">
        <v>1</v>
      </c>
      <c r="H6196" t="s">
        <v>20620</v>
      </c>
      <c r="J6196" t="s">
        <v>20607</v>
      </c>
      <c r="K6196" t="s">
        <v>86</v>
      </c>
      <c r="L6196" t="s">
        <v>33</v>
      </c>
      <c r="M6196" t="s">
        <v>589</v>
      </c>
      <c r="N6196" t="s">
        <v>20647</v>
      </c>
      <c r="O6196" t="s">
        <v>20648</v>
      </c>
      <c r="P6196" s="2" t="s">
        <v>26</v>
      </c>
      <c r="Q6196" t="s">
        <v>50</v>
      </c>
      <c r="R6196">
        <v>48.13</v>
      </c>
      <c r="S6196">
        <v>48.51</v>
      </c>
      <c r="T6196" t="s">
        <v>20649</v>
      </c>
    </row>
    <row r="6197" spans="1:20" x14ac:dyDescent="0.25">
      <c r="A6197" s="1" t="str">
        <f>HYPERLINK("https://vegkart.atlas.vegvesen.no/#/@88729.7,6467263.6,18/hva:hva%5B0%5D%5Bfilter%5D%5B0%5D%5Boperator%5D=%21%3D&amp;hva%5B0%5D%5Bfilter%5D%5B0%5D%5Btype_id%5D=5897&amp;hva%5B0%5D%5Bfilter%5D%5B0%5D%5Bverdi%5D=&amp;hva%5B0%5D%5Bid%5D=47/når:2016-09-05", "Vegkart")</f>
        <v>Vegkart</v>
      </c>
      <c r="B6197">
        <v>732227700</v>
      </c>
      <c r="C6197">
        <v>47</v>
      </c>
      <c r="D6197" t="s">
        <v>16854</v>
      </c>
      <c r="E6197">
        <v>5897</v>
      </c>
      <c r="F6197" t="s">
        <v>23479</v>
      </c>
      <c r="G6197">
        <v>1</v>
      </c>
      <c r="H6197" t="s">
        <v>20620</v>
      </c>
      <c r="J6197" t="s">
        <v>20607</v>
      </c>
      <c r="K6197" t="s">
        <v>86</v>
      </c>
      <c r="L6197" t="s">
        <v>33</v>
      </c>
      <c r="M6197" t="s">
        <v>20625</v>
      </c>
      <c r="N6197" t="s">
        <v>20650</v>
      </c>
      <c r="O6197" t="s">
        <v>20651</v>
      </c>
      <c r="P6197" s="2" t="s">
        <v>26</v>
      </c>
      <c r="Q6197" t="s">
        <v>50</v>
      </c>
      <c r="R6197">
        <v>34.31</v>
      </c>
      <c r="S6197">
        <v>34.47</v>
      </c>
      <c r="T6197" t="s">
        <v>20652</v>
      </c>
    </row>
    <row r="6198" spans="1:20" x14ac:dyDescent="0.25">
      <c r="A6198" s="1" t="str">
        <f>HYPERLINK("https://vegkart.atlas.vegvesen.no/#/@285562.0,6747518.8,18/hva:hva%5B0%5D%5Bfilter%5D%5B0%5D%5Boperator%5D=%21%3D&amp;hva%5B0%5D%5Bfilter%5D%5B0%5D%5Btype_id%5D=5897&amp;hva%5B0%5D%5Bfilter%5D%5B0%5D%5Bverdi%5D=&amp;hva%5B0%5D%5Bid%5D=47/når:2016-09-22", "Vegkart")</f>
        <v>Vegkart</v>
      </c>
      <c r="B6198">
        <v>737483522</v>
      </c>
      <c r="C6198">
        <v>47</v>
      </c>
      <c r="D6198" t="s">
        <v>16854</v>
      </c>
      <c r="E6198">
        <v>5897</v>
      </c>
      <c r="F6198" t="s">
        <v>23479</v>
      </c>
      <c r="G6198">
        <v>2</v>
      </c>
      <c r="H6198" t="s">
        <v>20653</v>
      </c>
      <c r="J6198" t="s">
        <v>20607</v>
      </c>
      <c r="K6198" t="s">
        <v>136</v>
      </c>
      <c r="L6198" t="s">
        <v>33</v>
      </c>
      <c r="M6198" t="s">
        <v>20654</v>
      </c>
      <c r="N6198" t="s">
        <v>20655</v>
      </c>
      <c r="O6198" t="s">
        <v>20656</v>
      </c>
      <c r="P6198" s="2" t="s">
        <v>26</v>
      </c>
      <c r="Q6198" t="s">
        <v>50</v>
      </c>
      <c r="R6198">
        <v>56.74</v>
      </c>
      <c r="S6198">
        <v>57.37</v>
      </c>
      <c r="T6198" t="s">
        <v>20657</v>
      </c>
    </row>
    <row r="6199" spans="1:20" x14ac:dyDescent="0.25">
      <c r="A6199" s="1" t="str">
        <f>HYPERLINK("https://vegkart.atlas.vegvesen.no/#/@196502.9,6642269.5,18/hva:hva%5B0%5D%5Bfilter%5D%5B0%5D%5Boperator%5D=%21%3D&amp;hva%5B0%5D%5Bfilter%5D%5B0%5D%5Btype_id%5D=5897&amp;hva%5B0%5D%5Bfilter%5D%5B0%5D%5Bverdi%5D=&amp;hva%5B0%5D%5Bid%5D=47/når:2016-10-07", "Vegkart")</f>
        <v>Vegkart</v>
      </c>
      <c r="B6199">
        <v>744048473</v>
      </c>
      <c r="C6199">
        <v>47</v>
      </c>
      <c r="D6199" t="s">
        <v>16854</v>
      </c>
      <c r="E6199">
        <v>5897</v>
      </c>
      <c r="F6199" t="s">
        <v>23479</v>
      </c>
      <c r="G6199">
        <v>1</v>
      </c>
      <c r="H6199" t="s">
        <v>20658</v>
      </c>
      <c r="J6199" t="s">
        <v>20607</v>
      </c>
      <c r="K6199" t="s">
        <v>307</v>
      </c>
      <c r="L6199" t="s">
        <v>33</v>
      </c>
      <c r="M6199" t="s">
        <v>197</v>
      </c>
      <c r="N6199" t="s">
        <v>20659</v>
      </c>
      <c r="O6199" t="s">
        <v>20660</v>
      </c>
      <c r="P6199" s="2" t="s">
        <v>26</v>
      </c>
      <c r="Q6199" t="s">
        <v>50</v>
      </c>
      <c r="R6199">
        <v>69.540000000000006</v>
      </c>
      <c r="S6199">
        <v>69.67</v>
      </c>
      <c r="T6199" t="s">
        <v>20661</v>
      </c>
    </row>
    <row r="6200" spans="1:20" x14ac:dyDescent="0.25">
      <c r="A6200" s="1" t="str">
        <f>HYPERLINK("https://vegkart.atlas.vegvesen.no/#/@-33982.3,6745009.1,18/hva:hva%5B0%5D%5Bfilter%5D%5B0%5D%5Boperator%5D=%21%3D&amp;hva%5B0%5D%5Bfilter%5D%5B0%5D%5Btype_id%5D=5897&amp;hva%5B0%5D%5Bfilter%5D%5B0%5D%5Bverdi%5D=&amp;hva%5B0%5D%5Bid%5D=47/når:2016-10-12", "Vegkart")</f>
        <v>Vegkart</v>
      </c>
      <c r="B6200">
        <v>745097966</v>
      </c>
      <c r="C6200">
        <v>47</v>
      </c>
      <c r="D6200" t="s">
        <v>16854</v>
      </c>
      <c r="E6200">
        <v>5897</v>
      </c>
      <c r="F6200" t="s">
        <v>23479</v>
      </c>
      <c r="G6200">
        <v>1</v>
      </c>
      <c r="H6200" t="s">
        <v>1554</v>
      </c>
      <c r="J6200" t="s">
        <v>20607</v>
      </c>
      <c r="K6200" t="s">
        <v>21</v>
      </c>
      <c r="L6200" t="s">
        <v>33</v>
      </c>
      <c r="M6200" t="s">
        <v>17175</v>
      </c>
      <c r="N6200" t="s">
        <v>20662</v>
      </c>
      <c r="O6200" t="s">
        <v>20663</v>
      </c>
      <c r="P6200" s="2" t="s">
        <v>26</v>
      </c>
      <c r="Q6200" t="s">
        <v>50</v>
      </c>
      <c r="R6200">
        <v>50.32</v>
      </c>
      <c r="S6200">
        <v>51.8</v>
      </c>
      <c r="T6200" t="s">
        <v>20664</v>
      </c>
    </row>
    <row r="6201" spans="1:20" x14ac:dyDescent="0.25">
      <c r="A6201" s="1" t="str">
        <f>HYPERLINK("https://vegkart.atlas.vegvesen.no/#/@-34135.5,6744532.8,18/hva:hva%5B0%5D%5Bfilter%5D%5B0%5D%5Boperator%5D=%21%3D&amp;hva%5B0%5D%5Bfilter%5D%5B0%5D%5Btype_id%5D=5897&amp;hva%5B0%5D%5Bfilter%5D%5B0%5D%5Bverdi%5D=&amp;hva%5B0%5D%5Bid%5D=47/når:2016-10-12", "Vegkart")</f>
        <v>Vegkart</v>
      </c>
      <c r="B6201">
        <v>745097967</v>
      </c>
      <c r="C6201">
        <v>47</v>
      </c>
      <c r="D6201" t="s">
        <v>16854</v>
      </c>
      <c r="E6201">
        <v>5897</v>
      </c>
      <c r="F6201" t="s">
        <v>23479</v>
      </c>
      <c r="G6201">
        <v>1</v>
      </c>
      <c r="H6201" t="s">
        <v>1554</v>
      </c>
      <c r="J6201" t="s">
        <v>20607</v>
      </c>
      <c r="K6201" t="s">
        <v>21</v>
      </c>
      <c r="L6201" t="s">
        <v>33</v>
      </c>
      <c r="M6201" t="s">
        <v>17175</v>
      </c>
      <c r="N6201" t="s">
        <v>20665</v>
      </c>
      <c r="O6201" t="s">
        <v>20666</v>
      </c>
      <c r="P6201" s="2" t="s">
        <v>26</v>
      </c>
      <c r="Q6201" t="s">
        <v>50</v>
      </c>
      <c r="R6201">
        <v>54.47</v>
      </c>
      <c r="S6201">
        <v>55.99</v>
      </c>
      <c r="T6201" t="s">
        <v>20667</v>
      </c>
    </row>
    <row r="6202" spans="1:20" x14ac:dyDescent="0.25">
      <c r="A6202" s="1" t="str">
        <f>HYPERLINK("https://vegkart.atlas.vegvesen.no/#/@-32734.6,6742437.4,18/hva:hva%5B0%5D%5Bfilter%5D%5B0%5D%5Boperator%5D=%21%3D&amp;hva%5B0%5D%5Bfilter%5D%5B0%5D%5Btype_id%5D=5897&amp;hva%5B0%5D%5Bfilter%5D%5B0%5D%5Bverdi%5D=&amp;hva%5B0%5D%5Bid%5D=47/når:2016-10-12", "Vegkart")</f>
        <v>Vegkart</v>
      </c>
      <c r="B6202">
        <v>745097968</v>
      </c>
      <c r="C6202">
        <v>47</v>
      </c>
      <c r="D6202" t="s">
        <v>16854</v>
      </c>
      <c r="E6202">
        <v>5897</v>
      </c>
      <c r="F6202" t="s">
        <v>23479</v>
      </c>
      <c r="G6202">
        <v>1</v>
      </c>
      <c r="H6202" t="s">
        <v>1554</v>
      </c>
      <c r="J6202" t="s">
        <v>20607</v>
      </c>
      <c r="K6202" t="s">
        <v>21</v>
      </c>
      <c r="L6202" t="s">
        <v>33</v>
      </c>
      <c r="M6202" t="s">
        <v>17175</v>
      </c>
      <c r="N6202" t="s">
        <v>20668</v>
      </c>
      <c r="O6202" t="s">
        <v>20669</v>
      </c>
      <c r="P6202" s="2" t="s">
        <v>26</v>
      </c>
      <c r="Q6202" t="s">
        <v>50</v>
      </c>
      <c r="R6202">
        <v>64.78</v>
      </c>
      <c r="S6202">
        <v>65.2</v>
      </c>
      <c r="T6202" t="s">
        <v>20670</v>
      </c>
    </row>
    <row r="6203" spans="1:20" x14ac:dyDescent="0.25">
      <c r="A6203" s="1" t="str">
        <f>HYPERLINK("https://vegkart.atlas.vegvesen.no/#/@-37053.9,6731300.8,18/hva:hva%5B0%5D%5Bfilter%5D%5B0%5D%5Boperator%5D=%21%3D&amp;hva%5B0%5D%5Bfilter%5D%5B0%5D%5Btype_id%5D=5897&amp;hva%5B0%5D%5Bfilter%5D%5B0%5D%5Bverdi%5D=&amp;hva%5B0%5D%5Bid%5D=47/når:2016-10-12", "Vegkart")</f>
        <v>Vegkart</v>
      </c>
      <c r="B6203">
        <v>745097969</v>
      </c>
      <c r="C6203">
        <v>47</v>
      </c>
      <c r="D6203" t="s">
        <v>16854</v>
      </c>
      <c r="E6203">
        <v>5897</v>
      </c>
      <c r="F6203" t="s">
        <v>23479</v>
      </c>
      <c r="G6203">
        <v>1</v>
      </c>
      <c r="H6203" t="s">
        <v>1554</v>
      </c>
      <c r="J6203" t="s">
        <v>20607</v>
      </c>
      <c r="K6203" t="s">
        <v>21</v>
      </c>
      <c r="L6203" t="s">
        <v>33</v>
      </c>
      <c r="M6203" t="s">
        <v>8055</v>
      </c>
      <c r="N6203" t="s">
        <v>20671</v>
      </c>
      <c r="O6203" t="s">
        <v>20672</v>
      </c>
      <c r="P6203" s="2" t="s">
        <v>26</v>
      </c>
      <c r="Q6203" t="s">
        <v>50</v>
      </c>
      <c r="R6203">
        <v>36.26</v>
      </c>
      <c r="S6203">
        <v>36.69</v>
      </c>
      <c r="T6203" t="s">
        <v>20673</v>
      </c>
    </row>
    <row r="6204" spans="1:20" x14ac:dyDescent="0.25">
      <c r="A6204" s="1" t="str">
        <f>HYPERLINK("https://vegkart.atlas.vegvesen.no/#/@-31342.9,6742251.5,18/hva:hva%5B0%5D%5Bfilter%5D%5B0%5D%5Boperator%5D=%21%3D&amp;hva%5B0%5D%5Bfilter%5D%5B0%5D%5Btype_id%5D=5897&amp;hva%5B0%5D%5Bfilter%5D%5B0%5D%5Bverdi%5D=&amp;hva%5B0%5D%5Bid%5D=47/når:2016-10-12", "Vegkart")</f>
        <v>Vegkart</v>
      </c>
      <c r="B6204">
        <v>745097970</v>
      </c>
      <c r="C6204">
        <v>47</v>
      </c>
      <c r="D6204" t="s">
        <v>16854</v>
      </c>
      <c r="E6204">
        <v>5897</v>
      </c>
      <c r="F6204" t="s">
        <v>23479</v>
      </c>
      <c r="G6204">
        <v>1</v>
      </c>
      <c r="H6204" t="s">
        <v>1554</v>
      </c>
      <c r="J6204" t="s">
        <v>20607</v>
      </c>
      <c r="K6204" t="s">
        <v>21</v>
      </c>
      <c r="L6204" t="s">
        <v>33</v>
      </c>
      <c r="M6204" t="s">
        <v>17175</v>
      </c>
      <c r="N6204" t="s">
        <v>20674</v>
      </c>
      <c r="O6204" t="s">
        <v>20675</v>
      </c>
      <c r="P6204" s="2" t="s">
        <v>26</v>
      </c>
      <c r="Q6204" t="s">
        <v>50</v>
      </c>
      <c r="R6204">
        <v>50.64</v>
      </c>
      <c r="S6204">
        <v>51.25</v>
      </c>
      <c r="T6204" t="s">
        <v>20676</v>
      </c>
    </row>
    <row r="6205" spans="1:20" x14ac:dyDescent="0.25">
      <c r="A6205" s="1" t="str">
        <f>HYPERLINK("https://vegkart.atlas.vegvesen.no/#/@-31400.7,6742315.6,18/hva:hva%5B0%5D%5Bfilter%5D%5B0%5D%5Boperator%5D=%21%3D&amp;hva%5B0%5D%5Bfilter%5D%5B0%5D%5Btype_id%5D=5897&amp;hva%5B0%5D%5Bfilter%5D%5B0%5D%5Bverdi%5D=&amp;hva%5B0%5D%5Bid%5D=47/når:2016-10-12", "Vegkart")</f>
        <v>Vegkart</v>
      </c>
      <c r="B6205">
        <v>745097971</v>
      </c>
      <c r="C6205">
        <v>47</v>
      </c>
      <c r="D6205" t="s">
        <v>16854</v>
      </c>
      <c r="E6205">
        <v>5897</v>
      </c>
      <c r="F6205" t="s">
        <v>23479</v>
      </c>
      <c r="G6205">
        <v>1</v>
      </c>
      <c r="H6205" t="s">
        <v>1554</v>
      </c>
      <c r="J6205" t="s">
        <v>20607</v>
      </c>
      <c r="K6205" t="s">
        <v>21</v>
      </c>
      <c r="L6205" t="s">
        <v>33</v>
      </c>
      <c r="M6205" t="s">
        <v>17175</v>
      </c>
      <c r="N6205" t="s">
        <v>20677</v>
      </c>
      <c r="O6205" t="s">
        <v>20678</v>
      </c>
      <c r="P6205" s="2" t="s">
        <v>26</v>
      </c>
      <c r="Q6205" t="s">
        <v>50</v>
      </c>
      <c r="R6205">
        <v>52.76</v>
      </c>
      <c r="S6205">
        <v>53.27</v>
      </c>
      <c r="T6205" t="s">
        <v>20679</v>
      </c>
    </row>
    <row r="6206" spans="1:20" x14ac:dyDescent="0.25">
      <c r="A6206" s="1" t="str">
        <f>HYPERLINK("https://vegkart.atlas.vegvesen.no/#/@-34159.9,6744772.9,18/hva:hva%5B0%5D%5Bfilter%5D%5B0%5D%5Boperator%5D=%21%3D&amp;hva%5B0%5D%5Bfilter%5D%5B0%5D%5Btype_id%5D=5897&amp;hva%5B0%5D%5Bfilter%5D%5B0%5D%5Bverdi%5D=&amp;hva%5B0%5D%5Bid%5D=47/når:2016-10-12", "Vegkart")</f>
        <v>Vegkart</v>
      </c>
      <c r="B6206">
        <v>745097972</v>
      </c>
      <c r="C6206">
        <v>47</v>
      </c>
      <c r="D6206" t="s">
        <v>16854</v>
      </c>
      <c r="E6206">
        <v>5897</v>
      </c>
      <c r="F6206" t="s">
        <v>23479</v>
      </c>
      <c r="G6206">
        <v>1</v>
      </c>
      <c r="H6206" t="s">
        <v>1554</v>
      </c>
      <c r="J6206" t="s">
        <v>20607</v>
      </c>
      <c r="K6206" t="s">
        <v>21</v>
      </c>
      <c r="L6206" t="s">
        <v>33</v>
      </c>
      <c r="M6206" t="s">
        <v>17175</v>
      </c>
      <c r="N6206" t="s">
        <v>20680</v>
      </c>
      <c r="O6206" t="s">
        <v>20681</v>
      </c>
      <c r="P6206" s="2" t="s">
        <v>26</v>
      </c>
      <c r="Q6206" t="s">
        <v>50</v>
      </c>
      <c r="R6206">
        <v>32.47</v>
      </c>
      <c r="S6206">
        <v>32.51</v>
      </c>
      <c r="T6206" t="s">
        <v>20682</v>
      </c>
    </row>
    <row r="6207" spans="1:20" x14ac:dyDescent="0.25">
      <c r="A6207" s="1" t="str">
        <f>HYPERLINK("https://vegkart.atlas.vegvesen.no/#/@-32796.9,6742523.9,18/hva:hva%5B0%5D%5Bfilter%5D%5B0%5D%5Boperator%5D=%21%3D&amp;hva%5B0%5D%5Bfilter%5D%5B0%5D%5Btype_id%5D=5897&amp;hva%5B0%5D%5Bfilter%5D%5B0%5D%5Bverdi%5D=&amp;hva%5B0%5D%5Bid%5D=47/når:2016-10-12", "Vegkart")</f>
        <v>Vegkart</v>
      </c>
      <c r="B6207">
        <v>745097973</v>
      </c>
      <c r="C6207">
        <v>47</v>
      </c>
      <c r="D6207" t="s">
        <v>16854</v>
      </c>
      <c r="E6207">
        <v>5897</v>
      </c>
      <c r="F6207" t="s">
        <v>23479</v>
      </c>
      <c r="G6207">
        <v>1</v>
      </c>
      <c r="H6207" t="s">
        <v>1554</v>
      </c>
      <c r="J6207" t="s">
        <v>20607</v>
      </c>
      <c r="K6207" t="s">
        <v>21</v>
      </c>
      <c r="L6207" t="s">
        <v>33</v>
      </c>
      <c r="M6207" t="s">
        <v>17175</v>
      </c>
      <c r="N6207" t="s">
        <v>20683</v>
      </c>
      <c r="O6207" t="s">
        <v>20684</v>
      </c>
      <c r="P6207" s="2" t="s">
        <v>26</v>
      </c>
      <c r="Q6207" t="s">
        <v>50</v>
      </c>
      <c r="R6207">
        <v>67.260000000000005</v>
      </c>
      <c r="S6207">
        <v>67.66</v>
      </c>
      <c r="T6207" t="s">
        <v>20685</v>
      </c>
    </row>
    <row r="6208" spans="1:20" x14ac:dyDescent="0.25">
      <c r="A6208" s="1" t="str">
        <f>HYPERLINK("https://vegkart.atlas.vegvesen.no/#/@-33068.3,6742842.2,18/hva:hva%5B0%5D%5Bfilter%5D%5B0%5D%5Boperator%5D=%21%3D&amp;hva%5B0%5D%5Bfilter%5D%5B0%5D%5Btype_id%5D=5897&amp;hva%5B0%5D%5Bfilter%5D%5B0%5D%5Bverdi%5D=&amp;hva%5B0%5D%5Bid%5D=47/når:2016-10-12", "Vegkart")</f>
        <v>Vegkart</v>
      </c>
      <c r="B6208">
        <v>745097974</v>
      </c>
      <c r="C6208">
        <v>47</v>
      </c>
      <c r="D6208" t="s">
        <v>16854</v>
      </c>
      <c r="E6208">
        <v>5897</v>
      </c>
      <c r="F6208" t="s">
        <v>23479</v>
      </c>
      <c r="G6208">
        <v>1</v>
      </c>
      <c r="H6208" t="s">
        <v>1554</v>
      </c>
      <c r="J6208" t="s">
        <v>20607</v>
      </c>
      <c r="K6208" t="s">
        <v>21</v>
      </c>
      <c r="L6208" t="s">
        <v>33</v>
      </c>
      <c r="M6208" t="s">
        <v>17175</v>
      </c>
      <c r="N6208" t="s">
        <v>20686</v>
      </c>
      <c r="O6208" t="s">
        <v>20687</v>
      </c>
      <c r="P6208" s="2" t="s">
        <v>26</v>
      </c>
      <c r="Q6208" t="s">
        <v>50</v>
      </c>
      <c r="R6208">
        <v>65.66</v>
      </c>
      <c r="S6208">
        <v>66.64</v>
      </c>
      <c r="T6208" t="s">
        <v>20688</v>
      </c>
    </row>
    <row r="6209" spans="1:20" x14ac:dyDescent="0.25">
      <c r="A6209" s="1" t="str">
        <f>HYPERLINK("https://vegkart.atlas.vegvesen.no/#/@-32353.6,6742315.0,18/hva:hva%5B0%5D%5Bfilter%5D%5B0%5D%5Boperator%5D=%21%3D&amp;hva%5B0%5D%5Bfilter%5D%5B0%5D%5Btype_id%5D=5897&amp;hva%5B0%5D%5Bfilter%5D%5B0%5D%5Bverdi%5D=&amp;hva%5B0%5D%5Bid%5D=47/når:2016-10-12", "Vegkart")</f>
        <v>Vegkart</v>
      </c>
      <c r="B6209">
        <v>745097975</v>
      </c>
      <c r="C6209">
        <v>47</v>
      </c>
      <c r="D6209" t="s">
        <v>16854</v>
      </c>
      <c r="E6209">
        <v>5897</v>
      </c>
      <c r="F6209" t="s">
        <v>23479</v>
      </c>
      <c r="G6209">
        <v>1</v>
      </c>
      <c r="H6209" t="s">
        <v>1554</v>
      </c>
      <c r="J6209" t="s">
        <v>20607</v>
      </c>
      <c r="K6209" t="s">
        <v>21</v>
      </c>
      <c r="L6209" t="s">
        <v>33</v>
      </c>
      <c r="M6209" t="s">
        <v>17175</v>
      </c>
      <c r="N6209" t="s">
        <v>20689</v>
      </c>
      <c r="O6209" t="s">
        <v>20690</v>
      </c>
      <c r="P6209" s="2" t="s">
        <v>26</v>
      </c>
      <c r="Q6209" t="s">
        <v>50</v>
      </c>
      <c r="R6209">
        <v>51.72</v>
      </c>
      <c r="S6209">
        <v>52.1</v>
      </c>
      <c r="T6209" t="s">
        <v>20691</v>
      </c>
    </row>
    <row r="6210" spans="1:20" x14ac:dyDescent="0.25">
      <c r="A6210" s="1" t="str">
        <f>HYPERLINK("https://vegkart.atlas.vegvesen.no/#/@-36690.2,6731741.5,18/hva:hva%5B0%5D%5Bfilter%5D%5B0%5D%5Boperator%5D=%21%3D&amp;hva%5B0%5D%5Bfilter%5D%5B0%5D%5Btype_id%5D=5897&amp;hva%5B0%5D%5Bfilter%5D%5B0%5D%5Bverdi%5D=&amp;hva%5B0%5D%5Bid%5D=47/når:2016-10-12", "Vegkart")</f>
        <v>Vegkart</v>
      </c>
      <c r="B6210">
        <v>745097976</v>
      </c>
      <c r="C6210">
        <v>47</v>
      </c>
      <c r="D6210" t="s">
        <v>16854</v>
      </c>
      <c r="E6210">
        <v>5897</v>
      </c>
      <c r="F6210" t="s">
        <v>23479</v>
      </c>
      <c r="G6210">
        <v>1</v>
      </c>
      <c r="H6210" t="s">
        <v>1554</v>
      </c>
      <c r="J6210" t="s">
        <v>20607</v>
      </c>
      <c r="K6210" t="s">
        <v>21</v>
      </c>
      <c r="L6210" t="s">
        <v>33</v>
      </c>
      <c r="M6210" t="s">
        <v>8055</v>
      </c>
      <c r="N6210" t="s">
        <v>20692</v>
      </c>
      <c r="O6210" t="s">
        <v>20693</v>
      </c>
      <c r="P6210" s="2" t="s">
        <v>26</v>
      </c>
      <c r="Q6210" t="s">
        <v>50</v>
      </c>
      <c r="R6210">
        <v>55.45</v>
      </c>
      <c r="S6210">
        <v>55.58</v>
      </c>
      <c r="T6210" t="s">
        <v>20694</v>
      </c>
    </row>
    <row r="6211" spans="1:20" x14ac:dyDescent="0.25">
      <c r="A6211" s="1" t="str">
        <f>HYPERLINK("https://vegkart.atlas.vegvesen.no/#/@-31912.0,6742438.9,18/hva:hva%5B0%5D%5Bfilter%5D%5B0%5D%5Boperator%5D=%21%3D&amp;hva%5B0%5D%5Bfilter%5D%5B0%5D%5Btype_id%5D=5897&amp;hva%5B0%5D%5Bfilter%5D%5B0%5D%5Bverdi%5D=&amp;hva%5B0%5D%5Bid%5D=47/når:2016-10-12", "Vegkart")</f>
        <v>Vegkart</v>
      </c>
      <c r="B6211">
        <v>745097977</v>
      </c>
      <c r="C6211">
        <v>47</v>
      </c>
      <c r="D6211" t="s">
        <v>16854</v>
      </c>
      <c r="E6211">
        <v>5897</v>
      </c>
      <c r="F6211" t="s">
        <v>23479</v>
      </c>
      <c r="G6211">
        <v>1</v>
      </c>
      <c r="H6211" t="s">
        <v>1554</v>
      </c>
      <c r="J6211" t="s">
        <v>20607</v>
      </c>
      <c r="K6211" t="s">
        <v>21</v>
      </c>
      <c r="L6211" t="s">
        <v>33</v>
      </c>
      <c r="M6211" t="s">
        <v>17175</v>
      </c>
      <c r="N6211" t="s">
        <v>20695</v>
      </c>
      <c r="O6211" t="s">
        <v>20696</v>
      </c>
      <c r="P6211" s="2" t="s">
        <v>26</v>
      </c>
      <c r="Q6211" t="s">
        <v>50</v>
      </c>
      <c r="R6211">
        <v>49.82</v>
      </c>
      <c r="S6211">
        <v>50.27</v>
      </c>
      <c r="T6211" t="s">
        <v>20697</v>
      </c>
    </row>
    <row r="6212" spans="1:20" x14ac:dyDescent="0.25">
      <c r="A6212" s="1" t="str">
        <f>HYPERLINK("https://vegkart.atlas.vegvesen.no/#/@-34174.4,6744605.6,18/hva:hva%5B0%5D%5Bfilter%5D%5B0%5D%5Boperator%5D=%21%3D&amp;hva%5B0%5D%5Bfilter%5D%5B0%5D%5Btype_id%5D=5897&amp;hva%5B0%5D%5Bfilter%5D%5B0%5D%5Bverdi%5D=&amp;hva%5B0%5D%5Bid%5D=47/når:2016-10-12", "Vegkart")</f>
        <v>Vegkart</v>
      </c>
      <c r="B6212">
        <v>745097978</v>
      </c>
      <c r="C6212">
        <v>47</v>
      </c>
      <c r="D6212" t="s">
        <v>16854</v>
      </c>
      <c r="E6212">
        <v>5897</v>
      </c>
      <c r="F6212" t="s">
        <v>23479</v>
      </c>
      <c r="G6212">
        <v>1</v>
      </c>
      <c r="H6212" t="s">
        <v>1554</v>
      </c>
      <c r="J6212" t="s">
        <v>20607</v>
      </c>
      <c r="K6212" t="s">
        <v>21</v>
      </c>
      <c r="L6212" t="s">
        <v>33</v>
      </c>
      <c r="M6212" t="s">
        <v>17175</v>
      </c>
      <c r="N6212" t="s">
        <v>20698</v>
      </c>
      <c r="O6212" t="s">
        <v>20699</v>
      </c>
      <c r="P6212" s="2" t="s">
        <v>26</v>
      </c>
      <c r="Q6212" t="s">
        <v>50</v>
      </c>
      <c r="R6212">
        <v>48.01</v>
      </c>
      <c r="S6212">
        <v>48.8</v>
      </c>
      <c r="T6212" t="s">
        <v>20700</v>
      </c>
    </row>
    <row r="6213" spans="1:20" x14ac:dyDescent="0.25">
      <c r="A6213" s="1" t="str">
        <f>HYPERLINK("https://vegkart.atlas.vegvesen.no/#/@-33201.6,6745071.8,18/hva:hva%5B0%5D%5Bfilter%5D%5B0%5D%5Boperator%5D=%21%3D&amp;hva%5B0%5D%5Bfilter%5D%5B0%5D%5Btype_id%5D=5897&amp;hva%5B0%5D%5Bfilter%5D%5B0%5D%5Bverdi%5D=&amp;hva%5B0%5D%5Bid%5D=47/når:2016-10-12", "Vegkart")</f>
        <v>Vegkart</v>
      </c>
      <c r="B6213">
        <v>745097981</v>
      </c>
      <c r="C6213">
        <v>47</v>
      </c>
      <c r="D6213" t="s">
        <v>16854</v>
      </c>
      <c r="E6213">
        <v>5897</v>
      </c>
      <c r="F6213" t="s">
        <v>23479</v>
      </c>
      <c r="G6213">
        <v>1</v>
      </c>
      <c r="H6213" t="s">
        <v>1554</v>
      </c>
      <c r="J6213" t="s">
        <v>20607</v>
      </c>
      <c r="K6213" t="s">
        <v>21</v>
      </c>
      <c r="L6213" t="s">
        <v>33</v>
      </c>
      <c r="M6213" t="s">
        <v>17175</v>
      </c>
      <c r="N6213" t="s">
        <v>20701</v>
      </c>
      <c r="O6213" t="s">
        <v>20702</v>
      </c>
      <c r="P6213" s="2" t="s">
        <v>26</v>
      </c>
      <c r="Q6213" t="s">
        <v>50</v>
      </c>
      <c r="R6213">
        <v>57.91</v>
      </c>
      <c r="S6213">
        <v>58.8</v>
      </c>
      <c r="T6213" t="s">
        <v>20703</v>
      </c>
    </row>
    <row r="6214" spans="1:20" x14ac:dyDescent="0.25">
      <c r="A6214" s="1" t="str">
        <f>HYPERLINK("https://vegkart.atlas.vegvesen.no/#/@-32436.0,6742296.7,18/hva:hva%5B0%5D%5Bfilter%5D%5B0%5D%5Boperator%5D=%21%3D&amp;hva%5B0%5D%5Bfilter%5D%5B0%5D%5Btype_id%5D=5897&amp;hva%5B0%5D%5Bfilter%5D%5B0%5D%5Bverdi%5D=&amp;hva%5B0%5D%5Bid%5D=47/når:2016-10-12", "Vegkart")</f>
        <v>Vegkart</v>
      </c>
      <c r="B6214">
        <v>745097983</v>
      </c>
      <c r="C6214">
        <v>47</v>
      </c>
      <c r="D6214" t="s">
        <v>16854</v>
      </c>
      <c r="E6214">
        <v>5897</v>
      </c>
      <c r="F6214" t="s">
        <v>23479</v>
      </c>
      <c r="G6214">
        <v>1</v>
      </c>
      <c r="H6214" t="s">
        <v>1554</v>
      </c>
      <c r="J6214" t="s">
        <v>20607</v>
      </c>
      <c r="K6214" t="s">
        <v>21</v>
      </c>
      <c r="L6214" t="s">
        <v>33</v>
      </c>
      <c r="M6214" t="s">
        <v>17175</v>
      </c>
      <c r="N6214" t="s">
        <v>20704</v>
      </c>
      <c r="O6214" t="s">
        <v>20705</v>
      </c>
      <c r="P6214" s="2" t="s">
        <v>26</v>
      </c>
      <c r="Q6214" t="s">
        <v>50</v>
      </c>
      <c r="R6214">
        <v>69.010000000000005</v>
      </c>
      <c r="S6214">
        <v>69.27</v>
      </c>
      <c r="T6214" t="s">
        <v>20706</v>
      </c>
    </row>
    <row r="6215" spans="1:20" x14ac:dyDescent="0.25">
      <c r="A6215" s="1" t="str">
        <f>HYPERLINK("https://vegkart.atlas.vegvesen.no/#/@-33568.9,6721200.3,18/hva:hva%5B0%5D%5Bfilter%5D%5B0%5D%5Boperator%5D=%21%3D&amp;hva%5B0%5D%5Bfilter%5D%5B0%5D%5Btype_id%5D=5897&amp;hva%5B0%5D%5Bfilter%5D%5B0%5D%5Bverdi%5D=&amp;hva%5B0%5D%5Bid%5D=47/når:2016-10-14", "Vegkart")</f>
        <v>Vegkart</v>
      </c>
      <c r="B6215">
        <v>745126217</v>
      </c>
      <c r="C6215">
        <v>47</v>
      </c>
      <c r="D6215" t="s">
        <v>16854</v>
      </c>
      <c r="E6215">
        <v>5897</v>
      </c>
      <c r="F6215" t="s">
        <v>23479</v>
      </c>
      <c r="G6215">
        <v>1</v>
      </c>
      <c r="H6215" t="s">
        <v>20707</v>
      </c>
      <c r="J6215" t="s">
        <v>20607</v>
      </c>
      <c r="K6215" t="s">
        <v>21</v>
      </c>
      <c r="L6215" t="s">
        <v>33</v>
      </c>
      <c r="M6215" t="s">
        <v>5926</v>
      </c>
      <c r="N6215" t="s">
        <v>20708</v>
      </c>
      <c r="O6215" t="s">
        <v>20709</v>
      </c>
      <c r="P6215" s="2" t="s">
        <v>26</v>
      </c>
      <c r="Q6215" t="s">
        <v>50</v>
      </c>
      <c r="R6215">
        <v>60.64</v>
      </c>
      <c r="S6215">
        <v>61.22</v>
      </c>
      <c r="T6215" t="s">
        <v>20710</v>
      </c>
    </row>
    <row r="6216" spans="1:20" x14ac:dyDescent="0.25">
      <c r="A6216" s="1" t="str">
        <f>HYPERLINK("https://vegkart.atlas.vegvesen.no/#/@-33643.5,6721250.7,18/hva:hva%5B0%5D%5Bfilter%5D%5B0%5D%5Boperator%5D=%21%3D&amp;hva%5B0%5D%5Bfilter%5D%5B0%5D%5Btype_id%5D=5897&amp;hva%5B0%5D%5Bfilter%5D%5B0%5D%5Bverdi%5D=&amp;hva%5B0%5D%5Bid%5D=47/når:2016-10-14", "Vegkart")</f>
        <v>Vegkart</v>
      </c>
      <c r="B6216">
        <v>745126218</v>
      </c>
      <c r="C6216">
        <v>47</v>
      </c>
      <c r="D6216" t="s">
        <v>16854</v>
      </c>
      <c r="E6216">
        <v>5897</v>
      </c>
      <c r="F6216" t="s">
        <v>23479</v>
      </c>
      <c r="G6216">
        <v>1</v>
      </c>
      <c r="H6216" t="s">
        <v>20707</v>
      </c>
      <c r="J6216" t="s">
        <v>20607</v>
      </c>
      <c r="K6216" t="s">
        <v>21</v>
      </c>
      <c r="L6216" t="s">
        <v>33</v>
      </c>
      <c r="M6216" t="s">
        <v>20711</v>
      </c>
      <c r="N6216" t="s">
        <v>20712</v>
      </c>
      <c r="O6216" t="s">
        <v>20713</v>
      </c>
      <c r="P6216" s="2" t="s">
        <v>26</v>
      </c>
      <c r="Q6216" t="s">
        <v>50</v>
      </c>
      <c r="R6216">
        <v>54.39</v>
      </c>
      <c r="S6216">
        <v>54.81</v>
      </c>
      <c r="T6216" t="s">
        <v>20714</v>
      </c>
    </row>
    <row r="6217" spans="1:20" x14ac:dyDescent="0.25">
      <c r="A6217" s="1" t="str">
        <f>HYPERLINK("https://vegkart.atlas.vegvesen.no/#/@256479.3,6699277.6,18/hva:hva%5B0%5D%5Bfilter%5D%5B0%5D%5Boperator%5D=%21%3D&amp;hva%5B0%5D%5Bfilter%5D%5B0%5D%5Btype_id%5D=5897&amp;hva%5B0%5D%5Bfilter%5D%5B0%5D%5Bverdi%5D=&amp;hva%5B0%5D%5Bid%5D=47/når:2017-06-01", "Vegkart")</f>
        <v>Vegkart</v>
      </c>
      <c r="B6217">
        <v>745378110</v>
      </c>
      <c r="C6217">
        <v>47</v>
      </c>
      <c r="D6217" t="s">
        <v>16854</v>
      </c>
      <c r="E6217">
        <v>5897</v>
      </c>
      <c r="F6217" t="s">
        <v>23479</v>
      </c>
      <c r="G6217">
        <v>1</v>
      </c>
      <c r="H6217" t="s">
        <v>20715</v>
      </c>
      <c r="J6217" t="s">
        <v>20607</v>
      </c>
      <c r="K6217" t="s">
        <v>136</v>
      </c>
      <c r="L6217" t="s">
        <v>113</v>
      </c>
      <c r="M6217" t="s">
        <v>1575</v>
      </c>
      <c r="N6217" t="s">
        <v>20716</v>
      </c>
      <c r="O6217" t="s">
        <v>20717</v>
      </c>
      <c r="P6217" s="2" t="s">
        <v>26</v>
      </c>
      <c r="Q6217" t="s">
        <v>50</v>
      </c>
      <c r="R6217">
        <v>91.2</v>
      </c>
      <c r="S6217">
        <v>91.77</v>
      </c>
      <c r="T6217" t="s">
        <v>20718</v>
      </c>
    </row>
    <row r="6218" spans="1:20" x14ac:dyDescent="0.25">
      <c r="A6218" s="1" t="str">
        <f>HYPERLINK("https://vegkart.atlas.vegvesen.no/#/@256463.4,6699027.8,18/hva:hva%5B0%5D%5Bfilter%5D%5B0%5D%5Boperator%5D=%21%3D&amp;hva%5B0%5D%5Bfilter%5D%5B0%5D%5Btype_id%5D=5897&amp;hva%5B0%5D%5Bfilter%5D%5B0%5D%5Bverdi%5D=&amp;hva%5B0%5D%5Bid%5D=47/når:2017-06-01", "Vegkart")</f>
        <v>Vegkart</v>
      </c>
      <c r="B6218">
        <v>745378111</v>
      </c>
      <c r="C6218">
        <v>47</v>
      </c>
      <c r="D6218" t="s">
        <v>16854</v>
      </c>
      <c r="E6218">
        <v>5897</v>
      </c>
      <c r="F6218" t="s">
        <v>23479</v>
      </c>
      <c r="G6218">
        <v>1</v>
      </c>
      <c r="H6218" t="s">
        <v>20715</v>
      </c>
      <c r="J6218" t="s">
        <v>20607</v>
      </c>
      <c r="K6218" t="s">
        <v>136</v>
      </c>
      <c r="L6218" t="s">
        <v>113</v>
      </c>
      <c r="M6218" t="s">
        <v>1575</v>
      </c>
      <c r="N6218" t="s">
        <v>20719</v>
      </c>
      <c r="O6218" t="s">
        <v>20720</v>
      </c>
      <c r="P6218" s="2" t="s">
        <v>26</v>
      </c>
      <c r="Q6218" t="s">
        <v>50</v>
      </c>
      <c r="R6218">
        <v>90.4</v>
      </c>
      <c r="S6218">
        <v>90.96</v>
      </c>
      <c r="T6218" t="s">
        <v>20721</v>
      </c>
    </row>
    <row r="6219" spans="1:20" x14ac:dyDescent="0.25">
      <c r="A6219" s="1" t="str">
        <f>HYPERLINK("https://vegkart.atlas.vegvesen.no/#/@256420.1,6699521.7,18/hva:hva%5B0%5D%5Bfilter%5D%5B0%5D%5Boperator%5D=%21%3D&amp;hva%5B0%5D%5Bfilter%5D%5B0%5D%5Btype_id%5D=5897&amp;hva%5B0%5D%5Bfilter%5D%5B0%5D%5Bverdi%5D=&amp;hva%5B0%5D%5Bid%5D=47/når:2017-06-01", "Vegkart")</f>
        <v>Vegkart</v>
      </c>
      <c r="B6219">
        <v>745378112</v>
      </c>
      <c r="C6219">
        <v>47</v>
      </c>
      <c r="D6219" t="s">
        <v>16854</v>
      </c>
      <c r="E6219">
        <v>5897</v>
      </c>
      <c r="F6219" t="s">
        <v>23479</v>
      </c>
      <c r="G6219">
        <v>1</v>
      </c>
      <c r="H6219" t="s">
        <v>20715</v>
      </c>
      <c r="J6219" t="s">
        <v>20607</v>
      </c>
      <c r="K6219" t="s">
        <v>136</v>
      </c>
      <c r="L6219" t="s">
        <v>113</v>
      </c>
      <c r="M6219" t="s">
        <v>1575</v>
      </c>
      <c r="N6219" t="s">
        <v>20722</v>
      </c>
      <c r="O6219" t="s">
        <v>20723</v>
      </c>
      <c r="P6219" s="2" t="s">
        <v>26</v>
      </c>
      <c r="Q6219" t="s">
        <v>50</v>
      </c>
      <c r="R6219">
        <v>90.39</v>
      </c>
      <c r="S6219">
        <v>90.95</v>
      </c>
      <c r="T6219" t="s">
        <v>20724</v>
      </c>
    </row>
    <row r="6220" spans="1:20" x14ac:dyDescent="0.25">
      <c r="A6220" s="1" t="str">
        <f>HYPERLINK("https://vegkart.atlas.vegvesen.no/#/@256120.8,6699920.1,18/hva:hva%5B0%5D%5Bfilter%5D%5B0%5D%5Boperator%5D=%21%3D&amp;hva%5B0%5D%5Bfilter%5D%5B0%5D%5Btype_id%5D=5897&amp;hva%5B0%5D%5Bfilter%5D%5B0%5D%5Bverdi%5D=&amp;hva%5B0%5D%5Bid%5D=47/når:2017-06-01", "Vegkart")</f>
        <v>Vegkart</v>
      </c>
      <c r="B6220">
        <v>745378113</v>
      </c>
      <c r="C6220">
        <v>47</v>
      </c>
      <c r="D6220" t="s">
        <v>16854</v>
      </c>
      <c r="E6220">
        <v>5897</v>
      </c>
      <c r="F6220" t="s">
        <v>23479</v>
      </c>
      <c r="G6220">
        <v>1</v>
      </c>
      <c r="H6220" t="s">
        <v>20715</v>
      </c>
      <c r="J6220" t="s">
        <v>20607</v>
      </c>
      <c r="K6220" t="s">
        <v>136</v>
      </c>
      <c r="L6220" t="s">
        <v>113</v>
      </c>
      <c r="M6220" t="s">
        <v>1575</v>
      </c>
      <c r="N6220" t="s">
        <v>20725</v>
      </c>
      <c r="O6220" t="s">
        <v>20726</v>
      </c>
      <c r="P6220" s="2" t="s">
        <v>26</v>
      </c>
      <c r="Q6220" t="s">
        <v>50</v>
      </c>
      <c r="R6220">
        <v>89.84</v>
      </c>
      <c r="S6220">
        <v>90.06</v>
      </c>
      <c r="T6220" t="s">
        <v>20727</v>
      </c>
    </row>
    <row r="6221" spans="1:20" x14ac:dyDescent="0.25">
      <c r="A6221" s="1" t="str">
        <f>HYPERLINK("https://vegkart.atlas.vegvesen.no/#/@256251.5,6699718.1,18/hva:hva%5B0%5D%5Bfilter%5D%5B0%5D%5Boperator%5D=%21%3D&amp;hva%5B0%5D%5Bfilter%5D%5B0%5D%5Btype_id%5D=5897&amp;hva%5B0%5D%5Bfilter%5D%5B0%5D%5Bverdi%5D=&amp;hva%5B0%5D%5Bid%5D=47/når:2017-06-01", "Vegkart")</f>
        <v>Vegkart</v>
      </c>
      <c r="B6221">
        <v>745378114</v>
      </c>
      <c r="C6221">
        <v>47</v>
      </c>
      <c r="D6221" t="s">
        <v>16854</v>
      </c>
      <c r="E6221">
        <v>5897</v>
      </c>
      <c r="F6221" t="s">
        <v>23479</v>
      </c>
      <c r="G6221">
        <v>1</v>
      </c>
      <c r="H6221" t="s">
        <v>20715</v>
      </c>
      <c r="J6221" t="s">
        <v>20607</v>
      </c>
      <c r="K6221" t="s">
        <v>136</v>
      </c>
      <c r="L6221" t="s">
        <v>113</v>
      </c>
      <c r="M6221" t="s">
        <v>1575</v>
      </c>
      <c r="N6221" t="s">
        <v>20728</v>
      </c>
      <c r="O6221" t="s">
        <v>20729</v>
      </c>
      <c r="P6221" s="2" t="s">
        <v>26</v>
      </c>
      <c r="Q6221" t="s">
        <v>50</v>
      </c>
      <c r="R6221">
        <v>84.65</v>
      </c>
      <c r="S6221">
        <v>84.78</v>
      </c>
      <c r="T6221" t="s">
        <v>20730</v>
      </c>
    </row>
    <row r="6222" spans="1:20" x14ac:dyDescent="0.25">
      <c r="A6222" s="1" t="str">
        <f>HYPERLINK("https://vegkart.atlas.vegvesen.no/#/@256430.3,6699265.2,18/hva:hva%5B0%5D%5Bfilter%5D%5B0%5D%5Boperator%5D=%21%3D&amp;hva%5B0%5D%5Bfilter%5D%5B0%5D%5Btype_id%5D=5897&amp;hva%5B0%5D%5Bfilter%5D%5B0%5D%5Bverdi%5D=&amp;hva%5B0%5D%5Bid%5D=47/når:2017-06-01", "Vegkart")</f>
        <v>Vegkart</v>
      </c>
      <c r="B6222">
        <v>745378115</v>
      </c>
      <c r="C6222">
        <v>47</v>
      </c>
      <c r="D6222" t="s">
        <v>16854</v>
      </c>
      <c r="E6222">
        <v>5897</v>
      </c>
      <c r="F6222" t="s">
        <v>23479</v>
      </c>
      <c r="G6222">
        <v>1</v>
      </c>
      <c r="H6222" t="s">
        <v>20715</v>
      </c>
      <c r="J6222" t="s">
        <v>20607</v>
      </c>
      <c r="K6222" t="s">
        <v>136</v>
      </c>
      <c r="L6222" t="s">
        <v>113</v>
      </c>
      <c r="M6222" t="s">
        <v>1575</v>
      </c>
      <c r="N6222" t="s">
        <v>20731</v>
      </c>
      <c r="O6222" t="s">
        <v>20732</v>
      </c>
      <c r="P6222" s="2" t="s">
        <v>26</v>
      </c>
      <c r="Q6222" t="s">
        <v>50</v>
      </c>
      <c r="R6222">
        <v>89.58</v>
      </c>
      <c r="S6222">
        <v>89.71</v>
      </c>
      <c r="T6222" t="s">
        <v>20733</v>
      </c>
    </row>
    <row r="6223" spans="1:20" x14ac:dyDescent="0.25">
      <c r="A6223" s="1" t="str">
        <f>HYPERLINK("https://vegkart.atlas.vegvesen.no/#/@256366.5,6698869.6,18/hva:hva%5B0%5D%5Bfilter%5D%5B0%5D%5Boperator%5D=%21%3D&amp;hva%5B0%5D%5Bfilter%5D%5B0%5D%5Btype_id%5D=5897&amp;hva%5B0%5D%5Bfilter%5D%5B0%5D%5Bverdi%5D=&amp;hva%5B0%5D%5Bid%5D=47/når:2017-06-01", "Vegkart")</f>
        <v>Vegkart</v>
      </c>
      <c r="B6223">
        <v>745378116</v>
      </c>
      <c r="C6223">
        <v>47</v>
      </c>
      <c r="D6223" t="s">
        <v>16854</v>
      </c>
      <c r="E6223">
        <v>5897</v>
      </c>
      <c r="F6223" t="s">
        <v>23479</v>
      </c>
      <c r="G6223">
        <v>1</v>
      </c>
      <c r="H6223" t="s">
        <v>20715</v>
      </c>
      <c r="J6223" t="s">
        <v>20607</v>
      </c>
      <c r="K6223" t="s">
        <v>136</v>
      </c>
      <c r="L6223" t="s">
        <v>113</v>
      </c>
      <c r="M6223" t="s">
        <v>1575</v>
      </c>
      <c r="N6223" t="s">
        <v>20734</v>
      </c>
      <c r="O6223" t="s">
        <v>20735</v>
      </c>
      <c r="P6223" s="2" t="s">
        <v>26</v>
      </c>
      <c r="Q6223" t="s">
        <v>50</v>
      </c>
      <c r="R6223">
        <v>84.6</v>
      </c>
      <c r="S6223">
        <v>84.72</v>
      </c>
      <c r="T6223" t="s">
        <v>20736</v>
      </c>
    </row>
    <row r="6224" spans="1:20" x14ac:dyDescent="0.25">
      <c r="A6224" s="1" t="str">
        <f>HYPERLINK("https://vegkart.atlas.vegvesen.no/#/@55877.8,6456918.1,18/hva:hva%5B0%5D%5Bfilter%5D%5B0%5D%5Boperator%5D=%21%3D&amp;hva%5B0%5D%5Bfilter%5D%5B0%5D%5Btype_id%5D=5897&amp;hva%5B0%5D%5Bfilter%5D%5B0%5D%5Bverdi%5D=&amp;hva%5B0%5D%5Bid%5D=47/når:2016-11-04", "Vegkart")</f>
        <v>Vegkart</v>
      </c>
      <c r="B6224">
        <v>748278211</v>
      </c>
      <c r="C6224">
        <v>47</v>
      </c>
      <c r="D6224" t="s">
        <v>16854</v>
      </c>
      <c r="E6224">
        <v>5897</v>
      </c>
      <c r="F6224" t="s">
        <v>23479</v>
      </c>
      <c r="G6224">
        <v>1</v>
      </c>
      <c r="H6224" t="s">
        <v>17138</v>
      </c>
      <c r="J6224" t="s">
        <v>8674</v>
      </c>
      <c r="K6224" t="s">
        <v>86</v>
      </c>
      <c r="L6224" t="s">
        <v>80</v>
      </c>
      <c r="M6224" t="s">
        <v>81</v>
      </c>
      <c r="N6224" t="s">
        <v>20737</v>
      </c>
      <c r="O6224" t="s">
        <v>20738</v>
      </c>
      <c r="P6224" s="2" t="s">
        <v>26</v>
      </c>
      <c r="Q6224" t="s">
        <v>50</v>
      </c>
      <c r="R6224">
        <v>75.63</v>
      </c>
      <c r="S6224">
        <v>76.400000000000006</v>
      </c>
      <c r="T6224" t="s">
        <v>20739</v>
      </c>
    </row>
    <row r="6225" spans="1:20" x14ac:dyDescent="0.25">
      <c r="A6225" s="1" t="str">
        <f>HYPERLINK("https://vegkart.atlas.vegvesen.no/#/@54955.5,6457434.6,18/hva:hva%5B0%5D%5Bfilter%5D%5B0%5D%5Boperator%5D=%21%3D&amp;hva%5B0%5D%5Bfilter%5D%5B0%5D%5Btype_id%5D=5897&amp;hva%5B0%5D%5Bfilter%5D%5B0%5D%5Bverdi%5D=&amp;hva%5B0%5D%5Bid%5D=47/når:2016-11-04", "Vegkart")</f>
        <v>Vegkart</v>
      </c>
      <c r="B6225">
        <v>748278212</v>
      </c>
      <c r="C6225">
        <v>47</v>
      </c>
      <c r="D6225" t="s">
        <v>16854</v>
      </c>
      <c r="E6225">
        <v>5897</v>
      </c>
      <c r="F6225" t="s">
        <v>23479</v>
      </c>
      <c r="G6225">
        <v>1</v>
      </c>
      <c r="H6225" t="s">
        <v>17138</v>
      </c>
      <c r="J6225" t="s">
        <v>8674</v>
      </c>
      <c r="K6225" t="s">
        <v>86</v>
      </c>
      <c r="L6225" t="s">
        <v>80</v>
      </c>
      <c r="M6225" t="s">
        <v>81</v>
      </c>
      <c r="N6225" t="s">
        <v>20740</v>
      </c>
      <c r="O6225" t="s">
        <v>20741</v>
      </c>
      <c r="P6225" s="2" t="s">
        <v>26</v>
      </c>
      <c r="Q6225" t="s">
        <v>50</v>
      </c>
      <c r="R6225">
        <v>79.48</v>
      </c>
      <c r="S6225">
        <v>81.180000000000007</v>
      </c>
      <c r="T6225" t="s">
        <v>20742</v>
      </c>
    </row>
    <row r="6226" spans="1:20" x14ac:dyDescent="0.25">
      <c r="A6226" s="1" t="str">
        <f>HYPERLINK("https://vegkart.atlas.vegvesen.no/#/@1074788.0,7859614.9,18/hva:hva%5B0%5D%5Bfilter%5D%5B0%5D%5Boperator%5D=%21%3D&amp;hva%5B0%5D%5Bfilter%5D%5B0%5D%5Btype_id%5D=5897&amp;hva%5B0%5D%5Bfilter%5D%5B0%5D%5Bverdi%5D=&amp;hva%5B0%5D%5Bid%5D=47/når:2017-10-19", "Vegkart")</f>
        <v>Vegkart</v>
      </c>
      <c r="B6226">
        <v>748971878</v>
      </c>
      <c r="C6226">
        <v>47</v>
      </c>
      <c r="D6226" t="s">
        <v>16854</v>
      </c>
      <c r="E6226">
        <v>5897</v>
      </c>
      <c r="F6226" t="s">
        <v>23479</v>
      </c>
      <c r="G6226">
        <v>4</v>
      </c>
      <c r="H6226" t="s">
        <v>17831</v>
      </c>
      <c r="J6226" t="s">
        <v>8674</v>
      </c>
      <c r="K6226" t="s">
        <v>450</v>
      </c>
      <c r="L6226" t="s">
        <v>33</v>
      </c>
      <c r="M6226" t="s">
        <v>20743</v>
      </c>
      <c r="N6226" t="s">
        <v>20744</v>
      </c>
      <c r="O6226" t="s">
        <v>20745</v>
      </c>
      <c r="P6226" s="2" t="s">
        <v>165</v>
      </c>
      <c r="Q6226" t="s">
        <v>641</v>
      </c>
      <c r="R6226">
        <v>2.79</v>
      </c>
      <c r="S6226">
        <v>84.9</v>
      </c>
      <c r="T6226" t="s">
        <v>167</v>
      </c>
    </row>
    <row r="6227" spans="1:20" x14ac:dyDescent="0.25">
      <c r="A6227" s="1" t="str">
        <f>HYPERLINK("https://vegkart.atlas.vegvesen.no/#/@197972.5,6622676.2,18/hva:hva%5B0%5D%5Bfilter%5D%5B0%5D%5Boperator%5D=%21%3D&amp;hva%5B0%5D%5Bfilter%5D%5B0%5D%5Btype_id%5D=5897&amp;hva%5B0%5D%5Bfilter%5D%5B0%5D%5Bverdi%5D=&amp;hva%5B0%5D%5Bid%5D=47/når:2016-12-02", "Vegkart")</f>
        <v>Vegkart</v>
      </c>
      <c r="B6227">
        <v>759114106</v>
      </c>
      <c r="C6227">
        <v>47</v>
      </c>
      <c r="D6227" t="s">
        <v>16854</v>
      </c>
      <c r="E6227">
        <v>5897</v>
      </c>
      <c r="F6227" t="s">
        <v>23479</v>
      </c>
      <c r="G6227">
        <v>1</v>
      </c>
      <c r="H6227" t="s">
        <v>20746</v>
      </c>
      <c r="J6227" t="s">
        <v>8674</v>
      </c>
      <c r="K6227" t="s">
        <v>307</v>
      </c>
      <c r="L6227" t="s">
        <v>33</v>
      </c>
      <c r="M6227" t="s">
        <v>20747</v>
      </c>
      <c r="N6227" t="s">
        <v>20748</v>
      </c>
      <c r="O6227" t="s">
        <v>20749</v>
      </c>
      <c r="P6227" s="2" t="s">
        <v>165</v>
      </c>
      <c r="Q6227" t="s">
        <v>641</v>
      </c>
      <c r="R6227">
        <v>0</v>
      </c>
      <c r="S6227">
        <v>141.85</v>
      </c>
      <c r="T6227" t="s">
        <v>167</v>
      </c>
    </row>
    <row r="6228" spans="1:20" x14ac:dyDescent="0.25">
      <c r="A6228" s="1" t="str">
        <f>HYPERLINK("https://vegkart.atlas.vegvesen.no/#/@215989.7,6559175.1,18/hva:hva%5B0%5D%5Bfilter%5D%5B0%5D%5Boperator%5D=%21%3D&amp;hva%5B0%5D%5Bfilter%5D%5B0%5D%5Btype_id%5D=5897&amp;hva%5B0%5D%5Bfilter%5D%5B0%5D%5Bverdi%5D=&amp;hva%5B0%5D%5Bid%5D=47/når:2016-12-01", "Vegkart")</f>
        <v>Vegkart</v>
      </c>
      <c r="B6228">
        <v>760017403</v>
      </c>
      <c r="C6228">
        <v>47</v>
      </c>
      <c r="D6228" t="s">
        <v>16854</v>
      </c>
      <c r="E6228">
        <v>5897</v>
      </c>
      <c r="F6228" t="s">
        <v>23479</v>
      </c>
      <c r="G6228">
        <v>1</v>
      </c>
      <c r="H6228" t="s">
        <v>6957</v>
      </c>
      <c r="J6228" t="s">
        <v>8674</v>
      </c>
      <c r="K6228" t="s">
        <v>81</v>
      </c>
      <c r="L6228" t="s">
        <v>80</v>
      </c>
      <c r="M6228" t="s">
        <v>53</v>
      </c>
      <c r="N6228" t="s">
        <v>20750</v>
      </c>
      <c r="O6228" t="s">
        <v>20751</v>
      </c>
      <c r="P6228" s="2" t="s">
        <v>26</v>
      </c>
      <c r="Q6228" t="s">
        <v>50</v>
      </c>
      <c r="R6228">
        <v>73.17</v>
      </c>
      <c r="S6228">
        <v>73.739999999999995</v>
      </c>
      <c r="T6228" t="s">
        <v>20752</v>
      </c>
    </row>
    <row r="6229" spans="1:20" x14ac:dyDescent="0.25">
      <c r="A6229" s="1" t="str">
        <f>HYPERLINK("https://vegkart.atlas.vegvesen.no/#/@216208.5,6559259.1,18/hva:hva%5B0%5D%5Bfilter%5D%5B0%5D%5Boperator%5D=%21%3D&amp;hva%5B0%5D%5Bfilter%5D%5B0%5D%5Btype_id%5D=5897&amp;hva%5B0%5D%5Bfilter%5D%5B0%5D%5Bverdi%5D=&amp;hva%5B0%5D%5Bid%5D=47/når:2016-12-01", "Vegkart")</f>
        <v>Vegkart</v>
      </c>
      <c r="B6229">
        <v>760017404</v>
      </c>
      <c r="C6229">
        <v>47</v>
      </c>
      <c r="D6229" t="s">
        <v>16854</v>
      </c>
      <c r="E6229">
        <v>5897</v>
      </c>
      <c r="F6229" t="s">
        <v>23479</v>
      </c>
      <c r="G6229">
        <v>1</v>
      </c>
      <c r="H6229" t="s">
        <v>6957</v>
      </c>
      <c r="J6229" t="s">
        <v>8674</v>
      </c>
      <c r="K6229" t="s">
        <v>81</v>
      </c>
      <c r="L6229" t="s">
        <v>80</v>
      </c>
      <c r="M6229" t="s">
        <v>53</v>
      </c>
      <c r="N6229" t="s">
        <v>20753</v>
      </c>
      <c r="O6229" t="s">
        <v>20754</v>
      </c>
      <c r="P6229" s="2" t="s">
        <v>26</v>
      </c>
      <c r="Q6229" t="s">
        <v>50</v>
      </c>
      <c r="R6229">
        <v>90.19</v>
      </c>
      <c r="S6229">
        <v>90.57</v>
      </c>
      <c r="T6229" t="s">
        <v>20755</v>
      </c>
    </row>
    <row r="6230" spans="1:20" x14ac:dyDescent="0.25">
      <c r="A6230" s="1" t="str">
        <f>HYPERLINK("https://vegkart.atlas.vegvesen.no/#/@215583.2,6558844.9,18/hva:hva%5B0%5D%5Bfilter%5D%5B0%5D%5Boperator%5D=%21%3D&amp;hva%5B0%5D%5Bfilter%5D%5B0%5D%5Btype_id%5D=5897&amp;hva%5B0%5D%5Bfilter%5D%5B0%5D%5Bverdi%5D=&amp;hva%5B0%5D%5Bid%5D=47/når:2016-12-01", "Vegkart")</f>
        <v>Vegkart</v>
      </c>
      <c r="B6230">
        <v>760017405</v>
      </c>
      <c r="C6230">
        <v>47</v>
      </c>
      <c r="D6230" t="s">
        <v>16854</v>
      </c>
      <c r="E6230">
        <v>5897</v>
      </c>
      <c r="F6230" t="s">
        <v>23479</v>
      </c>
      <c r="G6230">
        <v>1</v>
      </c>
      <c r="H6230" t="s">
        <v>6957</v>
      </c>
      <c r="J6230" t="s">
        <v>8674</v>
      </c>
      <c r="K6230" t="s">
        <v>81</v>
      </c>
      <c r="L6230" t="s">
        <v>80</v>
      </c>
      <c r="M6230" t="s">
        <v>53</v>
      </c>
      <c r="N6230" t="s">
        <v>20756</v>
      </c>
      <c r="O6230" t="s">
        <v>20757</v>
      </c>
      <c r="P6230" s="2" t="s">
        <v>26</v>
      </c>
      <c r="Q6230" t="s">
        <v>50</v>
      </c>
      <c r="R6230">
        <v>90.21</v>
      </c>
      <c r="S6230">
        <v>90.61</v>
      </c>
      <c r="T6230" t="s">
        <v>20758</v>
      </c>
    </row>
    <row r="6231" spans="1:20" x14ac:dyDescent="0.25">
      <c r="A6231" s="1" t="str">
        <f>HYPERLINK("https://vegkart.atlas.vegvesen.no/#/@215271.5,6558453.2,18/hva:hva%5B0%5D%5Bfilter%5D%5B0%5D%5Boperator%5D=%21%3D&amp;hva%5B0%5D%5Bfilter%5D%5B0%5D%5Btype_id%5D=5897&amp;hva%5B0%5D%5Bfilter%5D%5B0%5D%5Bverdi%5D=&amp;hva%5B0%5D%5Bid%5D=47/når:2016-12-01", "Vegkart")</f>
        <v>Vegkart</v>
      </c>
      <c r="B6231">
        <v>760017406</v>
      </c>
      <c r="C6231">
        <v>47</v>
      </c>
      <c r="D6231" t="s">
        <v>16854</v>
      </c>
      <c r="E6231">
        <v>5897</v>
      </c>
      <c r="F6231" t="s">
        <v>23479</v>
      </c>
      <c r="G6231">
        <v>1</v>
      </c>
      <c r="H6231" t="s">
        <v>6957</v>
      </c>
      <c r="J6231" t="s">
        <v>8674</v>
      </c>
      <c r="K6231" t="s">
        <v>81</v>
      </c>
      <c r="L6231" t="s">
        <v>80</v>
      </c>
      <c r="M6231" t="s">
        <v>53</v>
      </c>
      <c r="N6231" t="s">
        <v>20759</v>
      </c>
      <c r="O6231" t="s">
        <v>20760</v>
      </c>
      <c r="P6231" s="2" t="s">
        <v>26</v>
      </c>
      <c r="Q6231" t="s">
        <v>50</v>
      </c>
      <c r="R6231">
        <v>90.03</v>
      </c>
      <c r="S6231">
        <v>90.33</v>
      </c>
      <c r="T6231" t="s">
        <v>20761</v>
      </c>
    </row>
    <row r="6232" spans="1:20" x14ac:dyDescent="0.25">
      <c r="A6232" s="1" t="str">
        <f>HYPERLINK("https://vegkart.atlas.vegvesen.no/#/@215003.0,6558030.9,18/hva:hva%5B0%5D%5Bfilter%5D%5B0%5D%5Boperator%5D=%21%3D&amp;hva%5B0%5D%5Bfilter%5D%5B0%5D%5Btype_id%5D=5897&amp;hva%5B0%5D%5Bfilter%5D%5B0%5D%5Bverdi%5D=&amp;hva%5B0%5D%5Bid%5D=47/når:2016-12-01", "Vegkart")</f>
        <v>Vegkart</v>
      </c>
      <c r="B6232">
        <v>760017407</v>
      </c>
      <c r="C6232">
        <v>47</v>
      </c>
      <c r="D6232" t="s">
        <v>16854</v>
      </c>
      <c r="E6232">
        <v>5897</v>
      </c>
      <c r="F6232" t="s">
        <v>23479</v>
      </c>
      <c r="G6232">
        <v>1</v>
      </c>
      <c r="H6232" t="s">
        <v>6957</v>
      </c>
      <c r="J6232" t="s">
        <v>8674</v>
      </c>
      <c r="K6232" t="s">
        <v>81</v>
      </c>
      <c r="L6232" t="s">
        <v>80</v>
      </c>
      <c r="M6232" t="s">
        <v>53</v>
      </c>
      <c r="N6232" t="s">
        <v>20762</v>
      </c>
      <c r="O6232" t="s">
        <v>20763</v>
      </c>
      <c r="P6232" s="2" t="s">
        <v>26</v>
      </c>
      <c r="Q6232" t="s">
        <v>50</v>
      </c>
      <c r="R6232">
        <v>90.12</v>
      </c>
      <c r="S6232">
        <v>90.47</v>
      </c>
      <c r="T6232" t="s">
        <v>20764</v>
      </c>
    </row>
    <row r="6233" spans="1:20" x14ac:dyDescent="0.25">
      <c r="A6233" s="1" t="str">
        <f>HYPERLINK("https://vegkart.atlas.vegvesen.no/#/@214764.2,6557592.9,18/hva:hva%5B0%5D%5Bfilter%5D%5B0%5D%5Boperator%5D=%21%3D&amp;hva%5B0%5D%5Bfilter%5D%5B0%5D%5Btype_id%5D=5897&amp;hva%5B0%5D%5Bfilter%5D%5B0%5D%5Bverdi%5D=&amp;hva%5B0%5D%5Bid%5D=47/når:2016-12-01", "Vegkart")</f>
        <v>Vegkart</v>
      </c>
      <c r="B6233">
        <v>760017408</v>
      </c>
      <c r="C6233">
        <v>47</v>
      </c>
      <c r="D6233" t="s">
        <v>16854</v>
      </c>
      <c r="E6233">
        <v>5897</v>
      </c>
      <c r="F6233" t="s">
        <v>23479</v>
      </c>
      <c r="G6233">
        <v>1</v>
      </c>
      <c r="H6233" t="s">
        <v>6957</v>
      </c>
      <c r="J6233" t="s">
        <v>8674</v>
      </c>
      <c r="K6233" t="s">
        <v>81</v>
      </c>
      <c r="L6233" t="s">
        <v>80</v>
      </c>
      <c r="M6233" t="s">
        <v>53</v>
      </c>
      <c r="N6233" t="s">
        <v>20765</v>
      </c>
      <c r="O6233" t="s">
        <v>20766</v>
      </c>
      <c r="P6233" s="2" t="s">
        <v>26</v>
      </c>
      <c r="Q6233" t="s">
        <v>50</v>
      </c>
      <c r="R6233">
        <v>89.89</v>
      </c>
      <c r="S6233">
        <v>90.12</v>
      </c>
      <c r="T6233" t="s">
        <v>20767</v>
      </c>
    </row>
    <row r="6234" spans="1:20" x14ac:dyDescent="0.25">
      <c r="A6234" s="1" t="str">
        <f>HYPERLINK("https://vegkart.atlas.vegvesen.no/#/@214918.9,6557784.0,18/hva:hva%5B0%5D%5Bfilter%5D%5B0%5D%5Boperator%5D=%21%3D&amp;hva%5B0%5D%5Bfilter%5D%5B0%5D%5Btype_id%5D=5897&amp;hva%5B0%5D%5Bfilter%5D%5B0%5D%5Bverdi%5D=&amp;hva%5B0%5D%5Bid%5D=47/når:2016-12-01", "Vegkart")</f>
        <v>Vegkart</v>
      </c>
      <c r="B6234">
        <v>760017409</v>
      </c>
      <c r="C6234">
        <v>47</v>
      </c>
      <c r="D6234" t="s">
        <v>16854</v>
      </c>
      <c r="E6234">
        <v>5897</v>
      </c>
      <c r="F6234" t="s">
        <v>23479</v>
      </c>
      <c r="G6234">
        <v>1</v>
      </c>
      <c r="H6234" t="s">
        <v>6957</v>
      </c>
      <c r="J6234" t="s">
        <v>8674</v>
      </c>
      <c r="K6234" t="s">
        <v>81</v>
      </c>
      <c r="L6234" t="s">
        <v>80</v>
      </c>
      <c r="M6234" t="s">
        <v>53</v>
      </c>
      <c r="N6234" t="s">
        <v>20768</v>
      </c>
      <c r="O6234" t="s">
        <v>20769</v>
      </c>
      <c r="P6234" s="2" t="s">
        <v>26</v>
      </c>
      <c r="Q6234" t="s">
        <v>50</v>
      </c>
      <c r="R6234">
        <v>90.2</v>
      </c>
      <c r="S6234">
        <v>90.58</v>
      </c>
      <c r="T6234" t="s">
        <v>20770</v>
      </c>
    </row>
    <row r="6235" spans="1:20" x14ac:dyDescent="0.25">
      <c r="A6235" s="1" t="str">
        <f>HYPERLINK("https://vegkart.atlas.vegvesen.no/#/@215175.5,6558264.0,18/hva:hva%5B0%5D%5Bfilter%5D%5B0%5D%5Boperator%5D=%21%3D&amp;hva%5B0%5D%5Bfilter%5D%5B0%5D%5Btype_id%5D=5897&amp;hva%5B0%5D%5Bfilter%5D%5B0%5D%5Bverdi%5D=&amp;hva%5B0%5D%5Bid%5D=47/når:2016-12-01", "Vegkart")</f>
        <v>Vegkart</v>
      </c>
      <c r="B6235">
        <v>760017410</v>
      </c>
      <c r="C6235">
        <v>47</v>
      </c>
      <c r="D6235" t="s">
        <v>16854</v>
      </c>
      <c r="E6235">
        <v>5897</v>
      </c>
      <c r="F6235" t="s">
        <v>23479</v>
      </c>
      <c r="G6235">
        <v>1</v>
      </c>
      <c r="H6235" t="s">
        <v>6957</v>
      </c>
      <c r="J6235" t="s">
        <v>8674</v>
      </c>
      <c r="K6235" t="s">
        <v>81</v>
      </c>
      <c r="L6235" t="s">
        <v>80</v>
      </c>
      <c r="M6235" t="s">
        <v>53</v>
      </c>
      <c r="N6235" t="s">
        <v>20771</v>
      </c>
      <c r="O6235" t="s">
        <v>20772</v>
      </c>
      <c r="P6235" s="2" t="s">
        <v>26</v>
      </c>
      <c r="Q6235" t="s">
        <v>50</v>
      </c>
      <c r="R6235">
        <v>89.89</v>
      </c>
      <c r="S6235">
        <v>90.11</v>
      </c>
      <c r="T6235" t="s">
        <v>20773</v>
      </c>
    </row>
    <row r="6236" spans="1:20" x14ac:dyDescent="0.25">
      <c r="A6236" s="1" t="str">
        <f>HYPERLINK("https://vegkart.atlas.vegvesen.no/#/@215446.4,6558629.3,18/hva:hva%5B0%5D%5Bfilter%5D%5B0%5D%5Boperator%5D=%21%3D&amp;hva%5B0%5D%5Bfilter%5D%5B0%5D%5Btype_id%5D=5897&amp;hva%5B0%5D%5Bfilter%5D%5B0%5D%5Bverdi%5D=&amp;hva%5B0%5D%5Bid%5D=47/når:2016-12-01", "Vegkart")</f>
        <v>Vegkart</v>
      </c>
      <c r="B6236">
        <v>760017411</v>
      </c>
      <c r="C6236">
        <v>47</v>
      </c>
      <c r="D6236" t="s">
        <v>16854</v>
      </c>
      <c r="E6236">
        <v>5897</v>
      </c>
      <c r="F6236" t="s">
        <v>23479</v>
      </c>
      <c r="G6236">
        <v>1</v>
      </c>
      <c r="H6236" t="s">
        <v>6957</v>
      </c>
      <c r="J6236" t="s">
        <v>8674</v>
      </c>
      <c r="K6236" t="s">
        <v>81</v>
      </c>
      <c r="L6236" t="s">
        <v>80</v>
      </c>
      <c r="M6236" t="s">
        <v>53</v>
      </c>
      <c r="N6236" t="s">
        <v>20774</v>
      </c>
      <c r="O6236" t="s">
        <v>20775</v>
      </c>
      <c r="P6236" s="2" t="s">
        <v>26</v>
      </c>
      <c r="Q6236" t="s">
        <v>50</v>
      </c>
      <c r="R6236">
        <v>90.02</v>
      </c>
      <c r="S6236">
        <v>90.31</v>
      </c>
      <c r="T6236" t="s">
        <v>20776</v>
      </c>
    </row>
    <row r="6237" spans="1:20" x14ac:dyDescent="0.25">
      <c r="A6237" s="1" t="str">
        <f>HYPERLINK("https://vegkart.atlas.vegvesen.no/#/@215788.8,6558990.5,18/hva:hva%5B0%5D%5Bfilter%5D%5B0%5D%5Boperator%5D=%21%3D&amp;hva%5B0%5D%5Bfilter%5D%5B0%5D%5Btype_id%5D=5897&amp;hva%5B0%5D%5Bfilter%5D%5B0%5D%5Bverdi%5D=&amp;hva%5B0%5D%5Bid%5D=47/når:2016-12-01", "Vegkart")</f>
        <v>Vegkart</v>
      </c>
      <c r="B6237">
        <v>760017412</v>
      </c>
      <c r="C6237">
        <v>47</v>
      </c>
      <c r="D6237" t="s">
        <v>16854</v>
      </c>
      <c r="E6237">
        <v>5897</v>
      </c>
      <c r="F6237" t="s">
        <v>23479</v>
      </c>
      <c r="G6237">
        <v>1</v>
      </c>
      <c r="H6237" t="s">
        <v>6957</v>
      </c>
      <c r="J6237" t="s">
        <v>8674</v>
      </c>
      <c r="K6237" t="s">
        <v>81</v>
      </c>
      <c r="L6237" t="s">
        <v>80</v>
      </c>
      <c r="M6237" t="s">
        <v>53</v>
      </c>
      <c r="N6237" t="s">
        <v>20777</v>
      </c>
      <c r="O6237" t="s">
        <v>20778</v>
      </c>
      <c r="P6237" s="2" t="s">
        <v>26</v>
      </c>
      <c r="Q6237" t="s">
        <v>50</v>
      </c>
      <c r="R6237">
        <v>89.87</v>
      </c>
      <c r="S6237">
        <v>90.09</v>
      </c>
      <c r="T6237" t="s">
        <v>20779</v>
      </c>
    </row>
    <row r="6238" spans="1:20" x14ac:dyDescent="0.25">
      <c r="A6238" s="1" t="str">
        <f>HYPERLINK("https://vegkart.atlas.vegvesen.no/#/@213365.2,6557377.8,18/hva:hva%5B0%5D%5Bfilter%5D%5B0%5D%5Boperator%5D=%21%3D&amp;hva%5B0%5D%5Bfilter%5D%5B0%5D%5Btype_id%5D=5897&amp;hva%5B0%5D%5Bfilter%5D%5B0%5D%5Bverdi%5D=&amp;hva%5B0%5D%5Bid%5D=47/når:2016-12-01", "Vegkart")</f>
        <v>Vegkart</v>
      </c>
      <c r="B6238">
        <v>760017413</v>
      </c>
      <c r="C6238">
        <v>47</v>
      </c>
      <c r="D6238" t="s">
        <v>16854</v>
      </c>
      <c r="E6238">
        <v>5897</v>
      </c>
      <c r="F6238" t="s">
        <v>23479</v>
      </c>
      <c r="G6238">
        <v>1</v>
      </c>
      <c r="H6238" t="s">
        <v>6957</v>
      </c>
      <c r="J6238" t="s">
        <v>8674</v>
      </c>
      <c r="K6238" t="s">
        <v>81</v>
      </c>
      <c r="L6238" t="s">
        <v>80</v>
      </c>
      <c r="M6238" t="s">
        <v>53</v>
      </c>
      <c r="N6238" t="s">
        <v>20780</v>
      </c>
      <c r="O6238" t="s">
        <v>20781</v>
      </c>
      <c r="P6238" s="2" t="s">
        <v>26</v>
      </c>
      <c r="Q6238" t="s">
        <v>50</v>
      </c>
      <c r="R6238">
        <v>89.42</v>
      </c>
      <c r="S6238">
        <v>89.48</v>
      </c>
      <c r="T6238" t="s">
        <v>20782</v>
      </c>
    </row>
    <row r="6239" spans="1:20" x14ac:dyDescent="0.25">
      <c r="A6239" s="1" t="str">
        <f>HYPERLINK("https://vegkart.atlas.vegvesen.no/#/@213139.5,6557826.1,18/hva:hva%5B0%5D%5Bfilter%5D%5B0%5D%5Boperator%5D=%21%3D&amp;hva%5B0%5D%5Bfilter%5D%5B0%5D%5Btype_id%5D=5897&amp;hva%5B0%5D%5Bfilter%5D%5B0%5D%5Bverdi%5D=&amp;hva%5B0%5D%5Bid%5D=47/når:2016-12-01", "Vegkart")</f>
        <v>Vegkart</v>
      </c>
      <c r="B6239">
        <v>760017414</v>
      </c>
      <c r="C6239">
        <v>47</v>
      </c>
      <c r="D6239" t="s">
        <v>16854</v>
      </c>
      <c r="E6239">
        <v>5897</v>
      </c>
      <c r="F6239" t="s">
        <v>23479</v>
      </c>
      <c r="G6239">
        <v>1</v>
      </c>
      <c r="H6239" t="s">
        <v>6957</v>
      </c>
      <c r="J6239" t="s">
        <v>8674</v>
      </c>
      <c r="K6239" t="s">
        <v>81</v>
      </c>
      <c r="L6239" t="s">
        <v>80</v>
      </c>
      <c r="M6239" t="s">
        <v>53</v>
      </c>
      <c r="N6239" t="s">
        <v>20783</v>
      </c>
      <c r="O6239" t="s">
        <v>20784</v>
      </c>
      <c r="P6239" s="2" t="s">
        <v>26</v>
      </c>
      <c r="Q6239" t="s">
        <v>50</v>
      </c>
      <c r="R6239">
        <v>90.4</v>
      </c>
      <c r="S6239">
        <v>90.95</v>
      </c>
      <c r="T6239" t="s">
        <v>20785</v>
      </c>
    </row>
    <row r="6240" spans="1:20" x14ac:dyDescent="0.25">
      <c r="A6240" s="1" t="str">
        <f>HYPERLINK("https://vegkart.atlas.vegvesen.no/#/@213496.2,6557153.8,18/hva:hva%5B0%5D%5Bfilter%5D%5B0%5D%5Boperator%5D=%21%3D&amp;hva%5B0%5D%5Bfilter%5D%5B0%5D%5Btype_id%5D=5897&amp;hva%5B0%5D%5Bfilter%5D%5B0%5D%5Bverdi%5D=&amp;hva%5B0%5D%5Bid%5D=47/når:2016-12-01", "Vegkart")</f>
        <v>Vegkart</v>
      </c>
      <c r="B6240">
        <v>760017415</v>
      </c>
      <c r="C6240">
        <v>47</v>
      </c>
      <c r="D6240" t="s">
        <v>16854</v>
      </c>
      <c r="E6240">
        <v>5897</v>
      </c>
      <c r="F6240" t="s">
        <v>23479</v>
      </c>
      <c r="G6240">
        <v>1</v>
      </c>
      <c r="H6240" t="s">
        <v>6957</v>
      </c>
      <c r="J6240" t="s">
        <v>8674</v>
      </c>
      <c r="K6240" t="s">
        <v>81</v>
      </c>
      <c r="L6240" t="s">
        <v>80</v>
      </c>
      <c r="M6240" t="s">
        <v>53</v>
      </c>
      <c r="N6240" t="s">
        <v>20786</v>
      </c>
      <c r="O6240" t="s">
        <v>20787</v>
      </c>
      <c r="P6240" s="2" t="s">
        <v>26</v>
      </c>
      <c r="Q6240" t="s">
        <v>50</v>
      </c>
      <c r="R6240">
        <v>90.47</v>
      </c>
      <c r="S6240">
        <v>91.09</v>
      </c>
      <c r="T6240" t="s">
        <v>20788</v>
      </c>
    </row>
    <row r="6241" spans="1:20" x14ac:dyDescent="0.25">
      <c r="A6241" s="1" t="str">
        <f>HYPERLINK("https://vegkart.atlas.vegvesen.no/#/@213166.5,6557618.3,18/hva:hva%5B0%5D%5Bfilter%5D%5B0%5D%5Boperator%5D=%21%3D&amp;hva%5B0%5D%5Bfilter%5D%5B0%5D%5Btype_id%5D=5897&amp;hva%5B0%5D%5Bfilter%5D%5B0%5D%5Bverdi%5D=&amp;hva%5B0%5D%5Bid%5D=47/når:2016-12-01", "Vegkart")</f>
        <v>Vegkart</v>
      </c>
      <c r="B6241">
        <v>760017416</v>
      </c>
      <c r="C6241">
        <v>47</v>
      </c>
      <c r="D6241" t="s">
        <v>16854</v>
      </c>
      <c r="E6241">
        <v>5897</v>
      </c>
      <c r="F6241" t="s">
        <v>23479</v>
      </c>
      <c r="G6241">
        <v>1</v>
      </c>
      <c r="H6241" t="s">
        <v>6957</v>
      </c>
      <c r="J6241" t="s">
        <v>8674</v>
      </c>
      <c r="K6241" t="s">
        <v>81</v>
      </c>
      <c r="L6241" t="s">
        <v>80</v>
      </c>
      <c r="M6241" t="s">
        <v>53</v>
      </c>
      <c r="N6241" t="s">
        <v>20789</v>
      </c>
      <c r="O6241" t="s">
        <v>20790</v>
      </c>
      <c r="P6241" s="2" t="s">
        <v>26</v>
      </c>
      <c r="Q6241" t="s">
        <v>50</v>
      </c>
      <c r="R6241">
        <v>89.98</v>
      </c>
      <c r="S6241">
        <v>90.25</v>
      </c>
      <c r="T6241" t="s">
        <v>20791</v>
      </c>
    </row>
    <row r="6242" spans="1:20" x14ac:dyDescent="0.25">
      <c r="A6242" s="1" t="str">
        <f>HYPERLINK("https://vegkart.atlas.vegvesen.no/#/@79431.4,6914286.2,18/hva:hva%5B0%5D%5Bfilter%5D%5B0%5D%5Boperator%5D=%21%3D&amp;hva%5B0%5D%5Bfilter%5D%5B0%5D%5Btype_id%5D=5897&amp;hva%5B0%5D%5Bfilter%5D%5B0%5D%5Bverdi%5D=&amp;hva%5B0%5D%5Bid%5D=47/når:2020-08-25", "Vegkart")</f>
        <v>Vegkart</v>
      </c>
      <c r="B6242">
        <v>760957548</v>
      </c>
      <c r="C6242">
        <v>47</v>
      </c>
      <c r="D6242" t="s">
        <v>16854</v>
      </c>
      <c r="E6242">
        <v>5897</v>
      </c>
      <c r="F6242" t="s">
        <v>23479</v>
      </c>
      <c r="G6242">
        <v>4</v>
      </c>
      <c r="H6242" t="s">
        <v>20792</v>
      </c>
      <c r="J6242" t="s">
        <v>20793</v>
      </c>
      <c r="K6242" t="s">
        <v>32</v>
      </c>
      <c r="L6242" t="s">
        <v>33</v>
      </c>
      <c r="M6242" t="s">
        <v>47</v>
      </c>
      <c r="N6242" t="s">
        <v>20794</v>
      </c>
      <c r="O6242" t="s">
        <v>20795</v>
      </c>
      <c r="P6242" s="2" t="s">
        <v>26</v>
      </c>
      <c r="Q6242" t="s">
        <v>50</v>
      </c>
      <c r="R6242">
        <v>95.89</v>
      </c>
      <c r="S6242">
        <v>97.13</v>
      </c>
      <c r="T6242" t="s">
        <v>20796</v>
      </c>
    </row>
    <row r="6243" spans="1:20" x14ac:dyDescent="0.25">
      <c r="A6243" s="1" t="str">
        <f>HYPERLINK("https://vegkart.atlas.vegvesen.no/#/@79336.3,6915160.0,18/hva:hva%5B0%5D%5Bfilter%5D%5B0%5D%5Boperator%5D=%21%3D&amp;hva%5B0%5D%5Bfilter%5D%5B0%5D%5Btype_id%5D=5897&amp;hva%5B0%5D%5Bfilter%5D%5B0%5D%5Bverdi%5D=&amp;hva%5B0%5D%5Bid%5D=47/når:2020-08-25", "Vegkart")</f>
        <v>Vegkart</v>
      </c>
      <c r="B6243">
        <v>760957549</v>
      </c>
      <c r="C6243">
        <v>47</v>
      </c>
      <c r="D6243" t="s">
        <v>16854</v>
      </c>
      <c r="E6243">
        <v>5897</v>
      </c>
      <c r="F6243" t="s">
        <v>23479</v>
      </c>
      <c r="G6243">
        <v>4</v>
      </c>
      <c r="H6243" t="s">
        <v>20792</v>
      </c>
      <c r="J6243" t="s">
        <v>20793</v>
      </c>
      <c r="K6243" t="s">
        <v>32</v>
      </c>
      <c r="L6243" t="s">
        <v>33</v>
      </c>
      <c r="M6243" t="s">
        <v>47</v>
      </c>
      <c r="N6243" t="s">
        <v>20797</v>
      </c>
      <c r="O6243" t="s">
        <v>20798</v>
      </c>
      <c r="P6243" s="2" t="s">
        <v>26</v>
      </c>
      <c r="Q6243" t="s">
        <v>50</v>
      </c>
      <c r="R6243">
        <v>90.6</v>
      </c>
      <c r="S6243">
        <v>91.21</v>
      </c>
      <c r="T6243" t="s">
        <v>20799</v>
      </c>
    </row>
    <row r="6244" spans="1:20" x14ac:dyDescent="0.25">
      <c r="A6244" s="1" t="str">
        <f>HYPERLINK("https://vegkart.atlas.vegvesen.no/#/@79726.4,6916082.5,18/hva:hva%5B0%5D%5Bfilter%5D%5B0%5D%5Boperator%5D=%21%3D&amp;hva%5B0%5D%5Bfilter%5D%5B0%5D%5Btype_id%5D=5897&amp;hva%5B0%5D%5Bfilter%5D%5B0%5D%5Bverdi%5D=&amp;hva%5B0%5D%5Bid%5D=47/når:2020-08-25", "Vegkart")</f>
        <v>Vegkart</v>
      </c>
      <c r="B6244">
        <v>760957550</v>
      </c>
      <c r="C6244">
        <v>47</v>
      </c>
      <c r="D6244" t="s">
        <v>16854</v>
      </c>
      <c r="E6244">
        <v>5897</v>
      </c>
      <c r="F6244" t="s">
        <v>23479</v>
      </c>
      <c r="G6244">
        <v>4</v>
      </c>
      <c r="H6244" t="s">
        <v>20792</v>
      </c>
      <c r="J6244" t="s">
        <v>20793</v>
      </c>
      <c r="K6244" t="s">
        <v>32</v>
      </c>
      <c r="L6244" t="s">
        <v>33</v>
      </c>
      <c r="M6244" t="s">
        <v>47</v>
      </c>
      <c r="N6244" t="s">
        <v>20800</v>
      </c>
      <c r="O6244" t="s">
        <v>20801</v>
      </c>
      <c r="P6244" s="2" t="s">
        <v>26</v>
      </c>
      <c r="Q6244" t="s">
        <v>50</v>
      </c>
      <c r="R6244">
        <v>140.25</v>
      </c>
      <c r="S6244">
        <v>159.93</v>
      </c>
      <c r="T6244" t="s">
        <v>20802</v>
      </c>
    </row>
    <row r="6245" spans="1:20" x14ac:dyDescent="0.25">
      <c r="A6245" s="1" t="str">
        <f>HYPERLINK("https://vegkart.atlas.vegvesen.no/#/@80023.1,6917025.8,18/hva:hva%5B0%5D%5Bfilter%5D%5B0%5D%5Boperator%5D=%21%3D&amp;hva%5B0%5D%5Bfilter%5D%5B0%5D%5Btype_id%5D=5897&amp;hva%5B0%5D%5Bfilter%5D%5B0%5D%5Bverdi%5D=&amp;hva%5B0%5D%5Bid%5D=47/når:2020-08-25", "Vegkart")</f>
        <v>Vegkart</v>
      </c>
      <c r="B6245">
        <v>760957551</v>
      </c>
      <c r="C6245">
        <v>47</v>
      </c>
      <c r="D6245" t="s">
        <v>16854</v>
      </c>
      <c r="E6245">
        <v>5897</v>
      </c>
      <c r="F6245" t="s">
        <v>23479</v>
      </c>
      <c r="G6245">
        <v>4</v>
      </c>
      <c r="H6245" t="s">
        <v>20792</v>
      </c>
      <c r="J6245" t="s">
        <v>20793</v>
      </c>
      <c r="K6245" t="s">
        <v>32</v>
      </c>
      <c r="L6245" t="s">
        <v>33</v>
      </c>
      <c r="M6245" t="s">
        <v>47</v>
      </c>
      <c r="N6245" t="s">
        <v>20803</v>
      </c>
      <c r="O6245" t="s">
        <v>20804</v>
      </c>
      <c r="P6245" s="2" t="s">
        <v>26</v>
      </c>
      <c r="Q6245" t="s">
        <v>50</v>
      </c>
      <c r="R6245">
        <v>90.16</v>
      </c>
      <c r="S6245">
        <v>90.45</v>
      </c>
      <c r="T6245" t="s">
        <v>20805</v>
      </c>
    </row>
    <row r="6246" spans="1:20" x14ac:dyDescent="0.25">
      <c r="A6246" s="1" t="str">
        <f>HYPERLINK("https://vegkart.atlas.vegvesen.no/#/@80037.4,6917526.8,18/hva:hva%5B0%5D%5Bfilter%5D%5B0%5D%5Boperator%5D=%21%3D&amp;hva%5B0%5D%5Bfilter%5D%5B0%5D%5Btype_id%5D=5897&amp;hva%5B0%5D%5Bfilter%5D%5B0%5D%5Bverdi%5D=&amp;hva%5B0%5D%5Bid%5D=47/når:2020-08-25", "Vegkart")</f>
        <v>Vegkart</v>
      </c>
      <c r="B6246">
        <v>760957552</v>
      </c>
      <c r="C6246">
        <v>47</v>
      </c>
      <c r="D6246" t="s">
        <v>16854</v>
      </c>
      <c r="E6246">
        <v>5897</v>
      </c>
      <c r="F6246" t="s">
        <v>23479</v>
      </c>
      <c r="G6246">
        <v>4</v>
      </c>
      <c r="H6246" t="s">
        <v>20792</v>
      </c>
      <c r="J6246" t="s">
        <v>20793</v>
      </c>
      <c r="K6246" t="s">
        <v>32</v>
      </c>
      <c r="L6246" t="s">
        <v>33</v>
      </c>
      <c r="M6246" t="s">
        <v>47</v>
      </c>
      <c r="N6246" t="s">
        <v>20806</v>
      </c>
      <c r="O6246" t="s">
        <v>20807</v>
      </c>
      <c r="P6246" s="2" t="s">
        <v>26</v>
      </c>
      <c r="Q6246" t="s">
        <v>50</v>
      </c>
      <c r="R6246">
        <v>90.19</v>
      </c>
      <c r="S6246">
        <v>90.5</v>
      </c>
      <c r="T6246" t="s">
        <v>20808</v>
      </c>
    </row>
    <row r="6247" spans="1:20" x14ac:dyDescent="0.25">
      <c r="A6247" s="1" t="str">
        <f>HYPERLINK("https://vegkart.atlas.vegvesen.no/#/@79936.1,6916537.7,18/hva:hva%5B0%5D%5Bfilter%5D%5B0%5D%5Boperator%5D=%21%3D&amp;hva%5B0%5D%5Bfilter%5D%5B0%5D%5Btype_id%5D=5897&amp;hva%5B0%5D%5Bfilter%5D%5B0%5D%5Bverdi%5D=&amp;hva%5B0%5D%5Bid%5D=47/når:2020-08-25", "Vegkart")</f>
        <v>Vegkart</v>
      </c>
      <c r="B6247">
        <v>760957553</v>
      </c>
      <c r="C6247">
        <v>47</v>
      </c>
      <c r="D6247" t="s">
        <v>16854</v>
      </c>
      <c r="E6247">
        <v>5897</v>
      </c>
      <c r="F6247" t="s">
        <v>23479</v>
      </c>
      <c r="G6247">
        <v>4</v>
      </c>
      <c r="H6247" t="s">
        <v>20792</v>
      </c>
      <c r="J6247" t="s">
        <v>20793</v>
      </c>
      <c r="K6247" t="s">
        <v>32</v>
      </c>
      <c r="L6247" t="s">
        <v>33</v>
      </c>
      <c r="M6247" t="s">
        <v>47</v>
      </c>
      <c r="N6247" t="s">
        <v>20809</v>
      </c>
      <c r="O6247" t="s">
        <v>20810</v>
      </c>
      <c r="P6247" s="2" t="s">
        <v>26</v>
      </c>
      <c r="Q6247" t="s">
        <v>50</v>
      </c>
      <c r="R6247">
        <v>90.33</v>
      </c>
      <c r="S6247">
        <v>90.64</v>
      </c>
      <c r="T6247" t="s">
        <v>20811</v>
      </c>
    </row>
    <row r="6248" spans="1:20" x14ac:dyDescent="0.25">
      <c r="A6248" s="1" t="str">
        <f>HYPERLINK("https://vegkart.atlas.vegvesen.no/#/@79534.9,6915619.3,18/hva:hva%5B0%5D%5Bfilter%5D%5B0%5D%5Boperator%5D=%21%3D&amp;hva%5B0%5D%5Bfilter%5D%5B0%5D%5Btype_id%5D=5897&amp;hva%5B0%5D%5Bfilter%5D%5B0%5D%5Bverdi%5D=&amp;hva%5B0%5D%5Bid%5D=47/når:2020-08-25", "Vegkart")</f>
        <v>Vegkart</v>
      </c>
      <c r="B6248">
        <v>760957554</v>
      </c>
      <c r="C6248">
        <v>47</v>
      </c>
      <c r="D6248" t="s">
        <v>16854</v>
      </c>
      <c r="E6248">
        <v>5897</v>
      </c>
      <c r="F6248" t="s">
        <v>23479</v>
      </c>
      <c r="G6248">
        <v>4</v>
      </c>
      <c r="H6248" t="s">
        <v>20792</v>
      </c>
      <c r="J6248" t="s">
        <v>20793</v>
      </c>
      <c r="K6248" t="s">
        <v>32</v>
      </c>
      <c r="L6248" t="s">
        <v>33</v>
      </c>
      <c r="M6248" t="s">
        <v>47</v>
      </c>
      <c r="N6248" t="s">
        <v>20812</v>
      </c>
      <c r="O6248" t="s">
        <v>20813</v>
      </c>
      <c r="P6248" s="2" t="s">
        <v>26</v>
      </c>
      <c r="Q6248" t="s">
        <v>50</v>
      </c>
      <c r="R6248">
        <v>90.2</v>
      </c>
      <c r="S6248">
        <v>90.5</v>
      </c>
      <c r="T6248" t="s">
        <v>20814</v>
      </c>
    </row>
    <row r="6249" spans="1:20" x14ac:dyDescent="0.25">
      <c r="A6249" s="1" t="str">
        <f>HYPERLINK("https://vegkart.atlas.vegvesen.no/#/@79434.3,6914677.3,18/hva:hva%5B0%5D%5Bfilter%5D%5B0%5D%5Boperator%5D=%21%3D&amp;hva%5B0%5D%5Bfilter%5D%5B0%5D%5Btype_id%5D=5897&amp;hva%5B0%5D%5Bfilter%5D%5B0%5D%5Bverdi%5D=&amp;hva%5B0%5D%5Bid%5D=47/når:2020-08-25", "Vegkart")</f>
        <v>Vegkart</v>
      </c>
      <c r="B6249">
        <v>760957555</v>
      </c>
      <c r="C6249">
        <v>47</v>
      </c>
      <c r="D6249" t="s">
        <v>16854</v>
      </c>
      <c r="E6249">
        <v>5897</v>
      </c>
      <c r="F6249" t="s">
        <v>23479</v>
      </c>
      <c r="G6249">
        <v>4</v>
      </c>
      <c r="H6249" t="s">
        <v>20792</v>
      </c>
      <c r="J6249" t="s">
        <v>20793</v>
      </c>
      <c r="K6249" t="s">
        <v>32</v>
      </c>
      <c r="L6249" t="s">
        <v>33</v>
      </c>
      <c r="M6249" t="s">
        <v>47</v>
      </c>
      <c r="N6249" t="s">
        <v>20815</v>
      </c>
      <c r="O6249" t="s">
        <v>20816</v>
      </c>
      <c r="P6249" s="2" t="s">
        <v>26</v>
      </c>
      <c r="Q6249" t="s">
        <v>50</v>
      </c>
      <c r="R6249">
        <v>90.57</v>
      </c>
      <c r="S6249">
        <v>91.18</v>
      </c>
      <c r="T6249" t="s">
        <v>20817</v>
      </c>
    </row>
    <row r="6250" spans="1:20" x14ac:dyDescent="0.25">
      <c r="A6250" s="1" t="str">
        <f>HYPERLINK("https://vegkart.atlas.vegvesen.no/#/@80033.7,6917937.6,18/hva:hva%5B0%5D%5Bfilter%5D%5B0%5D%5Boperator%5D=%21%3D&amp;hva%5B0%5D%5Bfilter%5D%5B0%5D%5Btype_id%5D=5897&amp;hva%5B0%5D%5Bfilter%5D%5B0%5D%5Bverdi%5D=&amp;hva%5B0%5D%5Bid%5D=47/når:2020-08-25", "Vegkart")</f>
        <v>Vegkart</v>
      </c>
      <c r="B6250">
        <v>760957556</v>
      </c>
      <c r="C6250">
        <v>47</v>
      </c>
      <c r="D6250" t="s">
        <v>16854</v>
      </c>
      <c r="E6250">
        <v>5897</v>
      </c>
      <c r="F6250" t="s">
        <v>23479</v>
      </c>
      <c r="G6250">
        <v>4</v>
      </c>
      <c r="H6250" t="s">
        <v>20792</v>
      </c>
      <c r="J6250" t="s">
        <v>20793</v>
      </c>
      <c r="K6250" t="s">
        <v>32</v>
      </c>
      <c r="L6250" t="s">
        <v>33</v>
      </c>
      <c r="M6250" t="s">
        <v>47</v>
      </c>
      <c r="N6250" t="s">
        <v>20818</v>
      </c>
      <c r="O6250" t="s">
        <v>20819</v>
      </c>
      <c r="P6250" s="2" t="s">
        <v>26</v>
      </c>
      <c r="Q6250" t="s">
        <v>50</v>
      </c>
      <c r="R6250">
        <v>90.15</v>
      </c>
      <c r="S6250">
        <v>90.57</v>
      </c>
      <c r="T6250" t="s">
        <v>20820</v>
      </c>
    </row>
    <row r="6251" spans="1:20" x14ac:dyDescent="0.25">
      <c r="A6251" s="1" t="str">
        <f>HYPERLINK("https://vegkart.atlas.vegvesen.no/#/@268781.0,7034052.2,18/hva:hva%5B0%5D%5Bfilter%5D%5B0%5D%5Boperator%5D=%21%3D&amp;hva%5B0%5D%5Bfilter%5D%5B0%5D%5Btype_id%5D=5897&amp;hva%5B0%5D%5Bfilter%5D%5B0%5D%5Bverdi%5D=&amp;hva%5B0%5D%5Bid%5D=47/når:2017-01-16", "Vegkart")</f>
        <v>Vegkart</v>
      </c>
      <c r="B6251">
        <v>761033468</v>
      </c>
      <c r="C6251">
        <v>47</v>
      </c>
      <c r="D6251" t="s">
        <v>16854</v>
      </c>
      <c r="E6251">
        <v>5897</v>
      </c>
      <c r="F6251" t="s">
        <v>23479</v>
      </c>
      <c r="G6251">
        <v>1</v>
      </c>
      <c r="H6251" t="s">
        <v>20821</v>
      </c>
      <c r="J6251" t="s">
        <v>20793</v>
      </c>
      <c r="K6251" t="s">
        <v>192</v>
      </c>
      <c r="L6251" t="s">
        <v>22</v>
      </c>
      <c r="M6251" t="s">
        <v>18875</v>
      </c>
      <c r="N6251" t="s">
        <v>20822</v>
      </c>
      <c r="O6251" t="s">
        <v>20823</v>
      </c>
      <c r="P6251" s="2" t="s">
        <v>26</v>
      </c>
      <c r="Q6251" t="s">
        <v>50</v>
      </c>
      <c r="R6251">
        <v>85.37</v>
      </c>
      <c r="S6251">
        <v>85.67</v>
      </c>
      <c r="T6251" t="s">
        <v>20824</v>
      </c>
    </row>
    <row r="6252" spans="1:20" x14ac:dyDescent="0.25">
      <c r="A6252" s="1" t="str">
        <f>HYPERLINK("https://vegkart.atlas.vegvesen.no/#/@30794.8,6495309.7,18/hva:hva%5B0%5D%5Bfilter%5D%5B0%5D%5Boperator%5D=%21%3D&amp;hva%5B0%5D%5Bfilter%5D%5B0%5D%5Btype_id%5D=5897&amp;hva%5B0%5D%5Bfilter%5D%5B0%5D%5Bverdi%5D=&amp;hva%5B0%5D%5Bid%5D=47/når:2017-01-19", "Vegkart")</f>
        <v>Vegkart</v>
      </c>
      <c r="B6252">
        <v>761167263</v>
      </c>
      <c r="C6252">
        <v>47</v>
      </c>
      <c r="D6252" t="s">
        <v>16854</v>
      </c>
      <c r="E6252">
        <v>5897</v>
      </c>
      <c r="F6252" t="s">
        <v>23479</v>
      </c>
      <c r="G6252">
        <v>1</v>
      </c>
      <c r="H6252" t="s">
        <v>20825</v>
      </c>
      <c r="J6252" t="s">
        <v>20793</v>
      </c>
      <c r="K6252" t="s">
        <v>86</v>
      </c>
      <c r="L6252" t="s">
        <v>33</v>
      </c>
      <c r="M6252" t="s">
        <v>5580</v>
      </c>
      <c r="N6252" t="s">
        <v>20826</v>
      </c>
      <c r="O6252" t="s">
        <v>20827</v>
      </c>
      <c r="P6252" s="2" t="s">
        <v>26</v>
      </c>
      <c r="Q6252" t="s">
        <v>50</v>
      </c>
      <c r="R6252">
        <v>82.94</v>
      </c>
      <c r="S6252">
        <v>85.13</v>
      </c>
      <c r="T6252" t="s">
        <v>20828</v>
      </c>
    </row>
    <row r="6253" spans="1:20" x14ac:dyDescent="0.25">
      <c r="A6253" s="1" t="str">
        <f>HYPERLINK("https://vegkart.atlas.vegvesen.no/#/@30835.3,6495350.2,18/hva:hva%5B0%5D%5Bfilter%5D%5B0%5D%5Boperator%5D=%21%3D&amp;hva%5B0%5D%5Bfilter%5D%5B0%5D%5Btype_id%5D=5897&amp;hva%5B0%5D%5Bfilter%5D%5B0%5D%5Bverdi%5D=&amp;hva%5B0%5D%5Bid%5D=47/når:2017-01-19", "Vegkart")</f>
        <v>Vegkart</v>
      </c>
      <c r="B6253">
        <v>761167264</v>
      </c>
      <c r="C6253">
        <v>47</v>
      </c>
      <c r="D6253" t="s">
        <v>16854</v>
      </c>
      <c r="E6253">
        <v>5897</v>
      </c>
      <c r="F6253" t="s">
        <v>23479</v>
      </c>
      <c r="G6253">
        <v>1</v>
      </c>
      <c r="H6253" t="s">
        <v>20825</v>
      </c>
      <c r="J6253" t="s">
        <v>20793</v>
      </c>
      <c r="K6253" t="s">
        <v>86</v>
      </c>
      <c r="L6253" t="s">
        <v>33</v>
      </c>
      <c r="M6253" t="s">
        <v>5580</v>
      </c>
      <c r="N6253" t="s">
        <v>20829</v>
      </c>
      <c r="O6253" t="s">
        <v>20830</v>
      </c>
      <c r="P6253" s="2" t="s">
        <v>26</v>
      </c>
      <c r="Q6253" t="s">
        <v>50</v>
      </c>
      <c r="R6253">
        <v>53.66</v>
      </c>
      <c r="S6253">
        <v>55.47</v>
      </c>
      <c r="T6253" t="s">
        <v>20831</v>
      </c>
    </row>
    <row r="6254" spans="1:20" x14ac:dyDescent="0.25">
      <c r="A6254" s="1" t="str">
        <f>HYPERLINK("https://vegkart.atlas.vegvesen.no/#/@1076752.1,7801972.6,18/hva:hva%5B0%5D%5Bfilter%5D%5B0%5D%5Boperator%5D=%21%3D&amp;hva%5B0%5D%5Bfilter%5D%5B0%5D%5Btype_id%5D=5897&amp;hva%5B0%5D%5Bfilter%5D%5B0%5D%5Bverdi%5D=&amp;hva%5B0%5D%5Bid%5D=47/når:2017-01-26", "Vegkart")</f>
        <v>Vegkart</v>
      </c>
      <c r="B6254">
        <v>761465383</v>
      </c>
      <c r="C6254">
        <v>47</v>
      </c>
      <c r="D6254" t="s">
        <v>16854</v>
      </c>
      <c r="E6254">
        <v>5897</v>
      </c>
      <c r="F6254" t="s">
        <v>23479</v>
      </c>
      <c r="G6254">
        <v>1</v>
      </c>
      <c r="H6254" t="s">
        <v>1570</v>
      </c>
      <c r="J6254" t="s">
        <v>20793</v>
      </c>
      <c r="K6254" t="s">
        <v>450</v>
      </c>
      <c r="L6254" t="s">
        <v>80</v>
      </c>
      <c r="M6254" t="s">
        <v>1571</v>
      </c>
      <c r="N6254" t="s">
        <v>20832</v>
      </c>
      <c r="O6254" t="s">
        <v>20833</v>
      </c>
      <c r="P6254" s="2" t="s">
        <v>26</v>
      </c>
      <c r="Q6254" t="s">
        <v>50</v>
      </c>
      <c r="R6254">
        <v>71.17</v>
      </c>
      <c r="S6254">
        <v>71.400000000000006</v>
      </c>
      <c r="T6254" t="s">
        <v>20834</v>
      </c>
    </row>
    <row r="6255" spans="1:20" x14ac:dyDescent="0.25">
      <c r="A6255" s="1" t="str">
        <f>HYPERLINK("https://vegkart.atlas.vegvesen.no/#/@1076846.2,7801924.2,18/hva:hva%5B0%5D%5Bfilter%5D%5B0%5D%5Boperator%5D=%21%3D&amp;hva%5B0%5D%5Bfilter%5D%5B0%5D%5Btype_id%5D=5897&amp;hva%5B0%5D%5Bfilter%5D%5B0%5D%5Bverdi%5D=&amp;hva%5B0%5D%5Bid%5D=47/når:2017-01-26", "Vegkart")</f>
        <v>Vegkart</v>
      </c>
      <c r="B6255">
        <v>761465384</v>
      </c>
      <c r="C6255">
        <v>47</v>
      </c>
      <c r="D6255" t="s">
        <v>16854</v>
      </c>
      <c r="E6255">
        <v>5897</v>
      </c>
      <c r="F6255" t="s">
        <v>23479</v>
      </c>
      <c r="G6255">
        <v>1</v>
      </c>
      <c r="H6255" t="s">
        <v>1570</v>
      </c>
      <c r="J6255" t="s">
        <v>20793</v>
      </c>
      <c r="K6255" t="s">
        <v>450</v>
      </c>
      <c r="L6255" t="s">
        <v>80</v>
      </c>
      <c r="M6255" t="s">
        <v>1571</v>
      </c>
      <c r="N6255" t="s">
        <v>20835</v>
      </c>
      <c r="O6255" t="s">
        <v>20836</v>
      </c>
      <c r="P6255" s="2" t="s">
        <v>26</v>
      </c>
      <c r="Q6255" t="s">
        <v>50</v>
      </c>
      <c r="R6255">
        <v>66.11</v>
      </c>
      <c r="S6255">
        <v>67.13</v>
      </c>
      <c r="T6255" t="s">
        <v>20837</v>
      </c>
    </row>
    <row r="6256" spans="1:20" x14ac:dyDescent="0.25">
      <c r="A6256" s="1" t="str">
        <f>HYPERLINK("https://vegkart.atlas.vegvesen.no/#/@1079493.3,7802821.7,18/hva:hva%5B0%5D%5Bfilter%5D%5B0%5D%5Boperator%5D=%21%3D&amp;hva%5B0%5D%5Bfilter%5D%5B0%5D%5Btype_id%5D=5897&amp;hva%5B0%5D%5Bfilter%5D%5B0%5D%5Bverdi%5D=&amp;hva%5B0%5D%5Bid%5D=47/når:2017-01-26", "Vegkart")</f>
        <v>Vegkart</v>
      </c>
      <c r="B6256">
        <v>761465385</v>
      </c>
      <c r="C6256">
        <v>47</v>
      </c>
      <c r="D6256" t="s">
        <v>16854</v>
      </c>
      <c r="E6256">
        <v>5897</v>
      </c>
      <c r="F6256" t="s">
        <v>23479</v>
      </c>
      <c r="G6256">
        <v>1</v>
      </c>
      <c r="H6256" t="s">
        <v>1570</v>
      </c>
      <c r="J6256" t="s">
        <v>20793</v>
      </c>
      <c r="K6256" t="s">
        <v>450</v>
      </c>
      <c r="L6256" t="s">
        <v>80</v>
      </c>
      <c r="M6256" t="s">
        <v>1571</v>
      </c>
      <c r="N6256" t="s">
        <v>20838</v>
      </c>
      <c r="O6256" t="s">
        <v>20839</v>
      </c>
      <c r="P6256" s="2" t="s">
        <v>26</v>
      </c>
      <c r="Q6256" t="s">
        <v>50</v>
      </c>
      <c r="R6256">
        <v>84.91</v>
      </c>
      <c r="S6256">
        <v>85.78</v>
      </c>
      <c r="T6256" t="s">
        <v>20840</v>
      </c>
    </row>
    <row r="6257" spans="1:20" x14ac:dyDescent="0.25">
      <c r="A6257" s="1" t="str">
        <f>HYPERLINK("https://vegkart.atlas.vegvesen.no/#/@1081303.5,7802222.1,18/hva:hva%5B0%5D%5Bfilter%5D%5B0%5D%5Boperator%5D=%21%3D&amp;hva%5B0%5D%5Bfilter%5D%5B0%5D%5Btype_id%5D=5897&amp;hva%5B0%5D%5Bfilter%5D%5B0%5D%5Bverdi%5D=&amp;hva%5B0%5D%5Bid%5D=47/når:2017-01-26", "Vegkart")</f>
        <v>Vegkart</v>
      </c>
      <c r="B6257">
        <v>761465386</v>
      </c>
      <c r="C6257">
        <v>47</v>
      </c>
      <c r="D6257" t="s">
        <v>16854</v>
      </c>
      <c r="E6257">
        <v>5897</v>
      </c>
      <c r="F6257" t="s">
        <v>23479</v>
      </c>
      <c r="G6257">
        <v>1</v>
      </c>
      <c r="H6257" t="s">
        <v>1570</v>
      </c>
      <c r="J6257" t="s">
        <v>20793</v>
      </c>
      <c r="K6257" t="s">
        <v>450</v>
      </c>
      <c r="L6257" t="s">
        <v>80</v>
      </c>
      <c r="M6257" t="s">
        <v>1571</v>
      </c>
      <c r="N6257" t="s">
        <v>20841</v>
      </c>
      <c r="O6257" t="s">
        <v>20842</v>
      </c>
      <c r="P6257" s="2" t="s">
        <v>26</v>
      </c>
      <c r="Q6257" t="s">
        <v>50</v>
      </c>
      <c r="R6257">
        <v>74.8</v>
      </c>
      <c r="S6257">
        <v>75.28</v>
      </c>
      <c r="T6257" t="s">
        <v>20843</v>
      </c>
    </row>
    <row r="6258" spans="1:20" x14ac:dyDescent="0.25">
      <c r="A6258" s="1" t="str">
        <f>HYPERLINK("https://vegkart.atlas.vegvesen.no/#/@257718.0,6786376.7,18/hva:hva%5B0%5D%5Bfilter%5D%5B0%5D%5Boperator%5D=%21%3D&amp;hva%5B0%5D%5Bfilter%5D%5B0%5D%5Btype_id%5D=5897&amp;hva%5B0%5D%5Bfilter%5D%5B0%5D%5Bverdi%5D=&amp;hva%5B0%5D%5Bid%5D=47/når:2017-02-03", "Vegkart")</f>
        <v>Vegkart</v>
      </c>
      <c r="B6258">
        <v>761990498</v>
      </c>
      <c r="C6258">
        <v>47</v>
      </c>
      <c r="D6258" t="s">
        <v>16854</v>
      </c>
      <c r="E6258">
        <v>5897</v>
      </c>
      <c r="F6258" t="s">
        <v>23479</v>
      </c>
      <c r="G6258">
        <v>1</v>
      </c>
      <c r="H6258" t="s">
        <v>20844</v>
      </c>
      <c r="J6258" t="s">
        <v>20793</v>
      </c>
      <c r="K6258" t="s">
        <v>136</v>
      </c>
      <c r="L6258" t="s">
        <v>33</v>
      </c>
      <c r="M6258" t="s">
        <v>14159</v>
      </c>
      <c r="N6258" t="s">
        <v>20845</v>
      </c>
      <c r="O6258" t="s">
        <v>20846</v>
      </c>
      <c r="P6258" s="2" t="s">
        <v>26</v>
      </c>
      <c r="Q6258" t="s">
        <v>50</v>
      </c>
      <c r="R6258">
        <v>59.66</v>
      </c>
      <c r="S6258">
        <v>62.2</v>
      </c>
      <c r="T6258" t="s">
        <v>20847</v>
      </c>
    </row>
    <row r="6259" spans="1:20" x14ac:dyDescent="0.25">
      <c r="A6259" s="1" t="str">
        <f>HYPERLINK("https://vegkart.atlas.vegvesen.no/#/@164688.5,6523034.1,18/hva:hva%5B0%5D%5Bfilter%5D%5B0%5D%5Boperator%5D=%21%3D&amp;hva%5B0%5D%5Bfilter%5D%5B0%5D%5Btype_id%5D=5897&amp;hva%5B0%5D%5Bfilter%5D%5B0%5D%5Bverdi%5D=&amp;hva%5B0%5D%5Bid%5D=47/når:2017-02-06", "Vegkart")</f>
        <v>Vegkart</v>
      </c>
      <c r="B6259">
        <v>762044961</v>
      </c>
      <c r="C6259">
        <v>47</v>
      </c>
      <c r="D6259" t="s">
        <v>16854</v>
      </c>
      <c r="E6259">
        <v>5897</v>
      </c>
      <c r="F6259" t="s">
        <v>23479</v>
      </c>
      <c r="G6259">
        <v>1</v>
      </c>
      <c r="H6259" t="s">
        <v>20848</v>
      </c>
      <c r="J6259" t="s">
        <v>20793</v>
      </c>
      <c r="K6259" t="s">
        <v>86</v>
      </c>
      <c r="L6259" t="s">
        <v>33</v>
      </c>
      <c r="M6259" t="s">
        <v>12807</v>
      </c>
      <c r="N6259" t="s">
        <v>20849</v>
      </c>
      <c r="O6259" t="s">
        <v>20850</v>
      </c>
      <c r="P6259" s="2" t="s">
        <v>26</v>
      </c>
      <c r="Q6259" t="s">
        <v>50</v>
      </c>
      <c r="R6259">
        <v>47.29</v>
      </c>
      <c r="S6259">
        <v>50.04</v>
      </c>
      <c r="T6259" t="s">
        <v>20851</v>
      </c>
    </row>
    <row r="6260" spans="1:20" x14ac:dyDescent="0.25">
      <c r="A6260" s="1" t="str">
        <f>HYPERLINK("https://vegkart.atlas.vegvesen.no/#/@164498.3,6522981.9,18/hva:hva%5B0%5D%5Bfilter%5D%5B0%5D%5Boperator%5D=%21%3D&amp;hva%5B0%5D%5Bfilter%5D%5B0%5D%5Btype_id%5D=5897&amp;hva%5B0%5D%5Bfilter%5D%5B0%5D%5Bverdi%5D=&amp;hva%5B0%5D%5Bid%5D=47/når:2017-02-06", "Vegkart")</f>
        <v>Vegkart</v>
      </c>
      <c r="B6260">
        <v>762044962</v>
      </c>
      <c r="C6260">
        <v>47</v>
      </c>
      <c r="D6260" t="s">
        <v>16854</v>
      </c>
      <c r="E6260">
        <v>5897</v>
      </c>
      <c r="F6260" t="s">
        <v>23479</v>
      </c>
      <c r="G6260">
        <v>1</v>
      </c>
      <c r="H6260" t="s">
        <v>20848</v>
      </c>
      <c r="J6260" t="s">
        <v>20793</v>
      </c>
      <c r="K6260" t="s">
        <v>86</v>
      </c>
      <c r="L6260" t="s">
        <v>33</v>
      </c>
      <c r="M6260" t="s">
        <v>12807</v>
      </c>
      <c r="N6260" t="s">
        <v>20852</v>
      </c>
      <c r="O6260" t="s">
        <v>20853</v>
      </c>
      <c r="P6260" s="2" t="s">
        <v>26</v>
      </c>
      <c r="Q6260" t="s">
        <v>50</v>
      </c>
      <c r="R6260">
        <v>65.13</v>
      </c>
      <c r="S6260">
        <v>65.459999999999994</v>
      </c>
      <c r="T6260" t="s">
        <v>20854</v>
      </c>
    </row>
    <row r="6261" spans="1:20" x14ac:dyDescent="0.25">
      <c r="A6261" s="1" t="str">
        <f>HYPERLINK("https://vegkart.atlas.vegvesen.no/#/@164409.6,6522950.2,18/hva:hva%5B0%5D%5Bfilter%5D%5B0%5D%5Boperator%5D=%21%3D&amp;hva%5B0%5D%5Bfilter%5D%5B0%5D%5Btype_id%5D=5897&amp;hva%5B0%5D%5Bfilter%5D%5B0%5D%5Bverdi%5D=&amp;hva%5B0%5D%5Bid%5D=47/når:2017-02-06", "Vegkart")</f>
        <v>Vegkart</v>
      </c>
      <c r="B6261">
        <v>762044963</v>
      </c>
      <c r="C6261">
        <v>47</v>
      </c>
      <c r="D6261" t="s">
        <v>16854</v>
      </c>
      <c r="E6261">
        <v>5897</v>
      </c>
      <c r="F6261" t="s">
        <v>23479</v>
      </c>
      <c r="G6261">
        <v>1</v>
      </c>
      <c r="H6261" t="s">
        <v>20848</v>
      </c>
      <c r="J6261" t="s">
        <v>20793</v>
      </c>
      <c r="K6261" t="s">
        <v>86</v>
      </c>
      <c r="L6261" t="s">
        <v>33</v>
      </c>
      <c r="M6261" t="s">
        <v>12807</v>
      </c>
      <c r="N6261" t="s">
        <v>20855</v>
      </c>
      <c r="O6261" t="s">
        <v>20856</v>
      </c>
      <c r="P6261" s="2" t="s">
        <v>26</v>
      </c>
      <c r="Q6261" t="s">
        <v>50</v>
      </c>
      <c r="R6261">
        <v>65.14</v>
      </c>
      <c r="S6261">
        <v>65.510000000000005</v>
      </c>
      <c r="T6261" t="s">
        <v>20857</v>
      </c>
    </row>
    <row r="6262" spans="1:20" x14ac:dyDescent="0.25">
      <c r="A6262" s="1" t="str">
        <f>HYPERLINK("https://vegkart.atlas.vegvesen.no/#/@163721.0,6522841.8,18/hva:hva%5B0%5D%5Bfilter%5D%5B0%5D%5Boperator%5D=%21%3D&amp;hva%5B0%5D%5Bfilter%5D%5B0%5D%5Btype_id%5D=5897&amp;hva%5B0%5D%5Bfilter%5D%5B0%5D%5Bverdi%5D=&amp;hva%5B0%5D%5Bid%5D=47/når:2017-02-06", "Vegkart")</f>
        <v>Vegkart</v>
      </c>
      <c r="B6262">
        <v>762044964</v>
      </c>
      <c r="C6262">
        <v>47</v>
      </c>
      <c r="D6262" t="s">
        <v>16854</v>
      </c>
      <c r="E6262">
        <v>5897</v>
      </c>
      <c r="F6262" t="s">
        <v>23479</v>
      </c>
      <c r="G6262">
        <v>1</v>
      </c>
      <c r="H6262" t="s">
        <v>20848</v>
      </c>
      <c r="J6262" t="s">
        <v>20793</v>
      </c>
      <c r="K6262" t="s">
        <v>86</v>
      </c>
      <c r="L6262" t="s">
        <v>33</v>
      </c>
      <c r="M6262" t="s">
        <v>12807</v>
      </c>
      <c r="N6262" t="s">
        <v>20858</v>
      </c>
      <c r="O6262" t="s">
        <v>20859</v>
      </c>
      <c r="P6262" s="2" t="s">
        <v>26</v>
      </c>
      <c r="Q6262" t="s">
        <v>50</v>
      </c>
      <c r="R6262">
        <v>54.59</v>
      </c>
      <c r="S6262">
        <v>55.81</v>
      </c>
      <c r="T6262" t="s">
        <v>20860</v>
      </c>
    </row>
    <row r="6263" spans="1:20" x14ac:dyDescent="0.25">
      <c r="A6263" s="1" t="str">
        <f>HYPERLINK("https://vegkart.atlas.vegvesen.no/#/@163515.8,6522800.0,18/hva:hva%5B0%5D%5Bfilter%5D%5B0%5D%5Boperator%5D=%21%3D&amp;hva%5B0%5D%5Bfilter%5D%5B0%5D%5Btype_id%5D=5897&amp;hva%5B0%5D%5Bfilter%5D%5B0%5D%5Bverdi%5D=&amp;hva%5B0%5D%5Bid%5D=47/når:2017-02-06", "Vegkart")</f>
        <v>Vegkart</v>
      </c>
      <c r="B6263">
        <v>762044965</v>
      </c>
      <c r="C6263">
        <v>47</v>
      </c>
      <c r="D6263" t="s">
        <v>16854</v>
      </c>
      <c r="E6263">
        <v>5897</v>
      </c>
      <c r="F6263" t="s">
        <v>23479</v>
      </c>
      <c r="G6263">
        <v>1</v>
      </c>
      <c r="H6263" t="s">
        <v>20848</v>
      </c>
      <c r="J6263" t="s">
        <v>20793</v>
      </c>
      <c r="K6263" t="s">
        <v>86</v>
      </c>
      <c r="L6263" t="s">
        <v>33</v>
      </c>
      <c r="M6263" t="s">
        <v>12807</v>
      </c>
      <c r="N6263" t="s">
        <v>20861</v>
      </c>
      <c r="O6263" t="s">
        <v>20862</v>
      </c>
      <c r="P6263" s="2" t="s">
        <v>26</v>
      </c>
      <c r="Q6263" t="s">
        <v>50</v>
      </c>
      <c r="R6263">
        <v>64.89</v>
      </c>
      <c r="S6263">
        <v>65.349999999999994</v>
      </c>
      <c r="T6263" t="s">
        <v>20863</v>
      </c>
    </row>
    <row r="6264" spans="1:20" x14ac:dyDescent="0.25">
      <c r="A6264" s="1" t="str">
        <f>HYPERLINK("https://vegkart.atlas.vegvesen.no/#/@163504.3,6522811.0,18/hva:hva%5B0%5D%5Bfilter%5D%5B0%5D%5Boperator%5D=%21%3D&amp;hva%5B0%5D%5Bfilter%5D%5B0%5D%5Btype_id%5D=5897&amp;hva%5B0%5D%5Bfilter%5D%5B0%5D%5Bverdi%5D=&amp;hva%5B0%5D%5Bid%5D=47/når:2017-02-06", "Vegkart")</f>
        <v>Vegkart</v>
      </c>
      <c r="B6264">
        <v>762044966</v>
      </c>
      <c r="C6264">
        <v>47</v>
      </c>
      <c r="D6264" t="s">
        <v>16854</v>
      </c>
      <c r="E6264">
        <v>5897</v>
      </c>
      <c r="F6264" t="s">
        <v>23479</v>
      </c>
      <c r="G6264">
        <v>1</v>
      </c>
      <c r="H6264" t="s">
        <v>20848</v>
      </c>
      <c r="J6264" t="s">
        <v>20793</v>
      </c>
      <c r="K6264" t="s">
        <v>86</v>
      </c>
      <c r="L6264" t="s">
        <v>33</v>
      </c>
      <c r="M6264" t="s">
        <v>12807</v>
      </c>
      <c r="N6264" t="s">
        <v>20864</v>
      </c>
      <c r="O6264" t="s">
        <v>20865</v>
      </c>
      <c r="P6264" s="2" t="s">
        <v>26</v>
      </c>
      <c r="Q6264" t="s">
        <v>50</v>
      </c>
      <c r="R6264">
        <v>55.27</v>
      </c>
      <c r="S6264">
        <v>55.46</v>
      </c>
      <c r="T6264" t="s">
        <v>20866</v>
      </c>
    </row>
    <row r="6265" spans="1:20" x14ac:dyDescent="0.25">
      <c r="A6265" s="1" t="str">
        <f>HYPERLINK("https://vegkart.atlas.vegvesen.no/#/@163131.4,6522947.7,18/hva:hva%5B0%5D%5Bfilter%5D%5B0%5D%5Boperator%5D=%21%3D&amp;hva%5B0%5D%5Bfilter%5D%5B0%5D%5Btype_id%5D=5897&amp;hva%5B0%5D%5Bfilter%5D%5B0%5D%5Bverdi%5D=&amp;hva%5B0%5D%5Bid%5D=47/når:2017-02-06", "Vegkart")</f>
        <v>Vegkart</v>
      </c>
      <c r="B6265">
        <v>762044967</v>
      </c>
      <c r="C6265">
        <v>47</v>
      </c>
      <c r="D6265" t="s">
        <v>16854</v>
      </c>
      <c r="E6265">
        <v>5897</v>
      </c>
      <c r="F6265" t="s">
        <v>23479</v>
      </c>
      <c r="G6265">
        <v>1</v>
      </c>
      <c r="H6265" t="s">
        <v>20848</v>
      </c>
      <c r="J6265" t="s">
        <v>20793</v>
      </c>
      <c r="K6265" t="s">
        <v>86</v>
      </c>
      <c r="L6265" t="s">
        <v>33</v>
      </c>
      <c r="M6265" t="s">
        <v>12807</v>
      </c>
      <c r="N6265" t="s">
        <v>20867</v>
      </c>
      <c r="O6265" t="s">
        <v>20868</v>
      </c>
      <c r="P6265" s="2" t="s">
        <v>26</v>
      </c>
      <c r="Q6265" t="s">
        <v>50</v>
      </c>
      <c r="R6265">
        <v>39.15</v>
      </c>
      <c r="S6265">
        <v>40.61</v>
      </c>
      <c r="T6265" t="s">
        <v>20869</v>
      </c>
    </row>
    <row r="6266" spans="1:20" x14ac:dyDescent="0.25">
      <c r="A6266" s="1" t="str">
        <f>HYPERLINK("https://vegkart.atlas.vegvesen.no/#/@163078.3,6522939.1,18/hva:hva%5B0%5D%5Bfilter%5D%5B0%5D%5Boperator%5D=%21%3D&amp;hva%5B0%5D%5Bfilter%5D%5B0%5D%5Btype_id%5D=5897&amp;hva%5B0%5D%5Bfilter%5D%5B0%5D%5Bverdi%5D=&amp;hva%5B0%5D%5Bid%5D=47/når:2017-02-06", "Vegkart")</f>
        <v>Vegkart</v>
      </c>
      <c r="B6266">
        <v>762044968</v>
      </c>
      <c r="C6266">
        <v>47</v>
      </c>
      <c r="D6266" t="s">
        <v>16854</v>
      </c>
      <c r="E6266">
        <v>5897</v>
      </c>
      <c r="F6266" t="s">
        <v>23479</v>
      </c>
      <c r="G6266">
        <v>1</v>
      </c>
      <c r="H6266" t="s">
        <v>20848</v>
      </c>
      <c r="J6266" t="s">
        <v>20793</v>
      </c>
      <c r="K6266" t="s">
        <v>86</v>
      </c>
      <c r="L6266" t="s">
        <v>33</v>
      </c>
      <c r="M6266" t="s">
        <v>12807</v>
      </c>
      <c r="N6266" t="s">
        <v>20870</v>
      </c>
      <c r="O6266" t="s">
        <v>20871</v>
      </c>
      <c r="P6266" s="2" t="s">
        <v>26</v>
      </c>
      <c r="Q6266" t="s">
        <v>50</v>
      </c>
      <c r="R6266">
        <v>50.03</v>
      </c>
      <c r="S6266">
        <v>50.61</v>
      </c>
      <c r="T6266" t="s">
        <v>20872</v>
      </c>
    </row>
    <row r="6267" spans="1:20" x14ac:dyDescent="0.25">
      <c r="A6267" s="1" t="str">
        <f>HYPERLINK("https://vegkart.atlas.vegvesen.no/#/@265262.9,6627649.0,18/hva:hva%5B0%5D%5Bfilter%5D%5B0%5D%5Boperator%5D=%21%3D&amp;hva%5B0%5D%5Bfilter%5D%5B0%5D%5Btype_id%5D=5897&amp;hva%5B0%5D%5Bfilter%5D%5B0%5D%5Bverdi%5D=&amp;hva%5B0%5D%5Bid%5D=47/når:2016-12-01", "Vegkart")</f>
        <v>Vegkart</v>
      </c>
      <c r="B6267">
        <v>762083648</v>
      </c>
      <c r="C6267">
        <v>47</v>
      </c>
      <c r="D6267" t="s">
        <v>16854</v>
      </c>
      <c r="E6267">
        <v>5897</v>
      </c>
      <c r="F6267" t="s">
        <v>23479</v>
      </c>
      <c r="G6267">
        <v>1</v>
      </c>
      <c r="H6267" t="s">
        <v>6957</v>
      </c>
      <c r="J6267" t="s">
        <v>20793</v>
      </c>
      <c r="K6267" t="s">
        <v>132</v>
      </c>
      <c r="L6267" t="s">
        <v>33</v>
      </c>
      <c r="M6267" t="s">
        <v>11883</v>
      </c>
      <c r="N6267" t="s">
        <v>20873</v>
      </c>
      <c r="O6267" t="s">
        <v>20874</v>
      </c>
      <c r="P6267" s="2" t="s">
        <v>26</v>
      </c>
      <c r="Q6267" t="s">
        <v>50</v>
      </c>
      <c r="R6267">
        <v>42.19</v>
      </c>
      <c r="S6267">
        <v>42.19</v>
      </c>
      <c r="T6267" t="s">
        <v>20875</v>
      </c>
    </row>
    <row r="6268" spans="1:20" x14ac:dyDescent="0.25">
      <c r="A6268" s="1" t="str">
        <f>HYPERLINK("https://vegkart.atlas.vegvesen.no/#/@213885.1,6640545.7,18/hva:hva%5B0%5D%5Bfilter%5D%5B0%5D%5Boperator%5D=%21%3D&amp;hva%5B0%5D%5Bfilter%5D%5B0%5D%5Btype_id%5D=5897&amp;hva%5B0%5D%5Bfilter%5D%5B0%5D%5Bverdi%5D=&amp;hva%5B0%5D%5Bid%5D=47/når:2020-01-22", "Vegkart")</f>
        <v>Vegkart</v>
      </c>
      <c r="B6268">
        <v>763219633</v>
      </c>
      <c r="C6268">
        <v>47</v>
      </c>
      <c r="D6268" t="s">
        <v>16854</v>
      </c>
      <c r="E6268">
        <v>5897</v>
      </c>
      <c r="F6268" t="s">
        <v>23479</v>
      </c>
      <c r="G6268">
        <v>2</v>
      </c>
      <c r="H6268" t="s">
        <v>20876</v>
      </c>
      <c r="J6268" t="s">
        <v>20793</v>
      </c>
      <c r="K6268" t="s">
        <v>307</v>
      </c>
      <c r="L6268" t="s">
        <v>113</v>
      </c>
      <c r="M6268" t="s">
        <v>5036</v>
      </c>
      <c r="N6268" t="s">
        <v>20877</v>
      </c>
      <c r="O6268" t="s">
        <v>20878</v>
      </c>
      <c r="P6268" s="2" t="s">
        <v>26</v>
      </c>
      <c r="Q6268" t="s">
        <v>50</v>
      </c>
      <c r="R6268">
        <v>52.07</v>
      </c>
      <c r="S6268">
        <v>52.07</v>
      </c>
      <c r="T6268" t="s">
        <v>20879</v>
      </c>
    </row>
    <row r="6269" spans="1:20" x14ac:dyDescent="0.25">
      <c r="A6269" s="1" t="str">
        <f>HYPERLINK("https://vegkart.atlas.vegvesen.no/#/@288469.6,6667351.7,18/hva:hva%5B0%5D%5Bfilter%5D%5B0%5D%5Boperator%5D=%21%3D&amp;hva%5B0%5D%5Bfilter%5D%5B0%5D%5Btype_id%5D=5897&amp;hva%5B0%5D%5Bfilter%5D%5B0%5D%5Bverdi%5D=&amp;hva%5B0%5D%5Bid%5D=47/når:2017-02-17", "Vegkart")</f>
        <v>Vegkart</v>
      </c>
      <c r="B6269">
        <v>763686067</v>
      </c>
      <c r="C6269">
        <v>47</v>
      </c>
      <c r="D6269" t="s">
        <v>16854</v>
      </c>
      <c r="E6269">
        <v>5897</v>
      </c>
      <c r="F6269" t="s">
        <v>23479</v>
      </c>
      <c r="G6269">
        <v>1</v>
      </c>
      <c r="H6269" t="s">
        <v>20880</v>
      </c>
      <c r="J6269" t="s">
        <v>20793</v>
      </c>
      <c r="K6269" t="s">
        <v>132</v>
      </c>
      <c r="L6269" t="s">
        <v>33</v>
      </c>
      <c r="M6269" t="s">
        <v>20881</v>
      </c>
      <c r="N6269" t="s">
        <v>20882</v>
      </c>
      <c r="O6269" t="s">
        <v>20883</v>
      </c>
      <c r="P6269" s="2" t="s">
        <v>26</v>
      </c>
      <c r="Q6269" t="s">
        <v>50</v>
      </c>
      <c r="R6269">
        <v>25.35</v>
      </c>
      <c r="S6269">
        <v>26.26</v>
      </c>
      <c r="T6269" t="s">
        <v>20884</v>
      </c>
    </row>
    <row r="6270" spans="1:20" x14ac:dyDescent="0.25">
      <c r="A6270" s="1" t="str">
        <f>HYPERLINK("https://vegkart.atlas.vegvesen.no/#/@805492.0,7787377.7,18/hva:hva%5B0%5D%5Bfilter%5D%5B0%5D%5Boperator%5D=%21%3D&amp;hva%5B0%5D%5Bfilter%5D%5B0%5D%5Btype_id%5D=5897&amp;hva%5B0%5D%5Bfilter%5D%5B0%5D%5Bverdi%5D=&amp;hva%5B0%5D%5Bid%5D=47/når:2017-02-27", "Vegkart")</f>
        <v>Vegkart</v>
      </c>
      <c r="B6270">
        <v>763869318</v>
      </c>
      <c r="C6270">
        <v>47</v>
      </c>
      <c r="D6270" t="s">
        <v>16854</v>
      </c>
      <c r="E6270">
        <v>5897</v>
      </c>
      <c r="F6270" t="s">
        <v>23479</v>
      </c>
      <c r="G6270">
        <v>1</v>
      </c>
      <c r="H6270" t="s">
        <v>20885</v>
      </c>
      <c r="J6270" t="s">
        <v>20793</v>
      </c>
      <c r="K6270" t="s">
        <v>450</v>
      </c>
      <c r="L6270" t="s">
        <v>80</v>
      </c>
      <c r="M6270" t="s">
        <v>105</v>
      </c>
      <c r="N6270" t="s">
        <v>20886</v>
      </c>
      <c r="O6270" t="s">
        <v>20887</v>
      </c>
      <c r="P6270" s="2" t="s">
        <v>26</v>
      </c>
      <c r="Q6270" t="s">
        <v>50</v>
      </c>
      <c r="R6270">
        <v>76.489999999999995</v>
      </c>
      <c r="S6270">
        <v>82.93</v>
      </c>
      <c r="T6270" t="s">
        <v>20888</v>
      </c>
    </row>
    <row r="6271" spans="1:20" x14ac:dyDescent="0.25">
      <c r="A6271" s="1" t="str">
        <f>HYPERLINK("https://vegkart.atlas.vegvesen.no/#/@804773.8,7788274.8,18/hva:hva%5B0%5D%5Bfilter%5D%5B0%5D%5Boperator%5D=%21%3D&amp;hva%5B0%5D%5Bfilter%5D%5B0%5D%5Btype_id%5D=5897&amp;hva%5B0%5D%5Bfilter%5D%5B0%5D%5Bverdi%5D=&amp;hva%5B0%5D%5Bid%5D=47/når:2018-10-22", "Vegkart")</f>
        <v>Vegkart</v>
      </c>
      <c r="B6271">
        <v>763869319</v>
      </c>
      <c r="C6271">
        <v>47</v>
      </c>
      <c r="D6271" t="s">
        <v>16854</v>
      </c>
      <c r="E6271">
        <v>5897</v>
      </c>
      <c r="F6271" t="s">
        <v>23479</v>
      </c>
      <c r="G6271">
        <v>2</v>
      </c>
      <c r="H6271" t="s">
        <v>15421</v>
      </c>
      <c r="J6271" t="s">
        <v>20793</v>
      </c>
      <c r="K6271" t="s">
        <v>450</v>
      </c>
      <c r="L6271" t="s">
        <v>80</v>
      </c>
      <c r="M6271" t="s">
        <v>105</v>
      </c>
      <c r="N6271" t="s">
        <v>20889</v>
      </c>
      <c r="O6271" t="s">
        <v>20890</v>
      </c>
      <c r="P6271" s="2" t="s">
        <v>26</v>
      </c>
      <c r="Q6271" t="s">
        <v>50</v>
      </c>
      <c r="R6271">
        <v>75.64</v>
      </c>
      <c r="S6271">
        <v>81.16</v>
      </c>
      <c r="T6271" t="s">
        <v>20891</v>
      </c>
    </row>
    <row r="6272" spans="1:20" x14ac:dyDescent="0.25">
      <c r="A6272" s="1" t="str">
        <f>HYPERLINK("https://vegkart.atlas.vegvesen.no/#/@804117.5,7789135.4,18/hva:hva%5B0%5D%5Bfilter%5D%5B0%5D%5Boperator%5D=%21%3D&amp;hva%5B0%5D%5Bfilter%5D%5B0%5D%5Btype_id%5D=5897&amp;hva%5B0%5D%5Bfilter%5D%5B0%5D%5Bverdi%5D=&amp;hva%5B0%5D%5Bid%5D=47/når:2018-10-22", "Vegkart")</f>
        <v>Vegkart</v>
      </c>
      <c r="B6272">
        <v>763869320</v>
      </c>
      <c r="C6272">
        <v>47</v>
      </c>
      <c r="D6272" t="s">
        <v>16854</v>
      </c>
      <c r="E6272">
        <v>5897</v>
      </c>
      <c r="F6272" t="s">
        <v>23479</v>
      </c>
      <c r="G6272">
        <v>2</v>
      </c>
      <c r="H6272" t="s">
        <v>15421</v>
      </c>
      <c r="J6272" t="s">
        <v>20793</v>
      </c>
      <c r="K6272" t="s">
        <v>450</v>
      </c>
      <c r="L6272" t="s">
        <v>80</v>
      </c>
      <c r="M6272" t="s">
        <v>105</v>
      </c>
      <c r="N6272" t="s">
        <v>20892</v>
      </c>
      <c r="O6272" t="s">
        <v>20893</v>
      </c>
      <c r="P6272" s="2" t="s">
        <v>26</v>
      </c>
      <c r="Q6272" t="s">
        <v>50</v>
      </c>
      <c r="R6272">
        <v>71.16</v>
      </c>
      <c r="S6272">
        <v>78.39</v>
      </c>
      <c r="T6272" t="s">
        <v>20894</v>
      </c>
    </row>
    <row r="6273" spans="1:20" x14ac:dyDescent="0.25">
      <c r="A6273" s="1" t="str">
        <f>HYPERLINK("https://vegkart.atlas.vegvesen.no/#/@803581.0,7789152.3,18/hva:hva%5B0%5D%5Bfilter%5D%5B0%5D%5Boperator%5D=%21%3D&amp;hva%5B0%5D%5Bfilter%5D%5B0%5D%5Btype_id%5D=5897&amp;hva%5B0%5D%5Bfilter%5D%5B0%5D%5Bverdi%5D=&amp;hva%5B0%5D%5Bid%5D=47/når:2018-10-22", "Vegkart")</f>
        <v>Vegkart</v>
      </c>
      <c r="B6273">
        <v>763869321</v>
      </c>
      <c r="C6273">
        <v>47</v>
      </c>
      <c r="D6273" t="s">
        <v>16854</v>
      </c>
      <c r="E6273">
        <v>5897</v>
      </c>
      <c r="F6273" t="s">
        <v>23479</v>
      </c>
      <c r="G6273">
        <v>2</v>
      </c>
      <c r="H6273" t="s">
        <v>15421</v>
      </c>
      <c r="J6273" t="s">
        <v>20793</v>
      </c>
      <c r="K6273" t="s">
        <v>450</v>
      </c>
      <c r="L6273" t="s">
        <v>80</v>
      </c>
      <c r="M6273" t="s">
        <v>105</v>
      </c>
      <c r="N6273" t="s">
        <v>20895</v>
      </c>
      <c r="O6273" t="s">
        <v>20896</v>
      </c>
      <c r="P6273" s="2" t="s">
        <v>26</v>
      </c>
      <c r="Q6273" t="s">
        <v>50</v>
      </c>
      <c r="R6273">
        <v>78.67</v>
      </c>
      <c r="S6273">
        <v>79.97</v>
      </c>
      <c r="T6273" t="s">
        <v>20897</v>
      </c>
    </row>
    <row r="6274" spans="1:20" x14ac:dyDescent="0.25">
      <c r="A6274" s="1" t="str">
        <f>HYPERLINK("https://vegkart.atlas.vegvesen.no/#/@803635.2,7789174.6,18/hva:hva%5B0%5D%5Bfilter%5D%5B0%5D%5Boperator%5D=%21%3D&amp;hva%5B0%5D%5Bfilter%5D%5B0%5D%5Btype_id%5D=5897&amp;hva%5B0%5D%5Bfilter%5D%5B0%5D%5Bverdi%5D=&amp;hva%5B0%5D%5Bid%5D=47/når:2018-10-22", "Vegkart")</f>
        <v>Vegkart</v>
      </c>
      <c r="B6274">
        <v>763869322</v>
      </c>
      <c r="C6274">
        <v>47</v>
      </c>
      <c r="D6274" t="s">
        <v>16854</v>
      </c>
      <c r="E6274">
        <v>5897</v>
      </c>
      <c r="F6274" t="s">
        <v>23479</v>
      </c>
      <c r="G6274">
        <v>2</v>
      </c>
      <c r="H6274" t="s">
        <v>15421</v>
      </c>
      <c r="J6274" t="s">
        <v>20793</v>
      </c>
      <c r="K6274" t="s">
        <v>450</v>
      </c>
      <c r="L6274" t="s">
        <v>80</v>
      </c>
      <c r="M6274" t="s">
        <v>105</v>
      </c>
      <c r="N6274" t="s">
        <v>20898</v>
      </c>
      <c r="O6274" t="s">
        <v>20899</v>
      </c>
      <c r="P6274" s="2" t="s">
        <v>26</v>
      </c>
      <c r="Q6274" t="s">
        <v>50</v>
      </c>
      <c r="R6274">
        <v>73.55</v>
      </c>
      <c r="S6274">
        <v>73.599999999999994</v>
      </c>
      <c r="T6274" t="s">
        <v>20900</v>
      </c>
    </row>
    <row r="6275" spans="1:20" x14ac:dyDescent="0.25">
      <c r="A6275" s="1" t="str">
        <f>HYPERLINK("https://vegkart.atlas.vegvesen.no/#/@808498.4,7784462.9,18/hva:hva%5B0%5D%5Bfilter%5D%5B0%5D%5Boperator%5D=%21%3D&amp;hva%5B0%5D%5Bfilter%5D%5B0%5D%5Btype_id%5D=5897&amp;hva%5B0%5D%5Bfilter%5D%5B0%5D%5Bverdi%5D=&amp;hva%5B0%5D%5Bid%5D=47/når:2018-10-22", "Vegkart")</f>
        <v>Vegkart</v>
      </c>
      <c r="B6275">
        <v>764107214</v>
      </c>
      <c r="C6275">
        <v>47</v>
      </c>
      <c r="D6275" t="s">
        <v>16854</v>
      </c>
      <c r="E6275">
        <v>5897</v>
      </c>
      <c r="F6275" t="s">
        <v>23479</v>
      </c>
      <c r="G6275">
        <v>2</v>
      </c>
      <c r="H6275" t="s">
        <v>15421</v>
      </c>
      <c r="J6275" t="s">
        <v>20793</v>
      </c>
      <c r="K6275" t="s">
        <v>450</v>
      </c>
      <c r="L6275" t="s">
        <v>80</v>
      </c>
      <c r="M6275" t="s">
        <v>105</v>
      </c>
      <c r="N6275" t="s">
        <v>20901</v>
      </c>
      <c r="O6275" t="s">
        <v>20902</v>
      </c>
      <c r="P6275" s="2" t="s">
        <v>26</v>
      </c>
      <c r="Q6275" t="s">
        <v>50</v>
      </c>
      <c r="R6275">
        <v>79.180000000000007</v>
      </c>
      <c r="S6275">
        <v>79.41</v>
      </c>
      <c r="T6275" t="s">
        <v>20903</v>
      </c>
    </row>
    <row r="6276" spans="1:20" x14ac:dyDescent="0.25">
      <c r="A6276" s="1" t="str">
        <f>HYPERLINK("https://vegkart.atlas.vegvesen.no/#/@808954.3,7783348.9,18/hva:hva%5B0%5D%5Bfilter%5D%5B0%5D%5Boperator%5D=%21%3D&amp;hva%5B0%5D%5Bfilter%5D%5B0%5D%5Btype_id%5D=5897&amp;hva%5B0%5D%5Bfilter%5D%5B0%5D%5Bverdi%5D=&amp;hva%5B0%5D%5Bid%5D=47/når:2018-10-22", "Vegkart")</f>
        <v>Vegkart</v>
      </c>
      <c r="B6276">
        <v>764107215</v>
      </c>
      <c r="C6276">
        <v>47</v>
      </c>
      <c r="D6276" t="s">
        <v>16854</v>
      </c>
      <c r="E6276">
        <v>5897</v>
      </c>
      <c r="F6276" t="s">
        <v>23479</v>
      </c>
      <c r="G6276">
        <v>2</v>
      </c>
      <c r="H6276" t="s">
        <v>15421</v>
      </c>
      <c r="J6276" t="s">
        <v>20793</v>
      </c>
      <c r="K6276" t="s">
        <v>450</v>
      </c>
      <c r="L6276" t="s">
        <v>80</v>
      </c>
      <c r="M6276" t="s">
        <v>105</v>
      </c>
      <c r="N6276" t="s">
        <v>20904</v>
      </c>
      <c r="O6276" t="s">
        <v>20905</v>
      </c>
      <c r="P6276" s="2" t="s">
        <v>26</v>
      </c>
      <c r="Q6276" t="s">
        <v>50</v>
      </c>
      <c r="R6276">
        <v>76.77</v>
      </c>
      <c r="S6276">
        <v>77.45</v>
      </c>
      <c r="T6276" t="s">
        <v>20906</v>
      </c>
    </row>
    <row r="6277" spans="1:20" x14ac:dyDescent="0.25">
      <c r="A6277" s="1" t="str">
        <f>HYPERLINK("https://vegkart.atlas.vegvesen.no/#/@805651.5,7787243.1,18/hva:hva%5B0%5D%5Bfilter%5D%5B0%5D%5Boperator%5D=%21%3D&amp;hva%5B0%5D%5Bfilter%5D%5B0%5D%5Btype_id%5D=5897&amp;hva%5B0%5D%5Bfilter%5D%5B0%5D%5Bverdi%5D=&amp;hva%5B0%5D%5Bid%5D=47/når:2018-10-22", "Vegkart")</f>
        <v>Vegkart</v>
      </c>
      <c r="B6277">
        <v>764107216</v>
      </c>
      <c r="C6277">
        <v>47</v>
      </c>
      <c r="D6277" t="s">
        <v>16854</v>
      </c>
      <c r="E6277">
        <v>5897</v>
      </c>
      <c r="F6277" t="s">
        <v>23479</v>
      </c>
      <c r="G6277">
        <v>2</v>
      </c>
      <c r="H6277" t="s">
        <v>15421</v>
      </c>
      <c r="J6277" t="s">
        <v>20793</v>
      </c>
      <c r="K6277" t="s">
        <v>450</v>
      </c>
      <c r="L6277" t="s">
        <v>80</v>
      </c>
      <c r="M6277" t="s">
        <v>105</v>
      </c>
      <c r="N6277" t="s">
        <v>20907</v>
      </c>
      <c r="O6277" t="s">
        <v>20908</v>
      </c>
      <c r="P6277" s="2" t="s">
        <v>26</v>
      </c>
      <c r="Q6277" t="s">
        <v>50</v>
      </c>
      <c r="R6277">
        <v>83.13</v>
      </c>
      <c r="S6277">
        <v>84.36</v>
      </c>
      <c r="T6277" t="s">
        <v>20909</v>
      </c>
    </row>
    <row r="6278" spans="1:20" x14ac:dyDescent="0.25">
      <c r="A6278" s="1" t="str">
        <f>HYPERLINK("https://vegkart.atlas.vegvesen.no/#/@806031.4,7787115.6,18/hva:hva%5B0%5D%5Bfilter%5D%5B0%5D%5Boperator%5D=%21%3D&amp;hva%5B0%5D%5Bfilter%5D%5B0%5D%5Btype_id%5D=5897&amp;hva%5B0%5D%5Bfilter%5D%5B0%5D%5Bverdi%5D=&amp;hva%5B0%5D%5Bid%5D=47/når:2018-10-22", "Vegkart")</f>
        <v>Vegkart</v>
      </c>
      <c r="B6278">
        <v>764107217</v>
      </c>
      <c r="C6278">
        <v>47</v>
      </c>
      <c r="D6278" t="s">
        <v>16854</v>
      </c>
      <c r="E6278">
        <v>5897</v>
      </c>
      <c r="F6278" t="s">
        <v>23479</v>
      </c>
      <c r="G6278">
        <v>2</v>
      </c>
      <c r="H6278" t="s">
        <v>15421</v>
      </c>
      <c r="J6278" t="s">
        <v>20793</v>
      </c>
      <c r="K6278" t="s">
        <v>450</v>
      </c>
      <c r="L6278" t="s">
        <v>80</v>
      </c>
      <c r="M6278" t="s">
        <v>105</v>
      </c>
      <c r="N6278" t="s">
        <v>20910</v>
      </c>
      <c r="O6278" t="s">
        <v>20911</v>
      </c>
      <c r="P6278" s="2" t="s">
        <v>26</v>
      </c>
      <c r="Q6278" t="s">
        <v>50</v>
      </c>
      <c r="R6278">
        <v>75.52</v>
      </c>
      <c r="S6278">
        <v>75.86</v>
      </c>
      <c r="T6278" t="s">
        <v>20912</v>
      </c>
    </row>
    <row r="6279" spans="1:20" x14ac:dyDescent="0.25">
      <c r="A6279" s="1" t="str">
        <f>HYPERLINK("https://vegkart.atlas.vegvesen.no/#/@806441.5,7787118.8,18/hva:hva%5B0%5D%5Bfilter%5D%5B0%5D%5Boperator%5D=%21%3D&amp;hva%5B0%5D%5Bfilter%5D%5B0%5D%5Btype_id%5D=5897&amp;hva%5B0%5D%5Bfilter%5D%5B0%5D%5Bverdi%5D=&amp;hva%5B0%5D%5Bid%5D=47/når:2018-10-22", "Vegkart")</f>
        <v>Vegkart</v>
      </c>
      <c r="B6279">
        <v>764107218</v>
      </c>
      <c r="C6279">
        <v>47</v>
      </c>
      <c r="D6279" t="s">
        <v>16854</v>
      </c>
      <c r="E6279">
        <v>5897</v>
      </c>
      <c r="F6279" t="s">
        <v>23479</v>
      </c>
      <c r="G6279">
        <v>2</v>
      </c>
      <c r="H6279" t="s">
        <v>15421</v>
      </c>
      <c r="J6279" t="s">
        <v>20793</v>
      </c>
      <c r="K6279" t="s">
        <v>450</v>
      </c>
      <c r="L6279" t="s">
        <v>80</v>
      </c>
      <c r="M6279" t="s">
        <v>105</v>
      </c>
      <c r="N6279" t="s">
        <v>20913</v>
      </c>
      <c r="O6279" t="s">
        <v>20914</v>
      </c>
      <c r="P6279" s="2" t="s">
        <v>26</v>
      </c>
      <c r="Q6279" t="s">
        <v>50</v>
      </c>
      <c r="R6279">
        <v>75.44</v>
      </c>
      <c r="S6279">
        <v>75.77</v>
      </c>
      <c r="T6279" t="s">
        <v>20915</v>
      </c>
    </row>
    <row r="6280" spans="1:20" x14ac:dyDescent="0.25">
      <c r="A6280" s="1" t="str">
        <f>HYPERLINK("https://vegkart.atlas.vegvesen.no/#/@806912.3,7787258.4,18/hva:hva%5B0%5D%5Bfilter%5D%5B0%5D%5Boperator%5D=%21%3D&amp;hva%5B0%5D%5Bfilter%5D%5B0%5D%5Btype_id%5D=5897&amp;hva%5B0%5D%5Bfilter%5D%5B0%5D%5Bverdi%5D=&amp;hva%5B0%5D%5Bid%5D=47/når:2018-10-22", "Vegkart")</f>
        <v>Vegkart</v>
      </c>
      <c r="B6280">
        <v>764107219</v>
      </c>
      <c r="C6280">
        <v>47</v>
      </c>
      <c r="D6280" t="s">
        <v>16854</v>
      </c>
      <c r="E6280">
        <v>5897</v>
      </c>
      <c r="F6280" t="s">
        <v>23479</v>
      </c>
      <c r="G6280">
        <v>2</v>
      </c>
      <c r="H6280" t="s">
        <v>15421</v>
      </c>
      <c r="J6280" t="s">
        <v>20793</v>
      </c>
      <c r="K6280" t="s">
        <v>450</v>
      </c>
      <c r="L6280" t="s">
        <v>80</v>
      </c>
      <c r="M6280" t="s">
        <v>105</v>
      </c>
      <c r="N6280" t="s">
        <v>20916</v>
      </c>
      <c r="O6280" t="s">
        <v>20917</v>
      </c>
      <c r="P6280" s="2" t="s">
        <v>26</v>
      </c>
      <c r="Q6280" t="s">
        <v>50</v>
      </c>
      <c r="R6280">
        <v>75.41</v>
      </c>
      <c r="S6280">
        <v>75.77</v>
      </c>
      <c r="T6280" t="s">
        <v>20918</v>
      </c>
    </row>
    <row r="6281" spans="1:20" x14ac:dyDescent="0.25">
      <c r="A6281" s="1" t="str">
        <f>HYPERLINK("https://vegkart.atlas.vegvesen.no/#/@807409.8,7787216.7,18/hva:hva%5B0%5D%5Bfilter%5D%5B0%5D%5Boperator%5D=%21%3D&amp;hva%5B0%5D%5Bfilter%5D%5B0%5D%5Btype_id%5D=5897&amp;hva%5B0%5D%5Bfilter%5D%5B0%5D%5Bverdi%5D=&amp;hva%5B0%5D%5Bid%5D=47/når:2018-10-22", "Vegkart")</f>
        <v>Vegkart</v>
      </c>
      <c r="B6281">
        <v>764107220</v>
      </c>
      <c r="C6281">
        <v>47</v>
      </c>
      <c r="D6281" t="s">
        <v>16854</v>
      </c>
      <c r="E6281">
        <v>5897</v>
      </c>
      <c r="F6281" t="s">
        <v>23479</v>
      </c>
      <c r="G6281">
        <v>2</v>
      </c>
      <c r="H6281" t="s">
        <v>15421</v>
      </c>
      <c r="J6281" t="s">
        <v>20793</v>
      </c>
      <c r="K6281" t="s">
        <v>450</v>
      </c>
      <c r="L6281" t="s">
        <v>80</v>
      </c>
      <c r="M6281" t="s">
        <v>105</v>
      </c>
      <c r="N6281" t="s">
        <v>20919</v>
      </c>
      <c r="O6281" t="s">
        <v>20920</v>
      </c>
      <c r="P6281" s="2" t="s">
        <v>26</v>
      </c>
      <c r="Q6281" t="s">
        <v>50</v>
      </c>
      <c r="R6281">
        <v>75.31</v>
      </c>
      <c r="S6281">
        <v>75.540000000000006</v>
      </c>
      <c r="T6281" t="s">
        <v>20921</v>
      </c>
    </row>
    <row r="6282" spans="1:20" x14ac:dyDescent="0.25">
      <c r="A6282" s="1" t="str">
        <f>HYPERLINK("https://vegkart.atlas.vegvesen.no/#/@807827.5,7787163.1,18/hva:hva%5B0%5D%5Bfilter%5D%5B0%5D%5Boperator%5D=%21%3D&amp;hva%5B0%5D%5Bfilter%5D%5B0%5D%5Btype_id%5D=5897&amp;hva%5B0%5D%5Bfilter%5D%5B0%5D%5Bverdi%5D=&amp;hva%5B0%5D%5Bid%5D=47/når:2018-10-22", "Vegkart")</f>
        <v>Vegkart</v>
      </c>
      <c r="B6282">
        <v>764107221</v>
      </c>
      <c r="C6282">
        <v>47</v>
      </c>
      <c r="D6282" t="s">
        <v>16854</v>
      </c>
      <c r="E6282">
        <v>5897</v>
      </c>
      <c r="F6282" t="s">
        <v>23479</v>
      </c>
      <c r="G6282">
        <v>2</v>
      </c>
      <c r="H6282" t="s">
        <v>15421</v>
      </c>
      <c r="J6282" t="s">
        <v>20793</v>
      </c>
      <c r="K6282" t="s">
        <v>450</v>
      </c>
      <c r="L6282" t="s">
        <v>80</v>
      </c>
      <c r="M6282" t="s">
        <v>105</v>
      </c>
      <c r="N6282" t="s">
        <v>20922</v>
      </c>
      <c r="O6282" t="s">
        <v>20923</v>
      </c>
      <c r="P6282" s="2" t="s">
        <v>26</v>
      </c>
      <c r="Q6282" t="s">
        <v>50</v>
      </c>
      <c r="R6282">
        <v>75.63</v>
      </c>
      <c r="S6282">
        <v>76.040000000000006</v>
      </c>
      <c r="T6282" t="s">
        <v>20924</v>
      </c>
    </row>
    <row r="6283" spans="1:20" x14ac:dyDescent="0.25">
      <c r="A6283" s="1" t="str">
        <f>HYPERLINK("https://vegkart.atlas.vegvesen.no/#/@808346.2,7786660.0,18/hva:hva%5B0%5D%5Bfilter%5D%5B0%5D%5Boperator%5D=%21%3D&amp;hva%5B0%5D%5Bfilter%5D%5B0%5D%5Btype_id%5D=5897&amp;hva%5B0%5D%5Bfilter%5D%5B0%5D%5Bverdi%5D=&amp;hva%5B0%5D%5Bid%5D=47/når:2018-10-22", "Vegkart")</f>
        <v>Vegkart</v>
      </c>
      <c r="B6283">
        <v>764107222</v>
      </c>
      <c r="C6283">
        <v>47</v>
      </c>
      <c r="D6283" t="s">
        <v>16854</v>
      </c>
      <c r="E6283">
        <v>5897</v>
      </c>
      <c r="F6283" t="s">
        <v>23479</v>
      </c>
      <c r="G6283">
        <v>2</v>
      </c>
      <c r="H6283" t="s">
        <v>15421</v>
      </c>
      <c r="J6283" t="s">
        <v>20793</v>
      </c>
      <c r="K6283" t="s">
        <v>450</v>
      </c>
      <c r="L6283" t="s">
        <v>80</v>
      </c>
      <c r="M6283" t="s">
        <v>105</v>
      </c>
      <c r="N6283" t="s">
        <v>20925</v>
      </c>
      <c r="O6283" t="s">
        <v>20926</v>
      </c>
      <c r="P6283" s="2" t="s">
        <v>26</v>
      </c>
      <c r="Q6283" t="s">
        <v>50</v>
      </c>
      <c r="R6283">
        <v>85.53</v>
      </c>
      <c r="S6283">
        <v>91.32</v>
      </c>
      <c r="T6283" t="s">
        <v>20927</v>
      </c>
    </row>
    <row r="6284" spans="1:20" x14ac:dyDescent="0.25">
      <c r="A6284" s="1" t="str">
        <f>HYPERLINK("https://vegkart.atlas.vegvesen.no/#/@808393.0,7784937.0,18/hva:hva%5B0%5D%5Bfilter%5D%5B0%5D%5Boperator%5D=%21%3D&amp;hva%5B0%5D%5Bfilter%5D%5B0%5D%5Btype_id%5D=5897&amp;hva%5B0%5D%5Bfilter%5D%5B0%5D%5Bverdi%5D=&amp;hva%5B0%5D%5Bid%5D=47/når:2018-10-22", "Vegkart")</f>
        <v>Vegkart</v>
      </c>
      <c r="B6284">
        <v>764107223</v>
      </c>
      <c r="C6284">
        <v>47</v>
      </c>
      <c r="D6284" t="s">
        <v>16854</v>
      </c>
      <c r="E6284">
        <v>5897</v>
      </c>
      <c r="F6284" t="s">
        <v>23479</v>
      </c>
      <c r="G6284">
        <v>2</v>
      </c>
      <c r="H6284" t="s">
        <v>15421</v>
      </c>
      <c r="J6284" t="s">
        <v>20793</v>
      </c>
      <c r="K6284" t="s">
        <v>450</v>
      </c>
      <c r="L6284" t="s">
        <v>80</v>
      </c>
      <c r="M6284" t="s">
        <v>105</v>
      </c>
      <c r="N6284" t="s">
        <v>20928</v>
      </c>
      <c r="O6284" t="s">
        <v>20929</v>
      </c>
      <c r="P6284" s="2" t="s">
        <v>26</v>
      </c>
      <c r="Q6284" t="s">
        <v>50</v>
      </c>
      <c r="R6284">
        <v>120.59</v>
      </c>
      <c r="S6284">
        <v>126.94</v>
      </c>
      <c r="T6284" t="s">
        <v>20930</v>
      </c>
    </row>
    <row r="6285" spans="1:20" x14ac:dyDescent="0.25">
      <c r="A6285" s="1" t="str">
        <f>HYPERLINK("https://vegkart.atlas.vegvesen.no/#/@808459.2,7784013.9,18/hva:hva%5B0%5D%5Bfilter%5D%5B0%5D%5Boperator%5D=%21%3D&amp;hva%5B0%5D%5Bfilter%5D%5B0%5D%5Btype_id%5D=5897&amp;hva%5B0%5D%5Bfilter%5D%5B0%5D%5Bverdi%5D=&amp;hva%5B0%5D%5Bid%5D=47/når:2018-10-22", "Vegkart")</f>
        <v>Vegkart</v>
      </c>
      <c r="B6285">
        <v>764107224</v>
      </c>
      <c r="C6285">
        <v>47</v>
      </c>
      <c r="D6285" t="s">
        <v>16854</v>
      </c>
      <c r="E6285">
        <v>5897</v>
      </c>
      <c r="F6285" t="s">
        <v>23479</v>
      </c>
      <c r="G6285">
        <v>2</v>
      </c>
      <c r="H6285" t="s">
        <v>15421</v>
      </c>
      <c r="J6285" t="s">
        <v>20793</v>
      </c>
      <c r="K6285" t="s">
        <v>450</v>
      </c>
      <c r="L6285" t="s">
        <v>80</v>
      </c>
      <c r="M6285" t="s">
        <v>105</v>
      </c>
      <c r="N6285" t="s">
        <v>20931</v>
      </c>
      <c r="O6285" t="s">
        <v>20932</v>
      </c>
      <c r="P6285" s="2" t="s">
        <v>26</v>
      </c>
      <c r="Q6285" t="s">
        <v>50</v>
      </c>
      <c r="R6285">
        <v>90.78</v>
      </c>
      <c r="S6285">
        <v>91.56</v>
      </c>
      <c r="T6285" t="s">
        <v>20933</v>
      </c>
    </row>
    <row r="6286" spans="1:20" x14ac:dyDescent="0.25">
      <c r="A6286" s="1" t="str">
        <f>HYPERLINK("https://vegkart.atlas.vegvesen.no/#/@808613.0,7783509.5,18/hva:hva%5B0%5D%5Bfilter%5D%5B0%5D%5Boperator%5D=%21%3D&amp;hva%5B0%5D%5Bfilter%5D%5B0%5D%5Btype_id%5D=5897&amp;hva%5B0%5D%5Bfilter%5D%5B0%5D%5Bverdi%5D=&amp;hva%5B0%5D%5Bid%5D=47/når:2018-10-22", "Vegkart")</f>
        <v>Vegkart</v>
      </c>
      <c r="B6286">
        <v>764107225</v>
      </c>
      <c r="C6286">
        <v>47</v>
      </c>
      <c r="D6286" t="s">
        <v>16854</v>
      </c>
      <c r="E6286">
        <v>5897</v>
      </c>
      <c r="F6286" t="s">
        <v>23479</v>
      </c>
      <c r="G6286">
        <v>2</v>
      </c>
      <c r="H6286" t="s">
        <v>15421</v>
      </c>
      <c r="J6286" t="s">
        <v>20793</v>
      </c>
      <c r="K6286" t="s">
        <v>450</v>
      </c>
      <c r="L6286" t="s">
        <v>80</v>
      </c>
      <c r="M6286" t="s">
        <v>105</v>
      </c>
      <c r="N6286" t="s">
        <v>20934</v>
      </c>
      <c r="O6286" t="s">
        <v>20935</v>
      </c>
      <c r="P6286" s="2" t="s">
        <v>26</v>
      </c>
      <c r="Q6286" t="s">
        <v>50</v>
      </c>
      <c r="R6286">
        <v>90.84</v>
      </c>
      <c r="S6286">
        <v>91.63</v>
      </c>
      <c r="T6286" t="s">
        <v>20936</v>
      </c>
    </row>
    <row r="6287" spans="1:20" x14ac:dyDescent="0.25">
      <c r="A6287" s="1" t="str">
        <f>HYPERLINK("https://vegkart.atlas.vegvesen.no/#/@808154.6,7786965.9,18/hva:hva%5B0%5D%5Bfilter%5D%5B0%5D%5Boperator%5D=%21%3D&amp;hva%5B0%5D%5Bfilter%5D%5B0%5D%5Btype_id%5D=5897&amp;hva%5B0%5D%5Bfilter%5D%5B0%5D%5Bverdi%5D=&amp;hva%5B0%5D%5Bid%5D=47/når:2018-10-22", "Vegkart")</f>
        <v>Vegkart</v>
      </c>
      <c r="B6287">
        <v>764107226</v>
      </c>
      <c r="C6287">
        <v>47</v>
      </c>
      <c r="D6287" t="s">
        <v>16854</v>
      </c>
      <c r="E6287">
        <v>5897</v>
      </c>
      <c r="F6287" t="s">
        <v>23479</v>
      </c>
      <c r="G6287">
        <v>2</v>
      </c>
      <c r="H6287" t="s">
        <v>15421</v>
      </c>
      <c r="J6287" t="s">
        <v>20793</v>
      </c>
      <c r="K6287" t="s">
        <v>450</v>
      </c>
      <c r="L6287" t="s">
        <v>80</v>
      </c>
      <c r="M6287" t="s">
        <v>105</v>
      </c>
      <c r="N6287" t="s">
        <v>20937</v>
      </c>
      <c r="O6287" t="s">
        <v>20938</v>
      </c>
      <c r="P6287" s="2" t="s">
        <v>26</v>
      </c>
      <c r="Q6287" t="s">
        <v>50</v>
      </c>
      <c r="R6287">
        <v>85.58</v>
      </c>
      <c r="S6287">
        <v>86.83</v>
      </c>
      <c r="T6287" t="s">
        <v>20939</v>
      </c>
    </row>
    <row r="6288" spans="1:20" x14ac:dyDescent="0.25">
      <c r="A6288" s="1" t="str">
        <f>HYPERLINK("https://vegkart.atlas.vegvesen.no/#/@578347.2,7626002.1,18/hva:hva%5B0%5D%5Bfilter%5D%5B0%5D%5Boperator%5D=%21%3D&amp;hva%5B0%5D%5Bfilter%5D%5B0%5D%5Btype_id%5D=5897&amp;hva%5B0%5D%5Bfilter%5D%5B0%5D%5Bverdi%5D=&amp;hva%5B0%5D%5Bid%5D=47/når:2017-03-08", "Vegkart")</f>
        <v>Vegkart</v>
      </c>
      <c r="B6288">
        <v>764292388</v>
      </c>
      <c r="C6288">
        <v>47</v>
      </c>
      <c r="D6288" t="s">
        <v>16854</v>
      </c>
      <c r="E6288">
        <v>5897</v>
      </c>
      <c r="F6288" t="s">
        <v>23479</v>
      </c>
      <c r="G6288">
        <v>1</v>
      </c>
      <c r="H6288" t="s">
        <v>20444</v>
      </c>
      <c r="J6288" t="s">
        <v>20793</v>
      </c>
      <c r="K6288" t="s">
        <v>179</v>
      </c>
      <c r="L6288" t="s">
        <v>33</v>
      </c>
      <c r="M6288" t="s">
        <v>1181</v>
      </c>
      <c r="N6288" t="s">
        <v>20940</v>
      </c>
      <c r="O6288" t="s">
        <v>20941</v>
      </c>
      <c r="P6288" s="2" t="s">
        <v>26</v>
      </c>
      <c r="Q6288" t="s">
        <v>50</v>
      </c>
      <c r="R6288">
        <v>45.36</v>
      </c>
      <c r="S6288">
        <v>45.55</v>
      </c>
      <c r="T6288" t="s">
        <v>20942</v>
      </c>
    </row>
    <row r="6289" spans="1:20" x14ac:dyDescent="0.25">
      <c r="A6289" s="1" t="str">
        <f>HYPERLINK("https://vegkart.atlas.vegvesen.no/#/@578593.8,7626070.3,18/hva:hva%5B0%5D%5Bfilter%5D%5B0%5D%5Boperator%5D=%21%3D&amp;hva%5B0%5D%5Bfilter%5D%5B0%5D%5Btype_id%5D=5897&amp;hva%5B0%5D%5Bfilter%5D%5B0%5D%5Bverdi%5D=&amp;hva%5B0%5D%5Bid%5D=47/når:2017-03-08", "Vegkart")</f>
        <v>Vegkart</v>
      </c>
      <c r="B6289">
        <v>764292389</v>
      </c>
      <c r="C6289">
        <v>47</v>
      </c>
      <c r="D6289" t="s">
        <v>16854</v>
      </c>
      <c r="E6289">
        <v>5897</v>
      </c>
      <c r="F6289" t="s">
        <v>23479</v>
      </c>
      <c r="G6289">
        <v>1</v>
      </c>
      <c r="H6289" t="s">
        <v>20444</v>
      </c>
      <c r="J6289" t="s">
        <v>20793</v>
      </c>
      <c r="K6289" t="s">
        <v>179</v>
      </c>
      <c r="L6289" t="s">
        <v>33</v>
      </c>
      <c r="M6289" t="s">
        <v>1181</v>
      </c>
      <c r="N6289" t="s">
        <v>20943</v>
      </c>
      <c r="O6289" t="s">
        <v>20944</v>
      </c>
      <c r="P6289" s="2" t="s">
        <v>26</v>
      </c>
      <c r="Q6289" t="s">
        <v>50</v>
      </c>
      <c r="R6289">
        <v>60.01</v>
      </c>
      <c r="S6289">
        <v>60.82</v>
      </c>
      <c r="T6289" t="s">
        <v>20945</v>
      </c>
    </row>
    <row r="6290" spans="1:20" x14ac:dyDescent="0.25">
      <c r="A6290" s="1" t="str">
        <f>HYPERLINK("https://vegkart.atlas.vegvesen.no/#/@578706.8,7626069.8,18/hva:hva%5B0%5D%5Bfilter%5D%5B0%5D%5Boperator%5D=%21%3D&amp;hva%5B0%5D%5Bfilter%5D%5B0%5D%5Btype_id%5D=5897&amp;hva%5B0%5D%5Bfilter%5D%5B0%5D%5Bverdi%5D=&amp;hva%5B0%5D%5Bid%5D=47/når:2017-03-08", "Vegkart")</f>
        <v>Vegkart</v>
      </c>
      <c r="B6290">
        <v>764292390</v>
      </c>
      <c r="C6290">
        <v>47</v>
      </c>
      <c r="D6290" t="s">
        <v>16854</v>
      </c>
      <c r="E6290">
        <v>5897</v>
      </c>
      <c r="F6290" t="s">
        <v>23479</v>
      </c>
      <c r="G6290">
        <v>1</v>
      </c>
      <c r="H6290" t="s">
        <v>20444</v>
      </c>
      <c r="J6290" t="s">
        <v>20793</v>
      </c>
      <c r="K6290" t="s">
        <v>179</v>
      </c>
      <c r="L6290" t="s">
        <v>33</v>
      </c>
      <c r="M6290" t="s">
        <v>1181</v>
      </c>
      <c r="N6290" t="s">
        <v>20946</v>
      </c>
      <c r="O6290" t="s">
        <v>20947</v>
      </c>
      <c r="P6290" s="2" t="s">
        <v>26</v>
      </c>
      <c r="Q6290" t="s">
        <v>50</v>
      </c>
      <c r="R6290">
        <v>81.709999999999994</v>
      </c>
      <c r="S6290">
        <v>93.41</v>
      </c>
      <c r="T6290" t="s">
        <v>20948</v>
      </c>
    </row>
    <row r="6291" spans="1:20" x14ac:dyDescent="0.25">
      <c r="A6291" s="1" t="str">
        <f>HYPERLINK("https://vegkart.atlas.vegvesen.no/#/@578966.3,7626152.5,18/hva:hva%5B0%5D%5Bfilter%5D%5B0%5D%5Boperator%5D=%21%3D&amp;hva%5B0%5D%5Bfilter%5D%5B0%5D%5Btype_id%5D=5897&amp;hva%5B0%5D%5Bfilter%5D%5B0%5D%5Bverdi%5D=&amp;hva%5B0%5D%5Bid%5D=47/når:2017-03-08", "Vegkart")</f>
        <v>Vegkart</v>
      </c>
      <c r="B6291">
        <v>764292391</v>
      </c>
      <c r="C6291">
        <v>47</v>
      </c>
      <c r="D6291" t="s">
        <v>16854</v>
      </c>
      <c r="E6291">
        <v>5897</v>
      </c>
      <c r="F6291" t="s">
        <v>23479</v>
      </c>
      <c r="G6291">
        <v>1</v>
      </c>
      <c r="H6291" t="s">
        <v>20444</v>
      </c>
      <c r="J6291" t="s">
        <v>20793</v>
      </c>
      <c r="K6291" t="s">
        <v>179</v>
      </c>
      <c r="L6291" t="s">
        <v>33</v>
      </c>
      <c r="M6291" t="s">
        <v>1181</v>
      </c>
      <c r="N6291" t="s">
        <v>20949</v>
      </c>
      <c r="O6291" t="s">
        <v>20950</v>
      </c>
      <c r="P6291" s="2" t="s">
        <v>26</v>
      </c>
      <c r="Q6291" t="s">
        <v>50</v>
      </c>
      <c r="R6291">
        <v>71.63</v>
      </c>
      <c r="S6291">
        <v>72.63</v>
      </c>
      <c r="T6291" t="s">
        <v>20951</v>
      </c>
    </row>
    <row r="6292" spans="1:20" x14ac:dyDescent="0.25">
      <c r="A6292" s="1" t="str">
        <f>HYPERLINK("https://vegkart.atlas.vegvesen.no/#/@579067.7,7626206.0,18/hva:hva%5B0%5D%5Bfilter%5D%5B0%5D%5Boperator%5D=%21%3D&amp;hva%5B0%5D%5Bfilter%5D%5B0%5D%5Btype_id%5D=5897&amp;hva%5B0%5D%5Bfilter%5D%5B0%5D%5Bverdi%5D=&amp;hva%5B0%5D%5Bid%5D=47/når:2017-03-08", "Vegkart")</f>
        <v>Vegkart</v>
      </c>
      <c r="B6292">
        <v>764292392</v>
      </c>
      <c r="C6292">
        <v>47</v>
      </c>
      <c r="D6292" t="s">
        <v>16854</v>
      </c>
      <c r="E6292">
        <v>5897</v>
      </c>
      <c r="F6292" t="s">
        <v>23479</v>
      </c>
      <c r="G6292">
        <v>1</v>
      </c>
      <c r="H6292" t="s">
        <v>20444</v>
      </c>
      <c r="J6292" t="s">
        <v>20793</v>
      </c>
      <c r="K6292" t="s">
        <v>179</v>
      </c>
      <c r="L6292" t="s">
        <v>33</v>
      </c>
      <c r="M6292" t="s">
        <v>1181</v>
      </c>
      <c r="N6292" t="s">
        <v>20952</v>
      </c>
      <c r="O6292" t="s">
        <v>20953</v>
      </c>
      <c r="P6292" s="2" t="s">
        <v>26</v>
      </c>
      <c r="Q6292" t="s">
        <v>50</v>
      </c>
      <c r="R6292">
        <v>54.11</v>
      </c>
      <c r="S6292">
        <v>55.38</v>
      </c>
      <c r="T6292" t="s">
        <v>20954</v>
      </c>
    </row>
    <row r="6293" spans="1:20" x14ac:dyDescent="0.25">
      <c r="A6293" s="1" t="str">
        <f>HYPERLINK("https://vegkart.atlas.vegvesen.no/#/@258285.7,6627194.7,18/hva:hva%5B0%5D%5Bfilter%5D%5B0%5D%5Boperator%5D=%21%3D&amp;hva%5B0%5D%5Bfilter%5D%5B0%5D%5Btype_id%5D=5897&amp;hva%5B0%5D%5Bfilter%5D%5B0%5D%5Bverdi%5D=&amp;hva%5B0%5D%5Bid%5D=47/når:2023-12-19", "Vegkart")</f>
        <v>Vegkart</v>
      </c>
      <c r="B6293">
        <v>764560194</v>
      </c>
      <c r="C6293">
        <v>47</v>
      </c>
      <c r="D6293" t="s">
        <v>16854</v>
      </c>
      <c r="E6293">
        <v>5897</v>
      </c>
      <c r="F6293" t="s">
        <v>23479</v>
      </c>
      <c r="G6293">
        <v>2</v>
      </c>
      <c r="H6293" t="s">
        <v>20955</v>
      </c>
      <c r="J6293" t="s">
        <v>20793</v>
      </c>
      <c r="K6293" t="s">
        <v>132</v>
      </c>
      <c r="L6293" t="s">
        <v>80</v>
      </c>
      <c r="M6293" t="s">
        <v>645</v>
      </c>
      <c r="N6293" t="s">
        <v>20956</v>
      </c>
      <c r="O6293" t="s">
        <v>20957</v>
      </c>
      <c r="P6293" s="2" t="s">
        <v>26</v>
      </c>
      <c r="Q6293" t="s">
        <v>50</v>
      </c>
      <c r="R6293">
        <v>25.97</v>
      </c>
      <c r="S6293">
        <v>25.97</v>
      </c>
      <c r="T6293" t="s">
        <v>20958</v>
      </c>
    </row>
    <row r="6294" spans="1:20" x14ac:dyDescent="0.25">
      <c r="A6294" s="1" t="str">
        <f>HYPERLINK("https://vegkart.atlas.vegvesen.no/#/@258076.3,6627144.2,18/hva:hva%5B0%5D%5Bfilter%5D%5B0%5D%5Boperator%5D=%21%3D&amp;hva%5B0%5D%5Bfilter%5D%5B0%5D%5Btype_id%5D=5897&amp;hva%5B0%5D%5Bfilter%5D%5B0%5D%5Bverdi%5D=&amp;hva%5B0%5D%5Bid%5D=47/når:2023-12-19", "Vegkart")</f>
        <v>Vegkart</v>
      </c>
      <c r="B6294">
        <v>764560195</v>
      </c>
      <c r="C6294">
        <v>47</v>
      </c>
      <c r="D6294" t="s">
        <v>16854</v>
      </c>
      <c r="E6294">
        <v>5897</v>
      </c>
      <c r="F6294" t="s">
        <v>23479</v>
      </c>
      <c r="G6294">
        <v>2</v>
      </c>
      <c r="H6294" t="s">
        <v>20955</v>
      </c>
      <c r="J6294" t="s">
        <v>20793</v>
      </c>
      <c r="K6294" t="s">
        <v>132</v>
      </c>
      <c r="L6294" t="s">
        <v>80</v>
      </c>
      <c r="M6294" t="s">
        <v>645</v>
      </c>
      <c r="N6294" t="s">
        <v>20959</v>
      </c>
      <c r="O6294" t="s">
        <v>20960</v>
      </c>
      <c r="P6294" s="2" t="s">
        <v>26</v>
      </c>
      <c r="Q6294" t="s">
        <v>50</v>
      </c>
      <c r="R6294">
        <v>43.97</v>
      </c>
      <c r="S6294">
        <v>43.97</v>
      </c>
      <c r="T6294" t="s">
        <v>20961</v>
      </c>
    </row>
    <row r="6295" spans="1:20" x14ac:dyDescent="0.25">
      <c r="A6295" s="1" t="str">
        <f>HYPERLINK("https://vegkart.atlas.vegvesen.no/#/@257804.0,6627060.0,18/hva:hva%5B0%5D%5Bfilter%5D%5B0%5D%5Boperator%5D=%21%3D&amp;hva%5B0%5D%5Bfilter%5D%5B0%5D%5Btype_id%5D=5897&amp;hva%5B0%5D%5Bfilter%5D%5B0%5D%5Bverdi%5D=&amp;hva%5B0%5D%5Bid%5D=47/når:2023-12-19", "Vegkart")</f>
        <v>Vegkart</v>
      </c>
      <c r="B6295">
        <v>764560196</v>
      </c>
      <c r="C6295">
        <v>47</v>
      </c>
      <c r="D6295" t="s">
        <v>16854</v>
      </c>
      <c r="E6295">
        <v>5897</v>
      </c>
      <c r="F6295" t="s">
        <v>23479</v>
      </c>
      <c r="G6295">
        <v>2</v>
      </c>
      <c r="H6295" t="s">
        <v>20955</v>
      </c>
      <c r="J6295" t="s">
        <v>20793</v>
      </c>
      <c r="K6295" t="s">
        <v>132</v>
      </c>
      <c r="L6295" t="s">
        <v>80</v>
      </c>
      <c r="M6295" t="s">
        <v>645</v>
      </c>
      <c r="N6295" t="s">
        <v>20962</v>
      </c>
      <c r="O6295" t="s">
        <v>20963</v>
      </c>
      <c r="P6295" s="2" t="s">
        <v>26</v>
      </c>
      <c r="Q6295" t="s">
        <v>50</v>
      </c>
      <c r="R6295">
        <v>30.05</v>
      </c>
      <c r="S6295">
        <v>30.05</v>
      </c>
      <c r="T6295" t="s">
        <v>20964</v>
      </c>
    </row>
    <row r="6296" spans="1:20" x14ac:dyDescent="0.25">
      <c r="A6296" s="1" t="str">
        <f>HYPERLINK("https://vegkart.atlas.vegvesen.no/#/@257567.2,6626923.0,18/hva:hva%5B0%5D%5Bfilter%5D%5B0%5D%5Boperator%5D=%21%3D&amp;hva%5B0%5D%5Bfilter%5D%5B0%5D%5Btype_id%5D=5897&amp;hva%5B0%5D%5Bfilter%5D%5B0%5D%5Bverdi%5D=&amp;hva%5B0%5D%5Bid%5D=47/når:2023-12-19", "Vegkart")</f>
        <v>Vegkart</v>
      </c>
      <c r="B6296">
        <v>764560197</v>
      </c>
      <c r="C6296">
        <v>47</v>
      </c>
      <c r="D6296" t="s">
        <v>16854</v>
      </c>
      <c r="E6296">
        <v>5897</v>
      </c>
      <c r="F6296" t="s">
        <v>23479</v>
      </c>
      <c r="G6296">
        <v>2</v>
      </c>
      <c r="H6296" t="s">
        <v>20955</v>
      </c>
      <c r="J6296" t="s">
        <v>20793</v>
      </c>
      <c r="K6296" t="s">
        <v>132</v>
      </c>
      <c r="L6296" t="s">
        <v>80</v>
      </c>
      <c r="M6296" t="s">
        <v>645</v>
      </c>
      <c r="N6296" t="s">
        <v>20965</v>
      </c>
      <c r="O6296" t="s">
        <v>20966</v>
      </c>
      <c r="P6296" s="2" t="s">
        <v>26</v>
      </c>
      <c r="Q6296" t="s">
        <v>50</v>
      </c>
      <c r="R6296">
        <v>45.94</v>
      </c>
      <c r="S6296">
        <v>45.94</v>
      </c>
      <c r="T6296" t="s">
        <v>20967</v>
      </c>
    </row>
    <row r="6297" spans="1:20" x14ac:dyDescent="0.25">
      <c r="A6297" s="1" t="str">
        <f>HYPERLINK("https://vegkart.atlas.vegvesen.no/#/@257334.7,6626793.6,18/hva:hva%5B0%5D%5Bfilter%5D%5B0%5D%5Boperator%5D=%21%3D&amp;hva%5B0%5D%5Bfilter%5D%5B0%5D%5Btype_id%5D=5897&amp;hva%5B0%5D%5Bfilter%5D%5B0%5D%5Bverdi%5D=&amp;hva%5B0%5D%5Bid%5D=47/når:2023-12-19", "Vegkart")</f>
        <v>Vegkart</v>
      </c>
      <c r="B6297">
        <v>764560198</v>
      </c>
      <c r="C6297">
        <v>47</v>
      </c>
      <c r="D6297" t="s">
        <v>16854</v>
      </c>
      <c r="E6297">
        <v>5897</v>
      </c>
      <c r="F6297" t="s">
        <v>23479</v>
      </c>
      <c r="G6297">
        <v>2</v>
      </c>
      <c r="H6297" t="s">
        <v>20955</v>
      </c>
      <c r="J6297" t="s">
        <v>20793</v>
      </c>
      <c r="K6297" t="s">
        <v>132</v>
      </c>
      <c r="L6297" t="s">
        <v>80</v>
      </c>
      <c r="M6297" t="s">
        <v>645</v>
      </c>
      <c r="N6297" t="s">
        <v>20968</v>
      </c>
      <c r="O6297" t="s">
        <v>20969</v>
      </c>
      <c r="P6297" s="2" t="s">
        <v>26</v>
      </c>
      <c r="Q6297" t="s">
        <v>50</v>
      </c>
      <c r="R6297">
        <v>29.92</v>
      </c>
      <c r="S6297">
        <v>29.92</v>
      </c>
      <c r="T6297" t="s">
        <v>20970</v>
      </c>
    </row>
    <row r="6298" spans="1:20" x14ac:dyDescent="0.25">
      <c r="A6298" s="1" t="str">
        <f>HYPERLINK("https://vegkart.atlas.vegvesen.no/#/@243740.8,6636562.3,18/hva:hva%5B0%5D%5Bfilter%5D%5B0%5D%5Boperator%5D=%21%3D&amp;hva%5B0%5D%5Bfilter%5D%5B0%5D%5Btype_id%5D=5897&amp;hva%5B0%5D%5Bfilter%5D%5B0%5D%5Bverdi%5D=&amp;hva%5B0%5D%5Bid%5D=47/når:2017-02-17", "Vegkart")</f>
        <v>Vegkart</v>
      </c>
      <c r="B6298">
        <v>764644488</v>
      </c>
      <c r="C6298">
        <v>47</v>
      </c>
      <c r="D6298" t="s">
        <v>16854</v>
      </c>
      <c r="E6298">
        <v>5897</v>
      </c>
      <c r="F6298" t="s">
        <v>23479</v>
      </c>
      <c r="G6298">
        <v>1</v>
      </c>
      <c r="H6298" t="s">
        <v>20880</v>
      </c>
      <c r="J6298" t="s">
        <v>20793</v>
      </c>
      <c r="K6298" t="s">
        <v>132</v>
      </c>
      <c r="L6298" t="s">
        <v>33</v>
      </c>
      <c r="M6298" t="s">
        <v>20971</v>
      </c>
      <c r="N6298" t="s">
        <v>20972</v>
      </c>
      <c r="O6298" t="s">
        <v>20973</v>
      </c>
      <c r="P6298" s="2" t="s">
        <v>165</v>
      </c>
      <c r="Q6298" t="s">
        <v>641</v>
      </c>
      <c r="R6298">
        <v>0</v>
      </c>
      <c r="S6298">
        <v>163.94</v>
      </c>
      <c r="T6298" t="s">
        <v>167</v>
      </c>
    </row>
    <row r="6299" spans="1:20" x14ac:dyDescent="0.25">
      <c r="A6299" s="1" t="str">
        <f>HYPERLINK("https://vegkart.atlas.vegvesen.no/#/@243731.6,6636565.1,18/hva:hva%5B0%5D%5Bfilter%5D%5B0%5D%5Boperator%5D=%21%3D&amp;hva%5B0%5D%5Bfilter%5D%5B0%5D%5Btype_id%5D=5897&amp;hva%5B0%5D%5Bfilter%5D%5B0%5D%5Bverdi%5D=&amp;hva%5B0%5D%5Bid%5D=47/når:2017-06-14", "Vegkart")</f>
        <v>Vegkart</v>
      </c>
      <c r="B6299">
        <v>764644489</v>
      </c>
      <c r="C6299">
        <v>47</v>
      </c>
      <c r="D6299" t="s">
        <v>16854</v>
      </c>
      <c r="E6299">
        <v>5897</v>
      </c>
      <c r="F6299" t="s">
        <v>23479</v>
      </c>
      <c r="G6299">
        <v>2</v>
      </c>
      <c r="H6299" t="s">
        <v>20974</v>
      </c>
      <c r="J6299" t="s">
        <v>20793</v>
      </c>
      <c r="K6299" t="s">
        <v>132</v>
      </c>
      <c r="L6299" t="s">
        <v>33</v>
      </c>
      <c r="M6299" t="s">
        <v>20971</v>
      </c>
      <c r="N6299" t="s">
        <v>20975</v>
      </c>
      <c r="O6299" t="s">
        <v>20976</v>
      </c>
      <c r="P6299" s="2" t="s">
        <v>165</v>
      </c>
      <c r="Q6299" t="s">
        <v>641</v>
      </c>
      <c r="R6299">
        <v>0</v>
      </c>
      <c r="S6299">
        <v>156.72999999999999</v>
      </c>
      <c r="T6299" t="s">
        <v>167</v>
      </c>
    </row>
    <row r="6300" spans="1:20" x14ac:dyDescent="0.25">
      <c r="A6300" s="1" t="str">
        <f>HYPERLINK("https://vegkart.atlas.vegvesen.no/#/@184690.8,6959520.1,18/hva:hva%5B0%5D%5Bfilter%5D%5B0%5D%5Boperator%5D=%21%3D&amp;hva%5B0%5D%5Bfilter%5D%5B0%5D%5Btype_id%5D=5897&amp;hva%5B0%5D%5Bfilter%5D%5B0%5D%5Bverdi%5D=&amp;hva%5B0%5D%5Bid%5D=47/når:2017-03-30", "Vegkart")</f>
        <v>Vegkart</v>
      </c>
      <c r="B6300">
        <v>765107588</v>
      </c>
      <c r="C6300">
        <v>47</v>
      </c>
      <c r="D6300" t="s">
        <v>16854</v>
      </c>
      <c r="E6300">
        <v>5897</v>
      </c>
      <c r="F6300" t="s">
        <v>23479</v>
      </c>
      <c r="G6300">
        <v>1</v>
      </c>
      <c r="H6300" t="s">
        <v>9867</v>
      </c>
      <c r="J6300" t="s">
        <v>20977</v>
      </c>
      <c r="K6300" t="s">
        <v>32</v>
      </c>
      <c r="L6300" t="s">
        <v>33</v>
      </c>
      <c r="M6300" t="s">
        <v>12001</v>
      </c>
      <c r="N6300" t="s">
        <v>20978</v>
      </c>
      <c r="O6300" t="s">
        <v>20979</v>
      </c>
      <c r="P6300" s="2" t="s">
        <v>165</v>
      </c>
      <c r="Q6300" t="s">
        <v>166</v>
      </c>
      <c r="R6300">
        <v>17.22</v>
      </c>
      <c r="S6300">
        <v>18.89</v>
      </c>
      <c r="T6300" t="s">
        <v>167</v>
      </c>
    </row>
    <row r="6301" spans="1:20" x14ac:dyDescent="0.25">
      <c r="A6301" s="1" t="str">
        <f>HYPERLINK("https://vegkart.atlas.vegvesen.no/#/@184890.1,6959420.2,18/hva:hva%5B0%5D%5Bfilter%5D%5B0%5D%5Boperator%5D=%21%3D&amp;hva%5B0%5D%5Bfilter%5D%5B0%5D%5Btype_id%5D=5897&amp;hva%5B0%5D%5Bfilter%5D%5B0%5D%5Bverdi%5D=&amp;hva%5B0%5D%5Bid%5D=47/når:2017-03-30", "Vegkart")</f>
        <v>Vegkart</v>
      </c>
      <c r="B6301">
        <v>765107589</v>
      </c>
      <c r="C6301">
        <v>47</v>
      </c>
      <c r="D6301" t="s">
        <v>16854</v>
      </c>
      <c r="E6301">
        <v>5897</v>
      </c>
      <c r="F6301" t="s">
        <v>23479</v>
      </c>
      <c r="G6301">
        <v>1</v>
      </c>
      <c r="H6301" t="s">
        <v>9867</v>
      </c>
      <c r="J6301" t="s">
        <v>20977</v>
      </c>
      <c r="K6301" t="s">
        <v>32</v>
      </c>
      <c r="L6301" t="s">
        <v>113</v>
      </c>
      <c r="M6301" t="s">
        <v>1002</v>
      </c>
      <c r="N6301" t="s">
        <v>20980</v>
      </c>
      <c r="O6301" t="s">
        <v>20981</v>
      </c>
      <c r="P6301" s="2" t="s">
        <v>26</v>
      </c>
      <c r="Q6301" t="s">
        <v>50</v>
      </c>
      <c r="R6301">
        <v>65.099999999999994</v>
      </c>
      <c r="S6301">
        <v>67.849999999999994</v>
      </c>
      <c r="T6301" t="s">
        <v>20982</v>
      </c>
    </row>
    <row r="6302" spans="1:20" x14ac:dyDescent="0.25">
      <c r="A6302" s="1" t="str">
        <f>HYPERLINK("https://vegkart.atlas.vegvesen.no/#/@184841.1,6959458.1,18/hva:hva%5B0%5D%5Bfilter%5D%5B0%5D%5Boperator%5D=%21%3D&amp;hva%5B0%5D%5Bfilter%5D%5B0%5D%5Btype_id%5D=5897&amp;hva%5B0%5D%5Bfilter%5D%5B0%5D%5Bverdi%5D=&amp;hva%5B0%5D%5Bid%5D=47/når:2017-03-30", "Vegkart")</f>
        <v>Vegkart</v>
      </c>
      <c r="B6302">
        <v>765107590</v>
      </c>
      <c r="C6302">
        <v>47</v>
      </c>
      <c r="D6302" t="s">
        <v>16854</v>
      </c>
      <c r="E6302">
        <v>5897</v>
      </c>
      <c r="F6302" t="s">
        <v>23479</v>
      </c>
      <c r="G6302">
        <v>1</v>
      </c>
      <c r="H6302" t="s">
        <v>9867</v>
      </c>
      <c r="J6302" t="s">
        <v>20977</v>
      </c>
      <c r="K6302" t="s">
        <v>32</v>
      </c>
      <c r="L6302" t="s">
        <v>113</v>
      </c>
      <c r="M6302" t="s">
        <v>1002</v>
      </c>
      <c r="N6302" t="s">
        <v>20983</v>
      </c>
      <c r="O6302" t="s">
        <v>20984</v>
      </c>
      <c r="P6302" s="2" t="s">
        <v>26</v>
      </c>
      <c r="Q6302" t="s">
        <v>50</v>
      </c>
      <c r="R6302">
        <v>76.14</v>
      </c>
      <c r="S6302">
        <v>78.44</v>
      </c>
      <c r="T6302" t="s">
        <v>20985</v>
      </c>
    </row>
    <row r="6303" spans="1:20" x14ac:dyDescent="0.25">
      <c r="A6303" s="1" t="str">
        <f>HYPERLINK("https://vegkart.atlas.vegvesen.no/#/@132841.0,6491977.4,18/hva:hva%5B0%5D%5Bfilter%5D%5B0%5D%5Boperator%5D=%21%3D&amp;hva%5B0%5D%5Bfilter%5D%5B0%5D%5Btype_id%5D=5897&amp;hva%5B0%5D%5Bfilter%5D%5B0%5D%5Bverdi%5D=&amp;hva%5B0%5D%5Bid%5D=47/når:2017-03-31", "Vegkart")</f>
        <v>Vegkart</v>
      </c>
      <c r="B6303">
        <v>765119512</v>
      </c>
      <c r="C6303">
        <v>47</v>
      </c>
      <c r="D6303" t="s">
        <v>16854</v>
      </c>
      <c r="E6303">
        <v>5897</v>
      </c>
      <c r="F6303" t="s">
        <v>23479</v>
      </c>
      <c r="G6303">
        <v>1</v>
      </c>
      <c r="H6303" t="s">
        <v>3492</v>
      </c>
      <c r="J6303" t="s">
        <v>20977</v>
      </c>
      <c r="K6303" t="s">
        <v>86</v>
      </c>
      <c r="L6303" t="s">
        <v>33</v>
      </c>
      <c r="M6303" t="s">
        <v>20986</v>
      </c>
      <c r="N6303" t="s">
        <v>20987</v>
      </c>
      <c r="O6303" t="s">
        <v>20988</v>
      </c>
      <c r="P6303" s="2" t="s">
        <v>26</v>
      </c>
      <c r="Q6303" t="s">
        <v>50</v>
      </c>
      <c r="R6303">
        <v>102.55</v>
      </c>
      <c r="S6303">
        <v>106.81</v>
      </c>
      <c r="T6303" t="s">
        <v>20989</v>
      </c>
    </row>
    <row r="6304" spans="1:20" x14ac:dyDescent="0.25">
      <c r="A6304" s="1" t="str">
        <f>HYPERLINK("https://vegkart.atlas.vegvesen.no/#/@130004.7,6487606.4,18/hva:hva%5B0%5D%5Bfilter%5D%5B0%5D%5Boperator%5D=%21%3D&amp;hva%5B0%5D%5Bfilter%5D%5B0%5D%5Btype_id%5D=5897&amp;hva%5B0%5D%5Bfilter%5D%5B0%5D%5Bverdi%5D=&amp;hva%5B0%5D%5Bid%5D=47/når:2017-03-31", "Vegkart")</f>
        <v>Vegkart</v>
      </c>
      <c r="B6304">
        <v>765119566</v>
      </c>
      <c r="C6304">
        <v>47</v>
      </c>
      <c r="D6304" t="s">
        <v>16854</v>
      </c>
      <c r="E6304">
        <v>5897</v>
      </c>
      <c r="F6304" t="s">
        <v>23479</v>
      </c>
      <c r="G6304">
        <v>1</v>
      </c>
      <c r="H6304" t="s">
        <v>3492</v>
      </c>
      <c r="J6304" t="s">
        <v>20977</v>
      </c>
      <c r="K6304" t="s">
        <v>86</v>
      </c>
      <c r="L6304" t="s">
        <v>33</v>
      </c>
      <c r="M6304" t="s">
        <v>20176</v>
      </c>
      <c r="N6304" t="s">
        <v>20990</v>
      </c>
      <c r="O6304" t="s">
        <v>20991</v>
      </c>
      <c r="P6304" s="2" t="s">
        <v>26</v>
      </c>
      <c r="Q6304" t="s">
        <v>50</v>
      </c>
      <c r="R6304">
        <v>66.87</v>
      </c>
      <c r="S6304">
        <v>67.91</v>
      </c>
      <c r="T6304" t="s">
        <v>20992</v>
      </c>
    </row>
    <row r="6305" spans="1:20" x14ac:dyDescent="0.25">
      <c r="A6305" s="1" t="str">
        <f>HYPERLINK("https://vegkart.atlas.vegvesen.no/#/@195468.1,6557066.0,18/hva:hva%5B0%5D%5Bfilter%5D%5B0%5D%5Boperator%5D=%21%3D&amp;hva%5B0%5D%5Bfilter%5D%5B0%5D%5Btype_id%5D=5897&amp;hva%5B0%5D%5Bfilter%5D%5B0%5D%5Bverdi%5D=&amp;hva%5B0%5D%5Bid%5D=47/når:2019-08-21", "Vegkart")</f>
        <v>Vegkart</v>
      </c>
      <c r="B6305">
        <v>765125678</v>
      </c>
      <c r="C6305">
        <v>47</v>
      </c>
      <c r="D6305" t="s">
        <v>16854</v>
      </c>
      <c r="E6305">
        <v>5897</v>
      </c>
      <c r="F6305" t="s">
        <v>23479</v>
      </c>
      <c r="G6305">
        <v>2</v>
      </c>
      <c r="H6305" t="s">
        <v>20993</v>
      </c>
      <c r="J6305" t="s">
        <v>20977</v>
      </c>
      <c r="K6305" t="s">
        <v>197</v>
      </c>
      <c r="L6305" t="s">
        <v>113</v>
      </c>
      <c r="M6305" t="s">
        <v>2012</v>
      </c>
      <c r="N6305" t="s">
        <v>20994</v>
      </c>
      <c r="O6305" t="s">
        <v>20995</v>
      </c>
      <c r="P6305" s="2" t="s">
        <v>26</v>
      </c>
      <c r="Q6305" t="s">
        <v>50</v>
      </c>
      <c r="R6305">
        <v>19.07</v>
      </c>
      <c r="S6305">
        <v>19.07</v>
      </c>
      <c r="T6305" t="s">
        <v>20996</v>
      </c>
    </row>
    <row r="6306" spans="1:20" x14ac:dyDescent="0.25">
      <c r="A6306" s="1" t="str">
        <f>HYPERLINK("https://vegkart.atlas.vegvesen.no/#/@197399.8,6581273.0,18/hva:hva%5B0%5D%5Bfilter%5D%5B0%5D%5Boperator%5D=%21%3D&amp;hva%5B0%5D%5Bfilter%5D%5B0%5D%5Btype_id%5D=5897&amp;hva%5B0%5D%5Bfilter%5D%5B0%5D%5Bverdi%5D=&amp;hva%5B0%5D%5Bid%5D=47/når:2022-11-30", "Vegkart")</f>
        <v>Vegkart</v>
      </c>
      <c r="B6306">
        <v>765796769</v>
      </c>
      <c r="C6306">
        <v>47</v>
      </c>
      <c r="D6306" t="s">
        <v>16854</v>
      </c>
      <c r="E6306">
        <v>5897</v>
      </c>
      <c r="F6306" t="s">
        <v>23479</v>
      </c>
      <c r="G6306">
        <v>2</v>
      </c>
      <c r="H6306" t="s">
        <v>17992</v>
      </c>
      <c r="J6306" t="s">
        <v>20977</v>
      </c>
      <c r="K6306" t="s">
        <v>197</v>
      </c>
      <c r="L6306" t="s">
        <v>33</v>
      </c>
      <c r="M6306" t="s">
        <v>132</v>
      </c>
      <c r="N6306" t="s">
        <v>20997</v>
      </c>
      <c r="O6306" t="s">
        <v>20998</v>
      </c>
      <c r="P6306" s="2" t="s">
        <v>37</v>
      </c>
      <c r="Q6306" t="s">
        <v>1208</v>
      </c>
      <c r="R6306">
        <v>0</v>
      </c>
      <c r="S6306">
        <v>108.4</v>
      </c>
      <c r="T6306" t="s">
        <v>20999</v>
      </c>
    </row>
    <row r="6307" spans="1:20" x14ac:dyDescent="0.25">
      <c r="A6307" s="1" t="str">
        <f>HYPERLINK("https://vegkart.atlas.vegvesen.no/#/@197839.9,6581624.6,18/hva:hva%5B0%5D%5Bfilter%5D%5B0%5D%5Boperator%5D=%21%3D&amp;hva%5B0%5D%5Bfilter%5D%5B0%5D%5Btype_id%5D=5897&amp;hva%5B0%5D%5Bfilter%5D%5B0%5D%5Bverdi%5D=&amp;hva%5B0%5D%5Bid%5D=47/når:2022-11-30", "Vegkart")</f>
        <v>Vegkart</v>
      </c>
      <c r="B6307">
        <v>765796770</v>
      </c>
      <c r="C6307">
        <v>47</v>
      </c>
      <c r="D6307" t="s">
        <v>16854</v>
      </c>
      <c r="E6307">
        <v>5897</v>
      </c>
      <c r="F6307" t="s">
        <v>23479</v>
      </c>
      <c r="G6307">
        <v>2</v>
      </c>
      <c r="H6307" t="s">
        <v>17992</v>
      </c>
      <c r="J6307" t="s">
        <v>20977</v>
      </c>
      <c r="K6307" t="s">
        <v>197</v>
      </c>
      <c r="L6307" t="s">
        <v>33</v>
      </c>
      <c r="M6307" t="s">
        <v>132</v>
      </c>
      <c r="N6307" t="s">
        <v>21000</v>
      </c>
      <c r="O6307" t="s">
        <v>21001</v>
      </c>
      <c r="P6307" s="2" t="s">
        <v>37</v>
      </c>
      <c r="Q6307" t="s">
        <v>1208</v>
      </c>
      <c r="R6307">
        <v>0</v>
      </c>
      <c r="S6307">
        <v>92.83</v>
      </c>
      <c r="T6307" t="s">
        <v>21002</v>
      </c>
    </row>
    <row r="6308" spans="1:20" x14ac:dyDescent="0.25">
      <c r="A6308" s="1" t="str">
        <f>HYPERLINK("https://vegkart.atlas.vegvesen.no/#/@197835.3,6581632.7,18/hva:hva%5B0%5D%5Bfilter%5D%5B0%5D%5Boperator%5D=%21%3D&amp;hva%5B0%5D%5Bfilter%5D%5B0%5D%5Btype_id%5D=5897&amp;hva%5B0%5D%5Bfilter%5D%5B0%5D%5Bverdi%5D=&amp;hva%5B0%5D%5Bid%5D=47/når:2022-11-30", "Vegkart")</f>
        <v>Vegkart</v>
      </c>
      <c r="B6308">
        <v>765796771</v>
      </c>
      <c r="C6308">
        <v>47</v>
      </c>
      <c r="D6308" t="s">
        <v>16854</v>
      </c>
      <c r="E6308">
        <v>5897</v>
      </c>
      <c r="F6308" t="s">
        <v>23479</v>
      </c>
      <c r="G6308">
        <v>2</v>
      </c>
      <c r="H6308" t="s">
        <v>17992</v>
      </c>
      <c r="J6308" t="s">
        <v>20977</v>
      </c>
      <c r="K6308" t="s">
        <v>197</v>
      </c>
      <c r="L6308" t="s">
        <v>33</v>
      </c>
      <c r="M6308" t="s">
        <v>132</v>
      </c>
      <c r="N6308" t="s">
        <v>21003</v>
      </c>
      <c r="O6308" t="s">
        <v>21004</v>
      </c>
      <c r="P6308" s="2" t="s">
        <v>37</v>
      </c>
      <c r="Q6308" t="s">
        <v>1208</v>
      </c>
      <c r="R6308">
        <v>0</v>
      </c>
      <c r="S6308">
        <v>118.48</v>
      </c>
      <c r="T6308" t="s">
        <v>21005</v>
      </c>
    </row>
    <row r="6309" spans="1:20" x14ac:dyDescent="0.25">
      <c r="A6309" s="1" t="str">
        <f>HYPERLINK("https://vegkart.atlas.vegvesen.no/#/@197410.3,6581301.8,18/hva:hva%5B0%5D%5Bfilter%5D%5B0%5D%5Boperator%5D=%21%3D&amp;hva%5B0%5D%5Bfilter%5D%5B0%5D%5Btype_id%5D=5897&amp;hva%5B0%5D%5Bfilter%5D%5B0%5D%5Bverdi%5D=&amp;hva%5B0%5D%5Bid%5D=47/når:2022-11-30", "Vegkart")</f>
        <v>Vegkart</v>
      </c>
      <c r="B6309">
        <v>765796772</v>
      </c>
      <c r="C6309">
        <v>47</v>
      </c>
      <c r="D6309" t="s">
        <v>16854</v>
      </c>
      <c r="E6309">
        <v>5897</v>
      </c>
      <c r="F6309" t="s">
        <v>23479</v>
      </c>
      <c r="G6309">
        <v>2</v>
      </c>
      <c r="H6309" t="s">
        <v>17992</v>
      </c>
      <c r="J6309" t="s">
        <v>20977</v>
      </c>
      <c r="K6309" t="s">
        <v>197</v>
      </c>
      <c r="L6309" t="s">
        <v>33</v>
      </c>
      <c r="M6309" t="s">
        <v>132</v>
      </c>
      <c r="N6309" t="s">
        <v>21006</v>
      </c>
      <c r="O6309" t="s">
        <v>21007</v>
      </c>
      <c r="P6309" s="2" t="s">
        <v>37</v>
      </c>
      <c r="Q6309" t="s">
        <v>1208</v>
      </c>
      <c r="R6309">
        <v>0</v>
      </c>
      <c r="S6309">
        <v>90.57</v>
      </c>
      <c r="T6309" t="s">
        <v>21008</v>
      </c>
    </row>
    <row r="6310" spans="1:20" x14ac:dyDescent="0.25">
      <c r="A6310" s="1" t="str">
        <f>HYPERLINK("https://vegkart.atlas.vegvesen.no/#/@-39321.4,6722440.7,18/hva:hva%5B0%5D%5Bfilter%5D%5B0%5D%5Boperator%5D=%21%3D&amp;hva%5B0%5D%5Bfilter%5D%5B0%5D%5Btype_id%5D=5897&amp;hva%5B0%5D%5Bfilter%5D%5B0%5D%5Bverdi%5D=&amp;hva%5B0%5D%5Bid%5D=47/når:2017-04-07", "Vegkart")</f>
        <v>Vegkart</v>
      </c>
      <c r="B6310">
        <v>765825877</v>
      </c>
      <c r="C6310">
        <v>47</v>
      </c>
      <c r="D6310" t="s">
        <v>16854</v>
      </c>
      <c r="E6310">
        <v>5897</v>
      </c>
      <c r="F6310" t="s">
        <v>23479</v>
      </c>
      <c r="G6310">
        <v>1</v>
      </c>
      <c r="H6310" t="s">
        <v>1582</v>
      </c>
      <c r="J6310" t="s">
        <v>20977</v>
      </c>
      <c r="K6310" t="s">
        <v>21</v>
      </c>
      <c r="L6310" t="s">
        <v>33</v>
      </c>
      <c r="M6310" t="s">
        <v>17166</v>
      </c>
      <c r="N6310" t="s">
        <v>21009</v>
      </c>
      <c r="O6310" t="s">
        <v>21010</v>
      </c>
      <c r="P6310" s="2" t="s">
        <v>26</v>
      </c>
      <c r="Q6310" t="s">
        <v>50</v>
      </c>
      <c r="R6310">
        <v>51.25</v>
      </c>
      <c r="S6310">
        <v>51.82</v>
      </c>
      <c r="T6310" t="s">
        <v>21011</v>
      </c>
    </row>
    <row r="6311" spans="1:20" x14ac:dyDescent="0.25">
      <c r="A6311" s="1" t="str">
        <f>HYPERLINK("https://vegkart.atlas.vegvesen.no/#/@-39261.1,6722452.6,18/hva:hva%5B0%5D%5Bfilter%5D%5B0%5D%5Boperator%5D=%21%3D&amp;hva%5B0%5D%5Bfilter%5D%5B0%5D%5Btype_id%5D=5897&amp;hva%5B0%5D%5Bfilter%5D%5B0%5D%5Bverdi%5D=&amp;hva%5B0%5D%5Bid%5D=47/når:2017-04-07", "Vegkart")</f>
        <v>Vegkart</v>
      </c>
      <c r="B6311">
        <v>765825878</v>
      </c>
      <c r="C6311">
        <v>47</v>
      </c>
      <c r="D6311" t="s">
        <v>16854</v>
      </c>
      <c r="E6311">
        <v>5897</v>
      </c>
      <c r="F6311" t="s">
        <v>23479</v>
      </c>
      <c r="G6311">
        <v>1</v>
      </c>
      <c r="H6311" t="s">
        <v>1582</v>
      </c>
      <c r="J6311" t="s">
        <v>20977</v>
      </c>
      <c r="K6311" t="s">
        <v>21</v>
      </c>
      <c r="L6311" t="s">
        <v>33</v>
      </c>
      <c r="M6311" t="s">
        <v>17166</v>
      </c>
      <c r="N6311" t="s">
        <v>21012</v>
      </c>
      <c r="O6311" t="s">
        <v>21013</v>
      </c>
      <c r="P6311" s="2" t="s">
        <v>26</v>
      </c>
      <c r="Q6311" t="s">
        <v>50</v>
      </c>
      <c r="R6311">
        <v>39.659999999999997</v>
      </c>
      <c r="S6311">
        <v>39.979999999999997</v>
      </c>
      <c r="T6311" t="s">
        <v>21014</v>
      </c>
    </row>
    <row r="6312" spans="1:20" x14ac:dyDescent="0.25">
      <c r="A6312" s="1" t="str">
        <f>HYPERLINK("https://vegkart.atlas.vegvesen.no/#/@260143.2,6653089.6,18/hva:hva%5B0%5D%5Bfilter%5D%5B0%5D%5Boperator%5D=%21%3D&amp;hva%5B0%5D%5Bfilter%5D%5B0%5D%5Btype_id%5D=5897&amp;hva%5B0%5D%5Bfilter%5D%5B0%5D%5Bverdi%5D=&amp;hva%5B0%5D%5Bid%5D=47/når:2017-01-01", "Vegkart")</f>
        <v>Vegkart</v>
      </c>
      <c r="B6312">
        <v>765897991</v>
      </c>
      <c r="C6312">
        <v>47</v>
      </c>
      <c r="D6312" t="s">
        <v>16854</v>
      </c>
      <c r="E6312">
        <v>5897</v>
      </c>
      <c r="F6312" t="s">
        <v>23479</v>
      </c>
      <c r="G6312">
        <v>1</v>
      </c>
      <c r="H6312" t="s">
        <v>344</v>
      </c>
      <c r="J6312" t="s">
        <v>20977</v>
      </c>
      <c r="K6312" t="s">
        <v>335</v>
      </c>
      <c r="L6312" t="s">
        <v>113</v>
      </c>
      <c r="M6312" t="s">
        <v>336</v>
      </c>
      <c r="N6312" t="s">
        <v>21015</v>
      </c>
      <c r="O6312" t="s">
        <v>21016</v>
      </c>
      <c r="P6312" s="2" t="s">
        <v>26</v>
      </c>
      <c r="Q6312" t="s">
        <v>50</v>
      </c>
      <c r="R6312">
        <v>140.69999999999999</v>
      </c>
      <c r="S6312">
        <v>140.80000000000001</v>
      </c>
      <c r="T6312" t="s">
        <v>21017</v>
      </c>
    </row>
    <row r="6313" spans="1:20" x14ac:dyDescent="0.25">
      <c r="A6313" s="1" t="str">
        <f>HYPERLINK("https://vegkart.atlas.vegvesen.no/#/@247901.0,6623789.2,18/hva:hva%5B0%5D%5Bfilter%5D%5B0%5D%5Boperator%5D=%21%3D&amp;hva%5B0%5D%5Bfilter%5D%5B0%5D%5Btype_id%5D=5897&amp;hva%5B0%5D%5Bfilter%5D%5B0%5D%5Bverdi%5D=&amp;hva%5B0%5D%5Bid%5D=47/når:2017-04-20", "Vegkart")</f>
        <v>Vegkart</v>
      </c>
      <c r="B6313">
        <v>766102115</v>
      </c>
      <c r="C6313">
        <v>47</v>
      </c>
      <c r="D6313" t="s">
        <v>16854</v>
      </c>
      <c r="E6313">
        <v>5897</v>
      </c>
      <c r="F6313" t="s">
        <v>23479</v>
      </c>
      <c r="G6313">
        <v>1</v>
      </c>
      <c r="H6313" t="s">
        <v>21018</v>
      </c>
      <c r="J6313" t="s">
        <v>20977</v>
      </c>
      <c r="K6313" t="s">
        <v>132</v>
      </c>
      <c r="L6313" t="s">
        <v>33</v>
      </c>
      <c r="M6313" t="s">
        <v>21019</v>
      </c>
      <c r="N6313" t="s">
        <v>21020</v>
      </c>
      <c r="O6313" t="s">
        <v>21021</v>
      </c>
      <c r="P6313" s="2" t="s">
        <v>26</v>
      </c>
      <c r="Q6313" t="s">
        <v>50</v>
      </c>
      <c r="R6313">
        <v>47.38</v>
      </c>
      <c r="S6313">
        <v>48.23</v>
      </c>
      <c r="T6313" t="s">
        <v>21022</v>
      </c>
    </row>
    <row r="6314" spans="1:20" x14ac:dyDescent="0.25">
      <c r="A6314" s="1" t="str">
        <f>HYPERLINK("https://vegkart.atlas.vegvesen.no/#/@270406.7,7033652.6,18/hva:hva%5B0%5D%5Bfilter%5D%5B0%5D%5Boperator%5D=%21%3D&amp;hva%5B0%5D%5Bfilter%5D%5B0%5D%5Btype_id%5D=5897&amp;hva%5B0%5D%5Bfilter%5D%5B0%5D%5Bverdi%5D=&amp;hva%5B0%5D%5Bid%5D=47/når:2017-05-04", "Vegkart")</f>
        <v>Vegkart</v>
      </c>
      <c r="B6314">
        <v>775636703</v>
      </c>
      <c r="C6314">
        <v>47</v>
      </c>
      <c r="D6314" t="s">
        <v>16854</v>
      </c>
      <c r="E6314">
        <v>5897</v>
      </c>
      <c r="F6314" t="s">
        <v>23479</v>
      </c>
      <c r="G6314">
        <v>1</v>
      </c>
      <c r="H6314" t="s">
        <v>21023</v>
      </c>
      <c r="J6314" t="s">
        <v>20977</v>
      </c>
      <c r="K6314" t="s">
        <v>192</v>
      </c>
      <c r="L6314" t="s">
        <v>22</v>
      </c>
      <c r="M6314" t="s">
        <v>21024</v>
      </c>
      <c r="N6314" t="s">
        <v>21025</v>
      </c>
      <c r="O6314" t="s">
        <v>21026</v>
      </c>
      <c r="P6314" s="2" t="s">
        <v>26</v>
      </c>
      <c r="Q6314" t="s">
        <v>50</v>
      </c>
      <c r="R6314">
        <v>59.58</v>
      </c>
      <c r="S6314">
        <v>60.08</v>
      </c>
      <c r="T6314" t="s">
        <v>21027</v>
      </c>
    </row>
    <row r="6315" spans="1:20" x14ac:dyDescent="0.25">
      <c r="A6315" s="1" t="str">
        <f>HYPERLINK("https://vegkart.atlas.vegvesen.no/#/@243796.6,6617175.7,18/hva:hva%5B0%5D%5Bfilter%5D%5B0%5D%5Boperator%5D=%21%3D&amp;hva%5B0%5D%5Bfilter%5D%5B0%5D%5Btype_id%5D=5897&amp;hva%5B0%5D%5Bfilter%5D%5B0%5D%5Bverdi%5D=&amp;hva%5B0%5D%5Bid%5D=47/når:2019-04-26", "Vegkart")</f>
        <v>Vegkart</v>
      </c>
      <c r="B6315">
        <v>775944327</v>
      </c>
      <c r="C6315">
        <v>47</v>
      </c>
      <c r="D6315" t="s">
        <v>16854</v>
      </c>
      <c r="E6315">
        <v>5897</v>
      </c>
      <c r="F6315" t="s">
        <v>23479</v>
      </c>
      <c r="G6315">
        <v>2</v>
      </c>
      <c r="H6315" t="s">
        <v>21028</v>
      </c>
      <c r="J6315" t="s">
        <v>20977</v>
      </c>
      <c r="K6315" t="s">
        <v>132</v>
      </c>
      <c r="L6315" t="s">
        <v>33</v>
      </c>
      <c r="M6315" t="s">
        <v>21029</v>
      </c>
      <c r="N6315" t="s">
        <v>21030</v>
      </c>
      <c r="O6315" t="s">
        <v>21031</v>
      </c>
      <c r="P6315" s="2" t="s">
        <v>26</v>
      </c>
      <c r="Q6315" t="s">
        <v>50</v>
      </c>
      <c r="R6315">
        <v>67.099999999999994</v>
      </c>
      <c r="S6315">
        <v>67.5</v>
      </c>
      <c r="T6315" t="s">
        <v>21032</v>
      </c>
    </row>
    <row r="6316" spans="1:20" x14ac:dyDescent="0.25">
      <c r="A6316" s="1" t="str">
        <f>HYPERLINK("https://vegkart.atlas.vegvesen.no/#/@243865.0,6617142.8,18/hva:hva%5B0%5D%5Bfilter%5D%5B0%5D%5Boperator%5D=%21%3D&amp;hva%5B0%5D%5Bfilter%5D%5B0%5D%5Btype_id%5D=5897&amp;hva%5B0%5D%5Bfilter%5D%5B0%5D%5Bverdi%5D=&amp;hva%5B0%5D%5Bid%5D=47/når:2019-04-26", "Vegkart")</f>
        <v>Vegkart</v>
      </c>
      <c r="B6316">
        <v>775944328</v>
      </c>
      <c r="C6316">
        <v>47</v>
      </c>
      <c r="D6316" t="s">
        <v>16854</v>
      </c>
      <c r="E6316">
        <v>5897</v>
      </c>
      <c r="F6316" t="s">
        <v>23479</v>
      </c>
      <c r="G6316">
        <v>2</v>
      </c>
      <c r="H6316" t="s">
        <v>21028</v>
      </c>
      <c r="J6316" t="s">
        <v>20977</v>
      </c>
      <c r="K6316" t="s">
        <v>132</v>
      </c>
      <c r="L6316" t="s">
        <v>33</v>
      </c>
      <c r="M6316" t="s">
        <v>21029</v>
      </c>
      <c r="N6316" t="s">
        <v>21033</v>
      </c>
      <c r="O6316" t="s">
        <v>21034</v>
      </c>
      <c r="P6316" s="2" t="s">
        <v>26</v>
      </c>
      <c r="Q6316" t="s">
        <v>50</v>
      </c>
      <c r="R6316">
        <v>44.69</v>
      </c>
      <c r="S6316">
        <v>45.1</v>
      </c>
      <c r="T6316" t="s">
        <v>21035</v>
      </c>
    </row>
    <row r="6317" spans="1:20" x14ac:dyDescent="0.25">
      <c r="A6317" s="1" t="str">
        <f>HYPERLINK("https://vegkart.atlas.vegvesen.no/#/@35464.4,6732460.2,18/hva:hva%5B0%5D%5Bfilter%5D%5B0%5D%5Boperator%5D=%21%3D&amp;hva%5B0%5D%5Bfilter%5D%5B0%5D%5Btype_id%5D=5897&amp;hva%5B0%5D%5Bfilter%5D%5B0%5D%5Bverdi%5D=&amp;hva%5B0%5D%5Bid%5D=47/når:2017-05-10", "Vegkart")</f>
        <v>Vegkart</v>
      </c>
      <c r="B6317">
        <v>777597709</v>
      </c>
      <c r="C6317">
        <v>47</v>
      </c>
      <c r="D6317" t="s">
        <v>16854</v>
      </c>
      <c r="E6317">
        <v>5897</v>
      </c>
      <c r="F6317" t="s">
        <v>23479</v>
      </c>
      <c r="G6317">
        <v>1</v>
      </c>
      <c r="H6317" t="s">
        <v>6688</v>
      </c>
      <c r="J6317" t="s">
        <v>20977</v>
      </c>
      <c r="K6317" t="s">
        <v>21</v>
      </c>
      <c r="L6317" t="s">
        <v>33</v>
      </c>
      <c r="M6317" t="s">
        <v>1380</v>
      </c>
      <c r="N6317" t="s">
        <v>21036</v>
      </c>
      <c r="O6317" t="s">
        <v>21037</v>
      </c>
      <c r="P6317" s="2" t="s">
        <v>26</v>
      </c>
      <c r="Q6317" t="s">
        <v>50</v>
      </c>
      <c r="R6317">
        <v>75.290000000000006</v>
      </c>
      <c r="S6317">
        <v>76.209999999999994</v>
      </c>
      <c r="T6317" t="s">
        <v>21038</v>
      </c>
    </row>
    <row r="6318" spans="1:20" x14ac:dyDescent="0.25">
      <c r="A6318" s="1" t="str">
        <f>HYPERLINK("https://vegkart.atlas.vegvesen.no/#/@35423.5,6732483.2,18/hva:hva%5B0%5D%5Bfilter%5D%5B0%5D%5Boperator%5D=%21%3D&amp;hva%5B0%5D%5Bfilter%5D%5B0%5D%5Btype_id%5D=5897&amp;hva%5B0%5D%5Bfilter%5D%5B0%5D%5Bverdi%5D=&amp;hva%5B0%5D%5Bid%5D=47/når:2017-05-10", "Vegkart")</f>
        <v>Vegkart</v>
      </c>
      <c r="B6318">
        <v>777597710</v>
      </c>
      <c r="C6318">
        <v>47</v>
      </c>
      <c r="D6318" t="s">
        <v>16854</v>
      </c>
      <c r="E6318">
        <v>5897</v>
      </c>
      <c r="F6318" t="s">
        <v>23479</v>
      </c>
      <c r="G6318">
        <v>1</v>
      </c>
      <c r="H6318" t="s">
        <v>6688</v>
      </c>
      <c r="J6318" t="s">
        <v>20977</v>
      </c>
      <c r="K6318" t="s">
        <v>21</v>
      </c>
      <c r="L6318" t="s">
        <v>33</v>
      </c>
      <c r="M6318" t="s">
        <v>1380</v>
      </c>
      <c r="N6318" t="s">
        <v>21039</v>
      </c>
      <c r="O6318" t="s">
        <v>21040</v>
      </c>
      <c r="P6318" s="2" t="s">
        <v>26</v>
      </c>
      <c r="Q6318" t="s">
        <v>50</v>
      </c>
      <c r="R6318">
        <v>75.569999999999993</v>
      </c>
      <c r="S6318">
        <v>75.97</v>
      </c>
      <c r="T6318" t="s">
        <v>21041</v>
      </c>
    </row>
    <row r="6319" spans="1:20" x14ac:dyDescent="0.25">
      <c r="A6319" s="1" t="str">
        <f>HYPERLINK("https://vegkart.atlas.vegvesen.no/#/@37082.5,6731920.3,18/hva:hva%5B0%5D%5Bfilter%5D%5B0%5D%5Boperator%5D=%21%3D&amp;hva%5B0%5D%5Bfilter%5D%5B0%5D%5Btype_id%5D=5897&amp;hva%5B0%5D%5Bfilter%5D%5B0%5D%5Bverdi%5D=&amp;hva%5B0%5D%5Bid%5D=47/når:2017-05-10", "Vegkart")</f>
        <v>Vegkart</v>
      </c>
      <c r="B6319">
        <v>777597711</v>
      </c>
      <c r="C6319">
        <v>47</v>
      </c>
      <c r="D6319" t="s">
        <v>16854</v>
      </c>
      <c r="E6319">
        <v>5897</v>
      </c>
      <c r="F6319" t="s">
        <v>23479</v>
      </c>
      <c r="G6319">
        <v>1</v>
      </c>
      <c r="H6319" t="s">
        <v>6688</v>
      </c>
      <c r="J6319" t="s">
        <v>20977</v>
      </c>
      <c r="K6319" t="s">
        <v>21</v>
      </c>
      <c r="L6319" t="s">
        <v>33</v>
      </c>
      <c r="M6319" t="s">
        <v>1380</v>
      </c>
      <c r="N6319" t="s">
        <v>21042</v>
      </c>
      <c r="O6319" t="s">
        <v>21043</v>
      </c>
      <c r="P6319" s="2" t="s">
        <v>26</v>
      </c>
      <c r="Q6319" t="s">
        <v>50</v>
      </c>
      <c r="R6319">
        <v>65.37</v>
      </c>
      <c r="S6319">
        <v>66.19</v>
      </c>
      <c r="T6319" t="s">
        <v>21044</v>
      </c>
    </row>
    <row r="6320" spans="1:20" x14ac:dyDescent="0.25">
      <c r="A6320" s="1" t="str">
        <f>HYPERLINK("https://vegkart.atlas.vegvesen.no/#/@37147.3,6731922.7,18/hva:hva%5B0%5D%5Bfilter%5D%5B0%5D%5Boperator%5D=%21%3D&amp;hva%5B0%5D%5Bfilter%5D%5B0%5D%5Btype_id%5D=5897&amp;hva%5B0%5D%5Bfilter%5D%5B0%5D%5Bverdi%5D=&amp;hva%5B0%5D%5Bid%5D=47/når:2017-05-10", "Vegkart")</f>
        <v>Vegkart</v>
      </c>
      <c r="B6320">
        <v>777597712</v>
      </c>
      <c r="C6320">
        <v>47</v>
      </c>
      <c r="D6320" t="s">
        <v>16854</v>
      </c>
      <c r="E6320">
        <v>5897</v>
      </c>
      <c r="F6320" t="s">
        <v>23479</v>
      </c>
      <c r="G6320">
        <v>1</v>
      </c>
      <c r="H6320" t="s">
        <v>6688</v>
      </c>
      <c r="J6320" t="s">
        <v>20977</v>
      </c>
      <c r="K6320" t="s">
        <v>21</v>
      </c>
      <c r="L6320" t="s">
        <v>33</v>
      </c>
      <c r="M6320" t="s">
        <v>1380</v>
      </c>
      <c r="N6320" t="s">
        <v>21045</v>
      </c>
      <c r="O6320" t="s">
        <v>21046</v>
      </c>
      <c r="P6320" s="2" t="s">
        <v>26</v>
      </c>
      <c r="Q6320" t="s">
        <v>50</v>
      </c>
      <c r="R6320">
        <v>64.709999999999994</v>
      </c>
      <c r="S6320">
        <v>65.05</v>
      </c>
      <c r="T6320" t="s">
        <v>21047</v>
      </c>
    </row>
    <row r="6321" spans="1:20" x14ac:dyDescent="0.25">
      <c r="A6321" s="1" t="str">
        <f>HYPERLINK("https://vegkart.atlas.vegvesen.no/#/@36641.8,6732183.4,18/hva:hva%5B0%5D%5Bfilter%5D%5B0%5D%5Boperator%5D=%21%3D&amp;hva%5B0%5D%5Bfilter%5D%5B0%5D%5Btype_id%5D=5897&amp;hva%5B0%5D%5Bfilter%5D%5B0%5D%5Bverdi%5D=&amp;hva%5B0%5D%5Bid%5D=47/når:2017-05-10", "Vegkart")</f>
        <v>Vegkart</v>
      </c>
      <c r="B6321">
        <v>777597713</v>
      </c>
      <c r="C6321">
        <v>47</v>
      </c>
      <c r="D6321" t="s">
        <v>16854</v>
      </c>
      <c r="E6321">
        <v>5897</v>
      </c>
      <c r="F6321" t="s">
        <v>23479</v>
      </c>
      <c r="G6321">
        <v>1</v>
      </c>
      <c r="H6321" t="s">
        <v>6688</v>
      </c>
      <c r="J6321" t="s">
        <v>20977</v>
      </c>
      <c r="K6321" t="s">
        <v>21</v>
      </c>
      <c r="L6321" t="s">
        <v>33</v>
      </c>
      <c r="M6321" t="s">
        <v>1380</v>
      </c>
      <c r="N6321" t="s">
        <v>21048</v>
      </c>
      <c r="O6321" t="s">
        <v>21049</v>
      </c>
      <c r="P6321" s="2" t="s">
        <v>26</v>
      </c>
      <c r="Q6321" t="s">
        <v>50</v>
      </c>
      <c r="R6321">
        <v>90.2</v>
      </c>
      <c r="S6321">
        <v>90.51</v>
      </c>
      <c r="T6321" t="s">
        <v>21050</v>
      </c>
    </row>
    <row r="6322" spans="1:20" x14ac:dyDescent="0.25">
      <c r="A6322" s="1" t="str">
        <f>HYPERLINK("https://vegkart.atlas.vegvesen.no/#/@36308.4,6732300.2,18/hva:hva%5B0%5D%5Bfilter%5D%5B0%5D%5Boperator%5D=%21%3D&amp;hva%5B0%5D%5Bfilter%5D%5B0%5D%5Btype_id%5D=5897&amp;hva%5B0%5D%5Bfilter%5D%5B0%5D%5Bverdi%5D=&amp;hva%5B0%5D%5Bid%5D=47/når:2017-05-10", "Vegkart")</f>
        <v>Vegkart</v>
      </c>
      <c r="B6322">
        <v>777597714</v>
      </c>
      <c r="C6322">
        <v>47</v>
      </c>
      <c r="D6322" t="s">
        <v>16854</v>
      </c>
      <c r="E6322">
        <v>5897</v>
      </c>
      <c r="F6322" t="s">
        <v>23479</v>
      </c>
      <c r="G6322">
        <v>1</v>
      </c>
      <c r="H6322" t="s">
        <v>6688</v>
      </c>
      <c r="J6322" t="s">
        <v>20977</v>
      </c>
      <c r="K6322" t="s">
        <v>21</v>
      </c>
      <c r="L6322" t="s">
        <v>33</v>
      </c>
      <c r="M6322" t="s">
        <v>1380</v>
      </c>
      <c r="N6322" t="s">
        <v>21051</v>
      </c>
      <c r="O6322" t="s">
        <v>21052</v>
      </c>
      <c r="P6322" s="2" t="s">
        <v>26</v>
      </c>
      <c r="Q6322" t="s">
        <v>50</v>
      </c>
      <c r="R6322">
        <v>90.01</v>
      </c>
      <c r="S6322">
        <v>90.31</v>
      </c>
      <c r="T6322" t="s">
        <v>21053</v>
      </c>
    </row>
    <row r="6323" spans="1:20" x14ac:dyDescent="0.25">
      <c r="A6323" s="1" t="str">
        <f>HYPERLINK("https://vegkart.atlas.vegvesen.no/#/@35998.9,6732431.5,18/hva:hva%5B0%5D%5Bfilter%5D%5B0%5D%5Boperator%5D=%21%3D&amp;hva%5B0%5D%5Bfilter%5D%5B0%5D%5Btype_id%5D=5897&amp;hva%5B0%5D%5Bfilter%5D%5B0%5D%5Bverdi%5D=&amp;hva%5B0%5D%5Bid%5D=47/når:2017-05-10", "Vegkart")</f>
        <v>Vegkart</v>
      </c>
      <c r="B6323">
        <v>777597715</v>
      </c>
      <c r="C6323">
        <v>47</v>
      </c>
      <c r="D6323" t="s">
        <v>16854</v>
      </c>
      <c r="E6323">
        <v>5897</v>
      </c>
      <c r="F6323" t="s">
        <v>23479</v>
      </c>
      <c r="G6323">
        <v>1</v>
      </c>
      <c r="H6323" t="s">
        <v>6688</v>
      </c>
      <c r="J6323" t="s">
        <v>20977</v>
      </c>
      <c r="K6323" t="s">
        <v>21</v>
      </c>
      <c r="L6323" t="s">
        <v>33</v>
      </c>
      <c r="M6323" t="s">
        <v>1380</v>
      </c>
      <c r="N6323" t="s">
        <v>21054</v>
      </c>
      <c r="O6323" t="s">
        <v>21055</v>
      </c>
      <c r="P6323" s="2" t="s">
        <v>26</v>
      </c>
      <c r="Q6323" t="s">
        <v>50</v>
      </c>
      <c r="R6323">
        <v>90.19</v>
      </c>
      <c r="S6323">
        <v>90.49</v>
      </c>
      <c r="T6323" t="s">
        <v>21056</v>
      </c>
    </row>
    <row r="6324" spans="1:20" x14ac:dyDescent="0.25">
      <c r="A6324" s="1" t="str">
        <f>HYPERLINK("https://vegkart.atlas.vegvesen.no/#/@37260.2,6731908.8,18/hva:hva%5B0%5D%5Bfilter%5D%5B0%5D%5Boperator%5D=%21%3D&amp;hva%5B0%5D%5Bfilter%5D%5B0%5D%5Btype_id%5D=5897&amp;hva%5B0%5D%5Bfilter%5D%5B0%5D%5Bverdi%5D=&amp;hva%5B0%5D%5Bid%5D=47/når:2017-05-10", "Vegkart")</f>
        <v>Vegkart</v>
      </c>
      <c r="B6324">
        <v>777597716</v>
      </c>
      <c r="C6324">
        <v>47</v>
      </c>
      <c r="D6324" t="s">
        <v>16854</v>
      </c>
      <c r="E6324">
        <v>5897</v>
      </c>
      <c r="F6324" t="s">
        <v>23479</v>
      </c>
      <c r="G6324">
        <v>1</v>
      </c>
      <c r="H6324" t="s">
        <v>6688</v>
      </c>
      <c r="J6324" t="s">
        <v>20977</v>
      </c>
      <c r="K6324" t="s">
        <v>21</v>
      </c>
      <c r="L6324" t="s">
        <v>33</v>
      </c>
      <c r="M6324" t="s">
        <v>1380</v>
      </c>
      <c r="N6324" t="s">
        <v>21057</v>
      </c>
      <c r="O6324" t="s">
        <v>21058</v>
      </c>
      <c r="P6324" s="2" t="s">
        <v>26</v>
      </c>
      <c r="Q6324" t="s">
        <v>50</v>
      </c>
      <c r="R6324">
        <v>41.6</v>
      </c>
      <c r="S6324">
        <v>50.85</v>
      </c>
      <c r="T6324" t="s">
        <v>21059</v>
      </c>
    </row>
    <row r="6325" spans="1:20" x14ac:dyDescent="0.25">
      <c r="A6325" s="1" t="str">
        <f>HYPERLINK("https://vegkart.atlas.vegvesen.no/#/@35595.5,6732420.7,18/hva:hva%5B0%5D%5Bfilter%5D%5B0%5D%5Boperator%5D=%21%3D&amp;hva%5B0%5D%5Bfilter%5D%5B0%5D%5Btype_id%5D=5897&amp;hva%5B0%5D%5Bfilter%5D%5B0%5D%5Bverdi%5D=&amp;hva%5B0%5D%5Bid%5D=47/når:2017-05-10", "Vegkart")</f>
        <v>Vegkart</v>
      </c>
      <c r="B6325">
        <v>777597717</v>
      </c>
      <c r="C6325">
        <v>47</v>
      </c>
      <c r="D6325" t="s">
        <v>16854</v>
      </c>
      <c r="E6325">
        <v>5897</v>
      </c>
      <c r="F6325" t="s">
        <v>23479</v>
      </c>
      <c r="G6325">
        <v>1</v>
      </c>
      <c r="H6325" t="s">
        <v>6688</v>
      </c>
      <c r="J6325" t="s">
        <v>20977</v>
      </c>
      <c r="K6325" t="s">
        <v>21</v>
      </c>
      <c r="L6325" t="s">
        <v>33</v>
      </c>
      <c r="M6325" t="s">
        <v>1380</v>
      </c>
      <c r="N6325" t="s">
        <v>21060</v>
      </c>
      <c r="O6325" t="s">
        <v>21061</v>
      </c>
      <c r="P6325" s="2" t="s">
        <v>26</v>
      </c>
      <c r="Q6325" t="s">
        <v>50</v>
      </c>
      <c r="R6325">
        <v>54.23</v>
      </c>
      <c r="S6325">
        <v>55.21</v>
      </c>
      <c r="T6325" t="s">
        <v>21062</v>
      </c>
    </row>
    <row r="6326" spans="1:20" x14ac:dyDescent="0.25">
      <c r="A6326" s="1" t="str">
        <f>HYPERLINK("https://vegkart.atlas.vegvesen.no/#/@246749.3,6636172.1,18/hva:hva%5B0%5D%5Bfilter%5D%5B0%5D%5Boperator%5D=%21%3D&amp;hva%5B0%5D%5Bfilter%5D%5B0%5D%5Btype_id%5D=5897&amp;hva%5B0%5D%5Bfilter%5D%5B0%5D%5Bverdi%5D=&amp;hva%5B0%5D%5Bid%5D=47/når:2017-05-19", "Vegkart")</f>
        <v>Vegkart</v>
      </c>
      <c r="B6326">
        <v>782116155</v>
      </c>
      <c r="C6326">
        <v>47</v>
      </c>
      <c r="D6326" t="s">
        <v>16854</v>
      </c>
      <c r="E6326">
        <v>5897</v>
      </c>
      <c r="F6326" t="s">
        <v>23479</v>
      </c>
      <c r="G6326">
        <v>1</v>
      </c>
      <c r="H6326" t="s">
        <v>17228</v>
      </c>
      <c r="J6326" t="s">
        <v>20977</v>
      </c>
      <c r="K6326" t="s">
        <v>132</v>
      </c>
      <c r="L6326" t="s">
        <v>33</v>
      </c>
      <c r="M6326" t="s">
        <v>6042</v>
      </c>
      <c r="N6326" t="s">
        <v>21063</v>
      </c>
      <c r="O6326" t="s">
        <v>21064</v>
      </c>
      <c r="P6326" s="2" t="s">
        <v>26</v>
      </c>
      <c r="Q6326" t="s">
        <v>50</v>
      </c>
      <c r="R6326">
        <v>53.26</v>
      </c>
      <c r="S6326">
        <v>54.87</v>
      </c>
      <c r="T6326" t="s">
        <v>21065</v>
      </c>
    </row>
    <row r="6327" spans="1:20" x14ac:dyDescent="0.25">
      <c r="A6327" s="1" t="str">
        <f>HYPERLINK("https://vegkart.atlas.vegvesen.no/#/@233840.2,6580511.8,18/hva:hva%5B0%5D%5Bfilter%5D%5B0%5D%5Boperator%5D=%21%3D&amp;hva%5B0%5D%5Bfilter%5D%5B0%5D%5Btype_id%5D=5897&amp;hva%5B0%5D%5Bfilter%5D%5B0%5D%5Bverdi%5D=&amp;hva%5B0%5D%5Bid%5D=47/når:2017-05-19", "Vegkart")</f>
        <v>Vegkart</v>
      </c>
      <c r="B6327">
        <v>783151189</v>
      </c>
      <c r="C6327">
        <v>47</v>
      </c>
      <c r="D6327" t="s">
        <v>16854</v>
      </c>
      <c r="E6327">
        <v>5897</v>
      </c>
      <c r="F6327" t="s">
        <v>23479</v>
      </c>
      <c r="G6327">
        <v>1</v>
      </c>
      <c r="H6327" t="s">
        <v>17228</v>
      </c>
      <c r="J6327" t="s">
        <v>20977</v>
      </c>
      <c r="K6327" t="s">
        <v>81</v>
      </c>
      <c r="L6327" t="s">
        <v>33</v>
      </c>
      <c r="M6327" t="s">
        <v>4333</v>
      </c>
      <c r="N6327" t="s">
        <v>21066</v>
      </c>
      <c r="O6327" t="s">
        <v>21067</v>
      </c>
      <c r="P6327" s="2" t="s">
        <v>26</v>
      </c>
      <c r="Q6327" t="s">
        <v>50</v>
      </c>
      <c r="R6327">
        <v>49.66</v>
      </c>
      <c r="S6327">
        <v>50.46</v>
      </c>
      <c r="T6327" t="s">
        <v>21068</v>
      </c>
    </row>
    <row r="6328" spans="1:20" x14ac:dyDescent="0.25">
      <c r="A6328" s="1" t="str">
        <f>HYPERLINK("https://vegkart.atlas.vegvesen.no/#/@300896.8,6747582.3,18/hva:hva%5B0%5D%5Bfilter%5D%5B0%5D%5Boperator%5D=%21%3D&amp;hva%5B0%5D%5Bfilter%5D%5B0%5D%5Btype_id%5D=5897&amp;hva%5B0%5D%5Bfilter%5D%5B0%5D%5Bverdi%5D=&amp;hva%5B0%5D%5Bid%5D=47/når:2017-05-26", "Vegkart")</f>
        <v>Vegkart</v>
      </c>
      <c r="B6328">
        <v>784600934</v>
      </c>
      <c r="C6328">
        <v>47</v>
      </c>
      <c r="D6328" t="s">
        <v>16854</v>
      </c>
      <c r="E6328">
        <v>5897</v>
      </c>
      <c r="F6328" t="s">
        <v>23479</v>
      </c>
      <c r="G6328">
        <v>1</v>
      </c>
      <c r="H6328" t="s">
        <v>21069</v>
      </c>
      <c r="J6328" t="s">
        <v>20977</v>
      </c>
      <c r="K6328" t="s">
        <v>136</v>
      </c>
      <c r="L6328" t="s">
        <v>33</v>
      </c>
      <c r="M6328" t="s">
        <v>21070</v>
      </c>
      <c r="N6328" t="s">
        <v>21071</v>
      </c>
      <c r="O6328" t="s">
        <v>21072</v>
      </c>
      <c r="P6328" s="2" t="s">
        <v>26</v>
      </c>
      <c r="Q6328" t="s">
        <v>50</v>
      </c>
      <c r="R6328">
        <v>51.12</v>
      </c>
      <c r="S6328">
        <v>51.69</v>
      </c>
      <c r="T6328" t="s">
        <v>21073</v>
      </c>
    </row>
    <row r="6329" spans="1:20" x14ac:dyDescent="0.25">
      <c r="A6329" s="1" t="str">
        <f>HYPERLINK("https://vegkart.atlas.vegvesen.no/#/@298991.1,6745116.5,18/hva:hva%5B0%5D%5Bfilter%5D%5B0%5D%5Boperator%5D=%21%3D&amp;hva%5B0%5D%5Bfilter%5D%5B0%5D%5Btype_id%5D=5897&amp;hva%5B0%5D%5Bfilter%5D%5B0%5D%5Bverdi%5D=&amp;hva%5B0%5D%5Bid%5D=47/når:2017-05-26", "Vegkart")</f>
        <v>Vegkart</v>
      </c>
      <c r="B6329">
        <v>784600935</v>
      </c>
      <c r="C6329">
        <v>47</v>
      </c>
      <c r="D6329" t="s">
        <v>16854</v>
      </c>
      <c r="E6329">
        <v>5897</v>
      </c>
      <c r="F6329" t="s">
        <v>23479</v>
      </c>
      <c r="G6329">
        <v>1</v>
      </c>
      <c r="H6329" t="s">
        <v>21069</v>
      </c>
      <c r="J6329" t="s">
        <v>20977</v>
      </c>
      <c r="K6329" t="s">
        <v>136</v>
      </c>
      <c r="L6329" t="s">
        <v>33</v>
      </c>
      <c r="M6329" t="s">
        <v>21070</v>
      </c>
      <c r="N6329" t="s">
        <v>21074</v>
      </c>
      <c r="O6329" t="s">
        <v>21075</v>
      </c>
      <c r="P6329" s="2" t="s">
        <v>26</v>
      </c>
      <c r="Q6329" t="s">
        <v>50</v>
      </c>
      <c r="R6329">
        <v>53.42</v>
      </c>
      <c r="S6329">
        <v>53.86</v>
      </c>
      <c r="T6329" t="s">
        <v>21076</v>
      </c>
    </row>
    <row r="6330" spans="1:20" x14ac:dyDescent="0.25">
      <c r="A6330" s="1" t="str">
        <f>HYPERLINK("https://vegkart.atlas.vegvesen.no/#/@234567.5,6638189.4,18/hva:hva%5B0%5D%5Bfilter%5D%5B0%5D%5Boperator%5D=%21%3D&amp;hva%5B0%5D%5Bfilter%5D%5B0%5D%5Btype_id%5D=5897&amp;hva%5B0%5D%5Bfilter%5D%5B0%5D%5Bverdi%5D=&amp;hva%5B0%5D%5Bid%5D=47/når:2017-06-01", "Vegkart")</f>
        <v>Vegkart</v>
      </c>
      <c r="B6330">
        <v>786247739</v>
      </c>
      <c r="C6330">
        <v>47</v>
      </c>
      <c r="D6330" t="s">
        <v>16854</v>
      </c>
      <c r="E6330">
        <v>5897</v>
      </c>
      <c r="F6330" t="s">
        <v>23479</v>
      </c>
      <c r="G6330">
        <v>1</v>
      </c>
      <c r="H6330" t="s">
        <v>20715</v>
      </c>
      <c r="J6330" t="s">
        <v>20977</v>
      </c>
      <c r="K6330" t="s">
        <v>307</v>
      </c>
      <c r="L6330" t="s">
        <v>80</v>
      </c>
      <c r="M6330" t="s">
        <v>53</v>
      </c>
      <c r="N6330" t="s">
        <v>21077</v>
      </c>
      <c r="O6330" t="s">
        <v>21078</v>
      </c>
      <c r="P6330" s="2" t="s">
        <v>26</v>
      </c>
      <c r="Q6330" t="s">
        <v>50</v>
      </c>
      <c r="R6330">
        <v>65.010000000000005</v>
      </c>
      <c r="S6330">
        <v>66.260000000000005</v>
      </c>
      <c r="T6330" t="s">
        <v>21079</v>
      </c>
    </row>
    <row r="6331" spans="1:20" x14ac:dyDescent="0.25">
      <c r="A6331" s="1" t="str">
        <f>HYPERLINK("https://vegkart.atlas.vegvesen.no/#/@234743.1,6637599.6,18/hva:hva%5B0%5D%5Bfilter%5D%5B0%5D%5Boperator%5D=%21%3D&amp;hva%5B0%5D%5Bfilter%5D%5B0%5D%5Btype_id%5D=5897&amp;hva%5B0%5D%5Bfilter%5D%5B0%5D%5Bverdi%5D=&amp;hva%5B0%5D%5Bid%5D=47/når:2017-06-01", "Vegkart")</f>
        <v>Vegkart</v>
      </c>
      <c r="B6331">
        <v>786247740</v>
      </c>
      <c r="C6331">
        <v>47</v>
      </c>
      <c r="D6331" t="s">
        <v>16854</v>
      </c>
      <c r="E6331">
        <v>5897</v>
      </c>
      <c r="F6331" t="s">
        <v>23479</v>
      </c>
      <c r="G6331">
        <v>1</v>
      </c>
      <c r="H6331" t="s">
        <v>20715</v>
      </c>
      <c r="J6331" t="s">
        <v>20977</v>
      </c>
      <c r="K6331" t="s">
        <v>307</v>
      </c>
      <c r="L6331" t="s">
        <v>80</v>
      </c>
      <c r="M6331" t="s">
        <v>53</v>
      </c>
      <c r="N6331" t="s">
        <v>21080</v>
      </c>
      <c r="O6331" t="s">
        <v>21081</v>
      </c>
      <c r="P6331" s="2" t="s">
        <v>165</v>
      </c>
      <c r="Q6331" t="s">
        <v>641</v>
      </c>
      <c r="R6331">
        <v>85.88</v>
      </c>
      <c r="S6331">
        <v>87.97</v>
      </c>
      <c r="T6331" t="s">
        <v>167</v>
      </c>
    </row>
    <row r="6332" spans="1:20" x14ac:dyDescent="0.25">
      <c r="A6332" s="1" t="str">
        <f>HYPERLINK("https://vegkart.atlas.vegvesen.no/#/@238003.4,6574340.8,18/hva:hva%5B0%5D%5Bfilter%5D%5B0%5D%5Boperator%5D=%21%3D&amp;hva%5B0%5D%5Bfilter%5D%5B0%5D%5Btype_id%5D=5897&amp;hva%5B0%5D%5Bfilter%5D%5B0%5D%5Bverdi%5D=&amp;hva%5B0%5D%5Bid%5D=47/når:2017-06-07", "Vegkart")</f>
        <v>Vegkart</v>
      </c>
      <c r="B6332">
        <v>788483500</v>
      </c>
      <c r="C6332">
        <v>47</v>
      </c>
      <c r="D6332" t="s">
        <v>16854</v>
      </c>
      <c r="E6332">
        <v>5897</v>
      </c>
      <c r="F6332" t="s">
        <v>23479</v>
      </c>
      <c r="G6332">
        <v>1</v>
      </c>
      <c r="H6332" t="s">
        <v>21082</v>
      </c>
      <c r="J6332" t="s">
        <v>20977</v>
      </c>
      <c r="K6332" t="s">
        <v>81</v>
      </c>
      <c r="L6332" t="s">
        <v>33</v>
      </c>
      <c r="M6332" t="s">
        <v>1940</v>
      </c>
      <c r="N6332" t="s">
        <v>21083</v>
      </c>
      <c r="O6332" t="s">
        <v>21084</v>
      </c>
      <c r="P6332" s="2" t="s">
        <v>37</v>
      </c>
      <c r="Q6332" t="s">
        <v>1208</v>
      </c>
      <c r="R6332">
        <v>0</v>
      </c>
      <c r="S6332">
        <v>141.56</v>
      </c>
      <c r="T6332" t="s">
        <v>21085</v>
      </c>
    </row>
    <row r="6333" spans="1:20" x14ac:dyDescent="0.25">
      <c r="A6333" s="1" t="str">
        <f>HYPERLINK("https://vegkart.atlas.vegvesen.no/#/@237928.1,6574277.4,18/hva:hva%5B0%5D%5Bfilter%5D%5B0%5D%5Boperator%5D=%21%3D&amp;hva%5B0%5D%5Bfilter%5D%5B0%5D%5Btype_id%5D=5897&amp;hva%5B0%5D%5Bfilter%5D%5B0%5D%5Bverdi%5D=&amp;hva%5B0%5D%5Bid%5D=47/når:2017-06-07", "Vegkart")</f>
        <v>Vegkart</v>
      </c>
      <c r="B6333">
        <v>788483501</v>
      </c>
      <c r="C6333">
        <v>47</v>
      </c>
      <c r="D6333" t="s">
        <v>16854</v>
      </c>
      <c r="E6333">
        <v>5897</v>
      </c>
      <c r="F6333" t="s">
        <v>23479</v>
      </c>
      <c r="G6333">
        <v>1</v>
      </c>
      <c r="H6333" t="s">
        <v>21082</v>
      </c>
      <c r="J6333" t="s">
        <v>20977</v>
      </c>
      <c r="K6333" t="s">
        <v>81</v>
      </c>
      <c r="L6333" t="s">
        <v>33</v>
      </c>
      <c r="M6333" t="s">
        <v>4536</v>
      </c>
      <c r="N6333" t="s">
        <v>21086</v>
      </c>
      <c r="O6333" t="s">
        <v>21087</v>
      </c>
      <c r="P6333" s="2" t="s">
        <v>37</v>
      </c>
      <c r="Q6333" t="s">
        <v>1208</v>
      </c>
      <c r="R6333">
        <v>0</v>
      </c>
      <c r="S6333">
        <v>138.81</v>
      </c>
      <c r="T6333" t="s">
        <v>21088</v>
      </c>
    </row>
    <row r="6334" spans="1:20" x14ac:dyDescent="0.25">
      <c r="A6334" s="1" t="str">
        <f>HYPERLINK("https://vegkart.atlas.vegvesen.no/#/@238020.7,6574213.7,18/hva:hva%5B0%5D%5Bfilter%5D%5B0%5D%5Boperator%5D=%21%3D&amp;hva%5B0%5D%5Bfilter%5D%5B0%5D%5Btype_id%5D=5897&amp;hva%5B0%5D%5Bfilter%5D%5B0%5D%5Bverdi%5D=&amp;hva%5B0%5D%5Bid%5D=47/når:2017-06-07", "Vegkart")</f>
        <v>Vegkart</v>
      </c>
      <c r="B6334">
        <v>788483502</v>
      </c>
      <c r="C6334">
        <v>47</v>
      </c>
      <c r="D6334" t="s">
        <v>16854</v>
      </c>
      <c r="E6334">
        <v>5897</v>
      </c>
      <c r="F6334" t="s">
        <v>23479</v>
      </c>
      <c r="G6334">
        <v>1</v>
      </c>
      <c r="H6334" t="s">
        <v>21082</v>
      </c>
      <c r="J6334" t="s">
        <v>20977</v>
      </c>
      <c r="K6334" t="s">
        <v>81</v>
      </c>
      <c r="L6334" t="s">
        <v>33</v>
      </c>
      <c r="M6334" t="s">
        <v>1940</v>
      </c>
      <c r="N6334" t="s">
        <v>21089</v>
      </c>
      <c r="O6334" t="s">
        <v>21090</v>
      </c>
      <c r="P6334" s="2" t="s">
        <v>37</v>
      </c>
      <c r="Q6334" t="s">
        <v>1208</v>
      </c>
      <c r="R6334">
        <v>0.01</v>
      </c>
      <c r="S6334">
        <v>138.59</v>
      </c>
      <c r="T6334" t="s">
        <v>21091</v>
      </c>
    </row>
    <row r="6335" spans="1:20" x14ac:dyDescent="0.25">
      <c r="A6335" s="1" t="str">
        <f>HYPERLINK("https://vegkart.atlas.vegvesen.no/#/@241119.1,6617545.7,18/hva:hva%5B0%5D%5Bfilter%5D%5B0%5D%5Boperator%5D=%21%3D&amp;hva%5B0%5D%5Bfilter%5D%5B0%5D%5Btype_id%5D=5897&amp;hva%5B0%5D%5Bfilter%5D%5B0%5D%5Bverdi%5D=&amp;hva%5B0%5D%5Bid%5D=47/når:2019-05-22", "Vegkart")</f>
        <v>Vegkart</v>
      </c>
      <c r="B6335">
        <v>795177926</v>
      </c>
      <c r="C6335">
        <v>47</v>
      </c>
      <c r="D6335" t="s">
        <v>16854</v>
      </c>
      <c r="E6335">
        <v>5897</v>
      </c>
      <c r="F6335" t="s">
        <v>23479</v>
      </c>
      <c r="G6335">
        <v>2</v>
      </c>
      <c r="H6335" t="s">
        <v>21092</v>
      </c>
      <c r="J6335" t="s">
        <v>21093</v>
      </c>
      <c r="K6335" t="s">
        <v>307</v>
      </c>
      <c r="L6335" t="s">
        <v>33</v>
      </c>
      <c r="M6335" t="s">
        <v>1808</v>
      </c>
      <c r="N6335" t="s">
        <v>21094</v>
      </c>
      <c r="O6335" t="s">
        <v>21095</v>
      </c>
      <c r="P6335" s="2" t="s">
        <v>26</v>
      </c>
      <c r="Q6335" t="s">
        <v>50</v>
      </c>
      <c r="R6335">
        <v>60.69</v>
      </c>
      <c r="S6335">
        <v>61.56</v>
      </c>
      <c r="T6335" t="s">
        <v>21096</v>
      </c>
    </row>
    <row r="6336" spans="1:20" x14ac:dyDescent="0.25">
      <c r="A6336" s="1" t="str">
        <f>HYPERLINK("https://vegkart.atlas.vegvesen.no/#/@277290.7,7040917.9,18/hva:hva%5B0%5D%5Bfilter%5D%5B0%5D%5Boperator%5D=%21%3D&amp;hva%5B0%5D%5Bfilter%5D%5B0%5D%5Btype_id%5D=5897&amp;hva%5B0%5D%5Bfilter%5D%5B0%5D%5Bverdi%5D=&amp;hva%5B0%5D%5Bid%5D=47/når:2017-06-28", "Vegkart")</f>
        <v>Vegkart</v>
      </c>
      <c r="B6336">
        <v>795504740</v>
      </c>
      <c r="C6336">
        <v>47</v>
      </c>
      <c r="D6336" t="s">
        <v>16854</v>
      </c>
      <c r="E6336">
        <v>5897</v>
      </c>
      <c r="F6336" t="s">
        <v>23479</v>
      </c>
      <c r="G6336">
        <v>1</v>
      </c>
      <c r="H6336" t="s">
        <v>1493</v>
      </c>
      <c r="J6336" t="s">
        <v>21097</v>
      </c>
      <c r="K6336" t="s">
        <v>192</v>
      </c>
      <c r="L6336" t="s">
        <v>22</v>
      </c>
      <c r="M6336" t="s">
        <v>18886</v>
      </c>
      <c r="N6336" t="s">
        <v>21098</v>
      </c>
      <c r="O6336" t="s">
        <v>21099</v>
      </c>
      <c r="P6336" s="2" t="s">
        <v>26</v>
      </c>
      <c r="Q6336" t="s">
        <v>50</v>
      </c>
      <c r="R6336">
        <v>53.53</v>
      </c>
      <c r="S6336">
        <v>54.55</v>
      </c>
      <c r="T6336" t="s">
        <v>21100</v>
      </c>
    </row>
    <row r="6337" spans="1:20" x14ac:dyDescent="0.25">
      <c r="A6337" s="1" t="str">
        <f>HYPERLINK("https://vegkart.atlas.vegvesen.no/#/@105678.9,6980163.3,18/hva:hva%5B0%5D%5Bfilter%5D%5B0%5D%5Boperator%5D=%21%3D&amp;hva%5B0%5D%5Bfilter%5D%5B0%5D%5Btype_id%5D=5897&amp;hva%5B0%5D%5Bfilter%5D%5B0%5D%5Bverdi%5D=&amp;hva%5B0%5D%5Bid%5D=47/når:2017-06-28", "Vegkart")</f>
        <v>Vegkart</v>
      </c>
      <c r="B6337">
        <v>795566527</v>
      </c>
      <c r="C6337">
        <v>47</v>
      </c>
      <c r="D6337" t="s">
        <v>16854</v>
      </c>
      <c r="E6337">
        <v>5897</v>
      </c>
      <c r="F6337" t="s">
        <v>23479</v>
      </c>
      <c r="G6337">
        <v>1</v>
      </c>
      <c r="H6337" t="s">
        <v>1493</v>
      </c>
      <c r="J6337" t="s">
        <v>21093</v>
      </c>
      <c r="K6337" t="s">
        <v>32</v>
      </c>
      <c r="L6337" t="s">
        <v>33</v>
      </c>
      <c r="M6337" t="s">
        <v>2529</v>
      </c>
      <c r="N6337" t="s">
        <v>21101</v>
      </c>
      <c r="O6337" t="s">
        <v>21102</v>
      </c>
      <c r="P6337" s="2" t="s">
        <v>26</v>
      </c>
      <c r="Q6337" t="s">
        <v>50</v>
      </c>
      <c r="R6337">
        <v>130.24</v>
      </c>
      <c r="S6337">
        <v>130.83000000000001</v>
      </c>
      <c r="T6337" t="s">
        <v>21103</v>
      </c>
    </row>
    <row r="6338" spans="1:20" x14ac:dyDescent="0.25">
      <c r="A6338" s="1" t="str">
        <f>HYPERLINK("https://vegkart.atlas.vegvesen.no/#/@106604.4,6979598.9,18/hva:hva%5B0%5D%5Bfilter%5D%5B0%5D%5Boperator%5D=%21%3D&amp;hva%5B0%5D%5Bfilter%5D%5B0%5D%5Btype_id%5D=5897&amp;hva%5B0%5D%5Bfilter%5D%5B0%5D%5Bverdi%5D=&amp;hva%5B0%5D%5Bid%5D=47/når:2017-06-28", "Vegkart")</f>
        <v>Vegkart</v>
      </c>
      <c r="B6338">
        <v>795566528</v>
      </c>
      <c r="C6338">
        <v>47</v>
      </c>
      <c r="D6338" t="s">
        <v>16854</v>
      </c>
      <c r="E6338">
        <v>5897</v>
      </c>
      <c r="F6338" t="s">
        <v>23479</v>
      </c>
      <c r="G6338">
        <v>1</v>
      </c>
      <c r="H6338" t="s">
        <v>1493</v>
      </c>
      <c r="J6338" t="s">
        <v>21093</v>
      </c>
      <c r="K6338" t="s">
        <v>32</v>
      </c>
      <c r="L6338" t="s">
        <v>33</v>
      </c>
      <c r="M6338" t="s">
        <v>2529</v>
      </c>
      <c r="N6338" t="s">
        <v>21104</v>
      </c>
      <c r="O6338" t="s">
        <v>21105</v>
      </c>
      <c r="P6338" s="2" t="s">
        <v>26</v>
      </c>
      <c r="Q6338" t="s">
        <v>50</v>
      </c>
      <c r="R6338">
        <v>89.87</v>
      </c>
      <c r="S6338">
        <v>90.56</v>
      </c>
      <c r="T6338" t="s">
        <v>21106</v>
      </c>
    </row>
    <row r="6339" spans="1:20" x14ac:dyDescent="0.25">
      <c r="A6339" s="1" t="str">
        <f>HYPERLINK("https://vegkart.atlas.vegvesen.no/#/@105985.6,6979615.2,18/hva:hva%5B0%5D%5Bfilter%5D%5B0%5D%5Boperator%5D=%21%3D&amp;hva%5B0%5D%5Bfilter%5D%5B0%5D%5Btype_id%5D=5897&amp;hva%5B0%5D%5Bfilter%5D%5B0%5D%5Bverdi%5D=&amp;hva%5B0%5D%5Bid%5D=47/når:2017-06-28", "Vegkart")</f>
        <v>Vegkart</v>
      </c>
      <c r="B6339">
        <v>795566529</v>
      </c>
      <c r="C6339">
        <v>47</v>
      </c>
      <c r="D6339" t="s">
        <v>16854</v>
      </c>
      <c r="E6339">
        <v>5897</v>
      </c>
      <c r="F6339" t="s">
        <v>23479</v>
      </c>
      <c r="G6339">
        <v>1</v>
      </c>
      <c r="H6339" t="s">
        <v>1493</v>
      </c>
      <c r="J6339" t="s">
        <v>21093</v>
      </c>
      <c r="K6339" t="s">
        <v>32</v>
      </c>
      <c r="L6339" t="s">
        <v>33</v>
      </c>
      <c r="M6339" t="s">
        <v>2529</v>
      </c>
      <c r="N6339" t="s">
        <v>21107</v>
      </c>
      <c r="O6339" t="s">
        <v>21108</v>
      </c>
      <c r="P6339" s="2" t="s">
        <v>26</v>
      </c>
      <c r="Q6339" t="s">
        <v>50</v>
      </c>
      <c r="R6339">
        <v>90.61</v>
      </c>
      <c r="S6339">
        <v>91.38</v>
      </c>
      <c r="T6339" t="s">
        <v>21109</v>
      </c>
    </row>
    <row r="6340" spans="1:20" x14ac:dyDescent="0.25">
      <c r="A6340" s="1" t="str">
        <f>HYPERLINK("https://vegkart.atlas.vegvesen.no/#/@105295.6,6980858.1,18/hva:hva%5B0%5D%5Bfilter%5D%5B0%5D%5Boperator%5D=%21%3D&amp;hva%5B0%5D%5Bfilter%5D%5B0%5D%5Btype_id%5D=5897&amp;hva%5B0%5D%5Bfilter%5D%5B0%5D%5Bverdi%5D=&amp;hva%5B0%5D%5Bid%5D=47/når:2017-06-28", "Vegkart")</f>
        <v>Vegkart</v>
      </c>
      <c r="B6340">
        <v>795566530</v>
      </c>
      <c r="C6340">
        <v>47</v>
      </c>
      <c r="D6340" t="s">
        <v>16854</v>
      </c>
      <c r="E6340">
        <v>5897</v>
      </c>
      <c r="F6340" t="s">
        <v>23479</v>
      </c>
      <c r="G6340">
        <v>1</v>
      </c>
      <c r="H6340" t="s">
        <v>1493</v>
      </c>
      <c r="J6340" t="s">
        <v>21093</v>
      </c>
      <c r="K6340" t="s">
        <v>32</v>
      </c>
      <c r="L6340" t="s">
        <v>33</v>
      </c>
      <c r="M6340" t="s">
        <v>2529</v>
      </c>
      <c r="N6340" t="s">
        <v>21110</v>
      </c>
      <c r="O6340" t="s">
        <v>21111</v>
      </c>
      <c r="P6340" s="2" t="s">
        <v>26</v>
      </c>
      <c r="Q6340" t="s">
        <v>50</v>
      </c>
      <c r="R6340">
        <v>90.54</v>
      </c>
      <c r="S6340">
        <v>91.19</v>
      </c>
      <c r="T6340" t="s">
        <v>21112</v>
      </c>
    </row>
    <row r="6341" spans="1:20" x14ac:dyDescent="0.25">
      <c r="A6341" s="1" t="str">
        <f>HYPERLINK("https://vegkart.atlas.vegvesen.no/#/@104539.8,6980955.9,18/hva:hva%5B0%5D%5Bfilter%5D%5B0%5D%5Boperator%5D=%21%3D&amp;hva%5B0%5D%5Bfilter%5D%5B0%5D%5Btype_id%5D=5897&amp;hva%5B0%5D%5Bfilter%5D%5B0%5D%5Bverdi%5D=&amp;hva%5B0%5D%5Bid%5D=47/når:2017-06-28", "Vegkart")</f>
        <v>Vegkart</v>
      </c>
      <c r="B6341">
        <v>795566531</v>
      </c>
      <c r="C6341">
        <v>47</v>
      </c>
      <c r="D6341" t="s">
        <v>16854</v>
      </c>
      <c r="E6341">
        <v>5897</v>
      </c>
      <c r="F6341" t="s">
        <v>23479</v>
      </c>
      <c r="G6341">
        <v>1</v>
      </c>
      <c r="H6341" t="s">
        <v>1493</v>
      </c>
      <c r="J6341" t="s">
        <v>21093</v>
      </c>
      <c r="K6341" t="s">
        <v>32</v>
      </c>
      <c r="L6341" t="s">
        <v>33</v>
      </c>
      <c r="M6341" t="s">
        <v>2529</v>
      </c>
      <c r="N6341" t="s">
        <v>21113</v>
      </c>
      <c r="O6341" t="s">
        <v>21114</v>
      </c>
      <c r="P6341" s="2" t="s">
        <v>26</v>
      </c>
      <c r="Q6341" t="s">
        <v>50</v>
      </c>
      <c r="R6341">
        <v>71.930000000000007</v>
      </c>
      <c r="S6341">
        <v>72.33</v>
      </c>
      <c r="T6341" t="s">
        <v>21115</v>
      </c>
    </row>
    <row r="6342" spans="1:20" x14ac:dyDescent="0.25">
      <c r="A6342" s="1" t="str">
        <f>HYPERLINK("https://vegkart.atlas.vegvesen.no/#/@105635.4,6980229.9,18/hva:hva%5B0%5D%5Bfilter%5D%5B0%5D%5Boperator%5D=%21%3D&amp;hva%5B0%5D%5Bfilter%5D%5B0%5D%5Btype_id%5D=5897&amp;hva%5B0%5D%5Bfilter%5D%5B0%5D%5Bverdi%5D=&amp;hva%5B0%5D%5Bid%5D=47/når:2017-06-28", "Vegkart")</f>
        <v>Vegkart</v>
      </c>
      <c r="B6342">
        <v>795566532</v>
      </c>
      <c r="C6342">
        <v>47</v>
      </c>
      <c r="D6342" t="s">
        <v>16854</v>
      </c>
      <c r="E6342">
        <v>5897</v>
      </c>
      <c r="F6342" t="s">
        <v>23479</v>
      </c>
      <c r="G6342">
        <v>1</v>
      </c>
      <c r="H6342" t="s">
        <v>1493</v>
      </c>
      <c r="J6342" t="s">
        <v>21093</v>
      </c>
      <c r="K6342" t="s">
        <v>32</v>
      </c>
      <c r="L6342" t="s">
        <v>33</v>
      </c>
      <c r="M6342" t="s">
        <v>2529</v>
      </c>
      <c r="N6342" t="s">
        <v>21116</v>
      </c>
      <c r="O6342" t="s">
        <v>21117</v>
      </c>
      <c r="P6342" s="2" t="s">
        <v>26</v>
      </c>
      <c r="Q6342" t="s">
        <v>50</v>
      </c>
      <c r="R6342">
        <v>87.16</v>
      </c>
      <c r="S6342">
        <v>87.44</v>
      </c>
      <c r="T6342" t="s">
        <v>21118</v>
      </c>
    </row>
    <row r="6343" spans="1:20" x14ac:dyDescent="0.25">
      <c r="A6343" s="1" t="str">
        <f>HYPERLINK("https://vegkart.atlas.vegvesen.no/#/@553186.2,7649085.6,18/hva:hva%5B0%5D%5Bfilter%5D%5B0%5D%5Boperator%5D=%21%3D&amp;hva%5B0%5D%5Bfilter%5D%5B0%5D%5Btype_id%5D=5897&amp;hva%5B0%5D%5Bfilter%5D%5B0%5D%5Bverdi%5D=&amp;hva%5B0%5D%5Bid%5D=47/når:2025-12-24", "Vegkart")</f>
        <v>Vegkart</v>
      </c>
      <c r="B6343">
        <v>795586303</v>
      </c>
      <c r="C6343">
        <v>47</v>
      </c>
      <c r="D6343" t="s">
        <v>16854</v>
      </c>
      <c r="E6343">
        <v>5897</v>
      </c>
      <c r="F6343" t="s">
        <v>23479</v>
      </c>
      <c r="G6343">
        <v>2</v>
      </c>
      <c r="H6343" t="s">
        <v>18135</v>
      </c>
      <c r="J6343" t="s">
        <v>18136</v>
      </c>
      <c r="K6343" t="s">
        <v>179</v>
      </c>
      <c r="L6343" t="s">
        <v>33</v>
      </c>
      <c r="M6343" t="s">
        <v>18168</v>
      </c>
      <c r="N6343" t="s">
        <v>21119</v>
      </c>
      <c r="O6343" t="s">
        <v>21120</v>
      </c>
      <c r="P6343" s="2" t="s">
        <v>26</v>
      </c>
      <c r="Q6343" t="s">
        <v>50</v>
      </c>
      <c r="R6343">
        <v>50.9</v>
      </c>
      <c r="S6343">
        <v>50.9</v>
      </c>
      <c r="T6343" t="s">
        <v>21121</v>
      </c>
    </row>
    <row r="6344" spans="1:20" x14ac:dyDescent="0.25">
      <c r="A6344" s="1" t="str">
        <f>HYPERLINK("https://vegkart.atlas.vegvesen.no/#/@108909.3,6478583.1,18/hva:hva%5B0%5D%5Bfilter%5D%5B0%5D%5Boperator%5D=%21%3D&amp;hva%5B0%5D%5Bfilter%5D%5B0%5D%5Btype_id%5D=5897&amp;hva%5B0%5D%5Bfilter%5D%5B0%5D%5Bverdi%5D=&amp;hva%5B0%5D%5Bid%5D=47/når:2017-06-30", "Vegkart")</f>
        <v>Vegkart</v>
      </c>
      <c r="B6344">
        <v>795959595</v>
      </c>
      <c r="C6344">
        <v>47</v>
      </c>
      <c r="D6344" t="s">
        <v>16854</v>
      </c>
      <c r="E6344">
        <v>5897</v>
      </c>
      <c r="F6344" t="s">
        <v>23479</v>
      </c>
      <c r="G6344">
        <v>1</v>
      </c>
      <c r="H6344" t="s">
        <v>21122</v>
      </c>
      <c r="J6344" t="s">
        <v>21093</v>
      </c>
      <c r="K6344" t="s">
        <v>86</v>
      </c>
      <c r="L6344" t="s">
        <v>33</v>
      </c>
      <c r="M6344" t="s">
        <v>20450</v>
      </c>
      <c r="N6344" t="s">
        <v>21123</v>
      </c>
      <c r="O6344" t="s">
        <v>21124</v>
      </c>
      <c r="P6344" s="2" t="s">
        <v>26</v>
      </c>
      <c r="Q6344" t="s">
        <v>50</v>
      </c>
      <c r="R6344">
        <v>59.9</v>
      </c>
      <c r="S6344">
        <v>60.26</v>
      </c>
      <c r="T6344" t="s">
        <v>21125</v>
      </c>
    </row>
    <row r="6345" spans="1:20" x14ac:dyDescent="0.25">
      <c r="A6345" s="1" t="str">
        <f>HYPERLINK("https://vegkart.atlas.vegvesen.no/#/@107267.9,6479815.9,18/hva:hva%5B0%5D%5Bfilter%5D%5B0%5D%5Boperator%5D=%21%3D&amp;hva%5B0%5D%5Bfilter%5D%5B0%5D%5Btype_id%5D=5897&amp;hva%5B0%5D%5Bfilter%5D%5B0%5D%5Bverdi%5D=&amp;hva%5B0%5D%5Bid%5D=47/når:2017-06-30", "Vegkart")</f>
        <v>Vegkart</v>
      </c>
      <c r="B6345">
        <v>795959596</v>
      </c>
      <c r="C6345">
        <v>47</v>
      </c>
      <c r="D6345" t="s">
        <v>16854</v>
      </c>
      <c r="E6345">
        <v>5897</v>
      </c>
      <c r="F6345" t="s">
        <v>23479</v>
      </c>
      <c r="G6345">
        <v>1</v>
      </c>
      <c r="H6345" t="s">
        <v>21122</v>
      </c>
      <c r="J6345" t="s">
        <v>21093</v>
      </c>
      <c r="K6345" t="s">
        <v>86</v>
      </c>
      <c r="L6345" t="s">
        <v>33</v>
      </c>
      <c r="M6345" t="s">
        <v>20450</v>
      </c>
      <c r="N6345" t="s">
        <v>21126</v>
      </c>
      <c r="O6345" t="s">
        <v>21127</v>
      </c>
      <c r="P6345" s="2" t="s">
        <v>26</v>
      </c>
      <c r="Q6345" t="s">
        <v>50</v>
      </c>
      <c r="R6345">
        <v>64.95</v>
      </c>
      <c r="S6345">
        <v>66.61</v>
      </c>
      <c r="T6345" t="s">
        <v>21128</v>
      </c>
    </row>
    <row r="6346" spans="1:20" x14ac:dyDescent="0.25">
      <c r="A6346" s="1" t="str">
        <f>HYPERLINK("https://vegkart.atlas.vegvesen.no/#/@114361.3,6478303.0,18/hva:hva%5B0%5D%5Bfilter%5D%5B0%5D%5Boperator%5D=%21%3D&amp;hva%5B0%5D%5Bfilter%5D%5B0%5D%5Btype_id%5D=5897&amp;hva%5B0%5D%5Bfilter%5D%5B0%5D%5Bverdi%5D=&amp;hva%5B0%5D%5Bid%5D=47/når:2017-07-06", "Vegkart")</f>
        <v>Vegkart</v>
      </c>
      <c r="B6346">
        <v>798101921</v>
      </c>
      <c r="C6346">
        <v>47</v>
      </c>
      <c r="D6346" t="s">
        <v>16854</v>
      </c>
      <c r="E6346">
        <v>5897</v>
      </c>
      <c r="F6346" t="s">
        <v>23479</v>
      </c>
      <c r="G6346">
        <v>1</v>
      </c>
      <c r="H6346" t="s">
        <v>21129</v>
      </c>
      <c r="J6346" t="s">
        <v>21093</v>
      </c>
      <c r="K6346" t="s">
        <v>86</v>
      </c>
      <c r="L6346" t="s">
        <v>33</v>
      </c>
      <c r="M6346" t="s">
        <v>20176</v>
      </c>
      <c r="N6346" t="s">
        <v>21130</v>
      </c>
      <c r="O6346" t="s">
        <v>21131</v>
      </c>
      <c r="P6346" s="2" t="s">
        <v>26</v>
      </c>
      <c r="Q6346" t="s">
        <v>50</v>
      </c>
      <c r="R6346">
        <v>65.23</v>
      </c>
      <c r="S6346">
        <v>65.52</v>
      </c>
      <c r="T6346" t="s">
        <v>21132</v>
      </c>
    </row>
    <row r="6347" spans="1:20" x14ac:dyDescent="0.25">
      <c r="A6347" s="1" t="str">
        <f>HYPERLINK("https://vegkart.atlas.vegvesen.no/#/@174634.8,6903875.6,18/hva:hva%5B0%5D%5Bfilter%5D%5B0%5D%5Boperator%5D=%21%3D&amp;hva%5B0%5D%5Bfilter%5D%5B0%5D%5Btype_id%5D=5897&amp;hva%5B0%5D%5Bfilter%5D%5B0%5D%5Bverdi%5D=&amp;hva%5B0%5D%5Bid%5D=47/når:2016-08-25", "Vegkart")</f>
        <v>Vegkart</v>
      </c>
      <c r="B6347">
        <v>806569526</v>
      </c>
      <c r="C6347">
        <v>47</v>
      </c>
      <c r="D6347" t="s">
        <v>16854</v>
      </c>
      <c r="E6347">
        <v>5897</v>
      </c>
      <c r="F6347" t="s">
        <v>23479</v>
      </c>
      <c r="G6347">
        <v>1</v>
      </c>
      <c r="H6347" t="s">
        <v>21133</v>
      </c>
      <c r="J6347" t="s">
        <v>21134</v>
      </c>
      <c r="K6347" t="s">
        <v>136</v>
      </c>
      <c r="L6347" t="s">
        <v>80</v>
      </c>
      <c r="M6347" t="s">
        <v>1217</v>
      </c>
      <c r="N6347" t="s">
        <v>21135</v>
      </c>
      <c r="O6347" t="s">
        <v>21136</v>
      </c>
      <c r="P6347" s="2" t="s">
        <v>26</v>
      </c>
      <c r="Q6347" t="s">
        <v>50</v>
      </c>
      <c r="R6347">
        <v>63.27</v>
      </c>
      <c r="S6347">
        <v>64.02</v>
      </c>
      <c r="T6347" t="s">
        <v>21137</v>
      </c>
    </row>
    <row r="6348" spans="1:20" x14ac:dyDescent="0.25">
      <c r="A6348" s="1" t="str">
        <f>HYPERLINK("https://vegkart.atlas.vegvesen.no/#/@174745.1,6903813.7,18/hva:hva%5B0%5D%5Bfilter%5D%5B0%5D%5Boperator%5D=%21%3D&amp;hva%5B0%5D%5Bfilter%5D%5B0%5D%5Btype_id%5D=5897&amp;hva%5B0%5D%5Bfilter%5D%5B0%5D%5Bverdi%5D=&amp;hva%5B0%5D%5Bid%5D=47/når:2016-08-25", "Vegkart")</f>
        <v>Vegkart</v>
      </c>
      <c r="B6348">
        <v>806569596</v>
      </c>
      <c r="C6348">
        <v>47</v>
      </c>
      <c r="D6348" t="s">
        <v>16854</v>
      </c>
      <c r="E6348">
        <v>5897</v>
      </c>
      <c r="F6348" t="s">
        <v>23479</v>
      </c>
      <c r="G6348">
        <v>1</v>
      </c>
      <c r="H6348" t="s">
        <v>21133</v>
      </c>
      <c r="J6348" t="s">
        <v>21134</v>
      </c>
      <c r="K6348" t="s">
        <v>136</v>
      </c>
      <c r="L6348" t="s">
        <v>80</v>
      </c>
      <c r="M6348" t="s">
        <v>1217</v>
      </c>
      <c r="N6348" t="s">
        <v>21138</v>
      </c>
      <c r="O6348" t="s">
        <v>21139</v>
      </c>
      <c r="P6348" s="2" t="s">
        <v>26</v>
      </c>
      <c r="Q6348" t="s">
        <v>50</v>
      </c>
      <c r="R6348">
        <v>63.71</v>
      </c>
      <c r="S6348">
        <v>64.91</v>
      </c>
      <c r="T6348" t="s">
        <v>21140</v>
      </c>
    </row>
    <row r="6349" spans="1:20" x14ac:dyDescent="0.25">
      <c r="A6349" s="1" t="str">
        <f>HYPERLINK("https://vegkart.atlas.vegvesen.no/#/@-42763.9,6732495.5,18/hva:hva%5B0%5D%5Bfilter%5D%5B0%5D%5Boperator%5D=%21%3D&amp;hva%5B0%5D%5Bfilter%5D%5B0%5D%5Btype_id%5D=5897&amp;hva%5B0%5D%5Bfilter%5D%5B0%5D%5Bverdi%5D=&amp;hva%5B0%5D%5Bid%5D=47/når:2017-08-07", "Vegkart")</f>
        <v>Vegkart</v>
      </c>
      <c r="B6349">
        <v>810396607</v>
      </c>
      <c r="C6349">
        <v>47</v>
      </c>
      <c r="D6349" t="s">
        <v>16854</v>
      </c>
      <c r="E6349">
        <v>5897</v>
      </c>
      <c r="F6349" t="s">
        <v>23479</v>
      </c>
      <c r="G6349">
        <v>1</v>
      </c>
      <c r="H6349" t="s">
        <v>6778</v>
      </c>
      <c r="J6349" t="s">
        <v>21134</v>
      </c>
      <c r="K6349" t="s">
        <v>21</v>
      </c>
      <c r="L6349" t="s">
        <v>33</v>
      </c>
      <c r="M6349" t="s">
        <v>12047</v>
      </c>
      <c r="N6349" t="s">
        <v>21141</v>
      </c>
      <c r="O6349" t="s">
        <v>21142</v>
      </c>
      <c r="P6349" s="2" t="s">
        <v>26</v>
      </c>
      <c r="Q6349" t="s">
        <v>50</v>
      </c>
      <c r="R6349">
        <v>69.52</v>
      </c>
      <c r="S6349">
        <v>69.7</v>
      </c>
      <c r="T6349" t="s">
        <v>21143</v>
      </c>
    </row>
    <row r="6350" spans="1:20" x14ac:dyDescent="0.25">
      <c r="A6350" s="1" t="str">
        <f>HYPERLINK("https://vegkart.atlas.vegvesen.no/#/@-42754.0,6732424.8,18/hva:hva%5B0%5D%5Bfilter%5D%5B0%5D%5Boperator%5D=%21%3D&amp;hva%5B0%5D%5Bfilter%5D%5B0%5D%5Btype_id%5D=5897&amp;hva%5B0%5D%5Bfilter%5D%5B0%5D%5Bverdi%5D=&amp;hva%5B0%5D%5Bid%5D=47/når:2017-08-07", "Vegkart")</f>
        <v>Vegkart</v>
      </c>
      <c r="B6350">
        <v>810396608</v>
      </c>
      <c r="C6350">
        <v>47</v>
      </c>
      <c r="D6350" t="s">
        <v>16854</v>
      </c>
      <c r="E6350">
        <v>5897</v>
      </c>
      <c r="F6350" t="s">
        <v>23479</v>
      </c>
      <c r="G6350">
        <v>1</v>
      </c>
      <c r="H6350" t="s">
        <v>6778</v>
      </c>
      <c r="J6350" t="s">
        <v>21134</v>
      </c>
      <c r="K6350" t="s">
        <v>21</v>
      </c>
      <c r="L6350" t="s">
        <v>33</v>
      </c>
      <c r="M6350" t="s">
        <v>12047</v>
      </c>
      <c r="N6350" t="s">
        <v>21144</v>
      </c>
      <c r="O6350" t="s">
        <v>21145</v>
      </c>
      <c r="P6350" s="2" t="s">
        <v>26</v>
      </c>
      <c r="Q6350" t="s">
        <v>50</v>
      </c>
      <c r="R6350">
        <v>70.260000000000005</v>
      </c>
      <c r="S6350">
        <v>70.45</v>
      </c>
      <c r="T6350" t="s">
        <v>21146</v>
      </c>
    </row>
    <row r="6351" spans="1:20" x14ac:dyDescent="0.25">
      <c r="A6351" s="1" t="str">
        <f>HYPERLINK("https://vegkart.atlas.vegvesen.no/#/@-42791.6,6732037.7,18/hva:hva%5B0%5D%5Bfilter%5D%5B0%5D%5Boperator%5D=%21%3D&amp;hva%5B0%5D%5Bfilter%5D%5B0%5D%5Btype_id%5D=5897&amp;hva%5B0%5D%5Bfilter%5D%5B0%5D%5Bverdi%5D=&amp;hva%5B0%5D%5Bid%5D=47/når:2017-08-07", "Vegkart")</f>
        <v>Vegkart</v>
      </c>
      <c r="B6351">
        <v>810396609</v>
      </c>
      <c r="C6351">
        <v>47</v>
      </c>
      <c r="D6351" t="s">
        <v>16854</v>
      </c>
      <c r="E6351">
        <v>5897</v>
      </c>
      <c r="F6351" t="s">
        <v>23479</v>
      </c>
      <c r="G6351">
        <v>1</v>
      </c>
      <c r="H6351" t="s">
        <v>6778</v>
      </c>
      <c r="J6351" t="s">
        <v>21134</v>
      </c>
      <c r="K6351" t="s">
        <v>21</v>
      </c>
      <c r="L6351" t="s">
        <v>33</v>
      </c>
      <c r="M6351" t="s">
        <v>12047</v>
      </c>
      <c r="N6351" t="s">
        <v>21147</v>
      </c>
      <c r="O6351" t="s">
        <v>21148</v>
      </c>
      <c r="P6351" s="2" t="s">
        <v>26</v>
      </c>
      <c r="Q6351" t="s">
        <v>50</v>
      </c>
      <c r="R6351">
        <v>70.31</v>
      </c>
      <c r="S6351">
        <v>70.400000000000006</v>
      </c>
      <c r="T6351" t="s">
        <v>21149</v>
      </c>
    </row>
    <row r="6352" spans="1:20" x14ac:dyDescent="0.25">
      <c r="A6352" s="1" t="str">
        <f>HYPERLINK("https://vegkart.atlas.vegvesen.no/#/@-42811.7,6731930.7,18/hva:hva%5B0%5D%5Bfilter%5D%5B0%5D%5Boperator%5D=%21%3D&amp;hva%5B0%5D%5Bfilter%5D%5B0%5D%5Btype_id%5D=5897&amp;hva%5B0%5D%5Bfilter%5D%5B0%5D%5Bverdi%5D=&amp;hva%5B0%5D%5Bid%5D=47/når:2017-08-07", "Vegkart")</f>
        <v>Vegkart</v>
      </c>
      <c r="B6352">
        <v>810396610</v>
      </c>
      <c r="C6352">
        <v>47</v>
      </c>
      <c r="D6352" t="s">
        <v>16854</v>
      </c>
      <c r="E6352">
        <v>5897</v>
      </c>
      <c r="F6352" t="s">
        <v>23479</v>
      </c>
      <c r="G6352">
        <v>1</v>
      </c>
      <c r="H6352" t="s">
        <v>6778</v>
      </c>
      <c r="J6352" t="s">
        <v>21134</v>
      </c>
      <c r="K6352" t="s">
        <v>21</v>
      </c>
      <c r="L6352" t="s">
        <v>33</v>
      </c>
      <c r="M6352" t="s">
        <v>12047</v>
      </c>
      <c r="N6352" t="s">
        <v>21150</v>
      </c>
      <c r="O6352" t="s">
        <v>21151</v>
      </c>
      <c r="P6352" s="2" t="s">
        <v>26</v>
      </c>
      <c r="Q6352" t="s">
        <v>50</v>
      </c>
      <c r="R6352">
        <v>66.12</v>
      </c>
      <c r="S6352">
        <v>66.39</v>
      </c>
      <c r="T6352" t="s">
        <v>21152</v>
      </c>
    </row>
    <row r="6353" spans="1:20" x14ac:dyDescent="0.25">
      <c r="A6353" s="1" t="str">
        <f>HYPERLINK("https://vegkart.atlas.vegvesen.no/#/@195577.1,6558883.6,18/hva:hva%5B0%5D%5Bfilter%5D%5B0%5D%5Boperator%5D=%21%3D&amp;hva%5B0%5D%5Bfilter%5D%5B0%5D%5Btype_id%5D=5897&amp;hva%5B0%5D%5Bfilter%5D%5B0%5D%5Bverdi%5D=&amp;hva%5B0%5D%5Bid%5D=47/når:2019-05-31", "Vegkart")</f>
        <v>Vegkart</v>
      </c>
      <c r="B6353">
        <v>810511809</v>
      </c>
      <c r="C6353">
        <v>47</v>
      </c>
      <c r="D6353" t="s">
        <v>16854</v>
      </c>
      <c r="E6353">
        <v>5897</v>
      </c>
      <c r="F6353" t="s">
        <v>23479</v>
      </c>
      <c r="G6353">
        <v>2</v>
      </c>
      <c r="H6353" t="s">
        <v>21153</v>
      </c>
      <c r="J6353" t="s">
        <v>21134</v>
      </c>
      <c r="K6353" t="s">
        <v>197</v>
      </c>
      <c r="L6353" t="s">
        <v>113</v>
      </c>
      <c r="M6353" t="s">
        <v>2012</v>
      </c>
      <c r="N6353" t="s">
        <v>21154</v>
      </c>
      <c r="O6353" t="s">
        <v>21155</v>
      </c>
      <c r="P6353" s="2" t="s">
        <v>26</v>
      </c>
      <c r="Q6353" t="s">
        <v>50</v>
      </c>
      <c r="R6353">
        <v>74.95</v>
      </c>
      <c r="S6353">
        <v>75.150000000000006</v>
      </c>
      <c r="T6353" t="s">
        <v>21156</v>
      </c>
    </row>
    <row r="6354" spans="1:20" x14ac:dyDescent="0.25">
      <c r="A6354" s="1" t="str">
        <f>HYPERLINK("https://vegkart.atlas.vegvesen.no/#/@195661.4,6558462.9,18/hva:hva%5B0%5D%5Bfilter%5D%5B0%5D%5Boperator%5D=%21%3D&amp;hva%5B0%5D%5Bfilter%5D%5B0%5D%5Btype_id%5D=5897&amp;hva%5B0%5D%5Bfilter%5D%5B0%5D%5Bverdi%5D=&amp;hva%5B0%5D%5Bid%5D=47/når:2017-08-07", "Vegkart")</f>
        <v>Vegkart</v>
      </c>
      <c r="B6354">
        <v>810511810</v>
      </c>
      <c r="C6354">
        <v>47</v>
      </c>
      <c r="D6354" t="s">
        <v>16854</v>
      </c>
      <c r="E6354">
        <v>5897</v>
      </c>
      <c r="F6354" t="s">
        <v>23479</v>
      </c>
      <c r="G6354">
        <v>1</v>
      </c>
      <c r="H6354" t="s">
        <v>6778</v>
      </c>
      <c r="J6354" t="s">
        <v>21134</v>
      </c>
      <c r="K6354" t="s">
        <v>197</v>
      </c>
      <c r="L6354" t="s">
        <v>113</v>
      </c>
      <c r="M6354" t="s">
        <v>2012</v>
      </c>
      <c r="N6354" t="s">
        <v>21157</v>
      </c>
      <c r="O6354" t="s">
        <v>21158</v>
      </c>
      <c r="P6354" s="2" t="s">
        <v>26</v>
      </c>
      <c r="Q6354" t="s">
        <v>50</v>
      </c>
      <c r="R6354">
        <v>66.540000000000006</v>
      </c>
      <c r="S6354">
        <v>67.62</v>
      </c>
      <c r="T6354" t="s">
        <v>21159</v>
      </c>
    </row>
    <row r="6355" spans="1:20" x14ac:dyDescent="0.25">
      <c r="A6355" s="1" t="str">
        <f>HYPERLINK("https://vegkart.atlas.vegvesen.no/#/@-48749.3,6778563.5,18/hva:hva%5B0%5D%5Bfilter%5D%5B0%5D%5Boperator%5D=%21%3D&amp;hva%5B0%5D%5Bfilter%5D%5B0%5D%5Btype_id%5D=5897&amp;hva%5B0%5D%5Bfilter%5D%5B0%5D%5Bverdi%5D=&amp;hva%5B0%5D%5Bid%5D=47/når:2024-06-19", "Vegkart")</f>
        <v>Vegkart</v>
      </c>
      <c r="B6355">
        <v>816054037</v>
      </c>
      <c r="C6355">
        <v>47</v>
      </c>
      <c r="D6355" t="s">
        <v>16854</v>
      </c>
      <c r="E6355">
        <v>5897</v>
      </c>
      <c r="F6355" t="s">
        <v>23479</v>
      </c>
      <c r="G6355">
        <v>2</v>
      </c>
      <c r="H6355" t="s">
        <v>11336</v>
      </c>
      <c r="J6355" t="s">
        <v>21160</v>
      </c>
      <c r="K6355" t="s">
        <v>21</v>
      </c>
      <c r="L6355" t="s">
        <v>33</v>
      </c>
      <c r="M6355" t="s">
        <v>21161</v>
      </c>
      <c r="N6355" t="s">
        <v>21162</v>
      </c>
      <c r="O6355" t="s">
        <v>21163</v>
      </c>
      <c r="P6355" s="2" t="s">
        <v>26</v>
      </c>
      <c r="Q6355" t="s">
        <v>50</v>
      </c>
      <c r="R6355">
        <v>27.55</v>
      </c>
      <c r="S6355">
        <v>27.55</v>
      </c>
      <c r="T6355" t="s">
        <v>21164</v>
      </c>
    </row>
    <row r="6356" spans="1:20" x14ac:dyDescent="0.25">
      <c r="A6356" s="1" t="str">
        <f>HYPERLINK("https://vegkart.atlas.vegvesen.no/#/@238981.2,6576565.0,18/hva:hva%5B0%5D%5Bfilter%5D%5B0%5D%5Boperator%5D=%21%3D&amp;hva%5B0%5D%5Bfilter%5D%5B0%5D%5Btype_id%5D=5897&amp;hva%5B0%5D%5Bfilter%5D%5B0%5D%5Bverdi%5D=&amp;hva%5B0%5D%5Bid%5D=47/når:2017-08-23", "Vegkart")</f>
        <v>Vegkart</v>
      </c>
      <c r="B6356">
        <v>816306198</v>
      </c>
      <c r="C6356">
        <v>47</v>
      </c>
      <c r="D6356" t="s">
        <v>16854</v>
      </c>
      <c r="E6356">
        <v>5897</v>
      </c>
      <c r="F6356" t="s">
        <v>23479</v>
      </c>
      <c r="G6356">
        <v>1</v>
      </c>
      <c r="H6356" t="s">
        <v>21165</v>
      </c>
      <c r="J6356" t="s">
        <v>21160</v>
      </c>
      <c r="K6356" t="s">
        <v>81</v>
      </c>
      <c r="L6356" t="s">
        <v>33</v>
      </c>
      <c r="M6356" t="s">
        <v>1926</v>
      </c>
      <c r="N6356" t="s">
        <v>21166</v>
      </c>
      <c r="O6356" t="s">
        <v>21167</v>
      </c>
      <c r="P6356" s="2" t="s">
        <v>26</v>
      </c>
      <c r="Q6356" t="s">
        <v>50</v>
      </c>
      <c r="R6356">
        <v>44.31</v>
      </c>
      <c r="S6356">
        <v>44.62</v>
      </c>
      <c r="T6356" t="s">
        <v>21168</v>
      </c>
    </row>
    <row r="6357" spans="1:20" x14ac:dyDescent="0.25">
      <c r="A6357" s="1" t="str">
        <f>HYPERLINK("https://vegkart.atlas.vegvesen.no/#/@238440.6,6578071.7,18/hva:hva%5B0%5D%5Bfilter%5D%5B0%5D%5Boperator%5D=%21%3D&amp;hva%5B0%5D%5Bfilter%5D%5B0%5D%5Btype_id%5D=5897&amp;hva%5B0%5D%5Bfilter%5D%5B0%5D%5Bverdi%5D=&amp;hva%5B0%5D%5Bid%5D=47/når:2017-08-23", "Vegkart")</f>
        <v>Vegkart</v>
      </c>
      <c r="B6357">
        <v>816349799</v>
      </c>
      <c r="C6357">
        <v>47</v>
      </c>
      <c r="D6357" t="s">
        <v>16854</v>
      </c>
      <c r="E6357">
        <v>5897</v>
      </c>
      <c r="F6357" t="s">
        <v>23479</v>
      </c>
      <c r="G6357">
        <v>1</v>
      </c>
      <c r="H6357" t="s">
        <v>21165</v>
      </c>
      <c r="J6357" t="s">
        <v>21160</v>
      </c>
      <c r="K6357" t="s">
        <v>81</v>
      </c>
      <c r="L6357" t="s">
        <v>33</v>
      </c>
      <c r="M6357" t="s">
        <v>4536</v>
      </c>
      <c r="N6357" t="s">
        <v>21169</v>
      </c>
      <c r="O6357" t="s">
        <v>21170</v>
      </c>
      <c r="P6357" s="2" t="s">
        <v>26</v>
      </c>
      <c r="Q6357" t="s">
        <v>50</v>
      </c>
      <c r="R6357">
        <v>61.2</v>
      </c>
      <c r="S6357">
        <v>61.73</v>
      </c>
      <c r="T6357" t="s">
        <v>21171</v>
      </c>
    </row>
    <row r="6358" spans="1:20" x14ac:dyDescent="0.25">
      <c r="A6358" s="1" t="str">
        <f>HYPERLINK("https://vegkart.atlas.vegvesen.no/#/@119292.7,6744907.8,18/hva:hva%5B0%5D%5Bfilter%5D%5B0%5D%5Boperator%5D=%21%3D&amp;hva%5B0%5D%5Bfilter%5D%5B0%5D%5Btype_id%5D=5897&amp;hva%5B0%5D%5Bfilter%5D%5B0%5D%5Bverdi%5D=&amp;hva%5B0%5D%5Bid%5D=47/når:2018-09-27", "Vegkart")</f>
        <v>Vegkart</v>
      </c>
      <c r="B6358">
        <v>821697216</v>
      </c>
      <c r="C6358">
        <v>47</v>
      </c>
      <c r="D6358" t="s">
        <v>16854</v>
      </c>
      <c r="E6358">
        <v>5897</v>
      </c>
      <c r="F6358" t="s">
        <v>23479</v>
      </c>
      <c r="G6358">
        <v>2</v>
      </c>
      <c r="H6358" t="s">
        <v>21172</v>
      </c>
      <c r="J6358" t="s">
        <v>21160</v>
      </c>
      <c r="K6358" t="s">
        <v>307</v>
      </c>
      <c r="L6358" t="s">
        <v>33</v>
      </c>
      <c r="M6358" t="s">
        <v>192</v>
      </c>
      <c r="N6358" t="s">
        <v>21173</v>
      </c>
      <c r="O6358" t="s">
        <v>21174</v>
      </c>
      <c r="P6358" s="2" t="s">
        <v>26</v>
      </c>
      <c r="Q6358" t="s">
        <v>50</v>
      </c>
      <c r="R6358">
        <v>37.9</v>
      </c>
      <c r="S6358">
        <v>38.01</v>
      </c>
      <c r="T6358" t="s">
        <v>21175</v>
      </c>
    </row>
    <row r="6359" spans="1:20" x14ac:dyDescent="0.25">
      <c r="A6359" s="1" t="str">
        <f>HYPERLINK("https://vegkart.atlas.vegvesen.no/#/@1056204.1,7841929.2,18/hva:hva%5B0%5D%5Bfilter%5D%5B0%5D%5Boperator%5D=%21%3D&amp;hva%5B0%5D%5Bfilter%5D%5B0%5D%5Btype_id%5D=5897&amp;hva%5B0%5D%5Bfilter%5D%5B0%5D%5Bverdi%5D=&amp;hva%5B0%5D%5Bid%5D=47/når:2017-09-14", "Vegkart")</f>
        <v>Vegkart</v>
      </c>
      <c r="B6359">
        <v>824870924</v>
      </c>
      <c r="C6359">
        <v>47</v>
      </c>
      <c r="D6359" t="s">
        <v>16854</v>
      </c>
      <c r="E6359">
        <v>5897</v>
      </c>
      <c r="F6359" t="s">
        <v>23479</v>
      </c>
      <c r="G6359">
        <v>2</v>
      </c>
      <c r="H6359" t="s">
        <v>17933</v>
      </c>
      <c r="J6359" t="s">
        <v>21160</v>
      </c>
      <c r="K6359" t="s">
        <v>450</v>
      </c>
      <c r="L6359" t="s">
        <v>80</v>
      </c>
      <c r="M6359" t="s">
        <v>17889</v>
      </c>
      <c r="N6359" t="s">
        <v>21176</v>
      </c>
      <c r="O6359" t="s">
        <v>21177</v>
      </c>
      <c r="P6359" s="2" t="s">
        <v>37</v>
      </c>
      <c r="Q6359" t="s">
        <v>1208</v>
      </c>
      <c r="R6359">
        <v>3.62</v>
      </c>
      <c r="S6359">
        <v>78.599999999999994</v>
      </c>
      <c r="T6359" t="s">
        <v>21178</v>
      </c>
    </row>
    <row r="6360" spans="1:20" x14ac:dyDescent="0.25">
      <c r="A6360" s="1" t="str">
        <f>HYPERLINK("https://vegkart.atlas.vegvesen.no/#/@1056242.2,7841927.8,18/hva:hva%5B0%5D%5Bfilter%5D%5B0%5D%5Boperator%5D=%21%3D&amp;hva%5B0%5D%5Bfilter%5D%5B0%5D%5Btype_id%5D=5897&amp;hva%5B0%5D%5Bfilter%5D%5B0%5D%5Bverdi%5D=&amp;hva%5B0%5D%5Bid%5D=47/når:2017-09-14", "Vegkart")</f>
        <v>Vegkart</v>
      </c>
      <c r="B6360">
        <v>824870925</v>
      </c>
      <c r="C6360">
        <v>47</v>
      </c>
      <c r="D6360" t="s">
        <v>16854</v>
      </c>
      <c r="E6360">
        <v>5897</v>
      </c>
      <c r="F6360" t="s">
        <v>23479</v>
      </c>
      <c r="G6360">
        <v>2</v>
      </c>
      <c r="H6360" t="s">
        <v>17933</v>
      </c>
      <c r="J6360" t="s">
        <v>21160</v>
      </c>
      <c r="K6360" t="s">
        <v>450</v>
      </c>
      <c r="L6360" t="s">
        <v>80</v>
      </c>
      <c r="M6360" t="s">
        <v>17889</v>
      </c>
      <c r="N6360" t="s">
        <v>21179</v>
      </c>
      <c r="O6360" t="s">
        <v>21180</v>
      </c>
      <c r="P6360" s="2" t="s">
        <v>37</v>
      </c>
      <c r="Q6360" t="s">
        <v>1208</v>
      </c>
      <c r="R6360">
        <v>3.74</v>
      </c>
      <c r="S6360">
        <v>62.62</v>
      </c>
      <c r="T6360" t="s">
        <v>21181</v>
      </c>
    </row>
    <row r="6361" spans="1:20" x14ac:dyDescent="0.25">
      <c r="A6361" s="1" t="str">
        <f>HYPERLINK("https://vegkart.atlas.vegvesen.no/#/@1056336.5,7841935.6,18/hva:hva%5B0%5D%5Bfilter%5D%5B0%5D%5Boperator%5D=%21%3D&amp;hva%5B0%5D%5Bfilter%5D%5B0%5D%5Btype_id%5D=5897&amp;hva%5B0%5D%5Bfilter%5D%5B0%5D%5Bverdi%5D=&amp;hva%5B0%5D%5Bid%5D=47/når:2017-09-14", "Vegkart")</f>
        <v>Vegkart</v>
      </c>
      <c r="B6361">
        <v>824870926</v>
      </c>
      <c r="C6361">
        <v>47</v>
      </c>
      <c r="D6361" t="s">
        <v>16854</v>
      </c>
      <c r="E6361">
        <v>5897</v>
      </c>
      <c r="F6361" t="s">
        <v>23479</v>
      </c>
      <c r="G6361">
        <v>2</v>
      </c>
      <c r="H6361" t="s">
        <v>17933</v>
      </c>
      <c r="J6361" t="s">
        <v>21160</v>
      </c>
      <c r="K6361" t="s">
        <v>450</v>
      </c>
      <c r="L6361" t="s">
        <v>80</v>
      </c>
      <c r="M6361" t="s">
        <v>17889</v>
      </c>
      <c r="N6361" t="s">
        <v>21182</v>
      </c>
      <c r="O6361" t="s">
        <v>21183</v>
      </c>
      <c r="P6361" s="2" t="s">
        <v>37</v>
      </c>
      <c r="Q6361" t="s">
        <v>1208</v>
      </c>
      <c r="R6361">
        <v>4.33</v>
      </c>
      <c r="S6361">
        <v>65.290000000000006</v>
      </c>
      <c r="T6361" t="s">
        <v>21184</v>
      </c>
    </row>
    <row r="6362" spans="1:20" x14ac:dyDescent="0.25">
      <c r="A6362" s="1" t="str">
        <f>HYPERLINK("https://vegkart.atlas.vegvesen.no/#/@1060338.6,7841657.7,18/hva:hva%5B0%5D%5Bfilter%5D%5B0%5D%5Boperator%5D=%21%3D&amp;hva%5B0%5D%5Bfilter%5D%5B0%5D%5Btype_id%5D=5897&amp;hva%5B0%5D%5Bfilter%5D%5B0%5D%5Bverdi%5D=&amp;hva%5B0%5D%5Bid%5D=47/når:2017-09-13", "Vegkart")</f>
        <v>Vegkart</v>
      </c>
      <c r="B6362">
        <v>824870927</v>
      </c>
      <c r="C6362">
        <v>47</v>
      </c>
      <c r="D6362" t="s">
        <v>16854</v>
      </c>
      <c r="E6362">
        <v>5897</v>
      </c>
      <c r="F6362" t="s">
        <v>23479</v>
      </c>
      <c r="G6362">
        <v>1</v>
      </c>
      <c r="H6362" t="s">
        <v>21185</v>
      </c>
      <c r="J6362" t="s">
        <v>21160</v>
      </c>
      <c r="K6362" t="s">
        <v>450</v>
      </c>
      <c r="L6362" t="s">
        <v>80</v>
      </c>
      <c r="M6362" t="s">
        <v>17889</v>
      </c>
      <c r="N6362" t="s">
        <v>21186</v>
      </c>
      <c r="O6362" t="s">
        <v>21187</v>
      </c>
      <c r="P6362" s="2" t="s">
        <v>37</v>
      </c>
      <c r="Q6362" t="s">
        <v>1208</v>
      </c>
      <c r="R6362">
        <v>2.0099999999999998</v>
      </c>
      <c r="S6362">
        <v>119.54</v>
      </c>
      <c r="T6362" t="s">
        <v>21188</v>
      </c>
    </row>
    <row r="6363" spans="1:20" x14ac:dyDescent="0.25">
      <c r="A6363" s="1" t="str">
        <f>HYPERLINK("https://vegkart.atlas.vegvesen.no/#/@309990.3,7042626.2,18/hva:hva%5B0%5D%5Bfilter%5D%5B0%5D%5Boperator%5D=%21%3D&amp;hva%5B0%5D%5Bfilter%5D%5B0%5D%5Btype_id%5D=5897&amp;hva%5B0%5D%5Bfilter%5D%5B0%5D%5Bverdi%5D=&amp;hva%5B0%5D%5Bid%5D=47/når:2017-09-20", "Vegkart")</f>
        <v>Vegkart</v>
      </c>
      <c r="B6363">
        <v>826738671</v>
      </c>
      <c r="C6363">
        <v>47</v>
      </c>
      <c r="D6363" t="s">
        <v>16854</v>
      </c>
      <c r="E6363">
        <v>5897</v>
      </c>
      <c r="F6363" t="s">
        <v>23479</v>
      </c>
      <c r="G6363">
        <v>1</v>
      </c>
      <c r="H6363" t="s">
        <v>21189</v>
      </c>
      <c r="J6363" t="s">
        <v>21160</v>
      </c>
      <c r="K6363" t="s">
        <v>192</v>
      </c>
      <c r="L6363" t="s">
        <v>80</v>
      </c>
      <c r="M6363" t="s">
        <v>2436</v>
      </c>
      <c r="N6363" t="s">
        <v>21190</v>
      </c>
      <c r="O6363" t="s">
        <v>21191</v>
      </c>
      <c r="P6363" s="2" t="s">
        <v>165</v>
      </c>
      <c r="Q6363" t="s">
        <v>166</v>
      </c>
      <c r="R6363">
        <v>59.25</v>
      </c>
      <c r="S6363">
        <v>59.47</v>
      </c>
      <c r="T6363" t="s">
        <v>167</v>
      </c>
    </row>
    <row r="6364" spans="1:20" x14ac:dyDescent="0.25">
      <c r="A6364" s="1" t="str">
        <f>HYPERLINK("https://vegkart.atlas.vegvesen.no/#/@310065.5,7042579.0,18/hva:hva%5B0%5D%5Bfilter%5D%5B0%5D%5Boperator%5D=%21%3D&amp;hva%5B0%5D%5Bfilter%5D%5B0%5D%5Btype_id%5D=5897&amp;hva%5B0%5D%5Bfilter%5D%5B0%5D%5Bverdi%5D=&amp;hva%5B0%5D%5Bid%5D=47/når:2017-09-20", "Vegkart")</f>
        <v>Vegkart</v>
      </c>
      <c r="B6364">
        <v>826738672</v>
      </c>
      <c r="C6364">
        <v>47</v>
      </c>
      <c r="D6364" t="s">
        <v>16854</v>
      </c>
      <c r="E6364">
        <v>5897</v>
      </c>
      <c r="F6364" t="s">
        <v>23479</v>
      </c>
      <c r="G6364">
        <v>1</v>
      </c>
      <c r="H6364" t="s">
        <v>21189</v>
      </c>
      <c r="J6364" t="s">
        <v>21160</v>
      </c>
      <c r="K6364" t="s">
        <v>192</v>
      </c>
      <c r="L6364" t="s">
        <v>80</v>
      </c>
      <c r="M6364" t="s">
        <v>2436</v>
      </c>
      <c r="N6364" t="s">
        <v>21192</v>
      </c>
      <c r="O6364" t="s">
        <v>21193</v>
      </c>
      <c r="P6364" s="2" t="s">
        <v>165</v>
      </c>
      <c r="Q6364" t="s">
        <v>166</v>
      </c>
      <c r="R6364">
        <v>89.64</v>
      </c>
      <c r="S6364">
        <v>89.89</v>
      </c>
      <c r="T6364" t="s">
        <v>167</v>
      </c>
    </row>
    <row r="6365" spans="1:20" x14ac:dyDescent="0.25">
      <c r="A6365" s="1" t="str">
        <f>HYPERLINK("https://vegkart.atlas.vegvesen.no/#/@1079300.1,7865366.0,18/hva:hva%5B0%5D%5Bfilter%5D%5B0%5D%5Boperator%5D=%21%3D&amp;hva%5B0%5D%5Bfilter%5D%5B0%5D%5Btype_id%5D=5897&amp;hva%5B0%5D%5Bfilter%5D%5B0%5D%5Bverdi%5D=&amp;hva%5B0%5D%5Bid%5D=47/når:2017-09-25", "Vegkart")</f>
        <v>Vegkart</v>
      </c>
      <c r="B6365">
        <v>828231699</v>
      </c>
      <c r="C6365">
        <v>47</v>
      </c>
      <c r="D6365" t="s">
        <v>16854</v>
      </c>
      <c r="E6365">
        <v>5897</v>
      </c>
      <c r="F6365" t="s">
        <v>23479</v>
      </c>
      <c r="G6365">
        <v>1</v>
      </c>
      <c r="H6365" t="s">
        <v>17887</v>
      </c>
      <c r="J6365" t="s">
        <v>21160</v>
      </c>
      <c r="K6365" t="s">
        <v>450</v>
      </c>
      <c r="L6365" t="s">
        <v>80</v>
      </c>
      <c r="M6365" t="s">
        <v>17889</v>
      </c>
      <c r="N6365" t="s">
        <v>21194</v>
      </c>
      <c r="O6365" t="s">
        <v>21195</v>
      </c>
      <c r="P6365" s="2" t="s">
        <v>37</v>
      </c>
      <c r="Q6365" t="s">
        <v>1208</v>
      </c>
      <c r="R6365">
        <v>4.13</v>
      </c>
      <c r="S6365">
        <v>69.709999999999994</v>
      </c>
      <c r="T6365" t="s">
        <v>21196</v>
      </c>
    </row>
    <row r="6366" spans="1:20" x14ac:dyDescent="0.25">
      <c r="A6366" s="1" t="str">
        <f>HYPERLINK("https://vegkart.atlas.vegvesen.no/#/@1079206.0,7864775.7,18/hva:hva%5B0%5D%5Bfilter%5D%5B0%5D%5Boperator%5D=%21%3D&amp;hva%5B0%5D%5Bfilter%5D%5B0%5D%5Btype_id%5D=5897&amp;hva%5B0%5D%5Bfilter%5D%5B0%5D%5Bverdi%5D=&amp;hva%5B0%5D%5Bid%5D=47/når:2017-09-25", "Vegkart")</f>
        <v>Vegkart</v>
      </c>
      <c r="B6366">
        <v>828231700</v>
      </c>
      <c r="C6366">
        <v>47</v>
      </c>
      <c r="D6366" t="s">
        <v>16854</v>
      </c>
      <c r="E6366">
        <v>5897</v>
      </c>
      <c r="F6366" t="s">
        <v>23479</v>
      </c>
      <c r="G6366">
        <v>1</v>
      </c>
      <c r="H6366" t="s">
        <v>17887</v>
      </c>
      <c r="J6366" t="s">
        <v>21160</v>
      </c>
      <c r="K6366" t="s">
        <v>450</v>
      </c>
      <c r="L6366" t="s">
        <v>80</v>
      </c>
      <c r="M6366" t="s">
        <v>17889</v>
      </c>
      <c r="N6366" t="s">
        <v>21197</v>
      </c>
      <c r="O6366" t="s">
        <v>21198</v>
      </c>
      <c r="P6366" s="2" t="s">
        <v>37</v>
      </c>
      <c r="Q6366" t="s">
        <v>1208</v>
      </c>
      <c r="R6366">
        <v>2.84</v>
      </c>
      <c r="S6366">
        <v>88.48</v>
      </c>
      <c r="T6366" t="s">
        <v>21199</v>
      </c>
    </row>
    <row r="6367" spans="1:20" x14ac:dyDescent="0.25">
      <c r="A6367" s="1" t="str">
        <f>HYPERLINK("https://vegkart.atlas.vegvesen.no/#/@1039904.8,7842113.5,18/hva:hva%5B0%5D%5Bfilter%5D%5B0%5D%5Boperator%5D=%21%3D&amp;hva%5B0%5D%5Bfilter%5D%5B0%5D%5Btype_id%5D=5897&amp;hva%5B0%5D%5Bfilter%5D%5B0%5D%5Bverdi%5D=&amp;hva%5B0%5D%5Bid%5D=47/når:2017-09-12", "Vegkart")</f>
        <v>Vegkart</v>
      </c>
      <c r="B6367">
        <v>828231734</v>
      </c>
      <c r="C6367">
        <v>47</v>
      </c>
      <c r="D6367" t="s">
        <v>16854</v>
      </c>
      <c r="E6367">
        <v>5897</v>
      </c>
      <c r="F6367" t="s">
        <v>23479</v>
      </c>
      <c r="G6367">
        <v>1</v>
      </c>
      <c r="H6367" t="s">
        <v>17929</v>
      </c>
      <c r="J6367" t="s">
        <v>21160</v>
      </c>
      <c r="K6367" t="s">
        <v>450</v>
      </c>
      <c r="L6367" t="s">
        <v>80</v>
      </c>
      <c r="M6367" t="s">
        <v>17889</v>
      </c>
      <c r="N6367" t="s">
        <v>21200</v>
      </c>
      <c r="O6367" t="s">
        <v>21201</v>
      </c>
      <c r="P6367" s="2" t="s">
        <v>165</v>
      </c>
      <c r="Q6367" t="s">
        <v>641</v>
      </c>
      <c r="R6367">
        <v>12.45</v>
      </c>
      <c r="S6367">
        <v>54.08</v>
      </c>
      <c r="T6367" t="s">
        <v>167</v>
      </c>
    </row>
    <row r="6368" spans="1:20" x14ac:dyDescent="0.25">
      <c r="A6368" s="1" t="str">
        <f>HYPERLINK("https://vegkart.atlas.vegvesen.no/#/@1034122.0,7841572.3,18/hva:hva%5B0%5D%5Bfilter%5D%5B0%5D%5Boperator%5D=%21%3D&amp;hva%5B0%5D%5Bfilter%5D%5B0%5D%5Btype_id%5D=5897&amp;hva%5B0%5D%5Bfilter%5D%5B0%5D%5Bverdi%5D=&amp;hva%5B0%5D%5Bid%5D=47/når:2017-09-15", "Vegkart")</f>
        <v>Vegkart</v>
      </c>
      <c r="B6368">
        <v>828231737</v>
      </c>
      <c r="C6368">
        <v>47</v>
      </c>
      <c r="D6368" t="s">
        <v>16854</v>
      </c>
      <c r="E6368">
        <v>5897</v>
      </c>
      <c r="F6368" t="s">
        <v>23479</v>
      </c>
      <c r="G6368">
        <v>1</v>
      </c>
      <c r="H6368" t="s">
        <v>17910</v>
      </c>
      <c r="J6368" t="s">
        <v>21160</v>
      </c>
      <c r="K6368" t="s">
        <v>450</v>
      </c>
      <c r="L6368" t="s">
        <v>80</v>
      </c>
      <c r="M6368" t="s">
        <v>17889</v>
      </c>
      <c r="N6368" t="s">
        <v>21202</v>
      </c>
      <c r="O6368" t="s">
        <v>21203</v>
      </c>
      <c r="P6368" s="2" t="s">
        <v>37</v>
      </c>
      <c r="Q6368" t="s">
        <v>1208</v>
      </c>
      <c r="R6368">
        <v>3.83</v>
      </c>
      <c r="S6368">
        <v>74.02</v>
      </c>
      <c r="T6368" t="s">
        <v>21204</v>
      </c>
    </row>
    <row r="6369" spans="1:20" x14ac:dyDescent="0.25">
      <c r="A6369" s="1" t="str">
        <f>HYPERLINK("https://vegkart.atlas.vegvesen.no/#/@1024765.6,7841762.7,18/hva:hva%5B0%5D%5Bfilter%5D%5B0%5D%5Boperator%5D=%21%3D&amp;hva%5B0%5D%5Bfilter%5D%5B0%5D%5Btype_id%5D=5897&amp;hva%5B0%5D%5Bfilter%5D%5B0%5D%5Bverdi%5D=&amp;hva%5B0%5D%5Bid%5D=47/når:2017-09-18", "Vegkart")</f>
        <v>Vegkart</v>
      </c>
      <c r="B6369">
        <v>828231739</v>
      </c>
      <c r="C6369">
        <v>47</v>
      </c>
      <c r="D6369" t="s">
        <v>16854</v>
      </c>
      <c r="E6369">
        <v>5897</v>
      </c>
      <c r="F6369" t="s">
        <v>23479</v>
      </c>
      <c r="G6369">
        <v>1</v>
      </c>
      <c r="H6369" t="s">
        <v>21205</v>
      </c>
      <c r="J6369" t="s">
        <v>21160</v>
      </c>
      <c r="K6369" t="s">
        <v>450</v>
      </c>
      <c r="L6369" t="s">
        <v>80</v>
      </c>
      <c r="M6369" t="s">
        <v>17889</v>
      </c>
      <c r="N6369" t="s">
        <v>21206</v>
      </c>
      <c r="O6369" t="s">
        <v>21207</v>
      </c>
      <c r="P6369" s="2" t="s">
        <v>37</v>
      </c>
      <c r="Q6369" t="s">
        <v>1208</v>
      </c>
      <c r="R6369">
        <v>5.76</v>
      </c>
      <c r="S6369">
        <v>144.26</v>
      </c>
      <c r="T6369" t="s">
        <v>21208</v>
      </c>
    </row>
    <row r="6370" spans="1:20" x14ac:dyDescent="0.25">
      <c r="A6370" s="1" t="str">
        <f>HYPERLINK("https://vegkart.atlas.vegvesen.no/#/@476612.5,7466943.2,18/hva:hva%5B0%5D%5Bfilter%5D%5B0%5D%5Boperator%5D=%21%3D&amp;hva%5B0%5D%5Bfilter%5D%5B0%5D%5Btype_id%5D=5897&amp;hva%5B0%5D%5Bfilter%5D%5B0%5D%5Bverdi%5D=&amp;hva%5B0%5D%5Bid%5D=47/når:2024-08-06", "Vegkart")</f>
        <v>Vegkart</v>
      </c>
      <c r="B6370">
        <v>831853474</v>
      </c>
      <c r="C6370">
        <v>47</v>
      </c>
      <c r="D6370" t="s">
        <v>16854</v>
      </c>
      <c r="E6370">
        <v>5897</v>
      </c>
      <c r="F6370" t="s">
        <v>23479</v>
      </c>
      <c r="G6370">
        <v>3</v>
      </c>
      <c r="H6370" t="s">
        <v>12515</v>
      </c>
      <c r="J6370" t="s">
        <v>21160</v>
      </c>
      <c r="K6370" t="s">
        <v>53</v>
      </c>
      <c r="L6370" t="s">
        <v>33</v>
      </c>
      <c r="M6370" t="s">
        <v>1448</v>
      </c>
      <c r="N6370" t="s">
        <v>21209</v>
      </c>
      <c r="O6370" t="s">
        <v>21210</v>
      </c>
      <c r="P6370" s="2" t="s">
        <v>165</v>
      </c>
      <c r="Q6370" t="s">
        <v>166</v>
      </c>
      <c r="R6370">
        <v>81.13</v>
      </c>
      <c r="S6370">
        <v>81.73</v>
      </c>
      <c r="T6370" t="s">
        <v>167</v>
      </c>
    </row>
    <row r="6371" spans="1:20" x14ac:dyDescent="0.25">
      <c r="A6371" s="1" t="str">
        <f>HYPERLINK("https://vegkart.atlas.vegvesen.no/#/@476741.7,7467121.0,18/hva:hva%5B0%5D%5Bfilter%5D%5B0%5D%5Boperator%5D=%21%3D&amp;hva%5B0%5D%5Bfilter%5D%5B0%5D%5Btype_id%5D=5897&amp;hva%5B0%5D%5Bfilter%5D%5B0%5D%5Bverdi%5D=&amp;hva%5B0%5D%5Bid%5D=47/når:2024-08-06", "Vegkart")</f>
        <v>Vegkart</v>
      </c>
      <c r="B6371">
        <v>831853475</v>
      </c>
      <c r="C6371">
        <v>47</v>
      </c>
      <c r="D6371" t="s">
        <v>16854</v>
      </c>
      <c r="E6371">
        <v>5897</v>
      </c>
      <c r="F6371" t="s">
        <v>23479</v>
      </c>
      <c r="G6371">
        <v>3</v>
      </c>
      <c r="H6371" t="s">
        <v>12515</v>
      </c>
      <c r="J6371" t="s">
        <v>21160</v>
      </c>
      <c r="K6371" t="s">
        <v>53</v>
      </c>
      <c r="L6371" t="s">
        <v>33</v>
      </c>
      <c r="M6371" t="s">
        <v>1448</v>
      </c>
      <c r="N6371" t="s">
        <v>21211</v>
      </c>
      <c r="O6371" t="s">
        <v>21212</v>
      </c>
      <c r="P6371" s="2" t="s">
        <v>165</v>
      </c>
      <c r="Q6371" t="s">
        <v>166</v>
      </c>
      <c r="R6371">
        <v>71.11</v>
      </c>
      <c r="S6371">
        <v>71.540000000000006</v>
      </c>
      <c r="T6371" t="s">
        <v>167</v>
      </c>
    </row>
    <row r="6372" spans="1:20" x14ac:dyDescent="0.25">
      <c r="A6372" s="1" t="str">
        <f>HYPERLINK("https://vegkart.atlas.vegvesen.no/#/@808856.0,7781761.6,18/hva:hva%5B0%5D%5Bfilter%5D%5B0%5D%5Boperator%5D=%21%3D&amp;hva%5B0%5D%5Bfilter%5D%5B0%5D%5Btype_id%5D=5897&amp;hva%5B0%5D%5Bfilter%5D%5B0%5D%5Bverdi%5D=&amp;hva%5B0%5D%5Bid%5D=47/når:2018-10-22", "Vegkart")</f>
        <v>Vegkart</v>
      </c>
      <c r="B6372">
        <v>831853775</v>
      </c>
      <c r="C6372">
        <v>47</v>
      </c>
      <c r="D6372" t="s">
        <v>16854</v>
      </c>
      <c r="E6372">
        <v>5897</v>
      </c>
      <c r="F6372" t="s">
        <v>23479</v>
      </c>
      <c r="G6372">
        <v>2</v>
      </c>
      <c r="H6372" t="s">
        <v>15421</v>
      </c>
      <c r="J6372" t="s">
        <v>21160</v>
      </c>
      <c r="K6372" t="s">
        <v>450</v>
      </c>
      <c r="L6372" t="s">
        <v>80</v>
      </c>
      <c r="M6372" t="s">
        <v>105</v>
      </c>
      <c r="N6372" t="s">
        <v>21213</v>
      </c>
      <c r="O6372" t="s">
        <v>21214</v>
      </c>
      <c r="P6372" s="2" t="s">
        <v>26</v>
      </c>
      <c r="Q6372" t="s">
        <v>50</v>
      </c>
      <c r="R6372">
        <v>83.38</v>
      </c>
      <c r="S6372">
        <v>85.57</v>
      </c>
      <c r="T6372" t="s">
        <v>21215</v>
      </c>
    </row>
    <row r="6373" spans="1:20" x14ac:dyDescent="0.25">
      <c r="A6373" s="1" t="str">
        <f>HYPERLINK("https://vegkart.atlas.vegvesen.no/#/@808325.6,7780970.3,18/hva:hva%5B0%5D%5Bfilter%5D%5B0%5D%5Boperator%5D=%21%3D&amp;hva%5B0%5D%5Bfilter%5D%5B0%5D%5Btype_id%5D=5897&amp;hva%5B0%5D%5Bfilter%5D%5B0%5D%5Bverdi%5D=&amp;hva%5B0%5D%5Bid%5D=47/når:2018-10-22", "Vegkart")</f>
        <v>Vegkart</v>
      </c>
      <c r="B6373">
        <v>831853776</v>
      </c>
      <c r="C6373">
        <v>47</v>
      </c>
      <c r="D6373" t="s">
        <v>16854</v>
      </c>
      <c r="E6373">
        <v>5897</v>
      </c>
      <c r="F6373" t="s">
        <v>23479</v>
      </c>
      <c r="G6373">
        <v>2</v>
      </c>
      <c r="H6373" t="s">
        <v>15421</v>
      </c>
      <c r="J6373" t="s">
        <v>21160</v>
      </c>
      <c r="K6373" t="s">
        <v>450</v>
      </c>
      <c r="L6373" t="s">
        <v>80</v>
      </c>
      <c r="M6373" t="s">
        <v>105</v>
      </c>
      <c r="N6373" t="s">
        <v>21216</v>
      </c>
      <c r="O6373" t="s">
        <v>21217</v>
      </c>
      <c r="P6373" s="2" t="s">
        <v>26</v>
      </c>
      <c r="Q6373" t="s">
        <v>50</v>
      </c>
      <c r="R6373">
        <v>90.59</v>
      </c>
      <c r="S6373">
        <v>99.07</v>
      </c>
      <c r="T6373" t="s">
        <v>21218</v>
      </c>
    </row>
    <row r="6374" spans="1:20" x14ac:dyDescent="0.25">
      <c r="A6374" s="1" t="str">
        <f>HYPERLINK("https://vegkart.atlas.vegvesen.no/#/@809175.5,7782343.1,18/hva:hva%5B0%5D%5Bfilter%5D%5B0%5D%5Boperator%5D=%21%3D&amp;hva%5B0%5D%5Bfilter%5D%5B0%5D%5Btype_id%5D=5897&amp;hva%5B0%5D%5Bfilter%5D%5B0%5D%5Bverdi%5D=&amp;hva%5B0%5D%5Bid%5D=47/når:2018-10-22", "Vegkart")</f>
        <v>Vegkart</v>
      </c>
      <c r="B6374">
        <v>831853777</v>
      </c>
      <c r="C6374">
        <v>47</v>
      </c>
      <c r="D6374" t="s">
        <v>16854</v>
      </c>
      <c r="E6374">
        <v>5897</v>
      </c>
      <c r="F6374" t="s">
        <v>23479</v>
      </c>
      <c r="G6374">
        <v>2</v>
      </c>
      <c r="H6374" t="s">
        <v>15421</v>
      </c>
      <c r="J6374" t="s">
        <v>21160</v>
      </c>
      <c r="K6374" t="s">
        <v>450</v>
      </c>
      <c r="L6374" t="s">
        <v>80</v>
      </c>
      <c r="M6374" t="s">
        <v>105</v>
      </c>
      <c r="N6374" t="s">
        <v>21219</v>
      </c>
      <c r="O6374" t="s">
        <v>21220</v>
      </c>
      <c r="P6374" s="2" t="s">
        <v>26</v>
      </c>
      <c r="Q6374" t="s">
        <v>50</v>
      </c>
      <c r="R6374">
        <v>45.43</v>
      </c>
      <c r="S6374">
        <v>46.4</v>
      </c>
      <c r="T6374" t="s">
        <v>21221</v>
      </c>
    </row>
    <row r="6375" spans="1:20" x14ac:dyDescent="0.25">
      <c r="A6375" s="1" t="str">
        <f>HYPERLINK("https://vegkart.atlas.vegvesen.no/#/@809317.5,7782692.0,18/hva:hva%5B0%5D%5Bfilter%5D%5B0%5D%5Boperator%5D=%21%3D&amp;hva%5B0%5D%5Bfilter%5D%5B0%5D%5Btype_id%5D=5897&amp;hva%5B0%5D%5Bfilter%5D%5B0%5D%5Bverdi%5D=&amp;hva%5B0%5D%5Bid%5D=47/når:2018-10-22", "Vegkart")</f>
        <v>Vegkart</v>
      </c>
      <c r="B6375">
        <v>831853778</v>
      </c>
      <c r="C6375">
        <v>47</v>
      </c>
      <c r="D6375" t="s">
        <v>16854</v>
      </c>
      <c r="E6375">
        <v>5897</v>
      </c>
      <c r="F6375" t="s">
        <v>23479</v>
      </c>
      <c r="G6375">
        <v>2</v>
      </c>
      <c r="H6375" t="s">
        <v>15421</v>
      </c>
      <c r="J6375" t="s">
        <v>21160</v>
      </c>
      <c r="K6375" t="s">
        <v>450</v>
      </c>
      <c r="L6375" t="s">
        <v>80</v>
      </c>
      <c r="M6375" t="s">
        <v>105</v>
      </c>
      <c r="N6375" t="s">
        <v>21222</v>
      </c>
      <c r="O6375" t="s">
        <v>21223</v>
      </c>
      <c r="P6375" s="2" t="s">
        <v>26</v>
      </c>
      <c r="Q6375" t="s">
        <v>50</v>
      </c>
      <c r="R6375">
        <v>88.89</v>
      </c>
      <c r="S6375">
        <v>92.44</v>
      </c>
      <c r="T6375" t="s">
        <v>21224</v>
      </c>
    </row>
    <row r="6376" spans="1:20" x14ac:dyDescent="0.25">
      <c r="A6376" s="1" t="str">
        <f>HYPERLINK("https://vegkart.atlas.vegvesen.no/#/@1012258.9,7920951.7,18/hva:hva%5B0%5D%5Bfilter%5D%5B0%5D%5Boperator%5D=%21%3D&amp;hva%5B0%5D%5Bfilter%5D%5B0%5D%5Btype_id%5D=5897&amp;hva%5B0%5D%5Bfilter%5D%5B0%5D%5Bverdi%5D=&amp;hva%5B0%5D%5Bid%5D=47/når:2017-09-29", "Vegkart")</f>
        <v>Vegkart</v>
      </c>
      <c r="B6376">
        <v>831853987</v>
      </c>
      <c r="C6376">
        <v>47</v>
      </c>
      <c r="D6376" t="s">
        <v>16854</v>
      </c>
      <c r="E6376">
        <v>5897</v>
      </c>
      <c r="F6376" t="s">
        <v>23479</v>
      </c>
      <c r="G6376">
        <v>1</v>
      </c>
      <c r="H6376" t="s">
        <v>17859</v>
      </c>
      <c r="J6376" t="s">
        <v>21160</v>
      </c>
      <c r="K6376" t="s">
        <v>450</v>
      </c>
      <c r="L6376" t="s">
        <v>33</v>
      </c>
      <c r="M6376" t="s">
        <v>1290</v>
      </c>
      <c r="N6376" t="s">
        <v>21225</v>
      </c>
      <c r="O6376" t="s">
        <v>21226</v>
      </c>
      <c r="P6376" s="2" t="s">
        <v>165</v>
      </c>
      <c r="Q6376" t="s">
        <v>641</v>
      </c>
      <c r="R6376">
        <v>2.97</v>
      </c>
      <c r="S6376">
        <v>149.65</v>
      </c>
      <c r="T6376" t="s">
        <v>167</v>
      </c>
    </row>
    <row r="6377" spans="1:20" x14ac:dyDescent="0.25">
      <c r="A6377" s="1" t="str">
        <f>HYPERLINK("https://vegkart.atlas.vegvesen.no/#/@129141.1,6502827.4,18/hva:hva%5B0%5D%5Bfilter%5D%5B0%5D%5Boperator%5D=%21%3D&amp;hva%5B0%5D%5Bfilter%5D%5B0%5D%5Btype_id%5D=5897&amp;hva%5B0%5D%5Bfilter%5D%5B0%5D%5Bverdi%5D=&amp;hva%5B0%5D%5Bid%5D=47/når:2017-09-29", "Vegkart")</f>
        <v>Vegkart</v>
      </c>
      <c r="B6377">
        <v>831855447</v>
      </c>
      <c r="C6377">
        <v>47</v>
      </c>
      <c r="D6377" t="s">
        <v>16854</v>
      </c>
      <c r="E6377">
        <v>5897</v>
      </c>
      <c r="F6377" t="s">
        <v>23479</v>
      </c>
      <c r="G6377">
        <v>1</v>
      </c>
      <c r="H6377" t="s">
        <v>17859</v>
      </c>
      <c r="J6377" t="s">
        <v>21160</v>
      </c>
      <c r="K6377" t="s">
        <v>86</v>
      </c>
      <c r="L6377" t="s">
        <v>33</v>
      </c>
      <c r="M6377" t="s">
        <v>86</v>
      </c>
      <c r="N6377" t="s">
        <v>21227</v>
      </c>
      <c r="O6377" t="s">
        <v>21228</v>
      </c>
      <c r="P6377" s="2" t="s">
        <v>26</v>
      </c>
      <c r="Q6377" t="s">
        <v>50</v>
      </c>
      <c r="R6377">
        <v>47.97</v>
      </c>
      <c r="S6377">
        <v>48.41</v>
      </c>
      <c r="T6377" t="s">
        <v>21229</v>
      </c>
    </row>
    <row r="6378" spans="1:20" x14ac:dyDescent="0.25">
      <c r="A6378" s="1" t="str">
        <f>HYPERLINK("https://vegkart.atlas.vegvesen.no/#/@1040218.3,7902916.7,18/hva:hva%5B0%5D%5Bfilter%5D%5B0%5D%5Boperator%5D=%21%3D&amp;hva%5B0%5D%5Bfilter%5D%5B0%5D%5Btype_id%5D=5897&amp;hva%5B0%5D%5Bfilter%5D%5B0%5D%5Bverdi%5D=&amp;hva%5B0%5D%5Bid%5D=47/når:2017-10-09", "Vegkart")</f>
        <v>Vegkart</v>
      </c>
      <c r="B6378">
        <v>836925005</v>
      </c>
      <c r="C6378">
        <v>47</v>
      </c>
      <c r="D6378" t="s">
        <v>16854</v>
      </c>
      <c r="E6378">
        <v>5897</v>
      </c>
      <c r="F6378" t="s">
        <v>23479</v>
      </c>
      <c r="G6378">
        <v>3</v>
      </c>
      <c r="H6378" t="s">
        <v>15158</v>
      </c>
      <c r="J6378" t="s">
        <v>21160</v>
      </c>
      <c r="K6378" t="s">
        <v>450</v>
      </c>
      <c r="L6378" t="s">
        <v>33</v>
      </c>
      <c r="M6378" t="s">
        <v>1275</v>
      </c>
      <c r="N6378" t="s">
        <v>21230</v>
      </c>
      <c r="O6378" t="s">
        <v>21231</v>
      </c>
      <c r="P6378" s="2" t="s">
        <v>165</v>
      </c>
      <c r="Q6378" t="s">
        <v>641</v>
      </c>
      <c r="R6378">
        <v>1.53</v>
      </c>
      <c r="S6378">
        <v>91.11</v>
      </c>
      <c r="T6378" t="s">
        <v>167</v>
      </c>
    </row>
    <row r="6379" spans="1:20" x14ac:dyDescent="0.25">
      <c r="A6379" s="1" t="str">
        <f>HYPERLINK("https://vegkart.atlas.vegvesen.no/#/@1040236.4,7902952.1,18/hva:hva%5B0%5D%5Bfilter%5D%5B0%5D%5Boperator%5D=%21%3D&amp;hva%5B0%5D%5Bfilter%5D%5B0%5D%5Btype_id%5D=5897&amp;hva%5B0%5D%5Bfilter%5D%5B0%5D%5Bverdi%5D=&amp;hva%5B0%5D%5Bid%5D=47/når:2017-10-09", "Vegkart")</f>
        <v>Vegkart</v>
      </c>
      <c r="B6379">
        <v>836925006</v>
      </c>
      <c r="C6379">
        <v>47</v>
      </c>
      <c r="D6379" t="s">
        <v>16854</v>
      </c>
      <c r="E6379">
        <v>5897</v>
      </c>
      <c r="F6379" t="s">
        <v>23479</v>
      </c>
      <c r="G6379">
        <v>3</v>
      </c>
      <c r="H6379" t="s">
        <v>15158</v>
      </c>
      <c r="J6379" t="s">
        <v>21160</v>
      </c>
      <c r="K6379" t="s">
        <v>450</v>
      </c>
      <c r="L6379" t="s">
        <v>33</v>
      </c>
      <c r="M6379" t="s">
        <v>1275</v>
      </c>
      <c r="N6379" t="s">
        <v>21232</v>
      </c>
      <c r="O6379" t="s">
        <v>21233</v>
      </c>
      <c r="P6379" s="2" t="s">
        <v>165</v>
      </c>
      <c r="Q6379" t="s">
        <v>641</v>
      </c>
      <c r="R6379">
        <v>3.7</v>
      </c>
      <c r="S6379">
        <v>42.34</v>
      </c>
      <c r="T6379" t="s">
        <v>167</v>
      </c>
    </row>
    <row r="6380" spans="1:20" x14ac:dyDescent="0.25">
      <c r="A6380" s="1" t="str">
        <f>HYPERLINK("https://vegkart.atlas.vegvesen.no/#/@1027364.4,7887710.2,18/hva:hva%5B0%5D%5Bfilter%5D%5B0%5D%5Boperator%5D=%21%3D&amp;hva%5B0%5D%5Bfilter%5D%5B0%5D%5Btype_id%5D=5897&amp;hva%5B0%5D%5Bfilter%5D%5B0%5D%5Bverdi%5D=&amp;hva%5B0%5D%5Bid%5D=47/når:2017-10-05", "Vegkart")</f>
        <v>Vegkart</v>
      </c>
      <c r="B6380">
        <v>837675862</v>
      </c>
      <c r="C6380">
        <v>47</v>
      </c>
      <c r="D6380" t="s">
        <v>16854</v>
      </c>
      <c r="E6380">
        <v>5897</v>
      </c>
      <c r="F6380" t="s">
        <v>23479</v>
      </c>
      <c r="G6380">
        <v>2</v>
      </c>
      <c r="H6380" t="s">
        <v>6893</v>
      </c>
      <c r="J6380" t="s">
        <v>21160</v>
      </c>
      <c r="K6380" t="s">
        <v>450</v>
      </c>
      <c r="L6380" t="s">
        <v>33</v>
      </c>
      <c r="M6380" t="s">
        <v>1275</v>
      </c>
      <c r="N6380" t="s">
        <v>21234</v>
      </c>
      <c r="O6380" t="s">
        <v>21235</v>
      </c>
      <c r="P6380" s="2" t="s">
        <v>165</v>
      </c>
      <c r="Q6380" t="s">
        <v>641</v>
      </c>
      <c r="R6380">
        <v>1.2</v>
      </c>
      <c r="S6380">
        <v>134.15</v>
      </c>
      <c r="T6380" t="s">
        <v>167</v>
      </c>
    </row>
    <row r="6381" spans="1:20" x14ac:dyDescent="0.25">
      <c r="A6381" s="1" t="str">
        <f>HYPERLINK("https://vegkart.atlas.vegvesen.no/#/@133693.6,6803238.3,18/hva:hva%5B0%5D%5Bfilter%5D%5B0%5D%5Boperator%5D=%21%3D&amp;hva%5B0%5D%5Bfilter%5D%5B0%5D%5Btype_id%5D=5897&amp;hva%5B0%5D%5Bfilter%5D%5B0%5D%5Bverdi%5D=&amp;hva%5B0%5D%5Bid%5D=47/når:2021-02-08", "Vegkart")</f>
        <v>Vegkart</v>
      </c>
      <c r="B6381">
        <v>841584125</v>
      </c>
      <c r="C6381">
        <v>47</v>
      </c>
      <c r="D6381" t="s">
        <v>16854</v>
      </c>
      <c r="E6381">
        <v>5897</v>
      </c>
      <c r="F6381" t="s">
        <v>23479</v>
      </c>
      <c r="G6381">
        <v>2</v>
      </c>
      <c r="H6381" t="s">
        <v>15962</v>
      </c>
      <c r="J6381" t="s">
        <v>21160</v>
      </c>
      <c r="K6381" t="s">
        <v>136</v>
      </c>
      <c r="L6381" t="s">
        <v>80</v>
      </c>
      <c r="M6381" t="s">
        <v>152</v>
      </c>
      <c r="N6381" t="s">
        <v>21236</v>
      </c>
      <c r="O6381" t="s">
        <v>21237</v>
      </c>
      <c r="P6381" s="2" t="s">
        <v>26</v>
      </c>
      <c r="Q6381" t="s">
        <v>50</v>
      </c>
      <c r="R6381">
        <v>90.15</v>
      </c>
      <c r="S6381">
        <v>90.46</v>
      </c>
      <c r="T6381" t="s">
        <v>21238</v>
      </c>
    </row>
    <row r="6382" spans="1:20" x14ac:dyDescent="0.25">
      <c r="A6382" s="1" t="str">
        <f>HYPERLINK("https://vegkart.atlas.vegvesen.no/#/@134148.7,6803447.6,18/hva:hva%5B0%5D%5Bfilter%5D%5B0%5D%5Boperator%5D=%21%3D&amp;hva%5B0%5D%5Bfilter%5D%5B0%5D%5Btype_id%5D=5897&amp;hva%5B0%5D%5Bfilter%5D%5B0%5D%5Bverdi%5D=&amp;hva%5B0%5D%5Bid%5D=47/når:2021-02-08", "Vegkart")</f>
        <v>Vegkart</v>
      </c>
      <c r="B6382">
        <v>841584126</v>
      </c>
      <c r="C6382">
        <v>47</v>
      </c>
      <c r="D6382" t="s">
        <v>16854</v>
      </c>
      <c r="E6382">
        <v>5897</v>
      </c>
      <c r="F6382" t="s">
        <v>23479</v>
      </c>
      <c r="G6382">
        <v>2</v>
      </c>
      <c r="H6382" t="s">
        <v>15962</v>
      </c>
      <c r="J6382" t="s">
        <v>21160</v>
      </c>
      <c r="K6382" t="s">
        <v>136</v>
      </c>
      <c r="L6382" t="s">
        <v>80</v>
      </c>
      <c r="M6382" t="s">
        <v>152</v>
      </c>
      <c r="N6382" t="s">
        <v>21239</v>
      </c>
      <c r="O6382" t="s">
        <v>21240</v>
      </c>
      <c r="P6382" s="2" t="s">
        <v>26</v>
      </c>
      <c r="Q6382" t="s">
        <v>50</v>
      </c>
      <c r="R6382">
        <v>90.15</v>
      </c>
      <c r="S6382">
        <v>90.45</v>
      </c>
      <c r="T6382" t="s">
        <v>21241</v>
      </c>
    </row>
    <row r="6383" spans="1:20" x14ac:dyDescent="0.25">
      <c r="A6383" s="1" t="str">
        <f>HYPERLINK("https://vegkart.atlas.vegvesen.no/#/@134605.8,6803652.4,18/hva:hva%5B0%5D%5Bfilter%5D%5B0%5D%5Boperator%5D=%21%3D&amp;hva%5B0%5D%5Bfilter%5D%5B0%5D%5Btype_id%5D=5897&amp;hva%5B0%5D%5Bfilter%5D%5B0%5D%5Bverdi%5D=&amp;hva%5B0%5D%5Bid%5D=47/når:2021-02-08", "Vegkart")</f>
        <v>Vegkart</v>
      </c>
      <c r="B6383">
        <v>841584128</v>
      </c>
      <c r="C6383">
        <v>47</v>
      </c>
      <c r="D6383" t="s">
        <v>16854</v>
      </c>
      <c r="E6383">
        <v>5897</v>
      </c>
      <c r="F6383" t="s">
        <v>23479</v>
      </c>
      <c r="G6383">
        <v>2</v>
      </c>
      <c r="H6383" t="s">
        <v>15962</v>
      </c>
      <c r="J6383" t="s">
        <v>21160</v>
      </c>
      <c r="K6383" t="s">
        <v>136</v>
      </c>
      <c r="L6383" t="s">
        <v>80</v>
      </c>
      <c r="M6383" t="s">
        <v>152</v>
      </c>
      <c r="N6383" t="s">
        <v>21242</v>
      </c>
      <c r="O6383" t="s">
        <v>21243</v>
      </c>
      <c r="P6383" s="2" t="s">
        <v>26</v>
      </c>
      <c r="Q6383" t="s">
        <v>50</v>
      </c>
      <c r="R6383">
        <v>90.16</v>
      </c>
      <c r="S6383">
        <v>90.46</v>
      </c>
      <c r="T6383" t="s">
        <v>21244</v>
      </c>
    </row>
    <row r="6384" spans="1:20" x14ac:dyDescent="0.25">
      <c r="A6384" s="1" t="str">
        <f>HYPERLINK("https://vegkart.atlas.vegvesen.no/#/@135526.0,6804048.1,18/hva:hva%5B0%5D%5Bfilter%5D%5B0%5D%5Boperator%5D=%21%3D&amp;hva%5B0%5D%5Bfilter%5D%5B0%5D%5Btype_id%5D=5897&amp;hva%5B0%5D%5Bfilter%5D%5B0%5D%5Bverdi%5D=&amp;hva%5B0%5D%5Bid%5D=47/når:2021-02-08", "Vegkart")</f>
        <v>Vegkart</v>
      </c>
      <c r="B6384">
        <v>841584129</v>
      </c>
      <c r="C6384">
        <v>47</v>
      </c>
      <c r="D6384" t="s">
        <v>16854</v>
      </c>
      <c r="E6384">
        <v>5897</v>
      </c>
      <c r="F6384" t="s">
        <v>23479</v>
      </c>
      <c r="G6384">
        <v>2</v>
      </c>
      <c r="H6384" t="s">
        <v>15962</v>
      </c>
      <c r="J6384" t="s">
        <v>21160</v>
      </c>
      <c r="K6384" t="s">
        <v>136</v>
      </c>
      <c r="L6384" t="s">
        <v>80</v>
      </c>
      <c r="M6384" t="s">
        <v>152</v>
      </c>
      <c r="N6384" t="s">
        <v>21245</v>
      </c>
      <c r="O6384" t="s">
        <v>21246</v>
      </c>
      <c r="P6384" s="2" t="s">
        <v>26</v>
      </c>
      <c r="Q6384" t="s">
        <v>50</v>
      </c>
      <c r="R6384">
        <v>90.15</v>
      </c>
      <c r="S6384">
        <v>90.46</v>
      </c>
      <c r="T6384" t="s">
        <v>21247</v>
      </c>
    </row>
    <row r="6385" spans="1:20" x14ac:dyDescent="0.25">
      <c r="A6385" s="1" t="str">
        <f>HYPERLINK("https://vegkart.atlas.vegvesen.no/#/@135989.0,6804239.0,18/hva:hva%5B0%5D%5Bfilter%5D%5B0%5D%5Boperator%5D=%21%3D&amp;hva%5B0%5D%5Bfilter%5D%5B0%5D%5Btype_id%5D=5897&amp;hva%5B0%5D%5Bfilter%5D%5B0%5D%5Bverdi%5D=&amp;hva%5B0%5D%5Bid%5D=47/når:2021-02-08", "Vegkart")</f>
        <v>Vegkart</v>
      </c>
      <c r="B6385">
        <v>841584130</v>
      </c>
      <c r="C6385">
        <v>47</v>
      </c>
      <c r="D6385" t="s">
        <v>16854</v>
      </c>
      <c r="E6385">
        <v>5897</v>
      </c>
      <c r="F6385" t="s">
        <v>23479</v>
      </c>
      <c r="G6385">
        <v>2</v>
      </c>
      <c r="H6385" t="s">
        <v>15962</v>
      </c>
      <c r="J6385" t="s">
        <v>21160</v>
      </c>
      <c r="K6385" t="s">
        <v>136</v>
      </c>
      <c r="L6385" t="s">
        <v>80</v>
      </c>
      <c r="M6385" t="s">
        <v>152</v>
      </c>
      <c r="N6385" t="s">
        <v>21248</v>
      </c>
      <c r="O6385" t="s">
        <v>21249</v>
      </c>
      <c r="P6385" s="2" t="s">
        <v>26</v>
      </c>
      <c r="Q6385" t="s">
        <v>50</v>
      </c>
      <c r="R6385">
        <v>90.16</v>
      </c>
      <c r="S6385">
        <v>90.46</v>
      </c>
      <c r="T6385" t="s">
        <v>21250</v>
      </c>
    </row>
    <row r="6386" spans="1:20" x14ac:dyDescent="0.25">
      <c r="A6386" s="1" t="str">
        <f>HYPERLINK("https://vegkart.atlas.vegvesen.no/#/@136468.0,6804379.4,18/hva:hva%5B0%5D%5Bfilter%5D%5B0%5D%5Boperator%5D=%21%3D&amp;hva%5B0%5D%5Bfilter%5D%5B0%5D%5Btype_id%5D=5897&amp;hva%5B0%5D%5Bfilter%5D%5B0%5D%5Bverdi%5D=&amp;hva%5B0%5D%5Bid%5D=47/når:2025-07-23", "Vegkart")</f>
        <v>Vegkart</v>
      </c>
      <c r="B6386">
        <v>841584131</v>
      </c>
      <c r="C6386">
        <v>47</v>
      </c>
      <c r="D6386" t="s">
        <v>16854</v>
      </c>
      <c r="E6386">
        <v>5897</v>
      </c>
      <c r="F6386" t="s">
        <v>23479</v>
      </c>
      <c r="G6386">
        <v>3</v>
      </c>
      <c r="H6386" t="s">
        <v>21251</v>
      </c>
      <c r="J6386" t="s">
        <v>21160</v>
      </c>
      <c r="K6386" t="s">
        <v>136</v>
      </c>
      <c r="L6386" t="s">
        <v>80</v>
      </c>
      <c r="M6386" t="s">
        <v>152</v>
      </c>
      <c r="N6386" t="s">
        <v>21252</v>
      </c>
      <c r="O6386" t="s">
        <v>21253</v>
      </c>
      <c r="P6386" s="2" t="s">
        <v>26</v>
      </c>
      <c r="Q6386" t="s">
        <v>50</v>
      </c>
      <c r="R6386">
        <v>90.54</v>
      </c>
      <c r="S6386">
        <v>91.18</v>
      </c>
      <c r="T6386" t="s">
        <v>21254</v>
      </c>
    </row>
    <row r="6387" spans="1:20" x14ac:dyDescent="0.25">
      <c r="A6387" s="1" t="str">
        <f>HYPERLINK("https://vegkart.atlas.vegvesen.no/#/@-38971.3,6566022.9,18/hva:hva%5B0%5D%5Bfilter%5D%5B0%5D%5Boperator%5D=%21%3D&amp;hva%5B0%5D%5Bfilter%5D%5B0%5D%5Btype_id%5D=5897&amp;hva%5B0%5D%5Bfilter%5D%5B0%5D%5Bverdi%5D=&amp;hva%5B0%5D%5Bid%5D=47/når:2017-10-24", "Vegkart")</f>
        <v>Vegkart</v>
      </c>
      <c r="B6387">
        <v>842468935</v>
      </c>
      <c r="C6387">
        <v>47</v>
      </c>
      <c r="D6387" t="s">
        <v>16854</v>
      </c>
      <c r="E6387">
        <v>5897</v>
      </c>
      <c r="F6387" t="s">
        <v>23479</v>
      </c>
      <c r="G6387">
        <v>1</v>
      </c>
      <c r="H6387" t="s">
        <v>6774</v>
      </c>
      <c r="J6387" t="s">
        <v>21160</v>
      </c>
      <c r="K6387" t="s">
        <v>170</v>
      </c>
      <c r="L6387" t="s">
        <v>22</v>
      </c>
      <c r="M6387" t="s">
        <v>21255</v>
      </c>
      <c r="N6387" t="s">
        <v>21256</v>
      </c>
      <c r="O6387" t="s">
        <v>21257</v>
      </c>
      <c r="P6387" s="2" t="s">
        <v>26</v>
      </c>
      <c r="Q6387" t="s">
        <v>50</v>
      </c>
      <c r="R6387">
        <v>77.459999999999994</v>
      </c>
      <c r="S6387">
        <v>83.21</v>
      </c>
      <c r="T6387" t="s">
        <v>21258</v>
      </c>
    </row>
    <row r="6388" spans="1:20" x14ac:dyDescent="0.25">
      <c r="A6388" s="1" t="str">
        <f>HYPERLINK("https://vegkart.atlas.vegvesen.no/#/@-38959.9,6565874.1,18/hva:hva%5B0%5D%5Bfilter%5D%5B0%5D%5Boperator%5D=%21%3D&amp;hva%5B0%5D%5Bfilter%5D%5B0%5D%5Btype_id%5D=5897&amp;hva%5B0%5D%5Bfilter%5D%5B0%5D%5Bverdi%5D=&amp;hva%5B0%5D%5Bid%5D=47/når:2017-10-24", "Vegkart")</f>
        <v>Vegkart</v>
      </c>
      <c r="B6388">
        <v>842468936</v>
      </c>
      <c r="C6388">
        <v>47</v>
      </c>
      <c r="D6388" t="s">
        <v>16854</v>
      </c>
      <c r="E6388">
        <v>5897</v>
      </c>
      <c r="F6388" t="s">
        <v>23479</v>
      </c>
      <c r="G6388">
        <v>1</v>
      </c>
      <c r="H6388" t="s">
        <v>6774</v>
      </c>
      <c r="J6388" t="s">
        <v>21160</v>
      </c>
      <c r="K6388" t="s">
        <v>170</v>
      </c>
      <c r="L6388" t="s">
        <v>22</v>
      </c>
      <c r="M6388" t="s">
        <v>21259</v>
      </c>
      <c r="N6388" t="s">
        <v>21260</v>
      </c>
      <c r="O6388" t="s">
        <v>21261</v>
      </c>
      <c r="P6388" s="2" t="s">
        <v>26</v>
      </c>
      <c r="Q6388" t="s">
        <v>50</v>
      </c>
      <c r="R6388">
        <v>54.04</v>
      </c>
      <c r="S6388">
        <v>54.09</v>
      </c>
      <c r="T6388" t="s">
        <v>21262</v>
      </c>
    </row>
    <row r="6389" spans="1:20" x14ac:dyDescent="0.25">
      <c r="A6389" s="1" t="str">
        <f>HYPERLINK("https://vegkart.atlas.vegvesen.no/#/@255955.7,6650536.8,18/hva:hva%5B0%5D%5Bfilter%5D%5B0%5D%5Boperator%5D=%21%3D&amp;hva%5B0%5D%5Bfilter%5D%5B0%5D%5Btype_id%5D=5897&amp;hva%5B0%5D%5Bfilter%5D%5B0%5D%5Bverdi%5D=&amp;hva%5B0%5D%5Bid%5D=47/når:2017-10-31", "Vegkart")</f>
        <v>Vegkart</v>
      </c>
      <c r="B6389">
        <v>842554745</v>
      </c>
      <c r="C6389">
        <v>47</v>
      </c>
      <c r="D6389" t="s">
        <v>16854</v>
      </c>
      <c r="E6389">
        <v>5897</v>
      </c>
      <c r="F6389" t="s">
        <v>23479</v>
      </c>
      <c r="G6389">
        <v>1</v>
      </c>
      <c r="H6389" t="s">
        <v>15106</v>
      </c>
      <c r="J6389" t="s">
        <v>21160</v>
      </c>
      <c r="K6389" t="s">
        <v>335</v>
      </c>
      <c r="L6389" t="s">
        <v>113</v>
      </c>
      <c r="M6389" t="s">
        <v>336</v>
      </c>
      <c r="N6389" t="s">
        <v>21263</v>
      </c>
      <c r="O6389" t="s">
        <v>21264</v>
      </c>
      <c r="P6389" s="2" t="s">
        <v>26</v>
      </c>
      <c r="Q6389" t="s">
        <v>50</v>
      </c>
      <c r="R6389">
        <v>50.47</v>
      </c>
      <c r="S6389">
        <v>51.11</v>
      </c>
      <c r="T6389" t="s">
        <v>21265</v>
      </c>
    </row>
    <row r="6390" spans="1:20" x14ac:dyDescent="0.25">
      <c r="A6390" s="1" t="str">
        <f>HYPERLINK("https://vegkart.atlas.vegvesen.no/#/@255731.7,6650105.7,18/hva:hva%5B0%5D%5Bfilter%5D%5B0%5D%5Boperator%5D=%21%3D&amp;hva%5B0%5D%5Bfilter%5D%5B0%5D%5Btype_id%5D=5897&amp;hva%5B0%5D%5Bfilter%5D%5B0%5D%5Bverdi%5D=&amp;hva%5B0%5D%5Bid%5D=47/når:2017-10-31", "Vegkart")</f>
        <v>Vegkart</v>
      </c>
      <c r="B6390">
        <v>842554746</v>
      </c>
      <c r="C6390">
        <v>47</v>
      </c>
      <c r="D6390" t="s">
        <v>16854</v>
      </c>
      <c r="E6390">
        <v>5897</v>
      </c>
      <c r="F6390" t="s">
        <v>23479</v>
      </c>
      <c r="G6390">
        <v>1</v>
      </c>
      <c r="H6390" t="s">
        <v>15106</v>
      </c>
      <c r="J6390" t="s">
        <v>21160</v>
      </c>
      <c r="K6390" t="s">
        <v>132</v>
      </c>
      <c r="L6390" t="s">
        <v>113</v>
      </c>
      <c r="M6390" t="s">
        <v>336</v>
      </c>
      <c r="N6390" t="s">
        <v>21266</v>
      </c>
      <c r="O6390" t="s">
        <v>21267</v>
      </c>
      <c r="P6390" s="2" t="s">
        <v>26</v>
      </c>
      <c r="Q6390" t="s">
        <v>50</v>
      </c>
      <c r="R6390">
        <v>88.74</v>
      </c>
      <c r="S6390">
        <v>89.33</v>
      </c>
      <c r="T6390" t="s">
        <v>21268</v>
      </c>
    </row>
    <row r="6391" spans="1:20" x14ac:dyDescent="0.25">
      <c r="A6391" s="1" t="str">
        <f>HYPERLINK("https://vegkart.atlas.vegvesen.no/#/@255698.0,6650098.6,18/hva:hva%5B0%5D%5Bfilter%5D%5B0%5D%5Boperator%5D=%21%3D&amp;hva%5B0%5D%5Bfilter%5D%5B0%5D%5Btype_id%5D=5897&amp;hva%5B0%5D%5Bfilter%5D%5B0%5D%5Bverdi%5D=&amp;hva%5B0%5D%5Bid%5D=47/når:2017-10-31", "Vegkart")</f>
        <v>Vegkart</v>
      </c>
      <c r="B6391">
        <v>842554747</v>
      </c>
      <c r="C6391">
        <v>47</v>
      </c>
      <c r="D6391" t="s">
        <v>16854</v>
      </c>
      <c r="E6391">
        <v>5897</v>
      </c>
      <c r="F6391" t="s">
        <v>23479</v>
      </c>
      <c r="G6391">
        <v>1</v>
      </c>
      <c r="H6391" t="s">
        <v>15106</v>
      </c>
      <c r="J6391" t="s">
        <v>21160</v>
      </c>
      <c r="K6391" t="s">
        <v>132</v>
      </c>
      <c r="L6391" t="s">
        <v>113</v>
      </c>
      <c r="M6391" t="s">
        <v>336</v>
      </c>
      <c r="N6391" t="s">
        <v>21269</v>
      </c>
      <c r="O6391" t="s">
        <v>21270</v>
      </c>
      <c r="P6391" s="2" t="s">
        <v>26</v>
      </c>
      <c r="Q6391" t="s">
        <v>50</v>
      </c>
      <c r="R6391">
        <v>89.51</v>
      </c>
      <c r="S6391">
        <v>89.62</v>
      </c>
      <c r="T6391" t="s">
        <v>21271</v>
      </c>
    </row>
    <row r="6392" spans="1:20" x14ac:dyDescent="0.25">
      <c r="A6392" s="1" t="str">
        <f>HYPERLINK("https://vegkart.atlas.vegvesen.no/#/@255931.6,6650569.0,18/hva:hva%5B0%5D%5Bfilter%5D%5B0%5D%5Boperator%5D=%21%3D&amp;hva%5B0%5D%5Bfilter%5D%5B0%5D%5Btype_id%5D=5897&amp;hva%5B0%5D%5Bfilter%5D%5B0%5D%5Bverdi%5D=&amp;hva%5B0%5D%5Bid%5D=47/når:2017-10-31", "Vegkart")</f>
        <v>Vegkart</v>
      </c>
      <c r="B6392">
        <v>842554748</v>
      </c>
      <c r="C6392">
        <v>47</v>
      </c>
      <c r="D6392" t="s">
        <v>16854</v>
      </c>
      <c r="E6392">
        <v>5897</v>
      </c>
      <c r="F6392" t="s">
        <v>23479</v>
      </c>
      <c r="G6392">
        <v>1</v>
      </c>
      <c r="H6392" t="s">
        <v>15106</v>
      </c>
      <c r="J6392" t="s">
        <v>21160</v>
      </c>
      <c r="K6392" t="s">
        <v>335</v>
      </c>
      <c r="L6392" t="s">
        <v>113</v>
      </c>
      <c r="M6392" t="s">
        <v>336</v>
      </c>
      <c r="N6392" t="s">
        <v>21272</v>
      </c>
      <c r="O6392" t="s">
        <v>21273</v>
      </c>
      <c r="P6392" s="2" t="s">
        <v>26</v>
      </c>
      <c r="Q6392" t="s">
        <v>50</v>
      </c>
      <c r="R6392">
        <v>93.71</v>
      </c>
      <c r="S6392">
        <v>93.77</v>
      </c>
      <c r="T6392" t="s">
        <v>21274</v>
      </c>
    </row>
    <row r="6393" spans="1:20" x14ac:dyDescent="0.25">
      <c r="A6393" s="1" t="str">
        <f>HYPERLINK("https://vegkart.atlas.vegvesen.no/#/@451870.7,7432093.7,18/hva:hva%5B0%5D%5Bfilter%5D%5B0%5D%5Boperator%5D=%21%3D&amp;hva%5B0%5D%5Bfilter%5D%5B0%5D%5Btype_id%5D=5897&amp;hva%5B0%5D%5Bfilter%5D%5B0%5D%5Bverdi%5D=&amp;hva%5B0%5D%5Bid%5D=47/når:2025-08-11", "Vegkart")</f>
        <v>Vegkart</v>
      </c>
      <c r="B6393">
        <v>842986477</v>
      </c>
      <c r="C6393">
        <v>47</v>
      </c>
      <c r="D6393" t="s">
        <v>16854</v>
      </c>
      <c r="E6393">
        <v>5897</v>
      </c>
      <c r="F6393" t="s">
        <v>23479</v>
      </c>
      <c r="G6393">
        <v>2</v>
      </c>
      <c r="H6393" t="s">
        <v>17562</v>
      </c>
      <c r="J6393" t="s">
        <v>21160</v>
      </c>
      <c r="K6393" t="s">
        <v>53</v>
      </c>
      <c r="L6393" t="s">
        <v>33</v>
      </c>
      <c r="M6393" t="s">
        <v>18572</v>
      </c>
      <c r="N6393" t="s">
        <v>21275</v>
      </c>
      <c r="O6393" t="s">
        <v>21276</v>
      </c>
      <c r="P6393" s="2" t="s">
        <v>26</v>
      </c>
      <c r="Q6393" t="s">
        <v>50</v>
      </c>
      <c r="R6393">
        <v>23.75</v>
      </c>
      <c r="S6393">
        <v>23.98</v>
      </c>
      <c r="T6393" t="s">
        <v>21277</v>
      </c>
    </row>
    <row r="6394" spans="1:20" x14ac:dyDescent="0.25">
      <c r="A6394" s="1" t="str">
        <f>HYPERLINK("https://vegkart.atlas.vegvesen.no/#/@266895.4,6762367.3,18/hva:hva%5B0%5D%5Bfilter%5D%5B0%5D%5Boperator%5D=%21%3D&amp;hva%5B0%5D%5Bfilter%5D%5B0%5D%5Btype_id%5D=5897&amp;hva%5B0%5D%5Bfilter%5D%5B0%5D%5Bverdi%5D=&amp;hva%5B0%5D%5Bid%5D=47/når:2017-11-09", "Vegkart")</f>
        <v>Vegkart</v>
      </c>
      <c r="B6394">
        <v>843432359</v>
      </c>
      <c r="C6394">
        <v>47</v>
      </c>
      <c r="D6394" t="s">
        <v>16854</v>
      </c>
      <c r="E6394">
        <v>5897</v>
      </c>
      <c r="F6394" t="s">
        <v>23479</v>
      </c>
      <c r="G6394">
        <v>1</v>
      </c>
      <c r="H6394" t="s">
        <v>477</v>
      </c>
      <c r="J6394" t="s">
        <v>21160</v>
      </c>
      <c r="K6394" t="s">
        <v>136</v>
      </c>
      <c r="L6394" t="s">
        <v>22</v>
      </c>
      <c r="M6394" t="s">
        <v>21278</v>
      </c>
      <c r="N6394" t="s">
        <v>21279</v>
      </c>
      <c r="O6394" t="s">
        <v>21280</v>
      </c>
      <c r="P6394" s="2" t="s">
        <v>26</v>
      </c>
      <c r="Q6394" t="s">
        <v>50</v>
      </c>
      <c r="R6394">
        <v>158.59</v>
      </c>
      <c r="S6394">
        <v>159.18</v>
      </c>
      <c r="T6394" t="s">
        <v>21281</v>
      </c>
    </row>
    <row r="6395" spans="1:20" x14ac:dyDescent="0.25">
      <c r="A6395" s="1" t="str">
        <f>HYPERLINK("https://vegkart.atlas.vegvesen.no/#/@-32939.2,6719844.1,18/hva:hva%5B0%5D%5Bfilter%5D%5B0%5D%5Boperator%5D=%21%3D&amp;hva%5B0%5D%5Bfilter%5D%5B0%5D%5Btype_id%5D=5897&amp;hva%5B0%5D%5Bfilter%5D%5B0%5D%5Bverdi%5D=&amp;hva%5B0%5D%5Bid%5D=47/når:2017-08-07", "Vegkart")</f>
        <v>Vegkart</v>
      </c>
      <c r="B6395">
        <v>843772973</v>
      </c>
      <c r="C6395">
        <v>47</v>
      </c>
      <c r="D6395" t="s">
        <v>16854</v>
      </c>
      <c r="E6395">
        <v>5897</v>
      </c>
      <c r="F6395" t="s">
        <v>23479</v>
      </c>
      <c r="G6395">
        <v>1</v>
      </c>
      <c r="H6395" t="s">
        <v>6778</v>
      </c>
      <c r="J6395" t="s">
        <v>21282</v>
      </c>
      <c r="K6395" t="s">
        <v>21</v>
      </c>
      <c r="L6395" t="s">
        <v>33</v>
      </c>
      <c r="M6395" t="s">
        <v>5926</v>
      </c>
      <c r="N6395" t="s">
        <v>21283</v>
      </c>
      <c r="O6395" t="s">
        <v>21284</v>
      </c>
      <c r="P6395" s="2" t="s">
        <v>165</v>
      </c>
      <c r="Q6395" t="s">
        <v>641</v>
      </c>
      <c r="R6395">
        <v>0</v>
      </c>
      <c r="S6395">
        <v>134.36000000000001</v>
      </c>
      <c r="T6395" t="s">
        <v>167</v>
      </c>
    </row>
    <row r="6396" spans="1:20" x14ac:dyDescent="0.25">
      <c r="A6396" s="1" t="str">
        <f>HYPERLINK("https://vegkart.atlas.vegvesen.no/#/@255741.7,6702948.5,18/hva:hva%5B0%5D%5Bfilter%5D%5B0%5D%5Boperator%5D=%21%3D&amp;hva%5B0%5D%5Bfilter%5D%5B0%5D%5Btype_id%5D=5897&amp;hva%5B0%5D%5Bfilter%5D%5B0%5D%5Bverdi%5D=&amp;hva%5B0%5D%5Bid%5D=47/når:2016-01-12", "Vegkart")</f>
        <v>Vegkart</v>
      </c>
      <c r="B6396">
        <v>843962643</v>
      </c>
      <c r="C6396">
        <v>47</v>
      </c>
      <c r="D6396" t="s">
        <v>16854</v>
      </c>
      <c r="E6396">
        <v>5897</v>
      </c>
      <c r="F6396" t="s">
        <v>23479</v>
      </c>
      <c r="G6396">
        <v>1</v>
      </c>
      <c r="H6396" t="s">
        <v>21285</v>
      </c>
      <c r="J6396" t="s">
        <v>21282</v>
      </c>
      <c r="K6396" t="s">
        <v>136</v>
      </c>
      <c r="L6396" t="s">
        <v>33</v>
      </c>
      <c r="M6396" t="s">
        <v>17625</v>
      </c>
      <c r="N6396" t="s">
        <v>21286</v>
      </c>
      <c r="O6396" t="s">
        <v>21287</v>
      </c>
      <c r="P6396" s="2" t="s">
        <v>26</v>
      </c>
      <c r="Q6396" t="s">
        <v>50</v>
      </c>
      <c r="R6396">
        <v>66.3</v>
      </c>
      <c r="S6396">
        <v>66.48</v>
      </c>
      <c r="T6396" t="s">
        <v>21288</v>
      </c>
    </row>
    <row r="6397" spans="1:20" x14ac:dyDescent="0.25">
      <c r="A6397" s="1" t="str">
        <f>HYPERLINK("https://vegkart.atlas.vegvesen.no/#/@255731.7,6702940.8,18/hva:hva%5B0%5D%5Bfilter%5D%5B0%5D%5Boperator%5D=%21%3D&amp;hva%5B0%5D%5Bfilter%5D%5B0%5D%5Btype_id%5D=5897&amp;hva%5B0%5D%5Bfilter%5D%5B0%5D%5Bverdi%5D=&amp;hva%5B0%5D%5Bid%5D=47/når:2016-01-12", "Vegkart")</f>
        <v>Vegkart</v>
      </c>
      <c r="B6397">
        <v>843962644</v>
      </c>
      <c r="C6397">
        <v>47</v>
      </c>
      <c r="D6397" t="s">
        <v>16854</v>
      </c>
      <c r="E6397">
        <v>5897</v>
      </c>
      <c r="F6397" t="s">
        <v>23479</v>
      </c>
      <c r="G6397">
        <v>1</v>
      </c>
      <c r="H6397" t="s">
        <v>21285</v>
      </c>
      <c r="J6397" t="s">
        <v>21282</v>
      </c>
      <c r="K6397" t="s">
        <v>136</v>
      </c>
      <c r="L6397" t="s">
        <v>33</v>
      </c>
      <c r="M6397" t="s">
        <v>17625</v>
      </c>
      <c r="N6397" t="s">
        <v>21289</v>
      </c>
      <c r="O6397" t="s">
        <v>21290</v>
      </c>
      <c r="P6397" s="2" t="s">
        <v>26</v>
      </c>
      <c r="Q6397" t="s">
        <v>50</v>
      </c>
      <c r="R6397">
        <v>67.28</v>
      </c>
      <c r="S6397">
        <v>67.650000000000006</v>
      </c>
      <c r="T6397" t="s">
        <v>21291</v>
      </c>
    </row>
    <row r="6398" spans="1:20" x14ac:dyDescent="0.25">
      <c r="A6398" s="1" t="str">
        <f>HYPERLINK("https://vegkart.atlas.vegvesen.no/#/@-34504.6,6522988.0,18/hva:hva%5B0%5D%5Bfilter%5D%5B0%5D%5Boperator%5D=%21%3D&amp;hva%5B0%5D%5Bfilter%5D%5B0%5D%5Btype_id%5D=5897&amp;hva%5B0%5D%5Bfilter%5D%5B0%5D%5Bverdi%5D=&amp;hva%5B0%5D%5Bid%5D=47/når:2022-03-23", "Vegkart")</f>
        <v>Vegkart</v>
      </c>
      <c r="B6398">
        <v>844114118</v>
      </c>
      <c r="C6398">
        <v>47</v>
      </c>
      <c r="D6398" t="s">
        <v>16854</v>
      </c>
      <c r="E6398">
        <v>5897</v>
      </c>
      <c r="F6398" t="s">
        <v>23479</v>
      </c>
      <c r="G6398">
        <v>2</v>
      </c>
      <c r="H6398" t="s">
        <v>21292</v>
      </c>
      <c r="J6398" t="s">
        <v>21282</v>
      </c>
      <c r="K6398" t="s">
        <v>170</v>
      </c>
      <c r="L6398" t="s">
        <v>33</v>
      </c>
      <c r="M6398" t="s">
        <v>414</v>
      </c>
      <c r="N6398" t="s">
        <v>21293</v>
      </c>
      <c r="O6398" t="s">
        <v>21294</v>
      </c>
      <c r="P6398" s="2" t="s">
        <v>26</v>
      </c>
      <c r="Q6398" t="s">
        <v>50</v>
      </c>
      <c r="R6398">
        <v>77.540000000000006</v>
      </c>
      <c r="S6398">
        <v>88</v>
      </c>
      <c r="T6398" t="s">
        <v>21295</v>
      </c>
    </row>
    <row r="6399" spans="1:20" x14ac:dyDescent="0.25">
      <c r="A6399" s="1" t="str">
        <f>HYPERLINK("https://vegkart.atlas.vegvesen.no/#/@170386.8,6586751.8,18/hva:hva%5B0%5D%5Bfilter%5D%5B0%5D%5Boperator%5D=%21%3D&amp;hva%5B0%5D%5Bfilter%5D%5B0%5D%5Btype_id%5D=5897&amp;hva%5B0%5D%5Bfilter%5D%5B0%5D%5Bverdi%5D=&amp;hva%5B0%5D%5Bid%5D=47/når:2023-03-20", "Vegkart")</f>
        <v>Vegkart</v>
      </c>
      <c r="B6399">
        <v>844789361</v>
      </c>
      <c r="C6399">
        <v>47</v>
      </c>
      <c r="D6399" t="s">
        <v>16854</v>
      </c>
      <c r="E6399">
        <v>5897</v>
      </c>
      <c r="F6399" t="s">
        <v>23479</v>
      </c>
      <c r="G6399">
        <v>5</v>
      </c>
      <c r="H6399" t="s">
        <v>17981</v>
      </c>
      <c r="J6399" t="s">
        <v>21282</v>
      </c>
      <c r="K6399" t="s">
        <v>197</v>
      </c>
      <c r="L6399" t="s">
        <v>33</v>
      </c>
      <c r="M6399" t="s">
        <v>21296</v>
      </c>
      <c r="N6399" t="s">
        <v>21297</v>
      </c>
      <c r="O6399" t="s">
        <v>21298</v>
      </c>
      <c r="P6399" s="2" t="s">
        <v>165</v>
      </c>
      <c r="Q6399" t="s">
        <v>166</v>
      </c>
      <c r="R6399">
        <v>78.78</v>
      </c>
      <c r="S6399">
        <v>79.47</v>
      </c>
      <c r="T6399" t="s">
        <v>167</v>
      </c>
    </row>
    <row r="6400" spans="1:20" x14ac:dyDescent="0.25">
      <c r="A6400" s="1" t="str">
        <f>HYPERLINK("https://vegkart.atlas.vegvesen.no/#/@846718.4,7842222.1,18/hva:hva%5B0%5D%5Bfilter%5D%5B0%5D%5Boperator%5D=%21%3D&amp;hva%5B0%5D%5Bfilter%5D%5B0%5D%5Btype_id%5D=5897&amp;hva%5B0%5D%5Bfilter%5D%5B0%5D%5Bverdi%5D=&amp;hva%5B0%5D%5Bid%5D=47/når:2017-12-20", "Vegkart")</f>
        <v>Vegkart</v>
      </c>
      <c r="B6400">
        <v>845051875</v>
      </c>
      <c r="C6400">
        <v>47</v>
      </c>
      <c r="D6400" t="s">
        <v>16854</v>
      </c>
      <c r="E6400">
        <v>5897</v>
      </c>
      <c r="F6400" t="s">
        <v>23479</v>
      </c>
      <c r="G6400">
        <v>1</v>
      </c>
      <c r="H6400" t="s">
        <v>6897</v>
      </c>
      <c r="J6400" t="s">
        <v>21282</v>
      </c>
      <c r="K6400" t="s">
        <v>450</v>
      </c>
      <c r="L6400" t="s">
        <v>113</v>
      </c>
      <c r="M6400" t="s">
        <v>1605</v>
      </c>
      <c r="N6400" t="s">
        <v>21299</v>
      </c>
      <c r="O6400" t="s">
        <v>21300</v>
      </c>
      <c r="P6400" s="2" t="s">
        <v>26</v>
      </c>
      <c r="Q6400" t="s">
        <v>50</v>
      </c>
      <c r="R6400">
        <v>82.12</v>
      </c>
      <c r="S6400">
        <v>83.22</v>
      </c>
      <c r="T6400" t="s">
        <v>21301</v>
      </c>
    </row>
    <row r="6401" spans="1:20" x14ac:dyDescent="0.25">
      <c r="A6401" s="1" t="str">
        <f>HYPERLINK("https://vegkart.atlas.vegvesen.no/#/@846856.7,7842240.7,18/hva:hva%5B0%5D%5Bfilter%5D%5B0%5D%5Boperator%5D=%21%3D&amp;hva%5B0%5D%5Bfilter%5D%5B0%5D%5Btype_id%5D=5897&amp;hva%5B0%5D%5Bfilter%5D%5B0%5D%5Bverdi%5D=&amp;hva%5B0%5D%5Bid%5D=47/når:2017-12-20", "Vegkart")</f>
        <v>Vegkart</v>
      </c>
      <c r="B6401">
        <v>845051876</v>
      </c>
      <c r="C6401">
        <v>47</v>
      </c>
      <c r="D6401" t="s">
        <v>16854</v>
      </c>
      <c r="E6401">
        <v>5897</v>
      </c>
      <c r="F6401" t="s">
        <v>23479</v>
      </c>
      <c r="G6401">
        <v>1</v>
      </c>
      <c r="H6401" t="s">
        <v>6897</v>
      </c>
      <c r="J6401" t="s">
        <v>21282</v>
      </c>
      <c r="K6401" t="s">
        <v>450</v>
      </c>
      <c r="L6401" t="s">
        <v>113</v>
      </c>
      <c r="M6401" t="s">
        <v>1605</v>
      </c>
      <c r="N6401" t="s">
        <v>21302</v>
      </c>
      <c r="O6401" t="s">
        <v>21303</v>
      </c>
      <c r="P6401" s="2" t="s">
        <v>26</v>
      </c>
      <c r="Q6401" t="s">
        <v>50</v>
      </c>
      <c r="R6401">
        <v>80.180000000000007</v>
      </c>
      <c r="S6401">
        <v>80.5</v>
      </c>
      <c r="T6401" t="s">
        <v>21304</v>
      </c>
    </row>
    <row r="6402" spans="1:20" x14ac:dyDescent="0.25">
      <c r="A6402" s="1" t="str">
        <f>HYPERLINK("https://vegkart.atlas.vegvesen.no/#/@852855.4,7842426.7,18/hva:hva%5B0%5D%5Bfilter%5D%5B0%5D%5Boperator%5D=%21%3D&amp;hva%5B0%5D%5Bfilter%5D%5B0%5D%5Btype_id%5D=5897&amp;hva%5B0%5D%5Bfilter%5D%5B0%5D%5Bverdi%5D=&amp;hva%5B0%5D%5Bid%5D=47/når:2017-12-20", "Vegkart")</f>
        <v>Vegkart</v>
      </c>
      <c r="B6402">
        <v>845051877</v>
      </c>
      <c r="C6402">
        <v>47</v>
      </c>
      <c r="D6402" t="s">
        <v>16854</v>
      </c>
      <c r="E6402">
        <v>5897</v>
      </c>
      <c r="F6402" t="s">
        <v>23479</v>
      </c>
      <c r="G6402">
        <v>1</v>
      </c>
      <c r="H6402" t="s">
        <v>6897</v>
      </c>
      <c r="J6402" t="s">
        <v>21282</v>
      </c>
      <c r="K6402" t="s">
        <v>450</v>
      </c>
      <c r="L6402" t="s">
        <v>113</v>
      </c>
      <c r="M6402" t="s">
        <v>1605</v>
      </c>
      <c r="N6402" t="s">
        <v>21305</v>
      </c>
      <c r="O6402" t="s">
        <v>21306</v>
      </c>
      <c r="P6402" s="2" t="s">
        <v>26</v>
      </c>
      <c r="Q6402" t="s">
        <v>50</v>
      </c>
      <c r="R6402">
        <v>80.14</v>
      </c>
      <c r="S6402">
        <v>80.56</v>
      </c>
      <c r="T6402" t="s">
        <v>21307</v>
      </c>
    </row>
    <row r="6403" spans="1:20" x14ac:dyDescent="0.25">
      <c r="A6403" s="1" t="str">
        <f>HYPERLINK("https://vegkart.atlas.vegvesen.no/#/@852799.6,7842494.8,18/hva:hva%5B0%5D%5Bfilter%5D%5B0%5D%5Boperator%5D=%21%3D&amp;hva%5B0%5D%5Bfilter%5D%5B0%5D%5Btype_id%5D=5897&amp;hva%5B0%5D%5Bfilter%5D%5B0%5D%5Bverdi%5D=&amp;hva%5B0%5D%5Bid%5D=47/når:2017-12-20", "Vegkart")</f>
        <v>Vegkart</v>
      </c>
      <c r="B6403">
        <v>845051878</v>
      </c>
      <c r="C6403">
        <v>47</v>
      </c>
      <c r="D6403" t="s">
        <v>16854</v>
      </c>
      <c r="E6403">
        <v>5897</v>
      </c>
      <c r="F6403" t="s">
        <v>23479</v>
      </c>
      <c r="G6403">
        <v>1</v>
      </c>
      <c r="H6403" t="s">
        <v>6897</v>
      </c>
      <c r="J6403" t="s">
        <v>21282</v>
      </c>
      <c r="K6403" t="s">
        <v>450</v>
      </c>
      <c r="L6403" t="s">
        <v>113</v>
      </c>
      <c r="M6403" t="s">
        <v>1605</v>
      </c>
      <c r="N6403" t="s">
        <v>21308</v>
      </c>
      <c r="O6403" t="s">
        <v>21309</v>
      </c>
      <c r="P6403" s="2" t="s">
        <v>26</v>
      </c>
      <c r="Q6403" t="s">
        <v>50</v>
      </c>
      <c r="R6403">
        <v>66.709999999999994</v>
      </c>
      <c r="S6403">
        <v>67.19</v>
      </c>
      <c r="T6403" t="s">
        <v>21310</v>
      </c>
    </row>
    <row r="6404" spans="1:20" x14ac:dyDescent="0.25">
      <c r="A6404" s="1" t="str">
        <f>HYPERLINK("https://vegkart.atlas.vegvesen.no/#/@220307.5,6616476.9,18/hva:hva%5B0%5D%5Bfilter%5D%5B0%5D%5Boperator%5D=%21%3D&amp;hva%5B0%5D%5Bfilter%5D%5B0%5D%5Btype_id%5D=5897&amp;hva%5B0%5D%5Bfilter%5D%5B0%5D%5Bverdi%5D=&amp;hva%5B0%5D%5Bid%5D=47/når:2017-12-20", "Vegkart")</f>
        <v>Vegkart</v>
      </c>
      <c r="B6404">
        <v>845091810</v>
      </c>
      <c r="C6404">
        <v>47</v>
      </c>
      <c r="D6404" t="s">
        <v>16854</v>
      </c>
      <c r="E6404">
        <v>5897</v>
      </c>
      <c r="F6404" t="s">
        <v>23479</v>
      </c>
      <c r="G6404">
        <v>1</v>
      </c>
      <c r="H6404" t="s">
        <v>6897</v>
      </c>
      <c r="J6404" t="s">
        <v>21282</v>
      </c>
      <c r="K6404" t="s">
        <v>81</v>
      </c>
      <c r="L6404" t="s">
        <v>33</v>
      </c>
      <c r="M6404" t="s">
        <v>3298</v>
      </c>
      <c r="N6404" t="s">
        <v>21311</v>
      </c>
      <c r="O6404" t="s">
        <v>21312</v>
      </c>
      <c r="P6404" s="2" t="s">
        <v>26</v>
      </c>
      <c r="Q6404" t="s">
        <v>50</v>
      </c>
      <c r="R6404">
        <v>55.57</v>
      </c>
      <c r="S6404">
        <v>55.77</v>
      </c>
      <c r="T6404" t="s">
        <v>21313</v>
      </c>
    </row>
    <row r="6405" spans="1:20" x14ac:dyDescent="0.25">
      <c r="A6405" s="1" t="str">
        <f>HYPERLINK("https://vegkart.atlas.vegvesen.no/#/@-30051.1,6708797.8,18/hva:hva%5B0%5D%5Bfilter%5D%5B0%5D%5Boperator%5D=%21%3D&amp;hva%5B0%5D%5Bfilter%5D%5B0%5D%5Btype_id%5D=5897&amp;hva%5B0%5D%5Bfilter%5D%5B0%5D%5Bverdi%5D=&amp;hva%5B0%5D%5Bid%5D=47/når:2018-01-15", "Vegkart")</f>
        <v>Vegkart</v>
      </c>
      <c r="B6405">
        <v>845812610</v>
      </c>
      <c r="C6405">
        <v>47</v>
      </c>
      <c r="D6405" t="s">
        <v>16854</v>
      </c>
      <c r="E6405">
        <v>5897</v>
      </c>
      <c r="F6405" t="s">
        <v>23479</v>
      </c>
      <c r="G6405">
        <v>1</v>
      </c>
      <c r="H6405" t="s">
        <v>21314</v>
      </c>
      <c r="J6405" t="s">
        <v>21282</v>
      </c>
      <c r="K6405" t="s">
        <v>21</v>
      </c>
      <c r="L6405" t="s">
        <v>33</v>
      </c>
      <c r="M6405" t="s">
        <v>21315</v>
      </c>
      <c r="N6405" t="s">
        <v>21316</v>
      </c>
      <c r="O6405" t="s">
        <v>21317</v>
      </c>
      <c r="P6405" s="2" t="s">
        <v>26</v>
      </c>
      <c r="Q6405" t="s">
        <v>50</v>
      </c>
      <c r="R6405">
        <v>56.86</v>
      </c>
      <c r="S6405">
        <v>56.9</v>
      </c>
      <c r="T6405" t="s">
        <v>21318</v>
      </c>
    </row>
    <row r="6406" spans="1:20" x14ac:dyDescent="0.25">
      <c r="A6406" s="1" t="str">
        <f>HYPERLINK("https://vegkart.atlas.vegvesen.no/#/@-30171.2,6708800.9,18/hva:hva%5B0%5D%5Bfilter%5D%5B0%5D%5Boperator%5D=%21%3D&amp;hva%5B0%5D%5Bfilter%5D%5B0%5D%5Btype_id%5D=5897&amp;hva%5B0%5D%5Bfilter%5D%5B0%5D%5Bverdi%5D=&amp;hva%5B0%5D%5Bid%5D=47/når:2018-01-15", "Vegkart")</f>
        <v>Vegkart</v>
      </c>
      <c r="B6406">
        <v>845812611</v>
      </c>
      <c r="C6406">
        <v>47</v>
      </c>
      <c r="D6406" t="s">
        <v>16854</v>
      </c>
      <c r="E6406">
        <v>5897</v>
      </c>
      <c r="F6406" t="s">
        <v>23479</v>
      </c>
      <c r="G6406">
        <v>1</v>
      </c>
      <c r="H6406" t="s">
        <v>21314</v>
      </c>
      <c r="J6406" t="s">
        <v>21282</v>
      </c>
      <c r="K6406" t="s">
        <v>21</v>
      </c>
      <c r="L6406" t="s">
        <v>33</v>
      </c>
      <c r="M6406" t="s">
        <v>21315</v>
      </c>
      <c r="N6406" t="s">
        <v>21319</v>
      </c>
      <c r="O6406" t="s">
        <v>21320</v>
      </c>
      <c r="P6406" s="2" t="s">
        <v>26</v>
      </c>
      <c r="Q6406" t="s">
        <v>50</v>
      </c>
      <c r="R6406">
        <v>69.33</v>
      </c>
      <c r="S6406">
        <v>69.819999999999993</v>
      </c>
      <c r="T6406" t="s">
        <v>21321</v>
      </c>
    </row>
    <row r="6407" spans="1:20" x14ac:dyDescent="0.25">
      <c r="A6407" s="1" t="str">
        <f>HYPERLINK("https://vegkart.atlas.vegvesen.no/#/@-30128.0,6708854.1,18/hva:hva%5B0%5D%5Bfilter%5D%5B0%5D%5Boperator%5D=%21%3D&amp;hva%5B0%5D%5Bfilter%5D%5B0%5D%5Btype_id%5D=5897&amp;hva%5B0%5D%5Bfilter%5D%5B0%5D%5Bverdi%5D=&amp;hva%5B0%5D%5Bid%5D=47/når:2018-01-15", "Vegkart")</f>
        <v>Vegkart</v>
      </c>
      <c r="B6407">
        <v>845812612</v>
      </c>
      <c r="C6407">
        <v>47</v>
      </c>
      <c r="D6407" t="s">
        <v>16854</v>
      </c>
      <c r="E6407">
        <v>5897</v>
      </c>
      <c r="F6407" t="s">
        <v>23479</v>
      </c>
      <c r="G6407">
        <v>1</v>
      </c>
      <c r="H6407" t="s">
        <v>21314</v>
      </c>
      <c r="J6407" t="s">
        <v>21282</v>
      </c>
      <c r="K6407" t="s">
        <v>21</v>
      </c>
      <c r="L6407" t="s">
        <v>33</v>
      </c>
      <c r="M6407" t="s">
        <v>21322</v>
      </c>
      <c r="N6407" t="s">
        <v>21323</v>
      </c>
      <c r="O6407" t="s">
        <v>21324</v>
      </c>
      <c r="P6407" s="2" t="s">
        <v>26</v>
      </c>
      <c r="Q6407" t="s">
        <v>50</v>
      </c>
      <c r="R6407">
        <v>66.739999999999995</v>
      </c>
      <c r="S6407">
        <v>67.27</v>
      </c>
      <c r="T6407" t="s">
        <v>21325</v>
      </c>
    </row>
    <row r="6408" spans="1:20" x14ac:dyDescent="0.25">
      <c r="A6408" s="1" t="str">
        <f>HYPERLINK("https://vegkart.atlas.vegvesen.no/#/@242618.8,6591816.2,18/hva:hva%5B0%5D%5Bfilter%5D%5B0%5D%5Boperator%5D=%21%3D&amp;hva%5B0%5D%5Bfilter%5D%5B0%5D%5Btype_id%5D=5897&amp;hva%5B0%5D%5Bfilter%5D%5B0%5D%5Bverdi%5D=&amp;hva%5B0%5D%5Bid%5D=47/når:2017-06-23", "Vegkart")</f>
        <v>Vegkart</v>
      </c>
      <c r="B6408">
        <v>846727319</v>
      </c>
      <c r="C6408">
        <v>47</v>
      </c>
      <c r="D6408" t="s">
        <v>16854</v>
      </c>
      <c r="E6408">
        <v>5897</v>
      </c>
      <c r="F6408" t="s">
        <v>23479</v>
      </c>
      <c r="G6408">
        <v>1</v>
      </c>
      <c r="H6408" t="s">
        <v>20435</v>
      </c>
      <c r="J6408" t="s">
        <v>21282</v>
      </c>
      <c r="K6408" t="s">
        <v>81</v>
      </c>
      <c r="L6408" t="s">
        <v>113</v>
      </c>
      <c r="M6408" t="s">
        <v>2383</v>
      </c>
      <c r="N6408" t="s">
        <v>21326</v>
      </c>
      <c r="O6408" t="s">
        <v>21327</v>
      </c>
      <c r="P6408" s="2" t="s">
        <v>26</v>
      </c>
      <c r="Q6408" t="s">
        <v>50</v>
      </c>
      <c r="R6408">
        <v>28.89</v>
      </c>
      <c r="S6408">
        <v>29.78</v>
      </c>
      <c r="T6408" t="s">
        <v>21328</v>
      </c>
    </row>
    <row r="6409" spans="1:20" x14ac:dyDescent="0.25">
      <c r="A6409" s="1" t="str">
        <f>HYPERLINK("https://vegkart.atlas.vegvesen.no/#/@255935.5,6600435.1,18/hva:hva%5B0%5D%5Bfilter%5D%5B0%5D%5Boperator%5D=%21%3D&amp;hva%5B0%5D%5Bfilter%5D%5B0%5D%5Btype_id%5D=5897&amp;hva%5B0%5D%5Bfilter%5D%5B0%5D%5Bverdi%5D=&amp;hva%5B0%5D%5Bid%5D=47/når:2018-02-02", "Vegkart")</f>
        <v>Vegkart</v>
      </c>
      <c r="B6409">
        <v>846915177</v>
      </c>
      <c r="C6409">
        <v>47</v>
      </c>
      <c r="D6409" t="s">
        <v>16854</v>
      </c>
      <c r="E6409">
        <v>5897</v>
      </c>
      <c r="F6409" t="s">
        <v>23479</v>
      </c>
      <c r="G6409">
        <v>1</v>
      </c>
      <c r="H6409" t="s">
        <v>21329</v>
      </c>
      <c r="J6409" t="s">
        <v>21282</v>
      </c>
      <c r="K6409" t="s">
        <v>104</v>
      </c>
      <c r="L6409" t="s">
        <v>33</v>
      </c>
      <c r="M6409" t="s">
        <v>8751</v>
      </c>
      <c r="N6409" t="s">
        <v>21330</v>
      </c>
      <c r="O6409" t="s">
        <v>21331</v>
      </c>
      <c r="P6409" s="2" t="s">
        <v>26</v>
      </c>
      <c r="Q6409" t="s">
        <v>50</v>
      </c>
      <c r="R6409">
        <v>23.04</v>
      </c>
      <c r="S6409">
        <v>23.04</v>
      </c>
      <c r="T6409" t="s">
        <v>21332</v>
      </c>
    </row>
    <row r="6410" spans="1:20" x14ac:dyDescent="0.25">
      <c r="A6410" s="1" t="str">
        <f>HYPERLINK("https://vegkart.atlas.vegvesen.no/#/@255752.6,6599675.3,18/hva:hva%5B0%5D%5Bfilter%5D%5B0%5D%5Boperator%5D=%21%3D&amp;hva%5B0%5D%5Bfilter%5D%5B0%5D%5Btype_id%5D=5897&amp;hva%5B0%5D%5Bfilter%5D%5B0%5D%5Bverdi%5D=&amp;hva%5B0%5D%5Bid%5D=47/når:2018-02-02", "Vegkart")</f>
        <v>Vegkart</v>
      </c>
      <c r="B6410">
        <v>846915179</v>
      </c>
      <c r="C6410">
        <v>47</v>
      </c>
      <c r="D6410" t="s">
        <v>16854</v>
      </c>
      <c r="E6410">
        <v>5897</v>
      </c>
      <c r="F6410" t="s">
        <v>23479</v>
      </c>
      <c r="G6410">
        <v>1</v>
      </c>
      <c r="H6410" t="s">
        <v>21329</v>
      </c>
      <c r="J6410" t="s">
        <v>21282</v>
      </c>
      <c r="K6410" t="s">
        <v>104</v>
      </c>
      <c r="L6410" t="s">
        <v>33</v>
      </c>
      <c r="M6410" t="s">
        <v>8751</v>
      </c>
      <c r="N6410" t="s">
        <v>21333</v>
      </c>
      <c r="O6410" t="s">
        <v>21334</v>
      </c>
      <c r="P6410" s="2" t="s">
        <v>26</v>
      </c>
      <c r="Q6410" t="s">
        <v>50</v>
      </c>
      <c r="R6410">
        <v>23.04</v>
      </c>
      <c r="S6410">
        <v>23.04</v>
      </c>
      <c r="T6410" t="s">
        <v>21335</v>
      </c>
    </row>
    <row r="6411" spans="1:20" x14ac:dyDescent="0.25">
      <c r="A6411" s="1" t="str">
        <f>HYPERLINK("https://vegkart.atlas.vegvesen.no/#/@255751.6,6599640.7,18/hva:hva%5B0%5D%5Bfilter%5D%5B0%5D%5Boperator%5D=%21%3D&amp;hva%5B0%5D%5Bfilter%5D%5B0%5D%5Btype_id%5D=5897&amp;hva%5B0%5D%5Bfilter%5D%5B0%5D%5Bverdi%5D=&amp;hva%5B0%5D%5Bid%5D=47/når:2018-02-02", "Vegkart")</f>
        <v>Vegkart</v>
      </c>
      <c r="B6411">
        <v>846915187</v>
      </c>
      <c r="C6411">
        <v>47</v>
      </c>
      <c r="D6411" t="s">
        <v>16854</v>
      </c>
      <c r="E6411">
        <v>5897</v>
      </c>
      <c r="F6411" t="s">
        <v>23479</v>
      </c>
      <c r="G6411">
        <v>1</v>
      </c>
      <c r="H6411" t="s">
        <v>21329</v>
      </c>
      <c r="J6411" t="s">
        <v>21282</v>
      </c>
      <c r="K6411" t="s">
        <v>104</v>
      </c>
      <c r="L6411" t="s">
        <v>33</v>
      </c>
      <c r="M6411" t="s">
        <v>8751</v>
      </c>
      <c r="N6411" t="s">
        <v>21336</v>
      </c>
      <c r="O6411" t="s">
        <v>21337</v>
      </c>
      <c r="P6411" s="2" t="s">
        <v>26</v>
      </c>
      <c r="Q6411" t="s">
        <v>50</v>
      </c>
      <c r="R6411">
        <v>23.04</v>
      </c>
      <c r="S6411">
        <v>23.04</v>
      </c>
      <c r="T6411" t="s">
        <v>21338</v>
      </c>
    </row>
    <row r="6412" spans="1:20" x14ac:dyDescent="0.25">
      <c r="A6412" s="1" t="str">
        <f>HYPERLINK("https://vegkart.atlas.vegvesen.no/#/@255847.7,6600047.9,18/hva:hva%5B0%5D%5Bfilter%5D%5B0%5D%5Boperator%5D=%21%3D&amp;hva%5B0%5D%5Bfilter%5D%5B0%5D%5Btype_id%5D=5897&amp;hva%5B0%5D%5Bfilter%5D%5B0%5D%5Bverdi%5D=&amp;hva%5B0%5D%5Bid%5D=47/når:2018-02-02", "Vegkart")</f>
        <v>Vegkart</v>
      </c>
      <c r="B6412">
        <v>846915190</v>
      </c>
      <c r="C6412">
        <v>47</v>
      </c>
      <c r="D6412" t="s">
        <v>16854</v>
      </c>
      <c r="E6412">
        <v>5897</v>
      </c>
      <c r="F6412" t="s">
        <v>23479</v>
      </c>
      <c r="G6412">
        <v>1</v>
      </c>
      <c r="H6412" t="s">
        <v>21329</v>
      </c>
      <c r="J6412" t="s">
        <v>21282</v>
      </c>
      <c r="K6412" t="s">
        <v>104</v>
      </c>
      <c r="L6412" t="s">
        <v>33</v>
      </c>
      <c r="M6412" t="s">
        <v>8751</v>
      </c>
      <c r="N6412" t="s">
        <v>21339</v>
      </c>
      <c r="O6412" t="s">
        <v>21340</v>
      </c>
      <c r="P6412" s="2" t="s">
        <v>26</v>
      </c>
      <c r="Q6412" t="s">
        <v>50</v>
      </c>
      <c r="R6412">
        <v>23.04</v>
      </c>
      <c r="S6412">
        <v>23.05</v>
      </c>
      <c r="T6412" t="s">
        <v>21341</v>
      </c>
    </row>
    <row r="6413" spans="1:20" x14ac:dyDescent="0.25">
      <c r="A6413" s="1" t="str">
        <f>HYPERLINK("https://vegkart.atlas.vegvesen.no/#/@255854.3,6600021.5,18/hva:hva%5B0%5D%5Bfilter%5D%5B0%5D%5Boperator%5D=%21%3D&amp;hva%5B0%5D%5Bfilter%5D%5B0%5D%5Btype_id%5D=5897&amp;hva%5B0%5D%5Bfilter%5D%5B0%5D%5Bverdi%5D=&amp;hva%5B0%5D%5Bid%5D=47/når:2018-02-02", "Vegkart")</f>
        <v>Vegkart</v>
      </c>
      <c r="B6413">
        <v>846915197</v>
      </c>
      <c r="C6413">
        <v>47</v>
      </c>
      <c r="D6413" t="s">
        <v>16854</v>
      </c>
      <c r="E6413">
        <v>5897</v>
      </c>
      <c r="F6413" t="s">
        <v>23479</v>
      </c>
      <c r="G6413">
        <v>1</v>
      </c>
      <c r="H6413" t="s">
        <v>21329</v>
      </c>
      <c r="J6413" t="s">
        <v>21282</v>
      </c>
      <c r="K6413" t="s">
        <v>104</v>
      </c>
      <c r="L6413" t="s">
        <v>33</v>
      </c>
      <c r="M6413" t="s">
        <v>8751</v>
      </c>
      <c r="N6413" t="s">
        <v>21342</v>
      </c>
      <c r="O6413" t="s">
        <v>21343</v>
      </c>
      <c r="P6413" s="2" t="s">
        <v>26</v>
      </c>
      <c r="Q6413" t="s">
        <v>50</v>
      </c>
      <c r="R6413">
        <v>23.05</v>
      </c>
      <c r="S6413">
        <v>23.05</v>
      </c>
      <c r="T6413" t="s">
        <v>21344</v>
      </c>
    </row>
    <row r="6414" spans="1:20" x14ac:dyDescent="0.25">
      <c r="A6414" s="1" t="str">
        <f>HYPERLINK("https://vegkart.atlas.vegvesen.no/#/@723551.3,7756338.9,18/hva:hva%5B0%5D%5Bfilter%5D%5B0%5D%5Boperator%5D=%21%3D&amp;hva%5B0%5D%5Bfilter%5D%5B0%5D%5Btype_id%5D=5897&amp;hva%5B0%5D%5Bfilter%5D%5B0%5D%5Bverdi%5D=&amp;hva%5B0%5D%5Bid%5D=47/når:2018-02-06", "Vegkart")</f>
        <v>Vegkart</v>
      </c>
      <c r="B6414">
        <v>846938418</v>
      </c>
      <c r="C6414">
        <v>47</v>
      </c>
      <c r="D6414" t="s">
        <v>16854</v>
      </c>
      <c r="E6414">
        <v>5897</v>
      </c>
      <c r="F6414" t="s">
        <v>23479</v>
      </c>
      <c r="G6414">
        <v>1</v>
      </c>
      <c r="H6414" t="s">
        <v>21345</v>
      </c>
      <c r="J6414" t="s">
        <v>21282</v>
      </c>
      <c r="K6414" t="s">
        <v>179</v>
      </c>
      <c r="L6414" t="s">
        <v>80</v>
      </c>
      <c r="M6414" t="s">
        <v>105</v>
      </c>
      <c r="N6414" t="s">
        <v>21346</v>
      </c>
      <c r="O6414" t="s">
        <v>21347</v>
      </c>
      <c r="P6414" s="2" t="s">
        <v>26</v>
      </c>
      <c r="Q6414" t="s">
        <v>50</v>
      </c>
      <c r="R6414">
        <v>90.02</v>
      </c>
      <c r="S6414">
        <v>90.32</v>
      </c>
      <c r="T6414" t="s">
        <v>21348</v>
      </c>
    </row>
    <row r="6415" spans="1:20" x14ac:dyDescent="0.25">
      <c r="A6415" s="1" t="str">
        <f>HYPERLINK("https://vegkart.atlas.vegvesen.no/#/@728030.1,7754645.0,18/hva:hva%5B0%5D%5Bfilter%5D%5B0%5D%5Boperator%5D=%21%3D&amp;hva%5B0%5D%5Bfilter%5D%5B0%5D%5Btype_id%5D=5897&amp;hva%5B0%5D%5Bfilter%5D%5B0%5D%5Bverdi%5D=&amp;hva%5B0%5D%5Bid%5D=47/når:2018-02-06", "Vegkart")</f>
        <v>Vegkart</v>
      </c>
      <c r="B6415">
        <v>846938419</v>
      </c>
      <c r="C6415">
        <v>47</v>
      </c>
      <c r="D6415" t="s">
        <v>16854</v>
      </c>
      <c r="E6415">
        <v>5897</v>
      </c>
      <c r="F6415" t="s">
        <v>23479</v>
      </c>
      <c r="G6415">
        <v>1</v>
      </c>
      <c r="H6415" t="s">
        <v>21345</v>
      </c>
      <c r="J6415" t="s">
        <v>21282</v>
      </c>
      <c r="K6415" t="s">
        <v>179</v>
      </c>
      <c r="L6415" t="s">
        <v>80</v>
      </c>
      <c r="M6415" t="s">
        <v>105</v>
      </c>
      <c r="N6415" t="s">
        <v>21349</v>
      </c>
      <c r="O6415" t="s">
        <v>21350</v>
      </c>
      <c r="P6415" s="2" t="s">
        <v>26</v>
      </c>
      <c r="Q6415" t="s">
        <v>50</v>
      </c>
      <c r="R6415">
        <v>90.02</v>
      </c>
      <c r="S6415">
        <v>90.32</v>
      </c>
      <c r="T6415" t="s">
        <v>21351</v>
      </c>
    </row>
    <row r="6416" spans="1:20" x14ac:dyDescent="0.25">
      <c r="A6416" s="1" t="str">
        <f>HYPERLINK("https://vegkart.atlas.vegvesen.no/#/@724858.8,7755823.6,18/hva:hva%5B0%5D%5Bfilter%5D%5B0%5D%5Boperator%5D=%21%3D&amp;hva%5B0%5D%5Bfilter%5D%5B0%5D%5Btype_id%5D=5897&amp;hva%5B0%5D%5Bfilter%5D%5B0%5D%5Bverdi%5D=&amp;hva%5B0%5D%5Bid%5D=47/når:2018-02-06", "Vegkart")</f>
        <v>Vegkart</v>
      </c>
      <c r="B6416">
        <v>846938420</v>
      </c>
      <c r="C6416">
        <v>47</v>
      </c>
      <c r="D6416" t="s">
        <v>16854</v>
      </c>
      <c r="E6416">
        <v>5897</v>
      </c>
      <c r="F6416" t="s">
        <v>23479</v>
      </c>
      <c r="G6416">
        <v>1</v>
      </c>
      <c r="H6416" t="s">
        <v>21345</v>
      </c>
      <c r="J6416" t="s">
        <v>21282</v>
      </c>
      <c r="K6416" t="s">
        <v>179</v>
      </c>
      <c r="L6416" t="s">
        <v>80</v>
      </c>
      <c r="M6416" t="s">
        <v>105</v>
      </c>
      <c r="N6416" t="s">
        <v>21352</v>
      </c>
      <c r="O6416" t="s">
        <v>21353</v>
      </c>
      <c r="P6416" s="2" t="s">
        <v>26</v>
      </c>
      <c r="Q6416" t="s">
        <v>50</v>
      </c>
      <c r="R6416">
        <v>89.99</v>
      </c>
      <c r="S6416">
        <v>90.27</v>
      </c>
      <c r="T6416" t="s">
        <v>21354</v>
      </c>
    </row>
    <row r="6417" spans="1:20" x14ac:dyDescent="0.25">
      <c r="A6417" s="1" t="str">
        <f>HYPERLINK("https://vegkart.atlas.vegvesen.no/#/@725790.3,7755506.3,18/hva:hva%5B0%5D%5Bfilter%5D%5B0%5D%5Boperator%5D=%21%3D&amp;hva%5B0%5D%5Bfilter%5D%5B0%5D%5Btype_id%5D=5897&amp;hva%5B0%5D%5Bfilter%5D%5B0%5D%5Bverdi%5D=&amp;hva%5B0%5D%5Bid%5D=47/når:2018-02-06", "Vegkart")</f>
        <v>Vegkart</v>
      </c>
      <c r="B6417">
        <v>846938421</v>
      </c>
      <c r="C6417">
        <v>47</v>
      </c>
      <c r="D6417" t="s">
        <v>16854</v>
      </c>
      <c r="E6417">
        <v>5897</v>
      </c>
      <c r="F6417" t="s">
        <v>23479</v>
      </c>
      <c r="G6417">
        <v>1</v>
      </c>
      <c r="H6417" t="s">
        <v>21345</v>
      </c>
      <c r="J6417" t="s">
        <v>21282</v>
      </c>
      <c r="K6417" t="s">
        <v>179</v>
      </c>
      <c r="L6417" t="s">
        <v>80</v>
      </c>
      <c r="M6417" t="s">
        <v>105</v>
      </c>
      <c r="N6417" t="s">
        <v>21355</v>
      </c>
      <c r="O6417" t="s">
        <v>21356</v>
      </c>
      <c r="P6417" s="2" t="s">
        <v>26</v>
      </c>
      <c r="Q6417" t="s">
        <v>50</v>
      </c>
      <c r="R6417">
        <v>107.97</v>
      </c>
      <c r="S6417">
        <v>114.08</v>
      </c>
      <c r="T6417" t="s">
        <v>21357</v>
      </c>
    </row>
    <row r="6418" spans="1:20" x14ac:dyDescent="0.25">
      <c r="A6418" s="1" t="str">
        <f>HYPERLINK("https://vegkart.atlas.vegvesen.no/#/@725323.9,7755639.7,18/hva:hva%5B0%5D%5Bfilter%5D%5B0%5D%5Boperator%5D=%21%3D&amp;hva%5B0%5D%5Bfilter%5D%5B0%5D%5Btype_id%5D=5897&amp;hva%5B0%5D%5Bfilter%5D%5B0%5D%5Bverdi%5D=&amp;hva%5B0%5D%5Bid%5D=47/når:2018-02-06", "Vegkart")</f>
        <v>Vegkart</v>
      </c>
      <c r="B6418">
        <v>846938422</v>
      </c>
      <c r="C6418">
        <v>47</v>
      </c>
      <c r="D6418" t="s">
        <v>16854</v>
      </c>
      <c r="E6418">
        <v>5897</v>
      </c>
      <c r="F6418" t="s">
        <v>23479</v>
      </c>
      <c r="G6418">
        <v>1</v>
      </c>
      <c r="H6418" t="s">
        <v>21345</v>
      </c>
      <c r="J6418" t="s">
        <v>21282</v>
      </c>
      <c r="K6418" t="s">
        <v>179</v>
      </c>
      <c r="L6418" t="s">
        <v>80</v>
      </c>
      <c r="M6418" t="s">
        <v>105</v>
      </c>
      <c r="N6418" t="s">
        <v>21358</v>
      </c>
      <c r="O6418" t="s">
        <v>21359</v>
      </c>
      <c r="P6418" s="2" t="s">
        <v>26</v>
      </c>
      <c r="Q6418" t="s">
        <v>50</v>
      </c>
      <c r="R6418">
        <v>90.05</v>
      </c>
      <c r="S6418">
        <v>90.37</v>
      </c>
      <c r="T6418" t="s">
        <v>21360</v>
      </c>
    </row>
    <row r="6419" spans="1:20" x14ac:dyDescent="0.25">
      <c r="A6419" s="1" t="str">
        <f>HYPERLINK("https://vegkart.atlas.vegvesen.no/#/@726248.4,7755370.8,18/hva:hva%5B0%5D%5Bfilter%5D%5B0%5D%5Boperator%5D=%21%3D&amp;hva%5B0%5D%5Bfilter%5D%5B0%5D%5Btype_id%5D=5897&amp;hva%5B0%5D%5Bfilter%5D%5B0%5D%5Bverdi%5D=&amp;hva%5B0%5D%5Bid%5D=47/når:2018-02-06", "Vegkart")</f>
        <v>Vegkart</v>
      </c>
      <c r="B6419">
        <v>846938423</v>
      </c>
      <c r="C6419">
        <v>47</v>
      </c>
      <c r="D6419" t="s">
        <v>16854</v>
      </c>
      <c r="E6419">
        <v>5897</v>
      </c>
      <c r="F6419" t="s">
        <v>23479</v>
      </c>
      <c r="G6419">
        <v>1</v>
      </c>
      <c r="H6419" t="s">
        <v>21345</v>
      </c>
      <c r="J6419" t="s">
        <v>21282</v>
      </c>
      <c r="K6419" t="s">
        <v>179</v>
      </c>
      <c r="L6419" t="s">
        <v>80</v>
      </c>
      <c r="M6419" t="s">
        <v>105</v>
      </c>
      <c r="N6419" t="s">
        <v>21361</v>
      </c>
      <c r="O6419" t="s">
        <v>21362</v>
      </c>
      <c r="P6419" s="2" t="s">
        <v>26</v>
      </c>
      <c r="Q6419" t="s">
        <v>50</v>
      </c>
      <c r="R6419">
        <v>15.08</v>
      </c>
      <c r="S6419">
        <v>15.08</v>
      </c>
      <c r="T6419" t="s">
        <v>21363</v>
      </c>
    </row>
    <row r="6420" spans="1:20" x14ac:dyDescent="0.25">
      <c r="A6420" s="1" t="str">
        <f>HYPERLINK("https://vegkart.atlas.vegvesen.no/#/@727251.7,7755105.7,18/hva:hva%5B0%5D%5Bfilter%5D%5B0%5D%5Boperator%5D=%21%3D&amp;hva%5B0%5D%5Bfilter%5D%5B0%5D%5Btype_id%5D=5897&amp;hva%5B0%5D%5Bfilter%5D%5B0%5D%5Bverdi%5D=&amp;hva%5B0%5D%5Bid%5D=47/når:2018-02-06", "Vegkart")</f>
        <v>Vegkart</v>
      </c>
      <c r="B6420">
        <v>846938424</v>
      </c>
      <c r="C6420">
        <v>47</v>
      </c>
      <c r="D6420" t="s">
        <v>16854</v>
      </c>
      <c r="E6420">
        <v>5897</v>
      </c>
      <c r="F6420" t="s">
        <v>23479</v>
      </c>
      <c r="G6420">
        <v>1</v>
      </c>
      <c r="H6420" t="s">
        <v>21345</v>
      </c>
      <c r="J6420" t="s">
        <v>21282</v>
      </c>
      <c r="K6420" t="s">
        <v>179</v>
      </c>
      <c r="L6420" t="s">
        <v>80</v>
      </c>
      <c r="M6420" t="s">
        <v>105</v>
      </c>
      <c r="N6420" t="s">
        <v>21364</v>
      </c>
      <c r="O6420" t="s">
        <v>21365</v>
      </c>
      <c r="P6420" s="2" t="s">
        <v>26</v>
      </c>
      <c r="Q6420" t="s">
        <v>50</v>
      </c>
      <c r="R6420">
        <v>90.03</v>
      </c>
      <c r="S6420">
        <v>90.33</v>
      </c>
      <c r="T6420" t="s">
        <v>21366</v>
      </c>
    </row>
    <row r="6421" spans="1:20" x14ac:dyDescent="0.25">
      <c r="A6421" s="1" t="str">
        <f>HYPERLINK("https://vegkart.atlas.vegvesen.no/#/@726770.8,7755243.5,18/hva:hva%5B0%5D%5Bfilter%5D%5B0%5D%5Boperator%5D=%21%3D&amp;hva%5B0%5D%5Bfilter%5D%5B0%5D%5Btype_id%5D=5897&amp;hva%5B0%5D%5Bfilter%5D%5B0%5D%5Bverdi%5D=&amp;hva%5B0%5D%5Bid%5D=47/når:2018-02-06", "Vegkart")</f>
        <v>Vegkart</v>
      </c>
      <c r="B6421">
        <v>846938425</v>
      </c>
      <c r="C6421">
        <v>47</v>
      </c>
      <c r="D6421" t="s">
        <v>16854</v>
      </c>
      <c r="E6421">
        <v>5897</v>
      </c>
      <c r="F6421" t="s">
        <v>23479</v>
      </c>
      <c r="G6421">
        <v>1</v>
      </c>
      <c r="H6421" t="s">
        <v>21345</v>
      </c>
      <c r="J6421" t="s">
        <v>21282</v>
      </c>
      <c r="K6421" t="s">
        <v>179</v>
      </c>
      <c r="L6421" t="s">
        <v>80</v>
      </c>
      <c r="M6421" t="s">
        <v>105</v>
      </c>
      <c r="N6421" t="s">
        <v>21367</v>
      </c>
      <c r="O6421" t="s">
        <v>21368</v>
      </c>
      <c r="P6421" s="2" t="s">
        <v>26</v>
      </c>
      <c r="Q6421" t="s">
        <v>50</v>
      </c>
      <c r="R6421">
        <v>90.02</v>
      </c>
      <c r="S6421">
        <v>90.32</v>
      </c>
      <c r="T6421" t="s">
        <v>21369</v>
      </c>
    </row>
    <row r="6422" spans="1:20" x14ac:dyDescent="0.25">
      <c r="A6422" s="1" t="str">
        <f>HYPERLINK("https://vegkart.atlas.vegvesen.no/#/@727721.1,7754940.0,18/hva:hva%5B0%5D%5Bfilter%5D%5B0%5D%5Boperator%5D=%21%3D&amp;hva%5B0%5D%5Bfilter%5D%5B0%5D%5Btype_id%5D=5897&amp;hva%5B0%5D%5Bfilter%5D%5B0%5D%5Bverdi%5D=&amp;hva%5B0%5D%5Bid%5D=47/når:2018-02-06", "Vegkart")</f>
        <v>Vegkart</v>
      </c>
      <c r="B6422">
        <v>846938426</v>
      </c>
      <c r="C6422">
        <v>47</v>
      </c>
      <c r="D6422" t="s">
        <v>16854</v>
      </c>
      <c r="E6422">
        <v>5897</v>
      </c>
      <c r="F6422" t="s">
        <v>23479</v>
      </c>
      <c r="G6422">
        <v>1</v>
      </c>
      <c r="H6422" t="s">
        <v>21345</v>
      </c>
      <c r="J6422" t="s">
        <v>21282</v>
      </c>
      <c r="K6422" t="s">
        <v>179</v>
      </c>
      <c r="L6422" t="s">
        <v>80</v>
      </c>
      <c r="M6422" t="s">
        <v>105</v>
      </c>
      <c r="N6422" t="s">
        <v>21370</v>
      </c>
      <c r="O6422" t="s">
        <v>21371</v>
      </c>
      <c r="P6422" s="2" t="s">
        <v>26</v>
      </c>
      <c r="Q6422" t="s">
        <v>50</v>
      </c>
      <c r="R6422">
        <v>90.33</v>
      </c>
      <c r="S6422">
        <v>90.87</v>
      </c>
      <c r="T6422" t="s">
        <v>21372</v>
      </c>
    </row>
    <row r="6423" spans="1:20" x14ac:dyDescent="0.25">
      <c r="A6423" s="1" t="str">
        <f>HYPERLINK("https://vegkart.atlas.vegvesen.no/#/@726291.6,7755357.9,18/hva:hva%5B0%5D%5Bfilter%5D%5B0%5D%5Boperator%5D=%21%3D&amp;hva%5B0%5D%5Bfilter%5D%5B0%5D%5Btype_id%5D=5897&amp;hva%5B0%5D%5Bfilter%5D%5B0%5D%5Bverdi%5D=&amp;hva%5B0%5D%5Bid%5D=47/når:2018-02-06", "Vegkart")</f>
        <v>Vegkart</v>
      </c>
      <c r="B6423">
        <v>846938427</v>
      </c>
      <c r="C6423">
        <v>47</v>
      </c>
      <c r="D6423" t="s">
        <v>16854</v>
      </c>
      <c r="E6423">
        <v>5897</v>
      </c>
      <c r="F6423" t="s">
        <v>23479</v>
      </c>
      <c r="G6423">
        <v>1</v>
      </c>
      <c r="H6423" t="s">
        <v>21345</v>
      </c>
      <c r="J6423" t="s">
        <v>21282</v>
      </c>
      <c r="K6423" t="s">
        <v>179</v>
      </c>
      <c r="L6423" t="s">
        <v>80</v>
      </c>
      <c r="M6423" t="s">
        <v>105</v>
      </c>
      <c r="N6423" t="s">
        <v>21373</v>
      </c>
      <c r="O6423" t="s">
        <v>21374</v>
      </c>
      <c r="P6423" s="2" t="s">
        <v>26</v>
      </c>
      <c r="Q6423" t="s">
        <v>50</v>
      </c>
      <c r="R6423">
        <v>75.03</v>
      </c>
      <c r="S6423">
        <v>75.239999999999995</v>
      </c>
      <c r="T6423" t="s">
        <v>21375</v>
      </c>
    </row>
    <row r="6424" spans="1:20" x14ac:dyDescent="0.25">
      <c r="A6424" s="1" t="str">
        <f>HYPERLINK("https://vegkart.atlas.vegvesen.no/#/@724390.8,7756000.4,18/hva:hva%5B0%5D%5Bfilter%5D%5B0%5D%5Boperator%5D=%21%3D&amp;hva%5B0%5D%5Bfilter%5D%5B0%5D%5Btype_id%5D=5897&amp;hva%5B0%5D%5Bfilter%5D%5B0%5D%5Bverdi%5D=&amp;hva%5B0%5D%5Bid%5D=47/når:2018-02-06", "Vegkart")</f>
        <v>Vegkart</v>
      </c>
      <c r="B6424">
        <v>846938428</v>
      </c>
      <c r="C6424">
        <v>47</v>
      </c>
      <c r="D6424" t="s">
        <v>16854</v>
      </c>
      <c r="E6424">
        <v>5897</v>
      </c>
      <c r="F6424" t="s">
        <v>23479</v>
      </c>
      <c r="G6424">
        <v>1</v>
      </c>
      <c r="H6424" t="s">
        <v>21345</v>
      </c>
      <c r="J6424" t="s">
        <v>21282</v>
      </c>
      <c r="K6424" t="s">
        <v>179</v>
      </c>
      <c r="L6424" t="s">
        <v>80</v>
      </c>
      <c r="M6424" t="s">
        <v>105</v>
      </c>
      <c r="N6424" t="s">
        <v>21376</v>
      </c>
      <c r="O6424" t="s">
        <v>21377</v>
      </c>
      <c r="P6424" s="2" t="s">
        <v>26</v>
      </c>
      <c r="Q6424" t="s">
        <v>50</v>
      </c>
      <c r="R6424">
        <v>90.01</v>
      </c>
      <c r="S6424">
        <v>90.31</v>
      </c>
      <c r="T6424" t="s">
        <v>21378</v>
      </c>
    </row>
    <row r="6425" spans="1:20" x14ac:dyDescent="0.25">
      <c r="A6425" s="1" t="str">
        <f>HYPERLINK("https://vegkart.atlas.vegvesen.no/#/@723931.1,7756197.6,18/hva:hva%5B0%5D%5Bfilter%5D%5B0%5D%5Boperator%5D=%21%3D&amp;hva%5B0%5D%5Bfilter%5D%5B0%5D%5Btype_id%5D=5897&amp;hva%5B0%5D%5Bfilter%5D%5B0%5D%5Bverdi%5D=&amp;hva%5B0%5D%5Bid%5D=47/når:2018-02-06", "Vegkart")</f>
        <v>Vegkart</v>
      </c>
      <c r="B6425">
        <v>846938429</v>
      </c>
      <c r="C6425">
        <v>47</v>
      </c>
      <c r="D6425" t="s">
        <v>16854</v>
      </c>
      <c r="E6425">
        <v>5897</v>
      </c>
      <c r="F6425" t="s">
        <v>23479</v>
      </c>
      <c r="G6425">
        <v>1</v>
      </c>
      <c r="H6425" t="s">
        <v>21345</v>
      </c>
      <c r="J6425" t="s">
        <v>21282</v>
      </c>
      <c r="K6425" t="s">
        <v>179</v>
      </c>
      <c r="L6425" t="s">
        <v>80</v>
      </c>
      <c r="M6425" t="s">
        <v>105</v>
      </c>
      <c r="N6425" t="s">
        <v>21379</v>
      </c>
      <c r="O6425" t="s">
        <v>21380</v>
      </c>
      <c r="P6425" s="2" t="s">
        <v>26</v>
      </c>
      <c r="Q6425" t="s">
        <v>50</v>
      </c>
      <c r="R6425">
        <v>90.02</v>
      </c>
      <c r="S6425">
        <v>90.32</v>
      </c>
      <c r="T6425" t="s">
        <v>21381</v>
      </c>
    </row>
    <row r="6426" spans="1:20" x14ac:dyDescent="0.25">
      <c r="A6426" s="1" t="str">
        <f>HYPERLINK("https://vegkart.atlas.vegvesen.no/#/@243760.5,6594342.9,18/hva:hva%5B0%5D%5Bfilter%5D%5B0%5D%5Boperator%5D=%21%3D&amp;hva%5B0%5D%5Bfilter%5D%5B0%5D%5Btype_id%5D=5897&amp;hva%5B0%5D%5Bfilter%5D%5B0%5D%5Bverdi%5D=&amp;hva%5B0%5D%5Bid%5D=47/når:2017-06-23", "Vegkart")</f>
        <v>Vegkart</v>
      </c>
      <c r="B6426">
        <v>847165116</v>
      </c>
      <c r="C6426">
        <v>47</v>
      </c>
      <c r="D6426" t="s">
        <v>16854</v>
      </c>
      <c r="E6426">
        <v>5897</v>
      </c>
      <c r="F6426" t="s">
        <v>23479</v>
      </c>
      <c r="G6426">
        <v>1</v>
      </c>
      <c r="H6426" t="s">
        <v>20435</v>
      </c>
      <c r="J6426" t="s">
        <v>21282</v>
      </c>
      <c r="K6426" t="s">
        <v>81</v>
      </c>
      <c r="L6426" t="s">
        <v>113</v>
      </c>
      <c r="M6426" t="s">
        <v>2383</v>
      </c>
      <c r="N6426" t="s">
        <v>21382</v>
      </c>
      <c r="O6426" t="s">
        <v>21383</v>
      </c>
      <c r="P6426" s="2" t="s">
        <v>26</v>
      </c>
      <c r="Q6426" t="s">
        <v>50</v>
      </c>
      <c r="R6426">
        <v>21.99</v>
      </c>
      <c r="S6426">
        <v>23.02</v>
      </c>
      <c r="T6426" t="s">
        <v>21384</v>
      </c>
    </row>
    <row r="6427" spans="1:20" x14ac:dyDescent="0.25">
      <c r="A6427" s="1" t="str">
        <f>HYPERLINK("https://vegkart.atlas.vegvesen.no/#/@164047.4,6600792.3,18/hva:hva%5B0%5D%5Bfilter%5D%5B0%5D%5Boperator%5D=%21%3D&amp;hva%5B0%5D%5Bfilter%5D%5B0%5D%5Btype_id%5D=5897&amp;hva%5B0%5D%5Bfilter%5D%5B0%5D%5Bverdi%5D=&amp;hva%5B0%5D%5Bid%5D=47/når:2022-11-30", "Vegkart")</f>
        <v>Vegkart</v>
      </c>
      <c r="B6427">
        <v>847272116</v>
      </c>
      <c r="C6427">
        <v>47</v>
      </c>
      <c r="D6427" t="s">
        <v>16854</v>
      </c>
      <c r="E6427">
        <v>5897</v>
      </c>
      <c r="F6427" t="s">
        <v>23479</v>
      </c>
      <c r="G6427">
        <v>3</v>
      </c>
      <c r="H6427" t="s">
        <v>17992</v>
      </c>
      <c r="J6427" t="s">
        <v>21282</v>
      </c>
      <c r="K6427" t="s">
        <v>197</v>
      </c>
      <c r="L6427" t="s">
        <v>113</v>
      </c>
      <c r="M6427" t="s">
        <v>2618</v>
      </c>
      <c r="N6427" t="s">
        <v>21385</v>
      </c>
      <c r="O6427" t="s">
        <v>21386</v>
      </c>
      <c r="P6427" s="2" t="s">
        <v>165</v>
      </c>
      <c r="Q6427" t="s">
        <v>166</v>
      </c>
      <c r="R6427">
        <v>55.61</v>
      </c>
      <c r="S6427">
        <v>56.42</v>
      </c>
      <c r="T6427" t="s">
        <v>167</v>
      </c>
    </row>
    <row r="6428" spans="1:20" x14ac:dyDescent="0.25">
      <c r="A6428" s="1" t="str">
        <f>HYPERLINK("https://vegkart.atlas.vegvesen.no/#/@164091.9,6600769.1,18/hva:hva%5B0%5D%5Bfilter%5D%5B0%5D%5Boperator%5D=%21%3D&amp;hva%5B0%5D%5Bfilter%5D%5B0%5D%5Btype_id%5D=5897&amp;hva%5B0%5D%5Bfilter%5D%5B0%5D%5Bverdi%5D=&amp;hva%5B0%5D%5Bid%5D=47/når:2023-12-20", "Vegkart")</f>
        <v>Vegkart</v>
      </c>
      <c r="B6428">
        <v>847272117</v>
      </c>
      <c r="C6428">
        <v>47</v>
      </c>
      <c r="D6428" t="s">
        <v>16854</v>
      </c>
      <c r="E6428">
        <v>5897</v>
      </c>
      <c r="F6428" t="s">
        <v>23479</v>
      </c>
      <c r="G6428">
        <v>4</v>
      </c>
      <c r="H6428" t="s">
        <v>21387</v>
      </c>
      <c r="J6428" t="s">
        <v>21282</v>
      </c>
      <c r="K6428" t="s">
        <v>197</v>
      </c>
      <c r="L6428" t="s">
        <v>113</v>
      </c>
      <c r="M6428" t="s">
        <v>2618</v>
      </c>
      <c r="N6428" t="s">
        <v>21388</v>
      </c>
      <c r="O6428" t="s">
        <v>21389</v>
      </c>
      <c r="P6428" s="2" t="s">
        <v>165</v>
      </c>
      <c r="Q6428" t="s">
        <v>166</v>
      </c>
      <c r="R6428">
        <v>37.6</v>
      </c>
      <c r="S6428">
        <v>37.67</v>
      </c>
      <c r="T6428" t="s">
        <v>167</v>
      </c>
    </row>
    <row r="6429" spans="1:20" x14ac:dyDescent="0.25">
      <c r="A6429" s="1" t="str">
        <f>HYPERLINK("https://vegkart.atlas.vegvesen.no/#/@274326.2,6616134.5,18/hva:hva%5B0%5D%5Bfilter%5D%5B0%5D%5Boperator%5D=%21%3D&amp;hva%5B0%5D%5Bfilter%5D%5B0%5D%5Btype_id%5D=5897&amp;hva%5B0%5D%5Bfilter%5D%5B0%5D%5Bverdi%5D=&amp;hva%5B0%5D%5Bid%5D=47/når:2018-03-05", "Vegkart")</f>
        <v>Vegkart</v>
      </c>
      <c r="B6429">
        <v>848664400</v>
      </c>
      <c r="C6429">
        <v>47</v>
      </c>
      <c r="D6429" t="s">
        <v>16854</v>
      </c>
      <c r="E6429">
        <v>5897</v>
      </c>
      <c r="F6429" t="s">
        <v>23479</v>
      </c>
      <c r="G6429">
        <v>1</v>
      </c>
      <c r="H6429" t="s">
        <v>8711</v>
      </c>
      <c r="J6429" t="s">
        <v>21282</v>
      </c>
      <c r="K6429" t="s">
        <v>104</v>
      </c>
      <c r="L6429" t="s">
        <v>33</v>
      </c>
      <c r="M6429" t="s">
        <v>8721</v>
      </c>
      <c r="N6429" t="s">
        <v>21390</v>
      </c>
      <c r="O6429" t="s">
        <v>21391</v>
      </c>
      <c r="P6429" s="2" t="s">
        <v>26</v>
      </c>
      <c r="Q6429" t="s">
        <v>50</v>
      </c>
      <c r="R6429">
        <v>52.53</v>
      </c>
      <c r="S6429">
        <v>53.08</v>
      </c>
      <c r="T6429" t="s">
        <v>21392</v>
      </c>
    </row>
    <row r="6430" spans="1:20" x14ac:dyDescent="0.25">
      <c r="A6430" s="1" t="str">
        <f>HYPERLINK("https://vegkart.atlas.vegvesen.no/#/@271901.1,6616823.2,18/hva:hva%5B0%5D%5Bfilter%5D%5B0%5D%5Boperator%5D=%21%3D&amp;hva%5B0%5D%5Bfilter%5D%5B0%5D%5Btype_id%5D=5897&amp;hva%5B0%5D%5Bfilter%5D%5B0%5D%5Bverdi%5D=&amp;hva%5B0%5D%5Bid%5D=47/når:2018-03-05", "Vegkart")</f>
        <v>Vegkart</v>
      </c>
      <c r="B6430">
        <v>848664401</v>
      </c>
      <c r="C6430">
        <v>47</v>
      </c>
      <c r="D6430" t="s">
        <v>16854</v>
      </c>
      <c r="E6430">
        <v>5897</v>
      </c>
      <c r="F6430" t="s">
        <v>23479</v>
      </c>
      <c r="G6430">
        <v>1</v>
      </c>
      <c r="H6430" t="s">
        <v>8711</v>
      </c>
      <c r="J6430" t="s">
        <v>21282</v>
      </c>
      <c r="K6430" t="s">
        <v>104</v>
      </c>
      <c r="L6430" t="s">
        <v>33</v>
      </c>
      <c r="M6430" t="s">
        <v>288</v>
      </c>
      <c r="N6430" t="s">
        <v>21393</v>
      </c>
      <c r="O6430" t="s">
        <v>21394</v>
      </c>
      <c r="P6430" s="2" t="s">
        <v>37</v>
      </c>
      <c r="Q6430" t="s">
        <v>1208</v>
      </c>
      <c r="R6430">
        <v>15.19</v>
      </c>
      <c r="S6430">
        <v>16.72</v>
      </c>
      <c r="T6430" t="s">
        <v>21395</v>
      </c>
    </row>
    <row r="6431" spans="1:20" x14ac:dyDescent="0.25">
      <c r="A6431" s="1" t="str">
        <f>HYPERLINK("https://vegkart.atlas.vegvesen.no/#/@274739.5,6615903.7,18/hva:hva%5B0%5D%5Bfilter%5D%5B0%5D%5Boperator%5D=%21%3D&amp;hva%5B0%5D%5Bfilter%5D%5B0%5D%5Btype_id%5D=5897&amp;hva%5B0%5D%5Bfilter%5D%5B0%5D%5Bverdi%5D=&amp;hva%5B0%5D%5Bid%5D=47/når:2018-03-05", "Vegkart")</f>
        <v>Vegkart</v>
      </c>
      <c r="B6431">
        <v>848664405</v>
      </c>
      <c r="C6431">
        <v>47</v>
      </c>
      <c r="D6431" t="s">
        <v>16854</v>
      </c>
      <c r="E6431">
        <v>5897</v>
      </c>
      <c r="F6431" t="s">
        <v>23479</v>
      </c>
      <c r="G6431">
        <v>1</v>
      </c>
      <c r="H6431" t="s">
        <v>8711</v>
      </c>
      <c r="J6431" t="s">
        <v>21282</v>
      </c>
      <c r="K6431" t="s">
        <v>104</v>
      </c>
      <c r="L6431" t="s">
        <v>33</v>
      </c>
      <c r="M6431" t="s">
        <v>8721</v>
      </c>
      <c r="N6431" t="s">
        <v>21396</v>
      </c>
      <c r="O6431" t="s">
        <v>21397</v>
      </c>
      <c r="P6431" s="2" t="s">
        <v>165</v>
      </c>
      <c r="Q6431" t="s">
        <v>641</v>
      </c>
      <c r="R6431">
        <v>58.16</v>
      </c>
      <c r="S6431">
        <v>77.94</v>
      </c>
      <c r="T6431" t="s">
        <v>167</v>
      </c>
    </row>
    <row r="6432" spans="1:20" x14ac:dyDescent="0.25">
      <c r="A6432" s="1" t="str">
        <f>HYPERLINK("https://vegkart.atlas.vegvesen.no/#/@125649.9,6485535.2,18/hva:hva%5B0%5D%5Bfilter%5D%5B0%5D%5Boperator%5D=%21%3D&amp;hva%5B0%5D%5Bfilter%5D%5B0%5D%5Btype_id%5D=5897&amp;hva%5B0%5D%5Bfilter%5D%5B0%5D%5Bverdi%5D=&amp;hva%5B0%5D%5Bid%5D=47/når:2018-03-12", "Vegkart")</f>
        <v>Vegkart</v>
      </c>
      <c r="B6432">
        <v>849315559</v>
      </c>
      <c r="C6432">
        <v>47</v>
      </c>
      <c r="D6432" t="s">
        <v>16854</v>
      </c>
      <c r="E6432">
        <v>5897</v>
      </c>
      <c r="F6432" t="s">
        <v>23479</v>
      </c>
      <c r="G6432">
        <v>1</v>
      </c>
      <c r="H6432" t="s">
        <v>17153</v>
      </c>
      <c r="J6432" t="s">
        <v>21282</v>
      </c>
      <c r="K6432" t="s">
        <v>86</v>
      </c>
      <c r="L6432" t="s">
        <v>33</v>
      </c>
      <c r="M6432" t="s">
        <v>20176</v>
      </c>
      <c r="N6432" t="s">
        <v>21398</v>
      </c>
      <c r="O6432" t="s">
        <v>21399</v>
      </c>
      <c r="P6432" s="2" t="s">
        <v>26</v>
      </c>
      <c r="Q6432" t="s">
        <v>50</v>
      </c>
      <c r="R6432">
        <v>64.73</v>
      </c>
      <c r="S6432">
        <v>65.069999999999993</v>
      </c>
      <c r="T6432" t="s">
        <v>21400</v>
      </c>
    </row>
    <row r="6433" spans="1:20" x14ac:dyDescent="0.25">
      <c r="A6433" s="1" t="str">
        <f>HYPERLINK("https://vegkart.atlas.vegvesen.no/#/@125586.6,6485072.8,18/hva:hva%5B0%5D%5Bfilter%5D%5B0%5D%5Boperator%5D=%21%3D&amp;hva%5B0%5D%5Bfilter%5D%5B0%5D%5Btype_id%5D=5897&amp;hva%5B0%5D%5Bfilter%5D%5B0%5D%5Bverdi%5D=&amp;hva%5B0%5D%5Bid%5D=47/når:2018-03-12", "Vegkart")</f>
        <v>Vegkart</v>
      </c>
      <c r="B6433">
        <v>849315560</v>
      </c>
      <c r="C6433">
        <v>47</v>
      </c>
      <c r="D6433" t="s">
        <v>16854</v>
      </c>
      <c r="E6433">
        <v>5897</v>
      </c>
      <c r="F6433" t="s">
        <v>23479</v>
      </c>
      <c r="G6433">
        <v>1</v>
      </c>
      <c r="H6433" t="s">
        <v>17153</v>
      </c>
      <c r="J6433" t="s">
        <v>21282</v>
      </c>
      <c r="K6433" t="s">
        <v>86</v>
      </c>
      <c r="L6433" t="s">
        <v>33</v>
      </c>
      <c r="M6433" t="s">
        <v>20176</v>
      </c>
      <c r="N6433" t="s">
        <v>21401</v>
      </c>
      <c r="O6433" t="s">
        <v>21402</v>
      </c>
      <c r="P6433" s="2" t="s">
        <v>26</v>
      </c>
      <c r="Q6433" t="s">
        <v>50</v>
      </c>
      <c r="R6433">
        <v>60.34</v>
      </c>
      <c r="S6433">
        <v>60.84</v>
      </c>
      <c r="T6433" t="s">
        <v>21403</v>
      </c>
    </row>
    <row r="6434" spans="1:20" x14ac:dyDescent="0.25">
      <c r="A6434" s="1" t="str">
        <f>HYPERLINK("https://vegkart.atlas.vegvesen.no/#/@125632.1,6485414.9,18/hva:hva%5B0%5D%5Bfilter%5D%5B0%5D%5Boperator%5D=%21%3D&amp;hva%5B0%5D%5Bfilter%5D%5B0%5D%5Btype_id%5D=5897&amp;hva%5B0%5D%5Bfilter%5D%5B0%5D%5Bverdi%5D=&amp;hva%5B0%5D%5Bid%5D=47/når:2018-03-12", "Vegkart")</f>
        <v>Vegkart</v>
      </c>
      <c r="B6434">
        <v>849315561</v>
      </c>
      <c r="C6434">
        <v>47</v>
      </c>
      <c r="D6434" t="s">
        <v>16854</v>
      </c>
      <c r="E6434">
        <v>5897</v>
      </c>
      <c r="F6434" t="s">
        <v>23479</v>
      </c>
      <c r="G6434">
        <v>1</v>
      </c>
      <c r="H6434" t="s">
        <v>17153</v>
      </c>
      <c r="J6434" t="s">
        <v>21282</v>
      </c>
      <c r="K6434" t="s">
        <v>86</v>
      </c>
      <c r="L6434" t="s">
        <v>33</v>
      </c>
      <c r="M6434" t="s">
        <v>20176</v>
      </c>
      <c r="N6434" t="s">
        <v>21404</v>
      </c>
      <c r="O6434" t="s">
        <v>21405</v>
      </c>
      <c r="P6434" s="2" t="s">
        <v>26</v>
      </c>
      <c r="Q6434" t="s">
        <v>50</v>
      </c>
      <c r="R6434">
        <v>67.45</v>
      </c>
      <c r="S6434">
        <v>67.790000000000006</v>
      </c>
      <c r="T6434" t="s">
        <v>21406</v>
      </c>
    </row>
    <row r="6435" spans="1:20" x14ac:dyDescent="0.25">
      <c r="A6435" s="1" t="str">
        <f>HYPERLINK("https://vegkart.atlas.vegvesen.no/#/@125662.9,6485858.6,18/hva:hva%5B0%5D%5Bfilter%5D%5B0%5D%5Boperator%5D=%21%3D&amp;hva%5B0%5D%5Bfilter%5D%5B0%5D%5Btype_id%5D=5897&amp;hva%5B0%5D%5Bfilter%5D%5B0%5D%5Bverdi%5D=&amp;hva%5B0%5D%5Bid%5D=47/når:2018-03-12", "Vegkart")</f>
        <v>Vegkart</v>
      </c>
      <c r="B6435">
        <v>849315562</v>
      </c>
      <c r="C6435">
        <v>47</v>
      </c>
      <c r="D6435" t="s">
        <v>16854</v>
      </c>
      <c r="E6435">
        <v>5897</v>
      </c>
      <c r="F6435" t="s">
        <v>23479</v>
      </c>
      <c r="G6435">
        <v>1</v>
      </c>
      <c r="H6435" t="s">
        <v>17153</v>
      </c>
      <c r="J6435" t="s">
        <v>21282</v>
      </c>
      <c r="K6435" t="s">
        <v>86</v>
      </c>
      <c r="L6435" t="s">
        <v>33</v>
      </c>
      <c r="M6435" t="s">
        <v>20176</v>
      </c>
      <c r="N6435" t="s">
        <v>21407</v>
      </c>
      <c r="O6435" t="s">
        <v>21408</v>
      </c>
      <c r="P6435" s="2" t="s">
        <v>26</v>
      </c>
      <c r="Q6435" t="s">
        <v>50</v>
      </c>
      <c r="R6435">
        <v>62.49</v>
      </c>
      <c r="S6435">
        <v>63.23</v>
      </c>
      <c r="T6435" t="s">
        <v>21409</v>
      </c>
    </row>
    <row r="6436" spans="1:20" x14ac:dyDescent="0.25">
      <c r="A6436" s="1" t="str">
        <f>HYPERLINK("https://vegkart.atlas.vegvesen.no/#/@297113.0,6680217.1,18/hva:hva%5B0%5D%5Bfilter%5D%5B0%5D%5Boperator%5D=%21%3D&amp;hva%5B0%5D%5Bfilter%5D%5B0%5D%5Btype_id%5D=5897&amp;hva%5B0%5D%5Bfilter%5D%5B0%5D%5Bverdi%5D=&amp;hva%5B0%5D%5Bid%5D=47/når:2018-03-20", "Vegkart")</f>
        <v>Vegkart</v>
      </c>
      <c r="B6436">
        <v>849493611</v>
      </c>
      <c r="C6436">
        <v>47</v>
      </c>
      <c r="D6436" t="s">
        <v>16854</v>
      </c>
      <c r="E6436">
        <v>5897</v>
      </c>
      <c r="F6436" t="s">
        <v>23479</v>
      </c>
      <c r="G6436">
        <v>1</v>
      </c>
      <c r="H6436" t="s">
        <v>21410</v>
      </c>
      <c r="J6436" t="s">
        <v>21282</v>
      </c>
      <c r="K6436" t="s">
        <v>132</v>
      </c>
      <c r="L6436" t="s">
        <v>33</v>
      </c>
      <c r="M6436" t="s">
        <v>300</v>
      </c>
      <c r="N6436" t="s">
        <v>21411</v>
      </c>
      <c r="O6436" t="s">
        <v>21412</v>
      </c>
      <c r="P6436" s="2" t="s">
        <v>26</v>
      </c>
      <c r="Q6436" t="s">
        <v>50</v>
      </c>
      <c r="R6436">
        <v>45.04</v>
      </c>
      <c r="S6436">
        <v>45.34</v>
      </c>
      <c r="T6436" t="s">
        <v>21413</v>
      </c>
    </row>
    <row r="6437" spans="1:20" x14ac:dyDescent="0.25">
      <c r="A6437" s="1" t="str">
        <f>HYPERLINK("https://vegkart.atlas.vegvesen.no/#/@296676.0,6680244.0,18/hva:hva%5B0%5D%5Bfilter%5D%5B0%5D%5Boperator%5D=%21%3D&amp;hva%5B0%5D%5Bfilter%5D%5B0%5D%5Btype_id%5D=5897&amp;hva%5B0%5D%5Bfilter%5D%5B0%5D%5Bverdi%5D=&amp;hva%5B0%5D%5Bid%5D=47/når:2018-03-20", "Vegkart")</f>
        <v>Vegkart</v>
      </c>
      <c r="B6437">
        <v>849493612</v>
      </c>
      <c r="C6437">
        <v>47</v>
      </c>
      <c r="D6437" t="s">
        <v>16854</v>
      </c>
      <c r="E6437">
        <v>5897</v>
      </c>
      <c r="F6437" t="s">
        <v>23479</v>
      </c>
      <c r="G6437">
        <v>1</v>
      </c>
      <c r="H6437" t="s">
        <v>21410</v>
      </c>
      <c r="J6437" t="s">
        <v>21282</v>
      </c>
      <c r="K6437" t="s">
        <v>132</v>
      </c>
      <c r="L6437" t="s">
        <v>33</v>
      </c>
      <c r="M6437" t="s">
        <v>15248</v>
      </c>
      <c r="N6437" t="s">
        <v>21414</v>
      </c>
      <c r="O6437" t="s">
        <v>21415</v>
      </c>
      <c r="P6437" s="2" t="s">
        <v>26</v>
      </c>
      <c r="Q6437" t="s">
        <v>50</v>
      </c>
      <c r="R6437">
        <v>46.91</v>
      </c>
      <c r="S6437">
        <v>47.22</v>
      </c>
      <c r="T6437" t="s">
        <v>21416</v>
      </c>
    </row>
    <row r="6438" spans="1:20" x14ac:dyDescent="0.25">
      <c r="A6438" s="1" t="str">
        <f>HYPERLINK("https://vegkart.atlas.vegvesen.no/#/@296897.2,6680200.6,18/hva:hva%5B0%5D%5Bfilter%5D%5B0%5D%5Boperator%5D=%21%3D&amp;hva%5B0%5D%5Bfilter%5D%5B0%5D%5Btype_id%5D=5897&amp;hva%5B0%5D%5Bfilter%5D%5B0%5D%5Bverdi%5D=&amp;hva%5B0%5D%5Bid%5D=47/når:2018-03-20", "Vegkart")</f>
        <v>Vegkart</v>
      </c>
      <c r="B6438">
        <v>849493613</v>
      </c>
      <c r="C6438">
        <v>47</v>
      </c>
      <c r="D6438" t="s">
        <v>16854</v>
      </c>
      <c r="E6438">
        <v>5897</v>
      </c>
      <c r="F6438" t="s">
        <v>23479</v>
      </c>
      <c r="G6438">
        <v>1</v>
      </c>
      <c r="H6438" t="s">
        <v>21410</v>
      </c>
      <c r="J6438" t="s">
        <v>21282</v>
      </c>
      <c r="K6438" t="s">
        <v>132</v>
      </c>
      <c r="L6438" t="s">
        <v>33</v>
      </c>
      <c r="M6438" t="s">
        <v>15248</v>
      </c>
      <c r="N6438" t="s">
        <v>21417</v>
      </c>
      <c r="O6438" t="s">
        <v>21418</v>
      </c>
      <c r="P6438" s="2" t="s">
        <v>26</v>
      </c>
      <c r="Q6438" t="s">
        <v>50</v>
      </c>
      <c r="R6438">
        <v>55.57</v>
      </c>
      <c r="S6438">
        <v>56.68</v>
      </c>
      <c r="T6438" t="s">
        <v>21419</v>
      </c>
    </row>
    <row r="6439" spans="1:20" x14ac:dyDescent="0.25">
      <c r="A6439" s="1" t="str">
        <f>HYPERLINK("https://vegkart.atlas.vegvesen.no/#/@297175.1,6680266.5,18/hva:hva%5B0%5D%5Bfilter%5D%5B0%5D%5Boperator%5D=%21%3D&amp;hva%5B0%5D%5Bfilter%5D%5B0%5D%5Btype_id%5D=5897&amp;hva%5B0%5D%5Bfilter%5D%5B0%5D%5Bverdi%5D=&amp;hva%5B0%5D%5Bid%5D=47/når:2018-03-20", "Vegkart")</f>
        <v>Vegkart</v>
      </c>
      <c r="B6439">
        <v>849493614</v>
      </c>
      <c r="C6439">
        <v>47</v>
      </c>
      <c r="D6439" t="s">
        <v>16854</v>
      </c>
      <c r="E6439">
        <v>5897</v>
      </c>
      <c r="F6439" t="s">
        <v>23479</v>
      </c>
      <c r="G6439">
        <v>1</v>
      </c>
      <c r="H6439" t="s">
        <v>21410</v>
      </c>
      <c r="J6439" t="s">
        <v>21282</v>
      </c>
      <c r="K6439" t="s">
        <v>132</v>
      </c>
      <c r="L6439" t="s">
        <v>33</v>
      </c>
      <c r="M6439" t="s">
        <v>15248</v>
      </c>
      <c r="N6439" t="s">
        <v>21420</v>
      </c>
      <c r="O6439" t="s">
        <v>21421</v>
      </c>
      <c r="P6439" s="2" t="s">
        <v>26</v>
      </c>
      <c r="Q6439" t="s">
        <v>50</v>
      </c>
      <c r="R6439">
        <v>53.03</v>
      </c>
      <c r="S6439">
        <v>53.73</v>
      </c>
      <c r="T6439" t="s">
        <v>21422</v>
      </c>
    </row>
    <row r="6440" spans="1:20" x14ac:dyDescent="0.25">
      <c r="A6440" s="1" t="str">
        <f>HYPERLINK("https://vegkart.atlas.vegvesen.no/#/@136994.2,6497078.3,18/hva:hva%5B0%5D%5Bfilter%5D%5B0%5D%5Boperator%5D=%21%3D&amp;hva%5B0%5D%5Bfilter%5D%5B0%5D%5Btype_id%5D=5897&amp;hva%5B0%5D%5Bfilter%5D%5B0%5D%5Bverdi%5D=&amp;hva%5B0%5D%5Bid%5D=47/når:2018-04-09", "Vegkart")</f>
        <v>Vegkart</v>
      </c>
      <c r="B6440">
        <v>850487994</v>
      </c>
      <c r="C6440">
        <v>47</v>
      </c>
      <c r="D6440" t="s">
        <v>16854</v>
      </c>
      <c r="E6440">
        <v>5897</v>
      </c>
      <c r="F6440" t="s">
        <v>23479</v>
      </c>
      <c r="G6440">
        <v>1</v>
      </c>
      <c r="H6440" t="s">
        <v>2695</v>
      </c>
      <c r="J6440" t="s">
        <v>21282</v>
      </c>
      <c r="K6440" t="s">
        <v>86</v>
      </c>
      <c r="L6440" t="s">
        <v>33</v>
      </c>
      <c r="M6440" t="s">
        <v>2028</v>
      </c>
      <c r="N6440" t="s">
        <v>21423</v>
      </c>
      <c r="O6440" t="s">
        <v>21424</v>
      </c>
      <c r="P6440" s="2" t="s">
        <v>26</v>
      </c>
      <c r="Q6440" t="s">
        <v>50</v>
      </c>
      <c r="R6440">
        <v>65.84</v>
      </c>
      <c r="S6440">
        <v>67.38</v>
      </c>
      <c r="T6440" t="s">
        <v>21425</v>
      </c>
    </row>
    <row r="6441" spans="1:20" x14ac:dyDescent="0.25">
      <c r="A6441" s="1" t="str">
        <f>HYPERLINK("https://vegkart.atlas.vegvesen.no/#/@136994.3,6497105.6,18/hva:hva%5B0%5D%5Bfilter%5D%5B0%5D%5Boperator%5D=%21%3D&amp;hva%5B0%5D%5Bfilter%5D%5B0%5D%5Btype_id%5D=5897&amp;hva%5B0%5D%5Bfilter%5D%5B0%5D%5Bverdi%5D=&amp;hva%5B0%5D%5Bid%5D=47/når:2018-04-09", "Vegkart")</f>
        <v>Vegkart</v>
      </c>
      <c r="B6441">
        <v>850487995</v>
      </c>
      <c r="C6441">
        <v>47</v>
      </c>
      <c r="D6441" t="s">
        <v>16854</v>
      </c>
      <c r="E6441">
        <v>5897</v>
      </c>
      <c r="F6441" t="s">
        <v>23479</v>
      </c>
      <c r="G6441">
        <v>1</v>
      </c>
      <c r="H6441" t="s">
        <v>2695</v>
      </c>
      <c r="J6441" t="s">
        <v>21282</v>
      </c>
      <c r="K6441" t="s">
        <v>86</v>
      </c>
      <c r="L6441" t="s">
        <v>33</v>
      </c>
      <c r="M6441" t="s">
        <v>2028</v>
      </c>
      <c r="N6441" t="s">
        <v>21426</v>
      </c>
      <c r="O6441" t="s">
        <v>21427</v>
      </c>
      <c r="P6441" s="2" t="s">
        <v>26</v>
      </c>
      <c r="Q6441" t="s">
        <v>50</v>
      </c>
      <c r="R6441">
        <v>79.72</v>
      </c>
      <c r="S6441">
        <v>80.849999999999994</v>
      </c>
      <c r="T6441" t="s">
        <v>21428</v>
      </c>
    </row>
    <row r="6442" spans="1:20" x14ac:dyDescent="0.25">
      <c r="A6442" s="1" t="str">
        <f>HYPERLINK("https://vegkart.atlas.vegvesen.no/#/@212859.3,6558039.2,18/hva:hva%5B0%5D%5Bfilter%5D%5B0%5D%5Boperator%5D=%21%3D&amp;hva%5B0%5D%5Bfilter%5D%5B0%5D%5Btype_id%5D=5897&amp;hva%5B0%5D%5Bfilter%5D%5B0%5D%5Bverdi%5D=&amp;hva%5B0%5D%5Bid%5D=47/når:2023-08-25", "Vegkart")</f>
        <v>Vegkart</v>
      </c>
      <c r="B6442">
        <v>851791898</v>
      </c>
      <c r="C6442">
        <v>47</v>
      </c>
      <c r="D6442" t="s">
        <v>16854</v>
      </c>
      <c r="E6442">
        <v>5897</v>
      </c>
      <c r="F6442" t="s">
        <v>23479</v>
      </c>
      <c r="G6442">
        <v>2</v>
      </c>
      <c r="H6442" t="s">
        <v>21429</v>
      </c>
      <c r="J6442" t="s">
        <v>21282</v>
      </c>
      <c r="K6442" t="s">
        <v>81</v>
      </c>
      <c r="L6442" t="s">
        <v>80</v>
      </c>
      <c r="M6442" t="s">
        <v>53</v>
      </c>
      <c r="N6442" t="s">
        <v>21430</v>
      </c>
      <c r="O6442" t="s">
        <v>21431</v>
      </c>
      <c r="P6442" s="2" t="s">
        <v>165</v>
      </c>
      <c r="Q6442" t="s">
        <v>166</v>
      </c>
      <c r="R6442">
        <v>111.25</v>
      </c>
      <c r="S6442">
        <v>111.43</v>
      </c>
      <c r="T6442" t="s">
        <v>167</v>
      </c>
    </row>
    <row r="6443" spans="1:20" x14ac:dyDescent="0.25">
      <c r="A6443" s="1" t="str">
        <f>HYPERLINK("https://vegkart.atlas.vegvesen.no/#/@243871.7,6822839.2,18/hva:hva%5B0%5D%5Bfilter%5D%5B0%5D%5Boperator%5D=%21%3D&amp;hva%5B0%5D%5Bfilter%5D%5B0%5D%5Btype_id%5D=5897&amp;hva%5B0%5D%5Bfilter%5D%5B0%5D%5Bverdi%5D=&amp;hva%5B0%5D%5Bid%5D=47/når:2018-04-20", "Vegkart")</f>
        <v>Vegkart</v>
      </c>
      <c r="B6443">
        <v>851792816</v>
      </c>
      <c r="C6443">
        <v>47</v>
      </c>
      <c r="D6443" t="s">
        <v>16854</v>
      </c>
      <c r="E6443">
        <v>5897</v>
      </c>
      <c r="F6443" t="s">
        <v>23479</v>
      </c>
      <c r="G6443">
        <v>1</v>
      </c>
      <c r="H6443" t="s">
        <v>21432</v>
      </c>
      <c r="J6443" t="s">
        <v>21282</v>
      </c>
      <c r="K6443" t="s">
        <v>136</v>
      </c>
      <c r="L6443" t="s">
        <v>33</v>
      </c>
      <c r="M6443" t="s">
        <v>1627</v>
      </c>
      <c r="N6443" t="s">
        <v>21433</v>
      </c>
      <c r="O6443" t="s">
        <v>21434</v>
      </c>
      <c r="P6443" s="2" t="s">
        <v>26</v>
      </c>
      <c r="Q6443" t="s">
        <v>50</v>
      </c>
      <c r="R6443">
        <v>50.42</v>
      </c>
      <c r="S6443">
        <v>50.82</v>
      </c>
      <c r="T6443" t="s">
        <v>21435</v>
      </c>
    </row>
    <row r="6444" spans="1:20" x14ac:dyDescent="0.25">
      <c r="A6444" s="1" t="str">
        <f>HYPERLINK("https://vegkart.atlas.vegvesen.no/#/@243864.3,6822847.3,18/hva:hva%5B0%5D%5Bfilter%5D%5B0%5D%5Boperator%5D=%21%3D&amp;hva%5B0%5D%5Bfilter%5D%5B0%5D%5Btype_id%5D=5897&amp;hva%5B0%5D%5Bfilter%5D%5B0%5D%5Bverdi%5D=&amp;hva%5B0%5D%5Bid%5D=47/når:2018-04-20", "Vegkart")</f>
        <v>Vegkart</v>
      </c>
      <c r="B6444">
        <v>851792817</v>
      </c>
      <c r="C6444">
        <v>47</v>
      </c>
      <c r="D6444" t="s">
        <v>16854</v>
      </c>
      <c r="E6444">
        <v>5897</v>
      </c>
      <c r="F6444" t="s">
        <v>23479</v>
      </c>
      <c r="G6444">
        <v>1</v>
      </c>
      <c r="H6444" t="s">
        <v>21432</v>
      </c>
      <c r="J6444" t="s">
        <v>21282</v>
      </c>
      <c r="K6444" t="s">
        <v>136</v>
      </c>
      <c r="L6444" t="s">
        <v>33</v>
      </c>
      <c r="M6444" t="s">
        <v>1627</v>
      </c>
      <c r="N6444" t="s">
        <v>21436</v>
      </c>
      <c r="O6444" t="s">
        <v>21437</v>
      </c>
      <c r="P6444" s="2" t="s">
        <v>26</v>
      </c>
      <c r="Q6444" t="s">
        <v>50</v>
      </c>
      <c r="R6444">
        <v>49.15</v>
      </c>
      <c r="S6444">
        <v>49.51</v>
      </c>
      <c r="T6444" t="s">
        <v>21438</v>
      </c>
    </row>
    <row r="6445" spans="1:20" x14ac:dyDescent="0.25">
      <c r="A6445" s="1" t="str">
        <f>HYPERLINK("https://vegkart.atlas.vegvesen.no/#/@208408.3,6874240.7,18/hva:hva%5B0%5D%5Bfilter%5D%5B0%5D%5Boperator%5D=%21%3D&amp;hva%5B0%5D%5Bfilter%5D%5B0%5D%5Btype_id%5D=5897&amp;hva%5B0%5D%5Bfilter%5D%5B0%5D%5Bverdi%5D=&amp;hva%5B0%5D%5Bid%5D=47/når:2018-05-18", "Vegkart")</f>
        <v>Vegkart</v>
      </c>
      <c r="B6445">
        <v>858730037</v>
      </c>
      <c r="C6445">
        <v>47</v>
      </c>
      <c r="D6445" t="s">
        <v>16854</v>
      </c>
      <c r="E6445">
        <v>5897</v>
      </c>
      <c r="F6445" t="s">
        <v>23479</v>
      </c>
      <c r="G6445">
        <v>1</v>
      </c>
      <c r="H6445" t="s">
        <v>21439</v>
      </c>
      <c r="J6445" t="s">
        <v>21282</v>
      </c>
      <c r="K6445" t="s">
        <v>136</v>
      </c>
      <c r="L6445" t="s">
        <v>33</v>
      </c>
      <c r="M6445" t="s">
        <v>21440</v>
      </c>
      <c r="N6445" t="s">
        <v>21441</v>
      </c>
      <c r="O6445" t="s">
        <v>21442</v>
      </c>
      <c r="P6445" s="2" t="s">
        <v>26</v>
      </c>
      <c r="Q6445" t="s">
        <v>50</v>
      </c>
      <c r="R6445">
        <v>28.51</v>
      </c>
      <c r="S6445">
        <v>28.74</v>
      </c>
      <c r="T6445" t="s">
        <v>21443</v>
      </c>
    </row>
    <row r="6446" spans="1:20" x14ac:dyDescent="0.25">
      <c r="A6446" s="1" t="str">
        <f>HYPERLINK("https://vegkart.atlas.vegvesen.no/#/@208402.2,6874233.5,18/hva:hva%5B0%5D%5Bfilter%5D%5B0%5D%5Boperator%5D=%21%3D&amp;hva%5B0%5D%5Bfilter%5D%5B0%5D%5Btype_id%5D=5897&amp;hva%5B0%5D%5Bfilter%5D%5B0%5D%5Bverdi%5D=&amp;hva%5B0%5D%5Bid%5D=47/når:2018-05-18", "Vegkart")</f>
        <v>Vegkart</v>
      </c>
      <c r="B6446">
        <v>858730038</v>
      </c>
      <c r="C6446">
        <v>47</v>
      </c>
      <c r="D6446" t="s">
        <v>16854</v>
      </c>
      <c r="E6446">
        <v>5897</v>
      </c>
      <c r="F6446" t="s">
        <v>23479</v>
      </c>
      <c r="G6446">
        <v>1</v>
      </c>
      <c r="H6446" t="s">
        <v>21439</v>
      </c>
      <c r="J6446" t="s">
        <v>21282</v>
      </c>
      <c r="K6446" t="s">
        <v>136</v>
      </c>
      <c r="L6446" t="s">
        <v>33</v>
      </c>
      <c r="M6446" t="s">
        <v>21440</v>
      </c>
      <c r="N6446" t="s">
        <v>21444</v>
      </c>
      <c r="O6446" t="s">
        <v>21445</v>
      </c>
      <c r="P6446" s="2" t="s">
        <v>26</v>
      </c>
      <c r="Q6446" t="s">
        <v>50</v>
      </c>
      <c r="R6446">
        <v>37.79</v>
      </c>
      <c r="S6446">
        <v>38.020000000000003</v>
      </c>
      <c r="T6446" t="s">
        <v>21446</v>
      </c>
    </row>
    <row r="6447" spans="1:20" x14ac:dyDescent="0.25">
      <c r="A6447" s="1" t="str">
        <f>HYPERLINK("https://vegkart.atlas.vegvesen.no/#/@802012.3,7798105.3,18/hva:hva%5B0%5D%5Bfilter%5D%5B0%5D%5Boperator%5D=%21%3D&amp;hva%5B0%5D%5Bfilter%5D%5B0%5D%5Btype_id%5D=5897&amp;hva%5B0%5D%5Bfilter%5D%5B0%5D%5Bverdi%5D=&amp;hva%5B0%5D%5Bid%5D=47/når:2018-05-23", "Vegkart")</f>
        <v>Vegkart</v>
      </c>
      <c r="B6447">
        <v>859708777</v>
      </c>
      <c r="C6447">
        <v>47</v>
      </c>
      <c r="D6447" t="s">
        <v>16854</v>
      </c>
      <c r="E6447">
        <v>5897</v>
      </c>
      <c r="F6447" t="s">
        <v>23479</v>
      </c>
      <c r="G6447">
        <v>1</v>
      </c>
      <c r="H6447" t="s">
        <v>21447</v>
      </c>
      <c r="J6447" t="s">
        <v>21282</v>
      </c>
      <c r="K6447" t="s">
        <v>450</v>
      </c>
      <c r="L6447" t="s">
        <v>80</v>
      </c>
      <c r="M6447" t="s">
        <v>105</v>
      </c>
      <c r="N6447" t="s">
        <v>21448</v>
      </c>
      <c r="O6447" t="s">
        <v>21449</v>
      </c>
      <c r="P6447" s="2" t="s">
        <v>26</v>
      </c>
      <c r="Q6447" t="s">
        <v>50</v>
      </c>
      <c r="R6447">
        <v>90.04</v>
      </c>
      <c r="S6447">
        <v>90.32</v>
      </c>
      <c r="T6447" t="s">
        <v>21450</v>
      </c>
    </row>
    <row r="6448" spans="1:20" x14ac:dyDescent="0.25">
      <c r="A6448" s="1" t="str">
        <f>HYPERLINK("https://vegkart.atlas.vegvesen.no/#/@802406.6,7798076.8,18/hva:hva%5B0%5D%5Bfilter%5D%5B0%5D%5Boperator%5D=%21%3D&amp;hva%5B0%5D%5Bfilter%5D%5B0%5D%5Btype_id%5D=5897&amp;hva%5B0%5D%5Bfilter%5D%5B0%5D%5Bverdi%5D=&amp;hva%5B0%5D%5Bid%5D=47/når:2018-05-23", "Vegkart")</f>
        <v>Vegkart</v>
      </c>
      <c r="B6448">
        <v>859708778</v>
      </c>
      <c r="C6448">
        <v>47</v>
      </c>
      <c r="D6448" t="s">
        <v>16854</v>
      </c>
      <c r="E6448">
        <v>5897</v>
      </c>
      <c r="F6448" t="s">
        <v>23479</v>
      </c>
      <c r="G6448">
        <v>1</v>
      </c>
      <c r="H6448" t="s">
        <v>21447</v>
      </c>
      <c r="J6448" t="s">
        <v>21282</v>
      </c>
      <c r="K6448" t="s">
        <v>450</v>
      </c>
      <c r="L6448" t="s">
        <v>80</v>
      </c>
      <c r="M6448" t="s">
        <v>105</v>
      </c>
      <c r="N6448" t="s">
        <v>21451</v>
      </c>
      <c r="O6448" t="s">
        <v>21452</v>
      </c>
      <c r="P6448" s="2" t="s">
        <v>26</v>
      </c>
      <c r="Q6448" t="s">
        <v>50</v>
      </c>
      <c r="R6448">
        <v>90.73</v>
      </c>
      <c r="S6448">
        <v>91.62</v>
      </c>
      <c r="T6448" t="s">
        <v>21453</v>
      </c>
    </row>
    <row r="6449" spans="1:20" x14ac:dyDescent="0.25">
      <c r="A6449" s="1" t="str">
        <f>HYPERLINK("https://vegkart.atlas.vegvesen.no/#/@801516.4,7798037.6,18/hva:hva%5B0%5D%5Bfilter%5D%5B0%5D%5Boperator%5D=%21%3D&amp;hva%5B0%5D%5Bfilter%5D%5B0%5D%5Btype_id%5D=5897&amp;hva%5B0%5D%5Bfilter%5D%5B0%5D%5Bverdi%5D=&amp;hva%5B0%5D%5Bid%5D=47/når:2018-05-23", "Vegkart")</f>
        <v>Vegkart</v>
      </c>
      <c r="B6449">
        <v>859708779</v>
      </c>
      <c r="C6449">
        <v>47</v>
      </c>
      <c r="D6449" t="s">
        <v>16854</v>
      </c>
      <c r="E6449">
        <v>5897</v>
      </c>
      <c r="F6449" t="s">
        <v>23479</v>
      </c>
      <c r="G6449">
        <v>1</v>
      </c>
      <c r="H6449" t="s">
        <v>21447</v>
      </c>
      <c r="J6449" t="s">
        <v>21282</v>
      </c>
      <c r="K6449" t="s">
        <v>450</v>
      </c>
      <c r="L6449" t="s">
        <v>80</v>
      </c>
      <c r="M6449" t="s">
        <v>105</v>
      </c>
      <c r="N6449" t="s">
        <v>21454</v>
      </c>
      <c r="O6449" t="s">
        <v>21455</v>
      </c>
      <c r="P6449" s="2" t="s">
        <v>26</v>
      </c>
      <c r="Q6449" t="s">
        <v>50</v>
      </c>
      <c r="R6449">
        <v>90.08</v>
      </c>
      <c r="S6449">
        <v>90.39</v>
      </c>
      <c r="T6449" t="s">
        <v>21456</v>
      </c>
    </row>
    <row r="6450" spans="1:20" x14ac:dyDescent="0.25">
      <c r="A6450" s="1" t="str">
        <f>HYPERLINK("https://vegkart.atlas.vegvesen.no/#/@801016.6,7798013.9,18/hva:hva%5B0%5D%5Bfilter%5D%5B0%5D%5Boperator%5D=%21%3D&amp;hva%5B0%5D%5Bfilter%5D%5B0%5D%5Btype_id%5D=5897&amp;hva%5B0%5D%5Bfilter%5D%5B0%5D%5Bverdi%5D=&amp;hva%5B0%5D%5Bid%5D=47/når:2018-05-23", "Vegkart")</f>
        <v>Vegkart</v>
      </c>
      <c r="B6450">
        <v>859708780</v>
      </c>
      <c r="C6450">
        <v>47</v>
      </c>
      <c r="D6450" t="s">
        <v>16854</v>
      </c>
      <c r="E6450">
        <v>5897</v>
      </c>
      <c r="F6450" t="s">
        <v>23479</v>
      </c>
      <c r="G6450">
        <v>1</v>
      </c>
      <c r="H6450" t="s">
        <v>21447</v>
      </c>
      <c r="J6450" t="s">
        <v>21282</v>
      </c>
      <c r="K6450" t="s">
        <v>450</v>
      </c>
      <c r="L6450" t="s">
        <v>80</v>
      </c>
      <c r="M6450" t="s">
        <v>105</v>
      </c>
      <c r="N6450" t="s">
        <v>21457</v>
      </c>
      <c r="O6450" t="s">
        <v>21458</v>
      </c>
      <c r="P6450" s="2" t="s">
        <v>26</v>
      </c>
      <c r="Q6450" t="s">
        <v>50</v>
      </c>
      <c r="R6450">
        <v>90.04</v>
      </c>
      <c r="S6450">
        <v>90.34</v>
      </c>
      <c r="T6450" t="s">
        <v>21459</v>
      </c>
    </row>
    <row r="6451" spans="1:20" x14ac:dyDescent="0.25">
      <c r="A6451" s="1" t="str">
        <f>HYPERLINK("https://vegkart.atlas.vegvesen.no/#/@800516.8,7797999.1,18/hva:hva%5B0%5D%5Bfilter%5D%5B0%5D%5Boperator%5D=%21%3D&amp;hva%5B0%5D%5Bfilter%5D%5B0%5D%5Btype_id%5D=5897&amp;hva%5B0%5D%5Bfilter%5D%5B0%5D%5Bverdi%5D=&amp;hva%5B0%5D%5Bid%5D=47/når:2018-05-23", "Vegkart")</f>
        <v>Vegkart</v>
      </c>
      <c r="B6451">
        <v>859708781</v>
      </c>
      <c r="C6451">
        <v>47</v>
      </c>
      <c r="D6451" t="s">
        <v>16854</v>
      </c>
      <c r="E6451">
        <v>5897</v>
      </c>
      <c r="F6451" t="s">
        <v>23479</v>
      </c>
      <c r="G6451">
        <v>1</v>
      </c>
      <c r="H6451" t="s">
        <v>21447</v>
      </c>
      <c r="J6451" t="s">
        <v>21282</v>
      </c>
      <c r="K6451" t="s">
        <v>450</v>
      </c>
      <c r="L6451" t="s">
        <v>80</v>
      </c>
      <c r="M6451" t="s">
        <v>105</v>
      </c>
      <c r="N6451" t="s">
        <v>21460</v>
      </c>
      <c r="O6451" t="s">
        <v>21461</v>
      </c>
      <c r="P6451" s="2" t="s">
        <v>26</v>
      </c>
      <c r="Q6451" t="s">
        <v>50</v>
      </c>
      <c r="R6451">
        <v>90.18</v>
      </c>
      <c r="S6451">
        <v>90.46</v>
      </c>
      <c r="T6451" t="s">
        <v>21462</v>
      </c>
    </row>
    <row r="6452" spans="1:20" x14ac:dyDescent="0.25">
      <c r="A6452" s="1" t="str">
        <f>HYPERLINK("https://vegkart.atlas.vegvesen.no/#/@800016.4,7797990.2,18/hva:hva%5B0%5D%5Bfilter%5D%5B0%5D%5Boperator%5D=%21%3D&amp;hva%5B0%5D%5Bfilter%5D%5B0%5D%5Btype_id%5D=5897&amp;hva%5B0%5D%5Bfilter%5D%5B0%5D%5Bverdi%5D=&amp;hva%5B0%5D%5Bid%5D=47/når:2018-05-23", "Vegkart")</f>
        <v>Vegkart</v>
      </c>
      <c r="B6452">
        <v>859708782</v>
      </c>
      <c r="C6452">
        <v>47</v>
      </c>
      <c r="D6452" t="s">
        <v>16854</v>
      </c>
      <c r="E6452">
        <v>5897</v>
      </c>
      <c r="F6452" t="s">
        <v>23479</v>
      </c>
      <c r="G6452">
        <v>1</v>
      </c>
      <c r="H6452" t="s">
        <v>21447</v>
      </c>
      <c r="J6452" t="s">
        <v>21282</v>
      </c>
      <c r="K6452" t="s">
        <v>450</v>
      </c>
      <c r="L6452" t="s">
        <v>80</v>
      </c>
      <c r="M6452" t="s">
        <v>105</v>
      </c>
      <c r="N6452" t="s">
        <v>21463</v>
      </c>
      <c r="O6452" t="s">
        <v>21464</v>
      </c>
      <c r="P6452" s="2" t="s">
        <v>26</v>
      </c>
      <c r="Q6452" t="s">
        <v>50</v>
      </c>
      <c r="R6452">
        <v>90.06</v>
      </c>
      <c r="S6452">
        <v>90.35</v>
      </c>
      <c r="T6452" t="s">
        <v>21465</v>
      </c>
    </row>
    <row r="6453" spans="1:20" x14ac:dyDescent="0.25">
      <c r="A6453" s="1" t="str">
        <f>HYPERLINK("https://vegkart.atlas.vegvesen.no/#/@799516.4,7798007.3,18/hva:hva%5B0%5D%5Bfilter%5D%5B0%5D%5Boperator%5D=%21%3D&amp;hva%5B0%5D%5Bfilter%5D%5B0%5D%5Btype_id%5D=5897&amp;hva%5B0%5D%5Bfilter%5D%5B0%5D%5Bverdi%5D=&amp;hva%5B0%5D%5Bid%5D=47/når:2018-05-23", "Vegkart")</f>
        <v>Vegkart</v>
      </c>
      <c r="B6453">
        <v>859708783</v>
      </c>
      <c r="C6453">
        <v>47</v>
      </c>
      <c r="D6453" t="s">
        <v>16854</v>
      </c>
      <c r="E6453">
        <v>5897</v>
      </c>
      <c r="F6453" t="s">
        <v>23479</v>
      </c>
      <c r="G6453">
        <v>1</v>
      </c>
      <c r="H6453" t="s">
        <v>21447</v>
      </c>
      <c r="J6453" t="s">
        <v>21282</v>
      </c>
      <c r="K6453" t="s">
        <v>450</v>
      </c>
      <c r="L6453" t="s">
        <v>80</v>
      </c>
      <c r="M6453" t="s">
        <v>105</v>
      </c>
      <c r="N6453" t="s">
        <v>21466</v>
      </c>
      <c r="O6453" t="s">
        <v>21467</v>
      </c>
      <c r="P6453" s="2" t="s">
        <v>26</v>
      </c>
      <c r="Q6453" t="s">
        <v>50</v>
      </c>
      <c r="R6453">
        <v>89.49</v>
      </c>
      <c r="S6453">
        <v>89.79</v>
      </c>
      <c r="T6453" t="s">
        <v>21468</v>
      </c>
    </row>
    <row r="6454" spans="1:20" x14ac:dyDescent="0.25">
      <c r="A6454" s="1" t="str">
        <f>HYPERLINK("https://vegkart.atlas.vegvesen.no/#/@799193.9,7797942.6,18/hva:hva%5B0%5D%5Bfilter%5D%5B0%5D%5Boperator%5D=%21%3D&amp;hva%5B0%5D%5Bfilter%5D%5B0%5D%5Btype_id%5D=5897&amp;hva%5B0%5D%5Bfilter%5D%5B0%5D%5Bverdi%5D=&amp;hva%5B0%5D%5Bid%5D=47/når:2018-05-23", "Vegkart")</f>
        <v>Vegkart</v>
      </c>
      <c r="B6454">
        <v>859708784</v>
      </c>
      <c r="C6454">
        <v>47</v>
      </c>
      <c r="D6454" t="s">
        <v>16854</v>
      </c>
      <c r="E6454">
        <v>5897</v>
      </c>
      <c r="F6454" t="s">
        <v>23479</v>
      </c>
      <c r="G6454">
        <v>1</v>
      </c>
      <c r="H6454" t="s">
        <v>21447</v>
      </c>
      <c r="J6454" t="s">
        <v>21282</v>
      </c>
      <c r="K6454" t="s">
        <v>450</v>
      </c>
      <c r="L6454" t="s">
        <v>80</v>
      </c>
      <c r="M6454" t="s">
        <v>105</v>
      </c>
      <c r="N6454" t="s">
        <v>21469</v>
      </c>
      <c r="O6454" t="s">
        <v>21470</v>
      </c>
      <c r="P6454" s="2" t="s">
        <v>26</v>
      </c>
      <c r="Q6454" t="s">
        <v>50</v>
      </c>
      <c r="R6454">
        <v>88.69</v>
      </c>
      <c r="S6454">
        <v>88.83</v>
      </c>
      <c r="T6454" t="s">
        <v>21471</v>
      </c>
    </row>
    <row r="6455" spans="1:20" x14ac:dyDescent="0.25">
      <c r="A6455" s="1" t="str">
        <f>HYPERLINK("https://vegkart.atlas.vegvesen.no/#/@802616.0,7797832.8,18/hva:hva%5B0%5D%5Bfilter%5D%5B0%5D%5Boperator%5D=%21%3D&amp;hva%5B0%5D%5Bfilter%5D%5B0%5D%5Btype_id%5D=5897&amp;hva%5B0%5D%5Bfilter%5D%5B0%5D%5Bverdi%5D=&amp;hva%5B0%5D%5Bid%5D=47/når:2018-05-23", "Vegkart")</f>
        <v>Vegkart</v>
      </c>
      <c r="B6455">
        <v>859708785</v>
      </c>
      <c r="C6455">
        <v>47</v>
      </c>
      <c r="D6455" t="s">
        <v>16854</v>
      </c>
      <c r="E6455">
        <v>5897</v>
      </c>
      <c r="F6455" t="s">
        <v>23479</v>
      </c>
      <c r="G6455">
        <v>1</v>
      </c>
      <c r="H6455" t="s">
        <v>21447</v>
      </c>
      <c r="J6455" t="s">
        <v>21282</v>
      </c>
      <c r="K6455" t="s">
        <v>450</v>
      </c>
      <c r="L6455" t="s">
        <v>80</v>
      </c>
      <c r="M6455" t="s">
        <v>105</v>
      </c>
      <c r="N6455" t="s">
        <v>21472</v>
      </c>
      <c r="O6455" t="s">
        <v>21473</v>
      </c>
      <c r="P6455" s="2" t="s">
        <v>26</v>
      </c>
      <c r="Q6455" t="s">
        <v>50</v>
      </c>
      <c r="R6455">
        <v>90.93</v>
      </c>
      <c r="S6455">
        <v>91.82</v>
      </c>
      <c r="T6455" t="s">
        <v>21474</v>
      </c>
    </row>
    <row r="6456" spans="1:20" x14ac:dyDescent="0.25">
      <c r="A6456" s="1" t="str">
        <f>HYPERLINK("https://vegkart.atlas.vegvesen.no/#/@206359.2,6837582.6,18/hva:hva%5B0%5D%5Bfilter%5D%5B0%5D%5Boperator%5D=%21%3D&amp;hva%5B0%5D%5Bfilter%5D%5B0%5D%5Btype_id%5D=5897&amp;hva%5B0%5D%5Bfilter%5D%5B0%5D%5Bverdi%5D=&amp;hva%5B0%5D%5Bid%5D=47/når:2018-05-23", "Vegkart")</f>
        <v>Vegkart</v>
      </c>
      <c r="B6456">
        <v>859735332</v>
      </c>
      <c r="C6456">
        <v>47</v>
      </c>
      <c r="D6456" t="s">
        <v>16854</v>
      </c>
      <c r="E6456">
        <v>5897</v>
      </c>
      <c r="F6456" t="s">
        <v>23479</v>
      </c>
      <c r="G6456">
        <v>1</v>
      </c>
      <c r="H6456" t="s">
        <v>21447</v>
      </c>
      <c r="J6456" t="s">
        <v>21475</v>
      </c>
      <c r="K6456" t="s">
        <v>136</v>
      </c>
      <c r="L6456" t="s">
        <v>33</v>
      </c>
      <c r="M6456" t="s">
        <v>19212</v>
      </c>
      <c r="N6456" t="s">
        <v>21476</v>
      </c>
      <c r="O6456" t="s">
        <v>21477</v>
      </c>
      <c r="P6456" s="2" t="s">
        <v>26</v>
      </c>
      <c r="Q6456" t="s">
        <v>50</v>
      </c>
      <c r="R6456">
        <v>82.6</v>
      </c>
      <c r="S6456">
        <v>93.21</v>
      </c>
      <c r="T6456" t="s">
        <v>21478</v>
      </c>
    </row>
    <row r="6457" spans="1:20" x14ac:dyDescent="0.25">
      <c r="A6457" s="1" t="str">
        <f>HYPERLINK("https://vegkart.atlas.vegvesen.no/#/@210394.0,6582031.3,18/hva:hva%5B0%5D%5Bfilter%5D%5B0%5D%5Boperator%5D=%21%3D&amp;hva%5B0%5D%5Bfilter%5D%5B0%5D%5Btype_id%5D=5897&amp;hva%5B0%5D%5Bfilter%5D%5B0%5D%5Bverdi%5D=&amp;hva%5B0%5D%5Bid%5D=47/når:2023-03-28", "Vegkart")</f>
        <v>Vegkart</v>
      </c>
      <c r="B6457">
        <v>859820311</v>
      </c>
      <c r="C6457">
        <v>47</v>
      </c>
      <c r="D6457" t="s">
        <v>16854</v>
      </c>
      <c r="E6457">
        <v>5897</v>
      </c>
      <c r="F6457" t="s">
        <v>23479</v>
      </c>
      <c r="G6457">
        <v>4</v>
      </c>
      <c r="H6457" t="s">
        <v>19070</v>
      </c>
      <c r="J6457" t="s">
        <v>21479</v>
      </c>
      <c r="K6457" t="s">
        <v>81</v>
      </c>
      <c r="L6457" t="s">
        <v>33</v>
      </c>
      <c r="M6457" t="s">
        <v>197</v>
      </c>
      <c r="N6457" t="s">
        <v>21480</v>
      </c>
      <c r="O6457" t="s">
        <v>21481</v>
      </c>
      <c r="P6457" s="2" t="s">
        <v>165</v>
      </c>
      <c r="Q6457" t="s">
        <v>166</v>
      </c>
      <c r="R6457">
        <v>0</v>
      </c>
      <c r="S6457">
        <v>227.31</v>
      </c>
      <c r="T6457" t="s">
        <v>167</v>
      </c>
    </row>
    <row r="6458" spans="1:20" x14ac:dyDescent="0.25">
      <c r="A6458" s="1" t="str">
        <f>HYPERLINK("https://vegkart.atlas.vegvesen.no/#/@232512.3,6634737.8,18/hva:hva%5B0%5D%5Bfilter%5D%5B0%5D%5Boperator%5D=%21%3D&amp;hva%5B0%5D%5Bfilter%5D%5B0%5D%5Btype_id%5D=5897&amp;hva%5B0%5D%5Bfilter%5D%5B0%5D%5Bverdi%5D=&amp;hva%5B0%5D%5Bid%5D=47/når:2018-06-20", "Vegkart")</f>
        <v>Vegkart</v>
      </c>
      <c r="B6458">
        <v>869911410</v>
      </c>
      <c r="C6458">
        <v>47</v>
      </c>
      <c r="D6458" t="s">
        <v>16854</v>
      </c>
      <c r="E6458">
        <v>5897</v>
      </c>
      <c r="F6458" t="s">
        <v>23479</v>
      </c>
      <c r="G6458">
        <v>1</v>
      </c>
      <c r="H6458" t="s">
        <v>21482</v>
      </c>
      <c r="J6458" t="s">
        <v>21475</v>
      </c>
      <c r="K6458" t="s">
        <v>307</v>
      </c>
      <c r="L6458" t="s">
        <v>33</v>
      </c>
      <c r="M6458" t="s">
        <v>21483</v>
      </c>
      <c r="N6458" t="s">
        <v>21484</v>
      </c>
      <c r="O6458" t="s">
        <v>21485</v>
      </c>
      <c r="P6458" s="2" t="s">
        <v>26</v>
      </c>
      <c r="Q6458" t="s">
        <v>50</v>
      </c>
      <c r="R6458">
        <v>28.86</v>
      </c>
      <c r="S6458">
        <v>29.12</v>
      </c>
      <c r="T6458" t="s">
        <v>21486</v>
      </c>
    </row>
    <row r="6459" spans="1:20" x14ac:dyDescent="0.25">
      <c r="A6459" s="1" t="str">
        <f>HYPERLINK("https://vegkart.atlas.vegvesen.no/#/@711429.0,7724123.0,18/hva:hva%5B0%5D%5Bfilter%5D%5B0%5D%5Boperator%5D=%21%3D&amp;hva%5B0%5D%5Bfilter%5D%5B0%5D%5Btype_id%5D=5897&amp;hva%5B0%5D%5Bfilter%5D%5B0%5D%5Bverdi%5D=&amp;hva%5B0%5D%5Bid%5D=47/når:2018-07-10", "Vegkart")</f>
        <v>Vegkart</v>
      </c>
      <c r="B6459">
        <v>876881172</v>
      </c>
      <c r="C6459">
        <v>47</v>
      </c>
      <c r="D6459" t="s">
        <v>16854</v>
      </c>
      <c r="E6459">
        <v>5897</v>
      </c>
      <c r="F6459" t="s">
        <v>23479</v>
      </c>
      <c r="G6459">
        <v>1</v>
      </c>
      <c r="H6459" t="s">
        <v>13437</v>
      </c>
      <c r="J6459" t="s">
        <v>21475</v>
      </c>
      <c r="K6459" t="s">
        <v>179</v>
      </c>
      <c r="L6459" t="s">
        <v>80</v>
      </c>
      <c r="M6459" t="s">
        <v>105</v>
      </c>
      <c r="N6459" t="s">
        <v>21487</v>
      </c>
      <c r="O6459" t="s">
        <v>21488</v>
      </c>
      <c r="P6459" s="2" t="s">
        <v>26</v>
      </c>
      <c r="Q6459" t="s">
        <v>50</v>
      </c>
      <c r="R6459">
        <v>0.12</v>
      </c>
      <c r="S6459">
        <v>0.12</v>
      </c>
      <c r="T6459" t="s">
        <v>21489</v>
      </c>
    </row>
    <row r="6460" spans="1:20" x14ac:dyDescent="0.25">
      <c r="A6460" s="1" t="str">
        <f>HYPERLINK("https://vegkart.atlas.vegvesen.no/#/@710917.9,7724122.6,18/hva:hva%5B0%5D%5Bfilter%5D%5B0%5D%5Boperator%5D=%21%3D&amp;hva%5B0%5D%5Bfilter%5D%5B0%5D%5Btype_id%5D=5897&amp;hva%5B0%5D%5Bfilter%5D%5B0%5D%5Bverdi%5D=&amp;hva%5B0%5D%5Bid%5D=47/når:2018-07-10", "Vegkart")</f>
        <v>Vegkart</v>
      </c>
      <c r="B6460">
        <v>876881173</v>
      </c>
      <c r="C6460">
        <v>47</v>
      </c>
      <c r="D6460" t="s">
        <v>16854</v>
      </c>
      <c r="E6460">
        <v>5897</v>
      </c>
      <c r="F6460" t="s">
        <v>23479</v>
      </c>
      <c r="G6460">
        <v>1</v>
      </c>
      <c r="H6460" t="s">
        <v>13437</v>
      </c>
      <c r="J6460" t="s">
        <v>21475</v>
      </c>
      <c r="K6460" t="s">
        <v>179</v>
      </c>
      <c r="L6460" t="s">
        <v>80</v>
      </c>
      <c r="M6460" t="s">
        <v>105</v>
      </c>
      <c r="N6460" t="s">
        <v>21490</v>
      </c>
      <c r="O6460" t="s">
        <v>21491</v>
      </c>
      <c r="P6460" s="2" t="s">
        <v>26</v>
      </c>
      <c r="Q6460" t="s">
        <v>50</v>
      </c>
      <c r="R6460">
        <v>89.98</v>
      </c>
      <c r="S6460">
        <v>90.27</v>
      </c>
      <c r="T6460" t="s">
        <v>21492</v>
      </c>
    </row>
    <row r="6461" spans="1:20" x14ac:dyDescent="0.25">
      <c r="A6461" s="1" t="str">
        <f>HYPERLINK("https://vegkart.atlas.vegvesen.no/#/@710413.2,7724101.3,18/hva:hva%5B0%5D%5Bfilter%5D%5B0%5D%5Boperator%5D=%21%3D&amp;hva%5B0%5D%5Bfilter%5D%5B0%5D%5Btype_id%5D=5897&amp;hva%5B0%5D%5Bfilter%5D%5B0%5D%5Bverdi%5D=&amp;hva%5B0%5D%5Bid%5D=47/når:2018-07-10", "Vegkart")</f>
        <v>Vegkart</v>
      </c>
      <c r="B6461">
        <v>876881174</v>
      </c>
      <c r="C6461">
        <v>47</v>
      </c>
      <c r="D6461" t="s">
        <v>16854</v>
      </c>
      <c r="E6461">
        <v>5897</v>
      </c>
      <c r="F6461" t="s">
        <v>23479</v>
      </c>
      <c r="G6461">
        <v>1</v>
      </c>
      <c r="H6461" t="s">
        <v>13437</v>
      </c>
      <c r="J6461" t="s">
        <v>21475</v>
      </c>
      <c r="K6461" t="s">
        <v>179</v>
      </c>
      <c r="L6461" t="s">
        <v>80</v>
      </c>
      <c r="M6461" t="s">
        <v>105</v>
      </c>
      <c r="N6461" t="s">
        <v>21493</v>
      </c>
      <c r="O6461" t="s">
        <v>21494</v>
      </c>
      <c r="P6461" s="2" t="s">
        <v>26</v>
      </c>
      <c r="Q6461" t="s">
        <v>50</v>
      </c>
      <c r="R6461">
        <v>89.98</v>
      </c>
      <c r="S6461">
        <v>90.27</v>
      </c>
      <c r="T6461" t="s">
        <v>21495</v>
      </c>
    </row>
    <row r="6462" spans="1:20" x14ac:dyDescent="0.25">
      <c r="A6462" s="1" t="str">
        <f>HYPERLINK("https://vegkart.atlas.vegvesen.no/#/@709869.4,7724077.7,18/hva:hva%5B0%5D%5Bfilter%5D%5B0%5D%5Boperator%5D=%21%3D&amp;hva%5B0%5D%5Bfilter%5D%5B0%5D%5Btype_id%5D=5897&amp;hva%5B0%5D%5Bfilter%5D%5B0%5D%5Bverdi%5D=&amp;hva%5B0%5D%5Bid%5D=47/når:2018-07-10", "Vegkart")</f>
        <v>Vegkart</v>
      </c>
      <c r="B6462">
        <v>876881175</v>
      </c>
      <c r="C6462">
        <v>47</v>
      </c>
      <c r="D6462" t="s">
        <v>16854</v>
      </c>
      <c r="E6462">
        <v>5897</v>
      </c>
      <c r="F6462" t="s">
        <v>23479</v>
      </c>
      <c r="G6462">
        <v>1</v>
      </c>
      <c r="H6462" t="s">
        <v>13437</v>
      </c>
      <c r="J6462" t="s">
        <v>21475</v>
      </c>
      <c r="K6462" t="s">
        <v>179</v>
      </c>
      <c r="L6462" t="s">
        <v>80</v>
      </c>
      <c r="M6462" t="s">
        <v>105</v>
      </c>
      <c r="N6462" t="s">
        <v>21496</v>
      </c>
      <c r="O6462" t="s">
        <v>21497</v>
      </c>
      <c r="P6462" s="2" t="s">
        <v>26</v>
      </c>
      <c r="Q6462" t="s">
        <v>50</v>
      </c>
      <c r="R6462">
        <v>90.6</v>
      </c>
      <c r="S6462">
        <v>91.44</v>
      </c>
      <c r="T6462" t="s">
        <v>21498</v>
      </c>
    </row>
    <row r="6463" spans="1:20" x14ac:dyDescent="0.25">
      <c r="A6463" s="1" t="str">
        <f>HYPERLINK("https://vegkart.atlas.vegvesen.no/#/@709603.6,7723791.6,18/hva:hva%5B0%5D%5Bfilter%5D%5B0%5D%5Boperator%5D=%21%3D&amp;hva%5B0%5D%5Bfilter%5D%5B0%5D%5Btype_id%5D=5897&amp;hva%5B0%5D%5Bfilter%5D%5B0%5D%5Bverdi%5D=&amp;hva%5B0%5D%5Bid%5D=47/når:2018-07-10", "Vegkart")</f>
        <v>Vegkart</v>
      </c>
      <c r="B6463">
        <v>876881176</v>
      </c>
      <c r="C6463">
        <v>47</v>
      </c>
      <c r="D6463" t="s">
        <v>16854</v>
      </c>
      <c r="E6463">
        <v>5897</v>
      </c>
      <c r="F6463" t="s">
        <v>23479</v>
      </c>
      <c r="G6463">
        <v>1</v>
      </c>
      <c r="H6463" t="s">
        <v>13437</v>
      </c>
      <c r="J6463" t="s">
        <v>21475</v>
      </c>
      <c r="K6463" t="s">
        <v>179</v>
      </c>
      <c r="L6463" t="s">
        <v>80</v>
      </c>
      <c r="M6463" t="s">
        <v>105</v>
      </c>
      <c r="N6463" t="s">
        <v>21499</v>
      </c>
      <c r="O6463" t="s">
        <v>21500</v>
      </c>
      <c r="P6463" s="2" t="s">
        <v>26</v>
      </c>
      <c r="Q6463" t="s">
        <v>50</v>
      </c>
      <c r="R6463">
        <v>88.86</v>
      </c>
      <c r="S6463">
        <v>88.93</v>
      </c>
      <c r="T6463" t="s">
        <v>21501</v>
      </c>
    </row>
    <row r="6464" spans="1:20" x14ac:dyDescent="0.25">
      <c r="A6464" s="1" t="str">
        <f>HYPERLINK("https://vegkart.atlas.vegvesen.no/#/@711488.7,7724120.6,18/hva:hva%5B0%5D%5Bfilter%5D%5B0%5D%5Boperator%5D=%21%3D&amp;hva%5B0%5D%5Bfilter%5D%5B0%5D%5Btype_id%5D=5897&amp;hva%5B0%5D%5Bfilter%5D%5B0%5D%5Bverdi%5D=&amp;hva%5B0%5D%5Bid%5D=47/når:2018-07-10", "Vegkart")</f>
        <v>Vegkart</v>
      </c>
      <c r="B6464">
        <v>876881177</v>
      </c>
      <c r="C6464">
        <v>47</v>
      </c>
      <c r="D6464" t="s">
        <v>16854</v>
      </c>
      <c r="E6464">
        <v>5897</v>
      </c>
      <c r="F6464" t="s">
        <v>23479</v>
      </c>
      <c r="G6464">
        <v>1</v>
      </c>
      <c r="H6464" t="s">
        <v>13437</v>
      </c>
      <c r="J6464" t="s">
        <v>21475</v>
      </c>
      <c r="K6464" t="s">
        <v>179</v>
      </c>
      <c r="L6464" t="s">
        <v>80</v>
      </c>
      <c r="M6464" t="s">
        <v>105</v>
      </c>
      <c r="N6464" t="s">
        <v>21502</v>
      </c>
      <c r="O6464" t="s">
        <v>21503</v>
      </c>
      <c r="P6464" s="2" t="s">
        <v>26</v>
      </c>
      <c r="Q6464" t="s">
        <v>50</v>
      </c>
      <c r="R6464">
        <v>121.01</v>
      </c>
      <c r="S6464">
        <v>125.11</v>
      </c>
      <c r="T6464" t="s">
        <v>21504</v>
      </c>
    </row>
    <row r="6465" spans="1:20" x14ac:dyDescent="0.25">
      <c r="A6465" s="1" t="str">
        <f>HYPERLINK("https://vegkart.atlas.vegvesen.no/#/@713008.9,7724220.9,18/hva:hva%5B0%5D%5Bfilter%5D%5B0%5D%5Boperator%5D=%21%3D&amp;hva%5B0%5D%5Bfilter%5D%5B0%5D%5Btype_id%5D=5897&amp;hva%5B0%5D%5Bfilter%5D%5B0%5D%5Bverdi%5D=&amp;hva%5B0%5D%5Bid%5D=47/når:2018-07-10", "Vegkart")</f>
        <v>Vegkart</v>
      </c>
      <c r="B6465">
        <v>876881178</v>
      </c>
      <c r="C6465">
        <v>47</v>
      </c>
      <c r="D6465" t="s">
        <v>16854</v>
      </c>
      <c r="E6465">
        <v>5897</v>
      </c>
      <c r="F6465" t="s">
        <v>23479</v>
      </c>
      <c r="G6465">
        <v>1</v>
      </c>
      <c r="H6465" t="s">
        <v>13437</v>
      </c>
      <c r="J6465" t="s">
        <v>21475</v>
      </c>
      <c r="K6465" t="s">
        <v>179</v>
      </c>
      <c r="L6465" t="s">
        <v>80</v>
      </c>
      <c r="M6465" t="s">
        <v>105</v>
      </c>
      <c r="N6465" t="s">
        <v>21505</v>
      </c>
      <c r="O6465" t="s">
        <v>21506</v>
      </c>
      <c r="P6465" s="2" t="s">
        <v>26</v>
      </c>
      <c r="Q6465" t="s">
        <v>50</v>
      </c>
      <c r="R6465">
        <v>89.93</v>
      </c>
      <c r="S6465">
        <v>90.21</v>
      </c>
      <c r="T6465" t="s">
        <v>21507</v>
      </c>
    </row>
    <row r="6466" spans="1:20" x14ac:dyDescent="0.25">
      <c r="A6466" s="1" t="str">
        <f>HYPERLINK("https://vegkart.atlas.vegvesen.no/#/@712512.4,7724161.3,18/hva:hva%5B0%5D%5Bfilter%5D%5B0%5D%5Boperator%5D=%21%3D&amp;hva%5B0%5D%5Bfilter%5D%5B0%5D%5Btype_id%5D=5897&amp;hva%5B0%5D%5Bfilter%5D%5B0%5D%5Bverdi%5D=&amp;hva%5B0%5D%5Bid%5D=47/når:2018-07-10", "Vegkart")</f>
        <v>Vegkart</v>
      </c>
      <c r="B6466">
        <v>876881179</v>
      </c>
      <c r="C6466">
        <v>47</v>
      </c>
      <c r="D6466" t="s">
        <v>16854</v>
      </c>
      <c r="E6466">
        <v>5897</v>
      </c>
      <c r="F6466" t="s">
        <v>23479</v>
      </c>
      <c r="G6466">
        <v>1</v>
      </c>
      <c r="H6466" t="s">
        <v>13437</v>
      </c>
      <c r="J6466" t="s">
        <v>21475</v>
      </c>
      <c r="K6466" t="s">
        <v>179</v>
      </c>
      <c r="L6466" t="s">
        <v>80</v>
      </c>
      <c r="M6466" t="s">
        <v>105</v>
      </c>
      <c r="N6466" t="s">
        <v>21508</v>
      </c>
      <c r="O6466" t="s">
        <v>21509</v>
      </c>
      <c r="P6466" s="2" t="s">
        <v>26</v>
      </c>
      <c r="Q6466" t="s">
        <v>50</v>
      </c>
      <c r="R6466">
        <v>89.98</v>
      </c>
      <c r="S6466">
        <v>90.29</v>
      </c>
      <c r="T6466" t="s">
        <v>21510</v>
      </c>
    </row>
    <row r="6467" spans="1:20" x14ac:dyDescent="0.25">
      <c r="A6467" s="1" t="str">
        <f>HYPERLINK("https://vegkart.atlas.vegvesen.no/#/@711962.6,7724143.7,18/hva:hva%5B0%5D%5Bfilter%5D%5B0%5D%5Boperator%5D=%21%3D&amp;hva%5B0%5D%5Bfilter%5D%5B0%5D%5Btype_id%5D=5897&amp;hva%5B0%5D%5Bfilter%5D%5B0%5D%5Bverdi%5D=&amp;hva%5B0%5D%5Bid%5D=47/når:2018-07-10", "Vegkart")</f>
        <v>Vegkart</v>
      </c>
      <c r="B6467">
        <v>876881180</v>
      </c>
      <c r="C6467">
        <v>47</v>
      </c>
      <c r="D6467" t="s">
        <v>16854</v>
      </c>
      <c r="E6467">
        <v>5897</v>
      </c>
      <c r="F6467" t="s">
        <v>23479</v>
      </c>
      <c r="G6467">
        <v>1</v>
      </c>
      <c r="H6467" t="s">
        <v>13437</v>
      </c>
      <c r="J6467" t="s">
        <v>21475</v>
      </c>
      <c r="K6467" t="s">
        <v>179</v>
      </c>
      <c r="L6467" t="s">
        <v>80</v>
      </c>
      <c r="M6467" t="s">
        <v>105</v>
      </c>
      <c r="N6467" t="s">
        <v>21511</v>
      </c>
      <c r="O6467" t="s">
        <v>21512</v>
      </c>
      <c r="P6467" s="2" t="s">
        <v>26</v>
      </c>
      <c r="Q6467" t="s">
        <v>50</v>
      </c>
      <c r="R6467">
        <v>89.95</v>
      </c>
      <c r="S6467">
        <v>90.24</v>
      </c>
      <c r="T6467" t="s">
        <v>21513</v>
      </c>
    </row>
    <row r="6468" spans="1:20" x14ac:dyDescent="0.25">
      <c r="A6468" s="1" t="str">
        <f>HYPERLINK("https://vegkart.atlas.vegvesen.no/#/@713465.9,7724274.1,18/hva:hva%5B0%5D%5Bfilter%5D%5B0%5D%5Boperator%5D=%21%3D&amp;hva%5B0%5D%5Bfilter%5D%5B0%5D%5Btype_id%5D=5897&amp;hva%5B0%5D%5Bfilter%5D%5B0%5D%5Bverdi%5D=&amp;hva%5B0%5D%5Bid%5D=47/når:2018-07-10", "Vegkart")</f>
        <v>Vegkart</v>
      </c>
      <c r="B6468">
        <v>876881181</v>
      </c>
      <c r="C6468">
        <v>47</v>
      </c>
      <c r="D6468" t="s">
        <v>16854</v>
      </c>
      <c r="E6468">
        <v>5897</v>
      </c>
      <c r="F6468" t="s">
        <v>23479</v>
      </c>
      <c r="G6468">
        <v>1</v>
      </c>
      <c r="H6468" t="s">
        <v>13437</v>
      </c>
      <c r="J6468" t="s">
        <v>21475</v>
      </c>
      <c r="K6468" t="s">
        <v>179</v>
      </c>
      <c r="L6468" t="s">
        <v>80</v>
      </c>
      <c r="M6468" t="s">
        <v>105</v>
      </c>
      <c r="N6468" t="s">
        <v>21514</v>
      </c>
      <c r="O6468" t="s">
        <v>21515</v>
      </c>
      <c r="P6468" s="2" t="s">
        <v>26</v>
      </c>
      <c r="Q6468" t="s">
        <v>50</v>
      </c>
      <c r="R6468">
        <v>0.2</v>
      </c>
      <c r="S6468">
        <v>0.2</v>
      </c>
      <c r="T6468" t="s">
        <v>21516</v>
      </c>
    </row>
    <row r="6469" spans="1:20" x14ac:dyDescent="0.25">
      <c r="A6469" s="1" t="str">
        <f>HYPERLINK("https://vegkart.atlas.vegvesen.no/#/@713525.3,7724279.9,18/hva:hva%5B0%5D%5Bfilter%5D%5B0%5D%5Boperator%5D=%21%3D&amp;hva%5B0%5D%5Bfilter%5D%5B0%5D%5Btype_id%5D=5897&amp;hva%5B0%5D%5Bfilter%5D%5B0%5D%5Bverdi%5D=&amp;hva%5B0%5D%5Bid%5D=47/når:2018-07-10", "Vegkart")</f>
        <v>Vegkart</v>
      </c>
      <c r="B6469">
        <v>876881182</v>
      </c>
      <c r="C6469">
        <v>47</v>
      </c>
      <c r="D6469" t="s">
        <v>16854</v>
      </c>
      <c r="E6469">
        <v>5897</v>
      </c>
      <c r="F6469" t="s">
        <v>23479</v>
      </c>
      <c r="G6469">
        <v>1</v>
      </c>
      <c r="H6469" t="s">
        <v>13437</v>
      </c>
      <c r="J6469" t="s">
        <v>21475</v>
      </c>
      <c r="K6469" t="s">
        <v>179</v>
      </c>
      <c r="L6469" t="s">
        <v>80</v>
      </c>
      <c r="M6469" t="s">
        <v>105</v>
      </c>
      <c r="N6469" t="s">
        <v>21517</v>
      </c>
      <c r="O6469" t="s">
        <v>21518</v>
      </c>
      <c r="P6469" s="2" t="s">
        <v>26</v>
      </c>
      <c r="Q6469" t="s">
        <v>50</v>
      </c>
      <c r="R6469">
        <v>120.04</v>
      </c>
      <c r="S6469">
        <v>125.12</v>
      </c>
      <c r="T6469" t="s">
        <v>21519</v>
      </c>
    </row>
    <row r="6470" spans="1:20" x14ac:dyDescent="0.25">
      <c r="A6470" s="1" t="str">
        <f>HYPERLINK("https://vegkart.atlas.vegvesen.no/#/@715540.8,7724635.6,18/hva:hva%5B0%5D%5Bfilter%5D%5B0%5D%5Boperator%5D=%21%3D&amp;hva%5B0%5D%5Bfilter%5D%5B0%5D%5Btype_id%5D=5897&amp;hva%5B0%5D%5Bfilter%5D%5B0%5D%5Bverdi%5D=&amp;hva%5B0%5D%5Bid%5D=47/når:2018-07-10", "Vegkart")</f>
        <v>Vegkart</v>
      </c>
      <c r="B6470">
        <v>876881183</v>
      </c>
      <c r="C6470">
        <v>47</v>
      </c>
      <c r="D6470" t="s">
        <v>16854</v>
      </c>
      <c r="E6470">
        <v>5897</v>
      </c>
      <c r="F6470" t="s">
        <v>23479</v>
      </c>
      <c r="G6470">
        <v>1</v>
      </c>
      <c r="H6470" t="s">
        <v>13437</v>
      </c>
      <c r="J6470" t="s">
        <v>21475</v>
      </c>
      <c r="K6470" t="s">
        <v>179</v>
      </c>
      <c r="L6470" t="s">
        <v>80</v>
      </c>
      <c r="M6470" t="s">
        <v>105</v>
      </c>
      <c r="N6470" t="s">
        <v>21520</v>
      </c>
      <c r="O6470" t="s">
        <v>21521</v>
      </c>
      <c r="P6470" s="2" t="s">
        <v>26</v>
      </c>
      <c r="Q6470" t="s">
        <v>50</v>
      </c>
      <c r="R6470">
        <v>90.32</v>
      </c>
      <c r="S6470">
        <v>90.9</v>
      </c>
      <c r="T6470" t="s">
        <v>21522</v>
      </c>
    </row>
    <row r="6471" spans="1:20" x14ac:dyDescent="0.25">
      <c r="A6471" s="1" t="str">
        <f>HYPERLINK("https://vegkart.atlas.vegvesen.no/#/@715029.0,7724614.3,18/hva:hva%5B0%5D%5Bfilter%5D%5B0%5D%5Boperator%5D=%21%3D&amp;hva%5B0%5D%5Bfilter%5D%5B0%5D%5Btype_id%5D=5897&amp;hva%5B0%5D%5Bfilter%5D%5B0%5D%5Bverdi%5D=&amp;hva%5B0%5D%5Bid%5D=47/når:2018-07-10", "Vegkart")</f>
        <v>Vegkart</v>
      </c>
      <c r="B6471">
        <v>876881184</v>
      </c>
      <c r="C6471">
        <v>47</v>
      </c>
      <c r="D6471" t="s">
        <v>16854</v>
      </c>
      <c r="E6471">
        <v>5897</v>
      </c>
      <c r="F6471" t="s">
        <v>23479</v>
      </c>
      <c r="G6471">
        <v>1</v>
      </c>
      <c r="H6471" t="s">
        <v>13437</v>
      </c>
      <c r="J6471" t="s">
        <v>21475</v>
      </c>
      <c r="K6471" t="s">
        <v>179</v>
      </c>
      <c r="L6471" t="s">
        <v>80</v>
      </c>
      <c r="M6471" t="s">
        <v>105</v>
      </c>
      <c r="N6471" t="s">
        <v>21523</v>
      </c>
      <c r="O6471" t="s">
        <v>21524</v>
      </c>
      <c r="P6471" s="2" t="s">
        <v>26</v>
      </c>
      <c r="Q6471" t="s">
        <v>50</v>
      </c>
      <c r="R6471">
        <v>89.96</v>
      </c>
      <c r="S6471">
        <v>90.26</v>
      </c>
      <c r="T6471" t="s">
        <v>21525</v>
      </c>
    </row>
    <row r="6472" spans="1:20" x14ac:dyDescent="0.25">
      <c r="A6472" s="1" t="str">
        <f>HYPERLINK("https://vegkart.atlas.vegvesen.no/#/@714563.9,7724494.7,18/hva:hva%5B0%5D%5Bfilter%5D%5B0%5D%5Boperator%5D=%21%3D&amp;hva%5B0%5D%5Bfilter%5D%5B0%5D%5Btype_id%5D=5897&amp;hva%5B0%5D%5Bfilter%5D%5B0%5D%5Bverdi%5D=&amp;hva%5B0%5D%5Bid%5D=47/når:2018-07-10", "Vegkart")</f>
        <v>Vegkart</v>
      </c>
      <c r="B6472">
        <v>876881185</v>
      </c>
      <c r="C6472">
        <v>47</v>
      </c>
      <c r="D6472" t="s">
        <v>16854</v>
      </c>
      <c r="E6472">
        <v>5897</v>
      </c>
      <c r="F6472" t="s">
        <v>23479</v>
      </c>
      <c r="G6472">
        <v>1</v>
      </c>
      <c r="H6472" t="s">
        <v>13437</v>
      </c>
      <c r="J6472" t="s">
        <v>21475</v>
      </c>
      <c r="K6472" t="s">
        <v>179</v>
      </c>
      <c r="L6472" t="s">
        <v>80</v>
      </c>
      <c r="M6472" t="s">
        <v>105</v>
      </c>
      <c r="N6472" t="s">
        <v>21526</v>
      </c>
      <c r="O6472" t="s">
        <v>21527</v>
      </c>
      <c r="P6472" s="2" t="s">
        <v>26</v>
      </c>
      <c r="Q6472" t="s">
        <v>50</v>
      </c>
      <c r="R6472">
        <v>89.97</v>
      </c>
      <c r="S6472">
        <v>90.27</v>
      </c>
      <c r="T6472" t="s">
        <v>21528</v>
      </c>
    </row>
    <row r="6473" spans="1:20" x14ac:dyDescent="0.25">
      <c r="A6473" s="1" t="str">
        <f>HYPERLINK("https://vegkart.atlas.vegvesen.no/#/@714024.9,7724385.3,18/hva:hva%5B0%5D%5Bfilter%5D%5B0%5D%5Boperator%5D=%21%3D&amp;hva%5B0%5D%5Bfilter%5D%5B0%5D%5Btype_id%5D=5897&amp;hva%5B0%5D%5Bfilter%5D%5B0%5D%5Bverdi%5D=&amp;hva%5B0%5D%5Bid%5D=47/når:2018-07-10", "Vegkart")</f>
        <v>Vegkart</v>
      </c>
      <c r="B6473">
        <v>876881186</v>
      </c>
      <c r="C6473">
        <v>47</v>
      </c>
      <c r="D6473" t="s">
        <v>16854</v>
      </c>
      <c r="E6473">
        <v>5897</v>
      </c>
      <c r="F6473" t="s">
        <v>23479</v>
      </c>
      <c r="G6473">
        <v>1</v>
      </c>
      <c r="H6473" t="s">
        <v>13437</v>
      </c>
      <c r="J6473" t="s">
        <v>21475</v>
      </c>
      <c r="K6473" t="s">
        <v>179</v>
      </c>
      <c r="L6473" t="s">
        <v>80</v>
      </c>
      <c r="M6473" t="s">
        <v>105</v>
      </c>
      <c r="N6473" t="s">
        <v>21529</v>
      </c>
      <c r="O6473" t="s">
        <v>21530</v>
      </c>
      <c r="P6473" s="2" t="s">
        <v>26</v>
      </c>
      <c r="Q6473" t="s">
        <v>50</v>
      </c>
      <c r="R6473">
        <v>89.94</v>
      </c>
      <c r="S6473">
        <v>90.23</v>
      </c>
      <c r="T6473" t="s">
        <v>21531</v>
      </c>
    </row>
    <row r="6474" spans="1:20" x14ac:dyDescent="0.25">
      <c r="A6474" s="1" t="str">
        <f>HYPERLINK("https://vegkart.atlas.vegvesen.no/#/@278401.6,6658308.9,18/hva:hva%5B0%5D%5Bfilter%5D%5B0%5D%5Boperator%5D=%21%3D&amp;hva%5B0%5D%5Bfilter%5D%5B0%5D%5Btype_id%5D=5897&amp;hva%5B0%5D%5Bfilter%5D%5B0%5D%5Bverdi%5D=&amp;hva%5B0%5D%5Bid%5D=47/når:2025-06-26", "Vegkart")</f>
        <v>Vegkart</v>
      </c>
      <c r="B6474">
        <v>885170817</v>
      </c>
      <c r="C6474">
        <v>47</v>
      </c>
      <c r="D6474" t="s">
        <v>16854</v>
      </c>
      <c r="E6474">
        <v>5897</v>
      </c>
      <c r="F6474" t="s">
        <v>23479</v>
      </c>
      <c r="G6474">
        <v>2</v>
      </c>
      <c r="H6474" t="s">
        <v>21532</v>
      </c>
      <c r="J6474" t="s">
        <v>21475</v>
      </c>
      <c r="K6474" t="s">
        <v>132</v>
      </c>
      <c r="L6474" t="s">
        <v>33</v>
      </c>
      <c r="M6474" t="s">
        <v>10186</v>
      </c>
      <c r="N6474" t="s">
        <v>21533</v>
      </c>
      <c r="O6474" t="s">
        <v>21534</v>
      </c>
      <c r="P6474" s="2" t="s">
        <v>26</v>
      </c>
      <c r="Q6474" t="s">
        <v>50</v>
      </c>
      <c r="R6474">
        <v>65.260000000000005</v>
      </c>
      <c r="S6474">
        <v>65.47</v>
      </c>
      <c r="T6474" t="s">
        <v>21535</v>
      </c>
    </row>
    <row r="6475" spans="1:20" x14ac:dyDescent="0.25">
      <c r="A6475" s="1" t="str">
        <f>HYPERLINK("https://vegkart.atlas.vegvesen.no/#/@278384.4,6658315.8,18/hva:hva%5B0%5D%5Bfilter%5D%5B0%5D%5Boperator%5D=%21%3D&amp;hva%5B0%5D%5Bfilter%5D%5B0%5D%5Btype_id%5D=5897&amp;hva%5B0%5D%5Bfilter%5D%5B0%5D%5Bverdi%5D=&amp;hva%5B0%5D%5Bid%5D=47/når:2025-06-26", "Vegkart")</f>
        <v>Vegkart</v>
      </c>
      <c r="B6475">
        <v>885170818</v>
      </c>
      <c r="C6475">
        <v>47</v>
      </c>
      <c r="D6475" t="s">
        <v>16854</v>
      </c>
      <c r="E6475">
        <v>5897</v>
      </c>
      <c r="F6475" t="s">
        <v>23479</v>
      </c>
      <c r="G6475">
        <v>2</v>
      </c>
      <c r="H6475" t="s">
        <v>21532</v>
      </c>
      <c r="J6475" t="s">
        <v>21475</v>
      </c>
      <c r="K6475" t="s">
        <v>132</v>
      </c>
      <c r="L6475" t="s">
        <v>33</v>
      </c>
      <c r="M6475" t="s">
        <v>10186</v>
      </c>
      <c r="N6475" t="s">
        <v>21536</v>
      </c>
      <c r="O6475" t="s">
        <v>21537</v>
      </c>
      <c r="P6475" s="2" t="s">
        <v>26</v>
      </c>
      <c r="Q6475" t="s">
        <v>50</v>
      </c>
      <c r="R6475">
        <v>62.27</v>
      </c>
      <c r="S6475">
        <v>65.44</v>
      </c>
      <c r="T6475" t="s">
        <v>21538</v>
      </c>
    </row>
    <row r="6476" spans="1:20" x14ac:dyDescent="0.25">
      <c r="A6476" s="1" t="str">
        <f>HYPERLINK("https://vegkart.atlas.vegvesen.no/#/@250628.3,6981940.8,18/hva:hva%5B0%5D%5Bfilter%5D%5B0%5D%5Boperator%5D=%21%3D&amp;hva%5B0%5D%5Bfilter%5D%5B0%5D%5Btype_id%5D=5897&amp;hva%5B0%5D%5Bfilter%5D%5B0%5D%5Bverdi%5D=&amp;hva%5B0%5D%5Bid%5D=47/når:2018-08-06", "Vegkart")</f>
        <v>Vegkart</v>
      </c>
      <c r="B6476">
        <v>890938959</v>
      </c>
      <c r="C6476">
        <v>47</v>
      </c>
      <c r="D6476" t="s">
        <v>16854</v>
      </c>
      <c r="E6476">
        <v>5897</v>
      </c>
      <c r="F6476" t="s">
        <v>23479</v>
      </c>
      <c r="G6476">
        <v>1</v>
      </c>
      <c r="H6476" t="s">
        <v>21539</v>
      </c>
      <c r="J6476" t="s">
        <v>21540</v>
      </c>
      <c r="K6476" t="s">
        <v>192</v>
      </c>
      <c r="L6476" t="s">
        <v>80</v>
      </c>
      <c r="M6476" t="s">
        <v>105</v>
      </c>
      <c r="N6476" t="s">
        <v>21541</v>
      </c>
      <c r="O6476" t="s">
        <v>21542</v>
      </c>
      <c r="P6476" s="2" t="s">
        <v>165</v>
      </c>
      <c r="Q6476" t="s">
        <v>166</v>
      </c>
      <c r="R6476">
        <v>3.98</v>
      </c>
      <c r="S6476">
        <v>3.98</v>
      </c>
      <c r="T6476" t="s">
        <v>167</v>
      </c>
    </row>
    <row r="6477" spans="1:20" x14ac:dyDescent="0.25">
      <c r="A6477" s="1" t="str">
        <f>HYPERLINK("https://vegkart.atlas.vegvesen.no/#/@469279.7,7359110.3,18/hva:hva%5B0%5D%5Bfilter%5D%5B0%5D%5Boperator%5D=%21%3D&amp;hva%5B0%5D%5Bfilter%5D%5B0%5D%5Btype_id%5D=5897&amp;hva%5B0%5D%5Bfilter%5D%5B0%5D%5Bverdi%5D=&amp;hva%5B0%5D%5Bid%5D=47/når:2018-08-08", "Vegkart")</f>
        <v>Vegkart</v>
      </c>
      <c r="B6477">
        <v>891397459</v>
      </c>
      <c r="C6477">
        <v>47</v>
      </c>
      <c r="D6477" t="s">
        <v>16854</v>
      </c>
      <c r="E6477">
        <v>5897</v>
      </c>
      <c r="F6477" t="s">
        <v>23479</v>
      </c>
      <c r="G6477">
        <v>1</v>
      </c>
      <c r="H6477" t="s">
        <v>21543</v>
      </c>
      <c r="J6477" t="s">
        <v>21540</v>
      </c>
      <c r="K6477" t="s">
        <v>53</v>
      </c>
      <c r="L6477" t="s">
        <v>80</v>
      </c>
      <c r="M6477" t="s">
        <v>105</v>
      </c>
      <c r="N6477" t="s">
        <v>21544</v>
      </c>
      <c r="O6477" t="s">
        <v>21545</v>
      </c>
      <c r="P6477" s="2" t="s">
        <v>26</v>
      </c>
      <c r="Q6477" t="s">
        <v>50</v>
      </c>
      <c r="R6477">
        <v>100.21</v>
      </c>
      <c r="S6477">
        <v>100.64</v>
      </c>
      <c r="T6477" t="s">
        <v>21546</v>
      </c>
    </row>
    <row r="6478" spans="1:20" x14ac:dyDescent="0.25">
      <c r="A6478" s="1" t="str">
        <f>HYPERLINK("https://vegkart.atlas.vegvesen.no/#/@194472.5,7071170.7,18/hva:hva%5B0%5D%5Bfilter%5D%5B0%5D%5Boperator%5D=%21%3D&amp;hva%5B0%5D%5Bfilter%5D%5B0%5D%5Btype_id%5D=5897&amp;hva%5B0%5D%5Bfilter%5D%5B0%5D%5Bverdi%5D=&amp;hva%5B0%5D%5Bid%5D=47/når:2022-11-11", "Vegkart")</f>
        <v>Vegkart</v>
      </c>
      <c r="B6478">
        <v>899664661</v>
      </c>
      <c r="C6478">
        <v>47</v>
      </c>
      <c r="D6478" t="s">
        <v>16854</v>
      </c>
      <c r="E6478">
        <v>5897</v>
      </c>
      <c r="F6478" t="s">
        <v>23479</v>
      </c>
      <c r="G6478">
        <v>3</v>
      </c>
      <c r="H6478" t="s">
        <v>18755</v>
      </c>
      <c r="J6478" t="s">
        <v>21540</v>
      </c>
      <c r="K6478" t="s">
        <v>192</v>
      </c>
      <c r="L6478" t="s">
        <v>33</v>
      </c>
      <c r="M6478" t="s">
        <v>21547</v>
      </c>
      <c r="N6478" t="s">
        <v>21548</v>
      </c>
      <c r="O6478" t="s">
        <v>21549</v>
      </c>
      <c r="P6478" s="2" t="s">
        <v>26</v>
      </c>
      <c r="Q6478" t="s">
        <v>50</v>
      </c>
      <c r="R6478">
        <v>77.87</v>
      </c>
      <c r="S6478">
        <v>99.18</v>
      </c>
      <c r="T6478" t="s">
        <v>21550</v>
      </c>
    </row>
    <row r="6479" spans="1:20" x14ac:dyDescent="0.25">
      <c r="A6479" s="1" t="str">
        <f>HYPERLINK("https://vegkart.atlas.vegvesen.no/#/@267500.2,7034918.7,18/hva:hva%5B0%5D%5Bfilter%5D%5B0%5D%5Boperator%5D=%21%3D&amp;hva%5B0%5D%5Bfilter%5D%5B0%5D%5Btype_id%5D=5897&amp;hva%5B0%5D%5Bfilter%5D%5B0%5D%5Bverdi%5D=&amp;hva%5B0%5D%5Bid%5D=47/når:2018-09-12", "Vegkart")</f>
        <v>Vegkart</v>
      </c>
      <c r="B6479">
        <v>903490065</v>
      </c>
      <c r="C6479">
        <v>47</v>
      </c>
      <c r="D6479" t="s">
        <v>16854</v>
      </c>
      <c r="E6479">
        <v>5897</v>
      </c>
      <c r="F6479" t="s">
        <v>23479</v>
      </c>
      <c r="G6479">
        <v>1</v>
      </c>
      <c r="H6479" t="s">
        <v>19691</v>
      </c>
      <c r="J6479" t="s">
        <v>21540</v>
      </c>
      <c r="K6479" t="s">
        <v>192</v>
      </c>
      <c r="L6479" t="s">
        <v>22</v>
      </c>
      <c r="M6479" t="s">
        <v>19384</v>
      </c>
      <c r="N6479" t="s">
        <v>21551</v>
      </c>
      <c r="O6479" t="s">
        <v>21552</v>
      </c>
      <c r="P6479" s="2" t="s">
        <v>26</v>
      </c>
      <c r="Q6479" t="s">
        <v>50</v>
      </c>
      <c r="R6479">
        <v>75.319999999999993</v>
      </c>
      <c r="S6479">
        <v>75.900000000000006</v>
      </c>
      <c r="T6479" t="s">
        <v>21553</v>
      </c>
    </row>
    <row r="6480" spans="1:20" x14ac:dyDescent="0.25">
      <c r="A6480" s="1" t="str">
        <f>HYPERLINK("https://vegkart.atlas.vegvesen.no/#/@129381.7,6503303.0,18/hva:hva%5B0%5D%5Bfilter%5D%5B0%5D%5Boperator%5D=%21%3D&amp;hva%5B0%5D%5Bfilter%5D%5B0%5D%5Btype_id%5D=5897&amp;hva%5B0%5D%5Bfilter%5D%5B0%5D%5Bverdi%5D=&amp;hva%5B0%5D%5Bid%5D=47/når:2018-09-19", "Vegkart")</f>
        <v>Vegkart</v>
      </c>
      <c r="B6480">
        <v>904698960</v>
      </c>
      <c r="C6480">
        <v>47</v>
      </c>
      <c r="D6480" t="s">
        <v>16854</v>
      </c>
      <c r="E6480">
        <v>5897</v>
      </c>
      <c r="F6480" t="s">
        <v>23479</v>
      </c>
      <c r="G6480">
        <v>1</v>
      </c>
      <c r="H6480" t="s">
        <v>21554</v>
      </c>
      <c r="J6480" t="s">
        <v>21540</v>
      </c>
      <c r="K6480" t="s">
        <v>86</v>
      </c>
      <c r="L6480" t="s">
        <v>33</v>
      </c>
      <c r="M6480" t="s">
        <v>21555</v>
      </c>
      <c r="N6480" t="s">
        <v>21556</v>
      </c>
      <c r="O6480" t="s">
        <v>21557</v>
      </c>
      <c r="P6480" s="2" t="s">
        <v>26</v>
      </c>
      <c r="Q6480" t="s">
        <v>50</v>
      </c>
      <c r="R6480">
        <v>52.17</v>
      </c>
      <c r="S6480">
        <v>52.38</v>
      </c>
      <c r="T6480" t="s">
        <v>21558</v>
      </c>
    </row>
    <row r="6481" spans="1:20" x14ac:dyDescent="0.25">
      <c r="A6481" s="1" t="str">
        <f>HYPERLINK("https://vegkart.atlas.vegvesen.no/#/@129366.3,6503242.9,18/hva:hva%5B0%5D%5Bfilter%5D%5B0%5D%5Boperator%5D=%21%3D&amp;hva%5B0%5D%5Bfilter%5D%5B0%5D%5Btype_id%5D=5897&amp;hva%5B0%5D%5Bfilter%5D%5B0%5D%5Bverdi%5D=&amp;hva%5B0%5D%5Bid%5D=47/når:2018-09-19", "Vegkart")</f>
        <v>Vegkart</v>
      </c>
      <c r="B6481">
        <v>904698961</v>
      </c>
      <c r="C6481">
        <v>47</v>
      </c>
      <c r="D6481" t="s">
        <v>16854</v>
      </c>
      <c r="E6481">
        <v>5897</v>
      </c>
      <c r="F6481" t="s">
        <v>23479</v>
      </c>
      <c r="G6481">
        <v>1</v>
      </c>
      <c r="H6481" t="s">
        <v>21554</v>
      </c>
      <c r="J6481" t="s">
        <v>21540</v>
      </c>
      <c r="K6481" t="s">
        <v>86</v>
      </c>
      <c r="L6481" t="s">
        <v>33</v>
      </c>
      <c r="M6481" t="s">
        <v>21555</v>
      </c>
      <c r="N6481" t="s">
        <v>21559</v>
      </c>
      <c r="O6481" t="s">
        <v>21560</v>
      </c>
      <c r="P6481" s="2" t="s">
        <v>26</v>
      </c>
      <c r="Q6481" t="s">
        <v>50</v>
      </c>
      <c r="R6481">
        <v>55.99</v>
      </c>
      <c r="S6481">
        <v>56.58</v>
      </c>
      <c r="T6481" t="s">
        <v>21561</v>
      </c>
    </row>
    <row r="6482" spans="1:20" x14ac:dyDescent="0.25">
      <c r="A6482" s="1" t="str">
        <f>HYPERLINK("https://vegkart.atlas.vegvesen.no/#/@-24260.5,6713187.3,18/hva:hva%5B0%5D%5Bfilter%5D%5B0%5D%5Boperator%5D=%21%3D&amp;hva%5B0%5D%5Bfilter%5D%5B0%5D%5Btype_id%5D=5897&amp;hva%5B0%5D%5Bfilter%5D%5B0%5D%5Bverdi%5D=&amp;hva%5B0%5D%5Bid%5D=47/når:2018-09-21", "Vegkart")</f>
        <v>Vegkart</v>
      </c>
      <c r="B6482">
        <v>904921871</v>
      </c>
      <c r="C6482">
        <v>47</v>
      </c>
      <c r="D6482" t="s">
        <v>16854</v>
      </c>
      <c r="E6482">
        <v>5897</v>
      </c>
      <c r="F6482" t="s">
        <v>23479</v>
      </c>
      <c r="G6482">
        <v>1</v>
      </c>
      <c r="H6482" t="s">
        <v>21562</v>
      </c>
      <c r="J6482" t="s">
        <v>21540</v>
      </c>
      <c r="K6482" t="s">
        <v>21</v>
      </c>
      <c r="L6482" t="s">
        <v>2473</v>
      </c>
      <c r="M6482" t="s">
        <v>21563</v>
      </c>
      <c r="N6482" t="s">
        <v>21564</v>
      </c>
      <c r="O6482" t="s">
        <v>21565</v>
      </c>
      <c r="P6482" s="2" t="s">
        <v>26</v>
      </c>
      <c r="Q6482" t="s">
        <v>50</v>
      </c>
      <c r="R6482">
        <v>49.57</v>
      </c>
      <c r="S6482">
        <v>51.44</v>
      </c>
      <c r="T6482" t="s">
        <v>21566</v>
      </c>
    </row>
    <row r="6483" spans="1:20" x14ac:dyDescent="0.25">
      <c r="A6483" s="1" t="str">
        <f>HYPERLINK("https://vegkart.atlas.vegvesen.no/#/@-24305.5,6713158.8,18/hva:hva%5B0%5D%5Bfilter%5D%5B0%5D%5Boperator%5D=%21%3D&amp;hva%5B0%5D%5Bfilter%5D%5B0%5D%5Btype_id%5D=5897&amp;hva%5B0%5D%5Bfilter%5D%5B0%5D%5Bverdi%5D=&amp;hva%5B0%5D%5Bid%5D=47/når:2018-09-21", "Vegkart")</f>
        <v>Vegkart</v>
      </c>
      <c r="B6483">
        <v>904921872</v>
      </c>
      <c r="C6483">
        <v>47</v>
      </c>
      <c r="D6483" t="s">
        <v>16854</v>
      </c>
      <c r="E6483">
        <v>5897</v>
      </c>
      <c r="F6483" t="s">
        <v>23479</v>
      </c>
      <c r="G6483">
        <v>1</v>
      </c>
      <c r="H6483" t="s">
        <v>21562</v>
      </c>
      <c r="J6483" t="s">
        <v>21540</v>
      </c>
      <c r="K6483" t="s">
        <v>21</v>
      </c>
      <c r="L6483" t="s">
        <v>33</v>
      </c>
      <c r="M6483" t="s">
        <v>21567</v>
      </c>
      <c r="N6483" t="s">
        <v>21568</v>
      </c>
      <c r="O6483" t="s">
        <v>21569</v>
      </c>
      <c r="P6483" s="2" t="s">
        <v>26</v>
      </c>
      <c r="Q6483" t="s">
        <v>50</v>
      </c>
      <c r="R6483">
        <v>45.19</v>
      </c>
      <c r="S6483">
        <v>45.27</v>
      </c>
      <c r="T6483" t="s">
        <v>21570</v>
      </c>
    </row>
    <row r="6484" spans="1:20" x14ac:dyDescent="0.25">
      <c r="A6484" s="1" t="str">
        <f>HYPERLINK("https://vegkart.atlas.vegvesen.no/#/@91098.8,6469563.5,18/hva:hva%5B0%5D%5Bfilter%5D%5B0%5D%5Boperator%5D=%21%3D&amp;hva%5B0%5D%5Bfilter%5D%5B0%5D%5Btype_id%5D=5897&amp;hva%5B0%5D%5Bfilter%5D%5B0%5D%5Bverdi%5D=&amp;hva%5B0%5D%5Bid%5D=47/når:2018-10-02", "Vegkart")</f>
        <v>Vegkart</v>
      </c>
      <c r="B6484">
        <v>906508258</v>
      </c>
      <c r="C6484">
        <v>47</v>
      </c>
      <c r="D6484" t="s">
        <v>16854</v>
      </c>
      <c r="E6484">
        <v>5897</v>
      </c>
      <c r="F6484" t="s">
        <v>23479</v>
      </c>
      <c r="G6484">
        <v>1</v>
      </c>
      <c r="H6484" t="s">
        <v>21571</v>
      </c>
      <c r="J6484" t="s">
        <v>21540</v>
      </c>
      <c r="K6484" t="s">
        <v>86</v>
      </c>
      <c r="L6484" t="s">
        <v>33</v>
      </c>
      <c r="M6484" t="s">
        <v>21572</v>
      </c>
      <c r="N6484" t="s">
        <v>21573</v>
      </c>
      <c r="O6484" t="s">
        <v>21574</v>
      </c>
      <c r="P6484" s="2" t="s">
        <v>26</v>
      </c>
      <c r="Q6484" t="s">
        <v>50</v>
      </c>
      <c r="R6484">
        <v>70.14</v>
      </c>
      <c r="S6484">
        <v>72.099999999999994</v>
      </c>
      <c r="T6484" t="s">
        <v>21575</v>
      </c>
    </row>
    <row r="6485" spans="1:20" x14ac:dyDescent="0.25">
      <c r="A6485" s="1" t="str">
        <f>HYPERLINK("https://vegkart.atlas.vegvesen.no/#/@268837.6,7035203.0,18/hva:hva%5B0%5D%5Bfilter%5D%5B0%5D%5Boperator%5D=%21%3D&amp;hva%5B0%5D%5Bfilter%5D%5B0%5D%5Btype_id%5D=5897&amp;hva%5B0%5D%5Bfilter%5D%5B0%5D%5Bverdi%5D=&amp;hva%5B0%5D%5Bid%5D=47/når:2020-07-02", "Vegkart")</f>
        <v>Vegkart</v>
      </c>
      <c r="B6485">
        <v>906656970</v>
      </c>
      <c r="C6485">
        <v>47</v>
      </c>
      <c r="D6485" t="s">
        <v>16854</v>
      </c>
      <c r="E6485">
        <v>5897</v>
      </c>
      <c r="F6485" t="s">
        <v>23479</v>
      </c>
      <c r="G6485">
        <v>2</v>
      </c>
      <c r="H6485" t="s">
        <v>21576</v>
      </c>
      <c r="J6485" t="s">
        <v>21540</v>
      </c>
      <c r="K6485" t="s">
        <v>192</v>
      </c>
      <c r="L6485" t="s">
        <v>33</v>
      </c>
      <c r="M6485" t="s">
        <v>21577</v>
      </c>
      <c r="N6485" t="s">
        <v>21578</v>
      </c>
      <c r="O6485" t="s">
        <v>21579</v>
      </c>
      <c r="P6485" s="2" t="s">
        <v>26</v>
      </c>
      <c r="Q6485" t="s">
        <v>50</v>
      </c>
      <c r="R6485">
        <v>71.099999999999994</v>
      </c>
      <c r="S6485">
        <v>71.12</v>
      </c>
      <c r="T6485" t="s">
        <v>21580</v>
      </c>
    </row>
    <row r="6486" spans="1:20" x14ac:dyDescent="0.25">
      <c r="A6486" s="1" t="str">
        <f>HYPERLINK("https://vegkart.atlas.vegvesen.no/#/@122040.1,6956318.0,18/hva:hva%5B0%5D%5Bfilter%5D%5B0%5D%5Boperator%5D=%21%3D&amp;hva%5B0%5D%5Bfilter%5D%5B0%5D%5Btype_id%5D=5897&amp;hva%5B0%5D%5Bfilter%5D%5B0%5D%5Bverdi%5D=&amp;hva%5B0%5D%5Bid%5D=47/når:2018-10-19", "Vegkart")</f>
        <v>Vegkart</v>
      </c>
      <c r="B6486">
        <v>909643121</v>
      </c>
      <c r="C6486">
        <v>47</v>
      </c>
      <c r="D6486" t="s">
        <v>16854</v>
      </c>
      <c r="E6486">
        <v>5897</v>
      </c>
      <c r="F6486" t="s">
        <v>23479</v>
      </c>
      <c r="G6486">
        <v>1</v>
      </c>
      <c r="H6486" t="s">
        <v>21581</v>
      </c>
      <c r="J6486" t="s">
        <v>21540</v>
      </c>
      <c r="K6486" t="s">
        <v>32</v>
      </c>
      <c r="L6486" t="s">
        <v>80</v>
      </c>
      <c r="M6486" t="s">
        <v>1217</v>
      </c>
      <c r="N6486" t="s">
        <v>21582</v>
      </c>
      <c r="O6486" t="s">
        <v>21583</v>
      </c>
      <c r="P6486" s="2" t="s">
        <v>26</v>
      </c>
      <c r="Q6486" t="s">
        <v>50</v>
      </c>
      <c r="R6486">
        <v>11.53</v>
      </c>
      <c r="S6486">
        <v>11.53</v>
      </c>
      <c r="T6486" t="s">
        <v>21584</v>
      </c>
    </row>
    <row r="6487" spans="1:20" x14ac:dyDescent="0.25">
      <c r="A6487" s="1" t="str">
        <f>HYPERLINK("https://vegkart.atlas.vegvesen.no/#/@121260.4,6955636.7,18/hva:hva%5B0%5D%5Bfilter%5D%5B0%5D%5Boperator%5D=%21%3D&amp;hva%5B0%5D%5Bfilter%5D%5B0%5D%5Btype_id%5D=5897&amp;hva%5B0%5D%5Bfilter%5D%5B0%5D%5Bverdi%5D=&amp;hva%5B0%5D%5Bid%5D=47/når:2018-10-19", "Vegkart")</f>
        <v>Vegkart</v>
      </c>
      <c r="B6487">
        <v>909643122</v>
      </c>
      <c r="C6487">
        <v>47</v>
      </c>
      <c r="D6487" t="s">
        <v>16854</v>
      </c>
      <c r="E6487">
        <v>5897</v>
      </c>
      <c r="F6487" t="s">
        <v>23479</v>
      </c>
      <c r="G6487">
        <v>1</v>
      </c>
      <c r="H6487" t="s">
        <v>21581</v>
      </c>
      <c r="J6487" t="s">
        <v>21540</v>
      </c>
      <c r="K6487" t="s">
        <v>32</v>
      </c>
      <c r="L6487" t="s">
        <v>80</v>
      </c>
      <c r="M6487" t="s">
        <v>1217</v>
      </c>
      <c r="N6487" t="s">
        <v>21585</v>
      </c>
      <c r="O6487" t="s">
        <v>21586</v>
      </c>
      <c r="P6487" s="2" t="s">
        <v>26</v>
      </c>
      <c r="Q6487" t="s">
        <v>50</v>
      </c>
      <c r="R6487">
        <v>54</v>
      </c>
      <c r="S6487">
        <v>54</v>
      </c>
      <c r="T6487" t="s">
        <v>21587</v>
      </c>
    </row>
    <row r="6488" spans="1:20" x14ac:dyDescent="0.25">
      <c r="A6488" s="1" t="str">
        <f>HYPERLINK("https://vegkart.atlas.vegvesen.no/#/@118628.8,6953384.2,18/hva:hva%5B0%5D%5Bfilter%5D%5B0%5D%5Boperator%5D=%21%3D&amp;hva%5B0%5D%5Bfilter%5D%5B0%5D%5Btype_id%5D=5897&amp;hva%5B0%5D%5Bfilter%5D%5B0%5D%5Bverdi%5D=&amp;hva%5B0%5D%5Bid%5D=47/når:2018-10-19", "Vegkart")</f>
        <v>Vegkart</v>
      </c>
      <c r="B6488">
        <v>909643123</v>
      </c>
      <c r="C6488">
        <v>47</v>
      </c>
      <c r="D6488" t="s">
        <v>16854</v>
      </c>
      <c r="E6488">
        <v>5897</v>
      </c>
      <c r="F6488" t="s">
        <v>23479</v>
      </c>
      <c r="G6488">
        <v>1</v>
      </c>
      <c r="H6488" t="s">
        <v>21581</v>
      </c>
      <c r="J6488" t="s">
        <v>21540</v>
      </c>
      <c r="K6488" t="s">
        <v>32</v>
      </c>
      <c r="L6488" t="s">
        <v>80</v>
      </c>
      <c r="M6488" t="s">
        <v>1217</v>
      </c>
      <c r="N6488" t="s">
        <v>21588</v>
      </c>
      <c r="O6488" t="s">
        <v>21589</v>
      </c>
      <c r="P6488" s="2" t="s">
        <v>26</v>
      </c>
      <c r="Q6488" t="s">
        <v>50</v>
      </c>
      <c r="R6488">
        <v>11.23</v>
      </c>
      <c r="S6488">
        <v>11.23</v>
      </c>
      <c r="T6488" t="s">
        <v>21590</v>
      </c>
    </row>
    <row r="6489" spans="1:20" x14ac:dyDescent="0.25">
      <c r="A6489" s="1" t="str">
        <f>HYPERLINK("https://vegkart.atlas.vegvesen.no/#/@120089.1,6954713.9,18/hva:hva%5B0%5D%5Bfilter%5D%5B0%5D%5Boperator%5D=%21%3D&amp;hva%5B0%5D%5Bfilter%5D%5B0%5D%5Btype_id%5D=5897&amp;hva%5B0%5D%5Bfilter%5D%5B0%5D%5Bverdi%5D=&amp;hva%5B0%5D%5Bid%5D=47/når:2018-10-19", "Vegkart")</f>
        <v>Vegkart</v>
      </c>
      <c r="B6489">
        <v>909643124</v>
      </c>
      <c r="C6489">
        <v>47</v>
      </c>
      <c r="D6489" t="s">
        <v>16854</v>
      </c>
      <c r="E6489">
        <v>5897</v>
      </c>
      <c r="F6489" t="s">
        <v>23479</v>
      </c>
      <c r="G6489">
        <v>1</v>
      </c>
      <c r="H6489" t="s">
        <v>21581</v>
      </c>
      <c r="J6489" t="s">
        <v>21540</v>
      </c>
      <c r="K6489" t="s">
        <v>32</v>
      </c>
      <c r="L6489" t="s">
        <v>80</v>
      </c>
      <c r="M6489" t="s">
        <v>1217</v>
      </c>
      <c r="N6489" t="s">
        <v>21591</v>
      </c>
      <c r="O6489" t="s">
        <v>21592</v>
      </c>
      <c r="P6489" s="2" t="s">
        <v>26</v>
      </c>
      <c r="Q6489" t="s">
        <v>50</v>
      </c>
      <c r="R6489">
        <v>51.33</v>
      </c>
      <c r="S6489">
        <v>51.33</v>
      </c>
      <c r="T6489" t="s">
        <v>21593</v>
      </c>
    </row>
    <row r="6490" spans="1:20" x14ac:dyDescent="0.25">
      <c r="A6490" s="1" t="str">
        <f>HYPERLINK("https://vegkart.atlas.vegvesen.no/#/@119361.3,6954060.9,18/hva:hva%5B0%5D%5Bfilter%5D%5B0%5D%5Boperator%5D=%21%3D&amp;hva%5B0%5D%5Bfilter%5D%5B0%5D%5Btype_id%5D=5897&amp;hva%5B0%5D%5Bfilter%5D%5B0%5D%5Bverdi%5D=&amp;hva%5B0%5D%5Bid%5D=47/når:2018-10-19", "Vegkart")</f>
        <v>Vegkart</v>
      </c>
      <c r="B6490">
        <v>909643125</v>
      </c>
      <c r="C6490">
        <v>47</v>
      </c>
      <c r="D6490" t="s">
        <v>16854</v>
      </c>
      <c r="E6490">
        <v>5897</v>
      </c>
      <c r="F6490" t="s">
        <v>23479</v>
      </c>
      <c r="G6490">
        <v>1</v>
      </c>
      <c r="H6490" t="s">
        <v>21581</v>
      </c>
      <c r="J6490" t="s">
        <v>21540</v>
      </c>
      <c r="K6490" t="s">
        <v>32</v>
      </c>
      <c r="L6490" t="s">
        <v>80</v>
      </c>
      <c r="M6490" t="s">
        <v>1217</v>
      </c>
      <c r="N6490" t="s">
        <v>21594</v>
      </c>
      <c r="O6490" t="s">
        <v>21595</v>
      </c>
      <c r="P6490" s="2" t="s">
        <v>26</v>
      </c>
      <c r="Q6490" t="s">
        <v>50</v>
      </c>
      <c r="R6490">
        <v>22.23</v>
      </c>
      <c r="S6490">
        <v>22.23</v>
      </c>
      <c r="T6490" t="s">
        <v>21596</v>
      </c>
    </row>
    <row r="6491" spans="1:20" x14ac:dyDescent="0.25">
      <c r="A6491" s="1" t="str">
        <f>HYPERLINK("https://vegkart.atlas.vegvesen.no/#/@120905.1,6955340.9,18/hva:hva%5B0%5D%5Bfilter%5D%5B0%5D%5Boperator%5D=%21%3D&amp;hva%5B0%5D%5Bfilter%5D%5B0%5D%5Btype_id%5D=5897&amp;hva%5B0%5D%5Bfilter%5D%5B0%5D%5Bverdi%5D=&amp;hva%5B0%5D%5Bid%5D=47/når:2018-10-19", "Vegkart")</f>
        <v>Vegkart</v>
      </c>
      <c r="B6491">
        <v>909643126</v>
      </c>
      <c r="C6491">
        <v>47</v>
      </c>
      <c r="D6491" t="s">
        <v>16854</v>
      </c>
      <c r="E6491">
        <v>5897</v>
      </c>
      <c r="F6491" t="s">
        <v>23479</v>
      </c>
      <c r="G6491">
        <v>1</v>
      </c>
      <c r="H6491" t="s">
        <v>21581</v>
      </c>
      <c r="J6491" t="s">
        <v>21540</v>
      </c>
      <c r="K6491" t="s">
        <v>32</v>
      </c>
      <c r="L6491" t="s">
        <v>80</v>
      </c>
      <c r="M6491" t="s">
        <v>1217</v>
      </c>
      <c r="N6491" t="s">
        <v>21597</v>
      </c>
      <c r="O6491" t="s">
        <v>21598</v>
      </c>
      <c r="P6491" s="2" t="s">
        <v>26</v>
      </c>
      <c r="Q6491" t="s">
        <v>50</v>
      </c>
      <c r="R6491">
        <v>21.56</v>
      </c>
      <c r="S6491">
        <v>21.56</v>
      </c>
      <c r="T6491" t="s">
        <v>21599</v>
      </c>
    </row>
    <row r="6492" spans="1:20" x14ac:dyDescent="0.25">
      <c r="A6492" s="1" t="str">
        <f>HYPERLINK("https://vegkart.atlas.vegvesen.no/#/@122481.9,6956561.3,18/hva:hva%5B0%5D%5Bfilter%5D%5B0%5D%5Boperator%5D=%21%3D&amp;hva%5B0%5D%5Bfilter%5D%5B0%5D%5Btype_id%5D=5897&amp;hva%5B0%5D%5Bfilter%5D%5B0%5D%5Bverdi%5D=&amp;hva%5B0%5D%5Bid%5D=47/når:2018-10-19", "Vegkart")</f>
        <v>Vegkart</v>
      </c>
      <c r="B6492">
        <v>909643127</v>
      </c>
      <c r="C6492">
        <v>47</v>
      </c>
      <c r="D6492" t="s">
        <v>16854</v>
      </c>
      <c r="E6492">
        <v>5897</v>
      </c>
      <c r="F6492" t="s">
        <v>23479</v>
      </c>
      <c r="G6492">
        <v>1</v>
      </c>
      <c r="H6492" t="s">
        <v>21581</v>
      </c>
      <c r="J6492" t="s">
        <v>21540</v>
      </c>
      <c r="K6492" t="s">
        <v>32</v>
      </c>
      <c r="L6492" t="s">
        <v>80</v>
      </c>
      <c r="M6492" t="s">
        <v>1217</v>
      </c>
      <c r="N6492" t="s">
        <v>21600</v>
      </c>
      <c r="O6492" t="s">
        <v>21601</v>
      </c>
      <c r="P6492" s="2" t="s">
        <v>26</v>
      </c>
      <c r="Q6492" t="s">
        <v>50</v>
      </c>
      <c r="R6492">
        <v>12.01</v>
      </c>
      <c r="S6492">
        <v>12.01</v>
      </c>
      <c r="T6492" t="s">
        <v>21602</v>
      </c>
    </row>
    <row r="6493" spans="1:20" x14ac:dyDescent="0.25">
      <c r="A6493" s="1" t="str">
        <f>HYPERLINK("https://vegkart.atlas.vegvesen.no/#/@121679.9,6955974.8,18/hva:hva%5B0%5D%5Bfilter%5D%5B0%5D%5Boperator%5D=%21%3D&amp;hva%5B0%5D%5Bfilter%5D%5B0%5D%5Btype_id%5D=5897&amp;hva%5B0%5D%5Bfilter%5D%5B0%5D%5Bverdi%5D=&amp;hva%5B0%5D%5Bid%5D=47/når:2018-10-19", "Vegkart")</f>
        <v>Vegkart</v>
      </c>
      <c r="B6493">
        <v>909643128</v>
      </c>
      <c r="C6493">
        <v>47</v>
      </c>
      <c r="D6493" t="s">
        <v>16854</v>
      </c>
      <c r="E6493">
        <v>5897</v>
      </c>
      <c r="F6493" t="s">
        <v>23479</v>
      </c>
      <c r="G6493">
        <v>1</v>
      </c>
      <c r="H6493" t="s">
        <v>21581</v>
      </c>
      <c r="J6493" t="s">
        <v>21540</v>
      </c>
      <c r="K6493" t="s">
        <v>32</v>
      </c>
      <c r="L6493" t="s">
        <v>80</v>
      </c>
      <c r="M6493" t="s">
        <v>1217</v>
      </c>
      <c r="N6493" t="s">
        <v>21603</v>
      </c>
      <c r="O6493" t="s">
        <v>21604</v>
      </c>
      <c r="P6493" s="2" t="s">
        <v>26</v>
      </c>
      <c r="Q6493" t="s">
        <v>50</v>
      </c>
      <c r="R6493">
        <v>10.94</v>
      </c>
      <c r="S6493">
        <v>10.94</v>
      </c>
      <c r="T6493" t="s">
        <v>21605</v>
      </c>
    </row>
    <row r="6494" spans="1:20" x14ac:dyDescent="0.25">
      <c r="A6494" s="1" t="str">
        <f>HYPERLINK("https://vegkart.atlas.vegvesen.no/#/@119724.9,6954398.0,18/hva:hva%5B0%5D%5Bfilter%5D%5B0%5D%5Boperator%5D=%21%3D&amp;hva%5B0%5D%5Bfilter%5D%5B0%5D%5Btype_id%5D=5897&amp;hva%5B0%5D%5Bfilter%5D%5B0%5D%5Bverdi%5D=&amp;hva%5B0%5D%5Bid%5D=47/når:2018-10-19", "Vegkart")</f>
        <v>Vegkart</v>
      </c>
      <c r="B6494">
        <v>909643129</v>
      </c>
      <c r="C6494">
        <v>47</v>
      </c>
      <c r="D6494" t="s">
        <v>16854</v>
      </c>
      <c r="E6494">
        <v>5897</v>
      </c>
      <c r="F6494" t="s">
        <v>23479</v>
      </c>
      <c r="G6494">
        <v>1</v>
      </c>
      <c r="H6494" t="s">
        <v>21581</v>
      </c>
      <c r="J6494" t="s">
        <v>21540</v>
      </c>
      <c r="K6494" t="s">
        <v>32</v>
      </c>
      <c r="L6494" t="s">
        <v>80</v>
      </c>
      <c r="M6494" t="s">
        <v>1217</v>
      </c>
      <c r="N6494" t="s">
        <v>21606</v>
      </c>
      <c r="O6494" t="s">
        <v>21607</v>
      </c>
      <c r="P6494" s="2" t="s">
        <v>26</v>
      </c>
      <c r="Q6494" t="s">
        <v>50</v>
      </c>
      <c r="R6494">
        <v>11.3</v>
      </c>
      <c r="S6494">
        <v>11.3</v>
      </c>
      <c r="T6494" t="s">
        <v>21608</v>
      </c>
    </row>
    <row r="6495" spans="1:20" x14ac:dyDescent="0.25">
      <c r="A6495" s="1" t="str">
        <f>HYPERLINK("https://vegkart.atlas.vegvesen.no/#/@118980.2,6953706.6,18/hva:hva%5B0%5D%5Bfilter%5D%5B0%5D%5Boperator%5D=%21%3D&amp;hva%5B0%5D%5Bfilter%5D%5B0%5D%5Btype_id%5D=5897&amp;hva%5B0%5D%5Bfilter%5D%5B0%5D%5Bverdi%5D=&amp;hva%5B0%5D%5Bid%5D=47/når:2018-10-19", "Vegkart")</f>
        <v>Vegkart</v>
      </c>
      <c r="B6495">
        <v>909643130</v>
      </c>
      <c r="C6495">
        <v>47</v>
      </c>
      <c r="D6495" t="s">
        <v>16854</v>
      </c>
      <c r="E6495">
        <v>5897</v>
      </c>
      <c r="F6495" t="s">
        <v>23479</v>
      </c>
      <c r="G6495">
        <v>1</v>
      </c>
      <c r="H6495" t="s">
        <v>21581</v>
      </c>
      <c r="J6495" t="s">
        <v>21540</v>
      </c>
      <c r="K6495" t="s">
        <v>32</v>
      </c>
      <c r="L6495" t="s">
        <v>80</v>
      </c>
      <c r="M6495" t="s">
        <v>1217</v>
      </c>
      <c r="N6495" t="s">
        <v>21609</v>
      </c>
      <c r="O6495" t="s">
        <v>21610</v>
      </c>
      <c r="P6495" s="2" t="s">
        <v>26</v>
      </c>
      <c r="Q6495" t="s">
        <v>50</v>
      </c>
      <c r="R6495">
        <v>51.74</v>
      </c>
      <c r="S6495">
        <v>51.74</v>
      </c>
      <c r="T6495" t="s">
        <v>21611</v>
      </c>
    </row>
    <row r="6496" spans="1:20" x14ac:dyDescent="0.25">
      <c r="A6496" s="1" t="str">
        <f>HYPERLINK("https://vegkart.atlas.vegvesen.no/#/@122346.8,6956527.2,18/hva:hva%5B0%5D%5Bfilter%5D%5B0%5D%5Boperator%5D=%21%3D&amp;hva%5B0%5D%5Bfilter%5D%5B0%5D%5Btype_id%5D=5897&amp;hva%5B0%5D%5Bfilter%5D%5B0%5D%5Bverdi%5D=&amp;hva%5B0%5D%5Bid%5D=47/når:2018-10-19", "Vegkart")</f>
        <v>Vegkart</v>
      </c>
      <c r="B6496">
        <v>909643131</v>
      </c>
      <c r="C6496">
        <v>47</v>
      </c>
      <c r="D6496" t="s">
        <v>16854</v>
      </c>
      <c r="E6496">
        <v>5897</v>
      </c>
      <c r="F6496" t="s">
        <v>23479</v>
      </c>
      <c r="G6496">
        <v>1</v>
      </c>
      <c r="H6496" t="s">
        <v>21581</v>
      </c>
      <c r="J6496" t="s">
        <v>21540</v>
      </c>
      <c r="K6496" t="s">
        <v>32</v>
      </c>
      <c r="L6496" t="s">
        <v>80</v>
      </c>
      <c r="M6496" t="s">
        <v>1217</v>
      </c>
      <c r="N6496" t="s">
        <v>21612</v>
      </c>
      <c r="O6496" t="s">
        <v>21613</v>
      </c>
      <c r="P6496" s="2" t="s">
        <v>26</v>
      </c>
      <c r="Q6496" t="s">
        <v>50</v>
      </c>
      <c r="R6496">
        <v>63.21</v>
      </c>
      <c r="S6496">
        <v>63.76</v>
      </c>
      <c r="T6496" t="s">
        <v>21614</v>
      </c>
    </row>
    <row r="6497" spans="1:20" x14ac:dyDescent="0.25">
      <c r="A6497" s="1" t="str">
        <f>HYPERLINK("https://vegkart.atlas.vegvesen.no/#/@110831.1,6959020.4,18/hva:hva%5B0%5D%5Bfilter%5D%5B0%5D%5Boperator%5D=%21%3D&amp;hva%5B0%5D%5Bfilter%5D%5B0%5D%5Btype_id%5D=5897&amp;hva%5B0%5D%5Bfilter%5D%5B0%5D%5Bverdi%5D=&amp;hva%5B0%5D%5Bid%5D=47/når:2018-10-19", "Vegkart")</f>
        <v>Vegkart</v>
      </c>
      <c r="B6497">
        <v>909643159</v>
      </c>
      <c r="C6497">
        <v>47</v>
      </c>
      <c r="D6497" t="s">
        <v>16854</v>
      </c>
      <c r="E6497">
        <v>5897</v>
      </c>
      <c r="F6497" t="s">
        <v>23479</v>
      </c>
      <c r="G6497">
        <v>1</v>
      </c>
      <c r="H6497" t="s">
        <v>21581</v>
      </c>
      <c r="J6497" t="s">
        <v>21540</v>
      </c>
      <c r="K6497" t="s">
        <v>32</v>
      </c>
      <c r="L6497" t="s">
        <v>80</v>
      </c>
      <c r="M6497" t="s">
        <v>1217</v>
      </c>
      <c r="N6497" t="s">
        <v>21615</v>
      </c>
      <c r="O6497" t="s">
        <v>21616</v>
      </c>
      <c r="P6497" s="2" t="s">
        <v>26</v>
      </c>
      <c r="Q6497" t="s">
        <v>50</v>
      </c>
      <c r="R6497">
        <v>32.22</v>
      </c>
      <c r="S6497">
        <v>32.909999999999997</v>
      </c>
      <c r="T6497" t="s">
        <v>21617</v>
      </c>
    </row>
    <row r="6498" spans="1:20" x14ac:dyDescent="0.25">
      <c r="A6498" s="1" t="str">
        <f>HYPERLINK("https://vegkart.atlas.vegvesen.no/#/@111078.3,6958525.9,18/hva:hva%5B0%5D%5Bfilter%5D%5B0%5D%5Boperator%5D=%21%3D&amp;hva%5B0%5D%5Bfilter%5D%5B0%5D%5Btype_id%5D=5897&amp;hva%5B0%5D%5Bfilter%5D%5B0%5D%5Bverdi%5D=&amp;hva%5B0%5D%5Bid%5D=47/når:2018-10-19", "Vegkart")</f>
        <v>Vegkart</v>
      </c>
      <c r="B6498">
        <v>909643160</v>
      </c>
      <c r="C6498">
        <v>47</v>
      </c>
      <c r="D6498" t="s">
        <v>16854</v>
      </c>
      <c r="E6498">
        <v>5897</v>
      </c>
      <c r="F6498" t="s">
        <v>23479</v>
      </c>
      <c r="G6498">
        <v>1</v>
      </c>
      <c r="H6498" t="s">
        <v>21581</v>
      </c>
      <c r="J6498" t="s">
        <v>21540</v>
      </c>
      <c r="K6498" t="s">
        <v>32</v>
      </c>
      <c r="L6498" t="s">
        <v>80</v>
      </c>
      <c r="M6498" t="s">
        <v>1217</v>
      </c>
      <c r="N6498" t="s">
        <v>21618</v>
      </c>
      <c r="O6498" t="s">
        <v>21619</v>
      </c>
      <c r="P6498" s="2" t="s">
        <v>26</v>
      </c>
      <c r="Q6498" t="s">
        <v>50</v>
      </c>
      <c r="R6498">
        <v>108.75</v>
      </c>
      <c r="S6498">
        <v>111.39</v>
      </c>
      <c r="T6498" t="s">
        <v>21620</v>
      </c>
    </row>
    <row r="6499" spans="1:20" x14ac:dyDescent="0.25">
      <c r="A6499" s="1" t="str">
        <f>HYPERLINK("https://vegkart.atlas.vegvesen.no/#/@111366.0,6958076.6,18/hva:hva%5B0%5D%5Bfilter%5D%5B0%5D%5Boperator%5D=%21%3D&amp;hva%5B0%5D%5Bfilter%5D%5B0%5D%5Btype_id%5D=5897&amp;hva%5B0%5D%5Bfilter%5D%5B0%5D%5Bverdi%5D=&amp;hva%5B0%5D%5Bid%5D=47/når:2018-10-19", "Vegkart")</f>
        <v>Vegkart</v>
      </c>
      <c r="B6499">
        <v>909643161</v>
      </c>
      <c r="C6499">
        <v>47</v>
      </c>
      <c r="D6499" t="s">
        <v>16854</v>
      </c>
      <c r="E6499">
        <v>5897</v>
      </c>
      <c r="F6499" t="s">
        <v>23479</v>
      </c>
      <c r="G6499">
        <v>1</v>
      </c>
      <c r="H6499" t="s">
        <v>21581</v>
      </c>
      <c r="J6499" t="s">
        <v>21540</v>
      </c>
      <c r="K6499" t="s">
        <v>32</v>
      </c>
      <c r="L6499" t="s">
        <v>80</v>
      </c>
      <c r="M6499" t="s">
        <v>1217</v>
      </c>
      <c r="N6499" t="s">
        <v>21621</v>
      </c>
      <c r="O6499" t="s">
        <v>21622</v>
      </c>
      <c r="P6499" s="2" t="s">
        <v>26</v>
      </c>
      <c r="Q6499" t="s">
        <v>50</v>
      </c>
      <c r="R6499">
        <v>32.25</v>
      </c>
      <c r="S6499">
        <v>32.99</v>
      </c>
      <c r="T6499" t="s">
        <v>21623</v>
      </c>
    </row>
    <row r="6500" spans="1:20" x14ac:dyDescent="0.25">
      <c r="A6500" s="1" t="str">
        <f>HYPERLINK("https://vegkart.atlas.vegvesen.no/#/@-32031.1,6665444.7,18/hva:hva%5B0%5D%5Bfilter%5D%5B0%5D%5Boperator%5D=%21%3D&amp;hva%5B0%5D%5Bfilter%5D%5B0%5D%5Btype_id%5D=5897&amp;hva%5B0%5D%5Bfilter%5D%5B0%5D%5Bverdi%5D=&amp;hva%5B0%5D%5Bid%5D=47/når:2018-10-24", "Vegkart")</f>
        <v>Vegkart</v>
      </c>
      <c r="B6500">
        <v>909813808</v>
      </c>
      <c r="C6500">
        <v>47</v>
      </c>
      <c r="D6500" t="s">
        <v>16854</v>
      </c>
      <c r="E6500">
        <v>5897</v>
      </c>
      <c r="F6500" t="s">
        <v>23479</v>
      </c>
      <c r="G6500">
        <v>1</v>
      </c>
      <c r="H6500" t="s">
        <v>6994</v>
      </c>
      <c r="J6500" t="s">
        <v>21540</v>
      </c>
      <c r="K6500" t="s">
        <v>21</v>
      </c>
      <c r="L6500" t="s">
        <v>33</v>
      </c>
      <c r="M6500" t="s">
        <v>1546</v>
      </c>
      <c r="N6500" t="s">
        <v>21624</v>
      </c>
      <c r="O6500" t="s">
        <v>21625</v>
      </c>
      <c r="P6500" s="2" t="s">
        <v>26</v>
      </c>
      <c r="Q6500" t="s">
        <v>50</v>
      </c>
      <c r="R6500">
        <v>54.98</v>
      </c>
      <c r="S6500">
        <v>55.4</v>
      </c>
      <c r="T6500" t="s">
        <v>21626</v>
      </c>
    </row>
    <row r="6501" spans="1:20" x14ac:dyDescent="0.25">
      <c r="A6501" s="1" t="str">
        <f>HYPERLINK("https://vegkart.atlas.vegvesen.no/#/@-32005.6,6665482.9,18/hva:hva%5B0%5D%5Bfilter%5D%5B0%5D%5Boperator%5D=%21%3D&amp;hva%5B0%5D%5Bfilter%5D%5B0%5D%5Btype_id%5D=5897&amp;hva%5B0%5D%5Bfilter%5D%5B0%5D%5Bverdi%5D=&amp;hva%5B0%5D%5Bid%5D=47/når:2018-10-24", "Vegkart")</f>
        <v>Vegkart</v>
      </c>
      <c r="B6501">
        <v>909813809</v>
      </c>
      <c r="C6501">
        <v>47</v>
      </c>
      <c r="D6501" t="s">
        <v>16854</v>
      </c>
      <c r="E6501">
        <v>5897</v>
      </c>
      <c r="F6501" t="s">
        <v>23479</v>
      </c>
      <c r="G6501">
        <v>1</v>
      </c>
      <c r="H6501" t="s">
        <v>6994</v>
      </c>
      <c r="J6501" t="s">
        <v>21540</v>
      </c>
      <c r="K6501" t="s">
        <v>21</v>
      </c>
      <c r="L6501" t="s">
        <v>33</v>
      </c>
      <c r="M6501" t="s">
        <v>1546</v>
      </c>
      <c r="N6501" t="s">
        <v>21627</v>
      </c>
      <c r="O6501" t="s">
        <v>21628</v>
      </c>
      <c r="P6501" s="2" t="s">
        <v>26</v>
      </c>
      <c r="Q6501" t="s">
        <v>50</v>
      </c>
      <c r="R6501">
        <v>52.5</v>
      </c>
      <c r="S6501">
        <v>52.97</v>
      </c>
      <c r="T6501" t="s">
        <v>21629</v>
      </c>
    </row>
    <row r="6502" spans="1:20" x14ac:dyDescent="0.25">
      <c r="A6502" s="1" t="str">
        <f>HYPERLINK("https://vegkart.atlas.vegvesen.no/#/@267475.5,6627787.3,18/hva:hva%5B0%5D%5Bfilter%5D%5B0%5D%5Boperator%5D=%21%3D&amp;hva%5B0%5D%5Bfilter%5D%5B0%5D%5Btype_id%5D=5897&amp;hva%5B0%5D%5Bfilter%5D%5B0%5D%5Bverdi%5D=&amp;hva%5B0%5D%5Bid%5D=47/når:2018-10-25", "Vegkart")</f>
        <v>Vegkart</v>
      </c>
      <c r="B6502">
        <v>909835726</v>
      </c>
      <c r="C6502">
        <v>47</v>
      </c>
      <c r="D6502" t="s">
        <v>16854</v>
      </c>
      <c r="E6502">
        <v>5897</v>
      </c>
      <c r="F6502" t="s">
        <v>23479</v>
      </c>
      <c r="G6502">
        <v>1</v>
      </c>
      <c r="H6502" t="s">
        <v>15501</v>
      </c>
      <c r="J6502" t="s">
        <v>21540</v>
      </c>
      <c r="K6502" t="s">
        <v>132</v>
      </c>
      <c r="L6502" t="s">
        <v>33</v>
      </c>
      <c r="M6502" t="s">
        <v>21630</v>
      </c>
      <c r="N6502" t="s">
        <v>21631</v>
      </c>
      <c r="O6502" t="s">
        <v>21632</v>
      </c>
      <c r="P6502" s="2" t="s">
        <v>26</v>
      </c>
      <c r="Q6502" t="s">
        <v>50</v>
      </c>
      <c r="R6502">
        <v>47.1</v>
      </c>
      <c r="S6502">
        <v>47.49</v>
      </c>
      <c r="T6502" t="s">
        <v>21633</v>
      </c>
    </row>
    <row r="6503" spans="1:20" x14ac:dyDescent="0.25">
      <c r="A6503" s="1" t="str">
        <f>HYPERLINK("https://vegkart.atlas.vegvesen.no/#/@267083.2,6627744.2,18/hva:hva%5B0%5D%5Bfilter%5D%5B0%5D%5Boperator%5D=%21%3D&amp;hva%5B0%5D%5Bfilter%5D%5B0%5D%5Btype_id%5D=5897&amp;hva%5B0%5D%5Bfilter%5D%5B0%5D%5Bverdi%5D=&amp;hva%5B0%5D%5Bid%5D=47/når:2018-10-25", "Vegkart")</f>
        <v>Vegkart</v>
      </c>
      <c r="B6503">
        <v>909835727</v>
      </c>
      <c r="C6503">
        <v>47</v>
      </c>
      <c r="D6503" t="s">
        <v>16854</v>
      </c>
      <c r="E6503">
        <v>5897</v>
      </c>
      <c r="F6503" t="s">
        <v>23479</v>
      </c>
      <c r="G6503">
        <v>1</v>
      </c>
      <c r="H6503" t="s">
        <v>15501</v>
      </c>
      <c r="J6503" t="s">
        <v>21540</v>
      </c>
      <c r="K6503" t="s">
        <v>132</v>
      </c>
      <c r="L6503" t="s">
        <v>33</v>
      </c>
      <c r="M6503" t="s">
        <v>21630</v>
      </c>
      <c r="N6503" t="s">
        <v>21634</v>
      </c>
      <c r="O6503" t="s">
        <v>21635</v>
      </c>
      <c r="P6503" s="2" t="s">
        <v>26</v>
      </c>
      <c r="Q6503" t="s">
        <v>50</v>
      </c>
      <c r="R6503">
        <v>54.43</v>
      </c>
      <c r="S6503">
        <v>54.96</v>
      </c>
      <c r="T6503" t="s">
        <v>21636</v>
      </c>
    </row>
    <row r="6504" spans="1:20" x14ac:dyDescent="0.25">
      <c r="A6504" s="1" t="str">
        <f>HYPERLINK("https://vegkart.atlas.vegvesen.no/#/@265787.2,6626851.2,18/hva:hva%5B0%5D%5Bfilter%5D%5B0%5D%5Boperator%5D=%21%3D&amp;hva%5B0%5D%5Bfilter%5D%5B0%5D%5Btype_id%5D=5897&amp;hva%5B0%5D%5Bfilter%5D%5B0%5D%5Bverdi%5D=&amp;hva%5B0%5D%5Bid%5D=47/når:2018-10-25", "Vegkart")</f>
        <v>Vegkart</v>
      </c>
      <c r="B6504">
        <v>909835729</v>
      </c>
      <c r="C6504">
        <v>47</v>
      </c>
      <c r="D6504" t="s">
        <v>16854</v>
      </c>
      <c r="E6504">
        <v>5897</v>
      </c>
      <c r="F6504" t="s">
        <v>23479</v>
      </c>
      <c r="G6504">
        <v>1</v>
      </c>
      <c r="H6504" t="s">
        <v>15501</v>
      </c>
      <c r="J6504" t="s">
        <v>21540</v>
      </c>
      <c r="K6504" t="s">
        <v>132</v>
      </c>
      <c r="L6504" t="s">
        <v>33</v>
      </c>
      <c r="M6504" t="s">
        <v>9696</v>
      </c>
      <c r="N6504" t="s">
        <v>21637</v>
      </c>
      <c r="O6504" t="s">
        <v>21638</v>
      </c>
      <c r="P6504" s="2" t="s">
        <v>26</v>
      </c>
      <c r="Q6504" t="s">
        <v>50</v>
      </c>
      <c r="R6504">
        <v>59.52</v>
      </c>
      <c r="S6504">
        <v>59.79</v>
      </c>
      <c r="T6504" t="s">
        <v>21639</v>
      </c>
    </row>
    <row r="6505" spans="1:20" x14ac:dyDescent="0.25">
      <c r="A6505" s="1" t="str">
        <f>HYPERLINK("https://vegkart.atlas.vegvesen.no/#/@251598.4,6959784.2,18/hva:hva%5B0%5D%5Bfilter%5D%5B0%5D%5Boperator%5D=%21%3D&amp;hva%5B0%5D%5Bfilter%5D%5B0%5D%5Btype_id%5D=5897&amp;hva%5B0%5D%5Bfilter%5D%5B0%5D%5Bverdi%5D=&amp;hva%5B0%5D%5Bid%5D=47/når:2018-10-25", "Vegkart")</f>
        <v>Vegkart</v>
      </c>
      <c r="B6505">
        <v>909836109</v>
      </c>
      <c r="C6505">
        <v>47</v>
      </c>
      <c r="D6505" t="s">
        <v>16854</v>
      </c>
      <c r="E6505">
        <v>5897</v>
      </c>
      <c r="F6505" t="s">
        <v>23479</v>
      </c>
      <c r="G6505">
        <v>1</v>
      </c>
      <c r="H6505" t="s">
        <v>15501</v>
      </c>
      <c r="J6505" t="s">
        <v>21540</v>
      </c>
      <c r="K6505" t="s">
        <v>192</v>
      </c>
      <c r="L6505" t="s">
        <v>113</v>
      </c>
      <c r="M6505" t="s">
        <v>335</v>
      </c>
      <c r="N6505" t="s">
        <v>21640</v>
      </c>
      <c r="O6505" t="s">
        <v>21641</v>
      </c>
      <c r="P6505" s="2" t="s">
        <v>26</v>
      </c>
      <c r="Q6505" t="s">
        <v>50</v>
      </c>
      <c r="R6505">
        <v>70.680000000000007</v>
      </c>
      <c r="S6505">
        <v>71.41</v>
      </c>
      <c r="T6505" t="s">
        <v>21642</v>
      </c>
    </row>
    <row r="6506" spans="1:20" x14ac:dyDescent="0.25">
      <c r="A6506" s="1" t="str">
        <f>HYPERLINK("https://vegkart.atlas.vegvesen.no/#/@251553.4,6959551.8,18/hva:hva%5B0%5D%5Bfilter%5D%5B0%5D%5Boperator%5D=%21%3D&amp;hva%5B0%5D%5Bfilter%5D%5B0%5D%5Btype_id%5D=5897&amp;hva%5B0%5D%5Bfilter%5D%5B0%5D%5Bverdi%5D=&amp;hva%5B0%5D%5Bid%5D=47/når:2018-10-25", "Vegkart")</f>
        <v>Vegkart</v>
      </c>
      <c r="B6506">
        <v>909836110</v>
      </c>
      <c r="C6506">
        <v>47</v>
      </c>
      <c r="D6506" t="s">
        <v>16854</v>
      </c>
      <c r="E6506">
        <v>5897</v>
      </c>
      <c r="F6506" t="s">
        <v>23479</v>
      </c>
      <c r="G6506">
        <v>1</v>
      </c>
      <c r="H6506" t="s">
        <v>15501</v>
      </c>
      <c r="J6506" t="s">
        <v>21540</v>
      </c>
      <c r="K6506" t="s">
        <v>192</v>
      </c>
      <c r="L6506" t="s">
        <v>113</v>
      </c>
      <c r="M6506" t="s">
        <v>335</v>
      </c>
      <c r="N6506" t="s">
        <v>21643</v>
      </c>
      <c r="O6506" t="s">
        <v>21644</v>
      </c>
      <c r="P6506" s="2" t="s">
        <v>26</v>
      </c>
      <c r="Q6506" t="s">
        <v>50</v>
      </c>
      <c r="R6506">
        <v>69.290000000000006</v>
      </c>
      <c r="S6506">
        <v>70.040000000000006</v>
      </c>
      <c r="T6506" t="s">
        <v>21645</v>
      </c>
    </row>
    <row r="6507" spans="1:20" x14ac:dyDescent="0.25">
      <c r="A6507" s="1" t="str">
        <f>HYPERLINK("https://vegkart.atlas.vegvesen.no/#/@251615.3,6958954.8,18/hva:hva%5B0%5D%5Bfilter%5D%5B0%5D%5Boperator%5D=%21%3D&amp;hva%5B0%5D%5Bfilter%5D%5B0%5D%5Btype_id%5D=5897&amp;hva%5B0%5D%5Bfilter%5D%5B0%5D%5Bverdi%5D=&amp;hva%5B0%5D%5Bid%5D=47/når:2018-10-25", "Vegkart")</f>
        <v>Vegkart</v>
      </c>
      <c r="B6507">
        <v>909836111</v>
      </c>
      <c r="C6507">
        <v>47</v>
      </c>
      <c r="D6507" t="s">
        <v>16854</v>
      </c>
      <c r="E6507">
        <v>5897</v>
      </c>
      <c r="F6507" t="s">
        <v>23479</v>
      </c>
      <c r="G6507">
        <v>1</v>
      </c>
      <c r="H6507" t="s">
        <v>15501</v>
      </c>
      <c r="J6507" t="s">
        <v>21540</v>
      </c>
      <c r="K6507" t="s">
        <v>192</v>
      </c>
      <c r="L6507" t="s">
        <v>113</v>
      </c>
      <c r="M6507" t="s">
        <v>335</v>
      </c>
      <c r="N6507" t="s">
        <v>21646</v>
      </c>
      <c r="O6507" t="s">
        <v>21647</v>
      </c>
      <c r="P6507" s="2" t="s">
        <v>26</v>
      </c>
      <c r="Q6507" t="s">
        <v>50</v>
      </c>
      <c r="R6507">
        <v>86.68</v>
      </c>
      <c r="S6507">
        <v>87.2</v>
      </c>
      <c r="T6507" t="s">
        <v>21648</v>
      </c>
    </row>
    <row r="6508" spans="1:20" x14ac:dyDescent="0.25">
      <c r="A6508" s="1" t="str">
        <f>HYPERLINK("https://vegkart.atlas.vegvesen.no/#/@251597.2,6958900.9,18/hva:hva%5B0%5D%5Bfilter%5D%5B0%5D%5Boperator%5D=%21%3D&amp;hva%5B0%5D%5Bfilter%5D%5B0%5D%5Btype_id%5D=5897&amp;hva%5B0%5D%5Bfilter%5D%5B0%5D%5Bverdi%5D=&amp;hva%5B0%5D%5Bid%5D=47/når:2018-10-25", "Vegkart")</f>
        <v>Vegkart</v>
      </c>
      <c r="B6508">
        <v>909836112</v>
      </c>
      <c r="C6508">
        <v>47</v>
      </c>
      <c r="D6508" t="s">
        <v>16854</v>
      </c>
      <c r="E6508">
        <v>5897</v>
      </c>
      <c r="F6508" t="s">
        <v>23479</v>
      </c>
      <c r="G6508">
        <v>1</v>
      </c>
      <c r="H6508" t="s">
        <v>15501</v>
      </c>
      <c r="J6508" t="s">
        <v>21540</v>
      </c>
      <c r="K6508" t="s">
        <v>192</v>
      </c>
      <c r="L6508" t="s">
        <v>113</v>
      </c>
      <c r="M6508" t="s">
        <v>335</v>
      </c>
      <c r="N6508" t="s">
        <v>21649</v>
      </c>
      <c r="O6508" t="s">
        <v>21650</v>
      </c>
      <c r="P6508" s="2" t="s">
        <v>26</v>
      </c>
      <c r="Q6508" t="s">
        <v>50</v>
      </c>
      <c r="R6508">
        <v>78.8</v>
      </c>
      <c r="S6508">
        <v>79.239999999999995</v>
      </c>
      <c r="T6508" t="s">
        <v>21651</v>
      </c>
    </row>
    <row r="6509" spans="1:20" x14ac:dyDescent="0.25">
      <c r="A6509" s="1" t="str">
        <f>HYPERLINK("https://vegkart.atlas.vegvesen.no/#/@192361.1,6574618.3,18/hva:hva%5B0%5D%5Bfilter%5D%5B0%5D%5Boperator%5D=%21%3D&amp;hva%5B0%5D%5Bfilter%5D%5B0%5D%5Btype_id%5D=5897&amp;hva%5B0%5D%5Bfilter%5D%5B0%5D%5Bverdi%5D=&amp;hva%5B0%5D%5Bid%5D=47/når:2022-11-30", "Vegkart")</f>
        <v>Vegkart</v>
      </c>
      <c r="B6509">
        <v>910484196</v>
      </c>
      <c r="C6509">
        <v>47</v>
      </c>
      <c r="D6509" t="s">
        <v>16854</v>
      </c>
      <c r="E6509">
        <v>5897</v>
      </c>
      <c r="F6509" t="s">
        <v>23479</v>
      </c>
      <c r="G6509">
        <v>2</v>
      </c>
      <c r="H6509" t="s">
        <v>17992</v>
      </c>
      <c r="J6509" t="s">
        <v>21540</v>
      </c>
      <c r="K6509" t="s">
        <v>197</v>
      </c>
      <c r="L6509" t="s">
        <v>33</v>
      </c>
      <c r="M6509" t="s">
        <v>1994</v>
      </c>
      <c r="N6509" t="s">
        <v>21652</v>
      </c>
      <c r="O6509" t="s">
        <v>21653</v>
      </c>
      <c r="P6509" s="2" t="s">
        <v>26</v>
      </c>
      <c r="Q6509" t="s">
        <v>50</v>
      </c>
      <c r="R6509">
        <v>78.38</v>
      </c>
      <c r="S6509">
        <v>78.849999999999994</v>
      </c>
      <c r="T6509" t="s">
        <v>21654</v>
      </c>
    </row>
    <row r="6510" spans="1:20" x14ac:dyDescent="0.25">
      <c r="A6510" s="1" t="str">
        <f>HYPERLINK("https://vegkart.atlas.vegvesen.no/#/@192388.2,6574750.0,18/hva:hva%5B0%5D%5Bfilter%5D%5B0%5D%5Boperator%5D=%21%3D&amp;hva%5B0%5D%5Bfilter%5D%5B0%5D%5Btype_id%5D=5897&amp;hva%5B0%5D%5Bfilter%5D%5B0%5D%5Bverdi%5D=&amp;hva%5B0%5D%5Bid%5D=47/når:2022-11-30", "Vegkart")</f>
        <v>Vegkart</v>
      </c>
      <c r="B6510">
        <v>910484197</v>
      </c>
      <c r="C6510">
        <v>47</v>
      </c>
      <c r="D6510" t="s">
        <v>16854</v>
      </c>
      <c r="E6510">
        <v>5897</v>
      </c>
      <c r="F6510" t="s">
        <v>23479</v>
      </c>
      <c r="G6510">
        <v>2</v>
      </c>
      <c r="H6510" t="s">
        <v>17992</v>
      </c>
      <c r="J6510" t="s">
        <v>21540</v>
      </c>
      <c r="K6510" t="s">
        <v>197</v>
      </c>
      <c r="L6510" t="s">
        <v>33</v>
      </c>
      <c r="M6510" t="s">
        <v>1994</v>
      </c>
      <c r="N6510" t="s">
        <v>21655</v>
      </c>
      <c r="O6510" t="s">
        <v>21656</v>
      </c>
      <c r="P6510" s="2" t="s">
        <v>26</v>
      </c>
      <c r="Q6510" t="s">
        <v>50</v>
      </c>
      <c r="R6510">
        <v>74.5</v>
      </c>
      <c r="S6510">
        <v>75.55</v>
      </c>
      <c r="T6510" t="s">
        <v>21657</v>
      </c>
    </row>
    <row r="6511" spans="1:20" x14ac:dyDescent="0.25">
      <c r="A6511" s="1" t="str">
        <f>HYPERLINK("https://vegkart.atlas.vegvesen.no/#/@169666.8,6594811.4,18/hva:hva%5B0%5D%5Bfilter%5D%5B0%5D%5Boperator%5D=%21%3D&amp;hva%5B0%5D%5Bfilter%5D%5B0%5D%5Btype_id%5D=5897&amp;hva%5B0%5D%5Bfilter%5D%5B0%5D%5Bverdi%5D=&amp;hva%5B0%5D%5Bid%5D=47/når:2018-11-30", "Vegkart")</f>
        <v>Vegkart</v>
      </c>
      <c r="B6511">
        <v>912793450</v>
      </c>
      <c r="C6511">
        <v>47</v>
      </c>
      <c r="D6511" t="s">
        <v>16854</v>
      </c>
      <c r="E6511">
        <v>5897</v>
      </c>
      <c r="F6511" t="s">
        <v>23479</v>
      </c>
      <c r="G6511">
        <v>1</v>
      </c>
      <c r="H6511" t="s">
        <v>21658</v>
      </c>
      <c r="J6511" t="s">
        <v>21659</v>
      </c>
      <c r="K6511" t="s">
        <v>197</v>
      </c>
      <c r="L6511" t="s">
        <v>113</v>
      </c>
      <c r="M6511" t="s">
        <v>2618</v>
      </c>
      <c r="N6511" t="s">
        <v>21660</v>
      </c>
      <c r="O6511" t="s">
        <v>21661</v>
      </c>
      <c r="P6511" s="2" t="s">
        <v>37</v>
      </c>
      <c r="Q6511" t="s">
        <v>1208</v>
      </c>
      <c r="R6511">
        <v>0</v>
      </c>
      <c r="S6511">
        <v>149.53</v>
      </c>
      <c r="T6511" t="s">
        <v>21662</v>
      </c>
    </row>
    <row r="6512" spans="1:20" x14ac:dyDescent="0.25">
      <c r="A6512" s="1" t="str">
        <f>HYPERLINK("https://vegkart.atlas.vegvesen.no/#/@172356.1,6589726.4,18/hva:hva%5B0%5D%5Bfilter%5D%5B0%5D%5Boperator%5D=%21%3D&amp;hva%5B0%5D%5Bfilter%5D%5B0%5D%5Btype_id%5D=5897&amp;hva%5B0%5D%5Bfilter%5D%5B0%5D%5Bverdi%5D=&amp;hva%5B0%5D%5Bid%5D=47/når:2018-11-30", "Vegkart")</f>
        <v>Vegkart</v>
      </c>
      <c r="B6512">
        <v>912793451</v>
      </c>
      <c r="C6512">
        <v>47</v>
      </c>
      <c r="D6512" t="s">
        <v>16854</v>
      </c>
      <c r="E6512">
        <v>5897</v>
      </c>
      <c r="F6512" t="s">
        <v>23479</v>
      </c>
      <c r="G6512">
        <v>1</v>
      </c>
      <c r="H6512" t="s">
        <v>21658</v>
      </c>
      <c r="J6512" t="s">
        <v>21659</v>
      </c>
      <c r="K6512" t="s">
        <v>197</v>
      </c>
      <c r="L6512" t="s">
        <v>113</v>
      </c>
      <c r="M6512" t="s">
        <v>2618</v>
      </c>
      <c r="N6512" t="s">
        <v>21663</v>
      </c>
      <c r="O6512" t="s">
        <v>21664</v>
      </c>
      <c r="P6512" s="2" t="s">
        <v>37</v>
      </c>
      <c r="Q6512" t="s">
        <v>1208</v>
      </c>
      <c r="R6512">
        <v>0</v>
      </c>
      <c r="S6512">
        <v>140.82</v>
      </c>
      <c r="T6512" t="s">
        <v>21665</v>
      </c>
    </row>
    <row r="6513" spans="1:20" x14ac:dyDescent="0.25">
      <c r="A6513" s="1" t="str">
        <f>HYPERLINK("https://vegkart.atlas.vegvesen.no/#/@169501.3,6595264.2,18/hva:hva%5B0%5D%5Bfilter%5D%5B0%5D%5Boperator%5D=%21%3D&amp;hva%5B0%5D%5Bfilter%5D%5B0%5D%5Btype_id%5D=5897&amp;hva%5B0%5D%5Bfilter%5D%5B0%5D%5Bverdi%5D=&amp;hva%5B0%5D%5Bid%5D=47/når:2018-11-30", "Vegkart")</f>
        <v>Vegkart</v>
      </c>
      <c r="B6513">
        <v>912793452</v>
      </c>
      <c r="C6513">
        <v>47</v>
      </c>
      <c r="D6513" t="s">
        <v>16854</v>
      </c>
      <c r="E6513">
        <v>5897</v>
      </c>
      <c r="F6513" t="s">
        <v>23479</v>
      </c>
      <c r="G6513">
        <v>1</v>
      </c>
      <c r="H6513" t="s">
        <v>21658</v>
      </c>
      <c r="J6513" t="s">
        <v>21659</v>
      </c>
      <c r="K6513" t="s">
        <v>197</v>
      </c>
      <c r="L6513" t="s">
        <v>113</v>
      </c>
      <c r="M6513" t="s">
        <v>2618</v>
      </c>
      <c r="N6513" t="s">
        <v>21666</v>
      </c>
      <c r="O6513" t="s">
        <v>21667</v>
      </c>
      <c r="P6513" s="2" t="s">
        <v>37</v>
      </c>
      <c r="Q6513" t="s">
        <v>1208</v>
      </c>
      <c r="R6513">
        <v>0</v>
      </c>
      <c r="S6513">
        <v>151.41999999999999</v>
      </c>
      <c r="T6513" t="s">
        <v>21668</v>
      </c>
    </row>
    <row r="6514" spans="1:20" x14ac:dyDescent="0.25">
      <c r="A6514" s="1" t="str">
        <f>HYPERLINK("https://vegkart.atlas.vegvesen.no/#/@169385.0,6595458.3,18/hva:hva%5B0%5D%5Bfilter%5D%5B0%5D%5Boperator%5D=%21%3D&amp;hva%5B0%5D%5Bfilter%5D%5B0%5D%5Btype_id%5D=5897&amp;hva%5B0%5D%5Bfilter%5D%5B0%5D%5Bverdi%5D=&amp;hva%5B0%5D%5Bid%5D=47/når:2018-11-30", "Vegkart")</f>
        <v>Vegkart</v>
      </c>
      <c r="B6514">
        <v>912793454</v>
      </c>
      <c r="C6514">
        <v>47</v>
      </c>
      <c r="D6514" t="s">
        <v>16854</v>
      </c>
      <c r="E6514">
        <v>5897</v>
      </c>
      <c r="F6514" t="s">
        <v>23479</v>
      </c>
      <c r="G6514">
        <v>1</v>
      </c>
      <c r="H6514" t="s">
        <v>21658</v>
      </c>
      <c r="J6514" t="s">
        <v>21659</v>
      </c>
      <c r="K6514" t="s">
        <v>197</v>
      </c>
      <c r="L6514" t="s">
        <v>113</v>
      </c>
      <c r="M6514" t="s">
        <v>2618</v>
      </c>
      <c r="N6514" t="s">
        <v>21669</v>
      </c>
      <c r="O6514" t="s">
        <v>21670</v>
      </c>
      <c r="P6514" s="2" t="s">
        <v>37</v>
      </c>
      <c r="Q6514" t="s">
        <v>1208</v>
      </c>
      <c r="R6514">
        <v>0</v>
      </c>
      <c r="S6514">
        <v>151.72</v>
      </c>
      <c r="T6514" t="s">
        <v>21671</v>
      </c>
    </row>
    <row r="6515" spans="1:20" x14ac:dyDescent="0.25">
      <c r="A6515" s="1" t="str">
        <f>HYPERLINK("https://vegkart.atlas.vegvesen.no/#/@170128.5,6593869.2,18/hva:hva%5B0%5D%5Bfilter%5D%5B0%5D%5Boperator%5D=%21%3D&amp;hva%5B0%5D%5Bfilter%5D%5B0%5D%5Btype_id%5D=5897&amp;hva%5B0%5D%5Bfilter%5D%5B0%5D%5Bverdi%5D=&amp;hva%5B0%5D%5Bid%5D=47/når:2018-11-30", "Vegkart")</f>
        <v>Vegkart</v>
      </c>
      <c r="B6515">
        <v>912793456</v>
      </c>
      <c r="C6515">
        <v>47</v>
      </c>
      <c r="D6515" t="s">
        <v>16854</v>
      </c>
      <c r="E6515">
        <v>5897</v>
      </c>
      <c r="F6515" t="s">
        <v>23479</v>
      </c>
      <c r="G6515">
        <v>1</v>
      </c>
      <c r="H6515" t="s">
        <v>21658</v>
      </c>
      <c r="J6515" t="s">
        <v>21659</v>
      </c>
      <c r="K6515" t="s">
        <v>197</v>
      </c>
      <c r="L6515" t="s">
        <v>113</v>
      </c>
      <c r="M6515" t="s">
        <v>2618</v>
      </c>
      <c r="N6515" t="s">
        <v>21672</v>
      </c>
      <c r="O6515" t="s">
        <v>21673</v>
      </c>
      <c r="P6515" s="2" t="s">
        <v>37</v>
      </c>
      <c r="Q6515" t="s">
        <v>1208</v>
      </c>
      <c r="R6515">
        <v>0</v>
      </c>
      <c r="S6515">
        <v>143.88999999999999</v>
      </c>
      <c r="T6515" t="s">
        <v>21674</v>
      </c>
    </row>
    <row r="6516" spans="1:20" x14ac:dyDescent="0.25">
      <c r="A6516" s="1" t="str">
        <f>HYPERLINK("https://vegkart.atlas.vegvesen.no/#/@169651.8,6594889.4,18/hva:hva%5B0%5D%5Bfilter%5D%5B0%5D%5Boperator%5D=%21%3D&amp;hva%5B0%5D%5Bfilter%5D%5B0%5D%5Btype_id%5D=5897&amp;hva%5B0%5D%5Bfilter%5D%5B0%5D%5Bverdi%5D=&amp;hva%5B0%5D%5Bid%5D=47/når:2018-11-30", "Vegkart")</f>
        <v>Vegkart</v>
      </c>
      <c r="B6516">
        <v>912793457</v>
      </c>
      <c r="C6516">
        <v>47</v>
      </c>
      <c r="D6516" t="s">
        <v>16854</v>
      </c>
      <c r="E6516">
        <v>5897</v>
      </c>
      <c r="F6516" t="s">
        <v>23479</v>
      </c>
      <c r="G6516">
        <v>1</v>
      </c>
      <c r="H6516" t="s">
        <v>21658</v>
      </c>
      <c r="J6516" t="s">
        <v>21659</v>
      </c>
      <c r="K6516" t="s">
        <v>197</v>
      </c>
      <c r="L6516" t="s">
        <v>113</v>
      </c>
      <c r="M6516" t="s">
        <v>2618</v>
      </c>
      <c r="N6516" t="s">
        <v>21675</v>
      </c>
      <c r="O6516" t="s">
        <v>21676</v>
      </c>
      <c r="P6516" s="2" t="s">
        <v>37</v>
      </c>
      <c r="Q6516" t="s">
        <v>1208</v>
      </c>
      <c r="R6516">
        <v>0</v>
      </c>
      <c r="S6516">
        <v>146.02000000000001</v>
      </c>
      <c r="T6516" t="s">
        <v>21677</v>
      </c>
    </row>
    <row r="6517" spans="1:20" x14ac:dyDescent="0.25">
      <c r="A6517" s="1" t="str">
        <f>HYPERLINK("https://vegkart.atlas.vegvesen.no/#/@171038.7,6592012.6,18/hva:hva%5B0%5D%5Bfilter%5D%5B0%5D%5Boperator%5D=%21%3D&amp;hva%5B0%5D%5Bfilter%5D%5B0%5D%5Btype_id%5D=5897&amp;hva%5B0%5D%5Bfilter%5D%5B0%5D%5Bverdi%5D=&amp;hva%5B0%5D%5Bid%5D=47/når:2018-11-30", "Vegkart")</f>
        <v>Vegkart</v>
      </c>
      <c r="B6517">
        <v>912793458</v>
      </c>
      <c r="C6517">
        <v>47</v>
      </c>
      <c r="D6517" t="s">
        <v>16854</v>
      </c>
      <c r="E6517">
        <v>5897</v>
      </c>
      <c r="F6517" t="s">
        <v>23479</v>
      </c>
      <c r="G6517">
        <v>1</v>
      </c>
      <c r="H6517" t="s">
        <v>21658</v>
      </c>
      <c r="J6517" t="s">
        <v>21659</v>
      </c>
      <c r="K6517" t="s">
        <v>197</v>
      </c>
      <c r="L6517" t="s">
        <v>113</v>
      </c>
      <c r="M6517" t="s">
        <v>2618</v>
      </c>
      <c r="N6517" t="s">
        <v>21678</v>
      </c>
      <c r="O6517" t="s">
        <v>21679</v>
      </c>
      <c r="P6517" s="2" t="s">
        <v>37</v>
      </c>
      <c r="Q6517" t="s">
        <v>1208</v>
      </c>
      <c r="R6517">
        <v>0</v>
      </c>
      <c r="S6517">
        <v>135.25</v>
      </c>
      <c r="T6517" t="s">
        <v>21680</v>
      </c>
    </row>
    <row r="6518" spans="1:20" x14ac:dyDescent="0.25">
      <c r="A6518" s="1" t="str">
        <f>HYPERLINK("https://vegkart.atlas.vegvesen.no/#/@172371.9,6589679.0,18/hva:hva%5B0%5D%5Bfilter%5D%5B0%5D%5Boperator%5D=%21%3D&amp;hva%5B0%5D%5Bfilter%5D%5B0%5D%5Btype_id%5D=5897&amp;hva%5B0%5D%5Bfilter%5D%5B0%5D%5Bverdi%5D=&amp;hva%5B0%5D%5Bid%5D=47/når:2018-11-30", "Vegkart")</f>
        <v>Vegkart</v>
      </c>
      <c r="B6518">
        <v>912793459</v>
      </c>
      <c r="C6518">
        <v>47</v>
      </c>
      <c r="D6518" t="s">
        <v>16854</v>
      </c>
      <c r="E6518">
        <v>5897</v>
      </c>
      <c r="F6518" t="s">
        <v>23479</v>
      </c>
      <c r="G6518">
        <v>1</v>
      </c>
      <c r="H6518" t="s">
        <v>21658</v>
      </c>
      <c r="J6518" t="s">
        <v>21659</v>
      </c>
      <c r="K6518" t="s">
        <v>197</v>
      </c>
      <c r="L6518" t="s">
        <v>113</v>
      </c>
      <c r="M6518" t="s">
        <v>2618</v>
      </c>
      <c r="N6518" t="s">
        <v>21681</v>
      </c>
      <c r="O6518" t="s">
        <v>21682</v>
      </c>
      <c r="P6518" s="2" t="s">
        <v>37</v>
      </c>
      <c r="Q6518" t="s">
        <v>1208</v>
      </c>
      <c r="R6518">
        <v>0</v>
      </c>
      <c r="S6518">
        <v>153.51</v>
      </c>
      <c r="T6518" t="s">
        <v>21683</v>
      </c>
    </row>
    <row r="6519" spans="1:20" x14ac:dyDescent="0.25">
      <c r="A6519" s="1" t="str">
        <f>HYPERLINK("https://vegkart.atlas.vegvesen.no/#/@170194.8,6593770.7,18/hva:hva%5B0%5D%5Bfilter%5D%5B0%5D%5Boperator%5D=%21%3D&amp;hva%5B0%5D%5Bfilter%5D%5B0%5D%5Btype_id%5D=5897&amp;hva%5B0%5D%5Bfilter%5D%5B0%5D%5Bverdi%5D=&amp;hva%5B0%5D%5Bid%5D=47/når:2018-11-30", "Vegkart")</f>
        <v>Vegkart</v>
      </c>
      <c r="B6519">
        <v>912793462</v>
      </c>
      <c r="C6519">
        <v>47</v>
      </c>
      <c r="D6519" t="s">
        <v>16854</v>
      </c>
      <c r="E6519">
        <v>5897</v>
      </c>
      <c r="F6519" t="s">
        <v>23479</v>
      </c>
      <c r="G6519">
        <v>1</v>
      </c>
      <c r="H6519" t="s">
        <v>21658</v>
      </c>
      <c r="J6519" t="s">
        <v>21659</v>
      </c>
      <c r="K6519" t="s">
        <v>197</v>
      </c>
      <c r="L6519" t="s">
        <v>113</v>
      </c>
      <c r="M6519" t="s">
        <v>2618</v>
      </c>
      <c r="N6519" t="s">
        <v>21684</v>
      </c>
      <c r="O6519" t="s">
        <v>21685</v>
      </c>
      <c r="P6519" s="2" t="s">
        <v>37</v>
      </c>
      <c r="Q6519" t="s">
        <v>1208</v>
      </c>
      <c r="R6519">
        <v>0</v>
      </c>
      <c r="S6519">
        <v>147.19999999999999</v>
      </c>
      <c r="T6519" t="s">
        <v>21686</v>
      </c>
    </row>
    <row r="6520" spans="1:20" x14ac:dyDescent="0.25">
      <c r="A6520" s="1" t="str">
        <f>HYPERLINK("https://vegkart.atlas.vegvesen.no/#/@170789.2,6593103.4,18/hva:hva%5B0%5D%5Bfilter%5D%5B0%5D%5Boperator%5D=%21%3D&amp;hva%5B0%5D%5Bfilter%5D%5B0%5D%5Btype_id%5D=5897&amp;hva%5B0%5D%5Bfilter%5D%5B0%5D%5Bverdi%5D=&amp;hva%5B0%5D%5Bid%5D=47/når:2018-11-30", "Vegkart")</f>
        <v>Vegkart</v>
      </c>
      <c r="B6520">
        <v>912793463</v>
      </c>
      <c r="C6520">
        <v>47</v>
      </c>
      <c r="D6520" t="s">
        <v>16854</v>
      </c>
      <c r="E6520">
        <v>5897</v>
      </c>
      <c r="F6520" t="s">
        <v>23479</v>
      </c>
      <c r="G6520">
        <v>1</v>
      </c>
      <c r="H6520" t="s">
        <v>21658</v>
      </c>
      <c r="J6520" t="s">
        <v>21659</v>
      </c>
      <c r="K6520" t="s">
        <v>197</v>
      </c>
      <c r="L6520" t="s">
        <v>113</v>
      </c>
      <c r="M6520" t="s">
        <v>2618</v>
      </c>
      <c r="N6520" t="s">
        <v>21687</v>
      </c>
      <c r="O6520" t="s">
        <v>21688</v>
      </c>
      <c r="P6520" s="2" t="s">
        <v>37</v>
      </c>
      <c r="Q6520" t="s">
        <v>1208</v>
      </c>
      <c r="R6520">
        <v>0</v>
      </c>
      <c r="S6520">
        <v>152.91999999999999</v>
      </c>
      <c r="T6520" t="s">
        <v>21689</v>
      </c>
    </row>
    <row r="6521" spans="1:20" x14ac:dyDescent="0.25">
      <c r="A6521" s="1" t="str">
        <f>HYPERLINK("https://vegkart.atlas.vegvesen.no/#/@171007.0,6591933.3,18/hva:hva%5B0%5D%5Bfilter%5D%5B0%5D%5Boperator%5D=%21%3D&amp;hva%5B0%5D%5Bfilter%5D%5B0%5D%5Btype_id%5D=5897&amp;hva%5B0%5D%5Bfilter%5D%5B0%5D%5Bverdi%5D=&amp;hva%5B0%5D%5Bid%5D=47/når:2018-11-30", "Vegkart")</f>
        <v>Vegkart</v>
      </c>
      <c r="B6521">
        <v>912793467</v>
      </c>
      <c r="C6521">
        <v>47</v>
      </c>
      <c r="D6521" t="s">
        <v>16854</v>
      </c>
      <c r="E6521">
        <v>5897</v>
      </c>
      <c r="F6521" t="s">
        <v>23479</v>
      </c>
      <c r="G6521">
        <v>1</v>
      </c>
      <c r="H6521" t="s">
        <v>21658</v>
      </c>
      <c r="J6521" t="s">
        <v>21659</v>
      </c>
      <c r="K6521" t="s">
        <v>197</v>
      </c>
      <c r="L6521" t="s">
        <v>113</v>
      </c>
      <c r="M6521" t="s">
        <v>2618</v>
      </c>
      <c r="N6521" t="s">
        <v>21690</v>
      </c>
      <c r="O6521" t="s">
        <v>21691</v>
      </c>
      <c r="P6521" s="2" t="s">
        <v>37</v>
      </c>
      <c r="Q6521" t="s">
        <v>1208</v>
      </c>
      <c r="R6521">
        <v>0</v>
      </c>
      <c r="S6521">
        <v>158.47999999999999</v>
      </c>
      <c r="T6521" t="s">
        <v>21692</v>
      </c>
    </row>
    <row r="6522" spans="1:20" x14ac:dyDescent="0.25">
      <c r="A6522" s="1" t="str">
        <f>HYPERLINK("https://vegkart.atlas.vegvesen.no/#/@170830.3,6593034.5,18/hva:hva%5B0%5D%5Bfilter%5D%5B0%5D%5Boperator%5D=%21%3D&amp;hva%5B0%5D%5Bfilter%5D%5B0%5D%5Btype_id%5D=5897&amp;hva%5B0%5D%5Bfilter%5D%5B0%5D%5Bverdi%5D=&amp;hva%5B0%5D%5Bid%5D=47/når:2018-11-30", "Vegkart")</f>
        <v>Vegkart</v>
      </c>
      <c r="B6522">
        <v>912793468</v>
      </c>
      <c r="C6522">
        <v>47</v>
      </c>
      <c r="D6522" t="s">
        <v>16854</v>
      </c>
      <c r="E6522">
        <v>5897</v>
      </c>
      <c r="F6522" t="s">
        <v>23479</v>
      </c>
      <c r="G6522">
        <v>1</v>
      </c>
      <c r="H6522" t="s">
        <v>21658</v>
      </c>
      <c r="J6522" t="s">
        <v>21659</v>
      </c>
      <c r="K6522" t="s">
        <v>197</v>
      </c>
      <c r="L6522" t="s">
        <v>113</v>
      </c>
      <c r="M6522" t="s">
        <v>2618</v>
      </c>
      <c r="N6522" t="s">
        <v>21693</v>
      </c>
      <c r="O6522" t="s">
        <v>21694</v>
      </c>
      <c r="P6522" s="2" t="s">
        <v>165</v>
      </c>
      <c r="Q6522" t="s">
        <v>641</v>
      </c>
      <c r="R6522">
        <v>0</v>
      </c>
      <c r="S6522">
        <v>150.75</v>
      </c>
      <c r="T6522" t="s">
        <v>167</v>
      </c>
    </row>
    <row r="6523" spans="1:20" x14ac:dyDescent="0.25">
      <c r="A6523" s="1" t="str">
        <f>HYPERLINK("https://vegkart.atlas.vegvesen.no/#/@171794.8,6590828.6,18/hva:hva%5B0%5D%5Bfilter%5D%5B0%5D%5Boperator%5D=%21%3D&amp;hva%5B0%5D%5Bfilter%5D%5B0%5D%5Btype_id%5D=5897&amp;hva%5B0%5D%5Bfilter%5D%5B0%5D%5Bverdi%5D=&amp;hva%5B0%5D%5Bid%5D=47/når:2018-11-30", "Vegkart")</f>
        <v>Vegkart</v>
      </c>
      <c r="B6523">
        <v>912793471</v>
      </c>
      <c r="C6523">
        <v>47</v>
      </c>
      <c r="D6523" t="s">
        <v>16854</v>
      </c>
      <c r="E6523">
        <v>5897</v>
      </c>
      <c r="F6523" t="s">
        <v>23479</v>
      </c>
      <c r="G6523">
        <v>1</v>
      </c>
      <c r="H6523" t="s">
        <v>21658</v>
      </c>
      <c r="J6523" t="s">
        <v>21659</v>
      </c>
      <c r="K6523" t="s">
        <v>197</v>
      </c>
      <c r="L6523" t="s">
        <v>113</v>
      </c>
      <c r="M6523" t="s">
        <v>2618</v>
      </c>
      <c r="N6523" t="s">
        <v>21695</v>
      </c>
      <c r="O6523" t="s">
        <v>21696</v>
      </c>
      <c r="P6523" s="2" t="s">
        <v>37</v>
      </c>
      <c r="Q6523" t="s">
        <v>1208</v>
      </c>
      <c r="R6523">
        <v>0</v>
      </c>
      <c r="S6523">
        <v>79.8</v>
      </c>
      <c r="T6523" t="s">
        <v>21697</v>
      </c>
    </row>
    <row r="6524" spans="1:20" x14ac:dyDescent="0.25">
      <c r="A6524" s="1" t="str">
        <f>HYPERLINK("https://vegkart.atlas.vegvesen.no/#/@213752.7,6595542.6,18/hva:hva%5B0%5D%5Bfilter%5D%5B0%5D%5Boperator%5D=%21%3D&amp;hva%5B0%5D%5Bfilter%5D%5B0%5D%5Btype_id%5D=5897&amp;hva%5B0%5D%5Bfilter%5D%5B0%5D%5Bverdi%5D=&amp;hva%5B0%5D%5Bid%5D=47/når:2018-06-29", "Vegkart")</f>
        <v>Vegkart</v>
      </c>
      <c r="B6524">
        <v>913573534</v>
      </c>
      <c r="C6524">
        <v>47</v>
      </c>
      <c r="D6524" t="s">
        <v>16854</v>
      </c>
      <c r="E6524">
        <v>5897</v>
      </c>
      <c r="F6524" t="s">
        <v>23479</v>
      </c>
      <c r="G6524">
        <v>1</v>
      </c>
      <c r="H6524" t="s">
        <v>21698</v>
      </c>
      <c r="J6524" t="s">
        <v>21659</v>
      </c>
      <c r="K6524" t="s">
        <v>81</v>
      </c>
      <c r="L6524" t="s">
        <v>33</v>
      </c>
      <c r="M6524" t="s">
        <v>197</v>
      </c>
      <c r="N6524" t="s">
        <v>21699</v>
      </c>
      <c r="O6524" t="s">
        <v>21700</v>
      </c>
      <c r="P6524" s="2" t="s">
        <v>26</v>
      </c>
      <c r="Q6524" t="s">
        <v>50</v>
      </c>
      <c r="R6524">
        <v>68.680000000000007</v>
      </c>
      <c r="S6524">
        <v>69.180000000000007</v>
      </c>
      <c r="T6524" t="s">
        <v>21701</v>
      </c>
    </row>
    <row r="6525" spans="1:20" x14ac:dyDescent="0.25">
      <c r="A6525" s="1" t="str">
        <f>HYPERLINK("https://vegkart.atlas.vegvesen.no/#/@216611.1,6568084.9,18/hva:hva%5B0%5D%5Bfilter%5D%5B0%5D%5Boperator%5D=%21%3D&amp;hva%5B0%5D%5Bfilter%5D%5B0%5D%5Btype_id%5D=5897&amp;hva%5B0%5D%5Bfilter%5D%5B0%5D%5Bverdi%5D=&amp;hva%5B0%5D%5Bid%5D=47/når:2023-03-28", "Vegkart")</f>
        <v>Vegkart</v>
      </c>
      <c r="B6525">
        <v>913932834</v>
      </c>
      <c r="C6525">
        <v>47</v>
      </c>
      <c r="D6525" t="s">
        <v>16854</v>
      </c>
      <c r="E6525">
        <v>5897</v>
      </c>
      <c r="F6525" t="s">
        <v>23479</v>
      </c>
      <c r="G6525">
        <v>3</v>
      </c>
      <c r="H6525" t="s">
        <v>19070</v>
      </c>
      <c r="J6525" t="s">
        <v>21659</v>
      </c>
      <c r="K6525" t="s">
        <v>81</v>
      </c>
      <c r="L6525" t="s">
        <v>33</v>
      </c>
      <c r="M6525" t="s">
        <v>4430</v>
      </c>
      <c r="N6525" t="s">
        <v>21702</v>
      </c>
      <c r="O6525" t="s">
        <v>21703</v>
      </c>
      <c r="P6525" s="2" t="s">
        <v>165</v>
      </c>
      <c r="Q6525" t="s">
        <v>166</v>
      </c>
      <c r="R6525">
        <v>0</v>
      </c>
      <c r="S6525">
        <v>112.71</v>
      </c>
      <c r="T6525" t="s">
        <v>167</v>
      </c>
    </row>
    <row r="6526" spans="1:20" x14ac:dyDescent="0.25">
      <c r="A6526" s="1" t="str">
        <f>HYPERLINK("https://vegkart.atlas.vegvesen.no/#/@216626.1,6568029.8,18/hva:hva%5B0%5D%5Bfilter%5D%5B0%5D%5Boperator%5D=%21%3D&amp;hva%5B0%5D%5Bfilter%5D%5B0%5D%5Btype_id%5D=5897&amp;hva%5B0%5D%5Bfilter%5D%5B0%5D%5Bverdi%5D=&amp;hva%5B0%5D%5Bid%5D=47/når:2023-03-28", "Vegkart")</f>
        <v>Vegkart</v>
      </c>
      <c r="B6526">
        <v>913932835</v>
      </c>
      <c r="C6526">
        <v>47</v>
      </c>
      <c r="D6526" t="s">
        <v>16854</v>
      </c>
      <c r="E6526">
        <v>5897</v>
      </c>
      <c r="F6526" t="s">
        <v>23479</v>
      </c>
      <c r="G6526">
        <v>3</v>
      </c>
      <c r="H6526" t="s">
        <v>19070</v>
      </c>
      <c r="J6526" t="s">
        <v>21659</v>
      </c>
      <c r="K6526" t="s">
        <v>81</v>
      </c>
      <c r="L6526" t="s">
        <v>33</v>
      </c>
      <c r="M6526" t="s">
        <v>4430</v>
      </c>
      <c r="N6526" t="s">
        <v>21704</v>
      </c>
      <c r="O6526" t="s">
        <v>21705</v>
      </c>
      <c r="P6526" s="2" t="s">
        <v>165</v>
      </c>
      <c r="Q6526" t="s">
        <v>166</v>
      </c>
      <c r="R6526">
        <v>0</v>
      </c>
      <c r="S6526">
        <v>115.42</v>
      </c>
      <c r="T6526" t="s">
        <v>167</v>
      </c>
    </row>
    <row r="6527" spans="1:20" x14ac:dyDescent="0.25">
      <c r="A6527" s="1" t="str">
        <f>HYPERLINK("https://vegkart.atlas.vegvesen.no/#/@267344.6,7035137.6,18/hva:hva%5B0%5D%5Bfilter%5D%5B0%5D%5Boperator%5D=%21%3D&amp;hva%5B0%5D%5Bfilter%5D%5B0%5D%5Btype_id%5D=5897&amp;hva%5B0%5D%5Bfilter%5D%5B0%5D%5Bverdi%5D=&amp;hva%5B0%5D%5Bid%5D=47/når:2019-01-09", "Vegkart")</f>
        <v>Vegkart</v>
      </c>
      <c r="B6527">
        <v>914661224</v>
      </c>
      <c r="C6527">
        <v>47</v>
      </c>
      <c r="D6527" t="s">
        <v>16854</v>
      </c>
      <c r="E6527">
        <v>5897</v>
      </c>
      <c r="F6527" t="s">
        <v>23479</v>
      </c>
      <c r="G6527">
        <v>1</v>
      </c>
      <c r="H6527" t="s">
        <v>21706</v>
      </c>
      <c r="J6527" t="s">
        <v>21659</v>
      </c>
      <c r="K6527" t="s">
        <v>192</v>
      </c>
      <c r="L6527" t="s">
        <v>22</v>
      </c>
      <c r="M6527" t="s">
        <v>13149</v>
      </c>
      <c r="N6527" t="s">
        <v>21707</v>
      </c>
      <c r="O6527" t="s">
        <v>21708</v>
      </c>
      <c r="P6527" s="2" t="s">
        <v>26</v>
      </c>
      <c r="Q6527" t="s">
        <v>50</v>
      </c>
      <c r="R6527">
        <v>59.28</v>
      </c>
      <c r="S6527">
        <v>59.28</v>
      </c>
      <c r="T6527" t="s">
        <v>21709</v>
      </c>
    </row>
    <row r="6528" spans="1:20" x14ac:dyDescent="0.25">
      <c r="A6528" s="1" t="str">
        <f>HYPERLINK("https://vegkart.atlas.vegvesen.no/#/@267350.9,7035136.2,18/hva:hva%5B0%5D%5Bfilter%5D%5B0%5D%5Boperator%5D=%21%3D&amp;hva%5B0%5D%5Bfilter%5D%5B0%5D%5Btype_id%5D=5897&amp;hva%5B0%5D%5Bfilter%5D%5B0%5D%5Bverdi%5D=&amp;hva%5B0%5D%5Bid%5D=47/når:2019-01-09", "Vegkart")</f>
        <v>Vegkart</v>
      </c>
      <c r="B6528">
        <v>914661225</v>
      </c>
      <c r="C6528">
        <v>47</v>
      </c>
      <c r="D6528" t="s">
        <v>16854</v>
      </c>
      <c r="E6528">
        <v>5897</v>
      </c>
      <c r="F6528" t="s">
        <v>23479</v>
      </c>
      <c r="G6528">
        <v>1</v>
      </c>
      <c r="H6528" t="s">
        <v>21706</v>
      </c>
      <c r="J6528" t="s">
        <v>21659</v>
      </c>
      <c r="K6528" t="s">
        <v>192</v>
      </c>
      <c r="L6528" t="s">
        <v>22</v>
      </c>
      <c r="M6528" t="s">
        <v>13149</v>
      </c>
      <c r="N6528" t="s">
        <v>21707</v>
      </c>
      <c r="O6528" t="s">
        <v>21710</v>
      </c>
      <c r="P6528" s="2" t="s">
        <v>26</v>
      </c>
      <c r="Q6528" t="s">
        <v>50</v>
      </c>
      <c r="R6528">
        <v>58.9</v>
      </c>
      <c r="S6528">
        <v>58.9</v>
      </c>
      <c r="T6528" t="s">
        <v>21711</v>
      </c>
    </row>
    <row r="6529" spans="1:20" x14ac:dyDescent="0.25">
      <c r="A6529" s="1" t="str">
        <f>HYPERLINK("https://vegkart.atlas.vegvesen.no/#/@-39331.3,6680355.2,18/hva:hva%5B0%5D%5Bfilter%5D%5B0%5D%5Boperator%5D=%21%3D&amp;hva%5B0%5D%5Bfilter%5D%5B0%5D%5Btype_id%5D=5897&amp;hva%5B0%5D%5Bfilter%5D%5B0%5D%5Bverdi%5D=&amp;hva%5B0%5D%5Bid%5D=47/når:2019-01-23", "Vegkart")</f>
        <v>Vegkart</v>
      </c>
      <c r="B6529">
        <v>915346420</v>
      </c>
      <c r="C6529">
        <v>47</v>
      </c>
      <c r="D6529" t="s">
        <v>16854</v>
      </c>
      <c r="E6529">
        <v>5897</v>
      </c>
      <c r="F6529" t="s">
        <v>23479</v>
      </c>
      <c r="G6529">
        <v>1</v>
      </c>
      <c r="H6529" t="s">
        <v>7075</v>
      </c>
      <c r="J6529" t="s">
        <v>21659</v>
      </c>
      <c r="K6529" t="s">
        <v>21</v>
      </c>
      <c r="L6529" t="s">
        <v>33</v>
      </c>
      <c r="M6529" t="s">
        <v>7076</v>
      </c>
      <c r="N6529" t="s">
        <v>21712</v>
      </c>
      <c r="O6529" t="s">
        <v>21713</v>
      </c>
      <c r="P6529" s="2" t="s">
        <v>165</v>
      </c>
      <c r="Q6529" t="s">
        <v>641</v>
      </c>
      <c r="R6529">
        <v>0</v>
      </c>
      <c r="S6529">
        <v>134.27000000000001</v>
      </c>
      <c r="T6529" t="s">
        <v>167</v>
      </c>
    </row>
    <row r="6530" spans="1:20" x14ac:dyDescent="0.25">
      <c r="A6530" s="1" t="str">
        <f>HYPERLINK("https://vegkart.atlas.vegvesen.no/#/@238696.6,6584842.6,18/hva:hva%5B0%5D%5Bfilter%5D%5B0%5D%5Boperator%5D=%21%3D&amp;hva%5B0%5D%5Bfilter%5D%5B0%5D%5Btype_id%5D=5897&amp;hva%5B0%5D%5Bfilter%5D%5B0%5D%5Bverdi%5D=&amp;hva%5B0%5D%5Bid%5D=47/når:2017-12-07", "Vegkart")</f>
        <v>Vegkart</v>
      </c>
      <c r="B6530">
        <v>915657871</v>
      </c>
      <c r="C6530">
        <v>47</v>
      </c>
      <c r="D6530" t="s">
        <v>16854</v>
      </c>
      <c r="E6530">
        <v>5897</v>
      </c>
      <c r="F6530" t="s">
        <v>23479</v>
      </c>
      <c r="G6530">
        <v>1</v>
      </c>
      <c r="H6530" t="s">
        <v>21714</v>
      </c>
      <c r="J6530" t="s">
        <v>21659</v>
      </c>
      <c r="K6530" t="s">
        <v>81</v>
      </c>
      <c r="L6530" t="s">
        <v>33</v>
      </c>
      <c r="M6530" t="s">
        <v>4461</v>
      </c>
      <c r="N6530" t="s">
        <v>21715</v>
      </c>
      <c r="O6530" t="s">
        <v>21716</v>
      </c>
      <c r="P6530" s="2" t="s">
        <v>37</v>
      </c>
      <c r="Q6530" t="s">
        <v>1208</v>
      </c>
      <c r="R6530">
        <v>0</v>
      </c>
      <c r="S6530">
        <v>105.13</v>
      </c>
      <c r="T6530" t="s">
        <v>21717</v>
      </c>
    </row>
    <row r="6531" spans="1:20" x14ac:dyDescent="0.25">
      <c r="A6531" s="1" t="str">
        <f>HYPERLINK("https://vegkart.atlas.vegvesen.no/#/@238622.3,6584697.3,18/hva:hva%5B0%5D%5Bfilter%5D%5B0%5D%5Boperator%5D=%21%3D&amp;hva%5B0%5D%5Bfilter%5D%5B0%5D%5Btype_id%5D=5897&amp;hva%5B0%5D%5Bfilter%5D%5B0%5D%5Bverdi%5D=&amp;hva%5B0%5D%5Bid%5D=47/når:2017-12-07", "Vegkart")</f>
        <v>Vegkart</v>
      </c>
      <c r="B6531">
        <v>915657872</v>
      </c>
      <c r="C6531">
        <v>47</v>
      </c>
      <c r="D6531" t="s">
        <v>16854</v>
      </c>
      <c r="E6531">
        <v>5897</v>
      </c>
      <c r="F6531" t="s">
        <v>23479</v>
      </c>
      <c r="G6531">
        <v>1</v>
      </c>
      <c r="H6531" t="s">
        <v>21714</v>
      </c>
      <c r="J6531" t="s">
        <v>21659</v>
      </c>
      <c r="K6531" t="s">
        <v>81</v>
      </c>
      <c r="L6531" t="s">
        <v>33</v>
      </c>
      <c r="M6531" t="s">
        <v>4461</v>
      </c>
      <c r="N6531" t="s">
        <v>21718</v>
      </c>
      <c r="O6531" t="s">
        <v>21719</v>
      </c>
      <c r="P6531" s="2" t="s">
        <v>37</v>
      </c>
      <c r="Q6531" t="s">
        <v>1208</v>
      </c>
      <c r="R6531">
        <v>0</v>
      </c>
      <c r="S6531">
        <v>121.8</v>
      </c>
      <c r="T6531" t="s">
        <v>21720</v>
      </c>
    </row>
    <row r="6532" spans="1:20" x14ac:dyDescent="0.25">
      <c r="A6532" s="1" t="str">
        <f>HYPERLINK("https://vegkart.atlas.vegvesen.no/#/@238518.0,6584357.6,18/hva:hva%5B0%5D%5Bfilter%5D%5B0%5D%5Boperator%5D=%21%3D&amp;hva%5B0%5D%5Bfilter%5D%5B0%5D%5Btype_id%5D=5897&amp;hva%5B0%5D%5Bfilter%5D%5B0%5D%5Bverdi%5D=&amp;hva%5B0%5D%5Bid%5D=47/når:2017-12-07", "Vegkart")</f>
        <v>Vegkart</v>
      </c>
      <c r="B6532">
        <v>915657873</v>
      </c>
      <c r="C6532">
        <v>47</v>
      </c>
      <c r="D6532" t="s">
        <v>16854</v>
      </c>
      <c r="E6532">
        <v>5897</v>
      </c>
      <c r="F6532" t="s">
        <v>23479</v>
      </c>
      <c r="G6532">
        <v>1</v>
      </c>
      <c r="H6532" t="s">
        <v>21714</v>
      </c>
      <c r="J6532" t="s">
        <v>21659</v>
      </c>
      <c r="K6532" t="s">
        <v>81</v>
      </c>
      <c r="L6532" t="s">
        <v>33</v>
      </c>
      <c r="M6532" t="s">
        <v>4461</v>
      </c>
      <c r="N6532" t="s">
        <v>21721</v>
      </c>
      <c r="O6532" t="s">
        <v>21722</v>
      </c>
      <c r="P6532" s="2" t="s">
        <v>37</v>
      </c>
      <c r="Q6532" t="s">
        <v>1208</v>
      </c>
      <c r="R6532">
        <v>0</v>
      </c>
      <c r="S6532">
        <v>128.68</v>
      </c>
      <c r="T6532" t="s">
        <v>21723</v>
      </c>
    </row>
    <row r="6533" spans="1:20" x14ac:dyDescent="0.25">
      <c r="A6533" s="1" t="str">
        <f>HYPERLINK("https://vegkart.atlas.vegvesen.no/#/@238505.8,6584308.2,18/hva:hva%5B0%5D%5Bfilter%5D%5B0%5D%5Boperator%5D=%21%3D&amp;hva%5B0%5D%5Bfilter%5D%5B0%5D%5Btype_id%5D=5897&amp;hva%5B0%5D%5Bfilter%5D%5B0%5D%5Bverdi%5D=&amp;hva%5B0%5D%5Bid%5D=47/når:2017-12-07", "Vegkart")</f>
        <v>Vegkart</v>
      </c>
      <c r="B6533">
        <v>915657874</v>
      </c>
      <c r="C6533">
        <v>47</v>
      </c>
      <c r="D6533" t="s">
        <v>16854</v>
      </c>
      <c r="E6533">
        <v>5897</v>
      </c>
      <c r="F6533" t="s">
        <v>23479</v>
      </c>
      <c r="G6533">
        <v>1</v>
      </c>
      <c r="H6533" t="s">
        <v>21714</v>
      </c>
      <c r="J6533" t="s">
        <v>21659</v>
      </c>
      <c r="K6533" t="s">
        <v>81</v>
      </c>
      <c r="L6533" t="s">
        <v>33</v>
      </c>
      <c r="M6533" t="s">
        <v>4461</v>
      </c>
      <c r="N6533" t="s">
        <v>21724</v>
      </c>
      <c r="O6533" t="s">
        <v>21725</v>
      </c>
      <c r="P6533" s="2" t="s">
        <v>37</v>
      </c>
      <c r="Q6533" t="s">
        <v>1208</v>
      </c>
      <c r="R6533">
        <v>0</v>
      </c>
      <c r="S6533">
        <v>129.63</v>
      </c>
      <c r="T6533" t="s">
        <v>21726</v>
      </c>
    </row>
    <row r="6534" spans="1:20" x14ac:dyDescent="0.25">
      <c r="A6534" s="1" t="str">
        <f>HYPERLINK("https://vegkart.atlas.vegvesen.no/#/@238963.5,6585212.2,18/hva:hva%5B0%5D%5Bfilter%5D%5B0%5D%5Boperator%5D=%21%3D&amp;hva%5B0%5D%5Bfilter%5D%5B0%5D%5Btype_id%5D=5897&amp;hva%5B0%5D%5Bfilter%5D%5B0%5D%5Bverdi%5D=&amp;hva%5B0%5D%5Bid%5D=47/når:2017-12-07", "Vegkart")</f>
        <v>Vegkart</v>
      </c>
      <c r="B6534">
        <v>915657875</v>
      </c>
      <c r="C6534">
        <v>47</v>
      </c>
      <c r="D6534" t="s">
        <v>16854</v>
      </c>
      <c r="E6534">
        <v>5897</v>
      </c>
      <c r="F6534" t="s">
        <v>23479</v>
      </c>
      <c r="G6534">
        <v>1</v>
      </c>
      <c r="H6534" t="s">
        <v>21714</v>
      </c>
      <c r="J6534" t="s">
        <v>21659</v>
      </c>
      <c r="K6534" t="s">
        <v>81</v>
      </c>
      <c r="L6534" t="s">
        <v>33</v>
      </c>
      <c r="M6534" t="s">
        <v>4461</v>
      </c>
      <c r="N6534" t="s">
        <v>21727</v>
      </c>
      <c r="O6534" t="s">
        <v>21728</v>
      </c>
      <c r="P6534" s="2" t="s">
        <v>37</v>
      </c>
      <c r="Q6534" t="s">
        <v>1208</v>
      </c>
      <c r="R6534">
        <v>0</v>
      </c>
      <c r="S6534">
        <v>138.34</v>
      </c>
      <c r="T6534" t="s">
        <v>21729</v>
      </c>
    </row>
    <row r="6535" spans="1:20" x14ac:dyDescent="0.25">
      <c r="A6535" s="1" t="str">
        <f>HYPERLINK("https://vegkart.atlas.vegvesen.no/#/@278656.2,6653260.6,18/hva:hva%5B0%5D%5Bfilter%5D%5B0%5D%5Boperator%5D=%21%3D&amp;hva%5B0%5D%5Bfilter%5D%5B0%5D%5Btype_id%5D=5897&amp;hva%5B0%5D%5Bfilter%5D%5B0%5D%5Bverdi%5D=&amp;hva%5B0%5D%5Bid%5D=47/når:2019-01-30", "Vegkart")</f>
        <v>Vegkart</v>
      </c>
      <c r="B6535">
        <v>915663369</v>
      </c>
      <c r="C6535">
        <v>47</v>
      </c>
      <c r="D6535" t="s">
        <v>16854</v>
      </c>
      <c r="E6535">
        <v>5897</v>
      </c>
      <c r="F6535" t="s">
        <v>23479</v>
      </c>
      <c r="G6535">
        <v>1</v>
      </c>
      <c r="H6535" t="s">
        <v>21730</v>
      </c>
      <c r="J6535" t="s">
        <v>21659</v>
      </c>
      <c r="K6535" t="s">
        <v>132</v>
      </c>
      <c r="L6535" t="s">
        <v>33</v>
      </c>
      <c r="M6535" t="s">
        <v>21731</v>
      </c>
      <c r="N6535" t="s">
        <v>21732</v>
      </c>
      <c r="O6535" t="s">
        <v>21733</v>
      </c>
      <c r="P6535" s="2" t="s">
        <v>26</v>
      </c>
      <c r="Q6535" t="s">
        <v>50</v>
      </c>
      <c r="R6535">
        <v>47.76</v>
      </c>
      <c r="S6535">
        <v>48.25</v>
      </c>
      <c r="T6535" t="s">
        <v>21734</v>
      </c>
    </row>
    <row r="6536" spans="1:20" x14ac:dyDescent="0.25">
      <c r="A6536" s="1" t="str">
        <f>HYPERLINK("https://vegkart.atlas.vegvesen.no/#/@258385.8,6641719.9,18/hva:hva%5B0%5D%5Bfilter%5D%5B0%5D%5Boperator%5D=%21%3D&amp;hva%5B0%5D%5Bfilter%5D%5B0%5D%5Btype_id%5D=5897&amp;hva%5B0%5D%5Bfilter%5D%5B0%5D%5Bverdi%5D=&amp;hva%5B0%5D%5Bid%5D=47/når:2019-02-05", "Vegkart")</f>
        <v>Vegkart</v>
      </c>
      <c r="B6536">
        <v>915978949</v>
      </c>
      <c r="C6536">
        <v>47</v>
      </c>
      <c r="D6536" t="s">
        <v>16854</v>
      </c>
      <c r="E6536">
        <v>5897</v>
      </c>
      <c r="F6536" t="s">
        <v>23479</v>
      </c>
      <c r="G6536">
        <v>1</v>
      </c>
      <c r="H6536" t="s">
        <v>21735</v>
      </c>
      <c r="J6536" t="s">
        <v>21659</v>
      </c>
      <c r="K6536" t="s">
        <v>132</v>
      </c>
      <c r="L6536" t="s">
        <v>33</v>
      </c>
      <c r="M6536" t="s">
        <v>21736</v>
      </c>
      <c r="N6536" t="s">
        <v>21737</v>
      </c>
      <c r="O6536" t="s">
        <v>21738</v>
      </c>
      <c r="P6536" s="2" t="s">
        <v>26</v>
      </c>
      <c r="Q6536" t="s">
        <v>50</v>
      </c>
      <c r="R6536">
        <v>21.89</v>
      </c>
      <c r="S6536">
        <v>21.89</v>
      </c>
      <c r="T6536" t="s">
        <v>21739</v>
      </c>
    </row>
    <row r="6537" spans="1:20" x14ac:dyDescent="0.25">
      <c r="A6537" s="1" t="str">
        <f>HYPERLINK("https://vegkart.atlas.vegvesen.no/#/@258387.5,6641723.0,18/hva:hva%5B0%5D%5Bfilter%5D%5B0%5D%5Boperator%5D=%21%3D&amp;hva%5B0%5D%5Bfilter%5D%5B0%5D%5Btype_id%5D=5897&amp;hva%5B0%5D%5Bfilter%5D%5B0%5D%5Bverdi%5D=&amp;hva%5B0%5D%5Bid%5D=47/når:2019-02-05", "Vegkart")</f>
        <v>Vegkart</v>
      </c>
      <c r="B6537">
        <v>915978950</v>
      </c>
      <c r="C6537">
        <v>47</v>
      </c>
      <c r="D6537" t="s">
        <v>16854</v>
      </c>
      <c r="E6537">
        <v>5897</v>
      </c>
      <c r="F6537" t="s">
        <v>23479</v>
      </c>
      <c r="G6537">
        <v>1</v>
      </c>
      <c r="H6537" t="s">
        <v>21735</v>
      </c>
      <c r="J6537" t="s">
        <v>21659</v>
      </c>
      <c r="K6537" t="s">
        <v>132</v>
      </c>
      <c r="L6537" t="s">
        <v>33</v>
      </c>
      <c r="M6537" t="s">
        <v>21736</v>
      </c>
      <c r="N6537" t="s">
        <v>21737</v>
      </c>
      <c r="O6537" t="s">
        <v>21740</v>
      </c>
      <c r="P6537" s="2" t="s">
        <v>26</v>
      </c>
      <c r="Q6537" t="s">
        <v>50</v>
      </c>
      <c r="R6537">
        <v>21.97</v>
      </c>
      <c r="S6537">
        <v>21.97</v>
      </c>
      <c r="T6537" t="s">
        <v>21741</v>
      </c>
    </row>
    <row r="6538" spans="1:20" x14ac:dyDescent="0.25">
      <c r="A6538" s="1" t="str">
        <f>HYPERLINK("https://vegkart.atlas.vegvesen.no/#/@258186.4,6640733.2,18/hva:hva%5B0%5D%5Bfilter%5D%5B0%5D%5Boperator%5D=%21%3D&amp;hva%5B0%5D%5Bfilter%5D%5B0%5D%5Btype_id%5D=5897&amp;hva%5B0%5D%5Bfilter%5D%5B0%5D%5Bverdi%5D=&amp;hva%5B0%5D%5Bid%5D=47/når:2019-02-05", "Vegkart")</f>
        <v>Vegkart</v>
      </c>
      <c r="B6538">
        <v>915979251</v>
      </c>
      <c r="C6538">
        <v>47</v>
      </c>
      <c r="D6538" t="s">
        <v>16854</v>
      </c>
      <c r="E6538">
        <v>5897</v>
      </c>
      <c r="F6538" t="s">
        <v>23479</v>
      </c>
      <c r="G6538">
        <v>1</v>
      </c>
      <c r="H6538" t="s">
        <v>21735</v>
      </c>
      <c r="J6538" t="s">
        <v>21659</v>
      </c>
      <c r="K6538" t="s">
        <v>132</v>
      </c>
      <c r="L6538" t="s">
        <v>33</v>
      </c>
      <c r="M6538" t="s">
        <v>21736</v>
      </c>
      <c r="N6538" t="s">
        <v>21742</v>
      </c>
      <c r="O6538" t="s">
        <v>21743</v>
      </c>
      <c r="P6538" s="2" t="s">
        <v>26</v>
      </c>
      <c r="Q6538" t="s">
        <v>50</v>
      </c>
      <c r="R6538">
        <v>65.47</v>
      </c>
      <c r="S6538">
        <v>65.709999999999994</v>
      </c>
      <c r="T6538" t="s">
        <v>21744</v>
      </c>
    </row>
    <row r="6539" spans="1:20" x14ac:dyDescent="0.25">
      <c r="A6539" s="1" t="str">
        <f>HYPERLINK("https://vegkart.atlas.vegvesen.no/#/@242887.5,6581672.1,18/hva:hva%5B0%5D%5Bfilter%5D%5B0%5D%5Boperator%5D=%21%3D&amp;hva%5B0%5D%5Bfilter%5D%5B0%5D%5Btype_id%5D=5897&amp;hva%5B0%5D%5Bfilter%5D%5B0%5D%5Bverdi%5D=&amp;hva%5B0%5D%5Bid%5D=47/når:2017-12-07", "Vegkart")</f>
        <v>Vegkart</v>
      </c>
      <c r="B6539">
        <v>916019573</v>
      </c>
      <c r="C6539">
        <v>47</v>
      </c>
      <c r="D6539" t="s">
        <v>16854</v>
      </c>
      <c r="E6539">
        <v>5897</v>
      </c>
      <c r="F6539" t="s">
        <v>23479</v>
      </c>
      <c r="G6539">
        <v>1</v>
      </c>
      <c r="H6539" t="s">
        <v>21714</v>
      </c>
      <c r="J6539" t="s">
        <v>21659</v>
      </c>
      <c r="K6539" t="s">
        <v>81</v>
      </c>
      <c r="L6539" t="s">
        <v>33</v>
      </c>
      <c r="M6539" t="s">
        <v>1944</v>
      </c>
      <c r="N6539" t="s">
        <v>21745</v>
      </c>
      <c r="O6539" t="s">
        <v>21746</v>
      </c>
      <c r="P6539" s="2" t="s">
        <v>37</v>
      </c>
      <c r="Q6539" t="s">
        <v>1208</v>
      </c>
      <c r="R6539">
        <v>0</v>
      </c>
      <c r="S6539">
        <v>110.14</v>
      </c>
      <c r="T6539" t="s">
        <v>21747</v>
      </c>
    </row>
    <row r="6540" spans="1:20" x14ac:dyDescent="0.25">
      <c r="A6540" s="1" t="str">
        <f>HYPERLINK("https://vegkart.atlas.vegvesen.no/#/@242933.4,6581680.6,18/hva:hva%5B0%5D%5Bfilter%5D%5B0%5D%5Boperator%5D=%21%3D&amp;hva%5B0%5D%5Bfilter%5D%5B0%5D%5Btype_id%5D=5897&amp;hva%5B0%5D%5Bfilter%5D%5B0%5D%5Bverdi%5D=&amp;hva%5B0%5D%5Bid%5D=47/når:2017-12-07", "Vegkart")</f>
        <v>Vegkart</v>
      </c>
      <c r="B6540">
        <v>916019574</v>
      </c>
      <c r="C6540">
        <v>47</v>
      </c>
      <c r="D6540" t="s">
        <v>16854</v>
      </c>
      <c r="E6540">
        <v>5897</v>
      </c>
      <c r="F6540" t="s">
        <v>23479</v>
      </c>
      <c r="G6540">
        <v>1</v>
      </c>
      <c r="H6540" t="s">
        <v>21714</v>
      </c>
      <c r="J6540" t="s">
        <v>21659</v>
      </c>
      <c r="K6540" t="s">
        <v>81</v>
      </c>
      <c r="L6540" t="s">
        <v>33</v>
      </c>
      <c r="M6540" t="s">
        <v>1944</v>
      </c>
      <c r="N6540" t="s">
        <v>21748</v>
      </c>
      <c r="O6540" t="s">
        <v>21749</v>
      </c>
      <c r="P6540" s="2" t="s">
        <v>37</v>
      </c>
      <c r="Q6540" t="s">
        <v>1208</v>
      </c>
      <c r="R6540">
        <v>0</v>
      </c>
      <c r="S6540">
        <v>132.46</v>
      </c>
      <c r="T6540" t="s">
        <v>21750</v>
      </c>
    </row>
    <row r="6541" spans="1:20" x14ac:dyDescent="0.25">
      <c r="A6541" s="1" t="str">
        <f>HYPERLINK("https://vegkart.atlas.vegvesen.no/#/@236672.2,6562685.9,18/hva:hva%5B0%5D%5Bfilter%5D%5B0%5D%5Boperator%5D=%21%3D&amp;hva%5B0%5D%5Bfilter%5D%5B0%5D%5Btype_id%5D=5897&amp;hva%5B0%5D%5Bfilter%5D%5B0%5D%5Bverdi%5D=&amp;hva%5B0%5D%5Bid%5D=47/når:2017-12-07", "Vegkart")</f>
        <v>Vegkart</v>
      </c>
      <c r="B6541">
        <v>916079943</v>
      </c>
      <c r="C6541">
        <v>47</v>
      </c>
      <c r="D6541" t="s">
        <v>16854</v>
      </c>
      <c r="E6541">
        <v>5897</v>
      </c>
      <c r="F6541" t="s">
        <v>23479</v>
      </c>
      <c r="G6541">
        <v>1</v>
      </c>
      <c r="H6541" t="s">
        <v>21714</v>
      </c>
      <c r="J6541" t="s">
        <v>21659</v>
      </c>
      <c r="K6541" t="s">
        <v>81</v>
      </c>
      <c r="L6541" t="s">
        <v>33</v>
      </c>
      <c r="M6541" t="s">
        <v>1936</v>
      </c>
      <c r="N6541" t="s">
        <v>21751</v>
      </c>
      <c r="O6541" t="s">
        <v>21752</v>
      </c>
      <c r="P6541" s="2" t="s">
        <v>37</v>
      </c>
      <c r="Q6541" t="s">
        <v>1208</v>
      </c>
      <c r="R6541">
        <v>0</v>
      </c>
      <c r="S6541">
        <v>131.35</v>
      </c>
      <c r="T6541" t="s">
        <v>21753</v>
      </c>
    </row>
    <row r="6542" spans="1:20" x14ac:dyDescent="0.25">
      <c r="A6542" s="1" t="str">
        <f>HYPERLINK("https://vegkart.atlas.vegvesen.no/#/@331949.3,6648142.5,18/hva:hva%5B0%5D%5Bfilter%5D%5B0%5D%5Boperator%5D=%21%3D&amp;hva%5B0%5D%5Bfilter%5D%5B0%5D%5Btype_id%5D=5897&amp;hva%5B0%5D%5Bfilter%5D%5B0%5D%5Bverdi%5D=&amp;hva%5B0%5D%5Bid%5D=47/når:2019-02-14", "Vegkart")</f>
        <v>Vegkart</v>
      </c>
      <c r="B6542">
        <v>916420038</v>
      </c>
      <c r="C6542">
        <v>47</v>
      </c>
      <c r="D6542" t="s">
        <v>16854</v>
      </c>
      <c r="E6542">
        <v>5897</v>
      </c>
      <c r="F6542" t="s">
        <v>23479</v>
      </c>
      <c r="G6542">
        <v>1</v>
      </c>
      <c r="H6542" t="s">
        <v>7081</v>
      </c>
      <c r="J6542" t="s">
        <v>21659</v>
      </c>
      <c r="K6542" t="s">
        <v>136</v>
      </c>
      <c r="L6542" t="s">
        <v>33</v>
      </c>
      <c r="M6542" t="s">
        <v>8734</v>
      </c>
      <c r="N6542" t="s">
        <v>21754</v>
      </c>
      <c r="O6542" t="s">
        <v>21755</v>
      </c>
      <c r="P6542" s="2" t="s">
        <v>26</v>
      </c>
      <c r="Q6542" t="s">
        <v>50</v>
      </c>
      <c r="R6542">
        <v>29.89</v>
      </c>
      <c r="S6542">
        <v>31.29</v>
      </c>
      <c r="T6542" t="s">
        <v>21756</v>
      </c>
    </row>
    <row r="6543" spans="1:20" x14ac:dyDescent="0.25">
      <c r="A6543" s="1" t="str">
        <f>HYPERLINK("https://vegkart.atlas.vegvesen.no/#/@262991.8,7030280.7,18/hva:hva%5B0%5D%5Bfilter%5D%5B0%5D%5Boperator%5D=%21%3D&amp;hva%5B0%5D%5Bfilter%5D%5B0%5D%5Btype_id%5D=5897&amp;hva%5B0%5D%5Bfilter%5D%5B0%5D%5Bverdi%5D=&amp;hva%5B0%5D%5Bid%5D=47/når:2019-02-14", "Vegkart")</f>
        <v>Vegkart</v>
      </c>
      <c r="B6543">
        <v>916429320</v>
      </c>
      <c r="C6543">
        <v>47</v>
      </c>
      <c r="D6543" t="s">
        <v>16854</v>
      </c>
      <c r="E6543">
        <v>5897</v>
      </c>
      <c r="F6543" t="s">
        <v>23479</v>
      </c>
      <c r="G6543">
        <v>1</v>
      </c>
      <c r="H6543" t="s">
        <v>7081</v>
      </c>
      <c r="J6543" t="s">
        <v>21659</v>
      </c>
      <c r="K6543" t="s">
        <v>192</v>
      </c>
      <c r="L6543" t="s">
        <v>80</v>
      </c>
      <c r="M6543" t="s">
        <v>81</v>
      </c>
      <c r="N6543" t="s">
        <v>21757</v>
      </c>
      <c r="O6543" t="s">
        <v>21758</v>
      </c>
      <c r="P6543" s="2" t="s">
        <v>26</v>
      </c>
      <c r="Q6543" t="s">
        <v>50</v>
      </c>
      <c r="R6543">
        <v>26.63</v>
      </c>
      <c r="S6543">
        <v>32.33</v>
      </c>
      <c r="T6543" t="s">
        <v>21759</v>
      </c>
    </row>
    <row r="6544" spans="1:20" x14ac:dyDescent="0.25">
      <c r="A6544" s="1" t="str">
        <f>HYPERLINK("https://vegkart.atlas.vegvesen.no/#/@262421.2,7030349.8,18/hva:hva%5B0%5D%5Bfilter%5D%5B0%5D%5Boperator%5D=%21%3D&amp;hva%5B0%5D%5Bfilter%5D%5B0%5D%5Btype_id%5D=5897&amp;hva%5B0%5D%5Bfilter%5D%5B0%5D%5Bverdi%5D=&amp;hva%5B0%5D%5Bid%5D=47/når:2019-02-14", "Vegkart")</f>
        <v>Vegkart</v>
      </c>
      <c r="B6544">
        <v>916429322</v>
      </c>
      <c r="C6544">
        <v>47</v>
      </c>
      <c r="D6544" t="s">
        <v>16854</v>
      </c>
      <c r="E6544">
        <v>5897</v>
      </c>
      <c r="F6544" t="s">
        <v>23479</v>
      </c>
      <c r="G6544">
        <v>1</v>
      </c>
      <c r="H6544" t="s">
        <v>7081</v>
      </c>
      <c r="J6544" t="s">
        <v>21659</v>
      </c>
      <c r="K6544" t="s">
        <v>192</v>
      </c>
      <c r="L6544" t="s">
        <v>80</v>
      </c>
      <c r="M6544" t="s">
        <v>81</v>
      </c>
      <c r="N6544" t="s">
        <v>21760</v>
      </c>
      <c r="O6544" t="s">
        <v>21761</v>
      </c>
      <c r="P6544" s="2" t="s">
        <v>37</v>
      </c>
      <c r="Q6544" t="s">
        <v>1208</v>
      </c>
      <c r="R6544">
        <v>0</v>
      </c>
      <c r="S6544">
        <v>105.58</v>
      </c>
      <c r="T6544" t="s">
        <v>21762</v>
      </c>
    </row>
    <row r="6545" spans="1:20" x14ac:dyDescent="0.25">
      <c r="A6545" s="1" t="str">
        <f>HYPERLINK("https://vegkart.atlas.vegvesen.no/#/@298243.7,6662088.4,18/hva:hva%5B0%5D%5Bfilter%5D%5B0%5D%5Boperator%5D=%21%3D&amp;hva%5B0%5D%5Bfilter%5D%5B0%5D%5Btype_id%5D=5897&amp;hva%5B0%5D%5Bfilter%5D%5B0%5D%5Bverdi%5D=&amp;hva%5B0%5D%5Bid%5D=47/når:2019-02-18", "Vegkart")</f>
        <v>Vegkart</v>
      </c>
      <c r="B6545">
        <v>916568373</v>
      </c>
      <c r="C6545">
        <v>47</v>
      </c>
      <c r="D6545" t="s">
        <v>16854</v>
      </c>
      <c r="E6545">
        <v>5897</v>
      </c>
      <c r="F6545" t="s">
        <v>23479</v>
      </c>
      <c r="G6545">
        <v>1</v>
      </c>
      <c r="H6545" t="s">
        <v>21763</v>
      </c>
      <c r="J6545" t="s">
        <v>21659</v>
      </c>
      <c r="K6545" t="s">
        <v>132</v>
      </c>
      <c r="L6545" t="s">
        <v>33</v>
      </c>
      <c r="M6545" t="s">
        <v>6019</v>
      </c>
      <c r="N6545" t="s">
        <v>21764</v>
      </c>
      <c r="O6545" t="s">
        <v>21765</v>
      </c>
      <c r="P6545" s="2" t="s">
        <v>26</v>
      </c>
      <c r="Q6545" t="s">
        <v>50</v>
      </c>
      <c r="R6545">
        <v>52.97</v>
      </c>
      <c r="S6545">
        <v>53.61</v>
      </c>
      <c r="T6545" t="s">
        <v>21766</v>
      </c>
    </row>
    <row r="6546" spans="1:20" x14ac:dyDescent="0.25">
      <c r="A6546" s="1" t="str">
        <f>HYPERLINK("https://vegkart.atlas.vegvesen.no/#/@298237.2,6662140.6,18/hva:hva%5B0%5D%5Bfilter%5D%5B0%5D%5Boperator%5D=%21%3D&amp;hva%5B0%5D%5Bfilter%5D%5B0%5D%5Btype_id%5D=5897&amp;hva%5B0%5D%5Bfilter%5D%5B0%5D%5Bverdi%5D=&amp;hva%5B0%5D%5Bid%5D=47/når:2019-02-18", "Vegkart")</f>
        <v>Vegkart</v>
      </c>
      <c r="B6546">
        <v>916568374</v>
      </c>
      <c r="C6546">
        <v>47</v>
      </c>
      <c r="D6546" t="s">
        <v>16854</v>
      </c>
      <c r="E6546">
        <v>5897</v>
      </c>
      <c r="F6546" t="s">
        <v>23479</v>
      </c>
      <c r="G6546">
        <v>1</v>
      </c>
      <c r="H6546" t="s">
        <v>21763</v>
      </c>
      <c r="J6546" t="s">
        <v>21659</v>
      </c>
      <c r="K6546" t="s">
        <v>132</v>
      </c>
      <c r="L6546" t="s">
        <v>33</v>
      </c>
      <c r="M6546" t="s">
        <v>6019</v>
      </c>
      <c r="N6546" t="s">
        <v>21767</v>
      </c>
      <c r="O6546" t="s">
        <v>21768</v>
      </c>
      <c r="P6546" s="2" t="s">
        <v>26</v>
      </c>
      <c r="Q6546" t="s">
        <v>50</v>
      </c>
      <c r="R6546">
        <v>46.49</v>
      </c>
      <c r="S6546">
        <v>47.46</v>
      </c>
      <c r="T6546" t="s">
        <v>21769</v>
      </c>
    </row>
    <row r="6547" spans="1:20" x14ac:dyDescent="0.25">
      <c r="A6547" s="1" t="str">
        <f>HYPERLINK("https://vegkart.atlas.vegvesen.no/#/@129980.8,6501666.2,18/hva:hva%5B0%5D%5Bfilter%5D%5B0%5D%5Boperator%5D=%21%3D&amp;hva%5B0%5D%5Bfilter%5D%5B0%5D%5Btype_id%5D=5897&amp;hva%5B0%5D%5Bfilter%5D%5B0%5D%5Bverdi%5D=&amp;hva%5B0%5D%5Bid%5D=47/når:2019-02-20", "Vegkart")</f>
        <v>Vegkart</v>
      </c>
      <c r="B6547">
        <v>916776727</v>
      </c>
      <c r="C6547">
        <v>47</v>
      </c>
      <c r="D6547" t="s">
        <v>16854</v>
      </c>
      <c r="E6547">
        <v>5897</v>
      </c>
      <c r="F6547" t="s">
        <v>23479</v>
      </c>
      <c r="G6547">
        <v>1</v>
      </c>
      <c r="H6547" t="s">
        <v>21770</v>
      </c>
      <c r="J6547" t="s">
        <v>21659</v>
      </c>
      <c r="K6547" t="s">
        <v>86</v>
      </c>
      <c r="L6547" t="s">
        <v>33</v>
      </c>
      <c r="M6547" t="s">
        <v>86</v>
      </c>
      <c r="N6547" t="s">
        <v>21771</v>
      </c>
      <c r="O6547" t="s">
        <v>21772</v>
      </c>
      <c r="P6547" s="2" t="s">
        <v>26</v>
      </c>
      <c r="Q6547" t="s">
        <v>50</v>
      </c>
      <c r="R6547">
        <v>55.36</v>
      </c>
      <c r="S6547">
        <v>56.21</v>
      </c>
      <c r="T6547" t="s">
        <v>21773</v>
      </c>
    </row>
    <row r="6548" spans="1:20" x14ac:dyDescent="0.25">
      <c r="A6548" s="1" t="str">
        <f>HYPERLINK("https://vegkart.atlas.vegvesen.no/#/@129995.5,6501670.5,18/hva:hva%5B0%5D%5Bfilter%5D%5B0%5D%5Boperator%5D=%21%3D&amp;hva%5B0%5D%5Bfilter%5D%5B0%5D%5Btype_id%5D=5897&amp;hva%5B0%5D%5Bfilter%5D%5B0%5D%5Bverdi%5D=&amp;hva%5B0%5D%5Bid%5D=47/når:2019-02-20", "Vegkart")</f>
        <v>Vegkart</v>
      </c>
      <c r="B6548">
        <v>916776728</v>
      </c>
      <c r="C6548">
        <v>47</v>
      </c>
      <c r="D6548" t="s">
        <v>16854</v>
      </c>
      <c r="E6548">
        <v>5897</v>
      </c>
      <c r="F6548" t="s">
        <v>23479</v>
      </c>
      <c r="G6548">
        <v>1</v>
      </c>
      <c r="H6548" t="s">
        <v>21770</v>
      </c>
      <c r="J6548" t="s">
        <v>21659</v>
      </c>
      <c r="K6548" t="s">
        <v>86</v>
      </c>
      <c r="L6548" t="s">
        <v>33</v>
      </c>
      <c r="M6548" t="s">
        <v>86</v>
      </c>
      <c r="N6548" t="s">
        <v>21774</v>
      </c>
      <c r="O6548" t="s">
        <v>21775</v>
      </c>
      <c r="P6548" s="2" t="s">
        <v>26</v>
      </c>
      <c r="Q6548" t="s">
        <v>50</v>
      </c>
      <c r="R6548">
        <v>57.14</v>
      </c>
      <c r="S6548">
        <v>57.2</v>
      </c>
      <c r="T6548" t="s">
        <v>21776</v>
      </c>
    </row>
    <row r="6549" spans="1:20" x14ac:dyDescent="0.25">
      <c r="A6549" s="1" t="str">
        <f>HYPERLINK("https://vegkart.atlas.vegvesen.no/#/@-52034.1,6651449.3,18/hva:hva%5B0%5D%5Bfilter%5D%5B0%5D%5Boperator%5D=%21%3D&amp;hva%5B0%5D%5Bfilter%5D%5B0%5D%5Btype_id%5D=5897&amp;hva%5B0%5D%5Bfilter%5D%5B0%5D%5Bverdi%5D=&amp;hva%5B0%5D%5Bid%5D=47/når:2019-02-20", "Vegkart")</f>
        <v>Vegkart</v>
      </c>
      <c r="B6549">
        <v>916779375</v>
      </c>
      <c r="C6549">
        <v>47</v>
      </c>
      <c r="D6549" t="s">
        <v>16854</v>
      </c>
      <c r="E6549">
        <v>5897</v>
      </c>
      <c r="F6549" t="s">
        <v>23479</v>
      </c>
      <c r="G6549">
        <v>1</v>
      </c>
      <c r="H6549" t="s">
        <v>21770</v>
      </c>
      <c r="J6549" t="s">
        <v>21659</v>
      </c>
      <c r="K6549" t="s">
        <v>21</v>
      </c>
      <c r="L6549" t="s">
        <v>33</v>
      </c>
      <c r="M6549" t="s">
        <v>21777</v>
      </c>
      <c r="N6549" t="s">
        <v>21778</v>
      </c>
      <c r="O6549" t="s">
        <v>21779</v>
      </c>
      <c r="P6549" s="2" t="s">
        <v>26</v>
      </c>
      <c r="Q6549" t="s">
        <v>50</v>
      </c>
      <c r="R6549">
        <v>79.72</v>
      </c>
      <c r="S6549">
        <v>79.8</v>
      </c>
      <c r="T6549" t="s">
        <v>21780</v>
      </c>
    </row>
    <row r="6550" spans="1:20" x14ac:dyDescent="0.25">
      <c r="A6550" s="1" t="str">
        <f>HYPERLINK("https://vegkart.atlas.vegvesen.no/#/@-52046.8,6651339.8,18/hva:hva%5B0%5D%5Bfilter%5D%5B0%5D%5Boperator%5D=%21%3D&amp;hva%5B0%5D%5Bfilter%5D%5B0%5D%5Btype_id%5D=5897&amp;hva%5B0%5D%5Bfilter%5D%5B0%5D%5Bverdi%5D=&amp;hva%5B0%5D%5Bid%5D=47/når:2019-02-20", "Vegkart")</f>
        <v>Vegkart</v>
      </c>
      <c r="B6550">
        <v>916779376</v>
      </c>
      <c r="C6550">
        <v>47</v>
      </c>
      <c r="D6550" t="s">
        <v>16854</v>
      </c>
      <c r="E6550">
        <v>5897</v>
      </c>
      <c r="F6550" t="s">
        <v>23479</v>
      </c>
      <c r="G6550">
        <v>1</v>
      </c>
      <c r="H6550" t="s">
        <v>21770</v>
      </c>
      <c r="J6550" t="s">
        <v>21659</v>
      </c>
      <c r="K6550" t="s">
        <v>21</v>
      </c>
      <c r="L6550" t="s">
        <v>33</v>
      </c>
      <c r="M6550" t="s">
        <v>21777</v>
      </c>
      <c r="N6550" t="s">
        <v>21781</v>
      </c>
      <c r="O6550" t="s">
        <v>21782</v>
      </c>
      <c r="P6550" s="2" t="s">
        <v>26</v>
      </c>
      <c r="Q6550" t="s">
        <v>50</v>
      </c>
      <c r="R6550">
        <v>80.64</v>
      </c>
      <c r="S6550">
        <v>80.709999999999994</v>
      </c>
      <c r="T6550" t="s">
        <v>21783</v>
      </c>
    </row>
    <row r="6551" spans="1:20" x14ac:dyDescent="0.25">
      <c r="A6551" s="1" t="str">
        <f>HYPERLINK("https://vegkart.atlas.vegvesen.no/#/@-16256.7,6672197.4,18/hva:hva%5B0%5D%5Bfilter%5D%5B0%5D%5Boperator%5D=%21%3D&amp;hva%5B0%5D%5Bfilter%5D%5B0%5D%5Btype_id%5D=5897&amp;hva%5B0%5D%5Bfilter%5D%5B0%5D%5Bverdi%5D=&amp;hva%5B0%5D%5Bid%5D=47/når:2019-03-07", "Vegkart")</f>
        <v>Vegkart</v>
      </c>
      <c r="B6551">
        <v>917449932</v>
      </c>
      <c r="C6551">
        <v>47</v>
      </c>
      <c r="D6551" t="s">
        <v>16854</v>
      </c>
      <c r="E6551">
        <v>5897</v>
      </c>
      <c r="F6551" t="s">
        <v>23479</v>
      </c>
      <c r="G6551">
        <v>1</v>
      </c>
      <c r="H6551" t="s">
        <v>21784</v>
      </c>
      <c r="J6551" t="s">
        <v>21659</v>
      </c>
      <c r="K6551" t="s">
        <v>21</v>
      </c>
      <c r="L6551" t="s">
        <v>33</v>
      </c>
      <c r="M6551" t="s">
        <v>21785</v>
      </c>
      <c r="N6551" t="s">
        <v>21786</v>
      </c>
      <c r="O6551" t="s">
        <v>21787</v>
      </c>
      <c r="P6551" s="2" t="s">
        <v>26</v>
      </c>
      <c r="Q6551" t="s">
        <v>50</v>
      </c>
      <c r="R6551">
        <v>53.38</v>
      </c>
      <c r="S6551">
        <v>53.78</v>
      </c>
      <c r="T6551" t="s">
        <v>21788</v>
      </c>
    </row>
    <row r="6552" spans="1:20" x14ac:dyDescent="0.25">
      <c r="A6552" s="1" t="str">
        <f>HYPERLINK("https://vegkart.atlas.vegvesen.no/#/@132342.9,6492511.8,18/hva:hva%5B0%5D%5Bfilter%5D%5B0%5D%5Boperator%5D=%21%3D&amp;hva%5B0%5D%5Bfilter%5D%5B0%5D%5Btype_id%5D=5897&amp;hva%5B0%5D%5Bfilter%5D%5B0%5D%5Bverdi%5D=&amp;hva%5B0%5D%5Bid%5D=47/når:2019-03-14", "Vegkart")</f>
        <v>Vegkart</v>
      </c>
      <c r="B6552">
        <v>917820778</v>
      </c>
      <c r="C6552">
        <v>47</v>
      </c>
      <c r="D6552" t="s">
        <v>16854</v>
      </c>
      <c r="E6552">
        <v>5897</v>
      </c>
      <c r="F6552" t="s">
        <v>23479</v>
      </c>
      <c r="G6552">
        <v>1</v>
      </c>
      <c r="H6552" t="s">
        <v>21789</v>
      </c>
      <c r="J6552" t="s">
        <v>21659</v>
      </c>
      <c r="K6552" t="s">
        <v>86</v>
      </c>
      <c r="L6552" t="s">
        <v>33</v>
      </c>
      <c r="M6552" t="s">
        <v>20176</v>
      </c>
      <c r="N6552" t="s">
        <v>21790</v>
      </c>
      <c r="O6552" t="s">
        <v>21791</v>
      </c>
      <c r="P6552" s="2" t="s">
        <v>26</v>
      </c>
      <c r="Q6552" t="s">
        <v>50</v>
      </c>
      <c r="R6552">
        <v>36.42</v>
      </c>
      <c r="S6552">
        <v>36.479999999999997</v>
      </c>
      <c r="T6552" t="s">
        <v>21792</v>
      </c>
    </row>
    <row r="6553" spans="1:20" x14ac:dyDescent="0.25">
      <c r="A6553" s="1" t="str">
        <f>HYPERLINK("https://vegkart.atlas.vegvesen.no/#/@132225.6,6492493.2,18/hva:hva%5B0%5D%5Bfilter%5D%5B0%5D%5Boperator%5D=%21%3D&amp;hva%5B0%5D%5Bfilter%5D%5B0%5D%5Btype_id%5D=5897&amp;hva%5B0%5D%5Bfilter%5D%5B0%5D%5Bverdi%5D=&amp;hva%5B0%5D%5Bid%5D=47/når:2023-03-08", "Vegkart")</f>
        <v>Vegkart</v>
      </c>
      <c r="B6553">
        <v>917820779</v>
      </c>
      <c r="C6553">
        <v>47</v>
      </c>
      <c r="D6553" t="s">
        <v>16854</v>
      </c>
      <c r="E6553">
        <v>5897</v>
      </c>
      <c r="F6553" t="s">
        <v>23479</v>
      </c>
      <c r="G6553">
        <v>2</v>
      </c>
      <c r="H6553" t="s">
        <v>21793</v>
      </c>
      <c r="J6553" t="s">
        <v>21659</v>
      </c>
      <c r="K6553" t="s">
        <v>86</v>
      </c>
      <c r="L6553" t="s">
        <v>80</v>
      </c>
      <c r="M6553" t="s">
        <v>53</v>
      </c>
      <c r="N6553" t="s">
        <v>21794</v>
      </c>
      <c r="O6553" t="s">
        <v>21795</v>
      </c>
      <c r="P6553" s="2" t="s">
        <v>165</v>
      </c>
      <c r="Q6553" t="s">
        <v>166</v>
      </c>
      <c r="R6553">
        <v>60.98</v>
      </c>
      <c r="S6553">
        <v>62.98</v>
      </c>
      <c r="T6553" t="s">
        <v>167</v>
      </c>
    </row>
    <row r="6554" spans="1:20" x14ac:dyDescent="0.25">
      <c r="A6554" s="1" t="str">
        <f>HYPERLINK("https://vegkart.atlas.vegvesen.no/#/@132291.3,6492489.7,18/hva:hva%5B0%5D%5Bfilter%5D%5B0%5D%5Boperator%5D=%21%3D&amp;hva%5B0%5D%5Bfilter%5D%5B0%5D%5Btype_id%5D=5897&amp;hva%5B0%5D%5Bfilter%5D%5B0%5D%5Bverdi%5D=&amp;hva%5B0%5D%5Bid%5D=47/når:2019-03-14", "Vegkart")</f>
        <v>Vegkart</v>
      </c>
      <c r="B6554">
        <v>917820780</v>
      </c>
      <c r="C6554">
        <v>47</v>
      </c>
      <c r="D6554" t="s">
        <v>16854</v>
      </c>
      <c r="E6554">
        <v>5897</v>
      </c>
      <c r="F6554" t="s">
        <v>23479</v>
      </c>
      <c r="G6554">
        <v>1</v>
      </c>
      <c r="H6554" t="s">
        <v>21789</v>
      </c>
      <c r="J6554" t="s">
        <v>21659</v>
      </c>
      <c r="K6554" t="s">
        <v>86</v>
      </c>
      <c r="L6554" t="s">
        <v>33</v>
      </c>
      <c r="M6554" t="s">
        <v>20176</v>
      </c>
      <c r="N6554" t="s">
        <v>21796</v>
      </c>
      <c r="O6554" t="s">
        <v>21797</v>
      </c>
      <c r="P6554" s="2" t="s">
        <v>26</v>
      </c>
      <c r="Q6554" t="s">
        <v>50</v>
      </c>
      <c r="R6554">
        <v>46.52</v>
      </c>
      <c r="S6554">
        <v>46.69</v>
      </c>
      <c r="T6554" t="s">
        <v>21798</v>
      </c>
    </row>
    <row r="6555" spans="1:20" x14ac:dyDescent="0.25">
      <c r="A6555" s="1" t="str">
        <f>HYPERLINK("https://vegkart.atlas.vegvesen.no/#/@-18720.6,6669575.0,18/hva:hva%5B0%5D%5Bfilter%5D%5B0%5D%5Boperator%5D=%21%3D&amp;hva%5B0%5D%5Bfilter%5D%5B0%5D%5Btype_id%5D=5897&amp;hva%5B0%5D%5Bfilter%5D%5B0%5D%5Bverdi%5D=&amp;hva%5B0%5D%5Bid%5D=47/når:2019-03-19", "Vegkart")</f>
        <v>Vegkart</v>
      </c>
      <c r="B6555">
        <v>917870078</v>
      </c>
      <c r="C6555">
        <v>47</v>
      </c>
      <c r="D6555" t="s">
        <v>16854</v>
      </c>
      <c r="E6555">
        <v>5897</v>
      </c>
      <c r="F6555" t="s">
        <v>23479</v>
      </c>
      <c r="G6555">
        <v>1</v>
      </c>
      <c r="H6555" t="s">
        <v>21799</v>
      </c>
      <c r="J6555" t="s">
        <v>21659</v>
      </c>
      <c r="K6555" t="s">
        <v>21</v>
      </c>
      <c r="L6555" t="s">
        <v>33</v>
      </c>
      <c r="M6555" t="s">
        <v>21785</v>
      </c>
      <c r="N6555" t="s">
        <v>21800</v>
      </c>
      <c r="O6555" t="s">
        <v>21801</v>
      </c>
      <c r="P6555" s="2" t="s">
        <v>26</v>
      </c>
      <c r="Q6555" t="s">
        <v>50</v>
      </c>
      <c r="R6555">
        <v>18.11</v>
      </c>
      <c r="S6555">
        <v>18.12</v>
      </c>
      <c r="T6555" t="s">
        <v>21802</v>
      </c>
    </row>
    <row r="6556" spans="1:20" x14ac:dyDescent="0.25">
      <c r="A6556" s="1" t="str">
        <f>HYPERLINK("https://vegkart.atlas.vegvesen.no/#/@-17528.5,6672240.3,18/hva:hva%5B0%5D%5Bfilter%5D%5B0%5D%5Boperator%5D=%21%3D&amp;hva%5B0%5D%5Bfilter%5D%5B0%5D%5Btype_id%5D=5897&amp;hva%5B0%5D%5Bfilter%5D%5B0%5D%5Bverdi%5D=&amp;hva%5B0%5D%5Bid%5D=47/når:2019-03-19", "Vegkart")</f>
        <v>Vegkart</v>
      </c>
      <c r="B6556">
        <v>917870145</v>
      </c>
      <c r="C6556">
        <v>47</v>
      </c>
      <c r="D6556" t="s">
        <v>16854</v>
      </c>
      <c r="E6556">
        <v>5897</v>
      </c>
      <c r="F6556" t="s">
        <v>23479</v>
      </c>
      <c r="G6556">
        <v>1</v>
      </c>
      <c r="H6556" t="s">
        <v>21799</v>
      </c>
      <c r="J6556" t="s">
        <v>21659</v>
      </c>
      <c r="K6556" t="s">
        <v>21</v>
      </c>
      <c r="L6556" t="s">
        <v>33</v>
      </c>
      <c r="M6556" t="s">
        <v>21785</v>
      </c>
      <c r="N6556" t="s">
        <v>21803</v>
      </c>
      <c r="O6556" t="s">
        <v>21804</v>
      </c>
      <c r="P6556" s="2" t="s">
        <v>26</v>
      </c>
      <c r="Q6556" t="s">
        <v>50</v>
      </c>
      <c r="R6556">
        <v>48.87</v>
      </c>
      <c r="S6556">
        <v>49.23</v>
      </c>
      <c r="T6556" t="s">
        <v>21805</v>
      </c>
    </row>
    <row r="6557" spans="1:20" x14ac:dyDescent="0.25">
      <c r="A6557" s="1" t="str">
        <f>HYPERLINK("https://vegkart.atlas.vegvesen.no/#/@110923.7,6474922.3,18/hva:hva%5B0%5D%5Bfilter%5D%5B0%5D%5Boperator%5D=%21%3D&amp;hva%5B0%5D%5Bfilter%5D%5B0%5D%5Btype_id%5D=5897&amp;hva%5B0%5D%5Bfilter%5D%5B0%5D%5Bverdi%5D=&amp;hva%5B0%5D%5Bid%5D=47/når:2019-03-20", "Vegkart")</f>
        <v>Vegkart</v>
      </c>
      <c r="B6557">
        <v>917902221</v>
      </c>
      <c r="C6557">
        <v>47</v>
      </c>
      <c r="D6557" t="s">
        <v>16854</v>
      </c>
      <c r="E6557">
        <v>5897</v>
      </c>
      <c r="F6557" t="s">
        <v>23479</v>
      </c>
      <c r="G6557">
        <v>1</v>
      </c>
      <c r="H6557" t="s">
        <v>21806</v>
      </c>
      <c r="J6557" t="s">
        <v>21659</v>
      </c>
      <c r="K6557" t="s">
        <v>86</v>
      </c>
      <c r="L6557" t="s">
        <v>33</v>
      </c>
      <c r="M6557" t="s">
        <v>20176</v>
      </c>
      <c r="N6557" t="s">
        <v>21807</v>
      </c>
      <c r="O6557" t="s">
        <v>21808</v>
      </c>
      <c r="P6557" s="2" t="s">
        <v>26</v>
      </c>
      <c r="Q6557" t="s">
        <v>50</v>
      </c>
      <c r="R6557">
        <v>62.86</v>
      </c>
      <c r="S6557">
        <v>63.13</v>
      </c>
      <c r="T6557" t="s">
        <v>21809</v>
      </c>
    </row>
    <row r="6558" spans="1:20" x14ac:dyDescent="0.25">
      <c r="A6558" s="1" t="str">
        <f>HYPERLINK("https://vegkart.atlas.vegvesen.no/#/@110886.7,6474886.3,18/hva:hva%5B0%5D%5Bfilter%5D%5B0%5D%5Boperator%5D=%21%3D&amp;hva%5B0%5D%5Bfilter%5D%5B0%5D%5Btype_id%5D=5897&amp;hva%5B0%5D%5Bfilter%5D%5B0%5D%5Bverdi%5D=&amp;hva%5B0%5D%5Bid%5D=47/når:2019-03-20", "Vegkart")</f>
        <v>Vegkart</v>
      </c>
      <c r="B6558">
        <v>917902222</v>
      </c>
      <c r="C6558">
        <v>47</v>
      </c>
      <c r="D6558" t="s">
        <v>16854</v>
      </c>
      <c r="E6558">
        <v>5897</v>
      </c>
      <c r="F6558" t="s">
        <v>23479</v>
      </c>
      <c r="G6558">
        <v>1</v>
      </c>
      <c r="H6558" t="s">
        <v>21806</v>
      </c>
      <c r="J6558" t="s">
        <v>21659</v>
      </c>
      <c r="K6558" t="s">
        <v>86</v>
      </c>
      <c r="L6558" t="s">
        <v>33</v>
      </c>
      <c r="M6558" t="s">
        <v>20176</v>
      </c>
      <c r="N6558" t="s">
        <v>21810</v>
      </c>
      <c r="O6558" t="s">
        <v>21811</v>
      </c>
      <c r="P6558" s="2" t="s">
        <v>26</v>
      </c>
      <c r="Q6558" t="s">
        <v>50</v>
      </c>
      <c r="R6558">
        <v>34.619999999999997</v>
      </c>
      <c r="S6558">
        <v>34.630000000000003</v>
      </c>
      <c r="T6558" t="s">
        <v>21812</v>
      </c>
    </row>
    <row r="6559" spans="1:20" x14ac:dyDescent="0.25">
      <c r="A6559" s="1" t="str">
        <f>HYPERLINK("https://vegkart.atlas.vegvesen.no/#/@243506.5,6593671.2,18/hva:hva%5B0%5D%5Bfilter%5D%5B0%5D%5Boperator%5D=%21%3D&amp;hva%5B0%5D%5Bfilter%5D%5B0%5D%5Btype_id%5D=5897&amp;hva%5B0%5D%5Bfilter%5D%5B0%5D%5Bverdi%5D=&amp;hva%5B0%5D%5Bid%5D=47/når:2019-03-25", "Vegkart")</f>
        <v>Vegkart</v>
      </c>
      <c r="B6559">
        <v>918780571</v>
      </c>
      <c r="C6559">
        <v>47</v>
      </c>
      <c r="D6559" t="s">
        <v>16854</v>
      </c>
      <c r="E6559">
        <v>5897</v>
      </c>
      <c r="F6559" t="s">
        <v>23479</v>
      </c>
      <c r="G6559">
        <v>1</v>
      </c>
      <c r="H6559" t="s">
        <v>21813</v>
      </c>
      <c r="J6559" t="s">
        <v>21659</v>
      </c>
      <c r="K6559" t="s">
        <v>81</v>
      </c>
      <c r="L6559" t="s">
        <v>113</v>
      </c>
      <c r="M6559" t="s">
        <v>2383</v>
      </c>
      <c r="N6559" t="s">
        <v>21814</v>
      </c>
      <c r="O6559" t="s">
        <v>21815</v>
      </c>
      <c r="P6559" s="2" t="s">
        <v>37</v>
      </c>
      <c r="Q6559" t="s">
        <v>1208</v>
      </c>
      <c r="R6559">
        <v>16.5</v>
      </c>
      <c r="S6559">
        <v>19.739999999999998</v>
      </c>
      <c r="T6559" t="s">
        <v>21816</v>
      </c>
    </row>
    <row r="6560" spans="1:20" x14ac:dyDescent="0.25">
      <c r="A6560" s="1" t="str">
        <f>HYPERLINK("https://vegkart.atlas.vegvesen.no/#/@243517.9,6593713.5,18/hva:hva%5B0%5D%5Bfilter%5D%5B0%5D%5Boperator%5D=%21%3D&amp;hva%5B0%5D%5Bfilter%5D%5B0%5D%5Btype_id%5D=5897&amp;hva%5B0%5D%5Bfilter%5D%5B0%5D%5Bverdi%5D=&amp;hva%5B0%5D%5Bid%5D=47/når:2019-03-25", "Vegkart")</f>
        <v>Vegkart</v>
      </c>
      <c r="B6560">
        <v>918780572</v>
      </c>
      <c r="C6560">
        <v>47</v>
      </c>
      <c r="D6560" t="s">
        <v>16854</v>
      </c>
      <c r="E6560">
        <v>5897</v>
      </c>
      <c r="F6560" t="s">
        <v>23479</v>
      </c>
      <c r="G6560">
        <v>1</v>
      </c>
      <c r="H6560" t="s">
        <v>21813</v>
      </c>
      <c r="J6560" t="s">
        <v>21659</v>
      </c>
      <c r="K6560" t="s">
        <v>81</v>
      </c>
      <c r="L6560" t="s">
        <v>113</v>
      </c>
      <c r="M6560" t="s">
        <v>2383</v>
      </c>
      <c r="N6560" t="s">
        <v>21817</v>
      </c>
      <c r="O6560" t="s">
        <v>21818</v>
      </c>
      <c r="P6560" s="2" t="s">
        <v>26</v>
      </c>
      <c r="Q6560" t="s">
        <v>50</v>
      </c>
      <c r="R6560">
        <v>99.21</v>
      </c>
      <c r="S6560">
        <v>101.64</v>
      </c>
      <c r="T6560" t="s">
        <v>21819</v>
      </c>
    </row>
    <row r="6561" spans="1:20" x14ac:dyDescent="0.25">
      <c r="A6561" s="1" t="str">
        <f>HYPERLINK("https://vegkart.atlas.vegvesen.no/#/@243071.3,6592954.4,18/hva:hva%5B0%5D%5Bfilter%5D%5B0%5D%5Boperator%5D=%21%3D&amp;hva%5B0%5D%5Bfilter%5D%5B0%5D%5Btype_id%5D=5897&amp;hva%5B0%5D%5Bfilter%5D%5B0%5D%5Bverdi%5D=&amp;hva%5B0%5D%5Bid%5D=47/når:2019-03-25", "Vegkart")</f>
        <v>Vegkart</v>
      </c>
      <c r="B6561">
        <v>918780573</v>
      </c>
      <c r="C6561">
        <v>47</v>
      </c>
      <c r="D6561" t="s">
        <v>16854</v>
      </c>
      <c r="E6561">
        <v>5897</v>
      </c>
      <c r="F6561" t="s">
        <v>23479</v>
      </c>
      <c r="G6561">
        <v>1</v>
      </c>
      <c r="H6561" t="s">
        <v>21813</v>
      </c>
      <c r="J6561" t="s">
        <v>21659</v>
      </c>
      <c r="K6561" t="s">
        <v>81</v>
      </c>
      <c r="L6561" t="s">
        <v>113</v>
      </c>
      <c r="M6561" t="s">
        <v>2383</v>
      </c>
      <c r="N6561" t="s">
        <v>21820</v>
      </c>
      <c r="O6561" t="s">
        <v>21821</v>
      </c>
      <c r="P6561" s="2" t="s">
        <v>26</v>
      </c>
      <c r="Q6561" t="s">
        <v>50</v>
      </c>
      <c r="R6561">
        <v>108.41</v>
      </c>
      <c r="S6561">
        <v>108.87</v>
      </c>
      <c r="T6561" t="s">
        <v>21822</v>
      </c>
    </row>
    <row r="6562" spans="1:20" x14ac:dyDescent="0.25">
      <c r="A6562" s="1" t="str">
        <f>HYPERLINK("https://vegkart.atlas.vegvesen.no/#/@243079.4,6593000.6,18/hva:hva%5B0%5D%5Bfilter%5D%5B0%5D%5Boperator%5D=%21%3D&amp;hva%5B0%5D%5Bfilter%5D%5B0%5D%5Btype_id%5D=5897&amp;hva%5B0%5D%5Bfilter%5D%5B0%5D%5Bverdi%5D=&amp;hva%5B0%5D%5Bid%5D=47/når:2019-03-25", "Vegkart")</f>
        <v>Vegkart</v>
      </c>
      <c r="B6562">
        <v>918780574</v>
      </c>
      <c r="C6562">
        <v>47</v>
      </c>
      <c r="D6562" t="s">
        <v>16854</v>
      </c>
      <c r="E6562">
        <v>5897</v>
      </c>
      <c r="F6562" t="s">
        <v>23479</v>
      </c>
      <c r="G6562">
        <v>1</v>
      </c>
      <c r="H6562" t="s">
        <v>21813</v>
      </c>
      <c r="J6562" t="s">
        <v>21659</v>
      </c>
      <c r="K6562" t="s">
        <v>81</v>
      </c>
      <c r="L6562" t="s">
        <v>113</v>
      </c>
      <c r="M6562" t="s">
        <v>2383</v>
      </c>
      <c r="N6562" t="s">
        <v>21823</v>
      </c>
      <c r="O6562" t="s">
        <v>21824</v>
      </c>
      <c r="P6562" s="2" t="s">
        <v>26</v>
      </c>
      <c r="Q6562" t="s">
        <v>50</v>
      </c>
      <c r="R6562">
        <v>17.84</v>
      </c>
      <c r="S6562">
        <v>17.84</v>
      </c>
      <c r="T6562" t="s">
        <v>21825</v>
      </c>
    </row>
    <row r="6563" spans="1:20" x14ac:dyDescent="0.25">
      <c r="A6563" s="1" t="str">
        <f>HYPERLINK("https://vegkart.atlas.vegvesen.no/#/@237844.0,6580795.8,18/hva:hva%5B0%5D%5Bfilter%5D%5B0%5D%5Boperator%5D=%21%3D&amp;hva%5B0%5D%5Bfilter%5D%5B0%5D%5Btype_id%5D=5897&amp;hva%5B0%5D%5Bfilter%5D%5B0%5D%5Bverdi%5D=&amp;hva%5B0%5D%5Bid%5D=47/når:2019-03-25", "Vegkart")</f>
        <v>Vegkart</v>
      </c>
      <c r="B6563">
        <v>918842114</v>
      </c>
      <c r="C6563">
        <v>47</v>
      </c>
      <c r="D6563" t="s">
        <v>16854</v>
      </c>
      <c r="E6563">
        <v>5897</v>
      </c>
      <c r="F6563" t="s">
        <v>23479</v>
      </c>
      <c r="G6563">
        <v>1</v>
      </c>
      <c r="H6563" t="s">
        <v>21813</v>
      </c>
      <c r="J6563" t="s">
        <v>21659</v>
      </c>
      <c r="K6563" t="s">
        <v>81</v>
      </c>
      <c r="L6563" t="s">
        <v>33</v>
      </c>
      <c r="M6563" t="s">
        <v>1940</v>
      </c>
      <c r="N6563" t="s">
        <v>21826</v>
      </c>
      <c r="O6563" t="s">
        <v>21827</v>
      </c>
      <c r="P6563" s="2" t="s">
        <v>26</v>
      </c>
      <c r="Q6563" t="s">
        <v>50</v>
      </c>
      <c r="R6563">
        <v>70.66</v>
      </c>
      <c r="S6563">
        <v>71.48</v>
      </c>
      <c r="T6563" t="s">
        <v>21828</v>
      </c>
    </row>
    <row r="6564" spans="1:20" x14ac:dyDescent="0.25">
      <c r="A6564" s="1" t="str">
        <f>HYPERLINK("https://vegkart.atlas.vegvesen.no/#/@237877.7,6580669.4,18/hva:hva%5B0%5D%5Bfilter%5D%5B0%5D%5Boperator%5D=%21%3D&amp;hva%5B0%5D%5Bfilter%5D%5B0%5D%5Btype_id%5D=5897&amp;hva%5B0%5D%5Bfilter%5D%5B0%5D%5Bverdi%5D=&amp;hva%5B0%5D%5Bid%5D=47/når:2019-03-25", "Vegkart")</f>
        <v>Vegkart</v>
      </c>
      <c r="B6564">
        <v>918842115</v>
      </c>
      <c r="C6564">
        <v>47</v>
      </c>
      <c r="D6564" t="s">
        <v>16854</v>
      </c>
      <c r="E6564">
        <v>5897</v>
      </c>
      <c r="F6564" t="s">
        <v>23479</v>
      </c>
      <c r="G6564">
        <v>1</v>
      </c>
      <c r="H6564" t="s">
        <v>21813</v>
      </c>
      <c r="J6564" t="s">
        <v>21659</v>
      </c>
      <c r="K6564" t="s">
        <v>81</v>
      </c>
      <c r="L6564" t="s">
        <v>33</v>
      </c>
      <c r="M6564" t="s">
        <v>1940</v>
      </c>
      <c r="N6564" t="s">
        <v>21829</v>
      </c>
      <c r="O6564" t="s">
        <v>21830</v>
      </c>
      <c r="P6564" s="2" t="s">
        <v>26</v>
      </c>
      <c r="Q6564" t="s">
        <v>50</v>
      </c>
      <c r="R6564">
        <v>56.05</v>
      </c>
      <c r="S6564">
        <v>56.14</v>
      </c>
      <c r="T6564" t="s">
        <v>21831</v>
      </c>
    </row>
    <row r="6565" spans="1:20" x14ac:dyDescent="0.25">
      <c r="A6565" s="1" t="str">
        <f>HYPERLINK("https://vegkart.atlas.vegvesen.no/#/@-42323.8,6702333.7,18/hva:hva%5B0%5D%5Bfilter%5D%5B0%5D%5Boperator%5D=%21%3D&amp;hva%5B0%5D%5Bfilter%5D%5B0%5D%5Btype_id%5D=5897&amp;hva%5B0%5D%5Bfilter%5D%5B0%5D%5Bverdi%5D=&amp;hva%5B0%5D%5Bid%5D=47/når:2019-04-05", "Vegkart")</f>
        <v>Vegkart</v>
      </c>
      <c r="B6565">
        <v>919822562</v>
      </c>
      <c r="C6565">
        <v>47</v>
      </c>
      <c r="D6565" t="s">
        <v>16854</v>
      </c>
      <c r="E6565">
        <v>5897</v>
      </c>
      <c r="F6565" t="s">
        <v>23479</v>
      </c>
      <c r="G6565">
        <v>1</v>
      </c>
      <c r="H6565" t="s">
        <v>21832</v>
      </c>
      <c r="J6565" t="s">
        <v>21833</v>
      </c>
      <c r="K6565" t="s">
        <v>21</v>
      </c>
      <c r="L6565" t="s">
        <v>33</v>
      </c>
      <c r="M6565" t="s">
        <v>5926</v>
      </c>
      <c r="N6565" t="s">
        <v>21834</v>
      </c>
      <c r="O6565" t="s">
        <v>21835</v>
      </c>
      <c r="P6565" s="2" t="s">
        <v>26</v>
      </c>
      <c r="Q6565" t="s">
        <v>50</v>
      </c>
      <c r="R6565">
        <v>46.66</v>
      </c>
      <c r="S6565">
        <v>47.18</v>
      </c>
      <c r="T6565" t="s">
        <v>21836</v>
      </c>
    </row>
    <row r="6566" spans="1:20" x14ac:dyDescent="0.25">
      <c r="A6566" s="1" t="str">
        <f>HYPERLINK("https://vegkart.atlas.vegvesen.no/#/@-42251.2,6702693.9,18/hva:hva%5B0%5D%5Bfilter%5D%5B0%5D%5Boperator%5D=%21%3D&amp;hva%5B0%5D%5Bfilter%5D%5B0%5D%5Btype_id%5D=5897&amp;hva%5B0%5D%5Bfilter%5D%5B0%5D%5Bverdi%5D=&amp;hva%5B0%5D%5Bid%5D=47/når:2019-04-05", "Vegkart")</f>
        <v>Vegkart</v>
      </c>
      <c r="B6566">
        <v>919822563</v>
      </c>
      <c r="C6566">
        <v>47</v>
      </c>
      <c r="D6566" t="s">
        <v>16854</v>
      </c>
      <c r="E6566">
        <v>5897</v>
      </c>
      <c r="F6566" t="s">
        <v>23479</v>
      </c>
      <c r="G6566">
        <v>1</v>
      </c>
      <c r="H6566" t="s">
        <v>21832</v>
      </c>
      <c r="J6566" t="s">
        <v>21833</v>
      </c>
      <c r="K6566" t="s">
        <v>21</v>
      </c>
      <c r="L6566" t="s">
        <v>33</v>
      </c>
      <c r="M6566" t="s">
        <v>5926</v>
      </c>
      <c r="N6566" t="s">
        <v>21837</v>
      </c>
      <c r="O6566" t="s">
        <v>21838</v>
      </c>
      <c r="P6566" s="2" t="s">
        <v>26</v>
      </c>
      <c r="Q6566" t="s">
        <v>50</v>
      </c>
      <c r="R6566">
        <v>46.77</v>
      </c>
      <c r="S6566">
        <v>47.01</v>
      </c>
      <c r="T6566" t="s">
        <v>21839</v>
      </c>
    </row>
    <row r="6567" spans="1:20" x14ac:dyDescent="0.25">
      <c r="A6567" s="1" t="str">
        <f>HYPERLINK("https://vegkart.atlas.vegvesen.no/#/@272544.5,7043554.4,18/hva:hva%5B0%5D%5Bfilter%5D%5B0%5D%5Boperator%5D=%21%3D&amp;hva%5B0%5D%5Bfilter%5D%5B0%5D%5Btype_id%5D=5897&amp;hva%5B0%5D%5Bfilter%5D%5B0%5D%5Bverdi%5D=&amp;hva%5B0%5D%5Bid%5D=47/når:2019-04-24", "Vegkart")</f>
        <v>Vegkart</v>
      </c>
      <c r="B6567">
        <v>920459448</v>
      </c>
      <c r="C6567">
        <v>47</v>
      </c>
      <c r="D6567" t="s">
        <v>16854</v>
      </c>
      <c r="E6567">
        <v>5897</v>
      </c>
      <c r="F6567" t="s">
        <v>23479</v>
      </c>
      <c r="G6567">
        <v>1</v>
      </c>
      <c r="H6567" t="s">
        <v>21840</v>
      </c>
      <c r="J6567" t="s">
        <v>21833</v>
      </c>
      <c r="K6567" t="s">
        <v>192</v>
      </c>
      <c r="L6567" t="s">
        <v>22</v>
      </c>
      <c r="M6567" t="s">
        <v>21841</v>
      </c>
      <c r="N6567" t="s">
        <v>21842</v>
      </c>
      <c r="O6567" t="s">
        <v>21843</v>
      </c>
      <c r="P6567" s="2" t="s">
        <v>26</v>
      </c>
      <c r="Q6567" t="s">
        <v>50</v>
      </c>
      <c r="R6567">
        <v>38.92</v>
      </c>
      <c r="S6567">
        <v>41.47</v>
      </c>
      <c r="T6567" t="s">
        <v>21844</v>
      </c>
    </row>
    <row r="6568" spans="1:20" x14ac:dyDescent="0.25">
      <c r="A6568" s="1" t="str">
        <f>HYPERLINK("https://vegkart.atlas.vegvesen.no/#/@214019.9,6553215.2,18/hva:hva%5B0%5D%5Bfilter%5D%5B0%5D%5Boperator%5D=%21%3D&amp;hva%5B0%5D%5Bfilter%5D%5B0%5D%5Btype_id%5D=5897&amp;hva%5B0%5D%5Bfilter%5D%5B0%5D%5Bverdi%5D=&amp;hva%5B0%5D%5Bid%5D=47/når:2019-05-02", "Vegkart")</f>
        <v>Vegkart</v>
      </c>
      <c r="B6568">
        <v>920587511</v>
      </c>
      <c r="C6568">
        <v>47</v>
      </c>
      <c r="D6568" t="s">
        <v>16854</v>
      </c>
      <c r="E6568">
        <v>5897</v>
      </c>
      <c r="F6568" t="s">
        <v>23479</v>
      </c>
      <c r="G6568">
        <v>1</v>
      </c>
      <c r="H6568" t="s">
        <v>2131</v>
      </c>
      <c r="J6568" t="s">
        <v>21833</v>
      </c>
      <c r="K6568" t="s">
        <v>81</v>
      </c>
      <c r="L6568" t="s">
        <v>33</v>
      </c>
      <c r="M6568" t="s">
        <v>1958</v>
      </c>
      <c r="N6568" t="s">
        <v>21845</v>
      </c>
      <c r="O6568" t="s">
        <v>21846</v>
      </c>
      <c r="P6568" s="2" t="s">
        <v>37</v>
      </c>
      <c r="Q6568" t="s">
        <v>1208</v>
      </c>
      <c r="R6568">
        <v>0</v>
      </c>
      <c r="S6568">
        <v>148.93</v>
      </c>
      <c r="T6568" t="s">
        <v>21847</v>
      </c>
    </row>
    <row r="6569" spans="1:20" x14ac:dyDescent="0.25">
      <c r="A6569" s="1" t="str">
        <f>HYPERLINK("https://vegkart.atlas.vegvesen.no/#/@213980.8,6553081.4,18/hva:hva%5B0%5D%5Bfilter%5D%5B0%5D%5Boperator%5D=%21%3D&amp;hva%5B0%5D%5Bfilter%5D%5B0%5D%5Btype_id%5D=5897&amp;hva%5B0%5D%5Bfilter%5D%5B0%5D%5Bverdi%5D=&amp;hva%5B0%5D%5Bid%5D=47/når:2019-05-02", "Vegkart")</f>
        <v>Vegkart</v>
      </c>
      <c r="B6569">
        <v>920587512</v>
      </c>
      <c r="C6569">
        <v>47</v>
      </c>
      <c r="D6569" t="s">
        <v>16854</v>
      </c>
      <c r="E6569">
        <v>5897</v>
      </c>
      <c r="F6569" t="s">
        <v>23479</v>
      </c>
      <c r="G6569">
        <v>1</v>
      </c>
      <c r="H6569" t="s">
        <v>2131</v>
      </c>
      <c r="J6569" t="s">
        <v>21833</v>
      </c>
      <c r="K6569" t="s">
        <v>81</v>
      </c>
      <c r="L6569" t="s">
        <v>33</v>
      </c>
      <c r="M6569" t="s">
        <v>1958</v>
      </c>
      <c r="N6569" t="s">
        <v>21848</v>
      </c>
      <c r="O6569" t="s">
        <v>21849</v>
      </c>
      <c r="P6569" s="2" t="s">
        <v>37</v>
      </c>
      <c r="Q6569" t="s">
        <v>1208</v>
      </c>
      <c r="R6569">
        <v>0</v>
      </c>
      <c r="S6569">
        <v>139.85</v>
      </c>
      <c r="T6569" t="s">
        <v>21850</v>
      </c>
    </row>
    <row r="6570" spans="1:20" x14ac:dyDescent="0.25">
      <c r="A6570" s="1" t="str">
        <f>HYPERLINK("https://vegkart.atlas.vegvesen.no/#/@214115.7,6552561.5,18/hva:hva%5B0%5D%5Bfilter%5D%5B0%5D%5Boperator%5D=%21%3D&amp;hva%5B0%5D%5Bfilter%5D%5B0%5D%5Btype_id%5D=5897&amp;hva%5B0%5D%5Bfilter%5D%5B0%5D%5Bverdi%5D=&amp;hva%5B0%5D%5Bid%5D=47/når:2019-05-02", "Vegkart")</f>
        <v>Vegkart</v>
      </c>
      <c r="B6570">
        <v>920587513</v>
      </c>
      <c r="C6570">
        <v>47</v>
      </c>
      <c r="D6570" t="s">
        <v>16854</v>
      </c>
      <c r="E6570">
        <v>5897</v>
      </c>
      <c r="F6570" t="s">
        <v>23479</v>
      </c>
      <c r="G6570">
        <v>1</v>
      </c>
      <c r="H6570" t="s">
        <v>2131</v>
      </c>
      <c r="J6570" t="s">
        <v>21833</v>
      </c>
      <c r="K6570" t="s">
        <v>81</v>
      </c>
      <c r="L6570" t="s">
        <v>33</v>
      </c>
      <c r="M6570" t="s">
        <v>1958</v>
      </c>
      <c r="N6570" t="s">
        <v>21851</v>
      </c>
      <c r="O6570" t="s">
        <v>21852</v>
      </c>
      <c r="P6570" s="2" t="s">
        <v>37</v>
      </c>
      <c r="Q6570" t="s">
        <v>1208</v>
      </c>
      <c r="R6570">
        <v>0</v>
      </c>
      <c r="S6570">
        <v>106.64</v>
      </c>
      <c r="T6570" t="s">
        <v>21853</v>
      </c>
    </row>
    <row r="6571" spans="1:20" x14ac:dyDescent="0.25">
      <c r="A6571" s="1" t="str">
        <f>HYPERLINK("https://vegkart.atlas.vegvesen.no/#/@214109.8,6552581.0,18/hva:hva%5B0%5D%5Bfilter%5D%5B0%5D%5Boperator%5D=%21%3D&amp;hva%5B0%5D%5Bfilter%5D%5B0%5D%5Btype_id%5D=5897&amp;hva%5B0%5D%5Bfilter%5D%5B0%5D%5Bverdi%5D=&amp;hva%5B0%5D%5Bid%5D=47/når:2019-05-02", "Vegkart")</f>
        <v>Vegkart</v>
      </c>
      <c r="B6571">
        <v>920587514</v>
      </c>
      <c r="C6571">
        <v>47</v>
      </c>
      <c r="D6571" t="s">
        <v>16854</v>
      </c>
      <c r="E6571">
        <v>5897</v>
      </c>
      <c r="F6571" t="s">
        <v>23479</v>
      </c>
      <c r="G6571">
        <v>1</v>
      </c>
      <c r="H6571" t="s">
        <v>2131</v>
      </c>
      <c r="J6571" t="s">
        <v>21833</v>
      </c>
      <c r="K6571" t="s">
        <v>81</v>
      </c>
      <c r="L6571" t="s">
        <v>33</v>
      </c>
      <c r="M6571" t="s">
        <v>1958</v>
      </c>
      <c r="N6571" t="s">
        <v>21854</v>
      </c>
      <c r="O6571" t="s">
        <v>21855</v>
      </c>
      <c r="P6571" s="2" t="s">
        <v>37</v>
      </c>
      <c r="Q6571" t="s">
        <v>1208</v>
      </c>
      <c r="R6571">
        <v>0</v>
      </c>
      <c r="S6571">
        <v>109.45</v>
      </c>
      <c r="T6571" t="s">
        <v>21856</v>
      </c>
    </row>
    <row r="6572" spans="1:20" x14ac:dyDescent="0.25">
      <c r="A6572" s="1" t="str">
        <f>HYPERLINK("https://vegkart.atlas.vegvesen.no/#/@-11287.4,6563508.8,18/hva:hva%5B0%5D%5Bfilter%5D%5B0%5D%5Boperator%5D=%21%3D&amp;hva%5B0%5D%5Bfilter%5D%5B0%5D%5Btype_id%5D=5897&amp;hva%5B0%5D%5Bfilter%5D%5B0%5D%5Bverdi%5D=&amp;hva%5B0%5D%5Bid%5D=47/når:2019-05-06", "Vegkart")</f>
        <v>Vegkart</v>
      </c>
      <c r="B6572">
        <v>920659925</v>
      </c>
      <c r="C6572">
        <v>47</v>
      </c>
      <c r="D6572" t="s">
        <v>16854</v>
      </c>
      <c r="E6572">
        <v>5897</v>
      </c>
      <c r="F6572" t="s">
        <v>23479</v>
      </c>
      <c r="G6572">
        <v>1</v>
      </c>
      <c r="H6572" t="s">
        <v>21857</v>
      </c>
      <c r="J6572" t="s">
        <v>21833</v>
      </c>
      <c r="K6572" t="s">
        <v>170</v>
      </c>
      <c r="L6572" t="s">
        <v>33</v>
      </c>
      <c r="M6572" t="s">
        <v>21858</v>
      </c>
      <c r="N6572" t="s">
        <v>21859</v>
      </c>
      <c r="O6572" t="s">
        <v>21860</v>
      </c>
      <c r="P6572" s="2" t="s">
        <v>26</v>
      </c>
      <c r="Q6572" t="s">
        <v>50</v>
      </c>
      <c r="R6572">
        <v>61.62</v>
      </c>
      <c r="S6572">
        <v>63.36</v>
      </c>
      <c r="T6572" t="s">
        <v>21861</v>
      </c>
    </row>
    <row r="6573" spans="1:20" x14ac:dyDescent="0.25">
      <c r="A6573" s="1" t="str">
        <f>HYPERLINK("https://vegkart.atlas.vegvesen.no/#/@-11304.0,6563450.1,18/hva:hva%5B0%5D%5Bfilter%5D%5B0%5D%5Boperator%5D=%21%3D&amp;hva%5B0%5D%5Bfilter%5D%5B0%5D%5Btype_id%5D=5897&amp;hva%5B0%5D%5Bfilter%5D%5B0%5D%5Bverdi%5D=&amp;hva%5B0%5D%5Bid%5D=47/når:2019-05-06", "Vegkart")</f>
        <v>Vegkart</v>
      </c>
      <c r="B6573">
        <v>920659926</v>
      </c>
      <c r="C6573">
        <v>47</v>
      </c>
      <c r="D6573" t="s">
        <v>16854</v>
      </c>
      <c r="E6573">
        <v>5897</v>
      </c>
      <c r="F6573" t="s">
        <v>23479</v>
      </c>
      <c r="G6573">
        <v>1</v>
      </c>
      <c r="H6573" t="s">
        <v>21857</v>
      </c>
      <c r="J6573" t="s">
        <v>21833</v>
      </c>
      <c r="K6573" t="s">
        <v>170</v>
      </c>
      <c r="L6573" t="s">
        <v>33</v>
      </c>
      <c r="M6573" t="s">
        <v>21858</v>
      </c>
      <c r="N6573" t="s">
        <v>21862</v>
      </c>
      <c r="O6573" t="s">
        <v>21863</v>
      </c>
      <c r="P6573" s="2" t="s">
        <v>26</v>
      </c>
      <c r="Q6573" t="s">
        <v>50</v>
      </c>
      <c r="R6573">
        <v>56.26</v>
      </c>
      <c r="S6573">
        <v>57.83</v>
      </c>
      <c r="T6573" t="s">
        <v>21864</v>
      </c>
    </row>
    <row r="6574" spans="1:20" x14ac:dyDescent="0.25">
      <c r="A6574" s="1" t="str">
        <f>HYPERLINK("https://vegkart.atlas.vegvesen.no/#/@242808.3,6625310.7,18/hva:hva%5B0%5D%5Bfilter%5D%5B0%5D%5Boperator%5D=%21%3D&amp;hva%5B0%5D%5Bfilter%5D%5B0%5D%5Btype_id%5D=5897&amp;hva%5B0%5D%5Bfilter%5D%5B0%5D%5Bverdi%5D=&amp;hva%5B0%5D%5Bid%5D=47/når:2019-05-16", "Vegkart")</f>
        <v>Vegkart</v>
      </c>
      <c r="B6574">
        <v>922094176</v>
      </c>
      <c r="C6574">
        <v>47</v>
      </c>
      <c r="D6574" t="s">
        <v>16854</v>
      </c>
      <c r="E6574">
        <v>5897</v>
      </c>
      <c r="F6574" t="s">
        <v>23479</v>
      </c>
      <c r="G6574">
        <v>1</v>
      </c>
      <c r="H6574" t="s">
        <v>21865</v>
      </c>
      <c r="J6574" t="s">
        <v>21833</v>
      </c>
      <c r="K6574" t="s">
        <v>132</v>
      </c>
      <c r="L6574" t="s">
        <v>33</v>
      </c>
      <c r="M6574" t="s">
        <v>21866</v>
      </c>
      <c r="N6574" t="s">
        <v>21867</v>
      </c>
      <c r="O6574" t="s">
        <v>21868</v>
      </c>
      <c r="P6574" s="2" t="s">
        <v>26</v>
      </c>
      <c r="Q6574" t="s">
        <v>50</v>
      </c>
      <c r="R6574">
        <v>40.57</v>
      </c>
      <c r="S6574">
        <v>40.659999999999997</v>
      </c>
      <c r="T6574" t="s">
        <v>21869</v>
      </c>
    </row>
    <row r="6575" spans="1:20" x14ac:dyDescent="0.25">
      <c r="A6575" s="1" t="str">
        <f>HYPERLINK("https://vegkart.atlas.vegvesen.no/#/@-9224.8,6555699.2,18/hva:hva%5B0%5D%5Bfilter%5D%5B0%5D%5Boperator%5D=%21%3D&amp;hva%5B0%5D%5Bfilter%5D%5B0%5D%5Btype_id%5D=5897&amp;hva%5B0%5D%5Bfilter%5D%5B0%5D%5Bverdi%5D=&amp;hva%5B0%5D%5Bid%5D=47/når:2019-05-16", "Vegkart")</f>
        <v>Vegkart</v>
      </c>
      <c r="B6575">
        <v>922559954</v>
      </c>
      <c r="C6575">
        <v>47</v>
      </c>
      <c r="D6575" t="s">
        <v>16854</v>
      </c>
      <c r="E6575">
        <v>5897</v>
      </c>
      <c r="F6575" t="s">
        <v>23479</v>
      </c>
      <c r="G6575">
        <v>1</v>
      </c>
      <c r="H6575" t="s">
        <v>21865</v>
      </c>
      <c r="J6575" t="s">
        <v>21833</v>
      </c>
      <c r="K6575" t="s">
        <v>170</v>
      </c>
      <c r="L6575" t="s">
        <v>33</v>
      </c>
      <c r="M6575" t="s">
        <v>212</v>
      </c>
      <c r="N6575" t="s">
        <v>21870</v>
      </c>
      <c r="O6575" t="s">
        <v>21871</v>
      </c>
      <c r="P6575" s="2" t="s">
        <v>26</v>
      </c>
      <c r="Q6575" t="s">
        <v>50</v>
      </c>
      <c r="R6575">
        <v>90.3</v>
      </c>
      <c r="S6575">
        <v>90.62</v>
      </c>
      <c r="T6575" t="s">
        <v>21872</v>
      </c>
    </row>
    <row r="6576" spans="1:20" x14ac:dyDescent="0.25">
      <c r="A6576" s="1" t="str">
        <f>HYPERLINK("https://vegkart.atlas.vegvesen.no/#/@-8852.5,6555571.8,18/hva:hva%5B0%5D%5Bfilter%5D%5B0%5D%5Boperator%5D=%21%3D&amp;hva%5B0%5D%5Bfilter%5D%5B0%5D%5Btype_id%5D=5897&amp;hva%5B0%5D%5Bfilter%5D%5B0%5D%5Bverdi%5D=&amp;hva%5B0%5D%5Bid%5D=47/når:2019-05-16", "Vegkart")</f>
        <v>Vegkart</v>
      </c>
      <c r="B6576">
        <v>922559955</v>
      </c>
      <c r="C6576">
        <v>47</v>
      </c>
      <c r="D6576" t="s">
        <v>16854</v>
      </c>
      <c r="E6576">
        <v>5897</v>
      </c>
      <c r="F6576" t="s">
        <v>23479</v>
      </c>
      <c r="G6576">
        <v>1</v>
      </c>
      <c r="H6576" t="s">
        <v>21865</v>
      </c>
      <c r="J6576" t="s">
        <v>21833</v>
      </c>
      <c r="K6576" t="s">
        <v>170</v>
      </c>
      <c r="L6576" t="s">
        <v>33</v>
      </c>
      <c r="M6576" t="s">
        <v>212</v>
      </c>
      <c r="N6576" t="s">
        <v>21873</v>
      </c>
      <c r="O6576" t="s">
        <v>21874</v>
      </c>
      <c r="P6576" s="2" t="s">
        <v>26</v>
      </c>
      <c r="Q6576" t="s">
        <v>50</v>
      </c>
      <c r="R6576">
        <v>45.3</v>
      </c>
      <c r="S6576">
        <v>46</v>
      </c>
      <c r="T6576" t="s">
        <v>21875</v>
      </c>
    </row>
    <row r="6577" spans="1:20" x14ac:dyDescent="0.25">
      <c r="A6577" s="1" t="str">
        <f>HYPERLINK("https://vegkart.atlas.vegvesen.no/#/@97146.8,6476041.4,18/hva:hva%5B0%5D%5Bfilter%5D%5B0%5D%5Boperator%5D=%21%3D&amp;hva%5B0%5D%5Bfilter%5D%5B0%5D%5Btype_id%5D=5897&amp;hva%5B0%5D%5Bfilter%5D%5B0%5D%5Bverdi%5D=&amp;hva%5B0%5D%5Bid%5D=47/når:2019-05-22", "Vegkart")</f>
        <v>Vegkart</v>
      </c>
      <c r="B6577">
        <v>922806834</v>
      </c>
      <c r="C6577">
        <v>47</v>
      </c>
      <c r="D6577" t="s">
        <v>16854</v>
      </c>
      <c r="E6577">
        <v>5897</v>
      </c>
      <c r="F6577" t="s">
        <v>23479</v>
      </c>
      <c r="G6577">
        <v>2</v>
      </c>
      <c r="H6577" t="s">
        <v>21092</v>
      </c>
      <c r="J6577" t="s">
        <v>21833</v>
      </c>
      <c r="K6577" t="s">
        <v>86</v>
      </c>
      <c r="L6577" t="s">
        <v>113</v>
      </c>
      <c r="M6577" t="s">
        <v>198</v>
      </c>
      <c r="N6577" t="s">
        <v>21876</v>
      </c>
      <c r="O6577" t="s">
        <v>21877</v>
      </c>
      <c r="P6577" s="2" t="s">
        <v>37</v>
      </c>
      <c r="Q6577" t="s">
        <v>1208</v>
      </c>
      <c r="R6577">
        <v>0</v>
      </c>
      <c r="S6577">
        <v>101.51</v>
      </c>
      <c r="T6577" t="s">
        <v>21878</v>
      </c>
    </row>
    <row r="6578" spans="1:20" x14ac:dyDescent="0.25">
      <c r="A6578" s="1" t="str">
        <f>HYPERLINK("https://vegkart.atlas.vegvesen.no/#/@469389.2,7358746.5,18/hva:hva%5B0%5D%5Bfilter%5D%5B0%5D%5Boperator%5D=%21%3D&amp;hva%5B0%5D%5Bfilter%5D%5B0%5D%5Btype_id%5D=5897&amp;hva%5B0%5D%5Bfilter%5D%5B0%5D%5Bverdi%5D=&amp;hva%5B0%5D%5Bid%5D=47/når:2019-05-23", "Vegkart")</f>
        <v>Vegkart</v>
      </c>
      <c r="B6578">
        <v>924980077</v>
      </c>
      <c r="C6578">
        <v>47</v>
      </c>
      <c r="D6578" t="s">
        <v>16854</v>
      </c>
      <c r="E6578">
        <v>5897</v>
      </c>
      <c r="F6578" t="s">
        <v>23479</v>
      </c>
      <c r="G6578">
        <v>1</v>
      </c>
      <c r="H6578" t="s">
        <v>21879</v>
      </c>
      <c r="J6578" t="s">
        <v>21833</v>
      </c>
      <c r="K6578" t="s">
        <v>53</v>
      </c>
      <c r="L6578" t="s">
        <v>80</v>
      </c>
      <c r="M6578" t="s">
        <v>105</v>
      </c>
      <c r="N6578" t="s">
        <v>21880</v>
      </c>
      <c r="O6578" t="s">
        <v>21881</v>
      </c>
      <c r="P6578" s="2" t="s">
        <v>26</v>
      </c>
      <c r="Q6578" t="s">
        <v>50</v>
      </c>
      <c r="R6578">
        <v>64.52</v>
      </c>
      <c r="S6578">
        <v>65.52</v>
      </c>
      <c r="T6578" t="s">
        <v>21882</v>
      </c>
    </row>
    <row r="6579" spans="1:20" x14ac:dyDescent="0.25">
      <c r="A6579" s="1" t="str">
        <f>HYPERLINK("https://vegkart.atlas.vegvesen.no/#/@469320.2,7359696.2,18/hva:hva%5B0%5D%5Bfilter%5D%5B0%5D%5Boperator%5D=%21%3D&amp;hva%5B0%5D%5Bfilter%5D%5B0%5D%5Btype_id%5D=5897&amp;hva%5B0%5D%5Bfilter%5D%5B0%5D%5Bverdi%5D=&amp;hva%5B0%5D%5Bid%5D=47/når:2019-05-23", "Vegkart")</f>
        <v>Vegkart</v>
      </c>
      <c r="B6579">
        <v>924980078</v>
      </c>
      <c r="C6579">
        <v>47</v>
      </c>
      <c r="D6579" t="s">
        <v>16854</v>
      </c>
      <c r="E6579">
        <v>5897</v>
      </c>
      <c r="F6579" t="s">
        <v>23479</v>
      </c>
      <c r="G6579">
        <v>1</v>
      </c>
      <c r="H6579" t="s">
        <v>21879</v>
      </c>
      <c r="J6579" t="s">
        <v>21833</v>
      </c>
      <c r="K6579" t="s">
        <v>53</v>
      </c>
      <c r="L6579" t="s">
        <v>80</v>
      </c>
      <c r="M6579" t="s">
        <v>105</v>
      </c>
      <c r="N6579" t="s">
        <v>21883</v>
      </c>
      <c r="O6579" t="s">
        <v>21884</v>
      </c>
      <c r="P6579" s="2" t="s">
        <v>26</v>
      </c>
      <c r="Q6579" t="s">
        <v>50</v>
      </c>
      <c r="R6579">
        <v>65</v>
      </c>
      <c r="S6579">
        <v>65.430000000000007</v>
      </c>
      <c r="T6579" t="s">
        <v>21885</v>
      </c>
    </row>
    <row r="6580" spans="1:20" x14ac:dyDescent="0.25">
      <c r="A6580" s="1" t="str">
        <f>HYPERLINK("https://vegkart.atlas.vegvesen.no/#/@111578.4,6475637.5,18/hva:hva%5B0%5D%5Bfilter%5D%5B0%5D%5Boperator%5D=%21%3D&amp;hva%5B0%5D%5Bfilter%5D%5B0%5D%5Btype_id%5D=5897&amp;hva%5B0%5D%5Bfilter%5D%5B0%5D%5Bverdi%5D=&amp;hva%5B0%5D%5Bid%5D=47/når:2019-06-18", "Vegkart")</f>
        <v>Vegkart</v>
      </c>
      <c r="B6580">
        <v>936450204</v>
      </c>
      <c r="C6580">
        <v>47</v>
      </c>
      <c r="D6580" t="s">
        <v>16854</v>
      </c>
      <c r="E6580">
        <v>5897</v>
      </c>
      <c r="F6580" t="s">
        <v>23479</v>
      </c>
      <c r="G6580">
        <v>1</v>
      </c>
      <c r="H6580" t="s">
        <v>21886</v>
      </c>
      <c r="J6580" t="s">
        <v>21833</v>
      </c>
      <c r="K6580" t="s">
        <v>86</v>
      </c>
      <c r="L6580" t="s">
        <v>33</v>
      </c>
      <c r="M6580" t="s">
        <v>21887</v>
      </c>
      <c r="N6580" t="s">
        <v>21888</v>
      </c>
      <c r="O6580" t="s">
        <v>21889</v>
      </c>
      <c r="P6580" s="2" t="s">
        <v>26</v>
      </c>
      <c r="Q6580" t="s">
        <v>50</v>
      </c>
      <c r="R6580">
        <v>46.29</v>
      </c>
      <c r="S6580">
        <v>46.76</v>
      </c>
      <c r="T6580" t="s">
        <v>21890</v>
      </c>
    </row>
    <row r="6581" spans="1:20" x14ac:dyDescent="0.25">
      <c r="A6581" s="1" t="str">
        <f>HYPERLINK("https://vegkart.atlas.vegvesen.no/#/@195295.5,6554449.9,18/hva:hva%5B0%5D%5Bfilter%5D%5B0%5D%5Boperator%5D=%21%3D&amp;hva%5B0%5D%5Bfilter%5D%5B0%5D%5Btype_id%5D=5897&amp;hva%5B0%5D%5Bfilter%5D%5B0%5D%5Bverdi%5D=&amp;hva%5B0%5D%5Bid%5D=47/når:2022-12-06", "Vegkart")</f>
        <v>Vegkart</v>
      </c>
      <c r="B6581">
        <v>950801061</v>
      </c>
      <c r="C6581">
        <v>47</v>
      </c>
      <c r="D6581" t="s">
        <v>16854</v>
      </c>
      <c r="E6581">
        <v>5897</v>
      </c>
      <c r="F6581" t="s">
        <v>23479</v>
      </c>
      <c r="G6581">
        <v>2</v>
      </c>
      <c r="H6581" t="s">
        <v>17967</v>
      </c>
      <c r="J6581" t="s">
        <v>21833</v>
      </c>
      <c r="K6581" t="s">
        <v>197</v>
      </c>
      <c r="L6581" t="s">
        <v>33</v>
      </c>
      <c r="M6581" t="s">
        <v>18235</v>
      </c>
      <c r="N6581" t="s">
        <v>21891</v>
      </c>
      <c r="O6581" t="s">
        <v>21892</v>
      </c>
      <c r="P6581" s="2" t="s">
        <v>37</v>
      </c>
      <c r="Q6581" t="s">
        <v>1208</v>
      </c>
      <c r="R6581">
        <v>0</v>
      </c>
      <c r="S6581">
        <v>70.17</v>
      </c>
      <c r="T6581" t="s">
        <v>21893</v>
      </c>
    </row>
    <row r="6582" spans="1:20" x14ac:dyDescent="0.25">
      <c r="A6582" s="1" t="str">
        <f>HYPERLINK("https://vegkart.atlas.vegvesen.no/#/@173717.9,6549488.8,18/hva:hva%5B0%5D%5Bfilter%5D%5B0%5D%5Boperator%5D=%21%3D&amp;hva%5B0%5D%5Bfilter%5D%5B0%5D%5Btype_id%5D=5897&amp;hva%5B0%5D%5Bfilter%5D%5B0%5D%5Bverdi%5D=&amp;hva%5B0%5D%5Bid%5D=47/når:2022-12-06", "Vegkart")</f>
        <v>Vegkart</v>
      </c>
      <c r="B6582">
        <v>952300507</v>
      </c>
      <c r="C6582">
        <v>47</v>
      </c>
      <c r="D6582" t="s">
        <v>16854</v>
      </c>
      <c r="E6582">
        <v>5897</v>
      </c>
      <c r="F6582" t="s">
        <v>23479</v>
      </c>
      <c r="G6582">
        <v>2</v>
      </c>
      <c r="H6582" t="s">
        <v>17967</v>
      </c>
      <c r="J6582" t="s">
        <v>21833</v>
      </c>
      <c r="K6582" t="s">
        <v>197</v>
      </c>
      <c r="L6582" t="s">
        <v>33</v>
      </c>
      <c r="M6582" t="s">
        <v>17969</v>
      </c>
      <c r="N6582" t="s">
        <v>21894</v>
      </c>
      <c r="O6582" t="s">
        <v>21895</v>
      </c>
      <c r="P6582" s="2" t="s">
        <v>37</v>
      </c>
      <c r="Q6582" t="s">
        <v>1208</v>
      </c>
      <c r="R6582">
        <v>0</v>
      </c>
      <c r="S6582">
        <v>42.81</v>
      </c>
      <c r="T6582" t="s">
        <v>21896</v>
      </c>
    </row>
    <row r="6583" spans="1:20" x14ac:dyDescent="0.25">
      <c r="A6583" s="1" t="str">
        <f>HYPERLINK("https://vegkart.atlas.vegvesen.no/#/@173686.7,6549949.7,18/hva:hva%5B0%5D%5Bfilter%5D%5B0%5D%5Boperator%5D=%21%3D&amp;hva%5B0%5D%5Bfilter%5D%5B0%5D%5Btype_id%5D=5897&amp;hva%5B0%5D%5Bfilter%5D%5B0%5D%5Bverdi%5D=&amp;hva%5B0%5D%5Bid%5D=47/når:2022-12-06", "Vegkart")</f>
        <v>Vegkart</v>
      </c>
      <c r="B6583">
        <v>952300514</v>
      </c>
      <c r="C6583">
        <v>47</v>
      </c>
      <c r="D6583" t="s">
        <v>16854</v>
      </c>
      <c r="E6583">
        <v>5897</v>
      </c>
      <c r="F6583" t="s">
        <v>23479</v>
      </c>
      <c r="G6583">
        <v>2</v>
      </c>
      <c r="H6583" t="s">
        <v>17967</v>
      </c>
      <c r="J6583" t="s">
        <v>21833</v>
      </c>
      <c r="K6583" t="s">
        <v>197</v>
      </c>
      <c r="L6583" t="s">
        <v>33</v>
      </c>
      <c r="M6583" t="s">
        <v>17969</v>
      </c>
      <c r="N6583" t="s">
        <v>21897</v>
      </c>
      <c r="O6583" t="s">
        <v>21898</v>
      </c>
      <c r="P6583" s="2" t="s">
        <v>37</v>
      </c>
      <c r="Q6583" t="s">
        <v>1208</v>
      </c>
      <c r="R6583">
        <v>0</v>
      </c>
      <c r="S6583">
        <v>47.99</v>
      </c>
      <c r="T6583" t="s">
        <v>21899</v>
      </c>
    </row>
    <row r="6584" spans="1:20" x14ac:dyDescent="0.25">
      <c r="A6584" s="1" t="str">
        <f>HYPERLINK("https://vegkart.atlas.vegvesen.no/#/@173692.9,6549988.7,18/hva:hva%5B0%5D%5Bfilter%5D%5B0%5D%5Boperator%5D=%21%3D&amp;hva%5B0%5D%5Bfilter%5D%5B0%5D%5Btype_id%5D=5897&amp;hva%5B0%5D%5Bfilter%5D%5B0%5D%5Bverdi%5D=&amp;hva%5B0%5D%5Bid%5D=47/når:2022-12-06", "Vegkart")</f>
        <v>Vegkart</v>
      </c>
      <c r="B6584">
        <v>952300515</v>
      </c>
      <c r="C6584">
        <v>47</v>
      </c>
      <c r="D6584" t="s">
        <v>16854</v>
      </c>
      <c r="E6584">
        <v>5897</v>
      </c>
      <c r="F6584" t="s">
        <v>23479</v>
      </c>
      <c r="G6584">
        <v>2</v>
      </c>
      <c r="H6584" t="s">
        <v>17967</v>
      </c>
      <c r="J6584" t="s">
        <v>21833</v>
      </c>
      <c r="K6584" t="s">
        <v>197</v>
      </c>
      <c r="L6584" t="s">
        <v>33</v>
      </c>
      <c r="M6584" t="s">
        <v>17969</v>
      </c>
      <c r="N6584" t="s">
        <v>21900</v>
      </c>
      <c r="O6584" t="s">
        <v>21901</v>
      </c>
      <c r="P6584" s="2" t="s">
        <v>37</v>
      </c>
      <c r="Q6584" t="s">
        <v>1208</v>
      </c>
      <c r="R6584">
        <v>0</v>
      </c>
      <c r="S6584">
        <v>50.88</v>
      </c>
      <c r="T6584" t="s">
        <v>21902</v>
      </c>
    </row>
    <row r="6585" spans="1:20" x14ac:dyDescent="0.25">
      <c r="A6585" s="1" t="str">
        <f>HYPERLINK("https://vegkart.atlas.vegvesen.no/#/@187316.2,6548649.4,18/hva:hva%5B0%5D%5Bfilter%5D%5B0%5D%5Boperator%5D=%21%3D&amp;hva%5B0%5D%5Bfilter%5D%5B0%5D%5Btype_id%5D=5897&amp;hva%5B0%5D%5Bfilter%5D%5B0%5D%5Bverdi%5D=&amp;hva%5B0%5D%5Bid%5D=47/når:2022-12-06", "Vegkart")</f>
        <v>Vegkart</v>
      </c>
      <c r="B6585">
        <v>958249671</v>
      </c>
      <c r="C6585">
        <v>47</v>
      </c>
      <c r="D6585" t="s">
        <v>16854</v>
      </c>
      <c r="E6585">
        <v>5897</v>
      </c>
      <c r="F6585" t="s">
        <v>23479</v>
      </c>
      <c r="G6585">
        <v>2</v>
      </c>
      <c r="H6585" t="s">
        <v>17967</v>
      </c>
      <c r="J6585" t="s">
        <v>21833</v>
      </c>
      <c r="K6585" t="s">
        <v>197</v>
      </c>
      <c r="L6585" t="s">
        <v>33</v>
      </c>
      <c r="M6585" t="s">
        <v>2140</v>
      </c>
      <c r="N6585" t="s">
        <v>21903</v>
      </c>
      <c r="O6585" t="s">
        <v>21904</v>
      </c>
      <c r="P6585" s="2" t="s">
        <v>37</v>
      </c>
      <c r="Q6585" t="s">
        <v>1208</v>
      </c>
      <c r="R6585">
        <v>0</v>
      </c>
      <c r="S6585">
        <v>28.94</v>
      </c>
      <c r="T6585" t="s">
        <v>21905</v>
      </c>
    </row>
    <row r="6586" spans="1:20" x14ac:dyDescent="0.25">
      <c r="A6586" s="1" t="str">
        <f>HYPERLINK("https://vegkart.atlas.vegvesen.no/#/@-35837.1,6727367.7,18/hva:hva%5B0%5D%5Bfilter%5D%5B0%5D%5Boperator%5D=%21%3D&amp;hva%5B0%5D%5Bfilter%5D%5B0%5D%5Btype_id%5D=5897&amp;hva%5B0%5D%5Bfilter%5D%5B0%5D%5Bverdi%5D=&amp;hva%5B0%5D%5Bid%5D=47/når:2019-07-03", "Vegkart")</f>
        <v>Vegkart</v>
      </c>
      <c r="B6586">
        <v>959025873</v>
      </c>
      <c r="C6586">
        <v>47</v>
      </c>
      <c r="D6586" t="s">
        <v>16854</v>
      </c>
      <c r="E6586">
        <v>5897</v>
      </c>
      <c r="F6586" t="s">
        <v>23479</v>
      </c>
      <c r="G6586">
        <v>1</v>
      </c>
      <c r="H6586" t="s">
        <v>21906</v>
      </c>
      <c r="J6586" t="s">
        <v>21833</v>
      </c>
      <c r="K6586" t="s">
        <v>21</v>
      </c>
      <c r="L6586" t="s">
        <v>33</v>
      </c>
      <c r="M6586" t="s">
        <v>21907</v>
      </c>
      <c r="N6586" t="s">
        <v>21908</v>
      </c>
      <c r="O6586" t="s">
        <v>21909</v>
      </c>
      <c r="P6586" s="2" t="s">
        <v>165</v>
      </c>
      <c r="Q6586" t="s">
        <v>641</v>
      </c>
      <c r="R6586">
        <v>0</v>
      </c>
      <c r="S6586">
        <v>147.05000000000001</v>
      </c>
      <c r="T6586" t="s">
        <v>167</v>
      </c>
    </row>
    <row r="6587" spans="1:20" x14ac:dyDescent="0.25">
      <c r="A6587" s="1" t="str">
        <f>HYPERLINK("https://vegkart.atlas.vegvesen.no/#/@-19779.7,6759442.5,18/hva:hva%5B0%5D%5Bfilter%5D%5B0%5D%5Boperator%5D=%21%3D&amp;hva%5B0%5D%5Bfilter%5D%5B0%5D%5Btype_id%5D=5897&amp;hva%5B0%5D%5Bfilter%5D%5B0%5D%5Bverdi%5D=&amp;hva%5B0%5D%5Bid%5D=47/når:2019-08-09", "Vegkart")</f>
        <v>Vegkart</v>
      </c>
      <c r="B6587">
        <v>960016537</v>
      </c>
      <c r="C6587">
        <v>47</v>
      </c>
      <c r="D6587" t="s">
        <v>16854</v>
      </c>
      <c r="E6587">
        <v>5897</v>
      </c>
      <c r="F6587" t="s">
        <v>23479</v>
      </c>
      <c r="G6587">
        <v>1</v>
      </c>
      <c r="H6587" t="s">
        <v>21910</v>
      </c>
      <c r="J6587" t="s">
        <v>21833</v>
      </c>
      <c r="K6587" t="s">
        <v>21</v>
      </c>
      <c r="L6587" t="s">
        <v>80</v>
      </c>
      <c r="M6587" t="s">
        <v>81</v>
      </c>
      <c r="N6587" t="s">
        <v>21911</v>
      </c>
      <c r="O6587" t="s">
        <v>21912</v>
      </c>
      <c r="P6587" s="2" t="s">
        <v>26</v>
      </c>
      <c r="Q6587" t="s">
        <v>50</v>
      </c>
      <c r="R6587">
        <v>46.8</v>
      </c>
      <c r="S6587">
        <v>48.86</v>
      </c>
      <c r="T6587" t="s">
        <v>21913</v>
      </c>
    </row>
    <row r="6588" spans="1:20" x14ac:dyDescent="0.25">
      <c r="A6588" s="1" t="str">
        <f>HYPERLINK("https://vegkart.atlas.vegvesen.no/#/@-30454.3,6758164.6,18/hva:hva%5B0%5D%5Bfilter%5D%5B0%5D%5Boperator%5D=%21%3D&amp;hva%5B0%5D%5Bfilter%5D%5B0%5D%5Btype_id%5D=5897&amp;hva%5B0%5D%5Bfilter%5D%5B0%5D%5Bverdi%5D=&amp;hva%5B0%5D%5Bid%5D=47/når:2019-08-09", "Vegkart")</f>
        <v>Vegkart</v>
      </c>
      <c r="B6588">
        <v>960019451</v>
      </c>
      <c r="C6588">
        <v>47</v>
      </c>
      <c r="D6588" t="s">
        <v>16854</v>
      </c>
      <c r="E6588">
        <v>5897</v>
      </c>
      <c r="F6588" t="s">
        <v>23479</v>
      </c>
      <c r="G6588">
        <v>1</v>
      </c>
      <c r="H6588" t="s">
        <v>21910</v>
      </c>
      <c r="J6588" t="s">
        <v>21833</v>
      </c>
      <c r="K6588" t="s">
        <v>21</v>
      </c>
      <c r="L6588" t="s">
        <v>33</v>
      </c>
      <c r="M6588" t="s">
        <v>795</v>
      </c>
      <c r="N6588" t="s">
        <v>21914</v>
      </c>
      <c r="O6588" t="s">
        <v>21915</v>
      </c>
      <c r="P6588" s="2" t="s">
        <v>26</v>
      </c>
      <c r="Q6588" t="s">
        <v>50</v>
      </c>
      <c r="R6588">
        <v>39.94</v>
      </c>
      <c r="S6588">
        <v>40.229999999999997</v>
      </c>
      <c r="T6588" t="s">
        <v>21916</v>
      </c>
    </row>
    <row r="6589" spans="1:20" x14ac:dyDescent="0.25">
      <c r="A6589" s="1" t="str">
        <f>HYPERLINK("https://vegkart.atlas.vegvesen.no/#/@251169.6,6961509.9,18/hva:hva%5B0%5D%5Bfilter%5D%5B0%5D%5Boperator%5D=%21%3D&amp;hva%5B0%5D%5Bfilter%5D%5B0%5D%5Btype_id%5D=5897&amp;hva%5B0%5D%5Bfilter%5D%5B0%5D%5Bverdi%5D=&amp;hva%5B0%5D%5Bid%5D=47/når:2024-06-25", "Vegkart")</f>
        <v>Vegkart</v>
      </c>
      <c r="B6589">
        <v>960941763</v>
      </c>
      <c r="C6589">
        <v>47</v>
      </c>
      <c r="D6589" t="s">
        <v>16854</v>
      </c>
      <c r="E6589">
        <v>5897</v>
      </c>
      <c r="F6589" t="s">
        <v>23479</v>
      </c>
      <c r="G6589">
        <v>2</v>
      </c>
      <c r="H6589" t="s">
        <v>8255</v>
      </c>
      <c r="J6589" t="s">
        <v>21833</v>
      </c>
      <c r="K6589" t="s">
        <v>192</v>
      </c>
      <c r="L6589" t="s">
        <v>113</v>
      </c>
      <c r="M6589" t="s">
        <v>335</v>
      </c>
      <c r="N6589" t="s">
        <v>21917</v>
      </c>
      <c r="O6589" t="s">
        <v>21918</v>
      </c>
      <c r="P6589" s="2" t="s">
        <v>26</v>
      </c>
      <c r="Q6589" t="s">
        <v>50</v>
      </c>
      <c r="R6589">
        <v>58.28</v>
      </c>
      <c r="S6589">
        <v>60.4</v>
      </c>
      <c r="T6589" t="s">
        <v>21919</v>
      </c>
    </row>
    <row r="6590" spans="1:20" x14ac:dyDescent="0.25">
      <c r="A6590" s="1" t="str">
        <f>HYPERLINK("https://vegkart.atlas.vegvesen.no/#/@251068.0,6961762.5,18/hva:hva%5B0%5D%5Bfilter%5D%5B0%5D%5Boperator%5D=%21%3D&amp;hva%5B0%5D%5Bfilter%5D%5B0%5D%5Btype_id%5D=5897&amp;hva%5B0%5D%5Bfilter%5D%5B0%5D%5Bverdi%5D=&amp;hva%5B0%5D%5Bid%5D=47/når:2007-09-11", "Vegkart")</f>
        <v>Vegkart</v>
      </c>
      <c r="B6590">
        <v>960941767</v>
      </c>
      <c r="C6590">
        <v>47</v>
      </c>
      <c r="D6590" t="s">
        <v>16854</v>
      </c>
      <c r="E6590">
        <v>5897</v>
      </c>
      <c r="F6590" t="s">
        <v>23479</v>
      </c>
      <c r="G6590">
        <v>1</v>
      </c>
      <c r="H6590" t="s">
        <v>18164</v>
      </c>
      <c r="J6590" t="s">
        <v>21833</v>
      </c>
      <c r="K6590" t="s">
        <v>192</v>
      </c>
      <c r="L6590" t="s">
        <v>113</v>
      </c>
      <c r="M6590" t="s">
        <v>335</v>
      </c>
      <c r="N6590" t="s">
        <v>21920</v>
      </c>
      <c r="O6590" t="s">
        <v>21921</v>
      </c>
      <c r="P6590" s="2" t="s">
        <v>26</v>
      </c>
      <c r="Q6590" t="s">
        <v>50</v>
      </c>
      <c r="R6590">
        <v>43.51</v>
      </c>
      <c r="S6590">
        <v>49.97</v>
      </c>
      <c r="T6590" t="s">
        <v>21922</v>
      </c>
    </row>
    <row r="6591" spans="1:20" x14ac:dyDescent="0.25">
      <c r="A6591" s="1" t="str">
        <f>HYPERLINK("https://vegkart.atlas.vegvesen.no/#/@-37505.4,6576552.7,18/hva:hva%5B0%5D%5Bfilter%5D%5B0%5D%5Boperator%5D=%21%3D&amp;hva%5B0%5D%5Bfilter%5D%5B0%5D%5Btype_id%5D=5897&amp;hva%5B0%5D%5Bfilter%5D%5B0%5D%5Bverdi%5D=&amp;hva%5B0%5D%5Bid%5D=47/når:2019-08-19", "Vegkart")</f>
        <v>Vegkart</v>
      </c>
      <c r="B6591">
        <v>962632663</v>
      </c>
      <c r="C6591">
        <v>47</v>
      </c>
      <c r="D6591" t="s">
        <v>16854</v>
      </c>
      <c r="E6591">
        <v>5897</v>
      </c>
      <c r="F6591" t="s">
        <v>23479</v>
      </c>
      <c r="G6591">
        <v>1</v>
      </c>
      <c r="H6591" t="s">
        <v>21923</v>
      </c>
      <c r="J6591" t="s">
        <v>21833</v>
      </c>
      <c r="K6591" t="s">
        <v>170</v>
      </c>
      <c r="L6591" t="s">
        <v>33</v>
      </c>
      <c r="M6591" t="s">
        <v>21924</v>
      </c>
      <c r="N6591" t="s">
        <v>21925</v>
      </c>
      <c r="O6591" t="s">
        <v>21926</v>
      </c>
      <c r="P6591" s="2" t="s">
        <v>26</v>
      </c>
      <c r="Q6591" t="s">
        <v>50</v>
      </c>
      <c r="R6591">
        <v>30.14</v>
      </c>
      <c r="S6591">
        <v>30.15</v>
      </c>
      <c r="T6591" t="s">
        <v>21927</v>
      </c>
    </row>
    <row r="6592" spans="1:20" x14ac:dyDescent="0.25">
      <c r="A6592" s="1" t="str">
        <f>HYPERLINK("https://vegkart.atlas.vegvesen.no/#/@-37517.1,6576540.6,18/hva:hva%5B0%5D%5Bfilter%5D%5B0%5D%5Boperator%5D=%21%3D&amp;hva%5B0%5D%5Bfilter%5D%5B0%5D%5Btype_id%5D=5897&amp;hva%5B0%5D%5Bfilter%5D%5B0%5D%5Bverdi%5D=&amp;hva%5B0%5D%5Bid%5D=47/når:2019-08-19", "Vegkart")</f>
        <v>Vegkart</v>
      </c>
      <c r="B6592">
        <v>962632664</v>
      </c>
      <c r="C6592">
        <v>47</v>
      </c>
      <c r="D6592" t="s">
        <v>16854</v>
      </c>
      <c r="E6592">
        <v>5897</v>
      </c>
      <c r="F6592" t="s">
        <v>23479</v>
      </c>
      <c r="G6592">
        <v>1</v>
      </c>
      <c r="H6592" t="s">
        <v>21923</v>
      </c>
      <c r="J6592" t="s">
        <v>21833</v>
      </c>
      <c r="K6592" t="s">
        <v>170</v>
      </c>
      <c r="L6592" t="s">
        <v>33</v>
      </c>
      <c r="M6592" t="s">
        <v>21924</v>
      </c>
      <c r="N6592" t="s">
        <v>21928</v>
      </c>
      <c r="O6592" t="s">
        <v>21929</v>
      </c>
      <c r="P6592" s="2" t="s">
        <v>26</v>
      </c>
      <c r="Q6592" t="s">
        <v>50</v>
      </c>
      <c r="R6592">
        <v>30.14</v>
      </c>
      <c r="S6592">
        <v>30.15</v>
      </c>
      <c r="T6592" t="s">
        <v>21930</v>
      </c>
    </row>
    <row r="6593" spans="1:20" x14ac:dyDescent="0.25">
      <c r="A6593" s="1" t="str">
        <f>HYPERLINK("https://vegkart.atlas.vegvesen.no/#/@-51497.2,6612972.2,18/hva:hva%5B0%5D%5Bfilter%5D%5B0%5D%5Boperator%5D=%21%3D&amp;hva%5B0%5D%5Bfilter%5D%5B0%5D%5Btype_id%5D=5897&amp;hva%5B0%5D%5Bfilter%5D%5B0%5D%5Bverdi%5D=&amp;hva%5B0%5D%5Bid%5D=47/når:2021-07-25", "Vegkart")</f>
        <v>Vegkart</v>
      </c>
      <c r="B6593">
        <v>968411718</v>
      </c>
      <c r="C6593">
        <v>47</v>
      </c>
      <c r="D6593" t="s">
        <v>16854</v>
      </c>
      <c r="E6593">
        <v>5897</v>
      </c>
      <c r="F6593" t="s">
        <v>23479</v>
      </c>
      <c r="G6593">
        <v>2</v>
      </c>
      <c r="H6593" t="s">
        <v>21931</v>
      </c>
      <c r="J6593" t="s">
        <v>21833</v>
      </c>
      <c r="K6593" t="s">
        <v>170</v>
      </c>
      <c r="L6593" t="s">
        <v>33</v>
      </c>
      <c r="M6593" t="s">
        <v>11425</v>
      </c>
      <c r="N6593" t="s">
        <v>21932</v>
      </c>
      <c r="O6593" t="s">
        <v>21933</v>
      </c>
      <c r="P6593" s="2" t="s">
        <v>26</v>
      </c>
      <c r="Q6593" t="s">
        <v>50</v>
      </c>
      <c r="R6593">
        <v>66.77</v>
      </c>
      <c r="S6593">
        <v>67.22</v>
      </c>
      <c r="T6593" t="s">
        <v>21934</v>
      </c>
    </row>
    <row r="6594" spans="1:20" x14ac:dyDescent="0.25">
      <c r="A6594" s="1" t="str">
        <f>HYPERLINK("https://vegkart.atlas.vegvesen.no/#/@-51421.1,6612869.5,18/hva:hva%5B0%5D%5Bfilter%5D%5B0%5D%5Boperator%5D=%21%3D&amp;hva%5B0%5D%5Bfilter%5D%5B0%5D%5Btype_id%5D=5897&amp;hva%5B0%5D%5Bfilter%5D%5B0%5D%5Bverdi%5D=&amp;hva%5B0%5D%5Bid%5D=47/når:2021-07-25", "Vegkart")</f>
        <v>Vegkart</v>
      </c>
      <c r="B6594">
        <v>968411719</v>
      </c>
      <c r="C6594">
        <v>47</v>
      </c>
      <c r="D6594" t="s">
        <v>16854</v>
      </c>
      <c r="E6594">
        <v>5897</v>
      </c>
      <c r="F6594" t="s">
        <v>23479</v>
      </c>
      <c r="G6594">
        <v>2</v>
      </c>
      <c r="H6594" t="s">
        <v>21931</v>
      </c>
      <c r="J6594" t="s">
        <v>21833</v>
      </c>
      <c r="K6594" t="s">
        <v>170</v>
      </c>
      <c r="L6594" t="s">
        <v>33</v>
      </c>
      <c r="M6594" t="s">
        <v>11425</v>
      </c>
      <c r="N6594" t="s">
        <v>21935</v>
      </c>
      <c r="O6594" t="s">
        <v>21936</v>
      </c>
      <c r="P6594" s="2" t="s">
        <v>26</v>
      </c>
      <c r="Q6594" t="s">
        <v>50</v>
      </c>
      <c r="R6594">
        <v>59.56</v>
      </c>
      <c r="S6594">
        <v>61.14</v>
      </c>
      <c r="T6594" t="s">
        <v>21937</v>
      </c>
    </row>
    <row r="6595" spans="1:20" x14ac:dyDescent="0.25">
      <c r="A6595" s="1" t="str">
        <f>HYPERLINK("https://vegkart.atlas.vegvesen.no/#/@-51165.1,6612636.6,18/hva:hva%5B0%5D%5Bfilter%5D%5B0%5D%5Boperator%5D=%21%3D&amp;hva%5B0%5D%5Bfilter%5D%5B0%5D%5Btype_id%5D=5897&amp;hva%5B0%5D%5Bfilter%5D%5B0%5D%5Bverdi%5D=&amp;hva%5B0%5D%5Bid%5D=47/når:2021-07-25", "Vegkart")</f>
        <v>Vegkart</v>
      </c>
      <c r="B6595">
        <v>968411720</v>
      </c>
      <c r="C6595">
        <v>47</v>
      </c>
      <c r="D6595" t="s">
        <v>16854</v>
      </c>
      <c r="E6595">
        <v>5897</v>
      </c>
      <c r="F6595" t="s">
        <v>23479</v>
      </c>
      <c r="G6595">
        <v>2</v>
      </c>
      <c r="H6595" t="s">
        <v>21931</v>
      </c>
      <c r="J6595" t="s">
        <v>21833</v>
      </c>
      <c r="K6595" t="s">
        <v>170</v>
      </c>
      <c r="L6595" t="s">
        <v>33</v>
      </c>
      <c r="M6595" t="s">
        <v>11425</v>
      </c>
      <c r="N6595" t="s">
        <v>21938</v>
      </c>
      <c r="O6595" t="s">
        <v>21939</v>
      </c>
      <c r="P6595" s="2" t="s">
        <v>26</v>
      </c>
      <c r="Q6595" t="s">
        <v>50</v>
      </c>
      <c r="R6595">
        <v>52.13</v>
      </c>
      <c r="S6595">
        <v>52.24</v>
      </c>
      <c r="T6595" t="s">
        <v>21940</v>
      </c>
    </row>
    <row r="6596" spans="1:20" x14ac:dyDescent="0.25">
      <c r="A6596" s="1" t="str">
        <f>HYPERLINK("https://vegkart.atlas.vegvesen.no/#/@-51199.3,6612528.2,18/hva:hva%5B0%5D%5Bfilter%5D%5B0%5D%5Boperator%5D=%21%3D&amp;hva%5B0%5D%5Bfilter%5D%5B0%5D%5Btype_id%5D=5897&amp;hva%5B0%5D%5Bfilter%5D%5B0%5D%5Bverdi%5D=&amp;hva%5B0%5D%5Bid%5D=47/når:2021-07-25", "Vegkart")</f>
        <v>Vegkart</v>
      </c>
      <c r="B6596">
        <v>968411721</v>
      </c>
      <c r="C6596">
        <v>47</v>
      </c>
      <c r="D6596" t="s">
        <v>16854</v>
      </c>
      <c r="E6596">
        <v>5897</v>
      </c>
      <c r="F6596" t="s">
        <v>23479</v>
      </c>
      <c r="G6596">
        <v>2</v>
      </c>
      <c r="H6596" t="s">
        <v>21931</v>
      </c>
      <c r="J6596" t="s">
        <v>21833</v>
      </c>
      <c r="K6596" t="s">
        <v>170</v>
      </c>
      <c r="L6596" t="s">
        <v>33</v>
      </c>
      <c r="M6596" t="s">
        <v>11425</v>
      </c>
      <c r="N6596" t="s">
        <v>21941</v>
      </c>
      <c r="O6596" t="s">
        <v>21942</v>
      </c>
      <c r="P6596" s="2" t="s">
        <v>26</v>
      </c>
      <c r="Q6596" t="s">
        <v>50</v>
      </c>
      <c r="R6596">
        <v>51.56</v>
      </c>
      <c r="S6596">
        <v>51.67</v>
      </c>
      <c r="T6596" t="s">
        <v>21943</v>
      </c>
    </row>
    <row r="6597" spans="1:20" x14ac:dyDescent="0.25">
      <c r="A6597" s="1" t="str">
        <f>HYPERLINK("https://vegkart.atlas.vegvesen.no/#/@115896.3,6794178.2,18/hva:hva%5B0%5D%5Bfilter%5D%5B0%5D%5Boperator%5D=%21%3D&amp;hva%5B0%5D%5Bfilter%5D%5B0%5D%5Btype_id%5D=5897&amp;hva%5B0%5D%5Bfilter%5D%5B0%5D%5Bverdi%5D=&amp;hva%5B0%5D%5Bid%5D=47/når:2019-09-13", "Vegkart")</f>
        <v>Vegkart</v>
      </c>
      <c r="B6597">
        <v>975773515</v>
      </c>
      <c r="C6597">
        <v>47</v>
      </c>
      <c r="D6597" t="s">
        <v>16854</v>
      </c>
      <c r="E6597">
        <v>5897</v>
      </c>
      <c r="F6597" t="s">
        <v>23479</v>
      </c>
      <c r="G6597">
        <v>1</v>
      </c>
      <c r="H6597" t="s">
        <v>21944</v>
      </c>
      <c r="J6597" t="s">
        <v>21833</v>
      </c>
      <c r="K6597" t="s">
        <v>21</v>
      </c>
      <c r="L6597" t="s">
        <v>33</v>
      </c>
      <c r="M6597" t="s">
        <v>7634</v>
      </c>
      <c r="N6597" t="s">
        <v>21945</v>
      </c>
      <c r="O6597" t="s">
        <v>21946</v>
      </c>
      <c r="P6597" s="2" t="s">
        <v>37</v>
      </c>
      <c r="Q6597" t="s">
        <v>1208</v>
      </c>
      <c r="R6597">
        <v>7.53</v>
      </c>
      <c r="S6597">
        <v>86.99</v>
      </c>
      <c r="T6597" t="s">
        <v>21947</v>
      </c>
    </row>
    <row r="6598" spans="1:20" x14ac:dyDescent="0.25">
      <c r="A6598" s="1" t="str">
        <f>HYPERLINK("https://vegkart.atlas.vegvesen.no/#/@40025.8,6962235.6,18/hva:hva%5B0%5D%5Bfilter%5D%5B0%5D%5Boperator%5D=%21%3D&amp;hva%5B0%5D%5Bfilter%5D%5B0%5D%5Btype_id%5D=5897&amp;hva%5B0%5D%5Bfilter%5D%5B0%5D%5Bverdi%5D=&amp;hva%5B0%5D%5Bid%5D=47/når:2020-08-25", "Vegkart")</f>
        <v>Vegkart</v>
      </c>
      <c r="B6598">
        <v>975805618</v>
      </c>
      <c r="C6598">
        <v>47</v>
      </c>
      <c r="D6598" t="s">
        <v>16854</v>
      </c>
      <c r="E6598">
        <v>5897</v>
      </c>
      <c r="F6598" t="s">
        <v>23479</v>
      </c>
      <c r="G6598">
        <v>3</v>
      </c>
      <c r="H6598" t="s">
        <v>20792</v>
      </c>
      <c r="J6598" t="s">
        <v>21833</v>
      </c>
      <c r="K6598" t="s">
        <v>32</v>
      </c>
      <c r="L6598" t="s">
        <v>33</v>
      </c>
      <c r="M6598" t="s">
        <v>21948</v>
      </c>
      <c r="N6598" t="s">
        <v>21949</v>
      </c>
      <c r="O6598" t="s">
        <v>21950</v>
      </c>
      <c r="P6598" s="2" t="s">
        <v>165</v>
      </c>
      <c r="Q6598" t="s">
        <v>641</v>
      </c>
      <c r="R6598">
        <v>0</v>
      </c>
      <c r="S6598">
        <v>180.73</v>
      </c>
      <c r="T6598" t="s">
        <v>167</v>
      </c>
    </row>
    <row r="6599" spans="1:20" x14ac:dyDescent="0.25">
      <c r="A6599" s="1" t="str">
        <f>HYPERLINK("https://vegkart.atlas.vegvesen.no/#/@188348.4,6572324.8,18/hva:hva%5B0%5D%5Bfilter%5D%5B0%5D%5Boperator%5D=%21%3D&amp;hva%5B0%5D%5Bfilter%5D%5B0%5D%5Btype_id%5D=5897&amp;hva%5B0%5D%5Bfilter%5D%5B0%5D%5Bverdi%5D=&amp;hva%5B0%5D%5Bid%5D=47/når:2019-09-18", "Vegkart")</f>
        <v>Vegkart</v>
      </c>
      <c r="B6599">
        <v>977372592</v>
      </c>
      <c r="C6599">
        <v>47</v>
      </c>
      <c r="D6599" t="s">
        <v>16854</v>
      </c>
      <c r="E6599">
        <v>5897</v>
      </c>
      <c r="F6599" t="s">
        <v>23479</v>
      </c>
      <c r="G6599">
        <v>1</v>
      </c>
      <c r="H6599" t="s">
        <v>21951</v>
      </c>
      <c r="J6599" t="s">
        <v>21833</v>
      </c>
      <c r="K6599" t="s">
        <v>197</v>
      </c>
      <c r="L6599" t="s">
        <v>113</v>
      </c>
      <c r="M6599" t="s">
        <v>2618</v>
      </c>
      <c r="N6599" t="s">
        <v>21952</v>
      </c>
      <c r="O6599" t="s">
        <v>21953</v>
      </c>
      <c r="P6599" s="2" t="s">
        <v>37</v>
      </c>
      <c r="Q6599" t="s">
        <v>1208</v>
      </c>
      <c r="R6599">
        <v>0</v>
      </c>
      <c r="S6599">
        <v>132.94</v>
      </c>
      <c r="T6599" t="s">
        <v>21954</v>
      </c>
    </row>
    <row r="6600" spans="1:20" x14ac:dyDescent="0.25">
      <c r="A6600" s="1" t="str">
        <f>HYPERLINK("https://vegkart.atlas.vegvesen.no/#/@189981.1,6572857.0,18/hva:hva%5B0%5D%5Bfilter%5D%5B0%5D%5Boperator%5D=%21%3D&amp;hva%5B0%5D%5Bfilter%5D%5B0%5D%5Btype_id%5D=5897&amp;hva%5B0%5D%5Bfilter%5D%5B0%5D%5Bverdi%5D=&amp;hva%5B0%5D%5Bid%5D=47/når:2024-01-22", "Vegkart")</f>
        <v>Vegkart</v>
      </c>
      <c r="B6600">
        <v>977372594</v>
      </c>
      <c r="C6600">
        <v>47</v>
      </c>
      <c r="D6600" t="s">
        <v>16854</v>
      </c>
      <c r="E6600">
        <v>5897</v>
      </c>
      <c r="F6600" t="s">
        <v>23479</v>
      </c>
      <c r="G6600">
        <v>2</v>
      </c>
      <c r="H6600" t="s">
        <v>4644</v>
      </c>
      <c r="J6600" t="s">
        <v>21833</v>
      </c>
      <c r="K6600" t="s">
        <v>197</v>
      </c>
      <c r="L6600" t="s">
        <v>113</v>
      </c>
      <c r="M6600" t="s">
        <v>2618</v>
      </c>
      <c r="N6600" t="s">
        <v>21955</v>
      </c>
      <c r="O6600" t="s">
        <v>21956</v>
      </c>
      <c r="P6600" s="2" t="s">
        <v>37</v>
      </c>
      <c r="Q6600" t="s">
        <v>1208</v>
      </c>
      <c r="R6600">
        <v>0</v>
      </c>
      <c r="S6600">
        <v>139.34</v>
      </c>
      <c r="T6600" t="s">
        <v>21957</v>
      </c>
    </row>
    <row r="6601" spans="1:20" x14ac:dyDescent="0.25">
      <c r="A6601" s="1" t="str">
        <f>HYPERLINK("https://vegkart.atlas.vegvesen.no/#/@190014.0,6572901.9,18/hva:hva%5B0%5D%5Bfilter%5D%5B0%5D%5Boperator%5D=%21%3D&amp;hva%5B0%5D%5Bfilter%5D%5B0%5D%5Btype_id%5D=5897&amp;hva%5B0%5D%5Bfilter%5D%5B0%5D%5Bverdi%5D=&amp;hva%5B0%5D%5Bid%5D=47/når:2019-09-18", "Vegkart")</f>
        <v>Vegkart</v>
      </c>
      <c r="B6601">
        <v>977372595</v>
      </c>
      <c r="C6601">
        <v>47</v>
      </c>
      <c r="D6601" t="s">
        <v>16854</v>
      </c>
      <c r="E6601">
        <v>5897</v>
      </c>
      <c r="F6601" t="s">
        <v>23479</v>
      </c>
      <c r="G6601">
        <v>1</v>
      </c>
      <c r="H6601" t="s">
        <v>21951</v>
      </c>
      <c r="J6601" t="s">
        <v>21833</v>
      </c>
      <c r="K6601" t="s">
        <v>197</v>
      </c>
      <c r="L6601" t="s">
        <v>113</v>
      </c>
      <c r="M6601" t="s">
        <v>2618</v>
      </c>
      <c r="N6601" t="s">
        <v>21958</v>
      </c>
      <c r="O6601" t="s">
        <v>21959</v>
      </c>
      <c r="P6601" s="2" t="s">
        <v>37</v>
      </c>
      <c r="Q6601" t="s">
        <v>1208</v>
      </c>
      <c r="R6601">
        <v>0</v>
      </c>
      <c r="S6601">
        <v>141.88999999999999</v>
      </c>
      <c r="T6601" t="s">
        <v>21960</v>
      </c>
    </row>
    <row r="6602" spans="1:20" x14ac:dyDescent="0.25">
      <c r="A6602" s="1" t="str">
        <f>HYPERLINK("https://vegkart.atlas.vegvesen.no/#/@186934.5,6573414.6,18/hva:hva%5B0%5D%5Bfilter%5D%5B0%5D%5Boperator%5D=%21%3D&amp;hva%5B0%5D%5Bfilter%5D%5B0%5D%5Btype_id%5D=5897&amp;hva%5B0%5D%5Bfilter%5D%5B0%5D%5Bverdi%5D=&amp;hva%5B0%5D%5Bid%5D=47/når:2019-09-18", "Vegkart")</f>
        <v>Vegkart</v>
      </c>
      <c r="B6602">
        <v>977372596</v>
      </c>
      <c r="C6602">
        <v>47</v>
      </c>
      <c r="D6602" t="s">
        <v>16854</v>
      </c>
      <c r="E6602">
        <v>5897</v>
      </c>
      <c r="F6602" t="s">
        <v>23479</v>
      </c>
      <c r="G6602">
        <v>1</v>
      </c>
      <c r="H6602" t="s">
        <v>21951</v>
      </c>
      <c r="J6602" t="s">
        <v>21833</v>
      </c>
      <c r="K6602" t="s">
        <v>197</v>
      </c>
      <c r="L6602" t="s">
        <v>113</v>
      </c>
      <c r="M6602" t="s">
        <v>2618</v>
      </c>
      <c r="N6602" t="s">
        <v>21961</v>
      </c>
      <c r="O6602" t="s">
        <v>21962</v>
      </c>
      <c r="P6602" s="2" t="s">
        <v>37</v>
      </c>
      <c r="Q6602" t="s">
        <v>1208</v>
      </c>
      <c r="R6602">
        <v>0</v>
      </c>
      <c r="S6602">
        <v>152.27000000000001</v>
      </c>
      <c r="T6602" t="s">
        <v>21963</v>
      </c>
    </row>
    <row r="6603" spans="1:20" x14ac:dyDescent="0.25">
      <c r="A6603" s="1" t="str">
        <f>HYPERLINK("https://vegkart.atlas.vegvesen.no/#/@187528.2,6572971.5,18/hva:hva%5B0%5D%5Bfilter%5D%5B0%5D%5Boperator%5D=%21%3D&amp;hva%5B0%5D%5Bfilter%5D%5B0%5D%5Btype_id%5D=5897&amp;hva%5B0%5D%5Bfilter%5D%5B0%5D%5Bverdi%5D=&amp;hva%5B0%5D%5Bid%5D=47/når:2019-09-18", "Vegkart")</f>
        <v>Vegkart</v>
      </c>
      <c r="B6603">
        <v>977372598</v>
      </c>
      <c r="C6603">
        <v>47</v>
      </c>
      <c r="D6603" t="s">
        <v>16854</v>
      </c>
      <c r="E6603">
        <v>5897</v>
      </c>
      <c r="F6603" t="s">
        <v>23479</v>
      </c>
      <c r="G6603">
        <v>1</v>
      </c>
      <c r="H6603" t="s">
        <v>21951</v>
      </c>
      <c r="J6603" t="s">
        <v>21833</v>
      </c>
      <c r="K6603" t="s">
        <v>197</v>
      </c>
      <c r="L6603" t="s">
        <v>113</v>
      </c>
      <c r="M6603" t="s">
        <v>2618</v>
      </c>
      <c r="N6603" t="s">
        <v>21964</v>
      </c>
      <c r="O6603" t="s">
        <v>21965</v>
      </c>
      <c r="P6603" s="2" t="s">
        <v>37</v>
      </c>
      <c r="Q6603" t="s">
        <v>1208</v>
      </c>
      <c r="R6603">
        <v>0</v>
      </c>
      <c r="S6603">
        <v>131.32</v>
      </c>
      <c r="T6603" t="s">
        <v>21966</v>
      </c>
    </row>
    <row r="6604" spans="1:20" x14ac:dyDescent="0.25">
      <c r="A6604" s="1" t="str">
        <f>HYPERLINK("https://vegkart.atlas.vegvesen.no/#/@189578.5,6571664.7,18/hva:hva%5B0%5D%5Bfilter%5D%5B0%5D%5Boperator%5D=%21%3D&amp;hva%5B0%5D%5Bfilter%5D%5B0%5D%5Btype_id%5D=5897&amp;hva%5B0%5D%5Bfilter%5D%5B0%5D%5Bverdi%5D=&amp;hva%5B0%5D%5Bid%5D=47/når:2022-11-30", "Vegkart")</f>
        <v>Vegkart</v>
      </c>
      <c r="B6604">
        <v>977372599</v>
      </c>
      <c r="C6604">
        <v>47</v>
      </c>
      <c r="D6604" t="s">
        <v>16854</v>
      </c>
      <c r="E6604">
        <v>5897</v>
      </c>
      <c r="F6604" t="s">
        <v>23479</v>
      </c>
      <c r="G6604">
        <v>2</v>
      </c>
      <c r="H6604" t="s">
        <v>17992</v>
      </c>
      <c r="J6604" t="s">
        <v>21833</v>
      </c>
      <c r="K6604" t="s">
        <v>197</v>
      </c>
      <c r="L6604" t="s">
        <v>33</v>
      </c>
      <c r="M6604" t="s">
        <v>20527</v>
      </c>
      <c r="N6604" t="s">
        <v>21967</v>
      </c>
      <c r="O6604" t="s">
        <v>21968</v>
      </c>
      <c r="P6604" s="2" t="s">
        <v>37</v>
      </c>
      <c r="Q6604" t="s">
        <v>1208</v>
      </c>
      <c r="R6604">
        <v>0</v>
      </c>
      <c r="S6604">
        <v>146.6</v>
      </c>
      <c r="T6604" t="s">
        <v>21969</v>
      </c>
    </row>
    <row r="6605" spans="1:20" x14ac:dyDescent="0.25">
      <c r="A6605" s="1" t="str">
        <f>HYPERLINK("https://vegkart.atlas.vegvesen.no/#/@189570.1,6571664.7,18/hva:hva%5B0%5D%5Bfilter%5D%5B0%5D%5Boperator%5D=%21%3D&amp;hva%5B0%5D%5Bfilter%5D%5B0%5D%5Btype_id%5D=5897&amp;hva%5B0%5D%5Bfilter%5D%5B0%5D%5Bverdi%5D=&amp;hva%5B0%5D%5Bid%5D=47/når:2022-11-30", "Vegkart")</f>
        <v>Vegkart</v>
      </c>
      <c r="B6605">
        <v>977372600</v>
      </c>
      <c r="C6605">
        <v>47</v>
      </c>
      <c r="D6605" t="s">
        <v>16854</v>
      </c>
      <c r="E6605">
        <v>5897</v>
      </c>
      <c r="F6605" t="s">
        <v>23479</v>
      </c>
      <c r="G6605">
        <v>2</v>
      </c>
      <c r="H6605" t="s">
        <v>17992</v>
      </c>
      <c r="J6605" t="s">
        <v>21833</v>
      </c>
      <c r="K6605" t="s">
        <v>197</v>
      </c>
      <c r="L6605" t="s">
        <v>33</v>
      </c>
      <c r="M6605" t="s">
        <v>20527</v>
      </c>
      <c r="N6605" t="s">
        <v>21970</v>
      </c>
      <c r="O6605" t="s">
        <v>21971</v>
      </c>
      <c r="P6605" s="2" t="s">
        <v>37</v>
      </c>
      <c r="Q6605" t="s">
        <v>1208</v>
      </c>
      <c r="R6605">
        <v>0</v>
      </c>
      <c r="S6605">
        <v>150.58000000000001</v>
      </c>
      <c r="T6605" t="s">
        <v>21972</v>
      </c>
    </row>
    <row r="6606" spans="1:20" x14ac:dyDescent="0.25">
      <c r="A6606" s="1" t="str">
        <f>HYPERLINK("https://vegkart.atlas.vegvesen.no/#/@188744.0,6572385.5,18/hva:hva%5B0%5D%5Bfilter%5D%5B0%5D%5Boperator%5D=%21%3D&amp;hva%5B0%5D%5Bfilter%5D%5B0%5D%5Btype_id%5D=5897&amp;hva%5B0%5D%5Bfilter%5D%5B0%5D%5Bverdi%5D=&amp;hva%5B0%5D%5Bid%5D=47/når:2019-09-18", "Vegkart")</f>
        <v>Vegkart</v>
      </c>
      <c r="B6606">
        <v>977373060</v>
      </c>
      <c r="C6606">
        <v>47</v>
      </c>
      <c r="D6606" t="s">
        <v>16854</v>
      </c>
      <c r="E6606">
        <v>5897</v>
      </c>
      <c r="F6606" t="s">
        <v>23479</v>
      </c>
      <c r="G6606">
        <v>1</v>
      </c>
      <c r="H6606" t="s">
        <v>21951</v>
      </c>
      <c r="J6606" t="s">
        <v>21833</v>
      </c>
      <c r="K6606" t="s">
        <v>197</v>
      </c>
      <c r="L6606" t="s">
        <v>113</v>
      </c>
      <c r="M6606" t="s">
        <v>2618</v>
      </c>
      <c r="N6606" t="s">
        <v>21973</v>
      </c>
      <c r="O6606" t="s">
        <v>21974</v>
      </c>
      <c r="P6606" s="2" t="s">
        <v>37</v>
      </c>
      <c r="Q6606" t="s">
        <v>1208</v>
      </c>
      <c r="R6606">
        <v>0</v>
      </c>
      <c r="S6606">
        <v>131.84</v>
      </c>
      <c r="T6606" t="s">
        <v>21975</v>
      </c>
    </row>
    <row r="6607" spans="1:20" x14ac:dyDescent="0.25">
      <c r="A6607" s="1" t="str">
        <f>HYPERLINK("https://vegkart.atlas.vegvesen.no/#/@262346.6,7030381.4,18/hva:hva%5B0%5D%5Bfilter%5D%5B0%5D%5Boperator%5D=%21%3D&amp;hva%5B0%5D%5Bfilter%5D%5B0%5D%5Btype_id%5D=5897&amp;hva%5B0%5D%5Bfilter%5D%5B0%5D%5Bverdi%5D=&amp;hva%5B0%5D%5Bid%5D=47/når:2019-09-18", "Vegkart")</f>
        <v>Vegkart</v>
      </c>
      <c r="B6607">
        <v>977903828</v>
      </c>
      <c r="C6607">
        <v>47</v>
      </c>
      <c r="D6607" t="s">
        <v>16854</v>
      </c>
      <c r="E6607">
        <v>5897</v>
      </c>
      <c r="F6607" t="s">
        <v>23479</v>
      </c>
      <c r="G6607">
        <v>1</v>
      </c>
      <c r="H6607" t="s">
        <v>21951</v>
      </c>
      <c r="J6607" t="s">
        <v>21833</v>
      </c>
      <c r="K6607" t="s">
        <v>192</v>
      </c>
      <c r="L6607" t="s">
        <v>80</v>
      </c>
      <c r="M6607" t="s">
        <v>81</v>
      </c>
      <c r="N6607" t="s">
        <v>21976</v>
      </c>
      <c r="O6607" t="s">
        <v>21977</v>
      </c>
      <c r="P6607" s="2" t="s">
        <v>26</v>
      </c>
      <c r="Q6607" t="s">
        <v>50</v>
      </c>
      <c r="R6607">
        <v>78.59</v>
      </c>
      <c r="S6607">
        <v>78.83</v>
      </c>
      <c r="T6607" t="s">
        <v>21978</v>
      </c>
    </row>
    <row r="6608" spans="1:20" x14ac:dyDescent="0.25">
      <c r="A6608" s="1" t="str">
        <f>HYPERLINK("https://vegkart.atlas.vegvesen.no/#/@249310.0,6647564.9,18/hva:hva%5B0%5D%5Bfilter%5D%5B0%5D%5Boperator%5D=%21%3D&amp;hva%5B0%5D%5Bfilter%5D%5B0%5D%5Btype_id%5D=5897&amp;hva%5B0%5D%5Bfilter%5D%5B0%5D%5Bverdi%5D=&amp;hva%5B0%5D%5Bid%5D=47/når:2019-09-21", "Vegkart")</f>
        <v>Vegkart</v>
      </c>
      <c r="B6608">
        <v>978528489</v>
      </c>
      <c r="C6608">
        <v>47</v>
      </c>
      <c r="D6608" t="s">
        <v>16854</v>
      </c>
      <c r="E6608">
        <v>5897</v>
      </c>
      <c r="F6608" t="s">
        <v>23479</v>
      </c>
      <c r="G6608">
        <v>1</v>
      </c>
      <c r="H6608" t="s">
        <v>21979</v>
      </c>
      <c r="J6608" t="s">
        <v>21833</v>
      </c>
      <c r="K6608" t="s">
        <v>132</v>
      </c>
      <c r="L6608" t="s">
        <v>80</v>
      </c>
      <c r="M6608" t="s">
        <v>152</v>
      </c>
      <c r="N6608" t="s">
        <v>21980</v>
      </c>
      <c r="O6608" t="s">
        <v>21981</v>
      </c>
      <c r="P6608" s="2" t="s">
        <v>26</v>
      </c>
      <c r="Q6608" t="s">
        <v>50</v>
      </c>
      <c r="R6608">
        <v>90.6</v>
      </c>
      <c r="S6608">
        <v>91.24</v>
      </c>
      <c r="T6608" t="s">
        <v>21982</v>
      </c>
    </row>
    <row r="6609" spans="1:20" x14ac:dyDescent="0.25">
      <c r="A6609" s="1" t="str">
        <f>HYPERLINK("https://vegkart.atlas.vegvesen.no/#/@248236.8,6648719.6,18/hva:hva%5B0%5D%5Bfilter%5D%5B0%5D%5Boperator%5D=%21%3D&amp;hva%5B0%5D%5Bfilter%5D%5B0%5D%5Btype_id%5D=5897&amp;hva%5B0%5D%5Bfilter%5D%5B0%5D%5Bverdi%5D=&amp;hva%5B0%5D%5Bid%5D=47/når:2019-09-21", "Vegkart")</f>
        <v>Vegkart</v>
      </c>
      <c r="B6609">
        <v>978528490</v>
      </c>
      <c r="C6609">
        <v>47</v>
      </c>
      <c r="D6609" t="s">
        <v>16854</v>
      </c>
      <c r="E6609">
        <v>5897</v>
      </c>
      <c r="F6609" t="s">
        <v>23479</v>
      </c>
      <c r="G6609">
        <v>1</v>
      </c>
      <c r="H6609" t="s">
        <v>21979</v>
      </c>
      <c r="J6609" t="s">
        <v>21833</v>
      </c>
      <c r="K6609" t="s">
        <v>132</v>
      </c>
      <c r="L6609" t="s">
        <v>80</v>
      </c>
      <c r="M6609" t="s">
        <v>152</v>
      </c>
      <c r="N6609" t="s">
        <v>21983</v>
      </c>
      <c r="O6609" t="s">
        <v>21984</v>
      </c>
      <c r="P6609" s="2" t="s">
        <v>26</v>
      </c>
      <c r="Q6609" t="s">
        <v>50</v>
      </c>
      <c r="R6609">
        <v>105.25</v>
      </c>
      <c r="S6609">
        <v>105.43</v>
      </c>
      <c r="T6609" t="s">
        <v>21985</v>
      </c>
    </row>
    <row r="6610" spans="1:20" x14ac:dyDescent="0.25">
      <c r="A6610" s="1" t="str">
        <f>HYPERLINK("https://vegkart.atlas.vegvesen.no/#/@248420.3,6648245.1,18/hva:hva%5B0%5D%5Bfilter%5D%5B0%5D%5Boperator%5D=%21%3D&amp;hva%5B0%5D%5Bfilter%5D%5B0%5D%5Btype_id%5D=5897&amp;hva%5B0%5D%5Bfilter%5D%5B0%5D%5Bverdi%5D=&amp;hva%5B0%5D%5Bid%5D=47/når:2019-09-21", "Vegkart")</f>
        <v>Vegkart</v>
      </c>
      <c r="B6610">
        <v>978528491</v>
      </c>
      <c r="C6610">
        <v>47</v>
      </c>
      <c r="D6610" t="s">
        <v>16854</v>
      </c>
      <c r="E6610">
        <v>5897</v>
      </c>
      <c r="F6610" t="s">
        <v>23479</v>
      </c>
      <c r="G6610">
        <v>1</v>
      </c>
      <c r="H6610" t="s">
        <v>21979</v>
      </c>
      <c r="J6610" t="s">
        <v>21833</v>
      </c>
      <c r="K6610" t="s">
        <v>132</v>
      </c>
      <c r="L6610" t="s">
        <v>80</v>
      </c>
      <c r="M6610" t="s">
        <v>152</v>
      </c>
      <c r="N6610" t="s">
        <v>21986</v>
      </c>
      <c r="O6610" t="s">
        <v>21987</v>
      </c>
      <c r="P6610" s="2" t="s">
        <v>26</v>
      </c>
      <c r="Q6610" t="s">
        <v>50</v>
      </c>
      <c r="R6610">
        <v>91.07</v>
      </c>
      <c r="S6610">
        <v>91.39</v>
      </c>
      <c r="T6610" t="s">
        <v>21988</v>
      </c>
    </row>
    <row r="6611" spans="1:20" x14ac:dyDescent="0.25">
      <c r="A6611" s="1" t="str">
        <f>HYPERLINK("https://vegkart.atlas.vegvesen.no/#/@248656.5,6647829.6,18/hva:hva%5B0%5D%5Bfilter%5D%5B0%5D%5Boperator%5D=%21%3D&amp;hva%5B0%5D%5Bfilter%5D%5B0%5D%5Btype_id%5D=5897&amp;hva%5B0%5D%5Bfilter%5D%5B0%5D%5Bverdi%5D=&amp;hva%5B0%5D%5Bid%5D=47/når:2019-09-21", "Vegkart")</f>
        <v>Vegkart</v>
      </c>
      <c r="B6611">
        <v>978528492</v>
      </c>
      <c r="C6611">
        <v>47</v>
      </c>
      <c r="D6611" t="s">
        <v>16854</v>
      </c>
      <c r="E6611">
        <v>5897</v>
      </c>
      <c r="F6611" t="s">
        <v>23479</v>
      </c>
      <c r="G6611">
        <v>1</v>
      </c>
      <c r="H6611" t="s">
        <v>21979</v>
      </c>
      <c r="J6611" t="s">
        <v>21833</v>
      </c>
      <c r="K6611" t="s">
        <v>132</v>
      </c>
      <c r="L6611" t="s">
        <v>80</v>
      </c>
      <c r="M6611" t="s">
        <v>152</v>
      </c>
      <c r="N6611" t="s">
        <v>21989</v>
      </c>
      <c r="O6611" t="s">
        <v>21990</v>
      </c>
      <c r="P6611" s="2" t="s">
        <v>26</v>
      </c>
      <c r="Q6611" t="s">
        <v>50</v>
      </c>
      <c r="R6611">
        <v>90.89</v>
      </c>
      <c r="S6611">
        <v>91.2</v>
      </c>
      <c r="T6611" t="s">
        <v>21991</v>
      </c>
    </row>
    <row r="6612" spans="1:20" x14ac:dyDescent="0.25">
      <c r="A6612" s="1" t="str">
        <f>HYPERLINK("https://vegkart.atlas.vegvesen.no/#/@249042.6,6647573.4,18/hva:hva%5B0%5D%5Bfilter%5D%5B0%5D%5Boperator%5D=%21%3D&amp;hva%5B0%5D%5Bfilter%5D%5B0%5D%5Btype_id%5D=5897&amp;hva%5B0%5D%5Bfilter%5D%5B0%5D%5Bverdi%5D=&amp;hva%5B0%5D%5Bid%5D=47/når:2019-09-21", "Vegkart")</f>
        <v>Vegkart</v>
      </c>
      <c r="B6612">
        <v>978528493</v>
      </c>
      <c r="C6612">
        <v>47</v>
      </c>
      <c r="D6612" t="s">
        <v>16854</v>
      </c>
      <c r="E6612">
        <v>5897</v>
      </c>
      <c r="F6612" t="s">
        <v>23479</v>
      </c>
      <c r="G6612">
        <v>1</v>
      </c>
      <c r="H6612" t="s">
        <v>21979</v>
      </c>
      <c r="J6612" t="s">
        <v>21833</v>
      </c>
      <c r="K6612" t="s">
        <v>132</v>
      </c>
      <c r="L6612" t="s">
        <v>80</v>
      </c>
      <c r="M6612" t="s">
        <v>152</v>
      </c>
      <c r="N6612" t="s">
        <v>21992</v>
      </c>
      <c r="O6612" t="s">
        <v>21993</v>
      </c>
      <c r="P6612" s="2" t="s">
        <v>26</v>
      </c>
      <c r="Q6612" t="s">
        <v>50</v>
      </c>
      <c r="R6612">
        <v>91.55</v>
      </c>
      <c r="S6612">
        <v>91.85</v>
      </c>
      <c r="T6612" t="s">
        <v>21994</v>
      </c>
    </row>
    <row r="6613" spans="1:20" x14ac:dyDescent="0.25">
      <c r="A6613" s="1" t="str">
        <f>HYPERLINK("https://vegkart.atlas.vegvesen.no/#/@248834.1,6647737.4,18/hva:hva%5B0%5D%5Bfilter%5D%5B0%5D%5Boperator%5D=%21%3D&amp;hva%5B0%5D%5Bfilter%5D%5B0%5D%5Btype_id%5D=5897&amp;hva%5B0%5D%5Bfilter%5D%5B0%5D%5Bverdi%5D=&amp;hva%5B0%5D%5Bid%5D=47/når:2019-09-21", "Vegkart")</f>
        <v>Vegkart</v>
      </c>
      <c r="B6613">
        <v>978528494</v>
      </c>
      <c r="C6613">
        <v>47</v>
      </c>
      <c r="D6613" t="s">
        <v>16854</v>
      </c>
      <c r="E6613">
        <v>5897</v>
      </c>
      <c r="F6613" t="s">
        <v>23479</v>
      </c>
      <c r="G6613">
        <v>1</v>
      </c>
      <c r="H6613" t="s">
        <v>21979</v>
      </c>
      <c r="J6613" t="s">
        <v>21833</v>
      </c>
      <c r="K6613" t="s">
        <v>132</v>
      </c>
      <c r="L6613" t="s">
        <v>80</v>
      </c>
      <c r="M6613" t="s">
        <v>152</v>
      </c>
      <c r="N6613" t="s">
        <v>21995</v>
      </c>
      <c r="O6613" t="s">
        <v>21996</v>
      </c>
      <c r="P6613" s="2" t="s">
        <v>26</v>
      </c>
      <c r="Q6613" t="s">
        <v>50</v>
      </c>
      <c r="R6613">
        <v>89.34</v>
      </c>
      <c r="S6613">
        <v>89.77</v>
      </c>
      <c r="T6613" t="s">
        <v>21997</v>
      </c>
    </row>
    <row r="6614" spans="1:20" x14ac:dyDescent="0.25">
      <c r="A6614" s="1" t="str">
        <f>HYPERLINK("https://vegkart.atlas.vegvesen.no/#/@248236.3,6648862.2,18/hva:hva%5B0%5D%5Bfilter%5D%5B0%5D%5Boperator%5D=%21%3D&amp;hva%5B0%5D%5Bfilter%5D%5B0%5D%5Btype_id%5D=5897&amp;hva%5B0%5D%5Bfilter%5D%5B0%5D%5Bverdi%5D=&amp;hva%5B0%5D%5Bid%5D=47/når:2019-09-21", "Vegkart")</f>
        <v>Vegkart</v>
      </c>
      <c r="B6614">
        <v>978528495</v>
      </c>
      <c r="C6614">
        <v>47</v>
      </c>
      <c r="D6614" t="s">
        <v>16854</v>
      </c>
      <c r="E6614">
        <v>5897</v>
      </c>
      <c r="F6614" t="s">
        <v>23479</v>
      </c>
      <c r="G6614">
        <v>1</v>
      </c>
      <c r="H6614" t="s">
        <v>21979</v>
      </c>
      <c r="J6614" t="s">
        <v>21833</v>
      </c>
      <c r="K6614" t="s">
        <v>132</v>
      </c>
      <c r="L6614" t="s">
        <v>80</v>
      </c>
      <c r="M6614" t="s">
        <v>152</v>
      </c>
      <c r="N6614" t="s">
        <v>21998</v>
      </c>
      <c r="O6614" t="s">
        <v>21999</v>
      </c>
      <c r="P6614" s="2" t="s">
        <v>26</v>
      </c>
      <c r="Q6614" t="s">
        <v>50</v>
      </c>
      <c r="R6614">
        <v>90.75</v>
      </c>
      <c r="S6614">
        <v>91.24</v>
      </c>
      <c r="T6614" t="s">
        <v>22000</v>
      </c>
    </row>
    <row r="6615" spans="1:20" x14ac:dyDescent="0.25">
      <c r="A6615" s="1" t="str">
        <f>HYPERLINK("https://vegkart.atlas.vegvesen.no/#/@248370.9,6648381.3,18/hva:hva%5B0%5D%5Bfilter%5D%5B0%5D%5Boperator%5D=%21%3D&amp;hva%5B0%5D%5Bfilter%5D%5B0%5D%5Btype_id%5D=5897&amp;hva%5B0%5D%5Bfilter%5D%5B0%5D%5Bverdi%5D=&amp;hva%5B0%5D%5Bid%5D=47/når:2019-09-21", "Vegkart")</f>
        <v>Vegkart</v>
      </c>
      <c r="B6615">
        <v>978528496</v>
      </c>
      <c r="C6615">
        <v>47</v>
      </c>
      <c r="D6615" t="s">
        <v>16854</v>
      </c>
      <c r="E6615">
        <v>5897</v>
      </c>
      <c r="F6615" t="s">
        <v>23479</v>
      </c>
      <c r="G6615">
        <v>1</v>
      </c>
      <c r="H6615" t="s">
        <v>21979</v>
      </c>
      <c r="J6615" t="s">
        <v>21833</v>
      </c>
      <c r="K6615" t="s">
        <v>132</v>
      </c>
      <c r="L6615" t="s">
        <v>80</v>
      </c>
      <c r="M6615" t="s">
        <v>152</v>
      </c>
      <c r="N6615" t="s">
        <v>22001</v>
      </c>
      <c r="O6615" t="s">
        <v>22002</v>
      </c>
      <c r="P6615" s="2" t="s">
        <v>26</v>
      </c>
      <c r="Q6615" t="s">
        <v>50</v>
      </c>
      <c r="R6615">
        <v>89.83</v>
      </c>
      <c r="S6615">
        <v>90.02</v>
      </c>
      <c r="T6615" t="s">
        <v>22003</v>
      </c>
    </row>
    <row r="6616" spans="1:20" x14ac:dyDescent="0.25">
      <c r="A6616" s="1" t="str">
        <f>HYPERLINK("https://vegkart.atlas.vegvesen.no/#/@248551.2,6648103.8,18/hva:hva%5B0%5D%5Bfilter%5D%5B0%5D%5Boperator%5D=%21%3D&amp;hva%5B0%5D%5Bfilter%5D%5B0%5D%5Btype_id%5D=5897&amp;hva%5B0%5D%5Bfilter%5D%5B0%5D%5Bverdi%5D=&amp;hva%5B0%5D%5Bid%5D=47/når:2019-09-21", "Vegkart")</f>
        <v>Vegkart</v>
      </c>
      <c r="B6616">
        <v>978528497</v>
      </c>
      <c r="C6616">
        <v>47</v>
      </c>
      <c r="D6616" t="s">
        <v>16854</v>
      </c>
      <c r="E6616">
        <v>5897</v>
      </c>
      <c r="F6616" t="s">
        <v>23479</v>
      </c>
      <c r="G6616">
        <v>1</v>
      </c>
      <c r="H6616" t="s">
        <v>21979</v>
      </c>
      <c r="J6616" t="s">
        <v>21833</v>
      </c>
      <c r="K6616" t="s">
        <v>132</v>
      </c>
      <c r="L6616" t="s">
        <v>80</v>
      </c>
      <c r="M6616" t="s">
        <v>152</v>
      </c>
      <c r="N6616" t="s">
        <v>22004</v>
      </c>
      <c r="O6616" t="s">
        <v>22005</v>
      </c>
      <c r="P6616" s="2" t="s">
        <v>26</v>
      </c>
      <c r="Q6616" t="s">
        <v>50</v>
      </c>
      <c r="R6616">
        <v>90.03</v>
      </c>
      <c r="S6616">
        <v>90.33</v>
      </c>
      <c r="T6616" t="s">
        <v>22006</v>
      </c>
    </row>
    <row r="6617" spans="1:20" x14ac:dyDescent="0.25">
      <c r="A6617" s="1" t="str">
        <f>HYPERLINK("https://vegkart.atlas.vegvesen.no/#/@248841.0,6647745.8,18/hva:hva%5B0%5D%5Bfilter%5D%5B0%5D%5Boperator%5D=%21%3D&amp;hva%5B0%5D%5Bfilter%5D%5B0%5D%5Btype_id%5D=5897&amp;hva%5B0%5D%5Bfilter%5D%5B0%5D%5Bverdi%5D=&amp;hva%5B0%5D%5Bid%5D=47/når:2019-09-21", "Vegkart")</f>
        <v>Vegkart</v>
      </c>
      <c r="B6617">
        <v>978528498</v>
      </c>
      <c r="C6617">
        <v>47</v>
      </c>
      <c r="D6617" t="s">
        <v>16854</v>
      </c>
      <c r="E6617">
        <v>5897</v>
      </c>
      <c r="F6617" t="s">
        <v>23479</v>
      </c>
      <c r="G6617">
        <v>1</v>
      </c>
      <c r="H6617" t="s">
        <v>21979</v>
      </c>
      <c r="J6617" t="s">
        <v>21833</v>
      </c>
      <c r="K6617" t="s">
        <v>132</v>
      </c>
      <c r="L6617" t="s">
        <v>80</v>
      </c>
      <c r="M6617" t="s">
        <v>152</v>
      </c>
      <c r="N6617" t="s">
        <v>21995</v>
      </c>
      <c r="O6617" t="s">
        <v>22007</v>
      </c>
      <c r="P6617" s="2" t="s">
        <v>26</v>
      </c>
      <c r="Q6617" t="s">
        <v>50</v>
      </c>
      <c r="R6617">
        <v>89.31</v>
      </c>
      <c r="S6617">
        <v>89.47</v>
      </c>
      <c r="T6617" t="s">
        <v>22008</v>
      </c>
    </row>
    <row r="6618" spans="1:20" x14ac:dyDescent="0.25">
      <c r="A6618" s="1" t="str">
        <f>HYPERLINK("https://vegkart.atlas.vegvesen.no/#/@95069.9,6496312.2,18/hva:hva%5B0%5D%5Bfilter%5D%5B0%5D%5Boperator%5D=%21%3D&amp;hva%5B0%5D%5Bfilter%5D%5B0%5D%5Btype_id%5D=5897&amp;hva%5B0%5D%5Bfilter%5D%5B0%5D%5Bverdi%5D=&amp;hva%5B0%5D%5Bid%5D=47/når:2019-09-27", "Vegkart")</f>
        <v>Vegkart</v>
      </c>
      <c r="B6618">
        <v>979173001</v>
      </c>
      <c r="C6618">
        <v>47</v>
      </c>
      <c r="D6618" t="s">
        <v>16854</v>
      </c>
      <c r="E6618">
        <v>5897</v>
      </c>
      <c r="F6618" t="s">
        <v>23479</v>
      </c>
      <c r="G6618">
        <v>1</v>
      </c>
      <c r="H6618" t="s">
        <v>22009</v>
      </c>
      <c r="J6618" t="s">
        <v>21833</v>
      </c>
      <c r="K6618" t="s">
        <v>86</v>
      </c>
      <c r="L6618" t="s">
        <v>33</v>
      </c>
      <c r="M6618" t="s">
        <v>17485</v>
      </c>
      <c r="N6618" t="s">
        <v>22010</v>
      </c>
      <c r="O6618" t="s">
        <v>22011</v>
      </c>
      <c r="P6618" s="2" t="s">
        <v>26</v>
      </c>
      <c r="Q6618" t="s">
        <v>50</v>
      </c>
      <c r="R6618">
        <v>52.64</v>
      </c>
      <c r="S6618">
        <v>53.72</v>
      </c>
      <c r="T6618" t="s">
        <v>22012</v>
      </c>
    </row>
    <row r="6619" spans="1:20" x14ac:dyDescent="0.25">
      <c r="A6619" s="1" t="str">
        <f>HYPERLINK("https://vegkart.atlas.vegvesen.no/#/@272148.1,7042587.8,18/hva:hva%5B0%5D%5Bfilter%5D%5B0%5D%5Boperator%5D=%21%3D&amp;hva%5B0%5D%5Bfilter%5D%5B0%5D%5Btype_id%5D=5897&amp;hva%5B0%5D%5Bfilter%5D%5B0%5D%5Bverdi%5D=&amp;hva%5B0%5D%5Bid%5D=47/når:2019-10-14", "Vegkart")</f>
        <v>Vegkart</v>
      </c>
      <c r="B6619">
        <v>981625529</v>
      </c>
      <c r="C6619">
        <v>47</v>
      </c>
      <c r="D6619" t="s">
        <v>16854</v>
      </c>
      <c r="E6619">
        <v>5897</v>
      </c>
      <c r="F6619" t="s">
        <v>23479</v>
      </c>
      <c r="G6619">
        <v>1</v>
      </c>
      <c r="H6619" t="s">
        <v>22013</v>
      </c>
      <c r="J6619" t="s">
        <v>21833</v>
      </c>
      <c r="K6619" t="s">
        <v>192</v>
      </c>
      <c r="L6619" t="s">
        <v>22</v>
      </c>
      <c r="M6619" t="s">
        <v>21259</v>
      </c>
      <c r="N6619" t="s">
        <v>22014</v>
      </c>
      <c r="O6619" t="s">
        <v>22015</v>
      </c>
      <c r="P6619" s="2" t="s">
        <v>26</v>
      </c>
      <c r="Q6619" t="s">
        <v>50</v>
      </c>
      <c r="R6619">
        <v>27.1</v>
      </c>
      <c r="S6619">
        <v>27.1</v>
      </c>
      <c r="T6619" t="s">
        <v>22016</v>
      </c>
    </row>
    <row r="6620" spans="1:20" x14ac:dyDescent="0.25">
      <c r="A6620" s="1" t="str">
        <f>HYPERLINK("https://vegkart.atlas.vegvesen.no/#/@272127.7,7042579.1,18/hva:hva%5B0%5D%5Bfilter%5D%5B0%5D%5Boperator%5D=%21%3D&amp;hva%5B0%5D%5Bfilter%5D%5B0%5D%5Btype_id%5D=5897&amp;hva%5B0%5D%5Bfilter%5D%5B0%5D%5Bverdi%5D=&amp;hva%5B0%5D%5Bid%5D=47/når:2019-10-14", "Vegkart")</f>
        <v>Vegkart</v>
      </c>
      <c r="B6620">
        <v>981625530</v>
      </c>
      <c r="C6620">
        <v>47</v>
      </c>
      <c r="D6620" t="s">
        <v>16854</v>
      </c>
      <c r="E6620">
        <v>5897</v>
      </c>
      <c r="F6620" t="s">
        <v>23479</v>
      </c>
      <c r="G6620">
        <v>1</v>
      </c>
      <c r="H6620" t="s">
        <v>22013</v>
      </c>
      <c r="J6620" t="s">
        <v>21833</v>
      </c>
      <c r="K6620" t="s">
        <v>192</v>
      </c>
      <c r="L6620" t="s">
        <v>22</v>
      </c>
      <c r="M6620" t="s">
        <v>21259</v>
      </c>
      <c r="N6620" t="s">
        <v>22017</v>
      </c>
      <c r="O6620" t="s">
        <v>22018</v>
      </c>
      <c r="P6620" s="2" t="s">
        <v>26</v>
      </c>
      <c r="Q6620" t="s">
        <v>50</v>
      </c>
      <c r="R6620">
        <v>29.09</v>
      </c>
      <c r="S6620">
        <v>29.09</v>
      </c>
      <c r="T6620" t="s">
        <v>22019</v>
      </c>
    </row>
    <row r="6621" spans="1:20" x14ac:dyDescent="0.25">
      <c r="A6621" s="1" t="str">
        <f>HYPERLINK("https://vegkart.atlas.vegvesen.no/#/@276041.5,7041657.0,18/hva:hva%5B0%5D%5Bfilter%5D%5B0%5D%5Boperator%5D=%21%3D&amp;hva%5B0%5D%5Bfilter%5D%5B0%5D%5Btype_id%5D=5897&amp;hva%5B0%5D%5Bfilter%5D%5B0%5D%5Bverdi%5D=&amp;hva%5B0%5D%5Bid%5D=47/når:2019-10-15", "Vegkart")</f>
        <v>Vegkart</v>
      </c>
      <c r="B6621">
        <v>983360878</v>
      </c>
      <c r="C6621">
        <v>47</v>
      </c>
      <c r="D6621" t="s">
        <v>16854</v>
      </c>
      <c r="E6621">
        <v>5897</v>
      </c>
      <c r="F6621" t="s">
        <v>23479</v>
      </c>
      <c r="G6621">
        <v>1</v>
      </c>
      <c r="H6621" t="s">
        <v>22020</v>
      </c>
      <c r="J6621" t="s">
        <v>21833</v>
      </c>
      <c r="K6621" t="s">
        <v>192</v>
      </c>
      <c r="L6621" t="s">
        <v>22</v>
      </c>
      <c r="M6621" t="s">
        <v>18886</v>
      </c>
      <c r="N6621" t="s">
        <v>22021</v>
      </c>
      <c r="O6621" t="s">
        <v>22022</v>
      </c>
      <c r="P6621" s="2" t="s">
        <v>26</v>
      </c>
      <c r="Q6621" t="s">
        <v>50</v>
      </c>
      <c r="R6621">
        <v>27.11</v>
      </c>
      <c r="S6621">
        <v>27.11</v>
      </c>
      <c r="T6621" t="s">
        <v>22023</v>
      </c>
    </row>
    <row r="6622" spans="1:20" x14ac:dyDescent="0.25">
      <c r="A6622" s="1" t="str">
        <f>HYPERLINK("https://vegkart.atlas.vegvesen.no/#/@276106.2,7041638.1,18/hva:hva%5B0%5D%5Bfilter%5D%5B0%5D%5Boperator%5D=%21%3D&amp;hva%5B0%5D%5Bfilter%5D%5B0%5D%5Btype_id%5D=5897&amp;hva%5B0%5D%5Bfilter%5D%5B0%5D%5Bverdi%5D=&amp;hva%5B0%5D%5Bid%5D=47/når:2019-10-15", "Vegkart")</f>
        <v>Vegkart</v>
      </c>
      <c r="B6622">
        <v>983360879</v>
      </c>
      <c r="C6622">
        <v>47</v>
      </c>
      <c r="D6622" t="s">
        <v>16854</v>
      </c>
      <c r="E6622">
        <v>5897</v>
      </c>
      <c r="F6622" t="s">
        <v>23479</v>
      </c>
      <c r="G6622">
        <v>1</v>
      </c>
      <c r="H6622" t="s">
        <v>22020</v>
      </c>
      <c r="J6622" t="s">
        <v>22024</v>
      </c>
      <c r="K6622" t="s">
        <v>192</v>
      </c>
      <c r="L6622" t="s">
        <v>22</v>
      </c>
      <c r="M6622" t="s">
        <v>18886</v>
      </c>
      <c r="N6622" t="s">
        <v>22025</v>
      </c>
      <c r="O6622" t="s">
        <v>22026</v>
      </c>
      <c r="P6622" s="2" t="s">
        <v>26</v>
      </c>
      <c r="Q6622" t="s">
        <v>50</v>
      </c>
      <c r="R6622">
        <v>27.08</v>
      </c>
      <c r="S6622">
        <v>27.08</v>
      </c>
      <c r="T6622" t="s">
        <v>22027</v>
      </c>
    </row>
    <row r="6623" spans="1:20" x14ac:dyDescent="0.25">
      <c r="A6623" s="1" t="str">
        <f>HYPERLINK("https://vegkart.atlas.vegvesen.no/#/@202427.5,6758569.6,18/hva:hva%5B0%5D%5Bfilter%5D%5B0%5D%5Boperator%5D=%21%3D&amp;hva%5B0%5D%5Bfilter%5D%5B0%5D%5Btype_id%5D=5897&amp;hva%5B0%5D%5Bfilter%5D%5B0%5D%5Bverdi%5D=&amp;hva%5B0%5D%5Bid%5D=47/når:2021-02-24", "Vegkart")</f>
        <v>Vegkart</v>
      </c>
      <c r="B6623">
        <v>984401491</v>
      </c>
      <c r="C6623">
        <v>47</v>
      </c>
      <c r="D6623" t="s">
        <v>16854</v>
      </c>
      <c r="E6623">
        <v>5897</v>
      </c>
      <c r="F6623" t="s">
        <v>23479</v>
      </c>
      <c r="G6623">
        <v>2</v>
      </c>
      <c r="H6623" t="s">
        <v>22028</v>
      </c>
      <c r="J6623" t="s">
        <v>22024</v>
      </c>
      <c r="K6623" t="s">
        <v>136</v>
      </c>
      <c r="L6623" t="s">
        <v>80</v>
      </c>
      <c r="M6623" t="s">
        <v>152</v>
      </c>
      <c r="N6623" t="s">
        <v>22029</v>
      </c>
      <c r="O6623" t="s">
        <v>22030</v>
      </c>
      <c r="P6623" s="2" t="s">
        <v>26</v>
      </c>
      <c r="Q6623" t="s">
        <v>50</v>
      </c>
      <c r="R6623">
        <v>90.09</v>
      </c>
      <c r="S6623">
        <v>90.38</v>
      </c>
      <c r="T6623" t="s">
        <v>22031</v>
      </c>
    </row>
    <row r="6624" spans="1:20" x14ac:dyDescent="0.25">
      <c r="A6624" s="1" t="str">
        <f>HYPERLINK("https://vegkart.atlas.vegvesen.no/#/@202216.2,6759075.0,18/hva:hva%5B0%5D%5Bfilter%5D%5B0%5D%5Boperator%5D=%21%3D&amp;hva%5B0%5D%5Bfilter%5D%5B0%5D%5Btype_id%5D=5897&amp;hva%5B0%5D%5Bfilter%5D%5B0%5D%5Bverdi%5D=&amp;hva%5B0%5D%5Bid%5D=47/når:2021-02-24", "Vegkart")</f>
        <v>Vegkart</v>
      </c>
      <c r="B6624">
        <v>984401492</v>
      </c>
      <c r="C6624">
        <v>47</v>
      </c>
      <c r="D6624" t="s">
        <v>16854</v>
      </c>
      <c r="E6624">
        <v>5897</v>
      </c>
      <c r="F6624" t="s">
        <v>23479</v>
      </c>
      <c r="G6624">
        <v>2</v>
      </c>
      <c r="H6624" t="s">
        <v>22028</v>
      </c>
      <c r="J6624" t="s">
        <v>22024</v>
      </c>
      <c r="K6624" t="s">
        <v>136</v>
      </c>
      <c r="L6624" t="s">
        <v>80</v>
      </c>
      <c r="M6624" t="s">
        <v>152</v>
      </c>
      <c r="N6624" t="s">
        <v>22032</v>
      </c>
      <c r="O6624" t="s">
        <v>22033</v>
      </c>
      <c r="P6624" s="2" t="s">
        <v>26</v>
      </c>
      <c r="Q6624" t="s">
        <v>50</v>
      </c>
      <c r="R6624">
        <v>90.9</v>
      </c>
      <c r="S6624">
        <v>91.47</v>
      </c>
      <c r="T6624" t="s">
        <v>22034</v>
      </c>
    </row>
    <row r="6625" spans="1:20" x14ac:dyDescent="0.25">
      <c r="A6625" s="1" t="str">
        <f>HYPERLINK("https://vegkart.atlas.vegvesen.no/#/@202528.6,6758130.3,18/hva:hva%5B0%5D%5Bfilter%5D%5B0%5D%5Boperator%5D=%21%3D&amp;hva%5B0%5D%5Bfilter%5D%5B0%5D%5Btype_id%5D=5897&amp;hva%5B0%5D%5Bfilter%5D%5B0%5D%5Bverdi%5D=&amp;hva%5B0%5D%5Bid%5D=47/når:2021-02-24", "Vegkart")</f>
        <v>Vegkart</v>
      </c>
      <c r="B6625">
        <v>984401493</v>
      </c>
      <c r="C6625">
        <v>47</v>
      </c>
      <c r="D6625" t="s">
        <v>16854</v>
      </c>
      <c r="E6625">
        <v>5897</v>
      </c>
      <c r="F6625" t="s">
        <v>23479</v>
      </c>
      <c r="G6625">
        <v>2</v>
      </c>
      <c r="H6625" t="s">
        <v>22028</v>
      </c>
      <c r="J6625" t="s">
        <v>22024</v>
      </c>
      <c r="K6625" t="s">
        <v>136</v>
      </c>
      <c r="L6625" t="s">
        <v>80</v>
      </c>
      <c r="M6625" t="s">
        <v>152</v>
      </c>
      <c r="N6625" t="s">
        <v>22035</v>
      </c>
      <c r="O6625" t="s">
        <v>22036</v>
      </c>
      <c r="P6625" s="2" t="s">
        <v>26</v>
      </c>
      <c r="Q6625" t="s">
        <v>50</v>
      </c>
      <c r="R6625">
        <v>135.32</v>
      </c>
      <c r="S6625">
        <v>157.97999999999999</v>
      </c>
      <c r="T6625" t="s">
        <v>22037</v>
      </c>
    </row>
    <row r="6626" spans="1:20" x14ac:dyDescent="0.25">
      <c r="A6626" s="1" t="str">
        <f>HYPERLINK("https://vegkart.atlas.vegvesen.no/#/@202725.7,6757669.6,18/hva:hva%5B0%5D%5Bfilter%5D%5B0%5D%5Boperator%5D=%21%3D&amp;hva%5B0%5D%5Bfilter%5D%5B0%5D%5Btype_id%5D=5897&amp;hva%5B0%5D%5Bfilter%5D%5B0%5D%5Bverdi%5D=&amp;hva%5B0%5D%5Bid%5D=47/når:2021-02-24", "Vegkart")</f>
        <v>Vegkart</v>
      </c>
      <c r="B6626">
        <v>984401494</v>
      </c>
      <c r="C6626">
        <v>47</v>
      </c>
      <c r="D6626" t="s">
        <v>16854</v>
      </c>
      <c r="E6626">
        <v>5897</v>
      </c>
      <c r="F6626" t="s">
        <v>23479</v>
      </c>
      <c r="G6626">
        <v>2</v>
      </c>
      <c r="H6626" t="s">
        <v>22028</v>
      </c>
      <c r="J6626" t="s">
        <v>22024</v>
      </c>
      <c r="K6626" t="s">
        <v>136</v>
      </c>
      <c r="L6626" t="s">
        <v>80</v>
      </c>
      <c r="M6626" t="s">
        <v>152</v>
      </c>
      <c r="N6626" t="s">
        <v>22038</v>
      </c>
      <c r="O6626" t="s">
        <v>22039</v>
      </c>
      <c r="P6626" s="2" t="s">
        <v>26</v>
      </c>
      <c r="Q6626" t="s">
        <v>50</v>
      </c>
      <c r="R6626">
        <v>90.23</v>
      </c>
      <c r="S6626">
        <v>90.58</v>
      </c>
      <c r="T6626" t="s">
        <v>22040</v>
      </c>
    </row>
    <row r="6627" spans="1:20" x14ac:dyDescent="0.25">
      <c r="A6627" s="1" t="str">
        <f>HYPERLINK("https://vegkart.atlas.vegvesen.no/#/@202982.8,6757240.1,18/hva:hva%5B0%5D%5Bfilter%5D%5B0%5D%5Boperator%5D=%21%3D&amp;hva%5B0%5D%5Bfilter%5D%5B0%5D%5Btype_id%5D=5897&amp;hva%5B0%5D%5Bfilter%5D%5B0%5D%5Bverdi%5D=&amp;hva%5B0%5D%5Bid%5D=47/når:2021-02-24", "Vegkart")</f>
        <v>Vegkart</v>
      </c>
      <c r="B6627">
        <v>984401495</v>
      </c>
      <c r="C6627">
        <v>47</v>
      </c>
      <c r="D6627" t="s">
        <v>16854</v>
      </c>
      <c r="E6627">
        <v>5897</v>
      </c>
      <c r="F6627" t="s">
        <v>23479</v>
      </c>
      <c r="G6627">
        <v>2</v>
      </c>
      <c r="H6627" t="s">
        <v>22028</v>
      </c>
      <c r="J6627" t="s">
        <v>22024</v>
      </c>
      <c r="K6627" t="s">
        <v>136</v>
      </c>
      <c r="L6627" t="s">
        <v>80</v>
      </c>
      <c r="M6627" t="s">
        <v>152</v>
      </c>
      <c r="N6627" t="s">
        <v>22041</v>
      </c>
      <c r="O6627" t="s">
        <v>22042</v>
      </c>
      <c r="P6627" s="2" t="s">
        <v>26</v>
      </c>
      <c r="Q6627" t="s">
        <v>50</v>
      </c>
      <c r="R6627">
        <v>90.12</v>
      </c>
      <c r="S6627">
        <v>90.47</v>
      </c>
      <c r="T6627" t="s">
        <v>22043</v>
      </c>
    </row>
    <row r="6628" spans="1:20" x14ac:dyDescent="0.25">
      <c r="A6628" s="1" t="str">
        <f>HYPERLINK("https://vegkart.atlas.vegvesen.no/#/@203298.7,6756851.4,18/hva:hva%5B0%5D%5Bfilter%5D%5B0%5D%5Boperator%5D=%21%3D&amp;hva%5B0%5D%5Bfilter%5D%5B0%5D%5Btype_id%5D=5897&amp;hva%5B0%5D%5Bfilter%5D%5B0%5D%5Bverdi%5D=&amp;hva%5B0%5D%5Bid%5D=47/når:2021-02-24", "Vegkart")</f>
        <v>Vegkart</v>
      </c>
      <c r="B6628">
        <v>984401496</v>
      </c>
      <c r="C6628">
        <v>47</v>
      </c>
      <c r="D6628" t="s">
        <v>16854</v>
      </c>
      <c r="E6628">
        <v>5897</v>
      </c>
      <c r="F6628" t="s">
        <v>23479</v>
      </c>
      <c r="G6628">
        <v>2</v>
      </c>
      <c r="H6628" t="s">
        <v>22028</v>
      </c>
      <c r="J6628" t="s">
        <v>22024</v>
      </c>
      <c r="K6628" t="s">
        <v>136</v>
      </c>
      <c r="L6628" t="s">
        <v>80</v>
      </c>
      <c r="M6628" t="s">
        <v>152</v>
      </c>
      <c r="N6628" t="s">
        <v>22044</v>
      </c>
      <c r="O6628" t="s">
        <v>22045</v>
      </c>
      <c r="P6628" s="2" t="s">
        <v>26</v>
      </c>
      <c r="Q6628" t="s">
        <v>50</v>
      </c>
      <c r="R6628">
        <v>90.25</v>
      </c>
      <c r="S6628">
        <v>90.6</v>
      </c>
      <c r="T6628" t="s">
        <v>22046</v>
      </c>
    </row>
    <row r="6629" spans="1:20" x14ac:dyDescent="0.25">
      <c r="A6629" s="1" t="str">
        <f>HYPERLINK("https://vegkart.atlas.vegvesen.no/#/@203677.5,6756525.0,18/hva:hva%5B0%5D%5Bfilter%5D%5B0%5D%5Boperator%5D=%21%3D&amp;hva%5B0%5D%5Bfilter%5D%5B0%5D%5Btype_id%5D=5897&amp;hva%5B0%5D%5Bfilter%5D%5B0%5D%5Bverdi%5D=&amp;hva%5B0%5D%5Bid%5D=47/når:2021-02-24", "Vegkart")</f>
        <v>Vegkart</v>
      </c>
      <c r="B6629">
        <v>984401497</v>
      </c>
      <c r="C6629">
        <v>47</v>
      </c>
      <c r="D6629" t="s">
        <v>16854</v>
      </c>
      <c r="E6629">
        <v>5897</v>
      </c>
      <c r="F6629" t="s">
        <v>23479</v>
      </c>
      <c r="G6629">
        <v>2</v>
      </c>
      <c r="H6629" t="s">
        <v>22028</v>
      </c>
      <c r="J6629" t="s">
        <v>22024</v>
      </c>
      <c r="K6629" t="s">
        <v>136</v>
      </c>
      <c r="L6629" t="s">
        <v>80</v>
      </c>
      <c r="M6629" t="s">
        <v>152</v>
      </c>
      <c r="N6629" t="s">
        <v>22047</v>
      </c>
      <c r="O6629" t="s">
        <v>22048</v>
      </c>
      <c r="P6629" s="2" t="s">
        <v>26</v>
      </c>
      <c r="Q6629" t="s">
        <v>50</v>
      </c>
      <c r="R6629">
        <v>135.1</v>
      </c>
      <c r="S6629">
        <v>156.97999999999999</v>
      </c>
      <c r="T6629" t="s">
        <v>22049</v>
      </c>
    </row>
    <row r="6630" spans="1:20" x14ac:dyDescent="0.25">
      <c r="A6630" s="1" t="str">
        <f>HYPERLINK("https://vegkart.atlas.vegvesen.no/#/@204114.2,6755876.7,18/hva:hva%5B0%5D%5Bfilter%5D%5B0%5D%5Boperator%5D=%21%3D&amp;hva%5B0%5D%5Bfilter%5D%5B0%5D%5Btype_id%5D=5897&amp;hva%5B0%5D%5Bfilter%5D%5B0%5D%5Bverdi%5D=&amp;hva%5B0%5D%5Bid%5D=47/når:2021-02-24", "Vegkart")</f>
        <v>Vegkart</v>
      </c>
      <c r="B6630">
        <v>984401498</v>
      </c>
      <c r="C6630">
        <v>47</v>
      </c>
      <c r="D6630" t="s">
        <v>16854</v>
      </c>
      <c r="E6630">
        <v>5897</v>
      </c>
      <c r="F6630" t="s">
        <v>23479</v>
      </c>
      <c r="G6630">
        <v>2</v>
      </c>
      <c r="H6630" t="s">
        <v>22028</v>
      </c>
      <c r="J6630" t="s">
        <v>22024</v>
      </c>
      <c r="K6630" t="s">
        <v>136</v>
      </c>
      <c r="L6630" t="s">
        <v>80</v>
      </c>
      <c r="M6630" t="s">
        <v>152</v>
      </c>
      <c r="N6630" t="s">
        <v>22050</v>
      </c>
      <c r="O6630" t="s">
        <v>22051</v>
      </c>
      <c r="P6630" s="2" t="s">
        <v>26</v>
      </c>
      <c r="Q6630" t="s">
        <v>50</v>
      </c>
      <c r="R6630">
        <v>91.46</v>
      </c>
      <c r="S6630">
        <v>92.04</v>
      </c>
      <c r="T6630" t="s">
        <v>22052</v>
      </c>
    </row>
    <row r="6631" spans="1:20" x14ac:dyDescent="0.25">
      <c r="A6631" s="1" t="str">
        <f>HYPERLINK("https://vegkart.atlas.vegvesen.no/#/@204044.8,6756118.1,18/hva:hva%5B0%5D%5Bfilter%5D%5B0%5D%5Boperator%5D=%21%3D&amp;hva%5B0%5D%5Bfilter%5D%5B0%5D%5Btype_id%5D=5897&amp;hva%5B0%5D%5Bfilter%5D%5B0%5D%5Bverdi%5D=&amp;hva%5B0%5D%5Bid%5D=47/når:2021-02-24", "Vegkart")</f>
        <v>Vegkart</v>
      </c>
      <c r="B6631">
        <v>984401499</v>
      </c>
      <c r="C6631">
        <v>47</v>
      </c>
      <c r="D6631" t="s">
        <v>16854</v>
      </c>
      <c r="E6631">
        <v>5897</v>
      </c>
      <c r="F6631" t="s">
        <v>23479</v>
      </c>
      <c r="G6631">
        <v>2</v>
      </c>
      <c r="H6631" t="s">
        <v>22028</v>
      </c>
      <c r="J6631" t="s">
        <v>22024</v>
      </c>
      <c r="K6631" t="s">
        <v>136</v>
      </c>
      <c r="L6631" t="s">
        <v>80</v>
      </c>
      <c r="M6631" t="s">
        <v>152</v>
      </c>
      <c r="N6631" t="s">
        <v>22053</v>
      </c>
      <c r="O6631" t="s">
        <v>22054</v>
      </c>
      <c r="P6631" s="2" t="s">
        <v>26</v>
      </c>
      <c r="Q6631" t="s">
        <v>50</v>
      </c>
      <c r="R6631">
        <v>90.44</v>
      </c>
      <c r="S6631">
        <v>91.03</v>
      </c>
      <c r="T6631" t="s">
        <v>22055</v>
      </c>
    </row>
    <row r="6632" spans="1:20" x14ac:dyDescent="0.25">
      <c r="A6632" s="1" t="str">
        <f>HYPERLINK("https://vegkart.atlas.vegvesen.no/#/@233658.6,6611023.3,18/hva:hva%5B0%5D%5Bfilter%5D%5B0%5D%5Boperator%5D=%21%3D&amp;hva%5B0%5D%5Bfilter%5D%5B0%5D%5Btype_id%5D=5897&amp;hva%5B0%5D%5Bfilter%5D%5B0%5D%5Bverdi%5D=&amp;hva%5B0%5D%5Bid%5D=47/når:2019-01-01", "Vegkart")</f>
        <v>Vegkart</v>
      </c>
      <c r="B6632">
        <v>993183048</v>
      </c>
      <c r="C6632">
        <v>47</v>
      </c>
      <c r="D6632" t="s">
        <v>16854</v>
      </c>
      <c r="E6632">
        <v>5897</v>
      </c>
      <c r="F6632" t="s">
        <v>23479</v>
      </c>
      <c r="G6632">
        <v>1</v>
      </c>
      <c r="H6632" t="s">
        <v>22056</v>
      </c>
      <c r="J6632" t="s">
        <v>22024</v>
      </c>
      <c r="K6632" t="s">
        <v>81</v>
      </c>
      <c r="L6632" t="s">
        <v>33</v>
      </c>
      <c r="M6632" t="s">
        <v>1808</v>
      </c>
      <c r="N6632" t="s">
        <v>22057</v>
      </c>
      <c r="O6632" t="s">
        <v>22058</v>
      </c>
      <c r="P6632" s="2" t="s">
        <v>37</v>
      </c>
      <c r="Q6632" t="s">
        <v>1208</v>
      </c>
      <c r="R6632">
        <v>0</v>
      </c>
      <c r="S6632">
        <v>89.96</v>
      </c>
      <c r="T6632" t="s">
        <v>22059</v>
      </c>
    </row>
    <row r="6633" spans="1:20" x14ac:dyDescent="0.25">
      <c r="A6633" s="1" t="str">
        <f>HYPERLINK("https://vegkart.atlas.vegvesen.no/#/@233669.3,6611025.2,18/hva:hva%5B0%5D%5Bfilter%5D%5B0%5D%5Boperator%5D=%21%3D&amp;hva%5B0%5D%5Bfilter%5D%5B0%5D%5Btype_id%5D=5897&amp;hva%5B0%5D%5Bfilter%5D%5B0%5D%5Bverdi%5D=&amp;hva%5B0%5D%5Bid%5D=47/når:2019-01-01", "Vegkart")</f>
        <v>Vegkart</v>
      </c>
      <c r="B6633">
        <v>993183049</v>
      </c>
      <c r="C6633">
        <v>47</v>
      </c>
      <c r="D6633" t="s">
        <v>16854</v>
      </c>
      <c r="E6633">
        <v>5897</v>
      </c>
      <c r="F6633" t="s">
        <v>23479</v>
      </c>
      <c r="G6633">
        <v>1</v>
      </c>
      <c r="H6633" t="s">
        <v>22056</v>
      </c>
      <c r="J6633" t="s">
        <v>22024</v>
      </c>
      <c r="K6633" t="s">
        <v>81</v>
      </c>
      <c r="L6633" t="s">
        <v>33</v>
      </c>
      <c r="M6633" t="s">
        <v>1808</v>
      </c>
      <c r="N6633" t="s">
        <v>22060</v>
      </c>
      <c r="O6633" t="s">
        <v>22061</v>
      </c>
      <c r="P6633" s="2" t="s">
        <v>37</v>
      </c>
      <c r="Q6633" t="s">
        <v>1208</v>
      </c>
      <c r="R6633">
        <v>0</v>
      </c>
      <c r="S6633">
        <v>86.99</v>
      </c>
      <c r="T6633" t="s">
        <v>22062</v>
      </c>
    </row>
    <row r="6634" spans="1:20" x14ac:dyDescent="0.25">
      <c r="A6634" s="1" t="str">
        <f>HYPERLINK("https://vegkart.atlas.vegvesen.no/#/@-41971.7,6546505.8,18/hva:hva%5B0%5D%5Bfilter%5D%5B0%5D%5Boperator%5D=%21%3D&amp;hva%5B0%5D%5Bfilter%5D%5B0%5D%5Btype_id%5D=5897&amp;hva%5B0%5D%5Bfilter%5D%5B0%5D%5Bverdi%5D=&amp;hva%5B0%5D%5Bid%5D=47/når:2019-12-06", "Vegkart")</f>
        <v>Vegkart</v>
      </c>
      <c r="B6634">
        <v>1005591623</v>
      </c>
      <c r="C6634">
        <v>47</v>
      </c>
      <c r="D6634" t="s">
        <v>16854</v>
      </c>
      <c r="E6634">
        <v>5897</v>
      </c>
      <c r="F6634" t="s">
        <v>23479</v>
      </c>
      <c r="G6634">
        <v>1</v>
      </c>
      <c r="H6634" t="s">
        <v>45</v>
      </c>
      <c r="J6634" t="s">
        <v>22024</v>
      </c>
      <c r="K6634" t="s">
        <v>170</v>
      </c>
      <c r="L6634" t="s">
        <v>33</v>
      </c>
      <c r="M6634" t="s">
        <v>22063</v>
      </c>
      <c r="N6634" t="s">
        <v>22064</v>
      </c>
      <c r="O6634" t="s">
        <v>22065</v>
      </c>
      <c r="P6634" s="2" t="s">
        <v>26</v>
      </c>
      <c r="Q6634" t="s">
        <v>50</v>
      </c>
      <c r="R6634">
        <v>72.680000000000007</v>
      </c>
      <c r="S6634">
        <v>75.2</v>
      </c>
      <c r="T6634" t="s">
        <v>22066</v>
      </c>
    </row>
    <row r="6635" spans="1:20" x14ac:dyDescent="0.25">
      <c r="A6635" s="1" t="str">
        <f>HYPERLINK("https://vegkart.atlas.vegvesen.no/#/@727163.9,7778149.3,18/hva:hva%5B0%5D%5Bfilter%5D%5B0%5D%5Boperator%5D=%21%3D&amp;hva%5B0%5D%5Bfilter%5D%5B0%5D%5Btype_id%5D=5897&amp;hva%5B0%5D%5Bfilter%5D%5B0%5D%5Bverdi%5D=&amp;hva%5B0%5D%5Bid%5D=47/når:2019-12-13", "Vegkart")</f>
        <v>Vegkart</v>
      </c>
      <c r="B6635">
        <v>1005773543</v>
      </c>
      <c r="C6635">
        <v>47</v>
      </c>
      <c r="D6635" t="s">
        <v>16854</v>
      </c>
      <c r="E6635">
        <v>5897</v>
      </c>
      <c r="F6635" t="s">
        <v>23479</v>
      </c>
      <c r="G6635">
        <v>1</v>
      </c>
      <c r="H6635" t="s">
        <v>15942</v>
      </c>
      <c r="J6635" t="s">
        <v>22024</v>
      </c>
      <c r="K6635" t="s">
        <v>179</v>
      </c>
      <c r="L6635" t="s">
        <v>33</v>
      </c>
      <c r="M6635" t="s">
        <v>542</v>
      </c>
      <c r="N6635" t="s">
        <v>22067</v>
      </c>
      <c r="O6635" t="s">
        <v>22068</v>
      </c>
      <c r="P6635" s="2" t="s">
        <v>26</v>
      </c>
      <c r="Q6635" t="s">
        <v>50</v>
      </c>
      <c r="R6635">
        <v>142.46</v>
      </c>
      <c r="S6635">
        <v>146.81</v>
      </c>
      <c r="T6635" t="s">
        <v>22069</v>
      </c>
    </row>
    <row r="6636" spans="1:20" x14ac:dyDescent="0.25">
      <c r="A6636" s="1" t="str">
        <f>HYPERLINK("https://vegkart.atlas.vegvesen.no/#/@725673.1,7777803.4,18/hva:hva%5B0%5D%5Bfilter%5D%5B0%5D%5Boperator%5D=%21%3D&amp;hva%5B0%5D%5Bfilter%5D%5B0%5D%5Btype_id%5D=5897&amp;hva%5B0%5D%5Bfilter%5D%5B0%5D%5Bverdi%5D=&amp;hva%5B0%5D%5Bid%5D=47/når:2019-12-13", "Vegkart")</f>
        <v>Vegkart</v>
      </c>
      <c r="B6636">
        <v>1005773544</v>
      </c>
      <c r="C6636">
        <v>47</v>
      </c>
      <c r="D6636" t="s">
        <v>16854</v>
      </c>
      <c r="E6636">
        <v>5897</v>
      </c>
      <c r="F6636" t="s">
        <v>23479</v>
      </c>
      <c r="G6636">
        <v>1</v>
      </c>
      <c r="H6636" t="s">
        <v>15942</v>
      </c>
      <c r="J6636" t="s">
        <v>22024</v>
      </c>
      <c r="K6636" t="s">
        <v>179</v>
      </c>
      <c r="L6636" t="s">
        <v>33</v>
      </c>
      <c r="M6636" t="s">
        <v>542</v>
      </c>
      <c r="N6636" t="s">
        <v>22070</v>
      </c>
      <c r="O6636" t="s">
        <v>22071</v>
      </c>
      <c r="P6636" s="2" t="s">
        <v>26</v>
      </c>
      <c r="Q6636" t="s">
        <v>50</v>
      </c>
      <c r="R6636">
        <v>74.19</v>
      </c>
      <c r="S6636">
        <v>75.16</v>
      </c>
      <c r="T6636" t="s">
        <v>22072</v>
      </c>
    </row>
    <row r="6637" spans="1:20" x14ac:dyDescent="0.25">
      <c r="A6637" s="1" t="str">
        <f>HYPERLINK("https://vegkart.atlas.vegvesen.no/#/@228579.7,6613766.7,18/hva:hva%5B0%5D%5Bfilter%5D%5B0%5D%5Boperator%5D=%21%3D&amp;hva%5B0%5D%5Bfilter%5D%5B0%5D%5Btype_id%5D=5897&amp;hva%5B0%5D%5Bfilter%5D%5B0%5D%5Bverdi%5D=&amp;hva%5B0%5D%5Bid%5D=47/når:2020-10-07", "Vegkart")</f>
        <v>Vegkart</v>
      </c>
      <c r="B6637">
        <v>1005773986</v>
      </c>
      <c r="C6637">
        <v>47</v>
      </c>
      <c r="D6637" t="s">
        <v>16854</v>
      </c>
      <c r="E6637">
        <v>5897</v>
      </c>
      <c r="F6637" t="s">
        <v>23479</v>
      </c>
      <c r="G6637">
        <v>2</v>
      </c>
      <c r="H6637" t="s">
        <v>22073</v>
      </c>
      <c r="J6637" t="s">
        <v>22024</v>
      </c>
      <c r="K6637" t="s">
        <v>81</v>
      </c>
      <c r="L6637" t="s">
        <v>33</v>
      </c>
      <c r="M6637" t="s">
        <v>1808</v>
      </c>
      <c r="N6637" t="s">
        <v>22074</v>
      </c>
      <c r="O6637" t="s">
        <v>22075</v>
      </c>
      <c r="P6637" s="2" t="s">
        <v>26</v>
      </c>
      <c r="Q6637" t="s">
        <v>50</v>
      </c>
      <c r="R6637">
        <v>74.59</v>
      </c>
      <c r="S6637">
        <v>75.63</v>
      </c>
      <c r="T6637" t="s">
        <v>22076</v>
      </c>
    </row>
    <row r="6638" spans="1:20" x14ac:dyDescent="0.25">
      <c r="A6638" s="1" t="str">
        <f>HYPERLINK("https://vegkart.atlas.vegvesen.no/#/@228752.1,6613156.6,18/hva:hva%5B0%5D%5Bfilter%5D%5B0%5D%5Boperator%5D=%21%3D&amp;hva%5B0%5D%5Bfilter%5D%5B0%5D%5Btype_id%5D=5897&amp;hva%5B0%5D%5Bfilter%5D%5B0%5D%5Bverdi%5D=&amp;hva%5B0%5D%5Bid%5D=47/når:2020-10-07", "Vegkart")</f>
        <v>Vegkart</v>
      </c>
      <c r="B6638">
        <v>1005773995</v>
      </c>
      <c r="C6638">
        <v>47</v>
      </c>
      <c r="D6638" t="s">
        <v>16854</v>
      </c>
      <c r="E6638">
        <v>5897</v>
      </c>
      <c r="F6638" t="s">
        <v>23479</v>
      </c>
      <c r="G6638">
        <v>2</v>
      </c>
      <c r="H6638" t="s">
        <v>22073</v>
      </c>
      <c r="J6638" t="s">
        <v>22024</v>
      </c>
      <c r="K6638" t="s">
        <v>81</v>
      </c>
      <c r="L6638" t="s">
        <v>33</v>
      </c>
      <c r="M6638" t="s">
        <v>1808</v>
      </c>
      <c r="N6638" t="s">
        <v>22077</v>
      </c>
      <c r="O6638" t="s">
        <v>22078</v>
      </c>
      <c r="P6638" s="2" t="s">
        <v>26</v>
      </c>
      <c r="Q6638" t="s">
        <v>50</v>
      </c>
      <c r="R6638">
        <v>81.31</v>
      </c>
      <c r="S6638">
        <v>82.78</v>
      </c>
      <c r="T6638" t="s">
        <v>22079</v>
      </c>
    </row>
    <row r="6639" spans="1:20" x14ac:dyDescent="0.25">
      <c r="A6639" s="1" t="str">
        <f>HYPERLINK("https://vegkart.atlas.vegvesen.no/#/@228607.4,6613894.1,18/hva:hva%5B0%5D%5Bfilter%5D%5B0%5D%5Boperator%5D=%21%3D&amp;hva%5B0%5D%5Bfilter%5D%5B0%5D%5Btype_id%5D=5897&amp;hva%5B0%5D%5Bfilter%5D%5B0%5D%5Bverdi%5D=&amp;hva%5B0%5D%5Bid%5D=47/når:2020-10-07", "Vegkart")</f>
        <v>Vegkart</v>
      </c>
      <c r="B6639">
        <v>1005773999</v>
      </c>
      <c r="C6639">
        <v>47</v>
      </c>
      <c r="D6639" t="s">
        <v>16854</v>
      </c>
      <c r="E6639">
        <v>5897</v>
      </c>
      <c r="F6639" t="s">
        <v>23479</v>
      </c>
      <c r="G6639">
        <v>2</v>
      </c>
      <c r="H6639" t="s">
        <v>22073</v>
      </c>
      <c r="J6639" t="s">
        <v>22024</v>
      </c>
      <c r="K6639" t="s">
        <v>81</v>
      </c>
      <c r="L6639" t="s">
        <v>33</v>
      </c>
      <c r="M6639" t="s">
        <v>1808</v>
      </c>
      <c r="N6639" t="s">
        <v>22080</v>
      </c>
      <c r="O6639" t="s">
        <v>22081</v>
      </c>
      <c r="P6639" s="2" t="s">
        <v>26</v>
      </c>
      <c r="Q6639" t="s">
        <v>50</v>
      </c>
      <c r="R6639">
        <v>48.31</v>
      </c>
      <c r="S6639">
        <v>49.56</v>
      </c>
      <c r="T6639" t="s">
        <v>22082</v>
      </c>
    </row>
    <row r="6640" spans="1:20" x14ac:dyDescent="0.25">
      <c r="A6640" s="1" t="str">
        <f>HYPERLINK("https://vegkart.atlas.vegvesen.no/#/@157815.5,6539143.8,18/hva:hva%5B0%5D%5Bfilter%5D%5B0%5D%5Boperator%5D=%21%3D&amp;hva%5B0%5D%5Bfilter%5D%5B0%5D%5Btype_id%5D=5897&amp;hva%5B0%5D%5Bfilter%5D%5B0%5D%5Bverdi%5D=&amp;hva%5B0%5D%5Bid%5D=47/når:2019-12-17", "Vegkart")</f>
        <v>Vegkart</v>
      </c>
      <c r="B6640">
        <v>1006166954</v>
      </c>
      <c r="C6640">
        <v>47</v>
      </c>
      <c r="D6640" t="s">
        <v>16854</v>
      </c>
      <c r="E6640">
        <v>5897</v>
      </c>
      <c r="F6640" t="s">
        <v>23479</v>
      </c>
      <c r="G6640">
        <v>1</v>
      </c>
      <c r="H6640" t="s">
        <v>22083</v>
      </c>
      <c r="J6640" t="s">
        <v>22024</v>
      </c>
      <c r="K6640" t="s">
        <v>86</v>
      </c>
      <c r="L6640" t="s">
        <v>33</v>
      </c>
      <c r="M6640" t="s">
        <v>12811</v>
      </c>
      <c r="N6640" t="s">
        <v>22084</v>
      </c>
      <c r="O6640" t="s">
        <v>22085</v>
      </c>
      <c r="P6640" s="2" t="s">
        <v>26</v>
      </c>
      <c r="Q6640" t="s">
        <v>50</v>
      </c>
      <c r="R6640">
        <v>57.58</v>
      </c>
      <c r="S6640">
        <v>57.97</v>
      </c>
      <c r="T6640" t="s">
        <v>22086</v>
      </c>
    </row>
    <row r="6641" spans="1:20" x14ac:dyDescent="0.25">
      <c r="A6641" s="1" t="str">
        <f>HYPERLINK("https://vegkart.atlas.vegvesen.no/#/@157850.9,6539147.4,18/hva:hva%5B0%5D%5Bfilter%5D%5B0%5D%5Boperator%5D=%21%3D&amp;hva%5B0%5D%5Bfilter%5D%5B0%5D%5Btype_id%5D=5897&amp;hva%5B0%5D%5Bfilter%5D%5B0%5D%5Bverdi%5D=&amp;hva%5B0%5D%5Bid%5D=47/når:2019-12-17", "Vegkart")</f>
        <v>Vegkart</v>
      </c>
      <c r="B6641">
        <v>1006166958</v>
      </c>
      <c r="C6641">
        <v>47</v>
      </c>
      <c r="D6641" t="s">
        <v>16854</v>
      </c>
      <c r="E6641">
        <v>5897</v>
      </c>
      <c r="F6641" t="s">
        <v>23479</v>
      </c>
      <c r="G6641">
        <v>1</v>
      </c>
      <c r="H6641" t="s">
        <v>22083</v>
      </c>
      <c r="J6641" t="s">
        <v>22024</v>
      </c>
      <c r="K6641" t="s">
        <v>86</v>
      </c>
      <c r="L6641" t="s">
        <v>33</v>
      </c>
      <c r="M6641" t="s">
        <v>12811</v>
      </c>
      <c r="N6641" t="s">
        <v>22087</v>
      </c>
      <c r="O6641" t="s">
        <v>22088</v>
      </c>
      <c r="P6641" s="2" t="s">
        <v>26</v>
      </c>
      <c r="Q6641" t="s">
        <v>50</v>
      </c>
      <c r="R6641">
        <v>45</v>
      </c>
      <c r="S6641">
        <v>45.42</v>
      </c>
      <c r="T6641" t="s">
        <v>22089</v>
      </c>
    </row>
    <row r="6642" spans="1:20" x14ac:dyDescent="0.25">
      <c r="A6642" s="1" t="str">
        <f>HYPERLINK("https://vegkart.atlas.vegvesen.no/#/@-28592.2,6712534.5,18/hva:hva%5B0%5D%5Bfilter%5D%5B0%5D%5Boperator%5D=%21%3D&amp;hva%5B0%5D%5Bfilter%5D%5B0%5D%5Btype_id%5D=5897&amp;hva%5B0%5D%5Bfilter%5D%5B0%5D%5Bverdi%5D=&amp;hva%5B0%5D%5Bid%5D=47/når:2022-02-08", "Vegkart")</f>
        <v>Vegkart</v>
      </c>
      <c r="B6642">
        <v>1006172917</v>
      </c>
      <c r="C6642">
        <v>47</v>
      </c>
      <c r="D6642" t="s">
        <v>16854</v>
      </c>
      <c r="E6642">
        <v>5897</v>
      </c>
      <c r="F6642" t="s">
        <v>23479</v>
      </c>
      <c r="G6642">
        <v>2</v>
      </c>
      <c r="H6642" t="s">
        <v>22090</v>
      </c>
      <c r="J6642" t="s">
        <v>22024</v>
      </c>
      <c r="K6642" t="s">
        <v>21</v>
      </c>
      <c r="L6642" t="s">
        <v>33</v>
      </c>
      <c r="M6642" t="s">
        <v>22091</v>
      </c>
      <c r="N6642" t="s">
        <v>22092</v>
      </c>
      <c r="O6642" t="s">
        <v>22093</v>
      </c>
      <c r="P6642" s="2" t="s">
        <v>26</v>
      </c>
      <c r="Q6642" t="s">
        <v>50</v>
      </c>
      <c r="R6642">
        <v>22.43</v>
      </c>
      <c r="S6642">
        <v>22.44</v>
      </c>
      <c r="T6642" t="s">
        <v>22094</v>
      </c>
    </row>
    <row r="6643" spans="1:20" x14ac:dyDescent="0.25">
      <c r="A6643" s="1" t="str">
        <f>HYPERLINK("https://vegkart.atlas.vegvesen.no/#/@-28634.8,6711914.3,18/hva:hva%5B0%5D%5Bfilter%5D%5B0%5D%5Boperator%5D=%21%3D&amp;hva%5B0%5D%5Bfilter%5D%5B0%5D%5Btype_id%5D=5897&amp;hva%5B0%5D%5Bfilter%5D%5B0%5D%5Bverdi%5D=&amp;hva%5B0%5D%5Bid%5D=47/når:2019-12-17", "Vegkart")</f>
        <v>Vegkart</v>
      </c>
      <c r="B6643">
        <v>1006172968</v>
      </c>
      <c r="C6643">
        <v>47</v>
      </c>
      <c r="D6643" t="s">
        <v>16854</v>
      </c>
      <c r="E6643">
        <v>5897</v>
      </c>
      <c r="F6643" t="s">
        <v>23479</v>
      </c>
      <c r="G6643">
        <v>1</v>
      </c>
      <c r="H6643" t="s">
        <v>22083</v>
      </c>
      <c r="J6643" t="s">
        <v>22024</v>
      </c>
      <c r="K6643" t="s">
        <v>21</v>
      </c>
      <c r="L6643" t="s">
        <v>22</v>
      </c>
      <c r="M6643" t="s">
        <v>11488</v>
      </c>
      <c r="N6643" t="s">
        <v>22095</v>
      </c>
      <c r="O6643" t="s">
        <v>22096</v>
      </c>
      <c r="P6643" s="2" t="s">
        <v>26</v>
      </c>
      <c r="Q6643" t="s">
        <v>50</v>
      </c>
      <c r="R6643">
        <v>29.97</v>
      </c>
      <c r="S6643">
        <v>29.99</v>
      </c>
      <c r="T6643" t="s">
        <v>22097</v>
      </c>
    </row>
    <row r="6644" spans="1:20" x14ac:dyDescent="0.25">
      <c r="A6644" s="1" t="str">
        <f>HYPERLINK("https://vegkart.atlas.vegvesen.no/#/@263039.3,6639410.8,18/hva:hva%5B0%5D%5Bfilter%5D%5B0%5D%5Boperator%5D=%21%3D&amp;hva%5B0%5D%5Bfilter%5D%5B0%5D%5Btype_id%5D=5897&amp;hva%5B0%5D%5Bfilter%5D%5B0%5D%5Bverdi%5D=&amp;hva%5B0%5D%5Bid%5D=47/når:2020-01-13", "Vegkart")</f>
        <v>Vegkart</v>
      </c>
      <c r="B6644">
        <v>1006291799</v>
      </c>
      <c r="C6644">
        <v>47</v>
      </c>
      <c r="D6644" t="s">
        <v>16854</v>
      </c>
      <c r="E6644">
        <v>5897</v>
      </c>
      <c r="F6644" t="s">
        <v>23479</v>
      </c>
      <c r="G6644">
        <v>1</v>
      </c>
      <c r="H6644" t="s">
        <v>22098</v>
      </c>
      <c r="J6644" t="s">
        <v>22099</v>
      </c>
      <c r="K6644" t="s">
        <v>335</v>
      </c>
      <c r="L6644" t="s">
        <v>22</v>
      </c>
      <c r="M6644" t="s">
        <v>22100</v>
      </c>
      <c r="N6644" t="s">
        <v>22101</v>
      </c>
      <c r="O6644" t="s">
        <v>22102</v>
      </c>
      <c r="P6644" s="2" t="s">
        <v>26</v>
      </c>
      <c r="Q6644" t="s">
        <v>50</v>
      </c>
      <c r="R6644">
        <v>48.62</v>
      </c>
      <c r="S6644">
        <v>48.65</v>
      </c>
      <c r="T6644" t="s">
        <v>22103</v>
      </c>
    </row>
    <row r="6645" spans="1:20" x14ac:dyDescent="0.25">
      <c r="A6645" s="1" t="str">
        <f>HYPERLINK("https://vegkart.atlas.vegvesen.no/#/@263039.3,6639410.7,18/hva:hva%5B0%5D%5Bfilter%5D%5B0%5D%5Boperator%5D=%21%3D&amp;hva%5B0%5D%5Bfilter%5D%5B0%5D%5Btype_id%5D=5897&amp;hva%5B0%5D%5Bfilter%5D%5B0%5D%5Bverdi%5D=&amp;hva%5B0%5D%5Bid%5D=47/når:2020-01-13", "Vegkart")</f>
        <v>Vegkart</v>
      </c>
      <c r="B6645">
        <v>1006291800</v>
      </c>
      <c r="C6645">
        <v>47</v>
      </c>
      <c r="D6645" t="s">
        <v>16854</v>
      </c>
      <c r="E6645">
        <v>5897</v>
      </c>
      <c r="F6645" t="s">
        <v>23479</v>
      </c>
      <c r="G6645">
        <v>1</v>
      </c>
      <c r="H6645" t="s">
        <v>22098</v>
      </c>
      <c r="J6645" t="s">
        <v>22099</v>
      </c>
      <c r="K6645" t="s">
        <v>335</v>
      </c>
      <c r="L6645" t="s">
        <v>22</v>
      </c>
      <c r="M6645" t="s">
        <v>22100</v>
      </c>
      <c r="N6645" t="s">
        <v>22104</v>
      </c>
      <c r="O6645" t="s">
        <v>22105</v>
      </c>
      <c r="P6645" s="2" t="s">
        <v>26</v>
      </c>
      <c r="Q6645" t="s">
        <v>50</v>
      </c>
      <c r="R6645">
        <v>40.729999999999997</v>
      </c>
      <c r="S6645">
        <v>40.74</v>
      </c>
      <c r="T6645" t="s">
        <v>22106</v>
      </c>
    </row>
    <row r="6646" spans="1:20" x14ac:dyDescent="0.25">
      <c r="A6646" s="1" t="str">
        <f>HYPERLINK("https://vegkart.atlas.vegvesen.no/#/@262845.2,6639887.8,18/hva:hva%5B0%5D%5Bfilter%5D%5B0%5D%5Boperator%5D=%21%3D&amp;hva%5B0%5D%5Bfilter%5D%5B0%5D%5Btype_id%5D=5897&amp;hva%5B0%5D%5Bfilter%5D%5B0%5D%5Bverdi%5D=&amp;hva%5B0%5D%5Bid%5D=47/når:2020-01-13", "Vegkart")</f>
        <v>Vegkart</v>
      </c>
      <c r="B6646">
        <v>1006413005</v>
      </c>
      <c r="C6646">
        <v>47</v>
      </c>
      <c r="D6646" t="s">
        <v>16854</v>
      </c>
      <c r="E6646">
        <v>5897</v>
      </c>
      <c r="F6646" t="s">
        <v>23479</v>
      </c>
      <c r="G6646">
        <v>1</v>
      </c>
      <c r="H6646" t="s">
        <v>22098</v>
      </c>
      <c r="J6646" t="s">
        <v>22099</v>
      </c>
      <c r="K6646" t="s">
        <v>335</v>
      </c>
      <c r="L6646" t="s">
        <v>22</v>
      </c>
      <c r="M6646" t="s">
        <v>22100</v>
      </c>
      <c r="N6646" t="s">
        <v>22107</v>
      </c>
      <c r="O6646" t="s">
        <v>22108</v>
      </c>
      <c r="P6646" s="2" t="s">
        <v>26</v>
      </c>
      <c r="Q6646" t="s">
        <v>50</v>
      </c>
      <c r="R6646">
        <v>51.93</v>
      </c>
      <c r="S6646">
        <v>52.07</v>
      </c>
      <c r="T6646" t="s">
        <v>22109</v>
      </c>
    </row>
    <row r="6647" spans="1:20" x14ac:dyDescent="0.25">
      <c r="A6647" s="1" t="str">
        <f>HYPERLINK("https://vegkart.atlas.vegvesen.no/#/@262806.8,6640030.9,18/hva:hva%5B0%5D%5Bfilter%5D%5B0%5D%5Boperator%5D=%21%3D&amp;hva%5B0%5D%5Bfilter%5D%5B0%5D%5Btype_id%5D=5897&amp;hva%5B0%5D%5Bfilter%5D%5B0%5D%5Bverdi%5D=&amp;hva%5B0%5D%5Bid%5D=47/når:2020-01-13", "Vegkart")</f>
        <v>Vegkart</v>
      </c>
      <c r="B6647">
        <v>1006413343</v>
      </c>
      <c r="C6647">
        <v>47</v>
      </c>
      <c r="D6647" t="s">
        <v>16854</v>
      </c>
      <c r="E6647">
        <v>5897</v>
      </c>
      <c r="F6647" t="s">
        <v>23479</v>
      </c>
      <c r="G6647">
        <v>1</v>
      </c>
      <c r="H6647" t="s">
        <v>22098</v>
      </c>
      <c r="J6647" t="s">
        <v>22099</v>
      </c>
      <c r="K6647" t="s">
        <v>335</v>
      </c>
      <c r="L6647" t="s">
        <v>22</v>
      </c>
      <c r="M6647" t="s">
        <v>22100</v>
      </c>
      <c r="N6647" t="s">
        <v>22110</v>
      </c>
      <c r="O6647" t="s">
        <v>22111</v>
      </c>
      <c r="P6647" s="2" t="s">
        <v>26</v>
      </c>
      <c r="Q6647" t="s">
        <v>50</v>
      </c>
      <c r="R6647">
        <v>43.41</v>
      </c>
      <c r="S6647">
        <v>43.52</v>
      </c>
      <c r="T6647" t="s">
        <v>22112</v>
      </c>
    </row>
    <row r="6648" spans="1:20" x14ac:dyDescent="0.25">
      <c r="A6648" s="1" t="str">
        <f>HYPERLINK("https://vegkart.atlas.vegvesen.no/#/@263048.7,6640190.7,18/hva:hva%5B0%5D%5Bfilter%5D%5B0%5D%5Boperator%5D=%21%3D&amp;hva%5B0%5D%5Bfilter%5D%5B0%5D%5Btype_id%5D=5897&amp;hva%5B0%5D%5Bfilter%5D%5B0%5D%5Bverdi%5D=&amp;hva%5B0%5D%5Bid%5D=47/når:2020-01-16", "Vegkart")</f>
        <v>Vegkart</v>
      </c>
      <c r="B6648">
        <v>1006498923</v>
      </c>
      <c r="C6648">
        <v>47</v>
      </c>
      <c r="D6648" t="s">
        <v>16854</v>
      </c>
      <c r="E6648">
        <v>5897</v>
      </c>
      <c r="F6648" t="s">
        <v>23479</v>
      </c>
      <c r="G6648">
        <v>1</v>
      </c>
      <c r="H6648" t="s">
        <v>22113</v>
      </c>
      <c r="J6648" t="s">
        <v>22099</v>
      </c>
      <c r="K6648" t="s">
        <v>335</v>
      </c>
      <c r="L6648" t="s">
        <v>22</v>
      </c>
      <c r="M6648" t="s">
        <v>22100</v>
      </c>
      <c r="N6648" t="s">
        <v>22114</v>
      </c>
      <c r="O6648" t="s">
        <v>22115</v>
      </c>
      <c r="P6648" s="2" t="s">
        <v>26</v>
      </c>
      <c r="Q6648" t="s">
        <v>50</v>
      </c>
      <c r="R6648">
        <v>93.96</v>
      </c>
      <c r="S6648">
        <v>97.98</v>
      </c>
      <c r="T6648" t="s">
        <v>22116</v>
      </c>
    </row>
    <row r="6649" spans="1:20" x14ac:dyDescent="0.25">
      <c r="A6649" s="1" t="str">
        <f>HYPERLINK("https://vegkart.atlas.vegvesen.no/#/@264006.7,6642775.1,18/hva:hva%5B0%5D%5Bfilter%5D%5B0%5D%5Boperator%5D=%21%3D&amp;hva%5B0%5D%5Bfilter%5D%5B0%5D%5Btype_id%5D=5897&amp;hva%5B0%5D%5Bfilter%5D%5B0%5D%5Bverdi%5D=&amp;hva%5B0%5D%5Bid%5D=47/når:2020-01-20", "Vegkart")</f>
        <v>Vegkart</v>
      </c>
      <c r="B6649">
        <v>1006511747</v>
      </c>
      <c r="C6649">
        <v>47</v>
      </c>
      <c r="D6649" t="s">
        <v>16854</v>
      </c>
      <c r="E6649">
        <v>5897</v>
      </c>
      <c r="F6649" t="s">
        <v>23479</v>
      </c>
      <c r="G6649">
        <v>1</v>
      </c>
      <c r="H6649" t="s">
        <v>22117</v>
      </c>
      <c r="J6649" t="s">
        <v>22099</v>
      </c>
      <c r="K6649" t="s">
        <v>335</v>
      </c>
      <c r="L6649" t="s">
        <v>22</v>
      </c>
      <c r="M6649" t="s">
        <v>10560</v>
      </c>
      <c r="N6649" t="s">
        <v>22118</v>
      </c>
      <c r="O6649" t="s">
        <v>22119</v>
      </c>
      <c r="P6649" s="2" t="s">
        <v>26</v>
      </c>
      <c r="Q6649" t="s">
        <v>50</v>
      </c>
      <c r="R6649">
        <v>28.75</v>
      </c>
      <c r="S6649">
        <v>28.75</v>
      </c>
      <c r="T6649" t="s">
        <v>22120</v>
      </c>
    </row>
    <row r="6650" spans="1:20" x14ac:dyDescent="0.25">
      <c r="A6650" s="1" t="str">
        <f>HYPERLINK("https://vegkart.atlas.vegvesen.no/#/@269126.3,6637851.9,18/hva:hva%5B0%5D%5Bfilter%5D%5B0%5D%5Boperator%5D=%21%3D&amp;hva%5B0%5D%5Bfilter%5D%5B0%5D%5Btype_id%5D=5897&amp;hva%5B0%5D%5Bfilter%5D%5B0%5D%5Bverdi%5D=&amp;hva%5B0%5D%5Bid%5D=47/når:2020-01-20", "Vegkart")</f>
        <v>Vegkart</v>
      </c>
      <c r="B6650">
        <v>1006511892</v>
      </c>
      <c r="C6650">
        <v>47</v>
      </c>
      <c r="D6650" t="s">
        <v>16854</v>
      </c>
      <c r="E6650">
        <v>5897</v>
      </c>
      <c r="F6650" t="s">
        <v>23479</v>
      </c>
      <c r="G6650">
        <v>1</v>
      </c>
      <c r="H6650" t="s">
        <v>22117</v>
      </c>
      <c r="J6650" t="s">
        <v>22099</v>
      </c>
      <c r="K6650" t="s">
        <v>335</v>
      </c>
      <c r="L6650" t="s">
        <v>22</v>
      </c>
      <c r="M6650" t="s">
        <v>22121</v>
      </c>
      <c r="N6650" t="s">
        <v>22122</v>
      </c>
      <c r="O6650" t="s">
        <v>22123</v>
      </c>
      <c r="P6650" s="2" t="s">
        <v>26</v>
      </c>
      <c r="Q6650" t="s">
        <v>50</v>
      </c>
      <c r="R6650">
        <v>34.92</v>
      </c>
      <c r="S6650">
        <v>34.94</v>
      </c>
      <c r="T6650" t="s">
        <v>22124</v>
      </c>
    </row>
    <row r="6651" spans="1:20" x14ac:dyDescent="0.25">
      <c r="A6651" s="1" t="str">
        <f>HYPERLINK("https://vegkart.atlas.vegvesen.no/#/@269147.1,6637911.1,18/hva:hva%5B0%5D%5Bfilter%5D%5B0%5D%5Boperator%5D=%21%3D&amp;hva%5B0%5D%5Bfilter%5D%5B0%5D%5Btype_id%5D=5897&amp;hva%5B0%5D%5Bfilter%5D%5B0%5D%5Bverdi%5D=&amp;hva%5B0%5D%5Bid%5D=47/når:2020-01-20", "Vegkart")</f>
        <v>Vegkart</v>
      </c>
      <c r="B6651">
        <v>1006512072</v>
      </c>
      <c r="C6651">
        <v>47</v>
      </c>
      <c r="D6651" t="s">
        <v>16854</v>
      </c>
      <c r="E6651">
        <v>5897</v>
      </c>
      <c r="F6651" t="s">
        <v>23479</v>
      </c>
      <c r="G6651">
        <v>1</v>
      </c>
      <c r="H6651" t="s">
        <v>22117</v>
      </c>
      <c r="J6651" t="s">
        <v>22099</v>
      </c>
      <c r="K6651" t="s">
        <v>335</v>
      </c>
      <c r="L6651" t="s">
        <v>22</v>
      </c>
      <c r="M6651" t="s">
        <v>22121</v>
      </c>
      <c r="N6651" t="s">
        <v>22125</v>
      </c>
      <c r="O6651" t="s">
        <v>22126</v>
      </c>
      <c r="P6651" s="2" t="s">
        <v>26</v>
      </c>
      <c r="Q6651" t="s">
        <v>50</v>
      </c>
      <c r="R6651">
        <v>39.32</v>
      </c>
      <c r="S6651">
        <v>39.619999999999997</v>
      </c>
      <c r="T6651" t="s">
        <v>22127</v>
      </c>
    </row>
    <row r="6652" spans="1:20" x14ac:dyDescent="0.25">
      <c r="A6652" s="1" t="str">
        <f>HYPERLINK("https://vegkart.atlas.vegvesen.no/#/@263928.4,6641136.3,18/hva:hva%5B0%5D%5Bfilter%5D%5B0%5D%5Boperator%5D=%21%3D&amp;hva%5B0%5D%5Bfilter%5D%5B0%5D%5Btype_id%5D=5897&amp;hva%5B0%5D%5Bfilter%5D%5B0%5D%5Bverdi%5D=&amp;hva%5B0%5D%5Bid%5D=47/når:2020-01-28", "Vegkart")</f>
        <v>Vegkart</v>
      </c>
      <c r="B6652">
        <v>1006655454</v>
      </c>
      <c r="C6652">
        <v>47</v>
      </c>
      <c r="D6652" t="s">
        <v>16854</v>
      </c>
      <c r="E6652">
        <v>5897</v>
      </c>
      <c r="F6652" t="s">
        <v>23479</v>
      </c>
      <c r="G6652">
        <v>1</v>
      </c>
      <c r="H6652" t="s">
        <v>10240</v>
      </c>
      <c r="J6652" t="s">
        <v>22099</v>
      </c>
      <c r="K6652" t="s">
        <v>335</v>
      </c>
      <c r="L6652" t="s">
        <v>22</v>
      </c>
      <c r="M6652" t="s">
        <v>5587</v>
      </c>
      <c r="N6652" t="s">
        <v>22128</v>
      </c>
      <c r="O6652" t="s">
        <v>22129</v>
      </c>
      <c r="P6652" s="2" t="s">
        <v>26</v>
      </c>
      <c r="Q6652" t="s">
        <v>50</v>
      </c>
      <c r="R6652">
        <v>27.45</v>
      </c>
      <c r="S6652">
        <v>27.45</v>
      </c>
      <c r="T6652" t="s">
        <v>22130</v>
      </c>
    </row>
    <row r="6653" spans="1:20" x14ac:dyDescent="0.25">
      <c r="A6653" s="1" t="str">
        <f>HYPERLINK("https://vegkart.atlas.vegvesen.no/#/@145554.7,6623436.0,18/hva:hva%5B0%5D%5Bfilter%5D%5B0%5D%5Boperator%5D=%21%3D&amp;hva%5B0%5D%5Bfilter%5D%5B0%5D%5Btype_id%5D=5897&amp;hva%5B0%5D%5Bfilter%5D%5B0%5D%5Bverdi%5D=&amp;hva%5B0%5D%5Bid%5D=47/når:2022-11-30", "Vegkart")</f>
        <v>Vegkart</v>
      </c>
      <c r="B6653">
        <v>1006724740</v>
      </c>
      <c r="C6653">
        <v>47</v>
      </c>
      <c r="D6653" t="s">
        <v>16854</v>
      </c>
      <c r="E6653">
        <v>5897</v>
      </c>
      <c r="F6653" t="s">
        <v>23479</v>
      </c>
      <c r="G6653">
        <v>2</v>
      </c>
      <c r="H6653" t="s">
        <v>17992</v>
      </c>
      <c r="J6653" t="s">
        <v>22024</v>
      </c>
      <c r="K6653" t="s">
        <v>197</v>
      </c>
      <c r="L6653" t="s">
        <v>80</v>
      </c>
      <c r="M6653" t="s">
        <v>645</v>
      </c>
      <c r="N6653" t="s">
        <v>22131</v>
      </c>
      <c r="O6653" t="s">
        <v>22132</v>
      </c>
      <c r="P6653" s="2" t="s">
        <v>165</v>
      </c>
      <c r="Q6653" t="s">
        <v>166</v>
      </c>
      <c r="R6653">
        <v>0</v>
      </c>
      <c r="S6653">
        <v>253.52</v>
      </c>
      <c r="T6653" t="s">
        <v>167</v>
      </c>
    </row>
    <row r="6654" spans="1:20" x14ac:dyDescent="0.25">
      <c r="A6654" s="1" t="str">
        <f>HYPERLINK("https://vegkart.atlas.vegvesen.no/#/@25765.8,6817914.1,18/hva:hva%5B0%5D%5Bfilter%5D%5B0%5D%5Boperator%5D=%21%3D&amp;hva%5B0%5D%5Bfilter%5D%5B0%5D%5Btype_id%5D=5897&amp;hva%5B0%5D%5Bfilter%5D%5B0%5D%5Bverdi%5D=&amp;hva%5B0%5D%5Bid%5D=47/når:2020-01-31", "Vegkart")</f>
        <v>Vegkart</v>
      </c>
      <c r="B6654">
        <v>1006725222</v>
      </c>
      <c r="C6654">
        <v>47</v>
      </c>
      <c r="D6654" t="s">
        <v>16854</v>
      </c>
      <c r="E6654">
        <v>5897</v>
      </c>
      <c r="F6654" t="s">
        <v>23479</v>
      </c>
      <c r="G6654">
        <v>1</v>
      </c>
      <c r="H6654" t="s">
        <v>22133</v>
      </c>
      <c r="J6654" t="s">
        <v>22024</v>
      </c>
      <c r="K6654" t="s">
        <v>21</v>
      </c>
      <c r="L6654" t="s">
        <v>33</v>
      </c>
      <c r="M6654" t="s">
        <v>179</v>
      </c>
      <c r="N6654" t="s">
        <v>22134</v>
      </c>
      <c r="O6654" t="s">
        <v>22135</v>
      </c>
      <c r="P6654" s="2" t="s">
        <v>26</v>
      </c>
      <c r="Q6654" t="s">
        <v>50</v>
      </c>
      <c r="R6654">
        <v>131.36000000000001</v>
      </c>
      <c r="S6654">
        <v>132.52000000000001</v>
      </c>
      <c r="T6654" t="s">
        <v>22136</v>
      </c>
    </row>
    <row r="6655" spans="1:20" x14ac:dyDescent="0.25">
      <c r="A6655" s="1" t="str">
        <f>HYPERLINK("https://vegkart.atlas.vegvesen.no/#/@23652.7,6820048.3,18/hva:hva%5B0%5D%5Bfilter%5D%5B0%5D%5Boperator%5D=%21%3D&amp;hva%5B0%5D%5Bfilter%5D%5B0%5D%5Btype_id%5D=5897&amp;hva%5B0%5D%5Bfilter%5D%5B0%5D%5Bverdi%5D=&amp;hva%5B0%5D%5Bid%5D=47/når:2020-01-31", "Vegkart")</f>
        <v>Vegkart</v>
      </c>
      <c r="B6655">
        <v>1006725223</v>
      </c>
      <c r="C6655">
        <v>47</v>
      </c>
      <c r="D6655" t="s">
        <v>16854</v>
      </c>
      <c r="E6655">
        <v>5897</v>
      </c>
      <c r="F6655" t="s">
        <v>23479</v>
      </c>
      <c r="G6655">
        <v>1</v>
      </c>
      <c r="H6655" t="s">
        <v>22133</v>
      </c>
      <c r="J6655" t="s">
        <v>22024</v>
      </c>
      <c r="K6655" t="s">
        <v>21</v>
      </c>
      <c r="L6655" t="s">
        <v>33</v>
      </c>
      <c r="M6655" t="s">
        <v>179</v>
      </c>
      <c r="N6655" t="s">
        <v>22137</v>
      </c>
      <c r="O6655" t="s">
        <v>22138</v>
      </c>
      <c r="P6655" s="2" t="s">
        <v>26</v>
      </c>
      <c r="Q6655" t="s">
        <v>50</v>
      </c>
      <c r="R6655">
        <v>145.77000000000001</v>
      </c>
      <c r="S6655">
        <v>165.26</v>
      </c>
      <c r="T6655" t="s">
        <v>22139</v>
      </c>
    </row>
    <row r="6656" spans="1:20" x14ac:dyDescent="0.25">
      <c r="A6656" s="1" t="str">
        <f>HYPERLINK("https://vegkart.atlas.vegvesen.no/#/@24889.6,6819022.7,18/hva:hva%5B0%5D%5Bfilter%5D%5B0%5D%5Boperator%5D=%21%3D&amp;hva%5B0%5D%5Bfilter%5D%5B0%5D%5Btype_id%5D=5897&amp;hva%5B0%5D%5Bfilter%5D%5B0%5D%5Bverdi%5D=&amp;hva%5B0%5D%5Bid%5D=47/når:2020-01-31", "Vegkart")</f>
        <v>Vegkart</v>
      </c>
      <c r="B6656">
        <v>1006725224</v>
      </c>
      <c r="C6656">
        <v>47</v>
      </c>
      <c r="D6656" t="s">
        <v>16854</v>
      </c>
      <c r="E6656">
        <v>5897</v>
      </c>
      <c r="F6656" t="s">
        <v>23479</v>
      </c>
      <c r="G6656">
        <v>1</v>
      </c>
      <c r="H6656" t="s">
        <v>22133</v>
      </c>
      <c r="J6656" t="s">
        <v>22024</v>
      </c>
      <c r="K6656" t="s">
        <v>21</v>
      </c>
      <c r="L6656" t="s">
        <v>33</v>
      </c>
      <c r="M6656" t="s">
        <v>179</v>
      </c>
      <c r="N6656" t="s">
        <v>22140</v>
      </c>
      <c r="O6656" t="s">
        <v>22141</v>
      </c>
      <c r="P6656" s="2" t="s">
        <v>26</v>
      </c>
      <c r="Q6656" t="s">
        <v>50</v>
      </c>
      <c r="R6656">
        <v>108.95</v>
      </c>
      <c r="S6656">
        <v>110.23</v>
      </c>
      <c r="T6656" t="s">
        <v>22142</v>
      </c>
    </row>
    <row r="6657" spans="1:20" x14ac:dyDescent="0.25">
      <c r="A6657" s="1" t="str">
        <f>HYPERLINK("https://vegkart.atlas.vegvesen.no/#/@26815.2,6816851.8,18/hva:hva%5B0%5D%5Bfilter%5D%5B0%5D%5Boperator%5D=%21%3D&amp;hva%5B0%5D%5Bfilter%5D%5B0%5D%5Btype_id%5D=5897&amp;hva%5B0%5D%5Bfilter%5D%5B0%5D%5Bverdi%5D=&amp;hva%5B0%5D%5Bid%5D=47/når:2020-01-31", "Vegkart")</f>
        <v>Vegkart</v>
      </c>
      <c r="B6657">
        <v>1006725225</v>
      </c>
      <c r="C6657">
        <v>47</v>
      </c>
      <c r="D6657" t="s">
        <v>16854</v>
      </c>
      <c r="E6657">
        <v>5897</v>
      </c>
      <c r="F6657" t="s">
        <v>23479</v>
      </c>
      <c r="G6657">
        <v>1</v>
      </c>
      <c r="H6657" t="s">
        <v>22133</v>
      </c>
      <c r="J6657" t="s">
        <v>22024</v>
      </c>
      <c r="K6657" t="s">
        <v>21</v>
      </c>
      <c r="L6657" t="s">
        <v>33</v>
      </c>
      <c r="M6657" t="s">
        <v>179</v>
      </c>
      <c r="N6657" t="s">
        <v>22143</v>
      </c>
      <c r="O6657" t="s">
        <v>22144</v>
      </c>
      <c r="P6657" s="2" t="s">
        <v>26</v>
      </c>
      <c r="Q6657" t="s">
        <v>50</v>
      </c>
      <c r="R6657">
        <v>110.03</v>
      </c>
      <c r="S6657">
        <v>111.37</v>
      </c>
      <c r="T6657" t="s">
        <v>22145</v>
      </c>
    </row>
    <row r="6658" spans="1:20" x14ac:dyDescent="0.25">
      <c r="A6658" s="1" t="str">
        <f>HYPERLINK("https://vegkart.atlas.vegvesen.no/#/@28006.7,6815720.3,18/hva:hva%5B0%5D%5Bfilter%5D%5B0%5D%5Boperator%5D=%21%3D&amp;hva%5B0%5D%5Bfilter%5D%5B0%5D%5Btype_id%5D=5897&amp;hva%5B0%5D%5Bfilter%5D%5B0%5D%5Bverdi%5D=&amp;hva%5B0%5D%5Bid%5D=47/når:2020-01-31", "Vegkart")</f>
        <v>Vegkart</v>
      </c>
      <c r="B6658">
        <v>1006725226</v>
      </c>
      <c r="C6658">
        <v>47</v>
      </c>
      <c r="D6658" t="s">
        <v>16854</v>
      </c>
      <c r="E6658">
        <v>5897</v>
      </c>
      <c r="F6658" t="s">
        <v>23479</v>
      </c>
      <c r="G6658">
        <v>1</v>
      </c>
      <c r="H6658" t="s">
        <v>22133</v>
      </c>
      <c r="J6658" t="s">
        <v>22024</v>
      </c>
      <c r="K6658" t="s">
        <v>21</v>
      </c>
      <c r="L6658" t="s">
        <v>33</v>
      </c>
      <c r="M6658" t="s">
        <v>179</v>
      </c>
      <c r="N6658" t="s">
        <v>22146</v>
      </c>
      <c r="O6658" t="s">
        <v>22147</v>
      </c>
      <c r="P6658" s="2" t="s">
        <v>26</v>
      </c>
      <c r="Q6658" t="s">
        <v>50</v>
      </c>
      <c r="R6658">
        <v>138.22</v>
      </c>
      <c r="S6658">
        <v>156.63</v>
      </c>
      <c r="T6658" t="s">
        <v>22148</v>
      </c>
    </row>
    <row r="6659" spans="1:20" x14ac:dyDescent="0.25">
      <c r="A6659" s="1" t="str">
        <f>HYPERLINK("https://vegkart.atlas.vegvesen.no/#/@238959.6,6579427.1,18/hva:hva%5B0%5D%5Bfilter%5D%5B0%5D%5Boperator%5D=%21%3D&amp;hva%5B0%5D%5Bfilter%5D%5B0%5D%5Btype_id%5D=5897&amp;hva%5B0%5D%5Bfilter%5D%5B0%5D%5Bverdi%5D=&amp;hva%5B0%5D%5Bid%5D=47/når:2019-06-01", "Vegkart")</f>
        <v>Vegkart</v>
      </c>
      <c r="B6659">
        <v>1006794107</v>
      </c>
      <c r="C6659">
        <v>47</v>
      </c>
      <c r="D6659" t="s">
        <v>16854</v>
      </c>
      <c r="E6659">
        <v>5897</v>
      </c>
      <c r="F6659" t="s">
        <v>23479</v>
      </c>
      <c r="G6659">
        <v>1</v>
      </c>
      <c r="H6659" t="s">
        <v>22149</v>
      </c>
      <c r="J6659" t="s">
        <v>22024</v>
      </c>
      <c r="K6659" t="s">
        <v>81</v>
      </c>
      <c r="L6659" t="s">
        <v>33</v>
      </c>
      <c r="M6659" t="s">
        <v>5487</v>
      </c>
      <c r="N6659" t="s">
        <v>22150</v>
      </c>
      <c r="O6659" t="s">
        <v>22151</v>
      </c>
      <c r="P6659" s="2" t="s">
        <v>37</v>
      </c>
      <c r="Q6659" t="s">
        <v>1208</v>
      </c>
      <c r="R6659">
        <v>0</v>
      </c>
      <c r="S6659">
        <v>168.71</v>
      </c>
      <c r="T6659" t="s">
        <v>22152</v>
      </c>
    </row>
    <row r="6660" spans="1:20" x14ac:dyDescent="0.25">
      <c r="A6660" s="1" t="str">
        <f>HYPERLINK("https://vegkart.atlas.vegvesen.no/#/@238887.4,6579383.1,18/hva:hva%5B0%5D%5Bfilter%5D%5B0%5D%5Boperator%5D=%21%3D&amp;hva%5B0%5D%5Bfilter%5D%5B0%5D%5Btype_id%5D=5897&amp;hva%5B0%5D%5Bfilter%5D%5B0%5D%5Bverdi%5D=&amp;hva%5B0%5D%5Bid%5D=47/når:2019-06-01", "Vegkart")</f>
        <v>Vegkart</v>
      </c>
      <c r="B6660">
        <v>1006794127</v>
      </c>
      <c r="C6660">
        <v>47</v>
      </c>
      <c r="D6660" t="s">
        <v>16854</v>
      </c>
      <c r="E6660">
        <v>5897</v>
      </c>
      <c r="F6660" t="s">
        <v>23479</v>
      </c>
      <c r="G6660">
        <v>1</v>
      </c>
      <c r="H6660" t="s">
        <v>22149</v>
      </c>
      <c r="J6660" t="s">
        <v>22024</v>
      </c>
      <c r="K6660" t="s">
        <v>81</v>
      </c>
      <c r="L6660" t="s">
        <v>33</v>
      </c>
      <c r="M6660" t="s">
        <v>5487</v>
      </c>
      <c r="N6660" t="s">
        <v>22153</v>
      </c>
      <c r="O6660" t="s">
        <v>22154</v>
      </c>
      <c r="P6660" s="2" t="s">
        <v>37</v>
      </c>
      <c r="Q6660" t="s">
        <v>1208</v>
      </c>
      <c r="R6660">
        <v>0</v>
      </c>
      <c r="S6660">
        <v>157.02000000000001</v>
      </c>
      <c r="T6660" t="s">
        <v>22155</v>
      </c>
    </row>
    <row r="6661" spans="1:20" x14ac:dyDescent="0.25">
      <c r="A6661" s="1" t="str">
        <f>HYPERLINK("https://vegkart.atlas.vegvesen.no/#/@-30883.9,6577446.2,18/hva:hva%5B0%5D%5Bfilter%5D%5B0%5D%5Boperator%5D=%21%3D&amp;hva%5B0%5D%5Bfilter%5D%5B0%5D%5Btype_id%5D=5897&amp;hva%5B0%5D%5Bfilter%5D%5B0%5D%5Bverdi%5D=&amp;hva%5B0%5D%5Bid%5D=47/når:2020-02-06", "Vegkart")</f>
        <v>Vegkart</v>
      </c>
      <c r="B6661">
        <v>1006827012</v>
      </c>
      <c r="C6661">
        <v>47</v>
      </c>
      <c r="D6661" t="s">
        <v>16854</v>
      </c>
      <c r="E6661">
        <v>5897</v>
      </c>
      <c r="F6661" t="s">
        <v>23479</v>
      </c>
      <c r="G6661">
        <v>1</v>
      </c>
      <c r="H6661" t="s">
        <v>3790</v>
      </c>
      <c r="J6661" t="s">
        <v>22156</v>
      </c>
      <c r="K6661" t="s">
        <v>170</v>
      </c>
      <c r="L6661" t="s">
        <v>22</v>
      </c>
      <c r="M6661" t="s">
        <v>22157</v>
      </c>
      <c r="N6661" t="s">
        <v>22158</v>
      </c>
      <c r="O6661" t="s">
        <v>22159</v>
      </c>
      <c r="P6661" s="2" t="s">
        <v>165</v>
      </c>
      <c r="Q6661" t="s">
        <v>641</v>
      </c>
      <c r="R6661">
        <v>0</v>
      </c>
      <c r="S6661">
        <v>181.48</v>
      </c>
      <c r="T6661" t="s">
        <v>167</v>
      </c>
    </row>
    <row r="6662" spans="1:20" x14ac:dyDescent="0.25">
      <c r="A6662" s="1" t="str">
        <f>HYPERLINK("https://vegkart.atlas.vegvesen.no/#/@-31156.6,6577410.5,18/hva:hva%5B0%5D%5Bfilter%5D%5B0%5D%5Boperator%5D=%21%3D&amp;hva%5B0%5D%5Bfilter%5D%5B0%5D%5Btype_id%5D=5897&amp;hva%5B0%5D%5Bfilter%5D%5B0%5D%5Bverdi%5D=&amp;hva%5B0%5D%5Bid%5D=47/når:2020-02-06", "Vegkart")</f>
        <v>Vegkart</v>
      </c>
      <c r="B6662">
        <v>1006827013</v>
      </c>
      <c r="C6662">
        <v>47</v>
      </c>
      <c r="D6662" t="s">
        <v>16854</v>
      </c>
      <c r="E6662">
        <v>5897</v>
      </c>
      <c r="F6662" t="s">
        <v>23479</v>
      </c>
      <c r="G6662">
        <v>1</v>
      </c>
      <c r="H6662" t="s">
        <v>3790</v>
      </c>
      <c r="J6662" t="s">
        <v>22156</v>
      </c>
      <c r="K6662" t="s">
        <v>170</v>
      </c>
      <c r="L6662" t="s">
        <v>33</v>
      </c>
      <c r="M6662" t="s">
        <v>7267</v>
      </c>
      <c r="N6662" t="s">
        <v>22160</v>
      </c>
      <c r="O6662" t="s">
        <v>22161</v>
      </c>
      <c r="P6662" s="2" t="s">
        <v>165</v>
      </c>
      <c r="Q6662" t="s">
        <v>641</v>
      </c>
      <c r="R6662">
        <v>0</v>
      </c>
      <c r="S6662">
        <v>150</v>
      </c>
      <c r="T6662" t="s">
        <v>167</v>
      </c>
    </row>
    <row r="6663" spans="1:20" x14ac:dyDescent="0.25">
      <c r="A6663" s="1" t="str">
        <f>HYPERLINK("https://vegkart.atlas.vegvesen.no/#/@490588.3,7367720.2,18/hva:hva%5B0%5D%5Bfilter%5D%5B0%5D%5Boperator%5D=%21%3D&amp;hva%5B0%5D%5Bfilter%5D%5B0%5D%5Btype_id%5D=5897&amp;hva%5B0%5D%5Bfilter%5D%5B0%5D%5Bverdi%5D=&amp;hva%5B0%5D%5Bid%5D=47/når:2020-02-12", "Vegkart")</f>
        <v>Vegkart</v>
      </c>
      <c r="B6663">
        <v>1006839593</v>
      </c>
      <c r="C6663">
        <v>47</v>
      </c>
      <c r="D6663" t="s">
        <v>16854</v>
      </c>
      <c r="E6663">
        <v>5897</v>
      </c>
      <c r="F6663" t="s">
        <v>23479</v>
      </c>
      <c r="G6663">
        <v>1</v>
      </c>
      <c r="H6663" t="s">
        <v>22162</v>
      </c>
      <c r="J6663" t="s">
        <v>22156</v>
      </c>
      <c r="K6663" t="s">
        <v>53</v>
      </c>
      <c r="L6663" t="s">
        <v>80</v>
      </c>
      <c r="M6663" t="s">
        <v>105</v>
      </c>
      <c r="N6663" t="s">
        <v>22163</v>
      </c>
      <c r="O6663" t="s">
        <v>22164</v>
      </c>
      <c r="P6663" s="2" t="s">
        <v>165</v>
      </c>
      <c r="Q6663" t="s">
        <v>641</v>
      </c>
      <c r="R6663">
        <v>1.01</v>
      </c>
      <c r="S6663">
        <v>130.08000000000001</v>
      </c>
      <c r="T6663" t="s">
        <v>167</v>
      </c>
    </row>
    <row r="6664" spans="1:20" x14ac:dyDescent="0.25">
      <c r="A6664" s="1" t="str">
        <f>HYPERLINK("https://vegkart.atlas.vegvesen.no/#/@482506.4,7362963.6,18/hva:hva%5B0%5D%5Bfilter%5D%5B0%5D%5Boperator%5D=%21%3D&amp;hva%5B0%5D%5Bfilter%5D%5B0%5D%5Btype_id%5D=5897&amp;hva%5B0%5D%5Bfilter%5D%5B0%5D%5Bverdi%5D=&amp;hva%5B0%5D%5Bid%5D=47/når:2020-02-12", "Vegkart")</f>
        <v>Vegkart</v>
      </c>
      <c r="B6664">
        <v>1006839604</v>
      </c>
      <c r="C6664">
        <v>47</v>
      </c>
      <c r="D6664" t="s">
        <v>16854</v>
      </c>
      <c r="E6664">
        <v>5897</v>
      </c>
      <c r="F6664" t="s">
        <v>23479</v>
      </c>
      <c r="G6664">
        <v>1</v>
      </c>
      <c r="H6664" t="s">
        <v>22162</v>
      </c>
      <c r="J6664" t="s">
        <v>22156</v>
      </c>
      <c r="K6664" t="s">
        <v>53</v>
      </c>
      <c r="L6664" t="s">
        <v>80</v>
      </c>
      <c r="M6664" t="s">
        <v>105</v>
      </c>
      <c r="N6664" t="s">
        <v>22165</v>
      </c>
      <c r="O6664" t="s">
        <v>22166</v>
      </c>
      <c r="P6664" s="2" t="s">
        <v>165</v>
      </c>
      <c r="Q6664" t="s">
        <v>641</v>
      </c>
      <c r="R6664">
        <v>0</v>
      </c>
      <c r="S6664">
        <v>131.94999999999999</v>
      </c>
      <c r="T6664" t="s">
        <v>167</v>
      </c>
    </row>
    <row r="6665" spans="1:20" x14ac:dyDescent="0.25">
      <c r="A6665" s="1" t="str">
        <f>HYPERLINK("https://vegkart.atlas.vegvesen.no/#/@484967.7,7364144.3,18/hva:hva%5B0%5D%5Bfilter%5D%5B0%5D%5Boperator%5D=%21%3D&amp;hva%5B0%5D%5Bfilter%5D%5B0%5D%5Btype_id%5D=5897&amp;hva%5B0%5D%5Bfilter%5D%5B0%5D%5Bverdi%5D=&amp;hva%5B0%5D%5Bid%5D=47/når:2020-02-12", "Vegkart")</f>
        <v>Vegkart</v>
      </c>
      <c r="B6665">
        <v>1006839605</v>
      </c>
      <c r="C6665">
        <v>47</v>
      </c>
      <c r="D6665" t="s">
        <v>16854</v>
      </c>
      <c r="E6665">
        <v>5897</v>
      </c>
      <c r="F6665" t="s">
        <v>23479</v>
      </c>
      <c r="G6665">
        <v>1</v>
      </c>
      <c r="H6665" t="s">
        <v>22162</v>
      </c>
      <c r="J6665" t="s">
        <v>22156</v>
      </c>
      <c r="K6665" t="s">
        <v>53</v>
      </c>
      <c r="L6665" t="s">
        <v>80</v>
      </c>
      <c r="M6665" t="s">
        <v>105</v>
      </c>
      <c r="N6665" t="s">
        <v>22167</v>
      </c>
      <c r="O6665" t="s">
        <v>22168</v>
      </c>
      <c r="P6665" s="2" t="s">
        <v>165</v>
      </c>
      <c r="Q6665" t="s">
        <v>641</v>
      </c>
      <c r="R6665">
        <v>0.08</v>
      </c>
      <c r="S6665">
        <v>162.80000000000001</v>
      </c>
      <c r="T6665" t="s">
        <v>167</v>
      </c>
    </row>
    <row r="6666" spans="1:20" x14ac:dyDescent="0.25">
      <c r="A6666" s="1" t="str">
        <f>HYPERLINK("https://vegkart.atlas.vegvesen.no/#/@484884.7,7364082.5,18/hva:hva%5B0%5D%5Bfilter%5D%5B0%5D%5Boperator%5D=%21%3D&amp;hva%5B0%5D%5Bfilter%5D%5B0%5D%5Btype_id%5D=5897&amp;hva%5B0%5D%5Bfilter%5D%5B0%5D%5Bverdi%5D=&amp;hva%5B0%5D%5Bid%5D=47/når:2020-02-12", "Vegkart")</f>
        <v>Vegkart</v>
      </c>
      <c r="B6666">
        <v>1006839607</v>
      </c>
      <c r="C6666">
        <v>47</v>
      </c>
      <c r="D6666" t="s">
        <v>16854</v>
      </c>
      <c r="E6666">
        <v>5897</v>
      </c>
      <c r="F6666" t="s">
        <v>23479</v>
      </c>
      <c r="G6666">
        <v>1</v>
      </c>
      <c r="H6666" t="s">
        <v>22162</v>
      </c>
      <c r="J6666" t="s">
        <v>22156</v>
      </c>
      <c r="K6666" t="s">
        <v>53</v>
      </c>
      <c r="L6666" t="s">
        <v>80</v>
      </c>
      <c r="M6666" t="s">
        <v>105</v>
      </c>
      <c r="N6666" t="s">
        <v>22169</v>
      </c>
      <c r="O6666" t="s">
        <v>22170</v>
      </c>
      <c r="P6666" s="2" t="s">
        <v>165</v>
      </c>
      <c r="Q6666" t="s">
        <v>641</v>
      </c>
      <c r="R6666">
        <v>0</v>
      </c>
      <c r="S6666">
        <v>171.41</v>
      </c>
      <c r="T6666" t="s">
        <v>167</v>
      </c>
    </row>
    <row r="6667" spans="1:20" x14ac:dyDescent="0.25">
      <c r="A6667" s="1" t="str">
        <f>HYPERLINK("https://vegkart.atlas.vegvesen.no/#/@450173.8,7346292.2,18/hva:hva%5B0%5D%5Bfilter%5D%5B0%5D%5Boperator%5D=%21%3D&amp;hva%5B0%5D%5Bfilter%5D%5B0%5D%5Btype_id%5D=5897&amp;hva%5B0%5D%5Bfilter%5D%5B0%5D%5Bverdi%5D=&amp;hva%5B0%5D%5Bid%5D=47/når:2020-02-20", "Vegkart")</f>
        <v>Vegkart</v>
      </c>
      <c r="B6667">
        <v>1006870902</v>
      </c>
      <c r="C6667">
        <v>47</v>
      </c>
      <c r="D6667" t="s">
        <v>16854</v>
      </c>
      <c r="E6667">
        <v>5897</v>
      </c>
      <c r="F6667" t="s">
        <v>23479</v>
      </c>
      <c r="G6667">
        <v>1</v>
      </c>
      <c r="H6667" t="s">
        <v>22171</v>
      </c>
      <c r="J6667" t="s">
        <v>22156</v>
      </c>
      <c r="K6667" t="s">
        <v>53</v>
      </c>
      <c r="L6667" t="s">
        <v>80</v>
      </c>
      <c r="M6667" t="s">
        <v>105</v>
      </c>
      <c r="N6667" t="s">
        <v>22172</v>
      </c>
      <c r="O6667" t="s">
        <v>22173</v>
      </c>
      <c r="P6667" s="2" t="s">
        <v>26</v>
      </c>
      <c r="Q6667" t="s">
        <v>50</v>
      </c>
      <c r="R6667">
        <v>99.45</v>
      </c>
      <c r="S6667">
        <v>99.56</v>
      </c>
      <c r="T6667" t="s">
        <v>22174</v>
      </c>
    </row>
    <row r="6668" spans="1:20" x14ac:dyDescent="0.25">
      <c r="A6668" s="1" t="str">
        <f>HYPERLINK("https://vegkart.atlas.vegvesen.no/#/@451238.0,7346307.5,18/hva:hva%5B0%5D%5Bfilter%5D%5B0%5D%5Boperator%5D=%21%3D&amp;hva%5B0%5D%5Bfilter%5D%5B0%5D%5Btype_id%5D=5897&amp;hva%5B0%5D%5Bfilter%5D%5B0%5D%5Bverdi%5D=&amp;hva%5B0%5D%5Bid%5D=47/når:2020-02-20", "Vegkart")</f>
        <v>Vegkart</v>
      </c>
      <c r="B6668">
        <v>1006870903</v>
      </c>
      <c r="C6668">
        <v>47</v>
      </c>
      <c r="D6668" t="s">
        <v>16854</v>
      </c>
      <c r="E6668">
        <v>5897</v>
      </c>
      <c r="F6668" t="s">
        <v>23479</v>
      </c>
      <c r="G6668">
        <v>1</v>
      </c>
      <c r="H6668" t="s">
        <v>22171</v>
      </c>
      <c r="J6668" t="s">
        <v>22156</v>
      </c>
      <c r="K6668" t="s">
        <v>53</v>
      </c>
      <c r="L6668" t="s">
        <v>80</v>
      </c>
      <c r="M6668" t="s">
        <v>105</v>
      </c>
      <c r="N6668" t="s">
        <v>22175</v>
      </c>
      <c r="O6668" t="s">
        <v>22176</v>
      </c>
      <c r="P6668" s="2" t="s">
        <v>26</v>
      </c>
      <c r="Q6668" t="s">
        <v>50</v>
      </c>
      <c r="R6668">
        <v>65.42</v>
      </c>
      <c r="S6668">
        <v>66.459999999999994</v>
      </c>
      <c r="T6668" t="s">
        <v>22177</v>
      </c>
    </row>
    <row r="6669" spans="1:20" x14ac:dyDescent="0.25">
      <c r="A6669" s="1" t="str">
        <f>HYPERLINK("https://vegkart.atlas.vegvesen.no/#/@449092.2,7345917.4,18/hva:hva%5B0%5D%5Bfilter%5D%5B0%5D%5Boperator%5D=%21%3D&amp;hva%5B0%5D%5Bfilter%5D%5B0%5D%5Btype_id%5D=5897&amp;hva%5B0%5D%5Bfilter%5D%5B0%5D%5Bverdi%5D=&amp;hva%5B0%5D%5Bid%5D=47/når:2020-02-20", "Vegkart")</f>
        <v>Vegkart</v>
      </c>
      <c r="B6669">
        <v>1006870904</v>
      </c>
      <c r="C6669">
        <v>47</v>
      </c>
      <c r="D6669" t="s">
        <v>16854</v>
      </c>
      <c r="E6669">
        <v>5897</v>
      </c>
      <c r="F6669" t="s">
        <v>23479</v>
      </c>
      <c r="G6669">
        <v>1</v>
      </c>
      <c r="H6669" t="s">
        <v>22171</v>
      </c>
      <c r="J6669" t="s">
        <v>22156</v>
      </c>
      <c r="K6669" t="s">
        <v>53</v>
      </c>
      <c r="L6669" t="s">
        <v>80</v>
      </c>
      <c r="M6669" t="s">
        <v>105</v>
      </c>
      <c r="N6669" t="s">
        <v>22178</v>
      </c>
      <c r="O6669" t="s">
        <v>22179</v>
      </c>
      <c r="P6669" s="2" t="s">
        <v>26</v>
      </c>
      <c r="Q6669" t="s">
        <v>50</v>
      </c>
      <c r="R6669">
        <v>65</v>
      </c>
      <c r="S6669">
        <v>65.66</v>
      </c>
      <c r="T6669" t="s">
        <v>22180</v>
      </c>
    </row>
    <row r="6670" spans="1:20" x14ac:dyDescent="0.25">
      <c r="A6670" s="1" t="str">
        <f>HYPERLINK("https://vegkart.atlas.vegvesen.no/#/@448918.9,7345890.0,18/hva:hva%5B0%5D%5Bfilter%5D%5B0%5D%5Boperator%5D=%21%3D&amp;hva%5B0%5D%5Bfilter%5D%5B0%5D%5Btype_id%5D=5897&amp;hva%5B0%5D%5Bfilter%5D%5B0%5D%5Bverdi%5D=&amp;hva%5B0%5D%5Bid%5D=47/når:2020-02-20", "Vegkart")</f>
        <v>Vegkart</v>
      </c>
      <c r="B6670">
        <v>1006870906</v>
      </c>
      <c r="C6670">
        <v>47</v>
      </c>
      <c r="D6670" t="s">
        <v>16854</v>
      </c>
      <c r="E6670">
        <v>5897</v>
      </c>
      <c r="F6670" t="s">
        <v>23479</v>
      </c>
      <c r="G6670">
        <v>1</v>
      </c>
      <c r="H6670" t="s">
        <v>22171</v>
      </c>
      <c r="J6670" t="s">
        <v>22156</v>
      </c>
      <c r="K6670" t="s">
        <v>53</v>
      </c>
      <c r="L6670" t="s">
        <v>80</v>
      </c>
      <c r="M6670" t="s">
        <v>105</v>
      </c>
      <c r="N6670" t="s">
        <v>22181</v>
      </c>
      <c r="O6670" t="s">
        <v>22182</v>
      </c>
      <c r="P6670" s="2" t="s">
        <v>26</v>
      </c>
      <c r="Q6670" t="s">
        <v>50</v>
      </c>
      <c r="R6670">
        <v>74.98</v>
      </c>
      <c r="S6670">
        <v>75.47</v>
      </c>
      <c r="T6670" t="s">
        <v>22183</v>
      </c>
    </row>
    <row r="6671" spans="1:20" x14ac:dyDescent="0.25">
      <c r="A6671" s="1" t="str">
        <f>HYPERLINK("https://vegkart.atlas.vegvesen.no/#/@448540.8,7345431.1,18/hva:hva%5B0%5D%5Bfilter%5D%5B0%5D%5Boperator%5D=%21%3D&amp;hva%5B0%5D%5Bfilter%5D%5B0%5D%5Btype_id%5D=5897&amp;hva%5B0%5D%5Bfilter%5D%5B0%5D%5Bverdi%5D=&amp;hva%5B0%5D%5Bid%5D=47/når:2020-02-20", "Vegkart")</f>
        <v>Vegkart</v>
      </c>
      <c r="B6671">
        <v>1006870907</v>
      </c>
      <c r="C6671">
        <v>47</v>
      </c>
      <c r="D6671" t="s">
        <v>16854</v>
      </c>
      <c r="E6671">
        <v>5897</v>
      </c>
      <c r="F6671" t="s">
        <v>23479</v>
      </c>
      <c r="G6671">
        <v>1</v>
      </c>
      <c r="H6671" t="s">
        <v>22171</v>
      </c>
      <c r="J6671" t="s">
        <v>22156</v>
      </c>
      <c r="K6671" t="s">
        <v>53</v>
      </c>
      <c r="L6671" t="s">
        <v>80</v>
      </c>
      <c r="M6671" t="s">
        <v>105</v>
      </c>
      <c r="N6671" t="s">
        <v>22184</v>
      </c>
      <c r="O6671" t="s">
        <v>22185</v>
      </c>
      <c r="P6671" s="2" t="s">
        <v>26</v>
      </c>
      <c r="Q6671" t="s">
        <v>50</v>
      </c>
      <c r="R6671">
        <v>65.489999999999995</v>
      </c>
      <c r="S6671">
        <v>66.650000000000006</v>
      </c>
      <c r="T6671" t="s">
        <v>22186</v>
      </c>
    </row>
    <row r="6672" spans="1:20" x14ac:dyDescent="0.25">
      <c r="A6672" s="1" t="str">
        <f>HYPERLINK("https://vegkart.atlas.vegvesen.no/#/@452012.0,7346853.7,18/hva:hva%5B0%5D%5Bfilter%5D%5B0%5D%5Boperator%5D=%21%3D&amp;hva%5B0%5D%5Bfilter%5D%5B0%5D%5Btype_id%5D=5897&amp;hva%5B0%5D%5Bfilter%5D%5B0%5D%5Bverdi%5D=&amp;hva%5B0%5D%5Bid%5D=47/når:2020-02-20", "Vegkart")</f>
        <v>Vegkart</v>
      </c>
      <c r="B6672">
        <v>1006870908</v>
      </c>
      <c r="C6672">
        <v>47</v>
      </c>
      <c r="D6672" t="s">
        <v>16854</v>
      </c>
      <c r="E6672">
        <v>5897</v>
      </c>
      <c r="F6672" t="s">
        <v>23479</v>
      </c>
      <c r="G6672">
        <v>1</v>
      </c>
      <c r="H6672" t="s">
        <v>22171</v>
      </c>
      <c r="J6672" t="s">
        <v>22156</v>
      </c>
      <c r="K6672" t="s">
        <v>53</v>
      </c>
      <c r="L6672" t="s">
        <v>80</v>
      </c>
      <c r="M6672" t="s">
        <v>105</v>
      </c>
      <c r="N6672" t="s">
        <v>22187</v>
      </c>
      <c r="O6672" t="s">
        <v>22188</v>
      </c>
      <c r="P6672" s="2" t="s">
        <v>26</v>
      </c>
      <c r="Q6672" t="s">
        <v>50</v>
      </c>
      <c r="R6672">
        <v>65.709999999999994</v>
      </c>
      <c r="S6672">
        <v>67.099999999999994</v>
      </c>
      <c r="T6672" t="s">
        <v>22189</v>
      </c>
    </row>
    <row r="6673" spans="1:20" x14ac:dyDescent="0.25">
      <c r="A6673" s="1" t="str">
        <f>HYPERLINK("https://vegkart.atlas.vegvesen.no/#/@237256.8,6584075.9,18/hva:hva%5B0%5D%5Bfilter%5D%5B0%5D%5Boperator%5D=%21%3D&amp;hva%5B0%5D%5Bfilter%5D%5B0%5D%5Btype_id%5D=5897&amp;hva%5B0%5D%5Bfilter%5D%5B0%5D%5Bverdi%5D=&amp;hva%5B0%5D%5Bid%5D=47/når:2019-11-14", "Vegkart")</f>
        <v>Vegkart</v>
      </c>
      <c r="B6673">
        <v>1007199780</v>
      </c>
      <c r="C6673">
        <v>47</v>
      </c>
      <c r="D6673" t="s">
        <v>16854</v>
      </c>
      <c r="E6673">
        <v>5897</v>
      </c>
      <c r="F6673" t="s">
        <v>23479</v>
      </c>
      <c r="G6673">
        <v>1</v>
      </c>
      <c r="H6673" t="s">
        <v>22190</v>
      </c>
      <c r="J6673" t="s">
        <v>22156</v>
      </c>
      <c r="K6673" t="s">
        <v>81</v>
      </c>
      <c r="L6673" t="s">
        <v>33</v>
      </c>
      <c r="M6673" t="s">
        <v>22191</v>
      </c>
      <c r="N6673" t="s">
        <v>22192</v>
      </c>
      <c r="O6673" t="s">
        <v>22193</v>
      </c>
      <c r="P6673" s="2" t="s">
        <v>37</v>
      </c>
      <c r="Q6673" t="s">
        <v>1208</v>
      </c>
      <c r="R6673">
        <v>0</v>
      </c>
      <c r="S6673">
        <v>102.88</v>
      </c>
      <c r="T6673" t="s">
        <v>22194</v>
      </c>
    </row>
    <row r="6674" spans="1:20" x14ac:dyDescent="0.25">
      <c r="A6674" s="1" t="str">
        <f>HYPERLINK("https://vegkart.atlas.vegvesen.no/#/@234425.8,6602854.6,18/hva:hva%5B0%5D%5Bfilter%5D%5B0%5D%5Boperator%5D=%21%3D&amp;hva%5B0%5D%5Bfilter%5D%5B0%5D%5Btype_id%5D=5897&amp;hva%5B0%5D%5Bfilter%5D%5B0%5D%5Bverdi%5D=&amp;hva%5B0%5D%5Bid%5D=47/når:2020-03-06", "Vegkart")</f>
        <v>Vegkart</v>
      </c>
      <c r="B6674">
        <v>1007224607</v>
      </c>
      <c r="C6674">
        <v>47</v>
      </c>
      <c r="D6674" t="s">
        <v>16854</v>
      </c>
      <c r="E6674">
        <v>5897</v>
      </c>
      <c r="F6674" t="s">
        <v>23479</v>
      </c>
      <c r="G6674">
        <v>1</v>
      </c>
      <c r="H6674" t="s">
        <v>305</v>
      </c>
      <c r="J6674" t="s">
        <v>22156</v>
      </c>
      <c r="K6674" t="s">
        <v>81</v>
      </c>
      <c r="L6674" t="s">
        <v>33</v>
      </c>
      <c r="M6674" t="s">
        <v>4310</v>
      </c>
      <c r="N6674" t="s">
        <v>22195</v>
      </c>
      <c r="O6674" t="s">
        <v>22196</v>
      </c>
      <c r="P6674" s="2" t="s">
        <v>37</v>
      </c>
      <c r="Q6674" t="s">
        <v>1208</v>
      </c>
      <c r="R6674">
        <v>0</v>
      </c>
      <c r="S6674">
        <v>94.28</v>
      </c>
      <c r="T6674" t="s">
        <v>22197</v>
      </c>
    </row>
    <row r="6675" spans="1:20" x14ac:dyDescent="0.25">
      <c r="A6675" s="1" t="str">
        <f>HYPERLINK("https://vegkart.atlas.vegvesen.no/#/@-32289.9,6572873.4,18/hva:hva%5B0%5D%5Bfilter%5D%5B0%5D%5Boperator%5D=%21%3D&amp;hva%5B0%5D%5Bfilter%5D%5B0%5D%5Btype_id%5D=5897&amp;hva%5B0%5D%5Bfilter%5D%5B0%5D%5Bverdi%5D=&amp;hva%5B0%5D%5Bid%5D=47/når:2022-01-25", "Vegkart")</f>
        <v>Vegkart</v>
      </c>
      <c r="B6675">
        <v>1007660059</v>
      </c>
      <c r="C6675">
        <v>47</v>
      </c>
      <c r="D6675" t="s">
        <v>16854</v>
      </c>
      <c r="E6675">
        <v>5897</v>
      </c>
      <c r="F6675" t="s">
        <v>23479</v>
      </c>
      <c r="G6675">
        <v>3</v>
      </c>
      <c r="H6675" t="s">
        <v>19977</v>
      </c>
      <c r="J6675" t="s">
        <v>22156</v>
      </c>
      <c r="K6675" t="s">
        <v>170</v>
      </c>
      <c r="L6675" t="s">
        <v>113</v>
      </c>
      <c r="M6675" t="s">
        <v>114</v>
      </c>
      <c r="N6675" t="s">
        <v>22198</v>
      </c>
      <c r="O6675" t="s">
        <v>22199</v>
      </c>
      <c r="P6675" s="2" t="s">
        <v>26</v>
      </c>
      <c r="Q6675" t="s">
        <v>50</v>
      </c>
      <c r="R6675">
        <v>90.85</v>
      </c>
      <c r="S6675">
        <v>91.48</v>
      </c>
      <c r="T6675" t="s">
        <v>22200</v>
      </c>
    </row>
    <row r="6676" spans="1:20" x14ac:dyDescent="0.25">
      <c r="A6676" s="1" t="str">
        <f>HYPERLINK("https://vegkart.atlas.vegvesen.no/#/@-32458.0,6572955.4,18/hva:hva%5B0%5D%5Bfilter%5D%5B0%5D%5Boperator%5D=%21%3D&amp;hva%5B0%5D%5Bfilter%5D%5B0%5D%5Btype_id%5D=5897&amp;hva%5B0%5D%5Bfilter%5D%5B0%5D%5Bverdi%5D=&amp;hva%5B0%5D%5Bid%5D=47/når:2021-11-11", "Vegkart")</f>
        <v>Vegkart</v>
      </c>
      <c r="B6676">
        <v>1007660061</v>
      </c>
      <c r="C6676">
        <v>47</v>
      </c>
      <c r="D6676" t="s">
        <v>16854</v>
      </c>
      <c r="E6676">
        <v>5897</v>
      </c>
      <c r="F6676" t="s">
        <v>23479</v>
      </c>
      <c r="G6676">
        <v>2</v>
      </c>
      <c r="H6676" t="s">
        <v>22201</v>
      </c>
      <c r="J6676" t="s">
        <v>22156</v>
      </c>
      <c r="K6676" t="s">
        <v>170</v>
      </c>
      <c r="L6676" t="s">
        <v>33</v>
      </c>
      <c r="M6676" t="s">
        <v>22202</v>
      </c>
      <c r="N6676" t="s">
        <v>22203</v>
      </c>
      <c r="O6676" t="s">
        <v>22204</v>
      </c>
      <c r="P6676" s="2" t="s">
        <v>26</v>
      </c>
      <c r="Q6676" t="s">
        <v>50</v>
      </c>
      <c r="R6676">
        <v>20.059999999999999</v>
      </c>
      <c r="S6676">
        <v>20.059999999999999</v>
      </c>
      <c r="T6676" t="s">
        <v>22205</v>
      </c>
    </row>
    <row r="6677" spans="1:20" x14ac:dyDescent="0.25">
      <c r="A6677" s="1" t="str">
        <f>HYPERLINK("https://vegkart.atlas.vegvesen.no/#/@-32348.5,6572959.9,18/hva:hva%5B0%5D%5Bfilter%5D%5B0%5D%5Boperator%5D=%21%3D&amp;hva%5B0%5D%5Bfilter%5D%5B0%5D%5Btype_id%5D=5897&amp;hva%5B0%5D%5Bfilter%5D%5B0%5D%5Bverdi%5D=&amp;hva%5B0%5D%5Bid%5D=47/når:2020-04-06", "Vegkart")</f>
        <v>Vegkart</v>
      </c>
      <c r="B6677">
        <v>1007660062</v>
      </c>
      <c r="C6677">
        <v>47</v>
      </c>
      <c r="D6677" t="s">
        <v>16854</v>
      </c>
      <c r="E6677">
        <v>5897</v>
      </c>
      <c r="F6677" t="s">
        <v>23479</v>
      </c>
      <c r="G6677">
        <v>1</v>
      </c>
      <c r="H6677" t="s">
        <v>7364</v>
      </c>
      <c r="J6677" t="s">
        <v>22156</v>
      </c>
      <c r="K6677" t="s">
        <v>170</v>
      </c>
      <c r="L6677" t="s">
        <v>33</v>
      </c>
      <c r="M6677" t="s">
        <v>22202</v>
      </c>
      <c r="N6677" t="s">
        <v>22206</v>
      </c>
      <c r="O6677" t="s">
        <v>22207</v>
      </c>
      <c r="P6677" s="2" t="s">
        <v>26</v>
      </c>
      <c r="Q6677" t="s">
        <v>50</v>
      </c>
      <c r="R6677">
        <v>44.84</v>
      </c>
      <c r="S6677">
        <v>44.94</v>
      </c>
      <c r="T6677" t="s">
        <v>22208</v>
      </c>
    </row>
    <row r="6678" spans="1:20" x14ac:dyDescent="0.25">
      <c r="A6678" s="1" t="str">
        <f>HYPERLINK("https://vegkart.atlas.vegvesen.no/#/@-32494.6,6572186.3,18/hva:hva%5B0%5D%5Bfilter%5D%5B0%5D%5Boperator%5D=%21%3D&amp;hva%5B0%5D%5Bfilter%5D%5B0%5D%5Btype_id%5D=5897&amp;hva%5B0%5D%5Bfilter%5D%5B0%5D%5Bverdi%5D=&amp;hva%5B0%5D%5Bid%5D=47/når:2022-01-25", "Vegkart")</f>
        <v>Vegkart</v>
      </c>
      <c r="B6678">
        <v>1007660066</v>
      </c>
      <c r="C6678">
        <v>47</v>
      </c>
      <c r="D6678" t="s">
        <v>16854</v>
      </c>
      <c r="E6678">
        <v>5897</v>
      </c>
      <c r="F6678" t="s">
        <v>23479</v>
      </c>
      <c r="G6678">
        <v>3</v>
      </c>
      <c r="H6678" t="s">
        <v>19977</v>
      </c>
      <c r="J6678" t="s">
        <v>22156</v>
      </c>
      <c r="K6678" t="s">
        <v>170</v>
      </c>
      <c r="L6678" t="s">
        <v>80</v>
      </c>
      <c r="M6678" t="s">
        <v>81</v>
      </c>
      <c r="N6678" t="s">
        <v>22209</v>
      </c>
      <c r="O6678" t="s">
        <v>22210</v>
      </c>
      <c r="P6678" s="2" t="s">
        <v>26</v>
      </c>
      <c r="Q6678" t="s">
        <v>50</v>
      </c>
      <c r="R6678">
        <v>90.49</v>
      </c>
      <c r="S6678">
        <v>90.96</v>
      </c>
      <c r="T6678" t="s">
        <v>22211</v>
      </c>
    </row>
    <row r="6679" spans="1:20" x14ac:dyDescent="0.25">
      <c r="A6679" s="1" t="str">
        <f>HYPERLINK("https://vegkart.atlas.vegvesen.no/#/@-32491.3,6572239.2,18/hva:hva%5B0%5D%5Bfilter%5D%5B0%5D%5Boperator%5D=%21%3D&amp;hva%5B0%5D%5Bfilter%5D%5B0%5D%5Btype_id%5D=5897&amp;hva%5B0%5D%5Bfilter%5D%5B0%5D%5Bverdi%5D=&amp;hva%5B0%5D%5Bid%5D=47/når:2022-01-25", "Vegkart")</f>
        <v>Vegkart</v>
      </c>
      <c r="B6679">
        <v>1007660070</v>
      </c>
      <c r="C6679">
        <v>47</v>
      </c>
      <c r="D6679" t="s">
        <v>16854</v>
      </c>
      <c r="E6679">
        <v>5897</v>
      </c>
      <c r="F6679" t="s">
        <v>23479</v>
      </c>
      <c r="G6679">
        <v>3</v>
      </c>
      <c r="H6679" t="s">
        <v>19977</v>
      </c>
      <c r="J6679" t="s">
        <v>22156</v>
      </c>
      <c r="K6679" t="s">
        <v>170</v>
      </c>
      <c r="L6679" t="s">
        <v>80</v>
      </c>
      <c r="M6679" t="s">
        <v>81</v>
      </c>
      <c r="N6679" t="s">
        <v>22212</v>
      </c>
      <c r="O6679" t="s">
        <v>22213</v>
      </c>
      <c r="P6679" s="2" t="s">
        <v>26</v>
      </c>
      <c r="Q6679" t="s">
        <v>50</v>
      </c>
      <c r="R6679">
        <v>84.86</v>
      </c>
      <c r="S6679">
        <v>85.02</v>
      </c>
      <c r="T6679" t="s">
        <v>22214</v>
      </c>
    </row>
    <row r="6680" spans="1:20" x14ac:dyDescent="0.25">
      <c r="A6680" s="1" t="str">
        <f>HYPERLINK("https://vegkart.atlas.vegvesen.no/#/@-32331.5,6573188.9,18/hva:hva%5B0%5D%5Bfilter%5D%5B0%5D%5Boperator%5D=%21%3D&amp;hva%5B0%5D%5Bfilter%5D%5B0%5D%5Btype_id%5D=5897&amp;hva%5B0%5D%5Bfilter%5D%5B0%5D%5Bverdi%5D=&amp;hva%5B0%5D%5Bid%5D=47/når:2022-01-25", "Vegkart")</f>
        <v>Vegkart</v>
      </c>
      <c r="B6680">
        <v>1007660073</v>
      </c>
      <c r="C6680">
        <v>47</v>
      </c>
      <c r="D6680" t="s">
        <v>16854</v>
      </c>
      <c r="E6680">
        <v>5897</v>
      </c>
      <c r="F6680" t="s">
        <v>23479</v>
      </c>
      <c r="G6680">
        <v>3</v>
      </c>
      <c r="H6680" t="s">
        <v>19977</v>
      </c>
      <c r="J6680" t="s">
        <v>22156</v>
      </c>
      <c r="K6680" t="s">
        <v>170</v>
      </c>
      <c r="L6680" t="s">
        <v>80</v>
      </c>
      <c r="M6680" t="s">
        <v>81</v>
      </c>
      <c r="N6680" t="s">
        <v>22215</v>
      </c>
      <c r="O6680" t="s">
        <v>22216</v>
      </c>
      <c r="P6680" s="2" t="s">
        <v>26</v>
      </c>
      <c r="Q6680" t="s">
        <v>50</v>
      </c>
      <c r="R6680">
        <v>90.27</v>
      </c>
      <c r="S6680">
        <v>90.57</v>
      </c>
      <c r="T6680" t="s">
        <v>22217</v>
      </c>
    </row>
    <row r="6681" spans="1:20" x14ac:dyDescent="0.25">
      <c r="A6681" s="1" t="str">
        <f>HYPERLINK("https://vegkart.atlas.vegvesen.no/#/@-31613.2,6573104.2,18/hva:hva%5B0%5D%5Bfilter%5D%5B0%5D%5Boperator%5D=%21%3D&amp;hva%5B0%5D%5Bfilter%5D%5B0%5D%5Btype_id%5D=5897&amp;hva%5B0%5D%5Bfilter%5D%5B0%5D%5Bverdi%5D=&amp;hva%5B0%5D%5Bid%5D=47/når:2022-01-25", "Vegkart")</f>
        <v>Vegkart</v>
      </c>
      <c r="B6681">
        <v>1007660074</v>
      </c>
      <c r="C6681">
        <v>47</v>
      </c>
      <c r="D6681" t="s">
        <v>16854</v>
      </c>
      <c r="E6681">
        <v>5897</v>
      </c>
      <c r="F6681" t="s">
        <v>23479</v>
      </c>
      <c r="G6681">
        <v>3</v>
      </c>
      <c r="H6681" t="s">
        <v>19977</v>
      </c>
      <c r="J6681" t="s">
        <v>22156</v>
      </c>
      <c r="K6681" t="s">
        <v>170</v>
      </c>
      <c r="L6681" t="s">
        <v>113</v>
      </c>
      <c r="M6681" t="s">
        <v>114</v>
      </c>
      <c r="N6681" t="s">
        <v>22218</v>
      </c>
      <c r="O6681" t="s">
        <v>22219</v>
      </c>
      <c r="P6681" s="2" t="s">
        <v>26</v>
      </c>
      <c r="Q6681" t="s">
        <v>50</v>
      </c>
      <c r="R6681">
        <v>90.55</v>
      </c>
      <c r="S6681">
        <v>91.06</v>
      </c>
      <c r="T6681" t="s">
        <v>22220</v>
      </c>
    </row>
    <row r="6682" spans="1:20" x14ac:dyDescent="0.25">
      <c r="A6682" s="1" t="str">
        <f>HYPERLINK("https://vegkart.atlas.vegvesen.no/#/@232636.0,6584872.8,18/hva:hva%5B0%5D%5Bfilter%5D%5B0%5D%5Boperator%5D=%21%3D&amp;hva%5B0%5D%5Bfilter%5D%5B0%5D%5Btype_id%5D=5897&amp;hva%5B0%5D%5Bfilter%5D%5B0%5D%5Bverdi%5D=&amp;hva%5B0%5D%5Bid%5D=47/når:2020-08-06", "Vegkart")</f>
        <v>Vegkart</v>
      </c>
      <c r="B6682">
        <v>1008754371</v>
      </c>
      <c r="C6682">
        <v>47</v>
      </c>
      <c r="D6682" t="s">
        <v>16854</v>
      </c>
      <c r="E6682">
        <v>5897</v>
      </c>
      <c r="F6682" t="s">
        <v>23479</v>
      </c>
      <c r="G6682">
        <v>2</v>
      </c>
      <c r="H6682" t="s">
        <v>22221</v>
      </c>
      <c r="J6682" t="s">
        <v>22156</v>
      </c>
      <c r="K6682" t="s">
        <v>81</v>
      </c>
      <c r="L6682" t="s">
        <v>33</v>
      </c>
      <c r="M6682" t="s">
        <v>22222</v>
      </c>
      <c r="N6682" t="s">
        <v>22223</v>
      </c>
      <c r="O6682" t="s">
        <v>22224</v>
      </c>
      <c r="P6682" s="2" t="s">
        <v>37</v>
      </c>
      <c r="Q6682" t="s">
        <v>1208</v>
      </c>
      <c r="R6682">
        <v>0</v>
      </c>
      <c r="S6682">
        <v>92.27</v>
      </c>
      <c r="T6682" t="s">
        <v>22225</v>
      </c>
    </row>
    <row r="6683" spans="1:20" x14ac:dyDescent="0.25">
      <c r="A6683" s="1" t="str">
        <f>HYPERLINK("https://vegkart.atlas.vegvesen.no/#/@232645.0,6584876.0,18/hva:hva%5B0%5D%5Bfilter%5D%5B0%5D%5Boperator%5D=%21%3D&amp;hva%5B0%5D%5Bfilter%5D%5B0%5D%5Btype_id%5D=5897&amp;hva%5B0%5D%5Bfilter%5D%5B0%5D%5Bverdi%5D=&amp;hva%5B0%5D%5Bid%5D=47/når:2020-01-30", "Vegkart")</f>
        <v>Vegkart</v>
      </c>
      <c r="B6683">
        <v>1008754374</v>
      </c>
      <c r="C6683">
        <v>47</v>
      </c>
      <c r="D6683" t="s">
        <v>16854</v>
      </c>
      <c r="E6683">
        <v>5897</v>
      </c>
      <c r="F6683" t="s">
        <v>23479</v>
      </c>
      <c r="G6683">
        <v>1</v>
      </c>
      <c r="H6683" t="s">
        <v>22226</v>
      </c>
      <c r="J6683" t="s">
        <v>22156</v>
      </c>
      <c r="K6683" t="s">
        <v>81</v>
      </c>
      <c r="L6683" t="s">
        <v>33</v>
      </c>
      <c r="M6683" t="s">
        <v>22222</v>
      </c>
      <c r="N6683" t="s">
        <v>22227</v>
      </c>
      <c r="O6683" t="s">
        <v>22228</v>
      </c>
      <c r="P6683" s="2" t="s">
        <v>37</v>
      </c>
      <c r="Q6683" t="s">
        <v>1208</v>
      </c>
      <c r="R6683">
        <v>0</v>
      </c>
      <c r="S6683">
        <v>80.930000000000007</v>
      </c>
      <c r="T6683" t="s">
        <v>22229</v>
      </c>
    </row>
    <row r="6684" spans="1:20" x14ac:dyDescent="0.25">
      <c r="A6684" s="1" t="str">
        <f>HYPERLINK("https://vegkart.atlas.vegvesen.no/#/@-35485.7,6724588.2,18/hva:hva%5B0%5D%5Bfilter%5D%5B0%5D%5Boperator%5D=%21%3D&amp;hva%5B0%5D%5Bfilter%5D%5B0%5D%5Btype_id%5D=5897&amp;hva%5B0%5D%5Bfilter%5D%5B0%5D%5Bverdi%5D=&amp;hva%5B0%5D%5Bid%5D=47/når:2020-07-08", "Vegkart")</f>
        <v>Vegkart</v>
      </c>
      <c r="B6684">
        <v>1008914038</v>
      </c>
      <c r="C6684">
        <v>47</v>
      </c>
      <c r="D6684" t="s">
        <v>16854</v>
      </c>
      <c r="E6684">
        <v>5897</v>
      </c>
      <c r="F6684" t="s">
        <v>23479</v>
      </c>
      <c r="G6684">
        <v>1</v>
      </c>
      <c r="H6684" t="s">
        <v>18568</v>
      </c>
      <c r="J6684" t="s">
        <v>22230</v>
      </c>
      <c r="K6684" t="s">
        <v>21</v>
      </c>
      <c r="L6684" t="s">
        <v>33</v>
      </c>
      <c r="M6684" t="s">
        <v>22231</v>
      </c>
      <c r="N6684" t="s">
        <v>22232</v>
      </c>
      <c r="O6684" t="s">
        <v>22233</v>
      </c>
      <c r="P6684" s="2" t="s">
        <v>165</v>
      </c>
      <c r="Q6684" t="s">
        <v>641</v>
      </c>
      <c r="R6684">
        <v>0</v>
      </c>
      <c r="S6684">
        <v>142.79</v>
      </c>
      <c r="T6684" t="s">
        <v>167</v>
      </c>
    </row>
    <row r="6685" spans="1:20" x14ac:dyDescent="0.25">
      <c r="A6685" s="1" t="str">
        <f>HYPERLINK("https://vegkart.atlas.vegvesen.no/#/@462384.0,7356862.7,18/hva:hva%5B0%5D%5Bfilter%5D%5B0%5D%5Boperator%5D=%21%3D&amp;hva%5B0%5D%5Bfilter%5D%5B0%5D%5Btype_id%5D=5897&amp;hva%5B0%5D%5Bfilter%5D%5B0%5D%5Bverdi%5D=&amp;hva%5B0%5D%5Bid%5D=47/når:2020-07-28", "Vegkart")</f>
        <v>Vegkart</v>
      </c>
      <c r="B6685">
        <v>1008961409</v>
      </c>
      <c r="C6685">
        <v>47</v>
      </c>
      <c r="D6685" t="s">
        <v>16854</v>
      </c>
      <c r="E6685">
        <v>5897</v>
      </c>
      <c r="F6685" t="s">
        <v>23479</v>
      </c>
      <c r="G6685">
        <v>1</v>
      </c>
      <c r="H6685" t="s">
        <v>22234</v>
      </c>
      <c r="J6685" t="s">
        <v>22230</v>
      </c>
      <c r="K6685" t="s">
        <v>53</v>
      </c>
      <c r="L6685" t="s">
        <v>33</v>
      </c>
      <c r="M6685" t="s">
        <v>3792</v>
      </c>
      <c r="N6685" t="s">
        <v>22235</v>
      </c>
      <c r="O6685" t="s">
        <v>22236</v>
      </c>
      <c r="P6685" s="2" t="s">
        <v>26</v>
      </c>
      <c r="Q6685" t="s">
        <v>50</v>
      </c>
      <c r="R6685">
        <v>100.85</v>
      </c>
      <c r="S6685">
        <v>101.97</v>
      </c>
      <c r="T6685" t="s">
        <v>22237</v>
      </c>
    </row>
    <row r="6686" spans="1:20" x14ac:dyDescent="0.25">
      <c r="A6686" s="1" t="str">
        <f>HYPERLINK("https://vegkart.atlas.vegvesen.no/#/@462393.4,7356849.6,18/hva:hva%5B0%5D%5Bfilter%5D%5B0%5D%5Boperator%5D=%21%3D&amp;hva%5B0%5D%5Bfilter%5D%5B0%5D%5Btype_id%5D=5897&amp;hva%5B0%5D%5Bfilter%5D%5B0%5D%5Bverdi%5D=&amp;hva%5B0%5D%5Bid%5D=47/når:2020-07-28", "Vegkart")</f>
        <v>Vegkart</v>
      </c>
      <c r="B6686">
        <v>1008961410</v>
      </c>
      <c r="C6686">
        <v>47</v>
      </c>
      <c r="D6686" t="s">
        <v>16854</v>
      </c>
      <c r="E6686">
        <v>5897</v>
      </c>
      <c r="F6686" t="s">
        <v>23479</v>
      </c>
      <c r="G6686">
        <v>1</v>
      </c>
      <c r="H6686" t="s">
        <v>22234</v>
      </c>
      <c r="J6686" t="s">
        <v>22230</v>
      </c>
      <c r="K6686" t="s">
        <v>53</v>
      </c>
      <c r="L6686" t="s">
        <v>33</v>
      </c>
      <c r="M6686" t="s">
        <v>3792</v>
      </c>
      <c r="N6686" t="s">
        <v>22238</v>
      </c>
      <c r="O6686" t="s">
        <v>22239</v>
      </c>
      <c r="P6686" s="2" t="s">
        <v>26</v>
      </c>
      <c r="Q6686" t="s">
        <v>50</v>
      </c>
      <c r="R6686">
        <v>88.91</v>
      </c>
      <c r="S6686">
        <v>89.04</v>
      </c>
      <c r="T6686" t="s">
        <v>22240</v>
      </c>
    </row>
    <row r="6687" spans="1:20" x14ac:dyDescent="0.25">
      <c r="A6687" s="1" t="str">
        <f>HYPERLINK("https://vegkart.atlas.vegvesen.no/#/@234532.9,6604175.8,18/hva:hva%5B0%5D%5Bfilter%5D%5B0%5D%5Boperator%5D=%21%3D&amp;hva%5B0%5D%5Bfilter%5D%5B0%5D%5Btype_id%5D=5897&amp;hva%5B0%5D%5Bfilter%5D%5B0%5D%5Bverdi%5D=&amp;hva%5B0%5D%5Bid%5D=47/når:2020-08-05", "Vegkart")</f>
        <v>Vegkart</v>
      </c>
      <c r="B6687">
        <v>1008985550</v>
      </c>
      <c r="C6687">
        <v>47</v>
      </c>
      <c r="D6687" t="s">
        <v>16854</v>
      </c>
      <c r="E6687">
        <v>5897</v>
      </c>
      <c r="F6687" t="s">
        <v>23479</v>
      </c>
      <c r="G6687">
        <v>1</v>
      </c>
      <c r="H6687" t="s">
        <v>22241</v>
      </c>
      <c r="J6687" t="s">
        <v>22242</v>
      </c>
      <c r="K6687" t="s">
        <v>81</v>
      </c>
      <c r="L6687" t="s">
        <v>33</v>
      </c>
      <c r="M6687" t="s">
        <v>22243</v>
      </c>
      <c r="N6687" t="s">
        <v>22244</v>
      </c>
      <c r="O6687" t="s">
        <v>22245</v>
      </c>
      <c r="P6687" s="2" t="s">
        <v>165</v>
      </c>
      <c r="Q6687" t="s">
        <v>166</v>
      </c>
      <c r="R6687">
        <v>23.88</v>
      </c>
      <c r="S6687">
        <v>23.88</v>
      </c>
      <c r="T6687" t="s">
        <v>167</v>
      </c>
    </row>
    <row r="6688" spans="1:20" x14ac:dyDescent="0.25">
      <c r="A6688" s="1" t="str">
        <f>HYPERLINK("https://vegkart.atlas.vegvesen.no/#/@7111.4,6576375.4,18/hva:hva%5B0%5D%5Bfilter%5D%5B0%5D%5Boperator%5D=%21%3D&amp;hva%5B0%5D%5Bfilter%5D%5B0%5D%5Btype_id%5D=5897&amp;hva%5B0%5D%5Bfilter%5D%5B0%5D%5Bverdi%5D=&amp;hva%5B0%5D%5Bid%5D=47/når:2020-09-04", "Vegkart")</f>
        <v>Vegkart</v>
      </c>
      <c r="B6688">
        <v>1009182600</v>
      </c>
      <c r="C6688">
        <v>47</v>
      </c>
      <c r="D6688" t="s">
        <v>16854</v>
      </c>
      <c r="E6688">
        <v>5897</v>
      </c>
      <c r="F6688" t="s">
        <v>23479</v>
      </c>
      <c r="G6688">
        <v>1</v>
      </c>
      <c r="H6688" t="s">
        <v>22246</v>
      </c>
      <c r="J6688" t="s">
        <v>22247</v>
      </c>
      <c r="K6688" t="s">
        <v>170</v>
      </c>
      <c r="L6688" t="s">
        <v>33</v>
      </c>
      <c r="M6688" t="s">
        <v>4146</v>
      </c>
      <c r="N6688" t="s">
        <v>22248</v>
      </c>
      <c r="O6688" t="s">
        <v>22249</v>
      </c>
      <c r="P6688" s="2" t="s">
        <v>26</v>
      </c>
      <c r="Q6688" t="s">
        <v>50</v>
      </c>
      <c r="R6688">
        <v>24.52</v>
      </c>
      <c r="S6688">
        <v>24.52</v>
      </c>
      <c r="T6688" t="s">
        <v>22250</v>
      </c>
    </row>
    <row r="6689" spans="1:20" x14ac:dyDescent="0.25">
      <c r="A6689" s="1" t="str">
        <f>HYPERLINK("https://vegkart.atlas.vegvesen.no/#/@2892.6,6585381.0,18/hva:hva%5B0%5D%5Bfilter%5D%5B0%5D%5Boperator%5D=%21%3D&amp;hva%5B0%5D%5Bfilter%5D%5B0%5D%5Btype_id%5D=5897&amp;hva%5B0%5D%5Bfilter%5D%5B0%5D%5Bverdi%5D=&amp;hva%5B0%5D%5Bid%5D=47/når:2020-09-04", "Vegkart")</f>
        <v>Vegkart</v>
      </c>
      <c r="B6689">
        <v>1009183120</v>
      </c>
      <c r="C6689">
        <v>47</v>
      </c>
      <c r="D6689" t="s">
        <v>16854</v>
      </c>
      <c r="E6689">
        <v>5897</v>
      </c>
      <c r="F6689" t="s">
        <v>23479</v>
      </c>
      <c r="G6689">
        <v>1</v>
      </c>
      <c r="H6689" t="s">
        <v>22246</v>
      </c>
      <c r="J6689" t="s">
        <v>22247</v>
      </c>
      <c r="K6689" t="s">
        <v>170</v>
      </c>
      <c r="L6689" t="s">
        <v>33</v>
      </c>
      <c r="M6689" t="s">
        <v>4146</v>
      </c>
      <c r="N6689" t="s">
        <v>22251</v>
      </c>
      <c r="O6689" t="s">
        <v>22252</v>
      </c>
      <c r="P6689" s="2" t="s">
        <v>26</v>
      </c>
      <c r="Q6689" t="s">
        <v>50</v>
      </c>
      <c r="R6689">
        <v>30.88</v>
      </c>
      <c r="S6689">
        <v>30.88</v>
      </c>
      <c r="T6689" t="s">
        <v>22253</v>
      </c>
    </row>
    <row r="6690" spans="1:20" x14ac:dyDescent="0.25">
      <c r="A6690" s="1" t="str">
        <f>HYPERLINK("https://vegkart.atlas.vegvesen.no/#/@2534.7,6586018.0,18/hva:hva%5B0%5D%5Bfilter%5D%5B0%5D%5Boperator%5D=%21%3D&amp;hva%5B0%5D%5Bfilter%5D%5B0%5D%5Btype_id%5D=5897&amp;hva%5B0%5D%5Bfilter%5D%5B0%5D%5Bverdi%5D=&amp;hva%5B0%5D%5Bid%5D=47/når:2020-09-04", "Vegkart")</f>
        <v>Vegkart</v>
      </c>
      <c r="B6690">
        <v>1009183127</v>
      </c>
      <c r="C6690">
        <v>47</v>
      </c>
      <c r="D6690" t="s">
        <v>16854</v>
      </c>
      <c r="E6690">
        <v>5897</v>
      </c>
      <c r="F6690" t="s">
        <v>23479</v>
      </c>
      <c r="G6690">
        <v>1</v>
      </c>
      <c r="H6690" t="s">
        <v>22246</v>
      </c>
      <c r="J6690" t="s">
        <v>22247</v>
      </c>
      <c r="K6690" t="s">
        <v>170</v>
      </c>
      <c r="L6690" t="s">
        <v>33</v>
      </c>
      <c r="M6690" t="s">
        <v>4146</v>
      </c>
      <c r="N6690" t="s">
        <v>22254</v>
      </c>
      <c r="O6690" t="s">
        <v>22255</v>
      </c>
      <c r="P6690" s="2" t="s">
        <v>26</v>
      </c>
      <c r="Q6690" t="s">
        <v>50</v>
      </c>
      <c r="R6690">
        <v>29.94</v>
      </c>
      <c r="S6690">
        <v>29.94</v>
      </c>
      <c r="T6690" t="s">
        <v>22256</v>
      </c>
    </row>
    <row r="6691" spans="1:20" x14ac:dyDescent="0.25">
      <c r="A6691" s="1" t="str">
        <f>HYPERLINK("https://vegkart.atlas.vegvesen.no/#/@2303.9,6586336.1,18/hva:hva%5B0%5D%5Bfilter%5D%5B0%5D%5Boperator%5D=%21%3D&amp;hva%5B0%5D%5Bfilter%5D%5B0%5D%5Btype_id%5D=5897&amp;hva%5B0%5D%5Bfilter%5D%5B0%5D%5Bverdi%5D=&amp;hva%5B0%5D%5Bid%5D=47/når:2020-09-04", "Vegkart")</f>
        <v>Vegkart</v>
      </c>
      <c r="B6691">
        <v>1009183202</v>
      </c>
      <c r="C6691">
        <v>47</v>
      </c>
      <c r="D6691" t="s">
        <v>16854</v>
      </c>
      <c r="E6691">
        <v>5897</v>
      </c>
      <c r="F6691" t="s">
        <v>23479</v>
      </c>
      <c r="G6691">
        <v>1</v>
      </c>
      <c r="H6691" t="s">
        <v>22246</v>
      </c>
      <c r="J6691" t="s">
        <v>22247</v>
      </c>
      <c r="K6691" t="s">
        <v>170</v>
      </c>
      <c r="L6691" t="s">
        <v>33</v>
      </c>
      <c r="M6691" t="s">
        <v>4146</v>
      </c>
      <c r="N6691" t="s">
        <v>22257</v>
      </c>
      <c r="O6691" t="s">
        <v>22258</v>
      </c>
      <c r="P6691" s="2" t="s">
        <v>26</v>
      </c>
      <c r="Q6691" t="s">
        <v>50</v>
      </c>
      <c r="R6691">
        <v>21.52</v>
      </c>
      <c r="S6691">
        <v>21.52</v>
      </c>
      <c r="T6691" t="s">
        <v>22259</v>
      </c>
    </row>
    <row r="6692" spans="1:20" x14ac:dyDescent="0.25">
      <c r="A6692" s="1" t="str">
        <f>HYPERLINK("https://vegkart.atlas.vegvesen.no/#/@1363.5,6586814.3,18/hva:hva%5B0%5D%5Bfilter%5D%5B0%5D%5Boperator%5D=%21%3D&amp;hva%5B0%5D%5Bfilter%5D%5B0%5D%5Btype_id%5D=5897&amp;hva%5B0%5D%5Bfilter%5D%5B0%5D%5Bverdi%5D=&amp;hva%5B0%5D%5Bid%5D=47/når:2020-09-04", "Vegkart")</f>
        <v>Vegkart</v>
      </c>
      <c r="B6692">
        <v>1009183212</v>
      </c>
      <c r="C6692">
        <v>47</v>
      </c>
      <c r="D6692" t="s">
        <v>16854</v>
      </c>
      <c r="E6692">
        <v>5897</v>
      </c>
      <c r="F6692" t="s">
        <v>23479</v>
      </c>
      <c r="G6692">
        <v>1</v>
      </c>
      <c r="H6692" t="s">
        <v>22246</v>
      </c>
      <c r="J6692" t="s">
        <v>22247</v>
      </c>
      <c r="K6692" t="s">
        <v>170</v>
      </c>
      <c r="L6692" t="s">
        <v>33</v>
      </c>
      <c r="M6692" t="s">
        <v>4146</v>
      </c>
      <c r="N6692" t="s">
        <v>22260</v>
      </c>
      <c r="O6692" t="s">
        <v>22261</v>
      </c>
      <c r="P6692" s="2" t="s">
        <v>26</v>
      </c>
      <c r="Q6692" t="s">
        <v>50</v>
      </c>
      <c r="R6692">
        <v>32.72</v>
      </c>
      <c r="S6692">
        <v>32.72</v>
      </c>
      <c r="T6692" t="s">
        <v>22262</v>
      </c>
    </row>
    <row r="6693" spans="1:20" x14ac:dyDescent="0.25">
      <c r="A6693" s="1" t="str">
        <f>HYPERLINK("https://vegkart.atlas.vegvesen.no/#/@-7376.2,6596224.7,18/hva:hva%5B0%5D%5Bfilter%5D%5B0%5D%5Boperator%5D=%21%3D&amp;hva%5B0%5D%5Bfilter%5D%5B0%5D%5Btype_id%5D=5897&amp;hva%5B0%5D%5Bfilter%5D%5B0%5D%5Bverdi%5D=&amp;hva%5B0%5D%5Bid%5D=47/når:2020-09-16", "Vegkart")</f>
        <v>Vegkart</v>
      </c>
      <c r="B6693">
        <v>1009246836</v>
      </c>
      <c r="C6693">
        <v>47</v>
      </c>
      <c r="D6693" t="s">
        <v>16854</v>
      </c>
      <c r="E6693">
        <v>5897</v>
      </c>
      <c r="F6693" t="s">
        <v>23479</v>
      </c>
      <c r="G6693">
        <v>1</v>
      </c>
      <c r="H6693" t="s">
        <v>22263</v>
      </c>
      <c r="J6693" t="s">
        <v>22247</v>
      </c>
      <c r="K6693" t="s">
        <v>170</v>
      </c>
      <c r="L6693" t="s">
        <v>33</v>
      </c>
      <c r="M6693" t="s">
        <v>22264</v>
      </c>
      <c r="N6693" t="s">
        <v>22265</v>
      </c>
      <c r="O6693" t="s">
        <v>22266</v>
      </c>
      <c r="P6693" s="2" t="s">
        <v>26</v>
      </c>
      <c r="Q6693" t="s">
        <v>50</v>
      </c>
      <c r="R6693">
        <v>18.600000000000001</v>
      </c>
      <c r="S6693">
        <v>18.600000000000001</v>
      </c>
      <c r="T6693" t="s">
        <v>22267</v>
      </c>
    </row>
    <row r="6694" spans="1:20" x14ac:dyDescent="0.25">
      <c r="A6694" s="1" t="str">
        <f>HYPERLINK("https://vegkart.atlas.vegvesen.no/#/@-13932.3,6583432.2,18/hva:hva%5B0%5D%5Bfilter%5D%5B0%5D%5Boperator%5D=%21%3D&amp;hva%5B0%5D%5Bfilter%5D%5B0%5D%5Btype_id%5D=5897&amp;hva%5B0%5D%5Bfilter%5D%5B0%5D%5Bverdi%5D=&amp;hva%5B0%5D%5Bid%5D=47/når:2020-09-28", "Vegkart")</f>
        <v>Vegkart</v>
      </c>
      <c r="B6694">
        <v>1009726378</v>
      </c>
      <c r="C6694">
        <v>47</v>
      </c>
      <c r="D6694" t="s">
        <v>16854</v>
      </c>
      <c r="E6694">
        <v>5897</v>
      </c>
      <c r="F6694" t="s">
        <v>23479</v>
      </c>
      <c r="G6694">
        <v>1</v>
      </c>
      <c r="H6694" t="s">
        <v>17103</v>
      </c>
      <c r="J6694" t="s">
        <v>22247</v>
      </c>
      <c r="K6694" t="s">
        <v>170</v>
      </c>
      <c r="L6694" t="s">
        <v>33</v>
      </c>
      <c r="M6694" t="s">
        <v>17104</v>
      </c>
      <c r="N6694" t="s">
        <v>22268</v>
      </c>
      <c r="O6694" t="s">
        <v>22269</v>
      </c>
      <c r="P6694" s="2" t="s">
        <v>26</v>
      </c>
      <c r="Q6694" t="s">
        <v>50</v>
      </c>
      <c r="R6694">
        <v>11.15</v>
      </c>
      <c r="S6694">
        <v>11.15</v>
      </c>
      <c r="T6694" t="s">
        <v>22270</v>
      </c>
    </row>
    <row r="6695" spans="1:20" x14ac:dyDescent="0.25">
      <c r="A6695" s="1" t="str">
        <f>HYPERLINK("https://vegkart.atlas.vegvesen.no/#/@-14028.4,6583280.4,18/hva:hva%5B0%5D%5Bfilter%5D%5B0%5D%5Boperator%5D=%21%3D&amp;hva%5B0%5D%5Bfilter%5D%5B0%5D%5Btype_id%5D=5897&amp;hva%5B0%5D%5Bfilter%5D%5B0%5D%5Bverdi%5D=&amp;hva%5B0%5D%5Bid%5D=47/når:2020-09-28", "Vegkart")</f>
        <v>Vegkart</v>
      </c>
      <c r="B6695">
        <v>1009726395</v>
      </c>
      <c r="C6695">
        <v>47</v>
      </c>
      <c r="D6695" t="s">
        <v>16854</v>
      </c>
      <c r="E6695">
        <v>5897</v>
      </c>
      <c r="F6695" t="s">
        <v>23479</v>
      </c>
      <c r="G6695">
        <v>1</v>
      </c>
      <c r="H6695" t="s">
        <v>17103</v>
      </c>
      <c r="J6695" t="s">
        <v>22247</v>
      </c>
      <c r="K6695" t="s">
        <v>170</v>
      </c>
      <c r="L6695" t="s">
        <v>33</v>
      </c>
      <c r="M6695" t="s">
        <v>17104</v>
      </c>
      <c r="N6695" t="s">
        <v>22271</v>
      </c>
      <c r="O6695" t="s">
        <v>22272</v>
      </c>
      <c r="P6695" s="2" t="s">
        <v>26</v>
      </c>
      <c r="Q6695" t="s">
        <v>50</v>
      </c>
      <c r="R6695">
        <v>29.98</v>
      </c>
      <c r="S6695">
        <v>29.98</v>
      </c>
      <c r="T6695" t="s">
        <v>22273</v>
      </c>
    </row>
    <row r="6696" spans="1:20" x14ac:dyDescent="0.25">
      <c r="A6696" s="1" t="str">
        <f>HYPERLINK("https://vegkart.atlas.vegvesen.no/#/@-14559.0,6583041.5,18/hva:hva%5B0%5D%5Bfilter%5D%5B0%5D%5Boperator%5D=%21%3D&amp;hva%5B0%5D%5Bfilter%5D%5B0%5D%5Btype_id%5D=5897&amp;hva%5B0%5D%5Bfilter%5D%5B0%5D%5Bverdi%5D=&amp;hva%5B0%5D%5Bid%5D=47/når:2020-09-28", "Vegkart")</f>
        <v>Vegkart</v>
      </c>
      <c r="B6696">
        <v>1009726977</v>
      </c>
      <c r="C6696">
        <v>47</v>
      </c>
      <c r="D6696" t="s">
        <v>16854</v>
      </c>
      <c r="E6696">
        <v>5897</v>
      </c>
      <c r="F6696" t="s">
        <v>23479</v>
      </c>
      <c r="G6696">
        <v>1</v>
      </c>
      <c r="H6696" t="s">
        <v>17103</v>
      </c>
      <c r="J6696" t="s">
        <v>22247</v>
      </c>
      <c r="K6696" t="s">
        <v>170</v>
      </c>
      <c r="L6696" t="s">
        <v>33</v>
      </c>
      <c r="M6696" t="s">
        <v>17104</v>
      </c>
      <c r="N6696" t="s">
        <v>22274</v>
      </c>
      <c r="O6696" t="s">
        <v>22275</v>
      </c>
      <c r="P6696" s="2" t="s">
        <v>26</v>
      </c>
      <c r="Q6696" t="s">
        <v>50</v>
      </c>
      <c r="R6696">
        <v>14.41</v>
      </c>
      <c r="S6696">
        <v>14.41</v>
      </c>
      <c r="T6696" t="s">
        <v>22276</v>
      </c>
    </row>
    <row r="6697" spans="1:20" x14ac:dyDescent="0.25">
      <c r="A6697" s="1" t="str">
        <f>HYPERLINK("https://vegkart.atlas.vegvesen.no/#/@-10201.7,6577756.4,18/hva:hva%5B0%5D%5Bfilter%5D%5B0%5D%5Boperator%5D=%21%3D&amp;hva%5B0%5D%5Bfilter%5D%5B0%5D%5Btype_id%5D=5897&amp;hva%5B0%5D%5Bfilter%5D%5B0%5D%5Bverdi%5D=&amp;hva%5B0%5D%5Bid%5D=47/når:2020-09-28", "Vegkart")</f>
        <v>Vegkart</v>
      </c>
      <c r="B6697">
        <v>1009727587</v>
      </c>
      <c r="C6697">
        <v>47</v>
      </c>
      <c r="D6697" t="s">
        <v>16854</v>
      </c>
      <c r="E6697">
        <v>5897</v>
      </c>
      <c r="F6697" t="s">
        <v>23479</v>
      </c>
      <c r="G6697">
        <v>1</v>
      </c>
      <c r="H6697" t="s">
        <v>17103</v>
      </c>
      <c r="J6697" t="s">
        <v>22247</v>
      </c>
      <c r="K6697" t="s">
        <v>170</v>
      </c>
      <c r="L6697" t="s">
        <v>33</v>
      </c>
      <c r="M6697" t="s">
        <v>22277</v>
      </c>
      <c r="N6697" t="s">
        <v>22278</v>
      </c>
      <c r="O6697" t="s">
        <v>22279</v>
      </c>
      <c r="P6697" s="2" t="s">
        <v>26</v>
      </c>
      <c r="Q6697" t="s">
        <v>50</v>
      </c>
      <c r="R6697">
        <v>9.1300000000000008</v>
      </c>
      <c r="S6697">
        <v>9.1300000000000008</v>
      </c>
      <c r="T6697" t="s">
        <v>22280</v>
      </c>
    </row>
    <row r="6698" spans="1:20" x14ac:dyDescent="0.25">
      <c r="A6698" s="1" t="str">
        <f>HYPERLINK("https://vegkart.atlas.vegvesen.no/#/@279703.3,6659249.7,18/hva:hva%5B0%5D%5Bfilter%5D%5B0%5D%5Boperator%5D=%21%3D&amp;hva%5B0%5D%5Bfilter%5D%5B0%5D%5Btype_id%5D=5897&amp;hva%5B0%5D%5Bfilter%5D%5B0%5D%5Bverdi%5D=&amp;hva%5B0%5D%5Bid%5D=47/når:2020-10-02", "Vegkart")</f>
        <v>Vegkart</v>
      </c>
      <c r="B6698">
        <v>1009927500</v>
      </c>
      <c r="C6698">
        <v>47</v>
      </c>
      <c r="D6698" t="s">
        <v>16854</v>
      </c>
      <c r="E6698">
        <v>5897</v>
      </c>
      <c r="F6698" t="s">
        <v>23479</v>
      </c>
      <c r="G6698">
        <v>1</v>
      </c>
      <c r="H6698" t="s">
        <v>22281</v>
      </c>
      <c r="J6698" t="s">
        <v>22247</v>
      </c>
      <c r="K6698" t="s">
        <v>132</v>
      </c>
      <c r="L6698" t="s">
        <v>33</v>
      </c>
      <c r="M6698" t="s">
        <v>10186</v>
      </c>
      <c r="N6698" t="s">
        <v>22282</v>
      </c>
      <c r="O6698" t="s">
        <v>22283</v>
      </c>
      <c r="P6698" s="2" t="s">
        <v>26</v>
      </c>
      <c r="Q6698" t="s">
        <v>50</v>
      </c>
      <c r="R6698">
        <v>45.1</v>
      </c>
      <c r="S6698">
        <v>45.1</v>
      </c>
      <c r="T6698" t="s">
        <v>22284</v>
      </c>
    </row>
    <row r="6699" spans="1:20" x14ac:dyDescent="0.25">
      <c r="A6699" s="1" t="str">
        <f>HYPERLINK("https://vegkart.atlas.vegvesen.no/#/@252140.5,6788710.7,18/hva:hva%5B0%5D%5Bfilter%5D%5B0%5D%5Boperator%5D=%21%3D&amp;hva%5B0%5D%5Bfilter%5D%5B0%5D%5Btype_id%5D=5897&amp;hva%5B0%5D%5Bfilter%5D%5B0%5D%5Bverdi%5D=&amp;hva%5B0%5D%5Bid%5D=47/når:2020-10-15", "Vegkart")</f>
        <v>Vegkart</v>
      </c>
      <c r="B6699">
        <v>1009966023</v>
      </c>
      <c r="C6699">
        <v>47</v>
      </c>
      <c r="D6699" t="s">
        <v>16854</v>
      </c>
      <c r="E6699">
        <v>5897</v>
      </c>
      <c r="F6699" t="s">
        <v>23479</v>
      </c>
      <c r="G6699">
        <v>1</v>
      </c>
      <c r="H6699" t="s">
        <v>22285</v>
      </c>
      <c r="J6699" t="s">
        <v>22247</v>
      </c>
      <c r="K6699" t="s">
        <v>136</v>
      </c>
      <c r="L6699" t="s">
        <v>33</v>
      </c>
      <c r="M6699" t="s">
        <v>22286</v>
      </c>
      <c r="N6699" t="s">
        <v>22287</v>
      </c>
      <c r="O6699" t="s">
        <v>22288</v>
      </c>
      <c r="P6699" s="2" t="s">
        <v>26</v>
      </c>
      <c r="Q6699" t="s">
        <v>50</v>
      </c>
      <c r="R6699">
        <v>80.930000000000007</v>
      </c>
      <c r="S6699">
        <v>81.010000000000005</v>
      </c>
      <c r="T6699" t="s">
        <v>22289</v>
      </c>
    </row>
    <row r="6700" spans="1:20" x14ac:dyDescent="0.25">
      <c r="A6700" s="1" t="str">
        <f>HYPERLINK("https://vegkart.atlas.vegvesen.no/#/@136394.4,6497319.2,18/hva:hva%5B0%5D%5Bfilter%5D%5B0%5D%5Boperator%5D=%21%3D&amp;hva%5B0%5D%5Bfilter%5D%5B0%5D%5Btype_id%5D=5897&amp;hva%5B0%5D%5Bfilter%5D%5B0%5D%5Bverdi%5D=&amp;hva%5B0%5D%5Bid%5D=47/når:2020-11-13", "Vegkart")</f>
        <v>Vegkart</v>
      </c>
      <c r="B6700">
        <v>1010939835</v>
      </c>
      <c r="C6700">
        <v>47</v>
      </c>
      <c r="D6700" t="s">
        <v>16854</v>
      </c>
      <c r="E6700">
        <v>5897</v>
      </c>
      <c r="F6700" t="s">
        <v>23479</v>
      </c>
      <c r="G6700">
        <v>2</v>
      </c>
      <c r="H6700" t="s">
        <v>22290</v>
      </c>
      <c r="J6700" t="s">
        <v>22247</v>
      </c>
      <c r="K6700" t="s">
        <v>86</v>
      </c>
      <c r="L6700" t="s">
        <v>33</v>
      </c>
      <c r="M6700" t="s">
        <v>20176</v>
      </c>
      <c r="N6700" t="s">
        <v>22291</v>
      </c>
      <c r="O6700" t="s">
        <v>22292</v>
      </c>
      <c r="P6700" s="2" t="s">
        <v>26</v>
      </c>
      <c r="Q6700" t="s">
        <v>50</v>
      </c>
      <c r="R6700">
        <v>25.97</v>
      </c>
      <c r="S6700">
        <v>25.99</v>
      </c>
      <c r="T6700" t="s">
        <v>22293</v>
      </c>
    </row>
    <row r="6701" spans="1:20" x14ac:dyDescent="0.25">
      <c r="A6701" s="1" t="str">
        <f>HYPERLINK("https://vegkart.atlas.vegvesen.no/#/@136403.6,6497322.6,18/hva:hva%5B0%5D%5Bfilter%5D%5B0%5D%5Boperator%5D=%21%3D&amp;hva%5B0%5D%5Bfilter%5D%5B0%5D%5Btype_id%5D=5897&amp;hva%5B0%5D%5Bfilter%5D%5B0%5D%5Bverdi%5D=&amp;hva%5B0%5D%5Bid%5D=47/når:2020-11-13", "Vegkart")</f>
        <v>Vegkart</v>
      </c>
      <c r="B6701">
        <v>1010940198</v>
      </c>
      <c r="C6701">
        <v>47</v>
      </c>
      <c r="D6701" t="s">
        <v>16854</v>
      </c>
      <c r="E6701">
        <v>5897</v>
      </c>
      <c r="F6701" t="s">
        <v>23479</v>
      </c>
      <c r="G6701">
        <v>1</v>
      </c>
      <c r="H6701" t="s">
        <v>22290</v>
      </c>
      <c r="J6701" t="s">
        <v>22247</v>
      </c>
      <c r="K6701" t="s">
        <v>86</v>
      </c>
      <c r="L6701" t="s">
        <v>33</v>
      </c>
      <c r="M6701" t="s">
        <v>20176</v>
      </c>
      <c r="N6701" t="s">
        <v>22294</v>
      </c>
      <c r="O6701" t="s">
        <v>22295</v>
      </c>
      <c r="P6701" s="2" t="s">
        <v>26</v>
      </c>
      <c r="Q6701" t="s">
        <v>50</v>
      </c>
      <c r="R6701">
        <v>26.96</v>
      </c>
      <c r="S6701">
        <v>27.64</v>
      </c>
      <c r="T6701" t="s">
        <v>22296</v>
      </c>
    </row>
    <row r="6702" spans="1:20" x14ac:dyDescent="0.25">
      <c r="A6702" s="1" t="str">
        <f>HYPERLINK("https://vegkart.atlas.vegvesen.no/#/@139545.2,6498189.7,18/hva:hva%5B0%5D%5Bfilter%5D%5B0%5D%5Boperator%5D=%21%3D&amp;hva%5B0%5D%5Bfilter%5D%5B0%5D%5Btype_id%5D=5897&amp;hva%5B0%5D%5Bfilter%5D%5B0%5D%5Bverdi%5D=&amp;hva%5B0%5D%5Bid%5D=47/når:2020-12-17", "Vegkart")</f>
        <v>Vegkart</v>
      </c>
      <c r="B6702">
        <v>1012945318</v>
      </c>
      <c r="C6702">
        <v>47</v>
      </c>
      <c r="D6702" t="s">
        <v>16854</v>
      </c>
      <c r="E6702">
        <v>5897</v>
      </c>
      <c r="F6702" t="s">
        <v>23479</v>
      </c>
      <c r="G6702">
        <v>1</v>
      </c>
      <c r="H6702" t="s">
        <v>22297</v>
      </c>
      <c r="J6702" t="s">
        <v>22247</v>
      </c>
      <c r="K6702" t="s">
        <v>86</v>
      </c>
      <c r="L6702" t="s">
        <v>33</v>
      </c>
      <c r="M6702" t="s">
        <v>2028</v>
      </c>
      <c r="N6702" t="s">
        <v>22298</v>
      </c>
      <c r="O6702" t="s">
        <v>22299</v>
      </c>
      <c r="P6702" s="2" t="s">
        <v>26</v>
      </c>
      <c r="Q6702" t="s">
        <v>50</v>
      </c>
      <c r="R6702">
        <v>62.17</v>
      </c>
      <c r="S6702">
        <v>63.3</v>
      </c>
      <c r="T6702" t="s">
        <v>22300</v>
      </c>
    </row>
    <row r="6703" spans="1:20" x14ac:dyDescent="0.25">
      <c r="A6703" s="1" t="str">
        <f>HYPERLINK("https://vegkart.atlas.vegvesen.no/#/@139649.9,6498419.6,18/hva:hva%5B0%5D%5Bfilter%5D%5B0%5D%5Boperator%5D=%21%3D&amp;hva%5B0%5D%5Bfilter%5D%5B0%5D%5Btype_id%5D=5897&amp;hva%5B0%5D%5Bfilter%5D%5B0%5D%5Bverdi%5D=&amp;hva%5B0%5D%5Bid%5D=47/når:2020-12-17", "Vegkart")</f>
        <v>Vegkart</v>
      </c>
      <c r="B6703">
        <v>1012945319</v>
      </c>
      <c r="C6703">
        <v>47</v>
      </c>
      <c r="D6703" t="s">
        <v>16854</v>
      </c>
      <c r="E6703">
        <v>5897</v>
      </c>
      <c r="F6703" t="s">
        <v>23479</v>
      </c>
      <c r="G6703">
        <v>1</v>
      </c>
      <c r="H6703" t="s">
        <v>22297</v>
      </c>
      <c r="J6703" t="s">
        <v>22247</v>
      </c>
      <c r="K6703" t="s">
        <v>86</v>
      </c>
      <c r="L6703" t="s">
        <v>33</v>
      </c>
      <c r="M6703" t="s">
        <v>2028</v>
      </c>
      <c r="N6703" t="s">
        <v>22301</v>
      </c>
      <c r="O6703" t="s">
        <v>22302</v>
      </c>
      <c r="P6703" s="2" t="s">
        <v>26</v>
      </c>
      <c r="Q6703" t="s">
        <v>50</v>
      </c>
      <c r="R6703">
        <v>65.319999999999993</v>
      </c>
      <c r="S6703">
        <v>65.650000000000006</v>
      </c>
      <c r="T6703" t="s">
        <v>22303</v>
      </c>
    </row>
    <row r="6704" spans="1:20" x14ac:dyDescent="0.25">
      <c r="A6704" s="1" t="str">
        <f>HYPERLINK("https://vegkart.atlas.vegvesen.no/#/@139645.6,6498430.5,18/hva:hva%5B0%5D%5Bfilter%5D%5B0%5D%5Boperator%5D=%21%3D&amp;hva%5B0%5D%5Bfilter%5D%5B0%5D%5Btype_id%5D=5897&amp;hva%5B0%5D%5Bfilter%5D%5B0%5D%5Bverdi%5D=&amp;hva%5B0%5D%5Bid%5D=47/når:2020-12-17", "Vegkart")</f>
        <v>Vegkart</v>
      </c>
      <c r="B6704">
        <v>1012945320</v>
      </c>
      <c r="C6704">
        <v>47</v>
      </c>
      <c r="D6704" t="s">
        <v>16854</v>
      </c>
      <c r="E6704">
        <v>5897</v>
      </c>
      <c r="F6704" t="s">
        <v>23479</v>
      </c>
      <c r="G6704">
        <v>1</v>
      </c>
      <c r="H6704" t="s">
        <v>22297</v>
      </c>
      <c r="J6704" t="s">
        <v>22247</v>
      </c>
      <c r="K6704" t="s">
        <v>86</v>
      </c>
      <c r="L6704" t="s">
        <v>33</v>
      </c>
      <c r="M6704" t="s">
        <v>2028</v>
      </c>
      <c r="N6704" t="s">
        <v>22304</v>
      </c>
      <c r="O6704" t="s">
        <v>22305</v>
      </c>
      <c r="P6704" s="2" t="s">
        <v>26</v>
      </c>
      <c r="Q6704" t="s">
        <v>50</v>
      </c>
      <c r="R6704">
        <v>65.400000000000006</v>
      </c>
      <c r="S6704">
        <v>65.760000000000005</v>
      </c>
      <c r="T6704" t="s">
        <v>22306</v>
      </c>
    </row>
    <row r="6705" spans="1:20" x14ac:dyDescent="0.25">
      <c r="A6705" s="1" t="str">
        <f>HYPERLINK("https://vegkart.atlas.vegvesen.no/#/@137706.3,6502122.6,18/hva:hva%5B0%5D%5Bfilter%5D%5B0%5D%5Boperator%5D=%21%3D&amp;hva%5B0%5D%5Bfilter%5D%5B0%5D%5Btype_id%5D=5897&amp;hva%5B0%5D%5Bfilter%5D%5B0%5D%5Bverdi%5D=&amp;hva%5B0%5D%5Bid%5D=47/når:2021-01-04", "Vegkart")</f>
        <v>Vegkart</v>
      </c>
      <c r="B6705">
        <v>1013133327</v>
      </c>
      <c r="C6705">
        <v>47</v>
      </c>
      <c r="D6705" t="s">
        <v>16854</v>
      </c>
      <c r="E6705">
        <v>5897</v>
      </c>
      <c r="F6705" t="s">
        <v>23479</v>
      </c>
      <c r="G6705">
        <v>1</v>
      </c>
      <c r="H6705" t="s">
        <v>22307</v>
      </c>
      <c r="J6705" t="s">
        <v>22247</v>
      </c>
      <c r="K6705" t="s">
        <v>86</v>
      </c>
      <c r="L6705" t="s">
        <v>33</v>
      </c>
      <c r="M6705" t="s">
        <v>638</v>
      </c>
      <c r="N6705" t="s">
        <v>22308</v>
      </c>
      <c r="O6705" t="s">
        <v>22309</v>
      </c>
      <c r="P6705" s="2" t="s">
        <v>26</v>
      </c>
      <c r="Q6705" t="s">
        <v>50</v>
      </c>
      <c r="R6705">
        <v>52.42</v>
      </c>
      <c r="S6705">
        <v>53.36</v>
      </c>
      <c r="T6705" t="s">
        <v>22310</v>
      </c>
    </row>
    <row r="6706" spans="1:20" x14ac:dyDescent="0.25">
      <c r="A6706" s="1" t="str">
        <f>HYPERLINK("https://vegkart.atlas.vegvesen.no/#/@-44183.5,6640216.2,18/hva:hva%5B0%5D%5Bfilter%5D%5B0%5D%5Boperator%5D=%21%3D&amp;hva%5B0%5D%5Bfilter%5D%5B0%5D%5Btype_id%5D=5897&amp;hva%5B0%5D%5Bfilter%5D%5B0%5D%5Bverdi%5D=&amp;hva%5B0%5D%5Bid%5D=47/når:2021-01-11", "Vegkart")</f>
        <v>Vegkart</v>
      </c>
      <c r="B6706">
        <v>1013147783</v>
      </c>
      <c r="C6706">
        <v>47</v>
      </c>
      <c r="D6706" t="s">
        <v>16854</v>
      </c>
      <c r="E6706">
        <v>5897</v>
      </c>
      <c r="F6706" t="s">
        <v>23479</v>
      </c>
      <c r="G6706">
        <v>1</v>
      </c>
      <c r="H6706" t="s">
        <v>9424</v>
      </c>
      <c r="J6706" t="s">
        <v>22247</v>
      </c>
      <c r="K6706" t="s">
        <v>21</v>
      </c>
      <c r="L6706" t="s">
        <v>33</v>
      </c>
      <c r="M6706" t="s">
        <v>21777</v>
      </c>
      <c r="N6706" t="s">
        <v>22311</v>
      </c>
      <c r="O6706" t="s">
        <v>22312</v>
      </c>
      <c r="P6706" s="2" t="s">
        <v>26</v>
      </c>
      <c r="Q6706" t="s">
        <v>50</v>
      </c>
      <c r="R6706">
        <v>62.57</v>
      </c>
      <c r="S6706">
        <v>63.06</v>
      </c>
      <c r="T6706" t="s">
        <v>22313</v>
      </c>
    </row>
    <row r="6707" spans="1:20" x14ac:dyDescent="0.25">
      <c r="A6707" s="1" t="str">
        <f>HYPERLINK("https://vegkart.atlas.vegvesen.no/#/@-34185.2,6727867.8,18/hva:hva%5B0%5D%5Bfilter%5D%5B0%5D%5Boperator%5D=%21%3D&amp;hva%5B0%5D%5Bfilter%5D%5B0%5D%5Btype_id%5D=5897&amp;hva%5B0%5D%5Bfilter%5D%5B0%5D%5Bverdi%5D=&amp;hva%5B0%5D%5Bid%5D=47/når:2021-03-30", "Vegkart")</f>
        <v>Vegkart</v>
      </c>
      <c r="B6707">
        <v>1013422702</v>
      </c>
      <c r="C6707">
        <v>47</v>
      </c>
      <c r="D6707" t="s">
        <v>16854</v>
      </c>
      <c r="E6707">
        <v>5897</v>
      </c>
      <c r="F6707" t="s">
        <v>23479</v>
      </c>
      <c r="G6707">
        <v>1</v>
      </c>
      <c r="H6707" t="s">
        <v>22314</v>
      </c>
      <c r="J6707" t="s">
        <v>22315</v>
      </c>
      <c r="K6707" t="s">
        <v>21</v>
      </c>
      <c r="L6707" t="s">
        <v>33</v>
      </c>
      <c r="M6707" t="s">
        <v>22316</v>
      </c>
      <c r="N6707" t="s">
        <v>22317</v>
      </c>
      <c r="O6707" t="s">
        <v>22318</v>
      </c>
      <c r="P6707" s="2" t="s">
        <v>165</v>
      </c>
      <c r="Q6707" t="s">
        <v>641</v>
      </c>
      <c r="R6707">
        <v>0</v>
      </c>
      <c r="S6707">
        <v>112.21</v>
      </c>
      <c r="T6707" t="s">
        <v>167</v>
      </c>
    </row>
    <row r="6708" spans="1:20" x14ac:dyDescent="0.25">
      <c r="A6708" s="1" t="str">
        <f>HYPERLINK("https://vegkart.atlas.vegvesen.no/#/@240399.1,6579375.9,18/hva:hva%5B0%5D%5Bfilter%5D%5B0%5D%5Boperator%5D=%21%3D&amp;hva%5B0%5D%5Bfilter%5D%5B0%5D%5Btype_id%5D=5897&amp;hva%5B0%5D%5Bfilter%5D%5B0%5D%5Bverdi%5D=&amp;hva%5B0%5D%5Bid%5D=47/når:2020-11-05", "Vegkart")</f>
        <v>Vegkart</v>
      </c>
      <c r="B6708">
        <v>1013496696</v>
      </c>
      <c r="C6708">
        <v>47</v>
      </c>
      <c r="D6708" t="s">
        <v>16854</v>
      </c>
      <c r="E6708">
        <v>5897</v>
      </c>
      <c r="F6708" t="s">
        <v>23479</v>
      </c>
      <c r="G6708">
        <v>1</v>
      </c>
      <c r="H6708" t="s">
        <v>22319</v>
      </c>
      <c r="J6708" t="s">
        <v>22315</v>
      </c>
      <c r="K6708" t="s">
        <v>81</v>
      </c>
      <c r="L6708" t="s">
        <v>33</v>
      </c>
      <c r="M6708" t="s">
        <v>1944</v>
      </c>
      <c r="N6708" t="s">
        <v>22320</v>
      </c>
      <c r="O6708" t="s">
        <v>22321</v>
      </c>
      <c r="P6708" s="2" t="s">
        <v>26</v>
      </c>
      <c r="Q6708" t="s">
        <v>50</v>
      </c>
      <c r="R6708">
        <v>76.63</v>
      </c>
      <c r="S6708">
        <v>76.94</v>
      </c>
      <c r="T6708" t="s">
        <v>22322</v>
      </c>
    </row>
    <row r="6709" spans="1:20" x14ac:dyDescent="0.25">
      <c r="A6709" s="1" t="str">
        <f>HYPERLINK("https://vegkart.atlas.vegvesen.no/#/@240042.3,6579394.9,18/hva:hva%5B0%5D%5Bfilter%5D%5B0%5D%5Boperator%5D=%21%3D&amp;hva%5B0%5D%5Bfilter%5D%5B0%5D%5Btype_id%5D=5897&amp;hva%5B0%5D%5Bfilter%5D%5B0%5D%5Bverdi%5D=&amp;hva%5B0%5D%5Bid%5D=47/når:2020-11-05", "Vegkart")</f>
        <v>Vegkart</v>
      </c>
      <c r="B6709">
        <v>1013496698</v>
      </c>
      <c r="C6709">
        <v>47</v>
      </c>
      <c r="D6709" t="s">
        <v>16854</v>
      </c>
      <c r="E6709">
        <v>5897</v>
      </c>
      <c r="F6709" t="s">
        <v>23479</v>
      </c>
      <c r="G6709">
        <v>1</v>
      </c>
      <c r="H6709" t="s">
        <v>22319</v>
      </c>
      <c r="J6709" t="s">
        <v>22315</v>
      </c>
      <c r="K6709" t="s">
        <v>81</v>
      </c>
      <c r="L6709" t="s">
        <v>33</v>
      </c>
      <c r="M6709" t="s">
        <v>1944</v>
      </c>
      <c r="N6709" t="s">
        <v>22323</v>
      </c>
      <c r="O6709" t="s">
        <v>22324</v>
      </c>
      <c r="P6709" s="2" t="s">
        <v>26</v>
      </c>
      <c r="Q6709" t="s">
        <v>50</v>
      </c>
      <c r="R6709">
        <v>60.89</v>
      </c>
      <c r="S6709">
        <v>61.32</v>
      </c>
      <c r="T6709" t="s">
        <v>22325</v>
      </c>
    </row>
    <row r="6710" spans="1:20" x14ac:dyDescent="0.25">
      <c r="A6710" s="1" t="str">
        <f>HYPERLINK("https://vegkart.atlas.vegvesen.no/#/@240499.3,6579278.1,18/hva:hva%5B0%5D%5Bfilter%5D%5B0%5D%5Boperator%5D=%21%3D&amp;hva%5B0%5D%5Bfilter%5D%5B0%5D%5Btype_id%5D=5897&amp;hva%5B0%5D%5Bfilter%5D%5B0%5D%5Bverdi%5D=&amp;hva%5B0%5D%5Bid%5D=47/når:2020-11-05", "Vegkart")</f>
        <v>Vegkart</v>
      </c>
      <c r="B6710">
        <v>1013496702</v>
      </c>
      <c r="C6710">
        <v>47</v>
      </c>
      <c r="D6710" t="s">
        <v>16854</v>
      </c>
      <c r="E6710">
        <v>5897</v>
      </c>
      <c r="F6710" t="s">
        <v>23479</v>
      </c>
      <c r="G6710">
        <v>1</v>
      </c>
      <c r="H6710" t="s">
        <v>22319</v>
      </c>
      <c r="J6710" t="s">
        <v>22315</v>
      </c>
      <c r="K6710" t="s">
        <v>81</v>
      </c>
      <c r="L6710" t="s">
        <v>33</v>
      </c>
      <c r="M6710" t="s">
        <v>4891</v>
      </c>
      <c r="N6710" t="s">
        <v>22326</v>
      </c>
      <c r="O6710" t="s">
        <v>22327</v>
      </c>
      <c r="P6710" s="2" t="s">
        <v>26</v>
      </c>
      <c r="Q6710" t="s">
        <v>50</v>
      </c>
      <c r="R6710">
        <v>51.41</v>
      </c>
      <c r="S6710">
        <v>52.54</v>
      </c>
      <c r="T6710" t="s">
        <v>22328</v>
      </c>
    </row>
    <row r="6711" spans="1:20" x14ac:dyDescent="0.25">
      <c r="A6711" s="1" t="str">
        <f>HYPERLINK("https://vegkart.atlas.vegvesen.no/#/@240095.8,6579343.0,18/hva:hva%5B0%5D%5Bfilter%5D%5B0%5D%5Boperator%5D=%21%3D&amp;hva%5B0%5D%5Bfilter%5D%5B0%5D%5Btype_id%5D=5897&amp;hva%5B0%5D%5Bfilter%5D%5B0%5D%5Bverdi%5D=&amp;hva%5B0%5D%5Bid%5D=47/når:2020-11-05", "Vegkart")</f>
        <v>Vegkart</v>
      </c>
      <c r="B6711">
        <v>1013496707</v>
      </c>
      <c r="C6711">
        <v>47</v>
      </c>
      <c r="D6711" t="s">
        <v>16854</v>
      </c>
      <c r="E6711">
        <v>5897</v>
      </c>
      <c r="F6711" t="s">
        <v>23479</v>
      </c>
      <c r="G6711">
        <v>1</v>
      </c>
      <c r="H6711" t="s">
        <v>22319</v>
      </c>
      <c r="J6711" t="s">
        <v>22315</v>
      </c>
      <c r="K6711" t="s">
        <v>81</v>
      </c>
      <c r="L6711" t="s">
        <v>33</v>
      </c>
      <c r="M6711" t="s">
        <v>1944</v>
      </c>
      <c r="N6711" t="s">
        <v>22329</v>
      </c>
      <c r="O6711" t="s">
        <v>22330</v>
      </c>
      <c r="P6711" s="2" t="s">
        <v>26</v>
      </c>
      <c r="Q6711" t="s">
        <v>50</v>
      </c>
      <c r="R6711">
        <v>57.48</v>
      </c>
      <c r="S6711">
        <v>57.96</v>
      </c>
      <c r="T6711" t="s">
        <v>22331</v>
      </c>
    </row>
    <row r="6712" spans="1:20" x14ac:dyDescent="0.25">
      <c r="A6712" s="1" t="str">
        <f>HYPERLINK("https://vegkart.atlas.vegvesen.no/#/@240601.3,6579471.4,18/hva:hva%5B0%5D%5Bfilter%5D%5B0%5D%5Boperator%5D=%21%3D&amp;hva%5B0%5D%5Bfilter%5D%5B0%5D%5Btype_id%5D=5897&amp;hva%5B0%5D%5Bfilter%5D%5B0%5D%5Bverdi%5D=&amp;hva%5B0%5D%5Bid%5D=47/når:2020-11-05", "Vegkart")</f>
        <v>Vegkart</v>
      </c>
      <c r="B6712">
        <v>1013496711</v>
      </c>
      <c r="C6712">
        <v>47</v>
      </c>
      <c r="D6712" t="s">
        <v>16854</v>
      </c>
      <c r="E6712">
        <v>5897</v>
      </c>
      <c r="F6712" t="s">
        <v>23479</v>
      </c>
      <c r="G6712">
        <v>1</v>
      </c>
      <c r="H6712" t="s">
        <v>22319</v>
      </c>
      <c r="J6712" t="s">
        <v>22315</v>
      </c>
      <c r="K6712" t="s">
        <v>81</v>
      </c>
      <c r="L6712" t="s">
        <v>33</v>
      </c>
      <c r="M6712" t="s">
        <v>1944</v>
      </c>
      <c r="N6712" t="s">
        <v>22332</v>
      </c>
      <c r="O6712" t="s">
        <v>22333</v>
      </c>
      <c r="P6712" s="2" t="s">
        <v>26</v>
      </c>
      <c r="Q6712" t="s">
        <v>50</v>
      </c>
      <c r="R6712">
        <v>84.41</v>
      </c>
      <c r="S6712">
        <v>84.46</v>
      </c>
      <c r="T6712" t="s">
        <v>22334</v>
      </c>
    </row>
    <row r="6713" spans="1:20" x14ac:dyDescent="0.25">
      <c r="A6713" s="1" t="str">
        <f>HYPERLINK("https://vegkart.atlas.vegvesen.no/#/@136513.8,6621621.9,18/hva:hva%5B0%5D%5Bfilter%5D%5B0%5D%5Boperator%5D=%21%3D&amp;hva%5B0%5D%5Bfilter%5D%5B0%5D%5Btype_id%5D=5897&amp;hva%5B0%5D%5Bfilter%5D%5B0%5D%5Bverdi%5D=&amp;hva%5B0%5D%5Bid%5D=47/når:2022-11-30", "Vegkart")</f>
        <v>Vegkart</v>
      </c>
      <c r="B6713">
        <v>1013508638</v>
      </c>
      <c r="C6713">
        <v>47</v>
      </c>
      <c r="D6713" t="s">
        <v>16854</v>
      </c>
      <c r="E6713">
        <v>5897</v>
      </c>
      <c r="F6713" t="s">
        <v>23479</v>
      </c>
      <c r="G6713">
        <v>2</v>
      </c>
      <c r="H6713" t="s">
        <v>17992</v>
      </c>
      <c r="J6713" t="s">
        <v>22315</v>
      </c>
      <c r="K6713" t="s">
        <v>197</v>
      </c>
      <c r="L6713" t="s">
        <v>33</v>
      </c>
      <c r="M6713" t="s">
        <v>22335</v>
      </c>
      <c r="N6713" t="s">
        <v>22336</v>
      </c>
      <c r="O6713" t="s">
        <v>22337</v>
      </c>
      <c r="P6713" s="2" t="s">
        <v>165</v>
      </c>
      <c r="Q6713" t="s">
        <v>166</v>
      </c>
      <c r="R6713">
        <v>0</v>
      </c>
      <c r="S6713">
        <v>95.51</v>
      </c>
      <c r="T6713" t="s">
        <v>167</v>
      </c>
    </row>
    <row r="6714" spans="1:20" x14ac:dyDescent="0.25">
      <c r="A6714" s="1" t="str">
        <f>HYPERLINK("https://vegkart.atlas.vegvesen.no/#/@-32344.1,6572387.4,18/hva:hva%5B0%5D%5Bfilter%5D%5B0%5D%5Boperator%5D=%21%3D&amp;hva%5B0%5D%5Bfilter%5D%5B0%5D%5Btype_id%5D=5897&amp;hva%5B0%5D%5Bfilter%5D%5B0%5D%5Bverdi%5D=&amp;hva%5B0%5D%5Bid%5D=47/når:2022-01-25", "Vegkart")</f>
        <v>Vegkart</v>
      </c>
      <c r="B6714">
        <v>1013534932</v>
      </c>
      <c r="C6714">
        <v>47</v>
      </c>
      <c r="D6714" t="s">
        <v>16854</v>
      </c>
      <c r="E6714">
        <v>5897</v>
      </c>
      <c r="F6714" t="s">
        <v>23479</v>
      </c>
      <c r="G6714">
        <v>2</v>
      </c>
      <c r="H6714" t="s">
        <v>19977</v>
      </c>
      <c r="J6714" t="s">
        <v>22315</v>
      </c>
      <c r="K6714" t="s">
        <v>170</v>
      </c>
      <c r="L6714" t="s">
        <v>80</v>
      </c>
      <c r="M6714" t="s">
        <v>81</v>
      </c>
      <c r="N6714" t="s">
        <v>22338</v>
      </c>
      <c r="O6714" t="s">
        <v>22339</v>
      </c>
      <c r="P6714" s="2" t="s">
        <v>26</v>
      </c>
      <c r="Q6714" t="s">
        <v>50</v>
      </c>
      <c r="R6714">
        <v>90.62</v>
      </c>
      <c r="S6714">
        <v>91.19</v>
      </c>
      <c r="T6714" t="s">
        <v>22340</v>
      </c>
    </row>
    <row r="6715" spans="1:20" x14ac:dyDescent="0.25">
      <c r="A6715" s="1" t="str">
        <f>HYPERLINK("https://vegkart.atlas.vegvesen.no/#/@-50760.2,6630105.3,18/hva:hva%5B0%5D%5Bfilter%5D%5B0%5D%5Boperator%5D=%21%3D&amp;hva%5B0%5D%5Bfilter%5D%5B0%5D%5Btype_id%5D=5897&amp;hva%5B0%5D%5Bfilter%5D%5B0%5D%5Bverdi%5D=&amp;hva%5B0%5D%5Bid%5D=47/når:2021-06-16", "Vegkart")</f>
        <v>Vegkart</v>
      </c>
      <c r="B6715">
        <v>1013636335</v>
      </c>
      <c r="C6715">
        <v>47</v>
      </c>
      <c r="D6715" t="s">
        <v>16854</v>
      </c>
      <c r="E6715">
        <v>5897</v>
      </c>
      <c r="F6715" t="s">
        <v>23479</v>
      </c>
      <c r="G6715">
        <v>1</v>
      </c>
      <c r="H6715" t="s">
        <v>22341</v>
      </c>
      <c r="J6715" t="s">
        <v>22315</v>
      </c>
      <c r="K6715" t="s">
        <v>170</v>
      </c>
      <c r="L6715" t="s">
        <v>33</v>
      </c>
      <c r="M6715" t="s">
        <v>2180</v>
      </c>
      <c r="N6715" t="s">
        <v>22342</v>
      </c>
      <c r="O6715" t="s">
        <v>22343</v>
      </c>
      <c r="P6715" s="2" t="s">
        <v>26</v>
      </c>
      <c r="Q6715" t="s">
        <v>50</v>
      </c>
      <c r="R6715">
        <v>71.209999999999994</v>
      </c>
      <c r="S6715">
        <v>72.099999999999994</v>
      </c>
      <c r="T6715" t="s">
        <v>22344</v>
      </c>
    </row>
    <row r="6716" spans="1:20" x14ac:dyDescent="0.25">
      <c r="A6716" s="1" t="str">
        <f>HYPERLINK("https://vegkart.atlas.vegvesen.no/#/@-50690.1,6629788.8,18/hva:hva%5B0%5D%5Bfilter%5D%5B0%5D%5Boperator%5D=%21%3D&amp;hva%5B0%5D%5Bfilter%5D%5B0%5D%5Btype_id%5D=5897&amp;hva%5B0%5D%5Bfilter%5D%5B0%5D%5Bverdi%5D=&amp;hva%5B0%5D%5Bid%5D=47/når:2021-06-16", "Vegkart")</f>
        <v>Vegkart</v>
      </c>
      <c r="B6716">
        <v>1013636336</v>
      </c>
      <c r="C6716">
        <v>47</v>
      </c>
      <c r="D6716" t="s">
        <v>16854</v>
      </c>
      <c r="E6716">
        <v>5897</v>
      </c>
      <c r="F6716" t="s">
        <v>23479</v>
      </c>
      <c r="G6716">
        <v>1</v>
      </c>
      <c r="H6716" t="s">
        <v>22341</v>
      </c>
      <c r="J6716" t="s">
        <v>22315</v>
      </c>
      <c r="K6716" t="s">
        <v>170</v>
      </c>
      <c r="L6716" t="s">
        <v>33</v>
      </c>
      <c r="M6716" t="s">
        <v>2180</v>
      </c>
      <c r="N6716" t="s">
        <v>22345</v>
      </c>
      <c r="O6716" t="s">
        <v>22346</v>
      </c>
      <c r="P6716" s="2" t="s">
        <v>26</v>
      </c>
      <c r="Q6716" t="s">
        <v>50</v>
      </c>
      <c r="R6716">
        <v>72.02</v>
      </c>
      <c r="S6716">
        <v>72.66</v>
      </c>
      <c r="T6716" t="s">
        <v>22347</v>
      </c>
    </row>
    <row r="6717" spans="1:20" x14ac:dyDescent="0.25">
      <c r="A6717" s="1" t="str">
        <f>HYPERLINK("https://vegkart.atlas.vegvesen.no/#/@-50669.2,6629621.1,18/hva:hva%5B0%5D%5Bfilter%5D%5B0%5D%5Boperator%5D=%21%3D&amp;hva%5B0%5D%5Bfilter%5D%5B0%5D%5Btype_id%5D=5897&amp;hva%5B0%5D%5Bfilter%5D%5B0%5D%5Bverdi%5D=&amp;hva%5B0%5D%5Bid%5D=47/når:2021-06-16", "Vegkart")</f>
        <v>Vegkart</v>
      </c>
      <c r="B6717">
        <v>1013636337</v>
      </c>
      <c r="C6717">
        <v>47</v>
      </c>
      <c r="D6717" t="s">
        <v>16854</v>
      </c>
      <c r="E6717">
        <v>5897</v>
      </c>
      <c r="F6717" t="s">
        <v>23479</v>
      </c>
      <c r="G6717">
        <v>1</v>
      </c>
      <c r="H6717" t="s">
        <v>22341</v>
      </c>
      <c r="J6717" t="s">
        <v>22315</v>
      </c>
      <c r="K6717" t="s">
        <v>170</v>
      </c>
      <c r="L6717" t="s">
        <v>33</v>
      </c>
      <c r="M6717" t="s">
        <v>2180</v>
      </c>
      <c r="N6717" t="s">
        <v>22348</v>
      </c>
      <c r="O6717" t="s">
        <v>22349</v>
      </c>
      <c r="P6717" s="2" t="s">
        <v>26</v>
      </c>
      <c r="Q6717" t="s">
        <v>50</v>
      </c>
      <c r="R6717">
        <v>99.67</v>
      </c>
      <c r="S6717">
        <v>99.86</v>
      </c>
      <c r="T6717" t="s">
        <v>22350</v>
      </c>
    </row>
    <row r="6718" spans="1:20" x14ac:dyDescent="0.25">
      <c r="A6718" s="1" t="str">
        <f>HYPERLINK("https://vegkart.atlas.vegvesen.no/#/@-50779.1,6630102.1,18/hva:hva%5B0%5D%5Bfilter%5D%5B0%5D%5Boperator%5D=%21%3D&amp;hva%5B0%5D%5Bfilter%5D%5B0%5D%5Btype_id%5D=5897&amp;hva%5B0%5D%5Bfilter%5D%5B0%5D%5Bverdi%5D=&amp;hva%5B0%5D%5Bid%5D=47/når:2021-06-16", "Vegkart")</f>
        <v>Vegkart</v>
      </c>
      <c r="B6718">
        <v>1013636338</v>
      </c>
      <c r="C6718">
        <v>47</v>
      </c>
      <c r="D6718" t="s">
        <v>16854</v>
      </c>
      <c r="E6718">
        <v>5897</v>
      </c>
      <c r="F6718" t="s">
        <v>23479</v>
      </c>
      <c r="G6718">
        <v>1</v>
      </c>
      <c r="H6718" t="s">
        <v>22341</v>
      </c>
      <c r="J6718" t="s">
        <v>22315</v>
      </c>
      <c r="K6718" t="s">
        <v>170</v>
      </c>
      <c r="L6718" t="s">
        <v>33</v>
      </c>
      <c r="M6718" t="s">
        <v>2180</v>
      </c>
      <c r="N6718" t="s">
        <v>22351</v>
      </c>
      <c r="O6718" t="s">
        <v>22352</v>
      </c>
      <c r="P6718" s="2" t="s">
        <v>26</v>
      </c>
      <c r="Q6718" t="s">
        <v>50</v>
      </c>
      <c r="R6718">
        <v>72.88</v>
      </c>
      <c r="S6718">
        <v>73.98</v>
      </c>
      <c r="T6718" t="s">
        <v>22353</v>
      </c>
    </row>
    <row r="6719" spans="1:20" x14ac:dyDescent="0.25">
      <c r="A6719" s="1" t="str">
        <f>HYPERLINK("https://vegkart.atlas.vegvesen.no/#/@-34290.7,6583096.4,18/hva:hva%5B0%5D%5Bfilter%5D%5B0%5D%5Boperator%5D=%21%3D&amp;hva%5B0%5D%5Bfilter%5D%5B0%5D%5Btype_id%5D=5897&amp;hva%5B0%5D%5Bfilter%5D%5B0%5D%5Bverdi%5D=&amp;hva%5B0%5D%5Bid%5D=47/når:2021-06-21", "Vegkart")</f>
        <v>Vegkart</v>
      </c>
      <c r="B6719">
        <v>1013653244</v>
      </c>
      <c r="C6719">
        <v>47</v>
      </c>
      <c r="D6719" t="s">
        <v>16854</v>
      </c>
      <c r="E6719">
        <v>5897</v>
      </c>
      <c r="F6719" t="s">
        <v>23479</v>
      </c>
      <c r="G6719">
        <v>1</v>
      </c>
      <c r="H6719" t="s">
        <v>17108</v>
      </c>
      <c r="J6719" t="s">
        <v>22315</v>
      </c>
      <c r="K6719" t="s">
        <v>170</v>
      </c>
      <c r="L6719" t="s">
        <v>33</v>
      </c>
      <c r="M6719" t="s">
        <v>22354</v>
      </c>
      <c r="N6719" t="s">
        <v>22355</v>
      </c>
      <c r="O6719" t="s">
        <v>22356</v>
      </c>
      <c r="P6719" s="2" t="s">
        <v>26</v>
      </c>
      <c r="Q6719" t="s">
        <v>50</v>
      </c>
      <c r="R6719">
        <v>12.42</v>
      </c>
      <c r="S6719">
        <v>12.42</v>
      </c>
      <c r="T6719" t="s">
        <v>22357</v>
      </c>
    </row>
    <row r="6720" spans="1:20" x14ac:dyDescent="0.25">
      <c r="A6720" s="1" t="str">
        <f>HYPERLINK("https://vegkart.atlas.vegvesen.no/#/@-32446.0,6574304.4,18/hva:hva%5B0%5D%5Bfilter%5D%5B0%5D%5Boperator%5D=%21%3D&amp;hva%5B0%5D%5Bfilter%5D%5B0%5D%5Btype_id%5D=5897&amp;hva%5B0%5D%5Bfilter%5D%5B0%5D%5Bverdi%5D=&amp;hva%5B0%5D%5Bid%5D=47/når:2021-06-23", "Vegkart")</f>
        <v>Vegkart</v>
      </c>
      <c r="B6720">
        <v>1013678159</v>
      </c>
      <c r="C6720">
        <v>47</v>
      </c>
      <c r="D6720" t="s">
        <v>16854</v>
      </c>
      <c r="E6720">
        <v>5897</v>
      </c>
      <c r="F6720" t="s">
        <v>23479</v>
      </c>
      <c r="G6720">
        <v>1</v>
      </c>
      <c r="H6720" t="s">
        <v>22358</v>
      </c>
      <c r="J6720" t="s">
        <v>22315</v>
      </c>
      <c r="K6720" t="s">
        <v>170</v>
      </c>
      <c r="L6720" t="s">
        <v>33</v>
      </c>
      <c r="M6720" t="s">
        <v>22359</v>
      </c>
      <c r="N6720" t="s">
        <v>22360</v>
      </c>
      <c r="O6720" t="s">
        <v>22361</v>
      </c>
      <c r="P6720" s="2" t="s">
        <v>26</v>
      </c>
      <c r="Q6720" t="s">
        <v>50</v>
      </c>
      <c r="R6720">
        <v>69.52</v>
      </c>
      <c r="S6720">
        <v>70.91</v>
      </c>
      <c r="T6720" t="s">
        <v>22362</v>
      </c>
    </row>
    <row r="6721" spans="1:20" x14ac:dyDescent="0.25">
      <c r="A6721" s="1" t="str">
        <f>HYPERLINK("https://vegkart.atlas.vegvesen.no/#/@-49358.3,6626752.1,18/hva:hva%5B0%5D%5Bfilter%5D%5B0%5D%5Boperator%5D=%21%3D&amp;hva%5B0%5D%5Bfilter%5D%5B0%5D%5Btype_id%5D=5897&amp;hva%5B0%5D%5Bfilter%5D%5B0%5D%5Bverdi%5D=&amp;hva%5B0%5D%5Bid%5D=47/når:2021-07-05", "Vegkart")</f>
        <v>Vegkart</v>
      </c>
      <c r="B6721">
        <v>1013763402</v>
      </c>
      <c r="C6721">
        <v>47</v>
      </c>
      <c r="D6721" t="s">
        <v>16854</v>
      </c>
      <c r="E6721">
        <v>5897</v>
      </c>
      <c r="F6721" t="s">
        <v>23479</v>
      </c>
      <c r="G6721">
        <v>1</v>
      </c>
      <c r="H6721" t="s">
        <v>22363</v>
      </c>
      <c r="J6721" t="s">
        <v>22315</v>
      </c>
      <c r="K6721" t="s">
        <v>170</v>
      </c>
      <c r="L6721" t="s">
        <v>33</v>
      </c>
      <c r="M6721" t="s">
        <v>22364</v>
      </c>
      <c r="N6721" t="s">
        <v>22365</v>
      </c>
      <c r="O6721" t="s">
        <v>22366</v>
      </c>
      <c r="P6721" s="2" t="s">
        <v>26</v>
      </c>
      <c r="Q6721" t="s">
        <v>50</v>
      </c>
      <c r="R6721">
        <v>55.38</v>
      </c>
      <c r="S6721">
        <v>62.39</v>
      </c>
      <c r="T6721" t="s">
        <v>22367</v>
      </c>
    </row>
    <row r="6722" spans="1:20" x14ac:dyDescent="0.25">
      <c r="A6722" s="1" t="str">
        <f>HYPERLINK("https://vegkart.atlas.vegvesen.no/#/@-49400.3,6626810.0,18/hva:hva%5B0%5D%5Bfilter%5D%5B0%5D%5Boperator%5D=%21%3D&amp;hva%5B0%5D%5Bfilter%5D%5B0%5D%5Btype_id%5D=5897&amp;hva%5B0%5D%5Bfilter%5D%5B0%5D%5Bverdi%5D=&amp;hva%5B0%5D%5Bid%5D=47/når:2021-07-05", "Vegkart")</f>
        <v>Vegkart</v>
      </c>
      <c r="B6722">
        <v>1013763403</v>
      </c>
      <c r="C6722">
        <v>47</v>
      </c>
      <c r="D6722" t="s">
        <v>16854</v>
      </c>
      <c r="E6722">
        <v>5897</v>
      </c>
      <c r="F6722" t="s">
        <v>23479</v>
      </c>
      <c r="G6722">
        <v>1</v>
      </c>
      <c r="H6722" t="s">
        <v>22363</v>
      </c>
      <c r="J6722" t="s">
        <v>22315</v>
      </c>
      <c r="K6722" t="s">
        <v>170</v>
      </c>
      <c r="L6722" t="s">
        <v>33</v>
      </c>
      <c r="M6722" t="s">
        <v>22364</v>
      </c>
      <c r="N6722" t="s">
        <v>22368</v>
      </c>
      <c r="O6722" t="s">
        <v>22369</v>
      </c>
      <c r="P6722" s="2" t="s">
        <v>26</v>
      </c>
      <c r="Q6722" t="s">
        <v>50</v>
      </c>
      <c r="R6722">
        <v>51.73</v>
      </c>
      <c r="S6722">
        <v>53.48</v>
      </c>
      <c r="T6722" t="s">
        <v>22370</v>
      </c>
    </row>
    <row r="6723" spans="1:20" x14ac:dyDescent="0.25">
      <c r="A6723" s="1" t="str">
        <f>HYPERLINK("https://vegkart.atlas.vegvesen.no/#/@-35468.9,6567855.4,18/hva:hva%5B0%5D%5Bfilter%5D%5B0%5D%5Boperator%5D=%21%3D&amp;hva%5B0%5D%5Bfilter%5D%5B0%5D%5Btype_id%5D=5897&amp;hva%5B0%5D%5Bfilter%5D%5B0%5D%5Bverdi%5D=&amp;hva%5B0%5D%5Bid%5D=47/når:2021-07-05", "Vegkart")</f>
        <v>Vegkart</v>
      </c>
      <c r="B6723">
        <v>1013766445</v>
      </c>
      <c r="C6723">
        <v>47</v>
      </c>
      <c r="D6723" t="s">
        <v>16854</v>
      </c>
      <c r="E6723">
        <v>5897</v>
      </c>
      <c r="F6723" t="s">
        <v>23479</v>
      </c>
      <c r="G6723">
        <v>1</v>
      </c>
      <c r="H6723" t="s">
        <v>22363</v>
      </c>
      <c r="J6723" t="s">
        <v>22315</v>
      </c>
      <c r="K6723" t="s">
        <v>170</v>
      </c>
      <c r="L6723" t="s">
        <v>33</v>
      </c>
      <c r="M6723" t="s">
        <v>9623</v>
      </c>
      <c r="N6723" t="s">
        <v>22371</v>
      </c>
      <c r="O6723" t="s">
        <v>22372</v>
      </c>
      <c r="P6723" s="2" t="s">
        <v>26</v>
      </c>
      <c r="Q6723" t="s">
        <v>50</v>
      </c>
      <c r="R6723">
        <v>40.130000000000003</v>
      </c>
      <c r="S6723">
        <v>40.130000000000003</v>
      </c>
      <c r="T6723" t="s">
        <v>22373</v>
      </c>
    </row>
    <row r="6724" spans="1:20" x14ac:dyDescent="0.25">
      <c r="A6724" s="1" t="str">
        <f>HYPERLINK("https://vegkart.atlas.vegvesen.no/#/@-35298.3,6568938.9,18/hva:hva%5B0%5D%5Bfilter%5D%5B0%5D%5Boperator%5D=%21%3D&amp;hva%5B0%5D%5Bfilter%5D%5B0%5D%5Btype_id%5D=5897&amp;hva%5B0%5D%5Bfilter%5D%5B0%5D%5Bverdi%5D=&amp;hva%5B0%5D%5Bid%5D=47/når:2021-07-05", "Vegkart")</f>
        <v>Vegkart</v>
      </c>
      <c r="B6724">
        <v>1013766446</v>
      </c>
      <c r="C6724">
        <v>47</v>
      </c>
      <c r="D6724" t="s">
        <v>16854</v>
      </c>
      <c r="E6724">
        <v>5897</v>
      </c>
      <c r="F6724" t="s">
        <v>23479</v>
      </c>
      <c r="G6724">
        <v>1</v>
      </c>
      <c r="H6724" t="s">
        <v>22363</v>
      </c>
      <c r="J6724" t="s">
        <v>22315</v>
      </c>
      <c r="K6724" t="s">
        <v>170</v>
      </c>
      <c r="L6724" t="s">
        <v>33</v>
      </c>
      <c r="M6724" t="s">
        <v>22374</v>
      </c>
      <c r="N6724" t="s">
        <v>22375</v>
      </c>
      <c r="O6724" t="s">
        <v>22376</v>
      </c>
      <c r="P6724" s="2" t="s">
        <v>26</v>
      </c>
      <c r="Q6724" t="s">
        <v>50</v>
      </c>
      <c r="R6724">
        <v>69.81</v>
      </c>
      <c r="S6724">
        <v>70.37</v>
      </c>
      <c r="T6724" t="s">
        <v>22377</v>
      </c>
    </row>
    <row r="6725" spans="1:20" x14ac:dyDescent="0.25">
      <c r="A6725" s="1" t="str">
        <f>HYPERLINK("https://vegkart.atlas.vegvesen.no/#/@-34282.1,6583158.7,18/hva:hva%5B0%5D%5Bfilter%5D%5B0%5D%5Boperator%5D=%21%3D&amp;hva%5B0%5D%5Bfilter%5D%5B0%5D%5Btype_id%5D=5897&amp;hva%5B0%5D%5Bfilter%5D%5B0%5D%5Bverdi%5D=&amp;hva%5B0%5D%5Bid%5D=47/når:2021-07-14", "Vegkart")</f>
        <v>Vegkart</v>
      </c>
      <c r="B6725">
        <v>1013801278</v>
      </c>
      <c r="C6725">
        <v>47</v>
      </c>
      <c r="D6725" t="s">
        <v>16854</v>
      </c>
      <c r="E6725">
        <v>5897</v>
      </c>
      <c r="F6725" t="s">
        <v>23479</v>
      </c>
      <c r="G6725">
        <v>1</v>
      </c>
      <c r="H6725" t="s">
        <v>22378</v>
      </c>
      <c r="J6725" t="s">
        <v>22315</v>
      </c>
      <c r="K6725" t="s">
        <v>170</v>
      </c>
      <c r="L6725" t="s">
        <v>33</v>
      </c>
      <c r="M6725" t="s">
        <v>22354</v>
      </c>
      <c r="N6725" t="s">
        <v>22379</v>
      </c>
      <c r="O6725" t="s">
        <v>22380</v>
      </c>
      <c r="P6725" s="2" t="s">
        <v>26</v>
      </c>
      <c r="Q6725" t="s">
        <v>50</v>
      </c>
      <c r="R6725">
        <v>28.25</v>
      </c>
      <c r="S6725">
        <v>28.25</v>
      </c>
      <c r="T6725" t="s">
        <v>22381</v>
      </c>
    </row>
    <row r="6726" spans="1:20" x14ac:dyDescent="0.25">
      <c r="A6726" s="1" t="str">
        <f>HYPERLINK("https://vegkart.atlas.vegvesen.no/#/@-17402.2,6591156.9,18/hva:hva%5B0%5D%5Bfilter%5D%5B0%5D%5Boperator%5D=%21%3D&amp;hva%5B0%5D%5Bfilter%5D%5B0%5D%5Btype_id%5D=5897&amp;hva%5B0%5D%5Bfilter%5D%5B0%5D%5Bverdi%5D=&amp;hva%5B0%5D%5Bid%5D=47/når:2021-07-16", "Vegkart")</f>
        <v>Vegkart</v>
      </c>
      <c r="B6726">
        <v>1013814475</v>
      </c>
      <c r="C6726">
        <v>47</v>
      </c>
      <c r="D6726" t="s">
        <v>16854</v>
      </c>
      <c r="E6726">
        <v>5897</v>
      </c>
      <c r="F6726" t="s">
        <v>23479</v>
      </c>
      <c r="G6726">
        <v>1</v>
      </c>
      <c r="H6726" t="s">
        <v>22382</v>
      </c>
      <c r="J6726" t="s">
        <v>22315</v>
      </c>
      <c r="K6726" t="s">
        <v>170</v>
      </c>
      <c r="L6726" t="s">
        <v>33</v>
      </c>
      <c r="M6726" t="s">
        <v>22383</v>
      </c>
      <c r="N6726" t="s">
        <v>22384</v>
      </c>
      <c r="O6726" t="s">
        <v>22385</v>
      </c>
      <c r="P6726" s="2" t="s">
        <v>26</v>
      </c>
      <c r="Q6726" t="s">
        <v>50</v>
      </c>
      <c r="R6726">
        <v>36.01</v>
      </c>
      <c r="S6726">
        <v>36.01</v>
      </c>
      <c r="T6726" t="s">
        <v>22386</v>
      </c>
    </row>
    <row r="6727" spans="1:20" x14ac:dyDescent="0.25">
      <c r="A6727" s="1" t="str">
        <f>HYPERLINK("https://vegkart.atlas.vegvesen.no/#/@-17347.8,6591440.0,18/hva:hva%5B0%5D%5Bfilter%5D%5B0%5D%5Boperator%5D=%21%3D&amp;hva%5B0%5D%5Bfilter%5D%5B0%5D%5Btype_id%5D=5897&amp;hva%5B0%5D%5Bfilter%5D%5B0%5D%5Bverdi%5D=&amp;hva%5B0%5D%5Bid%5D=47/når:2021-07-16", "Vegkart")</f>
        <v>Vegkart</v>
      </c>
      <c r="B6727">
        <v>1013814490</v>
      </c>
      <c r="C6727">
        <v>47</v>
      </c>
      <c r="D6727" t="s">
        <v>16854</v>
      </c>
      <c r="E6727">
        <v>5897</v>
      </c>
      <c r="F6727" t="s">
        <v>23479</v>
      </c>
      <c r="G6727">
        <v>1</v>
      </c>
      <c r="H6727" t="s">
        <v>22382</v>
      </c>
      <c r="J6727" t="s">
        <v>22315</v>
      </c>
      <c r="K6727" t="s">
        <v>170</v>
      </c>
      <c r="L6727" t="s">
        <v>33</v>
      </c>
      <c r="M6727" t="s">
        <v>22383</v>
      </c>
      <c r="N6727" t="s">
        <v>22387</v>
      </c>
      <c r="O6727" t="s">
        <v>22388</v>
      </c>
      <c r="P6727" s="2" t="s">
        <v>26</v>
      </c>
      <c r="Q6727" t="s">
        <v>50</v>
      </c>
      <c r="R6727">
        <v>11.35</v>
      </c>
      <c r="S6727">
        <v>11.35</v>
      </c>
      <c r="T6727" t="s">
        <v>22389</v>
      </c>
    </row>
    <row r="6728" spans="1:20" x14ac:dyDescent="0.25">
      <c r="A6728" s="1" t="str">
        <f>HYPERLINK("https://vegkart.atlas.vegvesen.no/#/@-31523.3,6571207.5,18/hva:hva%5B0%5D%5Bfilter%5D%5B0%5D%5Boperator%5D=%21%3D&amp;hva%5B0%5D%5Bfilter%5D%5B0%5D%5Btype_id%5D=5897&amp;hva%5B0%5D%5Bfilter%5D%5B0%5D%5Bverdi%5D=&amp;hva%5B0%5D%5Bid%5D=47/når:2021-07-19", "Vegkart")</f>
        <v>Vegkart</v>
      </c>
      <c r="B6728">
        <v>1013820875</v>
      </c>
      <c r="C6728">
        <v>47</v>
      </c>
      <c r="D6728" t="s">
        <v>16854</v>
      </c>
      <c r="E6728">
        <v>5897</v>
      </c>
      <c r="F6728" t="s">
        <v>23479</v>
      </c>
      <c r="G6728">
        <v>1</v>
      </c>
      <c r="H6728" t="s">
        <v>644</v>
      </c>
      <c r="J6728" t="s">
        <v>22315</v>
      </c>
      <c r="K6728" t="s">
        <v>170</v>
      </c>
      <c r="L6728" t="s">
        <v>33</v>
      </c>
      <c r="M6728" t="s">
        <v>414</v>
      </c>
      <c r="N6728" t="s">
        <v>22390</v>
      </c>
      <c r="O6728" t="s">
        <v>22391</v>
      </c>
      <c r="P6728" s="2" t="s">
        <v>26</v>
      </c>
      <c r="Q6728" t="s">
        <v>50</v>
      </c>
      <c r="R6728">
        <v>48.21</v>
      </c>
      <c r="S6728">
        <v>48.21</v>
      </c>
      <c r="T6728" t="s">
        <v>22392</v>
      </c>
    </row>
    <row r="6729" spans="1:20" x14ac:dyDescent="0.25">
      <c r="A6729" s="1" t="str">
        <f>HYPERLINK("https://vegkart.atlas.vegvesen.no/#/@-31543.7,6571237.4,18/hva:hva%5B0%5D%5Bfilter%5D%5B0%5D%5Boperator%5D=%21%3D&amp;hva%5B0%5D%5Bfilter%5D%5B0%5D%5Btype_id%5D=5897&amp;hva%5B0%5D%5Bfilter%5D%5B0%5D%5Bverdi%5D=&amp;hva%5B0%5D%5Bid%5D=47/når:2021-07-19", "Vegkart")</f>
        <v>Vegkart</v>
      </c>
      <c r="B6729">
        <v>1013820884</v>
      </c>
      <c r="C6729">
        <v>47</v>
      </c>
      <c r="D6729" t="s">
        <v>16854</v>
      </c>
      <c r="E6729">
        <v>5897</v>
      </c>
      <c r="F6729" t="s">
        <v>23479</v>
      </c>
      <c r="G6729">
        <v>1</v>
      </c>
      <c r="H6729" t="s">
        <v>644</v>
      </c>
      <c r="J6729" t="s">
        <v>22315</v>
      </c>
      <c r="K6729" t="s">
        <v>170</v>
      </c>
      <c r="L6729" t="s">
        <v>33</v>
      </c>
      <c r="M6729" t="s">
        <v>414</v>
      </c>
      <c r="N6729" t="s">
        <v>22393</v>
      </c>
      <c r="O6729" t="s">
        <v>22394</v>
      </c>
      <c r="P6729" s="2" t="s">
        <v>26</v>
      </c>
      <c r="Q6729" t="s">
        <v>50</v>
      </c>
      <c r="R6729">
        <v>44.27</v>
      </c>
      <c r="S6729">
        <v>44.27</v>
      </c>
      <c r="T6729" t="s">
        <v>22395</v>
      </c>
    </row>
    <row r="6730" spans="1:20" x14ac:dyDescent="0.25">
      <c r="A6730" s="1" t="str">
        <f>HYPERLINK("https://vegkart.atlas.vegvesen.no/#/@214801.6,6569031.5,18/hva:hva%5B0%5D%5Bfilter%5D%5B0%5D%5Boperator%5D=%21%3D&amp;hva%5B0%5D%5Bfilter%5D%5B0%5D%5Btype_id%5D=5897&amp;hva%5B0%5D%5Bfilter%5D%5B0%5D%5Bverdi%5D=&amp;hva%5B0%5D%5Bid%5D=47/når:2023-03-28", "Vegkart")</f>
        <v>Vegkart</v>
      </c>
      <c r="B6730">
        <v>1013846688</v>
      </c>
      <c r="C6730">
        <v>47</v>
      </c>
      <c r="D6730" t="s">
        <v>16854</v>
      </c>
      <c r="E6730">
        <v>5897</v>
      </c>
      <c r="F6730" t="s">
        <v>23479</v>
      </c>
      <c r="G6730">
        <v>2</v>
      </c>
      <c r="H6730" t="s">
        <v>19070</v>
      </c>
      <c r="J6730" t="s">
        <v>22315</v>
      </c>
      <c r="K6730" t="s">
        <v>81</v>
      </c>
      <c r="L6730" t="s">
        <v>33</v>
      </c>
      <c r="M6730" t="s">
        <v>197</v>
      </c>
      <c r="N6730" t="s">
        <v>22396</v>
      </c>
      <c r="O6730" t="s">
        <v>22397</v>
      </c>
      <c r="P6730" s="2" t="s">
        <v>165</v>
      </c>
      <c r="Q6730" t="s">
        <v>166</v>
      </c>
      <c r="R6730">
        <v>64.150000000000006</v>
      </c>
      <c r="S6730">
        <v>64.150000000000006</v>
      </c>
      <c r="T6730" t="s">
        <v>167</v>
      </c>
    </row>
    <row r="6731" spans="1:20" x14ac:dyDescent="0.25">
      <c r="A6731" s="1" t="str">
        <f>HYPERLINK("https://vegkart.atlas.vegvesen.no/#/@-39887.5,6621292.3,18/hva:hva%5B0%5D%5Bfilter%5D%5B0%5D%5Boperator%5D=%21%3D&amp;hva%5B0%5D%5Bfilter%5D%5B0%5D%5Btype_id%5D=5897&amp;hva%5B0%5D%5Bfilter%5D%5B0%5D%5Bverdi%5D=&amp;hva%5B0%5D%5Bid%5D=47/når:2021-08-12", "Vegkart")</f>
        <v>Vegkart</v>
      </c>
      <c r="B6731">
        <v>1013916778</v>
      </c>
      <c r="C6731">
        <v>47</v>
      </c>
      <c r="D6731" t="s">
        <v>16854</v>
      </c>
      <c r="E6731">
        <v>5897</v>
      </c>
      <c r="F6731" t="s">
        <v>23479</v>
      </c>
      <c r="G6731">
        <v>1</v>
      </c>
      <c r="H6731" t="s">
        <v>22398</v>
      </c>
      <c r="J6731" t="s">
        <v>22399</v>
      </c>
      <c r="K6731" t="s">
        <v>170</v>
      </c>
      <c r="L6731" t="s">
        <v>33</v>
      </c>
      <c r="M6731" t="s">
        <v>12901</v>
      </c>
      <c r="N6731" t="s">
        <v>22400</v>
      </c>
      <c r="O6731" t="s">
        <v>22401</v>
      </c>
      <c r="P6731" s="2" t="s">
        <v>26</v>
      </c>
      <c r="Q6731" t="s">
        <v>50</v>
      </c>
      <c r="R6731">
        <v>46.69</v>
      </c>
      <c r="S6731">
        <v>48.13</v>
      </c>
      <c r="T6731" t="s">
        <v>22402</v>
      </c>
    </row>
    <row r="6732" spans="1:20" x14ac:dyDescent="0.25">
      <c r="A6732" s="1" t="str">
        <f>HYPERLINK("https://vegkart.atlas.vegvesen.no/#/@-39899.8,6621218.0,18/hva:hva%5B0%5D%5Bfilter%5D%5B0%5D%5Boperator%5D=%21%3D&amp;hva%5B0%5D%5Bfilter%5D%5B0%5D%5Btype_id%5D=5897&amp;hva%5B0%5D%5Bfilter%5D%5B0%5D%5Bverdi%5D=&amp;hva%5B0%5D%5Bid%5D=47/når:2021-08-12", "Vegkart")</f>
        <v>Vegkart</v>
      </c>
      <c r="B6732">
        <v>1013916779</v>
      </c>
      <c r="C6732">
        <v>47</v>
      </c>
      <c r="D6732" t="s">
        <v>16854</v>
      </c>
      <c r="E6732">
        <v>5897</v>
      </c>
      <c r="F6732" t="s">
        <v>23479</v>
      </c>
      <c r="G6732">
        <v>1</v>
      </c>
      <c r="H6732" t="s">
        <v>22398</v>
      </c>
      <c r="J6732" t="s">
        <v>22399</v>
      </c>
      <c r="K6732" t="s">
        <v>170</v>
      </c>
      <c r="L6732" t="s">
        <v>33</v>
      </c>
      <c r="M6732" t="s">
        <v>12901</v>
      </c>
      <c r="N6732" t="s">
        <v>22403</v>
      </c>
      <c r="O6732" t="s">
        <v>22404</v>
      </c>
      <c r="P6732" s="2" t="s">
        <v>26</v>
      </c>
      <c r="Q6732" t="s">
        <v>50</v>
      </c>
      <c r="R6732">
        <v>53.72</v>
      </c>
      <c r="S6732">
        <v>54.2</v>
      </c>
      <c r="T6732" t="s">
        <v>22405</v>
      </c>
    </row>
    <row r="6733" spans="1:20" x14ac:dyDescent="0.25">
      <c r="A6733" s="1" t="str">
        <f>HYPERLINK("https://vegkart.atlas.vegvesen.no/#/@57240.9,6890080.8,18/hva:hva%5B0%5D%5Bfilter%5D%5B0%5D%5Boperator%5D=%21%3D&amp;hva%5B0%5D%5Bfilter%5D%5B0%5D%5Btype_id%5D=5897&amp;hva%5B0%5D%5Bfilter%5D%5B0%5D%5Bverdi%5D=&amp;hva%5B0%5D%5Bid%5D=47/når:2021-08-13", "Vegkart")</f>
        <v>Vegkart</v>
      </c>
      <c r="B6733">
        <v>1013917967</v>
      </c>
      <c r="C6733">
        <v>47</v>
      </c>
      <c r="D6733" t="s">
        <v>16854</v>
      </c>
      <c r="E6733">
        <v>5897</v>
      </c>
      <c r="F6733" t="s">
        <v>23479</v>
      </c>
      <c r="G6733">
        <v>1</v>
      </c>
      <c r="H6733" t="s">
        <v>22406</v>
      </c>
      <c r="J6733" t="s">
        <v>22399</v>
      </c>
      <c r="K6733" t="s">
        <v>21</v>
      </c>
      <c r="L6733" t="s">
        <v>33</v>
      </c>
      <c r="M6733" t="s">
        <v>22407</v>
      </c>
      <c r="N6733" t="s">
        <v>22408</v>
      </c>
      <c r="O6733" t="s">
        <v>22409</v>
      </c>
      <c r="P6733" s="2" t="s">
        <v>26</v>
      </c>
      <c r="Q6733" t="s">
        <v>50</v>
      </c>
      <c r="R6733">
        <v>54.83</v>
      </c>
      <c r="S6733">
        <v>55.38</v>
      </c>
      <c r="T6733" t="s">
        <v>22410</v>
      </c>
    </row>
    <row r="6734" spans="1:20" x14ac:dyDescent="0.25">
      <c r="A6734" s="1" t="str">
        <f>HYPERLINK("https://vegkart.atlas.vegvesen.no/#/@59299.5,6890714.0,18/hva:hva%5B0%5D%5Bfilter%5D%5B0%5D%5Boperator%5D=%21%3D&amp;hva%5B0%5D%5Bfilter%5D%5B0%5D%5Btype_id%5D=5897&amp;hva%5B0%5D%5Bfilter%5D%5B0%5D%5Bverdi%5D=&amp;hva%5B0%5D%5Bid%5D=47/når:2021-08-13", "Vegkart")</f>
        <v>Vegkart</v>
      </c>
      <c r="B6734">
        <v>1013917973</v>
      </c>
      <c r="C6734">
        <v>47</v>
      </c>
      <c r="D6734" t="s">
        <v>16854</v>
      </c>
      <c r="E6734">
        <v>5897</v>
      </c>
      <c r="F6734" t="s">
        <v>23479</v>
      </c>
      <c r="G6734">
        <v>1</v>
      </c>
      <c r="H6734" t="s">
        <v>22406</v>
      </c>
      <c r="J6734" t="s">
        <v>22399</v>
      </c>
      <c r="K6734" t="s">
        <v>21</v>
      </c>
      <c r="L6734" t="s">
        <v>33</v>
      </c>
      <c r="M6734" t="s">
        <v>22407</v>
      </c>
      <c r="N6734" t="s">
        <v>22411</v>
      </c>
      <c r="O6734" t="s">
        <v>22412</v>
      </c>
      <c r="P6734" s="2" t="s">
        <v>26</v>
      </c>
      <c r="Q6734" t="s">
        <v>50</v>
      </c>
      <c r="R6734">
        <v>66.959999999999994</v>
      </c>
      <c r="S6734">
        <v>67.53</v>
      </c>
      <c r="T6734" t="s">
        <v>22413</v>
      </c>
    </row>
    <row r="6735" spans="1:20" x14ac:dyDescent="0.25">
      <c r="A6735" s="1" t="str">
        <f>HYPERLINK("https://vegkart.atlas.vegvesen.no/#/@261843.7,6621680.5,18/hva:hva%5B0%5D%5Bfilter%5D%5B0%5D%5Boperator%5D=%21%3D&amp;hva%5B0%5D%5Bfilter%5D%5B0%5D%5Btype_id%5D=5897&amp;hva%5B0%5D%5Bfilter%5D%5B0%5D%5Bverdi%5D=&amp;hva%5B0%5D%5Bid%5D=47/når:2016-01-01", "Vegkart")</f>
        <v>Vegkart</v>
      </c>
      <c r="B6735">
        <v>1013925274</v>
      </c>
      <c r="C6735">
        <v>47</v>
      </c>
      <c r="D6735" t="s">
        <v>16854</v>
      </c>
      <c r="E6735">
        <v>5897</v>
      </c>
      <c r="F6735" t="s">
        <v>23479</v>
      </c>
      <c r="G6735">
        <v>1</v>
      </c>
      <c r="H6735" t="s">
        <v>22414</v>
      </c>
      <c r="J6735" t="s">
        <v>22399</v>
      </c>
      <c r="K6735" t="s">
        <v>132</v>
      </c>
      <c r="L6735" t="s">
        <v>33</v>
      </c>
      <c r="M6735" t="s">
        <v>9696</v>
      </c>
      <c r="N6735" t="s">
        <v>22415</v>
      </c>
      <c r="O6735" t="s">
        <v>22416</v>
      </c>
      <c r="P6735" s="2" t="s">
        <v>26</v>
      </c>
      <c r="Q6735" t="s">
        <v>50</v>
      </c>
      <c r="R6735">
        <v>101.27</v>
      </c>
      <c r="S6735">
        <v>102.15</v>
      </c>
      <c r="T6735" t="s">
        <v>22417</v>
      </c>
    </row>
    <row r="6736" spans="1:20" x14ac:dyDescent="0.25">
      <c r="A6736" s="1" t="str">
        <f>HYPERLINK("https://vegkart.atlas.vegvesen.no/#/@244852.1,6639065.3,18/hva:hva%5B0%5D%5Bfilter%5D%5B0%5D%5Boperator%5D=%21%3D&amp;hva%5B0%5D%5Bfilter%5D%5B0%5D%5Btype_id%5D=5897&amp;hva%5B0%5D%5Bfilter%5D%5B0%5D%5Bverdi%5D=&amp;hva%5B0%5D%5Bid%5D=47/når:2021-09-14", "Vegkart")</f>
        <v>Vegkart</v>
      </c>
      <c r="B6736">
        <v>1014004409</v>
      </c>
      <c r="C6736">
        <v>47</v>
      </c>
      <c r="D6736" t="s">
        <v>16854</v>
      </c>
      <c r="E6736">
        <v>5897</v>
      </c>
      <c r="F6736" t="s">
        <v>23479</v>
      </c>
      <c r="G6736">
        <v>1</v>
      </c>
      <c r="H6736" t="s">
        <v>22418</v>
      </c>
      <c r="J6736" t="s">
        <v>22399</v>
      </c>
      <c r="K6736" t="s">
        <v>132</v>
      </c>
      <c r="L6736" t="s">
        <v>33</v>
      </c>
      <c r="M6736" t="s">
        <v>17229</v>
      </c>
      <c r="N6736" t="s">
        <v>22419</v>
      </c>
      <c r="O6736" t="s">
        <v>22420</v>
      </c>
      <c r="P6736" s="2" t="s">
        <v>26</v>
      </c>
      <c r="Q6736" t="s">
        <v>50</v>
      </c>
      <c r="R6736">
        <v>55.65</v>
      </c>
      <c r="S6736">
        <v>55.65</v>
      </c>
      <c r="T6736" t="s">
        <v>22421</v>
      </c>
    </row>
    <row r="6737" spans="1:20" x14ac:dyDescent="0.25">
      <c r="A6737" s="1" t="str">
        <f>HYPERLINK("https://vegkart.atlas.vegvesen.no/#/@196363.8,6638900.6,18/hva:hva%5B0%5D%5Bfilter%5D%5B0%5D%5Boperator%5D=%21%3D&amp;hva%5B0%5D%5Bfilter%5D%5B0%5D%5Btype_id%5D=5897&amp;hva%5B0%5D%5Bfilter%5D%5B0%5D%5Bverdi%5D=&amp;hva%5B0%5D%5Bid%5D=47/når:2021-10-05", "Vegkart")</f>
        <v>Vegkart</v>
      </c>
      <c r="B6737">
        <v>1014067344</v>
      </c>
      <c r="C6737">
        <v>47</v>
      </c>
      <c r="D6737" t="s">
        <v>16854</v>
      </c>
      <c r="E6737">
        <v>5897</v>
      </c>
      <c r="F6737" t="s">
        <v>23479</v>
      </c>
      <c r="G6737">
        <v>1</v>
      </c>
      <c r="H6737" t="s">
        <v>22422</v>
      </c>
      <c r="J6737" t="s">
        <v>22399</v>
      </c>
      <c r="K6737" t="s">
        <v>307</v>
      </c>
      <c r="L6737" t="s">
        <v>33</v>
      </c>
      <c r="M6737" t="s">
        <v>17154</v>
      </c>
      <c r="N6737" t="s">
        <v>22423</v>
      </c>
      <c r="O6737" t="s">
        <v>22424</v>
      </c>
      <c r="P6737" s="2" t="s">
        <v>26</v>
      </c>
      <c r="Q6737" t="s">
        <v>50</v>
      </c>
      <c r="R6737">
        <v>21.42</v>
      </c>
      <c r="S6737">
        <v>21.42</v>
      </c>
      <c r="T6737" t="s">
        <v>22425</v>
      </c>
    </row>
    <row r="6738" spans="1:20" x14ac:dyDescent="0.25">
      <c r="A6738" s="1" t="str">
        <f>HYPERLINK("https://vegkart.atlas.vegvesen.no/#/@198629.7,6638570.8,18/hva:hva%5B0%5D%5Bfilter%5D%5B0%5D%5Boperator%5D=%21%3D&amp;hva%5B0%5D%5Bfilter%5D%5B0%5D%5Btype_id%5D=5897&amp;hva%5B0%5D%5Bfilter%5D%5B0%5D%5Bverdi%5D=&amp;hva%5B0%5D%5Bid%5D=47/når:2021-10-05", "Vegkart")</f>
        <v>Vegkart</v>
      </c>
      <c r="B6738">
        <v>1014067389</v>
      </c>
      <c r="C6738">
        <v>47</v>
      </c>
      <c r="D6738" t="s">
        <v>16854</v>
      </c>
      <c r="E6738">
        <v>5897</v>
      </c>
      <c r="F6738" t="s">
        <v>23479</v>
      </c>
      <c r="G6738">
        <v>1</v>
      </c>
      <c r="H6738" t="s">
        <v>22422</v>
      </c>
      <c r="J6738" t="s">
        <v>22399</v>
      </c>
      <c r="K6738" t="s">
        <v>307</v>
      </c>
      <c r="L6738" t="s">
        <v>33</v>
      </c>
      <c r="M6738" t="s">
        <v>17154</v>
      </c>
      <c r="N6738" t="s">
        <v>22426</v>
      </c>
      <c r="O6738" t="s">
        <v>22427</v>
      </c>
      <c r="P6738" s="2" t="s">
        <v>26</v>
      </c>
      <c r="Q6738" t="s">
        <v>50</v>
      </c>
      <c r="R6738">
        <v>33.78</v>
      </c>
      <c r="S6738">
        <v>34</v>
      </c>
      <c r="T6738" t="s">
        <v>22428</v>
      </c>
    </row>
    <row r="6739" spans="1:20" x14ac:dyDescent="0.25">
      <c r="A6739" s="1" t="str">
        <f>HYPERLINK("https://vegkart.atlas.vegvesen.no/#/@198907.5,6638344.7,18/hva:hva%5B0%5D%5Bfilter%5D%5B0%5D%5Boperator%5D=%21%3D&amp;hva%5B0%5D%5Bfilter%5D%5B0%5D%5Btype_id%5D=5897&amp;hva%5B0%5D%5Bfilter%5D%5B0%5D%5Bverdi%5D=&amp;hva%5B0%5D%5Bid%5D=47/når:2021-10-05", "Vegkart")</f>
        <v>Vegkart</v>
      </c>
      <c r="B6739">
        <v>1014067395</v>
      </c>
      <c r="C6739">
        <v>47</v>
      </c>
      <c r="D6739" t="s">
        <v>16854</v>
      </c>
      <c r="E6739">
        <v>5897</v>
      </c>
      <c r="F6739" t="s">
        <v>23479</v>
      </c>
      <c r="G6739">
        <v>1</v>
      </c>
      <c r="H6739" t="s">
        <v>22422</v>
      </c>
      <c r="J6739" t="s">
        <v>22399</v>
      </c>
      <c r="K6739" t="s">
        <v>307</v>
      </c>
      <c r="L6739" t="s">
        <v>33</v>
      </c>
      <c r="M6739" t="s">
        <v>17154</v>
      </c>
      <c r="N6739" t="s">
        <v>22429</v>
      </c>
      <c r="O6739" t="s">
        <v>22430</v>
      </c>
      <c r="P6739" s="2" t="s">
        <v>26</v>
      </c>
      <c r="Q6739" t="s">
        <v>50</v>
      </c>
      <c r="R6739">
        <v>18.670000000000002</v>
      </c>
      <c r="S6739">
        <v>18.670000000000002</v>
      </c>
      <c r="T6739" t="s">
        <v>22431</v>
      </c>
    </row>
    <row r="6740" spans="1:20" x14ac:dyDescent="0.25">
      <c r="A6740" s="1" t="str">
        <f>HYPERLINK("https://vegkart.atlas.vegvesen.no/#/@199153.9,6638257.6,18/hva:hva%5B0%5D%5Bfilter%5D%5B0%5D%5Boperator%5D=%21%3D&amp;hva%5B0%5D%5Bfilter%5D%5B0%5D%5Btype_id%5D=5897&amp;hva%5B0%5D%5Bfilter%5D%5B0%5D%5Bverdi%5D=&amp;hva%5B0%5D%5Bid%5D=47/når:2021-10-05", "Vegkart")</f>
        <v>Vegkart</v>
      </c>
      <c r="B6740">
        <v>1014067398</v>
      </c>
      <c r="C6740">
        <v>47</v>
      </c>
      <c r="D6740" t="s">
        <v>16854</v>
      </c>
      <c r="E6740">
        <v>5897</v>
      </c>
      <c r="F6740" t="s">
        <v>23479</v>
      </c>
      <c r="G6740">
        <v>1</v>
      </c>
      <c r="H6740" t="s">
        <v>22422</v>
      </c>
      <c r="J6740" t="s">
        <v>22399</v>
      </c>
      <c r="K6740" t="s">
        <v>307</v>
      </c>
      <c r="L6740" t="s">
        <v>33</v>
      </c>
      <c r="M6740" t="s">
        <v>17154</v>
      </c>
      <c r="N6740" t="s">
        <v>22432</v>
      </c>
      <c r="O6740" t="s">
        <v>22433</v>
      </c>
      <c r="P6740" s="2" t="s">
        <v>26</v>
      </c>
      <c r="Q6740" t="s">
        <v>50</v>
      </c>
      <c r="R6740">
        <v>21.38</v>
      </c>
      <c r="S6740">
        <v>21.38</v>
      </c>
      <c r="T6740" t="s">
        <v>22434</v>
      </c>
    </row>
    <row r="6741" spans="1:20" x14ac:dyDescent="0.25">
      <c r="A6741" s="1" t="str">
        <f>HYPERLINK("https://vegkart.atlas.vegvesen.no/#/@201524.7,6635185.5,18/hva:hva%5B0%5D%5Bfilter%5D%5B0%5D%5Boperator%5D=%21%3D&amp;hva%5B0%5D%5Bfilter%5D%5B0%5D%5Btype_id%5D=5897&amp;hva%5B0%5D%5Bfilter%5D%5B0%5D%5Bverdi%5D=&amp;hva%5B0%5D%5Bid%5D=47/når:2021-10-05", "Vegkart")</f>
        <v>Vegkart</v>
      </c>
      <c r="B6741">
        <v>1014067444</v>
      </c>
      <c r="C6741">
        <v>47</v>
      </c>
      <c r="D6741" t="s">
        <v>16854</v>
      </c>
      <c r="E6741">
        <v>5897</v>
      </c>
      <c r="F6741" t="s">
        <v>23479</v>
      </c>
      <c r="G6741">
        <v>1</v>
      </c>
      <c r="H6741" t="s">
        <v>22422</v>
      </c>
      <c r="J6741" t="s">
        <v>22399</v>
      </c>
      <c r="K6741" t="s">
        <v>307</v>
      </c>
      <c r="L6741" t="s">
        <v>33</v>
      </c>
      <c r="M6741" t="s">
        <v>17154</v>
      </c>
      <c r="N6741" t="s">
        <v>22435</v>
      </c>
      <c r="O6741" t="s">
        <v>22436</v>
      </c>
      <c r="P6741" s="2" t="s">
        <v>26</v>
      </c>
      <c r="Q6741" t="s">
        <v>50</v>
      </c>
      <c r="R6741">
        <v>14.86</v>
      </c>
      <c r="S6741">
        <v>14.92</v>
      </c>
      <c r="T6741" t="s">
        <v>22437</v>
      </c>
    </row>
    <row r="6742" spans="1:20" x14ac:dyDescent="0.25">
      <c r="A6742" s="1" t="str">
        <f>HYPERLINK("https://vegkart.atlas.vegvesen.no/#/@232052.4,6629255.2,18/hva:hva%5B0%5D%5Bfilter%5D%5B0%5D%5Boperator%5D=%21%3D&amp;hva%5B0%5D%5Bfilter%5D%5B0%5D%5Btype_id%5D=5897&amp;hva%5B0%5D%5Bfilter%5D%5B0%5D%5Bverdi%5D=&amp;hva%5B0%5D%5Bid%5D=47/når:2021-10-05", "Vegkart")</f>
        <v>Vegkart</v>
      </c>
      <c r="B6742">
        <v>1014068413</v>
      </c>
      <c r="C6742">
        <v>47</v>
      </c>
      <c r="D6742" t="s">
        <v>16854</v>
      </c>
      <c r="E6742">
        <v>5897</v>
      </c>
      <c r="F6742" t="s">
        <v>23479</v>
      </c>
      <c r="G6742">
        <v>1</v>
      </c>
      <c r="H6742" t="s">
        <v>22422</v>
      </c>
      <c r="J6742" t="s">
        <v>22399</v>
      </c>
      <c r="K6742" t="s">
        <v>307</v>
      </c>
      <c r="L6742" t="s">
        <v>33</v>
      </c>
      <c r="M6742" t="s">
        <v>1808</v>
      </c>
      <c r="N6742" t="s">
        <v>22438</v>
      </c>
      <c r="O6742" t="s">
        <v>22439</v>
      </c>
      <c r="P6742" s="2" t="s">
        <v>26</v>
      </c>
      <c r="Q6742" t="s">
        <v>50</v>
      </c>
      <c r="R6742">
        <v>33.93</v>
      </c>
      <c r="S6742">
        <v>33.950000000000003</v>
      </c>
      <c r="T6742" t="s">
        <v>22440</v>
      </c>
    </row>
    <row r="6743" spans="1:20" x14ac:dyDescent="0.25">
      <c r="A6743" s="1" t="str">
        <f>HYPERLINK("https://vegkart.atlas.vegvesen.no/#/@231766.0,6630985.0,18/hva:hva%5B0%5D%5Bfilter%5D%5B0%5D%5Boperator%5D=%21%3D&amp;hva%5B0%5D%5Bfilter%5D%5B0%5D%5Btype_id%5D=5897&amp;hva%5B0%5D%5Bfilter%5D%5B0%5D%5Bverdi%5D=&amp;hva%5B0%5D%5Bid%5D=47/når:2021-10-05", "Vegkart")</f>
        <v>Vegkart</v>
      </c>
      <c r="B6743">
        <v>1014068838</v>
      </c>
      <c r="C6743">
        <v>47</v>
      </c>
      <c r="D6743" t="s">
        <v>16854</v>
      </c>
      <c r="E6743">
        <v>5897</v>
      </c>
      <c r="F6743" t="s">
        <v>23479</v>
      </c>
      <c r="G6743">
        <v>1</v>
      </c>
      <c r="H6743" t="s">
        <v>22422</v>
      </c>
      <c r="J6743" t="s">
        <v>22399</v>
      </c>
      <c r="K6743" t="s">
        <v>307</v>
      </c>
      <c r="L6743" t="s">
        <v>33</v>
      </c>
      <c r="M6743" t="s">
        <v>1808</v>
      </c>
      <c r="N6743" t="s">
        <v>22441</v>
      </c>
      <c r="O6743" t="s">
        <v>22442</v>
      </c>
      <c r="P6743" s="2" t="s">
        <v>26</v>
      </c>
      <c r="Q6743" t="s">
        <v>50</v>
      </c>
      <c r="R6743">
        <v>52.38</v>
      </c>
      <c r="S6743">
        <v>52.38</v>
      </c>
      <c r="T6743" t="s">
        <v>22443</v>
      </c>
    </row>
    <row r="6744" spans="1:20" x14ac:dyDescent="0.25">
      <c r="A6744" s="1" t="str">
        <f>HYPERLINK("https://vegkart.atlas.vegvesen.no/#/@240505.7,6620308.3,18/hva:hva%5B0%5D%5Bfilter%5D%5B0%5D%5Boperator%5D=%21%3D&amp;hva%5B0%5D%5Bfilter%5D%5B0%5D%5Btype_id%5D=5897&amp;hva%5B0%5D%5Bfilter%5D%5B0%5D%5Bverdi%5D=&amp;hva%5B0%5D%5Bid%5D=47/når:2021-10-06", "Vegkart")</f>
        <v>Vegkart</v>
      </c>
      <c r="B6744">
        <v>1014075165</v>
      </c>
      <c r="C6744">
        <v>47</v>
      </c>
      <c r="D6744" t="s">
        <v>16854</v>
      </c>
      <c r="E6744">
        <v>5897</v>
      </c>
      <c r="F6744" t="s">
        <v>23479</v>
      </c>
      <c r="G6744">
        <v>1</v>
      </c>
      <c r="H6744" t="s">
        <v>22444</v>
      </c>
      <c r="J6744" t="s">
        <v>22399</v>
      </c>
      <c r="K6744" t="s">
        <v>307</v>
      </c>
      <c r="L6744" t="s">
        <v>33</v>
      </c>
      <c r="M6744" t="s">
        <v>1808</v>
      </c>
      <c r="N6744" t="s">
        <v>22445</v>
      </c>
      <c r="O6744" t="s">
        <v>22446</v>
      </c>
      <c r="P6744" s="2" t="s">
        <v>26</v>
      </c>
      <c r="Q6744" t="s">
        <v>50</v>
      </c>
      <c r="R6744">
        <v>27.79</v>
      </c>
      <c r="S6744">
        <v>27.79</v>
      </c>
      <c r="T6744" t="s">
        <v>22447</v>
      </c>
    </row>
    <row r="6745" spans="1:20" x14ac:dyDescent="0.25">
      <c r="A6745" s="1" t="str">
        <f>HYPERLINK("https://vegkart.atlas.vegvesen.no/#/@-30357.0,6714231.2,18/hva:hva%5B0%5D%5Bfilter%5D%5B0%5D%5Boperator%5D=%21%3D&amp;hva%5B0%5D%5Bfilter%5D%5B0%5D%5Btype_id%5D=5897&amp;hva%5B0%5D%5Bfilter%5D%5B0%5D%5Bverdi%5D=&amp;hva%5B0%5D%5Bid%5D=47/når:2021-10-11", "Vegkart")</f>
        <v>Vegkart</v>
      </c>
      <c r="B6745">
        <v>1014083080</v>
      </c>
      <c r="C6745">
        <v>47</v>
      </c>
      <c r="D6745" t="s">
        <v>16854</v>
      </c>
      <c r="E6745">
        <v>5897</v>
      </c>
      <c r="F6745" t="s">
        <v>23479</v>
      </c>
      <c r="G6745">
        <v>1</v>
      </c>
      <c r="H6745" t="s">
        <v>22448</v>
      </c>
      <c r="J6745" t="s">
        <v>22399</v>
      </c>
      <c r="K6745" t="s">
        <v>21</v>
      </c>
      <c r="L6745" t="s">
        <v>33</v>
      </c>
      <c r="M6745" t="s">
        <v>22449</v>
      </c>
      <c r="N6745" t="s">
        <v>22450</v>
      </c>
      <c r="O6745" t="s">
        <v>22451</v>
      </c>
      <c r="P6745" s="2" t="s">
        <v>26</v>
      </c>
      <c r="Q6745" t="s">
        <v>50</v>
      </c>
      <c r="R6745">
        <v>62.62</v>
      </c>
      <c r="S6745">
        <v>62.66</v>
      </c>
      <c r="T6745" t="s">
        <v>22452</v>
      </c>
    </row>
    <row r="6746" spans="1:20" x14ac:dyDescent="0.25">
      <c r="A6746" s="1" t="str">
        <f>HYPERLINK("https://vegkart.atlas.vegvesen.no/#/@-30270.2,6714248.2,18/hva:hva%5B0%5D%5Bfilter%5D%5B0%5D%5Boperator%5D=%21%3D&amp;hva%5B0%5D%5Bfilter%5D%5B0%5D%5Btype_id%5D=5897&amp;hva%5B0%5D%5Bfilter%5D%5B0%5D%5Bverdi%5D=&amp;hva%5B0%5D%5Bid%5D=47/når:2021-10-11", "Vegkart")</f>
        <v>Vegkart</v>
      </c>
      <c r="B6746">
        <v>1014083081</v>
      </c>
      <c r="C6746">
        <v>47</v>
      </c>
      <c r="D6746" t="s">
        <v>16854</v>
      </c>
      <c r="E6746">
        <v>5897</v>
      </c>
      <c r="F6746" t="s">
        <v>23479</v>
      </c>
      <c r="G6746">
        <v>1</v>
      </c>
      <c r="H6746" t="s">
        <v>22448</v>
      </c>
      <c r="J6746" t="s">
        <v>22399</v>
      </c>
      <c r="K6746" t="s">
        <v>21</v>
      </c>
      <c r="L6746" t="s">
        <v>33</v>
      </c>
      <c r="M6746" t="s">
        <v>22449</v>
      </c>
      <c r="N6746" t="s">
        <v>22453</v>
      </c>
      <c r="O6746" t="s">
        <v>22454</v>
      </c>
      <c r="P6746" s="2" t="s">
        <v>26</v>
      </c>
      <c r="Q6746" t="s">
        <v>50</v>
      </c>
      <c r="R6746">
        <v>58.7</v>
      </c>
      <c r="S6746">
        <v>58.74</v>
      </c>
      <c r="T6746" t="s">
        <v>22455</v>
      </c>
    </row>
    <row r="6747" spans="1:20" x14ac:dyDescent="0.25">
      <c r="A6747" s="1" t="str">
        <f>HYPERLINK("https://vegkart.atlas.vegvesen.no/#/@196043.9,6563448.3,18/hva:hva%5B0%5D%5Bfilter%5D%5B0%5D%5Boperator%5D=%21%3D&amp;hva%5B0%5D%5Bfilter%5D%5B0%5D%5Btype_id%5D=5897&amp;hva%5B0%5D%5Bfilter%5D%5B0%5D%5Bverdi%5D=&amp;hva%5B0%5D%5Bid%5D=47/når:2021-10-12", "Vegkart")</f>
        <v>Vegkart</v>
      </c>
      <c r="B6747">
        <v>1014086164</v>
      </c>
      <c r="C6747">
        <v>47</v>
      </c>
      <c r="D6747" t="s">
        <v>16854</v>
      </c>
      <c r="E6747">
        <v>5897</v>
      </c>
      <c r="F6747" t="s">
        <v>23479</v>
      </c>
      <c r="G6747">
        <v>1</v>
      </c>
      <c r="H6747" t="s">
        <v>2322</v>
      </c>
      <c r="J6747" t="s">
        <v>22399</v>
      </c>
      <c r="K6747" t="s">
        <v>197</v>
      </c>
      <c r="L6747" t="s">
        <v>80</v>
      </c>
      <c r="M6747" t="s">
        <v>53</v>
      </c>
      <c r="N6747" t="s">
        <v>22456</v>
      </c>
      <c r="O6747" t="s">
        <v>22457</v>
      </c>
      <c r="P6747" s="2" t="s">
        <v>37</v>
      </c>
      <c r="Q6747" t="s">
        <v>1208</v>
      </c>
      <c r="R6747">
        <v>0</v>
      </c>
      <c r="S6747">
        <v>176.79</v>
      </c>
      <c r="T6747" t="s">
        <v>22458</v>
      </c>
    </row>
    <row r="6748" spans="1:20" x14ac:dyDescent="0.25">
      <c r="A6748" s="1" t="str">
        <f>HYPERLINK("https://vegkart.atlas.vegvesen.no/#/@194692.9,6563006.1,18/hva:hva%5B0%5D%5Bfilter%5D%5B0%5D%5Boperator%5D=%21%3D&amp;hva%5B0%5D%5Bfilter%5D%5B0%5D%5Btype_id%5D=5897&amp;hva%5B0%5D%5Bfilter%5D%5B0%5D%5Bverdi%5D=&amp;hva%5B0%5D%5Bid%5D=47/når:2021-10-12", "Vegkart")</f>
        <v>Vegkart</v>
      </c>
      <c r="B6748">
        <v>1014086165</v>
      </c>
      <c r="C6748">
        <v>47</v>
      </c>
      <c r="D6748" t="s">
        <v>16854</v>
      </c>
      <c r="E6748">
        <v>5897</v>
      </c>
      <c r="F6748" t="s">
        <v>23479</v>
      </c>
      <c r="G6748">
        <v>1</v>
      </c>
      <c r="H6748" t="s">
        <v>2322</v>
      </c>
      <c r="J6748" t="s">
        <v>22399</v>
      </c>
      <c r="K6748" t="s">
        <v>197</v>
      </c>
      <c r="L6748" t="s">
        <v>80</v>
      </c>
      <c r="M6748" t="s">
        <v>53</v>
      </c>
      <c r="N6748" t="s">
        <v>22459</v>
      </c>
      <c r="O6748" t="s">
        <v>22460</v>
      </c>
      <c r="P6748" s="2" t="s">
        <v>37</v>
      </c>
      <c r="Q6748" t="s">
        <v>1208</v>
      </c>
      <c r="R6748">
        <v>0</v>
      </c>
      <c r="S6748">
        <v>159.03</v>
      </c>
      <c r="T6748" t="s">
        <v>22461</v>
      </c>
    </row>
    <row r="6749" spans="1:20" x14ac:dyDescent="0.25">
      <c r="A6749" s="1" t="str">
        <f>HYPERLINK("https://vegkart.atlas.vegvesen.no/#/@195350.0,6563366.3,18/hva:hva%5B0%5D%5Bfilter%5D%5B0%5D%5Boperator%5D=%21%3D&amp;hva%5B0%5D%5Bfilter%5D%5B0%5D%5Btype_id%5D=5897&amp;hva%5B0%5D%5Bfilter%5D%5B0%5D%5Bverdi%5D=&amp;hva%5B0%5D%5Bid%5D=47/når:2021-10-12", "Vegkart")</f>
        <v>Vegkart</v>
      </c>
      <c r="B6749">
        <v>1014086166</v>
      </c>
      <c r="C6749">
        <v>47</v>
      </c>
      <c r="D6749" t="s">
        <v>16854</v>
      </c>
      <c r="E6749">
        <v>5897</v>
      </c>
      <c r="F6749" t="s">
        <v>23479</v>
      </c>
      <c r="G6749">
        <v>1</v>
      </c>
      <c r="H6749" t="s">
        <v>2322</v>
      </c>
      <c r="J6749" t="s">
        <v>22399</v>
      </c>
      <c r="K6749" t="s">
        <v>197</v>
      </c>
      <c r="L6749" t="s">
        <v>80</v>
      </c>
      <c r="M6749" t="s">
        <v>53</v>
      </c>
      <c r="N6749" t="s">
        <v>22462</v>
      </c>
      <c r="O6749" t="s">
        <v>22463</v>
      </c>
      <c r="P6749" s="2" t="s">
        <v>37</v>
      </c>
      <c r="Q6749" t="s">
        <v>1208</v>
      </c>
      <c r="R6749">
        <v>0</v>
      </c>
      <c r="S6749">
        <v>103.78</v>
      </c>
      <c r="T6749" t="s">
        <v>22464</v>
      </c>
    </row>
    <row r="6750" spans="1:20" x14ac:dyDescent="0.25">
      <c r="A6750" s="1" t="str">
        <f>HYPERLINK("https://vegkart.atlas.vegvesen.no/#/@195174.9,6563348.1,18/hva:hva%5B0%5D%5Bfilter%5D%5B0%5D%5Boperator%5D=%21%3D&amp;hva%5B0%5D%5Bfilter%5D%5B0%5D%5Btype_id%5D=5897&amp;hva%5B0%5D%5Bfilter%5D%5B0%5D%5Bverdi%5D=&amp;hva%5B0%5D%5Bid%5D=47/når:2021-10-12", "Vegkart")</f>
        <v>Vegkart</v>
      </c>
      <c r="B6750">
        <v>1014086167</v>
      </c>
      <c r="C6750">
        <v>47</v>
      </c>
      <c r="D6750" t="s">
        <v>16854</v>
      </c>
      <c r="E6750">
        <v>5897</v>
      </c>
      <c r="F6750" t="s">
        <v>23479</v>
      </c>
      <c r="G6750">
        <v>1</v>
      </c>
      <c r="H6750" t="s">
        <v>2322</v>
      </c>
      <c r="J6750" t="s">
        <v>22399</v>
      </c>
      <c r="K6750" t="s">
        <v>197</v>
      </c>
      <c r="L6750" t="s">
        <v>80</v>
      </c>
      <c r="M6750" t="s">
        <v>53</v>
      </c>
      <c r="N6750" t="s">
        <v>22465</v>
      </c>
      <c r="O6750" t="s">
        <v>22466</v>
      </c>
      <c r="P6750" s="2" t="s">
        <v>37</v>
      </c>
      <c r="Q6750" t="s">
        <v>1208</v>
      </c>
      <c r="R6750">
        <v>0</v>
      </c>
      <c r="S6750">
        <v>105</v>
      </c>
      <c r="T6750" t="s">
        <v>22467</v>
      </c>
    </row>
    <row r="6751" spans="1:20" x14ac:dyDescent="0.25">
      <c r="A6751" s="1" t="str">
        <f>HYPERLINK("https://vegkart.atlas.vegvesen.no/#/@195371.8,6563353.4,18/hva:hva%5B0%5D%5Bfilter%5D%5B0%5D%5Boperator%5D=%21%3D&amp;hva%5B0%5D%5Bfilter%5D%5B0%5D%5Btype_id%5D=5897&amp;hva%5B0%5D%5Bfilter%5D%5B0%5D%5Bverdi%5D=&amp;hva%5B0%5D%5Bid%5D=47/når:2021-10-12", "Vegkart")</f>
        <v>Vegkart</v>
      </c>
      <c r="B6751">
        <v>1014086168</v>
      </c>
      <c r="C6751">
        <v>47</v>
      </c>
      <c r="D6751" t="s">
        <v>16854</v>
      </c>
      <c r="E6751">
        <v>5897</v>
      </c>
      <c r="F6751" t="s">
        <v>23479</v>
      </c>
      <c r="G6751">
        <v>1</v>
      </c>
      <c r="H6751" t="s">
        <v>2322</v>
      </c>
      <c r="J6751" t="s">
        <v>22399</v>
      </c>
      <c r="K6751" t="s">
        <v>197</v>
      </c>
      <c r="L6751" t="s">
        <v>80</v>
      </c>
      <c r="M6751" t="s">
        <v>53</v>
      </c>
      <c r="N6751" t="s">
        <v>22468</v>
      </c>
      <c r="O6751" t="s">
        <v>22469</v>
      </c>
      <c r="P6751" s="2" t="s">
        <v>37</v>
      </c>
      <c r="Q6751" t="s">
        <v>1208</v>
      </c>
      <c r="R6751">
        <v>0</v>
      </c>
      <c r="S6751">
        <v>74.89</v>
      </c>
      <c r="T6751" t="s">
        <v>22470</v>
      </c>
    </row>
    <row r="6752" spans="1:20" x14ac:dyDescent="0.25">
      <c r="A6752" s="1" t="str">
        <f>HYPERLINK("https://vegkart.atlas.vegvesen.no/#/@273918.0,6576653.8,18/hva:hva%5B0%5D%5Bfilter%5D%5B0%5D%5Boperator%5D=%21%3D&amp;hva%5B0%5D%5Bfilter%5D%5B0%5D%5Btype_id%5D=5897&amp;hva%5B0%5D%5Bfilter%5D%5B0%5D%5Bverdi%5D=&amp;hva%5B0%5D%5Bid%5D=47/når:2021-10-20", "Vegkart")</f>
        <v>Vegkart</v>
      </c>
      <c r="B6752">
        <v>1014126081</v>
      </c>
      <c r="C6752">
        <v>47</v>
      </c>
      <c r="D6752" t="s">
        <v>16854</v>
      </c>
      <c r="E6752">
        <v>5897</v>
      </c>
      <c r="F6752" t="s">
        <v>23479</v>
      </c>
      <c r="G6752">
        <v>1</v>
      </c>
      <c r="H6752" t="s">
        <v>22471</v>
      </c>
      <c r="J6752" t="s">
        <v>22399</v>
      </c>
      <c r="K6752" t="s">
        <v>104</v>
      </c>
      <c r="L6752" t="s">
        <v>33</v>
      </c>
      <c r="M6752" t="s">
        <v>8774</v>
      </c>
      <c r="N6752" t="s">
        <v>22472</v>
      </c>
      <c r="O6752" t="s">
        <v>22473</v>
      </c>
      <c r="P6752" s="2" t="s">
        <v>26</v>
      </c>
      <c r="Q6752" t="s">
        <v>50</v>
      </c>
      <c r="R6752">
        <v>59.43</v>
      </c>
      <c r="S6752">
        <v>59.43</v>
      </c>
      <c r="T6752" t="s">
        <v>22474</v>
      </c>
    </row>
    <row r="6753" spans="1:20" x14ac:dyDescent="0.25">
      <c r="A6753" s="1" t="str">
        <f>HYPERLINK("https://vegkart.atlas.vegvesen.no/#/@-33869.7,6576376.8,18/hva:hva%5B0%5D%5Bfilter%5D%5B0%5D%5Boperator%5D=%21%3D&amp;hva%5B0%5D%5Bfilter%5D%5B0%5D%5Btype_id%5D=5897&amp;hva%5B0%5D%5Bfilter%5D%5B0%5D%5Bverdi%5D=&amp;hva%5B0%5D%5Bid%5D=47/når:2021-11-03", "Vegkart")</f>
        <v>Vegkart</v>
      </c>
      <c r="B6753">
        <v>1014164209</v>
      </c>
      <c r="C6753">
        <v>47</v>
      </c>
      <c r="D6753" t="s">
        <v>16854</v>
      </c>
      <c r="E6753">
        <v>5897</v>
      </c>
      <c r="F6753" t="s">
        <v>23479</v>
      </c>
      <c r="G6753">
        <v>1</v>
      </c>
      <c r="H6753" t="s">
        <v>22475</v>
      </c>
      <c r="J6753" t="s">
        <v>22399</v>
      </c>
      <c r="K6753" t="s">
        <v>170</v>
      </c>
      <c r="L6753" t="s">
        <v>33</v>
      </c>
      <c r="M6753" t="s">
        <v>22476</v>
      </c>
      <c r="N6753" t="s">
        <v>22477</v>
      </c>
      <c r="O6753" t="s">
        <v>22478</v>
      </c>
      <c r="P6753" s="2" t="s">
        <v>26</v>
      </c>
      <c r="Q6753" t="s">
        <v>50</v>
      </c>
      <c r="R6753">
        <v>22.37</v>
      </c>
      <c r="S6753">
        <v>22.37</v>
      </c>
      <c r="T6753" t="s">
        <v>22479</v>
      </c>
    </row>
    <row r="6754" spans="1:20" x14ac:dyDescent="0.25">
      <c r="A6754" s="1" t="str">
        <f>HYPERLINK("https://vegkart.atlas.vegvesen.no/#/@196984.3,6554577.5,18/hva:hva%5B0%5D%5Bfilter%5D%5B0%5D%5Boperator%5D=%21%3D&amp;hva%5B0%5D%5Bfilter%5D%5B0%5D%5Btype_id%5D=5897&amp;hva%5B0%5D%5Bfilter%5D%5B0%5D%5Bverdi%5D=&amp;hva%5B0%5D%5Bid%5D=47/når:2022-12-06", "Vegkart")</f>
        <v>Vegkart</v>
      </c>
      <c r="B6754">
        <v>1014170956</v>
      </c>
      <c r="C6754">
        <v>47</v>
      </c>
      <c r="D6754" t="s">
        <v>16854</v>
      </c>
      <c r="E6754">
        <v>5897</v>
      </c>
      <c r="F6754" t="s">
        <v>23479</v>
      </c>
      <c r="G6754">
        <v>2</v>
      </c>
      <c r="H6754" t="s">
        <v>17967</v>
      </c>
      <c r="J6754" t="s">
        <v>22480</v>
      </c>
      <c r="K6754" t="s">
        <v>197</v>
      </c>
      <c r="L6754" t="s">
        <v>33</v>
      </c>
      <c r="M6754" t="s">
        <v>1978</v>
      </c>
      <c r="N6754" t="s">
        <v>22481</v>
      </c>
      <c r="O6754" t="s">
        <v>22482</v>
      </c>
      <c r="P6754" s="2" t="s">
        <v>37</v>
      </c>
      <c r="Q6754" t="s">
        <v>1208</v>
      </c>
      <c r="R6754">
        <v>0</v>
      </c>
      <c r="S6754">
        <v>117.94</v>
      </c>
      <c r="T6754" t="s">
        <v>22483</v>
      </c>
    </row>
    <row r="6755" spans="1:20" x14ac:dyDescent="0.25">
      <c r="A6755" s="1" t="str">
        <f>HYPERLINK("https://vegkart.atlas.vegvesen.no/#/@104859.4,6484327.4,18/hva:hva%5B0%5D%5Bfilter%5D%5B0%5D%5Boperator%5D=%21%3D&amp;hva%5B0%5D%5Bfilter%5D%5B0%5D%5Btype_id%5D=5897&amp;hva%5B0%5D%5Bfilter%5D%5B0%5D%5Bverdi%5D=&amp;hva%5B0%5D%5Bid%5D=47/når:2021-11-05", "Vegkart")</f>
        <v>Vegkart</v>
      </c>
      <c r="B6755">
        <v>1014170963</v>
      </c>
      <c r="C6755">
        <v>47</v>
      </c>
      <c r="D6755" t="s">
        <v>16854</v>
      </c>
      <c r="E6755">
        <v>5897</v>
      </c>
      <c r="F6755" t="s">
        <v>23479</v>
      </c>
      <c r="G6755">
        <v>1</v>
      </c>
      <c r="H6755" t="s">
        <v>7354</v>
      </c>
      <c r="J6755" t="s">
        <v>22480</v>
      </c>
      <c r="K6755" t="s">
        <v>86</v>
      </c>
      <c r="L6755" t="s">
        <v>33</v>
      </c>
      <c r="M6755" t="s">
        <v>20450</v>
      </c>
      <c r="N6755" t="s">
        <v>22484</v>
      </c>
      <c r="O6755" t="s">
        <v>22485</v>
      </c>
      <c r="P6755" s="2" t="s">
        <v>26</v>
      </c>
      <c r="Q6755" t="s">
        <v>50</v>
      </c>
      <c r="R6755">
        <v>75.47</v>
      </c>
      <c r="S6755">
        <v>75.5</v>
      </c>
      <c r="T6755" t="s">
        <v>22486</v>
      </c>
    </row>
    <row r="6756" spans="1:20" x14ac:dyDescent="0.25">
      <c r="A6756" s="1" t="str">
        <f>HYPERLINK("https://vegkart.atlas.vegvesen.no/#/@723275.0,7756462.8,18/hva:hva%5B0%5D%5Bfilter%5D%5B0%5D%5Boperator%5D=%21%3D&amp;hva%5B0%5D%5Bfilter%5D%5B0%5D%5Btype_id%5D=5897&amp;hva%5B0%5D%5Bfilter%5D%5B0%5D%5Bverdi%5D=&amp;hva%5B0%5D%5Bid%5D=47/når:2021-11-05", "Vegkart")</f>
        <v>Vegkart</v>
      </c>
      <c r="B6756">
        <v>1014170972</v>
      </c>
      <c r="C6756">
        <v>47</v>
      </c>
      <c r="D6756" t="s">
        <v>16854</v>
      </c>
      <c r="E6756">
        <v>5897</v>
      </c>
      <c r="F6756" t="s">
        <v>23479</v>
      </c>
      <c r="G6756">
        <v>1</v>
      </c>
      <c r="H6756" t="s">
        <v>7354</v>
      </c>
      <c r="J6756" t="s">
        <v>22480</v>
      </c>
      <c r="K6756" t="s">
        <v>179</v>
      </c>
      <c r="L6756" t="s">
        <v>80</v>
      </c>
      <c r="M6756" t="s">
        <v>105</v>
      </c>
      <c r="N6756" t="s">
        <v>22487</v>
      </c>
      <c r="O6756" t="s">
        <v>22488</v>
      </c>
      <c r="P6756" s="2" t="s">
        <v>26</v>
      </c>
      <c r="Q6756" t="s">
        <v>50</v>
      </c>
      <c r="R6756">
        <v>245.12</v>
      </c>
      <c r="S6756">
        <v>245.46</v>
      </c>
      <c r="T6756" t="s">
        <v>22489</v>
      </c>
    </row>
    <row r="6757" spans="1:20" x14ac:dyDescent="0.25">
      <c r="A6757" s="1" t="str">
        <f>HYPERLINK("https://vegkart.atlas.vegvesen.no/#/@92115.3,6984813.6,18/hva:hva%5B0%5D%5Bfilter%5D%5B0%5D%5Boperator%5D=%21%3D&amp;hva%5B0%5D%5Bfilter%5D%5B0%5D%5Btype_id%5D=5897&amp;hva%5B0%5D%5Bfilter%5D%5B0%5D%5Bverdi%5D=&amp;hva%5B0%5D%5Bid%5D=47/når:2021-11-05", "Vegkart")</f>
        <v>Vegkart</v>
      </c>
      <c r="B6757">
        <v>1014171001</v>
      </c>
      <c r="C6757">
        <v>47</v>
      </c>
      <c r="D6757" t="s">
        <v>16854</v>
      </c>
      <c r="E6757">
        <v>5897</v>
      </c>
      <c r="F6757" t="s">
        <v>23479</v>
      </c>
      <c r="G6757">
        <v>1</v>
      </c>
      <c r="H6757" t="s">
        <v>7354</v>
      </c>
      <c r="J6757" t="s">
        <v>22480</v>
      </c>
      <c r="K6757" t="s">
        <v>32</v>
      </c>
      <c r="L6757" t="s">
        <v>33</v>
      </c>
      <c r="M6757" t="s">
        <v>22490</v>
      </c>
      <c r="N6757" t="s">
        <v>22491</v>
      </c>
      <c r="O6757" t="s">
        <v>22492</v>
      </c>
      <c r="P6757" s="2" t="s">
        <v>26</v>
      </c>
      <c r="Q6757" t="s">
        <v>50</v>
      </c>
      <c r="R6757">
        <v>83.1</v>
      </c>
      <c r="S6757">
        <v>86.27</v>
      </c>
      <c r="T6757" t="s">
        <v>22493</v>
      </c>
    </row>
    <row r="6758" spans="1:20" x14ac:dyDescent="0.25">
      <c r="A6758" s="1" t="str">
        <f>HYPERLINK("https://vegkart.atlas.vegvesen.no/#/@119274.7,6744936.4,18/hva:hva%5B0%5D%5Bfilter%5D%5B0%5D%5Boperator%5D=%21%3D&amp;hva%5B0%5D%5Bfilter%5D%5B0%5D%5Btype_id%5D=5897&amp;hva%5B0%5D%5Bfilter%5D%5B0%5D%5Bverdi%5D=&amp;hva%5B0%5D%5Bid%5D=47/når:2021-11-05", "Vegkart")</f>
        <v>Vegkart</v>
      </c>
      <c r="B6758">
        <v>1014171021</v>
      </c>
      <c r="C6758">
        <v>47</v>
      </c>
      <c r="D6758" t="s">
        <v>16854</v>
      </c>
      <c r="E6758">
        <v>5897</v>
      </c>
      <c r="F6758" t="s">
        <v>23479</v>
      </c>
      <c r="G6758">
        <v>1</v>
      </c>
      <c r="H6758" t="s">
        <v>7354</v>
      </c>
      <c r="J6758" t="s">
        <v>22480</v>
      </c>
      <c r="K6758" t="s">
        <v>307</v>
      </c>
      <c r="L6758" t="s">
        <v>33</v>
      </c>
      <c r="M6758" t="s">
        <v>192</v>
      </c>
      <c r="N6758" t="s">
        <v>22494</v>
      </c>
      <c r="O6758" t="s">
        <v>22495</v>
      </c>
      <c r="P6758" s="2" t="s">
        <v>26</v>
      </c>
      <c r="Q6758" t="s">
        <v>50</v>
      </c>
      <c r="R6758">
        <v>101.7</v>
      </c>
      <c r="S6758">
        <v>101.78</v>
      </c>
      <c r="T6758" t="s">
        <v>22496</v>
      </c>
    </row>
    <row r="6759" spans="1:20" x14ac:dyDescent="0.25">
      <c r="A6759" s="1" t="str">
        <f>HYPERLINK("https://vegkart.atlas.vegvesen.no/#/@129324.8,6725323.7,18/hva:hva%5B0%5D%5Bfilter%5D%5B0%5D%5Boperator%5D=%21%3D&amp;hva%5B0%5D%5Bfilter%5D%5B0%5D%5Btype_id%5D=5897&amp;hva%5B0%5D%5Bfilter%5D%5B0%5D%5Bverdi%5D=&amp;hva%5B0%5D%5Bid%5D=47/når:2021-11-05", "Vegkart")</f>
        <v>Vegkart</v>
      </c>
      <c r="B6759">
        <v>1014171053</v>
      </c>
      <c r="C6759">
        <v>47</v>
      </c>
      <c r="D6759" t="s">
        <v>16854</v>
      </c>
      <c r="E6759">
        <v>5897</v>
      </c>
      <c r="F6759" t="s">
        <v>23479</v>
      </c>
      <c r="G6759">
        <v>1</v>
      </c>
      <c r="H6759" t="s">
        <v>7354</v>
      </c>
      <c r="J6759" t="s">
        <v>22480</v>
      </c>
      <c r="K6759" t="s">
        <v>307</v>
      </c>
      <c r="L6759" t="s">
        <v>33</v>
      </c>
      <c r="M6759" t="s">
        <v>197</v>
      </c>
      <c r="N6759" t="s">
        <v>22497</v>
      </c>
      <c r="O6759" t="s">
        <v>22498</v>
      </c>
      <c r="P6759" s="2" t="s">
        <v>26</v>
      </c>
      <c r="Q6759" t="s">
        <v>50</v>
      </c>
      <c r="R6759">
        <v>106.08</v>
      </c>
      <c r="S6759">
        <v>106.18</v>
      </c>
      <c r="T6759" t="s">
        <v>22499</v>
      </c>
    </row>
    <row r="6760" spans="1:20" x14ac:dyDescent="0.25">
      <c r="A6760" s="1" t="str">
        <f>HYPERLINK("https://vegkart.atlas.vegvesen.no/#/@128137.9,6487369.7,18/hva:hva%5B0%5D%5Bfilter%5D%5B0%5D%5Boperator%5D=%21%3D&amp;hva%5B0%5D%5Bfilter%5D%5B0%5D%5Btype_id%5D=5897&amp;hva%5B0%5D%5Bfilter%5D%5B0%5D%5Bverdi%5D=&amp;hva%5B0%5D%5Bid%5D=47/når:2021-11-05", "Vegkart")</f>
        <v>Vegkart</v>
      </c>
      <c r="B6760">
        <v>1014171058</v>
      </c>
      <c r="C6760">
        <v>47</v>
      </c>
      <c r="D6760" t="s">
        <v>16854</v>
      </c>
      <c r="E6760">
        <v>5897</v>
      </c>
      <c r="F6760" t="s">
        <v>23479</v>
      </c>
      <c r="G6760">
        <v>1</v>
      </c>
      <c r="H6760" t="s">
        <v>7354</v>
      </c>
      <c r="J6760" t="s">
        <v>22480</v>
      </c>
      <c r="K6760" t="s">
        <v>86</v>
      </c>
      <c r="L6760" t="s">
        <v>33</v>
      </c>
      <c r="M6760" t="s">
        <v>20176</v>
      </c>
      <c r="N6760" t="s">
        <v>22500</v>
      </c>
      <c r="O6760" t="s">
        <v>22501</v>
      </c>
      <c r="P6760" s="2" t="s">
        <v>26</v>
      </c>
      <c r="Q6760" t="s">
        <v>50</v>
      </c>
      <c r="R6760">
        <v>79.48</v>
      </c>
      <c r="S6760">
        <v>80.02</v>
      </c>
      <c r="T6760" t="s">
        <v>22502</v>
      </c>
    </row>
    <row r="6761" spans="1:20" x14ac:dyDescent="0.25">
      <c r="A6761" s="1" t="str">
        <f>HYPERLINK("https://vegkart.atlas.vegvesen.no/#/@194784.7,6568854.9,18/hva:hva%5B0%5D%5Bfilter%5D%5B0%5D%5Boperator%5D=%21%3D&amp;hva%5B0%5D%5Bfilter%5D%5B0%5D%5Btype_id%5D=5897&amp;hva%5B0%5D%5Bfilter%5D%5B0%5D%5Bverdi%5D=&amp;hva%5B0%5D%5Bid%5D=47/når:2023-03-21", "Vegkart")</f>
        <v>Vegkart</v>
      </c>
      <c r="B6761">
        <v>1014171064</v>
      </c>
      <c r="C6761">
        <v>47</v>
      </c>
      <c r="D6761" t="s">
        <v>16854</v>
      </c>
      <c r="E6761">
        <v>5897</v>
      </c>
      <c r="F6761" t="s">
        <v>23479</v>
      </c>
      <c r="G6761">
        <v>3</v>
      </c>
      <c r="H6761" t="s">
        <v>2824</v>
      </c>
      <c r="J6761" t="s">
        <v>22480</v>
      </c>
      <c r="K6761" t="s">
        <v>197</v>
      </c>
      <c r="L6761" t="s">
        <v>33</v>
      </c>
      <c r="M6761" t="s">
        <v>132</v>
      </c>
      <c r="N6761" t="s">
        <v>22503</v>
      </c>
      <c r="O6761" t="s">
        <v>22504</v>
      </c>
      <c r="P6761" s="2" t="s">
        <v>165</v>
      </c>
      <c r="Q6761" t="s">
        <v>166</v>
      </c>
      <c r="R6761">
        <v>91.04</v>
      </c>
      <c r="S6761">
        <v>95.88</v>
      </c>
      <c r="T6761" t="s">
        <v>167</v>
      </c>
    </row>
    <row r="6762" spans="1:20" x14ac:dyDescent="0.25">
      <c r="A6762" s="1" t="str">
        <f>HYPERLINK("https://vegkart.atlas.vegvesen.no/#/@196625.5,6554802.5,18/hva:hva%5B0%5D%5Bfilter%5D%5B0%5D%5Boperator%5D=%21%3D&amp;hva%5B0%5D%5Bfilter%5D%5B0%5D%5Btype_id%5D=5897&amp;hva%5B0%5D%5Bfilter%5D%5B0%5D%5Bverdi%5D=&amp;hva%5B0%5D%5Bid%5D=47/når:2022-12-06", "Vegkart")</f>
        <v>Vegkart</v>
      </c>
      <c r="B6762">
        <v>1014171069</v>
      </c>
      <c r="C6762">
        <v>47</v>
      </c>
      <c r="D6762" t="s">
        <v>16854</v>
      </c>
      <c r="E6762">
        <v>5897</v>
      </c>
      <c r="F6762" t="s">
        <v>23479</v>
      </c>
      <c r="G6762">
        <v>2</v>
      </c>
      <c r="H6762" t="s">
        <v>17967</v>
      </c>
      <c r="J6762" t="s">
        <v>22480</v>
      </c>
      <c r="K6762" t="s">
        <v>197</v>
      </c>
      <c r="L6762" t="s">
        <v>33</v>
      </c>
      <c r="M6762" t="s">
        <v>1978</v>
      </c>
      <c r="N6762" t="s">
        <v>22505</v>
      </c>
      <c r="O6762" t="s">
        <v>22506</v>
      </c>
      <c r="P6762" s="2" t="s">
        <v>37</v>
      </c>
      <c r="Q6762" t="s">
        <v>1208</v>
      </c>
      <c r="R6762">
        <v>0</v>
      </c>
      <c r="S6762">
        <v>121.21</v>
      </c>
      <c r="T6762" t="s">
        <v>22507</v>
      </c>
    </row>
    <row r="6763" spans="1:20" x14ac:dyDescent="0.25">
      <c r="A6763" s="1" t="str">
        <f>HYPERLINK("https://vegkart.atlas.vegvesen.no/#/@-28555.1,6712354.9,18/hva:hva%5B0%5D%5Bfilter%5D%5B0%5D%5Boperator%5D=%21%3D&amp;hva%5B0%5D%5Bfilter%5D%5B0%5D%5Btype_id%5D=5897&amp;hva%5B0%5D%5Bfilter%5D%5B0%5D%5Bverdi%5D=&amp;hva%5B0%5D%5Bid%5D=47/når:2021-11-15", "Vegkart")</f>
        <v>Vegkart</v>
      </c>
      <c r="B6763">
        <v>1014193492</v>
      </c>
      <c r="C6763">
        <v>47</v>
      </c>
      <c r="D6763" t="s">
        <v>16854</v>
      </c>
      <c r="E6763">
        <v>5897</v>
      </c>
      <c r="F6763" t="s">
        <v>23479</v>
      </c>
      <c r="G6763">
        <v>1</v>
      </c>
      <c r="H6763" t="s">
        <v>22508</v>
      </c>
      <c r="J6763" t="s">
        <v>22480</v>
      </c>
      <c r="K6763" t="s">
        <v>21</v>
      </c>
      <c r="L6763" t="s">
        <v>80</v>
      </c>
      <c r="M6763" t="s">
        <v>81</v>
      </c>
      <c r="N6763" t="s">
        <v>22509</v>
      </c>
      <c r="O6763" t="s">
        <v>22510</v>
      </c>
      <c r="P6763" s="2" t="s">
        <v>26</v>
      </c>
      <c r="Q6763" t="s">
        <v>50</v>
      </c>
      <c r="R6763">
        <v>69.58</v>
      </c>
      <c r="S6763">
        <v>69.599999999999994</v>
      </c>
      <c r="T6763" t="s">
        <v>22511</v>
      </c>
    </row>
    <row r="6764" spans="1:20" x14ac:dyDescent="0.25">
      <c r="A6764" s="1" t="str">
        <f>HYPERLINK("https://vegkart.atlas.vegvesen.no/#/@253425.8,6585514.6,18/hva:hva%5B0%5D%5Bfilter%5D%5B0%5D%5Boperator%5D=%21%3D&amp;hva%5B0%5D%5Bfilter%5D%5B0%5D%5Btype_id%5D=5897&amp;hva%5B0%5D%5Bfilter%5D%5B0%5D%5Bverdi%5D=&amp;hva%5B0%5D%5Bid%5D=47/når:2021-11-16", "Vegkart")</f>
        <v>Vegkart</v>
      </c>
      <c r="B6764">
        <v>1014197758</v>
      </c>
      <c r="C6764">
        <v>47</v>
      </c>
      <c r="D6764" t="s">
        <v>16854</v>
      </c>
      <c r="E6764">
        <v>5897</v>
      </c>
      <c r="F6764" t="s">
        <v>23479</v>
      </c>
      <c r="G6764">
        <v>1</v>
      </c>
      <c r="H6764" t="s">
        <v>16021</v>
      </c>
      <c r="J6764" t="s">
        <v>22480</v>
      </c>
      <c r="K6764" t="s">
        <v>104</v>
      </c>
      <c r="L6764" t="s">
        <v>33</v>
      </c>
      <c r="M6764" t="s">
        <v>9926</v>
      </c>
      <c r="N6764" t="s">
        <v>22512</v>
      </c>
      <c r="O6764" t="s">
        <v>22513</v>
      </c>
      <c r="P6764" s="2" t="s">
        <v>26</v>
      </c>
      <c r="Q6764" t="s">
        <v>50</v>
      </c>
      <c r="R6764">
        <v>13.72</v>
      </c>
      <c r="S6764">
        <v>13.72</v>
      </c>
      <c r="T6764" t="s">
        <v>22514</v>
      </c>
    </row>
    <row r="6765" spans="1:20" x14ac:dyDescent="0.25">
      <c r="A6765" s="1" t="str">
        <f>HYPERLINK("https://vegkart.atlas.vegvesen.no/#/@-34743.8,6555780.0,18/hva:hva%5B0%5D%5Bfilter%5D%5B0%5D%5Boperator%5D=%21%3D&amp;hva%5B0%5D%5Bfilter%5D%5B0%5D%5Btype_id%5D=5897&amp;hva%5B0%5D%5Bfilter%5D%5B0%5D%5Bverdi%5D=&amp;hva%5B0%5D%5Bid%5D=47/når:2021-11-16", "Vegkart")</f>
        <v>Vegkart</v>
      </c>
      <c r="B6765">
        <v>1014197950</v>
      </c>
      <c r="C6765">
        <v>47</v>
      </c>
      <c r="D6765" t="s">
        <v>16854</v>
      </c>
      <c r="E6765">
        <v>5897</v>
      </c>
      <c r="F6765" t="s">
        <v>23479</v>
      </c>
      <c r="G6765">
        <v>1</v>
      </c>
      <c r="H6765" t="s">
        <v>16021</v>
      </c>
      <c r="J6765" t="s">
        <v>22480</v>
      </c>
      <c r="K6765" t="s">
        <v>170</v>
      </c>
      <c r="L6765" t="s">
        <v>33</v>
      </c>
      <c r="M6765" t="s">
        <v>11923</v>
      </c>
      <c r="N6765" t="s">
        <v>22515</v>
      </c>
      <c r="O6765" t="s">
        <v>22516</v>
      </c>
      <c r="P6765" s="2" t="s">
        <v>26</v>
      </c>
      <c r="Q6765" t="s">
        <v>50</v>
      </c>
      <c r="R6765">
        <v>71.27</v>
      </c>
      <c r="S6765">
        <v>71.760000000000005</v>
      </c>
      <c r="T6765" t="s">
        <v>22517</v>
      </c>
    </row>
    <row r="6766" spans="1:20" x14ac:dyDescent="0.25">
      <c r="A6766" s="1" t="str">
        <f>HYPERLINK("https://vegkart.atlas.vegvesen.no/#/@-34748.2,6555803.1,18/hva:hva%5B0%5D%5Bfilter%5D%5B0%5D%5Boperator%5D=%21%3D&amp;hva%5B0%5D%5Bfilter%5D%5B0%5D%5Btype_id%5D=5897&amp;hva%5B0%5D%5Bfilter%5D%5B0%5D%5Bverdi%5D=&amp;hva%5B0%5D%5Bid%5D=47/når:2021-11-16", "Vegkart")</f>
        <v>Vegkart</v>
      </c>
      <c r="B6766">
        <v>1014197951</v>
      </c>
      <c r="C6766">
        <v>47</v>
      </c>
      <c r="D6766" t="s">
        <v>16854</v>
      </c>
      <c r="E6766">
        <v>5897</v>
      </c>
      <c r="F6766" t="s">
        <v>23479</v>
      </c>
      <c r="G6766">
        <v>1</v>
      </c>
      <c r="H6766" t="s">
        <v>16021</v>
      </c>
      <c r="J6766" t="s">
        <v>22480</v>
      </c>
      <c r="K6766" t="s">
        <v>170</v>
      </c>
      <c r="L6766" t="s">
        <v>33</v>
      </c>
      <c r="M6766" t="s">
        <v>11923</v>
      </c>
      <c r="N6766" t="s">
        <v>22518</v>
      </c>
      <c r="O6766" t="s">
        <v>22519</v>
      </c>
      <c r="P6766" s="2" t="s">
        <v>26</v>
      </c>
      <c r="Q6766" t="s">
        <v>50</v>
      </c>
      <c r="R6766">
        <v>67.86</v>
      </c>
      <c r="S6766">
        <v>71.45</v>
      </c>
      <c r="T6766" t="s">
        <v>22520</v>
      </c>
    </row>
    <row r="6767" spans="1:20" x14ac:dyDescent="0.25">
      <c r="A6767" s="1" t="str">
        <f>HYPERLINK("https://vegkart.atlas.vegvesen.no/#/@-29325.6,6713460.3,18/hva:hva%5B0%5D%5Bfilter%5D%5B0%5D%5Boperator%5D=%21%3D&amp;hva%5B0%5D%5Bfilter%5D%5B0%5D%5Btype_id%5D=5897&amp;hva%5B0%5D%5Bfilter%5D%5B0%5D%5Bverdi%5D=&amp;hva%5B0%5D%5Bid%5D=47/når:2021-11-17", "Vegkart")</f>
        <v>Vegkart</v>
      </c>
      <c r="B6767">
        <v>1014233001</v>
      </c>
      <c r="C6767">
        <v>47</v>
      </c>
      <c r="D6767" t="s">
        <v>16854</v>
      </c>
      <c r="E6767">
        <v>5897</v>
      </c>
      <c r="F6767" t="s">
        <v>23479</v>
      </c>
      <c r="G6767">
        <v>1</v>
      </c>
      <c r="H6767" t="s">
        <v>22521</v>
      </c>
      <c r="J6767" t="s">
        <v>22480</v>
      </c>
      <c r="K6767" t="s">
        <v>21</v>
      </c>
      <c r="L6767" t="s">
        <v>80</v>
      </c>
      <c r="M6767" t="s">
        <v>81</v>
      </c>
      <c r="N6767" t="s">
        <v>22522</v>
      </c>
      <c r="O6767" t="s">
        <v>22523</v>
      </c>
      <c r="P6767" s="2" t="s">
        <v>26</v>
      </c>
      <c r="Q6767" t="s">
        <v>50</v>
      </c>
      <c r="R6767">
        <v>129.72999999999999</v>
      </c>
      <c r="S6767">
        <v>129.81</v>
      </c>
      <c r="T6767" t="s">
        <v>22524</v>
      </c>
    </row>
    <row r="6768" spans="1:20" x14ac:dyDescent="0.25">
      <c r="A6768" s="1" t="str">
        <f>HYPERLINK("https://vegkart.atlas.vegvesen.no/#/@-29075.1,6713033.2,18/hva:hva%5B0%5D%5Bfilter%5D%5B0%5D%5Boperator%5D=%21%3D&amp;hva%5B0%5D%5Bfilter%5D%5B0%5D%5Btype_id%5D=5897&amp;hva%5B0%5D%5Bfilter%5D%5B0%5D%5Bverdi%5D=&amp;hva%5B0%5D%5Bid%5D=47/når:2021-11-17", "Vegkart")</f>
        <v>Vegkart</v>
      </c>
      <c r="B6768">
        <v>1014233002</v>
      </c>
      <c r="C6768">
        <v>47</v>
      </c>
      <c r="D6768" t="s">
        <v>16854</v>
      </c>
      <c r="E6768">
        <v>5897</v>
      </c>
      <c r="F6768" t="s">
        <v>23479</v>
      </c>
      <c r="G6768">
        <v>1</v>
      </c>
      <c r="H6768" t="s">
        <v>22521</v>
      </c>
      <c r="J6768" t="s">
        <v>22480</v>
      </c>
      <c r="K6768" t="s">
        <v>21</v>
      </c>
      <c r="L6768" t="s">
        <v>80</v>
      </c>
      <c r="M6768" t="s">
        <v>81</v>
      </c>
      <c r="N6768" t="s">
        <v>22525</v>
      </c>
      <c r="O6768" t="s">
        <v>22526</v>
      </c>
      <c r="P6768" s="2" t="s">
        <v>26</v>
      </c>
      <c r="Q6768" t="s">
        <v>50</v>
      </c>
      <c r="R6768">
        <v>129.88999999999999</v>
      </c>
      <c r="S6768">
        <v>129.97</v>
      </c>
      <c r="T6768" t="s">
        <v>22527</v>
      </c>
    </row>
    <row r="6769" spans="1:20" x14ac:dyDescent="0.25">
      <c r="A6769" s="1" t="str">
        <f>HYPERLINK("https://vegkart.atlas.vegvesen.no/#/@-28713.8,6712686.8,18/hva:hva%5B0%5D%5Bfilter%5D%5B0%5D%5Boperator%5D=%21%3D&amp;hva%5B0%5D%5Bfilter%5D%5B0%5D%5Btype_id%5D=5897&amp;hva%5B0%5D%5Bfilter%5D%5B0%5D%5Bverdi%5D=&amp;hva%5B0%5D%5Bid%5D=47/når:2021-11-17", "Vegkart")</f>
        <v>Vegkart</v>
      </c>
      <c r="B6769">
        <v>1014233003</v>
      </c>
      <c r="C6769">
        <v>47</v>
      </c>
      <c r="D6769" t="s">
        <v>16854</v>
      </c>
      <c r="E6769">
        <v>5897</v>
      </c>
      <c r="F6769" t="s">
        <v>23479</v>
      </c>
      <c r="G6769">
        <v>1</v>
      </c>
      <c r="H6769" t="s">
        <v>22521</v>
      </c>
      <c r="J6769" t="s">
        <v>22480</v>
      </c>
      <c r="K6769" t="s">
        <v>21</v>
      </c>
      <c r="L6769" t="s">
        <v>80</v>
      </c>
      <c r="M6769" t="s">
        <v>81</v>
      </c>
      <c r="N6769" t="s">
        <v>22528</v>
      </c>
      <c r="O6769" t="s">
        <v>22529</v>
      </c>
      <c r="P6769" s="2" t="s">
        <v>26</v>
      </c>
      <c r="Q6769" t="s">
        <v>50</v>
      </c>
      <c r="R6769">
        <v>90.35</v>
      </c>
      <c r="S6769">
        <v>90.38</v>
      </c>
      <c r="T6769" t="s">
        <v>22530</v>
      </c>
    </row>
    <row r="6770" spans="1:20" x14ac:dyDescent="0.25">
      <c r="A6770" s="1" t="str">
        <f>HYPERLINK("https://vegkart.atlas.vegvesen.no/#/@-28907.0,6712842.3,18/hva:hva%5B0%5D%5Bfilter%5D%5B0%5D%5Boperator%5D=%21%3D&amp;hva%5B0%5D%5Bfilter%5D%5B0%5D%5Btype_id%5D=5897&amp;hva%5B0%5D%5Bfilter%5D%5B0%5D%5Bverdi%5D=&amp;hva%5B0%5D%5Bid%5D=47/når:2021-11-17", "Vegkart")</f>
        <v>Vegkart</v>
      </c>
      <c r="B6770">
        <v>1014233004</v>
      </c>
      <c r="C6770">
        <v>47</v>
      </c>
      <c r="D6770" t="s">
        <v>16854</v>
      </c>
      <c r="E6770">
        <v>5897</v>
      </c>
      <c r="F6770" t="s">
        <v>23479</v>
      </c>
      <c r="G6770">
        <v>1</v>
      </c>
      <c r="H6770" t="s">
        <v>22521</v>
      </c>
      <c r="J6770" t="s">
        <v>22480</v>
      </c>
      <c r="K6770" t="s">
        <v>21</v>
      </c>
      <c r="L6770" t="s">
        <v>80</v>
      </c>
      <c r="M6770" t="s">
        <v>81</v>
      </c>
      <c r="N6770" t="s">
        <v>22531</v>
      </c>
      <c r="O6770" t="s">
        <v>22532</v>
      </c>
      <c r="P6770" s="2" t="s">
        <v>26</v>
      </c>
      <c r="Q6770" t="s">
        <v>50</v>
      </c>
      <c r="R6770">
        <v>117.45</v>
      </c>
      <c r="S6770">
        <v>117.46</v>
      </c>
      <c r="T6770" t="s">
        <v>22533</v>
      </c>
    </row>
    <row r="6771" spans="1:20" x14ac:dyDescent="0.25">
      <c r="A6771" s="1" t="str">
        <f>HYPERLINK("https://vegkart.atlas.vegvesen.no/#/@-29251.4,6713216.8,18/hva:hva%5B0%5D%5Bfilter%5D%5B0%5D%5Boperator%5D=%21%3D&amp;hva%5B0%5D%5Bfilter%5D%5B0%5D%5Btype_id%5D=5897&amp;hva%5B0%5D%5Bfilter%5D%5B0%5D%5Bverdi%5D=&amp;hva%5B0%5D%5Bid%5D=47/når:2021-11-17", "Vegkart")</f>
        <v>Vegkart</v>
      </c>
      <c r="B6771">
        <v>1014233005</v>
      </c>
      <c r="C6771">
        <v>47</v>
      </c>
      <c r="D6771" t="s">
        <v>16854</v>
      </c>
      <c r="E6771">
        <v>5897</v>
      </c>
      <c r="F6771" t="s">
        <v>23479</v>
      </c>
      <c r="G6771">
        <v>1</v>
      </c>
      <c r="H6771" t="s">
        <v>22521</v>
      </c>
      <c r="J6771" t="s">
        <v>22480</v>
      </c>
      <c r="K6771" t="s">
        <v>21</v>
      </c>
      <c r="L6771" t="s">
        <v>80</v>
      </c>
      <c r="M6771" t="s">
        <v>81</v>
      </c>
      <c r="N6771" t="s">
        <v>22534</v>
      </c>
      <c r="O6771" t="s">
        <v>22535</v>
      </c>
      <c r="P6771" s="2" t="s">
        <v>26</v>
      </c>
      <c r="Q6771" t="s">
        <v>50</v>
      </c>
      <c r="R6771">
        <v>89.95</v>
      </c>
      <c r="S6771">
        <v>89.98</v>
      </c>
      <c r="T6771" t="s">
        <v>22536</v>
      </c>
    </row>
    <row r="6772" spans="1:20" x14ac:dyDescent="0.25">
      <c r="A6772" s="1" t="str">
        <f>HYPERLINK("https://vegkart.atlas.vegvesen.no/#/@-33115.1,6722415.6,18/hva:hva%5B0%5D%5Bfilter%5D%5B0%5D%5Boperator%5D=%21%3D&amp;hva%5B0%5D%5Bfilter%5D%5B0%5D%5Btype_id%5D=5897&amp;hva%5B0%5D%5Bfilter%5D%5B0%5D%5Bverdi%5D=&amp;hva%5B0%5D%5Bid%5D=47/når:2021-11-29", "Vegkart")</f>
        <v>Vegkart</v>
      </c>
      <c r="B6772">
        <v>1014276257</v>
      </c>
      <c r="C6772">
        <v>47</v>
      </c>
      <c r="D6772" t="s">
        <v>16854</v>
      </c>
      <c r="E6772">
        <v>5897</v>
      </c>
      <c r="F6772" t="s">
        <v>23479</v>
      </c>
      <c r="G6772">
        <v>1</v>
      </c>
      <c r="H6772" t="s">
        <v>22537</v>
      </c>
      <c r="J6772" t="s">
        <v>22480</v>
      </c>
      <c r="K6772" t="s">
        <v>21</v>
      </c>
      <c r="L6772" t="s">
        <v>80</v>
      </c>
      <c r="M6772" t="s">
        <v>81</v>
      </c>
      <c r="N6772" t="s">
        <v>22538</v>
      </c>
      <c r="O6772" t="s">
        <v>22539</v>
      </c>
      <c r="P6772" s="2" t="s">
        <v>26</v>
      </c>
      <c r="Q6772" t="s">
        <v>50</v>
      </c>
      <c r="R6772">
        <v>89.82</v>
      </c>
      <c r="S6772">
        <v>89.82</v>
      </c>
      <c r="T6772" t="s">
        <v>22540</v>
      </c>
    </row>
    <row r="6773" spans="1:20" x14ac:dyDescent="0.25">
      <c r="A6773" s="1" t="str">
        <f>HYPERLINK("https://vegkart.atlas.vegvesen.no/#/@-32726.7,6722099.4,18/hva:hva%5B0%5D%5Bfilter%5D%5B0%5D%5Boperator%5D=%21%3D&amp;hva%5B0%5D%5Bfilter%5D%5B0%5D%5Btype_id%5D=5897&amp;hva%5B0%5D%5Bfilter%5D%5B0%5D%5Bverdi%5D=&amp;hva%5B0%5D%5Bid%5D=47/når:2021-11-29", "Vegkart")</f>
        <v>Vegkart</v>
      </c>
      <c r="B6773">
        <v>1014276258</v>
      </c>
      <c r="C6773">
        <v>47</v>
      </c>
      <c r="D6773" t="s">
        <v>16854</v>
      </c>
      <c r="E6773">
        <v>5897</v>
      </c>
      <c r="F6773" t="s">
        <v>23479</v>
      </c>
      <c r="G6773">
        <v>1</v>
      </c>
      <c r="H6773" t="s">
        <v>22537</v>
      </c>
      <c r="J6773" t="s">
        <v>22480</v>
      </c>
      <c r="K6773" t="s">
        <v>21</v>
      </c>
      <c r="L6773" t="s">
        <v>80</v>
      </c>
      <c r="M6773" t="s">
        <v>81</v>
      </c>
      <c r="N6773" t="s">
        <v>22541</v>
      </c>
      <c r="O6773" t="s">
        <v>22542</v>
      </c>
      <c r="P6773" s="2" t="s">
        <v>26</v>
      </c>
      <c r="Q6773" t="s">
        <v>50</v>
      </c>
      <c r="R6773">
        <v>90.3</v>
      </c>
      <c r="S6773">
        <v>90.3</v>
      </c>
      <c r="T6773" t="s">
        <v>22543</v>
      </c>
    </row>
    <row r="6774" spans="1:20" x14ac:dyDescent="0.25">
      <c r="A6774" s="1" t="str">
        <f>HYPERLINK("https://vegkart.atlas.vegvesen.no/#/@-32352.4,6721765.8,18/hva:hva%5B0%5D%5Bfilter%5D%5B0%5D%5Boperator%5D=%21%3D&amp;hva%5B0%5D%5Bfilter%5D%5B0%5D%5Btype_id%5D=5897&amp;hva%5B0%5D%5Bfilter%5D%5B0%5D%5Bverdi%5D=&amp;hva%5B0%5D%5Bid%5D=47/når:2021-11-29", "Vegkart")</f>
        <v>Vegkart</v>
      </c>
      <c r="B6774">
        <v>1014276259</v>
      </c>
      <c r="C6774">
        <v>47</v>
      </c>
      <c r="D6774" t="s">
        <v>16854</v>
      </c>
      <c r="E6774">
        <v>5897</v>
      </c>
      <c r="F6774" t="s">
        <v>23479</v>
      </c>
      <c r="G6774">
        <v>1</v>
      </c>
      <c r="H6774" t="s">
        <v>22537</v>
      </c>
      <c r="J6774" t="s">
        <v>22480</v>
      </c>
      <c r="K6774" t="s">
        <v>21</v>
      </c>
      <c r="L6774" t="s">
        <v>80</v>
      </c>
      <c r="M6774" t="s">
        <v>81</v>
      </c>
      <c r="N6774" t="s">
        <v>22544</v>
      </c>
      <c r="O6774" t="s">
        <v>22545</v>
      </c>
      <c r="P6774" s="2" t="s">
        <v>26</v>
      </c>
      <c r="Q6774" t="s">
        <v>50</v>
      </c>
      <c r="R6774">
        <v>90.27</v>
      </c>
      <c r="S6774">
        <v>90.28</v>
      </c>
      <c r="T6774" t="s">
        <v>22546</v>
      </c>
    </row>
    <row r="6775" spans="1:20" x14ac:dyDescent="0.25">
      <c r="A6775" s="1" t="str">
        <f>HYPERLINK("https://vegkart.atlas.vegvesen.no/#/@-32051.2,6721365.0,18/hva:hva%5B0%5D%5Bfilter%5D%5B0%5D%5Boperator%5D=%21%3D&amp;hva%5B0%5D%5Bfilter%5D%5B0%5D%5Btype_id%5D=5897&amp;hva%5B0%5D%5Bfilter%5D%5B0%5D%5Bverdi%5D=&amp;hva%5B0%5D%5Bid%5D=47/når:2021-11-29", "Vegkart")</f>
        <v>Vegkart</v>
      </c>
      <c r="B6775">
        <v>1014276260</v>
      </c>
      <c r="C6775">
        <v>47</v>
      </c>
      <c r="D6775" t="s">
        <v>16854</v>
      </c>
      <c r="E6775">
        <v>5897</v>
      </c>
      <c r="F6775" t="s">
        <v>23479</v>
      </c>
      <c r="G6775">
        <v>1</v>
      </c>
      <c r="H6775" t="s">
        <v>22537</v>
      </c>
      <c r="J6775" t="s">
        <v>22480</v>
      </c>
      <c r="K6775" t="s">
        <v>21</v>
      </c>
      <c r="L6775" t="s">
        <v>80</v>
      </c>
      <c r="M6775" t="s">
        <v>81</v>
      </c>
      <c r="N6775" t="s">
        <v>22547</v>
      </c>
      <c r="O6775" t="s">
        <v>22548</v>
      </c>
      <c r="P6775" s="2" t="s">
        <v>26</v>
      </c>
      <c r="Q6775" t="s">
        <v>50</v>
      </c>
      <c r="R6775">
        <v>89.75</v>
      </c>
      <c r="S6775">
        <v>89.76</v>
      </c>
      <c r="T6775" t="s">
        <v>22549</v>
      </c>
    </row>
    <row r="6776" spans="1:20" x14ac:dyDescent="0.25">
      <c r="A6776" s="1" t="str">
        <f>HYPERLINK("https://vegkart.atlas.vegvesen.no/#/@-31388.5,6720018.4,18/hva:hva%5B0%5D%5Bfilter%5D%5B0%5D%5Boperator%5D=%21%3D&amp;hva%5B0%5D%5Bfilter%5D%5B0%5D%5Btype_id%5D=5897&amp;hva%5B0%5D%5Bfilter%5D%5B0%5D%5Bverdi%5D=&amp;hva%5B0%5D%5Bid%5D=47/når:2021-11-29", "Vegkart")</f>
        <v>Vegkart</v>
      </c>
      <c r="B6776">
        <v>1014276261</v>
      </c>
      <c r="C6776">
        <v>47</v>
      </c>
      <c r="D6776" t="s">
        <v>16854</v>
      </c>
      <c r="E6776">
        <v>5897</v>
      </c>
      <c r="F6776" t="s">
        <v>23479</v>
      </c>
      <c r="G6776">
        <v>1</v>
      </c>
      <c r="H6776" t="s">
        <v>22537</v>
      </c>
      <c r="J6776" t="s">
        <v>22480</v>
      </c>
      <c r="K6776" t="s">
        <v>21</v>
      </c>
      <c r="L6776" t="s">
        <v>80</v>
      </c>
      <c r="M6776" t="s">
        <v>81</v>
      </c>
      <c r="N6776" t="s">
        <v>22550</v>
      </c>
      <c r="O6776" t="s">
        <v>22551</v>
      </c>
      <c r="P6776" s="2" t="s">
        <v>26</v>
      </c>
      <c r="Q6776" t="s">
        <v>50</v>
      </c>
      <c r="R6776">
        <v>89.16</v>
      </c>
      <c r="S6776">
        <v>89.16</v>
      </c>
      <c r="T6776" t="s">
        <v>22552</v>
      </c>
    </row>
    <row r="6777" spans="1:20" x14ac:dyDescent="0.25">
      <c r="A6777" s="1" t="str">
        <f>HYPERLINK("https://vegkart.atlas.vegvesen.no/#/@-31639.4,6720451.8,18/hva:hva%5B0%5D%5Bfilter%5D%5B0%5D%5Boperator%5D=%21%3D&amp;hva%5B0%5D%5Bfilter%5D%5B0%5D%5Btype_id%5D=5897&amp;hva%5B0%5D%5Bfilter%5D%5B0%5D%5Bverdi%5D=&amp;hva%5B0%5D%5Bid%5D=47/når:2021-11-29", "Vegkart")</f>
        <v>Vegkart</v>
      </c>
      <c r="B6777">
        <v>1014276263</v>
      </c>
      <c r="C6777">
        <v>47</v>
      </c>
      <c r="D6777" t="s">
        <v>16854</v>
      </c>
      <c r="E6777">
        <v>5897</v>
      </c>
      <c r="F6777" t="s">
        <v>23479</v>
      </c>
      <c r="G6777">
        <v>1</v>
      </c>
      <c r="H6777" t="s">
        <v>22537</v>
      </c>
      <c r="J6777" t="s">
        <v>22480</v>
      </c>
      <c r="K6777" t="s">
        <v>21</v>
      </c>
      <c r="L6777" t="s">
        <v>80</v>
      </c>
      <c r="M6777" t="s">
        <v>81</v>
      </c>
      <c r="N6777" t="s">
        <v>22553</v>
      </c>
      <c r="O6777" t="s">
        <v>22554</v>
      </c>
      <c r="P6777" s="2" t="s">
        <v>26</v>
      </c>
      <c r="Q6777" t="s">
        <v>50</v>
      </c>
      <c r="R6777">
        <v>89.51</v>
      </c>
      <c r="S6777">
        <v>89.51</v>
      </c>
      <c r="T6777" t="s">
        <v>22555</v>
      </c>
    </row>
    <row r="6778" spans="1:20" x14ac:dyDescent="0.25">
      <c r="A6778" s="1" t="str">
        <f>HYPERLINK("https://vegkart.atlas.vegvesen.no/#/@-31835.0,6720912.9,18/hva:hva%5B0%5D%5Bfilter%5D%5B0%5D%5Boperator%5D=%21%3D&amp;hva%5B0%5D%5Bfilter%5D%5B0%5D%5Btype_id%5D=5897&amp;hva%5B0%5D%5Bfilter%5D%5B0%5D%5Bverdi%5D=&amp;hva%5B0%5D%5Bid%5D=47/når:2021-11-29", "Vegkart")</f>
        <v>Vegkart</v>
      </c>
      <c r="B6778">
        <v>1014276265</v>
      </c>
      <c r="C6778">
        <v>47</v>
      </c>
      <c r="D6778" t="s">
        <v>16854</v>
      </c>
      <c r="E6778">
        <v>5897</v>
      </c>
      <c r="F6778" t="s">
        <v>23479</v>
      </c>
      <c r="G6778">
        <v>1</v>
      </c>
      <c r="H6778" t="s">
        <v>22537</v>
      </c>
      <c r="J6778" t="s">
        <v>22480</v>
      </c>
      <c r="K6778" t="s">
        <v>21</v>
      </c>
      <c r="L6778" t="s">
        <v>80</v>
      </c>
      <c r="M6778" t="s">
        <v>81</v>
      </c>
      <c r="N6778" t="s">
        <v>22556</v>
      </c>
      <c r="O6778" t="s">
        <v>22557</v>
      </c>
      <c r="P6778" s="2" t="s">
        <v>26</v>
      </c>
      <c r="Q6778" t="s">
        <v>50</v>
      </c>
      <c r="R6778">
        <v>89.27</v>
      </c>
      <c r="S6778">
        <v>89.27</v>
      </c>
      <c r="T6778" t="s">
        <v>22558</v>
      </c>
    </row>
    <row r="6779" spans="1:20" x14ac:dyDescent="0.25">
      <c r="A6779" s="1" t="str">
        <f>HYPERLINK("https://vegkart.atlas.vegvesen.no/#/@-30514.8,6718795.0,18/hva:hva%5B0%5D%5Bfilter%5D%5B0%5D%5Boperator%5D=%21%3D&amp;hva%5B0%5D%5Bfilter%5D%5B0%5D%5Btype_id%5D=5897&amp;hva%5B0%5D%5Bfilter%5D%5B0%5D%5Bverdi%5D=&amp;hva%5B0%5D%5Bid%5D=47/når:2021-11-29", "Vegkart")</f>
        <v>Vegkart</v>
      </c>
      <c r="B6779">
        <v>1014282662</v>
      </c>
      <c r="C6779">
        <v>47</v>
      </c>
      <c r="D6779" t="s">
        <v>16854</v>
      </c>
      <c r="E6779">
        <v>5897</v>
      </c>
      <c r="F6779" t="s">
        <v>23479</v>
      </c>
      <c r="G6779">
        <v>1</v>
      </c>
      <c r="H6779" t="s">
        <v>22537</v>
      </c>
      <c r="J6779" t="s">
        <v>22480</v>
      </c>
      <c r="K6779" t="s">
        <v>21</v>
      </c>
      <c r="L6779" t="s">
        <v>80</v>
      </c>
      <c r="M6779" t="s">
        <v>81</v>
      </c>
      <c r="N6779" t="s">
        <v>22559</v>
      </c>
      <c r="O6779" t="s">
        <v>22560</v>
      </c>
      <c r="P6779" s="2" t="s">
        <v>26</v>
      </c>
      <c r="Q6779" t="s">
        <v>50</v>
      </c>
      <c r="R6779">
        <v>87.93</v>
      </c>
      <c r="S6779">
        <v>87.93</v>
      </c>
      <c r="T6779" t="s">
        <v>22561</v>
      </c>
    </row>
    <row r="6780" spans="1:20" x14ac:dyDescent="0.25">
      <c r="A6780" s="1" t="str">
        <f>HYPERLINK("https://vegkart.atlas.vegvesen.no/#/@-30268.1,6718358.6,18/hva:hva%5B0%5D%5Bfilter%5D%5B0%5D%5Boperator%5D=%21%3D&amp;hva%5B0%5D%5Bfilter%5D%5B0%5D%5Btype_id%5D=5897&amp;hva%5B0%5D%5Bfilter%5D%5B0%5D%5Bverdi%5D=&amp;hva%5B0%5D%5Bid%5D=47/når:2021-11-29", "Vegkart")</f>
        <v>Vegkart</v>
      </c>
      <c r="B6780">
        <v>1014282663</v>
      </c>
      <c r="C6780">
        <v>47</v>
      </c>
      <c r="D6780" t="s">
        <v>16854</v>
      </c>
      <c r="E6780">
        <v>5897</v>
      </c>
      <c r="F6780" t="s">
        <v>23479</v>
      </c>
      <c r="G6780">
        <v>1</v>
      </c>
      <c r="H6780" t="s">
        <v>22537</v>
      </c>
      <c r="J6780" t="s">
        <v>22480</v>
      </c>
      <c r="K6780" t="s">
        <v>21</v>
      </c>
      <c r="L6780" t="s">
        <v>80</v>
      </c>
      <c r="M6780" t="s">
        <v>81</v>
      </c>
      <c r="N6780" t="s">
        <v>22562</v>
      </c>
      <c r="O6780" t="s">
        <v>22563</v>
      </c>
      <c r="P6780" s="2" t="s">
        <v>26</v>
      </c>
      <c r="Q6780" t="s">
        <v>50</v>
      </c>
      <c r="R6780">
        <v>89.61</v>
      </c>
      <c r="S6780">
        <v>89.61</v>
      </c>
      <c r="T6780" t="s">
        <v>22564</v>
      </c>
    </row>
    <row r="6781" spans="1:20" x14ac:dyDescent="0.25">
      <c r="A6781" s="1" t="str">
        <f>HYPERLINK("https://vegkart.atlas.vegvesen.no/#/@-30049.0,6717907.4,18/hva:hva%5B0%5D%5Bfilter%5D%5B0%5D%5Boperator%5D=%21%3D&amp;hva%5B0%5D%5Bfilter%5D%5B0%5D%5Btype_id%5D=5897&amp;hva%5B0%5D%5Bfilter%5D%5B0%5D%5Bverdi%5D=&amp;hva%5B0%5D%5Bid%5D=47/når:2021-11-29", "Vegkart")</f>
        <v>Vegkart</v>
      </c>
      <c r="B6781">
        <v>1014282664</v>
      </c>
      <c r="C6781">
        <v>47</v>
      </c>
      <c r="D6781" t="s">
        <v>16854</v>
      </c>
      <c r="E6781">
        <v>5897</v>
      </c>
      <c r="F6781" t="s">
        <v>23479</v>
      </c>
      <c r="G6781">
        <v>1</v>
      </c>
      <c r="H6781" t="s">
        <v>22537</v>
      </c>
      <c r="J6781" t="s">
        <v>22480</v>
      </c>
      <c r="K6781" t="s">
        <v>21</v>
      </c>
      <c r="L6781" t="s">
        <v>80</v>
      </c>
      <c r="M6781" t="s">
        <v>81</v>
      </c>
      <c r="N6781" t="s">
        <v>22565</v>
      </c>
      <c r="O6781" t="s">
        <v>22566</v>
      </c>
      <c r="P6781" s="2" t="s">
        <v>26</v>
      </c>
      <c r="Q6781" t="s">
        <v>50</v>
      </c>
      <c r="R6781">
        <v>88.69</v>
      </c>
      <c r="S6781">
        <v>88.69</v>
      </c>
      <c r="T6781" t="s">
        <v>22567</v>
      </c>
    </row>
    <row r="6782" spans="1:20" x14ac:dyDescent="0.25">
      <c r="A6782" s="1" t="str">
        <f>HYPERLINK("https://vegkart.atlas.vegvesen.no/#/@-29697.1,6716968.5,18/hva:hva%5B0%5D%5Bfilter%5D%5B0%5D%5Boperator%5D=%21%3D&amp;hva%5B0%5D%5Bfilter%5D%5B0%5D%5Btype_id%5D=5897&amp;hva%5B0%5D%5Bfilter%5D%5B0%5D%5Bverdi%5D=&amp;hva%5B0%5D%5Bid%5D=47/når:2021-11-29", "Vegkart")</f>
        <v>Vegkart</v>
      </c>
      <c r="B6782">
        <v>1014282665</v>
      </c>
      <c r="C6782">
        <v>47</v>
      </c>
      <c r="D6782" t="s">
        <v>16854</v>
      </c>
      <c r="E6782">
        <v>5897</v>
      </c>
      <c r="F6782" t="s">
        <v>23479</v>
      </c>
      <c r="G6782">
        <v>1</v>
      </c>
      <c r="H6782" t="s">
        <v>22537</v>
      </c>
      <c r="J6782" t="s">
        <v>22480</v>
      </c>
      <c r="K6782" t="s">
        <v>21</v>
      </c>
      <c r="L6782" t="s">
        <v>80</v>
      </c>
      <c r="M6782" t="s">
        <v>81</v>
      </c>
      <c r="N6782" t="s">
        <v>22568</v>
      </c>
      <c r="O6782" t="s">
        <v>22569</v>
      </c>
      <c r="P6782" s="2" t="s">
        <v>26</v>
      </c>
      <c r="Q6782" t="s">
        <v>50</v>
      </c>
      <c r="R6782">
        <v>88.9</v>
      </c>
      <c r="S6782">
        <v>88.9</v>
      </c>
      <c r="T6782" t="s">
        <v>22570</v>
      </c>
    </row>
    <row r="6783" spans="1:20" x14ac:dyDescent="0.25">
      <c r="A6783" s="1" t="str">
        <f>HYPERLINK("https://vegkart.atlas.vegvesen.no/#/@-29565.6,6716483.9,18/hva:hva%5B0%5D%5Bfilter%5D%5B0%5D%5Boperator%5D=%21%3D&amp;hva%5B0%5D%5Bfilter%5D%5B0%5D%5Btype_id%5D=5897&amp;hva%5B0%5D%5Bfilter%5D%5B0%5D%5Bverdi%5D=&amp;hva%5B0%5D%5Bid%5D=47/når:2021-11-29", "Vegkart")</f>
        <v>Vegkart</v>
      </c>
      <c r="B6783">
        <v>1014282666</v>
      </c>
      <c r="C6783">
        <v>47</v>
      </c>
      <c r="D6783" t="s">
        <v>16854</v>
      </c>
      <c r="E6783">
        <v>5897</v>
      </c>
      <c r="F6783" t="s">
        <v>23479</v>
      </c>
      <c r="G6783">
        <v>1</v>
      </c>
      <c r="H6783" t="s">
        <v>22537</v>
      </c>
      <c r="J6783" t="s">
        <v>22480</v>
      </c>
      <c r="K6783" t="s">
        <v>21</v>
      </c>
      <c r="L6783" t="s">
        <v>80</v>
      </c>
      <c r="M6783" t="s">
        <v>81</v>
      </c>
      <c r="N6783" t="s">
        <v>22571</v>
      </c>
      <c r="O6783" t="s">
        <v>22572</v>
      </c>
      <c r="P6783" s="2" t="s">
        <v>26</v>
      </c>
      <c r="Q6783" t="s">
        <v>50</v>
      </c>
      <c r="R6783">
        <v>89.59</v>
      </c>
      <c r="S6783">
        <v>89.59</v>
      </c>
      <c r="T6783" t="s">
        <v>22573</v>
      </c>
    </row>
    <row r="6784" spans="1:20" x14ac:dyDescent="0.25">
      <c r="A6784" s="1" t="str">
        <f>HYPERLINK("https://vegkart.atlas.vegvesen.no/#/@-29464.7,6715992.6,18/hva:hva%5B0%5D%5Bfilter%5D%5B0%5D%5Boperator%5D=%21%3D&amp;hva%5B0%5D%5Bfilter%5D%5B0%5D%5Btype_id%5D=5897&amp;hva%5B0%5D%5Bfilter%5D%5B0%5D%5Bverdi%5D=&amp;hva%5B0%5D%5Bid%5D=47/når:2021-11-29", "Vegkart")</f>
        <v>Vegkart</v>
      </c>
      <c r="B6784">
        <v>1014282667</v>
      </c>
      <c r="C6784">
        <v>47</v>
      </c>
      <c r="D6784" t="s">
        <v>16854</v>
      </c>
      <c r="E6784">
        <v>5897</v>
      </c>
      <c r="F6784" t="s">
        <v>23479</v>
      </c>
      <c r="G6784">
        <v>1</v>
      </c>
      <c r="H6784" t="s">
        <v>22537</v>
      </c>
      <c r="J6784" t="s">
        <v>22480</v>
      </c>
      <c r="K6784" t="s">
        <v>21</v>
      </c>
      <c r="L6784" t="s">
        <v>80</v>
      </c>
      <c r="M6784" t="s">
        <v>81</v>
      </c>
      <c r="N6784" t="s">
        <v>22574</v>
      </c>
      <c r="O6784" t="s">
        <v>22575</v>
      </c>
      <c r="P6784" s="2" t="s">
        <v>26</v>
      </c>
      <c r="Q6784" t="s">
        <v>50</v>
      </c>
      <c r="R6784">
        <v>88.75</v>
      </c>
      <c r="S6784">
        <v>88.76</v>
      </c>
      <c r="T6784" t="s">
        <v>22576</v>
      </c>
    </row>
    <row r="6785" spans="1:20" x14ac:dyDescent="0.25">
      <c r="A6785" s="1" t="str">
        <f>HYPERLINK("https://vegkart.atlas.vegvesen.no/#/@-29386.6,6715497.3,18/hva:hva%5B0%5D%5Bfilter%5D%5B0%5D%5Boperator%5D=%21%3D&amp;hva%5B0%5D%5Bfilter%5D%5B0%5D%5Btype_id%5D=5897&amp;hva%5B0%5D%5Bfilter%5D%5B0%5D%5Bverdi%5D=&amp;hva%5B0%5D%5Bid%5D=47/når:2021-11-29", "Vegkart")</f>
        <v>Vegkart</v>
      </c>
      <c r="B6785">
        <v>1014282668</v>
      </c>
      <c r="C6785">
        <v>47</v>
      </c>
      <c r="D6785" t="s">
        <v>16854</v>
      </c>
      <c r="E6785">
        <v>5897</v>
      </c>
      <c r="F6785" t="s">
        <v>23479</v>
      </c>
      <c r="G6785">
        <v>1</v>
      </c>
      <c r="H6785" t="s">
        <v>22537</v>
      </c>
      <c r="J6785" t="s">
        <v>22480</v>
      </c>
      <c r="K6785" t="s">
        <v>21</v>
      </c>
      <c r="L6785" t="s">
        <v>80</v>
      </c>
      <c r="M6785" t="s">
        <v>81</v>
      </c>
      <c r="N6785" t="s">
        <v>22577</v>
      </c>
      <c r="O6785" t="s">
        <v>22578</v>
      </c>
      <c r="P6785" s="2" t="s">
        <v>26</v>
      </c>
      <c r="Q6785" t="s">
        <v>50</v>
      </c>
      <c r="R6785">
        <v>89.17</v>
      </c>
      <c r="S6785">
        <v>89.17</v>
      </c>
      <c r="T6785" t="s">
        <v>22579</v>
      </c>
    </row>
    <row r="6786" spans="1:20" x14ac:dyDescent="0.25">
      <c r="A6786" s="1" t="str">
        <f>HYPERLINK("https://vegkart.atlas.vegvesen.no/#/@-29291.1,6715005.2,18/hva:hva%5B0%5D%5Bfilter%5D%5B0%5D%5Boperator%5D=%21%3D&amp;hva%5B0%5D%5Bfilter%5D%5B0%5D%5Btype_id%5D=5897&amp;hva%5B0%5D%5Bfilter%5D%5B0%5D%5Bverdi%5D=&amp;hva%5B0%5D%5Bid%5D=47/når:2021-11-29", "Vegkart")</f>
        <v>Vegkart</v>
      </c>
      <c r="B6786">
        <v>1014282669</v>
      </c>
      <c r="C6786">
        <v>47</v>
      </c>
      <c r="D6786" t="s">
        <v>16854</v>
      </c>
      <c r="E6786">
        <v>5897</v>
      </c>
      <c r="F6786" t="s">
        <v>23479</v>
      </c>
      <c r="G6786">
        <v>1</v>
      </c>
      <c r="H6786" t="s">
        <v>22537</v>
      </c>
      <c r="J6786" t="s">
        <v>22480</v>
      </c>
      <c r="K6786" t="s">
        <v>21</v>
      </c>
      <c r="L6786" t="s">
        <v>80</v>
      </c>
      <c r="M6786" t="s">
        <v>81</v>
      </c>
      <c r="N6786" t="s">
        <v>22580</v>
      </c>
      <c r="O6786" t="s">
        <v>22581</v>
      </c>
      <c r="P6786" s="2" t="s">
        <v>26</v>
      </c>
      <c r="Q6786" t="s">
        <v>50</v>
      </c>
      <c r="R6786">
        <v>88.9</v>
      </c>
      <c r="S6786">
        <v>88.91</v>
      </c>
      <c r="T6786" t="s">
        <v>22582</v>
      </c>
    </row>
    <row r="6787" spans="1:20" x14ac:dyDescent="0.25">
      <c r="A6787" s="1" t="str">
        <f>HYPERLINK("https://vegkart.atlas.vegvesen.no/#/@-31087.7,6719617.9,18/hva:hva%5B0%5D%5Bfilter%5D%5B0%5D%5Boperator%5D=%21%3D&amp;hva%5B0%5D%5Bfilter%5D%5B0%5D%5Btype_id%5D=5897&amp;hva%5B0%5D%5Bfilter%5D%5B0%5D%5Bverdi%5D=&amp;hva%5B0%5D%5Bid%5D=47/når:2021-11-29", "Vegkart")</f>
        <v>Vegkart</v>
      </c>
      <c r="B6787">
        <v>1014282670</v>
      </c>
      <c r="C6787">
        <v>47</v>
      </c>
      <c r="D6787" t="s">
        <v>16854</v>
      </c>
      <c r="E6787">
        <v>5897</v>
      </c>
      <c r="F6787" t="s">
        <v>23479</v>
      </c>
      <c r="G6787">
        <v>1</v>
      </c>
      <c r="H6787" t="s">
        <v>22537</v>
      </c>
      <c r="J6787" t="s">
        <v>22480</v>
      </c>
      <c r="K6787" t="s">
        <v>21</v>
      </c>
      <c r="L6787" t="s">
        <v>80</v>
      </c>
      <c r="M6787" t="s">
        <v>81</v>
      </c>
      <c r="N6787" t="s">
        <v>22583</v>
      </c>
      <c r="O6787" t="s">
        <v>22584</v>
      </c>
      <c r="P6787" s="2" t="s">
        <v>26</v>
      </c>
      <c r="Q6787" t="s">
        <v>50</v>
      </c>
      <c r="R6787">
        <v>88.93</v>
      </c>
      <c r="S6787">
        <v>88.93</v>
      </c>
      <c r="T6787" t="s">
        <v>22585</v>
      </c>
    </row>
    <row r="6788" spans="1:20" x14ac:dyDescent="0.25">
      <c r="A6788" s="1" t="str">
        <f>HYPERLINK("https://vegkart.atlas.vegvesen.no/#/@-30788.6,6719215.6,18/hva:hva%5B0%5D%5Bfilter%5D%5B0%5D%5Boperator%5D=%21%3D&amp;hva%5B0%5D%5Bfilter%5D%5B0%5D%5Btype_id%5D=5897&amp;hva%5B0%5D%5Bfilter%5D%5B0%5D%5Bverdi%5D=&amp;hva%5B0%5D%5Bid%5D=47/når:2021-11-29", "Vegkart")</f>
        <v>Vegkart</v>
      </c>
      <c r="B6788">
        <v>1014282671</v>
      </c>
      <c r="C6788">
        <v>47</v>
      </c>
      <c r="D6788" t="s">
        <v>16854</v>
      </c>
      <c r="E6788">
        <v>5897</v>
      </c>
      <c r="F6788" t="s">
        <v>23479</v>
      </c>
      <c r="G6788">
        <v>1</v>
      </c>
      <c r="H6788" t="s">
        <v>22537</v>
      </c>
      <c r="J6788" t="s">
        <v>22480</v>
      </c>
      <c r="K6788" t="s">
        <v>21</v>
      </c>
      <c r="L6788" t="s">
        <v>80</v>
      </c>
      <c r="M6788" t="s">
        <v>81</v>
      </c>
      <c r="N6788" t="s">
        <v>22586</v>
      </c>
      <c r="O6788" t="s">
        <v>22587</v>
      </c>
      <c r="P6788" s="2" t="s">
        <v>26</v>
      </c>
      <c r="Q6788" t="s">
        <v>50</v>
      </c>
      <c r="R6788">
        <v>89.06</v>
      </c>
      <c r="S6788">
        <v>89.06</v>
      </c>
      <c r="T6788" t="s">
        <v>22588</v>
      </c>
    </row>
    <row r="6789" spans="1:20" x14ac:dyDescent="0.25">
      <c r="A6789" s="1" t="str">
        <f>HYPERLINK("https://vegkart.atlas.vegvesen.no/#/@-29858.4,6717443.5,18/hva:hva%5B0%5D%5Bfilter%5D%5B0%5D%5Boperator%5D=%21%3D&amp;hva%5B0%5D%5Bfilter%5D%5B0%5D%5Btype_id%5D=5897&amp;hva%5B0%5D%5Bfilter%5D%5B0%5D%5Bverdi%5D=&amp;hva%5B0%5D%5Bid%5D=47/når:2021-11-29", "Vegkart")</f>
        <v>Vegkart</v>
      </c>
      <c r="B6789">
        <v>1014282672</v>
      </c>
      <c r="C6789">
        <v>47</v>
      </c>
      <c r="D6789" t="s">
        <v>16854</v>
      </c>
      <c r="E6789">
        <v>5897</v>
      </c>
      <c r="F6789" t="s">
        <v>23479</v>
      </c>
      <c r="G6789">
        <v>1</v>
      </c>
      <c r="H6789" t="s">
        <v>22537</v>
      </c>
      <c r="J6789" t="s">
        <v>22480</v>
      </c>
      <c r="K6789" t="s">
        <v>21</v>
      </c>
      <c r="L6789" t="s">
        <v>80</v>
      </c>
      <c r="M6789" t="s">
        <v>81</v>
      </c>
      <c r="N6789" t="s">
        <v>22589</v>
      </c>
      <c r="O6789" t="s">
        <v>22590</v>
      </c>
      <c r="P6789" s="2" t="s">
        <v>26</v>
      </c>
      <c r="Q6789" t="s">
        <v>50</v>
      </c>
      <c r="R6789">
        <v>88.46</v>
      </c>
      <c r="S6789">
        <v>88.46</v>
      </c>
      <c r="T6789" t="s">
        <v>22591</v>
      </c>
    </row>
    <row r="6790" spans="1:20" x14ac:dyDescent="0.25">
      <c r="A6790" s="1" t="str">
        <f>HYPERLINK("https://vegkart.atlas.vegvesen.no/#/@122185.6,6793442.2,18/hva:hva%5B0%5D%5Bfilter%5D%5B0%5D%5Boperator%5D=%21%3D&amp;hva%5B0%5D%5Bfilter%5D%5B0%5D%5Btype_id%5D=5897&amp;hva%5B0%5D%5Bfilter%5D%5B0%5D%5Bverdi%5D=&amp;hva%5B0%5D%5Bid%5D=47/når:2021-11-30", "Vegkart")</f>
        <v>Vegkart</v>
      </c>
      <c r="B6790">
        <v>1014295034</v>
      </c>
      <c r="C6790">
        <v>47</v>
      </c>
      <c r="D6790" t="s">
        <v>16854</v>
      </c>
      <c r="E6790">
        <v>5897</v>
      </c>
      <c r="F6790" t="s">
        <v>23479</v>
      </c>
      <c r="G6790">
        <v>1</v>
      </c>
      <c r="H6790" t="s">
        <v>22592</v>
      </c>
      <c r="J6790" t="s">
        <v>22480</v>
      </c>
      <c r="K6790" t="s">
        <v>21</v>
      </c>
      <c r="L6790" t="s">
        <v>80</v>
      </c>
      <c r="M6790" t="s">
        <v>152</v>
      </c>
      <c r="N6790" t="s">
        <v>22593</v>
      </c>
      <c r="O6790" t="s">
        <v>22594</v>
      </c>
      <c r="P6790" s="2" t="s">
        <v>26</v>
      </c>
      <c r="Q6790" t="s">
        <v>50</v>
      </c>
      <c r="R6790">
        <v>73.650000000000006</v>
      </c>
      <c r="S6790">
        <v>73.650000000000006</v>
      </c>
      <c r="T6790" t="s">
        <v>22595</v>
      </c>
    </row>
    <row r="6791" spans="1:20" x14ac:dyDescent="0.25">
      <c r="A6791" s="1" t="str">
        <f>HYPERLINK("https://vegkart.atlas.vegvesen.no/#/@122470.5,6793850.3,18/hva:hva%5B0%5D%5Bfilter%5D%5B0%5D%5Boperator%5D=%21%3D&amp;hva%5B0%5D%5Bfilter%5D%5B0%5D%5Btype_id%5D=5897&amp;hva%5B0%5D%5Bfilter%5D%5B0%5D%5Bverdi%5D=&amp;hva%5B0%5D%5Bid%5D=47/når:2021-11-30", "Vegkart")</f>
        <v>Vegkart</v>
      </c>
      <c r="B6791">
        <v>1014295036</v>
      </c>
      <c r="C6791">
        <v>47</v>
      </c>
      <c r="D6791" t="s">
        <v>16854</v>
      </c>
      <c r="E6791">
        <v>5897</v>
      </c>
      <c r="F6791" t="s">
        <v>23479</v>
      </c>
      <c r="G6791">
        <v>1</v>
      </c>
      <c r="H6791" t="s">
        <v>22592</v>
      </c>
      <c r="J6791" t="s">
        <v>22480</v>
      </c>
      <c r="K6791" t="s">
        <v>21</v>
      </c>
      <c r="L6791" t="s">
        <v>80</v>
      </c>
      <c r="M6791" t="s">
        <v>152</v>
      </c>
      <c r="N6791" t="s">
        <v>22596</v>
      </c>
      <c r="O6791" t="s">
        <v>22597</v>
      </c>
      <c r="P6791" s="2" t="s">
        <v>26</v>
      </c>
      <c r="Q6791" t="s">
        <v>50</v>
      </c>
      <c r="R6791">
        <v>73.3</v>
      </c>
      <c r="S6791">
        <v>73.3</v>
      </c>
      <c r="T6791" t="s">
        <v>22598</v>
      </c>
    </row>
    <row r="6792" spans="1:20" x14ac:dyDescent="0.25">
      <c r="A6792" s="1" t="str">
        <f>HYPERLINK("https://vegkart.atlas.vegvesen.no/#/@122873.3,6794128.6,18/hva:hva%5B0%5D%5Bfilter%5D%5B0%5D%5Boperator%5D=%21%3D&amp;hva%5B0%5D%5Bfilter%5D%5B0%5D%5Btype_id%5D=5897&amp;hva%5B0%5D%5Bfilter%5D%5B0%5D%5Bverdi%5D=&amp;hva%5B0%5D%5Bid%5D=47/når:2021-11-30", "Vegkart")</f>
        <v>Vegkart</v>
      </c>
      <c r="B6792">
        <v>1014298038</v>
      </c>
      <c r="C6792">
        <v>47</v>
      </c>
      <c r="D6792" t="s">
        <v>16854</v>
      </c>
      <c r="E6792">
        <v>5897</v>
      </c>
      <c r="F6792" t="s">
        <v>23479</v>
      </c>
      <c r="G6792">
        <v>1</v>
      </c>
      <c r="H6792" t="s">
        <v>22592</v>
      </c>
      <c r="J6792" t="s">
        <v>22480</v>
      </c>
      <c r="K6792" t="s">
        <v>21</v>
      </c>
      <c r="L6792" t="s">
        <v>80</v>
      </c>
      <c r="M6792" t="s">
        <v>152</v>
      </c>
      <c r="N6792" t="s">
        <v>22599</v>
      </c>
      <c r="O6792" t="s">
        <v>22600</v>
      </c>
      <c r="P6792" s="2" t="s">
        <v>26</v>
      </c>
      <c r="Q6792" t="s">
        <v>50</v>
      </c>
      <c r="R6792">
        <v>71.31</v>
      </c>
      <c r="S6792">
        <v>71.319999999999993</v>
      </c>
      <c r="T6792" t="s">
        <v>22601</v>
      </c>
    </row>
    <row r="6793" spans="1:20" x14ac:dyDescent="0.25">
      <c r="A6793" s="1" t="str">
        <f>HYPERLINK("https://vegkart.atlas.vegvesen.no/#/@-30959.7,6719400.7,18/hva:hva%5B0%5D%5Bfilter%5D%5B0%5D%5Boperator%5D=%21%3D&amp;hva%5B0%5D%5Bfilter%5D%5B0%5D%5Btype_id%5D=5897&amp;hva%5B0%5D%5Bfilter%5D%5B0%5D%5Bverdi%5D=&amp;hva%5B0%5D%5Bid%5D=47/når:2021-12-01", "Vegkart")</f>
        <v>Vegkart</v>
      </c>
      <c r="B6793">
        <v>1014352845</v>
      </c>
      <c r="C6793">
        <v>47</v>
      </c>
      <c r="D6793" t="s">
        <v>16854</v>
      </c>
      <c r="E6793">
        <v>5897</v>
      </c>
      <c r="F6793" t="s">
        <v>23479</v>
      </c>
      <c r="G6793">
        <v>1</v>
      </c>
      <c r="H6793" t="s">
        <v>22602</v>
      </c>
      <c r="J6793" t="s">
        <v>22480</v>
      </c>
      <c r="K6793" t="s">
        <v>21</v>
      </c>
      <c r="L6793" t="s">
        <v>80</v>
      </c>
      <c r="M6793" t="s">
        <v>81</v>
      </c>
      <c r="N6793" t="s">
        <v>22603</v>
      </c>
      <c r="O6793" t="s">
        <v>22604</v>
      </c>
      <c r="P6793" s="2" t="s">
        <v>26</v>
      </c>
      <c r="Q6793" t="s">
        <v>50</v>
      </c>
      <c r="R6793">
        <v>89.67</v>
      </c>
      <c r="S6793">
        <v>89.67</v>
      </c>
      <c r="T6793" t="s">
        <v>22605</v>
      </c>
    </row>
    <row r="6794" spans="1:20" x14ac:dyDescent="0.25">
      <c r="A6794" s="1" t="str">
        <f>HYPERLINK("https://vegkart.atlas.vegvesen.no/#/@-30414.3,6718562.5,18/hva:hva%5B0%5D%5Bfilter%5D%5B0%5D%5Boperator%5D=%21%3D&amp;hva%5B0%5D%5Bfilter%5D%5B0%5D%5Btype_id%5D=5897&amp;hva%5B0%5D%5Bfilter%5D%5B0%5D%5Bverdi%5D=&amp;hva%5B0%5D%5Bid%5D=47/når:2021-12-01", "Vegkart")</f>
        <v>Vegkart</v>
      </c>
      <c r="B6794">
        <v>1014352846</v>
      </c>
      <c r="C6794">
        <v>47</v>
      </c>
      <c r="D6794" t="s">
        <v>16854</v>
      </c>
      <c r="E6794">
        <v>5897</v>
      </c>
      <c r="F6794" t="s">
        <v>23479</v>
      </c>
      <c r="G6794">
        <v>1</v>
      </c>
      <c r="H6794" t="s">
        <v>22602</v>
      </c>
      <c r="J6794" t="s">
        <v>22480</v>
      </c>
      <c r="K6794" t="s">
        <v>21</v>
      </c>
      <c r="L6794" t="s">
        <v>80</v>
      </c>
      <c r="M6794" t="s">
        <v>81</v>
      </c>
      <c r="N6794" t="s">
        <v>22606</v>
      </c>
      <c r="O6794" t="s">
        <v>22607</v>
      </c>
      <c r="P6794" s="2" t="s">
        <v>26</v>
      </c>
      <c r="Q6794" t="s">
        <v>50</v>
      </c>
      <c r="R6794">
        <v>89.97</v>
      </c>
      <c r="S6794">
        <v>89.97</v>
      </c>
      <c r="T6794" t="s">
        <v>22608</v>
      </c>
    </row>
    <row r="6795" spans="1:20" x14ac:dyDescent="0.25">
      <c r="A6795" s="1" t="str">
        <f>HYPERLINK("https://vegkart.atlas.vegvesen.no/#/@-30182.5,6718120.7,18/hva:hva%5B0%5D%5Bfilter%5D%5B0%5D%5Boperator%5D=%21%3D&amp;hva%5B0%5D%5Bfilter%5D%5B0%5D%5Btype_id%5D=5897&amp;hva%5B0%5D%5Bfilter%5D%5B0%5D%5Bverdi%5D=&amp;hva%5B0%5D%5Bid%5D=47/når:2021-12-01", "Vegkart")</f>
        <v>Vegkart</v>
      </c>
      <c r="B6795">
        <v>1014352847</v>
      </c>
      <c r="C6795">
        <v>47</v>
      </c>
      <c r="D6795" t="s">
        <v>16854</v>
      </c>
      <c r="E6795">
        <v>5897</v>
      </c>
      <c r="F6795" t="s">
        <v>23479</v>
      </c>
      <c r="G6795">
        <v>1</v>
      </c>
      <c r="H6795" t="s">
        <v>22602</v>
      </c>
      <c r="J6795" t="s">
        <v>22480</v>
      </c>
      <c r="K6795" t="s">
        <v>21</v>
      </c>
      <c r="L6795" t="s">
        <v>80</v>
      </c>
      <c r="M6795" t="s">
        <v>81</v>
      </c>
      <c r="N6795" t="s">
        <v>22609</v>
      </c>
      <c r="O6795" t="s">
        <v>22610</v>
      </c>
      <c r="P6795" s="2" t="s">
        <v>26</v>
      </c>
      <c r="Q6795" t="s">
        <v>50</v>
      </c>
      <c r="R6795">
        <v>89.82</v>
      </c>
      <c r="S6795">
        <v>89.82</v>
      </c>
      <c r="T6795" t="s">
        <v>22611</v>
      </c>
    </row>
    <row r="6796" spans="1:20" x14ac:dyDescent="0.25">
      <c r="A6796" s="1" t="str">
        <f>HYPERLINK("https://vegkart.atlas.vegvesen.no/#/@-29978.1,6717664.1,18/hva:hva%5B0%5D%5Bfilter%5D%5B0%5D%5Boperator%5D=%21%3D&amp;hva%5B0%5D%5Bfilter%5D%5B0%5D%5Btype_id%5D=5897&amp;hva%5B0%5D%5Bfilter%5D%5B0%5D%5Bverdi%5D=&amp;hva%5B0%5D%5Bid%5D=47/når:2021-12-01", "Vegkart")</f>
        <v>Vegkart</v>
      </c>
      <c r="B6796">
        <v>1014352848</v>
      </c>
      <c r="C6796">
        <v>47</v>
      </c>
      <c r="D6796" t="s">
        <v>16854</v>
      </c>
      <c r="E6796">
        <v>5897</v>
      </c>
      <c r="F6796" t="s">
        <v>23479</v>
      </c>
      <c r="G6796">
        <v>1</v>
      </c>
      <c r="H6796" t="s">
        <v>22602</v>
      </c>
      <c r="J6796" t="s">
        <v>22480</v>
      </c>
      <c r="K6796" t="s">
        <v>21</v>
      </c>
      <c r="L6796" t="s">
        <v>80</v>
      </c>
      <c r="M6796" t="s">
        <v>81</v>
      </c>
      <c r="N6796" t="s">
        <v>22612</v>
      </c>
      <c r="O6796" t="s">
        <v>22613</v>
      </c>
      <c r="P6796" s="2" t="s">
        <v>26</v>
      </c>
      <c r="Q6796" t="s">
        <v>50</v>
      </c>
      <c r="R6796">
        <v>89.94</v>
      </c>
      <c r="S6796">
        <v>89.95</v>
      </c>
      <c r="T6796" t="s">
        <v>22614</v>
      </c>
    </row>
    <row r="6797" spans="1:20" x14ac:dyDescent="0.25">
      <c r="A6797" s="1" t="str">
        <f>HYPERLINK("https://vegkart.atlas.vegvesen.no/#/@-29803.1,6717196.8,18/hva:hva%5B0%5D%5Bfilter%5D%5B0%5D%5Boperator%5D=%21%3D&amp;hva%5B0%5D%5Bfilter%5D%5B0%5D%5Btype_id%5D=5897&amp;hva%5B0%5D%5Bfilter%5D%5B0%5D%5Bverdi%5D=&amp;hva%5B0%5D%5Bid%5D=47/når:2021-12-01", "Vegkart")</f>
        <v>Vegkart</v>
      </c>
      <c r="B6797">
        <v>1014352849</v>
      </c>
      <c r="C6797">
        <v>47</v>
      </c>
      <c r="D6797" t="s">
        <v>16854</v>
      </c>
      <c r="E6797">
        <v>5897</v>
      </c>
      <c r="F6797" t="s">
        <v>23479</v>
      </c>
      <c r="G6797">
        <v>1</v>
      </c>
      <c r="H6797" t="s">
        <v>22602</v>
      </c>
      <c r="J6797" t="s">
        <v>22480</v>
      </c>
      <c r="K6797" t="s">
        <v>21</v>
      </c>
      <c r="L6797" t="s">
        <v>80</v>
      </c>
      <c r="M6797" t="s">
        <v>81</v>
      </c>
      <c r="N6797" t="s">
        <v>22615</v>
      </c>
      <c r="O6797" t="s">
        <v>22616</v>
      </c>
      <c r="P6797" s="2" t="s">
        <v>26</v>
      </c>
      <c r="Q6797" t="s">
        <v>50</v>
      </c>
      <c r="R6797">
        <v>89.04</v>
      </c>
      <c r="S6797">
        <v>89.04</v>
      </c>
      <c r="T6797" t="s">
        <v>22617</v>
      </c>
    </row>
    <row r="6798" spans="1:20" x14ac:dyDescent="0.25">
      <c r="A6798" s="1" t="str">
        <f>HYPERLINK("https://vegkart.atlas.vegvesen.no/#/@-29541.5,6716232.8,18/hva:hva%5B0%5D%5Bfilter%5D%5B0%5D%5Boperator%5D=%21%3D&amp;hva%5B0%5D%5Bfilter%5D%5B0%5D%5Btype_id%5D=5897&amp;hva%5B0%5D%5Bfilter%5D%5B0%5D%5Bverdi%5D=&amp;hva%5B0%5D%5Bid%5D=47/når:2021-12-01", "Vegkart")</f>
        <v>Vegkart</v>
      </c>
      <c r="B6798">
        <v>1014352850</v>
      </c>
      <c r="C6798">
        <v>47</v>
      </c>
      <c r="D6798" t="s">
        <v>16854</v>
      </c>
      <c r="E6798">
        <v>5897</v>
      </c>
      <c r="F6798" t="s">
        <v>23479</v>
      </c>
      <c r="G6798">
        <v>1</v>
      </c>
      <c r="H6798" t="s">
        <v>22602</v>
      </c>
      <c r="J6798" t="s">
        <v>22480</v>
      </c>
      <c r="K6798" t="s">
        <v>21</v>
      </c>
      <c r="L6798" t="s">
        <v>80</v>
      </c>
      <c r="M6798" t="s">
        <v>81</v>
      </c>
      <c r="N6798" t="s">
        <v>22618</v>
      </c>
      <c r="O6798" t="s">
        <v>22619</v>
      </c>
      <c r="P6798" s="2" t="s">
        <v>26</v>
      </c>
      <c r="Q6798" t="s">
        <v>50</v>
      </c>
      <c r="R6798">
        <v>89.6</v>
      </c>
      <c r="S6798">
        <v>89.6</v>
      </c>
      <c r="T6798" t="s">
        <v>22620</v>
      </c>
    </row>
    <row r="6799" spans="1:20" x14ac:dyDescent="0.25">
      <c r="A6799" s="1" t="str">
        <f>HYPERLINK("https://vegkart.atlas.vegvesen.no/#/@-29456.0,6715740.1,18/hva:hva%5B0%5D%5Bfilter%5D%5B0%5D%5Boperator%5D=%21%3D&amp;hva%5B0%5D%5Bfilter%5D%5B0%5D%5Btype_id%5D=5897&amp;hva%5B0%5D%5Bfilter%5D%5B0%5D%5Bverdi%5D=&amp;hva%5B0%5D%5Bid%5D=47/når:2021-12-01", "Vegkart")</f>
        <v>Vegkart</v>
      </c>
      <c r="B6799">
        <v>1014352851</v>
      </c>
      <c r="C6799">
        <v>47</v>
      </c>
      <c r="D6799" t="s">
        <v>16854</v>
      </c>
      <c r="E6799">
        <v>5897</v>
      </c>
      <c r="F6799" t="s">
        <v>23479</v>
      </c>
      <c r="G6799">
        <v>1</v>
      </c>
      <c r="H6799" t="s">
        <v>22602</v>
      </c>
      <c r="J6799" t="s">
        <v>22480</v>
      </c>
      <c r="K6799" t="s">
        <v>21</v>
      </c>
      <c r="L6799" t="s">
        <v>80</v>
      </c>
      <c r="M6799" t="s">
        <v>81</v>
      </c>
      <c r="N6799" t="s">
        <v>22621</v>
      </c>
      <c r="O6799" t="s">
        <v>22622</v>
      </c>
      <c r="P6799" s="2" t="s">
        <v>26</v>
      </c>
      <c r="Q6799" t="s">
        <v>50</v>
      </c>
      <c r="R6799">
        <v>89.35</v>
      </c>
      <c r="S6799">
        <v>89.35</v>
      </c>
      <c r="T6799" t="s">
        <v>22623</v>
      </c>
    </row>
    <row r="6800" spans="1:20" x14ac:dyDescent="0.25">
      <c r="A6800" s="1" t="str">
        <f>HYPERLINK("https://vegkart.atlas.vegvesen.no/#/@-29371.8,6715244.6,18/hva:hva%5B0%5D%5Bfilter%5D%5B0%5D%5Boperator%5D=%21%3D&amp;hva%5B0%5D%5Bfilter%5D%5B0%5D%5Btype_id%5D=5897&amp;hva%5B0%5D%5Bfilter%5D%5B0%5D%5Bverdi%5D=&amp;hva%5B0%5D%5Bid%5D=47/når:2021-12-01", "Vegkart")</f>
        <v>Vegkart</v>
      </c>
      <c r="B6800">
        <v>1014352853</v>
      </c>
      <c r="C6800">
        <v>47</v>
      </c>
      <c r="D6800" t="s">
        <v>16854</v>
      </c>
      <c r="E6800">
        <v>5897</v>
      </c>
      <c r="F6800" t="s">
        <v>23479</v>
      </c>
      <c r="G6800">
        <v>1</v>
      </c>
      <c r="H6800" t="s">
        <v>22602</v>
      </c>
      <c r="J6800" t="s">
        <v>22480</v>
      </c>
      <c r="K6800" t="s">
        <v>21</v>
      </c>
      <c r="L6800" t="s">
        <v>80</v>
      </c>
      <c r="M6800" t="s">
        <v>81</v>
      </c>
      <c r="N6800" t="s">
        <v>22624</v>
      </c>
      <c r="O6800" t="s">
        <v>22625</v>
      </c>
      <c r="P6800" s="2" t="s">
        <v>26</v>
      </c>
      <c r="Q6800" t="s">
        <v>50</v>
      </c>
      <c r="R6800">
        <v>88.74</v>
      </c>
      <c r="S6800">
        <v>88.74</v>
      </c>
      <c r="T6800" t="s">
        <v>22626</v>
      </c>
    </row>
    <row r="6801" spans="1:20" x14ac:dyDescent="0.25">
      <c r="A6801" s="1" t="str">
        <f>HYPERLINK("https://vegkart.atlas.vegvesen.no/#/@-29657.1,6716718.3,18/hva:hva%5B0%5D%5Bfilter%5D%5B0%5D%5Boperator%5D=%21%3D&amp;hva%5B0%5D%5Bfilter%5D%5B0%5D%5Btype_id%5D=5897&amp;hva%5B0%5D%5Bfilter%5D%5B0%5D%5Bverdi%5D=&amp;hva%5B0%5D%5Bid%5D=47/når:2021-12-01", "Vegkart")</f>
        <v>Vegkart</v>
      </c>
      <c r="B6801">
        <v>1014352854</v>
      </c>
      <c r="C6801">
        <v>47</v>
      </c>
      <c r="D6801" t="s">
        <v>16854</v>
      </c>
      <c r="E6801">
        <v>5897</v>
      </c>
      <c r="F6801" t="s">
        <v>23479</v>
      </c>
      <c r="G6801">
        <v>1</v>
      </c>
      <c r="H6801" t="s">
        <v>22602</v>
      </c>
      <c r="J6801" t="s">
        <v>22480</v>
      </c>
      <c r="K6801" t="s">
        <v>21</v>
      </c>
      <c r="L6801" t="s">
        <v>80</v>
      </c>
      <c r="M6801" t="s">
        <v>81</v>
      </c>
      <c r="N6801" t="s">
        <v>22627</v>
      </c>
      <c r="O6801" t="s">
        <v>22628</v>
      </c>
      <c r="P6801" s="2" t="s">
        <v>26</v>
      </c>
      <c r="Q6801" t="s">
        <v>50</v>
      </c>
      <c r="R6801">
        <v>89.33</v>
      </c>
      <c r="S6801">
        <v>89.33</v>
      </c>
      <c r="T6801" t="s">
        <v>22629</v>
      </c>
    </row>
    <row r="6802" spans="1:20" x14ac:dyDescent="0.25">
      <c r="A6802" s="1" t="str">
        <f>HYPERLINK("https://vegkart.atlas.vegvesen.no/#/@-30673.9,6718990.1,18/hva:hva%5B0%5D%5Bfilter%5D%5B0%5D%5Boperator%5D=%21%3D&amp;hva%5B0%5D%5Bfilter%5D%5B0%5D%5Btype_id%5D=5897&amp;hva%5B0%5D%5Bfilter%5D%5B0%5D%5Bverdi%5D=&amp;hva%5B0%5D%5Bid%5D=47/når:2021-12-01", "Vegkart")</f>
        <v>Vegkart</v>
      </c>
      <c r="B6802">
        <v>1014352855</v>
      </c>
      <c r="C6802">
        <v>47</v>
      </c>
      <c r="D6802" t="s">
        <v>16854</v>
      </c>
      <c r="E6802">
        <v>5897</v>
      </c>
      <c r="F6802" t="s">
        <v>23479</v>
      </c>
      <c r="G6802">
        <v>1</v>
      </c>
      <c r="H6802" t="s">
        <v>22602</v>
      </c>
      <c r="J6802" t="s">
        <v>22480</v>
      </c>
      <c r="K6802" t="s">
        <v>21</v>
      </c>
      <c r="L6802" t="s">
        <v>80</v>
      </c>
      <c r="M6802" t="s">
        <v>81</v>
      </c>
      <c r="N6802" t="s">
        <v>22630</v>
      </c>
      <c r="O6802" t="s">
        <v>22631</v>
      </c>
      <c r="P6802" s="2" t="s">
        <v>26</v>
      </c>
      <c r="Q6802" t="s">
        <v>50</v>
      </c>
      <c r="R6802">
        <v>90.01</v>
      </c>
      <c r="S6802">
        <v>90.01</v>
      </c>
      <c r="T6802" t="s">
        <v>22632</v>
      </c>
    </row>
    <row r="6803" spans="1:20" x14ac:dyDescent="0.25">
      <c r="A6803" s="1" t="str">
        <f>HYPERLINK("https://vegkart.atlas.vegvesen.no/#/@-31256.9,6719781.5,18/hva:hva%5B0%5D%5Bfilter%5D%5B0%5D%5Boperator%5D=%21%3D&amp;hva%5B0%5D%5Bfilter%5D%5B0%5D%5Btype_id%5D=5897&amp;hva%5B0%5D%5Bfilter%5D%5B0%5D%5Bverdi%5D=&amp;hva%5B0%5D%5Bid%5D=47/når:2021-12-01", "Vegkart")</f>
        <v>Vegkart</v>
      </c>
      <c r="B6803">
        <v>1014352856</v>
      </c>
      <c r="C6803">
        <v>47</v>
      </c>
      <c r="D6803" t="s">
        <v>16854</v>
      </c>
      <c r="E6803">
        <v>5897</v>
      </c>
      <c r="F6803" t="s">
        <v>23479</v>
      </c>
      <c r="G6803">
        <v>1</v>
      </c>
      <c r="H6803" t="s">
        <v>22602</v>
      </c>
      <c r="J6803" t="s">
        <v>22480</v>
      </c>
      <c r="K6803" t="s">
        <v>21</v>
      </c>
      <c r="L6803" t="s">
        <v>80</v>
      </c>
      <c r="M6803" t="s">
        <v>81</v>
      </c>
      <c r="N6803" t="s">
        <v>22633</v>
      </c>
      <c r="O6803" t="s">
        <v>22634</v>
      </c>
      <c r="P6803" s="2" t="s">
        <v>26</v>
      </c>
      <c r="Q6803" t="s">
        <v>50</v>
      </c>
      <c r="R6803">
        <v>54.22</v>
      </c>
      <c r="S6803">
        <v>54.22</v>
      </c>
      <c r="T6803" t="s">
        <v>22635</v>
      </c>
    </row>
    <row r="6804" spans="1:20" x14ac:dyDescent="0.25">
      <c r="A6804" s="1" t="str">
        <f>HYPERLINK("https://vegkart.atlas.vegvesen.no/#/@-32216.0,6721553.8,18/hva:hva%5B0%5D%5Bfilter%5D%5B0%5D%5Boperator%5D=%21%3D&amp;hva%5B0%5D%5Bfilter%5D%5B0%5D%5Btype_id%5D=5897&amp;hva%5B0%5D%5Bfilter%5D%5B0%5D%5Bverdi%5D=&amp;hva%5B0%5D%5Bid%5D=47/når:2021-12-01", "Vegkart")</f>
        <v>Vegkart</v>
      </c>
      <c r="B6804">
        <v>1014357045</v>
      </c>
      <c r="C6804">
        <v>47</v>
      </c>
      <c r="D6804" t="s">
        <v>16854</v>
      </c>
      <c r="E6804">
        <v>5897</v>
      </c>
      <c r="F6804" t="s">
        <v>23479</v>
      </c>
      <c r="G6804">
        <v>1</v>
      </c>
      <c r="H6804" t="s">
        <v>22602</v>
      </c>
      <c r="J6804" t="s">
        <v>22480</v>
      </c>
      <c r="K6804" t="s">
        <v>21</v>
      </c>
      <c r="L6804" t="s">
        <v>80</v>
      </c>
      <c r="M6804" t="s">
        <v>81</v>
      </c>
      <c r="N6804" t="s">
        <v>22636</v>
      </c>
      <c r="O6804" t="s">
        <v>22637</v>
      </c>
      <c r="P6804" s="2" t="s">
        <v>26</v>
      </c>
      <c r="Q6804" t="s">
        <v>50</v>
      </c>
      <c r="R6804">
        <v>89.53</v>
      </c>
      <c r="S6804">
        <v>89.53</v>
      </c>
      <c r="T6804" t="s">
        <v>22638</v>
      </c>
    </row>
    <row r="6805" spans="1:20" x14ac:dyDescent="0.25">
      <c r="A6805" s="1" t="str">
        <f>HYPERLINK("https://vegkart.atlas.vegvesen.no/#/@-31960.1,6721131.6,18/hva:hva%5B0%5D%5Bfilter%5D%5B0%5D%5Boperator%5D=%21%3D&amp;hva%5B0%5D%5Bfilter%5D%5B0%5D%5Btype_id%5D=5897&amp;hva%5B0%5D%5Bfilter%5D%5B0%5D%5Bverdi%5D=&amp;hva%5B0%5D%5Bid%5D=47/når:2021-12-01", "Vegkart")</f>
        <v>Vegkart</v>
      </c>
      <c r="B6805">
        <v>1014357046</v>
      </c>
      <c r="C6805">
        <v>47</v>
      </c>
      <c r="D6805" t="s">
        <v>16854</v>
      </c>
      <c r="E6805">
        <v>5897</v>
      </c>
      <c r="F6805" t="s">
        <v>23479</v>
      </c>
      <c r="G6805">
        <v>1</v>
      </c>
      <c r="H6805" t="s">
        <v>22602</v>
      </c>
      <c r="J6805" t="s">
        <v>22480</v>
      </c>
      <c r="K6805" t="s">
        <v>21</v>
      </c>
      <c r="L6805" t="s">
        <v>80</v>
      </c>
      <c r="M6805" t="s">
        <v>81</v>
      </c>
      <c r="N6805" t="s">
        <v>22639</v>
      </c>
      <c r="O6805" t="s">
        <v>22640</v>
      </c>
      <c r="P6805" s="2" t="s">
        <v>26</v>
      </c>
      <c r="Q6805" t="s">
        <v>50</v>
      </c>
      <c r="R6805">
        <v>89.47</v>
      </c>
      <c r="S6805">
        <v>89.47</v>
      </c>
      <c r="T6805" t="s">
        <v>22641</v>
      </c>
    </row>
    <row r="6806" spans="1:20" x14ac:dyDescent="0.25">
      <c r="A6806" s="1" t="str">
        <f>HYPERLINK("https://vegkart.atlas.vegvesen.no/#/@-31772.2,6720667.0,18/hva:hva%5B0%5D%5Bfilter%5D%5B0%5D%5Boperator%5D=%21%3D&amp;hva%5B0%5D%5Bfilter%5D%5B0%5D%5Btype_id%5D=5897&amp;hva%5B0%5D%5Bfilter%5D%5B0%5D%5Bverdi%5D=&amp;hva%5B0%5D%5Bid%5D=47/når:2021-12-01", "Vegkart")</f>
        <v>Vegkart</v>
      </c>
      <c r="B6806">
        <v>1014357047</v>
      </c>
      <c r="C6806">
        <v>47</v>
      </c>
      <c r="D6806" t="s">
        <v>16854</v>
      </c>
      <c r="E6806">
        <v>5897</v>
      </c>
      <c r="F6806" t="s">
        <v>23479</v>
      </c>
      <c r="G6806">
        <v>1</v>
      </c>
      <c r="H6806" t="s">
        <v>22602</v>
      </c>
      <c r="J6806" t="s">
        <v>22480</v>
      </c>
      <c r="K6806" t="s">
        <v>21</v>
      </c>
      <c r="L6806" t="s">
        <v>80</v>
      </c>
      <c r="M6806" t="s">
        <v>81</v>
      </c>
      <c r="N6806" t="s">
        <v>22642</v>
      </c>
      <c r="O6806" t="s">
        <v>22643</v>
      </c>
      <c r="P6806" s="2" t="s">
        <v>26</v>
      </c>
      <c r="Q6806" t="s">
        <v>50</v>
      </c>
      <c r="R6806">
        <v>90.28</v>
      </c>
      <c r="S6806">
        <v>90.28</v>
      </c>
      <c r="T6806" t="s">
        <v>22644</v>
      </c>
    </row>
    <row r="6807" spans="1:20" x14ac:dyDescent="0.25">
      <c r="A6807" s="1" t="str">
        <f>HYPERLINK("https://vegkart.atlas.vegvesen.no/#/@-31665.8,6720435.7,18/hva:hva%5B0%5D%5Bfilter%5D%5B0%5D%5Boperator%5D=%21%3D&amp;hva%5B0%5D%5Bfilter%5D%5B0%5D%5Btype_id%5D=5897&amp;hva%5B0%5D%5Bfilter%5D%5B0%5D%5Bverdi%5D=&amp;hva%5B0%5D%5Bid%5D=47/når:2021-12-01", "Vegkart")</f>
        <v>Vegkart</v>
      </c>
      <c r="B6807">
        <v>1014357049</v>
      </c>
      <c r="C6807">
        <v>47</v>
      </c>
      <c r="D6807" t="s">
        <v>16854</v>
      </c>
      <c r="E6807">
        <v>5897</v>
      </c>
      <c r="F6807" t="s">
        <v>23479</v>
      </c>
      <c r="G6807">
        <v>1</v>
      </c>
      <c r="H6807" t="s">
        <v>22602</v>
      </c>
      <c r="J6807" t="s">
        <v>22480</v>
      </c>
      <c r="K6807" t="s">
        <v>21</v>
      </c>
      <c r="L6807" t="s">
        <v>80</v>
      </c>
      <c r="M6807" t="s">
        <v>81</v>
      </c>
      <c r="N6807" t="s">
        <v>22645</v>
      </c>
      <c r="O6807" t="s">
        <v>22646</v>
      </c>
      <c r="P6807" s="2" t="s">
        <v>26</v>
      </c>
      <c r="Q6807" t="s">
        <v>50</v>
      </c>
      <c r="R6807">
        <v>90.14</v>
      </c>
      <c r="S6807">
        <v>90.15</v>
      </c>
      <c r="T6807" t="s">
        <v>22647</v>
      </c>
    </row>
    <row r="6808" spans="1:20" x14ac:dyDescent="0.25">
      <c r="A6808" s="1" t="str">
        <f>HYPERLINK("https://vegkart.atlas.vegvesen.no/#/@-31547.2,6720215.3,18/hva:hva%5B0%5D%5Bfilter%5D%5B0%5D%5Boperator%5D=%21%3D&amp;hva%5B0%5D%5Bfilter%5D%5B0%5D%5Btype_id%5D=5897&amp;hva%5B0%5D%5Bfilter%5D%5B0%5D%5Bverdi%5D=&amp;hva%5B0%5D%5Bid%5D=47/når:2021-12-01", "Vegkart")</f>
        <v>Vegkart</v>
      </c>
      <c r="B6808">
        <v>1014357050</v>
      </c>
      <c r="C6808">
        <v>47</v>
      </c>
      <c r="D6808" t="s">
        <v>16854</v>
      </c>
      <c r="E6808">
        <v>5897</v>
      </c>
      <c r="F6808" t="s">
        <v>23479</v>
      </c>
      <c r="G6808">
        <v>1</v>
      </c>
      <c r="H6808" t="s">
        <v>22602</v>
      </c>
      <c r="J6808" t="s">
        <v>22480</v>
      </c>
      <c r="K6808" t="s">
        <v>21</v>
      </c>
      <c r="L6808" t="s">
        <v>80</v>
      </c>
      <c r="M6808" t="s">
        <v>81</v>
      </c>
      <c r="N6808" t="s">
        <v>22648</v>
      </c>
      <c r="O6808" t="s">
        <v>22649</v>
      </c>
      <c r="P6808" s="2" t="s">
        <v>26</v>
      </c>
      <c r="Q6808" t="s">
        <v>50</v>
      </c>
      <c r="R6808">
        <v>89.88</v>
      </c>
      <c r="S6808">
        <v>89.88</v>
      </c>
      <c r="T6808" t="s">
        <v>22650</v>
      </c>
    </row>
    <row r="6809" spans="1:20" x14ac:dyDescent="0.25">
      <c r="A6809" s="1" t="str">
        <f>HYPERLINK("https://vegkart.atlas.vegvesen.no/#/@-33296.1,6722551.4,18/hva:hva%5B0%5D%5Bfilter%5D%5B0%5D%5Boperator%5D=%21%3D&amp;hva%5B0%5D%5Bfilter%5D%5B0%5D%5Btype_id%5D=5897&amp;hva%5B0%5D%5Bfilter%5D%5B0%5D%5Bverdi%5D=&amp;hva%5B0%5D%5Bid%5D=47/når:2021-12-01", "Vegkart")</f>
        <v>Vegkart</v>
      </c>
      <c r="B6809">
        <v>1014357051</v>
      </c>
      <c r="C6809">
        <v>47</v>
      </c>
      <c r="D6809" t="s">
        <v>16854</v>
      </c>
      <c r="E6809">
        <v>5897</v>
      </c>
      <c r="F6809" t="s">
        <v>23479</v>
      </c>
      <c r="G6809">
        <v>1</v>
      </c>
      <c r="H6809" t="s">
        <v>22602</v>
      </c>
      <c r="J6809" t="s">
        <v>22480</v>
      </c>
      <c r="K6809" t="s">
        <v>21</v>
      </c>
      <c r="L6809" t="s">
        <v>80</v>
      </c>
      <c r="M6809" t="s">
        <v>81</v>
      </c>
      <c r="N6809" t="s">
        <v>22651</v>
      </c>
      <c r="O6809" t="s">
        <v>22652</v>
      </c>
      <c r="P6809" s="2" t="s">
        <v>26</v>
      </c>
      <c r="Q6809" t="s">
        <v>50</v>
      </c>
      <c r="R6809">
        <v>144.21</v>
      </c>
      <c r="S6809">
        <v>144.22</v>
      </c>
      <c r="T6809" t="s">
        <v>22653</v>
      </c>
    </row>
    <row r="6810" spans="1:20" x14ac:dyDescent="0.25">
      <c r="A6810" s="1" t="str">
        <f>HYPERLINK("https://vegkart.atlas.vegvesen.no/#/@-32552.0,6721918.8,18/hva:hva%5B0%5D%5Bfilter%5D%5B0%5D%5Boperator%5D=%21%3D&amp;hva%5B0%5D%5Bfilter%5D%5B0%5D%5Btype_id%5D=5897&amp;hva%5B0%5D%5Bfilter%5D%5B0%5D%5Bverdi%5D=&amp;hva%5B0%5D%5Bid%5D=47/når:2021-12-01", "Vegkart")</f>
        <v>Vegkart</v>
      </c>
      <c r="B6810">
        <v>1014357052</v>
      </c>
      <c r="C6810">
        <v>47</v>
      </c>
      <c r="D6810" t="s">
        <v>16854</v>
      </c>
      <c r="E6810">
        <v>5897</v>
      </c>
      <c r="F6810" t="s">
        <v>23479</v>
      </c>
      <c r="G6810">
        <v>1</v>
      </c>
      <c r="H6810" t="s">
        <v>22602</v>
      </c>
      <c r="J6810" t="s">
        <v>22480</v>
      </c>
      <c r="K6810" t="s">
        <v>21</v>
      </c>
      <c r="L6810" t="s">
        <v>80</v>
      </c>
      <c r="M6810" t="s">
        <v>81</v>
      </c>
      <c r="N6810" t="s">
        <v>22654</v>
      </c>
      <c r="O6810" t="s">
        <v>22655</v>
      </c>
      <c r="P6810" s="2" t="s">
        <v>26</v>
      </c>
      <c r="Q6810" t="s">
        <v>50</v>
      </c>
      <c r="R6810">
        <v>89.2</v>
      </c>
      <c r="S6810">
        <v>89.2</v>
      </c>
      <c r="T6810" t="s">
        <v>22656</v>
      </c>
    </row>
    <row r="6811" spans="1:20" x14ac:dyDescent="0.25">
      <c r="A6811" s="1" t="str">
        <f>HYPERLINK("https://vegkart.atlas.vegvesen.no/#/@-32944.6,6722228.3,18/hva:hva%5B0%5D%5Bfilter%5D%5B0%5D%5Boperator%5D=%21%3D&amp;hva%5B0%5D%5Bfilter%5D%5B0%5D%5Btype_id%5D=5897&amp;hva%5B0%5D%5Bfilter%5D%5B0%5D%5Bverdi%5D=&amp;hva%5B0%5D%5Bid%5D=47/når:2021-12-01", "Vegkart")</f>
        <v>Vegkart</v>
      </c>
      <c r="B6811">
        <v>1014357054</v>
      </c>
      <c r="C6811">
        <v>47</v>
      </c>
      <c r="D6811" t="s">
        <v>16854</v>
      </c>
      <c r="E6811">
        <v>5897</v>
      </c>
      <c r="F6811" t="s">
        <v>23479</v>
      </c>
      <c r="G6811">
        <v>1</v>
      </c>
      <c r="H6811" t="s">
        <v>22602</v>
      </c>
      <c r="J6811" t="s">
        <v>22480</v>
      </c>
      <c r="K6811" t="s">
        <v>21</v>
      </c>
      <c r="L6811" t="s">
        <v>80</v>
      </c>
      <c r="M6811" t="s">
        <v>81</v>
      </c>
      <c r="N6811" t="s">
        <v>22657</v>
      </c>
      <c r="O6811" t="s">
        <v>22658</v>
      </c>
      <c r="P6811" s="2" t="s">
        <v>26</v>
      </c>
      <c r="Q6811" t="s">
        <v>50</v>
      </c>
      <c r="R6811">
        <v>89.43</v>
      </c>
      <c r="S6811">
        <v>89.43</v>
      </c>
      <c r="T6811" t="s">
        <v>22659</v>
      </c>
    </row>
    <row r="6812" spans="1:20" x14ac:dyDescent="0.25">
      <c r="A6812" s="1" t="str">
        <f>HYPERLINK("https://vegkart.atlas.vegvesen.no/#/@262285.8,7000459.2,18/hva:hva%5B0%5D%5Bfilter%5D%5B0%5D%5Boperator%5D=%21%3D&amp;hva%5B0%5D%5Bfilter%5D%5B0%5D%5Btype_id%5D=5897&amp;hva%5B0%5D%5Bfilter%5D%5B0%5D%5Bverdi%5D=&amp;hva%5B0%5D%5Bid%5D=47/når:2021-12-07", "Vegkart")</f>
        <v>Vegkart</v>
      </c>
      <c r="B6812">
        <v>1014371074</v>
      </c>
      <c r="C6812">
        <v>47</v>
      </c>
      <c r="D6812" t="s">
        <v>16854</v>
      </c>
      <c r="E6812">
        <v>5897</v>
      </c>
      <c r="F6812" t="s">
        <v>23479</v>
      </c>
      <c r="G6812">
        <v>1</v>
      </c>
      <c r="H6812" t="s">
        <v>22660</v>
      </c>
      <c r="J6812" t="s">
        <v>22480</v>
      </c>
      <c r="K6812" t="s">
        <v>192</v>
      </c>
      <c r="L6812" t="s">
        <v>80</v>
      </c>
      <c r="M6812" t="s">
        <v>105</v>
      </c>
      <c r="N6812" t="s">
        <v>22661</v>
      </c>
      <c r="O6812" t="s">
        <v>22662</v>
      </c>
      <c r="P6812" s="2" t="s">
        <v>165</v>
      </c>
      <c r="Q6812" t="s">
        <v>166</v>
      </c>
      <c r="R6812">
        <v>0.04</v>
      </c>
      <c r="S6812">
        <v>0.04</v>
      </c>
      <c r="T6812" t="s">
        <v>167</v>
      </c>
    </row>
    <row r="6813" spans="1:20" x14ac:dyDescent="0.25">
      <c r="A6813" s="1" t="str">
        <f>HYPERLINK("https://vegkart.atlas.vegvesen.no/#/@283491.6,6752788.2,18/hva:hva%5B0%5D%5Bfilter%5D%5B0%5D%5Boperator%5D=%21%3D&amp;hva%5B0%5D%5Bfilter%5D%5B0%5D%5Btype_id%5D=5897&amp;hva%5B0%5D%5Bfilter%5D%5B0%5D%5Bverdi%5D=&amp;hva%5B0%5D%5Bid%5D=47/når:2024-08-01", "Vegkart")</f>
        <v>Vegkart</v>
      </c>
      <c r="B6813">
        <v>1014376605</v>
      </c>
      <c r="C6813">
        <v>47</v>
      </c>
      <c r="D6813" t="s">
        <v>16854</v>
      </c>
      <c r="E6813">
        <v>5897</v>
      </c>
      <c r="F6813" t="s">
        <v>23479</v>
      </c>
      <c r="G6813">
        <v>2</v>
      </c>
      <c r="H6813" t="s">
        <v>20400</v>
      </c>
      <c r="J6813" t="s">
        <v>22480</v>
      </c>
      <c r="K6813" t="s">
        <v>136</v>
      </c>
      <c r="L6813" t="s">
        <v>33</v>
      </c>
      <c r="M6813" t="s">
        <v>7977</v>
      </c>
      <c r="N6813" t="s">
        <v>22663</v>
      </c>
      <c r="O6813" t="s">
        <v>22664</v>
      </c>
      <c r="P6813" s="2" t="s">
        <v>165</v>
      </c>
      <c r="Q6813" t="s">
        <v>166</v>
      </c>
      <c r="R6813">
        <v>64.430000000000007</v>
      </c>
      <c r="S6813">
        <v>64.88</v>
      </c>
      <c r="T6813" t="s">
        <v>167</v>
      </c>
    </row>
    <row r="6814" spans="1:20" x14ac:dyDescent="0.25">
      <c r="A6814" s="1" t="str">
        <f>HYPERLINK("https://vegkart.atlas.vegvesen.no/#/@288521.0,6743943.1,18/hva:hva%5B0%5D%5Bfilter%5D%5B0%5D%5Boperator%5D=%21%3D&amp;hva%5B0%5D%5Bfilter%5D%5B0%5D%5Btype_id%5D=5897&amp;hva%5B0%5D%5Bfilter%5D%5B0%5D%5Bverdi%5D=&amp;hva%5B0%5D%5Bid%5D=47/når:2021-12-08", "Vegkart")</f>
        <v>Vegkart</v>
      </c>
      <c r="B6814">
        <v>1014376609</v>
      </c>
      <c r="C6814">
        <v>47</v>
      </c>
      <c r="D6814" t="s">
        <v>16854</v>
      </c>
      <c r="E6814">
        <v>5897</v>
      </c>
      <c r="F6814" t="s">
        <v>23479</v>
      </c>
      <c r="G6814">
        <v>1</v>
      </c>
      <c r="H6814" t="s">
        <v>22665</v>
      </c>
      <c r="J6814" t="s">
        <v>22480</v>
      </c>
      <c r="K6814" t="s">
        <v>136</v>
      </c>
      <c r="L6814" t="s">
        <v>33</v>
      </c>
      <c r="M6814" t="s">
        <v>5701</v>
      </c>
      <c r="N6814" t="s">
        <v>22666</v>
      </c>
      <c r="O6814" t="s">
        <v>22667</v>
      </c>
      <c r="P6814" s="2" t="s">
        <v>26</v>
      </c>
      <c r="Q6814" t="s">
        <v>50</v>
      </c>
      <c r="R6814">
        <v>36.15</v>
      </c>
      <c r="S6814">
        <v>36.58</v>
      </c>
      <c r="T6814" t="s">
        <v>22668</v>
      </c>
    </row>
    <row r="6815" spans="1:20" x14ac:dyDescent="0.25">
      <c r="A6815" s="1" t="str">
        <f>HYPERLINK("https://vegkart.atlas.vegvesen.no/#/@283617.7,6752712.0,18/hva:hva%5B0%5D%5Bfilter%5D%5B0%5D%5Boperator%5D=%21%3D&amp;hva%5B0%5D%5Bfilter%5D%5B0%5D%5Btype_id%5D=5897&amp;hva%5B0%5D%5Bfilter%5D%5B0%5D%5Bverdi%5D=&amp;hva%5B0%5D%5Bid%5D=47/når:2024-08-01", "Vegkart")</f>
        <v>Vegkart</v>
      </c>
      <c r="B6815">
        <v>1014376615</v>
      </c>
      <c r="C6815">
        <v>47</v>
      </c>
      <c r="D6815" t="s">
        <v>16854</v>
      </c>
      <c r="E6815">
        <v>5897</v>
      </c>
      <c r="F6815" t="s">
        <v>23479</v>
      </c>
      <c r="G6815">
        <v>2</v>
      </c>
      <c r="H6815" t="s">
        <v>20400</v>
      </c>
      <c r="J6815" t="s">
        <v>22480</v>
      </c>
      <c r="K6815" t="s">
        <v>136</v>
      </c>
      <c r="L6815" t="s">
        <v>33</v>
      </c>
      <c r="M6815" t="s">
        <v>7977</v>
      </c>
      <c r="N6815" t="s">
        <v>22669</v>
      </c>
      <c r="O6815" t="s">
        <v>22670</v>
      </c>
      <c r="P6815" s="2" t="s">
        <v>26</v>
      </c>
      <c r="Q6815" t="s">
        <v>50</v>
      </c>
      <c r="R6815">
        <v>71.819999999999993</v>
      </c>
      <c r="S6815">
        <v>72.290000000000006</v>
      </c>
      <c r="T6815" t="s">
        <v>22671</v>
      </c>
    </row>
    <row r="6816" spans="1:20" x14ac:dyDescent="0.25">
      <c r="A6816" s="1" t="str">
        <f>HYPERLINK("https://vegkart.atlas.vegvesen.no/#/@288534.6,6743807.1,18/hva:hva%5B0%5D%5Bfilter%5D%5B0%5D%5Boperator%5D=%21%3D&amp;hva%5B0%5D%5Bfilter%5D%5B0%5D%5Btype_id%5D=5897&amp;hva%5B0%5D%5Bfilter%5D%5B0%5D%5Bverdi%5D=&amp;hva%5B0%5D%5Bid%5D=47/når:2021-12-08", "Vegkart")</f>
        <v>Vegkart</v>
      </c>
      <c r="B6816">
        <v>1014376616</v>
      </c>
      <c r="C6816">
        <v>47</v>
      </c>
      <c r="D6816" t="s">
        <v>16854</v>
      </c>
      <c r="E6816">
        <v>5897</v>
      </c>
      <c r="F6816" t="s">
        <v>23479</v>
      </c>
      <c r="G6816">
        <v>1</v>
      </c>
      <c r="H6816" t="s">
        <v>22665</v>
      </c>
      <c r="J6816" t="s">
        <v>22480</v>
      </c>
      <c r="K6816" t="s">
        <v>136</v>
      </c>
      <c r="L6816" t="s">
        <v>33</v>
      </c>
      <c r="M6816" t="s">
        <v>5701</v>
      </c>
      <c r="N6816" t="s">
        <v>22672</v>
      </c>
      <c r="O6816" t="s">
        <v>22673</v>
      </c>
      <c r="P6816" s="2" t="s">
        <v>26</v>
      </c>
      <c r="Q6816" t="s">
        <v>50</v>
      </c>
      <c r="R6816">
        <v>16.09</v>
      </c>
      <c r="S6816">
        <v>16.16</v>
      </c>
      <c r="T6816" t="s">
        <v>22674</v>
      </c>
    </row>
    <row r="6817" spans="1:20" x14ac:dyDescent="0.25">
      <c r="A6817" s="1" t="str">
        <f>HYPERLINK("https://vegkart.atlas.vegvesen.no/#/@34508.5,6702437.6,18/hva:hva%5B0%5D%5Bfilter%5D%5B0%5D%5Boperator%5D=%21%3D&amp;hva%5B0%5D%5Bfilter%5D%5B0%5D%5Btype_id%5D=5897&amp;hva%5B0%5D%5Bfilter%5D%5B0%5D%5Bverdi%5D=&amp;hva%5B0%5D%5Bid%5D=47/når:2022-09-16", "Vegkart")</f>
        <v>Vegkart</v>
      </c>
      <c r="B6817">
        <v>1014587600</v>
      </c>
      <c r="C6817">
        <v>47</v>
      </c>
      <c r="D6817" t="s">
        <v>16854</v>
      </c>
      <c r="E6817">
        <v>5897</v>
      </c>
      <c r="F6817" t="s">
        <v>23479</v>
      </c>
      <c r="G6817">
        <v>3</v>
      </c>
      <c r="H6817" t="s">
        <v>380</v>
      </c>
      <c r="J6817" t="s">
        <v>22480</v>
      </c>
      <c r="K6817" t="s">
        <v>21</v>
      </c>
      <c r="L6817" t="s">
        <v>113</v>
      </c>
      <c r="M6817" t="s">
        <v>114</v>
      </c>
      <c r="N6817" t="s">
        <v>22675</v>
      </c>
      <c r="O6817" t="s">
        <v>22676</v>
      </c>
      <c r="P6817" s="2" t="s">
        <v>26</v>
      </c>
      <c r="Q6817" t="s">
        <v>50</v>
      </c>
      <c r="R6817">
        <v>25.45</v>
      </c>
      <c r="S6817">
        <v>29.82</v>
      </c>
      <c r="T6817" t="s">
        <v>22677</v>
      </c>
    </row>
    <row r="6818" spans="1:20" x14ac:dyDescent="0.25">
      <c r="A6818" s="1" t="str">
        <f>HYPERLINK("https://vegkart.atlas.vegvesen.no/#/@265553.4,6626753.3,18/hva:hva%5B0%5D%5Bfilter%5D%5B0%5D%5Boperator%5D=%21%3D&amp;hva%5B0%5D%5Bfilter%5D%5B0%5D%5Btype_id%5D=5897&amp;hva%5B0%5D%5Bfilter%5D%5B0%5D%5Bverdi%5D=&amp;hva%5B0%5D%5Bid%5D=47/når:2022-01-12", "Vegkart")</f>
        <v>Vegkart</v>
      </c>
      <c r="B6818">
        <v>1014895720</v>
      </c>
      <c r="C6818">
        <v>47</v>
      </c>
      <c r="D6818" t="s">
        <v>16854</v>
      </c>
      <c r="E6818">
        <v>5897</v>
      </c>
      <c r="F6818" t="s">
        <v>23479</v>
      </c>
      <c r="G6818">
        <v>1</v>
      </c>
      <c r="H6818" t="s">
        <v>22678</v>
      </c>
      <c r="J6818" t="s">
        <v>22679</v>
      </c>
      <c r="K6818" t="s">
        <v>132</v>
      </c>
      <c r="L6818" t="s">
        <v>33</v>
      </c>
      <c r="M6818" t="s">
        <v>9696</v>
      </c>
      <c r="N6818" t="s">
        <v>22680</v>
      </c>
      <c r="O6818" t="s">
        <v>22681</v>
      </c>
      <c r="P6818" s="2" t="s">
        <v>26</v>
      </c>
      <c r="Q6818" t="s">
        <v>50</v>
      </c>
      <c r="R6818">
        <v>59.49</v>
      </c>
      <c r="S6818">
        <v>59.89</v>
      </c>
      <c r="T6818" t="s">
        <v>22682</v>
      </c>
    </row>
    <row r="6819" spans="1:20" x14ac:dyDescent="0.25">
      <c r="A6819" s="1" t="str">
        <f>HYPERLINK("https://vegkart.atlas.vegvesen.no/#/@-29294.8,6714095.4,18/hva:hva%5B0%5D%5Bfilter%5D%5B0%5D%5Boperator%5D=%21%3D&amp;hva%5B0%5D%5Bfilter%5D%5B0%5D%5Btype_id%5D=5897&amp;hva%5B0%5D%5Bfilter%5D%5B0%5D%5Bverdi%5D=&amp;hva%5B0%5D%5Bid%5D=47/når:2022-02-07", "Vegkart")</f>
        <v>Vegkart</v>
      </c>
      <c r="B6819">
        <v>1014951919</v>
      </c>
      <c r="C6819">
        <v>47</v>
      </c>
      <c r="D6819" t="s">
        <v>16854</v>
      </c>
      <c r="E6819">
        <v>5897</v>
      </c>
      <c r="F6819" t="s">
        <v>23479</v>
      </c>
      <c r="G6819">
        <v>1</v>
      </c>
      <c r="H6819" t="s">
        <v>22683</v>
      </c>
      <c r="J6819" t="s">
        <v>22679</v>
      </c>
      <c r="K6819" t="s">
        <v>21</v>
      </c>
      <c r="L6819" t="s">
        <v>80</v>
      </c>
      <c r="M6819" t="s">
        <v>81</v>
      </c>
      <c r="N6819" t="s">
        <v>22684</v>
      </c>
      <c r="O6819" t="s">
        <v>22685</v>
      </c>
      <c r="P6819" s="2" t="s">
        <v>26</v>
      </c>
      <c r="Q6819" t="s">
        <v>50</v>
      </c>
      <c r="R6819">
        <v>58.25</v>
      </c>
      <c r="S6819">
        <v>58.33</v>
      </c>
      <c r="T6819" t="s">
        <v>22686</v>
      </c>
    </row>
    <row r="6820" spans="1:20" x14ac:dyDescent="0.25">
      <c r="A6820" s="1" t="str">
        <f>HYPERLINK("https://vegkart.atlas.vegvesen.no/#/@-29417.0,6713984.7,18/hva:hva%5B0%5D%5Bfilter%5D%5B0%5D%5Boperator%5D=%21%3D&amp;hva%5B0%5D%5Bfilter%5D%5B0%5D%5Btype_id%5D=5897&amp;hva%5B0%5D%5Bfilter%5D%5B0%5D%5Bverdi%5D=&amp;hva%5B0%5D%5Bid%5D=47/når:2022-02-07", "Vegkart")</f>
        <v>Vegkart</v>
      </c>
      <c r="B6820">
        <v>1014951921</v>
      </c>
      <c r="C6820">
        <v>47</v>
      </c>
      <c r="D6820" t="s">
        <v>16854</v>
      </c>
      <c r="E6820">
        <v>5897</v>
      </c>
      <c r="F6820" t="s">
        <v>23479</v>
      </c>
      <c r="G6820">
        <v>1</v>
      </c>
      <c r="H6820" t="s">
        <v>22683</v>
      </c>
      <c r="J6820" t="s">
        <v>22679</v>
      </c>
      <c r="K6820" t="s">
        <v>21</v>
      </c>
      <c r="L6820" t="s">
        <v>80</v>
      </c>
      <c r="M6820" t="s">
        <v>81</v>
      </c>
      <c r="N6820" t="s">
        <v>22687</v>
      </c>
      <c r="O6820" t="s">
        <v>22688</v>
      </c>
      <c r="P6820" s="2" t="s">
        <v>26</v>
      </c>
      <c r="Q6820" t="s">
        <v>50</v>
      </c>
      <c r="R6820">
        <v>52.38</v>
      </c>
      <c r="S6820">
        <v>52.51</v>
      </c>
      <c r="T6820" t="s">
        <v>22689</v>
      </c>
    </row>
    <row r="6821" spans="1:20" x14ac:dyDescent="0.25">
      <c r="A6821" s="1" t="str">
        <f>HYPERLINK("https://vegkart.atlas.vegvesen.no/#/@-29513.0,6714059.6,18/hva:hva%5B0%5D%5Bfilter%5D%5B0%5D%5Boperator%5D=%21%3D&amp;hva%5B0%5D%5Bfilter%5D%5B0%5D%5Btype_id%5D=5897&amp;hva%5B0%5D%5Bfilter%5D%5B0%5D%5Bverdi%5D=&amp;hva%5B0%5D%5Bid%5D=47/når:2022-02-07", "Vegkart")</f>
        <v>Vegkart</v>
      </c>
      <c r="B6821">
        <v>1014951924</v>
      </c>
      <c r="C6821">
        <v>47</v>
      </c>
      <c r="D6821" t="s">
        <v>16854</v>
      </c>
      <c r="E6821">
        <v>5897</v>
      </c>
      <c r="F6821" t="s">
        <v>23479</v>
      </c>
      <c r="G6821">
        <v>1</v>
      </c>
      <c r="H6821" t="s">
        <v>22683</v>
      </c>
      <c r="J6821" t="s">
        <v>22679</v>
      </c>
      <c r="K6821" t="s">
        <v>21</v>
      </c>
      <c r="L6821" t="s">
        <v>33</v>
      </c>
      <c r="M6821" t="s">
        <v>22449</v>
      </c>
      <c r="N6821" t="s">
        <v>22690</v>
      </c>
      <c r="O6821" t="s">
        <v>22691</v>
      </c>
      <c r="P6821" s="2" t="s">
        <v>26</v>
      </c>
      <c r="Q6821" t="s">
        <v>50</v>
      </c>
      <c r="R6821">
        <v>61.18</v>
      </c>
      <c r="S6821">
        <v>62.01</v>
      </c>
      <c r="T6821" t="s">
        <v>22692</v>
      </c>
    </row>
    <row r="6822" spans="1:20" x14ac:dyDescent="0.25">
      <c r="A6822" s="1" t="str">
        <f>HYPERLINK("https://vegkart.atlas.vegvesen.no/#/@-35942.5,6524768.7,18/hva:hva%5B0%5D%5Bfilter%5D%5B0%5D%5Boperator%5D=%21%3D&amp;hva%5B0%5D%5Bfilter%5D%5B0%5D%5Btype_id%5D=5897&amp;hva%5B0%5D%5Bfilter%5D%5B0%5D%5Bverdi%5D=&amp;hva%5B0%5D%5Bid%5D=47/når:2022-03-09", "Vegkart")</f>
        <v>Vegkart</v>
      </c>
      <c r="B6822">
        <v>1015122327</v>
      </c>
      <c r="C6822">
        <v>47</v>
      </c>
      <c r="D6822" t="s">
        <v>16854</v>
      </c>
      <c r="E6822">
        <v>5897</v>
      </c>
      <c r="F6822" t="s">
        <v>23479</v>
      </c>
      <c r="G6822">
        <v>1</v>
      </c>
      <c r="H6822" t="s">
        <v>22693</v>
      </c>
      <c r="J6822" t="s">
        <v>22679</v>
      </c>
      <c r="K6822" t="s">
        <v>170</v>
      </c>
      <c r="L6822" t="s">
        <v>33</v>
      </c>
      <c r="M6822" t="s">
        <v>414</v>
      </c>
      <c r="N6822" t="s">
        <v>22694</v>
      </c>
      <c r="O6822" t="s">
        <v>22695</v>
      </c>
      <c r="P6822" s="2" t="s">
        <v>26</v>
      </c>
      <c r="Q6822" t="s">
        <v>50</v>
      </c>
      <c r="R6822">
        <v>44.05</v>
      </c>
      <c r="S6822">
        <v>44.83</v>
      </c>
      <c r="T6822" t="s">
        <v>22696</v>
      </c>
    </row>
    <row r="6823" spans="1:20" x14ac:dyDescent="0.25">
      <c r="A6823" s="1" t="str">
        <f>HYPERLINK("https://vegkart.atlas.vegvesen.no/#/@109447.3,6638105.7,18/hva:hva%5B0%5D%5Bfilter%5D%5B0%5D%5Boperator%5D=%21%3D&amp;hva%5B0%5D%5Bfilter%5D%5B0%5D%5Btype_id%5D=5897&amp;hva%5B0%5D%5Bfilter%5D%5B0%5D%5Bverdi%5D=&amp;hva%5B0%5D%5Bid%5D=47/når:2022-01-01", "Vegkart")</f>
        <v>Vegkart</v>
      </c>
      <c r="B6823">
        <v>1015219802</v>
      </c>
      <c r="C6823">
        <v>47</v>
      </c>
      <c r="D6823" t="s">
        <v>16854</v>
      </c>
      <c r="E6823">
        <v>5897</v>
      </c>
      <c r="F6823" t="s">
        <v>23479</v>
      </c>
      <c r="G6823">
        <v>1</v>
      </c>
      <c r="H6823" t="s">
        <v>22697</v>
      </c>
      <c r="J6823" t="s">
        <v>22679</v>
      </c>
      <c r="K6823" t="s">
        <v>197</v>
      </c>
      <c r="L6823" t="s">
        <v>33</v>
      </c>
      <c r="M6823" t="s">
        <v>22698</v>
      </c>
      <c r="N6823" t="s">
        <v>22699</v>
      </c>
      <c r="O6823" t="s">
        <v>22700</v>
      </c>
      <c r="P6823" s="2" t="s">
        <v>37</v>
      </c>
      <c r="Q6823" t="s">
        <v>1208</v>
      </c>
      <c r="R6823">
        <v>0</v>
      </c>
      <c r="S6823">
        <v>94.5</v>
      </c>
      <c r="T6823" t="s">
        <v>22701</v>
      </c>
    </row>
    <row r="6824" spans="1:20" x14ac:dyDescent="0.25">
      <c r="A6824" s="1" t="str">
        <f>HYPERLINK("https://vegkart.atlas.vegvesen.no/#/@-33855.6,6723295.4,18/hva:hva%5B0%5D%5Bfilter%5D%5B0%5D%5Boperator%5D=%21%3D&amp;hva%5B0%5D%5Bfilter%5D%5B0%5D%5Btype_id%5D=5897&amp;hva%5B0%5D%5Bfilter%5D%5B0%5D%5Bverdi%5D=&amp;hva%5B0%5D%5Bid%5D=47/når:2022-03-29", "Vegkart")</f>
        <v>Vegkart</v>
      </c>
      <c r="B6824">
        <v>1015244582</v>
      </c>
      <c r="C6824">
        <v>47</v>
      </c>
      <c r="D6824" t="s">
        <v>16854</v>
      </c>
      <c r="E6824">
        <v>5897</v>
      </c>
      <c r="F6824" t="s">
        <v>23479</v>
      </c>
      <c r="G6824">
        <v>1</v>
      </c>
      <c r="H6824" t="s">
        <v>22702</v>
      </c>
      <c r="J6824" t="s">
        <v>22679</v>
      </c>
      <c r="K6824" t="s">
        <v>21</v>
      </c>
      <c r="L6824" t="s">
        <v>80</v>
      </c>
      <c r="M6824" t="s">
        <v>81</v>
      </c>
      <c r="N6824" t="s">
        <v>22703</v>
      </c>
      <c r="O6824" t="s">
        <v>22704</v>
      </c>
      <c r="P6824" s="2" t="s">
        <v>26</v>
      </c>
      <c r="Q6824" t="s">
        <v>50</v>
      </c>
      <c r="R6824">
        <v>89.81</v>
      </c>
      <c r="S6824">
        <v>89.94</v>
      </c>
      <c r="T6824" t="s">
        <v>22705</v>
      </c>
    </row>
    <row r="6825" spans="1:20" x14ac:dyDescent="0.25">
      <c r="A6825" s="1" t="str">
        <f>HYPERLINK("https://vegkart.atlas.vegvesen.no/#/@-33887.8,6723282.1,18/hva:hva%5B0%5D%5Bfilter%5D%5B0%5D%5Boperator%5D=%21%3D&amp;hva%5B0%5D%5Bfilter%5D%5B0%5D%5Btype_id%5D=5897&amp;hva%5B0%5D%5Bfilter%5D%5B0%5D%5Bverdi%5D=&amp;hva%5B0%5D%5Bid%5D=47/når:2022-03-29", "Vegkart")</f>
        <v>Vegkart</v>
      </c>
      <c r="B6825">
        <v>1015244584</v>
      </c>
      <c r="C6825">
        <v>47</v>
      </c>
      <c r="D6825" t="s">
        <v>16854</v>
      </c>
      <c r="E6825">
        <v>5897</v>
      </c>
      <c r="F6825" t="s">
        <v>23479</v>
      </c>
      <c r="G6825">
        <v>1</v>
      </c>
      <c r="H6825" t="s">
        <v>22702</v>
      </c>
      <c r="J6825" t="s">
        <v>22679</v>
      </c>
      <c r="K6825" t="s">
        <v>21</v>
      </c>
      <c r="L6825" t="s">
        <v>80</v>
      </c>
      <c r="M6825" t="s">
        <v>81</v>
      </c>
      <c r="N6825" t="s">
        <v>22706</v>
      </c>
      <c r="O6825" t="s">
        <v>22707</v>
      </c>
      <c r="P6825" s="2" t="s">
        <v>26</v>
      </c>
      <c r="Q6825" t="s">
        <v>50</v>
      </c>
      <c r="R6825">
        <v>90.63</v>
      </c>
      <c r="S6825">
        <v>91.19</v>
      </c>
      <c r="T6825" t="s">
        <v>22708</v>
      </c>
    </row>
    <row r="6826" spans="1:20" x14ac:dyDescent="0.25">
      <c r="A6826" s="1" t="str">
        <f>HYPERLINK("https://vegkart.atlas.vegvesen.no/#/@-33756.8,6723060.6,18/hva:hva%5B0%5D%5Bfilter%5D%5B0%5D%5Boperator%5D=%21%3D&amp;hva%5B0%5D%5Bfilter%5D%5B0%5D%5Btype_id%5D=5897&amp;hva%5B0%5D%5Bfilter%5D%5B0%5D%5Bverdi%5D=&amp;hva%5B0%5D%5Bid%5D=47/når:2022-03-29", "Vegkart")</f>
        <v>Vegkart</v>
      </c>
      <c r="B6826">
        <v>1015244586</v>
      </c>
      <c r="C6826">
        <v>47</v>
      </c>
      <c r="D6826" t="s">
        <v>16854</v>
      </c>
      <c r="E6826">
        <v>5897</v>
      </c>
      <c r="F6826" t="s">
        <v>23479</v>
      </c>
      <c r="G6826">
        <v>1</v>
      </c>
      <c r="H6826" t="s">
        <v>22702</v>
      </c>
      <c r="J6826" t="s">
        <v>22679</v>
      </c>
      <c r="K6826" t="s">
        <v>21</v>
      </c>
      <c r="L6826" t="s">
        <v>80</v>
      </c>
      <c r="M6826" t="s">
        <v>81</v>
      </c>
      <c r="N6826" t="s">
        <v>22709</v>
      </c>
      <c r="O6826" t="s">
        <v>22710</v>
      </c>
      <c r="P6826" s="2" t="s">
        <v>26</v>
      </c>
      <c r="Q6826" t="s">
        <v>50</v>
      </c>
      <c r="R6826">
        <v>90.57</v>
      </c>
      <c r="S6826">
        <v>91.09</v>
      </c>
      <c r="T6826" t="s">
        <v>22711</v>
      </c>
    </row>
    <row r="6827" spans="1:20" x14ac:dyDescent="0.25">
      <c r="A6827" s="1" t="str">
        <f>HYPERLINK("https://vegkart.atlas.vegvesen.no/#/@-34631.9,6723383.2,18/hva:hva%5B0%5D%5Bfilter%5D%5B0%5D%5Boperator%5D=%21%3D&amp;hva%5B0%5D%5Bfilter%5D%5B0%5D%5Btype_id%5D=5897&amp;hva%5B0%5D%5Bfilter%5D%5B0%5D%5Bverdi%5D=&amp;hva%5B0%5D%5Bid%5D=47/når:2022-03-29", "Vegkart")</f>
        <v>Vegkart</v>
      </c>
      <c r="B6827">
        <v>1015244587</v>
      </c>
      <c r="C6827">
        <v>47</v>
      </c>
      <c r="D6827" t="s">
        <v>16854</v>
      </c>
      <c r="E6827">
        <v>5897</v>
      </c>
      <c r="F6827" t="s">
        <v>23479</v>
      </c>
      <c r="G6827">
        <v>1</v>
      </c>
      <c r="H6827" t="s">
        <v>22702</v>
      </c>
      <c r="J6827" t="s">
        <v>22679</v>
      </c>
      <c r="K6827" t="s">
        <v>21</v>
      </c>
      <c r="L6827" t="s">
        <v>113</v>
      </c>
      <c r="M6827" t="s">
        <v>7889</v>
      </c>
      <c r="N6827" t="s">
        <v>22712</v>
      </c>
      <c r="O6827" t="s">
        <v>22713</v>
      </c>
      <c r="P6827" s="2" t="s">
        <v>26</v>
      </c>
      <c r="Q6827" t="s">
        <v>50</v>
      </c>
      <c r="R6827">
        <v>63.7</v>
      </c>
      <c r="S6827">
        <v>64.78</v>
      </c>
      <c r="T6827" t="s">
        <v>22714</v>
      </c>
    </row>
    <row r="6828" spans="1:20" x14ac:dyDescent="0.25">
      <c r="A6828" s="1" t="str">
        <f>HYPERLINK("https://vegkart.atlas.vegvesen.no/#/@-33762.0,6723936.7,18/hva:hva%5B0%5D%5Bfilter%5D%5B0%5D%5Boperator%5D=%21%3D&amp;hva%5B0%5D%5Bfilter%5D%5B0%5D%5Btype_id%5D=5897&amp;hva%5B0%5D%5Bfilter%5D%5B0%5D%5Bverdi%5D=&amp;hva%5B0%5D%5Bid%5D=47/når:2022-03-29", "Vegkart")</f>
        <v>Vegkart</v>
      </c>
      <c r="B6828">
        <v>1015244588</v>
      </c>
      <c r="C6828">
        <v>47</v>
      </c>
      <c r="D6828" t="s">
        <v>16854</v>
      </c>
      <c r="E6828">
        <v>5897</v>
      </c>
      <c r="F6828" t="s">
        <v>23479</v>
      </c>
      <c r="G6828">
        <v>1</v>
      </c>
      <c r="H6828" t="s">
        <v>22702</v>
      </c>
      <c r="J6828" t="s">
        <v>22679</v>
      </c>
      <c r="K6828" t="s">
        <v>21</v>
      </c>
      <c r="L6828" t="s">
        <v>113</v>
      </c>
      <c r="M6828" t="s">
        <v>7889</v>
      </c>
      <c r="N6828" t="s">
        <v>22715</v>
      </c>
      <c r="O6828" t="s">
        <v>22716</v>
      </c>
      <c r="P6828" s="2" t="s">
        <v>26</v>
      </c>
      <c r="Q6828" t="s">
        <v>50</v>
      </c>
      <c r="R6828">
        <v>90.27</v>
      </c>
      <c r="S6828">
        <v>90.57</v>
      </c>
      <c r="T6828" t="s">
        <v>22717</v>
      </c>
    </row>
    <row r="6829" spans="1:20" x14ac:dyDescent="0.25">
      <c r="A6829" s="1" t="str">
        <f>HYPERLINK("https://vegkart.atlas.vegvesen.no/#/@-34694.2,6723353.3,18/hva:hva%5B0%5D%5Bfilter%5D%5B0%5D%5Boperator%5D=%21%3D&amp;hva%5B0%5D%5Bfilter%5D%5B0%5D%5Btype_id%5D=5897&amp;hva%5B0%5D%5Bfilter%5D%5B0%5D%5Bverdi%5D=&amp;hva%5B0%5D%5Bid%5D=47/når:2022-03-29", "Vegkart")</f>
        <v>Vegkart</v>
      </c>
      <c r="B6829">
        <v>1015244589</v>
      </c>
      <c r="C6829">
        <v>47</v>
      </c>
      <c r="D6829" t="s">
        <v>16854</v>
      </c>
      <c r="E6829">
        <v>5897</v>
      </c>
      <c r="F6829" t="s">
        <v>23479</v>
      </c>
      <c r="G6829">
        <v>1</v>
      </c>
      <c r="H6829" t="s">
        <v>22702</v>
      </c>
      <c r="J6829" t="s">
        <v>22679</v>
      </c>
      <c r="K6829" t="s">
        <v>21</v>
      </c>
      <c r="L6829" t="s">
        <v>113</v>
      </c>
      <c r="M6829" t="s">
        <v>7889</v>
      </c>
      <c r="N6829" t="s">
        <v>22718</v>
      </c>
      <c r="O6829" t="s">
        <v>22719</v>
      </c>
      <c r="P6829" s="2" t="s">
        <v>26</v>
      </c>
      <c r="Q6829" t="s">
        <v>50</v>
      </c>
      <c r="R6829">
        <v>68.33</v>
      </c>
      <c r="S6829">
        <v>68.92</v>
      </c>
      <c r="T6829" t="s">
        <v>22720</v>
      </c>
    </row>
    <row r="6830" spans="1:20" x14ac:dyDescent="0.25">
      <c r="A6830" s="1" t="str">
        <f>HYPERLINK("https://vegkart.atlas.vegvesen.no/#/@-33349.2,6724220.3,18/hva:hva%5B0%5D%5Bfilter%5D%5B0%5D%5Boperator%5D=%21%3D&amp;hva%5B0%5D%5Bfilter%5D%5B0%5D%5Btype_id%5D=5897&amp;hva%5B0%5D%5Bfilter%5D%5B0%5D%5Bverdi%5D=&amp;hva%5B0%5D%5Bid%5D=47/når:2022-03-29", "Vegkart")</f>
        <v>Vegkart</v>
      </c>
      <c r="B6830">
        <v>1015244590</v>
      </c>
      <c r="C6830">
        <v>47</v>
      </c>
      <c r="D6830" t="s">
        <v>16854</v>
      </c>
      <c r="E6830">
        <v>5897</v>
      </c>
      <c r="F6830" t="s">
        <v>23479</v>
      </c>
      <c r="G6830">
        <v>1</v>
      </c>
      <c r="H6830" t="s">
        <v>22702</v>
      </c>
      <c r="J6830" t="s">
        <v>22679</v>
      </c>
      <c r="K6830" t="s">
        <v>21</v>
      </c>
      <c r="L6830" t="s">
        <v>113</v>
      </c>
      <c r="M6830" t="s">
        <v>7889</v>
      </c>
      <c r="N6830" t="s">
        <v>22721</v>
      </c>
      <c r="O6830" t="s">
        <v>22722</v>
      </c>
      <c r="P6830" s="2" t="s">
        <v>26</v>
      </c>
      <c r="Q6830" t="s">
        <v>50</v>
      </c>
      <c r="R6830">
        <v>90.8</v>
      </c>
      <c r="S6830">
        <v>91.56</v>
      </c>
      <c r="T6830" t="s">
        <v>22723</v>
      </c>
    </row>
    <row r="6831" spans="1:20" x14ac:dyDescent="0.25">
      <c r="A6831" s="1" t="str">
        <f>HYPERLINK("https://vegkart.atlas.vegvesen.no/#/@-34761.1,6723369.3,18/hva:hva%5B0%5D%5Bfilter%5D%5B0%5D%5Boperator%5D=%21%3D&amp;hva%5B0%5D%5Bfilter%5D%5B0%5D%5Btype_id%5D=5897&amp;hva%5B0%5D%5Bfilter%5D%5B0%5D%5Bverdi%5D=&amp;hva%5B0%5D%5Bid%5D=47/når:2022-03-29", "Vegkart")</f>
        <v>Vegkart</v>
      </c>
      <c r="B6831">
        <v>1015244591</v>
      </c>
      <c r="C6831">
        <v>47</v>
      </c>
      <c r="D6831" t="s">
        <v>16854</v>
      </c>
      <c r="E6831">
        <v>5897</v>
      </c>
      <c r="F6831" t="s">
        <v>23479</v>
      </c>
      <c r="G6831">
        <v>1</v>
      </c>
      <c r="H6831" t="s">
        <v>22702</v>
      </c>
      <c r="J6831" t="s">
        <v>22679</v>
      </c>
      <c r="K6831" t="s">
        <v>21</v>
      </c>
      <c r="L6831" t="s">
        <v>113</v>
      </c>
      <c r="M6831" t="s">
        <v>7889</v>
      </c>
      <c r="N6831" t="s">
        <v>22724</v>
      </c>
      <c r="O6831" t="s">
        <v>22725</v>
      </c>
      <c r="P6831" s="2" t="s">
        <v>26</v>
      </c>
      <c r="Q6831" t="s">
        <v>50</v>
      </c>
      <c r="R6831">
        <v>66.22</v>
      </c>
      <c r="S6831">
        <v>66.709999999999994</v>
      </c>
      <c r="T6831" t="s">
        <v>22726</v>
      </c>
    </row>
    <row r="6832" spans="1:20" x14ac:dyDescent="0.25">
      <c r="A6832" s="1" t="str">
        <f>HYPERLINK("https://vegkart.atlas.vegvesen.no/#/@-33342.4,6724526.3,18/hva:hva%5B0%5D%5Bfilter%5D%5B0%5D%5Boperator%5D=%21%3D&amp;hva%5B0%5D%5Bfilter%5D%5B0%5D%5Btype_id%5D=5897&amp;hva%5B0%5D%5Bfilter%5D%5B0%5D%5Bverdi%5D=&amp;hva%5B0%5D%5Bid%5D=47/når:2022-03-29", "Vegkart")</f>
        <v>Vegkart</v>
      </c>
      <c r="B6832">
        <v>1015244592</v>
      </c>
      <c r="C6832">
        <v>47</v>
      </c>
      <c r="D6832" t="s">
        <v>16854</v>
      </c>
      <c r="E6832">
        <v>5897</v>
      </c>
      <c r="F6832" t="s">
        <v>23479</v>
      </c>
      <c r="G6832">
        <v>1</v>
      </c>
      <c r="H6832" t="s">
        <v>22702</v>
      </c>
      <c r="J6832" t="s">
        <v>22679</v>
      </c>
      <c r="K6832" t="s">
        <v>21</v>
      </c>
      <c r="L6832" t="s">
        <v>80</v>
      </c>
      <c r="M6832" t="s">
        <v>81</v>
      </c>
      <c r="N6832" t="s">
        <v>22727</v>
      </c>
      <c r="O6832" t="s">
        <v>22728</v>
      </c>
      <c r="P6832" s="2" t="s">
        <v>26</v>
      </c>
      <c r="Q6832" t="s">
        <v>50</v>
      </c>
      <c r="R6832">
        <v>90.51</v>
      </c>
      <c r="S6832">
        <v>90.97</v>
      </c>
      <c r="T6832" t="s">
        <v>22729</v>
      </c>
    </row>
    <row r="6833" spans="1:20" x14ac:dyDescent="0.25">
      <c r="A6833" s="1" t="str">
        <f>HYPERLINK("https://vegkart.atlas.vegvesen.no/#/@-33283.9,6724441.1,18/hva:hva%5B0%5D%5Bfilter%5D%5B0%5D%5Boperator%5D=%21%3D&amp;hva%5B0%5D%5Bfilter%5D%5B0%5D%5Btype_id%5D=5897&amp;hva%5B0%5D%5Bfilter%5D%5B0%5D%5Bverdi%5D=&amp;hva%5B0%5D%5Bid%5D=47/når:2022-03-29", "Vegkart")</f>
        <v>Vegkart</v>
      </c>
      <c r="B6833">
        <v>1015244593</v>
      </c>
      <c r="C6833">
        <v>47</v>
      </c>
      <c r="D6833" t="s">
        <v>16854</v>
      </c>
      <c r="E6833">
        <v>5897</v>
      </c>
      <c r="F6833" t="s">
        <v>23479</v>
      </c>
      <c r="G6833">
        <v>1</v>
      </c>
      <c r="H6833" t="s">
        <v>22702</v>
      </c>
      <c r="J6833" t="s">
        <v>22679</v>
      </c>
      <c r="K6833" t="s">
        <v>21</v>
      </c>
      <c r="L6833" t="s">
        <v>33</v>
      </c>
      <c r="M6833" t="s">
        <v>22730</v>
      </c>
      <c r="N6833" t="s">
        <v>22731</v>
      </c>
      <c r="O6833" t="s">
        <v>22732</v>
      </c>
      <c r="P6833" s="2" t="s">
        <v>26</v>
      </c>
      <c r="Q6833" t="s">
        <v>50</v>
      </c>
      <c r="R6833">
        <v>66.680000000000007</v>
      </c>
      <c r="S6833">
        <v>67.66</v>
      </c>
      <c r="T6833" t="s">
        <v>22733</v>
      </c>
    </row>
    <row r="6834" spans="1:20" x14ac:dyDescent="0.25">
      <c r="A6834" s="1" t="str">
        <f>HYPERLINK("https://vegkart.atlas.vegvesen.no/#/@-33498.8,6724414.7,18/hva:hva%5B0%5D%5Bfilter%5D%5B0%5D%5Boperator%5D=%21%3D&amp;hva%5B0%5D%5Bfilter%5D%5B0%5D%5Btype_id%5D=5897&amp;hva%5B0%5D%5Bfilter%5D%5B0%5D%5Bverdi%5D=&amp;hva%5B0%5D%5Bid%5D=47/når:2022-03-29", "Vegkart")</f>
        <v>Vegkart</v>
      </c>
      <c r="B6834">
        <v>1015244594</v>
      </c>
      <c r="C6834">
        <v>47</v>
      </c>
      <c r="D6834" t="s">
        <v>16854</v>
      </c>
      <c r="E6834">
        <v>5897</v>
      </c>
      <c r="F6834" t="s">
        <v>23479</v>
      </c>
      <c r="G6834">
        <v>1</v>
      </c>
      <c r="H6834" t="s">
        <v>22702</v>
      </c>
      <c r="J6834" t="s">
        <v>22679</v>
      </c>
      <c r="K6834" t="s">
        <v>21</v>
      </c>
      <c r="L6834" t="s">
        <v>80</v>
      </c>
      <c r="M6834" t="s">
        <v>81</v>
      </c>
      <c r="N6834" t="s">
        <v>22734</v>
      </c>
      <c r="O6834" t="s">
        <v>22735</v>
      </c>
      <c r="P6834" s="2" t="s">
        <v>26</v>
      </c>
      <c r="Q6834" t="s">
        <v>50</v>
      </c>
      <c r="R6834">
        <v>90.27</v>
      </c>
      <c r="S6834">
        <v>90.57</v>
      </c>
      <c r="T6834" t="s">
        <v>22736</v>
      </c>
    </row>
    <row r="6835" spans="1:20" x14ac:dyDescent="0.25">
      <c r="A6835" s="1" t="str">
        <f>HYPERLINK("https://vegkart.atlas.vegvesen.no/#/@-33307.1,6724688.6,18/hva:hva%5B0%5D%5Bfilter%5D%5B0%5D%5Boperator%5D=%21%3D&amp;hva%5B0%5D%5Bfilter%5D%5B0%5D%5Btype_id%5D=5897&amp;hva%5B0%5D%5Bfilter%5D%5B0%5D%5Bverdi%5D=&amp;hva%5B0%5D%5Bid%5D=47/når:2022-03-29", "Vegkart")</f>
        <v>Vegkart</v>
      </c>
      <c r="B6835">
        <v>1015244595</v>
      </c>
      <c r="C6835">
        <v>47</v>
      </c>
      <c r="D6835" t="s">
        <v>16854</v>
      </c>
      <c r="E6835">
        <v>5897</v>
      </c>
      <c r="F6835" t="s">
        <v>23479</v>
      </c>
      <c r="G6835">
        <v>1</v>
      </c>
      <c r="H6835" t="s">
        <v>22702</v>
      </c>
      <c r="J6835" t="s">
        <v>22679</v>
      </c>
      <c r="K6835" t="s">
        <v>21</v>
      </c>
      <c r="L6835" t="s">
        <v>33</v>
      </c>
      <c r="M6835" t="s">
        <v>22730</v>
      </c>
      <c r="N6835" t="s">
        <v>22737</v>
      </c>
      <c r="O6835" t="s">
        <v>22738</v>
      </c>
      <c r="P6835" s="2" t="s">
        <v>26</v>
      </c>
      <c r="Q6835" t="s">
        <v>50</v>
      </c>
      <c r="R6835">
        <v>67.900000000000006</v>
      </c>
      <c r="S6835">
        <v>69.540000000000006</v>
      </c>
      <c r="T6835" t="s">
        <v>22739</v>
      </c>
    </row>
    <row r="6836" spans="1:20" x14ac:dyDescent="0.25">
      <c r="A6836" s="1" t="str">
        <f>HYPERLINK("https://vegkart.atlas.vegvesen.no/#/@-33645.7,6724208.0,18/hva:hva%5B0%5D%5Bfilter%5D%5B0%5D%5Boperator%5D=%21%3D&amp;hva%5B0%5D%5Bfilter%5D%5B0%5D%5Btype_id%5D=5897&amp;hva%5B0%5D%5Bfilter%5D%5B0%5D%5Bverdi%5D=&amp;hva%5B0%5D%5Bid%5D=47/når:2022-03-29", "Vegkart")</f>
        <v>Vegkart</v>
      </c>
      <c r="B6836">
        <v>1015244596</v>
      </c>
      <c r="C6836">
        <v>47</v>
      </c>
      <c r="D6836" t="s">
        <v>16854</v>
      </c>
      <c r="E6836">
        <v>5897</v>
      </c>
      <c r="F6836" t="s">
        <v>23479</v>
      </c>
      <c r="G6836">
        <v>1</v>
      </c>
      <c r="H6836" t="s">
        <v>22702</v>
      </c>
      <c r="J6836" t="s">
        <v>22679</v>
      </c>
      <c r="K6836" t="s">
        <v>21</v>
      </c>
      <c r="L6836" t="s">
        <v>80</v>
      </c>
      <c r="M6836" t="s">
        <v>81</v>
      </c>
      <c r="N6836" t="s">
        <v>22740</v>
      </c>
      <c r="O6836" t="s">
        <v>22741</v>
      </c>
      <c r="P6836" s="2" t="s">
        <v>26</v>
      </c>
      <c r="Q6836" t="s">
        <v>50</v>
      </c>
      <c r="R6836">
        <v>90.23</v>
      </c>
      <c r="S6836">
        <v>90.52</v>
      </c>
      <c r="T6836" t="s">
        <v>22742</v>
      </c>
    </row>
    <row r="6837" spans="1:20" x14ac:dyDescent="0.25">
      <c r="A6837" s="1" t="str">
        <f>HYPERLINK("https://vegkart.atlas.vegvesen.no/#/@-33247.7,6724680.7,18/hva:hva%5B0%5D%5Bfilter%5D%5B0%5D%5Boperator%5D=%21%3D&amp;hva%5B0%5D%5Bfilter%5D%5B0%5D%5Btype_id%5D=5897&amp;hva%5B0%5D%5Bfilter%5D%5B0%5D%5Bverdi%5D=&amp;hva%5B0%5D%5Bid%5D=47/når:2022-03-29", "Vegkart")</f>
        <v>Vegkart</v>
      </c>
      <c r="B6837">
        <v>1015244597</v>
      </c>
      <c r="C6837">
        <v>47</v>
      </c>
      <c r="D6837" t="s">
        <v>16854</v>
      </c>
      <c r="E6837">
        <v>5897</v>
      </c>
      <c r="F6837" t="s">
        <v>23479</v>
      </c>
      <c r="G6837">
        <v>1</v>
      </c>
      <c r="H6837" t="s">
        <v>22702</v>
      </c>
      <c r="J6837" t="s">
        <v>22679</v>
      </c>
      <c r="K6837" t="s">
        <v>21</v>
      </c>
      <c r="L6837" t="s">
        <v>80</v>
      </c>
      <c r="M6837" t="s">
        <v>81</v>
      </c>
      <c r="N6837" t="s">
        <v>22743</v>
      </c>
      <c r="O6837" t="s">
        <v>22744</v>
      </c>
      <c r="P6837" s="2" t="s">
        <v>26</v>
      </c>
      <c r="Q6837" t="s">
        <v>50</v>
      </c>
      <c r="R6837">
        <v>69.61</v>
      </c>
      <c r="S6837">
        <v>70.77</v>
      </c>
      <c r="T6837" t="s">
        <v>22745</v>
      </c>
    </row>
    <row r="6838" spans="1:20" x14ac:dyDescent="0.25">
      <c r="A6838" s="1" t="str">
        <f>HYPERLINK("https://vegkart.atlas.vegvesen.no/#/@-34386.7,6723519.9,18/hva:hva%5B0%5D%5Bfilter%5D%5B0%5D%5Boperator%5D=%21%3D&amp;hva%5B0%5D%5Bfilter%5D%5B0%5D%5Btype_id%5D=5897&amp;hva%5B0%5D%5Bfilter%5D%5B0%5D%5Bverdi%5D=&amp;hva%5B0%5D%5Bid%5D=47/når:2022-03-29", "Vegkart")</f>
        <v>Vegkart</v>
      </c>
      <c r="B6838">
        <v>1015244598</v>
      </c>
      <c r="C6838">
        <v>47</v>
      </c>
      <c r="D6838" t="s">
        <v>16854</v>
      </c>
      <c r="E6838">
        <v>5897</v>
      </c>
      <c r="F6838" t="s">
        <v>23479</v>
      </c>
      <c r="G6838">
        <v>1</v>
      </c>
      <c r="H6838" t="s">
        <v>22702</v>
      </c>
      <c r="J6838" t="s">
        <v>22679</v>
      </c>
      <c r="K6838" t="s">
        <v>21</v>
      </c>
      <c r="L6838" t="s">
        <v>113</v>
      </c>
      <c r="M6838" t="s">
        <v>7889</v>
      </c>
      <c r="N6838" t="s">
        <v>22746</v>
      </c>
      <c r="O6838" t="s">
        <v>22747</v>
      </c>
      <c r="P6838" s="2" t="s">
        <v>26</v>
      </c>
      <c r="Q6838" t="s">
        <v>50</v>
      </c>
      <c r="R6838">
        <v>89.75</v>
      </c>
      <c r="S6838">
        <v>89.86</v>
      </c>
      <c r="T6838" t="s">
        <v>22748</v>
      </c>
    </row>
    <row r="6839" spans="1:20" x14ac:dyDescent="0.25">
      <c r="A6839" s="1" t="str">
        <f>HYPERLINK("https://vegkart.atlas.vegvesen.no/#/@-33567.2,6723104.6,18/hva:hva%5B0%5D%5Bfilter%5D%5B0%5D%5Boperator%5D=%21%3D&amp;hva%5B0%5D%5Bfilter%5D%5B0%5D%5Btype_id%5D=5897&amp;hva%5B0%5D%5Bfilter%5D%5B0%5D%5Bverdi%5D=&amp;hva%5B0%5D%5Bid%5D=47/når:2022-03-29", "Vegkart")</f>
        <v>Vegkart</v>
      </c>
      <c r="B6839">
        <v>1015244599</v>
      </c>
      <c r="C6839">
        <v>47</v>
      </c>
      <c r="D6839" t="s">
        <v>16854</v>
      </c>
      <c r="E6839">
        <v>5897</v>
      </c>
      <c r="F6839" t="s">
        <v>23479</v>
      </c>
      <c r="G6839">
        <v>1</v>
      </c>
      <c r="H6839" t="s">
        <v>22702</v>
      </c>
      <c r="J6839" t="s">
        <v>22679</v>
      </c>
      <c r="K6839" t="s">
        <v>21</v>
      </c>
      <c r="L6839" t="s">
        <v>80</v>
      </c>
      <c r="M6839" t="s">
        <v>81</v>
      </c>
      <c r="N6839" t="s">
        <v>22749</v>
      </c>
      <c r="O6839" t="s">
        <v>22750</v>
      </c>
      <c r="P6839" s="2" t="s">
        <v>26</v>
      </c>
      <c r="Q6839" t="s">
        <v>50</v>
      </c>
      <c r="R6839">
        <v>62.75</v>
      </c>
      <c r="S6839">
        <v>63.31</v>
      </c>
      <c r="T6839" t="s">
        <v>22751</v>
      </c>
    </row>
    <row r="6840" spans="1:20" x14ac:dyDescent="0.25">
      <c r="A6840" s="1" t="str">
        <f>HYPERLINK("https://vegkart.atlas.vegvesen.no/#/@-34362.0,6723490.9,18/hva:hva%5B0%5D%5Bfilter%5D%5B0%5D%5Boperator%5D=%21%3D&amp;hva%5B0%5D%5Bfilter%5D%5B0%5D%5Btype_id%5D=5897&amp;hva%5B0%5D%5Bfilter%5D%5B0%5D%5Bverdi%5D=&amp;hva%5B0%5D%5Bid%5D=47/når:2022-03-29", "Vegkart")</f>
        <v>Vegkart</v>
      </c>
      <c r="B6840">
        <v>1015244600</v>
      </c>
      <c r="C6840">
        <v>47</v>
      </c>
      <c r="D6840" t="s">
        <v>16854</v>
      </c>
      <c r="E6840">
        <v>5897</v>
      </c>
      <c r="F6840" t="s">
        <v>23479</v>
      </c>
      <c r="G6840">
        <v>1</v>
      </c>
      <c r="H6840" t="s">
        <v>22702</v>
      </c>
      <c r="J6840" t="s">
        <v>22679</v>
      </c>
      <c r="K6840" t="s">
        <v>21</v>
      </c>
      <c r="L6840" t="s">
        <v>113</v>
      </c>
      <c r="M6840" t="s">
        <v>7889</v>
      </c>
      <c r="N6840" t="s">
        <v>22752</v>
      </c>
      <c r="O6840" t="s">
        <v>22753</v>
      </c>
      <c r="P6840" s="2" t="s">
        <v>26</v>
      </c>
      <c r="Q6840" t="s">
        <v>50</v>
      </c>
      <c r="R6840">
        <v>90.72</v>
      </c>
      <c r="S6840">
        <v>91.4</v>
      </c>
      <c r="T6840" t="s">
        <v>22754</v>
      </c>
    </row>
    <row r="6841" spans="1:20" x14ac:dyDescent="0.25">
      <c r="A6841" s="1" t="str">
        <f>HYPERLINK("https://vegkart.atlas.vegvesen.no/#/@-33602.9,6722983.8,18/hva:hva%5B0%5D%5Bfilter%5D%5B0%5D%5Boperator%5D=%21%3D&amp;hva%5B0%5D%5Bfilter%5D%5B0%5D%5Btype_id%5D=5897&amp;hva%5B0%5D%5Bfilter%5D%5B0%5D%5Bverdi%5D=&amp;hva%5B0%5D%5Bid%5D=47/når:2022-03-29", "Vegkart")</f>
        <v>Vegkart</v>
      </c>
      <c r="B6841">
        <v>1015244601</v>
      </c>
      <c r="C6841">
        <v>47</v>
      </c>
      <c r="D6841" t="s">
        <v>16854</v>
      </c>
      <c r="E6841">
        <v>5897</v>
      </c>
      <c r="F6841" t="s">
        <v>23479</v>
      </c>
      <c r="G6841">
        <v>1</v>
      </c>
      <c r="H6841" t="s">
        <v>22702</v>
      </c>
      <c r="J6841" t="s">
        <v>22679</v>
      </c>
      <c r="K6841" t="s">
        <v>21</v>
      </c>
      <c r="L6841" t="s">
        <v>33</v>
      </c>
      <c r="M6841" t="s">
        <v>5926</v>
      </c>
      <c r="N6841" t="s">
        <v>22755</v>
      </c>
      <c r="O6841" t="s">
        <v>22756</v>
      </c>
      <c r="P6841" s="2" t="s">
        <v>26</v>
      </c>
      <c r="Q6841" t="s">
        <v>50</v>
      </c>
      <c r="R6841">
        <v>41.91</v>
      </c>
      <c r="S6841">
        <v>42.32</v>
      </c>
      <c r="T6841" t="s">
        <v>22757</v>
      </c>
    </row>
    <row r="6842" spans="1:20" x14ac:dyDescent="0.25">
      <c r="A6842" s="1" t="str">
        <f>HYPERLINK("https://vegkart.atlas.vegvesen.no/#/@-34180.9,6723664.5,18/hva:hva%5B0%5D%5Bfilter%5D%5B0%5D%5Boperator%5D=%21%3D&amp;hva%5B0%5D%5Bfilter%5D%5B0%5D%5Btype_id%5D=5897&amp;hva%5B0%5D%5Bfilter%5D%5B0%5D%5Bverdi%5D=&amp;hva%5B0%5D%5Bid%5D=47/når:2022-03-29", "Vegkart")</f>
        <v>Vegkart</v>
      </c>
      <c r="B6842">
        <v>1015244602</v>
      </c>
      <c r="C6842">
        <v>47</v>
      </c>
      <c r="D6842" t="s">
        <v>16854</v>
      </c>
      <c r="E6842">
        <v>5897</v>
      </c>
      <c r="F6842" t="s">
        <v>23479</v>
      </c>
      <c r="G6842">
        <v>1</v>
      </c>
      <c r="H6842" t="s">
        <v>22702</v>
      </c>
      <c r="J6842" t="s">
        <v>22679</v>
      </c>
      <c r="K6842" t="s">
        <v>21</v>
      </c>
      <c r="L6842" t="s">
        <v>113</v>
      </c>
      <c r="M6842" t="s">
        <v>7889</v>
      </c>
      <c r="N6842" t="s">
        <v>22758</v>
      </c>
      <c r="O6842" t="s">
        <v>22759</v>
      </c>
      <c r="P6842" s="2" t="s">
        <v>26</v>
      </c>
      <c r="Q6842" t="s">
        <v>50</v>
      </c>
      <c r="R6842">
        <v>89.88</v>
      </c>
      <c r="S6842">
        <v>90.02</v>
      </c>
      <c r="T6842" t="s">
        <v>22760</v>
      </c>
    </row>
    <row r="6843" spans="1:20" x14ac:dyDescent="0.25">
      <c r="A6843" s="1" t="str">
        <f>HYPERLINK("https://vegkart.atlas.vegvesen.no/#/@-33549.2,6722891.5,18/hva:hva%5B0%5D%5Bfilter%5D%5B0%5D%5Boperator%5D=%21%3D&amp;hva%5B0%5D%5Bfilter%5D%5B0%5D%5Btype_id%5D=5897&amp;hva%5B0%5D%5Bfilter%5D%5B0%5D%5Bverdi%5D=&amp;hva%5B0%5D%5Bid%5D=47/når:2022-03-29", "Vegkart")</f>
        <v>Vegkart</v>
      </c>
      <c r="B6843">
        <v>1015244603</v>
      </c>
      <c r="C6843">
        <v>47</v>
      </c>
      <c r="D6843" t="s">
        <v>16854</v>
      </c>
      <c r="E6843">
        <v>5897</v>
      </c>
      <c r="F6843" t="s">
        <v>23479</v>
      </c>
      <c r="G6843">
        <v>1</v>
      </c>
      <c r="H6843" t="s">
        <v>22702</v>
      </c>
      <c r="J6843" t="s">
        <v>22679</v>
      </c>
      <c r="K6843" t="s">
        <v>21</v>
      </c>
      <c r="L6843" t="s">
        <v>80</v>
      </c>
      <c r="M6843" t="s">
        <v>81</v>
      </c>
      <c r="N6843" t="s">
        <v>22761</v>
      </c>
      <c r="O6843" t="s">
        <v>22762</v>
      </c>
      <c r="P6843" s="2" t="s">
        <v>26</v>
      </c>
      <c r="Q6843" t="s">
        <v>50</v>
      </c>
      <c r="R6843">
        <v>25.82</v>
      </c>
      <c r="S6843">
        <v>28.7</v>
      </c>
      <c r="T6843" t="s">
        <v>22763</v>
      </c>
    </row>
    <row r="6844" spans="1:20" x14ac:dyDescent="0.25">
      <c r="A6844" s="1" t="str">
        <f>HYPERLINK("https://vegkart.atlas.vegvesen.no/#/@-34002.4,6723848.2,18/hva:hva%5B0%5D%5Bfilter%5D%5B0%5D%5Boperator%5D=%21%3D&amp;hva%5B0%5D%5Bfilter%5D%5B0%5D%5Btype_id%5D=5897&amp;hva%5B0%5D%5Bfilter%5D%5B0%5D%5Bverdi%5D=&amp;hva%5B0%5D%5Bid%5D=47/når:2022-03-29", "Vegkart")</f>
        <v>Vegkart</v>
      </c>
      <c r="B6844">
        <v>1015244604</v>
      </c>
      <c r="C6844">
        <v>47</v>
      </c>
      <c r="D6844" t="s">
        <v>16854</v>
      </c>
      <c r="E6844">
        <v>5897</v>
      </c>
      <c r="F6844" t="s">
        <v>23479</v>
      </c>
      <c r="G6844">
        <v>1</v>
      </c>
      <c r="H6844" t="s">
        <v>22702</v>
      </c>
      <c r="J6844" t="s">
        <v>22679</v>
      </c>
      <c r="K6844" t="s">
        <v>21</v>
      </c>
      <c r="L6844" t="s">
        <v>113</v>
      </c>
      <c r="M6844" t="s">
        <v>7889</v>
      </c>
      <c r="N6844" t="s">
        <v>22764</v>
      </c>
      <c r="O6844" t="s">
        <v>22765</v>
      </c>
      <c r="P6844" s="2" t="s">
        <v>26</v>
      </c>
      <c r="Q6844" t="s">
        <v>50</v>
      </c>
      <c r="R6844">
        <v>89.81</v>
      </c>
      <c r="S6844">
        <v>89.94</v>
      </c>
      <c r="T6844" t="s">
        <v>22766</v>
      </c>
    </row>
    <row r="6845" spans="1:20" x14ac:dyDescent="0.25">
      <c r="A6845" s="1" t="str">
        <f>HYPERLINK("https://vegkart.atlas.vegvesen.no/#/@-33508.4,6722845.7,18/hva:hva%5B0%5D%5Bfilter%5D%5B0%5D%5Boperator%5D=%21%3D&amp;hva%5B0%5D%5Bfilter%5D%5B0%5D%5Btype_id%5D=5897&amp;hva%5B0%5D%5Bfilter%5D%5B0%5D%5Bverdi%5D=&amp;hva%5B0%5D%5Bid%5D=47/når:2022-03-29", "Vegkart")</f>
        <v>Vegkart</v>
      </c>
      <c r="B6845">
        <v>1015244605</v>
      </c>
      <c r="C6845">
        <v>47</v>
      </c>
      <c r="D6845" t="s">
        <v>16854</v>
      </c>
      <c r="E6845">
        <v>5897</v>
      </c>
      <c r="F6845" t="s">
        <v>23479</v>
      </c>
      <c r="G6845">
        <v>1</v>
      </c>
      <c r="H6845" t="s">
        <v>22702</v>
      </c>
      <c r="J6845" t="s">
        <v>22679</v>
      </c>
      <c r="K6845" t="s">
        <v>21</v>
      </c>
      <c r="L6845" t="s">
        <v>80</v>
      </c>
      <c r="M6845" t="s">
        <v>81</v>
      </c>
      <c r="N6845" t="s">
        <v>22767</v>
      </c>
      <c r="O6845" t="s">
        <v>22768</v>
      </c>
      <c r="P6845" s="2" t="s">
        <v>26</v>
      </c>
      <c r="Q6845" t="s">
        <v>50</v>
      </c>
      <c r="R6845">
        <v>21.03</v>
      </c>
      <c r="S6845">
        <v>21.2</v>
      </c>
      <c r="T6845" t="s">
        <v>22769</v>
      </c>
    </row>
    <row r="6846" spans="1:20" x14ac:dyDescent="0.25">
      <c r="A6846" s="1" t="str">
        <f>HYPERLINK("https://vegkart.atlas.vegvesen.no/#/@-33927.4,6723791.3,18/hva:hva%5B0%5D%5Bfilter%5D%5B0%5D%5Boperator%5D=%21%3D&amp;hva%5B0%5D%5Bfilter%5D%5B0%5D%5Btype_id%5D=5897&amp;hva%5B0%5D%5Bfilter%5D%5B0%5D%5Bverdi%5D=&amp;hva%5B0%5D%5Bid%5D=47/når:2022-03-29", "Vegkart")</f>
        <v>Vegkart</v>
      </c>
      <c r="B6846">
        <v>1015244606</v>
      </c>
      <c r="C6846">
        <v>47</v>
      </c>
      <c r="D6846" t="s">
        <v>16854</v>
      </c>
      <c r="E6846">
        <v>5897</v>
      </c>
      <c r="F6846" t="s">
        <v>23479</v>
      </c>
      <c r="G6846">
        <v>1</v>
      </c>
      <c r="H6846" t="s">
        <v>22702</v>
      </c>
      <c r="J6846" t="s">
        <v>22679</v>
      </c>
      <c r="K6846" t="s">
        <v>21</v>
      </c>
      <c r="L6846" t="s">
        <v>80</v>
      </c>
      <c r="M6846" t="s">
        <v>81</v>
      </c>
      <c r="N6846" t="s">
        <v>22770</v>
      </c>
      <c r="O6846" t="s">
        <v>22771</v>
      </c>
      <c r="P6846" s="2" t="s">
        <v>26</v>
      </c>
      <c r="Q6846" t="s">
        <v>50</v>
      </c>
      <c r="R6846">
        <v>90.62</v>
      </c>
      <c r="S6846">
        <v>91.18</v>
      </c>
      <c r="T6846" t="s">
        <v>22772</v>
      </c>
    </row>
    <row r="6847" spans="1:20" x14ac:dyDescent="0.25">
      <c r="A6847" s="1" t="str">
        <f>HYPERLINK("https://vegkart.atlas.vegvesen.no/#/@-33556.5,6722816.6,18/hva:hva%5B0%5D%5Bfilter%5D%5B0%5D%5Boperator%5D=%21%3D&amp;hva%5B0%5D%5Bfilter%5D%5B0%5D%5Btype_id%5D=5897&amp;hva%5B0%5D%5Bfilter%5D%5B0%5D%5Bverdi%5D=&amp;hva%5B0%5D%5Bid%5D=47/når:2022-03-29", "Vegkart")</f>
        <v>Vegkart</v>
      </c>
      <c r="B6847">
        <v>1015244607</v>
      </c>
      <c r="C6847">
        <v>47</v>
      </c>
      <c r="D6847" t="s">
        <v>16854</v>
      </c>
      <c r="E6847">
        <v>5897</v>
      </c>
      <c r="F6847" t="s">
        <v>23479</v>
      </c>
      <c r="G6847">
        <v>1</v>
      </c>
      <c r="H6847" t="s">
        <v>22702</v>
      </c>
      <c r="J6847" t="s">
        <v>22679</v>
      </c>
      <c r="K6847" t="s">
        <v>21</v>
      </c>
      <c r="L6847" t="s">
        <v>80</v>
      </c>
      <c r="M6847" t="s">
        <v>81</v>
      </c>
      <c r="N6847" t="s">
        <v>22773</v>
      </c>
      <c r="O6847" t="s">
        <v>22774</v>
      </c>
      <c r="P6847" s="2" t="s">
        <v>26</v>
      </c>
      <c r="Q6847" t="s">
        <v>50</v>
      </c>
      <c r="R6847">
        <v>20.43</v>
      </c>
      <c r="S6847">
        <v>20.51</v>
      </c>
      <c r="T6847" t="s">
        <v>22775</v>
      </c>
    </row>
    <row r="6848" spans="1:20" x14ac:dyDescent="0.25">
      <c r="A6848" s="1" t="str">
        <f>HYPERLINK("https://vegkart.atlas.vegvesen.no/#/@-33893.4,6723784.0,18/hva:hva%5B0%5D%5Bfilter%5D%5B0%5D%5Boperator%5D=%21%3D&amp;hva%5B0%5D%5Bfilter%5D%5B0%5D%5Btype_id%5D=5897&amp;hva%5B0%5D%5Bfilter%5D%5B0%5D%5Bverdi%5D=&amp;hva%5B0%5D%5Bid%5D=47/når:2022-03-29", "Vegkart")</f>
        <v>Vegkart</v>
      </c>
      <c r="B6848">
        <v>1015244608</v>
      </c>
      <c r="C6848">
        <v>47</v>
      </c>
      <c r="D6848" t="s">
        <v>16854</v>
      </c>
      <c r="E6848">
        <v>5897</v>
      </c>
      <c r="F6848" t="s">
        <v>23479</v>
      </c>
      <c r="G6848">
        <v>1</v>
      </c>
      <c r="H6848" t="s">
        <v>22702</v>
      </c>
      <c r="J6848" t="s">
        <v>22679</v>
      </c>
      <c r="K6848" t="s">
        <v>21</v>
      </c>
      <c r="L6848" t="s">
        <v>80</v>
      </c>
      <c r="M6848" t="s">
        <v>81</v>
      </c>
      <c r="N6848" t="s">
        <v>22776</v>
      </c>
      <c r="O6848" t="s">
        <v>22777</v>
      </c>
      <c r="P6848" s="2" t="s">
        <v>26</v>
      </c>
      <c r="Q6848" t="s">
        <v>50</v>
      </c>
      <c r="R6848">
        <v>89.81</v>
      </c>
      <c r="S6848">
        <v>89.94</v>
      </c>
      <c r="T6848" t="s">
        <v>22778</v>
      </c>
    </row>
    <row r="6849" spans="1:20" x14ac:dyDescent="0.25">
      <c r="A6849" s="1" t="str">
        <f>HYPERLINK("https://vegkart.atlas.vegvesen.no/#/@-33520.6,6722766.9,18/hva:hva%5B0%5D%5Bfilter%5D%5B0%5D%5Boperator%5D=%21%3D&amp;hva%5B0%5D%5Bfilter%5D%5B0%5D%5Btype_id%5D=5897&amp;hva%5B0%5D%5Bfilter%5D%5B0%5D%5Bverdi%5D=&amp;hva%5B0%5D%5Bid%5D=47/når:2022-03-29", "Vegkart")</f>
        <v>Vegkart</v>
      </c>
      <c r="B6849">
        <v>1015244609</v>
      </c>
      <c r="C6849">
        <v>47</v>
      </c>
      <c r="D6849" t="s">
        <v>16854</v>
      </c>
      <c r="E6849">
        <v>5897</v>
      </c>
      <c r="F6849" t="s">
        <v>23479</v>
      </c>
      <c r="G6849">
        <v>1</v>
      </c>
      <c r="H6849" t="s">
        <v>22702</v>
      </c>
      <c r="J6849" t="s">
        <v>22679</v>
      </c>
      <c r="K6849" t="s">
        <v>21</v>
      </c>
      <c r="L6849" t="s">
        <v>80</v>
      </c>
      <c r="M6849" t="s">
        <v>81</v>
      </c>
      <c r="N6849" t="s">
        <v>22779</v>
      </c>
      <c r="O6849" t="s">
        <v>22780</v>
      </c>
      <c r="P6849" s="2" t="s">
        <v>26</v>
      </c>
      <c r="Q6849" t="s">
        <v>50</v>
      </c>
      <c r="R6849">
        <v>21.57</v>
      </c>
      <c r="S6849">
        <v>21.9</v>
      </c>
      <c r="T6849" t="s">
        <v>22781</v>
      </c>
    </row>
    <row r="6850" spans="1:20" x14ac:dyDescent="0.25">
      <c r="A6850" s="1" t="str">
        <f>HYPERLINK("https://vegkart.atlas.vegvesen.no/#/@-33946.7,6723533.7,18/hva:hva%5B0%5D%5Bfilter%5D%5B0%5D%5Boperator%5D=%21%3D&amp;hva%5B0%5D%5Bfilter%5D%5B0%5D%5Btype_id%5D=5897&amp;hva%5B0%5D%5Bfilter%5D%5B0%5D%5Bverdi%5D=&amp;hva%5B0%5D%5Bid%5D=47/når:2022-03-29", "Vegkart")</f>
        <v>Vegkart</v>
      </c>
      <c r="B6850">
        <v>1015244610</v>
      </c>
      <c r="C6850">
        <v>47</v>
      </c>
      <c r="D6850" t="s">
        <v>16854</v>
      </c>
      <c r="E6850">
        <v>5897</v>
      </c>
      <c r="F6850" t="s">
        <v>23479</v>
      </c>
      <c r="G6850">
        <v>1</v>
      </c>
      <c r="H6850" t="s">
        <v>22702</v>
      </c>
      <c r="J6850" t="s">
        <v>22679</v>
      </c>
      <c r="K6850" t="s">
        <v>21</v>
      </c>
      <c r="L6850" t="s">
        <v>80</v>
      </c>
      <c r="M6850" t="s">
        <v>81</v>
      </c>
      <c r="N6850" t="s">
        <v>22782</v>
      </c>
      <c r="O6850" t="s">
        <v>22783</v>
      </c>
      <c r="P6850" s="2" t="s">
        <v>26</v>
      </c>
      <c r="Q6850" t="s">
        <v>50</v>
      </c>
      <c r="R6850">
        <v>90.63</v>
      </c>
      <c r="S6850">
        <v>91.18</v>
      </c>
      <c r="T6850" t="s">
        <v>22784</v>
      </c>
    </row>
    <row r="6851" spans="1:20" x14ac:dyDescent="0.25">
      <c r="A6851" s="1" t="str">
        <f>HYPERLINK("https://vegkart.atlas.vegvesen.no/#/@-33646.6,6722597.7,18/hva:hva%5B0%5D%5Bfilter%5D%5B0%5D%5Boperator%5D=%21%3D&amp;hva%5B0%5D%5Bfilter%5D%5B0%5D%5Btype_id%5D=5897&amp;hva%5B0%5D%5Bfilter%5D%5B0%5D%5Bverdi%5D=&amp;hva%5B0%5D%5Bid%5D=47/når:2022-03-29", "Vegkart")</f>
        <v>Vegkart</v>
      </c>
      <c r="B6851">
        <v>1015244611</v>
      </c>
      <c r="C6851">
        <v>47</v>
      </c>
      <c r="D6851" t="s">
        <v>16854</v>
      </c>
      <c r="E6851">
        <v>5897</v>
      </c>
      <c r="F6851" t="s">
        <v>23479</v>
      </c>
      <c r="G6851">
        <v>1</v>
      </c>
      <c r="H6851" t="s">
        <v>22702</v>
      </c>
      <c r="J6851" t="s">
        <v>22679</v>
      </c>
      <c r="K6851" t="s">
        <v>21</v>
      </c>
      <c r="L6851" t="s">
        <v>33</v>
      </c>
      <c r="M6851" t="s">
        <v>5926</v>
      </c>
      <c r="N6851" t="s">
        <v>22785</v>
      </c>
      <c r="O6851" t="s">
        <v>22786</v>
      </c>
      <c r="P6851" s="2" t="s">
        <v>26</v>
      </c>
      <c r="Q6851" t="s">
        <v>50</v>
      </c>
      <c r="R6851">
        <v>59.69</v>
      </c>
      <c r="S6851">
        <v>60.25</v>
      </c>
      <c r="T6851" t="s">
        <v>22787</v>
      </c>
    </row>
    <row r="6852" spans="1:20" x14ac:dyDescent="0.25">
      <c r="A6852" s="1" t="str">
        <f>HYPERLINK("https://vegkart.atlas.vegvesen.no/#/@-33762.5,6724143.4,18/hva:hva%5B0%5D%5Bfilter%5D%5B0%5D%5Boperator%5D=%21%3D&amp;hva%5B0%5D%5Bfilter%5D%5B0%5D%5Btype_id%5D=5897&amp;hva%5B0%5D%5Bfilter%5D%5B0%5D%5Bverdi%5D=&amp;hva%5B0%5D%5Bid%5D=47/når:2022-03-29", "Vegkart")</f>
        <v>Vegkart</v>
      </c>
      <c r="B6852">
        <v>1015244612</v>
      </c>
      <c r="C6852">
        <v>47</v>
      </c>
      <c r="D6852" t="s">
        <v>16854</v>
      </c>
      <c r="E6852">
        <v>5897</v>
      </c>
      <c r="F6852" t="s">
        <v>23479</v>
      </c>
      <c r="G6852">
        <v>1</v>
      </c>
      <c r="H6852" t="s">
        <v>22702</v>
      </c>
      <c r="J6852" t="s">
        <v>22679</v>
      </c>
      <c r="K6852" t="s">
        <v>21</v>
      </c>
      <c r="L6852" t="s">
        <v>80</v>
      </c>
      <c r="M6852" t="s">
        <v>81</v>
      </c>
      <c r="N6852" t="s">
        <v>22788</v>
      </c>
      <c r="O6852" t="s">
        <v>22789</v>
      </c>
      <c r="P6852" s="2" t="s">
        <v>26</v>
      </c>
      <c r="Q6852" t="s">
        <v>50</v>
      </c>
      <c r="R6852">
        <v>90.63</v>
      </c>
      <c r="S6852">
        <v>91.25</v>
      </c>
      <c r="T6852" t="s">
        <v>22790</v>
      </c>
    </row>
    <row r="6853" spans="1:20" x14ac:dyDescent="0.25">
      <c r="A6853" s="1" t="str">
        <f>HYPERLINK("https://vegkart.atlas.vegvesen.no/#/@-33211.6,6724785.2,18/hva:hva%5B0%5D%5Bfilter%5D%5B0%5D%5Boperator%5D=%21%3D&amp;hva%5B0%5D%5Bfilter%5D%5B0%5D%5Btype_id%5D=5897&amp;hva%5B0%5D%5Bfilter%5D%5B0%5D%5Bverdi%5D=&amp;hva%5B0%5D%5Bid%5D=47/når:2022-03-29", "Vegkart")</f>
        <v>Vegkart</v>
      </c>
      <c r="B6853">
        <v>1015244613</v>
      </c>
      <c r="C6853">
        <v>47</v>
      </c>
      <c r="D6853" t="s">
        <v>16854</v>
      </c>
      <c r="E6853">
        <v>5897</v>
      </c>
      <c r="F6853" t="s">
        <v>23479</v>
      </c>
      <c r="G6853">
        <v>1</v>
      </c>
      <c r="H6853" t="s">
        <v>22702</v>
      </c>
      <c r="J6853" t="s">
        <v>22679</v>
      </c>
      <c r="K6853" t="s">
        <v>21</v>
      </c>
      <c r="L6853" t="s">
        <v>80</v>
      </c>
      <c r="M6853" t="s">
        <v>81</v>
      </c>
      <c r="N6853" t="s">
        <v>22791</v>
      </c>
      <c r="O6853" t="s">
        <v>22792</v>
      </c>
      <c r="P6853" s="2" t="s">
        <v>26</v>
      </c>
      <c r="Q6853" t="s">
        <v>50</v>
      </c>
      <c r="R6853">
        <v>71.92</v>
      </c>
      <c r="S6853">
        <v>72.31</v>
      </c>
      <c r="T6853" t="s">
        <v>22793</v>
      </c>
    </row>
    <row r="6854" spans="1:20" x14ac:dyDescent="0.25">
      <c r="A6854" s="1" t="str">
        <f>HYPERLINK("https://vegkart.atlas.vegvesen.no/#/@233852.4,6573707.7,18/hva:hva%5B0%5D%5Bfilter%5D%5B0%5D%5Boperator%5D=%21%3D&amp;hva%5B0%5D%5Bfilter%5D%5B0%5D%5Btype_id%5D=5897&amp;hva%5B0%5D%5Bfilter%5D%5B0%5D%5Bverdi%5D=&amp;hva%5B0%5D%5Bid%5D=47/når:2021-12-01", "Vegkart")</f>
        <v>Vegkart</v>
      </c>
      <c r="B6854">
        <v>1015255644</v>
      </c>
      <c r="C6854">
        <v>47</v>
      </c>
      <c r="D6854" t="s">
        <v>16854</v>
      </c>
      <c r="E6854">
        <v>5897</v>
      </c>
      <c r="F6854" t="s">
        <v>23479</v>
      </c>
      <c r="G6854">
        <v>1</v>
      </c>
      <c r="H6854" t="s">
        <v>22602</v>
      </c>
      <c r="J6854" t="s">
        <v>22679</v>
      </c>
      <c r="K6854" t="s">
        <v>81</v>
      </c>
      <c r="L6854" t="s">
        <v>33</v>
      </c>
      <c r="M6854" t="s">
        <v>22794</v>
      </c>
      <c r="N6854" t="s">
        <v>22795</v>
      </c>
      <c r="O6854" t="s">
        <v>22796</v>
      </c>
      <c r="P6854" s="2" t="s">
        <v>37</v>
      </c>
      <c r="Q6854" t="s">
        <v>1208</v>
      </c>
      <c r="R6854">
        <v>0</v>
      </c>
      <c r="S6854">
        <v>101.27</v>
      </c>
      <c r="T6854" t="s">
        <v>22797</v>
      </c>
    </row>
    <row r="6855" spans="1:20" x14ac:dyDescent="0.25">
      <c r="A6855" s="1" t="str">
        <f>HYPERLINK("https://vegkart.atlas.vegvesen.no/#/@233829.8,6573762.3,18/hva:hva%5B0%5D%5Bfilter%5D%5B0%5D%5Boperator%5D=%21%3D&amp;hva%5B0%5D%5Bfilter%5D%5B0%5D%5Btype_id%5D=5897&amp;hva%5B0%5D%5Bfilter%5D%5B0%5D%5Bverdi%5D=&amp;hva%5B0%5D%5Bid%5D=47/når:2021-12-01", "Vegkart")</f>
        <v>Vegkart</v>
      </c>
      <c r="B6855">
        <v>1015255645</v>
      </c>
      <c r="C6855">
        <v>47</v>
      </c>
      <c r="D6855" t="s">
        <v>16854</v>
      </c>
      <c r="E6855">
        <v>5897</v>
      </c>
      <c r="F6855" t="s">
        <v>23479</v>
      </c>
      <c r="G6855">
        <v>1</v>
      </c>
      <c r="H6855" t="s">
        <v>22602</v>
      </c>
      <c r="J6855" t="s">
        <v>22679</v>
      </c>
      <c r="K6855" t="s">
        <v>81</v>
      </c>
      <c r="L6855" t="s">
        <v>33</v>
      </c>
      <c r="M6855" t="s">
        <v>22794</v>
      </c>
      <c r="N6855" t="s">
        <v>22798</v>
      </c>
      <c r="O6855" t="s">
        <v>22799</v>
      </c>
      <c r="P6855" s="2" t="s">
        <v>37</v>
      </c>
      <c r="Q6855" t="s">
        <v>1208</v>
      </c>
      <c r="R6855">
        <v>0</v>
      </c>
      <c r="S6855">
        <v>89.2</v>
      </c>
      <c r="T6855" t="s">
        <v>22800</v>
      </c>
    </row>
    <row r="6856" spans="1:20" x14ac:dyDescent="0.25">
      <c r="A6856" s="1" t="str">
        <f>HYPERLINK("https://vegkart.atlas.vegvesen.no/#/@210056.1,6764285.7,18/hva:hva%5B0%5D%5Bfilter%5D%5B0%5D%5Boperator%5D=%21%3D&amp;hva%5B0%5D%5Bfilter%5D%5B0%5D%5Btype_id%5D=5897&amp;hva%5B0%5D%5Bfilter%5D%5B0%5D%5Bverdi%5D=&amp;hva%5B0%5D%5Bid%5D=47/når:2022-05-27", "Vegkart")</f>
        <v>Vegkart</v>
      </c>
      <c r="B6856">
        <v>1015534527</v>
      </c>
      <c r="C6856">
        <v>47</v>
      </c>
      <c r="D6856" t="s">
        <v>16854</v>
      </c>
      <c r="E6856">
        <v>5897</v>
      </c>
      <c r="F6856" t="s">
        <v>23479</v>
      </c>
      <c r="G6856">
        <v>1</v>
      </c>
      <c r="H6856" t="s">
        <v>22801</v>
      </c>
      <c r="J6856" t="s">
        <v>22679</v>
      </c>
      <c r="K6856" t="s">
        <v>136</v>
      </c>
      <c r="L6856" t="s">
        <v>33</v>
      </c>
      <c r="M6856" t="s">
        <v>22802</v>
      </c>
      <c r="N6856" t="s">
        <v>22803</v>
      </c>
      <c r="O6856" t="s">
        <v>22804</v>
      </c>
      <c r="P6856" s="2" t="s">
        <v>26</v>
      </c>
      <c r="Q6856" t="s">
        <v>50</v>
      </c>
      <c r="R6856">
        <v>14.99</v>
      </c>
      <c r="S6856">
        <v>14.99</v>
      </c>
      <c r="T6856" t="s">
        <v>22805</v>
      </c>
    </row>
    <row r="6857" spans="1:20" x14ac:dyDescent="0.25">
      <c r="A6857" s="1" t="str">
        <f>HYPERLINK("https://vegkart.atlas.vegvesen.no/#/@191365.9,6577688.2,18/hva:hva%5B0%5D%5Bfilter%5D%5B0%5D%5Boperator%5D=%21%3D&amp;hva%5B0%5D%5Bfilter%5D%5B0%5D%5Btype_id%5D=5897&amp;hva%5B0%5D%5Bfilter%5D%5B0%5D%5Bverdi%5D=&amp;hva%5B0%5D%5Bid%5D=47/når:2022-11-30", "Vegkart")</f>
        <v>Vegkart</v>
      </c>
      <c r="B6857">
        <v>1015594630</v>
      </c>
      <c r="C6857">
        <v>47</v>
      </c>
      <c r="D6857" t="s">
        <v>16854</v>
      </c>
      <c r="E6857">
        <v>5897</v>
      </c>
      <c r="F6857" t="s">
        <v>23479</v>
      </c>
      <c r="G6857">
        <v>2</v>
      </c>
      <c r="H6857" t="s">
        <v>17992</v>
      </c>
      <c r="J6857" t="s">
        <v>22679</v>
      </c>
      <c r="K6857" t="s">
        <v>197</v>
      </c>
      <c r="L6857" t="s">
        <v>33</v>
      </c>
      <c r="M6857" t="s">
        <v>22806</v>
      </c>
      <c r="N6857" t="s">
        <v>22807</v>
      </c>
      <c r="O6857" t="s">
        <v>22808</v>
      </c>
      <c r="P6857" s="2" t="s">
        <v>37</v>
      </c>
      <c r="Q6857" t="s">
        <v>1208</v>
      </c>
      <c r="R6857">
        <v>0</v>
      </c>
      <c r="S6857">
        <v>126.21</v>
      </c>
      <c r="T6857" t="s">
        <v>22809</v>
      </c>
    </row>
    <row r="6858" spans="1:20" x14ac:dyDescent="0.25">
      <c r="A6858" s="1" t="str">
        <f>HYPERLINK("https://vegkart.atlas.vegvesen.no/#/@191924.8,6577099.3,18/hva:hva%5B0%5D%5Bfilter%5D%5B0%5D%5Boperator%5D=%21%3D&amp;hva%5B0%5D%5Bfilter%5D%5B0%5D%5Btype_id%5D=5897&amp;hva%5B0%5D%5Bfilter%5D%5B0%5D%5Bverdi%5D=&amp;hva%5B0%5D%5Bid%5D=47/når:2022-06-13", "Vegkart")</f>
        <v>Vegkart</v>
      </c>
      <c r="B6858">
        <v>1015594631</v>
      </c>
      <c r="C6858">
        <v>47</v>
      </c>
      <c r="D6858" t="s">
        <v>16854</v>
      </c>
      <c r="E6858">
        <v>5897</v>
      </c>
      <c r="F6858" t="s">
        <v>23479</v>
      </c>
      <c r="G6858">
        <v>1</v>
      </c>
      <c r="H6858" t="s">
        <v>22810</v>
      </c>
      <c r="J6858" t="s">
        <v>22679</v>
      </c>
      <c r="K6858" t="s">
        <v>197</v>
      </c>
      <c r="L6858" t="s">
        <v>33</v>
      </c>
      <c r="M6858" t="s">
        <v>22806</v>
      </c>
      <c r="N6858" t="s">
        <v>22811</v>
      </c>
      <c r="O6858" t="s">
        <v>22812</v>
      </c>
      <c r="P6858" s="2" t="s">
        <v>37</v>
      </c>
      <c r="Q6858" t="s">
        <v>1208</v>
      </c>
      <c r="R6858">
        <v>0</v>
      </c>
      <c r="S6858">
        <v>269.39</v>
      </c>
      <c r="T6858" t="s">
        <v>22813</v>
      </c>
    </row>
    <row r="6859" spans="1:20" x14ac:dyDescent="0.25">
      <c r="A6859" s="1" t="str">
        <f>HYPERLINK("https://vegkart.atlas.vegvesen.no/#/@191119.9,6578262.8,18/hva:hva%5B0%5D%5Bfilter%5D%5B0%5D%5Boperator%5D=%21%3D&amp;hva%5B0%5D%5Bfilter%5D%5B0%5D%5Btype_id%5D=5897&amp;hva%5B0%5D%5Bfilter%5D%5B0%5D%5Bverdi%5D=&amp;hva%5B0%5D%5Bid%5D=47/når:2022-11-30", "Vegkart")</f>
        <v>Vegkart</v>
      </c>
      <c r="B6859">
        <v>1015594632</v>
      </c>
      <c r="C6859">
        <v>47</v>
      </c>
      <c r="D6859" t="s">
        <v>16854</v>
      </c>
      <c r="E6859">
        <v>5897</v>
      </c>
      <c r="F6859" t="s">
        <v>23479</v>
      </c>
      <c r="G6859">
        <v>2</v>
      </c>
      <c r="H6859" t="s">
        <v>17992</v>
      </c>
      <c r="J6859" t="s">
        <v>22679</v>
      </c>
      <c r="K6859" t="s">
        <v>197</v>
      </c>
      <c r="L6859" t="s">
        <v>33</v>
      </c>
      <c r="M6859" t="s">
        <v>22806</v>
      </c>
      <c r="N6859" t="s">
        <v>22814</v>
      </c>
      <c r="O6859" t="s">
        <v>22815</v>
      </c>
      <c r="P6859" s="2" t="s">
        <v>37</v>
      </c>
      <c r="Q6859" t="s">
        <v>1208</v>
      </c>
      <c r="R6859">
        <v>0</v>
      </c>
      <c r="S6859">
        <v>129.59</v>
      </c>
      <c r="T6859" t="s">
        <v>22816</v>
      </c>
    </row>
    <row r="6860" spans="1:20" x14ac:dyDescent="0.25">
      <c r="A6860" s="1" t="str">
        <f>HYPERLINK("https://vegkart.atlas.vegvesen.no/#/@191392.2,6577618.7,18/hva:hva%5B0%5D%5Bfilter%5D%5B0%5D%5Boperator%5D=%21%3D&amp;hva%5B0%5D%5Bfilter%5D%5B0%5D%5Btype_id%5D=5897&amp;hva%5B0%5D%5Bfilter%5D%5B0%5D%5Bverdi%5D=&amp;hva%5B0%5D%5Bid%5D=47/når:2022-11-30", "Vegkart")</f>
        <v>Vegkart</v>
      </c>
      <c r="B6860">
        <v>1015594633</v>
      </c>
      <c r="C6860">
        <v>47</v>
      </c>
      <c r="D6860" t="s">
        <v>16854</v>
      </c>
      <c r="E6860">
        <v>5897</v>
      </c>
      <c r="F6860" t="s">
        <v>23479</v>
      </c>
      <c r="G6860">
        <v>2</v>
      </c>
      <c r="H6860" t="s">
        <v>17992</v>
      </c>
      <c r="J6860" t="s">
        <v>22679</v>
      </c>
      <c r="K6860" t="s">
        <v>197</v>
      </c>
      <c r="L6860" t="s">
        <v>33</v>
      </c>
      <c r="M6860" t="s">
        <v>22806</v>
      </c>
      <c r="N6860" t="s">
        <v>22817</v>
      </c>
      <c r="O6860" t="s">
        <v>22818</v>
      </c>
      <c r="P6860" s="2" t="s">
        <v>37</v>
      </c>
      <c r="Q6860" t="s">
        <v>1208</v>
      </c>
      <c r="R6860">
        <v>0</v>
      </c>
      <c r="S6860">
        <v>134.49</v>
      </c>
      <c r="T6860" t="s">
        <v>22819</v>
      </c>
    </row>
    <row r="6861" spans="1:20" x14ac:dyDescent="0.25">
      <c r="A6861" s="1" t="str">
        <f>HYPERLINK("https://vegkart.atlas.vegvesen.no/#/@191126.7,6578269.1,18/hva:hva%5B0%5D%5Bfilter%5D%5B0%5D%5Boperator%5D=%21%3D&amp;hva%5B0%5D%5Bfilter%5D%5B0%5D%5Btype_id%5D=5897&amp;hva%5B0%5D%5Bfilter%5D%5B0%5D%5Bverdi%5D=&amp;hva%5B0%5D%5Bid%5D=47/når:2022-11-30", "Vegkart")</f>
        <v>Vegkart</v>
      </c>
      <c r="B6861">
        <v>1015594634</v>
      </c>
      <c r="C6861">
        <v>47</v>
      </c>
      <c r="D6861" t="s">
        <v>16854</v>
      </c>
      <c r="E6861">
        <v>5897</v>
      </c>
      <c r="F6861" t="s">
        <v>23479</v>
      </c>
      <c r="G6861">
        <v>2</v>
      </c>
      <c r="H6861" t="s">
        <v>17992</v>
      </c>
      <c r="J6861" t="s">
        <v>22679</v>
      </c>
      <c r="K6861" t="s">
        <v>197</v>
      </c>
      <c r="L6861" t="s">
        <v>33</v>
      </c>
      <c r="M6861" t="s">
        <v>22806</v>
      </c>
      <c r="N6861" t="s">
        <v>22820</v>
      </c>
      <c r="O6861" t="s">
        <v>22821</v>
      </c>
      <c r="P6861" s="2" t="s">
        <v>37</v>
      </c>
      <c r="Q6861" t="s">
        <v>1208</v>
      </c>
      <c r="R6861">
        <v>0</v>
      </c>
      <c r="S6861">
        <v>124.43</v>
      </c>
      <c r="T6861" t="s">
        <v>22822</v>
      </c>
    </row>
    <row r="6862" spans="1:20" x14ac:dyDescent="0.25">
      <c r="A6862" s="1" t="str">
        <f>HYPERLINK("https://vegkart.atlas.vegvesen.no/#/@192119.3,6576838.4,18/hva:hva%5B0%5D%5Bfilter%5D%5B0%5D%5Boperator%5D=%21%3D&amp;hva%5B0%5D%5Bfilter%5D%5B0%5D%5Btype_id%5D=5897&amp;hva%5B0%5D%5Bfilter%5D%5B0%5D%5Bverdi%5D=&amp;hva%5B0%5D%5Bid%5D=47/når:2022-06-13", "Vegkart")</f>
        <v>Vegkart</v>
      </c>
      <c r="B6862">
        <v>1015594635</v>
      </c>
      <c r="C6862">
        <v>47</v>
      </c>
      <c r="D6862" t="s">
        <v>16854</v>
      </c>
      <c r="E6862">
        <v>5897</v>
      </c>
      <c r="F6862" t="s">
        <v>23479</v>
      </c>
      <c r="G6862">
        <v>1</v>
      </c>
      <c r="H6862" t="s">
        <v>22810</v>
      </c>
      <c r="J6862" t="s">
        <v>22679</v>
      </c>
      <c r="K6862" t="s">
        <v>197</v>
      </c>
      <c r="L6862" t="s">
        <v>33</v>
      </c>
      <c r="M6862" t="s">
        <v>22806</v>
      </c>
      <c r="N6862" t="s">
        <v>22823</v>
      </c>
      <c r="O6862" t="s">
        <v>22824</v>
      </c>
      <c r="P6862" s="2" t="s">
        <v>37</v>
      </c>
      <c r="Q6862" t="s">
        <v>1208</v>
      </c>
      <c r="R6862">
        <v>0</v>
      </c>
      <c r="S6862">
        <v>104.09</v>
      </c>
      <c r="T6862" t="s">
        <v>22825</v>
      </c>
    </row>
    <row r="6863" spans="1:20" x14ac:dyDescent="0.25">
      <c r="A6863" s="1" t="str">
        <f>HYPERLINK("https://vegkart.atlas.vegvesen.no/#/@178847.0,6873567.1,18/hva:hva%5B0%5D%5Bfilter%5D%5B0%5D%5Boperator%5D=%21%3D&amp;hva%5B0%5D%5Bfilter%5D%5B0%5D%5Btype_id%5D=5897&amp;hva%5B0%5D%5Bfilter%5D%5B0%5D%5Bverdi%5D=&amp;hva%5B0%5D%5Bid%5D=47/når:2022-06-16", "Vegkart")</f>
        <v>Vegkart</v>
      </c>
      <c r="B6863">
        <v>1015605718</v>
      </c>
      <c r="C6863">
        <v>47</v>
      </c>
      <c r="D6863" t="s">
        <v>16854</v>
      </c>
      <c r="E6863">
        <v>5897</v>
      </c>
      <c r="F6863" t="s">
        <v>23479</v>
      </c>
      <c r="G6863">
        <v>1</v>
      </c>
      <c r="H6863" t="s">
        <v>22826</v>
      </c>
      <c r="J6863" t="s">
        <v>22679</v>
      </c>
      <c r="K6863" t="s">
        <v>136</v>
      </c>
      <c r="L6863" t="s">
        <v>33</v>
      </c>
      <c r="M6863" t="s">
        <v>17634</v>
      </c>
      <c r="N6863" t="s">
        <v>22827</v>
      </c>
      <c r="O6863" t="s">
        <v>22828</v>
      </c>
      <c r="P6863" s="2" t="s">
        <v>26</v>
      </c>
      <c r="Q6863" t="s">
        <v>50</v>
      </c>
      <c r="R6863">
        <v>31.73</v>
      </c>
      <c r="S6863">
        <v>32.26</v>
      </c>
      <c r="T6863" t="s">
        <v>22829</v>
      </c>
    </row>
    <row r="6864" spans="1:20" x14ac:dyDescent="0.25">
      <c r="A6864" s="1" t="str">
        <f>HYPERLINK("https://vegkart.atlas.vegvesen.no/#/@175886.8,6873583.8,18/hva:hva%5B0%5D%5Bfilter%5D%5B0%5D%5Boperator%5D=%21%3D&amp;hva%5B0%5D%5Bfilter%5D%5B0%5D%5Btype_id%5D=5897&amp;hva%5B0%5D%5Bfilter%5D%5B0%5D%5Bverdi%5D=&amp;hva%5B0%5D%5Bid%5D=47/når:2022-06-16", "Vegkart")</f>
        <v>Vegkart</v>
      </c>
      <c r="B6864">
        <v>1015605740</v>
      </c>
      <c r="C6864">
        <v>47</v>
      </c>
      <c r="D6864" t="s">
        <v>16854</v>
      </c>
      <c r="E6864">
        <v>5897</v>
      </c>
      <c r="F6864" t="s">
        <v>23479</v>
      </c>
      <c r="G6864">
        <v>1</v>
      </c>
      <c r="H6864" t="s">
        <v>22826</v>
      </c>
      <c r="J6864" t="s">
        <v>22679</v>
      </c>
      <c r="K6864" t="s">
        <v>136</v>
      </c>
      <c r="L6864" t="s">
        <v>33</v>
      </c>
      <c r="M6864" t="s">
        <v>17634</v>
      </c>
      <c r="N6864" t="s">
        <v>22830</v>
      </c>
      <c r="O6864" t="s">
        <v>22831</v>
      </c>
      <c r="P6864" s="2" t="s">
        <v>26</v>
      </c>
      <c r="Q6864" t="s">
        <v>50</v>
      </c>
      <c r="R6864">
        <v>25.04</v>
      </c>
      <c r="S6864">
        <v>25.3</v>
      </c>
      <c r="T6864" t="s">
        <v>22832</v>
      </c>
    </row>
    <row r="6865" spans="1:20" x14ac:dyDescent="0.25">
      <c r="A6865" s="1" t="str">
        <f>HYPERLINK("https://vegkart.atlas.vegvesen.no/#/@175596.8,6873640.7,18/hva:hva%5B0%5D%5Bfilter%5D%5B0%5D%5Boperator%5D=%21%3D&amp;hva%5B0%5D%5Bfilter%5D%5B0%5D%5Btype_id%5D=5897&amp;hva%5B0%5D%5Bfilter%5D%5B0%5D%5Bverdi%5D=&amp;hva%5B0%5D%5Bid%5D=47/når:2022-06-16", "Vegkart")</f>
        <v>Vegkart</v>
      </c>
      <c r="B6865">
        <v>1015605754</v>
      </c>
      <c r="C6865">
        <v>47</v>
      </c>
      <c r="D6865" t="s">
        <v>16854</v>
      </c>
      <c r="E6865">
        <v>5897</v>
      </c>
      <c r="F6865" t="s">
        <v>23479</v>
      </c>
      <c r="G6865">
        <v>1</v>
      </c>
      <c r="H6865" t="s">
        <v>22826</v>
      </c>
      <c r="J6865" t="s">
        <v>22679</v>
      </c>
      <c r="K6865" t="s">
        <v>136</v>
      </c>
      <c r="L6865" t="s">
        <v>33</v>
      </c>
      <c r="M6865" t="s">
        <v>17634</v>
      </c>
      <c r="N6865" t="s">
        <v>22833</v>
      </c>
      <c r="O6865" t="s">
        <v>22834</v>
      </c>
      <c r="P6865" s="2" t="s">
        <v>26</v>
      </c>
      <c r="Q6865" t="s">
        <v>50</v>
      </c>
      <c r="R6865">
        <v>22.27</v>
      </c>
      <c r="S6865">
        <v>22.34</v>
      </c>
      <c r="T6865" t="s">
        <v>22835</v>
      </c>
    </row>
    <row r="6866" spans="1:20" x14ac:dyDescent="0.25">
      <c r="A6866" s="1" t="str">
        <f>HYPERLINK("https://vegkart.atlas.vegvesen.no/#/@170272.0,6875547.6,18/hva:hva%5B0%5D%5Bfilter%5D%5B0%5D%5Boperator%5D=%21%3D&amp;hva%5B0%5D%5Bfilter%5D%5B0%5D%5Btype_id%5D=5897&amp;hva%5B0%5D%5Bfilter%5D%5B0%5D%5Bverdi%5D=&amp;hva%5B0%5D%5Bid%5D=47/når:2022-06-16", "Vegkart")</f>
        <v>Vegkart</v>
      </c>
      <c r="B6866">
        <v>1015605855</v>
      </c>
      <c r="C6866">
        <v>47</v>
      </c>
      <c r="D6866" t="s">
        <v>16854</v>
      </c>
      <c r="E6866">
        <v>5897</v>
      </c>
      <c r="F6866" t="s">
        <v>23479</v>
      </c>
      <c r="G6866">
        <v>1</v>
      </c>
      <c r="H6866" t="s">
        <v>22826</v>
      </c>
      <c r="J6866" t="s">
        <v>22679</v>
      </c>
      <c r="K6866" t="s">
        <v>136</v>
      </c>
      <c r="L6866" t="s">
        <v>33</v>
      </c>
      <c r="M6866" t="s">
        <v>17634</v>
      </c>
      <c r="N6866" t="s">
        <v>22836</v>
      </c>
      <c r="O6866" t="s">
        <v>22837</v>
      </c>
      <c r="P6866" s="2" t="s">
        <v>26</v>
      </c>
      <c r="Q6866" t="s">
        <v>50</v>
      </c>
      <c r="R6866">
        <v>30.32</v>
      </c>
      <c r="S6866">
        <v>30.66</v>
      </c>
      <c r="T6866" t="s">
        <v>22838</v>
      </c>
    </row>
    <row r="6867" spans="1:20" x14ac:dyDescent="0.25">
      <c r="A6867" s="1" t="str">
        <f>HYPERLINK("https://vegkart.atlas.vegvesen.no/#/@187279.3,6876594.3,18/hva:hva%5B0%5D%5Bfilter%5D%5B0%5D%5Boperator%5D=%21%3D&amp;hva%5B0%5D%5Bfilter%5D%5B0%5D%5Btype_id%5D=5897&amp;hva%5B0%5D%5Bfilter%5D%5B0%5D%5Bverdi%5D=&amp;hva%5B0%5D%5Bid%5D=47/når:2022-06-17", "Vegkart")</f>
        <v>Vegkart</v>
      </c>
      <c r="B6867">
        <v>1015608178</v>
      </c>
      <c r="C6867">
        <v>47</v>
      </c>
      <c r="D6867" t="s">
        <v>16854</v>
      </c>
      <c r="E6867">
        <v>5897</v>
      </c>
      <c r="F6867" t="s">
        <v>23479</v>
      </c>
      <c r="G6867">
        <v>1</v>
      </c>
      <c r="H6867" t="s">
        <v>22839</v>
      </c>
      <c r="J6867" t="s">
        <v>22679</v>
      </c>
      <c r="K6867" t="s">
        <v>136</v>
      </c>
      <c r="L6867" t="s">
        <v>33</v>
      </c>
      <c r="M6867" t="s">
        <v>22840</v>
      </c>
      <c r="N6867" t="s">
        <v>22841</v>
      </c>
      <c r="O6867" t="s">
        <v>22842</v>
      </c>
      <c r="P6867" s="2" t="s">
        <v>26</v>
      </c>
      <c r="Q6867" t="s">
        <v>50</v>
      </c>
      <c r="R6867">
        <v>29.76</v>
      </c>
      <c r="S6867">
        <v>29.88</v>
      </c>
      <c r="T6867" t="s">
        <v>22843</v>
      </c>
    </row>
    <row r="6868" spans="1:20" x14ac:dyDescent="0.25">
      <c r="A6868" s="1" t="str">
        <f>HYPERLINK("https://vegkart.atlas.vegvesen.no/#/@239709.4,6652301.3,18/hva:hva%5B0%5D%5Bfilter%5D%5B0%5D%5Boperator%5D=%21%3D&amp;hva%5B0%5D%5Bfilter%5D%5B0%5D%5Btype_id%5D=5897&amp;hva%5B0%5D%5Bfilter%5D%5B0%5D%5Bverdi%5D=&amp;hva%5B0%5D%5Bid%5D=47/når:2022-06-22", "Vegkart")</f>
        <v>Vegkart</v>
      </c>
      <c r="B6868">
        <v>1015704207</v>
      </c>
      <c r="C6868">
        <v>47</v>
      </c>
      <c r="D6868" t="s">
        <v>16854</v>
      </c>
      <c r="E6868">
        <v>5897</v>
      </c>
      <c r="F6868" t="s">
        <v>23479</v>
      </c>
      <c r="G6868">
        <v>1</v>
      </c>
      <c r="H6868" t="s">
        <v>22844</v>
      </c>
      <c r="J6868" t="s">
        <v>22679</v>
      </c>
      <c r="K6868" t="s">
        <v>307</v>
      </c>
      <c r="L6868" t="s">
        <v>33</v>
      </c>
      <c r="M6868" t="s">
        <v>22845</v>
      </c>
      <c r="N6868" t="s">
        <v>22846</v>
      </c>
      <c r="O6868" t="s">
        <v>22847</v>
      </c>
      <c r="P6868" s="2" t="s">
        <v>26</v>
      </c>
      <c r="Q6868" t="s">
        <v>50</v>
      </c>
      <c r="R6868">
        <v>66.67</v>
      </c>
      <c r="S6868">
        <v>67.05</v>
      </c>
      <c r="T6868" t="s">
        <v>22848</v>
      </c>
    </row>
    <row r="6869" spans="1:20" x14ac:dyDescent="0.25">
      <c r="A6869" s="1" t="str">
        <f>HYPERLINK("https://vegkart.atlas.vegvesen.no/#/@210444.9,6683812.4,18/hva:hva%5B0%5D%5Bfilter%5D%5B0%5D%5Boperator%5D=%21%3D&amp;hva%5B0%5D%5Bfilter%5D%5B0%5D%5Btype_id%5D=5897&amp;hva%5B0%5D%5Bfilter%5D%5B0%5D%5Bverdi%5D=&amp;hva%5B0%5D%5Bid%5D=47/når:2022-06-30", "Vegkart")</f>
        <v>Vegkart</v>
      </c>
      <c r="B6869">
        <v>1015748611</v>
      </c>
      <c r="C6869">
        <v>47</v>
      </c>
      <c r="D6869" t="s">
        <v>16854</v>
      </c>
      <c r="E6869">
        <v>5897</v>
      </c>
      <c r="F6869" t="s">
        <v>23479</v>
      </c>
      <c r="G6869">
        <v>1</v>
      </c>
      <c r="H6869" t="s">
        <v>22849</v>
      </c>
      <c r="J6869" t="s">
        <v>22679</v>
      </c>
      <c r="K6869" t="s">
        <v>307</v>
      </c>
      <c r="L6869" t="s">
        <v>33</v>
      </c>
      <c r="M6869" t="s">
        <v>18044</v>
      </c>
      <c r="N6869" t="s">
        <v>22850</v>
      </c>
      <c r="O6869" t="s">
        <v>22851</v>
      </c>
      <c r="P6869" s="2" t="s">
        <v>26</v>
      </c>
      <c r="Q6869" t="s">
        <v>50</v>
      </c>
      <c r="R6869">
        <v>28.24</v>
      </c>
      <c r="S6869">
        <v>28.24</v>
      </c>
      <c r="T6869" t="s">
        <v>22852</v>
      </c>
    </row>
    <row r="6870" spans="1:20" x14ac:dyDescent="0.25">
      <c r="A6870" s="1" t="str">
        <f>HYPERLINK("https://vegkart.atlas.vegvesen.no/#/@207431.0,6660781.2,18/hva:hva%5B0%5D%5Bfilter%5D%5B0%5D%5Boperator%5D=%21%3D&amp;hva%5B0%5D%5Bfilter%5D%5B0%5D%5Btype_id%5D=5897&amp;hva%5B0%5D%5Bfilter%5D%5B0%5D%5Bverdi%5D=&amp;hva%5B0%5D%5Bid%5D=47/når:2022-08-22", "Vegkart")</f>
        <v>Vegkart</v>
      </c>
      <c r="B6870">
        <v>1016182801</v>
      </c>
      <c r="C6870">
        <v>47</v>
      </c>
      <c r="D6870" t="s">
        <v>16854</v>
      </c>
      <c r="E6870">
        <v>5897</v>
      </c>
      <c r="F6870" t="s">
        <v>23479</v>
      </c>
      <c r="G6870">
        <v>1</v>
      </c>
      <c r="H6870" t="s">
        <v>124</v>
      </c>
      <c r="J6870" t="s">
        <v>22679</v>
      </c>
      <c r="K6870" t="s">
        <v>307</v>
      </c>
      <c r="L6870" t="s">
        <v>33</v>
      </c>
      <c r="M6870" t="s">
        <v>16027</v>
      </c>
      <c r="N6870" t="s">
        <v>22853</v>
      </c>
      <c r="O6870" t="s">
        <v>22854</v>
      </c>
      <c r="P6870" s="2" t="s">
        <v>26</v>
      </c>
      <c r="Q6870" t="s">
        <v>50</v>
      </c>
      <c r="R6870">
        <v>46.61</v>
      </c>
      <c r="S6870">
        <v>46.73</v>
      </c>
      <c r="T6870" t="s">
        <v>22855</v>
      </c>
    </row>
    <row r="6871" spans="1:20" x14ac:dyDescent="0.25">
      <c r="A6871" s="1" t="str">
        <f>HYPERLINK("https://vegkart.atlas.vegvesen.no/#/@194068.7,6564904.6,18/hva:hva%5B0%5D%5Bfilter%5D%5B0%5D%5Boperator%5D=%21%3D&amp;hva%5B0%5D%5Bfilter%5D%5B0%5D%5Btype_id%5D=5897&amp;hva%5B0%5D%5Bfilter%5D%5B0%5D%5Bverdi%5D=&amp;hva%5B0%5D%5Bid%5D=47/når:2022-09-14", "Vegkart")</f>
        <v>Vegkart</v>
      </c>
      <c r="B6871">
        <v>1016319943</v>
      </c>
      <c r="C6871">
        <v>47</v>
      </c>
      <c r="D6871" t="s">
        <v>16854</v>
      </c>
      <c r="E6871">
        <v>5897</v>
      </c>
      <c r="F6871" t="s">
        <v>23479</v>
      </c>
      <c r="G6871">
        <v>1</v>
      </c>
      <c r="H6871" t="s">
        <v>11360</v>
      </c>
      <c r="J6871" t="s">
        <v>22856</v>
      </c>
      <c r="K6871" t="s">
        <v>197</v>
      </c>
      <c r="L6871" t="s">
        <v>113</v>
      </c>
      <c r="M6871" t="s">
        <v>2618</v>
      </c>
      <c r="N6871" t="s">
        <v>22857</v>
      </c>
      <c r="O6871" t="s">
        <v>22858</v>
      </c>
      <c r="P6871" s="2" t="s">
        <v>37</v>
      </c>
      <c r="Q6871" t="s">
        <v>1208</v>
      </c>
      <c r="R6871">
        <v>0</v>
      </c>
      <c r="S6871">
        <v>104.71</v>
      </c>
      <c r="T6871" t="s">
        <v>22859</v>
      </c>
    </row>
    <row r="6872" spans="1:20" x14ac:dyDescent="0.25">
      <c r="A6872" s="1" t="str">
        <f>HYPERLINK("https://vegkart.atlas.vegvesen.no/#/@194009.2,6565164.3,18/hva:hva%5B0%5D%5Bfilter%5D%5B0%5D%5Boperator%5D=%21%3D&amp;hva%5B0%5D%5Bfilter%5D%5B0%5D%5Btype_id%5D=5897&amp;hva%5B0%5D%5Bfilter%5D%5B0%5D%5Bverdi%5D=&amp;hva%5B0%5D%5Bid%5D=47/når:2024-02-06", "Vegkart")</f>
        <v>Vegkart</v>
      </c>
      <c r="B6872">
        <v>1016319944</v>
      </c>
      <c r="C6872">
        <v>47</v>
      </c>
      <c r="D6872" t="s">
        <v>16854</v>
      </c>
      <c r="E6872">
        <v>5897</v>
      </c>
      <c r="F6872" t="s">
        <v>23479</v>
      </c>
      <c r="G6872">
        <v>2</v>
      </c>
      <c r="H6872" t="s">
        <v>22860</v>
      </c>
      <c r="J6872" t="s">
        <v>22856</v>
      </c>
      <c r="K6872" t="s">
        <v>197</v>
      </c>
      <c r="L6872" t="s">
        <v>113</v>
      </c>
      <c r="M6872" t="s">
        <v>2618</v>
      </c>
      <c r="N6872" t="s">
        <v>22861</v>
      </c>
      <c r="O6872" t="s">
        <v>22862</v>
      </c>
      <c r="P6872" s="2" t="s">
        <v>37</v>
      </c>
      <c r="Q6872" t="s">
        <v>1208</v>
      </c>
      <c r="R6872">
        <v>0</v>
      </c>
      <c r="S6872">
        <v>92.96</v>
      </c>
      <c r="T6872" t="s">
        <v>22863</v>
      </c>
    </row>
    <row r="6873" spans="1:20" x14ac:dyDescent="0.25">
      <c r="A6873" s="1" t="str">
        <f>HYPERLINK("https://vegkart.atlas.vegvesen.no/#/@212769.4,6672506.8,18/hva:hva%5B0%5D%5Bfilter%5D%5B0%5D%5Boperator%5D=%21%3D&amp;hva%5B0%5D%5Bfilter%5D%5B0%5D%5Btype_id%5D=5897&amp;hva%5B0%5D%5Bfilter%5D%5B0%5D%5Bverdi%5D=&amp;hva%5B0%5D%5Bid%5D=47/når:2022-10-04", "Vegkart")</f>
        <v>Vegkart</v>
      </c>
      <c r="B6873">
        <v>1016386028</v>
      </c>
      <c r="C6873">
        <v>47</v>
      </c>
      <c r="D6873" t="s">
        <v>16854</v>
      </c>
      <c r="E6873">
        <v>5897</v>
      </c>
      <c r="F6873" t="s">
        <v>23479</v>
      </c>
      <c r="G6873">
        <v>1</v>
      </c>
      <c r="H6873" t="s">
        <v>3409</v>
      </c>
      <c r="J6873" t="s">
        <v>22856</v>
      </c>
      <c r="K6873" t="s">
        <v>307</v>
      </c>
      <c r="L6873" t="s">
        <v>33</v>
      </c>
      <c r="M6873" t="s">
        <v>20102</v>
      </c>
      <c r="N6873" t="s">
        <v>22864</v>
      </c>
      <c r="O6873" t="s">
        <v>22865</v>
      </c>
      <c r="P6873" s="2" t="s">
        <v>26</v>
      </c>
      <c r="Q6873" t="s">
        <v>50</v>
      </c>
      <c r="R6873">
        <v>23.81</v>
      </c>
      <c r="S6873">
        <v>23.81</v>
      </c>
      <c r="T6873" t="s">
        <v>22866</v>
      </c>
    </row>
    <row r="6874" spans="1:20" x14ac:dyDescent="0.25">
      <c r="A6874" s="1" t="str">
        <f>HYPERLINK("https://vegkart.atlas.vegvesen.no/#/@574786.3,7581398.1,18/hva:hva%5B0%5D%5Bfilter%5D%5B0%5D%5Boperator%5D=%21%3D&amp;hva%5B0%5D%5Bfilter%5D%5B0%5D%5Btype_id%5D=5897&amp;hva%5B0%5D%5Bfilter%5D%5B0%5D%5Bverdi%5D=&amp;hva%5B0%5D%5Bid%5D=47/når:2022-10-10", "Vegkart")</f>
        <v>Vegkart</v>
      </c>
      <c r="B6874">
        <v>1016400828</v>
      </c>
      <c r="C6874">
        <v>47</v>
      </c>
      <c r="D6874" t="s">
        <v>16854</v>
      </c>
      <c r="E6874">
        <v>5897</v>
      </c>
      <c r="F6874" t="s">
        <v>23479</v>
      </c>
      <c r="G6874">
        <v>1</v>
      </c>
      <c r="H6874" t="s">
        <v>22867</v>
      </c>
      <c r="J6874" t="s">
        <v>22856</v>
      </c>
      <c r="K6874" t="s">
        <v>53</v>
      </c>
      <c r="L6874" t="s">
        <v>80</v>
      </c>
      <c r="M6874" t="s">
        <v>105</v>
      </c>
      <c r="N6874" t="s">
        <v>22868</v>
      </c>
      <c r="O6874" t="s">
        <v>22869</v>
      </c>
      <c r="P6874" s="2" t="s">
        <v>26</v>
      </c>
      <c r="Q6874" t="s">
        <v>50</v>
      </c>
      <c r="R6874">
        <v>65.58</v>
      </c>
      <c r="S6874">
        <v>65.58</v>
      </c>
      <c r="T6874" t="s">
        <v>22870</v>
      </c>
    </row>
    <row r="6875" spans="1:20" x14ac:dyDescent="0.25">
      <c r="A6875" s="1" t="str">
        <f>HYPERLINK("https://vegkart.atlas.vegvesen.no/#/@573808.2,7581589.6,18/hva:hva%5B0%5D%5Bfilter%5D%5B0%5D%5Boperator%5D=%21%3D&amp;hva%5B0%5D%5Bfilter%5D%5B0%5D%5Btype_id%5D=5897&amp;hva%5B0%5D%5Bfilter%5D%5B0%5D%5Bverdi%5D=&amp;hva%5B0%5D%5Bid%5D=47/når:2022-10-10", "Vegkart")</f>
        <v>Vegkart</v>
      </c>
      <c r="B6875">
        <v>1016400829</v>
      </c>
      <c r="C6875">
        <v>47</v>
      </c>
      <c r="D6875" t="s">
        <v>16854</v>
      </c>
      <c r="E6875">
        <v>5897</v>
      </c>
      <c r="F6875" t="s">
        <v>23479</v>
      </c>
      <c r="G6875">
        <v>1</v>
      </c>
      <c r="H6875" t="s">
        <v>22867</v>
      </c>
      <c r="J6875" t="s">
        <v>22856</v>
      </c>
      <c r="K6875" t="s">
        <v>53</v>
      </c>
      <c r="L6875" t="s">
        <v>80</v>
      </c>
      <c r="M6875" t="s">
        <v>105</v>
      </c>
      <c r="N6875" t="s">
        <v>22871</v>
      </c>
      <c r="O6875" t="s">
        <v>22872</v>
      </c>
      <c r="P6875" s="2" t="s">
        <v>165</v>
      </c>
      <c r="Q6875" t="s">
        <v>166</v>
      </c>
      <c r="R6875">
        <v>79.069999999999993</v>
      </c>
      <c r="S6875">
        <v>79.069999999999993</v>
      </c>
      <c r="T6875" t="s">
        <v>167</v>
      </c>
    </row>
    <row r="6876" spans="1:20" x14ac:dyDescent="0.25">
      <c r="A6876" s="1" t="str">
        <f>HYPERLINK("https://vegkart.atlas.vegvesen.no/#/@574694.5,7581508.6,18/hva:hva%5B0%5D%5Bfilter%5D%5B0%5D%5Boperator%5D=%21%3D&amp;hva%5B0%5D%5Bfilter%5D%5B0%5D%5Btype_id%5D=5897&amp;hva%5B0%5D%5Bfilter%5D%5B0%5D%5Bverdi%5D=&amp;hva%5B0%5D%5Bid%5D=47/når:2022-10-10", "Vegkart")</f>
        <v>Vegkart</v>
      </c>
      <c r="B6876">
        <v>1016400830</v>
      </c>
      <c r="C6876">
        <v>47</v>
      </c>
      <c r="D6876" t="s">
        <v>16854</v>
      </c>
      <c r="E6876">
        <v>5897</v>
      </c>
      <c r="F6876" t="s">
        <v>23479</v>
      </c>
      <c r="G6876">
        <v>1</v>
      </c>
      <c r="H6876" t="s">
        <v>22867</v>
      </c>
      <c r="J6876" t="s">
        <v>22856</v>
      </c>
      <c r="K6876" t="s">
        <v>53</v>
      </c>
      <c r="L6876" t="s">
        <v>80</v>
      </c>
      <c r="M6876" t="s">
        <v>105</v>
      </c>
      <c r="N6876" t="s">
        <v>22873</v>
      </c>
      <c r="O6876" t="s">
        <v>22874</v>
      </c>
      <c r="P6876" s="2" t="s">
        <v>26</v>
      </c>
      <c r="Q6876" t="s">
        <v>50</v>
      </c>
      <c r="R6876">
        <v>65.23</v>
      </c>
      <c r="S6876">
        <v>65.23</v>
      </c>
      <c r="T6876" t="s">
        <v>22875</v>
      </c>
    </row>
    <row r="6877" spans="1:20" x14ac:dyDescent="0.25">
      <c r="A6877" s="1" t="str">
        <f>HYPERLINK("https://vegkart.atlas.vegvesen.no/#/@574877.9,7581492.1,18/hva:hva%5B0%5D%5Bfilter%5D%5B0%5D%5Boperator%5D=%21%3D&amp;hva%5B0%5D%5Bfilter%5D%5B0%5D%5Btype_id%5D=5897&amp;hva%5B0%5D%5Bfilter%5D%5B0%5D%5Bverdi%5D=&amp;hva%5B0%5D%5Bid%5D=47/når:2022-10-10", "Vegkart")</f>
        <v>Vegkart</v>
      </c>
      <c r="B6877">
        <v>1016400831</v>
      </c>
      <c r="C6877">
        <v>47</v>
      </c>
      <c r="D6877" t="s">
        <v>16854</v>
      </c>
      <c r="E6877">
        <v>5897</v>
      </c>
      <c r="F6877" t="s">
        <v>23479</v>
      </c>
      <c r="G6877">
        <v>1</v>
      </c>
      <c r="H6877" t="s">
        <v>22867</v>
      </c>
      <c r="J6877" t="s">
        <v>22856</v>
      </c>
      <c r="K6877" t="s">
        <v>53</v>
      </c>
      <c r="L6877" t="s">
        <v>22</v>
      </c>
      <c r="M6877" t="s">
        <v>9602</v>
      </c>
      <c r="N6877" t="s">
        <v>22876</v>
      </c>
      <c r="O6877" t="s">
        <v>22877</v>
      </c>
      <c r="P6877" s="2" t="s">
        <v>26</v>
      </c>
      <c r="Q6877" t="s">
        <v>50</v>
      </c>
      <c r="R6877">
        <v>46.79</v>
      </c>
      <c r="S6877">
        <v>46.83</v>
      </c>
      <c r="T6877" t="s">
        <v>22878</v>
      </c>
    </row>
    <row r="6878" spans="1:20" x14ac:dyDescent="0.25">
      <c r="A6878" s="1" t="str">
        <f>HYPERLINK("https://vegkart.atlas.vegvesen.no/#/@126795.4,6630588.7,18/hva:hva%5B0%5D%5Bfilter%5D%5B0%5D%5Boperator%5D=%21%3D&amp;hva%5B0%5D%5Bfilter%5D%5B0%5D%5Btype_id%5D=5897&amp;hva%5B0%5D%5Bfilter%5D%5B0%5D%5Bverdi%5D=&amp;hva%5B0%5D%5Bid%5D=47/når:2022-10-13", "Vegkart")</f>
        <v>Vegkart</v>
      </c>
      <c r="B6878">
        <v>1016425594</v>
      </c>
      <c r="C6878">
        <v>47</v>
      </c>
      <c r="D6878" t="s">
        <v>16854</v>
      </c>
      <c r="E6878">
        <v>5897</v>
      </c>
      <c r="F6878" t="s">
        <v>23479</v>
      </c>
      <c r="G6878">
        <v>1</v>
      </c>
      <c r="H6878" t="s">
        <v>22879</v>
      </c>
      <c r="J6878" t="s">
        <v>22856</v>
      </c>
      <c r="K6878" t="s">
        <v>197</v>
      </c>
      <c r="L6878" t="s">
        <v>33</v>
      </c>
      <c r="M6878" t="s">
        <v>22880</v>
      </c>
      <c r="N6878" t="s">
        <v>22881</v>
      </c>
      <c r="O6878" t="s">
        <v>22882</v>
      </c>
      <c r="P6878" s="2" t="s">
        <v>165</v>
      </c>
      <c r="Q6878" t="s">
        <v>166</v>
      </c>
      <c r="R6878">
        <v>54.92</v>
      </c>
      <c r="S6878">
        <v>55.72</v>
      </c>
      <c r="T6878" t="s">
        <v>167</v>
      </c>
    </row>
    <row r="6879" spans="1:20" x14ac:dyDescent="0.25">
      <c r="A6879" s="1" t="str">
        <f>HYPERLINK("https://vegkart.atlas.vegvesen.no/#/@126797.8,6630597.9,18/hva:hva%5B0%5D%5Bfilter%5D%5B0%5D%5Boperator%5D=%21%3D&amp;hva%5B0%5D%5Bfilter%5D%5B0%5D%5Btype_id%5D=5897&amp;hva%5B0%5D%5Bfilter%5D%5B0%5D%5Bverdi%5D=&amp;hva%5B0%5D%5Bid%5D=47/når:2022-10-13", "Vegkart")</f>
        <v>Vegkart</v>
      </c>
      <c r="B6879">
        <v>1016425597</v>
      </c>
      <c r="C6879">
        <v>47</v>
      </c>
      <c r="D6879" t="s">
        <v>16854</v>
      </c>
      <c r="E6879">
        <v>5897</v>
      </c>
      <c r="F6879" t="s">
        <v>23479</v>
      </c>
      <c r="G6879">
        <v>1</v>
      </c>
      <c r="H6879" t="s">
        <v>22879</v>
      </c>
      <c r="J6879" t="s">
        <v>22856</v>
      </c>
      <c r="K6879" t="s">
        <v>197</v>
      </c>
      <c r="L6879" t="s">
        <v>33</v>
      </c>
      <c r="M6879" t="s">
        <v>22880</v>
      </c>
      <c r="N6879" t="s">
        <v>22883</v>
      </c>
      <c r="O6879" t="s">
        <v>22884</v>
      </c>
      <c r="P6879" s="2" t="s">
        <v>165</v>
      </c>
      <c r="Q6879" t="s">
        <v>166</v>
      </c>
      <c r="R6879">
        <v>40.74</v>
      </c>
      <c r="S6879">
        <v>41.15</v>
      </c>
      <c r="T6879" t="s">
        <v>167</v>
      </c>
    </row>
    <row r="6880" spans="1:20" x14ac:dyDescent="0.25">
      <c r="A6880" s="1" t="str">
        <f>HYPERLINK("https://vegkart.atlas.vegvesen.no/#/@236475.2,6677562.5,18/hva:hva%5B0%5D%5Bfilter%5D%5B0%5D%5Boperator%5D=%21%3D&amp;hva%5B0%5D%5Bfilter%5D%5B0%5D%5Btype_id%5D=5897&amp;hva%5B0%5D%5Bfilter%5D%5B0%5D%5Bverdi%5D=&amp;hva%5B0%5D%5Bid%5D=47/når:2022-10-19", "Vegkart")</f>
        <v>Vegkart</v>
      </c>
      <c r="B6880">
        <v>1016440088</v>
      </c>
      <c r="C6880">
        <v>47</v>
      </c>
      <c r="D6880" t="s">
        <v>16854</v>
      </c>
      <c r="E6880">
        <v>5897</v>
      </c>
      <c r="F6880" t="s">
        <v>23479</v>
      </c>
      <c r="G6880">
        <v>1</v>
      </c>
      <c r="H6880" t="s">
        <v>22885</v>
      </c>
      <c r="J6880" t="s">
        <v>22856</v>
      </c>
      <c r="K6880" t="s">
        <v>307</v>
      </c>
      <c r="L6880" t="s">
        <v>33</v>
      </c>
      <c r="M6880" t="s">
        <v>22886</v>
      </c>
      <c r="N6880" t="s">
        <v>22887</v>
      </c>
      <c r="O6880" t="s">
        <v>22888</v>
      </c>
      <c r="P6880" s="2" t="s">
        <v>26</v>
      </c>
      <c r="Q6880" t="s">
        <v>50</v>
      </c>
      <c r="R6880">
        <v>64.290000000000006</v>
      </c>
      <c r="S6880">
        <v>64.489999999999995</v>
      </c>
      <c r="T6880" t="s">
        <v>22889</v>
      </c>
    </row>
    <row r="6881" spans="1:20" x14ac:dyDescent="0.25">
      <c r="A6881" s="1" t="str">
        <f>HYPERLINK("https://vegkart.atlas.vegvesen.no/#/@218449.0,6724430.0,18/hva:hva%5B0%5D%5Bfilter%5D%5B0%5D%5Boperator%5D=%21%3D&amp;hva%5B0%5D%5Bfilter%5D%5B0%5D%5Btype_id%5D=5897&amp;hva%5B0%5D%5Bfilter%5D%5B0%5D%5Bverdi%5D=&amp;hva%5B0%5D%5Bid%5D=47/når:2022-11-02", "Vegkart")</f>
        <v>Vegkart</v>
      </c>
      <c r="B6881">
        <v>1016507063</v>
      </c>
      <c r="C6881">
        <v>47</v>
      </c>
      <c r="D6881" t="s">
        <v>16854</v>
      </c>
      <c r="E6881">
        <v>5897</v>
      </c>
      <c r="F6881" t="s">
        <v>23479</v>
      </c>
      <c r="G6881">
        <v>1</v>
      </c>
      <c r="H6881" t="s">
        <v>22890</v>
      </c>
      <c r="J6881" t="s">
        <v>22856</v>
      </c>
      <c r="K6881" t="s">
        <v>307</v>
      </c>
      <c r="L6881" t="s">
        <v>33</v>
      </c>
      <c r="M6881" t="s">
        <v>22891</v>
      </c>
      <c r="N6881" t="s">
        <v>22892</v>
      </c>
      <c r="O6881" t="s">
        <v>22893</v>
      </c>
      <c r="P6881" s="2" t="s">
        <v>26</v>
      </c>
      <c r="Q6881" t="s">
        <v>50</v>
      </c>
      <c r="R6881">
        <v>41.43</v>
      </c>
      <c r="S6881">
        <v>41.98</v>
      </c>
      <c r="T6881" t="s">
        <v>22894</v>
      </c>
    </row>
    <row r="6882" spans="1:20" x14ac:dyDescent="0.25">
      <c r="A6882" s="1" t="str">
        <f>HYPERLINK("https://vegkart.atlas.vegvesen.no/#/@-34778.1,6728913.1,18/hva:hva%5B0%5D%5Bfilter%5D%5B0%5D%5Boperator%5D=%21%3D&amp;hva%5B0%5D%5Bfilter%5D%5B0%5D%5Btype_id%5D=5897&amp;hva%5B0%5D%5Bfilter%5D%5B0%5D%5Bverdi%5D=&amp;hva%5B0%5D%5Bid%5D=47/når:2022-11-23", "Vegkart")</f>
        <v>Vegkart</v>
      </c>
      <c r="B6882">
        <v>1016572189</v>
      </c>
      <c r="C6882">
        <v>47</v>
      </c>
      <c r="D6882" t="s">
        <v>16854</v>
      </c>
      <c r="E6882">
        <v>5897</v>
      </c>
      <c r="F6882" t="s">
        <v>23479</v>
      </c>
      <c r="G6882">
        <v>1</v>
      </c>
      <c r="H6882" t="s">
        <v>22895</v>
      </c>
      <c r="J6882" t="s">
        <v>22856</v>
      </c>
      <c r="K6882" t="s">
        <v>21</v>
      </c>
      <c r="L6882" t="s">
        <v>33</v>
      </c>
      <c r="M6882" t="s">
        <v>22316</v>
      </c>
      <c r="N6882" t="s">
        <v>22896</v>
      </c>
      <c r="O6882" t="s">
        <v>22897</v>
      </c>
      <c r="P6882" s="2" t="s">
        <v>26</v>
      </c>
      <c r="Q6882" t="s">
        <v>50</v>
      </c>
      <c r="R6882">
        <v>56.94</v>
      </c>
      <c r="S6882">
        <v>58.58</v>
      </c>
      <c r="T6882" t="s">
        <v>22898</v>
      </c>
    </row>
    <row r="6883" spans="1:20" x14ac:dyDescent="0.25">
      <c r="A6883" s="1" t="str">
        <f>HYPERLINK("https://vegkart.atlas.vegvesen.no/#/@297356.5,6670259.5,18/hva:hva%5B0%5D%5Bfilter%5D%5B0%5D%5Boperator%5D=%21%3D&amp;hva%5B0%5D%5Bfilter%5D%5B0%5D%5Btype_id%5D=5897&amp;hva%5B0%5D%5Bfilter%5D%5B0%5D%5Bverdi%5D=&amp;hva%5B0%5D%5Bid%5D=47/når:2022-11-24", "Vegkart")</f>
        <v>Vegkart</v>
      </c>
      <c r="B6883">
        <v>1016576407</v>
      </c>
      <c r="C6883">
        <v>47</v>
      </c>
      <c r="D6883" t="s">
        <v>16854</v>
      </c>
      <c r="E6883">
        <v>5897</v>
      </c>
      <c r="F6883" t="s">
        <v>23479</v>
      </c>
      <c r="G6883">
        <v>1</v>
      </c>
      <c r="H6883" t="s">
        <v>22899</v>
      </c>
      <c r="J6883" t="s">
        <v>22856</v>
      </c>
      <c r="K6883" t="s">
        <v>132</v>
      </c>
      <c r="L6883" t="s">
        <v>33</v>
      </c>
      <c r="M6883" t="s">
        <v>15545</v>
      </c>
      <c r="N6883" t="s">
        <v>22900</v>
      </c>
      <c r="O6883" t="s">
        <v>22901</v>
      </c>
      <c r="P6883" s="2" t="s">
        <v>26</v>
      </c>
      <c r="Q6883" t="s">
        <v>50</v>
      </c>
      <c r="R6883">
        <v>54.02</v>
      </c>
      <c r="S6883">
        <v>54.17</v>
      </c>
      <c r="T6883" t="s">
        <v>22902</v>
      </c>
    </row>
    <row r="6884" spans="1:20" x14ac:dyDescent="0.25">
      <c r="A6884" s="1" t="str">
        <f>HYPERLINK("https://vegkart.atlas.vegvesen.no/#/@144803.6,6513884.0,18/hva:hva%5B0%5D%5Bfilter%5D%5B0%5D%5Boperator%5D=%21%3D&amp;hva%5B0%5D%5Bfilter%5D%5B0%5D%5Btype_id%5D=5897&amp;hva%5B0%5D%5Bfilter%5D%5B0%5D%5Bverdi%5D=&amp;hva%5B0%5D%5Bid%5D=47/når:2022-12-05", "Vegkart")</f>
        <v>Vegkart</v>
      </c>
      <c r="B6884">
        <v>1017092582</v>
      </c>
      <c r="C6884">
        <v>47</v>
      </c>
      <c r="D6884" t="s">
        <v>16854</v>
      </c>
      <c r="E6884">
        <v>5897</v>
      </c>
      <c r="F6884" t="s">
        <v>23479</v>
      </c>
      <c r="G6884">
        <v>1</v>
      </c>
      <c r="H6884" t="s">
        <v>22903</v>
      </c>
      <c r="J6884" t="s">
        <v>22856</v>
      </c>
      <c r="K6884" t="s">
        <v>86</v>
      </c>
      <c r="L6884" t="s">
        <v>33</v>
      </c>
      <c r="M6884" t="s">
        <v>638</v>
      </c>
      <c r="N6884" t="s">
        <v>22904</v>
      </c>
      <c r="O6884" t="s">
        <v>22905</v>
      </c>
      <c r="P6884" s="2" t="s">
        <v>26</v>
      </c>
      <c r="Q6884" t="s">
        <v>50</v>
      </c>
      <c r="R6884">
        <v>48.61</v>
      </c>
      <c r="S6884">
        <v>49.01</v>
      </c>
      <c r="T6884" t="s">
        <v>22906</v>
      </c>
    </row>
    <row r="6885" spans="1:20" x14ac:dyDescent="0.25">
      <c r="A6885" s="1" t="str">
        <f>HYPERLINK("https://vegkart.atlas.vegvesen.no/#/@144806.6,6513897.3,18/hva:hva%5B0%5D%5Bfilter%5D%5B0%5D%5Boperator%5D=%21%3D&amp;hva%5B0%5D%5Bfilter%5D%5B0%5D%5Btype_id%5D=5897&amp;hva%5B0%5D%5Bfilter%5D%5B0%5D%5Bverdi%5D=&amp;hva%5B0%5D%5Bid%5D=47/når:2022-12-05", "Vegkart")</f>
        <v>Vegkart</v>
      </c>
      <c r="B6885">
        <v>1017092583</v>
      </c>
      <c r="C6885">
        <v>47</v>
      </c>
      <c r="D6885" t="s">
        <v>16854</v>
      </c>
      <c r="E6885">
        <v>5897</v>
      </c>
      <c r="F6885" t="s">
        <v>23479</v>
      </c>
      <c r="G6885">
        <v>1</v>
      </c>
      <c r="H6885" t="s">
        <v>22903</v>
      </c>
      <c r="J6885" t="s">
        <v>22856</v>
      </c>
      <c r="K6885" t="s">
        <v>86</v>
      </c>
      <c r="L6885" t="s">
        <v>33</v>
      </c>
      <c r="M6885" t="s">
        <v>638</v>
      </c>
      <c r="N6885" t="s">
        <v>22907</v>
      </c>
      <c r="O6885" t="s">
        <v>22908</v>
      </c>
      <c r="P6885" s="2" t="s">
        <v>26</v>
      </c>
      <c r="Q6885" t="s">
        <v>50</v>
      </c>
      <c r="R6885">
        <v>49.99</v>
      </c>
      <c r="S6885">
        <v>50.28</v>
      </c>
      <c r="T6885" t="s">
        <v>22909</v>
      </c>
    </row>
    <row r="6886" spans="1:20" x14ac:dyDescent="0.25">
      <c r="A6886" s="1" t="str">
        <f>HYPERLINK("https://vegkart.atlas.vegvesen.no/#/@278859.9,6615052.9,18/hva:hva%5B0%5D%5Bfilter%5D%5B0%5D%5Boperator%5D=%21%3D&amp;hva%5B0%5D%5Bfilter%5D%5B0%5D%5Btype_id%5D=5897&amp;hva%5B0%5D%5Bfilter%5D%5B0%5D%5Bverdi%5D=&amp;hva%5B0%5D%5Bid%5D=47/når:2023-01-18", "Vegkart")</f>
        <v>Vegkart</v>
      </c>
      <c r="B6886">
        <v>1017189791</v>
      </c>
      <c r="C6886">
        <v>47</v>
      </c>
      <c r="D6886" t="s">
        <v>16854</v>
      </c>
      <c r="E6886">
        <v>5897</v>
      </c>
      <c r="F6886" t="s">
        <v>23479</v>
      </c>
      <c r="G6886">
        <v>1</v>
      </c>
      <c r="H6886" t="s">
        <v>22910</v>
      </c>
      <c r="J6886" t="s">
        <v>22856</v>
      </c>
      <c r="K6886" t="s">
        <v>104</v>
      </c>
      <c r="L6886" t="s">
        <v>33</v>
      </c>
      <c r="M6886" t="s">
        <v>8721</v>
      </c>
      <c r="N6886" t="s">
        <v>22911</v>
      </c>
      <c r="O6886" t="s">
        <v>22912</v>
      </c>
      <c r="P6886" s="2" t="s">
        <v>26</v>
      </c>
      <c r="Q6886" t="s">
        <v>50</v>
      </c>
      <c r="R6886">
        <v>32.03</v>
      </c>
      <c r="S6886">
        <v>32.03</v>
      </c>
      <c r="T6886" t="s">
        <v>22913</v>
      </c>
    </row>
    <row r="6887" spans="1:20" x14ac:dyDescent="0.25">
      <c r="A6887" s="1" t="str">
        <f>HYPERLINK("https://vegkart.atlas.vegvesen.no/#/@278857.7,6615035.5,18/hva:hva%5B0%5D%5Bfilter%5D%5B0%5D%5Boperator%5D=%21%3D&amp;hva%5B0%5D%5Bfilter%5D%5B0%5D%5Btype_id%5D=5897&amp;hva%5B0%5D%5Bfilter%5D%5B0%5D%5Bverdi%5D=&amp;hva%5B0%5D%5Bid%5D=47/når:2023-01-18", "Vegkart")</f>
        <v>Vegkart</v>
      </c>
      <c r="B6887">
        <v>1017189792</v>
      </c>
      <c r="C6887">
        <v>47</v>
      </c>
      <c r="D6887" t="s">
        <v>16854</v>
      </c>
      <c r="E6887">
        <v>5897</v>
      </c>
      <c r="F6887" t="s">
        <v>23479</v>
      </c>
      <c r="G6887">
        <v>1</v>
      </c>
      <c r="H6887" t="s">
        <v>22910</v>
      </c>
      <c r="J6887" t="s">
        <v>22856</v>
      </c>
      <c r="K6887" t="s">
        <v>104</v>
      </c>
      <c r="L6887" t="s">
        <v>33</v>
      </c>
      <c r="M6887" t="s">
        <v>8721</v>
      </c>
      <c r="N6887" t="s">
        <v>22914</v>
      </c>
      <c r="O6887" t="s">
        <v>22915</v>
      </c>
      <c r="P6887" s="2" t="s">
        <v>26</v>
      </c>
      <c r="Q6887" t="s">
        <v>50</v>
      </c>
      <c r="R6887">
        <v>34.28</v>
      </c>
      <c r="S6887">
        <v>34.29</v>
      </c>
      <c r="T6887" t="s">
        <v>22916</v>
      </c>
    </row>
    <row r="6888" spans="1:20" x14ac:dyDescent="0.25">
      <c r="A6888" s="1" t="str">
        <f>HYPERLINK("https://vegkart.atlas.vegvesen.no/#/@299532.5,6734951.7,18/hva:hva%5B0%5D%5Bfilter%5D%5B0%5D%5Boperator%5D=%21%3D&amp;hva%5B0%5D%5Bfilter%5D%5B0%5D%5Btype_id%5D=5897&amp;hva%5B0%5D%5Bfilter%5D%5B0%5D%5Bverdi%5D=&amp;hva%5B0%5D%5Bid%5D=47/når:2023-02-16", "Vegkart")</f>
        <v>Vegkart</v>
      </c>
      <c r="B6888">
        <v>1017331451</v>
      </c>
      <c r="C6888">
        <v>47</v>
      </c>
      <c r="D6888" t="s">
        <v>16854</v>
      </c>
      <c r="E6888">
        <v>5897</v>
      </c>
      <c r="F6888" t="s">
        <v>23479</v>
      </c>
      <c r="G6888">
        <v>1</v>
      </c>
      <c r="H6888" t="s">
        <v>22917</v>
      </c>
      <c r="J6888" t="s">
        <v>22856</v>
      </c>
      <c r="K6888" t="s">
        <v>136</v>
      </c>
      <c r="L6888" t="s">
        <v>33</v>
      </c>
      <c r="M6888" t="s">
        <v>22918</v>
      </c>
      <c r="N6888" t="s">
        <v>22919</v>
      </c>
      <c r="O6888" t="s">
        <v>22920</v>
      </c>
      <c r="P6888" s="2" t="s">
        <v>165</v>
      </c>
      <c r="Q6888" t="s">
        <v>166</v>
      </c>
      <c r="R6888">
        <v>0</v>
      </c>
      <c r="S6888">
        <v>116.35</v>
      </c>
      <c r="T6888" t="s">
        <v>167</v>
      </c>
    </row>
    <row r="6889" spans="1:20" x14ac:dyDescent="0.25">
      <c r="A6889" s="1" t="str">
        <f>HYPERLINK("https://vegkart.atlas.vegvesen.no/#/@299519.3,6735081.9,18/hva:hva%5B0%5D%5Bfilter%5D%5B0%5D%5Boperator%5D=%21%3D&amp;hva%5B0%5D%5Bfilter%5D%5B0%5D%5Btype_id%5D=5897&amp;hva%5B0%5D%5Bfilter%5D%5B0%5D%5Bverdi%5D=&amp;hva%5B0%5D%5Bid%5D=47/når:2023-02-16", "Vegkart")</f>
        <v>Vegkart</v>
      </c>
      <c r="B6889">
        <v>1017331452</v>
      </c>
      <c r="C6889">
        <v>47</v>
      </c>
      <c r="D6889" t="s">
        <v>16854</v>
      </c>
      <c r="E6889">
        <v>5897</v>
      </c>
      <c r="F6889" t="s">
        <v>23479</v>
      </c>
      <c r="G6889">
        <v>1</v>
      </c>
      <c r="H6889" t="s">
        <v>22917</v>
      </c>
      <c r="J6889" t="s">
        <v>22856</v>
      </c>
      <c r="K6889" t="s">
        <v>136</v>
      </c>
      <c r="L6889" t="s">
        <v>33</v>
      </c>
      <c r="M6889" t="s">
        <v>22918</v>
      </c>
      <c r="N6889" t="s">
        <v>22921</v>
      </c>
      <c r="O6889" t="s">
        <v>22922</v>
      </c>
      <c r="P6889" s="2" t="s">
        <v>165</v>
      </c>
      <c r="Q6889" t="s">
        <v>166</v>
      </c>
      <c r="R6889">
        <v>0</v>
      </c>
      <c r="S6889">
        <v>103</v>
      </c>
      <c r="T6889" t="s">
        <v>167</v>
      </c>
    </row>
    <row r="6890" spans="1:20" x14ac:dyDescent="0.25">
      <c r="A6890" s="1" t="str">
        <f>HYPERLINK("https://vegkart.atlas.vegvesen.no/#/@299692.2,6734362.2,18/hva:hva%5B0%5D%5Bfilter%5D%5B0%5D%5Boperator%5D=%21%3D&amp;hva%5B0%5D%5Bfilter%5D%5B0%5D%5Btype_id%5D=5897&amp;hva%5B0%5D%5Bfilter%5D%5B0%5D%5Bverdi%5D=&amp;hva%5B0%5D%5Bid%5D=47/når:2023-02-16", "Vegkart")</f>
        <v>Vegkart</v>
      </c>
      <c r="B6890">
        <v>1017331453</v>
      </c>
      <c r="C6890">
        <v>47</v>
      </c>
      <c r="D6890" t="s">
        <v>16854</v>
      </c>
      <c r="E6890">
        <v>5897</v>
      </c>
      <c r="F6890" t="s">
        <v>23479</v>
      </c>
      <c r="G6890">
        <v>1</v>
      </c>
      <c r="H6890" t="s">
        <v>22917</v>
      </c>
      <c r="J6890" t="s">
        <v>22856</v>
      </c>
      <c r="K6890" t="s">
        <v>136</v>
      </c>
      <c r="L6890" t="s">
        <v>33</v>
      </c>
      <c r="M6890" t="s">
        <v>22918</v>
      </c>
      <c r="N6890" t="s">
        <v>22923</v>
      </c>
      <c r="O6890" t="s">
        <v>22924</v>
      </c>
      <c r="P6890" s="2" t="s">
        <v>165</v>
      </c>
      <c r="Q6890" t="s">
        <v>166</v>
      </c>
      <c r="R6890">
        <v>0</v>
      </c>
      <c r="S6890">
        <v>104.9</v>
      </c>
      <c r="T6890" t="s">
        <v>167</v>
      </c>
    </row>
    <row r="6891" spans="1:20" x14ac:dyDescent="0.25">
      <c r="A6891" s="1" t="str">
        <f>HYPERLINK("https://vegkart.atlas.vegvesen.no/#/@299678.6,6734361.4,18/hva:hva%5B0%5D%5Bfilter%5D%5B0%5D%5Boperator%5D=%21%3D&amp;hva%5B0%5D%5Bfilter%5D%5B0%5D%5Btype_id%5D=5897&amp;hva%5B0%5D%5Bfilter%5D%5B0%5D%5Bverdi%5D=&amp;hva%5B0%5D%5Bid%5D=47/når:2023-02-16", "Vegkart")</f>
        <v>Vegkart</v>
      </c>
      <c r="B6891">
        <v>1017331454</v>
      </c>
      <c r="C6891">
        <v>47</v>
      </c>
      <c r="D6891" t="s">
        <v>16854</v>
      </c>
      <c r="E6891">
        <v>5897</v>
      </c>
      <c r="F6891" t="s">
        <v>23479</v>
      </c>
      <c r="G6891">
        <v>1</v>
      </c>
      <c r="H6891" t="s">
        <v>22917</v>
      </c>
      <c r="J6891" t="s">
        <v>22856</v>
      </c>
      <c r="K6891" t="s">
        <v>136</v>
      </c>
      <c r="L6891" t="s">
        <v>33</v>
      </c>
      <c r="M6891" t="s">
        <v>22918</v>
      </c>
      <c r="N6891" t="s">
        <v>22925</v>
      </c>
      <c r="O6891" t="s">
        <v>22926</v>
      </c>
      <c r="P6891" s="2" t="s">
        <v>165</v>
      </c>
      <c r="Q6891" t="s">
        <v>166</v>
      </c>
      <c r="R6891">
        <v>0</v>
      </c>
      <c r="S6891">
        <v>114.05</v>
      </c>
      <c r="T6891" t="s">
        <v>167</v>
      </c>
    </row>
    <row r="6892" spans="1:20" x14ac:dyDescent="0.25">
      <c r="A6892" s="1" t="str">
        <f>HYPERLINK("https://vegkart.atlas.vegvesen.no/#/@250292.8,6802671.8,18/hva:hva%5B0%5D%5Bfilter%5D%5B0%5D%5Boperator%5D=%21%3D&amp;hva%5B0%5D%5Bfilter%5D%5B0%5D%5Btype_id%5D=5897&amp;hva%5B0%5D%5Bfilter%5D%5B0%5D%5Bverdi%5D=&amp;hva%5B0%5D%5Bid%5D=47/når:2023-03-28", "Vegkart")</f>
        <v>Vegkart</v>
      </c>
      <c r="B6892">
        <v>1017534304</v>
      </c>
      <c r="C6892">
        <v>47</v>
      </c>
      <c r="D6892" t="s">
        <v>16854</v>
      </c>
      <c r="E6892">
        <v>5897</v>
      </c>
      <c r="F6892" t="s">
        <v>23479</v>
      </c>
      <c r="G6892">
        <v>1</v>
      </c>
      <c r="H6892" t="s">
        <v>19070</v>
      </c>
      <c r="J6892" t="s">
        <v>22856</v>
      </c>
      <c r="K6892" t="s">
        <v>136</v>
      </c>
      <c r="L6892" t="s">
        <v>80</v>
      </c>
      <c r="M6892" t="s">
        <v>105</v>
      </c>
      <c r="N6892" t="s">
        <v>22927</v>
      </c>
      <c r="O6892" t="s">
        <v>22928</v>
      </c>
      <c r="P6892" s="2" t="s">
        <v>26</v>
      </c>
      <c r="Q6892" t="s">
        <v>50</v>
      </c>
      <c r="R6892">
        <v>29.91</v>
      </c>
      <c r="S6892">
        <v>29.91</v>
      </c>
      <c r="T6892" t="s">
        <v>22929</v>
      </c>
    </row>
    <row r="6893" spans="1:20" x14ac:dyDescent="0.25">
      <c r="A6893" s="1" t="str">
        <f>HYPERLINK("https://vegkart.atlas.vegvesen.no/#/@262862.4,7020608.1,18/hva:hva%5B0%5D%5Bfilter%5D%5B0%5D%5Boperator%5D=%21%3D&amp;hva%5B0%5D%5Bfilter%5D%5B0%5D%5Btype_id%5D=5897&amp;hva%5B0%5D%5Bfilter%5D%5B0%5D%5Bverdi%5D=&amp;hva%5B0%5D%5Bid%5D=47/når:2023-05-11", "Vegkart")</f>
        <v>Vegkart</v>
      </c>
      <c r="B6893">
        <v>1017646098</v>
      </c>
      <c r="C6893">
        <v>47</v>
      </c>
      <c r="D6893" t="s">
        <v>16854</v>
      </c>
      <c r="E6893">
        <v>5897</v>
      </c>
      <c r="F6893" t="s">
        <v>23479</v>
      </c>
      <c r="G6893">
        <v>1</v>
      </c>
      <c r="H6893" t="s">
        <v>5542</v>
      </c>
      <c r="J6893" t="s">
        <v>22930</v>
      </c>
      <c r="K6893" t="s">
        <v>192</v>
      </c>
      <c r="L6893" t="s">
        <v>33</v>
      </c>
      <c r="M6893" t="s">
        <v>22931</v>
      </c>
      <c r="N6893" t="s">
        <v>22932</v>
      </c>
      <c r="O6893" t="s">
        <v>22933</v>
      </c>
      <c r="P6893" s="2" t="s">
        <v>26</v>
      </c>
      <c r="Q6893" t="s">
        <v>50</v>
      </c>
      <c r="R6893">
        <v>67.06</v>
      </c>
      <c r="S6893">
        <v>67.06</v>
      </c>
      <c r="T6893" t="s">
        <v>22934</v>
      </c>
    </row>
    <row r="6894" spans="1:20" x14ac:dyDescent="0.25">
      <c r="A6894" s="1" t="str">
        <f>HYPERLINK("https://vegkart.atlas.vegvesen.no/#/@262869.9,7020692.8,18/hva:hva%5B0%5D%5Bfilter%5D%5B0%5D%5Boperator%5D=%21%3D&amp;hva%5B0%5D%5Bfilter%5D%5B0%5D%5Btype_id%5D=5897&amp;hva%5B0%5D%5Bfilter%5D%5B0%5D%5Bverdi%5D=&amp;hva%5B0%5D%5Bid%5D=47/når:2023-05-11", "Vegkart")</f>
        <v>Vegkart</v>
      </c>
      <c r="B6894">
        <v>1017646099</v>
      </c>
      <c r="C6894">
        <v>47</v>
      </c>
      <c r="D6894" t="s">
        <v>16854</v>
      </c>
      <c r="E6894">
        <v>5897</v>
      </c>
      <c r="F6894" t="s">
        <v>23479</v>
      </c>
      <c r="G6894">
        <v>1</v>
      </c>
      <c r="H6894" t="s">
        <v>5542</v>
      </c>
      <c r="J6894" t="s">
        <v>22930</v>
      </c>
      <c r="K6894" t="s">
        <v>192</v>
      </c>
      <c r="L6894" t="s">
        <v>33</v>
      </c>
      <c r="M6894" t="s">
        <v>22931</v>
      </c>
      <c r="N6894" t="s">
        <v>22935</v>
      </c>
      <c r="O6894" t="s">
        <v>22936</v>
      </c>
      <c r="P6894" s="2" t="s">
        <v>26</v>
      </c>
      <c r="Q6894" t="s">
        <v>50</v>
      </c>
      <c r="R6894">
        <v>79.13</v>
      </c>
      <c r="S6894">
        <v>79.13</v>
      </c>
      <c r="T6894" t="s">
        <v>22937</v>
      </c>
    </row>
    <row r="6895" spans="1:20" x14ac:dyDescent="0.25">
      <c r="A6895" s="1" t="str">
        <f>HYPERLINK("https://vegkart.atlas.vegvesen.no/#/@262761.2,6933683.7,18/hva:hva%5B0%5D%5Bfilter%5D%5B0%5D%5Boperator%5D=%21%3D&amp;hva%5B0%5D%5Bfilter%5D%5B0%5D%5Btype_id%5D=5897&amp;hva%5B0%5D%5Bfilter%5D%5B0%5D%5Bverdi%5D=&amp;hva%5B0%5D%5Bid%5D=47/når:2023-07-05", "Vegkart")</f>
        <v>Vegkart</v>
      </c>
      <c r="B6895">
        <v>1017810401</v>
      </c>
      <c r="C6895">
        <v>47</v>
      </c>
      <c r="D6895" t="s">
        <v>16854</v>
      </c>
      <c r="E6895">
        <v>5897</v>
      </c>
      <c r="F6895" t="s">
        <v>23479</v>
      </c>
      <c r="G6895">
        <v>2</v>
      </c>
      <c r="H6895" t="s">
        <v>22938</v>
      </c>
      <c r="J6895" t="s">
        <v>22930</v>
      </c>
      <c r="K6895" t="s">
        <v>136</v>
      </c>
      <c r="L6895" t="s">
        <v>113</v>
      </c>
      <c r="M6895" t="s">
        <v>335</v>
      </c>
      <c r="N6895" t="s">
        <v>22939</v>
      </c>
      <c r="O6895" t="s">
        <v>22940</v>
      </c>
      <c r="P6895" s="2" t="s">
        <v>165</v>
      </c>
      <c r="Q6895" t="s">
        <v>166</v>
      </c>
      <c r="R6895">
        <v>157.33000000000001</v>
      </c>
      <c r="S6895">
        <v>169.04</v>
      </c>
      <c r="T6895" t="s">
        <v>167</v>
      </c>
    </row>
    <row r="6896" spans="1:20" x14ac:dyDescent="0.25">
      <c r="A6896" s="1" t="str">
        <f>HYPERLINK("https://vegkart.atlas.vegvesen.no/#/@256849.9,6624529.0,18/hva:hva%5B0%5D%5Bfilter%5D%5B0%5D%5Boperator%5D=%21%3D&amp;hva%5B0%5D%5Bfilter%5D%5B0%5D%5Btype_id%5D=5897&amp;hva%5B0%5D%5Bfilter%5D%5B0%5D%5Bverdi%5D=&amp;hva%5B0%5D%5Bid%5D=47/når:2023-07-04", "Vegkart")</f>
        <v>Vegkart</v>
      </c>
      <c r="B6896">
        <v>1017810768</v>
      </c>
      <c r="C6896">
        <v>47</v>
      </c>
      <c r="D6896" t="s">
        <v>16854</v>
      </c>
      <c r="E6896">
        <v>5897</v>
      </c>
      <c r="F6896" t="s">
        <v>23479</v>
      </c>
      <c r="G6896">
        <v>1</v>
      </c>
      <c r="H6896" t="s">
        <v>7970</v>
      </c>
      <c r="J6896" t="s">
        <v>22930</v>
      </c>
      <c r="K6896" t="s">
        <v>132</v>
      </c>
      <c r="L6896" t="s">
        <v>33</v>
      </c>
      <c r="M6896" t="s">
        <v>7971</v>
      </c>
      <c r="N6896" t="s">
        <v>22941</v>
      </c>
      <c r="O6896" t="s">
        <v>22942</v>
      </c>
      <c r="P6896" s="2" t="s">
        <v>37</v>
      </c>
      <c r="Q6896" t="s">
        <v>1208</v>
      </c>
      <c r="R6896">
        <v>0</v>
      </c>
      <c r="S6896">
        <v>114.23</v>
      </c>
      <c r="T6896" t="s">
        <v>22943</v>
      </c>
    </row>
    <row r="6897" spans="1:20" x14ac:dyDescent="0.25">
      <c r="A6897" s="1" t="str">
        <f>HYPERLINK("https://vegkart.atlas.vegvesen.no/#/@150094.2,6741117.3,18/hva:hva%5B0%5D%5Bfilter%5D%5B0%5D%5Boperator%5D=%21%3D&amp;hva%5B0%5D%5Bfilter%5D%5B0%5D%5Btype_id%5D=5897&amp;hva%5B0%5D%5Bfilter%5D%5B0%5D%5Bverdi%5D=&amp;hva%5B0%5D%5Bid%5D=47/når:2023-07-06", "Vegkart")</f>
        <v>Vegkart</v>
      </c>
      <c r="B6897">
        <v>1017817173</v>
      </c>
      <c r="C6897">
        <v>47</v>
      </c>
      <c r="D6897" t="s">
        <v>16854</v>
      </c>
      <c r="E6897">
        <v>5897</v>
      </c>
      <c r="F6897" t="s">
        <v>23479</v>
      </c>
      <c r="G6897">
        <v>1</v>
      </c>
      <c r="H6897" t="s">
        <v>18155</v>
      </c>
      <c r="J6897" t="s">
        <v>22930</v>
      </c>
      <c r="K6897" t="s">
        <v>307</v>
      </c>
      <c r="L6897" t="s">
        <v>33</v>
      </c>
      <c r="M6897" t="s">
        <v>22944</v>
      </c>
      <c r="N6897" t="s">
        <v>22945</v>
      </c>
      <c r="O6897" t="s">
        <v>22946</v>
      </c>
      <c r="P6897" s="2" t="s">
        <v>26</v>
      </c>
      <c r="Q6897" t="s">
        <v>50</v>
      </c>
      <c r="R6897">
        <v>20.72</v>
      </c>
      <c r="S6897">
        <v>20.72</v>
      </c>
      <c r="T6897" t="s">
        <v>22947</v>
      </c>
    </row>
    <row r="6898" spans="1:20" x14ac:dyDescent="0.25">
      <c r="A6898" s="1" t="str">
        <f>HYPERLINK("https://vegkart.atlas.vegvesen.no/#/@300242.3,6749781.6,18/hva:hva%5B0%5D%5Bfilter%5D%5B0%5D%5Boperator%5D=%21%3D&amp;hva%5B0%5D%5Bfilter%5D%5B0%5D%5Btype_id%5D=5897&amp;hva%5B0%5D%5Bfilter%5D%5B0%5D%5Bverdi%5D=&amp;hva%5B0%5D%5Bid%5D=47/når:2023-07-18", "Vegkart")</f>
        <v>Vegkart</v>
      </c>
      <c r="B6898">
        <v>1017838035</v>
      </c>
      <c r="C6898">
        <v>47</v>
      </c>
      <c r="D6898" t="s">
        <v>16854</v>
      </c>
      <c r="E6898">
        <v>5897</v>
      </c>
      <c r="F6898" t="s">
        <v>23479</v>
      </c>
      <c r="G6898">
        <v>1</v>
      </c>
      <c r="H6898" t="s">
        <v>22948</v>
      </c>
      <c r="J6898" t="s">
        <v>22930</v>
      </c>
      <c r="K6898" t="s">
        <v>136</v>
      </c>
      <c r="L6898" t="s">
        <v>33</v>
      </c>
      <c r="M6898" t="s">
        <v>10048</v>
      </c>
      <c r="N6898" t="s">
        <v>22949</v>
      </c>
      <c r="O6898" t="s">
        <v>22950</v>
      </c>
      <c r="P6898" s="2" t="s">
        <v>37</v>
      </c>
      <c r="Q6898" t="s">
        <v>1208</v>
      </c>
      <c r="R6898">
        <v>0</v>
      </c>
      <c r="S6898">
        <v>101.86</v>
      </c>
      <c r="T6898" t="s">
        <v>22951</v>
      </c>
    </row>
    <row r="6899" spans="1:20" x14ac:dyDescent="0.25">
      <c r="A6899" s="1" t="str">
        <f>HYPERLINK("https://vegkart.atlas.vegvesen.no/#/@299678.4,6749483.0,18/hva:hva%5B0%5D%5Bfilter%5D%5B0%5D%5Boperator%5D=%21%3D&amp;hva%5B0%5D%5Bfilter%5D%5B0%5D%5Btype_id%5D=5897&amp;hva%5B0%5D%5Bfilter%5D%5B0%5D%5Bverdi%5D=&amp;hva%5B0%5D%5Bid%5D=47/når:2023-07-18", "Vegkart")</f>
        <v>Vegkart</v>
      </c>
      <c r="B6899">
        <v>1017838036</v>
      </c>
      <c r="C6899">
        <v>47</v>
      </c>
      <c r="D6899" t="s">
        <v>16854</v>
      </c>
      <c r="E6899">
        <v>5897</v>
      </c>
      <c r="F6899" t="s">
        <v>23479</v>
      </c>
      <c r="G6899">
        <v>1</v>
      </c>
      <c r="H6899" t="s">
        <v>22948</v>
      </c>
      <c r="J6899" t="s">
        <v>22930</v>
      </c>
      <c r="K6899" t="s">
        <v>136</v>
      </c>
      <c r="L6899" t="s">
        <v>33</v>
      </c>
      <c r="M6899" t="s">
        <v>10048</v>
      </c>
      <c r="N6899" t="s">
        <v>22952</v>
      </c>
      <c r="O6899" t="s">
        <v>22953</v>
      </c>
      <c r="P6899" s="2" t="s">
        <v>37</v>
      </c>
      <c r="Q6899" t="s">
        <v>1208</v>
      </c>
      <c r="R6899">
        <v>0</v>
      </c>
      <c r="S6899">
        <v>105.63</v>
      </c>
      <c r="T6899" t="s">
        <v>22954</v>
      </c>
    </row>
    <row r="6900" spans="1:20" x14ac:dyDescent="0.25">
      <c r="A6900" s="1" t="str">
        <f>HYPERLINK("https://vegkart.atlas.vegvesen.no/#/@300265.5,6749787.0,18/hva:hva%5B0%5D%5Bfilter%5D%5B0%5D%5Boperator%5D=%21%3D&amp;hva%5B0%5D%5Bfilter%5D%5B0%5D%5Btype_id%5D=5897&amp;hva%5B0%5D%5Bfilter%5D%5B0%5D%5Bverdi%5D=&amp;hva%5B0%5D%5Bid%5D=47/når:2023-07-18", "Vegkart")</f>
        <v>Vegkart</v>
      </c>
      <c r="B6900">
        <v>1017838037</v>
      </c>
      <c r="C6900">
        <v>47</v>
      </c>
      <c r="D6900" t="s">
        <v>16854</v>
      </c>
      <c r="E6900">
        <v>5897</v>
      </c>
      <c r="F6900" t="s">
        <v>23479</v>
      </c>
      <c r="G6900">
        <v>1</v>
      </c>
      <c r="H6900" t="s">
        <v>22948</v>
      </c>
      <c r="J6900" t="s">
        <v>22930</v>
      </c>
      <c r="K6900" t="s">
        <v>136</v>
      </c>
      <c r="L6900" t="s">
        <v>33</v>
      </c>
      <c r="M6900" t="s">
        <v>10048</v>
      </c>
      <c r="N6900" t="s">
        <v>22955</v>
      </c>
      <c r="O6900" t="s">
        <v>22956</v>
      </c>
      <c r="P6900" s="2" t="s">
        <v>37</v>
      </c>
      <c r="Q6900" t="s">
        <v>1208</v>
      </c>
      <c r="R6900">
        <v>0</v>
      </c>
      <c r="S6900">
        <v>112.06</v>
      </c>
      <c r="T6900" t="s">
        <v>22957</v>
      </c>
    </row>
    <row r="6901" spans="1:20" x14ac:dyDescent="0.25">
      <c r="A6901" s="1" t="str">
        <f>HYPERLINK("https://vegkart.atlas.vegvesen.no/#/@-48532.6,6794258.1,18/hva:hva%5B0%5D%5Bfilter%5D%5B0%5D%5Boperator%5D=%21%3D&amp;hva%5B0%5D%5Bfilter%5D%5B0%5D%5Btype_id%5D=5897&amp;hva%5B0%5D%5Bfilter%5D%5B0%5D%5Bverdi%5D=&amp;hva%5B0%5D%5Bid%5D=47/når:2023-07-31", "Vegkart")</f>
        <v>Vegkart</v>
      </c>
      <c r="B6901">
        <v>1017852031</v>
      </c>
      <c r="C6901">
        <v>47</v>
      </c>
      <c r="D6901" t="s">
        <v>16854</v>
      </c>
      <c r="E6901">
        <v>5897</v>
      </c>
      <c r="F6901" t="s">
        <v>23479</v>
      </c>
      <c r="G6901">
        <v>1</v>
      </c>
      <c r="H6901" t="s">
        <v>22958</v>
      </c>
      <c r="J6901" t="s">
        <v>22930</v>
      </c>
      <c r="K6901" t="s">
        <v>21</v>
      </c>
      <c r="L6901" t="s">
        <v>33</v>
      </c>
      <c r="M6901" t="s">
        <v>17057</v>
      </c>
      <c r="N6901" t="s">
        <v>22959</v>
      </c>
      <c r="O6901" t="s">
        <v>22960</v>
      </c>
      <c r="P6901" s="2" t="s">
        <v>26</v>
      </c>
      <c r="Q6901" t="s">
        <v>50</v>
      </c>
      <c r="R6901">
        <v>70.23</v>
      </c>
      <c r="S6901">
        <v>70.7</v>
      </c>
      <c r="T6901" t="s">
        <v>22961</v>
      </c>
    </row>
    <row r="6902" spans="1:20" x14ac:dyDescent="0.25">
      <c r="A6902" s="1" t="str">
        <f>HYPERLINK("https://vegkart.atlas.vegvesen.no/#/@-48223.4,6794211.8,18/hva:hva%5B0%5D%5Bfilter%5D%5B0%5D%5Boperator%5D=%21%3D&amp;hva%5B0%5D%5Bfilter%5D%5B0%5D%5Btype_id%5D=5897&amp;hva%5B0%5D%5Bfilter%5D%5B0%5D%5Bverdi%5D=&amp;hva%5B0%5D%5Bid%5D=47/når:2023-07-31", "Vegkart")</f>
        <v>Vegkart</v>
      </c>
      <c r="B6902">
        <v>1017852032</v>
      </c>
      <c r="C6902">
        <v>47</v>
      </c>
      <c r="D6902" t="s">
        <v>16854</v>
      </c>
      <c r="E6902">
        <v>5897</v>
      </c>
      <c r="F6902" t="s">
        <v>23479</v>
      </c>
      <c r="G6902">
        <v>1</v>
      </c>
      <c r="H6902" t="s">
        <v>22958</v>
      </c>
      <c r="J6902" t="s">
        <v>22930</v>
      </c>
      <c r="K6902" t="s">
        <v>21</v>
      </c>
      <c r="L6902" t="s">
        <v>33</v>
      </c>
      <c r="M6902" t="s">
        <v>17057</v>
      </c>
      <c r="N6902" t="s">
        <v>22962</v>
      </c>
      <c r="O6902" t="s">
        <v>22963</v>
      </c>
      <c r="P6902" s="2" t="s">
        <v>26</v>
      </c>
      <c r="Q6902" t="s">
        <v>50</v>
      </c>
      <c r="R6902">
        <v>69.739999999999995</v>
      </c>
      <c r="S6902">
        <v>70.349999999999994</v>
      </c>
      <c r="T6902" t="s">
        <v>22964</v>
      </c>
    </row>
    <row r="6903" spans="1:20" x14ac:dyDescent="0.25">
      <c r="A6903" s="1" t="str">
        <f>HYPERLINK("https://vegkart.atlas.vegvesen.no/#/@-48657.9,6794296.6,18/hva:hva%5B0%5D%5Bfilter%5D%5B0%5D%5Boperator%5D=%21%3D&amp;hva%5B0%5D%5Bfilter%5D%5B0%5D%5Btype_id%5D=5897&amp;hva%5B0%5D%5Bfilter%5D%5B0%5D%5Bverdi%5D=&amp;hva%5B0%5D%5Bid%5D=47/når:2023-07-31", "Vegkart")</f>
        <v>Vegkart</v>
      </c>
      <c r="B6903">
        <v>1017852033</v>
      </c>
      <c r="C6903">
        <v>47</v>
      </c>
      <c r="D6903" t="s">
        <v>16854</v>
      </c>
      <c r="E6903">
        <v>5897</v>
      </c>
      <c r="F6903" t="s">
        <v>23479</v>
      </c>
      <c r="G6903">
        <v>1</v>
      </c>
      <c r="H6903" t="s">
        <v>22958</v>
      </c>
      <c r="J6903" t="s">
        <v>22930</v>
      </c>
      <c r="K6903" t="s">
        <v>21</v>
      </c>
      <c r="L6903" t="s">
        <v>33</v>
      </c>
      <c r="M6903" t="s">
        <v>17057</v>
      </c>
      <c r="N6903" t="s">
        <v>22965</v>
      </c>
      <c r="O6903" t="s">
        <v>22966</v>
      </c>
      <c r="P6903" s="2" t="s">
        <v>26</v>
      </c>
      <c r="Q6903" t="s">
        <v>50</v>
      </c>
      <c r="R6903">
        <v>84.61</v>
      </c>
      <c r="S6903">
        <v>86.82</v>
      </c>
      <c r="T6903" t="s">
        <v>22967</v>
      </c>
    </row>
    <row r="6904" spans="1:20" x14ac:dyDescent="0.25">
      <c r="A6904" s="1" t="str">
        <f>HYPERLINK("https://vegkart.atlas.vegvesen.no/#/@-48073.2,6794199.4,18/hva:hva%5B0%5D%5Bfilter%5D%5B0%5D%5Boperator%5D=%21%3D&amp;hva%5B0%5D%5Bfilter%5D%5B0%5D%5Btype_id%5D=5897&amp;hva%5B0%5D%5Bfilter%5D%5B0%5D%5Bverdi%5D=&amp;hva%5B0%5D%5Bid%5D=47/når:2023-07-31", "Vegkart")</f>
        <v>Vegkart</v>
      </c>
      <c r="B6904">
        <v>1017852034</v>
      </c>
      <c r="C6904">
        <v>47</v>
      </c>
      <c r="D6904" t="s">
        <v>16854</v>
      </c>
      <c r="E6904">
        <v>5897</v>
      </c>
      <c r="F6904" t="s">
        <v>23479</v>
      </c>
      <c r="G6904">
        <v>1</v>
      </c>
      <c r="H6904" t="s">
        <v>22958</v>
      </c>
      <c r="J6904" t="s">
        <v>22930</v>
      </c>
      <c r="K6904" t="s">
        <v>21</v>
      </c>
      <c r="L6904" t="s">
        <v>33</v>
      </c>
      <c r="M6904" t="s">
        <v>17057</v>
      </c>
      <c r="N6904" t="s">
        <v>22968</v>
      </c>
      <c r="O6904" t="s">
        <v>22969</v>
      </c>
      <c r="P6904" s="2" t="s">
        <v>26</v>
      </c>
      <c r="Q6904" t="s">
        <v>50</v>
      </c>
      <c r="R6904">
        <v>65.05</v>
      </c>
      <c r="S6904">
        <v>66.42</v>
      </c>
      <c r="T6904" t="s">
        <v>22970</v>
      </c>
    </row>
    <row r="6905" spans="1:20" x14ac:dyDescent="0.25">
      <c r="A6905" s="1" t="str">
        <f>HYPERLINK("https://vegkart.atlas.vegvesen.no/#/@-23549.1,6736027.0,18/hva:hva%5B0%5D%5Bfilter%5D%5B0%5D%5Boperator%5D=%21%3D&amp;hva%5B0%5D%5Bfilter%5D%5B0%5D%5Btype_id%5D=5897&amp;hva%5B0%5D%5Bfilter%5D%5B0%5D%5Bverdi%5D=&amp;hva%5B0%5D%5Bid%5D=47/når:2023-08-01", "Vegkart")</f>
        <v>Vegkart</v>
      </c>
      <c r="B6905">
        <v>1017854169</v>
      </c>
      <c r="C6905">
        <v>47</v>
      </c>
      <c r="D6905" t="s">
        <v>16854</v>
      </c>
      <c r="E6905">
        <v>5897</v>
      </c>
      <c r="F6905" t="s">
        <v>23479</v>
      </c>
      <c r="G6905">
        <v>1</v>
      </c>
      <c r="H6905" t="s">
        <v>5569</v>
      </c>
      <c r="J6905" t="s">
        <v>22930</v>
      </c>
      <c r="K6905" t="s">
        <v>21</v>
      </c>
      <c r="L6905" t="s">
        <v>33</v>
      </c>
      <c r="M6905" t="s">
        <v>5570</v>
      </c>
      <c r="N6905" t="s">
        <v>22971</v>
      </c>
      <c r="O6905" t="s">
        <v>22972</v>
      </c>
      <c r="P6905" s="2" t="s">
        <v>37</v>
      </c>
      <c r="Q6905" t="s">
        <v>1208</v>
      </c>
      <c r="R6905">
        <v>0</v>
      </c>
      <c r="S6905">
        <v>123.24</v>
      </c>
      <c r="T6905" t="s">
        <v>22973</v>
      </c>
    </row>
    <row r="6906" spans="1:20" x14ac:dyDescent="0.25">
      <c r="A6906" s="1" t="str">
        <f>HYPERLINK("https://vegkart.atlas.vegvesen.no/#/@66177.9,6828527.1,18/hva:hva%5B0%5D%5Bfilter%5D%5B0%5D%5Boperator%5D=%21%3D&amp;hva%5B0%5D%5Bfilter%5D%5B0%5D%5Btype_id%5D=5897&amp;hva%5B0%5D%5Bfilter%5D%5B0%5D%5Bverdi%5D=&amp;hva%5B0%5D%5Bid%5D=47/når:2023-08-11", "Vegkart")</f>
        <v>Vegkart</v>
      </c>
      <c r="B6906">
        <v>1017873173</v>
      </c>
      <c r="C6906">
        <v>47</v>
      </c>
      <c r="D6906" t="s">
        <v>16854</v>
      </c>
      <c r="E6906">
        <v>5897</v>
      </c>
      <c r="F6906" t="s">
        <v>23479</v>
      </c>
      <c r="G6906">
        <v>1</v>
      </c>
      <c r="H6906" t="s">
        <v>506</v>
      </c>
      <c r="J6906" t="s">
        <v>22930</v>
      </c>
      <c r="K6906" t="s">
        <v>21</v>
      </c>
      <c r="L6906" t="s">
        <v>113</v>
      </c>
      <c r="M6906" t="s">
        <v>507</v>
      </c>
      <c r="N6906" t="s">
        <v>22974</v>
      </c>
      <c r="O6906" t="s">
        <v>22975</v>
      </c>
      <c r="P6906" s="2" t="s">
        <v>37</v>
      </c>
      <c r="Q6906" t="s">
        <v>1208</v>
      </c>
      <c r="R6906">
        <v>0</v>
      </c>
      <c r="S6906">
        <v>132.47</v>
      </c>
      <c r="T6906" t="s">
        <v>22976</v>
      </c>
    </row>
    <row r="6907" spans="1:20" x14ac:dyDescent="0.25">
      <c r="A6907" s="1" t="str">
        <f>HYPERLINK("https://vegkart.atlas.vegvesen.no/#/@290438.7,6695370.5,18/hva:hva%5B0%5D%5Bfilter%5D%5B0%5D%5Boperator%5D=%21%3D&amp;hva%5B0%5D%5Bfilter%5D%5B0%5D%5Btype_id%5D=5897&amp;hva%5B0%5D%5Bfilter%5D%5B0%5D%5Bverdi%5D=&amp;hva%5B0%5D%5Bid%5D=47/når:2023-08-14", "Vegkart")</f>
        <v>Vegkart</v>
      </c>
      <c r="B6907">
        <v>1017878509</v>
      </c>
      <c r="C6907">
        <v>47</v>
      </c>
      <c r="D6907" t="s">
        <v>16854</v>
      </c>
      <c r="E6907">
        <v>5897</v>
      </c>
      <c r="F6907" t="s">
        <v>23479</v>
      </c>
      <c r="G6907">
        <v>1</v>
      </c>
      <c r="H6907" t="s">
        <v>11663</v>
      </c>
      <c r="J6907" t="s">
        <v>22930</v>
      </c>
      <c r="K6907" t="s">
        <v>132</v>
      </c>
      <c r="L6907" t="s">
        <v>80</v>
      </c>
      <c r="M6907" t="s">
        <v>105</v>
      </c>
      <c r="N6907" t="s">
        <v>22977</v>
      </c>
      <c r="O6907" t="s">
        <v>22978</v>
      </c>
      <c r="P6907" s="2" t="s">
        <v>26</v>
      </c>
      <c r="Q6907" t="s">
        <v>50</v>
      </c>
      <c r="R6907">
        <v>41.65</v>
      </c>
      <c r="S6907">
        <v>41.65</v>
      </c>
      <c r="T6907" t="s">
        <v>22979</v>
      </c>
    </row>
    <row r="6908" spans="1:20" x14ac:dyDescent="0.25">
      <c r="A6908" s="1" t="str">
        <f>HYPERLINK("https://vegkart.atlas.vegvesen.no/#/@290728.8,6695746.4,18/hva:hva%5B0%5D%5Bfilter%5D%5B0%5D%5Boperator%5D=%21%3D&amp;hva%5B0%5D%5Bfilter%5D%5B0%5D%5Btype_id%5D=5897&amp;hva%5B0%5D%5Bfilter%5D%5B0%5D%5Bverdi%5D=&amp;hva%5B0%5D%5Bid%5D=47/når:2023-08-14", "Vegkart")</f>
        <v>Vegkart</v>
      </c>
      <c r="B6908">
        <v>1017878510</v>
      </c>
      <c r="C6908">
        <v>47</v>
      </c>
      <c r="D6908" t="s">
        <v>16854</v>
      </c>
      <c r="E6908">
        <v>5897</v>
      </c>
      <c r="F6908" t="s">
        <v>23479</v>
      </c>
      <c r="G6908">
        <v>1</v>
      </c>
      <c r="H6908" t="s">
        <v>11663</v>
      </c>
      <c r="J6908" t="s">
        <v>22930</v>
      </c>
      <c r="K6908" t="s">
        <v>132</v>
      </c>
      <c r="L6908" t="s">
        <v>80</v>
      </c>
      <c r="M6908" t="s">
        <v>105</v>
      </c>
      <c r="N6908" t="s">
        <v>22980</v>
      </c>
      <c r="O6908" t="s">
        <v>22981</v>
      </c>
      <c r="P6908" s="2" t="s">
        <v>26</v>
      </c>
      <c r="Q6908" t="s">
        <v>50</v>
      </c>
      <c r="R6908">
        <v>44.64</v>
      </c>
      <c r="S6908">
        <v>44.64</v>
      </c>
      <c r="T6908" t="s">
        <v>22982</v>
      </c>
    </row>
    <row r="6909" spans="1:20" x14ac:dyDescent="0.25">
      <c r="A6909" s="1" t="str">
        <f>HYPERLINK("https://vegkart.atlas.vegvesen.no/#/@125634.3,6740183.8,18/hva:hva%5B0%5D%5Bfilter%5D%5B0%5D%5Boperator%5D=%21%3D&amp;hva%5B0%5D%5Bfilter%5D%5B0%5D%5Btype_id%5D=5897&amp;hva%5B0%5D%5Bfilter%5D%5B0%5D%5Bverdi%5D=&amp;hva%5B0%5D%5Bid%5D=47/når:2023-08-15", "Vegkart")</f>
        <v>Vegkart</v>
      </c>
      <c r="B6909">
        <v>1017879627</v>
      </c>
      <c r="C6909">
        <v>47</v>
      </c>
      <c r="D6909" t="s">
        <v>16854</v>
      </c>
      <c r="E6909">
        <v>5897</v>
      </c>
      <c r="F6909" t="s">
        <v>23479</v>
      </c>
      <c r="G6909">
        <v>1</v>
      </c>
      <c r="H6909" t="s">
        <v>11758</v>
      </c>
      <c r="J6909" t="s">
        <v>22930</v>
      </c>
      <c r="K6909" t="s">
        <v>307</v>
      </c>
      <c r="L6909" t="s">
        <v>33</v>
      </c>
      <c r="M6909" t="s">
        <v>192</v>
      </c>
      <c r="N6909" t="s">
        <v>22983</v>
      </c>
      <c r="O6909" t="s">
        <v>22984</v>
      </c>
      <c r="P6909" s="2" t="s">
        <v>26</v>
      </c>
      <c r="Q6909" t="s">
        <v>50</v>
      </c>
      <c r="R6909">
        <v>21.09</v>
      </c>
      <c r="S6909">
        <v>21.09</v>
      </c>
      <c r="T6909" t="s">
        <v>22985</v>
      </c>
    </row>
    <row r="6910" spans="1:20" x14ac:dyDescent="0.25">
      <c r="A6910" s="1" t="str">
        <f>HYPERLINK("https://vegkart.atlas.vegvesen.no/#/@253354.0,6631282.6,18/hva:hva%5B0%5D%5Bfilter%5D%5B0%5D%5Boperator%5D=%21%3D&amp;hva%5B0%5D%5Bfilter%5D%5B0%5D%5Btype_id%5D=5897&amp;hva%5B0%5D%5Bfilter%5D%5B0%5D%5Bverdi%5D=&amp;hva%5B0%5D%5Bid%5D=47/når:2023-10-31", "Vegkart")</f>
        <v>Vegkart</v>
      </c>
      <c r="B6910">
        <v>1018121592</v>
      </c>
      <c r="C6910">
        <v>47</v>
      </c>
      <c r="D6910" t="s">
        <v>16854</v>
      </c>
      <c r="E6910">
        <v>5897</v>
      </c>
      <c r="F6910" t="s">
        <v>23479</v>
      </c>
      <c r="G6910">
        <v>1</v>
      </c>
      <c r="H6910" t="s">
        <v>11908</v>
      </c>
      <c r="J6910" t="s">
        <v>22930</v>
      </c>
      <c r="K6910" t="s">
        <v>132</v>
      </c>
      <c r="L6910" t="s">
        <v>33</v>
      </c>
      <c r="M6910" t="s">
        <v>11909</v>
      </c>
      <c r="N6910" t="s">
        <v>22986</v>
      </c>
      <c r="O6910" t="s">
        <v>22987</v>
      </c>
      <c r="P6910" s="2" t="s">
        <v>37</v>
      </c>
      <c r="Q6910" t="s">
        <v>1208</v>
      </c>
      <c r="R6910">
        <v>0</v>
      </c>
      <c r="S6910">
        <v>131.19</v>
      </c>
      <c r="T6910" t="s">
        <v>22988</v>
      </c>
    </row>
    <row r="6911" spans="1:20" x14ac:dyDescent="0.25">
      <c r="A6911" s="1" t="str">
        <f>HYPERLINK("https://vegkart.atlas.vegvesen.no/#/@253256.6,6631216.5,18/hva:hva%5B0%5D%5Bfilter%5D%5B0%5D%5Boperator%5D=%21%3D&amp;hva%5B0%5D%5Bfilter%5D%5B0%5D%5Btype_id%5D=5897&amp;hva%5B0%5D%5Bfilter%5D%5B0%5D%5Bverdi%5D=&amp;hva%5B0%5D%5Bid%5D=47/når:2023-10-31", "Vegkart")</f>
        <v>Vegkart</v>
      </c>
      <c r="B6911">
        <v>1018121593</v>
      </c>
      <c r="C6911">
        <v>47</v>
      </c>
      <c r="D6911" t="s">
        <v>16854</v>
      </c>
      <c r="E6911">
        <v>5897</v>
      </c>
      <c r="F6911" t="s">
        <v>23479</v>
      </c>
      <c r="G6911">
        <v>1</v>
      </c>
      <c r="H6911" t="s">
        <v>11908</v>
      </c>
      <c r="J6911" t="s">
        <v>22930</v>
      </c>
      <c r="K6911" t="s">
        <v>132</v>
      </c>
      <c r="L6911" t="s">
        <v>33</v>
      </c>
      <c r="M6911" t="s">
        <v>11909</v>
      </c>
      <c r="N6911" t="s">
        <v>22989</v>
      </c>
      <c r="O6911" t="s">
        <v>22990</v>
      </c>
      <c r="P6911" s="2" t="s">
        <v>37</v>
      </c>
      <c r="Q6911" t="s">
        <v>1208</v>
      </c>
      <c r="R6911">
        <v>0</v>
      </c>
      <c r="S6911">
        <v>103.18</v>
      </c>
      <c r="T6911" t="s">
        <v>22991</v>
      </c>
    </row>
    <row r="6912" spans="1:20" x14ac:dyDescent="0.25">
      <c r="A6912" s="1" t="str">
        <f>HYPERLINK("https://vegkart.atlas.vegvesen.no/#/@162881.9,6596551.8,18/hva:hva%5B0%5D%5Bfilter%5D%5B0%5D%5Boperator%5D=%21%3D&amp;hva%5B0%5D%5Bfilter%5D%5B0%5D%5Btype_id%5D=5897&amp;hva%5B0%5D%5Bfilter%5D%5B0%5D%5Bverdi%5D=&amp;hva%5B0%5D%5Bid%5D=47/når:2023-11-20", "Vegkart")</f>
        <v>Vegkart</v>
      </c>
      <c r="B6912">
        <v>1018215051</v>
      </c>
      <c r="C6912">
        <v>47</v>
      </c>
      <c r="D6912" t="s">
        <v>16854</v>
      </c>
      <c r="E6912">
        <v>5897</v>
      </c>
      <c r="F6912" t="s">
        <v>23479</v>
      </c>
      <c r="G6912">
        <v>1</v>
      </c>
      <c r="H6912" t="s">
        <v>11995</v>
      </c>
      <c r="J6912" t="s">
        <v>22930</v>
      </c>
      <c r="K6912" t="s">
        <v>197</v>
      </c>
      <c r="L6912" t="s">
        <v>33</v>
      </c>
      <c r="M6912" t="s">
        <v>22992</v>
      </c>
      <c r="N6912" t="s">
        <v>22993</v>
      </c>
      <c r="O6912" t="s">
        <v>22994</v>
      </c>
      <c r="P6912" s="2" t="s">
        <v>26</v>
      </c>
      <c r="Q6912" t="s">
        <v>50</v>
      </c>
      <c r="R6912">
        <v>24.35</v>
      </c>
      <c r="S6912">
        <v>24.91</v>
      </c>
      <c r="T6912" t="s">
        <v>22995</v>
      </c>
    </row>
    <row r="6913" spans="1:20" x14ac:dyDescent="0.25">
      <c r="A6913" s="1" t="str">
        <f>HYPERLINK("https://vegkart.atlas.vegvesen.no/#/@163837.3,6594595.7,18/hva:hva%5B0%5D%5Bfilter%5D%5B0%5D%5Boperator%5D=%21%3D&amp;hva%5B0%5D%5Bfilter%5D%5B0%5D%5Btype_id%5D=5897&amp;hva%5B0%5D%5Bfilter%5D%5B0%5D%5Bverdi%5D=&amp;hva%5B0%5D%5Bid%5D=47/når:2023-11-20", "Vegkart")</f>
        <v>Vegkart</v>
      </c>
      <c r="B6913">
        <v>1018215052</v>
      </c>
      <c r="C6913">
        <v>47</v>
      </c>
      <c r="D6913" t="s">
        <v>16854</v>
      </c>
      <c r="E6913">
        <v>5897</v>
      </c>
      <c r="F6913" t="s">
        <v>23479</v>
      </c>
      <c r="G6913">
        <v>1</v>
      </c>
      <c r="H6913" t="s">
        <v>11995</v>
      </c>
      <c r="J6913" t="s">
        <v>22930</v>
      </c>
      <c r="K6913" t="s">
        <v>197</v>
      </c>
      <c r="L6913" t="s">
        <v>33</v>
      </c>
      <c r="M6913" t="s">
        <v>22992</v>
      </c>
      <c r="N6913" t="s">
        <v>22996</v>
      </c>
      <c r="O6913" t="s">
        <v>22997</v>
      </c>
      <c r="P6913" s="2" t="s">
        <v>26</v>
      </c>
      <c r="Q6913" t="s">
        <v>50</v>
      </c>
      <c r="R6913">
        <v>18.64</v>
      </c>
      <c r="S6913">
        <v>19.16</v>
      </c>
      <c r="T6913" t="s">
        <v>22998</v>
      </c>
    </row>
    <row r="6914" spans="1:20" x14ac:dyDescent="0.25">
      <c r="A6914" s="1" t="str">
        <f>HYPERLINK("https://vegkart.atlas.vegvesen.no/#/@163848.2,6594217.6,18/hva:hva%5B0%5D%5Bfilter%5D%5B0%5D%5Boperator%5D=%21%3D&amp;hva%5B0%5D%5Bfilter%5D%5B0%5D%5Btype_id%5D=5897&amp;hva%5B0%5D%5Bfilter%5D%5B0%5D%5Bverdi%5D=&amp;hva%5B0%5D%5Bid%5D=47/når:2023-11-20", "Vegkart")</f>
        <v>Vegkart</v>
      </c>
      <c r="B6914">
        <v>1018215053</v>
      </c>
      <c r="C6914">
        <v>47</v>
      </c>
      <c r="D6914" t="s">
        <v>16854</v>
      </c>
      <c r="E6914">
        <v>5897</v>
      </c>
      <c r="F6914" t="s">
        <v>23479</v>
      </c>
      <c r="G6914">
        <v>1</v>
      </c>
      <c r="H6914" t="s">
        <v>11995</v>
      </c>
      <c r="J6914" t="s">
        <v>22930</v>
      </c>
      <c r="K6914" t="s">
        <v>197</v>
      </c>
      <c r="L6914" t="s">
        <v>33</v>
      </c>
      <c r="M6914" t="s">
        <v>22992</v>
      </c>
      <c r="N6914" t="s">
        <v>22999</v>
      </c>
      <c r="O6914" t="s">
        <v>23000</v>
      </c>
      <c r="P6914" s="2" t="s">
        <v>37</v>
      </c>
      <c r="Q6914" t="s">
        <v>1208</v>
      </c>
      <c r="R6914">
        <v>19.27</v>
      </c>
      <c r="S6914">
        <v>21.33</v>
      </c>
      <c r="T6914" t="s">
        <v>23001</v>
      </c>
    </row>
    <row r="6915" spans="1:20" x14ac:dyDescent="0.25">
      <c r="A6915" s="1" t="str">
        <f>HYPERLINK("https://vegkart.atlas.vegvesen.no/#/@163301.3,6596285.3,18/hva:hva%5B0%5D%5Bfilter%5D%5B0%5D%5Boperator%5D=%21%3D&amp;hva%5B0%5D%5Bfilter%5D%5B0%5D%5Btype_id%5D=5897&amp;hva%5B0%5D%5Bfilter%5D%5B0%5D%5Bverdi%5D=&amp;hva%5B0%5D%5Bid%5D=47/når:2023-11-20", "Vegkart")</f>
        <v>Vegkart</v>
      </c>
      <c r="B6915">
        <v>1018215054</v>
      </c>
      <c r="C6915">
        <v>47</v>
      </c>
      <c r="D6915" t="s">
        <v>16854</v>
      </c>
      <c r="E6915">
        <v>5897</v>
      </c>
      <c r="F6915" t="s">
        <v>23479</v>
      </c>
      <c r="G6915">
        <v>1</v>
      </c>
      <c r="H6915" t="s">
        <v>11995</v>
      </c>
      <c r="J6915" t="s">
        <v>22930</v>
      </c>
      <c r="K6915" t="s">
        <v>197</v>
      </c>
      <c r="L6915" t="s">
        <v>33</v>
      </c>
      <c r="M6915" t="s">
        <v>22992</v>
      </c>
      <c r="N6915" t="s">
        <v>23002</v>
      </c>
      <c r="O6915" t="s">
        <v>23003</v>
      </c>
      <c r="P6915" s="2" t="s">
        <v>26</v>
      </c>
      <c r="Q6915" t="s">
        <v>50</v>
      </c>
      <c r="R6915">
        <v>33.47</v>
      </c>
      <c r="S6915">
        <v>34.1</v>
      </c>
      <c r="T6915" t="s">
        <v>23004</v>
      </c>
    </row>
    <row r="6916" spans="1:20" x14ac:dyDescent="0.25">
      <c r="A6916" s="1" t="str">
        <f>HYPERLINK("https://vegkart.atlas.vegvesen.no/#/@163910.1,6594333.6,18/hva:hva%5B0%5D%5Bfilter%5D%5B0%5D%5Boperator%5D=%21%3D&amp;hva%5B0%5D%5Bfilter%5D%5B0%5D%5Btype_id%5D=5897&amp;hva%5B0%5D%5Bfilter%5D%5B0%5D%5Bverdi%5D=&amp;hva%5B0%5D%5Bid%5D=47/når:2023-11-20", "Vegkart")</f>
        <v>Vegkart</v>
      </c>
      <c r="B6916">
        <v>1018215055</v>
      </c>
      <c r="C6916">
        <v>47</v>
      </c>
      <c r="D6916" t="s">
        <v>16854</v>
      </c>
      <c r="E6916">
        <v>5897</v>
      </c>
      <c r="F6916" t="s">
        <v>23479</v>
      </c>
      <c r="G6916">
        <v>1</v>
      </c>
      <c r="H6916" t="s">
        <v>11995</v>
      </c>
      <c r="J6916" t="s">
        <v>22930</v>
      </c>
      <c r="K6916" t="s">
        <v>197</v>
      </c>
      <c r="L6916" t="s">
        <v>33</v>
      </c>
      <c r="M6916" t="s">
        <v>22992</v>
      </c>
      <c r="N6916" t="s">
        <v>23005</v>
      </c>
      <c r="O6916" t="s">
        <v>23006</v>
      </c>
      <c r="P6916" s="2" t="s">
        <v>26</v>
      </c>
      <c r="Q6916" t="s">
        <v>50</v>
      </c>
      <c r="R6916">
        <v>14.21</v>
      </c>
      <c r="S6916">
        <v>14.64</v>
      </c>
      <c r="T6916" t="s">
        <v>23007</v>
      </c>
    </row>
    <row r="6917" spans="1:20" x14ac:dyDescent="0.25">
      <c r="A6917" s="1" t="str">
        <f>HYPERLINK("https://vegkart.atlas.vegvesen.no/#/@163893.7,6594446.7,18/hva:hva%5B0%5D%5Bfilter%5D%5B0%5D%5Boperator%5D=%21%3D&amp;hva%5B0%5D%5Bfilter%5D%5B0%5D%5Btype_id%5D=5897&amp;hva%5B0%5D%5Bfilter%5D%5B0%5D%5Bverdi%5D=&amp;hva%5B0%5D%5Bid%5D=47/når:2023-11-20", "Vegkart")</f>
        <v>Vegkart</v>
      </c>
      <c r="B6917">
        <v>1018215056</v>
      </c>
      <c r="C6917">
        <v>47</v>
      </c>
      <c r="D6917" t="s">
        <v>16854</v>
      </c>
      <c r="E6917">
        <v>5897</v>
      </c>
      <c r="F6917" t="s">
        <v>23479</v>
      </c>
      <c r="G6917">
        <v>1</v>
      </c>
      <c r="H6917" t="s">
        <v>11995</v>
      </c>
      <c r="J6917" t="s">
        <v>22930</v>
      </c>
      <c r="K6917" t="s">
        <v>197</v>
      </c>
      <c r="L6917" t="s">
        <v>33</v>
      </c>
      <c r="M6917" t="s">
        <v>22992</v>
      </c>
      <c r="N6917" t="s">
        <v>23008</v>
      </c>
      <c r="O6917" t="s">
        <v>23009</v>
      </c>
      <c r="P6917" s="2" t="s">
        <v>26</v>
      </c>
      <c r="Q6917" t="s">
        <v>50</v>
      </c>
      <c r="R6917">
        <v>18.989999999999998</v>
      </c>
      <c r="S6917">
        <v>19.59</v>
      </c>
      <c r="T6917" t="s">
        <v>23010</v>
      </c>
    </row>
    <row r="6918" spans="1:20" x14ac:dyDescent="0.25">
      <c r="A6918" s="1" t="str">
        <f>HYPERLINK("https://vegkart.atlas.vegvesen.no/#/@163563.8,6595216.9,18/hva:hva%5B0%5D%5Bfilter%5D%5B0%5D%5Boperator%5D=%21%3D&amp;hva%5B0%5D%5Bfilter%5D%5B0%5D%5Btype_id%5D=5897&amp;hva%5B0%5D%5Bfilter%5D%5B0%5D%5Bverdi%5D=&amp;hva%5B0%5D%5Bid%5D=47/når:2023-11-20", "Vegkart")</f>
        <v>Vegkart</v>
      </c>
      <c r="B6918">
        <v>1018215057</v>
      </c>
      <c r="C6918">
        <v>47</v>
      </c>
      <c r="D6918" t="s">
        <v>16854</v>
      </c>
      <c r="E6918">
        <v>5897</v>
      </c>
      <c r="F6918" t="s">
        <v>23479</v>
      </c>
      <c r="G6918">
        <v>1</v>
      </c>
      <c r="H6918" t="s">
        <v>11995</v>
      </c>
      <c r="J6918" t="s">
        <v>22930</v>
      </c>
      <c r="K6918" t="s">
        <v>197</v>
      </c>
      <c r="L6918" t="s">
        <v>33</v>
      </c>
      <c r="M6918" t="s">
        <v>22992</v>
      </c>
      <c r="N6918" t="s">
        <v>23011</v>
      </c>
      <c r="O6918" t="s">
        <v>23012</v>
      </c>
      <c r="P6918" s="2" t="s">
        <v>26</v>
      </c>
      <c r="Q6918" t="s">
        <v>50</v>
      </c>
      <c r="R6918">
        <v>45.64</v>
      </c>
      <c r="S6918">
        <v>46.83</v>
      </c>
      <c r="T6918" t="s">
        <v>23013</v>
      </c>
    </row>
    <row r="6919" spans="1:20" x14ac:dyDescent="0.25">
      <c r="A6919" s="1" t="str">
        <f>HYPERLINK("https://vegkart.atlas.vegvesen.no/#/@163573.9,6595392.1,18/hva:hva%5B0%5D%5Bfilter%5D%5B0%5D%5Boperator%5D=%21%3D&amp;hva%5B0%5D%5Bfilter%5D%5B0%5D%5Btype_id%5D=5897&amp;hva%5B0%5D%5Bfilter%5D%5B0%5D%5Bverdi%5D=&amp;hva%5B0%5D%5Bid%5D=47/når:2023-11-20", "Vegkart")</f>
        <v>Vegkart</v>
      </c>
      <c r="B6919">
        <v>1018215058</v>
      </c>
      <c r="C6919">
        <v>47</v>
      </c>
      <c r="D6919" t="s">
        <v>16854</v>
      </c>
      <c r="E6919">
        <v>5897</v>
      </c>
      <c r="F6919" t="s">
        <v>23479</v>
      </c>
      <c r="G6919">
        <v>1</v>
      </c>
      <c r="H6919" t="s">
        <v>11995</v>
      </c>
      <c r="J6919" t="s">
        <v>22930</v>
      </c>
      <c r="K6919" t="s">
        <v>197</v>
      </c>
      <c r="L6919" t="s">
        <v>33</v>
      </c>
      <c r="M6919" t="s">
        <v>22992</v>
      </c>
      <c r="N6919" t="s">
        <v>23014</v>
      </c>
      <c r="O6919" t="s">
        <v>23015</v>
      </c>
      <c r="P6919" s="2" t="s">
        <v>26</v>
      </c>
      <c r="Q6919" t="s">
        <v>50</v>
      </c>
      <c r="R6919">
        <v>32.04</v>
      </c>
      <c r="S6919">
        <v>32.979999999999997</v>
      </c>
      <c r="T6919" t="s">
        <v>23016</v>
      </c>
    </row>
    <row r="6920" spans="1:20" x14ac:dyDescent="0.25">
      <c r="A6920" s="1" t="str">
        <f>HYPERLINK("https://vegkart.atlas.vegvesen.no/#/@162596.4,6596732.0,18/hva:hva%5B0%5D%5Bfilter%5D%5B0%5D%5Boperator%5D=%21%3D&amp;hva%5B0%5D%5Bfilter%5D%5B0%5D%5Btype_id%5D=5897&amp;hva%5B0%5D%5Bfilter%5D%5B0%5D%5Bverdi%5D=&amp;hva%5B0%5D%5Bid%5D=47/når:2023-11-20", "Vegkart")</f>
        <v>Vegkart</v>
      </c>
      <c r="B6920">
        <v>1018215059</v>
      </c>
      <c r="C6920">
        <v>47</v>
      </c>
      <c r="D6920" t="s">
        <v>16854</v>
      </c>
      <c r="E6920">
        <v>5897</v>
      </c>
      <c r="F6920" t="s">
        <v>23479</v>
      </c>
      <c r="G6920">
        <v>1</v>
      </c>
      <c r="H6920" t="s">
        <v>11995</v>
      </c>
      <c r="J6920" t="s">
        <v>22930</v>
      </c>
      <c r="K6920" t="s">
        <v>197</v>
      </c>
      <c r="L6920" t="s">
        <v>33</v>
      </c>
      <c r="M6920" t="s">
        <v>22992</v>
      </c>
      <c r="N6920" t="s">
        <v>23017</v>
      </c>
      <c r="O6920" t="s">
        <v>23018</v>
      </c>
      <c r="P6920" s="2" t="s">
        <v>26</v>
      </c>
      <c r="Q6920" t="s">
        <v>50</v>
      </c>
      <c r="R6920">
        <v>25.33</v>
      </c>
      <c r="S6920">
        <v>25.94</v>
      </c>
      <c r="T6920" t="s">
        <v>23019</v>
      </c>
    </row>
    <row r="6921" spans="1:20" x14ac:dyDescent="0.25">
      <c r="A6921" s="1" t="str">
        <f>HYPERLINK("https://vegkart.atlas.vegvesen.no/#/@272814.5,6582047.0,18/hva:hva%5B0%5D%5Bfilter%5D%5B0%5D%5Boperator%5D=%21%3D&amp;hva%5B0%5D%5Bfilter%5D%5B0%5D%5Btype_id%5D=5897&amp;hva%5B0%5D%5Bfilter%5D%5B0%5D%5Bverdi%5D=&amp;hva%5B0%5D%5Bid%5D=47/når:2023-12-20", "Vegkart")</f>
        <v>Vegkart</v>
      </c>
      <c r="B6921">
        <v>1018326142</v>
      </c>
      <c r="C6921">
        <v>47</v>
      </c>
      <c r="D6921" t="s">
        <v>16854</v>
      </c>
      <c r="E6921">
        <v>5897</v>
      </c>
      <c r="F6921" t="s">
        <v>23479</v>
      </c>
      <c r="G6921">
        <v>1</v>
      </c>
      <c r="H6921" t="s">
        <v>21387</v>
      </c>
      <c r="J6921" t="s">
        <v>22930</v>
      </c>
      <c r="K6921" t="s">
        <v>104</v>
      </c>
      <c r="L6921" t="s">
        <v>80</v>
      </c>
      <c r="M6921" t="s">
        <v>105</v>
      </c>
      <c r="N6921" t="s">
        <v>23020</v>
      </c>
      <c r="O6921" t="s">
        <v>23021</v>
      </c>
      <c r="P6921" s="2" t="s">
        <v>26</v>
      </c>
      <c r="Q6921" t="s">
        <v>50</v>
      </c>
      <c r="R6921">
        <v>38.369999999999997</v>
      </c>
      <c r="S6921">
        <v>38.369999999999997</v>
      </c>
      <c r="T6921" t="s">
        <v>23022</v>
      </c>
    </row>
    <row r="6922" spans="1:20" x14ac:dyDescent="0.25">
      <c r="A6922" s="1" t="str">
        <f>HYPERLINK("https://vegkart.atlas.vegvesen.no/#/@161725.2,6913741.7,18/hva:hva%5B0%5D%5Bfilter%5D%5B0%5D%5Boperator%5D=%21%3D&amp;hva%5B0%5D%5Bfilter%5D%5B0%5D%5Btype_id%5D=5897&amp;hva%5B0%5D%5Bfilter%5D%5B0%5D%5Bverdi%5D=&amp;hva%5B0%5D%5Bid%5D=47/når:2023-12-28", "Vegkart")</f>
        <v>Vegkart</v>
      </c>
      <c r="B6922">
        <v>1018336756</v>
      </c>
      <c r="C6922">
        <v>47</v>
      </c>
      <c r="D6922" t="s">
        <v>16854</v>
      </c>
      <c r="E6922">
        <v>5897</v>
      </c>
      <c r="F6922" t="s">
        <v>23479</v>
      </c>
      <c r="G6922">
        <v>1</v>
      </c>
      <c r="H6922" t="s">
        <v>23023</v>
      </c>
      <c r="J6922" t="s">
        <v>22930</v>
      </c>
      <c r="K6922" t="s">
        <v>136</v>
      </c>
      <c r="L6922" t="s">
        <v>80</v>
      </c>
      <c r="M6922" t="s">
        <v>1217</v>
      </c>
      <c r="N6922" t="s">
        <v>23024</v>
      </c>
      <c r="O6922" t="s">
        <v>23025</v>
      </c>
      <c r="P6922" s="2" t="s">
        <v>26</v>
      </c>
      <c r="Q6922" t="s">
        <v>50</v>
      </c>
      <c r="R6922">
        <v>128.22999999999999</v>
      </c>
      <c r="S6922">
        <v>138.43</v>
      </c>
      <c r="T6922" t="s">
        <v>23026</v>
      </c>
    </row>
    <row r="6923" spans="1:20" x14ac:dyDescent="0.25">
      <c r="A6923" s="1" t="str">
        <f>HYPERLINK("https://vegkart.atlas.vegvesen.no/#/@198926.6,6868570.0,18/hva:hva%5B0%5D%5Bfilter%5D%5B0%5D%5Boperator%5D=%21%3D&amp;hva%5B0%5D%5Bfilter%5D%5B0%5D%5Btype_id%5D=5897&amp;hva%5B0%5D%5Bfilter%5D%5B0%5D%5Bverdi%5D=&amp;hva%5B0%5D%5Bid%5D=47/når:2024-01-03", "Vegkart")</f>
        <v>Vegkart</v>
      </c>
      <c r="B6923">
        <v>1018340404</v>
      </c>
      <c r="C6923">
        <v>47</v>
      </c>
      <c r="D6923" t="s">
        <v>16854</v>
      </c>
      <c r="E6923">
        <v>5897</v>
      </c>
      <c r="F6923" t="s">
        <v>23479</v>
      </c>
      <c r="G6923">
        <v>1</v>
      </c>
      <c r="H6923" t="s">
        <v>1728</v>
      </c>
      <c r="J6923" t="s">
        <v>22930</v>
      </c>
      <c r="K6923" t="s">
        <v>136</v>
      </c>
      <c r="L6923" t="s">
        <v>113</v>
      </c>
      <c r="M6923" t="s">
        <v>32</v>
      </c>
      <c r="N6923" t="s">
        <v>23027</v>
      </c>
      <c r="O6923" t="s">
        <v>23028</v>
      </c>
      <c r="P6923" s="2" t="s">
        <v>26</v>
      </c>
      <c r="Q6923" t="s">
        <v>50</v>
      </c>
      <c r="R6923">
        <v>120.94</v>
      </c>
      <c r="S6923">
        <v>144.88</v>
      </c>
      <c r="T6923" t="s">
        <v>23029</v>
      </c>
    </row>
    <row r="6924" spans="1:20" x14ac:dyDescent="0.25">
      <c r="A6924" s="1" t="str">
        <f>HYPERLINK("https://vegkart.atlas.vegvesen.no/#/@202601.7,6864729.6,18/hva:hva%5B0%5D%5Bfilter%5D%5B0%5D%5Boperator%5D=%21%3D&amp;hva%5B0%5D%5Bfilter%5D%5B0%5D%5Btype_id%5D=5897&amp;hva%5B0%5D%5Bfilter%5D%5B0%5D%5Bverdi%5D=&amp;hva%5B0%5D%5Bid%5D=47/når:2024-01-03", "Vegkart")</f>
        <v>Vegkart</v>
      </c>
      <c r="B6924">
        <v>1018340406</v>
      </c>
      <c r="C6924">
        <v>47</v>
      </c>
      <c r="D6924" t="s">
        <v>16854</v>
      </c>
      <c r="E6924">
        <v>5897</v>
      </c>
      <c r="F6924" t="s">
        <v>23479</v>
      </c>
      <c r="G6924">
        <v>1</v>
      </c>
      <c r="H6924" t="s">
        <v>1728</v>
      </c>
      <c r="J6924" t="s">
        <v>22930</v>
      </c>
      <c r="K6924" t="s">
        <v>136</v>
      </c>
      <c r="L6924" t="s">
        <v>113</v>
      </c>
      <c r="M6924" t="s">
        <v>32</v>
      </c>
      <c r="N6924" t="s">
        <v>23030</v>
      </c>
      <c r="O6924" t="s">
        <v>23031</v>
      </c>
      <c r="P6924" s="2" t="s">
        <v>26</v>
      </c>
      <c r="Q6924" t="s">
        <v>50</v>
      </c>
      <c r="R6924">
        <v>46.73</v>
      </c>
      <c r="S6924">
        <v>52.75</v>
      </c>
      <c r="T6924" t="s">
        <v>23032</v>
      </c>
    </row>
    <row r="6925" spans="1:20" x14ac:dyDescent="0.25">
      <c r="A6925" s="1" t="str">
        <f>HYPERLINK("https://vegkart.atlas.vegvesen.no/#/@13372.0,6847861.4,18/hva:hva%5B0%5D%5Bfilter%5D%5B0%5D%5Boperator%5D=%21%3D&amp;hva%5B0%5D%5Bfilter%5D%5B0%5D%5Btype_id%5D=5897&amp;hva%5B0%5D%5Bfilter%5D%5B0%5D%5Bverdi%5D=&amp;hva%5B0%5D%5Bid%5D=47/når:2024-01-04", "Vegkart")</f>
        <v>Vegkart</v>
      </c>
      <c r="B6925">
        <v>1018345965</v>
      </c>
      <c r="C6925">
        <v>47</v>
      </c>
      <c r="D6925" t="s">
        <v>16854</v>
      </c>
      <c r="E6925">
        <v>5897</v>
      </c>
      <c r="F6925" t="s">
        <v>23479</v>
      </c>
      <c r="G6925">
        <v>1</v>
      </c>
      <c r="H6925" t="s">
        <v>526</v>
      </c>
      <c r="J6925" t="s">
        <v>22930</v>
      </c>
      <c r="K6925" t="s">
        <v>21</v>
      </c>
      <c r="L6925" t="s">
        <v>113</v>
      </c>
      <c r="M6925" t="s">
        <v>507</v>
      </c>
      <c r="N6925" t="s">
        <v>23033</v>
      </c>
      <c r="O6925" t="s">
        <v>23034</v>
      </c>
      <c r="P6925" s="2" t="s">
        <v>37</v>
      </c>
      <c r="Q6925" t="s">
        <v>1208</v>
      </c>
      <c r="R6925">
        <v>0</v>
      </c>
      <c r="S6925">
        <v>204.1</v>
      </c>
      <c r="T6925" t="s">
        <v>23035</v>
      </c>
    </row>
    <row r="6926" spans="1:20" x14ac:dyDescent="0.25">
      <c r="A6926" s="1" t="str">
        <f>HYPERLINK("https://vegkart.atlas.vegvesen.no/#/@-35203.5,6733412.0,18/hva:hva%5B0%5D%5Bfilter%5D%5B0%5D%5Boperator%5D=%21%3D&amp;hva%5B0%5D%5Bfilter%5D%5B0%5D%5Btype_id%5D=5897&amp;hva%5B0%5D%5Bfilter%5D%5B0%5D%5Bverdi%5D=&amp;hva%5B0%5D%5Bid%5D=47/når:2024-01-16", "Vegkart")</f>
        <v>Vegkart</v>
      </c>
      <c r="B6926">
        <v>1018467333</v>
      </c>
      <c r="C6926">
        <v>47</v>
      </c>
      <c r="D6926" t="s">
        <v>16854</v>
      </c>
      <c r="E6926">
        <v>5897</v>
      </c>
      <c r="F6926" t="s">
        <v>23479</v>
      </c>
      <c r="G6926">
        <v>1</v>
      </c>
      <c r="H6926" t="s">
        <v>531</v>
      </c>
      <c r="J6926" t="s">
        <v>22930</v>
      </c>
      <c r="K6926" t="s">
        <v>21</v>
      </c>
      <c r="L6926" t="s">
        <v>33</v>
      </c>
      <c r="M6926" t="s">
        <v>8055</v>
      </c>
      <c r="N6926" t="s">
        <v>23036</v>
      </c>
      <c r="O6926" t="s">
        <v>23037</v>
      </c>
      <c r="P6926" s="2" t="s">
        <v>37</v>
      </c>
      <c r="Q6926" t="s">
        <v>1208</v>
      </c>
      <c r="R6926">
        <v>0</v>
      </c>
      <c r="S6926">
        <v>109.16</v>
      </c>
      <c r="T6926" t="s">
        <v>23038</v>
      </c>
    </row>
    <row r="6927" spans="1:20" x14ac:dyDescent="0.25">
      <c r="A6927" s="1" t="str">
        <f>HYPERLINK("https://vegkart.atlas.vegvesen.no/#/@-35214.1,6733420.6,18/hva:hva%5B0%5D%5Bfilter%5D%5B0%5D%5Boperator%5D=%21%3D&amp;hva%5B0%5D%5Bfilter%5D%5B0%5D%5Btype_id%5D=5897&amp;hva%5B0%5D%5Bfilter%5D%5B0%5D%5Bverdi%5D=&amp;hva%5B0%5D%5Bid%5D=47/når:2024-01-16", "Vegkart")</f>
        <v>Vegkart</v>
      </c>
      <c r="B6927">
        <v>1018467334</v>
      </c>
      <c r="C6927">
        <v>47</v>
      </c>
      <c r="D6927" t="s">
        <v>16854</v>
      </c>
      <c r="E6927">
        <v>5897</v>
      </c>
      <c r="F6927" t="s">
        <v>23479</v>
      </c>
      <c r="G6927">
        <v>1</v>
      </c>
      <c r="H6927" t="s">
        <v>531</v>
      </c>
      <c r="J6927" t="s">
        <v>22930</v>
      </c>
      <c r="K6927" t="s">
        <v>21</v>
      </c>
      <c r="L6927" t="s">
        <v>33</v>
      </c>
      <c r="M6927" t="s">
        <v>8055</v>
      </c>
      <c r="N6927" t="s">
        <v>23039</v>
      </c>
      <c r="O6927" t="s">
        <v>23040</v>
      </c>
      <c r="P6927" s="2" t="s">
        <v>37</v>
      </c>
      <c r="Q6927" t="s">
        <v>1208</v>
      </c>
      <c r="R6927">
        <v>0</v>
      </c>
      <c r="S6927">
        <v>111.07</v>
      </c>
      <c r="T6927" t="s">
        <v>23041</v>
      </c>
    </row>
    <row r="6928" spans="1:20" x14ac:dyDescent="0.25">
      <c r="A6928" s="1" t="str">
        <f>HYPERLINK("https://vegkart.atlas.vegvesen.no/#/@-35177.4,6733466.2,18/hva:hva%5B0%5D%5Bfilter%5D%5B0%5D%5Boperator%5D=%21%3D&amp;hva%5B0%5D%5Bfilter%5D%5B0%5D%5Btype_id%5D=5897&amp;hva%5B0%5D%5Bfilter%5D%5B0%5D%5Bverdi%5D=&amp;hva%5B0%5D%5Bid%5D=47/når:2024-01-16", "Vegkart")</f>
        <v>Vegkart</v>
      </c>
      <c r="B6928">
        <v>1018467335</v>
      </c>
      <c r="C6928">
        <v>47</v>
      </c>
      <c r="D6928" t="s">
        <v>16854</v>
      </c>
      <c r="E6928">
        <v>5897</v>
      </c>
      <c r="F6928" t="s">
        <v>23479</v>
      </c>
      <c r="G6928">
        <v>1</v>
      </c>
      <c r="H6928" t="s">
        <v>531</v>
      </c>
      <c r="J6928" t="s">
        <v>22930</v>
      </c>
      <c r="K6928" t="s">
        <v>21</v>
      </c>
      <c r="L6928" t="s">
        <v>33</v>
      </c>
      <c r="M6928" t="s">
        <v>8055</v>
      </c>
      <c r="N6928" t="s">
        <v>23042</v>
      </c>
      <c r="O6928" t="s">
        <v>23043</v>
      </c>
      <c r="P6928" s="2" t="s">
        <v>37</v>
      </c>
      <c r="Q6928" t="s">
        <v>1208</v>
      </c>
      <c r="R6928">
        <v>0</v>
      </c>
      <c r="S6928">
        <v>116.65</v>
      </c>
      <c r="T6928" t="s">
        <v>23044</v>
      </c>
    </row>
    <row r="6929" spans="1:20" x14ac:dyDescent="0.25">
      <c r="A6929" s="1" t="str">
        <f>HYPERLINK("https://vegkart.atlas.vegvesen.no/#/@-35169.9,6733459.6,18/hva:hva%5B0%5D%5Bfilter%5D%5B0%5D%5Boperator%5D=%21%3D&amp;hva%5B0%5D%5Bfilter%5D%5B0%5D%5Btype_id%5D=5897&amp;hva%5B0%5D%5Bfilter%5D%5B0%5D%5Bverdi%5D=&amp;hva%5B0%5D%5Bid%5D=47/når:2024-01-16", "Vegkart")</f>
        <v>Vegkart</v>
      </c>
      <c r="B6929">
        <v>1018467336</v>
      </c>
      <c r="C6929">
        <v>47</v>
      </c>
      <c r="D6929" t="s">
        <v>16854</v>
      </c>
      <c r="E6929">
        <v>5897</v>
      </c>
      <c r="F6929" t="s">
        <v>23479</v>
      </c>
      <c r="G6929">
        <v>1</v>
      </c>
      <c r="H6929" t="s">
        <v>531</v>
      </c>
      <c r="J6929" t="s">
        <v>22930</v>
      </c>
      <c r="K6929" t="s">
        <v>21</v>
      </c>
      <c r="L6929" t="s">
        <v>33</v>
      </c>
      <c r="M6929" t="s">
        <v>8055</v>
      </c>
      <c r="N6929" t="s">
        <v>23045</v>
      </c>
      <c r="O6929" t="s">
        <v>23046</v>
      </c>
      <c r="P6929" s="2" t="s">
        <v>37</v>
      </c>
      <c r="Q6929" t="s">
        <v>1208</v>
      </c>
      <c r="R6929">
        <v>0</v>
      </c>
      <c r="S6929">
        <v>113.89</v>
      </c>
      <c r="T6929" t="s">
        <v>23047</v>
      </c>
    </row>
    <row r="6930" spans="1:20" x14ac:dyDescent="0.25">
      <c r="A6930" s="1" t="str">
        <f>HYPERLINK("https://vegkart.atlas.vegvesen.no/#/@-36111.4,6742349.5,18/hva:hva%5B0%5D%5Bfilter%5D%5B0%5D%5Boperator%5D=%21%3D&amp;hva%5B0%5D%5Bfilter%5D%5B0%5D%5Btype_id%5D=5897&amp;hva%5B0%5D%5Bfilter%5D%5B0%5D%5Bverdi%5D=&amp;hva%5B0%5D%5Bid%5D=47/når:2024-02-06", "Vegkart")</f>
        <v>Vegkart</v>
      </c>
      <c r="B6930">
        <v>1018725292</v>
      </c>
      <c r="C6930">
        <v>47</v>
      </c>
      <c r="D6930" t="s">
        <v>16854</v>
      </c>
      <c r="E6930">
        <v>5897</v>
      </c>
      <c r="F6930" t="s">
        <v>23479</v>
      </c>
      <c r="G6930">
        <v>1</v>
      </c>
      <c r="H6930" t="s">
        <v>22860</v>
      </c>
      <c r="J6930" t="s">
        <v>22930</v>
      </c>
      <c r="K6930" t="s">
        <v>21</v>
      </c>
      <c r="L6930" t="s">
        <v>33</v>
      </c>
      <c r="M6930" t="s">
        <v>16212</v>
      </c>
      <c r="N6930" t="s">
        <v>23048</v>
      </c>
      <c r="O6930" t="s">
        <v>23049</v>
      </c>
      <c r="P6930" s="2" t="s">
        <v>37</v>
      </c>
      <c r="Q6930" t="s">
        <v>1208</v>
      </c>
      <c r="R6930">
        <v>0</v>
      </c>
      <c r="S6930">
        <v>113.45</v>
      </c>
      <c r="T6930" t="s">
        <v>23050</v>
      </c>
    </row>
    <row r="6931" spans="1:20" x14ac:dyDescent="0.25">
      <c r="A6931" s="1" t="str">
        <f>HYPERLINK("https://vegkart.atlas.vegvesen.no/#/@-36409.8,6741026.7,18/hva:hva%5B0%5D%5Bfilter%5D%5B0%5D%5Boperator%5D=%21%3D&amp;hva%5B0%5D%5Bfilter%5D%5B0%5D%5Btype_id%5D=5897&amp;hva%5B0%5D%5Bfilter%5D%5B0%5D%5Bverdi%5D=&amp;hva%5B0%5D%5Bid%5D=47/når:2024-02-06", "Vegkart")</f>
        <v>Vegkart</v>
      </c>
      <c r="B6931">
        <v>1018725293</v>
      </c>
      <c r="C6931">
        <v>47</v>
      </c>
      <c r="D6931" t="s">
        <v>16854</v>
      </c>
      <c r="E6931">
        <v>5897</v>
      </c>
      <c r="F6931" t="s">
        <v>23479</v>
      </c>
      <c r="G6931">
        <v>1</v>
      </c>
      <c r="H6931" t="s">
        <v>22860</v>
      </c>
      <c r="J6931" t="s">
        <v>22930</v>
      </c>
      <c r="K6931" t="s">
        <v>21</v>
      </c>
      <c r="L6931" t="s">
        <v>33</v>
      </c>
      <c r="M6931" t="s">
        <v>16212</v>
      </c>
      <c r="N6931" t="s">
        <v>23051</v>
      </c>
      <c r="O6931" t="s">
        <v>23052</v>
      </c>
      <c r="P6931" s="2" t="s">
        <v>37</v>
      </c>
      <c r="Q6931" t="s">
        <v>1208</v>
      </c>
      <c r="R6931">
        <v>0</v>
      </c>
      <c r="S6931">
        <v>108.82</v>
      </c>
      <c r="T6931" t="s">
        <v>23053</v>
      </c>
    </row>
    <row r="6932" spans="1:20" x14ac:dyDescent="0.25">
      <c r="A6932" s="1" t="str">
        <f>HYPERLINK("https://vegkart.atlas.vegvesen.no/#/@-36377.0,6740728.0,18/hva:hva%5B0%5D%5Bfilter%5D%5B0%5D%5Boperator%5D=%21%3D&amp;hva%5B0%5D%5Bfilter%5D%5B0%5D%5Btype_id%5D=5897&amp;hva%5B0%5D%5Bfilter%5D%5B0%5D%5Bverdi%5D=&amp;hva%5B0%5D%5Bid%5D=47/når:2024-02-06", "Vegkart")</f>
        <v>Vegkart</v>
      </c>
      <c r="B6932">
        <v>1018725294</v>
      </c>
      <c r="C6932">
        <v>47</v>
      </c>
      <c r="D6932" t="s">
        <v>16854</v>
      </c>
      <c r="E6932">
        <v>5897</v>
      </c>
      <c r="F6932" t="s">
        <v>23479</v>
      </c>
      <c r="G6932">
        <v>1</v>
      </c>
      <c r="H6932" t="s">
        <v>22860</v>
      </c>
      <c r="J6932" t="s">
        <v>22930</v>
      </c>
      <c r="K6932" t="s">
        <v>21</v>
      </c>
      <c r="L6932" t="s">
        <v>33</v>
      </c>
      <c r="M6932" t="s">
        <v>16212</v>
      </c>
      <c r="N6932" t="s">
        <v>23054</v>
      </c>
      <c r="O6932" t="s">
        <v>23055</v>
      </c>
      <c r="P6932" s="2" t="s">
        <v>37</v>
      </c>
      <c r="Q6932" t="s">
        <v>1208</v>
      </c>
      <c r="R6932">
        <v>0</v>
      </c>
      <c r="S6932">
        <v>99.85</v>
      </c>
      <c r="T6932" t="s">
        <v>23056</v>
      </c>
    </row>
    <row r="6933" spans="1:20" x14ac:dyDescent="0.25">
      <c r="A6933" s="1" t="str">
        <f>HYPERLINK("https://vegkart.atlas.vegvesen.no/#/@-36347.0,6741671.1,18/hva:hva%5B0%5D%5Bfilter%5D%5B0%5D%5Boperator%5D=%21%3D&amp;hva%5B0%5D%5Bfilter%5D%5B0%5D%5Btype_id%5D=5897&amp;hva%5B0%5D%5Bfilter%5D%5B0%5D%5Bverdi%5D=&amp;hva%5B0%5D%5Bid%5D=47/når:2024-02-06", "Vegkart")</f>
        <v>Vegkart</v>
      </c>
      <c r="B6933">
        <v>1018725295</v>
      </c>
      <c r="C6933">
        <v>47</v>
      </c>
      <c r="D6933" t="s">
        <v>16854</v>
      </c>
      <c r="E6933">
        <v>5897</v>
      </c>
      <c r="F6933" t="s">
        <v>23479</v>
      </c>
      <c r="G6933">
        <v>1</v>
      </c>
      <c r="H6933" t="s">
        <v>22860</v>
      </c>
      <c r="J6933" t="s">
        <v>22930</v>
      </c>
      <c r="K6933" t="s">
        <v>21</v>
      </c>
      <c r="L6933" t="s">
        <v>33</v>
      </c>
      <c r="M6933" t="s">
        <v>16212</v>
      </c>
      <c r="N6933" t="s">
        <v>23057</v>
      </c>
      <c r="O6933" t="s">
        <v>23058</v>
      </c>
      <c r="P6933" s="2" t="s">
        <v>37</v>
      </c>
      <c r="Q6933" t="s">
        <v>1208</v>
      </c>
      <c r="R6933">
        <v>0</v>
      </c>
      <c r="S6933">
        <v>140.29</v>
      </c>
      <c r="T6933" t="s">
        <v>23059</v>
      </c>
    </row>
    <row r="6934" spans="1:20" x14ac:dyDescent="0.25">
      <c r="A6934" s="1" t="str">
        <f>HYPERLINK("https://vegkart.atlas.vegvesen.no/#/@-36034.0,6742637.8,18/hva:hva%5B0%5D%5Bfilter%5D%5B0%5D%5Boperator%5D=%21%3D&amp;hva%5B0%5D%5Bfilter%5D%5B0%5D%5Btype_id%5D=5897&amp;hva%5B0%5D%5Bfilter%5D%5B0%5D%5Bverdi%5D=&amp;hva%5B0%5D%5Bid%5D=47/når:2024-02-06", "Vegkart")</f>
        <v>Vegkart</v>
      </c>
      <c r="B6934">
        <v>1018725296</v>
      </c>
      <c r="C6934">
        <v>47</v>
      </c>
      <c r="D6934" t="s">
        <v>16854</v>
      </c>
      <c r="E6934">
        <v>5897</v>
      </c>
      <c r="F6934" t="s">
        <v>23479</v>
      </c>
      <c r="G6934">
        <v>1</v>
      </c>
      <c r="H6934" t="s">
        <v>22860</v>
      </c>
      <c r="J6934" t="s">
        <v>22930</v>
      </c>
      <c r="K6934" t="s">
        <v>21</v>
      </c>
      <c r="L6934" t="s">
        <v>33</v>
      </c>
      <c r="M6934" t="s">
        <v>16212</v>
      </c>
      <c r="N6934" t="s">
        <v>23060</v>
      </c>
      <c r="O6934" t="s">
        <v>23061</v>
      </c>
      <c r="P6934" s="2" t="s">
        <v>37</v>
      </c>
      <c r="Q6934" t="s">
        <v>1208</v>
      </c>
      <c r="R6934">
        <v>0</v>
      </c>
      <c r="S6934">
        <v>110.81</v>
      </c>
      <c r="T6934" t="s">
        <v>23062</v>
      </c>
    </row>
    <row r="6935" spans="1:20" x14ac:dyDescent="0.25">
      <c r="A6935" s="1" t="str">
        <f>HYPERLINK("https://vegkart.atlas.vegvesen.no/#/@-36204.6,6743174.8,18/hva:hva%5B0%5D%5Bfilter%5D%5B0%5D%5Boperator%5D=%21%3D&amp;hva%5B0%5D%5Bfilter%5D%5B0%5D%5Btype_id%5D=5897&amp;hva%5B0%5D%5Bfilter%5D%5B0%5D%5Bverdi%5D=&amp;hva%5B0%5D%5Bid%5D=47/når:2024-02-06", "Vegkart")</f>
        <v>Vegkart</v>
      </c>
      <c r="B6935">
        <v>1018725297</v>
      </c>
      <c r="C6935">
        <v>47</v>
      </c>
      <c r="D6935" t="s">
        <v>16854</v>
      </c>
      <c r="E6935">
        <v>5897</v>
      </c>
      <c r="F6935" t="s">
        <v>23479</v>
      </c>
      <c r="G6935">
        <v>1</v>
      </c>
      <c r="H6935" t="s">
        <v>22860</v>
      </c>
      <c r="J6935" t="s">
        <v>22930</v>
      </c>
      <c r="K6935" t="s">
        <v>21</v>
      </c>
      <c r="L6935" t="s">
        <v>33</v>
      </c>
      <c r="M6935" t="s">
        <v>16212</v>
      </c>
      <c r="N6935" t="s">
        <v>23063</v>
      </c>
      <c r="O6935" t="s">
        <v>23064</v>
      </c>
      <c r="P6935" s="2" t="s">
        <v>37</v>
      </c>
      <c r="Q6935" t="s">
        <v>1208</v>
      </c>
      <c r="R6935">
        <v>0</v>
      </c>
      <c r="S6935">
        <v>108.1</v>
      </c>
      <c r="T6935" t="s">
        <v>23065</v>
      </c>
    </row>
    <row r="6936" spans="1:20" x14ac:dyDescent="0.25">
      <c r="A6936" s="1" t="str">
        <f>HYPERLINK("https://vegkart.atlas.vegvesen.no/#/@-36418.8,6740951.2,18/hva:hva%5B0%5D%5Bfilter%5D%5B0%5D%5Boperator%5D=%21%3D&amp;hva%5B0%5D%5Bfilter%5D%5B0%5D%5Btype_id%5D=5897&amp;hva%5B0%5D%5Bfilter%5D%5B0%5D%5Bverdi%5D=&amp;hva%5B0%5D%5Bid%5D=47/når:2024-02-06", "Vegkart")</f>
        <v>Vegkart</v>
      </c>
      <c r="B6936">
        <v>1018725298</v>
      </c>
      <c r="C6936">
        <v>47</v>
      </c>
      <c r="D6936" t="s">
        <v>16854</v>
      </c>
      <c r="E6936">
        <v>5897</v>
      </c>
      <c r="F6936" t="s">
        <v>23479</v>
      </c>
      <c r="G6936">
        <v>1</v>
      </c>
      <c r="H6936" t="s">
        <v>22860</v>
      </c>
      <c r="J6936" t="s">
        <v>22930</v>
      </c>
      <c r="K6936" t="s">
        <v>21</v>
      </c>
      <c r="L6936" t="s">
        <v>33</v>
      </c>
      <c r="M6936" t="s">
        <v>16212</v>
      </c>
      <c r="N6936" t="s">
        <v>23066</v>
      </c>
      <c r="O6936" t="s">
        <v>23067</v>
      </c>
      <c r="P6936" s="2" t="s">
        <v>37</v>
      </c>
      <c r="Q6936" t="s">
        <v>1208</v>
      </c>
      <c r="R6936">
        <v>0</v>
      </c>
      <c r="S6936">
        <v>104.44</v>
      </c>
      <c r="T6936" t="s">
        <v>23068</v>
      </c>
    </row>
    <row r="6937" spans="1:20" x14ac:dyDescent="0.25">
      <c r="A6937" s="1" t="str">
        <f>HYPERLINK("https://vegkart.atlas.vegvesen.no/#/@-36347.7,6741607.8,18/hva:hva%5B0%5D%5Bfilter%5D%5B0%5D%5Boperator%5D=%21%3D&amp;hva%5B0%5D%5Bfilter%5D%5B0%5D%5Btype_id%5D=5897&amp;hva%5B0%5D%5Bfilter%5D%5B0%5D%5Bverdi%5D=&amp;hva%5B0%5D%5Bid%5D=47/når:2024-02-06", "Vegkart")</f>
        <v>Vegkart</v>
      </c>
      <c r="B6937">
        <v>1018725299</v>
      </c>
      <c r="C6937">
        <v>47</v>
      </c>
      <c r="D6937" t="s">
        <v>16854</v>
      </c>
      <c r="E6937">
        <v>5897</v>
      </c>
      <c r="F6937" t="s">
        <v>23479</v>
      </c>
      <c r="G6937">
        <v>1</v>
      </c>
      <c r="H6937" t="s">
        <v>22860</v>
      </c>
      <c r="J6937" t="s">
        <v>22930</v>
      </c>
      <c r="K6937" t="s">
        <v>21</v>
      </c>
      <c r="L6937" t="s">
        <v>33</v>
      </c>
      <c r="M6937" t="s">
        <v>16212</v>
      </c>
      <c r="N6937" t="s">
        <v>23069</v>
      </c>
      <c r="O6937" t="s">
        <v>23070</v>
      </c>
      <c r="P6937" s="2" t="s">
        <v>37</v>
      </c>
      <c r="Q6937" t="s">
        <v>1208</v>
      </c>
      <c r="R6937">
        <v>0</v>
      </c>
      <c r="S6937">
        <v>114.06</v>
      </c>
      <c r="T6937" t="s">
        <v>23071</v>
      </c>
    </row>
    <row r="6938" spans="1:20" x14ac:dyDescent="0.25">
      <c r="A6938" s="1" t="str">
        <f>HYPERLINK("https://vegkart.atlas.vegvesen.no/#/@-36178.2,6742255.0,18/hva:hva%5B0%5D%5Bfilter%5D%5B0%5D%5Boperator%5D=%21%3D&amp;hva%5B0%5D%5Bfilter%5D%5B0%5D%5Btype_id%5D=5897&amp;hva%5B0%5D%5Bfilter%5D%5B0%5D%5Bverdi%5D=&amp;hva%5B0%5D%5Bid%5D=47/når:2024-02-06", "Vegkart")</f>
        <v>Vegkart</v>
      </c>
      <c r="B6938">
        <v>1018725300</v>
      </c>
      <c r="C6938">
        <v>47</v>
      </c>
      <c r="D6938" t="s">
        <v>16854</v>
      </c>
      <c r="E6938">
        <v>5897</v>
      </c>
      <c r="F6938" t="s">
        <v>23479</v>
      </c>
      <c r="G6938">
        <v>1</v>
      </c>
      <c r="H6938" t="s">
        <v>22860</v>
      </c>
      <c r="J6938" t="s">
        <v>22930</v>
      </c>
      <c r="K6938" t="s">
        <v>21</v>
      </c>
      <c r="L6938" t="s">
        <v>33</v>
      </c>
      <c r="M6938" t="s">
        <v>16212</v>
      </c>
      <c r="N6938" t="s">
        <v>23072</v>
      </c>
      <c r="O6938" t="s">
        <v>23073</v>
      </c>
      <c r="P6938" s="2" t="s">
        <v>37</v>
      </c>
      <c r="Q6938" t="s">
        <v>1208</v>
      </c>
      <c r="R6938">
        <v>0</v>
      </c>
      <c r="S6938">
        <v>105.12</v>
      </c>
      <c r="T6938" t="s">
        <v>23074</v>
      </c>
    </row>
    <row r="6939" spans="1:20" x14ac:dyDescent="0.25">
      <c r="A6939" s="1" t="str">
        <f>HYPERLINK("https://vegkart.atlas.vegvesen.no/#/@-36421.2,6740691.7,18/hva:hva%5B0%5D%5Bfilter%5D%5B0%5D%5Boperator%5D=%21%3D&amp;hva%5B0%5D%5Bfilter%5D%5B0%5D%5Btype_id%5D=5897&amp;hva%5B0%5D%5Bfilter%5D%5B0%5D%5Bverdi%5D=&amp;hva%5B0%5D%5Bid%5D=47/når:2024-02-06", "Vegkart")</f>
        <v>Vegkart</v>
      </c>
      <c r="B6939">
        <v>1018725301</v>
      </c>
      <c r="C6939">
        <v>47</v>
      </c>
      <c r="D6939" t="s">
        <v>16854</v>
      </c>
      <c r="E6939">
        <v>5897</v>
      </c>
      <c r="F6939" t="s">
        <v>23479</v>
      </c>
      <c r="G6939">
        <v>1</v>
      </c>
      <c r="H6939" t="s">
        <v>22860</v>
      </c>
      <c r="J6939" t="s">
        <v>22930</v>
      </c>
      <c r="K6939" t="s">
        <v>21</v>
      </c>
      <c r="L6939" t="s">
        <v>33</v>
      </c>
      <c r="M6939" t="s">
        <v>16212</v>
      </c>
      <c r="N6939" t="s">
        <v>23075</v>
      </c>
      <c r="O6939" t="s">
        <v>23076</v>
      </c>
      <c r="P6939" s="2" t="s">
        <v>37</v>
      </c>
      <c r="Q6939" t="s">
        <v>1208</v>
      </c>
      <c r="R6939">
        <v>0</v>
      </c>
      <c r="S6939">
        <v>110.37</v>
      </c>
      <c r="T6939" t="s">
        <v>23077</v>
      </c>
    </row>
    <row r="6940" spans="1:20" x14ac:dyDescent="0.25">
      <c r="A6940" s="1" t="str">
        <f>HYPERLINK("https://vegkart.atlas.vegvesen.no/#/@-35976.4,6742678.2,18/hva:hva%5B0%5D%5Bfilter%5D%5B0%5D%5Boperator%5D=%21%3D&amp;hva%5B0%5D%5Bfilter%5D%5B0%5D%5Btype_id%5D=5897&amp;hva%5B0%5D%5Bfilter%5D%5B0%5D%5Bverdi%5D=&amp;hva%5B0%5D%5Bid%5D=47/når:2024-02-06", "Vegkart")</f>
        <v>Vegkart</v>
      </c>
      <c r="B6940">
        <v>1018725302</v>
      </c>
      <c r="C6940">
        <v>47</v>
      </c>
      <c r="D6940" t="s">
        <v>16854</v>
      </c>
      <c r="E6940">
        <v>5897</v>
      </c>
      <c r="F6940" t="s">
        <v>23479</v>
      </c>
      <c r="G6940">
        <v>1</v>
      </c>
      <c r="H6940" t="s">
        <v>22860</v>
      </c>
      <c r="J6940" t="s">
        <v>22930</v>
      </c>
      <c r="K6940" t="s">
        <v>21</v>
      </c>
      <c r="L6940" t="s">
        <v>33</v>
      </c>
      <c r="M6940" t="s">
        <v>16212</v>
      </c>
      <c r="N6940" t="s">
        <v>23078</v>
      </c>
      <c r="O6940" t="s">
        <v>23079</v>
      </c>
      <c r="P6940" s="2" t="s">
        <v>37</v>
      </c>
      <c r="Q6940" t="s">
        <v>1208</v>
      </c>
      <c r="R6940">
        <v>0</v>
      </c>
      <c r="S6940">
        <v>109.19</v>
      </c>
      <c r="T6940" t="s">
        <v>23080</v>
      </c>
    </row>
    <row r="6941" spans="1:20" x14ac:dyDescent="0.25">
      <c r="A6941" s="1" t="str">
        <f>HYPERLINK("https://vegkart.atlas.vegvesen.no/#/@-36308.2,6743488.9,18/hva:hva%5B0%5D%5Bfilter%5D%5B0%5D%5Boperator%5D=%21%3D&amp;hva%5B0%5D%5Bfilter%5D%5B0%5D%5Btype_id%5D=5897&amp;hva%5B0%5D%5Bfilter%5D%5B0%5D%5Bverdi%5D=&amp;hva%5B0%5D%5Bid%5D=47/når:2024-02-06", "Vegkart")</f>
        <v>Vegkart</v>
      </c>
      <c r="B6941">
        <v>1018725303</v>
      </c>
      <c r="C6941">
        <v>47</v>
      </c>
      <c r="D6941" t="s">
        <v>16854</v>
      </c>
      <c r="E6941">
        <v>5897</v>
      </c>
      <c r="F6941" t="s">
        <v>23479</v>
      </c>
      <c r="G6941">
        <v>1</v>
      </c>
      <c r="H6941" t="s">
        <v>22860</v>
      </c>
      <c r="J6941" t="s">
        <v>22930</v>
      </c>
      <c r="K6941" t="s">
        <v>21</v>
      </c>
      <c r="L6941" t="s">
        <v>33</v>
      </c>
      <c r="M6941" t="s">
        <v>16212</v>
      </c>
      <c r="N6941" t="s">
        <v>23081</v>
      </c>
      <c r="O6941" t="s">
        <v>23082</v>
      </c>
      <c r="P6941" s="2" t="s">
        <v>37</v>
      </c>
      <c r="Q6941" t="s">
        <v>1208</v>
      </c>
      <c r="R6941">
        <v>0</v>
      </c>
      <c r="S6941">
        <v>106.59</v>
      </c>
      <c r="T6941" t="s">
        <v>23083</v>
      </c>
    </row>
    <row r="6942" spans="1:20" x14ac:dyDescent="0.25">
      <c r="A6942" s="1" t="str">
        <f>HYPERLINK("https://vegkart.atlas.vegvesen.no/#/@-36109.8,6743000.9,18/hva:hva%5B0%5D%5Bfilter%5D%5B0%5D%5Boperator%5D=%21%3D&amp;hva%5B0%5D%5Bfilter%5D%5B0%5D%5Btype_id%5D=5897&amp;hva%5B0%5D%5Bfilter%5D%5B0%5D%5Bverdi%5D=&amp;hva%5B0%5D%5Bid%5D=47/når:2024-02-06", "Vegkart")</f>
        <v>Vegkart</v>
      </c>
      <c r="B6942">
        <v>1018725304</v>
      </c>
      <c r="C6942">
        <v>47</v>
      </c>
      <c r="D6942" t="s">
        <v>16854</v>
      </c>
      <c r="E6942">
        <v>5897</v>
      </c>
      <c r="F6942" t="s">
        <v>23479</v>
      </c>
      <c r="G6942">
        <v>1</v>
      </c>
      <c r="H6942" t="s">
        <v>22860</v>
      </c>
      <c r="J6942" t="s">
        <v>22930</v>
      </c>
      <c r="K6942" t="s">
        <v>21</v>
      </c>
      <c r="L6942" t="s">
        <v>33</v>
      </c>
      <c r="M6942" t="s">
        <v>16212</v>
      </c>
      <c r="N6942" t="s">
        <v>23084</v>
      </c>
      <c r="O6942" t="s">
        <v>23085</v>
      </c>
      <c r="P6942" s="2" t="s">
        <v>37</v>
      </c>
      <c r="Q6942" t="s">
        <v>1208</v>
      </c>
      <c r="R6942">
        <v>0</v>
      </c>
      <c r="S6942">
        <v>101.2</v>
      </c>
      <c r="T6942" t="s">
        <v>23086</v>
      </c>
    </row>
    <row r="6943" spans="1:20" x14ac:dyDescent="0.25">
      <c r="A6943" s="1" t="str">
        <f>HYPERLINK("https://vegkart.atlas.vegvesen.no/#/@-36244.7,6743396.2,18/hva:hva%5B0%5D%5Bfilter%5D%5B0%5D%5Boperator%5D=%21%3D&amp;hva%5B0%5D%5Bfilter%5D%5B0%5D%5Btype_id%5D=5897&amp;hva%5B0%5D%5Bfilter%5D%5B0%5D%5Bverdi%5D=&amp;hva%5B0%5D%5Bid%5D=47/når:2024-02-06", "Vegkart")</f>
        <v>Vegkart</v>
      </c>
      <c r="B6943">
        <v>1018725305</v>
      </c>
      <c r="C6943">
        <v>47</v>
      </c>
      <c r="D6943" t="s">
        <v>16854</v>
      </c>
      <c r="E6943">
        <v>5897</v>
      </c>
      <c r="F6943" t="s">
        <v>23479</v>
      </c>
      <c r="G6943">
        <v>1</v>
      </c>
      <c r="H6943" t="s">
        <v>22860</v>
      </c>
      <c r="J6943" t="s">
        <v>22930</v>
      </c>
      <c r="K6943" t="s">
        <v>21</v>
      </c>
      <c r="L6943" t="s">
        <v>33</v>
      </c>
      <c r="M6943" t="s">
        <v>16212</v>
      </c>
      <c r="N6943" t="s">
        <v>23087</v>
      </c>
      <c r="O6943" t="s">
        <v>23088</v>
      </c>
      <c r="P6943" s="2" t="s">
        <v>37</v>
      </c>
      <c r="Q6943" t="s">
        <v>1208</v>
      </c>
      <c r="R6943">
        <v>0</v>
      </c>
      <c r="S6943">
        <v>124.42</v>
      </c>
      <c r="T6943" t="s">
        <v>23089</v>
      </c>
    </row>
    <row r="6944" spans="1:20" x14ac:dyDescent="0.25">
      <c r="A6944" s="1" t="str">
        <f>HYPERLINK("https://vegkart.atlas.vegvesen.no/#/@82228.3,6516501.9,18/hva:hva%5B0%5D%5Bfilter%5D%5B0%5D%5Boperator%5D=%21%3D&amp;hva%5B0%5D%5Bfilter%5D%5B0%5D%5Btype_id%5D=5897&amp;hva%5B0%5D%5Bfilter%5D%5B0%5D%5Bverdi%5D=&amp;hva%5B0%5D%5Bid%5D=47/når:2024-02-08", "Vegkart")</f>
        <v>Vegkart</v>
      </c>
      <c r="B6944">
        <v>1018735671</v>
      </c>
      <c r="C6944">
        <v>47</v>
      </c>
      <c r="D6944" t="s">
        <v>16854</v>
      </c>
      <c r="E6944">
        <v>5897</v>
      </c>
      <c r="F6944" t="s">
        <v>23479</v>
      </c>
      <c r="G6944">
        <v>1</v>
      </c>
      <c r="H6944" t="s">
        <v>23090</v>
      </c>
      <c r="J6944" t="s">
        <v>22930</v>
      </c>
      <c r="K6944" t="s">
        <v>86</v>
      </c>
      <c r="L6944" t="s">
        <v>113</v>
      </c>
      <c r="M6944" t="s">
        <v>667</v>
      </c>
      <c r="N6944" t="s">
        <v>23091</v>
      </c>
      <c r="O6944" t="s">
        <v>23092</v>
      </c>
      <c r="P6944" s="2" t="s">
        <v>26</v>
      </c>
      <c r="Q6944" t="s">
        <v>50</v>
      </c>
      <c r="R6944">
        <v>51.39</v>
      </c>
      <c r="S6944">
        <v>51.4</v>
      </c>
      <c r="T6944" t="s">
        <v>23093</v>
      </c>
    </row>
    <row r="6945" spans="1:20" x14ac:dyDescent="0.25">
      <c r="A6945" s="1" t="str">
        <f>HYPERLINK("https://vegkart.atlas.vegvesen.no/#/@82147.3,6516428.9,18/hva:hva%5B0%5D%5Bfilter%5D%5B0%5D%5Boperator%5D=%21%3D&amp;hva%5B0%5D%5Bfilter%5D%5B0%5D%5Btype_id%5D=5897&amp;hva%5B0%5D%5Bfilter%5D%5B0%5D%5Bverdi%5D=&amp;hva%5B0%5D%5Bid%5D=47/når:2024-02-08", "Vegkart")</f>
        <v>Vegkart</v>
      </c>
      <c r="B6945">
        <v>1018735748</v>
      </c>
      <c r="C6945">
        <v>47</v>
      </c>
      <c r="D6945" t="s">
        <v>16854</v>
      </c>
      <c r="E6945">
        <v>5897</v>
      </c>
      <c r="F6945" t="s">
        <v>23479</v>
      </c>
      <c r="G6945">
        <v>1</v>
      </c>
      <c r="H6945" t="s">
        <v>23090</v>
      </c>
      <c r="J6945" t="s">
        <v>22930</v>
      </c>
      <c r="K6945" t="s">
        <v>86</v>
      </c>
      <c r="L6945" t="s">
        <v>113</v>
      </c>
      <c r="M6945" t="s">
        <v>667</v>
      </c>
      <c r="N6945" t="s">
        <v>23094</v>
      </c>
      <c r="O6945" t="s">
        <v>23095</v>
      </c>
      <c r="P6945" s="2" t="s">
        <v>26</v>
      </c>
      <c r="Q6945" t="s">
        <v>50</v>
      </c>
      <c r="R6945">
        <v>31.17</v>
      </c>
      <c r="S6945">
        <v>31.17</v>
      </c>
      <c r="T6945" t="s">
        <v>23096</v>
      </c>
    </row>
    <row r="6946" spans="1:20" x14ac:dyDescent="0.25">
      <c r="A6946" s="1" t="str">
        <f>HYPERLINK("https://vegkart.atlas.vegvesen.no/#/@54104.4,6850611.0,18/hva:hva%5B0%5D%5Bfilter%5D%5B0%5D%5Boperator%5D=%21%3D&amp;hva%5B0%5D%5Bfilter%5D%5B0%5D%5Btype_id%5D=5897&amp;hva%5B0%5D%5Bfilter%5D%5B0%5D%5Bverdi%5D=&amp;hva%5B0%5D%5Bid%5D=47/når:2024-02-15", "Vegkart")</f>
        <v>Vegkart</v>
      </c>
      <c r="B6946">
        <v>1018751936</v>
      </c>
      <c r="C6946">
        <v>47</v>
      </c>
      <c r="D6946" t="s">
        <v>16854</v>
      </c>
      <c r="E6946">
        <v>5897</v>
      </c>
      <c r="F6946" t="s">
        <v>23479</v>
      </c>
      <c r="G6946">
        <v>1</v>
      </c>
      <c r="H6946" t="s">
        <v>516</v>
      </c>
      <c r="J6946" t="s">
        <v>22930</v>
      </c>
      <c r="K6946" t="s">
        <v>21</v>
      </c>
      <c r="L6946" t="s">
        <v>113</v>
      </c>
      <c r="M6946" t="s">
        <v>507</v>
      </c>
      <c r="N6946" t="s">
        <v>23097</v>
      </c>
      <c r="O6946" t="s">
        <v>23098</v>
      </c>
      <c r="P6946" s="2" t="s">
        <v>26</v>
      </c>
      <c r="Q6946" t="s">
        <v>50</v>
      </c>
      <c r="R6946">
        <v>20.100000000000001</v>
      </c>
      <c r="S6946">
        <v>20.100000000000001</v>
      </c>
      <c r="T6946" t="s">
        <v>23099</v>
      </c>
    </row>
    <row r="6947" spans="1:20" x14ac:dyDescent="0.25">
      <c r="A6947" s="1" t="str">
        <f>HYPERLINK("https://vegkart.atlas.vegvesen.no/#/@54095.3,6850597.0,18/hva:hva%5B0%5D%5Bfilter%5D%5B0%5D%5Boperator%5D=%21%3D&amp;hva%5B0%5D%5Bfilter%5D%5B0%5D%5Btype_id%5D=5897&amp;hva%5B0%5D%5Bfilter%5D%5B0%5D%5Bverdi%5D=&amp;hva%5B0%5D%5Bid%5D=47/når:2024-02-15", "Vegkart")</f>
        <v>Vegkart</v>
      </c>
      <c r="B6947">
        <v>1018751937</v>
      </c>
      <c r="C6947">
        <v>47</v>
      </c>
      <c r="D6947" t="s">
        <v>16854</v>
      </c>
      <c r="E6947">
        <v>5897</v>
      </c>
      <c r="F6947" t="s">
        <v>23479</v>
      </c>
      <c r="G6947">
        <v>1</v>
      </c>
      <c r="H6947" t="s">
        <v>516</v>
      </c>
      <c r="J6947" t="s">
        <v>22930</v>
      </c>
      <c r="K6947" t="s">
        <v>21</v>
      </c>
      <c r="L6947" t="s">
        <v>113</v>
      </c>
      <c r="M6947" t="s">
        <v>507</v>
      </c>
      <c r="N6947" t="s">
        <v>23100</v>
      </c>
      <c r="O6947" t="s">
        <v>23101</v>
      </c>
      <c r="P6947" s="2" t="s">
        <v>26</v>
      </c>
      <c r="Q6947" t="s">
        <v>50</v>
      </c>
      <c r="R6947">
        <v>22.92</v>
      </c>
      <c r="S6947">
        <v>22.92</v>
      </c>
      <c r="T6947" t="s">
        <v>23102</v>
      </c>
    </row>
    <row r="6948" spans="1:20" x14ac:dyDescent="0.25">
      <c r="A6948" s="1" t="str">
        <f>HYPERLINK("https://vegkart.atlas.vegvesen.no/#/@75871.9,6949161.9,18/hva:hva%5B0%5D%5Bfilter%5D%5B0%5D%5Boperator%5D=%21%3D&amp;hva%5B0%5D%5Bfilter%5D%5B0%5D%5Btype_id%5D=5897&amp;hva%5B0%5D%5Bfilter%5D%5B0%5D%5Bverdi%5D=&amp;hva%5B0%5D%5Bid%5D=47/når:2024-02-21", "Vegkart")</f>
        <v>Vegkart</v>
      </c>
      <c r="B6948">
        <v>1018870296</v>
      </c>
      <c r="C6948">
        <v>47</v>
      </c>
      <c r="D6948" t="s">
        <v>16854</v>
      </c>
      <c r="E6948">
        <v>5897</v>
      </c>
      <c r="F6948" t="s">
        <v>23479</v>
      </c>
      <c r="G6948">
        <v>1</v>
      </c>
      <c r="H6948" t="s">
        <v>1743</v>
      </c>
      <c r="J6948" t="s">
        <v>23103</v>
      </c>
      <c r="K6948" t="s">
        <v>32</v>
      </c>
      <c r="L6948" t="s">
        <v>33</v>
      </c>
      <c r="M6948" t="s">
        <v>23104</v>
      </c>
      <c r="N6948" t="s">
        <v>23105</v>
      </c>
      <c r="O6948" t="s">
        <v>23106</v>
      </c>
      <c r="P6948" s="2" t="s">
        <v>26</v>
      </c>
      <c r="Q6948" t="s">
        <v>50</v>
      </c>
      <c r="R6948">
        <v>5.84</v>
      </c>
      <c r="S6948">
        <v>5.84</v>
      </c>
      <c r="T6948" t="s">
        <v>23107</v>
      </c>
    </row>
    <row r="6949" spans="1:20" x14ac:dyDescent="0.25">
      <c r="A6949" s="1" t="str">
        <f>HYPERLINK("https://vegkart.atlas.vegvesen.no/#/@-34665.8,6729909.8,18/hva:hva%5B0%5D%5Bfilter%5D%5B0%5D%5Boperator%5D=%21%3D&amp;hva%5B0%5D%5Bfilter%5D%5B0%5D%5Btype_id%5D=5897&amp;hva%5B0%5D%5Bfilter%5D%5B0%5D%5Bverdi%5D=&amp;hva%5B0%5D%5Bid%5D=47/når:2024-04-03", "Vegkart")</f>
        <v>Vegkart</v>
      </c>
      <c r="B6949">
        <v>1019034769</v>
      </c>
      <c r="C6949">
        <v>47</v>
      </c>
      <c r="D6949" t="s">
        <v>16854</v>
      </c>
      <c r="E6949">
        <v>5897</v>
      </c>
      <c r="F6949" t="s">
        <v>23479</v>
      </c>
      <c r="G6949">
        <v>1</v>
      </c>
      <c r="H6949" t="s">
        <v>904</v>
      </c>
      <c r="J6949" t="s">
        <v>23103</v>
      </c>
      <c r="K6949" t="s">
        <v>21</v>
      </c>
      <c r="L6949" t="s">
        <v>33</v>
      </c>
      <c r="M6949" t="s">
        <v>558</v>
      </c>
      <c r="N6949" t="s">
        <v>23108</v>
      </c>
      <c r="O6949" t="s">
        <v>23109</v>
      </c>
      <c r="P6949" s="2" t="s">
        <v>37</v>
      </c>
      <c r="Q6949" t="s">
        <v>1208</v>
      </c>
      <c r="R6949">
        <v>0</v>
      </c>
      <c r="S6949">
        <v>54.39</v>
      </c>
      <c r="T6949" t="s">
        <v>23110</v>
      </c>
    </row>
    <row r="6950" spans="1:20" x14ac:dyDescent="0.25">
      <c r="A6950" s="1" t="str">
        <f>HYPERLINK("https://vegkart.atlas.vegvesen.no/#/@-8186.4,6554881.2,18/hva:hva%5B0%5D%5Bfilter%5D%5B0%5D%5Boperator%5D=%21%3D&amp;hva%5B0%5D%5Bfilter%5D%5B0%5D%5Btype_id%5D=5897&amp;hva%5B0%5D%5Bfilter%5D%5B0%5D%5Bverdi%5D=&amp;hva%5B0%5D%5Bid%5D=47/når:2024-04-25", "Vegkart")</f>
        <v>Vegkart</v>
      </c>
      <c r="B6950">
        <v>1019084926</v>
      </c>
      <c r="C6950">
        <v>47</v>
      </c>
      <c r="D6950" t="s">
        <v>16854</v>
      </c>
      <c r="E6950">
        <v>5897</v>
      </c>
      <c r="F6950" t="s">
        <v>23479</v>
      </c>
      <c r="G6950">
        <v>1</v>
      </c>
      <c r="H6950" t="s">
        <v>23111</v>
      </c>
      <c r="J6950" t="s">
        <v>23103</v>
      </c>
      <c r="K6950" t="s">
        <v>170</v>
      </c>
      <c r="L6950" t="s">
        <v>33</v>
      </c>
      <c r="M6950" t="s">
        <v>212</v>
      </c>
      <c r="N6950" t="s">
        <v>23112</v>
      </c>
      <c r="O6950" t="s">
        <v>23113</v>
      </c>
      <c r="P6950" s="2" t="s">
        <v>26</v>
      </c>
      <c r="Q6950" t="s">
        <v>50</v>
      </c>
      <c r="R6950">
        <v>46.28</v>
      </c>
      <c r="S6950">
        <v>46.28</v>
      </c>
      <c r="T6950" t="s">
        <v>23114</v>
      </c>
    </row>
    <row r="6951" spans="1:20" x14ac:dyDescent="0.25">
      <c r="A6951" s="1" t="str">
        <f>HYPERLINK("https://vegkart.atlas.vegvesen.no/#/@-8158.5,6554863.4,18/hva:hva%5B0%5D%5Bfilter%5D%5B0%5D%5Boperator%5D=%21%3D&amp;hva%5B0%5D%5Bfilter%5D%5B0%5D%5Btype_id%5D=5897&amp;hva%5B0%5D%5Bfilter%5D%5B0%5D%5Bverdi%5D=&amp;hva%5B0%5D%5Bid%5D=47/når:2024-04-25", "Vegkart")</f>
        <v>Vegkart</v>
      </c>
      <c r="B6951">
        <v>1019084927</v>
      </c>
      <c r="C6951">
        <v>47</v>
      </c>
      <c r="D6951" t="s">
        <v>16854</v>
      </c>
      <c r="E6951">
        <v>5897</v>
      </c>
      <c r="F6951" t="s">
        <v>23479</v>
      </c>
      <c r="G6951">
        <v>1</v>
      </c>
      <c r="H6951" t="s">
        <v>23111</v>
      </c>
      <c r="J6951" t="s">
        <v>23103</v>
      </c>
      <c r="K6951" t="s">
        <v>170</v>
      </c>
      <c r="L6951" t="s">
        <v>33</v>
      </c>
      <c r="M6951" t="s">
        <v>212</v>
      </c>
      <c r="N6951" t="s">
        <v>23115</v>
      </c>
      <c r="O6951" t="s">
        <v>23116</v>
      </c>
      <c r="P6951" s="2" t="s">
        <v>26</v>
      </c>
      <c r="Q6951" t="s">
        <v>50</v>
      </c>
      <c r="R6951">
        <v>48.76</v>
      </c>
      <c r="S6951">
        <v>48.76</v>
      </c>
      <c r="T6951" t="s">
        <v>23117</v>
      </c>
    </row>
    <row r="6952" spans="1:20" x14ac:dyDescent="0.25">
      <c r="A6952" s="1" t="str">
        <f>HYPERLINK("https://vegkart.atlas.vegvesen.no/#/@50716.8,6661663.4,18/hva:hva%5B0%5D%5Bfilter%5D%5B0%5D%5Boperator%5D=%21%3D&amp;hva%5B0%5D%5Bfilter%5D%5B0%5D%5Btype_id%5D=5897&amp;hva%5B0%5D%5Bfilter%5D%5B0%5D%5Bverdi%5D=&amp;hva%5B0%5D%5Bid%5D=47/når:2024-04-30", "Vegkart")</f>
        <v>Vegkart</v>
      </c>
      <c r="B6952">
        <v>1019093157</v>
      </c>
      <c r="C6952">
        <v>47</v>
      </c>
      <c r="D6952" t="s">
        <v>16854</v>
      </c>
      <c r="E6952">
        <v>5897</v>
      </c>
      <c r="F6952" t="s">
        <v>23479</v>
      </c>
      <c r="G6952">
        <v>1</v>
      </c>
      <c r="H6952" t="s">
        <v>1191</v>
      </c>
      <c r="J6952" t="s">
        <v>23103</v>
      </c>
      <c r="K6952" t="s">
        <v>21</v>
      </c>
      <c r="L6952" t="s">
        <v>80</v>
      </c>
      <c r="M6952" t="s">
        <v>645</v>
      </c>
      <c r="N6952" t="s">
        <v>23118</v>
      </c>
      <c r="O6952" t="s">
        <v>23119</v>
      </c>
      <c r="P6952" s="2" t="s">
        <v>26</v>
      </c>
      <c r="Q6952" t="s">
        <v>50</v>
      </c>
      <c r="R6952">
        <v>65.12</v>
      </c>
      <c r="S6952">
        <v>65.790000000000006</v>
      </c>
      <c r="T6952" t="s">
        <v>23120</v>
      </c>
    </row>
    <row r="6953" spans="1:20" x14ac:dyDescent="0.25">
      <c r="A6953" s="1" t="str">
        <f>HYPERLINK("https://vegkart.atlas.vegvesen.no/#/@7801.5,6837211.1,18/hva:hva%5B0%5D%5Bfilter%5D%5B0%5D%5Boperator%5D=%21%3D&amp;hva%5B0%5D%5Bfilter%5D%5B0%5D%5Btype_id%5D=5897&amp;hva%5B0%5D%5Bfilter%5D%5B0%5D%5Bverdi%5D=&amp;hva%5B0%5D%5Bid%5D=47/når:2024-06-12", "Vegkart")</f>
        <v>Vegkart</v>
      </c>
      <c r="B6953">
        <v>1019245557</v>
      </c>
      <c r="C6953">
        <v>47</v>
      </c>
      <c r="D6953" t="s">
        <v>16854</v>
      </c>
      <c r="E6953">
        <v>5897</v>
      </c>
      <c r="F6953" t="s">
        <v>23479</v>
      </c>
      <c r="G6953">
        <v>1</v>
      </c>
      <c r="H6953" t="s">
        <v>385</v>
      </c>
      <c r="J6953" t="s">
        <v>23103</v>
      </c>
      <c r="K6953" t="s">
        <v>21</v>
      </c>
      <c r="L6953" t="s">
        <v>80</v>
      </c>
      <c r="M6953" t="s">
        <v>81</v>
      </c>
      <c r="N6953" t="s">
        <v>23121</v>
      </c>
      <c r="O6953" t="s">
        <v>23122</v>
      </c>
      <c r="P6953" s="2" t="s">
        <v>37</v>
      </c>
      <c r="Q6953" t="s">
        <v>1208</v>
      </c>
      <c r="R6953">
        <v>0</v>
      </c>
      <c r="S6953">
        <v>200.15</v>
      </c>
      <c r="T6953" t="s">
        <v>23123</v>
      </c>
    </row>
    <row r="6954" spans="1:20" x14ac:dyDescent="0.25">
      <c r="A6954" s="1" t="str">
        <f>HYPERLINK("https://vegkart.atlas.vegvesen.no/#/@7985.9,6837331.4,18/hva:hva%5B0%5D%5Bfilter%5D%5B0%5D%5Boperator%5D=%21%3D&amp;hva%5B0%5D%5Bfilter%5D%5B0%5D%5Btype_id%5D=5897&amp;hva%5B0%5D%5Bfilter%5D%5B0%5D%5Bverdi%5D=&amp;hva%5B0%5D%5Bid%5D=47/når:2024-06-12", "Vegkart")</f>
        <v>Vegkart</v>
      </c>
      <c r="B6954">
        <v>1019245558</v>
      </c>
      <c r="C6954">
        <v>47</v>
      </c>
      <c r="D6954" t="s">
        <v>16854</v>
      </c>
      <c r="E6954">
        <v>5897</v>
      </c>
      <c r="F6954" t="s">
        <v>23479</v>
      </c>
      <c r="G6954">
        <v>1</v>
      </c>
      <c r="H6954" t="s">
        <v>385</v>
      </c>
      <c r="J6954" t="s">
        <v>23103</v>
      </c>
      <c r="K6954" t="s">
        <v>21</v>
      </c>
      <c r="L6954" t="s">
        <v>80</v>
      </c>
      <c r="M6954" t="s">
        <v>81</v>
      </c>
      <c r="N6954" t="s">
        <v>23124</v>
      </c>
      <c r="O6954" t="s">
        <v>23125</v>
      </c>
      <c r="P6954" s="2" t="s">
        <v>37</v>
      </c>
      <c r="Q6954" t="s">
        <v>1208</v>
      </c>
      <c r="R6954">
        <v>0</v>
      </c>
      <c r="S6954">
        <v>200.14</v>
      </c>
      <c r="T6954" t="s">
        <v>23126</v>
      </c>
    </row>
    <row r="6955" spans="1:20" x14ac:dyDescent="0.25">
      <c r="A6955" s="1" t="str">
        <f>HYPERLINK("https://vegkart.atlas.vegvesen.no/#/@8150.5,6837475.1,18/hva:hva%5B0%5D%5Bfilter%5D%5B0%5D%5Boperator%5D=%21%3D&amp;hva%5B0%5D%5Bfilter%5D%5B0%5D%5Btype_id%5D=5897&amp;hva%5B0%5D%5Bfilter%5D%5B0%5D%5Bverdi%5D=&amp;hva%5B0%5D%5Bid%5D=47/når:2024-06-12", "Vegkart")</f>
        <v>Vegkart</v>
      </c>
      <c r="B6955">
        <v>1019245559</v>
      </c>
      <c r="C6955">
        <v>47</v>
      </c>
      <c r="D6955" t="s">
        <v>16854</v>
      </c>
      <c r="E6955">
        <v>5897</v>
      </c>
      <c r="F6955" t="s">
        <v>23479</v>
      </c>
      <c r="G6955">
        <v>1</v>
      </c>
      <c r="H6955" t="s">
        <v>385</v>
      </c>
      <c r="J6955" t="s">
        <v>23103</v>
      </c>
      <c r="K6955" t="s">
        <v>21</v>
      </c>
      <c r="L6955" t="s">
        <v>80</v>
      </c>
      <c r="M6955" t="s">
        <v>81</v>
      </c>
      <c r="N6955" t="s">
        <v>23127</v>
      </c>
      <c r="O6955" t="s">
        <v>23128</v>
      </c>
      <c r="P6955" s="2" t="s">
        <v>165</v>
      </c>
      <c r="Q6955" t="s">
        <v>641</v>
      </c>
      <c r="R6955">
        <v>0</v>
      </c>
      <c r="S6955">
        <v>200.4</v>
      </c>
      <c r="T6955" t="s">
        <v>167</v>
      </c>
    </row>
    <row r="6956" spans="1:20" x14ac:dyDescent="0.25">
      <c r="A6956" s="1" t="str">
        <f>HYPERLINK("https://vegkart.atlas.vegvesen.no/#/@265653.5,7066746.8,18/hva:hva%5B0%5D%5Bfilter%5D%5B0%5D%5Boperator%5D=%21%3D&amp;hva%5B0%5D%5Bfilter%5D%5B0%5D%5Btype_id%5D=5897&amp;hva%5B0%5D%5Bfilter%5D%5B0%5D%5Bverdi%5D=&amp;hva%5B0%5D%5Bid%5D=47/når:2024-07-03", "Vegkart")</f>
        <v>Vegkart</v>
      </c>
      <c r="B6956">
        <v>1019351215</v>
      </c>
      <c r="C6956">
        <v>47</v>
      </c>
      <c r="D6956" t="s">
        <v>16854</v>
      </c>
      <c r="E6956">
        <v>5897</v>
      </c>
      <c r="F6956" t="s">
        <v>23479</v>
      </c>
      <c r="G6956">
        <v>1</v>
      </c>
      <c r="H6956" t="s">
        <v>5633</v>
      </c>
      <c r="J6956" t="s">
        <v>23129</v>
      </c>
      <c r="K6956" t="s">
        <v>192</v>
      </c>
      <c r="L6956" t="s">
        <v>33</v>
      </c>
      <c r="M6956" t="s">
        <v>5634</v>
      </c>
      <c r="N6956" t="s">
        <v>23130</v>
      </c>
      <c r="O6956" t="s">
        <v>23131</v>
      </c>
      <c r="P6956" s="2" t="s">
        <v>37</v>
      </c>
      <c r="Q6956" t="s">
        <v>1208</v>
      </c>
      <c r="R6956">
        <v>18.93</v>
      </c>
      <c r="S6956">
        <v>75.38</v>
      </c>
      <c r="T6956" t="s">
        <v>23132</v>
      </c>
    </row>
    <row r="6957" spans="1:20" x14ac:dyDescent="0.25">
      <c r="A6957" s="1" t="str">
        <f>HYPERLINK("https://vegkart.atlas.vegvesen.no/#/@-44294.5,6598907.8,18/hva:hva%5B0%5D%5Bfilter%5D%5B0%5D%5Boperator%5D=%21%3D&amp;hva%5B0%5D%5Bfilter%5D%5B0%5D%5Btype_id%5D=5897&amp;hva%5B0%5D%5Bfilter%5D%5B0%5D%5Bverdi%5D=&amp;hva%5B0%5D%5Bid%5D=47/når:2024-08-07", "Vegkart")</f>
        <v>Vegkart</v>
      </c>
      <c r="B6957">
        <v>1019572653</v>
      </c>
      <c r="C6957">
        <v>47</v>
      </c>
      <c r="D6957" t="s">
        <v>16854</v>
      </c>
      <c r="E6957">
        <v>5897</v>
      </c>
      <c r="F6957" t="s">
        <v>23479</v>
      </c>
      <c r="G6957">
        <v>1</v>
      </c>
      <c r="H6957" t="s">
        <v>23133</v>
      </c>
      <c r="J6957" t="s">
        <v>23129</v>
      </c>
      <c r="K6957" t="s">
        <v>170</v>
      </c>
      <c r="L6957" t="s">
        <v>80</v>
      </c>
      <c r="M6957" t="s">
        <v>81</v>
      </c>
      <c r="N6957" t="s">
        <v>23134</v>
      </c>
      <c r="O6957" t="s">
        <v>23135</v>
      </c>
      <c r="P6957" s="2" t="s">
        <v>26</v>
      </c>
      <c r="Q6957" t="s">
        <v>50</v>
      </c>
      <c r="R6957">
        <v>16.059999999999999</v>
      </c>
      <c r="S6957">
        <v>16.63</v>
      </c>
      <c r="T6957" t="s">
        <v>23136</v>
      </c>
    </row>
    <row r="6958" spans="1:20" x14ac:dyDescent="0.25">
      <c r="A6958" s="1" t="str">
        <f>HYPERLINK("https://vegkart.atlas.vegvesen.no/#/@-44281.9,6598932.7,18/hva:hva%5B0%5D%5Bfilter%5D%5B0%5D%5Boperator%5D=%21%3D&amp;hva%5B0%5D%5Bfilter%5D%5B0%5D%5Btype_id%5D=5897&amp;hva%5B0%5D%5Bfilter%5D%5B0%5D%5Bverdi%5D=&amp;hva%5B0%5D%5Bid%5D=47/når:2024-08-07", "Vegkart")</f>
        <v>Vegkart</v>
      </c>
      <c r="B6958">
        <v>1019572654</v>
      </c>
      <c r="C6958">
        <v>47</v>
      </c>
      <c r="D6958" t="s">
        <v>16854</v>
      </c>
      <c r="E6958">
        <v>5897</v>
      </c>
      <c r="F6958" t="s">
        <v>23479</v>
      </c>
      <c r="G6958">
        <v>1</v>
      </c>
      <c r="H6958" t="s">
        <v>23133</v>
      </c>
      <c r="J6958" t="s">
        <v>23129</v>
      </c>
      <c r="K6958" t="s">
        <v>170</v>
      </c>
      <c r="L6958" t="s">
        <v>80</v>
      </c>
      <c r="M6958" t="s">
        <v>81</v>
      </c>
      <c r="N6958" t="s">
        <v>23137</v>
      </c>
      <c r="O6958" t="s">
        <v>23138</v>
      </c>
      <c r="P6958" s="2" t="s">
        <v>26</v>
      </c>
      <c r="Q6958" t="s">
        <v>50</v>
      </c>
      <c r="R6958">
        <v>20</v>
      </c>
      <c r="S6958">
        <v>20.97</v>
      </c>
      <c r="T6958" t="s">
        <v>23139</v>
      </c>
    </row>
    <row r="6959" spans="1:20" x14ac:dyDescent="0.25">
      <c r="A6959" s="1" t="str">
        <f>HYPERLINK("https://vegkart.atlas.vegvesen.no/#/@260903.1,6627543.1,18/hva:hva%5B0%5D%5Bfilter%5D%5B0%5D%5Boperator%5D=%21%3D&amp;hva%5B0%5D%5Bfilter%5D%5B0%5D%5Btype_id%5D=5897&amp;hva%5B0%5D%5Bfilter%5D%5B0%5D%5Bverdi%5D=&amp;hva%5B0%5D%5Bid%5D=47/når:2024-08-15", "Vegkart")</f>
        <v>Vegkart</v>
      </c>
      <c r="B6959">
        <v>1019610644</v>
      </c>
      <c r="C6959">
        <v>47</v>
      </c>
      <c r="D6959" t="s">
        <v>16854</v>
      </c>
      <c r="E6959">
        <v>5897</v>
      </c>
      <c r="F6959" t="s">
        <v>23479</v>
      </c>
      <c r="G6959">
        <v>1</v>
      </c>
      <c r="H6959" t="s">
        <v>23140</v>
      </c>
      <c r="J6959" t="s">
        <v>23129</v>
      </c>
      <c r="K6959" t="s">
        <v>132</v>
      </c>
      <c r="L6959" t="s">
        <v>80</v>
      </c>
      <c r="M6959" t="s">
        <v>105</v>
      </c>
      <c r="N6959" t="s">
        <v>23141</v>
      </c>
      <c r="O6959" t="s">
        <v>23142</v>
      </c>
      <c r="P6959" s="2" t="s">
        <v>26</v>
      </c>
      <c r="Q6959" t="s">
        <v>50</v>
      </c>
      <c r="R6959">
        <v>10.89</v>
      </c>
      <c r="S6959">
        <v>10.89</v>
      </c>
      <c r="T6959" t="s">
        <v>23143</v>
      </c>
    </row>
    <row r="6960" spans="1:20" x14ac:dyDescent="0.25">
      <c r="A6960" s="1" t="str">
        <f>HYPERLINK("https://vegkart.atlas.vegvesen.no/#/@261423.7,6628112.3,18/hva:hva%5B0%5D%5Bfilter%5D%5B0%5D%5Boperator%5D=%21%3D&amp;hva%5B0%5D%5Bfilter%5D%5B0%5D%5Btype_id%5D=5897&amp;hva%5B0%5D%5Bfilter%5D%5B0%5D%5Bverdi%5D=&amp;hva%5B0%5D%5Bid%5D=47/når:2024-08-15", "Vegkart")</f>
        <v>Vegkart</v>
      </c>
      <c r="B6960">
        <v>1019610647</v>
      </c>
      <c r="C6960">
        <v>47</v>
      </c>
      <c r="D6960" t="s">
        <v>16854</v>
      </c>
      <c r="E6960">
        <v>5897</v>
      </c>
      <c r="F6960" t="s">
        <v>23479</v>
      </c>
      <c r="G6960">
        <v>1</v>
      </c>
      <c r="H6960" t="s">
        <v>23140</v>
      </c>
      <c r="J6960" t="s">
        <v>23129</v>
      </c>
      <c r="K6960" t="s">
        <v>132</v>
      </c>
      <c r="L6960" t="s">
        <v>80</v>
      </c>
      <c r="M6960" t="s">
        <v>105</v>
      </c>
      <c r="N6960" t="s">
        <v>23144</v>
      </c>
      <c r="O6960" t="s">
        <v>23145</v>
      </c>
      <c r="P6960" s="2" t="s">
        <v>26</v>
      </c>
      <c r="Q6960" t="s">
        <v>50</v>
      </c>
      <c r="R6960">
        <v>9.6300000000000008</v>
      </c>
      <c r="S6960">
        <v>9.6300000000000008</v>
      </c>
      <c r="T6960" t="s">
        <v>23146</v>
      </c>
    </row>
    <row r="6961" spans="1:20" x14ac:dyDescent="0.25">
      <c r="A6961" s="1" t="str">
        <f>HYPERLINK("https://vegkart.atlas.vegvesen.no/#/@261561.9,6628324.4,18/hva:hva%5B0%5D%5Bfilter%5D%5B0%5D%5Boperator%5D=%21%3D&amp;hva%5B0%5D%5Bfilter%5D%5B0%5D%5Btype_id%5D=5897&amp;hva%5B0%5D%5Bfilter%5D%5B0%5D%5Bverdi%5D=&amp;hva%5B0%5D%5Bid%5D=47/når:2024-08-15", "Vegkart")</f>
        <v>Vegkart</v>
      </c>
      <c r="B6961">
        <v>1019610648</v>
      </c>
      <c r="C6961">
        <v>47</v>
      </c>
      <c r="D6961" t="s">
        <v>16854</v>
      </c>
      <c r="E6961">
        <v>5897</v>
      </c>
      <c r="F6961" t="s">
        <v>23479</v>
      </c>
      <c r="G6961">
        <v>1</v>
      </c>
      <c r="H6961" t="s">
        <v>23140</v>
      </c>
      <c r="J6961" t="s">
        <v>23129</v>
      </c>
      <c r="K6961" t="s">
        <v>132</v>
      </c>
      <c r="L6961" t="s">
        <v>80</v>
      </c>
      <c r="M6961" t="s">
        <v>105</v>
      </c>
      <c r="N6961" t="s">
        <v>23147</v>
      </c>
      <c r="O6961" t="s">
        <v>23148</v>
      </c>
      <c r="P6961" s="2" t="s">
        <v>26</v>
      </c>
      <c r="Q6961" t="s">
        <v>50</v>
      </c>
      <c r="R6961">
        <v>11</v>
      </c>
      <c r="S6961">
        <v>11</v>
      </c>
      <c r="T6961" t="s">
        <v>23149</v>
      </c>
    </row>
    <row r="6962" spans="1:20" x14ac:dyDescent="0.25">
      <c r="A6962" s="1" t="str">
        <f>HYPERLINK("https://vegkart.atlas.vegvesen.no/#/@261704.2,6628526.8,18/hva:hva%5B0%5D%5Bfilter%5D%5B0%5D%5Boperator%5D=%21%3D&amp;hva%5B0%5D%5Bfilter%5D%5B0%5D%5Btype_id%5D=5897&amp;hva%5B0%5D%5Bfilter%5D%5B0%5D%5Bverdi%5D=&amp;hva%5B0%5D%5Bid%5D=47/når:2024-08-15", "Vegkart")</f>
        <v>Vegkart</v>
      </c>
      <c r="B6962">
        <v>1019610649</v>
      </c>
      <c r="C6962">
        <v>47</v>
      </c>
      <c r="D6962" t="s">
        <v>16854</v>
      </c>
      <c r="E6962">
        <v>5897</v>
      </c>
      <c r="F6962" t="s">
        <v>23479</v>
      </c>
      <c r="G6962">
        <v>1</v>
      </c>
      <c r="H6962" t="s">
        <v>23140</v>
      </c>
      <c r="J6962" t="s">
        <v>23129</v>
      </c>
      <c r="K6962" t="s">
        <v>132</v>
      </c>
      <c r="L6962" t="s">
        <v>80</v>
      </c>
      <c r="M6962" t="s">
        <v>105</v>
      </c>
      <c r="N6962" t="s">
        <v>23150</v>
      </c>
      <c r="O6962" t="s">
        <v>23151</v>
      </c>
      <c r="P6962" s="2" t="s">
        <v>26</v>
      </c>
      <c r="Q6962" t="s">
        <v>50</v>
      </c>
      <c r="R6962">
        <v>10.1</v>
      </c>
      <c r="S6962">
        <v>10.1</v>
      </c>
      <c r="T6962" t="s">
        <v>23152</v>
      </c>
    </row>
    <row r="6963" spans="1:20" x14ac:dyDescent="0.25">
      <c r="A6963" s="1" t="str">
        <f>HYPERLINK("https://vegkart.atlas.vegvesen.no/#/@262133.8,6629145.3,18/hva:hva%5B0%5D%5Bfilter%5D%5B0%5D%5Boperator%5D=%21%3D&amp;hva%5B0%5D%5Bfilter%5D%5B0%5D%5Btype_id%5D=5897&amp;hva%5B0%5D%5Bfilter%5D%5B0%5D%5Bverdi%5D=&amp;hva%5B0%5D%5Bid%5D=47/når:2024-08-15", "Vegkart")</f>
        <v>Vegkart</v>
      </c>
      <c r="B6963">
        <v>1019610652</v>
      </c>
      <c r="C6963">
        <v>47</v>
      </c>
      <c r="D6963" t="s">
        <v>16854</v>
      </c>
      <c r="E6963">
        <v>5897</v>
      </c>
      <c r="F6963" t="s">
        <v>23479</v>
      </c>
      <c r="G6963">
        <v>1</v>
      </c>
      <c r="H6963" t="s">
        <v>23140</v>
      </c>
      <c r="J6963" t="s">
        <v>23129</v>
      </c>
      <c r="K6963" t="s">
        <v>132</v>
      </c>
      <c r="L6963" t="s">
        <v>80</v>
      </c>
      <c r="M6963" t="s">
        <v>105</v>
      </c>
      <c r="N6963" t="s">
        <v>23153</v>
      </c>
      <c r="O6963" t="s">
        <v>23154</v>
      </c>
      <c r="P6963" s="2" t="s">
        <v>26</v>
      </c>
      <c r="Q6963" t="s">
        <v>50</v>
      </c>
      <c r="R6963">
        <v>10.41</v>
      </c>
      <c r="S6963">
        <v>10.41</v>
      </c>
      <c r="T6963" t="s">
        <v>23155</v>
      </c>
    </row>
    <row r="6964" spans="1:20" x14ac:dyDescent="0.25">
      <c r="A6964" s="1" t="str">
        <f>HYPERLINK("https://vegkart.atlas.vegvesen.no/#/@262123.3,6629152.6,18/hva:hva%5B0%5D%5Bfilter%5D%5B0%5D%5Boperator%5D=%21%3D&amp;hva%5B0%5D%5Bfilter%5D%5B0%5D%5Btype_id%5D=5897&amp;hva%5B0%5D%5Bfilter%5D%5B0%5D%5Bverdi%5D=&amp;hva%5B0%5D%5Bid%5D=47/når:2024-08-15", "Vegkart")</f>
        <v>Vegkart</v>
      </c>
      <c r="B6964">
        <v>1019610720</v>
      </c>
      <c r="C6964">
        <v>47</v>
      </c>
      <c r="D6964" t="s">
        <v>16854</v>
      </c>
      <c r="E6964">
        <v>5897</v>
      </c>
      <c r="F6964" t="s">
        <v>23479</v>
      </c>
      <c r="G6964">
        <v>1</v>
      </c>
      <c r="H6964" t="s">
        <v>23140</v>
      </c>
      <c r="J6964" t="s">
        <v>23129</v>
      </c>
      <c r="K6964" t="s">
        <v>132</v>
      </c>
      <c r="L6964" t="s">
        <v>80</v>
      </c>
      <c r="M6964" t="s">
        <v>105</v>
      </c>
      <c r="N6964" t="s">
        <v>23156</v>
      </c>
      <c r="O6964" t="s">
        <v>23157</v>
      </c>
      <c r="P6964" s="2" t="s">
        <v>26</v>
      </c>
      <c r="Q6964" t="s">
        <v>50</v>
      </c>
      <c r="R6964">
        <v>10.42</v>
      </c>
      <c r="S6964">
        <v>10.42</v>
      </c>
      <c r="T6964" t="s">
        <v>23158</v>
      </c>
    </row>
    <row r="6965" spans="1:20" x14ac:dyDescent="0.25">
      <c r="A6965" s="1" t="str">
        <f>HYPERLINK("https://vegkart.atlas.vegvesen.no/#/@261400.3,6628127.4,18/hva:hva%5B0%5D%5Bfilter%5D%5B0%5D%5Boperator%5D=%21%3D&amp;hva%5B0%5D%5Bfilter%5D%5B0%5D%5Btype_id%5D=5897&amp;hva%5B0%5D%5Bfilter%5D%5B0%5D%5Bverdi%5D=&amp;hva%5B0%5D%5Bid%5D=47/når:2024-08-15", "Vegkart")</f>
        <v>Vegkart</v>
      </c>
      <c r="B6965">
        <v>1019610723</v>
      </c>
      <c r="C6965">
        <v>47</v>
      </c>
      <c r="D6965" t="s">
        <v>16854</v>
      </c>
      <c r="E6965">
        <v>5897</v>
      </c>
      <c r="F6965" t="s">
        <v>23479</v>
      </c>
      <c r="G6965">
        <v>1</v>
      </c>
      <c r="H6965" t="s">
        <v>23140</v>
      </c>
      <c r="J6965" t="s">
        <v>23129</v>
      </c>
      <c r="K6965" t="s">
        <v>132</v>
      </c>
      <c r="L6965" t="s">
        <v>80</v>
      </c>
      <c r="M6965" t="s">
        <v>105</v>
      </c>
      <c r="N6965" t="s">
        <v>23159</v>
      </c>
      <c r="O6965" t="s">
        <v>23160</v>
      </c>
      <c r="P6965" s="2" t="s">
        <v>26</v>
      </c>
      <c r="Q6965" t="s">
        <v>50</v>
      </c>
      <c r="R6965">
        <v>10.57</v>
      </c>
      <c r="S6965">
        <v>10.57</v>
      </c>
      <c r="T6965" t="s">
        <v>23161</v>
      </c>
    </row>
    <row r="6966" spans="1:20" x14ac:dyDescent="0.25">
      <c r="A6966" s="1" t="str">
        <f>HYPERLINK("https://vegkart.atlas.vegvesen.no/#/@260893.3,6627553.0,18/hva:hva%5B0%5D%5Bfilter%5D%5B0%5D%5Boperator%5D=%21%3D&amp;hva%5B0%5D%5Bfilter%5D%5B0%5D%5Btype_id%5D=5897&amp;hva%5B0%5D%5Bfilter%5D%5B0%5D%5Bverdi%5D=&amp;hva%5B0%5D%5Bid%5D=47/når:2024-08-15", "Vegkart")</f>
        <v>Vegkart</v>
      </c>
      <c r="B6966">
        <v>1019610726</v>
      </c>
      <c r="C6966">
        <v>47</v>
      </c>
      <c r="D6966" t="s">
        <v>16854</v>
      </c>
      <c r="E6966">
        <v>5897</v>
      </c>
      <c r="F6966" t="s">
        <v>23479</v>
      </c>
      <c r="G6966">
        <v>1</v>
      </c>
      <c r="H6966" t="s">
        <v>23140</v>
      </c>
      <c r="J6966" t="s">
        <v>23129</v>
      </c>
      <c r="K6966" t="s">
        <v>132</v>
      </c>
      <c r="L6966" t="s">
        <v>80</v>
      </c>
      <c r="M6966" t="s">
        <v>105</v>
      </c>
      <c r="N6966" t="s">
        <v>23162</v>
      </c>
      <c r="O6966" t="s">
        <v>23163</v>
      </c>
      <c r="P6966" s="2" t="s">
        <v>26</v>
      </c>
      <c r="Q6966" t="s">
        <v>50</v>
      </c>
      <c r="R6966">
        <v>10.71</v>
      </c>
      <c r="S6966">
        <v>10.71</v>
      </c>
      <c r="T6966" t="s">
        <v>23164</v>
      </c>
    </row>
    <row r="6967" spans="1:20" x14ac:dyDescent="0.25">
      <c r="A6967" s="1" t="str">
        <f>HYPERLINK("https://vegkart.atlas.vegvesen.no/#/@261692.8,6628534.3,18/hva:hva%5B0%5D%5Bfilter%5D%5B0%5D%5Boperator%5D=%21%3D&amp;hva%5B0%5D%5Bfilter%5D%5B0%5D%5Btype_id%5D=5897&amp;hva%5B0%5D%5Bfilter%5D%5B0%5D%5Bverdi%5D=&amp;hva%5B0%5D%5Bid%5D=47/når:2024-08-15", "Vegkart")</f>
        <v>Vegkart</v>
      </c>
      <c r="B6967">
        <v>1019610730</v>
      </c>
      <c r="C6967">
        <v>47</v>
      </c>
      <c r="D6967" t="s">
        <v>16854</v>
      </c>
      <c r="E6967">
        <v>5897</v>
      </c>
      <c r="F6967" t="s">
        <v>23479</v>
      </c>
      <c r="G6967">
        <v>1</v>
      </c>
      <c r="H6967" t="s">
        <v>23140</v>
      </c>
      <c r="J6967" t="s">
        <v>23129</v>
      </c>
      <c r="K6967" t="s">
        <v>132</v>
      </c>
      <c r="L6967" t="s">
        <v>80</v>
      </c>
      <c r="M6967" t="s">
        <v>105</v>
      </c>
      <c r="N6967" t="s">
        <v>23165</v>
      </c>
      <c r="O6967" t="s">
        <v>23166</v>
      </c>
      <c r="P6967" s="2" t="s">
        <v>26</v>
      </c>
      <c r="Q6967" t="s">
        <v>50</v>
      </c>
      <c r="R6967">
        <v>10.15</v>
      </c>
      <c r="S6967">
        <v>10.15</v>
      </c>
      <c r="T6967" t="s">
        <v>23167</v>
      </c>
    </row>
    <row r="6968" spans="1:20" x14ac:dyDescent="0.25">
      <c r="A6968" s="1" t="str">
        <f>HYPERLINK("https://vegkart.atlas.vegvesen.no/#/@261551.1,6628330.9,18/hva:hva%5B0%5D%5Bfilter%5D%5B0%5D%5Boperator%5D=%21%3D&amp;hva%5B0%5D%5Bfilter%5D%5B0%5D%5Btype_id%5D=5897&amp;hva%5B0%5D%5Bfilter%5D%5B0%5D%5Bverdi%5D=&amp;hva%5B0%5D%5Bid%5D=47/når:2024-08-15", "Vegkart")</f>
        <v>Vegkart</v>
      </c>
      <c r="B6968">
        <v>1019610731</v>
      </c>
      <c r="C6968">
        <v>47</v>
      </c>
      <c r="D6968" t="s">
        <v>16854</v>
      </c>
      <c r="E6968">
        <v>5897</v>
      </c>
      <c r="F6968" t="s">
        <v>23479</v>
      </c>
      <c r="G6968">
        <v>1</v>
      </c>
      <c r="H6968" t="s">
        <v>23140</v>
      </c>
      <c r="J6968" t="s">
        <v>23129</v>
      </c>
      <c r="K6968" t="s">
        <v>132</v>
      </c>
      <c r="L6968" t="s">
        <v>80</v>
      </c>
      <c r="M6968" t="s">
        <v>105</v>
      </c>
      <c r="N6968" t="s">
        <v>23168</v>
      </c>
      <c r="O6968" t="s">
        <v>23169</v>
      </c>
      <c r="P6968" s="2" t="s">
        <v>26</v>
      </c>
      <c r="Q6968" t="s">
        <v>50</v>
      </c>
      <c r="R6968">
        <v>10.69</v>
      </c>
      <c r="S6968">
        <v>10.69</v>
      </c>
      <c r="T6968" t="s">
        <v>23170</v>
      </c>
    </row>
    <row r="6969" spans="1:20" x14ac:dyDescent="0.25">
      <c r="A6969" s="1" t="str">
        <f>HYPERLINK("https://vegkart.atlas.vegvesen.no/#/@24167.5,6488175.4,18/hva:hva%5B0%5D%5Bfilter%5D%5B0%5D%5Boperator%5D=%21%3D&amp;hva%5B0%5D%5Bfilter%5D%5B0%5D%5Btype_id%5D=5897&amp;hva%5B0%5D%5Bfilter%5D%5B0%5D%5Bverdi%5D=&amp;hva%5B0%5D%5Bid%5D=47/når:2024-08-16", "Vegkart")</f>
        <v>Vegkart</v>
      </c>
      <c r="B6969">
        <v>1019623697</v>
      </c>
      <c r="C6969">
        <v>47</v>
      </c>
      <c r="D6969" t="s">
        <v>16854</v>
      </c>
      <c r="E6969">
        <v>5897</v>
      </c>
      <c r="F6969" t="s">
        <v>23479</v>
      </c>
      <c r="G6969">
        <v>1</v>
      </c>
      <c r="H6969" t="s">
        <v>23171</v>
      </c>
      <c r="J6969" t="s">
        <v>23129</v>
      </c>
      <c r="K6969" t="s">
        <v>86</v>
      </c>
      <c r="L6969" t="s">
        <v>33</v>
      </c>
      <c r="M6969" t="s">
        <v>5580</v>
      </c>
      <c r="N6969" t="s">
        <v>23172</v>
      </c>
      <c r="O6969" t="s">
        <v>23173</v>
      </c>
      <c r="P6969" s="2" t="s">
        <v>26</v>
      </c>
      <c r="Q6969" t="s">
        <v>50</v>
      </c>
      <c r="R6969">
        <v>41.25</v>
      </c>
      <c r="S6969">
        <v>41.26</v>
      </c>
      <c r="T6969" t="s">
        <v>23174</v>
      </c>
    </row>
    <row r="6970" spans="1:20" x14ac:dyDescent="0.25">
      <c r="A6970" s="1" t="str">
        <f>HYPERLINK("https://vegkart.atlas.vegvesen.no/#/@54021.3,6660695.0,18/hva:hva%5B0%5D%5Bfilter%5D%5B0%5D%5Boperator%5D=%21%3D&amp;hva%5B0%5D%5Bfilter%5D%5B0%5D%5Btype_id%5D=5897&amp;hva%5B0%5D%5Bfilter%5D%5B0%5D%5Bverdi%5D=&amp;hva%5B0%5D%5Bid%5D=47/når:2024-09-18", "Vegkart")</f>
        <v>Vegkart</v>
      </c>
      <c r="B6970">
        <v>1019845837</v>
      </c>
      <c r="C6970">
        <v>47</v>
      </c>
      <c r="D6970" t="s">
        <v>16854</v>
      </c>
      <c r="E6970">
        <v>5897</v>
      </c>
      <c r="F6970" t="s">
        <v>23479</v>
      </c>
      <c r="G6970">
        <v>1</v>
      </c>
      <c r="H6970" t="s">
        <v>23175</v>
      </c>
      <c r="J6970" t="s">
        <v>23129</v>
      </c>
      <c r="K6970" t="s">
        <v>21</v>
      </c>
      <c r="L6970" t="s">
        <v>80</v>
      </c>
      <c r="M6970" t="s">
        <v>645</v>
      </c>
      <c r="N6970" t="s">
        <v>23176</v>
      </c>
      <c r="O6970" t="s">
        <v>23177</v>
      </c>
      <c r="P6970" s="2" t="s">
        <v>26</v>
      </c>
      <c r="Q6970" t="s">
        <v>50</v>
      </c>
      <c r="R6970">
        <v>88.93</v>
      </c>
      <c r="S6970">
        <v>89.26</v>
      </c>
      <c r="T6970" t="s">
        <v>23178</v>
      </c>
    </row>
    <row r="6971" spans="1:20" x14ac:dyDescent="0.25">
      <c r="A6971" s="1" t="str">
        <f>HYPERLINK("https://vegkart.atlas.vegvesen.no/#/@52272.8,6660680.1,18/hva:hva%5B0%5D%5Bfilter%5D%5B0%5D%5Boperator%5D=%21%3D&amp;hva%5B0%5D%5Bfilter%5D%5B0%5D%5Btype_id%5D=5897&amp;hva%5B0%5D%5Bfilter%5D%5B0%5D%5Bverdi%5D=&amp;hva%5B0%5D%5Bid%5D=47/når:2024-09-18", "Vegkart")</f>
        <v>Vegkart</v>
      </c>
      <c r="B6971">
        <v>1019845838</v>
      </c>
      <c r="C6971">
        <v>47</v>
      </c>
      <c r="D6971" t="s">
        <v>16854</v>
      </c>
      <c r="E6971">
        <v>5897</v>
      </c>
      <c r="F6971" t="s">
        <v>23479</v>
      </c>
      <c r="G6971">
        <v>1</v>
      </c>
      <c r="H6971" t="s">
        <v>23175</v>
      </c>
      <c r="J6971" t="s">
        <v>23129</v>
      </c>
      <c r="K6971" t="s">
        <v>21</v>
      </c>
      <c r="L6971" t="s">
        <v>80</v>
      </c>
      <c r="M6971" t="s">
        <v>645</v>
      </c>
      <c r="N6971" t="s">
        <v>23179</v>
      </c>
      <c r="O6971" t="s">
        <v>23180</v>
      </c>
      <c r="P6971" s="2" t="s">
        <v>26</v>
      </c>
      <c r="Q6971" t="s">
        <v>50</v>
      </c>
      <c r="R6971">
        <v>51.09</v>
      </c>
      <c r="S6971">
        <v>51.18</v>
      </c>
      <c r="T6971" t="s">
        <v>23181</v>
      </c>
    </row>
    <row r="6972" spans="1:20" x14ac:dyDescent="0.25">
      <c r="A6972" s="1" t="str">
        <f>HYPERLINK("https://vegkart.atlas.vegvesen.no/#/@54630.3,6660698.3,18/hva:hva%5B0%5D%5Bfilter%5D%5B0%5D%5Boperator%5D=%21%3D&amp;hva%5B0%5D%5Bfilter%5D%5B0%5D%5Btype_id%5D=5897&amp;hva%5B0%5D%5Bfilter%5D%5B0%5D%5Bverdi%5D=&amp;hva%5B0%5D%5Bid%5D=47/når:2024-09-18", "Vegkart")</f>
        <v>Vegkart</v>
      </c>
      <c r="B6972">
        <v>1019845839</v>
      </c>
      <c r="C6972">
        <v>47</v>
      </c>
      <c r="D6972" t="s">
        <v>16854</v>
      </c>
      <c r="E6972">
        <v>5897</v>
      </c>
      <c r="F6972" t="s">
        <v>23479</v>
      </c>
      <c r="G6972">
        <v>1</v>
      </c>
      <c r="H6972" t="s">
        <v>23175</v>
      </c>
      <c r="J6972" t="s">
        <v>23129</v>
      </c>
      <c r="K6972" t="s">
        <v>21</v>
      </c>
      <c r="L6972" t="s">
        <v>80</v>
      </c>
      <c r="M6972" t="s">
        <v>645</v>
      </c>
      <c r="N6972" t="s">
        <v>23182</v>
      </c>
      <c r="O6972" t="s">
        <v>23183</v>
      </c>
      <c r="P6972" s="2" t="s">
        <v>26</v>
      </c>
      <c r="Q6972" t="s">
        <v>50</v>
      </c>
      <c r="R6972">
        <v>50.34</v>
      </c>
      <c r="S6972">
        <v>50.42</v>
      </c>
      <c r="T6972" t="s">
        <v>23184</v>
      </c>
    </row>
    <row r="6973" spans="1:20" x14ac:dyDescent="0.25">
      <c r="A6973" s="1" t="str">
        <f>HYPERLINK("https://vegkart.atlas.vegvesen.no/#/@52847.7,6660685.8,18/hva:hva%5B0%5D%5Bfilter%5D%5B0%5D%5Boperator%5D=%21%3D&amp;hva%5B0%5D%5Bfilter%5D%5B0%5D%5Btype_id%5D=5897&amp;hva%5B0%5D%5Bfilter%5D%5B0%5D%5Bverdi%5D=&amp;hva%5B0%5D%5Bid%5D=47/når:2024-09-18", "Vegkart")</f>
        <v>Vegkart</v>
      </c>
      <c r="B6973">
        <v>1019845840</v>
      </c>
      <c r="C6973">
        <v>47</v>
      </c>
      <c r="D6973" t="s">
        <v>16854</v>
      </c>
      <c r="E6973">
        <v>5897</v>
      </c>
      <c r="F6973" t="s">
        <v>23479</v>
      </c>
      <c r="G6973">
        <v>1</v>
      </c>
      <c r="H6973" t="s">
        <v>23175</v>
      </c>
      <c r="J6973" t="s">
        <v>23129</v>
      </c>
      <c r="K6973" t="s">
        <v>21</v>
      </c>
      <c r="L6973" t="s">
        <v>80</v>
      </c>
      <c r="M6973" t="s">
        <v>645</v>
      </c>
      <c r="N6973" t="s">
        <v>23185</v>
      </c>
      <c r="O6973" t="s">
        <v>23186</v>
      </c>
      <c r="P6973" s="2" t="s">
        <v>26</v>
      </c>
      <c r="Q6973" t="s">
        <v>50</v>
      </c>
      <c r="R6973">
        <v>96.82</v>
      </c>
      <c r="S6973">
        <v>97.11</v>
      </c>
      <c r="T6973" t="s">
        <v>23187</v>
      </c>
    </row>
    <row r="6974" spans="1:20" x14ac:dyDescent="0.25">
      <c r="A6974" s="1" t="str">
        <f>HYPERLINK("https://vegkart.atlas.vegvesen.no/#/@55208.9,6660704.3,18/hva:hva%5B0%5D%5Bfilter%5D%5B0%5D%5Boperator%5D=%21%3D&amp;hva%5B0%5D%5Bfilter%5D%5B0%5D%5Btype_id%5D=5897&amp;hva%5B0%5D%5Bfilter%5D%5B0%5D%5Bverdi%5D=&amp;hva%5B0%5D%5Bid%5D=47/når:2024-09-18", "Vegkart")</f>
        <v>Vegkart</v>
      </c>
      <c r="B6974">
        <v>1019845841</v>
      </c>
      <c r="C6974">
        <v>47</v>
      </c>
      <c r="D6974" t="s">
        <v>16854</v>
      </c>
      <c r="E6974">
        <v>5897</v>
      </c>
      <c r="F6974" t="s">
        <v>23479</v>
      </c>
      <c r="G6974">
        <v>1</v>
      </c>
      <c r="H6974" t="s">
        <v>23175</v>
      </c>
      <c r="J6974" t="s">
        <v>23129</v>
      </c>
      <c r="K6974" t="s">
        <v>21</v>
      </c>
      <c r="L6974" t="s">
        <v>80</v>
      </c>
      <c r="M6974" t="s">
        <v>645</v>
      </c>
      <c r="N6974" t="s">
        <v>23188</v>
      </c>
      <c r="O6974" t="s">
        <v>23189</v>
      </c>
      <c r="P6974" s="2" t="s">
        <v>26</v>
      </c>
      <c r="Q6974" t="s">
        <v>50</v>
      </c>
      <c r="R6974">
        <v>90.01</v>
      </c>
      <c r="S6974">
        <v>90.32</v>
      </c>
      <c r="T6974" t="s">
        <v>23190</v>
      </c>
    </row>
    <row r="6975" spans="1:20" x14ac:dyDescent="0.25">
      <c r="A6975" s="1" t="str">
        <f>HYPERLINK("https://vegkart.atlas.vegvesen.no/#/@57116.4,6661030.1,18/hva:hva%5B0%5D%5Bfilter%5D%5B0%5D%5Boperator%5D=%21%3D&amp;hva%5B0%5D%5Bfilter%5D%5B0%5D%5Btype_id%5D=5897&amp;hva%5B0%5D%5Bfilter%5D%5B0%5D%5Bverdi%5D=&amp;hva%5B0%5D%5Bid%5D=47/når:2024-09-18", "Vegkart")</f>
        <v>Vegkart</v>
      </c>
      <c r="B6975">
        <v>1019845842</v>
      </c>
      <c r="C6975">
        <v>47</v>
      </c>
      <c r="D6975" t="s">
        <v>16854</v>
      </c>
      <c r="E6975">
        <v>5897</v>
      </c>
      <c r="F6975" t="s">
        <v>23479</v>
      </c>
      <c r="G6975">
        <v>1</v>
      </c>
      <c r="H6975" t="s">
        <v>23175</v>
      </c>
      <c r="J6975" t="s">
        <v>23129</v>
      </c>
      <c r="K6975" t="s">
        <v>21</v>
      </c>
      <c r="L6975" t="s">
        <v>80</v>
      </c>
      <c r="M6975" t="s">
        <v>645</v>
      </c>
      <c r="N6975" t="s">
        <v>23191</v>
      </c>
      <c r="O6975" t="s">
        <v>23192</v>
      </c>
      <c r="P6975" s="2" t="s">
        <v>26</v>
      </c>
      <c r="Q6975" t="s">
        <v>50</v>
      </c>
      <c r="R6975">
        <v>60.8</v>
      </c>
      <c r="S6975">
        <v>81.11</v>
      </c>
      <c r="T6975" t="s">
        <v>23193</v>
      </c>
    </row>
    <row r="6976" spans="1:20" x14ac:dyDescent="0.25">
      <c r="A6976" s="1" t="str">
        <f>HYPERLINK("https://vegkart.atlas.vegvesen.no/#/@51738.3,6660656.1,18/hva:hva%5B0%5D%5Bfilter%5D%5B0%5D%5Boperator%5D=%21%3D&amp;hva%5B0%5D%5Bfilter%5D%5B0%5D%5Btype_id%5D=5897&amp;hva%5B0%5D%5Bfilter%5D%5B0%5D%5Bverdi%5D=&amp;hva%5B0%5D%5Bid%5D=47/når:2024-09-18", "Vegkart")</f>
        <v>Vegkart</v>
      </c>
      <c r="B6976">
        <v>1019845843</v>
      </c>
      <c r="C6976">
        <v>47</v>
      </c>
      <c r="D6976" t="s">
        <v>16854</v>
      </c>
      <c r="E6976">
        <v>5897</v>
      </c>
      <c r="F6976" t="s">
        <v>23479</v>
      </c>
      <c r="G6976">
        <v>1</v>
      </c>
      <c r="H6976" t="s">
        <v>23175</v>
      </c>
      <c r="J6976" t="s">
        <v>23129</v>
      </c>
      <c r="K6976" t="s">
        <v>21</v>
      </c>
      <c r="L6976" t="s">
        <v>80</v>
      </c>
      <c r="M6976" t="s">
        <v>645</v>
      </c>
      <c r="N6976" t="s">
        <v>23194</v>
      </c>
      <c r="O6976" t="s">
        <v>23195</v>
      </c>
      <c r="P6976" s="2" t="s">
        <v>26</v>
      </c>
      <c r="Q6976" t="s">
        <v>50</v>
      </c>
      <c r="R6976">
        <v>60.31</v>
      </c>
      <c r="S6976">
        <v>63.69</v>
      </c>
      <c r="T6976" t="s">
        <v>23196</v>
      </c>
    </row>
    <row r="6977" spans="1:20" x14ac:dyDescent="0.25">
      <c r="A6977" s="1" t="str">
        <f>HYPERLINK("https://vegkart.atlas.vegvesen.no/#/@53422.4,6660689.0,18/hva:hva%5B0%5D%5Bfilter%5D%5B0%5D%5Boperator%5D=%21%3D&amp;hva%5B0%5D%5Bfilter%5D%5B0%5D%5Btype_id%5D=5897&amp;hva%5B0%5D%5Bfilter%5D%5B0%5D%5Bverdi%5D=&amp;hva%5B0%5D%5Bid%5D=47/når:2024-09-18", "Vegkart")</f>
        <v>Vegkart</v>
      </c>
      <c r="B6977">
        <v>1019845844</v>
      </c>
      <c r="C6977">
        <v>47</v>
      </c>
      <c r="D6977" t="s">
        <v>16854</v>
      </c>
      <c r="E6977">
        <v>5897</v>
      </c>
      <c r="F6977" t="s">
        <v>23479</v>
      </c>
      <c r="G6977">
        <v>1</v>
      </c>
      <c r="H6977" t="s">
        <v>23175</v>
      </c>
      <c r="J6977" t="s">
        <v>23129</v>
      </c>
      <c r="K6977" t="s">
        <v>21</v>
      </c>
      <c r="L6977" t="s">
        <v>80</v>
      </c>
      <c r="M6977" t="s">
        <v>645</v>
      </c>
      <c r="N6977" t="s">
        <v>23197</v>
      </c>
      <c r="O6977" t="s">
        <v>23198</v>
      </c>
      <c r="P6977" s="2" t="s">
        <v>26</v>
      </c>
      <c r="Q6977" t="s">
        <v>50</v>
      </c>
      <c r="R6977">
        <v>50.84</v>
      </c>
      <c r="S6977">
        <v>50.93</v>
      </c>
      <c r="T6977" t="s">
        <v>23199</v>
      </c>
    </row>
    <row r="6978" spans="1:20" x14ac:dyDescent="0.25">
      <c r="A6978" s="1" t="str">
        <f>HYPERLINK("https://vegkart.atlas.vegvesen.no/#/@56321.0,6660588.7,18/hva:hva%5B0%5D%5Bfilter%5D%5B0%5D%5Boperator%5D=%21%3D&amp;hva%5B0%5D%5Bfilter%5D%5B0%5D%5Btype_id%5D=5897&amp;hva%5B0%5D%5Bfilter%5D%5B0%5D%5Bverdi%5D=&amp;hva%5B0%5D%5Bid%5D=47/når:2024-09-18", "Vegkart")</f>
        <v>Vegkart</v>
      </c>
      <c r="B6978">
        <v>1019845845</v>
      </c>
      <c r="C6978">
        <v>47</v>
      </c>
      <c r="D6978" t="s">
        <v>16854</v>
      </c>
      <c r="E6978">
        <v>5897</v>
      </c>
      <c r="F6978" t="s">
        <v>23479</v>
      </c>
      <c r="G6978">
        <v>1</v>
      </c>
      <c r="H6978" t="s">
        <v>23175</v>
      </c>
      <c r="J6978" t="s">
        <v>23129</v>
      </c>
      <c r="K6978" t="s">
        <v>21</v>
      </c>
      <c r="L6978" t="s">
        <v>80</v>
      </c>
      <c r="M6978" t="s">
        <v>645</v>
      </c>
      <c r="N6978" t="s">
        <v>23200</v>
      </c>
      <c r="O6978" t="s">
        <v>23201</v>
      </c>
      <c r="P6978" s="2" t="s">
        <v>26</v>
      </c>
      <c r="Q6978" t="s">
        <v>50</v>
      </c>
      <c r="R6978">
        <v>88.95</v>
      </c>
      <c r="S6978">
        <v>89.28</v>
      </c>
      <c r="T6978" t="s">
        <v>23202</v>
      </c>
    </row>
    <row r="6979" spans="1:20" x14ac:dyDescent="0.25">
      <c r="A6979" s="1" t="str">
        <f>HYPERLINK("https://vegkart.atlas.vegvesen.no/#/@55768.8,6660582.2,18/hva:hva%5B0%5D%5Bfilter%5D%5B0%5D%5Boperator%5D=%21%3D&amp;hva%5B0%5D%5Bfilter%5D%5B0%5D%5Btype_id%5D=5897&amp;hva%5B0%5D%5Bfilter%5D%5B0%5D%5Bverdi%5D=&amp;hva%5B0%5D%5Bid%5D=47/når:2024-09-18", "Vegkart")</f>
        <v>Vegkart</v>
      </c>
      <c r="B6979">
        <v>1019845846</v>
      </c>
      <c r="C6979">
        <v>47</v>
      </c>
      <c r="D6979" t="s">
        <v>16854</v>
      </c>
      <c r="E6979">
        <v>5897</v>
      </c>
      <c r="F6979" t="s">
        <v>23479</v>
      </c>
      <c r="G6979">
        <v>1</v>
      </c>
      <c r="H6979" t="s">
        <v>23175</v>
      </c>
      <c r="J6979" t="s">
        <v>23129</v>
      </c>
      <c r="K6979" t="s">
        <v>21</v>
      </c>
      <c r="L6979" t="s">
        <v>80</v>
      </c>
      <c r="M6979" t="s">
        <v>645</v>
      </c>
      <c r="N6979" t="s">
        <v>23203</v>
      </c>
      <c r="O6979" t="s">
        <v>23204</v>
      </c>
      <c r="P6979" s="2" t="s">
        <v>26</v>
      </c>
      <c r="Q6979" t="s">
        <v>50</v>
      </c>
      <c r="R6979">
        <v>50.1</v>
      </c>
      <c r="S6979">
        <v>50.18</v>
      </c>
      <c r="T6979" t="s">
        <v>23205</v>
      </c>
    </row>
    <row r="6980" spans="1:20" x14ac:dyDescent="0.25">
      <c r="A6980" s="1" t="str">
        <f>HYPERLINK("https://vegkart.atlas.vegvesen.no/#/@56735.6,6660827.0,18/hva:hva%5B0%5D%5Bfilter%5D%5B0%5D%5Boperator%5D=%21%3D&amp;hva%5B0%5D%5Bfilter%5D%5B0%5D%5Btype_id%5D=5897&amp;hva%5B0%5D%5Bfilter%5D%5B0%5D%5Bverdi%5D=&amp;hva%5B0%5D%5Bid%5D=47/når:2024-09-18", "Vegkart")</f>
        <v>Vegkart</v>
      </c>
      <c r="B6980">
        <v>1019845847</v>
      </c>
      <c r="C6980">
        <v>47</v>
      </c>
      <c r="D6980" t="s">
        <v>16854</v>
      </c>
      <c r="E6980">
        <v>5897</v>
      </c>
      <c r="F6980" t="s">
        <v>23479</v>
      </c>
      <c r="G6980">
        <v>1</v>
      </c>
      <c r="H6980" t="s">
        <v>23175</v>
      </c>
      <c r="J6980" t="s">
        <v>23129</v>
      </c>
      <c r="K6980" t="s">
        <v>21</v>
      </c>
      <c r="L6980" t="s">
        <v>80</v>
      </c>
      <c r="M6980" t="s">
        <v>645</v>
      </c>
      <c r="N6980" t="s">
        <v>23206</v>
      </c>
      <c r="O6980" t="s">
        <v>23207</v>
      </c>
      <c r="P6980" s="2" t="s">
        <v>26</v>
      </c>
      <c r="Q6980" t="s">
        <v>50</v>
      </c>
      <c r="R6980">
        <v>49.37</v>
      </c>
      <c r="S6980">
        <v>49.45</v>
      </c>
      <c r="T6980" t="s">
        <v>23208</v>
      </c>
    </row>
    <row r="6981" spans="1:20" x14ac:dyDescent="0.25">
      <c r="A6981" s="1" t="str">
        <f>HYPERLINK("https://vegkart.atlas.vegvesen.no/#/@84290.9,6781125.3,18/hva:hva%5B0%5D%5Bfilter%5D%5B0%5D%5Boperator%5D=%21%3D&amp;hva%5B0%5D%5Bfilter%5D%5B0%5D%5Btype_id%5D=5897&amp;hva%5B0%5D%5Bfilter%5D%5B0%5D%5Bverdi%5D=&amp;hva%5B0%5D%5Bid%5D=47/når:2024-09-20", "Vegkart")</f>
        <v>Vegkart</v>
      </c>
      <c r="B6981">
        <v>1019868454</v>
      </c>
      <c r="C6981">
        <v>47</v>
      </c>
      <c r="D6981" t="s">
        <v>16854</v>
      </c>
      <c r="E6981">
        <v>5897</v>
      </c>
      <c r="F6981" t="s">
        <v>23479</v>
      </c>
      <c r="G6981">
        <v>1</v>
      </c>
      <c r="H6981" t="s">
        <v>676</v>
      </c>
      <c r="J6981" t="s">
        <v>23209</v>
      </c>
      <c r="K6981" t="s">
        <v>21</v>
      </c>
      <c r="L6981" t="s">
        <v>80</v>
      </c>
      <c r="M6981" t="s">
        <v>152</v>
      </c>
      <c r="N6981" t="s">
        <v>23210</v>
      </c>
      <c r="O6981" t="s">
        <v>23211</v>
      </c>
      <c r="P6981" s="2" t="s">
        <v>26</v>
      </c>
      <c r="Q6981" t="s">
        <v>50</v>
      </c>
      <c r="R6981">
        <v>3.97</v>
      </c>
      <c r="S6981">
        <v>3.97</v>
      </c>
      <c r="T6981" t="s">
        <v>23212</v>
      </c>
    </row>
    <row r="6982" spans="1:20" x14ac:dyDescent="0.25">
      <c r="A6982" s="1" t="str">
        <f>HYPERLINK("https://vegkart.atlas.vegvesen.no/#/@261986.3,6650486.0,18/hva:hva%5B0%5D%5Bfilter%5D%5B0%5D%5Boperator%5D=%21%3D&amp;hva%5B0%5D%5Bfilter%5D%5B0%5D%5Btype_id%5D=5897&amp;hva%5B0%5D%5Bfilter%5D%5B0%5D%5Bverdi%5D=&amp;hva%5B0%5D%5Bid%5D=47/når:2024-09-25", "Vegkart")</f>
        <v>Vegkart</v>
      </c>
      <c r="B6982">
        <v>1019879488</v>
      </c>
      <c r="C6982">
        <v>47</v>
      </c>
      <c r="D6982" t="s">
        <v>16854</v>
      </c>
      <c r="E6982">
        <v>5897</v>
      </c>
      <c r="F6982" t="s">
        <v>23479</v>
      </c>
      <c r="G6982">
        <v>1</v>
      </c>
      <c r="H6982" t="s">
        <v>12565</v>
      </c>
      <c r="J6982" t="s">
        <v>23209</v>
      </c>
      <c r="K6982" t="s">
        <v>335</v>
      </c>
      <c r="L6982" t="s">
        <v>22</v>
      </c>
      <c r="M6982" t="s">
        <v>12545</v>
      </c>
      <c r="N6982" t="s">
        <v>23213</v>
      </c>
      <c r="O6982" t="s">
        <v>23214</v>
      </c>
      <c r="P6982" s="2" t="s">
        <v>37</v>
      </c>
      <c r="Q6982" t="s">
        <v>1208</v>
      </c>
      <c r="R6982">
        <v>0.79</v>
      </c>
      <c r="S6982">
        <v>40.78</v>
      </c>
      <c r="T6982" t="s">
        <v>23215</v>
      </c>
    </row>
    <row r="6983" spans="1:20" x14ac:dyDescent="0.25">
      <c r="A6983" s="1" t="str">
        <f>HYPERLINK("https://vegkart.atlas.vegvesen.no/#/@266013.6,6649083.8,18/hva:hva%5B0%5D%5Bfilter%5D%5B0%5D%5Boperator%5D=%21%3D&amp;hva%5B0%5D%5Bfilter%5D%5B0%5D%5Btype_id%5D=5897&amp;hva%5B0%5D%5Bfilter%5D%5B0%5D%5Bverdi%5D=&amp;hva%5B0%5D%5Bid%5D=47/når:2024-10-10", "Vegkart")</f>
        <v>Vegkart</v>
      </c>
      <c r="B6983">
        <v>1019933027</v>
      </c>
      <c r="C6983">
        <v>47</v>
      </c>
      <c r="D6983" t="s">
        <v>16854</v>
      </c>
      <c r="E6983">
        <v>5897</v>
      </c>
      <c r="F6983" t="s">
        <v>23479</v>
      </c>
      <c r="G6983">
        <v>1</v>
      </c>
      <c r="H6983" t="s">
        <v>2279</v>
      </c>
      <c r="J6983" t="s">
        <v>23209</v>
      </c>
      <c r="K6983" t="s">
        <v>335</v>
      </c>
      <c r="L6983" t="s">
        <v>22</v>
      </c>
      <c r="M6983" t="s">
        <v>2280</v>
      </c>
      <c r="N6983" t="s">
        <v>23216</v>
      </c>
      <c r="O6983" t="s">
        <v>23217</v>
      </c>
      <c r="P6983" s="2" t="s">
        <v>37</v>
      </c>
      <c r="Q6983" t="s">
        <v>1208</v>
      </c>
      <c r="R6983">
        <v>0</v>
      </c>
      <c r="S6983">
        <v>95.58</v>
      </c>
      <c r="T6983" t="s">
        <v>23218</v>
      </c>
    </row>
    <row r="6984" spans="1:20" x14ac:dyDescent="0.25">
      <c r="A6984" s="1" t="str">
        <f>HYPERLINK("https://vegkart.atlas.vegvesen.no/#/@66786.7,6654052.3,18/hva:hva%5B0%5D%5Bfilter%5D%5B0%5D%5Boperator%5D=%21%3D&amp;hva%5B0%5D%5Bfilter%5D%5B0%5D%5Btype_id%5D=5897&amp;hva%5B0%5D%5Bfilter%5D%5B0%5D%5Bverdi%5D=&amp;hva%5B0%5D%5Bid%5D=47/når:2024-10-18", "Vegkart")</f>
        <v>Vegkart</v>
      </c>
      <c r="B6984">
        <v>1020033286</v>
      </c>
      <c r="C6984">
        <v>47</v>
      </c>
      <c r="D6984" t="s">
        <v>16854</v>
      </c>
      <c r="E6984">
        <v>5897</v>
      </c>
      <c r="F6984" t="s">
        <v>23479</v>
      </c>
      <c r="G6984">
        <v>1</v>
      </c>
      <c r="H6984" t="s">
        <v>18293</v>
      </c>
      <c r="J6984" t="s">
        <v>23209</v>
      </c>
      <c r="K6984" t="s">
        <v>197</v>
      </c>
      <c r="L6984" t="s">
        <v>80</v>
      </c>
      <c r="M6984" t="s">
        <v>645</v>
      </c>
      <c r="N6984" t="s">
        <v>23219</v>
      </c>
      <c r="O6984" t="s">
        <v>23220</v>
      </c>
      <c r="P6984" s="2" t="s">
        <v>26</v>
      </c>
      <c r="Q6984" t="s">
        <v>50</v>
      </c>
      <c r="R6984">
        <v>50.02</v>
      </c>
      <c r="S6984">
        <v>50.1</v>
      </c>
      <c r="T6984" t="s">
        <v>23221</v>
      </c>
    </row>
    <row r="6985" spans="1:20" x14ac:dyDescent="0.25">
      <c r="A6985" s="1" t="str">
        <f>HYPERLINK("https://vegkart.atlas.vegvesen.no/#/@66256.6,6654307.4,18/hva:hva%5B0%5D%5Bfilter%5D%5B0%5D%5Boperator%5D=%21%3D&amp;hva%5B0%5D%5Bfilter%5D%5B0%5D%5Btype_id%5D=5897&amp;hva%5B0%5D%5Bfilter%5D%5B0%5D%5Bverdi%5D=&amp;hva%5B0%5D%5Bid%5D=47/når:2024-10-18", "Vegkart")</f>
        <v>Vegkart</v>
      </c>
      <c r="B6985">
        <v>1020033287</v>
      </c>
      <c r="C6985">
        <v>47</v>
      </c>
      <c r="D6985" t="s">
        <v>16854</v>
      </c>
      <c r="E6985">
        <v>5897</v>
      </c>
      <c r="F6985" t="s">
        <v>23479</v>
      </c>
      <c r="G6985">
        <v>1</v>
      </c>
      <c r="H6985" t="s">
        <v>18293</v>
      </c>
      <c r="J6985" t="s">
        <v>23209</v>
      </c>
      <c r="K6985" t="s">
        <v>197</v>
      </c>
      <c r="L6985" t="s">
        <v>80</v>
      </c>
      <c r="M6985" t="s">
        <v>645</v>
      </c>
      <c r="N6985" t="s">
        <v>23222</v>
      </c>
      <c r="O6985" t="s">
        <v>23223</v>
      </c>
      <c r="P6985" s="2" t="s">
        <v>26</v>
      </c>
      <c r="Q6985" t="s">
        <v>50</v>
      </c>
      <c r="R6985">
        <v>51.32</v>
      </c>
      <c r="S6985">
        <v>51.39</v>
      </c>
      <c r="T6985" t="s">
        <v>23224</v>
      </c>
    </row>
    <row r="6986" spans="1:20" x14ac:dyDescent="0.25">
      <c r="A6986" s="1" t="str">
        <f>HYPERLINK("https://vegkart.atlas.vegvesen.no/#/@233918.7,6834438.5,18/hva:hva%5B0%5D%5Bfilter%5D%5B0%5D%5Boperator%5D=%21%3D&amp;hva%5B0%5D%5Bfilter%5D%5B0%5D%5Btype_id%5D=5897&amp;hva%5B0%5D%5Bfilter%5D%5B0%5D%5Bverdi%5D=&amp;hva%5B0%5D%5Bid%5D=47/når:2024-10-22", "Vegkart")</f>
        <v>Vegkart</v>
      </c>
      <c r="B6986">
        <v>1021009962</v>
      </c>
      <c r="C6986">
        <v>47</v>
      </c>
      <c r="D6986" t="s">
        <v>16854</v>
      </c>
      <c r="E6986">
        <v>5897</v>
      </c>
      <c r="F6986" t="s">
        <v>23479</v>
      </c>
      <c r="G6986">
        <v>1</v>
      </c>
      <c r="H6986" t="s">
        <v>23225</v>
      </c>
      <c r="J6986" t="s">
        <v>23209</v>
      </c>
      <c r="K6986" t="s">
        <v>136</v>
      </c>
      <c r="L6986" t="s">
        <v>80</v>
      </c>
      <c r="M6986" t="s">
        <v>105</v>
      </c>
      <c r="N6986" t="s">
        <v>23226</v>
      </c>
      <c r="O6986" t="s">
        <v>23227</v>
      </c>
      <c r="P6986" s="2" t="s">
        <v>26</v>
      </c>
      <c r="Q6986" t="s">
        <v>50</v>
      </c>
      <c r="R6986">
        <v>90.15</v>
      </c>
      <c r="S6986">
        <v>90.51</v>
      </c>
      <c r="T6986" t="s">
        <v>23228</v>
      </c>
    </row>
    <row r="6987" spans="1:20" x14ac:dyDescent="0.25">
      <c r="A6987" s="1" t="str">
        <f>HYPERLINK("https://vegkart.atlas.vegvesen.no/#/@232970.8,6834752.5,18/hva:hva%5B0%5D%5Bfilter%5D%5B0%5D%5Boperator%5D=%21%3D&amp;hva%5B0%5D%5Bfilter%5D%5B0%5D%5Btype_id%5D=5897&amp;hva%5B0%5D%5Bfilter%5D%5B0%5D%5Bverdi%5D=&amp;hva%5B0%5D%5Bid%5D=47/når:2024-10-22", "Vegkart")</f>
        <v>Vegkart</v>
      </c>
      <c r="B6987">
        <v>1021009981</v>
      </c>
      <c r="C6987">
        <v>47</v>
      </c>
      <c r="D6987" t="s">
        <v>16854</v>
      </c>
      <c r="E6987">
        <v>5897</v>
      </c>
      <c r="F6987" t="s">
        <v>23479</v>
      </c>
      <c r="G6987">
        <v>1</v>
      </c>
      <c r="H6987" t="s">
        <v>23225</v>
      </c>
      <c r="J6987" t="s">
        <v>23209</v>
      </c>
      <c r="K6987" t="s">
        <v>136</v>
      </c>
      <c r="L6987" t="s">
        <v>80</v>
      </c>
      <c r="M6987" t="s">
        <v>105</v>
      </c>
      <c r="N6987" t="s">
        <v>23229</v>
      </c>
      <c r="O6987" t="s">
        <v>23230</v>
      </c>
      <c r="P6987" s="2" t="s">
        <v>26</v>
      </c>
      <c r="Q6987" t="s">
        <v>50</v>
      </c>
      <c r="R6987">
        <v>90.15</v>
      </c>
      <c r="S6987">
        <v>90.51</v>
      </c>
      <c r="T6987" t="s">
        <v>23231</v>
      </c>
    </row>
    <row r="6988" spans="1:20" x14ac:dyDescent="0.25">
      <c r="A6988" s="1" t="str">
        <f>HYPERLINK("https://vegkart.atlas.vegvesen.no/#/@232493.5,6834877.5,18/hva:hva%5B0%5D%5Bfilter%5D%5B0%5D%5Boperator%5D=%21%3D&amp;hva%5B0%5D%5Bfilter%5D%5B0%5D%5Btype_id%5D=5897&amp;hva%5B0%5D%5Bfilter%5D%5B0%5D%5Bverdi%5D=&amp;hva%5B0%5D%5Bid%5D=47/når:2024-10-22", "Vegkart")</f>
        <v>Vegkart</v>
      </c>
      <c r="B6988">
        <v>1021009985</v>
      </c>
      <c r="C6988">
        <v>47</v>
      </c>
      <c r="D6988" t="s">
        <v>16854</v>
      </c>
      <c r="E6988">
        <v>5897</v>
      </c>
      <c r="F6988" t="s">
        <v>23479</v>
      </c>
      <c r="G6988">
        <v>1</v>
      </c>
      <c r="H6988" t="s">
        <v>23225</v>
      </c>
      <c r="J6988" t="s">
        <v>23209</v>
      </c>
      <c r="K6988" t="s">
        <v>136</v>
      </c>
      <c r="L6988" t="s">
        <v>80</v>
      </c>
      <c r="M6988" t="s">
        <v>105</v>
      </c>
      <c r="N6988" t="s">
        <v>23232</v>
      </c>
      <c r="O6988" t="s">
        <v>23233</v>
      </c>
      <c r="P6988" s="2" t="s">
        <v>26</v>
      </c>
      <c r="Q6988" t="s">
        <v>50</v>
      </c>
      <c r="R6988">
        <v>90.15</v>
      </c>
      <c r="S6988">
        <v>90.51</v>
      </c>
      <c r="T6988" t="s">
        <v>23234</v>
      </c>
    </row>
    <row r="6989" spans="1:20" x14ac:dyDescent="0.25">
      <c r="A6989" s="1" t="str">
        <f>HYPERLINK("https://vegkart.atlas.vegvesen.no/#/@231517.5,6835137.2,18/hva:hva%5B0%5D%5Bfilter%5D%5B0%5D%5Boperator%5D=%21%3D&amp;hva%5B0%5D%5Bfilter%5D%5B0%5D%5Btype_id%5D=5897&amp;hva%5B0%5D%5Bfilter%5D%5B0%5D%5Bverdi%5D=&amp;hva%5B0%5D%5Bid%5D=47/når:2024-10-22", "Vegkart")</f>
        <v>Vegkart</v>
      </c>
      <c r="B6989">
        <v>1021010001</v>
      </c>
      <c r="C6989">
        <v>47</v>
      </c>
      <c r="D6989" t="s">
        <v>16854</v>
      </c>
      <c r="E6989">
        <v>5897</v>
      </c>
      <c r="F6989" t="s">
        <v>23479</v>
      </c>
      <c r="G6989">
        <v>1</v>
      </c>
      <c r="H6989" t="s">
        <v>23225</v>
      </c>
      <c r="J6989" t="s">
        <v>23209</v>
      </c>
      <c r="K6989" t="s">
        <v>136</v>
      </c>
      <c r="L6989" t="s">
        <v>80</v>
      </c>
      <c r="M6989" t="s">
        <v>105</v>
      </c>
      <c r="N6989" t="s">
        <v>23235</v>
      </c>
      <c r="O6989" t="s">
        <v>23236</v>
      </c>
      <c r="P6989" s="2" t="s">
        <v>26</v>
      </c>
      <c r="Q6989" t="s">
        <v>50</v>
      </c>
      <c r="R6989">
        <v>90.15</v>
      </c>
      <c r="S6989">
        <v>90.51</v>
      </c>
      <c r="T6989" t="s">
        <v>23237</v>
      </c>
    </row>
    <row r="6990" spans="1:20" x14ac:dyDescent="0.25">
      <c r="A6990" s="1" t="str">
        <f>HYPERLINK("https://vegkart.atlas.vegvesen.no/#/@232237.9,6834946.1,18/hva:hva%5B0%5D%5Bfilter%5D%5B0%5D%5Boperator%5D=%21%3D&amp;hva%5B0%5D%5Bfilter%5D%5B0%5D%5Btype_id%5D=5897&amp;hva%5B0%5D%5Bfilter%5D%5B0%5D%5Bverdi%5D=&amp;hva%5B0%5D%5Bid%5D=47/når:2024-10-22", "Vegkart")</f>
        <v>Vegkart</v>
      </c>
      <c r="B6990">
        <v>1021010003</v>
      </c>
      <c r="C6990">
        <v>47</v>
      </c>
      <c r="D6990" t="s">
        <v>16854</v>
      </c>
      <c r="E6990">
        <v>5897</v>
      </c>
      <c r="F6990" t="s">
        <v>23479</v>
      </c>
      <c r="G6990">
        <v>1</v>
      </c>
      <c r="H6990" t="s">
        <v>23225</v>
      </c>
      <c r="J6990" t="s">
        <v>23209</v>
      </c>
      <c r="K6990" t="s">
        <v>136</v>
      </c>
      <c r="L6990" t="s">
        <v>80</v>
      </c>
      <c r="M6990" t="s">
        <v>105</v>
      </c>
      <c r="N6990" t="s">
        <v>23238</v>
      </c>
      <c r="O6990" t="s">
        <v>23239</v>
      </c>
      <c r="P6990" s="2" t="s">
        <v>26</v>
      </c>
      <c r="Q6990" t="s">
        <v>50</v>
      </c>
      <c r="R6990">
        <v>90.15</v>
      </c>
      <c r="S6990">
        <v>90.51</v>
      </c>
      <c r="T6990" t="s">
        <v>23240</v>
      </c>
    </row>
    <row r="6991" spans="1:20" x14ac:dyDescent="0.25">
      <c r="A6991" s="1" t="str">
        <f>HYPERLINK("https://vegkart.atlas.vegvesen.no/#/@234387.4,6834240.0,18/hva:hva%5B0%5D%5Bfilter%5D%5B0%5D%5Boperator%5D=%21%3D&amp;hva%5B0%5D%5Bfilter%5D%5B0%5D%5Btype_id%5D=5897&amp;hva%5B0%5D%5Bfilter%5D%5B0%5D%5Bverdi%5D=&amp;hva%5B0%5D%5Bid%5D=47/når:2024-10-22", "Vegkart")</f>
        <v>Vegkart</v>
      </c>
      <c r="B6991">
        <v>1021010060</v>
      </c>
      <c r="C6991">
        <v>47</v>
      </c>
      <c r="D6991" t="s">
        <v>16854</v>
      </c>
      <c r="E6991">
        <v>5897</v>
      </c>
      <c r="F6991" t="s">
        <v>23479</v>
      </c>
      <c r="G6991">
        <v>1</v>
      </c>
      <c r="H6991" t="s">
        <v>23225</v>
      </c>
      <c r="J6991" t="s">
        <v>23209</v>
      </c>
      <c r="K6991" t="s">
        <v>136</v>
      </c>
      <c r="L6991" t="s">
        <v>80</v>
      </c>
      <c r="M6991" t="s">
        <v>105</v>
      </c>
      <c r="N6991" t="s">
        <v>23241</v>
      </c>
      <c r="O6991" t="s">
        <v>23242</v>
      </c>
      <c r="P6991" s="2" t="s">
        <v>26</v>
      </c>
      <c r="Q6991" t="s">
        <v>50</v>
      </c>
      <c r="R6991">
        <v>90.15</v>
      </c>
      <c r="S6991">
        <v>90.51</v>
      </c>
      <c r="T6991" t="s">
        <v>23243</v>
      </c>
    </row>
    <row r="6992" spans="1:20" x14ac:dyDescent="0.25">
      <c r="A6992" s="1" t="str">
        <f>HYPERLINK("https://vegkart.atlas.vegvesen.no/#/@233456.8,6834613.8,18/hva:hva%5B0%5D%5Bfilter%5D%5B0%5D%5Boperator%5D=%21%3D&amp;hva%5B0%5D%5Bfilter%5D%5B0%5D%5Btype_id%5D=5897&amp;hva%5B0%5D%5Bfilter%5D%5B0%5D%5Bverdi%5D=&amp;hva%5B0%5D%5Bid%5D=47/når:2024-10-22", "Vegkart")</f>
        <v>Vegkart</v>
      </c>
      <c r="B6992">
        <v>1021010072</v>
      </c>
      <c r="C6992">
        <v>47</v>
      </c>
      <c r="D6992" t="s">
        <v>16854</v>
      </c>
      <c r="E6992">
        <v>5897</v>
      </c>
      <c r="F6992" t="s">
        <v>23479</v>
      </c>
      <c r="G6992">
        <v>1</v>
      </c>
      <c r="H6992" t="s">
        <v>23225</v>
      </c>
      <c r="J6992" t="s">
        <v>23209</v>
      </c>
      <c r="K6992" t="s">
        <v>136</v>
      </c>
      <c r="L6992" t="s">
        <v>80</v>
      </c>
      <c r="M6992" t="s">
        <v>105</v>
      </c>
      <c r="N6992" t="s">
        <v>23244</v>
      </c>
      <c r="O6992" t="s">
        <v>23245</v>
      </c>
      <c r="P6992" s="2" t="s">
        <v>26</v>
      </c>
      <c r="Q6992" t="s">
        <v>50</v>
      </c>
      <c r="R6992">
        <v>90.15</v>
      </c>
      <c r="S6992">
        <v>90.5</v>
      </c>
      <c r="T6992" t="s">
        <v>23246</v>
      </c>
    </row>
    <row r="6993" spans="1:20" x14ac:dyDescent="0.25">
      <c r="A6993" s="1" t="str">
        <f>HYPERLINK("https://vegkart.atlas.vegvesen.no/#/@218638.7,6846838.5,18/hva:hva%5B0%5D%5Bfilter%5D%5B0%5D%5Boperator%5D=%21%3D&amp;hva%5B0%5D%5Bfilter%5D%5B0%5D%5Btype_id%5D=5897&amp;hva%5B0%5D%5Bfilter%5D%5B0%5D%5Bverdi%5D=&amp;hva%5B0%5D%5Bid%5D=47/når:2024-10-23", "Vegkart")</f>
        <v>Vegkart</v>
      </c>
      <c r="B6993">
        <v>1021012751</v>
      </c>
      <c r="C6993">
        <v>47</v>
      </c>
      <c r="D6993" t="s">
        <v>16854</v>
      </c>
      <c r="E6993">
        <v>5897</v>
      </c>
      <c r="F6993" t="s">
        <v>23479</v>
      </c>
      <c r="G6993">
        <v>1</v>
      </c>
      <c r="H6993" t="s">
        <v>2375</v>
      </c>
      <c r="J6993" t="s">
        <v>23209</v>
      </c>
      <c r="K6993" t="s">
        <v>136</v>
      </c>
      <c r="L6993" t="s">
        <v>80</v>
      </c>
      <c r="M6993" t="s">
        <v>105</v>
      </c>
      <c r="N6993" t="s">
        <v>23247</v>
      </c>
      <c r="O6993" t="s">
        <v>23248</v>
      </c>
      <c r="P6993" s="2" t="s">
        <v>26</v>
      </c>
      <c r="Q6993" t="s">
        <v>50</v>
      </c>
      <c r="R6993">
        <v>90.06</v>
      </c>
      <c r="S6993">
        <v>90.36</v>
      </c>
      <c r="T6993" t="s">
        <v>23249</v>
      </c>
    </row>
    <row r="6994" spans="1:20" x14ac:dyDescent="0.25">
      <c r="A6994" s="1" t="str">
        <f>HYPERLINK("https://vegkart.atlas.vegvesen.no/#/@219256.9,6844944.0,18/hva:hva%5B0%5D%5Bfilter%5D%5B0%5D%5Boperator%5D=%21%3D&amp;hva%5B0%5D%5Bfilter%5D%5B0%5D%5Btype_id%5D=5897&amp;hva%5B0%5D%5Bfilter%5D%5B0%5D%5Bverdi%5D=&amp;hva%5B0%5D%5Bid%5D=47/når:2024-10-23", "Vegkart")</f>
        <v>Vegkart</v>
      </c>
      <c r="B6994">
        <v>1021012753</v>
      </c>
      <c r="C6994">
        <v>47</v>
      </c>
      <c r="D6994" t="s">
        <v>16854</v>
      </c>
      <c r="E6994">
        <v>5897</v>
      </c>
      <c r="F6994" t="s">
        <v>23479</v>
      </c>
      <c r="G6994">
        <v>1</v>
      </c>
      <c r="H6994" t="s">
        <v>2375</v>
      </c>
      <c r="J6994" t="s">
        <v>23209</v>
      </c>
      <c r="K6994" t="s">
        <v>136</v>
      </c>
      <c r="L6994" t="s">
        <v>80</v>
      </c>
      <c r="M6994" t="s">
        <v>105</v>
      </c>
      <c r="N6994" t="s">
        <v>23250</v>
      </c>
      <c r="O6994" t="s">
        <v>23251</v>
      </c>
      <c r="P6994" s="2" t="s">
        <v>26</v>
      </c>
      <c r="Q6994" t="s">
        <v>50</v>
      </c>
      <c r="R6994">
        <v>90.06</v>
      </c>
      <c r="S6994">
        <v>90.36</v>
      </c>
      <c r="T6994" t="s">
        <v>23252</v>
      </c>
    </row>
    <row r="6995" spans="1:20" x14ac:dyDescent="0.25">
      <c r="A6995" s="1" t="str">
        <f>HYPERLINK("https://vegkart.atlas.vegvesen.no/#/@219480.0,6844512.6,18/hva:hva%5B0%5D%5Bfilter%5D%5B0%5D%5Boperator%5D=%21%3D&amp;hva%5B0%5D%5Bfilter%5D%5B0%5D%5Btype_id%5D=5897&amp;hva%5B0%5D%5Bfilter%5D%5B0%5D%5Bverdi%5D=&amp;hva%5B0%5D%5Bid%5D=47/når:2024-10-23", "Vegkart")</f>
        <v>Vegkart</v>
      </c>
      <c r="B6995">
        <v>1021012754</v>
      </c>
      <c r="C6995">
        <v>47</v>
      </c>
      <c r="D6995" t="s">
        <v>16854</v>
      </c>
      <c r="E6995">
        <v>5897</v>
      </c>
      <c r="F6995" t="s">
        <v>23479</v>
      </c>
      <c r="G6995">
        <v>1</v>
      </c>
      <c r="H6995" t="s">
        <v>2375</v>
      </c>
      <c r="J6995" t="s">
        <v>23209</v>
      </c>
      <c r="K6995" t="s">
        <v>136</v>
      </c>
      <c r="L6995" t="s">
        <v>80</v>
      </c>
      <c r="M6995" t="s">
        <v>105</v>
      </c>
      <c r="N6995" t="s">
        <v>20429</v>
      </c>
      <c r="O6995" t="s">
        <v>23253</v>
      </c>
      <c r="P6995" s="2" t="s">
        <v>26</v>
      </c>
      <c r="Q6995" t="s">
        <v>50</v>
      </c>
      <c r="R6995">
        <v>90.06</v>
      </c>
      <c r="S6995">
        <v>90.36</v>
      </c>
      <c r="T6995" t="s">
        <v>23254</v>
      </c>
    </row>
    <row r="6996" spans="1:20" x14ac:dyDescent="0.25">
      <c r="A6996" s="1" t="str">
        <f>HYPERLINK("https://vegkart.atlas.vegvesen.no/#/@218482.0,6847311.7,18/hva:hva%5B0%5D%5Bfilter%5D%5B0%5D%5Boperator%5D=%21%3D&amp;hva%5B0%5D%5Bfilter%5D%5B0%5D%5Btype_id%5D=5897&amp;hva%5B0%5D%5Bfilter%5D%5B0%5D%5Bverdi%5D=&amp;hva%5B0%5D%5Bid%5D=47/når:2024-10-23", "Vegkart")</f>
        <v>Vegkart</v>
      </c>
      <c r="B6996">
        <v>1021012755</v>
      </c>
      <c r="C6996">
        <v>47</v>
      </c>
      <c r="D6996" t="s">
        <v>16854</v>
      </c>
      <c r="E6996">
        <v>5897</v>
      </c>
      <c r="F6996" t="s">
        <v>23479</v>
      </c>
      <c r="G6996">
        <v>1</v>
      </c>
      <c r="H6996" t="s">
        <v>2375</v>
      </c>
      <c r="J6996" t="s">
        <v>23209</v>
      </c>
      <c r="K6996" t="s">
        <v>136</v>
      </c>
      <c r="L6996" t="s">
        <v>80</v>
      </c>
      <c r="M6996" t="s">
        <v>105</v>
      </c>
      <c r="N6996" t="s">
        <v>23255</v>
      </c>
      <c r="O6996" t="s">
        <v>23256</v>
      </c>
      <c r="P6996" s="2" t="s">
        <v>26</v>
      </c>
      <c r="Q6996" t="s">
        <v>50</v>
      </c>
      <c r="R6996">
        <v>90.06</v>
      </c>
      <c r="S6996">
        <v>90.36</v>
      </c>
      <c r="T6996" t="s">
        <v>23257</v>
      </c>
    </row>
    <row r="6997" spans="1:20" x14ac:dyDescent="0.25">
      <c r="A6997" s="1" t="str">
        <f>HYPERLINK("https://vegkart.atlas.vegvesen.no/#/@218735.5,6846361.6,18/hva:hva%5B0%5D%5Bfilter%5D%5B0%5D%5Boperator%5D=%21%3D&amp;hva%5B0%5D%5Bfilter%5D%5B0%5D%5Btype_id%5D=5897&amp;hva%5B0%5D%5Bfilter%5D%5B0%5D%5Bverdi%5D=&amp;hva%5B0%5D%5Bid%5D=47/når:2024-10-23", "Vegkart")</f>
        <v>Vegkart</v>
      </c>
      <c r="B6997">
        <v>1021012756</v>
      </c>
      <c r="C6997">
        <v>47</v>
      </c>
      <c r="D6997" t="s">
        <v>16854</v>
      </c>
      <c r="E6997">
        <v>5897</v>
      </c>
      <c r="F6997" t="s">
        <v>23479</v>
      </c>
      <c r="G6997">
        <v>1</v>
      </c>
      <c r="H6997" t="s">
        <v>2375</v>
      </c>
      <c r="J6997" t="s">
        <v>23209</v>
      </c>
      <c r="K6997" t="s">
        <v>136</v>
      </c>
      <c r="L6997" t="s">
        <v>80</v>
      </c>
      <c r="M6997" t="s">
        <v>105</v>
      </c>
      <c r="N6997" t="s">
        <v>23258</v>
      </c>
      <c r="O6997" t="s">
        <v>23259</v>
      </c>
      <c r="P6997" s="2" t="s">
        <v>26</v>
      </c>
      <c r="Q6997" t="s">
        <v>50</v>
      </c>
      <c r="R6997">
        <v>90.11</v>
      </c>
      <c r="S6997">
        <v>90.45</v>
      </c>
      <c r="T6997" t="s">
        <v>23260</v>
      </c>
    </row>
    <row r="6998" spans="1:20" x14ac:dyDescent="0.25">
      <c r="A6998" s="1" t="str">
        <f>HYPERLINK("https://vegkart.atlas.vegvesen.no/#/@219038.4,6845405.1,18/hva:hva%5B0%5D%5Bfilter%5D%5B0%5D%5Boperator%5D=%21%3D&amp;hva%5B0%5D%5Bfilter%5D%5B0%5D%5Btype_id%5D=5897&amp;hva%5B0%5D%5Bfilter%5D%5B0%5D%5Bverdi%5D=&amp;hva%5B0%5D%5Bid%5D=47/når:2024-10-23", "Vegkart")</f>
        <v>Vegkart</v>
      </c>
      <c r="B6998">
        <v>1021012757</v>
      </c>
      <c r="C6998">
        <v>47</v>
      </c>
      <c r="D6998" t="s">
        <v>16854</v>
      </c>
      <c r="E6998">
        <v>5897</v>
      </c>
      <c r="F6998" t="s">
        <v>23479</v>
      </c>
      <c r="G6998">
        <v>1</v>
      </c>
      <c r="H6998" t="s">
        <v>2375</v>
      </c>
      <c r="J6998" t="s">
        <v>23209</v>
      </c>
      <c r="K6998" t="s">
        <v>136</v>
      </c>
      <c r="L6998" t="s">
        <v>80</v>
      </c>
      <c r="M6998" t="s">
        <v>105</v>
      </c>
      <c r="N6998" t="s">
        <v>23261</v>
      </c>
      <c r="O6998" t="s">
        <v>23262</v>
      </c>
      <c r="P6998" s="2" t="s">
        <v>26</v>
      </c>
      <c r="Q6998" t="s">
        <v>50</v>
      </c>
      <c r="R6998">
        <v>90.06</v>
      </c>
      <c r="S6998">
        <v>90.36</v>
      </c>
      <c r="T6998" t="s">
        <v>23263</v>
      </c>
    </row>
    <row r="6999" spans="1:20" x14ac:dyDescent="0.25">
      <c r="A6999" s="1" t="str">
        <f>HYPERLINK("https://vegkart.atlas.vegvesen.no/#/@218876.9,6845862.5,18/hva:hva%5B0%5D%5Bfilter%5D%5B0%5D%5Boperator%5D=%21%3D&amp;hva%5B0%5D%5Bfilter%5D%5B0%5D%5Btype_id%5D=5897&amp;hva%5B0%5D%5Bfilter%5D%5B0%5D%5Bverdi%5D=&amp;hva%5B0%5D%5Bid%5D=47/når:2024-10-24", "Vegkart")</f>
        <v>Vegkart</v>
      </c>
      <c r="B6999">
        <v>1021012764</v>
      </c>
      <c r="C6999">
        <v>47</v>
      </c>
      <c r="D6999" t="s">
        <v>16854</v>
      </c>
      <c r="E6999">
        <v>5897</v>
      </c>
      <c r="F6999" t="s">
        <v>23479</v>
      </c>
      <c r="G6999">
        <v>1</v>
      </c>
      <c r="H6999" t="s">
        <v>1310</v>
      </c>
      <c r="J6999" t="s">
        <v>23209</v>
      </c>
      <c r="K6999" t="s">
        <v>136</v>
      </c>
      <c r="L6999" t="s">
        <v>80</v>
      </c>
      <c r="M6999" t="s">
        <v>105</v>
      </c>
      <c r="N6999" t="s">
        <v>23264</v>
      </c>
      <c r="O6999" t="s">
        <v>23265</v>
      </c>
      <c r="P6999" s="2" t="s">
        <v>26</v>
      </c>
      <c r="Q6999" t="s">
        <v>50</v>
      </c>
      <c r="R6999">
        <v>88.88</v>
      </c>
      <c r="S6999">
        <v>89.5</v>
      </c>
      <c r="T6999" t="s">
        <v>23266</v>
      </c>
    </row>
    <row r="7000" spans="1:20" x14ac:dyDescent="0.25">
      <c r="A7000" s="1" t="str">
        <f>HYPERLINK("https://vegkart.atlas.vegvesen.no/#/@-34523.9,6665987.4,18/hva:hva%5B0%5D%5Bfilter%5D%5B0%5D%5Boperator%5D=%21%3D&amp;hva%5B0%5D%5Bfilter%5D%5B0%5D%5Btype_id%5D=5897&amp;hva%5B0%5D%5Bfilter%5D%5B0%5D%5Bverdi%5D=&amp;hva%5B0%5D%5Bid%5D=47/når:2024-11-01", "Vegkart")</f>
        <v>Vegkart</v>
      </c>
      <c r="B7000">
        <v>1021050442</v>
      </c>
      <c r="C7000">
        <v>47</v>
      </c>
      <c r="D7000" t="s">
        <v>16854</v>
      </c>
      <c r="E7000">
        <v>5897</v>
      </c>
      <c r="F7000" t="s">
        <v>23479</v>
      </c>
      <c r="G7000">
        <v>1</v>
      </c>
      <c r="H7000" t="s">
        <v>5658</v>
      </c>
      <c r="J7000" t="s">
        <v>23209</v>
      </c>
      <c r="K7000" t="s">
        <v>21</v>
      </c>
      <c r="L7000" t="s">
        <v>33</v>
      </c>
      <c r="M7000" t="s">
        <v>23267</v>
      </c>
      <c r="N7000" t="s">
        <v>23268</v>
      </c>
      <c r="O7000" t="s">
        <v>23269</v>
      </c>
      <c r="P7000" s="2" t="s">
        <v>26</v>
      </c>
      <c r="Q7000" t="s">
        <v>50</v>
      </c>
      <c r="R7000">
        <v>24.53</v>
      </c>
      <c r="S7000">
        <v>24.53</v>
      </c>
      <c r="T7000" t="s">
        <v>23270</v>
      </c>
    </row>
    <row r="7001" spans="1:20" x14ac:dyDescent="0.25">
      <c r="A7001" s="1" t="str">
        <f>HYPERLINK("https://vegkart.atlas.vegvesen.no/#/@-34176.4,6666231.3,18/hva:hva%5B0%5D%5Bfilter%5D%5B0%5D%5Boperator%5D=%21%3D&amp;hva%5B0%5D%5Bfilter%5D%5B0%5D%5Btype_id%5D=5897&amp;hva%5B0%5D%5Bfilter%5D%5B0%5D%5Bverdi%5D=&amp;hva%5B0%5D%5Bid%5D=47/når:2024-11-01", "Vegkart")</f>
        <v>Vegkart</v>
      </c>
      <c r="B7001">
        <v>1021050443</v>
      </c>
      <c r="C7001">
        <v>47</v>
      </c>
      <c r="D7001" t="s">
        <v>16854</v>
      </c>
      <c r="E7001">
        <v>5897</v>
      </c>
      <c r="F7001" t="s">
        <v>23479</v>
      </c>
      <c r="G7001">
        <v>1</v>
      </c>
      <c r="H7001" t="s">
        <v>5658</v>
      </c>
      <c r="J7001" t="s">
        <v>23209</v>
      </c>
      <c r="K7001" t="s">
        <v>21</v>
      </c>
      <c r="L7001" t="s">
        <v>33</v>
      </c>
      <c r="M7001" t="s">
        <v>23267</v>
      </c>
      <c r="N7001" t="s">
        <v>23271</v>
      </c>
      <c r="O7001" t="s">
        <v>23272</v>
      </c>
      <c r="P7001" s="2" t="s">
        <v>26</v>
      </c>
      <c r="Q7001" t="s">
        <v>50</v>
      </c>
      <c r="R7001">
        <v>24.55</v>
      </c>
      <c r="S7001">
        <v>24.55</v>
      </c>
      <c r="T7001" t="s">
        <v>23273</v>
      </c>
    </row>
    <row r="7002" spans="1:20" x14ac:dyDescent="0.25">
      <c r="A7002" s="1" t="str">
        <f>HYPERLINK("https://vegkart.atlas.vegvesen.no/#/@-33764.3,6666318.0,18/hva:hva%5B0%5D%5Bfilter%5D%5B0%5D%5Boperator%5D=%21%3D&amp;hva%5B0%5D%5Bfilter%5D%5B0%5D%5Btype_id%5D=5897&amp;hva%5B0%5D%5Bfilter%5D%5B0%5D%5Bverdi%5D=&amp;hva%5B0%5D%5Bid%5D=47/når:2024-11-01", "Vegkart")</f>
        <v>Vegkart</v>
      </c>
      <c r="B7002">
        <v>1021050444</v>
      </c>
      <c r="C7002">
        <v>47</v>
      </c>
      <c r="D7002" t="s">
        <v>16854</v>
      </c>
      <c r="E7002">
        <v>5897</v>
      </c>
      <c r="F7002" t="s">
        <v>23479</v>
      </c>
      <c r="G7002">
        <v>1</v>
      </c>
      <c r="H7002" t="s">
        <v>5658</v>
      </c>
      <c r="J7002" t="s">
        <v>23209</v>
      </c>
      <c r="K7002" t="s">
        <v>21</v>
      </c>
      <c r="L7002" t="s">
        <v>33</v>
      </c>
      <c r="M7002" t="s">
        <v>23267</v>
      </c>
      <c r="N7002" t="s">
        <v>23274</v>
      </c>
      <c r="O7002" t="s">
        <v>23275</v>
      </c>
      <c r="P7002" s="2" t="s">
        <v>26</v>
      </c>
      <c r="Q7002" t="s">
        <v>50</v>
      </c>
      <c r="R7002">
        <v>24.58</v>
      </c>
      <c r="S7002">
        <v>24.58</v>
      </c>
      <c r="T7002" t="s">
        <v>23276</v>
      </c>
    </row>
    <row r="7003" spans="1:20" x14ac:dyDescent="0.25">
      <c r="A7003" s="1" t="str">
        <f>HYPERLINK("https://vegkart.atlas.vegvesen.no/#/@-34763.9,6666044.4,18/hva:hva%5B0%5D%5Bfilter%5D%5B0%5D%5Boperator%5D=%21%3D&amp;hva%5B0%5D%5Bfilter%5D%5B0%5D%5Btype_id%5D=5897&amp;hva%5B0%5D%5Bfilter%5D%5B0%5D%5Bverdi%5D=&amp;hva%5B0%5D%5Bid%5D=47/når:2024-11-01", "Vegkart")</f>
        <v>Vegkart</v>
      </c>
      <c r="B7003">
        <v>1021050446</v>
      </c>
      <c r="C7003">
        <v>47</v>
      </c>
      <c r="D7003" t="s">
        <v>16854</v>
      </c>
      <c r="E7003">
        <v>5897</v>
      </c>
      <c r="F7003" t="s">
        <v>23479</v>
      </c>
      <c r="G7003">
        <v>1</v>
      </c>
      <c r="H7003" t="s">
        <v>5658</v>
      </c>
      <c r="J7003" t="s">
        <v>23209</v>
      </c>
      <c r="K7003" t="s">
        <v>21</v>
      </c>
      <c r="L7003" t="s">
        <v>33</v>
      </c>
      <c r="M7003" t="s">
        <v>23267</v>
      </c>
      <c r="N7003" t="s">
        <v>23277</v>
      </c>
      <c r="O7003" t="s">
        <v>23278</v>
      </c>
      <c r="P7003" s="2" t="s">
        <v>26</v>
      </c>
      <c r="Q7003" t="s">
        <v>50</v>
      </c>
      <c r="R7003">
        <v>22.07</v>
      </c>
      <c r="S7003">
        <v>22.07</v>
      </c>
      <c r="T7003" t="s">
        <v>23279</v>
      </c>
    </row>
    <row r="7004" spans="1:20" x14ac:dyDescent="0.25">
      <c r="A7004" s="1" t="str">
        <f>HYPERLINK("https://vegkart.atlas.vegvesen.no/#/@818921.3,7784164.4,18/hva:hva%5B0%5D%5Bfilter%5D%5B0%5D%5Boperator%5D=%21%3D&amp;hva%5B0%5D%5Bfilter%5D%5B0%5D%5Btype_id%5D=5897&amp;hva%5B0%5D%5Bfilter%5D%5B0%5D%5Bverdi%5D=&amp;hva%5B0%5D%5Bid%5D=47/når:2024-11-04", "Vegkart")</f>
        <v>Vegkart</v>
      </c>
      <c r="B7004">
        <v>1021053263</v>
      </c>
      <c r="C7004">
        <v>47</v>
      </c>
      <c r="D7004" t="s">
        <v>16854</v>
      </c>
      <c r="E7004">
        <v>5897</v>
      </c>
      <c r="F7004" t="s">
        <v>23479</v>
      </c>
      <c r="G7004">
        <v>1</v>
      </c>
      <c r="H7004" t="s">
        <v>23280</v>
      </c>
      <c r="J7004" t="s">
        <v>23209</v>
      </c>
      <c r="K7004" t="s">
        <v>450</v>
      </c>
      <c r="L7004" t="s">
        <v>33</v>
      </c>
      <c r="M7004" t="s">
        <v>23281</v>
      </c>
      <c r="N7004" t="s">
        <v>23282</v>
      </c>
      <c r="O7004" t="s">
        <v>23283</v>
      </c>
      <c r="P7004" s="2" t="s">
        <v>37</v>
      </c>
      <c r="Q7004" t="s">
        <v>1208</v>
      </c>
      <c r="R7004">
        <v>0</v>
      </c>
      <c r="S7004">
        <v>136.12</v>
      </c>
      <c r="T7004" t="s">
        <v>23284</v>
      </c>
    </row>
    <row r="7005" spans="1:20" x14ac:dyDescent="0.25">
      <c r="A7005" s="1" t="str">
        <f>HYPERLINK("https://vegkart.atlas.vegvesen.no/#/@818803.6,7784190.2,18/hva:hva%5B0%5D%5Bfilter%5D%5B0%5D%5Boperator%5D=%21%3D&amp;hva%5B0%5D%5Bfilter%5D%5B0%5D%5Btype_id%5D=5897&amp;hva%5B0%5D%5Bfilter%5D%5B0%5D%5Bverdi%5D=&amp;hva%5B0%5D%5Bid%5D=47/når:2024-11-04", "Vegkart")</f>
        <v>Vegkart</v>
      </c>
      <c r="B7005">
        <v>1021053264</v>
      </c>
      <c r="C7005">
        <v>47</v>
      </c>
      <c r="D7005" t="s">
        <v>16854</v>
      </c>
      <c r="E7005">
        <v>5897</v>
      </c>
      <c r="F7005" t="s">
        <v>23479</v>
      </c>
      <c r="G7005">
        <v>1</v>
      </c>
      <c r="H7005" t="s">
        <v>23280</v>
      </c>
      <c r="J7005" t="s">
        <v>23209</v>
      </c>
      <c r="K7005" t="s">
        <v>450</v>
      </c>
      <c r="L7005" t="s">
        <v>33</v>
      </c>
      <c r="M7005" t="s">
        <v>23281</v>
      </c>
      <c r="N7005" t="s">
        <v>23285</v>
      </c>
      <c r="O7005" t="s">
        <v>23286</v>
      </c>
      <c r="P7005" s="2" t="s">
        <v>37</v>
      </c>
      <c r="Q7005" t="s">
        <v>1208</v>
      </c>
      <c r="R7005">
        <v>0</v>
      </c>
      <c r="S7005">
        <v>144.79</v>
      </c>
      <c r="T7005" t="s">
        <v>23287</v>
      </c>
    </row>
    <row r="7006" spans="1:20" x14ac:dyDescent="0.25">
      <c r="A7006" s="1" t="str">
        <f>HYPERLINK("https://vegkart.atlas.vegvesen.no/#/@1054358.9,7829648.4,18/hva:hva%5B0%5D%5Bfilter%5D%5B0%5D%5Boperator%5D=%21%3D&amp;hva%5B0%5D%5Bfilter%5D%5B0%5D%5Btype_id%5D=5897&amp;hva%5B0%5D%5Bfilter%5D%5B0%5D%5Bverdi%5D=&amp;hva%5B0%5D%5Bid%5D=47/når:2024-12-03", "Vegkart")</f>
        <v>Vegkart</v>
      </c>
      <c r="B7006">
        <v>1021250354</v>
      </c>
      <c r="C7006">
        <v>47</v>
      </c>
      <c r="D7006" t="s">
        <v>16854</v>
      </c>
      <c r="E7006">
        <v>5897</v>
      </c>
      <c r="F7006" t="s">
        <v>23479</v>
      </c>
      <c r="G7006">
        <v>1</v>
      </c>
      <c r="H7006" t="s">
        <v>23288</v>
      </c>
      <c r="J7006" t="s">
        <v>23209</v>
      </c>
      <c r="K7006" t="s">
        <v>450</v>
      </c>
      <c r="L7006" t="s">
        <v>33</v>
      </c>
      <c r="M7006" t="s">
        <v>23289</v>
      </c>
      <c r="N7006" t="s">
        <v>23290</v>
      </c>
      <c r="O7006" t="s">
        <v>23291</v>
      </c>
      <c r="P7006" s="2" t="s">
        <v>37</v>
      </c>
      <c r="Q7006" t="s">
        <v>1208</v>
      </c>
      <c r="R7006">
        <v>0.11</v>
      </c>
      <c r="S7006">
        <v>114.08</v>
      </c>
      <c r="T7006" t="s">
        <v>23292</v>
      </c>
    </row>
    <row r="7007" spans="1:20" x14ac:dyDescent="0.25">
      <c r="A7007" s="1" t="str">
        <f>HYPERLINK("https://vegkart.atlas.vegvesen.no/#/@808367.1,7875257.0,18/hva:hva%5B0%5D%5Bfilter%5D%5B0%5D%5Boperator%5D=%21%3D&amp;hva%5B0%5D%5Bfilter%5D%5B0%5D%5Btype_id%5D=5897&amp;hva%5B0%5D%5Bfilter%5D%5B0%5D%5Bverdi%5D=&amp;hva%5B0%5D%5Bid%5D=47/når:2024-12-09", "Vegkart")</f>
        <v>Vegkart</v>
      </c>
      <c r="B7007">
        <v>1021345170</v>
      </c>
      <c r="C7007">
        <v>47</v>
      </c>
      <c r="D7007" t="s">
        <v>16854</v>
      </c>
      <c r="E7007">
        <v>5897</v>
      </c>
      <c r="F7007" t="s">
        <v>23479</v>
      </c>
      <c r="G7007">
        <v>1</v>
      </c>
      <c r="H7007" t="s">
        <v>1281</v>
      </c>
      <c r="J7007" t="s">
        <v>23209</v>
      </c>
      <c r="K7007" t="s">
        <v>450</v>
      </c>
      <c r="L7007" t="s">
        <v>33</v>
      </c>
      <c r="M7007" t="s">
        <v>23293</v>
      </c>
      <c r="N7007" t="s">
        <v>23294</v>
      </c>
      <c r="O7007" t="s">
        <v>23295</v>
      </c>
      <c r="P7007" s="2" t="s">
        <v>37</v>
      </c>
      <c r="Q7007" t="s">
        <v>1208</v>
      </c>
      <c r="R7007">
        <v>0.13</v>
      </c>
      <c r="S7007">
        <v>53.55</v>
      </c>
      <c r="T7007" t="s">
        <v>23296</v>
      </c>
    </row>
    <row r="7008" spans="1:20" x14ac:dyDescent="0.25">
      <c r="A7008" s="1" t="str">
        <f>HYPERLINK("https://vegkart.atlas.vegvesen.no/#/@806364.8,7874924.8,18/hva:hva%5B0%5D%5Bfilter%5D%5B0%5D%5Boperator%5D=%21%3D&amp;hva%5B0%5D%5Bfilter%5D%5B0%5D%5Btype_id%5D=5897&amp;hva%5B0%5D%5Bfilter%5D%5B0%5D%5Bverdi%5D=&amp;hva%5B0%5D%5Bid%5D=47/når:2024-12-09", "Vegkart")</f>
        <v>Vegkart</v>
      </c>
      <c r="B7008">
        <v>1021345171</v>
      </c>
      <c r="C7008">
        <v>47</v>
      </c>
      <c r="D7008" t="s">
        <v>16854</v>
      </c>
      <c r="E7008">
        <v>5897</v>
      </c>
      <c r="F7008" t="s">
        <v>23479</v>
      </c>
      <c r="G7008">
        <v>1</v>
      </c>
      <c r="H7008" t="s">
        <v>1281</v>
      </c>
      <c r="J7008" t="s">
        <v>23209</v>
      </c>
      <c r="K7008" t="s">
        <v>450</v>
      </c>
      <c r="L7008" t="s">
        <v>33</v>
      </c>
      <c r="M7008" t="s">
        <v>23293</v>
      </c>
      <c r="N7008" t="s">
        <v>23297</v>
      </c>
      <c r="O7008" t="s">
        <v>23298</v>
      </c>
      <c r="P7008" s="2" t="s">
        <v>37</v>
      </c>
      <c r="Q7008" t="s">
        <v>1208</v>
      </c>
      <c r="R7008">
        <v>0.3</v>
      </c>
      <c r="S7008">
        <v>116.18</v>
      </c>
      <c r="T7008" t="s">
        <v>23299</v>
      </c>
    </row>
    <row r="7009" spans="1:20" x14ac:dyDescent="0.25">
      <c r="A7009" s="1" t="str">
        <f>HYPERLINK("https://vegkart.atlas.vegvesen.no/#/@270914.2,6651881.5,18/hva:hva%5B0%5D%5Bfilter%5D%5B0%5D%5Boperator%5D=%21%3D&amp;hva%5B0%5D%5Bfilter%5D%5B0%5D%5Btype_id%5D=5897&amp;hva%5B0%5D%5Bfilter%5D%5B0%5D%5Bverdi%5D=&amp;hva%5B0%5D%5Bid%5D=47/når:2024-12-11", "Vegkart")</f>
        <v>Vegkart</v>
      </c>
      <c r="B7009">
        <v>1021354575</v>
      </c>
      <c r="C7009">
        <v>47</v>
      </c>
      <c r="D7009" t="s">
        <v>16854</v>
      </c>
      <c r="E7009">
        <v>5897</v>
      </c>
      <c r="F7009" t="s">
        <v>23479</v>
      </c>
      <c r="G7009">
        <v>1</v>
      </c>
      <c r="H7009" t="s">
        <v>23300</v>
      </c>
      <c r="J7009" t="s">
        <v>23209</v>
      </c>
      <c r="K7009" t="s">
        <v>335</v>
      </c>
      <c r="L7009" t="s">
        <v>22</v>
      </c>
      <c r="M7009" t="s">
        <v>23301</v>
      </c>
      <c r="N7009" t="s">
        <v>23302</v>
      </c>
      <c r="O7009" t="s">
        <v>23303</v>
      </c>
      <c r="P7009" s="2" t="s">
        <v>26</v>
      </c>
      <c r="Q7009" t="s">
        <v>50</v>
      </c>
      <c r="R7009">
        <v>49.13</v>
      </c>
      <c r="S7009">
        <v>49.13</v>
      </c>
      <c r="T7009" t="s">
        <v>23304</v>
      </c>
    </row>
    <row r="7010" spans="1:20" x14ac:dyDescent="0.25">
      <c r="A7010" s="1" t="str">
        <f>HYPERLINK("https://vegkart.atlas.vegvesen.no/#/@287343.7,6673733.5,18/hva:hva%5B0%5D%5Bfilter%5D%5B0%5D%5Boperator%5D=%21%3D&amp;hva%5B0%5D%5Bfilter%5D%5B0%5D%5Btype_id%5D=5897&amp;hva%5B0%5D%5Bfilter%5D%5B0%5D%5Bverdi%5D=&amp;hva%5B0%5D%5Bid%5D=47/når:2024-12-13", "Vegkart")</f>
        <v>Vegkart</v>
      </c>
      <c r="B7010">
        <v>1021367211</v>
      </c>
      <c r="C7010">
        <v>47</v>
      </c>
      <c r="D7010" t="s">
        <v>16854</v>
      </c>
      <c r="E7010">
        <v>5897</v>
      </c>
      <c r="F7010" t="s">
        <v>23479</v>
      </c>
      <c r="G7010">
        <v>1</v>
      </c>
      <c r="H7010" t="s">
        <v>23305</v>
      </c>
      <c r="J7010" t="s">
        <v>23209</v>
      </c>
      <c r="K7010" t="s">
        <v>132</v>
      </c>
      <c r="L7010" t="s">
        <v>33</v>
      </c>
      <c r="M7010" t="s">
        <v>10186</v>
      </c>
      <c r="N7010" t="s">
        <v>23306</v>
      </c>
      <c r="O7010" t="s">
        <v>23307</v>
      </c>
      <c r="P7010" s="2" t="s">
        <v>26</v>
      </c>
      <c r="Q7010" t="s">
        <v>50</v>
      </c>
      <c r="R7010">
        <v>19.21</v>
      </c>
      <c r="S7010">
        <v>19.21</v>
      </c>
      <c r="T7010" t="s">
        <v>23308</v>
      </c>
    </row>
    <row r="7011" spans="1:20" x14ac:dyDescent="0.25">
      <c r="A7011" s="1" t="str">
        <f>HYPERLINK("https://vegkart.atlas.vegvesen.no/#/@285453.3,6669188.7,18/hva:hva%5B0%5D%5Bfilter%5D%5B0%5D%5Boperator%5D=%21%3D&amp;hva%5B0%5D%5Bfilter%5D%5B0%5D%5Btype_id%5D=5897&amp;hva%5B0%5D%5Bfilter%5D%5B0%5D%5Bverdi%5D=&amp;hva%5B0%5D%5Bid%5D=47/når:2024-12-17", "Vegkart")</f>
        <v>Vegkart</v>
      </c>
      <c r="B7011">
        <v>1021390380</v>
      </c>
      <c r="C7011">
        <v>47</v>
      </c>
      <c r="D7011" t="s">
        <v>16854</v>
      </c>
      <c r="E7011">
        <v>5897</v>
      </c>
      <c r="F7011" t="s">
        <v>23479</v>
      </c>
      <c r="G7011">
        <v>1</v>
      </c>
      <c r="H7011" t="s">
        <v>202</v>
      </c>
      <c r="J7011" t="s">
        <v>23209</v>
      </c>
      <c r="K7011" t="s">
        <v>132</v>
      </c>
      <c r="L7011" t="s">
        <v>33</v>
      </c>
      <c r="M7011" t="s">
        <v>10186</v>
      </c>
      <c r="N7011" t="s">
        <v>23309</v>
      </c>
      <c r="O7011" t="s">
        <v>23310</v>
      </c>
      <c r="P7011" s="2" t="s">
        <v>26</v>
      </c>
      <c r="Q7011" t="s">
        <v>50</v>
      </c>
      <c r="R7011">
        <v>25.89</v>
      </c>
      <c r="S7011">
        <v>25.89</v>
      </c>
      <c r="T7011" t="s">
        <v>23311</v>
      </c>
    </row>
    <row r="7012" spans="1:20" x14ac:dyDescent="0.25">
      <c r="A7012" s="1" t="str">
        <f>HYPERLINK("https://vegkart.atlas.vegvesen.no/#/@103614.2,6470776.9,18/hva:hva%5B0%5D%5Bfilter%5D%5B0%5D%5Boperator%5D=%21%3D&amp;hva%5B0%5D%5Bfilter%5D%5B0%5D%5Btype_id%5D=5897&amp;hva%5B0%5D%5Bfilter%5D%5B0%5D%5Bverdi%5D=&amp;hva%5B0%5D%5Bid%5D=47/når:2024-12-18", "Vegkart")</f>
        <v>Vegkart</v>
      </c>
      <c r="B7012">
        <v>1021393331</v>
      </c>
      <c r="C7012">
        <v>47</v>
      </c>
      <c r="D7012" t="s">
        <v>16854</v>
      </c>
      <c r="E7012">
        <v>5897</v>
      </c>
      <c r="F7012" t="s">
        <v>23479</v>
      </c>
      <c r="G7012">
        <v>1</v>
      </c>
      <c r="H7012" t="s">
        <v>23312</v>
      </c>
      <c r="J7012" t="s">
        <v>23209</v>
      </c>
      <c r="K7012" t="s">
        <v>86</v>
      </c>
      <c r="L7012" t="s">
        <v>33</v>
      </c>
      <c r="M7012" t="s">
        <v>7560</v>
      </c>
      <c r="N7012" t="s">
        <v>23313</v>
      </c>
      <c r="O7012" t="s">
        <v>23314</v>
      </c>
      <c r="P7012" s="2" t="s">
        <v>37</v>
      </c>
      <c r="Q7012" t="s">
        <v>1208</v>
      </c>
      <c r="R7012">
        <v>0.08</v>
      </c>
      <c r="S7012">
        <v>125.05</v>
      </c>
      <c r="T7012" t="s">
        <v>23315</v>
      </c>
    </row>
    <row r="7013" spans="1:20" x14ac:dyDescent="0.25">
      <c r="A7013" s="1" t="str">
        <f>HYPERLINK("https://vegkart.atlas.vegvesen.no/#/@561955.9,7605352.0,18/hva:hva%5B0%5D%5Bfilter%5D%5B0%5D%5Boperator%5D=%21%3D&amp;hva%5B0%5D%5Bfilter%5D%5B0%5D%5Btype_id%5D=5897&amp;hva%5B0%5D%5Bfilter%5D%5B0%5D%5Bverdi%5D=&amp;hva%5B0%5D%5Bid%5D=47/når:2025-01-06", "Vegkart")</f>
        <v>Vegkart</v>
      </c>
      <c r="B7013">
        <v>1021413053</v>
      </c>
      <c r="C7013">
        <v>47</v>
      </c>
      <c r="D7013" t="s">
        <v>16854</v>
      </c>
      <c r="E7013">
        <v>5897</v>
      </c>
      <c r="F7013" t="s">
        <v>23479</v>
      </c>
      <c r="G7013">
        <v>1</v>
      </c>
      <c r="H7013" t="s">
        <v>23316</v>
      </c>
      <c r="J7013" t="s">
        <v>23209</v>
      </c>
      <c r="K7013" t="s">
        <v>179</v>
      </c>
      <c r="L7013" t="s">
        <v>33</v>
      </c>
      <c r="M7013" t="s">
        <v>23317</v>
      </c>
      <c r="N7013" t="s">
        <v>23318</v>
      </c>
      <c r="O7013" t="s">
        <v>23319</v>
      </c>
      <c r="P7013" s="2" t="s">
        <v>26</v>
      </c>
      <c r="Q7013" t="s">
        <v>50</v>
      </c>
      <c r="R7013">
        <v>29.82</v>
      </c>
      <c r="S7013">
        <v>29.82</v>
      </c>
      <c r="T7013" t="s">
        <v>23320</v>
      </c>
    </row>
    <row r="7014" spans="1:20" x14ac:dyDescent="0.25">
      <c r="A7014" s="1" t="str">
        <f>HYPERLINK("https://vegkart.atlas.vegvesen.no/#/@561967.0,7605383.2,18/hva:hva%5B0%5D%5Bfilter%5D%5B0%5D%5Boperator%5D=%21%3D&amp;hva%5B0%5D%5Bfilter%5D%5B0%5D%5Btype_id%5D=5897&amp;hva%5B0%5D%5Bfilter%5D%5B0%5D%5Bverdi%5D=&amp;hva%5B0%5D%5Bid%5D=47/når:2025-01-06", "Vegkart")</f>
        <v>Vegkart</v>
      </c>
      <c r="B7014">
        <v>1021413054</v>
      </c>
      <c r="C7014">
        <v>47</v>
      </c>
      <c r="D7014" t="s">
        <v>16854</v>
      </c>
      <c r="E7014">
        <v>5897</v>
      </c>
      <c r="F7014" t="s">
        <v>23479</v>
      </c>
      <c r="G7014">
        <v>1</v>
      </c>
      <c r="H7014" t="s">
        <v>23316</v>
      </c>
      <c r="J7014" t="s">
        <v>23209</v>
      </c>
      <c r="K7014" t="s">
        <v>179</v>
      </c>
      <c r="L7014" t="s">
        <v>33</v>
      </c>
      <c r="M7014" t="s">
        <v>23317</v>
      </c>
      <c r="N7014" t="s">
        <v>23321</v>
      </c>
      <c r="O7014" t="s">
        <v>23322</v>
      </c>
      <c r="P7014" s="2" t="s">
        <v>26</v>
      </c>
      <c r="Q7014" t="s">
        <v>50</v>
      </c>
      <c r="R7014">
        <v>34.549999999999997</v>
      </c>
      <c r="S7014">
        <v>34.56</v>
      </c>
      <c r="T7014" t="s">
        <v>23323</v>
      </c>
    </row>
    <row r="7015" spans="1:20" x14ac:dyDescent="0.25">
      <c r="A7015" s="1" t="str">
        <f>HYPERLINK("https://vegkart.atlas.vegvesen.no/#/@270913.7,6651874.3,18/hva:hva%5B0%5D%5Bfilter%5D%5B0%5D%5Boperator%5D=%21%3D&amp;hva%5B0%5D%5Bfilter%5D%5B0%5D%5Btype_id%5D=5897&amp;hva%5B0%5D%5Bfilter%5D%5B0%5D%5Bverdi%5D=&amp;hva%5B0%5D%5Bid%5D=47/når:2025-01-07", "Vegkart")</f>
        <v>Vegkart</v>
      </c>
      <c r="B7015">
        <v>1021421570</v>
      </c>
      <c r="C7015">
        <v>47</v>
      </c>
      <c r="D7015" t="s">
        <v>16854</v>
      </c>
      <c r="E7015">
        <v>5897</v>
      </c>
      <c r="F7015" t="s">
        <v>23479</v>
      </c>
      <c r="G7015">
        <v>1</v>
      </c>
      <c r="H7015" t="s">
        <v>443</v>
      </c>
      <c r="J7015" t="s">
        <v>23209</v>
      </c>
      <c r="K7015" t="s">
        <v>335</v>
      </c>
      <c r="L7015" t="s">
        <v>22</v>
      </c>
      <c r="M7015" t="s">
        <v>23301</v>
      </c>
      <c r="N7015" t="s">
        <v>23302</v>
      </c>
      <c r="O7015" t="s">
        <v>23324</v>
      </c>
      <c r="P7015" s="2" t="s">
        <v>26</v>
      </c>
      <c r="Q7015" t="s">
        <v>50</v>
      </c>
      <c r="R7015">
        <v>48.98</v>
      </c>
      <c r="S7015">
        <v>48.98</v>
      </c>
      <c r="T7015" t="s">
        <v>23325</v>
      </c>
    </row>
    <row r="7016" spans="1:20" x14ac:dyDescent="0.25">
      <c r="A7016" s="1" t="str">
        <f>HYPERLINK("https://vegkart.atlas.vegvesen.no/#/@-59051.7,6782190.2,18/hva:hva%5B0%5D%5Bfilter%5D%5B0%5D%5Boperator%5D=%21%3D&amp;hva%5B0%5D%5Bfilter%5D%5B0%5D%5Btype_id%5D=5897&amp;hva%5B0%5D%5Bfilter%5D%5B0%5D%5Bverdi%5D=&amp;hva%5B0%5D%5Bid%5D=47/når:2025-01-09", "Vegkart")</f>
        <v>Vegkart</v>
      </c>
      <c r="B7016">
        <v>1021426403</v>
      </c>
      <c r="C7016">
        <v>47</v>
      </c>
      <c r="D7016" t="s">
        <v>16854</v>
      </c>
      <c r="E7016">
        <v>5897</v>
      </c>
      <c r="F7016" t="s">
        <v>23479</v>
      </c>
      <c r="G7016">
        <v>1</v>
      </c>
      <c r="H7016" t="s">
        <v>2488</v>
      </c>
      <c r="J7016" t="s">
        <v>23209</v>
      </c>
      <c r="K7016" t="s">
        <v>21</v>
      </c>
      <c r="L7016" t="s">
        <v>33</v>
      </c>
      <c r="M7016" t="s">
        <v>19725</v>
      </c>
      <c r="N7016" t="s">
        <v>23326</v>
      </c>
      <c r="O7016" t="s">
        <v>23327</v>
      </c>
      <c r="P7016" s="2" t="s">
        <v>26</v>
      </c>
      <c r="Q7016" t="s">
        <v>50</v>
      </c>
      <c r="R7016">
        <v>17.66</v>
      </c>
      <c r="S7016">
        <v>17.66</v>
      </c>
      <c r="T7016" t="s">
        <v>23328</v>
      </c>
    </row>
    <row r="7017" spans="1:20" x14ac:dyDescent="0.25">
      <c r="A7017" s="1" t="str">
        <f>HYPERLINK("https://vegkart.atlas.vegvesen.no/#/@-59053.1,6782333.2,18/hva:hva%5B0%5D%5Bfilter%5D%5B0%5D%5Boperator%5D=%21%3D&amp;hva%5B0%5D%5Bfilter%5D%5B0%5D%5Btype_id%5D=5897&amp;hva%5B0%5D%5Bfilter%5D%5B0%5D%5Bverdi%5D=&amp;hva%5B0%5D%5Bid%5D=47/når:2025-01-09", "Vegkart")</f>
        <v>Vegkart</v>
      </c>
      <c r="B7017">
        <v>1021426414</v>
      </c>
      <c r="C7017">
        <v>47</v>
      </c>
      <c r="D7017" t="s">
        <v>16854</v>
      </c>
      <c r="E7017">
        <v>5897</v>
      </c>
      <c r="F7017" t="s">
        <v>23479</v>
      </c>
      <c r="G7017">
        <v>1</v>
      </c>
      <c r="H7017" t="s">
        <v>2488</v>
      </c>
      <c r="J7017" t="s">
        <v>23209</v>
      </c>
      <c r="K7017" t="s">
        <v>21</v>
      </c>
      <c r="L7017" t="s">
        <v>33</v>
      </c>
      <c r="M7017" t="s">
        <v>19725</v>
      </c>
      <c r="N7017" t="s">
        <v>23329</v>
      </c>
      <c r="O7017" t="s">
        <v>23330</v>
      </c>
      <c r="P7017" s="2" t="s">
        <v>26</v>
      </c>
      <c r="Q7017" t="s">
        <v>50</v>
      </c>
      <c r="R7017">
        <v>25.15</v>
      </c>
      <c r="S7017">
        <v>25.15</v>
      </c>
      <c r="T7017" t="s">
        <v>23331</v>
      </c>
    </row>
    <row r="7018" spans="1:20" x14ac:dyDescent="0.25">
      <c r="A7018" s="1" t="str">
        <f>HYPERLINK("https://vegkart.atlas.vegvesen.no/#/@86193.8,6888292.2,18/hva:hva%5B0%5D%5Bfilter%5D%5B0%5D%5Boperator%5D=%21%3D&amp;hva%5B0%5D%5Bfilter%5D%5B0%5D%5Btype_id%5D=5897&amp;hva%5B0%5D%5Bfilter%5D%5B0%5D%5Bverdi%5D=&amp;hva%5B0%5D%5Bid%5D=47/når:2025-01-15", "Vegkart")</f>
        <v>Vegkart</v>
      </c>
      <c r="B7018">
        <v>1021893232</v>
      </c>
      <c r="C7018">
        <v>47</v>
      </c>
      <c r="D7018" t="s">
        <v>16854</v>
      </c>
      <c r="E7018">
        <v>5897</v>
      </c>
      <c r="F7018" t="s">
        <v>23479</v>
      </c>
      <c r="G7018">
        <v>1</v>
      </c>
      <c r="H7018" t="s">
        <v>23332</v>
      </c>
      <c r="J7018" t="s">
        <v>23209</v>
      </c>
      <c r="K7018" t="s">
        <v>21</v>
      </c>
      <c r="L7018" t="s">
        <v>113</v>
      </c>
      <c r="M7018" t="s">
        <v>32</v>
      </c>
      <c r="N7018" t="s">
        <v>23333</v>
      </c>
      <c r="O7018" t="s">
        <v>23334</v>
      </c>
      <c r="P7018" s="2" t="s">
        <v>37</v>
      </c>
      <c r="Q7018" t="s">
        <v>1208</v>
      </c>
      <c r="R7018">
        <v>0</v>
      </c>
      <c r="S7018">
        <v>55.11</v>
      </c>
      <c r="T7018" t="s">
        <v>23335</v>
      </c>
    </row>
    <row r="7019" spans="1:20" x14ac:dyDescent="0.25">
      <c r="A7019" s="1" t="str">
        <f>HYPERLINK("https://vegkart.atlas.vegvesen.no/#/@87148.9,6889186.1,18/hva:hva%5B0%5D%5Bfilter%5D%5B0%5D%5Boperator%5D=%21%3D&amp;hva%5B0%5D%5Bfilter%5D%5B0%5D%5Btype_id%5D=5897&amp;hva%5B0%5D%5Bfilter%5D%5B0%5D%5Bverdi%5D=&amp;hva%5B0%5D%5Bid%5D=47/når:2025-01-15", "Vegkart")</f>
        <v>Vegkart</v>
      </c>
      <c r="B7019">
        <v>1021893233</v>
      </c>
      <c r="C7019">
        <v>47</v>
      </c>
      <c r="D7019" t="s">
        <v>16854</v>
      </c>
      <c r="E7019">
        <v>5897</v>
      </c>
      <c r="F7019" t="s">
        <v>23479</v>
      </c>
      <c r="G7019">
        <v>1</v>
      </c>
      <c r="H7019" t="s">
        <v>23332</v>
      </c>
      <c r="J7019" t="s">
        <v>23209</v>
      </c>
      <c r="K7019" t="s">
        <v>21</v>
      </c>
      <c r="L7019" t="s">
        <v>113</v>
      </c>
      <c r="M7019" t="s">
        <v>32</v>
      </c>
      <c r="N7019" t="s">
        <v>23336</v>
      </c>
      <c r="O7019" t="s">
        <v>23337</v>
      </c>
      <c r="P7019" s="2" t="s">
        <v>37</v>
      </c>
      <c r="Q7019" t="s">
        <v>1208</v>
      </c>
      <c r="R7019">
        <v>0</v>
      </c>
      <c r="S7019">
        <v>39.61</v>
      </c>
      <c r="T7019" t="s">
        <v>23338</v>
      </c>
    </row>
    <row r="7020" spans="1:20" x14ac:dyDescent="0.25">
      <c r="A7020" s="1" t="str">
        <f>HYPERLINK("https://vegkart.atlas.vegvesen.no/#/@85943.2,6887955.5,18/hva:hva%5B0%5D%5Bfilter%5D%5B0%5D%5Boperator%5D=%21%3D&amp;hva%5B0%5D%5Bfilter%5D%5B0%5D%5Btype_id%5D=5897&amp;hva%5B0%5D%5Bfilter%5D%5B0%5D%5Bverdi%5D=&amp;hva%5B0%5D%5Bid%5D=47/når:2025-01-15", "Vegkart")</f>
        <v>Vegkart</v>
      </c>
      <c r="B7020">
        <v>1021893234</v>
      </c>
      <c r="C7020">
        <v>47</v>
      </c>
      <c r="D7020" t="s">
        <v>16854</v>
      </c>
      <c r="E7020">
        <v>5897</v>
      </c>
      <c r="F7020" t="s">
        <v>23479</v>
      </c>
      <c r="G7020">
        <v>1</v>
      </c>
      <c r="H7020" t="s">
        <v>23332</v>
      </c>
      <c r="J7020" t="s">
        <v>23209</v>
      </c>
      <c r="K7020" t="s">
        <v>21</v>
      </c>
      <c r="L7020" t="s">
        <v>113</v>
      </c>
      <c r="M7020" t="s">
        <v>32</v>
      </c>
      <c r="N7020" t="s">
        <v>23339</v>
      </c>
      <c r="O7020" t="s">
        <v>23340</v>
      </c>
      <c r="P7020" s="2" t="s">
        <v>37</v>
      </c>
      <c r="Q7020" t="s">
        <v>1208</v>
      </c>
      <c r="R7020">
        <v>0</v>
      </c>
      <c r="S7020">
        <v>48.33</v>
      </c>
      <c r="T7020" t="s">
        <v>23341</v>
      </c>
    </row>
    <row r="7021" spans="1:20" x14ac:dyDescent="0.25">
      <c r="A7021" s="1" t="str">
        <f>HYPERLINK("https://vegkart.atlas.vegvesen.no/#/@722493.5,7780066.8,18/hva:hva%5B0%5D%5Bfilter%5D%5B0%5D%5Boperator%5D=%21%3D&amp;hva%5B0%5D%5Bfilter%5D%5B0%5D%5Btype_id%5D=5897&amp;hva%5B0%5D%5Bfilter%5D%5B0%5D%5Bverdi%5D=&amp;hva%5B0%5D%5Bid%5D=47/når:2025-01-17", "Vegkart")</f>
        <v>Vegkart</v>
      </c>
      <c r="B7021">
        <v>1021972483</v>
      </c>
      <c r="C7021">
        <v>47</v>
      </c>
      <c r="D7021" t="s">
        <v>16854</v>
      </c>
      <c r="E7021">
        <v>5897</v>
      </c>
      <c r="F7021" t="s">
        <v>23479</v>
      </c>
      <c r="G7021">
        <v>1</v>
      </c>
      <c r="H7021" t="s">
        <v>4144</v>
      </c>
      <c r="J7021" t="s">
        <v>23209</v>
      </c>
      <c r="K7021" t="s">
        <v>179</v>
      </c>
      <c r="L7021" t="s">
        <v>33</v>
      </c>
      <c r="M7021" t="s">
        <v>594</v>
      </c>
      <c r="N7021" t="s">
        <v>23342</v>
      </c>
      <c r="O7021" t="s">
        <v>23343</v>
      </c>
      <c r="P7021" s="2" t="s">
        <v>26</v>
      </c>
      <c r="Q7021" t="s">
        <v>50</v>
      </c>
      <c r="R7021">
        <v>19.940000000000001</v>
      </c>
      <c r="S7021">
        <v>19.940000000000001</v>
      </c>
      <c r="T7021" t="s">
        <v>23344</v>
      </c>
    </row>
    <row r="7022" spans="1:20" x14ac:dyDescent="0.25">
      <c r="A7022" s="1" t="str">
        <f>HYPERLINK("https://vegkart.atlas.vegvesen.no/#/@84543.8,6543528.9,18/hva:hva%5B0%5D%5Bfilter%5D%5B0%5D%5Boperator%5D=%21%3D&amp;hva%5B0%5D%5Bfilter%5D%5B0%5D%5Btype_id%5D=5897&amp;hva%5B0%5D%5Bfilter%5D%5B0%5D%5Bverdi%5D=&amp;hva%5B0%5D%5Bid%5D=47/når:2025-01-20", "Vegkart")</f>
        <v>Vegkart</v>
      </c>
      <c r="B7022">
        <v>1021979558</v>
      </c>
      <c r="C7022">
        <v>47</v>
      </c>
      <c r="D7022" t="s">
        <v>16854</v>
      </c>
      <c r="E7022">
        <v>5897</v>
      </c>
      <c r="F7022" t="s">
        <v>23479</v>
      </c>
      <c r="G7022">
        <v>1</v>
      </c>
      <c r="H7022" t="s">
        <v>920</v>
      </c>
      <c r="J7022" t="s">
        <v>23209</v>
      </c>
      <c r="K7022" t="s">
        <v>86</v>
      </c>
      <c r="L7022" t="s">
        <v>113</v>
      </c>
      <c r="M7022" t="s">
        <v>667</v>
      </c>
      <c r="N7022" t="s">
        <v>23345</v>
      </c>
      <c r="O7022" t="s">
        <v>23346</v>
      </c>
      <c r="P7022" s="2" t="s">
        <v>37</v>
      </c>
      <c r="Q7022" t="s">
        <v>1208</v>
      </c>
      <c r="R7022">
        <v>0</v>
      </c>
      <c r="S7022">
        <v>143.69</v>
      </c>
      <c r="T7022" t="s">
        <v>23347</v>
      </c>
    </row>
    <row r="7023" spans="1:20" x14ac:dyDescent="0.25">
      <c r="A7023" s="1" t="str">
        <f>HYPERLINK("https://vegkart.atlas.vegvesen.no/#/@84552.5,6543533.4,18/hva:hva%5B0%5D%5Bfilter%5D%5B0%5D%5Boperator%5D=%21%3D&amp;hva%5B0%5D%5Bfilter%5D%5B0%5D%5Btype_id%5D=5897&amp;hva%5B0%5D%5Bfilter%5D%5B0%5D%5Bverdi%5D=&amp;hva%5B0%5D%5Bid%5D=47/når:2025-01-20", "Vegkart")</f>
        <v>Vegkart</v>
      </c>
      <c r="B7023">
        <v>1021979559</v>
      </c>
      <c r="C7023">
        <v>47</v>
      </c>
      <c r="D7023" t="s">
        <v>16854</v>
      </c>
      <c r="E7023">
        <v>5897</v>
      </c>
      <c r="F7023" t="s">
        <v>23479</v>
      </c>
      <c r="G7023">
        <v>1</v>
      </c>
      <c r="H7023" t="s">
        <v>920</v>
      </c>
      <c r="J7023" t="s">
        <v>23209</v>
      </c>
      <c r="K7023" t="s">
        <v>86</v>
      </c>
      <c r="L7023" t="s">
        <v>113</v>
      </c>
      <c r="M7023" t="s">
        <v>667</v>
      </c>
      <c r="N7023" t="s">
        <v>23348</v>
      </c>
      <c r="O7023" t="s">
        <v>23349</v>
      </c>
      <c r="P7023" s="2" t="s">
        <v>37</v>
      </c>
      <c r="Q7023" t="s">
        <v>1208</v>
      </c>
      <c r="R7023">
        <v>0</v>
      </c>
      <c r="S7023">
        <v>155.69999999999999</v>
      </c>
      <c r="T7023" t="s">
        <v>23350</v>
      </c>
    </row>
    <row r="7024" spans="1:20" x14ac:dyDescent="0.25">
      <c r="A7024" s="1" t="str">
        <f>HYPERLINK("https://vegkart.atlas.vegvesen.no/#/@133254.6,6498849.7,18/hva:hva%5B0%5D%5Bfilter%5D%5B0%5D%5Boperator%5D=%21%3D&amp;hva%5B0%5D%5Bfilter%5D%5B0%5D%5Btype_id%5D=5897&amp;hva%5B0%5D%5Bfilter%5D%5B0%5D%5Bverdi%5D=&amp;hva%5B0%5D%5Bid%5D=47/når:2025-02-03", "Vegkart")</f>
        <v>Vegkart</v>
      </c>
      <c r="B7024">
        <v>1022032027</v>
      </c>
      <c r="C7024">
        <v>47</v>
      </c>
      <c r="D7024" t="s">
        <v>16854</v>
      </c>
      <c r="E7024">
        <v>5897</v>
      </c>
      <c r="F7024" t="s">
        <v>23479</v>
      </c>
      <c r="G7024">
        <v>1</v>
      </c>
      <c r="H7024" t="s">
        <v>5742</v>
      </c>
      <c r="J7024" t="s">
        <v>23209</v>
      </c>
      <c r="K7024" t="s">
        <v>86</v>
      </c>
      <c r="L7024" t="s">
        <v>33</v>
      </c>
      <c r="M7024" t="s">
        <v>86</v>
      </c>
      <c r="N7024" t="s">
        <v>23351</v>
      </c>
      <c r="O7024" t="s">
        <v>23352</v>
      </c>
      <c r="P7024" s="2" t="s">
        <v>26</v>
      </c>
      <c r="Q7024" t="s">
        <v>50</v>
      </c>
      <c r="R7024">
        <v>24.56</v>
      </c>
      <c r="S7024">
        <v>24.56</v>
      </c>
      <c r="T7024" t="s">
        <v>23353</v>
      </c>
    </row>
    <row r="7025" spans="1:20" x14ac:dyDescent="0.25">
      <c r="A7025" s="1" t="str">
        <f>HYPERLINK("https://vegkart.atlas.vegvesen.no/#/@28011.2,6896441.1,18/hva:hva%5B0%5D%5Bfilter%5D%5B0%5D%5Boperator%5D=%21%3D&amp;hva%5B0%5D%5Bfilter%5D%5B0%5D%5Btype_id%5D=5897&amp;hva%5B0%5D%5Bfilter%5D%5B0%5D%5Bverdi%5D=&amp;hva%5B0%5D%5Bid%5D=47/når:2025-02-04", "Vegkart")</f>
        <v>Vegkart</v>
      </c>
      <c r="B7025">
        <v>1022048040</v>
      </c>
      <c r="C7025">
        <v>47</v>
      </c>
      <c r="D7025" t="s">
        <v>16854</v>
      </c>
      <c r="E7025">
        <v>5897</v>
      </c>
      <c r="F7025" t="s">
        <v>23479</v>
      </c>
      <c r="G7025">
        <v>1</v>
      </c>
      <c r="H7025" t="s">
        <v>4164</v>
      </c>
      <c r="J7025" t="s">
        <v>23209</v>
      </c>
      <c r="K7025" t="s">
        <v>21</v>
      </c>
      <c r="L7025" t="s">
        <v>80</v>
      </c>
      <c r="M7025" t="s">
        <v>81</v>
      </c>
      <c r="N7025" t="s">
        <v>23354</v>
      </c>
      <c r="O7025" t="s">
        <v>23355</v>
      </c>
      <c r="P7025" s="2" t="s">
        <v>37</v>
      </c>
      <c r="Q7025" t="s">
        <v>1208</v>
      </c>
      <c r="R7025">
        <v>0</v>
      </c>
      <c r="S7025">
        <v>170.35</v>
      </c>
      <c r="T7025" t="s">
        <v>23356</v>
      </c>
    </row>
    <row r="7026" spans="1:20" x14ac:dyDescent="0.25">
      <c r="A7026" s="1" t="str">
        <f>HYPERLINK("https://vegkart.atlas.vegvesen.no/#/@264608.3,6649221.7,18/hva:hva%5B0%5D%5Bfilter%5D%5B0%5D%5Boperator%5D=%21%3D&amp;hva%5B0%5D%5Bfilter%5D%5B0%5D%5Btype_id%5D=5897&amp;hva%5B0%5D%5Bfilter%5D%5B0%5D%5Bverdi%5D=&amp;hva%5B0%5D%5Bid%5D=47/når:2025-02-10", "Vegkart")</f>
        <v>Vegkart</v>
      </c>
      <c r="B7026">
        <v>1022083309</v>
      </c>
      <c r="C7026">
        <v>47</v>
      </c>
      <c r="D7026" t="s">
        <v>16854</v>
      </c>
      <c r="E7026">
        <v>5897</v>
      </c>
      <c r="F7026" t="s">
        <v>23479</v>
      </c>
      <c r="G7026">
        <v>1</v>
      </c>
      <c r="H7026" t="s">
        <v>16207</v>
      </c>
      <c r="J7026" t="s">
        <v>23209</v>
      </c>
      <c r="K7026" t="s">
        <v>335</v>
      </c>
      <c r="L7026" t="s">
        <v>22</v>
      </c>
      <c r="M7026" t="s">
        <v>23357</v>
      </c>
      <c r="N7026" t="s">
        <v>23358</v>
      </c>
      <c r="O7026" t="s">
        <v>23359</v>
      </c>
      <c r="P7026" s="2" t="s">
        <v>37</v>
      </c>
      <c r="Q7026" t="s">
        <v>1208</v>
      </c>
      <c r="R7026">
        <v>0</v>
      </c>
      <c r="S7026">
        <v>57.9</v>
      </c>
      <c r="T7026" t="s">
        <v>23360</v>
      </c>
    </row>
    <row r="7027" spans="1:20" x14ac:dyDescent="0.25">
      <c r="A7027" s="1" t="str">
        <f>HYPERLINK("https://vegkart.atlas.vegvesen.no/#/@264534.5,6649172.3,18/hva:hva%5B0%5D%5Bfilter%5D%5B0%5D%5Boperator%5D=%21%3D&amp;hva%5B0%5D%5Bfilter%5D%5B0%5D%5Btype_id%5D=5897&amp;hva%5B0%5D%5Bfilter%5D%5B0%5D%5Bverdi%5D=&amp;hva%5B0%5D%5Bid%5D=47/når:2025-02-10", "Vegkart")</f>
        <v>Vegkart</v>
      </c>
      <c r="B7027">
        <v>1022083310</v>
      </c>
      <c r="C7027">
        <v>47</v>
      </c>
      <c r="D7027" t="s">
        <v>16854</v>
      </c>
      <c r="E7027">
        <v>5897</v>
      </c>
      <c r="F7027" t="s">
        <v>23479</v>
      </c>
      <c r="G7027">
        <v>1</v>
      </c>
      <c r="H7027" t="s">
        <v>16207</v>
      </c>
      <c r="J7027" t="s">
        <v>23209</v>
      </c>
      <c r="K7027" t="s">
        <v>335</v>
      </c>
      <c r="L7027" t="s">
        <v>22</v>
      </c>
      <c r="M7027" t="s">
        <v>23357</v>
      </c>
      <c r="N7027" t="s">
        <v>23361</v>
      </c>
      <c r="O7027" t="s">
        <v>23362</v>
      </c>
      <c r="P7027" s="2" t="s">
        <v>37</v>
      </c>
      <c r="Q7027" t="s">
        <v>1208</v>
      </c>
      <c r="R7027">
        <v>0</v>
      </c>
      <c r="S7027">
        <v>69.58</v>
      </c>
      <c r="T7027" t="s">
        <v>23363</v>
      </c>
    </row>
    <row r="7028" spans="1:20" x14ac:dyDescent="0.25">
      <c r="A7028" s="1" t="str">
        <f>HYPERLINK("https://vegkart.atlas.vegvesen.no/#/@264612.7,6649215.3,18/hva:hva%5B0%5D%5Bfilter%5D%5B0%5D%5Boperator%5D=%21%3D&amp;hva%5B0%5D%5Bfilter%5D%5B0%5D%5Btype_id%5D=5897&amp;hva%5B0%5D%5Bfilter%5D%5B0%5D%5Bverdi%5D=&amp;hva%5B0%5D%5Bid%5D=47/når:2025-02-10", "Vegkart")</f>
        <v>Vegkart</v>
      </c>
      <c r="B7028">
        <v>1022083311</v>
      </c>
      <c r="C7028">
        <v>47</v>
      </c>
      <c r="D7028" t="s">
        <v>16854</v>
      </c>
      <c r="E7028">
        <v>5897</v>
      </c>
      <c r="F7028" t="s">
        <v>23479</v>
      </c>
      <c r="G7028">
        <v>1</v>
      </c>
      <c r="H7028" t="s">
        <v>16207</v>
      </c>
      <c r="J7028" t="s">
        <v>23209</v>
      </c>
      <c r="K7028" t="s">
        <v>335</v>
      </c>
      <c r="L7028" t="s">
        <v>22</v>
      </c>
      <c r="M7028" t="s">
        <v>23357</v>
      </c>
      <c r="N7028" t="s">
        <v>23358</v>
      </c>
      <c r="O7028" t="s">
        <v>23364</v>
      </c>
      <c r="P7028" s="2" t="s">
        <v>37</v>
      </c>
      <c r="Q7028" t="s">
        <v>1208</v>
      </c>
      <c r="R7028">
        <v>0</v>
      </c>
      <c r="S7028">
        <v>56.6</v>
      </c>
      <c r="T7028" t="s">
        <v>23365</v>
      </c>
    </row>
    <row r="7029" spans="1:20" x14ac:dyDescent="0.25">
      <c r="A7029" s="1" t="str">
        <f>HYPERLINK("https://vegkart.atlas.vegvesen.no/#/@264532.4,6649179.4,18/hva:hva%5B0%5D%5Bfilter%5D%5B0%5D%5Boperator%5D=%21%3D&amp;hva%5B0%5D%5Bfilter%5D%5B0%5D%5Btype_id%5D=5897&amp;hva%5B0%5D%5Bfilter%5D%5B0%5D%5Bverdi%5D=&amp;hva%5B0%5D%5Bid%5D=47/når:2025-02-10", "Vegkart")</f>
        <v>Vegkart</v>
      </c>
      <c r="B7029">
        <v>1022083312</v>
      </c>
      <c r="C7029">
        <v>47</v>
      </c>
      <c r="D7029" t="s">
        <v>16854</v>
      </c>
      <c r="E7029">
        <v>5897</v>
      </c>
      <c r="F7029" t="s">
        <v>23479</v>
      </c>
      <c r="G7029">
        <v>1</v>
      </c>
      <c r="H7029" t="s">
        <v>16207</v>
      </c>
      <c r="J7029" t="s">
        <v>23209</v>
      </c>
      <c r="K7029" t="s">
        <v>335</v>
      </c>
      <c r="L7029" t="s">
        <v>22</v>
      </c>
      <c r="M7029" t="s">
        <v>23357</v>
      </c>
      <c r="N7029" t="s">
        <v>23366</v>
      </c>
      <c r="O7029" t="s">
        <v>23367</v>
      </c>
      <c r="P7029" s="2" t="s">
        <v>37</v>
      </c>
      <c r="Q7029" t="s">
        <v>1208</v>
      </c>
      <c r="R7029">
        <v>0</v>
      </c>
      <c r="S7029">
        <v>66.22</v>
      </c>
      <c r="T7029" t="s">
        <v>23368</v>
      </c>
    </row>
    <row r="7030" spans="1:20" x14ac:dyDescent="0.25">
      <c r="A7030" s="1" t="str">
        <f>HYPERLINK("https://vegkart.atlas.vegvesen.no/#/@143459.0,6499051.1,18/hva:hva%5B0%5D%5Bfilter%5D%5B0%5D%5Boperator%5D=%21%3D&amp;hva%5B0%5D%5Bfilter%5D%5B0%5D%5Btype_id%5D=5897&amp;hva%5B0%5D%5Bfilter%5D%5B0%5D%5Bverdi%5D=&amp;hva%5B0%5D%5Bid%5D=47/når:2025-02-11", "Vegkart")</f>
        <v>Vegkart</v>
      </c>
      <c r="B7030">
        <v>1022113222</v>
      </c>
      <c r="C7030">
        <v>47</v>
      </c>
      <c r="D7030" t="s">
        <v>16854</v>
      </c>
      <c r="E7030">
        <v>5897</v>
      </c>
      <c r="F7030" t="s">
        <v>23479</v>
      </c>
      <c r="G7030">
        <v>1</v>
      </c>
      <c r="H7030" t="s">
        <v>23369</v>
      </c>
      <c r="J7030" t="s">
        <v>23209</v>
      </c>
      <c r="K7030" t="s">
        <v>86</v>
      </c>
      <c r="L7030" t="s">
        <v>33</v>
      </c>
      <c r="M7030" t="s">
        <v>23370</v>
      </c>
      <c r="N7030" t="s">
        <v>23371</v>
      </c>
      <c r="O7030" t="s">
        <v>23372</v>
      </c>
      <c r="P7030" s="2" t="s">
        <v>26</v>
      </c>
      <c r="Q7030" t="s">
        <v>50</v>
      </c>
      <c r="R7030">
        <v>38.53</v>
      </c>
      <c r="S7030">
        <v>38.94</v>
      </c>
      <c r="T7030" t="s">
        <v>23373</v>
      </c>
    </row>
    <row r="7031" spans="1:20" x14ac:dyDescent="0.25">
      <c r="A7031" s="1" t="str">
        <f>HYPERLINK("https://vegkart.atlas.vegvesen.no/#/@301157.8,6560282.8,18/hva:hva%5B0%5D%5Bfilter%5D%5B0%5D%5Boperator%5D=%21%3D&amp;hva%5B0%5D%5Bfilter%5D%5B0%5D%5Btype_id%5D=5897&amp;hva%5B0%5D%5Bfilter%5D%5B0%5D%5Bverdi%5D=&amp;hva%5B0%5D%5Bid%5D=47/når:2025-02-12", "Vegkart")</f>
        <v>Vegkart</v>
      </c>
      <c r="B7031">
        <v>1022122133</v>
      </c>
      <c r="C7031">
        <v>47</v>
      </c>
      <c r="D7031" t="s">
        <v>16854</v>
      </c>
      <c r="E7031">
        <v>5897</v>
      </c>
      <c r="F7031" t="s">
        <v>23479</v>
      </c>
      <c r="G7031">
        <v>1</v>
      </c>
      <c r="H7031" t="s">
        <v>584</v>
      </c>
      <c r="J7031" t="s">
        <v>23209</v>
      </c>
      <c r="K7031" t="s">
        <v>104</v>
      </c>
      <c r="L7031" t="s">
        <v>33</v>
      </c>
      <c r="M7031" t="s">
        <v>288</v>
      </c>
      <c r="N7031" t="s">
        <v>23374</v>
      </c>
      <c r="O7031" t="s">
        <v>23375</v>
      </c>
      <c r="P7031" s="2" t="s">
        <v>26</v>
      </c>
      <c r="Q7031" t="s">
        <v>50</v>
      </c>
      <c r="R7031">
        <v>92.67</v>
      </c>
      <c r="S7031">
        <v>92.68</v>
      </c>
      <c r="T7031" t="s">
        <v>23376</v>
      </c>
    </row>
    <row r="7032" spans="1:20" x14ac:dyDescent="0.25">
      <c r="A7032" s="1" t="str">
        <f>HYPERLINK("https://vegkart.atlas.vegvesen.no/#/@299140.3,6543915.9,18/hva:hva%5B0%5D%5Bfilter%5D%5B0%5D%5Boperator%5D=%21%3D&amp;hva%5B0%5D%5Bfilter%5D%5B0%5D%5Btype_id%5D=5897&amp;hva%5B0%5D%5Bfilter%5D%5B0%5D%5Bverdi%5D=&amp;hva%5B0%5D%5Bid%5D=47/når:2025-02-12", "Vegkart")</f>
        <v>Vegkart</v>
      </c>
      <c r="B7032">
        <v>1022122134</v>
      </c>
      <c r="C7032">
        <v>47</v>
      </c>
      <c r="D7032" t="s">
        <v>16854</v>
      </c>
      <c r="E7032">
        <v>5897</v>
      </c>
      <c r="F7032" t="s">
        <v>23479</v>
      </c>
      <c r="G7032">
        <v>1</v>
      </c>
      <c r="H7032" t="s">
        <v>584</v>
      </c>
      <c r="J7032" t="s">
        <v>23209</v>
      </c>
      <c r="K7032" t="s">
        <v>104</v>
      </c>
      <c r="L7032" t="s">
        <v>33</v>
      </c>
      <c r="M7032" t="s">
        <v>8758</v>
      </c>
      <c r="N7032" t="s">
        <v>23377</v>
      </c>
      <c r="O7032" t="s">
        <v>23378</v>
      </c>
      <c r="P7032" s="2" t="s">
        <v>26</v>
      </c>
      <c r="Q7032" t="s">
        <v>50</v>
      </c>
      <c r="R7032">
        <v>64.97</v>
      </c>
      <c r="S7032">
        <v>65.010000000000005</v>
      </c>
      <c r="T7032" t="s">
        <v>23379</v>
      </c>
    </row>
    <row r="7033" spans="1:20" x14ac:dyDescent="0.25">
      <c r="A7033" s="1" t="str">
        <f>HYPERLINK("https://vegkart.atlas.vegvesen.no/#/@277035.5,6623609.5,18/hva:hva%5B0%5D%5Bfilter%5D%5B0%5D%5Boperator%5D=%21%3D&amp;hva%5B0%5D%5Bfilter%5D%5B0%5D%5Btype_id%5D=5897&amp;hva%5B0%5D%5Bfilter%5D%5B0%5D%5Bverdi%5D=&amp;hva%5B0%5D%5Bid%5D=47/når:2025-02-12", "Vegkart")</f>
        <v>Vegkart</v>
      </c>
      <c r="B7033">
        <v>1022122135</v>
      </c>
      <c r="C7033">
        <v>47</v>
      </c>
      <c r="D7033" t="s">
        <v>16854</v>
      </c>
      <c r="E7033">
        <v>5897</v>
      </c>
      <c r="F7033" t="s">
        <v>23479</v>
      </c>
      <c r="G7033">
        <v>1</v>
      </c>
      <c r="H7033" t="s">
        <v>584</v>
      </c>
      <c r="J7033" t="s">
        <v>23209</v>
      </c>
      <c r="K7033" t="s">
        <v>104</v>
      </c>
      <c r="L7033" t="s">
        <v>33</v>
      </c>
      <c r="M7033" t="s">
        <v>288</v>
      </c>
      <c r="N7033" t="s">
        <v>23374</v>
      </c>
      <c r="O7033" t="s">
        <v>23380</v>
      </c>
      <c r="P7033" s="2" t="s">
        <v>26</v>
      </c>
      <c r="Q7033" t="s">
        <v>50</v>
      </c>
      <c r="R7033">
        <v>54.4</v>
      </c>
      <c r="S7033">
        <v>63.4</v>
      </c>
      <c r="T7033" t="s">
        <v>23381</v>
      </c>
    </row>
    <row r="7034" spans="1:20" x14ac:dyDescent="0.25">
      <c r="A7034" s="1" t="str">
        <f>HYPERLINK("https://vegkart.atlas.vegvesen.no/#/@298767.7,6559757.2,18/hva:hva%5B0%5D%5Bfilter%5D%5B0%5D%5Boperator%5D=%21%3D&amp;hva%5B0%5D%5Bfilter%5D%5B0%5D%5Btype_id%5D=5897&amp;hva%5B0%5D%5Bfilter%5D%5B0%5D%5Bverdi%5D=&amp;hva%5B0%5D%5Bid%5D=47/når:2025-02-12", "Vegkart")</f>
        <v>Vegkart</v>
      </c>
      <c r="B7034">
        <v>1022122136</v>
      </c>
      <c r="C7034">
        <v>47</v>
      </c>
      <c r="D7034" t="s">
        <v>16854</v>
      </c>
      <c r="E7034">
        <v>5897</v>
      </c>
      <c r="F7034" t="s">
        <v>23479</v>
      </c>
      <c r="G7034">
        <v>1</v>
      </c>
      <c r="H7034" t="s">
        <v>584</v>
      </c>
      <c r="J7034" t="s">
        <v>23209</v>
      </c>
      <c r="K7034" t="s">
        <v>104</v>
      </c>
      <c r="L7034" t="s">
        <v>33</v>
      </c>
      <c r="M7034" t="s">
        <v>8734</v>
      </c>
      <c r="N7034" t="s">
        <v>23382</v>
      </c>
      <c r="O7034" t="s">
        <v>23383</v>
      </c>
      <c r="P7034" s="2" t="s">
        <v>26</v>
      </c>
      <c r="Q7034" t="s">
        <v>50</v>
      </c>
      <c r="R7034">
        <v>102.03</v>
      </c>
      <c r="S7034">
        <v>102.03</v>
      </c>
      <c r="T7034" t="s">
        <v>23384</v>
      </c>
    </row>
    <row r="7035" spans="1:20" x14ac:dyDescent="0.25">
      <c r="A7035" s="1" t="str">
        <f>HYPERLINK("https://vegkart.atlas.vegvesen.no/#/@87518.2,6458594.4,18/hva:hva%5B0%5D%5Bfilter%5D%5B0%5D%5Boperator%5D=%21%3D&amp;hva%5B0%5D%5Bfilter%5D%5B0%5D%5Btype_id%5D=5897&amp;hva%5B0%5D%5Bfilter%5D%5B0%5D%5Bverdi%5D=&amp;hva%5B0%5D%5Bid%5D=47/når:2025-02-12", "Vegkart")</f>
        <v>Vegkart</v>
      </c>
      <c r="B7035">
        <v>1022125481</v>
      </c>
      <c r="C7035">
        <v>47</v>
      </c>
      <c r="D7035" t="s">
        <v>16854</v>
      </c>
      <c r="E7035">
        <v>5897</v>
      </c>
      <c r="F7035" t="s">
        <v>23479</v>
      </c>
      <c r="G7035">
        <v>1</v>
      </c>
      <c r="H7035" t="s">
        <v>584</v>
      </c>
      <c r="J7035" t="s">
        <v>23209</v>
      </c>
      <c r="K7035" t="s">
        <v>86</v>
      </c>
      <c r="L7035" t="s">
        <v>33</v>
      </c>
      <c r="M7035" t="s">
        <v>589</v>
      </c>
      <c r="N7035" t="s">
        <v>23385</v>
      </c>
      <c r="O7035" t="s">
        <v>23386</v>
      </c>
      <c r="P7035" s="2" t="s">
        <v>26</v>
      </c>
      <c r="Q7035" t="s">
        <v>50</v>
      </c>
      <c r="R7035">
        <v>46.12</v>
      </c>
      <c r="S7035">
        <v>47.07</v>
      </c>
      <c r="T7035" t="s">
        <v>23387</v>
      </c>
    </row>
    <row r="7036" spans="1:20" x14ac:dyDescent="0.25">
      <c r="A7036" s="1" t="str">
        <f>HYPERLINK("https://vegkart.atlas.vegvesen.no/#/@87509.4,6458583.6,18/hva:hva%5B0%5D%5Bfilter%5D%5B0%5D%5Boperator%5D=%21%3D&amp;hva%5B0%5D%5Bfilter%5D%5B0%5D%5Btype_id%5D=5897&amp;hva%5B0%5D%5Bfilter%5D%5B0%5D%5Bverdi%5D=&amp;hva%5B0%5D%5Bid%5D=47/når:2025-02-12", "Vegkart")</f>
        <v>Vegkart</v>
      </c>
      <c r="B7036">
        <v>1022125482</v>
      </c>
      <c r="C7036">
        <v>47</v>
      </c>
      <c r="D7036" t="s">
        <v>16854</v>
      </c>
      <c r="E7036">
        <v>5897</v>
      </c>
      <c r="F7036" t="s">
        <v>23479</v>
      </c>
      <c r="G7036">
        <v>1</v>
      </c>
      <c r="H7036" t="s">
        <v>584</v>
      </c>
      <c r="J7036" t="s">
        <v>23209</v>
      </c>
      <c r="K7036" t="s">
        <v>86</v>
      </c>
      <c r="L7036" t="s">
        <v>33</v>
      </c>
      <c r="M7036" t="s">
        <v>589</v>
      </c>
      <c r="N7036" t="s">
        <v>23388</v>
      </c>
      <c r="O7036" t="s">
        <v>23389</v>
      </c>
      <c r="P7036" s="2" t="s">
        <v>26</v>
      </c>
      <c r="Q7036" t="s">
        <v>50</v>
      </c>
      <c r="R7036">
        <v>22.59</v>
      </c>
      <c r="S7036">
        <v>22.61</v>
      </c>
      <c r="T7036" t="s">
        <v>23390</v>
      </c>
    </row>
    <row r="7037" spans="1:20" x14ac:dyDescent="0.25">
      <c r="A7037" s="1" t="str">
        <f>HYPERLINK("https://vegkart.atlas.vegvesen.no/#/@329999.6,7110122.4,18/hva:hva%5B0%5D%5Bfilter%5D%5B0%5D%5Boperator%5D=%21%3D&amp;hva%5B0%5D%5Bfilter%5D%5B0%5D%5Btype_id%5D=5897&amp;hva%5B0%5D%5Bfilter%5D%5B0%5D%5Bverdi%5D=&amp;hva%5B0%5D%5Bid%5D=47/når:2025-02-21", "Vegkart")</f>
        <v>Vegkart</v>
      </c>
      <c r="B7037">
        <v>1022251101</v>
      </c>
      <c r="C7037">
        <v>47</v>
      </c>
      <c r="D7037" t="s">
        <v>16854</v>
      </c>
      <c r="E7037">
        <v>5897</v>
      </c>
      <c r="F7037" t="s">
        <v>23479</v>
      </c>
      <c r="G7037">
        <v>1</v>
      </c>
      <c r="H7037" t="s">
        <v>12802</v>
      </c>
      <c r="J7037" t="s">
        <v>23209</v>
      </c>
      <c r="K7037" t="s">
        <v>192</v>
      </c>
      <c r="L7037" t="s">
        <v>80</v>
      </c>
      <c r="M7037" t="s">
        <v>105</v>
      </c>
      <c r="N7037" t="s">
        <v>23391</v>
      </c>
      <c r="O7037" t="s">
        <v>23392</v>
      </c>
      <c r="P7037" s="2" t="s">
        <v>37</v>
      </c>
      <c r="Q7037" t="s">
        <v>1208</v>
      </c>
      <c r="R7037">
        <v>1.7</v>
      </c>
      <c r="S7037">
        <v>215.03</v>
      </c>
      <c r="T7037" t="s">
        <v>23393</v>
      </c>
    </row>
    <row r="7038" spans="1:20" x14ac:dyDescent="0.25">
      <c r="A7038" s="1" t="str">
        <f>HYPERLINK("https://vegkart.atlas.vegvesen.no/#/@288261.7,6831264.0,18/hva:hva%5B0%5D%5Bfilter%5D%5B0%5D%5Boperator%5D=%21%3D&amp;hva%5B0%5D%5Bfilter%5D%5B0%5D%5Btype_id%5D=5897&amp;hva%5B0%5D%5Bfilter%5D%5B0%5D%5Bverdi%5D=&amp;hva%5B0%5D%5Bid%5D=47/når:2025-03-14", "Vegkart")</f>
        <v>Vegkart</v>
      </c>
      <c r="B7038">
        <v>1022325178</v>
      </c>
      <c r="C7038">
        <v>47</v>
      </c>
      <c r="D7038" t="s">
        <v>16854</v>
      </c>
      <c r="E7038">
        <v>5897</v>
      </c>
      <c r="F7038" t="s">
        <v>23479</v>
      </c>
      <c r="G7038">
        <v>1</v>
      </c>
      <c r="H7038" t="s">
        <v>23394</v>
      </c>
      <c r="J7038" t="s">
        <v>23209</v>
      </c>
      <c r="K7038" t="s">
        <v>136</v>
      </c>
      <c r="L7038" t="s">
        <v>113</v>
      </c>
      <c r="M7038" t="s">
        <v>335</v>
      </c>
      <c r="N7038" t="s">
        <v>23395</v>
      </c>
      <c r="O7038" t="s">
        <v>23396</v>
      </c>
      <c r="P7038" s="2" t="s">
        <v>37</v>
      </c>
      <c r="Q7038" t="s">
        <v>1208</v>
      </c>
      <c r="R7038">
        <v>0</v>
      </c>
      <c r="S7038">
        <v>94.6</v>
      </c>
      <c r="T7038" t="s">
        <v>23397</v>
      </c>
    </row>
    <row r="7039" spans="1:20" x14ac:dyDescent="0.25">
      <c r="A7039" s="1" t="str">
        <f>HYPERLINK("https://vegkart.atlas.vegvesen.no/#/@288322.3,6831180.2,18/hva:hva%5B0%5D%5Bfilter%5D%5B0%5D%5Boperator%5D=%21%3D&amp;hva%5B0%5D%5Bfilter%5D%5B0%5D%5Btype_id%5D=5897&amp;hva%5B0%5D%5Bfilter%5D%5B0%5D%5Bverdi%5D=&amp;hva%5B0%5D%5Bid%5D=47/når:2025-03-14", "Vegkart")</f>
        <v>Vegkart</v>
      </c>
      <c r="B7039">
        <v>1022325181</v>
      </c>
      <c r="C7039">
        <v>47</v>
      </c>
      <c r="D7039" t="s">
        <v>16854</v>
      </c>
      <c r="E7039">
        <v>5897</v>
      </c>
      <c r="F7039" t="s">
        <v>23479</v>
      </c>
      <c r="G7039">
        <v>1</v>
      </c>
      <c r="H7039" t="s">
        <v>23394</v>
      </c>
      <c r="J7039" t="s">
        <v>23209</v>
      </c>
      <c r="K7039" t="s">
        <v>136</v>
      </c>
      <c r="L7039" t="s">
        <v>113</v>
      </c>
      <c r="M7039" t="s">
        <v>335</v>
      </c>
      <c r="N7039" t="s">
        <v>23398</v>
      </c>
      <c r="O7039" t="s">
        <v>23399</v>
      </c>
      <c r="P7039" s="2" t="s">
        <v>37</v>
      </c>
      <c r="Q7039" t="s">
        <v>1208</v>
      </c>
      <c r="R7039">
        <v>0</v>
      </c>
      <c r="S7039">
        <v>156.55000000000001</v>
      </c>
      <c r="T7039" t="s">
        <v>23400</v>
      </c>
    </row>
    <row r="7040" spans="1:20" x14ac:dyDescent="0.25">
      <c r="A7040" s="1" t="str">
        <f>HYPERLINK("https://vegkart.atlas.vegvesen.no/#/@176597.6,6838770.4,18/hva:hva%5B0%5D%5Bfilter%5D%5B0%5D%5Boperator%5D=%21%3D&amp;hva%5B0%5D%5Bfilter%5D%5B0%5D%5Btype_id%5D=5897&amp;hva%5B0%5D%5Bfilter%5D%5B0%5D%5Bverdi%5D=&amp;hva%5B0%5D%5Bid%5D=47/når:2025-04-28", "Vegkart")</f>
        <v>Vegkart</v>
      </c>
      <c r="B7040">
        <v>1022497599</v>
      </c>
      <c r="C7040">
        <v>47</v>
      </c>
      <c r="D7040" t="s">
        <v>16854</v>
      </c>
      <c r="E7040">
        <v>5897</v>
      </c>
      <c r="F7040" t="s">
        <v>23479</v>
      </c>
      <c r="G7040">
        <v>1</v>
      </c>
      <c r="H7040" t="s">
        <v>96</v>
      </c>
      <c r="J7040" t="s">
        <v>23209</v>
      </c>
      <c r="K7040" t="s">
        <v>136</v>
      </c>
      <c r="L7040" t="s">
        <v>33</v>
      </c>
      <c r="M7040" t="s">
        <v>1222</v>
      </c>
      <c r="N7040" t="s">
        <v>23401</v>
      </c>
      <c r="O7040" t="s">
        <v>23402</v>
      </c>
      <c r="P7040" s="2" t="s">
        <v>26</v>
      </c>
      <c r="Q7040" t="s">
        <v>50</v>
      </c>
      <c r="R7040">
        <v>34.630000000000003</v>
      </c>
      <c r="S7040">
        <v>41.47</v>
      </c>
      <c r="T7040" t="s">
        <v>23403</v>
      </c>
    </row>
    <row r="7041" spans="1:20" x14ac:dyDescent="0.25">
      <c r="A7041" s="1" t="str">
        <f>HYPERLINK("https://vegkart.atlas.vegvesen.no/#/@-19814.5,6665076.2,18/hva:hva%5B0%5D%5Bfilter%5D%5B0%5D%5Boperator%5D=%21%3D&amp;hva%5B0%5D%5Bfilter%5D%5B0%5D%5Btype_id%5D=5897&amp;hva%5B0%5D%5Bfilter%5D%5B0%5D%5Bverdi%5D=&amp;hva%5B0%5D%5Bid%5D=47/når:2025-04-29", "Vegkart")</f>
        <v>Vegkart</v>
      </c>
      <c r="B7041">
        <v>1022501324</v>
      </c>
      <c r="C7041">
        <v>47</v>
      </c>
      <c r="D7041" t="s">
        <v>16854</v>
      </c>
      <c r="E7041">
        <v>5897</v>
      </c>
      <c r="F7041" t="s">
        <v>23479</v>
      </c>
      <c r="G7041">
        <v>1</v>
      </c>
      <c r="H7041" t="s">
        <v>4192</v>
      </c>
      <c r="J7041" t="s">
        <v>23209</v>
      </c>
      <c r="K7041" t="s">
        <v>21</v>
      </c>
      <c r="L7041" t="s">
        <v>33</v>
      </c>
      <c r="M7041" t="s">
        <v>1650</v>
      </c>
      <c r="N7041" t="s">
        <v>23404</v>
      </c>
      <c r="O7041" t="s">
        <v>23405</v>
      </c>
      <c r="P7041" s="2" t="s">
        <v>37</v>
      </c>
      <c r="Q7041" t="s">
        <v>1208</v>
      </c>
      <c r="R7041">
        <v>0</v>
      </c>
      <c r="S7041">
        <v>109.69</v>
      </c>
      <c r="T7041" t="s">
        <v>23406</v>
      </c>
    </row>
    <row r="7042" spans="1:20" x14ac:dyDescent="0.25">
      <c r="A7042" s="1" t="str">
        <f>HYPERLINK("https://vegkart.atlas.vegvesen.no/#/@-19653.3,6665022.5,18/hva:hva%5B0%5D%5Bfilter%5D%5B0%5D%5Boperator%5D=%21%3D&amp;hva%5B0%5D%5Bfilter%5D%5B0%5D%5Btype_id%5D=5897&amp;hva%5B0%5D%5Bfilter%5D%5B0%5D%5Bverdi%5D=&amp;hva%5B0%5D%5Bid%5D=47/når:2025-04-29", "Vegkart")</f>
        <v>Vegkart</v>
      </c>
      <c r="B7042">
        <v>1022501325</v>
      </c>
      <c r="C7042">
        <v>47</v>
      </c>
      <c r="D7042" t="s">
        <v>16854</v>
      </c>
      <c r="E7042">
        <v>5897</v>
      </c>
      <c r="F7042" t="s">
        <v>23479</v>
      </c>
      <c r="G7042">
        <v>1</v>
      </c>
      <c r="H7042" t="s">
        <v>4192</v>
      </c>
      <c r="J7042" t="s">
        <v>23209</v>
      </c>
      <c r="K7042" t="s">
        <v>21</v>
      </c>
      <c r="L7042" t="s">
        <v>33</v>
      </c>
      <c r="M7042" t="s">
        <v>1650</v>
      </c>
      <c r="N7042" t="s">
        <v>23407</v>
      </c>
      <c r="O7042" t="s">
        <v>23408</v>
      </c>
      <c r="P7042" s="2" t="s">
        <v>37</v>
      </c>
      <c r="Q7042" t="s">
        <v>1208</v>
      </c>
      <c r="R7042">
        <v>0</v>
      </c>
      <c r="S7042">
        <v>100.29</v>
      </c>
      <c r="T7042" t="s">
        <v>23409</v>
      </c>
    </row>
    <row r="7043" spans="1:20" x14ac:dyDescent="0.25">
      <c r="A7043" s="1" t="str">
        <f>HYPERLINK("https://vegkart.atlas.vegvesen.no/#/@255345.1,6648299.1,18/hva:hva%5B0%5D%5Bfilter%5D%5B0%5D%5Boperator%5D=%21%3D&amp;hva%5B0%5D%5Bfilter%5D%5B0%5D%5Btype_id%5D=5897&amp;hva%5B0%5D%5Bfilter%5D%5B0%5D%5Bverdi%5D=&amp;hva%5B0%5D%5Bid%5D=47/når:2025-05-13", "Vegkart")</f>
        <v>Vegkart</v>
      </c>
      <c r="B7043">
        <v>1022556424</v>
      </c>
      <c r="C7043">
        <v>47</v>
      </c>
      <c r="D7043" t="s">
        <v>16854</v>
      </c>
      <c r="E7043">
        <v>5897</v>
      </c>
      <c r="F7043" t="s">
        <v>23479</v>
      </c>
      <c r="G7043">
        <v>1</v>
      </c>
      <c r="H7043" t="s">
        <v>23410</v>
      </c>
      <c r="J7043" t="s">
        <v>23209</v>
      </c>
      <c r="K7043" t="s">
        <v>132</v>
      </c>
      <c r="L7043" t="s">
        <v>33</v>
      </c>
      <c r="M7043" t="s">
        <v>23411</v>
      </c>
      <c r="N7043" t="s">
        <v>23412</v>
      </c>
      <c r="O7043" t="s">
        <v>23413</v>
      </c>
      <c r="P7043" s="2" t="s">
        <v>37</v>
      </c>
      <c r="Q7043" t="s">
        <v>1208</v>
      </c>
      <c r="R7043">
        <v>0</v>
      </c>
      <c r="S7043">
        <v>257.12</v>
      </c>
      <c r="T7043" t="s">
        <v>23414</v>
      </c>
    </row>
    <row r="7044" spans="1:20" x14ac:dyDescent="0.25">
      <c r="A7044" s="1" t="str">
        <f>HYPERLINK("https://vegkart.atlas.vegvesen.no/#/@263044.5,7019969.1,18/hva:hva%5B0%5D%5Bfilter%5D%5B0%5D%5Boperator%5D=%21%3D&amp;hva%5B0%5D%5Bfilter%5D%5B0%5D%5Btype_id%5D=5897&amp;hva%5B0%5D%5Bfilter%5D%5B0%5D%5Bverdi%5D=&amp;hva%5B0%5D%5Bid%5D=47/når:2025-08-11", "Vegkart")</f>
        <v>Vegkart</v>
      </c>
      <c r="B7044">
        <v>1025144042</v>
      </c>
      <c r="C7044">
        <v>47</v>
      </c>
      <c r="D7044" t="s">
        <v>16854</v>
      </c>
      <c r="E7044">
        <v>5897</v>
      </c>
      <c r="F7044" t="s">
        <v>23479</v>
      </c>
      <c r="G7044">
        <v>1</v>
      </c>
      <c r="H7044" t="s">
        <v>17562</v>
      </c>
      <c r="J7044" t="s">
        <v>13517</v>
      </c>
      <c r="K7044" t="s">
        <v>192</v>
      </c>
      <c r="L7044" t="s">
        <v>33</v>
      </c>
      <c r="M7044" t="s">
        <v>22931</v>
      </c>
      <c r="N7044" t="s">
        <v>23415</v>
      </c>
      <c r="O7044" t="s">
        <v>23416</v>
      </c>
      <c r="P7044" s="2" t="s">
        <v>26</v>
      </c>
      <c r="Q7044" t="s">
        <v>50</v>
      </c>
      <c r="R7044">
        <v>42.17</v>
      </c>
      <c r="S7044">
        <v>42.18</v>
      </c>
      <c r="T7044" t="s">
        <v>23417</v>
      </c>
    </row>
    <row r="7045" spans="1:20" x14ac:dyDescent="0.25">
      <c r="A7045" s="1" t="str">
        <f>HYPERLINK("https://vegkart.atlas.vegvesen.no/#/@46290.8,6464388.6,18/hva:hva%5B0%5D%5Bfilter%5D%5B0%5D%5Boperator%5D=%21%3D&amp;hva%5B0%5D%5Bfilter%5D%5B0%5D%5Btype_id%5D=5897&amp;hva%5B0%5D%5Bfilter%5D%5B0%5D%5Bverdi%5D=&amp;hva%5B0%5D%5Bid%5D=47/når:2025-08-19", "Vegkart")</f>
        <v>Vegkart</v>
      </c>
      <c r="B7045">
        <v>1025165458</v>
      </c>
      <c r="C7045">
        <v>47</v>
      </c>
      <c r="D7045" t="s">
        <v>16854</v>
      </c>
      <c r="E7045">
        <v>5897</v>
      </c>
      <c r="F7045" t="s">
        <v>23479</v>
      </c>
      <c r="G7045">
        <v>1</v>
      </c>
      <c r="H7045" t="s">
        <v>216</v>
      </c>
      <c r="J7045" t="s">
        <v>13517</v>
      </c>
      <c r="K7045" t="s">
        <v>86</v>
      </c>
      <c r="L7045" t="s">
        <v>33</v>
      </c>
      <c r="M7045" t="s">
        <v>23418</v>
      </c>
      <c r="N7045" t="s">
        <v>23419</v>
      </c>
      <c r="O7045" t="s">
        <v>23420</v>
      </c>
      <c r="P7045" s="2" t="s">
        <v>26</v>
      </c>
      <c r="Q7045" t="s">
        <v>50</v>
      </c>
      <c r="R7045">
        <v>22.62</v>
      </c>
      <c r="S7045">
        <v>22.7</v>
      </c>
      <c r="T7045" t="s">
        <v>23421</v>
      </c>
    </row>
    <row r="7046" spans="1:20" x14ac:dyDescent="0.25">
      <c r="A7046" s="1" t="str">
        <f>HYPERLINK("https://vegkart.atlas.vegvesen.no/#/@264691.7,6649634.9,18/hva:hva%5B0%5D%5Bfilter%5D%5B0%5D%5Boperator%5D=%21%3D&amp;hva%5B0%5D%5Bfilter%5D%5B0%5D%5Btype_id%5D=5897&amp;hva%5B0%5D%5Bfilter%5D%5B0%5D%5Bverdi%5D=&amp;hva%5B0%5D%5Bid%5D=47/når:2025-09-04", "Vegkart")</f>
        <v>Vegkart</v>
      </c>
      <c r="B7046">
        <v>1025223047</v>
      </c>
      <c r="C7046">
        <v>47</v>
      </c>
      <c r="D7046" t="s">
        <v>16854</v>
      </c>
      <c r="E7046">
        <v>5897</v>
      </c>
      <c r="F7046" t="s">
        <v>23479</v>
      </c>
      <c r="G7046">
        <v>1</v>
      </c>
      <c r="H7046" t="s">
        <v>8650</v>
      </c>
      <c r="J7046" t="s">
        <v>13517</v>
      </c>
      <c r="K7046" t="s">
        <v>335</v>
      </c>
      <c r="L7046" t="s">
        <v>370</v>
      </c>
      <c r="M7046" t="s">
        <v>23422</v>
      </c>
      <c r="N7046" t="s">
        <v>23423</v>
      </c>
      <c r="O7046" t="s">
        <v>23424</v>
      </c>
      <c r="P7046" s="2" t="s">
        <v>37</v>
      </c>
      <c r="Q7046" t="s">
        <v>1208</v>
      </c>
      <c r="R7046">
        <v>0</v>
      </c>
      <c r="S7046">
        <v>21.75</v>
      </c>
      <c r="T7046" t="s">
        <v>23425</v>
      </c>
    </row>
    <row r="7047" spans="1:20" x14ac:dyDescent="0.25">
      <c r="A7047" s="1" t="str">
        <f>HYPERLINK("https://vegkart.atlas.vegvesen.no/#/@87609.8,6469050.7,18/hva:hva%5B0%5D%5Bfilter%5D%5B0%5D%5Boperator%5D=%21%3D&amp;hva%5B0%5D%5Bfilter%5D%5B0%5D%5Btype_id%5D=5897&amp;hva%5B0%5D%5Bfilter%5D%5B0%5D%5Bverdi%5D=&amp;hva%5B0%5D%5Bid%5D=47/når:2025-09-04", "Vegkart")</f>
        <v>Vegkart</v>
      </c>
      <c r="B7047">
        <v>1025223855</v>
      </c>
      <c r="C7047">
        <v>47</v>
      </c>
      <c r="D7047" t="s">
        <v>16854</v>
      </c>
      <c r="E7047">
        <v>5897</v>
      </c>
      <c r="F7047" t="s">
        <v>23479</v>
      </c>
      <c r="G7047">
        <v>1</v>
      </c>
      <c r="H7047" t="s">
        <v>8650</v>
      </c>
      <c r="J7047" t="s">
        <v>13517</v>
      </c>
      <c r="K7047" t="s">
        <v>86</v>
      </c>
      <c r="L7047" t="s">
        <v>33</v>
      </c>
      <c r="M7047" t="s">
        <v>20625</v>
      </c>
      <c r="N7047" t="s">
        <v>23426</v>
      </c>
      <c r="O7047" t="s">
        <v>23427</v>
      </c>
      <c r="P7047" s="2" t="s">
        <v>26</v>
      </c>
      <c r="Q7047" t="s">
        <v>50</v>
      </c>
      <c r="R7047">
        <v>41.04</v>
      </c>
      <c r="S7047">
        <v>41.25</v>
      </c>
      <c r="T7047" t="s">
        <v>23428</v>
      </c>
    </row>
    <row r="7048" spans="1:20" x14ac:dyDescent="0.25">
      <c r="A7048" s="1" t="str">
        <f>HYPERLINK("https://vegkart.atlas.vegvesen.no/#/@170801.1,6833590.4,18/hva:hva%5B0%5D%5Bfilter%5D%5B0%5D%5Boperator%5D=%21%3D&amp;hva%5B0%5D%5Bfilter%5D%5B0%5D%5Btype_id%5D=5897&amp;hva%5B0%5D%5Bfilter%5D%5B0%5D%5Bverdi%5D=&amp;hva%5B0%5D%5Bid%5D=47/når:2025-09-08", "Vegkart")</f>
        <v>Vegkart</v>
      </c>
      <c r="B7048">
        <v>1025228449</v>
      </c>
      <c r="C7048">
        <v>47</v>
      </c>
      <c r="D7048" t="s">
        <v>16854</v>
      </c>
      <c r="E7048">
        <v>5897</v>
      </c>
      <c r="F7048" t="s">
        <v>23479</v>
      </c>
      <c r="G7048">
        <v>1</v>
      </c>
      <c r="H7048" t="s">
        <v>23429</v>
      </c>
      <c r="J7048" t="s">
        <v>13517</v>
      </c>
      <c r="K7048" t="s">
        <v>136</v>
      </c>
      <c r="L7048" t="s">
        <v>33</v>
      </c>
      <c r="M7048" t="s">
        <v>1222</v>
      </c>
      <c r="N7048" t="s">
        <v>23430</v>
      </c>
      <c r="O7048" t="s">
        <v>23431</v>
      </c>
      <c r="P7048" s="2" t="s">
        <v>26</v>
      </c>
      <c r="Q7048" t="s">
        <v>50</v>
      </c>
      <c r="R7048">
        <v>104.1</v>
      </c>
      <c r="S7048">
        <v>104.94</v>
      </c>
      <c r="T7048" t="s">
        <v>23432</v>
      </c>
    </row>
    <row r="7049" spans="1:20" x14ac:dyDescent="0.25">
      <c r="A7049" s="1" t="str">
        <f>HYPERLINK("https://vegkart.atlas.vegvesen.no/#/@94057.0,6466603.2,18/hva:hva%5B0%5D%5Bfilter%5D%5B0%5D%5Boperator%5D=%21%3D&amp;hva%5B0%5D%5Bfilter%5D%5B0%5D%5Btype_id%5D=5897&amp;hva%5B0%5D%5Bfilter%5D%5B0%5D%5Bverdi%5D=&amp;hva%5B0%5D%5Bid%5D=47/når:2025-09-18", "Vegkart")</f>
        <v>Vegkart</v>
      </c>
      <c r="B7049">
        <v>1025269784</v>
      </c>
      <c r="C7049">
        <v>47</v>
      </c>
      <c r="D7049" t="s">
        <v>16854</v>
      </c>
      <c r="E7049">
        <v>5897</v>
      </c>
      <c r="F7049" t="s">
        <v>23479</v>
      </c>
      <c r="G7049">
        <v>1</v>
      </c>
      <c r="H7049" t="s">
        <v>2450</v>
      </c>
      <c r="J7049" t="s">
        <v>13517</v>
      </c>
      <c r="K7049" t="s">
        <v>86</v>
      </c>
      <c r="L7049" t="s">
        <v>33</v>
      </c>
      <c r="M7049" t="s">
        <v>7560</v>
      </c>
      <c r="N7049" t="s">
        <v>23433</v>
      </c>
      <c r="O7049" t="s">
        <v>23434</v>
      </c>
      <c r="P7049" s="2" t="s">
        <v>26</v>
      </c>
      <c r="Q7049" t="s">
        <v>50</v>
      </c>
      <c r="R7049">
        <v>32.65</v>
      </c>
      <c r="S7049">
        <v>32.65</v>
      </c>
      <c r="T7049" t="s">
        <v>23435</v>
      </c>
    </row>
    <row r="7050" spans="1:20" x14ac:dyDescent="0.25">
      <c r="A7050" s="1" t="str">
        <f>HYPERLINK("https://vegkart.atlas.vegvesen.no/#/@94029.5,6466614.5,18/hva:hva%5B0%5D%5Bfilter%5D%5B0%5D%5Boperator%5D=%21%3D&amp;hva%5B0%5D%5Bfilter%5D%5B0%5D%5Btype_id%5D=5897&amp;hva%5B0%5D%5Bfilter%5D%5B0%5D%5Bverdi%5D=&amp;hva%5B0%5D%5Bid%5D=47/når:2025-09-18", "Vegkart")</f>
        <v>Vegkart</v>
      </c>
      <c r="B7050">
        <v>1025269785</v>
      </c>
      <c r="C7050">
        <v>47</v>
      </c>
      <c r="D7050" t="s">
        <v>16854</v>
      </c>
      <c r="E7050">
        <v>5897</v>
      </c>
      <c r="F7050" t="s">
        <v>23479</v>
      </c>
      <c r="G7050">
        <v>1</v>
      </c>
      <c r="H7050" t="s">
        <v>2450</v>
      </c>
      <c r="J7050" t="s">
        <v>13517</v>
      </c>
      <c r="K7050" t="s">
        <v>86</v>
      </c>
      <c r="L7050" t="s">
        <v>33</v>
      </c>
      <c r="M7050" t="s">
        <v>7560</v>
      </c>
      <c r="N7050" t="s">
        <v>23436</v>
      </c>
      <c r="O7050" t="s">
        <v>23437</v>
      </c>
      <c r="P7050" s="2" t="s">
        <v>26</v>
      </c>
      <c r="Q7050" t="s">
        <v>50</v>
      </c>
      <c r="R7050">
        <v>70.66</v>
      </c>
      <c r="S7050">
        <v>71.02</v>
      </c>
      <c r="T7050" t="s">
        <v>23438</v>
      </c>
    </row>
    <row r="7051" spans="1:20" x14ac:dyDescent="0.25">
      <c r="A7051" s="1" t="str">
        <f>HYPERLINK("https://vegkart.atlas.vegvesen.no/#/@261969.6,6649423.8,18/hva:hva%5B0%5D%5Bfilter%5D%5B0%5D%5Boperator%5D=%21%3D&amp;hva%5B0%5D%5Bfilter%5D%5B0%5D%5Btype_id%5D=5897&amp;hva%5B0%5D%5Bfilter%5D%5B0%5D%5Bverdi%5D=&amp;hva%5B0%5D%5Bid%5D=47/når:2025-09-29", "Vegkart")</f>
        <v>Vegkart</v>
      </c>
      <c r="B7051">
        <v>1025297213</v>
      </c>
      <c r="C7051">
        <v>47</v>
      </c>
      <c r="D7051" t="s">
        <v>16854</v>
      </c>
      <c r="E7051">
        <v>5897</v>
      </c>
      <c r="F7051" t="s">
        <v>23479</v>
      </c>
      <c r="G7051">
        <v>1</v>
      </c>
      <c r="H7051" t="s">
        <v>2313</v>
      </c>
      <c r="J7051" t="s">
        <v>13517</v>
      </c>
      <c r="K7051" t="s">
        <v>335</v>
      </c>
      <c r="L7051" t="s">
        <v>22</v>
      </c>
      <c r="M7051" t="s">
        <v>2314</v>
      </c>
      <c r="N7051" t="s">
        <v>23439</v>
      </c>
      <c r="O7051" t="s">
        <v>23440</v>
      </c>
      <c r="P7051" s="2" t="s">
        <v>37</v>
      </c>
      <c r="Q7051" t="s">
        <v>1208</v>
      </c>
      <c r="R7051">
        <v>0</v>
      </c>
      <c r="S7051">
        <v>73.91</v>
      </c>
      <c r="T7051" t="s">
        <v>23441</v>
      </c>
    </row>
    <row r="7052" spans="1:20" x14ac:dyDescent="0.25">
      <c r="A7052" s="1" t="str">
        <f>HYPERLINK("https://vegkart.atlas.vegvesen.no/#/@-39303.1,6740602.8,18/hva:hva%5B0%5D%5Bfilter%5D%5B0%5D%5Boperator%5D=%21%3D&amp;hva%5B0%5D%5Bfilter%5D%5B0%5D%5Btype_id%5D=5897&amp;hva%5B0%5D%5Bfilter%5D%5B0%5D%5Bverdi%5D=&amp;hva%5B0%5D%5Bid%5D=47/når:2025-10-14", "Vegkart")</f>
        <v>Vegkart</v>
      </c>
      <c r="B7052">
        <v>1025390532</v>
      </c>
      <c r="C7052">
        <v>47</v>
      </c>
      <c r="D7052" t="s">
        <v>16854</v>
      </c>
      <c r="E7052">
        <v>5897</v>
      </c>
      <c r="F7052" t="s">
        <v>23479</v>
      </c>
      <c r="G7052">
        <v>1</v>
      </c>
      <c r="H7052" t="s">
        <v>13157</v>
      </c>
      <c r="J7052" t="s">
        <v>13517</v>
      </c>
      <c r="K7052" t="s">
        <v>21</v>
      </c>
      <c r="L7052" t="s">
        <v>33</v>
      </c>
      <c r="M7052" t="s">
        <v>23442</v>
      </c>
      <c r="N7052" t="s">
        <v>23443</v>
      </c>
      <c r="O7052" t="s">
        <v>23444</v>
      </c>
      <c r="P7052" s="2" t="s">
        <v>165</v>
      </c>
      <c r="Q7052" t="s">
        <v>641</v>
      </c>
      <c r="R7052">
        <v>0</v>
      </c>
      <c r="S7052">
        <v>172.5</v>
      </c>
      <c r="T7052" t="s">
        <v>167</v>
      </c>
    </row>
    <row r="7053" spans="1:20" x14ac:dyDescent="0.25">
      <c r="A7053" s="1" t="str">
        <f>HYPERLINK("https://vegkart.atlas.vegvesen.no/#/@976490.7,7906616.3,18/hva:hva%5B0%5D%5Bfilter%5D%5B0%5D%5Boperator%5D=%21%3D&amp;hva%5B0%5D%5Bfilter%5D%5B0%5D%5Btype_id%5D=5897&amp;hva%5B0%5D%5Bfilter%5D%5B0%5D%5Bverdi%5D=&amp;hva%5B0%5D%5Bid%5D=47/når:2025-10-23", "Vegkart")</f>
        <v>Vegkart</v>
      </c>
      <c r="B7053">
        <v>1025432010</v>
      </c>
      <c r="C7053">
        <v>47</v>
      </c>
      <c r="D7053" t="s">
        <v>16854</v>
      </c>
      <c r="E7053">
        <v>5897</v>
      </c>
      <c r="F7053" t="s">
        <v>23479</v>
      </c>
      <c r="G7053">
        <v>1</v>
      </c>
      <c r="H7053" t="s">
        <v>13188</v>
      </c>
      <c r="J7053" t="s">
        <v>13517</v>
      </c>
      <c r="K7053" t="s">
        <v>450</v>
      </c>
      <c r="L7053" t="s">
        <v>33</v>
      </c>
      <c r="M7053" t="s">
        <v>23445</v>
      </c>
      <c r="N7053" t="s">
        <v>23446</v>
      </c>
      <c r="O7053" t="s">
        <v>23447</v>
      </c>
      <c r="P7053" s="2" t="s">
        <v>37</v>
      </c>
      <c r="Q7053" t="s">
        <v>1208</v>
      </c>
      <c r="R7053">
        <v>0.01</v>
      </c>
      <c r="S7053">
        <v>423.92</v>
      </c>
      <c r="T7053" t="s">
        <v>23448</v>
      </c>
    </row>
    <row r="7054" spans="1:20" x14ac:dyDescent="0.25">
      <c r="A7054" s="1" t="str">
        <f>HYPERLINK("https://vegkart.atlas.vegvesen.no/#/@-4343.0,6893880.3,18/hva:hva%5B0%5D%5Bfilter%5D%5B0%5D%5Boperator%5D=%21%3D&amp;hva%5B0%5D%5Bfilter%5D%5B0%5D%5Btype_id%5D=5897&amp;hva%5B0%5D%5Bfilter%5D%5B0%5D%5Bverdi%5D=&amp;hva%5B0%5D%5Bid%5D=47/når:2025-10-27", "Vegkart")</f>
        <v>Vegkart</v>
      </c>
      <c r="B7054">
        <v>1025437876</v>
      </c>
      <c r="C7054">
        <v>47</v>
      </c>
      <c r="D7054" t="s">
        <v>16854</v>
      </c>
      <c r="E7054">
        <v>5897</v>
      </c>
      <c r="F7054" t="s">
        <v>23479</v>
      </c>
      <c r="G7054">
        <v>1</v>
      </c>
      <c r="H7054" t="s">
        <v>13197</v>
      </c>
      <c r="J7054" t="s">
        <v>13517</v>
      </c>
      <c r="K7054" t="s">
        <v>21</v>
      </c>
      <c r="L7054" t="s">
        <v>33</v>
      </c>
      <c r="M7054" t="s">
        <v>13602</v>
      </c>
      <c r="N7054" t="s">
        <v>23449</v>
      </c>
      <c r="O7054" t="s">
        <v>23450</v>
      </c>
      <c r="P7054" s="2" t="s">
        <v>26</v>
      </c>
      <c r="Q7054" t="s">
        <v>50</v>
      </c>
      <c r="R7054">
        <v>54</v>
      </c>
      <c r="S7054">
        <v>54</v>
      </c>
      <c r="T7054" t="s">
        <v>23451</v>
      </c>
    </row>
    <row r="7055" spans="1:20" x14ac:dyDescent="0.25">
      <c r="A7055" s="1" t="str">
        <f>HYPERLINK("https://vegkart.atlas.vegvesen.no/#/@168463.1,6598482.3,18/hva:hva%5B0%5D%5Bfilter%5D%5B0%5D%5Boperator%5D=%21%3D&amp;hva%5B0%5D%5Bfilter%5D%5B0%5D%5Btype_id%5D=5897&amp;hva%5B0%5D%5Bfilter%5D%5B0%5D%5Bverdi%5D=&amp;hva%5B0%5D%5Bid%5D=47/når:2025-10-27", "Vegkart")</f>
        <v>Vegkart</v>
      </c>
      <c r="B7055">
        <v>1025439366</v>
      </c>
      <c r="C7055">
        <v>47</v>
      </c>
      <c r="D7055" t="s">
        <v>16854</v>
      </c>
      <c r="E7055">
        <v>5897</v>
      </c>
      <c r="F7055" t="s">
        <v>23479</v>
      </c>
      <c r="G7055">
        <v>1</v>
      </c>
      <c r="H7055" t="s">
        <v>13197</v>
      </c>
      <c r="J7055" t="s">
        <v>13517</v>
      </c>
      <c r="K7055" t="s">
        <v>197</v>
      </c>
      <c r="L7055" t="s">
        <v>113</v>
      </c>
      <c r="M7055" t="s">
        <v>2618</v>
      </c>
      <c r="N7055" t="s">
        <v>23452</v>
      </c>
      <c r="O7055" t="s">
        <v>23453</v>
      </c>
      <c r="P7055" s="2" t="s">
        <v>26</v>
      </c>
      <c r="Q7055" t="s">
        <v>50</v>
      </c>
      <c r="R7055">
        <v>64.72</v>
      </c>
      <c r="S7055">
        <v>64.72</v>
      </c>
      <c r="T7055" t="s">
        <v>23454</v>
      </c>
    </row>
    <row r="7056" spans="1:20" x14ac:dyDescent="0.25">
      <c r="A7056" s="1" t="str">
        <f>HYPERLINK("https://vegkart.atlas.vegvesen.no/#/@168383.2,6598567.1,18/hva:hva%5B0%5D%5Bfilter%5D%5B0%5D%5Boperator%5D=%21%3D&amp;hva%5B0%5D%5Bfilter%5D%5B0%5D%5Btype_id%5D=5897&amp;hva%5B0%5D%5Bfilter%5D%5B0%5D%5Bverdi%5D=&amp;hva%5B0%5D%5Bid%5D=47/når:2025-10-27", "Vegkart")</f>
        <v>Vegkart</v>
      </c>
      <c r="B7056">
        <v>1025439367</v>
      </c>
      <c r="C7056">
        <v>47</v>
      </c>
      <c r="D7056" t="s">
        <v>16854</v>
      </c>
      <c r="E7056">
        <v>5897</v>
      </c>
      <c r="F7056" t="s">
        <v>23479</v>
      </c>
      <c r="G7056">
        <v>1</v>
      </c>
      <c r="H7056" t="s">
        <v>13197</v>
      </c>
      <c r="J7056" t="s">
        <v>13517</v>
      </c>
      <c r="K7056" t="s">
        <v>197</v>
      </c>
      <c r="L7056" t="s">
        <v>113</v>
      </c>
      <c r="M7056" t="s">
        <v>2618</v>
      </c>
      <c r="N7056" t="s">
        <v>23455</v>
      </c>
      <c r="O7056" t="s">
        <v>23456</v>
      </c>
      <c r="P7056" s="2" t="s">
        <v>26</v>
      </c>
      <c r="Q7056" t="s">
        <v>50</v>
      </c>
      <c r="R7056">
        <v>56.72</v>
      </c>
      <c r="S7056">
        <v>56.72</v>
      </c>
      <c r="T7056" t="s">
        <v>23457</v>
      </c>
    </row>
    <row r="7057" spans="1:20" x14ac:dyDescent="0.25">
      <c r="A7057" s="1" t="str">
        <f>HYPERLINK("https://vegkart.atlas.vegvesen.no/#/@168824.0,6597877.2,18/hva:hva%5B0%5D%5Bfilter%5D%5B0%5D%5Boperator%5D=%21%3D&amp;hva%5B0%5D%5Bfilter%5D%5B0%5D%5Btype_id%5D=5897&amp;hva%5B0%5D%5Bfilter%5D%5B0%5D%5Bverdi%5D=&amp;hva%5B0%5D%5Bid%5D=47/når:2025-10-27", "Vegkart")</f>
        <v>Vegkart</v>
      </c>
      <c r="B7057">
        <v>1025439368</v>
      </c>
      <c r="C7057">
        <v>47</v>
      </c>
      <c r="D7057" t="s">
        <v>16854</v>
      </c>
      <c r="E7057">
        <v>5897</v>
      </c>
      <c r="F7057" t="s">
        <v>23479</v>
      </c>
      <c r="G7057">
        <v>1</v>
      </c>
      <c r="H7057" t="s">
        <v>13197</v>
      </c>
      <c r="J7057" t="s">
        <v>13517</v>
      </c>
      <c r="K7057" t="s">
        <v>197</v>
      </c>
      <c r="L7057" t="s">
        <v>113</v>
      </c>
      <c r="M7057" t="s">
        <v>2618</v>
      </c>
      <c r="N7057" t="s">
        <v>23458</v>
      </c>
      <c r="O7057" t="s">
        <v>23459</v>
      </c>
      <c r="P7057" s="2" t="s">
        <v>26</v>
      </c>
      <c r="Q7057" t="s">
        <v>50</v>
      </c>
      <c r="R7057">
        <v>57.48</v>
      </c>
      <c r="S7057">
        <v>57.48</v>
      </c>
      <c r="T7057" t="s">
        <v>23460</v>
      </c>
    </row>
    <row r="7058" spans="1:20" x14ac:dyDescent="0.25">
      <c r="A7058" s="1" t="str">
        <f>HYPERLINK("https://vegkart.atlas.vegvesen.no/#/@168836.4,6597859.0,18/hva:hva%5B0%5D%5Bfilter%5D%5B0%5D%5Boperator%5D=%21%3D&amp;hva%5B0%5D%5Bfilter%5D%5B0%5D%5Btype_id%5D=5897&amp;hva%5B0%5D%5Bfilter%5D%5B0%5D%5Bverdi%5D=&amp;hva%5B0%5D%5Bid%5D=47/når:2025-10-27", "Vegkart")</f>
        <v>Vegkart</v>
      </c>
      <c r="B7058">
        <v>1025439369</v>
      </c>
      <c r="C7058">
        <v>47</v>
      </c>
      <c r="D7058" t="s">
        <v>16854</v>
      </c>
      <c r="E7058">
        <v>5897</v>
      </c>
      <c r="F7058" t="s">
        <v>23479</v>
      </c>
      <c r="G7058">
        <v>1</v>
      </c>
      <c r="H7058" t="s">
        <v>13197</v>
      </c>
      <c r="J7058" t="s">
        <v>13517</v>
      </c>
      <c r="K7058" t="s">
        <v>197</v>
      </c>
      <c r="L7058" t="s">
        <v>113</v>
      </c>
      <c r="M7058" t="s">
        <v>2618</v>
      </c>
      <c r="N7058" t="s">
        <v>23461</v>
      </c>
      <c r="O7058" t="s">
        <v>23462</v>
      </c>
      <c r="P7058" s="2" t="s">
        <v>26</v>
      </c>
      <c r="Q7058" t="s">
        <v>50</v>
      </c>
      <c r="R7058">
        <v>68.22</v>
      </c>
      <c r="S7058">
        <v>68.22</v>
      </c>
      <c r="T7058" t="s">
        <v>23463</v>
      </c>
    </row>
    <row r="7059" spans="1:20" x14ac:dyDescent="0.25">
      <c r="A7059" s="1" t="str">
        <f>HYPERLINK("https://vegkart.atlas.vegvesen.no/#/@167043.0,6599927.2,18/hva:hva%5B0%5D%5Bfilter%5D%5B0%5D%5Boperator%5D=%21%3D&amp;hva%5B0%5D%5Bfilter%5D%5B0%5D%5Btype_id%5D=5897&amp;hva%5B0%5D%5Bfilter%5D%5B0%5D%5Bverdi%5D=&amp;hva%5B0%5D%5Bid%5D=47/når:2025-10-27", "Vegkart")</f>
        <v>Vegkart</v>
      </c>
      <c r="B7059">
        <v>1025439371</v>
      </c>
      <c r="C7059">
        <v>47</v>
      </c>
      <c r="D7059" t="s">
        <v>16854</v>
      </c>
      <c r="E7059">
        <v>5897</v>
      </c>
      <c r="F7059" t="s">
        <v>23479</v>
      </c>
      <c r="G7059">
        <v>1</v>
      </c>
      <c r="H7059" t="s">
        <v>13197</v>
      </c>
      <c r="J7059" t="s">
        <v>13517</v>
      </c>
      <c r="K7059" t="s">
        <v>197</v>
      </c>
      <c r="L7059" t="s">
        <v>113</v>
      </c>
      <c r="M7059" t="s">
        <v>2618</v>
      </c>
      <c r="N7059" t="s">
        <v>23464</v>
      </c>
      <c r="O7059" t="s">
        <v>23465</v>
      </c>
      <c r="P7059" s="2" t="s">
        <v>26</v>
      </c>
      <c r="Q7059" t="s">
        <v>50</v>
      </c>
      <c r="R7059">
        <v>60.3</v>
      </c>
      <c r="S7059">
        <v>60.3</v>
      </c>
      <c r="T7059" t="s">
        <v>23466</v>
      </c>
    </row>
    <row r="7060" spans="1:20" x14ac:dyDescent="0.25">
      <c r="A7060" s="1" t="str">
        <f>HYPERLINK("https://vegkart.atlas.vegvesen.no/#/@192038.1,6567634.9,18/hva:hva%5B0%5D%5Bfilter%5D%5B0%5D%5Boperator%5D=%21%3D&amp;hva%5B0%5D%5Bfilter%5D%5B0%5D%5Btype_id%5D=5897&amp;hva%5B0%5D%5Bfilter%5D%5B0%5D%5Bverdi%5D=&amp;hva%5B0%5D%5Bid%5D=47/når:2025-11-17", "Vegkart")</f>
        <v>Vegkart</v>
      </c>
      <c r="B7060">
        <v>1025718608</v>
      </c>
      <c r="C7060">
        <v>47</v>
      </c>
      <c r="D7060" t="s">
        <v>16854</v>
      </c>
      <c r="E7060">
        <v>5897</v>
      </c>
      <c r="F7060" t="s">
        <v>23479</v>
      </c>
      <c r="G7060">
        <v>1</v>
      </c>
      <c r="H7060" t="s">
        <v>23467</v>
      </c>
      <c r="J7060" t="s">
        <v>13517</v>
      </c>
      <c r="K7060" t="s">
        <v>197</v>
      </c>
      <c r="L7060" t="s">
        <v>33</v>
      </c>
      <c r="M7060" t="s">
        <v>8951</v>
      </c>
      <c r="N7060" t="s">
        <v>23468</v>
      </c>
      <c r="O7060" t="s">
        <v>23469</v>
      </c>
      <c r="P7060" s="2" t="s">
        <v>26</v>
      </c>
      <c r="Q7060" t="s">
        <v>50</v>
      </c>
      <c r="R7060">
        <v>22.96</v>
      </c>
      <c r="S7060">
        <v>23.03</v>
      </c>
      <c r="T7060" t="s">
        <v>23470</v>
      </c>
    </row>
    <row r="7061" spans="1:20" x14ac:dyDescent="0.25">
      <c r="A7061" s="1" t="str">
        <f>HYPERLINK("https://vegkart.atlas.vegvesen.no/#/@333942.1,6675980.1,18/hva:hva%5B0%5D%5Bfilter%5D%5B0%5D%5Boperator%5D=%21%3D&amp;hva%5B0%5D%5Bfilter%5D%5B0%5D%5Btype_id%5D=5897&amp;hva%5B0%5D%5Bfilter%5D%5B0%5D%5Bverdi%5D=&amp;hva%5B0%5D%5Bid%5D=47/når:2025-11-24", "Vegkart")</f>
        <v>Vegkart</v>
      </c>
      <c r="B7061">
        <v>1025843295</v>
      </c>
      <c r="C7061">
        <v>47</v>
      </c>
      <c r="D7061" t="s">
        <v>16854</v>
      </c>
      <c r="E7061">
        <v>5897</v>
      </c>
      <c r="F7061" t="s">
        <v>23479</v>
      </c>
      <c r="G7061">
        <v>1</v>
      </c>
      <c r="H7061" t="s">
        <v>5909</v>
      </c>
      <c r="J7061" t="s">
        <v>23471</v>
      </c>
      <c r="K7061" t="s">
        <v>136</v>
      </c>
      <c r="L7061" t="s">
        <v>33</v>
      </c>
      <c r="M7061" t="s">
        <v>23472</v>
      </c>
      <c r="N7061" t="s">
        <v>23473</v>
      </c>
      <c r="O7061" t="s">
        <v>23474</v>
      </c>
      <c r="P7061" s="2" t="s">
        <v>26</v>
      </c>
      <c r="Q7061" t="s">
        <v>50</v>
      </c>
      <c r="R7061">
        <v>21.1</v>
      </c>
      <c r="S7061">
        <v>26.99</v>
      </c>
      <c r="T7061" t="s">
        <v>23475</v>
      </c>
    </row>
  </sheetData>
  <autoFilter ref="A1:T7061" xr:uid="{00000000-0001-0000-0000-000000000000}"/>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Oppgave</vt:lpstr>
      <vt:lpstr>Forklaring</vt:lpstr>
      <vt:lpstr>Egensk.typ som fjernes i v 2.44</vt:lpstr>
      <vt:lpstr>Gyldige vegobjekter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Vilhelm Børnes</cp:lastModifiedBy>
  <dcterms:created xsi:type="dcterms:W3CDTF">2026-01-07T09:58:13Z</dcterms:created>
  <dcterms:modified xsi:type="dcterms:W3CDTF">2026-01-24T11:35:21Z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6eae731-f11e-4017-952e-3dce43580afc_Enabled">
    <vt:lpwstr>true</vt:lpwstr>
  </property>
  <property fmtid="{D5CDD505-2E9C-101B-9397-08002B2CF9AE}" pid="3" name="MSIP_Label_86eae731-f11e-4017-952e-3dce43580afc_SetDate">
    <vt:lpwstr>2026-01-07T09:59:09Z</vt:lpwstr>
  </property>
  <property fmtid="{D5CDD505-2E9C-101B-9397-08002B2CF9AE}" pid="4" name="MSIP_Label_86eae731-f11e-4017-952e-3dce43580afc_Method">
    <vt:lpwstr>Privileged</vt:lpwstr>
  </property>
  <property fmtid="{D5CDD505-2E9C-101B-9397-08002B2CF9AE}" pid="5" name="MSIP_Label_86eae731-f11e-4017-952e-3dce43580afc_Name">
    <vt:lpwstr>Public-new</vt:lpwstr>
  </property>
  <property fmtid="{D5CDD505-2E9C-101B-9397-08002B2CF9AE}" pid="6" name="MSIP_Label_86eae731-f11e-4017-952e-3dce43580afc_SiteId">
    <vt:lpwstr>38856954-ed55-49f7-8bdd-738ffbbfd390</vt:lpwstr>
  </property>
  <property fmtid="{D5CDD505-2E9C-101B-9397-08002B2CF9AE}" pid="7" name="MSIP_Label_86eae731-f11e-4017-952e-3dce43580afc_ActionId">
    <vt:lpwstr>e4b40ccc-2dd3-4adc-b44f-bd5864e5927f</vt:lpwstr>
  </property>
  <property fmtid="{D5CDD505-2E9C-101B-9397-08002B2CF9AE}" pid="8" name="MSIP_Label_86eae731-f11e-4017-952e-3dce43580afc_ContentBits">
    <vt:lpwstr>0</vt:lpwstr>
  </property>
  <property fmtid="{D5CDD505-2E9C-101B-9397-08002B2CF9AE}" pid="9" name="MSIP_Label_86eae731-f11e-4017-952e-3dce43580afc_Tag">
    <vt:lpwstr>10, 0, 1, 1</vt:lpwstr>
  </property>
</Properties>
</file>